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 defaultThemeVersion="124226"/>
  <bookViews>
    <workbookView xWindow="0" yWindow="0" windowWidth="29040" windowHeight="14310" tabRatio="862" activeTab="7"/>
  </bookViews>
  <sheets>
    <sheet name="титул НКД" sheetId="131" r:id="rId1"/>
    <sheet name="ГТ север " sheetId="150" r:id="rId2"/>
    <sheet name="Сопоставительная ведомость" sheetId="382" r:id="rId3"/>
    <sheet name="состав СД" sheetId="26" r:id="rId4"/>
    <sheet name="ССРСС(2000г )" sheetId="383" r:id="rId5"/>
    <sheet name="График" sheetId="408" r:id="rId6"/>
    <sheet name="ПЗ" sheetId="407" r:id="rId7"/>
    <sheet name="Протокол" sheetId="406" r:id="rId8"/>
    <sheet name="НМЦ" sheetId="405" r:id="rId9"/>
    <sheet name="Проект сметы контракта" sheetId="410" r:id="rId10"/>
    <sheet name="ВОР" sheetId="409" r:id="rId11"/>
    <sheet name="НМЦК" sheetId="404" r:id="rId12"/>
    <sheet name="Затраты подрядчика" sheetId="403" r:id="rId13"/>
    <sheet name="ССРСС(2021г.)" sheetId="384" r:id="rId14"/>
    <sheet name="ОСР 01-01(2000г)" sheetId="151" r:id="rId15"/>
    <sheet name="ОСР 01-01 (2021г)" sheetId="152" r:id="rId16"/>
    <sheet name=" ЛСР 01-01-01" sheetId="153" r:id="rId17"/>
    <sheet name="ЛСР 01-01-02" sheetId="154" r:id="rId18"/>
    <sheet name="ОСР 01-02(2000г)" sheetId="259" r:id="rId19"/>
    <sheet name="ОСР 01-02(2021г)" sheetId="260" r:id="rId20"/>
    <sheet name="ЛСР 01-02-01" sheetId="157" r:id="rId21"/>
    <sheet name="ЛСР 01-02-02" sheetId="258" r:id="rId22"/>
    <sheet name="ЛСР 01-02-03" sheetId="257" r:id="rId23"/>
    <sheet name="ЛСР 01-03-01 " sheetId="345" r:id="rId24"/>
    <sheet name="ЛСР 01-04-01" sheetId="346" r:id="rId25"/>
    <sheet name="ОСР 02-01(2000г)" sheetId="361" r:id="rId26"/>
    <sheet name="ОСР 02-01(2021г)" sheetId="360" r:id="rId27"/>
    <sheet name="ЛСР 02-01-01" sheetId="353" r:id="rId28"/>
    <sheet name="ЛСР 02-01-02" sheetId="354" r:id="rId29"/>
    <sheet name="ЛСР 02-01-03" sheetId="355" r:id="rId30"/>
    <sheet name="ЛСР 02-01-04" sheetId="356" r:id="rId31"/>
    <sheet name="ЛСР 02-01-05" sheetId="357" r:id="rId32"/>
    <sheet name="ЛСР 02-01-06" sheetId="392" r:id="rId33"/>
    <sheet name="ЛСР 02-01-07" sheetId="358" r:id="rId34"/>
    <sheet name="ОСР 03-01(2000г)" sheetId="286" r:id="rId35"/>
    <sheet name="ОСР 03-01(2021г)" sheetId="288" r:id="rId36"/>
    <sheet name="ЛСР 03-01-01" sheetId="289" r:id="rId37"/>
    <sheet name="ЛСР 03-01-02" sheetId="290" r:id="rId38"/>
    <sheet name="ЛСР 03-01-03" sheetId="291" r:id="rId39"/>
    <sheet name="ЛСР 03-01-04" sheetId="292" r:id="rId40"/>
    <sheet name="ЛСР 03-01-05" sheetId="293" r:id="rId41"/>
    <sheet name="ЛСР 03-01-06" sheetId="294" r:id="rId42"/>
    <sheet name="ЛСР 03-01-07" sheetId="295" r:id="rId43"/>
    <sheet name=" ЛСР 03-01-08" sheetId="296" r:id="rId44"/>
    <sheet name="ЛСР 03-01-09" sheetId="299" r:id="rId45"/>
    <sheet name="ЛСР 03-01-10" sheetId="300" r:id="rId46"/>
    <sheet name="ЛСР 03-01-11" sheetId="301" r:id="rId47"/>
    <sheet name="ЛСР 03-01-12" sheetId="302" r:id="rId48"/>
    <sheet name="ОСР 03-02(2000г)" sheetId="303" r:id="rId49"/>
    <sheet name="ОСР 03-02(2021г)" sheetId="304" r:id="rId50"/>
    <sheet name="ЛСР 03-02-01 " sheetId="305" r:id="rId51"/>
    <sheet name="ЛСР 03-02-02" sheetId="306" r:id="rId52"/>
    <sheet name="ЛСР 03-02-03" sheetId="307" r:id="rId53"/>
    <sheet name="ОСР 03-03(2000г)" sheetId="308" r:id="rId54"/>
    <sheet name="ОСР03-03(2021г)" sheetId="309" r:id="rId55"/>
    <sheet name="ЛСР 03-03-01" sheetId="310" r:id="rId56"/>
    <sheet name="ЛСР 03-03-02" sheetId="311" r:id="rId57"/>
    <sheet name="ЛСР 03-03-03" sheetId="312" r:id="rId58"/>
    <sheet name="ЛСР 03-04-01" sheetId="194" r:id="rId59"/>
    <sheet name="ОСР 04-01(2000г)" sheetId="313" r:id="rId60"/>
    <sheet name="ОСР04-01(2021г)" sheetId="314" r:id="rId61"/>
    <sheet name="ЛСР 04-01-01" sheetId="315" r:id="rId62"/>
    <sheet name="ЛСР 04-01-02" sheetId="316" r:id="rId63"/>
    <sheet name="ОСР 04-02(2000г)" sheetId="317" r:id="rId64"/>
    <sheet name="ОСР04-02(2021г)" sheetId="319" r:id="rId65"/>
    <sheet name="ЛСР 04-02-01" sheetId="318" r:id="rId66"/>
    <sheet name="ЛСР 04-02-02" sheetId="320" r:id="rId67"/>
    <sheet name="ЛСР 05-01-01" sheetId="321" r:id="rId68"/>
    <sheet name="ОСР 05-02(2000г)" sheetId="322" r:id="rId69"/>
    <sheet name="ОСР 05-02(2021г)" sheetId="323" r:id="rId70"/>
    <sheet name="ЛСР 05-02-01" sheetId="324" r:id="rId71"/>
    <sheet name="ЛСР 05-02-02" sheetId="325" r:id="rId72"/>
    <sheet name="ЛСР 05-02-03" sheetId="326" r:id="rId73"/>
    <sheet name="ЛСР 05-03-01" sheetId="327" r:id="rId74"/>
    <sheet name="ЛСР 06-01-01" sheetId="328" r:id="rId75"/>
    <sheet name="ОСР 06-02(2000г)" sheetId="329" r:id="rId76"/>
    <sheet name="ОСР06-02(2021г)" sheetId="330" r:id="rId77"/>
    <sheet name="ЛСР 06-02-01" sheetId="331" r:id="rId78"/>
    <sheet name="ЛСР 06-02-02" sheetId="332" r:id="rId79"/>
    <sheet name="ЛСР 06-02-03" sheetId="333" r:id="rId80"/>
    <sheet name="ЛСР 06-02-04" sheetId="334" r:id="rId81"/>
    <sheet name="ЛСР 06-02-05" sheetId="335" r:id="rId82"/>
    <sheet name="ОСР 07-01(2000г)" sheetId="336" r:id="rId83"/>
    <sheet name="ОСР07-01(2021г)" sheetId="337" r:id="rId84"/>
    <sheet name="ЛСР 07-01-01" sheetId="338" r:id="rId85"/>
    <sheet name="ЛСР 07-01-02" sheetId="217" r:id="rId86"/>
    <sheet name="ЛСР 07-01-03" sheetId="339" r:id="rId87"/>
    <sheet name="ЛСР 07-01-04" sheetId="340" r:id="rId88"/>
    <sheet name="ОСР 07-02(2000г)" sheetId="343" r:id="rId89"/>
    <sheet name="ОСР 07-02(2021г)" sheetId="344" r:id="rId90"/>
    <sheet name="ЛСР 07-02-01" sheetId="341" r:id="rId91"/>
    <sheet name="ЛСР 07-02-02" sheetId="342" r:id="rId92"/>
    <sheet name="Расчет 09-01-01" sheetId="347" r:id="rId93"/>
    <sheet name="Расчет 09-02-01" sheetId="348" r:id="rId94"/>
    <sheet name="Расчет 09-03-01" sheetId="388" r:id="rId95"/>
    <sheet name="ОСР 09-04(2000г)" sheetId="273" r:id="rId96"/>
    <sheet name="ОСР 09-04 (2021г)" sheetId="274" r:id="rId97"/>
    <sheet name="ЛСР 09-04-01" sheetId="271" r:id="rId98"/>
    <sheet name="ЛСР 09-04-02 " sheetId="272" r:id="rId99"/>
    <sheet name="Расчет 09-05-01" sheetId="350" r:id="rId100"/>
    <sheet name="Расчет 09-06-01 " sheetId="366" r:id="rId101"/>
    <sheet name="ОСР 09-07_(2021г)" sheetId="230" r:id="rId102"/>
    <sheet name="ОСР 09-07 (2000г.)" sheetId="231" r:id="rId103"/>
    <sheet name="ЛСР 09-07-01" sheetId="232" r:id="rId104"/>
    <sheet name="ЛСР 09-07-02" sheetId="233" r:id="rId105"/>
    <sheet name="ЛСР 09-07-03" sheetId="234" r:id="rId106"/>
    <sheet name="Расчет 09-08-01" sheetId="365" r:id="rId107"/>
    <sheet name="Расчет 10-01-01" sheetId="381" r:id="rId108"/>
    <sheet name="ОСР ПИР (2021 г.)" sheetId="398" r:id="rId109"/>
    <sheet name="ОСР ПИР (2000 г)." sheetId="399" r:id="rId110"/>
    <sheet name="ОСР ПИР ( 2001 г.) " sheetId="400" r:id="rId111"/>
    <sheet name="ЛСР 12-01-01" sheetId="370" r:id="rId112"/>
    <sheet name="ЛСР 12-01-02" sheetId="371" r:id="rId113"/>
    <sheet name="ЛСР 12-01-03" sheetId="372" r:id="rId114"/>
    <sheet name="ЛСР 12-01-04" sheetId="373" r:id="rId115"/>
    <sheet name="ЛСР 12-01-05" sheetId="374" r:id="rId116"/>
    <sheet name="ЛСР 12-01-06 " sheetId="401" r:id="rId117"/>
    <sheet name="ЛСР 12-02-01" sheetId="389" r:id="rId118"/>
    <sheet name="ЛСР 12-03-01" sheetId="390" r:id="rId119"/>
    <sheet name="Расчет 12-04-01" sheetId="249" r:id="rId120"/>
    <sheet name="Расчет 12-05-01" sheetId="250" r:id="rId121"/>
    <sheet name="ЛСР 12-06-01" sheetId="378" r:id="rId122"/>
    <sheet name="ЛСР 12-07-01" sheetId="379" r:id="rId123"/>
    <sheet name="СР-7 " sheetId="402" r:id="rId124"/>
    <sheet name=" Калькуляция №1" sheetId="270" r:id="rId125"/>
  </sheets>
  <externalReferences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</externalReferences>
  <definedNames>
    <definedName name="\" localSheetId="10">#REF!</definedName>
    <definedName name="\" localSheetId="9">#REF!</definedName>
    <definedName name="\">#REF!</definedName>
    <definedName name="\AUTOEXEC" localSheetId="10">#REF!</definedName>
    <definedName name="\AUTOEXEC" localSheetId="12">#REF!</definedName>
    <definedName name="\AUTOEXEC" localSheetId="112">#REF!</definedName>
    <definedName name="\AUTOEXEC" localSheetId="113">#REF!</definedName>
    <definedName name="\AUTOEXEC" localSheetId="115">#REF!</definedName>
    <definedName name="\AUTOEXEC" localSheetId="116">#REF!</definedName>
    <definedName name="\AUTOEXEC" localSheetId="8">#REF!</definedName>
    <definedName name="\AUTOEXEC" localSheetId="11">#REF!</definedName>
    <definedName name="\AUTOEXEC" localSheetId="110">#REF!</definedName>
    <definedName name="\AUTOEXEC" localSheetId="6">#REF!</definedName>
    <definedName name="\AUTOEXEC" localSheetId="9">#REF!</definedName>
    <definedName name="\AUTOEXEC" localSheetId="7">#REF!</definedName>
    <definedName name="\AUTOEXEC" localSheetId="92">#REF!</definedName>
    <definedName name="\AUTOEXEC" localSheetId="93">#REF!</definedName>
    <definedName name="\AUTOEXEC" localSheetId="94">#REF!</definedName>
    <definedName name="\AUTOEXEC" localSheetId="99">#REF!</definedName>
    <definedName name="\AUTOEXEC" localSheetId="100">#REF!</definedName>
    <definedName name="\AUTOEXEC" localSheetId="106">#REF!</definedName>
    <definedName name="\AUTOEXEC">#REF!</definedName>
    <definedName name="\k" localSheetId="10">#REF!</definedName>
    <definedName name="\k" localSheetId="12">#REF!</definedName>
    <definedName name="\k" localSheetId="112">#REF!</definedName>
    <definedName name="\k" localSheetId="113">#REF!</definedName>
    <definedName name="\k" localSheetId="115">#REF!</definedName>
    <definedName name="\k" localSheetId="116">#REF!</definedName>
    <definedName name="\k" localSheetId="8">#REF!</definedName>
    <definedName name="\k" localSheetId="11">#REF!</definedName>
    <definedName name="\k" localSheetId="110">#REF!</definedName>
    <definedName name="\k" localSheetId="6">#REF!</definedName>
    <definedName name="\k" localSheetId="9">#REF!</definedName>
    <definedName name="\k" localSheetId="7">#REF!</definedName>
    <definedName name="\k" localSheetId="92">#REF!</definedName>
    <definedName name="\k" localSheetId="93">#REF!</definedName>
    <definedName name="\k" localSheetId="94">#REF!</definedName>
    <definedName name="\k" localSheetId="99">#REF!</definedName>
    <definedName name="\k" localSheetId="100">#REF!</definedName>
    <definedName name="\k" localSheetId="106">#REF!</definedName>
    <definedName name="\k">#REF!</definedName>
    <definedName name="\m" localSheetId="10">#REF!</definedName>
    <definedName name="\m" localSheetId="12">#REF!</definedName>
    <definedName name="\m" localSheetId="112">#REF!</definedName>
    <definedName name="\m" localSheetId="113">#REF!</definedName>
    <definedName name="\m" localSheetId="115">#REF!</definedName>
    <definedName name="\m" localSheetId="116">#REF!</definedName>
    <definedName name="\m" localSheetId="110">#REF!</definedName>
    <definedName name="\m" localSheetId="9">#REF!</definedName>
    <definedName name="\m" localSheetId="92">#REF!</definedName>
    <definedName name="\m" localSheetId="93">#REF!</definedName>
    <definedName name="\m" localSheetId="94">#REF!</definedName>
    <definedName name="\m" localSheetId="99">#REF!</definedName>
    <definedName name="\m" localSheetId="100">#REF!</definedName>
    <definedName name="\m" localSheetId="106">#REF!</definedName>
    <definedName name="\m">#REF!</definedName>
    <definedName name="\n" localSheetId="10">#REF!</definedName>
    <definedName name="\n" localSheetId="9">#REF!</definedName>
    <definedName name="\n">#REF!</definedName>
    <definedName name="\n11" localSheetId="10">#REF!</definedName>
    <definedName name="\n11" localSheetId="9">#REF!</definedName>
    <definedName name="\n11">#REF!</definedName>
    <definedName name="\s" localSheetId="10">#REF!</definedName>
    <definedName name="\s" localSheetId="12">#REF!</definedName>
    <definedName name="\s" localSheetId="110">#REF!</definedName>
    <definedName name="\s" localSheetId="9">#REF!</definedName>
    <definedName name="\s">#REF!</definedName>
    <definedName name="\z" localSheetId="10">#REF!</definedName>
    <definedName name="\z" localSheetId="12">#REF!</definedName>
    <definedName name="\z" localSheetId="110">#REF!</definedName>
    <definedName name="\z" localSheetId="9">#REF!</definedName>
    <definedName name="\z">#REF!</definedName>
    <definedName name="________________________a2" localSheetId="10">#REF!</definedName>
    <definedName name="________________________a2" localSheetId="9">#REF!</definedName>
    <definedName name="________________________a2">#REF!</definedName>
    <definedName name="_______________________a2" localSheetId="10">#REF!</definedName>
    <definedName name="_______________________a2" localSheetId="9">#REF!</definedName>
    <definedName name="_______________________a2">#REF!</definedName>
    <definedName name="_____________________a2" localSheetId="10">#REF!</definedName>
    <definedName name="_____________________a2" localSheetId="9">#REF!</definedName>
    <definedName name="_____________________a2">#REF!</definedName>
    <definedName name="____________________a2" localSheetId="10">#REF!</definedName>
    <definedName name="____________________a2" localSheetId="9">#REF!</definedName>
    <definedName name="____________________a2">#REF!</definedName>
    <definedName name="___________________a2" localSheetId="10">#REF!</definedName>
    <definedName name="___________________a2" localSheetId="9">#REF!</definedName>
    <definedName name="___________________a2">#REF!</definedName>
    <definedName name="__________________a2" localSheetId="10">#REF!</definedName>
    <definedName name="__________________a2" localSheetId="9">#REF!</definedName>
    <definedName name="__________________a2">#REF!</definedName>
    <definedName name="_________________a2" localSheetId="10">#REF!</definedName>
    <definedName name="_________________a2" localSheetId="9">#REF!</definedName>
    <definedName name="_________________a2">#REF!</definedName>
    <definedName name="________________a2" localSheetId="10">#REF!</definedName>
    <definedName name="________________a2" localSheetId="9">#REF!</definedName>
    <definedName name="________________a2">#REF!</definedName>
    <definedName name="_______________a2" localSheetId="10">#REF!</definedName>
    <definedName name="_______________a2" localSheetId="9">#REF!</definedName>
    <definedName name="_______________a2">#REF!</definedName>
    <definedName name="______________a2" localSheetId="10">#REF!</definedName>
    <definedName name="______________a2" localSheetId="9">#REF!</definedName>
    <definedName name="______________a2">#REF!</definedName>
    <definedName name="_____________a2" localSheetId="10">#REF!</definedName>
    <definedName name="_____________a2" localSheetId="9">#REF!</definedName>
    <definedName name="_____________a2">#REF!</definedName>
    <definedName name="____________a2" localSheetId="10">#REF!</definedName>
    <definedName name="____________a2" localSheetId="9">#REF!</definedName>
    <definedName name="____________a2">#REF!</definedName>
    <definedName name="___________a2" localSheetId="10">#REF!</definedName>
    <definedName name="___________a2" localSheetId="9">#REF!</definedName>
    <definedName name="___________a2">#REF!</definedName>
    <definedName name="__________a2" localSheetId="10">#REF!</definedName>
    <definedName name="__________a2" localSheetId="9">#REF!</definedName>
    <definedName name="__________a2">#REF!</definedName>
    <definedName name="_________a2" localSheetId="10">#REF!</definedName>
    <definedName name="_________a2" localSheetId="9">#REF!</definedName>
    <definedName name="_________a2">#REF!</definedName>
    <definedName name="________a2" localSheetId="10">#REF!</definedName>
    <definedName name="________a2" localSheetId="9">#REF!</definedName>
    <definedName name="________a2">#REF!</definedName>
    <definedName name="_______a2" localSheetId="10">#REF!</definedName>
    <definedName name="_______a2" localSheetId="9">#REF!</definedName>
    <definedName name="_______a2">#REF!</definedName>
    <definedName name="_______A65560" localSheetId="10">[1]График!#REF!</definedName>
    <definedName name="_______A65560" localSheetId="9">[1]График!#REF!</definedName>
    <definedName name="_______A65560">[1]График!#REF!</definedName>
    <definedName name="_______E65560" localSheetId="10">[1]График!#REF!</definedName>
    <definedName name="_______E65560" localSheetId="9">[1]График!#REF!</definedName>
    <definedName name="_______E65560">[1]График!#REF!</definedName>
    <definedName name="______a2" localSheetId="10">#REF!</definedName>
    <definedName name="______a2" localSheetId="9">#REF!</definedName>
    <definedName name="______a2">#REF!</definedName>
    <definedName name="______A65560" localSheetId="10">[1]График!#REF!</definedName>
    <definedName name="______A65560" localSheetId="9">[1]График!#REF!</definedName>
    <definedName name="______A65560">[1]График!#REF!</definedName>
    <definedName name="______E65560" localSheetId="10">[1]График!#REF!</definedName>
    <definedName name="______E65560" localSheetId="9">[1]График!#REF!</definedName>
    <definedName name="______E65560">[1]График!#REF!</definedName>
    <definedName name="______xlnm.Primt_Area_3" localSheetId="10">#REF!</definedName>
    <definedName name="______xlnm.Primt_Area_3" localSheetId="9">#REF!</definedName>
    <definedName name="______xlnm.Primt_Area_3">#REF!</definedName>
    <definedName name="______xlnm.Print_Area_1" localSheetId="10">#REF!</definedName>
    <definedName name="______xlnm.Print_Area_1" localSheetId="9">#REF!</definedName>
    <definedName name="______xlnm.Print_Area_1">#REF!</definedName>
    <definedName name="______xlnm.Print_Area_2" localSheetId="10">#REF!</definedName>
    <definedName name="______xlnm.Print_Area_2" localSheetId="9">#REF!</definedName>
    <definedName name="______xlnm.Print_Area_2">#REF!</definedName>
    <definedName name="______xlnm.Print_Area_3" localSheetId="10">#REF!</definedName>
    <definedName name="______xlnm.Print_Area_3" localSheetId="9">#REF!</definedName>
    <definedName name="______xlnm.Print_Area_3">#REF!</definedName>
    <definedName name="______xlnm.Print_Area_4" localSheetId="10">#REF!</definedName>
    <definedName name="______xlnm.Print_Area_4" localSheetId="9">#REF!</definedName>
    <definedName name="______xlnm.Print_Area_4">#REF!</definedName>
    <definedName name="______xlnm.Print_Area_5" localSheetId="10">#REF!</definedName>
    <definedName name="______xlnm.Print_Area_5" localSheetId="9">#REF!</definedName>
    <definedName name="______xlnm.Print_Area_5">#REF!</definedName>
    <definedName name="______xlnm.Print_Area_6" localSheetId="10">#REF!</definedName>
    <definedName name="______xlnm.Print_Area_6" localSheetId="9">#REF!</definedName>
    <definedName name="______xlnm.Print_Area_6">#REF!</definedName>
    <definedName name="_____a2" localSheetId="10">#REF!</definedName>
    <definedName name="_____a2" localSheetId="9">#REF!</definedName>
    <definedName name="_____a2">#REF!</definedName>
    <definedName name="_____A65560" localSheetId="10">[1]График!#REF!</definedName>
    <definedName name="_____A65560" localSheetId="9">[1]График!#REF!</definedName>
    <definedName name="_____A65560">[1]График!#REF!</definedName>
    <definedName name="_____E65560" localSheetId="10">[1]График!#REF!</definedName>
    <definedName name="_____E65560" localSheetId="9">[1]График!#REF!</definedName>
    <definedName name="_____E65560">[1]График!#REF!</definedName>
    <definedName name="_____xlnm.Print_Area_1" localSheetId="10">#REF!</definedName>
    <definedName name="_____xlnm.Print_Area_1" localSheetId="9">#REF!</definedName>
    <definedName name="_____xlnm.Print_Area_1">#REF!</definedName>
    <definedName name="_____xlnm.Print_Area_2" localSheetId="10">#REF!</definedName>
    <definedName name="_____xlnm.Print_Area_2" localSheetId="9">#REF!</definedName>
    <definedName name="_____xlnm.Print_Area_2">#REF!</definedName>
    <definedName name="_____xlnm.Print_Area_3" localSheetId="10">#REF!</definedName>
    <definedName name="_____xlnm.Print_Area_3" localSheetId="9">#REF!</definedName>
    <definedName name="_____xlnm.Print_Area_3">#REF!</definedName>
    <definedName name="_____xlnm.Print_Area_4" localSheetId="10">#REF!</definedName>
    <definedName name="_____xlnm.Print_Area_4" localSheetId="9">#REF!</definedName>
    <definedName name="_____xlnm.Print_Area_4">#REF!</definedName>
    <definedName name="_____xlnm.Print_Area_5" localSheetId="10">#REF!</definedName>
    <definedName name="_____xlnm.Print_Area_5" localSheetId="9">#REF!</definedName>
    <definedName name="_____xlnm.Print_Area_5">#REF!</definedName>
    <definedName name="_____xlnm.Print_Area_6" localSheetId="10">#REF!</definedName>
    <definedName name="_____xlnm.Print_Area_6" localSheetId="9">#REF!</definedName>
    <definedName name="_____xlnm.Print_Area_6">#REF!</definedName>
    <definedName name="____a2" localSheetId="10">#REF!</definedName>
    <definedName name="____a2" localSheetId="9">#REF!</definedName>
    <definedName name="____a2">#REF!</definedName>
    <definedName name="____A65560" localSheetId="10">[1]График!#REF!</definedName>
    <definedName name="____A65560" localSheetId="9">[1]График!#REF!</definedName>
    <definedName name="____A65560">[1]График!#REF!</definedName>
    <definedName name="____E65560" localSheetId="10">[1]График!#REF!</definedName>
    <definedName name="____E65560" localSheetId="9">[1]График!#REF!</definedName>
    <definedName name="____E65560">[1]График!#REF!</definedName>
    <definedName name="____xlnm.Primt_Area_3" localSheetId="10">#REF!</definedName>
    <definedName name="____xlnm.Primt_Area_3" localSheetId="9">#REF!</definedName>
    <definedName name="____xlnm.Primt_Area_3">#REF!</definedName>
    <definedName name="____xlnm.Print_Area_1" localSheetId="10">#REF!</definedName>
    <definedName name="____xlnm.Print_Area_1" localSheetId="9">#REF!</definedName>
    <definedName name="____xlnm.Print_Area_1">#REF!</definedName>
    <definedName name="____xlnm.Print_Area_2" localSheetId="10">#REF!</definedName>
    <definedName name="____xlnm.Print_Area_2" localSheetId="9">#REF!</definedName>
    <definedName name="____xlnm.Print_Area_2">#REF!</definedName>
    <definedName name="____xlnm.Print_Area_3" localSheetId="10">#REF!</definedName>
    <definedName name="____xlnm.Print_Area_3" localSheetId="9">#REF!</definedName>
    <definedName name="____xlnm.Print_Area_3">#REF!</definedName>
    <definedName name="____xlnm.Print_Area_4" localSheetId="10">#REF!</definedName>
    <definedName name="____xlnm.Print_Area_4" localSheetId="9">#REF!</definedName>
    <definedName name="____xlnm.Print_Area_4">#REF!</definedName>
    <definedName name="____xlnm.Print_Area_5" localSheetId="10">#REF!</definedName>
    <definedName name="____xlnm.Print_Area_5" localSheetId="9">#REF!</definedName>
    <definedName name="____xlnm.Print_Area_5">#REF!</definedName>
    <definedName name="____xlnm.Print_Area_6" localSheetId="10">#REF!</definedName>
    <definedName name="____xlnm.Print_Area_6" localSheetId="9">#REF!</definedName>
    <definedName name="____xlnm.Print_Area_6">#REF!</definedName>
    <definedName name="___a2" localSheetId="10">#REF!</definedName>
    <definedName name="___a2" localSheetId="9">#REF!</definedName>
    <definedName name="___a2">#REF!</definedName>
    <definedName name="___A65560" localSheetId="10">[1]График!#REF!</definedName>
    <definedName name="___A65560" localSheetId="9">[1]График!#REF!</definedName>
    <definedName name="___A65560">[1]График!#REF!</definedName>
    <definedName name="___E65560" localSheetId="10">[1]График!#REF!</definedName>
    <definedName name="___E65560" localSheetId="9">[1]График!#REF!</definedName>
    <definedName name="___E65560">[1]График!#REF!</definedName>
    <definedName name="___xlnm.Primt_Area_3" localSheetId="10">#REF!</definedName>
    <definedName name="___xlnm.Primt_Area_3" localSheetId="9">#REF!</definedName>
    <definedName name="___xlnm.Primt_Area_3">#REF!</definedName>
    <definedName name="___xlnm.Print_Area_1" localSheetId="10">#REF!</definedName>
    <definedName name="___xlnm.Print_Area_1" localSheetId="9">#REF!</definedName>
    <definedName name="___xlnm.Print_Area_1">#REF!</definedName>
    <definedName name="___xlnm.Print_Area_2" localSheetId="10">#REF!</definedName>
    <definedName name="___xlnm.Print_Area_2" localSheetId="9">#REF!</definedName>
    <definedName name="___xlnm.Print_Area_2">#REF!</definedName>
    <definedName name="___xlnm.Print_Area_3" localSheetId="10">#REF!</definedName>
    <definedName name="___xlnm.Print_Area_3" localSheetId="9">#REF!</definedName>
    <definedName name="___xlnm.Print_Area_3">#REF!</definedName>
    <definedName name="___xlnm.Print_Area_4" localSheetId="10">#REF!</definedName>
    <definedName name="___xlnm.Print_Area_4" localSheetId="9">#REF!</definedName>
    <definedName name="___xlnm.Print_Area_4">#REF!</definedName>
    <definedName name="___xlnm.Print_Area_5" localSheetId="10">#REF!</definedName>
    <definedName name="___xlnm.Print_Area_5" localSheetId="9">#REF!</definedName>
    <definedName name="___xlnm.Print_Area_5">#REF!</definedName>
    <definedName name="___xlnm.Print_Area_6" localSheetId="10">#REF!</definedName>
    <definedName name="___xlnm.Print_Area_6" localSheetId="9">#REF!</definedName>
    <definedName name="___xlnm.Print_Area_6">#REF!</definedName>
    <definedName name="__1___Excel_BuiltIn_Print_Area_3_1" localSheetId="10">#REF!</definedName>
    <definedName name="__1___Excel_BuiltIn_Print_Area_3_1" localSheetId="9">#REF!</definedName>
    <definedName name="__1___Excel_BuiltIn_Print_Area_3_1">#REF!</definedName>
    <definedName name="__2__Excel_BuiltIn_Print_Area_3_1" localSheetId="10">#REF!</definedName>
    <definedName name="__2__Excel_BuiltIn_Print_Area_3_1" localSheetId="9">#REF!</definedName>
    <definedName name="__2__Excel_BuiltIn_Print_Area_3_1">#REF!</definedName>
    <definedName name="__a2" localSheetId="10">#REF!</definedName>
    <definedName name="__a2" localSheetId="9">#REF!</definedName>
    <definedName name="__a2">#REF!</definedName>
    <definedName name="__A65560" localSheetId="10">[1]График!#REF!</definedName>
    <definedName name="__A65560" localSheetId="9">[1]График!#REF!</definedName>
    <definedName name="__A65560">[1]График!#REF!</definedName>
    <definedName name="__E65560" localSheetId="10">[1]График!#REF!</definedName>
    <definedName name="__E65560" localSheetId="9">[1]График!#REF!</definedName>
    <definedName name="__E65560">[1]График!#REF!</definedName>
    <definedName name="__xlnm.Primt_Area_3" localSheetId="10">#REF!</definedName>
    <definedName name="__xlnm.Primt_Area_3" localSheetId="9">#REF!</definedName>
    <definedName name="__xlnm.Primt_Area_3">#REF!</definedName>
    <definedName name="__xlnm.Print_Area_1" localSheetId="10">#REF!</definedName>
    <definedName name="__xlnm.Print_Area_1" localSheetId="9">#REF!</definedName>
    <definedName name="__xlnm.Print_Area_1">#REF!</definedName>
    <definedName name="__xlnm.Print_Area_2" localSheetId="10">#REF!</definedName>
    <definedName name="__xlnm.Print_Area_2" localSheetId="9">#REF!</definedName>
    <definedName name="__xlnm.Print_Area_2">#REF!</definedName>
    <definedName name="__xlnm.Print_Area_3" localSheetId="10">#REF!</definedName>
    <definedName name="__xlnm.Print_Area_3" localSheetId="9">#REF!</definedName>
    <definedName name="__xlnm.Print_Area_3">#REF!</definedName>
    <definedName name="__xlnm.Print_Area_4" localSheetId="10">#REF!</definedName>
    <definedName name="__xlnm.Print_Area_4" localSheetId="9">#REF!</definedName>
    <definedName name="__xlnm.Print_Area_4">#REF!</definedName>
    <definedName name="__xlnm.Print_Area_5" localSheetId="10">#REF!</definedName>
    <definedName name="__xlnm.Print_Area_5" localSheetId="9">#REF!</definedName>
    <definedName name="__xlnm.Print_Area_5">#REF!</definedName>
    <definedName name="__xlnm.Print_Area_6" localSheetId="10">#REF!</definedName>
    <definedName name="__xlnm.Print_Area_6" localSheetId="9">#REF!</definedName>
    <definedName name="__xlnm.Print_Area_6">#REF!</definedName>
    <definedName name="_02121" localSheetId="10">#REF!</definedName>
    <definedName name="_02121" localSheetId="9">#REF!</definedName>
    <definedName name="_02121">#REF!</definedName>
    <definedName name="_1" localSheetId="10">#REF!</definedName>
    <definedName name="_1" localSheetId="9">#REF!</definedName>
    <definedName name="_1">#REF!</definedName>
    <definedName name="_1._Выберите_вид_работ" localSheetId="10">#REF!</definedName>
    <definedName name="_1._Выберите_вид_работ" localSheetId="9">#REF!</definedName>
    <definedName name="_1._Выберите_вид_работ">#REF!</definedName>
    <definedName name="_1___Excel_BuiltIn_Print_Area_3_1" localSheetId="10">#REF!</definedName>
    <definedName name="_1___Excel_BuiltIn_Print_Area_3_1" localSheetId="9">#REF!</definedName>
    <definedName name="_1___Excel_BuiltIn_Print_Area_3_1">#REF!</definedName>
    <definedName name="_12Excel_BuiltIn_Print_Titles_2_1_1" localSheetId="10">#REF!</definedName>
    <definedName name="_12Excel_BuiltIn_Print_Titles_2_1_1" localSheetId="9">#REF!</definedName>
    <definedName name="_12Excel_BuiltIn_Print_Titles_2_1_1">#REF!</definedName>
    <definedName name="_1Excel_BuiltIn_Print_Area_1_1_1" localSheetId="10">#REF!</definedName>
    <definedName name="_1Excel_BuiltIn_Print_Area_1_1_1" localSheetId="9">#REF!</definedName>
    <definedName name="_1Excel_BuiltIn_Print_Area_1_1_1">#REF!</definedName>
    <definedName name="_1Excel_BuiltIn_Print_Area_3_1" localSheetId="10">#REF!</definedName>
    <definedName name="_1Excel_BuiltIn_Print_Area_3_1" localSheetId="9">#REF!</definedName>
    <definedName name="_1Excel_BuiltIn_Print_Area_3_1">#REF!</definedName>
    <definedName name="_2._Выберите_категорию_горных_пород_по_буримости" localSheetId="10">#REF!</definedName>
    <definedName name="_2._Выберите_категорию_горных_пород_по_буримости" localSheetId="9">#REF!</definedName>
    <definedName name="_2._Выберите_категорию_горных_пород_по_буримости">#REF!</definedName>
    <definedName name="_2__Excel_BuiltIn_Print_Area_3_1" localSheetId="10">#REF!</definedName>
    <definedName name="_2__Excel_BuiltIn_Print_Area_3_1" localSheetId="9">#REF!</definedName>
    <definedName name="_2__Excel_BuiltIn_Print_Area_3_1">#REF!</definedName>
    <definedName name="_2Excel_BuiltIn_Print_Area_1_1_1" localSheetId="10">#REF!</definedName>
    <definedName name="_2Excel_BuiltIn_Print_Area_1_1_1" localSheetId="9">#REF!</definedName>
    <definedName name="_2Excel_BuiltIn_Print_Area_1_1_1">#REF!</definedName>
    <definedName name="_2Excel_BuiltIn_Print_Area_3_1" localSheetId="10">#REF!</definedName>
    <definedName name="_2Excel_BuiltIn_Print_Area_3_1" localSheetId="9">#REF!</definedName>
    <definedName name="_2Excel_BuiltIn_Print_Area_3_1">#REF!</definedName>
    <definedName name="_2Excel_BuiltIn_Print_Titles_1_1_1" localSheetId="10">#REF!</definedName>
    <definedName name="_2Excel_BuiltIn_Print_Titles_1_1_1" localSheetId="9">#REF!</definedName>
    <definedName name="_2Excel_BuiltIn_Print_Titles_1_1_1">#REF!</definedName>
    <definedName name="_3Excel_BuiltIn_Print_Titles_2_1_1" localSheetId="10">#REF!</definedName>
    <definedName name="_3Excel_BuiltIn_Print_Titles_2_1_1" localSheetId="9">#REF!</definedName>
    <definedName name="_3Excel_BuiltIn_Print_Titles_2_1_1">#REF!</definedName>
    <definedName name="_3а._Выберите_диаметр_скважины" localSheetId="10">#REF!</definedName>
    <definedName name="_3а._Выберите_диаметр_скважины" localSheetId="9">#REF!</definedName>
    <definedName name="_3а._Выберите_диаметр_скважины">#REF!</definedName>
    <definedName name="_3б._Выберите_диаметр_скважины" localSheetId="10">#REF!</definedName>
    <definedName name="_3б._Выберите_диаметр_скважины" localSheetId="9">#REF!</definedName>
    <definedName name="_3б._Выберите_диаметр_скважины">#REF!</definedName>
    <definedName name="_3в._Выберите_диаметр_скважины" localSheetId="10">#REF!</definedName>
    <definedName name="_3в._Выберите_диаметр_скважины" localSheetId="9">#REF!</definedName>
    <definedName name="_3в._Выберите_диаметр_скважины">#REF!</definedName>
    <definedName name="_3г._Выберите_диаметр_скважины" localSheetId="10">#REF!</definedName>
    <definedName name="_3г._Выберите_диаметр_скважины" localSheetId="9">#REF!</definedName>
    <definedName name="_3г._Выберите_диаметр_скважины">#REF!</definedName>
    <definedName name="_3д._Выберите_диаметр_скважины" localSheetId="10">#REF!</definedName>
    <definedName name="_3д._Выберите_диаметр_скважины" localSheetId="9">#REF!</definedName>
    <definedName name="_3д._Выберите_диаметр_скважины">#REF!</definedName>
    <definedName name="_3е._Выберите_диаметр_скважины" localSheetId="10">#REF!</definedName>
    <definedName name="_3е._Выберите_диаметр_скважины" localSheetId="9">#REF!</definedName>
    <definedName name="_3е._Выберите_диаметр_скважины">#REF!</definedName>
    <definedName name="_3ж._Выберите_диаметр_скважины" localSheetId="10">#REF!</definedName>
    <definedName name="_3ж._Выберите_диаметр_скважины" localSheetId="9">#REF!</definedName>
    <definedName name="_3ж._Выберите_диаметр_скважины">#REF!</definedName>
    <definedName name="_3з._Выберите_диаметр_скважины" localSheetId="10">#REF!</definedName>
    <definedName name="_3з._Выберите_диаметр_скважины" localSheetId="9">#REF!</definedName>
    <definedName name="_3з._Выберите_диаметр_скважины">#REF!</definedName>
    <definedName name="_3и._Выберите_диаметр_скважины" localSheetId="10">#REF!</definedName>
    <definedName name="_3и._Выберите_диаметр_скважины" localSheetId="9">#REF!</definedName>
    <definedName name="_3и._Выберите_диаметр_скважины">#REF!</definedName>
    <definedName name="_3к._Выберите_диаметр_скважины" localSheetId="10">#REF!</definedName>
    <definedName name="_3к._Выберите_диаметр_скважины" localSheetId="9">#REF!</definedName>
    <definedName name="_3к._Выберите_диаметр_скважины">#REF!</definedName>
    <definedName name="_3л._Выберите_диаметр_скважины" localSheetId="10">#REF!</definedName>
    <definedName name="_3л._Выберите_диаметр_скважины" localSheetId="9">#REF!</definedName>
    <definedName name="_3л._Выберите_диаметр_скважины">#REF!</definedName>
    <definedName name="_3м._Выберите_диаметр_скважины" localSheetId="10">#REF!</definedName>
    <definedName name="_3м._Выберите_диаметр_скважины" localSheetId="9">#REF!</definedName>
    <definedName name="_3м._Выберите_диаметр_скважины">#REF!</definedName>
    <definedName name="_4Excel_BuiltIn_Print_Area_1_1_1" localSheetId="10">#REF!</definedName>
    <definedName name="_4Excel_BuiltIn_Print_Area_1_1_1" localSheetId="9">#REF!</definedName>
    <definedName name="_4Excel_BuiltIn_Print_Area_1_1_1">#REF!</definedName>
    <definedName name="_4Excel_BuiltIn_Print_Titles_1_1_1" localSheetId="10">#REF!</definedName>
    <definedName name="_4Excel_BuiltIn_Print_Titles_1_1_1" localSheetId="9">#REF!</definedName>
    <definedName name="_4Excel_BuiltIn_Print_Titles_1_1_1">#REF!</definedName>
    <definedName name="_6Excel_BuiltIn_Print_Titles_2_1_1" localSheetId="10">#REF!</definedName>
    <definedName name="_6Excel_BuiltIn_Print_Titles_2_1_1" localSheetId="9">#REF!</definedName>
    <definedName name="_6Excel_BuiltIn_Print_Titles_2_1_1">#REF!</definedName>
    <definedName name="_8Excel_BuiltIn_Print_Titles_1_1_1" localSheetId="10">#REF!</definedName>
    <definedName name="_8Excel_BuiltIn_Print_Titles_1_1_1" localSheetId="9">#REF!</definedName>
    <definedName name="_8Excel_BuiltIn_Print_Titles_1_1_1">#REF!</definedName>
    <definedName name="_a2" localSheetId="10">#REF!</definedName>
    <definedName name="_a2" localSheetId="12">#REF!</definedName>
    <definedName name="_a2" localSheetId="110">#REF!</definedName>
    <definedName name="_a2" localSheetId="9">#REF!</definedName>
    <definedName name="_a2">#REF!</definedName>
    <definedName name="_A65560" localSheetId="10">[1]График!#REF!</definedName>
    <definedName name="_A65560" localSheetId="9">[1]График!#REF!</definedName>
    <definedName name="_A65560">[1]График!#REF!</definedName>
    <definedName name="_AUTOEXEC" localSheetId="10">#REF!</definedName>
    <definedName name="_AUTOEXEC" localSheetId="9">#REF!</definedName>
    <definedName name="_AUTOEXEC">#REF!</definedName>
    <definedName name="_AUTOEXEC_1" localSheetId="10">#REF!</definedName>
    <definedName name="_AUTOEXEC_1" localSheetId="9">#REF!</definedName>
    <definedName name="_AUTOEXEC_1">#REF!</definedName>
    <definedName name="_AUTOEXEC_1_1" localSheetId="10">[2]Смета!#REF!</definedName>
    <definedName name="_AUTOEXEC_1_1" localSheetId="9">[2]Смета!#REF!</definedName>
    <definedName name="_AUTOEXEC_1_1">[2]Смета!#REF!</definedName>
    <definedName name="_AUTOEXEC_2" localSheetId="10">#REF!</definedName>
    <definedName name="_AUTOEXEC_2" localSheetId="9">#REF!</definedName>
    <definedName name="_AUTOEXEC_2">#REF!</definedName>
    <definedName name="_E65560" localSheetId="10">[1]График!#REF!</definedName>
    <definedName name="_E65560" localSheetId="9">[1]График!#REF!</definedName>
    <definedName name="_E65560">[1]График!#REF!</definedName>
    <definedName name="_k" localSheetId="10">#REF!</definedName>
    <definedName name="_k" localSheetId="9">#REF!</definedName>
    <definedName name="_k" localSheetId="7">#REF!</definedName>
    <definedName name="_k">#REF!</definedName>
    <definedName name="_k_1" localSheetId="10">#REF!</definedName>
    <definedName name="_k_1" localSheetId="9">#REF!</definedName>
    <definedName name="_k_1">#REF!</definedName>
    <definedName name="_k_1_1" localSheetId="10">[2]Смета!#REF!</definedName>
    <definedName name="_k_1_1" localSheetId="9">[2]Смета!#REF!</definedName>
    <definedName name="_k_1_1">[2]Смета!#REF!</definedName>
    <definedName name="_k_2" localSheetId="10">#REF!</definedName>
    <definedName name="_k_2" localSheetId="9">#REF!</definedName>
    <definedName name="_k_2">#REF!</definedName>
    <definedName name="_m" localSheetId="10">#REF!</definedName>
    <definedName name="_m" localSheetId="9">#REF!</definedName>
    <definedName name="_m" localSheetId="7">#REF!</definedName>
    <definedName name="_m">#REF!</definedName>
    <definedName name="_m_1" localSheetId="10">#REF!</definedName>
    <definedName name="_m_1" localSheetId="9">#REF!</definedName>
    <definedName name="_m_1">#REF!</definedName>
    <definedName name="_m_1_1" localSheetId="10">[2]Смета!#REF!</definedName>
    <definedName name="_m_1_1" localSheetId="9">[2]Смета!#REF!</definedName>
    <definedName name="_m_1_1">[2]Смета!#REF!</definedName>
    <definedName name="_m_2" localSheetId="10">#REF!</definedName>
    <definedName name="_m_2" localSheetId="9">#REF!</definedName>
    <definedName name="_m_2">#REF!</definedName>
    <definedName name="_s" localSheetId="10">#REF!</definedName>
    <definedName name="_s" localSheetId="9">#REF!</definedName>
    <definedName name="_s" localSheetId="7">#REF!</definedName>
    <definedName name="_s">#REF!</definedName>
    <definedName name="_s_1" localSheetId="10">#REF!</definedName>
    <definedName name="_s_1" localSheetId="9">#REF!</definedName>
    <definedName name="_s_1">#REF!</definedName>
    <definedName name="_s_1_1" localSheetId="10">[2]Смета!#REF!</definedName>
    <definedName name="_s_1_1" localSheetId="9">[2]Смета!#REF!</definedName>
    <definedName name="_s_1_1">[2]Смета!#REF!</definedName>
    <definedName name="_s_2" localSheetId="10">#REF!</definedName>
    <definedName name="_s_2" localSheetId="9">#REF!</definedName>
    <definedName name="_s_2">#REF!</definedName>
    <definedName name="_z" localSheetId="10">#REF!</definedName>
    <definedName name="_z" localSheetId="9">#REF!</definedName>
    <definedName name="_z" localSheetId="7">#REF!</definedName>
    <definedName name="_z">#REF!</definedName>
    <definedName name="_z_1" localSheetId="10">#REF!</definedName>
    <definedName name="_z_1" localSheetId="9">#REF!</definedName>
    <definedName name="_z_1">#REF!</definedName>
    <definedName name="_z_1_1" localSheetId="10">[2]Смета!#REF!</definedName>
    <definedName name="_z_1_1" localSheetId="9">[2]Смета!#REF!</definedName>
    <definedName name="_z_1_1">[2]Смета!#REF!</definedName>
    <definedName name="_z_2" localSheetId="10">#REF!</definedName>
    <definedName name="_z_2" localSheetId="9">#REF!</definedName>
    <definedName name="_z_2">#REF!</definedName>
    <definedName name="_Восемь">'[3]Таблица 4 АСУТП'!$B$84:$B$86</definedName>
    <definedName name="_два_1">'[3]Таблица 4 АСУТП'!$B$16:$B$23</definedName>
    <definedName name="_два_2">'[3]Таблица 4 АСУТП'!$B$24:$B$25</definedName>
    <definedName name="_Девять">'[3]Таблица 4 АСУТП'!$B$90:$B$92</definedName>
    <definedName name="_пять">'[3]Таблица 4 АСУТП'!$B$42:$B$47</definedName>
    <definedName name="_Раз">'[3]Таблица 4 АСУТП'!$B$8:$B$14</definedName>
    <definedName name="_семь_1">'[3]Таблица 4 АСУТП'!$B$66:$B$79</definedName>
    <definedName name="_семь_2">'[3]Таблица 4 АСУТП'!$B$80:$B$81</definedName>
    <definedName name="_три">'[3]Таблица 4 АСУТП'!$B$27:$B$31</definedName>
    <definedName name="_xlnm._FilterDatabase" localSheetId="10" hidden="1">#REF!</definedName>
    <definedName name="_xlnm._FilterDatabase" localSheetId="9" hidden="1">#REF!</definedName>
    <definedName name="_xlnm._FilterDatabase" hidden="1">#REF!</definedName>
    <definedName name="_четыре">'[3]Таблица 4 АСУТП'!$B$33:$B$40</definedName>
    <definedName name="_шесть_1">'[3]Таблица 4 АСУТП'!$B$49:$B$62</definedName>
    <definedName name="_шесть_2">'[3]Таблица 4 АСУТП'!$B$63:$B$64</definedName>
    <definedName name="a" localSheetId="10">#REF!</definedName>
    <definedName name="a" localSheetId="12" hidden="1">{#N/A,#N/A,TRUE,"Смета на пасс. обор. №1"}</definedName>
    <definedName name="a" localSheetId="111" hidden="1">{#N/A,#N/A,TRUE,"Смета на пасс. обор. №1"}</definedName>
    <definedName name="a" localSheetId="112" hidden="1">{#N/A,#N/A,TRUE,"Смета на пасс. обор. №1"}</definedName>
    <definedName name="a" localSheetId="113" hidden="1">{#N/A,#N/A,TRUE,"Смета на пасс. обор. №1"}</definedName>
    <definedName name="a" localSheetId="114" hidden="1">{#N/A,#N/A,TRUE,"Смета на пасс. обор. №1"}</definedName>
    <definedName name="a" localSheetId="115" hidden="1">{#N/A,#N/A,TRUE,"Смета на пасс. обор. №1"}</definedName>
    <definedName name="a" localSheetId="116" hidden="1">{#N/A,#N/A,TRUE,"Смета на пасс. обор. №1"}</definedName>
    <definedName name="a" localSheetId="117" hidden="1">{#N/A,#N/A,TRUE,"Смета на пасс. обор. №1"}</definedName>
    <definedName name="a" localSheetId="118" hidden="1">{#N/A,#N/A,TRUE,"Смета на пасс. обор. №1"}</definedName>
    <definedName name="a" localSheetId="121" hidden="1">{#N/A,#N/A,TRUE,"Смета на пасс. обор. №1"}</definedName>
    <definedName name="a" localSheetId="122" hidden="1">{#N/A,#N/A,TRUE,"Смета на пасс. обор. №1"}</definedName>
    <definedName name="a" localSheetId="8">#REF!</definedName>
    <definedName name="a" localSheetId="11">#REF!</definedName>
    <definedName name="a" localSheetId="110" hidden="1">{#N/A,#N/A,TRUE,"Смета на пасс. обор. №1"}</definedName>
    <definedName name="a" localSheetId="109" hidden="1">{#N/A,#N/A,TRUE,"Смета на пасс. обор. №1"}</definedName>
    <definedName name="a" localSheetId="108" hidden="1">{#N/A,#N/A,TRUE,"Смета на пасс. обор. №1"}</definedName>
    <definedName name="a" localSheetId="6">#REF!</definedName>
    <definedName name="a" localSheetId="9">#REF!</definedName>
    <definedName name="a" localSheetId="7" hidden="1">{#N/A,#N/A,TRUE,"Смета на пасс. обор. №1"}</definedName>
    <definedName name="a" localSheetId="92" hidden="1">{#N/A,#N/A,TRUE,"Смета на пасс. обор. №1"}</definedName>
    <definedName name="a" localSheetId="93" hidden="1">{#N/A,#N/A,TRUE,"Смета на пасс. обор. №1"}</definedName>
    <definedName name="a" localSheetId="94" hidden="1">{#N/A,#N/A,TRUE,"Смета на пасс. обор. №1"}</definedName>
    <definedName name="a" localSheetId="99" hidden="1">{#N/A,#N/A,TRUE,"Смета на пасс. обор. №1"}</definedName>
    <definedName name="a" localSheetId="100" hidden="1">{#N/A,#N/A,TRUE,"Смета на пасс. обор. №1"}</definedName>
    <definedName name="a" localSheetId="106" hidden="1">{#N/A,#N/A,TRUE,"Смета на пасс. обор. №1"}</definedName>
    <definedName name="a" localSheetId="2" hidden="1">{#N/A,#N/A,TRUE,"Смета на пасс. обор. №1"}</definedName>
    <definedName name="a" localSheetId="123" hidden="1">{#N/A,#N/A,TRUE,"Смета на пасс. обор. №1"}</definedName>
    <definedName name="a" localSheetId="4" hidden="1">{#N/A,#N/A,TRUE,"Смета на пасс. обор. №1"}</definedName>
    <definedName name="a" localSheetId="13" hidden="1">{#N/A,#N/A,TRUE,"Смета на пасс. обор. №1"}</definedName>
    <definedName name="a" hidden="1">{#N/A,#N/A,TRUE,"Смета на пасс. обор. №1"}</definedName>
    <definedName name="a_1" localSheetId="10" hidden="1">{#N/A,#N/A,TRUE,"Смета на пасс. обор. №1"}</definedName>
    <definedName name="a_1" localSheetId="12" hidden="1">{#N/A,#N/A,TRUE,"Смета на пасс. обор. №1"}</definedName>
    <definedName name="a_1" localSheetId="111" hidden="1">{#N/A,#N/A,TRUE,"Смета на пасс. обор. №1"}</definedName>
    <definedName name="a_1" localSheetId="112" hidden="1">{#N/A,#N/A,TRUE,"Смета на пасс. обор. №1"}</definedName>
    <definedName name="a_1" localSheetId="113" hidden="1">{#N/A,#N/A,TRUE,"Смета на пасс. обор. №1"}</definedName>
    <definedName name="a_1" localSheetId="114" hidden="1">{#N/A,#N/A,TRUE,"Смета на пасс. обор. №1"}</definedName>
    <definedName name="a_1" localSheetId="115" hidden="1">{#N/A,#N/A,TRUE,"Смета на пасс. обор. №1"}</definedName>
    <definedName name="a_1" localSheetId="116" hidden="1">{#N/A,#N/A,TRUE,"Смета на пасс. обор. №1"}</definedName>
    <definedName name="a_1" localSheetId="117" hidden="1">{#N/A,#N/A,TRUE,"Смета на пасс. обор. №1"}</definedName>
    <definedName name="a_1" localSheetId="118" hidden="1">{#N/A,#N/A,TRUE,"Смета на пасс. обор. №1"}</definedName>
    <definedName name="a_1" localSheetId="121" hidden="1">{#N/A,#N/A,TRUE,"Смета на пасс. обор. №1"}</definedName>
    <definedName name="a_1" localSheetId="122" hidden="1">{#N/A,#N/A,TRUE,"Смета на пасс. обор. №1"}</definedName>
    <definedName name="a_1" localSheetId="8" hidden="1">{#N/A,#N/A,TRUE,"Смета на пасс. обор. №1"}</definedName>
    <definedName name="a_1" localSheetId="11" hidden="1">{#N/A,#N/A,TRUE,"Смета на пасс. обор. №1"}</definedName>
    <definedName name="a_1" localSheetId="110" hidden="1">{#N/A,#N/A,TRUE,"Смета на пасс. обор. №1"}</definedName>
    <definedName name="a_1" localSheetId="109" hidden="1">{#N/A,#N/A,TRUE,"Смета на пасс. обор. №1"}</definedName>
    <definedName name="a_1" localSheetId="108" hidden="1">{#N/A,#N/A,TRUE,"Смета на пасс. обор. №1"}</definedName>
    <definedName name="a_1" localSheetId="6" hidden="1">{#N/A,#N/A,TRUE,"Смета на пасс. обор. №1"}</definedName>
    <definedName name="a_1" localSheetId="9" hidden="1">{#N/A,#N/A,TRUE,"Смета на пасс. обор. №1"}</definedName>
    <definedName name="a_1" localSheetId="7" hidden="1">{#N/A,#N/A,TRUE,"Смета на пасс. обор. №1"}</definedName>
    <definedName name="a_1" localSheetId="92" hidden="1">{#N/A,#N/A,TRUE,"Смета на пасс. обор. №1"}</definedName>
    <definedName name="a_1" localSheetId="93" hidden="1">{#N/A,#N/A,TRUE,"Смета на пасс. обор. №1"}</definedName>
    <definedName name="a_1" localSheetId="94" hidden="1">{#N/A,#N/A,TRUE,"Смета на пасс. обор. №1"}</definedName>
    <definedName name="a_1" localSheetId="99" hidden="1">{#N/A,#N/A,TRUE,"Смета на пасс. обор. №1"}</definedName>
    <definedName name="a_1" localSheetId="100" hidden="1">{#N/A,#N/A,TRUE,"Смета на пасс. обор. №1"}</definedName>
    <definedName name="a_1" localSheetId="106" hidden="1">{#N/A,#N/A,TRUE,"Смета на пасс. обор. №1"}</definedName>
    <definedName name="a_1" localSheetId="2" hidden="1">{#N/A,#N/A,TRUE,"Смета на пасс. обор. №1"}</definedName>
    <definedName name="a_1" localSheetId="123" hidden="1">{#N/A,#N/A,TRUE,"Смета на пасс. обор. №1"}</definedName>
    <definedName name="a_1" localSheetId="4" hidden="1">{#N/A,#N/A,TRUE,"Смета на пасс. обор. №1"}</definedName>
    <definedName name="a_1" localSheetId="13" hidden="1">{#N/A,#N/A,TRUE,"Смета на пасс. обор. №1"}</definedName>
    <definedName name="a_1" hidden="1">{#N/A,#N/A,TRUE,"Смета на пасс. обор. №1"}</definedName>
    <definedName name="aaa" localSheetId="10">#REF!</definedName>
    <definedName name="aaa" localSheetId="9">#REF!</definedName>
    <definedName name="aaa">#REF!</definedName>
    <definedName name="ab" localSheetId="10">#REF!</definedName>
    <definedName name="ab" localSheetId="9">#REF!</definedName>
    <definedName name="ab">#REF!</definedName>
    <definedName name="adadsasd" localSheetId="10">[4]топография!#REF!</definedName>
    <definedName name="adadsasd" localSheetId="9">[4]топография!#REF!</definedName>
    <definedName name="adadsasd">[4]топография!#REF!</definedName>
    <definedName name="AnDiscount">0.945</definedName>
    <definedName name="as" localSheetId="10">#REF!</definedName>
    <definedName name="as" localSheetId="12">#REF!</definedName>
    <definedName name="as" localSheetId="116">#REF!</definedName>
    <definedName name="as" localSheetId="8">#REF!</definedName>
    <definedName name="as" localSheetId="11">#REF!</definedName>
    <definedName name="as" localSheetId="110">#REF!</definedName>
    <definedName name="as" localSheetId="109">#REF!</definedName>
    <definedName name="as" localSheetId="108">#REF!</definedName>
    <definedName name="as" localSheetId="6">#REF!</definedName>
    <definedName name="as" localSheetId="9">#REF!</definedName>
    <definedName name="as" localSheetId="7">#REF!</definedName>
    <definedName name="as" localSheetId="92">#REF!</definedName>
    <definedName name="as" localSheetId="93">#REF!</definedName>
    <definedName name="as" localSheetId="94">#REF!</definedName>
    <definedName name="as" localSheetId="99">#REF!</definedName>
    <definedName name="as" localSheetId="100">#REF!</definedName>
    <definedName name="as" localSheetId="106">#REF!</definedName>
    <definedName name="as">#REF!</definedName>
    <definedName name="asd" localSheetId="10">#REF!</definedName>
    <definedName name="asd" localSheetId="12">#REF!</definedName>
    <definedName name="asd" localSheetId="116">#REF!</definedName>
    <definedName name="asd" localSheetId="8">#REF!</definedName>
    <definedName name="asd" localSheetId="11">#REF!</definedName>
    <definedName name="asd" localSheetId="110">#REF!</definedName>
    <definedName name="asd" localSheetId="6">#REF!</definedName>
    <definedName name="asd" localSheetId="9">#REF!</definedName>
    <definedName name="asd" localSheetId="7">#REF!</definedName>
    <definedName name="asd" localSheetId="92">#REF!</definedName>
    <definedName name="asd" localSheetId="93">#REF!</definedName>
    <definedName name="asd" localSheetId="94">#REF!</definedName>
    <definedName name="asd" localSheetId="99">#REF!</definedName>
    <definedName name="asd" localSheetId="100">#REF!</definedName>
    <definedName name="asd" localSheetId="106">#REF!</definedName>
    <definedName name="asd">#REF!</definedName>
    <definedName name="ave_height" localSheetId="10">#REF!</definedName>
    <definedName name="ave_height" localSheetId="12">#REF!</definedName>
    <definedName name="ave_height" localSheetId="110">#REF!</definedName>
    <definedName name="ave_height" localSheetId="9">#REF!</definedName>
    <definedName name="ave_height" localSheetId="92">#REF!</definedName>
    <definedName name="ave_height" localSheetId="93">#REF!</definedName>
    <definedName name="ave_height" localSheetId="94">#REF!</definedName>
    <definedName name="ave_height" localSheetId="99">#REF!</definedName>
    <definedName name="ave_height" localSheetId="100">#REF!</definedName>
    <definedName name="ave_height" localSheetId="106">#REF!</definedName>
    <definedName name="ave_height">#REF!</definedName>
    <definedName name="ave_hight" localSheetId="10">#REF!</definedName>
    <definedName name="ave_hight" localSheetId="12">#REF!</definedName>
    <definedName name="ave_hight" localSheetId="110">#REF!</definedName>
    <definedName name="ave_hight" localSheetId="9">#REF!</definedName>
    <definedName name="ave_hight">#REF!</definedName>
    <definedName name="b" localSheetId="10">#REF!</definedName>
    <definedName name="b" localSheetId="12" hidden="1">{#N/A,#N/A,TRUE,"Смета на пасс. обор. №1"}</definedName>
    <definedName name="b" localSheetId="111" hidden="1">{#N/A,#N/A,TRUE,"Смета на пасс. обор. №1"}</definedName>
    <definedName name="b" localSheetId="112" hidden="1">{#N/A,#N/A,TRUE,"Смета на пасс. обор. №1"}</definedName>
    <definedName name="b" localSheetId="113" hidden="1">{#N/A,#N/A,TRUE,"Смета на пасс. обор. №1"}</definedName>
    <definedName name="b" localSheetId="114" hidden="1">{#N/A,#N/A,TRUE,"Смета на пасс. обор. №1"}</definedName>
    <definedName name="b" localSheetId="115" hidden="1">{#N/A,#N/A,TRUE,"Смета на пасс. обор. №1"}</definedName>
    <definedName name="b" localSheetId="116" hidden="1">{#N/A,#N/A,TRUE,"Смета на пасс. обор. №1"}</definedName>
    <definedName name="b" localSheetId="117" hidden="1">{#N/A,#N/A,TRUE,"Смета на пасс. обор. №1"}</definedName>
    <definedName name="b" localSheetId="118" hidden="1">{#N/A,#N/A,TRUE,"Смета на пасс. обор. №1"}</definedName>
    <definedName name="b" localSheetId="121" hidden="1">{#N/A,#N/A,TRUE,"Смета на пасс. обор. №1"}</definedName>
    <definedName name="b" localSheetId="122" hidden="1">{#N/A,#N/A,TRUE,"Смета на пасс. обор. №1"}</definedName>
    <definedName name="b" localSheetId="8">#REF!</definedName>
    <definedName name="b" localSheetId="11">#REF!</definedName>
    <definedName name="b" localSheetId="110" hidden="1">{#N/A,#N/A,TRUE,"Смета на пасс. обор. №1"}</definedName>
    <definedName name="b" localSheetId="109" hidden="1">{#N/A,#N/A,TRUE,"Смета на пасс. обор. №1"}</definedName>
    <definedName name="b" localSheetId="108" hidden="1">{#N/A,#N/A,TRUE,"Смета на пасс. обор. №1"}</definedName>
    <definedName name="b" localSheetId="6">#REF!</definedName>
    <definedName name="b" localSheetId="9">#REF!</definedName>
    <definedName name="b" localSheetId="7" hidden="1">{#N/A,#N/A,TRUE,"Смета на пасс. обор. №1"}</definedName>
    <definedName name="b" localSheetId="92" hidden="1">{#N/A,#N/A,TRUE,"Смета на пасс. обор. №1"}</definedName>
    <definedName name="b" localSheetId="93" hidden="1">{#N/A,#N/A,TRUE,"Смета на пасс. обор. №1"}</definedName>
    <definedName name="b" localSheetId="94" hidden="1">{#N/A,#N/A,TRUE,"Смета на пасс. обор. №1"}</definedName>
    <definedName name="b" localSheetId="99" hidden="1">{#N/A,#N/A,TRUE,"Смета на пасс. обор. №1"}</definedName>
    <definedName name="b" localSheetId="100" hidden="1">{#N/A,#N/A,TRUE,"Смета на пасс. обор. №1"}</definedName>
    <definedName name="b" localSheetId="106" hidden="1">{#N/A,#N/A,TRUE,"Смета на пасс. обор. №1"}</definedName>
    <definedName name="b" localSheetId="2" hidden="1">{#N/A,#N/A,TRUE,"Смета на пасс. обор. №1"}</definedName>
    <definedName name="b" localSheetId="123" hidden="1">{#N/A,#N/A,TRUE,"Смета на пасс. обор. №1"}</definedName>
    <definedName name="b" localSheetId="4" hidden="1">{#N/A,#N/A,TRUE,"Смета на пасс. обор. №1"}</definedName>
    <definedName name="b" localSheetId="13" hidden="1">{#N/A,#N/A,TRUE,"Смета на пасс. обор. №1"}</definedName>
    <definedName name="b" hidden="1">{#N/A,#N/A,TRUE,"Смета на пасс. обор. №1"}</definedName>
    <definedName name="b_1" localSheetId="10" hidden="1">{#N/A,#N/A,TRUE,"Смета на пасс. обор. №1"}</definedName>
    <definedName name="b_1" localSheetId="12" hidden="1">{#N/A,#N/A,TRUE,"Смета на пасс. обор. №1"}</definedName>
    <definedName name="b_1" localSheetId="111" hidden="1">{#N/A,#N/A,TRUE,"Смета на пасс. обор. №1"}</definedName>
    <definedName name="b_1" localSheetId="112" hidden="1">{#N/A,#N/A,TRUE,"Смета на пасс. обор. №1"}</definedName>
    <definedName name="b_1" localSheetId="113" hidden="1">{#N/A,#N/A,TRUE,"Смета на пасс. обор. №1"}</definedName>
    <definedName name="b_1" localSheetId="114" hidden="1">{#N/A,#N/A,TRUE,"Смета на пасс. обор. №1"}</definedName>
    <definedName name="b_1" localSheetId="115" hidden="1">{#N/A,#N/A,TRUE,"Смета на пасс. обор. №1"}</definedName>
    <definedName name="b_1" localSheetId="116" hidden="1">{#N/A,#N/A,TRUE,"Смета на пасс. обор. №1"}</definedName>
    <definedName name="b_1" localSheetId="117" hidden="1">{#N/A,#N/A,TRUE,"Смета на пасс. обор. №1"}</definedName>
    <definedName name="b_1" localSheetId="118" hidden="1">{#N/A,#N/A,TRUE,"Смета на пасс. обор. №1"}</definedName>
    <definedName name="b_1" localSheetId="121" hidden="1">{#N/A,#N/A,TRUE,"Смета на пасс. обор. №1"}</definedName>
    <definedName name="b_1" localSheetId="122" hidden="1">{#N/A,#N/A,TRUE,"Смета на пасс. обор. №1"}</definedName>
    <definedName name="b_1" localSheetId="8" hidden="1">{#N/A,#N/A,TRUE,"Смета на пасс. обор. №1"}</definedName>
    <definedName name="b_1" localSheetId="11" hidden="1">{#N/A,#N/A,TRUE,"Смета на пасс. обор. №1"}</definedName>
    <definedName name="b_1" localSheetId="110" hidden="1">{#N/A,#N/A,TRUE,"Смета на пасс. обор. №1"}</definedName>
    <definedName name="b_1" localSheetId="109" hidden="1">{#N/A,#N/A,TRUE,"Смета на пасс. обор. №1"}</definedName>
    <definedName name="b_1" localSheetId="108" hidden="1">{#N/A,#N/A,TRUE,"Смета на пасс. обор. №1"}</definedName>
    <definedName name="b_1" localSheetId="6" hidden="1">{#N/A,#N/A,TRUE,"Смета на пасс. обор. №1"}</definedName>
    <definedName name="b_1" localSheetId="9" hidden="1">{#N/A,#N/A,TRUE,"Смета на пасс. обор. №1"}</definedName>
    <definedName name="b_1" localSheetId="7" hidden="1">{#N/A,#N/A,TRUE,"Смета на пасс. обор. №1"}</definedName>
    <definedName name="b_1" localSheetId="92" hidden="1">{#N/A,#N/A,TRUE,"Смета на пасс. обор. №1"}</definedName>
    <definedName name="b_1" localSheetId="93" hidden="1">{#N/A,#N/A,TRUE,"Смета на пасс. обор. №1"}</definedName>
    <definedName name="b_1" localSheetId="94" hidden="1">{#N/A,#N/A,TRUE,"Смета на пасс. обор. №1"}</definedName>
    <definedName name="b_1" localSheetId="99" hidden="1">{#N/A,#N/A,TRUE,"Смета на пасс. обор. №1"}</definedName>
    <definedName name="b_1" localSheetId="100" hidden="1">{#N/A,#N/A,TRUE,"Смета на пасс. обор. №1"}</definedName>
    <definedName name="b_1" localSheetId="106" hidden="1">{#N/A,#N/A,TRUE,"Смета на пасс. обор. №1"}</definedName>
    <definedName name="b_1" localSheetId="2" hidden="1">{#N/A,#N/A,TRUE,"Смета на пасс. обор. №1"}</definedName>
    <definedName name="b_1" localSheetId="123" hidden="1">{#N/A,#N/A,TRUE,"Смета на пасс. обор. №1"}</definedName>
    <definedName name="b_1" localSheetId="4" hidden="1">{#N/A,#N/A,TRUE,"Смета на пасс. обор. №1"}</definedName>
    <definedName name="b_1" localSheetId="13" hidden="1">{#N/A,#N/A,TRUE,"Смета на пасс. обор. №1"}</definedName>
    <definedName name="b_1" hidden="1">{#N/A,#N/A,TRUE,"Смета на пасс. обор. №1"}</definedName>
    <definedName name="ba" localSheetId="10" hidden="1">{#N/A,#N/A,TRUE,"Смета на пасс. обор. №1"}</definedName>
    <definedName name="ba" localSheetId="12" hidden="1">{#N/A,#N/A,TRUE,"Смета на пасс. обор. №1"}</definedName>
    <definedName name="ba" localSheetId="111" hidden="1">{#N/A,#N/A,TRUE,"Смета на пасс. обор. №1"}</definedName>
    <definedName name="ba" localSheetId="112" hidden="1">{#N/A,#N/A,TRUE,"Смета на пасс. обор. №1"}</definedName>
    <definedName name="ba" localSheetId="113" hidden="1">{#N/A,#N/A,TRUE,"Смета на пасс. обор. №1"}</definedName>
    <definedName name="ba" localSheetId="114" hidden="1">{#N/A,#N/A,TRUE,"Смета на пасс. обор. №1"}</definedName>
    <definedName name="ba" localSheetId="115" hidden="1">{#N/A,#N/A,TRUE,"Смета на пасс. обор. №1"}</definedName>
    <definedName name="ba" localSheetId="116" hidden="1">{#N/A,#N/A,TRUE,"Смета на пасс. обор. №1"}</definedName>
    <definedName name="ba" localSheetId="117" hidden="1">{#N/A,#N/A,TRUE,"Смета на пасс. обор. №1"}</definedName>
    <definedName name="ba" localSheetId="118" hidden="1">{#N/A,#N/A,TRUE,"Смета на пасс. обор. №1"}</definedName>
    <definedName name="ba" localSheetId="121" hidden="1">{#N/A,#N/A,TRUE,"Смета на пасс. обор. №1"}</definedName>
    <definedName name="ba" localSheetId="122" hidden="1">{#N/A,#N/A,TRUE,"Смета на пасс. обор. №1"}</definedName>
    <definedName name="ba" localSheetId="8" hidden="1">{#N/A,#N/A,TRUE,"Смета на пасс. обор. №1"}</definedName>
    <definedName name="ba" localSheetId="11" hidden="1">{#N/A,#N/A,TRUE,"Смета на пасс. обор. №1"}</definedName>
    <definedName name="ba" localSheetId="110" hidden="1">{#N/A,#N/A,TRUE,"Смета на пасс. обор. №1"}</definedName>
    <definedName name="ba" localSheetId="109" hidden="1">{#N/A,#N/A,TRUE,"Смета на пасс. обор. №1"}</definedName>
    <definedName name="ba" localSheetId="108" hidden="1">{#N/A,#N/A,TRUE,"Смета на пасс. обор. №1"}</definedName>
    <definedName name="ba" localSheetId="6" hidden="1">{#N/A,#N/A,TRUE,"Смета на пасс. обор. №1"}</definedName>
    <definedName name="ba" localSheetId="9" hidden="1">{#N/A,#N/A,TRUE,"Смета на пасс. обор. №1"}</definedName>
    <definedName name="ba" localSheetId="7" hidden="1">{#N/A,#N/A,TRUE,"Смета на пасс. обор. №1"}</definedName>
    <definedName name="ba" localSheetId="92" hidden="1">{#N/A,#N/A,TRUE,"Смета на пасс. обор. №1"}</definedName>
    <definedName name="ba" localSheetId="93" hidden="1">{#N/A,#N/A,TRUE,"Смета на пасс. обор. №1"}</definedName>
    <definedName name="ba" localSheetId="94" hidden="1">{#N/A,#N/A,TRUE,"Смета на пасс. обор. №1"}</definedName>
    <definedName name="ba" localSheetId="99" hidden="1">{#N/A,#N/A,TRUE,"Смета на пасс. обор. №1"}</definedName>
    <definedName name="ba" localSheetId="100" hidden="1">{#N/A,#N/A,TRUE,"Смета на пасс. обор. №1"}</definedName>
    <definedName name="ba" localSheetId="106" hidden="1">{#N/A,#N/A,TRUE,"Смета на пасс. обор. №1"}</definedName>
    <definedName name="ba" localSheetId="2" hidden="1">{#N/A,#N/A,TRUE,"Смета на пасс. обор. №1"}</definedName>
    <definedName name="ba" localSheetId="123" hidden="1">{#N/A,#N/A,TRUE,"Смета на пасс. обор. №1"}</definedName>
    <definedName name="ba" localSheetId="4" hidden="1">{#N/A,#N/A,TRUE,"Смета на пасс. обор. №1"}</definedName>
    <definedName name="ba" localSheetId="13" hidden="1">{#N/A,#N/A,TRUE,"Смета на пасс. обор. №1"}</definedName>
    <definedName name="ba" hidden="1">{#N/A,#N/A,TRUE,"Смета на пасс. обор. №1"}</definedName>
    <definedName name="ba_1" localSheetId="10" hidden="1">{#N/A,#N/A,TRUE,"Смета на пасс. обор. №1"}</definedName>
    <definedName name="ba_1" localSheetId="12" hidden="1">{#N/A,#N/A,TRUE,"Смета на пасс. обор. №1"}</definedName>
    <definedName name="ba_1" localSheetId="111" hidden="1">{#N/A,#N/A,TRUE,"Смета на пасс. обор. №1"}</definedName>
    <definedName name="ba_1" localSheetId="112" hidden="1">{#N/A,#N/A,TRUE,"Смета на пасс. обор. №1"}</definedName>
    <definedName name="ba_1" localSheetId="113" hidden="1">{#N/A,#N/A,TRUE,"Смета на пасс. обор. №1"}</definedName>
    <definedName name="ba_1" localSheetId="114" hidden="1">{#N/A,#N/A,TRUE,"Смета на пасс. обор. №1"}</definedName>
    <definedName name="ba_1" localSheetId="115" hidden="1">{#N/A,#N/A,TRUE,"Смета на пасс. обор. №1"}</definedName>
    <definedName name="ba_1" localSheetId="116" hidden="1">{#N/A,#N/A,TRUE,"Смета на пасс. обор. №1"}</definedName>
    <definedName name="ba_1" localSheetId="117" hidden="1">{#N/A,#N/A,TRUE,"Смета на пасс. обор. №1"}</definedName>
    <definedName name="ba_1" localSheetId="118" hidden="1">{#N/A,#N/A,TRUE,"Смета на пасс. обор. №1"}</definedName>
    <definedName name="ba_1" localSheetId="121" hidden="1">{#N/A,#N/A,TRUE,"Смета на пасс. обор. №1"}</definedName>
    <definedName name="ba_1" localSheetId="122" hidden="1">{#N/A,#N/A,TRUE,"Смета на пасс. обор. №1"}</definedName>
    <definedName name="ba_1" localSheetId="8" hidden="1">{#N/A,#N/A,TRUE,"Смета на пасс. обор. №1"}</definedName>
    <definedName name="ba_1" localSheetId="11" hidden="1">{#N/A,#N/A,TRUE,"Смета на пасс. обор. №1"}</definedName>
    <definedName name="ba_1" localSheetId="110" hidden="1">{#N/A,#N/A,TRUE,"Смета на пасс. обор. №1"}</definedName>
    <definedName name="ba_1" localSheetId="109" hidden="1">{#N/A,#N/A,TRUE,"Смета на пасс. обор. №1"}</definedName>
    <definedName name="ba_1" localSheetId="108" hidden="1">{#N/A,#N/A,TRUE,"Смета на пасс. обор. №1"}</definedName>
    <definedName name="ba_1" localSheetId="6" hidden="1">{#N/A,#N/A,TRUE,"Смета на пасс. обор. №1"}</definedName>
    <definedName name="ba_1" localSheetId="9" hidden="1">{#N/A,#N/A,TRUE,"Смета на пасс. обор. №1"}</definedName>
    <definedName name="ba_1" localSheetId="7" hidden="1">{#N/A,#N/A,TRUE,"Смета на пасс. обор. №1"}</definedName>
    <definedName name="ba_1" localSheetId="92" hidden="1">{#N/A,#N/A,TRUE,"Смета на пасс. обор. №1"}</definedName>
    <definedName name="ba_1" localSheetId="93" hidden="1">{#N/A,#N/A,TRUE,"Смета на пасс. обор. №1"}</definedName>
    <definedName name="ba_1" localSheetId="94" hidden="1">{#N/A,#N/A,TRUE,"Смета на пасс. обор. №1"}</definedName>
    <definedName name="ba_1" localSheetId="99" hidden="1">{#N/A,#N/A,TRUE,"Смета на пасс. обор. №1"}</definedName>
    <definedName name="ba_1" localSheetId="100" hidden="1">{#N/A,#N/A,TRUE,"Смета на пасс. обор. №1"}</definedName>
    <definedName name="ba_1" localSheetId="106" hidden="1">{#N/A,#N/A,TRUE,"Смета на пасс. обор. №1"}</definedName>
    <definedName name="ba_1" localSheetId="2" hidden="1">{#N/A,#N/A,TRUE,"Смета на пасс. обор. №1"}</definedName>
    <definedName name="ba_1" localSheetId="123" hidden="1">{#N/A,#N/A,TRUE,"Смета на пасс. обор. №1"}</definedName>
    <definedName name="ba_1" localSheetId="4" hidden="1">{#N/A,#N/A,TRUE,"Смета на пасс. обор. №1"}</definedName>
    <definedName name="ba_1" localSheetId="13" hidden="1">{#N/A,#N/A,TRUE,"Смета на пасс. обор. №1"}</definedName>
    <definedName name="ba_1" hidden="1">{#N/A,#N/A,TRUE,"Смета на пасс. обор. №1"}</definedName>
    <definedName name="bhk" localSheetId="10">[5]топография!#REF!</definedName>
    <definedName name="bhk" localSheetId="9">[5]топография!#REF!</definedName>
    <definedName name="bhk">[5]топография!#REF!</definedName>
    <definedName name="bjbkl" localSheetId="10">[6]топография!#REF!</definedName>
    <definedName name="bjbkl" localSheetId="12">[7]топография!#REF!</definedName>
    <definedName name="bjbkl" localSheetId="8">[6]топография!#REF!</definedName>
    <definedName name="bjbkl" localSheetId="11">[6]топография!#REF!</definedName>
    <definedName name="bjbkl" localSheetId="110">[7]топография!#REF!</definedName>
    <definedName name="bjbkl" localSheetId="6">[6]топография!#REF!</definedName>
    <definedName name="bjbkl" localSheetId="9">[6]топография!#REF!</definedName>
    <definedName name="bjbkl" localSheetId="7">[6]топография!#REF!</definedName>
    <definedName name="bjbkl">[7]топография!#REF!</definedName>
    <definedName name="CC_fSF" localSheetId="10">#REF!</definedName>
    <definedName name="CC_fSF" localSheetId="9">#REF!</definedName>
    <definedName name="CC_fSF">#REF!</definedName>
    <definedName name="ccc" localSheetId="10" hidden="1">{#N/A,#N/A,TRUE,"Смета на пасс. обор. №1"}</definedName>
    <definedName name="ccc" localSheetId="12" hidden="1">{#N/A,#N/A,TRUE,"Смета на пасс. обор. №1"}</definedName>
    <definedName name="ccc" localSheetId="111" hidden="1">{#N/A,#N/A,TRUE,"Смета на пасс. обор. №1"}</definedName>
    <definedName name="ccc" localSheetId="112" hidden="1">{#N/A,#N/A,TRUE,"Смета на пасс. обор. №1"}</definedName>
    <definedName name="ccc" localSheetId="113" hidden="1">{#N/A,#N/A,TRUE,"Смета на пасс. обор. №1"}</definedName>
    <definedName name="ccc" localSheetId="114" hidden="1">{#N/A,#N/A,TRUE,"Смета на пасс. обор. №1"}</definedName>
    <definedName name="ccc" localSheetId="115" hidden="1">{#N/A,#N/A,TRUE,"Смета на пасс. обор. №1"}</definedName>
    <definedName name="ccc" localSheetId="116" hidden="1">{#N/A,#N/A,TRUE,"Смета на пасс. обор. №1"}</definedName>
    <definedName name="ccc" localSheetId="117" hidden="1">{#N/A,#N/A,TRUE,"Смета на пасс. обор. №1"}</definedName>
    <definedName name="ccc" localSheetId="118" hidden="1">{#N/A,#N/A,TRUE,"Смета на пасс. обор. №1"}</definedName>
    <definedName name="ccc" localSheetId="121" hidden="1">{#N/A,#N/A,TRUE,"Смета на пасс. обор. №1"}</definedName>
    <definedName name="ccc" localSheetId="122" hidden="1">{#N/A,#N/A,TRUE,"Смета на пасс. обор. №1"}</definedName>
    <definedName name="ccc" localSheetId="8" hidden="1">{#N/A,#N/A,TRUE,"Смета на пасс. обор. №1"}</definedName>
    <definedName name="ccc" localSheetId="11" hidden="1">{#N/A,#N/A,TRUE,"Смета на пасс. обор. №1"}</definedName>
    <definedName name="ccc" localSheetId="110" hidden="1">{#N/A,#N/A,TRUE,"Смета на пасс. обор. №1"}</definedName>
    <definedName name="ccc" localSheetId="109" hidden="1">{#N/A,#N/A,TRUE,"Смета на пасс. обор. №1"}</definedName>
    <definedName name="ccc" localSheetId="108" hidden="1">{#N/A,#N/A,TRUE,"Смета на пасс. обор. №1"}</definedName>
    <definedName name="ccc" localSheetId="6" hidden="1">{#N/A,#N/A,TRUE,"Смета на пасс. обор. №1"}</definedName>
    <definedName name="ccc" localSheetId="9" hidden="1">{#N/A,#N/A,TRUE,"Смета на пасс. обор. №1"}</definedName>
    <definedName name="ccc" localSheetId="7" hidden="1">{#N/A,#N/A,TRUE,"Смета на пасс. обор. №1"}</definedName>
    <definedName name="ccc" localSheetId="92" hidden="1">{#N/A,#N/A,TRUE,"Смета на пасс. обор. №1"}</definedName>
    <definedName name="ccc" localSheetId="93" hidden="1">{#N/A,#N/A,TRUE,"Смета на пасс. обор. №1"}</definedName>
    <definedName name="ccc" localSheetId="94" hidden="1">{#N/A,#N/A,TRUE,"Смета на пасс. обор. №1"}</definedName>
    <definedName name="ccc" localSheetId="99" hidden="1">{#N/A,#N/A,TRUE,"Смета на пасс. обор. №1"}</definedName>
    <definedName name="ccc" localSheetId="100" hidden="1">{#N/A,#N/A,TRUE,"Смета на пасс. обор. №1"}</definedName>
    <definedName name="ccc" localSheetId="106" hidden="1">{#N/A,#N/A,TRUE,"Смета на пасс. обор. №1"}</definedName>
    <definedName name="ccc" localSheetId="2" hidden="1">{#N/A,#N/A,TRUE,"Смета на пасс. обор. №1"}</definedName>
    <definedName name="ccc" localSheetId="123" hidden="1">{#N/A,#N/A,TRUE,"Смета на пасс. обор. №1"}</definedName>
    <definedName name="ccc" localSheetId="4" hidden="1">{#N/A,#N/A,TRUE,"Смета на пасс. обор. №1"}</definedName>
    <definedName name="ccc" localSheetId="13" hidden="1">{#N/A,#N/A,TRUE,"Смета на пасс. обор. №1"}</definedName>
    <definedName name="ccc" hidden="1">{#N/A,#N/A,TRUE,"Смета на пасс. обор. №1"}</definedName>
    <definedName name="ccc_1" localSheetId="10" hidden="1">{#N/A,#N/A,TRUE,"Смета на пасс. обор. №1"}</definedName>
    <definedName name="ccc_1" localSheetId="12" hidden="1">{#N/A,#N/A,TRUE,"Смета на пасс. обор. №1"}</definedName>
    <definedName name="ccc_1" localSheetId="111" hidden="1">{#N/A,#N/A,TRUE,"Смета на пасс. обор. №1"}</definedName>
    <definedName name="ccc_1" localSheetId="112" hidden="1">{#N/A,#N/A,TRUE,"Смета на пасс. обор. №1"}</definedName>
    <definedName name="ccc_1" localSheetId="113" hidden="1">{#N/A,#N/A,TRUE,"Смета на пасс. обор. №1"}</definedName>
    <definedName name="ccc_1" localSheetId="114" hidden="1">{#N/A,#N/A,TRUE,"Смета на пасс. обор. №1"}</definedName>
    <definedName name="ccc_1" localSheetId="115" hidden="1">{#N/A,#N/A,TRUE,"Смета на пасс. обор. №1"}</definedName>
    <definedName name="ccc_1" localSheetId="116" hidden="1">{#N/A,#N/A,TRUE,"Смета на пасс. обор. №1"}</definedName>
    <definedName name="ccc_1" localSheetId="117" hidden="1">{#N/A,#N/A,TRUE,"Смета на пасс. обор. №1"}</definedName>
    <definedName name="ccc_1" localSheetId="118" hidden="1">{#N/A,#N/A,TRUE,"Смета на пасс. обор. №1"}</definedName>
    <definedName name="ccc_1" localSheetId="121" hidden="1">{#N/A,#N/A,TRUE,"Смета на пасс. обор. №1"}</definedName>
    <definedName name="ccc_1" localSheetId="122" hidden="1">{#N/A,#N/A,TRUE,"Смета на пасс. обор. №1"}</definedName>
    <definedName name="ccc_1" localSheetId="8" hidden="1">{#N/A,#N/A,TRUE,"Смета на пасс. обор. №1"}</definedName>
    <definedName name="ccc_1" localSheetId="11" hidden="1">{#N/A,#N/A,TRUE,"Смета на пасс. обор. №1"}</definedName>
    <definedName name="ccc_1" localSheetId="110" hidden="1">{#N/A,#N/A,TRUE,"Смета на пасс. обор. №1"}</definedName>
    <definedName name="ccc_1" localSheetId="109" hidden="1">{#N/A,#N/A,TRUE,"Смета на пасс. обор. №1"}</definedName>
    <definedName name="ccc_1" localSheetId="108" hidden="1">{#N/A,#N/A,TRUE,"Смета на пасс. обор. №1"}</definedName>
    <definedName name="ccc_1" localSheetId="6" hidden="1">{#N/A,#N/A,TRUE,"Смета на пасс. обор. №1"}</definedName>
    <definedName name="ccc_1" localSheetId="9" hidden="1">{#N/A,#N/A,TRUE,"Смета на пасс. обор. №1"}</definedName>
    <definedName name="ccc_1" localSheetId="7" hidden="1">{#N/A,#N/A,TRUE,"Смета на пасс. обор. №1"}</definedName>
    <definedName name="ccc_1" localSheetId="92" hidden="1">{#N/A,#N/A,TRUE,"Смета на пасс. обор. №1"}</definedName>
    <definedName name="ccc_1" localSheetId="93" hidden="1">{#N/A,#N/A,TRUE,"Смета на пасс. обор. №1"}</definedName>
    <definedName name="ccc_1" localSheetId="94" hidden="1">{#N/A,#N/A,TRUE,"Смета на пасс. обор. №1"}</definedName>
    <definedName name="ccc_1" localSheetId="99" hidden="1">{#N/A,#N/A,TRUE,"Смета на пасс. обор. №1"}</definedName>
    <definedName name="ccc_1" localSheetId="100" hidden="1">{#N/A,#N/A,TRUE,"Смета на пасс. обор. №1"}</definedName>
    <definedName name="ccc_1" localSheetId="106" hidden="1">{#N/A,#N/A,TRUE,"Смета на пасс. обор. №1"}</definedName>
    <definedName name="ccc_1" localSheetId="2" hidden="1">{#N/A,#N/A,TRUE,"Смета на пасс. обор. №1"}</definedName>
    <definedName name="ccc_1" localSheetId="123" hidden="1">{#N/A,#N/A,TRUE,"Смета на пасс. обор. №1"}</definedName>
    <definedName name="ccc_1" localSheetId="4" hidden="1">{#N/A,#N/A,TRUE,"Смета на пасс. обор. №1"}</definedName>
    <definedName name="ccc_1" localSheetId="13" hidden="1">{#N/A,#N/A,TRUE,"Смета на пасс. обор. №1"}</definedName>
    <definedName name="ccc_1" hidden="1">{#N/A,#N/A,TRUE,"Смета на пасс. обор. №1"}</definedName>
    <definedName name="CnfName" localSheetId="10">[8]Лист1!#REF!</definedName>
    <definedName name="CnfName" localSheetId="9">[8]Лист1!#REF!</definedName>
    <definedName name="CnfName">[8]Лист1!#REF!</definedName>
    <definedName name="CnfName_1" localSheetId="10">[9]Обновление!#REF!</definedName>
    <definedName name="CnfName_1" localSheetId="9">[9]Обновление!#REF!</definedName>
    <definedName name="CnfName_1">[9]Обновление!#REF!</definedName>
    <definedName name="cntNumber" localSheetId="10">'[10]Счет-Фактура'!#REF!</definedName>
    <definedName name="cntNumber" localSheetId="9">'[10]Счет-Фактура'!#REF!</definedName>
    <definedName name="cntNumber">'[10]Счет-Фактура'!#REF!</definedName>
    <definedName name="cntPayerCountCor" localSheetId="10">'[10]Счет-Фактура'!#REF!</definedName>
    <definedName name="cntPayerCountCor" localSheetId="9">'[10]Счет-Фактура'!#REF!</definedName>
    <definedName name="cntPayerCountCor">'[10]Счет-Фактура'!#REF!</definedName>
    <definedName name="cntQnt" localSheetId="10">'[10]Счет-Фактура'!#REF!</definedName>
    <definedName name="cntQnt" localSheetId="9">'[10]Счет-Фактура'!#REF!</definedName>
    <definedName name="cntQnt">'[10]Счет-Фактура'!#REF!</definedName>
    <definedName name="cntSuppAddr2" localSheetId="10">'[10]Счет-Фактура'!#REF!</definedName>
    <definedName name="cntSuppAddr2" localSheetId="9">'[10]Счет-Фактура'!#REF!</definedName>
    <definedName name="cntSuppAddr2">'[10]Счет-Фактура'!#REF!</definedName>
    <definedName name="cntSuppMFO1" localSheetId="10">'[10]Счет-Фактура'!#REF!</definedName>
    <definedName name="cntSuppMFO1" localSheetId="9">'[10]Счет-Фактура'!#REF!</definedName>
    <definedName name="cntSuppMFO1">'[10]Счет-Фактура'!#REF!</definedName>
    <definedName name="cntUnit" localSheetId="10">'[10]Счет-Фактура'!#REF!</definedName>
    <definedName name="cntUnit" localSheetId="9">'[10]Счет-Фактура'!#REF!</definedName>
    <definedName name="cntUnit">'[10]Счет-Фактура'!#REF!</definedName>
    <definedName name="ConfName" localSheetId="10">[8]Лист1!#REF!</definedName>
    <definedName name="ConfName" localSheetId="9">[8]Лист1!#REF!</definedName>
    <definedName name="ConfName">[8]Лист1!#REF!</definedName>
    <definedName name="ConfName_1" localSheetId="10">[9]Обновление!#REF!</definedName>
    <definedName name="ConfName_1" localSheetId="9">[9]Обновление!#REF!</definedName>
    <definedName name="ConfName_1">[9]Обновление!#REF!</definedName>
    <definedName name="Currency_Risk_Factor">1.05</definedName>
    <definedName name="d" localSheetId="10">#REF!</definedName>
    <definedName name="d" localSheetId="9">#REF!</definedName>
    <definedName name="d">#REF!</definedName>
    <definedName name="Database" localSheetId="10">#REF!</definedName>
    <definedName name="Database" localSheetId="9">#REF!</definedName>
    <definedName name="Database">#REF!</definedName>
    <definedName name="DateColJournal" localSheetId="10">#REF!</definedName>
    <definedName name="DateColJournal" localSheetId="9">#REF!</definedName>
    <definedName name="DateColJournal">#REF!</definedName>
    <definedName name="Dc" localSheetId="10">[11]Lucent!#REF!</definedName>
    <definedName name="Dc" localSheetId="12">[11]Lucent!#REF!</definedName>
    <definedName name="Dc" localSheetId="111">[11]Lucent!#REF!</definedName>
    <definedName name="Dc" localSheetId="112">[11]Lucent!#REF!</definedName>
    <definedName name="Dc" localSheetId="113">[11]Lucent!#REF!</definedName>
    <definedName name="Dc" localSheetId="114">[11]Lucent!#REF!</definedName>
    <definedName name="Dc" localSheetId="115">[11]Lucent!#REF!</definedName>
    <definedName name="Dc" localSheetId="116">[11]Lucent!#REF!</definedName>
    <definedName name="Dc" localSheetId="117">[11]Lucent!#REF!</definedName>
    <definedName name="Dc" localSheetId="118">[11]Lucent!#REF!</definedName>
    <definedName name="Dc" localSheetId="121">[11]Lucent!#REF!</definedName>
    <definedName name="Dc" localSheetId="122">[11]Lucent!#REF!</definedName>
    <definedName name="Dc" localSheetId="8">[11]Lucent!#REF!</definedName>
    <definedName name="Dc" localSheetId="11">[11]Lucent!#REF!</definedName>
    <definedName name="Dc" localSheetId="110">[11]Lucent!#REF!</definedName>
    <definedName name="Dc" localSheetId="109">[11]Lucent!#REF!</definedName>
    <definedName name="Dc" localSheetId="108">[11]Lucent!#REF!</definedName>
    <definedName name="Dc" localSheetId="6">[11]Lucent!#REF!</definedName>
    <definedName name="Dc" localSheetId="9">[11]Lucent!#REF!</definedName>
    <definedName name="Dc" localSheetId="7">[11]Lucent!#REF!</definedName>
    <definedName name="Dc" localSheetId="92">[11]Lucent!#REF!</definedName>
    <definedName name="Dc" localSheetId="93">[11]Lucent!#REF!</definedName>
    <definedName name="Dc" localSheetId="94">[11]Lucent!#REF!</definedName>
    <definedName name="Dc" localSheetId="99">[11]Lucent!#REF!</definedName>
    <definedName name="Dc" localSheetId="100">[11]Lucent!#REF!</definedName>
    <definedName name="Dc" localSheetId="106">[11]Lucent!#REF!</definedName>
    <definedName name="Dc">[11]Lucent!#REF!</definedName>
    <definedName name="dck" localSheetId="10">[12]топография!#REF!</definedName>
    <definedName name="dck" localSheetId="12">[7]топография!#REF!</definedName>
    <definedName name="dck" localSheetId="115">[7]топография!#REF!</definedName>
    <definedName name="dck" localSheetId="116">[7]топография!#REF!</definedName>
    <definedName name="dck" localSheetId="8">[12]топография!#REF!</definedName>
    <definedName name="dck" localSheetId="11">[12]топография!#REF!</definedName>
    <definedName name="dck" localSheetId="110">[7]топография!#REF!</definedName>
    <definedName name="dck" localSheetId="109">[7]топография!#REF!</definedName>
    <definedName name="dck" localSheetId="108">[7]топография!#REF!</definedName>
    <definedName name="dck" localSheetId="6">[12]топография!#REF!</definedName>
    <definedName name="dck" localSheetId="9">[12]топография!#REF!</definedName>
    <definedName name="dck" localSheetId="7">[13]топография!#REF!</definedName>
    <definedName name="dck" localSheetId="92">[7]топография!#REF!</definedName>
    <definedName name="dck" localSheetId="93">[7]топография!#REF!</definedName>
    <definedName name="dck" localSheetId="94">[7]топография!#REF!</definedName>
    <definedName name="dck" localSheetId="99">[7]топография!#REF!</definedName>
    <definedName name="dck" localSheetId="100">[7]топография!#REF!</definedName>
    <definedName name="dck" localSheetId="106">[7]топография!#REF!</definedName>
    <definedName name="dck">[7]топография!#REF!</definedName>
    <definedName name="dck_1" localSheetId="10">[14]топография!#REF!</definedName>
    <definedName name="dck_1" localSheetId="9">[14]топография!#REF!</definedName>
    <definedName name="dck_1">[14]топография!#REF!</definedName>
    <definedName name="ddduy" localSheetId="10">#REF!</definedName>
    <definedName name="ddduy" localSheetId="12">#REF!</definedName>
    <definedName name="ddduy" localSheetId="116">#REF!</definedName>
    <definedName name="ddduy" localSheetId="8">#REF!</definedName>
    <definedName name="ddduy" localSheetId="11">#REF!</definedName>
    <definedName name="ddduy" localSheetId="110">#REF!</definedName>
    <definedName name="ddduy" localSheetId="109">#REF!</definedName>
    <definedName name="ddduy" localSheetId="108">#REF!</definedName>
    <definedName name="ddduy" localSheetId="6">#REF!</definedName>
    <definedName name="ddduy" localSheetId="9">#REF!</definedName>
    <definedName name="ddduy" localSheetId="7">#REF!</definedName>
    <definedName name="ddduy" localSheetId="92">#REF!</definedName>
    <definedName name="ddduy" localSheetId="93">#REF!</definedName>
    <definedName name="ddduy" localSheetId="94">#REF!</definedName>
    <definedName name="ddduy" localSheetId="99">#REF!</definedName>
    <definedName name="ddduy" localSheetId="100">#REF!</definedName>
    <definedName name="ddduy" localSheetId="106">#REF!</definedName>
    <definedName name="ddduy">#REF!</definedName>
    <definedName name="Delivery">1.15</definedName>
    <definedName name="deviation1" localSheetId="10">#REF!</definedName>
    <definedName name="deviation1" localSheetId="9">#REF!</definedName>
    <definedName name="deviation1">#REF!</definedName>
    <definedName name="df" localSheetId="10">#REF!</definedName>
    <definedName name="df" localSheetId="12">#REF!</definedName>
    <definedName name="df" localSheetId="112">#REF!</definedName>
    <definedName name="df" localSheetId="113">#REF!</definedName>
    <definedName name="df" localSheetId="115">#REF!</definedName>
    <definedName name="df" localSheetId="116">#REF!</definedName>
    <definedName name="df" localSheetId="8">#REF!</definedName>
    <definedName name="df" localSheetId="11">#REF!</definedName>
    <definedName name="df" localSheetId="110">#REF!</definedName>
    <definedName name="df" localSheetId="6">#REF!</definedName>
    <definedName name="df" localSheetId="9">#REF!</definedName>
    <definedName name="df" localSheetId="7">#REF!</definedName>
    <definedName name="df" localSheetId="92">#REF!</definedName>
    <definedName name="df" localSheetId="93">#REF!</definedName>
    <definedName name="df" localSheetId="94">#REF!</definedName>
    <definedName name="df" localSheetId="99">#REF!</definedName>
    <definedName name="df" localSheetId="100">#REF!</definedName>
    <definedName name="df" localSheetId="106">#REF!</definedName>
    <definedName name="df">#REF!</definedName>
    <definedName name="dfff" localSheetId="10">[7]топография!#REF!</definedName>
    <definedName name="dfff" localSheetId="9">[7]топография!#REF!</definedName>
    <definedName name="dfff">[7]топография!#REF!</definedName>
    <definedName name="Disc_Tbl" localSheetId="10">#REF!</definedName>
    <definedName name="Disc_Tbl" localSheetId="12">#REF!</definedName>
    <definedName name="Disc_Tbl" localSheetId="116">#REF!</definedName>
    <definedName name="Disc_Tbl" localSheetId="8">#REF!</definedName>
    <definedName name="Disc_Tbl" localSheetId="11">#REF!</definedName>
    <definedName name="Disc_Tbl" localSheetId="110">#REF!</definedName>
    <definedName name="Disc_Tbl" localSheetId="6">#REF!</definedName>
    <definedName name="Disc_Tbl" localSheetId="9">#REF!</definedName>
    <definedName name="Disc_Tbl" localSheetId="7">#REF!</definedName>
    <definedName name="Disc_Tbl" localSheetId="92">#REF!</definedName>
    <definedName name="Disc_Tbl" localSheetId="93">#REF!</definedName>
    <definedName name="Disc_Tbl" localSheetId="94">#REF!</definedName>
    <definedName name="Disc_Tbl" localSheetId="99">#REF!</definedName>
    <definedName name="Disc_Tbl" localSheetId="100">#REF!</definedName>
    <definedName name="Disc_Tbl" localSheetId="106">#REF!</definedName>
    <definedName name="Disc_Tbl">#REF!</definedName>
    <definedName name="DiscontRate" localSheetId="10">#REF!</definedName>
    <definedName name="DiscontRate" localSheetId="9">#REF!</definedName>
    <definedName name="DiscontRate">#REF!</definedName>
    <definedName name="Dl" localSheetId="10">[11]Lucent!#REF!</definedName>
    <definedName name="Dl" localSheetId="12">[11]Lucent!#REF!</definedName>
    <definedName name="Dl" localSheetId="116">[11]Lucent!#REF!</definedName>
    <definedName name="Dl" localSheetId="8">[11]Lucent!#REF!</definedName>
    <definedName name="Dl" localSheetId="11">[11]Lucent!#REF!</definedName>
    <definedName name="Dl" localSheetId="110">[11]Lucent!#REF!</definedName>
    <definedName name="Dl" localSheetId="6">[11]Lucent!#REF!</definedName>
    <definedName name="Dl" localSheetId="9">[11]Lucent!#REF!</definedName>
    <definedName name="Dl" localSheetId="7">[11]Lucent!#REF!</definedName>
    <definedName name="Dl" localSheetId="92">[11]Lucent!#REF!</definedName>
    <definedName name="Dl" localSheetId="93">[11]Lucent!#REF!</definedName>
    <definedName name="Dl" localSheetId="94">[11]Lucent!#REF!</definedName>
    <definedName name="Dl" localSheetId="99">[11]Lucent!#REF!</definedName>
    <definedName name="Dl" localSheetId="100">[11]Lucent!#REF!</definedName>
    <definedName name="Dl" localSheetId="106">[11]Lucent!#REF!</definedName>
    <definedName name="Dl">[11]Lucent!#REF!</definedName>
    <definedName name="DM" localSheetId="10">#REF!</definedName>
    <definedName name="DM" localSheetId="9">#REF!</definedName>
    <definedName name="DM">#REF!</definedName>
    <definedName name="Dsc_Vector" localSheetId="10">#REF!</definedName>
    <definedName name="Dsc_Vector" localSheetId="12">#REF!</definedName>
    <definedName name="Dsc_Vector" localSheetId="116">#REF!</definedName>
    <definedName name="Dsc_Vector" localSheetId="8">#REF!</definedName>
    <definedName name="Dsc_Vector" localSheetId="11">#REF!</definedName>
    <definedName name="Dsc_Vector" localSheetId="110">#REF!</definedName>
    <definedName name="Dsc_Vector" localSheetId="109">#REF!</definedName>
    <definedName name="Dsc_Vector" localSheetId="108">#REF!</definedName>
    <definedName name="Dsc_Vector" localSheetId="6">#REF!</definedName>
    <definedName name="Dsc_Vector" localSheetId="9">#REF!</definedName>
    <definedName name="Dsc_Vector" localSheetId="7">#REF!</definedName>
    <definedName name="Dsc_Vector" localSheetId="92">#REF!</definedName>
    <definedName name="Dsc_Vector" localSheetId="93">#REF!</definedName>
    <definedName name="Dsc_Vector" localSheetId="94">#REF!</definedName>
    <definedName name="Dsc_Vector" localSheetId="99">#REF!</definedName>
    <definedName name="Dsc_Vector" localSheetId="100">#REF!</definedName>
    <definedName name="Dsc_Vector" localSheetId="106">#REF!</definedName>
    <definedName name="Dsc_Vector">#REF!</definedName>
    <definedName name="e" localSheetId="10" hidden="1">{#N/A,#N/A,TRUE,"Смета на пасс. обор. №1"}</definedName>
    <definedName name="e" localSheetId="12" hidden="1">{#N/A,#N/A,TRUE,"Смета на пасс. обор. №1"}</definedName>
    <definedName name="e" localSheetId="111" hidden="1">{#N/A,#N/A,TRUE,"Смета на пасс. обор. №1"}</definedName>
    <definedName name="e" localSheetId="112" hidden="1">{#N/A,#N/A,TRUE,"Смета на пасс. обор. №1"}</definedName>
    <definedName name="e" localSheetId="113" hidden="1">{#N/A,#N/A,TRUE,"Смета на пасс. обор. №1"}</definedName>
    <definedName name="e" localSheetId="114" hidden="1">{#N/A,#N/A,TRUE,"Смета на пасс. обор. №1"}</definedName>
    <definedName name="e" localSheetId="115" hidden="1">{#N/A,#N/A,TRUE,"Смета на пасс. обор. №1"}</definedName>
    <definedName name="e" localSheetId="116" hidden="1">{#N/A,#N/A,TRUE,"Смета на пасс. обор. №1"}</definedName>
    <definedName name="e" localSheetId="117" hidden="1">{#N/A,#N/A,TRUE,"Смета на пасс. обор. №1"}</definedName>
    <definedName name="e" localSheetId="118" hidden="1">{#N/A,#N/A,TRUE,"Смета на пасс. обор. №1"}</definedName>
    <definedName name="e" localSheetId="121" hidden="1">{#N/A,#N/A,TRUE,"Смета на пасс. обор. №1"}</definedName>
    <definedName name="e" localSheetId="122" hidden="1">{#N/A,#N/A,TRUE,"Смета на пасс. обор. №1"}</definedName>
    <definedName name="e" localSheetId="8" hidden="1">{#N/A,#N/A,TRUE,"Смета на пасс. обор. №1"}</definedName>
    <definedName name="e" localSheetId="11" hidden="1">{#N/A,#N/A,TRUE,"Смета на пасс. обор. №1"}</definedName>
    <definedName name="e" localSheetId="110" hidden="1">{#N/A,#N/A,TRUE,"Смета на пасс. обор. №1"}</definedName>
    <definedName name="e" localSheetId="109" hidden="1">{#N/A,#N/A,TRUE,"Смета на пасс. обор. №1"}</definedName>
    <definedName name="e" localSheetId="108" hidden="1">{#N/A,#N/A,TRUE,"Смета на пасс. обор. №1"}</definedName>
    <definedName name="e" localSheetId="6" hidden="1">{#N/A,#N/A,TRUE,"Смета на пасс. обор. №1"}</definedName>
    <definedName name="e" localSheetId="9" hidden="1">{#N/A,#N/A,TRUE,"Смета на пасс. обор. №1"}</definedName>
    <definedName name="e" localSheetId="7" hidden="1">{#N/A,#N/A,TRUE,"Смета на пасс. обор. №1"}</definedName>
    <definedName name="e" localSheetId="92" hidden="1">{#N/A,#N/A,TRUE,"Смета на пасс. обор. №1"}</definedName>
    <definedName name="e" localSheetId="93" hidden="1">{#N/A,#N/A,TRUE,"Смета на пасс. обор. №1"}</definedName>
    <definedName name="e" localSheetId="94" hidden="1">{#N/A,#N/A,TRUE,"Смета на пасс. обор. №1"}</definedName>
    <definedName name="e" localSheetId="99" hidden="1">{#N/A,#N/A,TRUE,"Смета на пасс. обор. №1"}</definedName>
    <definedName name="e" localSheetId="100" hidden="1">{#N/A,#N/A,TRUE,"Смета на пасс. обор. №1"}</definedName>
    <definedName name="e" localSheetId="106" hidden="1">{#N/A,#N/A,TRUE,"Смета на пасс. обор. №1"}</definedName>
    <definedName name="e" localSheetId="2" hidden="1">{#N/A,#N/A,TRUE,"Смета на пасс. обор. №1"}</definedName>
    <definedName name="e" localSheetId="123" hidden="1">{#N/A,#N/A,TRUE,"Смета на пасс. обор. №1"}</definedName>
    <definedName name="e" localSheetId="4" hidden="1">{#N/A,#N/A,TRUE,"Смета на пасс. обор. №1"}</definedName>
    <definedName name="e" localSheetId="13" hidden="1">{#N/A,#N/A,TRUE,"Смета на пасс. обор. №1"}</definedName>
    <definedName name="e" hidden="1">{#N/A,#N/A,TRUE,"Смета на пасс. обор. №1"}</definedName>
    <definedName name="e_1" localSheetId="10" hidden="1">{#N/A,#N/A,TRUE,"Смета на пасс. обор. №1"}</definedName>
    <definedName name="e_1" localSheetId="12" hidden="1">{#N/A,#N/A,TRUE,"Смета на пасс. обор. №1"}</definedName>
    <definedName name="e_1" localSheetId="111" hidden="1">{#N/A,#N/A,TRUE,"Смета на пасс. обор. №1"}</definedName>
    <definedName name="e_1" localSheetId="112" hidden="1">{#N/A,#N/A,TRUE,"Смета на пасс. обор. №1"}</definedName>
    <definedName name="e_1" localSheetId="113" hidden="1">{#N/A,#N/A,TRUE,"Смета на пасс. обор. №1"}</definedName>
    <definedName name="e_1" localSheetId="114" hidden="1">{#N/A,#N/A,TRUE,"Смета на пасс. обор. №1"}</definedName>
    <definedName name="e_1" localSheetId="115" hidden="1">{#N/A,#N/A,TRUE,"Смета на пасс. обор. №1"}</definedName>
    <definedName name="e_1" localSheetId="116" hidden="1">{#N/A,#N/A,TRUE,"Смета на пасс. обор. №1"}</definedName>
    <definedName name="e_1" localSheetId="117" hidden="1">{#N/A,#N/A,TRUE,"Смета на пасс. обор. №1"}</definedName>
    <definedName name="e_1" localSheetId="118" hidden="1">{#N/A,#N/A,TRUE,"Смета на пасс. обор. №1"}</definedName>
    <definedName name="e_1" localSheetId="121" hidden="1">{#N/A,#N/A,TRUE,"Смета на пасс. обор. №1"}</definedName>
    <definedName name="e_1" localSheetId="122" hidden="1">{#N/A,#N/A,TRUE,"Смета на пасс. обор. №1"}</definedName>
    <definedName name="e_1" localSheetId="8" hidden="1">{#N/A,#N/A,TRUE,"Смета на пасс. обор. №1"}</definedName>
    <definedName name="e_1" localSheetId="11" hidden="1">{#N/A,#N/A,TRUE,"Смета на пасс. обор. №1"}</definedName>
    <definedName name="e_1" localSheetId="110" hidden="1">{#N/A,#N/A,TRUE,"Смета на пасс. обор. №1"}</definedName>
    <definedName name="e_1" localSheetId="109" hidden="1">{#N/A,#N/A,TRUE,"Смета на пасс. обор. №1"}</definedName>
    <definedName name="e_1" localSheetId="108" hidden="1">{#N/A,#N/A,TRUE,"Смета на пасс. обор. №1"}</definedName>
    <definedName name="e_1" localSheetId="6" hidden="1">{#N/A,#N/A,TRUE,"Смета на пасс. обор. №1"}</definedName>
    <definedName name="e_1" localSheetId="9" hidden="1">{#N/A,#N/A,TRUE,"Смета на пасс. обор. №1"}</definedName>
    <definedName name="e_1" localSheetId="7" hidden="1">{#N/A,#N/A,TRUE,"Смета на пасс. обор. №1"}</definedName>
    <definedName name="e_1" localSheetId="92" hidden="1">{#N/A,#N/A,TRUE,"Смета на пасс. обор. №1"}</definedName>
    <definedName name="e_1" localSheetId="93" hidden="1">{#N/A,#N/A,TRUE,"Смета на пасс. обор. №1"}</definedName>
    <definedName name="e_1" localSheetId="94" hidden="1">{#N/A,#N/A,TRUE,"Смета на пасс. обор. №1"}</definedName>
    <definedName name="e_1" localSheetId="99" hidden="1">{#N/A,#N/A,TRUE,"Смета на пасс. обор. №1"}</definedName>
    <definedName name="e_1" localSheetId="100" hidden="1">{#N/A,#N/A,TRUE,"Смета на пасс. обор. №1"}</definedName>
    <definedName name="e_1" localSheetId="106" hidden="1">{#N/A,#N/A,TRUE,"Смета на пасс. обор. №1"}</definedName>
    <definedName name="e_1" localSheetId="2" hidden="1">{#N/A,#N/A,TRUE,"Смета на пасс. обор. №1"}</definedName>
    <definedName name="e_1" localSheetId="123" hidden="1">{#N/A,#N/A,TRUE,"Смета на пасс. обор. №1"}</definedName>
    <definedName name="e_1" localSheetId="4" hidden="1">{#N/A,#N/A,TRUE,"Смета на пасс. обор. №1"}</definedName>
    <definedName name="e_1" localSheetId="13" hidden="1">{#N/A,#N/A,TRUE,"Смета на пасс. обор. №1"}</definedName>
    <definedName name="e_1" hidden="1">{#N/A,#N/A,TRUE,"Смета на пасс. обор. №1"}</definedName>
    <definedName name="EILName" localSheetId="10">[8]Лист1!#REF!</definedName>
    <definedName name="EILName" localSheetId="9">[8]Лист1!#REF!</definedName>
    <definedName name="EILName">[8]Лист1!#REF!</definedName>
    <definedName name="EILName_1" localSheetId="10">[9]Обновление!#REF!</definedName>
    <definedName name="EILName_1" localSheetId="9">[9]Обновление!#REF!</definedName>
    <definedName name="EILName_1">[9]Обновление!#REF!</definedName>
    <definedName name="EQUIP" localSheetId="10">[15]Спецификация!#REF!</definedName>
    <definedName name="EQUIP" localSheetId="12">[15]Спецификация!#REF!</definedName>
    <definedName name="EQUIP" localSheetId="110">[15]Спецификация!#REF!</definedName>
    <definedName name="EQUIP" localSheetId="9">[15]Спецификация!#REF!</definedName>
    <definedName name="EQUIP">[15]Спецификация!#REF!</definedName>
    <definedName name="ert" localSheetId="10">#REF!</definedName>
    <definedName name="ert" localSheetId="12">#REF!</definedName>
    <definedName name="ert" localSheetId="112">#REF!</definedName>
    <definedName name="ert" localSheetId="113">#REF!</definedName>
    <definedName name="ert" localSheetId="115">#REF!</definedName>
    <definedName name="ert" localSheetId="116">#REF!</definedName>
    <definedName name="ert" localSheetId="8">#REF!</definedName>
    <definedName name="ert" localSheetId="11">#REF!</definedName>
    <definedName name="ert" localSheetId="110">#REF!</definedName>
    <definedName name="ert" localSheetId="6">#REF!</definedName>
    <definedName name="ert" localSheetId="9">#REF!</definedName>
    <definedName name="ert" localSheetId="7">#REF!</definedName>
    <definedName name="ert" localSheetId="92">#REF!</definedName>
    <definedName name="ert" localSheetId="93">#REF!</definedName>
    <definedName name="ert" localSheetId="94">#REF!</definedName>
    <definedName name="ert" localSheetId="99">#REF!</definedName>
    <definedName name="ert" localSheetId="100">#REF!</definedName>
    <definedName name="ert" localSheetId="106">#REF!</definedName>
    <definedName name="ert">#REF!</definedName>
    <definedName name="Excel_BuiltIn_Database" localSheetId="10">#REF!</definedName>
    <definedName name="Excel_BuiltIn_Database" localSheetId="9">#REF!</definedName>
    <definedName name="Excel_BuiltIn_Database">#REF!</definedName>
    <definedName name="Excel_BuiltIn_Print_Area" localSheetId="10">#REF!</definedName>
    <definedName name="Excel_BuiltIn_Print_Area" localSheetId="9">#REF!</definedName>
    <definedName name="Excel_BuiltIn_Print_Area">#REF!</definedName>
    <definedName name="Excel_BuiltIn_Print_Area_1" localSheetId="10">#REF!</definedName>
    <definedName name="Excel_BuiltIn_Print_Area_1" localSheetId="9">#REF!</definedName>
    <definedName name="Excel_BuiltIn_Print_Area_1">#REF!</definedName>
    <definedName name="Excel_BuiltIn_Print_Area_1_1" localSheetId="10">#REF!</definedName>
    <definedName name="Excel_BuiltIn_Print_Area_1_1" localSheetId="9">#REF!</definedName>
    <definedName name="Excel_BuiltIn_Print_Area_1_1">#REF!</definedName>
    <definedName name="Excel_BuiltIn_Print_Area_1_1_1" localSheetId="10">#REF!</definedName>
    <definedName name="Excel_BuiltIn_Print_Area_1_1_1" localSheetId="9">#REF!</definedName>
    <definedName name="Excel_BuiltIn_Print_Area_1_1_1">#REF!</definedName>
    <definedName name="Excel_BuiltIn_Print_Area_10_1" localSheetId="10">#REF!</definedName>
    <definedName name="Excel_BuiltIn_Print_Area_10_1" localSheetId="9">#REF!</definedName>
    <definedName name="Excel_BuiltIn_Print_Area_10_1">#REF!</definedName>
    <definedName name="Excel_BuiltIn_Print_Area_10_1_1" localSheetId="10">#REF!</definedName>
    <definedName name="Excel_BuiltIn_Print_Area_10_1_1" localSheetId="9">#REF!</definedName>
    <definedName name="Excel_BuiltIn_Print_Area_10_1_1">#REF!</definedName>
    <definedName name="Excel_BuiltIn_Print_Area_11" localSheetId="10">#REF!</definedName>
    <definedName name="Excel_BuiltIn_Print_Area_11" localSheetId="9">#REF!</definedName>
    <definedName name="Excel_BuiltIn_Print_Area_11">#REF!</definedName>
    <definedName name="Excel_BuiltIn_Print_Area_11_1" localSheetId="10">#REF!</definedName>
    <definedName name="Excel_BuiltIn_Print_Area_11_1" localSheetId="9">#REF!</definedName>
    <definedName name="Excel_BuiltIn_Print_Area_11_1">#REF!</definedName>
    <definedName name="Excel_BuiltIn_Print_Area_12" localSheetId="10">#REF!</definedName>
    <definedName name="Excel_BuiltIn_Print_Area_12" localSheetId="9">#REF!</definedName>
    <definedName name="Excel_BuiltIn_Print_Area_12">#REF!</definedName>
    <definedName name="Excel_BuiltIn_Print_Area_13" localSheetId="10">#REF!</definedName>
    <definedName name="Excel_BuiltIn_Print_Area_13" localSheetId="8">#REF!</definedName>
    <definedName name="Excel_BuiltIn_Print_Area_13" localSheetId="11">#REF!</definedName>
    <definedName name="Excel_BuiltIn_Print_Area_13" localSheetId="6">#REF!</definedName>
    <definedName name="Excel_BuiltIn_Print_Area_13" localSheetId="9">#REF!</definedName>
    <definedName name="Excel_BuiltIn_Print_Area_13" localSheetId="7">"$#ССЫЛ!.$A$2:$E$8"</definedName>
    <definedName name="Excel_BuiltIn_Print_Area_13">"$#ССЫЛ!.$A$2:$E$8"</definedName>
    <definedName name="Excel_BuiltIn_Print_Area_14" localSheetId="10">#REF!</definedName>
    <definedName name="Excel_BuiltIn_Print_Area_14" localSheetId="9">#REF!</definedName>
    <definedName name="Excel_BuiltIn_Print_Area_14">#REF!</definedName>
    <definedName name="Excel_BuiltIn_Print_Area_14_1">"$#ССЫЛ!.$#ССЫЛ!$#ССЫЛ!:$#ССЫЛ!$#ССЫЛ!"</definedName>
    <definedName name="Excel_BuiltIn_Print_Area_2" localSheetId="10">#REF!</definedName>
    <definedName name="Excel_BuiltIn_Print_Area_2" localSheetId="8">#REF!</definedName>
    <definedName name="Excel_BuiltIn_Print_Area_2" localSheetId="11">#REF!</definedName>
    <definedName name="Excel_BuiltIn_Print_Area_2" localSheetId="6">#REF!</definedName>
    <definedName name="Excel_BuiltIn_Print_Area_2" localSheetId="9">#REF!</definedName>
    <definedName name="Excel_BuiltIn_Print_Area_2" localSheetId="7">"$#ССЫЛ!.$A$2:$D$4"</definedName>
    <definedName name="Excel_BuiltIn_Print_Area_2">"$#ССЫЛ!.$A$2:$D$4"</definedName>
    <definedName name="Excel_BuiltIn_Print_Area_2_1" localSheetId="10">#REF!</definedName>
    <definedName name="Excel_BuiltIn_Print_Area_2_1" localSheetId="9">#REF!</definedName>
    <definedName name="Excel_BuiltIn_Print_Area_2_1">#REF!</definedName>
    <definedName name="Excel_BuiltIn_Print_Area_25_1">"$#ССЫЛ!.$#ССЫЛ!$#ССЫЛ!:$#ССЫЛ!$#ССЫЛ!"</definedName>
    <definedName name="Excel_BuiltIn_Print_Area_28_1">"$#ССЫЛ!.$#ССЫЛ!$#ССЫЛ!:$#ССЫЛ!$#ССЫЛ!"</definedName>
    <definedName name="Excel_BuiltIn_Print_Area_3_1" localSheetId="10">#REF!</definedName>
    <definedName name="Excel_BuiltIn_Print_Area_3_1" localSheetId="8">#REF!</definedName>
    <definedName name="Excel_BuiltIn_Print_Area_3_1" localSheetId="11">#REF!</definedName>
    <definedName name="Excel_BuiltIn_Print_Area_3_1" localSheetId="6">#REF!</definedName>
    <definedName name="Excel_BuiltIn_Print_Area_3_1" localSheetId="9">#REF!</definedName>
    <definedName name="Excel_BuiltIn_Print_Area_3_1" localSheetId="7">"$#ССЫЛ!.$A$2:$E$4"</definedName>
    <definedName name="Excel_BuiltIn_Print_Area_3_1">"$#ССЫЛ!.$A$2:$E$4"</definedName>
    <definedName name="Excel_BuiltIn_Print_Area_32">"$#ССЫЛ!.$#ССЫЛ!$#ССЫЛ!:$#ССЫЛ!$#ССЫЛ!"</definedName>
    <definedName name="Excel_BuiltIn_Print_Area_4" localSheetId="10">#REF!</definedName>
    <definedName name="Excel_BuiltIn_Print_Area_4" localSheetId="9">#REF!</definedName>
    <definedName name="Excel_BuiltIn_Print_Area_4">#REF!</definedName>
    <definedName name="Excel_BuiltIn_Print_Area_4_1" localSheetId="10">#REF!</definedName>
    <definedName name="Excel_BuiltIn_Print_Area_4_1" localSheetId="9">#REF!</definedName>
    <definedName name="Excel_BuiltIn_Print_Area_4_1">#REF!</definedName>
    <definedName name="Excel_BuiltIn_Print_Area_4_1_1" localSheetId="10">#REF!</definedName>
    <definedName name="Excel_BuiltIn_Print_Area_4_1_1" localSheetId="9">#REF!</definedName>
    <definedName name="Excel_BuiltIn_Print_Area_4_1_1">#REF!</definedName>
    <definedName name="Excel_BuiltIn_Print_Area_4_1_1_1" localSheetId="10">#REF!</definedName>
    <definedName name="Excel_BuiltIn_Print_Area_4_1_1_1" localSheetId="9">#REF!</definedName>
    <definedName name="Excel_BuiltIn_Print_Area_4_1_1_1">#REF!</definedName>
    <definedName name="Excel_BuiltIn_Print_Area_43">"$#ССЫЛ!.$#ССЫЛ!$#ССЫЛ!:$#ССЫЛ!$#ССЫЛ!"</definedName>
    <definedName name="Excel_BuiltIn_Print_Area_5" localSheetId="10">#REF!</definedName>
    <definedName name="Excel_BuiltIn_Print_Area_5" localSheetId="12">#REF!</definedName>
    <definedName name="Excel_BuiltIn_Print_Area_5" localSheetId="116">#REF!</definedName>
    <definedName name="Excel_BuiltIn_Print_Area_5" localSheetId="8">#REF!</definedName>
    <definedName name="Excel_BuiltIn_Print_Area_5" localSheetId="11">#REF!</definedName>
    <definedName name="Excel_BuiltIn_Print_Area_5" localSheetId="110">#REF!</definedName>
    <definedName name="Excel_BuiltIn_Print_Area_5" localSheetId="109">#REF!</definedName>
    <definedName name="Excel_BuiltIn_Print_Area_5" localSheetId="108">#REF!</definedName>
    <definedName name="Excel_BuiltIn_Print_Area_5" localSheetId="6">#REF!</definedName>
    <definedName name="Excel_BuiltIn_Print_Area_5" localSheetId="9">#REF!</definedName>
    <definedName name="Excel_BuiltIn_Print_Area_5" localSheetId="7">#REF!</definedName>
    <definedName name="Excel_BuiltIn_Print_Area_5" localSheetId="92">#REF!</definedName>
    <definedName name="Excel_BuiltIn_Print_Area_5" localSheetId="93">#REF!</definedName>
    <definedName name="Excel_BuiltIn_Print_Area_5" localSheetId="94">#REF!</definedName>
    <definedName name="Excel_BuiltIn_Print_Area_5" localSheetId="99">#REF!</definedName>
    <definedName name="Excel_BuiltIn_Print_Area_5" localSheetId="100">#REF!</definedName>
    <definedName name="Excel_BuiltIn_Print_Area_5" localSheetId="106">#REF!</definedName>
    <definedName name="Excel_BuiltIn_Print_Area_5">#REF!</definedName>
    <definedName name="Excel_BuiltIn_Print_Area_5_1" localSheetId="10">#REF!</definedName>
    <definedName name="Excel_BuiltIn_Print_Area_5_1" localSheetId="9">#REF!</definedName>
    <definedName name="Excel_BuiltIn_Print_Area_5_1">#REF!</definedName>
    <definedName name="Excel_BuiltIn_Print_Area_5_1_1" localSheetId="10">#REF!</definedName>
    <definedName name="Excel_BuiltIn_Print_Area_5_1_1" localSheetId="9">#REF!</definedName>
    <definedName name="Excel_BuiltIn_Print_Area_5_1_1">#REF!</definedName>
    <definedName name="Excel_BuiltIn_Print_Area_6" localSheetId="10">#REF!</definedName>
    <definedName name="Excel_BuiltIn_Print_Area_6" localSheetId="9">#REF!</definedName>
    <definedName name="Excel_BuiltIn_Print_Area_6">#REF!</definedName>
    <definedName name="Excel_BuiltIn_Print_Area_6_1" localSheetId="10">#REF!</definedName>
    <definedName name="Excel_BuiltIn_Print_Area_6_1" localSheetId="9">#REF!</definedName>
    <definedName name="Excel_BuiltIn_Print_Area_6_1">#REF!</definedName>
    <definedName name="Excel_BuiltIn_Print_Area_7" localSheetId="10">#REF!</definedName>
    <definedName name="Excel_BuiltIn_Print_Area_7" localSheetId="8">#REF!</definedName>
    <definedName name="Excel_BuiltIn_Print_Area_7" localSheetId="11">#REF!</definedName>
    <definedName name="Excel_BuiltIn_Print_Area_7" localSheetId="6">#REF!</definedName>
    <definedName name="Excel_BuiltIn_Print_Area_7" localSheetId="9">#REF!</definedName>
    <definedName name="Excel_BuiltIn_Print_Area_7" localSheetId="7">"$#ССЫЛ!.$A$2:$E$5"</definedName>
    <definedName name="Excel_BuiltIn_Print_Area_7">"$#ССЫЛ!.$A$2:$E$5"</definedName>
    <definedName name="Excel_BuiltIn_Print_Area_7_1" localSheetId="10">#REF!</definedName>
    <definedName name="Excel_BuiltIn_Print_Area_7_1" localSheetId="9">#REF!</definedName>
    <definedName name="Excel_BuiltIn_Print_Area_7_1">#REF!</definedName>
    <definedName name="Excel_BuiltIn_Print_Area_7_1_1" localSheetId="10">#REF!</definedName>
    <definedName name="Excel_BuiltIn_Print_Area_7_1_1" localSheetId="9">#REF!</definedName>
    <definedName name="Excel_BuiltIn_Print_Area_7_1_1">#REF!</definedName>
    <definedName name="Excel_BuiltIn_Print_Area_7_1_1_1" localSheetId="10">#REF!</definedName>
    <definedName name="Excel_BuiltIn_Print_Area_7_1_1_1" localSheetId="9">#REF!</definedName>
    <definedName name="Excel_BuiltIn_Print_Area_7_1_1_1">#REF!</definedName>
    <definedName name="Excel_BuiltIn_Print_Area_7_1_1_1_1" localSheetId="10">#REF!</definedName>
    <definedName name="Excel_BuiltIn_Print_Area_7_1_1_1_1" localSheetId="9">#REF!</definedName>
    <definedName name="Excel_BuiltIn_Print_Area_7_1_1_1_1">#REF!</definedName>
    <definedName name="Excel_BuiltIn_Print_Area_8_1" localSheetId="10">#REF!</definedName>
    <definedName name="Excel_BuiltIn_Print_Area_8_1" localSheetId="9">#REF!</definedName>
    <definedName name="Excel_BuiltIn_Print_Area_8_1">#REF!</definedName>
    <definedName name="Excel_BuiltIn_Print_Area_9" localSheetId="10">#REF!</definedName>
    <definedName name="Excel_BuiltIn_Print_Area_9" localSheetId="9">#REF!</definedName>
    <definedName name="Excel_BuiltIn_Print_Area_9">#REF!</definedName>
    <definedName name="Excel_BuiltIn_Print_Area_9_1" localSheetId="10">#REF!</definedName>
    <definedName name="Excel_BuiltIn_Print_Area_9_1" localSheetId="9">#REF!</definedName>
    <definedName name="Excel_BuiltIn_Print_Area_9_1">#REF!</definedName>
    <definedName name="Excel_BuiltIn_Print_Area_9_1_1" localSheetId="10">#REF!</definedName>
    <definedName name="Excel_BuiltIn_Print_Area_9_1_1" localSheetId="9">#REF!</definedName>
    <definedName name="Excel_BuiltIn_Print_Area_9_1_1">#REF!</definedName>
    <definedName name="Excel_BuiltIn_Print_Area_9_1_1_1" localSheetId="10">#REF!</definedName>
    <definedName name="Excel_BuiltIn_Print_Area_9_1_1_1" localSheetId="9">#REF!</definedName>
    <definedName name="Excel_BuiltIn_Print_Area_9_1_1_1">#REF!</definedName>
    <definedName name="Excel_BuiltIn_Print_Titles" localSheetId="10">#REF!</definedName>
    <definedName name="Excel_BuiltIn_Print_Titles" localSheetId="9">#REF!</definedName>
    <definedName name="Excel_BuiltIn_Print_Titles">#REF!</definedName>
    <definedName name="Excel_BuiltIn_Print_Titles_1" localSheetId="10">#REF!</definedName>
    <definedName name="Excel_BuiltIn_Print_Titles_1" localSheetId="9">#REF!</definedName>
    <definedName name="Excel_BuiltIn_Print_Titles_1" localSheetId="7">#REF!</definedName>
    <definedName name="Excel_BuiltIn_Print_Titles_1">#REF!</definedName>
    <definedName name="Excel_BuiltIn_Print_Titles_1_1" localSheetId="10">#REF!</definedName>
    <definedName name="Excel_BuiltIn_Print_Titles_1_1" localSheetId="9">#REF!</definedName>
    <definedName name="Excel_BuiltIn_Print_Titles_1_1">#REF!</definedName>
    <definedName name="Excel_BuiltIn_Print_Titles_1_1_1" localSheetId="10">#REF!</definedName>
    <definedName name="Excel_BuiltIn_Print_Titles_1_1_1" localSheetId="9">#REF!</definedName>
    <definedName name="Excel_BuiltIn_Print_Titles_1_1_1">#REF!</definedName>
    <definedName name="Excel_BuiltIn_Print_Titles_14" localSheetId="10">#REF!</definedName>
    <definedName name="Excel_BuiltIn_Print_Titles_14" localSheetId="9">#REF!</definedName>
    <definedName name="Excel_BuiltIn_Print_Titles_14">#REF!</definedName>
    <definedName name="Excel_BuiltIn_Print_Titles_2" localSheetId="10">#REF!</definedName>
    <definedName name="Excel_BuiltIn_Print_Titles_2" localSheetId="12">#REF!</definedName>
    <definedName name="Excel_BuiltIn_Print_Titles_2" localSheetId="112">#REF!</definedName>
    <definedName name="Excel_BuiltIn_Print_Titles_2" localSheetId="113">#REF!</definedName>
    <definedName name="Excel_BuiltIn_Print_Titles_2" localSheetId="115">#REF!</definedName>
    <definedName name="Excel_BuiltIn_Print_Titles_2" localSheetId="116">#REF!</definedName>
    <definedName name="Excel_BuiltIn_Print_Titles_2" localSheetId="110">#REF!</definedName>
    <definedName name="Excel_BuiltIn_Print_Titles_2" localSheetId="9">#REF!</definedName>
    <definedName name="Excel_BuiltIn_Print_Titles_2" localSheetId="92">#REF!</definedName>
    <definedName name="Excel_BuiltIn_Print_Titles_2" localSheetId="93">#REF!</definedName>
    <definedName name="Excel_BuiltIn_Print_Titles_2" localSheetId="94">#REF!</definedName>
    <definedName name="Excel_BuiltIn_Print_Titles_2" localSheetId="99">#REF!</definedName>
    <definedName name="Excel_BuiltIn_Print_Titles_2" localSheetId="100">#REF!</definedName>
    <definedName name="Excel_BuiltIn_Print_Titles_2" localSheetId="106">#REF!</definedName>
    <definedName name="Excel_BuiltIn_Print_Titles_2">#REF!</definedName>
    <definedName name="Excel_BuiltIn_Print_Titles_2_1" localSheetId="10">#REF!</definedName>
    <definedName name="Excel_BuiltIn_Print_Titles_2_1" localSheetId="9">#REF!</definedName>
    <definedName name="Excel_BuiltIn_Print_Titles_2_1">#REF!</definedName>
    <definedName name="Excel_BuiltIn_Print_Titles_3" localSheetId="10">#REF!</definedName>
    <definedName name="Excel_BuiltIn_Print_Titles_3" localSheetId="12">#REF!</definedName>
    <definedName name="Excel_BuiltIn_Print_Titles_3" localSheetId="116">#REF!</definedName>
    <definedName name="Excel_BuiltIn_Print_Titles_3" localSheetId="110">#REF!</definedName>
    <definedName name="Excel_BuiltIn_Print_Titles_3" localSheetId="9">#REF!</definedName>
    <definedName name="Excel_BuiltIn_Print_Titles_3" localSheetId="92">#REF!</definedName>
    <definedName name="Excel_BuiltIn_Print_Titles_3" localSheetId="93">#REF!</definedName>
    <definedName name="Excel_BuiltIn_Print_Titles_3" localSheetId="94">#REF!</definedName>
    <definedName name="Excel_BuiltIn_Print_Titles_3" localSheetId="99">#REF!</definedName>
    <definedName name="Excel_BuiltIn_Print_Titles_3" localSheetId="100">#REF!</definedName>
    <definedName name="Excel_BuiltIn_Print_Titles_3" localSheetId="106">#REF!</definedName>
    <definedName name="Excel_BuiltIn_Print_Titles_3">#REF!</definedName>
    <definedName name="Excel_BuiltIn_Print_Titles_4" localSheetId="10">#REF!</definedName>
    <definedName name="Excel_BuiltIn_Print_Titles_4" localSheetId="9">#REF!</definedName>
    <definedName name="Excel_BuiltIn_Print_Titles_4">#REF!</definedName>
    <definedName name="fg" localSheetId="10">#REF!</definedName>
    <definedName name="fg" localSheetId="12">#REF!</definedName>
    <definedName name="fg" localSheetId="110">#REF!</definedName>
    <definedName name="fg" localSheetId="9">#REF!</definedName>
    <definedName name="fg" localSheetId="92">#REF!</definedName>
    <definedName name="fg" localSheetId="93">#REF!</definedName>
    <definedName name="fg" localSheetId="94">#REF!</definedName>
    <definedName name="fg" localSheetId="99">#REF!</definedName>
    <definedName name="fg" localSheetId="100">#REF!</definedName>
    <definedName name="fg" localSheetId="106">#REF!</definedName>
    <definedName name="fg">#REF!</definedName>
    <definedName name="fgh" localSheetId="10">[16]топография!#REF!</definedName>
    <definedName name="fgh" localSheetId="9">[16]топография!#REF!</definedName>
    <definedName name="fgh">[16]топография!#REF!</definedName>
    <definedName name="fl" localSheetId="10">[11]Lucent!#REF!</definedName>
    <definedName name="fl" localSheetId="12">[11]Lucent!#REF!</definedName>
    <definedName name="fl" localSheetId="111">[11]Lucent!#REF!</definedName>
    <definedName name="fl" localSheetId="112">[11]Lucent!#REF!</definedName>
    <definedName name="fl" localSheetId="113">[11]Lucent!#REF!</definedName>
    <definedName name="fl" localSheetId="114">[11]Lucent!#REF!</definedName>
    <definedName name="fl" localSheetId="115">[11]Lucent!#REF!</definedName>
    <definedName name="fl" localSheetId="116">[11]Lucent!#REF!</definedName>
    <definedName name="fl" localSheetId="117">[11]Lucent!#REF!</definedName>
    <definedName name="fl" localSheetId="118">[11]Lucent!#REF!</definedName>
    <definedName name="fl" localSheetId="121">[11]Lucent!#REF!</definedName>
    <definedName name="fl" localSheetId="122">[11]Lucent!#REF!</definedName>
    <definedName name="fl" localSheetId="8">[11]Lucent!#REF!</definedName>
    <definedName name="fl" localSheetId="11">[11]Lucent!#REF!</definedName>
    <definedName name="fl" localSheetId="110">[11]Lucent!#REF!</definedName>
    <definedName name="fl" localSheetId="109">[11]Lucent!#REF!</definedName>
    <definedName name="fl" localSheetId="108">[11]Lucent!#REF!</definedName>
    <definedName name="fl" localSheetId="6">[11]Lucent!#REF!</definedName>
    <definedName name="fl" localSheetId="9">[11]Lucent!#REF!</definedName>
    <definedName name="fl" localSheetId="7">[11]Lucent!#REF!</definedName>
    <definedName name="fl" localSheetId="92">[11]Lucent!#REF!</definedName>
    <definedName name="fl" localSheetId="93">[11]Lucent!#REF!</definedName>
    <definedName name="fl" localSheetId="94">[11]Lucent!#REF!</definedName>
    <definedName name="fl" localSheetId="99">[11]Lucent!#REF!</definedName>
    <definedName name="fl" localSheetId="100">[11]Lucent!#REF!</definedName>
    <definedName name="fl" localSheetId="106">[11]Lucent!#REF!</definedName>
    <definedName name="fl">[11]Lucent!#REF!</definedName>
    <definedName name="Grp_Vector" localSheetId="10">#REF!</definedName>
    <definedName name="Grp_Vector" localSheetId="12">#REF!</definedName>
    <definedName name="Grp_Vector" localSheetId="116">#REF!</definedName>
    <definedName name="Grp_Vector" localSheetId="8">#REF!</definedName>
    <definedName name="Grp_Vector" localSheetId="11">#REF!</definedName>
    <definedName name="Grp_Vector" localSheetId="110">#REF!</definedName>
    <definedName name="Grp_Vector" localSheetId="109">#REF!</definedName>
    <definedName name="Grp_Vector" localSheetId="108">#REF!</definedName>
    <definedName name="Grp_Vector" localSheetId="6">#REF!</definedName>
    <definedName name="Grp_Vector" localSheetId="9">#REF!</definedName>
    <definedName name="Grp_Vector" localSheetId="7">#REF!</definedName>
    <definedName name="Grp_Vector" localSheetId="92">#REF!</definedName>
    <definedName name="Grp_Vector" localSheetId="93">#REF!</definedName>
    <definedName name="Grp_Vector" localSheetId="94">#REF!</definedName>
    <definedName name="Grp_Vector" localSheetId="99">#REF!</definedName>
    <definedName name="Grp_Vector" localSheetId="100">#REF!</definedName>
    <definedName name="Grp_Vector" localSheetId="106">#REF!</definedName>
    <definedName name="Grp_Vector">#REF!</definedName>
    <definedName name="h" localSheetId="10">#REF!</definedName>
    <definedName name="h" localSheetId="9">#REF!</definedName>
    <definedName name="h">#REF!</definedName>
    <definedName name="hPriceRange" localSheetId="10">[8]Лист1!#REF!</definedName>
    <definedName name="hPriceRange" localSheetId="9">[8]Лист1!#REF!</definedName>
    <definedName name="hPriceRange">[8]Лист1!#REF!</definedName>
    <definedName name="hPriceRange_1" localSheetId="10">[9]Цена!#REF!</definedName>
    <definedName name="hPriceRange_1" localSheetId="9">[9]Цена!#REF!</definedName>
    <definedName name="hPriceRange_1">[9]Цена!#REF!</definedName>
    <definedName name="i" localSheetId="10">#REF!</definedName>
    <definedName name="i" localSheetId="9">#REF!</definedName>
    <definedName name="i">#REF!</definedName>
    <definedName name="idPriceColumn" localSheetId="10">[8]Лист1!#REF!</definedName>
    <definedName name="idPriceColumn" localSheetId="9">[8]Лист1!#REF!</definedName>
    <definedName name="idPriceColumn">[8]Лист1!#REF!</definedName>
    <definedName name="idPriceColumn_1" localSheetId="10">[9]Цена!#REF!</definedName>
    <definedName name="idPriceColumn_1" localSheetId="9">[9]Цена!#REF!</definedName>
    <definedName name="idPriceColumn_1">[9]Цена!#REF!</definedName>
    <definedName name="iii" localSheetId="10">#REF!</definedName>
    <definedName name="iii" localSheetId="9">#REF!</definedName>
    <definedName name="iii">#REF!</definedName>
    <definedName name="iiiii" localSheetId="10">#REF!</definedName>
    <definedName name="iiiii" localSheetId="9">#REF!</definedName>
    <definedName name="iiiii">#REF!</definedName>
    <definedName name="Importation_Cost" localSheetId="10">#REF!</definedName>
    <definedName name="Importation_Cost" localSheetId="12">#REF!</definedName>
    <definedName name="Importation_Cost" localSheetId="116">#REF!</definedName>
    <definedName name="Importation_Cost" localSheetId="8">#REF!</definedName>
    <definedName name="Importation_Cost" localSheetId="11">#REF!</definedName>
    <definedName name="Importation_Cost" localSheetId="110">#REF!</definedName>
    <definedName name="Importation_Cost" localSheetId="109">#REF!</definedName>
    <definedName name="Importation_Cost" localSheetId="108">#REF!</definedName>
    <definedName name="Importation_Cost" localSheetId="6">#REF!</definedName>
    <definedName name="Importation_Cost" localSheetId="9">#REF!</definedName>
    <definedName name="Importation_Cost" localSheetId="7">#REF!</definedName>
    <definedName name="Importation_Cost" localSheetId="92">#REF!</definedName>
    <definedName name="Importation_Cost" localSheetId="93">#REF!</definedName>
    <definedName name="Importation_Cost" localSheetId="94">#REF!</definedName>
    <definedName name="Importation_Cost" localSheetId="99">#REF!</definedName>
    <definedName name="Importation_Cost" localSheetId="100">#REF!</definedName>
    <definedName name="Importation_Cost" localSheetId="106">#REF!</definedName>
    <definedName name="Importation_Cost">#REF!</definedName>
    <definedName name="infl" localSheetId="10">[17]ПДР!#REF!</definedName>
    <definedName name="infl" localSheetId="9">[17]ПДР!#REF!</definedName>
    <definedName name="infl">[17]ПДР!#REF!</definedName>
    <definedName name="Itog" localSheetId="10">#REF!</definedName>
    <definedName name="Itog" localSheetId="12">#REF!</definedName>
    <definedName name="Itog" localSheetId="115">#REF!</definedName>
    <definedName name="Itog" localSheetId="116">#REF!</definedName>
    <definedName name="Itog" localSheetId="8">#REF!</definedName>
    <definedName name="Itog" localSheetId="11">#REF!</definedName>
    <definedName name="Itog" localSheetId="110">#REF!</definedName>
    <definedName name="Itog" localSheetId="6">#REF!</definedName>
    <definedName name="Itog" localSheetId="9">#REF!</definedName>
    <definedName name="Itog" localSheetId="7">#REF!</definedName>
    <definedName name="Itog" localSheetId="92">#REF!</definedName>
    <definedName name="Itog" localSheetId="93">#REF!</definedName>
    <definedName name="Itog" localSheetId="94">#REF!</definedName>
    <definedName name="Itog" localSheetId="99">#REF!</definedName>
    <definedName name="Itog" localSheetId="100">#REF!</definedName>
    <definedName name="Itog" localSheetId="106">#REF!</definedName>
    <definedName name="Itog">#REF!</definedName>
    <definedName name="Itog_1" localSheetId="10">#REF!</definedName>
    <definedName name="Itog_1" localSheetId="9">#REF!</definedName>
    <definedName name="Itog_1">#REF!</definedName>
    <definedName name="j" localSheetId="10" hidden="1">{#N/A,#N/A,TRUE,"Смета на пасс. обор. №1"}</definedName>
    <definedName name="j" localSheetId="12" hidden="1">{#N/A,#N/A,TRUE,"Смета на пасс. обор. №1"}</definedName>
    <definedName name="j" localSheetId="111" hidden="1">{#N/A,#N/A,TRUE,"Смета на пасс. обор. №1"}</definedName>
    <definedName name="j" localSheetId="112" hidden="1">{#N/A,#N/A,TRUE,"Смета на пасс. обор. №1"}</definedName>
    <definedName name="j" localSheetId="113" hidden="1">{#N/A,#N/A,TRUE,"Смета на пасс. обор. №1"}</definedName>
    <definedName name="j" localSheetId="114" hidden="1">{#N/A,#N/A,TRUE,"Смета на пасс. обор. №1"}</definedName>
    <definedName name="j" localSheetId="115" hidden="1">{#N/A,#N/A,TRUE,"Смета на пасс. обор. №1"}</definedName>
    <definedName name="j" localSheetId="116" hidden="1">{#N/A,#N/A,TRUE,"Смета на пасс. обор. №1"}</definedName>
    <definedName name="j" localSheetId="117" hidden="1">{#N/A,#N/A,TRUE,"Смета на пасс. обор. №1"}</definedName>
    <definedName name="j" localSheetId="118" hidden="1">{#N/A,#N/A,TRUE,"Смета на пасс. обор. №1"}</definedName>
    <definedName name="j" localSheetId="121" hidden="1">{#N/A,#N/A,TRUE,"Смета на пасс. обор. №1"}</definedName>
    <definedName name="j" localSheetId="122" hidden="1">{#N/A,#N/A,TRUE,"Смета на пасс. обор. №1"}</definedName>
    <definedName name="j" localSheetId="8" hidden="1">{#N/A,#N/A,TRUE,"Смета на пасс. обор. №1"}</definedName>
    <definedName name="j" localSheetId="11" hidden="1">{#N/A,#N/A,TRUE,"Смета на пасс. обор. №1"}</definedName>
    <definedName name="j" localSheetId="110" hidden="1">{#N/A,#N/A,TRUE,"Смета на пасс. обор. №1"}</definedName>
    <definedName name="j" localSheetId="109" hidden="1">{#N/A,#N/A,TRUE,"Смета на пасс. обор. №1"}</definedName>
    <definedName name="j" localSheetId="108" hidden="1">{#N/A,#N/A,TRUE,"Смета на пасс. обор. №1"}</definedName>
    <definedName name="j" localSheetId="6" hidden="1">{#N/A,#N/A,TRUE,"Смета на пасс. обор. №1"}</definedName>
    <definedName name="j" localSheetId="9" hidden="1">{#N/A,#N/A,TRUE,"Смета на пасс. обор. №1"}</definedName>
    <definedName name="j" localSheetId="7" hidden="1">{#N/A,#N/A,TRUE,"Смета на пасс. обор. №1"}</definedName>
    <definedName name="j" localSheetId="92" hidden="1">{#N/A,#N/A,TRUE,"Смета на пасс. обор. №1"}</definedName>
    <definedName name="j" localSheetId="93" hidden="1">{#N/A,#N/A,TRUE,"Смета на пасс. обор. №1"}</definedName>
    <definedName name="j" localSheetId="94" hidden="1">{#N/A,#N/A,TRUE,"Смета на пасс. обор. №1"}</definedName>
    <definedName name="j" localSheetId="99" hidden="1">{#N/A,#N/A,TRUE,"Смета на пасс. обор. №1"}</definedName>
    <definedName name="j" localSheetId="100" hidden="1">{#N/A,#N/A,TRUE,"Смета на пасс. обор. №1"}</definedName>
    <definedName name="j" localSheetId="106" hidden="1">{#N/A,#N/A,TRUE,"Смета на пасс. обор. №1"}</definedName>
    <definedName name="j" localSheetId="2" hidden="1">{#N/A,#N/A,TRUE,"Смета на пасс. обор. №1"}</definedName>
    <definedName name="j" localSheetId="123" hidden="1">{#N/A,#N/A,TRUE,"Смета на пасс. обор. №1"}</definedName>
    <definedName name="j" localSheetId="4" hidden="1">{#N/A,#N/A,TRUE,"Смета на пасс. обор. №1"}</definedName>
    <definedName name="j" localSheetId="13" hidden="1">{#N/A,#N/A,TRUE,"Смета на пасс. обор. №1"}</definedName>
    <definedName name="j" hidden="1">{#N/A,#N/A,TRUE,"Смета на пасс. обор. №1"}</definedName>
    <definedName name="j_1" localSheetId="10" hidden="1">{#N/A,#N/A,TRUE,"Смета на пасс. обор. №1"}</definedName>
    <definedName name="j_1" localSheetId="12" hidden="1">{#N/A,#N/A,TRUE,"Смета на пасс. обор. №1"}</definedName>
    <definedName name="j_1" localSheetId="111" hidden="1">{#N/A,#N/A,TRUE,"Смета на пасс. обор. №1"}</definedName>
    <definedName name="j_1" localSheetId="112" hidden="1">{#N/A,#N/A,TRUE,"Смета на пасс. обор. №1"}</definedName>
    <definedName name="j_1" localSheetId="113" hidden="1">{#N/A,#N/A,TRUE,"Смета на пасс. обор. №1"}</definedName>
    <definedName name="j_1" localSheetId="114" hidden="1">{#N/A,#N/A,TRUE,"Смета на пасс. обор. №1"}</definedName>
    <definedName name="j_1" localSheetId="115" hidden="1">{#N/A,#N/A,TRUE,"Смета на пасс. обор. №1"}</definedName>
    <definedName name="j_1" localSheetId="116" hidden="1">{#N/A,#N/A,TRUE,"Смета на пасс. обор. №1"}</definedName>
    <definedName name="j_1" localSheetId="117" hidden="1">{#N/A,#N/A,TRUE,"Смета на пасс. обор. №1"}</definedName>
    <definedName name="j_1" localSheetId="118" hidden="1">{#N/A,#N/A,TRUE,"Смета на пасс. обор. №1"}</definedName>
    <definedName name="j_1" localSheetId="121" hidden="1">{#N/A,#N/A,TRUE,"Смета на пасс. обор. №1"}</definedName>
    <definedName name="j_1" localSheetId="122" hidden="1">{#N/A,#N/A,TRUE,"Смета на пасс. обор. №1"}</definedName>
    <definedName name="j_1" localSheetId="8" hidden="1">{#N/A,#N/A,TRUE,"Смета на пасс. обор. №1"}</definedName>
    <definedName name="j_1" localSheetId="11" hidden="1">{#N/A,#N/A,TRUE,"Смета на пасс. обор. №1"}</definedName>
    <definedName name="j_1" localSheetId="110" hidden="1">{#N/A,#N/A,TRUE,"Смета на пасс. обор. №1"}</definedName>
    <definedName name="j_1" localSheetId="109" hidden="1">{#N/A,#N/A,TRUE,"Смета на пасс. обор. №1"}</definedName>
    <definedName name="j_1" localSheetId="108" hidden="1">{#N/A,#N/A,TRUE,"Смета на пасс. обор. №1"}</definedName>
    <definedName name="j_1" localSheetId="6" hidden="1">{#N/A,#N/A,TRUE,"Смета на пасс. обор. №1"}</definedName>
    <definedName name="j_1" localSheetId="9" hidden="1">{#N/A,#N/A,TRUE,"Смета на пасс. обор. №1"}</definedName>
    <definedName name="j_1" localSheetId="7" hidden="1">{#N/A,#N/A,TRUE,"Смета на пасс. обор. №1"}</definedName>
    <definedName name="j_1" localSheetId="92" hidden="1">{#N/A,#N/A,TRUE,"Смета на пасс. обор. №1"}</definedName>
    <definedName name="j_1" localSheetId="93" hidden="1">{#N/A,#N/A,TRUE,"Смета на пасс. обор. №1"}</definedName>
    <definedName name="j_1" localSheetId="94" hidden="1">{#N/A,#N/A,TRUE,"Смета на пасс. обор. №1"}</definedName>
    <definedName name="j_1" localSheetId="99" hidden="1">{#N/A,#N/A,TRUE,"Смета на пасс. обор. №1"}</definedName>
    <definedName name="j_1" localSheetId="100" hidden="1">{#N/A,#N/A,TRUE,"Смета на пасс. обор. №1"}</definedName>
    <definedName name="j_1" localSheetId="106" hidden="1">{#N/A,#N/A,TRUE,"Смета на пасс. обор. №1"}</definedName>
    <definedName name="j_1" localSheetId="2" hidden="1">{#N/A,#N/A,TRUE,"Смета на пасс. обор. №1"}</definedName>
    <definedName name="j_1" localSheetId="123" hidden="1">{#N/A,#N/A,TRUE,"Смета на пасс. обор. №1"}</definedName>
    <definedName name="j_1" localSheetId="4" hidden="1">{#N/A,#N/A,TRUE,"Смета на пасс. обор. №1"}</definedName>
    <definedName name="j_1" localSheetId="13" hidden="1">{#N/A,#N/A,TRUE,"Смета на пасс. обор. №1"}</definedName>
    <definedName name="j_1" hidden="1">{#N/A,#N/A,TRUE,"Смета на пасс. обор. №1"}</definedName>
    <definedName name="jkjhggh" localSheetId="10">#REF!</definedName>
    <definedName name="jkjhggh" localSheetId="9">#REF!</definedName>
    <definedName name="jkjhggh">#REF!</definedName>
    <definedName name="kkkkk" localSheetId="10">#REF!</definedName>
    <definedName name="kkkkk" localSheetId="9">#REF!</definedName>
    <definedName name="kkkkk">#REF!</definedName>
    <definedName name="Koeffcb" localSheetId="10">#REF!</definedName>
    <definedName name="Koeffcb" localSheetId="12">#REF!</definedName>
    <definedName name="Koeffcb" localSheetId="116">#REF!</definedName>
    <definedName name="Koeffcb" localSheetId="8">#REF!</definedName>
    <definedName name="Koeffcb" localSheetId="11">#REF!</definedName>
    <definedName name="Koeffcb" localSheetId="110">#REF!</definedName>
    <definedName name="Koeffcb" localSheetId="109">#REF!</definedName>
    <definedName name="Koeffcb" localSheetId="108">#REF!</definedName>
    <definedName name="Koeffcb" localSheetId="6">#REF!</definedName>
    <definedName name="Koeffcb" localSheetId="9">#REF!</definedName>
    <definedName name="Koeffcb" localSheetId="7">#REF!</definedName>
    <definedName name="Koeffcb" localSheetId="92">#REF!</definedName>
    <definedName name="Koeffcb" localSheetId="93">#REF!</definedName>
    <definedName name="Koeffcb" localSheetId="94">#REF!</definedName>
    <definedName name="Koeffcb" localSheetId="99">#REF!</definedName>
    <definedName name="Koeffcb" localSheetId="100">#REF!</definedName>
    <definedName name="Koeffcb" localSheetId="106">#REF!</definedName>
    <definedName name="Koeffcb">#REF!</definedName>
    <definedName name="kp" localSheetId="10">[17]ПДР!#REF!</definedName>
    <definedName name="kp" localSheetId="9">[17]ПДР!#REF!</definedName>
    <definedName name="kp">[17]ПДР!#REF!</definedName>
    <definedName name="KPlan" localSheetId="10">#REF!</definedName>
    <definedName name="KPlan" localSheetId="12">#REF!</definedName>
    <definedName name="KPlan" localSheetId="116">#REF!</definedName>
    <definedName name="KPlan" localSheetId="8">#REF!</definedName>
    <definedName name="KPlan" localSheetId="11">#REF!</definedName>
    <definedName name="KPlan" localSheetId="110">#REF!</definedName>
    <definedName name="KPlan" localSheetId="6">#REF!</definedName>
    <definedName name="KPlan" localSheetId="9">#REF!</definedName>
    <definedName name="KPlan" localSheetId="7">#REF!</definedName>
    <definedName name="KPlan" localSheetId="92">#REF!</definedName>
    <definedName name="KPlan" localSheetId="93">#REF!</definedName>
    <definedName name="KPlan" localSheetId="94">#REF!</definedName>
    <definedName name="KPlan" localSheetId="99">#REF!</definedName>
    <definedName name="KPlan" localSheetId="100">#REF!</definedName>
    <definedName name="KPlan" localSheetId="106">#REF!</definedName>
    <definedName name="KPlan">#REF!</definedName>
    <definedName name="l" localSheetId="10">#REF!</definedName>
    <definedName name="l" localSheetId="9">#REF!</definedName>
    <definedName name="l">#REF!</definedName>
    <definedName name="language" localSheetId="10">#REF!</definedName>
    <definedName name="language" localSheetId="9">#REF!</definedName>
    <definedName name="language">#REF!</definedName>
    <definedName name="ljujhunb" localSheetId="10">[7]топография!#REF!</definedName>
    <definedName name="ljujhunb" localSheetId="9">[7]топография!#REF!</definedName>
    <definedName name="ljujhunb">[7]топография!#REF!</definedName>
    <definedName name="lp">[18]Panduit!$E$4</definedName>
    <definedName name="m" localSheetId="10">#REF!</definedName>
    <definedName name="m" localSheetId="12">[19]Microsoft!#REF!</definedName>
    <definedName name="m" localSheetId="116">[19]Microsoft!#REF!</definedName>
    <definedName name="m" localSheetId="8">#REF!</definedName>
    <definedName name="m" localSheetId="11">#REF!</definedName>
    <definedName name="m" localSheetId="110">[19]Microsoft!#REF!</definedName>
    <definedName name="m" localSheetId="109">[19]Microsoft!#REF!</definedName>
    <definedName name="m" localSheetId="108">[19]Microsoft!#REF!</definedName>
    <definedName name="m" localSheetId="6">#REF!</definedName>
    <definedName name="m" localSheetId="9">#REF!</definedName>
    <definedName name="m" localSheetId="7">[19]Microsoft!#REF!</definedName>
    <definedName name="m" localSheetId="92">[19]Microsoft!#REF!</definedName>
    <definedName name="m" localSheetId="93">[19]Microsoft!#REF!</definedName>
    <definedName name="m" localSheetId="94">[19]Microsoft!#REF!</definedName>
    <definedName name="m" localSheetId="99">[19]Microsoft!#REF!</definedName>
    <definedName name="m" localSheetId="100">[19]Microsoft!#REF!</definedName>
    <definedName name="m" localSheetId="106">[19]Microsoft!#REF!</definedName>
    <definedName name="m">[19]Microsoft!#REF!</definedName>
    <definedName name="MATER" localSheetId="10">[15]Спецификация!#REF!</definedName>
    <definedName name="MATER" localSheetId="12">[15]Спецификация!#REF!</definedName>
    <definedName name="MATER" localSheetId="116">[15]Спецификация!#REF!</definedName>
    <definedName name="MATER" localSheetId="8">[15]Спецификация!#REF!</definedName>
    <definedName name="MATER" localSheetId="11">[15]Спецификация!#REF!</definedName>
    <definedName name="MATER" localSheetId="110">[15]Спецификация!#REF!</definedName>
    <definedName name="MATER" localSheetId="109">[15]Спецификация!#REF!</definedName>
    <definedName name="MATER" localSheetId="108">[15]Спецификация!#REF!</definedName>
    <definedName name="MATER" localSheetId="6">[15]Спецификация!#REF!</definedName>
    <definedName name="MATER" localSheetId="9">[15]Спецификация!#REF!</definedName>
    <definedName name="MATER" localSheetId="7">[15]Спецификация!#REF!</definedName>
    <definedName name="MATER" localSheetId="92">[15]Спецификация!#REF!</definedName>
    <definedName name="MATER" localSheetId="93">[15]Спецификация!#REF!</definedName>
    <definedName name="MATER" localSheetId="94">[15]Спецификация!#REF!</definedName>
    <definedName name="MATER" localSheetId="99">[15]Спецификация!#REF!</definedName>
    <definedName name="MATER" localSheetId="100">[15]Спецификация!#REF!</definedName>
    <definedName name="MATER" localSheetId="106">[15]Спецификация!#REF!</definedName>
    <definedName name="MATER">[15]Спецификация!#REF!</definedName>
    <definedName name="mm" localSheetId="10">[19]Microsoft!#REF!</definedName>
    <definedName name="mm" localSheetId="12">[19]Microsoft!#REF!</definedName>
    <definedName name="mm" localSheetId="116">[19]Microsoft!#REF!</definedName>
    <definedName name="mm" localSheetId="8">[19]Microsoft!#REF!</definedName>
    <definedName name="mm" localSheetId="11">[19]Microsoft!#REF!</definedName>
    <definedName name="mm" localSheetId="110">[19]Microsoft!#REF!</definedName>
    <definedName name="mm" localSheetId="109">[19]Microsoft!#REF!</definedName>
    <definedName name="mm" localSheetId="108">[19]Microsoft!#REF!</definedName>
    <definedName name="mm" localSheetId="6">[19]Microsoft!#REF!</definedName>
    <definedName name="mm" localSheetId="9">[19]Microsoft!#REF!</definedName>
    <definedName name="mm" localSheetId="7">[19]Microsoft!#REF!</definedName>
    <definedName name="mm" localSheetId="92">[19]Microsoft!#REF!</definedName>
    <definedName name="mm" localSheetId="93">[19]Microsoft!#REF!</definedName>
    <definedName name="mm" localSheetId="94">[19]Microsoft!#REF!</definedName>
    <definedName name="mm" localSheetId="99">[19]Microsoft!#REF!</definedName>
    <definedName name="mm" localSheetId="100">[19]Microsoft!#REF!</definedName>
    <definedName name="mm" localSheetId="106">[19]Microsoft!#REF!</definedName>
    <definedName name="mm">[19]Microsoft!#REF!</definedName>
    <definedName name="mmm" localSheetId="10">[19]Microsoft!#REF!</definedName>
    <definedName name="mmm" localSheetId="12">[19]Microsoft!#REF!</definedName>
    <definedName name="mmm" localSheetId="116">[19]Microsoft!#REF!</definedName>
    <definedName name="mmm" localSheetId="8">[19]Microsoft!#REF!</definedName>
    <definedName name="mmm" localSheetId="11">[19]Microsoft!#REF!</definedName>
    <definedName name="mmm" localSheetId="110">[19]Microsoft!#REF!</definedName>
    <definedName name="mmm" localSheetId="109">[19]Microsoft!#REF!</definedName>
    <definedName name="mmm" localSheetId="108">[19]Microsoft!#REF!</definedName>
    <definedName name="mmm" localSheetId="6">[19]Microsoft!#REF!</definedName>
    <definedName name="mmm" localSheetId="9">[19]Microsoft!#REF!</definedName>
    <definedName name="mmm" localSheetId="7">[19]Microsoft!#REF!</definedName>
    <definedName name="mmm" localSheetId="92">[19]Microsoft!#REF!</definedName>
    <definedName name="mmm" localSheetId="93">[19]Microsoft!#REF!</definedName>
    <definedName name="mmm" localSheetId="94">[19]Microsoft!#REF!</definedName>
    <definedName name="mmm" localSheetId="99">[19]Microsoft!#REF!</definedName>
    <definedName name="mmm" localSheetId="100">[19]Microsoft!#REF!</definedName>
    <definedName name="mmm" localSheetId="106">[19]Microsoft!#REF!</definedName>
    <definedName name="mmm">[19]Microsoft!#REF!</definedName>
    <definedName name="n" localSheetId="10">#REF!</definedName>
    <definedName name="n" localSheetId="9">#REF!</definedName>
    <definedName name="n">#REF!</definedName>
    <definedName name="n_1" localSheetId="8">{"","одинz","дваz","триz","четыреz","пятьz","шестьz","семьz","восемьz","девятьz"}</definedName>
    <definedName name="n_1" localSheetId="6">{"","одинz","дваz","триz","четыреz","пятьz","шестьz","семьz","восемьz","девятьz"}</definedName>
    <definedName name="n_1" localSheetId="7">{"","одинz","дваz","триz","четыреz","пятьz","шестьz","семьz","восемьz","девятьz"}</definedName>
    <definedName name="n_1">{"","одинz","дваz","триz","четыреz","пятьz","шестьz","семьz","восемьz","девятьz"}</definedName>
    <definedName name="n_2" localSheetId="8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2" localSheetId="6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2" localSheetId="7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2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3" localSheetId="8">{"";1;"двадцатьz";"тридцатьz";"сорокz";"пятьдесятz";"шестьдесятz";"семьдесятz";"восемьдесятz";"девяностоz"}</definedName>
    <definedName name="n_3" localSheetId="6">{"";1;"двадцатьz";"тридцатьz";"сорокz";"пятьдесятz";"шестьдесятz";"семьдесятz";"восемьдесятz";"девяностоz"}</definedName>
    <definedName name="n_3" localSheetId="7">{"";1;"двадцатьz";"тридцатьz";"сорокz";"пятьдесятz";"шестьдесятz";"семьдесятz";"восемьдесятz";"девяностоz"}</definedName>
    <definedName name="n_3">{"";1;"двадцатьz";"тридцатьz";"сорокz";"пятьдесятz";"шестьдесятz";"семьдесятz";"восемьдесятz";"девяностоz"}</definedName>
    <definedName name="n_4" localSheetId="8">{"","стоz","двестиz","тристаz","четырестаz","пятьсотz","шестьсотz","семьсотz","восемьсотz","девятьсотz"}</definedName>
    <definedName name="n_4" localSheetId="6">{"","стоz","двестиz","тристаz","четырестаz","пятьсотz","шестьсотz","семьсотz","восемьсотz","девятьсотz"}</definedName>
    <definedName name="n_4" localSheetId="7">{"","стоz","двестиz","тристаz","четырестаz","пятьсотz","шестьсотz","семьсотz","восемьсотz","девятьсотz"}</definedName>
    <definedName name="n_4">{"","стоz","двестиz","тристаz","четырестаz","пятьсотz","шестьсотz","семьсотz","восемьсотz","девятьсотz"}</definedName>
    <definedName name="n_5" localSheetId="8">{"","однаz","двеz","триz","четыреz","пятьz","шестьz","семьz","восемьz","девятьz"}</definedName>
    <definedName name="n_5" localSheetId="6">{"","однаz","двеz","триz","четыреz","пятьz","шестьz","семьz","восемьz","девятьz"}</definedName>
    <definedName name="n_5" localSheetId="7">{"","однаz","двеz","триz","четыреz","пятьz","шестьz","семьz","восемьz","девятьz"}</definedName>
    <definedName name="n_5">{"","однаz","двеz","триz","четыреz","пятьz","шестьz","семьz","восемьz","девятьz"}</definedName>
    <definedName name="n0">"000000000000,00"</definedName>
    <definedName name="n0x" localSheetId="8">IF(НМЦ!n_3=1,НМЦ!n_2,НМЦ!n_3&amp;НМЦ!n_1)</definedName>
    <definedName name="n0x" localSheetId="6">IF(ПЗ!n_3=1,ПЗ!n_2,ПЗ!n_3&amp;ПЗ!n_1)</definedName>
    <definedName name="n0x" localSheetId="7">IF(Протокол!n_3=1,Протокол!n_2,Протокол!n_3&amp;Протокол!n_1)</definedName>
    <definedName name="n0x">IF(n_3=1,n_2,n_3&amp;n_1)</definedName>
    <definedName name="n1x" localSheetId="8">IF(НМЦ!n_3=1,НМЦ!n_2,НМЦ!n_3&amp;НМЦ!n_5)</definedName>
    <definedName name="n1x" localSheetId="6">IF(ПЗ!n_3=1,ПЗ!n_2,ПЗ!n_3&amp;ПЗ!n_5)</definedName>
    <definedName name="n1x" localSheetId="7">IF(Протокол!n_3=1,Протокол!n_2,Протокол!n_3&amp;Протокол!n_5)</definedName>
    <definedName name="n1x">IF(n_3=1,n_2,n_3&amp;n_5)</definedName>
    <definedName name="Nalog" localSheetId="10">#REF!</definedName>
    <definedName name="Nalog" localSheetId="9">#REF!</definedName>
    <definedName name="Nalog">#REF!</definedName>
    <definedName name="name" localSheetId="10">#REF!</definedName>
    <definedName name="name" localSheetId="9">#REF!</definedName>
    <definedName name="name">#REF!</definedName>
    <definedName name="ngh" localSheetId="10">[4]топография!#REF!</definedName>
    <definedName name="ngh" localSheetId="9">[4]топография!#REF!</definedName>
    <definedName name="ngh">[4]топография!#REF!</definedName>
    <definedName name="NumColJournal" localSheetId="10">#REF!</definedName>
    <definedName name="NumColJournal" localSheetId="9">#REF!</definedName>
    <definedName name="NumColJournal">#REF!</definedName>
    <definedName name="o" localSheetId="10">#REF!</definedName>
    <definedName name="o" localSheetId="9">#REF!</definedName>
    <definedName name="o">#REF!</definedName>
    <definedName name="OELName" localSheetId="10">[8]Лист1!#REF!</definedName>
    <definedName name="OELName" localSheetId="9">[8]Лист1!#REF!</definedName>
    <definedName name="OELName">[8]Лист1!#REF!</definedName>
    <definedName name="OELName_1" localSheetId="10">[9]Обновление!#REF!</definedName>
    <definedName name="OELName_1" localSheetId="9">[9]Обновление!#REF!</definedName>
    <definedName name="OELName_1">[9]Обновление!#REF!</definedName>
    <definedName name="OPLName" localSheetId="10">[8]Лист1!#REF!</definedName>
    <definedName name="OPLName" localSheetId="9">[8]Лист1!#REF!</definedName>
    <definedName name="OPLName">[8]Лист1!#REF!</definedName>
    <definedName name="OPLName_1" localSheetId="10">[9]Обновление!#REF!</definedName>
    <definedName name="OPLName_1" localSheetId="9">[9]Обновление!#REF!</definedName>
    <definedName name="OPLName_1">[9]Обновление!#REF!</definedName>
    <definedName name="oppp" localSheetId="10">#REF!</definedName>
    <definedName name="oppp" localSheetId="9">#REF!</definedName>
    <definedName name="oppp">#REF!</definedName>
    <definedName name="p" localSheetId="10">[8]Лист1!#REF!</definedName>
    <definedName name="p" localSheetId="12" hidden="1">{#N/A,#N/A,TRUE,"Смета на пасс. обор. №1"}</definedName>
    <definedName name="p" localSheetId="111" hidden="1">{#N/A,#N/A,TRUE,"Смета на пасс. обор. №1"}</definedName>
    <definedName name="p" localSheetId="112" hidden="1">{#N/A,#N/A,TRUE,"Смета на пасс. обор. №1"}</definedName>
    <definedName name="p" localSheetId="113" hidden="1">{#N/A,#N/A,TRUE,"Смета на пасс. обор. №1"}</definedName>
    <definedName name="p" localSheetId="114" hidden="1">{#N/A,#N/A,TRUE,"Смета на пасс. обор. №1"}</definedName>
    <definedName name="p" localSheetId="115" hidden="1">{#N/A,#N/A,TRUE,"Смета на пасс. обор. №1"}</definedName>
    <definedName name="p" localSheetId="116" hidden="1">{#N/A,#N/A,TRUE,"Смета на пасс. обор. №1"}</definedName>
    <definedName name="p" localSheetId="117" hidden="1">{#N/A,#N/A,TRUE,"Смета на пасс. обор. №1"}</definedName>
    <definedName name="p" localSheetId="118" hidden="1">{#N/A,#N/A,TRUE,"Смета на пасс. обор. №1"}</definedName>
    <definedName name="p" localSheetId="121" hidden="1">{#N/A,#N/A,TRUE,"Смета на пасс. обор. №1"}</definedName>
    <definedName name="p" localSheetId="122" hidden="1">{#N/A,#N/A,TRUE,"Смета на пасс. обор. №1"}</definedName>
    <definedName name="p" localSheetId="8">[8]Лист1!#REF!</definedName>
    <definedName name="p" localSheetId="11">[8]Лист1!#REF!</definedName>
    <definedName name="p" localSheetId="110" hidden="1">{#N/A,#N/A,TRUE,"Смета на пасс. обор. №1"}</definedName>
    <definedName name="p" localSheetId="109" hidden="1">{#N/A,#N/A,TRUE,"Смета на пасс. обор. №1"}</definedName>
    <definedName name="p" localSheetId="108" hidden="1">{#N/A,#N/A,TRUE,"Смета на пасс. обор. №1"}</definedName>
    <definedName name="p" localSheetId="6">[8]Лист1!#REF!</definedName>
    <definedName name="p" localSheetId="9">[8]Лист1!#REF!</definedName>
    <definedName name="p" localSheetId="7" hidden="1">{#N/A,#N/A,TRUE,"Смета на пасс. обор. №1"}</definedName>
    <definedName name="p" localSheetId="92" hidden="1">{#N/A,#N/A,TRUE,"Смета на пасс. обор. №1"}</definedName>
    <definedName name="p" localSheetId="93" hidden="1">{#N/A,#N/A,TRUE,"Смета на пасс. обор. №1"}</definedName>
    <definedName name="p" localSheetId="94" hidden="1">{#N/A,#N/A,TRUE,"Смета на пасс. обор. №1"}</definedName>
    <definedName name="p" localSheetId="99" hidden="1">{#N/A,#N/A,TRUE,"Смета на пасс. обор. №1"}</definedName>
    <definedName name="p" localSheetId="100" hidden="1">{#N/A,#N/A,TRUE,"Смета на пасс. обор. №1"}</definedName>
    <definedName name="p" localSheetId="106" hidden="1">{#N/A,#N/A,TRUE,"Смета на пасс. обор. №1"}</definedName>
    <definedName name="p" localSheetId="2" hidden="1">{#N/A,#N/A,TRUE,"Смета на пасс. обор. №1"}</definedName>
    <definedName name="p" localSheetId="123" hidden="1">{#N/A,#N/A,TRUE,"Смета на пасс. обор. №1"}</definedName>
    <definedName name="p" localSheetId="4" hidden="1">{#N/A,#N/A,TRUE,"Смета на пасс. обор. №1"}</definedName>
    <definedName name="p" localSheetId="13" hidden="1">{#N/A,#N/A,TRUE,"Смета на пасс. обор. №1"}</definedName>
    <definedName name="p" hidden="1">{#N/A,#N/A,TRUE,"Смета на пасс. обор. №1"}</definedName>
    <definedName name="p_1" localSheetId="10">[9]Product!#REF!</definedName>
    <definedName name="p_1" localSheetId="12" hidden="1">{#N/A,#N/A,TRUE,"Смета на пасс. обор. №1"}</definedName>
    <definedName name="p_1" localSheetId="111" hidden="1">{#N/A,#N/A,TRUE,"Смета на пасс. обор. №1"}</definedName>
    <definedName name="p_1" localSheetId="112" hidden="1">{#N/A,#N/A,TRUE,"Смета на пасс. обор. №1"}</definedName>
    <definedName name="p_1" localSheetId="113" hidden="1">{#N/A,#N/A,TRUE,"Смета на пасс. обор. №1"}</definedName>
    <definedName name="p_1" localSheetId="114" hidden="1">{#N/A,#N/A,TRUE,"Смета на пасс. обор. №1"}</definedName>
    <definedName name="p_1" localSheetId="115" hidden="1">{#N/A,#N/A,TRUE,"Смета на пасс. обор. №1"}</definedName>
    <definedName name="p_1" localSheetId="116" hidden="1">{#N/A,#N/A,TRUE,"Смета на пасс. обор. №1"}</definedName>
    <definedName name="p_1" localSheetId="117" hidden="1">{#N/A,#N/A,TRUE,"Смета на пасс. обор. №1"}</definedName>
    <definedName name="p_1" localSheetId="118" hidden="1">{#N/A,#N/A,TRUE,"Смета на пасс. обор. №1"}</definedName>
    <definedName name="p_1" localSheetId="121" hidden="1">{#N/A,#N/A,TRUE,"Смета на пасс. обор. №1"}</definedName>
    <definedName name="p_1" localSheetId="122" hidden="1">{#N/A,#N/A,TRUE,"Смета на пасс. обор. №1"}</definedName>
    <definedName name="p_1" localSheetId="8">[9]Product!#REF!</definedName>
    <definedName name="p_1" localSheetId="11">[9]Product!#REF!</definedName>
    <definedName name="p_1" localSheetId="110" hidden="1">{#N/A,#N/A,TRUE,"Смета на пасс. обор. №1"}</definedName>
    <definedName name="p_1" localSheetId="109" hidden="1">{#N/A,#N/A,TRUE,"Смета на пасс. обор. №1"}</definedName>
    <definedName name="p_1" localSheetId="108" hidden="1">{#N/A,#N/A,TRUE,"Смета на пасс. обор. №1"}</definedName>
    <definedName name="p_1" localSheetId="6">[9]Product!#REF!</definedName>
    <definedName name="p_1" localSheetId="9">[9]Product!#REF!</definedName>
    <definedName name="p_1" localSheetId="7" hidden="1">{#N/A,#N/A,TRUE,"Смета на пасс. обор. №1"}</definedName>
    <definedName name="p_1" localSheetId="92" hidden="1">{#N/A,#N/A,TRUE,"Смета на пасс. обор. №1"}</definedName>
    <definedName name="p_1" localSheetId="93" hidden="1">{#N/A,#N/A,TRUE,"Смета на пасс. обор. №1"}</definedName>
    <definedName name="p_1" localSheetId="94" hidden="1">{#N/A,#N/A,TRUE,"Смета на пасс. обор. №1"}</definedName>
    <definedName name="p_1" localSheetId="99" hidden="1">{#N/A,#N/A,TRUE,"Смета на пасс. обор. №1"}</definedName>
    <definedName name="p_1" localSheetId="100" hidden="1">{#N/A,#N/A,TRUE,"Смета на пасс. обор. №1"}</definedName>
    <definedName name="p_1" localSheetId="106" hidden="1">{#N/A,#N/A,TRUE,"Смета на пасс. обор. №1"}</definedName>
    <definedName name="p_1" localSheetId="2" hidden="1">{#N/A,#N/A,TRUE,"Смета на пасс. обор. №1"}</definedName>
    <definedName name="p_1" localSheetId="123" hidden="1">{#N/A,#N/A,TRUE,"Смета на пасс. обор. №1"}</definedName>
    <definedName name="p_1" localSheetId="4" hidden="1">{#N/A,#N/A,TRUE,"Смета на пасс. обор. №1"}</definedName>
    <definedName name="p_1" localSheetId="13" hidden="1">{#N/A,#N/A,TRUE,"Смета на пасс. обор. №1"}</definedName>
    <definedName name="p_1" hidden="1">{#N/A,#N/A,TRUE,"Смета на пасс. обор. №1"}</definedName>
    <definedName name="pp" localSheetId="10">#REF!</definedName>
    <definedName name="pp" localSheetId="9">#REF!</definedName>
    <definedName name="pp">#REF!</definedName>
    <definedName name="ppp" localSheetId="10">#REF!</definedName>
    <definedName name="ppp" localSheetId="12">#REF!</definedName>
    <definedName name="ppp" localSheetId="116">#REF!</definedName>
    <definedName name="ppp" localSheetId="8">#REF!</definedName>
    <definedName name="ppp" localSheetId="11">#REF!</definedName>
    <definedName name="ppp" localSheetId="110">#REF!</definedName>
    <definedName name="ppp" localSheetId="109">#REF!</definedName>
    <definedName name="ppp" localSheetId="108">#REF!</definedName>
    <definedName name="ppp" localSheetId="6">#REF!</definedName>
    <definedName name="ppp" localSheetId="9">#REF!</definedName>
    <definedName name="ppp" localSheetId="7">#REF!</definedName>
    <definedName name="ppp" localSheetId="92">#REF!</definedName>
    <definedName name="ppp" localSheetId="93">#REF!</definedName>
    <definedName name="ppp" localSheetId="94">#REF!</definedName>
    <definedName name="ppp" localSheetId="99">#REF!</definedName>
    <definedName name="ppp" localSheetId="100">#REF!</definedName>
    <definedName name="ppp" localSheetId="106">#REF!</definedName>
    <definedName name="ppp">#REF!</definedName>
    <definedName name="pr" localSheetId="10">[15]Спецификация!#REF!</definedName>
    <definedName name="pr" localSheetId="12">[15]Спецификация!#REF!</definedName>
    <definedName name="pr" localSheetId="8">[15]Спецификация!#REF!</definedName>
    <definedName name="pr" localSheetId="11">[15]Спецификация!#REF!</definedName>
    <definedName name="pr" localSheetId="110">[15]Спецификация!#REF!</definedName>
    <definedName name="pr" localSheetId="6">[15]Спецификация!#REF!</definedName>
    <definedName name="pr" localSheetId="9">[15]Спецификация!#REF!</definedName>
    <definedName name="pr" localSheetId="7">[15]Спецификация!#REF!</definedName>
    <definedName name="pr">[15]Спецификация!#REF!</definedName>
    <definedName name="PriceRange" localSheetId="10">[8]Лист1!#REF!</definedName>
    <definedName name="PriceRange" localSheetId="9">[8]Лист1!#REF!</definedName>
    <definedName name="PriceRange">[8]Лист1!#REF!</definedName>
    <definedName name="PriceRange_1" localSheetId="10">[9]Цена!#REF!</definedName>
    <definedName name="PriceRange_1" localSheetId="9">[9]Цена!#REF!</definedName>
    <definedName name="PriceRange_1">[9]Цена!#REF!</definedName>
    <definedName name="Print_Area" localSheetId="124">' Калькуляция №1'!A:N</definedName>
    <definedName name="Print_Area" localSheetId="16">' ЛСР 01-01-01'!A:N</definedName>
    <definedName name="Print_Area" localSheetId="43">' ЛСР 03-01-08'!A:N</definedName>
    <definedName name="Print_Area" localSheetId="17">'ЛСР 01-01-02'!A:N</definedName>
    <definedName name="Print_Area" localSheetId="20">'ЛСР 01-02-01'!A:N</definedName>
    <definedName name="Print_Area" localSheetId="21">'ЛСР 01-02-02'!A:N</definedName>
    <definedName name="Print_Area" localSheetId="22">'ЛСР 01-02-03'!A:N</definedName>
    <definedName name="Print_Area" localSheetId="23">'ЛСР 01-03-01 '!A:N</definedName>
    <definedName name="Print_Area" localSheetId="27">'ЛСР 02-01-01'!A:N</definedName>
    <definedName name="Print_Area" localSheetId="28">'ЛСР 02-01-02'!A:N</definedName>
    <definedName name="Print_Area" localSheetId="29">'ЛСР 02-01-03'!A:N</definedName>
    <definedName name="Print_Area" localSheetId="30">'ЛСР 02-01-04'!A:N</definedName>
    <definedName name="Print_Area" localSheetId="31">'ЛСР 02-01-05'!A:N</definedName>
    <definedName name="Print_Area" localSheetId="32">'ЛСР 02-01-06'!A:N</definedName>
    <definedName name="Print_Area" localSheetId="33">'ЛСР 02-01-07'!A:N</definedName>
    <definedName name="Print_Area" localSheetId="36">'ЛСР 03-01-01'!A:N</definedName>
    <definedName name="Print_Area" localSheetId="37">'ЛСР 03-01-02'!A:N</definedName>
    <definedName name="Print_Area" localSheetId="38">'ЛСР 03-01-03'!A:N</definedName>
    <definedName name="Print_Area" localSheetId="39">'ЛСР 03-01-04'!A:N</definedName>
    <definedName name="Print_Area" localSheetId="40">'ЛСР 03-01-05'!A:N</definedName>
    <definedName name="Print_Area" localSheetId="41">'ЛСР 03-01-06'!A:N</definedName>
    <definedName name="Print_Area" localSheetId="42">'ЛСР 03-01-07'!A:N</definedName>
    <definedName name="Print_Area" localSheetId="44">'ЛСР 03-01-09'!A:N</definedName>
    <definedName name="Print_Area" localSheetId="45">'ЛСР 03-01-10'!A:N</definedName>
    <definedName name="Print_Area" localSheetId="46">'ЛСР 03-01-11'!A:N</definedName>
    <definedName name="Print_Area" localSheetId="47">'ЛСР 03-01-12'!A:N</definedName>
    <definedName name="Print_Area" localSheetId="50">'ЛСР 03-02-01 '!A:N</definedName>
    <definedName name="Print_Area" localSheetId="51">'ЛСР 03-02-02'!A:N</definedName>
    <definedName name="Print_Area" localSheetId="52">'ЛСР 03-02-03'!A:N</definedName>
    <definedName name="Print_Area" localSheetId="55">'ЛСР 03-03-01'!A:N</definedName>
    <definedName name="Print_Area" localSheetId="56">'ЛСР 03-03-02'!A:N</definedName>
    <definedName name="Print_Area" localSheetId="57">'ЛСР 03-03-03'!A:N</definedName>
    <definedName name="Print_Area" localSheetId="58">'ЛСР 03-04-01'!A:N</definedName>
    <definedName name="Print_Area" localSheetId="61">'ЛСР 04-01-01'!A:N</definedName>
    <definedName name="Print_Area" localSheetId="62">'ЛСР 04-01-02'!A:N</definedName>
    <definedName name="Print_Area" localSheetId="65">'ЛСР 04-02-01'!A:N</definedName>
    <definedName name="Print_Area" localSheetId="66">'ЛСР 04-02-02'!A:N</definedName>
    <definedName name="Print_Area" localSheetId="67">'ЛСР 05-01-01'!A:N</definedName>
    <definedName name="Print_Area" localSheetId="70">'ЛСР 05-02-01'!A:N</definedName>
    <definedName name="Print_Area" localSheetId="71">'ЛСР 05-02-02'!A:N</definedName>
    <definedName name="Print_Area" localSheetId="72">'ЛСР 05-02-03'!A:N</definedName>
    <definedName name="Print_Area" localSheetId="73">'ЛСР 05-03-01'!A:N</definedName>
    <definedName name="Print_Area" localSheetId="74">'ЛСР 06-01-01'!A:N</definedName>
    <definedName name="Print_Area" localSheetId="77">'ЛСР 06-02-01'!A:N</definedName>
    <definedName name="Print_Area" localSheetId="78">'ЛСР 06-02-02'!A:N</definedName>
    <definedName name="Print_Area" localSheetId="79">'ЛСР 06-02-03'!A:N</definedName>
    <definedName name="Print_Area" localSheetId="80">'ЛСР 06-02-04'!A:N</definedName>
    <definedName name="Print_Area" localSheetId="81">'ЛСР 06-02-05'!A:N</definedName>
    <definedName name="Print_Area" localSheetId="84">'ЛСР 07-01-01'!A:N</definedName>
    <definedName name="Print_Area" localSheetId="85">'ЛСР 07-01-02'!A:N</definedName>
    <definedName name="Print_Area" localSheetId="86">'ЛСР 07-01-03'!A:N</definedName>
    <definedName name="Print_Area" localSheetId="87">'ЛСР 07-01-04'!A:N</definedName>
    <definedName name="Print_Area" localSheetId="90">'ЛСР 07-02-01'!A:N</definedName>
    <definedName name="Print_Area" localSheetId="91">'ЛСР 07-02-02'!A:N</definedName>
    <definedName name="Print_Area" localSheetId="97">'ЛСР 09-04-01'!A:N</definedName>
    <definedName name="Print_Area" localSheetId="98">'ЛСР 09-04-02 '!A:N</definedName>
    <definedName name="Print_Titles" localSheetId="124">' Калькуляция №1'!38:38</definedName>
    <definedName name="Print_Titles" localSheetId="16">' ЛСР 01-01-01'!38:38</definedName>
    <definedName name="Print_Titles" localSheetId="43">' ЛСР 03-01-08'!38:38</definedName>
    <definedName name="Print_Titles" localSheetId="17">'ЛСР 01-01-02'!38:38</definedName>
    <definedName name="Print_Titles" localSheetId="20">'ЛСР 01-02-01'!38:38</definedName>
    <definedName name="Print_Titles" localSheetId="21">'ЛСР 01-02-02'!38:38</definedName>
    <definedName name="Print_Titles" localSheetId="22">'ЛСР 01-02-03'!38:38</definedName>
    <definedName name="Print_Titles" localSheetId="23">'ЛСР 01-03-01 '!32:32</definedName>
    <definedName name="Print_Titles" localSheetId="27">'ЛСР 02-01-01'!38:38</definedName>
    <definedName name="Print_Titles" localSheetId="28">'ЛСР 02-01-02'!38:38</definedName>
    <definedName name="Print_Titles" localSheetId="29">'ЛСР 02-01-03'!38:38</definedName>
    <definedName name="Print_Titles" localSheetId="30">'ЛСР 02-01-04'!38:38</definedName>
    <definedName name="Print_Titles" localSheetId="31">'ЛСР 02-01-05'!38:38</definedName>
    <definedName name="Print_Titles" localSheetId="32">'ЛСР 02-01-06'!32:32</definedName>
    <definedName name="Print_Titles" localSheetId="33">'ЛСР 02-01-07'!38:38</definedName>
    <definedName name="Print_Titles" localSheetId="36">'ЛСР 03-01-01'!38:38</definedName>
    <definedName name="Print_Titles" localSheetId="37">'ЛСР 03-01-02'!38:38</definedName>
    <definedName name="Print_Titles" localSheetId="38">'ЛСР 03-01-03'!38:38</definedName>
    <definedName name="Print_Titles" localSheetId="39">'ЛСР 03-01-04'!38:38</definedName>
    <definedName name="Print_Titles" localSheetId="40">'ЛСР 03-01-05'!38:38</definedName>
    <definedName name="Print_Titles" localSheetId="41">'ЛСР 03-01-06'!38:38</definedName>
    <definedName name="Print_Titles" localSheetId="42">'ЛСР 03-01-07'!38:38</definedName>
    <definedName name="Print_Titles" localSheetId="44">'ЛСР 03-01-09'!38:38</definedName>
    <definedName name="Print_Titles" localSheetId="45">'ЛСР 03-01-10'!38:38</definedName>
    <definedName name="Print_Titles" localSheetId="46">'ЛСР 03-01-11'!38:38</definedName>
    <definedName name="Print_Titles" localSheetId="47">'ЛСР 03-01-12'!38:38</definedName>
    <definedName name="Print_Titles" localSheetId="50">'ЛСР 03-02-01 '!38:38</definedName>
    <definedName name="Print_Titles" localSheetId="51">'ЛСР 03-02-02'!38:38</definedName>
    <definedName name="Print_Titles" localSheetId="52">'ЛСР 03-02-03'!38:38</definedName>
    <definedName name="Print_Titles" localSheetId="55">'ЛСР 03-03-01'!38:38</definedName>
    <definedName name="Print_Titles" localSheetId="56">'ЛСР 03-03-02'!38:38</definedName>
    <definedName name="Print_Titles" localSheetId="57">'ЛСР 03-03-03'!38:38</definedName>
    <definedName name="Print_Titles" localSheetId="58">'ЛСР 03-04-01'!38:38</definedName>
    <definedName name="Print_Titles" localSheetId="61">'ЛСР 04-01-01'!38:38</definedName>
    <definedName name="Print_Titles" localSheetId="62">'ЛСР 04-01-02'!38:38</definedName>
    <definedName name="Print_Titles" localSheetId="65">'ЛСР 04-02-01'!38:38</definedName>
    <definedName name="Print_Titles" localSheetId="66">'ЛСР 04-02-02'!38:38</definedName>
    <definedName name="Print_Titles" localSheetId="67">'ЛСР 05-01-01'!38:38</definedName>
    <definedName name="Print_Titles" localSheetId="70">'ЛСР 05-02-01'!38:38</definedName>
    <definedName name="Print_Titles" localSheetId="71">'ЛСР 05-02-02'!38:38</definedName>
    <definedName name="Print_Titles" localSheetId="72">'ЛСР 05-02-03'!38:38</definedName>
    <definedName name="Print_Titles" localSheetId="73">'ЛСР 05-03-01'!38:38</definedName>
    <definedName name="Print_Titles" localSheetId="74">'ЛСР 06-01-01'!38:38</definedName>
    <definedName name="Print_Titles" localSheetId="77">'ЛСР 06-02-01'!38:38</definedName>
    <definedName name="Print_Titles" localSheetId="78">'ЛСР 06-02-02'!38:38</definedName>
    <definedName name="Print_Titles" localSheetId="79">'ЛСР 06-02-03'!38:38</definedName>
    <definedName name="Print_Titles" localSheetId="80">'ЛСР 06-02-04'!38:38</definedName>
    <definedName name="Print_Titles" localSheetId="81">'ЛСР 06-02-05'!38:38</definedName>
    <definedName name="Print_Titles" localSheetId="84">'ЛСР 07-01-01'!38:38</definedName>
    <definedName name="Print_Titles" localSheetId="85">'ЛСР 07-01-02'!38:38</definedName>
    <definedName name="Print_Titles" localSheetId="86">'ЛСР 07-01-03'!38:38</definedName>
    <definedName name="Print_Titles" localSheetId="87">'ЛСР 07-01-04'!38:38</definedName>
    <definedName name="Print_Titles" localSheetId="90">'ЛСР 07-02-01'!38:38</definedName>
    <definedName name="Print_Titles" localSheetId="91">'ЛСР 07-02-02'!38:38</definedName>
    <definedName name="Print_Titles" localSheetId="97">'ЛСР 09-04-01'!38:38</definedName>
    <definedName name="Print_Titles" localSheetId="98">'ЛСР 09-04-02 '!38:38</definedName>
    <definedName name="Print_Titles" localSheetId="15">'ОСР 01-01 (2021г)'!$24:$24</definedName>
    <definedName name="Print_Titles" localSheetId="14">'ОСР 01-01(2000г)'!$24:$24</definedName>
    <definedName name="Print_Titles" localSheetId="18">'ОСР 01-02(2000г)'!$24:$24</definedName>
    <definedName name="Print_Titles" localSheetId="19">'ОСР 01-02(2021г)'!$24:$24</definedName>
    <definedName name="Print_Titles" localSheetId="25">'ОСР 02-01(2000г)'!$24:$24</definedName>
    <definedName name="Print_Titles" localSheetId="26">'ОСР 02-01(2021г)'!$24:$24</definedName>
    <definedName name="Print_Titles" localSheetId="34">'ОСР 03-01(2000г)'!$24:$24</definedName>
    <definedName name="Print_Titles" localSheetId="35">'ОСР 03-01(2021г)'!$24:$24</definedName>
    <definedName name="Print_Titles" localSheetId="48">'ОСР 03-02(2000г)'!$24:$24</definedName>
    <definedName name="Print_Titles" localSheetId="49">'ОСР 03-02(2021г)'!$24:$24</definedName>
    <definedName name="Print_Titles" localSheetId="53">'ОСР 03-03(2000г)'!$24:$24</definedName>
    <definedName name="Print_Titles" localSheetId="59">'ОСР 04-01(2000г)'!$24:$24</definedName>
    <definedName name="Print_Titles" localSheetId="63">'ОСР 04-02(2000г)'!$24:$24</definedName>
    <definedName name="Print_Titles" localSheetId="68">'ОСР 05-02(2000г)'!$24:$24</definedName>
    <definedName name="Print_Titles" localSheetId="69">'ОСР 05-02(2021г)'!$24:$24</definedName>
    <definedName name="Print_Titles" localSheetId="75">'ОСР 06-02(2000г)'!$24:$24</definedName>
    <definedName name="Print_Titles" localSheetId="82">'ОСР 07-01(2000г)'!$24:$24</definedName>
    <definedName name="Print_Titles" localSheetId="88">'ОСР 07-02(2000г)'!$24:$24</definedName>
    <definedName name="Print_Titles" localSheetId="89">'ОСР 07-02(2021г)'!$24:$24</definedName>
    <definedName name="Print_Titles" localSheetId="96">'ОСР 09-04 (2021г)'!$24:$24</definedName>
    <definedName name="Print_Titles" localSheetId="95">'ОСР 09-04(2000г)'!$24:$24</definedName>
    <definedName name="Print_Titles" localSheetId="54">'ОСР03-03(2021г)'!$24:$24</definedName>
    <definedName name="Print_Titles" localSheetId="60">'ОСР04-01(2021г)'!$24:$24</definedName>
    <definedName name="Print_Titles" localSheetId="64">'ОСР04-02(2021г)'!$24:$24</definedName>
    <definedName name="Print_Titles" localSheetId="76">'ОСР06-02(2021г)'!$24:$24</definedName>
    <definedName name="Print_Titles" localSheetId="83">'ОСР07-01(2021г)'!$24:$24</definedName>
    <definedName name="Profit" localSheetId="10">[11]Lucent!#REF!</definedName>
    <definedName name="Profit" localSheetId="12">[11]Lucent!#REF!</definedName>
    <definedName name="Profit" localSheetId="116">[11]Lucent!#REF!</definedName>
    <definedName name="Profit" localSheetId="117">[11]Lucent!#REF!</definedName>
    <definedName name="Profit" localSheetId="118">[11]Lucent!#REF!</definedName>
    <definedName name="Profit" localSheetId="110">[11]Lucent!#REF!</definedName>
    <definedName name="Profit" localSheetId="109">[11]Lucent!#REF!</definedName>
    <definedName name="Profit" localSheetId="108">[11]Lucent!#REF!</definedName>
    <definedName name="Profit" localSheetId="9">[11]Lucent!#REF!</definedName>
    <definedName name="Profit" localSheetId="123">[11]Lucent!#REF!</definedName>
    <definedName name="Profit" localSheetId="4">[11]Lucent!#REF!</definedName>
    <definedName name="Profit" localSheetId="13">[11]Lucent!#REF!</definedName>
    <definedName name="Profit">[11]Lucent!#REF!</definedName>
    <definedName name="profit2" localSheetId="10">[11]Lucent!#REF!</definedName>
    <definedName name="profit2" localSheetId="12">[11]Lucent!#REF!</definedName>
    <definedName name="profit2" localSheetId="110">[11]Lucent!#REF!</definedName>
    <definedName name="profit2" localSheetId="9">[11]Lucent!#REF!</definedName>
    <definedName name="profit2" localSheetId="4">[11]Lucent!#REF!</definedName>
    <definedName name="profit2" localSheetId="13">[11]Lucent!#REF!</definedName>
    <definedName name="profit2">[11]Lucent!#REF!</definedName>
    <definedName name="ProfitLucent">1.65</definedName>
    <definedName name="PROJ" localSheetId="10">[15]Спецификация!#REF!</definedName>
    <definedName name="PROJ" localSheetId="12">[15]Спецификация!#REF!</definedName>
    <definedName name="PROJ" localSheetId="111">[15]Спецификация!#REF!</definedName>
    <definedName name="PROJ" localSheetId="112">[15]Спецификация!#REF!</definedName>
    <definedName name="PROJ" localSheetId="113">[15]Спецификация!#REF!</definedName>
    <definedName name="PROJ" localSheetId="114">[15]Спецификация!#REF!</definedName>
    <definedName name="PROJ" localSheetId="115">[15]Спецификация!#REF!</definedName>
    <definedName name="PROJ" localSheetId="116">[15]Спецификация!#REF!</definedName>
    <definedName name="PROJ" localSheetId="117">[15]Спецификация!#REF!</definedName>
    <definedName name="PROJ" localSheetId="118">[15]Спецификация!#REF!</definedName>
    <definedName name="PROJ" localSheetId="121">[15]Спецификация!#REF!</definedName>
    <definedName name="PROJ" localSheetId="122">[15]Спецификация!#REF!</definedName>
    <definedName name="PROJ" localSheetId="8">[15]Спецификация!#REF!</definedName>
    <definedName name="PROJ" localSheetId="11">[15]Спецификация!#REF!</definedName>
    <definedName name="PROJ" localSheetId="110">[15]Спецификация!#REF!</definedName>
    <definedName name="PROJ" localSheetId="109">[15]Спецификация!#REF!</definedName>
    <definedName name="PROJ" localSheetId="108">[15]Спецификация!#REF!</definedName>
    <definedName name="PROJ" localSheetId="6">[15]Спецификация!#REF!</definedName>
    <definedName name="PROJ" localSheetId="9">[15]Спецификация!#REF!</definedName>
    <definedName name="PROJ" localSheetId="7">[15]Спецификация!#REF!</definedName>
    <definedName name="PROJ" localSheetId="92">[15]Спецификация!#REF!</definedName>
    <definedName name="PROJ" localSheetId="93">[15]Спецификация!#REF!</definedName>
    <definedName name="PROJ" localSheetId="94">[15]Спецификация!#REF!</definedName>
    <definedName name="PROJ" localSheetId="99">[15]Спецификация!#REF!</definedName>
    <definedName name="PROJ" localSheetId="100">[15]Спецификация!#REF!</definedName>
    <definedName name="PROJ" localSheetId="106">[15]Спецификация!#REF!</definedName>
    <definedName name="PROJ">[15]Спецификация!#REF!</definedName>
    <definedName name="propis" localSheetId="10">#REF!</definedName>
    <definedName name="propis" localSheetId="9">#REF!</definedName>
    <definedName name="propis">#REF!</definedName>
    <definedName name="q" localSheetId="10">#REF!</definedName>
    <definedName name="q" localSheetId="12">#REF!</definedName>
    <definedName name="q" localSheetId="116">#REF!</definedName>
    <definedName name="q" localSheetId="8">#REF!</definedName>
    <definedName name="q" localSheetId="11">#REF!</definedName>
    <definedName name="q" localSheetId="110">#REF!</definedName>
    <definedName name="q" localSheetId="109">#REF!</definedName>
    <definedName name="q" localSheetId="108">#REF!</definedName>
    <definedName name="q" localSheetId="6">#REF!</definedName>
    <definedName name="q" localSheetId="9">#REF!</definedName>
    <definedName name="q" localSheetId="7">#REF!</definedName>
    <definedName name="q" localSheetId="92">#REF!</definedName>
    <definedName name="q" localSheetId="93">#REF!</definedName>
    <definedName name="q" localSheetId="94">#REF!</definedName>
    <definedName name="q" localSheetId="99">#REF!</definedName>
    <definedName name="q" localSheetId="100">#REF!</definedName>
    <definedName name="q" localSheetId="106">#REF!</definedName>
    <definedName name="q">#REF!</definedName>
    <definedName name="qqq" localSheetId="10" hidden="1">{#N/A,#N/A,TRUE,"Смета на пасс. обор. №1"}</definedName>
    <definedName name="qqq" localSheetId="12" hidden="1">{#N/A,#N/A,TRUE,"Смета на пасс. обор. №1"}</definedName>
    <definedName name="qqq" localSheetId="111" hidden="1">{#N/A,#N/A,TRUE,"Смета на пасс. обор. №1"}</definedName>
    <definedName name="qqq" localSheetId="112" hidden="1">{#N/A,#N/A,TRUE,"Смета на пасс. обор. №1"}</definedName>
    <definedName name="qqq" localSheetId="113" hidden="1">{#N/A,#N/A,TRUE,"Смета на пасс. обор. №1"}</definedName>
    <definedName name="qqq" localSheetId="114" hidden="1">{#N/A,#N/A,TRUE,"Смета на пасс. обор. №1"}</definedName>
    <definedName name="qqq" localSheetId="115" hidden="1">{#N/A,#N/A,TRUE,"Смета на пасс. обор. №1"}</definedName>
    <definedName name="qqq" localSheetId="116" hidden="1">{#N/A,#N/A,TRUE,"Смета на пасс. обор. №1"}</definedName>
    <definedName name="qqq" localSheetId="117" hidden="1">{#N/A,#N/A,TRUE,"Смета на пасс. обор. №1"}</definedName>
    <definedName name="qqq" localSheetId="118" hidden="1">{#N/A,#N/A,TRUE,"Смета на пасс. обор. №1"}</definedName>
    <definedName name="qqq" localSheetId="121" hidden="1">{#N/A,#N/A,TRUE,"Смета на пасс. обор. №1"}</definedName>
    <definedName name="qqq" localSheetId="122" hidden="1">{#N/A,#N/A,TRUE,"Смета на пасс. обор. №1"}</definedName>
    <definedName name="qqq" localSheetId="8" hidden="1">{#N/A,#N/A,TRUE,"Смета на пасс. обор. №1"}</definedName>
    <definedName name="qqq" localSheetId="11" hidden="1">{#N/A,#N/A,TRUE,"Смета на пасс. обор. №1"}</definedName>
    <definedName name="qqq" localSheetId="110" hidden="1">{#N/A,#N/A,TRUE,"Смета на пасс. обор. №1"}</definedName>
    <definedName name="qqq" localSheetId="109" hidden="1">{#N/A,#N/A,TRUE,"Смета на пасс. обор. №1"}</definedName>
    <definedName name="qqq" localSheetId="108" hidden="1">{#N/A,#N/A,TRUE,"Смета на пасс. обор. №1"}</definedName>
    <definedName name="qqq" localSheetId="6" hidden="1">{#N/A,#N/A,TRUE,"Смета на пасс. обор. №1"}</definedName>
    <definedName name="qqq" localSheetId="9" hidden="1">{#N/A,#N/A,TRUE,"Смета на пасс. обор. №1"}</definedName>
    <definedName name="qqq" localSheetId="7" hidden="1">{#N/A,#N/A,TRUE,"Смета на пасс. обор. №1"}</definedName>
    <definedName name="qqq" localSheetId="92" hidden="1">{#N/A,#N/A,TRUE,"Смета на пасс. обор. №1"}</definedName>
    <definedName name="qqq" localSheetId="93" hidden="1">{#N/A,#N/A,TRUE,"Смета на пасс. обор. №1"}</definedName>
    <definedName name="qqq" localSheetId="94" hidden="1">{#N/A,#N/A,TRUE,"Смета на пасс. обор. №1"}</definedName>
    <definedName name="qqq" localSheetId="99" hidden="1">{#N/A,#N/A,TRUE,"Смета на пасс. обор. №1"}</definedName>
    <definedName name="qqq" localSheetId="100" hidden="1">{#N/A,#N/A,TRUE,"Смета на пасс. обор. №1"}</definedName>
    <definedName name="qqq" localSheetId="106" hidden="1">{#N/A,#N/A,TRUE,"Смета на пасс. обор. №1"}</definedName>
    <definedName name="qqq" localSheetId="2" hidden="1">{#N/A,#N/A,TRUE,"Смета на пасс. обор. №1"}</definedName>
    <definedName name="qqq" localSheetId="123" hidden="1">{#N/A,#N/A,TRUE,"Смета на пасс. обор. №1"}</definedName>
    <definedName name="qqq" localSheetId="4" hidden="1">{#N/A,#N/A,TRUE,"Смета на пасс. обор. №1"}</definedName>
    <definedName name="qqq" localSheetId="13" hidden="1">{#N/A,#N/A,TRUE,"Смета на пасс. обор. №1"}</definedName>
    <definedName name="qqq" hidden="1">{#N/A,#N/A,TRUE,"Смета на пасс. обор. №1"}</definedName>
    <definedName name="qqq_1" localSheetId="10" hidden="1">{#N/A,#N/A,TRUE,"Смета на пасс. обор. №1"}</definedName>
    <definedName name="qqq_1" localSheetId="12" hidden="1">{#N/A,#N/A,TRUE,"Смета на пасс. обор. №1"}</definedName>
    <definedName name="qqq_1" localSheetId="111" hidden="1">{#N/A,#N/A,TRUE,"Смета на пасс. обор. №1"}</definedName>
    <definedName name="qqq_1" localSheetId="112" hidden="1">{#N/A,#N/A,TRUE,"Смета на пасс. обор. №1"}</definedName>
    <definedName name="qqq_1" localSheetId="113" hidden="1">{#N/A,#N/A,TRUE,"Смета на пасс. обор. №1"}</definedName>
    <definedName name="qqq_1" localSheetId="114" hidden="1">{#N/A,#N/A,TRUE,"Смета на пасс. обор. №1"}</definedName>
    <definedName name="qqq_1" localSheetId="115" hidden="1">{#N/A,#N/A,TRUE,"Смета на пасс. обор. №1"}</definedName>
    <definedName name="qqq_1" localSheetId="116" hidden="1">{#N/A,#N/A,TRUE,"Смета на пасс. обор. №1"}</definedName>
    <definedName name="qqq_1" localSheetId="117" hidden="1">{#N/A,#N/A,TRUE,"Смета на пасс. обор. №1"}</definedName>
    <definedName name="qqq_1" localSheetId="118" hidden="1">{#N/A,#N/A,TRUE,"Смета на пасс. обор. №1"}</definedName>
    <definedName name="qqq_1" localSheetId="121" hidden="1">{#N/A,#N/A,TRUE,"Смета на пасс. обор. №1"}</definedName>
    <definedName name="qqq_1" localSheetId="122" hidden="1">{#N/A,#N/A,TRUE,"Смета на пасс. обор. №1"}</definedName>
    <definedName name="qqq_1" localSheetId="8" hidden="1">{#N/A,#N/A,TRUE,"Смета на пасс. обор. №1"}</definedName>
    <definedName name="qqq_1" localSheetId="11" hidden="1">{#N/A,#N/A,TRUE,"Смета на пасс. обор. №1"}</definedName>
    <definedName name="qqq_1" localSheetId="110" hidden="1">{#N/A,#N/A,TRUE,"Смета на пасс. обор. №1"}</definedName>
    <definedName name="qqq_1" localSheetId="109" hidden="1">{#N/A,#N/A,TRUE,"Смета на пасс. обор. №1"}</definedName>
    <definedName name="qqq_1" localSheetId="108" hidden="1">{#N/A,#N/A,TRUE,"Смета на пасс. обор. №1"}</definedName>
    <definedName name="qqq_1" localSheetId="6" hidden="1">{#N/A,#N/A,TRUE,"Смета на пасс. обор. №1"}</definedName>
    <definedName name="qqq_1" localSheetId="9" hidden="1">{#N/A,#N/A,TRUE,"Смета на пасс. обор. №1"}</definedName>
    <definedName name="qqq_1" localSheetId="7" hidden="1">{#N/A,#N/A,TRUE,"Смета на пасс. обор. №1"}</definedName>
    <definedName name="qqq_1" localSheetId="92" hidden="1">{#N/A,#N/A,TRUE,"Смета на пасс. обор. №1"}</definedName>
    <definedName name="qqq_1" localSheetId="93" hidden="1">{#N/A,#N/A,TRUE,"Смета на пасс. обор. №1"}</definedName>
    <definedName name="qqq_1" localSheetId="94" hidden="1">{#N/A,#N/A,TRUE,"Смета на пасс. обор. №1"}</definedName>
    <definedName name="qqq_1" localSheetId="99" hidden="1">{#N/A,#N/A,TRUE,"Смета на пасс. обор. №1"}</definedName>
    <definedName name="qqq_1" localSheetId="100" hidden="1">{#N/A,#N/A,TRUE,"Смета на пасс. обор. №1"}</definedName>
    <definedName name="qqq_1" localSheetId="106" hidden="1">{#N/A,#N/A,TRUE,"Смета на пасс. обор. №1"}</definedName>
    <definedName name="qqq_1" localSheetId="2" hidden="1">{#N/A,#N/A,TRUE,"Смета на пасс. обор. №1"}</definedName>
    <definedName name="qqq_1" localSheetId="123" hidden="1">{#N/A,#N/A,TRUE,"Смета на пасс. обор. №1"}</definedName>
    <definedName name="qqq_1" localSheetId="4" hidden="1">{#N/A,#N/A,TRUE,"Смета на пасс. обор. №1"}</definedName>
    <definedName name="qqq_1" localSheetId="13" hidden="1">{#N/A,#N/A,TRUE,"Смета на пасс. обор. №1"}</definedName>
    <definedName name="qqq_1" hidden="1">{#N/A,#N/A,TRUE,"Смета на пасс. обор. №1"}</definedName>
    <definedName name="qqqqqqq" localSheetId="10">[20]топография!#REF!</definedName>
    <definedName name="qqqqqqq" localSheetId="9">[20]топография!#REF!</definedName>
    <definedName name="qqqqqqq">[20]топография!#REF!</definedName>
    <definedName name="qqqqqqqqqqqqqqqqqqqqqqqqqqqqqqqqqqq" localSheetId="10">#REF!</definedName>
    <definedName name="qqqqqqqqqqqqqqqqqqqqqqqqqqqqqqqqqqq" localSheetId="9">#REF!</definedName>
    <definedName name="qqqqqqqqqqqqqqqqqqqqqqqqqqqqqqqqqqq">#REF!</definedName>
    <definedName name="QT_Type">"QT-2L"</definedName>
    <definedName name="qwer" localSheetId="10">#REF!</definedName>
    <definedName name="qwer" localSheetId="12">#REF!</definedName>
    <definedName name="qwer" localSheetId="116">#REF!</definedName>
    <definedName name="qwer" localSheetId="8">#REF!</definedName>
    <definedName name="qwer" localSheetId="11">#REF!</definedName>
    <definedName name="qwer" localSheetId="110">#REF!</definedName>
    <definedName name="qwer" localSheetId="109">#REF!</definedName>
    <definedName name="qwer" localSheetId="108">#REF!</definedName>
    <definedName name="qwer" localSheetId="6">#REF!</definedName>
    <definedName name="qwer" localSheetId="9">#REF!</definedName>
    <definedName name="qwer" localSheetId="7">#REF!</definedName>
    <definedName name="qwer" localSheetId="92">#REF!</definedName>
    <definedName name="qwer" localSheetId="93">#REF!</definedName>
    <definedName name="qwer" localSheetId="94">#REF!</definedName>
    <definedName name="qwer" localSheetId="99">#REF!</definedName>
    <definedName name="qwer" localSheetId="100">#REF!</definedName>
    <definedName name="qwer" localSheetId="106">#REF!</definedName>
    <definedName name="qwer">#REF!</definedName>
    <definedName name="R_Lst" localSheetId="10">#REF!</definedName>
    <definedName name="R_Lst" localSheetId="12">#REF!</definedName>
    <definedName name="R_Lst" localSheetId="116">#REF!</definedName>
    <definedName name="R_Lst" localSheetId="8">#REF!</definedName>
    <definedName name="R_Lst" localSheetId="11">#REF!</definedName>
    <definedName name="R_Lst" localSheetId="110">#REF!</definedName>
    <definedName name="R_Lst" localSheetId="6">#REF!</definedName>
    <definedName name="R_Lst" localSheetId="9">#REF!</definedName>
    <definedName name="R_Lst" localSheetId="7">#REF!</definedName>
    <definedName name="R_Lst" localSheetId="92">#REF!</definedName>
    <definedName name="R_Lst" localSheetId="93">#REF!</definedName>
    <definedName name="R_Lst" localSheetId="94">#REF!</definedName>
    <definedName name="R_Lst" localSheetId="99">#REF!</definedName>
    <definedName name="R_Lst" localSheetId="100">#REF!</definedName>
    <definedName name="R_Lst" localSheetId="106">#REF!</definedName>
    <definedName name="R_Lst">#REF!</definedName>
    <definedName name="R_Net" localSheetId="10">#REF!</definedName>
    <definedName name="R_Net" localSheetId="12">#REF!</definedName>
    <definedName name="R_Net" localSheetId="8">#REF!</definedName>
    <definedName name="R_Net" localSheetId="11">#REF!</definedName>
    <definedName name="R_Net" localSheetId="110">#REF!</definedName>
    <definedName name="R_Net" localSheetId="6">#REF!</definedName>
    <definedName name="R_Net" localSheetId="9">#REF!</definedName>
    <definedName name="R_Net" localSheetId="7">#REF!</definedName>
    <definedName name="R_Net" localSheetId="92">#REF!</definedName>
    <definedName name="R_Net" localSheetId="93">#REF!</definedName>
    <definedName name="R_Net" localSheetId="94">#REF!</definedName>
    <definedName name="R_Net" localSheetId="99">#REF!</definedName>
    <definedName name="R_Net" localSheetId="100">#REF!</definedName>
    <definedName name="R_Net" localSheetId="106">#REF!</definedName>
    <definedName name="R_Net">#REF!</definedName>
    <definedName name="Rate" localSheetId="10">#REF!</definedName>
    <definedName name="Rate" localSheetId="12">#REF!</definedName>
    <definedName name="Rate" localSheetId="110">#REF!</definedName>
    <definedName name="Rate" localSheetId="9">#REF!</definedName>
    <definedName name="Rate">#REF!</definedName>
    <definedName name="rehl" localSheetId="10">#REF!</definedName>
    <definedName name="rehl" localSheetId="9">#REF!</definedName>
    <definedName name="rehl">#REF!</definedName>
    <definedName name="rf" localSheetId="10">#REF!</definedName>
    <definedName name="rf" localSheetId="9">#REF!</definedName>
    <definedName name="rf">#REF!</definedName>
    <definedName name="Rit">[21]УКП!$H$3</definedName>
    <definedName name="rr" localSheetId="10">'[22]Пример расчета'!#REF!</definedName>
    <definedName name="rr" localSheetId="9">'[22]Пример расчета'!#REF!</definedName>
    <definedName name="rr">'[22]Пример расчета'!#REF!</definedName>
    <definedName name="rty" localSheetId="10">#REF!</definedName>
    <definedName name="rty" localSheetId="12">#REF!</definedName>
    <definedName name="rty" localSheetId="116">#REF!</definedName>
    <definedName name="rty" localSheetId="8">#REF!</definedName>
    <definedName name="rty" localSheetId="11">#REF!</definedName>
    <definedName name="rty" localSheetId="110">#REF!</definedName>
    <definedName name="rty" localSheetId="109">#REF!</definedName>
    <definedName name="rty" localSheetId="108">#REF!</definedName>
    <definedName name="rty" localSheetId="6">#REF!</definedName>
    <definedName name="rty" localSheetId="9">#REF!</definedName>
    <definedName name="rty" localSheetId="7">#REF!</definedName>
    <definedName name="rty" localSheetId="92">#REF!</definedName>
    <definedName name="rty" localSheetId="93">#REF!</definedName>
    <definedName name="rty" localSheetId="94">#REF!</definedName>
    <definedName name="rty" localSheetId="99">#REF!</definedName>
    <definedName name="rty" localSheetId="100">#REF!</definedName>
    <definedName name="rty" localSheetId="106">#REF!</definedName>
    <definedName name="rty" localSheetId="4">#REF!</definedName>
    <definedName name="rty" localSheetId="13">#REF!</definedName>
    <definedName name="rty">#REF!</definedName>
    <definedName name="rtyrty" localSheetId="10">#REF!</definedName>
    <definedName name="rtyrty" localSheetId="9">#REF!</definedName>
    <definedName name="rtyrty">#REF!</definedName>
    <definedName name="sd" localSheetId="10">#REF!</definedName>
    <definedName name="sd" localSheetId="12">#REF!</definedName>
    <definedName name="sd" localSheetId="116">#REF!</definedName>
    <definedName name="sd" localSheetId="8">#REF!</definedName>
    <definedName name="sd" localSheetId="11">#REF!</definedName>
    <definedName name="sd" localSheetId="110">#REF!</definedName>
    <definedName name="sd" localSheetId="6">#REF!</definedName>
    <definedName name="sd" localSheetId="9">#REF!</definedName>
    <definedName name="sd" localSheetId="7">#REF!</definedName>
    <definedName name="sd" localSheetId="92">#REF!</definedName>
    <definedName name="sd" localSheetId="93">#REF!</definedName>
    <definedName name="sd" localSheetId="94">#REF!</definedName>
    <definedName name="sd" localSheetId="99">#REF!</definedName>
    <definedName name="sd" localSheetId="100">#REF!</definedName>
    <definedName name="sd" localSheetId="106">#REF!</definedName>
    <definedName name="sd" localSheetId="4">#REF!</definedName>
    <definedName name="sd" localSheetId="13">#REF!</definedName>
    <definedName name="sd">#REF!</definedName>
    <definedName name="SD_DC" localSheetId="10">#REF!</definedName>
    <definedName name="SD_DC" localSheetId="9">#REF!</definedName>
    <definedName name="SD_DC">#REF!</definedName>
    <definedName name="sdd" localSheetId="10">[4]топография!#REF!</definedName>
    <definedName name="sdd" localSheetId="9">[4]топография!#REF!</definedName>
    <definedName name="sdd">[4]топография!#REF!</definedName>
    <definedName name="sddsdaD" localSheetId="10">[7]топография!#REF!</definedName>
    <definedName name="sddsdaD" localSheetId="9">[7]топография!#REF!</definedName>
    <definedName name="sddsdaD">[7]топография!#REF!</definedName>
    <definedName name="SDDsfd" localSheetId="10">#REF!</definedName>
    <definedName name="SDDsfd" localSheetId="9">#REF!</definedName>
    <definedName name="SDDsfd">#REF!</definedName>
    <definedName name="SDSA" localSheetId="10">#REF!</definedName>
    <definedName name="SDSA" localSheetId="9">#REF!</definedName>
    <definedName name="SDSA">#REF!</definedName>
    <definedName name="SF_SFs" localSheetId="10">#REF!</definedName>
    <definedName name="SF_SFs" localSheetId="9">#REF!</definedName>
    <definedName name="SF_SFs">#REF!</definedName>
    <definedName name="SM" localSheetId="10">#REF!</definedName>
    <definedName name="SM" localSheetId="12">#REF!</definedName>
    <definedName name="SM" localSheetId="110">#REF!</definedName>
    <definedName name="SM" localSheetId="9">#REF!</definedName>
    <definedName name="SM" localSheetId="92">#REF!</definedName>
    <definedName name="SM" localSheetId="93">#REF!</definedName>
    <definedName name="SM" localSheetId="94">#REF!</definedName>
    <definedName name="SM" localSheetId="99">#REF!</definedName>
    <definedName name="SM" localSheetId="100">#REF!</definedName>
    <definedName name="SM" localSheetId="106">#REF!</definedName>
    <definedName name="SM" localSheetId="4">#REF!</definedName>
    <definedName name="SM" localSheetId="13">#REF!</definedName>
    <definedName name="SM">#REF!</definedName>
    <definedName name="SM_SM" localSheetId="10">#REF!</definedName>
    <definedName name="SM_SM" localSheetId="12">#REF!</definedName>
    <definedName name="SM_SM" localSheetId="110">#REF!</definedName>
    <definedName name="SM_SM" localSheetId="9">#REF!</definedName>
    <definedName name="SM_SM">#REF!</definedName>
    <definedName name="SM_STO" localSheetId="10">#REF!</definedName>
    <definedName name="SM_STO" localSheetId="12">#REF!</definedName>
    <definedName name="SM_STO" localSheetId="110">#REF!</definedName>
    <definedName name="SM_STO" localSheetId="9">#REF!</definedName>
    <definedName name="SM_STO" localSheetId="7">#REF!</definedName>
    <definedName name="SM_STO">#REF!</definedName>
    <definedName name="SM_STO_1" localSheetId="10">'[23]СМЕТА проект'!#REF!</definedName>
    <definedName name="SM_STO_1" localSheetId="12">'[23]СМЕТА проект'!#REF!</definedName>
    <definedName name="SM_STO_1" localSheetId="110">'[23]СМЕТА проект'!#REF!</definedName>
    <definedName name="SM_STO_1" localSheetId="9">'[23]СМЕТА проект'!#REF!</definedName>
    <definedName name="SM_STO_1" localSheetId="7">'[23]СМЕТА проект'!#REF!</definedName>
    <definedName name="SM_STO_1">'[23]СМЕТА проект'!#REF!</definedName>
    <definedName name="SM_STO1" localSheetId="10">#REF!</definedName>
    <definedName name="SM_STO1" localSheetId="12">#REF!</definedName>
    <definedName name="SM_STO1" localSheetId="116">#REF!</definedName>
    <definedName name="SM_STO1" localSheetId="8">#REF!</definedName>
    <definedName name="SM_STO1" localSheetId="11">#REF!</definedName>
    <definedName name="SM_STO1" localSheetId="110">#REF!</definedName>
    <definedName name="SM_STO1" localSheetId="109">#REF!</definedName>
    <definedName name="SM_STO1" localSheetId="108">#REF!</definedName>
    <definedName name="SM_STO1" localSheetId="6">#REF!</definedName>
    <definedName name="SM_STO1" localSheetId="9">#REF!</definedName>
    <definedName name="SM_STO1" localSheetId="7">#REF!</definedName>
    <definedName name="SM_STO1" localSheetId="92">#REF!</definedName>
    <definedName name="SM_STO1" localSheetId="93">#REF!</definedName>
    <definedName name="SM_STO1" localSheetId="94">#REF!</definedName>
    <definedName name="SM_STO1" localSheetId="99">#REF!</definedName>
    <definedName name="SM_STO1" localSheetId="100">#REF!</definedName>
    <definedName name="SM_STO1" localSheetId="106">#REF!</definedName>
    <definedName name="SM_STO1" localSheetId="4">#REF!</definedName>
    <definedName name="SM_STO1" localSheetId="13">#REF!</definedName>
    <definedName name="SM_STO1">#REF!</definedName>
    <definedName name="SM_STO1_1" localSheetId="10">#REF!</definedName>
    <definedName name="SM_STO1_1" localSheetId="9">#REF!</definedName>
    <definedName name="SM_STO1_1">#REF!</definedName>
    <definedName name="SM_STO1_1_1" localSheetId="10">#REF!</definedName>
    <definedName name="SM_STO1_1_1" localSheetId="9">#REF!</definedName>
    <definedName name="SM_STO1_1_1">#REF!</definedName>
    <definedName name="SM_STO2" localSheetId="10">#REF!</definedName>
    <definedName name="SM_STO2" localSheetId="12">#REF!</definedName>
    <definedName name="SM_STO2" localSheetId="116">#REF!</definedName>
    <definedName name="SM_STO2" localSheetId="110">#REF!</definedName>
    <definedName name="SM_STO2" localSheetId="9">#REF!</definedName>
    <definedName name="SM_STO2" localSheetId="92">#REF!</definedName>
    <definedName name="SM_STO2" localSheetId="93">#REF!</definedName>
    <definedName name="SM_STO2" localSheetId="94">#REF!</definedName>
    <definedName name="SM_STO2" localSheetId="99">#REF!</definedName>
    <definedName name="SM_STO2" localSheetId="100">#REF!</definedName>
    <definedName name="SM_STO2" localSheetId="106">#REF!</definedName>
    <definedName name="SM_STO2" localSheetId="4">#REF!</definedName>
    <definedName name="SM_STO2" localSheetId="13">#REF!</definedName>
    <definedName name="SM_STO2">#REF!</definedName>
    <definedName name="SM_STO2_1" localSheetId="10">#REF!</definedName>
    <definedName name="SM_STO2_1" localSheetId="9">#REF!</definedName>
    <definedName name="SM_STO2_1">#REF!</definedName>
    <definedName name="SM_STO3" localSheetId="10">#REF!</definedName>
    <definedName name="SM_STO3" localSheetId="12">#REF!</definedName>
    <definedName name="SM_STO3" localSheetId="110">#REF!</definedName>
    <definedName name="SM_STO3" localSheetId="9">#REF!</definedName>
    <definedName name="SM_STO3" localSheetId="92">#REF!</definedName>
    <definedName name="SM_STO3" localSheetId="93">#REF!</definedName>
    <definedName name="SM_STO3" localSheetId="94">#REF!</definedName>
    <definedName name="SM_STO3" localSheetId="99">#REF!</definedName>
    <definedName name="SM_STO3" localSheetId="100">#REF!</definedName>
    <definedName name="SM_STO3" localSheetId="106">#REF!</definedName>
    <definedName name="SM_STO3" localSheetId="4">#REF!</definedName>
    <definedName name="SM_STO3" localSheetId="13">#REF!</definedName>
    <definedName name="SM_STO3">#REF!</definedName>
    <definedName name="SM_STO3_1" localSheetId="10">#REF!</definedName>
    <definedName name="SM_STO3_1" localSheetId="9">#REF!</definedName>
    <definedName name="SM_STO3_1">#REF!</definedName>
    <definedName name="Smmmmmmmmmmmmmmm" localSheetId="10">#REF!</definedName>
    <definedName name="Smmmmmmmmmmmmmmm" localSheetId="12">#REF!</definedName>
    <definedName name="Smmmmmmmmmmmmmmm" localSheetId="110">#REF!</definedName>
    <definedName name="Smmmmmmmmmmmmmmm" localSheetId="9">#REF!</definedName>
    <definedName name="Smmmmmmmmmmmmmmm">#REF!</definedName>
    <definedName name="Status" localSheetId="10">#REF!</definedName>
    <definedName name="Status" localSheetId="9">#REF!</definedName>
    <definedName name="Status">#REF!</definedName>
    <definedName name="SU_5" localSheetId="10">#REF!</definedName>
    <definedName name="SU_5" localSheetId="9">#REF!</definedName>
    <definedName name="SU_5">#REF!</definedName>
    <definedName name="SUM_" localSheetId="10">#REF!</definedName>
    <definedName name="SUM_" localSheetId="12">#REF!</definedName>
    <definedName name="SUM_" localSheetId="110">#REF!</definedName>
    <definedName name="SUM_" localSheetId="9">#REF!</definedName>
    <definedName name="SUM_" localSheetId="7">#REF!</definedName>
    <definedName name="SUM_">#REF!</definedName>
    <definedName name="SUM__1" localSheetId="10">#REF!</definedName>
    <definedName name="SUM__1" localSheetId="9">#REF!</definedName>
    <definedName name="SUM__1">#REF!</definedName>
    <definedName name="SUM_1" localSheetId="10">#REF!</definedName>
    <definedName name="SUM_1" localSheetId="12">#REF!</definedName>
    <definedName name="SUM_1" localSheetId="110">#REF!</definedName>
    <definedName name="SUM_1" localSheetId="9">#REF!</definedName>
    <definedName name="SUM_1">#REF!</definedName>
    <definedName name="SUM_1_1" localSheetId="10">#REF!</definedName>
    <definedName name="SUM_1_1" localSheetId="9">#REF!</definedName>
    <definedName name="SUM_1_1">#REF!</definedName>
    <definedName name="SUM_1_1_1" localSheetId="10">#REF!</definedName>
    <definedName name="SUM_1_1_1" localSheetId="9">#REF!</definedName>
    <definedName name="SUM_1_1_1">#REF!</definedName>
    <definedName name="sum_2" localSheetId="10">#REF!</definedName>
    <definedName name="sum_2" localSheetId="12">#REF!</definedName>
    <definedName name="sum_2" localSheetId="110">#REF!</definedName>
    <definedName name="sum_2" localSheetId="9">#REF!</definedName>
    <definedName name="sum_2">#REF!</definedName>
    <definedName name="SUM_3" localSheetId="10">#REF!</definedName>
    <definedName name="SUM_3" localSheetId="12">#REF!</definedName>
    <definedName name="SUM_3" localSheetId="110">#REF!</definedName>
    <definedName name="SUM_3" localSheetId="9">#REF!</definedName>
    <definedName name="SUM_3">#REF!</definedName>
    <definedName name="SUM_3_1" localSheetId="10">#REF!</definedName>
    <definedName name="SUM_3_1" localSheetId="9">#REF!</definedName>
    <definedName name="SUM_3_1">#REF!</definedName>
    <definedName name="sum_4" localSheetId="10">#REF!</definedName>
    <definedName name="sum_4" localSheetId="12">#REF!</definedName>
    <definedName name="sum_4" localSheetId="110">#REF!</definedName>
    <definedName name="sum_4" localSheetId="9">#REF!</definedName>
    <definedName name="sum_4">#REF!</definedName>
    <definedName name="SV" localSheetId="10">#REF!</definedName>
    <definedName name="SV" localSheetId="12">#REF!</definedName>
    <definedName name="SV" localSheetId="110">#REF!</definedName>
    <definedName name="SV" localSheetId="9">#REF!</definedName>
    <definedName name="SV">#REF!</definedName>
    <definedName name="SV_25" localSheetId="10">#REF!</definedName>
    <definedName name="SV_25" localSheetId="9">#REF!</definedName>
    <definedName name="SV_25">#REF!</definedName>
    <definedName name="SV_STO" localSheetId="10">#REF!</definedName>
    <definedName name="SV_STO" localSheetId="12">#REF!</definedName>
    <definedName name="SV_STO" localSheetId="110">#REF!</definedName>
    <definedName name="SV_STO" localSheetId="9">#REF!</definedName>
    <definedName name="SV_STO">#REF!</definedName>
    <definedName name="t" localSheetId="10">#REF!</definedName>
    <definedName name="t" localSheetId="9">#REF!</definedName>
    <definedName name="t">#REF!</definedName>
    <definedName name="Time_diff" localSheetId="10">#REF!</definedName>
    <definedName name="Time_diff" localSheetId="9">#REF!</definedName>
    <definedName name="Time_diff">#REF!</definedName>
    <definedName name="Times" localSheetId="10">#REF!</definedName>
    <definedName name="Times" localSheetId="12">#REF!</definedName>
    <definedName name="Times" localSheetId="110">#REF!</definedName>
    <definedName name="Times" localSheetId="9">#REF!</definedName>
    <definedName name="Times">#REF!</definedName>
    <definedName name="Times_1" localSheetId="10">#REF!</definedName>
    <definedName name="Times_1" localSheetId="12">#REF!</definedName>
    <definedName name="Times_1" localSheetId="110">#REF!</definedName>
    <definedName name="Times_1" localSheetId="9">#REF!</definedName>
    <definedName name="Times_1">#REF!</definedName>
    <definedName name="Times_10" localSheetId="10">#REF!</definedName>
    <definedName name="Times_10" localSheetId="12">#REF!</definedName>
    <definedName name="Times_10" localSheetId="110">#REF!</definedName>
    <definedName name="Times_10" localSheetId="9">#REF!</definedName>
    <definedName name="Times_10">#REF!</definedName>
    <definedName name="Times_11" localSheetId="10">#REF!</definedName>
    <definedName name="Times_11" localSheetId="12">#REF!</definedName>
    <definedName name="Times_11" localSheetId="110">#REF!</definedName>
    <definedName name="Times_11" localSheetId="9">#REF!</definedName>
    <definedName name="Times_11">#REF!</definedName>
    <definedName name="Times_12" localSheetId="10">#REF!</definedName>
    <definedName name="Times_12" localSheetId="12">#REF!</definedName>
    <definedName name="Times_12" localSheetId="110">#REF!</definedName>
    <definedName name="Times_12" localSheetId="9">#REF!</definedName>
    <definedName name="Times_12">#REF!</definedName>
    <definedName name="Times_13" localSheetId="10">#REF!</definedName>
    <definedName name="Times_13" localSheetId="12">#REF!</definedName>
    <definedName name="Times_13" localSheetId="110">#REF!</definedName>
    <definedName name="Times_13" localSheetId="9">#REF!</definedName>
    <definedName name="Times_13">#REF!</definedName>
    <definedName name="Times_14" localSheetId="10">#REF!</definedName>
    <definedName name="Times_14" localSheetId="12">#REF!</definedName>
    <definedName name="Times_14" localSheetId="110">#REF!</definedName>
    <definedName name="Times_14" localSheetId="9">#REF!</definedName>
    <definedName name="Times_14">#REF!</definedName>
    <definedName name="Times_15" localSheetId="10">#REF!</definedName>
    <definedName name="Times_15" localSheetId="12">#REF!</definedName>
    <definedName name="Times_15" localSheetId="110">#REF!</definedName>
    <definedName name="Times_15" localSheetId="9">#REF!</definedName>
    <definedName name="Times_15">#REF!</definedName>
    <definedName name="Times_16" localSheetId="10">#REF!</definedName>
    <definedName name="Times_16" localSheetId="12">#REF!</definedName>
    <definedName name="Times_16" localSheetId="110">#REF!</definedName>
    <definedName name="Times_16" localSheetId="9">#REF!</definedName>
    <definedName name="Times_16">#REF!</definedName>
    <definedName name="Times_17" localSheetId="10">#REF!</definedName>
    <definedName name="Times_17" localSheetId="12">#REF!</definedName>
    <definedName name="Times_17" localSheetId="110">#REF!</definedName>
    <definedName name="Times_17" localSheetId="9">#REF!</definedName>
    <definedName name="Times_17">#REF!</definedName>
    <definedName name="Times_18" localSheetId="10">#REF!</definedName>
    <definedName name="Times_18" localSheetId="12">#REF!</definedName>
    <definedName name="Times_18" localSheetId="110">#REF!</definedName>
    <definedName name="Times_18" localSheetId="9">#REF!</definedName>
    <definedName name="Times_18">#REF!</definedName>
    <definedName name="Times_19" localSheetId="10">#REF!</definedName>
    <definedName name="Times_19" localSheetId="12">#REF!</definedName>
    <definedName name="Times_19" localSheetId="110">#REF!</definedName>
    <definedName name="Times_19" localSheetId="9">#REF!</definedName>
    <definedName name="Times_19">#REF!</definedName>
    <definedName name="Times_2" localSheetId="10">#REF!</definedName>
    <definedName name="Times_2" localSheetId="12">#REF!</definedName>
    <definedName name="Times_2" localSheetId="110">#REF!</definedName>
    <definedName name="Times_2" localSheetId="9">#REF!</definedName>
    <definedName name="Times_2">#REF!</definedName>
    <definedName name="Times_20" localSheetId="10">#REF!</definedName>
    <definedName name="Times_20" localSheetId="12">#REF!</definedName>
    <definedName name="Times_20" localSheetId="110">#REF!</definedName>
    <definedName name="Times_20" localSheetId="9">#REF!</definedName>
    <definedName name="Times_20">#REF!</definedName>
    <definedName name="Times_21" localSheetId="10">#REF!</definedName>
    <definedName name="Times_21" localSheetId="12">#REF!</definedName>
    <definedName name="Times_21" localSheetId="110">#REF!</definedName>
    <definedName name="Times_21" localSheetId="9">#REF!</definedName>
    <definedName name="Times_21">#REF!</definedName>
    <definedName name="Times_22" localSheetId="10">#REF!</definedName>
    <definedName name="Times_22" localSheetId="12">#REF!</definedName>
    <definedName name="Times_22" localSheetId="110">#REF!</definedName>
    <definedName name="Times_22" localSheetId="9">#REF!</definedName>
    <definedName name="Times_22">#REF!</definedName>
    <definedName name="Times_49" localSheetId="10">#REF!</definedName>
    <definedName name="Times_49" localSheetId="12">#REF!</definedName>
    <definedName name="Times_49" localSheetId="110">#REF!</definedName>
    <definedName name="Times_49" localSheetId="9">#REF!</definedName>
    <definedName name="Times_49">#REF!</definedName>
    <definedName name="Times_5" localSheetId="10">#REF!</definedName>
    <definedName name="Times_5" localSheetId="12">#REF!</definedName>
    <definedName name="Times_5" localSheetId="110">#REF!</definedName>
    <definedName name="Times_5" localSheetId="9">#REF!</definedName>
    <definedName name="Times_5">#REF!</definedName>
    <definedName name="Times_50" localSheetId="10">#REF!</definedName>
    <definedName name="Times_50" localSheetId="12">#REF!</definedName>
    <definedName name="Times_50" localSheetId="110">#REF!</definedName>
    <definedName name="Times_50" localSheetId="9">#REF!</definedName>
    <definedName name="Times_50">#REF!</definedName>
    <definedName name="Times_51" localSheetId="10">#REF!</definedName>
    <definedName name="Times_51" localSheetId="12">#REF!</definedName>
    <definedName name="Times_51" localSheetId="110">#REF!</definedName>
    <definedName name="Times_51" localSheetId="9">#REF!</definedName>
    <definedName name="Times_51">#REF!</definedName>
    <definedName name="Times_52" localSheetId="10">#REF!</definedName>
    <definedName name="Times_52" localSheetId="12">#REF!</definedName>
    <definedName name="Times_52" localSheetId="110">#REF!</definedName>
    <definedName name="Times_52" localSheetId="9">#REF!</definedName>
    <definedName name="Times_52">#REF!</definedName>
    <definedName name="Times_53" localSheetId="10">#REF!</definedName>
    <definedName name="Times_53" localSheetId="12">#REF!</definedName>
    <definedName name="Times_53" localSheetId="110">#REF!</definedName>
    <definedName name="Times_53" localSheetId="9">#REF!</definedName>
    <definedName name="Times_53">#REF!</definedName>
    <definedName name="Times_54" localSheetId="10">#REF!</definedName>
    <definedName name="Times_54" localSheetId="12">#REF!</definedName>
    <definedName name="Times_54" localSheetId="110">#REF!</definedName>
    <definedName name="Times_54" localSheetId="9">#REF!</definedName>
    <definedName name="Times_54">#REF!</definedName>
    <definedName name="Times_6" localSheetId="10">#REF!</definedName>
    <definedName name="Times_6" localSheetId="12">#REF!</definedName>
    <definedName name="Times_6" localSheetId="110">#REF!</definedName>
    <definedName name="Times_6" localSheetId="9">#REF!</definedName>
    <definedName name="Times_6">#REF!</definedName>
    <definedName name="Times_7" localSheetId="10">#REF!</definedName>
    <definedName name="Times_7" localSheetId="12">#REF!</definedName>
    <definedName name="Times_7" localSheetId="110">#REF!</definedName>
    <definedName name="Times_7" localSheetId="9">#REF!</definedName>
    <definedName name="Times_7">#REF!</definedName>
    <definedName name="Times_8" localSheetId="10">#REF!</definedName>
    <definedName name="Times_8" localSheetId="12">#REF!</definedName>
    <definedName name="Times_8" localSheetId="110">#REF!</definedName>
    <definedName name="Times_8" localSheetId="9">#REF!</definedName>
    <definedName name="Times_8">#REF!</definedName>
    <definedName name="Times_9" localSheetId="10">#REF!</definedName>
    <definedName name="Times_9" localSheetId="12">#REF!</definedName>
    <definedName name="Times_9" localSheetId="110">#REF!</definedName>
    <definedName name="Times_9" localSheetId="9">#REF!</definedName>
    <definedName name="Times_9">#REF!</definedName>
    <definedName name="tyu" localSheetId="10">#REF!</definedName>
    <definedName name="tyu" localSheetId="12">#REF!</definedName>
    <definedName name="tyu" localSheetId="110">#REF!</definedName>
    <definedName name="tyu" localSheetId="9">#REF!</definedName>
    <definedName name="tyu">#REF!</definedName>
    <definedName name="U_Lst" localSheetId="10">#REF!</definedName>
    <definedName name="U_Lst" localSheetId="12">#REF!</definedName>
    <definedName name="U_Lst" localSheetId="110">#REF!</definedName>
    <definedName name="U_Lst" localSheetId="9">#REF!</definedName>
    <definedName name="U_Lst">#REF!</definedName>
    <definedName name="U_Net" localSheetId="10">#REF!</definedName>
    <definedName name="U_Net" localSheetId="12">#REF!</definedName>
    <definedName name="U_Net" localSheetId="110">#REF!</definedName>
    <definedName name="U_Net" localSheetId="9">#REF!</definedName>
    <definedName name="U_Net">#REF!</definedName>
    <definedName name="ujl" localSheetId="10">#REF!</definedName>
    <definedName name="ujl" localSheetId="9">#REF!</definedName>
    <definedName name="ujl">#REF!</definedName>
    <definedName name="USA" localSheetId="10">[24]Шкаф!#REF!</definedName>
    <definedName name="USA" localSheetId="9">[24]Шкаф!#REF!</definedName>
    <definedName name="USA">[24]Шкаф!#REF!</definedName>
    <definedName name="USA_1" localSheetId="10">#REF!</definedName>
    <definedName name="USA_1" localSheetId="9">#REF!</definedName>
    <definedName name="USA_1">#REF!</definedName>
    <definedName name="usd" localSheetId="10">#REF!</definedName>
    <definedName name="usd" localSheetId="9">#REF!</definedName>
    <definedName name="usd">#REF!</definedName>
    <definedName name="v" localSheetId="10">#REF!</definedName>
    <definedName name="v" localSheetId="9">#REF!</definedName>
    <definedName name="v">#REF!</definedName>
    <definedName name="vhjk" localSheetId="10">[5]топография!#REF!</definedName>
    <definedName name="vhjk" localSheetId="9">[5]топография!#REF!</definedName>
    <definedName name="vhjk">[5]топография!#REF!</definedName>
    <definedName name="vsego" localSheetId="10">#REF!</definedName>
    <definedName name="vsego" localSheetId="9">#REF!</definedName>
    <definedName name="vsego">#REF!</definedName>
    <definedName name="w" localSheetId="10">#REF!</definedName>
    <definedName name="w" localSheetId="12">#REF!</definedName>
    <definedName name="w" localSheetId="8">#REF!</definedName>
    <definedName name="w" localSheetId="11">#REF!</definedName>
    <definedName name="w" localSheetId="110">#REF!</definedName>
    <definedName name="w" localSheetId="6">#REF!</definedName>
    <definedName name="w" localSheetId="9">#REF!</definedName>
    <definedName name="w" localSheetId="7">#REF!</definedName>
    <definedName name="w">#REF!</definedName>
    <definedName name="we" localSheetId="10" hidden="1">{#N/A,#N/A,TRUE,"Смета на пасс. обор. №1"}</definedName>
    <definedName name="we" localSheetId="12" hidden="1">{#N/A,#N/A,TRUE,"Смета на пасс. обор. №1"}</definedName>
    <definedName name="we" localSheetId="111" hidden="1">{#N/A,#N/A,TRUE,"Смета на пасс. обор. №1"}</definedName>
    <definedName name="we" localSheetId="112" hidden="1">{#N/A,#N/A,TRUE,"Смета на пасс. обор. №1"}</definedName>
    <definedName name="we" localSheetId="113" hidden="1">{#N/A,#N/A,TRUE,"Смета на пасс. обор. №1"}</definedName>
    <definedName name="we" localSheetId="114" hidden="1">{#N/A,#N/A,TRUE,"Смета на пасс. обор. №1"}</definedName>
    <definedName name="we" localSheetId="115" hidden="1">{#N/A,#N/A,TRUE,"Смета на пасс. обор. №1"}</definedName>
    <definedName name="we" localSheetId="116" hidden="1">{#N/A,#N/A,TRUE,"Смета на пасс. обор. №1"}</definedName>
    <definedName name="we" localSheetId="117" hidden="1">{#N/A,#N/A,TRUE,"Смета на пасс. обор. №1"}</definedName>
    <definedName name="we" localSheetId="118" hidden="1">{#N/A,#N/A,TRUE,"Смета на пасс. обор. №1"}</definedName>
    <definedName name="we" localSheetId="121" hidden="1">{#N/A,#N/A,TRUE,"Смета на пасс. обор. №1"}</definedName>
    <definedName name="we" localSheetId="122" hidden="1">{#N/A,#N/A,TRUE,"Смета на пасс. обор. №1"}</definedName>
    <definedName name="we" localSheetId="8" hidden="1">{#N/A,#N/A,TRUE,"Смета на пасс. обор. №1"}</definedName>
    <definedName name="we" localSheetId="11" hidden="1">{#N/A,#N/A,TRUE,"Смета на пасс. обор. №1"}</definedName>
    <definedName name="we" localSheetId="110" hidden="1">{#N/A,#N/A,TRUE,"Смета на пасс. обор. №1"}</definedName>
    <definedName name="we" localSheetId="109" hidden="1">{#N/A,#N/A,TRUE,"Смета на пасс. обор. №1"}</definedName>
    <definedName name="we" localSheetId="108" hidden="1">{#N/A,#N/A,TRUE,"Смета на пасс. обор. №1"}</definedName>
    <definedName name="we" localSheetId="6" hidden="1">{#N/A,#N/A,TRUE,"Смета на пасс. обор. №1"}</definedName>
    <definedName name="we" localSheetId="9" hidden="1">{#N/A,#N/A,TRUE,"Смета на пасс. обор. №1"}</definedName>
    <definedName name="we" localSheetId="7" hidden="1">{#N/A,#N/A,TRUE,"Смета на пасс. обор. №1"}</definedName>
    <definedName name="we" localSheetId="92" hidden="1">{#N/A,#N/A,TRUE,"Смета на пасс. обор. №1"}</definedName>
    <definedName name="we" localSheetId="93" hidden="1">{#N/A,#N/A,TRUE,"Смета на пасс. обор. №1"}</definedName>
    <definedName name="we" localSheetId="94" hidden="1">{#N/A,#N/A,TRUE,"Смета на пасс. обор. №1"}</definedName>
    <definedName name="we" localSheetId="99" hidden="1">{#N/A,#N/A,TRUE,"Смета на пасс. обор. №1"}</definedName>
    <definedName name="we" localSheetId="100" hidden="1">{#N/A,#N/A,TRUE,"Смета на пасс. обор. №1"}</definedName>
    <definedName name="we" localSheetId="106" hidden="1">{#N/A,#N/A,TRUE,"Смета на пасс. обор. №1"}</definedName>
    <definedName name="we" localSheetId="2" hidden="1">{#N/A,#N/A,TRUE,"Смета на пасс. обор. №1"}</definedName>
    <definedName name="we" localSheetId="123" hidden="1">{#N/A,#N/A,TRUE,"Смета на пасс. обор. №1"}</definedName>
    <definedName name="we" localSheetId="4" hidden="1">{#N/A,#N/A,TRUE,"Смета на пасс. обор. №1"}</definedName>
    <definedName name="we" localSheetId="13" hidden="1">{#N/A,#N/A,TRUE,"Смета на пасс. обор. №1"}</definedName>
    <definedName name="we" hidden="1">{#N/A,#N/A,TRUE,"Смета на пасс. обор. №1"}</definedName>
    <definedName name="we_1" localSheetId="10" hidden="1">{#N/A,#N/A,TRUE,"Смета на пасс. обор. №1"}</definedName>
    <definedName name="we_1" localSheetId="12" hidden="1">{#N/A,#N/A,TRUE,"Смета на пасс. обор. №1"}</definedName>
    <definedName name="we_1" localSheetId="111" hidden="1">{#N/A,#N/A,TRUE,"Смета на пасс. обор. №1"}</definedName>
    <definedName name="we_1" localSheetId="112" hidden="1">{#N/A,#N/A,TRUE,"Смета на пасс. обор. №1"}</definedName>
    <definedName name="we_1" localSheetId="113" hidden="1">{#N/A,#N/A,TRUE,"Смета на пасс. обор. №1"}</definedName>
    <definedName name="we_1" localSheetId="114" hidden="1">{#N/A,#N/A,TRUE,"Смета на пасс. обор. №1"}</definedName>
    <definedName name="we_1" localSheetId="115" hidden="1">{#N/A,#N/A,TRUE,"Смета на пасс. обор. №1"}</definedName>
    <definedName name="we_1" localSheetId="116" hidden="1">{#N/A,#N/A,TRUE,"Смета на пасс. обор. №1"}</definedName>
    <definedName name="we_1" localSheetId="117" hidden="1">{#N/A,#N/A,TRUE,"Смета на пасс. обор. №1"}</definedName>
    <definedName name="we_1" localSheetId="118" hidden="1">{#N/A,#N/A,TRUE,"Смета на пасс. обор. №1"}</definedName>
    <definedName name="we_1" localSheetId="121" hidden="1">{#N/A,#N/A,TRUE,"Смета на пасс. обор. №1"}</definedName>
    <definedName name="we_1" localSheetId="122" hidden="1">{#N/A,#N/A,TRUE,"Смета на пасс. обор. №1"}</definedName>
    <definedName name="we_1" localSheetId="8" hidden="1">{#N/A,#N/A,TRUE,"Смета на пасс. обор. №1"}</definedName>
    <definedName name="we_1" localSheetId="11" hidden="1">{#N/A,#N/A,TRUE,"Смета на пасс. обор. №1"}</definedName>
    <definedName name="we_1" localSheetId="110" hidden="1">{#N/A,#N/A,TRUE,"Смета на пасс. обор. №1"}</definedName>
    <definedName name="we_1" localSheetId="109" hidden="1">{#N/A,#N/A,TRUE,"Смета на пасс. обор. №1"}</definedName>
    <definedName name="we_1" localSheetId="108" hidden="1">{#N/A,#N/A,TRUE,"Смета на пасс. обор. №1"}</definedName>
    <definedName name="we_1" localSheetId="6" hidden="1">{#N/A,#N/A,TRUE,"Смета на пасс. обор. №1"}</definedName>
    <definedName name="we_1" localSheetId="9" hidden="1">{#N/A,#N/A,TRUE,"Смета на пасс. обор. №1"}</definedName>
    <definedName name="we_1" localSheetId="7" hidden="1">{#N/A,#N/A,TRUE,"Смета на пасс. обор. №1"}</definedName>
    <definedName name="we_1" localSheetId="92" hidden="1">{#N/A,#N/A,TRUE,"Смета на пасс. обор. №1"}</definedName>
    <definedName name="we_1" localSheetId="93" hidden="1">{#N/A,#N/A,TRUE,"Смета на пасс. обор. №1"}</definedName>
    <definedName name="we_1" localSheetId="94" hidden="1">{#N/A,#N/A,TRUE,"Смета на пасс. обор. №1"}</definedName>
    <definedName name="we_1" localSheetId="99" hidden="1">{#N/A,#N/A,TRUE,"Смета на пасс. обор. №1"}</definedName>
    <definedName name="we_1" localSheetId="100" hidden="1">{#N/A,#N/A,TRUE,"Смета на пасс. обор. №1"}</definedName>
    <definedName name="we_1" localSheetId="106" hidden="1">{#N/A,#N/A,TRUE,"Смета на пасс. обор. №1"}</definedName>
    <definedName name="we_1" localSheetId="2" hidden="1">{#N/A,#N/A,TRUE,"Смета на пасс. обор. №1"}</definedName>
    <definedName name="we_1" localSheetId="123" hidden="1">{#N/A,#N/A,TRUE,"Смета на пасс. обор. №1"}</definedName>
    <definedName name="we_1" localSheetId="4" hidden="1">{#N/A,#N/A,TRUE,"Смета на пасс. обор. №1"}</definedName>
    <definedName name="we_1" localSheetId="13" hidden="1">{#N/A,#N/A,TRUE,"Смета на пасс. обор. №1"}</definedName>
    <definedName name="we_1" hidden="1">{#N/A,#N/A,TRUE,"Смета на пасс. обор. №1"}</definedName>
    <definedName name="wer" localSheetId="10">#REF!</definedName>
    <definedName name="wer" localSheetId="12">#REF!</definedName>
    <definedName name="wer" localSheetId="116">#REF!</definedName>
    <definedName name="wer" localSheetId="8">#REF!</definedName>
    <definedName name="wer" localSheetId="11">#REF!</definedName>
    <definedName name="wer" localSheetId="110">#REF!</definedName>
    <definedName name="wer" localSheetId="109">#REF!</definedName>
    <definedName name="wer" localSheetId="108">#REF!</definedName>
    <definedName name="wer" localSheetId="6">#REF!</definedName>
    <definedName name="wer" localSheetId="9">#REF!</definedName>
    <definedName name="wer" localSheetId="7">#REF!</definedName>
    <definedName name="wer" localSheetId="92">#REF!</definedName>
    <definedName name="wer" localSheetId="93">#REF!</definedName>
    <definedName name="wer" localSheetId="94">#REF!</definedName>
    <definedName name="wer" localSheetId="99">#REF!</definedName>
    <definedName name="wer" localSheetId="100">#REF!</definedName>
    <definedName name="wer" localSheetId="106">#REF!</definedName>
    <definedName name="wer">#REF!</definedName>
    <definedName name="WORK" localSheetId="10">[15]Спецификация!#REF!</definedName>
    <definedName name="WORK" localSheetId="12">[15]Спецификация!#REF!</definedName>
    <definedName name="WORK" localSheetId="116">[15]Спецификация!#REF!</definedName>
    <definedName name="WORK" localSheetId="110">[15]Спецификация!#REF!</definedName>
    <definedName name="WORK" localSheetId="109">[15]Спецификация!#REF!</definedName>
    <definedName name="WORK" localSheetId="108">[15]Спецификация!#REF!</definedName>
    <definedName name="WORK" localSheetId="9">[15]Спецификация!#REF!</definedName>
    <definedName name="WORK">[15]Спецификация!#REF!</definedName>
    <definedName name="wrn.1." localSheetId="10" hidden="1">{#N/A,#N/A,FALSE,"Шаблон_Спец1"}</definedName>
    <definedName name="wrn.1." localSheetId="12" hidden="1">{#N/A,#N/A,FALSE,"Шаблон_Спец1"}</definedName>
    <definedName name="wrn.1." localSheetId="111" hidden="1">{#N/A,#N/A,FALSE,"Шаблон_Спец1"}</definedName>
    <definedName name="wrn.1." localSheetId="112" hidden="1">{#N/A,#N/A,FALSE,"Шаблон_Спец1"}</definedName>
    <definedName name="wrn.1." localSheetId="113" hidden="1">{#N/A,#N/A,FALSE,"Шаблон_Спец1"}</definedName>
    <definedName name="wrn.1." localSheetId="114" hidden="1">{#N/A,#N/A,FALSE,"Шаблон_Спец1"}</definedName>
    <definedName name="wrn.1." localSheetId="115" hidden="1">{#N/A,#N/A,FALSE,"Шаблон_Спец1"}</definedName>
    <definedName name="wrn.1." localSheetId="116" hidden="1">{#N/A,#N/A,FALSE,"Шаблон_Спец1"}</definedName>
    <definedName name="wrn.1." localSheetId="117" hidden="1">{#N/A,#N/A,FALSE,"Шаблон_Спец1"}</definedName>
    <definedName name="wrn.1." localSheetId="118" hidden="1">{#N/A,#N/A,FALSE,"Шаблон_Спец1"}</definedName>
    <definedName name="wrn.1." localSheetId="121" hidden="1">{#N/A,#N/A,FALSE,"Шаблон_Спец1"}</definedName>
    <definedName name="wrn.1." localSheetId="122" hidden="1">{#N/A,#N/A,FALSE,"Шаблон_Спец1"}</definedName>
    <definedName name="wrn.1." localSheetId="8" hidden="1">{#N/A,#N/A,FALSE,"Шаблон_Спец1"}</definedName>
    <definedName name="wrn.1." localSheetId="11" hidden="1">{#N/A,#N/A,FALSE,"Шаблон_Спец1"}</definedName>
    <definedName name="wrn.1." localSheetId="110" hidden="1">{#N/A,#N/A,FALSE,"Шаблон_Спец1"}</definedName>
    <definedName name="wrn.1." localSheetId="109" hidden="1">{#N/A,#N/A,FALSE,"Шаблон_Спец1"}</definedName>
    <definedName name="wrn.1." localSheetId="108" hidden="1">{#N/A,#N/A,FALSE,"Шаблон_Спец1"}</definedName>
    <definedName name="wrn.1." localSheetId="6" hidden="1">{#N/A,#N/A,FALSE,"Шаблон_Спец1"}</definedName>
    <definedName name="wrn.1." localSheetId="9" hidden="1">{#N/A,#N/A,FALSE,"Шаблон_Спец1"}</definedName>
    <definedName name="wrn.1." localSheetId="7" hidden="1">{#N/A,#N/A,FALSE,"Шаблон_Спец1"}</definedName>
    <definedName name="wrn.1." localSheetId="92" hidden="1">{#N/A,#N/A,FALSE,"Шаблон_Спец1"}</definedName>
    <definedName name="wrn.1." localSheetId="93" hidden="1">{#N/A,#N/A,FALSE,"Шаблон_Спец1"}</definedName>
    <definedName name="wrn.1." localSheetId="94" hidden="1">{#N/A,#N/A,FALSE,"Шаблон_Спец1"}</definedName>
    <definedName name="wrn.1." localSheetId="99" hidden="1">{#N/A,#N/A,FALSE,"Шаблон_Спец1"}</definedName>
    <definedName name="wrn.1." localSheetId="100" hidden="1">{#N/A,#N/A,FALSE,"Шаблон_Спец1"}</definedName>
    <definedName name="wrn.1." localSheetId="106" hidden="1">{#N/A,#N/A,FALSE,"Шаблон_Спец1"}</definedName>
    <definedName name="wrn.1." localSheetId="2" hidden="1">{#N/A,#N/A,FALSE,"Шаблон_Спец1"}</definedName>
    <definedName name="wrn.1." localSheetId="123" hidden="1">{#N/A,#N/A,FALSE,"Шаблон_Спец1"}</definedName>
    <definedName name="wrn.1." localSheetId="4" hidden="1">{#N/A,#N/A,FALSE,"Шаблон_Спец1"}</definedName>
    <definedName name="wrn.1." localSheetId="13" hidden="1">{#N/A,#N/A,FALSE,"Шаблон_Спец1"}</definedName>
    <definedName name="wrn.1." hidden="1">{#N/A,#N/A,FALSE,"Шаблон_Спец1"}</definedName>
    <definedName name="wrn.sp2344." localSheetId="10" hidden="1">{#N/A,#N/A,TRUE,"Смета на пасс. обор. №1"}</definedName>
    <definedName name="wrn.sp2344." localSheetId="12" hidden="1">{#N/A,#N/A,TRUE,"Смета на пасс. обор. №1"}</definedName>
    <definedName name="wrn.sp2344." localSheetId="111" hidden="1">{#N/A,#N/A,TRUE,"Смета на пасс. обор. №1"}</definedName>
    <definedName name="wrn.sp2344." localSheetId="112" hidden="1">{#N/A,#N/A,TRUE,"Смета на пасс. обор. №1"}</definedName>
    <definedName name="wrn.sp2344." localSheetId="113" hidden="1">{#N/A,#N/A,TRUE,"Смета на пасс. обор. №1"}</definedName>
    <definedName name="wrn.sp2344." localSheetId="114" hidden="1">{#N/A,#N/A,TRUE,"Смета на пасс. обор. №1"}</definedName>
    <definedName name="wrn.sp2344." localSheetId="115" hidden="1">{#N/A,#N/A,TRUE,"Смета на пасс. обор. №1"}</definedName>
    <definedName name="wrn.sp2344." localSheetId="116" hidden="1">{#N/A,#N/A,TRUE,"Смета на пасс. обор. №1"}</definedName>
    <definedName name="wrn.sp2344." localSheetId="117" hidden="1">{#N/A,#N/A,TRUE,"Смета на пасс. обор. №1"}</definedName>
    <definedName name="wrn.sp2344." localSheetId="118" hidden="1">{#N/A,#N/A,TRUE,"Смета на пасс. обор. №1"}</definedName>
    <definedName name="wrn.sp2344." localSheetId="121" hidden="1">{#N/A,#N/A,TRUE,"Смета на пасс. обор. №1"}</definedName>
    <definedName name="wrn.sp2344." localSheetId="122" hidden="1">{#N/A,#N/A,TRUE,"Смета на пасс. обор. №1"}</definedName>
    <definedName name="wrn.sp2344." localSheetId="8" hidden="1">{#N/A,#N/A,TRUE,"Смета на пасс. обор. №1"}</definedName>
    <definedName name="wrn.sp2344." localSheetId="11" hidden="1">{#N/A,#N/A,TRUE,"Смета на пасс. обор. №1"}</definedName>
    <definedName name="wrn.sp2344." localSheetId="110" hidden="1">{#N/A,#N/A,TRUE,"Смета на пасс. обор. №1"}</definedName>
    <definedName name="wrn.sp2344." localSheetId="109" hidden="1">{#N/A,#N/A,TRUE,"Смета на пасс. обор. №1"}</definedName>
    <definedName name="wrn.sp2344." localSheetId="108" hidden="1">{#N/A,#N/A,TRUE,"Смета на пасс. обор. №1"}</definedName>
    <definedName name="wrn.sp2344." localSheetId="6" hidden="1">{#N/A,#N/A,TRUE,"Смета на пасс. обор. №1"}</definedName>
    <definedName name="wrn.sp2344." localSheetId="9" hidden="1">{#N/A,#N/A,TRUE,"Смета на пасс. обор. №1"}</definedName>
    <definedName name="wrn.sp2344." localSheetId="7" hidden="1">{#N/A,#N/A,TRUE,"Смета на пасс. обор. №1"}</definedName>
    <definedName name="wrn.sp2344." localSheetId="92" hidden="1">{#N/A,#N/A,TRUE,"Смета на пасс. обор. №1"}</definedName>
    <definedName name="wrn.sp2344." localSheetId="93" hidden="1">{#N/A,#N/A,TRUE,"Смета на пасс. обор. №1"}</definedName>
    <definedName name="wrn.sp2344." localSheetId="94" hidden="1">{#N/A,#N/A,TRUE,"Смета на пасс. обор. №1"}</definedName>
    <definedName name="wrn.sp2344." localSheetId="99" hidden="1">{#N/A,#N/A,TRUE,"Смета на пасс. обор. №1"}</definedName>
    <definedName name="wrn.sp2344." localSheetId="100" hidden="1">{#N/A,#N/A,TRUE,"Смета на пасс. обор. №1"}</definedName>
    <definedName name="wrn.sp2344." localSheetId="106" hidden="1">{#N/A,#N/A,TRUE,"Смета на пасс. обор. №1"}</definedName>
    <definedName name="wrn.sp2344." localSheetId="2" hidden="1">{#N/A,#N/A,TRUE,"Смета на пасс. обор. №1"}</definedName>
    <definedName name="wrn.sp2344." localSheetId="123" hidden="1">{#N/A,#N/A,TRUE,"Смета на пасс. обор. №1"}</definedName>
    <definedName name="wrn.sp2344." localSheetId="4" hidden="1">{#N/A,#N/A,TRUE,"Смета на пасс. обор. №1"}</definedName>
    <definedName name="wrn.sp2344." localSheetId="13" hidden="1">{#N/A,#N/A,TRUE,"Смета на пасс. обор. №1"}</definedName>
    <definedName name="wrn.sp2344." hidden="1">{#N/A,#N/A,TRUE,"Смета на пасс. обор. №1"}</definedName>
    <definedName name="wrn.sp2344._1" localSheetId="10" hidden="1">{#N/A,#N/A,TRUE,"Смета на пасс. обор. №1"}</definedName>
    <definedName name="wrn.sp2344._1" localSheetId="12" hidden="1">{#N/A,#N/A,TRUE,"Смета на пасс. обор. №1"}</definedName>
    <definedName name="wrn.sp2344._1" localSheetId="111" hidden="1">{#N/A,#N/A,TRUE,"Смета на пасс. обор. №1"}</definedName>
    <definedName name="wrn.sp2344._1" localSheetId="112" hidden="1">{#N/A,#N/A,TRUE,"Смета на пасс. обор. №1"}</definedName>
    <definedName name="wrn.sp2344._1" localSheetId="113" hidden="1">{#N/A,#N/A,TRUE,"Смета на пасс. обор. №1"}</definedName>
    <definedName name="wrn.sp2344._1" localSheetId="114" hidden="1">{#N/A,#N/A,TRUE,"Смета на пасс. обор. №1"}</definedName>
    <definedName name="wrn.sp2344._1" localSheetId="115" hidden="1">{#N/A,#N/A,TRUE,"Смета на пасс. обор. №1"}</definedName>
    <definedName name="wrn.sp2344._1" localSheetId="116" hidden="1">{#N/A,#N/A,TRUE,"Смета на пасс. обор. №1"}</definedName>
    <definedName name="wrn.sp2344._1" localSheetId="117" hidden="1">{#N/A,#N/A,TRUE,"Смета на пасс. обор. №1"}</definedName>
    <definedName name="wrn.sp2344._1" localSheetId="118" hidden="1">{#N/A,#N/A,TRUE,"Смета на пасс. обор. №1"}</definedName>
    <definedName name="wrn.sp2344._1" localSheetId="121" hidden="1">{#N/A,#N/A,TRUE,"Смета на пасс. обор. №1"}</definedName>
    <definedName name="wrn.sp2344._1" localSheetId="122" hidden="1">{#N/A,#N/A,TRUE,"Смета на пасс. обор. №1"}</definedName>
    <definedName name="wrn.sp2344._1" localSheetId="8" hidden="1">{#N/A,#N/A,TRUE,"Смета на пасс. обор. №1"}</definedName>
    <definedName name="wrn.sp2344._1" localSheetId="11" hidden="1">{#N/A,#N/A,TRUE,"Смета на пасс. обор. №1"}</definedName>
    <definedName name="wrn.sp2344._1" localSheetId="110" hidden="1">{#N/A,#N/A,TRUE,"Смета на пасс. обор. №1"}</definedName>
    <definedName name="wrn.sp2344._1" localSheetId="109" hidden="1">{#N/A,#N/A,TRUE,"Смета на пасс. обор. №1"}</definedName>
    <definedName name="wrn.sp2344._1" localSheetId="108" hidden="1">{#N/A,#N/A,TRUE,"Смета на пасс. обор. №1"}</definedName>
    <definedName name="wrn.sp2344._1" localSheetId="6" hidden="1">{#N/A,#N/A,TRUE,"Смета на пасс. обор. №1"}</definedName>
    <definedName name="wrn.sp2344._1" localSheetId="9" hidden="1">{#N/A,#N/A,TRUE,"Смета на пасс. обор. №1"}</definedName>
    <definedName name="wrn.sp2344._1" localSheetId="7" hidden="1">{#N/A,#N/A,TRUE,"Смета на пасс. обор. №1"}</definedName>
    <definedName name="wrn.sp2344._1" localSheetId="92" hidden="1">{#N/A,#N/A,TRUE,"Смета на пасс. обор. №1"}</definedName>
    <definedName name="wrn.sp2344._1" localSheetId="93" hidden="1">{#N/A,#N/A,TRUE,"Смета на пасс. обор. №1"}</definedName>
    <definedName name="wrn.sp2344._1" localSheetId="94" hidden="1">{#N/A,#N/A,TRUE,"Смета на пасс. обор. №1"}</definedName>
    <definedName name="wrn.sp2344._1" localSheetId="99" hidden="1">{#N/A,#N/A,TRUE,"Смета на пасс. обор. №1"}</definedName>
    <definedName name="wrn.sp2344._1" localSheetId="100" hidden="1">{#N/A,#N/A,TRUE,"Смета на пасс. обор. №1"}</definedName>
    <definedName name="wrn.sp2344._1" localSheetId="106" hidden="1">{#N/A,#N/A,TRUE,"Смета на пасс. обор. №1"}</definedName>
    <definedName name="wrn.sp2344._1" localSheetId="2" hidden="1">{#N/A,#N/A,TRUE,"Смета на пасс. обор. №1"}</definedName>
    <definedName name="wrn.sp2344._1" localSheetId="123" hidden="1">{#N/A,#N/A,TRUE,"Смета на пасс. обор. №1"}</definedName>
    <definedName name="wrn.sp2344._1" localSheetId="4" hidden="1">{#N/A,#N/A,TRUE,"Смета на пасс. обор. №1"}</definedName>
    <definedName name="wrn.sp2344._1" localSheetId="13" hidden="1">{#N/A,#N/A,TRUE,"Смета на пасс. обор. №1"}</definedName>
    <definedName name="wrn.sp2344._1" hidden="1">{#N/A,#N/A,TRUE,"Смета на пасс. обор. №1"}</definedName>
    <definedName name="wrn.sp2345" localSheetId="10" hidden="1">{#N/A,#N/A,TRUE,"Смета на пасс. обор. №1"}</definedName>
    <definedName name="wrn.sp2345" localSheetId="12" hidden="1">{#N/A,#N/A,TRUE,"Смета на пасс. обор. №1"}</definedName>
    <definedName name="wrn.sp2345" localSheetId="111" hidden="1">{#N/A,#N/A,TRUE,"Смета на пасс. обор. №1"}</definedName>
    <definedName name="wrn.sp2345" localSheetId="112" hidden="1">{#N/A,#N/A,TRUE,"Смета на пасс. обор. №1"}</definedName>
    <definedName name="wrn.sp2345" localSheetId="113" hidden="1">{#N/A,#N/A,TRUE,"Смета на пасс. обор. №1"}</definedName>
    <definedName name="wrn.sp2345" localSheetId="114" hidden="1">{#N/A,#N/A,TRUE,"Смета на пасс. обор. №1"}</definedName>
    <definedName name="wrn.sp2345" localSheetId="115" hidden="1">{#N/A,#N/A,TRUE,"Смета на пасс. обор. №1"}</definedName>
    <definedName name="wrn.sp2345" localSheetId="116" hidden="1">{#N/A,#N/A,TRUE,"Смета на пасс. обор. №1"}</definedName>
    <definedName name="wrn.sp2345" localSheetId="117" hidden="1">{#N/A,#N/A,TRUE,"Смета на пасс. обор. №1"}</definedName>
    <definedName name="wrn.sp2345" localSheetId="118" hidden="1">{#N/A,#N/A,TRUE,"Смета на пасс. обор. №1"}</definedName>
    <definedName name="wrn.sp2345" localSheetId="121" hidden="1">{#N/A,#N/A,TRUE,"Смета на пасс. обор. №1"}</definedName>
    <definedName name="wrn.sp2345" localSheetId="122" hidden="1">{#N/A,#N/A,TRUE,"Смета на пасс. обор. №1"}</definedName>
    <definedName name="wrn.sp2345" localSheetId="8" hidden="1">{#N/A,#N/A,TRUE,"Смета на пасс. обор. №1"}</definedName>
    <definedName name="wrn.sp2345" localSheetId="11" hidden="1">{#N/A,#N/A,TRUE,"Смета на пасс. обор. №1"}</definedName>
    <definedName name="wrn.sp2345" localSheetId="110" hidden="1">{#N/A,#N/A,TRUE,"Смета на пасс. обор. №1"}</definedName>
    <definedName name="wrn.sp2345" localSheetId="109" hidden="1">{#N/A,#N/A,TRUE,"Смета на пасс. обор. №1"}</definedName>
    <definedName name="wrn.sp2345" localSheetId="108" hidden="1">{#N/A,#N/A,TRUE,"Смета на пасс. обор. №1"}</definedName>
    <definedName name="wrn.sp2345" localSheetId="6" hidden="1">{#N/A,#N/A,TRUE,"Смета на пасс. обор. №1"}</definedName>
    <definedName name="wrn.sp2345" localSheetId="9" hidden="1">{#N/A,#N/A,TRUE,"Смета на пасс. обор. №1"}</definedName>
    <definedName name="wrn.sp2345" localSheetId="7" hidden="1">{#N/A,#N/A,TRUE,"Смета на пасс. обор. №1"}</definedName>
    <definedName name="wrn.sp2345" localSheetId="92" hidden="1">{#N/A,#N/A,TRUE,"Смета на пасс. обор. №1"}</definedName>
    <definedName name="wrn.sp2345" localSheetId="93" hidden="1">{#N/A,#N/A,TRUE,"Смета на пасс. обор. №1"}</definedName>
    <definedName name="wrn.sp2345" localSheetId="94" hidden="1">{#N/A,#N/A,TRUE,"Смета на пасс. обор. №1"}</definedName>
    <definedName name="wrn.sp2345" localSheetId="99" hidden="1">{#N/A,#N/A,TRUE,"Смета на пасс. обор. №1"}</definedName>
    <definedName name="wrn.sp2345" localSheetId="100" hidden="1">{#N/A,#N/A,TRUE,"Смета на пасс. обор. №1"}</definedName>
    <definedName name="wrn.sp2345" localSheetId="106" hidden="1">{#N/A,#N/A,TRUE,"Смета на пасс. обор. №1"}</definedName>
    <definedName name="wrn.sp2345" localSheetId="2" hidden="1">{#N/A,#N/A,TRUE,"Смета на пасс. обор. №1"}</definedName>
    <definedName name="wrn.sp2345" localSheetId="123" hidden="1">{#N/A,#N/A,TRUE,"Смета на пасс. обор. №1"}</definedName>
    <definedName name="wrn.sp2345" localSheetId="4" hidden="1">{#N/A,#N/A,TRUE,"Смета на пасс. обор. №1"}</definedName>
    <definedName name="wrn.sp2345" localSheetId="13" hidden="1">{#N/A,#N/A,TRUE,"Смета на пасс. обор. №1"}</definedName>
    <definedName name="wrn.sp2345" hidden="1">{#N/A,#N/A,TRUE,"Смета на пасс. обор. №1"}</definedName>
    <definedName name="wrn.sp2345_1" localSheetId="10" hidden="1">{#N/A,#N/A,TRUE,"Смета на пасс. обор. №1"}</definedName>
    <definedName name="wrn.sp2345_1" localSheetId="12" hidden="1">{#N/A,#N/A,TRUE,"Смета на пасс. обор. №1"}</definedName>
    <definedName name="wrn.sp2345_1" localSheetId="111" hidden="1">{#N/A,#N/A,TRUE,"Смета на пасс. обор. №1"}</definedName>
    <definedName name="wrn.sp2345_1" localSheetId="112" hidden="1">{#N/A,#N/A,TRUE,"Смета на пасс. обор. №1"}</definedName>
    <definedName name="wrn.sp2345_1" localSheetId="113" hidden="1">{#N/A,#N/A,TRUE,"Смета на пасс. обор. №1"}</definedName>
    <definedName name="wrn.sp2345_1" localSheetId="114" hidden="1">{#N/A,#N/A,TRUE,"Смета на пасс. обор. №1"}</definedName>
    <definedName name="wrn.sp2345_1" localSheetId="115" hidden="1">{#N/A,#N/A,TRUE,"Смета на пасс. обор. №1"}</definedName>
    <definedName name="wrn.sp2345_1" localSheetId="116" hidden="1">{#N/A,#N/A,TRUE,"Смета на пасс. обор. №1"}</definedName>
    <definedName name="wrn.sp2345_1" localSheetId="117" hidden="1">{#N/A,#N/A,TRUE,"Смета на пасс. обор. №1"}</definedName>
    <definedName name="wrn.sp2345_1" localSheetId="118" hidden="1">{#N/A,#N/A,TRUE,"Смета на пасс. обор. №1"}</definedName>
    <definedName name="wrn.sp2345_1" localSheetId="121" hidden="1">{#N/A,#N/A,TRUE,"Смета на пасс. обор. №1"}</definedName>
    <definedName name="wrn.sp2345_1" localSheetId="122" hidden="1">{#N/A,#N/A,TRUE,"Смета на пасс. обор. №1"}</definedName>
    <definedName name="wrn.sp2345_1" localSheetId="8" hidden="1">{#N/A,#N/A,TRUE,"Смета на пасс. обор. №1"}</definedName>
    <definedName name="wrn.sp2345_1" localSheetId="11" hidden="1">{#N/A,#N/A,TRUE,"Смета на пасс. обор. №1"}</definedName>
    <definedName name="wrn.sp2345_1" localSheetId="110" hidden="1">{#N/A,#N/A,TRUE,"Смета на пасс. обор. №1"}</definedName>
    <definedName name="wrn.sp2345_1" localSheetId="109" hidden="1">{#N/A,#N/A,TRUE,"Смета на пасс. обор. №1"}</definedName>
    <definedName name="wrn.sp2345_1" localSheetId="108" hidden="1">{#N/A,#N/A,TRUE,"Смета на пасс. обор. №1"}</definedName>
    <definedName name="wrn.sp2345_1" localSheetId="6" hidden="1">{#N/A,#N/A,TRUE,"Смета на пасс. обор. №1"}</definedName>
    <definedName name="wrn.sp2345_1" localSheetId="9" hidden="1">{#N/A,#N/A,TRUE,"Смета на пасс. обор. №1"}</definedName>
    <definedName name="wrn.sp2345_1" localSheetId="7" hidden="1">{#N/A,#N/A,TRUE,"Смета на пасс. обор. №1"}</definedName>
    <definedName name="wrn.sp2345_1" localSheetId="92" hidden="1">{#N/A,#N/A,TRUE,"Смета на пасс. обор. №1"}</definedName>
    <definedName name="wrn.sp2345_1" localSheetId="93" hidden="1">{#N/A,#N/A,TRUE,"Смета на пасс. обор. №1"}</definedName>
    <definedName name="wrn.sp2345_1" localSheetId="94" hidden="1">{#N/A,#N/A,TRUE,"Смета на пасс. обор. №1"}</definedName>
    <definedName name="wrn.sp2345_1" localSheetId="99" hidden="1">{#N/A,#N/A,TRUE,"Смета на пасс. обор. №1"}</definedName>
    <definedName name="wrn.sp2345_1" localSheetId="100" hidden="1">{#N/A,#N/A,TRUE,"Смета на пасс. обор. №1"}</definedName>
    <definedName name="wrn.sp2345_1" localSheetId="106" hidden="1">{#N/A,#N/A,TRUE,"Смета на пасс. обор. №1"}</definedName>
    <definedName name="wrn.sp2345_1" localSheetId="2" hidden="1">{#N/A,#N/A,TRUE,"Смета на пасс. обор. №1"}</definedName>
    <definedName name="wrn.sp2345_1" localSheetId="123" hidden="1">{#N/A,#N/A,TRUE,"Смета на пасс. обор. №1"}</definedName>
    <definedName name="wrn.sp2345_1" localSheetId="4" hidden="1">{#N/A,#N/A,TRUE,"Смета на пасс. обор. №1"}</definedName>
    <definedName name="wrn.sp2345_1" localSheetId="13" hidden="1">{#N/A,#N/A,TRUE,"Смета на пасс. обор. №1"}</definedName>
    <definedName name="wrn.sp2345_1" hidden="1">{#N/A,#N/A,TRUE,"Смета на пасс. обор. №1"}</definedName>
    <definedName name="ww" localSheetId="10">#REF!</definedName>
    <definedName name="ww" localSheetId="12">#REF!</definedName>
    <definedName name="ww" localSheetId="116">#REF!</definedName>
    <definedName name="ww" localSheetId="8">#REF!</definedName>
    <definedName name="ww" localSheetId="11">#REF!</definedName>
    <definedName name="ww" localSheetId="110">#REF!</definedName>
    <definedName name="ww" localSheetId="109">#REF!</definedName>
    <definedName name="ww" localSheetId="108">#REF!</definedName>
    <definedName name="ww" localSheetId="6">#REF!</definedName>
    <definedName name="ww" localSheetId="9">#REF!</definedName>
    <definedName name="ww" localSheetId="7">#REF!</definedName>
    <definedName name="ww" localSheetId="92">#REF!</definedName>
    <definedName name="ww" localSheetId="93">#REF!</definedName>
    <definedName name="ww" localSheetId="94">#REF!</definedName>
    <definedName name="ww" localSheetId="99">#REF!</definedName>
    <definedName name="ww" localSheetId="100">#REF!</definedName>
    <definedName name="ww" localSheetId="106">#REF!</definedName>
    <definedName name="ww">#REF!</definedName>
    <definedName name="xh" localSheetId="10">#REF!</definedName>
    <definedName name="xh" localSheetId="9">#REF!</definedName>
    <definedName name="xh">#REF!</definedName>
    <definedName name="y" localSheetId="10">#REF!</definedName>
    <definedName name="y" localSheetId="9">#REF!</definedName>
    <definedName name="y">#REF!</definedName>
    <definedName name="Yamaha_26" localSheetId="10">#REF!</definedName>
    <definedName name="Yamaha_26" localSheetId="9">#REF!</definedName>
    <definedName name="Yamaha_26">#REF!</definedName>
    <definedName name="yui" localSheetId="10">#REF!</definedName>
    <definedName name="yui" localSheetId="12">#REF!</definedName>
    <definedName name="yui" localSheetId="112">#REF!</definedName>
    <definedName name="yui" localSheetId="113">#REF!</definedName>
    <definedName name="yui" localSheetId="116">#REF!</definedName>
    <definedName name="yui" localSheetId="110">#REF!</definedName>
    <definedName name="yui" localSheetId="9">#REF!</definedName>
    <definedName name="yui" localSheetId="92">#REF!</definedName>
    <definedName name="yui" localSheetId="93">#REF!</definedName>
    <definedName name="yui" localSheetId="94">#REF!</definedName>
    <definedName name="yui" localSheetId="99">#REF!</definedName>
    <definedName name="yui" localSheetId="100">#REF!</definedName>
    <definedName name="yui" localSheetId="106">#REF!</definedName>
    <definedName name="yui">#REF!</definedName>
    <definedName name="yyy" localSheetId="10">#REF!</definedName>
    <definedName name="yyy" localSheetId="9">#REF!</definedName>
    <definedName name="yyy">#REF!</definedName>
    <definedName name="ZAK1" localSheetId="10">#REF!</definedName>
    <definedName name="ZAK1" localSheetId="12">#REF!</definedName>
    <definedName name="ZAK1" localSheetId="112">#REF!</definedName>
    <definedName name="ZAK1" localSheetId="113">#REF!</definedName>
    <definedName name="ZAK1" localSheetId="116">#REF!</definedName>
    <definedName name="ZAK1" localSheetId="110">#REF!</definedName>
    <definedName name="ZAK1" localSheetId="9">#REF!</definedName>
    <definedName name="ZAK1" localSheetId="92">#REF!</definedName>
    <definedName name="ZAK1" localSheetId="93">#REF!</definedName>
    <definedName name="ZAK1" localSheetId="94">#REF!</definedName>
    <definedName name="ZAK1" localSheetId="99">#REF!</definedName>
    <definedName name="ZAK1" localSheetId="100">#REF!</definedName>
    <definedName name="ZAK1" localSheetId="106">#REF!</definedName>
    <definedName name="ZAK1">#REF!</definedName>
    <definedName name="ZAK1_1" localSheetId="10">#REF!</definedName>
    <definedName name="ZAK1_1" localSheetId="9">#REF!</definedName>
    <definedName name="ZAK1_1">#REF!</definedName>
    <definedName name="ZAK2" localSheetId="10">#REF!</definedName>
    <definedName name="ZAK2" localSheetId="12">#REF!</definedName>
    <definedName name="ZAK2" localSheetId="112">#REF!</definedName>
    <definedName name="ZAK2" localSheetId="113">#REF!</definedName>
    <definedName name="ZAK2" localSheetId="116">#REF!</definedName>
    <definedName name="ZAK2" localSheetId="110">#REF!</definedName>
    <definedName name="ZAK2" localSheetId="9">#REF!</definedName>
    <definedName name="ZAK2">#REF!</definedName>
    <definedName name="ZAK2_1" localSheetId="10">#REF!</definedName>
    <definedName name="ZAK2_1" localSheetId="9">#REF!</definedName>
    <definedName name="ZAK2_1">#REF!</definedName>
    <definedName name="zak3" localSheetId="10">#REF!</definedName>
    <definedName name="zak3" localSheetId="9">#REF!</definedName>
    <definedName name="zak3">#REF!</definedName>
    <definedName name="zxdc" localSheetId="10">#REF!</definedName>
    <definedName name="zxdc" localSheetId="9">#REF!</definedName>
    <definedName name="zxdc">#REF!</definedName>
    <definedName name="zzzz" localSheetId="10">#REF!</definedName>
    <definedName name="zzzz" localSheetId="12">#REF!</definedName>
    <definedName name="zzzz" localSheetId="110">#REF!</definedName>
    <definedName name="zzzz" localSheetId="9">#REF!</definedName>
    <definedName name="zzzz">#REF!</definedName>
    <definedName name="а" localSheetId="10">#REF!</definedName>
    <definedName name="а" localSheetId="12" hidden="1">{#N/A,#N/A,TRUE,"Смета на пасс. обор. №1"}</definedName>
    <definedName name="а" localSheetId="111" hidden="1">{#N/A,#N/A,TRUE,"Смета на пасс. обор. №1"}</definedName>
    <definedName name="а" localSheetId="112" hidden="1">{#N/A,#N/A,TRUE,"Смета на пасс. обор. №1"}</definedName>
    <definedName name="а" localSheetId="113" hidden="1">{#N/A,#N/A,TRUE,"Смета на пасс. обор. №1"}</definedName>
    <definedName name="а" localSheetId="114" hidden="1">{#N/A,#N/A,TRUE,"Смета на пасс. обор. №1"}</definedName>
    <definedName name="а" localSheetId="115" hidden="1">{#N/A,#N/A,TRUE,"Смета на пасс. обор. №1"}</definedName>
    <definedName name="а" localSheetId="116" hidden="1">{#N/A,#N/A,TRUE,"Смета на пасс. обор. №1"}</definedName>
    <definedName name="а" localSheetId="117" hidden="1">{#N/A,#N/A,TRUE,"Смета на пасс. обор. №1"}</definedName>
    <definedName name="а" localSheetId="118" hidden="1">{#N/A,#N/A,TRUE,"Смета на пасс. обор. №1"}</definedName>
    <definedName name="а" localSheetId="121" hidden="1">{#N/A,#N/A,TRUE,"Смета на пасс. обор. №1"}</definedName>
    <definedName name="а" localSheetId="122" hidden="1">{#N/A,#N/A,TRUE,"Смета на пасс. обор. №1"}</definedName>
    <definedName name="а" localSheetId="8">#REF!</definedName>
    <definedName name="а" localSheetId="11">#REF!</definedName>
    <definedName name="а" localSheetId="110" hidden="1">{#N/A,#N/A,TRUE,"Смета на пасс. обор. №1"}</definedName>
    <definedName name="а" localSheetId="109" hidden="1">{#N/A,#N/A,TRUE,"Смета на пасс. обор. №1"}</definedName>
    <definedName name="а" localSheetId="108" hidden="1">{#N/A,#N/A,TRUE,"Смета на пасс. обор. №1"}</definedName>
    <definedName name="а" localSheetId="6">#REF!</definedName>
    <definedName name="а" localSheetId="9">#REF!</definedName>
    <definedName name="а" localSheetId="7" hidden="1">{#N/A,#N/A,TRUE,"Смета на пасс. обор. №1"}</definedName>
    <definedName name="а" localSheetId="92" hidden="1">{#N/A,#N/A,TRUE,"Смета на пасс. обор. №1"}</definedName>
    <definedName name="а" localSheetId="93" hidden="1">{#N/A,#N/A,TRUE,"Смета на пасс. обор. №1"}</definedName>
    <definedName name="а" localSheetId="94" hidden="1">{#N/A,#N/A,TRUE,"Смета на пасс. обор. №1"}</definedName>
    <definedName name="а" localSheetId="99" hidden="1">{#N/A,#N/A,TRUE,"Смета на пасс. обор. №1"}</definedName>
    <definedName name="а" localSheetId="100" hidden="1">{#N/A,#N/A,TRUE,"Смета на пасс. обор. №1"}</definedName>
    <definedName name="а" localSheetId="106" hidden="1">{#N/A,#N/A,TRUE,"Смета на пасс. обор. №1"}</definedName>
    <definedName name="а" localSheetId="2" hidden="1">{#N/A,#N/A,TRUE,"Смета на пасс. обор. №1"}</definedName>
    <definedName name="а" localSheetId="123" hidden="1">{#N/A,#N/A,TRUE,"Смета на пасс. обор. №1"}</definedName>
    <definedName name="а" localSheetId="4" hidden="1">{#N/A,#N/A,TRUE,"Смета на пасс. обор. №1"}</definedName>
    <definedName name="а" localSheetId="13" hidden="1">{#N/A,#N/A,TRUE,"Смета на пасс. обор. №1"}</definedName>
    <definedName name="а" hidden="1">{#N/A,#N/A,TRUE,"Смета на пасс. обор. №1"}</definedName>
    <definedName name="а_1" localSheetId="10" hidden="1">{#N/A,#N/A,TRUE,"Смета на пасс. обор. №1"}</definedName>
    <definedName name="а_1" localSheetId="12" hidden="1">{#N/A,#N/A,TRUE,"Смета на пасс. обор. №1"}</definedName>
    <definedName name="а_1" localSheetId="111" hidden="1">{#N/A,#N/A,TRUE,"Смета на пасс. обор. №1"}</definedName>
    <definedName name="а_1" localSheetId="112" hidden="1">{#N/A,#N/A,TRUE,"Смета на пасс. обор. №1"}</definedName>
    <definedName name="а_1" localSheetId="113" hidden="1">{#N/A,#N/A,TRUE,"Смета на пасс. обор. №1"}</definedName>
    <definedName name="а_1" localSheetId="114" hidden="1">{#N/A,#N/A,TRUE,"Смета на пасс. обор. №1"}</definedName>
    <definedName name="а_1" localSheetId="115" hidden="1">{#N/A,#N/A,TRUE,"Смета на пасс. обор. №1"}</definedName>
    <definedName name="а_1" localSheetId="116" hidden="1">{#N/A,#N/A,TRUE,"Смета на пасс. обор. №1"}</definedName>
    <definedName name="а_1" localSheetId="117" hidden="1">{#N/A,#N/A,TRUE,"Смета на пасс. обор. №1"}</definedName>
    <definedName name="а_1" localSheetId="118" hidden="1">{#N/A,#N/A,TRUE,"Смета на пасс. обор. №1"}</definedName>
    <definedName name="а_1" localSheetId="121" hidden="1">{#N/A,#N/A,TRUE,"Смета на пасс. обор. №1"}</definedName>
    <definedName name="а_1" localSheetId="122" hidden="1">{#N/A,#N/A,TRUE,"Смета на пасс. обор. №1"}</definedName>
    <definedName name="а_1" localSheetId="8" hidden="1">{#N/A,#N/A,TRUE,"Смета на пасс. обор. №1"}</definedName>
    <definedName name="а_1" localSheetId="11" hidden="1">{#N/A,#N/A,TRUE,"Смета на пасс. обор. №1"}</definedName>
    <definedName name="а_1" localSheetId="110" hidden="1">{#N/A,#N/A,TRUE,"Смета на пасс. обор. №1"}</definedName>
    <definedName name="а_1" localSheetId="109" hidden="1">{#N/A,#N/A,TRUE,"Смета на пасс. обор. №1"}</definedName>
    <definedName name="а_1" localSheetId="108" hidden="1">{#N/A,#N/A,TRUE,"Смета на пасс. обор. №1"}</definedName>
    <definedName name="а_1" localSheetId="6" hidden="1">{#N/A,#N/A,TRUE,"Смета на пасс. обор. №1"}</definedName>
    <definedName name="а_1" localSheetId="9" hidden="1">{#N/A,#N/A,TRUE,"Смета на пасс. обор. №1"}</definedName>
    <definedName name="а_1" localSheetId="7" hidden="1">{#N/A,#N/A,TRUE,"Смета на пасс. обор. №1"}</definedName>
    <definedName name="а_1" localSheetId="92" hidden="1">{#N/A,#N/A,TRUE,"Смета на пасс. обор. №1"}</definedName>
    <definedName name="а_1" localSheetId="93" hidden="1">{#N/A,#N/A,TRUE,"Смета на пасс. обор. №1"}</definedName>
    <definedName name="а_1" localSheetId="94" hidden="1">{#N/A,#N/A,TRUE,"Смета на пасс. обор. №1"}</definedName>
    <definedName name="а_1" localSheetId="99" hidden="1">{#N/A,#N/A,TRUE,"Смета на пасс. обор. №1"}</definedName>
    <definedName name="а_1" localSheetId="100" hidden="1">{#N/A,#N/A,TRUE,"Смета на пасс. обор. №1"}</definedName>
    <definedName name="а_1" localSheetId="106" hidden="1">{#N/A,#N/A,TRUE,"Смета на пасс. обор. №1"}</definedName>
    <definedName name="а_1" localSheetId="2" hidden="1">{#N/A,#N/A,TRUE,"Смета на пасс. обор. №1"}</definedName>
    <definedName name="а_1" localSheetId="123" hidden="1">{#N/A,#N/A,TRUE,"Смета на пасс. обор. №1"}</definedName>
    <definedName name="а_1" localSheetId="4" hidden="1">{#N/A,#N/A,TRUE,"Смета на пасс. обор. №1"}</definedName>
    <definedName name="а_1" localSheetId="13" hidden="1">{#N/A,#N/A,TRUE,"Смета на пасс. обор. №1"}</definedName>
    <definedName name="а_1" hidden="1">{#N/A,#N/A,TRUE,"Смета на пасс. обор. №1"}</definedName>
    <definedName name="а1" localSheetId="10">#REF!</definedName>
    <definedName name="а1" localSheetId="12">#REF!</definedName>
    <definedName name="а1" localSheetId="116">#REF!</definedName>
    <definedName name="а1" localSheetId="8">#REF!</definedName>
    <definedName name="а1" localSheetId="11">#REF!</definedName>
    <definedName name="а1" localSheetId="110">#REF!</definedName>
    <definedName name="а1" localSheetId="109">#REF!</definedName>
    <definedName name="а1" localSheetId="108">#REF!</definedName>
    <definedName name="а1" localSheetId="6">#REF!</definedName>
    <definedName name="а1" localSheetId="9">#REF!</definedName>
    <definedName name="а1" localSheetId="7">#REF!</definedName>
    <definedName name="а1" localSheetId="92">#REF!</definedName>
    <definedName name="а1" localSheetId="93">#REF!</definedName>
    <definedName name="а1" localSheetId="94">#REF!</definedName>
    <definedName name="а1" localSheetId="99">#REF!</definedName>
    <definedName name="а1" localSheetId="100">#REF!</definedName>
    <definedName name="а1" localSheetId="106">#REF!</definedName>
    <definedName name="а1">#REF!</definedName>
    <definedName name="А15" localSheetId="10">#REF!</definedName>
    <definedName name="А15" localSheetId="9">#REF!</definedName>
    <definedName name="А15">#REF!</definedName>
    <definedName name="А2" localSheetId="10">#REF!</definedName>
    <definedName name="А2" localSheetId="12">#REF!</definedName>
    <definedName name="А2" localSheetId="116">#REF!</definedName>
    <definedName name="А2" localSheetId="110">#REF!</definedName>
    <definedName name="А2" localSheetId="109">#REF!</definedName>
    <definedName name="А2" localSheetId="108">#REF!</definedName>
    <definedName name="А2" localSheetId="9">#REF!</definedName>
    <definedName name="А2" localSheetId="92">#REF!</definedName>
    <definedName name="А2" localSheetId="93">#REF!</definedName>
    <definedName name="А2" localSheetId="94">#REF!</definedName>
    <definedName name="А2" localSheetId="99">#REF!</definedName>
    <definedName name="А2" localSheetId="100">#REF!</definedName>
    <definedName name="А2" localSheetId="106">#REF!</definedName>
    <definedName name="А2">#REF!</definedName>
    <definedName name="А34" localSheetId="10">#REF!</definedName>
    <definedName name="А34" localSheetId="9">#REF!</definedName>
    <definedName name="А34">#REF!</definedName>
    <definedName name="а35" localSheetId="10">#REF!</definedName>
    <definedName name="а35" localSheetId="9">#REF!</definedName>
    <definedName name="а35">#REF!</definedName>
    <definedName name="а36" localSheetId="10">#REF!</definedName>
    <definedName name="а36" localSheetId="12">#REF!</definedName>
    <definedName name="а36" localSheetId="116">#REF!</definedName>
    <definedName name="а36" localSheetId="110">#REF!</definedName>
    <definedName name="а36" localSheetId="9">#REF!</definedName>
    <definedName name="а36" localSheetId="92">#REF!</definedName>
    <definedName name="а36" localSheetId="93">#REF!</definedName>
    <definedName name="а36" localSheetId="94">#REF!</definedName>
    <definedName name="а36" localSheetId="99">#REF!</definedName>
    <definedName name="а36" localSheetId="100">#REF!</definedName>
    <definedName name="а36" localSheetId="106">#REF!</definedName>
    <definedName name="а36">#REF!</definedName>
    <definedName name="а36_1" localSheetId="10">#REF!</definedName>
    <definedName name="а36_1" localSheetId="9">#REF!</definedName>
    <definedName name="а36_1">#REF!</definedName>
    <definedName name="аа" localSheetId="10">#REF!</definedName>
    <definedName name="аа" localSheetId="12">[7]топография!#REF!</definedName>
    <definedName name="аа" localSheetId="116">[7]топография!#REF!</definedName>
    <definedName name="аа" localSheetId="8">#REF!</definedName>
    <definedName name="аа" localSheetId="11">#REF!</definedName>
    <definedName name="аа" localSheetId="110">[7]топография!#REF!</definedName>
    <definedName name="аа" localSheetId="6">#REF!</definedName>
    <definedName name="аа" localSheetId="9">#REF!</definedName>
    <definedName name="аа" localSheetId="7">[13]топография!#REF!</definedName>
    <definedName name="аа" localSheetId="92">[7]топография!#REF!</definedName>
    <definedName name="аа" localSheetId="93">[7]топография!#REF!</definedName>
    <definedName name="аа" localSheetId="94">[7]топография!#REF!</definedName>
    <definedName name="аа" localSheetId="99">[7]топография!#REF!</definedName>
    <definedName name="аа" localSheetId="100">[7]топография!#REF!</definedName>
    <definedName name="аа" localSheetId="106">[7]топография!#REF!</definedName>
    <definedName name="аа">[7]топография!#REF!</definedName>
    <definedName name="ААА" localSheetId="10">#REF!</definedName>
    <definedName name="ААА" localSheetId="9">#REF!</definedName>
    <definedName name="ААА">#REF!</definedName>
    <definedName name="аааа" localSheetId="10">#REF!</definedName>
    <definedName name="аааа" localSheetId="9">#REF!</definedName>
    <definedName name="аааа">#REF!</definedName>
    <definedName name="ааааа" localSheetId="10">#REF!</definedName>
    <definedName name="ааааа" localSheetId="9">#REF!</definedName>
    <definedName name="ааааа">#REF!</definedName>
    <definedName name="аааааа" localSheetId="10">#REF!</definedName>
    <definedName name="аааааа" localSheetId="9">#REF!</definedName>
    <definedName name="аааааа">#REF!</definedName>
    <definedName name="ааааааа" localSheetId="10">#REF!</definedName>
    <definedName name="ааааааа" localSheetId="9">#REF!</definedName>
    <definedName name="ааааааа">#REF!</definedName>
    <definedName name="аб" localSheetId="10">#REF!</definedName>
    <definedName name="аб" localSheetId="9">#REF!</definedName>
    <definedName name="аб">#REF!</definedName>
    <definedName name="ав" localSheetId="10">#REF!</definedName>
    <definedName name="ав" localSheetId="12">#REF!</definedName>
    <definedName name="ав" localSheetId="116">#REF!</definedName>
    <definedName name="ав" localSheetId="110">#REF!</definedName>
    <definedName name="ав" localSheetId="109">#REF!</definedName>
    <definedName name="ав" localSheetId="108">#REF!</definedName>
    <definedName name="ав" localSheetId="9">#REF!</definedName>
    <definedName name="ав" localSheetId="7">#REF!</definedName>
    <definedName name="ав" localSheetId="92">#REF!</definedName>
    <definedName name="ав" localSheetId="93">#REF!</definedName>
    <definedName name="ав" localSheetId="94">#REF!</definedName>
    <definedName name="ав" localSheetId="99">#REF!</definedName>
    <definedName name="ав" localSheetId="100">#REF!</definedName>
    <definedName name="ав" localSheetId="106">#REF!</definedName>
    <definedName name="ав">#REF!</definedName>
    <definedName name="ав_1" localSheetId="10">#REF!</definedName>
    <definedName name="ав_1" localSheetId="9">#REF!</definedName>
    <definedName name="ав_1">#REF!</definedName>
    <definedName name="авввввввввввввввввввв" localSheetId="10">#REF!</definedName>
    <definedName name="авввввввввввввввввввв" localSheetId="9">#REF!</definedName>
    <definedName name="авввввввввввввввввввв">#REF!</definedName>
    <definedName name="авпявап" localSheetId="10">#REF!</definedName>
    <definedName name="авпявап" localSheetId="9">#REF!</definedName>
    <definedName name="авпявап">#REF!</definedName>
    <definedName name="авпяпав" localSheetId="10">#REF!</definedName>
    <definedName name="авпяпав" localSheetId="9">#REF!</definedName>
    <definedName name="авпяпав">#REF!</definedName>
    <definedName name="авРВп" localSheetId="10">#REF!</definedName>
    <definedName name="авРВп" localSheetId="9">#REF!</definedName>
    <definedName name="авРВп">#REF!</definedName>
    <definedName name="авс" localSheetId="10">#REF!</definedName>
    <definedName name="авс" localSheetId="12">#REF!</definedName>
    <definedName name="авс" localSheetId="116">#REF!</definedName>
    <definedName name="авс" localSheetId="110">#REF!</definedName>
    <definedName name="авс" localSheetId="109">#REF!</definedName>
    <definedName name="авс" localSheetId="108">#REF!</definedName>
    <definedName name="авс" localSheetId="9">#REF!</definedName>
    <definedName name="авс" localSheetId="92">#REF!</definedName>
    <definedName name="авс" localSheetId="93">#REF!</definedName>
    <definedName name="авс" localSheetId="94">#REF!</definedName>
    <definedName name="авс" localSheetId="99">#REF!</definedName>
    <definedName name="авс" localSheetId="100">#REF!</definedName>
    <definedName name="авс" localSheetId="106">#REF!</definedName>
    <definedName name="авс">#REF!</definedName>
    <definedName name="автом" localSheetId="10">#REF!</definedName>
    <definedName name="автом" localSheetId="9">#REF!</definedName>
    <definedName name="автом">#REF!</definedName>
    <definedName name="аглвг" localSheetId="10">#REF!</definedName>
    <definedName name="аглвг" localSheetId="9">#REF!</definedName>
    <definedName name="аглвг">#REF!</definedName>
    <definedName name="админ" localSheetId="10">#REF!</definedName>
    <definedName name="админ" localSheetId="9">#REF!</definedName>
    <definedName name="админ">#REF!</definedName>
    <definedName name="аднг" localSheetId="10">#REF!</definedName>
    <definedName name="аднг" localSheetId="9">#REF!</definedName>
    <definedName name="аднг">#REF!</definedName>
    <definedName name="адоад" localSheetId="10">#REF!</definedName>
    <definedName name="адоад" localSheetId="9">#REF!</definedName>
    <definedName name="адоад">#REF!</definedName>
    <definedName name="адожд" localSheetId="10">#REF!</definedName>
    <definedName name="адожд" localSheetId="9">#REF!</definedName>
    <definedName name="адожд">#REF!</definedName>
    <definedName name="Азб" localSheetId="10">#REF!</definedName>
    <definedName name="Азб" localSheetId="12">#REF!</definedName>
    <definedName name="Азб" localSheetId="116">#REF!</definedName>
    <definedName name="Азб" localSheetId="110">#REF!</definedName>
    <definedName name="Азб" localSheetId="109">#REF!</definedName>
    <definedName name="Азб" localSheetId="108">#REF!</definedName>
    <definedName name="Азб" localSheetId="9">#REF!</definedName>
    <definedName name="Азб" localSheetId="92">#REF!</definedName>
    <definedName name="Азб" localSheetId="93">#REF!</definedName>
    <definedName name="Азб" localSheetId="94">#REF!</definedName>
    <definedName name="Азб" localSheetId="99">#REF!</definedName>
    <definedName name="Азб" localSheetId="100">#REF!</definedName>
    <definedName name="Азб" localSheetId="106">#REF!</definedName>
    <definedName name="Азб">#REF!</definedName>
    <definedName name="АКСТ">'[25]Лист опроса'!$B$22</definedName>
    <definedName name="ало" localSheetId="10">#REF!</definedName>
    <definedName name="ало" localSheetId="9">#REF!</definedName>
    <definedName name="ало">#REF!</definedName>
    <definedName name="Алтайский_край" localSheetId="10">#REF!</definedName>
    <definedName name="Алтайский_край" localSheetId="9">#REF!</definedName>
    <definedName name="Алтайский_край">#REF!</definedName>
    <definedName name="Алтайский_край_1" localSheetId="10">#REF!</definedName>
    <definedName name="Алтайский_край_1" localSheetId="9">#REF!</definedName>
    <definedName name="Алтайский_край_1">#REF!</definedName>
    <definedName name="Амурская_область" localSheetId="10">#REF!</definedName>
    <definedName name="Амурская_область" localSheetId="9">#REF!</definedName>
    <definedName name="Амурская_область">#REF!</definedName>
    <definedName name="Амурская_область_1" localSheetId="10">#REF!</definedName>
    <definedName name="Амурская_область_1" localSheetId="9">#REF!</definedName>
    <definedName name="Амурская_область_1">#REF!</definedName>
    <definedName name="ангданга" localSheetId="10">#REF!</definedName>
    <definedName name="ангданга" localSheetId="9">#REF!</definedName>
    <definedName name="ангданга">#REF!</definedName>
    <definedName name="ангщ" localSheetId="10">#REF!</definedName>
    <definedName name="ангщ" localSheetId="9">#REF!</definedName>
    <definedName name="ангщ">#REF!</definedName>
    <definedName name="анд" localSheetId="10">#REF!</definedName>
    <definedName name="анд" localSheetId="9">#REF!</definedName>
    <definedName name="анд">#REF!</definedName>
    <definedName name="анол" localSheetId="10">#REF!</definedName>
    <definedName name="анол" localSheetId="9">#REF!</definedName>
    <definedName name="анол">#REF!</definedName>
    <definedName name="анрл" localSheetId="10">[4]топография!#REF!</definedName>
    <definedName name="анрл" localSheetId="9">[4]топография!#REF!</definedName>
    <definedName name="анрл">[4]топография!#REF!</definedName>
    <definedName name="аода" localSheetId="10">#REF!</definedName>
    <definedName name="аода" localSheetId="9">#REF!</definedName>
    <definedName name="аода">#REF!</definedName>
    <definedName name="аодадо" localSheetId="10">#REF!</definedName>
    <definedName name="аодадо" localSheetId="9">#REF!</definedName>
    <definedName name="аодадо">#REF!</definedName>
    <definedName name="аодра" localSheetId="10">#REF!</definedName>
    <definedName name="аодра" localSheetId="9">#REF!</definedName>
    <definedName name="аодра">#REF!</definedName>
    <definedName name="аол" localSheetId="10">[4]топография!#REF!</definedName>
    <definedName name="аол" localSheetId="9">[4]топография!#REF!</definedName>
    <definedName name="аол">[4]топография!#REF!</definedName>
    <definedName name="аолрмб">[26]Вспомогательный!$D$77</definedName>
    <definedName name="аопы" localSheetId="10">#REF!</definedName>
    <definedName name="аопы" localSheetId="9">#REF!</definedName>
    <definedName name="аопы">#REF!</definedName>
    <definedName name="аопыао" localSheetId="10">#REF!</definedName>
    <definedName name="аопыао" localSheetId="9">#REF!</definedName>
    <definedName name="аопыао">#REF!</definedName>
    <definedName name="аоыао" localSheetId="10">#REF!</definedName>
    <definedName name="аоыао" localSheetId="9">#REF!</definedName>
    <definedName name="аоыао">#REF!</definedName>
    <definedName name="ап" localSheetId="10">#REF!</definedName>
    <definedName name="ап" localSheetId="12" hidden="1">{#N/A,#N/A,TRUE,"Смета на пасс. обор. №1"}</definedName>
    <definedName name="ап" localSheetId="111" hidden="1">{#N/A,#N/A,TRUE,"Смета на пасс. обор. №1"}</definedName>
    <definedName name="ап" localSheetId="112" hidden="1">{#N/A,#N/A,TRUE,"Смета на пасс. обор. №1"}</definedName>
    <definedName name="ап" localSheetId="113" hidden="1">{#N/A,#N/A,TRUE,"Смета на пасс. обор. №1"}</definedName>
    <definedName name="ап" localSheetId="114" hidden="1">{#N/A,#N/A,TRUE,"Смета на пасс. обор. №1"}</definedName>
    <definedName name="ап" localSheetId="115" hidden="1">{#N/A,#N/A,TRUE,"Смета на пасс. обор. №1"}</definedName>
    <definedName name="ап" localSheetId="116" hidden="1">{#N/A,#N/A,TRUE,"Смета на пасс. обор. №1"}</definedName>
    <definedName name="ап" localSheetId="117" hidden="1">{#N/A,#N/A,TRUE,"Смета на пасс. обор. №1"}</definedName>
    <definedName name="ап" localSheetId="118" hidden="1">{#N/A,#N/A,TRUE,"Смета на пасс. обор. №1"}</definedName>
    <definedName name="ап" localSheetId="121" hidden="1">{#N/A,#N/A,TRUE,"Смета на пасс. обор. №1"}</definedName>
    <definedName name="ап" localSheetId="122" hidden="1">{#N/A,#N/A,TRUE,"Смета на пасс. обор. №1"}</definedName>
    <definedName name="ап" localSheetId="8">#REF!</definedName>
    <definedName name="ап" localSheetId="11">#REF!</definedName>
    <definedName name="ап" localSheetId="110" hidden="1">{#N/A,#N/A,TRUE,"Смета на пасс. обор. №1"}</definedName>
    <definedName name="ап" localSheetId="109" hidden="1">{#N/A,#N/A,TRUE,"Смета на пасс. обор. №1"}</definedName>
    <definedName name="ап" localSheetId="108" hidden="1">{#N/A,#N/A,TRUE,"Смета на пасс. обор. №1"}</definedName>
    <definedName name="ап" localSheetId="6">#REF!</definedName>
    <definedName name="ап" localSheetId="9">#REF!</definedName>
    <definedName name="ап" localSheetId="7" hidden="1">{#N/A,#N/A,TRUE,"Смета на пасс. обор. №1"}</definedName>
    <definedName name="ап" localSheetId="92" hidden="1">{#N/A,#N/A,TRUE,"Смета на пасс. обор. №1"}</definedName>
    <definedName name="ап" localSheetId="93" hidden="1">{#N/A,#N/A,TRUE,"Смета на пасс. обор. №1"}</definedName>
    <definedName name="ап" localSheetId="94" hidden="1">{#N/A,#N/A,TRUE,"Смета на пасс. обор. №1"}</definedName>
    <definedName name="ап" localSheetId="99" hidden="1">{#N/A,#N/A,TRUE,"Смета на пасс. обор. №1"}</definedName>
    <definedName name="ап" localSheetId="100" hidden="1">{#N/A,#N/A,TRUE,"Смета на пасс. обор. №1"}</definedName>
    <definedName name="ап" localSheetId="106" hidden="1">{#N/A,#N/A,TRUE,"Смета на пасс. обор. №1"}</definedName>
    <definedName name="ап" localSheetId="2" hidden="1">{#N/A,#N/A,TRUE,"Смета на пасс. обор. №1"}</definedName>
    <definedName name="ап" localSheetId="123" hidden="1">{#N/A,#N/A,TRUE,"Смета на пасс. обор. №1"}</definedName>
    <definedName name="ап" localSheetId="4" hidden="1">{#N/A,#N/A,TRUE,"Смета на пасс. обор. №1"}</definedName>
    <definedName name="ап" localSheetId="13" hidden="1">{#N/A,#N/A,TRUE,"Смета на пасс. обор. №1"}</definedName>
    <definedName name="ап" hidden="1">{#N/A,#N/A,TRUE,"Смета на пасс. обор. №1"}</definedName>
    <definedName name="ап_1" localSheetId="10" hidden="1">{#N/A,#N/A,TRUE,"Смета на пасс. обор. №1"}</definedName>
    <definedName name="ап_1" localSheetId="12" hidden="1">{#N/A,#N/A,TRUE,"Смета на пасс. обор. №1"}</definedName>
    <definedName name="ап_1" localSheetId="111" hidden="1">{#N/A,#N/A,TRUE,"Смета на пасс. обор. №1"}</definedName>
    <definedName name="ап_1" localSheetId="112" hidden="1">{#N/A,#N/A,TRUE,"Смета на пасс. обор. №1"}</definedName>
    <definedName name="ап_1" localSheetId="113" hidden="1">{#N/A,#N/A,TRUE,"Смета на пасс. обор. №1"}</definedName>
    <definedName name="ап_1" localSheetId="114" hidden="1">{#N/A,#N/A,TRUE,"Смета на пасс. обор. №1"}</definedName>
    <definedName name="ап_1" localSheetId="115" hidden="1">{#N/A,#N/A,TRUE,"Смета на пасс. обор. №1"}</definedName>
    <definedName name="ап_1" localSheetId="116" hidden="1">{#N/A,#N/A,TRUE,"Смета на пасс. обор. №1"}</definedName>
    <definedName name="ап_1" localSheetId="117" hidden="1">{#N/A,#N/A,TRUE,"Смета на пасс. обор. №1"}</definedName>
    <definedName name="ап_1" localSheetId="118" hidden="1">{#N/A,#N/A,TRUE,"Смета на пасс. обор. №1"}</definedName>
    <definedName name="ап_1" localSheetId="121" hidden="1">{#N/A,#N/A,TRUE,"Смета на пасс. обор. №1"}</definedName>
    <definedName name="ап_1" localSheetId="122" hidden="1">{#N/A,#N/A,TRUE,"Смета на пасс. обор. №1"}</definedName>
    <definedName name="ап_1" localSheetId="8" hidden="1">{#N/A,#N/A,TRUE,"Смета на пасс. обор. №1"}</definedName>
    <definedName name="ап_1" localSheetId="11" hidden="1">{#N/A,#N/A,TRUE,"Смета на пасс. обор. №1"}</definedName>
    <definedName name="ап_1" localSheetId="110" hidden="1">{#N/A,#N/A,TRUE,"Смета на пасс. обор. №1"}</definedName>
    <definedName name="ап_1" localSheetId="109" hidden="1">{#N/A,#N/A,TRUE,"Смета на пасс. обор. №1"}</definedName>
    <definedName name="ап_1" localSheetId="108" hidden="1">{#N/A,#N/A,TRUE,"Смета на пасс. обор. №1"}</definedName>
    <definedName name="ап_1" localSheetId="6" hidden="1">{#N/A,#N/A,TRUE,"Смета на пасс. обор. №1"}</definedName>
    <definedName name="ап_1" localSheetId="9" hidden="1">{#N/A,#N/A,TRUE,"Смета на пасс. обор. №1"}</definedName>
    <definedName name="ап_1" localSheetId="7" hidden="1">{#N/A,#N/A,TRUE,"Смета на пасс. обор. №1"}</definedName>
    <definedName name="ап_1" localSheetId="92" hidden="1">{#N/A,#N/A,TRUE,"Смета на пасс. обор. №1"}</definedName>
    <definedName name="ап_1" localSheetId="93" hidden="1">{#N/A,#N/A,TRUE,"Смета на пасс. обор. №1"}</definedName>
    <definedName name="ап_1" localSheetId="94" hidden="1">{#N/A,#N/A,TRUE,"Смета на пасс. обор. №1"}</definedName>
    <definedName name="ап_1" localSheetId="99" hidden="1">{#N/A,#N/A,TRUE,"Смета на пасс. обор. №1"}</definedName>
    <definedName name="ап_1" localSheetId="100" hidden="1">{#N/A,#N/A,TRUE,"Смета на пасс. обор. №1"}</definedName>
    <definedName name="ап_1" localSheetId="106" hidden="1">{#N/A,#N/A,TRUE,"Смета на пасс. обор. №1"}</definedName>
    <definedName name="ап_1" localSheetId="2" hidden="1">{#N/A,#N/A,TRUE,"Смета на пасс. обор. №1"}</definedName>
    <definedName name="ап_1" localSheetId="123" hidden="1">{#N/A,#N/A,TRUE,"Смета на пасс. обор. №1"}</definedName>
    <definedName name="ап_1" localSheetId="4" hidden="1">{#N/A,#N/A,TRUE,"Смета на пасс. обор. №1"}</definedName>
    <definedName name="ап_1" localSheetId="13" hidden="1">{#N/A,#N/A,TRUE,"Смета на пасс. обор. №1"}</definedName>
    <definedName name="ап_1" hidden="1">{#N/A,#N/A,TRUE,"Смета на пасс. обор. №1"}</definedName>
    <definedName name="ап12" localSheetId="10">#REF!</definedName>
    <definedName name="ап12" localSheetId="9">#REF!</definedName>
    <definedName name="ап12">#REF!</definedName>
    <definedName name="апоап" localSheetId="10">#REF!</definedName>
    <definedName name="апоап" localSheetId="9">#REF!</definedName>
    <definedName name="апоап">#REF!</definedName>
    <definedName name="аповоп" localSheetId="10">#REF!</definedName>
    <definedName name="аповоп" localSheetId="9">#REF!</definedName>
    <definedName name="аповоп">#REF!</definedName>
    <definedName name="апопр" localSheetId="10">#REF!</definedName>
    <definedName name="апопр" localSheetId="9">#REF!</definedName>
    <definedName name="апопр">#REF!</definedName>
    <definedName name="апорапо" localSheetId="10">#REF!</definedName>
    <definedName name="апорапо" localSheetId="9">#REF!</definedName>
    <definedName name="апорапо">#REF!</definedName>
    <definedName name="апотиа" localSheetId="10">#REF!</definedName>
    <definedName name="апотиа" localSheetId="9">#REF!</definedName>
    <definedName name="апотиа">#REF!</definedName>
    <definedName name="апоыа" localSheetId="10">#REF!</definedName>
    <definedName name="апоыа" localSheetId="9">#REF!</definedName>
    <definedName name="апоыа">#REF!</definedName>
    <definedName name="апоыаоп" localSheetId="10">#REF!</definedName>
    <definedName name="апоыаоп" localSheetId="9">#REF!</definedName>
    <definedName name="апоыаоп">#REF!</definedName>
    <definedName name="апоыапо" localSheetId="10">#REF!</definedName>
    <definedName name="апоыапо" localSheetId="9">#REF!</definedName>
    <definedName name="апоыапо">#REF!</definedName>
    <definedName name="апоыоо" localSheetId="10">#REF!</definedName>
    <definedName name="апоыоо" localSheetId="9">#REF!</definedName>
    <definedName name="апоыоо">#REF!</definedName>
    <definedName name="апр" localSheetId="10">[27]топография!#REF!</definedName>
    <definedName name="апр" localSheetId="12" hidden="1">{#N/A,#N/A,TRUE,"Смета на пасс. обор. №1"}</definedName>
    <definedName name="апр" localSheetId="111" hidden="1">{#N/A,#N/A,TRUE,"Смета на пасс. обор. №1"}</definedName>
    <definedName name="апр" localSheetId="112" hidden="1">{#N/A,#N/A,TRUE,"Смета на пасс. обор. №1"}</definedName>
    <definedName name="апр" localSheetId="113" hidden="1">{#N/A,#N/A,TRUE,"Смета на пасс. обор. №1"}</definedName>
    <definedName name="апр" localSheetId="114" hidden="1">{#N/A,#N/A,TRUE,"Смета на пасс. обор. №1"}</definedName>
    <definedName name="апр" localSheetId="115" hidden="1">{#N/A,#N/A,TRUE,"Смета на пасс. обор. №1"}</definedName>
    <definedName name="апр" localSheetId="116" hidden="1">{#N/A,#N/A,TRUE,"Смета на пасс. обор. №1"}</definedName>
    <definedName name="апр" localSheetId="117" hidden="1">{#N/A,#N/A,TRUE,"Смета на пасс. обор. №1"}</definedName>
    <definedName name="апр" localSheetId="118" hidden="1">{#N/A,#N/A,TRUE,"Смета на пасс. обор. №1"}</definedName>
    <definedName name="апр" localSheetId="121" hidden="1">{#N/A,#N/A,TRUE,"Смета на пасс. обор. №1"}</definedName>
    <definedName name="апр" localSheetId="122" hidden="1">{#N/A,#N/A,TRUE,"Смета на пасс. обор. №1"}</definedName>
    <definedName name="апр" localSheetId="8">[27]топография!#REF!</definedName>
    <definedName name="апр" localSheetId="11">[27]топография!#REF!</definedName>
    <definedName name="апр" localSheetId="110" hidden="1">{#N/A,#N/A,TRUE,"Смета на пасс. обор. №1"}</definedName>
    <definedName name="апр" localSheetId="109" hidden="1">{#N/A,#N/A,TRUE,"Смета на пасс. обор. №1"}</definedName>
    <definedName name="апр" localSheetId="108" hidden="1">{#N/A,#N/A,TRUE,"Смета на пасс. обор. №1"}</definedName>
    <definedName name="апр" localSheetId="6">[27]топография!#REF!</definedName>
    <definedName name="апр" localSheetId="9">[27]топография!#REF!</definedName>
    <definedName name="апр" localSheetId="7" hidden="1">{#N/A,#N/A,TRUE,"Смета на пасс. обор. №1"}</definedName>
    <definedName name="апр" localSheetId="92" hidden="1">{#N/A,#N/A,TRUE,"Смета на пасс. обор. №1"}</definedName>
    <definedName name="апр" localSheetId="93" hidden="1">{#N/A,#N/A,TRUE,"Смета на пасс. обор. №1"}</definedName>
    <definedName name="апр" localSheetId="94" hidden="1">{#N/A,#N/A,TRUE,"Смета на пасс. обор. №1"}</definedName>
    <definedName name="апр" localSheetId="99" hidden="1">{#N/A,#N/A,TRUE,"Смета на пасс. обор. №1"}</definedName>
    <definedName name="апр" localSheetId="100" hidden="1">{#N/A,#N/A,TRUE,"Смета на пасс. обор. №1"}</definedName>
    <definedName name="апр" localSheetId="106" hidden="1">{#N/A,#N/A,TRUE,"Смета на пасс. обор. №1"}</definedName>
    <definedName name="апр" localSheetId="2" hidden="1">{#N/A,#N/A,TRUE,"Смета на пасс. обор. №1"}</definedName>
    <definedName name="апр" localSheetId="123" hidden="1">{#N/A,#N/A,TRUE,"Смета на пасс. обор. №1"}</definedName>
    <definedName name="апр" localSheetId="4" hidden="1">{#N/A,#N/A,TRUE,"Смета на пасс. обор. №1"}</definedName>
    <definedName name="апр" localSheetId="13" hidden="1">{#N/A,#N/A,TRUE,"Смета на пасс. обор. №1"}</definedName>
    <definedName name="апр" hidden="1">{#N/A,#N/A,TRUE,"Смета на пасс. обор. №1"}</definedName>
    <definedName name="апр_1" localSheetId="10" hidden="1">{#N/A,#N/A,TRUE,"Смета на пасс. обор. №1"}</definedName>
    <definedName name="апр_1" localSheetId="12" hidden="1">{#N/A,#N/A,TRUE,"Смета на пасс. обор. №1"}</definedName>
    <definedName name="апр_1" localSheetId="111" hidden="1">{#N/A,#N/A,TRUE,"Смета на пасс. обор. №1"}</definedName>
    <definedName name="апр_1" localSheetId="112" hidden="1">{#N/A,#N/A,TRUE,"Смета на пасс. обор. №1"}</definedName>
    <definedName name="апр_1" localSheetId="113" hidden="1">{#N/A,#N/A,TRUE,"Смета на пасс. обор. №1"}</definedName>
    <definedName name="апр_1" localSheetId="114" hidden="1">{#N/A,#N/A,TRUE,"Смета на пасс. обор. №1"}</definedName>
    <definedName name="апр_1" localSheetId="115" hidden="1">{#N/A,#N/A,TRUE,"Смета на пасс. обор. №1"}</definedName>
    <definedName name="апр_1" localSheetId="116" hidden="1">{#N/A,#N/A,TRUE,"Смета на пасс. обор. №1"}</definedName>
    <definedName name="апр_1" localSheetId="117" hidden="1">{#N/A,#N/A,TRUE,"Смета на пасс. обор. №1"}</definedName>
    <definedName name="апр_1" localSheetId="118" hidden="1">{#N/A,#N/A,TRUE,"Смета на пасс. обор. №1"}</definedName>
    <definedName name="апр_1" localSheetId="121" hidden="1">{#N/A,#N/A,TRUE,"Смета на пасс. обор. №1"}</definedName>
    <definedName name="апр_1" localSheetId="122" hidden="1">{#N/A,#N/A,TRUE,"Смета на пасс. обор. №1"}</definedName>
    <definedName name="апр_1" localSheetId="8" hidden="1">{#N/A,#N/A,TRUE,"Смета на пасс. обор. №1"}</definedName>
    <definedName name="апр_1" localSheetId="11" hidden="1">{#N/A,#N/A,TRUE,"Смета на пасс. обор. №1"}</definedName>
    <definedName name="апр_1" localSheetId="110" hidden="1">{#N/A,#N/A,TRUE,"Смета на пасс. обор. №1"}</definedName>
    <definedName name="апр_1" localSheetId="109" hidden="1">{#N/A,#N/A,TRUE,"Смета на пасс. обор. №1"}</definedName>
    <definedName name="апр_1" localSheetId="108" hidden="1">{#N/A,#N/A,TRUE,"Смета на пасс. обор. №1"}</definedName>
    <definedName name="апр_1" localSheetId="6" hidden="1">{#N/A,#N/A,TRUE,"Смета на пасс. обор. №1"}</definedName>
    <definedName name="апр_1" localSheetId="9" hidden="1">{#N/A,#N/A,TRUE,"Смета на пасс. обор. №1"}</definedName>
    <definedName name="апр_1" localSheetId="7" hidden="1">{#N/A,#N/A,TRUE,"Смета на пасс. обор. №1"}</definedName>
    <definedName name="апр_1" localSheetId="92" hidden="1">{#N/A,#N/A,TRUE,"Смета на пасс. обор. №1"}</definedName>
    <definedName name="апр_1" localSheetId="93" hidden="1">{#N/A,#N/A,TRUE,"Смета на пасс. обор. №1"}</definedName>
    <definedName name="апр_1" localSheetId="94" hidden="1">{#N/A,#N/A,TRUE,"Смета на пасс. обор. №1"}</definedName>
    <definedName name="апр_1" localSheetId="99" hidden="1">{#N/A,#N/A,TRUE,"Смета на пасс. обор. №1"}</definedName>
    <definedName name="апр_1" localSheetId="100" hidden="1">{#N/A,#N/A,TRUE,"Смета на пасс. обор. №1"}</definedName>
    <definedName name="апр_1" localSheetId="106" hidden="1">{#N/A,#N/A,TRUE,"Смета на пасс. обор. №1"}</definedName>
    <definedName name="апр_1" localSheetId="2" hidden="1">{#N/A,#N/A,TRUE,"Смета на пасс. обор. №1"}</definedName>
    <definedName name="апр_1" localSheetId="123" hidden="1">{#N/A,#N/A,TRUE,"Смета на пасс. обор. №1"}</definedName>
    <definedName name="апр_1" localSheetId="4" hidden="1">{#N/A,#N/A,TRUE,"Смета на пасс. обор. №1"}</definedName>
    <definedName name="апр_1" localSheetId="13" hidden="1">{#N/A,#N/A,TRUE,"Смета на пасс. обор. №1"}</definedName>
    <definedName name="апр_1" hidden="1">{#N/A,#N/A,TRUE,"Смета на пасс. обор. №1"}</definedName>
    <definedName name="аправи" localSheetId="10">#REF!</definedName>
    <definedName name="аправи" localSheetId="9">#REF!</definedName>
    <definedName name="аправи">#REF!</definedName>
    <definedName name="апрво" localSheetId="10">#REF!</definedName>
    <definedName name="апрво" localSheetId="9">#REF!</definedName>
    <definedName name="апрво">#REF!</definedName>
    <definedName name="апрыа" localSheetId="10">#REF!</definedName>
    <definedName name="апрыа" localSheetId="9">#REF!</definedName>
    <definedName name="апрыа">#REF!</definedName>
    <definedName name="апрыапр" localSheetId="10">[4]топография!#REF!</definedName>
    <definedName name="апрыапр" localSheetId="9">[4]топография!#REF!</definedName>
    <definedName name="апрыапр">[4]топография!#REF!</definedName>
    <definedName name="апыо" localSheetId="10">#REF!</definedName>
    <definedName name="апыо" localSheetId="9">#REF!</definedName>
    <definedName name="апыо">#REF!</definedName>
    <definedName name="апырр" localSheetId="10">#REF!</definedName>
    <definedName name="апырр" localSheetId="9">#REF!</definedName>
    <definedName name="апырр">#REF!</definedName>
    <definedName name="араера" localSheetId="10">#REF!</definedName>
    <definedName name="араера" localSheetId="9">#REF!</definedName>
    <definedName name="араера">#REF!</definedName>
    <definedName name="арбь" localSheetId="10">#REF!</definedName>
    <definedName name="арбь" localSheetId="9">#REF!</definedName>
    <definedName name="арбь">#REF!</definedName>
    <definedName name="арл" localSheetId="10">#REF!</definedName>
    <definedName name="арл" localSheetId="9">#REF!</definedName>
    <definedName name="арл">#REF!</definedName>
    <definedName name="арла" localSheetId="10">[4]топография!#REF!</definedName>
    <definedName name="арла" localSheetId="9">[4]топография!#REF!</definedName>
    <definedName name="арла">[4]топография!#REF!</definedName>
    <definedName name="аро" localSheetId="10">#REF!</definedName>
    <definedName name="аро" localSheetId="9">#REF!</definedName>
    <definedName name="аро">#REF!</definedName>
    <definedName name="ародар" localSheetId="10">#REF!</definedName>
    <definedName name="ародар" localSheetId="9">#REF!</definedName>
    <definedName name="ародар">#REF!</definedName>
    <definedName name="ародард" localSheetId="10">[4]топография!#REF!</definedName>
    <definedName name="ародард" localSheetId="9">[4]топография!#REF!</definedName>
    <definedName name="ародард">[4]топография!#REF!</definedName>
    <definedName name="ародарод" localSheetId="10">#REF!</definedName>
    <definedName name="ародарод" localSheetId="9">#REF!</definedName>
    <definedName name="ародарод">#REF!</definedName>
    <definedName name="ародра" localSheetId="10">#REF!</definedName>
    <definedName name="ародра" localSheetId="9">#REF!</definedName>
    <definedName name="ародра">#REF!</definedName>
    <definedName name="арол" localSheetId="10">#REF!</definedName>
    <definedName name="арол" localSheetId="9">#REF!</definedName>
    <definedName name="арол">#REF!</definedName>
    <definedName name="аролаол" localSheetId="10">#REF!</definedName>
    <definedName name="аролаол" localSheetId="9">#REF!</definedName>
    <definedName name="аролаол">#REF!</definedName>
    <definedName name="арпа" localSheetId="10">#REF!</definedName>
    <definedName name="арпа" localSheetId="9">#REF!</definedName>
    <definedName name="арпа">#REF!</definedName>
    <definedName name="Архангельская_область" localSheetId="10">#REF!</definedName>
    <definedName name="Архангельская_область" localSheetId="9">#REF!</definedName>
    <definedName name="Архангельская_область">#REF!</definedName>
    <definedName name="Архангельская_область_1" localSheetId="10">#REF!</definedName>
    <definedName name="Архангельская_область_1" localSheetId="9">#REF!</definedName>
    <definedName name="Архангельская_область_1">#REF!</definedName>
    <definedName name="арьдбра" localSheetId="10">[4]топография!#REF!</definedName>
    <definedName name="арьдбра" localSheetId="9">[4]топография!#REF!</definedName>
    <definedName name="арьдбра">[4]топография!#REF!</definedName>
    <definedName name="астр" localSheetId="10">#REF!</definedName>
    <definedName name="астр" localSheetId="12">#REF!</definedName>
    <definedName name="астр" localSheetId="116">#REF!</definedName>
    <definedName name="астр" localSheetId="8">#REF!</definedName>
    <definedName name="астр" localSheetId="11">#REF!</definedName>
    <definedName name="астр" localSheetId="110">#REF!</definedName>
    <definedName name="астр" localSheetId="109">#REF!</definedName>
    <definedName name="астр" localSheetId="108">#REF!</definedName>
    <definedName name="астр" localSheetId="6">#REF!</definedName>
    <definedName name="астр" localSheetId="9">#REF!</definedName>
    <definedName name="астр" localSheetId="7">#REF!</definedName>
    <definedName name="астр" localSheetId="92">#REF!</definedName>
    <definedName name="астр" localSheetId="93">#REF!</definedName>
    <definedName name="астр" localSheetId="94">#REF!</definedName>
    <definedName name="астр" localSheetId="99">#REF!</definedName>
    <definedName name="астр" localSheetId="100">#REF!</definedName>
    <definedName name="астр" localSheetId="106">#REF!</definedName>
    <definedName name="астр">#REF!</definedName>
    <definedName name="Астраханская_область" localSheetId="10">#REF!</definedName>
    <definedName name="Астраханская_область" localSheetId="9">#REF!</definedName>
    <definedName name="Астраханская_область">#REF!</definedName>
    <definedName name="Астрахань" localSheetId="10">#REF!</definedName>
    <definedName name="Астрахань" localSheetId="12">#REF!</definedName>
    <definedName name="Астрахань" localSheetId="116">#REF!</definedName>
    <definedName name="Астрахань" localSheetId="8">#REF!</definedName>
    <definedName name="Астрахань" localSheetId="11">#REF!</definedName>
    <definedName name="Астрахань" localSheetId="110">#REF!</definedName>
    <definedName name="Астрахань" localSheetId="109">#REF!</definedName>
    <definedName name="Астрахань" localSheetId="108">#REF!</definedName>
    <definedName name="Астрахань" localSheetId="6">#REF!</definedName>
    <definedName name="Астрахань" localSheetId="9">#REF!</definedName>
    <definedName name="Астрахань" localSheetId="7">#REF!</definedName>
    <definedName name="Астрахань" localSheetId="92">#REF!</definedName>
    <definedName name="Астрахань" localSheetId="93">#REF!</definedName>
    <definedName name="Астрахань" localSheetId="94">#REF!</definedName>
    <definedName name="Астрахань" localSheetId="99">#REF!</definedName>
    <definedName name="Астрахань" localSheetId="100">#REF!</definedName>
    <definedName name="Астрахань" localSheetId="106">#REF!</definedName>
    <definedName name="Астрахань">#REF!</definedName>
    <definedName name="Астрахань_1" localSheetId="10">#REF!</definedName>
    <definedName name="Астрахань_1" localSheetId="12">#REF!</definedName>
    <definedName name="Астрахань_1" localSheetId="116">#REF!</definedName>
    <definedName name="Астрахань_1" localSheetId="110">#REF!</definedName>
    <definedName name="Астрахань_1" localSheetId="109">#REF!</definedName>
    <definedName name="Астрахань_1" localSheetId="108">#REF!</definedName>
    <definedName name="Астрахань_1" localSheetId="9">#REF!</definedName>
    <definedName name="Астрахань_1" localSheetId="92">#REF!</definedName>
    <definedName name="Астрахань_1" localSheetId="93">#REF!</definedName>
    <definedName name="Астрахань_1" localSheetId="94">#REF!</definedName>
    <definedName name="Астрахань_1" localSheetId="99">#REF!</definedName>
    <definedName name="Астрахань_1" localSheetId="100">#REF!</definedName>
    <definedName name="Астрахань_1" localSheetId="106">#REF!</definedName>
    <definedName name="Астрахань_1">#REF!</definedName>
    <definedName name="Астрахань_2" localSheetId="10">#REF!</definedName>
    <definedName name="Астрахань_2" localSheetId="12">#REF!</definedName>
    <definedName name="Астрахань_2" localSheetId="110">#REF!</definedName>
    <definedName name="Астрахань_2" localSheetId="9">#REF!</definedName>
    <definedName name="Астрахань_2">#REF!</definedName>
    <definedName name="Астрахань_22" localSheetId="10">#REF!</definedName>
    <definedName name="Астрахань_22" localSheetId="12">#REF!</definedName>
    <definedName name="Астрахань_22" localSheetId="110">#REF!</definedName>
    <definedName name="Астрахань_22" localSheetId="9">#REF!</definedName>
    <definedName name="Астрахань_22">#REF!</definedName>
    <definedName name="Астрахань_49" localSheetId="10">#REF!</definedName>
    <definedName name="Астрахань_49" localSheetId="12">#REF!</definedName>
    <definedName name="Астрахань_49" localSheetId="110">#REF!</definedName>
    <definedName name="Астрахань_49" localSheetId="9">#REF!</definedName>
    <definedName name="Астрахань_49">#REF!</definedName>
    <definedName name="Астрахань_5" localSheetId="10">#REF!</definedName>
    <definedName name="Астрахань_5" localSheetId="12">#REF!</definedName>
    <definedName name="Астрахань_5" localSheetId="110">#REF!</definedName>
    <definedName name="Астрахань_5" localSheetId="9">#REF!</definedName>
    <definedName name="Астрахань_5">#REF!</definedName>
    <definedName name="Астрахань_50" localSheetId="10">#REF!</definedName>
    <definedName name="Астрахань_50" localSheetId="12">#REF!</definedName>
    <definedName name="Астрахань_50" localSheetId="110">#REF!</definedName>
    <definedName name="Астрахань_50" localSheetId="9">#REF!</definedName>
    <definedName name="Астрахань_50">#REF!</definedName>
    <definedName name="Астрахань_51" localSheetId="10">#REF!</definedName>
    <definedName name="Астрахань_51" localSheetId="12">#REF!</definedName>
    <definedName name="Астрахань_51" localSheetId="110">#REF!</definedName>
    <definedName name="Астрахань_51" localSheetId="9">#REF!</definedName>
    <definedName name="Астрахань_51">#REF!</definedName>
    <definedName name="Астрахань_52" localSheetId="10">#REF!</definedName>
    <definedName name="Астрахань_52" localSheetId="12">#REF!</definedName>
    <definedName name="Астрахань_52" localSheetId="110">#REF!</definedName>
    <definedName name="Астрахань_52" localSheetId="9">#REF!</definedName>
    <definedName name="Астрахань_52">#REF!</definedName>
    <definedName name="Астрахань_53" localSheetId="10">#REF!</definedName>
    <definedName name="Астрахань_53" localSheetId="12">#REF!</definedName>
    <definedName name="Астрахань_53" localSheetId="110">#REF!</definedName>
    <definedName name="Астрахань_53" localSheetId="9">#REF!</definedName>
    <definedName name="Астрахань_53">#REF!</definedName>
    <definedName name="Астрахань_54" localSheetId="10">#REF!</definedName>
    <definedName name="Астрахань_54" localSheetId="12">#REF!</definedName>
    <definedName name="Астрахань_54" localSheetId="110">#REF!</definedName>
    <definedName name="Астрахань_54" localSheetId="9">#REF!</definedName>
    <definedName name="Астрахань_54">#REF!</definedName>
    <definedName name="АСУТП" localSheetId="10">#REF!</definedName>
    <definedName name="АСУТП" localSheetId="9">#REF!</definedName>
    <definedName name="АСУТП">#REF!</definedName>
    <definedName name="АСУТП2" localSheetId="10">#REF!</definedName>
    <definedName name="АСУТП2" localSheetId="12">#REF!</definedName>
    <definedName name="АСУТП2" localSheetId="110">#REF!</definedName>
    <definedName name="АСУТП2" localSheetId="9">#REF!</definedName>
    <definedName name="АСУТП2">#REF!</definedName>
    <definedName name="АСУТП2_1" localSheetId="10">#REF!</definedName>
    <definedName name="АСУТП2_1" localSheetId="12">#REF!</definedName>
    <definedName name="АСУТП2_1" localSheetId="110">#REF!</definedName>
    <definedName name="АСУТП2_1" localSheetId="9">#REF!</definedName>
    <definedName name="АСУТП2_1">#REF!</definedName>
    <definedName name="АСУТП2_2" localSheetId="10">#REF!</definedName>
    <definedName name="АСУТП2_2" localSheetId="12">#REF!</definedName>
    <definedName name="АСУТП2_2" localSheetId="110">#REF!</definedName>
    <definedName name="АСУТП2_2" localSheetId="9">#REF!</definedName>
    <definedName name="АСУТП2_2">#REF!</definedName>
    <definedName name="АСУТП2_22" localSheetId="10">#REF!</definedName>
    <definedName name="АСУТП2_22" localSheetId="12">#REF!</definedName>
    <definedName name="АСУТП2_22" localSheetId="110">#REF!</definedName>
    <definedName name="АСУТП2_22" localSheetId="9">#REF!</definedName>
    <definedName name="АСУТП2_22">#REF!</definedName>
    <definedName name="АСУТП2_49" localSheetId="10">#REF!</definedName>
    <definedName name="АСУТП2_49" localSheetId="12">#REF!</definedName>
    <definedName name="АСУТП2_49" localSheetId="110">#REF!</definedName>
    <definedName name="АСУТП2_49" localSheetId="9">#REF!</definedName>
    <definedName name="АСУТП2_49">#REF!</definedName>
    <definedName name="АСУТП2_5" localSheetId="10">#REF!</definedName>
    <definedName name="АСУТП2_5" localSheetId="12">#REF!</definedName>
    <definedName name="АСУТП2_5" localSheetId="110">#REF!</definedName>
    <definedName name="АСУТП2_5" localSheetId="9">#REF!</definedName>
    <definedName name="АСУТП2_5">#REF!</definedName>
    <definedName name="АСУТП2_50" localSheetId="10">#REF!</definedName>
    <definedName name="АСУТП2_50" localSheetId="12">#REF!</definedName>
    <definedName name="АСУТП2_50" localSheetId="110">#REF!</definedName>
    <definedName name="АСУТП2_50" localSheetId="9">#REF!</definedName>
    <definedName name="АСУТП2_50">#REF!</definedName>
    <definedName name="АСУТП2_51" localSheetId="10">#REF!</definedName>
    <definedName name="АСУТП2_51" localSheetId="12">#REF!</definedName>
    <definedName name="АСУТП2_51" localSheetId="110">#REF!</definedName>
    <definedName name="АСУТП2_51" localSheetId="9">#REF!</definedName>
    <definedName name="АСУТП2_51">#REF!</definedName>
    <definedName name="АСУТП2_52" localSheetId="10">#REF!</definedName>
    <definedName name="АСУТП2_52" localSheetId="12">#REF!</definedName>
    <definedName name="АСУТП2_52" localSheetId="110">#REF!</definedName>
    <definedName name="АСУТП2_52" localSheetId="9">#REF!</definedName>
    <definedName name="АСУТП2_52">#REF!</definedName>
    <definedName name="АСУТП2_53" localSheetId="10">#REF!</definedName>
    <definedName name="АСУТП2_53" localSheetId="12">#REF!</definedName>
    <definedName name="АСУТП2_53" localSheetId="110">#REF!</definedName>
    <definedName name="АСУТП2_53" localSheetId="9">#REF!</definedName>
    <definedName name="АСУТП2_53">#REF!</definedName>
    <definedName name="АСУТП2_54" localSheetId="10">#REF!</definedName>
    <definedName name="АСУТП2_54" localSheetId="12">#REF!</definedName>
    <definedName name="АСУТП2_54" localSheetId="110">#REF!</definedName>
    <definedName name="АСУТП2_54" localSheetId="9">#REF!</definedName>
    <definedName name="АСУТП2_54">#REF!</definedName>
    <definedName name="АСУТПАстрахань" localSheetId="10">#REF!</definedName>
    <definedName name="АСУТПАстрахань" localSheetId="12">#REF!</definedName>
    <definedName name="АСУТПАстрахань" localSheetId="110">#REF!</definedName>
    <definedName name="АСУТПАстрахань" localSheetId="9">#REF!</definedName>
    <definedName name="АСУТПАстрахань">#REF!</definedName>
    <definedName name="АСУТПАстрахань_1" localSheetId="10">#REF!</definedName>
    <definedName name="АСУТПАстрахань_1" localSheetId="12">#REF!</definedName>
    <definedName name="АСУТПАстрахань_1" localSheetId="110">#REF!</definedName>
    <definedName name="АСУТПАстрахань_1" localSheetId="9">#REF!</definedName>
    <definedName name="АСУТПАстрахань_1">#REF!</definedName>
    <definedName name="АСУТПАстрахань_2" localSheetId="10">#REF!</definedName>
    <definedName name="АСУТПАстрахань_2" localSheetId="12">#REF!</definedName>
    <definedName name="АСУТПАстрахань_2" localSheetId="110">#REF!</definedName>
    <definedName name="АСУТПАстрахань_2" localSheetId="9">#REF!</definedName>
    <definedName name="АСУТПАстрахань_2">#REF!</definedName>
    <definedName name="АСУТПАстрахань_22" localSheetId="10">#REF!</definedName>
    <definedName name="АСУТПАстрахань_22" localSheetId="12">#REF!</definedName>
    <definedName name="АСУТПАстрахань_22" localSheetId="110">#REF!</definedName>
    <definedName name="АСУТПАстрахань_22" localSheetId="9">#REF!</definedName>
    <definedName name="АСУТПАстрахань_22">#REF!</definedName>
    <definedName name="АСУТПАстрахань_49" localSheetId="10">#REF!</definedName>
    <definedName name="АСУТПАстрахань_49" localSheetId="12">#REF!</definedName>
    <definedName name="АСУТПАстрахань_49" localSheetId="110">#REF!</definedName>
    <definedName name="АСУТПАстрахань_49" localSheetId="9">#REF!</definedName>
    <definedName name="АСУТПАстрахань_49">#REF!</definedName>
    <definedName name="АСУТПАстрахань_5" localSheetId="10">#REF!</definedName>
    <definedName name="АСУТПАстрахань_5" localSheetId="12">#REF!</definedName>
    <definedName name="АСУТПАстрахань_5" localSheetId="110">#REF!</definedName>
    <definedName name="АСУТПАстрахань_5" localSheetId="9">#REF!</definedName>
    <definedName name="АСУТПАстрахань_5">#REF!</definedName>
    <definedName name="АСУТПАстрахань_50" localSheetId="10">#REF!</definedName>
    <definedName name="АСУТПАстрахань_50" localSheetId="12">#REF!</definedName>
    <definedName name="АСУТПАстрахань_50" localSheetId="110">#REF!</definedName>
    <definedName name="АСУТПАстрахань_50" localSheetId="9">#REF!</definedName>
    <definedName name="АСУТПАстрахань_50">#REF!</definedName>
    <definedName name="АСУТПАстрахань_51" localSheetId="10">#REF!</definedName>
    <definedName name="АСУТПАстрахань_51" localSheetId="12">#REF!</definedName>
    <definedName name="АСУТПАстрахань_51" localSheetId="110">#REF!</definedName>
    <definedName name="АСУТПАстрахань_51" localSheetId="9">#REF!</definedName>
    <definedName name="АСУТПАстрахань_51">#REF!</definedName>
    <definedName name="АСУТПАстрахань_52" localSheetId="10">#REF!</definedName>
    <definedName name="АСУТПАстрахань_52" localSheetId="12">#REF!</definedName>
    <definedName name="АСУТПАстрахань_52" localSheetId="110">#REF!</definedName>
    <definedName name="АСУТПАстрахань_52" localSheetId="9">#REF!</definedName>
    <definedName name="АСУТПАстрахань_52">#REF!</definedName>
    <definedName name="АСУТПАстрахань_53" localSheetId="10">#REF!</definedName>
    <definedName name="АСУТПАстрахань_53" localSheetId="12">#REF!</definedName>
    <definedName name="АСУТПАстрахань_53" localSheetId="110">#REF!</definedName>
    <definedName name="АСУТПАстрахань_53" localSheetId="9">#REF!</definedName>
    <definedName name="АСУТПАстрахань_53">#REF!</definedName>
    <definedName name="АСУТПАстрахань_54" localSheetId="10">#REF!</definedName>
    <definedName name="АСУТПАстрахань_54" localSheetId="12">#REF!</definedName>
    <definedName name="АСУТПАстрахань_54" localSheetId="110">#REF!</definedName>
    <definedName name="АСУТПАстрахань_54" localSheetId="9">#REF!</definedName>
    <definedName name="АСУТПАстрахань_54">#REF!</definedName>
    <definedName name="АСУТПН.Новгород" localSheetId="10">#REF!</definedName>
    <definedName name="АСУТПН.Новгород" localSheetId="12">#REF!</definedName>
    <definedName name="АСУТПН.Новгород" localSheetId="110">#REF!</definedName>
    <definedName name="АСУТПН.Новгород" localSheetId="9">#REF!</definedName>
    <definedName name="АСУТПН.Новгород">#REF!</definedName>
    <definedName name="АСУТПН.Новгород_1" localSheetId="10">#REF!</definedName>
    <definedName name="АСУТПН.Новгород_1" localSheetId="12">#REF!</definedName>
    <definedName name="АСУТПН.Новгород_1" localSheetId="110">#REF!</definedName>
    <definedName name="АСУТПН.Новгород_1" localSheetId="9">#REF!</definedName>
    <definedName name="АСУТПН.Новгород_1">#REF!</definedName>
    <definedName name="АСУТПН.Новгород_2" localSheetId="10">#REF!</definedName>
    <definedName name="АСУТПН.Новгород_2" localSheetId="12">#REF!</definedName>
    <definedName name="АСУТПН.Новгород_2" localSheetId="110">#REF!</definedName>
    <definedName name="АСУТПН.Новгород_2" localSheetId="9">#REF!</definedName>
    <definedName name="АСУТПН.Новгород_2">#REF!</definedName>
    <definedName name="АСУТПН.Новгород_22" localSheetId="10">#REF!</definedName>
    <definedName name="АСУТПН.Новгород_22" localSheetId="12">#REF!</definedName>
    <definedName name="АСУТПН.Новгород_22" localSheetId="110">#REF!</definedName>
    <definedName name="АСУТПН.Новгород_22" localSheetId="9">#REF!</definedName>
    <definedName name="АСУТПН.Новгород_22">#REF!</definedName>
    <definedName name="АСУТПН.Новгород_49" localSheetId="10">#REF!</definedName>
    <definedName name="АСУТПН.Новгород_49" localSheetId="12">#REF!</definedName>
    <definedName name="АСУТПН.Новгород_49" localSheetId="110">#REF!</definedName>
    <definedName name="АСУТПН.Новгород_49" localSheetId="9">#REF!</definedName>
    <definedName name="АСУТПН.Новгород_49">#REF!</definedName>
    <definedName name="АСУТПН.Новгород_5" localSheetId="10">#REF!</definedName>
    <definedName name="АСУТПН.Новгород_5" localSheetId="12">#REF!</definedName>
    <definedName name="АСУТПН.Новгород_5" localSheetId="110">#REF!</definedName>
    <definedName name="АСУТПН.Новгород_5" localSheetId="9">#REF!</definedName>
    <definedName name="АСУТПН.Новгород_5">#REF!</definedName>
    <definedName name="АСУТПН.Новгород_50" localSheetId="10">#REF!</definedName>
    <definedName name="АСУТПН.Новгород_50" localSheetId="12">#REF!</definedName>
    <definedName name="АСУТПН.Новгород_50" localSheetId="110">#REF!</definedName>
    <definedName name="АСУТПН.Новгород_50" localSheetId="9">#REF!</definedName>
    <definedName name="АСУТПН.Новгород_50">#REF!</definedName>
    <definedName name="АСУТПН.Новгород_51" localSheetId="10">#REF!</definedName>
    <definedName name="АСУТПН.Новгород_51" localSheetId="12">#REF!</definedName>
    <definedName name="АСУТПН.Новгород_51" localSheetId="110">#REF!</definedName>
    <definedName name="АСУТПН.Новгород_51" localSheetId="9">#REF!</definedName>
    <definedName name="АСУТПН.Новгород_51">#REF!</definedName>
    <definedName name="АСУТПН.Новгород_52" localSheetId="10">#REF!</definedName>
    <definedName name="АСУТПН.Новгород_52" localSheetId="12">#REF!</definedName>
    <definedName name="АСУТПН.Новгород_52" localSheetId="110">#REF!</definedName>
    <definedName name="АСУТПН.Новгород_52" localSheetId="9">#REF!</definedName>
    <definedName name="АСУТПН.Новгород_52">#REF!</definedName>
    <definedName name="АСУТПН.Новгород_53" localSheetId="10">#REF!</definedName>
    <definedName name="АСУТПН.Новгород_53" localSheetId="12">#REF!</definedName>
    <definedName name="АСУТПН.Новгород_53" localSheetId="110">#REF!</definedName>
    <definedName name="АСУТПН.Новгород_53" localSheetId="9">#REF!</definedName>
    <definedName name="АСУТПН.Новгород_53">#REF!</definedName>
    <definedName name="АСУТПН.Новгород_54" localSheetId="10">#REF!</definedName>
    <definedName name="АСУТПН.Новгород_54" localSheetId="12">#REF!</definedName>
    <definedName name="АСУТПН.Новгород_54" localSheetId="110">#REF!</definedName>
    <definedName name="АСУТПН.Новгород_54" localSheetId="9">#REF!</definedName>
    <definedName name="АСУТПН.Новгород_54">#REF!</definedName>
    <definedName name="АСУТПСтаврополь" localSheetId="10">#REF!</definedName>
    <definedName name="АСУТПСтаврополь" localSheetId="12">#REF!</definedName>
    <definedName name="АСУТПСтаврополь" localSheetId="110">#REF!</definedName>
    <definedName name="АСУТПСтаврополь" localSheetId="9">#REF!</definedName>
    <definedName name="АСУТПСтаврополь">#REF!</definedName>
    <definedName name="АСУТПСтаврополь_1" localSheetId="10">#REF!</definedName>
    <definedName name="АСУТПСтаврополь_1" localSheetId="12">#REF!</definedName>
    <definedName name="АСУТПСтаврополь_1" localSheetId="110">#REF!</definedName>
    <definedName name="АСУТПСтаврополь_1" localSheetId="9">#REF!</definedName>
    <definedName name="АСУТПСтаврополь_1">#REF!</definedName>
    <definedName name="АСУТПСтаврополь_2" localSheetId="10">#REF!</definedName>
    <definedName name="АСУТПСтаврополь_2" localSheetId="12">#REF!</definedName>
    <definedName name="АСУТПСтаврополь_2" localSheetId="110">#REF!</definedName>
    <definedName name="АСУТПСтаврополь_2" localSheetId="9">#REF!</definedName>
    <definedName name="АСУТПСтаврополь_2">#REF!</definedName>
    <definedName name="АСУТПСтаврополь_22" localSheetId="10">#REF!</definedName>
    <definedName name="АСУТПСтаврополь_22" localSheetId="12">#REF!</definedName>
    <definedName name="АСУТПСтаврополь_22" localSheetId="110">#REF!</definedName>
    <definedName name="АСУТПСтаврополь_22" localSheetId="9">#REF!</definedName>
    <definedName name="АСУТПСтаврополь_22">#REF!</definedName>
    <definedName name="АСУТПСтаврополь_49" localSheetId="10">#REF!</definedName>
    <definedName name="АСУТПСтаврополь_49" localSheetId="12">#REF!</definedName>
    <definedName name="АСУТПСтаврополь_49" localSheetId="110">#REF!</definedName>
    <definedName name="АСУТПСтаврополь_49" localSheetId="9">#REF!</definedName>
    <definedName name="АСУТПСтаврополь_49">#REF!</definedName>
    <definedName name="АСУТПСтаврополь_5" localSheetId="10">#REF!</definedName>
    <definedName name="АСУТПСтаврополь_5" localSheetId="12">#REF!</definedName>
    <definedName name="АСУТПСтаврополь_5" localSheetId="110">#REF!</definedName>
    <definedName name="АСУТПСтаврополь_5" localSheetId="9">#REF!</definedName>
    <definedName name="АСУТПСтаврополь_5">#REF!</definedName>
    <definedName name="АСУТПСтаврополь_50" localSheetId="10">#REF!</definedName>
    <definedName name="АСУТПСтаврополь_50" localSheetId="12">#REF!</definedName>
    <definedName name="АСУТПСтаврополь_50" localSheetId="110">#REF!</definedName>
    <definedName name="АСУТПСтаврополь_50" localSheetId="9">#REF!</definedName>
    <definedName name="АСУТПСтаврополь_50">#REF!</definedName>
    <definedName name="АСУТПСтаврополь_51" localSheetId="10">#REF!</definedName>
    <definedName name="АСУТПСтаврополь_51" localSheetId="12">#REF!</definedName>
    <definedName name="АСУТПСтаврополь_51" localSheetId="110">#REF!</definedName>
    <definedName name="АСУТПСтаврополь_51" localSheetId="9">#REF!</definedName>
    <definedName name="АСУТПСтаврополь_51">#REF!</definedName>
    <definedName name="АСУТПСтаврополь_52" localSheetId="10">#REF!</definedName>
    <definedName name="АСУТПСтаврополь_52" localSheetId="12">#REF!</definedName>
    <definedName name="АСУТПСтаврополь_52" localSheetId="110">#REF!</definedName>
    <definedName name="АСУТПСтаврополь_52" localSheetId="9">#REF!</definedName>
    <definedName name="АСУТПСтаврополь_52">#REF!</definedName>
    <definedName name="АСУТПСтаврополь_53" localSheetId="10">#REF!</definedName>
    <definedName name="АСУТПСтаврополь_53" localSheetId="12">#REF!</definedName>
    <definedName name="АСУТПСтаврополь_53" localSheetId="110">#REF!</definedName>
    <definedName name="АСУТПСтаврополь_53" localSheetId="9">#REF!</definedName>
    <definedName name="АСУТПСтаврополь_53">#REF!</definedName>
    <definedName name="АСУТПСтаврополь_54" localSheetId="10">#REF!</definedName>
    <definedName name="АСУТПСтаврополь_54" localSheetId="12">#REF!</definedName>
    <definedName name="АСУТПСтаврополь_54" localSheetId="110">#REF!</definedName>
    <definedName name="АСУТПСтаврополь_54" localSheetId="9">#REF!</definedName>
    <definedName name="АСУТПСтаврополь_54">#REF!</definedName>
    <definedName name="АФС" localSheetId="10">[6]топография!#REF!</definedName>
    <definedName name="АФС" localSheetId="12">[7]топография!#REF!</definedName>
    <definedName name="АФС" localSheetId="8">[6]топография!#REF!</definedName>
    <definedName name="АФС" localSheetId="11">[6]топография!#REF!</definedName>
    <definedName name="АФС" localSheetId="110">[7]топография!#REF!</definedName>
    <definedName name="АФС" localSheetId="6">[6]топография!#REF!</definedName>
    <definedName name="АФС" localSheetId="9">[6]топография!#REF!</definedName>
    <definedName name="АФС" localSheetId="7">[6]топография!#REF!</definedName>
    <definedName name="АФС">[7]топография!#REF!</definedName>
    <definedName name="ачпо" localSheetId="10">[7]топография!#REF!</definedName>
    <definedName name="ачпо" localSheetId="9">[7]топография!#REF!</definedName>
    <definedName name="ачпо">[7]топография!#REF!</definedName>
    <definedName name="аыв" localSheetId="10">#REF!</definedName>
    <definedName name="аыв" localSheetId="9">#REF!</definedName>
    <definedName name="аыв">#REF!</definedName>
    <definedName name="аыоап" localSheetId="10">#REF!</definedName>
    <definedName name="аыоап" localSheetId="9">#REF!</definedName>
    <definedName name="аыоап">#REF!</definedName>
    <definedName name="аыоапо" localSheetId="10">#REF!</definedName>
    <definedName name="аыоапо" localSheetId="9">#REF!</definedName>
    <definedName name="аыоапо">#REF!</definedName>
    <definedName name="аыопыао" localSheetId="10">#REF!</definedName>
    <definedName name="аыопыао" localSheetId="9">#REF!</definedName>
    <definedName name="аыопыао">#REF!</definedName>
    <definedName name="аыпр" localSheetId="10">[5]топография!#REF!</definedName>
    <definedName name="аыпр" localSheetId="9">[5]топография!#REF!</definedName>
    <definedName name="аыпр">[5]топография!#REF!</definedName>
    <definedName name="аыпрыпр" localSheetId="10">#REF!</definedName>
    <definedName name="аыпрыпр" localSheetId="9">#REF!</definedName>
    <definedName name="аыпрыпр">#REF!</definedName>
    <definedName name="аыыпо" localSheetId="10">[4]топография!#REF!</definedName>
    <definedName name="аыыпо" localSheetId="9">[4]топография!#REF!</definedName>
    <definedName name="аыыпо">[4]топография!#REF!</definedName>
    <definedName name="б" localSheetId="10">#REF!</definedName>
    <definedName name="б" localSheetId="12" hidden="1">{#N/A,#N/A,TRUE,"Смета на пасс. обор. №1"}</definedName>
    <definedName name="б" localSheetId="111" hidden="1">{#N/A,#N/A,TRUE,"Смета на пасс. обор. №1"}</definedName>
    <definedName name="б" localSheetId="112" hidden="1">{#N/A,#N/A,TRUE,"Смета на пасс. обор. №1"}</definedName>
    <definedName name="б" localSheetId="113" hidden="1">{#N/A,#N/A,TRUE,"Смета на пасс. обор. №1"}</definedName>
    <definedName name="б" localSheetId="114" hidden="1">{#N/A,#N/A,TRUE,"Смета на пасс. обор. №1"}</definedName>
    <definedName name="б" localSheetId="115" hidden="1">{#N/A,#N/A,TRUE,"Смета на пасс. обор. №1"}</definedName>
    <definedName name="б" localSheetId="116" hidden="1">{#N/A,#N/A,TRUE,"Смета на пасс. обор. №1"}</definedName>
    <definedName name="б" localSheetId="117" hidden="1">{#N/A,#N/A,TRUE,"Смета на пасс. обор. №1"}</definedName>
    <definedName name="б" localSheetId="118" hidden="1">{#N/A,#N/A,TRUE,"Смета на пасс. обор. №1"}</definedName>
    <definedName name="б" localSheetId="121" hidden="1">{#N/A,#N/A,TRUE,"Смета на пасс. обор. №1"}</definedName>
    <definedName name="б" localSheetId="122" hidden="1">{#N/A,#N/A,TRUE,"Смета на пасс. обор. №1"}</definedName>
    <definedName name="б" localSheetId="8">#REF!</definedName>
    <definedName name="б" localSheetId="11">#REF!</definedName>
    <definedName name="б" localSheetId="110" hidden="1">{#N/A,#N/A,TRUE,"Смета на пасс. обор. №1"}</definedName>
    <definedName name="б" localSheetId="109" hidden="1">{#N/A,#N/A,TRUE,"Смета на пасс. обор. №1"}</definedName>
    <definedName name="б" localSheetId="108" hidden="1">{#N/A,#N/A,TRUE,"Смета на пасс. обор. №1"}</definedName>
    <definedName name="б" localSheetId="6">#REF!</definedName>
    <definedName name="б" localSheetId="9">#REF!</definedName>
    <definedName name="б" localSheetId="7" hidden="1">{#N/A,#N/A,TRUE,"Смета на пасс. обор. №1"}</definedName>
    <definedName name="б" localSheetId="92" hidden="1">{#N/A,#N/A,TRUE,"Смета на пасс. обор. №1"}</definedName>
    <definedName name="б" localSheetId="93" hidden="1">{#N/A,#N/A,TRUE,"Смета на пасс. обор. №1"}</definedName>
    <definedName name="б" localSheetId="94" hidden="1">{#N/A,#N/A,TRUE,"Смета на пасс. обор. №1"}</definedName>
    <definedName name="б" localSheetId="99" hidden="1">{#N/A,#N/A,TRUE,"Смета на пасс. обор. №1"}</definedName>
    <definedName name="б" localSheetId="100" hidden="1">{#N/A,#N/A,TRUE,"Смета на пасс. обор. №1"}</definedName>
    <definedName name="б" localSheetId="106" hidden="1">{#N/A,#N/A,TRUE,"Смета на пасс. обор. №1"}</definedName>
    <definedName name="б" localSheetId="2" hidden="1">{#N/A,#N/A,TRUE,"Смета на пасс. обор. №1"}</definedName>
    <definedName name="б" localSheetId="123" hidden="1">{#N/A,#N/A,TRUE,"Смета на пасс. обор. №1"}</definedName>
    <definedName name="б" localSheetId="4" hidden="1">{#N/A,#N/A,TRUE,"Смета на пасс. обор. №1"}</definedName>
    <definedName name="б" localSheetId="13" hidden="1">{#N/A,#N/A,TRUE,"Смета на пасс. обор. №1"}</definedName>
    <definedName name="б" hidden="1">{#N/A,#N/A,TRUE,"Смета на пасс. обор. №1"}</definedName>
    <definedName name="б_1" localSheetId="10" hidden="1">{#N/A,#N/A,TRUE,"Смета на пасс. обор. №1"}</definedName>
    <definedName name="б_1" localSheetId="12" hidden="1">{#N/A,#N/A,TRUE,"Смета на пасс. обор. №1"}</definedName>
    <definedName name="б_1" localSheetId="111" hidden="1">{#N/A,#N/A,TRUE,"Смета на пасс. обор. №1"}</definedName>
    <definedName name="б_1" localSheetId="112" hidden="1">{#N/A,#N/A,TRUE,"Смета на пасс. обор. №1"}</definedName>
    <definedName name="б_1" localSheetId="113" hidden="1">{#N/A,#N/A,TRUE,"Смета на пасс. обор. №1"}</definedName>
    <definedName name="б_1" localSheetId="114" hidden="1">{#N/A,#N/A,TRUE,"Смета на пасс. обор. №1"}</definedName>
    <definedName name="б_1" localSheetId="115" hidden="1">{#N/A,#N/A,TRUE,"Смета на пасс. обор. №1"}</definedName>
    <definedName name="б_1" localSheetId="116" hidden="1">{#N/A,#N/A,TRUE,"Смета на пасс. обор. №1"}</definedName>
    <definedName name="б_1" localSheetId="117" hidden="1">{#N/A,#N/A,TRUE,"Смета на пасс. обор. №1"}</definedName>
    <definedName name="б_1" localSheetId="118" hidden="1">{#N/A,#N/A,TRUE,"Смета на пасс. обор. №1"}</definedName>
    <definedName name="б_1" localSheetId="121" hidden="1">{#N/A,#N/A,TRUE,"Смета на пасс. обор. №1"}</definedName>
    <definedName name="б_1" localSheetId="122" hidden="1">{#N/A,#N/A,TRUE,"Смета на пасс. обор. №1"}</definedName>
    <definedName name="б_1" localSheetId="8" hidden="1">{#N/A,#N/A,TRUE,"Смета на пасс. обор. №1"}</definedName>
    <definedName name="б_1" localSheetId="11" hidden="1">{#N/A,#N/A,TRUE,"Смета на пасс. обор. №1"}</definedName>
    <definedName name="б_1" localSheetId="110" hidden="1">{#N/A,#N/A,TRUE,"Смета на пасс. обор. №1"}</definedName>
    <definedName name="б_1" localSheetId="109" hidden="1">{#N/A,#N/A,TRUE,"Смета на пасс. обор. №1"}</definedName>
    <definedName name="б_1" localSheetId="108" hidden="1">{#N/A,#N/A,TRUE,"Смета на пасс. обор. №1"}</definedName>
    <definedName name="б_1" localSheetId="6" hidden="1">{#N/A,#N/A,TRUE,"Смета на пасс. обор. №1"}</definedName>
    <definedName name="б_1" localSheetId="9" hidden="1">{#N/A,#N/A,TRUE,"Смета на пасс. обор. №1"}</definedName>
    <definedName name="б_1" localSheetId="7" hidden="1">{#N/A,#N/A,TRUE,"Смета на пасс. обор. №1"}</definedName>
    <definedName name="б_1" localSheetId="92" hidden="1">{#N/A,#N/A,TRUE,"Смета на пасс. обор. №1"}</definedName>
    <definedName name="б_1" localSheetId="93" hidden="1">{#N/A,#N/A,TRUE,"Смета на пасс. обор. №1"}</definedName>
    <definedName name="б_1" localSheetId="94" hidden="1">{#N/A,#N/A,TRUE,"Смета на пасс. обор. №1"}</definedName>
    <definedName name="б_1" localSheetId="99" hidden="1">{#N/A,#N/A,TRUE,"Смета на пасс. обор. №1"}</definedName>
    <definedName name="б_1" localSheetId="100" hidden="1">{#N/A,#N/A,TRUE,"Смета на пасс. обор. №1"}</definedName>
    <definedName name="б_1" localSheetId="106" hidden="1">{#N/A,#N/A,TRUE,"Смета на пасс. обор. №1"}</definedName>
    <definedName name="б_1" localSheetId="2" hidden="1">{#N/A,#N/A,TRUE,"Смета на пасс. обор. №1"}</definedName>
    <definedName name="б_1" localSheetId="123" hidden="1">{#N/A,#N/A,TRUE,"Смета на пасс. обор. №1"}</definedName>
    <definedName name="б_1" localSheetId="4" hidden="1">{#N/A,#N/A,TRUE,"Смета на пасс. обор. №1"}</definedName>
    <definedName name="б_1" localSheetId="13" hidden="1">{#N/A,#N/A,TRUE,"Смета на пасс. обор. №1"}</definedName>
    <definedName name="б_1" hidden="1">{#N/A,#N/A,TRUE,"Смета на пасс. обор. №1"}</definedName>
    <definedName name="бабабла" localSheetId="10" hidden="1">{#N/A,#N/A,TRUE,"Смета на пасс. обор. №1"}</definedName>
    <definedName name="бабабла" localSheetId="12" hidden="1">{#N/A,#N/A,TRUE,"Смета на пасс. обор. №1"}</definedName>
    <definedName name="бабабла" localSheetId="111" hidden="1">{#N/A,#N/A,TRUE,"Смета на пасс. обор. №1"}</definedName>
    <definedName name="бабабла" localSheetId="112" hidden="1">{#N/A,#N/A,TRUE,"Смета на пасс. обор. №1"}</definedName>
    <definedName name="бабабла" localSheetId="113" hidden="1">{#N/A,#N/A,TRUE,"Смета на пасс. обор. №1"}</definedName>
    <definedName name="бабабла" localSheetId="114" hidden="1">{#N/A,#N/A,TRUE,"Смета на пасс. обор. №1"}</definedName>
    <definedName name="бабабла" localSheetId="115" hidden="1">{#N/A,#N/A,TRUE,"Смета на пасс. обор. №1"}</definedName>
    <definedName name="бабабла" localSheetId="116" hidden="1">{#N/A,#N/A,TRUE,"Смета на пасс. обор. №1"}</definedName>
    <definedName name="бабабла" localSheetId="117" hidden="1">{#N/A,#N/A,TRUE,"Смета на пасс. обор. №1"}</definedName>
    <definedName name="бабабла" localSheetId="118" hidden="1">{#N/A,#N/A,TRUE,"Смета на пасс. обор. №1"}</definedName>
    <definedName name="бабабла" localSheetId="121" hidden="1">{#N/A,#N/A,TRUE,"Смета на пасс. обор. №1"}</definedName>
    <definedName name="бабабла" localSheetId="122" hidden="1">{#N/A,#N/A,TRUE,"Смета на пасс. обор. №1"}</definedName>
    <definedName name="бабабла" localSheetId="8" hidden="1">{#N/A,#N/A,TRUE,"Смета на пасс. обор. №1"}</definedName>
    <definedName name="бабабла" localSheetId="11" hidden="1">{#N/A,#N/A,TRUE,"Смета на пасс. обор. №1"}</definedName>
    <definedName name="бабабла" localSheetId="110" hidden="1">{#N/A,#N/A,TRUE,"Смета на пасс. обор. №1"}</definedName>
    <definedName name="бабабла" localSheetId="109" hidden="1">{#N/A,#N/A,TRUE,"Смета на пасс. обор. №1"}</definedName>
    <definedName name="бабабла" localSheetId="108" hidden="1">{#N/A,#N/A,TRUE,"Смета на пасс. обор. №1"}</definedName>
    <definedName name="бабабла" localSheetId="6" hidden="1">{#N/A,#N/A,TRUE,"Смета на пасс. обор. №1"}</definedName>
    <definedName name="бабабла" localSheetId="9" hidden="1">{#N/A,#N/A,TRUE,"Смета на пасс. обор. №1"}</definedName>
    <definedName name="бабабла" localSheetId="7" hidden="1">{#N/A,#N/A,TRUE,"Смета на пасс. обор. №1"}</definedName>
    <definedName name="бабабла" localSheetId="92" hidden="1">{#N/A,#N/A,TRUE,"Смета на пасс. обор. №1"}</definedName>
    <definedName name="бабабла" localSheetId="93" hidden="1">{#N/A,#N/A,TRUE,"Смета на пасс. обор. №1"}</definedName>
    <definedName name="бабабла" localSheetId="94" hidden="1">{#N/A,#N/A,TRUE,"Смета на пасс. обор. №1"}</definedName>
    <definedName name="бабабла" localSheetId="99" hidden="1">{#N/A,#N/A,TRUE,"Смета на пасс. обор. №1"}</definedName>
    <definedName name="бабабла" localSheetId="100" hidden="1">{#N/A,#N/A,TRUE,"Смета на пасс. обор. №1"}</definedName>
    <definedName name="бабабла" localSheetId="106" hidden="1">{#N/A,#N/A,TRUE,"Смета на пасс. обор. №1"}</definedName>
    <definedName name="бабабла" localSheetId="2" hidden="1">{#N/A,#N/A,TRUE,"Смета на пасс. обор. №1"}</definedName>
    <definedName name="бабабла" localSheetId="123" hidden="1">{#N/A,#N/A,TRUE,"Смета на пасс. обор. №1"}</definedName>
    <definedName name="бабабла" localSheetId="4" hidden="1">{#N/A,#N/A,TRUE,"Смета на пасс. обор. №1"}</definedName>
    <definedName name="бабабла" localSheetId="13" hidden="1">{#N/A,#N/A,TRUE,"Смета на пасс. обор. №1"}</definedName>
    <definedName name="бабабла" hidden="1">{#N/A,#N/A,TRUE,"Смета на пасс. обор. №1"}</definedName>
    <definedName name="бабабла_1" localSheetId="10" hidden="1">{#N/A,#N/A,TRUE,"Смета на пасс. обор. №1"}</definedName>
    <definedName name="бабабла_1" localSheetId="12" hidden="1">{#N/A,#N/A,TRUE,"Смета на пасс. обор. №1"}</definedName>
    <definedName name="бабабла_1" localSheetId="111" hidden="1">{#N/A,#N/A,TRUE,"Смета на пасс. обор. №1"}</definedName>
    <definedName name="бабабла_1" localSheetId="112" hidden="1">{#N/A,#N/A,TRUE,"Смета на пасс. обор. №1"}</definedName>
    <definedName name="бабабла_1" localSheetId="113" hidden="1">{#N/A,#N/A,TRUE,"Смета на пасс. обор. №1"}</definedName>
    <definedName name="бабабла_1" localSheetId="114" hidden="1">{#N/A,#N/A,TRUE,"Смета на пасс. обор. №1"}</definedName>
    <definedName name="бабабла_1" localSheetId="115" hidden="1">{#N/A,#N/A,TRUE,"Смета на пасс. обор. №1"}</definedName>
    <definedName name="бабабла_1" localSheetId="116" hidden="1">{#N/A,#N/A,TRUE,"Смета на пасс. обор. №1"}</definedName>
    <definedName name="бабабла_1" localSheetId="117" hidden="1">{#N/A,#N/A,TRUE,"Смета на пасс. обор. №1"}</definedName>
    <definedName name="бабабла_1" localSheetId="118" hidden="1">{#N/A,#N/A,TRUE,"Смета на пасс. обор. №1"}</definedName>
    <definedName name="бабабла_1" localSheetId="121" hidden="1">{#N/A,#N/A,TRUE,"Смета на пасс. обор. №1"}</definedName>
    <definedName name="бабабла_1" localSheetId="122" hidden="1">{#N/A,#N/A,TRUE,"Смета на пасс. обор. №1"}</definedName>
    <definedName name="бабабла_1" localSheetId="8" hidden="1">{#N/A,#N/A,TRUE,"Смета на пасс. обор. №1"}</definedName>
    <definedName name="бабабла_1" localSheetId="11" hidden="1">{#N/A,#N/A,TRUE,"Смета на пасс. обор. №1"}</definedName>
    <definedName name="бабабла_1" localSheetId="110" hidden="1">{#N/A,#N/A,TRUE,"Смета на пасс. обор. №1"}</definedName>
    <definedName name="бабабла_1" localSheetId="109" hidden="1">{#N/A,#N/A,TRUE,"Смета на пасс. обор. №1"}</definedName>
    <definedName name="бабабла_1" localSheetId="108" hidden="1">{#N/A,#N/A,TRUE,"Смета на пасс. обор. №1"}</definedName>
    <definedName name="бабабла_1" localSheetId="6" hidden="1">{#N/A,#N/A,TRUE,"Смета на пасс. обор. №1"}</definedName>
    <definedName name="бабабла_1" localSheetId="9" hidden="1">{#N/A,#N/A,TRUE,"Смета на пасс. обор. №1"}</definedName>
    <definedName name="бабабла_1" localSheetId="7" hidden="1">{#N/A,#N/A,TRUE,"Смета на пасс. обор. №1"}</definedName>
    <definedName name="бабабла_1" localSheetId="92" hidden="1">{#N/A,#N/A,TRUE,"Смета на пасс. обор. №1"}</definedName>
    <definedName name="бабабла_1" localSheetId="93" hidden="1">{#N/A,#N/A,TRUE,"Смета на пасс. обор. №1"}</definedName>
    <definedName name="бабабла_1" localSheetId="94" hidden="1">{#N/A,#N/A,TRUE,"Смета на пасс. обор. №1"}</definedName>
    <definedName name="бабабла_1" localSheetId="99" hidden="1">{#N/A,#N/A,TRUE,"Смета на пасс. обор. №1"}</definedName>
    <definedName name="бабабла_1" localSheetId="100" hidden="1">{#N/A,#N/A,TRUE,"Смета на пасс. обор. №1"}</definedName>
    <definedName name="бабабла_1" localSheetId="106" hidden="1">{#N/A,#N/A,TRUE,"Смета на пасс. обор. №1"}</definedName>
    <definedName name="бабабла_1" localSheetId="2" hidden="1">{#N/A,#N/A,TRUE,"Смета на пасс. обор. №1"}</definedName>
    <definedName name="бабабла_1" localSheetId="123" hidden="1">{#N/A,#N/A,TRUE,"Смета на пасс. обор. №1"}</definedName>
    <definedName name="бабабла_1" localSheetId="4" hidden="1">{#N/A,#N/A,TRUE,"Смета на пасс. обор. №1"}</definedName>
    <definedName name="бабабла_1" localSheetId="13" hidden="1">{#N/A,#N/A,TRUE,"Смета на пасс. обор. №1"}</definedName>
    <definedName name="бабабла_1" hidden="1">{#N/A,#N/A,TRUE,"Смета на пасс. обор. №1"}</definedName>
    <definedName name="_xlnm.Database" localSheetId="10">#REF!</definedName>
    <definedName name="_xlnm.Database" localSheetId="8">#REF!</definedName>
    <definedName name="_xlnm.Database" localSheetId="11">#REF!</definedName>
    <definedName name="_xlnm.Database" localSheetId="6">#REF!</definedName>
    <definedName name="_xlnm.Database" localSheetId="9">#REF!</definedName>
    <definedName name="_xlnm.Database" localSheetId="7">'[28]ПС 110 кВ (доп)'!$B$1:$F$18</definedName>
    <definedName name="_xlnm.Database">'[28]ПС 110 кВ (доп)'!$B$1:$F$18</definedName>
    <definedName name="БАК2" localSheetId="10">#REF!</definedName>
    <definedName name="БАК2" localSheetId="9">#REF!</definedName>
    <definedName name="БАК2">#REF!</definedName>
    <definedName name="Белгородская_область" localSheetId="10">#REF!</definedName>
    <definedName name="Белгородская_область" localSheetId="9">#REF!</definedName>
    <definedName name="Белгородская_область">#REF!</definedName>
    <definedName name="Бланк_сметы" localSheetId="10">#REF!</definedName>
    <definedName name="Бланк_сметы" localSheetId="12">#REF!</definedName>
    <definedName name="Бланк_сметы" localSheetId="112">#REF!</definedName>
    <definedName name="Бланк_сметы" localSheetId="113">#REF!</definedName>
    <definedName name="Бланк_сметы" localSheetId="115">#REF!</definedName>
    <definedName name="Бланк_сметы" localSheetId="116">#REF!</definedName>
    <definedName name="Бланк_сметы" localSheetId="110">#REF!</definedName>
    <definedName name="Бланк_сметы" localSheetId="9">#REF!</definedName>
    <definedName name="Бланк_сметы" localSheetId="92">#REF!</definedName>
    <definedName name="Бланк_сметы" localSheetId="93">#REF!</definedName>
    <definedName name="Бланк_сметы" localSheetId="94">#REF!</definedName>
    <definedName name="Бланк_сметы" localSheetId="99">#REF!</definedName>
    <definedName name="Бланк_сметы" localSheetId="100">#REF!</definedName>
    <definedName name="Бланк_сметы" localSheetId="106">#REF!</definedName>
    <definedName name="Бланк_сметы" localSheetId="4">#REF!</definedName>
    <definedName name="Бланк_сметы" localSheetId="13">#REF!</definedName>
    <definedName name="Бланк_сметы">#REF!</definedName>
    <definedName name="бол" localSheetId="10" hidden="1">{#N/A,#N/A,TRUE,"Смета на пасс. обор. №1"}</definedName>
    <definedName name="бол" localSheetId="12" hidden="1">{#N/A,#N/A,TRUE,"Смета на пасс. обор. №1"}</definedName>
    <definedName name="бол" localSheetId="111" hidden="1">{#N/A,#N/A,TRUE,"Смета на пасс. обор. №1"}</definedName>
    <definedName name="бол" localSheetId="112" hidden="1">{#N/A,#N/A,TRUE,"Смета на пасс. обор. №1"}</definedName>
    <definedName name="бол" localSheetId="113" hidden="1">{#N/A,#N/A,TRUE,"Смета на пасс. обор. №1"}</definedName>
    <definedName name="бол" localSheetId="114" hidden="1">{#N/A,#N/A,TRUE,"Смета на пасс. обор. №1"}</definedName>
    <definedName name="бол" localSheetId="115" hidden="1">{#N/A,#N/A,TRUE,"Смета на пасс. обор. №1"}</definedName>
    <definedName name="бол" localSheetId="116" hidden="1">{#N/A,#N/A,TRUE,"Смета на пасс. обор. №1"}</definedName>
    <definedName name="бол" localSheetId="117" hidden="1">{#N/A,#N/A,TRUE,"Смета на пасс. обор. №1"}</definedName>
    <definedName name="бол" localSheetId="118" hidden="1">{#N/A,#N/A,TRUE,"Смета на пасс. обор. №1"}</definedName>
    <definedName name="бол" localSheetId="121" hidden="1">{#N/A,#N/A,TRUE,"Смета на пасс. обор. №1"}</definedName>
    <definedName name="бол" localSheetId="122" hidden="1">{#N/A,#N/A,TRUE,"Смета на пасс. обор. №1"}</definedName>
    <definedName name="бол" localSheetId="8" hidden="1">{#N/A,#N/A,TRUE,"Смета на пасс. обор. №1"}</definedName>
    <definedName name="бол" localSheetId="11" hidden="1">{#N/A,#N/A,TRUE,"Смета на пасс. обор. №1"}</definedName>
    <definedName name="бол" localSheetId="110" hidden="1">{#N/A,#N/A,TRUE,"Смета на пасс. обор. №1"}</definedName>
    <definedName name="бол" localSheetId="109" hidden="1">{#N/A,#N/A,TRUE,"Смета на пасс. обор. №1"}</definedName>
    <definedName name="бол" localSheetId="108" hidden="1">{#N/A,#N/A,TRUE,"Смета на пасс. обор. №1"}</definedName>
    <definedName name="бол" localSheetId="6" hidden="1">{#N/A,#N/A,TRUE,"Смета на пасс. обор. №1"}</definedName>
    <definedName name="бол" localSheetId="9" hidden="1">{#N/A,#N/A,TRUE,"Смета на пасс. обор. №1"}</definedName>
    <definedName name="бол" localSheetId="7" hidden="1">{#N/A,#N/A,TRUE,"Смета на пасс. обор. №1"}</definedName>
    <definedName name="бол" localSheetId="92" hidden="1">{#N/A,#N/A,TRUE,"Смета на пасс. обор. №1"}</definedName>
    <definedName name="бол" localSheetId="93" hidden="1">{#N/A,#N/A,TRUE,"Смета на пасс. обор. №1"}</definedName>
    <definedName name="бол" localSheetId="94" hidden="1">{#N/A,#N/A,TRUE,"Смета на пасс. обор. №1"}</definedName>
    <definedName name="бол" localSheetId="99" hidden="1">{#N/A,#N/A,TRUE,"Смета на пасс. обор. №1"}</definedName>
    <definedName name="бол" localSheetId="100" hidden="1">{#N/A,#N/A,TRUE,"Смета на пасс. обор. №1"}</definedName>
    <definedName name="бол" localSheetId="106" hidden="1">{#N/A,#N/A,TRUE,"Смета на пасс. обор. №1"}</definedName>
    <definedName name="бол" localSheetId="2" hidden="1">{#N/A,#N/A,TRUE,"Смета на пасс. обор. №1"}</definedName>
    <definedName name="бол" localSheetId="123" hidden="1">{#N/A,#N/A,TRUE,"Смета на пасс. обор. №1"}</definedName>
    <definedName name="бол" localSheetId="4" hidden="1">{#N/A,#N/A,TRUE,"Смета на пасс. обор. №1"}</definedName>
    <definedName name="бол" localSheetId="13" hidden="1">{#N/A,#N/A,TRUE,"Смета на пасс. обор. №1"}</definedName>
    <definedName name="бол" hidden="1">{#N/A,#N/A,TRUE,"Смета на пасс. обор. №1"}</definedName>
    <definedName name="бол_1" localSheetId="10" hidden="1">{#N/A,#N/A,TRUE,"Смета на пасс. обор. №1"}</definedName>
    <definedName name="бол_1" localSheetId="12" hidden="1">{#N/A,#N/A,TRUE,"Смета на пасс. обор. №1"}</definedName>
    <definedName name="бол_1" localSheetId="111" hidden="1">{#N/A,#N/A,TRUE,"Смета на пасс. обор. №1"}</definedName>
    <definedName name="бол_1" localSheetId="112" hidden="1">{#N/A,#N/A,TRUE,"Смета на пасс. обор. №1"}</definedName>
    <definedName name="бол_1" localSheetId="113" hidden="1">{#N/A,#N/A,TRUE,"Смета на пасс. обор. №1"}</definedName>
    <definedName name="бол_1" localSheetId="114" hidden="1">{#N/A,#N/A,TRUE,"Смета на пасс. обор. №1"}</definedName>
    <definedName name="бол_1" localSheetId="115" hidden="1">{#N/A,#N/A,TRUE,"Смета на пасс. обор. №1"}</definedName>
    <definedName name="бол_1" localSheetId="116" hidden="1">{#N/A,#N/A,TRUE,"Смета на пасс. обор. №1"}</definedName>
    <definedName name="бол_1" localSheetId="117" hidden="1">{#N/A,#N/A,TRUE,"Смета на пасс. обор. №1"}</definedName>
    <definedName name="бол_1" localSheetId="118" hidden="1">{#N/A,#N/A,TRUE,"Смета на пасс. обор. №1"}</definedName>
    <definedName name="бол_1" localSheetId="121" hidden="1">{#N/A,#N/A,TRUE,"Смета на пасс. обор. №1"}</definedName>
    <definedName name="бол_1" localSheetId="122" hidden="1">{#N/A,#N/A,TRUE,"Смета на пасс. обор. №1"}</definedName>
    <definedName name="бол_1" localSheetId="8" hidden="1">{#N/A,#N/A,TRUE,"Смета на пасс. обор. №1"}</definedName>
    <definedName name="бол_1" localSheetId="11" hidden="1">{#N/A,#N/A,TRUE,"Смета на пасс. обор. №1"}</definedName>
    <definedName name="бол_1" localSheetId="110" hidden="1">{#N/A,#N/A,TRUE,"Смета на пасс. обор. №1"}</definedName>
    <definedName name="бол_1" localSheetId="109" hidden="1">{#N/A,#N/A,TRUE,"Смета на пасс. обор. №1"}</definedName>
    <definedName name="бол_1" localSheetId="108" hidden="1">{#N/A,#N/A,TRUE,"Смета на пасс. обор. №1"}</definedName>
    <definedName name="бол_1" localSheetId="6" hidden="1">{#N/A,#N/A,TRUE,"Смета на пасс. обор. №1"}</definedName>
    <definedName name="бол_1" localSheetId="9" hidden="1">{#N/A,#N/A,TRUE,"Смета на пасс. обор. №1"}</definedName>
    <definedName name="бол_1" localSheetId="7" hidden="1">{#N/A,#N/A,TRUE,"Смета на пасс. обор. №1"}</definedName>
    <definedName name="бол_1" localSheetId="92" hidden="1">{#N/A,#N/A,TRUE,"Смета на пасс. обор. №1"}</definedName>
    <definedName name="бол_1" localSheetId="93" hidden="1">{#N/A,#N/A,TRUE,"Смета на пасс. обор. №1"}</definedName>
    <definedName name="бол_1" localSheetId="94" hidden="1">{#N/A,#N/A,TRUE,"Смета на пасс. обор. №1"}</definedName>
    <definedName name="бол_1" localSheetId="99" hidden="1">{#N/A,#N/A,TRUE,"Смета на пасс. обор. №1"}</definedName>
    <definedName name="бол_1" localSheetId="100" hidden="1">{#N/A,#N/A,TRUE,"Смета на пасс. обор. №1"}</definedName>
    <definedName name="бол_1" localSheetId="106" hidden="1">{#N/A,#N/A,TRUE,"Смета на пасс. обор. №1"}</definedName>
    <definedName name="бол_1" localSheetId="2" hidden="1">{#N/A,#N/A,TRUE,"Смета на пасс. обор. №1"}</definedName>
    <definedName name="бол_1" localSheetId="123" hidden="1">{#N/A,#N/A,TRUE,"Смета на пасс. обор. №1"}</definedName>
    <definedName name="бол_1" localSheetId="4" hidden="1">{#N/A,#N/A,TRUE,"Смета на пасс. обор. №1"}</definedName>
    <definedName name="бол_1" localSheetId="13" hidden="1">{#N/A,#N/A,TRUE,"Смета на пасс. обор. №1"}</definedName>
    <definedName name="бол_1" hidden="1">{#N/A,#N/A,TRUE,"Смета на пасс. обор. №1"}</definedName>
    <definedName name="бпрбь" localSheetId="10">#REF!</definedName>
    <definedName name="бпрбь" localSheetId="9">#REF!</definedName>
    <definedName name="бпрбь">#REF!</definedName>
    <definedName name="Брянская_область" localSheetId="10">#REF!</definedName>
    <definedName name="Брянская_область" localSheetId="9">#REF!</definedName>
    <definedName name="Брянская_область">#REF!</definedName>
    <definedName name="БСИР" localSheetId="10">#REF!</definedName>
    <definedName name="БСИР" localSheetId="12">#REF!</definedName>
    <definedName name="БСИР" localSheetId="112">#REF!</definedName>
    <definedName name="БСИР" localSheetId="113">#REF!</definedName>
    <definedName name="БСИР" localSheetId="115">#REF!</definedName>
    <definedName name="БСИР" localSheetId="116">#REF!</definedName>
    <definedName name="БСИР" localSheetId="8">#REF!</definedName>
    <definedName name="БСИР" localSheetId="11">#REF!</definedName>
    <definedName name="БСИР" localSheetId="110">#REF!</definedName>
    <definedName name="БСИР" localSheetId="6">#REF!</definedName>
    <definedName name="БСИР" localSheetId="9">#REF!</definedName>
    <definedName name="БСИР" localSheetId="7">#REF!</definedName>
    <definedName name="БСИР" localSheetId="92">#REF!</definedName>
    <definedName name="БСИР" localSheetId="93">#REF!</definedName>
    <definedName name="БСИР" localSheetId="94">#REF!</definedName>
    <definedName name="БСИР" localSheetId="99">#REF!</definedName>
    <definedName name="БСИР" localSheetId="100">#REF!</definedName>
    <definedName name="БСИР" localSheetId="106">#REF!</definedName>
    <definedName name="БСИР">#REF!</definedName>
    <definedName name="Буровой_понтон" localSheetId="10">#REF!</definedName>
    <definedName name="Буровой_понтон" localSheetId="9">#REF!</definedName>
    <definedName name="Буровой_понтон">#REF!</definedName>
    <definedName name="в" localSheetId="10">#REF!</definedName>
    <definedName name="в" localSheetId="12" hidden="1">{#N/A,#N/A,TRUE,"Смета на пасс. обор. №1"}</definedName>
    <definedName name="в" localSheetId="111" hidden="1">{#N/A,#N/A,TRUE,"Смета на пасс. обор. №1"}</definedName>
    <definedName name="в" localSheetId="112" hidden="1">{#N/A,#N/A,TRUE,"Смета на пасс. обор. №1"}</definedName>
    <definedName name="в" localSheetId="113" hidden="1">{#N/A,#N/A,TRUE,"Смета на пасс. обор. №1"}</definedName>
    <definedName name="в" localSheetId="114" hidden="1">{#N/A,#N/A,TRUE,"Смета на пасс. обор. №1"}</definedName>
    <definedName name="в" localSheetId="115" hidden="1">{#N/A,#N/A,TRUE,"Смета на пасс. обор. №1"}</definedName>
    <definedName name="в" localSheetId="116" hidden="1">{#N/A,#N/A,TRUE,"Смета на пасс. обор. №1"}</definedName>
    <definedName name="в" localSheetId="117" hidden="1">{#N/A,#N/A,TRUE,"Смета на пасс. обор. №1"}</definedName>
    <definedName name="в" localSheetId="118" hidden="1">{#N/A,#N/A,TRUE,"Смета на пасс. обор. №1"}</definedName>
    <definedName name="в" localSheetId="121" hidden="1">{#N/A,#N/A,TRUE,"Смета на пасс. обор. №1"}</definedName>
    <definedName name="в" localSheetId="122" hidden="1">{#N/A,#N/A,TRUE,"Смета на пасс. обор. №1"}</definedName>
    <definedName name="в" localSheetId="8">#REF!</definedName>
    <definedName name="в" localSheetId="11">#REF!</definedName>
    <definedName name="в" localSheetId="110" hidden="1">{#N/A,#N/A,TRUE,"Смета на пасс. обор. №1"}</definedName>
    <definedName name="в" localSheetId="109" hidden="1">{#N/A,#N/A,TRUE,"Смета на пасс. обор. №1"}</definedName>
    <definedName name="в" localSheetId="108" hidden="1">{#N/A,#N/A,TRUE,"Смета на пасс. обор. №1"}</definedName>
    <definedName name="в" localSheetId="6">#REF!</definedName>
    <definedName name="в" localSheetId="9">#REF!</definedName>
    <definedName name="в" localSheetId="7" hidden="1">{#N/A,#N/A,TRUE,"Смета на пасс. обор. №1"}</definedName>
    <definedName name="в" localSheetId="92" hidden="1">{#N/A,#N/A,TRUE,"Смета на пасс. обор. №1"}</definedName>
    <definedName name="в" localSheetId="93" hidden="1">{#N/A,#N/A,TRUE,"Смета на пасс. обор. №1"}</definedName>
    <definedName name="в" localSheetId="94" hidden="1">{#N/A,#N/A,TRUE,"Смета на пасс. обор. №1"}</definedName>
    <definedName name="в" localSheetId="99" hidden="1">{#N/A,#N/A,TRUE,"Смета на пасс. обор. №1"}</definedName>
    <definedName name="в" localSheetId="100" hidden="1">{#N/A,#N/A,TRUE,"Смета на пасс. обор. №1"}</definedName>
    <definedName name="в" localSheetId="106" hidden="1">{#N/A,#N/A,TRUE,"Смета на пасс. обор. №1"}</definedName>
    <definedName name="в" localSheetId="2" hidden="1">{#N/A,#N/A,TRUE,"Смета на пасс. обор. №1"}</definedName>
    <definedName name="в" localSheetId="123" hidden="1">{#N/A,#N/A,TRUE,"Смета на пасс. обор. №1"}</definedName>
    <definedName name="в" localSheetId="4" hidden="1">{#N/A,#N/A,TRUE,"Смета на пасс. обор. №1"}</definedName>
    <definedName name="в" localSheetId="13" hidden="1">{#N/A,#N/A,TRUE,"Смета на пасс. обор. №1"}</definedName>
    <definedName name="в" hidden="1">{#N/A,#N/A,TRUE,"Смета на пасс. обор. №1"}</definedName>
    <definedName name="в_1" localSheetId="10" hidden="1">{#N/A,#N/A,TRUE,"Смета на пасс. обор. №1"}</definedName>
    <definedName name="в_1" localSheetId="12" hidden="1">{#N/A,#N/A,TRUE,"Смета на пасс. обор. №1"}</definedName>
    <definedName name="в_1" localSheetId="111" hidden="1">{#N/A,#N/A,TRUE,"Смета на пасс. обор. №1"}</definedName>
    <definedName name="в_1" localSheetId="112" hidden="1">{#N/A,#N/A,TRUE,"Смета на пасс. обор. №1"}</definedName>
    <definedName name="в_1" localSheetId="113" hidden="1">{#N/A,#N/A,TRUE,"Смета на пасс. обор. №1"}</definedName>
    <definedName name="в_1" localSheetId="114" hidden="1">{#N/A,#N/A,TRUE,"Смета на пасс. обор. №1"}</definedName>
    <definedName name="в_1" localSheetId="115" hidden="1">{#N/A,#N/A,TRUE,"Смета на пасс. обор. №1"}</definedName>
    <definedName name="в_1" localSheetId="116" hidden="1">{#N/A,#N/A,TRUE,"Смета на пасс. обор. №1"}</definedName>
    <definedName name="в_1" localSheetId="117" hidden="1">{#N/A,#N/A,TRUE,"Смета на пасс. обор. №1"}</definedName>
    <definedName name="в_1" localSheetId="118" hidden="1">{#N/A,#N/A,TRUE,"Смета на пасс. обор. №1"}</definedName>
    <definedName name="в_1" localSheetId="121" hidden="1">{#N/A,#N/A,TRUE,"Смета на пасс. обор. №1"}</definedName>
    <definedName name="в_1" localSheetId="122" hidden="1">{#N/A,#N/A,TRUE,"Смета на пасс. обор. №1"}</definedName>
    <definedName name="в_1" localSheetId="8" hidden="1">{#N/A,#N/A,TRUE,"Смета на пасс. обор. №1"}</definedName>
    <definedName name="в_1" localSheetId="11" hidden="1">{#N/A,#N/A,TRUE,"Смета на пасс. обор. №1"}</definedName>
    <definedName name="в_1" localSheetId="110" hidden="1">{#N/A,#N/A,TRUE,"Смета на пасс. обор. №1"}</definedName>
    <definedName name="в_1" localSheetId="109" hidden="1">{#N/A,#N/A,TRUE,"Смета на пасс. обор. №1"}</definedName>
    <definedName name="в_1" localSheetId="108" hidden="1">{#N/A,#N/A,TRUE,"Смета на пасс. обор. №1"}</definedName>
    <definedName name="в_1" localSheetId="6" hidden="1">{#N/A,#N/A,TRUE,"Смета на пасс. обор. №1"}</definedName>
    <definedName name="в_1" localSheetId="9" hidden="1">{#N/A,#N/A,TRUE,"Смета на пасс. обор. №1"}</definedName>
    <definedName name="в_1" localSheetId="7" hidden="1">{#N/A,#N/A,TRUE,"Смета на пасс. обор. №1"}</definedName>
    <definedName name="в_1" localSheetId="92" hidden="1">{#N/A,#N/A,TRUE,"Смета на пасс. обор. №1"}</definedName>
    <definedName name="в_1" localSheetId="93" hidden="1">{#N/A,#N/A,TRUE,"Смета на пасс. обор. №1"}</definedName>
    <definedName name="в_1" localSheetId="94" hidden="1">{#N/A,#N/A,TRUE,"Смета на пасс. обор. №1"}</definedName>
    <definedName name="в_1" localSheetId="99" hidden="1">{#N/A,#N/A,TRUE,"Смета на пасс. обор. №1"}</definedName>
    <definedName name="в_1" localSheetId="100" hidden="1">{#N/A,#N/A,TRUE,"Смета на пасс. обор. №1"}</definedName>
    <definedName name="в_1" localSheetId="106" hidden="1">{#N/A,#N/A,TRUE,"Смета на пасс. обор. №1"}</definedName>
    <definedName name="в_1" localSheetId="2" hidden="1">{#N/A,#N/A,TRUE,"Смета на пасс. обор. №1"}</definedName>
    <definedName name="в_1" localSheetId="123" hidden="1">{#N/A,#N/A,TRUE,"Смета на пасс. обор. №1"}</definedName>
    <definedName name="в_1" localSheetId="4" hidden="1">{#N/A,#N/A,TRUE,"Смета на пасс. обор. №1"}</definedName>
    <definedName name="в_1" localSheetId="13" hidden="1">{#N/A,#N/A,TRUE,"Смета на пасс. обор. №1"}</definedName>
    <definedName name="в_1" hidden="1">{#N/A,#N/A,TRUE,"Смета на пасс. обор. №1"}</definedName>
    <definedName name="В5" localSheetId="10">#REF!</definedName>
    <definedName name="В5" localSheetId="9">#REF!</definedName>
    <definedName name="В5">#REF!</definedName>
    <definedName name="Ва" localSheetId="10">#REF!</definedName>
    <definedName name="ва" localSheetId="12">#REF!</definedName>
    <definedName name="ва" localSheetId="112">#REF!</definedName>
    <definedName name="ва" localSheetId="113">#REF!</definedName>
    <definedName name="ва" localSheetId="115">#REF!</definedName>
    <definedName name="ва" localSheetId="116">#REF!</definedName>
    <definedName name="Ва" localSheetId="8">#REF!</definedName>
    <definedName name="Ва" localSheetId="11">#REF!</definedName>
    <definedName name="ва" localSheetId="110">#REF!</definedName>
    <definedName name="Ва" localSheetId="6">#REF!</definedName>
    <definedName name="Ва" localSheetId="9">#REF!</definedName>
    <definedName name="Ва" localSheetId="7">#REF!</definedName>
    <definedName name="ва" localSheetId="92">#REF!</definedName>
    <definedName name="ва" localSheetId="93">#REF!</definedName>
    <definedName name="ва" localSheetId="94">#REF!</definedName>
    <definedName name="ва" localSheetId="99">#REF!</definedName>
    <definedName name="ва" localSheetId="100">#REF!</definedName>
    <definedName name="ва" localSheetId="106">#REF!</definedName>
    <definedName name="ва">#REF!</definedName>
    <definedName name="ва3" localSheetId="10">#REF!</definedName>
    <definedName name="ва3" localSheetId="9">#REF!</definedName>
    <definedName name="ва3">#REF!</definedName>
    <definedName name="вав" localSheetId="10">[14]топография!#REF!</definedName>
    <definedName name="вав" localSheetId="9">[14]топография!#REF!</definedName>
    <definedName name="вав">[14]топография!#REF!</definedName>
    <definedName name="вава" localSheetId="10">#REF!</definedName>
    <definedName name="вава" localSheetId="9">#REF!</definedName>
    <definedName name="вава">#REF!</definedName>
    <definedName name="вавввввввввввввв" localSheetId="10">#REF!</definedName>
    <definedName name="вавввввввввввввв" localSheetId="9">#REF!</definedName>
    <definedName name="вавввввввввввввв">#REF!</definedName>
    <definedName name="ВАЛ_" localSheetId="10">#REF!</definedName>
    <definedName name="ВАЛ_" localSheetId="9">#REF!</definedName>
    <definedName name="ВАЛ_">#REF!</definedName>
    <definedName name="ВАЛ_1" localSheetId="10">#REF!</definedName>
    <definedName name="ВАЛ_1" localSheetId="9">#REF!</definedName>
    <definedName name="ВАЛ_1">#REF!</definedName>
    <definedName name="ВАЛ_4" localSheetId="10">#REF!</definedName>
    <definedName name="ВАЛ_4" localSheetId="9">#REF!</definedName>
    <definedName name="ВАЛ_4">#REF!</definedName>
    <definedName name="Валаам" localSheetId="10">#REF!</definedName>
    <definedName name="Валаам" localSheetId="9">#REF!</definedName>
    <definedName name="Валаам">#REF!</definedName>
    <definedName name="вангл" localSheetId="10">#REF!</definedName>
    <definedName name="вангл" localSheetId="9">#REF!</definedName>
    <definedName name="вангл">#REF!</definedName>
    <definedName name="ванлр" localSheetId="10">#REF!</definedName>
    <definedName name="ванлр" localSheetId="9">#REF!</definedName>
    <definedName name="ванлр">#REF!</definedName>
    <definedName name="ванол" localSheetId="10">[5]топография!#REF!</definedName>
    <definedName name="ванол" localSheetId="9">[5]топография!#REF!</definedName>
    <definedName name="ванол">[5]топография!#REF!</definedName>
    <definedName name="вао" localSheetId="10">#REF!</definedName>
    <definedName name="вао" localSheetId="9">#REF!</definedName>
    <definedName name="вао">#REF!</definedName>
    <definedName name="вап" localSheetId="10">#REF!</definedName>
    <definedName name="вап" localSheetId="12" hidden="1">{#N/A,#N/A,TRUE,"Смета на пасс. обор. №1"}</definedName>
    <definedName name="вап" localSheetId="111" hidden="1">{#N/A,#N/A,TRUE,"Смета на пасс. обор. №1"}</definedName>
    <definedName name="вап" localSheetId="112" hidden="1">{#N/A,#N/A,TRUE,"Смета на пасс. обор. №1"}</definedName>
    <definedName name="вап" localSheetId="113" hidden="1">{#N/A,#N/A,TRUE,"Смета на пасс. обор. №1"}</definedName>
    <definedName name="вап" localSheetId="114" hidden="1">{#N/A,#N/A,TRUE,"Смета на пасс. обор. №1"}</definedName>
    <definedName name="вап" localSheetId="115" hidden="1">{#N/A,#N/A,TRUE,"Смета на пасс. обор. №1"}</definedName>
    <definedName name="вап" localSheetId="116" hidden="1">{#N/A,#N/A,TRUE,"Смета на пасс. обор. №1"}</definedName>
    <definedName name="вап" localSheetId="117" hidden="1">{#N/A,#N/A,TRUE,"Смета на пасс. обор. №1"}</definedName>
    <definedName name="вап" localSheetId="118" hidden="1">{#N/A,#N/A,TRUE,"Смета на пасс. обор. №1"}</definedName>
    <definedName name="вап" localSheetId="121" hidden="1">{#N/A,#N/A,TRUE,"Смета на пасс. обор. №1"}</definedName>
    <definedName name="вап" localSheetId="122" hidden="1">{#N/A,#N/A,TRUE,"Смета на пасс. обор. №1"}</definedName>
    <definedName name="вап" localSheetId="8">#REF!</definedName>
    <definedName name="вап" localSheetId="11">#REF!</definedName>
    <definedName name="вап" localSheetId="110" hidden="1">{#N/A,#N/A,TRUE,"Смета на пасс. обор. №1"}</definedName>
    <definedName name="вап" localSheetId="109" hidden="1">{#N/A,#N/A,TRUE,"Смета на пасс. обор. №1"}</definedName>
    <definedName name="вап" localSheetId="108" hidden="1">{#N/A,#N/A,TRUE,"Смета на пасс. обор. №1"}</definedName>
    <definedName name="вап" localSheetId="6">#REF!</definedName>
    <definedName name="вап" localSheetId="9">#REF!</definedName>
    <definedName name="вап" localSheetId="7" hidden="1">{#N/A,#N/A,TRUE,"Смета на пасс. обор. №1"}</definedName>
    <definedName name="вап" localSheetId="92" hidden="1">{#N/A,#N/A,TRUE,"Смета на пасс. обор. №1"}</definedName>
    <definedName name="вап" localSheetId="93" hidden="1">{#N/A,#N/A,TRUE,"Смета на пасс. обор. №1"}</definedName>
    <definedName name="вап" localSheetId="94" hidden="1">{#N/A,#N/A,TRUE,"Смета на пасс. обор. №1"}</definedName>
    <definedName name="вап" localSheetId="99" hidden="1">{#N/A,#N/A,TRUE,"Смета на пасс. обор. №1"}</definedName>
    <definedName name="вап" localSheetId="100" hidden="1">{#N/A,#N/A,TRUE,"Смета на пасс. обор. №1"}</definedName>
    <definedName name="вап" localSheetId="106" hidden="1">{#N/A,#N/A,TRUE,"Смета на пасс. обор. №1"}</definedName>
    <definedName name="вап" localSheetId="2" hidden="1">{#N/A,#N/A,TRUE,"Смета на пасс. обор. №1"}</definedName>
    <definedName name="вап" localSheetId="123" hidden="1">{#N/A,#N/A,TRUE,"Смета на пасс. обор. №1"}</definedName>
    <definedName name="вап" localSheetId="4" hidden="1">{#N/A,#N/A,TRUE,"Смета на пасс. обор. №1"}</definedName>
    <definedName name="вап" localSheetId="13" hidden="1">{#N/A,#N/A,TRUE,"Смета на пасс. обор. №1"}</definedName>
    <definedName name="вап" hidden="1">{#N/A,#N/A,TRUE,"Смета на пасс. обор. №1"}</definedName>
    <definedName name="вап_1" localSheetId="10" hidden="1">{#N/A,#N/A,TRUE,"Смета на пасс. обор. №1"}</definedName>
    <definedName name="вап_1" localSheetId="12" hidden="1">{#N/A,#N/A,TRUE,"Смета на пасс. обор. №1"}</definedName>
    <definedName name="вап_1" localSheetId="111" hidden="1">{#N/A,#N/A,TRUE,"Смета на пасс. обор. №1"}</definedName>
    <definedName name="вап_1" localSheetId="112" hidden="1">{#N/A,#N/A,TRUE,"Смета на пасс. обор. №1"}</definedName>
    <definedName name="вап_1" localSheetId="113" hidden="1">{#N/A,#N/A,TRUE,"Смета на пасс. обор. №1"}</definedName>
    <definedName name="вап_1" localSheetId="114" hidden="1">{#N/A,#N/A,TRUE,"Смета на пасс. обор. №1"}</definedName>
    <definedName name="вап_1" localSheetId="115" hidden="1">{#N/A,#N/A,TRUE,"Смета на пасс. обор. №1"}</definedName>
    <definedName name="вап_1" localSheetId="116" hidden="1">{#N/A,#N/A,TRUE,"Смета на пасс. обор. №1"}</definedName>
    <definedName name="вап_1" localSheetId="117" hidden="1">{#N/A,#N/A,TRUE,"Смета на пасс. обор. №1"}</definedName>
    <definedName name="вап_1" localSheetId="118" hidden="1">{#N/A,#N/A,TRUE,"Смета на пасс. обор. №1"}</definedName>
    <definedName name="вап_1" localSheetId="121" hidden="1">{#N/A,#N/A,TRUE,"Смета на пасс. обор. №1"}</definedName>
    <definedName name="вап_1" localSheetId="122" hidden="1">{#N/A,#N/A,TRUE,"Смета на пасс. обор. №1"}</definedName>
    <definedName name="вап_1" localSheetId="8" hidden="1">{#N/A,#N/A,TRUE,"Смета на пасс. обор. №1"}</definedName>
    <definedName name="вап_1" localSheetId="11" hidden="1">{#N/A,#N/A,TRUE,"Смета на пасс. обор. №1"}</definedName>
    <definedName name="вап_1" localSheetId="110" hidden="1">{#N/A,#N/A,TRUE,"Смета на пасс. обор. №1"}</definedName>
    <definedName name="вап_1" localSheetId="109" hidden="1">{#N/A,#N/A,TRUE,"Смета на пасс. обор. №1"}</definedName>
    <definedName name="вап_1" localSheetId="108" hidden="1">{#N/A,#N/A,TRUE,"Смета на пасс. обор. №1"}</definedName>
    <definedName name="вап_1" localSheetId="6" hidden="1">{#N/A,#N/A,TRUE,"Смета на пасс. обор. №1"}</definedName>
    <definedName name="вап_1" localSheetId="9" hidden="1">{#N/A,#N/A,TRUE,"Смета на пасс. обор. №1"}</definedName>
    <definedName name="вап_1" localSheetId="7" hidden="1">{#N/A,#N/A,TRUE,"Смета на пасс. обор. №1"}</definedName>
    <definedName name="вап_1" localSheetId="92" hidden="1">{#N/A,#N/A,TRUE,"Смета на пасс. обор. №1"}</definedName>
    <definedName name="вап_1" localSheetId="93" hidden="1">{#N/A,#N/A,TRUE,"Смета на пасс. обор. №1"}</definedName>
    <definedName name="вап_1" localSheetId="94" hidden="1">{#N/A,#N/A,TRUE,"Смета на пасс. обор. №1"}</definedName>
    <definedName name="вап_1" localSheetId="99" hidden="1">{#N/A,#N/A,TRUE,"Смета на пасс. обор. №1"}</definedName>
    <definedName name="вап_1" localSheetId="100" hidden="1">{#N/A,#N/A,TRUE,"Смета на пасс. обор. №1"}</definedName>
    <definedName name="вап_1" localSheetId="106" hidden="1">{#N/A,#N/A,TRUE,"Смета на пасс. обор. №1"}</definedName>
    <definedName name="вап_1" localSheetId="2" hidden="1">{#N/A,#N/A,TRUE,"Смета на пасс. обор. №1"}</definedName>
    <definedName name="вап_1" localSheetId="123" hidden="1">{#N/A,#N/A,TRUE,"Смета на пасс. обор. №1"}</definedName>
    <definedName name="вап_1" localSheetId="4" hidden="1">{#N/A,#N/A,TRUE,"Смета на пасс. обор. №1"}</definedName>
    <definedName name="вап_1" localSheetId="13" hidden="1">{#N/A,#N/A,TRUE,"Смета на пасс. обор. №1"}</definedName>
    <definedName name="вап_1" hidden="1">{#N/A,#N/A,TRUE,"Смета на пасс. обор. №1"}</definedName>
    <definedName name="вапапо" localSheetId="10" hidden="1">{#N/A,#N/A,TRUE,"Смета на пасс. обор. №1"}</definedName>
    <definedName name="вапапо" localSheetId="12" hidden="1">{#N/A,#N/A,TRUE,"Смета на пасс. обор. №1"}</definedName>
    <definedName name="вапапо" localSheetId="111" hidden="1">{#N/A,#N/A,TRUE,"Смета на пасс. обор. №1"}</definedName>
    <definedName name="вапапо" localSheetId="112" hidden="1">{#N/A,#N/A,TRUE,"Смета на пасс. обор. №1"}</definedName>
    <definedName name="вапапо" localSheetId="113" hidden="1">{#N/A,#N/A,TRUE,"Смета на пасс. обор. №1"}</definedName>
    <definedName name="вапапо" localSheetId="114" hidden="1">{#N/A,#N/A,TRUE,"Смета на пасс. обор. №1"}</definedName>
    <definedName name="вапапо" localSheetId="115" hidden="1">{#N/A,#N/A,TRUE,"Смета на пасс. обор. №1"}</definedName>
    <definedName name="вапапо" localSheetId="116" hidden="1">{#N/A,#N/A,TRUE,"Смета на пасс. обор. №1"}</definedName>
    <definedName name="вапапо" localSheetId="117" hidden="1">{#N/A,#N/A,TRUE,"Смета на пасс. обор. №1"}</definedName>
    <definedName name="вапапо" localSheetId="118" hidden="1">{#N/A,#N/A,TRUE,"Смета на пасс. обор. №1"}</definedName>
    <definedName name="вапапо" localSheetId="121" hidden="1">{#N/A,#N/A,TRUE,"Смета на пасс. обор. №1"}</definedName>
    <definedName name="вапапо" localSheetId="122" hidden="1">{#N/A,#N/A,TRUE,"Смета на пасс. обор. №1"}</definedName>
    <definedName name="вапапо" localSheetId="8" hidden="1">{#N/A,#N/A,TRUE,"Смета на пасс. обор. №1"}</definedName>
    <definedName name="вапапо" localSheetId="11" hidden="1">{#N/A,#N/A,TRUE,"Смета на пасс. обор. №1"}</definedName>
    <definedName name="вапапо" localSheetId="110" hidden="1">{#N/A,#N/A,TRUE,"Смета на пасс. обор. №1"}</definedName>
    <definedName name="вапапо" localSheetId="109" hidden="1">{#N/A,#N/A,TRUE,"Смета на пасс. обор. №1"}</definedName>
    <definedName name="вапапо" localSheetId="108" hidden="1">{#N/A,#N/A,TRUE,"Смета на пасс. обор. №1"}</definedName>
    <definedName name="вапапо" localSheetId="6" hidden="1">{#N/A,#N/A,TRUE,"Смета на пасс. обор. №1"}</definedName>
    <definedName name="вапапо" localSheetId="9" hidden="1">{#N/A,#N/A,TRUE,"Смета на пасс. обор. №1"}</definedName>
    <definedName name="вапапо" localSheetId="7" hidden="1">{#N/A,#N/A,TRUE,"Смета на пасс. обор. №1"}</definedName>
    <definedName name="вапапо" localSheetId="92" hidden="1">{#N/A,#N/A,TRUE,"Смета на пасс. обор. №1"}</definedName>
    <definedName name="вапапо" localSheetId="93" hidden="1">{#N/A,#N/A,TRUE,"Смета на пасс. обор. №1"}</definedName>
    <definedName name="вапапо" localSheetId="94" hidden="1">{#N/A,#N/A,TRUE,"Смета на пасс. обор. №1"}</definedName>
    <definedName name="вапапо" localSheetId="99" hidden="1">{#N/A,#N/A,TRUE,"Смета на пасс. обор. №1"}</definedName>
    <definedName name="вапапо" localSheetId="100" hidden="1">{#N/A,#N/A,TRUE,"Смета на пасс. обор. №1"}</definedName>
    <definedName name="вапапо" localSheetId="106" hidden="1">{#N/A,#N/A,TRUE,"Смета на пасс. обор. №1"}</definedName>
    <definedName name="вапапо" localSheetId="2" hidden="1">{#N/A,#N/A,TRUE,"Смета на пасс. обор. №1"}</definedName>
    <definedName name="вапапо" localSheetId="123" hidden="1">{#N/A,#N/A,TRUE,"Смета на пасс. обор. №1"}</definedName>
    <definedName name="вапапо" localSheetId="4" hidden="1">{#N/A,#N/A,TRUE,"Смета на пасс. обор. №1"}</definedName>
    <definedName name="вапапо" localSheetId="13" hidden="1">{#N/A,#N/A,TRUE,"Смета на пасс. обор. №1"}</definedName>
    <definedName name="вапапо" hidden="1">{#N/A,#N/A,TRUE,"Смета на пасс. обор. №1"}</definedName>
    <definedName name="вапапо_1" localSheetId="10" hidden="1">{#N/A,#N/A,TRUE,"Смета на пасс. обор. №1"}</definedName>
    <definedName name="вапапо_1" localSheetId="12" hidden="1">{#N/A,#N/A,TRUE,"Смета на пасс. обор. №1"}</definedName>
    <definedName name="вапапо_1" localSheetId="111" hidden="1">{#N/A,#N/A,TRUE,"Смета на пасс. обор. №1"}</definedName>
    <definedName name="вапапо_1" localSheetId="112" hidden="1">{#N/A,#N/A,TRUE,"Смета на пасс. обор. №1"}</definedName>
    <definedName name="вапапо_1" localSheetId="113" hidden="1">{#N/A,#N/A,TRUE,"Смета на пасс. обор. №1"}</definedName>
    <definedName name="вапапо_1" localSheetId="114" hidden="1">{#N/A,#N/A,TRUE,"Смета на пасс. обор. №1"}</definedName>
    <definedName name="вапапо_1" localSheetId="115" hidden="1">{#N/A,#N/A,TRUE,"Смета на пасс. обор. №1"}</definedName>
    <definedName name="вапапо_1" localSheetId="116" hidden="1">{#N/A,#N/A,TRUE,"Смета на пасс. обор. №1"}</definedName>
    <definedName name="вапапо_1" localSheetId="117" hidden="1">{#N/A,#N/A,TRUE,"Смета на пасс. обор. №1"}</definedName>
    <definedName name="вапапо_1" localSheetId="118" hidden="1">{#N/A,#N/A,TRUE,"Смета на пасс. обор. №1"}</definedName>
    <definedName name="вапапо_1" localSheetId="121" hidden="1">{#N/A,#N/A,TRUE,"Смета на пасс. обор. №1"}</definedName>
    <definedName name="вапапо_1" localSheetId="122" hidden="1">{#N/A,#N/A,TRUE,"Смета на пасс. обор. №1"}</definedName>
    <definedName name="вапапо_1" localSheetId="8" hidden="1">{#N/A,#N/A,TRUE,"Смета на пасс. обор. №1"}</definedName>
    <definedName name="вапапо_1" localSheetId="11" hidden="1">{#N/A,#N/A,TRUE,"Смета на пасс. обор. №1"}</definedName>
    <definedName name="вапапо_1" localSheetId="110" hidden="1">{#N/A,#N/A,TRUE,"Смета на пасс. обор. №1"}</definedName>
    <definedName name="вапапо_1" localSheetId="109" hidden="1">{#N/A,#N/A,TRUE,"Смета на пасс. обор. №1"}</definedName>
    <definedName name="вапапо_1" localSheetId="108" hidden="1">{#N/A,#N/A,TRUE,"Смета на пасс. обор. №1"}</definedName>
    <definedName name="вапапо_1" localSheetId="6" hidden="1">{#N/A,#N/A,TRUE,"Смета на пасс. обор. №1"}</definedName>
    <definedName name="вапапо_1" localSheetId="9" hidden="1">{#N/A,#N/A,TRUE,"Смета на пасс. обор. №1"}</definedName>
    <definedName name="вапапо_1" localSheetId="7" hidden="1">{#N/A,#N/A,TRUE,"Смета на пасс. обор. №1"}</definedName>
    <definedName name="вапапо_1" localSheetId="92" hidden="1">{#N/A,#N/A,TRUE,"Смета на пасс. обор. №1"}</definedName>
    <definedName name="вапапо_1" localSheetId="93" hidden="1">{#N/A,#N/A,TRUE,"Смета на пасс. обор. №1"}</definedName>
    <definedName name="вапапо_1" localSheetId="94" hidden="1">{#N/A,#N/A,TRUE,"Смета на пасс. обор. №1"}</definedName>
    <definedName name="вапапо_1" localSheetId="99" hidden="1">{#N/A,#N/A,TRUE,"Смета на пасс. обор. №1"}</definedName>
    <definedName name="вапапо_1" localSheetId="100" hidden="1">{#N/A,#N/A,TRUE,"Смета на пасс. обор. №1"}</definedName>
    <definedName name="вапапо_1" localSheetId="106" hidden="1">{#N/A,#N/A,TRUE,"Смета на пасс. обор. №1"}</definedName>
    <definedName name="вапапо_1" localSheetId="2" hidden="1">{#N/A,#N/A,TRUE,"Смета на пасс. обор. №1"}</definedName>
    <definedName name="вапапо_1" localSheetId="123" hidden="1">{#N/A,#N/A,TRUE,"Смета на пасс. обор. №1"}</definedName>
    <definedName name="вапапо_1" localSheetId="4" hidden="1">{#N/A,#N/A,TRUE,"Смета на пасс. обор. №1"}</definedName>
    <definedName name="вапапо_1" localSheetId="13" hidden="1">{#N/A,#N/A,TRUE,"Смета на пасс. обор. №1"}</definedName>
    <definedName name="вапапо_1" hidden="1">{#N/A,#N/A,TRUE,"Смета на пасс. обор. №1"}</definedName>
    <definedName name="вапвя" localSheetId="10">#REF!</definedName>
    <definedName name="вапвя" localSheetId="9">#REF!</definedName>
    <definedName name="вапвя">#REF!</definedName>
    <definedName name="вапр" localSheetId="10">#REF!</definedName>
    <definedName name="вапр" localSheetId="9">#REF!</definedName>
    <definedName name="вапр">#REF!</definedName>
    <definedName name="вапяп" localSheetId="10">#REF!</definedName>
    <definedName name="вапяп" localSheetId="9">#REF!</definedName>
    <definedName name="вапяп">#REF!</definedName>
    <definedName name="вар" localSheetId="10">[4]топография!#REF!</definedName>
    <definedName name="вар" localSheetId="9">[4]топография!#REF!</definedName>
    <definedName name="вар">[4]топография!#REF!</definedName>
    <definedName name="варо" localSheetId="10">#REF!</definedName>
    <definedName name="варо" localSheetId="9">#REF!</definedName>
    <definedName name="варо">#REF!</definedName>
    <definedName name="вафывффффффф" localSheetId="10">#REF!</definedName>
    <definedName name="вафывффффффф" localSheetId="9">#REF!</definedName>
    <definedName name="вафывффффффф">#REF!</definedName>
    <definedName name="ваы" localSheetId="10">#REF!</definedName>
    <definedName name="ваы" localSheetId="9">#REF!</definedName>
    <definedName name="ваы">#REF!</definedName>
    <definedName name="вв" localSheetId="10">[13]топография!#REF!</definedName>
    <definedName name="вв" localSheetId="12">[7]топография!#REF!</definedName>
    <definedName name="вв" localSheetId="112">[7]топография!#REF!</definedName>
    <definedName name="вв" localSheetId="113">[7]топография!#REF!</definedName>
    <definedName name="вв" localSheetId="115">[7]топография!#REF!</definedName>
    <definedName name="вв" localSheetId="116">[7]топография!#REF!</definedName>
    <definedName name="вв" localSheetId="8">[13]топография!#REF!</definedName>
    <definedName name="вв" localSheetId="11">[13]топография!#REF!</definedName>
    <definedName name="вв" localSheetId="110">[7]топография!#REF!</definedName>
    <definedName name="вв" localSheetId="6">[13]топография!#REF!</definedName>
    <definedName name="вв" localSheetId="9">[13]топография!#REF!</definedName>
    <definedName name="вв" localSheetId="7">[13]топография!#REF!</definedName>
    <definedName name="вв">[7]топография!#REF!</definedName>
    <definedName name="ввв" localSheetId="10">#REF!</definedName>
    <definedName name="ввв" localSheetId="12">#REF!</definedName>
    <definedName name="ввв" localSheetId="116">#REF!</definedName>
    <definedName name="ввв" localSheetId="8">#REF!</definedName>
    <definedName name="ввв" localSheetId="11">#REF!</definedName>
    <definedName name="ввв" localSheetId="110">#REF!</definedName>
    <definedName name="ввв" localSheetId="109">#REF!</definedName>
    <definedName name="ввв" localSheetId="108">#REF!</definedName>
    <definedName name="ввв" localSheetId="6">#REF!</definedName>
    <definedName name="ввв" localSheetId="9">#REF!</definedName>
    <definedName name="ввв" localSheetId="7">#REF!</definedName>
    <definedName name="ввв" localSheetId="92">#REF!</definedName>
    <definedName name="ввв" localSheetId="93">#REF!</definedName>
    <definedName name="ввв" localSheetId="94">#REF!</definedName>
    <definedName name="ввв" localSheetId="99">#REF!</definedName>
    <definedName name="ввв" localSheetId="100">#REF!</definedName>
    <definedName name="ввв" localSheetId="106">#REF!</definedName>
    <definedName name="ввв">#REF!</definedName>
    <definedName name="вввв" localSheetId="10">#REF!</definedName>
    <definedName name="вввв" localSheetId="9">#REF!</definedName>
    <definedName name="вввв">#REF!</definedName>
    <definedName name="ввод" localSheetId="10">#REF!</definedName>
    <definedName name="ввод" localSheetId="12">#REF!</definedName>
    <definedName name="ввод" localSheetId="116">#REF!</definedName>
    <definedName name="ввод" localSheetId="110">#REF!</definedName>
    <definedName name="ввод" localSheetId="109">#REF!</definedName>
    <definedName name="ввод" localSheetId="108">#REF!</definedName>
    <definedName name="ввод" localSheetId="9">#REF!</definedName>
    <definedName name="ввод" localSheetId="92">#REF!</definedName>
    <definedName name="ввод" localSheetId="93">#REF!</definedName>
    <definedName name="ввод" localSheetId="94">#REF!</definedName>
    <definedName name="ввод" localSheetId="99">#REF!</definedName>
    <definedName name="ввод" localSheetId="100">#REF!</definedName>
    <definedName name="ввод" localSheetId="106">#REF!</definedName>
    <definedName name="ввод">#REF!</definedName>
    <definedName name="ввод_1" localSheetId="10">#REF!</definedName>
    <definedName name="ввод_1" localSheetId="12">#REF!</definedName>
    <definedName name="ввод_1" localSheetId="116">#REF!</definedName>
    <definedName name="ввод_1" localSheetId="110">#REF!</definedName>
    <definedName name="ввод_1" localSheetId="109">#REF!</definedName>
    <definedName name="ввод_1" localSheetId="108">#REF!</definedName>
    <definedName name="ввод_1" localSheetId="9">#REF!</definedName>
    <definedName name="ввод_1" localSheetId="92">#REF!</definedName>
    <definedName name="ввод_1" localSheetId="93">#REF!</definedName>
    <definedName name="ввод_1" localSheetId="94">#REF!</definedName>
    <definedName name="ввод_1" localSheetId="99">#REF!</definedName>
    <definedName name="ввод_1" localSheetId="100">#REF!</definedName>
    <definedName name="ввод_1" localSheetId="106">#REF!</definedName>
    <definedName name="ввод_1">#REF!</definedName>
    <definedName name="ввод_49" localSheetId="10">#REF!</definedName>
    <definedName name="ввод_49" localSheetId="12">#REF!</definedName>
    <definedName name="ввод_49" localSheetId="110">#REF!</definedName>
    <definedName name="ввод_49" localSheetId="9">#REF!</definedName>
    <definedName name="ввод_49">#REF!</definedName>
    <definedName name="ввод_50" localSheetId="10">#REF!</definedName>
    <definedName name="ввод_50" localSheetId="12">#REF!</definedName>
    <definedName name="ввод_50" localSheetId="110">#REF!</definedName>
    <definedName name="ввод_50" localSheetId="9">#REF!</definedName>
    <definedName name="ввод_50">#REF!</definedName>
    <definedName name="ввод_51" localSheetId="10">#REF!</definedName>
    <definedName name="ввод_51" localSheetId="12">#REF!</definedName>
    <definedName name="ввод_51" localSheetId="110">#REF!</definedName>
    <definedName name="ввод_51" localSheetId="9">#REF!</definedName>
    <definedName name="ввод_51">#REF!</definedName>
    <definedName name="ввод_52" localSheetId="10">#REF!</definedName>
    <definedName name="ввод_52" localSheetId="12">#REF!</definedName>
    <definedName name="ввод_52" localSheetId="110">#REF!</definedName>
    <definedName name="ввод_52" localSheetId="9">#REF!</definedName>
    <definedName name="ввод_52">#REF!</definedName>
    <definedName name="ввод_53" localSheetId="10">#REF!</definedName>
    <definedName name="ввод_53" localSheetId="12">#REF!</definedName>
    <definedName name="ввод_53" localSheetId="110">#REF!</definedName>
    <definedName name="ввод_53" localSheetId="9">#REF!</definedName>
    <definedName name="ввод_53">#REF!</definedName>
    <definedName name="ввод_54" localSheetId="10">#REF!</definedName>
    <definedName name="ввод_54" localSheetId="12">#REF!</definedName>
    <definedName name="ввод_54" localSheetId="110">#REF!</definedName>
    <definedName name="ввод_54" localSheetId="9">#REF!</definedName>
    <definedName name="ввод_54">#REF!</definedName>
    <definedName name="вген" localSheetId="10">#REF!</definedName>
    <definedName name="вген" localSheetId="9">#REF!</definedName>
    <definedName name="вген">#REF!</definedName>
    <definedName name="вглльа" localSheetId="10">#REF!</definedName>
    <definedName name="вглльа" localSheetId="9">#REF!</definedName>
    <definedName name="вглльа">#REF!</definedName>
    <definedName name="ве" localSheetId="10">#REF!</definedName>
    <definedName name="ве" localSheetId="9">#REF!</definedName>
    <definedName name="ве">#REF!</definedName>
    <definedName name="ведущий" localSheetId="10">#REF!</definedName>
    <definedName name="ведущий" localSheetId="9">#REF!</definedName>
    <definedName name="ведущий">#REF!</definedName>
    <definedName name="венл" localSheetId="10">#REF!</definedName>
    <definedName name="венл" localSheetId="9">#REF!</definedName>
    <definedName name="венл">#REF!</definedName>
    <definedName name="вено" localSheetId="10">#REF!</definedName>
    <definedName name="вено" localSheetId="9">#REF!</definedName>
    <definedName name="вено">#REF!</definedName>
    <definedName name="веноевн" localSheetId="10">#REF!</definedName>
    <definedName name="веноевн" localSheetId="9">#REF!</definedName>
    <definedName name="веноевн">#REF!</definedName>
    <definedName name="венолвенп" localSheetId="10">#REF!</definedName>
    <definedName name="венолвенп" localSheetId="9">#REF!</definedName>
    <definedName name="венолвенп">#REF!</definedName>
    <definedName name="веноь" localSheetId="10">#REF!</definedName>
    <definedName name="веноь" localSheetId="9">#REF!</definedName>
    <definedName name="веноь">#REF!</definedName>
    <definedName name="венрол" localSheetId="10">#REF!</definedName>
    <definedName name="венрол" localSheetId="9">#REF!</definedName>
    <definedName name="венрол">#REF!</definedName>
    <definedName name="венш" localSheetId="10">#REF!</definedName>
    <definedName name="венш" localSheetId="9">#REF!</definedName>
    <definedName name="венш">#REF!</definedName>
    <definedName name="вео" localSheetId="10">#REF!</definedName>
    <definedName name="вео" localSheetId="9">#REF!</definedName>
    <definedName name="вео">#REF!</definedName>
    <definedName name="веше" localSheetId="10">#REF!</definedName>
    <definedName name="веше" localSheetId="9">#REF!</definedName>
    <definedName name="веше">#REF!</definedName>
    <definedName name="вика" localSheetId="10">#REF!</definedName>
    <definedName name="вика" localSheetId="12">#REF!</definedName>
    <definedName name="вика" localSheetId="110">#REF!</definedName>
    <definedName name="вика" localSheetId="9">#REF!</definedName>
    <definedName name="вика">#REF!</definedName>
    <definedName name="вирваы" localSheetId="10">#REF!</definedName>
    <definedName name="вирваы" localSheetId="9">#REF!</definedName>
    <definedName name="вирваы">#REF!</definedName>
    <definedName name="вкпвп" localSheetId="10">#REF!</definedName>
    <definedName name="вкпвп" localSheetId="9">#REF!</definedName>
    <definedName name="вкпвп">#REF!</definedName>
    <definedName name="Владимирская_область" localSheetId="10">#REF!</definedName>
    <definedName name="Владимирская_область" localSheetId="9">#REF!</definedName>
    <definedName name="Владимирская_область">#REF!</definedName>
    <definedName name="влнг" localSheetId="10">[4]топография!#REF!</definedName>
    <definedName name="влнг" localSheetId="9">[4]топография!#REF!</definedName>
    <definedName name="влнг">[4]топография!#REF!</definedName>
    <definedName name="внеове" localSheetId="10">#REF!</definedName>
    <definedName name="внеове" localSheetId="9">#REF!</definedName>
    <definedName name="внеове">#REF!</definedName>
    <definedName name="внеое" localSheetId="10">#REF!</definedName>
    <definedName name="внеое" localSheetId="9">#REF!</definedName>
    <definedName name="внеое">#REF!</definedName>
    <definedName name="внлг" localSheetId="10">#REF!</definedName>
    <definedName name="внлг" localSheetId="9">#REF!</definedName>
    <definedName name="внлг">#REF!</definedName>
    <definedName name="внорьп" localSheetId="10">#REF!</definedName>
    <definedName name="внорьп" localSheetId="9">#REF!</definedName>
    <definedName name="внорьп">#REF!</definedName>
    <definedName name="внр" localSheetId="10">#REF!</definedName>
    <definedName name="внр" localSheetId="9">#REF!</definedName>
    <definedName name="внр">#REF!</definedName>
    <definedName name="Внут_Т" localSheetId="10">#REF!</definedName>
    <definedName name="Внут_Т" localSheetId="12">#REF!</definedName>
    <definedName name="Внут_Т" localSheetId="112">#REF!</definedName>
    <definedName name="Внут_Т" localSheetId="113">#REF!</definedName>
    <definedName name="Внут_Т" localSheetId="115">#REF!</definedName>
    <definedName name="Внут_Т" localSheetId="116">#REF!</definedName>
    <definedName name="Внут_Т" localSheetId="110">#REF!</definedName>
    <definedName name="Внут_Т" localSheetId="9">#REF!</definedName>
    <definedName name="Внут_Т">#REF!</definedName>
    <definedName name="вов" localSheetId="10">#REF!</definedName>
    <definedName name="вов" localSheetId="9">#REF!</definedName>
    <definedName name="вов">#REF!</definedName>
    <definedName name="вое" localSheetId="10">#REF!</definedName>
    <definedName name="вое" localSheetId="9">#REF!</definedName>
    <definedName name="вое">#REF!</definedName>
    <definedName name="Волгоградская_область" localSheetId="10">#REF!</definedName>
    <definedName name="Волгоградская_область" localSheetId="9">#REF!</definedName>
    <definedName name="Волгоградская_область">#REF!</definedName>
    <definedName name="Вологодская_область" localSheetId="10">#REF!</definedName>
    <definedName name="Вологодская_область" localSheetId="9">#REF!</definedName>
    <definedName name="Вологодская_область">#REF!</definedName>
    <definedName name="Вологодская_область_1" localSheetId="10">#REF!</definedName>
    <definedName name="Вологодская_область_1" localSheetId="9">#REF!</definedName>
    <definedName name="Вологодская_область_1">#REF!</definedName>
    <definedName name="воп" localSheetId="10">[7]топография!#REF!</definedName>
    <definedName name="воп" localSheetId="9">[7]топография!#REF!</definedName>
    <definedName name="воп">[7]топография!#REF!</definedName>
    <definedName name="вопрв" localSheetId="10">#REF!</definedName>
    <definedName name="вопрв" localSheetId="9">#REF!</definedName>
    <definedName name="вопрв">#REF!</definedName>
    <definedName name="вопров" localSheetId="10">#REF!</definedName>
    <definedName name="вопров" localSheetId="9">#REF!</definedName>
    <definedName name="вопров">#REF!</definedName>
    <definedName name="Воронежская_область" localSheetId="10">#REF!</definedName>
    <definedName name="Воронежская_область" localSheetId="9">#REF!</definedName>
    <definedName name="Воронежская_область">#REF!</definedName>
    <definedName name="Вп" localSheetId="10">#REF!</definedName>
    <definedName name="Вп" localSheetId="9">#REF!</definedName>
    <definedName name="Вп">#REF!</definedName>
    <definedName name="впа" localSheetId="10">#REF!</definedName>
    <definedName name="впа" localSheetId="9">#REF!</definedName>
    <definedName name="впа">#REF!</definedName>
    <definedName name="впо" localSheetId="10">#REF!</definedName>
    <definedName name="впо" localSheetId="9">#REF!</definedName>
    <definedName name="впо">#REF!</definedName>
    <definedName name="впоп" localSheetId="10">[7]топография!#REF!</definedName>
    <definedName name="впоп" localSheetId="9">[7]топография!#REF!</definedName>
    <definedName name="впоп">[7]топография!#REF!</definedName>
    <definedName name="впор" localSheetId="10">#REF!</definedName>
    <definedName name="впор" localSheetId="9">#REF!</definedName>
    <definedName name="впор">#REF!</definedName>
    <definedName name="впр" localSheetId="10">#REF!</definedName>
    <definedName name="впр" localSheetId="9">#REF!</definedName>
    <definedName name="впр">#REF!</definedName>
    <definedName name="впрвпр" localSheetId="10">#REF!</definedName>
    <definedName name="впрвпр" localSheetId="9">#REF!</definedName>
    <definedName name="впрвпр">#REF!</definedName>
    <definedName name="впрл" localSheetId="10">#REF!</definedName>
    <definedName name="впрл" localSheetId="9">#REF!</definedName>
    <definedName name="впрл">#REF!</definedName>
    <definedName name="впрлвпр" localSheetId="10">#REF!</definedName>
    <definedName name="впрлвпр" localSheetId="9">#REF!</definedName>
    <definedName name="впрлвпр">#REF!</definedName>
    <definedName name="впрлпр" localSheetId="10">#REF!</definedName>
    <definedName name="впрлпр" localSheetId="9">#REF!</definedName>
    <definedName name="впрлпр">#REF!</definedName>
    <definedName name="впрлрпл" localSheetId="10">#REF!</definedName>
    <definedName name="впрлрпл" localSheetId="9">#REF!</definedName>
    <definedName name="впрлрпл">#REF!</definedName>
    <definedName name="впро" localSheetId="10">#REF!</definedName>
    <definedName name="впро" localSheetId="9">#REF!</definedName>
    <definedName name="впро">#REF!</definedName>
    <definedName name="впров" localSheetId="10">#REF!</definedName>
    <definedName name="впров" localSheetId="9">#REF!</definedName>
    <definedName name="впров">#REF!</definedName>
    <definedName name="впрь" localSheetId="10">#REF!</definedName>
    <definedName name="впрь" localSheetId="9">#REF!</definedName>
    <definedName name="впрь">#REF!</definedName>
    <definedName name="впрьвп" localSheetId="10">#REF!</definedName>
    <definedName name="впрьвп" localSheetId="9">#REF!</definedName>
    <definedName name="впрьвп">#REF!</definedName>
    <definedName name="впрьрь" localSheetId="10">#REF!</definedName>
    <definedName name="впрьрь" localSheetId="9">#REF!</definedName>
    <definedName name="впрьрь">#REF!</definedName>
    <definedName name="вр" localSheetId="10">#REF!</definedName>
    <definedName name="вр" localSheetId="9">#REF!</definedName>
    <definedName name="вр">#REF!</definedName>
    <definedName name="вравар" localSheetId="10">#REF!</definedName>
    <definedName name="вравар" localSheetId="12">#REF!</definedName>
    <definedName name="вравар" localSheetId="110">#REF!</definedName>
    <definedName name="вравар" localSheetId="9">#REF!</definedName>
    <definedName name="вравар" localSheetId="7">#REF!</definedName>
    <definedName name="вравар">#REF!</definedName>
    <definedName name="Времен">[29]Коэфф!$B$2</definedName>
    <definedName name="вро" localSheetId="10">#REF!</definedName>
    <definedName name="вро" localSheetId="9">#REF!</definedName>
    <definedName name="вро">#REF!</definedName>
    <definedName name="вров" localSheetId="10">#REF!</definedName>
    <definedName name="вров" localSheetId="9">#REF!</definedName>
    <definedName name="вров">#REF!</definedName>
    <definedName name="вровап" localSheetId="10">#REF!</definedName>
    <definedName name="вровап" localSheetId="9">#REF!</definedName>
    <definedName name="вровап">#REF!</definedName>
    <definedName name="врп" localSheetId="10">#REF!</definedName>
    <definedName name="врп" localSheetId="9">#REF!</definedName>
    <definedName name="врп">#REF!</definedName>
    <definedName name="врплнл" localSheetId="10">#REF!</definedName>
    <definedName name="врплнл" localSheetId="9">#REF!</definedName>
    <definedName name="врплнл">#REF!</definedName>
    <definedName name="врпов" localSheetId="10">#REF!</definedName>
    <definedName name="врпов" localSheetId="9">#REF!</definedName>
    <definedName name="врпов">#REF!</definedName>
    <definedName name="врповор" localSheetId="10">#REF!</definedName>
    <definedName name="врповор" localSheetId="9">#REF!</definedName>
    <definedName name="врповор">#REF!</definedName>
    <definedName name="врпьт" localSheetId="10">[4]топография!#REF!</definedName>
    <definedName name="врпьт" localSheetId="9">[4]топография!#REF!</definedName>
    <definedName name="врпьт">[4]топография!#REF!</definedName>
    <definedName name="врь" localSheetId="10">[7]топография!#REF!</definedName>
    <definedName name="врь" localSheetId="9">[7]топография!#REF!</definedName>
    <definedName name="врь">[7]топография!#REF!</definedName>
    <definedName name="врьпврь" localSheetId="10">#REF!</definedName>
    <definedName name="врьпврь" localSheetId="9">#REF!</definedName>
    <definedName name="врьпврь">#REF!</definedName>
    <definedName name="ВСЕГО" localSheetId="10">#REF!</definedName>
    <definedName name="ВСЕГО" localSheetId="12">#REF!</definedName>
    <definedName name="ВСЕГО" localSheetId="112">#REF!</definedName>
    <definedName name="ВСЕГО" localSheetId="113">#REF!</definedName>
    <definedName name="ВСЕГО" localSheetId="115">#REF!</definedName>
    <definedName name="ВСЕГО" localSheetId="116">#REF!</definedName>
    <definedName name="ВСЕГО" localSheetId="8">#REF!</definedName>
    <definedName name="ВСЕГО" localSheetId="11">#REF!</definedName>
    <definedName name="ВСЕГО" localSheetId="110">#REF!</definedName>
    <definedName name="ВСЕГО" localSheetId="6">#REF!</definedName>
    <definedName name="ВСЕГО" localSheetId="9">#REF!</definedName>
    <definedName name="ВСЕГО" localSheetId="7">#REF!</definedName>
    <definedName name="ВСЕГО" localSheetId="92">#REF!</definedName>
    <definedName name="ВСЕГО" localSheetId="93">#REF!</definedName>
    <definedName name="ВСЕГО" localSheetId="94">#REF!</definedName>
    <definedName name="ВСЕГО" localSheetId="99">#REF!</definedName>
    <definedName name="ВСЕГО" localSheetId="100">#REF!</definedName>
    <definedName name="ВСЕГО" localSheetId="106">#REF!</definedName>
    <definedName name="ВСЕГО" localSheetId="4">#REF!</definedName>
    <definedName name="ВСЕГО" localSheetId="13">#REF!</definedName>
    <definedName name="ВСЕГО">#REF!</definedName>
    <definedName name="Всего_по_смете" localSheetId="10">#REF!</definedName>
    <definedName name="Всего_по_смете" localSheetId="9">#REF!</definedName>
    <definedName name="Всего_по_смете">#REF!</definedName>
    <definedName name="ВсегоРучБур" localSheetId="7">[30]СмРучБур!$J$40</definedName>
    <definedName name="ВсегоРучБур">[31]СмРучБур!$J$40</definedName>
    <definedName name="ВсегоШурфов" localSheetId="10">#REF!</definedName>
    <definedName name="ВсегоШурфов" localSheetId="9">#REF!</definedName>
    <definedName name="ВсегоШурфов" localSheetId="7">#REF!</definedName>
    <definedName name="ВсегоШурфов">#REF!</definedName>
    <definedName name="Вспом" localSheetId="10">#REF!</definedName>
    <definedName name="Вспом" localSheetId="12">#REF!</definedName>
    <definedName name="Вспом" localSheetId="112">#REF!</definedName>
    <definedName name="Вспом" localSheetId="113">#REF!</definedName>
    <definedName name="Вспом" localSheetId="115">#REF!</definedName>
    <definedName name="Вспом" localSheetId="116">#REF!</definedName>
    <definedName name="Вспом" localSheetId="8">#REF!</definedName>
    <definedName name="Вспом" localSheetId="11">#REF!</definedName>
    <definedName name="Вспом" localSheetId="110">#REF!</definedName>
    <definedName name="Вспом" localSheetId="6">#REF!</definedName>
    <definedName name="Вспом" localSheetId="9">#REF!</definedName>
    <definedName name="Вспом" localSheetId="7">#REF!</definedName>
    <definedName name="Вспом" localSheetId="92">#REF!</definedName>
    <definedName name="Вспом" localSheetId="93">#REF!</definedName>
    <definedName name="Вспом" localSheetId="94">#REF!</definedName>
    <definedName name="Вспом" localSheetId="99">#REF!</definedName>
    <definedName name="Вспом" localSheetId="100">#REF!</definedName>
    <definedName name="Вспом" localSheetId="106">#REF!</definedName>
    <definedName name="Вспом" localSheetId="4">#REF!</definedName>
    <definedName name="Вспом" localSheetId="13">#REF!</definedName>
    <definedName name="Вспом">#REF!</definedName>
    <definedName name="Вспомогательные_работы" localSheetId="10">#REF!</definedName>
    <definedName name="Вспомогательные_работы" localSheetId="9">#REF!</definedName>
    <definedName name="Вспомогательные_работы">#REF!</definedName>
    <definedName name="ВТ" localSheetId="10">#REF!</definedName>
    <definedName name="ВТ" localSheetId="9">#REF!</definedName>
    <definedName name="ВТ">#REF!</definedName>
    <definedName name="втор_кат" localSheetId="10">#REF!</definedName>
    <definedName name="втор_кат" localSheetId="9">#REF!</definedName>
    <definedName name="втор_кат">#REF!</definedName>
    <definedName name="Вторич" localSheetId="10">#REF!</definedName>
    <definedName name="Вторич" localSheetId="9">#REF!</definedName>
    <definedName name="Вторич">#REF!</definedName>
    <definedName name="второй" localSheetId="10">#REF!</definedName>
    <definedName name="второй" localSheetId="9">#REF!</definedName>
    <definedName name="второй">#REF!</definedName>
    <definedName name="втратар" localSheetId="10">#REF!</definedName>
    <definedName name="втратар" localSheetId="9">#REF!</definedName>
    <definedName name="втратар">#REF!</definedName>
    <definedName name="ВЫЕЗД_всего">[32]РасчетКомандир1!$M$1:$M$65536</definedName>
    <definedName name="ВЫЕЗД_всего_1">[32]РасчетКомандир2!$O$1:$O$65536</definedName>
    <definedName name="ВЫЕЗД_период">[32]РасчетКомандир1!$E$1:$E$65536</definedName>
    <definedName name="ВЫЕЗД_период_1">[32]РасчетКомандир2!$E$1:$E$65536</definedName>
    <definedName name="выфвы" localSheetId="10">[17]ПДР!#REF!</definedName>
    <definedName name="выфвы" localSheetId="9">[17]ПДР!#REF!</definedName>
    <definedName name="выфвы">[17]ПДР!#REF!</definedName>
    <definedName name="Вычислительная_техника" localSheetId="10">[24]Коэфф1.!#REF!</definedName>
    <definedName name="Вычислительная_техника" localSheetId="9">[24]Коэфф1.!#REF!</definedName>
    <definedName name="Вычислительная_техника">[24]Коэфф1.!#REF!</definedName>
    <definedName name="Вычислительная_техника_1" localSheetId="10">#REF!</definedName>
    <definedName name="Вычислительная_техника_1" localSheetId="9">#REF!</definedName>
    <definedName name="Вычислительная_техника_1">#REF!</definedName>
    <definedName name="выы" localSheetId="10">#REF!</definedName>
    <definedName name="выы" localSheetId="9">#REF!</definedName>
    <definedName name="выы">#REF!</definedName>
    <definedName name="г" localSheetId="10">#REF!</definedName>
    <definedName name="г" localSheetId="9">#REF!</definedName>
    <definedName name="г">#REF!</definedName>
    <definedName name="ГАП" localSheetId="10">#REF!</definedName>
    <definedName name="ГАП" localSheetId="9">#REF!</definedName>
    <definedName name="ГАП">#REF!</definedName>
    <definedName name="ггггггггггггггггггггггггггггггггггггггггггггггг" localSheetId="10">[12]топография!#REF!</definedName>
    <definedName name="ггггггггггггггггггггггггггггггггггггггггггггггг" localSheetId="12">[7]топография!#REF!</definedName>
    <definedName name="ггггггггггггггггггггггггггггггггггггггггггггггг" localSheetId="111">[7]топография!#REF!</definedName>
    <definedName name="ггггггггггггггггггггггггггггггггггггггггггггггг" localSheetId="112">[7]топография!#REF!</definedName>
    <definedName name="ггггггггггггггггггггггггггггггггггггггггггггггг" localSheetId="113">[7]топография!#REF!</definedName>
    <definedName name="ггггггггггггггггггггггггггггггггггггггггггггггг" localSheetId="114">[7]топография!#REF!</definedName>
    <definedName name="ггггггггггггггггггггггггггггггггггггггггггггггг" localSheetId="115">[7]топография!#REF!</definedName>
    <definedName name="ггггггггггггггггггггггггггггггггггггггггггггггг" localSheetId="116">[7]топография!#REF!</definedName>
    <definedName name="ггггггггггггггггггггггггггггггггггггггггггггггг" localSheetId="117">[7]топография!#REF!</definedName>
    <definedName name="ггггггггггггггггггггггггггггггггггггггггггггггг" localSheetId="118">[7]топография!#REF!</definedName>
    <definedName name="ггггггггггггггггггггггггггггггггггггггггггггггг" localSheetId="121">[7]топография!#REF!</definedName>
    <definedName name="ггггггггггггггггггггггггггггггггггггггггггггггг" localSheetId="122">[7]топография!#REF!</definedName>
    <definedName name="ггггггггггггггггггггггггггггггггггггггггггггггг" localSheetId="8">[12]топография!#REF!</definedName>
    <definedName name="ггггггггггггггггггггггггггггггггггггггггггггггг" localSheetId="11">[12]топография!#REF!</definedName>
    <definedName name="ггггггггггггггггггггггггггггггггггггггггггггггг" localSheetId="110">[7]топография!#REF!</definedName>
    <definedName name="ггггггггггггггггггггггггггггггггггггггггггггггг" localSheetId="109">[7]топография!#REF!</definedName>
    <definedName name="ггггггггггггггггггггггггггггггггггггггггггггггг" localSheetId="108">[7]топография!#REF!</definedName>
    <definedName name="ггггггггггггггггггггггггггггггггггггггггггггггг" localSheetId="6">[12]топография!#REF!</definedName>
    <definedName name="ггггггггггггггггггггггггггггггггггггггггггггггг" localSheetId="9">[12]топография!#REF!</definedName>
    <definedName name="ггггггггггггггггггггггггггггггггггггггггггггггг" localSheetId="7">[33]топография!#REF!</definedName>
    <definedName name="ггггггггггггггггггггггггггггггггггггггггггггггг" localSheetId="92">[7]топография!#REF!</definedName>
    <definedName name="ггггггггггггггггггггггггггггггггггггггггггггггг" localSheetId="93">[7]топография!#REF!</definedName>
    <definedName name="ггггггггггггггггггггггггггггггггггггггггггггггг" localSheetId="94">[7]топография!#REF!</definedName>
    <definedName name="ггггггггггггггггггггггггггггггггггггггггггггггг" localSheetId="99">[7]топография!#REF!</definedName>
    <definedName name="ггггггггггггггггггггггггггггггггггггггггггггггг" localSheetId="100">[7]топография!#REF!</definedName>
    <definedName name="ггггггггггггггггггггггггггггггггггггггггггггггг" localSheetId="106">[7]топография!#REF!</definedName>
    <definedName name="ггггггггггггггггггггггггггггггггггггггггггггггг">[7]топография!#REF!</definedName>
    <definedName name="гелог" localSheetId="10">#REF!</definedName>
    <definedName name="гелог" localSheetId="12">#REF!</definedName>
    <definedName name="гелог" localSheetId="116">#REF!</definedName>
    <definedName name="гелог" localSheetId="8">#REF!</definedName>
    <definedName name="гелог" localSheetId="11">#REF!</definedName>
    <definedName name="гелог" localSheetId="110">#REF!</definedName>
    <definedName name="гелог" localSheetId="109">#REF!</definedName>
    <definedName name="гелог" localSheetId="108">#REF!</definedName>
    <definedName name="гелог" localSheetId="6">#REF!</definedName>
    <definedName name="гелог" localSheetId="9">#REF!</definedName>
    <definedName name="гелог" localSheetId="7">#REF!</definedName>
    <definedName name="гелог" localSheetId="92">#REF!</definedName>
    <definedName name="гелог" localSheetId="93">#REF!</definedName>
    <definedName name="гелог" localSheetId="94">#REF!</definedName>
    <definedName name="гелог" localSheetId="99">#REF!</definedName>
    <definedName name="гелог" localSheetId="100">#REF!</definedName>
    <definedName name="гелог" localSheetId="106">#REF!</definedName>
    <definedName name="гелог">#REF!</definedName>
    <definedName name="гео" localSheetId="10">#REF!</definedName>
    <definedName name="гео" localSheetId="12">#REF!</definedName>
    <definedName name="гео" localSheetId="116">#REF!</definedName>
    <definedName name="гео" localSheetId="8">#REF!</definedName>
    <definedName name="гео" localSheetId="11">#REF!</definedName>
    <definedName name="гео" localSheetId="110">#REF!</definedName>
    <definedName name="гео" localSheetId="109">#REF!</definedName>
    <definedName name="гео" localSheetId="108">#REF!</definedName>
    <definedName name="гео" localSheetId="6">#REF!</definedName>
    <definedName name="гео" localSheetId="9">#REF!</definedName>
    <definedName name="гео" localSheetId="7">#REF!</definedName>
    <definedName name="гео" localSheetId="92">#REF!</definedName>
    <definedName name="гео" localSheetId="93">#REF!</definedName>
    <definedName name="гео" localSheetId="94">#REF!</definedName>
    <definedName name="гео" localSheetId="99">#REF!</definedName>
    <definedName name="гео" localSheetId="100">#REF!</definedName>
    <definedName name="гео" localSheetId="106">#REF!</definedName>
    <definedName name="гео">#REF!</definedName>
    <definedName name="геог" localSheetId="10">#REF!</definedName>
    <definedName name="геог" localSheetId="9">#REF!</definedName>
    <definedName name="геог">#REF!</definedName>
    <definedName name="геодез1">[34]геолог!$L$81</definedName>
    <definedName name="геодезия" localSheetId="10">#REF!</definedName>
    <definedName name="геодезия" localSheetId="9">#REF!</definedName>
    <definedName name="геодезия">#REF!</definedName>
    <definedName name="геол" localSheetId="10">[35]Смета!#REF!</definedName>
    <definedName name="геол" localSheetId="9">[35]Смета!#REF!</definedName>
    <definedName name="геол">[35]Смета!#REF!</definedName>
    <definedName name="геол.1" localSheetId="10">#REF!</definedName>
    <definedName name="геол.1" localSheetId="12">#REF!</definedName>
    <definedName name="геол.1" localSheetId="116">#REF!</definedName>
    <definedName name="геол.1" localSheetId="8">#REF!</definedName>
    <definedName name="геол.1" localSheetId="11">#REF!</definedName>
    <definedName name="геол.1" localSheetId="110">#REF!</definedName>
    <definedName name="геол.1" localSheetId="109">#REF!</definedName>
    <definedName name="геол.1" localSheetId="108">#REF!</definedName>
    <definedName name="геол.1" localSheetId="6">#REF!</definedName>
    <definedName name="геол.1" localSheetId="9">#REF!</definedName>
    <definedName name="геол.1" localSheetId="7">#REF!</definedName>
    <definedName name="геол.1" localSheetId="92">#REF!</definedName>
    <definedName name="геол.1" localSheetId="93">#REF!</definedName>
    <definedName name="геол.1" localSheetId="94">#REF!</definedName>
    <definedName name="геол.1" localSheetId="99">#REF!</definedName>
    <definedName name="геол.1" localSheetId="100">#REF!</definedName>
    <definedName name="геол.1" localSheetId="106">#REF!</definedName>
    <definedName name="геол.1" localSheetId="4">#REF!</definedName>
    <definedName name="геол.1" localSheetId="13">#REF!</definedName>
    <definedName name="геол.1">#REF!</definedName>
    <definedName name="геол_1" localSheetId="10">[36]Смета!#REF!</definedName>
    <definedName name="геол_1" localSheetId="9">[36]Смета!#REF!</definedName>
    <definedName name="геол_1">[36]Смета!#REF!</definedName>
    <definedName name="геол_2" localSheetId="10">[37]Смета!#REF!</definedName>
    <definedName name="геол_2" localSheetId="9">[37]Смета!#REF!</definedName>
    <definedName name="геол_2">[37]Смета!#REF!</definedName>
    <definedName name="Геол_Лазаревск" localSheetId="10">[16]топография!#REF!</definedName>
    <definedName name="Геол_Лазаревск" localSheetId="12">[7]топография!#REF!</definedName>
    <definedName name="Геол_Лазаревск" localSheetId="116">[7]топография!#REF!</definedName>
    <definedName name="Геол_Лазаревск" localSheetId="8">[16]топография!#REF!</definedName>
    <definedName name="Геол_Лазаревск" localSheetId="11">[16]топография!#REF!</definedName>
    <definedName name="Геол_Лазаревск" localSheetId="110">[7]топография!#REF!</definedName>
    <definedName name="Геол_Лазаревск" localSheetId="109">[7]топография!#REF!</definedName>
    <definedName name="Геол_Лазаревск" localSheetId="108">[7]топография!#REF!</definedName>
    <definedName name="Геол_Лазаревск" localSheetId="6">[16]топография!#REF!</definedName>
    <definedName name="Геол_Лазаревск" localSheetId="9">[16]топография!#REF!</definedName>
    <definedName name="Геол_Лазаревск" localSheetId="7">[16]топография!#REF!</definedName>
    <definedName name="Геол_Лазаревск" localSheetId="92">[7]топография!#REF!</definedName>
    <definedName name="Геол_Лазаревск" localSheetId="93">[7]топография!#REF!</definedName>
    <definedName name="Геол_Лазаревск" localSheetId="94">[7]топография!#REF!</definedName>
    <definedName name="Геол_Лазаревск" localSheetId="99">[7]топография!#REF!</definedName>
    <definedName name="Геол_Лазаревск" localSheetId="100">[7]топография!#REF!</definedName>
    <definedName name="Геол_Лазаревск" localSheetId="106">[7]топография!#REF!</definedName>
    <definedName name="Геол_Лазаревск">[7]топография!#REF!</definedName>
    <definedName name="геол1" localSheetId="10">#REF!</definedName>
    <definedName name="геол1" localSheetId="12">#REF!</definedName>
    <definedName name="геол1" localSheetId="116">#REF!</definedName>
    <definedName name="геол1" localSheetId="8">#REF!</definedName>
    <definedName name="геол1" localSheetId="11">#REF!</definedName>
    <definedName name="геол1" localSheetId="110">#REF!</definedName>
    <definedName name="геол1" localSheetId="109">#REF!</definedName>
    <definedName name="геол1" localSheetId="108">#REF!</definedName>
    <definedName name="геол1" localSheetId="6">#REF!</definedName>
    <definedName name="геол1" localSheetId="9">#REF!</definedName>
    <definedName name="геол1" localSheetId="7">#REF!</definedName>
    <definedName name="геол1" localSheetId="92">#REF!</definedName>
    <definedName name="геол1" localSheetId="93">#REF!</definedName>
    <definedName name="геол1" localSheetId="94">#REF!</definedName>
    <definedName name="геол1" localSheetId="99">#REF!</definedName>
    <definedName name="геол1" localSheetId="100">#REF!</definedName>
    <definedName name="геол1" localSheetId="106">#REF!</definedName>
    <definedName name="геол1">#REF!</definedName>
    <definedName name="геология" localSheetId="10">#REF!</definedName>
    <definedName name="геология" localSheetId="9">#REF!</definedName>
    <definedName name="геология">#REF!</definedName>
    <definedName name="геоф" localSheetId="10">#REF!</definedName>
    <definedName name="геоф" localSheetId="12">#REF!</definedName>
    <definedName name="геоф" localSheetId="116">#REF!</definedName>
    <definedName name="геоф" localSheetId="110">#REF!</definedName>
    <definedName name="геоф" localSheetId="109">#REF!</definedName>
    <definedName name="геоф" localSheetId="108">#REF!</definedName>
    <definedName name="геоф" localSheetId="9">#REF!</definedName>
    <definedName name="геоф" localSheetId="92">#REF!</definedName>
    <definedName name="геоф" localSheetId="93">#REF!</definedName>
    <definedName name="геоф" localSheetId="94">#REF!</definedName>
    <definedName name="геоф" localSheetId="99">#REF!</definedName>
    <definedName name="геоф" localSheetId="100">#REF!</definedName>
    <definedName name="геоф" localSheetId="106">#REF!</definedName>
    <definedName name="геоф">#REF!</definedName>
    <definedName name="Геофиз" localSheetId="10">#REF!</definedName>
    <definedName name="Геофиз" localSheetId="12">#REF!</definedName>
    <definedName name="Геофиз" localSheetId="116">#REF!</definedName>
    <definedName name="Геофиз" localSheetId="110">#REF!</definedName>
    <definedName name="Геофиз" localSheetId="109">#REF!</definedName>
    <definedName name="Геофиз" localSheetId="108">#REF!</definedName>
    <definedName name="Геофиз" localSheetId="9">#REF!</definedName>
    <definedName name="Геофиз" localSheetId="92">#REF!</definedName>
    <definedName name="Геофиз" localSheetId="93">#REF!</definedName>
    <definedName name="Геофиз" localSheetId="94">#REF!</definedName>
    <definedName name="Геофиз" localSheetId="99">#REF!</definedName>
    <definedName name="Геофиз" localSheetId="100">#REF!</definedName>
    <definedName name="Геофиз" localSheetId="106">#REF!</definedName>
    <definedName name="Геофиз">#REF!</definedName>
    <definedName name="геофизика" localSheetId="10">#REF!</definedName>
    <definedName name="геофизика" localSheetId="12">#REF!</definedName>
    <definedName name="геофизика" localSheetId="110">#REF!</definedName>
    <definedName name="геофизика" localSheetId="9">#REF!</definedName>
    <definedName name="геофизика">#REF!</definedName>
    <definedName name="гид" localSheetId="10">[38]Смета!#REF!</definedName>
    <definedName name="гид" localSheetId="9">[38]Смета!#REF!</definedName>
    <definedName name="гид">[38]Смета!#REF!</definedName>
    <definedName name="гид_1" localSheetId="10">[39]Смета!#REF!</definedName>
    <definedName name="гид_1" localSheetId="9">[39]Смета!#REF!</definedName>
    <definedName name="гид_1">[39]Смета!#REF!</definedName>
    <definedName name="гид_2" localSheetId="10">[40]Смета!#REF!</definedName>
    <definedName name="гид_2" localSheetId="9">[40]Смета!#REF!</definedName>
    <definedName name="гид_2">[40]Смета!#REF!</definedName>
    <definedName name="Гидр" localSheetId="10">[41]топография!#REF!</definedName>
    <definedName name="Гидр" localSheetId="9">[41]топография!#REF!</definedName>
    <definedName name="Гидр">[41]топография!#REF!</definedName>
    <definedName name="Гидро" localSheetId="10">[42]топография!#REF!</definedName>
    <definedName name="Гидро" localSheetId="12">[7]топография!#REF!</definedName>
    <definedName name="Гидро" localSheetId="8">[42]топография!#REF!</definedName>
    <definedName name="Гидро" localSheetId="11">[42]топография!#REF!</definedName>
    <definedName name="Гидро" localSheetId="110">[7]топография!#REF!</definedName>
    <definedName name="Гидро" localSheetId="6">[42]топография!#REF!</definedName>
    <definedName name="Гидро" localSheetId="9">[42]топография!#REF!</definedName>
    <definedName name="Гидро" localSheetId="7">[42]топография!#REF!</definedName>
    <definedName name="Гидро">[7]топография!#REF!</definedName>
    <definedName name="гидро1" localSheetId="10">#REF!</definedName>
    <definedName name="гидро1" localSheetId="12">#REF!</definedName>
    <definedName name="гидро1" localSheetId="116">#REF!</definedName>
    <definedName name="гидро1" localSheetId="8">#REF!</definedName>
    <definedName name="гидро1" localSheetId="11">#REF!</definedName>
    <definedName name="гидро1" localSheetId="110">#REF!</definedName>
    <definedName name="гидро1" localSheetId="109">#REF!</definedName>
    <definedName name="гидро1" localSheetId="108">#REF!</definedName>
    <definedName name="гидро1" localSheetId="6">#REF!</definedName>
    <definedName name="гидро1" localSheetId="9">#REF!</definedName>
    <definedName name="гидро1" localSheetId="7">#REF!</definedName>
    <definedName name="гидро1" localSheetId="92">#REF!</definedName>
    <definedName name="гидро1" localSheetId="93">#REF!</definedName>
    <definedName name="гидро1" localSheetId="94">#REF!</definedName>
    <definedName name="гидро1" localSheetId="99">#REF!</definedName>
    <definedName name="гидро1" localSheetId="100">#REF!</definedName>
    <definedName name="гидро1" localSheetId="106">#REF!</definedName>
    <definedName name="гидро1">#REF!</definedName>
    <definedName name="гидро1_1" localSheetId="10">#REF!</definedName>
    <definedName name="гидро1_1" localSheetId="9">#REF!</definedName>
    <definedName name="гидро1_1">#REF!</definedName>
    <definedName name="гидрол" localSheetId="10">#REF!</definedName>
    <definedName name="гидрол" localSheetId="12">#REF!</definedName>
    <definedName name="гидрол" localSheetId="116">#REF!</definedName>
    <definedName name="гидрол" localSheetId="110">#REF!</definedName>
    <definedName name="гидрол" localSheetId="109">#REF!</definedName>
    <definedName name="гидрол" localSheetId="108">#REF!</definedName>
    <definedName name="гидрол" localSheetId="9">#REF!</definedName>
    <definedName name="гидрол" localSheetId="92">#REF!</definedName>
    <definedName name="гидрол" localSheetId="93">#REF!</definedName>
    <definedName name="гидрол" localSheetId="94">#REF!</definedName>
    <definedName name="гидрол" localSheetId="99">#REF!</definedName>
    <definedName name="гидрол" localSheetId="100">#REF!</definedName>
    <definedName name="гидрол" localSheetId="106">#REF!</definedName>
    <definedName name="гидрол">#REF!</definedName>
    <definedName name="Гидролог" localSheetId="10">#REF!</definedName>
    <definedName name="Гидролог" localSheetId="12">#REF!</definedName>
    <definedName name="Гидролог" localSheetId="116">#REF!</definedName>
    <definedName name="Гидролог" localSheetId="110">#REF!</definedName>
    <definedName name="Гидролог" localSheetId="109">#REF!</definedName>
    <definedName name="Гидролог" localSheetId="108">#REF!</definedName>
    <definedName name="Гидролог" localSheetId="9">#REF!</definedName>
    <definedName name="Гидролог" localSheetId="92">#REF!</definedName>
    <definedName name="Гидролог" localSheetId="93">#REF!</definedName>
    <definedName name="Гидролог" localSheetId="94">#REF!</definedName>
    <definedName name="Гидролог" localSheetId="99">#REF!</definedName>
    <definedName name="Гидролог" localSheetId="100">#REF!</definedName>
    <definedName name="Гидролог" localSheetId="106">#REF!</definedName>
    <definedName name="Гидролог">#REF!</definedName>
    <definedName name="гидролог_1" localSheetId="10">#REF!</definedName>
    <definedName name="гидролог_1" localSheetId="9">#REF!</definedName>
    <definedName name="гидролог_1">#REF!</definedName>
    <definedName name="Гидрология_7.03.08" localSheetId="10">[7]топография!#REF!</definedName>
    <definedName name="Гидрология_7.03.08" localSheetId="12">[7]топография!#REF!</definedName>
    <definedName name="Гидрология_7.03.08" localSheetId="116">[7]топография!#REF!</definedName>
    <definedName name="Гидрология_7.03.08" localSheetId="110">[7]топография!#REF!</definedName>
    <definedName name="Гидрология_7.03.08" localSheetId="109">[7]топография!#REF!</definedName>
    <definedName name="Гидрология_7.03.08" localSheetId="108">[7]топография!#REF!</definedName>
    <definedName name="Гидрология_7.03.08" localSheetId="9">[7]топография!#REF!</definedName>
    <definedName name="Гидрология_7.03.08" localSheetId="92">[7]топография!#REF!</definedName>
    <definedName name="Гидрология_7.03.08" localSheetId="93">[7]топография!#REF!</definedName>
    <definedName name="Гидрология_7.03.08" localSheetId="94">[7]топография!#REF!</definedName>
    <definedName name="Гидрология_7.03.08" localSheetId="99">[7]топография!#REF!</definedName>
    <definedName name="Гидрология_7.03.08" localSheetId="100">[7]топография!#REF!</definedName>
    <definedName name="Гидрология_7.03.08" localSheetId="106">[7]топография!#REF!</definedName>
    <definedName name="Гидрология_7.03.08">[7]топография!#REF!</definedName>
    <definedName name="ГИП" localSheetId="10">#REF!</definedName>
    <definedName name="ГИП" localSheetId="12">#REF!</definedName>
    <definedName name="ГИП" localSheetId="116">#REF!</definedName>
    <definedName name="ГИП" localSheetId="8">#REF!</definedName>
    <definedName name="ГИП" localSheetId="11">#REF!</definedName>
    <definedName name="ГИП" localSheetId="110">#REF!</definedName>
    <definedName name="ГИП" localSheetId="109">#REF!</definedName>
    <definedName name="ГИП" localSheetId="108">#REF!</definedName>
    <definedName name="ГИП" localSheetId="6">#REF!</definedName>
    <definedName name="ГИП" localSheetId="9">#REF!</definedName>
    <definedName name="ГИП" localSheetId="7">#REF!</definedName>
    <definedName name="ГИП" localSheetId="92">#REF!</definedName>
    <definedName name="ГИП" localSheetId="93">#REF!</definedName>
    <definedName name="ГИП" localSheetId="94">#REF!</definedName>
    <definedName name="ГИП" localSheetId="99">#REF!</definedName>
    <definedName name="ГИП" localSheetId="100">#REF!</definedName>
    <definedName name="ГИП" localSheetId="106">#REF!</definedName>
    <definedName name="ГИП">#REF!</definedName>
    <definedName name="ГИП_1" localSheetId="10">#REF!</definedName>
    <definedName name="ГИП_1" localSheetId="9">#REF!</definedName>
    <definedName name="ГИП_1">#REF!</definedName>
    <definedName name="глрп" localSheetId="10">#REF!</definedName>
    <definedName name="глрп" localSheetId="9">#REF!</definedName>
    <definedName name="глрп">#REF!</definedName>
    <definedName name="гном" localSheetId="10">#REF!</definedName>
    <definedName name="гном" localSheetId="9">#REF!</definedName>
    <definedName name="гном">#REF!</definedName>
    <definedName name="гор" localSheetId="10">#REF!</definedName>
    <definedName name="гор" localSheetId="9">#REF!</definedName>
    <definedName name="гор">#REF!</definedName>
    <definedName name="город" localSheetId="10">#REF!</definedName>
    <definedName name="город" localSheetId="12">#REF!</definedName>
    <definedName name="город" localSheetId="116">#REF!</definedName>
    <definedName name="город" localSheetId="110">#REF!</definedName>
    <definedName name="город" localSheetId="109">#REF!</definedName>
    <definedName name="город" localSheetId="108">#REF!</definedName>
    <definedName name="город" localSheetId="9">#REF!</definedName>
    <definedName name="город" localSheetId="92">#REF!</definedName>
    <definedName name="город" localSheetId="93">#REF!</definedName>
    <definedName name="город" localSheetId="94">#REF!</definedName>
    <definedName name="город" localSheetId="99">#REF!</definedName>
    <definedName name="город" localSheetId="100">#REF!</definedName>
    <definedName name="город" localSheetId="106">#REF!</definedName>
    <definedName name="город">#REF!</definedName>
    <definedName name="город_49" localSheetId="10">#REF!</definedName>
    <definedName name="город_49" localSheetId="12">#REF!</definedName>
    <definedName name="город_49" localSheetId="116">#REF!</definedName>
    <definedName name="город_49" localSheetId="110">#REF!</definedName>
    <definedName name="город_49" localSheetId="109">#REF!</definedName>
    <definedName name="город_49" localSheetId="108">#REF!</definedName>
    <definedName name="город_49" localSheetId="9">#REF!</definedName>
    <definedName name="город_49" localSheetId="92">#REF!</definedName>
    <definedName name="город_49" localSheetId="93">#REF!</definedName>
    <definedName name="город_49" localSheetId="94">#REF!</definedName>
    <definedName name="город_49" localSheetId="99">#REF!</definedName>
    <definedName name="город_49" localSheetId="100">#REF!</definedName>
    <definedName name="город_49" localSheetId="106">#REF!</definedName>
    <definedName name="город_49">#REF!</definedName>
    <definedName name="город_50" localSheetId="10">#REF!</definedName>
    <definedName name="город_50" localSheetId="12">#REF!</definedName>
    <definedName name="город_50" localSheetId="110">#REF!</definedName>
    <definedName name="город_50" localSheetId="9">#REF!</definedName>
    <definedName name="город_50">#REF!</definedName>
    <definedName name="город_51" localSheetId="10">#REF!</definedName>
    <definedName name="город_51" localSheetId="12">#REF!</definedName>
    <definedName name="город_51" localSheetId="110">#REF!</definedName>
    <definedName name="город_51" localSheetId="9">#REF!</definedName>
    <definedName name="город_51">#REF!</definedName>
    <definedName name="город_52" localSheetId="10">#REF!</definedName>
    <definedName name="город_52" localSheetId="12">#REF!</definedName>
    <definedName name="город_52" localSheetId="110">#REF!</definedName>
    <definedName name="город_52" localSheetId="9">#REF!</definedName>
    <definedName name="город_52">#REF!</definedName>
    <definedName name="город_53" localSheetId="10">#REF!</definedName>
    <definedName name="город_53" localSheetId="12">#REF!</definedName>
    <definedName name="город_53" localSheetId="110">#REF!</definedName>
    <definedName name="город_53" localSheetId="9">#REF!</definedName>
    <definedName name="город_53">#REF!</definedName>
    <definedName name="город_54" localSheetId="10">#REF!</definedName>
    <definedName name="город_54" localSheetId="12">#REF!</definedName>
    <definedName name="город_54" localSheetId="110">#REF!</definedName>
    <definedName name="город_54" localSheetId="9">#REF!</definedName>
    <definedName name="город_54">#REF!</definedName>
    <definedName name="гпдш" localSheetId="10">#REF!</definedName>
    <definedName name="гпдш" localSheetId="9">#REF!</definedName>
    <definedName name="гпдш">#REF!</definedName>
    <definedName name="гпшд" localSheetId="10">#REF!</definedName>
    <definedName name="гпшд" localSheetId="9">#REF!</definedName>
    <definedName name="гпшд">#REF!</definedName>
    <definedName name="ГРП" localSheetId="10">#REF!</definedName>
    <definedName name="ГРП" localSheetId="12">#REF!</definedName>
    <definedName name="ГРП" localSheetId="112">#REF!</definedName>
    <definedName name="ГРП" localSheetId="113">#REF!</definedName>
    <definedName name="ГРП" localSheetId="115">#REF!</definedName>
    <definedName name="ГРП" localSheetId="116">#REF!</definedName>
    <definedName name="ГРП" localSheetId="110">#REF!</definedName>
    <definedName name="ГРП" localSheetId="9">#REF!</definedName>
    <definedName name="ГРП">#REF!</definedName>
    <definedName name="ГРП1" localSheetId="10">#REF!</definedName>
    <definedName name="ГРП1" localSheetId="12">#REF!</definedName>
    <definedName name="ГРП1" localSheetId="112">#REF!</definedName>
    <definedName name="ГРП1" localSheetId="113">#REF!</definedName>
    <definedName name="ГРП1" localSheetId="115">#REF!</definedName>
    <definedName name="ГРП1" localSheetId="116">#REF!</definedName>
    <definedName name="ГРП1" localSheetId="110">#REF!</definedName>
    <definedName name="ГРП1" localSheetId="9">#REF!</definedName>
    <definedName name="ГРП1">#REF!</definedName>
    <definedName name="ГС_Итог.БИМ.ВетикальныеСтроки2020" localSheetId="10">#REF!</definedName>
    <definedName name="ГС_Итог.БИМ.ВетикальныеСтроки2020" localSheetId="12">#REF!</definedName>
    <definedName name="ГС_Итог.БИМ.ВетикальныеСтроки2020" localSheetId="9">#REF!</definedName>
    <definedName name="ГС_Итог.БИМ.ВетикальныеСтроки2020" localSheetId="92">#REF!</definedName>
    <definedName name="ГС_Итог.БИМ.ВетикальныеСтроки2020" localSheetId="93">#REF!</definedName>
    <definedName name="ГС_Итог.БИМ.ВетикальныеСтроки2020" localSheetId="94">#REF!</definedName>
    <definedName name="ГС_Итог.БИМ.ВетикальныеСтроки2020" localSheetId="99">#REF!</definedName>
    <definedName name="ГС_Итог.БИМ.ВетикальныеСтроки2020" localSheetId="100">#REF!</definedName>
    <definedName name="ГС_Итог.БИМ.ВетикальныеСтроки2020" localSheetId="106">#REF!</definedName>
    <definedName name="ГС_Итог.БИМ.ВетикальныеСтроки2020" localSheetId="120">#REF!</definedName>
    <definedName name="ГС_Итог.БИМ.ВетикальныеСтроки2020">#REF!</definedName>
    <definedName name="ГС_Коэффициенты2020" localSheetId="10">#REF!:#REF!</definedName>
    <definedName name="ГС_Коэффициенты2020" localSheetId="12">#REF!:#REF!</definedName>
    <definedName name="ГС_Коэффициенты2020" localSheetId="111">#REF!:#REF!</definedName>
    <definedName name="ГС_Коэффициенты2020" localSheetId="112">#REF!:#REF!</definedName>
    <definedName name="ГС_Коэффициенты2020" localSheetId="113">#REF!:#REF!</definedName>
    <definedName name="ГС_Коэффициенты2020" localSheetId="114">#REF!:#REF!</definedName>
    <definedName name="ГС_Коэффициенты2020" localSheetId="115">#REF!:#REF!</definedName>
    <definedName name="ГС_Коэффициенты2020" localSheetId="116">#REF!:#REF!</definedName>
    <definedName name="ГС_Коэффициенты2020" localSheetId="117">#REF!:#REF!</definedName>
    <definedName name="ГС_Коэффициенты2020" localSheetId="118">#REF!:#REF!</definedName>
    <definedName name="ГС_Коэффициенты2020" localSheetId="121">#REF!:#REF!</definedName>
    <definedName name="ГС_Коэффициенты2020" localSheetId="122">#REF!:#REF!</definedName>
    <definedName name="ГС_Коэффициенты2020" localSheetId="110">#REF!:#REF!</definedName>
    <definedName name="ГС_Коэффициенты2020" localSheetId="109">#REF!:#REF!</definedName>
    <definedName name="ГС_Коэффициенты2020" localSheetId="108">#REF!:#REF!</definedName>
    <definedName name="ГС_Коэффициенты2020" localSheetId="9">#REF!:#REF!</definedName>
    <definedName name="ГС_Коэффициенты2020" localSheetId="92">#REF!:#REF!</definedName>
    <definedName name="ГС_Коэффициенты2020" localSheetId="93">#REF!:#REF!</definedName>
    <definedName name="ГС_Коэффициенты2020" localSheetId="94">#REF!:#REF!</definedName>
    <definedName name="ГС_Коэффициенты2020" localSheetId="99">#REF!:#REF!</definedName>
    <definedName name="ГС_Коэффициенты2020" localSheetId="100">#REF!:#REF!</definedName>
    <definedName name="ГС_Коэффициенты2020" localSheetId="106">#REF!:#REF!</definedName>
    <definedName name="ГС_Коэффициенты2020" localSheetId="120">#REF!:#REF!</definedName>
    <definedName name="ГС_Коэффициенты2020">#REF!:#REF!</definedName>
    <definedName name="ГС_Разделы" localSheetId="10">#REF!:#REF!</definedName>
    <definedName name="ГС_Разделы" localSheetId="12">#REF!:#REF!</definedName>
    <definedName name="ГС_Разделы" localSheetId="111">#REF!:#REF!</definedName>
    <definedName name="ГС_Разделы" localSheetId="112">#REF!:#REF!</definedName>
    <definedName name="ГС_Разделы" localSheetId="113">#REF!:#REF!</definedName>
    <definedName name="ГС_Разделы" localSheetId="114">#REF!:#REF!</definedName>
    <definedName name="ГС_Разделы" localSheetId="115">#REF!:#REF!</definedName>
    <definedName name="ГС_Разделы" localSheetId="116">#REF!:#REF!</definedName>
    <definedName name="ГС_Разделы" localSheetId="117">#REF!:#REF!</definedName>
    <definedName name="ГС_Разделы" localSheetId="118">#REF!:#REF!</definedName>
    <definedName name="ГС_Разделы" localSheetId="121">#REF!:#REF!</definedName>
    <definedName name="ГС_Разделы" localSheetId="122">#REF!:#REF!</definedName>
    <definedName name="ГС_Разделы" localSheetId="110">#REF!:#REF!</definedName>
    <definedName name="ГС_Разделы" localSheetId="109">#REF!:#REF!</definedName>
    <definedName name="ГС_Разделы" localSheetId="108">#REF!:#REF!</definedName>
    <definedName name="ГС_Разделы" localSheetId="9">#REF!:#REF!</definedName>
    <definedName name="ГС_Разделы" localSheetId="92">#REF!:#REF!</definedName>
    <definedName name="ГС_Разделы" localSheetId="93">#REF!:#REF!</definedName>
    <definedName name="ГС_Разделы" localSheetId="94">#REF!:#REF!</definedName>
    <definedName name="ГС_Разделы" localSheetId="99">#REF!:#REF!</definedName>
    <definedName name="ГС_Разделы" localSheetId="100">#REF!:#REF!</definedName>
    <definedName name="ГС_Разделы" localSheetId="106">#REF!:#REF!</definedName>
    <definedName name="ГС_Разделы" localSheetId="120">#REF!:#REF!</definedName>
    <definedName name="ГС_Разделы">#REF!:#REF!</definedName>
    <definedName name="ГС_Строки\ТипСтроки_Позиция" localSheetId="10">#REF!:#REF!</definedName>
    <definedName name="ГС_Строки\ТипСтроки_Позиция" localSheetId="12">#REF!:#REF!</definedName>
    <definedName name="ГС_Строки\ТипСтроки_Позиция" localSheetId="111">#REF!:#REF!</definedName>
    <definedName name="ГС_Строки\ТипСтроки_Позиция" localSheetId="112">#REF!:#REF!</definedName>
    <definedName name="ГС_Строки\ТипСтроки_Позиция" localSheetId="113">#REF!:#REF!</definedName>
    <definedName name="ГС_Строки\ТипСтроки_Позиция" localSheetId="114">#REF!:#REF!</definedName>
    <definedName name="ГС_Строки\ТипСтроки_Позиция" localSheetId="115">#REF!:#REF!</definedName>
    <definedName name="ГС_Строки\ТипСтроки_Позиция" localSheetId="116">#REF!:#REF!</definedName>
    <definedName name="ГС_Строки\ТипСтроки_Позиция" localSheetId="117">#REF!:#REF!</definedName>
    <definedName name="ГС_Строки\ТипСтроки_Позиция" localSheetId="118">#REF!:#REF!</definedName>
    <definedName name="ГС_Строки\ТипСтроки_Позиция" localSheetId="121">#REF!:#REF!</definedName>
    <definedName name="ГС_Строки\ТипСтроки_Позиция" localSheetId="122">#REF!:#REF!</definedName>
    <definedName name="ГС_Строки\ТипСтроки_Позиция" localSheetId="110">#REF!:#REF!</definedName>
    <definedName name="ГС_Строки\ТипСтроки_Позиция" localSheetId="109">#REF!:#REF!</definedName>
    <definedName name="ГС_Строки\ТипСтроки_Позиция" localSheetId="108">#REF!:#REF!</definedName>
    <definedName name="ГС_Строки\ТипСтроки_Позиция" localSheetId="9">#REF!:#REF!</definedName>
    <definedName name="ГС_Строки\ТипСтроки_Позиция" localSheetId="92">#REF!:#REF!</definedName>
    <definedName name="ГС_Строки\ТипСтроки_Позиция" localSheetId="93">#REF!:#REF!</definedName>
    <definedName name="ГС_Строки\ТипСтроки_Позиция" localSheetId="94">#REF!:#REF!</definedName>
    <definedName name="ГС_Строки\ТипСтроки_Позиция" localSheetId="99">#REF!:#REF!</definedName>
    <definedName name="ГС_Строки\ТипСтроки_Позиция" localSheetId="100">#REF!:#REF!</definedName>
    <definedName name="ГС_Строки\ТипСтроки_Позиция" localSheetId="106">#REF!:#REF!</definedName>
    <definedName name="ГС_Строки\ТипСтроки_Позиция" localSheetId="120">#REF!:#REF!</definedName>
    <definedName name="ГС_Строки\ТипСтроки_Позиция">#REF!:#REF!</definedName>
    <definedName name="гш" localSheetId="10">#REF!</definedName>
    <definedName name="гш" localSheetId="9">#REF!</definedName>
    <definedName name="гш">#REF!</definedName>
    <definedName name="гшд" localSheetId="10">#REF!</definedName>
    <definedName name="гшд" localSheetId="9">#REF!</definedName>
    <definedName name="гшд">#REF!</definedName>
    <definedName name="гшн" localSheetId="10">#REF!</definedName>
    <definedName name="гшн" localSheetId="9">#REF!</definedName>
    <definedName name="гшн">#REF!</definedName>
    <definedName name="гшпшщ" localSheetId="10">[43]топография!#REF!</definedName>
    <definedName name="гшпшщ" localSheetId="9">[43]топография!#REF!</definedName>
    <definedName name="гшпшщ">[43]топография!#REF!</definedName>
    <definedName name="гшшг">NA()</definedName>
    <definedName name="Д" localSheetId="10">#REF!</definedName>
    <definedName name="Д" localSheetId="9">#REF!</definedName>
    <definedName name="Д">#REF!</definedName>
    <definedName name="д1" localSheetId="10">#REF!</definedName>
    <definedName name="д1" localSheetId="12">#REF!</definedName>
    <definedName name="д1" localSheetId="112">#REF!</definedName>
    <definedName name="д1" localSheetId="113">#REF!</definedName>
    <definedName name="д1" localSheetId="115">#REF!</definedName>
    <definedName name="д1" localSheetId="116">#REF!</definedName>
    <definedName name="д1" localSheetId="8">#REF!</definedName>
    <definedName name="д1" localSheetId="11">#REF!</definedName>
    <definedName name="д1" localSheetId="110">#REF!</definedName>
    <definedName name="д1" localSheetId="6">#REF!</definedName>
    <definedName name="д1" localSheetId="9">#REF!</definedName>
    <definedName name="д1" localSheetId="7">#REF!</definedName>
    <definedName name="д1" localSheetId="92">#REF!</definedName>
    <definedName name="д1" localSheetId="93">#REF!</definedName>
    <definedName name="д1" localSheetId="94">#REF!</definedName>
    <definedName name="д1" localSheetId="99">#REF!</definedName>
    <definedName name="д1" localSheetId="100">#REF!</definedName>
    <definedName name="д1" localSheetId="106">#REF!</definedName>
    <definedName name="д1" localSheetId="4">#REF!</definedName>
    <definedName name="д1" localSheetId="13">#REF!</definedName>
    <definedName name="д1">#REF!</definedName>
    <definedName name="д10" localSheetId="10">#REF!</definedName>
    <definedName name="д10" localSheetId="12">#REF!</definedName>
    <definedName name="д10" localSheetId="116">#REF!</definedName>
    <definedName name="д10" localSheetId="8">#REF!</definedName>
    <definedName name="д10" localSheetId="11">#REF!</definedName>
    <definedName name="д10" localSheetId="110">#REF!</definedName>
    <definedName name="д10" localSheetId="6">#REF!</definedName>
    <definedName name="д10" localSheetId="9">#REF!</definedName>
    <definedName name="д10" localSheetId="7">#REF!</definedName>
    <definedName name="д10" localSheetId="92">#REF!</definedName>
    <definedName name="д10" localSheetId="93">#REF!</definedName>
    <definedName name="д10" localSheetId="94">#REF!</definedName>
    <definedName name="д10" localSheetId="99">#REF!</definedName>
    <definedName name="д10" localSheetId="100">#REF!</definedName>
    <definedName name="д10" localSheetId="106">#REF!</definedName>
    <definedName name="д10">#REF!</definedName>
    <definedName name="д2" localSheetId="10">#REF!</definedName>
    <definedName name="д2" localSheetId="12">#REF!</definedName>
    <definedName name="д2" localSheetId="110">#REF!</definedName>
    <definedName name="д2" localSheetId="9">#REF!</definedName>
    <definedName name="д2" localSheetId="92">#REF!</definedName>
    <definedName name="д2" localSheetId="93">#REF!</definedName>
    <definedName name="д2" localSheetId="94">#REF!</definedName>
    <definedName name="д2" localSheetId="99">#REF!</definedName>
    <definedName name="д2" localSheetId="100">#REF!</definedName>
    <definedName name="д2" localSheetId="106">#REF!</definedName>
    <definedName name="д2">#REF!</definedName>
    <definedName name="д3" localSheetId="10">#REF!</definedName>
    <definedName name="д3" localSheetId="12">#REF!</definedName>
    <definedName name="д3" localSheetId="110">#REF!</definedName>
    <definedName name="д3" localSheetId="9">#REF!</definedName>
    <definedName name="д3">#REF!</definedName>
    <definedName name="д4" localSheetId="10">#REF!</definedName>
    <definedName name="д4" localSheetId="12">#REF!</definedName>
    <definedName name="д4" localSheetId="110">#REF!</definedName>
    <definedName name="д4" localSheetId="9">#REF!</definedName>
    <definedName name="д4">#REF!</definedName>
    <definedName name="д5" localSheetId="10">#REF!</definedName>
    <definedName name="д5" localSheetId="12">#REF!</definedName>
    <definedName name="д5" localSheetId="110">#REF!</definedName>
    <definedName name="д5" localSheetId="9">#REF!</definedName>
    <definedName name="д5">#REF!</definedName>
    <definedName name="д6" localSheetId="10">#REF!</definedName>
    <definedName name="д6" localSheetId="12">#REF!</definedName>
    <definedName name="д6" localSheetId="110">#REF!</definedName>
    <definedName name="д6" localSheetId="9">#REF!</definedName>
    <definedName name="д6">#REF!</definedName>
    <definedName name="д7" localSheetId="10">#REF!</definedName>
    <definedName name="д7" localSheetId="12">#REF!</definedName>
    <definedName name="д7" localSheetId="110">#REF!</definedName>
    <definedName name="д7" localSheetId="9">#REF!</definedName>
    <definedName name="д7">#REF!</definedName>
    <definedName name="д8" localSheetId="10">#REF!</definedName>
    <definedName name="д8" localSheetId="12">#REF!</definedName>
    <definedName name="д8" localSheetId="110">#REF!</definedName>
    <definedName name="д8" localSheetId="9">#REF!</definedName>
    <definedName name="д8">#REF!</definedName>
    <definedName name="д9" localSheetId="10">#REF!</definedName>
    <definedName name="д9" localSheetId="12">#REF!</definedName>
    <definedName name="д9" localSheetId="110">#REF!</definedName>
    <definedName name="д9" localSheetId="9">#REF!</definedName>
    <definedName name="д9">#REF!</definedName>
    <definedName name="дан" localSheetId="10">#REF!</definedName>
    <definedName name="дан" localSheetId="9">#REF!</definedName>
    <definedName name="дан">#REF!</definedName>
    <definedName name="Дата_изменения_группы_строек" localSheetId="10">#REF!</definedName>
    <definedName name="Дата_изменения_группы_строек" localSheetId="9">#REF!</definedName>
    <definedName name="Дата_изменения_группы_строек">#REF!</definedName>
    <definedName name="Дата_изменения_локальной_сметы" localSheetId="10">#REF!</definedName>
    <definedName name="Дата_изменения_локальной_сметы" localSheetId="9">#REF!</definedName>
    <definedName name="Дата_изменения_локальной_сметы">#REF!</definedName>
    <definedName name="Дата_изменения_объекта" localSheetId="10">#REF!</definedName>
    <definedName name="Дата_изменения_объекта" localSheetId="9">#REF!</definedName>
    <definedName name="Дата_изменения_объекта">#REF!</definedName>
    <definedName name="Дата_изменения_объектной_сметы" localSheetId="10">#REF!</definedName>
    <definedName name="Дата_изменения_объектной_сметы" localSheetId="9">#REF!</definedName>
    <definedName name="Дата_изменения_объектной_сметы">#REF!</definedName>
    <definedName name="Дата_изменения_очереди" localSheetId="10">#REF!</definedName>
    <definedName name="Дата_изменения_очереди" localSheetId="9">#REF!</definedName>
    <definedName name="Дата_изменения_очереди">#REF!</definedName>
    <definedName name="Дата_изменения_пускового_комплекса" localSheetId="10">#REF!</definedName>
    <definedName name="Дата_изменения_пускового_комплекса" localSheetId="9">#REF!</definedName>
    <definedName name="Дата_изменения_пускового_комплекса">#REF!</definedName>
    <definedName name="Дата_изменения_сводного_сметного_расчета" localSheetId="10">#REF!</definedName>
    <definedName name="Дата_изменения_сводного_сметного_расчета" localSheetId="9">#REF!</definedName>
    <definedName name="Дата_изменения_сводного_сметного_расчета">#REF!</definedName>
    <definedName name="Дата_изменения_стройки" localSheetId="10">#REF!</definedName>
    <definedName name="Дата_изменения_стройки" localSheetId="9">#REF!</definedName>
    <definedName name="Дата_изменения_стройки">#REF!</definedName>
    <definedName name="Дата_создания_группы_строек" localSheetId="10">#REF!</definedName>
    <definedName name="Дата_создания_группы_строек" localSheetId="9">#REF!</definedName>
    <definedName name="Дата_создания_группы_строек">#REF!</definedName>
    <definedName name="Дата_создания_локальной_сметы" localSheetId="10">#REF!</definedName>
    <definedName name="Дата_создания_локальной_сметы" localSheetId="9">#REF!</definedName>
    <definedName name="Дата_создания_локальной_сметы">#REF!</definedName>
    <definedName name="Дата_создания_объекта" localSheetId="10">#REF!</definedName>
    <definedName name="Дата_создания_объекта" localSheetId="9">#REF!</definedName>
    <definedName name="Дата_создания_объекта">#REF!</definedName>
    <definedName name="Дата_создания_объектной_сметы" localSheetId="10">#REF!</definedName>
    <definedName name="Дата_создания_объектной_сметы" localSheetId="9">#REF!</definedName>
    <definedName name="Дата_создания_объектной_сметы">#REF!</definedName>
    <definedName name="Дата_создания_очереди" localSheetId="10">#REF!</definedName>
    <definedName name="Дата_создания_очереди" localSheetId="9">#REF!</definedName>
    <definedName name="Дата_создания_очереди">#REF!</definedName>
    <definedName name="Дата_создания_пускового_комплекса" localSheetId="10">#REF!</definedName>
    <definedName name="Дата_создания_пускового_комплекса" localSheetId="9">#REF!</definedName>
    <definedName name="Дата_создания_пускового_комплекса">#REF!</definedName>
    <definedName name="Дата_создания_сводного_сметного_расчета" localSheetId="10">#REF!</definedName>
    <definedName name="Дата_создания_сводного_сметного_расчета" localSheetId="9">#REF!</definedName>
    <definedName name="Дата_создания_сводного_сметного_расчета">#REF!</definedName>
    <definedName name="Дата_создания_стройки" localSheetId="10">#REF!</definedName>
    <definedName name="Дата_создания_стройки" localSheetId="9">#REF!</definedName>
    <definedName name="Дата_создания_стройки">#REF!</definedName>
    <definedName name="дд" localSheetId="10">[44]Смета!#REF!</definedName>
    <definedName name="дд" localSheetId="12">[44]Смета!#REF!</definedName>
    <definedName name="дд" localSheetId="110">[44]Смета!#REF!</definedName>
    <definedName name="дд" localSheetId="9">[44]Смета!#REF!</definedName>
    <definedName name="дд">[44]Смета!#REF!</definedName>
    <definedName name="ддддд" localSheetId="10">#REF!</definedName>
    <definedName name="ддддд" localSheetId="12">#REF!</definedName>
    <definedName name="ддддд" localSheetId="116">#REF!</definedName>
    <definedName name="ддддд" localSheetId="8">#REF!</definedName>
    <definedName name="ддддд" localSheetId="11">#REF!</definedName>
    <definedName name="ддддд" localSheetId="110">#REF!</definedName>
    <definedName name="ддддд" localSheetId="109">#REF!</definedName>
    <definedName name="ддддд" localSheetId="108">#REF!</definedName>
    <definedName name="ддддд" localSheetId="6">#REF!</definedName>
    <definedName name="ддддд" localSheetId="9">#REF!</definedName>
    <definedName name="ддддд" localSheetId="7">#REF!</definedName>
    <definedName name="ддддд" localSheetId="92">#REF!</definedName>
    <definedName name="ддддд" localSheetId="93">#REF!</definedName>
    <definedName name="ддддд" localSheetId="94">#REF!</definedName>
    <definedName name="ддддд" localSheetId="99">#REF!</definedName>
    <definedName name="ддддд" localSheetId="100">#REF!</definedName>
    <definedName name="ддддд" localSheetId="106">#REF!</definedName>
    <definedName name="ддддд" localSheetId="4">#REF!</definedName>
    <definedName name="ддддд" localSheetId="13">#REF!</definedName>
    <definedName name="ддддд">#REF!</definedName>
    <definedName name="Дельта">[45]DATA!$B$4</definedName>
    <definedName name="десятый" localSheetId="10">#REF!</definedName>
    <definedName name="десятый" localSheetId="9">#REF!</definedName>
    <definedName name="десятый">#REF!</definedName>
    <definedName name="Дефлятор" localSheetId="10">#REF!</definedName>
    <definedName name="Дефлятор" localSheetId="12">#REF!</definedName>
    <definedName name="Дефлятор" localSheetId="116">#REF!</definedName>
    <definedName name="Дефлятор" localSheetId="8">#REF!</definedName>
    <definedName name="Дефлятор" localSheetId="11">#REF!</definedName>
    <definedName name="Дефлятор" localSheetId="110">#REF!</definedName>
    <definedName name="Дефлятор" localSheetId="109">#REF!</definedName>
    <definedName name="Дефлятор" localSheetId="108">#REF!</definedName>
    <definedName name="Дефлятор" localSheetId="6">#REF!</definedName>
    <definedName name="Дефлятор" localSheetId="9">#REF!</definedName>
    <definedName name="Дефлятор" localSheetId="7">#REF!</definedName>
    <definedName name="Дефлятор" localSheetId="92">#REF!</definedName>
    <definedName name="Дефлятор" localSheetId="93">#REF!</definedName>
    <definedName name="Дефлятор" localSheetId="94">#REF!</definedName>
    <definedName name="Дефлятор" localSheetId="99">#REF!</definedName>
    <definedName name="Дефлятор" localSheetId="100">#REF!</definedName>
    <definedName name="Дефлятор" localSheetId="106">#REF!</definedName>
    <definedName name="Дефлятор" localSheetId="4">#REF!</definedName>
    <definedName name="Дефлятор" localSheetId="13">#REF!</definedName>
    <definedName name="Дефлятор">#REF!</definedName>
    <definedName name="Дефлятор_1" localSheetId="10">#REF!</definedName>
    <definedName name="Дефлятор_1" localSheetId="9">#REF!</definedName>
    <definedName name="Дефлятор_1">#REF!</definedName>
    <definedName name="дж">[26]Вспомогательный!$D$36</definedName>
    <definedName name="дж1">[26]Вспомогательный!$D$38</definedName>
    <definedName name="джож" localSheetId="10">'[22]Пример расчета'!#REF!</definedName>
    <definedName name="джож" localSheetId="9">'[22]Пример расчета'!#REF!</definedName>
    <definedName name="джож">'[22]Пример расчета'!#REF!</definedName>
    <definedName name="джэ" localSheetId="10" hidden="1">{#N/A,#N/A,TRUE,"Смета на пасс. обор. №1"}</definedName>
    <definedName name="джэ" localSheetId="12" hidden="1">{#N/A,#N/A,TRUE,"Смета на пасс. обор. №1"}</definedName>
    <definedName name="джэ" localSheetId="111" hidden="1">{#N/A,#N/A,TRUE,"Смета на пасс. обор. №1"}</definedName>
    <definedName name="джэ" localSheetId="112" hidden="1">{#N/A,#N/A,TRUE,"Смета на пасс. обор. №1"}</definedName>
    <definedName name="джэ" localSheetId="113" hidden="1">{#N/A,#N/A,TRUE,"Смета на пасс. обор. №1"}</definedName>
    <definedName name="джэ" localSheetId="114" hidden="1">{#N/A,#N/A,TRUE,"Смета на пасс. обор. №1"}</definedName>
    <definedName name="джэ" localSheetId="115" hidden="1">{#N/A,#N/A,TRUE,"Смета на пасс. обор. №1"}</definedName>
    <definedName name="джэ" localSheetId="116" hidden="1">{#N/A,#N/A,TRUE,"Смета на пасс. обор. №1"}</definedName>
    <definedName name="джэ" localSheetId="117" hidden="1">{#N/A,#N/A,TRUE,"Смета на пасс. обор. №1"}</definedName>
    <definedName name="джэ" localSheetId="118" hidden="1">{#N/A,#N/A,TRUE,"Смета на пасс. обор. №1"}</definedName>
    <definedName name="джэ" localSheetId="121" hidden="1">{#N/A,#N/A,TRUE,"Смета на пасс. обор. №1"}</definedName>
    <definedName name="джэ" localSheetId="122" hidden="1">{#N/A,#N/A,TRUE,"Смета на пасс. обор. №1"}</definedName>
    <definedName name="джэ" localSheetId="8" hidden="1">{#N/A,#N/A,TRUE,"Смета на пасс. обор. №1"}</definedName>
    <definedName name="джэ" localSheetId="11" hidden="1">{#N/A,#N/A,TRUE,"Смета на пасс. обор. №1"}</definedName>
    <definedName name="джэ" localSheetId="110" hidden="1">{#N/A,#N/A,TRUE,"Смета на пасс. обор. №1"}</definedName>
    <definedName name="джэ" localSheetId="109" hidden="1">{#N/A,#N/A,TRUE,"Смета на пасс. обор. №1"}</definedName>
    <definedName name="джэ" localSheetId="108" hidden="1">{#N/A,#N/A,TRUE,"Смета на пасс. обор. №1"}</definedName>
    <definedName name="джэ" localSheetId="6" hidden="1">{#N/A,#N/A,TRUE,"Смета на пасс. обор. №1"}</definedName>
    <definedName name="джэ" localSheetId="9" hidden="1">{#N/A,#N/A,TRUE,"Смета на пасс. обор. №1"}</definedName>
    <definedName name="джэ" localSheetId="7" hidden="1">{#N/A,#N/A,TRUE,"Смета на пасс. обор. №1"}</definedName>
    <definedName name="джэ" localSheetId="92" hidden="1">{#N/A,#N/A,TRUE,"Смета на пасс. обор. №1"}</definedName>
    <definedName name="джэ" localSheetId="93" hidden="1">{#N/A,#N/A,TRUE,"Смета на пасс. обор. №1"}</definedName>
    <definedName name="джэ" localSheetId="94" hidden="1">{#N/A,#N/A,TRUE,"Смета на пасс. обор. №1"}</definedName>
    <definedName name="джэ" localSheetId="99" hidden="1">{#N/A,#N/A,TRUE,"Смета на пасс. обор. №1"}</definedName>
    <definedName name="джэ" localSheetId="100" hidden="1">{#N/A,#N/A,TRUE,"Смета на пасс. обор. №1"}</definedName>
    <definedName name="джэ" localSheetId="106" hidden="1">{#N/A,#N/A,TRUE,"Смета на пасс. обор. №1"}</definedName>
    <definedName name="джэ" localSheetId="2" hidden="1">{#N/A,#N/A,TRUE,"Смета на пасс. обор. №1"}</definedName>
    <definedName name="джэ" localSheetId="123" hidden="1">{#N/A,#N/A,TRUE,"Смета на пасс. обор. №1"}</definedName>
    <definedName name="джэ" localSheetId="4" hidden="1">{#N/A,#N/A,TRUE,"Смета на пасс. обор. №1"}</definedName>
    <definedName name="джэ" localSheetId="13" hidden="1">{#N/A,#N/A,TRUE,"Смета на пасс. обор. №1"}</definedName>
    <definedName name="джэ" hidden="1">{#N/A,#N/A,TRUE,"Смета на пасс. обор. №1"}</definedName>
    <definedName name="джэ_1" localSheetId="10" hidden="1">{#N/A,#N/A,TRUE,"Смета на пасс. обор. №1"}</definedName>
    <definedName name="джэ_1" localSheetId="12" hidden="1">{#N/A,#N/A,TRUE,"Смета на пасс. обор. №1"}</definedName>
    <definedName name="джэ_1" localSheetId="111" hidden="1">{#N/A,#N/A,TRUE,"Смета на пасс. обор. №1"}</definedName>
    <definedName name="джэ_1" localSheetId="112" hidden="1">{#N/A,#N/A,TRUE,"Смета на пасс. обор. №1"}</definedName>
    <definedName name="джэ_1" localSheetId="113" hidden="1">{#N/A,#N/A,TRUE,"Смета на пасс. обор. №1"}</definedName>
    <definedName name="джэ_1" localSheetId="114" hidden="1">{#N/A,#N/A,TRUE,"Смета на пасс. обор. №1"}</definedName>
    <definedName name="джэ_1" localSheetId="115" hidden="1">{#N/A,#N/A,TRUE,"Смета на пасс. обор. №1"}</definedName>
    <definedName name="джэ_1" localSheetId="116" hidden="1">{#N/A,#N/A,TRUE,"Смета на пасс. обор. №1"}</definedName>
    <definedName name="джэ_1" localSheetId="117" hidden="1">{#N/A,#N/A,TRUE,"Смета на пасс. обор. №1"}</definedName>
    <definedName name="джэ_1" localSheetId="118" hidden="1">{#N/A,#N/A,TRUE,"Смета на пасс. обор. №1"}</definedName>
    <definedName name="джэ_1" localSheetId="121" hidden="1">{#N/A,#N/A,TRUE,"Смета на пасс. обор. №1"}</definedName>
    <definedName name="джэ_1" localSheetId="122" hidden="1">{#N/A,#N/A,TRUE,"Смета на пасс. обор. №1"}</definedName>
    <definedName name="джэ_1" localSheetId="8" hidden="1">{#N/A,#N/A,TRUE,"Смета на пасс. обор. №1"}</definedName>
    <definedName name="джэ_1" localSheetId="11" hidden="1">{#N/A,#N/A,TRUE,"Смета на пасс. обор. №1"}</definedName>
    <definedName name="джэ_1" localSheetId="110" hidden="1">{#N/A,#N/A,TRUE,"Смета на пасс. обор. №1"}</definedName>
    <definedName name="джэ_1" localSheetId="109" hidden="1">{#N/A,#N/A,TRUE,"Смета на пасс. обор. №1"}</definedName>
    <definedName name="джэ_1" localSheetId="108" hidden="1">{#N/A,#N/A,TRUE,"Смета на пасс. обор. №1"}</definedName>
    <definedName name="джэ_1" localSheetId="6" hidden="1">{#N/A,#N/A,TRUE,"Смета на пасс. обор. №1"}</definedName>
    <definedName name="джэ_1" localSheetId="9" hidden="1">{#N/A,#N/A,TRUE,"Смета на пасс. обор. №1"}</definedName>
    <definedName name="джэ_1" localSheetId="7" hidden="1">{#N/A,#N/A,TRUE,"Смета на пасс. обор. №1"}</definedName>
    <definedName name="джэ_1" localSheetId="92" hidden="1">{#N/A,#N/A,TRUE,"Смета на пасс. обор. №1"}</definedName>
    <definedName name="джэ_1" localSheetId="93" hidden="1">{#N/A,#N/A,TRUE,"Смета на пасс. обор. №1"}</definedName>
    <definedName name="джэ_1" localSheetId="94" hidden="1">{#N/A,#N/A,TRUE,"Смета на пасс. обор. №1"}</definedName>
    <definedName name="джэ_1" localSheetId="99" hidden="1">{#N/A,#N/A,TRUE,"Смета на пасс. обор. №1"}</definedName>
    <definedName name="джэ_1" localSheetId="100" hidden="1">{#N/A,#N/A,TRUE,"Смета на пасс. обор. №1"}</definedName>
    <definedName name="джэ_1" localSheetId="106" hidden="1">{#N/A,#N/A,TRUE,"Смета на пасс. обор. №1"}</definedName>
    <definedName name="джэ_1" localSheetId="2" hidden="1">{#N/A,#N/A,TRUE,"Смета на пасс. обор. №1"}</definedName>
    <definedName name="джэ_1" localSheetId="123" hidden="1">{#N/A,#N/A,TRUE,"Смета на пасс. обор. №1"}</definedName>
    <definedName name="джэ_1" localSheetId="4" hidden="1">{#N/A,#N/A,TRUE,"Смета на пасс. обор. №1"}</definedName>
    <definedName name="джэ_1" localSheetId="13" hidden="1">{#N/A,#N/A,TRUE,"Смета на пасс. обор. №1"}</definedName>
    <definedName name="джэ_1" hidden="1">{#N/A,#N/A,TRUE,"Смета на пасс. обор. №1"}</definedName>
    <definedName name="диапазон" localSheetId="10">#REF!</definedName>
    <definedName name="диапазон" localSheetId="9">#REF!</definedName>
    <definedName name="диапазон">#REF!</definedName>
    <definedName name="Диск" localSheetId="10">#REF!</definedName>
    <definedName name="Диск" localSheetId="9">#REF!</definedName>
    <definedName name="Диск">#REF!</definedName>
    <definedName name="дл" localSheetId="10">#REF!</definedName>
    <definedName name="дл" localSheetId="12">#REF!</definedName>
    <definedName name="дл" localSheetId="116">#REF!</definedName>
    <definedName name="дл" localSheetId="8">#REF!</definedName>
    <definedName name="дл" localSheetId="11">#REF!</definedName>
    <definedName name="дл" localSheetId="110">#REF!</definedName>
    <definedName name="дл" localSheetId="109">#REF!</definedName>
    <definedName name="дл" localSheetId="108">#REF!</definedName>
    <definedName name="дл" localSheetId="6">#REF!</definedName>
    <definedName name="дл" localSheetId="9">#REF!</definedName>
    <definedName name="дл" localSheetId="7">#REF!</definedName>
    <definedName name="дл" localSheetId="92">#REF!</definedName>
    <definedName name="дл" localSheetId="93">#REF!</definedName>
    <definedName name="дл" localSheetId="94">#REF!</definedName>
    <definedName name="дл" localSheetId="99">#REF!</definedName>
    <definedName name="дл" localSheetId="100">#REF!</definedName>
    <definedName name="дл" localSheetId="106">#REF!</definedName>
    <definedName name="дл">#REF!</definedName>
    <definedName name="дл_1" localSheetId="10">#REF!</definedName>
    <definedName name="дл_1" localSheetId="12">#REF!</definedName>
    <definedName name="дл_1" localSheetId="116">#REF!</definedName>
    <definedName name="дл_1" localSheetId="110">#REF!</definedName>
    <definedName name="дл_1" localSheetId="109">#REF!</definedName>
    <definedName name="дл_1" localSheetId="108">#REF!</definedName>
    <definedName name="дл_1" localSheetId="9">#REF!</definedName>
    <definedName name="дл_1" localSheetId="92">#REF!</definedName>
    <definedName name="дл_1" localSheetId="93">#REF!</definedName>
    <definedName name="дл_1" localSheetId="94">#REF!</definedName>
    <definedName name="дл_1" localSheetId="99">#REF!</definedName>
    <definedName name="дл_1" localSheetId="100">#REF!</definedName>
    <definedName name="дл_1" localSheetId="106">#REF!</definedName>
    <definedName name="дл_1">#REF!</definedName>
    <definedName name="дл_10" localSheetId="10">#REF!</definedName>
    <definedName name="дл_10" localSheetId="12">#REF!</definedName>
    <definedName name="дл_10" localSheetId="116">#REF!</definedName>
    <definedName name="дл_10" localSheetId="110">#REF!</definedName>
    <definedName name="дл_10" localSheetId="109">#REF!</definedName>
    <definedName name="дл_10" localSheetId="108">#REF!</definedName>
    <definedName name="дл_10" localSheetId="9">#REF!</definedName>
    <definedName name="дл_10" localSheetId="92">#REF!</definedName>
    <definedName name="дл_10" localSheetId="93">#REF!</definedName>
    <definedName name="дл_10" localSheetId="94">#REF!</definedName>
    <definedName name="дл_10" localSheetId="99">#REF!</definedName>
    <definedName name="дл_10" localSheetId="100">#REF!</definedName>
    <definedName name="дл_10" localSheetId="106">#REF!</definedName>
    <definedName name="дл_10">#REF!</definedName>
    <definedName name="дл_11" localSheetId="10">#REF!</definedName>
    <definedName name="дл_11" localSheetId="12">#REF!</definedName>
    <definedName name="дл_11" localSheetId="110">#REF!</definedName>
    <definedName name="дл_11" localSheetId="9">#REF!</definedName>
    <definedName name="дл_11">#REF!</definedName>
    <definedName name="дл_12" localSheetId="10">#REF!</definedName>
    <definedName name="дл_12" localSheetId="12">#REF!</definedName>
    <definedName name="дл_12" localSheetId="110">#REF!</definedName>
    <definedName name="дл_12" localSheetId="9">#REF!</definedName>
    <definedName name="дл_12">#REF!</definedName>
    <definedName name="дл_13" localSheetId="10">#REF!</definedName>
    <definedName name="дл_13" localSheetId="12">#REF!</definedName>
    <definedName name="дл_13" localSheetId="110">#REF!</definedName>
    <definedName name="дл_13" localSheetId="9">#REF!</definedName>
    <definedName name="дл_13">#REF!</definedName>
    <definedName name="дл_14" localSheetId="10">#REF!</definedName>
    <definedName name="дл_14" localSheetId="12">#REF!</definedName>
    <definedName name="дл_14" localSheetId="110">#REF!</definedName>
    <definedName name="дл_14" localSheetId="9">#REF!</definedName>
    <definedName name="дл_14">#REF!</definedName>
    <definedName name="дл_15" localSheetId="10">#REF!</definedName>
    <definedName name="дл_15" localSheetId="12">#REF!</definedName>
    <definedName name="дл_15" localSheetId="110">#REF!</definedName>
    <definedName name="дл_15" localSheetId="9">#REF!</definedName>
    <definedName name="дл_15">#REF!</definedName>
    <definedName name="дл_16" localSheetId="10">#REF!</definedName>
    <definedName name="дл_16" localSheetId="12">#REF!</definedName>
    <definedName name="дл_16" localSheetId="110">#REF!</definedName>
    <definedName name="дл_16" localSheetId="9">#REF!</definedName>
    <definedName name="дл_16">#REF!</definedName>
    <definedName name="дл_17" localSheetId="10">#REF!</definedName>
    <definedName name="дл_17" localSheetId="12">#REF!</definedName>
    <definedName name="дл_17" localSheetId="110">#REF!</definedName>
    <definedName name="дл_17" localSheetId="9">#REF!</definedName>
    <definedName name="дл_17">#REF!</definedName>
    <definedName name="дл_18" localSheetId="10">#REF!</definedName>
    <definedName name="дл_18" localSheetId="12">#REF!</definedName>
    <definedName name="дл_18" localSheetId="110">#REF!</definedName>
    <definedName name="дл_18" localSheetId="9">#REF!</definedName>
    <definedName name="дл_18">#REF!</definedName>
    <definedName name="дл_19" localSheetId="10">#REF!</definedName>
    <definedName name="дл_19" localSheetId="12">#REF!</definedName>
    <definedName name="дл_19" localSheetId="110">#REF!</definedName>
    <definedName name="дл_19" localSheetId="9">#REF!</definedName>
    <definedName name="дл_19">#REF!</definedName>
    <definedName name="дл_2" localSheetId="10">#REF!</definedName>
    <definedName name="дл_2" localSheetId="12">#REF!</definedName>
    <definedName name="дл_2" localSheetId="110">#REF!</definedName>
    <definedName name="дл_2" localSheetId="9">#REF!</definedName>
    <definedName name="дл_2">#REF!</definedName>
    <definedName name="дл_20" localSheetId="10">#REF!</definedName>
    <definedName name="дл_20" localSheetId="12">#REF!</definedName>
    <definedName name="дл_20" localSheetId="110">#REF!</definedName>
    <definedName name="дл_20" localSheetId="9">#REF!</definedName>
    <definedName name="дл_20">#REF!</definedName>
    <definedName name="дл_21" localSheetId="10">#REF!</definedName>
    <definedName name="дл_21" localSheetId="12">#REF!</definedName>
    <definedName name="дл_21" localSheetId="110">#REF!</definedName>
    <definedName name="дл_21" localSheetId="9">#REF!</definedName>
    <definedName name="дл_21">#REF!</definedName>
    <definedName name="дл_49" localSheetId="10">#REF!</definedName>
    <definedName name="дл_49" localSheetId="12">#REF!</definedName>
    <definedName name="дл_49" localSheetId="110">#REF!</definedName>
    <definedName name="дл_49" localSheetId="9">#REF!</definedName>
    <definedName name="дл_49">#REF!</definedName>
    <definedName name="дл_50" localSheetId="10">#REF!</definedName>
    <definedName name="дл_50" localSheetId="12">#REF!</definedName>
    <definedName name="дл_50" localSheetId="110">#REF!</definedName>
    <definedName name="дл_50" localSheetId="9">#REF!</definedName>
    <definedName name="дл_50">#REF!</definedName>
    <definedName name="дл_51" localSheetId="10">#REF!</definedName>
    <definedName name="дл_51" localSheetId="12">#REF!</definedName>
    <definedName name="дл_51" localSheetId="110">#REF!</definedName>
    <definedName name="дл_51" localSheetId="9">#REF!</definedName>
    <definedName name="дл_51">#REF!</definedName>
    <definedName name="дл_52" localSheetId="10">#REF!</definedName>
    <definedName name="дл_52" localSheetId="12">#REF!</definedName>
    <definedName name="дл_52" localSheetId="110">#REF!</definedName>
    <definedName name="дл_52" localSheetId="9">#REF!</definedName>
    <definedName name="дл_52">#REF!</definedName>
    <definedName name="дл_53" localSheetId="10">#REF!</definedName>
    <definedName name="дл_53" localSheetId="12">#REF!</definedName>
    <definedName name="дл_53" localSheetId="110">#REF!</definedName>
    <definedName name="дл_53" localSheetId="9">#REF!</definedName>
    <definedName name="дл_53">#REF!</definedName>
    <definedName name="дл_54" localSheetId="10">#REF!</definedName>
    <definedName name="дл_54" localSheetId="12">#REF!</definedName>
    <definedName name="дл_54" localSheetId="110">#REF!</definedName>
    <definedName name="дл_54" localSheetId="9">#REF!</definedName>
    <definedName name="дл_54">#REF!</definedName>
    <definedName name="дл_6" localSheetId="10">#REF!</definedName>
    <definedName name="дл_6" localSheetId="12">#REF!</definedName>
    <definedName name="дл_6" localSheetId="110">#REF!</definedName>
    <definedName name="дл_6" localSheetId="9">#REF!</definedName>
    <definedName name="дл_6">#REF!</definedName>
    <definedName name="дл_7" localSheetId="10">#REF!</definedName>
    <definedName name="дл_7" localSheetId="12">#REF!</definedName>
    <definedName name="дл_7" localSheetId="110">#REF!</definedName>
    <definedName name="дл_7" localSheetId="9">#REF!</definedName>
    <definedName name="дл_7">#REF!</definedName>
    <definedName name="дл_8" localSheetId="10">#REF!</definedName>
    <definedName name="дл_8" localSheetId="12">#REF!</definedName>
    <definedName name="дл_8" localSheetId="110">#REF!</definedName>
    <definedName name="дл_8" localSheetId="9">#REF!</definedName>
    <definedName name="дл_8">#REF!</definedName>
    <definedName name="дл_9" localSheetId="10">#REF!</definedName>
    <definedName name="дл_9" localSheetId="12">#REF!</definedName>
    <definedName name="дл_9" localSheetId="110">#REF!</definedName>
    <definedName name="дл_9" localSheetId="9">#REF!</definedName>
    <definedName name="дл_9">#REF!</definedName>
    <definedName name="длдл" localSheetId="10">#REF!</definedName>
    <definedName name="длдл" localSheetId="9">#REF!</definedName>
    <definedName name="длдл">#REF!</definedName>
    <definedName name="Длинна_границы" localSheetId="10">#REF!</definedName>
    <definedName name="Длинна_границы" localSheetId="12">#REF!</definedName>
    <definedName name="Длинна_границы" localSheetId="110">#REF!</definedName>
    <definedName name="Длинна_границы" localSheetId="9">#REF!</definedName>
    <definedName name="Длинна_границы">#REF!</definedName>
    <definedName name="Длинна_границы_1" localSheetId="10">#REF!</definedName>
    <definedName name="Длинна_границы_1" localSheetId="9">#REF!</definedName>
    <definedName name="Длинна_границы_1">#REF!</definedName>
    <definedName name="Длинна_трассы" localSheetId="10">#REF!</definedName>
    <definedName name="Длинна_трассы" localSheetId="12">#REF!</definedName>
    <definedName name="Длинна_трассы" localSheetId="110">#REF!</definedName>
    <definedName name="Длинна_трассы" localSheetId="9">#REF!</definedName>
    <definedName name="Длинна_трассы">#REF!</definedName>
    <definedName name="Длинна_трассы_1" localSheetId="10">#REF!</definedName>
    <definedName name="Длинна_трассы_1" localSheetId="9">#REF!</definedName>
    <definedName name="Длинна_трассы_1">#REF!</definedName>
    <definedName name="ДЛО" localSheetId="10">#REF!</definedName>
    <definedName name="ДЛО" localSheetId="12">#REF!</definedName>
    <definedName name="ДЛО" localSheetId="112">#REF!</definedName>
    <definedName name="ДЛО" localSheetId="113">#REF!</definedName>
    <definedName name="ДЛО" localSheetId="115">#REF!</definedName>
    <definedName name="ДЛО" localSheetId="116">#REF!</definedName>
    <definedName name="ДЛО" localSheetId="110">#REF!</definedName>
    <definedName name="ДЛО" localSheetId="9">#REF!</definedName>
    <definedName name="ДЛО">#REF!</definedName>
    <definedName name="длозщшзщдлжб" localSheetId="10">#REF!</definedName>
    <definedName name="длозщшзщдлжб" localSheetId="9">#REF!</definedName>
    <definedName name="длозщшзщдлжб">#REF!</definedName>
    <definedName name="длолдолд" localSheetId="10">#REF!</definedName>
    <definedName name="длолдолд" localSheetId="9">#REF!</definedName>
    <definedName name="длолдолд">#REF!</definedName>
    <definedName name="длощшл" localSheetId="10">#REF!</definedName>
    <definedName name="длощшл" localSheetId="9">#REF!</definedName>
    <definedName name="длощшл">#REF!</definedName>
    <definedName name="Дн_ставка" localSheetId="10">#REF!</definedName>
    <definedName name="Дн_ставка" localSheetId="9">#REF!</definedName>
    <definedName name="Дн_ставка">#REF!</definedName>
    <definedName name="дна" localSheetId="10">#REF!</definedName>
    <definedName name="дна" localSheetId="9">#REF!</definedName>
    <definedName name="дна">#REF!</definedName>
    <definedName name="Должность">'[46]Прямые расходы'!$C$10:$C$59</definedName>
    <definedName name="ДОЛЛАР" localSheetId="10">#REF!</definedName>
    <definedName name="ДОЛЛАР" localSheetId="9">#REF!</definedName>
    <definedName name="ДОЛЛАР">#REF!</definedName>
    <definedName name="доорп" localSheetId="10">#REF!</definedName>
    <definedName name="доорп" localSheetId="9">#REF!</definedName>
    <definedName name="доорп">#REF!</definedName>
    <definedName name="доп" localSheetId="10" hidden="1">{#N/A,#N/A,TRUE,"Смета на пасс. обор. №1"}</definedName>
    <definedName name="доп" localSheetId="12" hidden="1">{#N/A,#N/A,TRUE,"Смета на пасс. обор. №1"}</definedName>
    <definedName name="доп" localSheetId="111" hidden="1">{#N/A,#N/A,TRUE,"Смета на пасс. обор. №1"}</definedName>
    <definedName name="доп" localSheetId="112" hidden="1">{#N/A,#N/A,TRUE,"Смета на пасс. обор. №1"}</definedName>
    <definedName name="доп" localSheetId="113" hidden="1">{#N/A,#N/A,TRUE,"Смета на пасс. обор. №1"}</definedName>
    <definedName name="доп" localSheetId="114" hidden="1">{#N/A,#N/A,TRUE,"Смета на пасс. обор. №1"}</definedName>
    <definedName name="доп" localSheetId="115" hidden="1">{#N/A,#N/A,TRUE,"Смета на пасс. обор. №1"}</definedName>
    <definedName name="доп" localSheetId="116" hidden="1">{#N/A,#N/A,TRUE,"Смета на пасс. обор. №1"}</definedName>
    <definedName name="доп" localSheetId="117" hidden="1">{#N/A,#N/A,TRUE,"Смета на пасс. обор. №1"}</definedName>
    <definedName name="доп" localSheetId="118" hidden="1">{#N/A,#N/A,TRUE,"Смета на пасс. обор. №1"}</definedName>
    <definedName name="доп" localSheetId="121" hidden="1">{#N/A,#N/A,TRUE,"Смета на пасс. обор. №1"}</definedName>
    <definedName name="доп" localSheetId="122" hidden="1">{#N/A,#N/A,TRUE,"Смета на пасс. обор. №1"}</definedName>
    <definedName name="доп" localSheetId="8" hidden="1">{#N/A,#N/A,TRUE,"Смета на пасс. обор. №1"}</definedName>
    <definedName name="доп" localSheetId="11" hidden="1">{#N/A,#N/A,TRUE,"Смета на пасс. обор. №1"}</definedName>
    <definedName name="доп" localSheetId="110" hidden="1">{#N/A,#N/A,TRUE,"Смета на пасс. обор. №1"}</definedName>
    <definedName name="доп" localSheetId="109" hidden="1">{#N/A,#N/A,TRUE,"Смета на пасс. обор. №1"}</definedName>
    <definedName name="доп" localSheetId="108" hidden="1">{#N/A,#N/A,TRUE,"Смета на пасс. обор. №1"}</definedName>
    <definedName name="доп" localSheetId="6" hidden="1">{#N/A,#N/A,TRUE,"Смета на пасс. обор. №1"}</definedName>
    <definedName name="доп" localSheetId="9" hidden="1">{#N/A,#N/A,TRUE,"Смета на пасс. обор. №1"}</definedName>
    <definedName name="доп" localSheetId="7" hidden="1">{#N/A,#N/A,TRUE,"Смета на пасс. обор. №1"}</definedName>
    <definedName name="доп" localSheetId="92" hidden="1">{#N/A,#N/A,TRUE,"Смета на пасс. обор. №1"}</definedName>
    <definedName name="доп" localSheetId="93" hidden="1">{#N/A,#N/A,TRUE,"Смета на пасс. обор. №1"}</definedName>
    <definedName name="доп" localSheetId="94" hidden="1">{#N/A,#N/A,TRUE,"Смета на пасс. обор. №1"}</definedName>
    <definedName name="доп" localSheetId="99" hidden="1">{#N/A,#N/A,TRUE,"Смета на пасс. обор. №1"}</definedName>
    <definedName name="доп" localSheetId="100" hidden="1">{#N/A,#N/A,TRUE,"Смета на пасс. обор. №1"}</definedName>
    <definedName name="доп" localSheetId="106" hidden="1">{#N/A,#N/A,TRUE,"Смета на пасс. обор. №1"}</definedName>
    <definedName name="доп" localSheetId="2" hidden="1">{#N/A,#N/A,TRUE,"Смета на пасс. обор. №1"}</definedName>
    <definedName name="доп" localSheetId="123" hidden="1">{#N/A,#N/A,TRUE,"Смета на пасс. обор. №1"}</definedName>
    <definedName name="доп" localSheetId="4" hidden="1">{#N/A,#N/A,TRUE,"Смета на пасс. обор. №1"}</definedName>
    <definedName name="доп" localSheetId="13" hidden="1">{#N/A,#N/A,TRUE,"Смета на пасс. обор. №1"}</definedName>
    <definedName name="доп" hidden="1">{#N/A,#N/A,TRUE,"Смета на пасс. обор. №1"}</definedName>
    <definedName name="Доп._оборудование" localSheetId="10">[24]Коэфф1.!#REF!</definedName>
    <definedName name="Доп._оборудование" localSheetId="9">[24]Коэфф1.!#REF!</definedName>
    <definedName name="Доп._оборудование">[24]Коэфф1.!#REF!</definedName>
    <definedName name="Доп._оборудование_1" localSheetId="10">#REF!</definedName>
    <definedName name="Доп._оборудование_1" localSheetId="9">#REF!</definedName>
    <definedName name="Доп._оборудование_1">#REF!</definedName>
    <definedName name="доп_1" localSheetId="10" hidden="1">{#N/A,#N/A,TRUE,"Смета на пасс. обор. №1"}</definedName>
    <definedName name="доп_1" localSheetId="12" hidden="1">{#N/A,#N/A,TRUE,"Смета на пасс. обор. №1"}</definedName>
    <definedName name="доп_1" localSheetId="111" hidden="1">{#N/A,#N/A,TRUE,"Смета на пасс. обор. №1"}</definedName>
    <definedName name="доп_1" localSheetId="112" hidden="1">{#N/A,#N/A,TRUE,"Смета на пасс. обор. №1"}</definedName>
    <definedName name="доп_1" localSheetId="113" hidden="1">{#N/A,#N/A,TRUE,"Смета на пасс. обор. №1"}</definedName>
    <definedName name="доп_1" localSheetId="114" hidden="1">{#N/A,#N/A,TRUE,"Смета на пасс. обор. №1"}</definedName>
    <definedName name="доп_1" localSheetId="115" hidden="1">{#N/A,#N/A,TRUE,"Смета на пасс. обор. №1"}</definedName>
    <definedName name="доп_1" localSheetId="116" hidden="1">{#N/A,#N/A,TRUE,"Смета на пасс. обор. №1"}</definedName>
    <definedName name="доп_1" localSheetId="117" hidden="1">{#N/A,#N/A,TRUE,"Смета на пасс. обор. №1"}</definedName>
    <definedName name="доп_1" localSheetId="118" hidden="1">{#N/A,#N/A,TRUE,"Смета на пасс. обор. №1"}</definedName>
    <definedName name="доп_1" localSheetId="121" hidden="1">{#N/A,#N/A,TRUE,"Смета на пасс. обор. №1"}</definedName>
    <definedName name="доп_1" localSheetId="122" hidden="1">{#N/A,#N/A,TRUE,"Смета на пасс. обор. №1"}</definedName>
    <definedName name="доп_1" localSheetId="8" hidden="1">{#N/A,#N/A,TRUE,"Смета на пасс. обор. №1"}</definedName>
    <definedName name="доп_1" localSheetId="11" hidden="1">{#N/A,#N/A,TRUE,"Смета на пасс. обор. №1"}</definedName>
    <definedName name="доп_1" localSheetId="110" hidden="1">{#N/A,#N/A,TRUE,"Смета на пасс. обор. №1"}</definedName>
    <definedName name="доп_1" localSheetId="109" hidden="1">{#N/A,#N/A,TRUE,"Смета на пасс. обор. №1"}</definedName>
    <definedName name="доп_1" localSheetId="108" hidden="1">{#N/A,#N/A,TRUE,"Смета на пасс. обор. №1"}</definedName>
    <definedName name="доп_1" localSheetId="6" hidden="1">{#N/A,#N/A,TRUE,"Смета на пасс. обор. №1"}</definedName>
    <definedName name="доп_1" localSheetId="9" hidden="1">{#N/A,#N/A,TRUE,"Смета на пасс. обор. №1"}</definedName>
    <definedName name="доп_1" localSheetId="7" hidden="1">{#N/A,#N/A,TRUE,"Смета на пасс. обор. №1"}</definedName>
    <definedName name="доп_1" localSheetId="92" hidden="1">{#N/A,#N/A,TRUE,"Смета на пасс. обор. №1"}</definedName>
    <definedName name="доп_1" localSheetId="93" hidden="1">{#N/A,#N/A,TRUE,"Смета на пасс. обор. №1"}</definedName>
    <definedName name="доп_1" localSheetId="94" hidden="1">{#N/A,#N/A,TRUE,"Смета на пасс. обор. №1"}</definedName>
    <definedName name="доп_1" localSheetId="99" hidden="1">{#N/A,#N/A,TRUE,"Смета на пасс. обор. №1"}</definedName>
    <definedName name="доп_1" localSheetId="100" hidden="1">{#N/A,#N/A,TRUE,"Смета на пасс. обор. №1"}</definedName>
    <definedName name="доп_1" localSheetId="106" hidden="1">{#N/A,#N/A,TRUE,"Смета на пасс. обор. №1"}</definedName>
    <definedName name="доп_1" localSheetId="2" hidden="1">{#N/A,#N/A,TRUE,"Смета на пасс. обор. №1"}</definedName>
    <definedName name="доп_1" localSheetId="123" hidden="1">{#N/A,#N/A,TRUE,"Смета на пасс. обор. №1"}</definedName>
    <definedName name="доп_1" localSheetId="4" hidden="1">{#N/A,#N/A,TRUE,"Смета на пасс. обор. №1"}</definedName>
    <definedName name="доп_1" localSheetId="13" hidden="1">{#N/A,#N/A,TRUE,"Смета на пасс. обор. №1"}</definedName>
    <definedName name="доп_1" hidden="1">{#N/A,#N/A,TRUE,"Смета на пасс. обор. №1"}</definedName>
    <definedName name="Доп_оборуд" localSheetId="10">#REF!</definedName>
    <definedName name="Доп_оборуд" localSheetId="9">#REF!</definedName>
    <definedName name="Доп_оборуд">#REF!</definedName>
    <definedName name="допдшгед" localSheetId="10">#REF!</definedName>
    <definedName name="допдшгед" localSheetId="9">#REF!</definedName>
    <definedName name="допдшгед">#REF!</definedName>
    <definedName name="Дорога" localSheetId="10">[24]Шкаф!#REF!</definedName>
    <definedName name="Дорога" localSheetId="9">[24]Шкаф!#REF!</definedName>
    <definedName name="Дорога">[24]Шкаф!#REF!</definedName>
    <definedName name="Дорога_1" localSheetId="10">#REF!</definedName>
    <definedName name="Дорога_1" localSheetId="9">#REF!</definedName>
    <definedName name="Дорога_1">#REF!</definedName>
    <definedName name="дп" localSheetId="10">#REF!</definedName>
    <definedName name="дп" localSheetId="12">#REF!</definedName>
    <definedName name="дп" localSheetId="112">#REF!</definedName>
    <definedName name="дп" localSheetId="113">#REF!</definedName>
    <definedName name="дп" localSheetId="115">#REF!</definedName>
    <definedName name="дп" localSheetId="116">#REF!</definedName>
    <definedName name="дп" localSheetId="8">#REF!</definedName>
    <definedName name="дп" localSheetId="11">#REF!</definedName>
    <definedName name="дп" localSheetId="110">#REF!</definedName>
    <definedName name="дп" localSheetId="6">#REF!</definedName>
    <definedName name="дп" localSheetId="9">#REF!</definedName>
    <definedName name="дп" localSheetId="7">#REF!</definedName>
    <definedName name="дп" localSheetId="92">#REF!</definedName>
    <definedName name="дп" localSheetId="93">#REF!</definedName>
    <definedName name="дп" localSheetId="94">#REF!</definedName>
    <definedName name="дп" localSheetId="99">#REF!</definedName>
    <definedName name="дп" localSheetId="100">#REF!</definedName>
    <definedName name="дп" localSheetId="106">#REF!</definedName>
    <definedName name="дп">#REF!</definedName>
    <definedName name="др" localSheetId="10">#REF!</definedName>
    <definedName name="др" localSheetId="9">#REF!</definedName>
    <definedName name="др">#REF!</definedName>
    <definedName name="ДСК" localSheetId="10">[7]топография!#REF!</definedName>
    <definedName name="ДСК" localSheetId="12">[7]топография!#REF!</definedName>
    <definedName name="ДСК" localSheetId="112">[7]топография!#REF!</definedName>
    <definedName name="ДСК" localSheetId="113">[7]топография!#REF!</definedName>
    <definedName name="ДСК" localSheetId="115">[7]топография!#REF!</definedName>
    <definedName name="ДСК" localSheetId="116">[7]топография!#REF!</definedName>
    <definedName name="ДСК" localSheetId="8">[7]топография!#REF!</definedName>
    <definedName name="ДСК" localSheetId="11">[7]топография!#REF!</definedName>
    <definedName name="ДСК" localSheetId="110">[7]топография!#REF!</definedName>
    <definedName name="ДСК" localSheetId="6">[7]топография!#REF!</definedName>
    <definedName name="ДСК" localSheetId="9">[7]топография!#REF!</definedName>
    <definedName name="ДСК" localSheetId="7">[7]топография!#REF!</definedName>
    <definedName name="ДСК">[7]топография!#REF!</definedName>
    <definedName name="ДСК_1" localSheetId="10">[7]топография!#REF!</definedName>
    <definedName name="ДСК_1" localSheetId="9">[7]топография!#REF!</definedName>
    <definedName name="ДСК_1">[7]топография!#REF!</definedName>
    <definedName name="ДСК_14" localSheetId="10">[7]топография!#REF!</definedName>
    <definedName name="ДСК_14" localSheetId="9">[7]топография!#REF!</definedName>
    <definedName name="ДСК_14">[7]топография!#REF!</definedName>
    <definedName name="дск1" localSheetId="10">[47]топография!#REF!</definedName>
    <definedName name="дск1" localSheetId="9">[47]топография!#REF!</definedName>
    <definedName name="дск1">[47]топография!#REF!</definedName>
    <definedName name="дщшю" localSheetId="10">#REF!</definedName>
    <definedName name="дщшю" localSheetId="9">#REF!</definedName>
    <definedName name="дщшю">#REF!</definedName>
    <definedName name="дэ" localSheetId="10">#REF!</definedName>
    <definedName name="дэ" localSheetId="12">#REF!</definedName>
    <definedName name="дэ" localSheetId="112">#REF!</definedName>
    <definedName name="дэ" localSheetId="113">#REF!</definedName>
    <definedName name="дэ" localSheetId="115">#REF!</definedName>
    <definedName name="дэ" localSheetId="116">#REF!</definedName>
    <definedName name="дэ" localSheetId="8">#REF!</definedName>
    <definedName name="дэ" localSheetId="11">#REF!</definedName>
    <definedName name="дэ" localSheetId="110">#REF!</definedName>
    <definedName name="дэ" localSheetId="6">#REF!</definedName>
    <definedName name="дэ" localSheetId="9">#REF!</definedName>
    <definedName name="дэ" localSheetId="7">#REF!</definedName>
    <definedName name="дэ" localSheetId="92">#REF!</definedName>
    <definedName name="дэ" localSheetId="93">#REF!</definedName>
    <definedName name="дэ" localSheetId="94">#REF!</definedName>
    <definedName name="дэ" localSheetId="99">#REF!</definedName>
    <definedName name="дэ" localSheetId="100">#REF!</definedName>
    <definedName name="дэ" localSheetId="106">#REF!</definedName>
    <definedName name="дэ">#REF!</definedName>
    <definedName name="е" localSheetId="10">#REF!</definedName>
    <definedName name="е" localSheetId="9">#REF!</definedName>
    <definedName name="е">#REF!</definedName>
    <definedName name="евнл" localSheetId="10">#REF!</definedName>
    <definedName name="евнл" localSheetId="9">#REF!</definedName>
    <definedName name="евнл">#REF!</definedName>
    <definedName name="евнлен" localSheetId="10">#REF!</definedName>
    <definedName name="евнлен" localSheetId="9">#REF!</definedName>
    <definedName name="евнлен">#REF!</definedName>
    <definedName name="ЕВР">[48]Поставка!$H$13</definedName>
    <definedName name="Еврейская_автономная_область" localSheetId="10">#REF!</definedName>
    <definedName name="Еврейская_автономная_область" localSheetId="9">#REF!</definedName>
    <definedName name="Еврейская_автономная_область">#REF!</definedName>
    <definedName name="Еврейская_автономная_область_1" localSheetId="10">#REF!</definedName>
    <definedName name="Еврейская_автономная_область_1" localSheetId="9">#REF!</definedName>
    <definedName name="Еврейская_автономная_область_1">#REF!</definedName>
    <definedName name="еврор" localSheetId="10">#REF!</definedName>
    <definedName name="еврор" localSheetId="9">#REF!</definedName>
    <definedName name="еврор">#REF!</definedName>
    <definedName name="еврь" localSheetId="10">#REF!</definedName>
    <definedName name="еврь" localSheetId="9">#REF!</definedName>
    <definedName name="еврь">#REF!</definedName>
    <definedName name="ен" localSheetId="10">#REF!</definedName>
    <definedName name="ен" localSheetId="12" hidden="1">{#N/A,#N/A,TRUE,"Смета на пасс. обор. №1"}</definedName>
    <definedName name="ен" localSheetId="111" hidden="1">{#N/A,#N/A,TRUE,"Смета на пасс. обор. №1"}</definedName>
    <definedName name="ен" localSheetId="112" hidden="1">{#N/A,#N/A,TRUE,"Смета на пасс. обор. №1"}</definedName>
    <definedName name="ен" localSheetId="113" hidden="1">{#N/A,#N/A,TRUE,"Смета на пасс. обор. №1"}</definedName>
    <definedName name="ен" localSheetId="114" hidden="1">{#N/A,#N/A,TRUE,"Смета на пасс. обор. №1"}</definedName>
    <definedName name="ен" localSheetId="115" hidden="1">{#N/A,#N/A,TRUE,"Смета на пасс. обор. №1"}</definedName>
    <definedName name="ен" localSheetId="116" hidden="1">{#N/A,#N/A,TRUE,"Смета на пасс. обор. №1"}</definedName>
    <definedName name="ен" localSheetId="117" hidden="1">{#N/A,#N/A,TRUE,"Смета на пасс. обор. №1"}</definedName>
    <definedName name="ен" localSheetId="118" hidden="1">{#N/A,#N/A,TRUE,"Смета на пасс. обор. №1"}</definedName>
    <definedName name="ен" localSheetId="121" hidden="1">{#N/A,#N/A,TRUE,"Смета на пасс. обор. №1"}</definedName>
    <definedName name="ен" localSheetId="122" hidden="1">{#N/A,#N/A,TRUE,"Смета на пасс. обор. №1"}</definedName>
    <definedName name="ен" localSheetId="8">#REF!</definedName>
    <definedName name="ен" localSheetId="11">#REF!</definedName>
    <definedName name="ен" localSheetId="110" hidden="1">{#N/A,#N/A,TRUE,"Смета на пасс. обор. №1"}</definedName>
    <definedName name="ен" localSheetId="109" hidden="1">{#N/A,#N/A,TRUE,"Смета на пасс. обор. №1"}</definedName>
    <definedName name="ен" localSheetId="108" hidden="1">{#N/A,#N/A,TRUE,"Смета на пасс. обор. №1"}</definedName>
    <definedName name="ен" localSheetId="6">#REF!</definedName>
    <definedName name="ен" localSheetId="9">#REF!</definedName>
    <definedName name="ен" localSheetId="7" hidden="1">{#N/A,#N/A,TRUE,"Смета на пасс. обор. №1"}</definedName>
    <definedName name="ен" localSheetId="92" hidden="1">{#N/A,#N/A,TRUE,"Смета на пасс. обор. №1"}</definedName>
    <definedName name="ен" localSheetId="93" hidden="1">{#N/A,#N/A,TRUE,"Смета на пасс. обор. №1"}</definedName>
    <definedName name="ен" localSheetId="94" hidden="1">{#N/A,#N/A,TRUE,"Смета на пасс. обор. №1"}</definedName>
    <definedName name="ен" localSheetId="99" hidden="1">{#N/A,#N/A,TRUE,"Смета на пасс. обор. №1"}</definedName>
    <definedName name="ен" localSheetId="100" hidden="1">{#N/A,#N/A,TRUE,"Смета на пасс. обор. №1"}</definedName>
    <definedName name="ен" localSheetId="106" hidden="1">{#N/A,#N/A,TRUE,"Смета на пасс. обор. №1"}</definedName>
    <definedName name="ен" localSheetId="2" hidden="1">{#N/A,#N/A,TRUE,"Смета на пасс. обор. №1"}</definedName>
    <definedName name="ен" localSheetId="123" hidden="1">{#N/A,#N/A,TRUE,"Смета на пасс. обор. №1"}</definedName>
    <definedName name="ен" localSheetId="4" hidden="1">{#N/A,#N/A,TRUE,"Смета на пасс. обор. №1"}</definedName>
    <definedName name="ен" localSheetId="13" hidden="1">{#N/A,#N/A,TRUE,"Смета на пасс. обор. №1"}</definedName>
    <definedName name="ен" hidden="1">{#N/A,#N/A,TRUE,"Смета на пасс. обор. №1"}</definedName>
    <definedName name="ен_1" localSheetId="10" hidden="1">{#N/A,#N/A,TRUE,"Смета на пасс. обор. №1"}</definedName>
    <definedName name="ен_1" localSheetId="12" hidden="1">{#N/A,#N/A,TRUE,"Смета на пасс. обор. №1"}</definedName>
    <definedName name="ен_1" localSheetId="111" hidden="1">{#N/A,#N/A,TRUE,"Смета на пасс. обор. №1"}</definedName>
    <definedName name="ен_1" localSheetId="112" hidden="1">{#N/A,#N/A,TRUE,"Смета на пасс. обор. №1"}</definedName>
    <definedName name="ен_1" localSheetId="113" hidden="1">{#N/A,#N/A,TRUE,"Смета на пасс. обор. №1"}</definedName>
    <definedName name="ен_1" localSheetId="114" hidden="1">{#N/A,#N/A,TRUE,"Смета на пасс. обор. №1"}</definedName>
    <definedName name="ен_1" localSheetId="115" hidden="1">{#N/A,#N/A,TRUE,"Смета на пасс. обор. №1"}</definedName>
    <definedName name="ен_1" localSheetId="116" hidden="1">{#N/A,#N/A,TRUE,"Смета на пасс. обор. №1"}</definedName>
    <definedName name="ен_1" localSheetId="117" hidden="1">{#N/A,#N/A,TRUE,"Смета на пасс. обор. №1"}</definedName>
    <definedName name="ен_1" localSheetId="118" hidden="1">{#N/A,#N/A,TRUE,"Смета на пасс. обор. №1"}</definedName>
    <definedName name="ен_1" localSheetId="121" hidden="1">{#N/A,#N/A,TRUE,"Смета на пасс. обор. №1"}</definedName>
    <definedName name="ен_1" localSheetId="122" hidden="1">{#N/A,#N/A,TRUE,"Смета на пасс. обор. №1"}</definedName>
    <definedName name="ен_1" localSheetId="8" hidden="1">{#N/A,#N/A,TRUE,"Смета на пасс. обор. №1"}</definedName>
    <definedName name="ен_1" localSheetId="11" hidden="1">{#N/A,#N/A,TRUE,"Смета на пасс. обор. №1"}</definedName>
    <definedName name="ен_1" localSheetId="110" hidden="1">{#N/A,#N/A,TRUE,"Смета на пасс. обор. №1"}</definedName>
    <definedName name="ен_1" localSheetId="109" hidden="1">{#N/A,#N/A,TRUE,"Смета на пасс. обор. №1"}</definedName>
    <definedName name="ен_1" localSheetId="108" hidden="1">{#N/A,#N/A,TRUE,"Смета на пасс. обор. №1"}</definedName>
    <definedName name="ен_1" localSheetId="6" hidden="1">{#N/A,#N/A,TRUE,"Смета на пасс. обор. №1"}</definedName>
    <definedName name="ен_1" localSheetId="9" hidden="1">{#N/A,#N/A,TRUE,"Смета на пасс. обор. №1"}</definedName>
    <definedName name="ен_1" localSheetId="7" hidden="1">{#N/A,#N/A,TRUE,"Смета на пасс. обор. №1"}</definedName>
    <definedName name="ен_1" localSheetId="92" hidden="1">{#N/A,#N/A,TRUE,"Смета на пасс. обор. №1"}</definedName>
    <definedName name="ен_1" localSheetId="93" hidden="1">{#N/A,#N/A,TRUE,"Смета на пасс. обор. №1"}</definedName>
    <definedName name="ен_1" localSheetId="94" hidden="1">{#N/A,#N/A,TRUE,"Смета на пасс. обор. №1"}</definedName>
    <definedName name="ен_1" localSheetId="99" hidden="1">{#N/A,#N/A,TRUE,"Смета на пасс. обор. №1"}</definedName>
    <definedName name="ен_1" localSheetId="100" hidden="1">{#N/A,#N/A,TRUE,"Смета на пасс. обор. №1"}</definedName>
    <definedName name="ен_1" localSheetId="106" hidden="1">{#N/A,#N/A,TRUE,"Смета на пасс. обор. №1"}</definedName>
    <definedName name="ен_1" localSheetId="2" hidden="1">{#N/A,#N/A,TRUE,"Смета на пасс. обор. №1"}</definedName>
    <definedName name="ен_1" localSheetId="123" hidden="1">{#N/A,#N/A,TRUE,"Смета на пасс. обор. №1"}</definedName>
    <definedName name="ен_1" localSheetId="4" hidden="1">{#N/A,#N/A,TRUE,"Смета на пасс. обор. №1"}</definedName>
    <definedName name="ен_1" localSheetId="13" hidden="1">{#N/A,#N/A,TRUE,"Смета на пасс. обор. №1"}</definedName>
    <definedName name="ен_1" hidden="1">{#N/A,#N/A,TRUE,"Смета на пасс. обор. №1"}</definedName>
    <definedName name="енвлпр" localSheetId="10">#REF!</definedName>
    <definedName name="енвлпр" localSheetId="9">#REF!</definedName>
    <definedName name="енвлпр">#REF!</definedName>
    <definedName name="енг" localSheetId="10">#REF!</definedName>
    <definedName name="енг" localSheetId="9">#REF!</definedName>
    <definedName name="енг">#REF!</definedName>
    <definedName name="енк" localSheetId="10">#REF!</definedName>
    <definedName name="енк" localSheetId="9">#REF!</definedName>
    <definedName name="енк">#REF!</definedName>
    <definedName name="енлопр" localSheetId="10">#REF!</definedName>
    <definedName name="енлопр" localSheetId="9">#REF!</definedName>
    <definedName name="енлопр">#REF!</definedName>
    <definedName name="ено" localSheetId="10">#REF!</definedName>
    <definedName name="ено" localSheetId="9">#REF!</definedName>
    <definedName name="ено">#REF!</definedName>
    <definedName name="еное" localSheetId="10">#REF!</definedName>
    <definedName name="еное" localSheetId="9">#REF!</definedName>
    <definedName name="еное">#REF!</definedName>
    <definedName name="ео" localSheetId="10">#REF!</definedName>
    <definedName name="ео" localSheetId="9">#REF!</definedName>
    <definedName name="ео">#REF!</definedName>
    <definedName name="еов" localSheetId="10">#REF!</definedName>
    <definedName name="еов" localSheetId="9">#REF!</definedName>
    <definedName name="еов">#REF!</definedName>
    <definedName name="ер" localSheetId="10">#REF!</definedName>
    <definedName name="ер" localSheetId="9">#REF!</definedName>
    <definedName name="ер">#REF!</definedName>
    <definedName name="еуг" localSheetId="10">#REF!</definedName>
    <definedName name="еуг" localSheetId="9">#REF!</definedName>
    <definedName name="еуг">#REF!</definedName>
    <definedName name="еыкг" localSheetId="10">[4]топография!#REF!</definedName>
    <definedName name="еыкг" localSheetId="9">[4]топография!#REF!</definedName>
    <definedName name="еыкг">[4]топография!#REF!</definedName>
    <definedName name="жж">[26]Вспомогательный!$D$80</definedName>
    <definedName name="жж_1" localSheetId="10" hidden="1">{#N/A,#N/A,TRUE,"Смета на пасс. обор. №1"}</definedName>
    <definedName name="жж_1" localSheetId="12" hidden="1">{#N/A,#N/A,TRUE,"Смета на пасс. обор. №1"}</definedName>
    <definedName name="жж_1" localSheetId="111" hidden="1">{#N/A,#N/A,TRUE,"Смета на пасс. обор. №1"}</definedName>
    <definedName name="жж_1" localSheetId="112" hidden="1">{#N/A,#N/A,TRUE,"Смета на пасс. обор. №1"}</definedName>
    <definedName name="жж_1" localSheetId="113" hidden="1">{#N/A,#N/A,TRUE,"Смета на пасс. обор. №1"}</definedName>
    <definedName name="жж_1" localSheetId="114" hidden="1">{#N/A,#N/A,TRUE,"Смета на пасс. обор. №1"}</definedName>
    <definedName name="жж_1" localSheetId="115" hidden="1">{#N/A,#N/A,TRUE,"Смета на пасс. обор. №1"}</definedName>
    <definedName name="жж_1" localSheetId="116" hidden="1">{#N/A,#N/A,TRUE,"Смета на пасс. обор. №1"}</definedName>
    <definedName name="жж_1" localSheetId="117" hidden="1">{#N/A,#N/A,TRUE,"Смета на пасс. обор. №1"}</definedName>
    <definedName name="жж_1" localSheetId="118" hidden="1">{#N/A,#N/A,TRUE,"Смета на пасс. обор. №1"}</definedName>
    <definedName name="жж_1" localSheetId="121" hidden="1">{#N/A,#N/A,TRUE,"Смета на пасс. обор. №1"}</definedName>
    <definedName name="жж_1" localSheetId="122" hidden="1">{#N/A,#N/A,TRUE,"Смета на пасс. обор. №1"}</definedName>
    <definedName name="жж_1" localSheetId="8" hidden="1">{#N/A,#N/A,TRUE,"Смета на пасс. обор. №1"}</definedName>
    <definedName name="жж_1" localSheetId="11" hidden="1">{#N/A,#N/A,TRUE,"Смета на пасс. обор. №1"}</definedName>
    <definedName name="жж_1" localSheetId="110" hidden="1">{#N/A,#N/A,TRUE,"Смета на пасс. обор. №1"}</definedName>
    <definedName name="жж_1" localSheetId="109" hidden="1">{#N/A,#N/A,TRUE,"Смета на пасс. обор. №1"}</definedName>
    <definedName name="жж_1" localSheetId="108" hidden="1">{#N/A,#N/A,TRUE,"Смета на пасс. обор. №1"}</definedName>
    <definedName name="жж_1" localSheetId="6" hidden="1">{#N/A,#N/A,TRUE,"Смета на пасс. обор. №1"}</definedName>
    <definedName name="жж_1" localSheetId="9" hidden="1">{#N/A,#N/A,TRUE,"Смета на пасс. обор. №1"}</definedName>
    <definedName name="жж_1" localSheetId="7" hidden="1">{#N/A,#N/A,TRUE,"Смета на пасс. обор. №1"}</definedName>
    <definedName name="жж_1" localSheetId="92" hidden="1">{#N/A,#N/A,TRUE,"Смета на пасс. обор. №1"}</definedName>
    <definedName name="жж_1" localSheetId="93" hidden="1">{#N/A,#N/A,TRUE,"Смета на пасс. обор. №1"}</definedName>
    <definedName name="жж_1" localSheetId="94" hidden="1">{#N/A,#N/A,TRUE,"Смета на пасс. обор. №1"}</definedName>
    <definedName name="жж_1" localSheetId="99" hidden="1">{#N/A,#N/A,TRUE,"Смета на пасс. обор. №1"}</definedName>
    <definedName name="жж_1" localSheetId="100" hidden="1">{#N/A,#N/A,TRUE,"Смета на пасс. обор. №1"}</definedName>
    <definedName name="жж_1" localSheetId="106" hidden="1">{#N/A,#N/A,TRUE,"Смета на пасс. обор. №1"}</definedName>
    <definedName name="жж_1" localSheetId="2" hidden="1">{#N/A,#N/A,TRUE,"Смета на пасс. обор. №1"}</definedName>
    <definedName name="жж_1" localSheetId="123" hidden="1">{#N/A,#N/A,TRUE,"Смета на пасс. обор. №1"}</definedName>
    <definedName name="жж_1" localSheetId="4" hidden="1">{#N/A,#N/A,TRUE,"Смета на пасс. обор. №1"}</definedName>
    <definedName name="жж_1" localSheetId="13" hidden="1">{#N/A,#N/A,TRUE,"Смета на пасс. обор. №1"}</definedName>
    <definedName name="жж_1" hidden="1">{#N/A,#N/A,TRUE,"Смета на пасс. обор. №1"}</definedName>
    <definedName name="жжж" localSheetId="10">#REF!</definedName>
    <definedName name="жжж" localSheetId="12">#REF!</definedName>
    <definedName name="жжж" localSheetId="116">#REF!</definedName>
    <definedName name="жжж" localSheetId="8">#REF!</definedName>
    <definedName name="жжж" localSheetId="11">#REF!</definedName>
    <definedName name="жжж" localSheetId="110">#REF!</definedName>
    <definedName name="жжж" localSheetId="109">#REF!</definedName>
    <definedName name="жжж" localSheetId="108">#REF!</definedName>
    <definedName name="жжж" localSheetId="6">#REF!</definedName>
    <definedName name="жжж" localSheetId="9">#REF!</definedName>
    <definedName name="жжж" localSheetId="7">#REF!</definedName>
    <definedName name="жжж" localSheetId="92">#REF!</definedName>
    <definedName name="жжж" localSheetId="93">#REF!</definedName>
    <definedName name="жжж" localSheetId="94">#REF!</definedName>
    <definedName name="жжж" localSheetId="99">#REF!</definedName>
    <definedName name="жжж" localSheetId="100">#REF!</definedName>
    <definedName name="жжж" localSheetId="106">#REF!</definedName>
    <definedName name="жжж">#REF!</definedName>
    <definedName name="жл" localSheetId="10">#REF!</definedName>
    <definedName name="жл" localSheetId="12">#REF!</definedName>
    <definedName name="жл" localSheetId="116">#REF!</definedName>
    <definedName name="жл" localSheetId="8">#REF!</definedName>
    <definedName name="жл" localSheetId="11">#REF!</definedName>
    <definedName name="жл" localSheetId="110">#REF!</definedName>
    <definedName name="жл" localSheetId="109">#REF!</definedName>
    <definedName name="жл" localSheetId="108">#REF!</definedName>
    <definedName name="жл" localSheetId="6">#REF!</definedName>
    <definedName name="жл" localSheetId="9">#REF!</definedName>
    <definedName name="жл" localSheetId="7">#REF!</definedName>
    <definedName name="жл" localSheetId="92">#REF!</definedName>
    <definedName name="жл" localSheetId="93">#REF!</definedName>
    <definedName name="жл" localSheetId="94">#REF!</definedName>
    <definedName name="жл" localSheetId="99">#REF!</definedName>
    <definedName name="жл" localSheetId="100">#REF!</definedName>
    <definedName name="жл" localSheetId="106">#REF!</definedName>
    <definedName name="жл">#REF!</definedName>
    <definedName name="жпф" localSheetId="10">#REF!</definedName>
    <definedName name="жпф" localSheetId="12">#REF!</definedName>
    <definedName name="жпф" localSheetId="116">#REF!</definedName>
    <definedName name="жпф" localSheetId="110">#REF!</definedName>
    <definedName name="жпф" localSheetId="109">#REF!</definedName>
    <definedName name="жпф" localSheetId="108">#REF!</definedName>
    <definedName name="жпф" localSheetId="9">#REF!</definedName>
    <definedName name="жпф" localSheetId="92">#REF!</definedName>
    <definedName name="жпф" localSheetId="93">#REF!</definedName>
    <definedName name="жпф" localSheetId="94">#REF!</definedName>
    <definedName name="жпф" localSheetId="99">#REF!</definedName>
    <definedName name="жпф" localSheetId="100">#REF!</definedName>
    <definedName name="жпф" localSheetId="106">#REF!</definedName>
    <definedName name="жпф">#REF!</definedName>
    <definedName name="жю" localSheetId="10" hidden="1">{#N/A,#N/A,TRUE,"Смета на пасс. обор. №1"}</definedName>
    <definedName name="жю" localSheetId="12" hidden="1">{#N/A,#N/A,TRUE,"Смета на пасс. обор. №1"}</definedName>
    <definedName name="жю" localSheetId="111" hidden="1">{#N/A,#N/A,TRUE,"Смета на пасс. обор. №1"}</definedName>
    <definedName name="жю" localSheetId="112" hidden="1">{#N/A,#N/A,TRUE,"Смета на пасс. обор. №1"}</definedName>
    <definedName name="жю" localSheetId="113" hidden="1">{#N/A,#N/A,TRUE,"Смета на пасс. обор. №1"}</definedName>
    <definedName name="жю" localSheetId="114" hidden="1">{#N/A,#N/A,TRUE,"Смета на пасс. обор. №1"}</definedName>
    <definedName name="жю" localSheetId="115" hidden="1">{#N/A,#N/A,TRUE,"Смета на пасс. обор. №1"}</definedName>
    <definedName name="жю" localSheetId="116" hidden="1">{#N/A,#N/A,TRUE,"Смета на пасс. обор. №1"}</definedName>
    <definedName name="жю" localSheetId="117" hidden="1">{#N/A,#N/A,TRUE,"Смета на пасс. обор. №1"}</definedName>
    <definedName name="жю" localSheetId="118" hidden="1">{#N/A,#N/A,TRUE,"Смета на пасс. обор. №1"}</definedName>
    <definedName name="жю" localSheetId="121" hidden="1">{#N/A,#N/A,TRUE,"Смета на пасс. обор. №1"}</definedName>
    <definedName name="жю" localSheetId="122" hidden="1">{#N/A,#N/A,TRUE,"Смета на пасс. обор. №1"}</definedName>
    <definedName name="жю" localSheetId="8" hidden="1">{#N/A,#N/A,TRUE,"Смета на пасс. обор. №1"}</definedName>
    <definedName name="жю" localSheetId="11" hidden="1">{#N/A,#N/A,TRUE,"Смета на пасс. обор. №1"}</definedName>
    <definedName name="жю" localSheetId="110" hidden="1">{#N/A,#N/A,TRUE,"Смета на пасс. обор. №1"}</definedName>
    <definedName name="жю" localSheetId="109" hidden="1">{#N/A,#N/A,TRUE,"Смета на пасс. обор. №1"}</definedName>
    <definedName name="жю" localSheetId="108" hidden="1">{#N/A,#N/A,TRUE,"Смета на пасс. обор. №1"}</definedName>
    <definedName name="жю" localSheetId="6" hidden="1">{#N/A,#N/A,TRUE,"Смета на пасс. обор. №1"}</definedName>
    <definedName name="жю" localSheetId="9" hidden="1">{#N/A,#N/A,TRUE,"Смета на пасс. обор. №1"}</definedName>
    <definedName name="жю" localSheetId="7" hidden="1">{#N/A,#N/A,TRUE,"Смета на пасс. обор. №1"}</definedName>
    <definedName name="жю" localSheetId="92" hidden="1">{#N/A,#N/A,TRUE,"Смета на пасс. обор. №1"}</definedName>
    <definedName name="жю" localSheetId="93" hidden="1">{#N/A,#N/A,TRUE,"Смета на пасс. обор. №1"}</definedName>
    <definedName name="жю" localSheetId="94" hidden="1">{#N/A,#N/A,TRUE,"Смета на пасс. обор. №1"}</definedName>
    <definedName name="жю" localSheetId="99" hidden="1">{#N/A,#N/A,TRUE,"Смета на пасс. обор. №1"}</definedName>
    <definedName name="жю" localSheetId="100" hidden="1">{#N/A,#N/A,TRUE,"Смета на пасс. обор. №1"}</definedName>
    <definedName name="жю" localSheetId="106" hidden="1">{#N/A,#N/A,TRUE,"Смета на пасс. обор. №1"}</definedName>
    <definedName name="жю" localSheetId="2" hidden="1">{#N/A,#N/A,TRUE,"Смета на пасс. обор. №1"}</definedName>
    <definedName name="жю" localSheetId="123" hidden="1">{#N/A,#N/A,TRUE,"Смета на пасс. обор. №1"}</definedName>
    <definedName name="жю" localSheetId="4" hidden="1">{#N/A,#N/A,TRUE,"Смета на пасс. обор. №1"}</definedName>
    <definedName name="жю" localSheetId="13" hidden="1">{#N/A,#N/A,TRUE,"Смета на пасс. обор. №1"}</definedName>
    <definedName name="жю" hidden="1">{#N/A,#N/A,TRUE,"Смета на пасс. обор. №1"}</definedName>
    <definedName name="жю_1" localSheetId="10" hidden="1">{#N/A,#N/A,TRUE,"Смета на пасс. обор. №1"}</definedName>
    <definedName name="жю_1" localSheetId="12" hidden="1">{#N/A,#N/A,TRUE,"Смета на пасс. обор. №1"}</definedName>
    <definedName name="жю_1" localSheetId="111" hidden="1">{#N/A,#N/A,TRUE,"Смета на пасс. обор. №1"}</definedName>
    <definedName name="жю_1" localSheetId="112" hidden="1">{#N/A,#N/A,TRUE,"Смета на пасс. обор. №1"}</definedName>
    <definedName name="жю_1" localSheetId="113" hidden="1">{#N/A,#N/A,TRUE,"Смета на пасс. обор. №1"}</definedName>
    <definedName name="жю_1" localSheetId="114" hidden="1">{#N/A,#N/A,TRUE,"Смета на пасс. обор. №1"}</definedName>
    <definedName name="жю_1" localSheetId="115" hidden="1">{#N/A,#N/A,TRUE,"Смета на пасс. обор. №1"}</definedName>
    <definedName name="жю_1" localSheetId="116" hidden="1">{#N/A,#N/A,TRUE,"Смета на пасс. обор. №1"}</definedName>
    <definedName name="жю_1" localSheetId="117" hidden="1">{#N/A,#N/A,TRUE,"Смета на пасс. обор. №1"}</definedName>
    <definedName name="жю_1" localSheetId="118" hidden="1">{#N/A,#N/A,TRUE,"Смета на пасс. обор. №1"}</definedName>
    <definedName name="жю_1" localSheetId="121" hidden="1">{#N/A,#N/A,TRUE,"Смета на пасс. обор. №1"}</definedName>
    <definedName name="жю_1" localSheetId="122" hidden="1">{#N/A,#N/A,TRUE,"Смета на пасс. обор. №1"}</definedName>
    <definedName name="жю_1" localSheetId="8" hidden="1">{#N/A,#N/A,TRUE,"Смета на пасс. обор. №1"}</definedName>
    <definedName name="жю_1" localSheetId="11" hidden="1">{#N/A,#N/A,TRUE,"Смета на пасс. обор. №1"}</definedName>
    <definedName name="жю_1" localSheetId="110" hidden="1">{#N/A,#N/A,TRUE,"Смета на пасс. обор. №1"}</definedName>
    <definedName name="жю_1" localSheetId="109" hidden="1">{#N/A,#N/A,TRUE,"Смета на пасс. обор. №1"}</definedName>
    <definedName name="жю_1" localSheetId="108" hidden="1">{#N/A,#N/A,TRUE,"Смета на пасс. обор. №1"}</definedName>
    <definedName name="жю_1" localSheetId="6" hidden="1">{#N/A,#N/A,TRUE,"Смета на пасс. обор. №1"}</definedName>
    <definedName name="жю_1" localSheetId="9" hidden="1">{#N/A,#N/A,TRUE,"Смета на пасс. обор. №1"}</definedName>
    <definedName name="жю_1" localSheetId="7" hidden="1">{#N/A,#N/A,TRUE,"Смета на пасс. обор. №1"}</definedName>
    <definedName name="жю_1" localSheetId="92" hidden="1">{#N/A,#N/A,TRUE,"Смета на пасс. обор. №1"}</definedName>
    <definedName name="жю_1" localSheetId="93" hidden="1">{#N/A,#N/A,TRUE,"Смета на пасс. обор. №1"}</definedName>
    <definedName name="жю_1" localSheetId="94" hidden="1">{#N/A,#N/A,TRUE,"Смета на пасс. обор. №1"}</definedName>
    <definedName name="жю_1" localSheetId="99" hidden="1">{#N/A,#N/A,TRUE,"Смета на пасс. обор. №1"}</definedName>
    <definedName name="жю_1" localSheetId="100" hidden="1">{#N/A,#N/A,TRUE,"Смета на пасс. обор. №1"}</definedName>
    <definedName name="жю_1" localSheetId="106" hidden="1">{#N/A,#N/A,TRUE,"Смета на пасс. обор. №1"}</definedName>
    <definedName name="жю_1" localSheetId="2" hidden="1">{#N/A,#N/A,TRUE,"Смета на пасс. обор. №1"}</definedName>
    <definedName name="жю_1" localSheetId="123" hidden="1">{#N/A,#N/A,TRUE,"Смета на пасс. обор. №1"}</definedName>
    <definedName name="жю_1" localSheetId="4" hidden="1">{#N/A,#N/A,TRUE,"Смета на пасс. обор. №1"}</definedName>
    <definedName name="жю_1" localSheetId="13" hidden="1">{#N/A,#N/A,TRUE,"Смета на пасс. обор. №1"}</definedName>
    <definedName name="жю_1" hidden="1">{#N/A,#N/A,TRUE,"Смета на пасс. обор. №1"}</definedName>
    <definedName name="Зависимые" localSheetId="10">#REF!</definedName>
    <definedName name="Зависимые" localSheetId="9">#REF!</definedName>
    <definedName name="Зависимые">#REF!</definedName>
    <definedName name="_xlnm.Print_Titles" localSheetId="12">'Затраты подрядчика'!$21:$21</definedName>
    <definedName name="_xlnm.Print_Titles" localSheetId="23">'ЛСР 01-03-01 '!$32:$32</definedName>
    <definedName name="_xlnm.Print_Titles" localSheetId="27">'ЛСР 02-01-01'!$38:$38</definedName>
    <definedName name="_xlnm.Print_Titles" localSheetId="28">'ЛСР 02-01-02'!$38:$38</definedName>
    <definedName name="_xlnm.Print_Titles" localSheetId="29">'ЛСР 02-01-03'!$38:$38</definedName>
    <definedName name="_xlnm.Print_Titles" localSheetId="30">'ЛСР 02-01-04'!$38:$38</definedName>
    <definedName name="_xlnm.Print_Titles" localSheetId="32">'ЛСР 02-01-06'!$32:$32</definedName>
    <definedName name="_xlnm.Print_Titles" localSheetId="33">'ЛСР 02-01-07'!$38:$38</definedName>
    <definedName name="_xlnm.Print_Titles" localSheetId="36">'ЛСР 03-01-01'!$38:$38</definedName>
    <definedName name="_xlnm.Print_Titles" localSheetId="37">'ЛСР 03-01-02'!$38:$38</definedName>
    <definedName name="_xlnm.Print_Titles" localSheetId="38">'ЛСР 03-01-03'!$38:$38</definedName>
    <definedName name="_xlnm.Print_Titles" localSheetId="39">'ЛСР 03-01-04'!$38:$38</definedName>
    <definedName name="_xlnm.Print_Titles" localSheetId="40">'ЛСР 03-01-05'!$38:$38</definedName>
    <definedName name="_xlnm.Print_Titles" localSheetId="41">'ЛСР 03-01-06'!$38:$38</definedName>
    <definedName name="_xlnm.Print_Titles" localSheetId="44">'ЛСР 03-01-09'!$38:$38</definedName>
    <definedName name="_xlnm.Print_Titles" localSheetId="50">'ЛСР 03-02-01 '!$38:$38</definedName>
    <definedName name="_xlnm.Print_Titles" localSheetId="51">'ЛСР 03-02-02'!$38:$38</definedName>
    <definedName name="_xlnm.Print_Titles" localSheetId="52">'ЛСР 03-02-03'!$38:$38</definedName>
    <definedName name="_xlnm.Print_Titles" localSheetId="55">'ЛСР 03-03-01'!$38:$38</definedName>
    <definedName name="_xlnm.Print_Titles" localSheetId="56">'ЛСР 03-03-02'!$38:$38</definedName>
    <definedName name="_xlnm.Print_Titles" localSheetId="62">'ЛСР 04-01-02'!$38:$38</definedName>
    <definedName name="_xlnm.Print_Titles" localSheetId="67">'ЛСР 05-01-01'!$38:$38</definedName>
    <definedName name="_xlnm.Print_Titles" localSheetId="70">'ЛСР 05-02-01'!$38:$38</definedName>
    <definedName name="_xlnm.Print_Titles" localSheetId="72">'ЛСР 05-02-03'!$38:$38</definedName>
    <definedName name="_xlnm.Print_Titles" localSheetId="73">'ЛСР 05-03-01'!$38:$38</definedName>
    <definedName name="_xlnm.Print_Titles" localSheetId="74">'ЛСР 06-01-01'!$38:$38</definedName>
    <definedName name="_xlnm.Print_Titles" localSheetId="77">'ЛСР 06-02-01'!$38:$38</definedName>
    <definedName name="_xlnm.Print_Titles" localSheetId="81">'ЛСР 06-02-05'!$38:$38</definedName>
    <definedName name="_xlnm.Print_Titles" localSheetId="84">'ЛСР 07-01-01'!$38:$38</definedName>
    <definedName name="_xlnm.Print_Titles" localSheetId="86">'ЛСР 07-01-03'!$38:$38</definedName>
    <definedName name="_xlnm.Print_Titles" localSheetId="87">'ЛСР 07-01-04'!$38:$38</definedName>
    <definedName name="_xlnm.Print_Titles" localSheetId="90">'ЛСР 07-02-01'!$38:$38</definedName>
    <definedName name="_xlnm.Print_Titles" localSheetId="91">'ЛСР 07-02-02'!$38:$38</definedName>
    <definedName name="_xlnm.Print_Titles" localSheetId="103">'ЛСР 09-07-01'!$16:$16</definedName>
    <definedName name="_xlnm.Print_Titles" localSheetId="104">'ЛСР 09-07-02'!$15:$15</definedName>
    <definedName name="_xlnm.Print_Titles" localSheetId="105">'ЛСР 09-07-03'!$16:$16</definedName>
    <definedName name="_xlnm.Print_Titles" localSheetId="116">'ЛСР 12-01-06 '!$16:$16</definedName>
    <definedName name="_xlnm.Print_Titles" localSheetId="117">'ЛСР 12-02-01'!$14:$14</definedName>
    <definedName name="_xlnm.Print_Titles" localSheetId="118">'ЛСР 12-03-01'!$14:$14</definedName>
    <definedName name="_xlnm.Print_Titles" localSheetId="121">'ЛСР 12-06-01'!$14:$14</definedName>
    <definedName name="_xlnm.Print_Titles" localSheetId="122">'ЛСР 12-07-01'!$14:$14</definedName>
    <definedName name="_xlnm.Print_Titles" localSheetId="15">'ОСР 01-01 (2021г)'!$24:$24</definedName>
    <definedName name="_xlnm.Print_Titles" localSheetId="14">'ОСР 01-01(2000г)'!$24:$24</definedName>
    <definedName name="_xlnm.Print_Titles" localSheetId="18">'ОСР 01-02(2000г)'!$24:$24</definedName>
    <definedName name="_xlnm.Print_Titles" localSheetId="19">'ОСР 01-02(2021г)'!$24:$24</definedName>
    <definedName name="_xlnm.Print_Titles" localSheetId="25">'ОСР 02-01(2000г)'!$24:$24</definedName>
    <definedName name="_xlnm.Print_Titles" localSheetId="26">'ОСР 02-01(2021г)'!$24:$24</definedName>
    <definedName name="_xlnm.Print_Titles" localSheetId="34">'ОСР 03-01(2000г)'!$24:$24</definedName>
    <definedName name="_xlnm.Print_Titles" localSheetId="35">'ОСР 03-01(2021г)'!$24:$24</definedName>
    <definedName name="_xlnm.Print_Titles" localSheetId="48">'ОСР 03-02(2000г)'!$24:$24</definedName>
    <definedName name="_xlnm.Print_Titles" localSheetId="49">'ОСР 03-02(2021г)'!$24:$24</definedName>
    <definedName name="_xlnm.Print_Titles" localSheetId="53">'ОСР 03-03(2000г)'!$24:$24</definedName>
    <definedName name="_xlnm.Print_Titles" localSheetId="59">'ОСР 04-01(2000г)'!$24:$24</definedName>
    <definedName name="_xlnm.Print_Titles" localSheetId="63">'ОСР 04-02(2000г)'!$24:$24</definedName>
    <definedName name="_xlnm.Print_Titles" localSheetId="68">'ОСР 05-02(2000г)'!$24:$24</definedName>
    <definedName name="_xlnm.Print_Titles" localSheetId="69">'ОСР 05-02(2021г)'!$24:$24</definedName>
    <definedName name="_xlnm.Print_Titles" localSheetId="75">'ОСР 06-02(2000г)'!$24:$24</definedName>
    <definedName name="_xlnm.Print_Titles" localSheetId="82">'ОСР 07-01(2000г)'!$24:$24</definedName>
    <definedName name="_xlnm.Print_Titles" localSheetId="88">'ОСР 07-02(2000г)'!$24:$24</definedName>
    <definedName name="_xlnm.Print_Titles" localSheetId="89">'ОСР 07-02(2021г)'!$24:$24</definedName>
    <definedName name="_xlnm.Print_Titles" localSheetId="96">'ОСР 09-04 (2021г)'!$24:$24</definedName>
    <definedName name="_xlnm.Print_Titles" localSheetId="95">'ОСР 09-04(2000г)'!$24:$24</definedName>
    <definedName name="_xlnm.Print_Titles" localSheetId="54">'ОСР03-03(2021г)'!$24:$24</definedName>
    <definedName name="_xlnm.Print_Titles" localSheetId="60">'ОСР04-01(2021г)'!$24:$24</definedName>
    <definedName name="_xlnm.Print_Titles" localSheetId="64">'ОСР04-02(2021г)'!$24:$24</definedName>
    <definedName name="_xlnm.Print_Titles" localSheetId="76">'ОСР06-02(2021г)'!$24:$24</definedName>
    <definedName name="_xlnm.Print_Titles" localSheetId="83">'ОСР07-01(2021г)'!$24:$24</definedName>
    <definedName name="_xlnm.Print_Titles" localSheetId="123">'СР-7 '!$15:$15</definedName>
    <definedName name="_xlnm.Print_Titles" localSheetId="4">'ССРСС(2000г )'!$23:$23</definedName>
    <definedName name="_xlnm.Print_Titles" localSheetId="13">'ССРСС(2021г.)'!$21:$21</definedName>
    <definedName name="ЗаказДолжность" localSheetId="7">[49]ОбмОбслЗемОд!$B$67</definedName>
    <definedName name="ЗаказДолжность">[50]ОбмОбслЗемОд!$B$67</definedName>
    <definedName name="ЗаказИмя" localSheetId="7">[49]ОбмОбслЗемОд!$C$69</definedName>
    <definedName name="ЗаказИмя">[50]ОбмОбслЗемОд!$C$69</definedName>
    <definedName name="Заказчик" localSheetId="10">#REF!</definedName>
    <definedName name="Заказчик" localSheetId="12">#REF!</definedName>
    <definedName name="Заказчик" localSheetId="116">#REF!</definedName>
    <definedName name="Заказчик" localSheetId="8">#REF!</definedName>
    <definedName name="Заказчик" localSheetId="11">#REF!</definedName>
    <definedName name="Заказчик" localSheetId="110">#REF!</definedName>
    <definedName name="Заказчик" localSheetId="109">#REF!</definedName>
    <definedName name="Заказчик" localSheetId="108">#REF!</definedName>
    <definedName name="Заказчик" localSheetId="6">#REF!</definedName>
    <definedName name="Заказчик" localSheetId="9">#REF!</definedName>
    <definedName name="Заказчик" localSheetId="7">#REF!</definedName>
    <definedName name="Заказчик" localSheetId="92">#REF!</definedName>
    <definedName name="Заказчик" localSheetId="93">#REF!</definedName>
    <definedName name="Заказчик" localSheetId="94">#REF!</definedName>
    <definedName name="Заказчик" localSheetId="99">#REF!</definedName>
    <definedName name="Заказчик" localSheetId="100">#REF!</definedName>
    <definedName name="Заказчик" localSheetId="106">#REF!</definedName>
    <definedName name="Заказчик" localSheetId="4">#REF!</definedName>
    <definedName name="Заказчик" localSheetId="13">#REF!</definedName>
    <definedName name="Заказчик">#REF!</definedName>
    <definedName name="Заказчик_1" localSheetId="10">#REF!</definedName>
    <definedName name="Заказчик_1" localSheetId="9">#REF!</definedName>
    <definedName name="Заказчик_1">#REF!</definedName>
    <definedName name="зжшщз" localSheetId="10">[51]топография!#REF!</definedName>
    <definedName name="зжшщз" localSheetId="9">[51]топография!#REF!</definedName>
    <definedName name="зжшщз">[51]топография!#REF!</definedName>
    <definedName name="Зимнее_удорожание">[29]Коэфф!$B$1</definedName>
    <definedName name="ЗИП_Всего" localSheetId="10">'[24]Прайс лист'!#REF!</definedName>
    <definedName name="ЗИП_Всего" localSheetId="9">'[24]Прайс лист'!#REF!</definedName>
    <definedName name="ЗИП_Всего">'[24]Прайс лист'!#REF!</definedName>
    <definedName name="ЗИП_Всего_1" localSheetId="10">#REF!</definedName>
    <definedName name="ЗИП_Всего_1" localSheetId="9">#REF!</definedName>
    <definedName name="ЗИП_Всего_1">#REF!</definedName>
    <definedName name="зол" localSheetId="10">#REF!</definedName>
    <definedName name="зол" localSheetId="12">#REF!</definedName>
    <definedName name="зол" localSheetId="116">#REF!</definedName>
    <definedName name="зол" localSheetId="8">#REF!</definedName>
    <definedName name="зол" localSheetId="11">#REF!</definedName>
    <definedName name="зол" localSheetId="110">#REF!</definedName>
    <definedName name="зол" localSheetId="109">#REF!</definedName>
    <definedName name="зол" localSheetId="108">#REF!</definedName>
    <definedName name="зол" localSheetId="6">#REF!</definedName>
    <definedName name="зол" localSheetId="9">#REF!</definedName>
    <definedName name="зол" localSheetId="7">#REF!</definedName>
    <definedName name="зол" localSheetId="92">#REF!</definedName>
    <definedName name="зол" localSheetId="93">#REF!</definedName>
    <definedName name="зол" localSheetId="94">#REF!</definedName>
    <definedName name="зол" localSheetId="99">#REF!</definedName>
    <definedName name="зол" localSheetId="100">#REF!</definedName>
    <definedName name="зол" localSheetId="106">#REF!</definedName>
    <definedName name="зол" localSheetId="4">#REF!</definedName>
    <definedName name="зол" localSheetId="13">#REF!</definedName>
    <definedName name="зол">#REF!</definedName>
    <definedName name="зол_1" localSheetId="10">#REF!</definedName>
    <definedName name="зол_1" localSheetId="12">#REF!</definedName>
    <definedName name="зол_1" localSheetId="116">#REF!</definedName>
    <definedName name="зол_1" localSheetId="8">#REF!</definedName>
    <definedName name="зол_1" localSheetId="11">#REF!</definedName>
    <definedName name="зол_1" localSheetId="110">#REF!</definedName>
    <definedName name="зол_1" localSheetId="109">#REF!</definedName>
    <definedName name="зол_1" localSheetId="108">#REF!</definedName>
    <definedName name="зол_1" localSheetId="6">#REF!</definedName>
    <definedName name="зол_1" localSheetId="9">#REF!</definedName>
    <definedName name="зол_1" localSheetId="7">#REF!</definedName>
    <definedName name="зол_1" localSheetId="92">#REF!</definedName>
    <definedName name="зол_1" localSheetId="93">#REF!</definedName>
    <definedName name="зол_1" localSheetId="94">#REF!</definedName>
    <definedName name="зол_1" localSheetId="99">#REF!</definedName>
    <definedName name="зол_1" localSheetId="100">#REF!</definedName>
    <definedName name="зол_1" localSheetId="106">#REF!</definedName>
    <definedName name="зол_1" localSheetId="4">#REF!</definedName>
    <definedName name="зол_1" localSheetId="13">#REF!</definedName>
    <definedName name="зол_1">#REF!</definedName>
    <definedName name="зол_10" localSheetId="10">#REF!</definedName>
    <definedName name="зол_10" localSheetId="12">#REF!</definedName>
    <definedName name="зол_10" localSheetId="116">#REF!</definedName>
    <definedName name="зол_10" localSheetId="110">#REF!</definedName>
    <definedName name="зол_10" localSheetId="109">#REF!</definedName>
    <definedName name="зол_10" localSheetId="108">#REF!</definedName>
    <definedName name="зол_10" localSheetId="9">#REF!</definedName>
    <definedName name="зол_10" localSheetId="92">#REF!</definedName>
    <definedName name="зол_10" localSheetId="93">#REF!</definedName>
    <definedName name="зол_10" localSheetId="94">#REF!</definedName>
    <definedName name="зол_10" localSheetId="99">#REF!</definedName>
    <definedName name="зол_10" localSheetId="100">#REF!</definedName>
    <definedName name="зол_10" localSheetId="106">#REF!</definedName>
    <definedName name="зол_10" localSheetId="4">#REF!</definedName>
    <definedName name="зол_10" localSheetId="13">#REF!</definedName>
    <definedName name="зол_10">#REF!</definedName>
    <definedName name="зол_11" localSheetId="10">#REF!</definedName>
    <definedName name="зол_11" localSheetId="12">#REF!</definedName>
    <definedName name="зол_11" localSheetId="110">#REF!</definedName>
    <definedName name="зол_11" localSheetId="9">#REF!</definedName>
    <definedName name="зол_11">#REF!</definedName>
    <definedName name="зол_12" localSheetId="10">#REF!</definedName>
    <definedName name="зол_12" localSheetId="12">#REF!</definedName>
    <definedName name="зол_12" localSheetId="110">#REF!</definedName>
    <definedName name="зол_12" localSheetId="9">#REF!</definedName>
    <definedName name="зол_12">#REF!</definedName>
    <definedName name="зол_13" localSheetId="10">#REF!</definedName>
    <definedName name="зол_13" localSheetId="12">#REF!</definedName>
    <definedName name="зол_13" localSheetId="110">#REF!</definedName>
    <definedName name="зол_13" localSheetId="9">#REF!</definedName>
    <definedName name="зол_13">#REF!</definedName>
    <definedName name="зол_14" localSheetId="10">#REF!</definedName>
    <definedName name="зол_14" localSheetId="12">#REF!</definedName>
    <definedName name="зол_14" localSheetId="110">#REF!</definedName>
    <definedName name="зол_14" localSheetId="9">#REF!</definedName>
    <definedName name="зол_14">#REF!</definedName>
    <definedName name="зол_15" localSheetId="10">#REF!</definedName>
    <definedName name="зол_15" localSheetId="12">#REF!</definedName>
    <definedName name="зол_15" localSheetId="110">#REF!</definedName>
    <definedName name="зол_15" localSheetId="9">#REF!</definedName>
    <definedName name="зол_15">#REF!</definedName>
    <definedName name="зол_16" localSheetId="10">#REF!</definedName>
    <definedName name="зол_16" localSheetId="12">#REF!</definedName>
    <definedName name="зол_16" localSheetId="110">#REF!</definedName>
    <definedName name="зол_16" localSheetId="9">#REF!</definedName>
    <definedName name="зол_16">#REF!</definedName>
    <definedName name="зол_17" localSheetId="10">#REF!</definedName>
    <definedName name="зол_17" localSheetId="12">#REF!</definedName>
    <definedName name="зол_17" localSheetId="110">#REF!</definedName>
    <definedName name="зол_17" localSheetId="9">#REF!</definedName>
    <definedName name="зол_17">#REF!</definedName>
    <definedName name="зол_18" localSheetId="10">#REF!</definedName>
    <definedName name="зол_18" localSheetId="12">#REF!</definedName>
    <definedName name="зол_18" localSheetId="110">#REF!</definedName>
    <definedName name="зол_18" localSheetId="9">#REF!</definedName>
    <definedName name="зол_18">#REF!</definedName>
    <definedName name="зол_19" localSheetId="10">#REF!</definedName>
    <definedName name="зол_19" localSheetId="12">#REF!</definedName>
    <definedName name="зол_19" localSheetId="110">#REF!</definedName>
    <definedName name="зол_19" localSheetId="9">#REF!</definedName>
    <definedName name="зол_19">#REF!</definedName>
    <definedName name="зол_2" localSheetId="10">#REF!</definedName>
    <definedName name="зол_2" localSheetId="12">#REF!</definedName>
    <definedName name="зол_2" localSheetId="110">#REF!</definedName>
    <definedName name="зол_2" localSheetId="9">#REF!</definedName>
    <definedName name="зол_2">#REF!</definedName>
    <definedName name="зол_20" localSheetId="10">#REF!</definedName>
    <definedName name="зол_20" localSheetId="12">#REF!</definedName>
    <definedName name="зол_20" localSheetId="110">#REF!</definedName>
    <definedName name="зол_20" localSheetId="9">#REF!</definedName>
    <definedName name="зол_20">#REF!</definedName>
    <definedName name="зол_21" localSheetId="10">#REF!</definedName>
    <definedName name="зол_21" localSheetId="12">#REF!</definedName>
    <definedName name="зол_21" localSheetId="110">#REF!</definedName>
    <definedName name="зол_21" localSheetId="9">#REF!</definedName>
    <definedName name="зол_21">#REF!</definedName>
    <definedName name="зол_49" localSheetId="10">#REF!</definedName>
    <definedName name="зол_49" localSheetId="12">#REF!</definedName>
    <definedName name="зол_49" localSheetId="110">#REF!</definedName>
    <definedName name="зол_49" localSheetId="9">#REF!</definedName>
    <definedName name="зол_49">#REF!</definedName>
    <definedName name="зол_50" localSheetId="10">#REF!</definedName>
    <definedName name="зол_50" localSheetId="12">#REF!</definedName>
    <definedName name="зол_50" localSheetId="110">#REF!</definedName>
    <definedName name="зол_50" localSheetId="9">#REF!</definedName>
    <definedName name="зол_50">#REF!</definedName>
    <definedName name="зол_51" localSheetId="10">#REF!</definedName>
    <definedName name="зол_51" localSheetId="12">#REF!</definedName>
    <definedName name="зол_51" localSheetId="110">#REF!</definedName>
    <definedName name="зол_51" localSheetId="9">#REF!</definedName>
    <definedName name="зол_51">#REF!</definedName>
    <definedName name="зол_52" localSheetId="10">#REF!</definedName>
    <definedName name="зол_52" localSheetId="12">#REF!</definedName>
    <definedName name="зол_52" localSheetId="110">#REF!</definedName>
    <definedName name="зол_52" localSheetId="9">#REF!</definedName>
    <definedName name="зол_52">#REF!</definedName>
    <definedName name="зол_53" localSheetId="10">#REF!</definedName>
    <definedName name="зол_53" localSheetId="12">#REF!</definedName>
    <definedName name="зол_53" localSheetId="110">#REF!</definedName>
    <definedName name="зол_53" localSheetId="9">#REF!</definedName>
    <definedName name="зол_53">#REF!</definedName>
    <definedName name="зол_54" localSheetId="10">#REF!</definedName>
    <definedName name="зол_54" localSheetId="12">#REF!</definedName>
    <definedName name="зол_54" localSheetId="110">#REF!</definedName>
    <definedName name="зол_54" localSheetId="9">#REF!</definedName>
    <definedName name="зол_54">#REF!</definedName>
    <definedName name="зол_6" localSheetId="10">#REF!</definedName>
    <definedName name="зол_6" localSheetId="12">#REF!</definedName>
    <definedName name="зол_6" localSheetId="110">#REF!</definedName>
    <definedName name="зол_6" localSheetId="9">#REF!</definedName>
    <definedName name="зол_6">#REF!</definedName>
    <definedName name="зол_7" localSheetId="10">#REF!</definedName>
    <definedName name="зол_7" localSheetId="12">#REF!</definedName>
    <definedName name="зол_7" localSheetId="110">#REF!</definedName>
    <definedName name="зол_7" localSheetId="9">#REF!</definedName>
    <definedName name="зол_7">#REF!</definedName>
    <definedName name="зол_8" localSheetId="10">#REF!</definedName>
    <definedName name="зол_8" localSheetId="12">#REF!</definedName>
    <definedName name="зол_8" localSheetId="110">#REF!</definedName>
    <definedName name="зол_8" localSheetId="9">#REF!</definedName>
    <definedName name="зол_8">#REF!</definedName>
    <definedName name="зол_9" localSheetId="10">#REF!</definedName>
    <definedName name="зол_9" localSheetId="12">#REF!</definedName>
    <definedName name="зол_9" localSheetId="110">#REF!</definedName>
    <definedName name="зол_9" localSheetId="9">#REF!</definedName>
    <definedName name="зол_9">#REF!</definedName>
    <definedName name="зощр" localSheetId="10">#REF!</definedName>
    <definedName name="зощр" localSheetId="9">#REF!</definedName>
    <definedName name="зощр">#REF!</definedName>
    <definedName name="зщ" localSheetId="10" hidden="1">{#N/A,#N/A,TRUE,"Смета на пасс. обор. №1"}</definedName>
    <definedName name="зщ" localSheetId="12" hidden="1">{#N/A,#N/A,TRUE,"Смета на пасс. обор. №1"}</definedName>
    <definedName name="зщ" localSheetId="111" hidden="1">{#N/A,#N/A,TRUE,"Смета на пасс. обор. №1"}</definedName>
    <definedName name="зщ" localSheetId="112" hidden="1">{#N/A,#N/A,TRUE,"Смета на пасс. обор. №1"}</definedName>
    <definedName name="зщ" localSheetId="113" hidden="1">{#N/A,#N/A,TRUE,"Смета на пасс. обор. №1"}</definedName>
    <definedName name="зщ" localSheetId="114" hidden="1">{#N/A,#N/A,TRUE,"Смета на пасс. обор. №1"}</definedName>
    <definedName name="зщ" localSheetId="115" hidden="1">{#N/A,#N/A,TRUE,"Смета на пасс. обор. №1"}</definedName>
    <definedName name="зщ" localSheetId="116" hidden="1">{#N/A,#N/A,TRUE,"Смета на пасс. обор. №1"}</definedName>
    <definedName name="зщ" localSheetId="117" hidden="1">{#N/A,#N/A,TRUE,"Смета на пасс. обор. №1"}</definedName>
    <definedName name="зщ" localSheetId="118" hidden="1">{#N/A,#N/A,TRUE,"Смета на пасс. обор. №1"}</definedName>
    <definedName name="зщ" localSheetId="121" hidden="1">{#N/A,#N/A,TRUE,"Смета на пасс. обор. №1"}</definedName>
    <definedName name="зщ" localSheetId="122" hidden="1">{#N/A,#N/A,TRUE,"Смета на пасс. обор. №1"}</definedName>
    <definedName name="зщ" localSheetId="8" hidden="1">{#N/A,#N/A,TRUE,"Смета на пасс. обор. №1"}</definedName>
    <definedName name="зщ" localSheetId="11" hidden="1">{#N/A,#N/A,TRUE,"Смета на пасс. обор. №1"}</definedName>
    <definedName name="зщ" localSheetId="110" hidden="1">{#N/A,#N/A,TRUE,"Смета на пасс. обор. №1"}</definedName>
    <definedName name="зщ" localSheetId="109" hidden="1">{#N/A,#N/A,TRUE,"Смета на пасс. обор. №1"}</definedName>
    <definedName name="зщ" localSheetId="108" hidden="1">{#N/A,#N/A,TRUE,"Смета на пасс. обор. №1"}</definedName>
    <definedName name="зщ" localSheetId="6" hidden="1">{#N/A,#N/A,TRUE,"Смета на пасс. обор. №1"}</definedName>
    <definedName name="зщ" localSheetId="9" hidden="1">{#N/A,#N/A,TRUE,"Смета на пасс. обор. №1"}</definedName>
    <definedName name="зщ" localSheetId="7" hidden="1">{#N/A,#N/A,TRUE,"Смета на пасс. обор. №1"}</definedName>
    <definedName name="зщ" localSheetId="92" hidden="1">{#N/A,#N/A,TRUE,"Смета на пасс. обор. №1"}</definedName>
    <definedName name="зщ" localSheetId="93" hidden="1">{#N/A,#N/A,TRUE,"Смета на пасс. обор. №1"}</definedName>
    <definedName name="зщ" localSheetId="94" hidden="1">{#N/A,#N/A,TRUE,"Смета на пасс. обор. №1"}</definedName>
    <definedName name="зщ" localSheetId="99" hidden="1">{#N/A,#N/A,TRUE,"Смета на пасс. обор. №1"}</definedName>
    <definedName name="зщ" localSheetId="100" hidden="1">{#N/A,#N/A,TRUE,"Смета на пасс. обор. №1"}</definedName>
    <definedName name="зщ" localSheetId="106" hidden="1">{#N/A,#N/A,TRUE,"Смета на пасс. обор. №1"}</definedName>
    <definedName name="зщ" localSheetId="2" hidden="1">{#N/A,#N/A,TRUE,"Смета на пасс. обор. №1"}</definedName>
    <definedName name="зщ" localSheetId="123" hidden="1">{#N/A,#N/A,TRUE,"Смета на пасс. обор. №1"}</definedName>
    <definedName name="зщ" localSheetId="4" hidden="1">{#N/A,#N/A,TRUE,"Смета на пасс. обор. №1"}</definedName>
    <definedName name="зщ" localSheetId="13" hidden="1">{#N/A,#N/A,TRUE,"Смета на пасс. обор. №1"}</definedName>
    <definedName name="зщ" hidden="1">{#N/A,#N/A,TRUE,"Смета на пасс. обор. №1"}</definedName>
    <definedName name="зщ_1" localSheetId="10" hidden="1">{#N/A,#N/A,TRUE,"Смета на пасс. обор. №1"}</definedName>
    <definedName name="зщ_1" localSheetId="12" hidden="1">{#N/A,#N/A,TRUE,"Смета на пасс. обор. №1"}</definedName>
    <definedName name="зщ_1" localSheetId="111" hidden="1">{#N/A,#N/A,TRUE,"Смета на пасс. обор. №1"}</definedName>
    <definedName name="зщ_1" localSheetId="112" hidden="1">{#N/A,#N/A,TRUE,"Смета на пасс. обор. №1"}</definedName>
    <definedName name="зщ_1" localSheetId="113" hidden="1">{#N/A,#N/A,TRUE,"Смета на пасс. обор. №1"}</definedName>
    <definedName name="зщ_1" localSheetId="114" hidden="1">{#N/A,#N/A,TRUE,"Смета на пасс. обор. №1"}</definedName>
    <definedName name="зщ_1" localSheetId="115" hidden="1">{#N/A,#N/A,TRUE,"Смета на пасс. обор. №1"}</definedName>
    <definedName name="зщ_1" localSheetId="116" hidden="1">{#N/A,#N/A,TRUE,"Смета на пасс. обор. №1"}</definedName>
    <definedName name="зщ_1" localSheetId="117" hidden="1">{#N/A,#N/A,TRUE,"Смета на пасс. обор. №1"}</definedName>
    <definedName name="зщ_1" localSheetId="118" hidden="1">{#N/A,#N/A,TRUE,"Смета на пасс. обор. №1"}</definedName>
    <definedName name="зщ_1" localSheetId="121" hidden="1">{#N/A,#N/A,TRUE,"Смета на пасс. обор. №1"}</definedName>
    <definedName name="зщ_1" localSheetId="122" hidden="1">{#N/A,#N/A,TRUE,"Смета на пасс. обор. №1"}</definedName>
    <definedName name="зщ_1" localSheetId="8" hidden="1">{#N/A,#N/A,TRUE,"Смета на пасс. обор. №1"}</definedName>
    <definedName name="зщ_1" localSheetId="11" hidden="1">{#N/A,#N/A,TRUE,"Смета на пасс. обор. №1"}</definedName>
    <definedName name="зщ_1" localSheetId="110" hidden="1">{#N/A,#N/A,TRUE,"Смета на пасс. обор. №1"}</definedName>
    <definedName name="зщ_1" localSheetId="109" hidden="1">{#N/A,#N/A,TRUE,"Смета на пасс. обор. №1"}</definedName>
    <definedName name="зщ_1" localSheetId="108" hidden="1">{#N/A,#N/A,TRUE,"Смета на пасс. обор. №1"}</definedName>
    <definedName name="зщ_1" localSheetId="6" hidden="1">{#N/A,#N/A,TRUE,"Смета на пасс. обор. №1"}</definedName>
    <definedName name="зщ_1" localSheetId="9" hidden="1">{#N/A,#N/A,TRUE,"Смета на пасс. обор. №1"}</definedName>
    <definedName name="зщ_1" localSheetId="7" hidden="1">{#N/A,#N/A,TRUE,"Смета на пасс. обор. №1"}</definedName>
    <definedName name="зщ_1" localSheetId="92" hidden="1">{#N/A,#N/A,TRUE,"Смета на пасс. обор. №1"}</definedName>
    <definedName name="зщ_1" localSheetId="93" hidden="1">{#N/A,#N/A,TRUE,"Смета на пасс. обор. №1"}</definedName>
    <definedName name="зщ_1" localSheetId="94" hidden="1">{#N/A,#N/A,TRUE,"Смета на пасс. обор. №1"}</definedName>
    <definedName name="зщ_1" localSheetId="99" hidden="1">{#N/A,#N/A,TRUE,"Смета на пасс. обор. №1"}</definedName>
    <definedName name="зщ_1" localSheetId="100" hidden="1">{#N/A,#N/A,TRUE,"Смета на пасс. обор. №1"}</definedName>
    <definedName name="зщ_1" localSheetId="106" hidden="1">{#N/A,#N/A,TRUE,"Смета на пасс. обор. №1"}</definedName>
    <definedName name="зщ_1" localSheetId="2" hidden="1">{#N/A,#N/A,TRUE,"Смета на пасс. обор. №1"}</definedName>
    <definedName name="зщ_1" localSheetId="123" hidden="1">{#N/A,#N/A,TRUE,"Смета на пасс. обор. №1"}</definedName>
    <definedName name="зщ_1" localSheetId="4" hidden="1">{#N/A,#N/A,TRUE,"Смета на пасс. обор. №1"}</definedName>
    <definedName name="зщ_1" localSheetId="13" hidden="1">{#N/A,#N/A,TRUE,"Смета на пасс. обор. №1"}</definedName>
    <definedName name="зщ_1" hidden="1">{#N/A,#N/A,TRUE,"Смета на пасс. обор. №1"}</definedName>
    <definedName name="ЗЮзя" localSheetId="10">#REF!</definedName>
    <definedName name="ЗЮзя" localSheetId="9">#REF!</definedName>
    <definedName name="ЗЮзя">#REF!</definedName>
    <definedName name="й" localSheetId="10">#REF!</definedName>
    <definedName name="й" localSheetId="9">#REF!</definedName>
    <definedName name="й">#REF!</definedName>
    <definedName name="Ивановская_область" localSheetId="10">#REF!</definedName>
    <definedName name="Ивановская_область" localSheetId="9">#REF!</definedName>
    <definedName name="Ивановская_область">#REF!</definedName>
    <definedName name="ивпт" localSheetId="10">#REF!</definedName>
    <definedName name="ивпт" localSheetId="9">#REF!</definedName>
    <definedName name="ивпт">#REF!</definedName>
    <definedName name="изыск" localSheetId="10">#REF!</definedName>
    <definedName name="изыск" localSheetId="9">#REF!</definedName>
    <definedName name="изыск">#REF!</definedName>
    <definedName name="изыск_1" localSheetId="10">#REF!</definedName>
    <definedName name="изыск_1" localSheetId="9">#REF!</definedName>
    <definedName name="изыск_1">#REF!</definedName>
    <definedName name="ии" localSheetId="10">#REF!</definedName>
    <definedName name="ии" localSheetId="12">#REF!</definedName>
    <definedName name="ии" localSheetId="112">#REF!</definedName>
    <definedName name="ии" localSheetId="113">#REF!</definedName>
    <definedName name="ии" localSheetId="115">#REF!</definedName>
    <definedName name="ии" localSheetId="116">#REF!</definedName>
    <definedName name="ии" localSheetId="110">#REF!</definedName>
    <definedName name="ии" localSheetId="9">#REF!</definedName>
    <definedName name="ии" localSheetId="92">#REF!</definedName>
    <definedName name="ии" localSheetId="93">#REF!</definedName>
    <definedName name="ии" localSheetId="94">#REF!</definedName>
    <definedName name="ии" localSheetId="99">#REF!</definedName>
    <definedName name="ии" localSheetId="100">#REF!</definedName>
    <definedName name="ии" localSheetId="106">#REF!</definedName>
    <definedName name="ии">#REF!</definedName>
    <definedName name="ик" localSheetId="10">#REF!</definedName>
    <definedName name="ик" localSheetId="12">#REF!</definedName>
    <definedName name="ик" localSheetId="116">#REF!</definedName>
    <definedName name="ик" localSheetId="110">#REF!</definedName>
    <definedName name="ик" localSheetId="9">#REF!</definedName>
    <definedName name="ик" localSheetId="92">#REF!</definedName>
    <definedName name="ик" localSheetId="93">#REF!</definedName>
    <definedName name="ик" localSheetId="94">#REF!</definedName>
    <definedName name="ик" localSheetId="99">#REF!</definedName>
    <definedName name="ик" localSheetId="100">#REF!</definedName>
    <definedName name="ик" localSheetId="106">#REF!</definedName>
    <definedName name="ик">#REF!</definedName>
    <definedName name="имми" localSheetId="10">[4]топография!#REF!</definedName>
    <definedName name="имми" localSheetId="9">[4]топография!#REF!</definedName>
    <definedName name="имми">[4]топография!#REF!</definedName>
    <definedName name="имт" localSheetId="10">#REF!</definedName>
    <definedName name="имт" localSheetId="9">#REF!</definedName>
    <definedName name="имт">#REF!</definedName>
    <definedName name="имя" localSheetId="10">#REF!</definedName>
    <definedName name="имя" localSheetId="12">#REF!</definedName>
    <definedName name="имя" localSheetId="9">#REF!</definedName>
    <definedName name="имя" localSheetId="92">#REF!</definedName>
    <definedName name="имя" localSheetId="93">#REF!</definedName>
    <definedName name="имя" localSheetId="94">#REF!</definedName>
    <definedName name="имя" localSheetId="99">#REF!</definedName>
    <definedName name="имя" localSheetId="100">#REF!</definedName>
    <definedName name="имя" localSheetId="106">#REF!</definedName>
    <definedName name="имя">#REF!</definedName>
    <definedName name="Инвестор" localSheetId="10">#REF!</definedName>
    <definedName name="Инвестор" localSheetId="9">#REF!</definedName>
    <definedName name="Инвестор">#REF!</definedName>
    <definedName name="Инд" localSheetId="10">#REF!</definedName>
    <definedName name="Инд" localSheetId="9">#REF!</definedName>
    <definedName name="Инд">#REF!</definedName>
    <definedName name="Индекс" localSheetId="10">'[52]Расч(подряд)'!#REF!</definedName>
    <definedName name="Индекс" localSheetId="9">'[52]Расч(подряд)'!#REF!</definedName>
    <definedName name="Индекс">'[52]Расч(подряд)'!#REF!</definedName>
    <definedName name="индекс_0" localSheetId="10">#REF!</definedName>
    <definedName name="индекс_0" localSheetId="9">#REF!</definedName>
    <definedName name="индекс_0">#REF!</definedName>
    <definedName name="Индекс_1" localSheetId="10">#REF!</definedName>
    <definedName name="Индекс_1" localSheetId="9">#REF!</definedName>
    <definedName name="Индекс_1">#REF!</definedName>
    <definedName name="индекс_100" localSheetId="10">#REF!</definedName>
    <definedName name="индекс_100" localSheetId="9">#REF!</definedName>
    <definedName name="индекс_100">#REF!</definedName>
    <definedName name="индекс_101" localSheetId="10">#REF!</definedName>
    <definedName name="индекс_101" localSheetId="9">#REF!</definedName>
    <definedName name="индекс_101">#REF!</definedName>
    <definedName name="индекс_102" localSheetId="10">#REF!</definedName>
    <definedName name="индекс_102" localSheetId="9">#REF!</definedName>
    <definedName name="индекс_102">#REF!</definedName>
    <definedName name="индекс_103" localSheetId="10">#REF!</definedName>
    <definedName name="индекс_103" localSheetId="9">#REF!</definedName>
    <definedName name="индекс_103">#REF!</definedName>
    <definedName name="индекс_104" localSheetId="10">#REF!</definedName>
    <definedName name="индекс_104" localSheetId="9">#REF!</definedName>
    <definedName name="индекс_104">#REF!</definedName>
    <definedName name="индекс_105" localSheetId="10">#REF!</definedName>
    <definedName name="индекс_105" localSheetId="9">#REF!</definedName>
    <definedName name="индекс_105">#REF!</definedName>
    <definedName name="индекс_105032654" localSheetId="10">#REF!</definedName>
    <definedName name="индекс_105032654" localSheetId="9">#REF!</definedName>
    <definedName name="индекс_105032654">#REF!</definedName>
    <definedName name="индекс_999" localSheetId="10">#REF!</definedName>
    <definedName name="индекс_999" localSheetId="9">#REF!</definedName>
    <definedName name="индекс_999">#REF!</definedName>
    <definedName name="Индекс_ЛН_группы_строек" localSheetId="10">#REF!</definedName>
    <definedName name="Индекс_ЛН_группы_строек" localSheetId="9">#REF!</definedName>
    <definedName name="Индекс_ЛН_группы_строек">#REF!</definedName>
    <definedName name="Индекс_ЛН_локальной_сметы" localSheetId="10">#REF!</definedName>
    <definedName name="Индекс_ЛН_локальной_сметы" localSheetId="9">#REF!</definedName>
    <definedName name="Индекс_ЛН_локальной_сметы">#REF!</definedName>
    <definedName name="Индекс_ЛН_объекта" localSheetId="10">#REF!</definedName>
    <definedName name="Индекс_ЛН_объекта" localSheetId="9">#REF!</definedName>
    <definedName name="Индекс_ЛН_объекта">#REF!</definedName>
    <definedName name="Индекс_ЛН_объектной_сметы" localSheetId="10">#REF!</definedName>
    <definedName name="Индекс_ЛН_объектной_сметы" localSheetId="9">#REF!</definedName>
    <definedName name="Индекс_ЛН_объектной_сметы">#REF!</definedName>
    <definedName name="Индекс_ЛН_очереди" localSheetId="10">#REF!</definedName>
    <definedName name="Индекс_ЛН_очереди" localSheetId="9">#REF!</definedName>
    <definedName name="Индекс_ЛН_очереди">#REF!</definedName>
    <definedName name="Индекс_ЛН_пускового_комплекса" localSheetId="10">#REF!</definedName>
    <definedName name="Индекс_ЛН_пускового_комплекса" localSheetId="9">#REF!</definedName>
    <definedName name="Индекс_ЛН_пускового_комплекса">#REF!</definedName>
    <definedName name="Индекс_ЛН_сводного_сметного_расчета" localSheetId="10">#REF!</definedName>
    <definedName name="Индекс_ЛН_сводного_сметного_расчета" localSheetId="9">#REF!</definedName>
    <definedName name="Индекс_ЛН_сводного_сметного_расчета">#REF!</definedName>
    <definedName name="Индекс_ЛН_стройки" localSheetId="10">#REF!</definedName>
    <definedName name="Индекс_ЛН_стройки" localSheetId="9">#REF!</definedName>
    <definedName name="Индекс_ЛН_стройки">#REF!</definedName>
    <definedName name="индекс_С3" localSheetId="10">#REF!</definedName>
    <definedName name="индекс_С3" localSheetId="9">#REF!</definedName>
    <definedName name="индекс_С3">#REF!</definedName>
    <definedName name="Индекс1" localSheetId="10">'[52]Расч(подряд)'!#REF!</definedName>
    <definedName name="Индекс1" localSheetId="9">'[52]Расч(подряд)'!#REF!</definedName>
    <definedName name="Индекс1">'[52]Расч(подряд)'!#REF!</definedName>
    <definedName name="Индекс2" localSheetId="10">'[52]Расч(подряд)'!#REF!</definedName>
    <definedName name="Индекс2" localSheetId="9">'[52]Расч(подряд)'!#REF!</definedName>
    <definedName name="Индекс2">'[52]Расч(подряд)'!#REF!</definedName>
    <definedName name="ИндексА" localSheetId="10">#REF!</definedName>
    <definedName name="ИндексА" localSheetId="9">#REF!</definedName>
    <definedName name="ИндексА">#REF!</definedName>
    <definedName name="инж" localSheetId="10">#REF!</definedName>
    <definedName name="инж" localSheetId="9">#REF!</definedName>
    <definedName name="инж">#REF!</definedName>
    <definedName name="инж_1" localSheetId="10">#REF!</definedName>
    <definedName name="инж_1" localSheetId="9">#REF!</definedName>
    <definedName name="инж_1">#REF!</definedName>
    <definedName name="инфл" localSheetId="10">#REF!</definedName>
    <definedName name="инфл" localSheetId="12">#REF!</definedName>
    <definedName name="инфл" localSheetId="112">#REF!</definedName>
    <definedName name="инфл" localSheetId="113">#REF!</definedName>
    <definedName name="инфл" localSheetId="115">#REF!</definedName>
    <definedName name="инфл" localSheetId="116">#REF!</definedName>
    <definedName name="инфл" localSheetId="110">#REF!</definedName>
    <definedName name="инфл" localSheetId="9">#REF!</definedName>
    <definedName name="инфл" localSheetId="4">#REF!</definedName>
    <definedName name="инфл" localSheetId="13">#REF!</definedName>
    <definedName name="инфл">#REF!</definedName>
    <definedName name="иошль" localSheetId="10">#REF!</definedName>
    <definedName name="иошль" localSheetId="9">#REF!</definedName>
    <definedName name="иошль">#REF!</definedName>
    <definedName name="ип" localSheetId="10">#REF!</definedName>
    <definedName name="ип" localSheetId="12">#REF!</definedName>
    <definedName name="ип" localSheetId="112">#REF!</definedName>
    <definedName name="ип" localSheetId="113">#REF!</definedName>
    <definedName name="ип" localSheetId="115">#REF!</definedName>
    <definedName name="ип" localSheetId="116">#REF!</definedName>
    <definedName name="ип" localSheetId="110">#REF!</definedName>
    <definedName name="ип" localSheetId="9">#REF!</definedName>
    <definedName name="ип">#REF!</definedName>
    <definedName name="ИПусто" localSheetId="10">#REF!</definedName>
    <definedName name="ИПусто" localSheetId="12">#REF!</definedName>
    <definedName name="ИПусто" localSheetId="110">#REF!</definedName>
    <definedName name="ИПусто" localSheetId="9">#REF!</definedName>
    <definedName name="ИПусто">#REF!</definedName>
    <definedName name="ИПусто_1" localSheetId="10">#REF!</definedName>
    <definedName name="ИПусто_1" localSheetId="9">#REF!</definedName>
    <definedName name="ИПусто_1">#REF!</definedName>
    <definedName name="Иркутская_область" localSheetId="10">#REF!</definedName>
    <definedName name="Иркутская_область" localSheetId="9">#REF!</definedName>
    <definedName name="Иркутская_область">#REF!</definedName>
    <definedName name="Иркутская_область_1" localSheetId="10">#REF!</definedName>
    <definedName name="Иркутская_область_1" localSheetId="9">#REF!</definedName>
    <definedName name="Иркутская_область_1">#REF!</definedName>
    <definedName name="ИС__И.Максимов" localSheetId="10">#REF!</definedName>
    <definedName name="ИС__И.Максимов" localSheetId="9">#REF!</definedName>
    <definedName name="ИС__И.Максимов">#REF!</definedName>
    <definedName name="ит" localSheetId="10">#REF!</definedName>
    <definedName name="ит" localSheetId="12">#REF!</definedName>
    <definedName name="ит" localSheetId="110">#REF!</definedName>
    <definedName name="ит" localSheetId="9">#REF!</definedName>
    <definedName name="ит">#REF!</definedName>
    <definedName name="итог" localSheetId="10">#REF!</definedName>
    <definedName name="итог" localSheetId="9">#REF!</definedName>
    <definedName name="итог">#REF!</definedName>
    <definedName name="итого" localSheetId="10">#REF!</definedName>
    <definedName name="итого" localSheetId="9">#REF!</definedName>
    <definedName name="итого">#REF!</definedName>
    <definedName name="Итого_ЗПМ__по_рес_расчету_с_учетом_к_тов" localSheetId="10">#REF!</definedName>
    <definedName name="Итого_ЗПМ__по_рес_расчету_с_учетом_к_тов" localSheetId="9">#REF!</definedName>
    <definedName name="Итого_ЗПМ__по_рес_расчету_с_учетом_к_тов">#REF!</definedName>
    <definedName name="Итого_ЗПМ_в_базисных_ценах" localSheetId="10">'[53]Переменные и константы'!#REF!</definedName>
    <definedName name="Итого_ЗПМ_в_базисных_ценах" localSheetId="9">'[53]Переменные и константы'!#REF!</definedName>
    <definedName name="Итого_ЗПМ_в_базисных_ценах">'[53]Переменные и константы'!#REF!</definedName>
    <definedName name="Итого_ЗПМ_в_базисных_ценах_с_учетом_к_тов" localSheetId="10">'[53]Переменные и константы'!#REF!</definedName>
    <definedName name="Итого_ЗПМ_в_базисных_ценах_с_учетом_к_тов" localSheetId="9">'[53]Переменные и константы'!#REF!</definedName>
    <definedName name="Итого_ЗПМ_в_базисных_ценах_с_учетом_к_тов">'[53]Переменные и константы'!#REF!</definedName>
    <definedName name="Итого_ЗПМ_по_акту_вып_работ_в_базисных_ценах_с_учетом_к_тов" localSheetId="10">#REF!</definedName>
    <definedName name="Итого_ЗПМ_по_акту_вып_работ_в_базисных_ценах_с_учетом_к_тов" localSheetId="9">#REF!</definedName>
    <definedName name="Итого_ЗПМ_по_акту_вып_работ_в_базисных_ценах_с_учетом_к_тов">#REF!</definedName>
    <definedName name="Итого_ЗПМ_по_акту_вып_работ_при_ресурсном_расчете_с_учетом_к_тов" localSheetId="10">#REF!</definedName>
    <definedName name="Итого_ЗПМ_по_акту_вып_работ_при_ресурсном_расчете_с_учетом_к_тов" localSheetId="9">#REF!</definedName>
    <definedName name="Итого_ЗПМ_по_акту_вып_работ_при_ресурсном_расчете_с_учетом_к_тов">#REF!</definedName>
    <definedName name="Итого_ЗПМ_по_акту_выполненных_работ_в_базисных_ценах" localSheetId="10">#REF!</definedName>
    <definedName name="Итого_ЗПМ_по_акту_выполненных_работ_в_базисных_ценах" localSheetId="9">#REF!</definedName>
    <definedName name="Итого_ЗПМ_по_акту_выполненных_работ_в_базисных_ценах">#REF!</definedName>
    <definedName name="Итого_ЗПМ_по_акту_выполненных_работ_при_ресурсном_расчете" localSheetId="10">#REF!</definedName>
    <definedName name="Итого_ЗПМ_по_акту_выполненных_работ_при_ресурсном_расчете" localSheetId="9">#REF!</definedName>
    <definedName name="Итого_ЗПМ_по_акту_выполненных_работ_при_ресурсном_расчете">#REF!</definedName>
    <definedName name="Итого_ЗПМ_при_расчете_по_стоимости_ч_часа_работы_механизаторов" localSheetId="10">#REF!</definedName>
    <definedName name="Итого_ЗПМ_при_расчете_по_стоимости_ч_часа_работы_механизаторов" localSheetId="9">#REF!</definedName>
    <definedName name="Итого_ЗПМ_при_расчете_по_стоимости_ч_часа_работы_механизаторов">#REF!</definedName>
    <definedName name="итого_Куст" localSheetId="10">#REF!</definedName>
    <definedName name="итого_Куст" localSheetId="9">#REF!</definedName>
    <definedName name="итого_Куст">#REF!</definedName>
    <definedName name="итого_Куст_П" localSheetId="10">#REF!</definedName>
    <definedName name="итого_Куст_П" localSheetId="9">#REF!</definedName>
    <definedName name="итого_Куст_П">#REF!</definedName>
    <definedName name="Итого_МАТ_по_акту_вып_работ_в_базисных_ценах_с_учетом_к_тов" localSheetId="10">#REF!</definedName>
    <definedName name="Итого_МАТ_по_акту_вып_работ_в_базисных_ценах_с_учетом_к_тов" localSheetId="9">#REF!</definedName>
    <definedName name="Итого_МАТ_по_акту_вып_работ_в_базисных_ценах_с_учетом_к_тов">#REF!</definedName>
    <definedName name="Итого_МАТ_по_акту_вып_работ_при_ресурсном_расчете_с_учетом_к_тов" localSheetId="10">#REF!</definedName>
    <definedName name="Итого_МАТ_по_акту_вып_работ_при_ресурсном_расчете_с_учетом_к_тов" localSheetId="9">#REF!</definedName>
    <definedName name="Итого_МАТ_по_акту_вып_работ_при_ресурсном_расчете_с_учетом_к_тов">#REF!</definedName>
    <definedName name="Итого_материалы" localSheetId="10">#REF!</definedName>
    <definedName name="Итого_материалы" localSheetId="9">#REF!</definedName>
    <definedName name="Итого_материалы">#REF!</definedName>
    <definedName name="Итого_материалы__по_рес_расчету_с_учетом_к_тов" localSheetId="10">#REF!</definedName>
    <definedName name="Итого_материалы__по_рес_расчету_с_учетом_к_тов" localSheetId="9">#REF!</definedName>
    <definedName name="Итого_материалы__по_рес_расчету_с_учетом_к_тов">#REF!</definedName>
    <definedName name="Итого_материалы_в_базисных_ценах" localSheetId="10">'[53]Переменные и константы'!#REF!</definedName>
    <definedName name="Итого_материалы_в_базисных_ценах" localSheetId="9">'[53]Переменные и константы'!#REF!</definedName>
    <definedName name="Итого_материалы_в_базисных_ценах">'[53]Переменные и константы'!#REF!</definedName>
    <definedName name="Итого_материалы_в_базисных_ценах_с_учетом_к_тов" localSheetId="10">'[53]Переменные и константы'!#REF!</definedName>
    <definedName name="Итого_материалы_в_базисных_ценах_с_учетом_к_тов" localSheetId="9">'[53]Переменные и константы'!#REF!</definedName>
    <definedName name="Итого_материалы_в_базисных_ценах_с_учетом_к_тов">'[53]Переменные и константы'!#REF!</definedName>
    <definedName name="Итого_материалы_по_акту_выполненных_работ_в_базисных_ценах" localSheetId="10">#REF!</definedName>
    <definedName name="Итого_материалы_по_акту_выполненных_работ_в_базисных_ценах" localSheetId="9">#REF!</definedName>
    <definedName name="Итого_материалы_по_акту_выполненных_работ_в_базисных_ценах">#REF!</definedName>
    <definedName name="Итого_материалы_по_акту_выполненных_работ_при_ресурсном_расчете" localSheetId="10">#REF!</definedName>
    <definedName name="Итого_материалы_по_акту_выполненных_работ_при_ресурсном_расчете" localSheetId="9">#REF!</definedName>
    <definedName name="Итого_материалы_по_акту_выполненных_работ_при_ресурсном_расчете">#REF!</definedName>
    <definedName name="Итого_машины_и_механизмы" localSheetId="10">#REF!</definedName>
    <definedName name="Итого_машины_и_механизмы" localSheetId="9">#REF!</definedName>
    <definedName name="Итого_машины_и_механизмы">#REF!</definedName>
    <definedName name="Итого_машины_и_механизмы_в_базисных_ценах" localSheetId="10">'[53]Переменные и константы'!#REF!</definedName>
    <definedName name="Итого_машины_и_механизмы_в_базисных_ценах" localSheetId="9">'[53]Переменные и константы'!#REF!</definedName>
    <definedName name="Итого_машины_и_механизмы_в_базисных_ценах">'[53]Переменные и константы'!#REF!</definedName>
    <definedName name="Итого_машины_и_механизмы_по_акту_выполненных_работ_в_базисных_ценах" localSheetId="10">#REF!</definedName>
    <definedName name="Итого_машины_и_механизмы_по_акту_выполненных_работ_в_базисных_ценах" localSheetId="9">#REF!</definedName>
    <definedName name="Итого_машины_и_механизмы_по_акту_выполненных_работ_в_базисных_ценах">#REF!</definedName>
    <definedName name="Итого_машины_и_механизмы_по_акту_выполненных_работ_при_ресурсном_расчете" localSheetId="10">#REF!</definedName>
    <definedName name="Итого_машины_и_механизмы_по_акту_выполненных_работ_при_ресурсном_расчете" localSheetId="9">#REF!</definedName>
    <definedName name="Итого_машины_и_механизмы_по_акту_выполненных_работ_при_ресурсном_расчете">#REF!</definedName>
    <definedName name="Итого_НР_в_базисных_ценах" localSheetId="10">'[53]Переменные и константы'!#REF!</definedName>
    <definedName name="Итого_НР_в_базисных_ценах" localSheetId="9">'[53]Переменные и константы'!#REF!</definedName>
    <definedName name="Итого_НР_в_базисных_ценах">'[53]Переменные и константы'!#REF!</definedName>
    <definedName name="Итого_НР_по_акту_в_базисных_ценах" localSheetId="10">'[53]Переменные и константы'!#REF!</definedName>
    <definedName name="Итого_НР_по_акту_в_базисных_ценах" localSheetId="9">'[53]Переменные и константы'!#REF!</definedName>
    <definedName name="Итого_НР_по_акту_в_базисных_ценах">'[53]Переменные и константы'!#REF!</definedName>
    <definedName name="Итого_НР_по_акту_по_ресурсному_расчету" localSheetId="10">#REF!</definedName>
    <definedName name="Итого_НР_по_акту_по_ресурсному_расчету" localSheetId="9">#REF!</definedName>
    <definedName name="Итого_НР_по_акту_по_ресурсному_расчету">#REF!</definedName>
    <definedName name="Итого_НР_по_ресурсному_расчету" localSheetId="10">#REF!</definedName>
    <definedName name="Итого_НР_по_ресурсному_расчету" localSheetId="9">#REF!</definedName>
    <definedName name="Итого_НР_по_ресурсному_расчету">#REF!</definedName>
    <definedName name="Итого_ОЗП" localSheetId="10">#REF!</definedName>
    <definedName name="Итого_ОЗП" localSheetId="9">#REF!</definedName>
    <definedName name="Итого_ОЗП">#REF!</definedName>
    <definedName name="Итого_ОЗП_в_базисных_ценах" localSheetId="10">'[53]Переменные и константы'!#REF!</definedName>
    <definedName name="Итого_ОЗП_в_базисных_ценах" localSheetId="9">'[53]Переменные и константы'!#REF!</definedName>
    <definedName name="Итого_ОЗП_в_базисных_ценах">'[53]Переменные и константы'!#REF!</definedName>
    <definedName name="Итого_ОЗП_в_базисных_ценах_с_учетом_к_тов" localSheetId="10">'[53]Переменные и константы'!#REF!</definedName>
    <definedName name="Итого_ОЗП_в_базисных_ценах_с_учетом_к_тов" localSheetId="9">'[53]Переменные и константы'!#REF!</definedName>
    <definedName name="Итого_ОЗП_в_базисных_ценах_с_учетом_к_тов">'[53]Переменные и константы'!#REF!</definedName>
    <definedName name="Итого_ОЗП_по_акту_вып_работ_в_базисных_ценах_с_учетом_к_тов" localSheetId="10">#REF!</definedName>
    <definedName name="Итого_ОЗП_по_акту_вып_работ_в_базисных_ценах_с_учетом_к_тов" localSheetId="9">#REF!</definedName>
    <definedName name="Итого_ОЗП_по_акту_вып_работ_в_базисных_ценах_с_учетом_к_тов">#REF!</definedName>
    <definedName name="Итого_ОЗП_по_акту_вып_работ_при_ресурсном_расчете_с_учетом_к_тов" localSheetId="10">#REF!</definedName>
    <definedName name="Итого_ОЗП_по_акту_вып_работ_при_ресурсном_расчете_с_учетом_к_тов" localSheetId="9">#REF!</definedName>
    <definedName name="Итого_ОЗП_по_акту_вып_работ_при_ресурсном_расчете_с_учетом_к_тов">#REF!</definedName>
    <definedName name="Итого_ОЗП_по_акту_выполненных_работ_в_базисных_ценах" localSheetId="10">#REF!</definedName>
    <definedName name="Итого_ОЗП_по_акту_выполненных_работ_в_базисных_ценах" localSheetId="9">#REF!</definedName>
    <definedName name="Итого_ОЗП_по_акту_выполненных_работ_в_базисных_ценах">#REF!</definedName>
    <definedName name="Итого_ОЗП_по_акту_выполненных_работ_при_ресурсном_расчете" localSheetId="10">#REF!</definedName>
    <definedName name="Итого_ОЗП_по_акту_выполненных_работ_при_ресурсном_расчете" localSheetId="9">#REF!</definedName>
    <definedName name="Итого_ОЗП_по_акту_выполненных_работ_при_ресурсном_расчете">#REF!</definedName>
    <definedName name="Итого_ОЗП_по_рес_расчету_с_учетом_к_тов" localSheetId="10">#REF!</definedName>
    <definedName name="Итого_ОЗП_по_рес_расчету_с_учетом_к_тов" localSheetId="9">#REF!</definedName>
    <definedName name="Итого_ОЗП_по_рес_расчету_с_учетом_к_тов">#REF!</definedName>
    <definedName name="Итого_ПЗ" localSheetId="10">#REF!</definedName>
    <definedName name="Итого_ПЗ" localSheetId="9">#REF!</definedName>
    <definedName name="Итого_ПЗ">#REF!</definedName>
    <definedName name="Итого_ПЗ_в_базисных_ценах" localSheetId="10">#REF!</definedName>
    <definedName name="Итого_ПЗ_в_базисных_ценах" localSheetId="9">#REF!</definedName>
    <definedName name="Итого_ПЗ_в_базисных_ценах">#REF!</definedName>
    <definedName name="Итого_ПЗ_в_базисных_ценах_с_учетом_к_тов" localSheetId="10">'[53]Переменные и константы'!#REF!</definedName>
    <definedName name="Итого_ПЗ_в_базисных_ценах_с_учетом_к_тов" localSheetId="9">'[53]Переменные и константы'!#REF!</definedName>
    <definedName name="Итого_ПЗ_в_базисных_ценах_с_учетом_к_тов">'[53]Переменные и константы'!#REF!</definedName>
    <definedName name="Итого_ПЗ_по_акту_вып_работ_в_базисных_ценах_с_учетом_к_тов" localSheetId="10">#REF!</definedName>
    <definedName name="Итого_ПЗ_по_акту_вып_работ_в_базисных_ценах_с_учетом_к_тов" localSheetId="9">#REF!</definedName>
    <definedName name="Итого_ПЗ_по_акту_вып_работ_в_базисных_ценах_с_учетом_к_тов">#REF!</definedName>
    <definedName name="Итого_ПЗ_по_акту_вып_работ_при_ресурсном_расчете_с_учетом_к_тов" localSheetId="10">#REF!</definedName>
    <definedName name="Итого_ПЗ_по_акту_вып_работ_при_ресурсном_расчете_с_учетом_к_тов" localSheetId="9">#REF!</definedName>
    <definedName name="Итого_ПЗ_по_акту_вып_работ_при_ресурсном_расчете_с_учетом_к_тов">#REF!</definedName>
    <definedName name="Итого_ПЗ_по_акту_выполненных_работ_в_базисных_ценах" localSheetId="10">#REF!</definedName>
    <definedName name="Итого_ПЗ_по_акту_выполненных_работ_в_базисных_ценах" localSheetId="9">#REF!</definedName>
    <definedName name="Итого_ПЗ_по_акту_выполненных_работ_в_базисных_ценах">#REF!</definedName>
    <definedName name="Итого_ПЗ_по_акту_выполненных_работ_при_ресурсном_расчете" localSheetId="10">#REF!</definedName>
    <definedName name="Итого_ПЗ_по_акту_выполненных_работ_при_ресурсном_расчете" localSheetId="9">#REF!</definedName>
    <definedName name="Итого_ПЗ_по_акту_выполненных_работ_при_ресурсном_расчете">#REF!</definedName>
    <definedName name="Итого_ПЗ_по_рес_расчету_с_учетом_к_тов" localSheetId="10">#REF!</definedName>
    <definedName name="Итого_ПЗ_по_рес_расчету_с_учетом_к_тов" localSheetId="9">#REF!</definedName>
    <definedName name="Итого_ПЗ_по_рес_расчету_с_учетом_к_тов">#REF!</definedName>
    <definedName name="Итого_по_разделу_V" localSheetId="10">#REF!</definedName>
    <definedName name="Итого_по_разделу_V" localSheetId="9">#REF!</definedName>
    <definedName name="Итого_по_разделу_V">#REF!</definedName>
    <definedName name="Итого_по_смете" localSheetId="10">#REF!</definedName>
    <definedName name="Итого_по_смете" localSheetId="9">#REF!</definedName>
    <definedName name="Итого_по_смете">#REF!</definedName>
    <definedName name="Итого_СП_в_базисных_ценах" localSheetId="10">'[53]Переменные и константы'!#REF!</definedName>
    <definedName name="Итого_СП_в_базисных_ценах" localSheetId="9">'[53]Переменные и константы'!#REF!</definedName>
    <definedName name="Итого_СП_в_базисных_ценах">'[53]Переменные и константы'!#REF!</definedName>
    <definedName name="Итого_СП_по_акту_в_базисных_ценах" localSheetId="10">'[53]Переменные и константы'!#REF!</definedName>
    <definedName name="Итого_СП_по_акту_в_базисных_ценах" localSheetId="9">'[53]Переменные и константы'!#REF!</definedName>
    <definedName name="Итого_СП_по_акту_в_базисных_ценах">'[53]Переменные и константы'!#REF!</definedName>
    <definedName name="Итого_СП_по_акту_по_ресурсному_расчету" localSheetId="10">#REF!</definedName>
    <definedName name="Итого_СП_по_акту_по_ресурсному_расчету" localSheetId="9">#REF!</definedName>
    <definedName name="Итого_СП_по_акту_по_ресурсному_расчету">#REF!</definedName>
    <definedName name="Итого_СП_по_ресурсному_расчету" localSheetId="10">#REF!</definedName>
    <definedName name="Итого_СП_по_ресурсному_расчету" localSheetId="9">#REF!</definedName>
    <definedName name="Итого_СП_по_ресурсному_расчету">#REF!</definedName>
    <definedName name="Итого_ФОТ_в_базисных_ценах" localSheetId="10">'[53]Переменные и константы'!#REF!</definedName>
    <definedName name="Итого_ФОТ_в_базисных_ценах" localSheetId="9">'[53]Переменные и константы'!#REF!</definedName>
    <definedName name="Итого_ФОТ_в_базисных_ценах">'[53]Переменные и константы'!#REF!</definedName>
    <definedName name="Итого_ФОТ_по_акту_выполненных_работ_в_базисных_ценах" localSheetId="10">#REF!</definedName>
    <definedName name="Итого_ФОТ_по_акту_выполненных_работ_в_базисных_ценах" localSheetId="9">#REF!</definedName>
    <definedName name="Итого_ФОТ_по_акту_выполненных_работ_в_базисных_ценах">#REF!</definedName>
    <definedName name="Итого_ФОТ_по_акту_выполненных_работ_при_ресурсном_расчете" localSheetId="10">#REF!</definedName>
    <definedName name="Итого_ФОТ_по_акту_выполненных_работ_при_ресурсном_расчете" localSheetId="9">#REF!</definedName>
    <definedName name="Итого_ФОТ_по_акту_выполненных_работ_при_ресурсном_расчете">#REF!</definedName>
    <definedName name="Итого_ФОТ_при_расчете_по_доле_з_п_в_стоимости_эксплуатации_машин" localSheetId="10">#REF!</definedName>
    <definedName name="Итого_ФОТ_при_расчете_по_доле_з_п_в_стоимости_эксплуатации_машин" localSheetId="9">#REF!</definedName>
    <definedName name="Итого_ФОТ_при_расчете_по_доле_з_п_в_стоимости_эксплуатации_машин">#REF!</definedName>
    <definedName name="Итого_ЭММ__по_рес_расчету_с_учетом_к_тов" localSheetId="10">#REF!</definedName>
    <definedName name="Итого_ЭММ__по_рес_расчету_с_учетом_к_тов" localSheetId="9">#REF!</definedName>
    <definedName name="Итого_ЭММ__по_рес_расчету_с_учетом_к_тов">#REF!</definedName>
    <definedName name="Итого_ЭММ_в_базисных_ценах_с_учетом_к_тов" localSheetId="10">'[53]Переменные и константы'!#REF!</definedName>
    <definedName name="Итого_ЭММ_в_базисных_ценах_с_учетом_к_тов" localSheetId="9">'[53]Переменные и константы'!#REF!</definedName>
    <definedName name="Итого_ЭММ_в_базисных_ценах_с_учетом_к_тов">'[53]Переменные и константы'!#REF!</definedName>
    <definedName name="Итого_ЭММ_по_акту_вып_работ_в_базисных_ценах_с_учетом_к_тов" localSheetId="10">#REF!</definedName>
    <definedName name="Итого_ЭММ_по_акту_вып_работ_в_базисных_ценах_с_учетом_к_тов" localSheetId="9">#REF!</definedName>
    <definedName name="Итого_ЭММ_по_акту_вып_работ_в_базисных_ценах_с_учетом_к_тов">#REF!</definedName>
    <definedName name="Итого_ЭММ_по_акту_вып_работ_при_ресурсном_расчете_с_учетом_к_тов" localSheetId="10">#REF!</definedName>
    <definedName name="Итого_ЭММ_по_акту_вып_работ_при_ресурсном_расчете_с_учетом_к_тов" localSheetId="9">#REF!</definedName>
    <definedName name="Итого_ЭММ_по_акту_вып_работ_при_ресурсном_расчете_с_учетом_к_тов">#REF!</definedName>
    <definedName name="ить" localSheetId="10">#REF!</definedName>
    <definedName name="ить" localSheetId="12">#REF!</definedName>
    <definedName name="ить" localSheetId="8">#REF!</definedName>
    <definedName name="ить" localSheetId="11">#REF!</definedName>
    <definedName name="ить" localSheetId="110">#REF!</definedName>
    <definedName name="ить" localSheetId="6">#REF!</definedName>
    <definedName name="ить" localSheetId="9">#REF!</definedName>
    <definedName name="ить" localSheetId="7">#REF!</definedName>
    <definedName name="ить">#REF!</definedName>
    <definedName name="йцйу3йк" localSheetId="10">#REF!</definedName>
    <definedName name="йцйу3йк" localSheetId="12">#REF!</definedName>
    <definedName name="йцйу3йк" localSheetId="110">#REF!</definedName>
    <definedName name="йцйу3йк" localSheetId="9">#REF!</definedName>
    <definedName name="йцйу3йк">#REF!</definedName>
    <definedName name="йцйц">NA()</definedName>
    <definedName name="йцу" localSheetId="10">#REF!</definedName>
    <definedName name="йцу" localSheetId="12">#REF!</definedName>
    <definedName name="йцу" localSheetId="116">#REF!</definedName>
    <definedName name="йцу" localSheetId="8">#REF!</definedName>
    <definedName name="йцу" localSheetId="11">#REF!</definedName>
    <definedName name="йцу" localSheetId="110">#REF!</definedName>
    <definedName name="йцу" localSheetId="109">#REF!</definedName>
    <definedName name="йцу" localSheetId="108">#REF!</definedName>
    <definedName name="йцу" localSheetId="6">#REF!</definedName>
    <definedName name="йцу" localSheetId="9">#REF!</definedName>
    <definedName name="йцу" localSheetId="7">#REF!</definedName>
    <definedName name="йцу" localSheetId="92">#REF!</definedName>
    <definedName name="йцу" localSheetId="93">#REF!</definedName>
    <definedName name="йцу" localSheetId="94">#REF!</definedName>
    <definedName name="йцу" localSheetId="99">#REF!</definedName>
    <definedName name="йцу" localSheetId="100">#REF!</definedName>
    <definedName name="йцу" localSheetId="106">#REF!</definedName>
    <definedName name="йцу">#REF!</definedName>
    <definedName name="К" localSheetId="10">#REF!</definedName>
    <definedName name="к" localSheetId="12">#REF!</definedName>
    <definedName name="к" localSheetId="116">#REF!</definedName>
    <definedName name="К" localSheetId="8">#REF!</definedName>
    <definedName name="К" localSheetId="11">#REF!</definedName>
    <definedName name="к" localSheetId="110">#REF!</definedName>
    <definedName name="к" localSheetId="109">#REF!</definedName>
    <definedName name="к" localSheetId="108">#REF!</definedName>
    <definedName name="К" localSheetId="6">#REF!</definedName>
    <definedName name="К" localSheetId="9">#REF!</definedName>
    <definedName name="К" localSheetId="7">#REF!</definedName>
    <definedName name="к" localSheetId="92">#REF!</definedName>
    <definedName name="к" localSheetId="93">#REF!</definedName>
    <definedName name="к" localSheetId="94">#REF!</definedName>
    <definedName name="к" localSheetId="99">#REF!</definedName>
    <definedName name="к" localSheetId="100">#REF!</definedName>
    <definedName name="к" localSheetId="106">#REF!</definedName>
    <definedName name="к">#REF!</definedName>
    <definedName name="к_1" localSheetId="10" hidden="1">{#N/A,#N/A,TRUE,"Смета на пасс. обор. №1"}</definedName>
    <definedName name="к_1" localSheetId="12" hidden="1">{#N/A,#N/A,TRUE,"Смета на пасс. обор. №1"}</definedName>
    <definedName name="к_1" localSheetId="111" hidden="1">{#N/A,#N/A,TRUE,"Смета на пасс. обор. №1"}</definedName>
    <definedName name="к_1" localSheetId="112" hidden="1">{#N/A,#N/A,TRUE,"Смета на пасс. обор. №1"}</definedName>
    <definedName name="к_1" localSheetId="113" hidden="1">{#N/A,#N/A,TRUE,"Смета на пасс. обор. №1"}</definedName>
    <definedName name="к_1" localSheetId="114" hidden="1">{#N/A,#N/A,TRUE,"Смета на пасс. обор. №1"}</definedName>
    <definedName name="к_1" localSheetId="115" hidden="1">{#N/A,#N/A,TRUE,"Смета на пасс. обор. №1"}</definedName>
    <definedName name="к_1" localSheetId="116" hidden="1">{#N/A,#N/A,TRUE,"Смета на пасс. обор. №1"}</definedName>
    <definedName name="к_1" localSheetId="117" hidden="1">{#N/A,#N/A,TRUE,"Смета на пасс. обор. №1"}</definedName>
    <definedName name="к_1" localSheetId="118" hidden="1">{#N/A,#N/A,TRUE,"Смета на пасс. обор. №1"}</definedName>
    <definedName name="к_1" localSheetId="121" hidden="1">{#N/A,#N/A,TRUE,"Смета на пасс. обор. №1"}</definedName>
    <definedName name="к_1" localSheetId="122" hidden="1">{#N/A,#N/A,TRUE,"Смета на пасс. обор. №1"}</definedName>
    <definedName name="к_1" localSheetId="8" hidden="1">{#N/A,#N/A,TRUE,"Смета на пасс. обор. №1"}</definedName>
    <definedName name="к_1" localSheetId="11" hidden="1">{#N/A,#N/A,TRUE,"Смета на пасс. обор. №1"}</definedName>
    <definedName name="к_1" localSheetId="110" hidden="1">{#N/A,#N/A,TRUE,"Смета на пасс. обор. №1"}</definedName>
    <definedName name="к_1" localSheetId="109" hidden="1">{#N/A,#N/A,TRUE,"Смета на пасс. обор. №1"}</definedName>
    <definedName name="к_1" localSheetId="108" hidden="1">{#N/A,#N/A,TRUE,"Смета на пасс. обор. №1"}</definedName>
    <definedName name="к_1" localSheetId="6" hidden="1">{#N/A,#N/A,TRUE,"Смета на пасс. обор. №1"}</definedName>
    <definedName name="к_1" localSheetId="9" hidden="1">{#N/A,#N/A,TRUE,"Смета на пасс. обор. №1"}</definedName>
    <definedName name="к_1" localSheetId="7" hidden="1">{#N/A,#N/A,TRUE,"Смета на пасс. обор. №1"}</definedName>
    <definedName name="к_1" localSheetId="92" hidden="1">{#N/A,#N/A,TRUE,"Смета на пасс. обор. №1"}</definedName>
    <definedName name="к_1" localSheetId="93" hidden="1">{#N/A,#N/A,TRUE,"Смета на пасс. обор. №1"}</definedName>
    <definedName name="к_1" localSheetId="94" hidden="1">{#N/A,#N/A,TRUE,"Смета на пасс. обор. №1"}</definedName>
    <definedName name="к_1" localSheetId="99" hidden="1">{#N/A,#N/A,TRUE,"Смета на пасс. обор. №1"}</definedName>
    <definedName name="к_1" localSheetId="100" hidden="1">{#N/A,#N/A,TRUE,"Смета на пасс. обор. №1"}</definedName>
    <definedName name="к_1" localSheetId="106" hidden="1">{#N/A,#N/A,TRUE,"Смета на пасс. обор. №1"}</definedName>
    <definedName name="к_1" localSheetId="2" hidden="1">{#N/A,#N/A,TRUE,"Смета на пасс. обор. №1"}</definedName>
    <definedName name="к_1" localSheetId="123" hidden="1">{#N/A,#N/A,TRUE,"Смета на пасс. обор. №1"}</definedName>
    <definedName name="к_1" localSheetId="4" hidden="1">{#N/A,#N/A,TRUE,"Смета на пасс. обор. №1"}</definedName>
    <definedName name="к_1" localSheetId="13" hidden="1">{#N/A,#N/A,TRUE,"Смета на пасс. обор. №1"}</definedName>
    <definedName name="к_1" hidden="1">{#N/A,#N/A,TRUE,"Смета на пасс. обор. №1"}</definedName>
    <definedName name="к_ЗПМ" localSheetId="10">#REF!</definedName>
    <definedName name="к_ЗПМ" localSheetId="9">#REF!</definedName>
    <definedName name="к_ЗПМ">#REF!</definedName>
    <definedName name="к_МАТ" localSheetId="10">#REF!</definedName>
    <definedName name="к_МАТ" localSheetId="9">#REF!</definedName>
    <definedName name="к_МАТ">#REF!</definedName>
    <definedName name="к_ОЗП" localSheetId="10">#REF!</definedName>
    <definedName name="к_ОЗП" localSheetId="9">#REF!</definedName>
    <definedName name="к_ОЗП">#REF!</definedName>
    <definedName name="к_ПЗ" localSheetId="10">#REF!</definedName>
    <definedName name="к_ПЗ" localSheetId="9">#REF!</definedName>
    <definedName name="к_ПЗ">#REF!</definedName>
    <definedName name="к_ЭМ" localSheetId="10">#REF!</definedName>
    <definedName name="к_ЭМ" localSheetId="9">#REF!</definedName>
    <definedName name="к_ЭМ">#REF!</definedName>
    <definedName name="к1" localSheetId="10">#REF!</definedName>
    <definedName name="к1" localSheetId="12">#REF!</definedName>
    <definedName name="к1" localSheetId="116">#REF!</definedName>
    <definedName name="к1" localSheetId="110">#REF!</definedName>
    <definedName name="к1" localSheetId="109">#REF!</definedName>
    <definedName name="к1" localSheetId="108">#REF!</definedName>
    <definedName name="к1" localSheetId="9">#REF!</definedName>
    <definedName name="к1" localSheetId="92">#REF!</definedName>
    <definedName name="к1" localSheetId="93">#REF!</definedName>
    <definedName name="к1" localSheetId="94">#REF!</definedName>
    <definedName name="к1" localSheetId="99">#REF!</definedName>
    <definedName name="к1" localSheetId="100">#REF!</definedName>
    <definedName name="к1" localSheetId="106">#REF!</definedName>
    <definedName name="к1">#REF!</definedName>
    <definedName name="к10" localSheetId="10">#REF!</definedName>
    <definedName name="к10" localSheetId="12">#REF!</definedName>
    <definedName name="к10" localSheetId="116">#REF!</definedName>
    <definedName name="к10" localSheetId="110">#REF!</definedName>
    <definedName name="к10" localSheetId="9">#REF!</definedName>
    <definedName name="к10" localSheetId="92">#REF!</definedName>
    <definedName name="к10" localSheetId="93">#REF!</definedName>
    <definedName name="к10" localSheetId="94">#REF!</definedName>
    <definedName name="к10" localSheetId="99">#REF!</definedName>
    <definedName name="к10" localSheetId="100">#REF!</definedName>
    <definedName name="к10" localSheetId="106">#REF!</definedName>
    <definedName name="к10">#REF!</definedName>
    <definedName name="к101" localSheetId="10">#REF!</definedName>
    <definedName name="к101" localSheetId="12">#REF!</definedName>
    <definedName name="к101" localSheetId="110">#REF!</definedName>
    <definedName name="к101" localSheetId="9">#REF!</definedName>
    <definedName name="к101" localSheetId="92">#REF!</definedName>
    <definedName name="к101" localSheetId="93">#REF!</definedName>
    <definedName name="к101" localSheetId="94">#REF!</definedName>
    <definedName name="к101" localSheetId="99">#REF!</definedName>
    <definedName name="к101" localSheetId="100">#REF!</definedName>
    <definedName name="к101" localSheetId="106">#REF!</definedName>
    <definedName name="к101">#REF!</definedName>
    <definedName name="К105" localSheetId="10">#REF!</definedName>
    <definedName name="К105" localSheetId="12">#REF!</definedName>
    <definedName name="К105" localSheetId="110">#REF!</definedName>
    <definedName name="К105" localSheetId="9">#REF!</definedName>
    <definedName name="К105">#REF!</definedName>
    <definedName name="к11" localSheetId="10">#REF!</definedName>
    <definedName name="к11" localSheetId="12">#REF!</definedName>
    <definedName name="к11" localSheetId="110">#REF!</definedName>
    <definedName name="к11" localSheetId="9">#REF!</definedName>
    <definedName name="к11">#REF!</definedName>
    <definedName name="к12" localSheetId="10">#REF!</definedName>
    <definedName name="к12" localSheetId="12">#REF!</definedName>
    <definedName name="к12" localSheetId="110">#REF!</definedName>
    <definedName name="к12" localSheetId="9">#REF!</definedName>
    <definedName name="к12">#REF!</definedName>
    <definedName name="к13" localSheetId="10">#REF!</definedName>
    <definedName name="к13" localSheetId="12">#REF!</definedName>
    <definedName name="к13" localSheetId="110">#REF!</definedName>
    <definedName name="к13" localSheetId="9">#REF!</definedName>
    <definedName name="к13">#REF!</definedName>
    <definedName name="к14" localSheetId="10">#REF!</definedName>
    <definedName name="к14" localSheetId="12">#REF!</definedName>
    <definedName name="к14" localSheetId="110">#REF!</definedName>
    <definedName name="к14" localSheetId="9">#REF!</definedName>
    <definedName name="к14">#REF!</definedName>
    <definedName name="к15" localSheetId="10">#REF!</definedName>
    <definedName name="к15" localSheetId="12">#REF!</definedName>
    <definedName name="к15" localSheetId="110">#REF!</definedName>
    <definedName name="к15" localSheetId="9">#REF!</definedName>
    <definedName name="к15">#REF!</definedName>
    <definedName name="к16" localSheetId="10">#REF!</definedName>
    <definedName name="к16" localSheetId="12">#REF!</definedName>
    <definedName name="к16" localSheetId="110">#REF!</definedName>
    <definedName name="к16" localSheetId="9">#REF!</definedName>
    <definedName name="к16">#REF!</definedName>
    <definedName name="к17" localSheetId="10">#REF!</definedName>
    <definedName name="к17" localSheetId="12">#REF!</definedName>
    <definedName name="к17" localSheetId="110">#REF!</definedName>
    <definedName name="к17" localSheetId="9">#REF!</definedName>
    <definedName name="к17">#REF!</definedName>
    <definedName name="к18" localSheetId="10">#REF!</definedName>
    <definedName name="к18" localSheetId="12">#REF!</definedName>
    <definedName name="к18" localSheetId="110">#REF!</definedName>
    <definedName name="к18" localSheetId="9">#REF!</definedName>
    <definedName name="к18">#REF!</definedName>
    <definedName name="к19" localSheetId="10">#REF!</definedName>
    <definedName name="к19" localSheetId="12">#REF!</definedName>
    <definedName name="к19" localSheetId="110">#REF!</definedName>
    <definedName name="к19" localSheetId="9">#REF!</definedName>
    <definedName name="к19">#REF!</definedName>
    <definedName name="к2" localSheetId="10">#REF!</definedName>
    <definedName name="к2" localSheetId="12">#REF!</definedName>
    <definedName name="к2" localSheetId="110">#REF!</definedName>
    <definedName name="к2" localSheetId="9">#REF!</definedName>
    <definedName name="к2">#REF!</definedName>
    <definedName name="к20" localSheetId="10">#REF!</definedName>
    <definedName name="к20" localSheetId="12">#REF!</definedName>
    <definedName name="к20" localSheetId="110">#REF!</definedName>
    <definedName name="к20" localSheetId="9">#REF!</definedName>
    <definedName name="к20">#REF!</definedName>
    <definedName name="к21" localSheetId="10">#REF!</definedName>
    <definedName name="к21" localSheetId="12">#REF!</definedName>
    <definedName name="к21" localSheetId="110">#REF!</definedName>
    <definedName name="к21" localSheetId="9">#REF!</definedName>
    <definedName name="к21">#REF!</definedName>
    <definedName name="к22" localSheetId="10">#REF!</definedName>
    <definedName name="к22" localSheetId="12">#REF!</definedName>
    <definedName name="к22" localSheetId="110">#REF!</definedName>
    <definedName name="к22" localSheetId="9">#REF!</definedName>
    <definedName name="к22">#REF!</definedName>
    <definedName name="к23" localSheetId="10">#REF!</definedName>
    <definedName name="к23" localSheetId="12">#REF!</definedName>
    <definedName name="к23" localSheetId="110">#REF!</definedName>
    <definedName name="к23" localSheetId="9">#REF!</definedName>
    <definedName name="к23">#REF!</definedName>
    <definedName name="к231" localSheetId="10">#REF!</definedName>
    <definedName name="к231" localSheetId="12">#REF!</definedName>
    <definedName name="к231" localSheetId="110">#REF!</definedName>
    <definedName name="к231" localSheetId="9">#REF!</definedName>
    <definedName name="к231">#REF!</definedName>
    <definedName name="к24" localSheetId="10">#REF!</definedName>
    <definedName name="к24" localSheetId="12">#REF!</definedName>
    <definedName name="к24" localSheetId="110">#REF!</definedName>
    <definedName name="к24" localSheetId="9">#REF!</definedName>
    <definedName name="к24">#REF!</definedName>
    <definedName name="к25" localSheetId="10">#REF!</definedName>
    <definedName name="к25" localSheetId="12">#REF!</definedName>
    <definedName name="к25" localSheetId="110">#REF!</definedName>
    <definedName name="к25" localSheetId="9">#REF!</definedName>
    <definedName name="к25">#REF!</definedName>
    <definedName name="к26" localSheetId="10">#REF!</definedName>
    <definedName name="к26" localSheetId="12">#REF!</definedName>
    <definedName name="к26" localSheetId="110">#REF!</definedName>
    <definedName name="к26" localSheetId="9">#REF!</definedName>
    <definedName name="к26">#REF!</definedName>
    <definedName name="к27" localSheetId="10">#REF!</definedName>
    <definedName name="к27" localSheetId="12">#REF!</definedName>
    <definedName name="к27" localSheetId="110">#REF!</definedName>
    <definedName name="к27" localSheetId="9">#REF!</definedName>
    <definedName name="к27">#REF!</definedName>
    <definedName name="к28" localSheetId="10">#REF!</definedName>
    <definedName name="к28" localSheetId="12">#REF!</definedName>
    <definedName name="к28" localSheetId="110">#REF!</definedName>
    <definedName name="к28" localSheetId="9">#REF!</definedName>
    <definedName name="к28">#REF!</definedName>
    <definedName name="к29" localSheetId="10">#REF!</definedName>
    <definedName name="к29" localSheetId="12">#REF!</definedName>
    <definedName name="к29" localSheetId="110">#REF!</definedName>
    <definedName name="к29" localSheetId="9">#REF!</definedName>
    <definedName name="к29">#REF!</definedName>
    <definedName name="к2п" localSheetId="10">#REF!</definedName>
    <definedName name="к2п" localSheetId="12">#REF!</definedName>
    <definedName name="к2п" localSheetId="110">#REF!</definedName>
    <definedName name="к2п" localSheetId="9">#REF!</definedName>
    <definedName name="к2п">#REF!</definedName>
    <definedName name="к3" localSheetId="10">#REF!</definedName>
    <definedName name="к3" localSheetId="12">#REF!</definedName>
    <definedName name="к3" localSheetId="110">#REF!</definedName>
    <definedName name="к3" localSheetId="9">#REF!</definedName>
    <definedName name="к3">#REF!</definedName>
    <definedName name="к30" localSheetId="10">#REF!</definedName>
    <definedName name="к30" localSheetId="12">#REF!</definedName>
    <definedName name="к30" localSheetId="110">#REF!</definedName>
    <definedName name="к30" localSheetId="9">#REF!</definedName>
    <definedName name="к30">#REF!</definedName>
    <definedName name="к3п" localSheetId="10">#REF!</definedName>
    <definedName name="к3п" localSheetId="12">#REF!</definedName>
    <definedName name="к3п" localSheetId="110">#REF!</definedName>
    <definedName name="к3п" localSheetId="9">#REF!</definedName>
    <definedName name="к3п">#REF!</definedName>
    <definedName name="к5" localSheetId="10">#REF!</definedName>
    <definedName name="к5" localSheetId="12">#REF!</definedName>
    <definedName name="к5" localSheetId="110">#REF!</definedName>
    <definedName name="к5" localSheetId="9">#REF!</definedName>
    <definedName name="к5">#REF!</definedName>
    <definedName name="к6" localSheetId="10">#REF!</definedName>
    <definedName name="к6" localSheetId="12">#REF!</definedName>
    <definedName name="к6" localSheetId="110">#REF!</definedName>
    <definedName name="к6" localSheetId="9">#REF!</definedName>
    <definedName name="к6">#REF!</definedName>
    <definedName name="к7" localSheetId="10">#REF!</definedName>
    <definedName name="к7" localSheetId="12">#REF!</definedName>
    <definedName name="к7" localSheetId="110">#REF!</definedName>
    <definedName name="к7" localSheetId="9">#REF!</definedName>
    <definedName name="к7">#REF!</definedName>
    <definedName name="к8" localSheetId="10">#REF!</definedName>
    <definedName name="к8" localSheetId="12">#REF!</definedName>
    <definedName name="к8" localSheetId="110">#REF!</definedName>
    <definedName name="к8" localSheetId="9">#REF!</definedName>
    <definedName name="к8">#REF!</definedName>
    <definedName name="к9" localSheetId="10">#REF!</definedName>
    <definedName name="к9" localSheetId="12">#REF!</definedName>
    <definedName name="к9" localSheetId="110">#REF!</definedName>
    <definedName name="к9" localSheetId="9">#REF!</definedName>
    <definedName name="к9">#REF!</definedName>
    <definedName name="Кабардино_Балкарская_Республика" localSheetId="10">#REF!</definedName>
    <definedName name="Кабардино_Балкарская_Республика" localSheetId="9">#REF!</definedName>
    <definedName name="Кабардино_Балкарская_Республика">#REF!</definedName>
    <definedName name="Кабели" localSheetId="10">[24]Коэфф1.!#REF!</definedName>
    <definedName name="Кабели" localSheetId="9">[24]Коэфф1.!#REF!</definedName>
    <definedName name="Кабели">[24]Коэфф1.!#REF!</definedName>
    <definedName name="Кабели_1" localSheetId="10">#REF!</definedName>
    <definedName name="Кабели_1" localSheetId="9">#REF!</definedName>
    <definedName name="Кабели_1">#REF!</definedName>
    <definedName name="кабель" localSheetId="10">#REF!</definedName>
    <definedName name="кабель" localSheetId="9">#REF!</definedName>
    <definedName name="кабель">#REF!</definedName>
    <definedName name="кака" localSheetId="10">#REF!</definedName>
    <definedName name="кака" localSheetId="12">#REF!</definedName>
    <definedName name="кака" localSheetId="8">#REF!</definedName>
    <definedName name="кака" localSheetId="11">#REF!</definedName>
    <definedName name="кака" localSheetId="110">#REF!</definedName>
    <definedName name="кака" localSheetId="6">#REF!</definedName>
    <definedName name="кака" localSheetId="9">#REF!</definedName>
    <definedName name="кака" localSheetId="7">#REF!</definedName>
    <definedName name="кака">#REF!</definedName>
    <definedName name="Калининградская_область" localSheetId="10">#REF!</definedName>
    <definedName name="Калининградская_область" localSheetId="9">#REF!</definedName>
    <definedName name="Калининградская_область">#REF!</definedName>
    <definedName name="калплан" localSheetId="10">#REF!</definedName>
    <definedName name="калплан" localSheetId="12">#REF!</definedName>
    <definedName name="калплан" localSheetId="110">#REF!</definedName>
    <definedName name="калплан" localSheetId="9">#REF!</definedName>
    <definedName name="калплан">#REF!</definedName>
    <definedName name="калплан_1" localSheetId="10">#REF!</definedName>
    <definedName name="калплан_1" localSheetId="9">#REF!</definedName>
    <definedName name="калплан_1">#REF!</definedName>
    <definedName name="Калужская_область" localSheetId="10">#REF!</definedName>
    <definedName name="Калужская_область" localSheetId="9">#REF!</definedName>
    <definedName name="Калужская_область">#REF!</definedName>
    <definedName name="Кам_стац" localSheetId="10">#REF!</definedName>
    <definedName name="Кам_стац" localSheetId="12">#REF!</definedName>
    <definedName name="Кам_стац" localSheetId="110">#REF!</definedName>
    <definedName name="Кам_стац" localSheetId="9">#REF!</definedName>
    <definedName name="Кам_стац">#REF!</definedName>
    <definedName name="Камер_эксп_усл" localSheetId="10">#REF!</definedName>
    <definedName name="Камер_эксп_усл" localSheetId="12">#REF!</definedName>
    <definedName name="Камер_эксп_усл" localSheetId="110">#REF!</definedName>
    <definedName name="Камер_эксп_усл" localSheetId="9">#REF!</definedName>
    <definedName name="Камер_эксп_усл">#REF!</definedName>
    <definedName name="Камеральных" localSheetId="10">#REF!</definedName>
    <definedName name="Камеральных" localSheetId="9">#REF!</definedName>
    <definedName name="Камеральных">#REF!</definedName>
    <definedName name="Камчатская_область" localSheetId="10">#REF!</definedName>
    <definedName name="Камчатская_область" localSheetId="9">#REF!</definedName>
    <definedName name="Камчатская_область">#REF!</definedName>
    <definedName name="Камчатская_область_1" localSheetId="10">#REF!</definedName>
    <definedName name="Камчатская_область_1" localSheetId="9">#REF!</definedName>
    <definedName name="Камчатская_область_1">#REF!</definedName>
    <definedName name="Карачаево_Черкесская_Республика" localSheetId="10">#REF!</definedName>
    <definedName name="Карачаево_Черкесская_Республика" localSheetId="9">#REF!</definedName>
    <definedName name="Карачаево_Черкесская_Республика">#REF!</definedName>
    <definedName name="КАТ1" localSheetId="10">'[54]Смета-Т'!#REF!</definedName>
    <definedName name="КАТ1" localSheetId="12">'[54]Смета-Т'!#REF!</definedName>
    <definedName name="КАТ1" localSheetId="110">'[54]Смета-Т'!#REF!</definedName>
    <definedName name="КАТ1" localSheetId="9">'[54]Смета-Т'!#REF!</definedName>
    <definedName name="КАТ1">'[54]Смета-Т'!#REF!</definedName>
    <definedName name="Категория_сложности" localSheetId="10">#REF!</definedName>
    <definedName name="Категория_сложности" localSheetId="12">#REF!</definedName>
    <definedName name="Категория_сложности" localSheetId="116">#REF!</definedName>
    <definedName name="Категория_сложности" localSheetId="8">#REF!</definedName>
    <definedName name="Категория_сложности" localSheetId="11">#REF!</definedName>
    <definedName name="Категория_сложности" localSheetId="110">#REF!</definedName>
    <definedName name="Категория_сложности" localSheetId="109">#REF!</definedName>
    <definedName name="Категория_сложности" localSheetId="108">#REF!</definedName>
    <definedName name="Категория_сложности" localSheetId="6">#REF!</definedName>
    <definedName name="Категория_сложности" localSheetId="9">#REF!</definedName>
    <definedName name="Категория_сложности" localSheetId="7">#REF!</definedName>
    <definedName name="Категория_сложности" localSheetId="92">#REF!</definedName>
    <definedName name="Категория_сложности" localSheetId="93">#REF!</definedName>
    <definedName name="Категория_сложности" localSheetId="94">#REF!</definedName>
    <definedName name="Категория_сложности" localSheetId="99">#REF!</definedName>
    <definedName name="Категория_сложности" localSheetId="100">#REF!</definedName>
    <definedName name="Категория_сложности" localSheetId="106">#REF!</definedName>
    <definedName name="Категория_сложности" localSheetId="4">#REF!</definedName>
    <definedName name="Категория_сложности" localSheetId="13">#REF!</definedName>
    <definedName name="Категория_сложности">#REF!</definedName>
    <definedName name="Категория_сложности_1" localSheetId="10">#REF!</definedName>
    <definedName name="Категория_сложности_1" localSheetId="9">#REF!</definedName>
    <definedName name="Категория_сложности_1">#REF!</definedName>
    <definedName name="катя" localSheetId="10">#REF!</definedName>
    <definedName name="катя" localSheetId="12">#REF!</definedName>
    <definedName name="катя" localSheetId="116">#REF!</definedName>
    <definedName name="катя" localSheetId="110">#REF!</definedName>
    <definedName name="катя" localSheetId="109">#REF!</definedName>
    <definedName name="катя" localSheetId="108">#REF!</definedName>
    <definedName name="катя" localSheetId="9">#REF!</definedName>
    <definedName name="катя" localSheetId="92">#REF!</definedName>
    <definedName name="катя" localSheetId="93">#REF!</definedName>
    <definedName name="катя" localSheetId="94">#REF!</definedName>
    <definedName name="катя" localSheetId="99">#REF!</definedName>
    <definedName name="катя" localSheetId="100">#REF!</definedName>
    <definedName name="катя" localSheetId="106">#REF!</definedName>
    <definedName name="катя" localSheetId="4">#REF!</definedName>
    <definedName name="катя" localSheetId="13">#REF!</definedName>
    <definedName name="катя">#REF!</definedName>
    <definedName name="кгкг" localSheetId="10">#REF!</definedName>
    <definedName name="кгкг" localSheetId="12">#REF!</definedName>
    <definedName name="кгкг" localSheetId="116">#REF!</definedName>
    <definedName name="кгкг" localSheetId="110">#REF!</definedName>
    <definedName name="кгкг" localSheetId="109">#REF!</definedName>
    <definedName name="кгкг" localSheetId="108">#REF!</definedName>
    <definedName name="кгкг" localSheetId="9">#REF!</definedName>
    <definedName name="кгкг" localSheetId="92">#REF!</definedName>
    <definedName name="кгкг" localSheetId="93">#REF!</definedName>
    <definedName name="кгкг" localSheetId="94">#REF!</definedName>
    <definedName name="кгкг" localSheetId="99">#REF!</definedName>
    <definedName name="кгкг" localSheetId="100">#REF!</definedName>
    <definedName name="кгкг" localSheetId="106">#REF!</definedName>
    <definedName name="кгкг" localSheetId="4">#REF!</definedName>
    <definedName name="кгкг" localSheetId="13">#REF!</definedName>
    <definedName name="кгкг">#REF!</definedName>
    <definedName name="кеке" localSheetId="10">#REF!</definedName>
    <definedName name="кеке" localSheetId="12">#REF!</definedName>
    <definedName name="кеке" localSheetId="110">#REF!</definedName>
    <definedName name="кеке" localSheetId="9">#REF!</definedName>
    <definedName name="кеке">#REF!</definedName>
    <definedName name="Кемеровская_область" localSheetId="10">#REF!</definedName>
    <definedName name="Кемеровская_область" localSheetId="9">#REF!</definedName>
    <definedName name="Кемеровская_область">#REF!</definedName>
    <definedName name="Кемеровская_область_1" localSheetId="10">#REF!</definedName>
    <definedName name="Кемеровская_область_1" localSheetId="9">#REF!</definedName>
    <definedName name="Кемеровская_область_1">#REF!</definedName>
    <definedName name="кенрке" localSheetId="10">#REF!</definedName>
    <definedName name="кенрке" localSheetId="9">#REF!</definedName>
    <definedName name="кенрке">#REF!</definedName>
    <definedName name="кенроолтьб" localSheetId="10">#REF!</definedName>
    <definedName name="кенроолтьб" localSheetId="12">#REF!</definedName>
    <definedName name="кенроолтьб" localSheetId="110">#REF!</definedName>
    <definedName name="кенроолтьб" localSheetId="9">#REF!</definedName>
    <definedName name="кенроолтьб">#REF!</definedName>
    <definedName name="керл" localSheetId="10">#REF!</definedName>
    <definedName name="керл" localSheetId="9">#REF!</definedName>
    <definedName name="керл">#REF!</definedName>
    <definedName name="КИП" localSheetId="10">#REF!</definedName>
    <definedName name="КИП" localSheetId="9">#REF!</definedName>
    <definedName name="КИП">#REF!</definedName>
    <definedName name="КИПиавтом" localSheetId="10">#REF!</definedName>
    <definedName name="КИПиавтом" localSheetId="9">#REF!</definedName>
    <definedName name="КИПиавтом">#REF!</definedName>
    <definedName name="Кировская_область" localSheetId="10">#REF!</definedName>
    <definedName name="Кировская_область" localSheetId="9">#REF!</definedName>
    <definedName name="Кировская_область">#REF!</definedName>
    <definedName name="Кировская_область_1" localSheetId="10">#REF!</definedName>
    <definedName name="Кировская_область_1" localSheetId="9">#REF!</definedName>
    <definedName name="Кировская_область_1">#REF!</definedName>
    <definedName name="ккее" localSheetId="10">#REF!</definedName>
    <definedName name="ккее" localSheetId="12">#REF!</definedName>
    <definedName name="ккее" localSheetId="110">#REF!</definedName>
    <definedName name="ккее" localSheetId="9">#REF!</definedName>
    <definedName name="ккее">#REF!</definedName>
    <definedName name="ккк" localSheetId="10">#REF!</definedName>
    <definedName name="ккк" localSheetId="12">#REF!</definedName>
    <definedName name="ккк" localSheetId="110">#REF!</definedName>
    <definedName name="ккк" localSheetId="9">#REF!</definedName>
    <definedName name="ккк">#REF!</definedName>
    <definedName name="ккккк" localSheetId="10" hidden="1">{#N/A,#N/A,TRUE,"Смета на пасс. обор. №1"}</definedName>
    <definedName name="ккккк" localSheetId="12" hidden="1">{#N/A,#N/A,TRUE,"Смета на пасс. обор. №1"}</definedName>
    <definedName name="ккккк" localSheetId="111" hidden="1">{#N/A,#N/A,TRUE,"Смета на пасс. обор. №1"}</definedName>
    <definedName name="ккккк" localSheetId="112" hidden="1">{#N/A,#N/A,TRUE,"Смета на пасс. обор. №1"}</definedName>
    <definedName name="ккккк" localSheetId="113" hidden="1">{#N/A,#N/A,TRUE,"Смета на пасс. обор. №1"}</definedName>
    <definedName name="ккккк" localSheetId="114" hidden="1">{#N/A,#N/A,TRUE,"Смета на пасс. обор. №1"}</definedName>
    <definedName name="ккккк" localSheetId="115" hidden="1">{#N/A,#N/A,TRUE,"Смета на пасс. обор. №1"}</definedName>
    <definedName name="ккккк" localSheetId="116" hidden="1">{#N/A,#N/A,TRUE,"Смета на пасс. обор. №1"}</definedName>
    <definedName name="ккккк" localSheetId="117" hidden="1">{#N/A,#N/A,TRUE,"Смета на пасс. обор. №1"}</definedName>
    <definedName name="ккккк" localSheetId="118" hidden="1">{#N/A,#N/A,TRUE,"Смета на пасс. обор. №1"}</definedName>
    <definedName name="ккккк" localSheetId="121" hidden="1">{#N/A,#N/A,TRUE,"Смета на пасс. обор. №1"}</definedName>
    <definedName name="ккккк" localSheetId="122" hidden="1">{#N/A,#N/A,TRUE,"Смета на пасс. обор. №1"}</definedName>
    <definedName name="ккккк" localSheetId="8" hidden="1">{#N/A,#N/A,TRUE,"Смета на пасс. обор. №1"}</definedName>
    <definedName name="ккккк" localSheetId="11" hidden="1">{#N/A,#N/A,TRUE,"Смета на пасс. обор. №1"}</definedName>
    <definedName name="ккккк" localSheetId="110" hidden="1">{#N/A,#N/A,TRUE,"Смета на пасс. обор. №1"}</definedName>
    <definedName name="ккккк" localSheetId="109" hidden="1">{#N/A,#N/A,TRUE,"Смета на пасс. обор. №1"}</definedName>
    <definedName name="ккккк" localSheetId="108" hidden="1">{#N/A,#N/A,TRUE,"Смета на пасс. обор. №1"}</definedName>
    <definedName name="ккккк" localSheetId="6" hidden="1">{#N/A,#N/A,TRUE,"Смета на пасс. обор. №1"}</definedName>
    <definedName name="ккккк" localSheetId="9" hidden="1">{#N/A,#N/A,TRUE,"Смета на пасс. обор. №1"}</definedName>
    <definedName name="ккккк" localSheetId="7" hidden="1">{#N/A,#N/A,TRUE,"Смета на пасс. обор. №1"}</definedName>
    <definedName name="ккккк" localSheetId="92" hidden="1">{#N/A,#N/A,TRUE,"Смета на пасс. обор. №1"}</definedName>
    <definedName name="ккккк" localSheetId="93" hidden="1">{#N/A,#N/A,TRUE,"Смета на пасс. обор. №1"}</definedName>
    <definedName name="ккккк" localSheetId="94" hidden="1">{#N/A,#N/A,TRUE,"Смета на пасс. обор. №1"}</definedName>
    <definedName name="ккккк" localSheetId="99" hidden="1">{#N/A,#N/A,TRUE,"Смета на пасс. обор. №1"}</definedName>
    <definedName name="ккккк" localSheetId="100" hidden="1">{#N/A,#N/A,TRUE,"Смета на пасс. обор. №1"}</definedName>
    <definedName name="ккккк" localSheetId="106" hidden="1">{#N/A,#N/A,TRUE,"Смета на пасс. обор. №1"}</definedName>
    <definedName name="ккккк" localSheetId="2" hidden="1">{#N/A,#N/A,TRUE,"Смета на пасс. обор. №1"}</definedName>
    <definedName name="ккккк" localSheetId="123" hidden="1">{#N/A,#N/A,TRUE,"Смета на пасс. обор. №1"}</definedName>
    <definedName name="ккккк" localSheetId="4" hidden="1">{#N/A,#N/A,TRUE,"Смета на пасс. обор. №1"}</definedName>
    <definedName name="ккккк" localSheetId="13" hidden="1">{#N/A,#N/A,TRUE,"Смета на пасс. обор. №1"}</definedName>
    <definedName name="ккккк" hidden="1">{#N/A,#N/A,TRUE,"Смета на пасс. обор. №1"}</definedName>
    <definedName name="ккккк_1" localSheetId="10" hidden="1">{#N/A,#N/A,TRUE,"Смета на пасс. обор. №1"}</definedName>
    <definedName name="ккккк_1" localSheetId="12" hidden="1">{#N/A,#N/A,TRUE,"Смета на пасс. обор. №1"}</definedName>
    <definedName name="ккккк_1" localSheetId="111" hidden="1">{#N/A,#N/A,TRUE,"Смета на пасс. обор. №1"}</definedName>
    <definedName name="ккккк_1" localSheetId="112" hidden="1">{#N/A,#N/A,TRUE,"Смета на пасс. обор. №1"}</definedName>
    <definedName name="ккккк_1" localSheetId="113" hidden="1">{#N/A,#N/A,TRUE,"Смета на пасс. обор. №1"}</definedName>
    <definedName name="ккккк_1" localSheetId="114" hidden="1">{#N/A,#N/A,TRUE,"Смета на пасс. обор. №1"}</definedName>
    <definedName name="ккккк_1" localSheetId="115" hidden="1">{#N/A,#N/A,TRUE,"Смета на пасс. обор. №1"}</definedName>
    <definedName name="ккккк_1" localSheetId="116" hidden="1">{#N/A,#N/A,TRUE,"Смета на пасс. обор. №1"}</definedName>
    <definedName name="ккккк_1" localSheetId="117" hidden="1">{#N/A,#N/A,TRUE,"Смета на пасс. обор. №1"}</definedName>
    <definedName name="ккккк_1" localSheetId="118" hidden="1">{#N/A,#N/A,TRUE,"Смета на пасс. обор. №1"}</definedName>
    <definedName name="ккккк_1" localSheetId="121" hidden="1">{#N/A,#N/A,TRUE,"Смета на пасс. обор. №1"}</definedName>
    <definedName name="ккккк_1" localSheetId="122" hidden="1">{#N/A,#N/A,TRUE,"Смета на пасс. обор. №1"}</definedName>
    <definedName name="ккккк_1" localSheetId="8" hidden="1">{#N/A,#N/A,TRUE,"Смета на пасс. обор. №1"}</definedName>
    <definedName name="ккккк_1" localSheetId="11" hidden="1">{#N/A,#N/A,TRUE,"Смета на пасс. обор. №1"}</definedName>
    <definedName name="ккккк_1" localSheetId="110" hidden="1">{#N/A,#N/A,TRUE,"Смета на пасс. обор. №1"}</definedName>
    <definedName name="ккккк_1" localSheetId="109" hidden="1">{#N/A,#N/A,TRUE,"Смета на пасс. обор. №1"}</definedName>
    <definedName name="ккккк_1" localSheetId="108" hidden="1">{#N/A,#N/A,TRUE,"Смета на пасс. обор. №1"}</definedName>
    <definedName name="ккккк_1" localSheetId="6" hidden="1">{#N/A,#N/A,TRUE,"Смета на пасс. обор. №1"}</definedName>
    <definedName name="ккккк_1" localSheetId="9" hidden="1">{#N/A,#N/A,TRUE,"Смета на пасс. обор. №1"}</definedName>
    <definedName name="ккккк_1" localSheetId="7" hidden="1">{#N/A,#N/A,TRUE,"Смета на пасс. обор. №1"}</definedName>
    <definedName name="ккккк_1" localSheetId="92" hidden="1">{#N/A,#N/A,TRUE,"Смета на пасс. обор. №1"}</definedName>
    <definedName name="ккккк_1" localSheetId="93" hidden="1">{#N/A,#N/A,TRUE,"Смета на пасс. обор. №1"}</definedName>
    <definedName name="ккккк_1" localSheetId="94" hidden="1">{#N/A,#N/A,TRUE,"Смета на пасс. обор. №1"}</definedName>
    <definedName name="ккккк_1" localSheetId="99" hidden="1">{#N/A,#N/A,TRUE,"Смета на пасс. обор. №1"}</definedName>
    <definedName name="ккккк_1" localSheetId="100" hidden="1">{#N/A,#N/A,TRUE,"Смета на пасс. обор. №1"}</definedName>
    <definedName name="ккккк_1" localSheetId="106" hidden="1">{#N/A,#N/A,TRUE,"Смета на пасс. обор. №1"}</definedName>
    <definedName name="ккккк_1" localSheetId="2" hidden="1">{#N/A,#N/A,TRUE,"Смета на пасс. обор. №1"}</definedName>
    <definedName name="ккккк_1" localSheetId="123" hidden="1">{#N/A,#N/A,TRUE,"Смета на пасс. обор. №1"}</definedName>
    <definedName name="ккккк_1" localSheetId="4" hidden="1">{#N/A,#N/A,TRUE,"Смета на пасс. обор. №1"}</definedName>
    <definedName name="ккккк_1" localSheetId="13" hidden="1">{#N/A,#N/A,TRUE,"Смета на пасс. обор. №1"}</definedName>
    <definedName name="ккккк_1" hidden="1">{#N/A,#N/A,TRUE,"Смета на пасс. обор. №1"}</definedName>
    <definedName name="кн" localSheetId="10">[4]топография!#REF!</definedName>
    <definedName name="кн" localSheetId="9">[4]топография!#REF!</definedName>
    <definedName name="кн">[4]топография!#REF!</definedName>
    <definedName name="книга" localSheetId="10">#REF!</definedName>
    <definedName name="книга" localSheetId="12">#REF!</definedName>
    <definedName name="книга" localSheetId="116">#REF!</definedName>
    <definedName name="книга" localSheetId="8">#REF!</definedName>
    <definedName name="книга" localSheetId="11">#REF!</definedName>
    <definedName name="книга" localSheetId="110">#REF!</definedName>
    <definedName name="книга" localSheetId="109">#REF!</definedName>
    <definedName name="книга" localSheetId="108">#REF!</definedName>
    <definedName name="книга" localSheetId="6">#REF!</definedName>
    <definedName name="книга" localSheetId="9">#REF!</definedName>
    <definedName name="книга" localSheetId="7">#REF!</definedName>
    <definedName name="книга" localSheetId="92">#REF!</definedName>
    <definedName name="книга" localSheetId="93">#REF!</definedName>
    <definedName name="книга" localSheetId="94">#REF!</definedName>
    <definedName name="книга" localSheetId="99">#REF!</definedName>
    <definedName name="книга" localSheetId="100">#REF!</definedName>
    <definedName name="книга" localSheetId="106">#REF!</definedName>
    <definedName name="книга">#REF!</definedName>
    <definedName name="Кобщ" localSheetId="10">#REF!</definedName>
    <definedName name="Кобщ" localSheetId="9">#REF!</definedName>
    <definedName name="Кобщ">#REF!</definedName>
    <definedName name="КОД" localSheetId="10">#REF!</definedName>
    <definedName name="КОД" localSheetId="9">#REF!</definedName>
    <definedName name="КОД">#REF!</definedName>
    <definedName name="кол" localSheetId="10">#REF!</definedName>
    <definedName name="кол" localSheetId="9">#REF!</definedName>
    <definedName name="кол">#REF!</definedName>
    <definedName name="Количество_землепользователей" localSheetId="10">#REF!</definedName>
    <definedName name="Количество_землепользователей" localSheetId="12">#REF!</definedName>
    <definedName name="Количество_землепользователей" localSheetId="116">#REF!</definedName>
    <definedName name="Количество_землепользователей" localSheetId="110">#REF!</definedName>
    <definedName name="Количество_землепользователей" localSheetId="109">#REF!</definedName>
    <definedName name="Количество_землепользователей" localSheetId="108">#REF!</definedName>
    <definedName name="Количество_землепользователей" localSheetId="9">#REF!</definedName>
    <definedName name="Количество_землепользователей" localSheetId="92">#REF!</definedName>
    <definedName name="Количество_землепользователей" localSheetId="93">#REF!</definedName>
    <definedName name="Количество_землепользователей" localSheetId="94">#REF!</definedName>
    <definedName name="Количество_землепользователей" localSheetId="99">#REF!</definedName>
    <definedName name="Количество_землепользователей" localSheetId="100">#REF!</definedName>
    <definedName name="Количество_землепользователей" localSheetId="106">#REF!</definedName>
    <definedName name="Количество_землепользователей">#REF!</definedName>
    <definedName name="Количество_землепользователей_1" localSheetId="10">#REF!</definedName>
    <definedName name="Количество_землепользователей_1" localSheetId="9">#REF!</definedName>
    <definedName name="Количество_землепользователей_1">#REF!</definedName>
    <definedName name="Количество_контуров" localSheetId="10">#REF!</definedName>
    <definedName name="Количество_контуров" localSheetId="12">#REF!</definedName>
    <definedName name="Количество_контуров" localSheetId="116">#REF!</definedName>
    <definedName name="Количество_контуров" localSheetId="110">#REF!</definedName>
    <definedName name="Количество_контуров" localSheetId="109">#REF!</definedName>
    <definedName name="Количество_контуров" localSheetId="108">#REF!</definedName>
    <definedName name="Количество_контуров" localSheetId="9">#REF!</definedName>
    <definedName name="Количество_контуров" localSheetId="92">#REF!</definedName>
    <definedName name="Количество_контуров" localSheetId="93">#REF!</definedName>
    <definedName name="Количество_контуров" localSheetId="94">#REF!</definedName>
    <definedName name="Количество_контуров" localSheetId="99">#REF!</definedName>
    <definedName name="Количество_контуров" localSheetId="100">#REF!</definedName>
    <definedName name="Количество_контуров" localSheetId="106">#REF!</definedName>
    <definedName name="Количество_контуров">#REF!</definedName>
    <definedName name="Количество_контуров_1" localSheetId="10">#REF!</definedName>
    <definedName name="Количество_контуров_1" localSheetId="9">#REF!</definedName>
    <definedName name="Количество_контуров_1">#REF!</definedName>
    <definedName name="Количество_культур" localSheetId="10">#REF!</definedName>
    <definedName name="Количество_культур" localSheetId="12">#REF!</definedName>
    <definedName name="Количество_культур" localSheetId="110">#REF!</definedName>
    <definedName name="Количество_культур" localSheetId="9">#REF!</definedName>
    <definedName name="Количество_культур">#REF!</definedName>
    <definedName name="Количество_культур_1" localSheetId="10">#REF!</definedName>
    <definedName name="Количество_культур_1" localSheetId="9">#REF!</definedName>
    <definedName name="Количество_культур_1">#REF!</definedName>
    <definedName name="Количество_планшетов" localSheetId="10">#REF!</definedName>
    <definedName name="Количество_планшетов" localSheetId="12">#REF!</definedName>
    <definedName name="Количество_планшетов" localSheetId="110">#REF!</definedName>
    <definedName name="Количество_планшетов" localSheetId="9">#REF!</definedName>
    <definedName name="Количество_планшетов">#REF!</definedName>
    <definedName name="Количество_планшетов_1" localSheetId="10">#REF!</definedName>
    <definedName name="Количество_планшетов_1" localSheetId="9">#REF!</definedName>
    <definedName name="Количество_планшетов_1">#REF!</definedName>
    <definedName name="Количество_предприятий" localSheetId="10">#REF!</definedName>
    <definedName name="Количество_предприятий" localSheetId="12">#REF!</definedName>
    <definedName name="Количество_предприятий" localSheetId="110">#REF!</definedName>
    <definedName name="Количество_предприятий" localSheetId="9">#REF!</definedName>
    <definedName name="Количество_предприятий">#REF!</definedName>
    <definedName name="Количество_предприятий_1" localSheetId="10">#REF!</definedName>
    <definedName name="Количество_предприятий_1" localSheetId="9">#REF!</definedName>
    <definedName name="Количество_предприятий_1">#REF!</definedName>
    <definedName name="Количество_согласований" localSheetId="10">#REF!</definedName>
    <definedName name="Количество_согласований" localSheetId="12">#REF!</definedName>
    <definedName name="Количество_согласований" localSheetId="110">#REF!</definedName>
    <definedName name="Количество_согласований" localSheetId="9">#REF!</definedName>
    <definedName name="Количество_согласований">#REF!</definedName>
    <definedName name="Количество_согласований_1" localSheetId="10">#REF!</definedName>
    <definedName name="Количество_согласований_1" localSheetId="9">#REF!</definedName>
    <definedName name="Количество_согласований_1">#REF!</definedName>
    <definedName name="ком" localSheetId="10">[55]топография!#REF!</definedName>
    <definedName name="ком" localSheetId="9">[55]топография!#REF!</definedName>
    <definedName name="ком">[55]топография!#REF!</definedName>
    <definedName name="ком." localSheetId="10">#REF!</definedName>
    <definedName name="ком." localSheetId="12" hidden="1">{#N/A,#N/A,TRUE,"Смета на пасс. обор. №1"}</definedName>
    <definedName name="ком." localSheetId="111" hidden="1">{#N/A,#N/A,TRUE,"Смета на пасс. обор. №1"}</definedName>
    <definedName name="ком." localSheetId="112" hidden="1">{#N/A,#N/A,TRUE,"Смета на пасс. обор. №1"}</definedName>
    <definedName name="ком." localSheetId="113" hidden="1">{#N/A,#N/A,TRUE,"Смета на пасс. обор. №1"}</definedName>
    <definedName name="ком." localSheetId="114" hidden="1">{#N/A,#N/A,TRUE,"Смета на пасс. обор. №1"}</definedName>
    <definedName name="ком." localSheetId="115" hidden="1">{#N/A,#N/A,TRUE,"Смета на пасс. обор. №1"}</definedName>
    <definedName name="ком." localSheetId="116" hidden="1">{#N/A,#N/A,TRUE,"Смета на пасс. обор. №1"}</definedName>
    <definedName name="ком." localSheetId="117" hidden="1">{#N/A,#N/A,TRUE,"Смета на пасс. обор. №1"}</definedName>
    <definedName name="ком." localSheetId="118" hidden="1">{#N/A,#N/A,TRUE,"Смета на пасс. обор. №1"}</definedName>
    <definedName name="ком." localSheetId="121" hidden="1">{#N/A,#N/A,TRUE,"Смета на пасс. обор. №1"}</definedName>
    <definedName name="ком." localSheetId="122" hidden="1">{#N/A,#N/A,TRUE,"Смета на пасс. обор. №1"}</definedName>
    <definedName name="ком." localSheetId="8">#REF!</definedName>
    <definedName name="ком." localSheetId="11">#REF!</definedName>
    <definedName name="ком." localSheetId="110" hidden="1">{#N/A,#N/A,TRUE,"Смета на пасс. обор. №1"}</definedName>
    <definedName name="ком." localSheetId="109" hidden="1">{#N/A,#N/A,TRUE,"Смета на пасс. обор. №1"}</definedName>
    <definedName name="ком." localSheetId="108" hidden="1">{#N/A,#N/A,TRUE,"Смета на пасс. обор. №1"}</definedName>
    <definedName name="ком." localSheetId="6">#REF!</definedName>
    <definedName name="ком." localSheetId="9">#REF!</definedName>
    <definedName name="ком." localSheetId="7" hidden="1">{#N/A,#N/A,TRUE,"Смета на пасс. обор. №1"}</definedName>
    <definedName name="ком." localSheetId="92" hidden="1">{#N/A,#N/A,TRUE,"Смета на пасс. обор. №1"}</definedName>
    <definedName name="ком." localSheetId="93" hidden="1">{#N/A,#N/A,TRUE,"Смета на пасс. обор. №1"}</definedName>
    <definedName name="ком." localSheetId="94" hidden="1">{#N/A,#N/A,TRUE,"Смета на пасс. обор. №1"}</definedName>
    <definedName name="ком." localSheetId="99" hidden="1">{#N/A,#N/A,TRUE,"Смета на пасс. обор. №1"}</definedName>
    <definedName name="ком." localSheetId="100" hidden="1">{#N/A,#N/A,TRUE,"Смета на пасс. обор. №1"}</definedName>
    <definedName name="ком." localSheetId="106" hidden="1">{#N/A,#N/A,TRUE,"Смета на пасс. обор. №1"}</definedName>
    <definedName name="ком." localSheetId="2" hidden="1">{#N/A,#N/A,TRUE,"Смета на пасс. обор. №1"}</definedName>
    <definedName name="ком." localSheetId="123" hidden="1">{#N/A,#N/A,TRUE,"Смета на пасс. обор. №1"}</definedName>
    <definedName name="ком." localSheetId="4" hidden="1">{#N/A,#N/A,TRUE,"Смета на пасс. обор. №1"}</definedName>
    <definedName name="ком." localSheetId="13" hidden="1">{#N/A,#N/A,TRUE,"Смета на пасс. обор. №1"}</definedName>
    <definedName name="ком." hidden="1">{#N/A,#N/A,TRUE,"Смета на пасс. обор. №1"}</definedName>
    <definedName name="ком._1" localSheetId="10" hidden="1">{#N/A,#N/A,TRUE,"Смета на пасс. обор. №1"}</definedName>
    <definedName name="ком._1" localSheetId="12" hidden="1">{#N/A,#N/A,TRUE,"Смета на пасс. обор. №1"}</definedName>
    <definedName name="ком._1" localSheetId="111" hidden="1">{#N/A,#N/A,TRUE,"Смета на пасс. обор. №1"}</definedName>
    <definedName name="ком._1" localSheetId="112" hidden="1">{#N/A,#N/A,TRUE,"Смета на пасс. обор. №1"}</definedName>
    <definedName name="ком._1" localSheetId="113" hidden="1">{#N/A,#N/A,TRUE,"Смета на пасс. обор. №1"}</definedName>
    <definedName name="ком._1" localSheetId="114" hidden="1">{#N/A,#N/A,TRUE,"Смета на пасс. обор. №1"}</definedName>
    <definedName name="ком._1" localSheetId="115" hidden="1">{#N/A,#N/A,TRUE,"Смета на пасс. обор. №1"}</definedName>
    <definedName name="ком._1" localSheetId="116" hidden="1">{#N/A,#N/A,TRUE,"Смета на пасс. обор. №1"}</definedName>
    <definedName name="ком._1" localSheetId="117" hidden="1">{#N/A,#N/A,TRUE,"Смета на пасс. обор. №1"}</definedName>
    <definedName name="ком._1" localSheetId="118" hidden="1">{#N/A,#N/A,TRUE,"Смета на пасс. обор. №1"}</definedName>
    <definedName name="ком._1" localSheetId="121" hidden="1">{#N/A,#N/A,TRUE,"Смета на пасс. обор. №1"}</definedName>
    <definedName name="ком._1" localSheetId="122" hidden="1">{#N/A,#N/A,TRUE,"Смета на пасс. обор. №1"}</definedName>
    <definedName name="ком._1" localSheetId="8" hidden="1">{#N/A,#N/A,TRUE,"Смета на пасс. обор. №1"}</definedName>
    <definedName name="ком._1" localSheetId="11" hidden="1">{#N/A,#N/A,TRUE,"Смета на пасс. обор. №1"}</definedName>
    <definedName name="ком._1" localSheetId="110" hidden="1">{#N/A,#N/A,TRUE,"Смета на пасс. обор. №1"}</definedName>
    <definedName name="ком._1" localSheetId="109" hidden="1">{#N/A,#N/A,TRUE,"Смета на пасс. обор. №1"}</definedName>
    <definedName name="ком._1" localSheetId="108" hidden="1">{#N/A,#N/A,TRUE,"Смета на пасс. обор. №1"}</definedName>
    <definedName name="ком._1" localSheetId="6" hidden="1">{#N/A,#N/A,TRUE,"Смета на пасс. обор. №1"}</definedName>
    <definedName name="ком._1" localSheetId="9" hidden="1">{#N/A,#N/A,TRUE,"Смета на пасс. обор. №1"}</definedName>
    <definedName name="ком._1" localSheetId="7" hidden="1">{#N/A,#N/A,TRUE,"Смета на пасс. обор. №1"}</definedName>
    <definedName name="ком._1" localSheetId="92" hidden="1">{#N/A,#N/A,TRUE,"Смета на пасс. обор. №1"}</definedName>
    <definedName name="ком._1" localSheetId="93" hidden="1">{#N/A,#N/A,TRUE,"Смета на пасс. обор. №1"}</definedName>
    <definedName name="ком._1" localSheetId="94" hidden="1">{#N/A,#N/A,TRUE,"Смета на пасс. обор. №1"}</definedName>
    <definedName name="ком._1" localSheetId="99" hidden="1">{#N/A,#N/A,TRUE,"Смета на пасс. обор. №1"}</definedName>
    <definedName name="ком._1" localSheetId="100" hidden="1">{#N/A,#N/A,TRUE,"Смета на пасс. обор. №1"}</definedName>
    <definedName name="ком._1" localSheetId="106" hidden="1">{#N/A,#N/A,TRUE,"Смета на пасс. обор. №1"}</definedName>
    <definedName name="ком._1" localSheetId="2" hidden="1">{#N/A,#N/A,TRUE,"Смета на пасс. обор. №1"}</definedName>
    <definedName name="ком._1" localSheetId="123" hidden="1">{#N/A,#N/A,TRUE,"Смета на пасс. обор. №1"}</definedName>
    <definedName name="ком._1" localSheetId="4" hidden="1">{#N/A,#N/A,TRUE,"Смета на пасс. обор. №1"}</definedName>
    <definedName name="ком._1" localSheetId="13" hidden="1">{#N/A,#N/A,TRUE,"Смета на пасс. обор. №1"}</definedName>
    <definedName name="ком._1" hidden="1">{#N/A,#N/A,TRUE,"Смета на пасс. обор. №1"}</definedName>
    <definedName name="команд." localSheetId="10" hidden="1">{#N/A,#N/A,TRUE,"Смета на пасс. обор. №1"}</definedName>
    <definedName name="команд." localSheetId="12" hidden="1">{#N/A,#N/A,TRUE,"Смета на пасс. обор. №1"}</definedName>
    <definedName name="команд." localSheetId="111" hidden="1">{#N/A,#N/A,TRUE,"Смета на пасс. обор. №1"}</definedName>
    <definedName name="команд." localSheetId="112" hidden="1">{#N/A,#N/A,TRUE,"Смета на пасс. обор. №1"}</definedName>
    <definedName name="команд." localSheetId="113" hidden="1">{#N/A,#N/A,TRUE,"Смета на пасс. обор. №1"}</definedName>
    <definedName name="команд." localSheetId="114" hidden="1">{#N/A,#N/A,TRUE,"Смета на пасс. обор. №1"}</definedName>
    <definedName name="команд." localSheetId="115" hidden="1">{#N/A,#N/A,TRUE,"Смета на пасс. обор. №1"}</definedName>
    <definedName name="команд." localSheetId="116" hidden="1">{#N/A,#N/A,TRUE,"Смета на пасс. обор. №1"}</definedName>
    <definedName name="команд." localSheetId="117" hidden="1">{#N/A,#N/A,TRUE,"Смета на пасс. обор. №1"}</definedName>
    <definedName name="команд." localSheetId="118" hidden="1">{#N/A,#N/A,TRUE,"Смета на пасс. обор. №1"}</definedName>
    <definedName name="команд." localSheetId="121" hidden="1">{#N/A,#N/A,TRUE,"Смета на пасс. обор. №1"}</definedName>
    <definedName name="команд." localSheetId="122" hidden="1">{#N/A,#N/A,TRUE,"Смета на пасс. обор. №1"}</definedName>
    <definedName name="команд." localSheetId="8" hidden="1">{#N/A,#N/A,TRUE,"Смета на пасс. обор. №1"}</definedName>
    <definedName name="команд." localSheetId="11" hidden="1">{#N/A,#N/A,TRUE,"Смета на пасс. обор. №1"}</definedName>
    <definedName name="команд." localSheetId="110" hidden="1">{#N/A,#N/A,TRUE,"Смета на пасс. обор. №1"}</definedName>
    <definedName name="команд." localSheetId="109" hidden="1">{#N/A,#N/A,TRUE,"Смета на пасс. обор. №1"}</definedName>
    <definedName name="команд." localSheetId="108" hidden="1">{#N/A,#N/A,TRUE,"Смета на пасс. обор. №1"}</definedName>
    <definedName name="команд." localSheetId="6" hidden="1">{#N/A,#N/A,TRUE,"Смета на пасс. обор. №1"}</definedName>
    <definedName name="команд." localSheetId="9" hidden="1">{#N/A,#N/A,TRUE,"Смета на пасс. обор. №1"}</definedName>
    <definedName name="команд." localSheetId="7" hidden="1">{#N/A,#N/A,TRUE,"Смета на пасс. обор. №1"}</definedName>
    <definedName name="команд." localSheetId="92" hidden="1">{#N/A,#N/A,TRUE,"Смета на пасс. обор. №1"}</definedName>
    <definedName name="команд." localSheetId="93" hidden="1">{#N/A,#N/A,TRUE,"Смета на пасс. обор. №1"}</definedName>
    <definedName name="команд." localSheetId="94" hidden="1">{#N/A,#N/A,TRUE,"Смета на пасс. обор. №1"}</definedName>
    <definedName name="команд." localSheetId="99" hidden="1">{#N/A,#N/A,TRUE,"Смета на пасс. обор. №1"}</definedName>
    <definedName name="команд." localSheetId="100" hidden="1">{#N/A,#N/A,TRUE,"Смета на пасс. обор. №1"}</definedName>
    <definedName name="команд." localSheetId="106" hidden="1">{#N/A,#N/A,TRUE,"Смета на пасс. обор. №1"}</definedName>
    <definedName name="команд." localSheetId="2" hidden="1">{#N/A,#N/A,TRUE,"Смета на пасс. обор. №1"}</definedName>
    <definedName name="команд." localSheetId="123" hidden="1">{#N/A,#N/A,TRUE,"Смета на пасс. обор. №1"}</definedName>
    <definedName name="команд." localSheetId="4" hidden="1">{#N/A,#N/A,TRUE,"Смета на пасс. обор. №1"}</definedName>
    <definedName name="команд." localSheetId="13" hidden="1">{#N/A,#N/A,TRUE,"Смета на пасс. обор. №1"}</definedName>
    <definedName name="команд." hidden="1">{#N/A,#N/A,TRUE,"Смета на пасс. обор. №1"}</definedName>
    <definedName name="команд._1" localSheetId="10" hidden="1">{#N/A,#N/A,TRUE,"Смета на пасс. обор. №1"}</definedName>
    <definedName name="команд._1" localSheetId="12" hidden="1">{#N/A,#N/A,TRUE,"Смета на пасс. обор. №1"}</definedName>
    <definedName name="команд._1" localSheetId="111" hidden="1">{#N/A,#N/A,TRUE,"Смета на пасс. обор. №1"}</definedName>
    <definedName name="команд._1" localSheetId="112" hidden="1">{#N/A,#N/A,TRUE,"Смета на пасс. обор. №1"}</definedName>
    <definedName name="команд._1" localSheetId="113" hidden="1">{#N/A,#N/A,TRUE,"Смета на пасс. обор. №1"}</definedName>
    <definedName name="команд._1" localSheetId="114" hidden="1">{#N/A,#N/A,TRUE,"Смета на пасс. обор. №1"}</definedName>
    <definedName name="команд._1" localSheetId="115" hidden="1">{#N/A,#N/A,TRUE,"Смета на пасс. обор. №1"}</definedName>
    <definedName name="команд._1" localSheetId="116" hidden="1">{#N/A,#N/A,TRUE,"Смета на пасс. обор. №1"}</definedName>
    <definedName name="команд._1" localSheetId="117" hidden="1">{#N/A,#N/A,TRUE,"Смета на пасс. обор. №1"}</definedName>
    <definedName name="команд._1" localSheetId="118" hidden="1">{#N/A,#N/A,TRUE,"Смета на пасс. обор. №1"}</definedName>
    <definedName name="команд._1" localSheetId="121" hidden="1">{#N/A,#N/A,TRUE,"Смета на пасс. обор. №1"}</definedName>
    <definedName name="команд._1" localSheetId="122" hidden="1">{#N/A,#N/A,TRUE,"Смета на пасс. обор. №1"}</definedName>
    <definedName name="команд._1" localSheetId="8" hidden="1">{#N/A,#N/A,TRUE,"Смета на пасс. обор. №1"}</definedName>
    <definedName name="команд._1" localSheetId="11" hidden="1">{#N/A,#N/A,TRUE,"Смета на пасс. обор. №1"}</definedName>
    <definedName name="команд._1" localSheetId="110" hidden="1">{#N/A,#N/A,TRUE,"Смета на пасс. обор. №1"}</definedName>
    <definedName name="команд._1" localSheetId="109" hidden="1">{#N/A,#N/A,TRUE,"Смета на пасс. обор. №1"}</definedName>
    <definedName name="команд._1" localSheetId="108" hidden="1">{#N/A,#N/A,TRUE,"Смета на пасс. обор. №1"}</definedName>
    <definedName name="команд._1" localSheetId="6" hidden="1">{#N/A,#N/A,TRUE,"Смета на пасс. обор. №1"}</definedName>
    <definedName name="команд._1" localSheetId="9" hidden="1">{#N/A,#N/A,TRUE,"Смета на пасс. обор. №1"}</definedName>
    <definedName name="команд._1" localSheetId="7" hidden="1">{#N/A,#N/A,TRUE,"Смета на пасс. обор. №1"}</definedName>
    <definedName name="команд._1" localSheetId="92" hidden="1">{#N/A,#N/A,TRUE,"Смета на пасс. обор. №1"}</definedName>
    <definedName name="команд._1" localSheetId="93" hidden="1">{#N/A,#N/A,TRUE,"Смета на пасс. обор. №1"}</definedName>
    <definedName name="команд._1" localSheetId="94" hidden="1">{#N/A,#N/A,TRUE,"Смета на пасс. обор. №1"}</definedName>
    <definedName name="команд._1" localSheetId="99" hidden="1">{#N/A,#N/A,TRUE,"Смета на пасс. обор. №1"}</definedName>
    <definedName name="команд._1" localSheetId="100" hidden="1">{#N/A,#N/A,TRUE,"Смета на пасс. обор. №1"}</definedName>
    <definedName name="команд._1" localSheetId="106" hidden="1">{#N/A,#N/A,TRUE,"Смета на пасс. обор. №1"}</definedName>
    <definedName name="команд._1" localSheetId="2" hidden="1">{#N/A,#N/A,TRUE,"Смета на пасс. обор. №1"}</definedName>
    <definedName name="команд._1" localSheetId="123" hidden="1">{#N/A,#N/A,TRUE,"Смета на пасс. обор. №1"}</definedName>
    <definedName name="команд._1" localSheetId="4" hidden="1">{#N/A,#N/A,TRUE,"Смета на пасс. обор. №1"}</definedName>
    <definedName name="команд._1" localSheetId="13" hidden="1">{#N/A,#N/A,TRUE,"Смета на пасс. обор. №1"}</definedName>
    <definedName name="команд._1" hidden="1">{#N/A,#N/A,TRUE,"Смета на пасс. обор. №1"}</definedName>
    <definedName name="команд.обуч." localSheetId="10" hidden="1">{#N/A,#N/A,TRUE,"Смета на пасс. обор. №1"}</definedName>
    <definedName name="команд.обуч." localSheetId="12" hidden="1">{#N/A,#N/A,TRUE,"Смета на пасс. обор. №1"}</definedName>
    <definedName name="команд.обуч." localSheetId="111" hidden="1">{#N/A,#N/A,TRUE,"Смета на пасс. обор. №1"}</definedName>
    <definedName name="команд.обуч." localSheetId="112" hidden="1">{#N/A,#N/A,TRUE,"Смета на пасс. обор. №1"}</definedName>
    <definedName name="команд.обуч." localSheetId="113" hidden="1">{#N/A,#N/A,TRUE,"Смета на пасс. обор. №1"}</definedName>
    <definedName name="команд.обуч." localSheetId="114" hidden="1">{#N/A,#N/A,TRUE,"Смета на пасс. обор. №1"}</definedName>
    <definedName name="команд.обуч." localSheetId="115" hidden="1">{#N/A,#N/A,TRUE,"Смета на пасс. обор. №1"}</definedName>
    <definedName name="команд.обуч." localSheetId="116" hidden="1">{#N/A,#N/A,TRUE,"Смета на пасс. обор. №1"}</definedName>
    <definedName name="команд.обуч." localSheetId="117" hidden="1">{#N/A,#N/A,TRUE,"Смета на пасс. обор. №1"}</definedName>
    <definedName name="команд.обуч." localSheetId="118" hidden="1">{#N/A,#N/A,TRUE,"Смета на пасс. обор. №1"}</definedName>
    <definedName name="команд.обуч." localSheetId="121" hidden="1">{#N/A,#N/A,TRUE,"Смета на пасс. обор. №1"}</definedName>
    <definedName name="команд.обуч." localSheetId="122" hidden="1">{#N/A,#N/A,TRUE,"Смета на пасс. обор. №1"}</definedName>
    <definedName name="команд.обуч." localSheetId="8" hidden="1">{#N/A,#N/A,TRUE,"Смета на пасс. обор. №1"}</definedName>
    <definedName name="команд.обуч." localSheetId="11" hidden="1">{#N/A,#N/A,TRUE,"Смета на пасс. обор. №1"}</definedName>
    <definedName name="команд.обуч." localSheetId="110" hidden="1">{#N/A,#N/A,TRUE,"Смета на пасс. обор. №1"}</definedName>
    <definedName name="команд.обуч." localSheetId="109" hidden="1">{#N/A,#N/A,TRUE,"Смета на пасс. обор. №1"}</definedName>
    <definedName name="команд.обуч." localSheetId="108" hidden="1">{#N/A,#N/A,TRUE,"Смета на пасс. обор. №1"}</definedName>
    <definedName name="команд.обуч." localSheetId="6" hidden="1">{#N/A,#N/A,TRUE,"Смета на пасс. обор. №1"}</definedName>
    <definedName name="команд.обуч." localSheetId="9" hidden="1">{#N/A,#N/A,TRUE,"Смета на пасс. обор. №1"}</definedName>
    <definedName name="команд.обуч." localSheetId="7" hidden="1">{#N/A,#N/A,TRUE,"Смета на пасс. обор. №1"}</definedName>
    <definedName name="команд.обуч." localSheetId="92" hidden="1">{#N/A,#N/A,TRUE,"Смета на пасс. обор. №1"}</definedName>
    <definedName name="команд.обуч." localSheetId="93" hidden="1">{#N/A,#N/A,TRUE,"Смета на пасс. обор. №1"}</definedName>
    <definedName name="команд.обуч." localSheetId="94" hidden="1">{#N/A,#N/A,TRUE,"Смета на пасс. обор. №1"}</definedName>
    <definedName name="команд.обуч." localSheetId="99" hidden="1">{#N/A,#N/A,TRUE,"Смета на пасс. обор. №1"}</definedName>
    <definedName name="команд.обуч." localSheetId="100" hidden="1">{#N/A,#N/A,TRUE,"Смета на пасс. обор. №1"}</definedName>
    <definedName name="команд.обуч." localSheetId="106" hidden="1">{#N/A,#N/A,TRUE,"Смета на пасс. обор. №1"}</definedName>
    <definedName name="команд.обуч." localSheetId="2" hidden="1">{#N/A,#N/A,TRUE,"Смета на пасс. обор. №1"}</definedName>
    <definedName name="команд.обуч." localSheetId="123" hidden="1">{#N/A,#N/A,TRUE,"Смета на пасс. обор. №1"}</definedName>
    <definedName name="команд.обуч." localSheetId="4" hidden="1">{#N/A,#N/A,TRUE,"Смета на пасс. обор. №1"}</definedName>
    <definedName name="команд.обуч." localSheetId="13" hidden="1">{#N/A,#N/A,TRUE,"Смета на пасс. обор. №1"}</definedName>
    <definedName name="команд.обуч." hidden="1">{#N/A,#N/A,TRUE,"Смета на пасс. обор. №1"}</definedName>
    <definedName name="команд.обуч._1" localSheetId="10" hidden="1">{#N/A,#N/A,TRUE,"Смета на пасс. обор. №1"}</definedName>
    <definedName name="команд.обуч._1" localSheetId="12" hidden="1">{#N/A,#N/A,TRUE,"Смета на пасс. обор. №1"}</definedName>
    <definedName name="команд.обуч._1" localSheetId="111" hidden="1">{#N/A,#N/A,TRUE,"Смета на пасс. обор. №1"}</definedName>
    <definedName name="команд.обуч._1" localSheetId="112" hidden="1">{#N/A,#N/A,TRUE,"Смета на пасс. обор. №1"}</definedName>
    <definedName name="команд.обуч._1" localSheetId="113" hidden="1">{#N/A,#N/A,TRUE,"Смета на пасс. обор. №1"}</definedName>
    <definedName name="команд.обуч._1" localSheetId="114" hidden="1">{#N/A,#N/A,TRUE,"Смета на пасс. обор. №1"}</definedName>
    <definedName name="команд.обуч._1" localSheetId="115" hidden="1">{#N/A,#N/A,TRUE,"Смета на пасс. обор. №1"}</definedName>
    <definedName name="команд.обуч._1" localSheetId="116" hidden="1">{#N/A,#N/A,TRUE,"Смета на пасс. обор. №1"}</definedName>
    <definedName name="команд.обуч._1" localSheetId="117" hidden="1">{#N/A,#N/A,TRUE,"Смета на пасс. обор. №1"}</definedName>
    <definedName name="команд.обуч._1" localSheetId="118" hidden="1">{#N/A,#N/A,TRUE,"Смета на пасс. обор. №1"}</definedName>
    <definedName name="команд.обуч._1" localSheetId="121" hidden="1">{#N/A,#N/A,TRUE,"Смета на пасс. обор. №1"}</definedName>
    <definedName name="команд.обуч._1" localSheetId="122" hidden="1">{#N/A,#N/A,TRUE,"Смета на пасс. обор. №1"}</definedName>
    <definedName name="команд.обуч._1" localSheetId="8" hidden="1">{#N/A,#N/A,TRUE,"Смета на пасс. обор. №1"}</definedName>
    <definedName name="команд.обуч._1" localSheetId="11" hidden="1">{#N/A,#N/A,TRUE,"Смета на пасс. обор. №1"}</definedName>
    <definedName name="команд.обуч._1" localSheetId="110" hidden="1">{#N/A,#N/A,TRUE,"Смета на пасс. обор. №1"}</definedName>
    <definedName name="команд.обуч._1" localSheetId="109" hidden="1">{#N/A,#N/A,TRUE,"Смета на пасс. обор. №1"}</definedName>
    <definedName name="команд.обуч._1" localSheetId="108" hidden="1">{#N/A,#N/A,TRUE,"Смета на пасс. обор. №1"}</definedName>
    <definedName name="команд.обуч._1" localSheetId="6" hidden="1">{#N/A,#N/A,TRUE,"Смета на пасс. обор. №1"}</definedName>
    <definedName name="команд.обуч._1" localSheetId="9" hidden="1">{#N/A,#N/A,TRUE,"Смета на пасс. обор. №1"}</definedName>
    <definedName name="команд.обуч._1" localSheetId="7" hidden="1">{#N/A,#N/A,TRUE,"Смета на пасс. обор. №1"}</definedName>
    <definedName name="команд.обуч._1" localSheetId="92" hidden="1">{#N/A,#N/A,TRUE,"Смета на пасс. обор. №1"}</definedName>
    <definedName name="команд.обуч._1" localSheetId="93" hidden="1">{#N/A,#N/A,TRUE,"Смета на пасс. обор. №1"}</definedName>
    <definedName name="команд.обуч._1" localSheetId="94" hidden="1">{#N/A,#N/A,TRUE,"Смета на пасс. обор. №1"}</definedName>
    <definedName name="команд.обуч._1" localSheetId="99" hidden="1">{#N/A,#N/A,TRUE,"Смета на пасс. обор. №1"}</definedName>
    <definedName name="команд.обуч._1" localSheetId="100" hidden="1">{#N/A,#N/A,TRUE,"Смета на пасс. обор. №1"}</definedName>
    <definedName name="команд.обуч._1" localSheetId="106" hidden="1">{#N/A,#N/A,TRUE,"Смета на пасс. обор. №1"}</definedName>
    <definedName name="команд.обуч._1" localSheetId="2" hidden="1">{#N/A,#N/A,TRUE,"Смета на пасс. обор. №1"}</definedName>
    <definedName name="команд.обуч._1" localSheetId="123" hidden="1">{#N/A,#N/A,TRUE,"Смета на пасс. обор. №1"}</definedName>
    <definedName name="команд.обуч._1" localSheetId="4" hidden="1">{#N/A,#N/A,TRUE,"Смета на пасс. обор. №1"}</definedName>
    <definedName name="команд.обуч._1" localSheetId="13" hidden="1">{#N/A,#N/A,TRUE,"Смета на пасс. обор. №1"}</definedName>
    <definedName name="команд.обуч._1" hidden="1">{#N/A,#N/A,TRUE,"Смета на пасс. обор. №1"}</definedName>
    <definedName name="команд1" localSheetId="10">#REF!</definedName>
    <definedName name="команд1" localSheetId="12">#REF!</definedName>
    <definedName name="команд1" localSheetId="116">#REF!</definedName>
    <definedName name="команд1" localSheetId="8">#REF!</definedName>
    <definedName name="команд1" localSheetId="11">#REF!</definedName>
    <definedName name="команд1" localSheetId="110">#REF!</definedName>
    <definedName name="команд1" localSheetId="109">#REF!</definedName>
    <definedName name="команд1" localSheetId="108">#REF!</definedName>
    <definedName name="команд1" localSheetId="6">#REF!</definedName>
    <definedName name="команд1" localSheetId="9">#REF!</definedName>
    <definedName name="команд1" localSheetId="7">#REF!</definedName>
    <definedName name="команд1" localSheetId="92">#REF!</definedName>
    <definedName name="команд1" localSheetId="93">#REF!</definedName>
    <definedName name="команд1" localSheetId="94">#REF!</definedName>
    <definedName name="команд1" localSheetId="99">#REF!</definedName>
    <definedName name="команд1" localSheetId="100">#REF!</definedName>
    <definedName name="команд1" localSheetId="106">#REF!</definedName>
    <definedName name="команд1">#REF!</definedName>
    <definedName name="командировки" localSheetId="10" hidden="1">{#N/A,#N/A,TRUE,"Смета на пасс. обор. №1"}</definedName>
    <definedName name="командировки" localSheetId="12" hidden="1">{#N/A,#N/A,TRUE,"Смета на пасс. обор. №1"}</definedName>
    <definedName name="командировки" localSheetId="111" hidden="1">{#N/A,#N/A,TRUE,"Смета на пасс. обор. №1"}</definedName>
    <definedName name="командировки" localSheetId="112" hidden="1">{#N/A,#N/A,TRUE,"Смета на пасс. обор. №1"}</definedName>
    <definedName name="командировки" localSheetId="113" hidden="1">{#N/A,#N/A,TRUE,"Смета на пасс. обор. №1"}</definedName>
    <definedName name="командировки" localSheetId="114" hidden="1">{#N/A,#N/A,TRUE,"Смета на пасс. обор. №1"}</definedName>
    <definedName name="командировки" localSheetId="115" hidden="1">{#N/A,#N/A,TRUE,"Смета на пасс. обор. №1"}</definedName>
    <definedName name="командировки" localSheetId="116" hidden="1">{#N/A,#N/A,TRUE,"Смета на пасс. обор. №1"}</definedName>
    <definedName name="командировки" localSheetId="117" hidden="1">{#N/A,#N/A,TRUE,"Смета на пасс. обор. №1"}</definedName>
    <definedName name="командировки" localSheetId="118" hidden="1">{#N/A,#N/A,TRUE,"Смета на пасс. обор. №1"}</definedName>
    <definedName name="командировки" localSheetId="121" hidden="1">{#N/A,#N/A,TRUE,"Смета на пасс. обор. №1"}</definedName>
    <definedName name="командировки" localSheetId="122" hidden="1">{#N/A,#N/A,TRUE,"Смета на пасс. обор. №1"}</definedName>
    <definedName name="командировки" localSheetId="8" hidden="1">{#N/A,#N/A,TRUE,"Смета на пасс. обор. №1"}</definedName>
    <definedName name="командировки" localSheetId="11" hidden="1">{#N/A,#N/A,TRUE,"Смета на пасс. обор. №1"}</definedName>
    <definedName name="командировки" localSheetId="110" hidden="1">{#N/A,#N/A,TRUE,"Смета на пасс. обор. №1"}</definedName>
    <definedName name="командировки" localSheetId="109" hidden="1">{#N/A,#N/A,TRUE,"Смета на пасс. обор. №1"}</definedName>
    <definedName name="командировки" localSheetId="108" hidden="1">{#N/A,#N/A,TRUE,"Смета на пасс. обор. №1"}</definedName>
    <definedName name="командировки" localSheetId="6" hidden="1">{#N/A,#N/A,TRUE,"Смета на пасс. обор. №1"}</definedName>
    <definedName name="командировки" localSheetId="9" hidden="1">{#N/A,#N/A,TRUE,"Смета на пасс. обор. №1"}</definedName>
    <definedName name="командировки" localSheetId="7" hidden="1">{#N/A,#N/A,TRUE,"Смета на пасс. обор. №1"}</definedName>
    <definedName name="командировки" localSheetId="92" hidden="1">{#N/A,#N/A,TRUE,"Смета на пасс. обор. №1"}</definedName>
    <definedName name="командировки" localSheetId="93" hidden="1">{#N/A,#N/A,TRUE,"Смета на пасс. обор. №1"}</definedName>
    <definedName name="командировки" localSheetId="94" hidden="1">{#N/A,#N/A,TRUE,"Смета на пасс. обор. №1"}</definedName>
    <definedName name="командировки" localSheetId="99" hidden="1">{#N/A,#N/A,TRUE,"Смета на пасс. обор. №1"}</definedName>
    <definedName name="командировки" localSheetId="100" hidden="1">{#N/A,#N/A,TRUE,"Смета на пасс. обор. №1"}</definedName>
    <definedName name="командировки" localSheetId="106" hidden="1">{#N/A,#N/A,TRUE,"Смета на пасс. обор. №1"}</definedName>
    <definedName name="командировки" localSheetId="2" hidden="1">{#N/A,#N/A,TRUE,"Смета на пасс. обор. №1"}</definedName>
    <definedName name="командировки" localSheetId="123" hidden="1">{#N/A,#N/A,TRUE,"Смета на пасс. обор. №1"}</definedName>
    <definedName name="командировки" localSheetId="4" hidden="1">{#N/A,#N/A,TRUE,"Смета на пасс. обор. №1"}</definedName>
    <definedName name="командировки" localSheetId="13" hidden="1">{#N/A,#N/A,TRUE,"Смета на пасс. обор. №1"}</definedName>
    <definedName name="командировки" hidden="1">{#N/A,#N/A,TRUE,"Смета на пасс. обор. №1"}</definedName>
    <definedName name="Командировочные_расходы" localSheetId="10">#REF!</definedName>
    <definedName name="Командировочные_расходы" localSheetId="12">#REF!</definedName>
    <definedName name="Командировочные_расходы" localSheetId="116">#REF!</definedName>
    <definedName name="Командировочные_расходы" localSheetId="8">#REF!</definedName>
    <definedName name="Командировочные_расходы" localSheetId="11">#REF!</definedName>
    <definedName name="Командировочные_расходы" localSheetId="110">#REF!</definedName>
    <definedName name="Командировочные_расходы" localSheetId="109">#REF!</definedName>
    <definedName name="Командировочные_расходы" localSheetId="108">#REF!</definedName>
    <definedName name="Командировочные_расходы" localSheetId="6">#REF!</definedName>
    <definedName name="Командировочные_расходы" localSheetId="9">#REF!</definedName>
    <definedName name="Командировочные_расходы" localSheetId="7">#REF!</definedName>
    <definedName name="Командировочные_расходы" localSheetId="92">#REF!</definedName>
    <definedName name="Командировочные_расходы" localSheetId="93">#REF!</definedName>
    <definedName name="Командировочные_расходы" localSheetId="94">#REF!</definedName>
    <definedName name="Командировочные_расходы" localSheetId="99">#REF!</definedName>
    <definedName name="Командировочные_расходы" localSheetId="100">#REF!</definedName>
    <definedName name="Командировочные_расходы" localSheetId="106">#REF!</definedName>
    <definedName name="Командировочные_расходы">#REF!</definedName>
    <definedName name="Командировочные_расходы_1" localSheetId="10">#REF!</definedName>
    <definedName name="Командировочные_расходы_1" localSheetId="9">#REF!</definedName>
    <definedName name="Командировочные_расходы_1">#REF!</definedName>
    <definedName name="КОН_ИО" localSheetId="10">#REF!</definedName>
    <definedName name="КОН_ИО" localSheetId="9">#REF!</definedName>
    <definedName name="КОН_ИО">#REF!</definedName>
    <definedName name="КОН_ИО_РД" localSheetId="10">#REF!</definedName>
    <definedName name="КОН_ИО_РД" localSheetId="9">#REF!</definedName>
    <definedName name="КОН_ИО_РД">#REF!</definedName>
    <definedName name="КОН_МО" localSheetId="10">#REF!</definedName>
    <definedName name="КОН_МО" localSheetId="9">#REF!</definedName>
    <definedName name="КОН_МО">#REF!</definedName>
    <definedName name="КОН_МО_РД" localSheetId="10">#REF!</definedName>
    <definedName name="КОН_МО_РД" localSheetId="9">#REF!</definedName>
    <definedName name="КОН_МО_РД">#REF!</definedName>
    <definedName name="КОН_ОО" localSheetId="10">#REF!</definedName>
    <definedName name="КОН_ОО" localSheetId="9">#REF!</definedName>
    <definedName name="КОН_ОО">#REF!</definedName>
    <definedName name="КОН_ОО_РД" localSheetId="10">#REF!</definedName>
    <definedName name="КОН_ОО_РД" localSheetId="9">#REF!</definedName>
    <definedName name="КОН_ОО_РД">#REF!</definedName>
    <definedName name="КОН_ОР" localSheetId="10">#REF!</definedName>
    <definedName name="КОН_ОР" localSheetId="9">#REF!</definedName>
    <definedName name="КОН_ОР">#REF!</definedName>
    <definedName name="КОН_ОР_РД" localSheetId="10">#REF!</definedName>
    <definedName name="КОН_ОР_РД" localSheetId="9">#REF!</definedName>
    <definedName name="КОН_ОР_РД">#REF!</definedName>
    <definedName name="КОН_ПО" localSheetId="10">#REF!</definedName>
    <definedName name="КОН_ПО" localSheetId="9">#REF!</definedName>
    <definedName name="КОН_ПО">#REF!</definedName>
    <definedName name="КОН_ПО_РД" localSheetId="10">#REF!</definedName>
    <definedName name="КОН_ПО_РД" localSheetId="9">#REF!</definedName>
    <definedName name="КОН_ПО_РД">#REF!</definedName>
    <definedName name="КОН_ТО" localSheetId="10">#REF!</definedName>
    <definedName name="КОН_ТО" localSheetId="9">#REF!</definedName>
    <definedName name="КОН_ТО">#REF!</definedName>
    <definedName name="КОН_ТО_РД" localSheetId="10">#REF!</definedName>
    <definedName name="КОН_ТО_РД" localSheetId="9">#REF!</definedName>
    <definedName name="КОН_ТО_РД">#REF!</definedName>
    <definedName name="конкурс" localSheetId="10">#REF!</definedName>
    <definedName name="конкурс" localSheetId="12">#REF!</definedName>
    <definedName name="конкурс" localSheetId="116">#REF!</definedName>
    <definedName name="конкурс" localSheetId="110">#REF!</definedName>
    <definedName name="конкурс" localSheetId="9">#REF!</definedName>
    <definedName name="конкурс" localSheetId="92">#REF!</definedName>
    <definedName name="конкурс" localSheetId="93">#REF!</definedName>
    <definedName name="конкурс" localSheetId="94">#REF!</definedName>
    <definedName name="конкурс" localSheetId="99">#REF!</definedName>
    <definedName name="конкурс" localSheetId="100">#REF!</definedName>
    <definedName name="конкурс" localSheetId="106">#REF!</definedName>
    <definedName name="конкурс">#REF!</definedName>
    <definedName name="КонПериода">[56]Реестр!$Y$4:$Y$16</definedName>
    <definedName name="Контроллер" localSheetId="10">[24]Коэфф1.!#REF!</definedName>
    <definedName name="Контроллер" localSheetId="9">[24]Коэфф1.!#REF!</definedName>
    <definedName name="Контроллер">[24]Коэфф1.!#REF!</definedName>
    <definedName name="Контроллер_1" localSheetId="10">#REF!</definedName>
    <definedName name="Контроллер_1" localSheetId="9">#REF!</definedName>
    <definedName name="Контроллер_1">#REF!</definedName>
    <definedName name="Конф" localSheetId="10">#REF!</definedName>
    <definedName name="Конф" localSheetId="12">#REF!</definedName>
    <definedName name="Конф" localSheetId="8">#REF!</definedName>
    <definedName name="Конф" localSheetId="11">#REF!</definedName>
    <definedName name="Конф" localSheetId="110">#REF!</definedName>
    <definedName name="Конф" localSheetId="6">#REF!</definedName>
    <definedName name="Конф" localSheetId="9">#REF!</definedName>
    <definedName name="Конф" localSheetId="7">#REF!</definedName>
    <definedName name="Конф" localSheetId="92">#REF!</definedName>
    <definedName name="Конф" localSheetId="93">#REF!</definedName>
    <definedName name="Конф" localSheetId="94">#REF!</definedName>
    <definedName name="Конф" localSheetId="99">#REF!</definedName>
    <definedName name="Конф" localSheetId="100">#REF!</definedName>
    <definedName name="Конф" localSheetId="106">#REF!</definedName>
    <definedName name="Конф">#REF!</definedName>
    <definedName name="Конф_49" localSheetId="10">#REF!</definedName>
    <definedName name="Конф_49" localSheetId="12">#REF!</definedName>
    <definedName name="Конф_49" localSheetId="8">#REF!</definedName>
    <definedName name="Конф_49" localSheetId="11">#REF!</definedName>
    <definedName name="Конф_49" localSheetId="110">#REF!</definedName>
    <definedName name="Конф_49" localSheetId="6">#REF!</definedName>
    <definedName name="Конф_49" localSheetId="9">#REF!</definedName>
    <definedName name="Конф_49" localSheetId="7">#REF!</definedName>
    <definedName name="Конф_49">#REF!</definedName>
    <definedName name="Конф_50" localSheetId="10">#REF!</definedName>
    <definedName name="Конф_50" localSheetId="12">#REF!</definedName>
    <definedName name="Конф_50" localSheetId="110">#REF!</definedName>
    <definedName name="Конф_50" localSheetId="9">#REF!</definedName>
    <definedName name="Конф_50">#REF!</definedName>
    <definedName name="Конф_51" localSheetId="10">#REF!</definedName>
    <definedName name="Конф_51" localSheetId="12">#REF!</definedName>
    <definedName name="Конф_51" localSheetId="110">#REF!</definedName>
    <definedName name="Конф_51" localSheetId="9">#REF!</definedName>
    <definedName name="Конф_51">#REF!</definedName>
    <definedName name="Конф_52" localSheetId="10">#REF!</definedName>
    <definedName name="Конф_52" localSheetId="12">#REF!</definedName>
    <definedName name="Конф_52" localSheetId="110">#REF!</definedName>
    <definedName name="Конф_52" localSheetId="9">#REF!</definedName>
    <definedName name="Конф_52">#REF!</definedName>
    <definedName name="Конф_53" localSheetId="10">#REF!</definedName>
    <definedName name="Конф_53" localSheetId="12">#REF!</definedName>
    <definedName name="Конф_53" localSheetId="110">#REF!</definedName>
    <definedName name="Конф_53" localSheetId="9">#REF!</definedName>
    <definedName name="Конф_53">#REF!</definedName>
    <definedName name="Конф_54" localSheetId="10">#REF!</definedName>
    <definedName name="Конф_54" localSheetId="12">#REF!</definedName>
    <definedName name="Конф_54" localSheetId="110">#REF!</definedName>
    <definedName name="Конф_54" localSheetId="9">#REF!</definedName>
    <definedName name="Конф_54">#REF!</definedName>
    <definedName name="конфл" localSheetId="10">#REF!</definedName>
    <definedName name="конфл" localSheetId="12">#REF!</definedName>
    <definedName name="конфл" localSheetId="110">#REF!</definedName>
    <definedName name="конфл" localSheetId="9">#REF!</definedName>
    <definedName name="конфл">#REF!</definedName>
    <definedName name="конфл_49" localSheetId="10">#REF!</definedName>
    <definedName name="конфл_49" localSheetId="12">#REF!</definedName>
    <definedName name="конфл_49" localSheetId="110">#REF!</definedName>
    <definedName name="конфл_49" localSheetId="9">#REF!</definedName>
    <definedName name="конфл_49">#REF!</definedName>
    <definedName name="конфл_50" localSheetId="10">#REF!</definedName>
    <definedName name="конфл_50" localSheetId="12">#REF!</definedName>
    <definedName name="конфл_50" localSheetId="110">#REF!</definedName>
    <definedName name="конфл_50" localSheetId="9">#REF!</definedName>
    <definedName name="конфл_50">#REF!</definedName>
    <definedName name="конфл_51" localSheetId="10">#REF!</definedName>
    <definedName name="конфл_51" localSheetId="12">#REF!</definedName>
    <definedName name="конфл_51" localSheetId="110">#REF!</definedName>
    <definedName name="конфл_51" localSheetId="9">#REF!</definedName>
    <definedName name="конфл_51">#REF!</definedName>
    <definedName name="конфл_52" localSheetId="10">#REF!</definedName>
    <definedName name="конфл_52" localSheetId="12">#REF!</definedName>
    <definedName name="конфл_52" localSheetId="110">#REF!</definedName>
    <definedName name="конфл_52" localSheetId="9">#REF!</definedName>
    <definedName name="конфл_52">#REF!</definedName>
    <definedName name="конфл_53" localSheetId="10">#REF!</definedName>
    <definedName name="конфл_53" localSheetId="12">#REF!</definedName>
    <definedName name="конфл_53" localSheetId="110">#REF!</definedName>
    <definedName name="конфл_53" localSheetId="9">#REF!</definedName>
    <definedName name="конфл_53">#REF!</definedName>
    <definedName name="конфл_54" localSheetId="10">#REF!</definedName>
    <definedName name="конфл_54" localSheetId="12">#REF!</definedName>
    <definedName name="конфл_54" localSheetId="110">#REF!</definedName>
    <definedName name="конфл_54" localSheetId="9">#REF!</definedName>
    <definedName name="конфл_54">#REF!</definedName>
    <definedName name="конфл2" localSheetId="10">#REF!</definedName>
    <definedName name="конфл2" localSheetId="12">#REF!</definedName>
    <definedName name="конфл2" localSheetId="110">#REF!</definedName>
    <definedName name="конфл2" localSheetId="9">#REF!</definedName>
    <definedName name="конфл2">#REF!</definedName>
    <definedName name="конфл2_49" localSheetId="10">#REF!</definedName>
    <definedName name="конфл2_49" localSheetId="12">#REF!</definedName>
    <definedName name="конфл2_49" localSheetId="110">#REF!</definedName>
    <definedName name="конфл2_49" localSheetId="9">#REF!</definedName>
    <definedName name="конфл2_49">#REF!</definedName>
    <definedName name="конфл2_50" localSheetId="10">#REF!</definedName>
    <definedName name="конфл2_50" localSheetId="12">#REF!</definedName>
    <definedName name="конфл2_50" localSheetId="110">#REF!</definedName>
    <definedName name="конфл2_50" localSheetId="9">#REF!</definedName>
    <definedName name="конфл2_50">#REF!</definedName>
    <definedName name="конфл2_51" localSheetId="10">#REF!</definedName>
    <definedName name="конфл2_51" localSheetId="12">#REF!</definedName>
    <definedName name="конфл2_51" localSheetId="110">#REF!</definedName>
    <definedName name="конфл2_51" localSheetId="9">#REF!</definedName>
    <definedName name="конфл2_51">#REF!</definedName>
    <definedName name="конфл2_52" localSheetId="10">#REF!</definedName>
    <definedName name="конфл2_52" localSheetId="12">#REF!</definedName>
    <definedName name="конфл2_52" localSheetId="110">#REF!</definedName>
    <definedName name="конфл2_52" localSheetId="9">#REF!</definedName>
    <definedName name="конфл2_52">#REF!</definedName>
    <definedName name="конфл2_53" localSheetId="10">#REF!</definedName>
    <definedName name="конфл2_53" localSheetId="12">#REF!</definedName>
    <definedName name="конфл2_53" localSheetId="110">#REF!</definedName>
    <definedName name="конфл2_53" localSheetId="9">#REF!</definedName>
    <definedName name="конфл2_53">#REF!</definedName>
    <definedName name="конфл2_54" localSheetId="10">#REF!</definedName>
    <definedName name="конфл2_54" localSheetId="12">#REF!</definedName>
    <definedName name="конфл2_54" localSheetId="110">#REF!</definedName>
    <definedName name="конфл2_54" localSheetId="9">#REF!</definedName>
    <definedName name="конфл2_54">#REF!</definedName>
    <definedName name="Копия" localSheetId="10" hidden="1">{#N/A,#N/A,TRUE,"Смета на пасс. обор. №1"}</definedName>
    <definedName name="Копия" localSheetId="12" hidden="1">{#N/A,#N/A,TRUE,"Смета на пасс. обор. №1"}</definedName>
    <definedName name="Копия" localSheetId="111" hidden="1">{#N/A,#N/A,TRUE,"Смета на пасс. обор. №1"}</definedName>
    <definedName name="Копия" localSheetId="112" hidden="1">{#N/A,#N/A,TRUE,"Смета на пасс. обор. №1"}</definedName>
    <definedName name="Копия" localSheetId="113" hidden="1">{#N/A,#N/A,TRUE,"Смета на пасс. обор. №1"}</definedName>
    <definedName name="Копия" localSheetId="114" hidden="1">{#N/A,#N/A,TRUE,"Смета на пасс. обор. №1"}</definedName>
    <definedName name="Копия" localSheetId="115" hidden="1">{#N/A,#N/A,TRUE,"Смета на пасс. обор. №1"}</definedName>
    <definedName name="Копия" localSheetId="116" hidden="1">{#N/A,#N/A,TRUE,"Смета на пасс. обор. №1"}</definedName>
    <definedName name="Копия" localSheetId="117" hidden="1">{#N/A,#N/A,TRUE,"Смета на пасс. обор. №1"}</definedName>
    <definedName name="Копия" localSheetId="118" hidden="1">{#N/A,#N/A,TRUE,"Смета на пасс. обор. №1"}</definedName>
    <definedName name="Копия" localSheetId="121" hidden="1">{#N/A,#N/A,TRUE,"Смета на пасс. обор. №1"}</definedName>
    <definedName name="Копия" localSheetId="122" hidden="1">{#N/A,#N/A,TRUE,"Смета на пасс. обор. №1"}</definedName>
    <definedName name="Копия" localSheetId="8" hidden="1">{#N/A,#N/A,TRUE,"Смета на пасс. обор. №1"}</definedName>
    <definedName name="Копия" localSheetId="11" hidden="1">{#N/A,#N/A,TRUE,"Смета на пасс. обор. №1"}</definedName>
    <definedName name="Копия" localSheetId="110" hidden="1">{#N/A,#N/A,TRUE,"Смета на пасс. обор. №1"}</definedName>
    <definedName name="Копия" localSheetId="109" hidden="1">{#N/A,#N/A,TRUE,"Смета на пасс. обор. №1"}</definedName>
    <definedName name="Копия" localSheetId="108" hidden="1">{#N/A,#N/A,TRUE,"Смета на пасс. обор. №1"}</definedName>
    <definedName name="Копия" localSheetId="6" hidden="1">{#N/A,#N/A,TRUE,"Смета на пасс. обор. №1"}</definedName>
    <definedName name="Копия" localSheetId="9" hidden="1">{#N/A,#N/A,TRUE,"Смета на пасс. обор. №1"}</definedName>
    <definedName name="Копия" localSheetId="7" hidden="1">{#N/A,#N/A,TRUE,"Смета на пасс. обор. №1"}</definedName>
    <definedName name="Копия" localSheetId="92" hidden="1">{#N/A,#N/A,TRUE,"Смета на пасс. обор. №1"}</definedName>
    <definedName name="Копия" localSheetId="93" hidden="1">{#N/A,#N/A,TRUE,"Смета на пасс. обор. №1"}</definedName>
    <definedName name="Копия" localSheetId="94" hidden="1">{#N/A,#N/A,TRUE,"Смета на пасс. обор. №1"}</definedName>
    <definedName name="Копия" localSheetId="99" hidden="1">{#N/A,#N/A,TRUE,"Смета на пасс. обор. №1"}</definedName>
    <definedName name="Копия" localSheetId="100" hidden="1">{#N/A,#N/A,TRUE,"Смета на пасс. обор. №1"}</definedName>
    <definedName name="Копия" localSheetId="106" hidden="1">{#N/A,#N/A,TRUE,"Смета на пасс. обор. №1"}</definedName>
    <definedName name="Копия" localSheetId="2" hidden="1">{#N/A,#N/A,TRUE,"Смета на пасс. обор. №1"}</definedName>
    <definedName name="Копия" localSheetId="123" hidden="1">{#N/A,#N/A,TRUE,"Смета на пасс. обор. №1"}</definedName>
    <definedName name="Копия" localSheetId="4" hidden="1">{#N/A,#N/A,TRUE,"Смета на пасс. обор. №1"}</definedName>
    <definedName name="Копия" localSheetId="13" hidden="1">{#N/A,#N/A,TRUE,"Смета на пасс. обор. №1"}</definedName>
    <definedName name="Копия" hidden="1">{#N/A,#N/A,TRUE,"Смета на пасс. обор. №1"}</definedName>
    <definedName name="Копия2509" localSheetId="10" hidden="1">{#N/A,#N/A,TRUE,"Смета на пасс. обор. №1"}</definedName>
    <definedName name="Копия2509" localSheetId="12" hidden="1">{#N/A,#N/A,TRUE,"Смета на пасс. обор. №1"}</definedName>
    <definedName name="Копия2509" localSheetId="111" hidden="1">{#N/A,#N/A,TRUE,"Смета на пасс. обор. №1"}</definedName>
    <definedName name="Копия2509" localSheetId="112" hidden="1">{#N/A,#N/A,TRUE,"Смета на пасс. обор. №1"}</definedName>
    <definedName name="Копия2509" localSheetId="113" hidden="1">{#N/A,#N/A,TRUE,"Смета на пасс. обор. №1"}</definedName>
    <definedName name="Копия2509" localSheetId="114" hidden="1">{#N/A,#N/A,TRUE,"Смета на пасс. обор. №1"}</definedName>
    <definedName name="Копия2509" localSheetId="115" hidden="1">{#N/A,#N/A,TRUE,"Смета на пасс. обор. №1"}</definedName>
    <definedName name="Копия2509" localSheetId="116" hidden="1">{#N/A,#N/A,TRUE,"Смета на пасс. обор. №1"}</definedName>
    <definedName name="Копия2509" localSheetId="117" hidden="1">{#N/A,#N/A,TRUE,"Смета на пасс. обор. №1"}</definedName>
    <definedName name="Копия2509" localSheetId="118" hidden="1">{#N/A,#N/A,TRUE,"Смета на пасс. обор. №1"}</definedName>
    <definedName name="Копия2509" localSheetId="121" hidden="1">{#N/A,#N/A,TRUE,"Смета на пасс. обор. №1"}</definedName>
    <definedName name="Копия2509" localSheetId="122" hidden="1">{#N/A,#N/A,TRUE,"Смета на пасс. обор. №1"}</definedName>
    <definedName name="Копия2509" localSheetId="8" hidden="1">{#N/A,#N/A,TRUE,"Смета на пасс. обор. №1"}</definedName>
    <definedName name="Копия2509" localSheetId="11" hidden="1">{#N/A,#N/A,TRUE,"Смета на пасс. обор. №1"}</definedName>
    <definedName name="Копия2509" localSheetId="110" hidden="1">{#N/A,#N/A,TRUE,"Смета на пасс. обор. №1"}</definedName>
    <definedName name="Копия2509" localSheetId="109" hidden="1">{#N/A,#N/A,TRUE,"Смета на пасс. обор. №1"}</definedName>
    <definedName name="Копия2509" localSheetId="108" hidden="1">{#N/A,#N/A,TRUE,"Смета на пасс. обор. №1"}</definedName>
    <definedName name="Копия2509" localSheetId="6" hidden="1">{#N/A,#N/A,TRUE,"Смета на пасс. обор. №1"}</definedName>
    <definedName name="Копия2509" localSheetId="9" hidden="1">{#N/A,#N/A,TRUE,"Смета на пасс. обор. №1"}</definedName>
    <definedName name="Копия2509" localSheetId="7" hidden="1">{#N/A,#N/A,TRUE,"Смета на пасс. обор. №1"}</definedName>
    <definedName name="Копия2509" localSheetId="92" hidden="1">{#N/A,#N/A,TRUE,"Смета на пасс. обор. №1"}</definedName>
    <definedName name="Копия2509" localSheetId="93" hidden="1">{#N/A,#N/A,TRUE,"Смета на пасс. обор. №1"}</definedName>
    <definedName name="Копия2509" localSheetId="94" hidden="1">{#N/A,#N/A,TRUE,"Смета на пасс. обор. №1"}</definedName>
    <definedName name="Копия2509" localSheetId="99" hidden="1">{#N/A,#N/A,TRUE,"Смета на пасс. обор. №1"}</definedName>
    <definedName name="Копия2509" localSheetId="100" hidden="1">{#N/A,#N/A,TRUE,"Смета на пасс. обор. №1"}</definedName>
    <definedName name="Копия2509" localSheetId="106" hidden="1">{#N/A,#N/A,TRUE,"Смета на пасс. обор. №1"}</definedName>
    <definedName name="Копия2509" localSheetId="2" hidden="1">{#N/A,#N/A,TRUE,"Смета на пасс. обор. №1"}</definedName>
    <definedName name="Копия2509" localSheetId="123" hidden="1">{#N/A,#N/A,TRUE,"Смета на пасс. обор. №1"}</definedName>
    <definedName name="Копия2509" localSheetId="4" hidden="1">{#N/A,#N/A,TRUE,"Смета на пасс. обор. №1"}</definedName>
    <definedName name="Копия2509" localSheetId="13" hidden="1">{#N/A,#N/A,TRUE,"Смета на пасс. обор. №1"}</definedName>
    <definedName name="Копия2509" hidden="1">{#N/A,#N/A,TRUE,"Смета на пасс. обор. №1"}</definedName>
    <definedName name="кор" localSheetId="10">#REF!</definedName>
    <definedName name="кор" localSheetId="9">#REF!</definedName>
    <definedName name="кор">#REF!</definedName>
    <definedName name="Корнеева" localSheetId="10">#REF!</definedName>
    <definedName name="Корнеева" localSheetId="12">#REF!</definedName>
    <definedName name="Корнеева" localSheetId="116">#REF!</definedName>
    <definedName name="Корнеева" localSheetId="8">#REF!</definedName>
    <definedName name="Корнеева" localSheetId="11">#REF!</definedName>
    <definedName name="Корнеева" localSheetId="110">#REF!</definedName>
    <definedName name="Корнеева" localSheetId="109">#REF!</definedName>
    <definedName name="Корнеева" localSheetId="108">#REF!</definedName>
    <definedName name="Корнеева" localSheetId="6">#REF!</definedName>
    <definedName name="Корнеева" localSheetId="9">#REF!</definedName>
    <definedName name="Корнеева" localSheetId="7">#REF!</definedName>
    <definedName name="Корнеева" localSheetId="92">#REF!</definedName>
    <definedName name="Корнеева" localSheetId="93">#REF!</definedName>
    <definedName name="Корнеева" localSheetId="94">#REF!</definedName>
    <definedName name="Корнеева" localSheetId="99">#REF!</definedName>
    <definedName name="Корнеева" localSheetId="100">#REF!</definedName>
    <definedName name="Корнеева" localSheetId="106">#REF!</definedName>
    <definedName name="Корнеева">#REF!</definedName>
    <definedName name="Костромская_область" localSheetId="10">#REF!</definedName>
    <definedName name="Костромская_область" localSheetId="9">#REF!</definedName>
    <definedName name="Костромская_область">#REF!</definedName>
    <definedName name="котофей" localSheetId="10" hidden="1">{#N/A,#N/A,TRUE,"Смета на пасс. обор. №1"}</definedName>
    <definedName name="котофей" localSheetId="12" hidden="1">{#N/A,#N/A,TRUE,"Смета на пасс. обор. №1"}</definedName>
    <definedName name="котофей" localSheetId="111" hidden="1">{#N/A,#N/A,TRUE,"Смета на пасс. обор. №1"}</definedName>
    <definedName name="котофей" localSheetId="112" hidden="1">{#N/A,#N/A,TRUE,"Смета на пасс. обор. №1"}</definedName>
    <definedName name="котофей" localSheetId="113" hidden="1">{#N/A,#N/A,TRUE,"Смета на пасс. обор. №1"}</definedName>
    <definedName name="котофей" localSheetId="114" hidden="1">{#N/A,#N/A,TRUE,"Смета на пасс. обор. №1"}</definedName>
    <definedName name="котофей" localSheetId="115" hidden="1">{#N/A,#N/A,TRUE,"Смета на пасс. обор. №1"}</definedName>
    <definedName name="котофей" localSheetId="116" hidden="1">{#N/A,#N/A,TRUE,"Смета на пасс. обор. №1"}</definedName>
    <definedName name="котофей" localSheetId="117" hidden="1">{#N/A,#N/A,TRUE,"Смета на пасс. обор. №1"}</definedName>
    <definedName name="котофей" localSheetId="118" hidden="1">{#N/A,#N/A,TRUE,"Смета на пасс. обор. №1"}</definedName>
    <definedName name="котофей" localSheetId="121" hidden="1">{#N/A,#N/A,TRUE,"Смета на пасс. обор. №1"}</definedName>
    <definedName name="котофей" localSheetId="122" hidden="1">{#N/A,#N/A,TRUE,"Смета на пасс. обор. №1"}</definedName>
    <definedName name="котофей" localSheetId="8" hidden="1">{#N/A,#N/A,TRUE,"Смета на пасс. обор. №1"}</definedName>
    <definedName name="котофей" localSheetId="11" hidden="1">{#N/A,#N/A,TRUE,"Смета на пасс. обор. №1"}</definedName>
    <definedName name="котофей" localSheetId="110" hidden="1">{#N/A,#N/A,TRUE,"Смета на пасс. обор. №1"}</definedName>
    <definedName name="котофей" localSheetId="109" hidden="1">{#N/A,#N/A,TRUE,"Смета на пасс. обор. №1"}</definedName>
    <definedName name="котофей" localSheetId="108" hidden="1">{#N/A,#N/A,TRUE,"Смета на пасс. обор. №1"}</definedName>
    <definedName name="котофей" localSheetId="6" hidden="1">{#N/A,#N/A,TRUE,"Смета на пасс. обор. №1"}</definedName>
    <definedName name="котофей" localSheetId="9" hidden="1">{#N/A,#N/A,TRUE,"Смета на пасс. обор. №1"}</definedName>
    <definedName name="котофей" localSheetId="7" hidden="1">{#N/A,#N/A,TRUE,"Смета на пасс. обор. №1"}</definedName>
    <definedName name="котофей" localSheetId="92" hidden="1">{#N/A,#N/A,TRUE,"Смета на пасс. обор. №1"}</definedName>
    <definedName name="котофей" localSheetId="93" hidden="1">{#N/A,#N/A,TRUE,"Смета на пасс. обор. №1"}</definedName>
    <definedName name="котофей" localSheetId="94" hidden="1">{#N/A,#N/A,TRUE,"Смета на пасс. обор. №1"}</definedName>
    <definedName name="котофей" localSheetId="99" hidden="1">{#N/A,#N/A,TRUE,"Смета на пасс. обор. №1"}</definedName>
    <definedName name="котофей" localSheetId="100" hidden="1">{#N/A,#N/A,TRUE,"Смета на пасс. обор. №1"}</definedName>
    <definedName name="котофей" localSheetId="106" hidden="1">{#N/A,#N/A,TRUE,"Смета на пасс. обор. №1"}</definedName>
    <definedName name="котофей" localSheetId="2" hidden="1">{#N/A,#N/A,TRUE,"Смета на пасс. обор. №1"}</definedName>
    <definedName name="котофей" localSheetId="123" hidden="1">{#N/A,#N/A,TRUE,"Смета на пасс. обор. №1"}</definedName>
    <definedName name="котофей" localSheetId="4" hidden="1">{#N/A,#N/A,TRUE,"Смета на пасс. обор. №1"}</definedName>
    <definedName name="котофей" localSheetId="13" hidden="1">{#N/A,#N/A,TRUE,"Смета на пасс. обор. №1"}</definedName>
    <definedName name="котофей" hidden="1">{#N/A,#N/A,TRUE,"Смета на пасс. обор. №1"}</definedName>
    <definedName name="котофей_1" localSheetId="10" hidden="1">{#N/A,#N/A,TRUE,"Смета на пасс. обор. №1"}</definedName>
    <definedName name="котофей_1" localSheetId="12" hidden="1">{#N/A,#N/A,TRUE,"Смета на пасс. обор. №1"}</definedName>
    <definedName name="котофей_1" localSheetId="111" hidden="1">{#N/A,#N/A,TRUE,"Смета на пасс. обор. №1"}</definedName>
    <definedName name="котофей_1" localSheetId="112" hidden="1">{#N/A,#N/A,TRUE,"Смета на пасс. обор. №1"}</definedName>
    <definedName name="котофей_1" localSheetId="113" hidden="1">{#N/A,#N/A,TRUE,"Смета на пасс. обор. №1"}</definedName>
    <definedName name="котофей_1" localSheetId="114" hidden="1">{#N/A,#N/A,TRUE,"Смета на пасс. обор. №1"}</definedName>
    <definedName name="котофей_1" localSheetId="115" hidden="1">{#N/A,#N/A,TRUE,"Смета на пасс. обор. №1"}</definedName>
    <definedName name="котофей_1" localSheetId="116" hidden="1">{#N/A,#N/A,TRUE,"Смета на пасс. обор. №1"}</definedName>
    <definedName name="котофей_1" localSheetId="117" hidden="1">{#N/A,#N/A,TRUE,"Смета на пасс. обор. №1"}</definedName>
    <definedName name="котофей_1" localSheetId="118" hidden="1">{#N/A,#N/A,TRUE,"Смета на пасс. обор. №1"}</definedName>
    <definedName name="котофей_1" localSheetId="121" hidden="1">{#N/A,#N/A,TRUE,"Смета на пасс. обор. №1"}</definedName>
    <definedName name="котофей_1" localSheetId="122" hidden="1">{#N/A,#N/A,TRUE,"Смета на пасс. обор. №1"}</definedName>
    <definedName name="котофей_1" localSheetId="8" hidden="1">{#N/A,#N/A,TRUE,"Смета на пасс. обор. №1"}</definedName>
    <definedName name="котофей_1" localSheetId="11" hidden="1">{#N/A,#N/A,TRUE,"Смета на пасс. обор. №1"}</definedName>
    <definedName name="котофей_1" localSheetId="110" hidden="1">{#N/A,#N/A,TRUE,"Смета на пасс. обор. №1"}</definedName>
    <definedName name="котофей_1" localSheetId="109" hidden="1">{#N/A,#N/A,TRUE,"Смета на пасс. обор. №1"}</definedName>
    <definedName name="котофей_1" localSheetId="108" hidden="1">{#N/A,#N/A,TRUE,"Смета на пасс. обор. №1"}</definedName>
    <definedName name="котофей_1" localSheetId="6" hidden="1">{#N/A,#N/A,TRUE,"Смета на пасс. обор. №1"}</definedName>
    <definedName name="котофей_1" localSheetId="9" hidden="1">{#N/A,#N/A,TRUE,"Смета на пасс. обор. №1"}</definedName>
    <definedName name="котофей_1" localSheetId="7" hidden="1">{#N/A,#N/A,TRUE,"Смета на пасс. обор. №1"}</definedName>
    <definedName name="котофей_1" localSheetId="92" hidden="1">{#N/A,#N/A,TRUE,"Смета на пасс. обор. №1"}</definedName>
    <definedName name="котофей_1" localSheetId="93" hidden="1">{#N/A,#N/A,TRUE,"Смета на пасс. обор. №1"}</definedName>
    <definedName name="котофей_1" localSheetId="94" hidden="1">{#N/A,#N/A,TRUE,"Смета на пасс. обор. №1"}</definedName>
    <definedName name="котофей_1" localSheetId="99" hidden="1">{#N/A,#N/A,TRUE,"Смета на пасс. обор. №1"}</definedName>
    <definedName name="котофей_1" localSheetId="100" hidden="1">{#N/A,#N/A,TRUE,"Смета на пасс. обор. №1"}</definedName>
    <definedName name="котофей_1" localSheetId="106" hidden="1">{#N/A,#N/A,TRUE,"Смета на пасс. обор. №1"}</definedName>
    <definedName name="котофей_1" localSheetId="2" hidden="1">{#N/A,#N/A,TRUE,"Смета на пасс. обор. №1"}</definedName>
    <definedName name="котофей_1" localSheetId="123" hidden="1">{#N/A,#N/A,TRUE,"Смета на пасс. обор. №1"}</definedName>
    <definedName name="котофей_1" localSheetId="4" hidden="1">{#N/A,#N/A,TRUE,"Смета на пасс. обор. №1"}</definedName>
    <definedName name="котофей_1" localSheetId="13" hidden="1">{#N/A,#N/A,TRUE,"Смета на пасс. обор. №1"}</definedName>
    <definedName name="котофей_1" hidden="1">{#N/A,#N/A,TRUE,"Смета на пасс. обор. №1"}</definedName>
    <definedName name="Коэф_монт">[29]Коэфф!$B$4</definedName>
    <definedName name="КоэфБезПоля" localSheetId="10">#REF!</definedName>
    <definedName name="КоэфБезПоля" localSheetId="9">#REF!</definedName>
    <definedName name="КоэфБезПоля" localSheetId="7">#REF!</definedName>
    <definedName name="КоэфБезПоля">#REF!</definedName>
    <definedName name="КоэфГорЗак" localSheetId="10">#REF!</definedName>
    <definedName name="КоэфГорЗак" localSheetId="9">#REF!</definedName>
    <definedName name="КоэфГорЗак" localSheetId="7">#REF!</definedName>
    <definedName name="КоэфГорЗак">#REF!</definedName>
    <definedName name="КоэфГорЗаказ" localSheetId="7">[49]ОбмОбслЗемОд!$E$29</definedName>
    <definedName name="КоэфГорЗаказ">[50]ОбмОбслЗемОд!$E$29</definedName>
    <definedName name="КоэфУдорожания" localSheetId="7">[49]ОбмОбслЗемОд!$E$28</definedName>
    <definedName name="КоэфУдорожания">[50]ОбмОбслЗемОд!$E$28</definedName>
    <definedName name="Коэффициент" localSheetId="10">#REF!</definedName>
    <definedName name="Коэффициент" localSheetId="12">#REF!</definedName>
    <definedName name="Коэффициент" localSheetId="116">#REF!</definedName>
    <definedName name="Коэффициент" localSheetId="8">#REF!</definedName>
    <definedName name="Коэффициент" localSheetId="11">#REF!</definedName>
    <definedName name="Коэффициент" localSheetId="110">#REF!</definedName>
    <definedName name="Коэффициент" localSheetId="109">#REF!</definedName>
    <definedName name="Коэффициент" localSheetId="108">#REF!</definedName>
    <definedName name="Коэффициент" localSheetId="6">#REF!</definedName>
    <definedName name="Коэффициент" localSheetId="9">#REF!</definedName>
    <definedName name="Коэффициент" localSheetId="7">#REF!</definedName>
    <definedName name="Коэффициент" localSheetId="92">#REF!</definedName>
    <definedName name="Коэффициент" localSheetId="93">#REF!</definedName>
    <definedName name="Коэффициент" localSheetId="94">#REF!</definedName>
    <definedName name="Коэффициент" localSheetId="99">#REF!</definedName>
    <definedName name="Коэффициент" localSheetId="100">#REF!</definedName>
    <definedName name="Коэффициент" localSheetId="106">#REF!</definedName>
    <definedName name="Коэффициент" localSheetId="4">#REF!</definedName>
    <definedName name="Коэффициент" localSheetId="13">#REF!</definedName>
    <definedName name="Коэффициент">#REF!</definedName>
    <definedName name="Коэффициент_1" localSheetId="10">#REF!</definedName>
    <definedName name="Коэффициент_1" localSheetId="9">#REF!</definedName>
    <definedName name="Коэффициент_1">#REF!</definedName>
    <definedName name="кп" localSheetId="10">#REF!</definedName>
    <definedName name="кп" localSheetId="12">#REF!</definedName>
    <definedName name="кп" localSheetId="116">#REF!</definedName>
    <definedName name="кп" localSheetId="110">#REF!</definedName>
    <definedName name="кп" localSheetId="9">#REF!</definedName>
    <definedName name="кп" localSheetId="92">#REF!</definedName>
    <definedName name="кп" localSheetId="93">#REF!</definedName>
    <definedName name="кп" localSheetId="94">#REF!</definedName>
    <definedName name="кп" localSheetId="99">#REF!</definedName>
    <definedName name="кп" localSheetId="100">#REF!</definedName>
    <definedName name="кп" localSheetId="106">#REF!</definedName>
    <definedName name="кп" localSheetId="4">#REF!</definedName>
    <definedName name="кп" localSheetId="13">#REF!</definedName>
    <definedName name="кп">#REF!</definedName>
    <definedName name="Кпроект" localSheetId="10">'[57]Исх. данные'!#REF!</definedName>
    <definedName name="Кпроект" localSheetId="9">'[57]Исх. данные'!#REF!</definedName>
    <definedName name="Кпроект">'[57]Исх. данные'!#REF!</definedName>
    <definedName name="Краснодарский_край" localSheetId="10">#REF!</definedName>
    <definedName name="Краснодарский_край" localSheetId="9">#REF!</definedName>
    <definedName name="Краснодарский_край">#REF!</definedName>
    <definedName name="Красноярский_край" localSheetId="10">#REF!</definedName>
    <definedName name="Красноярский_край" localSheetId="9">#REF!</definedName>
    <definedName name="Красноярский_край">#REF!</definedName>
    <definedName name="Красноярский_край_1" localSheetId="10">#REF!</definedName>
    <definedName name="Красноярский_край_1" localSheetId="9">#REF!</definedName>
    <definedName name="Красноярский_край_1">#REF!</definedName>
    <definedName name="Крек">'[25]Лист опроса'!$B$17</definedName>
    <definedName name="Крп">'[25]Лист опроса'!$B$19</definedName>
    <definedName name="кук" localSheetId="10" hidden="1">{#N/A,#N/A,TRUE,"Смета на пасс. обор. №1"}</definedName>
    <definedName name="кук" localSheetId="12" hidden="1">{#N/A,#N/A,TRUE,"Смета на пасс. обор. №1"}</definedName>
    <definedName name="кук" localSheetId="111" hidden="1">{#N/A,#N/A,TRUE,"Смета на пасс. обор. №1"}</definedName>
    <definedName name="кук" localSheetId="112" hidden="1">{#N/A,#N/A,TRUE,"Смета на пасс. обор. №1"}</definedName>
    <definedName name="кук" localSheetId="113" hidden="1">{#N/A,#N/A,TRUE,"Смета на пасс. обор. №1"}</definedName>
    <definedName name="кук" localSheetId="114" hidden="1">{#N/A,#N/A,TRUE,"Смета на пасс. обор. №1"}</definedName>
    <definedName name="кук" localSheetId="115" hidden="1">{#N/A,#N/A,TRUE,"Смета на пасс. обор. №1"}</definedName>
    <definedName name="кук" localSheetId="116" hidden="1">{#N/A,#N/A,TRUE,"Смета на пасс. обор. №1"}</definedName>
    <definedName name="кук" localSheetId="117" hidden="1">{#N/A,#N/A,TRUE,"Смета на пасс. обор. №1"}</definedName>
    <definedName name="кук" localSheetId="118" hidden="1">{#N/A,#N/A,TRUE,"Смета на пасс. обор. №1"}</definedName>
    <definedName name="кук" localSheetId="121" hidden="1">{#N/A,#N/A,TRUE,"Смета на пасс. обор. №1"}</definedName>
    <definedName name="кук" localSheetId="122" hidden="1">{#N/A,#N/A,TRUE,"Смета на пасс. обор. №1"}</definedName>
    <definedName name="кук" localSheetId="8" hidden="1">{#N/A,#N/A,TRUE,"Смета на пасс. обор. №1"}</definedName>
    <definedName name="кук" localSheetId="11" hidden="1">{#N/A,#N/A,TRUE,"Смета на пасс. обор. №1"}</definedName>
    <definedName name="кук" localSheetId="110" hidden="1">{#N/A,#N/A,TRUE,"Смета на пасс. обор. №1"}</definedName>
    <definedName name="кук" localSheetId="109" hidden="1">{#N/A,#N/A,TRUE,"Смета на пасс. обор. №1"}</definedName>
    <definedName name="кук" localSheetId="108" hidden="1">{#N/A,#N/A,TRUE,"Смета на пасс. обор. №1"}</definedName>
    <definedName name="кук" localSheetId="6" hidden="1">{#N/A,#N/A,TRUE,"Смета на пасс. обор. №1"}</definedName>
    <definedName name="кук" localSheetId="9" hidden="1">{#N/A,#N/A,TRUE,"Смета на пасс. обор. №1"}</definedName>
    <definedName name="кук" localSheetId="7" hidden="1">{#N/A,#N/A,TRUE,"Смета на пасс. обор. №1"}</definedName>
    <definedName name="кук" localSheetId="92" hidden="1">{#N/A,#N/A,TRUE,"Смета на пасс. обор. №1"}</definedName>
    <definedName name="кук" localSheetId="93" hidden="1">{#N/A,#N/A,TRUE,"Смета на пасс. обор. №1"}</definedName>
    <definedName name="кук" localSheetId="94" hidden="1">{#N/A,#N/A,TRUE,"Смета на пасс. обор. №1"}</definedName>
    <definedName name="кук" localSheetId="99" hidden="1">{#N/A,#N/A,TRUE,"Смета на пасс. обор. №1"}</definedName>
    <definedName name="кук" localSheetId="100" hidden="1">{#N/A,#N/A,TRUE,"Смета на пасс. обор. №1"}</definedName>
    <definedName name="кук" localSheetId="106" hidden="1">{#N/A,#N/A,TRUE,"Смета на пасс. обор. №1"}</definedName>
    <definedName name="кук" localSheetId="2" hidden="1">{#N/A,#N/A,TRUE,"Смета на пасс. обор. №1"}</definedName>
    <definedName name="кук" localSheetId="123" hidden="1">{#N/A,#N/A,TRUE,"Смета на пасс. обор. №1"}</definedName>
    <definedName name="кук" localSheetId="4" hidden="1">{#N/A,#N/A,TRUE,"Смета на пасс. обор. №1"}</definedName>
    <definedName name="кук" localSheetId="13" hidden="1">{#N/A,#N/A,TRUE,"Смета на пасс. обор. №1"}</definedName>
    <definedName name="кук" hidden="1">{#N/A,#N/A,TRUE,"Смета на пасс. обор. №1"}</definedName>
    <definedName name="кук_1" localSheetId="10" hidden="1">{#N/A,#N/A,TRUE,"Смета на пасс. обор. №1"}</definedName>
    <definedName name="кук_1" localSheetId="12" hidden="1">{#N/A,#N/A,TRUE,"Смета на пасс. обор. №1"}</definedName>
    <definedName name="кук_1" localSheetId="111" hidden="1">{#N/A,#N/A,TRUE,"Смета на пасс. обор. №1"}</definedName>
    <definedName name="кук_1" localSheetId="112" hidden="1">{#N/A,#N/A,TRUE,"Смета на пасс. обор. №1"}</definedName>
    <definedName name="кук_1" localSheetId="113" hidden="1">{#N/A,#N/A,TRUE,"Смета на пасс. обор. №1"}</definedName>
    <definedName name="кук_1" localSheetId="114" hidden="1">{#N/A,#N/A,TRUE,"Смета на пасс. обор. №1"}</definedName>
    <definedName name="кук_1" localSheetId="115" hidden="1">{#N/A,#N/A,TRUE,"Смета на пасс. обор. №1"}</definedName>
    <definedName name="кук_1" localSheetId="116" hidden="1">{#N/A,#N/A,TRUE,"Смета на пасс. обор. №1"}</definedName>
    <definedName name="кук_1" localSheetId="117" hidden="1">{#N/A,#N/A,TRUE,"Смета на пасс. обор. №1"}</definedName>
    <definedName name="кук_1" localSheetId="118" hidden="1">{#N/A,#N/A,TRUE,"Смета на пасс. обор. №1"}</definedName>
    <definedName name="кук_1" localSheetId="121" hidden="1">{#N/A,#N/A,TRUE,"Смета на пасс. обор. №1"}</definedName>
    <definedName name="кук_1" localSheetId="122" hidden="1">{#N/A,#N/A,TRUE,"Смета на пасс. обор. №1"}</definedName>
    <definedName name="кук_1" localSheetId="8" hidden="1">{#N/A,#N/A,TRUE,"Смета на пасс. обор. №1"}</definedName>
    <definedName name="кук_1" localSheetId="11" hidden="1">{#N/A,#N/A,TRUE,"Смета на пасс. обор. №1"}</definedName>
    <definedName name="кук_1" localSheetId="110" hidden="1">{#N/A,#N/A,TRUE,"Смета на пасс. обор. №1"}</definedName>
    <definedName name="кук_1" localSheetId="109" hidden="1">{#N/A,#N/A,TRUE,"Смета на пасс. обор. №1"}</definedName>
    <definedName name="кук_1" localSheetId="108" hidden="1">{#N/A,#N/A,TRUE,"Смета на пасс. обор. №1"}</definedName>
    <definedName name="кук_1" localSheetId="6" hidden="1">{#N/A,#N/A,TRUE,"Смета на пасс. обор. №1"}</definedName>
    <definedName name="кук_1" localSheetId="9" hidden="1">{#N/A,#N/A,TRUE,"Смета на пасс. обор. №1"}</definedName>
    <definedName name="кук_1" localSheetId="7" hidden="1">{#N/A,#N/A,TRUE,"Смета на пасс. обор. №1"}</definedName>
    <definedName name="кук_1" localSheetId="92" hidden="1">{#N/A,#N/A,TRUE,"Смета на пасс. обор. №1"}</definedName>
    <definedName name="кук_1" localSheetId="93" hidden="1">{#N/A,#N/A,TRUE,"Смета на пасс. обор. №1"}</definedName>
    <definedName name="кук_1" localSheetId="94" hidden="1">{#N/A,#N/A,TRUE,"Смета на пасс. обор. №1"}</definedName>
    <definedName name="кук_1" localSheetId="99" hidden="1">{#N/A,#N/A,TRUE,"Смета на пасс. обор. №1"}</definedName>
    <definedName name="кук_1" localSheetId="100" hidden="1">{#N/A,#N/A,TRUE,"Смета на пасс. обор. №1"}</definedName>
    <definedName name="кук_1" localSheetId="106" hidden="1">{#N/A,#N/A,TRUE,"Смета на пасс. обор. №1"}</definedName>
    <definedName name="кук_1" localSheetId="2" hidden="1">{#N/A,#N/A,TRUE,"Смета на пасс. обор. №1"}</definedName>
    <definedName name="кук_1" localSheetId="123" hidden="1">{#N/A,#N/A,TRUE,"Смета на пасс. обор. №1"}</definedName>
    <definedName name="кук_1" localSheetId="4" hidden="1">{#N/A,#N/A,TRUE,"Смета на пасс. обор. №1"}</definedName>
    <definedName name="кук_1" localSheetId="13" hidden="1">{#N/A,#N/A,TRUE,"Смета на пасс. обор. №1"}</definedName>
    <definedName name="кук_1" hidden="1">{#N/A,#N/A,TRUE,"Смета на пасс. обор. №1"}</definedName>
    <definedName name="куку" localSheetId="10">#REF!</definedName>
    <definedName name="куку" localSheetId="12">#REF!</definedName>
    <definedName name="куку" localSheetId="116">#REF!</definedName>
    <definedName name="куку" localSheetId="8">#REF!</definedName>
    <definedName name="куку" localSheetId="11">#REF!</definedName>
    <definedName name="куку" localSheetId="110">#REF!</definedName>
    <definedName name="куку" localSheetId="109">#REF!</definedName>
    <definedName name="куку" localSheetId="108">#REF!</definedName>
    <definedName name="куку" localSheetId="6">#REF!</definedName>
    <definedName name="куку" localSheetId="9">#REF!</definedName>
    <definedName name="куку" localSheetId="7">#REF!</definedName>
    <definedName name="куку" localSheetId="92">#REF!</definedName>
    <definedName name="куку" localSheetId="93">#REF!</definedName>
    <definedName name="куку" localSheetId="94">#REF!</definedName>
    <definedName name="куку" localSheetId="99">#REF!</definedName>
    <definedName name="куку" localSheetId="100">#REF!</definedName>
    <definedName name="куку" localSheetId="106">#REF!</definedName>
    <definedName name="куку">#REF!</definedName>
    <definedName name="Курган" localSheetId="10">#REF!</definedName>
    <definedName name="Курган" localSheetId="12">#REF!</definedName>
    <definedName name="Курган" localSheetId="116">#REF!</definedName>
    <definedName name="Курган" localSheetId="8">#REF!</definedName>
    <definedName name="Курган" localSheetId="11">#REF!</definedName>
    <definedName name="Курган" localSheetId="110">#REF!</definedName>
    <definedName name="Курган" localSheetId="109">#REF!</definedName>
    <definedName name="Курган" localSheetId="108">#REF!</definedName>
    <definedName name="Курган" localSheetId="6">#REF!</definedName>
    <definedName name="Курган" localSheetId="9">#REF!</definedName>
    <definedName name="Курган" localSheetId="7">#REF!</definedName>
    <definedName name="Курган" localSheetId="92">#REF!</definedName>
    <definedName name="Курган" localSheetId="93">#REF!</definedName>
    <definedName name="Курган" localSheetId="94">#REF!</definedName>
    <definedName name="Курган" localSheetId="99">#REF!</definedName>
    <definedName name="Курган" localSheetId="100">#REF!</definedName>
    <definedName name="Курган" localSheetId="106">#REF!</definedName>
    <definedName name="Курган">#REF!</definedName>
    <definedName name="Курганская_область" localSheetId="10">#REF!</definedName>
    <definedName name="Курганская_область" localSheetId="9">#REF!</definedName>
    <definedName name="Курганская_область">#REF!</definedName>
    <definedName name="Курганская_область_1" localSheetId="10">#REF!</definedName>
    <definedName name="Курганская_область_1" localSheetId="9">#REF!</definedName>
    <definedName name="Курганская_область_1">#REF!</definedName>
    <definedName name="курорты" localSheetId="10">#REF!</definedName>
    <definedName name="курорты" localSheetId="12">#REF!</definedName>
    <definedName name="курорты" localSheetId="112">#REF!</definedName>
    <definedName name="курорты" localSheetId="113">#REF!</definedName>
    <definedName name="курорты" localSheetId="115">#REF!</definedName>
    <definedName name="курорты" localSheetId="116">#REF!</definedName>
    <definedName name="курорты" localSheetId="110">#REF!</definedName>
    <definedName name="курорты" localSheetId="9">#REF!</definedName>
    <definedName name="курорты" localSheetId="92">#REF!</definedName>
    <definedName name="курорты" localSheetId="93">#REF!</definedName>
    <definedName name="курорты" localSheetId="94">#REF!</definedName>
    <definedName name="курорты" localSheetId="99">#REF!</definedName>
    <definedName name="курорты" localSheetId="100">#REF!</definedName>
    <definedName name="курорты" localSheetId="106">#REF!</definedName>
    <definedName name="курорты">#REF!</definedName>
    <definedName name="курс" localSheetId="10">#REF!</definedName>
    <definedName name="курс" localSheetId="8">#REF!</definedName>
    <definedName name="курс" localSheetId="11">#REF!</definedName>
    <definedName name="курс" localSheetId="6">#REF!</definedName>
    <definedName name="курс" localSheetId="9">#REF!</definedName>
    <definedName name="Курс" localSheetId="7">[29]Коэфф!$B$3</definedName>
    <definedName name="Курс">[29]Коэфф!$B$3</definedName>
    <definedName name="Курс_1" localSheetId="10">#REF!</definedName>
    <definedName name="Курс_1" localSheetId="9">#REF!</definedName>
    <definedName name="Курс_1">#REF!</definedName>
    <definedName name="курс_дол" localSheetId="10">#REF!</definedName>
    <definedName name="курс_дол" localSheetId="9">#REF!</definedName>
    <definedName name="курс_дол">#REF!</definedName>
    <definedName name="Курс_доллара">'[58]Курс доллара'!$A$2</definedName>
    <definedName name="Курс_доллара_США" localSheetId="10">#REF!</definedName>
    <definedName name="Курс_доллара_США" localSheetId="9">#REF!</definedName>
    <definedName name="Курс_доллара_США">#REF!</definedName>
    <definedName name="курс1" localSheetId="10">#REF!</definedName>
    <definedName name="курс1" localSheetId="9">#REF!</definedName>
    <definedName name="курс1">#REF!</definedName>
    <definedName name="Курская_область" localSheetId="10">#REF!</definedName>
    <definedName name="Курская_область" localSheetId="9">#REF!</definedName>
    <definedName name="Курская_область">#REF!</definedName>
    <definedName name="кшн" localSheetId="10">#REF!</definedName>
    <definedName name="кшн" localSheetId="9">#REF!</definedName>
    <definedName name="кшн">#REF!</definedName>
    <definedName name="Кэл">'[25]Лист опроса'!$B$20</definedName>
    <definedName name="л" localSheetId="10" hidden="1">{#N/A,#N/A,TRUE,"Смета на пасс. обор. №1"}</definedName>
    <definedName name="л" localSheetId="12" hidden="1">{#N/A,#N/A,TRUE,"Смета на пасс. обор. №1"}</definedName>
    <definedName name="л" localSheetId="111" hidden="1">{#N/A,#N/A,TRUE,"Смета на пасс. обор. №1"}</definedName>
    <definedName name="л" localSheetId="112" hidden="1">{#N/A,#N/A,TRUE,"Смета на пасс. обор. №1"}</definedName>
    <definedName name="л" localSheetId="113" hidden="1">{#N/A,#N/A,TRUE,"Смета на пасс. обор. №1"}</definedName>
    <definedName name="л" localSheetId="114" hidden="1">{#N/A,#N/A,TRUE,"Смета на пасс. обор. №1"}</definedName>
    <definedName name="л" localSheetId="115" hidden="1">{#N/A,#N/A,TRUE,"Смета на пасс. обор. №1"}</definedName>
    <definedName name="л" localSheetId="116" hidden="1">{#N/A,#N/A,TRUE,"Смета на пасс. обор. №1"}</definedName>
    <definedName name="л" localSheetId="117" hidden="1">{#N/A,#N/A,TRUE,"Смета на пасс. обор. №1"}</definedName>
    <definedName name="л" localSheetId="118" hidden="1">{#N/A,#N/A,TRUE,"Смета на пасс. обор. №1"}</definedName>
    <definedName name="л" localSheetId="121" hidden="1">{#N/A,#N/A,TRUE,"Смета на пасс. обор. №1"}</definedName>
    <definedName name="л" localSheetId="122" hidden="1">{#N/A,#N/A,TRUE,"Смета на пасс. обор. №1"}</definedName>
    <definedName name="л" localSheetId="8" hidden="1">{#N/A,#N/A,TRUE,"Смета на пасс. обор. №1"}</definedName>
    <definedName name="л" localSheetId="11" hidden="1">{#N/A,#N/A,TRUE,"Смета на пасс. обор. №1"}</definedName>
    <definedName name="л" localSheetId="110" hidden="1">{#N/A,#N/A,TRUE,"Смета на пасс. обор. №1"}</definedName>
    <definedName name="л" localSheetId="109" hidden="1">{#N/A,#N/A,TRUE,"Смета на пасс. обор. №1"}</definedName>
    <definedName name="л" localSheetId="108" hidden="1">{#N/A,#N/A,TRUE,"Смета на пасс. обор. №1"}</definedName>
    <definedName name="л" localSheetId="6" hidden="1">{#N/A,#N/A,TRUE,"Смета на пасс. обор. №1"}</definedName>
    <definedName name="л" localSheetId="9" hidden="1">{#N/A,#N/A,TRUE,"Смета на пасс. обор. №1"}</definedName>
    <definedName name="л" localSheetId="7" hidden="1">{#N/A,#N/A,TRUE,"Смета на пасс. обор. №1"}</definedName>
    <definedName name="л" localSheetId="92" hidden="1">{#N/A,#N/A,TRUE,"Смета на пасс. обор. №1"}</definedName>
    <definedName name="л" localSheetId="93" hidden="1">{#N/A,#N/A,TRUE,"Смета на пасс. обор. №1"}</definedName>
    <definedName name="л" localSheetId="94" hidden="1">{#N/A,#N/A,TRUE,"Смета на пасс. обор. №1"}</definedName>
    <definedName name="л" localSheetId="99" hidden="1">{#N/A,#N/A,TRUE,"Смета на пасс. обор. №1"}</definedName>
    <definedName name="л" localSheetId="100" hidden="1">{#N/A,#N/A,TRUE,"Смета на пасс. обор. №1"}</definedName>
    <definedName name="л" localSheetId="106" hidden="1">{#N/A,#N/A,TRUE,"Смета на пасс. обор. №1"}</definedName>
    <definedName name="л" localSheetId="2" hidden="1">{#N/A,#N/A,TRUE,"Смета на пасс. обор. №1"}</definedName>
    <definedName name="л" localSheetId="123" hidden="1">{#N/A,#N/A,TRUE,"Смета на пасс. обор. №1"}</definedName>
    <definedName name="л" localSheetId="4" hidden="1">{#N/A,#N/A,TRUE,"Смета на пасс. обор. №1"}</definedName>
    <definedName name="л" localSheetId="13" hidden="1">{#N/A,#N/A,TRUE,"Смета на пасс. обор. №1"}</definedName>
    <definedName name="л" hidden="1">{#N/A,#N/A,TRUE,"Смета на пасс. обор. №1"}</definedName>
    <definedName name="л_1" localSheetId="10" hidden="1">{#N/A,#N/A,TRUE,"Смета на пасс. обор. №1"}</definedName>
    <definedName name="л_1" localSheetId="12" hidden="1">{#N/A,#N/A,TRUE,"Смета на пасс. обор. №1"}</definedName>
    <definedName name="л_1" localSheetId="111" hidden="1">{#N/A,#N/A,TRUE,"Смета на пасс. обор. №1"}</definedName>
    <definedName name="л_1" localSheetId="112" hidden="1">{#N/A,#N/A,TRUE,"Смета на пасс. обор. №1"}</definedName>
    <definedName name="л_1" localSheetId="113" hidden="1">{#N/A,#N/A,TRUE,"Смета на пасс. обор. №1"}</definedName>
    <definedName name="л_1" localSheetId="114" hidden="1">{#N/A,#N/A,TRUE,"Смета на пасс. обор. №1"}</definedName>
    <definedName name="л_1" localSheetId="115" hidden="1">{#N/A,#N/A,TRUE,"Смета на пасс. обор. №1"}</definedName>
    <definedName name="л_1" localSheetId="116" hidden="1">{#N/A,#N/A,TRUE,"Смета на пасс. обор. №1"}</definedName>
    <definedName name="л_1" localSheetId="117" hidden="1">{#N/A,#N/A,TRUE,"Смета на пасс. обор. №1"}</definedName>
    <definedName name="л_1" localSheetId="118" hidden="1">{#N/A,#N/A,TRUE,"Смета на пасс. обор. №1"}</definedName>
    <definedName name="л_1" localSheetId="121" hidden="1">{#N/A,#N/A,TRUE,"Смета на пасс. обор. №1"}</definedName>
    <definedName name="л_1" localSheetId="122" hidden="1">{#N/A,#N/A,TRUE,"Смета на пасс. обор. №1"}</definedName>
    <definedName name="л_1" localSheetId="8" hidden="1">{#N/A,#N/A,TRUE,"Смета на пасс. обор. №1"}</definedName>
    <definedName name="л_1" localSheetId="11" hidden="1">{#N/A,#N/A,TRUE,"Смета на пасс. обор. №1"}</definedName>
    <definedName name="л_1" localSheetId="110" hidden="1">{#N/A,#N/A,TRUE,"Смета на пасс. обор. №1"}</definedName>
    <definedName name="л_1" localSheetId="109" hidden="1">{#N/A,#N/A,TRUE,"Смета на пасс. обор. №1"}</definedName>
    <definedName name="л_1" localSheetId="108" hidden="1">{#N/A,#N/A,TRUE,"Смета на пасс. обор. №1"}</definedName>
    <definedName name="л_1" localSheetId="6" hidden="1">{#N/A,#N/A,TRUE,"Смета на пасс. обор. №1"}</definedName>
    <definedName name="л_1" localSheetId="9" hidden="1">{#N/A,#N/A,TRUE,"Смета на пасс. обор. №1"}</definedName>
    <definedName name="л_1" localSheetId="7" hidden="1">{#N/A,#N/A,TRUE,"Смета на пасс. обор. №1"}</definedName>
    <definedName name="л_1" localSheetId="92" hidden="1">{#N/A,#N/A,TRUE,"Смета на пасс. обор. №1"}</definedName>
    <definedName name="л_1" localSheetId="93" hidden="1">{#N/A,#N/A,TRUE,"Смета на пасс. обор. №1"}</definedName>
    <definedName name="л_1" localSheetId="94" hidden="1">{#N/A,#N/A,TRUE,"Смета на пасс. обор. №1"}</definedName>
    <definedName name="л_1" localSheetId="99" hidden="1">{#N/A,#N/A,TRUE,"Смета на пасс. обор. №1"}</definedName>
    <definedName name="л_1" localSheetId="100" hidden="1">{#N/A,#N/A,TRUE,"Смета на пасс. обор. №1"}</definedName>
    <definedName name="л_1" localSheetId="106" hidden="1">{#N/A,#N/A,TRUE,"Смета на пасс. обор. №1"}</definedName>
    <definedName name="л_1" localSheetId="2" hidden="1">{#N/A,#N/A,TRUE,"Смета на пасс. обор. №1"}</definedName>
    <definedName name="л_1" localSheetId="123" hidden="1">{#N/A,#N/A,TRUE,"Смета на пасс. обор. №1"}</definedName>
    <definedName name="л_1" localSheetId="4" hidden="1">{#N/A,#N/A,TRUE,"Смета на пасс. обор. №1"}</definedName>
    <definedName name="л_1" localSheetId="13" hidden="1">{#N/A,#N/A,TRUE,"Смета на пасс. обор. №1"}</definedName>
    <definedName name="л_1" hidden="1">{#N/A,#N/A,TRUE,"Смета на пасс. обор. №1"}</definedName>
    <definedName name="лаб_иссл" localSheetId="10">#REF!</definedName>
    <definedName name="лаб_иссл" localSheetId="12">#REF!</definedName>
    <definedName name="лаб_иссл" localSheetId="112">#REF!</definedName>
    <definedName name="лаб_иссл" localSheetId="113">#REF!</definedName>
    <definedName name="лаб_иссл" localSheetId="115">#REF!</definedName>
    <definedName name="лаб_иссл" localSheetId="116">#REF!</definedName>
    <definedName name="лаб_иссл" localSheetId="8">#REF!</definedName>
    <definedName name="лаб_иссл" localSheetId="11">#REF!</definedName>
    <definedName name="лаб_иссл" localSheetId="110">#REF!</definedName>
    <definedName name="лаб_иссл" localSheetId="6">#REF!</definedName>
    <definedName name="лаб_иссл" localSheetId="9">#REF!</definedName>
    <definedName name="лаб_иссл" localSheetId="7">#REF!</definedName>
    <definedName name="лаб_иссл" localSheetId="92">#REF!</definedName>
    <definedName name="лаб_иссл" localSheetId="93">#REF!</definedName>
    <definedName name="лаб_иссл" localSheetId="94">#REF!</definedName>
    <definedName name="лаб_иссл" localSheetId="99">#REF!</definedName>
    <definedName name="лаб_иссл" localSheetId="100">#REF!</definedName>
    <definedName name="лаб_иссл" localSheetId="106">#REF!</definedName>
    <definedName name="лаб_иссл">#REF!</definedName>
    <definedName name="Лаб_стац" localSheetId="10">#REF!</definedName>
    <definedName name="Лаб_стац" localSheetId="12">#REF!</definedName>
    <definedName name="Лаб_стац" localSheetId="112">#REF!</definedName>
    <definedName name="Лаб_стац" localSheetId="113">#REF!</definedName>
    <definedName name="Лаб_стац" localSheetId="115">#REF!</definedName>
    <definedName name="Лаб_стац" localSheetId="116">#REF!</definedName>
    <definedName name="Лаб_стац" localSheetId="8">#REF!</definedName>
    <definedName name="Лаб_стац" localSheetId="11">#REF!</definedName>
    <definedName name="Лаб_стац" localSheetId="110">#REF!</definedName>
    <definedName name="Лаб_стац" localSheetId="6">#REF!</definedName>
    <definedName name="Лаб_стац" localSheetId="9">#REF!</definedName>
    <definedName name="Лаб_стац" localSheetId="7">#REF!</definedName>
    <definedName name="Лаб_стац" localSheetId="92">#REF!</definedName>
    <definedName name="Лаб_стац" localSheetId="93">#REF!</definedName>
    <definedName name="Лаб_стац" localSheetId="94">#REF!</definedName>
    <definedName name="Лаб_стац" localSheetId="99">#REF!</definedName>
    <definedName name="Лаб_стац" localSheetId="100">#REF!</definedName>
    <definedName name="Лаб_стац" localSheetId="106">#REF!</definedName>
    <definedName name="Лаб_стац">#REF!</definedName>
    <definedName name="Лаб_эксп_усл" localSheetId="10">#REF!</definedName>
    <definedName name="Лаб_эксп_усл" localSheetId="12">#REF!</definedName>
    <definedName name="Лаб_эксп_усл" localSheetId="112">#REF!</definedName>
    <definedName name="Лаб_эксп_усл" localSheetId="113">#REF!</definedName>
    <definedName name="Лаб_эксп_усл" localSheetId="115">#REF!</definedName>
    <definedName name="Лаб_эксп_усл" localSheetId="116">#REF!</definedName>
    <definedName name="Лаб_эксп_усл" localSheetId="8">#REF!</definedName>
    <definedName name="Лаб_эксп_усл" localSheetId="11">#REF!</definedName>
    <definedName name="Лаб_эксп_усл" localSheetId="110">#REF!</definedName>
    <definedName name="Лаб_эксп_усл" localSheetId="6">#REF!</definedName>
    <definedName name="Лаб_эксп_усл" localSheetId="9">#REF!</definedName>
    <definedName name="Лаб_эксп_усл" localSheetId="7">#REF!</definedName>
    <definedName name="Лаб_эксп_усл" localSheetId="92">#REF!</definedName>
    <definedName name="Лаб_эксп_усл" localSheetId="93">#REF!</definedName>
    <definedName name="Лаб_эксп_усл" localSheetId="94">#REF!</definedName>
    <definedName name="Лаб_эксп_усл" localSheetId="99">#REF!</definedName>
    <definedName name="Лаб_эксп_усл" localSheetId="100">#REF!</definedName>
    <definedName name="Лаб_эксп_усл" localSheetId="106">#REF!</definedName>
    <definedName name="Лаб_эксп_усл">#REF!</definedName>
    <definedName name="ЛабМашБур" localSheetId="10">[50]СмМашБур!#REF!</definedName>
    <definedName name="ЛабМашБур" localSheetId="9">[50]СмМашБур!#REF!</definedName>
    <definedName name="ЛабМашБур" localSheetId="7">[49]СмМашБур!#REF!</definedName>
    <definedName name="ЛабМашБур">[50]СмМашБур!#REF!</definedName>
    <definedName name="лаборатория" localSheetId="10">#REF!</definedName>
    <definedName name="лаборатория" localSheetId="9">#REF!</definedName>
    <definedName name="лаборатория">#REF!</definedName>
    <definedName name="ЛабШурфов" localSheetId="10">#REF!</definedName>
    <definedName name="ЛабШурфов" localSheetId="9">#REF!</definedName>
    <definedName name="ЛабШурфов" localSheetId="7">#REF!</definedName>
    <definedName name="ЛабШурфов">#REF!</definedName>
    <definedName name="лв" localSheetId="10">#REF!</definedName>
    <definedName name="лв" localSheetId="9">#REF!</definedName>
    <definedName name="лв">#REF!</definedName>
    <definedName name="лвнг" localSheetId="10">#REF!</definedName>
    <definedName name="лвнг" localSheetId="9">#REF!</definedName>
    <definedName name="лвнг">#REF!</definedName>
    <definedName name="лдж" localSheetId="10" hidden="1">{#N/A,#N/A,TRUE,"Смета на пасс. обор. №1"}</definedName>
    <definedName name="лдж" localSheetId="12" hidden="1">{#N/A,#N/A,TRUE,"Смета на пасс. обор. №1"}</definedName>
    <definedName name="лдж" localSheetId="111" hidden="1">{#N/A,#N/A,TRUE,"Смета на пасс. обор. №1"}</definedName>
    <definedName name="лдж" localSheetId="112" hidden="1">{#N/A,#N/A,TRUE,"Смета на пасс. обор. №1"}</definedName>
    <definedName name="лдж" localSheetId="113" hidden="1">{#N/A,#N/A,TRUE,"Смета на пасс. обор. №1"}</definedName>
    <definedName name="лдж" localSheetId="114" hidden="1">{#N/A,#N/A,TRUE,"Смета на пасс. обор. №1"}</definedName>
    <definedName name="лдж" localSheetId="115" hidden="1">{#N/A,#N/A,TRUE,"Смета на пасс. обор. №1"}</definedName>
    <definedName name="лдж" localSheetId="116" hidden="1">{#N/A,#N/A,TRUE,"Смета на пасс. обор. №1"}</definedName>
    <definedName name="лдж" localSheetId="117" hidden="1">{#N/A,#N/A,TRUE,"Смета на пасс. обор. №1"}</definedName>
    <definedName name="лдж" localSheetId="118" hidden="1">{#N/A,#N/A,TRUE,"Смета на пасс. обор. №1"}</definedName>
    <definedName name="лдж" localSheetId="121" hidden="1">{#N/A,#N/A,TRUE,"Смета на пасс. обор. №1"}</definedName>
    <definedName name="лдж" localSheetId="122" hidden="1">{#N/A,#N/A,TRUE,"Смета на пасс. обор. №1"}</definedName>
    <definedName name="лдж" localSheetId="8" hidden="1">{#N/A,#N/A,TRUE,"Смета на пасс. обор. №1"}</definedName>
    <definedName name="лдж" localSheetId="11" hidden="1">{#N/A,#N/A,TRUE,"Смета на пасс. обор. №1"}</definedName>
    <definedName name="лдж" localSheetId="110" hidden="1">{#N/A,#N/A,TRUE,"Смета на пасс. обор. №1"}</definedName>
    <definedName name="лдж" localSheetId="109" hidden="1">{#N/A,#N/A,TRUE,"Смета на пасс. обор. №1"}</definedName>
    <definedName name="лдж" localSheetId="108" hidden="1">{#N/A,#N/A,TRUE,"Смета на пасс. обор. №1"}</definedName>
    <definedName name="лдж" localSheetId="6" hidden="1">{#N/A,#N/A,TRUE,"Смета на пасс. обор. №1"}</definedName>
    <definedName name="лдж" localSheetId="9" hidden="1">{#N/A,#N/A,TRUE,"Смета на пасс. обор. №1"}</definedName>
    <definedName name="лдж" localSheetId="7" hidden="1">{#N/A,#N/A,TRUE,"Смета на пасс. обор. №1"}</definedName>
    <definedName name="лдж" localSheetId="92" hidden="1">{#N/A,#N/A,TRUE,"Смета на пасс. обор. №1"}</definedName>
    <definedName name="лдж" localSheetId="93" hidden="1">{#N/A,#N/A,TRUE,"Смета на пасс. обор. №1"}</definedName>
    <definedName name="лдж" localSheetId="94" hidden="1">{#N/A,#N/A,TRUE,"Смета на пасс. обор. №1"}</definedName>
    <definedName name="лдж" localSheetId="99" hidden="1">{#N/A,#N/A,TRUE,"Смета на пасс. обор. №1"}</definedName>
    <definedName name="лдж" localSheetId="100" hidden="1">{#N/A,#N/A,TRUE,"Смета на пасс. обор. №1"}</definedName>
    <definedName name="лдж" localSheetId="106" hidden="1">{#N/A,#N/A,TRUE,"Смета на пасс. обор. №1"}</definedName>
    <definedName name="лдж" localSheetId="2" hidden="1">{#N/A,#N/A,TRUE,"Смета на пасс. обор. №1"}</definedName>
    <definedName name="лдж" localSheetId="123" hidden="1">{#N/A,#N/A,TRUE,"Смета на пасс. обор. №1"}</definedName>
    <definedName name="лдж" localSheetId="4" hidden="1">{#N/A,#N/A,TRUE,"Смета на пасс. обор. №1"}</definedName>
    <definedName name="лдж" localSheetId="13" hidden="1">{#N/A,#N/A,TRUE,"Смета на пасс. обор. №1"}</definedName>
    <definedName name="лдж" hidden="1">{#N/A,#N/A,TRUE,"Смета на пасс. обор. №1"}</definedName>
    <definedName name="лдж_1" localSheetId="10" hidden="1">{#N/A,#N/A,TRUE,"Смета на пасс. обор. №1"}</definedName>
    <definedName name="лдж_1" localSheetId="12" hidden="1">{#N/A,#N/A,TRUE,"Смета на пасс. обор. №1"}</definedName>
    <definedName name="лдж_1" localSheetId="111" hidden="1">{#N/A,#N/A,TRUE,"Смета на пасс. обор. №1"}</definedName>
    <definedName name="лдж_1" localSheetId="112" hidden="1">{#N/A,#N/A,TRUE,"Смета на пасс. обор. №1"}</definedName>
    <definedName name="лдж_1" localSheetId="113" hidden="1">{#N/A,#N/A,TRUE,"Смета на пасс. обор. №1"}</definedName>
    <definedName name="лдж_1" localSheetId="114" hidden="1">{#N/A,#N/A,TRUE,"Смета на пасс. обор. №1"}</definedName>
    <definedName name="лдж_1" localSheetId="115" hidden="1">{#N/A,#N/A,TRUE,"Смета на пасс. обор. №1"}</definedName>
    <definedName name="лдж_1" localSheetId="116" hidden="1">{#N/A,#N/A,TRUE,"Смета на пасс. обор. №1"}</definedName>
    <definedName name="лдж_1" localSheetId="117" hidden="1">{#N/A,#N/A,TRUE,"Смета на пасс. обор. №1"}</definedName>
    <definedName name="лдж_1" localSheetId="118" hidden="1">{#N/A,#N/A,TRUE,"Смета на пасс. обор. №1"}</definedName>
    <definedName name="лдж_1" localSheetId="121" hidden="1">{#N/A,#N/A,TRUE,"Смета на пасс. обор. №1"}</definedName>
    <definedName name="лдж_1" localSheetId="122" hidden="1">{#N/A,#N/A,TRUE,"Смета на пасс. обор. №1"}</definedName>
    <definedName name="лдж_1" localSheetId="8" hidden="1">{#N/A,#N/A,TRUE,"Смета на пасс. обор. №1"}</definedName>
    <definedName name="лдж_1" localSheetId="11" hidden="1">{#N/A,#N/A,TRUE,"Смета на пасс. обор. №1"}</definedName>
    <definedName name="лдж_1" localSheetId="110" hidden="1">{#N/A,#N/A,TRUE,"Смета на пасс. обор. №1"}</definedName>
    <definedName name="лдж_1" localSheetId="109" hidden="1">{#N/A,#N/A,TRUE,"Смета на пасс. обор. №1"}</definedName>
    <definedName name="лдж_1" localSheetId="108" hidden="1">{#N/A,#N/A,TRUE,"Смета на пасс. обор. №1"}</definedName>
    <definedName name="лдж_1" localSheetId="6" hidden="1">{#N/A,#N/A,TRUE,"Смета на пасс. обор. №1"}</definedName>
    <definedName name="лдж_1" localSheetId="9" hidden="1">{#N/A,#N/A,TRUE,"Смета на пасс. обор. №1"}</definedName>
    <definedName name="лдж_1" localSheetId="7" hidden="1">{#N/A,#N/A,TRUE,"Смета на пасс. обор. №1"}</definedName>
    <definedName name="лдж_1" localSheetId="92" hidden="1">{#N/A,#N/A,TRUE,"Смета на пасс. обор. №1"}</definedName>
    <definedName name="лдж_1" localSheetId="93" hidden="1">{#N/A,#N/A,TRUE,"Смета на пасс. обор. №1"}</definedName>
    <definedName name="лдж_1" localSheetId="94" hidden="1">{#N/A,#N/A,TRUE,"Смета на пасс. обор. №1"}</definedName>
    <definedName name="лдж_1" localSheetId="99" hidden="1">{#N/A,#N/A,TRUE,"Смета на пасс. обор. №1"}</definedName>
    <definedName name="лдж_1" localSheetId="100" hidden="1">{#N/A,#N/A,TRUE,"Смета на пасс. обор. №1"}</definedName>
    <definedName name="лдж_1" localSheetId="106" hidden="1">{#N/A,#N/A,TRUE,"Смета на пасс. обор. №1"}</definedName>
    <definedName name="лдж_1" localSheetId="2" hidden="1">{#N/A,#N/A,TRUE,"Смета на пасс. обор. №1"}</definedName>
    <definedName name="лдж_1" localSheetId="123" hidden="1">{#N/A,#N/A,TRUE,"Смета на пасс. обор. №1"}</definedName>
    <definedName name="лдж_1" localSheetId="4" hidden="1">{#N/A,#N/A,TRUE,"Смета на пасс. обор. №1"}</definedName>
    <definedName name="лдж_1" localSheetId="13" hidden="1">{#N/A,#N/A,TRUE,"Смета на пасс. обор. №1"}</definedName>
    <definedName name="лдж_1" hidden="1">{#N/A,#N/A,TRUE,"Смета на пасс. обор. №1"}</definedName>
    <definedName name="лдллл" localSheetId="10">#REF!</definedName>
    <definedName name="лдллл" localSheetId="9">#REF!</definedName>
    <definedName name="лдллл">#REF!</definedName>
    <definedName name="Ленинградская_область" localSheetId="10">#REF!</definedName>
    <definedName name="Ленинградская_область" localSheetId="9">#REF!</definedName>
    <definedName name="Ленинградская_область">#REF!</definedName>
    <definedName name="Липецкая_область" localSheetId="10">#REF!</definedName>
    <definedName name="Липецкая_область" localSheetId="9">#REF!</definedName>
    <definedName name="Липецкая_область">#REF!</definedName>
    <definedName name="лист" localSheetId="10">#REF!</definedName>
    <definedName name="лист" localSheetId="9">#REF!</definedName>
    <definedName name="лист">#REF!</definedName>
    <definedName name="Лифты" localSheetId="10">#REF!</definedName>
    <definedName name="Лифты" localSheetId="9">#REF!</definedName>
    <definedName name="Лифты">#REF!</definedName>
    <definedName name="лкон" localSheetId="10">#REF!</definedName>
    <definedName name="лкон" localSheetId="9">#REF!</definedName>
    <definedName name="лкон">#REF!</definedName>
    <definedName name="лл" localSheetId="10">#REF!</definedName>
    <definedName name="лл" localSheetId="8">#REF!</definedName>
    <definedName name="лл" localSheetId="11">#REF!</definedName>
    <definedName name="лл" localSheetId="6">#REF!</definedName>
    <definedName name="лл" localSheetId="9">#REF!</definedName>
    <definedName name="лл" localSheetId="7">[26]Вспомогательный!$D$78</definedName>
    <definedName name="лл">[26]Вспомогательный!$D$78</definedName>
    <definedName name="ллддд" localSheetId="10">#REF!</definedName>
    <definedName name="ллддд" localSheetId="9">#REF!</definedName>
    <definedName name="ллддд">#REF!</definedName>
    <definedName name="ллдж" localSheetId="10">#REF!</definedName>
    <definedName name="ллдж" localSheetId="12">#REF!</definedName>
    <definedName name="ллдж" localSheetId="116">#REF!</definedName>
    <definedName name="ллдж" localSheetId="110">#REF!</definedName>
    <definedName name="ллдж" localSheetId="109">#REF!</definedName>
    <definedName name="ллдж" localSheetId="108">#REF!</definedName>
    <definedName name="ллдж" localSheetId="9">#REF!</definedName>
    <definedName name="ллдж" localSheetId="7">#REF!</definedName>
    <definedName name="ллдж" localSheetId="92">#REF!</definedName>
    <definedName name="ллдж" localSheetId="93">#REF!</definedName>
    <definedName name="ллдж" localSheetId="94">#REF!</definedName>
    <definedName name="ллдж" localSheetId="99">#REF!</definedName>
    <definedName name="ллдж" localSheetId="100">#REF!</definedName>
    <definedName name="ллдж" localSheetId="106">#REF!</definedName>
    <definedName name="ллдж" localSheetId="4">#REF!</definedName>
    <definedName name="ллдж" localSheetId="13">#REF!</definedName>
    <definedName name="ллдж">#REF!</definedName>
    <definedName name="ллл" localSheetId="10">#REF!</definedName>
    <definedName name="ллл" localSheetId="9">#REF!</definedName>
    <definedName name="ллл">#REF!</definedName>
    <definedName name="лн" localSheetId="10">#REF!</definedName>
    <definedName name="лн" localSheetId="9">#REF!</definedName>
    <definedName name="лн">#REF!</definedName>
    <definedName name="лнвг" localSheetId="10">#REF!</definedName>
    <definedName name="лнвг" localSheetId="9">#REF!</definedName>
    <definedName name="лнвг">#REF!</definedName>
    <definedName name="лнгва" localSheetId="10">#REF!</definedName>
    <definedName name="лнгва" localSheetId="9">#REF!</definedName>
    <definedName name="лнгва">#REF!</definedName>
    <definedName name="ло" localSheetId="10">#REF!</definedName>
    <definedName name="ло" localSheetId="12">#REF!</definedName>
    <definedName name="ло" localSheetId="116">#REF!</definedName>
    <definedName name="ло" localSheetId="110">#REF!</definedName>
    <definedName name="ло" localSheetId="109">#REF!</definedName>
    <definedName name="ло" localSheetId="108">#REF!</definedName>
    <definedName name="ло" localSheetId="9">#REF!</definedName>
    <definedName name="ло" localSheetId="92">#REF!</definedName>
    <definedName name="ло" localSheetId="93">#REF!</definedName>
    <definedName name="ло" localSheetId="94">#REF!</definedName>
    <definedName name="ло" localSheetId="99">#REF!</definedName>
    <definedName name="ло" localSheetId="100">#REF!</definedName>
    <definedName name="ло" localSheetId="106">#REF!</definedName>
    <definedName name="ло" localSheetId="4">#REF!</definedName>
    <definedName name="ло" localSheetId="13">#REF!</definedName>
    <definedName name="ло">#REF!</definedName>
    <definedName name="ловпр" localSheetId="10">#REF!</definedName>
    <definedName name="ловпр" localSheetId="9">#REF!</definedName>
    <definedName name="ловпр">#REF!</definedName>
    <definedName name="логалгнеелн" localSheetId="10">#REF!</definedName>
    <definedName name="логалгнеелн" localSheetId="9">#REF!</definedName>
    <definedName name="логалгнеелн">#REF!</definedName>
    <definedName name="лол" localSheetId="10">#REF!</definedName>
    <definedName name="лол" localSheetId="12">#REF!</definedName>
    <definedName name="лол" localSheetId="116">#REF!</definedName>
    <definedName name="лол" localSheetId="110">#REF!</definedName>
    <definedName name="лол" localSheetId="109">#REF!</definedName>
    <definedName name="лол" localSheetId="108">#REF!</definedName>
    <definedName name="лол" localSheetId="9">#REF!</definedName>
    <definedName name="лол" localSheetId="92">#REF!</definedName>
    <definedName name="лол" localSheetId="93">#REF!</definedName>
    <definedName name="лол" localSheetId="94">#REF!</definedName>
    <definedName name="лол" localSheetId="99">#REF!</definedName>
    <definedName name="лол" localSheetId="100">#REF!</definedName>
    <definedName name="лол" localSheetId="106">#REF!</definedName>
    <definedName name="лол" localSheetId="4">#REF!</definedName>
    <definedName name="лол" localSheetId="13">#REF!</definedName>
    <definedName name="лол">#REF!</definedName>
    <definedName name="лор" localSheetId="10" hidden="1">{#N/A,#N/A,TRUE,"Смета на пасс. обор. №1"}</definedName>
    <definedName name="лор" localSheetId="12" hidden="1">{#N/A,#N/A,TRUE,"Смета на пасс. обор. №1"}</definedName>
    <definedName name="лор" localSheetId="111" hidden="1">{#N/A,#N/A,TRUE,"Смета на пасс. обор. №1"}</definedName>
    <definedName name="лор" localSheetId="112" hidden="1">{#N/A,#N/A,TRUE,"Смета на пасс. обор. №1"}</definedName>
    <definedName name="лор" localSheetId="113" hidden="1">{#N/A,#N/A,TRUE,"Смета на пасс. обор. №1"}</definedName>
    <definedName name="лор" localSheetId="114" hidden="1">{#N/A,#N/A,TRUE,"Смета на пасс. обор. №1"}</definedName>
    <definedName name="лор" localSheetId="115" hidden="1">{#N/A,#N/A,TRUE,"Смета на пасс. обор. №1"}</definedName>
    <definedName name="лор" localSheetId="116" hidden="1">{#N/A,#N/A,TRUE,"Смета на пасс. обор. №1"}</definedName>
    <definedName name="лор" localSheetId="117" hidden="1">{#N/A,#N/A,TRUE,"Смета на пасс. обор. №1"}</definedName>
    <definedName name="лор" localSheetId="118" hidden="1">{#N/A,#N/A,TRUE,"Смета на пасс. обор. №1"}</definedName>
    <definedName name="лор" localSheetId="121" hidden="1">{#N/A,#N/A,TRUE,"Смета на пасс. обор. №1"}</definedName>
    <definedName name="лор" localSheetId="122" hidden="1">{#N/A,#N/A,TRUE,"Смета на пасс. обор. №1"}</definedName>
    <definedName name="лор" localSheetId="8" hidden="1">{#N/A,#N/A,TRUE,"Смета на пасс. обор. №1"}</definedName>
    <definedName name="лор" localSheetId="11" hidden="1">{#N/A,#N/A,TRUE,"Смета на пасс. обор. №1"}</definedName>
    <definedName name="лор" localSheetId="110" hidden="1">{#N/A,#N/A,TRUE,"Смета на пасс. обор. №1"}</definedName>
    <definedName name="лор" localSheetId="109" hidden="1">{#N/A,#N/A,TRUE,"Смета на пасс. обор. №1"}</definedName>
    <definedName name="лор" localSheetId="108" hidden="1">{#N/A,#N/A,TRUE,"Смета на пасс. обор. №1"}</definedName>
    <definedName name="лор" localSheetId="6" hidden="1">{#N/A,#N/A,TRUE,"Смета на пасс. обор. №1"}</definedName>
    <definedName name="лор" localSheetId="9" hidden="1">{#N/A,#N/A,TRUE,"Смета на пасс. обор. №1"}</definedName>
    <definedName name="лор" localSheetId="7" hidden="1">{#N/A,#N/A,TRUE,"Смета на пасс. обор. №1"}</definedName>
    <definedName name="лор" localSheetId="92" hidden="1">{#N/A,#N/A,TRUE,"Смета на пасс. обор. №1"}</definedName>
    <definedName name="лор" localSheetId="93" hidden="1">{#N/A,#N/A,TRUE,"Смета на пасс. обор. №1"}</definedName>
    <definedName name="лор" localSheetId="94" hidden="1">{#N/A,#N/A,TRUE,"Смета на пасс. обор. №1"}</definedName>
    <definedName name="лор" localSheetId="99" hidden="1">{#N/A,#N/A,TRUE,"Смета на пасс. обор. №1"}</definedName>
    <definedName name="лор" localSheetId="100" hidden="1">{#N/A,#N/A,TRUE,"Смета на пасс. обор. №1"}</definedName>
    <definedName name="лор" localSheetId="106" hidden="1">{#N/A,#N/A,TRUE,"Смета на пасс. обор. №1"}</definedName>
    <definedName name="лор" localSheetId="2" hidden="1">{#N/A,#N/A,TRUE,"Смета на пасс. обор. №1"}</definedName>
    <definedName name="лор" localSheetId="123" hidden="1">{#N/A,#N/A,TRUE,"Смета на пасс. обор. №1"}</definedName>
    <definedName name="лор" localSheetId="4" hidden="1">{#N/A,#N/A,TRUE,"Смета на пасс. обор. №1"}</definedName>
    <definedName name="лор" localSheetId="13" hidden="1">{#N/A,#N/A,TRUE,"Смета на пасс. обор. №1"}</definedName>
    <definedName name="лор" hidden="1">{#N/A,#N/A,TRUE,"Смета на пасс. обор. №1"}</definedName>
    <definedName name="лор_1" localSheetId="10" hidden="1">{#N/A,#N/A,TRUE,"Смета на пасс. обор. №1"}</definedName>
    <definedName name="лор_1" localSheetId="12" hidden="1">{#N/A,#N/A,TRUE,"Смета на пасс. обор. №1"}</definedName>
    <definedName name="лор_1" localSheetId="111" hidden="1">{#N/A,#N/A,TRUE,"Смета на пасс. обор. №1"}</definedName>
    <definedName name="лор_1" localSheetId="112" hidden="1">{#N/A,#N/A,TRUE,"Смета на пасс. обор. №1"}</definedName>
    <definedName name="лор_1" localSheetId="113" hidden="1">{#N/A,#N/A,TRUE,"Смета на пасс. обор. №1"}</definedName>
    <definedName name="лор_1" localSheetId="114" hidden="1">{#N/A,#N/A,TRUE,"Смета на пасс. обор. №1"}</definedName>
    <definedName name="лор_1" localSheetId="115" hidden="1">{#N/A,#N/A,TRUE,"Смета на пасс. обор. №1"}</definedName>
    <definedName name="лор_1" localSheetId="116" hidden="1">{#N/A,#N/A,TRUE,"Смета на пасс. обор. №1"}</definedName>
    <definedName name="лор_1" localSheetId="117" hidden="1">{#N/A,#N/A,TRUE,"Смета на пасс. обор. №1"}</definedName>
    <definedName name="лор_1" localSheetId="118" hidden="1">{#N/A,#N/A,TRUE,"Смета на пасс. обор. №1"}</definedName>
    <definedName name="лор_1" localSheetId="121" hidden="1">{#N/A,#N/A,TRUE,"Смета на пасс. обор. №1"}</definedName>
    <definedName name="лор_1" localSheetId="122" hidden="1">{#N/A,#N/A,TRUE,"Смета на пасс. обор. №1"}</definedName>
    <definedName name="лор_1" localSheetId="8" hidden="1">{#N/A,#N/A,TRUE,"Смета на пасс. обор. №1"}</definedName>
    <definedName name="лор_1" localSheetId="11" hidden="1">{#N/A,#N/A,TRUE,"Смета на пасс. обор. №1"}</definedName>
    <definedName name="лор_1" localSheetId="110" hidden="1">{#N/A,#N/A,TRUE,"Смета на пасс. обор. №1"}</definedName>
    <definedName name="лор_1" localSheetId="109" hidden="1">{#N/A,#N/A,TRUE,"Смета на пасс. обор. №1"}</definedName>
    <definedName name="лор_1" localSheetId="108" hidden="1">{#N/A,#N/A,TRUE,"Смета на пасс. обор. №1"}</definedName>
    <definedName name="лор_1" localSheetId="6" hidden="1">{#N/A,#N/A,TRUE,"Смета на пасс. обор. №1"}</definedName>
    <definedName name="лор_1" localSheetId="9" hidden="1">{#N/A,#N/A,TRUE,"Смета на пасс. обор. №1"}</definedName>
    <definedName name="лор_1" localSheetId="7" hidden="1">{#N/A,#N/A,TRUE,"Смета на пасс. обор. №1"}</definedName>
    <definedName name="лор_1" localSheetId="92" hidden="1">{#N/A,#N/A,TRUE,"Смета на пасс. обор. №1"}</definedName>
    <definedName name="лор_1" localSheetId="93" hidden="1">{#N/A,#N/A,TRUE,"Смета на пасс. обор. №1"}</definedName>
    <definedName name="лор_1" localSheetId="94" hidden="1">{#N/A,#N/A,TRUE,"Смета на пасс. обор. №1"}</definedName>
    <definedName name="лор_1" localSheetId="99" hidden="1">{#N/A,#N/A,TRUE,"Смета на пасс. обор. №1"}</definedName>
    <definedName name="лор_1" localSheetId="100" hidden="1">{#N/A,#N/A,TRUE,"Смета на пасс. обор. №1"}</definedName>
    <definedName name="лор_1" localSheetId="106" hidden="1">{#N/A,#N/A,TRUE,"Смета на пасс. обор. №1"}</definedName>
    <definedName name="лор_1" localSheetId="2" hidden="1">{#N/A,#N/A,TRUE,"Смета на пасс. обор. №1"}</definedName>
    <definedName name="лор_1" localSheetId="123" hidden="1">{#N/A,#N/A,TRUE,"Смета на пасс. обор. №1"}</definedName>
    <definedName name="лор_1" localSheetId="4" hidden="1">{#N/A,#N/A,TRUE,"Смета на пасс. обор. №1"}</definedName>
    <definedName name="лор_1" localSheetId="13" hidden="1">{#N/A,#N/A,TRUE,"Смета на пасс. обор. №1"}</definedName>
    <definedName name="лор_1" hidden="1">{#N/A,#N/A,TRUE,"Смета на пасс. обор. №1"}</definedName>
    <definedName name="лорщшгошщлдбжд" localSheetId="10">#REF!</definedName>
    <definedName name="лорщшгошщлдбжд" localSheetId="9">#REF!</definedName>
    <definedName name="лорщшгошщлдбжд">#REF!</definedName>
    <definedName name="лот" localSheetId="10" hidden="1">{#N/A,#N/A,TRUE,"Смета на пасс. обор. №1"}</definedName>
    <definedName name="лот" localSheetId="12" hidden="1">{#N/A,#N/A,TRUE,"Смета на пасс. обор. №1"}</definedName>
    <definedName name="лот" localSheetId="111" hidden="1">{#N/A,#N/A,TRUE,"Смета на пасс. обор. №1"}</definedName>
    <definedName name="лот" localSheetId="112" hidden="1">{#N/A,#N/A,TRUE,"Смета на пасс. обор. №1"}</definedName>
    <definedName name="лот" localSheetId="113" hidden="1">{#N/A,#N/A,TRUE,"Смета на пасс. обор. №1"}</definedName>
    <definedName name="лот" localSheetId="114" hidden="1">{#N/A,#N/A,TRUE,"Смета на пасс. обор. №1"}</definedName>
    <definedName name="лот" localSheetId="115" hidden="1">{#N/A,#N/A,TRUE,"Смета на пасс. обор. №1"}</definedName>
    <definedName name="лот" localSheetId="116" hidden="1">{#N/A,#N/A,TRUE,"Смета на пасс. обор. №1"}</definedName>
    <definedName name="лот" localSheetId="117" hidden="1">{#N/A,#N/A,TRUE,"Смета на пасс. обор. №1"}</definedName>
    <definedName name="лот" localSheetId="118" hidden="1">{#N/A,#N/A,TRUE,"Смета на пасс. обор. №1"}</definedName>
    <definedName name="лот" localSheetId="121" hidden="1">{#N/A,#N/A,TRUE,"Смета на пасс. обор. №1"}</definedName>
    <definedName name="лот" localSheetId="122" hidden="1">{#N/A,#N/A,TRUE,"Смета на пасс. обор. №1"}</definedName>
    <definedName name="лот" localSheetId="8" hidden="1">{#N/A,#N/A,TRUE,"Смета на пасс. обор. №1"}</definedName>
    <definedName name="лот" localSheetId="11" hidden="1">{#N/A,#N/A,TRUE,"Смета на пасс. обор. №1"}</definedName>
    <definedName name="лот" localSheetId="110" hidden="1">{#N/A,#N/A,TRUE,"Смета на пасс. обор. №1"}</definedName>
    <definedName name="лот" localSheetId="109" hidden="1">{#N/A,#N/A,TRUE,"Смета на пасс. обор. №1"}</definedName>
    <definedName name="лот" localSheetId="108" hidden="1">{#N/A,#N/A,TRUE,"Смета на пасс. обор. №1"}</definedName>
    <definedName name="лот" localSheetId="6" hidden="1">{#N/A,#N/A,TRUE,"Смета на пасс. обор. №1"}</definedName>
    <definedName name="лот" localSheetId="9" hidden="1">{#N/A,#N/A,TRUE,"Смета на пасс. обор. №1"}</definedName>
    <definedName name="лот" localSheetId="7" hidden="1">{#N/A,#N/A,TRUE,"Смета на пасс. обор. №1"}</definedName>
    <definedName name="лот" localSheetId="92" hidden="1">{#N/A,#N/A,TRUE,"Смета на пасс. обор. №1"}</definedName>
    <definedName name="лот" localSheetId="93" hidden="1">{#N/A,#N/A,TRUE,"Смета на пасс. обор. №1"}</definedName>
    <definedName name="лот" localSheetId="94" hidden="1">{#N/A,#N/A,TRUE,"Смета на пасс. обор. №1"}</definedName>
    <definedName name="лот" localSheetId="99" hidden="1">{#N/A,#N/A,TRUE,"Смета на пасс. обор. №1"}</definedName>
    <definedName name="лот" localSheetId="100" hidden="1">{#N/A,#N/A,TRUE,"Смета на пасс. обор. №1"}</definedName>
    <definedName name="лот" localSheetId="106" hidden="1">{#N/A,#N/A,TRUE,"Смета на пасс. обор. №1"}</definedName>
    <definedName name="лот" localSheetId="2" hidden="1">{#N/A,#N/A,TRUE,"Смета на пасс. обор. №1"}</definedName>
    <definedName name="лот" localSheetId="123" hidden="1">{#N/A,#N/A,TRUE,"Смета на пасс. обор. №1"}</definedName>
    <definedName name="лот" localSheetId="4" hidden="1">{#N/A,#N/A,TRUE,"Смета на пасс. обор. №1"}</definedName>
    <definedName name="лот" localSheetId="13" hidden="1">{#N/A,#N/A,TRUE,"Смета на пасс. обор. №1"}</definedName>
    <definedName name="лот" hidden="1">{#N/A,#N/A,TRUE,"Смета на пасс. обор. №1"}</definedName>
    <definedName name="лот_1" localSheetId="10" hidden="1">{#N/A,#N/A,TRUE,"Смета на пасс. обор. №1"}</definedName>
    <definedName name="лот_1" localSheetId="12" hidden="1">{#N/A,#N/A,TRUE,"Смета на пасс. обор. №1"}</definedName>
    <definedName name="лот_1" localSheetId="111" hidden="1">{#N/A,#N/A,TRUE,"Смета на пасс. обор. №1"}</definedName>
    <definedName name="лот_1" localSheetId="112" hidden="1">{#N/A,#N/A,TRUE,"Смета на пасс. обор. №1"}</definedName>
    <definedName name="лот_1" localSheetId="113" hidden="1">{#N/A,#N/A,TRUE,"Смета на пасс. обор. №1"}</definedName>
    <definedName name="лот_1" localSheetId="114" hidden="1">{#N/A,#N/A,TRUE,"Смета на пасс. обор. №1"}</definedName>
    <definedName name="лот_1" localSheetId="115" hidden="1">{#N/A,#N/A,TRUE,"Смета на пасс. обор. №1"}</definedName>
    <definedName name="лот_1" localSheetId="116" hidden="1">{#N/A,#N/A,TRUE,"Смета на пасс. обор. №1"}</definedName>
    <definedName name="лот_1" localSheetId="117" hidden="1">{#N/A,#N/A,TRUE,"Смета на пасс. обор. №1"}</definedName>
    <definedName name="лот_1" localSheetId="118" hidden="1">{#N/A,#N/A,TRUE,"Смета на пасс. обор. №1"}</definedName>
    <definedName name="лот_1" localSheetId="121" hidden="1">{#N/A,#N/A,TRUE,"Смета на пасс. обор. №1"}</definedName>
    <definedName name="лот_1" localSheetId="122" hidden="1">{#N/A,#N/A,TRUE,"Смета на пасс. обор. №1"}</definedName>
    <definedName name="лот_1" localSheetId="8" hidden="1">{#N/A,#N/A,TRUE,"Смета на пасс. обор. №1"}</definedName>
    <definedName name="лот_1" localSheetId="11" hidden="1">{#N/A,#N/A,TRUE,"Смета на пасс. обор. №1"}</definedName>
    <definedName name="лот_1" localSheetId="110" hidden="1">{#N/A,#N/A,TRUE,"Смета на пасс. обор. №1"}</definedName>
    <definedName name="лот_1" localSheetId="109" hidden="1">{#N/A,#N/A,TRUE,"Смета на пасс. обор. №1"}</definedName>
    <definedName name="лот_1" localSheetId="108" hidden="1">{#N/A,#N/A,TRUE,"Смета на пасс. обор. №1"}</definedName>
    <definedName name="лот_1" localSheetId="6" hidden="1">{#N/A,#N/A,TRUE,"Смета на пасс. обор. №1"}</definedName>
    <definedName name="лот_1" localSheetId="9" hidden="1">{#N/A,#N/A,TRUE,"Смета на пасс. обор. №1"}</definedName>
    <definedName name="лот_1" localSheetId="7" hidden="1">{#N/A,#N/A,TRUE,"Смета на пасс. обор. №1"}</definedName>
    <definedName name="лот_1" localSheetId="92" hidden="1">{#N/A,#N/A,TRUE,"Смета на пасс. обор. №1"}</definedName>
    <definedName name="лот_1" localSheetId="93" hidden="1">{#N/A,#N/A,TRUE,"Смета на пасс. обор. №1"}</definedName>
    <definedName name="лот_1" localSheetId="94" hidden="1">{#N/A,#N/A,TRUE,"Смета на пасс. обор. №1"}</definedName>
    <definedName name="лот_1" localSheetId="99" hidden="1">{#N/A,#N/A,TRUE,"Смета на пасс. обор. №1"}</definedName>
    <definedName name="лот_1" localSheetId="100" hidden="1">{#N/A,#N/A,TRUE,"Смета на пасс. обор. №1"}</definedName>
    <definedName name="лот_1" localSheetId="106" hidden="1">{#N/A,#N/A,TRUE,"Смета на пасс. обор. №1"}</definedName>
    <definedName name="лот_1" localSheetId="2" hidden="1">{#N/A,#N/A,TRUE,"Смета на пасс. обор. №1"}</definedName>
    <definedName name="лот_1" localSheetId="123" hidden="1">{#N/A,#N/A,TRUE,"Смета на пасс. обор. №1"}</definedName>
    <definedName name="лот_1" localSheetId="4" hidden="1">{#N/A,#N/A,TRUE,"Смета на пасс. обор. №1"}</definedName>
    <definedName name="лот_1" localSheetId="13" hidden="1">{#N/A,#N/A,TRUE,"Смета на пасс. обор. №1"}</definedName>
    <definedName name="лот_1" hidden="1">{#N/A,#N/A,TRUE,"Смета на пасс. обор. №1"}</definedName>
    <definedName name="лпрра" localSheetId="10">#REF!</definedName>
    <definedName name="лпрра" localSheetId="9">#REF!</definedName>
    <definedName name="лпрра">#REF!</definedName>
    <definedName name="лрал" localSheetId="10">#REF!</definedName>
    <definedName name="лрал" localSheetId="9">#REF!</definedName>
    <definedName name="лрал">#REF!</definedName>
    <definedName name="лрлд" localSheetId="10">#REF!</definedName>
    <definedName name="лрлд" localSheetId="9">#REF!</definedName>
    <definedName name="лрлд">#REF!</definedName>
    <definedName name="лрпораплтль" localSheetId="10">#REF!</definedName>
    <definedName name="лрпораплтль" localSheetId="9">#REF!</definedName>
    <definedName name="лрпораплтль">#REF!</definedName>
    <definedName name="лрр" localSheetId="10">#REF!</definedName>
    <definedName name="лрр" localSheetId="9">#REF!</definedName>
    <definedName name="лрр">#REF!</definedName>
    <definedName name="Лс" localSheetId="10">#REF!</definedName>
    <definedName name="Лс" localSheetId="12">#REF!</definedName>
    <definedName name="Лс" localSheetId="116">#REF!</definedName>
    <definedName name="Лс" localSheetId="110">#REF!</definedName>
    <definedName name="Лс" localSheetId="109">#REF!</definedName>
    <definedName name="Лс" localSheetId="108">#REF!</definedName>
    <definedName name="Лс" localSheetId="9">#REF!</definedName>
    <definedName name="Лс" localSheetId="92">#REF!</definedName>
    <definedName name="Лс" localSheetId="93">#REF!</definedName>
    <definedName name="Лс" localSheetId="94">#REF!</definedName>
    <definedName name="Лс" localSheetId="99">#REF!</definedName>
    <definedName name="Лс" localSheetId="100">#REF!</definedName>
    <definedName name="Лс" localSheetId="106">#REF!</definedName>
    <definedName name="Лс">#REF!</definedName>
    <definedName name="М" localSheetId="10">#REF!</definedName>
    <definedName name="М" localSheetId="9">#REF!</definedName>
    <definedName name="М">#REF!</definedName>
    <definedName name="Магаданская_область" localSheetId="10">#REF!</definedName>
    <definedName name="Магаданская_область" localSheetId="9">#REF!</definedName>
    <definedName name="Магаданская_область">#REF!</definedName>
    <definedName name="Магаданская_область_1" localSheetId="10">#REF!</definedName>
    <definedName name="Магаданская_область_1" localSheetId="9">#REF!</definedName>
    <definedName name="Магаданская_область_1">#REF!</definedName>
    <definedName name="МАРЖА" localSheetId="10">#REF!</definedName>
    <definedName name="МАРЖА" localSheetId="9">#REF!</definedName>
    <definedName name="МАРЖА">#REF!</definedName>
    <definedName name="Махачкала" localSheetId="10">#REF!</definedName>
    <definedName name="Махачкала" localSheetId="12">#REF!</definedName>
    <definedName name="Махачкала" localSheetId="116">#REF!</definedName>
    <definedName name="Махачкала" localSheetId="110">#REF!</definedName>
    <definedName name="Махачкала" localSheetId="109">#REF!</definedName>
    <definedName name="Махачкала" localSheetId="108">#REF!</definedName>
    <definedName name="Махачкала" localSheetId="9">#REF!</definedName>
    <definedName name="Махачкала" localSheetId="92">#REF!</definedName>
    <definedName name="Махачкала" localSheetId="93">#REF!</definedName>
    <definedName name="Махачкала" localSheetId="94">#REF!</definedName>
    <definedName name="Махачкала" localSheetId="99">#REF!</definedName>
    <definedName name="Махачкала" localSheetId="100">#REF!</definedName>
    <definedName name="Махачкала" localSheetId="106">#REF!</definedName>
    <definedName name="Махачкала">#REF!</definedName>
    <definedName name="Махачкала_1" localSheetId="10">#REF!</definedName>
    <definedName name="Махачкала_1" localSheetId="12">#REF!</definedName>
    <definedName name="Махачкала_1" localSheetId="116">#REF!</definedName>
    <definedName name="Махачкала_1" localSheetId="110">#REF!</definedName>
    <definedName name="Махачкала_1" localSheetId="109">#REF!</definedName>
    <definedName name="Махачкала_1" localSheetId="108">#REF!</definedName>
    <definedName name="Махачкала_1" localSheetId="9">#REF!</definedName>
    <definedName name="Махачкала_1" localSheetId="92">#REF!</definedName>
    <definedName name="Махачкала_1" localSheetId="93">#REF!</definedName>
    <definedName name="Махачкала_1" localSheetId="94">#REF!</definedName>
    <definedName name="Махачкала_1" localSheetId="99">#REF!</definedName>
    <definedName name="Махачкала_1" localSheetId="100">#REF!</definedName>
    <definedName name="Махачкала_1" localSheetId="106">#REF!</definedName>
    <definedName name="Махачкала_1">#REF!</definedName>
    <definedName name="Махачкала_2" localSheetId="10">#REF!</definedName>
    <definedName name="Махачкала_2" localSheetId="12">#REF!</definedName>
    <definedName name="Махачкала_2" localSheetId="110">#REF!</definedName>
    <definedName name="Махачкала_2" localSheetId="9">#REF!</definedName>
    <definedName name="Махачкала_2">#REF!</definedName>
    <definedName name="Махачкала_22" localSheetId="10">#REF!</definedName>
    <definedName name="Махачкала_22" localSheetId="12">#REF!</definedName>
    <definedName name="Махачкала_22" localSheetId="110">#REF!</definedName>
    <definedName name="Махачкала_22" localSheetId="9">#REF!</definedName>
    <definedName name="Махачкала_22">#REF!</definedName>
    <definedName name="Махачкала_49" localSheetId="10">#REF!</definedName>
    <definedName name="Махачкала_49" localSheetId="12">#REF!</definedName>
    <definedName name="Махачкала_49" localSheetId="110">#REF!</definedName>
    <definedName name="Махачкала_49" localSheetId="9">#REF!</definedName>
    <definedName name="Махачкала_49">#REF!</definedName>
    <definedName name="Махачкала_5" localSheetId="10">#REF!</definedName>
    <definedName name="Махачкала_5" localSheetId="12">#REF!</definedName>
    <definedName name="Махачкала_5" localSheetId="110">#REF!</definedName>
    <definedName name="Махачкала_5" localSheetId="9">#REF!</definedName>
    <definedName name="Махачкала_5">#REF!</definedName>
    <definedName name="Махачкала_50" localSheetId="10">#REF!</definedName>
    <definedName name="Махачкала_50" localSheetId="12">#REF!</definedName>
    <definedName name="Махачкала_50" localSheetId="110">#REF!</definedName>
    <definedName name="Махачкала_50" localSheetId="9">#REF!</definedName>
    <definedName name="Махачкала_50">#REF!</definedName>
    <definedName name="Махачкала_51" localSheetId="10">#REF!</definedName>
    <definedName name="Махачкала_51" localSheetId="12">#REF!</definedName>
    <definedName name="Махачкала_51" localSheetId="110">#REF!</definedName>
    <definedName name="Махачкала_51" localSheetId="9">#REF!</definedName>
    <definedName name="Махачкала_51">#REF!</definedName>
    <definedName name="Махачкала_52" localSheetId="10">#REF!</definedName>
    <definedName name="Махачкала_52" localSheetId="12">#REF!</definedName>
    <definedName name="Махачкала_52" localSheetId="110">#REF!</definedName>
    <definedName name="Махачкала_52" localSheetId="9">#REF!</definedName>
    <definedName name="Махачкала_52">#REF!</definedName>
    <definedName name="Махачкала_53" localSheetId="10">#REF!</definedName>
    <definedName name="Махачкала_53" localSheetId="12">#REF!</definedName>
    <definedName name="Махачкала_53" localSheetId="110">#REF!</definedName>
    <definedName name="Махачкала_53" localSheetId="9">#REF!</definedName>
    <definedName name="Махачкала_53">#REF!</definedName>
    <definedName name="Махачкала_54" localSheetId="10">#REF!</definedName>
    <definedName name="Махачкала_54" localSheetId="12">#REF!</definedName>
    <definedName name="Махачкала_54" localSheetId="110">#REF!</definedName>
    <definedName name="Махачкала_54" localSheetId="9">#REF!</definedName>
    <definedName name="Махачкала_54">#REF!</definedName>
    <definedName name="Месяцы" localSheetId="10">#REF!</definedName>
    <definedName name="Месяцы" localSheetId="9">#REF!</definedName>
    <definedName name="Месяцы">#REF!</definedName>
    <definedName name="Месяцы2" localSheetId="10">#REF!</definedName>
    <definedName name="Месяцы2" localSheetId="9">#REF!</definedName>
    <definedName name="Месяцы2">#REF!</definedName>
    <definedName name="Месяцы3" localSheetId="10">#REF!</definedName>
    <definedName name="Месяцы3" localSheetId="9">#REF!</definedName>
    <definedName name="Месяцы3">#REF!</definedName>
    <definedName name="Металли_еская_дверца_для_напольного_монтажного_шкафа_VERO__600x600x42U__с_замком_и_клю_ами" localSheetId="10">#REF!</definedName>
    <definedName name="Металли_еская_дверца_для_напольного_монтажного_шкафа_VERO__600x600x42U__с_замком_и_клю_ами" localSheetId="12">#REF!</definedName>
    <definedName name="Металли_еская_дверца_для_напольного_монтажного_шкафа_VERO__600x600x42U__с_замком_и_клю_ами" localSheetId="110">#REF!</definedName>
    <definedName name="Металли_еская_дверца_для_напольного_монтажного_шкафа_VERO__600x600x42U__с_замком_и_клю_ами" localSheetId="9">#REF!</definedName>
    <definedName name="Металли_еская_дверца_для_напольного_монтажного_шкафа_VERO__600x600x42U__с_замком_и_клю_ами">#REF!</definedName>
    <definedName name="мж1">'[59]СметаСводная 1 оч'!$D$6</definedName>
    <definedName name="МИ_Т" localSheetId="10">#REF!</definedName>
    <definedName name="МИ_Т" localSheetId="9">#REF!</definedName>
    <definedName name="МИ_Т">#REF!</definedName>
    <definedName name="МИА5" localSheetId="10">#REF!</definedName>
    <definedName name="МИА5" localSheetId="9">#REF!</definedName>
    <definedName name="МИА5">#REF!</definedName>
    <definedName name="мил" localSheetId="8">{0,"овz";1,"z";2,"аz";5,"овz"}</definedName>
    <definedName name="мил" localSheetId="6">{0,"овz";1,"z";2,"аz";5,"овz"}</definedName>
    <definedName name="мил" localSheetId="7">{0,"овz";1,"z";2,"аz";5,"овz"}</definedName>
    <definedName name="мил">{0,"овz";1,"z";2,"аz";5,"овz"}</definedName>
    <definedName name="мир" localSheetId="10" hidden="1">{#N/A,#N/A,TRUE,"Смета на пасс. обор. №1"}</definedName>
    <definedName name="мир" localSheetId="12" hidden="1">{#N/A,#N/A,TRUE,"Смета на пасс. обор. №1"}</definedName>
    <definedName name="мир" localSheetId="111" hidden="1">{#N/A,#N/A,TRUE,"Смета на пасс. обор. №1"}</definedName>
    <definedName name="мир" localSheetId="112" hidden="1">{#N/A,#N/A,TRUE,"Смета на пасс. обор. №1"}</definedName>
    <definedName name="мир" localSheetId="113" hidden="1">{#N/A,#N/A,TRUE,"Смета на пасс. обор. №1"}</definedName>
    <definedName name="мир" localSheetId="114" hidden="1">{#N/A,#N/A,TRUE,"Смета на пасс. обор. №1"}</definedName>
    <definedName name="мир" localSheetId="115" hidden="1">{#N/A,#N/A,TRUE,"Смета на пасс. обор. №1"}</definedName>
    <definedName name="мир" localSheetId="116" hidden="1">{#N/A,#N/A,TRUE,"Смета на пасс. обор. №1"}</definedName>
    <definedName name="мир" localSheetId="117" hidden="1">{#N/A,#N/A,TRUE,"Смета на пасс. обор. №1"}</definedName>
    <definedName name="мир" localSheetId="118" hidden="1">{#N/A,#N/A,TRUE,"Смета на пасс. обор. №1"}</definedName>
    <definedName name="мир" localSheetId="121" hidden="1">{#N/A,#N/A,TRUE,"Смета на пасс. обор. №1"}</definedName>
    <definedName name="мир" localSheetId="122" hidden="1">{#N/A,#N/A,TRUE,"Смета на пасс. обор. №1"}</definedName>
    <definedName name="мир" localSheetId="8" hidden="1">{#N/A,#N/A,TRUE,"Смета на пасс. обор. №1"}</definedName>
    <definedName name="мир" localSheetId="11" hidden="1">{#N/A,#N/A,TRUE,"Смета на пасс. обор. №1"}</definedName>
    <definedName name="мир" localSheetId="110" hidden="1">{#N/A,#N/A,TRUE,"Смета на пасс. обор. №1"}</definedName>
    <definedName name="мир" localSheetId="109" hidden="1">{#N/A,#N/A,TRUE,"Смета на пасс. обор. №1"}</definedName>
    <definedName name="мир" localSheetId="108" hidden="1">{#N/A,#N/A,TRUE,"Смета на пасс. обор. №1"}</definedName>
    <definedName name="мир" localSheetId="6" hidden="1">{#N/A,#N/A,TRUE,"Смета на пасс. обор. №1"}</definedName>
    <definedName name="мир" localSheetId="9" hidden="1">{#N/A,#N/A,TRUE,"Смета на пасс. обор. №1"}</definedName>
    <definedName name="мир" localSheetId="7" hidden="1">{#N/A,#N/A,TRUE,"Смета на пасс. обор. №1"}</definedName>
    <definedName name="мир" localSheetId="92" hidden="1">{#N/A,#N/A,TRUE,"Смета на пасс. обор. №1"}</definedName>
    <definedName name="мир" localSheetId="93" hidden="1">{#N/A,#N/A,TRUE,"Смета на пасс. обор. №1"}</definedName>
    <definedName name="мир" localSheetId="94" hidden="1">{#N/A,#N/A,TRUE,"Смета на пасс. обор. №1"}</definedName>
    <definedName name="мир" localSheetId="99" hidden="1">{#N/A,#N/A,TRUE,"Смета на пасс. обор. №1"}</definedName>
    <definedName name="мир" localSheetId="100" hidden="1">{#N/A,#N/A,TRUE,"Смета на пасс. обор. №1"}</definedName>
    <definedName name="мир" localSheetId="106" hidden="1">{#N/A,#N/A,TRUE,"Смета на пасс. обор. №1"}</definedName>
    <definedName name="мир" localSheetId="2" hidden="1">{#N/A,#N/A,TRUE,"Смета на пасс. обор. №1"}</definedName>
    <definedName name="мир" localSheetId="123" hidden="1">{#N/A,#N/A,TRUE,"Смета на пасс. обор. №1"}</definedName>
    <definedName name="мир" localSheetId="4" hidden="1">{#N/A,#N/A,TRUE,"Смета на пасс. обор. №1"}</definedName>
    <definedName name="мир" localSheetId="13" hidden="1">{#N/A,#N/A,TRUE,"Смета на пасс. обор. №1"}</definedName>
    <definedName name="мир" hidden="1">{#N/A,#N/A,TRUE,"Смета на пасс. обор. №1"}</definedName>
    <definedName name="мир_1" localSheetId="10" hidden="1">{#N/A,#N/A,TRUE,"Смета на пасс. обор. №1"}</definedName>
    <definedName name="мир_1" localSheetId="12" hidden="1">{#N/A,#N/A,TRUE,"Смета на пасс. обор. №1"}</definedName>
    <definedName name="мир_1" localSheetId="111" hidden="1">{#N/A,#N/A,TRUE,"Смета на пасс. обор. №1"}</definedName>
    <definedName name="мир_1" localSheetId="112" hidden="1">{#N/A,#N/A,TRUE,"Смета на пасс. обор. №1"}</definedName>
    <definedName name="мир_1" localSheetId="113" hidden="1">{#N/A,#N/A,TRUE,"Смета на пасс. обор. №1"}</definedName>
    <definedName name="мир_1" localSheetId="114" hidden="1">{#N/A,#N/A,TRUE,"Смета на пасс. обор. №1"}</definedName>
    <definedName name="мир_1" localSheetId="115" hidden="1">{#N/A,#N/A,TRUE,"Смета на пасс. обор. №1"}</definedName>
    <definedName name="мир_1" localSheetId="116" hidden="1">{#N/A,#N/A,TRUE,"Смета на пасс. обор. №1"}</definedName>
    <definedName name="мир_1" localSheetId="117" hidden="1">{#N/A,#N/A,TRUE,"Смета на пасс. обор. №1"}</definedName>
    <definedName name="мир_1" localSheetId="118" hidden="1">{#N/A,#N/A,TRUE,"Смета на пасс. обор. №1"}</definedName>
    <definedName name="мир_1" localSheetId="121" hidden="1">{#N/A,#N/A,TRUE,"Смета на пасс. обор. №1"}</definedName>
    <definedName name="мир_1" localSheetId="122" hidden="1">{#N/A,#N/A,TRUE,"Смета на пасс. обор. №1"}</definedName>
    <definedName name="мир_1" localSheetId="8" hidden="1">{#N/A,#N/A,TRUE,"Смета на пасс. обор. №1"}</definedName>
    <definedName name="мир_1" localSheetId="11" hidden="1">{#N/A,#N/A,TRUE,"Смета на пасс. обор. №1"}</definedName>
    <definedName name="мир_1" localSheetId="110" hidden="1">{#N/A,#N/A,TRUE,"Смета на пасс. обор. №1"}</definedName>
    <definedName name="мир_1" localSheetId="109" hidden="1">{#N/A,#N/A,TRUE,"Смета на пасс. обор. №1"}</definedName>
    <definedName name="мир_1" localSheetId="108" hidden="1">{#N/A,#N/A,TRUE,"Смета на пасс. обор. №1"}</definedName>
    <definedName name="мир_1" localSheetId="6" hidden="1">{#N/A,#N/A,TRUE,"Смета на пасс. обор. №1"}</definedName>
    <definedName name="мир_1" localSheetId="9" hidden="1">{#N/A,#N/A,TRUE,"Смета на пасс. обор. №1"}</definedName>
    <definedName name="мир_1" localSheetId="7" hidden="1">{#N/A,#N/A,TRUE,"Смета на пасс. обор. №1"}</definedName>
    <definedName name="мир_1" localSheetId="92" hidden="1">{#N/A,#N/A,TRUE,"Смета на пасс. обор. №1"}</definedName>
    <definedName name="мир_1" localSheetId="93" hidden="1">{#N/A,#N/A,TRUE,"Смета на пасс. обор. №1"}</definedName>
    <definedName name="мир_1" localSheetId="94" hidden="1">{#N/A,#N/A,TRUE,"Смета на пасс. обор. №1"}</definedName>
    <definedName name="мир_1" localSheetId="99" hidden="1">{#N/A,#N/A,TRUE,"Смета на пасс. обор. №1"}</definedName>
    <definedName name="мир_1" localSheetId="100" hidden="1">{#N/A,#N/A,TRUE,"Смета на пасс. обор. №1"}</definedName>
    <definedName name="мир_1" localSheetId="106" hidden="1">{#N/A,#N/A,TRUE,"Смета на пасс. обор. №1"}</definedName>
    <definedName name="мир_1" localSheetId="2" hidden="1">{#N/A,#N/A,TRUE,"Смета на пасс. обор. №1"}</definedName>
    <definedName name="мир_1" localSheetId="123" hidden="1">{#N/A,#N/A,TRUE,"Смета на пасс. обор. №1"}</definedName>
    <definedName name="мир_1" localSheetId="4" hidden="1">{#N/A,#N/A,TRUE,"Смета на пасс. обор. №1"}</definedName>
    <definedName name="мир_1" localSheetId="13" hidden="1">{#N/A,#N/A,TRUE,"Смета на пасс. обор. №1"}</definedName>
    <definedName name="мир_1" hidden="1">{#N/A,#N/A,TRUE,"Смета на пасс. обор. №1"}</definedName>
    <definedName name="мись" localSheetId="10">#REF!</definedName>
    <definedName name="мись" localSheetId="9">#REF!</definedName>
    <definedName name="мись">#REF!</definedName>
    <definedName name="мит" localSheetId="10">#REF!</definedName>
    <definedName name="мит" localSheetId="12">#REF!</definedName>
    <definedName name="мит" localSheetId="116">#REF!</definedName>
    <definedName name="мит" localSheetId="8">#REF!</definedName>
    <definedName name="мит" localSheetId="11">#REF!</definedName>
    <definedName name="мит" localSheetId="110">#REF!</definedName>
    <definedName name="мит" localSheetId="109">#REF!</definedName>
    <definedName name="мит" localSheetId="108">#REF!</definedName>
    <definedName name="мит" localSheetId="6">#REF!</definedName>
    <definedName name="мит" localSheetId="9">#REF!</definedName>
    <definedName name="мит" localSheetId="7">#REF!</definedName>
    <definedName name="мит" localSheetId="92">#REF!</definedName>
    <definedName name="мит" localSheetId="93">#REF!</definedName>
    <definedName name="мит" localSheetId="94">#REF!</definedName>
    <definedName name="мит" localSheetId="99">#REF!</definedName>
    <definedName name="мит" localSheetId="100">#REF!</definedName>
    <definedName name="мит" localSheetId="106">#REF!</definedName>
    <definedName name="мит">#REF!</definedName>
    <definedName name="митюгов">'[60]Данные для расчёта сметы'!$J$33</definedName>
    <definedName name="митюгов_1">'[61]Данные для расчёта сметы'!$J$33</definedName>
    <definedName name="митюгов_2">'[62]Данные для расчёта сметы'!$J$33</definedName>
    <definedName name="мм" localSheetId="10">#REF!</definedName>
    <definedName name="мм" localSheetId="12">#REF!</definedName>
    <definedName name="мм" localSheetId="116">#REF!</definedName>
    <definedName name="мм" localSheetId="8">#REF!</definedName>
    <definedName name="мм" localSheetId="11">#REF!</definedName>
    <definedName name="мм" localSheetId="110">#REF!</definedName>
    <definedName name="мм" localSheetId="109">#REF!</definedName>
    <definedName name="мм" localSheetId="108">#REF!</definedName>
    <definedName name="мм" localSheetId="6">#REF!</definedName>
    <definedName name="мм" localSheetId="9">#REF!</definedName>
    <definedName name="мм" localSheetId="7">#REF!</definedName>
    <definedName name="мм" localSheetId="92">#REF!</definedName>
    <definedName name="мм" localSheetId="93">#REF!</definedName>
    <definedName name="мм" localSheetId="94">#REF!</definedName>
    <definedName name="мм" localSheetId="99">#REF!</definedName>
    <definedName name="мм" localSheetId="100">#REF!</definedName>
    <definedName name="мм" localSheetId="106">#REF!</definedName>
    <definedName name="мм">#REF!</definedName>
    <definedName name="МММММММММ" localSheetId="10">#REF!</definedName>
    <definedName name="МММММММММ" localSheetId="12">#REF!</definedName>
    <definedName name="МММММММММ" localSheetId="116">#REF!</definedName>
    <definedName name="МММММММММ" localSheetId="8">#REF!</definedName>
    <definedName name="МММММММММ" localSheetId="11">#REF!</definedName>
    <definedName name="МММММММММ" localSheetId="110">#REF!</definedName>
    <definedName name="МММММММММ" localSheetId="109">#REF!</definedName>
    <definedName name="МММММММММ" localSheetId="108">#REF!</definedName>
    <definedName name="МММММММММ" localSheetId="6">#REF!</definedName>
    <definedName name="МММММММММ" localSheetId="9">#REF!</definedName>
    <definedName name="МММММММММ" localSheetId="7">#REF!</definedName>
    <definedName name="МММММММММ" localSheetId="92">#REF!</definedName>
    <definedName name="МММММММММ" localSheetId="93">#REF!</definedName>
    <definedName name="МММММММММ" localSheetId="94">#REF!</definedName>
    <definedName name="МММММММММ" localSheetId="99">#REF!</definedName>
    <definedName name="МММММММММ" localSheetId="100">#REF!</definedName>
    <definedName name="МММММММММ" localSheetId="106">#REF!</definedName>
    <definedName name="МММММММММ">#REF!</definedName>
    <definedName name="мойка" localSheetId="10">#REF!</definedName>
    <definedName name="мойка" localSheetId="9">#REF!</definedName>
    <definedName name="мойка">#REF!</definedName>
    <definedName name="Монтаж" localSheetId="10">#REF!</definedName>
    <definedName name="Монтаж" localSheetId="9">#REF!</definedName>
    <definedName name="Монтаж">#REF!</definedName>
    <definedName name="Монтажные_работы_в_базисных_ценах" localSheetId="10">#REF!</definedName>
    <definedName name="Монтажные_работы_в_базисных_ценах" localSheetId="9">#REF!</definedName>
    <definedName name="Монтажные_работы_в_базисных_ценах">#REF!</definedName>
    <definedName name="Монтажные_работы_в_текущих_ценах" localSheetId="10">'[53]Переменные и константы'!#REF!</definedName>
    <definedName name="Монтажные_работы_в_текущих_ценах" localSheetId="9">'[53]Переменные и константы'!#REF!</definedName>
    <definedName name="Монтажные_работы_в_текущих_ценах">'[53]Переменные и константы'!#REF!</definedName>
    <definedName name="Монтажные_работы_в_текущих_ценах_по_ресурсному_расчету" localSheetId="10">'[53]Переменные и константы'!#REF!</definedName>
    <definedName name="Монтажные_работы_в_текущих_ценах_по_ресурсному_расчету" localSheetId="9">'[53]Переменные и константы'!#REF!</definedName>
    <definedName name="Монтажные_работы_в_текущих_ценах_по_ресурсному_расчету">'[53]Переменные и константы'!#REF!</definedName>
    <definedName name="Монтажные_работы_в_текущих_ценах_после_применения_индексов" localSheetId="10">'[53]Переменные и константы'!#REF!</definedName>
    <definedName name="Монтажные_работы_в_текущих_ценах_после_применения_индексов" localSheetId="9">'[53]Переменные и константы'!#REF!</definedName>
    <definedName name="Монтажные_работы_в_текущих_ценах_после_применения_индексов">'[53]Переменные и константы'!#REF!</definedName>
    <definedName name="Московская_область" localSheetId="10">#REF!</definedName>
    <definedName name="Московская_область" localSheetId="9">#REF!</definedName>
    <definedName name="Московская_область">#REF!</definedName>
    <definedName name="мотаж2" localSheetId="10">#REF!</definedName>
    <definedName name="мотаж2" localSheetId="9">#REF!</definedName>
    <definedName name="мотаж2">#REF!</definedName>
    <definedName name="мтч" localSheetId="10">#REF!</definedName>
    <definedName name="мтч" localSheetId="9">#REF!</definedName>
    <definedName name="мтч">#REF!</definedName>
    <definedName name="мтьюп" localSheetId="10">#REF!</definedName>
    <definedName name="мтьюп" localSheetId="9">#REF!</definedName>
    <definedName name="мтьюп">#REF!</definedName>
    <definedName name="Мурманская_область" localSheetId="10">#REF!</definedName>
    <definedName name="Мурманская_область" localSheetId="9">#REF!</definedName>
    <definedName name="Мурманская_область">#REF!</definedName>
    <definedName name="Мурманская_область_1" localSheetId="10">#REF!</definedName>
    <definedName name="Мурманская_область_1" localSheetId="9">#REF!</definedName>
    <definedName name="Мурманская_область_1">#REF!</definedName>
    <definedName name="нагдл" localSheetId="10">[4]топография!#REF!</definedName>
    <definedName name="нагдл" localSheetId="9">[4]топография!#REF!</definedName>
    <definedName name="нагдл">[4]топография!#REF!</definedName>
    <definedName name="над" localSheetId="10">#REF!</definedName>
    <definedName name="над" localSheetId="9">#REF!</definedName>
    <definedName name="над">#REF!</definedName>
    <definedName name="Название_проекта" localSheetId="10">#REF!</definedName>
    <definedName name="Название_проекта" localSheetId="12">#REF!</definedName>
    <definedName name="Название_проекта" localSheetId="8">#REF!</definedName>
    <definedName name="Название_проекта" localSheetId="11">#REF!</definedName>
    <definedName name="Название_проекта" localSheetId="110">#REF!</definedName>
    <definedName name="Название_проекта" localSheetId="6">#REF!</definedName>
    <definedName name="Название_проекта" localSheetId="9">#REF!</definedName>
    <definedName name="Название_проекта" localSheetId="7">#REF!</definedName>
    <definedName name="Название_проекта">#REF!</definedName>
    <definedName name="Название_проекта_1" localSheetId="10">#REF!</definedName>
    <definedName name="Название_проекта_1" localSheetId="9">#REF!</definedName>
    <definedName name="Название_проекта_1">#REF!</definedName>
    <definedName name="Наименование_группы_строек" localSheetId="10">#REF!</definedName>
    <definedName name="Наименование_группы_строек" localSheetId="9">#REF!</definedName>
    <definedName name="Наименование_группы_строек">#REF!</definedName>
    <definedName name="Наименование_локальной_сметы" localSheetId="10">#REF!</definedName>
    <definedName name="Наименование_локальной_сметы" localSheetId="9">#REF!</definedName>
    <definedName name="Наименование_локальной_сметы">#REF!</definedName>
    <definedName name="Наименование_объекта" localSheetId="10">#REF!</definedName>
    <definedName name="Наименование_объекта" localSheetId="9">#REF!</definedName>
    <definedName name="Наименование_объекта">#REF!</definedName>
    <definedName name="Наименование_объектной_сметы" localSheetId="10">#REF!</definedName>
    <definedName name="Наименование_объектной_сметы" localSheetId="9">#REF!</definedName>
    <definedName name="Наименование_объектной_сметы">#REF!</definedName>
    <definedName name="Наименование_очереди" localSheetId="10">#REF!</definedName>
    <definedName name="Наименование_очереди" localSheetId="9">#REF!</definedName>
    <definedName name="Наименование_очереди">#REF!</definedName>
    <definedName name="Наименование_пускового_комплекса" localSheetId="10">#REF!</definedName>
    <definedName name="Наименование_пускового_комплекса" localSheetId="9">#REF!</definedName>
    <definedName name="Наименование_пускового_комплекса">#REF!</definedName>
    <definedName name="Наименование_сводного_сметного_расчета" localSheetId="10">#REF!</definedName>
    <definedName name="Наименование_сводного_сметного_расчета" localSheetId="9">#REF!</definedName>
    <definedName name="Наименование_сводного_сметного_расчета">#REF!</definedName>
    <definedName name="Наименование_стройки" localSheetId="10">#REF!</definedName>
    <definedName name="Наименование_стройки" localSheetId="9">#REF!</definedName>
    <definedName name="Наименование_стройки">#REF!</definedName>
    <definedName name="накладные" localSheetId="10">#REF!</definedName>
    <definedName name="накладные" localSheetId="9">#REF!</definedName>
    <definedName name="накладные">#REF!</definedName>
    <definedName name="НАЧ_ИО" localSheetId="10">#REF!</definedName>
    <definedName name="НАЧ_ИО" localSheetId="9">#REF!</definedName>
    <definedName name="НАЧ_ИО">#REF!</definedName>
    <definedName name="НАЧ_ИО_РД" localSheetId="10">#REF!</definedName>
    <definedName name="НАЧ_ИО_РД" localSheetId="9">#REF!</definedName>
    <definedName name="НАЧ_ИО_РД">#REF!</definedName>
    <definedName name="НАЧ_МО" localSheetId="10">#REF!</definedName>
    <definedName name="НАЧ_МО" localSheetId="9">#REF!</definedName>
    <definedName name="НАЧ_МО">#REF!</definedName>
    <definedName name="НАЧ_МО_РД" localSheetId="10">#REF!</definedName>
    <definedName name="НАЧ_МО_РД" localSheetId="9">#REF!</definedName>
    <definedName name="НАЧ_МО_РД">#REF!</definedName>
    <definedName name="НАЧ_ОО" localSheetId="10">#REF!</definedName>
    <definedName name="НАЧ_ОО" localSheetId="9">#REF!</definedName>
    <definedName name="НАЧ_ОО">#REF!</definedName>
    <definedName name="НАЧ_ОО_РД" localSheetId="10">#REF!</definedName>
    <definedName name="НАЧ_ОО_РД" localSheetId="9">#REF!</definedName>
    <definedName name="НАЧ_ОО_РД">#REF!</definedName>
    <definedName name="НАЧ_ОР" localSheetId="10">#REF!</definedName>
    <definedName name="НАЧ_ОР" localSheetId="9">#REF!</definedName>
    <definedName name="НАЧ_ОР">#REF!</definedName>
    <definedName name="НАЧ_ОР_РД" localSheetId="10">#REF!</definedName>
    <definedName name="НАЧ_ОР_РД" localSheetId="9">#REF!</definedName>
    <definedName name="НАЧ_ОР_РД">#REF!</definedName>
    <definedName name="НАЧ_ПО" localSheetId="10">#REF!</definedName>
    <definedName name="НАЧ_ПО" localSheetId="9">#REF!</definedName>
    <definedName name="НАЧ_ПО">#REF!</definedName>
    <definedName name="НАЧ_ПО_РД" localSheetId="10">#REF!</definedName>
    <definedName name="НАЧ_ПО_РД" localSheetId="9">#REF!</definedName>
    <definedName name="НАЧ_ПО_РД">#REF!</definedName>
    <definedName name="НАЧ_ТО" localSheetId="10">#REF!</definedName>
    <definedName name="НАЧ_ТО" localSheetId="9">#REF!</definedName>
    <definedName name="НАЧ_ТО">#REF!</definedName>
    <definedName name="НАЧ_ТО_РД" localSheetId="10">#REF!</definedName>
    <definedName name="НАЧ_ТО_РД" localSheetId="9">#REF!</definedName>
    <definedName name="НАЧ_ТО_РД">#REF!</definedName>
    <definedName name="НачПериода">[56]Реестр!$X$4:$X$16</definedName>
    <definedName name="нвле" localSheetId="10">#REF!</definedName>
    <definedName name="нвле" localSheetId="9">#REF!</definedName>
    <definedName name="нвле">#REF!</definedName>
    <definedName name="нгагл" localSheetId="10">#REF!</definedName>
    <definedName name="нгагл" localSheetId="9">#REF!</definedName>
    <definedName name="нгагл">#REF!</definedName>
    <definedName name="нго" localSheetId="10">#REF!</definedName>
    <definedName name="нго" localSheetId="9">#REF!</definedName>
    <definedName name="нго">#REF!</definedName>
    <definedName name="нгпнрап" localSheetId="10">#REF!</definedName>
    <definedName name="нгпнрап" localSheetId="9">#REF!</definedName>
    <definedName name="нгпнрап">#REF!</definedName>
    <definedName name="ндс" localSheetId="10">#REF!</definedName>
    <definedName name="ндс" localSheetId="12">#REF!</definedName>
    <definedName name="ндс" localSheetId="112">#REF!</definedName>
    <definedName name="ндс" localSheetId="113">#REF!</definedName>
    <definedName name="ндс" localSheetId="115">#REF!</definedName>
    <definedName name="ндс" localSheetId="116">#REF!</definedName>
    <definedName name="ндс" localSheetId="110">#REF!</definedName>
    <definedName name="ндс" localSheetId="9">#REF!</definedName>
    <definedName name="ндс">#REF!</definedName>
    <definedName name="нево" localSheetId="10">#REF!</definedName>
    <definedName name="нево" localSheetId="9">#REF!</definedName>
    <definedName name="нево">#REF!</definedName>
    <definedName name="неоукено" localSheetId="10">[63]топография!#REF!</definedName>
    <definedName name="неоукено" localSheetId="9">[63]топография!#REF!</definedName>
    <definedName name="неоукено">[63]топография!#REF!</definedName>
    <definedName name="неп" localSheetId="10">#REF!</definedName>
    <definedName name="неп" localSheetId="12">#REF!</definedName>
    <definedName name="неп" localSheetId="8">#REF!</definedName>
    <definedName name="неп" localSheetId="11">#REF!</definedName>
    <definedName name="неп" localSheetId="110">#REF!</definedName>
    <definedName name="неп" localSheetId="6">#REF!</definedName>
    <definedName name="неп" localSheetId="9">#REF!</definedName>
    <definedName name="неп" localSheetId="7">#REF!</definedName>
    <definedName name="неп">#REF!</definedName>
    <definedName name="неп_1" localSheetId="10">#REF!</definedName>
    <definedName name="неп_1" localSheetId="12">#REF!</definedName>
    <definedName name="неп_1" localSheetId="8">#REF!</definedName>
    <definedName name="неп_1" localSheetId="11">#REF!</definedName>
    <definedName name="неп_1" localSheetId="110">#REF!</definedName>
    <definedName name="неп_1" localSheetId="6">#REF!</definedName>
    <definedName name="неп_1" localSheetId="9">#REF!</definedName>
    <definedName name="неп_1" localSheetId="7">#REF!</definedName>
    <definedName name="неп_1">#REF!</definedName>
    <definedName name="неп_10" localSheetId="10">#REF!</definedName>
    <definedName name="неп_10" localSheetId="12">#REF!</definedName>
    <definedName name="неп_10" localSheetId="8">#REF!</definedName>
    <definedName name="неп_10" localSheetId="11">#REF!</definedName>
    <definedName name="неп_10" localSheetId="110">#REF!</definedName>
    <definedName name="неп_10" localSheetId="6">#REF!</definedName>
    <definedName name="неп_10" localSheetId="9">#REF!</definedName>
    <definedName name="неп_10" localSheetId="7">#REF!</definedName>
    <definedName name="неп_10">#REF!</definedName>
    <definedName name="неп_11" localSheetId="10">#REF!</definedName>
    <definedName name="неп_11" localSheetId="12">#REF!</definedName>
    <definedName name="неп_11" localSheetId="110">#REF!</definedName>
    <definedName name="неп_11" localSheetId="9">#REF!</definedName>
    <definedName name="неп_11">#REF!</definedName>
    <definedName name="неп_12" localSheetId="10">#REF!</definedName>
    <definedName name="неп_12" localSheetId="12">#REF!</definedName>
    <definedName name="неп_12" localSheetId="110">#REF!</definedName>
    <definedName name="неп_12" localSheetId="9">#REF!</definedName>
    <definedName name="неп_12">#REF!</definedName>
    <definedName name="неп_13" localSheetId="10">#REF!</definedName>
    <definedName name="неп_13" localSheetId="12">#REF!</definedName>
    <definedName name="неп_13" localSheetId="110">#REF!</definedName>
    <definedName name="неп_13" localSheetId="9">#REF!</definedName>
    <definedName name="неп_13">#REF!</definedName>
    <definedName name="неп_14" localSheetId="10">#REF!</definedName>
    <definedName name="неп_14" localSheetId="12">#REF!</definedName>
    <definedName name="неп_14" localSheetId="110">#REF!</definedName>
    <definedName name="неп_14" localSheetId="9">#REF!</definedName>
    <definedName name="неп_14">#REF!</definedName>
    <definedName name="неп_15" localSheetId="10">#REF!</definedName>
    <definedName name="неп_15" localSheetId="12">#REF!</definedName>
    <definedName name="неп_15" localSheetId="110">#REF!</definedName>
    <definedName name="неп_15" localSheetId="9">#REF!</definedName>
    <definedName name="неп_15">#REF!</definedName>
    <definedName name="неп_16" localSheetId="10">#REF!</definedName>
    <definedName name="неп_16" localSheetId="12">#REF!</definedName>
    <definedName name="неп_16" localSheetId="110">#REF!</definedName>
    <definedName name="неп_16" localSheetId="9">#REF!</definedName>
    <definedName name="неп_16">#REF!</definedName>
    <definedName name="неп_17" localSheetId="10">#REF!</definedName>
    <definedName name="неп_17" localSheetId="12">#REF!</definedName>
    <definedName name="неп_17" localSheetId="110">#REF!</definedName>
    <definedName name="неп_17" localSheetId="9">#REF!</definedName>
    <definedName name="неп_17">#REF!</definedName>
    <definedName name="неп_18" localSheetId="10">#REF!</definedName>
    <definedName name="неп_18" localSheetId="12">#REF!</definedName>
    <definedName name="неп_18" localSheetId="110">#REF!</definedName>
    <definedName name="неп_18" localSheetId="9">#REF!</definedName>
    <definedName name="неп_18">#REF!</definedName>
    <definedName name="неп_19" localSheetId="10">#REF!</definedName>
    <definedName name="неп_19" localSheetId="12">#REF!</definedName>
    <definedName name="неп_19" localSheetId="110">#REF!</definedName>
    <definedName name="неп_19" localSheetId="9">#REF!</definedName>
    <definedName name="неп_19">#REF!</definedName>
    <definedName name="неп_2" localSheetId="10">#REF!</definedName>
    <definedName name="неп_2" localSheetId="12">#REF!</definedName>
    <definedName name="неп_2" localSheetId="110">#REF!</definedName>
    <definedName name="неп_2" localSheetId="9">#REF!</definedName>
    <definedName name="неп_2">#REF!</definedName>
    <definedName name="неп_20" localSheetId="10">#REF!</definedName>
    <definedName name="неп_20" localSheetId="12">#REF!</definedName>
    <definedName name="неп_20" localSheetId="110">#REF!</definedName>
    <definedName name="неп_20" localSheetId="9">#REF!</definedName>
    <definedName name="неп_20">#REF!</definedName>
    <definedName name="неп_21" localSheetId="10">#REF!</definedName>
    <definedName name="неп_21" localSheetId="12">#REF!</definedName>
    <definedName name="неп_21" localSheetId="110">#REF!</definedName>
    <definedName name="неп_21" localSheetId="9">#REF!</definedName>
    <definedName name="неп_21">#REF!</definedName>
    <definedName name="неп_49" localSheetId="10">#REF!</definedName>
    <definedName name="неп_49" localSheetId="12">#REF!</definedName>
    <definedName name="неп_49" localSheetId="110">#REF!</definedName>
    <definedName name="неп_49" localSheetId="9">#REF!</definedName>
    <definedName name="неп_49">#REF!</definedName>
    <definedName name="неп_50" localSheetId="10">#REF!</definedName>
    <definedName name="неп_50" localSheetId="12">#REF!</definedName>
    <definedName name="неп_50" localSheetId="110">#REF!</definedName>
    <definedName name="неп_50" localSheetId="9">#REF!</definedName>
    <definedName name="неп_50">#REF!</definedName>
    <definedName name="неп_51" localSheetId="10">#REF!</definedName>
    <definedName name="неп_51" localSheetId="12">#REF!</definedName>
    <definedName name="неп_51" localSheetId="110">#REF!</definedName>
    <definedName name="неп_51" localSheetId="9">#REF!</definedName>
    <definedName name="неп_51">#REF!</definedName>
    <definedName name="неп_52" localSheetId="10">#REF!</definedName>
    <definedName name="неп_52" localSheetId="12">#REF!</definedName>
    <definedName name="неп_52" localSheetId="110">#REF!</definedName>
    <definedName name="неп_52" localSheetId="9">#REF!</definedName>
    <definedName name="неп_52">#REF!</definedName>
    <definedName name="неп_53" localSheetId="10">#REF!</definedName>
    <definedName name="неп_53" localSheetId="12">#REF!</definedName>
    <definedName name="неп_53" localSheetId="110">#REF!</definedName>
    <definedName name="неп_53" localSheetId="9">#REF!</definedName>
    <definedName name="неп_53">#REF!</definedName>
    <definedName name="неп_54" localSheetId="10">#REF!</definedName>
    <definedName name="неп_54" localSheetId="12">#REF!</definedName>
    <definedName name="неп_54" localSheetId="110">#REF!</definedName>
    <definedName name="неп_54" localSheetId="9">#REF!</definedName>
    <definedName name="неп_54">#REF!</definedName>
    <definedName name="неп_6" localSheetId="10">#REF!</definedName>
    <definedName name="неп_6" localSheetId="12">#REF!</definedName>
    <definedName name="неп_6" localSheetId="110">#REF!</definedName>
    <definedName name="неп_6" localSheetId="9">#REF!</definedName>
    <definedName name="неп_6">#REF!</definedName>
    <definedName name="неп_7" localSheetId="10">#REF!</definedName>
    <definedName name="неп_7" localSheetId="12">#REF!</definedName>
    <definedName name="неп_7" localSheetId="110">#REF!</definedName>
    <definedName name="неп_7" localSheetId="9">#REF!</definedName>
    <definedName name="неп_7">#REF!</definedName>
    <definedName name="неп_8" localSheetId="10">#REF!</definedName>
    <definedName name="неп_8" localSheetId="12">#REF!</definedName>
    <definedName name="неп_8" localSheetId="110">#REF!</definedName>
    <definedName name="неп_8" localSheetId="9">#REF!</definedName>
    <definedName name="неп_8">#REF!</definedName>
    <definedName name="неп_9" localSheetId="10">#REF!</definedName>
    <definedName name="неп_9" localSheetId="12">#REF!</definedName>
    <definedName name="неп_9" localSheetId="110">#REF!</definedName>
    <definedName name="неп_9" localSheetId="9">#REF!</definedName>
    <definedName name="неп_9">#REF!</definedName>
    <definedName name="Непредв">[29]Коэфф!$B$7</definedName>
    <definedName name="нер" localSheetId="10">#REF!</definedName>
    <definedName name="нер" localSheetId="9">#REF!</definedName>
    <definedName name="нер">#REF!</definedName>
    <definedName name="неуо" localSheetId="10">#REF!</definedName>
    <definedName name="неуо" localSheetId="9">#REF!</definedName>
    <definedName name="неуо">#REF!</definedName>
    <definedName name="Нижегородская_область" localSheetId="10">#REF!</definedName>
    <definedName name="Нижегородская_область" localSheetId="9">#REF!</definedName>
    <definedName name="Нижегородская_область">#REF!</definedName>
    <definedName name="ННОвгород" localSheetId="10">#REF!</definedName>
    <definedName name="ННОвгород" localSheetId="12">#REF!</definedName>
    <definedName name="ННОвгород" localSheetId="116">#REF!</definedName>
    <definedName name="ННОвгород" localSheetId="110">#REF!</definedName>
    <definedName name="ННОвгород" localSheetId="109">#REF!</definedName>
    <definedName name="ННОвгород" localSheetId="108">#REF!</definedName>
    <definedName name="ННОвгород" localSheetId="9">#REF!</definedName>
    <definedName name="ННОвгород" localSheetId="92">#REF!</definedName>
    <definedName name="ННОвгород" localSheetId="93">#REF!</definedName>
    <definedName name="ННОвгород" localSheetId="94">#REF!</definedName>
    <definedName name="ННОвгород" localSheetId="99">#REF!</definedName>
    <definedName name="ННОвгород" localSheetId="100">#REF!</definedName>
    <definedName name="ННОвгород" localSheetId="106">#REF!</definedName>
    <definedName name="ННОвгород" localSheetId="4">#REF!</definedName>
    <definedName name="ННОвгород" localSheetId="13">#REF!</definedName>
    <definedName name="ННОвгород">#REF!</definedName>
    <definedName name="ННОвгород_1" localSheetId="10">#REF!</definedName>
    <definedName name="ННОвгород_1" localSheetId="12">#REF!</definedName>
    <definedName name="ННОвгород_1" localSheetId="116">#REF!</definedName>
    <definedName name="ННОвгород_1" localSheetId="110">#REF!</definedName>
    <definedName name="ННОвгород_1" localSheetId="109">#REF!</definedName>
    <definedName name="ННОвгород_1" localSheetId="108">#REF!</definedName>
    <definedName name="ННОвгород_1" localSheetId="9">#REF!</definedName>
    <definedName name="ННОвгород_1" localSheetId="92">#REF!</definedName>
    <definedName name="ННОвгород_1" localSheetId="93">#REF!</definedName>
    <definedName name="ННОвгород_1" localSheetId="94">#REF!</definedName>
    <definedName name="ННОвгород_1" localSheetId="99">#REF!</definedName>
    <definedName name="ННОвгород_1" localSheetId="100">#REF!</definedName>
    <definedName name="ННОвгород_1" localSheetId="106">#REF!</definedName>
    <definedName name="ННОвгород_1" localSheetId="4">#REF!</definedName>
    <definedName name="ННОвгород_1" localSheetId="13">#REF!</definedName>
    <definedName name="ННОвгород_1">#REF!</definedName>
    <definedName name="ННОвгород_2" localSheetId="10">#REF!</definedName>
    <definedName name="ННОвгород_2" localSheetId="12">#REF!</definedName>
    <definedName name="ННОвгород_2" localSheetId="116">#REF!</definedName>
    <definedName name="ННОвгород_2" localSheetId="110">#REF!</definedName>
    <definedName name="ННОвгород_2" localSheetId="109">#REF!</definedName>
    <definedName name="ННОвгород_2" localSheetId="108">#REF!</definedName>
    <definedName name="ННОвгород_2" localSheetId="9">#REF!</definedName>
    <definedName name="ННОвгород_2" localSheetId="92">#REF!</definedName>
    <definedName name="ННОвгород_2" localSheetId="93">#REF!</definedName>
    <definedName name="ННОвгород_2" localSheetId="94">#REF!</definedName>
    <definedName name="ННОвгород_2" localSheetId="99">#REF!</definedName>
    <definedName name="ННОвгород_2" localSheetId="100">#REF!</definedName>
    <definedName name="ННОвгород_2" localSheetId="106">#REF!</definedName>
    <definedName name="ННОвгород_2" localSheetId="4">#REF!</definedName>
    <definedName name="ННОвгород_2" localSheetId="13">#REF!</definedName>
    <definedName name="ННОвгород_2">#REF!</definedName>
    <definedName name="ННОвгород_22" localSheetId="10">#REF!</definedName>
    <definedName name="ННОвгород_22" localSheetId="12">#REF!</definedName>
    <definedName name="ННОвгород_22" localSheetId="110">#REF!</definedName>
    <definedName name="ННОвгород_22" localSheetId="9">#REF!</definedName>
    <definedName name="ННОвгород_22">#REF!</definedName>
    <definedName name="ННОвгород_49" localSheetId="10">#REF!</definedName>
    <definedName name="ННОвгород_49" localSheetId="12">#REF!</definedName>
    <definedName name="ННОвгород_49" localSheetId="110">#REF!</definedName>
    <definedName name="ННОвгород_49" localSheetId="9">#REF!</definedName>
    <definedName name="ННОвгород_49">#REF!</definedName>
    <definedName name="ННОвгород_5" localSheetId="10">#REF!</definedName>
    <definedName name="ННОвгород_5" localSheetId="12">#REF!</definedName>
    <definedName name="ННОвгород_5" localSheetId="110">#REF!</definedName>
    <definedName name="ННОвгород_5" localSheetId="9">#REF!</definedName>
    <definedName name="ННОвгород_5">#REF!</definedName>
    <definedName name="ННОвгород_50" localSheetId="10">#REF!</definedName>
    <definedName name="ННОвгород_50" localSheetId="12">#REF!</definedName>
    <definedName name="ННОвгород_50" localSheetId="110">#REF!</definedName>
    <definedName name="ННОвгород_50" localSheetId="9">#REF!</definedName>
    <definedName name="ННОвгород_50">#REF!</definedName>
    <definedName name="ННОвгород_51" localSheetId="10">#REF!</definedName>
    <definedName name="ННОвгород_51" localSheetId="12">#REF!</definedName>
    <definedName name="ННОвгород_51" localSheetId="110">#REF!</definedName>
    <definedName name="ННОвгород_51" localSheetId="9">#REF!</definedName>
    <definedName name="ННОвгород_51">#REF!</definedName>
    <definedName name="ННОвгород_52" localSheetId="10">#REF!</definedName>
    <definedName name="ННОвгород_52" localSheetId="12">#REF!</definedName>
    <definedName name="ННОвгород_52" localSheetId="110">#REF!</definedName>
    <definedName name="ННОвгород_52" localSheetId="9">#REF!</definedName>
    <definedName name="ННОвгород_52">#REF!</definedName>
    <definedName name="ННОвгород_53" localSheetId="10">#REF!</definedName>
    <definedName name="ННОвгород_53" localSheetId="12">#REF!</definedName>
    <definedName name="ННОвгород_53" localSheetId="110">#REF!</definedName>
    <definedName name="ННОвгород_53" localSheetId="9">#REF!</definedName>
    <definedName name="ННОвгород_53">#REF!</definedName>
    <definedName name="ННОвгород_54" localSheetId="10">#REF!</definedName>
    <definedName name="ННОвгород_54" localSheetId="12">#REF!</definedName>
    <definedName name="ННОвгород_54" localSheetId="110">#REF!</definedName>
    <definedName name="ННОвгород_54" localSheetId="9">#REF!</definedName>
    <definedName name="ННОвгород_54">#REF!</definedName>
    <definedName name="но" localSheetId="10">#REF!</definedName>
    <definedName name="но" localSheetId="9">#REF!</definedName>
    <definedName name="но">#REF!</definedName>
    <definedName name="Новгородская_область" localSheetId="10">#REF!</definedName>
    <definedName name="Новгородская_область" localSheetId="9">#REF!</definedName>
    <definedName name="Новгородская_область">#REF!</definedName>
    <definedName name="Новосибирская_область" localSheetId="10">#REF!</definedName>
    <definedName name="Новосибирская_область" localSheetId="9">#REF!</definedName>
    <definedName name="Новосибирская_область">#REF!</definedName>
    <definedName name="Новосибирская_область_1" localSheetId="10">#REF!</definedName>
    <definedName name="Новосибирская_область_1" localSheetId="9">#REF!</definedName>
    <definedName name="Новосибирская_область_1">#REF!</definedName>
    <definedName name="новый" localSheetId="10">#REF!</definedName>
    <definedName name="новый" localSheetId="9">#REF!</definedName>
    <definedName name="новый">#REF!</definedName>
    <definedName name="Номер_договора" localSheetId="10">#REF!</definedName>
    <definedName name="Номер_договора" localSheetId="12">#REF!</definedName>
    <definedName name="Номер_договора" localSheetId="110">#REF!</definedName>
    <definedName name="Номер_договора" localSheetId="9">#REF!</definedName>
    <definedName name="Номер_договора">#REF!</definedName>
    <definedName name="Номер_договора_1" localSheetId="10">#REF!</definedName>
    <definedName name="Номер_договора_1" localSheetId="9">#REF!</definedName>
    <definedName name="Номер_договора_1">#REF!</definedName>
    <definedName name="НомерДоговора" localSheetId="7">[49]ОбмОбслЗемОд!$F$2</definedName>
    <definedName name="НомерДоговора">[50]ОбмОбслЗемОд!$F$2</definedName>
    <definedName name="Норм_трудоемкость_механизаторов_по_смете_с_учетом_к_тов" localSheetId="10">'[53]Переменные и константы'!#REF!</definedName>
    <definedName name="Норм_трудоемкость_механизаторов_по_смете_с_учетом_к_тов" localSheetId="9">'[53]Переменные и константы'!#REF!</definedName>
    <definedName name="Норм_трудоемкость_механизаторов_по_смете_с_учетом_к_тов">'[53]Переменные и константы'!#REF!</definedName>
    <definedName name="Норм_трудоемкость_осн_рабочих_по_смете_с_учетом_к_тов" localSheetId="10">'[53]Переменные и константы'!#REF!</definedName>
    <definedName name="Норм_трудоемкость_осн_рабочих_по_смете_с_учетом_к_тов" localSheetId="9">'[53]Переменные и константы'!#REF!</definedName>
    <definedName name="Норм_трудоемкость_осн_рабочих_по_смете_с_учетом_к_тов">'[53]Переменные и константы'!#REF!</definedName>
    <definedName name="Нормативная_трудоемкость_механизаторов_по_смете" localSheetId="10">'[53]Переменные и константы'!#REF!</definedName>
    <definedName name="Нормативная_трудоемкость_механизаторов_по_смете" localSheetId="9">'[53]Переменные и константы'!#REF!</definedName>
    <definedName name="Нормативная_трудоемкость_механизаторов_по_смете">'[53]Переменные и константы'!#REF!</definedName>
    <definedName name="Нормативная_трудоемкость_основных_рабочих_по_смете" localSheetId="10">'[53]Переменные и константы'!#REF!</definedName>
    <definedName name="Нормативная_трудоемкость_основных_рабочих_по_смете" localSheetId="9">'[53]Переменные и константы'!#REF!</definedName>
    <definedName name="Нормативная_трудоемкость_основных_рабочих_по_смете">'[53]Переменные и константы'!#REF!</definedName>
    <definedName name="Нсапк">'[25]Лист опроса'!$B$34</definedName>
    <definedName name="Нсстр">'[25]Лист опроса'!$B$32</definedName>
    <definedName name="о" localSheetId="10">#REF!</definedName>
    <definedName name="о" localSheetId="12">#REF!</definedName>
    <definedName name="о" localSheetId="116">#REF!</definedName>
    <definedName name="о" localSheetId="8">#REF!</definedName>
    <definedName name="о" localSheetId="11">#REF!</definedName>
    <definedName name="о" localSheetId="110">#REF!</definedName>
    <definedName name="о" localSheetId="109">#REF!</definedName>
    <definedName name="о" localSheetId="108">#REF!</definedName>
    <definedName name="о" localSheetId="6">#REF!</definedName>
    <definedName name="о" localSheetId="9">#REF!</definedName>
    <definedName name="о" localSheetId="7">#REF!</definedName>
    <definedName name="о" localSheetId="92">#REF!</definedName>
    <definedName name="о" localSheetId="93">#REF!</definedName>
    <definedName name="о" localSheetId="94">#REF!</definedName>
    <definedName name="о" localSheetId="99">#REF!</definedName>
    <definedName name="о" localSheetId="100">#REF!</definedName>
    <definedName name="о" localSheetId="106">#REF!</definedName>
    <definedName name="о" localSheetId="4">#REF!</definedName>
    <definedName name="о" localSheetId="13">#REF!</definedName>
    <definedName name="о">#REF!</definedName>
    <definedName name="о_1" localSheetId="10">#REF!</definedName>
    <definedName name="о_1" localSheetId="9">#REF!</definedName>
    <definedName name="о_1">#REF!</definedName>
    <definedName name="оа" localSheetId="10">[4]топография!#REF!</definedName>
    <definedName name="оа" localSheetId="9">[4]топография!#REF!</definedName>
    <definedName name="оа">[4]топография!#REF!</definedName>
    <definedName name="об" localSheetId="10">#REF!</definedName>
    <definedName name="об" localSheetId="9">#REF!</definedName>
    <definedName name="об">#REF!</definedName>
    <definedName name="_xlnm.Print_Area" localSheetId="10">ВОР!$A$1:$E$96</definedName>
    <definedName name="_xlnm.Print_Area" localSheetId="5">График!$A$2:$D$11</definedName>
    <definedName name="_xlnm.Print_Area" localSheetId="11">НМЦК!$A$1:$Q$128</definedName>
    <definedName name="_xlnm.Print_Area" localSheetId="109">'ОСР ПИР (2000 г).'!$A$1:$E$46</definedName>
    <definedName name="_xlnm.Print_Area" localSheetId="108">'ОСР ПИР (2021 г.)'!$A$1:$E$49</definedName>
    <definedName name="_xlnm.Print_Area" localSheetId="9">'Проект сметы контракта'!$A$1:$I$97</definedName>
    <definedName name="_xlnm.Print_Area" localSheetId="7">Протокол!$A$1:$K$35</definedName>
    <definedName name="_xlnm.Print_Area" localSheetId="92">'Расчет 09-01-01'!$A$1:$E$14</definedName>
    <definedName name="_xlnm.Print_Area" localSheetId="93">'Расчет 09-02-01'!$A$1:$E$12</definedName>
    <definedName name="_xlnm.Print_Area" localSheetId="94">'Расчет 09-03-01'!$A$1:$E$60</definedName>
    <definedName name="_xlnm.Print_Area" localSheetId="99">'Расчет 09-05-01'!$A$1:$E$13</definedName>
    <definedName name="_xlnm.Print_Area" localSheetId="100">'Расчет 09-06-01 '!$A$1:$E$12</definedName>
    <definedName name="_xlnm.Print_Area" localSheetId="106">'Расчет 09-08-01'!$A$1:$E$12</definedName>
    <definedName name="_xlnm.Print_Area" localSheetId="119">'Расчет 12-04-01'!$A$1:$G$46</definedName>
    <definedName name="_xlnm.Print_Area" localSheetId="120">'Расчет 12-05-01'!$A$1:$E$13</definedName>
    <definedName name="_xlnm.Print_Area">#REF!</definedName>
    <definedName name="Оборудование_в_базисных_ценах" localSheetId="10">#REF!</definedName>
    <definedName name="Оборудование_в_базисных_ценах" localSheetId="9">#REF!</definedName>
    <definedName name="Оборудование_в_базисных_ценах">#REF!</definedName>
    <definedName name="Оборудование_в_текущих_ценах" localSheetId="10">'[53]Переменные и константы'!#REF!</definedName>
    <definedName name="Оборудование_в_текущих_ценах" localSheetId="9">'[53]Переменные и константы'!#REF!</definedName>
    <definedName name="Оборудование_в_текущих_ценах">'[53]Переменные и константы'!#REF!</definedName>
    <definedName name="Оборудование_в_текущих_ценах_по_ресурсному_расчету" localSheetId="10">'[53]Переменные и константы'!#REF!</definedName>
    <definedName name="Оборудование_в_текущих_ценах_по_ресурсному_расчету" localSheetId="9">'[53]Переменные и константы'!#REF!</definedName>
    <definedName name="Оборудование_в_текущих_ценах_по_ресурсному_расчету">'[53]Переменные и константы'!#REF!</definedName>
    <definedName name="Оборудование_в_текущих_ценах_после_применения_индексов" localSheetId="10">'[53]Переменные и константы'!#REF!</definedName>
    <definedName name="Оборудование_в_текущих_ценах_после_применения_индексов" localSheetId="9">'[53]Переменные и константы'!#REF!</definedName>
    <definedName name="Оборудование_в_текущих_ценах_после_применения_индексов">'[53]Переменные и константы'!#REF!</definedName>
    <definedName name="Обоснование_поправки" localSheetId="10">#REF!</definedName>
    <definedName name="Обоснование_поправки" localSheetId="9">#REF!</definedName>
    <definedName name="Обоснование_поправки">#REF!</definedName>
    <definedName name="обуч" localSheetId="10" hidden="1">{#N/A,#N/A,TRUE,"Смета на пасс. обор. №1"}</definedName>
    <definedName name="обуч" localSheetId="12" hidden="1">{#N/A,#N/A,TRUE,"Смета на пасс. обор. №1"}</definedName>
    <definedName name="обуч" localSheetId="111" hidden="1">{#N/A,#N/A,TRUE,"Смета на пасс. обор. №1"}</definedName>
    <definedName name="обуч" localSheetId="112" hidden="1">{#N/A,#N/A,TRUE,"Смета на пасс. обор. №1"}</definedName>
    <definedName name="обуч" localSheetId="113" hidden="1">{#N/A,#N/A,TRUE,"Смета на пасс. обор. №1"}</definedName>
    <definedName name="обуч" localSheetId="114" hidden="1">{#N/A,#N/A,TRUE,"Смета на пасс. обор. №1"}</definedName>
    <definedName name="обуч" localSheetId="115" hidden="1">{#N/A,#N/A,TRUE,"Смета на пасс. обор. №1"}</definedName>
    <definedName name="обуч" localSheetId="116" hidden="1">{#N/A,#N/A,TRUE,"Смета на пасс. обор. №1"}</definedName>
    <definedName name="обуч" localSheetId="117" hidden="1">{#N/A,#N/A,TRUE,"Смета на пасс. обор. №1"}</definedName>
    <definedName name="обуч" localSheetId="118" hidden="1">{#N/A,#N/A,TRUE,"Смета на пасс. обор. №1"}</definedName>
    <definedName name="обуч" localSheetId="121" hidden="1">{#N/A,#N/A,TRUE,"Смета на пасс. обор. №1"}</definedName>
    <definedName name="обуч" localSheetId="122" hidden="1">{#N/A,#N/A,TRUE,"Смета на пасс. обор. №1"}</definedName>
    <definedName name="обуч" localSheetId="8" hidden="1">{#N/A,#N/A,TRUE,"Смета на пасс. обор. №1"}</definedName>
    <definedName name="обуч" localSheetId="11" hidden="1">{#N/A,#N/A,TRUE,"Смета на пасс. обор. №1"}</definedName>
    <definedName name="обуч" localSheetId="110" hidden="1">{#N/A,#N/A,TRUE,"Смета на пасс. обор. №1"}</definedName>
    <definedName name="обуч" localSheetId="109" hidden="1">{#N/A,#N/A,TRUE,"Смета на пасс. обор. №1"}</definedName>
    <definedName name="обуч" localSheetId="108" hidden="1">{#N/A,#N/A,TRUE,"Смета на пасс. обор. №1"}</definedName>
    <definedName name="обуч" localSheetId="6" hidden="1">{#N/A,#N/A,TRUE,"Смета на пасс. обор. №1"}</definedName>
    <definedName name="обуч" localSheetId="9" hidden="1">{#N/A,#N/A,TRUE,"Смета на пасс. обор. №1"}</definedName>
    <definedName name="обуч" localSheetId="7" hidden="1">{#N/A,#N/A,TRUE,"Смета на пасс. обор. №1"}</definedName>
    <definedName name="обуч" localSheetId="92" hidden="1">{#N/A,#N/A,TRUE,"Смета на пасс. обор. №1"}</definedName>
    <definedName name="обуч" localSheetId="93" hidden="1">{#N/A,#N/A,TRUE,"Смета на пасс. обор. №1"}</definedName>
    <definedName name="обуч" localSheetId="94" hidden="1">{#N/A,#N/A,TRUE,"Смета на пасс. обор. №1"}</definedName>
    <definedName name="обуч" localSheetId="99" hidden="1">{#N/A,#N/A,TRUE,"Смета на пасс. обор. №1"}</definedName>
    <definedName name="обуч" localSheetId="100" hidden="1">{#N/A,#N/A,TRUE,"Смета на пасс. обор. №1"}</definedName>
    <definedName name="обуч" localSheetId="106" hidden="1">{#N/A,#N/A,TRUE,"Смета на пасс. обор. №1"}</definedName>
    <definedName name="обуч" localSheetId="2" hidden="1">{#N/A,#N/A,TRUE,"Смета на пасс. обор. №1"}</definedName>
    <definedName name="обуч" localSheetId="123" hidden="1">{#N/A,#N/A,TRUE,"Смета на пасс. обор. №1"}</definedName>
    <definedName name="обуч" localSheetId="4" hidden="1">{#N/A,#N/A,TRUE,"Смета на пасс. обор. №1"}</definedName>
    <definedName name="обуч" localSheetId="13" hidden="1">{#N/A,#N/A,TRUE,"Смета на пасс. обор. №1"}</definedName>
    <definedName name="обуч" hidden="1">{#N/A,#N/A,TRUE,"Смета на пасс. обор. №1"}</definedName>
    <definedName name="обуч_1" localSheetId="10" hidden="1">{#N/A,#N/A,TRUE,"Смета на пасс. обор. №1"}</definedName>
    <definedName name="обуч_1" localSheetId="12" hidden="1">{#N/A,#N/A,TRUE,"Смета на пасс. обор. №1"}</definedName>
    <definedName name="обуч_1" localSheetId="111" hidden="1">{#N/A,#N/A,TRUE,"Смета на пасс. обор. №1"}</definedName>
    <definedName name="обуч_1" localSheetId="112" hidden="1">{#N/A,#N/A,TRUE,"Смета на пасс. обор. №1"}</definedName>
    <definedName name="обуч_1" localSheetId="113" hidden="1">{#N/A,#N/A,TRUE,"Смета на пасс. обор. №1"}</definedName>
    <definedName name="обуч_1" localSheetId="114" hidden="1">{#N/A,#N/A,TRUE,"Смета на пасс. обор. №1"}</definedName>
    <definedName name="обуч_1" localSheetId="115" hidden="1">{#N/A,#N/A,TRUE,"Смета на пасс. обор. №1"}</definedName>
    <definedName name="обуч_1" localSheetId="116" hidden="1">{#N/A,#N/A,TRUE,"Смета на пасс. обор. №1"}</definedName>
    <definedName name="обуч_1" localSheetId="117" hidden="1">{#N/A,#N/A,TRUE,"Смета на пасс. обор. №1"}</definedName>
    <definedName name="обуч_1" localSheetId="118" hidden="1">{#N/A,#N/A,TRUE,"Смета на пасс. обор. №1"}</definedName>
    <definedName name="обуч_1" localSheetId="121" hidden="1">{#N/A,#N/A,TRUE,"Смета на пасс. обор. №1"}</definedName>
    <definedName name="обуч_1" localSheetId="122" hidden="1">{#N/A,#N/A,TRUE,"Смета на пасс. обор. №1"}</definedName>
    <definedName name="обуч_1" localSheetId="8" hidden="1">{#N/A,#N/A,TRUE,"Смета на пасс. обор. №1"}</definedName>
    <definedName name="обуч_1" localSheetId="11" hidden="1">{#N/A,#N/A,TRUE,"Смета на пасс. обор. №1"}</definedName>
    <definedName name="обуч_1" localSheetId="110" hidden="1">{#N/A,#N/A,TRUE,"Смета на пасс. обор. №1"}</definedName>
    <definedName name="обуч_1" localSheetId="109" hidden="1">{#N/A,#N/A,TRUE,"Смета на пасс. обор. №1"}</definedName>
    <definedName name="обуч_1" localSheetId="108" hidden="1">{#N/A,#N/A,TRUE,"Смета на пасс. обор. №1"}</definedName>
    <definedName name="обуч_1" localSheetId="6" hidden="1">{#N/A,#N/A,TRUE,"Смета на пасс. обор. №1"}</definedName>
    <definedName name="обуч_1" localSheetId="9" hidden="1">{#N/A,#N/A,TRUE,"Смета на пасс. обор. №1"}</definedName>
    <definedName name="обуч_1" localSheetId="7" hidden="1">{#N/A,#N/A,TRUE,"Смета на пасс. обор. №1"}</definedName>
    <definedName name="обуч_1" localSheetId="92" hidden="1">{#N/A,#N/A,TRUE,"Смета на пасс. обор. №1"}</definedName>
    <definedName name="обуч_1" localSheetId="93" hidden="1">{#N/A,#N/A,TRUE,"Смета на пасс. обор. №1"}</definedName>
    <definedName name="обуч_1" localSheetId="94" hidden="1">{#N/A,#N/A,TRUE,"Смета на пасс. обор. №1"}</definedName>
    <definedName name="обуч_1" localSheetId="99" hidden="1">{#N/A,#N/A,TRUE,"Смета на пасс. обор. №1"}</definedName>
    <definedName name="обуч_1" localSheetId="100" hidden="1">{#N/A,#N/A,TRUE,"Смета на пасс. обор. №1"}</definedName>
    <definedName name="обуч_1" localSheetId="106" hidden="1">{#N/A,#N/A,TRUE,"Смета на пасс. обор. №1"}</definedName>
    <definedName name="обуч_1" localSheetId="2" hidden="1">{#N/A,#N/A,TRUE,"Смета на пасс. обор. №1"}</definedName>
    <definedName name="обуч_1" localSheetId="123" hidden="1">{#N/A,#N/A,TRUE,"Смета на пасс. обор. №1"}</definedName>
    <definedName name="обуч_1" localSheetId="4" hidden="1">{#N/A,#N/A,TRUE,"Смета на пасс. обор. №1"}</definedName>
    <definedName name="обуч_1" localSheetId="13" hidden="1">{#N/A,#N/A,TRUE,"Смета на пасс. обор. №1"}</definedName>
    <definedName name="обуч_1" hidden="1">{#N/A,#N/A,TRUE,"Смета на пасс. обор. №1"}</definedName>
    <definedName name="общ_МПА_П" localSheetId="10">#REF!</definedName>
    <definedName name="общ_МПА_П" localSheetId="9">#REF!</definedName>
    <definedName name="общ_МПА_П">#REF!</definedName>
    <definedName name="ОбъектАдрес" localSheetId="7">[49]ОбмОбслЗемОд!$A$4</definedName>
    <definedName name="ОбъектАдрес">[50]ОбмОбслЗемОд!$A$4</definedName>
    <definedName name="Объекты" localSheetId="10">#REF!</definedName>
    <definedName name="Объекты" localSheetId="12">#REF!</definedName>
    <definedName name="Объекты" localSheetId="116">#REF!</definedName>
    <definedName name="Объекты" localSheetId="8">#REF!</definedName>
    <definedName name="Объекты" localSheetId="11">#REF!</definedName>
    <definedName name="Объекты" localSheetId="110">#REF!</definedName>
    <definedName name="Объекты" localSheetId="109">#REF!</definedName>
    <definedName name="Объекты" localSheetId="108">#REF!</definedName>
    <definedName name="Объекты" localSheetId="6">#REF!</definedName>
    <definedName name="Объекты" localSheetId="9">#REF!</definedName>
    <definedName name="Объекты" localSheetId="7">#REF!</definedName>
    <definedName name="Объекты" localSheetId="92">#REF!</definedName>
    <definedName name="Объекты" localSheetId="93">#REF!</definedName>
    <definedName name="Объекты" localSheetId="94">#REF!</definedName>
    <definedName name="Объекты" localSheetId="99">#REF!</definedName>
    <definedName name="Объекты" localSheetId="100">#REF!</definedName>
    <definedName name="Объекты" localSheetId="106">#REF!</definedName>
    <definedName name="Объекты">#REF!</definedName>
    <definedName name="объем">#N/A</definedName>
    <definedName name="объем___0" localSheetId="10">#REF!</definedName>
    <definedName name="объем___0" localSheetId="12">#REF!</definedName>
    <definedName name="объем___0" localSheetId="116">#REF!</definedName>
    <definedName name="объем___0" localSheetId="8">#REF!</definedName>
    <definedName name="объем___0" localSheetId="11">#REF!</definedName>
    <definedName name="объем___0" localSheetId="110">#REF!</definedName>
    <definedName name="объем___0" localSheetId="109">#REF!</definedName>
    <definedName name="объем___0" localSheetId="108">#REF!</definedName>
    <definedName name="объем___0" localSheetId="6">#REF!</definedName>
    <definedName name="объем___0" localSheetId="9">#REF!</definedName>
    <definedName name="объем___0" localSheetId="7">#REF!</definedName>
    <definedName name="объем___0" localSheetId="92">#REF!</definedName>
    <definedName name="объем___0" localSheetId="93">#REF!</definedName>
    <definedName name="объем___0" localSheetId="94">#REF!</definedName>
    <definedName name="объем___0" localSheetId="99">#REF!</definedName>
    <definedName name="объем___0" localSheetId="100">#REF!</definedName>
    <definedName name="объем___0" localSheetId="106">#REF!</definedName>
    <definedName name="объем___0">#REF!</definedName>
    <definedName name="объем___0___0" localSheetId="10">#REF!</definedName>
    <definedName name="объем___0___0" localSheetId="12">#REF!</definedName>
    <definedName name="объем___0___0" localSheetId="116">#REF!</definedName>
    <definedName name="объем___0___0" localSheetId="110">#REF!</definedName>
    <definedName name="объем___0___0" localSheetId="109">#REF!</definedName>
    <definedName name="объем___0___0" localSheetId="108">#REF!</definedName>
    <definedName name="объем___0___0" localSheetId="9">#REF!</definedName>
    <definedName name="объем___0___0" localSheetId="7">#REF!</definedName>
    <definedName name="объем___0___0" localSheetId="92">#REF!</definedName>
    <definedName name="объем___0___0" localSheetId="93">#REF!</definedName>
    <definedName name="объем___0___0" localSheetId="94">#REF!</definedName>
    <definedName name="объем___0___0" localSheetId="99">#REF!</definedName>
    <definedName name="объем___0___0" localSheetId="100">#REF!</definedName>
    <definedName name="объем___0___0" localSheetId="106">#REF!</definedName>
    <definedName name="объем___0___0">#REF!</definedName>
    <definedName name="объем___0___0___0" localSheetId="10">#REF!</definedName>
    <definedName name="объем___0___0___0" localSheetId="12">#REF!</definedName>
    <definedName name="объем___0___0___0" localSheetId="116">#REF!</definedName>
    <definedName name="объем___0___0___0" localSheetId="110">#REF!</definedName>
    <definedName name="объем___0___0___0" localSheetId="109">#REF!</definedName>
    <definedName name="объем___0___0___0" localSheetId="108">#REF!</definedName>
    <definedName name="объем___0___0___0" localSheetId="9">#REF!</definedName>
    <definedName name="объем___0___0___0" localSheetId="92">#REF!</definedName>
    <definedName name="объем___0___0___0" localSheetId="93">#REF!</definedName>
    <definedName name="объем___0___0___0" localSheetId="94">#REF!</definedName>
    <definedName name="объем___0___0___0" localSheetId="99">#REF!</definedName>
    <definedName name="объем___0___0___0" localSheetId="100">#REF!</definedName>
    <definedName name="объем___0___0___0" localSheetId="106">#REF!</definedName>
    <definedName name="объем___0___0___0">#REF!</definedName>
    <definedName name="объем___0___0___0___0" localSheetId="10">#REF!</definedName>
    <definedName name="объем___0___0___0___0" localSheetId="12">#REF!</definedName>
    <definedName name="объем___0___0___0___0" localSheetId="110">#REF!</definedName>
    <definedName name="объем___0___0___0___0" localSheetId="9">#REF!</definedName>
    <definedName name="объем___0___0___0___0">#REF!</definedName>
    <definedName name="объем___0___0___0___0___0" localSheetId="10">#REF!</definedName>
    <definedName name="объем___0___0___0___0___0" localSheetId="9">#REF!</definedName>
    <definedName name="объем___0___0___0___0___0">#REF!</definedName>
    <definedName name="объем___0___0___0___0___0_1" localSheetId="10">#REF!</definedName>
    <definedName name="объем___0___0___0___0___0_1" localSheetId="9">#REF!</definedName>
    <definedName name="объем___0___0___0___0___0_1">#REF!</definedName>
    <definedName name="объем___0___0___0___0_1" localSheetId="10">#REF!</definedName>
    <definedName name="объем___0___0___0___0_1" localSheetId="9">#REF!</definedName>
    <definedName name="объем___0___0___0___0_1">#REF!</definedName>
    <definedName name="объем___0___0___0___1" localSheetId="10">#REF!</definedName>
    <definedName name="объем___0___0___0___1" localSheetId="9">#REF!</definedName>
    <definedName name="объем___0___0___0___1">#REF!</definedName>
    <definedName name="объем___0___0___0___1_1" localSheetId="10">#REF!</definedName>
    <definedName name="объем___0___0___0___1_1" localSheetId="9">#REF!</definedName>
    <definedName name="объем___0___0___0___1_1">#REF!</definedName>
    <definedName name="объем___0___0___0___5" localSheetId="10">#REF!</definedName>
    <definedName name="объем___0___0___0___5" localSheetId="9">#REF!</definedName>
    <definedName name="объем___0___0___0___5">#REF!</definedName>
    <definedName name="объем___0___0___0___5_1" localSheetId="10">#REF!</definedName>
    <definedName name="объем___0___0___0___5_1" localSheetId="9">#REF!</definedName>
    <definedName name="объем___0___0___0___5_1">#REF!</definedName>
    <definedName name="объем___0___0___0_1" localSheetId="10">#REF!</definedName>
    <definedName name="объем___0___0___0_1" localSheetId="9">#REF!</definedName>
    <definedName name="объем___0___0___0_1">#REF!</definedName>
    <definedName name="объем___0___0___0_1_1" localSheetId="10">#REF!</definedName>
    <definedName name="объем___0___0___0_1_1" localSheetId="9">#REF!</definedName>
    <definedName name="объем___0___0___0_1_1">#REF!</definedName>
    <definedName name="объем___0___0___0_1_1_1" localSheetId="10">#REF!</definedName>
    <definedName name="объем___0___0___0_1_1_1" localSheetId="9">#REF!</definedName>
    <definedName name="объем___0___0___0_1_1_1">#REF!</definedName>
    <definedName name="объем___0___0___0_5" localSheetId="10">#REF!</definedName>
    <definedName name="объем___0___0___0_5" localSheetId="9">#REF!</definedName>
    <definedName name="объем___0___0___0_5">#REF!</definedName>
    <definedName name="объем___0___0___0_5_1" localSheetId="10">#REF!</definedName>
    <definedName name="объем___0___0___0_5_1" localSheetId="9">#REF!</definedName>
    <definedName name="объем___0___0___0_5_1">#REF!</definedName>
    <definedName name="объем___0___0___1" localSheetId="10">#REF!</definedName>
    <definedName name="объем___0___0___1" localSheetId="9">#REF!</definedName>
    <definedName name="объем___0___0___1">#REF!</definedName>
    <definedName name="объем___0___0___1_1" localSheetId="10">#REF!</definedName>
    <definedName name="объем___0___0___1_1" localSheetId="9">#REF!</definedName>
    <definedName name="объем___0___0___1_1">#REF!</definedName>
    <definedName name="объем___0___0___2" localSheetId="10">#REF!</definedName>
    <definedName name="объем___0___0___2" localSheetId="12">#REF!</definedName>
    <definedName name="объем___0___0___2" localSheetId="110">#REF!</definedName>
    <definedName name="объем___0___0___2" localSheetId="9">#REF!</definedName>
    <definedName name="объем___0___0___2">#REF!</definedName>
    <definedName name="объем___0___0___2_1" localSheetId="10">#REF!</definedName>
    <definedName name="объем___0___0___2_1" localSheetId="9">#REF!</definedName>
    <definedName name="объем___0___0___2_1">#REF!</definedName>
    <definedName name="объем___0___0___3" localSheetId="10">#REF!</definedName>
    <definedName name="объем___0___0___3" localSheetId="12">#REF!</definedName>
    <definedName name="объем___0___0___3" localSheetId="110">#REF!</definedName>
    <definedName name="объем___0___0___3" localSheetId="9">#REF!</definedName>
    <definedName name="объем___0___0___3">#REF!</definedName>
    <definedName name="объем___0___0___3_1" localSheetId="10">#REF!</definedName>
    <definedName name="объем___0___0___3_1" localSheetId="9">#REF!</definedName>
    <definedName name="объем___0___0___3_1">#REF!</definedName>
    <definedName name="объем___0___0___4" localSheetId="10">#REF!</definedName>
    <definedName name="объем___0___0___4" localSheetId="12">#REF!</definedName>
    <definedName name="объем___0___0___4" localSheetId="110">#REF!</definedName>
    <definedName name="объем___0___0___4" localSheetId="9">#REF!</definedName>
    <definedName name="объем___0___0___4">#REF!</definedName>
    <definedName name="объем___0___0___4_1" localSheetId="10">#REF!</definedName>
    <definedName name="объем___0___0___4_1" localSheetId="9">#REF!</definedName>
    <definedName name="объем___0___0___4_1">#REF!</definedName>
    <definedName name="объем___0___0___5" localSheetId="10">#REF!</definedName>
    <definedName name="объем___0___0___5" localSheetId="9">#REF!</definedName>
    <definedName name="объем___0___0___5">#REF!</definedName>
    <definedName name="объем___0___0___5_1" localSheetId="10">#REF!</definedName>
    <definedName name="объем___0___0___5_1" localSheetId="9">#REF!</definedName>
    <definedName name="объем___0___0___5_1">#REF!</definedName>
    <definedName name="объем___0___0_1" localSheetId="10">#REF!</definedName>
    <definedName name="объем___0___0_1" localSheetId="9">#REF!</definedName>
    <definedName name="объем___0___0_1">#REF!</definedName>
    <definedName name="объем___0___0_1_1" localSheetId="10">#REF!</definedName>
    <definedName name="объем___0___0_1_1" localSheetId="9">#REF!</definedName>
    <definedName name="объем___0___0_1_1">#REF!</definedName>
    <definedName name="объем___0___0_1_1_1" localSheetId="10">#REF!</definedName>
    <definedName name="объем___0___0_1_1_1" localSheetId="9">#REF!</definedName>
    <definedName name="объем___0___0_1_1_1">#REF!</definedName>
    <definedName name="объем___0___0_3" localSheetId="10">#REF!</definedName>
    <definedName name="объем___0___0_3" localSheetId="9">#REF!</definedName>
    <definedName name="объем___0___0_3">#REF!</definedName>
    <definedName name="объем___0___0_3_1" localSheetId="10">#REF!</definedName>
    <definedName name="объем___0___0_3_1" localSheetId="9">#REF!</definedName>
    <definedName name="объем___0___0_3_1">#REF!</definedName>
    <definedName name="объем___0___0_5" localSheetId="10">#REF!</definedName>
    <definedName name="объем___0___0_5" localSheetId="9">#REF!</definedName>
    <definedName name="объем___0___0_5">#REF!</definedName>
    <definedName name="объем___0___0_5_1" localSheetId="10">#REF!</definedName>
    <definedName name="объем___0___0_5_1" localSheetId="9">#REF!</definedName>
    <definedName name="объем___0___0_5_1">#REF!</definedName>
    <definedName name="объем___0___1" localSheetId="10">#REF!</definedName>
    <definedName name="объем___0___1" localSheetId="12">#REF!</definedName>
    <definedName name="объем___0___1" localSheetId="110">#REF!</definedName>
    <definedName name="объем___0___1" localSheetId="9">#REF!</definedName>
    <definedName name="объем___0___1">#REF!</definedName>
    <definedName name="объем___0___1___0" localSheetId="10">#REF!</definedName>
    <definedName name="объем___0___1___0" localSheetId="9">#REF!</definedName>
    <definedName name="объем___0___1___0">#REF!</definedName>
    <definedName name="объем___0___1___0_1" localSheetId="10">#REF!</definedName>
    <definedName name="объем___0___1___0_1" localSheetId="9">#REF!</definedName>
    <definedName name="объем___0___1___0_1">#REF!</definedName>
    <definedName name="объем___0___1_1" localSheetId="10">#REF!</definedName>
    <definedName name="объем___0___1_1" localSheetId="9">#REF!</definedName>
    <definedName name="объем___0___1_1">#REF!</definedName>
    <definedName name="объем___0___10" localSheetId="10">#REF!</definedName>
    <definedName name="объем___0___10" localSheetId="12">#REF!</definedName>
    <definedName name="объем___0___10" localSheetId="110">#REF!</definedName>
    <definedName name="объем___0___10" localSheetId="9">#REF!</definedName>
    <definedName name="объем___0___10">#REF!</definedName>
    <definedName name="объем___0___10_1" localSheetId="10">#REF!</definedName>
    <definedName name="объем___0___10_1" localSheetId="9">#REF!</definedName>
    <definedName name="объем___0___10_1">#REF!</definedName>
    <definedName name="объем___0___12" localSheetId="10">#REF!</definedName>
    <definedName name="объем___0___12" localSheetId="12">#REF!</definedName>
    <definedName name="объем___0___12" localSheetId="110">#REF!</definedName>
    <definedName name="объем___0___12" localSheetId="9">#REF!</definedName>
    <definedName name="объем___0___12">#REF!</definedName>
    <definedName name="объем___0___2" localSheetId="10">#REF!</definedName>
    <definedName name="объем___0___2" localSheetId="12">#REF!</definedName>
    <definedName name="объем___0___2" localSheetId="110">#REF!</definedName>
    <definedName name="объем___0___2" localSheetId="9">#REF!</definedName>
    <definedName name="объем___0___2">#REF!</definedName>
    <definedName name="объем___0___2___0" localSheetId="10">#REF!</definedName>
    <definedName name="объем___0___2___0" localSheetId="12">#REF!</definedName>
    <definedName name="объем___0___2___0" localSheetId="110">#REF!</definedName>
    <definedName name="объем___0___2___0" localSheetId="9">#REF!</definedName>
    <definedName name="объем___0___2___0">#REF!</definedName>
    <definedName name="объем___0___2___0___0" localSheetId="10">#REF!</definedName>
    <definedName name="объем___0___2___0___0" localSheetId="9">#REF!</definedName>
    <definedName name="объем___0___2___0___0">#REF!</definedName>
    <definedName name="объем___0___2___0___0_1" localSheetId="10">#REF!</definedName>
    <definedName name="объем___0___2___0___0_1" localSheetId="9">#REF!</definedName>
    <definedName name="объем___0___2___0___0_1">#REF!</definedName>
    <definedName name="объем___0___2___0_1" localSheetId="10">#REF!</definedName>
    <definedName name="объем___0___2___0_1" localSheetId="9">#REF!</definedName>
    <definedName name="объем___0___2___0_1">#REF!</definedName>
    <definedName name="объем___0___2___5" localSheetId="10">#REF!</definedName>
    <definedName name="объем___0___2___5" localSheetId="9">#REF!</definedName>
    <definedName name="объем___0___2___5">#REF!</definedName>
    <definedName name="объем___0___2___5_1" localSheetId="10">#REF!</definedName>
    <definedName name="объем___0___2___5_1" localSheetId="9">#REF!</definedName>
    <definedName name="объем___0___2___5_1">#REF!</definedName>
    <definedName name="объем___0___2_1" localSheetId="10">#REF!</definedName>
    <definedName name="объем___0___2_1" localSheetId="9">#REF!</definedName>
    <definedName name="объем___0___2_1">#REF!</definedName>
    <definedName name="объем___0___2_1_1" localSheetId="10">#REF!</definedName>
    <definedName name="объем___0___2_1_1" localSheetId="9">#REF!</definedName>
    <definedName name="объем___0___2_1_1">#REF!</definedName>
    <definedName name="объем___0___2_1_1_1" localSheetId="10">#REF!</definedName>
    <definedName name="объем___0___2_1_1_1" localSheetId="9">#REF!</definedName>
    <definedName name="объем___0___2_1_1_1">#REF!</definedName>
    <definedName name="объем___0___2_3" localSheetId="10">#REF!</definedName>
    <definedName name="объем___0___2_3" localSheetId="9">#REF!</definedName>
    <definedName name="объем___0___2_3">#REF!</definedName>
    <definedName name="объем___0___2_3_1" localSheetId="10">#REF!</definedName>
    <definedName name="объем___0___2_3_1" localSheetId="9">#REF!</definedName>
    <definedName name="объем___0___2_3_1">#REF!</definedName>
    <definedName name="объем___0___2_5" localSheetId="10">#REF!</definedName>
    <definedName name="объем___0___2_5" localSheetId="9">#REF!</definedName>
    <definedName name="объем___0___2_5">#REF!</definedName>
    <definedName name="объем___0___2_5_1" localSheetId="10">#REF!</definedName>
    <definedName name="объем___0___2_5_1" localSheetId="9">#REF!</definedName>
    <definedName name="объем___0___2_5_1">#REF!</definedName>
    <definedName name="объем___0___3" localSheetId="10">#REF!</definedName>
    <definedName name="объем___0___3" localSheetId="12">#REF!</definedName>
    <definedName name="объем___0___3" localSheetId="110">#REF!</definedName>
    <definedName name="объем___0___3" localSheetId="9">#REF!</definedName>
    <definedName name="объем___0___3">#REF!</definedName>
    <definedName name="объем___0___3___0" localSheetId="10">#REF!</definedName>
    <definedName name="объем___0___3___0" localSheetId="9">#REF!</definedName>
    <definedName name="объем___0___3___0">#REF!</definedName>
    <definedName name="объем___0___3___0_1" localSheetId="10">#REF!</definedName>
    <definedName name="объем___0___3___0_1" localSheetId="9">#REF!</definedName>
    <definedName name="объем___0___3___0_1">#REF!</definedName>
    <definedName name="объем___0___3___5" localSheetId="10">#REF!</definedName>
    <definedName name="объем___0___3___5" localSheetId="9">#REF!</definedName>
    <definedName name="объем___0___3___5">#REF!</definedName>
    <definedName name="объем___0___3___5_1" localSheetId="10">#REF!</definedName>
    <definedName name="объем___0___3___5_1" localSheetId="9">#REF!</definedName>
    <definedName name="объем___0___3___5_1">#REF!</definedName>
    <definedName name="объем___0___3_1" localSheetId="10">#REF!</definedName>
    <definedName name="объем___0___3_1" localSheetId="9">#REF!</definedName>
    <definedName name="объем___0___3_1">#REF!</definedName>
    <definedName name="объем___0___3_1_1" localSheetId="10">#REF!</definedName>
    <definedName name="объем___0___3_1_1" localSheetId="9">#REF!</definedName>
    <definedName name="объем___0___3_1_1">#REF!</definedName>
    <definedName name="объем___0___3_1_1_1" localSheetId="10">#REF!</definedName>
    <definedName name="объем___0___3_1_1_1" localSheetId="9">#REF!</definedName>
    <definedName name="объем___0___3_1_1_1">#REF!</definedName>
    <definedName name="объем___0___3_5" localSheetId="10">#REF!</definedName>
    <definedName name="объем___0___3_5" localSheetId="9">#REF!</definedName>
    <definedName name="объем___0___3_5">#REF!</definedName>
    <definedName name="объем___0___3_5_1" localSheetId="10">#REF!</definedName>
    <definedName name="объем___0___3_5_1" localSheetId="9">#REF!</definedName>
    <definedName name="объем___0___3_5_1">#REF!</definedName>
    <definedName name="объем___0___4" localSheetId="10">#REF!</definedName>
    <definedName name="объем___0___4" localSheetId="12">#REF!</definedName>
    <definedName name="объем___0___4" localSheetId="110">#REF!</definedName>
    <definedName name="объем___0___4" localSheetId="9">#REF!</definedName>
    <definedName name="объем___0___4">#REF!</definedName>
    <definedName name="объем___0___4___0" localSheetId="10">#REF!</definedName>
    <definedName name="объем___0___4___0" localSheetId="9">#REF!</definedName>
    <definedName name="объем___0___4___0">#REF!</definedName>
    <definedName name="объем___0___4___0_1" localSheetId="10">#REF!</definedName>
    <definedName name="объем___0___4___0_1" localSheetId="9">#REF!</definedName>
    <definedName name="объем___0___4___0_1">#REF!</definedName>
    <definedName name="объем___0___4___5" localSheetId="10">#REF!</definedName>
    <definedName name="объем___0___4___5" localSheetId="9">#REF!</definedName>
    <definedName name="объем___0___4___5">#REF!</definedName>
    <definedName name="объем___0___4___5_1" localSheetId="10">#REF!</definedName>
    <definedName name="объем___0___4___5_1" localSheetId="9">#REF!</definedName>
    <definedName name="объем___0___4___5_1">#REF!</definedName>
    <definedName name="объем___0___4_1" localSheetId="10">#REF!</definedName>
    <definedName name="объем___0___4_1" localSheetId="9">#REF!</definedName>
    <definedName name="объем___0___4_1">#REF!</definedName>
    <definedName name="объем___0___4_1_1" localSheetId="10">#REF!</definedName>
    <definedName name="объем___0___4_1_1" localSheetId="9">#REF!</definedName>
    <definedName name="объем___0___4_1_1">#REF!</definedName>
    <definedName name="объем___0___4_1_1_1" localSheetId="10">#REF!</definedName>
    <definedName name="объем___0___4_1_1_1" localSheetId="9">#REF!</definedName>
    <definedName name="объем___0___4_1_1_1">#REF!</definedName>
    <definedName name="объем___0___4_3" localSheetId="10">#REF!</definedName>
    <definedName name="объем___0___4_3" localSheetId="9">#REF!</definedName>
    <definedName name="объем___0___4_3">#REF!</definedName>
    <definedName name="объем___0___4_3_1" localSheetId="10">#REF!</definedName>
    <definedName name="объем___0___4_3_1" localSheetId="9">#REF!</definedName>
    <definedName name="объем___0___4_3_1">#REF!</definedName>
    <definedName name="объем___0___4_5" localSheetId="10">#REF!</definedName>
    <definedName name="объем___0___4_5" localSheetId="9">#REF!</definedName>
    <definedName name="объем___0___4_5">#REF!</definedName>
    <definedName name="объем___0___4_5_1" localSheetId="10">#REF!</definedName>
    <definedName name="объем___0___4_5_1" localSheetId="9">#REF!</definedName>
    <definedName name="объем___0___4_5_1">#REF!</definedName>
    <definedName name="объем___0___5" localSheetId="10">#REF!</definedName>
    <definedName name="объем___0___5" localSheetId="12">#REF!</definedName>
    <definedName name="объем___0___5" localSheetId="110">#REF!</definedName>
    <definedName name="объем___0___5" localSheetId="9">#REF!</definedName>
    <definedName name="объем___0___5">#REF!</definedName>
    <definedName name="объем___0___5_1" localSheetId="10">#REF!</definedName>
    <definedName name="объем___0___5_1" localSheetId="9">#REF!</definedName>
    <definedName name="объем___0___5_1">#REF!</definedName>
    <definedName name="объем___0___6" localSheetId="10">#REF!</definedName>
    <definedName name="объем___0___6" localSheetId="12">#REF!</definedName>
    <definedName name="объем___0___6" localSheetId="110">#REF!</definedName>
    <definedName name="объем___0___6" localSheetId="9">#REF!</definedName>
    <definedName name="объем___0___6">#REF!</definedName>
    <definedName name="объем___0___6_1" localSheetId="10">#REF!</definedName>
    <definedName name="объем___0___6_1" localSheetId="9">#REF!</definedName>
    <definedName name="объем___0___6_1">#REF!</definedName>
    <definedName name="объем___0___8" localSheetId="10">#REF!</definedName>
    <definedName name="объем___0___8" localSheetId="12">#REF!</definedName>
    <definedName name="объем___0___8" localSheetId="110">#REF!</definedName>
    <definedName name="объем___0___8" localSheetId="9">#REF!</definedName>
    <definedName name="объем___0___8">#REF!</definedName>
    <definedName name="объем___0___8_1" localSheetId="10">#REF!</definedName>
    <definedName name="объем___0___8_1" localSheetId="9">#REF!</definedName>
    <definedName name="объем___0___8_1">#REF!</definedName>
    <definedName name="объем___0_1" localSheetId="10">#REF!</definedName>
    <definedName name="объем___0_1" localSheetId="9">#REF!</definedName>
    <definedName name="объем___0_1">#REF!</definedName>
    <definedName name="объем___0_1_1" localSheetId="10">#REF!</definedName>
    <definedName name="объем___0_1_1" localSheetId="9">#REF!</definedName>
    <definedName name="объем___0_1_1">#REF!</definedName>
    <definedName name="объем___0_3" localSheetId="10">#REF!</definedName>
    <definedName name="объем___0_3" localSheetId="9">#REF!</definedName>
    <definedName name="объем___0_3">#REF!</definedName>
    <definedName name="объем___0_3_1" localSheetId="10">#REF!</definedName>
    <definedName name="объем___0_3_1" localSheetId="9">#REF!</definedName>
    <definedName name="объем___0_3_1">#REF!</definedName>
    <definedName name="объем___0_5" localSheetId="10">#REF!</definedName>
    <definedName name="объем___0_5" localSheetId="9">#REF!</definedName>
    <definedName name="объем___0_5">#REF!</definedName>
    <definedName name="объем___0_5_1" localSheetId="10">#REF!</definedName>
    <definedName name="объем___0_5_1" localSheetId="9">#REF!</definedName>
    <definedName name="объем___0_5_1">#REF!</definedName>
    <definedName name="объем___1" localSheetId="10">#REF!</definedName>
    <definedName name="объем___1" localSheetId="12">#REF!</definedName>
    <definedName name="объем___1" localSheetId="110">#REF!</definedName>
    <definedName name="объем___1" localSheetId="9">#REF!</definedName>
    <definedName name="объем___1">#REF!</definedName>
    <definedName name="объем___1___0" localSheetId="10">#REF!</definedName>
    <definedName name="объем___1___0" localSheetId="12">#REF!</definedName>
    <definedName name="объем___1___0" localSheetId="110">#REF!</definedName>
    <definedName name="объем___1___0" localSheetId="9">#REF!</definedName>
    <definedName name="объем___1___0">#REF!</definedName>
    <definedName name="объем___1___0___0" localSheetId="10">#REF!</definedName>
    <definedName name="объем___1___0___0" localSheetId="9">#REF!</definedName>
    <definedName name="объем___1___0___0">#REF!</definedName>
    <definedName name="объем___1___0___0_1" localSheetId="10">#REF!</definedName>
    <definedName name="объем___1___0___0_1" localSheetId="9">#REF!</definedName>
    <definedName name="объем___1___0___0_1">#REF!</definedName>
    <definedName name="объем___1___0_1" localSheetId="10">#REF!</definedName>
    <definedName name="объем___1___0_1" localSheetId="9">#REF!</definedName>
    <definedName name="объем___1___0_1">#REF!</definedName>
    <definedName name="объем___1___1" localSheetId="10">#REF!</definedName>
    <definedName name="объем___1___1" localSheetId="9">#REF!</definedName>
    <definedName name="объем___1___1">#REF!</definedName>
    <definedName name="объем___1___1_1" localSheetId="10">#REF!</definedName>
    <definedName name="объем___1___1_1" localSheetId="9">#REF!</definedName>
    <definedName name="объем___1___1_1">#REF!</definedName>
    <definedName name="объем___1___5" localSheetId="10">#REF!</definedName>
    <definedName name="объем___1___5" localSheetId="9">#REF!</definedName>
    <definedName name="объем___1___5">#REF!</definedName>
    <definedName name="объем___1___5_1" localSheetId="10">#REF!</definedName>
    <definedName name="объем___1___5_1" localSheetId="9">#REF!</definedName>
    <definedName name="объем___1___5_1">#REF!</definedName>
    <definedName name="объем___1_1" localSheetId="10">#REF!</definedName>
    <definedName name="объем___1_1" localSheetId="9">#REF!</definedName>
    <definedName name="объем___1_1">#REF!</definedName>
    <definedName name="объем___1_1_1" localSheetId="10">#REF!</definedName>
    <definedName name="объем___1_1_1" localSheetId="9">#REF!</definedName>
    <definedName name="объем___1_1_1">#REF!</definedName>
    <definedName name="объем___1_1_1_1" localSheetId="10">#REF!</definedName>
    <definedName name="объем___1_1_1_1" localSheetId="9">#REF!</definedName>
    <definedName name="объем___1_1_1_1">#REF!</definedName>
    <definedName name="объем___1_3" localSheetId="10">#REF!</definedName>
    <definedName name="объем___1_3" localSheetId="9">#REF!</definedName>
    <definedName name="объем___1_3">#REF!</definedName>
    <definedName name="объем___1_3_1" localSheetId="10">#REF!</definedName>
    <definedName name="объем___1_3_1" localSheetId="9">#REF!</definedName>
    <definedName name="объем___1_3_1">#REF!</definedName>
    <definedName name="объем___1_5" localSheetId="10">#REF!</definedName>
    <definedName name="объем___1_5" localSheetId="9">#REF!</definedName>
    <definedName name="объем___1_5">#REF!</definedName>
    <definedName name="объем___1_5_1" localSheetId="10">#REF!</definedName>
    <definedName name="объем___1_5_1" localSheetId="9">#REF!</definedName>
    <definedName name="объем___1_5_1">#REF!</definedName>
    <definedName name="объем___10" localSheetId="10">#REF!</definedName>
    <definedName name="объем___10" localSheetId="12">#REF!</definedName>
    <definedName name="объем___10" localSheetId="110">#REF!</definedName>
    <definedName name="объем___10" localSheetId="9">#REF!</definedName>
    <definedName name="объем___10" localSheetId="7">#REF!</definedName>
    <definedName name="объем___10">#REF!</definedName>
    <definedName name="объем___10___0">NA()</definedName>
    <definedName name="объем___10___0___0" localSheetId="10">#REF!</definedName>
    <definedName name="объем___10___0___0" localSheetId="12">#REF!</definedName>
    <definedName name="объем___10___0___0" localSheetId="116">#REF!</definedName>
    <definedName name="объем___10___0___0" localSheetId="8">#REF!</definedName>
    <definedName name="объем___10___0___0" localSheetId="11">#REF!</definedName>
    <definedName name="объем___10___0___0" localSheetId="110">#REF!</definedName>
    <definedName name="объем___10___0___0" localSheetId="109">#REF!</definedName>
    <definedName name="объем___10___0___0" localSheetId="108">#REF!</definedName>
    <definedName name="объем___10___0___0" localSheetId="6">#REF!</definedName>
    <definedName name="объем___10___0___0" localSheetId="9">#REF!</definedName>
    <definedName name="объем___10___0___0" localSheetId="7">#REF!</definedName>
    <definedName name="объем___10___0___0" localSheetId="92">#REF!</definedName>
    <definedName name="объем___10___0___0" localSheetId="93">#REF!</definedName>
    <definedName name="объем___10___0___0" localSheetId="94">#REF!</definedName>
    <definedName name="объем___10___0___0" localSheetId="99">#REF!</definedName>
    <definedName name="объем___10___0___0" localSheetId="100">#REF!</definedName>
    <definedName name="объем___10___0___0" localSheetId="106">#REF!</definedName>
    <definedName name="объем___10___0___0">#REF!</definedName>
    <definedName name="объем___10___0___0___0" localSheetId="10">#REF!</definedName>
    <definedName name="объем___10___0___0___0" localSheetId="9">#REF!</definedName>
    <definedName name="объем___10___0___0___0">#REF!</definedName>
    <definedName name="объем___10___0___0___0_1" localSheetId="10">#REF!</definedName>
    <definedName name="объем___10___0___0___0_1" localSheetId="9">#REF!</definedName>
    <definedName name="объем___10___0___0___0_1">#REF!</definedName>
    <definedName name="объем___10___0___0_1" localSheetId="10">#REF!</definedName>
    <definedName name="объем___10___0___0_1" localSheetId="9">#REF!</definedName>
    <definedName name="объем___10___0___0_1">#REF!</definedName>
    <definedName name="объем___10___0___1">NA()</definedName>
    <definedName name="объем___10___0___5">NA()</definedName>
    <definedName name="объем___10___0_1" localSheetId="10">#REF!</definedName>
    <definedName name="объем___10___0_1" localSheetId="9">#REF!</definedName>
    <definedName name="объем___10___0_1">#REF!</definedName>
    <definedName name="объем___10___0_1_1">NA()</definedName>
    <definedName name="объем___10___0_3">NA()</definedName>
    <definedName name="объем___10___0_5">NA()</definedName>
    <definedName name="объем___10___1" localSheetId="10">#REF!</definedName>
    <definedName name="объем___10___1" localSheetId="12">#REF!</definedName>
    <definedName name="объем___10___1" localSheetId="116">#REF!</definedName>
    <definedName name="объем___10___1" localSheetId="8">#REF!</definedName>
    <definedName name="объем___10___1" localSheetId="11">#REF!</definedName>
    <definedName name="объем___10___1" localSheetId="110">#REF!</definedName>
    <definedName name="объем___10___1" localSheetId="109">#REF!</definedName>
    <definedName name="объем___10___1" localSheetId="108">#REF!</definedName>
    <definedName name="объем___10___1" localSheetId="6">#REF!</definedName>
    <definedName name="объем___10___1" localSheetId="9">#REF!</definedName>
    <definedName name="объем___10___1" localSheetId="7">#REF!</definedName>
    <definedName name="объем___10___1" localSheetId="92">#REF!</definedName>
    <definedName name="объем___10___1" localSheetId="93">#REF!</definedName>
    <definedName name="объем___10___1" localSheetId="94">#REF!</definedName>
    <definedName name="объем___10___1" localSheetId="99">#REF!</definedName>
    <definedName name="объем___10___1" localSheetId="100">#REF!</definedName>
    <definedName name="объем___10___1" localSheetId="106">#REF!</definedName>
    <definedName name="объем___10___1">#REF!</definedName>
    <definedName name="объем___10___10" localSheetId="10">#REF!</definedName>
    <definedName name="объем___10___10" localSheetId="12">#REF!</definedName>
    <definedName name="объем___10___10" localSheetId="116">#REF!</definedName>
    <definedName name="объем___10___10" localSheetId="8">#REF!</definedName>
    <definedName name="объем___10___10" localSheetId="11">#REF!</definedName>
    <definedName name="объем___10___10" localSheetId="110">#REF!</definedName>
    <definedName name="объем___10___10" localSheetId="109">#REF!</definedName>
    <definedName name="объем___10___10" localSheetId="108">#REF!</definedName>
    <definedName name="объем___10___10" localSheetId="6">#REF!</definedName>
    <definedName name="объем___10___10" localSheetId="9">#REF!</definedName>
    <definedName name="объем___10___10" localSheetId="7">#REF!</definedName>
    <definedName name="объем___10___10" localSheetId="92">#REF!</definedName>
    <definedName name="объем___10___10" localSheetId="93">#REF!</definedName>
    <definedName name="объем___10___10" localSheetId="94">#REF!</definedName>
    <definedName name="объем___10___10" localSheetId="99">#REF!</definedName>
    <definedName name="объем___10___10" localSheetId="100">#REF!</definedName>
    <definedName name="объем___10___10" localSheetId="106">#REF!</definedName>
    <definedName name="объем___10___10">#REF!</definedName>
    <definedName name="объем___10___12" localSheetId="10">#REF!</definedName>
    <definedName name="объем___10___12" localSheetId="12">#REF!</definedName>
    <definedName name="объем___10___12" localSheetId="110">#REF!</definedName>
    <definedName name="объем___10___12" localSheetId="9">#REF!</definedName>
    <definedName name="объем___10___12">#REF!</definedName>
    <definedName name="объем___10___2">NA()</definedName>
    <definedName name="объем___10___4">NA()</definedName>
    <definedName name="объем___10___5" localSheetId="10">#REF!</definedName>
    <definedName name="объем___10___5" localSheetId="9">#REF!</definedName>
    <definedName name="объем___10___5">#REF!</definedName>
    <definedName name="объем___10___5_1" localSheetId="10">#REF!</definedName>
    <definedName name="объем___10___5_1" localSheetId="9">#REF!</definedName>
    <definedName name="объем___10___5_1">#REF!</definedName>
    <definedName name="объем___10___6">NA()</definedName>
    <definedName name="объем___10___8">NA()</definedName>
    <definedName name="объем___10_1">NA()</definedName>
    <definedName name="объем___10_3" localSheetId="10">#REF!</definedName>
    <definedName name="объем___10_3" localSheetId="9">#REF!</definedName>
    <definedName name="объем___10_3">#REF!</definedName>
    <definedName name="объем___10_3_1" localSheetId="10">#REF!</definedName>
    <definedName name="объем___10_3_1" localSheetId="9">#REF!</definedName>
    <definedName name="объем___10_3_1">#REF!</definedName>
    <definedName name="объем___10_5" localSheetId="10">#REF!</definedName>
    <definedName name="объем___10_5" localSheetId="9">#REF!</definedName>
    <definedName name="объем___10_5">#REF!</definedName>
    <definedName name="объем___10_5_1" localSheetId="10">#REF!</definedName>
    <definedName name="объем___10_5_1" localSheetId="9">#REF!</definedName>
    <definedName name="объем___10_5_1">#REF!</definedName>
    <definedName name="объем___11" localSheetId="10">#REF!</definedName>
    <definedName name="объем___11" localSheetId="12">#REF!</definedName>
    <definedName name="объем___11" localSheetId="116">#REF!</definedName>
    <definedName name="объем___11" localSheetId="110">#REF!</definedName>
    <definedName name="объем___11" localSheetId="109">#REF!</definedName>
    <definedName name="объем___11" localSheetId="108">#REF!</definedName>
    <definedName name="объем___11" localSheetId="9">#REF!</definedName>
    <definedName name="объем___11" localSheetId="7">#REF!</definedName>
    <definedName name="объем___11" localSheetId="92">#REF!</definedName>
    <definedName name="объем___11" localSheetId="93">#REF!</definedName>
    <definedName name="объем___11" localSheetId="94">#REF!</definedName>
    <definedName name="объем___11" localSheetId="99">#REF!</definedName>
    <definedName name="объем___11" localSheetId="100">#REF!</definedName>
    <definedName name="объем___11" localSheetId="106">#REF!</definedName>
    <definedName name="объем___11">#REF!</definedName>
    <definedName name="объем___11___0">NA()</definedName>
    <definedName name="объем___11___10" localSheetId="10">#REF!</definedName>
    <definedName name="объем___11___10" localSheetId="12">#REF!</definedName>
    <definedName name="объем___11___10" localSheetId="116">#REF!</definedName>
    <definedName name="объем___11___10" localSheetId="8">#REF!</definedName>
    <definedName name="объем___11___10" localSheetId="11">#REF!</definedName>
    <definedName name="объем___11___10" localSheetId="110">#REF!</definedName>
    <definedName name="объем___11___10" localSheetId="109">#REF!</definedName>
    <definedName name="объем___11___10" localSheetId="108">#REF!</definedName>
    <definedName name="объем___11___10" localSheetId="6">#REF!</definedName>
    <definedName name="объем___11___10" localSheetId="9">#REF!</definedName>
    <definedName name="объем___11___10" localSheetId="7">#REF!</definedName>
    <definedName name="объем___11___10" localSheetId="92">#REF!</definedName>
    <definedName name="объем___11___10" localSheetId="93">#REF!</definedName>
    <definedName name="объем___11___10" localSheetId="94">#REF!</definedName>
    <definedName name="объем___11___10" localSheetId="99">#REF!</definedName>
    <definedName name="объем___11___10" localSheetId="100">#REF!</definedName>
    <definedName name="объем___11___10" localSheetId="106">#REF!</definedName>
    <definedName name="объем___11___10">#REF!</definedName>
    <definedName name="объем___11___2" localSheetId="10">#REF!</definedName>
    <definedName name="объем___11___2" localSheetId="12">#REF!</definedName>
    <definedName name="объем___11___2" localSheetId="116">#REF!</definedName>
    <definedName name="объем___11___2" localSheetId="8">#REF!</definedName>
    <definedName name="объем___11___2" localSheetId="11">#REF!</definedName>
    <definedName name="объем___11___2" localSheetId="110">#REF!</definedName>
    <definedName name="объем___11___2" localSheetId="109">#REF!</definedName>
    <definedName name="объем___11___2" localSheetId="108">#REF!</definedName>
    <definedName name="объем___11___2" localSheetId="6">#REF!</definedName>
    <definedName name="объем___11___2" localSheetId="9">#REF!</definedName>
    <definedName name="объем___11___2" localSheetId="7">#REF!</definedName>
    <definedName name="объем___11___2" localSheetId="92">#REF!</definedName>
    <definedName name="объем___11___2" localSheetId="93">#REF!</definedName>
    <definedName name="объем___11___2" localSheetId="94">#REF!</definedName>
    <definedName name="объем___11___2" localSheetId="99">#REF!</definedName>
    <definedName name="объем___11___2" localSheetId="100">#REF!</definedName>
    <definedName name="объем___11___2" localSheetId="106">#REF!</definedName>
    <definedName name="объем___11___2">#REF!</definedName>
    <definedName name="объем___11___4" localSheetId="10">#REF!</definedName>
    <definedName name="объем___11___4" localSheetId="12">#REF!</definedName>
    <definedName name="объем___11___4" localSheetId="116">#REF!</definedName>
    <definedName name="объем___11___4" localSheetId="110">#REF!</definedName>
    <definedName name="объем___11___4" localSheetId="109">#REF!</definedName>
    <definedName name="объем___11___4" localSheetId="108">#REF!</definedName>
    <definedName name="объем___11___4" localSheetId="9">#REF!</definedName>
    <definedName name="объем___11___4" localSheetId="92">#REF!</definedName>
    <definedName name="объем___11___4" localSheetId="93">#REF!</definedName>
    <definedName name="объем___11___4" localSheetId="94">#REF!</definedName>
    <definedName name="объем___11___4" localSheetId="99">#REF!</definedName>
    <definedName name="объем___11___4" localSheetId="100">#REF!</definedName>
    <definedName name="объем___11___4" localSheetId="106">#REF!</definedName>
    <definedName name="объем___11___4">#REF!</definedName>
    <definedName name="объем___11___6" localSheetId="10">#REF!</definedName>
    <definedName name="объем___11___6" localSheetId="12">#REF!</definedName>
    <definedName name="объем___11___6" localSheetId="110">#REF!</definedName>
    <definedName name="объем___11___6" localSheetId="9">#REF!</definedName>
    <definedName name="объем___11___6">#REF!</definedName>
    <definedName name="объем___11___8" localSheetId="10">#REF!</definedName>
    <definedName name="объем___11___8" localSheetId="12">#REF!</definedName>
    <definedName name="объем___11___8" localSheetId="110">#REF!</definedName>
    <definedName name="объем___11___8" localSheetId="9">#REF!</definedName>
    <definedName name="объем___11___8">#REF!</definedName>
    <definedName name="объем___11_1" localSheetId="10">#REF!</definedName>
    <definedName name="объем___11_1" localSheetId="9">#REF!</definedName>
    <definedName name="объем___11_1">#REF!</definedName>
    <definedName name="объем___12">NA()</definedName>
    <definedName name="объем___2" localSheetId="10">#REF!</definedName>
    <definedName name="объем___2" localSheetId="12">#REF!</definedName>
    <definedName name="объем___2" localSheetId="116">#REF!</definedName>
    <definedName name="объем___2" localSheetId="8">#REF!</definedName>
    <definedName name="объем___2" localSheetId="11">#REF!</definedName>
    <definedName name="объем___2" localSheetId="110">#REF!</definedName>
    <definedName name="объем___2" localSheetId="109">#REF!</definedName>
    <definedName name="объем___2" localSheetId="108">#REF!</definedName>
    <definedName name="объем___2" localSheetId="6">#REF!</definedName>
    <definedName name="объем___2" localSheetId="9">#REF!</definedName>
    <definedName name="объем___2" localSheetId="7">#REF!</definedName>
    <definedName name="объем___2" localSheetId="92">#REF!</definedName>
    <definedName name="объем___2" localSheetId="93">#REF!</definedName>
    <definedName name="объем___2" localSheetId="94">#REF!</definedName>
    <definedName name="объем___2" localSheetId="99">#REF!</definedName>
    <definedName name="объем___2" localSheetId="100">#REF!</definedName>
    <definedName name="объем___2" localSheetId="106">#REF!</definedName>
    <definedName name="объем___2">#REF!</definedName>
    <definedName name="объем___2___0" localSheetId="10">#REF!</definedName>
    <definedName name="объем___2___0" localSheetId="12">#REF!</definedName>
    <definedName name="объем___2___0" localSheetId="116">#REF!</definedName>
    <definedName name="объем___2___0" localSheetId="8">#REF!</definedName>
    <definedName name="объем___2___0" localSheetId="11">#REF!</definedName>
    <definedName name="объем___2___0" localSheetId="110">#REF!</definedName>
    <definedName name="объем___2___0" localSheetId="109">#REF!</definedName>
    <definedName name="объем___2___0" localSheetId="108">#REF!</definedName>
    <definedName name="объем___2___0" localSheetId="6">#REF!</definedName>
    <definedName name="объем___2___0" localSheetId="9">#REF!</definedName>
    <definedName name="объем___2___0" localSheetId="7">#REF!</definedName>
    <definedName name="объем___2___0" localSheetId="92">#REF!</definedName>
    <definedName name="объем___2___0" localSheetId="93">#REF!</definedName>
    <definedName name="объем___2___0" localSheetId="94">#REF!</definedName>
    <definedName name="объем___2___0" localSheetId="99">#REF!</definedName>
    <definedName name="объем___2___0" localSheetId="100">#REF!</definedName>
    <definedName name="объем___2___0" localSheetId="106">#REF!</definedName>
    <definedName name="объем___2___0">#REF!</definedName>
    <definedName name="объем___2___0___0" localSheetId="10">#REF!</definedName>
    <definedName name="объем___2___0___0" localSheetId="12">#REF!</definedName>
    <definedName name="объем___2___0___0" localSheetId="116">#REF!</definedName>
    <definedName name="объем___2___0___0" localSheetId="110">#REF!</definedName>
    <definedName name="объем___2___0___0" localSheetId="109">#REF!</definedName>
    <definedName name="объем___2___0___0" localSheetId="108">#REF!</definedName>
    <definedName name="объем___2___0___0" localSheetId="9">#REF!</definedName>
    <definedName name="объем___2___0___0" localSheetId="92">#REF!</definedName>
    <definedName name="объем___2___0___0" localSheetId="93">#REF!</definedName>
    <definedName name="объем___2___0___0" localSheetId="94">#REF!</definedName>
    <definedName name="объем___2___0___0" localSheetId="99">#REF!</definedName>
    <definedName name="объем___2___0___0" localSheetId="100">#REF!</definedName>
    <definedName name="объем___2___0___0" localSheetId="106">#REF!</definedName>
    <definedName name="объем___2___0___0">#REF!</definedName>
    <definedName name="объем___2___0___0___0" localSheetId="10">#REF!</definedName>
    <definedName name="объем___2___0___0___0" localSheetId="12">#REF!</definedName>
    <definedName name="объем___2___0___0___0" localSheetId="110">#REF!</definedName>
    <definedName name="объем___2___0___0___0" localSheetId="9">#REF!</definedName>
    <definedName name="объем___2___0___0___0">#REF!</definedName>
    <definedName name="объем___2___0___0___0___0" localSheetId="10">#REF!</definedName>
    <definedName name="объем___2___0___0___0___0" localSheetId="9">#REF!</definedName>
    <definedName name="объем___2___0___0___0___0">#REF!</definedName>
    <definedName name="объем___2___0___0___0___0_1" localSheetId="10">#REF!</definedName>
    <definedName name="объем___2___0___0___0___0_1" localSheetId="9">#REF!</definedName>
    <definedName name="объем___2___0___0___0___0_1">#REF!</definedName>
    <definedName name="объем___2___0___0___0_1" localSheetId="10">#REF!</definedName>
    <definedName name="объем___2___0___0___0_1" localSheetId="9">#REF!</definedName>
    <definedName name="объем___2___0___0___0_1">#REF!</definedName>
    <definedName name="объем___2___0___0___1" localSheetId="10">#REF!</definedName>
    <definedName name="объем___2___0___0___1" localSheetId="9">#REF!</definedName>
    <definedName name="объем___2___0___0___1">#REF!</definedName>
    <definedName name="объем___2___0___0___1_1" localSheetId="10">#REF!</definedName>
    <definedName name="объем___2___0___0___1_1" localSheetId="9">#REF!</definedName>
    <definedName name="объем___2___0___0___1_1">#REF!</definedName>
    <definedName name="объем___2___0___0___5" localSheetId="10">#REF!</definedName>
    <definedName name="объем___2___0___0___5" localSheetId="9">#REF!</definedName>
    <definedName name="объем___2___0___0___5">#REF!</definedName>
    <definedName name="объем___2___0___0___5_1" localSheetId="10">#REF!</definedName>
    <definedName name="объем___2___0___0___5_1" localSheetId="9">#REF!</definedName>
    <definedName name="объем___2___0___0___5_1">#REF!</definedName>
    <definedName name="объем___2___0___0_1" localSheetId="10">#REF!</definedName>
    <definedName name="объем___2___0___0_1" localSheetId="9">#REF!</definedName>
    <definedName name="объем___2___0___0_1">#REF!</definedName>
    <definedName name="объем___2___0___0_1_1" localSheetId="10">#REF!</definedName>
    <definedName name="объем___2___0___0_1_1" localSheetId="9">#REF!</definedName>
    <definedName name="объем___2___0___0_1_1">#REF!</definedName>
    <definedName name="объем___2___0___0_1_1_1" localSheetId="10">#REF!</definedName>
    <definedName name="объем___2___0___0_1_1_1" localSheetId="9">#REF!</definedName>
    <definedName name="объем___2___0___0_1_1_1">#REF!</definedName>
    <definedName name="объем___2___0___0_5" localSheetId="10">#REF!</definedName>
    <definedName name="объем___2___0___0_5" localSheetId="9">#REF!</definedName>
    <definedName name="объем___2___0___0_5">#REF!</definedName>
    <definedName name="объем___2___0___0_5_1" localSheetId="10">#REF!</definedName>
    <definedName name="объем___2___0___0_5_1" localSheetId="9">#REF!</definedName>
    <definedName name="объем___2___0___0_5_1">#REF!</definedName>
    <definedName name="объем___2___0___1" localSheetId="10">#REF!</definedName>
    <definedName name="объем___2___0___1" localSheetId="9">#REF!</definedName>
    <definedName name="объем___2___0___1">#REF!</definedName>
    <definedName name="объем___2___0___1_1" localSheetId="10">#REF!</definedName>
    <definedName name="объем___2___0___1_1" localSheetId="9">#REF!</definedName>
    <definedName name="объем___2___0___1_1">#REF!</definedName>
    <definedName name="объем___2___0___5" localSheetId="10">#REF!</definedName>
    <definedName name="объем___2___0___5" localSheetId="9">#REF!</definedName>
    <definedName name="объем___2___0___5">#REF!</definedName>
    <definedName name="объем___2___0___5_1" localSheetId="10">#REF!</definedName>
    <definedName name="объем___2___0___5_1" localSheetId="9">#REF!</definedName>
    <definedName name="объем___2___0___5_1">#REF!</definedName>
    <definedName name="объем___2___0_1" localSheetId="10">#REF!</definedName>
    <definedName name="объем___2___0_1" localSheetId="9">#REF!</definedName>
    <definedName name="объем___2___0_1">#REF!</definedName>
    <definedName name="объем___2___0_1_1" localSheetId="10">#REF!</definedName>
    <definedName name="объем___2___0_1_1" localSheetId="9">#REF!</definedName>
    <definedName name="объем___2___0_1_1">#REF!</definedName>
    <definedName name="объем___2___0_1_1_1" localSheetId="10">#REF!</definedName>
    <definedName name="объем___2___0_1_1_1" localSheetId="9">#REF!</definedName>
    <definedName name="объем___2___0_1_1_1">#REF!</definedName>
    <definedName name="объем___2___0_3" localSheetId="10">#REF!</definedName>
    <definedName name="объем___2___0_3" localSheetId="9">#REF!</definedName>
    <definedName name="объем___2___0_3">#REF!</definedName>
    <definedName name="объем___2___0_3_1" localSheetId="10">#REF!</definedName>
    <definedName name="объем___2___0_3_1" localSheetId="9">#REF!</definedName>
    <definedName name="объем___2___0_3_1">#REF!</definedName>
    <definedName name="объем___2___0_5" localSheetId="10">#REF!</definedName>
    <definedName name="объем___2___0_5" localSheetId="9">#REF!</definedName>
    <definedName name="объем___2___0_5">#REF!</definedName>
    <definedName name="объем___2___0_5_1" localSheetId="10">#REF!</definedName>
    <definedName name="объем___2___0_5_1" localSheetId="9">#REF!</definedName>
    <definedName name="объем___2___0_5_1">#REF!</definedName>
    <definedName name="объем___2___1" localSheetId="10">#REF!</definedName>
    <definedName name="объем___2___1" localSheetId="12">#REF!</definedName>
    <definedName name="объем___2___1" localSheetId="110">#REF!</definedName>
    <definedName name="объем___2___1" localSheetId="9">#REF!</definedName>
    <definedName name="объем___2___1">#REF!</definedName>
    <definedName name="объем___2___1_1" localSheetId="10">#REF!</definedName>
    <definedName name="объем___2___1_1" localSheetId="9">#REF!</definedName>
    <definedName name="объем___2___1_1">#REF!</definedName>
    <definedName name="объем___2___10" localSheetId="10">#REF!</definedName>
    <definedName name="объем___2___10" localSheetId="12">#REF!</definedName>
    <definedName name="объем___2___10" localSheetId="110">#REF!</definedName>
    <definedName name="объем___2___10" localSheetId="9">#REF!</definedName>
    <definedName name="объем___2___10">#REF!</definedName>
    <definedName name="объем___2___10_1" localSheetId="10">#REF!</definedName>
    <definedName name="объем___2___10_1" localSheetId="9">#REF!</definedName>
    <definedName name="объем___2___10_1">#REF!</definedName>
    <definedName name="объем___2___12" localSheetId="10">#REF!</definedName>
    <definedName name="объем___2___12" localSheetId="12">#REF!</definedName>
    <definedName name="объем___2___12" localSheetId="110">#REF!</definedName>
    <definedName name="объем___2___12" localSheetId="9">#REF!</definedName>
    <definedName name="объем___2___12">#REF!</definedName>
    <definedName name="объем___2___2" localSheetId="10">#REF!</definedName>
    <definedName name="объем___2___2" localSheetId="12">#REF!</definedName>
    <definedName name="объем___2___2" localSheetId="110">#REF!</definedName>
    <definedName name="объем___2___2" localSheetId="9">#REF!</definedName>
    <definedName name="объем___2___2">#REF!</definedName>
    <definedName name="объем___2___2_1" localSheetId="10">#REF!</definedName>
    <definedName name="объем___2___2_1" localSheetId="9">#REF!</definedName>
    <definedName name="объем___2___2_1">#REF!</definedName>
    <definedName name="объем___2___3" localSheetId="10">#REF!</definedName>
    <definedName name="объем___2___3" localSheetId="12">#REF!</definedName>
    <definedName name="объем___2___3" localSheetId="110">#REF!</definedName>
    <definedName name="объем___2___3" localSheetId="9">#REF!</definedName>
    <definedName name="объем___2___3">#REF!</definedName>
    <definedName name="объем___2___4" localSheetId="10">#REF!</definedName>
    <definedName name="объем___2___4" localSheetId="12">#REF!</definedName>
    <definedName name="объем___2___4" localSheetId="110">#REF!</definedName>
    <definedName name="объем___2___4" localSheetId="9">#REF!</definedName>
    <definedName name="объем___2___4">#REF!</definedName>
    <definedName name="объем___2___4___0" localSheetId="10">#REF!</definedName>
    <definedName name="объем___2___4___0" localSheetId="9">#REF!</definedName>
    <definedName name="объем___2___4___0">#REF!</definedName>
    <definedName name="объем___2___4___0_1" localSheetId="10">#REF!</definedName>
    <definedName name="объем___2___4___0_1" localSheetId="9">#REF!</definedName>
    <definedName name="объем___2___4___0_1">#REF!</definedName>
    <definedName name="объем___2___4___5" localSheetId="10">#REF!</definedName>
    <definedName name="объем___2___4___5" localSheetId="9">#REF!</definedName>
    <definedName name="объем___2___4___5">#REF!</definedName>
    <definedName name="объем___2___4___5_1" localSheetId="10">#REF!</definedName>
    <definedName name="объем___2___4___5_1" localSheetId="9">#REF!</definedName>
    <definedName name="объем___2___4___5_1">#REF!</definedName>
    <definedName name="объем___2___4_1" localSheetId="10">#REF!</definedName>
    <definedName name="объем___2___4_1" localSheetId="9">#REF!</definedName>
    <definedName name="объем___2___4_1">#REF!</definedName>
    <definedName name="объем___2___4_1_1" localSheetId="10">#REF!</definedName>
    <definedName name="объем___2___4_1_1" localSheetId="9">#REF!</definedName>
    <definedName name="объем___2___4_1_1">#REF!</definedName>
    <definedName name="объем___2___4_1_1_1" localSheetId="10">#REF!</definedName>
    <definedName name="объем___2___4_1_1_1" localSheetId="9">#REF!</definedName>
    <definedName name="объем___2___4_1_1_1">#REF!</definedName>
    <definedName name="объем___2___4_3" localSheetId="10">#REF!</definedName>
    <definedName name="объем___2___4_3" localSheetId="9">#REF!</definedName>
    <definedName name="объем___2___4_3">#REF!</definedName>
    <definedName name="объем___2___4_3_1" localSheetId="10">#REF!</definedName>
    <definedName name="объем___2___4_3_1" localSheetId="9">#REF!</definedName>
    <definedName name="объем___2___4_3_1">#REF!</definedName>
    <definedName name="объем___2___4_5" localSheetId="10">#REF!</definedName>
    <definedName name="объем___2___4_5" localSheetId="9">#REF!</definedName>
    <definedName name="объем___2___4_5">#REF!</definedName>
    <definedName name="объем___2___4_5_1" localSheetId="10">#REF!</definedName>
    <definedName name="объем___2___4_5_1" localSheetId="9">#REF!</definedName>
    <definedName name="объем___2___4_5_1">#REF!</definedName>
    <definedName name="объем___2___5" localSheetId="10">#REF!</definedName>
    <definedName name="объем___2___5" localSheetId="9">#REF!</definedName>
    <definedName name="объем___2___5">#REF!</definedName>
    <definedName name="объем___2___5_1" localSheetId="10">#REF!</definedName>
    <definedName name="объем___2___5_1" localSheetId="9">#REF!</definedName>
    <definedName name="объем___2___5_1">#REF!</definedName>
    <definedName name="объем___2___6" localSheetId="10">#REF!</definedName>
    <definedName name="объем___2___6" localSheetId="12">#REF!</definedName>
    <definedName name="объем___2___6" localSheetId="110">#REF!</definedName>
    <definedName name="объем___2___6" localSheetId="9">#REF!</definedName>
    <definedName name="объем___2___6">#REF!</definedName>
    <definedName name="объем___2___6_1" localSheetId="10">#REF!</definedName>
    <definedName name="объем___2___6_1" localSheetId="9">#REF!</definedName>
    <definedName name="объем___2___6_1">#REF!</definedName>
    <definedName name="объем___2___8" localSheetId="10">#REF!</definedName>
    <definedName name="объем___2___8" localSheetId="12">#REF!</definedName>
    <definedName name="объем___2___8" localSheetId="110">#REF!</definedName>
    <definedName name="объем___2___8" localSheetId="9">#REF!</definedName>
    <definedName name="объем___2___8">#REF!</definedName>
    <definedName name="объем___2___8_1" localSheetId="10">#REF!</definedName>
    <definedName name="объем___2___8_1" localSheetId="9">#REF!</definedName>
    <definedName name="объем___2___8_1">#REF!</definedName>
    <definedName name="объем___2_1" localSheetId="10">#REF!</definedName>
    <definedName name="объем___2_1" localSheetId="9">#REF!</definedName>
    <definedName name="объем___2_1">#REF!</definedName>
    <definedName name="объем___2_1_1" localSheetId="10">#REF!</definedName>
    <definedName name="объем___2_1_1" localSheetId="9">#REF!</definedName>
    <definedName name="объем___2_1_1">#REF!</definedName>
    <definedName name="объем___2_1_1_1" localSheetId="10">#REF!</definedName>
    <definedName name="объем___2_1_1_1" localSheetId="9">#REF!</definedName>
    <definedName name="объем___2_1_1_1">#REF!</definedName>
    <definedName name="объем___2_3" localSheetId="10">#REF!</definedName>
    <definedName name="объем___2_3" localSheetId="9">#REF!</definedName>
    <definedName name="объем___2_3">#REF!</definedName>
    <definedName name="объем___2_3_1" localSheetId="10">#REF!</definedName>
    <definedName name="объем___2_3_1" localSheetId="9">#REF!</definedName>
    <definedName name="объем___2_3_1">#REF!</definedName>
    <definedName name="объем___2_5" localSheetId="10">#REF!</definedName>
    <definedName name="объем___2_5" localSheetId="9">#REF!</definedName>
    <definedName name="объем___2_5">#REF!</definedName>
    <definedName name="объем___2_5_1" localSheetId="10">#REF!</definedName>
    <definedName name="объем___2_5_1" localSheetId="9">#REF!</definedName>
    <definedName name="объем___2_5_1">#REF!</definedName>
    <definedName name="объем___3" localSheetId="10">#REF!</definedName>
    <definedName name="объем___3" localSheetId="12">#REF!</definedName>
    <definedName name="объем___3" localSheetId="110">#REF!</definedName>
    <definedName name="объем___3" localSheetId="9">#REF!</definedName>
    <definedName name="объем___3">#REF!</definedName>
    <definedName name="объем___3___0" localSheetId="10">#REF!</definedName>
    <definedName name="объем___3___0" localSheetId="12">#REF!</definedName>
    <definedName name="объем___3___0" localSheetId="110">#REF!</definedName>
    <definedName name="объем___3___0" localSheetId="9">#REF!</definedName>
    <definedName name="объем___3___0">#REF!</definedName>
    <definedName name="объем___3___0___0">NA()</definedName>
    <definedName name="объем___3___0___0___0">NA()</definedName>
    <definedName name="объем___3___0___1">NA()</definedName>
    <definedName name="объем___3___0___5" localSheetId="10">#REF!</definedName>
    <definedName name="объем___3___0___5" localSheetId="9">#REF!</definedName>
    <definedName name="объем___3___0___5">#REF!</definedName>
    <definedName name="объем___3___0___5_1" localSheetId="10">#REF!</definedName>
    <definedName name="объем___3___0___5_1" localSheetId="9">#REF!</definedName>
    <definedName name="объем___3___0___5_1">#REF!</definedName>
    <definedName name="объем___3___0_1" localSheetId="10">#REF!</definedName>
    <definedName name="объем___3___0_1" localSheetId="9">#REF!</definedName>
    <definedName name="объем___3___0_1">#REF!</definedName>
    <definedName name="объем___3___0_1_1">NA()</definedName>
    <definedName name="объем___3___0_3" localSheetId="10">#REF!</definedName>
    <definedName name="объем___3___0_3" localSheetId="9">#REF!</definedName>
    <definedName name="объем___3___0_3">#REF!</definedName>
    <definedName name="объем___3___0_3_1" localSheetId="10">#REF!</definedName>
    <definedName name="объем___3___0_3_1" localSheetId="9">#REF!</definedName>
    <definedName name="объем___3___0_3_1">#REF!</definedName>
    <definedName name="объем___3___0_5" localSheetId="10">#REF!</definedName>
    <definedName name="объем___3___0_5" localSheetId="9">#REF!</definedName>
    <definedName name="объем___3___0_5">#REF!</definedName>
    <definedName name="объем___3___0_5_1" localSheetId="10">#REF!</definedName>
    <definedName name="объем___3___0_5_1" localSheetId="9">#REF!</definedName>
    <definedName name="объем___3___0_5_1">#REF!</definedName>
    <definedName name="объем___3___10" localSheetId="10">#REF!</definedName>
    <definedName name="объем___3___10" localSheetId="12">#REF!</definedName>
    <definedName name="объем___3___10" localSheetId="116">#REF!</definedName>
    <definedName name="объем___3___10" localSheetId="110">#REF!</definedName>
    <definedName name="объем___3___10" localSheetId="109">#REF!</definedName>
    <definedName name="объем___3___10" localSheetId="108">#REF!</definedName>
    <definedName name="объем___3___10" localSheetId="9">#REF!</definedName>
    <definedName name="объем___3___10" localSheetId="7">#REF!</definedName>
    <definedName name="объем___3___10" localSheetId="92">#REF!</definedName>
    <definedName name="объем___3___10" localSheetId="93">#REF!</definedName>
    <definedName name="объем___3___10" localSheetId="94">#REF!</definedName>
    <definedName name="объем___3___10" localSheetId="99">#REF!</definedName>
    <definedName name="объем___3___10" localSheetId="100">#REF!</definedName>
    <definedName name="объем___3___10" localSheetId="106">#REF!</definedName>
    <definedName name="объем___3___10">#REF!</definedName>
    <definedName name="объем___3___2" localSheetId="10">#REF!</definedName>
    <definedName name="объем___3___2" localSheetId="12">#REF!</definedName>
    <definedName name="объем___3___2" localSheetId="116">#REF!</definedName>
    <definedName name="объем___3___2" localSheetId="110">#REF!</definedName>
    <definedName name="объем___3___2" localSheetId="109">#REF!</definedName>
    <definedName name="объем___3___2" localSheetId="108">#REF!</definedName>
    <definedName name="объем___3___2" localSheetId="9">#REF!</definedName>
    <definedName name="объем___3___2" localSheetId="92">#REF!</definedName>
    <definedName name="объем___3___2" localSheetId="93">#REF!</definedName>
    <definedName name="объем___3___2" localSheetId="94">#REF!</definedName>
    <definedName name="объем___3___2" localSheetId="99">#REF!</definedName>
    <definedName name="объем___3___2" localSheetId="100">#REF!</definedName>
    <definedName name="объем___3___2" localSheetId="106">#REF!</definedName>
    <definedName name="объем___3___2">#REF!</definedName>
    <definedName name="объем___3___2_1" localSheetId="10">#REF!</definedName>
    <definedName name="объем___3___2_1" localSheetId="9">#REF!</definedName>
    <definedName name="объем___3___2_1">#REF!</definedName>
    <definedName name="объем___3___3" localSheetId="10">#REF!</definedName>
    <definedName name="объем___3___3" localSheetId="12">#REF!</definedName>
    <definedName name="объем___3___3" localSheetId="116">#REF!</definedName>
    <definedName name="объем___3___3" localSheetId="110">#REF!</definedName>
    <definedName name="объем___3___3" localSheetId="109">#REF!</definedName>
    <definedName name="объем___3___3" localSheetId="108">#REF!</definedName>
    <definedName name="объем___3___3" localSheetId="9">#REF!</definedName>
    <definedName name="объем___3___3" localSheetId="92">#REF!</definedName>
    <definedName name="объем___3___3" localSheetId="93">#REF!</definedName>
    <definedName name="объем___3___3" localSheetId="94">#REF!</definedName>
    <definedName name="объем___3___3" localSheetId="99">#REF!</definedName>
    <definedName name="объем___3___3" localSheetId="100">#REF!</definedName>
    <definedName name="объем___3___3" localSheetId="106">#REF!</definedName>
    <definedName name="объем___3___3">#REF!</definedName>
    <definedName name="объем___3___3_1" localSheetId="10">#REF!</definedName>
    <definedName name="объем___3___3_1" localSheetId="9">#REF!</definedName>
    <definedName name="объем___3___3_1">#REF!</definedName>
    <definedName name="объем___3___4" localSheetId="10">#REF!</definedName>
    <definedName name="объем___3___4" localSheetId="12">#REF!</definedName>
    <definedName name="объем___3___4" localSheetId="110">#REF!</definedName>
    <definedName name="объем___3___4" localSheetId="9">#REF!</definedName>
    <definedName name="объем___3___4">#REF!</definedName>
    <definedName name="объем___3___5" localSheetId="10">#REF!</definedName>
    <definedName name="объем___3___5" localSheetId="9">#REF!</definedName>
    <definedName name="объем___3___5">#REF!</definedName>
    <definedName name="объем___3___5_1" localSheetId="10">#REF!</definedName>
    <definedName name="объем___3___5_1" localSheetId="9">#REF!</definedName>
    <definedName name="объем___3___5_1">#REF!</definedName>
    <definedName name="объем___3___6" localSheetId="10">#REF!</definedName>
    <definedName name="объем___3___6" localSheetId="12">#REF!</definedName>
    <definedName name="объем___3___6" localSheetId="110">#REF!</definedName>
    <definedName name="объем___3___6" localSheetId="9">#REF!</definedName>
    <definedName name="объем___3___6">#REF!</definedName>
    <definedName name="объем___3___8" localSheetId="10">#REF!</definedName>
    <definedName name="объем___3___8" localSheetId="12">#REF!</definedName>
    <definedName name="объем___3___8" localSheetId="110">#REF!</definedName>
    <definedName name="объем___3___8" localSheetId="9">#REF!</definedName>
    <definedName name="объем___3___8">#REF!</definedName>
    <definedName name="объем___3_1" localSheetId="10">#REF!</definedName>
    <definedName name="объем___3_1" localSheetId="9">#REF!</definedName>
    <definedName name="объем___3_1">#REF!</definedName>
    <definedName name="объем___3_1_1" localSheetId="10">#REF!</definedName>
    <definedName name="объем___3_1_1" localSheetId="9">#REF!</definedName>
    <definedName name="объем___3_1_1">#REF!</definedName>
    <definedName name="объем___3_1_1_1" localSheetId="10">#REF!</definedName>
    <definedName name="объем___3_1_1_1" localSheetId="9">#REF!</definedName>
    <definedName name="объем___3_1_1_1">#REF!</definedName>
    <definedName name="объем___3_3">NA()</definedName>
    <definedName name="объем___3_5" localSheetId="10">#REF!</definedName>
    <definedName name="объем___3_5" localSheetId="9">#REF!</definedName>
    <definedName name="объем___3_5">#REF!</definedName>
    <definedName name="объем___3_5_1" localSheetId="10">#REF!</definedName>
    <definedName name="объем___3_5_1" localSheetId="9">#REF!</definedName>
    <definedName name="объем___3_5_1">#REF!</definedName>
    <definedName name="объем___4" localSheetId="10">#REF!</definedName>
    <definedName name="объем___4" localSheetId="12">#REF!</definedName>
    <definedName name="объем___4" localSheetId="8">#REF!</definedName>
    <definedName name="объем___4" localSheetId="11">#REF!</definedName>
    <definedName name="объем___4" localSheetId="110">#REF!</definedName>
    <definedName name="объем___4" localSheetId="6">#REF!</definedName>
    <definedName name="объем___4" localSheetId="9">#REF!</definedName>
    <definedName name="объем___4" localSheetId="7">#REF!</definedName>
    <definedName name="объем___4">#REF!</definedName>
    <definedName name="объем___4___0">NA()</definedName>
    <definedName name="объем___4___0___0" localSheetId="10">#REF!</definedName>
    <definedName name="объем___4___0___0" localSheetId="12">#REF!</definedName>
    <definedName name="объем___4___0___0" localSheetId="116">#REF!</definedName>
    <definedName name="объем___4___0___0" localSheetId="8">#REF!</definedName>
    <definedName name="объем___4___0___0" localSheetId="11">#REF!</definedName>
    <definedName name="объем___4___0___0" localSheetId="110">#REF!</definedName>
    <definedName name="объем___4___0___0" localSheetId="109">#REF!</definedName>
    <definedName name="объем___4___0___0" localSheetId="108">#REF!</definedName>
    <definedName name="объем___4___0___0" localSheetId="6">#REF!</definedName>
    <definedName name="объем___4___0___0" localSheetId="9">#REF!</definedName>
    <definedName name="объем___4___0___0" localSheetId="7">#REF!</definedName>
    <definedName name="объем___4___0___0" localSheetId="92">#REF!</definedName>
    <definedName name="объем___4___0___0" localSheetId="93">#REF!</definedName>
    <definedName name="объем___4___0___0" localSheetId="94">#REF!</definedName>
    <definedName name="объем___4___0___0" localSheetId="99">#REF!</definedName>
    <definedName name="объем___4___0___0" localSheetId="100">#REF!</definedName>
    <definedName name="объем___4___0___0" localSheetId="106">#REF!</definedName>
    <definedName name="объем___4___0___0">#REF!</definedName>
    <definedName name="объем___4___0___0___0" localSheetId="10">#REF!</definedName>
    <definedName name="объем___4___0___0___0" localSheetId="12">#REF!</definedName>
    <definedName name="объем___4___0___0___0" localSheetId="116">#REF!</definedName>
    <definedName name="объем___4___0___0___0" localSheetId="8">#REF!</definedName>
    <definedName name="объем___4___0___0___0" localSheetId="11">#REF!</definedName>
    <definedName name="объем___4___0___0___0" localSheetId="110">#REF!</definedName>
    <definedName name="объем___4___0___0___0" localSheetId="109">#REF!</definedName>
    <definedName name="объем___4___0___0___0" localSheetId="108">#REF!</definedName>
    <definedName name="объем___4___0___0___0" localSheetId="6">#REF!</definedName>
    <definedName name="объем___4___0___0___0" localSheetId="9">#REF!</definedName>
    <definedName name="объем___4___0___0___0" localSheetId="7">#REF!</definedName>
    <definedName name="объем___4___0___0___0" localSheetId="92">#REF!</definedName>
    <definedName name="объем___4___0___0___0" localSheetId="93">#REF!</definedName>
    <definedName name="объем___4___0___0___0" localSheetId="94">#REF!</definedName>
    <definedName name="объем___4___0___0___0" localSheetId="99">#REF!</definedName>
    <definedName name="объем___4___0___0___0" localSheetId="100">#REF!</definedName>
    <definedName name="объем___4___0___0___0" localSheetId="106">#REF!</definedName>
    <definedName name="объем___4___0___0___0">#REF!</definedName>
    <definedName name="объем___4___0___0___0___0" localSheetId="10">#REF!</definedName>
    <definedName name="объем___4___0___0___0___0" localSheetId="9">#REF!</definedName>
    <definedName name="объем___4___0___0___0___0">#REF!</definedName>
    <definedName name="объем___4___0___0___0___0_1" localSheetId="10">#REF!</definedName>
    <definedName name="объем___4___0___0___0___0_1" localSheetId="9">#REF!</definedName>
    <definedName name="объем___4___0___0___0___0_1">#REF!</definedName>
    <definedName name="объем___4___0___0___0_1" localSheetId="10">#REF!</definedName>
    <definedName name="объем___4___0___0___0_1" localSheetId="9">#REF!</definedName>
    <definedName name="объем___4___0___0___0_1">#REF!</definedName>
    <definedName name="объем___4___0___0___1" localSheetId="10">#REF!</definedName>
    <definedName name="объем___4___0___0___1" localSheetId="9">#REF!</definedName>
    <definedName name="объем___4___0___0___1">#REF!</definedName>
    <definedName name="объем___4___0___0___1_1" localSheetId="10">#REF!</definedName>
    <definedName name="объем___4___0___0___1_1" localSheetId="9">#REF!</definedName>
    <definedName name="объем___4___0___0___1_1">#REF!</definedName>
    <definedName name="объем___4___0___0___5" localSheetId="10">#REF!</definedName>
    <definedName name="объем___4___0___0___5" localSheetId="9">#REF!</definedName>
    <definedName name="объем___4___0___0___5">#REF!</definedName>
    <definedName name="объем___4___0___0___5_1" localSheetId="10">#REF!</definedName>
    <definedName name="объем___4___0___0___5_1" localSheetId="9">#REF!</definedName>
    <definedName name="объем___4___0___0___5_1">#REF!</definedName>
    <definedName name="объем___4___0___0_1" localSheetId="10">#REF!</definedName>
    <definedName name="объем___4___0___0_1" localSheetId="9">#REF!</definedName>
    <definedName name="объем___4___0___0_1">#REF!</definedName>
    <definedName name="объем___4___0___0_1_1" localSheetId="10">#REF!</definedName>
    <definedName name="объем___4___0___0_1_1" localSheetId="9">#REF!</definedName>
    <definedName name="объем___4___0___0_1_1">#REF!</definedName>
    <definedName name="объем___4___0___0_1_1_1" localSheetId="10">#REF!</definedName>
    <definedName name="объем___4___0___0_1_1_1" localSheetId="9">#REF!</definedName>
    <definedName name="объем___4___0___0_1_1_1">#REF!</definedName>
    <definedName name="объем___4___0___0_5" localSheetId="10">#REF!</definedName>
    <definedName name="объем___4___0___0_5" localSheetId="9">#REF!</definedName>
    <definedName name="объем___4___0___0_5">#REF!</definedName>
    <definedName name="объем___4___0___0_5_1" localSheetId="10">#REF!</definedName>
    <definedName name="объем___4___0___0_5_1" localSheetId="9">#REF!</definedName>
    <definedName name="объем___4___0___0_5_1">#REF!</definedName>
    <definedName name="объем___4___0___1" localSheetId="10">#REF!</definedName>
    <definedName name="объем___4___0___1" localSheetId="9">#REF!</definedName>
    <definedName name="объем___4___0___1">#REF!</definedName>
    <definedName name="объем___4___0___1_1" localSheetId="10">#REF!</definedName>
    <definedName name="объем___4___0___1_1" localSheetId="9">#REF!</definedName>
    <definedName name="объем___4___0___1_1">#REF!</definedName>
    <definedName name="объем___4___0___5">NA()</definedName>
    <definedName name="объем___4___0_1" localSheetId="10">#REF!</definedName>
    <definedName name="объем___4___0_1" localSheetId="9">#REF!</definedName>
    <definedName name="объем___4___0_1">#REF!</definedName>
    <definedName name="объем___4___0_1_1" localSheetId="10">#REF!</definedName>
    <definedName name="объем___4___0_1_1" localSheetId="9">#REF!</definedName>
    <definedName name="объем___4___0_1_1">#REF!</definedName>
    <definedName name="объем___4___0_1_1_1" localSheetId="10">#REF!</definedName>
    <definedName name="объем___4___0_1_1_1" localSheetId="9">#REF!</definedName>
    <definedName name="объем___4___0_1_1_1">#REF!</definedName>
    <definedName name="объем___4___0_3" localSheetId="10">#REF!</definedName>
    <definedName name="объем___4___0_3" localSheetId="9">#REF!</definedName>
    <definedName name="объем___4___0_3">#REF!</definedName>
    <definedName name="объем___4___0_3_1" localSheetId="10">#REF!</definedName>
    <definedName name="объем___4___0_3_1" localSheetId="9">#REF!</definedName>
    <definedName name="объем___4___0_3_1">#REF!</definedName>
    <definedName name="объем___4___0_5">NA()</definedName>
    <definedName name="объем___4___1" localSheetId="10">#REF!</definedName>
    <definedName name="объем___4___1" localSheetId="9">#REF!</definedName>
    <definedName name="объем___4___1">#REF!</definedName>
    <definedName name="объем___4___1_1" localSheetId="10">#REF!</definedName>
    <definedName name="объем___4___1_1" localSheetId="9">#REF!</definedName>
    <definedName name="объем___4___1_1">#REF!</definedName>
    <definedName name="объем___4___10" localSheetId="10">#REF!</definedName>
    <definedName name="объем___4___10" localSheetId="12">#REF!</definedName>
    <definedName name="объем___4___10" localSheetId="116">#REF!</definedName>
    <definedName name="объем___4___10" localSheetId="8">#REF!</definedName>
    <definedName name="объем___4___10" localSheetId="11">#REF!</definedName>
    <definedName name="объем___4___10" localSheetId="110">#REF!</definedName>
    <definedName name="объем___4___10" localSheetId="109">#REF!</definedName>
    <definedName name="объем___4___10" localSheetId="108">#REF!</definedName>
    <definedName name="объем___4___10" localSheetId="6">#REF!</definedName>
    <definedName name="объем___4___10" localSheetId="9">#REF!</definedName>
    <definedName name="объем___4___10" localSheetId="7">#REF!</definedName>
    <definedName name="объем___4___10" localSheetId="92">#REF!</definedName>
    <definedName name="объем___4___10" localSheetId="93">#REF!</definedName>
    <definedName name="объем___4___10" localSheetId="94">#REF!</definedName>
    <definedName name="объем___4___10" localSheetId="99">#REF!</definedName>
    <definedName name="объем___4___10" localSheetId="100">#REF!</definedName>
    <definedName name="объем___4___10" localSheetId="106">#REF!</definedName>
    <definedName name="объем___4___10">#REF!</definedName>
    <definedName name="объем___4___10_1" localSheetId="10">#REF!</definedName>
    <definedName name="объем___4___10_1" localSheetId="9">#REF!</definedName>
    <definedName name="объем___4___10_1">#REF!</definedName>
    <definedName name="объем___4___12" localSheetId="10">#REF!</definedName>
    <definedName name="объем___4___12" localSheetId="12">#REF!</definedName>
    <definedName name="объем___4___12" localSheetId="110">#REF!</definedName>
    <definedName name="объем___4___12" localSheetId="9">#REF!</definedName>
    <definedName name="объем___4___12">#REF!</definedName>
    <definedName name="объем___4___2" localSheetId="10">#REF!</definedName>
    <definedName name="объем___4___2" localSheetId="12">#REF!</definedName>
    <definedName name="объем___4___2" localSheetId="110">#REF!</definedName>
    <definedName name="объем___4___2" localSheetId="9">#REF!</definedName>
    <definedName name="объем___4___2">#REF!</definedName>
    <definedName name="объем___4___2_1" localSheetId="10">#REF!</definedName>
    <definedName name="объем___4___2_1" localSheetId="9">#REF!</definedName>
    <definedName name="объем___4___2_1">#REF!</definedName>
    <definedName name="объем___4___3" localSheetId="10">#REF!</definedName>
    <definedName name="объем___4___3" localSheetId="12">#REF!</definedName>
    <definedName name="объем___4___3" localSheetId="110">#REF!</definedName>
    <definedName name="объем___4___3" localSheetId="9">#REF!</definedName>
    <definedName name="объем___4___3">#REF!</definedName>
    <definedName name="объем___4___3_1" localSheetId="10">#REF!</definedName>
    <definedName name="объем___4___3_1" localSheetId="9">#REF!</definedName>
    <definedName name="объем___4___3_1">#REF!</definedName>
    <definedName name="объем___4___4" localSheetId="10">#REF!</definedName>
    <definedName name="объем___4___4" localSheetId="12">#REF!</definedName>
    <definedName name="объем___4___4" localSheetId="110">#REF!</definedName>
    <definedName name="объем___4___4" localSheetId="9">#REF!</definedName>
    <definedName name="объем___4___4">#REF!</definedName>
    <definedName name="объем___4___4_1" localSheetId="10">#REF!</definedName>
    <definedName name="объем___4___4_1" localSheetId="9">#REF!</definedName>
    <definedName name="объем___4___4_1">#REF!</definedName>
    <definedName name="объем___4___5" localSheetId="10">#REF!</definedName>
    <definedName name="объем___4___5" localSheetId="9">#REF!</definedName>
    <definedName name="объем___4___5">#REF!</definedName>
    <definedName name="объем___4___5_1" localSheetId="10">#REF!</definedName>
    <definedName name="объем___4___5_1" localSheetId="9">#REF!</definedName>
    <definedName name="объем___4___5_1">#REF!</definedName>
    <definedName name="объем___4___6" localSheetId="10">#REF!</definedName>
    <definedName name="объем___4___6" localSheetId="12">#REF!</definedName>
    <definedName name="объем___4___6" localSheetId="110">#REF!</definedName>
    <definedName name="объем___4___6" localSheetId="9">#REF!</definedName>
    <definedName name="объем___4___6">#REF!</definedName>
    <definedName name="объем___4___6_1" localSheetId="10">#REF!</definedName>
    <definedName name="объем___4___6_1" localSheetId="9">#REF!</definedName>
    <definedName name="объем___4___6_1">#REF!</definedName>
    <definedName name="объем___4___8" localSheetId="10">#REF!</definedName>
    <definedName name="объем___4___8" localSheetId="12">#REF!</definedName>
    <definedName name="объем___4___8" localSheetId="110">#REF!</definedName>
    <definedName name="объем___4___8" localSheetId="9">#REF!</definedName>
    <definedName name="объем___4___8">#REF!</definedName>
    <definedName name="объем___4___8_1" localSheetId="10">#REF!</definedName>
    <definedName name="объем___4___8_1" localSheetId="9">#REF!</definedName>
    <definedName name="объем___4___8_1">#REF!</definedName>
    <definedName name="объем___4_1" localSheetId="10">#REF!</definedName>
    <definedName name="объем___4_1" localSheetId="9">#REF!</definedName>
    <definedName name="объем___4_1">#REF!</definedName>
    <definedName name="объем___4_1_1" localSheetId="10">#REF!</definedName>
    <definedName name="объем___4_1_1" localSheetId="9">#REF!</definedName>
    <definedName name="объем___4_1_1">#REF!</definedName>
    <definedName name="объем___4_1_1_1" localSheetId="10">#REF!</definedName>
    <definedName name="объем___4_1_1_1" localSheetId="9">#REF!</definedName>
    <definedName name="объем___4_1_1_1">#REF!</definedName>
    <definedName name="объем___4_3" localSheetId="10">#REF!</definedName>
    <definedName name="объем___4_3" localSheetId="9">#REF!</definedName>
    <definedName name="объем___4_3">#REF!</definedName>
    <definedName name="объем___4_3_1" localSheetId="10">#REF!</definedName>
    <definedName name="объем___4_3_1" localSheetId="9">#REF!</definedName>
    <definedName name="объем___4_3_1">#REF!</definedName>
    <definedName name="объем___4_5" localSheetId="10">#REF!</definedName>
    <definedName name="объем___4_5" localSheetId="9">#REF!</definedName>
    <definedName name="объем___4_5">#REF!</definedName>
    <definedName name="объем___4_5_1" localSheetId="10">#REF!</definedName>
    <definedName name="объем___4_5_1" localSheetId="9">#REF!</definedName>
    <definedName name="объем___4_5_1">#REF!</definedName>
    <definedName name="объем___5">NA()</definedName>
    <definedName name="объем___5___0" localSheetId="10">#REF!</definedName>
    <definedName name="объем___5___0" localSheetId="12">#REF!</definedName>
    <definedName name="объем___5___0" localSheetId="116">#REF!</definedName>
    <definedName name="объем___5___0" localSheetId="8">#REF!</definedName>
    <definedName name="объем___5___0" localSheetId="11">#REF!</definedName>
    <definedName name="объем___5___0" localSheetId="110">#REF!</definedName>
    <definedName name="объем___5___0" localSheetId="109">#REF!</definedName>
    <definedName name="объем___5___0" localSheetId="108">#REF!</definedName>
    <definedName name="объем___5___0" localSheetId="6">#REF!</definedName>
    <definedName name="объем___5___0" localSheetId="9">#REF!</definedName>
    <definedName name="объем___5___0" localSheetId="7">#REF!</definedName>
    <definedName name="объем___5___0" localSheetId="92">#REF!</definedName>
    <definedName name="объем___5___0" localSheetId="93">#REF!</definedName>
    <definedName name="объем___5___0" localSheetId="94">#REF!</definedName>
    <definedName name="объем___5___0" localSheetId="99">#REF!</definedName>
    <definedName name="объем___5___0" localSheetId="100">#REF!</definedName>
    <definedName name="объем___5___0" localSheetId="106">#REF!</definedName>
    <definedName name="объем___5___0">#REF!</definedName>
    <definedName name="объем___5___0___0" localSheetId="10">#REF!</definedName>
    <definedName name="объем___5___0___0" localSheetId="12">#REF!</definedName>
    <definedName name="объем___5___0___0" localSheetId="116">#REF!</definedName>
    <definedName name="объем___5___0___0" localSheetId="8">#REF!</definedName>
    <definedName name="объем___5___0___0" localSheetId="11">#REF!</definedName>
    <definedName name="объем___5___0___0" localSheetId="110">#REF!</definedName>
    <definedName name="объем___5___0___0" localSheetId="109">#REF!</definedName>
    <definedName name="объем___5___0___0" localSheetId="108">#REF!</definedName>
    <definedName name="объем___5___0___0" localSheetId="6">#REF!</definedName>
    <definedName name="объем___5___0___0" localSheetId="9">#REF!</definedName>
    <definedName name="объем___5___0___0" localSheetId="7">#REF!</definedName>
    <definedName name="объем___5___0___0" localSheetId="92">#REF!</definedName>
    <definedName name="объем___5___0___0" localSheetId="93">#REF!</definedName>
    <definedName name="объем___5___0___0" localSheetId="94">#REF!</definedName>
    <definedName name="объем___5___0___0" localSheetId="99">#REF!</definedName>
    <definedName name="объем___5___0___0" localSheetId="100">#REF!</definedName>
    <definedName name="объем___5___0___0" localSheetId="106">#REF!</definedName>
    <definedName name="объем___5___0___0">#REF!</definedName>
    <definedName name="объем___5___0___0___0" localSheetId="10">#REF!</definedName>
    <definedName name="объем___5___0___0___0" localSheetId="12">#REF!</definedName>
    <definedName name="объем___5___0___0___0" localSheetId="116">#REF!</definedName>
    <definedName name="объем___5___0___0___0" localSheetId="110">#REF!</definedName>
    <definedName name="объем___5___0___0___0" localSheetId="109">#REF!</definedName>
    <definedName name="объем___5___0___0___0" localSheetId="108">#REF!</definedName>
    <definedName name="объем___5___0___0___0" localSheetId="9">#REF!</definedName>
    <definedName name="объем___5___0___0___0" localSheetId="92">#REF!</definedName>
    <definedName name="объем___5___0___0___0" localSheetId="93">#REF!</definedName>
    <definedName name="объем___5___0___0___0" localSheetId="94">#REF!</definedName>
    <definedName name="объем___5___0___0___0" localSheetId="99">#REF!</definedName>
    <definedName name="объем___5___0___0___0" localSheetId="100">#REF!</definedName>
    <definedName name="объем___5___0___0___0" localSheetId="106">#REF!</definedName>
    <definedName name="объем___5___0___0___0">#REF!</definedName>
    <definedName name="объем___5___0___0___0___0" localSheetId="10">#REF!</definedName>
    <definedName name="объем___5___0___0___0___0" localSheetId="9">#REF!</definedName>
    <definedName name="объем___5___0___0___0___0">#REF!</definedName>
    <definedName name="объем___5___0___0___0___0_1" localSheetId="10">#REF!</definedName>
    <definedName name="объем___5___0___0___0___0_1" localSheetId="9">#REF!</definedName>
    <definedName name="объем___5___0___0___0___0_1">#REF!</definedName>
    <definedName name="объем___5___0___0___0_1" localSheetId="10">#REF!</definedName>
    <definedName name="объем___5___0___0___0_1" localSheetId="9">#REF!</definedName>
    <definedName name="объем___5___0___0___0_1">#REF!</definedName>
    <definedName name="объем___5___0___0_1" localSheetId="10">#REF!</definedName>
    <definedName name="объем___5___0___0_1" localSheetId="9">#REF!</definedName>
    <definedName name="объем___5___0___0_1">#REF!</definedName>
    <definedName name="объем___5___0___1" localSheetId="10">#REF!</definedName>
    <definedName name="объем___5___0___1" localSheetId="9">#REF!</definedName>
    <definedName name="объем___5___0___1">#REF!</definedName>
    <definedName name="объем___5___0___1_1" localSheetId="10">#REF!</definedName>
    <definedName name="объем___5___0___1_1" localSheetId="9">#REF!</definedName>
    <definedName name="объем___5___0___1_1">#REF!</definedName>
    <definedName name="объем___5___0___5" localSheetId="10">#REF!</definedName>
    <definedName name="объем___5___0___5" localSheetId="9">#REF!</definedName>
    <definedName name="объем___5___0___5">#REF!</definedName>
    <definedName name="объем___5___0___5_1" localSheetId="10">#REF!</definedName>
    <definedName name="объем___5___0___5_1" localSheetId="9">#REF!</definedName>
    <definedName name="объем___5___0___5_1">#REF!</definedName>
    <definedName name="объем___5___0_1" localSheetId="10">#REF!</definedName>
    <definedName name="объем___5___0_1" localSheetId="9">#REF!</definedName>
    <definedName name="объем___5___0_1">#REF!</definedName>
    <definedName name="объем___5___0_1_1" localSheetId="10">#REF!</definedName>
    <definedName name="объем___5___0_1_1" localSheetId="9">#REF!</definedName>
    <definedName name="объем___5___0_1_1">#REF!</definedName>
    <definedName name="объем___5___0_1_1_1" localSheetId="10">#REF!</definedName>
    <definedName name="объем___5___0_1_1_1" localSheetId="9">#REF!</definedName>
    <definedName name="объем___5___0_1_1_1">#REF!</definedName>
    <definedName name="объем___5___0_3" localSheetId="10">#REF!</definedName>
    <definedName name="объем___5___0_3" localSheetId="9">#REF!</definedName>
    <definedName name="объем___5___0_3">#REF!</definedName>
    <definedName name="объем___5___0_3_1" localSheetId="10">#REF!</definedName>
    <definedName name="объем___5___0_3_1" localSheetId="9">#REF!</definedName>
    <definedName name="объем___5___0_3_1">#REF!</definedName>
    <definedName name="объем___5___0_5" localSheetId="10">#REF!</definedName>
    <definedName name="объем___5___0_5" localSheetId="9">#REF!</definedName>
    <definedName name="объем___5___0_5">#REF!</definedName>
    <definedName name="объем___5___0_5_1" localSheetId="10">#REF!</definedName>
    <definedName name="объем___5___0_5_1" localSheetId="9">#REF!</definedName>
    <definedName name="объем___5___0_5_1">#REF!</definedName>
    <definedName name="объем___5___1" localSheetId="10">#REF!</definedName>
    <definedName name="объем___5___1" localSheetId="9">#REF!</definedName>
    <definedName name="объем___5___1">#REF!</definedName>
    <definedName name="объем___5___1_1" localSheetId="10">#REF!</definedName>
    <definedName name="объем___5___1_1" localSheetId="9">#REF!</definedName>
    <definedName name="объем___5___1_1">#REF!</definedName>
    <definedName name="объем___5___3">NA()</definedName>
    <definedName name="объем___5___5">NA()</definedName>
    <definedName name="объем___5_1" localSheetId="10">#REF!</definedName>
    <definedName name="объем___5_1" localSheetId="9">#REF!</definedName>
    <definedName name="объем___5_1">#REF!</definedName>
    <definedName name="объем___5_1_1" localSheetId="10">#REF!</definedName>
    <definedName name="объем___5_1_1" localSheetId="9">#REF!</definedName>
    <definedName name="объем___5_1_1">#REF!</definedName>
    <definedName name="объем___5_1_1_1" localSheetId="10">#REF!</definedName>
    <definedName name="объем___5_1_1_1" localSheetId="9">#REF!</definedName>
    <definedName name="объем___5_1_1_1">#REF!</definedName>
    <definedName name="объем___5_3">NA()</definedName>
    <definedName name="объем___5_5">NA()</definedName>
    <definedName name="объем___6">NA()</definedName>
    <definedName name="объем___6___0" localSheetId="10">#REF!</definedName>
    <definedName name="объем___6___0" localSheetId="12">#REF!</definedName>
    <definedName name="объем___6___0" localSheetId="116">#REF!</definedName>
    <definedName name="объем___6___0" localSheetId="8">#REF!</definedName>
    <definedName name="объем___6___0" localSheetId="11">#REF!</definedName>
    <definedName name="объем___6___0" localSheetId="110">#REF!</definedName>
    <definedName name="объем___6___0" localSheetId="109">#REF!</definedName>
    <definedName name="объем___6___0" localSheetId="108">#REF!</definedName>
    <definedName name="объем___6___0" localSheetId="6">#REF!</definedName>
    <definedName name="объем___6___0" localSheetId="9">#REF!</definedName>
    <definedName name="объем___6___0" localSheetId="7">#REF!</definedName>
    <definedName name="объем___6___0" localSheetId="92">#REF!</definedName>
    <definedName name="объем___6___0" localSheetId="93">#REF!</definedName>
    <definedName name="объем___6___0" localSheetId="94">#REF!</definedName>
    <definedName name="объем___6___0" localSheetId="99">#REF!</definedName>
    <definedName name="объем___6___0" localSheetId="100">#REF!</definedName>
    <definedName name="объем___6___0" localSheetId="106">#REF!</definedName>
    <definedName name="объем___6___0">#REF!</definedName>
    <definedName name="объем___6___0___0" localSheetId="10">#REF!</definedName>
    <definedName name="объем___6___0___0" localSheetId="12">#REF!</definedName>
    <definedName name="объем___6___0___0" localSheetId="116">#REF!</definedName>
    <definedName name="объем___6___0___0" localSheetId="8">#REF!</definedName>
    <definedName name="объем___6___0___0" localSheetId="11">#REF!</definedName>
    <definedName name="объем___6___0___0" localSheetId="110">#REF!</definedName>
    <definedName name="объем___6___0___0" localSheetId="109">#REF!</definedName>
    <definedName name="объем___6___0___0" localSheetId="108">#REF!</definedName>
    <definedName name="объем___6___0___0" localSheetId="6">#REF!</definedName>
    <definedName name="объем___6___0___0" localSheetId="9">#REF!</definedName>
    <definedName name="объем___6___0___0" localSheetId="7">#REF!</definedName>
    <definedName name="объем___6___0___0" localSheetId="92">#REF!</definedName>
    <definedName name="объем___6___0___0" localSheetId="93">#REF!</definedName>
    <definedName name="объем___6___0___0" localSheetId="94">#REF!</definedName>
    <definedName name="объем___6___0___0" localSheetId="99">#REF!</definedName>
    <definedName name="объем___6___0___0" localSheetId="100">#REF!</definedName>
    <definedName name="объем___6___0___0" localSheetId="106">#REF!</definedName>
    <definedName name="объем___6___0___0">#REF!</definedName>
    <definedName name="объем___6___0___0___0" localSheetId="10">#REF!</definedName>
    <definedName name="объем___6___0___0___0" localSheetId="12">#REF!</definedName>
    <definedName name="объем___6___0___0___0" localSheetId="116">#REF!</definedName>
    <definedName name="объем___6___0___0___0" localSheetId="110">#REF!</definedName>
    <definedName name="объем___6___0___0___0" localSheetId="109">#REF!</definedName>
    <definedName name="объем___6___0___0___0" localSheetId="108">#REF!</definedName>
    <definedName name="объем___6___0___0___0" localSheetId="9">#REF!</definedName>
    <definedName name="объем___6___0___0___0" localSheetId="92">#REF!</definedName>
    <definedName name="объем___6___0___0___0" localSheetId="93">#REF!</definedName>
    <definedName name="объем___6___0___0___0" localSheetId="94">#REF!</definedName>
    <definedName name="объем___6___0___0___0" localSheetId="99">#REF!</definedName>
    <definedName name="объем___6___0___0___0" localSheetId="100">#REF!</definedName>
    <definedName name="объем___6___0___0___0" localSheetId="106">#REF!</definedName>
    <definedName name="объем___6___0___0___0">#REF!</definedName>
    <definedName name="объем___6___0___0___0___0" localSheetId="10">#REF!</definedName>
    <definedName name="объем___6___0___0___0___0" localSheetId="9">#REF!</definedName>
    <definedName name="объем___6___0___0___0___0">#REF!</definedName>
    <definedName name="объем___6___0___0___0___0_1" localSheetId="10">#REF!</definedName>
    <definedName name="объем___6___0___0___0___0_1" localSheetId="9">#REF!</definedName>
    <definedName name="объем___6___0___0___0___0_1">#REF!</definedName>
    <definedName name="объем___6___0___0___0_1" localSheetId="10">#REF!</definedName>
    <definedName name="объем___6___0___0___0_1" localSheetId="9">#REF!</definedName>
    <definedName name="объем___6___0___0___0_1">#REF!</definedName>
    <definedName name="объем___6___0___0_1" localSheetId="10">#REF!</definedName>
    <definedName name="объем___6___0___0_1" localSheetId="9">#REF!</definedName>
    <definedName name="объем___6___0___0_1">#REF!</definedName>
    <definedName name="объем___6___0___1" localSheetId="10">#REF!</definedName>
    <definedName name="объем___6___0___1" localSheetId="9">#REF!</definedName>
    <definedName name="объем___6___0___1">#REF!</definedName>
    <definedName name="объем___6___0___1_1" localSheetId="10">#REF!</definedName>
    <definedName name="объем___6___0___1_1" localSheetId="9">#REF!</definedName>
    <definedName name="объем___6___0___1_1">#REF!</definedName>
    <definedName name="объем___6___0___5" localSheetId="10">#REF!</definedName>
    <definedName name="объем___6___0___5" localSheetId="9">#REF!</definedName>
    <definedName name="объем___6___0___5">#REF!</definedName>
    <definedName name="объем___6___0___5_1" localSheetId="10">#REF!</definedName>
    <definedName name="объем___6___0___5_1" localSheetId="9">#REF!</definedName>
    <definedName name="объем___6___0___5_1">#REF!</definedName>
    <definedName name="объем___6___0_1" localSheetId="10">#REF!</definedName>
    <definedName name="объем___6___0_1" localSheetId="9">#REF!</definedName>
    <definedName name="объем___6___0_1">#REF!</definedName>
    <definedName name="объем___6___0_1_1" localSheetId="10">#REF!</definedName>
    <definedName name="объем___6___0_1_1" localSheetId="9">#REF!</definedName>
    <definedName name="объем___6___0_1_1">#REF!</definedName>
    <definedName name="объем___6___0_1_1_1" localSheetId="10">#REF!</definedName>
    <definedName name="объем___6___0_1_1_1" localSheetId="9">#REF!</definedName>
    <definedName name="объем___6___0_1_1_1">#REF!</definedName>
    <definedName name="объем___6___0_3" localSheetId="10">#REF!</definedName>
    <definedName name="объем___6___0_3" localSheetId="9">#REF!</definedName>
    <definedName name="объем___6___0_3">#REF!</definedName>
    <definedName name="объем___6___0_3_1" localSheetId="10">#REF!</definedName>
    <definedName name="объем___6___0_3_1" localSheetId="9">#REF!</definedName>
    <definedName name="объем___6___0_3_1">#REF!</definedName>
    <definedName name="объем___6___0_5" localSheetId="10">#REF!</definedName>
    <definedName name="объем___6___0_5" localSheetId="9">#REF!</definedName>
    <definedName name="объем___6___0_5">#REF!</definedName>
    <definedName name="объем___6___0_5_1" localSheetId="10">#REF!</definedName>
    <definedName name="объем___6___0_5_1" localSheetId="9">#REF!</definedName>
    <definedName name="объем___6___0_5_1">#REF!</definedName>
    <definedName name="объем___6___1" localSheetId="10">#REF!</definedName>
    <definedName name="объем___6___1" localSheetId="12">#REF!</definedName>
    <definedName name="объем___6___1" localSheetId="110">#REF!</definedName>
    <definedName name="объем___6___1" localSheetId="9">#REF!</definedName>
    <definedName name="объем___6___1">#REF!</definedName>
    <definedName name="объем___6___10" localSheetId="10">#REF!</definedName>
    <definedName name="объем___6___10" localSheetId="12">#REF!</definedName>
    <definedName name="объем___6___10" localSheetId="110">#REF!</definedName>
    <definedName name="объем___6___10" localSheetId="9">#REF!</definedName>
    <definedName name="объем___6___10">#REF!</definedName>
    <definedName name="объем___6___10_1" localSheetId="10">#REF!</definedName>
    <definedName name="объем___6___10_1" localSheetId="9">#REF!</definedName>
    <definedName name="объем___6___10_1">#REF!</definedName>
    <definedName name="объем___6___12" localSheetId="10">#REF!</definedName>
    <definedName name="объем___6___12" localSheetId="12">#REF!</definedName>
    <definedName name="объем___6___12" localSheetId="110">#REF!</definedName>
    <definedName name="объем___6___12" localSheetId="9">#REF!</definedName>
    <definedName name="объем___6___12">#REF!</definedName>
    <definedName name="объем___6___2" localSheetId="10">#REF!</definedName>
    <definedName name="объем___6___2" localSheetId="12">#REF!</definedName>
    <definedName name="объем___6___2" localSheetId="110">#REF!</definedName>
    <definedName name="объем___6___2" localSheetId="9">#REF!</definedName>
    <definedName name="объем___6___2">#REF!</definedName>
    <definedName name="объем___6___2_1" localSheetId="10">#REF!</definedName>
    <definedName name="объем___6___2_1" localSheetId="9">#REF!</definedName>
    <definedName name="объем___6___2_1">#REF!</definedName>
    <definedName name="объем___6___4" localSheetId="10">#REF!</definedName>
    <definedName name="объем___6___4" localSheetId="12">#REF!</definedName>
    <definedName name="объем___6___4" localSheetId="110">#REF!</definedName>
    <definedName name="объем___6___4" localSheetId="9">#REF!</definedName>
    <definedName name="объем___6___4">#REF!</definedName>
    <definedName name="объем___6___4_1" localSheetId="10">#REF!</definedName>
    <definedName name="объем___6___4_1" localSheetId="9">#REF!</definedName>
    <definedName name="объем___6___4_1">#REF!</definedName>
    <definedName name="объем___6___5">NA()</definedName>
    <definedName name="объем___6___6" localSheetId="10">#REF!</definedName>
    <definedName name="объем___6___6" localSheetId="12">#REF!</definedName>
    <definedName name="объем___6___6" localSheetId="8">#REF!</definedName>
    <definedName name="объем___6___6" localSheetId="11">#REF!</definedName>
    <definedName name="объем___6___6" localSheetId="110">#REF!</definedName>
    <definedName name="объем___6___6" localSheetId="6">#REF!</definedName>
    <definedName name="объем___6___6" localSheetId="9">#REF!</definedName>
    <definedName name="объем___6___6" localSheetId="7">#REF!</definedName>
    <definedName name="объем___6___6">#REF!</definedName>
    <definedName name="объем___6___6_1" localSheetId="10">#REF!</definedName>
    <definedName name="объем___6___6_1" localSheetId="9">#REF!</definedName>
    <definedName name="объем___6___6_1">#REF!</definedName>
    <definedName name="объем___6___8" localSheetId="10">#REF!</definedName>
    <definedName name="объем___6___8" localSheetId="12">#REF!</definedName>
    <definedName name="объем___6___8" localSheetId="110">#REF!</definedName>
    <definedName name="объем___6___8" localSheetId="9">#REF!</definedName>
    <definedName name="объем___6___8">#REF!</definedName>
    <definedName name="объем___6___8_1" localSheetId="10">#REF!</definedName>
    <definedName name="объем___6___8_1" localSheetId="9">#REF!</definedName>
    <definedName name="объем___6___8_1">#REF!</definedName>
    <definedName name="объем___6_1" localSheetId="10">#REF!</definedName>
    <definedName name="объем___6_1" localSheetId="9">#REF!</definedName>
    <definedName name="объем___6_1">#REF!</definedName>
    <definedName name="объем___6_1_1" localSheetId="10">#REF!</definedName>
    <definedName name="объем___6_1_1" localSheetId="9">#REF!</definedName>
    <definedName name="объем___6_1_1">#REF!</definedName>
    <definedName name="объем___6_1_1_1" localSheetId="10">#REF!</definedName>
    <definedName name="объем___6_1_1_1" localSheetId="9">#REF!</definedName>
    <definedName name="объем___6_1_1_1">#REF!</definedName>
    <definedName name="объем___6_3" localSheetId="10">#REF!</definedName>
    <definedName name="объем___6_3" localSheetId="9">#REF!</definedName>
    <definedName name="объем___6_3">#REF!</definedName>
    <definedName name="объем___6_3_1" localSheetId="10">#REF!</definedName>
    <definedName name="объем___6_3_1" localSheetId="9">#REF!</definedName>
    <definedName name="объем___6_3_1">#REF!</definedName>
    <definedName name="объем___6_5">NA()</definedName>
    <definedName name="объем___7" localSheetId="10">#REF!</definedName>
    <definedName name="объем___7" localSheetId="12">#REF!</definedName>
    <definedName name="объем___7" localSheetId="8">#REF!</definedName>
    <definedName name="объем___7" localSheetId="11">#REF!</definedName>
    <definedName name="объем___7" localSheetId="110">#REF!</definedName>
    <definedName name="объем___7" localSheetId="6">#REF!</definedName>
    <definedName name="объем___7" localSheetId="9">#REF!</definedName>
    <definedName name="объем___7" localSheetId="7">#REF!</definedName>
    <definedName name="объем___7">#REF!</definedName>
    <definedName name="объем___7___0" localSheetId="10">#REF!</definedName>
    <definedName name="объем___7___0" localSheetId="12">#REF!</definedName>
    <definedName name="объем___7___0" localSheetId="8">#REF!</definedName>
    <definedName name="объем___7___0" localSheetId="11">#REF!</definedName>
    <definedName name="объем___7___0" localSheetId="110">#REF!</definedName>
    <definedName name="объем___7___0" localSheetId="6">#REF!</definedName>
    <definedName name="объем___7___0" localSheetId="9">#REF!</definedName>
    <definedName name="объем___7___0" localSheetId="7">#REF!</definedName>
    <definedName name="объем___7___0">#REF!</definedName>
    <definedName name="объем___7___10" localSheetId="10">#REF!</definedName>
    <definedName name="объем___7___10" localSheetId="12">#REF!</definedName>
    <definedName name="объем___7___10" localSheetId="110">#REF!</definedName>
    <definedName name="объем___7___10" localSheetId="9">#REF!</definedName>
    <definedName name="объем___7___10">#REF!</definedName>
    <definedName name="объем___7___2" localSheetId="10">#REF!</definedName>
    <definedName name="объем___7___2" localSheetId="12">#REF!</definedName>
    <definedName name="объем___7___2" localSheetId="110">#REF!</definedName>
    <definedName name="объем___7___2" localSheetId="9">#REF!</definedName>
    <definedName name="объем___7___2">#REF!</definedName>
    <definedName name="объем___7___4" localSheetId="10">#REF!</definedName>
    <definedName name="объем___7___4" localSheetId="12">#REF!</definedName>
    <definedName name="объем___7___4" localSheetId="110">#REF!</definedName>
    <definedName name="объем___7___4" localSheetId="9">#REF!</definedName>
    <definedName name="объем___7___4">#REF!</definedName>
    <definedName name="объем___7___6" localSheetId="10">#REF!</definedName>
    <definedName name="объем___7___6" localSheetId="12">#REF!</definedName>
    <definedName name="объем___7___6" localSheetId="110">#REF!</definedName>
    <definedName name="объем___7___6" localSheetId="9">#REF!</definedName>
    <definedName name="объем___7___6">#REF!</definedName>
    <definedName name="объем___7___8" localSheetId="10">#REF!</definedName>
    <definedName name="объем___7___8" localSheetId="12">#REF!</definedName>
    <definedName name="объем___7___8" localSheetId="110">#REF!</definedName>
    <definedName name="объем___7___8" localSheetId="9">#REF!</definedName>
    <definedName name="объем___7___8">#REF!</definedName>
    <definedName name="объем___7_1" localSheetId="10">#REF!</definedName>
    <definedName name="объем___7_1" localSheetId="9">#REF!</definedName>
    <definedName name="объем___7_1">#REF!</definedName>
    <definedName name="объем___8" localSheetId="10">#REF!</definedName>
    <definedName name="объем___8" localSheetId="12">#REF!</definedName>
    <definedName name="объем___8" localSheetId="110">#REF!</definedName>
    <definedName name="объем___8" localSheetId="9">#REF!</definedName>
    <definedName name="объем___8">#REF!</definedName>
    <definedName name="объем___8___0" localSheetId="10">#REF!</definedName>
    <definedName name="объем___8___0" localSheetId="12">#REF!</definedName>
    <definedName name="объем___8___0" localSheetId="110">#REF!</definedName>
    <definedName name="объем___8___0" localSheetId="9">#REF!</definedName>
    <definedName name="объем___8___0">#REF!</definedName>
    <definedName name="объем___8___0___0" localSheetId="10">#REF!</definedName>
    <definedName name="объем___8___0___0" localSheetId="12">#REF!</definedName>
    <definedName name="объем___8___0___0" localSheetId="110">#REF!</definedName>
    <definedName name="объем___8___0___0" localSheetId="9">#REF!</definedName>
    <definedName name="объем___8___0___0">#REF!</definedName>
    <definedName name="объем___8___0___0___0" localSheetId="10">#REF!</definedName>
    <definedName name="объем___8___0___0___0" localSheetId="12">#REF!</definedName>
    <definedName name="объем___8___0___0___0" localSheetId="110">#REF!</definedName>
    <definedName name="объем___8___0___0___0" localSheetId="9">#REF!</definedName>
    <definedName name="объем___8___0___0___0">#REF!</definedName>
    <definedName name="объем___8___0___0___0___0" localSheetId="10">#REF!</definedName>
    <definedName name="объем___8___0___0___0___0" localSheetId="9">#REF!</definedName>
    <definedName name="объем___8___0___0___0___0">#REF!</definedName>
    <definedName name="объем___8___0___0___0___0_1" localSheetId="10">#REF!</definedName>
    <definedName name="объем___8___0___0___0___0_1" localSheetId="9">#REF!</definedName>
    <definedName name="объем___8___0___0___0___0_1">#REF!</definedName>
    <definedName name="объем___8___0___0___0_1" localSheetId="10">#REF!</definedName>
    <definedName name="объем___8___0___0___0_1" localSheetId="9">#REF!</definedName>
    <definedName name="объем___8___0___0___0_1">#REF!</definedName>
    <definedName name="объем___8___0___0_1" localSheetId="10">#REF!</definedName>
    <definedName name="объем___8___0___0_1" localSheetId="9">#REF!</definedName>
    <definedName name="объем___8___0___0_1">#REF!</definedName>
    <definedName name="объем___8___0___1" localSheetId="10">#REF!</definedName>
    <definedName name="объем___8___0___1" localSheetId="9">#REF!</definedName>
    <definedName name="объем___8___0___1">#REF!</definedName>
    <definedName name="объем___8___0___1_1" localSheetId="10">#REF!</definedName>
    <definedName name="объем___8___0___1_1" localSheetId="9">#REF!</definedName>
    <definedName name="объем___8___0___1_1">#REF!</definedName>
    <definedName name="объем___8___0___5" localSheetId="10">#REF!</definedName>
    <definedName name="объем___8___0___5" localSheetId="9">#REF!</definedName>
    <definedName name="объем___8___0___5">#REF!</definedName>
    <definedName name="объем___8___0___5_1" localSheetId="10">#REF!</definedName>
    <definedName name="объем___8___0___5_1" localSheetId="9">#REF!</definedName>
    <definedName name="объем___8___0___5_1">#REF!</definedName>
    <definedName name="объем___8___0_1" localSheetId="10">#REF!</definedName>
    <definedName name="объем___8___0_1" localSheetId="9">#REF!</definedName>
    <definedName name="объем___8___0_1">#REF!</definedName>
    <definedName name="объем___8___0_1_1" localSheetId="10">#REF!</definedName>
    <definedName name="объем___8___0_1_1" localSheetId="9">#REF!</definedName>
    <definedName name="объем___8___0_1_1">#REF!</definedName>
    <definedName name="объем___8___0_1_1_1" localSheetId="10">#REF!</definedName>
    <definedName name="объем___8___0_1_1_1" localSheetId="9">#REF!</definedName>
    <definedName name="объем___8___0_1_1_1">#REF!</definedName>
    <definedName name="объем___8___0_3" localSheetId="10">#REF!</definedName>
    <definedName name="объем___8___0_3" localSheetId="9">#REF!</definedName>
    <definedName name="объем___8___0_3">#REF!</definedName>
    <definedName name="объем___8___0_3_1" localSheetId="10">#REF!</definedName>
    <definedName name="объем___8___0_3_1" localSheetId="9">#REF!</definedName>
    <definedName name="объем___8___0_3_1">#REF!</definedName>
    <definedName name="объем___8___0_5" localSheetId="10">#REF!</definedName>
    <definedName name="объем___8___0_5" localSheetId="9">#REF!</definedName>
    <definedName name="объем___8___0_5">#REF!</definedName>
    <definedName name="объем___8___0_5_1" localSheetId="10">#REF!</definedName>
    <definedName name="объем___8___0_5_1" localSheetId="9">#REF!</definedName>
    <definedName name="объем___8___0_5_1">#REF!</definedName>
    <definedName name="объем___8___1" localSheetId="10">#REF!</definedName>
    <definedName name="объем___8___1" localSheetId="12">#REF!</definedName>
    <definedName name="объем___8___1" localSheetId="110">#REF!</definedName>
    <definedName name="объем___8___1" localSheetId="9">#REF!</definedName>
    <definedName name="объем___8___1">#REF!</definedName>
    <definedName name="объем___8___10" localSheetId="10">#REF!</definedName>
    <definedName name="объем___8___10" localSheetId="12">#REF!</definedName>
    <definedName name="объем___8___10" localSheetId="110">#REF!</definedName>
    <definedName name="объем___8___10" localSheetId="9">#REF!</definedName>
    <definedName name="объем___8___10">#REF!</definedName>
    <definedName name="объем___8___10_1" localSheetId="10">#REF!</definedName>
    <definedName name="объем___8___10_1" localSheetId="9">#REF!</definedName>
    <definedName name="объем___8___10_1">#REF!</definedName>
    <definedName name="объем___8___12" localSheetId="10">#REF!</definedName>
    <definedName name="объем___8___12" localSheetId="12">#REF!</definedName>
    <definedName name="объем___8___12" localSheetId="110">#REF!</definedName>
    <definedName name="объем___8___12" localSheetId="9">#REF!</definedName>
    <definedName name="объем___8___12">#REF!</definedName>
    <definedName name="объем___8___2" localSheetId="10">#REF!</definedName>
    <definedName name="объем___8___2" localSheetId="12">#REF!</definedName>
    <definedName name="объем___8___2" localSheetId="110">#REF!</definedName>
    <definedName name="объем___8___2" localSheetId="9">#REF!</definedName>
    <definedName name="объем___8___2">#REF!</definedName>
    <definedName name="объем___8___2_1" localSheetId="10">#REF!</definedName>
    <definedName name="объем___8___2_1" localSheetId="9">#REF!</definedName>
    <definedName name="объем___8___2_1">#REF!</definedName>
    <definedName name="объем___8___4" localSheetId="10">#REF!</definedName>
    <definedName name="объем___8___4" localSheetId="12">#REF!</definedName>
    <definedName name="объем___8___4" localSheetId="110">#REF!</definedName>
    <definedName name="объем___8___4" localSheetId="9">#REF!</definedName>
    <definedName name="объем___8___4">#REF!</definedName>
    <definedName name="объем___8___4_1" localSheetId="10">#REF!</definedName>
    <definedName name="объем___8___4_1" localSheetId="9">#REF!</definedName>
    <definedName name="объем___8___4_1">#REF!</definedName>
    <definedName name="объем___8___5" localSheetId="10">#REF!</definedName>
    <definedName name="объем___8___5" localSheetId="9">#REF!</definedName>
    <definedName name="объем___8___5">#REF!</definedName>
    <definedName name="объем___8___5_1" localSheetId="10">#REF!</definedName>
    <definedName name="объем___8___5_1" localSheetId="9">#REF!</definedName>
    <definedName name="объем___8___5_1">#REF!</definedName>
    <definedName name="объем___8___6" localSheetId="10">#REF!</definedName>
    <definedName name="объем___8___6" localSheetId="12">#REF!</definedName>
    <definedName name="объем___8___6" localSheetId="110">#REF!</definedName>
    <definedName name="объем___8___6" localSheetId="9">#REF!</definedName>
    <definedName name="объем___8___6">#REF!</definedName>
    <definedName name="объем___8___6_1" localSheetId="10">#REF!</definedName>
    <definedName name="объем___8___6_1" localSheetId="9">#REF!</definedName>
    <definedName name="объем___8___6_1">#REF!</definedName>
    <definedName name="объем___8___8" localSheetId="10">#REF!</definedName>
    <definedName name="объем___8___8" localSheetId="12">#REF!</definedName>
    <definedName name="объем___8___8" localSheetId="110">#REF!</definedName>
    <definedName name="объем___8___8" localSheetId="9">#REF!</definedName>
    <definedName name="объем___8___8">#REF!</definedName>
    <definedName name="объем___8___8_1" localSheetId="10">#REF!</definedName>
    <definedName name="объем___8___8_1" localSheetId="9">#REF!</definedName>
    <definedName name="объем___8___8_1">#REF!</definedName>
    <definedName name="объем___8_1" localSheetId="10">#REF!</definedName>
    <definedName name="объем___8_1" localSheetId="9">#REF!</definedName>
    <definedName name="объем___8_1">#REF!</definedName>
    <definedName name="объем___8_1_1" localSheetId="10">#REF!</definedName>
    <definedName name="объем___8_1_1" localSheetId="9">#REF!</definedName>
    <definedName name="объем___8_1_1">#REF!</definedName>
    <definedName name="объем___8_1_1_1" localSheetId="10">#REF!</definedName>
    <definedName name="объем___8_1_1_1" localSheetId="9">#REF!</definedName>
    <definedName name="объем___8_1_1_1">#REF!</definedName>
    <definedName name="объем___8_3" localSheetId="10">#REF!</definedName>
    <definedName name="объем___8_3" localSheetId="9">#REF!</definedName>
    <definedName name="объем___8_3">#REF!</definedName>
    <definedName name="объем___8_3_1" localSheetId="10">#REF!</definedName>
    <definedName name="объем___8_3_1" localSheetId="9">#REF!</definedName>
    <definedName name="объем___8_3_1">#REF!</definedName>
    <definedName name="объем___8_5" localSheetId="10">#REF!</definedName>
    <definedName name="объем___8_5" localSheetId="9">#REF!</definedName>
    <definedName name="объем___8_5">#REF!</definedName>
    <definedName name="объем___8_5_1" localSheetId="10">#REF!</definedName>
    <definedName name="объем___8_5_1" localSheetId="9">#REF!</definedName>
    <definedName name="объем___8_5_1">#REF!</definedName>
    <definedName name="объем___9" localSheetId="10">#REF!</definedName>
    <definedName name="объем___9" localSheetId="12">#REF!</definedName>
    <definedName name="объем___9" localSheetId="110">#REF!</definedName>
    <definedName name="объем___9" localSheetId="9">#REF!</definedName>
    <definedName name="объем___9">#REF!</definedName>
    <definedName name="объем___9___0" localSheetId="10">#REF!</definedName>
    <definedName name="объем___9___0" localSheetId="12">#REF!</definedName>
    <definedName name="объем___9___0" localSheetId="110">#REF!</definedName>
    <definedName name="объем___9___0" localSheetId="9">#REF!</definedName>
    <definedName name="объем___9___0">#REF!</definedName>
    <definedName name="объем___9___0___0" localSheetId="10">#REF!</definedName>
    <definedName name="объем___9___0___0" localSheetId="12">#REF!</definedName>
    <definedName name="объем___9___0___0" localSheetId="110">#REF!</definedName>
    <definedName name="объем___9___0___0" localSheetId="9">#REF!</definedName>
    <definedName name="объем___9___0___0">#REF!</definedName>
    <definedName name="объем___9___0___0___0" localSheetId="10">#REF!</definedName>
    <definedName name="объем___9___0___0___0" localSheetId="12">#REF!</definedName>
    <definedName name="объем___9___0___0___0" localSheetId="110">#REF!</definedName>
    <definedName name="объем___9___0___0___0" localSheetId="9">#REF!</definedName>
    <definedName name="объем___9___0___0___0">#REF!</definedName>
    <definedName name="объем___9___0___0___0___0" localSheetId="10">#REF!</definedName>
    <definedName name="объем___9___0___0___0___0" localSheetId="9">#REF!</definedName>
    <definedName name="объем___9___0___0___0___0">#REF!</definedName>
    <definedName name="объем___9___0___0___0___0_1" localSheetId="10">#REF!</definedName>
    <definedName name="объем___9___0___0___0___0_1" localSheetId="9">#REF!</definedName>
    <definedName name="объем___9___0___0___0___0_1">#REF!</definedName>
    <definedName name="объем___9___0___0___0_1" localSheetId="10">#REF!</definedName>
    <definedName name="объем___9___0___0___0_1" localSheetId="9">#REF!</definedName>
    <definedName name="объем___9___0___0___0_1">#REF!</definedName>
    <definedName name="объем___9___0___0_1" localSheetId="10">#REF!</definedName>
    <definedName name="объем___9___0___0_1" localSheetId="9">#REF!</definedName>
    <definedName name="объем___9___0___0_1">#REF!</definedName>
    <definedName name="объем___9___0___5" localSheetId="10">#REF!</definedName>
    <definedName name="объем___9___0___5" localSheetId="9">#REF!</definedName>
    <definedName name="объем___9___0___5">#REF!</definedName>
    <definedName name="объем___9___0___5_1" localSheetId="10">#REF!</definedName>
    <definedName name="объем___9___0___5_1" localSheetId="9">#REF!</definedName>
    <definedName name="объем___9___0___5_1">#REF!</definedName>
    <definedName name="объем___9___0_1" localSheetId="10">#REF!</definedName>
    <definedName name="объем___9___0_1" localSheetId="9">#REF!</definedName>
    <definedName name="объем___9___0_1">#REF!</definedName>
    <definedName name="объем___9___0_5" localSheetId="10">#REF!</definedName>
    <definedName name="объем___9___0_5" localSheetId="9">#REF!</definedName>
    <definedName name="объем___9___0_5">#REF!</definedName>
    <definedName name="объем___9___0_5_1" localSheetId="10">#REF!</definedName>
    <definedName name="объем___9___0_5_1" localSheetId="9">#REF!</definedName>
    <definedName name="объем___9___0_5_1">#REF!</definedName>
    <definedName name="объем___9___10" localSheetId="10">#REF!</definedName>
    <definedName name="объем___9___10" localSheetId="12">#REF!</definedName>
    <definedName name="объем___9___10" localSheetId="110">#REF!</definedName>
    <definedName name="объем___9___10" localSheetId="9">#REF!</definedName>
    <definedName name="объем___9___10">#REF!</definedName>
    <definedName name="объем___9___2" localSheetId="10">#REF!</definedName>
    <definedName name="объем___9___2" localSheetId="12">#REF!</definedName>
    <definedName name="объем___9___2" localSheetId="110">#REF!</definedName>
    <definedName name="объем___9___2" localSheetId="9">#REF!</definedName>
    <definedName name="объем___9___2">#REF!</definedName>
    <definedName name="объем___9___4" localSheetId="10">#REF!</definedName>
    <definedName name="объем___9___4" localSheetId="12">#REF!</definedName>
    <definedName name="объем___9___4" localSheetId="110">#REF!</definedName>
    <definedName name="объем___9___4" localSheetId="9">#REF!</definedName>
    <definedName name="объем___9___4">#REF!</definedName>
    <definedName name="объем___9___5" localSheetId="10">#REF!</definedName>
    <definedName name="объем___9___5" localSheetId="9">#REF!</definedName>
    <definedName name="объем___9___5">#REF!</definedName>
    <definedName name="объем___9___5_1" localSheetId="10">#REF!</definedName>
    <definedName name="объем___9___5_1" localSheetId="9">#REF!</definedName>
    <definedName name="объем___9___5_1">#REF!</definedName>
    <definedName name="объем___9___6" localSheetId="10">#REF!</definedName>
    <definedName name="объем___9___6" localSheetId="12">#REF!</definedName>
    <definedName name="объем___9___6" localSheetId="110">#REF!</definedName>
    <definedName name="объем___9___6" localSheetId="9">#REF!</definedName>
    <definedName name="объем___9___6">#REF!</definedName>
    <definedName name="объем___9___8" localSheetId="10">#REF!</definedName>
    <definedName name="объем___9___8" localSheetId="12">#REF!</definedName>
    <definedName name="объем___9___8" localSheetId="110">#REF!</definedName>
    <definedName name="объем___9___8" localSheetId="9">#REF!</definedName>
    <definedName name="объем___9___8">#REF!</definedName>
    <definedName name="объем___9_1" localSheetId="10">#REF!</definedName>
    <definedName name="объем___9_1" localSheetId="9">#REF!</definedName>
    <definedName name="объем___9_1">#REF!</definedName>
    <definedName name="объем___9_1_1" localSheetId="10">#REF!</definedName>
    <definedName name="объем___9_1_1" localSheetId="9">#REF!</definedName>
    <definedName name="объем___9_1_1">#REF!</definedName>
    <definedName name="объем___9_1_1_1" localSheetId="10">#REF!</definedName>
    <definedName name="объем___9_1_1_1" localSheetId="9">#REF!</definedName>
    <definedName name="объем___9_1_1_1">#REF!</definedName>
    <definedName name="объем___9_3" localSheetId="10">#REF!</definedName>
    <definedName name="объем___9_3" localSheetId="9">#REF!</definedName>
    <definedName name="объем___9_3">#REF!</definedName>
    <definedName name="объем___9_3_1" localSheetId="10">#REF!</definedName>
    <definedName name="объем___9_3_1" localSheetId="9">#REF!</definedName>
    <definedName name="объем___9_3_1">#REF!</definedName>
    <definedName name="объем___9_5" localSheetId="10">#REF!</definedName>
    <definedName name="объем___9_5" localSheetId="9">#REF!</definedName>
    <definedName name="объем___9_5">#REF!</definedName>
    <definedName name="объем___9_5_1" localSheetId="10">#REF!</definedName>
    <definedName name="объем___9_5_1" localSheetId="9">#REF!</definedName>
    <definedName name="объем___9_5_1">#REF!</definedName>
    <definedName name="объем_1">NA()</definedName>
    <definedName name="объем_1_1">NA()</definedName>
    <definedName name="объем_3">NA()</definedName>
    <definedName name="объем_4">NA()</definedName>
    <definedName name="объем_5">NA()</definedName>
    <definedName name="объем1" localSheetId="10">#REF!</definedName>
    <definedName name="объем1" localSheetId="12">#REF!</definedName>
    <definedName name="объем1" localSheetId="8">#REF!</definedName>
    <definedName name="объем1" localSheetId="11">#REF!</definedName>
    <definedName name="объем1" localSheetId="110">#REF!</definedName>
    <definedName name="объем1" localSheetId="6">#REF!</definedName>
    <definedName name="объем1" localSheetId="9">#REF!</definedName>
    <definedName name="объем1" localSheetId="7">#REF!</definedName>
    <definedName name="объем1">#REF!</definedName>
    <definedName name="ов" localSheetId="10">#REF!</definedName>
    <definedName name="ов" localSheetId="9">#REF!</definedName>
    <definedName name="ов">#REF!</definedName>
    <definedName name="овао" localSheetId="10">#REF!</definedName>
    <definedName name="овао" localSheetId="9">#REF!</definedName>
    <definedName name="овао">#REF!</definedName>
    <definedName name="овено" localSheetId="10">#REF!</definedName>
    <definedName name="овено" localSheetId="9">#REF!</definedName>
    <definedName name="овено">#REF!</definedName>
    <definedName name="овпв" localSheetId="10">#REF!</definedName>
    <definedName name="овпв" localSheetId="9">#REF!</definedName>
    <definedName name="овпв">#REF!</definedName>
    <definedName name="ог" localSheetId="10" hidden="1">{#N/A,#N/A,TRUE,"Смета на пасс. обор. №1"}</definedName>
    <definedName name="ог" localSheetId="12" hidden="1">{#N/A,#N/A,TRUE,"Смета на пасс. обор. №1"}</definedName>
    <definedName name="ог" localSheetId="111" hidden="1">{#N/A,#N/A,TRUE,"Смета на пасс. обор. №1"}</definedName>
    <definedName name="ог" localSheetId="112" hidden="1">{#N/A,#N/A,TRUE,"Смета на пасс. обор. №1"}</definedName>
    <definedName name="ог" localSheetId="113" hidden="1">{#N/A,#N/A,TRUE,"Смета на пасс. обор. №1"}</definedName>
    <definedName name="ог" localSheetId="114" hidden="1">{#N/A,#N/A,TRUE,"Смета на пасс. обор. №1"}</definedName>
    <definedName name="ог" localSheetId="115" hidden="1">{#N/A,#N/A,TRUE,"Смета на пасс. обор. №1"}</definedName>
    <definedName name="ог" localSheetId="116" hidden="1">{#N/A,#N/A,TRUE,"Смета на пасс. обор. №1"}</definedName>
    <definedName name="ог" localSheetId="117" hidden="1">{#N/A,#N/A,TRUE,"Смета на пасс. обор. №1"}</definedName>
    <definedName name="ог" localSheetId="118" hidden="1">{#N/A,#N/A,TRUE,"Смета на пасс. обор. №1"}</definedName>
    <definedName name="ог" localSheetId="121" hidden="1">{#N/A,#N/A,TRUE,"Смета на пасс. обор. №1"}</definedName>
    <definedName name="ог" localSheetId="122" hidden="1">{#N/A,#N/A,TRUE,"Смета на пасс. обор. №1"}</definedName>
    <definedName name="ог" localSheetId="8" hidden="1">{#N/A,#N/A,TRUE,"Смета на пасс. обор. №1"}</definedName>
    <definedName name="ог" localSheetId="11" hidden="1">{#N/A,#N/A,TRUE,"Смета на пасс. обор. №1"}</definedName>
    <definedName name="ог" localSheetId="110" hidden="1">{#N/A,#N/A,TRUE,"Смета на пасс. обор. №1"}</definedName>
    <definedName name="ог" localSheetId="109" hidden="1">{#N/A,#N/A,TRUE,"Смета на пасс. обор. №1"}</definedName>
    <definedName name="ог" localSheetId="108" hidden="1">{#N/A,#N/A,TRUE,"Смета на пасс. обор. №1"}</definedName>
    <definedName name="ог" localSheetId="6" hidden="1">{#N/A,#N/A,TRUE,"Смета на пасс. обор. №1"}</definedName>
    <definedName name="ог" localSheetId="9" hidden="1">{#N/A,#N/A,TRUE,"Смета на пасс. обор. №1"}</definedName>
    <definedName name="ог" localSheetId="7" hidden="1">{#N/A,#N/A,TRUE,"Смета на пасс. обор. №1"}</definedName>
    <definedName name="ог" localSheetId="92" hidden="1">{#N/A,#N/A,TRUE,"Смета на пасс. обор. №1"}</definedName>
    <definedName name="ог" localSheetId="93" hidden="1">{#N/A,#N/A,TRUE,"Смета на пасс. обор. №1"}</definedName>
    <definedName name="ог" localSheetId="94" hidden="1">{#N/A,#N/A,TRUE,"Смета на пасс. обор. №1"}</definedName>
    <definedName name="ог" localSheetId="99" hidden="1">{#N/A,#N/A,TRUE,"Смета на пасс. обор. №1"}</definedName>
    <definedName name="ог" localSheetId="100" hidden="1">{#N/A,#N/A,TRUE,"Смета на пасс. обор. №1"}</definedName>
    <definedName name="ог" localSheetId="106" hidden="1">{#N/A,#N/A,TRUE,"Смета на пасс. обор. №1"}</definedName>
    <definedName name="ог" localSheetId="2" hidden="1">{#N/A,#N/A,TRUE,"Смета на пасс. обор. №1"}</definedName>
    <definedName name="ог" localSheetId="123" hidden="1">{#N/A,#N/A,TRUE,"Смета на пасс. обор. №1"}</definedName>
    <definedName name="ог" localSheetId="4" hidden="1">{#N/A,#N/A,TRUE,"Смета на пасс. обор. №1"}</definedName>
    <definedName name="ог" localSheetId="13" hidden="1">{#N/A,#N/A,TRUE,"Смета на пасс. обор. №1"}</definedName>
    <definedName name="ог" hidden="1">{#N/A,#N/A,TRUE,"Смета на пасс. обор. №1"}</definedName>
    <definedName name="ог_1" localSheetId="10" hidden="1">{#N/A,#N/A,TRUE,"Смета на пасс. обор. №1"}</definedName>
    <definedName name="ог_1" localSheetId="12" hidden="1">{#N/A,#N/A,TRUE,"Смета на пасс. обор. №1"}</definedName>
    <definedName name="ог_1" localSheetId="111" hidden="1">{#N/A,#N/A,TRUE,"Смета на пасс. обор. №1"}</definedName>
    <definedName name="ог_1" localSheetId="112" hidden="1">{#N/A,#N/A,TRUE,"Смета на пасс. обор. №1"}</definedName>
    <definedName name="ог_1" localSheetId="113" hidden="1">{#N/A,#N/A,TRUE,"Смета на пасс. обор. №1"}</definedName>
    <definedName name="ог_1" localSheetId="114" hidden="1">{#N/A,#N/A,TRUE,"Смета на пасс. обор. №1"}</definedName>
    <definedName name="ог_1" localSheetId="115" hidden="1">{#N/A,#N/A,TRUE,"Смета на пасс. обор. №1"}</definedName>
    <definedName name="ог_1" localSheetId="116" hidden="1">{#N/A,#N/A,TRUE,"Смета на пасс. обор. №1"}</definedName>
    <definedName name="ог_1" localSheetId="117" hidden="1">{#N/A,#N/A,TRUE,"Смета на пасс. обор. №1"}</definedName>
    <definedName name="ог_1" localSheetId="118" hidden="1">{#N/A,#N/A,TRUE,"Смета на пасс. обор. №1"}</definedName>
    <definedName name="ог_1" localSheetId="121" hidden="1">{#N/A,#N/A,TRUE,"Смета на пасс. обор. №1"}</definedName>
    <definedName name="ог_1" localSheetId="122" hidden="1">{#N/A,#N/A,TRUE,"Смета на пасс. обор. №1"}</definedName>
    <definedName name="ог_1" localSheetId="8" hidden="1">{#N/A,#N/A,TRUE,"Смета на пасс. обор. №1"}</definedName>
    <definedName name="ог_1" localSheetId="11" hidden="1">{#N/A,#N/A,TRUE,"Смета на пасс. обор. №1"}</definedName>
    <definedName name="ог_1" localSheetId="110" hidden="1">{#N/A,#N/A,TRUE,"Смета на пасс. обор. №1"}</definedName>
    <definedName name="ог_1" localSheetId="109" hidden="1">{#N/A,#N/A,TRUE,"Смета на пасс. обор. №1"}</definedName>
    <definedName name="ог_1" localSheetId="108" hidden="1">{#N/A,#N/A,TRUE,"Смета на пасс. обор. №1"}</definedName>
    <definedName name="ог_1" localSheetId="6" hidden="1">{#N/A,#N/A,TRUE,"Смета на пасс. обор. №1"}</definedName>
    <definedName name="ог_1" localSheetId="9" hidden="1">{#N/A,#N/A,TRUE,"Смета на пасс. обор. №1"}</definedName>
    <definedName name="ог_1" localSheetId="7" hidden="1">{#N/A,#N/A,TRUE,"Смета на пасс. обор. №1"}</definedName>
    <definedName name="ог_1" localSheetId="92" hidden="1">{#N/A,#N/A,TRUE,"Смета на пасс. обор. №1"}</definedName>
    <definedName name="ог_1" localSheetId="93" hidden="1">{#N/A,#N/A,TRUE,"Смета на пасс. обор. №1"}</definedName>
    <definedName name="ог_1" localSheetId="94" hidden="1">{#N/A,#N/A,TRUE,"Смета на пасс. обор. №1"}</definedName>
    <definedName name="ог_1" localSheetId="99" hidden="1">{#N/A,#N/A,TRUE,"Смета на пасс. обор. №1"}</definedName>
    <definedName name="ог_1" localSheetId="100" hidden="1">{#N/A,#N/A,TRUE,"Смета на пасс. обор. №1"}</definedName>
    <definedName name="ог_1" localSheetId="106" hidden="1">{#N/A,#N/A,TRUE,"Смета на пасс. обор. №1"}</definedName>
    <definedName name="ог_1" localSheetId="2" hidden="1">{#N/A,#N/A,TRUE,"Смета на пасс. обор. №1"}</definedName>
    <definedName name="ог_1" localSheetId="123" hidden="1">{#N/A,#N/A,TRUE,"Смета на пасс. обор. №1"}</definedName>
    <definedName name="ог_1" localSheetId="4" hidden="1">{#N/A,#N/A,TRUE,"Смета на пасс. обор. №1"}</definedName>
    <definedName name="ог_1" localSheetId="13" hidden="1">{#N/A,#N/A,TRUE,"Смета на пасс. обор. №1"}</definedName>
    <definedName name="ог_1" hidden="1">{#N/A,#N/A,TRUE,"Смета на пасс. обор. №1"}</definedName>
    <definedName name="одлпд" localSheetId="10">#REF!</definedName>
    <definedName name="одлпд" localSheetId="9">#REF!</definedName>
    <definedName name="одлпд">#REF!</definedName>
    <definedName name="оев" localSheetId="10">#REF!</definedName>
    <definedName name="оев" localSheetId="9">#REF!</definedName>
    <definedName name="оев">#REF!</definedName>
    <definedName name="оек" localSheetId="10">#REF!</definedName>
    <definedName name="оек" localSheetId="9">#REF!</definedName>
    <definedName name="оек">#REF!</definedName>
    <definedName name="ок" localSheetId="10">#REF!</definedName>
    <definedName name="ок" localSheetId="9">#REF!</definedName>
    <definedName name="ок">#REF!</definedName>
    <definedName name="ок_1" localSheetId="10">#REF!</definedName>
    <definedName name="ок_1" localSheetId="9">#REF!</definedName>
    <definedName name="ок_1">#REF!</definedName>
    <definedName name="окн" localSheetId="10">#REF!</definedName>
    <definedName name="окн" localSheetId="9">#REF!</definedName>
    <definedName name="окн">#REF!</definedName>
    <definedName name="Окончательно" localSheetId="10">#REF!</definedName>
    <definedName name="Окончательно" localSheetId="9">#REF!</definedName>
    <definedName name="Окончательно">#REF!</definedName>
    <definedName name="олд" localSheetId="10" hidden="1">{#N/A,#N/A,TRUE,"Смета на пасс. обор. №1"}</definedName>
    <definedName name="олд" localSheetId="12" hidden="1">{#N/A,#N/A,TRUE,"Смета на пасс. обор. №1"}</definedName>
    <definedName name="олд" localSheetId="111" hidden="1">{#N/A,#N/A,TRUE,"Смета на пасс. обор. №1"}</definedName>
    <definedName name="олд" localSheetId="112" hidden="1">{#N/A,#N/A,TRUE,"Смета на пасс. обор. №1"}</definedName>
    <definedName name="олд" localSheetId="113" hidden="1">{#N/A,#N/A,TRUE,"Смета на пасс. обор. №1"}</definedName>
    <definedName name="олд" localSheetId="114" hidden="1">{#N/A,#N/A,TRUE,"Смета на пасс. обор. №1"}</definedName>
    <definedName name="олд" localSheetId="115" hidden="1">{#N/A,#N/A,TRUE,"Смета на пасс. обор. №1"}</definedName>
    <definedName name="олд" localSheetId="116" hidden="1">{#N/A,#N/A,TRUE,"Смета на пасс. обор. №1"}</definedName>
    <definedName name="олд" localSheetId="117" hidden="1">{#N/A,#N/A,TRUE,"Смета на пасс. обор. №1"}</definedName>
    <definedName name="олд" localSheetId="118" hidden="1">{#N/A,#N/A,TRUE,"Смета на пасс. обор. №1"}</definedName>
    <definedName name="олд" localSheetId="121" hidden="1">{#N/A,#N/A,TRUE,"Смета на пасс. обор. №1"}</definedName>
    <definedName name="олд" localSheetId="122" hidden="1">{#N/A,#N/A,TRUE,"Смета на пасс. обор. №1"}</definedName>
    <definedName name="олд" localSheetId="8" hidden="1">{#N/A,#N/A,TRUE,"Смета на пасс. обор. №1"}</definedName>
    <definedName name="олд" localSheetId="11" hidden="1">{#N/A,#N/A,TRUE,"Смета на пасс. обор. №1"}</definedName>
    <definedName name="олд" localSheetId="110" hidden="1">{#N/A,#N/A,TRUE,"Смета на пасс. обор. №1"}</definedName>
    <definedName name="олд" localSheetId="109" hidden="1">{#N/A,#N/A,TRUE,"Смета на пасс. обор. №1"}</definedName>
    <definedName name="олд" localSheetId="108" hidden="1">{#N/A,#N/A,TRUE,"Смета на пасс. обор. №1"}</definedName>
    <definedName name="олд" localSheetId="6" hidden="1">{#N/A,#N/A,TRUE,"Смета на пасс. обор. №1"}</definedName>
    <definedName name="олд" localSheetId="9" hidden="1">{#N/A,#N/A,TRUE,"Смета на пасс. обор. №1"}</definedName>
    <definedName name="олд" localSheetId="7" hidden="1">{#N/A,#N/A,TRUE,"Смета на пасс. обор. №1"}</definedName>
    <definedName name="олд" localSheetId="92" hidden="1">{#N/A,#N/A,TRUE,"Смета на пасс. обор. №1"}</definedName>
    <definedName name="олд" localSheetId="93" hidden="1">{#N/A,#N/A,TRUE,"Смета на пасс. обор. №1"}</definedName>
    <definedName name="олд" localSheetId="94" hidden="1">{#N/A,#N/A,TRUE,"Смета на пасс. обор. №1"}</definedName>
    <definedName name="олд" localSheetId="99" hidden="1">{#N/A,#N/A,TRUE,"Смета на пасс. обор. №1"}</definedName>
    <definedName name="олд" localSheetId="100" hidden="1">{#N/A,#N/A,TRUE,"Смета на пасс. обор. №1"}</definedName>
    <definedName name="олд" localSheetId="106" hidden="1">{#N/A,#N/A,TRUE,"Смета на пасс. обор. №1"}</definedName>
    <definedName name="олд" localSheetId="2" hidden="1">{#N/A,#N/A,TRUE,"Смета на пасс. обор. №1"}</definedName>
    <definedName name="олд" localSheetId="123" hidden="1">{#N/A,#N/A,TRUE,"Смета на пасс. обор. №1"}</definedName>
    <definedName name="олд" localSheetId="4" hidden="1">{#N/A,#N/A,TRUE,"Смета на пасс. обор. №1"}</definedName>
    <definedName name="олд" localSheetId="13" hidden="1">{#N/A,#N/A,TRUE,"Смета на пасс. обор. №1"}</definedName>
    <definedName name="олд" hidden="1">{#N/A,#N/A,TRUE,"Смета на пасс. обор. №1"}</definedName>
    <definedName name="олд_1" localSheetId="10" hidden="1">{#N/A,#N/A,TRUE,"Смета на пасс. обор. №1"}</definedName>
    <definedName name="олд_1" localSheetId="12" hidden="1">{#N/A,#N/A,TRUE,"Смета на пасс. обор. №1"}</definedName>
    <definedName name="олд_1" localSheetId="111" hidden="1">{#N/A,#N/A,TRUE,"Смета на пасс. обор. №1"}</definedName>
    <definedName name="олд_1" localSheetId="112" hidden="1">{#N/A,#N/A,TRUE,"Смета на пасс. обор. №1"}</definedName>
    <definedName name="олд_1" localSheetId="113" hidden="1">{#N/A,#N/A,TRUE,"Смета на пасс. обор. №1"}</definedName>
    <definedName name="олд_1" localSheetId="114" hidden="1">{#N/A,#N/A,TRUE,"Смета на пасс. обор. №1"}</definedName>
    <definedName name="олд_1" localSheetId="115" hidden="1">{#N/A,#N/A,TRUE,"Смета на пасс. обор. №1"}</definedName>
    <definedName name="олд_1" localSheetId="116" hidden="1">{#N/A,#N/A,TRUE,"Смета на пасс. обор. №1"}</definedName>
    <definedName name="олд_1" localSheetId="117" hidden="1">{#N/A,#N/A,TRUE,"Смета на пасс. обор. №1"}</definedName>
    <definedName name="олд_1" localSheetId="118" hidden="1">{#N/A,#N/A,TRUE,"Смета на пасс. обор. №1"}</definedName>
    <definedName name="олд_1" localSheetId="121" hidden="1">{#N/A,#N/A,TRUE,"Смета на пасс. обор. №1"}</definedName>
    <definedName name="олд_1" localSheetId="122" hidden="1">{#N/A,#N/A,TRUE,"Смета на пасс. обор. №1"}</definedName>
    <definedName name="олд_1" localSheetId="8" hidden="1">{#N/A,#N/A,TRUE,"Смета на пасс. обор. №1"}</definedName>
    <definedName name="олд_1" localSheetId="11" hidden="1">{#N/A,#N/A,TRUE,"Смета на пасс. обор. №1"}</definedName>
    <definedName name="олд_1" localSheetId="110" hidden="1">{#N/A,#N/A,TRUE,"Смета на пасс. обор. №1"}</definedName>
    <definedName name="олд_1" localSheetId="109" hidden="1">{#N/A,#N/A,TRUE,"Смета на пасс. обор. №1"}</definedName>
    <definedName name="олд_1" localSheetId="108" hidden="1">{#N/A,#N/A,TRUE,"Смета на пасс. обор. №1"}</definedName>
    <definedName name="олд_1" localSheetId="6" hidden="1">{#N/A,#N/A,TRUE,"Смета на пасс. обор. №1"}</definedName>
    <definedName name="олд_1" localSheetId="9" hidden="1">{#N/A,#N/A,TRUE,"Смета на пасс. обор. №1"}</definedName>
    <definedName name="олд_1" localSheetId="7" hidden="1">{#N/A,#N/A,TRUE,"Смета на пасс. обор. №1"}</definedName>
    <definedName name="олд_1" localSheetId="92" hidden="1">{#N/A,#N/A,TRUE,"Смета на пасс. обор. №1"}</definedName>
    <definedName name="олд_1" localSheetId="93" hidden="1">{#N/A,#N/A,TRUE,"Смета на пасс. обор. №1"}</definedName>
    <definedName name="олд_1" localSheetId="94" hidden="1">{#N/A,#N/A,TRUE,"Смета на пасс. обор. №1"}</definedName>
    <definedName name="олд_1" localSheetId="99" hidden="1">{#N/A,#N/A,TRUE,"Смета на пасс. обор. №1"}</definedName>
    <definedName name="олд_1" localSheetId="100" hidden="1">{#N/A,#N/A,TRUE,"Смета на пасс. обор. №1"}</definedName>
    <definedName name="олд_1" localSheetId="106" hidden="1">{#N/A,#N/A,TRUE,"Смета на пасс. обор. №1"}</definedName>
    <definedName name="олд_1" localSheetId="2" hidden="1">{#N/A,#N/A,TRUE,"Смета на пасс. обор. №1"}</definedName>
    <definedName name="олд_1" localSheetId="123" hidden="1">{#N/A,#N/A,TRUE,"Смета на пасс. обор. №1"}</definedName>
    <definedName name="олд_1" localSheetId="4" hidden="1">{#N/A,#N/A,TRUE,"Смета на пасс. обор. №1"}</definedName>
    <definedName name="олд_1" localSheetId="13" hidden="1">{#N/A,#N/A,TRUE,"Смета на пасс. обор. №1"}</definedName>
    <definedName name="олд_1" hidden="1">{#N/A,#N/A,TRUE,"Смета на пасс. обор. №1"}</definedName>
    <definedName name="олорлшгш" localSheetId="10">#REF!</definedName>
    <definedName name="олорлшгш" localSheetId="9">#REF!</definedName>
    <definedName name="олорлшгш">#REF!</definedName>
    <definedName name="олпрол" localSheetId="10">#REF!</definedName>
    <definedName name="олпрол" localSheetId="12">#REF!</definedName>
    <definedName name="олпрол" localSheetId="116">#REF!</definedName>
    <definedName name="олпрол" localSheetId="8">#REF!</definedName>
    <definedName name="олпрол" localSheetId="11">#REF!</definedName>
    <definedName name="олпрол" localSheetId="110">#REF!</definedName>
    <definedName name="олпрол" localSheetId="109">#REF!</definedName>
    <definedName name="олпрол" localSheetId="108">#REF!</definedName>
    <definedName name="олпрол" localSheetId="6">#REF!</definedName>
    <definedName name="олпрол" localSheetId="9">#REF!</definedName>
    <definedName name="олпрол" localSheetId="7">#REF!</definedName>
    <definedName name="олпрол" localSheetId="92">#REF!</definedName>
    <definedName name="олпрол" localSheetId="93">#REF!</definedName>
    <definedName name="олпрол" localSheetId="94">#REF!</definedName>
    <definedName name="олпрол" localSheetId="99">#REF!</definedName>
    <definedName name="олпрол" localSheetId="100">#REF!</definedName>
    <definedName name="олпрол" localSheetId="106">#REF!</definedName>
    <definedName name="олпрол">#REF!</definedName>
    <definedName name="олролрт" localSheetId="10">#REF!</definedName>
    <definedName name="олролрт" localSheetId="12">#REF!</definedName>
    <definedName name="олролрт" localSheetId="116">#REF!</definedName>
    <definedName name="олролрт" localSheetId="110">#REF!</definedName>
    <definedName name="олролрт" localSheetId="109">#REF!</definedName>
    <definedName name="олролрт" localSheetId="108">#REF!</definedName>
    <definedName name="олролрт" localSheetId="9">#REF!</definedName>
    <definedName name="олролрт" localSheetId="92">#REF!</definedName>
    <definedName name="олролрт" localSheetId="93">#REF!</definedName>
    <definedName name="олролрт" localSheetId="94">#REF!</definedName>
    <definedName name="олролрт" localSheetId="99">#REF!</definedName>
    <definedName name="олролрт" localSheetId="100">#REF!</definedName>
    <definedName name="олролрт" localSheetId="106">#REF!</definedName>
    <definedName name="олролрт">#REF!</definedName>
    <definedName name="олрщшошшлд" localSheetId="10">#REF!</definedName>
    <definedName name="олрщшошшлд" localSheetId="9">#REF!</definedName>
    <definedName name="олрщшошшлд">#REF!</definedName>
    <definedName name="олюдю" localSheetId="10">#REF!</definedName>
    <definedName name="олюдю" localSheetId="9">#REF!</definedName>
    <definedName name="олюдю">#REF!</definedName>
    <definedName name="ОЛЯ" localSheetId="10">#REF!</definedName>
    <definedName name="ОЛЯ" localSheetId="12">#REF!</definedName>
    <definedName name="ОЛЯ" localSheetId="116">#REF!</definedName>
    <definedName name="ОЛЯ" localSheetId="110">#REF!</definedName>
    <definedName name="ОЛЯ" localSheetId="109">#REF!</definedName>
    <definedName name="ОЛЯ" localSheetId="108">#REF!</definedName>
    <definedName name="ОЛЯ" localSheetId="9">#REF!</definedName>
    <definedName name="ОЛЯ" localSheetId="92">#REF!</definedName>
    <definedName name="ОЛЯ" localSheetId="93">#REF!</definedName>
    <definedName name="ОЛЯ" localSheetId="94">#REF!</definedName>
    <definedName name="ОЛЯ" localSheetId="99">#REF!</definedName>
    <definedName name="ОЛЯ" localSheetId="100">#REF!</definedName>
    <definedName name="ОЛЯ" localSheetId="106">#REF!</definedName>
    <definedName name="ОЛЯ">#REF!</definedName>
    <definedName name="Омская_область" localSheetId="10">#REF!</definedName>
    <definedName name="Омская_область" localSheetId="9">#REF!</definedName>
    <definedName name="Омская_область">#REF!</definedName>
    <definedName name="Омская_область_1" localSheetId="10">#REF!</definedName>
    <definedName name="Омская_область_1" localSheetId="9">#REF!</definedName>
    <definedName name="Омская_область_1">#REF!</definedName>
    <definedName name="оо" localSheetId="10">#REF!</definedName>
    <definedName name="оо" localSheetId="9">#REF!</definedName>
    <definedName name="оо">#REF!</definedName>
    <definedName name="ооо" localSheetId="10">#REF!</definedName>
    <definedName name="ооо" localSheetId="12">#REF!</definedName>
    <definedName name="ооо" localSheetId="110">#REF!</definedName>
    <definedName name="ооо" localSheetId="9">#REF!</definedName>
    <definedName name="ооо">#REF!</definedName>
    <definedName name="ООО_НИИПРИИ___Севзапинжтехнология" localSheetId="10">#REF!</definedName>
    <definedName name="ООО_НИИПРИИ___Севзапинжтехнология" localSheetId="12">#REF!</definedName>
    <definedName name="ООО_НИИПРИИ___Севзапинжтехнология" localSheetId="112">#REF!</definedName>
    <definedName name="ООО_НИИПРИИ___Севзапинжтехнология" localSheetId="113">#REF!</definedName>
    <definedName name="ООО_НИИПРИИ___Севзапинжтехнология" localSheetId="115">#REF!</definedName>
    <definedName name="ООО_НИИПРИИ___Севзапинжтехнология" localSheetId="116">#REF!</definedName>
    <definedName name="ООО_НИИПРИИ___Севзапинжтехнология" localSheetId="110">#REF!</definedName>
    <definedName name="ООО_НИИПРИИ___Севзапинжтехнология" localSheetId="9">#REF!</definedName>
    <definedName name="ООО_НИИПРИИ___Севзапинжтехнология">#REF!</definedName>
    <definedName name="оооо" localSheetId="10">#REF!</definedName>
    <definedName name="оооо" localSheetId="12">#REF!</definedName>
    <definedName name="оооо" localSheetId="110">#REF!</definedName>
    <definedName name="оооо" localSheetId="9">#REF!</definedName>
    <definedName name="оооо">#REF!</definedName>
    <definedName name="оот" localSheetId="10">#REF!</definedName>
    <definedName name="оот" localSheetId="9">#REF!</definedName>
    <definedName name="оот">#REF!</definedName>
    <definedName name="опао" localSheetId="10">#REF!</definedName>
    <definedName name="опао" localSheetId="9">#REF!</definedName>
    <definedName name="опао">#REF!</definedName>
    <definedName name="Опер">[64]Орг!$C$50:$C$86</definedName>
    <definedName name="Описание_группы_строек" localSheetId="10">#REF!</definedName>
    <definedName name="Описание_группы_строек" localSheetId="9">#REF!</definedName>
    <definedName name="Описание_группы_строек">#REF!</definedName>
    <definedName name="Описание_локальной_сметы" localSheetId="10">#REF!</definedName>
    <definedName name="Описание_локальной_сметы" localSheetId="9">#REF!</definedName>
    <definedName name="Описание_локальной_сметы">#REF!</definedName>
    <definedName name="Описание_объекта" localSheetId="10">#REF!</definedName>
    <definedName name="Описание_объекта" localSheetId="9">#REF!</definedName>
    <definedName name="Описание_объекта">#REF!</definedName>
    <definedName name="Описание_объектной_сметы" localSheetId="10">#REF!</definedName>
    <definedName name="Описание_объектной_сметы" localSheetId="9">#REF!</definedName>
    <definedName name="Описание_объектной_сметы">#REF!</definedName>
    <definedName name="Описание_очереди" localSheetId="10">#REF!</definedName>
    <definedName name="Описание_очереди" localSheetId="9">#REF!</definedName>
    <definedName name="Описание_очереди">#REF!</definedName>
    <definedName name="Описание_пускового_комплекса" localSheetId="10">#REF!</definedName>
    <definedName name="Описание_пускового_комплекса" localSheetId="9">#REF!</definedName>
    <definedName name="Описание_пускового_комплекса">#REF!</definedName>
    <definedName name="Описание_сводного_сметного_расчета" localSheetId="10">#REF!</definedName>
    <definedName name="Описание_сводного_сметного_расчета" localSheetId="9">#REF!</definedName>
    <definedName name="Описание_сводного_сметного_расчета">#REF!</definedName>
    <definedName name="Описание_стройки" localSheetId="10">#REF!</definedName>
    <definedName name="Описание_стройки" localSheetId="9">#REF!</definedName>
    <definedName name="Описание_стройки">#REF!</definedName>
    <definedName name="Оренбургская_область" localSheetId="10">#REF!</definedName>
    <definedName name="Оренбургская_область" localSheetId="9">#REF!</definedName>
    <definedName name="Оренбургская_область">#REF!</definedName>
    <definedName name="Оренбургская_область_1" localSheetId="10">#REF!</definedName>
    <definedName name="Оренбургская_область_1" localSheetId="9">#REF!</definedName>
    <definedName name="Оренбургская_область_1">#REF!</definedName>
    <definedName name="Орловская_область" localSheetId="10">#REF!</definedName>
    <definedName name="Орловская_область" localSheetId="9">#REF!</definedName>
    <definedName name="Орловская_область">#REF!</definedName>
    <definedName name="орп" localSheetId="10">[65]Смета!#REF!</definedName>
    <definedName name="орп" localSheetId="12" hidden="1">{#N/A,#N/A,TRUE,"Смета на пасс. обор. №1"}</definedName>
    <definedName name="орп" localSheetId="111" hidden="1">{#N/A,#N/A,TRUE,"Смета на пасс. обор. №1"}</definedName>
    <definedName name="орп" localSheetId="112" hidden="1">{#N/A,#N/A,TRUE,"Смета на пасс. обор. №1"}</definedName>
    <definedName name="орп" localSheetId="113" hidden="1">{#N/A,#N/A,TRUE,"Смета на пасс. обор. №1"}</definedName>
    <definedName name="орп" localSheetId="114" hidden="1">{#N/A,#N/A,TRUE,"Смета на пасс. обор. №1"}</definedName>
    <definedName name="орп" localSheetId="115" hidden="1">{#N/A,#N/A,TRUE,"Смета на пасс. обор. №1"}</definedName>
    <definedName name="орп" localSheetId="116" hidden="1">{#N/A,#N/A,TRUE,"Смета на пасс. обор. №1"}</definedName>
    <definedName name="орп" localSheetId="117" hidden="1">{#N/A,#N/A,TRUE,"Смета на пасс. обор. №1"}</definedName>
    <definedName name="орп" localSheetId="118" hidden="1">{#N/A,#N/A,TRUE,"Смета на пасс. обор. №1"}</definedName>
    <definedName name="орп" localSheetId="121" hidden="1">{#N/A,#N/A,TRUE,"Смета на пасс. обор. №1"}</definedName>
    <definedName name="орп" localSheetId="122" hidden="1">{#N/A,#N/A,TRUE,"Смета на пасс. обор. №1"}</definedName>
    <definedName name="орп" localSheetId="8">[65]Смета!#REF!</definedName>
    <definedName name="орп" localSheetId="11">[65]Смета!#REF!</definedName>
    <definedName name="орп" localSheetId="110" hidden="1">{#N/A,#N/A,TRUE,"Смета на пасс. обор. №1"}</definedName>
    <definedName name="орп" localSheetId="109" hidden="1">{#N/A,#N/A,TRUE,"Смета на пасс. обор. №1"}</definedName>
    <definedName name="орп" localSheetId="108" hidden="1">{#N/A,#N/A,TRUE,"Смета на пасс. обор. №1"}</definedName>
    <definedName name="орп" localSheetId="6">[65]Смета!#REF!</definedName>
    <definedName name="орп" localSheetId="9">[65]Смета!#REF!</definedName>
    <definedName name="орп" localSheetId="7" hidden="1">{#N/A,#N/A,TRUE,"Смета на пасс. обор. №1"}</definedName>
    <definedName name="орп" localSheetId="92" hidden="1">{#N/A,#N/A,TRUE,"Смета на пасс. обор. №1"}</definedName>
    <definedName name="орп" localSheetId="93" hidden="1">{#N/A,#N/A,TRUE,"Смета на пасс. обор. №1"}</definedName>
    <definedName name="орп" localSheetId="94" hidden="1">{#N/A,#N/A,TRUE,"Смета на пасс. обор. №1"}</definedName>
    <definedName name="орп" localSheetId="99" hidden="1">{#N/A,#N/A,TRUE,"Смета на пасс. обор. №1"}</definedName>
    <definedName name="орп" localSheetId="100" hidden="1">{#N/A,#N/A,TRUE,"Смета на пасс. обор. №1"}</definedName>
    <definedName name="орп" localSheetId="106" hidden="1">{#N/A,#N/A,TRUE,"Смета на пасс. обор. №1"}</definedName>
    <definedName name="орп" localSheetId="2" hidden="1">{#N/A,#N/A,TRUE,"Смета на пасс. обор. №1"}</definedName>
    <definedName name="орп" localSheetId="123" hidden="1">{#N/A,#N/A,TRUE,"Смета на пасс. обор. №1"}</definedName>
    <definedName name="орп" localSheetId="4" hidden="1">{#N/A,#N/A,TRUE,"Смета на пасс. обор. №1"}</definedName>
    <definedName name="орп" localSheetId="13" hidden="1">{#N/A,#N/A,TRUE,"Смета на пасс. обор. №1"}</definedName>
    <definedName name="орп" hidden="1">{#N/A,#N/A,TRUE,"Смета на пасс. обор. №1"}</definedName>
    <definedName name="орп_1" localSheetId="10" hidden="1">{#N/A,#N/A,TRUE,"Смета на пасс. обор. №1"}</definedName>
    <definedName name="орп_1" localSheetId="12" hidden="1">{#N/A,#N/A,TRUE,"Смета на пасс. обор. №1"}</definedName>
    <definedName name="орп_1" localSheetId="111" hidden="1">{#N/A,#N/A,TRUE,"Смета на пасс. обор. №1"}</definedName>
    <definedName name="орп_1" localSheetId="112" hidden="1">{#N/A,#N/A,TRUE,"Смета на пасс. обор. №1"}</definedName>
    <definedName name="орп_1" localSheetId="113" hidden="1">{#N/A,#N/A,TRUE,"Смета на пасс. обор. №1"}</definedName>
    <definedName name="орп_1" localSheetId="114" hidden="1">{#N/A,#N/A,TRUE,"Смета на пасс. обор. №1"}</definedName>
    <definedName name="орп_1" localSheetId="115" hidden="1">{#N/A,#N/A,TRUE,"Смета на пасс. обор. №1"}</definedName>
    <definedName name="орп_1" localSheetId="116" hidden="1">{#N/A,#N/A,TRUE,"Смета на пасс. обор. №1"}</definedName>
    <definedName name="орп_1" localSheetId="117" hidden="1">{#N/A,#N/A,TRUE,"Смета на пасс. обор. №1"}</definedName>
    <definedName name="орп_1" localSheetId="118" hidden="1">{#N/A,#N/A,TRUE,"Смета на пасс. обор. №1"}</definedName>
    <definedName name="орп_1" localSheetId="121" hidden="1">{#N/A,#N/A,TRUE,"Смета на пасс. обор. №1"}</definedName>
    <definedName name="орп_1" localSheetId="122" hidden="1">{#N/A,#N/A,TRUE,"Смета на пасс. обор. №1"}</definedName>
    <definedName name="орп_1" localSheetId="8" hidden="1">{#N/A,#N/A,TRUE,"Смета на пасс. обор. №1"}</definedName>
    <definedName name="орп_1" localSheetId="11" hidden="1">{#N/A,#N/A,TRUE,"Смета на пасс. обор. №1"}</definedName>
    <definedName name="орп_1" localSheetId="110" hidden="1">{#N/A,#N/A,TRUE,"Смета на пасс. обор. №1"}</definedName>
    <definedName name="орп_1" localSheetId="109" hidden="1">{#N/A,#N/A,TRUE,"Смета на пасс. обор. №1"}</definedName>
    <definedName name="орп_1" localSheetId="108" hidden="1">{#N/A,#N/A,TRUE,"Смета на пасс. обор. №1"}</definedName>
    <definedName name="орп_1" localSheetId="6" hidden="1">{#N/A,#N/A,TRUE,"Смета на пасс. обор. №1"}</definedName>
    <definedName name="орп_1" localSheetId="9" hidden="1">{#N/A,#N/A,TRUE,"Смета на пасс. обор. №1"}</definedName>
    <definedName name="орп_1" localSheetId="7" hidden="1">{#N/A,#N/A,TRUE,"Смета на пасс. обор. №1"}</definedName>
    <definedName name="орп_1" localSheetId="92" hidden="1">{#N/A,#N/A,TRUE,"Смета на пасс. обор. №1"}</definedName>
    <definedName name="орп_1" localSheetId="93" hidden="1">{#N/A,#N/A,TRUE,"Смета на пасс. обор. №1"}</definedName>
    <definedName name="орп_1" localSheetId="94" hidden="1">{#N/A,#N/A,TRUE,"Смета на пасс. обор. №1"}</definedName>
    <definedName name="орп_1" localSheetId="99" hidden="1">{#N/A,#N/A,TRUE,"Смета на пасс. обор. №1"}</definedName>
    <definedName name="орп_1" localSheetId="100" hidden="1">{#N/A,#N/A,TRUE,"Смета на пасс. обор. №1"}</definedName>
    <definedName name="орп_1" localSheetId="106" hidden="1">{#N/A,#N/A,TRUE,"Смета на пасс. обор. №1"}</definedName>
    <definedName name="орп_1" localSheetId="2" hidden="1">{#N/A,#N/A,TRUE,"Смета на пасс. обор. №1"}</definedName>
    <definedName name="орп_1" localSheetId="123" hidden="1">{#N/A,#N/A,TRUE,"Смета на пасс. обор. №1"}</definedName>
    <definedName name="орп_1" localSheetId="4" hidden="1">{#N/A,#N/A,TRUE,"Смета на пасс. обор. №1"}</definedName>
    <definedName name="орп_1" localSheetId="13" hidden="1">{#N/A,#N/A,TRUE,"Смета на пасс. обор. №1"}</definedName>
    <definedName name="орп_1" hidden="1">{#N/A,#N/A,TRUE,"Смета на пасс. обор. №1"}</definedName>
    <definedName name="орьл" localSheetId="10">[4]топография!#REF!</definedName>
    <definedName name="орьл" localSheetId="9">[4]топография!#REF!</definedName>
    <definedName name="орьл">[4]топография!#REF!</definedName>
    <definedName name="Осн_Камер" localSheetId="10">#REF!</definedName>
    <definedName name="Осн_Камер" localSheetId="12">#REF!</definedName>
    <definedName name="Осн_Камер" localSheetId="112">#REF!</definedName>
    <definedName name="Осн_Камер" localSheetId="113">#REF!</definedName>
    <definedName name="Осн_Камер" localSheetId="115">#REF!</definedName>
    <definedName name="Осн_Камер" localSheetId="116">#REF!</definedName>
    <definedName name="Осн_Камер" localSheetId="8">#REF!</definedName>
    <definedName name="Осн_Камер" localSheetId="11">#REF!</definedName>
    <definedName name="Осн_Камер" localSheetId="110">#REF!</definedName>
    <definedName name="Осн_Камер" localSheetId="6">#REF!</definedName>
    <definedName name="Осн_Камер" localSheetId="9">#REF!</definedName>
    <definedName name="Осн_Камер" localSheetId="7">#REF!</definedName>
    <definedName name="Осн_Камер" localSheetId="92">#REF!</definedName>
    <definedName name="Осн_Камер" localSheetId="93">#REF!</definedName>
    <definedName name="Осн_Камер" localSheetId="94">#REF!</definedName>
    <definedName name="Осн_Камер" localSheetId="99">#REF!</definedName>
    <definedName name="Осн_Камер" localSheetId="100">#REF!</definedName>
    <definedName name="Осн_Камер" localSheetId="106">#REF!</definedName>
    <definedName name="Осн_Камер">#REF!</definedName>
    <definedName name="Основание" localSheetId="10">#REF!</definedName>
    <definedName name="Основание" localSheetId="9">#REF!</definedName>
    <definedName name="Основание">#REF!</definedName>
    <definedName name="от" localSheetId="10" hidden="1">{#N/A,#N/A,TRUE,"Смета на пасс. обор. №1"}</definedName>
    <definedName name="от" localSheetId="12" hidden="1">{#N/A,#N/A,TRUE,"Смета на пасс. обор. №1"}</definedName>
    <definedName name="от" localSheetId="111" hidden="1">{#N/A,#N/A,TRUE,"Смета на пасс. обор. №1"}</definedName>
    <definedName name="от" localSheetId="112" hidden="1">{#N/A,#N/A,TRUE,"Смета на пасс. обор. №1"}</definedName>
    <definedName name="от" localSheetId="113" hidden="1">{#N/A,#N/A,TRUE,"Смета на пасс. обор. №1"}</definedName>
    <definedName name="от" localSheetId="114" hidden="1">{#N/A,#N/A,TRUE,"Смета на пасс. обор. №1"}</definedName>
    <definedName name="от" localSheetId="115" hidden="1">{#N/A,#N/A,TRUE,"Смета на пасс. обор. №1"}</definedName>
    <definedName name="от" localSheetId="116" hidden="1">{#N/A,#N/A,TRUE,"Смета на пасс. обор. №1"}</definedName>
    <definedName name="от" localSheetId="117" hidden="1">{#N/A,#N/A,TRUE,"Смета на пасс. обор. №1"}</definedName>
    <definedName name="от" localSheetId="118" hidden="1">{#N/A,#N/A,TRUE,"Смета на пасс. обор. №1"}</definedName>
    <definedName name="от" localSheetId="121" hidden="1">{#N/A,#N/A,TRUE,"Смета на пасс. обор. №1"}</definedName>
    <definedName name="от" localSheetId="122" hidden="1">{#N/A,#N/A,TRUE,"Смета на пасс. обор. №1"}</definedName>
    <definedName name="от" localSheetId="8" hidden="1">{#N/A,#N/A,TRUE,"Смета на пасс. обор. №1"}</definedName>
    <definedName name="от" localSheetId="11" hidden="1">{#N/A,#N/A,TRUE,"Смета на пасс. обор. №1"}</definedName>
    <definedName name="от" localSheetId="110" hidden="1">{#N/A,#N/A,TRUE,"Смета на пасс. обор. №1"}</definedName>
    <definedName name="от" localSheetId="109" hidden="1">{#N/A,#N/A,TRUE,"Смета на пасс. обор. №1"}</definedName>
    <definedName name="от" localSheetId="108" hidden="1">{#N/A,#N/A,TRUE,"Смета на пасс. обор. №1"}</definedName>
    <definedName name="от" localSheetId="6" hidden="1">{#N/A,#N/A,TRUE,"Смета на пасс. обор. №1"}</definedName>
    <definedName name="от" localSheetId="9" hidden="1">{#N/A,#N/A,TRUE,"Смета на пасс. обор. №1"}</definedName>
    <definedName name="от" localSheetId="7" hidden="1">{#N/A,#N/A,TRUE,"Смета на пасс. обор. №1"}</definedName>
    <definedName name="от" localSheetId="92" hidden="1">{#N/A,#N/A,TRUE,"Смета на пасс. обор. №1"}</definedName>
    <definedName name="от" localSheetId="93" hidden="1">{#N/A,#N/A,TRUE,"Смета на пасс. обор. №1"}</definedName>
    <definedName name="от" localSheetId="94" hidden="1">{#N/A,#N/A,TRUE,"Смета на пасс. обор. №1"}</definedName>
    <definedName name="от" localSheetId="99" hidden="1">{#N/A,#N/A,TRUE,"Смета на пасс. обор. №1"}</definedName>
    <definedName name="от" localSheetId="100" hidden="1">{#N/A,#N/A,TRUE,"Смета на пасс. обор. №1"}</definedName>
    <definedName name="от" localSheetId="106" hidden="1">{#N/A,#N/A,TRUE,"Смета на пасс. обор. №1"}</definedName>
    <definedName name="от" localSheetId="2" hidden="1">{#N/A,#N/A,TRUE,"Смета на пасс. обор. №1"}</definedName>
    <definedName name="от" localSheetId="123" hidden="1">{#N/A,#N/A,TRUE,"Смета на пасс. обор. №1"}</definedName>
    <definedName name="от" localSheetId="4" hidden="1">{#N/A,#N/A,TRUE,"Смета на пасс. обор. №1"}</definedName>
    <definedName name="от" localSheetId="13" hidden="1">{#N/A,#N/A,TRUE,"Смета на пасс. обор. №1"}</definedName>
    <definedName name="от" hidden="1">{#N/A,#N/A,TRUE,"Смета на пасс. обор. №1"}</definedName>
    <definedName name="от_1" localSheetId="10" hidden="1">{#N/A,#N/A,TRUE,"Смета на пасс. обор. №1"}</definedName>
    <definedName name="от_1" localSheetId="12" hidden="1">{#N/A,#N/A,TRUE,"Смета на пасс. обор. №1"}</definedName>
    <definedName name="от_1" localSheetId="111" hidden="1">{#N/A,#N/A,TRUE,"Смета на пасс. обор. №1"}</definedName>
    <definedName name="от_1" localSheetId="112" hidden="1">{#N/A,#N/A,TRUE,"Смета на пасс. обор. №1"}</definedName>
    <definedName name="от_1" localSheetId="113" hidden="1">{#N/A,#N/A,TRUE,"Смета на пасс. обор. №1"}</definedName>
    <definedName name="от_1" localSheetId="114" hidden="1">{#N/A,#N/A,TRUE,"Смета на пасс. обор. №1"}</definedName>
    <definedName name="от_1" localSheetId="115" hidden="1">{#N/A,#N/A,TRUE,"Смета на пасс. обор. №1"}</definedName>
    <definedName name="от_1" localSheetId="116" hidden="1">{#N/A,#N/A,TRUE,"Смета на пасс. обор. №1"}</definedName>
    <definedName name="от_1" localSheetId="117" hidden="1">{#N/A,#N/A,TRUE,"Смета на пасс. обор. №1"}</definedName>
    <definedName name="от_1" localSheetId="118" hidden="1">{#N/A,#N/A,TRUE,"Смета на пасс. обор. №1"}</definedName>
    <definedName name="от_1" localSheetId="121" hidden="1">{#N/A,#N/A,TRUE,"Смета на пасс. обор. №1"}</definedName>
    <definedName name="от_1" localSheetId="122" hidden="1">{#N/A,#N/A,TRUE,"Смета на пасс. обор. №1"}</definedName>
    <definedName name="от_1" localSheetId="8" hidden="1">{#N/A,#N/A,TRUE,"Смета на пасс. обор. №1"}</definedName>
    <definedName name="от_1" localSheetId="11" hidden="1">{#N/A,#N/A,TRUE,"Смета на пасс. обор. №1"}</definedName>
    <definedName name="от_1" localSheetId="110" hidden="1">{#N/A,#N/A,TRUE,"Смета на пасс. обор. №1"}</definedName>
    <definedName name="от_1" localSheetId="109" hidden="1">{#N/A,#N/A,TRUE,"Смета на пасс. обор. №1"}</definedName>
    <definedName name="от_1" localSheetId="108" hidden="1">{#N/A,#N/A,TRUE,"Смета на пасс. обор. №1"}</definedName>
    <definedName name="от_1" localSheetId="6" hidden="1">{#N/A,#N/A,TRUE,"Смета на пасс. обор. №1"}</definedName>
    <definedName name="от_1" localSheetId="9" hidden="1">{#N/A,#N/A,TRUE,"Смета на пасс. обор. №1"}</definedName>
    <definedName name="от_1" localSheetId="7" hidden="1">{#N/A,#N/A,TRUE,"Смета на пасс. обор. №1"}</definedName>
    <definedName name="от_1" localSheetId="92" hidden="1">{#N/A,#N/A,TRUE,"Смета на пасс. обор. №1"}</definedName>
    <definedName name="от_1" localSheetId="93" hidden="1">{#N/A,#N/A,TRUE,"Смета на пасс. обор. №1"}</definedName>
    <definedName name="от_1" localSheetId="94" hidden="1">{#N/A,#N/A,TRUE,"Смета на пасс. обор. №1"}</definedName>
    <definedName name="от_1" localSheetId="99" hidden="1">{#N/A,#N/A,TRUE,"Смета на пасс. обор. №1"}</definedName>
    <definedName name="от_1" localSheetId="100" hidden="1">{#N/A,#N/A,TRUE,"Смета на пасс. обор. №1"}</definedName>
    <definedName name="от_1" localSheetId="106" hidden="1">{#N/A,#N/A,TRUE,"Смета на пасс. обор. №1"}</definedName>
    <definedName name="от_1" localSheetId="2" hidden="1">{#N/A,#N/A,TRUE,"Смета на пасс. обор. №1"}</definedName>
    <definedName name="от_1" localSheetId="123" hidden="1">{#N/A,#N/A,TRUE,"Смета на пасс. обор. №1"}</definedName>
    <definedName name="от_1" localSheetId="4" hidden="1">{#N/A,#N/A,TRUE,"Смета на пасс. обор. №1"}</definedName>
    <definedName name="от_1" localSheetId="13" hidden="1">{#N/A,#N/A,TRUE,"Смета на пасс. обор. №1"}</definedName>
    <definedName name="от_1" hidden="1">{#N/A,#N/A,TRUE,"Смета на пасс. обор. №1"}</definedName>
    <definedName name="Отч_пож">[29]Коэфф!$B$6</definedName>
    <definedName name="Отчет" localSheetId="10">#REF!</definedName>
    <definedName name="Отчет" localSheetId="12">#REF!</definedName>
    <definedName name="Отчет" localSheetId="112">#REF!</definedName>
    <definedName name="Отчет" localSheetId="113">#REF!</definedName>
    <definedName name="Отчет" localSheetId="115">#REF!</definedName>
    <definedName name="Отчет" localSheetId="116">#REF!</definedName>
    <definedName name="Отчет" localSheetId="8">#REF!</definedName>
    <definedName name="Отчет" localSheetId="11">#REF!</definedName>
    <definedName name="Отчет" localSheetId="110">#REF!</definedName>
    <definedName name="Отчет" localSheetId="6">#REF!</definedName>
    <definedName name="Отчет" localSheetId="9">#REF!</definedName>
    <definedName name="Отчет" localSheetId="7">#REF!</definedName>
    <definedName name="Отчет" localSheetId="92">#REF!</definedName>
    <definedName name="Отчет" localSheetId="93">#REF!</definedName>
    <definedName name="Отчет" localSheetId="94">#REF!</definedName>
    <definedName name="Отчет" localSheetId="99">#REF!</definedName>
    <definedName name="Отчет" localSheetId="100">#REF!</definedName>
    <definedName name="Отчет" localSheetId="106">#REF!</definedName>
    <definedName name="Отчет" localSheetId="4">#REF!</definedName>
    <definedName name="Отчет" localSheetId="13">#REF!</definedName>
    <definedName name="Отчет">#REF!</definedName>
    <definedName name="Отчетный_период__учет_выполненных_работ" localSheetId="10">#REF!</definedName>
    <definedName name="Отчетный_период__учет_выполненных_работ" localSheetId="9">#REF!</definedName>
    <definedName name="Отчетный_период__учет_выполненных_работ">#REF!</definedName>
    <definedName name="оьт" localSheetId="10">#REF!</definedName>
    <definedName name="оьт" localSheetId="9">#REF!</definedName>
    <definedName name="оьт">#REF!</definedName>
    <definedName name="оьыватв" localSheetId="10">#REF!</definedName>
    <definedName name="оьыватв" localSheetId="9">#REF!</definedName>
    <definedName name="оьыватв">#REF!</definedName>
    <definedName name="оюю" localSheetId="10">#REF!</definedName>
    <definedName name="оюю" localSheetId="9">#REF!</definedName>
    <definedName name="оюю">#REF!</definedName>
    <definedName name="п" localSheetId="10">#REF!</definedName>
    <definedName name="п" localSheetId="12">#REF!</definedName>
    <definedName name="п" localSheetId="116">#REF!</definedName>
    <definedName name="п" localSheetId="110">#REF!</definedName>
    <definedName name="п" localSheetId="9">#REF!</definedName>
    <definedName name="п" localSheetId="92">#REF!</definedName>
    <definedName name="п" localSheetId="93">#REF!</definedName>
    <definedName name="п" localSheetId="94">#REF!</definedName>
    <definedName name="п" localSheetId="99">#REF!</definedName>
    <definedName name="п" localSheetId="100">#REF!</definedName>
    <definedName name="п" localSheetId="106">#REF!</definedName>
    <definedName name="п" localSheetId="4">#REF!</definedName>
    <definedName name="п" localSheetId="13">#REF!</definedName>
    <definedName name="п">#REF!</definedName>
    <definedName name="п_1" localSheetId="10">#REF!</definedName>
    <definedName name="п_1" localSheetId="9">#REF!</definedName>
    <definedName name="п_1">#REF!</definedName>
    <definedName name="п1111111" localSheetId="10">#REF!</definedName>
    <definedName name="п1111111" localSheetId="12">#REF!</definedName>
    <definedName name="п1111111" localSheetId="110">#REF!</definedName>
    <definedName name="п1111111" localSheetId="9">#REF!</definedName>
    <definedName name="п1111111" localSheetId="92">#REF!</definedName>
    <definedName name="п1111111" localSheetId="93">#REF!</definedName>
    <definedName name="п1111111" localSheetId="94">#REF!</definedName>
    <definedName name="п1111111" localSheetId="99">#REF!</definedName>
    <definedName name="п1111111" localSheetId="100">#REF!</definedName>
    <definedName name="п1111111" localSheetId="106">#REF!</definedName>
    <definedName name="п1111111" localSheetId="4">#REF!</definedName>
    <definedName name="п1111111" localSheetId="13">#REF!</definedName>
    <definedName name="п1111111">#REF!</definedName>
    <definedName name="п45" localSheetId="10">#REF!</definedName>
    <definedName name="п45" localSheetId="12">#REF!</definedName>
    <definedName name="п45" localSheetId="110">#REF!</definedName>
    <definedName name="п45" localSheetId="9">#REF!</definedName>
    <definedName name="п45">#REF!</definedName>
    <definedName name="ПА3" localSheetId="10">#REF!</definedName>
    <definedName name="ПА3" localSheetId="12">#REF!</definedName>
    <definedName name="ПА3" localSheetId="110">#REF!</definedName>
    <definedName name="ПА3" localSheetId="9">#REF!</definedName>
    <definedName name="ПА3">#REF!</definedName>
    <definedName name="ПА4" localSheetId="10">#REF!</definedName>
    <definedName name="ПА4" localSheetId="12">#REF!</definedName>
    <definedName name="ПА4" localSheetId="110">#REF!</definedName>
    <definedName name="ПА4" localSheetId="9">#REF!</definedName>
    <definedName name="ПА4">#REF!</definedName>
    <definedName name="паирав" localSheetId="10">#REF!</definedName>
    <definedName name="паирав" localSheetId="9">#REF!</definedName>
    <definedName name="паирав">#REF!</definedName>
    <definedName name="пао" localSheetId="10">#REF!</definedName>
    <definedName name="пао" localSheetId="9">#REF!</definedName>
    <definedName name="пао">#REF!</definedName>
    <definedName name="пап" localSheetId="10">#REF!</definedName>
    <definedName name="пап" localSheetId="9">#REF!</definedName>
    <definedName name="пап">#REF!</definedName>
    <definedName name="паша" localSheetId="10">#REF!</definedName>
    <definedName name="паша" localSheetId="12">#REF!</definedName>
    <definedName name="паша" localSheetId="110">#REF!</definedName>
    <definedName name="паша" localSheetId="9">#REF!</definedName>
    <definedName name="паша">#REF!</definedName>
    <definedName name="ПБ" localSheetId="10">#REF!</definedName>
    <definedName name="ПБ" localSheetId="12">#REF!</definedName>
    <definedName name="ПБ" localSheetId="110">#REF!</definedName>
    <definedName name="ПБ" localSheetId="9">#REF!</definedName>
    <definedName name="ПБ">#REF!</definedName>
    <definedName name="пвар" localSheetId="10">#REF!</definedName>
    <definedName name="пвар" localSheetId="9">#REF!</definedName>
    <definedName name="пвар">#REF!</definedName>
    <definedName name="пвопв" localSheetId="10">#REF!</definedName>
    <definedName name="пвопв" localSheetId="9">#REF!</definedName>
    <definedName name="пвопв">#REF!</definedName>
    <definedName name="пвр" localSheetId="10">#REF!</definedName>
    <definedName name="пвр" localSheetId="9">#REF!</definedName>
    <definedName name="пвр">#REF!</definedName>
    <definedName name="пврл" localSheetId="10">#REF!</definedName>
    <definedName name="пврл" localSheetId="9">#REF!</definedName>
    <definedName name="пврл">#REF!</definedName>
    <definedName name="пвррь" localSheetId="10">#REF!</definedName>
    <definedName name="пвррь" localSheetId="9">#REF!</definedName>
    <definedName name="пвррь">#REF!</definedName>
    <definedName name="пврьп" localSheetId="10">#REF!</definedName>
    <definedName name="пврьп" localSheetId="9">#REF!</definedName>
    <definedName name="пврьп">#REF!</definedName>
    <definedName name="пврьпв" localSheetId="10">#REF!</definedName>
    <definedName name="пврьпв" localSheetId="9">#REF!</definedName>
    <definedName name="пврьпв">#REF!</definedName>
    <definedName name="пврьпврь" localSheetId="10">#REF!</definedName>
    <definedName name="пврьпврь" localSheetId="9">#REF!</definedName>
    <definedName name="пврьпврь">#REF!</definedName>
    <definedName name="пвСпп" localSheetId="10">#REF!</definedName>
    <definedName name="пвСпп" localSheetId="9">#REF!</definedName>
    <definedName name="пвСпп">#REF!</definedName>
    <definedName name="пвы" localSheetId="10">[7]топография!#REF!</definedName>
    <definedName name="пвы" localSheetId="9">[7]топография!#REF!</definedName>
    <definedName name="пвы">[7]топография!#REF!</definedName>
    <definedName name="пвьрвпрь" localSheetId="10">#REF!</definedName>
    <definedName name="пвьрвпрь" localSheetId="9">#REF!</definedName>
    <definedName name="пвьрвпрь">#REF!</definedName>
    <definedName name="пг" localSheetId="10">#REF!</definedName>
    <definedName name="пг" localSheetId="9">#REF!</definedName>
    <definedName name="пг">#REF!</definedName>
    <definedName name="пгшд" localSheetId="10">#REF!</definedName>
    <definedName name="пгшд" localSheetId="9">#REF!</definedName>
    <definedName name="пгшд">#REF!</definedName>
    <definedName name="ПД" localSheetId="10">#REF!</definedName>
    <definedName name="ПД" localSheetId="12">#REF!</definedName>
    <definedName name="ПД" localSheetId="110">#REF!</definedName>
    <definedName name="ПД" localSheetId="9">#REF!</definedName>
    <definedName name="ПД">#REF!</definedName>
    <definedName name="пдплд" localSheetId="10">#REF!</definedName>
    <definedName name="пдплд" localSheetId="9">#REF!</definedName>
    <definedName name="пдплд">#REF!</definedName>
    <definedName name="пек" localSheetId="10">#REF!</definedName>
    <definedName name="пек" localSheetId="9">#REF!</definedName>
    <definedName name="пек">#REF!</definedName>
    <definedName name="Пензенская_область" localSheetId="10">#REF!</definedName>
    <definedName name="Пензенская_область" localSheetId="9">#REF!</definedName>
    <definedName name="Пензенская_область">#REF!</definedName>
    <definedName name="перв_кат" localSheetId="10">#REF!</definedName>
    <definedName name="перв_кат" localSheetId="9">#REF!</definedName>
    <definedName name="перв_кат">#REF!</definedName>
    <definedName name="первая_кат" localSheetId="10">#REF!</definedName>
    <definedName name="первая_кат" localSheetId="9">#REF!</definedName>
    <definedName name="первая_кат">#REF!</definedName>
    <definedName name="первый" localSheetId="10">#REF!</definedName>
    <definedName name="первый" localSheetId="9">#REF!</definedName>
    <definedName name="первый">#REF!</definedName>
    <definedName name="ПереченьДолжностей">[66]Должности!$A$2:$A$31</definedName>
    <definedName name="Пермская_область" localSheetId="10">#REF!</definedName>
    <definedName name="Пермская_область" localSheetId="9">#REF!</definedName>
    <definedName name="Пермская_область">#REF!</definedName>
    <definedName name="Пермская_область_1" localSheetId="10">#REF!</definedName>
    <definedName name="Пермская_область_1" localSheetId="9">#REF!</definedName>
    <definedName name="Пермская_область_1">#REF!</definedName>
    <definedName name="ПЗ2" localSheetId="10">#REF!</definedName>
    <definedName name="ПЗ2" localSheetId="12">#REF!</definedName>
    <definedName name="ПЗ2" localSheetId="116">#REF!</definedName>
    <definedName name="ПЗ2" localSheetId="8">#REF!</definedName>
    <definedName name="ПЗ2" localSheetId="11">#REF!</definedName>
    <definedName name="ПЗ2" localSheetId="110">#REF!</definedName>
    <definedName name="ПЗ2" localSheetId="109">#REF!</definedName>
    <definedName name="ПЗ2" localSheetId="108">#REF!</definedName>
    <definedName name="ПЗ2" localSheetId="6">#REF!</definedName>
    <definedName name="ПЗ2" localSheetId="9">#REF!</definedName>
    <definedName name="ПЗ2" localSheetId="7">#REF!</definedName>
    <definedName name="ПЗ2" localSheetId="92">#REF!</definedName>
    <definedName name="ПЗ2" localSheetId="93">#REF!</definedName>
    <definedName name="ПЗ2" localSheetId="94">#REF!</definedName>
    <definedName name="ПЗ2" localSheetId="99">#REF!</definedName>
    <definedName name="ПЗ2" localSheetId="100">#REF!</definedName>
    <definedName name="ПЗ2" localSheetId="106">#REF!</definedName>
    <definedName name="ПЗ2" localSheetId="4">#REF!</definedName>
    <definedName name="ПЗ2" localSheetId="13">#REF!</definedName>
    <definedName name="ПЗ2">#REF!</definedName>
    <definedName name="Пи" localSheetId="10">#REF!</definedName>
    <definedName name="Пи" localSheetId="9">#REF!</definedName>
    <definedName name="Пи">#REF!</definedName>
    <definedName name="Пи_" localSheetId="10">#REF!</definedName>
    <definedName name="Пи_" localSheetId="9">#REF!</definedName>
    <definedName name="Пи_">#REF!</definedName>
    <definedName name="пионер" localSheetId="10">#REF!</definedName>
    <definedName name="пионер" localSheetId="12">#REF!</definedName>
    <definedName name="пионер" localSheetId="116">#REF!</definedName>
    <definedName name="пионер" localSheetId="110">#REF!</definedName>
    <definedName name="пионер" localSheetId="9">#REF!</definedName>
    <definedName name="пионер" localSheetId="92">#REF!</definedName>
    <definedName name="пионер" localSheetId="93">#REF!</definedName>
    <definedName name="пионер" localSheetId="94">#REF!</definedName>
    <definedName name="пионер" localSheetId="99">#REF!</definedName>
    <definedName name="пионер" localSheetId="100">#REF!</definedName>
    <definedName name="пионер" localSheetId="106">#REF!</definedName>
    <definedName name="пионер" localSheetId="4">#REF!</definedName>
    <definedName name="пионер" localSheetId="13">#REF!</definedName>
    <definedName name="пионер">#REF!</definedName>
    <definedName name="ПИР" localSheetId="10">#REF!</definedName>
    <definedName name="ПИР" localSheetId="9">#REF!</definedName>
    <definedName name="ПИР">#REF!</definedName>
    <definedName name="ПИСС_стац" localSheetId="10">#REF!</definedName>
    <definedName name="ПИСС_стац" localSheetId="12">#REF!</definedName>
    <definedName name="ПИСС_стац" localSheetId="110">#REF!</definedName>
    <definedName name="ПИСС_стац" localSheetId="9">#REF!</definedName>
    <definedName name="ПИСС_стац" localSheetId="92">#REF!</definedName>
    <definedName name="ПИСС_стац" localSheetId="93">#REF!</definedName>
    <definedName name="ПИСС_стац" localSheetId="94">#REF!</definedName>
    <definedName name="ПИСС_стац" localSheetId="99">#REF!</definedName>
    <definedName name="ПИСС_стац" localSheetId="100">#REF!</definedName>
    <definedName name="ПИСС_стац" localSheetId="106">#REF!</definedName>
    <definedName name="ПИСС_стац" localSheetId="4">#REF!</definedName>
    <definedName name="ПИСС_стац" localSheetId="13">#REF!</definedName>
    <definedName name="ПИСС_стац">#REF!</definedName>
    <definedName name="ПИСС_эксп" localSheetId="10">#REF!</definedName>
    <definedName name="ПИСС_эксп" localSheetId="12">#REF!</definedName>
    <definedName name="ПИСС_эксп" localSheetId="110">#REF!</definedName>
    <definedName name="ПИСС_эксп" localSheetId="9">#REF!</definedName>
    <definedName name="ПИСС_эксп">#REF!</definedName>
    <definedName name="Пкр">'[25]Лист опроса'!$B$41</definedName>
    <definedName name="пл" localSheetId="10">#REF!</definedName>
    <definedName name="пл" localSheetId="9">#REF!</definedName>
    <definedName name="пл">#REF!</definedName>
    <definedName name="план" localSheetId="10">[7]топография!#REF!</definedName>
    <definedName name="план" localSheetId="115">[7]топография!#REF!</definedName>
    <definedName name="план" localSheetId="8">[7]топография!#REF!</definedName>
    <definedName name="план" localSheetId="11">[7]топография!#REF!</definedName>
    <definedName name="план" localSheetId="6">[7]топография!#REF!</definedName>
    <definedName name="план" localSheetId="9">[7]топография!#REF!</definedName>
    <definedName name="План" localSheetId="7">'[67]Смета 7'!$F$1</definedName>
    <definedName name="План">'[67]Смета 7'!$F$1</definedName>
    <definedName name="плдпол" localSheetId="10">#REF!</definedName>
    <definedName name="плдпол" localSheetId="9">#REF!</definedName>
    <definedName name="плдпол">#REF!</definedName>
    <definedName name="плдполд" localSheetId="10">#REF!</definedName>
    <definedName name="плдполд" localSheetId="9">#REF!</definedName>
    <definedName name="плдполд">#REF!</definedName>
    <definedName name="плодолд" localSheetId="10">#REF!</definedName>
    <definedName name="плодолд" localSheetId="9">#REF!</definedName>
    <definedName name="плодолд">#REF!</definedName>
    <definedName name="Площадь" localSheetId="10">#REF!</definedName>
    <definedName name="Площадь" localSheetId="12">#REF!</definedName>
    <definedName name="Площадь" localSheetId="116">#REF!</definedName>
    <definedName name="Площадь" localSheetId="110">#REF!</definedName>
    <definedName name="Площадь" localSheetId="109">#REF!</definedName>
    <definedName name="Площадь" localSheetId="108">#REF!</definedName>
    <definedName name="Площадь" localSheetId="9">#REF!</definedName>
    <definedName name="Площадь" localSheetId="7">#REF!</definedName>
    <definedName name="Площадь" localSheetId="92">#REF!</definedName>
    <definedName name="Площадь" localSheetId="93">#REF!</definedName>
    <definedName name="Площадь" localSheetId="94">#REF!</definedName>
    <definedName name="Площадь" localSheetId="99">#REF!</definedName>
    <definedName name="Площадь" localSheetId="100">#REF!</definedName>
    <definedName name="Площадь" localSheetId="106">#REF!</definedName>
    <definedName name="Площадь" localSheetId="4">#REF!</definedName>
    <definedName name="Площадь" localSheetId="13">#REF!</definedName>
    <definedName name="Площадь">#REF!</definedName>
    <definedName name="Площадь_1" localSheetId="10">#REF!</definedName>
    <definedName name="Площадь_1" localSheetId="9">#REF!</definedName>
    <definedName name="Площадь_1">#REF!</definedName>
    <definedName name="Площадь_нелинейных_объектов" localSheetId="10">#REF!</definedName>
    <definedName name="Площадь_нелинейных_объектов" localSheetId="12">#REF!</definedName>
    <definedName name="Площадь_нелинейных_объектов" localSheetId="116">#REF!</definedName>
    <definedName name="Площадь_нелинейных_объектов" localSheetId="110">#REF!</definedName>
    <definedName name="Площадь_нелинейных_объектов" localSheetId="109">#REF!</definedName>
    <definedName name="Площадь_нелинейных_объектов" localSheetId="108">#REF!</definedName>
    <definedName name="Площадь_нелинейных_объектов" localSheetId="9">#REF!</definedName>
    <definedName name="Площадь_нелинейных_объектов" localSheetId="92">#REF!</definedName>
    <definedName name="Площадь_нелинейных_объектов" localSheetId="93">#REF!</definedName>
    <definedName name="Площадь_нелинейных_объектов" localSheetId="94">#REF!</definedName>
    <definedName name="Площадь_нелинейных_объектов" localSheetId="99">#REF!</definedName>
    <definedName name="Площадь_нелинейных_объектов" localSheetId="100">#REF!</definedName>
    <definedName name="Площадь_нелинейных_объектов" localSheetId="106">#REF!</definedName>
    <definedName name="Площадь_нелинейных_объектов" localSheetId="4">#REF!</definedName>
    <definedName name="Площадь_нелинейных_объектов" localSheetId="13">#REF!</definedName>
    <definedName name="Площадь_нелинейных_объектов">#REF!</definedName>
    <definedName name="Площадь_нелинейных_объектов_1" localSheetId="10">#REF!</definedName>
    <definedName name="Площадь_нелинейных_объектов_1" localSheetId="9">#REF!</definedName>
    <definedName name="Площадь_нелинейных_объектов_1">#REF!</definedName>
    <definedName name="Площадь_планшетов" localSheetId="10">#REF!</definedName>
    <definedName name="Площадь_планшетов" localSheetId="12">#REF!</definedName>
    <definedName name="Площадь_планшетов" localSheetId="116">#REF!</definedName>
    <definedName name="Площадь_планшетов" localSheetId="110">#REF!</definedName>
    <definedName name="Площадь_планшетов" localSheetId="109">#REF!</definedName>
    <definedName name="Площадь_планшетов" localSheetId="108">#REF!</definedName>
    <definedName name="Площадь_планшетов" localSheetId="9">#REF!</definedName>
    <definedName name="Площадь_планшетов" localSheetId="92">#REF!</definedName>
    <definedName name="Площадь_планшетов" localSheetId="93">#REF!</definedName>
    <definedName name="Площадь_планшетов" localSheetId="94">#REF!</definedName>
    <definedName name="Площадь_планшетов" localSheetId="99">#REF!</definedName>
    <definedName name="Площадь_планшетов" localSheetId="100">#REF!</definedName>
    <definedName name="Площадь_планшетов" localSheetId="106">#REF!</definedName>
    <definedName name="Площадь_планшетов" localSheetId="4">#REF!</definedName>
    <definedName name="Площадь_планшетов" localSheetId="13">#REF!</definedName>
    <definedName name="Площадь_планшетов">#REF!</definedName>
    <definedName name="Площадь_планшетов_1" localSheetId="10">#REF!</definedName>
    <definedName name="Площадь_планшетов_1" localSheetId="9">#REF!</definedName>
    <definedName name="Площадь_планшетов_1">#REF!</definedName>
    <definedName name="плп" localSheetId="10">[4]топография!#REF!</definedName>
    <definedName name="плп" localSheetId="9">[4]топография!#REF!</definedName>
    <definedName name="плп">[4]топография!#REF!</definedName>
    <definedName name="плыа" localSheetId="10">#REF!</definedName>
    <definedName name="плыа" localSheetId="9">#REF!</definedName>
    <definedName name="плыа">#REF!</definedName>
    <definedName name="плю" localSheetId="10">#REF!</definedName>
    <definedName name="плю" localSheetId="9">#REF!</definedName>
    <definedName name="плю">#REF!</definedName>
    <definedName name="пнр" localSheetId="10">#REF!</definedName>
    <definedName name="пнр" localSheetId="12">#REF!</definedName>
    <definedName name="пнр" localSheetId="8">#REF!</definedName>
    <definedName name="пнр" localSheetId="11">#REF!</definedName>
    <definedName name="пнр" localSheetId="110">#REF!</definedName>
    <definedName name="пнр" localSheetId="6">#REF!</definedName>
    <definedName name="пнр" localSheetId="9">#REF!</definedName>
    <definedName name="пнр" localSheetId="7">#REF!</definedName>
    <definedName name="пнр">#REF!</definedName>
    <definedName name="по" localSheetId="10">#REF!</definedName>
    <definedName name="по" localSheetId="9">#REF!</definedName>
    <definedName name="по">#REF!</definedName>
    <definedName name="пов" localSheetId="10">#REF!</definedName>
    <definedName name="пов" localSheetId="9">#REF!</definedName>
    <definedName name="пов">#REF!</definedName>
    <definedName name="Подгон" localSheetId="10">#REF!</definedName>
    <definedName name="Подгон" localSheetId="9">#REF!</definedName>
    <definedName name="Подгон">#REF!</definedName>
    <definedName name="подлжддлджд" localSheetId="10">#REF!</definedName>
    <definedName name="подлжддлджд" localSheetId="9">#REF!</definedName>
    <definedName name="подлжддлджд">#REF!</definedName>
    <definedName name="ПодрядДолжн" localSheetId="7">[49]ОбмОбслЗемОд!$F$67</definedName>
    <definedName name="ПодрядДолжн">[50]ОбмОбслЗемОд!$F$67</definedName>
    <definedName name="ПодрядИмя" localSheetId="7">[49]ОбмОбслЗемОд!$H$69</definedName>
    <definedName name="ПодрядИмя">[50]ОбмОбслЗемОд!$H$69</definedName>
    <definedName name="Подрядчик" localSheetId="7">[49]ОбмОбслЗемОд!$A$7</definedName>
    <definedName name="Подрядчик">[50]ОбмОбслЗемОд!$A$7</definedName>
    <definedName name="Покупное_ПО" localSheetId="10">#REF!</definedName>
    <definedName name="Покупное_ПО" localSheetId="9">#REF!</definedName>
    <definedName name="Покупное_ПО">#REF!</definedName>
    <definedName name="Покупные" localSheetId="10">#REF!</definedName>
    <definedName name="Покупные" localSheetId="9">#REF!</definedName>
    <definedName name="Покупные">#REF!</definedName>
    <definedName name="Покупные_изделия" localSheetId="10">#REF!</definedName>
    <definedName name="Покупные_изделия" localSheetId="9">#REF!</definedName>
    <definedName name="Покупные_изделия">#REF!</definedName>
    <definedName name="полд" localSheetId="10">#REF!</definedName>
    <definedName name="полд" localSheetId="9">#REF!</definedName>
    <definedName name="полд">#REF!</definedName>
    <definedName name="Полевые" localSheetId="10">#REF!</definedName>
    <definedName name="Полевые" localSheetId="12">#REF!</definedName>
    <definedName name="Полевые" localSheetId="112">#REF!</definedName>
    <definedName name="Полевые" localSheetId="113">#REF!</definedName>
    <definedName name="Полевые" localSheetId="115">#REF!</definedName>
    <definedName name="Полевые" localSheetId="116">#REF!</definedName>
    <definedName name="Полевые" localSheetId="110">#REF!</definedName>
    <definedName name="Полевые" localSheetId="9">#REF!</definedName>
    <definedName name="Полевые">#REF!</definedName>
    <definedName name="Полно" localSheetId="10">#REF!</definedName>
    <definedName name="Полно" localSheetId="12">#REF!</definedName>
    <definedName name="Полно" localSheetId="110">#REF!</definedName>
    <definedName name="Полно" localSheetId="9">#REF!</definedName>
    <definedName name="Полно">#REF!</definedName>
    <definedName name="попр" localSheetId="10">#REF!</definedName>
    <definedName name="попр" localSheetId="12">#REF!</definedName>
    <definedName name="попр" localSheetId="110">#REF!</definedName>
    <definedName name="попр" localSheetId="9">#REF!</definedName>
    <definedName name="попр">#REF!</definedName>
    <definedName name="Поправочные_коэффициенты_по_письму_Госстроя_от_25.12.90">#N/A</definedName>
    <definedName name="Поправочные_коэффициенты_по_письму_Госстроя_от_25.12.90___0" localSheetId="10">#REF!</definedName>
    <definedName name="Поправочные_коэффициенты_по_письму_Госстроя_от_25.12.90___0" localSheetId="12">#REF!</definedName>
    <definedName name="Поправочные_коэффициенты_по_письму_Госстроя_от_25.12.90___0" localSheetId="116">#REF!</definedName>
    <definedName name="Поправочные_коэффициенты_по_письму_Госстроя_от_25.12.90___0" localSheetId="8">#REF!</definedName>
    <definedName name="Поправочные_коэффициенты_по_письму_Госстроя_от_25.12.90___0" localSheetId="11">#REF!</definedName>
    <definedName name="Поправочные_коэффициенты_по_письму_Госстроя_от_25.12.90___0" localSheetId="110">#REF!</definedName>
    <definedName name="Поправочные_коэффициенты_по_письму_Госстроя_от_25.12.90___0" localSheetId="109">#REF!</definedName>
    <definedName name="Поправочные_коэффициенты_по_письму_Госстроя_от_25.12.90___0" localSheetId="108">#REF!</definedName>
    <definedName name="Поправочные_коэффициенты_по_письму_Госстроя_от_25.12.90___0" localSheetId="6">#REF!</definedName>
    <definedName name="Поправочные_коэффициенты_по_письму_Госстроя_от_25.12.90___0" localSheetId="9">#REF!</definedName>
    <definedName name="Поправочные_коэффициенты_по_письму_Госстроя_от_25.12.90___0" localSheetId="7">#REF!</definedName>
    <definedName name="Поправочные_коэффициенты_по_письму_Госстроя_от_25.12.90___0" localSheetId="92">#REF!</definedName>
    <definedName name="Поправочные_коэффициенты_по_письму_Госстроя_от_25.12.90___0" localSheetId="93">#REF!</definedName>
    <definedName name="Поправочные_коэффициенты_по_письму_Госстроя_от_25.12.90___0" localSheetId="94">#REF!</definedName>
    <definedName name="Поправочные_коэффициенты_по_письму_Госстроя_от_25.12.90___0" localSheetId="99">#REF!</definedName>
    <definedName name="Поправочные_коэффициенты_по_письму_Госстроя_от_25.12.90___0" localSheetId="100">#REF!</definedName>
    <definedName name="Поправочные_коэффициенты_по_письму_Госстроя_от_25.12.90___0" localSheetId="106">#REF!</definedName>
    <definedName name="Поправочные_коэффициенты_по_письму_Госстроя_от_25.12.90___0">#REF!</definedName>
    <definedName name="Поправочные_коэффициенты_по_письму_Госстроя_от_25.12.90___0___0" localSheetId="10">#REF!</definedName>
    <definedName name="Поправочные_коэффициенты_по_письму_Госстроя_от_25.12.90___0___0" localSheetId="12">#REF!</definedName>
    <definedName name="Поправочные_коэффициенты_по_письму_Госстроя_от_25.12.90___0___0" localSheetId="116">#REF!</definedName>
    <definedName name="Поправочные_коэффициенты_по_письму_Госстроя_от_25.12.90___0___0" localSheetId="110">#REF!</definedName>
    <definedName name="Поправочные_коэффициенты_по_письму_Госстроя_от_25.12.90___0___0" localSheetId="109">#REF!</definedName>
    <definedName name="Поправочные_коэффициенты_по_письму_Госстроя_от_25.12.90___0___0" localSheetId="108">#REF!</definedName>
    <definedName name="Поправочные_коэффициенты_по_письму_Госстроя_от_25.12.90___0___0" localSheetId="9">#REF!</definedName>
    <definedName name="Поправочные_коэффициенты_по_письму_Госстроя_от_25.12.90___0___0" localSheetId="7">#REF!</definedName>
    <definedName name="Поправочные_коэффициенты_по_письму_Госстроя_от_25.12.90___0___0" localSheetId="92">#REF!</definedName>
    <definedName name="Поправочные_коэффициенты_по_письму_Госстроя_от_25.12.90___0___0" localSheetId="93">#REF!</definedName>
    <definedName name="Поправочные_коэффициенты_по_письму_Госстроя_от_25.12.90___0___0" localSheetId="94">#REF!</definedName>
    <definedName name="Поправочные_коэффициенты_по_письму_Госстроя_от_25.12.90___0___0" localSheetId="99">#REF!</definedName>
    <definedName name="Поправочные_коэффициенты_по_письму_Госстроя_от_25.12.90___0___0" localSheetId="100">#REF!</definedName>
    <definedName name="Поправочные_коэффициенты_по_письму_Госстроя_от_25.12.90___0___0" localSheetId="106">#REF!</definedName>
    <definedName name="Поправочные_коэффициенты_по_письму_Госстроя_от_25.12.90___0___0">#REF!</definedName>
    <definedName name="Поправочные_коэффициенты_по_письму_Госстроя_от_25.12.90___0___0___0" localSheetId="10">#REF!</definedName>
    <definedName name="Поправочные_коэффициенты_по_письму_Госстроя_от_25.12.90___0___0___0" localSheetId="12">#REF!</definedName>
    <definedName name="Поправочные_коэффициенты_по_письму_Госстроя_от_25.12.90___0___0___0" localSheetId="116">#REF!</definedName>
    <definedName name="Поправочные_коэффициенты_по_письму_Госстроя_от_25.12.90___0___0___0" localSheetId="110">#REF!</definedName>
    <definedName name="Поправочные_коэффициенты_по_письму_Госстроя_от_25.12.90___0___0___0" localSheetId="109">#REF!</definedName>
    <definedName name="Поправочные_коэффициенты_по_письму_Госстроя_от_25.12.90___0___0___0" localSheetId="108">#REF!</definedName>
    <definedName name="Поправочные_коэффициенты_по_письму_Госстроя_от_25.12.90___0___0___0" localSheetId="9">#REF!</definedName>
    <definedName name="Поправочные_коэффициенты_по_письму_Госстроя_от_25.12.90___0___0___0" localSheetId="92">#REF!</definedName>
    <definedName name="Поправочные_коэффициенты_по_письму_Госстроя_от_25.12.90___0___0___0" localSheetId="93">#REF!</definedName>
    <definedName name="Поправочные_коэффициенты_по_письму_Госстроя_от_25.12.90___0___0___0" localSheetId="94">#REF!</definedName>
    <definedName name="Поправочные_коэффициенты_по_письму_Госстроя_от_25.12.90___0___0___0" localSheetId="99">#REF!</definedName>
    <definedName name="Поправочные_коэффициенты_по_письму_Госстроя_от_25.12.90___0___0___0" localSheetId="100">#REF!</definedName>
    <definedName name="Поправочные_коэффициенты_по_письму_Госстроя_от_25.12.90___0___0___0" localSheetId="106">#REF!</definedName>
    <definedName name="Поправочные_коэффициенты_по_письму_Госстроя_от_25.12.90___0___0___0">#REF!</definedName>
    <definedName name="Поправочные_коэффициенты_по_письму_Госстроя_от_25.12.90___0___0___0___0" localSheetId="10">#REF!</definedName>
    <definedName name="Поправочные_коэффициенты_по_письму_Госстроя_от_25.12.90___0___0___0___0" localSheetId="12">#REF!</definedName>
    <definedName name="Поправочные_коэффициенты_по_письму_Госстроя_от_25.12.90___0___0___0___0" localSheetId="110">#REF!</definedName>
    <definedName name="Поправочные_коэффициенты_по_письму_Госстроя_от_25.12.90___0___0___0___0" localSheetId="9">#REF!</definedName>
    <definedName name="Поправочные_коэффициенты_по_письму_Госстроя_от_25.12.90___0___0___0___0">#REF!</definedName>
    <definedName name="Поправочные_коэффициенты_по_письму_Госстроя_от_25.12.90___0___0___0___0___0" localSheetId="10">#REF!</definedName>
    <definedName name="Поправочные_коэффициенты_по_письму_Госстроя_от_25.12.90___0___0___0___0___0" localSheetId="9">#REF!</definedName>
    <definedName name="Поправочные_коэффициенты_по_письму_Госстроя_от_25.12.90___0___0___0___0___0">#REF!</definedName>
    <definedName name="Поправочные_коэффициенты_по_письму_Госстроя_от_25.12.90___0___0___0___0___0_1" localSheetId="10">#REF!</definedName>
    <definedName name="Поправочные_коэффициенты_по_письму_Госстроя_от_25.12.90___0___0___0___0___0_1" localSheetId="9">#REF!</definedName>
    <definedName name="Поправочные_коэффициенты_по_письму_Госстроя_от_25.12.90___0___0___0___0___0_1">#REF!</definedName>
    <definedName name="Поправочные_коэффициенты_по_письму_Госстроя_от_25.12.90___0___0___0___0_1" localSheetId="10">#REF!</definedName>
    <definedName name="Поправочные_коэффициенты_по_письму_Госстроя_от_25.12.90___0___0___0___0_1" localSheetId="9">#REF!</definedName>
    <definedName name="Поправочные_коэффициенты_по_письму_Госстроя_от_25.12.90___0___0___0___0_1">#REF!</definedName>
    <definedName name="Поправочные_коэффициенты_по_письму_Госстроя_от_25.12.90___0___0___0___1" localSheetId="10">#REF!</definedName>
    <definedName name="Поправочные_коэффициенты_по_письму_Госстроя_от_25.12.90___0___0___0___1" localSheetId="9">#REF!</definedName>
    <definedName name="Поправочные_коэффициенты_по_письму_Госстроя_от_25.12.90___0___0___0___1">#REF!</definedName>
    <definedName name="Поправочные_коэффициенты_по_письму_Госстроя_от_25.12.90___0___0___0___1_1" localSheetId="10">#REF!</definedName>
    <definedName name="Поправочные_коэффициенты_по_письму_Госстроя_от_25.12.90___0___0___0___1_1" localSheetId="9">#REF!</definedName>
    <definedName name="Поправочные_коэффициенты_по_письму_Госстроя_от_25.12.90___0___0___0___1_1">#REF!</definedName>
    <definedName name="Поправочные_коэффициенты_по_письму_Госстроя_от_25.12.90___0___0___0___5" localSheetId="10">#REF!</definedName>
    <definedName name="Поправочные_коэффициенты_по_письму_Госстроя_от_25.12.90___0___0___0___5" localSheetId="9">#REF!</definedName>
    <definedName name="Поправочные_коэффициенты_по_письму_Госстроя_от_25.12.90___0___0___0___5">#REF!</definedName>
    <definedName name="Поправочные_коэффициенты_по_письму_Госстроя_от_25.12.90___0___0___0___5_1" localSheetId="10">#REF!</definedName>
    <definedName name="Поправочные_коэффициенты_по_письму_Госстроя_от_25.12.90___0___0___0___5_1" localSheetId="9">#REF!</definedName>
    <definedName name="Поправочные_коэффициенты_по_письму_Госстроя_от_25.12.90___0___0___0___5_1">#REF!</definedName>
    <definedName name="Поправочные_коэффициенты_по_письму_Госстроя_от_25.12.90___0___0___0_1" localSheetId="10">#REF!</definedName>
    <definedName name="Поправочные_коэффициенты_по_письму_Госстроя_от_25.12.90___0___0___0_1" localSheetId="9">#REF!</definedName>
    <definedName name="Поправочные_коэффициенты_по_письму_Госстроя_от_25.12.90___0___0___0_1">#REF!</definedName>
    <definedName name="Поправочные_коэффициенты_по_письму_Госстроя_от_25.12.90___0___0___0_1_1" localSheetId="10">#REF!</definedName>
    <definedName name="Поправочные_коэффициенты_по_письму_Госстроя_от_25.12.90___0___0___0_1_1" localSheetId="9">#REF!</definedName>
    <definedName name="Поправочные_коэффициенты_по_письму_Госстроя_от_25.12.90___0___0___0_1_1">#REF!</definedName>
    <definedName name="Поправочные_коэффициенты_по_письму_Госстроя_от_25.12.90___0___0___0_1_1_1" localSheetId="10">#REF!</definedName>
    <definedName name="Поправочные_коэффициенты_по_письму_Госстроя_от_25.12.90___0___0___0_1_1_1" localSheetId="9">#REF!</definedName>
    <definedName name="Поправочные_коэффициенты_по_письму_Госстроя_от_25.12.90___0___0___0_1_1_1">#REF!</definedName>
    <definedName name="Поправочные_коэффициенты_по_письму_Госстроя_от_25.12.90___0___0___0_5" localSheetId="10">#REF!</definedName>
    <definedName name="Поправочные_коэффициенты_по_письму_Госстроя_от_25.12.90___0___0___0_5" localSheetId="9">#REF!</definedName>
    <definedName name="Поправочные_коэффициенты_по_письму_Госстроя_от_25.12.90___0___0___0_5">#REF!</definedName>
    <definedName name="Поправочные_коэффициенты_по_письму_Госстроя_от_25.12.90___0___0___0_5_1" localSheetId="10">#REF!</definedName>
    <definedName name="Поправочные_коэффициенты_по_письму_Госстроя_от_25.12.90___0___0___0_5_1" localSheetId="9">#REF!</definedName>
    <definedName name="Поправочные_коэффициенты_по_письму_Госстроя_от_25.12.90___0___0___0_5_1">#REF!</definedName>
    <definedName name="Поправочные_коэффициенты_по_письму_Госстроя_от_25.12.90___0___0___1" localSheetId="10">#REF!</definedName>
    <definedName name="Поправочные_коэффициенты_по_письму_Госстроя_от_25.12.90___0___0___1" localSheetId="9">#REF!</definedName>
    <definedName name="Поправочные_коэффициенты_по_письму_Госстроя_от_25.12.90___0___0___1">#REF!</definedName>
    <definedName name="Поправочные_коэффициенты_по_письму_Госстроя_от_25.12.90___0___0___1_1" localSheetId="10">#REF!</definedName>
    <definedName name="Поправочные_коэффициенты_по_письму_Госстроя_от_25.12.90___0___0___1_1" localSheetId="9">#REF!</definedName>
    <definedName name="Поправочные_коэффициенты_по_письму_Госстроя_от_25.12.90___0___0___1_1">#REF!</definedName>
    <definedName name="Поправочные_коэффициенты_по_письму_Госстроя_от_25.12.90___0___0___2" localSheetId="10">#REF!</definedName>
    <definedName name="Поправочные_коэффициенты_по_письму_Госстроя_от_25.12.90___0___0___2" localSheetId="12">#REF!</definedName>
    <definedName name="Поправочные_коэффициенты_по_письму_Госстроя_от_25.12.90___0___0___2" localSheetId="110">#REF!</definedName>
    <definedName name="Поправочные_коэффициенты_по_письму_Госстроя_от_25.12.90___0___0___2" localSheetId="9">#REF!</definedName>
    <definedName name="Поправочные_коэффициенты_по_письму_Госстроя_от_25.12.90___0___0___2">#REF!</definedName>
    <definedName name="Поправочные_коэффициенты_по_письму_Госстроя_от_25.12.90___0___0___2_1" localSheetId="10">#REF!</definedName>
    <definedName name="Поправочные_коэффициенты_по_письму_Госстроя_от_25.12.90___0___0___2_1" localSheetId="9">#REF!</definedName>
    <definedName name="Поправочные_коэффициенты_по_письму_Госстроя_от_25.12.90___0___0___2_1">#REF!</definedName>
    <definedName name="Поправочные_коэффициенты_по_письму_Госстроя_от_25.12.90___0___0___3" localSheetId="10">#REF!</definedName>
    <definedName name="Поправочные_коэффициенты_по_письму_Госстроя_от_25.12.90___0___0___3" localSheetId="12">#REF!</definedName>
    <definedName name="Поправочные_коэффициенты_по_письму_Госстроя_от_25.12.90___0___0___3" localSheetId="110">#REF!</definedName>
    <definedName name="Поправочные_коэффициенты_по_письму_Госстроя_от_25.12.90___0___0___3" localSheetId="9">#REF!</definedName>
    <definedName name="Поправочные_коэффициенты_по_письму_Госстроя_от_25.12.90___0___0___3">#REF!</definedName>
    <definedName name="Поправочные_коэффициенты_по_письму_Госстроя_от_25.12.90___0___0___3_1" localSheetId="10">#REF!</definedName>
    <definedName name="Поправочные_коэффициенты_по_письму_Госстроя_от_25.12.90___0___0___3_1" localSheetId="9">#REF!</definedName>
    <definedName name="Поправочные_коэффициенты_по_письму_Госстроя_от_25.12.90___0___0___3_1">#REF!</definedName>
    <definedName name="Поправочные_коэффициенты_по_письму_Госстроя_от_25.12.90___0___0___4" localSheetId="10">#REF!</definedName>
    <definedName name="Поправочные_коэффициенты_по_письму_Госстроя_от_25.12.90___0___0___4" localSheetId="12">#REF!</definedName>
    <definedName name="Поправочные_коэффициенты_по_письму_Госстроя_от_25.12.90___0___0___4" localSheetId="110">#REF!</definedName>
    <definedName name="Поправочные_коэффициенты_по_письму_Госстроя_от_25.12.90___0___0___4" localSheetId="9">#REF!</definedName>
    <definedName name="Поправочные_коэффициенты_по_письму_Госстроя_от_25.12.90___0___0___4">#REF!</definedName>
    <definedName name="Поправочные_коэффициенты_по_письму_Госстроя_от_25.12.90___0___0___4_1" localSheetId="10">#REF!</definedName>
    <definedName name="Поправочные_коэффициенты_по_письму_Госстроя_от_25.12.90___0___0___4_1" localSheetId="9">#REF!</definedName>
    <definedName name="Поправочные_коэффициенты_по_письму_Госстроя_от_25.12.90___0___0___4_1">#REF!</definedName>
    <definedName name="Поправочные_коэффициенты_по_письму_Госстроя_от_25.12.90___0___0___5" localSheetId="10">#REF!</definedName>
    <definedName name="Поправочные_коэффициенты_по_письму_Госстроя_от_25.12.90___0___0___5" localSheetId="9">#REF!</definedName>
    <definedName name="Поправочные_коэффициенты_по_письму_Госстроя_от_25.12.90___0___0___5">#REF!</definedName>
    <definedName name="Поправочные_коэффициенты_по_письму_Госстроя_от_25.12.90___0___0___5_1" localSheetId="10">#REF!</definedName>
    <definedName name="Поправочные_коэффициенты_по_письму_Госстроя_от_25.12.90___0___0___5_1" localSheetId="9">#REF!</definedName>
    <definedName name="Поправочные_коэффициенты_по_письму_Госстроя_от_25.12.90___0___0___5_1">#REF!</definedName>
    <definedName name="Поправочные_коэффициенты_по_письму_Госстроя_от_25.12.90___0___0_1" localSheetId="10">#REF!</definedName>
    <definedName name="Поправочные_коэффициенты_по_письму_Госстроя_от_25.12.90___0___0_1" localSheetId="9">#REF!</definedName>
    <definedName name="Поправочные_коэффициенты_по_письму_Госстроя_от_25.12.90___0___0_1">#REF!</definedName>
    <definedName name="Поправочные_коэффициенты_по_письму_Госстроя_от_25.12.90___0___0_1_1" localSheetId="10">#REF!</definedName>
    <definedName name="Поправочные_коэффициенты_по_письму_Госстроя_от_25.12.90___0___0_1_1" localSheetId="9">#REF!</definedName>
    <definedName name="Поправочные_коэффициенты_по_письму_Госстроя_от_25.12.90___0___0_1_1">#REF!</definedName>
    <definedName name="Поправочные_коэффициенты_по_письму_Госстроя_от_25.12.90___0___0_1_1_1" localSheetId="10">#REF!</definedName>
    <definedName name="Поправочные_коэффициенты_по_письму_Госстроя_от_25.12.90___0___0_1_1_1" localSheetId="9">#REF!</definedName>
    <definedName name="Поправочные_коэффициенты_по_письму_Госстроя_от_25.12.90___0___0_1_1_1">#REF!</definedName>
    <definedName name="Поправочные_коэффициенты_по_письму_Госстроя_от_25.12.90___0___0_3" localSheetId="10">#REF!</definedName>
    <definedName name="Поправочные_коэффициенты_по_письму_Госстроя_от_25.12.90___0___0_3" localSheetId="9">#REF!</definedName>
    <definedName name="Поправочные_коэффициенты_по_письму_Госстроя_от_25.12.90___0___0_3">#REF!</definedName>
    <definedName name="Поправочные_коэффициенты_по_письму_Госстроя_от_25.12.90___0___0_3_1" localSheetId="10">#REF!</definedName>
    <definedName name="Поправочные_коэффициенты_по_письму_Госстроя_от_25.12.90___0___0_3_1" localSheetId="9">#REF!</definedName>
    <definedName name="Поправочные_коэффициенты_по_письму_Госстроя_от_25.12.90___0___0_3_1">#REF!</definedName>
    <definedName name="Поправочные_коэффициенты_по_письму_Госстроя_от_25.12.90___0___0_5" localSheetId="10">#REF!</definedName>
    <definedName name="Поправочные_коэффициенты_по_письму_Госстроя_от_25.12.90___0___0_5" localSheetId="9">#REF!</definedName>
    <definedName name="Поправочные_коэффициенты_по_письму_Госстроя_от_25.12.90___0___0_5">#REF!</definedName>
    <definedName name="Поправочные_коэффициенты_по_письму_Госстроя_от_25.12.90___0___0_5_1" localSheetId="10">#REF!</definedName>
    <definedName name="Поправочные_коэффициенты_по_письму_Госстроя_от_25.12.90___0___0_5_1" localSheetId="9">#REF!</definedName>
    <definedName name="Поправочные_коэффициенты_по_письму_Госстроя_от_25.12.90___0___0_5_1">#REF!</definedName>
    <definedName name="Поправочные_коэффициенты_по_письму_Госстроя_от_25.12.90___0___1" localSheetId="10">#REF!</definedName>
    <definedName name="Поправочные_коэффициенты_по_письму_Госстроя_от_25.12.90___0___1" localSheetId="12">#REF!</definedName>
    <definedName name="Поправочные_коэффициенты_по_письму_Госстроя_от_25.12.90___0___1" localSheetId="110">#REF!</definedName>
    <definedName name="Поправочные_коэффициенты_по_письму_Госстроя_от_25.12.90___0___1" localSheetId="9">#REF!</definedName>
    <definedName name="Поправочные_коэффициенты_по_письму_Госстроя_от_25.12.90___0___1">#REF!</definedName>
    <definedName name="Поправочные_коэффициенты_по_письму_Госстроя_от_25.12.90___0___1___0" localSheetId="10">#REF!</definedName>
    <definedName name="Поправочные_коэффициенты_по_письму_Госстроя_от_25.12.90___0___1___0" localSheetId="9">#REF!</definedName>
    <definedName name="Поправочные_коэффициенты_по_письму_Госстроя_от_25.12.90___0___1___0">#REF!</definedName>
    <definedName name="Поправочные_коэффициенты_по_письму_Госстроя_от_25.12.90___0___1___0_1" localSheetId="10">#REF!</definedName>
    <definedName name="Поправочные_коэффициенты_по_письму_Госстроя_от_25.12.90___0___1___0_1" localSheetId="9">#REF!</definedName>
    <definedName name="Поправочные_коэффициенты_по_письму_Госстроя_от_25.12.90___0___1___0_1">#REF!</definedName>
    <definedName name="Поправочные_коэффициенты_по_письму_Госстроя_от_25.12.90___0___1_1" localSheetId="10">#REF!</definedName>
    <definedName name="Поправочные_коэффициенты_по_письму_Госстроя_от_25.12.90___0___1_1" localSheetId="9">#REF!</definedName>
    <definedName name="Поправочные_коэффициенты_по_письму_Госстроя_от_25.12.90___0___1_1">#REF!</definedName>
    <definedName name="Поправочные_коэффициенты_по_письму_Госстроя_от_25.12.90___0___10" localSheetId="10">#REF!</definedName>
    <definedName name="Поправочные_коэффициенты_по_письму_Госстроя_от_25.12.90___0___10" localSheetId="12">#REF!</definedName>
    <definedName name="Поправочные_коэффициенты_по_письму_Госстроя_от_25.12.90___0___10" localSheetId="110">#REF!</definedName>
    <definedName name="Поправочные_коэффициенты_по_письму_Госстроя_от_25.12.90___0___10" localSheetId="9">#REF!</definedName>
    <definedName name="Поправочные_коэффициенты_по_письму_Госстроя_от_25.12.90___0___10">#REF!</definedName>
    <definedName name="Поправочные_коэффициенты_по_письму_Госстроя_от_25.12.90___0___10_1" localSheetId="10">#REF!</definedName>
    <definedName name="Поправочные_коэффициенты_по_письму_Госстроя_от_25.12.90___0___10_1" localSheetId="9">#REF!</definedName>
    <definedName name="Поправочные_коэффициенты_по_письму_Госстроя_от_25.12.90___0___10_1">#REF!</definedName>
    <definedName name="Поправочные_коэффициенты_по_письму_Госстроя_от_25.12.90___0___12" localSheetId="10">#REF!</definedName>
    <definedName name="Поправочные_коэффициенты_по_письму_Госстроя_от_25.12.90___0___12" localSheetId="12">#REF!</definedName>
    <definedName name="Поправочные_коэффициенты_по_письму_Госстроя_от_25.12.90___0___12" localSheetId="110">#REF!</definedName>
    <definedName name="Поправочные_коэффициенты_по_письму_Госстроя_от_25.12.90___0___12" localSheetId="9">#REF!</definedName>
    <definedName name="Поправочные_коэффициенты_по_письму_Госстроя_от_25.12.90___0___12">#REF!</definedName>
    <definedName name="Поправочные_коэффициенты_по_письму_Госстроя_от_25.12.90___0___2" localSheetId="10">#REF!</definedName>
    <definedName name="Поправочные_коэффициенты_по_письму_Госстроя_от_25.12.90___0___2" localSheetId="12">#REF!</definedName>
    <definedName name="Поправочные_коэффициенты_по_письму_Госстроя_от_25.12.90___0___2" localSheetId="110">#REF!</definedName>
    <definedName name="Поправочные_коэффициенты_по_письму_Госстроя_от_25.12.90___0___2" localSheetId="9">#REF!</definedName>
    <definedName name="Поправочные_коэффициенты_по_письму_Госстроя_от_25.12.90___0___2">#REF!</definedName>
    <definedName name="Поправочные_коэффициенты_по_письму_Госстроя_от_25.12.90___0___2___0" localSheetId="10">#REF!</definedName>
    <definedName name="Поправочные_коэффициенты_по_письму_Госстроя_от_25.12.90___0___2___0" localSheetId="12">#REF!</definedName>
    <definedName name="Поправочные_коэффициенты_по_письму_Госстроя_от_25.12.90___0___2___0" localSheetId="110">#REF!</definedName>
    <definedName name="Поправочные_коэффициенты_по_письму_Госстроя_от_25.12.90___0___2___0" localSheetId="9">#REF!</definedName>
    <definedName name="Поправочные_коэффициенты_по_письму_Госстроя_от_25.12.90___0___2___0">#REF!</definedName>
    <definedName name="Поправочные_коэффициенты_по_письму_Госстроя_от_25.12.90___0___2___0___0" localSheetId="10">#REF!</definedName>
    <definedName name="Поправочные_коэффициенты_по_письму_Госстроя_от_25.12.90___0___2___0___0" localSheetId="9">#REF!</definedName>
    <definedName name="Поправочные_коэффициенты_по_письму_Госстроя_от_25.12.90___0___2___0___0">#REF!</definedName>
    <definedName name="Поправочные_коэффициенты_по_письму_Госстроя_от_25.12.90___0___2___0___0_1" localSheetId="10">#REF!</definedName>
    <definedName name="Поправочные_коэффициенты_по_письму_Госстроя_от_25.12.90___0___2___0___0_1" localSheetId="9">#REF!</definedName>
    <definedName name="Поправочные_коэффициенты_по_письму_Госстроя_от_25.12.90___0___2___0___0_1">#REF!</definedName>
    <definedName name="Поправочные_коэффициенты_по_письму_Госстроя_от_25.12.90___0___2___0_1" localSheetId="10">#REF!</definedName>
    <definedName name="Поправочные_коэффициенты_по_письму_Госстроя_от_25.12.90___0___2___0_1" localSheetId="9">#REF!</definedName>
    <definedName name="Поправочные_коэффициенты_по_письму_Госстроя_от_25.12.90___0___2___0_1">#REF!</definedName>
    <definedName name="Поправочные_коэффициенты_по_письму_Госстроя_от_25.12.90___0___2___5" localSheetId="10">#REF!</definedName>
    <definedName name="Поправочные_коэффициенты_по_письму_Госстроя_от_25.12.90___0___2___5" localSheetId="9">#REF!</definedName>
    <definedName name="Поправочные_коэффициенты_по_письму_Госстроя_от_25.12.90___0___2___5">#REF!</definedName>
    <definedName name="Поправочные_коэффициенты_по_письму_Госстроя_от_25.12.90___0___2___5_1" localSheetId="10">#REF!</definedName>
    <definedName name="Поправочные_коэффициенты_по_письму_Госстроя_от_25.12.90___0___2___5_1" localSheetId="9">#REF!</definedName>
    <definedName name="Поправочные_коэффициенты_по_письму_Госстроя_от_25.12.90___0___2___5_1">#REF!</definedName>
    <definedName name="Поправочные_коэффициенты_по_письму_Госстроя_от_25.12.90___0___2_1" localSheetId="10">#REF!</definedName>
    <definedName name="Поправочные_коэффициенты_по_письму_Госстроя_от_25.12.90___0___2_1" localSheetId="9">#REF!</definedName>
    <definedName name="Поправочные_коэффициенты_по_письму_Госстроя_от_25.12.90___0___2_1">#REF!</definedName>
    <definedName name="Поправочные_коэффициенты_по_письму_Госстроя_от_25.12.90___0___2_1_1" localSheetId="10">#REF!</definedName>
    <definedName name="Поправочные_коэффициенты_по_письму_Госстроя_от_25.12.90___0___2_1_1" localSheetId="9">#REF!</definedName>
    <definedName name="Поправочные_коэффициенты_по_письму_Госстроя_от_25.12.90___0___2_1_1">#REF!</definedName>
    <definedName name="Поправочные_коэффициенты_по_письму_Госстроя_от_25.12.90___0___2_1_1_1" localSheetId="10">#REF!</definedName>
    <definedName name="Поправочные_коэффициенты_по_письму_Госстроя_от_25.12.90___0___2_1_1_1" localSheetId="9">#REF!</definedName>
    <definedName name="Поправочные_коэффициенты_по_письму_Госстроя_от_25.12.90___0___2_1_1_1">#REF!</definedName>
    <definedName name="Поправочные_коэффициенты_по_письму_Госстроя_от_25.12.90___0___2_3" localSheetId="10">#REF!</definedName>
    <definedName name="Поправочные_коэффициенты_по_письму_Госстроя_от_25.12.90___0___2_3" localSheetId="9">#REF!</definedName>
    <definedName name="Поправочные_коэффициенты_по_письму_Госстроя_от_25.12.90___0___2_3">#REF!</definedName>
    <definedName name="Поправочные_коэффициенты_по_письму_Госстроя_от_25.12.90___0___2_3_1" localSheetId="10">#REF!</definedName>
    <definedName name="Поправочные_коэффициенты_по_письму_Госстроя_от_25.12.90___0___2_3_1" localSheetId="9">#REF!</definedName>
    <definedName name="Поправочные_коэффициенты_по_письму_Госстроя_от_25.12.90___0___2_3_1">#REF!</definedName>
    <definedName name="Поправочные_коэффициенты_по_письму_Госстроя_от_25.12.90___0___2_5" localSheetId="10">#REF!</definedName>
    <definedName name="Поправочные_коэффициенты_по_письму_Госстроя_от_25.12.90___0___2_5" localSheetId="9">#REF!</definedName>
    <definedName name="Поправочные_коэффициенты_по_письму_Госстроя_от_25.12.90___0___2_5">#REF!</definedName>
    <definedName name="Поправочные_коэффициенты_по_письму_Госстроя_от_25.12.90___0___2_5_1" localSheetId="10">#REF!</definedName>
    <definedName name="Поправочные_коэффициенты_по_письму_Госстроя_от_25.12.90___0___2_5_1" localSheetId="9">#REF!</definedName>
    <definedName name="Поправочные_коэффициенты_по_письму_Госстроя_от_25.12.90___0___2_5_1">#REF!</definedName>
    <definedName name="Поправочные_коэффициенты_по_письму_Госстроя_от_25.12.90___0___3" localSheetId="10">#REF!</definedName>
    <definedName name="Поправочные_коэффициенты_по_письму_Госстроя_от_25.12.90___0___3" localSheetId="12">#REF!</definedName>
    <definedName name="Поправочные_коэффициенты_по_письму_Госстроя_от_25.12.90___0___3" localSheetId="110">#REF!</definedName>
    <definedName name="Поправочные_коэффициенты_по_письму_Госстроя_от_25.12.90___0___3" localSheetId="9">#REF!</definedName>
    <definedName name="Поправочные_коэффициенты_по_письму_Госстроя_от_25.12.90___0___3">#REF!</definedName>
    <definedName name="Поправочные_коэффициенты_по_письму_Госстроя_от_25.12.90___0___3___0" localSheetId="10">#REF!</definedName>
    <definedName name="Поправочные_коэффициенты_по_письму_Госстроя_от_25.12.90___0___3___0" localSheetId="12">#REF!</definedName>
    <definedName name="Поправочные_коэффициенты_по_письму_Госстроя_от_25.12.90___0___3___0" localSheetId="110">#REF!</definedName>
    <definedName name="Поправочные_коэффициенты_по_письму_Госстроя_от_25.12.90___0___3___0" localSheetId="9">#REF!</definedName>
    <definedName name="Поправочные_коэффициенты_по_письму_Госстроя_от_25.12.90___0___3___0">#REF!</definedName>
    <definedName name="Поправочные_коэффициенты_по_письму_Госстроя_от_25.12.90___0___3___0___0" localSheetId="10">#REF!</definedName>
    <definedName name="Поправочные_коэффициенты_по_письму_Госстроя_от_25.12.90___0___3___0___0" localSheetId="9">#REF!</definedName>
    <definedName name="Поправочные_коэффициенты_по_письму_Госстроя_от_25.12.90___0___3___0___0">#REF!</definedName>
    <definedName name="Поправочные_коэффициенты_по_письму_Госстроя_от_25.12.90___0___3___0___0_1" localSheetId="10">#REF!</definedName>
    <definedName name="Поправочные_коэффициенты_по_письму_Госстроя_от_25.12.90___0___3___0___0_1" localSheetId="9">#REF!</definedName>
    <definedName name="Поправочные_коэффициенты_по_письму_Госстроя_от_25.12.90___0___3___0___0_1">#REF!</definedName>
    <definedName name="Поправочные_коэффициенты_по_письму_Госстроя_от_25.12.90___0___3___0___1" localSheetId="10">#REF!</definedName>
    <definedName name="Поправочные_коэффициенты_по_письму_Госстроя_от_25.12.90___0___3___0___1" localSheetId="9">#REF!</definedName>
    <definedName name="Поправочные_коэффициенты_по_письму_Госстроя_от_25.12.90___0___3___0___1">#REF!</definedName>
    <definedName name="Поправочные_коэффициенты_по_письму_Госстроя_от_25.12.90___0___3___0___1_1" localSheetId="10">#REF!</definedName>
    <definedName name="Поправочные_коэффициенты_по_письму_Госстроя_от_25.12.90___0___3___0___1_1" localSheetId="9">#REF!</definedName>
    <definedName name="Поправочные_коэффициенты_по_письму_Госстроя_от_25.12.90___0___3___0___1_1">#REF!</definedName>
    <definedName name="Поправочные_коэффициенты_по_письму_Госстроя_от_25.12.90___0___3___0___5" localSheetId="10">#REF!</definedName>
    <definedName name="Поправочные_коэффициенты_по_письму_Госстроя_от_25.12.90___0___3___0___5" localSheetId="9">#REF!</definedName>
    <definedName name="Поправочные_коэффициенты_по_письму_Госстроя_от_25.12.90___0___3___0___5">#REF!</definedName>
    <definedName name="Поправочные_коэффициенты_по_письму_Госстроя_от_25.12.90___0___3___0___5_1" localSheetId="10">#REF!</definedName>
    <definedName name="Поправочные_коэффициенты_по_письму_Госстроя_от_25.12.90___0___3___0___5_1" localSheetId="9">#REF!</definedName>
    <definedName name="Поправочные_коэффициенты_по_письму_Госстроя_от_25.12.90___0___3___0___5_1">#REF!</definedName>
    <definedName name="Поправочные_коэффициенты_по_письму_Госстроя_от_25.12.90___0___3___0_1" localSheetId="10">#REF!</definedName>
    <definedName name="Поправочные_коэффициенты_по_письму_Госстроя_от_25.12.90___0___3___0_1" localSheetId="9">#REF!</definedName>
    <definedName name="Поправочные_коэффициенты_по_письму_Госстроя_от_25.12.90___0___3___0_1">#REF!</definedName>
    <definedName name="Поправочные_коэффициенты_по_письму_Госстроя_от_25.12.90___0___3___0_1_1" localSheetId="10">#REF!</definedName>
    <definedName name="Поправочные_коэффициенты_по_письму_Госстроя_от_25.12.90___0___3___0_1_1" localSheetId="9">#REF!</definedName>
    <definedName name="Поправочные_коэффициенты_по_письму_Госстроя_от_25.12.90___0___3___0_1_1">#REF!</definedName>
    <definedName name="Поправочные_коэффициенты_по_письму_Госстроя_от_25.12.90___0___3___0_1_1_1" localSheetId="10">#REF!</definedName>
    <definedName name="Поправочные_коэффициенты_по_письму_Госстроя_от_25.12.90___0___3___0_1_1_1" localSheetId="9">#REF!</definedName>
    <definedName name="Поправочные_коэффициенты_по_письму_Госстроя_от_25.12.90___0___3___0_1_1_1">#REF!</definedName>
    <definedName name="Поправочные_коэффициенты_по_письму_Госстроя_от_25.12.90___0___3___0_5" localSheetId="10">#REF!</definedName>
    <definedName name="Поправочные_коэффициенты_по_письму_Госстроя_от_25.12.90___0___3___0_5" localSheetId="9">#REF!</definedName>
    <definedName name="Поправочные_коэффициенты_по_письму_Госстроя_от_25.12.90___0___3___0_5">#REF!</definedName>
    <definedName name="Поправочные_коэффициенты_по_письму_Госстроя_от_25.12.90___0___3___0_5_1" localSheetId="10">#REF!</definedName>
    <definedName name="Поправочные_коэффициенты_по_письму_Госстроя_от_25.12.90___0___3___0_5_1" localSheetId="9">#REF!</definedName>
    <definedName name="Поправочные_коэффициенты_по_письму_Госстроя_от_25.12.90___0___3___0_5_1">#REF!</definedName>
    <definedName name="Поправочные_коэффициенты_по_письму_Госстроя_от_25.12.90___0___3___5" localSheetId="10">#REF!</definedName>
    <definedName name="Поправочные_коэффициенты_по_письму_Госстроя_от_25.12.90___0___3___5" localSheetId="9">#REF!</definedName>
    <definedName name="Поправочные_коэффициенты_по_письму_Госстроя_от_25.12.90___0___3___5">#REF!</definedName>
    <definedName name="Поправочные_коэффициенты_по_письму_Госстроя_от_25.12.90___0___3___5_1" localSheetId="10">#REF!</definedName>
    <definedName name="Поправочные_коэффициенты_по_письму_Госстроя_от_25.12.90___0___3___5_1" localSheetId="9">#REF!</definedName>
    <definedName name="Поправочные_коэффициенты_по_письму_Госстроя_от_25.12.90___0___3___5_1">#REF!</definedName>
    <definedName name="Поправочные_коэффициенты_по_письму_Госстроя_от_25.12.90___0___3_1" localSheetId="10">#REF!</definedName>
    <definedName name="Поправочные_коэффициенты_по_письму_Госстроя_от_25.12.90___0___3_1" localSheetId="9">#REF!</definedName>
    <definedName name="Поправочные_коэффициенты_по_письму_Госстроя_от_25.12.90___0___3_1">#REF!</definedName>
    <definedName name="Поправочные_коэффициенты_по_письму_Госстроя_от_25.12.90___0___3_1_1" localSheetId="10">#REF!</definedName>
    <definedName name="Поправочные_коэффициенты_по_письму_Госстроя_от_25.12.90___0___3_1_1" localSheetId="9">#REF!</definedName>
    <definedName name="Поправочные_коэффициенты_по_письму_Госстроя_от_25.12.90___0___3_1_1">#REF!</definedName>
    <definedName name="Поправочные_коэффициенты_по_письму_Госстроя_от_25.12.90___0___3_1_1_1" localSheetId="10">#REF!</definedName>
    <definedName name="Поправочные_коэффициенты_по_письму_Госстроя_от_25.12.90___0___3_1_1_1" localSheetId="9">#REF!</definedName>
    <definedName name="Поправочные_коэффициенты_по_письму_Госстроя_от_25.12.90___0___3_1_1_1">#REF!</definedName>
    <definedName name="Поправочные_коэффициенты_по_письму_Госстроя_от_25.12.90___0___3_5" localSheetId="10">#REF!</definedName>
    <definedName name="Поправочные_коэффициенты_по_письму_Госстроя_от_25.12.90___0___3_5" localSheetId="9">#REF!</definedName>
    <definedName name="Поправочные_коэффициенты_по_письму_Госстроя_от_25.12.90___0___3_5">#REF!</definedName>
    <definedName name="Поправочные_коэффициенты_по_письму_Госстроя_от_25.12.90___0___3_5_1" localSheetId="10">#REF!</definedName>
    <definedName name="Поправочные_коэффициенты_по_письму_Госстроя_от_25.12.90___0___3_5_1" localSheetId="9">#REF!</definedName>
    <definedName name="Поправочные_коэффициенты_по_письму_Госстроя_от_25.12.90___0___3_5_1">#REF!</definedName>
    <definedName name="Поправочные_коэффициенты_по_письму_Госстроя_от_25.12.90___0___4" localSheetId="10">#REF!</definedName>
    <definedName name="Поправочные_коэффициенты_по_письму_Госстроя_от_25.12.90___0___4" localSheetId="12">#REF!</definedName>
    <definedName name="Поправочные_коэффициенты_по_письму_Госстроя_от_25.12.90___0___4" localSheetId="110">#REF!</definedName>
    <definedName name="Поправочные_коэффициенты_по_письму_Госстроя_от_25.12.90___0___4" localSheetId="9">#REF!</definedName>
    <definedName name="Поправочные_коэффициенты_по_письму_Госстроя_от_25.12.90___0___4">#REF!</definedName>
    <definedName name="Поправочные_коэффициенты_по_письму_Госстроя_от_25.12.90___0___4___0" localSheetId="10">#REF!</definedName>
    <definedName name="Поправочные_коэффициенты_по_письму_Госстроя_от_25.12.90___0___4___0" localSheetId="9">#REF!</definedName>
    <definedName name="Поправочные_коэффициенты_по_письму_Госстроя_от_25.12.90___0___4___0">#REF!</definedName>
    <definedName name="Поправочные_коэффициенты_по_письму_Госстроя_от_25.12.90___0___4___0_1" localSheetId="10">#REF!</definedName>
    <definedName name="Поправочные_коэффициенты_по_письму_Госстроя_от_25.12.90___0___4___0_1" localSheetId="9">#REF!</definedName>
    <definedName name="Поправочные_коэффициенты_по_письму_Госстроя_от_25.12.90___0___4___0_1">#REF!</definedName>
    <definedName name="Поправочные_коэффициенты_по_письму_Госстроя_от_25.12.90___0___4___5" localSheetId="10">#REF!</definedName>
    <definedName name="Поправочные_коэффициенты_по_письму_Госстроя_от_25.12.90___0___4___5" localSheetId="9">#REF!</definedName>
    <definedName name="Поправочные_коэффициенты_по_письму_Госстроя_от_25.12.90___0___4___5">#REF!</definedName>
    <definedName name="Поправочные_коэффициенты_по_письму_Госстроя_от_25.12.90___0___4___5_1" localSheetId="10">#REF!</definedName>
    <definedName name="Поправочные_коэффициенты_по_письму_Госстроя_от_25.12.90___0___4___5_1" localSheetId="9">#REF!</definedName>
    <definedName name="Поправочные_коэффициенты_по_письму_Госстроя_от_25.12.90___0___4___5_1">#REF!</definedName>
    <definedName name="Поправочные_коэффициенты_по_письму_Госстроя_от_25.12.90___0___4_1" localSheetId="10">#REF!</definedName>
    <definedName name="Поправочные_коэффициенты_по_письму_Госстроя_от_25.12.90___0___4_1" localSheetId="9">#REF!</definedName>
    <definedName name="Поправочные_коэффициенты_по_письму_Госстроя_от_25.12.90___0___4_1">#REF!</definedName>
    <definedName name="Поправочные_коэффициенты_по_письму_Госстроя_от_25.12.90___0___4_1_1" localSheetId="10">#REF!</definedName>
    <definedName name="Поправочные_коэффициенты_по_письму_Госстроя_от_25.12.90___0___4_1_1" localSheetId="9">#REF!</definedName>
    <definedName name="Поправочные_коэффициенты_по_письму_Госстроя_от_25.12.90___0___4_1_1">#REF!</definedName>
    <definedName name="Поправочные_коэффициенты_по_письму_Госстроя_от_25.12.90___0___4_1_1_1" localSheetId="10">#REF!</definedName>
    <definedName name="Поправочные_коэффициенты_по_письму_Госстроя_от_25.12.90___0___4_1_1_1" localSheetId="9">#REF!</definedName>
    <definedName name="Поправочные_коэффициенты_по_письму_Госстроя_от_25.12.90___0___4_1_1_1">#REF!</definedName>
    <definedName name="Поправочные_коэффициенты_по_письму_Госстроя_от_25.12.90___0___4_3" localSheetId="10">#REF!</definedName>
    <definedName name="Поправочные_коэффициенты_по_письму_Госстроя_от_25.12.90___0___4_3" localSheetId="9">#REF!</definedName>
    <definedName name="Поправочные_коэффициенты_по_письму_Госстроя_от_25.12.90___0___4_3">#REF!</definedName>
    <definedName name="Поправочные_коэффициенты_по_письму_Госстроя_от_25.12.90___0___4_3_1" localSheetId="10">#REF!</definedName>
    <definedName name="Поправочные_коэффициенты_по_письму_Госстроя_от_25.12.90___0___4_3_1" localSheetId="9">#REF!</definedName>
    <definedName name="Поправочные_коэффициенты_по_письму_Госстроя_от_25.12.90___0___4_3_1">#REF!</definedName>
    <definedName name="Поправочные_коэффициенты_по_письму_Госстроя_от_25.12.90___0___4_5" localSheetId="10">#REF!</definedName>
    <definedName name="Поправочные_коэффициенты_по_письму_Госстроя_от_25.12.90___0___4_5" localSheetId="9">#REF!</definedName>
    <definedName name="Поправочные_коэффициенты_по_письму_Госстроя_от_25.12.90___0___4_5">#REF!</definedName>
    <definedName name="Поправочные_коэффициенты_по_письму_Госстроя_от_25.12.90___0___4_5_1" localSheetId="10">#REF!</definedName>
    <definedName name="Поправочные_коэффициенты_по_письму_Госстроя_от_25.12.90___0___4_5_1" localSheetId="9">#REF!</definedName>
    <definedName name="Поправочные_коэффициенты_по_письму_Госстроя_от_25.12.90___0___4_5_1">#REF!</definedName>
    <definedName name="Поправочные_коэффициенты_по_письму_Госстроя_от_25.12.90___0___5" localSheetId="10">#REF!</definedName>
    <definedName name="Поправочные_коэффициенты_по_письму_Госстроя_от_25.12.90___0___5" localSheetId="12">#REF!</definedName>
    <definedName name="Поправочные_коэффициенты_по_письму_Госстроя_от_25.12.90___0___5" localSheetId="110">#REF!</definedName>
    <definedName name="Поправочные_коэффициенты_по_письму_Госстроя_от_25.12.90___0___5" localSheetId="9">#REF!</definedName>
    <definedName name="Поправочные_коэффициенты_по_письму_Госстроя_от_25.12.90___0___5">#REF!</definedName>
    <definedName name="Поправочные_коэффициенты_по_письму_Госстроя_от_25.12.90___0___5_1" localSheetId="10">#REF!</definedName>
    <definedName name="Поправочные_коэффициенты_по_письму_Госстроя_от_25.12.90___0___5_1" localSheetId="9">#REF!</definedName>
    <definedName name="Поправочные_коэффициенты_по_письму_Госстроя_от_25.12.90___0___5_1">#REF!</definedName>
    <definedName name="Поправочные_коэффициенты_по_письму_Госстроя_от_25.12.90___0___6" localSheetId="10">#REF!</definedName>
    <definedName name="Поправочные_коэффициенты_по_письму_Госстроя_от_25.12.90___0___6" localSheetId="12">#REF!</definedName>
    <definedName name="Поправочные_коэффициенты_по_письму_Госстроя_от_25.12.90___0___6" localSheetId="110">#REF!</definedName>
    <definedName name="Поправочные_коэффициенты_по_письму_Госстроя_от_25.12.90___0___6" localSheetId="9">#REF!</definedName>
    <definedName name="Поправочные_коэффициенты_по_письму_Госстроя_от_25.12.90___0___6">#REF!</definedName>
    <definedName name="Поправочные_коэффициенты_по_письму_Госстроя_от_25.12.90___0___6_1" localSheetId="10">#REF!</definedName>
    <definedName name="Поправочные_коэффициенты_по_письму_Госстроя_от_25.12.90___0___6_1" localSheetId="9">#REF!</definedName>
    <definedName name="Поправочные_коэффициенты_по_письму_Госстроя_от_25.12.90___0___6_1">#REF!</definedName>
    <definedName name="Поправочные_коэффициенты_по_письму_Госстроя_от_25.12.90___0___8" localSheetId="10">#REF!</definedName>
    <definedName name="Поправочные_коэффициенты_по_письму_Госстроя_от_25.12.90___0___8" localSheetId="12">#REF!</definedName>
    <definedName name="Поправочные_коэффициенты_по_письму_Госстроя_от_25.12.90___0___8" localSheetId="110">#REF!</definedName>
    <definedName name="Поправочные_коэффициенты_по_письму_Госстроя_от_25.12.90___0___8" localSheetId="9">#REF!</definedName>
    <definedName name="Поправочные_коэффициенты_по_письму_Госстроя_от_25.12.90___0___8">#REF!</definedName>
    <definedName name="Поправочные_коэффициенты_по_письму_Госстроя_от_25.12.90___0___8_1" localSheetId="10">#REF!</definedName>
    <definedName name="Поправочные_коэффициенты_по_письму_Госстроя_от_25.12.90___0___8_1" localSheetId="9">#REF!</definedName>
    <definedName name="Поправочные_коэффициенты_по_письму_Госстроя_от_25.12.90___0___8_1">#REF!</definedName>
    <definedName name="Поправочные_коэффициенты_по_письму_Госстроя_от_25.12.90___0_1" localSheetId="10">#REF!</definedName>
    <definedName name="Поправочные_коэффициенты_по_письму_Госстроя_от_25.12.90___0_1" localSheetId="9">#REF!</definedName>
    <definedName name="Поправочные_коэффициенты_по_письму_Госстроя_от_25.12.90___0_1">#REF!</definedName>
    <definedName name="Поправочные_коэффициенты_по_письму_Госстроя_от_25.12.90___0_1_1" localSheetId="10">#REF!</definedName>
    <definedName name="Поправочные_коэффициенты_по_письму_Госстроя_от_25.12.90___0_1_1" localSheetId="9">#REF!</definedName>
    <definedName name="Поправочные_коэффициенты_по_письму_Госстроя_от_25.12.90___0_1_1">#REF!</definedName>
    <definedName name="Поправочные_коэффициенты_по_письму_Госстроя_от_25.12.90___0_3" localSheetId="10">#REF!</definedName>
    <definedName name="Поправочные_коэффициенты_по_письму_Госстроя_от_25.12.90___0_3" localSheetId="9">#REF!</definedName>
    <definedName name="Поправочные_коэффициенты_по_письму_Госстроя_от_25.12.90___0_3">#REF!</definedName>
    <definedName name="Поправочные_коэффициенты_по_письму_Госстроя_от_25.12.90___0_3_1" localSheetId="10">#REF!</definedName>
    <definedName name="Поправочные_коэффициенты_по_письму_Госстроя_от_25.12.90___0_3_1" localSheetId="9">#REF!</definedName>
    <definedName name="Поправочные_коэффициенты_по_письму_Госстроя_от_25.12.90___0_3_1">#REF!</definedName>
    <definedName name="Поправочные_коэффициенты_по_письму_Госстроя_от_25.12.90___0_5" localSheetId="10">#REF!</definedName>
    <definedName name="Поправочные_коэффициенты_по_письму_Госстроя_от_25.12.90___0_5" localSheetId="9">#REF!</definedName>
    <definedName name="Поправочные_коэффициенты_по_письму_Госстроя_от_25.12.90___0_5">#REF!</definedName>
    <definedName name="Поправочные_коэффициенты_по_письму_Госстроя_от_25.12.90___0_5_1" localSheetId="10">#REF!</definedName>
    <definedName name="Поправочные_коэффициенты_по_письму_Госстроя_от_25.12.90___0_5_1" localSheetId="9">#REF!</definedName>
    <definedName name="Поправочные_коэффициенты_по_письму_Госстроя_от_25.12.90___0_5_1">#REF!</definedName>
    <definedName name="Поправочные_коэффициенты_по_письму_Госстроя_от_25.12.90___1" localSheetId="10">#REF!</definedName>
    <definedName name="Поправочные_коэффициенты_по_письму_Госстроя_от_25.12.90___1" localSheetId="12">#REF!</definedName>
    <definedName name="Поправочные_коэффициенты_по_письму_Госстроя_от_25.12.90___1" localSheetId="110">#REF!</definedName>
    <definedName name="Поправочные_коэффициенты_по_письму_Госстроя_от_25.12.90___1" localSheetId="9">#REF!</definedName>
    <definedName name="Поправочные_коэффициенты_по_письму_Госстроя_от_25.12.90___1">#REF!</definedName>
    <definedName name="Поправочные_коэффициенты_по_письму_Госстроя_от_25.12.90___1___0" localSheetId="10">#REF!</definedName>
    <definedName name="Поправочные_коэффициенты_по_письму_Госстроя_от_25.12.90___1___0" localSheetId="12">#REF!</definedName>
    <definedName name="Поправочные_коэффициенты_по_письму_Госстроя_от_25.12.90___1___0" localSheetId="110">#REF!</definedName>
    <definedName name="Поправочные_коэффициенты_по_письму_Госстроя_от_25.12.90___1___0" localSheetId="9">#REF!</definedName>
    <definedName name="Поправочные_коэффициенты_по_письму_Госстроя_от_25.12.90___1___0">#REF!</definedName>
    <definedName name="Поправочные_коэффициенты_по_письму_Госстроя_от_25.12.90___1___0___0" localSheetId="10">#REF!</definedName>
    <definedName name="Поправочные_коэффициенты_по_письму_Госстроя_от_25.12.90___1___0___0" localSheetId="9">#REF!</definedName>
    <definedName name="Поправочные_коэффициенты_по_письму_Госстроя_от_25.12.90___1___0___0">#REF!</definedName>
    <definedName name="Поправочные_коэффициенты_по_письму_Госстроя_от_25.12.90___1___0___0_1" localSheetId="10">#REF!</definedName>
    <definedName name="Поправочные_коэффициенты_по_письму_Госстроя_от_25.12.90___1___0___0_1" localSheetId="9">#REF!</definedName>
    <definedName name="Поправочные_коэффициенты_по_письму_Госстроя_от_25.12.90___1___0___0_1">#REF!</definedName>
    <definedName name="Поправочные_коэффициенты_по_письму_Госстроя_от_25.12.90___1___0_1" localSheetId="10">#REF!</definedName>
    <definedName name="Поправочные_коэффициенты_по_письму_Госстроя_от_25.12.90___1___0_1" localSheetId="9">#REF!</definedName>
    <definedName name="Поправочные_коэффициенты_по_письму_Госстроя_от_25.12.90___1___0_1">#REF!</definedName>
    <definedName name="Поправочные_коэффициенты_по_письму_Госстроя_от_25.12.90___1___1" localSheetId="10">#REF!</definedName>
    <definedName name="Поправочные_коэффициенты_по_письму_Госстроя_от_25.12.90___1___1" localSheetId="9">#REF!</definedName>
    <definedName name="Поправочные_коэффициенты_по_письму_Госстроя_от_25.12.90___1___1">#REF!</definedName>
    <definedName name="Поправочные_коэффициенты_по_письму_Госстроя_от_25.12.90___1___1_1" localSheetId="10">#REF!</definedName>
    <definedName name="Поправочные_коэффициенты_по_письму_Госстроя_от_25.12.90___1___1_1" localSheetId="9">#REF!</definedName>
    <definedName name="Поправочные_коэффициенты_по_письму_Госстроя_от_25.12.90___1___1_1">#REF!</definedName>
    <definedName name="Поправочные_коэффициенты_по_письму_Госстроя_от_25.12.90___1___3" localSheetId="10">#REF!</definedName>
    <definedName name="Поправочные_коэффициенты_по_письму_Госстроя_от_25.12.90___1___3" localSheetId="12">#REF!</definedName>
    <definedName name="Поправочные_коэффициенты_по_письму_Госстроя_от_25.12.90___1___3" localSheetId="110">#REF!</definedName>
    <definedName name="Поправочные_коэффициенты_по_письму_Госстроя_от_25.12.90___1___3" localSheetId="9">#REF!</definedName>
    <definedName name="Поправочные_коэффициенты_по_письму_Госстроя_от_25.12.90___1___3">#REF!</definedName>
    <definedName name="Поправочные_коэффициенты_по_письму_Госстроя_от_25.12.90___1___3_1" localSheetId="10">#REF!</definedName>
    <definedName name="Поправочные_коэффициенты_по_письму_Госстроя_от_25.12.90___1___3_1" localSheetId="9">#REF!</definedName>
    <definedName name="Поправочные_коэффициенты_по_письму_Госстроя_от_25.12.90___1___3_1">#REF!</definedName>
    <definedName name="Поправочные_коэффициенты_по_письму_Госстроя_от_25.12.90___1___5" localSheetId="10">#REF!</definedName>
    <definedName name="Поправочные_коэффициенты_по_письму_Госстроя_от_25.12.90___1___5" localSheetId="9">#REF!</definedName>
    <definedName name="Поправочные_коэффициенты_по_письму_Госстроя_от_25.12.90___1___5">#REF!</definedName>
    <definedName name="Поправочные_коэффициенты_по_письму_Госстроя_от_25.12.90___1___5_1" localSheetId="10">#REF!</definedName>
    <definedName name="Поправочные_коэффициенты_по_письму_Госстроя_от_25.12.90___1___5_1" localSheetId="9">#REF!</definedName>
    <definedName name="Поправочные_коэффициенты_по_письму_Госстроя_от_25.12.90___1___5_1">#REF!</definedName>
    <definedName name="Поправочные_коэффициенты_по_письму_Госстроя_от_25.12.90___1_1" localSheetId="10">#REF!</definedName>
    <definedName name="Поправочные_коэффициенты_по_письму_Госстроя_от_25.12.90___1_1" localSheetId="9">#REF!</definedName>
    <definedName name="Поправочные_коэффициенты_по_письму_Госстроя_от_25.12.90___1_1">#REF!</definedName>
    <definedName name="Поправочные_коэффициенты_по_письму_Госстроя_от_25.12.90___1_1_1" localSheetId="10">#REF!</definedName>
    <definedName name="Поправочные_коэффициенты_по_письму_Госстроя_от_25.12.90___1_1_1" localSheetId="9">#REF!</definedName>
    <definedName name="Поправочные_коэффициенты_по_письму_Госстроя_от_25.12.90___1_1_1">#REF!</definedName>
    <definedName name="Поправочные_коэффициенты_по_письму_Госстроя_от_25.12.90___1_1_1_1" localSheetId="10">#REF!</definedName>
    <definedName name="Поправочные_коэффициенты_по_письму_Госстроя_от_25.12.90___1_1_1_1" localSheetId="9">#REF!</definedName>
    <definedName name="Поправочные_коэффициенты_по_письму_Госстроя_от_25.12.90___1_1_1_1">#REF!</definedName>
    <definedName name="Поправочные_коэффициенты_по_письму_Госстроя_от_25.12.90___1_5" localSheetId="10">#REF!</definedName>
    <definedName name="Поправочные_коэффициенты_по_письму_Госстроя_от_25.12.90___1_5" localSheetId="9">#REF!</definedName>
    <definedName name="Поправочные_коэффициенты_по_письму_Госстроя_от_25.12.90___1_5">#REF!</definedName>
    <definedName name="Поправочные_коэффициенты_по_письму_Госстроя_от_25.12.90___1_5_1" localSheetId="10">#REF!</definedName>
    <definedName name="Поправочные_коэффициенты_по_письму_Госстроя_от_25.12.90___1_5_1" localSheetId="9">#REF!</definedName>
    <definedName name="Поправочные_коэффициенты_по_письму_Госстроя_от_25.12.90___1_5_1">#REF!</definedName>
    <definedName name="Поправочные_коэффициенты_по_письму_Госстроя_от_25.12.90___10" localSheetId="10">#REF!</definedName>
    <definedName name="Поправочные_коэффициенты_по_письму_Госстроя_от_25.12.90___10" localSheetId="12">#REF!</definedName>
    <definedName name="Поправочные_коэффициенты_по_письму_Госстроя_от_25.12.90___10" localSheetId="110">#REF!</definedName>
    <definedName name="Поправочные_коэффициенты_по_письму_Госстроя_от_25.12.90___10" localSheetId="9">#REF!</definedName>
    <definedName name="Поправочные_коэффициенты_по_письму_Госстроя_от_25.12.90___10" localSheetId="7">#REF!</definedName>
    <definedName name="Поправочные_коэффициенты_по_письму_Госстроя_от_25.12.90___10">#REF!</definedName>
    <definedName name="Поправочные_коэффициенты_по_письму_Госстроя_от_25.12.90___10___0">NA()</definedName>
    <definedName name="Поправочные_коэффициенты_по_письму_Госстроя_от_25.12.90___10___0___0" localSheetId="10">#REF!</definedName>
    <definedName name="Поправочные_коэффициенты_по_письму_Госстроя_от_25.12.90___10___0___0" localSheetId="12">#REF!</definedName>
    <definedName name="Поправочные_коэффициенты_по_письму_Госстроя_от_25.12.90___10___0___0" localSheetId="116">#REF!</definedName>
    <definedName name="Поправочные_коэффициенты_по_письму_Госстроя_от_25.12.90___10___0___0" localSheetId="8">#REF!</definedName>
    <definedName name="Поправочные_коэффициенты_по_письму_Госстроя_от_25.12.90___10___0___0" localSheetId="11">#REF!</definedName>
    <definedName name="Поправочные_коэффициенты_по_письму_Госстроя_от_25.12.90___10___0___0" localSheetId="110">#REF!</definedName>
    <definedName name="Поправочные_коэффициенты_по_письму_Госстроя_от_25.12.90___10___0___0" localSheetId="109">#REF!</definedName>
    <definedName name="Поправочные_коэффициенты_по_письму_Госстроя_от_25.12.90___10___0___0" localSheetId="108">#REF!</definedName>
    <definedName name="Поправочные_коэффициенты_по_письму_Госстроя_от_25.12.90___10___0___0" localSheetId="6">#REF!</definedName>
    <definedName name="Поправочные_коэффициенты_по_письму_Госстроя_от_25.12.90___10___0___0" localSheetId="9">#REF!</definedName>
    <definedName name="Поправочные_коэффициенты_по_письму_Госстроя_от_25.12.90___10___0___0" localSheetId="7">#REF!</definedName>
    <definedName name="Поправочные_коэффициенты_по_письму_Госстроя_от_25.12.90___10___0___0" localSheetId="92">#REF!</definedName>
    <definedName name="Поправочные_коэффициенты_по_письму_Госстроя_от_25.12.90___10___0___0" localSheetId="93">#REF!</definedName>
    <definedName name="Поправочные_коэффициенты_по_письму_Госстроя_от_25.12.90___10___0___0" localSheetId="94">#REF!</definedName>
    <definedName name="Поправочные_коэффициенты_по_письму_Госстроя_от_25.12.90___10___0___0" localSheetId="99">#REF!</definedName>
    <definedName name="Поправочные_коэффициенты_по_письму_Госстроя_от_25.12.90___10___0___0" localSheetId="100">#REF!</definedName>
    <definedName name="Поправочные_коэффициенты_по_письму_Госстроя_от_25.12.90___10___0___0" localSheetId="106">#REF!</definedName>
    <definedName name="Поправочные_коэффициенты_по_письму_Госстроя_от_25.12.90___10___0___0">#REF!</definedName>
    <definedName name="Поправочные_коэффициенты_по_письму_Госстроя_от_25.12.90___10___0___0___0" localSheetId="10">#REF!</definedName>
    <definedName name="Поправочные_коэффициенты_по_письму_Госстроя_от_25.12.90___10___0___0___0" localSheetId="9">#REF!</definedName>
    <definedName name="Поправочные_коэффициенты_по_письму_Госстроя_от_25.12.90___10___0___0___0">#REF!</definedName>
    <definedName name="Поправочные_коэффициенты_по_письму_Госстроя_от_25.12.90___10___0___0___0_1" localSheetId="10">#REF!</definedName>
    <definedName name="Поправочные_коэффициенты_по_письму_Госстроя_от_25.12.90___10___0___0___0_1" localSheetId="9">#REF!</definedName>
    <definedName name="Поправочные_коэффициенты_по_письму_Госстроя_от_25.12.90___10___0___0___0_1">#REF!</definedName>
    <definedName name="Поправочные_коэффициенты_по_письму_Госстроя_от_25.12.90___10___0___0_1" localSheetId="10">#REF!</definedName>
    <definedName name="Поправочные_коэффициенты_по_письму_Госстроя_от_25.12.90___10___0___0_1" localSheetId="9">#REF!</definedName>
    <definedName name="Поправочные_коэффициенты_по_письму_Госстроя_от_25.12.90___10___0___0_1">#REF!</definedName>
    <definedName name="Поправочные_коэффициенты_по_письму_Госстроя_от_25.12.90___10___0___1">NA()</definedName>
    <definedName name="Поправочные_коэффициенты_по_письму_Госстроя_от_25.12.90___10___0___5">NA()</definedName>
    <definedName name="Поправочные_коэффициенты_по_письму_Госстроя_от_25.12.90___10___0_1" localSheetId="10">#REF!</definedName>
    <definedName name="Поправочные_коэффициенты_по_письму_Госстроя_от_25.12.90___10___0_1" localSheetId="9">#REF!</definedName>
    <definedName name="Поправочные_коэффициенты_по_письму_Госстроя_от_25.12.90___10___0_1">#REF!</definedName>
    <definedName name="Поправочные_коэффициенты_по_письму_Госстроя_от_25.12.90___10___0_1_1">NA()</definedName>
    <definedName name="Поправочные_коэффициенты_по_письму_Госстроя_от_25.12.90___10___0_3">NA()</definedName>
    <definedName name="Поправочные_коэффициенты_по_письму_Госстроя_от_25.12.90___10___0_5">NA()</definedName>
    <definedName name="Поправочные_коэффициенты_по_письму_Госстроя_от_25.12.90___10___1" localSheetId="10">#REF!</definedName>
    <definedName name="Поправочные_коэффициенты_по_письму_Госстроя_от_25.12.90___10___1" localSheetId="12">#REF!</definedName>
    <definedName name="Поправочные_коэффициенты_по_письму_Госстроя_от_25.12.90___10___1" localSheetId="116">#REF!</definedName>
    <definedName name="Поправочные_коэффициенты_по_письму_Госстроя_от_25.12.90___10___1" localSheetId="8">#REF!</definedName>
    <definedName name="Поправочные_коэффициенты_по_письму_Госстроя_от_25.12.90___10___1" localSheetId="11">#REF!</definedName>
    <definedName name="Поправочные_коэффициенты_по_письму_Госстроя_от_25.12.90___10___1" localSheetId="110">#REF!</definedName>
    <definedName name="Поправочные_коэффициенты_по_письму_Госстроя_от_25.12.90___10___1" localSheetId="109">#REF!</definedName>
    <definedName name="Поправочные_коэффициенты_по_письму_Госстроя_от_25.12.90___10___1" localSheetId="108">#REF!</definedName>
    <definedName name="Поправочные_коэффициенты_по_письму_Госстроя_от_25.12.90___10___1" localSheetId="6">#REF!</definedName>
    <definedName name="Поправочные_коэффициенты_по_письму_Госстроя_от_25.12.90___10___1" localSheetId="9">#REF!</definedName>
    <definedName name="Поправочные_коэффициенты_по_письму_Госстроя_от_25.12.90___10___1" localSheetId="7">#REF!</definedName>
    <definedName name="Поправочные_коэффициенты_по_письму_Госстроя_от_25.12.90___10___1" localSheetId="92">#REF!</definedName>
    <definedName name="Поправочные_коэффициенты_по_письму_Госстроя_от_25.12.90___10___1" localSheetId="93">#REF!</definedName>
    <definedName name="Поправочные_коэффициенты_по_письму_Госстроя_от_25.12.90___10___1" localSheetId="94">#REF!</definedName>
    <definedName name="Поправочные_коэффициенты_по_письму_Госстроя_от_25.12.90___10___1" localSheetId="99">#REF!</definedName>
    <definedName name="Поправочные_коэффициенты_по_письму_Госстроя_от_25.12.90___10___1" localSheetId="100">#REF!</definedName>
    <definedName name="Поправочные_коэффициенты_по_письму_Госстроя_от_25.12.90___10___1" localSheetId="106">#REF!</definedName>
    <definedName name="Поправочные_коэффициенты_по_письму_Госстроя_от_25.12.90___10___1">#REF!</definedName>
    <definedName name="Поправочные_коэффициенты_по_письму_Госстроя_от_25.12.90___10___10" localSheetId="10">#REF!</definedName>
    <definedName name="Поправочные_коэффициенты_по_письму_Госстроя_от_25.12.90___10___10" localSheetId="12">#REF!</definedName>
    <definedName name="Поправочные_коэффициенты_по_письму_Госстроя_от_25.12.90___10___10" localSheetId="116">#REF!</definedName>
    <definedName name="Поправочные_коэффициенты_по_письму_Госстроя_от_25.12.90___10___10" localSheetId="8">#REF!</definedName>
    <definedName name="Поправочные_коэффициенты_по_письму_Госстроя_от_25.12.90___10___10" localSheetId="11">#REF!</definedName>
    <definedName name="Поправочные_коэффициенты_по_письму_Госстроя_от_25.12.90___10___10" localSheetId="110">#REF!</definedName>
    <definedName name="Поправочные_коэффициенты_по_письму_Госстроя_от_25.12.90___10___10" localSheetId="109">#REF!</definedName>
    <definedName name="Поправочные_коэффициенты_по_письму_Госстроя_от_25.12.90___10___10" localSheetId="108">#REF!</definedName>
    <definedName name="Поправочные_коэффициенты_по_письму_Госстроя_от_25.12.90___10___10" localSheetId="6">#REF!</definedName>
    <definedName name="Поправочные_коэффициенты_по_письму_Госстроя_от_25.12.90___10___10" localSheetId="9">#REF!</definedName>
    <definedName name="Поправочные_коэффициенты_по_письму_Госстроя_от_25.12.90___10___10" localSheetId="7">#REF!</definedName>
    <definedName name="Поправочные_коэффициенты_по_письму_Госстроя_от_25.12.90___10___10" localSheetId="92">#REF!</definedName>
    <definedName name="Поправочные_коэффициенты_по_письму_Госстроя_от_25.12.90___10___10" localSheetId="93">#REF!</definedName>
    <definedName name="Поправочные_коэффициенты_по_письму_Госстроя_от_25.12.90___10___10" localSheetId="94">#REF!</definedName>
    <definedName name="Поправочные_коэффициенты_по_письму_Госстроя_от_25.12.90___10___10" localSheetId="99">#REF!</definedName>
    <definedName name="Поправочные_коэффициенты_по_письму_Госстроя_от_25.12.90___10___10" localSheetId="100">#REF!</definedName>
    <definedName name="Поправочные_коэффициенты_по_письму_Госстроя_от_25.12.90___10___10" localSheetId="106">#REF!</definedName>
    <definedName name="Поправочные_коэффициенты_по_письму_Госстроя_от_25.12.90___10___10">#REF!</definedName>
    <definedName name="Поправочные_коэффициенты_по_письму_Госстроя_от_25.12.90___10___12" localSheetId="10">#REF!</definedName>
    <definedName name="Поправочные_коэффициенты_по_письму_Госстроя_от_25.12.90___10___12" localSheetId="12">#REF!</definedName>
    <definedName name="Поправочные_коэффициенты_по_письму_Госстроя_от_25.12.90___10___12" localSheetId="110">#REF!</definedName>
    <definedName name="Поправочные_коэффициенты_по_письму_Госстроя_от_25.12.90___10___12" localSheetId="9">#REF!</definedName>
    <definedName name="Поправочные_коэффициенты_по_письму_Госстроя_от_25.12.90___10___12">#REF!</definedName>
    <definedName name="Поправочные_коэффициенты_по_письму_Госстроя_от_25.12.90___10___2">NA()</definedName>
    <definedName name="Поправочные_коэффициенты_по_письму_Госстроя_от_25.12.90___10___4">NA()</definedName>
    <definedName name="Поправочные_коэффициенты_по_письму_Госстроя_от_25.12.90___10___5" localSheetId="10">#REF!</definedName>
    <definedName name="Поправочные_коэффициенты_по_письму_Госстроя_от_25.12.90___10___5" localSheetId="9">#REF!</definedName>
    <definedName name="Поправочные_коэффициенты_по_письму_Госстроя_от_25.12.90___10___5">#REF!</definedName>
    <definedName name="Поправочные_коэффициенты_по_письму_Госстроя_от_25.12.90___10___5_1" localSheetId="10">#REF!</definedName>
    <definedName name="Поправочные_коэффициенты_по_письму_Госстроя_от_25.12.90___10___5_1" localSheetId="9">#REF!</definedName>
    <definedName name="Поправочные_коэффициенты_по_письму_Госстроя_от_25.12.90___10___5_1">#REF!</definedName>
    <definedName name="Поправочные_коэффициенты_по_письму_Госстроя_от_25.12.90___10___6">NA()</definedName>
    <definedName name="Поправочные_коэффициенты_по_письму_Госстроя_от_25.12.90___10___8">NA()</definedName>
    <definedName name="Поправочные_коэффициенты_по_письму_Госстроя_от_25.12.90___10_1">NA()</definedName>
    <definedName name="Поправочные_коэффициенты_по_письму_Госстроя_от_25.12.90___10_3" localSheetId="10">#REF!</definedName>
    <definedName name="Поправочные_коэффициенты_по_письму_Госстроя_от_25.12.90___10_3" localSheetId="9">#REF!</definedName>
    <definedName name="Поправочные_коэффициенты_по_письму_Госстроя_от_25.12.90___10_3">#REF!</definedName>
    <definedName name="Поправочные_коэффициенты_по_письму_Госстроя_от_25.12.90___10_3_1" localSheetId="10">#REF!</definedName>
    <definedName name="Поправочные_коэффициенты_по_письму_Госстроя_от_25.12.90___10_3_1" localSheetId="9">#REF!</definedName>
    <definedName name="Поправочные_коэффициенты_по_письму_Госстроя_от_25.12.90___10_3_1">#REF!</definedName>
    <definedName name="Поправочные_коэффициенты_по_письму_Госстроя_от_25.12.90___10_5" localSheetId="10">#REF!</definedName>
    <definedName name="Поправочные_коэффициенты_по_письму_Госстроя_от_25.12.90___10_5" localSheetId="9">#REF!</definedName>
    <definedName name="Поправочные_коэффициенты_по_письму_Госстроя_от_25.12.90___10_5">#REF!</definedName>
    <definedName name="Поправочные_коэффициенты_по_письму_Госстроя_от_25.12.90___10_5_1" localSheetId="10">#REF!</definedName>
    <definedName name="Поправочные_коэффициенты_по_письму_Госстроя_от_25.12.90___10_5_1" localSheetId="9">#REF!</definedName>
    <definedName name="Поправочные_коэффициенты_по_письму_Госстроя_от_25.12.90___10_5_1">#REF!</definedName>
    <definedName name="Поправочные_коэффициенты_по_письму_Госстроя_от_25.12.90___11" localSheetId="10">#REF!</definedName>
    <definedName name="Поправочные_коэффициенты_по_письму_Госстроя_от_25.12.90___11" localSheetId="12">#REF!</definedName>
    <definedName name="Поправочные_коэффициенты_по_письму_Госстроя_от_25.12.90___11" localSheetId="116">#REF!</definedName>
    <definedName name="Поправочные_коэффициенты_по_письму_Госстроя_от_25.12.90___11" localSheetId="110">#REF!</definedName>
    <definedName name="Поправочные_коэффициенты_по_письму_Госстроя_от_25.12.90___11" localSheetId="109">#REF!</definedName>
    <definedName name="Поправочные_коэффициенты_по_письму_Госстроя_от_25.12.90___11" localSheetId="108">#REF!</definedName>
    <definedName name="Поправочные_коэффициенты_по_письму_Госстроя_от_25.12.90___11" localSheetId="9">#REF!</definedName>
    <definedName name="Поправочные_коэффициенты_по_письму_Госстроя_от_25.12.90___11" localSheetId="7">#REF!</definedName>
    <definedName name="Поправочные_коэффициенты_по_письму_Госстроя_от_25.12.90___11" localSheetId="92">#REF!</definedName>
    <definedName name="Поправочные_коэффициенты_по_письму_Госстроя_от_25.12.90___11" localSheetId="93">#REF!</definedName>
    <definedName name="Поправочные_коэффициенты_по_письму_Госстроя_от_25.12.90___11" localSheetId="94">#REF!</definedName>
    <definedName name="Поправочные_коэффициенты_по_письму_Госстроя_от_25.12.90___11" localSheetId="99">#REF!</definedName>
    <definedName name="Поправочные_коэффициенты_по_письму_Госстроя_от_25.12.90___11" localSheetId="100">#REF!</definedName>
    <definedName name="Поправочные_коэффициенты_по_письму_Госстроя_от_25.12.90___11" localSheetId="106">#REF!</definedName>
    <definedName name="Поправочные_коэффициенты_по_письму_Госстроя_от_25.12.90___11">#REF!</definedName>
    <definedName name="Поправочные_коэффициенты_по_письму_Госстроя_от_25.12.90___11___0">NA()</definedName>
    <definedName name="Поправочные_коэффициенты_по_письму_Госстроя_от_25.12.90___11___10" localSheetId="10">#REF!</definedName>
    <definedName name="Поправочные_коэффициенты_по_письму_Госстроя_от_25.12.90___11___10" localSheetId="12">#REF!</definedName>
    <definedName name="Поправочные_коэффициенты_по_письму_Госстроя_от_25.12.90___11___10" localSheetId="116">#REF!</definedName>
    <definedName name="Поправочные_коэффициенты_по_письму_Госстроя_от_25.12.90___11___10" localSheetId="8">#REF!</definedName>
    <definedName name="Поправочные_коэффициенты_по_письму_Госстроя_от_25.12.90___11___10" localSheetId="11">#REF!</definedName>
    <definedName name="Поправочные_коэффициенты_по_письму_Госстроя_от_25.12.90___11___10" localSheetId="110">#REF!</definedName>
    <definedName name="Поправочные_коэффициенты_по_письму_Госстроя_от_25.12.90___11___10" localSheetId="109">#REF!</definedName>
    <definedName name="Поправочные_коэффициенты_по_письму_Госстроя_от_25.12.90___11___10" localSheetId="108">#REF!</definedName>
    <definedName name="Поправочные_коэффициенты_по_письму_Госстроя_от_25.12.90___11___10" localSheetId="6">#REF!</definedName>
    <definedName name="Поправочные_коэффициенты_по_письму_Госстроя_от_25.12.90___11___10" localSheetId="9">#REF!</definedName>
    <definedName name="Поправочные_коэффициенты_по_письму_Госстроя_от_25.12.90___11___10" localSheetId="7">#REF!</definedName>
    <definedName name="Поправочные_коэффициенты_по_письму_Госстроя_от_25.12.90___11___10" localSheetId="92">#REF!</definedName>
    <definedName name="Поправочные_коэффициенты_по_письму_Госстроя_от_25.12.90___11___10" localSheetId="93">#REF!</definedName>
    <definedName name="Поправочные_коэффициенты_по_письму_Госстроя_от_25.12.90___11___10" localSheetId="94">#REF!</definedName>
    <definedName name="Поправочные_коэффициенты_по_письму_Госстроя_от_25.12.90___11___10" localSheetId="99">#REF!</definedName>
    <definedName name="Поправочные_коэффициенты_по_письму_Госстроя_от_25.12.90___11___10" localSheetId="100">#REF!</definedName>
    <definedName name="Поправочные_коэффициенты_по_письму_Госстроя_от_25.12.90___11___10" localSheetId="106">#REF!</definedName>
    <definedName name="Поправочные_коэффициенты_по_письму_Госстроя_от_25.12.90___11___10">#REF!</definedName>
    <definedName name="Поправочные_коэффициенты_по_письму_Госстроя_от_25.12.90___11___2" localSheetId="10">#REF!</definedName>
    <definedName name="Поправочные_коэффициенты_по_письму_Госстроя_от_25.12.90___11___2" localSheetId="12">#REF!</definedName>
    <definedName name="Поправочные_коэффициенты_по_письму_Госстроя_от_25.12.90___11___2" localSheetId="116">#REF!</definedName>
    <definedName name="Поправочные_коэффициенты_по_письму_Госстроя_от_25.12.90___11___2" localSheetId="8">#REF!</definedName>
    <definedName name="Поправочные_коэффициенты_по_письму_Госстроя_от_25.12.90___11___2" localSheetId="11">#REF!</definedName>
    <definedName name="Поправочные_коэффициенты_по_письму_Госстроя_от_25.12.90___11___2" localSheetId="110">#REF!</definedName>
    <definedName name="Поправочные_коэффициенты_по_письму_Госстроя_от_25.12.90___11___2" localSheetId="109">#REF!</definedName>
    <definedName name="Поправочные_коэффициенты_по_письму_Госстроя_от_25.12.90___11___2" localSheetId="108">#REF!</definedName>
    <definedName name="Поправочные_коэффициенты_по_письму_Госстроя_от_25.12.90___11___2" localSheetId="6">#REF!</definedName>
    <definedName name="Поправочные_коэффициенты_по_письму_Госстроя_от_25.12.90___11___2" localSheetId="9">#REF!</definedName>
    <definedName name="Поправочные_коэффициенты_по_письму_Госстроя_от_25.12.90___11___2" localSheetId="7">#REF!</definedName>
    <definedName name="Поправочные_коэффициенты_по_письму_Госстроя_от_25.12.90___11___2" localSheetId="92">#REF!</definedName>
    <definedName name="Поправочные_коэффициенты_по_письму_Госстроя_от_25.12.90___11___2" localSheetId="93">#REF!</definedName>
    <definedName name="Поправочные_коэффициенты_по_письму_Госстроя_от_25.12.90___11___2" localSheetId="94">#REF!</definedName>
    <definedName name="Поправочные_коэффициенты_по_письму_Госстроя_от_25.12.90___11___2" localSheetId="99">#REF!</definedName>
    <definedName name="Поправочные_коэффициенты_по_письму_Госстроя_от_25.12.90___11___2" localSheetId="100">#REF!</definedName>
    <definedName name="Поправочные_коэффициенты_по_письму_Госстроя_от_25.12.90___11___2" localSheetId="106">#REF!</definedName>
    <definedName name="Поправочные_коэффициенты_по_письму_Госстроя_от_25.12.90___11___2">#REF!</definedName>
    <definedName name="Поправочные_коэффициенты_по_письму_Госстроя_от_25.12.90___11___4" localSheetId="10">#REF!</definedName>
    <definedName name="Поправочные_коэффициенты_по_письму_Госстроя_от_25.12.90___11___4" localSheetId="12">#REF!</definedName>
    <definedName name="Поправочные_коэффициенты_по_письму_Госстроя_от_25.12.90___11___4" localSheetId="116">#REF!</definedName>
    <definedName name="Поправочные_коэффициенты_по_письму_Госстроя_от_25.12.90___11___4" localSheetId="110">#REF!</definedName>
    <definedName name="Поправочные_коэффициенты_по_письму_Госстроя_от_25.12.90___11___4" localSheetId="109">#REF!</definedName>
    <definedName name="Поправочные_коэффициенты_по_письму_Госстроя_от_25.12.90___11___4" localSheetId="108">#REF!</definedName>
    <definedName name="Поправочные_коэффициенты_по_письму_Госстроя_от_25.12.90___11___4" localSheetId="9">#REF!</definedName>
    <definedName name="Поправочные_коэффициенты_по_письму_Госстроя_от_25.12.90___11___4" localSheetId="92">#REF!</definedName>
    <definedName name="Поправочные_коэффициенты_по_письму_Госстроя_от_25.12.90___11___4" localSheetId="93">#REF!</definedName>
    <definedName name="Поправочные_коэффициенты_по_письму_Госстроя_от_25.12.90___11___4" localSheetId="94">#REF!</definedName>
    <definedName name="Поправочные_коэффициенты_по_письму_Госстроя_от_25.12.90___11___4" localSheetId="99">#REF!</definedName>
    <definedName name="Поправочные_коэффициенты_по_письму_Госстроя_от_25.12.90___11___4" localSheetId="100">#REF!</definedName>
    <definedName name="Поправочные_коэффициенты_по_письму_Госстроя_от_25.12.90___11___4" localSheetId="106">#REF!</definedName>
    <definedName name="Поправочные_коэффициенты_по_письму_Госстроя_от_25.12.90___11___4">#REF!</definedName>
    <definedName name="Поправочные_коэффициенты_по_письму_Госстроя_от_25.12.90___11___6" localSheetId="10">#REF!</definedName>
    <definedName name="Поправочные_коэффициенты_по_письму_Госстроя_от_25.12.90___11___6" localSheetId="12">#REF!</definedName>
    <definedName name="Поправочные_коэффициенты_по_письму_Госстроя_от_25.12.90___11___6" localSheetId="110">#REF!</definedName>
    <definedName name="Поправочные_коэффициенты_по_письму_Госстроя_от_25.12.90___11___6" localSheetId="9">#REF!</definedName>
    <definedName name="Поправочные_коэффициенты_по_письму_Госстроя_от_25.12.90___11___6">#REF!</definedName>
    <definedName name="Поправочные_коэффициенты_по_письму_Госстроя_от_25.12.90___11___8" localSheetId="10">#REF!</definedName>
    <definedName name="Поправочные_коэффициенты_по_письму_Госстроя_от_25.12.90___11___8" localSheetId="12">#REF!</definedName>
    <definedName name="Поправочные_коэффициенты_по_письму_Госстроя_от_25.12.90___11___8" localSheetId="110">#REF!</definedName>
    <definedName name="Поправочные_коэффициенты_по_письму_Госстроя_от_25.12.90___11___8" localSheetId="9">#REF!</definedName>
    <definedName name="Поправочные_коэффициенты_по_письму_Госстроя_от_25.12.90___11___8">#REF!</definedName>
    <definedName name="Поправочные_коэффициенты_по_письму_Госстроя_от_25.12.90___11_1" localSheetId="10">#REF!</definedName>
    <definedName name="Поправочные_коэффициенты_по_письму_Госстроя_от_25.12.90___11_1" localSheetId="9">#REF!</definedName>
    <definedName name="Поправочные_коэффициенты_по_письму_Госстроя_от_25.12.90___11_1">#REF!</definedName>
    <definedName name="Поправочные_коэффициенты_по_письму_Госстроя_от_25.12.90___12">NA()</definedName>
    <definedName name="Поправочные_коэффициенты_по_письму_Госстроя_от_25.12.90___2" localSheetId="10">#REF!</definedName>
    <definedName name="Поправочные_коэффициенты_по_письму_Госстроя_от_25.12.90___2" localSheetId="12">#REF!</definedName>
    <definedName name="Поправочные_коэффициенты_по_письму_Госстроя_от_25.12.90___2" localSheetId="116">#REF!</definedName>
    <definedName name="Поправочные_коэффициенты_по_письму_Госстроя_от_25.12.90___2" localSheetId="8">#REF!</definedName>
    <definedName name="Поправочные_коэффициенты_по_письму_Госстроя_от_25.12.90___2" localSheetId="11">#REF!</definedName>
    <definedName name="Поправочные_коэффициенты_по_письму_Госстроя_от_25.12.90___2" localSheetId="110">#REF!</definedName>
    <definedName name="Поправочные_коэффициенты_по_письму_Госстроя_от_25.12.90___2" localSheetId="109">#REF!</definedName>
    <definedName name="Поправочные_коэффициенты_по_письму_Госстроя_от_25.12.90___2" localSheetId="108">#REF!</definedName>
    <definedName name="Поправочные_коэффициенты_по_письму_Госстроя_от_25.12.90___2" localSheetId="6">#REF!</definedName>
    <definedName name="Поправочные_коэффициенты_по_письму_Госстроя_от_25.12.90___2" localSheetId="9">#REF!</definedName>
    <definedName name="Поправочные_коэффициенты_по_письму_Госстроя_от_25.12.90___2" localSheetId="7">#REF!</definedName>
    <definedName name="Поправочные_коэффициенты_по_письму_Госстроя_от_25.12.90___2" localSheetId="92">#REF!</definedName>
    <definedName name="Поправочные_коэффициенты_по_письму_Госстроя_от_25.12.90___2" localSheetId="93">#REF!</definedName>
    <definedName name="Поправочные_коэффициенты_по_письму_Госстроя_от_25.12.90___2" localSheetId="94">#REF!</definedName>
    <definedName name="Поправочные_коэффициенты_по_письму_Госстроя_от_25.12.90___2" localSheetId="99">#REF!</definedName>
    <definedName name="Поправочные_коэффициенты_по_письму_Госстроя_от_25.12.90___2" localSheetId="100">#REF!</definedName>
    <definedName name="Поправочные_коэффициенты_по_письму_Госстроя_от_25.12.90___2" localSheetId="106">#REF!</definedName>
    <definedName name="Поправочные_коэффициенты_по_письму_Госстроя_от_25.12.90___2">#REF!</definedName>
    <definedName name="Поправочные_коэффициенты_по_письму_Госстроя_от_25.12.90___2___0" localSheetId="10">#REF!</definedName>
    <definedName name="Поправочные_коэффициенты_по_письму_Госстроя_от_25.12.90___2___0" localSheetId="12">#REF!</definedName>
    <definedName name="Поправочные_коэффициенты_по_письму_Госстроя_от_25.12.90___2___0" localSheetId="116">#REF!</definedName>
    <definedName name="Поправочные_коэффициенты_по_письму_Госстроя_от_25.12.90___2___0" localSheetId="8">#REF!</definedName>
    <definedName name="Поправочные_коэффициенты_по_письму_Госстроя_от_25.12.90___2___0" localSheetId="11">#REF!</definedName>
    <definedName name="Поправочные_коэффициенты_по_письму_Госстроя_от_25.12.90___2___0" localSheetId="110">#REF!</definedName>
    <definedName name="Поправочные_коэффициенты_по_письму_Госстроя_от_25.12.90___2___0" localSheetId="109">#REF!</definedName>
    <definedName name="Поправочные_коэффициенты_по_письму_Госстроя_от_25.12.90___2___0" localSheetId="108">#REF!</definedName>
    <definedName name="Поправочные_коэффициенты_по_письму_Госстроя_от_25.12.90___2___0" localSheetId="6">#REF!</definedName>
    <definedName name="Поправочные_коэффициенты_по_письму_Госстроя_от_25.12.90___2___0" localSheetId="9">#REF!</definedName>
    <definedName name="Поправочные_коэффициенты_по_письму_Госстроя_от_25.12.90___2___0" localSheetId="7">#REF!</definedName>
    <definedName name="Поправочные_коэффициенты_по_письму_Госстроя_от_25.12.90___2___0" localSheetId="92">#REF!</definedName>
    <definedName name="Поправочные_коэффициенты_по_письму_Госстроя_от_25.12.90___2___0" localSheetId="93">#REF!</definedName>
    <definedName name="Поправочные_коэффициенты_по_письму_Госстроя_от_25.12.90___2___0" localSheetId="94">#REF!</definedName>
    <definedName name="Поправочные_коэффициенты_по_письму_Госстроя_от_25.12.90___2___0" localSheetId="99">#REF!</definedName>
    <definedName name="Поправочные_коэффициенты_по_письму_Госстроя_от_25.12.90___2___0" localSheetId="100">#REF!</definedName>
    <definedName name="Поправочные_коэффициенты_по_письму_Госстроя_от_25.12.90___2___0" localSheetId="106">#REF!</definedName>
    <definedName name="Поправочные_коэффициенты_по_письму_Госстроя_от_25.12.90___2___0">#REF!</definedName>
    <definedName name="Поправочные_коэффициенты_по_письму_Госстроя_от_25.12.90___2___0___0" localSheetId="10">#REF!</definedName>
    <definedName name="Поправочные_коэффициенты_по_письму_Госстроя_от_25.12.90___2___0___0" localSheetId="12">#REF!</definedName>
    <definedName name="Поправочные_коэффициенты_по_письму_Госстроя_от_25.12.90___2___0___0" localSheetId="116">#REF!</definedName>
    <definedName name="Поправочные_коэффициенты_по_письму_Госстроя_от_25.12.90___2___0___0" localSheetId="110">#REF!</definedName>
    <definedName name="Поправочные_коэффициенты_по_письму_Госстроя_от_25.12.90___2___0___0" localSheetId="109">#REF!</definedName>
    <definedName name="Поправочные_коэффициенты_по_письму_Госстроя_от_25.12.90___2___0___0" localSheetId="108">#REF!</definedName>
    <definedName name="Поправочные_коэффициенты_по_письму_Госстроя_от_25.12.90___2___0___0" localSheetId="9">#REF!</definedName>
    <definedName name="Поправочные_коэффициенты_по_письму_Госстроя_от_25.12.90___2___0___0" localSheetId="92">#REF!</definedName>
    <definedName name="Поправочные_коэффициенты_по_письму_Госстроя_от_25.12.90___2___0___0" localSheetId="93">#REF!</definedName>
    <definedName name="Поправочные_коэффициенты_по_письму_Госстроя_от_25.12.90___2___0___0" localSheetId="94">#REF!</definedName>
    <definedName name="Поправочные_коэффициенты_по_письму_Госстроя_от_25.12.90___2___0___0" localSheetId="99">#REF!</definedName>
    <definedName name="Поправочные_коэффициенты_по_письму_Госстроя_от_25.12.90___2___0___0" localSheetId="100">#REF!</definedName>
    <definedName name="Поправочные_коэффициенты_по_письму_Госстроя_от_25.12.90___2___0___0" localSheetId="106">#REF!</definedName>
    <definedName name="Поправочные_коэффициенты_по_письму_Госстроя_от_25.12.90___2___0___0">#REF!</definedName>
    <definedName name="Поправочные_коэффициенты_по_письму_Госстроя_от_25.12.90___2___0___0___0" localSheetId="10">#REF!</definedName>
    <definedName name="Поправочные_коэффициенты_по_письму_Госстроя_от_25.12.90___2___0___0___0" localSheetId="12">#REF!</definedName>
    <definedName name="Поправочные_коэффициенты_по_письму_Госстроя_от_25.12.90___2___0___0___0" localSheetId="110">#REF!</definedName>
    <definedName name="Поправочные_коэффициенты_по_письму_Госстроя_от_25.12.90___2___0___0___0" localSheetId="9">#REF!</definedName>
    <definedName name="Поправочные_коэффициенты_по_письму_Госстроя_от_25.12.90___2___0___0___0">#REF!</definedName>
    <definedName name="Поправочные_коэффициенты_по_письму_Госстроя_от_25.12.90___2___0___0___0___0" localSheetId="10">#REF!</definedName>
    <definedName name="Поправочные_коэффициенты_по_письму_Госстроя_от_25.12.90___2___0___0___0___0" localSheetId="9">#REF!</definedName>
    <definedName name="Поправочные_коэффициенты_по_письму_Госстроя_от_25.12.90___2___0___0___0___0">#REF!</definedName>
    <definedName name="Поправочные_коэффициенты_по_письму_Госстроя_от_25.12.90___2___0___0___0___0_1" localSheetId="10">#REF!</definedName>
    <definedName name="Поправочные_коэффициенты_по_письму_Госстроя_от_25.12.90___2___0___0___0___0_1" localSheetId="9">#REF!</definedName>
    <definedName name="Поправочные_коэффициенты_по_письму_Госстроя_от_25.12.90___2___0___0___0___0_1">#REF!</definedName>
    <definedName name="Поправочные_коэффициенты_по_письму_Госстроя_от_25.12.90___2___0___0___0_1" localSheetId="10">#REF!</definedName>
    <definedName name="Поправочные_коэффициенты_по_письму_Госстроя_от_25.12.90___2___0___0___0_1" localSheetId="9">#REF!</definedName>
    <definedName name="Поправочные_коэффициенты_по_письму_Госстроя_от_25.12.90___2___0___0___0_1">#REF!</definedName>
    <definedName name="Поправочные_коэффициенты_по_письму_Госстроя_от_25.12.90___2___0___0___1" localSheetId="10">#REF!</definedName>
    <definedName name="Поправочные_коэффициенты_по_письму_Госстроя_от_25.12.90___2___0___0___1" localSheetId="9">#REF!</definedName>
    <definedName name="Поправочные_коэффициенты_по_письму_Госстроя_от_25.12.90___2___0___0___1">#REF!</definedName>
    <definedName name="Поправочные_коэффициенты_по_письму_Госстроя_от_25.12.90___2___0___0___1_1" localSheetId="10">#REF!</definedName>
    <definedName name="Поправочные_коэффициенты_по_письму_Госстроя_от_25.12.90___2___0___0___1_1" localSheetId="9">#REF!</definedName>
    <definedName name="Поправочные_коэффициенты_по_письму_Госстроя_от_25.12.90___2___0___0___1_1">#REF!</definedName>
    <definedName name="Поправочные_коэффициенты_по_письму_Госстроя_от_25.12.90___2___0___0___5" localSheetId="10">#REF!</definedName>
    <definedName name="Поправочные_коэффициенты_по_письму_Госстроя_от_25.12.90___2___0___0___5" localSheetId="9">#REF!</definedName>
    <definedName name="Поправочные_коэффициенты_по_письму_Госстроя_от_25.12.90___2___0___0___5">#REF!</definedName>
    <definedName name="Поправочные_коэффициенты_по_письму_Госстроя_от_25.12.90___2___0___0___5_1" localSheetId="10">#REF!</definedName>
    <definedName name="Поправочные_коэффициенты_по_письму_Госстроя_от_25.12.90___2___0___0___5_1" localSheetId="9">#REF!</definedName>
    <definedName name="Поправочные_коэффициенты_по_письму_Госстроя_от_25.12.90___2___0___0___5_1">#REF!</definedName>
    <definedName name="Поправочные_коэффициенты_по_письму_Госстроя_от_25.12.90___2___0___0_1" localSheetId="10">#REF!</definedName>
    <definedName name="Поправочные_коэффициенты_по_письму_Госстроя_от_25.12.90___2___0___0_1" localSheetId="9">#REF!</definedName>
    <definedName name="Поправочные_коэффициенты_по_письму_Госстроя_от_25.12.90___2___0___0_1">#REF!</definedName>
    <definedName name="Поправочные_коэффициенты_по_письму_Госстроя_от_25.12.90___2___0___0_1_1" localSheetId="10">#REF!</definedName>
    <definedName name="Поправочные_коэффициенты_по_письму_Госстроя_от_25.12.90___2___0___0_1_1" localSheetId="9">#REF!</definedName>
    <definedName name="Поправочные_коэффициенты_по_письму_Госстроя_от_25.12.90___2___0___0_1_1">#REF!</definedName>
    <definedName name="Поправочные_коэффициенты_по_письму_Госстроя_от_25.12.90___2___0___0_1_1_1" localSheetId="10">#REF!</definedName>
    <definedName name="Поправочные_коэффициенты_по_письму_Госстроя_от_25.12.90___2___0___0_1_1_1" localSheetId="9">#REF!</definedName>
    <definedName name="Поправочные_коэффициенты_по_письму_Госстроя_от_25.12.90___2___0___0_1_1_1">#REF!</definedName>
    <definedName name="Поправочные_коэффициенты_по_письму_Госстроя_от_25.12.90___2___0___0_5" localSheetId="10">#REF!</definedName>
    <definedName name="Поправочные_коэффициенты_по_письму_Госстроя_от_25.12.90___2___0___0_5" localSheetId="9">#REF!</definedName>
    <definedName name="Поправочные_коэффициенты_по_письму_Госстроя_от_25.12.90___2___0___0_5">#REF!</definedName>
    <definedName name="Поправочные_коэффициенты_по_письму_Госстроя_от_25.12.90___2___0___0_5_1" localSheetId="10">#REF!</definedName>
    <definedName name="Поправочные_коэффициенты_по_письму_Госстроя_от_25.12.90___2___0___0_5_1" localSheetId="9">#REF!</definedName>
    <definedName name="Поправочные_коэффициенты_по_письму_Госстроя_от_25.12.90___2___0___0_5_1">#REF!</definedName>
    <definedName name="Поправочные_коэффициенты_по_письму_Госстроя_от_25.12.90___2___0___1" localSheetId="10">#REF!</definedName>
    <definedName name="Поправочные_коэффициенты_по_письму_Госстроя_от_25.12.90___2___0___1" localSheetId="9">#REF!</definedName>
    <definedName name="Поправочные_коэффициенты_по_письму_Госстроя_от_25.12.90___2___0___1">#REF!</definedName>
    <definedName name="Поправочные_коэффициенты_по_письму_Госстроя_от_25.12.90___2___0___1_1" localSheetId="10">#REF!</definedName>
    <definedName name="Поправочные_коэффициенты_по_письму_Госстроя_от_25.12.90___2___0___1_1" localSheetId="9">#REF!</definedName>
    <definedName name="Поправочные_коэффициенты_по_письму_Госстроя_от_25.12.90___2___0___1_1">#REF!</definedName>
    <definedName name="Поправочные_коэффициенты_по_письму_Госстроя_от_25.12.90___2___0___5" localSheetId="10">#REF!</definedName>
    <definedName name="Поправочные_коэффициенты_по_письму_Госстроя_от_25.12.90___2___0___5" localSheetId="9">#REF!</definedName>
    <definedName name="Поправочные_коэффициенты_по_письму_Госстроя_от_25.12.90___2___0___5">#REF!</definedName>
    <definedName name="Поправочные_коэффициенты_по_письму_Госстроя_от_25.12.90___2___0___5_1" localSheetId="10">#REF!</definedName>
    <definedName name="Поправочные_коэффициенты_по_письму_Госстроя_от_25.12.90___2___0___5_1" localSheetId="9">#REF!</definedName>
    <definedName name="Поправочные_коэффициенты_по_письму_Госстроя_от_25.12.90___2___0___5_1">#REF!</definedName>
    <definedName name="Поправочные_коэффициенты_по_письму_Госстроя_от_25.12.90___2___0_1" localSheetId="10">#REF!</definedName>
    <definedName name="Поправочные_коэффициенты_по_письму_Госстроя_от_25.12.90___2___0_1" localSheetId="9">#REF!</definedName>
    <definedName name="Поправочные_коэффициенты_по_письму_Госстроя_от_25.12.90___2___0_1">#REF!</definedName>
    <definedName name="Поправочные_коэффициенты_по_письму_Госстроя_от_25.12.90___2___0_1_1" localSheetId="10">#REF!</definedName>
    <definedName name="Поправочные_коэффициенты_по_письму_Госстроя_от_25.12.90___2___0_1_1" localSheetId="9">#REF!</definedName>
    <definedName name="Поправочные_коэффициенты_по_письму_Госстроя_от_25.12.90___2___0_1_1">#REF!</definedName>
    <definedName name="Поправочные_коэффициенты_по_письму_Госстроя_от_25.12.90___2___0_1_1_1" localSheetId="10">#REF!</definedName>
    <definedName name="Поправочные_коэффициенты_по_письму_Госстроя_от_25.12.90___2___0_1_1_1" localSheetId="9">#REF!</definedName>
    <definedName name="Поправочные_коэффициенты_по_письму_Госстроя_от_25.12.90___2___0_1_1_1">#REF!</definedName>
    <definedName name="Поправочные_коэффициенты_по_письму_Госстроя_от_25.12.90___2___0_3" localSheetId="10">#REF!</definedName>
    <definedName name="Поправочные_коэффициенты_по_письму_Госстроя_от_25.12.90___2___0_3" localSheetId="9">#REF!</definedName>
    <definedName name="Поправочные_коэффициенты_по_письму_Госстроя_от_25.12.90___2___0_3">#REF!</definedName>
    <definedName name="Поправочные_коэффициенты_по_письму_Госстроя_от_25.12.90___2___0_3_1" localSheetId="10">#REF!</definedName>
    <definedName name="Поправочные_коэффициенты_по_письму_Госстроя_от_25.12.90___2___0_3_1" localSheetId="9">#REF!</definedName>
    <definedName name="Поправочные_коэффициенты_по_письму_Госстроя_от_25.12.90___2___0_3_1">#REF!</definedName>
    <definedName name="Поправочные_коэффициенты_по_письму_Госстроя_от_25.12.90___2___0_5" localSheetId="10">#REF!</definedName>
    <definedName name="Поправочные_коэффициенты_по_письму_Госстроя_от_25.12.90___2___0_5" localSheetId="9">#REF!</definedName>
    <definedName name="Поправочные_коэффициенты_по_письму_Госстроя_от_25.12.90___2___0_5">#REF!</definedName>
    <definedName name="Поправочные_коэффициенты_по_письму_Госстроя_от_25.12.90___2___0_5_1" localSheetId="10">#REF!</definedName>
    <definedName name="Поправочные_коэффициенты_по_письму_Госстроя_от_25.12.90___2___0_5_1" localSheetId="9">#REF!</definedName>
    <definedName name="Поправочные_коэффициенты_по_письму_Госстроя_от_25.12.90___2___0_5_1">#REF!</definedName>
    <definedName name="Поправочные_коэффициенты_по_письму_Госстроя_от_25.12.90___2___1" localSheetId="10">#REF!</definedName>
    <definedName name="Поправочные_коэффициенты_по_письму_Госстроя_от_25.12.90___2___1" localSheetId="12">#REF!</definedName>
    <definedName name="Поправочные_коэффициенты_по_письму_Госстроя_от_25.12.90___2___1" localSheetId="110">#REF!</definedName>
    <definedName name="Поправочные_коэффициенты_по_письму_Госстроя_от_25.12.90___2___1" localSheetId="9">#REF!</definedName>
    <definedName name="Поправочные_коэффициенты_по_письму_Госстроя_от_25.12.90___2___1">#REF!</definedName>
    <definedName name="Поправочные_коэффициенты_по_письму_Госстроя_от_25.12.90___2___1_1" localSheetId="10">#REF!</definedName>
    <definedName name="Поправочные_коэффициенты_по_письму_Госстроя_от_25.12.90___2___1_1" localSheetId="9">#REF!</definedName>
    <definedName name="Поправочные_коэффициенты_по_письму_Госстроя_от_25.12.90___2___1_1">#REF!</definedName>
    <definedName name="Поправочные_коэффициенты_по_письму_Госстроя_от_25.12.90___2___10" localSheetId="10">#REF!</definedName>
    <definedName name="Поправочные_коэффициенты_по_письму_Госстроя_от_25.12.90___2___10" localSheetId="12">#REF!</definedName>
    <definedName name="Поправочные_коэффициенты_по_письму_Госстроя_от_25.12.90___2___10" localSheetId="110">#REF!</definedName>
    <definedName name="Поправочные_коэффициенты_по_письму_Госстроя_от_25.12.90___2___10" localSheetId="9">#REF!</definedName>
    <definedName name="Поправочные_коэффициенты_по_письму_Госстроя_от_25.12.90___2___10">#REF!</definedName>
    <definedName name="Поправочные_коэффициенты_по_письму_Госстроя_от_25.12.90___2___10_1" localSheetId="10">#REF!</definedName>
    <definedName name="Поправочные_коэффициенты_по_письму_Госстроя_от_25.12.90___2___10_1" localSheetId="9">#REF!</definedName>
    <definedName name="Поправочные_коэффициенты_по_письму_Госстроя_от_25.12.90___2___10_1">#REF!</definedName>
    <definedName name="Поправочные_коэффициенты_по_письму_Госстроя_от_25.12.90___2___12" localSheetId="10">#REF!</definedName>
    <definedName name="Поправочные_коэффициенты_по_письму_Госстроя_от_25.12.90___2___12" localSheetId="12">#REF!</definedName>
    <definedName name="Поправочные_коэффициенты_по_письму_Госстроя_от_25.12.90___2___12" localSheetId="110">#REF!</definedName>
    <definedName name="Поправочные_коэффициенты_по_письму_Госстроя_от_25.12.90___2___12" localSheetId="9">#REF!</definedName>
    <definedName name="Поправочные_коэффициенты_по_письму_Госстроя_от_25.12.90___2___12">#REF!</definedName>
    <definedName name="Поправочные_коэффициенты_по_письму_Госстроя_от_25.12.90___2___2" localSheetId="10">#REF!</definedName>
    <definedName name="Поправочные_коэффициенты_по_письму_Госстроя_от_25.12.90___2___2" localSheetId="12">#REF!</definedName>
    <definedName name="Поправочные_коэффициенты_по_письму_Госстроя_от_25.12.90___2___2" localSheetId="110">#REF!</definedName>
    <definedName name="Поправочные_коэффициенты_по_письму_Госстроя_от_25.12.90___2___2" localSheetId="9">#REF!</definedName>
    <definedName name="Поправочные_коэффициенты_по_письму_Госстроя_от_25.12.90___2___2">#REF!</definedName>
    <definedName name="Поправочные_коэффициенты_по_письму_Госстроя_от_25.12.90___2___2_1" localSheetId="10">#REF!</definedName>
    <definedName name="Поправочные_коэффициенты_по_письму_Госстроя_от_25.12.90___2___2_1" localSheetId="9">#REF!</definedName>
    <definedName name="Поправочные_коэффициенты_по_письму_Госстроя_от_25.12.90___2___2_1">#REF!</definedName>
    <definedName name="Поправочные_коэффициенты_по_письму_Госстроя_от_25.12.90___2___3" localSheetId="10">#REF!</definedName>
    <definedName name="Поправочные_коэффициенты_по_письму_Госстроя_от_25.12.90___2___3" localSheetId="12">#REF!</definedName>
    <definedName name="Поправочные_коэффициенты_по_письму_Госстроя_от_25.12.90___2___3" localSheetId="110">#REF!</definedName>
    <definedName name="Поправочные_коэффициенты_по_письму_Госстроя_от_25.12.90___2___3" localSheetId="9">#REF!</definedName>
    <definedName name="Поправочные_коэффициенты_по_письму_Госстроя_от_25.12.90___2___3">#REF!</definedName>
    <definedName name="Поправочные_коэффициенты_по_письму_Госстроя_от_25.12.90___2___3_1" localSheetId="10">#REF!</definedName>
    <definedName name="Поправочные_коэффициенты_по_письму_Госстроя_от_25.12.90___2___3_1" localSheetId="9">#REF!</definedName>
    <definedName name="Поправочные_коэффициенты_по_письму_Госстроя_от_25.12.90___2___3_1">#REF!</definedName>
    <definedName name="Поправочные_коэффициенты_по_письму_Госстроя_от_25.12.90___2___4" localSheetId="10">#REF!</definedName>
    <definedName name="Поправочные_коэффициенты_по_письму_Госстроя_от_25.12.90___2___4" localSheetId="12">#REF!</definedName>
    <definedName name="Поправочные_коэффициенты_по_письму_Госстроя_от_25.12.90___2___4" localSheetId="110">#REF!</definedName>
    <definedName name="Поправочные_коэффициенты_по_письму_Госстроя_от_25.12.90___2___4" localSheetId="9">#REF!</definedName>
    <definedName name="Поправочные_коэффициенты_по_письму_Госстроя_от_25.12.90___2___4">#REF!</definedName>
    <definedName name="Поправочные_коэффициенты_по_письму_Госстроя_от_25.12.90___2___4___0" localSheetId="10">#REF!</definedName>
    <definedName name="Поправочные_коэффициенты_по_письму_Госстроя_от_25.12.90___2___4___0" localSheetId="9">#REF!</definedName>
    <definedName name="Поправочные_коэффициенты_по_письму_Госстроя_от_25.12.90___2___4___0">#REF!</definedName>
    <definedName name="Поправочные_коэффициенты_по_письму_Госстроя_от_25.12.90___2___4___0_1" localSheetId="10">#REF!</definedName>
    <definedName name="Поправочные_коэффициенты_по_письму_Госстроя_от_25.12.90___2___4___0_1" localSheetId="9">#REF!</definedName>
    <definedName name="Поправочные_коэффициенты_по_письму_Госстроя_от_25.12.90___2___4___0_1">#REF!</definedName>
    <definedName name="Поправочные_коэффициенты_по_письму_Госстроя_от_25.12.90___2___4___5" localSheetId="10">#REF!</definedName>
    <definedName name="Поправочные_коэффициенты_по_письму_Госстроя_от_25.12.90___2___4___5" localSheetId="9">#REF!</definedName>
    <definedName name="Поправочные_коэффициенты_по_письму_Госстроя_от_25.12.90___2___4___5">#REF!</definedName>
    <definedName name="Поправочные_коэффициенты_по_письму_Госстроя_от_25.12.90___2___4___5_1" localSheetId="10">#REF!</definedName>
    <definedName name="Поправочные_коэффициенты_по_письму_Госстроя_от_25.12.90___2___4___5_1" localSheetId="9">#REF!</definedName>
    <definedName name="Поправочные_коэффициенты_по_письму_Госстроя_от_25.12.90___2___4___5_1">#REF!</definedName>
    <definedName name="Поправочные_коэффициенты_по_письму_Госстроя_от_25.12.90___2___4_1" localSheetId="10">#REF!</definedName>
    <definedName name="Поправочные_коэффициенты_по_письму_Госстроя_от_25.12.90___2___4_1" localSheetId="9">#REF!</definedName>
    <definedName name="Поправочные_коэффициенты_по_письму_Госстроя_от_25.12.90___2___4_1">#REF!</definedName>
    <definedName name="Поправочные_коэффициенты_по_письму_Госстроя_от_25.12.90___2___4_1_1" localSheetId="10">#REF!</definedName>
    <definedName name="Поправочные_коэффициенты_по_письму_Госстроя_от_25.12.90___2___4_1_1" localSheetId="9">#REF!</definedName>
    <definedName name="Поправочные_коэффициенты_по_письму_Госстроя_от_25.12.90___2___4_1_1">#REF!</definedName>
    <definedName name="Поправочные_коэффициенты_по_письму_Госстроя_от_25.12.90___2___4_1_1_1" localSheetId="10">#REF!</definedName>
    <definedName name="Поправочные_коэффициенты_по_письму_Госстроя_от_25.12.90___2___4_1_1_1" localSheetId="9">#REF!</definedName>
    <definedName name="Поправочные_коэффициенты_по_письму_Госстроя_от_25.12.90___2___4_1_1_1">#REF!</definedName>
    <definedName name="Поправочные_коэффициенты_по_письму_Госстроя_от_25.12.90___2___4_3" localSheetId="10">#REF!</definedName>
    <definedName name="Поправочные_коэффициенты_по_письму_Госстроя_от_25.12.90___2___4_3" localSheetId="9">#REF!</definedName>
    <definedName name="Поправочные_коэффициенты_по_письму_Госстроя_от_25.12.90___2___4_3">#REF!</definedName>
    <definedName name="Поправочные_коэффициенты_по_письму_Госстроя_от_25.12.90___2___4_3_1" localSheetId="10">#REF!</definedName>
    <definedName name="Поправочные_коэффициенты_по_письму_Госстроя_от_25.12.90___2___4_3_1" localSheetId="9">#REF!</definedName>
    <definedName name="Поправочные_коэффициенты_по_письму_Госстроя_от_25.12.90___2___4_3_1">#REF!</definedName>
    <definedName name="Поправочные_коэффициенты_по_письму_Госстроя_от_25.12.90___2___4_5" localSheetId="10">#REF!</definedName>
    <definedName name="Поправочные_коэффициенты_по_письму_Госстроя_от_25.12.90___2___4_5" localSheetId="9">#REF!</definedName>
    <definedName name="Поправочные_коэффициенты_по_письму_Госстроя_от_25.12.90___2___4_5">#REF!</definedName>
    <definedName name="Поправочные_коэффициенты_по_письму_Госстроя_от_25.12.90___2___4_5_1" localSheetId="10">#REF!</definedName>
    <definedName name="Поправочные_коэффициенты_по_письму_Госстроя_от_25.12.90___2___4_5_1" localSheetId="9">#REF!</definedName>
    <definedName name="Поправочные_коэффициенты_по_письму_Госстроя_от_25.12.90___2___4_5_1">#REF!</definedName>
    <definedName name="Поправочные_коэффициенты_по_письму_Госстроя_от_25.12.90___2___5" localSheetId="10">#REF!</definedName>
    <definedName name="Поправочные_коэффициенты_по_письму_Госстроя_от_25.12.90___2___5" localSheetId="9">#REF!</definedName>
    <definedName name="Поправочные_коэффициенты_по_письму_Госстроя_от_25.12.90___2___5">#REF!</definedName>
    <definedName name="Поправочные_коэффициенты_по_письму_Госстроя_от_25.12.90___2___5_1" localSheetId="10">#REF!</definedName>
    <definedName name="Поправочные_коэффициенты_по_письму_Госстроя_от_25.12.90___2___5_1" localSheetId="9">#REF!</definedName>
    <definedName name="Поправочные_коэффициенты_по_письму_Госстроя_от_25.12.90___2___5_1">#REF!</definedName>
    <definedName name="Поправочные_коэффициенты_по_письму_Госстроя_от_25.12.90___2___6" localSheetId="10">#REF!</definedName>
    <definedName name="Поправочные_коэффициенты_по_письму_Госстроя_от_25.12.90___2___6" localSheetId="12">#REF!</definedName>
    <definedName name="Поправочные_коэффициенты_по_письму_Госстроя_от_25.12.90___2___6" localSheetId="110">#REF!</definedName>
    <definedName name="Поправочные_коэффициенты_по_письму_Госстроя_от_25.12.90___2___6" localSheetId="9">#REF!</definedName>
    <definedName name="Поправочные_коэффициенты_по_письму_Госстроя_от_25.12.90___2___6">#REF!</definedName>
    <definedName name="Поправочные_коэффициенты_по_письму_Госстроя_от_25.12.90___2___6_1" localSheetId="10">#REF!</definedName>
    <definedName name="Поправочные_коэффициенты_по_письму_Госстроя_от_25.12.90___2___6_1" localSheetId="9">#REF!</definedName>
    <definedName name="Поправочные_коэффициенты_по_письму_Госстроя_от_25.12.90___2___6_1">#REF!</definedName>
    <definedName name="Поправочные_коэффициенты_по_письму_Госстроя_от_25.12.90___2___8" localSheetId="10">#REF!</definedName>
    <definedName name="Поправочные_коэффициенты_по_письму_Госстроя_от_25.12.90___2___8" localSheetId="12">#REF!</definedName>
    <definedName name="Поправочные_коэффициенты_по_письму_Госстроя_от_25.12.90___2___8" localSheetId="110">#REF!</definedName>
    <definedName name="Поправочные_коэффициенты_по_письму_Госстроя_от_25.12.90___2___8" localSheetId="9">#REF!</definedName>
    <definedName name="Поправочные_коэффициенты_по_письму_Госстроя_от_25.12.90___2___8">#REF!</definedName>
    <definedName name="Поправочные_коэффициенты_по_письму_Госстроя_от_25.12.90___2___8_1" localSheetId="10">#REF!</definedName>
    <definedName name="Поправочные_коэффициенты_по_письму_Госстроя_от_25.12.90___2___8_1" localSheetId="9">#REF!</definedName>
    <definedName name="Поправочные_коэффициенты_по_письму_Госстроя_от_25.12.90___2___8_1">#REF!</definedName>
    <definedName name="Поправочные_коэффициенты_по_письму_Госстроя_от_25.12.90___2_1" localSheetId="10">#REF!</definedName>
    <definedName name="Поправочные_коэффициенты_по_письму_Госстроя_от_25.12.90___2_1" localSheetId="9">#REF!</definedName>
    <definedName name="Поправочные_коэффициенты_по_письму_Госстроя_от_25.12.90___2_1">#REF!</definedName>
    <definedName name="Поправочные_коэффициенты_по_письму_Госстроя_от_25.12.90___2_1_1" localSheetId="10">#REF!</definedName>
    <definedName name="Поправочные_коэффициенты_по_письму_Госстроя_от_25.12.90___2_1_1" localSheetId="9">#REF!</definedName>
    <definedName name="Поправочные_коэффициенты_по_письму_Госстроя_от_25.12.90___2_1_1">#REF!</definedName>
    <definedName name="Поправочные_коэффициенты_по_письму_Госстроя_от_25.12.90___2_1_1_1" localSheetId="10">#REF!</definedName>
    <definedName name="Поправочные_коэффициенты_по_письму_Госстроя_от_25.12.90___2_1_1_1" localSheetId="9">#REF!</definedName>
    <definedName name="Поправочные_коэффициенты_по_письму_Госстроя_от_25.12.90___2_1_1_1">#REF!</definedName>
    <definedName name="Поправочные_коэффициенты_по_письму_Госстроя_от_25.12.90___2_3" localSheetId="10">#REF!</definedName>
    <definedName name="Поправочные_коэффициенты_по_письму_Госстроя_от_25.12.90___2_3" localSheetId="9">#REF!</definedName>
    <definedName name="Поправочные_коэффициенты_по_письму_Госстроя_от_25.12.90___2_3">#REF!</definedName>
    <definedName name="Поправочные_коэффициенты_по_письму_Госстроя_от_25.12.90___2_3_1" localSheetId="10">#REF!</definedName>
    <definedName name="Поправочные_коэффициенты_по_письму_Госстроя_от_25.12.90___2_3_1" localSheetId="9">#REF!</definedName>
    <definedName name="Поправочные_коэффициенты_по_письму_Госстроя_от_25.12.90___2_3_1">#REF!</definedName>
    <definedName name="Поправочные_коэффициенты_по_письму_Госстроя_от_25.12.90___2_5" localSheetId="10">#REF!</definedName>
    <definedName name="Поправочные_коэффициенты_по_письму_Госстроя_от_25.12.90___2_5" localSheetId="9">#REF!</definedName>
    <definedName name="Поправочные_коэффициенты_по_письму_Госстроя_от_25.12.90___2_5">#REF!</definedName>
    <definedName name="Поправочные_коэффициенты_по_письму_Госстроя_от_25.12.90___2_5_1" localSheetId="10">#REF!</definedName>
    <definedName name="Поправочные_коэффициенты_по_письму_Госстроя_от_25.12.90___2_5_1" localSheetId="9">#REF!</definedName>
    <definedName name="Поправочные_коэффициенты_по_письму_Госстроя_от_25.12.90___2_5_1">#REF!</definedName>
    <definedName name="Поправочные_коэффициенты_по_письму_Госстроя_от_25.12.90___3" localSheetId="10">#REF!</definedName>
    <definedName name="Поправочные_коэффициенты_по_письму_Госстроя_от_25.12.90___3" localSheetId="12">#REF!</definedName>
    <definedName name="Поправочные_коэффициенты_по_письму_Госстроя_от_25.12.90___3" localSheetId="110">#REF!</definedName>
    <definedName name="Поправочные_коэффициенты_по_письму_Госстроя_от_25.12.90___3" localSheetId="9">#REF!</definedName>
    <definedName name="Поправочные_коэффициенты_по_письму_Госстроя_от_25.12.90___3">#REF!</definedName>
    <definedName name="Поправочные_коэффициенты_по_письму_Госстроя_от_25.12.90___3___0" localSheetId="10">#REF!</definedName>
    <definedName name="Поправочные_коэффициенты_по_письму_Госстроя_от_25.12.90___3___0" localSheetId="12">#REF!</definedName>
    <definedName name="Поправочные_коэффициенты_по_письму_Госстроя_от_25.12.90___3___0" localSheetId="110">#REF!</definedName>
    <definedName name="Поправочные_коэффициенты_по_письму_Госстроя_от_25.12.90___3___0" localSheetId="9">#REF!</definedName>
    <definedName name="Поправочные_коэффициенты_по_письму_Госстроя_от_25.12.90___3___0">#REF!</definedName>
    <definedName name="Поправочные_коэффициенты_по_письму_Госстроя_от_25.12.90___3___0___0">NA()</definedName>
    <definedName name="Поправочные_коэффициенты_по_письму_Госстроя_от_25.12.90___3___0___0___0" localSheetId="10">#REF!</definedName>
    <definedName name="Поправочные_коэффициенты_по_письму_Госстроя_от_25.12.90___3___0___0___0" localSheetId="9">#REF!</definedName>
    <definedName name="Поправочные_коэффициенты_по_письму_Госстроя_от_25.12.90___3___0___0___0">#REF!</definedName>
    <definedName name="Поправочные_коэффициенты_по_письму_Госстроя_от_25.12.90___3___0___0___0_1" localSheetId="10">#REF!</definedName>
    <definedName name="Поправочные_коэффициенты_по_письму_Госстроя_от_25.12.90___3___0___0___0_1" localSheetId="9">#REF!</definedName>
    <definedName name="Поправочные_коэффициенты_по_письму_Госстроя_от_25.12.90___3___0___0___0_1">#REF!</definedName>
    <definedName name="Поправочные_коэффициенты_по_письму_Госстроя_от_25.12.90___3___0___0___1" localSheetId="10">#REF!</definedName>
    <definedName name="Поправочные_коэффициенты_по_письму_Госстроя_от_25.12.90___3___0___0___1" localSheetId="9">#REF!</definedName>
    <definedName name="Поправочные_коэффициенты_по_письму_Госстроя_от_25.12.90___3___0___0___1">#REF!</definedName>
    <definedName name="Поправочные_коэффициенты_по_письму_Госстроя_от_25.12.90___3___0___0___1_1" localSheetId="10">#REF!</definedName>
    <definedName name="Поправочные_коэффициенты_по_письму_Госстроя_от_25.12.90___3___0___0___1_1" localSheetId="9">#REF!</definedName>
    <definedName name="Поправочные_коэффициенты_по_письму_Госстроя_от_25.12.90___3___0___0___1_1">#REF!</definedName>
    <definedName name="Поправочные_коэффициенты_по_письму_Госстроя_от_25.12.90___3___0___0___5">NA()</definedName>
    <definedName name="Поправочные_коэффициенты_по_письму_Госстроя_от_25.12.90___3___0___0_1" localSheetId="10">#REF!</definedName>
    <definedName name="Поправочные_коэффициенты_по_письму_Госстроя_от_25.12.90___3___0___0_1" localSheetId="9">#REF!</definedName>
    <definedName name="Поправочные_коэффициенты_по_письму_Госстроя_от_25.12.90___3___0___0_1">#REF!</definedName>
    <definedName name="Поправочные_коэффициенты_по_письму_Госстроя_от_25.12.90___3___0___0_1_1" localSheetId="10">#REF!</definedName>
    <definedName name="Поправочные_коэффициенты_по_письму_Госстроя_от_25.12.90___3___0___0_1_1" localSheetId="9">#REF!</definedName>
    <definedName name="Поправочные_коэффициенты_по_письму_Госстроя_от_25.12.90___3___0___0_1_1">#REF!</definedName>
    <definedName name="Поправочные_коэффициенты_по_письму_Госстроя_от_25.12.90___3___0___0_1_1_1" localSheetId="10">#REF!</definedName>
    <definedName name="Поправочные_коэффициенты_по_письму_Госстроя_от_25.12.90___3___0___0_1_1_1" localSheetId="9">#REF!</definedName>
    <definedName name="Поправочные_коэффициенты_по_письму_Госстроя_от_25.12.90___3___0___0_1_1_1">#REF!</definedName>
    <definedName name="Поправочные_коэффициенты_по_письму_Госстроя_от_25.12.90___3___0___0_5">NA()</definedName>
    <definedName name="Поправочные_коэффициенты_по_письму_Госстроя_от_25.12.90___3___0___1" localSheetId="10">#REF!</definedName>
    <definedName name="Поправочные_коэффициенты_по_письму_Госстроя_от_25.12.90___3___0___1" localSheetId="9">#REF!</definedName>
    <definedName name="Поправочные_коэффициенты_по_письму_Госстроя_от_25.12.90___3___0___1">#REF!</definedName>
    <definedName name="Поправочные_коэффициенты_по_письму_Госстроя_от_25.12.90___3___0___1_1" localSheetId="10">#REF!</definedName>
    <definedName name="Поправочные_коэффициенты_по_письму_Госстроя_от_25.12.90___3___0___1_1" localSheetId="9">#REF!</definedName>
    <definedName name="Поправочные_коэффициенты_по_письму_Госстроя_от_25.12.90___3___0___1_1">#REF!</definedName>
    <definedName name="Поправочные_коэффициенты_по_письму_Госстроя_от_25.12.90___3___0___2" localSheetId="10">#REF!</definedName>
    <definedName name="Поправочные_коэффициенты_по_письму_Госстроя_от_25.12.90___3___0___2" localSheetId="12">#REF!</definedName>
    <definedName name="Поправочные_коэффициенты_по_письму_Госстроя_от_25.12.90___3___0___2" localSheetId="116">#REF!</definedName>
    <definedName name="Поправочные_коэффициенты_по_письму_Госстроя_от_25.12.90___3___0___2" localSheetId="110">#REF!</definedName>
    <definedName name="Поправочные_коэффициенты_по_письму_Госстроя_от_25.12.90___3___0___2" localSheetId="109">#REF!</definedName>
    <definedName name="Поправочные_коэффициенты_по_письму_Госстроя_от_25.12.90___3___0___2" localSheetId="108">#REF!</definedName>
    <definedName name="Поправочные_коэффициенты_по_письму_Госстроя_от_25.12.90___3___0___2" localSheetId="9">#REF!</definedName>
    <definedName name="Поправочные_коэффициенты_по_письму_Госстроя_от_25.12.90___3___0___2" localSheetId="7">#REF!</definedName>
    <definedName name="Поправочные_коэффициенты_по_письму_Госстроя_от_25.12.90___3___0___2" localSheetId="92">#REF!</definedName>
    <definedName name="Поправочные_коэффициенты_по_письму_Госстроя_от_25.12.90___3___0___2" localSheetId="93">#REF!</definedName>
    <definedName name="Поправочные_коэффициенты_по_письму_Госстроя_от_25.12.90___3___0___2" localSheetId="94">#REF!</definedName>
    <definedName name="Поправочные_коэффициенты_по_письму_Госстроя_от_25.12.90___3___0___2" localSheetId="99">#REF!</definedName>
    <definedName name="Поправочные_коэффициенты_по_письму_Госстроя_от_25.12.90___3___0___2" localSheetId="100">#REF!</definedName>
    <definedName name="Поправочные_коэффициенты_по_письму_Госстроя_от_25.12.90___3___0___2" localSheetId="106">#REF!</definedName>
    <definedName name="Поправочные_коэффициенты_по_письму_Госстроя_от_25.12.90___3___0___2">#REF!</definedName>
    <definedName name="Поправочные_коэффициенты_по_письму_Госстроя_от_25.12.90___3___0___2_1" localSheetId="10">#REF!</definedName>
    <definedName name="Поправочные_коэффициенты_по_письму_Госстроя_от_25.12.90___3___0___2_1" localSheetId="9">#REF!</definedName>
    <definedName name="Поправочные_коэффициенты_по_письму_Госстроя_от_25.12.90___3___0___2_1">#REF!</definedName>
    <definedName name="Поправочные_коэффициенты_по_письму_Госстроя_от_25.12.90___3___0___3">NA()</definedName>
    <definedName name="Поправочные_коэффициенты_по_письму_Госстроя_от_25.12.90___3___0___5" localSheetId="10">#REF!</definedName>
    <definedName name="Поправочные_коэффициенты_по_письму_Госстроя_от_25.12.90___3___0___5" localSheetId="9">#REF!</definedName>
    <definedName name="Поправочные_коэффициенты_по_письму_Госстроя_от_25.12.90___3___0___5">#REF!</definedName>
    <definedName name="Поправочные_коэффициенты_по_письму_Госстроя_от_25.12.90___3___0___5_1" localSheetId="10">#REF!</definedName>
    <definedName name="Поправочные_коэффициенты_по_письму_Госстроя_от_25.12.90___3___0___5_1" localSheetId="9">#REF!</definedName>
    <definedName name="Поправочные_коэффициенты_по_письму_Госстроя_от_25.12.90___3___0___5_1">#REF!</definedName>
    <definedName name="Поправочные_коэффициенты_по_письму_Госстроя_от_25.12.90___3___0_1" localSheetId="10">#REF!</definedName>
    <definedName name="Поправочные_коэффициенты_по_письму_Госстроя_от_25.12.90___3___0_1" localSheetId="9">#REF!</definedName>
    <definedName name="Поправочные_коэффициенты_по_письму_Госстроя_от_25.12.90___3___0_1">#REF!</definedName>
    <definedName name="Поправочные_коэффициенты_по_письму_Госстроя_от_25.12.90___3___0_1_1" localSheetId="10">#REF!</definedName>
    <definedName name="Поправочные_коэффициенты_по_письму_Госстроя_от_25.12.90___3___0_1_1" localSheetId="9">#REF!</definedName>
    <definedName name="Поправочные_коэффициенты_по_письму_Госстроя_от_25.12.90___3___0_1_1">#REF!</definedName>
    <definedName name="Поправочные_коэффициенты_по_письму_Госстроя_от_25.12.90___3___0_1_1_1" localSheetId="10">#REF!</definedName>
    <definedName name="Поправочные_коэффициенты_по_письму_Госстроя_от_25.12.90___3___0_1_1_1" localSheetId="9">#REF!</definedName>
    <definedName name="Поправочные_коэффициенты_по_письму_Госстроя_от_25.12.90___3___0_1_1_1">#REF!</definedName>
    <definedName name="Поправочные_коэффициенты_по_письму_Госстроя_от_25.12.90___3___0_3" localSheetId="10">#REF!</definedName>
    <definedName name="Поправочные_коэффициенты_по_письму_Госстроя_от_25.12.90___3___0_3" localSheetId="9">#REF!</definedName>
    <definedName name="Поправочные_коэффициенты_по_письму_Госстроя_от_25.12.90___3___0_3">#REF!</definedName>
    <definedName name="Поправочные_коэффициенты_по_письму_Госстроя_от_25.12.90___3___0_3_1" localSheetId="10">#REF!</definedName>
    <definedName name="Поправочные_коэффициенты_по_письму_Госстроя_от_25.12.90___3___0_3_1" localSheetId="9">#REF!</definedName>
    <definedName name="Поправочные_коэффициенты_по_письму_Госстроя_от_25.12.90___3___0_3_1">#REF!</definedName>
    <definedName name="Поправочные_коэффициенты_по_письму_Госстроя_от_25.12.90___3___0_5" localSheetId="10">#REF!</definedName>
    <definedName name="Поправочные_коэффициенты_по_письму_Госстроя_от_25.12.90___3___0_5" localSheetId="9">#REF!</definedName>
    <definedName name="Поправочные_коэффициенты_по_письму_Госстроя_от_25.12.90___3___0_5">#REF!</definedName>
    <definedName name="Поправочные_коэффициенты_по_письму_Госстроя_от_25.12.90___3___0_5_1" localSheetId="10">#REF!</definedName>
    <definedName name="Поправочные_коэффициенты_по_письму_Госстроя_от_25.12.90___3___0_5_1" localSheetId="9">#REF!</definedName>
    <definedName name="Поправочные_коэффициенты_по_письму_Госстроя_от_25.12.90___3___0_5_1">#REF!</definedName>
    <definedName name="Поправочные_коэффициенты_по_письму_Госстроя_от_25.12.90___3___10" localSheetId="10">#REF!</definedName>
    <definedName name="Поправочные_коэффициенты_по_письму_Госстроя_от_25.12.90___3___10" localSheetId="12">#REF!</definedName>
    <definedName name="Поправочные_коэффициенты_по_письму_Госстроя_от_25.12.90___3___10" localSheetId="116">#REF!</definedName>
    <definedName name="Поправочные_коэффициенты_по_письму_Госстроя_от_25.12.90___3___10" localSheetId="110">#REF!</definedName>
    <definedName name="Поправочные_коэффициенты_по_письму_Госстроя_от_25.12.90___3___10" localSheetId="109">#REF!</definedName>
    <definedName name="Поправочные_коэффициенты_по_письму_Госстроя_от_25.12.90___3___10" localSheetId="108">#REF!</definedName>
    <definedName name="Поправочные_коэффициенты_по_письму_Госстроя_от_25.12.90___3___10" localSheetId="9">#REF!</definedName>
    <definedName name="Поправочные_коэффициенты_по_письму_Госстроя_от_25.12.90___3___10" localSheetId="7">#REF!</definedName>
    <definedName name="Поправочные_коэффициенты_по_письму_Госстроя_от_25.12.90___3___10" localSheetId="92">#REF!</definedName>
    <definedName name="Поправочные_коэффициенты_по_письму_Госстроя_от_25.12.90___3___10" localSheetId="93">#REF!</definedName>
    <definedName name="Поправочные_коэффициенты_по_письму_Госстроя_от_25.12.90___3___10" localSheetId="94">#REF!</definedName>
    <definedName name="Поправочные_коэффициенты_по_письму_Госстроя_от_25.12.90___3___10" localSheetId="99">#REF!</definedName>
    <definedName name="Поправочные_коэффициенты_по_письму_Госстроя_от_25.12.90___3___10" localSheetId="100">#REF!</definedName>
    <definedName name="Поправочные_коэффициенты_по_письму_Госстроя_от_25.12.90___3___10" localSheetId="106">#REF!</definedName>
    <definedName name="Поправочные_коэффициенты_по_письму_Госстроя_от_25.12.90___3___10">#REF!</definedName>
    <definedName name="Поправочные_коэффициенты_по_письму_Госстроя_от_25.12.90___3___2" localSheetId="10">#REF!</definedName>
    <definedName name="Поправочные_коэффициенты_по_письму_Госстроя_от_25.12.90___3___2" localSheetId="12">#REF!</definedName>
    <definedName name="Поправочные_коэффициенты_по_письму_Госстроя_от_25.12.90___3___2" localSheetId="116">#REF!</definedName>
    <definedName name="Поправочные_коэффициенты_по_письму_Госстроя_от_25.12.90___3___2" localSheetId="110">#REF!</definedName>
    <definedName name="Поправочные_коэффициенты_по_письму_Госстроя_от_25.12.90___3___2" localSheetId="109">#REF!</definedName>
    <definedName name="Поправочные_коэффициенты_по_письму_Госстроя_от_25.12.90___3___2" localSheetId="108">#REF!</definedName>
    <definedName name="Поправочные_коэффициенты_по_письму_Госстроя_от_25.12.90___3___2" localSheetId="9">#REF!</definedName>
    <definedName name="Поправочные_коэффициенты_по_письму_Госстроя_от_25.12.90___3___2" localSheetId="92">#REF!</definedName>
    <definedName name="Поправочные_коэффициенты_по_письму_Госстроя_от_25.12.90___3___2" localSheetId="93">#REF!</definedName>
    <definedName name="Поправочные_коэффициенты_по_письму_Госстроя_от_25.12.90___3___2" localSheetId="94">#REF!</definedName>
    <definedName name="Поправочные_коэффициенты_по_письму_Госстроя_от_25.12.90___3___2" localSheetId="99">#REF!</definedName>
    <definedName name="Поправочные_коэффициенты_по_письму_Госстроя_от_25.12.90___3___2" localSheetId="100">#REF!</definedName>
    <definedName name="Поправочные_коэффициенты_по_письму_Госстроя_от_25.12.90___3___2" localSheetId="106">#REF!</definedName>
    <definedName name="Поправочные_коэффициенты_по_письму_Госстроя_от_25.12.90___3___2">#REF!</definedName>
    <definedName name="Поправочные_коэффициенты_по_письму_Госстроя_от_25.12.90___3___2_1" localSheetId="10">#REF!</definedName>
    <definedName name="Поправочные_коэффициенты_по_письму_Госстроя_от_25.12.90___3___2_1" localSheetId="9">#REF!</definedName>
    <definedName name="Поправочные_коэффициенты_по_письму_Госстроя_от_25.12.90___3___2_1">#REF!</definedName>
    <definedName name="Поправочные_коэффициенты_по_письму_Госстроя_от_25.12.90___3___3" localSheetId="10">#REF!</definedName>
    <definedName name="Поправочные_коэффициенты_по_письму_Госстроя_от_25.12.90___3___3" localSheetId="12">#REF!</definedName>
    <definedName name="Поправочные_коэффициенты_по_письму_Госстроя_от_25.12.90___3___3" localSheetId="116">#REF!</definedName>
    <definedName name="Поправочные_коэффициенты_по_письму_Госстроя_от_25.12.90___3___3" localSheetId="110">#REF!</definedName>
    <definedName name="Поправочные_коэффициенты_по_письму_Госстроя_от_25.12.90___3___3" localSheetId="109">#REF!</definedName>
    <definedName name="Поправочные_коэффициенты_по_письму_Госстроя_от_25.12.90___3___3" localSheetId="108">#REF!</definedName>
    <definedName name="Поправочные_коэффициенты_по_письму_Госстроя_от_25.12.90___3___3" localSheetId="9">#REF!</definedName>
    <definedName name="Поправочные_коэффициенты_по_письму_Госстроя_от_25.12.90___3___3" localSheetId="92">#REF!</definedName>
    <definedName name="Поправочные_коэффициенты_по_письму_Госстроя_от_25.12.90___3___3" localSheetId="93">#REF!</definedName>
    <definedName name="Поправочные_коэффициенты_по_письму_Госстроя_от_25.12.90___3___3" localSheetId="94">#REF!</definedName>
    <definedName name="Поправочные_коэффициенты_по_письму_Госстроя_от_25.12.90___3___3" localSheetId="99">#REF!</definedName>
    <definedName name="Поправочные_коэффициенты_по_письму_Госстроя_от_25.12.90___3___3" localSheetId="100">#REF!</definedName>
    <definedName name="Поправочные_коэффициенты_по_письму_Госстроя_от_25.12.90___3___3" localSheetId="106">#REF!</definedName>
    <definedName name="Поправочные_коэффициенты_по_письму_Госстроя_от_25.12.90___3___3">#REF!</definedName>
    <definedName name="Поправочные_коэффициенты_по_письму_Госстроя_от_25.12.90___3___3_1" localSheetId="10">#REF!</definedName>
    <definedName name="Поправочные_коэффициенты_по_письму_Госстроя_от_25.12.90___3___3_1" localSheetId="9">#REF!</definedName>
    <definedName name="Поправочные_коэффициенты_по_письму_Госстроя_от_25.12.90___3___3_1">#REF!</definedName>
    <definedName name="Поправочные_коэффициенты_по_письму_Госстроя_от_25.12.90___3___4" localSheetId="10">#REF!</definedName>
    <definedName name="Поправочные_коэффициенты_по_письму_Госстроя_от_25.12.90___3___4" localSheetId="12">#REF!</definedName>
    <definedName name="Поправочные_коэффициенты_по_письму_Госстроя_от_25.12.90___3___4" localSheetId="110">#REF!</definedName>
    <definedName name="Поправочные_коэффициенты_по_письму_Госстроя_от_25.12.90___3___4" localSheetId="9">#REF!</definedName>
    <definedName name="Поправочные_коэффициенты_по_письму_Госстроя_от_25.12.90___3___4">#REF!</definedName>
    <definedName name="Поправочные_коэффициенты_по_письму_Госстроя_от_25.12.90___3___5" localSheetId="10">#REF!</definedName>
    <definedName name="Поправочные_коэффициенты_по_письму_Госстроя_от_25.12.90___3___5" localSheetId="9">#REF!</definedName>
    <definedName name="Поправочные_коэффициенты_по_письму_Госстроя_от_25.12.90___3___5">#REF!</definedName>
    <definedName name="Поправочные_коэффициенты_по_письму_Госстроя_от_25.12.90___3___5_1" localSheetId="10">#REF!</definedName>
    <definedName name="Поправочные_коэффициенты_по_письму_Госстроя_от_25.12.90___3___5_1" localSheetId="9">#REF!</definedName>
    <definedName name="Поправочные_коэффициенты_по_письму_Госстроя_от_25.12.90___3___5_1">#REF!</definedName>
    <definedName name="Поправочные_коэффициенты_по_письму_Госстроя_от_25.12.90___3___6" localSheetId="10">#REF!</definedName>
    <definedName name="Поправочные_коэффициенты_по_письму_Госстроя_от_25.12.90___3___6" localSheetId="12">#REF!</definedName>
    <definedName name="Поправочные_коэффициенты_по_письму_Госстроя_от_25.12.90___3___6" localSheetId="110">#REF!</definedName>
    <definedName name="Поправочные_коэффициенты_по_письму_Госстроя_от_25.12.90___3___6" localSheetId="9">#REF!</definedName>
    <definedName name="Поправочные_коэффициенты_по_письму_Госстроя_от_25.12.90___3___6">#REF!</definedName>
    <definedName name="Поправочные_коэффициенты_по_письму_Госстроя_от_25.12.90___3___8" localSheetId="10">#REF!</definedName>
    <definedName name="Поправочные_коэффициенты_по_письму_Госстроя_от_25.12.90___3___8" localSheetId="12">#REF!</definedName>
    <definedName name="Поправочные_коэффициенты_по_письму_Госстроя_от_25.12.90___3___8" localSheetId="110">#REF!</definedName>
    <definedName name="Поправочные_коэффициенты_по_письму_Госстроя_от_25.12.90___3___8" localSheetId="9">#REF!</definedName>
    <definedName name="Поправочные_коэффициенты_по_письму_Госстроя_от_25.12.90___3___8">#REF!</definedName>
    <definedName name="Поправочные_коэффициенты_по_письму_Госстроя_от_25.12.90___3_1" localSheetId="10">#REF!</definedName>
    <definedName name="Поправочные_коэффициенты_по_письму_Госстроя_от_25.12.90___3_1" localSheetId="9">#REF!</definedName>
    <definedName name="Поправочные_коэффициенты_по_письму_Госстроя_от_25.12.90___3_1">#REF!</definedName>
    <definedName name="Поправочные_коэффициенты_по_письму_Госстроя_от_25.12.90___3_1_1" localSheetId="10">#REF!</definedName>
    <definedName name="Поправочные_коэффициенты_по_письму_Госстроя_от_25.12.90___3_1_1" localSheetId="9">#REF!</definedName>
    <definedName name="Поправочные_коэффициенты_по_письму_Госстроя_от_25.12.90___3_1_1">#REF!</definedName>
    <definedName name="Поправочные_коэффициенты_по_письму_Госстроя_от_25.12.90___3_1_1_1" localSheetId="10">#REF!</definedName>
    <definedName name="Поправочные_коэффициенты_по_письму_Госстроя_от_25.12.90___3_1_1_1" localSheetId="9">#REF!</definedName>
    <definedName name="Поправочные_коэффициенты_по_письму_Госстроя_от_25.12.90___3_1_1_1">#REF!</definedName>
    <definedName name="Поправочные_коэффициенты_по_письму_Госстроя_от_25.12.90___3_3">NA()</definedName>
    <definedName name="Поправочные_коэффициенты_по_письму_Госстроя_от_25.12.90___3_5" localSheetId="10">#REF!</definedName>
    <definedName name="Поправочные_коэффициенты_по_письму_Госстроя_от_25.12.90___3_5" localSheetId="9">#REF!</definedName>
    <definedName name="Поправочные_коэффициенты_по_письму_Госстроя_от_25.12.90___3_5">#REF!</definedName>
    <definedName name="Поправочные_коэффициенты_по_письму_Госстроя_от_25.12.90___3_5_1" localSheetId="10">#REF!</definedName>
    <definedName name="Поправочные_коэффициенты_по_письму_Госстроя_от_25.12.90___3_5_1" localSheetId="9">#REF!</definedName>
    <definedName name="Поправочные_коэффициенты_по_письму_Госстроя_от_25.12.90___3_5_1">#REF!</definedName>
    <definedName name="Поправочные_коэффициенты_по_письму_Госстроя_от_25.12.90___4" localSheetId="10">#REF!</definedName>
    <definedName name="Поправочные_коэффициенты_по_письму_Госстроя_от_25.12.90___4" localSheetId="12">#REF!</definedName>
    <definedName name="Поправочные_коэффициенты_по_письму_Госстроя_от_25.12.90___4" localSheetId="8">#REF!</definedName>
    <definedName name="Поправочные_коэффициенты_по_письму_Госстроя_от_25.12.90___4" localSheetId="11">#REF!</definedName>
    <definedName name="Поправочные_коэффициенты_по_письму_Госстроя_от_25.12.90___4" localSheetId="110">#REF!</definedName>
    <definedName name="Поправочные_коэффициенты_по_письму_Госстроя_от_25.12.90___4" localSheetId="6">#REF!</definedName>
    <definedName name="Поправочные_коэффициенты_по_письму_Госстроя_от_25.12.90___4" localSheetId="9">#REF!</definedName>
    <definedName name="Поправочные_коэффициенты_по_письму_Госстроя_от_25.12.90___4" localSheetId="7">#REF!</definedName>
    <definedName name="Поправочные_коэффициенты_по_письму_Госстроя_от_25.12.90___4">#REF!</definedName>
    <definedName name="Поправочные_коэффициенты_по_письму_Госстроя_от_25.12.90___4___0">NA()</definedName>
    <definedName name="Поправочные_коэффициенты_по_письму_Госстроя_от_25.12.90___4___0___0" localSheetId="10">#REF!</definedName>
    <definedName name="Поправочные_коэффициенты_по_письму_Госстроя_от_25.12.90___4___0___0" localSheetId="12">#REF!</definedName>
    <definedName name="Поправочные_коэффициенты_по_письму_Госстроя_от_25.12.90___4___0___0" localSheetId="116">#REF!</definedName>
    <definedName name="Поправочные_коэффициенты_по_письму_Госстроя_от_25.12.90___4___0___0" localSheetId="8">#REF!</definedName>
    <definedName name="Поправочные_коэффициенты_по_письму_Госстроя_от_25.12.90___4___0___0" localSheetId="11">#REF!</definedName>
    <definedName name="Поправочные_коэффициенты_по_письму_Госстроя_от_25.12.90___4___0___0" localSheetId="110">#REF!</definedName>
    <definedName name="Поправочные_коэффициенты_по_письму_Госстроя_от_25.12.90___4___0___0" localSheetId="109">#REF!</definedName>
    <definedName name="Поправочные_коэффициенты_по_письму_Госстроя_от_25.12.90___4___0___0" localSheetId="108">#REF!</definedName>
    <definedName name="Поправочные_коэффициенты_по_письму_Госстроя_от_25.12.90___4___0___0" localSheetId="6">#REF!</definedName>
    <definedName name="Поправочные_коэффициенты_по_письму_Госстроя_от_25.12.90___4___0___0" localSheetId="9">#REF!</definedName>
    <definedName name="Поправочные_коэффициенты_по_письму_Госстроя_от_25.12.90___4___0___0" localSheetId="7">#REF!</definedName>
    <definedName name="Поправочные_коэффициенты_по_письму_Госстроя_от_25.12.90___4___0___0" localSheetId="92">#REF!</definedName>
    <definedName name="Поправочные_коэффициенты_по_письму_Госстроя_от_25.12.90___4___0___0" localSheetId="93">#REF!</definedName>
    <definedName name="Поправочные_коэффициенты_по_письму_Госстроя_от_25.12.90___4___0___0" localSheetId="94">#REF!</definedName>
    <definedName name="Поправочные_коэффициенты_по_письму_Госстроя_от_25.12.90___4___0___0" localSheetId="99">#REF!</definedName>
    <definedName name="Поправочные_коэффициенты_по_письму_Госстроя_от_25.12.90___4___0___0" localSheetId="100">#REF!</definedName>
    <definedName name="Поправочные_коэффициенты_по_письму_Госстроя_от_25.12.90___4___0___0" localSheetId="106">#REF!</definedName>
    <definedName name="Поправочные_коэффициенты_по_письму_Госстроя_от_25.12.90___4___0___0">#REF!</definedName>
    <definedName name="Поправочные_коэффициенты_по_письму_Госстроя_от_25.12.90___4___0___0___0" localSheetId="10">#REF!</definedName>
    <definedName name="Поправочные_коэффициенты_по_письму_Госстроя_от_25.12.90___4___0___0___0" localSheetId="12">#REF!</definedName>
    <definedName name="Поправочные_коэффициенты_по_письму_Госстроя_от_25.12.90___4___0___0___0" localSheetId="116">#REF!</definedName>
    <definedName name="Поправочные_коэффициенты_по_письму_Госстроя_от_25.12.90___4___0___0___0" localSheetId="8">#REF!</definedName>
    <definedName name="Поправочные_коэффициенты_по_письму_Госстроя_от_25.12.90___4___0___0___0" localSheetId="11">#REF!</definedName>
    <definedName name="Поправочные_коэффициенты_по_письму_Госстроя_от_25.12.90___4___0___0___0" localSheetId="110">#REF!</definedName>
    <definedName name="Поправочные_коэффициенты_по_письму_Госстроя_от_25.12.90___4___0___0___0" localSheetId="109">#REF!</definedName>
    <definedName name="Поправочные_коэффициенты_по_письму_Госстроя_от_25.12.90___4___0___0___0" localSheetId="108">#REF!</definedName>
    <definedName name="Поправочные_коэффициенты_по_письму_Госстроя_от_25.12.90___4___0___0___0" localSheetId="6">#REF!</definedName>
    <definedName name="Поправочные_коэффициенты_по_письму_Госстроя_от_25.12.90___4___0___0___0" localSheetId="9">#REF!</definedName>
    <definedName name="Поправочные_коэффициенты_по_письму_Госстроя_от_25.12.90___4___0___0___0" localSheetId="7">#REF!</definedName>
    <definedName name="Поправочные_коэффициенты_по_письму_Госстроя_от_25.12.90___4___0___0___0" localSheetId="92">#REF!</definedName>
    <definedName name="Поправочные_коэффициенты_по_письму_Госстроя_от_25.12.90___4___0___0___0" localSheetId="93">#REF!</definedName>
    <definedName name="Поправочные_коэффициенты_по_письму_Госстроя_от_25.12.90___4___0___0___0" localSheetId="94">#REF!</definedName>
    <definedName name="Поправочные_коэффициенты_по_письму_Госстроя_от_25.12.90___4___0___0___0" localSheetId="99">#REF!</definedName>
    <definedName name="Поправочные_коэффициенты_по_письму_Госстроя_от_25.12.90___4___0___0___0" localSheetId="100">#REF!</definedName>
    <definedName name="Поправочные_коэффициенты_по_письму_Госстроя_от_25.12.90___4___0___0___0" localSheetId="106">#REF!</definedName>
    <definedName name="Поправочные_коэффициенты_по_письму_Госстроя_от_25.12.90___4___0___0___0">#REF!</definedName>
    <definedName name="Поправочные_коэффициенты_по_письму_Госстроя_от_25.12.90___4___0___0___0___0" localSheetId="10">#REF!</definedName>
    <definedName name="Поправочные_коэффициенты_по_письму_Госстроя_от_25.12.90___4___0___0___0___0" localSheetId="9">#REF!</definedName>
    <definedName name="Поправочные_коэффициенты_по_письму_Госстроя_от_25.12.90___4___0___0___0___0">#REF!</definedName>
    <definedName name="Поправочные_коэффициенты_по_письму_Госстроя_от_25.12.90___4___0___0___0___0_1" localSheetId="10">#REF!</definedName>
    <definedName name="Поправочные_коэффициенты_по_письму_Госстроя_от_25.12.90___4___0___0___0___0_1" localSheetId="9">#REF!</definedName>
    <definedName name="Поправочные_коэффициенты_по_письму_Госстроя_от_25.12.90___4___0___0___0___0_1">#REF!</definedName>
    <definedName name="Поправочные_коэффициенты_по_письму_Госстроя_от_25.12.90___4___0___0___0_1" localSheetId="10">#REF!</definedName>
    <definedName name="Поправочные_коэффициенты_по_письму_Госстроя_от_25.12.90___4___0___0___0_1" localSheetId="9">#REF!</definedName>
    <definedName name="Поправочные_коэффициенты_по_письму_Госстроя_от_25.12.90___4___0___0___0_1">#REF!</definedName>
    <definedName name="Поправочные_коэффициенты_по_письму_Госстроя_от_25.12.90___4___0___0___1" localSheetId="10">#REF!</definedName>
    <definedName name="Поправочные_коэффициенты_по_письму_Госстроя_от_25.12.90___4___0___0___1" localSheetId="9">#REF!</definedName>
    <definedName name="Поправочные_коэффициенты_по_письму_Госстроя_от_25.12.90___4___0___0___1">#REF!</definedName>
    <definedName name="Поправочные_коэффициенты_по_письму_Госстроя_от_25.12.90___4___0___0___1_1" localSheetId="10">#REF!</definedName>
    <definedName name="Поправочные_коэффициенты_по_письму_Госстроя_от_25.12.90___4___0___0___1_1" localSheetId="9">#REF!</definedName>
    <definedName name="Поправочные_коэффициенты_по_письму_Госстроя_от_25.12.90___4___0___0___1_1">#REF!</definedName>
    <definedName name="Поправочные_коэффициенты_по_письму_Госстроя_от_25.12.90___4___0___0___5" localSheetId="10">#REF!</definedName>
    <definedName name="Поправочные_коэффициенты_по_письму_Госстроя_от_25.12.90___4___0___0___5" localSheetId="9">#REF!</definedName>
    <definedName name="Поправочные_коэффициенты_по_письму_Госстроя_от_25.12.90___4___0___0___5">#REF!</definedName>
    <definedName name="Поправочные_коэффициенты_по_письму_Госстроя_от_25.12.90___4___0___0___5_1" localSheetId="10">#REF!</definedName>
    <definedName name="Поправочные_коэффициенты_по_письму_Госстроя_от_25.12.90___4___0___0___5_1" localSheetId="9">#REF!</definedName>
    <definedName name="Поправочные_коэффициенты_по_письму_Госстроя_от_25.12.90___4___0___0___5_1">#REF!</definedName>
    <definedName name="Поправочные_коэффициенты_по_письму_Госстроя_от_25.12.90___4___0___0_1" localSheetId="10">#REF!</definedName>
    <definedName name="Поправочные_коэффициенты_по_письму_Госстроя_от_25.12.90___4___0___0_1" localSheetId="9">#REF!</definedName>
    <definedName name="Поправочные_коэффициенты_по_письму_Госстроя_от_25.12.90___4___0___0_1">#REF!</definedName>
    <definedName name="Поправочные_коэффициенты_по_письму_Госстроя_от_25.12.90___4___0___0_1_1" localSheetId="10">#REF!</definedName>
    <definedName name="Поправочные_коэффициенты_по_письму_Госстроя_от_25.12.90___4___0___0_1_1" localSheetId="9">#REF!</definedName>
    <definedName name="Поправочные_коэффициенты_по_письму_Госстроя_от_25.12.90___4___0___0_1_1">#REF!</definedName>
    <definedName name="Поправочные_коэффициенты_по_письму_Госстроя_от_25.12.90___4___0___0_1_1_1" localSheetId="10">#REF!</definedName>
    <definedName name="Поправочные_коэффициенты_по_письму_Госстроя_от_25.12.90___4___0___0_1_1_1" localSheetId="9">#REF!</definedName>
    <definedName name="Поправочные_коэффициенты_по_письму_Госстроя_от_25.12.90___4___0___0_1_1_1">#REF!</definedName>
    <definedName name="Поправочные_коэффициенты_по_письму_Госстроя_от_25.12.90___4___0___0_5" localSheetId="10">#REF!</definedName>
    <definedName name="Поправочные_коэффициенты_по_письму_Госстроя_от_25.12.90___4___0___0_5" localSheetId="9">#REF!</definedName>
    <definedName name="Поправочные_коэффициенты_по_письму_Госстроя_от_25.12.90___4___0___0_5">#REF!</definedName>
    <definedName name="Поправочные_коэффициенты_по_письму_Госстроя_от_25.12.90___4___0___0_5_1" localSheetId="10">#REF!</definedName>
    <definedName name="Поправочные_коэффициенты_по_письму_Госстроя_от_25.12.90___4___0___0_5_1" localSheetId="9">#REF!</definedName>
    <definedName name="Поправочные_коэффициенты_по_письму_Госстроя_от_25.12.90___4___0___0_5_1">#REF!</definedName>
    <definedName name="Поправочные_коэффициенты_по_письму_Госстроя_от_25.12.90___4___0___1" localSheetId="10">#REF!</definedName>
    <definedName name="Поправочные_коэффициенты_по_письму_Госстроя_от_25.12.90___4___0___1" localSheetId="9">#REF!</definedName>
    <definedName name="Поправочные_коэффициенты_по_письму_Госстроя_от_25.12.90___4___0___1">#REF!</definedName>
    <definedName name="Поправочные_коэффициенты_по_письму_Госстроя_от_25.12.90___4___0___1_1" localSheetId="10">#REF!</definedName>
    <definedName name="Поправочные_коэффициенты_по_письму_Госстроя_от_25.12.90___4___0___1_1" localSheetId="9">#REF!</definedName>
    <definedName name="Поправочные_коэффициенты_по_письму_Госстроя_от_25.12.90___4___0___1_1">#REF!</definedName>
    <definedName name="Поправочные_коэффициенты_по_письму_Госстроя_от_25.12.90___4___0___2" localSheetId="10">#REF!</definedName>
    <definedName name="Поправочные_коэффициенты_по_письму_Госстроя_от_25.12.90___4___0___2" localSheetId="12">#REF!</definedName>
    <definedName name="Поправочные_коэффициенты_по_письму_Госстроя_от_25.12.90___4___0___2" localSheetId="116">#REF!</definedName>
    <definedName name="Поправочные_коэффициенты_по_письму_Госстроя_от_25.12.90___4___0___2" localSheetId="110">#REF!</definedName>
    <definedName name="Поправочные_коэффициенты_по_письму_Госстроя_от_25.12.90___4___0___2" localSheetId="109">#REF!</definedName>
    <definedName name="Поправочные_коэффициенты_по_письму_Госстроя_от_25.12.90___4___0___2" localSheetId="108">#REF!</definedName>
    <definedName name="Поправочные_коэффициенты_по_письму_Госстроя_от_25.12.90___4___0___2" localSheetId="9">#REF!</definedName>
    <definedName name="Поправочные_коэффициенты_по_письму_Госстроя_от_25.12.90___4___0___2" localSheetId="92">#REF!</definedName>
    <definedName name="Поправочные_коэффициенты_по_письму_Госстроя_от_25.12.90___4___0___2" localSheetId="93">#REF!</definedName>
    <definedName name="Поправочные_коэффициенты_по_письму_Госстроя_от_25.12.90___4___0___2" localSheetId="94">#REF!</definedName>
    <definedName name="Поправочные_коэффициенты_по_письму_Госстроя_от_25.12.90___4___0___2" localSheetId="99">#REF!</definedName>
    <definedName name="Поправочные_коэффициенты_по_письму_Госстроя_от_25.12.90___4___0___2" localSheetId="100">#REF!</definedName>
    <definedName name="Поправочные_коэффициенты_по_письму_Госстроя_от_25.12.90___4___0___2" localSheetId="106">#REF!</definedName>
    <definedName name="Поправочные_коэффициенты_по_письму_Госстроя_от_25.12.90___4___0___2">#REF!</definedName>
    <definedName name="Поправочные_коэффициенты_по_письму_Госстроя_от_25.12.90___4___0___2_1" localSheetId="10">#REF!</definedName>
    <definedName name="Поправочные_коэффициенты_по_письму_Госстроя_от_25.12.90___4___0___2_1" localSheetId="9">#REF!</definedName>
    <definedName name="Поправочные_коэффициенты_по_письму_Госстроя_от_25.12.90___4___0___2_1">#REF!</definedName>
    <definedName name="Поправочные_коэффициенты_по_письму_Госстроя_от_25.12.90___4___0___4" localSheetId="10">#REF!</definedName>
    <definedName name="Поправочные_коэффициенты_по_письму_Госстроя_от_25.12.90___4___0___4" localSheetId="12">#REF!</definedName>
    <definedName name="Поправочные_коэффициенты_по_письму_Госстроя_от_25.12.90___4___0___4" localSheetId="110">#REF!</definedName>
    <definedName name="Поправочные_коэффициенты_по_письму_Госстроя_от_25.12.90___4___0___4" localSheetId="9">#REF!</definedName>
    <definedName name="Поправочные_коэффициенты_по_письму_Госстроя_от_25.12.90___4___0___4">#REF!</definedName>
    <definedName name="Поправочные_коэффициенты_по_письму_Госстроя_от_25.12.90___4___0___4_1" localSheetId="10">#REF!</definedName>
    <definedName name="Поправочные_коэффициенты_по_письму_Госстроя_от_25.12.90___4___0___4_1" localSheetId="9">#REF!</definedName>
    <definedName name="Поправочные_коэффициенты_по_письму_Госстроя_от_25.12.90___4___0___4_1">#REF!</definedName>
    <definedName name="Поправочные_коэффициенты_по_письму_Госстроя_от_25.12.90___4___0___5">NA()</definedName>
    <definedName name="Поправочные_коэффициенты_по_письму_Госстроя_от_25.12.90___4___0_1" localSheetId="10">#REF!</definedName>
    <definedName name="Поправочные_коэффициенты_по_письму_Госстроя_от_25.12.90___4___0_1" localSheetId="9">#REF!</definedName>
    <definedName name="Поправочные_коэффициенты_по_письму_Госстроя_от_25.12.90___4___0_1">#REF!</definedName>
    <definedName name="Поправочные_коэффициенты_по_письму_Госстроя_от_25.12.90___4___0_1_1" localSheetId="10">#REF!</definedName>
    <definedName name="Поправочные_коэффициенты_по_письму_Госстроя_от_25.12.90___4___0_1_1" localSheetId="9">#REF!</definedName>
    <definedName name="Поправочные_коэффициенты_по_письму_Госстроя_от_25.12.90___4___0_1_1">#REF!</definedName>
    <definedName name="Поправочные_коэффициенты_по_письму_Госстроя_от_25.12.90___4___0_1_1_1" localSheetId="10">#REF!</definedName>
    <definedName name="Поправочные_коэффициенты_по_письму_Госстроя_от_25.12.90___4___0_1_1_1" localSheetId="9">#REF!</definedName>
    <definedName name="Поправочные_коэффициенты_по_письму_Госстроя_от_25.12.90___4___0_1_1_1">#REF!</definedName>
    <definedName name="Поправочные_коэффициенты_по_письму_Госстроя_от_25.12.90___4___0_3">NA()</definedName>
    <definedName name="Поправочные_коэффициенты_по_письму_Госстроя_от_25.12.90___4___0_5">NA()</definedName>
    <definedName name="Поправочные_коэффициенты_по_письму_Госстроя_от_25.12.90___4___1">NA()</definedName>
    <definedName name="Поправочные_коэффициенты_по_письму_Госстроя_от_25.12.90___4___10" localSheetId="10">#REF!</definedName>
    <definedName name="Поправочные_коэффициенты_по_письму_Госстроя_от_25.12.90___4___10" localSheetId="12">#REF!</definedName>
    <definedName name="Поправочные_коэффициенты_по_письму_Госстроя_от_25.12.90___4___10" localSheetId="8">#REF!</definedName>
    <definedName name="Поправочные_коэффициенты_по_письму_Госстроя_от_25.12.90___4___10" localSheetId="11">#REF!</definedName>
    <definedName name="Поправочные_коэффициенты_по_письму_Госстроя_от_25.12.90___4___10" localSheetId="110">#REF!</definedName>
    <definedName name="Поправочные_коэффициенты_по_письму_Госстроя_от_25.12.90___4___10" localSheetId="6">#REF!</definedName>
    <definedName name="Поправочные_коэффициенты_по_письму_Госстроя_от_25.12.90___4___10" localSheetId="9">#REF!</definedName>
    <definedName name="Поправочные_коэффициенты_по_письму_Госстроя_от_25.12.90___4___10" localSheetId="7">#REF!</definedName>
    <definedName name="Поправочные_коэффициенты_по_письму_Госстроя_от_25.12.90___4___10">#REF!</definedName>
    <definedName name="Поправочные_коэффициенты_по_письму_Госстроя_от_25.12.90___4___10_1" localSheetId="10">#REF!</definedName>
    <definedName name="Поправочные_коэффициенты_по_письму_Госстроя_от_25.12.90___4___10_1" localSheetId="9">#REF!</definedName>
    <definedName name="Поправочные_коэффициенты_по_письму_Госстроя_от_25.12.90___4___10_1">#REF!</definedName>
    <definedName name="Поправочные_коэффициенты_по_письму_Госстроя_от_25.12.90___4___12" localSheetId="10">#REF!</definedName>
    <definedName name="Поправочные_коэффициенты_по_письму_Госстроя_от_25.12.90___4___12" localSheetId="12">#REF!</definedName>
    <definedName name="Поправочные_коэффициенты_по_письму_Госстроя_от_25.12.90___4___12" localSheetId="110">#REF!</definedName>
    <definedName name="Поправочные_коэффициенты_по_письму_Госстроя_от_25.12.90___4___12" localSheetId="9">#REF!</definedName>
    <definedName name="Поправочные_коэффициенты_по_письму_Госстроя_от_25.12.90___4___12">#REF!</definedName>
    <definedName name="Поправочные_коэффициенты_по_письму_Госстроя_от_25.12.90___4___2" localSheetId="10">#REF!</definedName>
    <definedName name="Поправочные_коэффициенты_по_письму_Госстроя_от_25.12.90___4___2" localSheetId="12">#REF!</definedName>
    <definedName name="Поправочные_коэффициенты_по_письму_Госстроя_от_25.12.90___4___2" localSheetId="110">#REF!</definedName>
    <definedName name="Поправочные_коэффициенты_по_письму_Госстроя_от_25.12.90___4___2" localSheetId="9">#REF!</definedName>
    <definedName name="Поправочные_коэффициенты_по_письму_Госстроя_от_25.12.90___4___2">#REF!</definedName>
    <definedName name="Поправочные_коэффициенты_по_письму_Госстроя_от_25.12.90___4___2_1" localSheetId="10">#REF!</definedName>
    <definedName name="Поправочные_коэффициенты_по_письму_Госстроя_от_25.12.90___4___2_1" localSheetId="9">#REF!</definedName>
    <definedName name="Поправочные_коэффициенты_по_письму_Госстроя_от_25.12.90___4___2_1">#REF!</definedName>
    <definedName name="Поправочные_коэффициенты_по_письму_Госстроя_от_25.12.90___4___3" localSheetId="10">#REF!</definedName>
    <definedName name="Поправочные_коэффициенты_по_письму_Госстроя_от_25.12.90___4___3" localSheetId="12">#REF!</definedName>
    <definedName name="Поправочные_коэффициенты_по_письму_Госстроя_от_25.12.90___4___3" localSheetId="110">#REF!</definedName>
    <definedName name="Поправочные_коэффициенты_по_письму_Госстроя_от_25.12.90___4___3" localSheetId="9">#REF!</definedName>
    <definedName name="Поправочные_коэффициенты_по_письму_Госстроя_от_25.12.90___4___3">#REF!</definedName>
    <definedName name="Поправочные_коэффициенты_по_письму_Госстроя_от_25.12.90___4___3___0" localSheetId="10">#REF!</definedName>
    <definedName name="Поправочные_коэффициенты_по_письму_Госстроя_от_25.12.90___4___3___0" localSheetId="12">#REF!</definedName>
    <definedName name="Поправочные_коэффициенты_по_письму_Госстроя_от_25.12.90___4___3___0" localSheetId="110">#REF!</definedName>
    <definedName name="Поправочные_коэффициенты_по_письму_Госстроя_от_25.12.90___4___3___0" localSheetId="9">#REF!</definedName>
    <definedName name="Поправочные_коэффициенты_по_письму_Госстроя_от_25.12.90___4___3___0">#REF!</definedName>
    <definedName name="Поправочные_коэффициенты_по_письму_Госстроя_от_25.12.90___4___3___0___0" localSheetId="10">#REF!</definedName>
    <definedName name="Поправочные_коэффициенты_по_письму_Госстроя_от_25.12.90___4___3___0___0" localSheetId="9">#REF!</definedName>
    <definedName name="Поправочные_коэффициенты_по_письму_Госстроя_от_25.12.90___4___3___0___0">#REF!</definedName>
    <definedName name="Поправочные_коэффициенты_по_письму_Госстроя_от_25.12.90___4___3___0___0_1" localSheetId="10">#REF!</definedName>
    <definedName name="Поправочные_коэффициенты_по_письму_Госстроя_от_25.12.90___4___3___0___0_1" localSheetId="9">#REF!</definedName>
    <definedName name="Поправочные_коэффициенты_по_письму_Госстроя_от_25.12.90___4___3___0___0_1">#REF!</definedName>
    <definedName name="Поправочные_коэффициенты_по_письму_Госстроя_от_25.12.90___4___3___0_1" localSheetId="10">#REF!</definedName>
    <definedName name="Поправочные_коэффициенты_по_письму_Госстроя_от_25.12.90___4___3___0_1" localSheetId="9">#REF!</definedName>
    <definedName name="Поправочные_коэффициенты_по_письму_Госстроя_от_25.12.90___4___3___0_1">#REF!</definedName>
    <definedName name="Поправочные_коэффициенты_по_письму_Госстроя_от_25.12.90___4___3___5" localSheetId="10">#REF!</definedName>
    <definedName name="Поправочные_коэффициенты_по_письму_Госстроя_от_25.12.90___4___3___5" localSheetId="9">#REF!</definedName>
    <definedName name="Поправочные_коэффициенты_по_письму_Госстроя_от_25.12.90___4___3___5">#REF!</definedName>
    <definedName name="Поправочные_коэффициенты_по_письму_Госстроя_от_25.12.90___4___3___5_1" localSheetId="10">#REF!</definedName>
    <definedName name="Поправочные_коэффициенты_по_письму_Госстроя_от_25.12.90___4___3___5_1" localSheetId="9">#REF!</definedName>
    <definedName name="Поправочные_коэффициенты_по_письму_Госстроя_от_25.12.90___4___3___5_1">#REF!</definedName>
    <definedName name="Поправочные_коэффициенты_по_письму_Госстроя_от_25.12.90___4___3_1" localSheetId="10">#REF!</definedName>
    <definedName name="Поправочные_коэффициенты_по_письму_Госстроя_от_25.12.90___4___3_1" localSheetId="9">#REF!</definedName>
    <definedName name="Поправочные_коэффициенты_по_письму_Госстроя_от_25.12.90___4___3_1">#REF!</definedName>
    <definedName name="Поправочные_коэффициенты_по_письму_Госстроя_от_25.12.90___4___3_1_1" localSheetId="10">#REF!</definedName>
    <definedName name="Поправочные_коэффициенты_по_письму_Госстроя_от_25.12.90___4___3_1_1" localSheetId="9">#REF!</definedName>
    <definedName name="Поправочные_коэффициенты_по_письму_Госстроя_от_25.12.90___4___3_1_1">#REF!</definedName>
    <definedName name="Поправочные_коэффициенты_по_письму_Госстроя_от_25.12.90___4___3_1_1_1" localSheetId="10">#REF!</definedName>
    <definedName name="Поправочные_коэффициенты_по_письму_Госстроя_от_25.12.90___4___3_1_1_1" localSheetId="9">#REF!</definedName>
    <definedName name="Поправочные_коэффициенты_по_письму_Госстроя_от_25.12.90___4___3_1_1_1">#REF!</definedName>
    <definedName name="Поправочные_коэффициенты_по_письму_Госстроя_от_25.12.90___4___3_5" localSheetId="10">#REF!</definedName>
    <definedName name="Поправочные_коэффициенты_по_письму_Госстроя_от_25.12.90___4___3_5" localSheetId="9">#REF!</definedName>
    <definedName name="Поправочные_коэффициенты_по_письму_Госстроя_от_25.12.90___4___3_5">#REF!</definedName>
    <definedName name="Поправочные_коэффициенты_по_письму_Госстроя_от_25.12.90___4___3_5_1" localSheetId="10">#REF!</definedName>
    <definedName name="Поправочные_коэффициенты_по_письму_Госстроя_от_25.12.90___4___3_5_1" localSheetId="9">#REF!</definedName>
    <definedName name="Поправочные_коэффициенты_по_письму_Госстроя_от_25.12.90___4___3_5_1">#REF!</definedName>
    <definedName name="Поправочные_коэффициенты_по_письму_Госстроя_от_25.12.90___4___4" localSheetId="10">#REF!</definedName>
    <definedName name="Поправочные_коэффициенты_по_письму_Госстроя_от_25.12.90___4___4" localSheetId="12">#REF!</definedName>
    <definedName name="Поправочные_коэффициенты_по_письму_Госстроя_от_25.12.90___4___4" localSheetId="110">#REF!</definedName>
    <definedName name="Поправочные_коэффициенты_по_письму_Госстроя_от_25.12.90___4___4" localSheetId="9">#REF!</definedName>
    <definedName name="Поправочные_коэффициенты_по_письму_Госстроя_от_25.12.90___4___4">#REF!</definedName>
    <definedName name="Поправочные_коэффициенты_по_письму_Госстроя_от_25.12.90___4___4_1" localSheetId="10">#REF!</definedName>
    <definedName name="Поправочные_коэффициенты_по_письму_Госстроя_от_25.12.90___4___4_1" localSheetId="9">#REF!</definedName>
    <definedName name="Поправочные_коэффициенты_по_письму_Госстроя_от_25.12.90___4___4_1">#REF!</definedName>
    <definedName name="Поправочные_коэффициенты_по_письму_Госстроя_от_25.12.90___4___5" localSheetId="10">#REF!</definedName>
    <definedName name="Поправочные_коэффициенты_по_письму_Госстроя_от_25.12.90___4___5" localSheetId="9">#REF!</definedName>
    <definedName name="Поправочные_коэффициенты_по_письму_Госстроя_от_25.12.90___4___5">#REF!</definedName>
    <definedName name="Поправочные_коэффициенты_по_письму_Госстроя_от_25.12.90___4___5_1" localSheetId="10">#REF!</definedName>
    <definedName name="Поправочные_коэффициенты_по_письму_Госстроя_от_25.12.90___4___5_1" localSheetId="9">#REF!</definedName>
    <definedName name="Поправочные_коэффициенты_по_письму_Госстроя_от_25.12.90___4___5_1">#REF!</definedName>
    <definedName name="Поправочные_коэффициенты_по_письму_Госстроя_от_25.12.90___4___6" localSheetId="10">#REF!</definedName>
    <definedName name="Поправочные_коэффициенты_по_письму_Госстроя_от_25.12.90___4___6" localSheetId="12">#REF!</definedName>
    <definedName name="Поправочные_коэффициенты_по_письму_Госстроя_от_25.12.90___4___6" localSheetId="110">#REF!</definedName>
    <definedName name="Поправочные_коэффициенты_по_письму_Госстроя_от_25.12.90___4___6" localSheetId="9">#REF!</definedName>
    <definedName name="Поправочные_коэффициенты_по_письму_Госстроя_от_25.12.90___4___6">#REF!</definedName>
    <definedName name="Поправочные_коэффициенты_по_письму_Госстроя_от_25.12.90___4___6_1" localSheetId="10">#REF!</definedName>
    <definedName name="Поправочные_коэффициенты_по_письму_Госстроя_от_25.12.90___4___6_1" localSheetId="9">#REF!</definedName>
    <definedName name="Поправочные_коэффициенты_по_письму_Госстроя_от_25.12.90___4___6_1">#REF!</definedName>
    <definedName name="Поправочные_коэффициенты_по_письму_Госстроя_от_25.12.90___4___8" localSheetId="10">#REF!</definedName>
    <definedName name="Поправочные_коэффициенты_по_письму_Госстроя_от_25.12.90___4___8" localSheetId="12">#REF!</definedName>
    <definedName name="Поправочные_коэффициенты_по_письму_Госстроя_от_25.12.90___4___8" localSheetId="110">#REF!</definedName>
    <definedName name="Поправочные_коэффициенты_по_письму_Госстроя_от_25.12.90___4___8" localSheetId="9">#REF!</definedName>
    <definedName name="Поправочные_коэффициенты_по_письму_Госстроя_от_25.12.90___4___8">#REF!</definedName>
    <definedName name="Поправочные_коэффициенты_по_письму_Госстроя_от_25.12.90___4___8_1" localSheetId="10">#REF!</definedName>
    <definedName name="Поправочные_коэффициенты_по_письму_Госстроя_от_25.12.90___4___8_1" localSheetId="9">#REF!</definedName>
    <definedName name="Поправочные_коэффициенты_по_письму_Госстроя_от_25.12.90___4___8_1">#REF!</definedName>
    <definedName name="Поправочные_коэффициенты_по_письму_Госстроя_от_25.12.90___4_1" localSheetId="10">#REF!</definedName>
    <definedName name="Поправочные_коэффициенты_по_письму_Госстроя_от_25.12.90___4_1" localSheetId="9">#REF!</definedName>
    <definedName name="Поправочные_коэффициенты_по_письму_Госстроя_от_25.12.90___4_1">#REF!</definedName>
    <definedName name="Поправочные_коэффициенты_по_письму_Госстроя_от_25.12.90___4_1_1">NA()</definedName>
    <definedName name="Поправочные_коэффициенты_по_письму_Госстроя_от_25.12.90___4_3" localSheetId="10">#REF!</definedName>
    <definedName name="Поправочные_коэффициенты_по_письму_Госстроя_от_25.12.90___4_3" localSheetId="9">#REF!</definedName>
    <definedName name="Поправочные_коэффициенты_по_письму_Госстроя_от_25.12.90___4_3">#REF!</definedName>
    <definedName name="Поправочные_коэффициенты_по_письму_Госстроя_от_25.12.90___4_3_1" localSheetId="10">#REF!</definedName>
    <definedName name="Поправочные_коэффициенты_по_письму_Госстроя_от_25.12.90___4_3_1" localSheetId="9">#REF!</definedName>
    <definedName name="Поправочные_коэффициенты_по_письму_Госстроя_от_25.12.90___4_3_1">#REF!</definedName>
    <definedName name="Поправочные_коэффициенты_по_письму_Госстроя_от_25.12.90___4_5" localSheetId="10">#REF!</definedName>
    <definedName name="Поправочные_коэффициенты_по_письму_Госстроя_от_25.12.90___4_5" localSheetId="9">#REF!</definedName>
    <definedName name="Поправочные_коэффициенты_по_письму_Госстроя_от_25.12.90___4_5">#REF!</definedName>
    <definedName name="Поправочные_коэффициенты_по_письму_Госстроя_от_25.12.90___4_5_1" localSheetId="10">#REF!</definedName>
    <definedName name="Поправочные_коэффициенты_по_письму_Госстроя_от_25.12.90___4_5_1" localSheetId="9">#REF!</definedName>
    <definedName name="Поправочные_коэффициенты_по_письму_Госстроя_от_25.12.90___4_5_1">#REF!</definedName>
    <definedName name="Поправочные_коэффициенты_по_письму_Госстроя_от_25.12.90___5">NA()</definedName>
    <definedName name="Поправочные_коэффициенты_по_письму_Госстроя_от_25.12.90___5___0" localSheetId="10">#REF!</definedName>
    <definedName name="Поправочные_коэффициенты_по_письму_Госстроя_от_25.12.90___5___0" localSheetId="12">#REF!</definedName>
    <definedName name="Поправочные_коэффициенты_по_письму_Госстроя_от_25.12.90___5___0" localSheetId="116">#REF!</definedName>
    <definedName name="Поправочные_коэффициенты_по_письму_Госстроя_от_25.12.90___5___0" localSheetId="8">#REF!</definedName>
    <definedName name="Поправочные_коэффициенты_по_письму_Госстроя_от_25.12.90___5___0" localSheetId="11">#REF!</definedName>
    <definedName name="Поправочные_коэффициенты_по_письму_Госстроя_от_25.12.90___5___0" localSheetId="110">#REF!</definedName>
    <definedName name="Поправочные_коэффициенты_по_письму_Госстроя_от_25.12.90___5___0" localSheetId="109">#REF!</definedName>
    <definedName name="Поправочные_коэффициенты_по_письму_Госстроя_от_25.12.90___5___0" localSheetId="108">#REF!</definedName>
    <definedName name="Поправочные_коэффициенты_по_письму_Госстроя_от_25.12.90___5___0" localSheetId="6">#REF!</definedName>
    <definedName name="Поправочные_коэффициенты_по_письму_Госстроя_от_25.12.90___5___0" localSheetId="9">#REF!</definedName>
    <definedName name="Поправочные_коэффициенты_по_письму_Госстроя_от_25.12.90___5___0" localSheetId="7">#REF!</definedName>
    <definedName name="Поправочные_коэффициенты_по_письму_Госстроя_от_25.12.90___5___0" localSheetId="92">#REF!</definedName>
    <definedName name="Поправочные_коэффициенты_по_письму_Госстроя_от_25.12.90___5___0" localSheetId="93">#REF!</definedName>
    <definedName name="Поправочные_коэффициенты_по_письму_Госстроя_от_25.12.90___5___0" localSheetId="94">#REF!</definedName>
    <definedName name="Поправочные_коэффициенты_по_письму_Госстроя_от_25.12.90___5___0" localSheetId="99">#REF!</definedName>
    <definedName name="Поправочные_коэффициенты_по_письму_Госстроя_от_25.12.90___5___0" localSheetId="100">#REF!</definedName>
    <definedName name="Поправочные_коэффициенты_по_письму_Госстроя_от_25.12.90___5___0" localSheetId="106">#REF!</definedName>
    <definedName name="Поправочные_коэффициенты_по_письму_Госстроя_от_25.12.90___5___0">#REF!</definedName>
    <definedName name="Поправочные_коэффициенты_по_письму_Госстроя_от_25.12.90___5___0___0" localSheetId="10">#REF!</definedName>
    <definedName name="Поправочные_коэффициенты_по_письму_Госстроя_от_25.12.90___5___0___0" localSheetId="12">#REF!</definedName>
    <definedName name="Поправочные_коэффициенты_по_письму_Госстроя_от_25.12.90___5___0___0" localSheetId="116">#REF!</definedName>
    <definedName name="Поправочные_коэффициенты_по_письму_Госстроя_от_25.12.90___5___0___0" localSheetId="8">#REF!</definedName>
    <definedName name="Поправочные_коэффициенты_по_письму_Госстроя_от_25.12.90___5___0___0" localSheetId="11">#REF!</definedName>
    <definedName name="Поправочные_коэффициенты_по_письму_Госстроя_от_25.12.90___5___0___0" localSheetId="110">#REF!</definedName>
    <definedName name="Поправочные_коэффициенты_по_письму_Госстроя_от_25.12.90___5___0___0" localSheetId="109">#REF!</definedName>
    <definedName name="Поправочные_коэффициенты_по_письму_Госстроя_от_25.12.90___5___0___0" localSheetId="108">#REF!</definedName>
    <definedName name="Поправочные_коэффициенты_по_письму_Госстроя_от_25.12.90___5___0___0" localSheetId="6">#REF!</definedName>
    <definedName name="Поправочные_коэффициенты_по_письму_Госстроя_от_25.12.90___5___0___0" localSheetId="9">#REF!</definedName>
    <definedName name="Поправочные_коэффициенты_по_письму_Госстроя_от_25.12.90___5___0___0" localSheetId="7">#REF!</definedName>
    <definedName name="Поправочные_коэффициенты_по_письму_Госстроя_от_25.12.90___5___0___0" localSheetId="92">#REF!</definedName>
    <definedName name="Поправочные_коэффициенты_по_письму_Госстроя_от_25.12.90___5___0___0" localSheetId="93">#REF!</definedName>
    <definedName name="Поправочные_коэффициенты_по_письму_Госстроя_от_25.12.90___5___0___0" localSheetId="94">#REF!</definedName>
    <definedName name="Поправочные_коэффициенты_по_письму_Госстроя_от_25.12.90___5___0___0" localSheetId="99">#REF!</definedName>
    <definedName name="Поправочные_коэффициенты_по_письму_Госстроя_от_25.12.90___5___0___0" localSheetId="100">#REF!</definedName>
    <definedName name="Поправочные_коэффициенты_по_письму_Госстроя_от_25.12.90___5___0___0" localSheetId="106">#REF!</definedName>
    <definedName name="Поправочные_коэффициенты_по_письму_Госстроя_от_25.12.90___5___0___0">#REF!</definedName>
    <definedName name="Поправочные_коэффициенты_по_письму_Госстроя_от_25.12.90___5___0___0___0" localSheetId="10">#REF!</definedName>
    <definedName name="Поправочные_коэффициенты_по_письму_Госстроя_от_25.12.90___5___0___0___0" localSheetId="12">#REF!</definedName>
    <definedName name="Поправочные_коэффициенты_по_письму_Госстроя_от_25.12.90___5___0___0___0" localSheetId="116">#REF!</definedName>
    <definedName name="Поправочные_коэффициенты_по_письму_Госстроя_от_25.12.90___5___0___0___0" localSheetId="110">#REF!</definedName>
    <definedName name="Поправочные_коэффициенты_по_письму_Госстроя_от_25.12.90___5___0___0___0" localSheetId="109">#REF!</definedName>
    <definedName name="Поправочные_коэффициенты_по_письму_Госстроя_от_25.12.90___5___0___0___0" localSheetId="108">#REF!</definedName>
    <definedName name="Поправочные_коэффициенты_по_письму_Госстроя_от_25.12.90___5___0___0___0" localSheetId="9">#REF!</definedName>
    <definedName name="Поправочные_коэффициенты_по_письму_Госстроя_от_25.12.90___5___0___0___0" localSheetId="92">#REF!</definedName>
    <definedName name="Поправочные_коэффициенты_по_письму_Госстроя_от_25.12.90___5___0___0___0" localSheetId="93">#REF!</definedName>
    <definedName name="Поправочные_коэффициенты_по_письму_Госстроя_от_25.12.90___5___0___0___0" localSheetId="94">#REF!</definedName>
    <definedName name="Поправочные_коэффициенты_по_письму_Госстроя_от_25.12.90___5___0___0___0" localSheetId="99">#REF!</definedName>
    <definedName name="Поправочные_коэффициенты_по_письму_Госстроя_от_25.12.90___5___0___0___0" localSheetId="100">#REF!</definedName>
    <definedName name="Поправочные_коэффициенты_по_письму_Госстроя_от_25.12.90___5___0___0___0" localSheetId="106">#REF!</definedName>
    <definedName name="Поправочные_коэффициенты_по_письму_Госстроя_от_25.12.90___5___0___0___0">#REF!</definedName>
    <definedName name="Поправочные_коэффициенты_по_письму_Госстроя_от_25.12.90___5___0___0___0___0" localSheetId="10">#REF!</definedName>
    <definedName name="Поправочные_коэффициенты_по_письму_Госстроя_от_25.12.90___5___0___0___0___0" localSheetId="9">#REF!</definedName>
    <definedName name="Поправочные_коэффициенты_по_письму_Госстроя_от_25.12.90___5___0___0___0___0">#REF!</definedName>
    <definedName name="Поправочные_коэффициенты_по_письму_Госстроя_от_25.12.90___5___0___0___0___0_1" localSheetId="10">#REF!</definedName>
    <definedName name="Поправочные_коэффициенты_по_письму_Госстроя_от_25.12.90___5___0___0___0___0_1" localSheetId="9">#REF!</definedName>
    <definedName name="Поправочные_коэффициенты_по_письму_Госстроя_от_25.12.90___5___0___0___0___0_1">#REF!</definedName>
    <definedName name="Поправочные_коэффициенты_по_письму_Госстроя_от_25.12.90___5___0___0___0_1" localSheetId="10">#REF!</definedName>
    <definedName name="Поправочные_коэффициенты_по_письму_Госстроя_от_25.12.90___5___0___0___0_1" localSheetId="9">#REF!</definedName>
    <definedName name="Поправочные_коэффициенты_по_письму_Госстроя_от_25.12.90___5___0___0___0_1">#REF!</definedName>
    <definedName name="Поправочные_коэффициенты_по_письму_Госстроя_от_25.12.90___5___0___0_1" localSheetId="10">#REF!</definedName>
    <definedName name="Поправочные_коэффициенты_по_письму_Госстроя_от_25.12.90___5___0___0_1" localSheetId="9">#REF!</definedName>
    <definedName name="Поправочные_коэффициенты_по_письму_Госстроя_от_25.12.90___5___0___0_1">#REF!</definedName>
    <definedName name="Поправочные_коэффициенты_по_письму_Госстроя_от_25.12.90___5___0___1" localSheetId="10">#REF!</definedName>
    <definedName name="Поправочные_коэффициенты_по_письму_Госстроя_от_25.12.90___5___0___1" localSheetId="9">#REF!</definedName>
    <definedName name="Поправочные_коэффициенты_по_письму_Госстроя_от_25.12.90___5___0___1">#REF!</definedName>
    <definedName name="Поправочные_коэффициенты_по_письму_Госстроя_от_25.12.90___5___0___1_1" localSheetId="10">#REF!</definedName>
    <definedName name="Поправочные_коэффициенты_по_письму_Госстроя_от_25.12.90___5___0___1_1" localSheetId="9">#REF!</definedName>
    <definedName name="Поправочные_коэффициенты_по_письму_Госстроя_от_25.12.90___5___0___1_1">#REF!</definedName>
    <definedName name="Поправочные_коэффициенты_по_письму_Госстроя_от_25.12.90___5___0___5" localSheetId="10">#REF!</definedName>
    <definedName name="Поправочные_коэффициенты_по_письму_Госстроя_от_25.12.90___5___0___5" localSheetId="9">#REF!</definedName>
    <definedName name="Поправочные_коэффициенты_по_письму_Госстроя_от_25.12.90___5___0___5">#REF!</definedName>
    <definedName name="Поправочные_коэффициенты_по_письму_Госстроя_от_25.12.90___5___0___5_1" localSheetId="10">#REF!</definedName>
    <definedName name="Поправочные_коэффициенты_по_письму_Госстроя_от_25.12.90___5___0___5_1" localSheetId="9">#REF!</definedName>
    <definedName name="Поправочные_коэффициенты_по_письму_Госстроя_от_25.12.90___5___0___5_1">#REF!</definedName>
    <definedName name="Поправочные_коэффициенты_по_письму_Госстроя_от_25.12.90___5___0_1" localSheetId="10">#REF!</definedName>
    <definedName name="Поправочные_коэффициенты_по_письму_Госстроя_от_25.12.90___5___0_1" localSheetId="9">#REF!</definedName>
    <definedName name="Поправочные_коэффициенты_по_письму_Госстроя_от_25.12.90___5___0_1">#REF!</definedName>
    <definedName name="Поправочные_коэффициенты_по_письму_Госстроя_от_25.12.90___5___0_1_1" localSheetId="10">#REF!</definedName>
    <definedName name="Поправочные_коэффициенты_по_письму_Госстроя_от_25.12.90___5___0_1_1" localSheetId="9">#REF!</definedName>
    <definedName name="Поправочные_коэффициенты_по_письму_Госстроя_от_25.12.90___5___0_1_1">#REF!</definedName>
    <definedName name="Поправочные_коэффициенты_по_письму_Госстроя_от_25.12.90___5___0_1_1_1" localSheetId="10">#REF!</definedName>
    <definedName name="Поправочные_коэффициенты_по_письму_Госстроя_от_25.12.90___5___0_1_1_1" localSheetId="9">#REF!</definedName>
    <definedName name="Поправочные_коэффициенты_по_письму_Госстроя_от_25.12.90___5___0_1_1_1">#REF!</definedName>
    <definedName name="Поправочные_коэффициенты_по_письму_Госстроя_от_25.12.90___5___0_3" localSheetId="10">#REF!</definedName>
    <definedName name="Поправочные_коэффициенты_по_письму_Госстроя_от_25.12.90___5___0_3" localSheetId="9">#REF!</definedName>
    <definedName name="Поправочные_коэффициенты_по_письму_Госстроя_от_25.12.90___5___0_3">#REF!</definedName>
    <definedName name="Поправочные_коэффициенты_по_письму_Госстроя_от_25.12.90___5___0_3_1" localSheetId="10">#REF!</definedName>
    <definedName name="Поправочные_коэффициенты_по_письму_Госстроя_от_25.12.90___5___0_3_1" localSheetId="9">#REF!</definedName>
    <definedName name="Поправочные_коэффициенты_по_письму_Госстроя_от_25.12.90___5___0_3_1">#REF!</definedName>
    <definedName name="Поправочные_коэффициенты_по_письму_Госстроя_от_25.12.90___5___0_5" localSheetId="10">#REF!</definedName>
    <definedName name="Поправочные_коэффициенты_по_письму_Госстроя_от_25.12.90___5___0_5" localSheetId="9">#REF!</definedName>
    <definedName name="Поправочные_коэффициенты_по_письму_Госстроя_от_25.12.90___5___0_5">#REF!</definedName>
    <definedName name="Поправочные_коэффициенты_по_письму_Госстроя_от_25.12.90___5___0_5_1" localSheetId="10">#REF!</definedName>
    <definedName name="Поправочные_коэффициенты_по_письму_Госстроя_от_25.12.90___5___0_5_1" localSheetId="9">#REF!</definedName>
    <definedName name="Поправочные_коэффициенты_по_письму_Госстроя_от_25.12.90___5___0_5_1">#REF!</definedName>
    <definedName name="Поправочные_коэффициенты_по_письму_Госстроя_от_25.12.90___5___1" localSheetId="10">#REF!</definedName>
    <definedName name="Поправочные_коэффициенты_по_письму_Госстроя_от_25.12.90___5___1" localSheetId="9">#REF!</definedName>
    <definedName name="Поправочные_коэффициенты_по_письму_Госстроя_от_25.12.90___5___1">#REF!</definedName>
    <definedName name="Поправочные_коэффициенты_по_письму_Госстроя_от_25.12.90___5___1_1" localSheetId="10">#REF!</definedName>
    <definedName name="Поправочные_коэффициенты_по_письму_Госстроя_от_25.12.90___5___1_1" localSheetId="9">#REF!</definedName>
    <definedName name="Поправочные_коэффициенты_по_письму_Госстроя_от_25.12.90___5___1_1">#REF!</definedName>
    <definedName name="Поправочные_коэффициенты_по_письму_Госстроя_от_25.12.90___5___3">NA()</definedName>
    <definedName name="Поправочные_коэффициенты_по_письму_Госстроя_от_25.12.90___5___5">NA()</definedName>
    <definedName name="Поправочные_коэффициенты_по_письму_Госстроя_от_25.12.90___5_1" localSheetId="10">#REF!</definedName>
    <definedName name="Поправочные_коэффициенты_по_письму_Госстроя_от_25.12.90___5_1" localSheetId="9">#REF!</definedName>
    <definedName name="Поправочные_коэффициенты_по_письму_Госстроя_от_25.12.90___5_1">#REF!</definedName>
    <definedName name="Поправочные_коэффициенты_по_письму_Госстроя_от_25.12.90___5_1_1" localSheetId="10">#REF!</definedName>
    <definedName name="Поправочные_коэффициенты_по_письму_Госстроя_от_25.12.90___5_1_1" localSheetId="9">#REF!</definedName>
    <definedName name="Поправочные_коэффициенты_по_письму_Госстроя_от_25.12.90___5_1_1">#REF!</definedName>
    <definedName name="Поправочные_коэффициенты_по_письму_Госстроя_от_25.12.90___5_1_1_1" localSheetId="10">#REF!</definedName>
    <definedName name="Поправочные_коэффициенты_по_письму_Госстроя_от_25.12.90___5_1_1_1" localSheetId="9">#REF!</definedName>
    <definedName name="Поправочные_коэффициенты_по_письму_Госстроя_от_25.12.90___5_1_1_1">#REF!</definedName>
    <definedName name="Поправочные_коэффициенты_по_письму_Госстроя_от_25.12.90___5_3">NA()</definedName>
    <definedName name="Поправочные_коэффициенты_по_письму_Госстроя_от_25.12.90___5_5">NA()</definedName>
    <definedName name="Поправочные_коэффициенты_по_письму_Госстроя_от_25.12.90___6">NA()</definedName>
    <definedName name="Поправочные_коэффициенты_по_письму_Госстроя_от_25.12.90___6___0" localSheetId="10">#REF!</definedName>
    <definedName name="Поправочные_коэффициенты_по_письму_Госстроя_от_25.12.90___6___0" localSheetId="12">#REF!</definedName>
    <definedName name="Поправочные_коэффициенты_по_письму_Госстроя_от_25.12.90___6___0" localSheetId="116">#REF!</definedName>
    <definedName name="Поправочные_коэффициенты_по_письму_Госстроя_от_25.12.90___6___0" localSheetId="8">#REF!</definedName>
    <definedName name="Поправочные_коэффициенты_по_письму_Госстроя_от_25.12.90___6___0" localSheetId="11">#REF!</definedName>
    <definedName name="Поправочные_коэффициенты_по_письму_Госстроя_от_25.12.90___6___0" localSheetId="110">#REF!</definedName>
    <definedName name="Поправочные_коэффициенты_по_письму_Госстроя_от_25.12.90___6___0" localSheetId="109">#REF!</definedName>
    <definedName name="Поправочные_коэффициенты_по_письму_Госстроя_от_25.12.90___6___0" localSheetId="108">#REF!</definedName>
    <definedName name="Поправочные_коэффициенты_по_письму_Госстроя_от_25.12.90___6___0" localSheetId="6">#REF!</definedName>
    <definedName name="Поправочные_коэффициенты_по_письму_Госстроя_от_25.12.90___6___0" localSheetId="9">#REF!</definedName>
    <definedName name="Поправочные_коэффициенты_по_письму_Госстроя_от_25.12.90___6___0" localSheetId="7">#REF!</definedName>
    <definedName name="Поправочные_коэффициенты_по_письму_Госстроя_от_25.12.90___6___0" localSheetId="92">#REF!</definedName>
    <definedName name="Поправочные_коэффициенты_по_письму_Госстроя_от_25.12.90___6___0" localSheetId="93">#REF!</definedName>
    <definedName name="Поправочные_коэффициенты_по_письму_Госстроя_от_25.12.90___6___0" localSheetId="94">#REF!</definedName>
    <definedName name="Поправочные_коэффициенты_по_письму_Госстроя_от_25.12.90___6___0" localSheetId="99">#REF!</definedName>
    <definedName name="Поправочные_коэффициенты_по_письму_Госстроя_от_25.12.90___6___0" localSheetId="100">#REF!</definedName>
    <definedName name="Поправочные_коэффициенты_по_письму_Госстроя_от_25.12.90___6___0" localSheetId="106">#REF!</definedName>
    <definedName name="Поправочные_коэффициенты_по_письму_Госстроя_от_25.12.90___6___0">#REF!</definedName>
    <definedName name="Поправочные_коэффициенты_по_письму_Госстроя_от_25.12.90___6___0___0" localSheetId="10">#REF!</definedName>
    <definedName name="Поправочные_коэффициенты_по_письму_Госстроя_от_25.12.90___6___0___0" localSheetId="12">#REF!</definedName>
    <definedName name="Поправочные_коэффициенты_по_письму_Госстроя_от_25.12.90___6___0___0" localSheetId="116">#REF!</definedName>
    <definedName name="Поправочные_коэффициенты_по_письму_Госстроя_от_25.12.90___6___0___0" localSheetId="8">#REF!</definedName>
    <definedName name="Поправочные_коэффициенты_по_письму_Госстроя_от_25.12.90___6___0___0" localSheetId="11">#REF!</definedName>
    <definedName name="Поправочные_коэффициенты_по_письму_Госстроя_от_25.12.90___6___0___0" localSheetId="110">#REF!</definedName>
    <definedName name="Поправочные_коэффициенты_по_письму_Госстроя_от_25.12.90___6___0___0" localSheetId="109">#REF!</definedName>
    <definedName name="Поправочные_коэффициенты_по_письму_Госстроя_от_25.12.90___6___0___0" localSheetId="108">#REF!</definedName>
    <definedName name="Поправочные_коэффициенты_по_письму_Госстроя_от_25.12.90___6___0___0" localSheetId="6">#REF!</definedName>
    <definedName name="Поправочные_коэффициенты_по_письму_Госстроя_от_25.12.90___6___0___0" localSheetId="9">#REF!</definedName>
    <definedName name="Поправочные_коэффициенты_по_письму_Госстроя_от_25.12.90___6___0___0" localSheetId="7">#REF!</definedName>
    <definedName name="Поправочные_коэффициенты_по_письму_Госстроя_от_25.12.90___6___0___0" localSheetId="92">#REF!</definedName>
    <definedName name="Поправочные_коэффициенты_по_письму_Госстроя_от_25.12.90___6___0___0" localSheetId="93">#REF!</definedName>
    <definedName name="Поправочные_коэффициенты_по_письму_Госстроя_от_25.12.90___6___0___0" localSheetId="94">#REF!</definedName>
    <definedName name="Поправочные_коэффициенты_по_письму_Госстроя_от_25.12.90___6___0___0" localSheetId="99">#REF!</definedName>
    <definedName name="Поправочные_коэффициенты_по_письму_Госстроя_от_25.12.90___6___0___0" localSheetId="100">#REF!</definedName>
    <definedName name="Поправочные_коэффициенты_по_письму_Госстроя_от_25.12.90___6___0___0" localSheetId="106">#REF!</definedName>
    <definedName name="Поправочные_коэффициенты_по_письму_Госстроя_от_25.12.90___6___0___0">#REF!</definedName>
    <definedName name="Поправочные_коэффициенты_по_письму_Госстроя_от_25.12.90___6___0___0___0" localSheetId="10">#REF!</definedName>
    <definedName name="Поправочные_коэффициенты_по_письму_Госстроя_от_25.12.90___6___0___0___0" localSheetId="12">#REF!</definedName>
    <definedName name="Поправочные_коэффициенты_по_письму_Госстроя_от_25.12.90___6___0___0___0" localSheetId="116">#REF!</definedName>
    <definedName name="Поправочные_коэффициенты_по_письму_Госстроя_от_25.12.90___6___0___0___0" localSheetId="110">#REF!</definedName>
    <definedName name="Поправочные_коэффициенты_по_письму_Госстроя_от_25.12.90___6___0___0___0" localSheetId="109">#REF!</definedName>
    <definedName name="Поправочные_коэффициенты_по_письму_Госстроя_от_25.12.90___6___0___0___0" localSheetId="108">#REF!</definedName>
    <definedName name="Поправочные_коэффициенты_по_письму_Госстроя_от_25.12.90___6___0___0___0" localSheetId="9">#REF!</definedName>
    <definedName name="Поправочные_коэффициенты_по_письму_Госстроя_от_25.12.90___6___0___0___0" localSheetId="92">#REF!</definedName>
    <definedName name="Поправочные_коэффициенты_по_письму_Госстроя_от_25.12.90___6___0___0___0" localSheetId="93">#REF!</definedName>
    <definedName name="Поправочные_коэффициенты_по_письму_Госстроя_от_25.12.90___6___0___0___0" localSheetId="94">#REF!</definedName>
    <definedName name="Поправочные_коэффициенты_по_письму_Госстроя_от_25.12.90___6___0___0___0" localSheetId="99">#REF!</definedName>
    <definedName name="Поправочные_коэффициенты_по_письму_Госстроя_от_25.12.90___6___0___0___0" localSheetId="100">#REF!</definedName>
    <definedName name="Поправочные_коэффициенты_по_письму_Госстроя_от_25.12.90___6___0___0___0" localSheetId="106">#REF!</definedName>
    <definedName name="Поправочные_коэффициенты_по_письму_Госстроя_от_25.12.90___6___0___0___0">#REF!</definedName>
    <definedName name="Поправочные_коэффициенты_по_письму_Госстроя_от_25.12.90___6___0___0___0___0" localSheetId="10">#REF!</definedName>
    <definedName name="Поправочные_коэффициенты_по_письму_Госстроя_от_25.12.90___6___0___0___0___0" localSheetId="9">#REF!</definedName>
    <definedName name="Поправочные_коэффициенты_по_письму_Госстроя_от_25.12.90___6___0___0___0___0">#REF!</definedName>
    <definedName name="Поправочные_коэффициенты_по_письму_Госстроя_от_25.12.90___6___0___0___0___0_1" localSheetId="10">#REF!</definedName>
    <definedName name="Поправочные_коэффициенты_по_письму_Госстроя_от_25.12.90___6___0___0___0___0_1" localSheetId="9">#REF!</definedName>
    <definedName name="Поправочные_коэффициенты_по_письму_Госстроя_от_25.12.90___6___0___0___0___0_1">#REF!</definedName>
    <definedName name="Поправочные_коэффициенты_по_письму_Госстроя_от_25.12.90___6___0___0___0_1" localSheetId="10">#REF!</definedName>
    <definedName name="Поправочные_коэффициенты_по_письму_Госстроя_от_25.12.90___6___0___0___0_1" localSheetId="9">#REF!</definedName>
    <definedName name="Поправочные_коэффициенты_по_письму_Госстроя_от_25.12.90___6___0___0___0_1">#REF!</definedName>
    <definedName name="Поправочные_коэффициенты_по_письму_Госстроя_от_25.12.90___6___0___0_1" localSheetId="10">#REF!</definedName>
    <definedName name="Поправочные_коэффициенты_по_письму_Госстроя_от_25.12.90___6___0___0_1" localSheetId="9">#REF!</definedName>
    <definedName name="Поправочные_коэффициенты_по_письму_Госстроя_от_25.12.90___6___0___0_1">#REF!</definedName>
    <definedName name="Поправочные_коэффициенты_по_письму_Госстроя_от_25.12.90___6___0___1" localSheetId="10">#REF!</definedName>
    <definedName name="Поправочные_коэффициенты_по_письму_Госстроя_от_25.12.90___6___0___1" localSheetId="9">#REF!</definedName>
    <definedName name="Поправочные_коэффициенты_по_письму_Госстроя_от_25.12.90___6___0___1">#REF!</definedName>
    <definedName name="Поправочные_коэффициенты_по_письму_Госстроя_от_25.12.90___6___0___1_1" localSheetId="10">#REF!</definedName>
    <definedName name="Поправочные_коэффициенты_по_письму_Госстроя_от_25.12.90___6___0___1_1" localSheetId="9">#REF!</definedName>
    <definedName name="Поправочные_коэффициенты_по_письму_Госстроя_от_25.12.90___6___0___1_1">#REF!</definedName>
    <definedName name="Поправочные_коэффициенты_по_письму_Госстроя_от_25.12.90___6___0___5" localSheetId="10">#REF!</definedName>
    <definedName name="Поправочные_коэффициенты_по_письму_Госстроя_от_25.12.90___6___0___5" localSheetId="9">#REF!</definedName>
    <definedName name="Поправочные_коэффициенты_по_письму_Госстроя_от_25.12.90___6___0___5">#REF!</definedName>
    <definedName name="Поправочные_коэффициенты_по_письму_Госстроя_от_25.12.90___6___0___5_1" localSheetId="10">#REF!</definedName>
    <definedName name="Поправочные_коэффициенты_по_письму_Госстроя_от_25.12.90___6___0___5_1" localSheetId="9">#REF!</definedName>
    <definedName name="Поправочные_коэффициенты_по_письму_Госстроя_от_25.12.90___6___0___5_1">#REF!</definedName>
    <definedName name="Поправочные_коэффициенты_по_письму_Госстроя_от_25.12.90___6___0_1" localSheetId="10">#REF!</definedName>
    <definedName name="Поправочные_коэффициенты_по_письму_Госстроя_от_25.12.90___6___0_1" localSheetId="9">#REF!</definedName>
    <definedName name="Поправочные_коэффициенты_по_письму_Госстроя_от_25.12.90___6___0_1">#REF!</definedName>
    <definedName name="Поправочные_коэффициенты_по_письму_Госстроя_от_25.12.90___6___0_1_1" localSheetId="10">#REF!</definedName>
    <definedName name="Поправочные_коэффициенты_по_письму_Госстроя_от_25.12.90___6___0_1_1" localSheetId="9">#REF!</definedName>
    <definedName name="Поправочные_коэффициенты_по_письму_Госстроя_от_25.12.90___6___0_1_1">#REF!</definedName>
    <definedName name="Поправочные_коэффициенты_по_письму_Госстроя_от_25.12.90___6___0_1_1_1" localSheetId="10">#REF!</definedName>
    <definedName name="Поправочные_коэффициенты_по_письму_Госстроя_от_25.12.90___6___0_1_1_1" localSheetId="9">#REF!</definedName>
    <definedName name="Поправочные_коэффициенты_по_письму_Госстроя_от_25.12.90___6___0_1_1_1">#REF!</definedName>
    <definedName name="Поправочные_коэффициенты_по_письму_Госстроя_от_25.12.90___6___0_3" localSheetId="10">#REF!</definedName>
    <definedName name="Поправочные_коэффициенты_по_письму_Госстроя_от_25.12.90___6___0_3" localSheetId="9">#REF!</definedName>
    <definedName name="Поправочные_коэффициенты_по_письму_Госстроя_от_25.12.90___6___0_3">#REF!</definedName>
    <definedName name="Поправочные_коэффициенты_по_письму_Госстроя_от_25.12.90___6___0_3_1" localSheetId="10">#REF!</definedName>
    <definedName name="Поправочные_коэффициенты_по_письму_Госстроя_от_25.12.90___6___0_3_1" localSheetId="9">#REF!</definedName>
    <definedName name="Поправочные_коэффициенты_по_письму_Госстроя_от_25.12.90___6___0_3_1">#REF!</definedName>
    <definedName name="Поправочные_коэффициенты_по_письму_Госстроя_от_25.12.90___6___0_5" localSheetId="10">#REF!</definedName>
    <definedName name="Поправочные_коэффициенты_по_письму_Госстроя_от_25.12.90___6___0_5" localSheetId="9">#REF!</definedName>
    <definedName name="Поправочные_коэффициенты_по_письму_Госстроя_от_25.12.90___6___0_5">#REF!</definedName>
    <definedName name="Поправочные_коэффициенты_по_письму_Госстроя_от_25.12.90___6___0_5_1" localSheetId="10">#REF!</definedName>
    <definedName name="Поправочные_коэффициенты_по_письму_Госстроя_от_25.12.90___6___0_5_1" localSheetId="9">#REF!</definedName>
    <definedName name="Поправочные_коэффициенты_по_письму_Госстроя_от_25.12.90___6___0_5_1">#REF!</definedName>
    <definedName name="Поправочные_коэффициенты_по_письму_Госстроя_от_25.12.90___6___1" localSheetId="10">#REF!</definedName>
    <definedName name="Поправочные_коэффициенты_по_письму_Госстроя_от_25.12.90___6___1" localSheetId="12">#REF!</definedName>
    <definedName name="Поправочные_коэффициенты_по_письму_Госстроя_от_25.12.90___6___1" localSheetId="110">#REF!</definedName>
    <definedName name="Поправочные_коэффициенты_по_письму_Госстроя_от_25.12.90___6___1" localSheetId="9">#REF!</definedName>
    <definedName name="Поправочные_коэффициенты_по_письму_Госстроя_от_25.12.90___6___1">#REF!</definedName>
    <definedName name="Поправочные_коэффициенты_по_письму_Госстроя_от_25.12.90___6___10" localSheetId="10">#REF!</definedName>
    <definedName name="Поправочные_коэффициенты_по_письму_Госстроя_от_25.12.90___6___10" localSheetId="12">#REF!</definedName>
    <definedName name="Поправочные_коэффициенты_по_письму_Госстроя_от_25.12.90___6___10" localSheetId="110">#REF!</definedName>
    <definedName name="Поправочные_коэффициенты_по_письму_Госстроя_от_25.12.90___6___10" localSheetId="9">#REF!</definedName>
    <definedName name="Поправочные_коэффициенты_по_письму_Госстроя_от_25.12.90___6___10">#REF!</definedName>
    <definedName name="Поправочные_коэффициенты_по_письму_Госстроя_от_25.12.90___6___10_1" localSheetId="10">#REF!</definedName>
    <definedName name="Поправочные_коэффициенты_по_письму_Госстроя_от_25.12.90___6___10_1" localSheetId="9">#REF!</definedName>
    <definedName name="Поправочные_коэффициенты_по_письму_Госстроя_от_25.12.90___6___10_1">#REF!</definedName>
    <definedName name="Поправочные_коэффициенты_по_письму_Госстроя_от_25.12.90___6___12" localSheetId="10">#REF!</definedName>
    <definedName name="Поправочные_коэффициенты_по_письму_Госстроя_от_25.12.90___6___12" localSheetId="12">#REF!</definedName>
    <definedName name="Поправочные_коэффициенты_по_письму_Госстроя_от_25.12.90___6___12" localSheetId="110">#REF!</definedName>
    <definedName name="Поправочные_коэффициенты_по_письму_Госстроя_от_25.12.90___6___12" localSheetId="9">#REF!</definedName>
    <definedName name="Поправочные_коэффициенты_по_письму_Госстроя_от_25.12.90___6___12">#REF!</definedName>
    <definedName name="Поправочные_коэффициенты_по_письму_Госстроя_от_25.12.90___6___2" localSheetId="10">#REF!</definedName>
    <definedName name="Поправочные_коэффициенты_по_письму_Госстроя_от_25.12.90___6___2" localSheetId="12">#REF!</definedName>
    <definedName name="Поправочные_коэффициенты_по_письму_Госстроя_от_25.12.90___6___2" localSheetId="110">#REF!</definedName>
    <definedName name="Поправочные_коэффициенты_по_письму_Госстроя_от_25.12.90___6___2" localSheetId="9">#REF!</definedName>
    <definedName name="Поправочные_коэффициенты_по_письму_Госстроя_от_25.12.90___6___2">#REF!</definedName>
    <definedName name="Поправочные_коэффициенты_по_письму_Госстроя_от_25.12.90___6___2_1" localSheetId="10">#REF!</definedName>
    <definedName name="Поправочные_коэффициенты_по_письму_Госстроя_от_25.12.90___6___2_1" localSheetId="9">#REF!</definedName>
    <definedName name="Поправочные_коэффициенты_по_письму_Госстроя_от_25.12.90___6___2_1">#REF!</definedName>
    <definedName name="Поправочные_коэффициенты_по_письму_Госстроя_от_25.12.90___6___4" localSheetId="10">#REF!</definedName>
    <definedName name="Поправочные_коэффициенты_по_письму_Госстроя_от_25.12.90___6___4" localSheetId="12">#REF!</definedName>
    <definedName name="Поправочные_коэффициенты_по_письму_Госстроя_от_25.12.90___6___4" localSheetId="110">#REF!</definedName>
    <definedName name="Поправочные_коэффициенты_по_письму_Госстроя_от_25.12.90___6___4" localSheetId="9">#REF!</definedName>
    <definedName name="Поправочные_коэффициенты_по_письму_Госстроя_от_25.12.90___6___4">#REF!</definedName>
    <definedName name="Поправочные_коэффициенты_по_письму_Госстроя_от_25.12.90___6___4_1" localSheetId="10">#REF!</definedName>
    <definedName name="Поправочные_коэффициенты_по_письму_Госстроя_от_25.12.90___6___4_1" localSheetId="9">#REF!</definedName>
    <definedName name="Поправочные_коэффициенты_по_письму_Госстроя_от_25.12.90___6___4_1">#REF!</definedName>
    <definedName name="Поправочные_коэффициенты_по_письму_Госстроя_от_25.12.90___6___5">NA()</definedName>
    <definedName name="Поправочные_коэффициенты_по_письму_Госстроя_от_25.12.90___6___6" localSheetId="10">#REF!</definedName>
    <definedName name="Поправочные_коэффициенты_по_письму_Госстроя_от_25.12.90___6___6" localSheetId="12">#REF!</definedName>
    <definedName name="Поправочные_коэффициенты_по_письму_Госстроя_от_25.12.90___6___6" localSheetId="8">#REF!</definedName>
    <definedName name="Поправочные_коэффициенты_по_письму_Госстроя_от_25.12.90___6___6" localSheetId="11">#REF!</definedName>
    <definedName name="Поправочные_коэффициенты_по_письму_Госстроя_от_25.12.90___6___6" localSheetId="110">#REF!</definedName>
    <definedName name="Поправочные_коэффициенты_по_письму_Госстроя_от_25.12.90___6___6" localSheetId="6">#REF!</definedName>
    <definedName name="Поправочные_коэффициенты_по_письму_Госстроя_от_25.12.90___6___6" localSheetId="9">#REF!</definedName>
    <definedName name="Поправочные_коэффициенты_по_письму_Госстроя_от_25.12.90___6___6" localSheetId="7">#REF!</definedName>
    <definedName name="Поправочные_коэффициенты_по_письму_Госстроя_от_25.12.90___6___6">#REF!</definedName>
    <definedName name="Поправочные_коэффициенты_по_письму_Госстроя_от_25.12.90___6___6_1" localSheetId="10">#REF!</definedName>
    <definedName name="Поправочные_коэффициенты_по_письму_Госстроя_от_25.12.90___6___6_1" localSheetId="9">#REF!</definedName>
    <definedName name="Поправочные_коэффициенты_по_письму_Госстроя_от_25.12.90___6___6_1">#REF!</definedName>
    <definedName name="Поправочные_коэффициенты_по_письму_Госстроя_от_25.12.90___6___8" localSheetId="10">#REF!</definedName>
    <definedName name="Поправочные_коэффициенты_по_письму_Госстроя_от_25.12.90___6___8" localSheetId="12">#REF!</definedName>
    <definedName name="Поправочные_коэффициенты_по_письму_Госстроя_от_25.12.90___6___8" localSheetId="110">#REF!</definedName>
    <definedName name="Поправочные_коэффициенты_по_письму_Госстроя_от_25.12.90___6___8" localSheetId="9">#REF!</definedName>
    <definedName name="Поправочные_коэффициенты_по_письму_Госстроя_от_25.12.90___6___8">#REF!</definedName>
    <definedName name="Поправочные_коэффициенты_по_письму_Госстроя_от_25.12.90___6___8_1" localSheetId="10">#REF!</definedName>
    <definedName name="Поправочные_коэффициенты_по_письму_Госстроя_от_25.12.90___6___8_1" localSheetId="9">#REF!</definedName>
    <definedName name="Поправочные_коэффициенты_по_письму_Госстроя_от_25.12.90___6___8_1">#REF!</definedName>
    <definedName name="Поправочные_коэффициенты_по_письму_Госстроя_от_25.12.90___6_1" localSheetId="10">#REF!</definedName>
    <definedName name="Поправочные_коэффициенты_по_письму_Госстроя_от_25.12.90___6_1" localSheetId="9">#REF!</definedName>
    <definedName name="Поправочные_коэффициенты_по_письму_Госстроя_от_25.12.90___6_1">#REF!</definedName>
    <definedName name="Поправочные_коэффициенты_по_письму_Госстроя_от_25.12.90___6_1_1" localSheetId="10">#REF!</definedName>
    <definedName name="Поправочные_коэффициенты_по_письму_Госстроя_от_25.12.90___6_1_1" localSheetId="9">#REF!</definedName>
    <definedName name="Поправочные_коэффициенты_по_письму_Госстроя_от_25.12.90___6_1_1">#REF!</definedName>
    <definedName name="Поправочные_коэффициенты_по_письму_Госстроя_от_25.12.90___6_1_1_1" localSheetId="10">#REF!</definedName>
    <definedName name="Поправочные_коэффициенты_по_письму_Госстроя_от_25.12.90___6_1_1_1" localSheetId="9">#REF!</definedName>
    <definedName name="Поправочные_коэффициенты_по_письму_Госстроя_от_25.12.90___6_1_1_1">#REF!</definedName>
    <definedName name="Поправочные_коэффициенты_по_письму_Госстроя_от_25.12.90___6_3" localSheetId="10">#REF!</definedName>
    <definedName name="Поправочные_коэффициенты_по_письму_Госстроя_от_25.12.90___6_3" localSheetId="9">#REF!</definedName>
    <definedName name="Поправочные_коэффициенты_по_письму_Госстроя_от_25.12.90___6_3">#REF!</definedName>
    <definedName name="Поправочные_коэффициенты_по_письму_Госстроя_от_25.12.90___6_3_1" localSheetId="10">#REF!</definedName>
    <definedName name="Поправочные_коэффициенты_по_письму_Госстроя_от_25.12.90___6_3_1" localSheetId="9">#REF!</definedName>
    <definedName name="Поправочные_коэффициенты_по_письму_Госстроя_от_25.12.90___6_3_1">#REF!</definedName>
    <definedName name="Поправочные_коэффициенты_по_письму_Госстроя_от_25.12.90___6_5">NA()</definedName>
    <definedName name="Поправочные_коэффициенты_по_письму_Госстроя_от_25.12.90___7" localSheetId="10">#REF!</definedName>
    <definedName name="Поправочные_коэффициенты_по_письму_Госстроя_от_25.12.90___7" localSheetId="12">#REF!</definedName>
    <definedName name="Поправочные_коэффициенты_по_письму_Госстроя_от_25.12.90___7" localSheetId="8">#REF!</definedName>
    <definedName name="Поправочные_коэффициенты_по_письму_Госстроя_от_25.12.90___7" localSheetId="11">#REF!</definedName>
    <definedName name="Поправочные_коэффициенты_по_письму_Госстроя_от_25.12.90___7" localSheetId="110">#REF!</definedName>
    <definedName name="Поправочные_коэффициенты_по_письму_Госстроя_от_25.12.90___7" localSheetId="6">#REF!</definedName>
    <definedName name="Поправочные_коэффициенты_по_письму_Госстроя_от_25.12.90___7" localSheetId="9">#REF!</definedName>
    <definedName name="Поправочные_коэффициенты_по_письму_Госстроя_от_25.12.90___7" localSheetId="7">#REF!</definedName>
    <definedName name="Поправочные_коэффициенты_по_письму_Госстроя_от_25.12.90___7">#REF!</definedName>
    <definedName name="Поправочные_коэффициенты_по_письму_Госстроя_от_25.12.90___7___0" localSheetId="10">#REF!</definedName>
    <definedName name="Поправочные_коэффициенты_по_письму_Госстроя_от_25.12.90___7___0" localSheetId="12">#REF!</definedName>
    <definedName name="Поправочные_коэффициенты_по_письму_Госстроя_от_25.12.90___7___0" localSheetId="8">#REF!</definedName>
    <definedName name="Поправочные_коэффициенты_по_письму_Госстроя_от_25.12.90___7___0" localSheetId="11">#REF!</definedName>
    <definedName name="Поправочные_коэффициенты_по_письму_Госстроя_от_25.12.90___7___0" localSheetId="110">#REF!</definedName>
    <definedName name="Поправочные_коэффициенты_по_письму_Госстроя_от_25.12.90___7___0" localSheetId="6">#REF!</definedName>
    <definedName name="Поправочные_коэффициенты_по_письму_Госстроя_от_25.12.90___7___0" localSheetId="9">#REF!</definedName>
    <definedName name="Поправочные_коэффициенты_по_письму_Госстроя_от_25.12.90___7___0" localSheetId="7">#REF!</definedName>
    <definedName name="Поправочные_коэффициенты_по_письму_Госстроя_от_25.12.90___7___0">#REF!</definedName>
    <definedName name="Поправочные_коэффициенты_по_письму_Госстроя_от_25.12.90___7___0_1" localSheetId="10">#REF!</definedName>
    <definedName name="Поправочные_коэффициенты_по_письму_Госстроя_от_25.12.90___7___0_1" localSheetId="9">#REF!</definedName>
    <definedName name="Поправочные_коэффициенты_по_письму_Госстроя_от_25.12.90___7___0_1">#REF!</definedName>
    <definedName name="Поправочные_коэффициенты_по_письму_Госстроя_от_25.12.90___7___10" localSheetId="10">#REF!</definedName>
    <definedName name="Поправочные_коэффициенты_по_письму_Госстроя_от_25.12.90___7___10" localSheetId="12">#REF!</definedName>
    <definedName name="Поправочные_коэффициенты_по_письму_Госстроя_от_25.12.90___7___10" localSheetId="110">#REF!</definedName>
    <definedName name="Поправочные_коэффициенты_по_письму_Госстроя_от_25.12.90___7___10" localSheetId="9">#REF!</definedName>
    <definedName name="Поправочные_коэффициенты_по_письму_Госстроя_от_25.12.90___7___10">#REF!</definedName>
    <definedName name="Поправочные_коэффициенты_по_письму_Госстроя_от_25.12.90___7___2" localSheetId="10">#REF!</definedName>
    <definedName name="Поправочные_коэффициенты_по_письму_Госстроя_от_25.12.90___7___2" localSheetId="12">#REF!</definedName>
    <definedName name="Поправочные_коэффициенты_по_письму_Госстроя_от_25.12.90___7___2" localSheetId="110">#REF!</definedName>
    <definedName name="Поправочные_коэффициенты_по_письму_Госстроя_от_25.12.90___7___2" localSheetId="9">#REF!</definedName>
    <definedName name="Поправочные_коэффициенты_по_письму_Госстроя_от_25.12.90___7___2">#REF!</definedName>
    <definedName name="Поправочные_коэффициенты_по_письму_Госстроя_от_25.12.90___7___4" localSheetId="10">#REF!</definedName>
    <definedName name="Поправочные_коэффициенты_по_письму_Госстроя_от_25.12.90___7___4" localSheetId="12">#REF!</definedName>
    <definedName name="Поправочные_коэффициенты_по_письму_Госстроя_от_25.12.90___7___4" localSheetId="110">#REF!</definedName>
    <definedName name="Поправочные_коэффициенты_по_письму_Госстроя_от_25.12.90___7___4" localSheetId="9">#REF!</definedName>
    <definedName name="Поправочные_коэффициенты_по_письму_Госстроя_от_25.12.90___7___4">#REF!</definedName>
    <definedName name="Поправочные_коэффициенты_по_письму_Госстроя_от_25.12.90___7___6" localSheetId="10">#REF!</definedName>
    <definedName name="Поправочные_коэффициенты_по_письму_Госстроя_от_25.12.90___7___6" localSheetId="12">#REF!</definedName>
    <definedName name="Поправочные_коэффициенты_по_письму_Госстроя_от_25.12.90___7___6" localSheetId="110">#REF!</definedName>
    <definedName name="Поправочные_коэффициенты_по_письму_Госстроя_от_25.12.90___7___6" localSheetId="9">#REF!</definedName>
    <definedName name="Поправочные_коэффициенты_по_письму_Госстроя_от_25.12.90___7___6">#REF!</definedName>
    <definedName name="Поправочные_коэффициенты_по_письму_Госстроя_от_25.12.90___7___8" localSheetId="10">#REF!</definedName>
    <definedName name="Поправочные_коэффициенты_по_письму_Госстроя_от_25.12.90___7___8" localSheetId="12">#REF!</definedName>
    <definedName name="Поправочные_коэффициенты_по_письму_Госстроя_от_25.12.90___7___8" localSheetId="110">#REF!</definedName>
    <definedName name="Поправочные_коэффициенты_по_письму_Госстроя_от_25.12.90___7___8" localSheetId="9">#REF!</definedName>
    <definedName name="Поправочные_коэффициенты_по_письму_Госстроя_от_25.12.90___7___8">#REF!</definedName>
    <definedName name="Поправочные_коэффициенты_по_письму_Госстроя_от_25.12.90___7_1" localSheetId="10">#REF!</definedName>
    <definedName name="Поправочные_коэффициенты_по_письму_Госстроя_от_25.12.90___7_1" localSheetId="9">#REF!</definedName>
    <definedName name="Поправочные_коэффициенты_по_письму_Госстроя_от_25.12.90___7_1">#REF!</definedName>
    <definedName name="Поправочные_коэффициенты_по_письму_Госстроя_от_25.12.90___8" localSheetId="10">#REF!</definedName>
    <definedName name="Поправочные_коэффициенты_по_письму_Госстроя_от_25.12.90___8" localSheetId="12">#REF!</definedName>
    <definedName name="Поправочные_коэффициенты_по_письму_Госстроя_от_25.12.90___8" localSheetId="110">#REF!</definedName>
    <definedName name="Поправочные_коэффициенты_по_письму_Госстроя_от_25.12.90___8" localSheetId="9">#REF!</definedName>
    <definedName name="Поправочные_коэффициенты_по_письму_Госстроя_от_25.12.90___8">#REF!</definedName>
    <definedName name="Поправочные_коэффициенты_по_письму_Госстроя_от_25.12.90___8___0" localSheetId="10">#REF!</definedName>
    <definedName name="Поправочные_коэффициенты_по_письму_Госстроя_от_25.12.90___8___0" localSheetId="12">#REF!</definedName>
    <definedName name="Поправочные_коэффициенты_по_письму_Госстроя_от_25.12.90___8___0" localSheetId="110">#REF!</definedName>
    <definedName name="Поправочные_коэффициенты_по_письму_Госстроя_от_25.12.90___8___0" localSheetId="9">#REF!</definedName>
    <definedName name="Поправочные_коэффициенты_по_письму_Госстроя_от_25.12.90___8___0">#REF!</definedName>
    <definedName name="Поправочные_коэффициенты_по_письму_Госстроя_от_25.12.90___8___0___0" localSheetId="10">#REF!</definedName>
    <definedName name="Поправочные_коэффициенты_по_письму_Госстроя_от_25.12.90___8___0___0" localSheetId="12">#REF!</definedName>
    <definedName name="Поправочные_коэффициенты_по_письму_Госстроя_от_25.12.90___8___0___0" localSheetId="110">#REF!</definedName>
    <definedName name="Поправочные_коэффициенты_по_письму_Госстроя_от_25.12.90___8___0___0" localSheetId="9">#REF!</definedName>
    <definedName name="Поправочные_коэффициенты_по_письму_Госстроя_от_25.12.90___8___0___0">#REF!</definedName>
    <definedName name="Поправочные_коэффициенты_по_письму_Госстроя_от_25.12.90___8___0___0___0" localSheetId="10">#REF!</definedName>
    <definedName name="Поправочные_коэффициенты_по_письму_Госстроя_от_25.12.90___8___0___0___0" localSheetId="12">#REF!</definedName>
    <definedName name="Поправочные_коэффициенты_по_письму_Госстроя_от_25.12.90___8___0___0___0" localSheetId="110">#REF!</definedName>
    <definedName name="Поправочные_коэффициенты_по_письму_Госстроя_от_25.12.90___8___0___0___0" localSheetId="9">#REF!</definedName>
    <definedName name="Поправочные_коэффициенты_по_письму_Госстроя_от_25.12.90___8___0___0___0">#REF!</definedName>
    <definedName name="Поправочные_коэффициенты_по_письму_Госстроя_от_25.12.90___8___0___0___0___0" localSheetId="10">#REF!</definedName>
    <definedName name="Поправочные_коэффициенты_по_письму_Госстроя_от_25.12.90___8___0___0___0___0" localSheetId="9">#REF!</definedName>
    <definedName name="Поправочные_коэффициенты_по_письму_Госстроя_от_25.12.90___8___0___0___0___0">#REF!</definedName>
    <definedName name="Поправочные_коэффициенты_по_письму_Госстроя_от_25.12.90___8___0___0___0___0_1" localSheetId="10">#REF!</definedName>
    <definedName name="Поправочные_коэффициенты_по_письму_Госстроя_от_25.12.90___8___0___0___0___0_1" localSheetId="9">#REF!</definedName>
    <definedName name="Поправочные_коэффициенты_по_письму_Госстроя_от_25.12.90___8___0___0___0___0_1">#REF!</definedName>
    <definedName name="Поправочные_коэффициенты_по_письму_Госстроя_от_25.12.90___8___0___0___0_1" localSheetId="10">#REF!</definedName>
    <definedName name="Поправочные_коэффициенты_по_письму_Госстроя_от_25.12.90___8___0___0___0_1" localSheetId="9">#REF!</definedName>
    <definedName name="Поправочные_коэффициенты_по_письму_Госстроя_от_25.12.90___8___0___0___0_1">#REF!</definedName>
    <definedName name="Поправочные_коэффициенты_по_письму_Госстроя_от_25.12.90___8___0___0_1" localSheetId="10">#REF!</definedName>
    <definedName name="Поправочные_коэффициенты_по_письму_Госстроя_от_25.12.90___8___0___0_1" localSheetId="9">#REF!</definedName>
    <definedName name="Поправочные_коэффициенты_по_письму_Госстроя_от_25.12.90___8___0___0_1">#REF!</definedName>
    <definedName name="Поправочные_коэффициенты_по_письму_Госстроя_от_25.12.90___8___0___1" localSheetId="10">#REF!</definedName>
    <definedName name="Поправочные_коэффициенты_по_письму_Госстроя_от_25.12.90___8___0___1" localSheetId="9">#REF!</definedName>
    <definedName name="Поправочные_коэффициенты_по_письму_Госстроя_от_25.12.90___8___0___1">#REF!</definedName>
    <definedName name="Поправочные_коэффициенты_по_письму_Госстроя_от_25.12.90___8___0___1_1" localSheetId="10">#REF!</definedName>
    <definedName name="Поправочные_коэффициенты_по_письму_Госстроя_от_25.12.90___8___0___1_1" localSheetId="9">#REF!</definedName>
    <definedName name="Поправочные_коэффициенты_по_письму_Госстроя_от_25.12.90___8___0___1_1">#REF!</definedName>
    <definedName name="Поправочные_коэффициенты_по_письму_Госстроя_от_25.12.90___8___0___5" localSheetId="10">#REF!</definedName>
    <definedName name="Поправочные_коэффициенты_по_письму_Госстроя_от_25.12.90___8___0___5" localSheetId="9">#REF!</definedName>
    <definedName name="Поправочные_коэффициенты_по_письму_Госстроя_от_25.12.90___8___0___5">#REF!</definedName>
    <definedName name="Поправочные_коэффициенты_по_письму_Госстроя_от_25.12.90___8___0___5_1" localSheetId="10">#REF!</definedName>
    <definedName name="Поправочные_коэффициенты_по_письму_Госстроя_от_25.12.90___8___0___5_1" localSheetId="9">#REF!</definedName>
    <definedName name="Поправочные_коэффициенты_по_письму_Госстроя_от_25.12.90___8___0___5_1">#REF!</definedName>
    <definedName name="Поправочные_коэффициенты_по_письму_Госстроя_от_25.12.90___8___0_1" localSheetId="10">#REF!</definedName>
    <definedName name="Поправочные_коэффициенты_по_письму_Госстроя_от_25.12.90___8___0_1" localSheetId="9">#REF!</definedName>
    <definedName name="Поправочные_коэффициенты_по_письму_Госстроя_от_25.12.90___8___0_1">#REF!</definedName>
    <definedName name="Поправочные_коэффициенты_по_письму_Госстроя_от_25.12.90___8___0_1_1" localSheetId="10">#REF!</definedName>
    <definedName name="Поправочные_коэффициенты_по_письму_Госстроя_от_25.12.90___8___0_1_1" localSheetId="9">#REF!</definedName>
    <definedName name="Поправочные_коэффициенты_по_письму_Госстроя_от_25.12.90___8___0_1_1">#REF!</definedName>
    <definedName name="Поправочные_коэффициенты_по_письму_Госстроя_от_25.12.90___8___0_1_1_1" localSheetId="10">#REF!</definedName>
    <definedName name="Поправочные_коэффициенты_по_письму_Госстроя_от_25.12.90___8___0_1_1_1" localSheetId="9">#REF!</definedName>
    <definedName name="Поправочные_коэффициенты_по_письму_Госстроя_от_25.12.90___8___0_1_1_1">#REF!</definedName>
    <definedName name="Поправочные_коэффициенты_по_письму_Госстроя_от_25.12.90___8___0_3" localSheetId="10">#REF!</definedName>
    <definedName name="Поправочные_коэффициенты_по_письму_Госстроя_от_25.12.90___8___0_3" localSheetId="9">#REF!</definedName>
    <definedName name="Поправочные_коэффициенты_по_письму_Госстроя_от_25.12.90___8___0_3">#REF!</definedName>
    <definedName name="Поправочные_коэффициенты_по_письму_Госстроя_от_25.12.90___8___0_3_1" localSheetId="10">#REF!</definedName>
    <definedName name="Поправочные_коэффициенты_по_письму_Госстроя_от_25.12.90___8___0_3_1" localSheetId="9">#REF!</definedName>
    <definedName name="Поправочные_коэффициенты_по_письму_Госстроя_от_25.12.90___8___0_3_1">#REF!</definedName>
    <definedName name="Поправочные_коэффициенты_по_письму_Госстроя_от_25.12.90___8___0_5" localSheetId="10">#REF!</definedName>
    <definedName name="Поправочные_коэффициенты_по_письму_Госстроя_от_25.12.90___8___0_5" localSheetId="9">#REF!</definedName>
    <definedName name="Поправочные_коэффициенты_по_письму_Госстроя_от_25.12.90___8___0_5">#REF!</definedName>
    <definedName name="Поправочные_коэффициенты_по_письму_Госстроя_от_25.12.90___8___0_5_1" localSheetId="10">#REF!</definedName>
    <definedName name="Поправочные_коэффициенты_по_письму_Госстроя_от_25.12.90___8___0_5_1" localSheetId="9">#REF!</definedName>
    <definedName name="Поправочные_коэффициенты_по_письму_Госстроя_от_25.12.90___8___0_5_1">#REF!</definedName>
    <definedName name="Поправочные_коэффициенты_по_письму_Госстроя_от_25.12.90___8___1" localSheetId="10">#REF!</definedName>
    <definedName name="Поправочные_коэффициенты_по_письму_Госстроя_от_25.12.90___8___1" localSheetId="12">#REF!</definedName>
    <definedName name="Поправочные_коэффициенты_по_письму_Госстроя_от_25.12.90___8___1" localSheetId="110">#REF!</definedName>
    <definedName name="Поправочные_коэффициенты_по_письму_Госстроя_от_25.12.90___8___1" localSheetId="9">#REF!</definedName>
    <definedName name="Поправочные_коэффициенты_по_письму_Госстроя_от_25.12.90___8___1">#REF!</definedName>
    <definedName name="Поправочные_коэффициенты_по_письму_Госстроя_от_25.12.90___8___10" localSheetId="10">#REF!</definedName>
    <definedName name="Поправочные_коэффициенты_по_письму_Госстроя_от_25.12.90___8___10" localSheetId="12">#REF!</definedName>
    <definedName name="Поправочные_коэффициенты_по_письму_Госстроя_от_25.12.90___8___10" localSheetId="110">#REF!</definedName>
    <definedName name="Поправочные_коэффициенты_по_письму_Госстроя_от_25.12.90___8___10" localSheetId="9">#REF!</definedName>
    <definedName name="Поправочные_коэффициенты_по_письму_Госстроя_от_25.12.90___8___10">#REF!</definedName>
    <definedName name="Поправочные_коэффициенты_по_письму_Госстроя_от_25.12.90___8___10_1" localSheetId="10">#REF!</definedName>
    <definedName name="Поправочные_коэффициенты_по_письму_Госстроя_от_25.12.90___8___10_1" localSheetId="9">#REF!</definedName>
    <definedName name="Поправочные_коэффициенты_по_письму_Госстроя_от_25.12.90___8___10_1">#REF!</definedName>
    <definedName name="Поправочные_коэффициенты_по_письму_Госстроя_от_25.12.90___8___12" localSheetId="10">#REF!</definedName>
    <definedName name="Поправочные_коэффициенты_по_письму_Госстроя_от_25.12.90___8___12" localSheetId="12">#REF!</definedName>
    <definedName name="Поправочные_коэффициенты_по_письму_Госстроя_от_25.12.90___8___12" localSheetId="110">#REF!</definedName>
    <definedName name="Поправочные_коэффициенты_по_письму_Госстроя_от_25.12.90___8___12" localSheetId="9">#REF!</definedName>
    <definedName name="Поправочные_коэффициенты_по_письму_Госстроя_от_25.12.90___8___12">#REF!</definedName>
    <definedName name="Поправочные_коэффициенты_по_письму_Госстроя_от_25.12.90___8___2" localSheetId="10">#REF!</definedName>
    <definedName name="Поправочные_коэффициенты_по_письму_Госстроя_от_25.12.90___8___2" localSheetId="12">#REF!</definedName>
    <definedName name="Поправочные_коэффициенты_по_письму_Госстроя_от_25.12.90___8___2" localSheetId="110">#REF!</definedName>
    <definedName name="Поправочные_коэффициенты_по_письму_Госстроя_от_25.12.90___8___2" localSheetId="9">#REF!</definedName>
    <definedName name="Поправочные_коэффициенты_по_письму_Госстроя_от_25.12.90___8___2">#REF!</definedName>
    <definedName name="Поправочные_коэффициенты_по_письму_Госстроя_от_25.12.90___8___2_1" localSheetId="10">#REF!</definedName>
    <definedName name="Поправочные_коэффициенты_по_письму_Госстроя_от_25.12.90___8___2_1" localSheetId="9">#REF!</definedName>
    <definedName name="Поправочные_коэффициенты_по_письму_Госстроя_от_25.12.90___8___2_1">#REF!</definedName>
    <definedName name="Поправочные_коэффициенты_по_письму_Госстроя_от_25.12.90___8___4" localSheetId="10">#REF!</definedName>
    <definedName name="Поправочные_коэффициенты_по_письму_Госстроя_от_25.12.90___8___4" localSheetId="12">#REF!</definedName>
    <definedName name="Поправочные_коэффициенты_по_письму_Госстроя_от_25.12.90___8___4" localSheetId="110">#REF!</definedName>
    <definedName name="Поправочные_коэффициенты_по_письму_Госстроя_от_25.12.90___8___4" localSheetId="9">#REF!</definedName>
    <definedName name="Поправочные_коэффициенты_по_письму_Госстроя_от_25.12.90___8___4">#REF!</definedName>
    <definedName name="Поправочные_коэффициенты_по_письму_Госстроя_от_25.12.90___8___4_1" localSheetId="10">#REF!</definedName>
    <definedName name="Поправочные_коэффициенты_по_письму_Госстроя_от_25.12.90___8___4_1" localSheetId="9">#REF!</definedName>
    <definedName name="Поправочные_коэффициенты_по_письму_Госстроя_от_25.12.90___8___4_1">#REF!</definedName>
    <definedName name="Поправочные_коэффициенты_по_письму_Госстроя_от_25.12.90___8___5" localSheetId="10">#REF!</definedName>
    <definedName name="Поправочные_коэффициенты_по_письму_Госстроя_от_25.12.90___8___5" localSheetId="9">#REF!</definedName>
    <definedName name="Поправочные_коэффициенты_по_письму_Госстроя_от_25.12.90___8___5">#REF!</definedName>
    <definedName name="Поправочные_коэффициенты_по_письму_Госстроя_от_25.12.90___8___5_1" localSheetId="10">#REF!</definedName>
    <definedName name="Поправочные_коэффициенты_по_письму_Госстроя_от_25.12.90___8___5_1" localSheetId="9">#REF!</definedName>
    <definedName name="Поправочные_коэффициенты_по_письму_Госстроя_от_25.12.90___8___5_1">#REF!</definedName>
    <definedName name="Поправочные_коэффициенты_по_письму_Госстроя_от_25.12.90___8___6" localSheetId="10">#REF!</definedName>
    <definedName name="Поправочные_коэффициенты_по_письму_Госстроя_от_25.12.90___8___6" localSheetId="12">#REF!</definedName>
    <definedName name="Поправочные_коэффициенты_по_письму_Госстроя_от_25.12.90___8___6" localSheetId="110">#REF!</definedName>
    <definedName name="Поправочные_коэффициенты_по_письму_Госстроя_от_25.12.90___8___6" localSheetId="9">#REF!</definedName>
    <definedName name="Поправочные_коэффициенты_по_письму_Госстроя_от_25.12.90___8___6">#REF!</definedName>
    <definedName name="Поправочные_коэффициенты_по_письму_Госстроя_от_25.12.90___8___6_1" localSheetId="10">#REF!</definedName>
    <definedName name="Поправочные_коэффициенты_по_письму_Госстроя_от_25.12.90___8___6_1" localSheetId="9">#REF!</definedName>
    <definedName name="Поправочные_коэффициенты_по_письму_Госстроя_от_25.12.90___8___6_1">#REF!</definedName>
    <definedName name="Поправочные_коэффициенты_по_письму_Госстроя_от_25.12.90___8___8" localSheetId="10">#REF!</definedName>
    <definedName name="Поправочные_коэффициенты_по_письму_Госстроя_от_25.12.90___8___8" localSheetId="12">#REF!</definedName>
    <definedName name="Поправочные_коэффициенты_по_письму_Госстроя_от_25.12.90___8___8" localSheetId="110">#REF!</definedName>
    <definedName name="Поправочные_коэффициенты_по_письму_Госстроя_от_25.12.90___8___8" localSheetId="9">#REF!</definedName>
    <definedName name="Поправочные_коэффициенты_по_письму_Госстроя_от_25.12.90___8___8">#REF!</definedName>
    <definedName name="Поправочные_коэффициенты_по_письму_Госстроя_от_25.12.90___8___8_1" localSheetId="10">#REF!</definedName>
    <definedName name="Поправочные_коэффициенты_по_письму_Госстроя_от_25.12.90___8___8_1" localSheetId="9">#REF!</definedName>
    <definedName name="Поправочные_коэффициенты_по_письму_Госстроя_от_25.12.90___8___8_1">#REF!</definedName>
    <definedName name="Поправочные_коэффициенты_по_письму_Госстроя_от_25.12.90___8_1" localSheetId="10">#REF!</definedName>
    <definedName name="Поправочные_коэффициенты_по_письму_Госстроя_от_25.12.90___8_1" localSheetId="9">#REF!</definedName>
    <definedName name="Поправочные_коэффициенты_по_письму_Госстроя_от_25.12.90___8_1">#REF!</definedName>
    <definedName name="Поправочные_коэффициенты_по_письму_Госстроя_от_25.12.90___8_1_1" localSheetId="10">#REF!</definedName>
    <definedName name="Поправочные_коэффициенты_по_письму_Госстроя_от_25.12.90___8_1_1" localSheetId="9">#REF!</definedName>
    <definedName name="Поправочные_коэффициенты_по_письму_Госстроя_от_25.12.90___8_1_1">#REF!</definedName>
    <definedName name="Поправочные_коэффициенты_по_письму_Госстроя_от_25.12.90___8_1_1_1" localSheetId="10">#REF!</definedName>
    <definedName name="Поправочные_коэффициенты_по_письму_Госстроя_от_25.12.90___8_1_1_1" localSheetId="9">#REF!</definedName>
    <definedName name="Поправочные_коэффициенты_по_письму_Госстроя_от_25.12.90___8_1_1_1">#REF!</definedName>
    <definedName name="Поправочные_коэффициенты_по_письму_Госстроя_от_25.12.90___8_3" localSheetId="10">#REF!</definedName>
    <definedName name="Поправочные_коэффициенты_по_письму_Госстроя_от_25.12.90___8_3" localSheetId="9">#REF!</definedName>
    <definedName name="Поправочные_коэффициенты_по_письму_Госстроя_от_25.12.90___8_3">#REF!</definedName>
    <definedName name="Поправочные_коэффициенты_по_письму_Госстроя_от_25.12.90___8_3_1" localSheetId="10">#REF!</definedName>
    <definedName name="Поправочные_коэффициенты_по_письму_Госстроя_от_25.12.90___8_3_1" localSheetId="9">#REF!</definedName>
    <definedName name="Поправочные_коэффициенты_по_письму_Госстроя_от_25.12.90___8_3_1">#REF!</definedName>
    <definedName name="Поправочные_коэффициенты_по_письму_Госстроя_от_25.12.90___8_5" localSheetId="10">#REF!</definedName>
    <definedName name="Поправочные_коэффициенты_по_письму_Госстроя_от_25.12.90___8_5" localSheetId="9">#REF!</definedName>
    <definedName name="Поправочные_коэффициенты_по_письму_Госстроя_от_25.12.90___8_5">#REF!</definedName>
    <definedName name="Поправочные_коэффициенты_по_письму_Госстроя_от_25.12.90___8_5_1" localSheetId="10">#REF!</definedName>
    <definedName name="Поправочные_коэффициенты_по_письму_Госстроя_от_25.12.90___8_5_1" localSheetId="9">#REF!</definedName>
    <definedName name="Поправочные_коэффициенты_по_письму_Госстроя_от_25.12.90___8_5_1">#REF!</definedName>
    <definedName name="Поправочные_коэффициенты_по_письму_Госстроя_от_25.12.90___9" localSheetId="10">#REF!</definedName>
    <definedName name="Поправочные_коэффициенты_по_письму_Госстроя_от_25.12.90___9" localSheetId="12">#REF!</definedName>
    <definedName name="Поправочные_коэффициенты_по_письму_Госстроя_от_25.12.90___9" localSheetId="110">#REF!</definedName>
    <definedName name="Поправочные_коэффициенты_по_письму_Госстроя_от_25.12.90___9" localSheetId="9">#REF!</definedName>
    <definedName name="Поправочные_коэффициенты_по_письму_Госстроя_от_25.12.90___9">#REF!</definedName>
    <definedName name="Поправочные_коэффициенты_по_письму_Госстроя_от_25.12.90___9___0" localSheetId="10">#REF!</definedName>
    <definedName name="Поправочные_коэффициенты_по_письму_Госстроя_от_25.12.90___9___0" localSheetId="12">#REF!</definedName>
    <definedName name="Поправочные_коэффициенты_по_письму_Госстроя_от_25.12.90___9___0" localSheetId="110">#REF!</definedName>
    <definedName name="Поправочные_коэффициенты_по_письму_Госстроя_от_25.12.90___9___0" localSheetId="9">#REF!</definedName>
    <definedName name="Поправочные_коэффициенты_по_письму_Госстроя_от_25.12.90___9___0">#REF!</definedName>
    <definedName name="Поправочные_коэффициенты_по_письму_Госстроя_от_25.12.90___9___0___0" localSheetId="10">#REF!</definedName>
    <definedName name="Поправочные_коэффициенты_по_письму_Госстроя_от_25.12.90___9___0___0" localSheetId="12">#REF!</definedName>
    <definedName name="Поправочные_коэффициенты_по_письму_Госстроя_от_25.12.90___9___0___0" localSheetId="110">#REF!</definedName>
    <definedName name="Поправочные_коэффициенты_по_письму_Госстроя_от_25.12.90___9___0___0" localSheetId="9">#REF!</definedName>
    <definedName name="Поправочные_коэффициенты_по_письму_Госстроя_от_25.12.90___9___0___0">#REF!</definedName>
    <definedName name="Поправочные_коэффициенты_по_письму_Госстроя_от_25.12.90___9___0___0___0" localSheetId="10">#REF!</definedName>
    <definedName name="Поправочные_коэффициенты_по_письму_Госстроя_от_25.12.90___9___0___0___0" localSheetId="12">#REF!</definedName>
    <definedName name="Поправочные_коэффициенты_по_письму_Госстроя_от_25.12.90___9___0___0___0" localSheetId="110">#REF!</definedName>
    <definedName name="Поправочные_коэффициенты_по_письму_Госстроя_от_25.12.90___9___0___0___0" localSheetId="9">#REF!</definedName>
    <definedName name="Поправочные_коэффициенты_по_письму_Госстроя_от_25.12.90___9___0___0___0">#REF!</definedName>
    <definedName name="Поправочные_коэффициенты_по_письму_Госстроя_от_25.12.90___9___0___0___0___0" localSheetId="10">#REF!</definedName>
    <definedName name="Поправочные_коэффициенты_по_письму_Госстроя_от_25.12.90___9___0___0___0___0" localSheetId="9">#REF!</definedName>
    <definedName name="Поправочные_коэффициенты_по_письму_Госстроя_от_25.12.90___9___0___0___0___0">#REF!</definedName>
    <definedName name="Поправочные_коэффициенты_по_письму_Госстроя_от_25.12.90___9___0___0___0___0_1" localSheetId="10">#REF!</definedName>
    <definedName name="Поправочные_коэффициенты_по_письму_Госстроя_от_25.12.90___9___0___0___0___0_1" localSheetId="9">#REF!</definedName>
    <definedName name="Поправочные_коэффициенты_по_письму_Госстроя_от_25.12.90___9___0___0___0___0_1">#REF!</definedName>
    <definedName name="Поправочные_коэффициенты_по_письму_Госстроя_от_25.12.90___9___0___0___0_1" localSheetId="10">#REF!</definedName>
    <definedName name="Поправочные_коэффициенты_по_письму_Госстроя_от_25.12.90___9___0___0___0_1" localSheetId="9">#REF!</definedName>
    <definedName name="Поправочные_коэффициенты_по_письму_Госстроя_от_25.12.90___9___0___0___0_1">#REF!</definedName>
    <definedName name="Поправочные_коэффициенты_по_письму_Госстроя_от_25.12.90___9___0___0_1" localSheetId="10">#REF!</definedName>
    <definedName name="Поправочные_коэффициенты_по_письму_Госстроя_от_25.12.90___9___0___0_1" localSheetId="9">#REF!</definedName>
    <definedName name="Поправочные_коэффициенты_по_письму_Госстроя_от_25.12.90___9___0___0_1">#REF!</definedName>
    <definedName name="Поправочные_коэффициенты_по_письму_Госстроя_от_25.12.90___9___0___5" localSheetId="10">#REF!</definedName>
    <definedName name="Поправочные_коэффициенты_по_письму_Госстроя_от_25.12.90___9___0___5" localSheetId="9">#REF!</definedName>
    <definedName name="Поправочные_коэффициенты_по_письму_Госстроя_от_25.12.90___9___0___5">#REF!</definedName>
    <definedName name="Поправочные_коэффициенты_по_письму_Госстроя_от_25.12.90___9___0___5_1" localSheetId="10">#REF!</definedName>
    <definedName name="Поправочные_коэффициенты_по_письму_Госстроя_от_25.12.90___9___0___5_1" localSheetId="9">#REF!</definedName>
    <definedName name="Поправочные_коэффициенты_по_письму_Госстроя_от_25.12.90___9___0___5_1">#REF!</definedName>
    <definedName name="Поправочные_коэффициенты_по_письму_Госстроя_от_25.12.90___9___0_1" localSheetId="10">#REF!</definedName>
    <definedName name="Поправочные_коэффициенты_по_письму_Госстроя_от_25.12.90___9___0_1" localSheetId="9">#REF!</definedName>
    <definedName name="Поправочные_коэффициенты_по_письму_Госстроя_от_25.12.90___9___0_1">#REF!</definedName>
    <definedName name="Поправочные_коэффициенты_по_письму_Госстроя_от_25.12.90___9___0_5" localSheetId="10">#REF!</definedName>
    <definedName name="Поправочные_коэффициенты_по_письму_Госстроя_от_25.12.90___9___0_5" localSheetId="9">#REF!</definedName>
    <definedName name="Поправочные_коэффициенты_по_письму_Госстроя_от_25.12.90___9___0_5">#REF!</definedName>
    <definedName name="Поправочные_коэффициенты_по_письму_Госстроя_от_25.12.90___9___0_5_1" localSheetId="10">#REF!</definedName>
    <definedName name="Поправочные_коэффициенты_по_письму_Госстроя_от_25.12.90___9___0_5_1" localSheetId="9">#REF!</definedName>
    <definedName name="Поправочные_коэффициенты_по_письму_Госстроя_от_25.12.90___9___0_5_1">#REF!</definedName>
    <definedName name="Поправочные_коэффициенты_по_письму_Госстроя_от_25.12.90___9___10" localSheetId="10">#REF!</definedName>
    <definedName name="Поправочные_коэффициенты_по_письму_Госстроя_от_25.12.90___9___10" localSheetId="12">#REF!</definedName>
    <definedName name="Поправочные_коэффициенты_по_письму_Госстроя_от_25.12.90___9___10" localSheetId="110">#REF!</definedName>
    <definedName name="Поправочные_коэффициенты_по_письму_Госстроя_от_25.12.90___9___10" localSheetId="9">#REF!</definedName>
    <definedName name="Поправочные_коэффициенты_по_письму_Госстроя_от_25.12.90___9___10">#REF!</definedName>
    <definedName name="Поправочные_коэффициенты_по_письму_Госстроя_от_25.12.90___9___2" localSheetId="10">#REF!</definedName>
    <definedName name="Поправочные_коэффициенты_по_письму_Госстроя_от_25.12.90___9___2" localSheetId="12">#REF!</definedName>
    <definedName name="Поправочные_коэффициенты_по_письму_Госстроя_от_25.12.90___9___2" localSheetId="110">#REF!</definedName>
    <definedName name="Поправочные_коэффициенты_по_письму_Госстроя_от_25.12.90___9___2" localSheetId="9">#REF!</definedName>
    <definedName name="Поправочные_коэффициенты_по_письму_Госстроя_от_25.12.90___9___2">#REF!</definedName>
    <definedName name="Поправочные_коэффициенты_по_письму_Госстроя_от_25.12.90___9___4" localSheetId="10">#REF!</definedName>
    <definedName name="Поправочные_коэффициенты_по_письму_Госстроя_от_25.12.90___9___4" localSheetId="12">#REF!</definedName>
    <definedName name="Поправочные_коэффициенты_по_письму_Госстроя_от_25.12.90___9___4" localSheetId="110">#REF!</definedName>
    <definedName name="Поправочные_коэффициенты_по_письму_Госстроя_от_25.12.90___9___4" localSheetId="9">#REF!</definedName>
    <definedName name="Поправочные_коэффициенты_по_письму_Госстроя_от_25.12.90___9___4">#REF!</definedName>
    <definedName name="Поправочные_коэффициенты_по_письму_Госстроя_от_25.12.90___9___5" localSheetId="10">#REF!</definedName>
    <definedName name="Поправочные_коэффициенты_по_письму_Госстроя_от_25.12.90___9___5" localSheetId="9">#REF!</definedName>
    <definedName name="Поправочные_коэффициенты_по_письму_Госстроя_от_25.12.90___9___5">#REF!</definedName>
    <definedName name="Поправочные_коэффициенты_по_письму_Госстроя_от_25.12.90___9___5_1" localSheetId="10">#REF!</definedName>
    <definedName name="Поправочные_коэффициенты_по_письму_Госстроя_от_25.12.90___9___5_1" localSheetId="9">#REF!</definedName>
    <definedName name="Поправочные_коэффициенты_по_письму_Госстроя_от_25.12.90___9___5_1">#REF!</definedName>
    <definedName name="Поправочные_коэффициенты_по_письму_Госстроя_от_25.12.90___9___6" localSheetId="10">#REF!</definedName>
    <definedName name="Поправочные_коэффициенты_по_письму_Госстроя_от_25.12.90___9___6" localSheetId="12">#REF!</definedName>
    <definedName name="Поправочные_коэффициенты_по_письму_Госстроя_от_25.12.90___9___6" localSheetId="110">#REF!</definedName>
    <definedName name="Поправочные_коэффициенты_по_письму_Госстроя_от_25.12.90___9___6" localSheetId="9">#REF!</definedName>
    <definedName name="Поправочные_коэффициенты_по_письму_Госстроя_от_25.12.90___9___6">#REF!</definedName>
    <definedName name="Поправочные_коэффициенты_по_письму_Госстроя_от_25.12.90___9___8" localSheetId="10">#REF!</definedName>
    <definedName name="Поправочные_коэффициенты_по_письму_Госстроя_от_25.12.90___9___8" localSheetId="12">#REF!</definedName>
    <definedName name="Поправочные_коэффициенты_по_письму_Госстроя_от_25.12.90___9___8" localSheetId="110">#REF!</definedName>
    <definedName name="Поправочные_коэффициенты_по_письму_Госстроя_от_25.12.90___9___8" localSheetId="9">#REF!</definedName>
    <definedName name="Поправочные_коэффициенты_по_письму_Госстроя_от_25.12.90___9___8">#REF!</definedName>
    <definedName name="Поправочные_коэффициенты_по_письму_Госстроя_от_25.12.90___9_1" localSheetId="10">#REF!</definedName>
    <definedName name="Поправочные_коэффициенты_по_письму_Госстроя_от_25.12.90___9_1" localSheetId="9">#REF!</definedName>
    <definedName name="Поправочные_коэффициенты_по_письму_Госстроя_от_25.12.90___9_1">#REF!</definedName>
    <definedName name="Поправочные_коэффициенты_по_письму_Госстроя_от_25.12.90___9_1_1" localSheetId="10">#REF!</definedName>
    <definedName name="Поправочные_коэффициенты_по_письму_Госстроя_от_25.12.90___9_1_1" localSheetId="9">#REF!</definedName>
    <definedName name="Поправочные_коэффициенты_по_письму_Госстроя_от_25.12.90___9_1_1">#REF!</definedName>
    <definedName name="Поправочные_коэффициенты_по_письму_Госстроя_от_25.12.90___9_1_1_1" localSheetId="10">#REF!</definedName>
    <definedName name="Поправочные_коэффициенты_по_письму_Госстроя_от_25.12.90___9_1_1_1" localSheetId="9">#REF!</definedName>
    <definedName name="Поправочные_коэффициенты_по_письму_Госстроя_от_25.12.90___9_1_1_1">#REF!</definedName>
    <definedName name="Поправочные_коэффициенты_по_письму_Госстроя_от_25.12.90___9_3" localSheetId="10">#REF!</definedName>
    <definedName name="Поправочные_коэффициенты_по_письму_Госстроя_от_25.12.90___9_3" localSheetId="9">#REF!</definedName>
    <definedName name="Поправочные_коэффициенты_по_письму_Госстроя_от_25.12.90___9_3">#REF!</definedName>
    <definedName name="Поправочные_коэффициенты_по_письму_Госстроя_от_25.12.90___9_3_1" localSheetId="10">#REF!</definedName>
    <definedName name="Поправочные_коэффициенты_по_письму_Госстроя_от_25.12.90___9_3_1" localSheetId="9">#REF!</definedName>
    <definedName name="Поправочные_коэффициенты_по_письму_Госстроя_от_25.12.90___9_3_1">#REF!</definedName>
    <definedName name="Поправочные_коэффициенты_по_письму_Госстроя_от_25.12.90___9_5" localSheetId="10">#REF!</definedName>
    <definedName name="Поправочные_коэффициенты_по_письму_Госстроя_от_25.12.90___9_5" localSheetId="9">#REF!</definedName>
    <definedName name="Поправочные_коэффициенты_по_письму_Госстроя_от_25.12.90___9_5">#REF!</definedName>
    <definedName name="Поправочные_коэффициенты_по_письму_Госстроя_от_25.12.90___9_5_1" localSheetId="10">#REF!</definedName>
    <definedName name="Поправочные_коэффициенты_по_письму_Госстроя_от_25.12.90___9_5_1" localSheetId="9">#REF!</definedName>
    <definedName name="Поправочные_коэффициенты_по_письму_Госстроя_от_25.12.90___9_5_1">#REF!</definedName>
    <definedName name="Поправочные_коэффициенты_по_письму_Госстроя_от_25.12.90_1">NA()</definedName>
    <definedName name="Поправочные_коэффициенты_по_письму_Госстроя_от_25.12.90_1_1" localSheetId="10">#REF!</definedName>
    <definedName name="Поправочные_коэффициенты_по_письму_Госстроя_от_25.12.90_1_1" localSheetId="9">#REF!</definedName>
    <definedName name="Поправочные_коэффициенты_по_письму_Госстроя_от_25.12.90_1_1">#REF!</definedName>
    <definedName name="Поправочные_коэффициенты_по_письму_Госстроя_от_25.12.90_1_1_1" localSheetId="10">#REF!</definedName>
    <definedName name="Поправочные_коэффициенты_по_письму_Госстроя_от_25.12.90_1_1_1" localSheetId="9">#REF!</definedName>
    <definedName name="Поправочные_коэффициенты_по_письму_Госстроя_от_25.12.90_1_1_1">#REF!</definedName>
    <definedName name="Поправочные_коэффициенты_по_письму_Госстроя_от_25.12.90_3">NA()</definedName>
    <definedName name="Поправочные_коэффициенты_по_письму_Госстроя_от_25.12.90_4">NA()</definedName>
    <definedName name="Поправочные_коэффициенты_по_письму_Госстроя_от_25.12.90_5">NA()</definedName>
    <definedName name="пор" localSheetId="10" hidden="1">{#N/A,#N/A,TRUE,"Смета на пасс. обор. №1"}</definedName>
    <definedName name="пор" localSheetId="12" hidden="1">{#N/A,#N/A,TRUE,"Смета на пасс. обор. №1"}</definedName>
    <definedName name="пор" localSheetId="111" hidden="1">{#N/A,#N/A,TRUE,"Смета на пасс. обор. №1"}</definedName>
    <definedName name="пор" localSheetId="112" hidden="1">{#N/A,#N/A,TRUE,"Смета на пасс. обор. №1"}</definedName>
    <definedName name="пор" localSheetId="113" hidden="1">{#N/A,#N/A,TRUE,"Смета на пасс. обор. №1"}</definedName>
    <definedName name="пор" localSheetId="114" hidden="1">{#N/A,#N/A,TRUE,"Смета на пасс. обор. №1"}</definedName>
    <definedName name="пор" localSheetId="115" hidden="1">{#N/A,#N/A,TRUE,"Смета на пасс. обор. №1"}</definedName>
    <definedName name="пор" localSheetId="116" hidden="1">{#N/A,#N/A,TRUE,"Смета на пасс. обор. №1"}</definedName>
    <definedName name="пор" localSheetId="117" hidden="1">{#N/A,#N/A,TRUE,"Смета на пасс. обор. №1"}</definedName>
    <definedName name="пор" localSheetId="118" hidden="1">{#N/A,#N/A,TRUE,"Смета на пасс. обор. №1"}</definedName>
    <definedName name="пор" localSheetId="121" hidden="1">{#N/A,#N/A,TRUE,"Смета на пасс. обор. №1"}</definedName>
    <definedName name="пор" localSheetId="122" hidden="1">{#N/A,#N/A,TRUE,"Смета на пасс. обор. №1"}</definedName>
    <definedName name="пор" localSheetId="8" hidden="1">{#N/A,#N/A,TRUE,"Смета на пасс. обор. №1"}</definedName>
    <definedName name="пор" localSheetId="11" hidden="1">{#N/A,#N/A,TRUE,"Смета на пасс. обор. №1"}</definedName>
    <definedName name="пор" localSheetId="110" hidden="1">{#N/A,#N/A,TRUE,"Смета на пасс. обор. №1"}</definedName>
    <definedName name="пор" localSheetId="109" hidden="1">{#N/A,#N/A,TRUE,"Смета на пасс. обор. №1"}</definedName>
    <definedName name="пор" localSheetId="108" hidden="1">{#N/A,#N/A,TRUE,"Смета на пасс. обор. №1"}</definedName>
    <definedName name="пор" localSheetId="6" hidden="1">{#N/A,#N/A,TRUE,"Смета на пасс. обор. №1"}</definedName>
    <definedName name="пор" localSheetId="9" hidden="1">{#N/A,#N/A,TRUE,"Смета на пасс. обор. №1"}</definedName>
    <definedName name="пор" localSheetId="7" hidden="1">{#N/A,#N/A,TRUE,"Смета на пасс. обор. №1"}</definedName>
    <definedName name="пор" localSheetId="92" hidden="1">{#N/A,#N/A,TRUE,"Смета на пасс. обор. №1"}</definedName>
    <definedName name="пор" localSheetId="93" hidden="1">{#N/A,#N/A,TRUE,"Смета на пасс. обор. №1"}</definedName>
    <definedName name="пор" localSheetId="94" hidden="1">{#N/A,#N/A,TRUE,"Смета на пасс. обор. №1"}</definedName>
    <definedName name="пор" localSheetId="99" hidden="1">{#N/A,#N/A,TRUE,"Смета на пасс. обор. №1"}</definedName>
    <definedName name="пор" localSheetId="100" hidden="1">{#N/A,#N/A,TRUE,"Смета на пасс. обор. №1"}</definedName>
    <definedName name="пор" localSheetId="106" hidden="1">{#N/A,#N/A,TRUE,"Смета на пасс. обор. №1"}</definedName>
    <definedName name="пор" localSheetId="2" hidden="1">{#N/A,#N/A,TRUE,"Смета на пасс. обор. №1"}</definedName>
    <definedName name="пор" localSheetId="123" hidden="1">{#N/A,#N/A,TRUE,"Смета на пасс. обор. №1"}</definedName>
    <definedName name="пор" localSheetId="4" hidden="1">{#N/A,#N/A,TRUE,"Смета на пасс. обор. №1"}</definedName>
    <definedName name="пор" localSheetId="13" hidden="1">{#N/A,#N/A,TRUE,"Смета на пасс. обор. №1"}</definedName>
    <definedName name="пор" hidden="1">{#N/A,#N/A,TRUE,"Смета на пасс. обор. №1"}</definedName>
    <definedName name="пор_1" localSheetId="10" hidden="1">{#N/A,#N/A,TRUE,"Смета на пасс. обор. №1"}</definedName>
    <definedName name="пор_1" localSheetId="12" hidden="1">{#N/A,#N/A,TRUE,"Смета на пасс. обор. №1"}</definedName>
    <definedName name="пор_1" localSheetId="111" hidden="1">{#N/A,#N/A,TRUE,"Смета на пасс. обор. №1"}</definedName>
    <definedName name="пор_1" localSheetId="112" hidden="1">{#N/A,#N/A,TRUE,"Смета на пасс. обор. №1"}</definedName>
    <definedName name="пор_1" localSheetId="113" hidden="1">{#N/A,#N/A,TRUE,"Смета на пасс. обор. №1"}</definedName>
    <definedName name="пор_1" localSheetId="114" hidden="1">{#N/A,#N/A,TRUE,"Смета на пасс. обор. №1"}</definedName>
    <definedName name="пор_1" localSheetId="115" hidden="1">{#N/A,#N/A,TRUE,"Смета на пасс. обор. №1"}</definedName>
    <definedName name="пор_1" localSheetId="116" hidden="1">{#N/A,#N/A,TRUE,"Смета на пасс. обор. №1"}</definedName>
    <definedName name="пор_1" localSheetId="117" hidden="1">{#N/A,#N/A,TRUE,"Смета на пасс. обор. №1"}</definedName>
    <definedName name="пор_1" localSheetId="118" hidden="1">{#N/A,#N/A,TRUE,"Смета на пасс. обор. №1"}</definedName>
    <definedName name="пор_1" localSheetId="121" hidden="1">{#N/A,#N/A,TRUE,"Смета на пасс. обор. №1"}</definedName>
    <definedName name="пор_1" localSheetId="122" hidden="1">{#N/A,#N/A,TRUE,"Смета на пасс. обор. №1"}</definedName>
    <definedName name="пор_1" localSheetId="8" hidden="1">{#N/A,#N/A,TRUE,"Смета на пасс. обор. №1"}</definedName>
    <definedName name="пор_1" localSheetId="11" hidden="1">{#N/A,#N/A,TRUE,"Смета на пасс. обор. №1"}</definedName>
    <definedName name="пор_1" localSheetId="110" hidden="1">{#N/A,#N/A,TRUE,"Смета на пасс. обор. №1"}</definedName>
    <definedName name="пор_1" localSheetId="109" hidden="1">{#N/A,#N/A,TRUE,"Смета на пасс. обор. №1"}</definedName>
    <definedName name="пор_1" localSheetId="108" hidden="1">{#N/A,#N/A,TRUE,"Смета на пасс. обор. №1"}</definedName>
    <definedName name="пор_1" localSheetId="6" hidden="1">{#N/A,#N/A,TRUE,"Смета на пасс. обор. №1"}</definedName>
    <definedName name="пор_1" localSheetId="9" hidden="1">{#N/A,#N/A,TRUE,"Смета на пасс. обор. №1"}</definedName>
    <definedName name="пор_1" localSheetId="7" hidden="1">{#N/A,#N/A,TRUE,"Смета на пасс. обор. №1"}</definedName>
    <definedName name="пор_1" localSheetId="92" hidden="1">{#N/A,#N/A,TRUE,"Смета на пасс. обор. №1"}</definedName>
    <definedName name="пор_1" localSheetId="93" hidden="1">{#N/A,#N/A,TRUE,"Смета на пасс. обор. №1"}</definedName>
    <definedName name="пор_1" localSheetId="94" hidden="1">{#N/A,#N/A,TRUE,"Смета на пасс. обор. №1"}</definedName>
    <definedName name="пор_1" localSheetId="99" hidden="1">{#N/A,#N/A,TRUE,"Смета на пасс. обор. №1"}</definedName>
    <definedName name="пор_1" localSheetId="100" hidden="1">{#N/A,#N/A,TRUE,"Смета на пасс. обор. №1"}</definedName>
    <definedName name="пор_1" localSheetId="106" hidden="1">{#N/A,#N/A,TRUE,"Смета на пасс. обор. №1"}</definedName>
    <definedName name="пор_1" localSheetId="2" hidden="1">{#N/A,#N/A,TRUE,"Смета на пасс. обор. №1"}</definedName>
    <definedName name="пор_1" localSheetId="123" hidden="1">{#N/A,#N/A,TRUE,"Смета на пасс. обор. №1"}</definedName>
    <definedName name="пор_1" localSheetId="4" hidden="1">{#N/A,#N/A,TRUE,"Смета на пасс. обор. №1"}</definedName>
    <definedName name="пор_1" localSheetId="13" hidden="1">{#N/A,#N/A,TRUE,"Смета на пасс. обор. №1"}</definedName>
    <definedName name="пор_1" hidden="1">{#N/A,#N/A,TRUE,"Смета на пасс. обор. №1"}</definedName>
    <definedName name="поток2" localSheetId="10">#REF!</definedName>
    <definedName name="поток2" localSheetId="9">#REF!</definedName>
    <definedName name="поток2">#REF!</definedName>
    <definedName name="поып" localSheetId="10">[4]топография!#REF!</definedName>
    <definedName name="поып" localSheetId="9">[4]топография!#REF!</definedName>
    <definedName name="поып">[4]топография!#REF!</definedName>
    <definedName name="пояснит." localSheetId="10">#REF!</definedName>
    <definedName name="пояснит." localSheetId="12">#REF!</definedName>
    <definedName name="пояснит." localSheetId="116">#REF!</definedName>
    <definedName name="пояснит." localSheetId="8">#REF!</definedName>
    <definedName name="пояснит." localSheetId="11">#REF!</definedName>
    <definedName name="пояснит." localSheetId="110">#REF!</definedName>
    <definedName name="пояснит." localSheetId="109">#REF!</definedName>
    <definedName name="пояснит." localSheetId="108">#REF!</definedName>
    <definedName name="пояснит." localSheetId="6">#REF!</definedName>
    <definedName name="пояснит." localSheetId="9">#REF!</definedName>
    <definedName name="пояснит." localSheetId="7">#REF!</definedName>
    <definedName name="пояснит." localSheetId="92">#REF!</definedName>
    <definedName name="пояснит." localSheetId="93">#REF!</definedName>
    <definedName name="пояснит." localSheetId="94">#REF!</definedName>
    <definedName name="пояснит." localSheetId="99">#REF!</definedName>
    <definedName name="пояснит." localSheetId="100">#REF!</definedName>
    <definedName name="пояснит." localSheetId="106">#REF!</definedName>
    <definedName name="пояснит.">#REF!</definedName>
    <definedName name="ппвьпр" localSheetId="10">#REF!</definedName>
    <definedName name="ппвьпр" localSheetId="9">#REF!</definedName>
    <definedName name="ппвьпр">#REF!</definedName>
    <definedName name="ппп" localSheetId="10">#REF!</definedName>
    <definedName name="ппп" localSheetId="12">#REF!</definedName>
    <definedName name="ппп" localSheetId="116">#REF!</definedName>
    <definedName name="ппп" localSheetId="8">#REF!</definedName>
    <definedName name="ппп" localSheetId="11">#REF!</definedName>
    <definedName name="ппп" localSheetId="110">#REF!</definedName>
    <definedName name="ппп" localSheetId="109">#REF!</definedName>
    <definedName name="ппп" localSheetId="108">#REF!</definedName>
    <definedName name="ппп" localSheetId="6">#REF!</definedName>
    <definedName name="ппп" localSheetId="9">#REF!</definedName>
    <definedName name="ппп" localSheetId="7">#REF!</definedName>
    <definedName name="ппп" localSheetId="92">#REF!</definedName>
    <definedName name="ппп" localSheetId="93">#REF!</definedName>
    <definedName name="ппп" localSheetId="94">#REF!</definedName>
    <definedName name="ппп" localSheetId="99">#REF!</definedName>
    <definedName name="ппп" localSheetId="100">#REF!</definedName>
    <definedName name="ппп" localSheetId="106">#REF!</definedName>
    <definedName name="ппп">#REF!</definedName>
    <definedName name="пппп" localSheetId="10">#REF!</definedName>
    <definedName name="пппп" localSheetId="12">#REF!</definedName>
    <definedName name="пппп" localSheetId="112">#REF!</definedName>
    <definedName name="пппп" localSheetId="113">#REF!</definedName>
    <definedName name="пппп" localSheetId="115">#REF!</definedName>
    <definedName name="пппп" localSheetId="116">#REF!</definedName>
    <definedName name="пппп" localSheetId="110">#REF!</definedName>
    <definedName name="пппп" localSheetId="9">#REF!</definedName>
    <definedName name="пппп" localSheetId="92">#REF!</definedName>
    <definedName name="пппп" localSheetId="93">#REF!</definedName>
    <definedName name="пппп" localSheetId="94">#REF!</definedName>
    <definedName name="пппп" localSheetId="99">#REF!</definedName>
    <definedName name="пппп" localSheetId="100">#REF!</definedName>
    <definedName name="пппп" localSheetId="106">#REF!</definedName>
    <definedName name="пппп">#REF!</definedName>
    <definedName name="пппппппппппппппппппппппа" localSheetId="10">#REF!</definedName>
    <definedName name="пппппппппппппппппппппппа" localSheetId="9">#REF!</definedName>
    <definedName name="пппппппппппппппппппппппа">#REF!</definedName>
    <definedName name="ПР" localSheetId="10">#REF!</definedName>
    <definedName name="пр" localSheetId="12">[7]топография!#REF!</definedName>
    <definedName name="пр" localSheetId="112">[7]топография!#REF!</definedName>
    <definedName name="пр" localSheetId="113">[7]топография!#REF!</definedName>
    <definedName name="пр" localSheetId="115">[7]топография!#REF!</definedName>
    <definedName name="пр" localSheetId="116">[7]топография!#REF!</definedName>
    <definedName name="ПР" localSheetId="8">#REF!</definedName>
    <definedName name="ПР" localSheetId="11">#REF!</definedName>
    <definedName name="пр" localSheetId="110">[7]топография!#REF!</definedName>
    <definedName name="ПР" localSheetId="6">#REF!</definedName>
    <definedName name="ПР" localSheetId="9">#REF!</definedName>
    <definedName name="пр" localSheetId="7">[7]топография!#REF!</definedName>
    <definedName name="пр" localSheetId="92">[7]топография!#REF!</definedName>
    <definedName name="пр" localSheetId="93">[7]топография!#REF!</definedName>
    <definedName name="пр" localSheetId="94">[7]топография!#REF!</definedName>
    <definedName name="пр" localSheetId="99">[7]топография!#REF!</definedName>
    <definedName name="пр" localSheetId="100">[7]топография!#REF!</definedName>
    <definedName name="пр" localSheetId="106">[7]топография!#REF!</definedName>
    <definedName name="пр">[7]топография!#REF!</definedName>
    <definedName name="правоп" localSheetId="10">#REF!</definedName>
    <definedName name="правоп" localSheetId="9">#REF!</definedName>
    <definedName name="правоп">#REF!</definedName>
    <definedName name="прд" localSheetId="10">#REF!</definedName>
    <definedName name="прд" localSheetId="9">#REF!</definedName>
    <definedName name="прд">#REF!</definedName>
    <definedName name="прдо" localSheetId="10">#REF!</definedName>
    <definedName name="прдо" localSheetId="9">#REF!</definedName>
    <definedName name="прдо">#REF!</definedName>
    <definedName name="прибыль" localSheetId="10">#REF!</definedName>
    <definedName name="прибыль" localSheetId="9">#REF!</definedName>
    <definedName name="прибыль">#REF!</definedName>
    <definedName name="Прикладное_ПО" localSheetId="10">#REF!</definedName>
    <definedName name="Прикладное_ПО" localSheetId="9">#REF!</definedName>
    <definedName name="Прикладное_ПО">#REF!</definedName>
    <definedName name="Прилож" localSheetId="10">#REF!</definedName>
    <definedName name="Прилож" localSheetId="9">#REF!</definedName>
    <definedName name="Прилож">#REF!</definedName>
    <definedName name="Приморский_край" localSheetId="10">#REF!</definedName>
    <definedName name="Приморский_край" localSheetId="9">#REF!</definedName>
    <definedName name="Приморский_край">#REF!</definedName>
    <definedName name="Приморский_край_1" localSheetId="10">#REF!</definedName>
    <definedName name="Приморский_край_1" localSheetId="9">#REF!</definedName>
    <definedName name="Приморский_край_1">#REF!</definedName>
    <definedName name="прл" localSheetId="10">#REF!</definedName>
    <definedName name="прл" localSheetId="9">#REF!</definedName>
    <definedName name="прл">#REF!</definedName>
    <definedName name="прлв" localSheetId="10">#REF!</definedName>
    <definedName name="прлв" localSheetId="9">#REF!</definedName>
    <definedName name="прлв">#REF!</definedName>
    <definedName name="прлвпрл" localSheetId="10">#REF!</definedName>
    <definedName name="прлвпрл" localSheetId="9">#REF!</definedName>
    <definedName name="прлвпрл">#REF!</definedName>
    <definedName name="прлпврл" localSheetId="10">#REF!</definedName>
    <definedName name="прлпврл" localSheetId="9">#REF!</definedName>
    <definedName name="прлпврл">#REF!</definedName>
    <definedName name="прлпр" localSheetId="10">#REF!</definedName>
    <definedName name="прлпр" localSheetId="9">#REF!</definedName>
    <definedName name="прлпр">#REF!</definedName>
    <definedName name="прльп" localSheetId="10">#REF!</definedName>
    <definedName name="прльп" localSheetId="9">#REF!</definedName>
    <definedName name="прльп">#REF!</definedName>
    <definedName name="про" localSheetId="10">#REF!</definedName>
    <definedName name="про" localSheetId="12" hidden="1">{#N/A,#N/A,TRUE,"Смета на пасс. обор. №1"}</definedName>
    <definedName name="про" localSheetId="111" hidden="1">{#N/A,#N/A,TRUE,"Смета на пасс. обор. №1"}</definedName>
    <definedName name="про" localSheetId="112" hidden="1">{#N/A,#N/A,TRUE,"Смета на пасс. обор. №1"}</definedName>
    <definedName name="про" localSheetId="113" hidden="1">{#N/A,#N/A,TRUE,"Смета на пасс. обор. №1"}</definedName>
    <definedName name="про" localSheetId="114" hidden="1">{#N/A,#N/A,TRUE,"Смета на пасс. обор. №1"}</definedName>
    <definedName name="про" localSheetId="115" hidden="1">{#N/A,#N/A,TRUE,"Смета на пасс. обор. №1"}</definedName>
    <definedName name="про" localSheetId="116" hidden="1">{#N/A,#N/A,TRUE,"Смета на пасс. обор. №1"}</definedName>
    <definedName name="про" localSheetId="117" hidden="1">{#N/A,#N/A,TRUE,"Смета на пасс. обор. №1"}</definedName>
    <definedName name="про" localSheetId="118" hidden="1">{#N/A,#N/A,TRUE,"Смета на пасс. обор. №1"}</definedName>
    <definedName name="про" localSheetId="121" hidden="1">{#N/A,#N/A,TRUE,"Смета на пасс. обор. №1"}</definedName>
    <definedName name="про" localSheetId="122" hidden="1">{#N/A,#N/A,TRUE,"Смета на пасс. обор. №1"}</definedName>
    <definedName name="про" localSheetId="8">#REF!</definedName>
    <definedName name="про" localSheetId="11">#REF!</definedName>
    <definedName name="про" localSheetId="110" hidden="1">{#N/A,#N/A,TRUE,"Смета на пасс. обор. №1"}</definedName>
    <definedName name="про" localSheetId="109" hidden="1">{#N/A,#N/A,TRUE,"Смета на пасс. обор. №1"}</definedName>
    <definedName name="про" localSheetId="108" hidden="1">{#N/A,#N/A,TRUE,"Смета на пасс. обор. №1"}</definedName>
    <definedName name="про" localSheetId="6">#REF!</definedName>
    <definedName name="про" localSheetId="9">#REF!</definedName>
    <definedName name="про" localSheetId="7" hidden="1">{#N/A,#N/A,TRUE,"Смета на пасс. обор. №1"}</definedName>
    <definedName name="про" localSheetId="92" hidden="1">{#N/A,#N/A,TRUE,"Смета на пасс. обор. №1"}</definedName>
    <definedName name="про" localSheetId="93" hidden="1">{#N/A,#N/A,TRUE,"Смета на пасс. обор. №1"}</definedName>
    <definedName name="про" localSheetId="94" hidden="1">{#N/A,#N/A,TRUE,"Смета на пасс. обор. №1"}</definedName>
    <definedName name="про" localSheetId="99" hidden="1">{#N/A,#N/A,TRUE,"Смета на пасс. обор. №1"}</definedName>
    <definedName name="про" localSheetId="100" hidden="1">{#N/A,#N/A,TRUE,"Смета на пасс. обор. №1"}</definedName>
    <definedName name="про" localSheetId="106" hidden="1">{#N/A,#N/A,TRUE,"Смета на пасс. обор. №1"}</definedName>
    <definedName name="про" localSheetId="2" hidden="1">{#N/A,#N/A,TRUE,"Смета на пасс. обор. №1"}</definedName>
    <definedName name="про" localSheetId="123" hidden="1">{#N/A,#N/A,TRUE,"Смета на пасс. обор. №1"}</definedName>
    <definedName name="про" localSheetId="4" hidden="1">{#N/A,#N/A,TRUE,"Смета на пасс. обор. №1"}</definedName>
    <definedName name="про" localSheetId="13" hidden="1">{#N/A,#N/A,TRUE,"Смета на пасс. обор. №1"}</definedName>
    <definedName name="про" hidden="1">{#N/A,#N/A,TRUE,"Смета на пасс. обор. №1"}</definedName>
    <definedName name="про_1" localSheetId="10" hidden="1">{#N/A,#N/A,TRUE,"Смета на пасс. обор. №1"}</definedName>
    <definedName name="про_1" localSheetId="12" hidden="1">{#N/A,#N/A,TRUE,"Смета на пасс. обор. №1"}</definedName>
    <definedName name="про_1" localSheetId="111" hidden="1">{#N/A,#N/A,TRUE,"Смета на пасс. обор. №1"}</definedName>
    <definedName name="про_1" localSheetId="112" hidden="1">{#N/A,#N/A,TRUE,"Смета на пасс. обор. №1"}</definedName>
    <definedName name="про_1" localSheetId="113" hidden="1">{#N/A,#N/A,TRUE,"Смета на пасс. обор. №1"}</definedName>
    <definedName name="про_1" localSheetId="114" hidden="1">{#N/A,#N/A,TRUE,"Смета на пасс. обор. №1"}</definedName>
    <definedName name="про_1" localSheetId="115" hidden="1">{#N/A,#N/A,TRUE,"Смета на пасс. обор. №1"}</definedName>
    <definedName name="про_1" localSheetId="116" hidden="1">{#N/A,#N/A,TRUE,"Смета на пасс. обор. №1"}</definedName>
    <definedName name="про_1" localSheetId="117" hidden="1">{#N/A,#N/A,TRUE,"Смета на пасс. обор. №1"}</definedName>
    <definedName name="про_1" localSheetId="118" hidden="1">{#N/A,#N/A,TRUE,"Смета на пасс. обор. №1"}</definedName>
    <definedName name="про_1" localSheetId="121" hidden="1">{#N/A,#N/A,TRUE,"Смета на пасс. обор. №1"}</definedName>
    <definedName name="про_1" localSheetId="122" hidden="1">{#N/A,#N/A,TRUE,"Смета на пасс. обор. №1"}</definedName>
    <definedName name="про_1" localSheetId="8" hidden="1">{#N/A,#N/A,TRUE,"Смета на пасс. обор. №1"}</definedName>
    <definedName name="про_1" localSheetId="11" hidden="1">{#N/A,#N/A,TRUE,"Смета на пасс. обор. №1"}</definedName>
    <definedName name="про_1" localSheetId="110" hidden="1">{#N/A,#N/A,TRUE,"Смета на пасс. обор. №1"}</definedName>
    <definedName name="про_1" localSheetId="109" hidden="1">{#N/A,#N/A,TRUE,"Смета на пасс. обор. №1"}</definedName>
    <definedName name="про_1" localSheetId="108" hidden="1">{#N/A,#N/A,TRUE,"Смета на пасс. обор. №1"}</definedName>
    <definedName name="про_1" localSheetId="6" hidden="1">{#N/A,#N/A,TRUE,"Смета на пасс. обор. №1"}</definedName>
    <definedName name="про_1" localSheetId="9" hidden="1">{#N/A,#N/A,TRUE,"Смета на пасс. обор. №1"}</definedName>
    <definedName name="про_1" localSheetId="7" hidden="1">{#N/A,#N/A,TRUE,"Смета на пасс. обор. №1"}</definedName>
    <definedName name="про_1" localSheetId="92" hidden="1">{#N/A,#N/A,TRUE,"Смета на пасс. обор. №1"}</definedName>
    <definedName name="про_1" localSheetId="93" hidden="1">{#N/A,#N/A,TRUE,"Смета на пасс. обор. №1"}</definedName>
    <definedName name="про_1" localSheetId="94" hidden="1">{#N/A,#N/A,TRUE,"Смета на пасс. обор. №1"}</definedName>
    <definedName name="про_1" localSheetId="99" hidden="1">{#N/A,#N/A,TRUE,"Смета на пасс. обор. №1"}</definedName>
    <definedName name="про_1" localSheetId="100" hidden="1">{#N/A,#N/A,TRUE,"Смета на пасс. обор. №1"}</definedName>
    <definedName name="про_1" localSheetId="106" hidden="1">{#N/A,#N/A,TRUE,"Смета на пасс. обор. №1"}</definedName>
    <definedName name="про_1" localSheetId="2" hidden="1">{#N/A,#N/A,TRUE,"Смета на пасс. обор. №1"}</definedName>
    <definedName name="про_1" localSheetId="123" hidden="1">{#N/A,#N/A,TRUE,"Смета на пасс. обор. №1"}</definedName>
    <definedName name="про_1" localSheetId="4" hidden="1">{#N/A,#N/A,TRUE,"Смета на пасс. обор. №1"}</definedName>
    <definedName name="про_1" localSheetId="13" hidden="1">{#N/A,#N/A,TRUE,"Смета на пасс. обор. №1"}</definedName>
    <definedName name="про_1" hidden="1">{#N/A,#N/A,TRUE,"Смета на пасс. обор. №1"}</definedName>
    <definedName name="пробная" localSheetId="10">#REF!</definedName>
    <definedName name="пробная" localSheetId="12">#REF!</definedName>
    <definedName name="пробная" localSheetId="112">#REF!</definedName>
    <definedName name="пробная" localSheetId="113">#REF!</definedName>
    <definedName name="пробная" localSheetId="115">#REF!</definedName>
    <definedName name="пробная" localSheetId="116">#REF!</definedName>
    <definedName name="пробная" localSheetId="8">#REF!</definedName>
    <definedName name="пробная" localSheetId="11">#REF!</definedName>
    <definedName name="пробная" localSheetId="110">#REF!</definedName>
    <definedName name="пробная" localSheetId="6">#REF!</definedName>
    <definedName name="пробная" localSheetId="9">#REF!</definedName>
    <definedName name="пробная" localSheetId="7">#REF!</definedName>
    <definedName name="пробная" localSheetId="92">#REF!</definedName>
    <definedName name="пробная" localSheetId="93">#REF!</definedName>
    <definedName name="пробная" localSheetId="94">#REF!</definedName>
    <definedName name="пробная" localSheetId="99">#REF!</definedName>
    <definedName name="пробная" localSheetId="100">#REF!</definedName>
    <definedName name="пробная" localSheetId="106">#REF!</definedName>
    <definedName name="пробная">#REF!</definedName>
    <definedName name="пробная_1" localSheetId="10">#REF!</definedName>
    <definedName name="пробная_1" localSheetId="9">#REF!</definedName>
    <definedName name="пробная_1">#REF!</definedName>
    <definedName name="Проверил" localSheetId="10">#REF!</definedName>
    <definedName name="Проверил" localSheetId="9">#REF!</definedName>
    <definedName name="Проверил">#REF!</definedName>
    <definedName name="провпо" localSheetId="10">#REF!</definedName>
    <definedName name="провпо" localSheetId="9">#REF!</definedName>
    <definedName name="провпо">#REF!</definedName>
    <definedName name="проект" localSheetId="10">#REF!</definedName>
    <definedName name="проект" localSheetId="9">#REF!</definedName>
    <definedName name="проект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10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12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112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113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115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116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110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9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92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93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94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99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100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106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>#REF!</definedName>
    <definedName name="Проектные2" localSheetId="10">#REF!</definedName>
    <definedName name="Проектные2" localSheetId="12">#REF!</definedName>
    <definedName name="Проектные2" localSheetId="112">#REF!</definedName>
    <definedName name="Проектные2" localSheetId="113">#REF!</definedName>
    <definedName name="Проектные2" localSheetId="115">#REF!</definedName>
    <definedName name="Проектные2" localSheetId="116">#REF!</definedName>
    <definedName name="Проектные2" localSheetId="110">#REF!</definedName>
    <definedName name="Проектные2" localSheetId="9">#REF!</definedName>
    <definedName name="Проектные2" localSheetId="92">#REF!</definedName>
    <definedName name="Проектные2" localSheetId="93">#REF!</definedName>
    <definedName name="Проектные2" localSheetId="94">#REF!</definedName>
    <definedName name="Проектные2" localSheetId="99">#REF!</definedName>
    <definedName name="Проектные2" localSheetId="100">#REF!</definedName>
    <definedName name="Проектные2" localSheetId="106">#REF!</definedName>
    <definedName name="Проектные2">#REF!</definedName>
    <definedName name="прол" localSheetId="10" hidden="1">{#N/A,#N/A,TRUE,"Смета на пасс. обор. №1"}</definedName>
    <definedName name="прол" localSheetId="12" hidden="1">{#N/A,#N/A,TRUE,"Смета на пасс. обор. №1"}</definedName>
    <definedName name="прол" localSheetId="111" hidden="1">{#N/A,#N/A,TRUE,"Смета на пасс. обор. №1"}</definedName>
    <definedName name="прол" localSheetId="112" hidden="1">{#N/A,#N/A,TRUE,"Смета на пасс. обор. №1"}</definedName>
    <definedName name="прол" localSheetId="113" hidden="1">{#N/A,#N/A,TRUE,"Смета на пасс. обор. №1"}</definedName>
    <definedName name="прол" localSheetId="114" hidden="1">{#N/A,#N/A,TRUE,"Смета на пасс. обор. №1"}</definedName>
    <definedName name="прол" localSheetId="115" hidden="1">{#N/A,#N/A,TRUE,"Смета на пасс. обор. №1"}</definedName>
    <definedName name="прол" localSheetId="116" hidden="1">{#N/A,#N/A,TRUE,"Смета на пасс. обор. №1"}</definedName>
    <definedName name="прол" localSheetId="117" hidden="1">{#N/A,#N/A,TRUE,"Смета на пасс. обор. №1"}</definedName>
    <definedName name="прол" localSheetId="118" hidden="1">{#N/A,#N/A,TRUE,"Смета на пасс. обор. №1"}</definedName>
    <definedName name="прол" localSheetId="121" hidden="1">{#N/A,#N/A,TRUE,"Смета на пасс. обор. №1"}</definedName>
    <definedName name="прол" localSheetId="122" hidden="1">{#N/A,#N/A,TRUE,"Смета на пасс. обор. №1"}</definedName>
    <definedName name="прол" localSheetId="8" hidden="1">{#N/A,#N/A,TRUE,"Смета на пасс. обор. №1"}</definedName>
    <definedName name="прол" localSheetId="11" hidden="1">{#N/A,#N/A,TRUE,"Смета на пасс. обор. №1"}</definedName>
    <definedName name="прол" localSheetId="110" hidden="1">{#N/A,#N/A,TRUE,"Смета на пасс. обор. №1"}</definedName>
    <definedName name="прол" localSheetId="109" hidden="1">{#N/A,#N/A,TRUE,"Смета на пасс. обор. №1"}</definedName>
    <definedName name="прол" localSheetId="108" hidden="1">{#N/A,#N/A,TRUE,"Смета на пасс. обор. №1"}</definedName>
    <definedName name="прол" localSheetId="6" hidden="1">{#N/A,#N/A,TRUE,"Смета на пасс. обор. №1"}</definedName>
    <definedName name="прол" localSheetId="9" hidden="1">{#N/A,#N/A,TRUE,"Смета на пасс. обор. №1"}</definedName>
    <definedName name="прол" localSheetId="7" hidden="1">{#N/A,#N/A,TRUE,"Смета на пасс. обор. №1"}</definedName>
    <definedName name="прол" localSheetId="92" hidden="1">{#N/A,#N/A,TRUE,"Смета на пасс. обор. №1"}</definedName>
    <definedName name="прол" localSheetId="93" hidden="1">{#N/A,#N/A,TRUE,"Смета на пасс. обор. №1"}</definedName>
    <definedName name="прол" localSheetId="94" hidden="1">{#N/A,#N/A,TRUE,"Смета на пасс. обор. №1"}</definedName>
    <definedName name="прол" localSheetId="99" hidden="1">{#N/A,#N/A,TRUE,"Смета на пасс. обор. №1"}</definedName>
    <definedName name="прол" localSheetId="100" hidden="1">{#N/A,#N/A,TRUE,"Смета на пасс. обор. №1"}</definedName>
    <definedName name="прол" localSheetId="106" hidden="1">{#N/A,#N/A,TRUE,"Смета на пасс. обор. №1"}</definedName>
    <definedName name="прол" localSheetId="2" hidden="1">{#N/A,#N/A,TRUE,"Смета на пасс. обор. №1"}</definedName>
    <definedName name="прол" localSheetId="123" hidden="1">{#N/A,#N/A,TRUE,"Смета на пасс. обор. №1"}</definedName>
    <definedName name="прол" localSheetId="4" hidden="1">{#N/A,#N/A,TRUE,"Смета на пасс. обор. №1"}</definedName>
    <definedName name="прол" localSheetId="13" hidden="1">{#N/A,#N/A,TRUE,"Смета на пасс. обор. №1"}</definedName>
    <definedName name="прол" hidden="1">{#N/A,#N/A,TRUE,"Смета на пасс. обор. №1"}</definedName>
    <definedName name="пролдж" localSheetId="10" hidden="1">{#N/A,#N/A,TRUE,"Смета на пасс. обор. №1"}</definedName>
    <definedName name="пролдж" localSheetId="12" hidden="1">{#N/A,#N/A,TRUE,"Смета на пасс. обор. №1"}</definedName>
    <definedName name="пролдж" localSheetId="111" hidden="1">{#N/A,#N/A,TRUE,"Смета на пасс. обор. №1"}</definedName>
    <definedName name="пролдж" localSheetId="112" hidden="1">{#N/A,#N/A,TRUE,"Смета на пасс. обор. №1"}</definedName>
    <definedName name="пролдж" localSheetId="113" hidden="1">{#N/A,#N/A,TRUE,"Смета на пасс. обор. №1"}</definedName>
    <definedName name="пролдж" localSheetId="114" hidden="1">{#N/A,#N/A,TRUE,"Смета на пасс. обор. №1"}</definedName>
    <definedName name="пролдж" localSheetId="115" hidden="1">{#N/A,#N/A,TRUE,"Смета на пасс. обор. №1"}</definedName>
    <definedName name="пролдж" localSheetId="116" hidden="1">{#N/A,#N/A,TRUE,"Смета на пасс. обор. №1"}</definedName>
    <definedName name="пролдж" localSheetId="117" hidden="1">{#N/A,#N/A,TRUE,"Смета на пасс. обор. №1"}</definedName>
    <definedName name="пролдж" localSheetId="118" hidden="1">{#N/A,#N/A,TRUE,"Смета на пасс. обор. №1"}</definedName>
    <definedName name="пролдж" localSheetId="121" hidden="1">{#N/A,#N/A,TRUE,"Смета на пасс. обор. №1"}</definedName>
    <definedName name="пролдж" localSheetId="122" hidden="1">{#N/A,#N/A,TRUE,"Смета на пасс. обор. №1"}</definedName>
    <definedName name="пролдж" localSheetId="8" hidden="1">{#N/A,#N/A,TRUE,"Смета на пасс. обор. №1"}</definedName>
    <definedName name="пролдж" localSheetId="11" hidden="1">{#N/A,#N/A,TRUE,"Смета на пасс. обор. №1"}</definedName>
    <definedName name="пролдж" localSheetId="110" hidden="1">{#N/A,#N/A,TRUE,"Смета на пасс. обор. №1"}</definedName>
    <definedName name="пролдж" localSheetId="109" hidden="1">{#N/A,#N/A,TRUE,"Смета на пасс. обор. №1"}</definedName>
    <definedName name="пролдж" localSheetId="108" hidden="1">{#N/A,#N/A,TRUE,"Смета на пасс. обор. №1"}</definedName>
    <definedName name="пролдж" localSheetId="6" hidden="1">{#N/A,#N/A,TRUE,"Смета на пасс. обор. №1"}</definedName>
    <definedName name="пролдж" localSheetId="9" hidden="1">{#N/A,#N/A,TRUE,"Смета на пасс. обор. №1"}</definedName>
    <definedName name="пролдж" localSheetId="7" hidden="1">{#N/A,#N/A,TRUE,"Смета на пасс. обор. №1"}</definedName>
    <definedName name="пролдж" localSheetId="92" hidden="1">{#N/A,#N/A,TRUE,"Смета на пасс. обор. №1"}</definedName>
    <definedName name="пролдж" localSheetId="93" hidden="1">{#N/A,#N/A,TRUE,"Смета на пасс. обор. №1"}</definedName>
    <definedName name="пролдж" localSheetId="94" hidden="1">{#N/A,#N/A,TRUE,"Смета на пасс. обор. №1"}</definedName>
    <definedName name="пролдж" localSheetId="99" hidden="1">{#N/A,#N/A,TRUE,"Смета на пасс. обор. №1"}</definedName>
    <definedName name="пролдж" localSheetId="100" hidden="1">{#N/A,#N/A,TRUE,"Смета на пасс. обор. №1"}</definedName>
    <definedName name="пролдж" localSheetId="106" hidden="1">{#N/A,#N/A,TRUE,"Смета на пасс. обор. №1"}</definedName>
    <definedName name="пролдж" localSheetId="2" hidden="1">{#N/A,#N/A,TRUE,"Смета на пасс. обор. №1"}</definedName>
    <definedName name="пролдж" localSheetId="123" hidden="1">{#N/A,#N/A,TRUE,"Смета на пасс. обор. №1"}</definedName>
    <definedName name="пролдж" localSheetId="4" hidden="1">{#N/A,#N/A,TRUE,"Смета на пасс. обор. №1"}</definedName>
    <definedName name="пролдж" localSheetId="13" hidden="1">{#N/A,#N/A,TRUE,"Смета на пасс. обор. №1"}</definedName>
    <definedName name="пролдж" hidden="1">{#N/A,#N/A,TRUE,"Смета на пасс. обор. №1"}</definedName>
    <definedName name="пролдж_1" localSheetId="10" hidden="1">{#N/A,#N/A,TRUE,"Смета на пасс. обор. №1"}</definedName>
    <definedName name="пролдж_1" localSheetId="12" hidden="1">{#N/A,#N/A,TRUE,"Смета на пасс. обор. №1"}</definedName>
    <definedName name="пролдж_1" localSheetId="111" hidden="1">{#N/A,#N/A,TRUE,"Смета на пасс. обор. №1"}</definedName>
    <definedName name="пролдж_1" localSheetId="112" hidden="1">{#N/A,#N/A,TRUE,"Смета на пасс. обор. №1"}</definedName>
    <definedName name="пролдж_1" localSheetId="113" hidden="1">{#N/A,#N/A,TRUE,"Смета на пасс. обор. №1"}</definedName>
    <definedName name="пролдж_1" localSheetId="114" hidden="1">{#N/A,#N/A,TRUE,"Смета на пасс. обор. №1"}</definedName>
    <definedName name="пролдж_1" localSheetId="115" hidden="1">{#N/A,#N/A,TRUE,"Смета на пасс. обор. №1"}</definedName>
    <definedName name="пролдж_1" localSheetId="116" hidden="1">{#N/A,#N/A,TRUE,"Смета на пасс. обор. №1"}</definedName>
    <definedName name="пролдж_1" localSheetId="117" hidden="1">{#N/A,#N/A,TRUE,"Смета на пасс. обор. №1"}</definedName>
    <definedName name="пролдж_1" localSheetId="118" hidden="1">{#N/A,#N/A,TRUE,"Смета на пасс. обор. №1"}</definedName>
    <definedName name="пролдж_1" localSheetId="121" hidden="1">{#N/A,#N/A,TRUE,"Смета на пасс. обор. №1"}</definedName>
    <definedName name="пролдж_1" localSheetId="122" hidden="1">{#N/A,#N/A,TRUE,"Смета на пасс. обор. №1"}</definedName>
    <definedName name="пролдж_1" localSheetId="8" hidden="1">{#N/A,#N/A,TRUE,"Смета на пасс. обор. №1"}</definedName>
    <definedName name="пролдж_1" localSheetId="11" hidden="1">{#N/A,#N/A,TRUE,"Смета на пасс. обор. №1"}</definedName>
    <definedName name="пролдж_1" localSheetId="110" hidden="1">{#N/A,#N/A,TRUE,"Смета на пасс. обор. №1"}</definedName>
    <definedName name="пролдж_1" localSheetId="109" hidden="1">{#N/A,#N/A,TRUE,"Смета на пасс. обор. №1"}</definedName>
    <definedName name="пролдж_1" localSheetId="108" hidden="1">{#N/A,#N/A,TRUE,"Смета на пасс. обор. №1"}</definedName>
    <definedName name="пролдж_1" localSheetId="6" hidden="1">{#N/A,#N/A,TRUE,"Смета на пасс. обор. №1"}</definedName>
    <definedName name="пролдж_1" localSheetId="9" hidden="1">{#N/A,#N/A,TRUE,"Смета на пасс. обор. №1"}</definedName>
    <definedName name="пролдж_1" localSheetId="7" hidden="1">{#N/A,#N/A,TRUE,"Смета на пасс. обор. №1"}</definedName>
    <definedName name="пролдж_1" localSheetId="92" hidden="1">{#N/A,#N/A,TRUE,"Смета на пасс. обор. №1"}</definedName>
    <definedName name="пролдж_1" localSheetId="93" hidden="1">{#N/A,#N/A,TRUE,"Смета на пасс. обор. №1"}</definedName>
    <definedName name="пролдж_1" localSheetId="94" hidden="1">{#N/A,#N/A,TRUE,"Смета на пасс. обор. №1"}</definedName>
    <definedName name="пролдж_1" localSheetId="99" hidden="1">{#N/A,#N/A,TRUE,"Смета на пасс. обор. №1"}</definedName>
    <definedName name="пролдж_1" localSheetId="100" hidden="1">{#N/A,#N/A,TRUE,"Смета на пасс. обор. №1"}</definedName>
    <definedName name="пролдж_1" localSheetId="106" hidden="1">{#N/A,#N/A,TRUE,"Смета на пасс. обор. №1"}</definedName>
    <definedName name="пролдж_1" localSheetId="2" hidden="1">{#N/A,#N/A,TRUE,"Смета на пасс. обор. №1"}</definedName>
    <definedName name="пролдж_1" localSheetId="123" hidden="1">{#N/A,#N/A,TRUE,"Смета на пасс. обор. №1"}</definedName>
    <definedName name="пролдж_1" localSheetId="4" hidden="1">{#N/A,#N/A,TRUE,"Смета на пасс. обор. №1"}</definedName>
    <definedName name="пролдж_1" localSheetId="13" hidden="1">{#N/A,#N/A,TRUE,"Смета на пасс. обор. №1"}</definedName>
    <definedName name="пролдж_1" hidden="1">{#N/A,#N/A,TRUE,"Смета на пасс. обор. №1"}</definedName>
    <definedName name="пролоддошщ" localSheetId="10">#REF!</definedName>
    <definedName name="пролоддошщ" localSheetId="9">#REF!</definedName>
    <definedName name="пролоддошщ">#REF!</definedName>
    <definedName name="промбез" localSheetId="10">[68]топография!#REF!</definedName>
    <definedName name="промбез" localSheetId="12">[7]топография!#REF!</definedName>
    <definedName name="промбез" localSheetId="8">[68]топография!#REF!</definedName>
    <definedName name="промбез" localSheetId="11">[68]топография!#REF!</definedName>
    <definedName name="промбез" localSheetId="110">[7]топография!#REF!</definedName>
    <definedName name="промбез" localSheetId="6">[68]топография!#REF!</definedName>
    <definedName name="промбез" localSheetId="9">[68]топография!#REF!</definedName>
    <definedName name="промбез" localSheetId="7">[68]топография!#REF!</definedName>
    <definedName name="промбез">[7]топография!#REF!</definedName>
    <definedName name="Промбезоп" localSheetId="10">#REF!</definedName>
    <definedName name="Промбезоп" localSheetId="12">#REF!</definedName>
    <definedName name="Промбезоп" localSheetId="116">#REF!</definedName>
    <definedName name="Промбезоп" localSheetId="8">#REF!</definedName>
    <definedName name="Промбезоп" localSheetId="11">#REF!</definedName>
    <definedName name="Промбезоп" localSheetId="110">#REF!</definedName>
    <definedName name="Промбезоп" localSheetId="109">#REF!</definedName>
    <definedName name="Промбезоп" localSheetId="108">#REF!</definedName>
    <definedName name="Промбезоп" localSheetId="6">#REF!</definedName>
    <definedName name="Промбезоп" localSheetId="9">#REF!</definedName>
    <definedName name="Промбезоп" localSheetId="7">#REF!</definedName>
    <definedName name="Промбезоп" localSheetId="92">#REF!</definedName>
    <definedName name="Промбезоп" localSheetId="93">#REF!</definedName>
    <definedName name="Промбезоп" localSheetId="94">#REF!</definedName>
    <definedName name="Промбезоп" localSheetId="99">#REF!</definedName>
    <definedName name="Промбезоп" localSheetId="100">#REF!</definedName>
    <definedName name="Промбезоп" localSheetId="106">#REF!</definedName>
    <definedName name="Промбезоп">#REF!</definedName>
    <definedName name="Промышленная" localSheetId="10">#REF!</definedName>
    <definedName name="Промышленная" localSheetId="9">#REF!</definedName>
    <definedName name="Промышленная">#REF!</definedName>
    <definedName name="пропо" localSheetId="10">[14]топография!#REF!</definedName>
    <definedName name="пропо" localSheetId="9">[14]топография!#REF!</definedName>
    <definedName name="пропо">[14]топография!#REF!</definedName>
    <definedName name="пропр" localSheetId="10">#REF!</definedName>
    <definedName name="пропр" localSheetId="9">#REF!</definedName>
    <definedName name="пропр">#REF!</definedName>
    <definedName name="Прот">'[25]Лист опроса'!$B$6</definedName>
    <definedName name="протоколРМВК" localSheetId="10">#REF!</definedName>
    <definedName name="протоколРМВК" localSheetId="9">#REF!</definedName>
    <definedName name="протоколРМВК" localSheetId="7">#REF!</definedName>
    <definedName name="протоколРМВК">#REF!</definedName>
    <definedName name="прочие" localSheetId="10">#REF!</definedName>
    <definedName name="прочие" localSheetId="9">#REF!</definedName>
    <definedName name="прочие">#REF!</definedName>
    <definedName name="Прочие_затраты_в_базисных_ценах" localSheetId="10">#REF!</definedName>
    <definedName name="Прочие_затраты_в_базисных_ценах" localSheetId="9">#REF!</definedName>
    <definedName name="Прочие_затраты_в_базисных_ценах">#REF!</definedName>
    <definedName name="Прочие_затраты_в_текущих_ценах" localSheetId="10">'[53]Переменные и константы'!#REF!</definedName>
    <definedName name="Прочие_затраты_в_текущих_ценах" localSheetId="9">'[53]Переменные и константы'!#REF!</definedName>
    <definedName name="Прочие_затраты_в_текущих_ценах">'[53]Переменные и константы'!#REF!</definedName>
    <definedName name="Прочие_затраты_в_текущих_ценах_по_ресурсному_расчету" localSheetId="10">'[53]Переменные и константы'!#REF!</definedName>
    <definedName name="Прочие_затраты_в_текущих_ценах_по_ресурсному_расчету" localSheetId="9">'[53]Переменные и константы'!#REF!</definedName>
    <definedName name="Прочие_затраты_в_текущих_ценах_по_ресурсному_расчету">'[53]Переменные и константы'!#REF!</definedName>
    <definedName name="Прочие_затраты_в_текущих_ценах_после_применения_индексов" localSheetId="10">'[53]Переменные и константы'!#REF!</definedName>
    <definedName name="Прочие_затраты_в_текущих_ценах_после_применения_индексов" localSheetId="9">'[53]Переменные и константы'!#REF!</definedName>
    <definedName name="Прочие_затраты_в_текущих_ценах_после_применения_индексов">'[53]Переменные и константы'!#REF!</definedName>
    <definedName name="Прочие_работы" localSheetId="10">#REF!</definedName>
    <definedName name="Прочие_работы" localSheetId="9">#REF!</definedName>
    <definedName name="Прочие_работы">#REF!</definedName>
    <definedName name="прп" localSheetId="10">[14]топография!#REF!</definedName>
    <definedName name="прп" localSheetId="9">[14]топография!#REF!</definedName>
    <definedName name="прп">[14]топография!#REF!</definedName>
    <definedName name="прпр" localSheetId="10">[24]Коэфф1.!#REF!</definedName>
    <definedName name="прпр" localSheetId="9">[24]Коэфф1.!#REF!</definedName>
    <definedName name="прпр">[24]Коэфф1.!#REF!</definedName>
    <definedName name="прпр_1" localSheetId="10">#REF!</definedName>
    <definedName name="прпр_1" localSheetId="9">#REF!</definedName>
    <definedName name="прпр_1">#REF!</definedName>
    <definedName name="пртпр" localSheetId="10">#REF!</definedName>
    <definedName name="пртпр" localSheetId="9">#REF!</definedName>
    <definedName name="пртпр">#REF!</definedName>
    <definedName name="прч" localSheetId="10">#REF!</definedName>
    <definedName name="прч" localSheetId="9">#REF!</definedName>
    <definedName name="прч">#REF!</definedName>
    <definedName name="прь" localSheetId="10">#REF!</definedName>
    <definedName name="прь" localSheetId="9">#REF!</definedName>
    <definedName name="прь">#REF!</definedName>
    <definedName name="прьв" localSheetId="10">#REF!</definedName>
    <definedName name="прьв" localSheetId="9">#REF!</definedName>
    <definedName name="прьв">#REF!</definedName>
    <definedName name="прьвпрь" localSheetId="10">[4]топография!#REF!</definedName>
    <definedName name="прьвпрь" localSheetId="9">[4]топография!#REF!</definedName>
    <definedName name="прьвпрь">[4]топография!#REF!</definedName>
    <definedName name="прьто" localSheetId="10">#REF!</definedName>
    <definedName name="прьто" localSheetId="9">#REF!</definedName>
    <definedName name="прьто">#REF!</definedName>
    <definedName name="Псковская_область" localSheetId="10">#REF!</definedName>
    <definedName name="Псковская_область" localSheetId="9">#REF!</definedName>
    <definedName name="Псковская_область">#REF!</definedName>
    <definedName name="псрл" localSheetId="10">#REF!</definedName>
    <definedName name="псрл" localSheetId="9">#REF!</definedName>
    <definedName name="псрл">#REF!</definedName>
    <definedName name="пуск" localSheetId="10">#REF!</definedName>
    <definedName name="пуск" localSheetId="12">#REF!</definedName>
    <definedName name="пуск" localSheetId="116">#REF!</definedName>
    <definedName name="пуск" localSheetId="110">#REF!</definedName>
    <definedName name="пуск" localSheetId="109">#REF!</definedName>
    <definedName name="пуск" localSheetId="108">#REF!</definedName>
    <definedName name="пуск" localSheetId="9">#REF!</definedName>
    <definedName name="пуск" localSheetId="92">#REF!</definedName>
    <definedName name="пуск" localSheetId="93">#REF!</definedName>
    <definedName name="пуск" localSheetId="94">#REF!</definedName>
    <definedName name="пуск" localSheetId="99">#REF!</definedName>
    <definedName name="пуск" localSheetId="100">#REF!</definedName>
    <definedName name="пуск" localSheetId="106">#REF!</definedName>
    <definedName name="пуск" localSheetId="4">#REF!</definedName>
    <definedName name="пуск" localSheetId="13">#REF!</definedName>
    <definedName name="пуск">#REF!</definedName>
    <definedName name="пшждю" localSheetId="10">#REF!</definedName>
    <definedName name="пшждю" localSheetId="9">#REF!</definedName>
    <definedName name="пшждю">#REF!</definedName>
    <definedName name="пьбю" localSheetId="10">#REF!</definedName>
    <definedName name="пьбю" localSheetId="9">#REF!</definedName>
    <definedName name="пьбю">#REF!</definedName>
    <definedName name="пьюию" localSheetId="10">#REF!</definedName>
    <definedName name="пьюию" localSheetId="9">#REF!</definedName>
    <definedName name="пьюию">#REF!</definedName>
    <definedName name="пятый" localSheetId="10">#REF!</definedName>
    <definedName name="пятый" localSheetId="9">#REF!</definedName>
    <definedName name="пятый">#REF!</definedName>
    <definedName name="р" localSheetId="10">#REF!</definedName>
    <definedName name="р" localSheetId="12">#REF!</definedName>
    <definedName name="р" localSheetId="116">#REF!</definedName>
    <definedName name="р" localSheetId="110">#REF!</definedName>
    <definedName name="р" localSheetId="109">#REF!</definedName>
    <definedName name="р" localSheetId="108">#REF!</definedName>
    <definedName name="р" localSheetId="9">#REF!</definedName>
    <definedName name="р" localSheetId="92">#REF!</definedName>
    <definedName name="р" localSheetId="93">#REF!</definedName>
    <definedName name="р" localSheetId="94">#REF!</definedName>
    <definedName name="р" localSheetId="99">#REF!</definedName>
    <definedName name="р" localSheetId="100">#REF!</definedName>
    <definedName name="р" localSheetId="106">#REF!</definedName>
    <definedName name="р" localSheetId="4">#REF!</definedName>
    <definedName name="р" localSheetId="13">#REF!</definedName>
    <definedName name="р">#REF!</definedName>
    <definedName name="рабдень">'[48]Расчет работы'!$G$2</definedName>
    <definedName name="Разработка" localSheetId="10">#REF!</definedName>
    <definedName name="Разработка" localSheetId="9">#REF!</definedName>
    <definedName name="Разработка">#REF!</definedName>
    <definedName name="Разработка_" localSheetId="10">#REF!</definedName>
    <definedName name="Разработка_" localSheetId="9">#REF!</definedName>
    <definedName name="Разработка_">#REF!</definedName>
    <definedName name="Районный_к_т_к_ЗП" localSheetId="10">'[53]Переменные и константы'!#REF!</definedName>
    <definedName name="Районный_к_т_к_ЗП" localSheetId="9">'[53]Переменные и константы'!#REF!</definedName>
    <definedName name="Районный_к_т_к_ЗП">'[53]Переменные и константы'!#REF!</definedName>
    <definedName name="Районный_к_т_к_ЗП_по_ресурсному_расчету" localSheetId="10">'[53]Переменные и константы'!#REF!</definedName>
    <definedName name="Районный_к_т_к_ЗП_по_ресурсному_расчету" localSheetId="9">'[53]Переменные и константы'!#REF!</definedName>
    <definedName name="Районный_к_т_к_ЗП_по_ресурсному_расчету">'[53]Переменные и константы'!#REF!</definedName>
    <definedName name="раоб" localSheetId="10">#REF!</definedName>
    <definedName name="раоб" localSheetId="9">#REF!</definedName>
    <definedName name="раоб">#REF!</definedName>
    <definedName name="раобароб" localSheetId="10">#REF!</definedName>
    <definedName name="раобароб" localSheetId="9">#REF!</definedName>
    <definedName name="раобароб">#REF!</definedName>
    <definedName name="раобь" localSheetId="10">#REF!</definedName>
    <definedName name="раобь" localSheetId="9">#REF!</definedName>
    <definedName name="раобь">#REF!</definedName>
    <definedName name="раолао" localSheetId="10">#REF!</definedName>
    <definedName name="раолао" localSheetId="9">#REF!</definedName>
    <definedName name="раолао">#REF!</definedName>
    <definedName name="Расчёт1">'[69]Смета 7'!$F$1</definedName>
    <definedName name="рбтмь" localSheetId="10">#REF!</definedName>
    <definedName name="рбтмь" localSheetId="9">#REF!</definedName>
    <definedName name="рбтмь">#REF!</definedName>
    <definedName name="ргл" localSheetId="10">#REF!</definedName>
    <definedName name="ргл" localSheetId="12">#REF!</definedName>
    <definedName name="ргл" localSheetId="116">#REF!</definedName>
    <definedName name="ргл" localSheetId="8">#REF!</definedName>
    <definedName name="ргл" localSheetId="11">#REF!</definedName>
    <definedName name="ргл" localSheetId="110">#REF!</definedName>
    <definedName name="ргл" localSheetId="109">#REF!</definedName>
    <definedName name="ргл" localSheetId="108">#REF!</definedName>
    <definedName name="ргл" localSheetId="6">#REF!</definedName>
    <definedName name="ргл" localSheetId="9">#REF!</definedName>
    <definedName name="ргл" localSheetId="7">#REF!</definedName>
    <definedName name="ргл" localSheetId="92">#REF!</definedName>
    <definedName name="ргл" localSheetId="93">#REF!</definedName>
    <definedName name="ргл" localSheetId="94">#REF!</definedName>
    <definedName name="ргл" localSheetId="99">#REF!</definedName>
    <definedName name="ргл" localSheetId="100">#REF!</definedName>
    <definedName name="ргл" localSheetId="106">#REF!</definedName>
    <definedName name="ргл" localSheetId="4">#REF!</definedName>
    <definedName name="ргл" localSheetId="13">#REF!</definedName>
    <definedName name="ргл">#REF!</definedName>
    <definedName name="РД" localSheetId="10">#REF!</definedName>
    <definedName name="РД" localSheetId="12">#REF!</definedName>
    <definedName name="РД" localSheetId="116">#REF!</definedName>
    <definedName name="РД" localSheetId="110">#REF!</definedName>
    <definedName name="РД" localSheetId="109">#REF!</definedName>
    <definedName name="РД" localSheetId="108">#REF!</definedName>
    <definedName name="РД" localSheetId="9">#REF!</definedName>
    <definedName name="РД" localSheetId="92">#REF!</definedName>
    <definedName name="РД" localSheetId="93">#REF!</definedName>
    <definedName name="РД" localSheetId="94">#REF!</definedName>
    <definedName name="РД" localSheetId="99">#REF!</definedName>
    <definedName name="РД" localSheetId="100">#REF!</definedName>
    <definedName name="РД" localSheetId="106">#REF!</definedName>
    <definedName name="РД" localSheetId="4">#REF!</definedName>
    <definedName name="РД" localSheetId="13">#REF!</definedName>
    <definedName name="РД">#REF!</definedName>
    <definedName name="рдп" localSheetId="10">#REF!</definedName>
    <definedName name="рдп" localSheetId="9">#REF!</definedName>
    <definedName name="рдп">#REF!</definedName>
    <definedName name="Регистрационный_номер_группы_строек" localSheetId="10">#REF!</definedName>
    <definedName name="Регистрационный_номер_группы_строек" localSheetId="9">#REF!</definedName>
    <definedName name="Регистрационный_номер_группы_строек">#REF!</definedName>
    <definedName name="Регистрационный_номер_локальной_сметы" localSheetId="10">#REF!</definedName>
    <definedName name="Регистрационный_номер_локальной_сметы" localSheetId="9">#REF!</definedName>
    <definedName name="Регистрационный_номер_локальной_сметы">#REF!</definedName>
    <definedName name="Регистрационный_номер_объекта" localSheetId="10">#REF!</definedName>
    <definedName name="Регистрационный_номер_объекта" localSheetId="9">#REF!</definedName>
    <definedName name="Регистрационный_номер_объекта">#REF!</definedName>
    <definedName name="Регистрационный_номер_объектной_сметы" localSheetId="10">#REF!</definedName>
    <definedName name="Регистрационный_номер_объектной_сметы" localSheetId="9">#REF!</definedName>
    <definedName name="Регистрационный_номер_объектной_сметы">#REF!</definedName>
    <definedName name="Регистрационный_номер_очереди" localSheetId="10">#REF!</definedName>
    <definedName name="Регистрационный_номер_очереди" localSheetId="9">#REF!</definedName>
    <definedName name="Регистрационный_номер_очереди">#REF!</definedName>
    <definedName name="Регистрационный_номер_пускового_комплекса" localSheetId="10">#REF!</definedName>
    <definedName name="Регистрационный_номер_пускового_комплекса" localSheetId="9">#REF!</definedName>
    <definedName name="Регистрационный_номер_пускового_комплекса">#REF!</definedName>
    <definedName name="Регистрационный_номер_сводного_сметного_расчета" localSheetId="10">#REF!</definedName>
    <definedName name="Регистрационный_номер_сводного_сметного_расчета" localSheetId="9">#REF!</definedName>
    <definedName name="Регистрационный_номер_сводного_сметного_расчета">#REF!</definedName>
    <definedName name="Регистрационный_номер_стройки" localSheetId="10">#REF!</definedName>
    <definedName name="Регистрационный_номер_стройки" localSheetId="9">#REF!</definedName>
    <definedName name="Регистрационный_номер_стройки">#REF!</definedName>
    <definedName name="рек" localSheetId="10">#REF!</definedName>
    <definedName name="рек" localSheetId="12">#REF!</definedName>
    <definedName name="рек" localSheetId="112">#REF!</definedName>
    <definedName name="рек" localSheetId="113">#REF!</definedName>
    <definedName name="рек" localSheetId="115">#REF!</definedName>
    <definedName name="рек" localSheetId="116">#REF!</definedName>
    <definedName name="рек" localSheetId="110">#REF!</definedName>
    <definedName name="рек" localSheetId="9">#REF!</definedName>
    <definedName name="рек" localSheetId="92">#REF!</definedName>
    <definedName name="рек" localSheetId="93">#REF!</definedName>
    <definedName name="рек" localSheetId="94">#REF!</definedName>
    <definedName name="рек" localSheetId="99">#REF!</definedName>
    <definedName name="рек" localSheetId="100">#REF!</definedName>
    <definedName name="рек" localSheetId="106">#REF!</definedName>
    <definedName name="рек" localSheetId="4">#REF!</definedName>
    <definedName name="рек" localSheetId="13">#REF!</definedName>
    <definedName name="рек">#REF!</definedName>
    <definedName name="Республика_Адыгея" localSheetId="10">#REF!</definedName>
    <definedName name="Республика_Адыгея" localSheetId="9">#REF!</definedName>
    <definedName name="Республика_Адыгея">#REF!</definedName>
    <definedName name="Республика_Алтай" localSheetId="10">#REF!</definedName>
    <definedName name="Республика_Алтай" localSheetId="9">#REF!</definedName>
    <definedName name="Республика_Алтай">#REF!</definedName>
    <definedName name="Республика_Алтай_1" localSheetId="10">#REF!</definedName>
    <definedName name="Республика_Алтай_1" localSheetId="9">#REF!</definedName>
    <definedName name="Республика_Алтай_1">#REF!</definedName>
    <definedName name="Республика_Башкортостан" localSheetId="10">#REF!</definedName>
    <definedName name="Республика_Башкортостан" localSheetId="9">#REF!</definedName>
    <definedName name="Республика_Башкортостан">#REF!</definedName>
    <definedName name="Республика_Башкортостан_1" localSheetId="10">#REF!</definedName>
    <definedName name="Республика_Башкортостан_1" localSheetId="9">#REF!</definedName>
    <definedName name="Республика_Башкортостан_1">#REF!</definedName>
    <definedName name="Республика_Бурятия" localSheetId="10">#REF!</definedName>
    <definedName name="Республика_Бурятия" localSheetId="9">#REF!</definedName>
    <definedName name="Республика_Бурятия">#REF!</definedName>
    <definedName name="Республика_Бурятия_1" localSheetId="10">#REF!</definedName>
    <definedName name="Республика_Бурятия_1" localSheetId="9">#REF!</definedName>
    <definedName name="Республика_Бурятия_1">#REF!</definedName>
    <definedName name="Республика_Дагестан" localSheetId="10">#REF!</definedName>
    <definedName name="Республика_Дагестан" localSheetId="9">#REF!</definedName>
    <definedName name="Республика_Дагестан">#REF!</definedName>
    <definedName name="Республика_Ингушетия" localSheetId="10">#REF!</definedName>
    <definedName name="Республика_Ингушетия" localSheetId="9">#REF!</definedName>
    <definedName name="Республика_Ингушетия">#REF!</definedName>
    <definedName name="Республика_Калмыкия" localSheetId="10">#REF!</definedName>
    <definedName name="Республика_Калмыкия" localSheetId="9">#REF!</definedName>
    <definedName name="Республика_Калмыкия">#REF!</definedName>
    <definedName name="Республика_Карелия" localSheetId="10">#REF!</definedName>
    <definedName name="Республика_Карелия" localSheetId="9">#REF!</definedName>
    <definedName name="Республика_Карелия">#REF!</definedName>
    <definedName name="Республика_Карелия_1" localSheetId="10">#REF!</definedName>
    <definedName name="Республика_Карелия_1" localSheetId="9">#REF!</definedName>
    <definedName name="Республика_Карелия_1">#REF!</definedName>
    <definedName name="Республика_Коми" localSheetId="10">#REF!</definedName>
    <definedName name="Республика_Коми" localSheetId="9">#REF!</definedName>
    <definedName name="Республика_Коми">#REF!</definedName>
    <definedName name="Республика_Коми_1" localSheetId="10">#REF!</definedName>
    <definedName name="Республика_Коми_1" localSheetId="9">#REF!</definedName>
    <definedName name="Республика_Коми_1">#REF!</definedName>
    <definedName name="Республика_Марий_Эл" localSheetId="10">#REF!</definedName>
    <definedName name="Республика_Марий_Эл" localSheetId="9">#REF!</definedName>
    <definedName name="Республика_Марий_Эл">#REF!</definedName>
    <definedName name="Республика_Мордовия" localSheetId="10">#REF!</definedName>
    <definedName name="Республика_Мордовия" localSheetId="9">#REF!</definedName>
    <definedName name="Республика_Мордовия">#REF!</definedName>
    <definedName name="Республика_Саха__Якутия" localSheetId="10">#REF!</definedName>
    <definedName name="Республика_Саха__Якутия" localSheetId="9">#REF!</definedName>
    <definedName name="Республика_Саха__Якутия">#REF!</definedName>
    <definedName name="Республика_Саха__Якутия_1" localSheetId="10">#REF!</definedName>
    <definedName name="Республика_Саха__Якутия_1" localSheetId="9">#REF!</definedName>
    <definedName name="Республика_Саха__Якутия_1">#REF!</definedName>
    <definedName name="Республика_Северная_Осетия___Алания" localSheetId="10">#REF!</definedName>
    <definedName name="Республика_Северная_Осетия___Алания" localSheetId="9">#REF!</definedName>
    <definedName name="Республика_Северная_Осетия___Алания">#REF!</definedName>
    <definedName name="Республика_Татарстан__Татарстан" localSheetId="10">#REF!</definedName>
    <definedName name="Республика_Татарстан__Татарстан" localSheetId="9">#REF!</definedName>
    <definedName name="Республика_Татарстан__Татарстан">#REF!</definedName>
    <definedName name="Республика_Татарстан__Татарстан_1" localSheetId="10">#REF!</definedName>
    <definedName name="Республика_Татарстан__Татарстан_1" localSheetId="9">#REF!</definedName>
    <definedName name="Республика_Татарстан__Татарстан_1">#REF!</definedName>
    <definedName name="Республика_Тыва" localSheetId="10">#REF!</definedName>
    <definedName name="Республика_Тыва" localSheetId="9">#REF!</definedName>
    <definedName name="Республика_Тыва">#REF!</definedName>
    <definedName name="Республика_Тыва_1" localSheetId="10">#REF!</definedName>
    <definedName name="Республика_Тыва_1" localSheetId="9">#REF!</definedName>
    <definedName name="Республика_Тыва_1">#REF!</definedName>
    <definedName name="Республика_Хакасия" localSheetId="10">#REF!</definedName>
    <definedName name="Республика_Хакасия" localSheetId="9">#REF!</definedName>
    <definedName name="Республика_Хакасия">#REF!</definedName>
    <definedName name="РЗА2" localSheetId="10">#REF!</definedName>
    <definedName name="РЗА2" localSheetId="9">#REF!</definedName>
    <definedName name="РЗА2">#REF!</definedName>
    <definedName name="рига">'[70]СметаСводная снег'!$E$7</definedName>
    <definedName name="рл" localSheetId="10">[27]топография!#REF!</definedName>
    <definedName name="рл" localSheetId="12">[7]топография!#REF!</definedName>
    <definedName name="рл" localSheetId="116">[7]топография!#REF!</definedName>
    <definedName name="рл" localSheetId="8">[27]топография!#REF!</definedName>
    <definedName name="рл" localSheetId="11">[27]топография!#REF!</definedName>
    <definedName name="рл" localSheetId="110">[7]топография!#REF!</definedName>
    <definedName name="рл" localSheetId="109">[7]топография!#REF!</definedName>
    <definedName name="рл" localSheetId="108">[7]топография!#REF!</definedName>
    <definedName name="рл" localSheetId="6">[27]топография!#REF!</definedName>
    <definedName name="рл" localSheetId="9">[27]топография!#REF!</definedName>
    <definedName name="рл" localSheetId="7">[27]топография!#REF!</definedName>
    <definedName name="рл" localSheetId="92">[7]топография!#REF!</definedName>
    <definedName name="рл" localSheetId="93">[7]топография!#REF!</definedName>
    <definedName name="рл" localSheetId="94">[7]топография!#REF!</definedName>
    <definedName name="рл" localSheetId="99">[7]топография!#REF!</definedName>
    <definedName name="рл" localSheetId="100">[7]топография!#REF!</definedName>
    <definedName name="рл" localSheetId="106">[7]топография!#REF!</definedName>
    <definedName name="рл">[7]топография!#REF!</definedName>
    <definedName name="рлвро" localSheetId="10">#REF!</definedName>
    <definedName name="рлвро" localSheetId="9">#REF!</definedName>
    <definedName name="рлвро">#REF!</definedName>
    <definedName name="рлд" localSheetId="10">#REF!</definedName>
    <definedName name="рлд" localSheetId="9">#REF!</definedName>
    <definedName name="рлд">#REF!</definedName>
    <definedName name="рлдг" localSheetId="10">#REF!</definedName>
    <definedName name="рлдг" localSheetId="9">#REF!</definedName>
    <definedName name="рлдг">#REF!</definedName>
    <definedName name="ровро" localSheetId="10">#REF!</definedName>
    <definedName name="ровро" localSheetId="9">#REF!</definedName>
    <definedName name="ровро">#REF!</definedName>
    <definedName name="родарод" localSheetId="10">#REF!</definedName>
    <definedName name="родарод" localSheetId="9">#REF!</definedName>
    <definedName name="родарод">#REF!</definedName>
    <definedName name="рож" localSheetId="10">#REF!</definedName>
    <definedName name="рож" localSheetId="9">#REF!</definedName>
    <definedName name="рож">#REF!</definedName>
    <definedName name="рол" localSheetId="10">[71]топография!#REF!</definedName>
    <definedName name="рол" localSheetId="12" hidden="1">{#N/A,#N/A,TRUE,"Смета на пасс. обор. №1"}</definedName>
    <definedName name="рол" localSheetId="111" hidden="1">{#N/A,#N/A,TRUE,"Смета на пасс. обор. №1"}</definedName>
    <definedName name="рол" localSheetId="112" hidden="1">{#N/A,#N/A,TRUE,"Смета на пасс. обор. №1"}</definedName>
    <definedName name="рол" localSheetId="113" hidden="1">{#N/A,#N/A,TRUE,"Смета на пасс. обор. №1"}</definedName>
    <definedName name="рол" localSheetId="114" hidden="1">{#N/A,#N/A,TRUE,"Смета на пасс. обор. №1"}</definedName>
    <definedName name="рол" localSheetId="115" hidden="1">{#N/A,#N/A,TRUE,"Смета на пасс. обор. №1"}</definedName>
    <definedName name="рол" localSheetId="116" hidden="1">{#N/A,#N/A,TRUE,"Смета на пасс. обор. №1"}</definedName>
    <definedName name="рол" localSheetId="117" hidden="1">{#N/A,#N/A,TRUE,"Смета на пасс. обор. №1"}</definedName>
    <definedName name="рол" localSheetId="118" hidden="1">{#N/A,#N/A,TRUE,"Смета на пасс. обор. №1"}</definedName>
    <definedName name="рол" localSheetId="121" hidden="1">{#N/A,#N/A,TRUE,"Смета на пасс. обор. №1"}</definedName>
    <definedName name="рол" localSheetId="122" hidden="1">{#N/A,#N/A,TRUE,"Смета на пасс. обор. №1"}</definedName>
    <definedName name="рол" localSheetId="8">[71]топография!#REF!</definedName>
    <definedName name="рол" localSheetId="11">[71]топография!#REF!</definedName>
    <definedName name="рол" localSheetId="110" hidden="1">{#N/A,#N/A,TRUE,"Смета на пасс. обор. №1"}</definedName>
    <definedName name="рол" localSheetId="109" hidden="1">{#N/A,#N/A,TRUE,"Смета на пасс. обор. №1"}</definedName>
    <definedName name="рол" localSheetId="108" hidden="1">{#N/A,#N/A,TRUE,"Смета на пасс. обор. №1"}</definedName>
    <definedName name="рол" localSheetId="6">[71]топография!#REF!</definedName>
    <definedName name="рол" localSheetId="9">[71]топография!#REF!</definedName>
    <definedName name="рол" localSheetId="7" hidden="1">{#N/A,#N/A,TRUE,"Смета на пасс. обор. №1"}</definedName>
    <definedName name="рол" localSheetId="92" hidden="1">{#N/A,#N/A,TRUE,"Смета на пасс. обор. №1"}</definedName>
    <definedName name="рол" localSheetId="93" hidden="1">{#N/A,#N/A,TRUE,"Смета на пасс. обор. №1"}</definedName>
    <definedName name="рол" localSheetId="94" hidden="1">{#N/A,#N/A,TRUE,"Смета на пасс. обор. №1"}</definedName>
    <definedName name="рол" localSheetId="99" hidden="1">{#N/A,#N/A,TRUE,"Смета на пасс. обор. №1"}</definedName>
    <definedName name="рол" localSheetId="100" hidden="1">{#N/A,#N/A,TRUE,"Смета на пасс. обор. №1"}</definedName>
    <definedName name="рол" localSheetId="106" hidden="1">{#N/A,#N/A,TRUE,"Смета на пасс. обор. №1"}</definedName>
    <definedName name="рол" localSheetId="2" hidden="1">{#N/A,#N/A,TRUE,"Смета на пасс. обор. №1"}</definedName>
    <definedName name="рол" localSheetId="123" hidden="1">{#N/A,#N/A,TRUE,"Смета на пасс. обор. №1"}</definedName>
    <definedName name="рол" localSheetId="4" hidden="1">{#N/A,#N/A,TRUE,"Смета на пасс. обор. №1"}</definedName>
    <definedName name="рол" localSheetId="13" hidden="1">{#N/A,#N/A,TRUE,"Смета на пасс. обор. №1"}</definedName>
    <definedName name="рол" hidden="1">{#N/A,#N/A,TRUE,"Смета на пасс. обор. №1"}</definedName>
    <definedName name="рол_1" localSheetId="10" hidden="1">{#N/A,#N/A,TRUE,"Смета на пасс. обор. №1"}</definedName>
    <definedName name="рол_1" localSheetId="12" hidden="1">{#N/A,#N/A,TRUE,"Смета на пасс. обор. №1"}</definedName>
    <definedName name="рол_1" localSheetId="111" hidden="1">{#N/A,#N/A,TRUE,"Смета на пасс. обор. №1"}</definedName>
    <definedName name="рол_1" localSheetId="112" hidden="1">{#N/A,#N/A,TRUE,"Смета на пасс. обор. №1"}</definedName>
    <definedName name="рол_1" localSheetId="113" hidden="1">{#N/A,#N/A,TRUE,"Смета на пасс. обор. №1"}</definedName>
    <definedName name="рол_1" localSheetId="114" hidden="1">{#N/A,#N/A,TRUE,"Смета на пасс. обор. №1"}</definedName>
    <definedName name="рол_1" localSheetId="115" hidden="1">{#N/A,#N/A,TRUE,"Смета на пасс. обор. №1"}</definedName>
    <definedName name="рол_1" localSheetId="116" hidden="1">{#N/A,#N/A,TRUE,"Смета на пасс. обор. №1"}</definedName>
    <definedName name="рол_1" localSheetId="117" hidden="1">{#N/A,#N/A,TRUE,"Смета на пасс. обор. №1"}</definedName>
    <definedName name="рол_1" localSheetId="118" hidden="1">{#N/A,#N/A,TRUE,"Смета на пасс. обор. №1"}</definedName>
    <definedName name="рол_1" localSheetId="121" hidden="1">{#N/A,#N/A,TRUE,"Смета на пасс. обор. №1"}</definedName>
    <definedName name="рол_1" localSheetId="122" hidden="1">{#N/A,#N/A,TRUE,"Смета на пасс. обор. №1"}</definedName>
    <definedName name="рол_1" localSheetId="8" hidden="1">{#N/A,#N/A,TRUE,"Смета на пасс. обор. №1"}</definedName>
    <definedName name="рол_1" localSheetId="11" hidden="1">{#N/A,#N/A,TRUE,"Смета на пасс. обор. №1"}</definedName>
    <definedName name="рол_1" localSheetId="110" hidden="1">{#N/A,#N/A,TRUE,"Смета на пасс. обор. №1"}</definedName>
    <definedName name="рол_1" localSheetId="109" hidden="1">{#N/A,#N/A,TRUE,"Смета на пасс. обор. №1"}</definedName>
    <definedName name="рол_1" localSheetId="108" hidden="1">{#N/A,#N/A,TRUE,"Смета на пасс. обор. №1"}</definedName>
    <definedName name="рол_1" localSheetId="6" hidden="1">{#N/A,#N/A,TRUE,"Смета на пасс. обор. №1"}</definedName>
    <definedName name="рол_1" localSheetId="9" hidden="1">{#N/A,#N/A,TRUE,"Смета на пасс. обор. №1"}</definedName>
    <definedName name="рол_1" localSheetId="7" hidden="1">{#N/A,#N/A,TRUE,"Смета на пасс. обор. №1"}</definedName>
    <definedName name="рол_1" localSheetId="92" hidden="1">{#N/A,#N/A,TRUE,"Смета на пасс. обор. №1"}</definedName>
    <definedName name="рол_1" localSheetId="93" hidden="1">{#N/A,#N/A,TRUE,"Смета на пасс. обор. №1"}</definedName>
    <definedName name="рол_1" localSheetId="94" hidden="1">{#N/A,#N/A,TRUE,"Смета на пасс. обор. №1"}</definedName>
    <definedName name="рол_1" localSheetId="99" hidden="1">{#N/A,#N/A,TRUE,"Смета на пасс. обор. №1"}</definedName>
    <definedName name="рол_1" localSheetId="100" hidden="1">{#N/A,#N/A,TRUE,"Смета на пасс. обор. №1"}</definedName>
    <definedName name="рол_1" localSheetId="106" hidden="1">{#N/A,#N/A,TRUE,"Смета на пасс. обор. №1"}</definedName>
    <definedName name="рол_1" localSheetId="2" hidden="1">{#N/A,#N/A,TRUE,"Смета на пасс. обор. №1"}</definedName>
    <definedName name="рол_1" localSheetId="123" hidden="1">{#N/A,#N/A,TRUE,"Смета на пасс. обор. №1"}</definedName>
    <definedName name="рол_1" localSheetId="4" hidden="1">{#N/A,#N/A,TRUE,"Смета на пасс. обор. №1"}</definedName>
    <definedName name="рол_1" localSheetId="13" hidden="1">{#N/A,#N/A,TRUE,"Смета на пасс. обор. №1"}</definedName>
    <definedName name="рол_1" hidden="1">{#N/A,#N/A,TRUE,"Смета на пасс. обор. №1"}</definedName>
    <definedName name="роло" localSheetId="10">#REF!</definedName>
    <definedName name="роло" localSheetId="12">#REF!</definedName>
    <definedName name="роло" localSheetId="116">#REF!</definedName>
    <definedName name="роло" localSheetId="8">#REF!</definedName>
    <definedName name="роло" localSheetId="11">#REF!</definedName>
    <definedName name="роло" localSheetId="110">#REF!</definedName>
    <definedName name="роло" localSheetId="109">#REF!</definedName>
    <definedName name="роло" localSheetId="108">#REF!</definedName>
    <definedName name="роло" localSheetId="6">#REF!</definedName>
    <definedName name="роло" localSheetId="9">#REF!</definedName>
    <definedName name="роло" localSheetId="7">#REF!</definedName>
    <definedName name="роло" localSheetId="92">#REF!</definedName>
    <definedName name="роло" localSheetId="93">#REF!</definedName>
    <definedName name="роло" localSheetId="94">#REF!</definedName>
    <definedName name="роло" localSheetId="99">#REF!</definedName>
    <definedName name="роло" localSheetId="100">#REF!</definedName>
    <definedName name="роло" localSheetId="106">#REF!</definedName>
    <definedName name="роло">#REF!</definedName>
    <definedName name="ропгнлпеглн" localSheetId="10">#REF!</definedName>
    <definedName name="ропгнлпеглн" localSheetId="12">#REF!</definedName>
    <definedName name="ропгнлпеглн" localSheetId="116">#REF!</definedName>
    <definedName name="ропгнлпеглн" localSheetId="8">#REF!</definedName>
    <definedName name="ропгнлпеглн" localSheetId="11">#REF!</definedName>
    <definedName name="ропгнлпеглн" localSheetId="110">#REF!</definedName>
    <definedName name="ропгнлпеглн" localSheetId="109">#REF!</definedName>
    <definedName name="ропгнлпеглн" localSheetId="108">#REF!</definedName>
    <definedName name="ропгнлпеглн" localSheetId="6">#REF!</definedName>
    <definedName name="ропгнлпеглн" localSheetId="9">#REF!</definedName>
    <definedName name="ропгнлпеглн" localSheetId="7">#REF!</definedName>
    <definedName name="ропгнлпеглн" localSheetId="92">#REF!</definedName>
    <definedName name="ропгнлпеглн" localSheetId="93">#REF!</definedName>
    <definedName name="ропгнлпеглн" localSheetId="94">#REF!</definedName>
    <definedName name="ропгнлпеглн" localSheetId="99">#REF!</definedName>
    <definedName name="ропгнлпеглн" localSheetId="100">#REF!</definedName>
    <definedName name="ропгнлпеглн" localSheetId="106">#REF!</definedName>
    <definedName name="ропгнлпеглн">#REF!</definedName>
    <definedName name="Ростовская_область" localSheetId="10">#REF!</definedName>
    <definedName name="Ростовская_область" localSheetId="9">#REF!</definedName>
    <definedName name="Ростовская_область">#REF!</definedName>
    <definedName name="рот" localSheetId="10">#REF!</definedName>
    <definedName name="рот" localSheetId="12">#REF!</definedName>
    <definedName name="рот" localSheetId="116">#REF!</definedName>
    <definedName name="рот" localSheetId="110">#REF!</definedName>
    <definedName name="рот" localSheetId="109">#REF!</definedName>
    <definedName name="рот" localSheetId="108">#REF!</definedName>
    <definedName name="рот" localSheetId="9">#REF!</definedName>
    <definedName name="рот" localSheetId="92">#REF!</definedName>
    <definedName name="рот" localSheetId="93">#REF!</definedName>
    <definedName name="рот" localSheetId="94">#REF!</definedName>
    <definedName name="рот" localSheetId="99">#REF!</definedName>
    <definedName name="рот" localSheetId="100">#REF!</definedName>
    <definedName name="рот" localSheetId="106">#REF!</definedName>
    <definedName name="рот">#REF!</definedName>
    <definedName name="рпачрпч" localSheetId="10">#REF!</definedName>
    <definedName name="рпачрпч" localSheetId="9">#REF!</definedName>
    <definedName name="рпачрпч">#REF!</definedName>
    <definedName name="рпв" localSheetId="10">#REF!</definedName>
    <definedName name="рпв" localSheetId="12">#REF!</definedName>
    <definedName name="рпв" localSheetId="110">#REF!</definedName>
    <definedName name="рпв" localSheetId="9">#REF!</definedName>
    <definedName name="рпв">#REF!</definedName>
    <definedName name="рплрл" localSheetId="10">#REF!</definedName>
    <definedName name="рплрл" localSheetId="9">#REF!</definedName>
    <definedName name="рплрл">#REF!</definedName>
    <definedName name="рповпр" localSheetId="10">#REF!</definedName>
    <definedName name="рповпр" localSheetId="9">#REF!</definedName>
    <definedName name="рповпр">#REF!</definedName>
    <definedName name="рповр" localSheetId="10">#REF!</definedName>
    <definedName name="рповр" localSheetId="9">#REF!</definedName>
    <definedName name="рповр">#REF!</definedName>
    <definedName name="рпьрь" localSheetId="10">#REF!</definedName>
    <definedName name="рпьрь" localSheetId="9">#REF!</definedName>
    <definedName name="рпьрь">#REF!</definedName>
    <definedName name="рр" localSheetId="10" hidden="1">{#N/A,#N/A,TRUE,"Смета на пасс. обор. №1"}</definedName>
    <definedName name="рр" localSheetId="12" hidden="1">{#N/A,#N/A,TRUE,"Смета на пасс. обор. №1"}</definedName>
    <definedName name="рр" localSheetId="111" hidden="1">{#N/A,#N/A,TRUE,"Смета на пасс. обор. №1"}</definedName>
    <definedName name="рр" localSheetId="112" hidden="1">{#N/A,#N/A,TRUE,"Смета на пасс. обор. №1"}</definedName>
    <definedName name="рр" localSheetId="113" hidden="1">{#N/A,#N/A,TRUE,"Смета на пасс. обор. №1"}</definedName>
    <definedName name="рр" localSheetId="114" hidden="1">{#N/A,#N/A,TRUE,"Смета на пасс. обор. №1"}</definedName>
    <definedName name="рр" localSheetId="115" hidden="1">{#N/A,#N/A,TRUE,"Смета на пасс. обор. №1"}</definedName>
    <definedName name="рр" localSheetId="116" hidden="1">{#N/A,#N/A,TRUE,"Смета на пасс. обор. №1"}</definedName>
    <definedName name="рр" localSheetId="117" hidden="1">{#N/A,#N/A,TRUE,"Смета на пасс. обор. №1"}</definedName>
    <definedName name="рр" localSheetId="118" hidden="1">{#N/A,#N/A,TRUE,"Смета на пасс. обор. №1"}</definedName>
    <definedName name="рр" localSheetId="121" hidden="1">{#N/A,#N/A,TRUE,"Смета на пасс. обор. №1"}</definedName>
    <definedName name="рр" localSheetId="122" hidden="1">{#N/A,#N/A,TRUE,"Смета на пасс. обор. №1"}</definedName>
    <definedName name="рр" localSheetId="8" hidden="1">{#N/A,#N/A,TRUE,"Смета на пасс. обор. №1"}</definedName>
    <definedName name="рр" localSheetId="11" hidden="1">{#N/A,#N/A,TRUE,"Смета на пасс. обор. №1"}</definedName>
    <definedName name="рр" localSheetId="110" hidden="1">{#N/A,#N/A,TRUE,"Смета на пасс. обор. №1"}</definedName>
    <definedName name="рр" localSheetId="109" hidden="1">{#N/A,#N/A,TRUE,"Смета на пасс. обор. №1"}</definedName>
    <definedName name="рр" localSheetId="108" hidden="1">{#N/A,#N/A,TRUE,"Смета на пасс. обор. №1"}</definedName>
    <definedName name="рр" localSheetId="6" hidden="1">{#N/A,#N/A,TRUE,"Смета на пасс. обор. №1"}</definedName>
    <definedName name="рр" localSheetId="9" hidden="1">{#N/A,#N/A,TRUE,"Смета на пасс. обор. №1"}</definedName>
    <definedName name="рр" localSheetId="7" hidden="1">{#N/A,#N/A,TRUE,"Смета на пасс. обор. №1"}</definedName>
    <definedName name="рр" localSheetId="92" hidden="1">{#N/A,#N/A,TRUE,"Смета на пасс. обор. №1"}</definedName>
    <definedName name="рр" localSheetId="93" hidden="1">{#N/A,#N/A,TRUE,"Смета на пасс. обор. №1"}</definedName>
    <definedName name="рр" localSheetId="94" hidden="1">{#N/A,#N/A,TRUE,"Смета на пасс. обор. №1"}</definedName>
    <definedName name="рр" localSheetId="99" hidden="1">{#N/A,#N/A,TRUE,"Смета на пасс. обор. №1"}</definedName>
    <definedName name="рр" localSheetId="100" hidden="1">{#N/A,#N/A,TRUE,"Смета на пасс. обор. №1"}</definedName>
    <definedName name="рр" localSheetId="106" hidden="1">{#N/A,#N/A,TRUE,"Смета на пасс. обор. №1"}</definedName>
    <definedName name="рр" localSheetId="2" hidden="1">{#N/A,#N/A,TRUE,"Смета на пасс. обор. №1"}</definedName>
    <definedName name="рр" localSheetId="123" hidden="1">{#N/A,#N/A,TRUE,"Смета на пасс. обор. №1"}</definedName>
    <definedName name="рр" localSheetId="4" hidden="1">{#N/A,#N/A,TRUE,"Смета на пасс. обор. №1"}</definedName>
    <definedName name="рр" localSheetId="13" hidden="1">{#N/A,#N/A,TRUE,"Смета на пасс. обор. №1"}</definedName>
    <definedName name="рр" hidden="1">{#N/A,#N/A,TRUE,"Смета на пасс. обор. №1"}</definedName>
    <definedName name="рр_1" localSheetId="10" hidden="1">{#N/A,#N/A,TRUE,"Смета на пасс. обор. №1"}</definedName>
    <definedName name="рр_1" localSheetId="12" hidden="1">{#N/A,#N/A,TRUE,"Смета на пасс. обор. №1"}</definedName>
    <definedName name="рр_1" localSheetId="111" hidden="1">{#N/A,#N/A,TRUE,"Смета на пасс. обор. №1"}</definedName>
    <definedName name="рр_1" localSheetId="112" hidden="1">{#N/A,#N/A,TRUE,"Смета на пасс. обор. №1"}</definedName>
    <definedName name="рр_1" localSheetId="113" hidden="1">{#N/A,#N/A,TRUE,"Смета на пасс. обор. №1"}</definedName>
    <definedName name="рр_1" localSheetId="114" hidden="1">{#N/A,#N/A,TRUE,"Смета на пасс. обор. №1"}</definedName>
    <definedName name="рр_1" localSheetId="115" hidden="1">{#N/A,#N/A,TRUE,"Смета на пасс. обор. №1"}</definedName>
    <definedName name="рр_1" localSheetId="116" hidden="1">{#N/A,#N/A,TRUE,"Смета на пасс. обор. №1"}</definedName>
    <definedName name="рр_1" localSheetId="117" hidden="1">{#N/A,#N/A,TRUE,"Смета на пасс. обор. №1"}</definedName>
    <definedName name="рр_1" localSheetId="118" hidden="1">{#N/A,#N/A,TRUE,"Смета на пасс. обор. №1"}</definedName>
    <definedName name="рр_1" localSheetId="121" hidden="1">{#N/A,#N/A,TRUE,"Смета на пасс. обор. №1"}</definedName>
    <definedName name="рр_1" localSheetId="122" hidden="1">{#N/A,#N/A,TRUE,"Смета на пасс. обор. №1"}</definedName>
    <definedName name="рр_1" localSheetId="8" hidden="1">{#N/A,#N/A,TRUE,"Смета на пасс. обор. №1"}</definedName>
    <definedName name="рр_1" localSheetId="11" hidden="1">{#N/A,#N/A,TRUE,"Смета на пасс. обор. №1"}</definedName>
    <definedName name="рр_1" localSheetId="110" hidden="1">{#N/A,#N/A,TRUE,"Смета на пасс. обор. №1"}</definedName>
    <definedName name="рр_1" localSheetId="109" hidden="1">{#N/A,#N/A,TRUE,"Смета на пасс. обор. №1"}</definedName>
    <definedName name="рр_1" localSheetId="108" hidden="1">{#N/A,#N/A,TRUE,"Смета на пасс. обор. №1"}</definedName>
    <definedName name="рр_1" localSheetId="6" hidden="1">{#N/A,#N/A,TRUE,"Смета на пасс. обор. №1"}</definedName>
    <definedName name="рр_1" localSheetId="9" hidden="1">{#N/A,#N/A,TRUE,"Смета на пасс. обор. №1"}</definedName>
    <definedName name="рр_1" localSheetId="7" hidden="1">{#N/A,#N/A,TRUE,"Смета на пасс. обор. №1"}</definedName>
    <definedName name="рр_1" localSheetId="92" hidden="1">{#N/A,#N/A,TRUE,"Смета на пасс. обор. №1"}</definedName>
    <definedName name="рр_1" localSheetId="93" hidden="1">{#N/A,#N/A,TRUE,"Смета на пасс. обор. №1"}</definedName>
    <definedName name="рр_1" localSheetId="94" hidden="1">{#N/A,#N/A,TRUE,"Смета на пасс. обор. №1"}</definedName>
    <definedName name="рр_1" localSheetId="99" hidden="1">{#N/A,#N/A,TRUE,"Смета на пасс. обор. №1"}</definedName>
    <definedName name="рр_1" localSheetId="100" hidden="1">{#N/A,#N/A,TRUE,"Смета на пасс. обор. №1"}</definedName>
    <definedName name="рр_1" localSheetId="106" hidden="1">{#N/A,#N/A,TRUE,"Смета на пасс. обор. №1"}</definedName>
    <definedName name="рр_1" localSheetId="2" hidden="1">{#N/A,#N/A,TRUE,"Смета на пасс. обор. №1"}</definedName>
    <definedName name="рр_1" localSheetId="123" hidden="1">{#N/A,#N/A,TRUE,"Смета на пасс. обор. №1"}</definedName>
    <definedName name="рр_1" localSheetId="4" hidden="1">{#N/A,#N/A,TRUE,"Смета на пасс. обор. №1"}</definedName>
    <definedName name="рр_1" localSheetId="13" hidden="1">{#N/A,#N/A,TRUE,"Смета на пасс. обор. №1"}</definedName>
    <definedName name="рр_1" hidden="1">{#N/A,#N/A,TRUE,"Смета на пасс. обор. №1"}</definedName>
    <definedName name="РРК" localSheetId="10">#REF!</definedName>
    <definedName name="РРК" localSheetId="12">#REF!</definedName>
    <definedName name="РРК" localSheetId="112">#REF!</definedName>
    <definedName name="РРК" localSheetId="113">#REF!</definedName>
    <definedName name="РРК" localSheetId="115">#REF!</definedName>
    <definedName name="РРК" localSheetId="116">#REF!</definedName>
    <definedName name="РРК" localSheetId="8">#REF!</definedName>
    <definedName name="РРК" localSheetId="11">#REF!</definedName>
    <definedName name="РРК" localSheetId="110">#REF!</definedName>
    <definedName name="РРК" localSheetId="6">#REF!</definedName>
    <definedName name="РРК" localSheetId="9">#REF!</definedName>
    <definedName name="РРК" localSheetId="7">#REF!</definedName>
    <definedName name="РРК" localSheetId="92">#REF!</definedName>
    <definedName name="РРК" localSheetId="93">#REF!</definedName>
    <definedName name="РРК" localSheetId="94">#REF!</definedName>
    <definedName name="РРК" localSheetId="99">#REF!</definedName>
    <definedName name="РРК" localSheetId="100">#REF!</definedName>
    <definedName name="РРК" localSheetId="106">#REF!</definedName>
    <definedName name="РРК">#REF!</definedName>
    <definedName name="ррюбр" localSheetId="10">#REF!</definedName>
    <definedName name="ррюбр" localSheetId="9">#REF!</definedName>
    <definedName name="ррюбр">#REF!</definedName>
    <definedName name="РСЛ" localSheetId="10">#REF!</definedName>
    <definedName name="РСЛ" localSheetId="12">#REF!</definedName>
    <definedName name="РСЛ" localSheetId="112">#REF!</definedName>
    <definedName name="РСЛ" localSheetId="113">#REF!</definedName>
    <definedName name="РСЛ" localSheetId="115">#REF!</definedName>
    <definedName name="РСЛ" localSheetId="116">#REF!</definedName>
    <definedName name="РСЛ" localSheetId="8">#REF!</definedName>
    <definedName name="РСЛ" localSheetId="11">#REF!</definedName>
    <definedName name="РСЛ" localSheetId="110">#REF!</definedName>
    <definedName name="РСЛ" localSheetId="6">#REF!</definedName>
    <definedName name="РСЛ" localSheetId="9">#REF!</definedName>
    <definedName name="РСЛ" localSheetId="7">#REF!</definedName>
    <definedName name="РСЛ" localSheetId="92">#REF!</definedName>
    <definedName name="РСЛ" localSheetId="93">#REF!</definedName>
    <definedName name="РСЛ" localSheetId="94">#REF!</definedName>
    <definedName name="РСЛ" localSheetId="99">#REF!</definedName>
    <definedName name="РСЛ" localSheetId="100">#REF!</definedName>
    <definedName name="РСЛ" localSheetId="106">#REF!</definedName>
    <definedName name="РСЛ">#REF!</definedName>
    <definedName name="руе" localSheetId="10">#REF!</definedName>
    <definedName name="руе" localSheetId="9">#REF!</definedName>
    <definedName name="руе">#REF!</definedName>
    <definedName name="Руководитель" localSheetId="10">#REF!</definedName>
    <definedName name="Руководитель" localSheetId="12">#REF!</definedName>
    <definedName name="Руководитель" localSheetId="110">#REF!</definedName>
    <definedName name="Руководитель" localSheetId="9">#REF!</definedName>
    <definedName name="Руководитель" localSheetId="92">#REF!</definedName>
    <definedName name="Руководитель" localSheetId="93">#REF!</definedName>
    <definedName name="Руководитель" localSheetId="94">#REF!</definedName>
    <definedName name="Руководитель" localSheetId="99">#REF!</definedName>
    <definedName name="Руководитель" localSheetId="100">#REF!</definedName>
    <definedName name="Руководитель" localSheetId="106">#REF!</definedName>
    <definedName name="Руководитель">#REF!</definedName>
    <definedName name="Руководитель_1" localSheetId="10">#REF!</definedName>
    <definedName name="Руководитель_1" localSheetId="9">#REF!</definedName>
    <definedName name="Руководитель_1">#REF!</definedName>
    <definedName name="ручей" localSheetId="10">#REF!</definedName>
    <definedName name="ручей" localSheetId="9">#REF!</definedName>
    <definedName name="ручей">#REF!</definedName>
    <definedName name="рыар" localSheetId="10">[4]топография!#REF!</definedName>
    <definedName name="рыар" localSheetId="9">[4]топография!#REF!</definedName>
    <definedName name="рыар">[4]топография!#REF!</definedName>
    <definedName name="Рязанская_область" localSheetId="10">#REF!</definedName>
    <definedName name="Рязанская_область" localSheetId="9">#REF!</definedName>
    <definedName name="Рязанская_область">#REF!</definedName>
    <definedName name="ряпр" localSheetId="10">[4]топография!#REF!</definedName>
    <definedName name="ряпр" localSheetId="9">[4]топография!#REF!</definedName>
    <definedName name="ряпр">[4]топография!#REF!</definedName>
    <definedName name="С" localSheetId="10" hidden="1">{#N/A,#N/A,FALSE,"Шаблон_Спец1"}</definedName>
    <definedName name="С" localSheetId="12" hidden="1">{#N/A,#N/A,FALSE,"Шаблон_Спец1"}</definedName>
    <definedName name="С" localSheetId="111" hidden="1">{#N/A,#N/A,FALSE,"Шаблон_Спец1"}</definedName>
    <definedName name="С" localSheetId="112" hidden="1">{#N/A,#N/A,FALSE,"Шаблон_Спец1"}</definedName>
    <definedName name="С" localSheetId="113" hidden="1">{#N/A,#N/A,FALSE,"Шаблон_Спец1"}</definedName>
    <definedName name="С" localSheetId="114" hidden="1">{#N/A,#N/A,FALSE,"Шаблон_Спец1"}</definedName>
    <definedName name="С" localSheetId="115" hidden="1">{#N/A,#N/A,FALSE,"Шаблон_Спец1"}</definedName>
    <definedName name="С" localSheetId="116" hidden="1">{#N/A,#N/A,FALSE,"Шаблон_Спец1"}</definedName>
    <definedName name="С" localSheetId="117" hidden="1">{#N/A,#N/A,FALSE,"Шаблон_Спец1"}</definedName>
    <definedName name="С" localSheetId="118" hidden="1">{#N/A,#N/A,FALSE,"Шаблон_Спец1"}</definedName>
    <definedName name="С" localSheetId="121" hidden="1">{#N/A,#N/A,FALSE,"Шаблон_Спец1"}</definedName>
    <definedName name="С" localSheetId="122" hidden="1">{#N/A,#N/A,FALSE,"Шаблон_Спец1"}</definedName>
    <definedName name="С" localSheetId="8" hidden="1">{#N/A,#N/A,FALSE,"Шаблон_Спец1"}</definedName>
    <definedName name="С" localSheetId="11" hidden="1">{#N/A,#N/A,FALSE,"Шаблон_Спец1"}</definedName>
    <definedName name="С" localSheetId="110" hidden="1">{#N/A,#N/A,FALSE,"Шаблон_Спец1"}</definedName>
    <definedName name="С" localSheetId="109" hidden="1">{#N/A,#N/A,FALSE,"Шаблон_Спец1"}</definedName>
    <definedName name="С" localSheetId="108" hidden="1">{#N/A,#N/A,FALSE,"Шаблон_Спец1"}</definedName>
    <definedName name="С" localSheetId="6" hidden="1">{#N/A,#N/A,FALSE,"Шаблон_Спец1"}</definedName>
    <definedName name="С" localSheetId="9" hidden="1">{#N/A,#N/A,FALSE,"Шаблон_Спец1"}</definedName>
    <definedName name="С" localSheetId="7" hidden="1">{#N/A,#N/A,FALSE,"Шаблон_Спец1"}</definedName>
    <definedName name="С" localSheetId="92" hidden="1">{#N/A,#N/A,FALSE,"Шаблон_Спец1"}</definedName>
    <definedName name="С" localSheetId="93" hidden="1">{#N/A,#N/A,FALSE,"Шаблон_Спец1"}</definedName>
    <definedName name="С" localSheetId="94" hidden="1">{#N/A,#N/A,FALSE,"Шаблон_Спец1"}</definedName>
    <definedName name="С" localSheetId="99" hidden="1">{#N/A,#N/A,FALSE,"Шаблон_Спец1"}</definedName>
    <definedName name="С" localSheetId="100" hidden="1">{#N/A,#N/A,FALSE,"Шаблон_Спец1"}</definedName>
    <definedName name="С" localSheetId="106" hidden="1">{#N/A,#N/A,FALSE,"Шаблон_Спец1"}</definedName>
    <definedName name="С" localSheetId="2" hidden="1">{#N/A,#N/A,FALSE,"Шаблон_Спец1"}</definedName>
    <definedName name="С" localSheetId="123" hidden="1">{#N/A,#N/A,FALSE,"Шаблон_Спец1"}</definedName>
    <definedName name="С" localSheetId="4" hidden="1">{#N/A,#N/A,FALSE,"Шаблон_Спец1"}</definedName>
    <definedName name="С" localSheetId="13" hidden="1">{#N/A,#N/A,FALSE,"Шаблон_Спец1"}</definedName>
    <definedName name="С" hidden="1">{#N/A,#N/A,FALSE,"Шаблон_Спец1"}</definedName>
    <definedName name="с_1" localSheetId="10" hidden="1">{#N/A,#N/A,TRUE,"Смета на пасс. обор. №1"}</definedName>
    <definedName name="с_1" localSheetId="12" hidden="1">{#N/A,#N/A,TRUE,"Смета на пасс. обор. №1"}</definedName>
    <definedName name="с_1" localSheetId="111" hidden="1">{#N/A,#N/A,TRUE,"Смета на пасс. обор. №1"}</definedName>
    <definedName name="с_1" localSheetId="112" hidden="1">{#N/A,#N/A,TRUE,"Смета на пасс. обор. №1"}</definedName>
    <definedName name="с_1" localSheetId="113" hidden="1">{#N/A,#N/A,TRUE,"Смета на пасс. обор. №1"}</definedName>
    <definedName name="с_1" localSheetId="114" hidden="1">{#N/A,#N/A,TRUE,"Смета на пасс. обор. №1"}</definedName>
    <definedName name="с_1" localSheetId="115" hidden="1">{#N/A,#N/A,TRUE,"Смета на пасс. обор. №1"}</definedName>
    <definedName name="с_1" localSheetId="116" hidden="1">{#N/A,#N/A,TRUE,"Смета на пасс. обор. №1"}</definedName>
    <definedName name="с_1" localSheetId="117" hidden="1">{#N/A,#N/A,TRUE,"Смета на пасс. обор. №1"}</definedName>
    <definedName name="с_1" localSheetId="118" hidden="1">{#N/A,#N/A,TRUE,"Смета на пасс. обор. №1"}</definedName>
    <definedName name="с_1" localSheetId="121" hidden="1">{#N/A,#N/A,TRUE,"Смета на пасс. обор. №1"}</definedName>
    <definedName name="с_1" localSheetId="122" hidden="1">{#N/A,#N/A,TRUE,"Смета на пасс. обор. №1"}</definedName>
    <definedName name="с_1" localSheetId="8" hidden="1">{#N/A,#N/A,TRUE,"Смета на пасс. обор. №1"}</definedName>
    <definedName name="с_1" localSheetId="11" hidden="1">{#N/A,#N/A,TRUE,"Смета на пасс. обор. №1"}</definedName>
    <definedName name="с_1" localSheetId="110" hidden="1">{#N/A,#N/A,TRUE,"Смета на пасс. обор. №1"}</definedName>
    <definedName name="с_1" localSheetId="109" hidden="1">{#N/A,#N/A,TRUE,"Смета на пасс. обор. №1"}</definedName>
    <definedName name="с_1" localSheetId="108" hidden="1">{#N/A,#N/A,TRUE,"Смета на пасс. обор. №1"}</definedName>
    <definedName name="с_1" localSheetId="6" hidden="1">{#N/A,#N/A,TRUE,"Смета на пасс. обор. №1"}</definedName>
    <definedName name="с_1" localSheetId="9" hidden="1">{#N/A,#N/A,TRUE,"Смета на пасс. обор. №1"}</definedName>
    <definedName name="с_1" localSheetId="7" hidden="1">{#N/A,#N/A,TRUE,"Смета на пасс. обор. №1"}</definedName>
    <definedName name="с_1" localSheetId="92" hidden="1">{#N/A,#N/A,TRUE,"Смета на пасс. обор. №1"}</definedName>
    <definedName name="с_1" localSheetId="93" hidden="1">{#N/A,#N/A,TRUE,"Смета на пасс. обор. №1"}</definedName>
    <definedName name="с_1" localSheetId="94" hidden="1">{#N/A,#N/A,TRUE,"Смета на пасс. обор. №1"}</definedName>
    <definedName name="с_1" localSheetId="99" hidden="1">{#N/A,#N/A,TRUE,"Смета на пасс. обор. №1"}</definedName>
    <definedName name="с_1" localSheetId="100" hidden="1">{#N/A,#N/A,TRUE,"Смета на пасс. обор. №1"}</definedName>
    <definedName name="с_1" localSheetId="106" hidden="1">{#N/A,#N/A,TRUE,"Смета на пасс. обор. №1"}</definedName>
    <definedName name="с_1" localSheetId="2" hidden="1">{#N/A,#N/A,TRUE,"Смета на пасс. обор. №1"}</definedName>
    <definedName name="с_1" localSheetId="123" hidden="1">{#N/A,#N/A,TRUE,"Смета на пасс. обор. №1"}</definedName>
    <definedName name="с_1" localSheetId="4" hidden="1">{#N/A,#N/A,TRUE,"Смета на пасс. обор. №1"}</definedName>
    <definedName name="с_1" localSheetId="13" hidden="1">{#N/A,#N/A,TRUE,"Смета на пасс. обор. №1"}</definedName>
    <definedName name="с_1" hidden="1">{#N/A,#N/A,TRUE,"Смета на пасс. обор. №1"}</definedName>
    <definedName name="с1" localSheetId="10">#REF!</definedName>
    <definedName name="с1" localSheetId="12">#REF!</definedName>
    <definedName name="с1" localSheetId="116">#REF!</definedName>
    <definedName name="с1" localSheetId="8">#REF!</definedName>
    <definedName name="с1" localSheetId="11">#REF!</definedName>
    <definedName name="с1" localSheetId="110">#REF!</definedName>
    <definedName name="с1" localSheetId="109">#REF!</definedName>
    <definedName name="с1" localSheetId="108">#REF!</definedName>
    <definedName name="с1" localSheetId="6">#REF!</definedName>
    <definedName name="с1" localSheetId="9">#REF!</definedName>
    <definedName name="с1" localSheetId="7">#REF!</definedName>
    <definedName name="с1" localSheetId="92">#REF!</definedName>
    <definedName name="с1" localSheetId="93">#REF!</definedName>
    <definedName name="с1" localSheetId="94">#REF!</definedName>
    <definedName name="с1" localSheetId="99">#REF!</definedName>
    <definedName name="с1" localSheetId="100">#REF!</definedName>
    <definedName name="с1" localSheetId="106">#REF!</definedName>
    <definedName name="с1">#REF!</definedName>
    <definedName name="с10" localSheetId="10">#REF!</definedName>
    <definedName name="с10" localSheetId="12">#REF!</definedName>
    <definedName name="с10" localSheetId="116">#REF!</definedName>
    <definedName name="с10" localSheetId="8">#REF!</definedName>
    <definedName name="с10" localSheetId="11">#REF!</definedName>
    <definedName name="с10" localSheetId="110">#REF!</definedName>
    <definedName name="с10" localSheetId="109">#REF!</definedName>
    <definedName name="с10" localSheetId="108">#REF!</definedName>
    <definedName name="с10" localSheetId="6">#REF!</definedName>
    <definedName name="с10" localSheetId="9">#REF!</definedName>
    <definedName name="с10" localSheetId="7">#REF!</definedName>
    <definedName name="с10" localSheetId="92">#REF!</definedName>
    <definedName name="с10" localSheetId="93">#REF!</definedName>
    <definedName name="с10" localSheetId="94">#REF!</definedName>
    <definedName name="с10" localSheetId="99">#REF!</definedName>
    <definedName name="с10" localSheetId="100">#REF!</definedName>
    <definedName name="с10" localSheetId="106">#REF!</definedName>
    <definedName name="с10">#REF!</definedName>
    <definedName name="с2" localSheetId="10">#REF!</definedName>
    <definedName name="с2" localSheetId="12">#REF!</definedName>
    <definedName name="с2" localSheetId="116">#REF!</definedName>
    <definedName name="с2" localSheetId="8">#REF!</definedName>
    <definedName name="с2" localSheetId="11">#REF!</definedName>
    <definedName name="с2" localSheetId="110">#REF!</definedName>
    <definedName name="с2" localSheetId="109">#REF!</definedName>
    <definedName name="с2" localSheetId="108">#REF!</definedName>
    <definedName name="с2" localSheetId="6">#REF!</definedName>
    <definedName name="с2" localSheetId="9">#REF!</definedName>
    <definedName name="с2" localSheetId="7">#REF!</definedName>
    <definedName name="с2" localSheetId="92">#REF!</definedName>
    <definedName name="с2" localSheetId="93">#REF!</definedName>
    <definedName name="с2" localSheetId="94">#REF!</definedName>
    <definedName name="с2" localSheetId="99">#REF!</definedName>
    <definedName name="с2" localSheetId="100">#REF!</definedName>
    <definedName name="с2" localSheetId="106">#REF!</definedName>
    <definedName name="с2">#REF!</definedName>
    <definedName name="с3" localSheetId="10">#REF!</definedName>
    <definedName name="с3" localSheetId="12">#REF!</definedName>
    <definedName name="с3" localSheetId="110">#REF!</definedName>
    <definedName name="с3" localSheetId="9">#REF!</definedName>
    <definedName name="с3" localSheetId="7">#REF!</definedName>
    <definedName name="с3">#REF!</definedName>
    <definedName name="с4" localSheetId="10">#REF!</definedName>
    <definedName name="с4" localSheetId="12">#REF!</definedName>
    <definedName name="с4" localSheetId="110">#REF!</definedName>
    <definedName name="с4" localSheetId="9">#REF!</definedName>
    <definedName name="с4">#REF!</definedName>
    <definedName name="с5" localSheetId="10">#REF!</definedName>
    <definedName name="с5" localSheetId="12">#REF!</definedName>
    <definedName name="с5" localSheetId="110">#REF!</definedName>
    <definedName name="с5" localSheetId="9">#REF!</definedName>
    <definedName name="с5">#REF!</definedName>
    <definedName name="с6" localSheetId="10">#REF!</definedName>
    <definedName name="с6" localSheetId="12">#REF!</definedName>
    <definedName name="с6" localSheetId="110">#REF!</definedName>
    <definedName name="с6" localSheetId="9">#REF!</definedName>
    <definedName name="с6">#REF!</definedName>
    <definedName name="с7" localSheetId="10">#REF!</definedName>
    <definedName name="с7" localSheetId="12">#REF!</definedName>
    <definedName name="с7" localSheetId="110">#REF!</definedName>
    <definedName name="с7" localSheetId="9">#REF!</definedName>
    <definedName name="с7">#REF!</definedName>
    <definedName name="с8" localSheetId="10">#REF!</definedName>
    <definedName name="с8" localSheetId="12">#REF!</definedName>
    <definedName name="с8" localSheetId="110">#REF!</definedName>
    <definedName name="с8" localSheetId="9">#REF!</definedName>
    <definedName name="с8">#REF!</definedName>
    <definedName name="с9" localSheetId="10">#REF!</definedName>
    <definedName name="с9" localSheetId="12">#REF!</definedName>
    <definedName name="с9" localSheetId="110">#REF!</definedName>
    <definedName name="с9" localSheetId="9">#REF!</definedName>
    <definedName name="с9">#REF!</definedName>
    <definedName name="саа" localSheetId="10">#REF!</definedName>
    <definedName name="саа" localSheetId="9">#REF!</definedName>
    <definedName name="саа">#REF!</definedName>
    <definedName name="сам" localSheetId="10" hidden="1">{#N/A,#N/A,TRUE,"Смета на пасс. обор. №1"}</definedName>
    <definedName name="сам" localSheetId="12" hidden="1">{#N/A,#N/A,TRUE,"Смета на пасс. обор. №1"}</definedName>
    <definedName name="сам" localSheetId="111" hidden="1">{#N/A,#N/A,TRUE,"Смета на пасс. обор. №1"}</definedName>
    <definedName name="сам" localSheetId="112" hidden="1">{#N/A,#N/A,TRUE,"Смета на пасс. обор. №1"}</definedName>
    <definedName name="сам" localSheetId="113" hidden="1">{#N/A,#N/A,TRUE,"Смета на пасс. обор. №1"}</definedName>
    <definedName name="сам" localSheetId="114" hidden="1">{#N/A,#N/A,TRUE,"Смета на пасс. обор. №1"}</definedName>
    <definedName name="сам" localSheetId="115" hidden="1">{#N/A,#N/A,TRUE,"Смета на пасс. обор. №1"}</definedName>
    <definedName name="сам" localSheetId="116" hidden="1">{#N/A,#N/A,TRUE,"Смета на пасс. обор. №1"}</definedName>
    <definedName name="сам" localSheetId="117" hidden="1">{#N/A,#N/A,TRUE,"Смета на пасс. обор. №1"}</definedName>
    <definedName name="сам" localSheetId="118" hidden="1">{#N/A,#N/A,TRUE,"Смета на пасс. обор. №1"}</definedName>
    <definedName name="сам" localSheetId="121" hidden="1">{#N/A,#N/A,TRUE,"Смета на пасс. обор. №1"}</definedName>
    <definedName name="сам" localSheetId="122" hidden="1">{#N/A,#N/A,TRUE,"Смета на пасс. обор. №1"}</definedName>
    <definedName name="сам" localSheetId="8" hidden="1">{#N/A,#N/A,TRUE,"Смета на пасс. обор. №1"}</definedName>
    <definedName name="сам" localSheetId="11" hidden="1">{#N/A,#N/A,TRUE,"Смета на пасс. обор. №1"}</definedName>
    <definedName name="сам" localSheetId="110" hidden="1">{#N/A,#N/A,TRUE,"Смета на пасс. обор. №1"}</definedName>
    <definedName name="сам" localSheetId="109" hidden="1">{#N/A,#N/A,TRUE,"Смета на пасс. обор. №1"}</definedName>
    <definedName name="сам" localSheetId="108" hidden="1">{#N/A,#N/A,TRUE,"Смета на пасс. обор. №1"}</definedName>
    <definedName name="сам" localSheetId="6" hidden="1">{#N/A,#N/A,TRUE,"Смета на пасс. обор. №1"}</definedName>
    <definedName name="сам" localSheetId="9" hidden="1">{#N/A,#N/A,TRUE,"Смета на пасс. обор. №1"}</definedName>
    <definedName name="сам" localSheetId="7" hidden="1">{#N/A,#N/A,TRUE,"Смета на пасс. обор. №1"}</definedName>
    <definedName name="сам" localSheetId="92" hidden="1">{#N/A,#N/A,TRUE,"Смета на пасс. обор. №1"}</definedName>
    <definedName name="сам" localSheetId="93" hidden="1">{#N/A,#N/A,TRUE,"Смета на пасс. обор. №1"}</definedName>
    <definedName name="сам" localSheetId="94" hidden="1">{#N/A,#N/A,TRUE,"Смета на пасс. обор. №1"}</definedName>
    <definedName name="сам" localSheetId="99" hidden="1">{#N/A,#N/A,TRUE,"Смета на пасс. обор. №1"}</definedName>
    <definedName name="сам" localSheetId="100" hidden="1">{#N/A,#N/A,TRUE,"Смета на пасс. обор. №1"}</definedName>
    <definedName name="сам" localSheetId="106" hidden="1">{#N/A,#N/A,TRUE,"Смета на пасс. обор. №1"}</definedName>
    <definedName name="сам" localSheetId="2" hidden="1">{#N/A,#N/A,TRUE,"Смета на пасс. обор. №1"}</definedName>
    <definedName name="сам" localSheetId="123" hidden="1">{#N/A,#N/A,TRUE,"Смета на пасс. обор. №1"}</definedName>
    <definedName name="сам" localSheetId="4" hidden="1">{#N/A,#N/A,TRUE,"Смета на пасс. обор. №1"}</definedName>
    <definedName name="сам" localSheetId="13" hidden="1">{#N/A,#N/A,TRUE,"Смета на пасс. обор. №1"}</definedName>
    <definedName name="сам" hidden="1">{#N/A,#N/A,TRUE,"Смета на пасс. обор. №1"}</definedName>
    <definedName name="сам_1" localSheetId="10" hidden="1">{#N/A,#N/A,TRUE,"Смета на пасс. обор. №1"}</definedName>
    <definedName name="сам_1" localSheetId="12" hidden="1">{#N/A,#N/A,TRUE,"Смета на пасс. обор. №1"}</definedName>
    <definedName name="сам_1" localSheetId="111" hidden="1">{#N/A,#N/A,TRUE,"Смета на пасс. обор. №1"}</definedName>
    <definedName name="сам_1" localSheetId="112" hidden="1">{#N/A,#N/A,TRUE,"Смета на пасс. обор. №1"}</definedName>
    <definedName name="сам_1" localSheetId="113" hidden="1">{#N/A,#N/A,TRUE,"Смета на пасс. обор. №1"}</definedName>
    <definedName name="сам_1" localSheetId="114" hidden="1">{#N/A,#N/A,TRUE,"Смета на пасс. обор. №1"}</definedName>
    <definedName name="сам_1" localSheetId="115" hidden="1">{#N/A,#N/A,TRUE,"Смета на пасс. обор. №1"}</definedName>
    <definedName name="сам_1" localSheetId="116" hidden="1">{#N/A,#N/A,TRUE,"Смета на пасс. обор. №1"}</definedName>
    <definedName name="сам_1" localSheetId="117" hidden="1">{#N/A,#N/A,TRUE,"Смета на пасс. обор. №1"}</definedName>
    <definedName name="сам_1" localSheetId="118" hidden="1">{#N/A,#N/A,TRUE,"Смета на пасс. обор. №1"}</definedName>
    <definedName name="сам_1" localSheetId="121" hidden="1">{#N/A,#N/A,TRUE,"Смета на пасс. обор. №1"}</definedName>
    <definedName name="сам_1" localSheetId="122" hidden="1">{#N/A,#N/A,TRUE,"Смета на пасс. обор. №1"}</definedName>
    <definedName name="сам_1" localSheetId="8" hidden="1">{#N/A,#N/A,TRUE,"Смета на пасс. обор. №1"}</definedName>
    <definedName name="сам_1" localSheetId="11" hidden="1">{#N/A,#N/A,TRUE,"Смета на пасс. обор. №1"}</definedName>
    <definedName name="сам_1" localSheetId="110" hidden="1">{#N/A,#N/A,TRUE,"Смета на пасс. обор. №1"}</definedName>
    <definedName name="сам_1" localSheetId="109" hidden="1">{#N/A,#N/A,TRUE,"Смета на пасс. обор. №1"}</definedName>
    <definedName name="сам_1" localSheetId="108" hidden="1">{#N/A,#N/A,TRUE,"Смета на пасс. обор. №1"}</definedName>
    <definedName name="сам_1" localSheetId="6" hidden="1">{#N/A,#N/A,TRUE,"Смета на пасс. обор. №1"}</definedName>
    <definedName name="сам_1" localSheetId="9" hidden="1">{#N/A,#N/A,TRUE,"Смета на пасс. обор. №1"}</definedName>
    <definedName name="сам_1" localSheetId="7" hidden="1">{#N/A,#N/A,TRUE,"Смета на пасс. обор. №1"}</definedName>
    <definedName name="сам_1" localSheetId="92" hidden="1">{#N/A,#N/A,TRUE,"Смета на пасс. обор. №1"}</definedName>
    <definedName name="сам_1" localSheetId="93" hidden="1">{#N/A,#N/A,TRUE,"Смета на пасс. обор. №1"}</definedName>
    <definedName name="сам_1" localSheetId="94" hidden="1">{#N/A,#N/A,TRUE,"Смета на пасс. обор. №1"}</definedName>
    <definedName name="сам_1" localSheetId="99" hidden="1">{#N/A,#N/A,TRUE,"Смета на пасс. обор. №1"}</definedName>
    <definedName name="сам_1" localSheetId="100" hidden="1">{#N/A,#N/A,TRUE,"Смета на пасс. обор. №1"}</definedName>
    <definedName name="сам_1" localSheetId="106" hidden="1">{#N/A,#N/A,TRUE,"Смета на пасс. обор. №1"}</definedName>
    <definedName name="сам_1" localSheetId="2" hidden="1">{#N/A,#N/A,TRUE,"Смета на пасс. обор. №1"}</definedName>
    <definedName name="сам_1" localSheetId="123" hidden="1">{#N/A,#N/A,TRUE,"Смета на пасс. обор. №1"}</definedName>
    <definedName name="сам_1" localSheetId="4" hidden="1">{#N/A,#N/A,TRUE,"Смета на пасс. обор. №1"}</definedName>
    <definedName name="сам_1" localSheetId="13" hidden="1">{#N/A,#N/A,TRUE,"Смета на пасс. обор. №1"}</definedName>
    <definedName name="сам_1" hidden="1">{#N/A,#N/A,TRUE,"Смета на пасс. обор. №1"}</definedName>
    <definedName name="Самарская_область" localSheetId="10">#REF!</definedName>
    <definedName name="Самарская_область" localSheetId="9">#REF!</definedName>
    <definedName name="Самарская_область">#REF!</definedName>
    <definedName name="Саратовская_область" localSheetId="10">#REF!</definedName>
    <definedName name="Саратовская_область" localSheetId="9">#REF!</definedName>
    <definedName name="Саратовская_область">#REF!</definedName>
    <definedName name="Сахалинская_область" localSheetId="10">#REF!</definedName>
    <definedName name="Сахалинская_область" localSheetId="9">#REF!</definedName>
    <definedName name="Сахалинская_область">#REF!</definedName>
    <definedName name="Сахалинская_область_1" localSheetId="10">#REF!</definedName>
    <definedName name="Сахалинская_область_1" localSheetId="9">#REF!</definedName>
    <definedName name="Сахалинская_область_1">#REF!</definedName>
    <definedName name="св1" localSheetId="10">[72]топография!#REF!</definedName>
    <definedName name="СВ1" localSheetId="12">#REF!</definedName>
    <definedName name="СВ1" localSheetId="116">#REF!</definedName>
    <definedName name="св1" localSheetId="8">[72]топография!#REF!</definedName>
    <definedName name="св1" localSheetId="11">[72]топография!#REF!</definedName>
    <definedName name="СВ1" localSheetId="110">#REF!</definedName>
    <definedName name="СВ1" localSheetId="109">#REF!</definedName>
    <definedName name="СВ1" localSheetId="108">#REF!</definedName>
    <definedName name="св1" localSheetId="6">[72]топография!#REF!</definedName>
    <definedName name="св1" localSheetId="9">[72]топография!#REF!</definedName>
    <definedName name="СВ1" localSheetId="7">#REF!</definedName>
    <definedName name="СВ1" localSheetId="92">#REF!</definedName>
    <definedName name="СВ1" localSheetId="93">#REF!</definedName>
    <definedName name="СВ1" localSheetId="94">#REF!</definedName>
    <definedName name="СВ1" localSheetId="99">#REF!</definedName>
    <definedName name="СВ1" localSheetId="100">#REF!</definedName>
    <definedName name="СВ1" localSheetId="106">#REF!</definedName>
    <definedName name="СВ1">#REF!</definedName>
    <definedName name="Свердловская_область" localSheetId="10">#REF!</definedName>
    <definedName name="Свердловская_область" localSheetId="9">#REF!</definedName>
    <definedName name="Свердловская_область">#REF!</definedName>
    <definedName name="Свердловская_область_1" localSheetId="10">#REF!</definedName>
    <definedName name="Свердловская_область_1" localSheetId="9">#REF!</definedName>
    <definedName name="Свердловская_область_1">#REF!</definedName>
    <definedName name="свод1" localSheetId="10">[73]топография!#REF!</definedName>
    <definedName name="Свод1" localSheetId="12">#REF!</definedName>
    <definedName name="Свод1" localSheetId="111">#REF!</definedName>
    <definedName name="Свод1" localSheetId="112">#REF!</definedName>
    <definedName name="Свод1" localSheetId="113">#REF!</definedName>
    <definedName name="Свод1" localSheetId="114">#REF!</definedName>
    <definedName name="свод1" localSheetId="115">[7]топография!#REF!</definedName>
    <definedName name="Свод1" localSheetId="116">#REF!</definedName>
    <definedName name="Свод1" localSheetId="117">#REF!</definedName>
    <definedName name="Свод1" localSheetId="118">#REF!</definedName>
    <definedName name="Свод1" localSheetId="121">#REF!</definedName>
    <definedName name="Свод1" localSheetId="122">#REF!</definedName>
    <definedName name="свод1" localSheetId="8">[73]топография!#REF!</definedName>
    <definedName name="свод1" localSheetId="11">[73]топография!#REF!</definedName>
    <definedName name="Свод1" localSheetId="110">#REF!</definedName>
    <definedName name="Свод1" localSheetId="109">#REF!</definedName>
    <definedName name="Свод1" localSheetId="108">#REF!</definedName>
    <definedName name="свод1" localSheetId="6">[73]топография!#REF!</definedName>
    <definedName name="свод1" localSheetId="9">[73]топография!#REF!</definedName>
    <definedName name="Свод1" localSheetId="7">#REF!</definedName>
    <definedName name="Свод1" localSheetId="92">#REF!</definedName>
    <definedName name="Свод1" localSheetId="93">#REF!</definedName>
    <definedName name="Свод1" localSheetId="94">#REF!</definedName>
    <definedName name="Свод1" localSheetId="99">#REF!</definedName>
    <definedName name="Свод1" localSheetId="100">#REF!</definedName>
    <definedName name="Свод1" localSheetId="106">#REF!</definedName>
    <definedName name="Свод1" localSheetId="2">#REF!</definedName>
    <definedName name="Свод1" localSheetId="4">#REF!</definedName>
    <definedName name="Свод1" localSheetId="13">#REF!</definedName>
    <definedName name="Свод1">#REF!</definedName>
    <definedName name="Сводка" localSheetId="10">#REF!</definedName>
    <definedName name="Сводка" localSheetId="9">#REF!</definedName>
    <definedName name="Сводка">#REF!</definedName>
    <definedName name="Сводная" localSheetId="10">#REF!</definedName>
    <definedName name="Сводная" localSheetId="12">#REF!</definedName>
    <definedName name="Сводная" localSheetId="115">#REF!</definedName>
    <definedName name="Сводная" localSheetId="8">#REF!</definedName>
    <definedName name="Сводная" localSheetId="11">#REF!</definedName>
    <definedName name="Сводная" localSheetId="110">#REF!</definedName>
    <definedName name="Сводная" localSheetId="6">#REF!</definedName>
    <definedName name="Сводная" localSheetId="9">#REF!</definedName>
    <definedName name="Сводная" localSheetId="7">#REF!</definedName>
    <definedName name="Сводная" localSheetId="92">#REF!</definedName>
    <definedName name="Сводная" localSheetId="93">#REF!</definedName>
    <definedName name="Сводная" localSheetId="94">#REF!</definedName>
    <definedName name="Сводная" localSheetId="99">#REF!</definedName>
    <definedName name="Сводная" localSheetId="100">#REF!</definedName>
    <definedName name="Сводная" localSheetId="106">#REF!</definedName>
    <definedName name="Сводная">#REF!</definedName>
    <definedName name="Сводная_новая1" localSheetId="10">#REF!</definedName>
    <definedName name="Сводная_новая1" localSheetId="12">#REF!</definedName>
    <definedName name="Сводная_новая1" localSheetId="115">#REF!</definedName>
    <definedName name="Сводная_новая1" localSheetId="8">#REF!</definedName>
    <definedName name="Сводная_новая1" localSheetId="11">#REF!</definedName>
    <definedName name="Сводная_новая1" localSheetId="110">#REF!</definedName>
    <definedName name="Сводная_новая1" localSheetId="6">#REF!</definedName>
    <definedName name="Сводная_новая1" localSheetId="9">#REF!</definedName>
    <definedName name="Сводная_новая1" localSheetId="7">#REF!</definedName>
    <definedName name="Сводная_новая1">#REF!</definedName>
    <definedName name="Сводная1" localSheetId="10">#REF!</definedName>
    <definedName name="Сводная1" localSheetId="12">#REF!</definedName>
    <definedName name="Сводная1" localSheetId="110">#REF!</definedName>
    <definedName name="Сводная1" localSheetId="9">#REF!</definedName>
    <definedName name="Сводная1">#REF!</definedName>
    <definedName name="Сводно_сметный_расчет" localSheetId="10">#REF!</definedName>
    <definedName name="Сводно_сметный_расчет" localSheetId="12">#REF!</definedName>
    <definedName name="Сводно_сметный_расчет" localSheetId="110">#REF!</definedName>
    <definedName name="Сводно_сметный_расчет" localSheetId="9">#REF!</definedName>
    <definedName name="Сводно_сметный_расчет">#REF!</definedName>
    <definedName name="Сводно_сметный_расчет_49" localSheetId="10">#REF!</definedName>
    <definedName name="Сводно_сметный_расчет_49" localSheetId="12">#REF!</definedName>
    <definedName name="Сводно_сметный_расчет_49" localSheetId="110">#REF!</definedName>
    <definedName name="Сводно_сметный_расчет_49" localSheetId="9">#REF!</definedName>
    <definedName name="Сводно_сметный_расчет_49">#REF!</definedName>
    <definedName name="Сводно_сметный_расчет_50" localSheetId="10">#REF!</definedName>
    <definedName name="Сводно_сметный_расчет_50" localSheetId="12">#REF!</definedName>
    <definedName name="Сводно_сметный_расчет_50" localSheetId="110">#REF!</definedName>
    <definedName name="Сводно_сметный_расчет_50" localSheetId="9">#REF!</definedName>
    <definedName name="Сводно_сметный_расчет_50">#REF!</definedName>
    <definedName name="Сводно_сметный_расчет_51" localSheetId="10">#REF!</definedName>
    <definedName name="Сводно_сметный_расчет_51" localSheetId="12">#REF!</definedName>
    <definedName name="Сводно_сметный_расчет_51" localSheetId="110">#REF!</definedName>
    <definedName name="Сводно_сметный_расчет_51" localSheetId="9">#REF!</definedName>
    <definedName name="Сводно_сметный_расчет_51">#REF!</definedName>
    <definedName name="Сводно_сметный_расчет_52" localSheetId="10">#REF!</definedName>
    <definedName name="Сводно_сметный_расчет_52" localSheetId="12">#REF!</definedName>
    <definedName name="Сводно_сметный_расчет_52" localSheetId="110">#REF!</definedName>
    <definedName name="Сводно_сметный_расчет_52" localSheetId="9">#REF!</definedName>
    <definedName name="Сводно_сметный_расчет_52">#REF!</definedName>
    <definedName name="Сводно_сметный_расчет_53" localSheetId="10">#REF!</definedName>
    <definedName name="Сводно_сметный_расчет_53" localSheetId="12">#REF!</definedName>
    <definedName name="Сводно_сметный_расчет_53" localSheetId="110">#REF!</definedName>
    <definedName name="Сводно_сметный_расчет_53" localSheetId="9">#REF!</definedName>
    <definedName name="Сводно_сметный_расчет_53">#REF!</definedName>
    <definedName name="Сводно_сметный_расчет_54" localSheetId="10">#REF!</definedName>
    <definedName name="Сводно_сметный_расчет_54" localSheetId="12">#REF!</definedName>
    <definedName name="Сводно_сметный_расчет_54" localSheetId="110">#REF!</definedName>
    <definedName name="Сводно_сметный_расчет_54" localSheetId="9">#REF!</definedName>
    <definedName name="Сводно_сметный_расчет_54">#REF!</definedName>
    <definedName name="сврд" localSheetId="10">[73]топография!#REF!</definedName>
    <definedName name="сврд" localSheetId="12">[7]топография!#REF!</definedName>
    <definedName name="сврд" localSheetId="8">[73]топография!#REF!</definedName>
    <definedName name="сврд" localSheetId="11">[73]топография!#REF!</definedName>
    <definedName name="сврд" localSheetId="110">[7]топография!#REF!</definedName>
    <definedName name="сврд" localSheetId="6">[73]топография!#REF!</definedName>
    <definedName name="сврд" localSheetId="9">[73]топография!#REF!</definedName>
    <definedName name="сврд" localSheetId="7">[73]топография!#REF!</definedName>
    <definedName name="сврд">[7]топография!#REF!</definedName>
    <definedName name="СВсм">[26]Вспомогательный!$D$36</definedName>
    <definedName name="сев" localSheetId="10">#REF!</definedName>
    <definedName name="сев" localSheetId="12">#REF!</definedName>
    <definedName name="сев" localSheetId="112">#REF!</definedName>
    <definedName name="сев" localSheetId="113">#REF!</definedName>
    <definedName name="сев" localSheetId="115">#REF!</definedName>
    <definedName name="сев" localSheetId="116">#REF!</definedName>
    <definedName name="сев" localSheetId="8">#REF!</definedName>
    <definedName name="сев" localSheetId="11">#REF!</definedName>
    <definedName name="сев" localSheetId="110">#REF!</definedName>
    <definedName name="сев" localSheetId="6">#REF!</definedName>
    <definedName name="сев" localSheetId="9">#REF!</definedName>
    <definedName name="сев" localSheetId="7">#REF!</definedName>
    <definedName name="сев" localSheetId="92">#REF!</definedName>
    <definedName name="сев" localSheetId="93">#REF!</definedName>
    <definedName name="сев" localSheetId="94">#REF!</definedName>
    <definedName name="сев" localSheetId="99">#REF!</definedName>
    <definedName name="сев" localSheetId="100">#REF!</definedName>
    <definedName name="сев" localSheetId="106">#REF!</definedName>
    <definedName name="сев" localSheetId="4">#REF!</definedName>
    <definedName name="сев" localSheetId="13">#REF!</definedName>
    <definedName name="сев">#REF!</definedName>
    <definedName name="Север" localSheetId="10">#REF!</definedName>
    <definedName name="Север" localSheetId="12">#REF!</definedName>
    <definedName name="Север" localSheetId="112">#REF!</definedName>
    <definedName name="Север" localSheetId="113">#REF!</definedName>
    <definedName name="Север" localSheetId="115">#REF!</definedName>
    <definedName name="Север" localSheetId="116">#REF!</definedName>
    <definedName name="Север" localSheetId="8">#REF!</definedName>
    <definedName name="Север" localSheetId="11">#REF!</definedName>
    <definedName name="Север" localSheetId="110">#REF!</definedName>
    <definedName name="Север" localSheetId="6">#REF!</definedName>
    <definedName name="Север" localSheetId="9">#REF!</definedName>
    <definedName name="Север" localSheetId="7">#REF!</definedName>
    <definedName name="Север" localSheetId="92">#REF!</definedName>
    <definedName name="Север" localSheetId="93">#REF!</definedName>
    <definedName name="Север" localSheetId="94">#REF!</definedName>
    <definedName name="Север" localSheetId="99">#REF!</definedName>
    <definedName name="Север" localSheetId="100">#REF!</definedName>
    <definedName name="Север" localSheetId="106">#REF!</definedName>
    <definedName name="Север" localSheetId="4">#REF!</definedName>
    <definedName name="Север" localSheetId="13">#REF!</definedName>
    <definedName name="Север">#REF!</definedName>
    <definedName name="Семь" localSheetId="10">#REF!</definedName>
    <definedName name="Семь" localSheetId="9">#REF!</definedName>
    <definedName name="Семь">#REF!</definedName>
    <definedName name="Сервис" localSheetId="10">#REF!</definedName>
    <definedName name="Сервис" localSheetId="9">#REF!</definedName>
    <definedName name="Сервис">#REF!</definedName>
    <definedName name="Сервис_Всего" localSheetId="10">'[24]Прайс лист'!#REF!</definedName>
    <definedName name="Сервис_Всего" localSheetId="9">'[24]Прайс лист'!#REF!</definedName>
    <definedName name="Сервис_Всего">'[24]Прайс лист'!#REF!</definedName>
    <definedName name="Сервис_Всего_1" localSheetId="10">#REF!</definedName>
    <definedName name="Сервис_Всего_1" localSheetId="9">#REF!</definedName>
    <definedName name="Сервис_Всего_1">#REF!</definedName>
    <definedName name="Сервисное_оборудование" localSheetId="10">[24]Коэфф1.!#REF!</definedName>
    <definedName name="Сервисное_оборудование" localSheetId="9">[24]Коэфф1.!#REF!</definedName>
    <definedName name="Сервисное_оборудование">[24]Коэфф1.!#REF!</definedName>
    <definedName name="Сервисное_оборудование_1" localSheetId="10">#REF!</definedName>
    <definedName name="Сервисное_оборудование_1" localSheetId="9">#REF!</definedName>
    <definedName name="Сервисное_оборудование_1">#REF!</definedName>
    <definedName name="см" localSheetId="10">#REF!</definedName>
    <definedName name="СМ" localSheetId="12">#REF!</definedName>
    <definedName name="см" localSheetId="8">#REF!</definedName>
    <definedName name="см" localSheetId="11">#REF!</definedName>
    <definedName name="СМ" localSheetId="110">#REF!</definedName>
    <definedName name="см" localSheetId="6">#REF!</definedName>
    <definedName name="см" localSheetId="9">#REF!</definedName>
    <definedName name="см" localSheetId="7">#REF!</definedName>
    <definedName name="СМ" localSheetId="92">#REF!</definedName>
    <definedName name="СМ" localSheetId="93">#REF!</definedName>
    <definedName name="СМ" localSheetId="94">#REF!</definedName>
    <definedName name="СМ" localSheetId="99">#REF!</definedName>
    <definedName name="СМ" localSheetId="100">#REF!</definedName>
    <definedName name="СМ" localSheetId="106">#REF!</definedName>
    <definedName name="СМ" localSheetId="4">#REF!</definedName>
    <definedName name="СМ" localSheetId="13">#REF!</definedName>
    <definedName name="СМ">#REF!</definedName>
    <definedName name="см.расч.Ставрополь" localSheetId="10">#REF!</definedName>
    <definedName name="см.расч.Ставрополь" localSheetId="12">#REF!</definedName>
    <definedName name="см.расч.Ставрополь" localSheetId="8">#REF!</definedName>
    <definedName name="см.расч.Ставрополь" localSheetId="11">#REF!</definedName>
    <definedName name="см.расч.Ставрополь" localSheetId="110">#REF!</definedName>
    <definedName name="см.расч.Ставрополь" localSheetId="6">#REF!</definedName>
    <definedName name="см.расч.Ставрополь" localSheetId="9">#REF!</definedName>
    <definedName name="см.расч.Ставрополь" localSheetId="7">#REF!</definedName>
    <definedName name="см.расч.Ставрополь">#REF!</definedName>
    <definedName name="см.расч.Ставрополь_1" localSheetId="10">#REF!</definedName>
    <definedName name="см.расч.Ставрополь_1" localSheetId="12">#REF!</definedName>
    <definedName name="см.расч.Ставрополь_1" localSheetId="110">#REF!</definedName>
    <definedName name="см.расч.Ставрополь_1" localSheetId="9">#REF!</definedName>
    <definedName name="см.расч.Ставрополь_1">#REF!</definedName>
    <definedName name="см.расч.Ставрополь_2" localSheetId="10">#REF!</definedName>
    <definedName name="см.расч.Ставрополь_2" localSheetId="12">#REF!</definedName>
    <definedName name="см.расч.Ставрополь_2" localSheetId="110">#REF!</definedName>
    <definedName name="см.расч.Ставрополь_2" localSheetId="9">#REF!</definedName>
    <definedName name="см.расч.Ставрополь_2">#REF!</definedName>
    <definedName name="см.расч.Ставрополь_22" localSheetId="10">#REF!</definedName>
    <definedName name="см.расч.Ставрополь_22" localSheetId="12">#REF!</definedName>
    <definedName name="см.расч.Ставрополь_22" localSheetId="110">#REF!</definedName>
    <definedName name="см.расч.Ставрополь_22" localSheetId="9">#REF!</definedName>
    <definedName name="см.расч.Ставрополь_22">#REF!</definedName>
    <definedName name="см.расч.Ставрополь_49" localSheetId="10">#REF!</definedName>
    <definedName name="см.расч.Ставрополь_49" localSheetId="12">#REF!</definedName>
    <definedName name="см.расч.Ставрополь_49" localSheetId="110">#REF!</definedName>
    <definedName name="см.расч.Ставрополь_49" localSheetId="9">#REF!</definedName>
    <definedName name="см.расч.Ставрополь_49">#REF!</definedName>
    <definedName name="см.расч.Ставрополь_5" localSheetId="10">#REF!</definedName>
    <definedName name="см.расч.Ставрополь_5" localSheetId="12">#REF!</definedName>
    <definedName name="см.расч.Ставрополь_5" localSheetId="110">#REF!</definedName>
    <definedName name="см.расч.Ставрополь_5" localSheetId="9">#REF!</definedName>
    <definedName name="см.расч.Ставрополь_5">#REF!</definedName>
    <definedName name="см.расч.Ставрополь_50" localSheetId="10">#REF!</definedName>
    <definedName name="см.расч.Ставрополь_50" localSheetId="12">#REF!</definedName>
    <definedName name="см.расч.Ставрополь_50" localSheetId="110">#REF!</definedName>
    <definedName name="см.расч.Ставрополь_50" localSheetId="9">#REF!</definedName>
    <definedName name="см.расч.Ставрополь_50">#REF!</definedName>
    <definedName name="см.расч.Ставрополь_51" localSheetId="10">#REF!</definedName>
    <definedName name="см.расч.Ставрополь_51" localSheetId="12">#REF!</definedName>
    <definedName name="см.расч.Ставрополь_51" localSheetId="110">#REF!</definedName>
    <definedName name="см.расч.Ставрополь_51" localSheetId="9">#REF!</definedName>
    <definedName name="см.расч.Ставрополь_51">#REF!</definedName>
    <definedName name="см.расч.Ставрополь_52" localSheetId="10">#REF!</definedName>
    <definedName name="см.расч.Ставрополь_52" localSheetId="12">#REF!</definedName>
    <definedName name="см.расч.Ставрополь_52" localSheetId="110">#REF!</definedName>
    <definedName name="см.расч.Ставрополь_52" localSheetId="9">#REF!</definedName>
    <definedName name="см.расч.Ставрополь_52">#REF!</definedName>
    <definedName name="см.расч.Ставрополь_53" localSheetId="10">#REF!</definedName>
    <definedName name="см.расч.Ставрополь_53" localSheetId="12">#REF!</definedName>
    <definedName name="см.расч.Ставрополь_53" localSheetId="110">#REF!</definedName>
    <definedName name="см.расч.Ставрополь_53" localSheetId="9">#REF!</definedName>
    <definedName name="см.расч.Ставрополь_53">#REF!</definedName>
    <definedName name="см.расч.Ставрополь_54" localSheetId="10">#REF!</definedName>
    <definedName name="см.расч.Ставрополь_54" localSheetId="12">#REF!</definedName>
    <definedName name="см.расч.Ставрополь_54" localSheetId="110">#REF!</definedName>
    <definedName name="см.расч.Ставрополь_54" localSheetId="9">#REF!</definedName>
    <definedName name="см.расч.Ставрополь_54">#REF!</definedName>
    <definedName name="см.расчетАстрахань" localSheetId="10">#REF!</definedName>
    <definedName name="см.расчетАстрахань" localSheetId="12">#REF!</definedName>
    <definedName name="см.расчетАстрахань" localSheetId="110">#REF!</definedName>
    <definedName name="см.расчетАстрахань" localSheetId="9">#REF!</definedName>
    <definedName name="см.расчетАстрахань">#REF!</definedName>
    <definedName name="см.расчетАстрахань_1" localSheetId="10">#REF!</definedName>
    <definedName name="см.расчетАстрахань_1" localSheetId="12">#REF!</definedName>
    <definedName name="см.расчетАстрахань_1" localSheetId="110">#REF!</definedName>
    <definedName name="см.расчетАстрахань_1" localSheetId="9">#REF!</definedName>
    <definedName name="см.расчетАстрахань_1">#REF!</definedName>
    <definedName name="см.расчетАстрахань_2" localSheetId="10">#REF!</definedName>
    <definedName name="см.расчетАстрахань_2" localSheetId="12">#REF!</definedName>
    <definedName name="см.расчетАстрахань_2" localSheetId="110">#REF!</definedName>
    <definedName name="см.расчетАстрахань_2" localSheetId="9">#REF!</definedName>
    <definedName name="см.расчетАстрахань_2">#REF!</definedName>
    <definedName name="см.расчетАстрахань_22" localSheetId="10">#REF!</definedName>
    <definedName name="см.расчетАстрахань_22" localSheetId="12">#REF!</definedName>
    <definedName name="см.расчетАстрахань_22" localSheetId="110">#REF!</definedName>
    <definedName name="см.расчетАстрахань_22" localSheetId="9">#REF!</definedName>
    <definedName name="см.расчетАстрахань_22">#REF!</definedName>
    <definedName name="см.расчетАстрахань_49" localSheetId="10">#REF!</definedName>
    <definedName name="см.расчетАстрахань_49" localSheetId="12">#REF!</definedName>
    <definedName name="см.расчетАстрахань_49" localSheetId="110">#REF!</definedName>
    <definedName name="см.расчетАстрахань_49" localSheetId="9">#REF!</definedName>
    <definedName name="см.расчетАстрахань_49">#REF!</definedName>
    <definedName name="см.расчетАстрахань_5" localSheetId="10">#REF!</definedName>
    <definedName name="см.расчетАстрахань_5" localSheetId="12">#REF!</definedName>
    <definedName name="см.расчетАстрахань_5" localSheetId="110">#REF!</definedName>
    <definedName name="см.расчетАстрахань_5" localSheetId="9">#REF!</definedName>
    <definedName name="см.расчетАстрахань_5">#REF!</definedName>
    <definedName name="см.расчетАстрахань_50" localSheetId="10">#REF!</definedName>
    <definedName name="см.расчетАстрахань_50" localSheetId="12">#REF!</definedName>
    <definedName name="см.расчетАстрахань_50" localSheetId="110">#REF!</definedName>
    <definedName name="см.расчетАстрахань_50" localSheetId="9">#REF!</definedName>
    <definedName name="см.расчетАстрахань_50">#REF!</definedName>
    <definedName name="см.расчетАстрахань_51" localSheetId="10">#REF!</definedName>
    <definedName name="см.расчетАстрахань_51" localSheetId="12">#REF!</definedName>
    <definedName name="см.расчетАстрахань_51" localSheetId="110">#REF!</definedName>
    <definedName name="см.расчетАстрахань_51" localSheetId="9">#REF!</definedName>
    <definedName name="см.расчетАстрахань_51">#REF!</definedName>
    <definedName name="см.расчетАстрахань_52" localSheetId="10">#REF!</definedName>
    <definedName name="см.расчетАстрахань_52" localSheetId="12">#REF!</definedName>
    <definedName name="см.расчетАстрахань_52" localSheetId="110">#REF!</definedName>
    <definedName name="см.расчетАстрахань_52" localSheetId="9">#REF!</definedName>
    <definedName name="см.расчетАстрахань_52">#REF!</definedName>
    <definedName name="см.расчетАстрахань_53" localSheetId="10">#REF!</definedName>
    <definedName name="см.расчетАстрахань_53" localSheetId="12">#REF!</definedName>
    <definedName name="см.расчетАстрахань_53" localSheetId="110">#REF!</definedName>
    <definedName name="см.расчетАстрахань_53" localSheetId="9">#REF!</definedName>
    <definedName name="см.расчетАстрахань_53">#REF!</definedName>
    <definedName name="см.расчетАстрахань_54" localSheetId="10">#REF!</definedName>
    <definedName name="см.расчетАстрахань_54" localSheetId="12">#REF!</definedName>
    <definedName name="см.расчетАстрахань_54" localSheetId="110">#REF!</definedName>
    <definedName name="см.расчетАстрахань_54" localSheetId="9">#REF!</definedName>
    <definedName name="см.расчетАстрахань_54">#REF!</definedName>
    <definedName name="см.расчетМахачкала" localSheetId="10">#REF!</definedName>
    <definedName name="см.расчетМахачкала" localSheetId="12">#REF!</definedName>
    <definedName name="см.расчетМахачкала" localSheetId="110">#REF!</definedName>
    <definedName name="см.расчетМахачкала" localSheetId="9">#REF!</definedName>
    <definedName name="см.расчетМахачкала">#REF!</definedName>
    <definedName name="см.расчетМахачкала_1" localSheetId="10">#REF!</definedName>
    <definedName name="см.расчетМахачкала_1" localSheetId="12">#REF!</definedName>
    <definedName name="см.расчетМахачкала_1" localSheetId="110">#REF!</definedName>
    <definedName name="см.расчетМахачкала_1" localSheetId="9">#REF!</definedName>
    <definedName name="см.расчетМахачкала_1">#REF!</definedName>
    <definedName name="см.расчетМахачкала_2" localSheetId="10">#REF!</definedName>
    <definedName name="см.расчетМахачкала_2" localSheetId="12">#REF!</definedName>
    <definedName name="см.расчетМахачкала_2" localSheetId="110">#REF!</definedName>
    <definedName name="см.расчетМахачкала_2" localSheetId="9">#REF!</definedName>
    <definedName name="см.расчетМахачкала_2">#REF!</definedName>
    <definedName name="см.расчетМахачкала_22" localSheetId="10">#REF!</definedName>
    <definedName name="см.расчетМахачкала_22" localSheetId="12">#REF!</definedName>
    <definedName name="см.расчетМахачкала_22" localSheetId="110">#REF!</definedName>
    <definedName name="см.расчетМахачкала_22" localSheetId="9">#REF!</definedName>
    <definedName name="см.расчетМахачкала_22">#REF!</definedName>
    <definedName name="см.расчетМахачкала_49" localSheetId="10">#REF!</definedName>
    <definedName name="см.расчетМахачкала_49" localSheetId="12">#REF!</definedName>
    <definedName name="см.расчетМахачкала_49" localSheetId="110">#REF!</definedName>
    <definedName name="см.расчетМахачкала_49" localSheetId="9">#REF!</definedName>
    <definedName name="см.расчетМахачкала_49">#REF!</definedName>
    <definedName name="см.расчетМахачкала_5" localSheetId="10">#REF!</definedName>
    <definedName name="см.расчетМахачкала_5" localSheetId="12">#REF!</definedName>
    <definedName name="см.расчетМахачкала_5" localSheetId="110">#REF!</definedName>
    <definedName name="см.расчетМахачкала_5" localSheetId="9">#REF!</definedName>
    <definedName name="см.расчетМахачкала_5">#REF!</definedName>
    <definedName name="см.расчетМахачкала_50" localSheetId="10">#REF!</definedName>
    <definedName name="см.расчетМахачкала_50" localSheetId="12">#REF!</definedName>
    <definedName name="см.расчетМахачкала_50" localSheetId="110">#REF!</definedName>
    <definedName name="см.расчетМахачкала_50" localSheetId="9">#REF!</definedName>
    <definedName name="см.расчетМахачкала_50">#REF!</definedName>
    <definedName name="см.расчетМахачкала_51" localSheetId="10">#REF!</definedName>
    <definedName name="см.расчетМахачкала_51" localSheetId="12">#REF!</definedName>
    <definedName name="см.расчетМахачкала_51" localSheetId="110">#REF!</definedName>
    <definedName name="см.расчетМахачкала_51" localSheetId="9">#REF!</definedName>
    <definedName name="см.расчетМахачкала_51">#REF!</definedName>
    <definedName name="см.расчетМахачкала_52" localSheetId="10">#REF!</definedName>
    <definedName name="см.расчетМахачкала_52" localSheetId="12">#REF!</definedName>
    <definedName name="см.расчетМахачкала_52" localSheetId="110">#REF!</definedName>
    <definedName name="см.расчетМахачкала_52" localSheetId="9">#REF!</definedName>
    <definedName name="см.расчетМахачкала_52">#REF!</definedName>
    <definedName name="см.расчетМахачкала_53" localSheetId="10">#REF!</definedName>
    <definedName name="см.расчетМахачкала_53" localSheetId="12">#REF!</definedName>
    <definedName name="см.расчетМахачкала_53" localSheetId="110">#REF!</definedName>
    <definedName name="см.расчетМахачкала_53" localSheetId="9">#REF!</definedName>
    <definedName name="см.расчетМахачкала_53">#REF!</definedName>
    <definedName name="см.расчетМахачкала_54" localSheetId="10">#REF!</definedName>
    <definedName name="см.расчетМахачкала_54" localSheetId="12">#REF!</definedName>
    <definedName name="см.расчетМахачкала_54" localSheetId="110">#REF!</definedName>
    <definedName name="см.расчетМахачкала_54" localSheetId="9">#REF!</definedName>
    <definedName name="см.расчетМахачкала_54">#REF!</definedName>
    <definedName name="см.расчетН.Новгород" localSheetId="10">#REF!</definedName>
    <definedName name="см.расчетН.Новгород" localSheetId="12">#REF!</definedName>
    <definedName name="см.расчетН.Новгород" localSheetId="110">#REF!</definedName>
    <definedName name="см.расчетН.Новгород" localSheetId="9">#REF!</definedName>
    <definedName name="см.расчетН.Новгород">#REF!</definedName>
    <definedName name="см.расчетН.Новгород_1" localSheetId="10">#REF!</definedName>
    <definedName name="см.расчетН.Новгород_1" localSheetId="12">#REF!</definedName>
    <definedName name="см.расчетН.Новгород_1" localSheetId="110">#REF!</definedName>
    <definedName name="см.расчетН.Новгород_1" localSheetId="9">#REF!</definedName>
    <definedName name="см.расчетН.Новгород_1">#REF!</definedName>
    <definedName name="см.расчетН.Новгород_2" localSheetId="10">#REF!</definedName>
    <definedName name="см.расчетН.Новгород_2" localSheetId="12">#REF!</definedName>
    <definedName name="см.расчетН.Новгород_2" localSheetId="110">#REF!</definedName>
    <definedName name="см.расчетН.Новгород_2" localSheetId="9">#REF!</definedName>
    <definedName name="см.расчетН.Новгород_2">#REF!</definedName>
    <definedName name="см.расчетН.Новгород_22" localSheetId="10">#REF!</definedName>
    <definedName name="см.расчетН.Новгород_22" localSheetId="12">#REF!</definedName>
    <definedName name="см.расчетН.Новгород_22" localSheetId="110">#REF!</definedName>
    <definedName name="см.расчетН.Новгород_22" localSheetId="9">#REF!</definedName>
    <definedName name="см.расчетН.Новгород_22">#REF!</definedName>
    <definedName name="см.расчетН.Новгород_49" localSheetId="10">#REF!</definedName>
    <definedName name="см.расчетН.Новгород_49" localSheetId="12">#REF!</definedName>
    <definedName name="см.расчетН.Новгород_49" localSheetId="110">#REF!</definedName>
    <definedName name="см.расчетН.Новгород_49" localSheetId="9">#REF!</definedName>
    <definedName name="см.расчетН.Новгород_49">#REF!</definedName>
    <definedName name="см.расчетН.Новгород_5" localSheetId="10">#REF!</definedName>
    <definedName name="см.расчетН.Новгород_5" localSheetId="12">#REF!</definedName>
    <definedName name="см.расчетН.Новгород_5" localSheetId="110">#REF!</definedName>
    <definedName name="см.расчетН.Новгород_5" localSheetId="9">#REF!</definedName>
    <definedName name="см.расчетН.Новгород_5">#REF!</definedName>
    <definedName name="см.расчетН.Новгород_50" localSheetId="10">#REF!</definedName>
    <definedName name="см.расчетН.Новгород_50" localSheetId="12">#REF!</definedName>
    <definedName name="см.расчетН.Новгород_50" localSheetId="110">#REF!</definedName>
    <definedName name="см.расчетН.Новгород_50" localSheetId="9">#REF!</definedName>
    <definedName name="см.расчетН.Новгород_50">#REF!</definedName>
    <definedName name="см.расчетН.Новгород_51" localSheetId="10">#REF!</definedName>
    <definedName name="см.расчетН.Новгород_51" localSheetId="12">#REF!</definedName>
    <definedName name="см.расчетН.Новгород_51" localSheetId="110">#REF!</definedName>
    <definedName name="см.расчетН.Новгород_51" localSheetId="9">#REF!</definedName>
    <definedName name="см.расчетН.Новгород_51">#REF!</definedName>
    <definedName name="см.расчетН.Новгород_52" localSheetId="10">#REF!</definedName>
    <definedName name="см.расчетН.Новгород_52" localSheetId="12">#REF!</definedName>
    <definedName name="см.расчетН.Новгород_52" localSheetId="110">#REF!</definedName>
    <definedName name="см.расчетН.Новгород_52" localSheetId="9">#REF!</definedName>
    <definedName name="см.расчетН.Новгород_52">#REF!</definedName>
    <definedName name="см.расчетН.Новгород_53" localSheetId="10">#REF!</definedName>
    <definedName name="см.расчетН.Новгород_53" localSheetId="12">#REF!</definedName>
    <definedName name="см.расчетН.Новгород_53" localSheetId="110">#REF!</definedName>
    <definedName name="см.расчетН.Новгород_53" localSheetId="9">#REF!</definedName>
    <definedName name="см.расчетН.Новгород_53">#REF!</definedName>
    <definedName name="см.расчетН.Новгород_54" localSheetId="10">#REF!</definedName>
    <definedName name="см.расчетН.Новгород_54" localSheetId="12">#REF!</definedName>
    <definedName name="см.расчетН.Новгород_54" localSheetId="110">#REF!</definedName>
    <definedName name="см.расчетН.Новгород_54" localSheetId="9">#REF!</definedName>
    <definedName name="см.расчетН.Новгород_54">#REF!</definedName>
    <definedName name="см_1" localSheetId="10">#REF!</definedName>
    <definedName name="см_1" localSheetId="9">#REF!</definedName>
    <definedName name="см_1">#REF!</definedName>
    <definedName name="см_конк" localSheetId="10">#REF!</definedName>
    <definedName name="см_конк" localSheetId="12">#REF!</definedName>
    <definedName name="см_конк" localSheetId="112">#REF!</definedName>
    <definedName name="см_конк" localSheetId="113">#REF!</definedName>
    <definedName name="см_конк" localSheetId="115">#REF!</definedName>
    <definedName name="см_конк" localSheetId="116">#REF!</definedName>
    <definedName name="см_конк" localSheetId="110">#REF!</definedName>
    <definedName name="см_конк" localSheetId="9">#REF!</definedName>
    <definedName name="см_конк">#REF!</definedName>
    <definedName name="см1" localSheetId="10">#REF!</definedName>
    <definedName name="см1" localSheetId="9">#REF!</definedName>
    <definedName name="см1">#REF!</definedName>
    <definedName name="См6">'[74]Смета 7'!$F$1</definedName>
    <definedName name="См7" localSheetId="10">#REF!</definedName>
    <definedName name="См7" localSheetId="9">#REF!</definedName>
    <definedName name="См7">#REF!</definedName>
    <definedName name="СМА" localSheetId="10">[7]топография!#REF!</definedName>
    <definedName name="СМА" localSheetId="9">[7]топография!#REF!</definedName>
    <definedName name="СМА">[7]топография!#REF!</definedName>
    <definedName name="Смет" localSheetId="10" hidden="1">{#N/A,#N/A,TRUE,"Смета на пасс. обор. №1"}</definedName>
    <definedName name="Смет" localSheetId="12" hidden="1">{#N/A,#N/A,TRUE,"Смета на пасс. обор. №1"}</definedName>
    <definedName name="Смет" localSheetId="111" hidden="1">{#N/A,#N/A,TRUE,"Смета на пасс. обор. №1"}</definedName>
    <definedName name="Смет" localSheetId="112" hidden="1">{#N/A,#N/A,TRUE,"Смета на пасс. обор. №1"}</definedName>
    <definedName name="Смет" localSheetId="113" hidden="1">{#N/A,#N/A,TRUE,"Смета на пасс. обор. №1"}</definedName>
    <definedName name="Смет" localSheetId="114" hidden="1">{#N/A,#N/A,TRUE,"Смета на пасс. обор. №1"}</definedName>
    <definedName name="Смет" localSheetId="115" hidden="1">{#N/A,#N/A,TRUE,"Смета на пасс. обор. №1"}</definedName>
    <definedName name="Смет" localSheetId="116" hidden="1">{#N/A,#N/A,TRUE,"Смета на пасс. обор. №1"}</definedName>
    <definedName name="Смет" localSheetId="117" hidden="1">{#N/A,#N/A,TRUE,"Смета на пасс. обор. №1"}</definedName>
    <definedName name="Смет" localSheetId="118" hidden="1">{#N/A,#N/A,TRUE,"Смета на пасс. обор. №1"}</definedName>
    <definedName name="Смет" localSheetId="121" hidden="1">{#N/A,#N/A,TRUE,"Смета на пасс. обор. №1"}</definedName>
    <definedName name="Смет" localSheetId="122" hidden="1">{#N/A,#N/A,TRUE,"Смета на пасс. обор. №1"}</definedName>
    <definedName name="Смет" localSheetId="8" hidden="1">{#N/A,#N/A,TRUE,"Смета на пасс. обор. №1"}</definedName>
    <definedName name="Смет" localSheetId="11" hidden="1">{#N/A,#N/A,TRUE,"Смета на пасс. обор. №1"}</definedName>
    <definedName name="Смет" localSheetId="110" hidden="1">{#N/A,#N/A,TRUE,"Смета на пасс. обор. №1"}</definedName>
    <definedName name="Смет" localSheetId="109" hidden="1">{#N/A,#N/A,TRUE,"Смета на пасс. обор. №1"}</definedName>
    <definedName name="Смет" localSheetId="108" hidden="1">{#N/A,#N/A,TRUE,"Смета на пасс. обор. №1"}</definedName>
    <definedName name="Смет" localSheetId="6" hidden="1">{#N/A,#N/A,TRUE,"Смета на пасс. обор. №1"}</definedName>
    <definedName name="Смет" localSheetId="9" hidden="1">{#N/A,#N/A,TRUE,"Смета на пасс. обор. №1"}</definedName>
    <definedName name="Смет" localSheetId="7" hidden="1">{#N/A,#N/A,TRUE,"Смета на пасс. обор. №1"}</definedName>
    <definedName name="Смет" localSheetId="92" hidden="1">{#N/A,#N/A,TRUE,"Смета на пасс. обор. №1"}</definedName>
    <definedName name="Смет" localSheetId="93" hidden="1">{#N/A,#N/A,TRUE,"Смета на пасс. обор. №1"}</definedName>
    <definedName name="Смет" localSheetId="94" hidden="1">{#N/A,#N/A,TRUE,"Смета на пасс. обор. №1"}</definedName>
    <definedName name="Смет" localSheetId="99" hidden="1">{#N/A,#N/A,TRUE,"Смета на пасс. обор. №1"}</definedName>
    <definedName name="Смет" localSheetId="100" hidden="1">{#N/A,#N/A,TRUE,"Смета на пасс. обор. №1"}</definedName>
    <definedName name="Смет" localSheetId="106" hidden="1">{#N/A,#N/A,TRUE,"Смета на пасс. обор. №1"}</definedName>
    <definedName name="Смет" localSheetId="2" hidden="1">{#N/A,#N/A,TRUE,"Смета на пасс. обор. №1"}</definedName>
    <definedName name="Смет" localSheetId="123" hidden="1">{#N/A,#N/A,TRUE,"Смета на пасс. обор. №1"}</definedName>
    <definedName name="Смет" localSheetId="4" hidden="1">{#N/A,#N/A,TRUE,"Смета на пасс. обор. №1"}</definedName>
    <definedName name="Смет" localSheetId="13" hidden="1">{#N/A,#N/A,TRUE,"Смета на пасс. обор. №1"}</definedName>
    <definedName name="Смет" hidden="1">{#N/A,#N/A,TRUE,"Смета на пасс. обор. №1"}</definedName>
    <definedName name="Смет_1" localSheetId="10" hidden="1">{#N/A,#N/A,TRUE,"Смета на пасс. обор. №1"}</definedName>
    <definedName name="Смет_1" localSheetId="12" hidden="1">{#N/A,#N/A,TRUE,"Смета на пасс. обор. №1"}</definedName>
    <definedName name="Смет_1" localSheetId="111" hidden="1">{#N/A,#N/A,TRUE,"Смета на пасс. обор. №1"}</definedName>
    <definedName name="Смет_1" localSheetId="112" hidden="1">{#N/A,#N/A,TRUE,"Смета на пасс. обор. №1"}</definedName>
    <definedName name="Смет_1" localSheetId="113" hidden="1">{#N/A,#N/A,TRUE,"Смета на пасс. обор. №1"}</definedName>
    <definedName name="Смет_1" localSheetId="114" hidden="1">{#N/A,#N/A,TRUE,"Смета на пасс. обор. №1"}</definedName>
    <definedName name="Смет_1" localSheetId="115" hidden="1">{#N/A,#N/A,TRUE,"Смета на пасс. обор. №1"}</definedName>
    <definedName name="Смет_1" localSheetId="116" hidden="1">{#N/A,#N/A,TRUE,"Смета на пасс. обор. №1"}</definedName>
    <definedName name="Смет_1" localSheetId="117" hidden="1">{#N/A,#N/A,TRUE,"Смета на пасс. обор. №1"}</definedName>
    <definedName name="Смет_1" localSheetId="118" hidden="1">{#N/A,#N/A,TRUE,"Смета на пасс. обор. №1"}</definedName>
    <definedName name="Смет_1" localSheetId="121" hidden="1">{#N/A,#N/A,TRUE,"Смета на пасс. обор. №1"}</definedName>
    <definedName name="Смет_1" localSheetId="122" hidden="1">{#N/A,#N/A,TRUE,"Смета на пасс. обор. №1"}</definedName>
    <definedName name="Смет_1" localSheetId="8" hidden="1">{#N/A,#N/A,TRUE,"Смета на пасс. обор. №1"}</definedName>
    <definedName name="Смет_1" localSheetId="11" hidden="1">{#N/A,#N/A,TRUE,"Смета на пасс. обор. №1"}</definedName>
    <definedName name="Смет_1" localSheetId="110" hidden="1">{#N/A,#N/A,TRUE,"Смета на пасс. обор. №1"}</definedName>
    <definedName name="Смет_1" localSheetId="109" hidden="1">{#N/A,#N/A,TRUE,"Смета на пасс. обор. №1"}</definedName>
    <definedName name="Смет_1" localSheetId="108" hidden="1">{#N/A,#N/A,TRUE,"Смета на пасс. обор. №1"}</definedName>
    <definedName name="Смет_1" localSheetId="6" hidden="1">{#N/A,#N/A,TRUE,"Смета на пасс. обор. №1"}</definedName>
    <definedName name="Смет_1" localSheetId="9" hidden="1">{#N/A,#N/A,TRUE,"Смета на пасс. обор. №1"}</definedName>
    <definedName name="Смет_1" localSheetId="7" hidden="1">{#N/A,#N/A,TRUE,"Смета на пасс. обор. №1"}</definedName>
    <definedName name="Смет_1" localSheetId="92" hidden="1">{#N/A,#N/A,TRUE,"Смета на пасс. обор. №1"}</definedName>
    <definedName name="Смет_1" localSheetId="93" hidden="1">{#N/A,#N/A,TRUE,"Смета на пасс. обор. №1"}</definedName>
    <definedName name="Смет_1" localSheetId="94" hidden="1">{#N/A,#N/A,TRUE,"Смета на пасс. обор. №1"}</definedName>
    <definedName name="Смет_1" localSheetId="99" hidden="1">{#N/A,#N/A,TRUE,"Смета на пасс. обор. №1"}</definedName>
    <definedName name="Смет_1" localSheetId="100" hidden="1">{#N/A,#N/A,TRUE,"Смета на пасс. обор. №1"}</definedName>
    <definedName name="Смет_1" localSheetId="106" hidden="1">{#N/A,#N/A,TRUE,"Смета на пасс. обор. №1"}</definedName>
    <definedName name="Смет_1" localSheetId="2" hidden="1">{#N/A,#N/A,TRUE,"Смета на пасс. обор. №1"}</definedName>
    <definedName name="Смет_1" localSheetId="123" hidden="1">{#N/A,#N/A,TRUE,"Смета на пасс. обор. №1"}</definedName>
    <definedName name="Смет_1" localSheetId="4" hidden="1">{#N/A,#N/A,TRUE,"Смета на пасс. обор. №1"}</definedName>
    <definedName name="Смет_1" localSheetId="13" hidden="1">{#N/A,#N/A,TRUE,"Смета на пасс. обор. №1"}</definedName>
    <definedName name="Смет_1" hidden="1">{#N/A,#N/A,TRUE,"Смета на пасс. обор. №1"}</definedName>
    <definedName name="смета" localSheetId="10">#REF!</definedName>
    <definedName name="смета" localSheetId="12" hidden="1">{#N/A,#N/A,TRUE,"Смета на пасс. обор. №1"}</definedName>
    <definedName name="смета" localSheetId="111" hidden="1">{#N/A,#N/A,TRUE,"Смета на пасс. обор. №1"}</definedName>
    <definedName name="смета" localSheetId="112" hidden="1">{#N/A,#N/A,TRUE,"Смета на пасс. обор. №1"}</definedName>
    <definedName name="смета" localSheetId="113" hidden="1">{#N/A,#N/A,TRUE,"Смета на пасс. обор. №1"}</definedName>
    <definedName name="смета" localSheetId="114" hidden="1">{#N/A,#N/A,TRUE,"Смета на пасс. обор. №1"}</definedName>
    <definedName name="смета" localSheetId="115" hidden="1">{#N/A,#N/A,TRUE,"Смета на пасс. обор. №1"}</definedName>
    <definedName name="смета" localSheetId="116" hidden="1">{#N/A,#N/A,TRUE,"Смета на пасс. обор. №1"}</definedName>
    <definedName name="смета" localSheetId="117" hidden="1">{#N/A,#N/A,TRUE,"Смета на пасс. обор. №1"}</definedName>
    <definedName name="смета" localSheetId="118" hidden="1">{#N/A,#N/A,TRUE,"Смета на пасс. обор. №1"}</definedName>
    <definedName name="смета" localSheetId="121" hidden="1">{#N/A,#N/A,TRUE,"Смета на пасс. обор. №1"}</definedName>
    <definedName name="смета" localSheetId="122" hidden="1">{#N/A,#N/A,TRUE,"Смета на пасс. обор. №1"}</definedName>
    <definedName name="смета" localSheetId="8">#REF!</definedName>
    <definedName name="смета" localSheetId="11">#REF!</definedName>
    <definedName name="смета" localSheetId="110" hidden="1">{#N/A,#N/A,TRUE,"Смета на пасс. обор. №1"}</definedName>
    <definedName name="смета" localSheetId="109" hidden="1">{#N/A,#N/A,TRUE,"Смета на пасс. обор. №1"}</definedName>
    <definedName name="смета" localSheetId="108" hidden="1">{#N/A,#N/A,TRUE,"Смета на пасс. обор. №1"}</definedName>
    <definedName name="смета" localSheetId="6">#REF!</definedName>
    <definedName name="смета" localSheetId="9">#REF!</definedName>
    <definedName name="смета" localSheetId="7" hidden="1">{#N/A,#N/A,TRUE,"Смета на пасс. обор. №1"}</definedName>
    <definedName name="смета" localSheetId="92" hidden="1">{#N/A,#N/A,TRUE,"Смета на пасс. обор. №1"}</definedName>
    <definedName name="смета" localSheetId="93" hidden="1">{#N/A,#N/A,TRUE,"Смета на пасс. обор. №1"}</definedName>
    <definedName name="смета" localSheetId="94" hidden="1">{#N/A,#N/A,TRUE,"Смета на пасс. обор. №1"}</definedName>
    <definedName name="смета" localSheetId="99" hidden="1">{#N/A,#N/A,TRUE,"Смета на пасс. обор. №1"}</definedName>
    <definedName name="смета" localSheetId="100" hidden="1">{#N/A,#N/A,TRUE,"Смета на пасс. обор. №1"}</definedName>
    <definedName name="смета" localSheetId="106" hidden="1">{#N/A,#N/A,TRUE,"Смета на пасс. обор. №1"}</definedName>
    <definedName name="смета" localSheetId="2" hidden="1">{#N/A,#N/A,TRUE,"Смета на пасс. обор. №1"}</definedName>
    <definedName name="смета" localSheetId="123" hidden="1">{#N/A,#N/A,TRUE,"Смета на пасс. обор. №1"}</definedName>
    <definedName name="смета" localSheetId="4" hidden="1">{#N/A,#N/A,TRUE,"Смета на пасс. обор. №1"}</definedName>
    <definedName name="смета" localSheetId="13" hidden="1">{#N/A,#N/A,TRUE,"Смета на пасс. обор. №1"}</definedName>
    <definedName name="смета" hidden="1">{#N/A,#N/A,TRUE,"Смета на пасс. обор. №1"}</definedName>
    <definedName name="смета_1" localSheetId="10" hidden="1">{#N/A,#N/A,TRUE,"Смета на пасс. обор. №1"}</definedName>
    <definedName name="смета_1" localSheetId="12" hidden="1">{#N/A,#N/A,TRUE,"Смета на пасс. обор. №1"}</definedName>
    <definedName name="смета_1" localSheetId="111" hidden="1">{#N/A,#N/A,TRUE,"Смета на пасс. обор. №1"}</definedName>
    <definedName name="смета_1" localSheetId="112" hidden="1">{#N/A,#N/A,TRUE,"Смета на пасс. обор. №1"}</definedName>
    <definedName name="смета_1" localSheetId="113" hidden="1">{#N/A,#N/A,TRUE,"Смета на пасс. обор. №1"}</definedName>
    <definedName name="смета_1" localSheetId="114" hidden="1">{#N/A,#N/A,TRUE,"Смета на пасс. обор. №1"}</definedName>
    <definedName name="смета_1" localSheetId="115" hidden="1">{#N/A,#N/A,TRUE,"Смета на пасс. обор. №1"}</definedName>
    <definedName name="смета_1" localSheetId="116" hidden="1">{#N/A,#N/A,TRUE,"Смета на пасс. обор. №1"}</definedName>
    <definedName name="смета_1" localSheetId="117" hidden="1">{#N/A,#N/A,TRUE,"Смета на пасс. обор. №1"}</definedName>
    <definedName name="смета_1" localSheetId="118" hidden="1">{#N/A,#N/A,TRUE,"Смета на пасс. обор. №1"}</definedName>
    <definedName name="смета_1" localSheetId="121" hidden="1">{#N/A,#N/A,TRUE,"Смета на пасс. обор. №1"}</definedName>
    <definedName name="смета_1" localSheetId="122" hidden="1">{#N/A,#N/A,TRUE,"Смета на пасс. обор. №1"}</definedName>
    <definedName name="смета_1" localSheetId="8" hidden="1">{#N/A,#N/A,TRUE,"Смета на пасс. обор. №1"}</definedName>
    <definedName name="смета_1" localSheetId="11" hidden="1">{#N/A,#N/A,TRUE,"Смета на пасс. обор. №1"}</definedName>
    <definedName name="смета_1" localSheetId="110" hidden="1">{#N/A,#N/A,TRUE,"Смета на пасс. обор. №1"}</definedName>
    <definedName name="смета_1" localSheetId="109" hidden="1">{#N/A,#N/A,TRUE,"Смета на пасс. обор. №1"}</definedName>
    <definedName name="смета_1" localSheetId="108" hidden="1">{#N/A,#N/A,TRUE,"Смета на пасс. обор. №1"}</definedName>
    <definedName name="смета_1" localSheetId="6" hidden="1">{#N/A,#N/A,TRUE,"Смета на пасс. обор. №1"}</definedName>
    <definedName name="смета_1" localSheetId="9" hidden="1">{#N/A,#N/A,TRUE,"Смета на пасс. обор. №1"}</definedName>
    <definedName name="смета_1" localSheetId="7" hidden="1">{#N/A,#N/A,TRUE,"Смета на пасс. обор. №1"}</definedName>
    <definedName name="смета_1" localSheetId="92" hidden="1">{#N/A,#N/A,TRUE,"Смета на пасс. обор. №1"}</definedName>
    <definedName name="смета_1" localSheetId="93" hidden="1">{#N/A,#N/A,TRUE,"Смета на пасс. обор. №1"}</definedName>
    <definedName name="смета_1" localSheetId="94" hidden="1">{#N/A,#N/A,TRUE,"Смета на пасс. обор. №1"}</definedName>
    <definedName name="смета_1" localSheetId="99" hidden="1">{#N/A,#N/A,TRUE,"Смета на пасс. обор. №1"}</definedName>
    <definedName name="смета_1" localSheetId="100" hidden="1">{#N/A,#N/A,TRUE,"Смета на пасс. обор. №1"}</definedName>
    <definedName name="смета_1" localSheetId="106" hidden="1">{#N/A,#N/A,TRUE,"Смета на пасс. обор. №1"}</definedName>
    <definedName name="смета_1" localSheetId="2" hidden="1">{#N/A,#N/A,TRUE,"Смета на пасс. обор. №1"}</definedName>
    <definedName name="смета_1" localSheetId="123" hidden="1">{#N/A,#N/A,TRUE,"Смета на пасс. обор. №1"}</definedName>
    <definedName name="смета_1" localSheetId="4" hidden="1">{#N/A,#N/A,TRUE,"Смета на пасс. обор. №1"}</definedName>
    <definedName name="смета_1" localSheetId="13" hidden="1">{#N/A,#N/A,TRUE,"Смета на пасс. обор. №1"}</definedName>
    <definedName name="смета_1" hidden="1">{#N/A,#N/A,TRUE,"Смета на пасс. обор. №1"}</definedName>
    <definedName name="Смета_2">'[69]Смета 7'!$F$1</definedName>
    <definedName name="смета1" localSheetId="10">#REF!</definedName>
    <definedName name="смета1" localSheetId="12">#REF!</definedName>
    <definedName name="смета1" localSheetId="116">#REF!</definedName>
    <definedName name="смета1" localSheetId="8">#REF!</definedName>
    <definedName name="смета1" localSheetId="11">#REF!</definedName>
    <definedName name="смета1" localSheetId="110">#REF!</definedName>
    <definedName name="смета1" localSheetId="109">#REF!</definedName>
    <definedName name="смета1" localSheetId="108">#REF!</definedName>
    <definedName name="смета1" localSheetId="6">#REF!</definedName>
    <definedName name="смета1" localSheetId="9">#REF!</definedName>
    <definedName name="смета1" localSheetId="7">#REF!</definedName>
    <definedName name="смета1" localSheetId="92">#REF!</definedName>
    <definedName name="смета1" localSheetId="93">#REF!</definedName>
    <definedName name="смета1" localSheetId="94">#REF!</definedName>
    <definedName name="смета1" localSheetId="99">#REF!</definedName>
    <definedName name="смета1" localSheetId="100">#REF!</definedName>
    <definedName name="смета1" localSheetId="106">#REF!</definedName>
    <definedName name="смета1" localSheetId="4">#REF!</definedName>
    <definedName name="смета1" localSheetId="13">#REF!</definedName>
    <definedName name="смета1">#REF!</definedName>
    <definedName name="Смета11">'[75]Смета 7'!$F$1</definedName>
    <definedName name="Смета21">'[76]Смета 7'!$F$1</definedName>
    <definedName name="Смета3">[26]Вспомогательный!$D$78</definedName>
    <definedName name="Сметная_стоимость_в_базисных_ценах" localSheetId="10">#REF!</definedName>
    <definedName name="Сметная_стоимость_в_базисных_ценах" localSheetId="9">#REF!</definedName>
    <definedName name="Сметная_стоимость_в_базисных_ценах">#REF!</definedName>
    <definedName name="Сметная_стоимость_в_текущих_ценах__после_применения_индексов" localSheetId="10">'[53]Переменные и константы'!#REF!</definedName>
    <definedName name="Сметная_стоимость_в_текущих_ценах__после_применения_индексов" localSheetId="9">'[53]Переменные и константы'!#REF!</definedName>
    <definedName name="Сметная_стоимость_в_текущих_ценах__после_применения_индексов">'[53]Переменные и константы'!#REF!</definedName>
    <definedName name="Сметная_стоимость_по_ресурсному_расчету" localSheetId="10">#REF!</definedName>
    <definedName name="Сметная_стоимость_по_ресурсному_расчету" localSheetId="9">#REF!</definedName>
    <definedName name="Сметная_стоимость_по_ресурсному_расчету">#REF!</definedName>
    <definedName name="СМеточка" localSheetId="10">#REF!</definedName>
    <definedName name="СМеточка" localSheetId="9">#REF!</definedName>
    <definedName name="СМеточка">#REF!</definedName>
    <definedName name="сми" localSheetId="10">#REF!</definedName>
    <definedName name="сми" localSheetId="12">#REF!</definedName>
    <definedName name="сми" localSheetId="116">#REF!</definedName>
    <definedName name="сми" localSheetId="110">#REF!</definedName>
    <definedName name="сми" localSheetId="109">#REF!</definedName>
    <definedName name="сми" localSheetId="108">#REF!</definedName>
    <definedName name="сми" localSheetId="9">#REF!</definedName>
    <definedName name="сми" localSheetId="7">#REF!</definedName>
    <definedName name="сми" localSheetId="92">#REF!</definedName>
    <definedName name="сми" localSheetId="93">#REF!</definedName>
    <definedName name="сми" localSheetId="94">#REF!</definedName>
    <definedName name="сми" localSheetId="99">#REF!</definedName>
    <definedName name="сми" localSheetId="100">#REF!</definedName>
    <definedName name="сми" localSheetId="106">#REF!</definedName>
    <definedName name="сми" localSheetId="4">#REF!</definedName>
    <definedName name="сми" localSheetId="13">#REF!</definedName>
    <definedName name="сми">#REF!</definedName>
    <definedName name="смиь" localSheetId="10">#REF!</definedName>
    <definedName name="смиь" localSheetId="9">#REF!</definedName>
    <definedName name="смиь">#REF!</definedName>
    <definedName name="Смоленская_область" localSheetId="10">#REF!</definedName>
    <definedName name="Смоленская_область" localSheetId="9">#REF!</definedName>
    <definedName name="Смоленская_область">#REF!</definedName>
    <definedName name="смр" localSheetId="10">#REF!</definedName>
    <definedName name="смр" localSheetId="9">#REF!</definedName>
    <definedName name="смр">#REF!</definedName>
    <definedName name="смт" localSheetId="10">#REF!</definedName>
    <definedName name="смт" localSheetId="9">#REF!</definedName>
    <definedName name="смт">#REF!</definedName>
    <definedName name="Согласование" localSheetId="10">#REF!</definedName>
    <definedName name="Согласование" localSheetId="12">#REF!</definedName>
    <definedName name="Согласование" localSheetId="116">#REF!</definedName>
    <definedName name="Согласование" localSheetId="110">#REF!</definedName>
    <definedName name="Согласование" localSheetId="109">#REF!</definedName>
    <definedName name="Согласование" localSheetId="108">#REF!</definedName>
    <definedName name="Согласование" localSheetId="9">#REF!</definedName>
    <definedName name="Согласование" localSheetId="92">#REF!</definedName>
    <definedName name="Согласование" localSheetId="93">#REF!</definedName>
    <definedName name="Согласование" localSheetId="94">#REF!</definedName>
    <definedName name="Согласование" localSheetId="99">#REF!</definedName>
    <definedName name="Согласование" localSheetId="100">#REF!</definedName>
    <definedName name="Согласование" localSheetId="106">#REF!</definedName>
    <definedName name="Согласование" localSheetId="4">#REF!</definedName>
    <definedName name="Согласование" localSheetId="13">#REF!</definedName>
    <definedName name="Согласование">#REF!</definedName>
    <definedName name="Согласование_1" localSheetId="10">#REF!</definedName>
    <definedName name="Согласование_1" localSheetId="9">#REF!</definedName>
    <definedName name="Согласование_1">#REF!</definedName>
    <definedName name="содерж." localSheetId="10">#REF!</definedName>
    <definedName name="содерж." localSheetId="12">#REF!</definedName>
    <definedName name="содерж." localSheetId="116">#REF!</definedName>
    <definedName name="содерж." localSheetId="110">#REF!</definedName>
    <definedName name="содерж." localSheetId="109">#REF!</definedName>
    <definedName name="содерж." localSheetId="108">#REF!</definedName>
    <definedName name="содерж." localSheetId="9">#REF!</definedName>
    <definedName name="содерж." localSheetId="92">#REF!</definedName>
    <definedName name="содерж." localSheetId="93">#REF!</definedName>
    <definedName name="содерж." localSheetId="94">#REF!</definedName>
    <definedName name="содерж." localSheetId="99">#REF!</definedName>
    <definedName name="содерж." localSheetId="100">#REF!</definedName>
    <definedName name="содерж." localSheetId="106">#REF!</definedName>
    <definedName name="содерж." localSheetId="4">#REF!</definedName>
    <definedName name="содерж." localSheetId="13">#REF!</definedName>
    <definedName name="содерж.">#REF!</definedName>
    <definedName name="Содерж_Осн_Базы" localSheetId="10">#REF!</definedName>
    <definedName name="Содерж_Осн_Базы" localSheetId="12">#REF!</definedName>
    <definedName name="Содерж_Осн_Базы" localSheetId="112">#REF!</definedName>
    <definedName name="Содерж_Осн_Базы" localSheetId="113">#REF!</definedName>
    <definedName name="Содерж_Осн_Базы" localSheetId="115">#REF!</definedName>
    <definedName name="Содерж_Осн_Базы" localSheetId="116">#REF!</definedName>
    <definedName name="Содерж_Осн_Базы" localSheetId="110">#REF!</definedName>
    <definedName name="Содерж_Осн_Базы" localSheetId="9">#REF!</definedName>
    <definedName name="Содерж_Осн_Базы">#REF!</definedName>
    <definedName name="соп" localSheetId="10">#REF!</definedName>
    <definedName name="соп" localSheetId="9">#REF!</definedName>
    <definedName name="соп">#REF!</definedName>
    <definedName name="сос" localSheetId="10">#REF!</definedName>
    <definedName name="сос" localSheetId="9">#REF!</definedName>
    <definedName name="сос">#REF!</definedName>
    <definedName name="Составил">'[3]Таблица 4 АСУТП'!$B$106:$B$108</definedName>
    <definedName name="Составитель" localSheetId="10">#REF!</definedName>
    <definedName name="Составитель" localSheetId="12">#REF!</definedName>
    <definedName name="Составитель" localSheetId="8">#REF!</definedName>
    <definedName name="Составитель" localSheetId="11">#REF!</definedName>
    <definedName name="Составитель" localSheetId="110">#REF!</definedName>
    <definedName name="Составитель" localSheetId="6">#REF!</definedName>
    <definedName name="Составитель" localSheetId="9">#REF!</definedName>
    <definedName name="Составитель" localSheetId="7">#REF!</definedName>
    <definedName name="Составитель">#REF!</definedName>
    <definedName name="Составитель_1" localSheetId="10">#REF!</definedName>
    <definedName name="Составитель_1" localSheetId="9">#REF!</definedName>
    <definedName name="Составитель_1">#REF!</definedName>
    <definedName name="СП1" localSheetId="10">[8]Обновление!#REF!</definedName>
    <definedName name="сп1" localSheetId="12">#REF!</definedName>
    <definedName name="сп1" localSheetId="112">#REF!</definedName>
    <definedName name="сп1" localSheetId="113">#REF!</definedName>
    <definedName name="сп1" localSheetId="115">#REF!</definedName>
    <definedName name="сп1" localSheetId="116">#REF!</definedName>
    <definedName name="СП1" localSheetId="8">[8]Обновление!#REF!</definedName>
    <definedName name="СП1" localSheetId="11">[8]Обновление!#REF!</definedName>
    <definedName name="сп1" localSheetId="110">#REF!</definedName>
    <definedName name="СП1" localSheetId="6">[8]Обновление!#REF!</definedName>
    <definedName name="СП1" localSheetId="9">[8]Обновление!#REF!</definedName>
    <definedName name="сп1" localSheetId="7">#REF!</definedName>
    <definedName name="сп1">#REF!</definedName>
    <definedName name="сп2" localSheetId="10">#REF!</definedName>
    <definedName name="сп2" localSheetId="12">#REF!</definedName>
    <definedName name="сп2" localSheetId="112">#REF!</definedName>
    <definedName name="сп2" localSheetId="113">#REF!</definedName>
    <definedName name="сп2" localSheetId="115">#REF!</definedName>
    <definedName name="сп2" localSheetId="116">#REF!</definedName>
    <definedName name="сп2" localSheetId="8">#REF!</definedName>
    <definedName name="сп2" localSheetId="11">#REF!</definedName>
    <definedName name="сп2" localSheetId="110">#REF!</definedName>
    <definedName name="сп2" localSheetId="6">#REF!</definedName>
    <definedName name="сп2" localSheetId="9">#REF!</definedName>
    <definedName name="сп2" localSheetId="7">#REF!</definedName>
    <definedName name="сп2">#REF!</definedName>
    <definedName name="спио" localSheetId="10">#REF!</definedName>
    <definedName name="спио" localSheetId="9">#REF!</definedName>
    <definedName name="спио">#REF!</definedName>
    <definedName name="список">[77]Списки!$A$1:$A$65536</definedName>
    <definedName name="спрь" localSheetId="10">[4]топография!#REF!</definedName>
    <definedName name="спрь" localSheetId="9">[4]топография!#REF!</definedName>
    <definedName name="спрь">[4]топография!#REF!</definedName>
    <definedName name="срл" localSheetId="10">#REF!</definedName>
    <definedName name="срл" localSheetId="9">#REF!</definedName>
    <definedName name="срл">#REF!</definedName>
    <definedName name="срлдд" localSheetId="10">#REF!</definedName>
    <definedName name="срлдд" localSheetId="9">#REF!</definedName>
    <definedName name="срлдд">#REF!</definedName>
    <definedName name="срлрл" localSheetId="10">#REF!</definedName>
    <definedName name="срлрл" localSheetId="9">#REF!</definedName>
    <definedName name="срлрл">#REF!</definedName>
    <definedName name="срьрьс" localSheetId="10">#REF!</definedName>
    <definedName name="срьрьс" localSheetId="9">#REF!</definedName>
    <definedName name="срьрьс">#REF!</definedName>
    <definedName name="сс" localSheetId="10" hidden="1">{#N/A,#N/A,TRUE,"Смета на пасс. обор. №1"}</definedName>
    <definedName name="сс" localSheetId="12" hidden="1">{#N/A,#N/A,TRUE,"Смета на пасс. обор. №1"}</definedName>
    <definedName name="сс" localSheetId="111" hidden="1">{#N/A,#N/A,TRUE,"Смета на пасс. обор. №1"}</definedName>
    <definedName name="сс" localSheetId="112" hidden="1">{#N/A,#N/A,TRUE,"Смета на пасс. обор. №1"}</definedName>
    <definedName name="сс" localSheetId="113" hidden="1">{#N/A,#N/A,TRUE,"Смета на пасс. обор. №1"}</definedName>
    <definedName name="сс" localSheetId="114" hidden="1">{#N/A,#N/A,TRUE,"Смета на пасс. обор. №1"}</definedName>
    <definedName name="сс" localSheetId="115" hidden="1">{#N/A,#N/A,TRUE,"Смета на пасс. обор. №1"}</definedName>
    <definedName name="сс" localSheetId="116" hidden="1">{#N/A,#N/A,TRUE,"Смета на пасс. обор. №1"}</definedName>
    <definedName name="сс" localSheetId="117" hidden="1">{#N/A,#N/A,TRUE,"Смета на пасс. обор. №1"}</definedName>
    <definedName name="сс" localSheetId="118" hidden="1">{#N/A,#N/A,TRUE,"Смета на пасс. обор. №1"}</definedName>
    <definedName name="сс" localSheetId="121" hidden="1">{#N/A,#N/A,TRUE,"Смета на пасс. обор. №1"}</definedName>
    <definedName name="сс" localSheetId="122" hidden="1">{#N/A,#N/A,TRUE,"Смета на пасс. обор. №1"}</definedName>
    <definedName name="сс" localSheetId="8" hidden="1">{#N/A,#N/A,TRUE,"Смета на пасс. обор. №1"}</definedName>
    <definedName name="сс" localSheetId="11" hidden="1">{#N/A,#N/A,TRUE,"Смета на пасс. обор. №1"}</definedName>
    <definedName name="сс" localSheetId="110" hidden="1">{#N/A,#N/A,TRUE,"Смета на пасс. обор. №1"}</definedName>
    <definedName name="сс" localSheetId="109" hidden="1">{#N/A,#N/A,TRUE,"Смета на пасс. обор. №1"}</definedName>
    <definedName name="сс" localSheetId="108" hidden="1">{#N/A,#N/A,TRUE,"Смета на пасс. обор. №1"}</definedName>
    <definedName name="сс" localSheetId="6" hidden="1">{#N/A,#N/A,TRUE,"Смета на пасс. обор. №1"}</definedName>
    <definedName name="сс" localSheetId="9" hidden="1">{#N/A,#N/A,TRUE,"Смета на пасс. обор. №1"}</definedName>
    <definedName name="сс" localSheetId="7" hidden="1">{#N/A,#N/A,TRUE,"Смета на пасс. обор. №1"}</definedName>
    <definedName name="сс" localSheetId="92" hidden="1">{#N/A,#N/A,TRUE,"Смета на пасс. обор. №1"}</definedName>
    <definedName name="сс" localSheetId="93" hidden="1">{#N/A,#N/A,TRUE,"Смета на пасс. обор. №1"}</definedName>
    <definedName name="сс" localSheetId="94" hidden="1">{#N/A,#N/A,TRUE,"Смета на пасс. обор. №1"}</definedName>
    <definedName name="сс" localSheetId="99" hidden="1">{#N/A,#N/A,TRUE,"Смета на пасс. обор. №1"}</definedName>
    <definedName name="сс" localSheetId="100" hidden="1">{#N/A,#N/A,TRUE,"Смета на пасс. обор. №1"}</definedName>
    <definedName name="сс" localSheetId="106" hidden="1">{#N/A,#N/A,TRUE,"Смета на пасс. обор. №1"}</definedName>
    <definedName name="сс" localSheetId="2" hidden="1">{#N/A,#N/A,TRUE,"Смета на пасс. обор. №1"}</definedName>
    <definedName name="сс" localSheetId="123" hidden="1">{#N/A,#N/A,TRUE,"Смета на пасс. обор. №1"}</definedName>
    <definedName name="сс" localSheetId="4" hidden="1">{#N/A,#N/A,TRUE,"Смета на пасс. обор. №1"}</definedName>
    <definedName name="сс" localSheetId="13" hidden="1">{#N/A,#N/A,TRUE,"Смета на пасс. обор. №1"}</definedName>
    <definedName name="сс" hidden="1">{#N/A,#N/A,TRUE,"Смета на пасс. обор. №1"}</definedName>
    <definedName name="сс_1" localSheetId="10" hidden="1">{#N/A,#N/A,TRUE,"Смета на пасс. обор. №1"}</definedName>
    <definedName name="сс_1" localSheetId="12" hidden="1">{#N/A,#N/A,TRUE,"Смета на пасс. обор. №1"}</definedName>
    <definedName name="сс_1" localSheetId="111" hidden="1">{#N/A,#N/A,TRUE,"Смета на пасс. обор. №1"}</definedName>
    <definedName name="сс_1" localSheetId="112" hidden="1">{#N/A,#N/A,TRUE,"Смета на пасс. обор. №1"}</definedName>
    <definedName name="сс_1" localSheetId="113" hidden="1">{#N/A,#N/A,TRUE,"Смета на пасс. обор. №1"}</definedName>
    <definedName name="сс_1" localSheetId="114" hidden="1">{#N/A,#N/A,TRUE,"Смета на пасс. обор. №1"}</definedName>
    <definedName name="сс_1" localSheetId="115" hidden="1">{#N/A,#N/A,TRUE,"Смета на пасс. обор. №1"}</definedName>
    <definedName name="сс_1" localSheetId="116" hidden="1">{#N/A,#N/A,TRUE,"Смета на пасс. обор. №1"}</definedName>
    <definedName name="сс_1" localSheetId="117" hidden="1">{#N/A,#N/A,TRUE,"Смета на пасс. обор. №1"}</definedName>
    <definedName name="сс_1" localSheetId="118" hidden="1">{#N/A,#N/A,TRUE,"Смета на пасс. обор. №1"}</definedName>
    <definedName name="сс_1" localSheetId="121" hidden="1">{#N/A,#N/A,TRUE,"Смета на пасс. обор. №1"}</definedName>
    <definedName name="сс_1" localSheetId="122" hidden="1">{#N/A,#N/A,TRUE,"Смета на пасс. обор. №1"}</definedName>
    <definedName name="сс_1" localSheetId="8" hidden="1">{#N/A,#N/A,TRUE,"Смета на пасс. обор. №1"}</definedName>
    <definedName name="сс_1" localSheetId="11" hidden="1">{#N/A,#N/A,TRUE,"Смета на пасс. обор. №1"}</definedName>
    <definedName name="сс_1" localSheetId="110" hidden="1">{#N/A,#N/A,TRUE,"Смета на пасс. обор. №1"}</definedName>
    <definedName name="сс_1" localSheetId="109" hidden="1">{#N/A,#N/A,TRUE,"Смета на пасс. обор. №1"}</definedName>
    <definedName name="сс_1" localSheetId="108" hidden="1">{#N/A,#N/A,TRUE,"Смета на пасс. обор. №1"}</definedName>
    <definedName name="сс_1" localSheetId="6" hidden="1">{#N/A,#N/A,TRUE,"Смета на пасс. обор. №1"}</definedName>
    <definedName name="сс_1" localSheetId="9" hidden="1">{#N/A,#N/A,TRUE,"Смета на пасс. обор. №1"}</definedName>
    <definedName name="сс_1" localSheetId="7" hidden="1">{#N/A,#N/A,TRUE,"Смета на пасс. обор. №1"}</definedName>
    <definedName name="сс_1" localSheetId="92" hidden="1">{#N/A,#N/A,TRUE,"Смета на пасс. обор. №1"}</definedName>
    <definedName name="сс_1" localSheetId="93" hidden="1">{#N/A,#N/A,TRUE,"Смета на пасс. обор. №1"}</definedName>
    <definedName name="сс_1" localSheetId="94" hidden="1">{#N/A,#N/A,TRUE,"Смета на пасс. обор. №1"}</definedName>
    <definedName name="сс_1" localSheetId="99" hidden="1">{#N/A,#N/A,TRUE,"Смета на пасс. обор. №1"}</definedName>
    <definedName name="сс_1" localSheetId="100" hidden="1">{#N/A,#N/A,TRUE,"Смета на пасс. обор. №1"}</definedName>
    <definedName name="сс_1" localSheetId="106" hidden="1">{#N/A,#N/A,TRUE,"Смета на пасс. обор. №1"}</definedName>
    <definedName name="сс_1" localSheetId="2" hidden="1">{#N/A,#N/A,TRUE,"Смета на пасс. обор. №1"}</definedName>
    <definedName name="сс_1" localSheetId="123" hidden="1">{#N/A,#N/A,TRUE,"Смета на пасс. обор. №1"}</definedName>
    <definedName name="сс_1" localSheetId="4" hidden="1">{#N/A,#N/A,TRUE,"Смета на пасс. обор. №1"}</definedName>
    <definedName name="сс_1" localSheetId="13" hidden="1">{#N/A,#N/A,TRUE,"Смета на пасс. обор. №1"}</definedName>
    <definedName name="сс_1" hidden="1">{#N/A,#N/A,TRUE,"Смета на пасс. обор. №1"}</definedName>
    <definedName name="ссп" localSheetId="10" hidden="1">{#N/A,#N/A,TRUE,"Смета на пасс. обор. №1"}</definedName>
    <definedName name="ссп" localSheetId="12" hidden="1">{#N/A,#N/A,TRUE,"Смета на пасс. обор. №1"}</definedName>
    <definedName name="ссп" localSheetId="111" hidden="1">{#N/A,#N/A,TRUE,"Смета на пасс. обор. №1"}</definedName>
    <definedName name="ссп" localSheetId="112" hidden="1">{#N/A,#N/A,TRUE,"Смета на пасс. обор. №1"}</definedName>
    <definedName name="ссп" localSheetId="113" hidden="1">{#N/A,#N/A,TRUE,"Смета на пасс. обор. №1"}</definedName>
    <definedName name="ссп" localSheetId="114" hidden="1">{#N/A,#N/A,TRUE,"Смета на пасс. обор. №1"}</definedName>
    <definedName name="ссп" localSheetId="115" hidden="1">{#N/A,#N/A,TRUE,"Смета на пасс. обор. №1"}</definedName>
    <definedName name="ссп" localSheetId="116" hidden="1">{#N/A,#N/A,TRUE,"Смета на пасс. обор. №1"}</definedName>
    <definedName name="ссп" localSheetId="117" hidden="1">{#N/A,#N/A,TRUE,"Смета на пасс. обор. №1"}</definedName>
    <definedName name="ссп" localSheetId="118" hidden="1">{#N/A,#N/A,TRUE,"Смета на пасс. обор. №1"}</definedName>
    <definedName name="ссп" localSheetId="121" hidden="1">{#N/A,#N/A,TRUE,"Смета на пасс. обор. №1"}</definedName>
    <definedName name="ссп" localSheetId="122" hidden="1">{#N/A,#N/A,TRUE,"Смета на пасс. обор. №1"}</definedName>
    <definedName name="ссп" localSheetId="8" hidden="1">{#N/A,#N/A,TRUE,"Смета на пасс. обор. №1"}</definedName>
    <definedName name="ссп" localSheetId="11" hidden="1">{#N/A,#N/A,TRUE,"Смета на пасс. обор. №1"}</definedName>
    <definedName name="ссп" localSheetId="110" hidden="1">{#N/A,#N/A,TRUE,"Смета на пасс. обор. №1"}</definedName>
    <definedName name="ссп" localSheetId="109" hidden="1">{#N/A,#N/A,TRUE,"Смета на пасс. обор. №1"}</definedName>
    <definedName name="ссп" localSheetId="108" hidden="1">{#N/A,#N/A,TRUE,"Смета на пасс. обор. №1"}</definedName>
    <definedName name="ссп" localSheetId="6" hidden="1">{#N/A,#N/A,TRUE,"Смета на пасс. обор. №1"}</definedName>
    <definedName name="ссп" localSheetId="9" hidden="1">{#N/A,#N/A,TRUE,"Смета на пасс. обор. №1"}</definedName>
    <definedName name="ссп" localSheetId="7" hidden="1">{#N/A,#N/A,TRUE,"Смета на пасс. обор. №1"}</definedName>
    <definedName name="ссп" localSheetId="92" hidden="1">{#N/A,#N/A,TRUE,"Смета на пасс. обор. №1"}</definedName>
    <definedName name="ссп" localSheetId="93" hidden="1">{#N/A,#N/A,TRUE,"Смета на пасс. обор. №1"}</definedName>
    <definedName name="ссп" localSheetId="94" hidden="1">{#N/A,#N/A,TRUE,"Смета на пасс. обор. №1"}</definedName>
    <definedName name="ссп" localSheetId="99" hidden="1">{#N/A,#N/A,TRUE,"Смета на пасс. обор. №1"}</definedName>
    <definedName name="ссп" localSheetId="100" hidden="1">{#N/A,#N/A,TRUE,"Смета на пасс. обор. №1"}</definedName>
    <definedName name="ссп" localSheetId="106" hidden="1">{#N/A,#N/A,TRUE,"Смета на пасс. обор. №1"}</definedName>
    <definedName name="ссп" localSheetId="2" hidden="1">{#N/A,#N/A,TRUE,"Смета на пасс. обор. №1"}</definedName>
    <definedName name="ссп" localSheetId="123" hidden="1">{#N/A,#N/A,TRUE,"Смета на пасс. обор. №1"}</definedName>
    <definedName name="ссп" localSheetId="4" hidden="1">{#N/A,#N/A,TRUE,"Смета на пасс. обор. №1"}</definedName>
    <definedName name="ссп" localSheetId="13" hidden="1">{#N/A,#N/A,TRUE,"Смета на пасс. обор. №1"}</definedName>
    <definedName name="ссп" hidden="1">{#N/A,#N/A,TRUE,"Смета на пасс. обор. №1"}</definedName>
    <definedName name="ссп_1" localSheetId="10" hidden="1">{#N/A,#N/A,TRUE,"Смета на пасс. обор. №1"}</definedName>
    <definedName name="ссп_1" localSheetId="12" hidden="1">{#N/A,#N/A,TRUE,"Смета на пасс. обор. №1"}</definedName>
    <definedName name="ссп_1" localSheetId="111" hidden="1">{#N/A,#N/A,TRUE,"Смета на пасс. обор. №1"}</definedName>
    <definedName name="ссп_1" localSheetId="112" hidden="1">{#N/A,#N/A,TRUE,"Смета на пасс. обор. №1"}</definedName>
    <definedName name="ссп_1" localSheetId="113" hidden="1">{#N/A,#N/A,TRUE,"Смета на пасс. обор. №1"}</definedName>
    <definedName name="ссп_1" localSheetId="114" hidden="1">{#N/A,#N/A,TRUE,"Смета на пасс. обор. №1"}</definedName>
    <definedName name="ссп_1" localSheetId="115" hidden="1">{#N/A,#N/A,TRUE,"Смета на пасс. обор. №1"}</definedName>
    <definedName name="ссп_1" localSheetId="116" hidden="1">{#N/A,#N/A,TRUE,"Смета на пасс. обор. №1"}</definedName>
    <definedName name="ссп_1" localSheetId="117" hidden="1">{#N/A,#N/A,TRUE,"Смета на пасс. обор. №1"}</definedName>
    <definedName name="ссп_1" localSheetId="118" hidden="1">{#N/A,#N/A,TRUE,"Смета на пасс. обор. №1"}</definedName>
    <definedName name="ссп_1" localSheetId="121" hidden="1">{#N/A,#N/A,TRUE,"Смета на пасс. обор. №1"}</definedName>
    <definedName name="ссп_1" localSheetId="122" hidden="1">{#N/A,#N/A,TRUE,"Смета на пасс. обор. №1"}</definedName>
    <definedName name="ссп_1" localSheetId="8" hidden="1">{#N/A,#N/A,TRUE,"Смета на пасс. обор. №1"}</definedName>
    <definedName name="ссп_1" localSheetId="11" hidden="1">{#N/A,#N/A,TRUE,"Смета на пасс. обор. №1"}</definedName>
    <definedName name="ссп_1" localSheetId="110" hidden="1">{#N/A,#N/A,TRUE,"Смета на пасс. обор. №1"}</definedName>
    <definedName name="ссп_1" localSheetId="109" hidden="1">{#N/A,#N/A,TRUE,"Смета на пасс. обор. №1"}</definedName>
    <definedName name="ссп_1" localSheetId="108" hidden="1">{#N/A,#N/A,TRUE,"Смета на пасс. обор. №1"}</definedName>
    <definedName name="ссп_1" localSheetId="6" hidden="1">{#N/A,#N/A,TRUE,"Смета на пасс. обор. №1"}</definedName>
    <definedName name="ссп_1" localSheetId="9" hidden="1">{#N/A,#N/A,TRUE,"Смета на пасс. обор. №1"}</definedName>
    <definedName name="ссп_1" localSheetId="7" hidden="1">{#N/A,#N/A,TRUE,"Смета на пасс. обор. №1"}</definedName>
    <definedName name="ссп_1" localSheetId="92" hidden="1">{#N/A,#N/A,TRUE,"Смета на пасс. обор. №1"}</definedName>
    <definedName name="ссп_1" localSheetId="93" hidden="1">{#N/A,#N/A,TRUE,"Смета на пасс. обор. №1"}</definedName>
    <definedName name="ссп_1" localSheetId="94" hidden="1">{#N/A,#N/A,TRUE,"Смета на пасс. обор. №1"}</definedName>
    <definedName name="ссп_1" localSheetId="99" hidden="1">{#N/A,#N/A,TRUE,"Смета на пасс. обор. №1"}</definedName>
    <definedName name="ссп_1" localSheetId="100" hidden="1">{#N/A,#N/A,TRUE,"Смета на пасс. обор. №1"}</definedName>
    <definedName name="ссп_1" localSheetId="106" hidden="1">{#N/A,#N/A,TRUE,"Смета на пасс. обор. №1"}</definedName>
    <definedName name="ссп_1" localSheetId="2" hidden="1">{#N/A,#N/A,TRUE,"Смета на пасс. обор. №1"}</definedName>
    <definedName name="ссп_1" localSheetId="123" hidden="1">{#N/A,#N/A,TRUE,"Смета на пасс. обор. №1"}</definedName>
    <definedName name="ссп_1" localSheetId="4" hidden="1">{#N/A,#N/A,TRUE,"Смета на пасс. обор. №1"}</definedName>
    <definedName name="ссп_1" localSheetId="13" hidden="1">{#N/A,#N/A,TRUE,"Смета на пасс. обор. №1"}</definedName>
    <definedName name="ссп_1" hidden="1">{#N/A,#N/A,TRUE,"Смета на пасс. обор. №1"}</definedName>
    <definedName name="ССР" localSheetId="10">#REF!</definedName>
    <definedName name="ССР" localSheetId="12">#REF!</definedName>
    <definedName name="ССР" localSheetId="116">#REF!</definedName>
    <definedName name="ССР" localSheetId="8">#REF!</definedName>
    <definedName name="ССР" localSheetId="11">#REF!</definedName>
    <definedName name="ССР" localSheetId="110">#REF!</definedName>
    <definedName name="ССР" localSheetId="109">#REF!</definedName>
    <definedName name="ССР" localSheetId="108">#REF!</definedName>
    <definedName name="ССР" localSheetId="6">#REF!</definedName>
    <definedName name="ССР" localSheetId="9">#REF!</definedName>
    <definedName name="ССР" localSheetId="7">#REF!</definedName>
    <definedName name="ССР" localSheetId="92">#REF!</definedName>
    <definedName name="ССР" localSheetId="93">#REF!</definedName>
    <definedName name="ССР" localSheetId="94">#REF!</definedName>
    <definedName name="ССР" localSheetId="99">#REF!</definedName>
    <definedName name="ССР" localSheetId="100">#REF!</definedName>
    <definedName name="ССР" localSheetId="106">#REF!</definedName>
    <definedName name="ССР">#REF!</definedName>
    <definedName name="ССР_ИИ_Д1_корр" localSheetId="10">#REF!</definedName>
    <definedName name="ССР_ИИ_Д1_корр" localSheetId="12">#REF!</definedName>
    <definedName name="ССР_ИИ_Д1_корр" localSheetId="116">#REF!</definedName>
    <definedName name="ССР_ИИ_Д1_корр" localSheetId="8">#REF!</definedName>
    <definedName name="ССР_ИИ_Д1_корр" localSheetId="11">#REF!</definedName>
    <definedName name="ССР_ИИ_Д1_корр" localSheetId="110">#REF!</definedName>
    <definedName name="ССР_ИИ_Д1_корр" localSheetId="6">#REF!</definedName>
    <definedName name="ССР_ИИ_Д1_корр" localSheetId="9">#REF!</definedName>
    <definedName name="ССР_ИИ_Д1_корр" localSheetId="7">#REF!</definedName>
    <definedName name="ССР_ИИ_Д1_корр" localSheetId="92">#REF!</definedName>
    <definedName name="ССР_ИИ_Д1_корр" localSheetId="93">#REF!</definedName>
    <definedName name="ССР_ИИ_Д1_корр" localSheetId="94">#REF!</definedName>
    <definedName name="ССР_ИИ_Д1_корр" localSheetId="99">#REF!</definedName>
    <definedName name="ССР_ИИ_Д1_корр" localSheetId="100">#REF!</definedName>
    <definedName name="ССР_ИИ_Д1_корр" localSheetId="106">#REF!</definedName>
    <definedName name="ССР_ИИ_Д1_корр">#REF!</definedName>
    <definedName name="ссс" localSheetId="10">#REF!</definedName>
    <definedName name="ссс" localSheetId="12">#REF!</definedName>
    <definedName name="ссс" localSheetId="8">#REF!</definedName>
    <definedName name="ссс" localSheetId="11">#REF!</definedName>
    <definedName name="ссс" localSheetId="110">#REF!</definedName>
    <definedName name="ссс" localSheetId="6">#REF!</definedName>
    <definedName name="ссс" localSheetId="9">#REF!</definedName>
    <definedName name="ссс" localSheetId="7">#REF!</definedName>
    <definedName name="ссс" localSheetId="92">#REF!</definedName>
    <definedName name="ссс" localSheetId="93">#REF!</definedName>
    <definedName name="ссс" localSheetId="94">#REF!</definedName>
    <definedName name="ссс" localSheetId="99">#REF!</definedName>
    <definedName name="ссс" localSheetId="100">#REF!</definedName>
    <definedName name="ссс" localSheetId="106">#REF!</definedName>
    <definedName name="ссс">#REF!</definedName>
    <definedName name="ссср" localSheetId="10">#REF!</definedName>
    <definedName name="ссср" localSheetId="9">#REF!</definedName>
    <definedName name="ссср">#REF!</definedName>
    <definedName name="сссс" localSheetId="10">#REF!</definedName>
    <definedName name="сссс" localSheetId="9">#REF!</definedName>
    <definedName name="сссс">#REF!</definedName>
    <definedName name="ссссс" localSheetId="10" hidden="1">{#N/A,#N/A,TRUE,"Смета на пасс. обор. №1"}</definedName>
    <definedName name="ссссс" localSheetId="12" hidden="1">{#N/A,#N/A,TRUE,"Смета на пасс. обор. №1"}</definedName>
    <definedName name="ссссс" localSheetId="111" hidden="1">{#N/A,#N/A,TRUE,"Смета на пасс. обор. №1"}</definedName>
    <definedName name="ссссс" localSheetId="112" hidden="1">{#N/A,#N/A,TRUE,"Смета на пасс. обор. №1"}</definedName>
    <definedName name="ссссс" localSheetId="113" hidden="1">{#N/A,#N/A,TRUE,"Смета на пасс. обор. №1"}</definedName>
    <definedName name="ссссс" localSheetId="114" hidden="1">{#N/A,#N/A,TRUE,"Смета на пасс. обор. №1"}</definedName>
    <definedName name="ссссс" localSheetId="115" hidden="1">{#N/A,#N/A,TRUE,"Смета на пасс. обор. №1"}</definedName>
    <definedName name="ссссс" localSheetId="116" hidden="1">{#N/A,#N/A,TRUE,"Смета на пасс. обор. №1"}</definedName>
    <definedName name="ссссс" localSheetId="117" hidden="1">{#N/A,#N/A,TRUE,"Смета на пасс. обор. №1"}</definedName>
    <definedName name="ссссс" localSheetId="118" hidden="1">{#N/A,#N/A,TRUE,"Смета на пасс. обор. №1"}</definedName>
    <definedName name="ссссс" localSheetId="121" hidden="1">{#N/A,#N/A,TRUE,"Смета на пасс. обор. №1"}</definedName>
    <definedName name="ссссс" localSheetId="122" hidden="1">{#N/A,#N/A,TRUE,"Смета на пасс. обор. №1"}</definedName>
    <definedName name="ссссс" localSheetId="8" hidden="1">{#N/A,#N/A,TRUE,"Смета на пасс. обор. №1"}</definedName>
    <definedName name="ссссс" localSheetId="11" hidden="1">{#N/A,#N/A,TRUE,"Смета на пасс. обор. №1"}</definedName>
    <definedName name="ссссс" localSheetId="110" hidden="1">{#N/A,#N/A,TRUE,"Смета на пасс. обор. №1"}</definedName>
    <definedName name="ссссс" localSheetId="109" hidden="1">{#N/A,#N/A,TRUE,"Смета на пасс. обор. №1"}</definedName>
    <definedName name="ссссс" localSheetId="108" hidden="1">{#N/A,#N/A,TRUE,"Смета на пасс. обор. №1"}</definedName>
    <definedName name="ссссс" localSheetId="6" hidden="1">{#N/A,#N/A,TRUE,"Смета на пасс. обор. №1"}</definedName>
    <definedName name="ссссс" localSheetId="9" hidden="1">{#N/A,#N/A,TRUE,"Смета на пасс. обор. №1"}</definedName>
    <definedName name="ссссс" localSheetId="7" hidden="1">{#N/A,#N/A,TRUE,"Смета на пасс. обор. №1"}</definedName>
    <definedName name="ссссс" localSheetId="92" hidden="1">{#N/A,#N/A,TRUE,"Смета на пасс. обор. №1"}</definedName>
    <definedName name="ссссс" localSheetId="93" hidden="1">{#N/A,#N/A,TRUE,"Смета на пасс. обор. №1"}</definedName>
    <definedName name="ссссс" localSheetId="94" hidden="1">{#N/A,#N/A,TRUE,"Смета на пасс. обор. №1"}</definedName>
    <definedName name="ссссс" localSheetId="99" hidden="1">{#N/A,#N/A,TRUE,"Смета на пасс. обор. №1"}</definedName>
    <definedName name="ссссс" localSheetId="100" hidden="1">{#N/A,#N/A,TRUE,"Смета на пасс. обор. №1"}</definedName>
    <definedName name="ссссс" localSheetId="106" hidden="1">{#N/A,#N/A,TRUE,"Смета на пасс. обор. №1"}</definedName>
    <definedName name="ссссс" localSheetId="2" hidden="1">{#N/A,#N/A,TRUE,"Смета на пасс. обор. №1"}</definedName>
    <definedName name="ссссс" localSheetId="123" hidden="1">{#N/A,#N/A,TRUE,"Смета на пасс. обор. №1"}</definedName>
    <definedName name="ссссс" localSheetId="4" hidden="1">{#N/A,#N/A,TRUE,"Смета на пасс. обор. №1"}</definedName>
    <definedName name="ссссс" localSheetId="13" hidden="1">{#N/A,#N/A,TRUE,"Смета на пасс. обор. №1"}</definedName>
    <definedName name="ссссс" hidden="1">{#N/A,#N/A,TRUE,"Смета на пасс. обор. №1"}</definedName>
    <definedName name="ссссс_1" localSheetId="10" hidden="1">{#N/A,#N/A,TRUE,"Смета на пасс. обор. №1"}</definedName>
    <definedName name="ссссс_1" localSheetId="12" hidden="1">{#N/A,#N/A,TRUE,"Смета на пасс. обор. №1"}</definedName>
    <definedName name="ссссс_1" localSheetId="111" hidden="1">{#N/A,#N/A,TRUE,"Смета на пасс. обор. №1"}</definedName>
    <definedName name="ссссс_1" localSheetId="112" hidden="1">{#N/A,#N/A,TRUE,"Смета на пасс. обор. №1"}</definedName>
    <definedName name="ссссс_1" localSheetId="113" hidden="1">{#N/A,#N/A,TRUE,"Смета на пасс. обор. №1"}</definedName>
    <definedName name="ссссс_1" localSheetId="114" hidden="1">{#N/A,#N/A,TRUE,"Смета на пасс. обор. №1"}</definedName>
    <definedName name="ссссс_1" localSheetId="115" hidden="1">{#N/A,#N/A,TRUE,"Смета на пасс. обор. №1"}</definedName>
    <definedName name="ссссс_1" localSheetId="116" hidden="1">{#N/A,#N/A,TRUE,"Смета на пасс. обор. №1"}</definedName>
    <definedName name="ссссс_1" localSheetId="117" hidden="1">{#N/A,#N/A,TRUE,"Смета на пасс. обор. №1"}</definedName>
    <definedName name="ссссс_1" localSheetId="118" hidden="1">{#N/A,#N/A,TRUE,"Смета на пасс. обор. №1"}</definedName>
    <definedName name="ссссс_1" localSheetId="121" hidden="1">{#N/A,#N/A,TRUE,"Смета на пасс. обор. №1"}</definedName>
    <definedName name="ссссс_1" localSheetId="122" hidden="1">{#N/A,#N/A,TRUE,"Смета на пасс. обор. №1"}</definedName>
    <definedName name="ссссс_1" localSheetId="8" hidden="1">{#N/A,#N/A,TRUE,"Смета на пасс. обор. №1"}</definedName>
    <definedName name="ссссс_1" localSheetId="11" hidden="1">{#N/A,#N/A,TRUE,"Смета на пасс. обор. №1"}</definedName>
    <definedName name="ссссс_1" localSheetId="110" hidden="1">{#N/A,#N/A,TRUE,"Смета на пасс. обор. №1"}</definedName>
    <definedName name="ссссс_1" localSheetId="109" hidden="1">{#N/A,#N/A,TRUE,"Смета на пасс. обор. №1"}</definedName>
    <definedName name="ссссс_1" localSheetId="108" hidden="1">{#N/A,#N/A,TRUE,"Смета на пасс. обор. №1"}</definedName>
    <definedName name="ссссс_1" localSheetId="6" hidden="1">{#N/A,#N/A,TRUE,"Смета на пасс. обор. №1"}</definedName>
    <definedName name="ссссс_1" localSheetId="9" hidden="1">{#N/A,#N/A,TRUE,"Смета на пасс. обор. №1"}</definedName>
    <definedName name="ссссс_1" localSheetId="7" hidden="1">{#N/A,#N/A,TRUE,"Смета на пасс. обор. №1"}</definedName>
    <definedName name="ссссс_1" localSheetId="92" hidden="1">{#N/A,#N/A,TRUE,"Смета на пасс. обор. №1"}</definedName>
    <definedName name="ссссс_1" localSheetId="93" hidden="1">{#N/A,#N/A,TRUE,"Смета на пасс. обор. №1"}</definedName>
    <definedName name="ссссс_1" localSheetId="94" hidden="1">{#N/A,#N/A,TRUE,"Смета на пасс. обор. №1"}</definedName>
    <definedName name="ссссс_1" localSheetId="99" hidden="1">{#N/A,#N/A,TRUE,"Смета на пасс. обор. №1"}</definedName>
    <definedName name="ссссс_1" localSheetId="100" hidden="1">{#N/A,#N/A,TRUE,"Смета на пасс. обор. №1"}</definedName>
    <definedName name="ссссс_1" localSheetId="106" hidden="1">{#N/A,#N/A,TRUE,"Смета на пасс. обор. №1"}</definedName>
    <definedName name="ссссс_1" localSheetId="2" hidden="1">{#N/A,#N/A,TRUE,"Смета на пасс. обор. №1"}</definedName>
    <definedName name="ссссс_1" localSheetId="123" hidden="1">{#N/A,#N/A,TRUE,"Смета на пасс. обор. №1"}</definedName>
    <definedName name="ссссс_1" localSheetId="4" hidden="1">{#N/A,#N/A,TRUE,"Смета на пасс. обор. №1"}</definedName>
    <definedName name="ссссс_1" localSheetId="13" hidden="1">{#N/A,#N/A,TRUE,"Смета на пасс. обор. №1"}</definedName>
    <definedName name="ссссс_1" hidden="1">{#N/A,#N/A,TRUE,"Смета на пасс. обор. №1"}</definedName>
    <definedName name="Ставрополь" localSheetId="10">#REF!</definedName>
    <definedName name="Ставрополь" localSheetId="12">#REF!</definedName>
    <definedName name="Ставрополь" localSheetId="116">#REF!</definedName>
    <definedName name="Ставрополь" localSheetId="8">#REF!</definedName>
    <definedName name="Ставрополь" localSheetId="11">#REF!</definedName>
    <definedName name="Ставрополь" localSheetId="110">#REF!</definedName>
    <definedName name="Ставрополь" localSheetId="109">#REF!</definedName>
    <definedName name="Ставрополь" localSheetId="108">#REF!</definedName>
    <definedName name="Ставрополь" localSheetId="6">#REF!</definedName>
    <definedName name="Ставрополь" localSheetId="9">#REF!</definedName>
    <definedName name="Ставрополь" localSheetId="7">#REF!</definedName>
    <definedName name="Ставрополь" localSheetId="92">#REF!</definedName>
    <definedName name="Ставрополь" localSheetId="93">#REF!</definedName>
    <definedName name="Ставрополь" localSheetId="94">#REF!</definedName>
    <definedName name="Ставрополь" localSheetId="99">#REF!</definedName>
    <definedName name="Ставрополь" localSheetId="100">#REF!</definedName>
    <definedName name="Ставрополь" localSheetId="106">#REF!</definedName>
    <definedName name="Ставрополь">#REF!</definedName>
    <definedName name="Ставрополь_1" localSheetId="10">#REF!</definedName>
    <definedName name="Ставрополь_1" localSheetId="12">#REF!</definedName>
    <definedName name="Ставрополь_1" localSheetId="116">#REF!</definedName>
    <definedName name="Ставрополь_1" localSheetId="8">#REF!</definedName>
    <definedName name="Ставрополь_1" localSheetId="11">#REF!</definedName>
    <definedName name="Ставрополь_1" localSheetId="110">#REF!</definedName>
    <definedName name="Ставрополь_1" localSheetId="109">#REF!</definedName>
    <definedName name="Ставрополь_1" localSheetId="108">#REF!</definedName>
    <definedName name="Ставрополь_1" localSheetId="6">#REF!</definedName>
    <definedName name="Ставрополь_1" localSheetId="9">#REF!</definedName>
    <definedName name="Ставрополь_1" localSheetId="7">#REF!</definedName>
    <definedName name="Ставрополь_1" localSheetId="92">#REF!</definedName>
    <definedName name="Ставрополь_1" localSheetId="93">#REF!</definedName>
    <definedName name="Ставрополь_1" localSheetId="94">#REF!</definedName>
    <definedName name="Ставрополь_1" localSheetId="99">#REF!</definedName>
    <definedName name="Ставрополь_1" localSheetId="100">#REF!</definedName>
    <definedName name="Ставрополь_1" localSheetId="106">#REF!</definedName>
    <definedName name="Ставрополь_1">#REF!</definedName>
    <definedName name="Ставрополь_2" localSheetId="10">#REF!</definedName>
    <definedName name="Ставрополь_2" localSheetId="12">#REF!</definedName>
    <definedName name="Ставрополь_2" localSheetId="116">#REF!</definedName>
    <definedName name="Ставрополь_2" localSheetId="8">#REF!</definedName>
    <definedName name="Ставрополь_2" localSheetId="11">#REF!</definedName>
    <definedName name="Ставрополь_2" localSheetId="110">#REF!</definedName>
    <definedName name="Ставрополь_2" localSheetId="109">#REF!</definedName>
    <definedName name="Ставрополь_2" localSheetId="108">#REF!</definedName>
    <definedName name="Ставрополь_2" localSheetId="6">#REF!</definedName>
    <definedName name="Ставрополь_2" localSheetId="9">#REF!</definedName>
    <definedName name="Ставрополь_2" localSheetId="7">#REF!</definedName>
    <definedName name="Ставрополь_2" localSheetId="92">#REF!</definedName>
    <definedName name="Ставрополь_2" localSheetId="93">#REF!</definedName>
    <definedName name="Ставрополь_2" localSheetId="94">#REF!</definedName>
    <definedName name="Ставрополь_2" localSheetId="99">#REF!</definedName>
    <definedName name="Ставрополь_2" localSheetId="100">#REF!</definedName>
    <definedName name="Ставрополь_2" localSheetId="106">#REF!</definedName>
    <definedName name="Ставрополь_2">#REF!</definedName>
    <definedName name="Ставрополь_22" localSheetId="10">#REF!</definedName>
    <definedName name="Ставрополь_22" localSheetId="12">#REF!</definedName>
    <definedName name="Ставрополь_22" localSheetId="110">#REF!</definedName>
    <definedName name="Ставрополь_22" localSheetId="9">#REF!</definedName>
    <definedName name="Ставрополь_22">#REF!</definedName>
    <definedName name="Ставрополь_49" localSheetId="10">#REF!</definedName>
    <definedName name="Ставрополь_49" localSheetId="12">#REF!</definedName>
    <definedName name="Ставрополь_49" localSheetId="110">#REF!</definedName>
    <definedName name="Ставрополь_49" localSheetId="9">#REF!</definedName>
    <definedName name="Ставрополь_49">#REF!</definedName>
    <definedName name="Ставрополь_5" localSheetId="10">#REF!</definedName>
    <definedName name="Ставрополь_5" localSheetId="12">#REF!</definedName>
    <definedName name="Ставрополь_5" localSheetId="110">#REF!</definedName>
    <definedName name="Ставрополь_5" localSheetId="9">#REF!</definedName>
    <definedName name="Ставрополь_5">#REF!</definedName>
    <definedName name="Ставрополь_50" localSheetId="10">#REF!</definedName>
    <definedName name="Ставрополь_50" localSheetId="12">#REF!</definedName>
    <definedName name="Ставрополь_50" localSheetId="110">#REF!</definedName>
    <definedName name="Ставрополь_50" localSheetId="9">#REF!</definedName>
    <definedName name="Ставрополь_50">#REF!</definedName>
    <definedName name="Ставрополь_51" localSheetId="10">#REF!</definedName>
    <definedName name="Ставрополь_51" localSheetId="12">#REF!</definedName>
    <definedName name="Ставрополь_51" localSheetId="110">#REF!</definedName>
    <definedName name="Ставрополь_51" localSheetId="9">#REF!</definedName>
    <definedName name="Ставрополь_51">#REF!</definedName>
    <definedName name="Ставрополь_52" localSheetId="10">#REF!</definedName>
    <definedName name="Ставрополь_52" localSheetId="12">#REF!</definedName>
    <definedName name="Ставрополь_52" localSheetId="110">#REF!</definedName>
    <definedName name="Ставрополь_52" localSheetId="9">#REF!</definedName>
    <definedName name="Ставрополь_52">#REF!</definedName>
    <definedName name="Ставрополь_53" localSheetId="10">#REF!</definedName>
    <definedName name="Ставрополь_53" localSheetId="12">#REF!</definedName>
    <definedName name="Ставрополь_53" localSheetId="110">#REF!</definedName>
    <definedName name="Ставрополь_53" localSheetId="9">#REF!</definedName>
    <definedName name="Ставрополь_53">#REF!</definedName>
    <definedName name="Ставрополь_54" localSheetId="10">#REF!</definedName>
    <definedName name="Ставрополь_54" localSheetId="12">#REF!</definedName>
    <definedName name="Ставрополь_54" localSheetId="110">#REF!</definedName>
    <definedName name="Ставрополь_54" localSheetId="9">#REF!</definedName>
    <definedName name="Ставрополь_54">#REF!</definedName>
    <definedName name="Ставропольский_край" localSheetId="10">#REF!</definedName>
    <definedName name="Ставропольский_край" localSheetId="9">#REF!</definedName>
    <definedName name="Ставропольский_край">#REF!</definedName>
    <definedName name="Станц10">'[25]Лист опроса'!$B$23</definedName>
    <definedName name="сто" localSheetId="10">'[78]8'!#REF!</definedName>
    <definedName name="сто" localSheetId="9">'[78]8'!#REF!</definedName>
    <definedName name="сто">'[78]8'!#REF!</definedName>
    <definedName name="Стоимость" localSheetId="10">#REF!</definedName>
    <definedName name="Стоимость" localSheetId="9">#REF!</definedName>
    <definedName name="Стоимость">#REF!</definedName>
    <definedName name="Стоимость_по_акту_выполненных_работ_в_базисных_ценах" localSheetId="10">#REF!</definedName>
    <definedName name="Стоимость_по_акту_выполненных_работ_в_базисных_ценах" localSheetId="9">#REF!</definedName>
    <definedName name="Стоимость_по_акту_выполненных_работ_в_базисных_ценах">#REF!</definedName>
    <definedName name="Стоимость_по_акту_выполненных_работ_при_ресурсном_расчете" localSheetId="10">#REF!</definedName>
    <definedName name="Стоимость_по_акту_выполненных_работ_при_ресурсном_расчете" localSheetId="9">#REF!</definedName>
    <definedName name="Стоимость_по_акту_выполненных_работ_при_ресурсном_расчете">#REF!</definedName>
    <definedName name="стороны">[79]Списки!$A$1:$A$440</definedName>
    <definedName name="СтОф">NA()</definedName>
    <definedName name="СтОф_1">NA()</definedName>
    <definedName name="СтОф_2">NA()</definedName>
    <definedName name="СтПр">NA()</definedName>
    <definedName name="СтПр_1">NA()</definedName>
    <definedName name="СтПр_2">NA()</definedName>
    <definedName name="Стр10">'[25]Лист опроса'!$B$24</definedName>
    <definedName name="СтрАУ">'[25]Лист опроса'!$B$12</definedName>
    <definedName name="СтрДУ">'[25]Лист опроса'!$B$11</definedName>
    <definedName name="Стрелки">'[25]Лист опроса'!$B$10</definedName>
    <definedName name="Строительная_полоса" localSheetId="10">#REF!</definedName>
    <definedName name="Строительная_полоса" localSheetId="12">#REF!</definedName>
    <definedName name="Строительная_полоса" localSheetId="116">#REF!</definedName>
    <definedName name="Строительная_полоса" localSheetId="8">#REF!</definedName>
    <definedName name="Строительная_полоса" localSheetId="11">#REF!</definedName>
    <definedName name="Строительная_полоса" localSheetId="110">#REF!</definedName>
    <definedName name="Строительная_полоса" localSheetId="109">#REF!</definedName>
    <definedName name="Строительная_полоса" localSheetId="108">#REF!</definedName>
    <definedName name="Строительная_полоса" localSheetId="6">#REF!</definedName>
    <definedName name="Строительная_полоса" localSheetId="9">#REF!</definedName>
    <definedName name="Строительная_полоса" localSheetId="7">#REF!</definedName>
    <definedName name="Строительная_полоса" localSheetId="92">#REF!</definedName>
    <definedName name="Строительная_полоса" localSheetId="93">#REF!</definedName>
    <definedName name="Строительная_полоса" localSheetId="94">#REF!</definedName>
    <definedName name="Строительная_полоса" localSheetId="99">#REF!</definedName>
    <definedName name="Строительная_полоса" localSheetId="100">#REF!</definedName>
    <definedName name="Строительная_полоса" localSheetId="106">#REF!</definedName>
    <definedName name="Строительная_полоса" localSheetId="4">#REF!</definedName>
    <definedName name="Строительная_полоса" localSheetId="13">#REF!</definedName>
    <definedName name="Строительная_полоса">#REF!</definedName>
    <definedName name="Строительная_полоса_1" localSheetId="10">#REF!</definedName>
    <definedName name="Строительная_полоса_1" localSheetId="9">#REF!</definedName>
    <definedName name="Строительная_полоса_1">#REF!</definedName>
    <definedName name="Строительные_работы_в_базисных_ценах" localSheetId="10">#REF!</definedName>
    <definedName name="Строительные_работы_в_базисных_ценах" localSheetId="9">#REF!</definedName>
    <definedName name="Строительные_работы_в_базисных_ценах">#REF!</definedName>
    <definedName name="Строительные_работы_в_текущих_ценах" localSheetId="10">'[53]Переменные и константы'!#REF!</definedName>
    <definedName name="Строительные_работы_в_текущих_ценах" localSheetId="9">'[53]Переменные и константы'!#REF!</definedName>
    <definedName name="Строительные_работы_в_текущих_ценах">'[53]Переменные и константы'!#REF!</definedName>
    <definedName name="Строительные_работы_в_текущих_ценах_по_ресурсному_расчету" localSheetId="10">'[53]Переменные и константы'!#REF!</definedName>
    <definedName name="Строительные_работы_в_текущих_ценах_по_ресурсному_расчету" localSheetId="9">'[53]Переменные и константы'!#REF!</definedName>
    <definedName name="Строительные_работы_в_текущих_ценах_по_ресурсному_расчету">'[53]Переменные и константы'!#REF!</definedName>
    <definedName name="Строительные_работы_в_текущих_ценах_после_применения_индексов" localSheetId="10">'[53]Переменные и константы'!#REF!</definedName>
    <definedName name="Строительные_работы_в_текущих_ценах_после_применения_индексов" localSheetId="9">'[53]Переменные и константы'!#REF!</definedName>
    <definedName name="Строительные_работы_в_текущих_ценах_после_применения_индексов">'[53]Переменные и константы'!#REF!</definedName>
    <definedName name="структ." localSheetId="10">#REF!</definedName>
    <definedName name="структ." localSheetId="12">#REF!</definedName>
    <definedName name="структ." localSheetId="116">#REF!</definedName>
    <definedName name="структ." localSheetId="8">#REF!</definedName>
    <definedName name="структ." localSheetId="11">#REF!</definedName>
    <definedName name="структ." localSheetId="110">#REF!</definedName>
    <definedName name="структ." localSheetId="109">#REF!</definedName>
    <definedName name="структ." localSheetId="108">#REF!</definedName>
    <definedName name="структ." localSheetId="6">#REF!</definedName>
    <definedName name="структ." localSheetId="9">#REF!</definedName>
    <definedName name="структ." localSheetId="7">#REF!</definedName>
    <definedName name="структ." localSheetId="92">#REF!</definedName>
    <definedName name="структ." localSheetId="93">#REF!</definedName>
    <definedName name="структ." localSheetId="94">#REF!</definedName>
    <definedName name="структ." localSheetId="99">#REF!</definedName>
    <definedName name="структ." localSheetId="100">#REF!</definedName>
    <definedName name="структ." localSheetId="106">#REF!</definedName>
    <definedName name="структ." localSheetId="4">#REF!</definedName>
    <definedName name="структ." localSheetId="13">#REF!</definedName>
    <definedName name="структ.">#REF!</definedName>
    <definedName name="Сургут">NA()</definedName>
    <definedName name="сусусу" localSheetId="10" hidden="1">{#N/A,#N/A,TRUE,"Смета на пасс. обор. №1"}</definedName>
    <definedName name="сусусу" localSheetId="12" hidden="1">{#N/A,#N/A,TRUE,"Смета на пасс. обор. №1"}</definedName>
    <definedName name="сусусу" localSheetId="111" hidden="1">{#N/A,#N/A,TRUE,"Смета на пасс. обор. №1"}</definedName>
    <definedName name="сусусу" localSheetId="112" hidden="1">{#N/A,#N/A,TRUE,"Смета на пасс. обор. №1"}</definedName>
    <definedName name="сусусу" localSheetId="113" hidden="1">{#N/A,#N/A,TRUE,"Смета на пасс. обор. №1"}</definedName>
    <definedName name="сусусу" localSheetId="114" hidden="1">{#N/A,#N/A,TRUE,"Смета на пасс. обор. №1"}</definedName>
    <definedName name="сусусу" localSheetId="115" hidden="1">{#N/A,#N/A,TRUE,"Смета на пасс. обор. №1"}</definedName>
    <definedName name="сусусу" localSheetId="116" hidden="1">{#N/A,#N/A,TRUE,"Смета на пасс. обор. №1"}</definedName>
    <definedName name="сусусу" localSheetId="117" hidden="1">{#N/A,#N/A,TRUE,"Смета на пасс. обор. №1"}</definedName>
    <definedName name="сусусу" localSheetId="118" hidden="1">{#N/A,#N/A,TRUE,"Смета на пасс. обор. №1"}</definedName>
    <definedName name="сусусу" localSheetId="121" hidden="1">{#N/A,#N/A,TRUE,"Смета на пасс. обор. №1"}</definedName>
    <definedName name="сусусу" localSheetId="122" hidden="1">{#N/A,#N/A,TRUE,"Смета на пасс. обор. №1"}</definedName>
    <definedName name="сусусу" localSheetId="8" hidden="1">{#N/A,#N/A,TRUE,"Смета на пасс. обор. №1"}</definedName>
    <definedName name="сусусу" localSheetId="11" hidden="1">{#N/A,#N/A,TRUE,"Смета на пасс. обор. №1"}</definedName>
    <definedName name="сусусу" localSheetId="110" hidden="1">{#N/A,#N/A,TRUE,"Смета на пасс. обор. №1"}</definedName>
    <definedName name="сусусу" localSheetId="109" hidden="1">{#N/A,#N/A,TRUE,"Смета на пасс. обор. №1"}</definedName>
    <definedName name="сусусу" localSheetId="108" hidden="1">{#N/A,#N/A,TRUE,"Смета на пасс. обор. №1"}</definedName>
    <definedName name="сусусу" localSheetId="6" hidden="1">{#N/A,#N/A,TRUE,"Смета на пасс. обор. №1"}</definedName>
    <definedName name="сусусу" localSheetId="9" hidden="1">{#N/A,#N/A,TRUE,"Смета на пасс. обор. №1"}</definedName>
    <definedName name="сусусу" localSheetId="7" hidden="1">{#N/A,#N/A,TRUE,"Смета на пасс. обор. №1"}</definedName>
    <definedName name="сусусу" localSheetId="92" hidden="1">{#N/A,#N/A,TRUE,"Смета на пасс. обор. №1"}</definedName>
    <definedName name="сусусу" localSheetId="93" hidden="1">{#N/A,#N/A,TRUE,"Смета на пасс. обор. №1"}</definedName>
    <definedName name="сусусу" localSheetId="94" hidden="1">{#N/A,#N/A,TRUE,"Смета на пасс. обор. №1"}</definedName>
    <definedName name="сусусу" localSheetId="99" hidden="1">{#N/A,#N/A,TRUE,"Смета на пасс. обор. №1"}</definedName>
    <definedName name="сусусу" localSheetId="100" hidden="1">{#N/A,#N/A,TRUE,"Смета на пасс. обор. №1"}</definedName>
    <definedName name="сусусу" localSheetId="106" hidden="1">{#N/A,#N/A,TRUE,"Смета на пасс. обор. №1"}</definedName>
    <definedName name="сусусу" localSheetId="2" hidden="1">{#N/A,#N/A,TRUE,"Смета на пасс. обор. №1"}</definedName>
    <definedName name="сусусу" localSheetId="123" hidden="1">{#N/A,#N/A,TRUE,"Смета на пасс. обор. №1"}</definedName>
    <definedName name="сусусу" localSheetId="4" hidden="1">{#N/A,#N/A,TRUE,"Смета на пасс. обор. №1"}</definedName>
    <definedName name="сусусу" localSheetId="13" hidden="1">{#N/A,#N/A,TRUE,"Смета на пасс. обор. №1"}</definedName>
    <definedName name="сусусу" hidden="1">{#N/A,#N/A,TRUE,"Смета на пасс. обор. №1"}</definedName>
    <definedName name="сусусу_1" localSheetId="10" hidden="1">{#N/A,#N/A,TRUE,"Смета на пасс. обор. №1"}</definedName>
    <definedName name="сусусу_1" localSheetId="12" hidden="1">{#N/A,#N/A,TRUE,"Смета на пасс. обор. №1"}</definedName>
    <definedName name="сусусу_1" localSheetId="111" hidden="1">{#N/A,#N/A,TRUE,"Смета на пасс. обор. №1"}</definedName>
    <definedName name="сусусу_1" localSheetId="112" hidden="1">{#N/A,#N/A,TRUE,"Смета на пасс. обор. №1"}</definedName>
    <definedName name="сусусу_1" localSheetId="113" hidden="1">{#N/A,#N/A,TRUE,"Смета на пасс. обор. №1"}</definedName>
    <definedName name="сусусу_1" localSheetId="114" hidden="1">{#N/A,#N/A,TRUE,"Смета на пасс. обор. №1"}</definedName>
    <definedName name="сусусу_1" localSheetId="115" hidden="1">{#N/A,#N/A,TRUE,"Смета на пасс. обор. №1"}</definedName>
    <definedName name="сусусу_1" localSheetId="116" hidden="1">{#N/A,#N/A,TRUE,"Смета на пасс. обор. №1"}</definedName>
    <definedName name="сусусу_1" localSheetId="117" hidden="1">{#N/A,#N/A,TRUE,"Смета на пасс. обор. №1"}</definedName>
    <definedName name="сусусу_1" localSheetId="118" hidden="1">{#N/A,#N/A,TRUE,"Смета на пасс. обор. №1"}</definedName>
    <definedName name="сусусу_1" localSheetId="121" hidden="1">{#N/A,#N/A,TRUE,"Смета на пасс. обор. №1"}</definedName>
    <definedName name="сусусу_1" localSheetId="122" hidden="1">{#N/A,#N/A,TRUE,"Смета на пасс. обор. №1"}</definedName>
    <definedName name="сусусу_1" localSheetId="8" hidden="1">{#N/A,#N/A,TRUE,"Смета на пасс. обор. №1"}</definedName>
    <definedName name="сусусу_1" localSheetId="11" hidden="1">{#N/A,#N/A,TRUE,"Смета на пасс. обор. №1"}</definedName>
    <definedName name="сусусу_1" localSheetId="110" hidden="1">{#N/A,#N/A,TRUE,"Смета на пасс. обор. №1"}</definedName>
    <definedName name="сусусу_1" localSheetId="109" hidden="1">{#N/A,#N/A,TRUE,"Смета на пасс. обор. №1"}</definedName>
    <definedName name="сусусу_1" localSheetId="108" hidden="1">{#N/A,#N/A,TRUE,"Смета на пасс. обор. №1"}</definedName>
    <definedName name="сусусу_1" localSheetId="6" hidden="1">{#N/A,#N/A,TRUE,"Смета на пасс. обор. №1"}</definedName>
    <definedName name="сусусу_1" localSheetId="9" hidden="1">{#N/A,#N/A,TRUE,"Смета на пасс. обор. №1"}</definedName>
    <definedName name="сусусу_1" localSheetId="7" hidden="1">{#N/A,#N/A,TRUE,"Смета на пасс. обор. №1"}</definedName>
    <definedName name="сусусу_1" localSheetId="92" hidden="1">{#N/A,#N/A,TRUE,"Смета на пасс. обор. №1"}</definedName>
    <definedName name="сусусу_1" localSheetId="93" hidden="1">{#N/A,#N/A,TRUE,"Смета на пасс. обор. №1"}</definedName>
    <definedName name="сусусу_1" localSheetId="94" hidden="1">{#N/A,#N/A,TRUE,"Смета на пасс. обор. №1"}</definedName>
    <definedName name="сусусу_1" localSheetId="99" hidden="1">{#N/A,#N/A,TRUE,"Смета на пасс. обор. №1"}</definedName>
    <definedName name="сусусу_1" localSheetId="100" hidden="1">{#N/A,#N/A,TRUE,"Смета на пасс. обор. №1"}</definedName>
    <definedName name="сусусу_1" localSheetId="106" hidden="1">{#N/A,#N/A,TRUE,"Смета на пасс. обор. №1"}</definedName>
    <definedName name="сусусу_1" localSheetId="2" hidden="1">{#N/A,#N/A,TRUE,"Смета на пасс. обор. №1"}</definedName>
    <definedName name="сусусу_1" localSheetId="123" hidden="1">{#N/A,#N/A,TRUE,"Смета на пасс. обор. №1"}</definedName>
    <definedName name="сусусу_1" localSheetId="4" hidden="1">{#N/A,#N/A,TRUE,"Смета на пасс. обор. №1"}</definedName>
    <definedName name="сусусу_1" localSheetId="13" hidden="1">{#N/A,#N/A,TRUE,"Смета на пасс. обор. №1"}</definedName>
    <definedName name="сусусу_1" hidden="1">{#N/A,#N/A,TRUE,"Смета на пасс. обор. №1"}</definedName>
    <definedName name="счьор" localSheetId="10">[4]топография!#REF!</definedName>
    <definedName name="счьор" localSheetId="9">[4]топография!#REF!</definedName>
    <definedName name="счьор">[4]топография!#REF!</definedName>
    <definedName name="т" localSheetId="10">#REF!</definedName>
    <definedName name="т" localSheetId="9">#REF!</definedName>
    <definedName name="т">#REF!</definedName>
    <definedName name="Т5" localSheetId="10">#REF!</definedName>
    <definedName name="Т5" localSheetId="12">#REF!</definedName>
    <definedName name="Т5" localSheetId="112">#REF!</definedName>
    <definedName name="Т5" localSheetId="113">#REF!</definedName>
    <definedName name="Т5" localSheetId="115">#REF!</definedName>
    <definedName name="Т5" localSheetId="116">#REF!</definedName>
    <definedName name="Т5" localSheetId="8">#REF!</definedName>
    <definedName name="Т5" localSheetId="11">#REF!</definedName>
    <definedName name="Т5" localSheetId="110">#REF!</definedName>
    <definedName name="Т5" localSheetId="6">#REF!</definedName>
    <definedName name="Т5" localSheetId="9">#REF!</definedName>
    <definedName name="Т5" localSheetId="7">#REF!</definedName>
    <definedName name="Т5" localSheetId="92">#REF!</definedName>
    <definedName name="Т5" localSheetId="93">#REF!</definedName>
    <definedName name="Т5" localSheetId="94">#REF!</definedName>
    <definedName name="Т5" localSheetId="99">#REF!</definedName>
    <definedName name="Т5" localSheetId="100">#REF!</definedName>
    <definedName name="Т5" localSheetId="106">#REF!</definedName>
    <definedName name="Т5">#REF!</definedName>
    <definedName name="Т6" localSheetId="10">#REF!</definedName>
    <definedName name="Т6" localSheetId="12">#REF!</definedName>
    <definedName name="Т6" localSheetId="112">#REF!</definedName>
    <definedName name="Т6" localSheetId="113">#REF!</definedName>
    <definedName name="Т6" localSheetId="115">#REF!</definedName>
    <definedName name="Т6" localSheetId="116">#REF!</definedName>
    <definedName name="Т6" localSheetId="8">#REF!</definedName>
    <definedName name="Т6" localSheetId="11">#REF!</definedName>
    <definedName name="Т6" localSheetId="110">#REF!</definedName>
    <definedName name="Т6" localSheetId="6">#REF!</definedName>
    <definedName name="Т6" localSheetId="9">#REF!</definedName>
    <definedName name="Т6" localSheetId="7">#REF!</definedName>
    <definedName name="Т6" localSheetId="92">#REF!</definedName>
    <definedName name="Т6" localSheetId="93">#REF!</definedName>
    <definedName name="Т6" localSheetId="94">#REF!</definedName>
    <definedName name="Т6" localSheetId="99">#REF!</definedName>
    <definedName name="Т6" localSheetId="100">#REF!</definedName>
    <definedName name="Т6" localSheetId="106">#REF!</definedName>
    <definedName name="Т6">#REF!</definedName>
    <definedName name="Тамбовская_область" localSheetId="10">#REF!</definedName>
    <definedName name="Тамбовская_область" localSheetId="9">#REF!</definedName>
    <definedName name="Тамбовская_область">#REF!</definedName>
    <definedName name="тасс" localSheetId="10" hidden="1">{#N/A,#N/A,TRUE,"Смета на пасс. обор. №1"}</definedName>
    <definedName name="тасс" localSheetId="12" hidden="1">{#N/A,#N/A,TRUE,"Смета на пасс. обор. №1"}</definedName>
    <definedName name="тасс" localSheetId="111" hidden="1">{#N/A,#N/A,TRUE,"Смета на пасс. обор. №1"}</definedName>
    <definedName name="тасс" localSheetId="112" hidden="1">{#N/A,#N/A,TRUE,"Смета на пасс. обор. №1"}</definedName>
    <definedName name="тасс" localSheetId="113" hidden="1">{#N/A,#N/A,TRUE,"Смета на пасс. обор. №1"}</definedName>
    <definedName name="тасс" localSheetId="114" hidden="1">{#N/A,#N/A,TRUE,"Смета на пасс. обор. №1"}</definedName>
    <definedName name="тасс" localSheetId="115" hidden="1">{#N/A,#N/A,TRUE,"Смета на пасс. обор. №1"}</definedName>
    <definedName name="тасс" localSheetId="116" hidden="1">{#N/A,#N/A,TRUE,"Смета на пасс. обор. №1"}</definedName>
    <definedName name="тасс" localSheetId="117" hidden="1">{#N/A,#N/A,TRUE,"Смета на пасс. обор. №1"}</definedName>
    <definedName name="тасс" localSheetId="118" hidden="1">{#N/A,#N/A,TRUE,"Смета на пасс. обор. №1"}</definedName>
    <definedName name="тасс" localSheetId="121" hidden="1">{#N/A,#N/A,TRUE,"Смета на пасс. обор. №1"}</definedName>
    <definedName name="тасс" localSheetId="122" hidden="1">{#N/A,#N/A,TRUE,"Смета на пасс. обор. №1"}</definedName>
    <definedName name="тасс" localSheetId="8" hidden="1">{#N/A,#N/A,TRUE,"Смета на пасс. обор. №1"}</definedName>
    <definedName name="тасс" localSheetId="11" hidden="1">{#N/A,#N/A,TRUE,"Смета на пасс. обор. №1"}</definedName>
    <definedName name="тасс" localSheetId="110" hidden="1">{#N/A,#N/A,TRUE,"Смета на пасс. обор. №1"}</definedName>
    <definedName name="тасс" localSheetId="109" hidden="1">{#N/A,#N/A,TRUE,"Смета на пасс. обор. №1"}</definedName>
    <definedName name="тасс" localSheetId="108" hidden="1">{#N/A,#N/A,TRUE,"Смета на пасс. обор. №1"}</definedName>
    <definedName name="тасс" localSheetId="6" hidden="1">{#N/A,#N/A,TRUE,"Смета на пасс. обор. №1"}</definedName>
    <definedName name="тасс" localSheetId="9" hidden="1">{#N/A,#N/A,TRUE,"Смета на пасс. обор. №1"}</definedName>
    <definedName name="тасс" localSheetId="7" hidden="1">{#N/A,#N/A,TRUE,"Смета на пасс. обор. №1"}</definedName>
    <definedName name="тасс" localSheetId="92" hidden="1">{#N/A,#N/A,TRUE,"Смета на пасс. обор. №1"}</definedName>
    <definedName name="тасс" localSheetId="93" hidden="1">{#N/A,#N/A,TRUE,"Смета на пасс. обор. №1"}</definedName>
    <definedName name="тасс" localSheetId="94" hidden="1">{#N/A,#N/A,TRUE,"Смета на пасс. обор. №1"}</definedName>
    <definedName name="тасс" localSheetId="99" hidden="1">{#N/A,#N/A,TRUE,"Смета на пасс. обор. №1"}</definedName>
    <definedName name="тасс" localSheetId="100" hidden="1">{#N/A,#N/A,TRUE,"Смета на пасс. обор. №1"}</definedName>
    <definedName name="тасс" localSheetId="106" hidden="1">{#N/A,#N/A,TRUE,"Смета на пасс. обор. №1"}</definedName>
    <definedName name="тасс" localSheetId="2" hidden="1">{#N/A,#N/A,TRUE,"Смета на пасс. обор. №1"}</definedName>
    <definedName name="тасс" localSheetId="123" hidden="1">{#N/A,#N/A,TRUE,"Смета на пасс. обор. №1"}</definedName>
    <definedName name="тасс" localSheetId="4" hidden="1">{#N/A,#N/A,TRUE,"Смета на пасс. обор. №1"}</definedName>
    <definedName name="тасс" localSheetId="13" hidden="1">{#N/A,#N/A,TRUE,"Смета на пасс. обор. №1"}</definedName>
    <definedName name="тасс" hidden="1">{#N/A,#N/A,TRUE,"Смета на пасс. обор. №1"}</definedName>
    <definedName name="тасс_1" localSheetId="10" hidden="1">{#N/A,#N/A,TRUE,"Смета на пасс. обор. №1"}</definedName>
    <definedName name="тасс_1" localSheetId="12" hidden="1">{#N/A,#N/A,TRUE,"Смета на пасс. обор. №1"}</definedName>
    <definedName name="тасс_1" localSheetId="111" hidden="1">{#N/A,#N/A,TRUE,"Смета на пасс. обор. №1"}</definedName>
    <definedName name="тасс_1" localSheetId="112" hidden="1">{#N/A,#N/A,TRUE,"Смета на пасс. обор. №1"}</definedName>
    <definedName name="тасс_1" localSheetId="113" hidden="1">{#N/A,#N/A,TRUE,"Смета на пасс. обор. №1"}</definedName>
    <definedName name="тасс_1" localSheetId="114" hidden="1">{#N/A,#N/A,TRUE,"Смета на пасс. обор. №1"}</definedName>
    <definedName name="тасс_1" localSheetId="115" hidden="1">{#N/A,#N/A,TRUE,"Смета на пасс. обор. №1"}</definedName>
    <definedName name="тасс_1" localSheetId="116" hidden="1">{#N/A,#N/A,TRUE,"Смета на пасс. обор. №1"}</definedName>
    <definedName name="тасс_1" localSheetId="117" hidden="1">{#N/A,#N/A,TRUE,"Смета на пасс. обор. №1"}</definedName>
    <definedName name="тасс_1" localSheetId="118" hidden="1">{#N/A,#N/A,TRUE,"Смета на пасс. обор. №1"}</definedName>
    <definedName name="тасс_1" localSheetId="121" hidden="1">{#N/A,#N/A,TRUE,"Смета на пасс. обор. №1"}</definedName>
    <definedName name="тасс_1" localSheetId="122" hidden="1">{#N/A,#N/A,TRUE,"Смета на пасс. обор. №1"}</definedName>
    <definedName name="тасс_1" localSheetId="8" hidden="1">{#N/A,#N/A,TRUE,"Смета на пасс. обор. №1"}</definedName>
    <definedName name="тасс_1" localSheetId="11" hidden="1">{#N/A,#N/A,TRUE,"Смета на пасс. обор. №1"}</definedName>
    <definedName name="тасс_1" localSheetId="110" hidden="1">{#N/A,#N/A,TRUE,"Смета на пасс. обор. №1"}</definedName>
    <definedName name="тасс_1" localSheetId="109" hidden="1">{#N/A,#N/A,TRUE,"Смета на пасс. обор. №1"}</definedName>
    <definedName name="тасс_1" localSheetId="108" hidden="1">{#N/A,#N/A,TRUE,"Смета на пасс. обор. №1"}</definedName>
    <definedName name="тасс_1" localSheetId="6" hidden="1">{#N/A,#N/A,TRUE,"Смета на пасс. обор. №1"}</definedName>
    <definedName name="тасс_1" localSheetId="9" hidden="1">{#N/A,#N/A,TRUE,"Смета на пасс. обор. №1"}</definedName>
    <definedName name="тасс_1" localSheetId="7" hidden="1">{#N/A,#N/A,TRUE,"Смета на пасс. обор. №1"}</definedName>
    <definedName name="тасс_1" localSheetId="92" hidden="1">{#N/A,#N/A,TRUE,"Смета на пасс. обор. №1"}</definedName>
    <definedName name="тасс_1" localSheetId="93" hidden="1">{#N/A,#N/A,TRUE,"Смета на пасс. обор. №1"}</definedName>
    <definedName name="тасс_1" localSheetId="94" hidden="1">{#N/A,#N/A,TRUE,"Смета на пасс. обор. №1"}</definedName>
    <definedName name="тасс_1" localSheetId="99" hidden="1">{#N/A,#N/A,TRUE,"Смета на пасс. обор. №1"}</definedName>
    <definedName name="тасс_1" localSheetId="100" hidden="1">{#N/A,#N/A,TRUE,"Смета на пасс. обор. №1"}</definedName>
    <definedName name="тасс_1" localSheetId="106" hidden="1">{#N/A,#N/A,TRUE,"Смета на пасс. обор. №1"}</definedName>
    <definedName name="тасс_1" localSheetId="2" hidden="1">{#N/A,#N/A,TRUE,"Смета на пасс. обор. №1"}</definedName>
    <definedName name="тасс_1" localSheetId="123" hidden="1">{#N/A,#N/A,TRUE,"Смета на пасс. обор. №1"}</definedName>
    <definedName name="тасс_1" localSheetId="4" hidden="1">{#N/A,#N/A,TRUE,"Смета на пасс. обор. №1"}</definedName>
    <definedName name="тасс_1" localSheetId="13" hidden="1">{#N/A,#N/A,TRUE,"Смета на пасс. обор. №1"}</definedName>
    <definedName name="тасс_1" hidden="1">{#N/A,#N/A,TRUE,"Смета на пасс. обор. №1"}</definedName>
    <definedName name="Тверская_область" localSheetId="10">#REF!</definedName>
    <definedName name="Тверская_область" localSheetId="9">#REF!</definedName>
    <definedName name="Тверская_область">#REF!</definedName>
    <definedName name="ТекДата">[80]информация!$B$8</definedName>
    <definedName name="ТекДата_1">[81]информация!$B$8</definedName>
    <definedName name="ТекДата_2">[82]информация!$B$8</definedName>
    <definedName name="теодкккккккккккк" localSheetId="10">#REF!</definedName>
    <definedName name="теодкккккккккккк" localSheetId="12">#REF!</definedName>
    <definedName name="теодкккккккккккк" localSheetId="112">#REF!</definedName>
    <definedName name="теодкккккккккккк" localSheetId="113">#REF!</definedName>
    <definedName name="теодкккккккккккк" localSheetId="115">#REF!</definedName>
    <definedName name="теодкккккккккккк" localSheetId="116">#REF!</definedName>
    <definedName name="теодкккккккккккк" localSheetId="8">#REF!</definedName>
    <definedName name="теодкккккккккккк" localSheetId="11">#REF!</definedName>
    <definedName name="теодкккккккккккк" localSheetId="110">#REF!</definedName>
    <definedName name="теодкккккккккккк" localSheetId="6">#REF!</definedName>
    <definedName name="теодкккккккккккк" localSheetId="9">#REF!</definedName>
    <definedName name="теодкккккккккккк" localSheetId="7">#REF!</definedName>
    <definedName name="теодкккккккккккк" localSheetId="92">#REF!</definedName>
    <definedName name="теодкккккккккккк" localSheetId="93">#REF!</definedName>
    <definedName name="теодкккккккккккк" localSheetId="94">#REF!</definedName>
    <definedName name="теодкккккккккккк" localSheetId="99">#REF!</definedName>
    <definedName name="теодкккккккккккк" localSheetId="100">#REF!</definedName>
    <definedName name="теодкккккккккккк" localSheetId="106">#REF!</definedName>
    <definedName name="теодкккккккккккк">#REF!</definedName>
    <definedName name="Территориальная_поправка_к_ТЕР" localSheetId="10">#REF!</definedName>
    <definedName name="Территориальная_поправка_к_ТЕР" localSheetId="9">#REF!</definedName>
    <definedName name="Территориальная_поправка_к_ТЕР">#REF!</definedName>
    <definedName name="техник" localSheetId="10">#REF!</definedName>
    <definedName name="техник" localSheetId="9">#REF!</definedName>
    <definedName name="техник">#REF!</definedName>
    <definedName name="технич" localSheetId="10">#REF!</definedName>
    <definedName name="технич" localSheetId="9">#REF!</definedName>
    <definedName name="технич">#REF!</definedName>
    <definedName name="ТолкоМашЛаб" localSheetId="10">[50]СмМашБур!#REF!</definedName>
    <definedName name="ТолкоМашЛаб" localSheetId="9">[50]СмМашБур!#REF!</definedName>
    <definedName name="ТолкоМашЛаб" localSheetId="7">[49]СмМашБур!#REF!</definedName>
    <definedName name="ТолкоМашЛаб">[50]СмМашБур!#REF!</definedName>
    <definedName name="ТолькоМашБур" localSheetId="10">[50]СмМашБур!#REF!</definedName>
    <definedName name="ТолькоМашБур" localSheetId="9">[50]СмМашБур!#REF!</definedName>
    <definedName name="ТолькоМашБур" localSheetId="7">[49]СмМашБур!#REF!</definedName>
    <definedName name="ТолькоМашБур">[50]СмМашБур!#REF!</definedName>
    <definedName name="ТолькоРучБур" localSheetId="10">[50]СмРучБур!#REF!</definedName>
    <definedName name="ТолькоРучБур" localSheetId="9">[50]СмРучБур!#REF!</definedName>
    <definedName name="ТолькоРучБур" localSheetId="7">[49]СмРучБур!#REF!</definedName>
    <definedName name="ТолькоРучБур">[50]СмРучБур!#REF!</definedName>
    <definedName name="ТолькоРучЛаб" localSheetId="7">[49]СмРучБур!$K$39</definedName>
    <definedName name="ТолькоРучЛаб">[50]СмРучБур!$K$39</definedName>
    <definedName name="Томская_область" localSheetId="10">#REF!</definedName>
    <definedName name="Томская_область" localSheetId="9">#REF!</definedName>
    <definedName name="Томская_область">#REF!</definedName>
    <definedName name="Томская_область_1" localSheetId="10">#REF!</definedName>
    <definedName name="Томская_область_1" localSheetId="9">#REF!</definedName>
    <definedName name="Томская_область_1">#REF!</definedName>
    <definedName name="топ1" localSheetId="10">#REF!</definedName>
    <definedName name="топ1" localSheetId="12">#REF!</definedName>
    <definedName name="топ1" localSheetId="116">#REF!</definedName>
    <definedName name="топ1" localSheetId="110">#REF!</definedName>
    <definedName name="топ1" localSheetId="9">#REF!</definedName>
    <definedName name="топ1" localSheetId="7">#REF!</definedName>
    <definedName name="топ1" localSheetId="92">#REF!</definedName>
    <definedName name="топ1" localSheetId="93">#REF!</definedName>
    <definedName name="топ1" localSheetId="94">#REF!</definedName>
    <definedName name="топ1" localSheetId="99">#REF!</definedName>
    <definedName name="топ1" localSheetId="100">#REF!</definedName>
    <definedName name="топ1" localSheetId="106">#REF!</definedName>
    <definedName name="топ1">#REF!</definedName>
    <definedName name="топ2" localSheetId="10">#REF!</definedName>
    <definedName name="топ2" localSheetId="12">#REF!</definedName>
    <definedName name="топ2" localSheetId="110">#REF!</definedName>
    <definedName name="топ2" localSheetId="9">#REF!</definedName>
    <definedName name="топ2" localSheetId="92">#REF!</definedName>
    <definedName name="топ2" localSheetId="93">#REF!</definedName>
    <definedName name="топ2" localSheetId="94">#REF!</definedName>
    <definedName name="топ2" localSheetId="99">#REF!</definedName>
    <definedName name="топ2" localSheetId="100">#REF!</definedName>
    <definedName name="топ2" localSheetId="106">#REF!</definedName>
    <definedName name="топ2">#REF!</definedName>
    <definedName name="топо" localSheetId="10">#REF!</definedName>
    <definedName name="топо" localSheetId="12">#REF!</definedName>
    <definedName name="топо" localSheetId="110">#REF!</definedName>
    <definedName name="топо" localSheetId="9">#REF!</definedName>
    <definedName name="топо">#REF!</definedName>
    <definedName name="топо_1" localSheetId="10">#REF!</definedName>
    <definedName name="топо_1" localSheetId="9">#REF!</definedName>
    <definedName name="топо_1">#REF!</definedName>
    <definedName name="топогр1" localSheetId="10">#REF!</definedName>
    <definedName name="топогр1" localSheetId="12">#REF!</definedName>
    <definedName name="топогр1" localSheetId="110">#REF!</definedName>
    <definedName name="топогр1" localSheetId="9">#REF!</definedName>
    <definedName name="топогр1">#REF!</definedName>
    <definedName name="топограф" localSheetId="10">#REF!</definedName>
    <definedName name="топограф" localSheetId="12">#REF!</definedName>
    <definedName name="топограф" localSheetId="110">#REF!</definedName>
    <definedName name="топограф" localSheetId="9">#REF!</definedName>
    <definedName name="топограф">#REF!</definedName>
    <definedName name="тор" localSheetId="10">#REF!</definedName>
    <definedName name="тор" localSheetId="12">#REF!</definedName>
    <definedName name="тор" localSheetId="110">#REF!</definedName>
    <definedName name="тор" localSheetId="9">#REF!</definedName>
    <definedName name="тор">#REF!</definedName>
    <definedName name="третий" localSheetId="10">#REF!</definedName>
    <definedName name="третий" localSheetId="9">#REF!</definedName>
    <definedName name="третий">#REF!</definedName>
    <definedName name="третья_кат" localSheetId="10">#REF!</definedName>
    <definedName name="третья_кат" localSheetId="9">#REF!</definedName>
    <definedName name="третья_кат">#REF!</definedName>
    <definedName name="трол" localSheetId="10">#REF!</definedName>
    <definedName name="трол" localSheetId="9">#REF!</definedName>
    <definedName name="трол">#REF!</definedName>
    <definedName name="трп" localSheetId="10" hidden="1">{#N/A,#N/A,TRUE,"Смета на пасс. обор. №1"}</definedName>
    <definedName name="трп" localSheetId="12" hidden="1">{#N/A,#N/A,TRUE,"Смета на пасс. обор. №1"}</definedName>
    <definedName name="трп" localSheetId="111" hidden="1">{#N/A,#N/A,TRUE,"Смета на пасс. обор. №1"}</definedName>
    <definedName name="трп" localSheetId="112" hidden="1">{#N/A,#N/A,TRUE,"Смета на пасс. обор. №1"}</definedName>
    <definedName name="трп" localSheetId="113" hidden="1">{#N/A,#N/A,TRUE,"Смета на пасс. обор. №1"}</definedName>
    <definedName name="трп" localSheetId="114" hidden="1">{#N/A,#N/A,TRUE,"Смета на пасс. обор. №1"}</definedName>
    <definedName name="трп" localSheetId="115" hidden="1">{#N/A,#N/A,TRUE,"Смета на пасс. обор. №1"}</definedName>
    <definedName name="трп" localSheetId="116" hidden="1">{#N/A,#N/A,TRUE,"Смета на пасс. обор. №1"}</definedName>
    <definedName name="трп" localSheetId="117" hidden="1">{#N/A,#N/A,TRUE,"Смета на пасс. обор. №1"}</definedName>
    <definedName name="трп" localSheetId="118" hidden="1">{#N/A,#N/A,TRUE,"Смета на пасс. обор. №1"}</definedName>
    <definedName name="трп" localSheetId="121" hidden="1">{#N/A,#N/A,TRUE,"Смета на пасс. обор. №1"}</definedName>
    <definedName name="трп" localSheetId="122" hidden="1">{#N/A,#N/A,TRUE,"Смета на пасс. обор. №1"}</definedName>
    <definedName name="трп" localSheetId="8" hidden="1">{#N/A,#N/A,TRUE,"Смета на пасс. обор. №1"}</definedName>
    <definedName name="трп" localSheetId="11" hidden="1">{#N/A,#N/A,TRUE,"Смета на пасс. обор. №1"}</definedName>
    <definedName name="трп" localSheetId="110" hidden="1">{#N/A,#N/A,TRUE,"Смета на пасс. обор. №1"}</definedName>
    <definedName name="трп" localSheetId="109" hidden="1">{#N/A,#N/A,TRUE,"Смета на пасс. обор. №1"}</definedName>
    <definedName name="трп" localSheetId="108" hidden="1">{#N/A,#N/A,TRUE,"Смета на пасс. обор. №1"}</definedName>
    <definedName name="трп" localSheetId="6" hidden="1">{#N/A,#N/A,TRUE,"Смета на пасс. обор. №1"}</definedName>
    <definedName name="трп" localSheetId="9" hidden="1">{#N/A,#N/A,TRUE,"Смета на пасс. обор. №1"}</definedName>
    <definedName name="трп" localSheetId="7" hidden="1">{#N/A,#N/A,TRUE,"Смета на пасс. обор. №1"}</definedName>
    <definedName name="трп" localSheetId="92" hidden="1">{#N/A,#N/A,TRUE,"Смета на пасс. обор. №1"}</definedName>
    <definedName name="трп" localSheetId="93" hidden="1">{#N/A,#N/A,TRUE,"Смета на пасс. обор. №1"}</definedName>
    <definedName name="трп" localSheetId="94" hidden="1">{#N/A,#N/A,TRUE,"Смета на пасс. обор. №1"}</definedName>
    <definedName name="трп" localSheetId="99" hidden="1">{#N/A,#N/A,TRUE,"Смета на пасс. обор. №1"}</definedName>
    <definedName name="трп" localSheetId="100" hidden="1">{#N/A,#N/A,TRUE,"Смета на пасс. обор. №1"}</definedName>
    <definedName name="трп" localSheetId="106" hidden="1">{#N/A,#N/A,TRUE,"Смета на пасс. обор. №1"}</definedName>
    <definedName name="трп" localSheetId="2" hidden="1">{#N/A,#N/A,TRUE,"Смета на пасс. обор. №1"}</definedName>
    <definedName name="трп" localSheetId="123" hidden="1">{#N/A,#N/A,TRUE,"Смета на пасс. обор. №1"}</definedName>
    <definedName name="трп" localSheetId="4" hidden="1">{#N/A,#N/A,TRUE,"Смета на пасс. обор. №1"}</definedName>
    <definedName name="трп" localSheetId="13" hidden="1">{#N/A,#N/A,TRUE,"Смета на пасс. обор. №1"}</definedName>
    <definedName name="трп" hidden="1">{#N/A,#N/A,TRUE,"Смета на пасс. обор. №1"}</definedName>
    <definedName name="трп_1" localSheetId="10" hidden="1">{#N/A,#N/A,TRUE,"Смета на пасс. обор. №1"}</definedName>
    <definedName name="трп_1" localSheetId="12" hidden="1">{#N/A,#N/A,TRUE,"Смета на пасс. обор. №1"}</definedName>
    <definedName name="трп_1" localSheetId="111" hidden="1">{#N/A,#N/A,TRUE,"Смета на пасс. обор. №1"}</definedName>
    <definedName name="трп_1" localSheetId="112" hidden="1">{#N/A,#N/A,TRUE,"Смета на пасс. обор. №1"}</definedName>
    <definedName name="трп_1" localSheetId="113" hidden="1">{#N/A,#N/A,TRUE,"Смета на пасс. обор. №1"}</definedName>
    <definedName name="трп_1" localSheetId="114" hidden="1">{#N/A,#N/A,TRUE,"Смета на пасс. обор. №1"}</definedName>
    <definedName name="трп_1" localSheetId="115" hidden="1">{#N/A,#N/A,TRUE,"Смета на пасс. обор. №1"}</definedName>
    <definedName name="трп_1" localSheetId="116" hidden="1">{#N/A,#N/A,TRUE,"Смета на пасс. обор. №1"}</definedName>
    <definedName name="трп_1" localSheetId="117" hidden="1">{#N/A,#N/A,TRUE,"Смета на пасс. обор. №1"}</definedName>
    <definedName name="трп_1" localSheetId="118" hidden="1">{#N/A,#N/A,TRUE,"Смета на пасс. обор. №1"}</definedName>
    <definedName name="трп_1" localSheetId="121" hidden="1">{#N/A,#N/A,TRUE,"Смета на пасс. обор. №1"}</definedName>
    <definedName name="трп_1" localSheetId="122" hidden="1">{#N/A,#N/A,TRUE,"Смета на пасс. обор. №1"}</definedName>
    <definedName name="трп_1" localSheetId="8" hidden="1">{#N/A,#N/A,TRUE,"Смета на пасс. обор. №1"}</definedName>
    <definedName name="трп_1" localSheetId="11" hidden="1">{#N/A,#N/A,TRUE,"Смета на пасс. обор. №1"}</definedName>
    <definedName name="трп_1" localSheetId="110" hidden="1">{#N/A,#N/A,TRUE,"Смета на пасс. обор. №1"}</definedName>
    <definedName name="трп_1" localSheetId="109" hidden="1">{#N/A,#N/A,TRUE,"Смета на пасс. обор. №1"}</definedName>
    <definedName name="трп_1" localSheetId="108" hidden="1">{#N/A,#N/A,TRUE,"Смета на пасс. обор. №1"}</definedName>
    <definedName name="трп_1" localSheetId="6" hidden="1">{#N/A,#N/A,TRUE,"Смета на пасс. обор. №1"}</definedName>
    <definedName name="трп_1" localSheetId="9" hidden="1">{#N/A,#N/A,TRUE,"Смета на пасс. обор. №1"}</definedName>
    <definedName name="трп_1" localSheetId="7" hidden="1">{#N/A,#N/A,TRUE,"Смета на пасс. обор. №1"}</definedName>
    <definedName name="трп_1" localSheetId="92" hidden="1">{#N/A,#N/A,TRUE,"Смета на пасс. обор. №1"}</definedName>
    <definedName name="трп_1" localSheetId="93" hidden="1">{#N/A,#N/A,TRUE,"Смета на пасс. обор. №1"}</definedName>
    <definedName name="трп_1" localSheetId="94" hidden="1">{#N/A,#N/A,TRUE,"Смета на пасс. обор. №1"}</definedName>
    <definedName name="трп_1" localSheetId="99" hidden="1">{#N/A,#N/A,TRUE,"Смета на пасс. обор. №1"}</definedName>
    <definedName name="трп_1" localSheetId="100" hidden="1">{#N/A,#N/A,TRUE,"Смета на пасс. обор. №1"}</definedName>
    <definedName name="трп_1" localSheetId="106" hidden="1">{#N/A,#N/A,TRUE,"Смета на пасс. обор. №1"}</definedName>
    <definedName name="трп_1" localSheetId="2" hidden="1">{#N/A,#N/A,TRUE,"Смета на пасс. обор. №1"}</definedName>
    <definedName name="трп_1" localSheetId="123" hidden="1">{#N/A,#N/A,TRUE,"Смета на пасс. обор. №1"}</definedName>
    <definedName name="трп_1" localSheetId="4" hidden="1">{#N/A,#N/A,TRUE,"Смета на пасс. обор. №1"}</definedName>
    <definedName name="трп_1" localSheetId="13" hidden="1">{#N/A,#N/A,TRUE,"Смета на пасс. обор. №1"}</definedName>
    <definedName name="трп_1" hidden="1">{#N/A,#N/A,TRUE,"Смета на пасс. обор. №1"}</definedName>
    <definedName name="Труд_механизаторов_по_акту_вып_работ_с_учетом_к_тов" localSheetId="10">#REF!</definedName>
    <definedName name="Труд_механизаторов_по_акту_вып_работ_с_учетом_к_тов" localSheetId="9">#REF!</definedName>
    <definedName name="Труд_механизаторов_по_акту_вып_работ_с_учетом_к_тов">#REF!</definedName>
    <definedName name="Труд_основн_рабочих_по_акту_вып_работ_с_учетом_к_тов" localSheetId="10">#REF!</definedName>
    <definedName name="Труд_основн_рабочих_по_акту_вып_работ_с_учетом_к_тов" localSheetId="9">#REF!</definedName>
    <definedName name="Труд_основн_рабочих_по_акту_вып_работ_с_учетом_к_тов">#REF!</definedName>
    <definedName name="Трудоемкость_механизаторов_по_акту_выполненных_работ" localSheetId="10">#REF!</definedName>
    <definedName name="Трудоемкость_механизаторов_по_акту_выполненных_работ" localSheetId="9">#REF!</definedName>
    <definedName name="Трудоемкость_механизаторов_по_акту_выполненных_работ">#REF!</definedName>
    <definedName name="Трудоемкость_основных_рабочих_по_акту_выполненных_работ" localSheetId="10">#REF!</definedName>
    <definedName name="Трудоемкость_основных_рабочих_по_акту_выполненных_работ" localSheetId="9">#REF!</definedName>
    <definedName name="Трудоемкость_основных_рабочих_по_акту_выполненных_работ">#REF!</definedName>
    <definedName name="ТС1" localSheetId="10">#REF!</definedName>
    <definedName name="ТС1" localSheetId="12">#REF!</definedName>
    <definedName name="ТС1" localSheetId="116">#REF!</definedName>
    <definedName name="ТС1" localSheetId="110">#REF!</definedName>
    <definedName name="ТС1" localSheetId="109">#REF!</definedName>
    <definedName name="ТС1" localSheetId="108">#REF!</definedName>
    <definedName name="ТС1" localSheetId="9">#REF!</definedName>
    <definedName name="ТС1" localSheetId="7">#REF!</definedName>
    <definedName name="ТС1" localSheetId="92">#REF!</definedName>
    <definedName name="ТС1" localSheetId="93">#REF!</definedName>
    <definedName name="ТС1" localSheetId="94">#REF!</definedName>
    <definedName name="ТС1" localSheetId="99">#REF!</definedName>
    <definedName name="ТС1" localSheetId="100">#REF!</definedName>
    <definedName name="ТС1" localSheetId="106">#REF!</definedName>
    <definedName name="ТС1">#REF!</definedName>
    <definedName name="Тульская_область" localSheetId="10">#REF!</definedName>
    <definedName name="Тульская_область" localSheetId="9">#REF!</definedName>
    <definedName name="Тульская_область">#REF!</definedName>
    <definedName name="тыс" localSheetId="8">{0,"тысячz";1,"тысячаz";2,"тысячиz";5,"тысячz"}</definedName>
    <definedName name="тыс" localSheetId="6">{0,"тысячz";1,"тысячаz";2,"тысячиz";5,"тысячz"}</definedName>
    <definedName name="тыс" localSheetId="7">{0,"тысячz";1,"тысячаz";2,"тысячиz";5,"тысячz"}</definedName>
    <definedName name="тыс">{0,"тысячz";1,"тысячаz";2,"тысячиz";5,"тысячz"}</definedName>
    <definedName name="тьбю" localSheetId="10">#REF!</definedName>
    <definedName name="тьбю" localSheetId="12">#REF!</definedName>
    <definedName name="тьбю" localSheetId="116">#REF!</definedName>
    <definedName name="тьбю" localSheetId="8">#REF!</definedName>
    <definedName name="тьбю" localSheetId="11">#REF!</definedName>
    <definedName name="тьбю" localSheetId="110">#REF!</definedName>
    <definedName name="тьбю" localSheetId="109">#REF!</definedName>
    <definedName name="тьбю" localSheetId="108">#REF!</definedName>
    <definedName name="тьбю" localSheetId="6">#REF!</definedName>
    <definedName name="тьбю" localSheetId="9">#REF!</definedName>
    <definedName name="тьбю" localSheetId="7">#REF!</definedName>
    <definedName name="тьбю" localSheetId="92">#REF!</definedName>
    <definedName name="тьбю" localSheetId="93">#REF!</definedName>
    <definedName name="тьбю" localSheetId="94">#REF!</definedName>
    <definedName name="тьбю" localSheetId="99">#REF!</definedName>
    <definedName name="тьбю" localSheetId="100">#REF!</definedName>
    <definedName name="тьбю" localSheetId="106">#REF!</definedName>
    <definedName name="тьбю">#REF!</definedName>
    <definedName name="тьюит" localSheetId="10">#REF!</definedName>
    <definedName name="тьюит" localSheetId="9">#REF!</definedName>
    <definedName name="тьюит">#REF!</definedName>
    <definedName name="ТЭО" localSheetId="10">#REF!</definedName>
    <definedName name="ТЭО" localSheetId="12">#REF!</definedName>
    <definedName name="ТЭО" localSheetId="116">#REF!</definedName>
    <definedName name="ТЭО" localSheetId="110">#REF!</definedName>
    <definedName name="ТЭО" localSheetId="9">#REF!</definedName>
    <definedName name="ТЭО" localSheetId="92">#REF!</definedName>
    <definedName name="ТЭО" localSheetId="93">#REF!</definedName>
    <definedName name="ТЭО" localSheetId="94">#REF!</definedName>
    <definedName name="ТЭО" localSheetId="99">#REF!</definedName>
    <definedName name="ТЭО" localSheetId="100">#REF!</definedName>
    <definedName name="ТЭО" localSheetId="106">#REF!</definedName>
    <definedName name="ТЭО">#REF!</definedName>
    <definedName name="ТЭО1" localSheetId="10">#REF!</definedName>
    <definedName name="ТЭО1" localSheetId="12">#REF!</definedName>
    <definedName name="ТЭО1" localSheetId="110">#REF!</definedName>
    <definedName name="ТЭО1" localSheetId="9">#REF!</definedName>
    <definedName name="ТЭО1">#REF!</definedName>
    <definedName name="ТЭО2" localSheetId="10">#REF!</definedName>
    <definedName name="ТЭО2" localSheetId="12">#REF!</definedName>
    <definedName name="ТЭО2" localSheetId="110">#REF!</definedName>
    <definedName name="ТЭО2" localSheetId="9">#REF!</definedName>
    <definedName name="ТЭО2">#REF!</definedName>
    <definedName name="ТЭОДКК" localSheetId="10">#REF!</definedName>
    <definedName name="ТЭОДКК" localSheetId="12">#REF!</definedName>
    <definedName name="ТЭОДКК" localSheetId="110">#REF!</definedName>
    <definedName name="ТЭОДКК" localSheetId="9">#REF!</definedName>
    <definedName name="ТЭОДКК">#REF!</definedName>
    <definedName name="ТЭОДККК" localSheetId="10">#REF!</definedName>
    <definedName name="ТЭОДККК" localSheetId="12">#REF!</definedName>
    <definedName name="ТЭОДККК" localSheetId="110">#REF!</definedName>
    <definedName name="ТЭОДККК" localSheetId="9">#REF!</definedName>
    <definedName name="ТЭОДККК">#REF!</definedName>
    <definedName name="Тюменская_область" localSheetId="10">#REF!</definedName>
    <definedName name="Тюменская_область" localSheetId="9">#REF!</definedName>
    <definedName name="Тюменская_область">#REF!</definedName>
    <definedName name="Тюменская_область_1" localSheetId="10">#REF!</definedName>
    <definedName name="Тюменская_область_1" localSheetId="9">#REF!</definedName>
    <definedName name="Тюменская_область_1">#REF!</definedName>
    <definedName name="убыль" localSheetId="10">#REF!</definedName>
    <definedName name="убыль" localSheetId="9">#REF!</definedName>
    <definedName name="убыль">#REF!</definedName>
    <definedName name="ува" localSheetId="10">#REF!</definedName>
    <definedName name="ува" localSheetId="9">#REF!</definedName>
    <definedName name="ува">#REF!</definedName>
    <definedName name="уг" localSheetId="10">#REF!</definedName>
    <definedName name="уг" localSheetId="9">#REF!</definedName>
    <definedName name="уг">#REF!</definedName>
    <definedName name="Удмуртская_Республика" localSheetId="10">#REF!</definedName>
    <definedName name="Удмуртская_Республика" localSheetId="9">#REF!</definedName>
    <definedName name="Удмуртская_Республика">#REF!</definedName>
    <definedName name="Удмуртская_Республика_1" localSheetId="10">#REF!</definedName>
    <definedName name="Удмуртская_Республика_1" localSheetId="9">#REF!</definedName>
    <definedName name="Удмуртская_Республика_1">#REF!</definedName>
    <definedName name="уено" localSheetId="10">#REF!</definedName>
    <definedName name="уено" localSheetId="9">#REF!</definedName>
    <definedName name="уено">#REF!</definedName>
    <definedName name="уенонео" localSheetId="10">#REF!</definedName>
    <definedName name="уенонео" localSheetId="9">#REF!</definedName>
    <definedName name="уенонео">#REF!</definedName>
    <definedName name="уер" localSheetId="10">#REF!</definedName>
    <definedName name="уер" localSheetId="9">#REF!</definedName>
    <definedName name="уер">#REF!</definedName>
    <definedName name="уеро" localSheetId="10">#REF!</definedName>
    <definedName name="уеро" localSheetId="9">#REF!</definedName>
    <definedName name="уеро">#REF!</definedName>
    <definedName name="уерор" localSheetId="10">#REF!</definedName>
    <definedName name="уерор" localSheetId="9">#REF!</definedName>
    <definedName name="уерор">#REF!</definedName>
    <definedName name="ук" localSheetId="10">#REF!</definedName>
    <definedName name="ук" localSheetId="12" hidden="1">{#N/A,#N/A,TRUE,"Смета на пасс. обор. №1"}</definedName>
    <definedName name="ук" localSheetId="111" hidden="1">{#N/A,#N/A,TRUE,"Смета на пасс. обор. №1"}</definedName>
    <definedName name="ук" localSheetId="112" hidden="1">{#N/A,#N/A,TRUE,"Смета на пасс. обор. №1"}</definedName>
    <definedName name="ук" localSheetId="113" hidden="1">{#N/A,#N/A,TRUE,"Смета на пасс. обор. №1"}</definedName>
    <definedName name="ук" localSheetId="114" hidden="1">{#N/A,#N/A,TRUE,"Смета на пасс. обор. №1"}</definedName>
    <definedName name="ук" localSheetId="115" hidden="1">{#N/A,#N/A,TRUE,"Смета на пасс. обор. №1"}</definedName>
    <definedName name="ук" localSheetId="116" hidden="1">{#N/A,#N/A,TRUE,"Смета на пасс. обор. №1"}</definedName>
    <definedName name="ук" localSheetId="117" hidden="1">{#N/A,#N/A,TRUE,"Смета на пасс. обор. №1"}</definedName>
    <definedName name="ук" localSheetId="118" hidden="1">{#N/A,#N/A,TRUE,"Смета на пасс. обор. №1"}</definedName>
    <definedName name="ук" localSheetId="121" hidden="1">{#N/A,#N/A,TRUE,"Смета на пасс. обор. №1"}</definedName>
    <definedName name="ук" localSheetId="122" hidden="1">{#N/A,#N/A,TRUE,"Смета на пасс. обор. №1"}</definedName>
    <definedName name="ук" localSheetId="8">#REF!</definedName>
    <definedName name="ук" localSheetId="11">#REF!</definedName>
    <definedName name="ук" localSheetId="110" hidden="1">{#N/A,#N/A,TRUE,"Смета на пасс. обор. №1"}</definedName>
    <definedName name="ук" localSheetId="109" hidden="1">{#N/A,#N/A,TRUE,"Смета на пасс. обор. №1"}</definedName>
    <definedName name="ук" localSheetId="108" hidden="1">{#N/A,#N/A,TRUE,"Смета на пасс. обор. №1"}</definedName>
    <definedName name="ук" localSheetId="6">#REF!</definedName>
    <definedName name="ук" localSheetId="9">#REF!</definedName>
    <definedName name="ук" localSheetId="7" hidden="1">{#N/A,#N/A,TRUE,"Смета на пасс. обор. №1"}</definedName>
    <definedName name="ук" localSheetId="92" hidden="1">{#N/A,#N/A,TRUE,"Смета на пасс. обор. №1"}</definedName>
    <definedName name="ук" localSheetId="93" hidden="1">{#N/A,#N/A,TRUE,"Смета на пасс. обор. №1"}</definedName>
    <definedName name="ук" localSheetId="94" hidden="1">{#N/A,#N/A,TRUE,"Смета на пасс. обор. №1"}</definedName>
    <definedName name="ук" localSheetId="99" hidden="1">{#N/A,#N/A,TRUE,"Смета на пасс. обор. №1"}</definedName>
    <definedName name="ук" localSheetId="100" hidden="1">{#N/A,#N/A,TRUE,"Смета на пасс. обор. №1"}</definedName>
    <definedName name="ук" localSheetId="106" hidden="1">{#N/A,#N/A,TRUE,"Смета на пасс. обор. №1"}</definedName>
    <definedName name="ук" localSheetId="2" hidden="1">{#N/A,#N/A,TRUE,"Смета на пасс. обор. №1"}</definedName>
    <definedName name="ук" localSheetId="123" hidden="1">{#N/A,#N/A,TRUE,"Смета на пасс. обор. №1"}</definedName>
    <definedName name="ук" localSheetId="4" hidden="1">{#N/A,#N/A,TRUE,"Смета на пасс. обор. №1"}</definedName>
    <definedName name="ук" localSheetId="13" hidden="1">{#N/A,#N/A,TRUE,"Смета на пасс. обор. №1"}</definedName>
    <definedName name="ук" hidden="1">{#N/A,#N/A,TRUE,"Смета на пасс. обор. №1"}</definedName>
    <definedName name="ук_1" localSheetId="10" hidden="1">{#N/A,#N/A,TRUE,"Смета на пасс. обор. №1"}</definedName>
    <definedName name="ук_1" localSheetId="12" hidden="1">{#N/A,#N/A,TRUE,"Смета на пасс. обор. №1"}</definedName>
    <definedName name="ук_1" localSheetId="111" hidden="1">{#N/A,#N/A,TRUE,"Смета на пасс. обор. №1"}</definedName>
    <definedName name="ук_1" localSheetId="112" hidden="1">{#N/A,#N/A,TRUE,"Смета на пасс. обор. №1"}</definedName>
    <definedName name="ук_1" localSheetId="113" hidden="1">{#N/A,#N/A,TRUE,"Смета на пасс. обор. №1"}</definedName>
    <definedName name="ук_1" localSheetId="114" hidden="1">{#N/A,#N/A,TRUE,"Смета на пасс. обор. №1"}</definedName>
    <definedName name="ук_1" localSheetId="115" hidden="1">{#N/A,#N/A,TRUE,"Смета на пасс. обор. №1"}</definedName>
    <definedName name="ук_1" localSheetId="116" hidden="1">{#N/A,#N/A,TRUE,"Смета на пасс. обор. №1"}</definedName>
    <definedName name="ук_1" localSheetId="117" hidden="1">{#N/A,#N/A,TRUE,"Смета на пасс. обор. №1"}</definedName>
    <definedName name="ук_1" localSheetId="118" hidden="1">{#N/A,#N/A,TRUE,"Смета на пасс. обор. №1"}</definedName>
    <definedName name="ук_1" localSheetId="121" hidden="1">{#N/A,#N/A,TRUE,"Смета на пасс. обор. №1"}</definedName>
    <definedName name="ук_1" localSheetId="122" hidden="1">{#N/A,#N/A,TRUE,"Смета на пасс. обор. №1"}</definedName>
    <definedName name="ук_1" localSheetId="8" hidden="1">{#N/A,#N/A,TRUE,"Смета на пасс. обор. №1"}</definedName>
    <definedName name="ук_1" localSheetId="11" hidden="1">{#N/A,#N/A,TRUE,"Смета на пасс. обор. №1"}</definedName>
    <definedName name="ук_1" localSheetId="110" hidden="1">{#N/A,#N/A,TRUE,"Смета на пасс. обор. №1"}</definedName>
    <definedName name="ук_1" localSheetId="109" hidden="1">{#N/A,#N/A,TRUE,"Смета на пасс. обор. №1"}</definedName>
    <definedName name="ук_1" localSheetId="108" hidden="1">{#N/A,#N/A,TRUE,"Смета на пасс. обор. №1"}</definedName>
    <definedName name="ук_1" localSheetId="6" hidden="1">{#N/A,#N/A,TRUE,"Смета на пасс. обор. №1"}</definedName>
    <definedName name="ук_1" localSheetId="9" hidden="1">{#N/A,#N/A,TRUE,"Смета на пасс. обор. №1"}</definedName>
    <definedName name="ук_1" localSheetId="7" hidden="1">{#N/A,#N/A,TRUE,"Смета на пасс. обор. №1"}</definedName>
    <definedName name="ук_1" localSheetId="92" hidden="1">{#N/A,#N/A,TRUE,"Смета на пасс. обор. №1"}</definedName>
    <definedName name="ук_1" localSheetId="93" hidden="1">{#N/A,#N/A,TRUE,"Смета на пасс. обор. №1"}</definedName>
    <definedName name="ук_1" localSheetId="94" hidden="1">{#N/A,#N/A,TRUE,"Смета на пасс. обор. №1"}</definedName>
    <definedName name="ук_1" localSheetId="99" hidden="1">{#N/A,#N/A,TRUE,"Смета на пасс. обор. №1"}</definedName>
    <definedName name="ук_1" localSheetId="100" hidden="1">{#N/A,#N/A,TRUE,"Смета на пасс. обор. №1"}</definedName>
    <definedName name="ук_1" localSheetId="106" hidden="1">{#N/A,#N/A,TRUE,"Смета на пасс. обор. №1"}</definedName>
    <definedName name="ук_1" localSheetId="2" hidden="1">{#N/A,#N/A,TRUE,"Смета на пасс. обор. №1"}</definedName>
    <definedName name="ук_1" localSheetId="123" hidden="1">{#N/A,#N/A,TRUE,"Смета на пасс. обор. №1"}</definedName>
    <definedName name="ук_1" localSheetId="4" hidden="1">{#N/A,#N/A,TRUE,"Смета на пасс. обор. №1"}</definedName>
    <definedName name="ук_1" localSheetId="13" hidden="1">{#N/A,#N/A,TRUE,"Смета на пасс. обор. №1"}</definedName>
    <definedName name="ук_1" hidden="1">{#N/A,#N/A,TRUE,"Смета на пасс. обор. №1"}</definedName>
    <definedName name="уке" localSheetId="10">#REF!</definedName>
    <definedName name="уке" localSheetId="9">#REF!</definedName>
    <definedName name="уке">#REF!</definedName>
    <definedName name="укее" localSheetId="10">#REF!</definedName>
    <definedName name="укее" localSheetId="9">#REF!</definedName>
    <definedName name="укее">#REF!</definedName>
    <definedName name="укк_м" localSheetId="10">#REF!</definedName>
    <definedName name="укк_м" localSheetId="9">#REF!</definedName>
    <definedName name="укк_м">#REF!</definedName>
    <definedName name="Укрупненный_норматив_НР_для_расчета_в_текущих_ценах_и_ценах_2001г." localSheetId="10">#REF!</definedName>
    <definedName name="Укрупненный_норматив_НР_для_расчета_в_текущих_ценах_и_ценах_2001г." localSheetId="9">#REF!</definedName>
    <definedName name="Укрупненный_норматив_НР_для_расчета_в_текущих_ценах_и_ценах_2001г.">#REF!</definedName>
    <definedName name="Укрупненный_норматив_НР_для_расчета_в_ценах_1984г." localSheetId="10">#REF!</definedName>
    <definedName name="Укрупненный_норматив_НР_для_расчета_в_ценах_1984г." localSheetId="9">#REF!</definedName>
    <definedName name="Укрупненный_норматив_НР_для_расчета_в_ценах_1984г.">#REF!</definedName>
    <definedName name="Укрупненный_норматив_СП_для_расчета_в_текущих_ценах_и_ценах_2001г." localSheetId="10">#REF!</definedName>
    <definedName name="Укрупненный_норматив_СП_для_расчета_в_текущих_ценах_и_ценах_2001г." localSheetId="9">#REF!</definedName>
    <definedName name="Укрупненный_норматив_СП_для_расчета_в_текущих_ценах_и_ценах_2001г.">#REF!</definedName>
    <definedName name="Укрупненный_норматив_СП_для_расчета_в_ценах_1984г." localSheetId="10">#REF!</definedName>
    <definedName name="Укрупненный_норматив_СП_для_расчета_в_ценах_1984г." localSheetId="9">#REF!</definedName>
    <definedName name="Укрупненный_норматив_СП_для_расчета_в_ценах_1984г.">#REF!</definedName>
    <definedName name="укц" localSheetId="10">#REF!</definedName>
    <definedName name="укц" localSheetId="9">#REF!</definedName>
    <definedName name="укц">#REF!</definedName>
    <definedName name="Ульяновская_область" localSheetId="10">#REF!</definedName>
    <definedName name="Ульяновская_область" localSheetId="9">#REF!</definedName>
    <definedName name="Ульяновская_область">#REF!</definedName>
    <definedName name="уне" localSheetId="10">#REF!</definedName>
    <definedName name="уне" localSheetId="9">#REF!</definedName>
    <definedName name="уне">#REF!</definedName>
    <definedName name="уно" localSheetId="10">#REF!</definedName>
    <definedName name="уно" localSheetId="9">#REF!</definedName>
    <definedName name="уно">#REF!</definedName>
    <definedName name="уо" localSheetId="10">#REF!</definedName>
    <definedName name="уо" localSheetId="9">#REF!</definedName>
    <definedName name="уо">#REF!</definedName>
    <definedName name="уое" localSheetId="10">#REF!</definedName>
    <definedName name="уое" localSheetId="9">#REF!</definedName>
    <definedName name="уое">#REF!</definedName>
    <definedName name="упроуо" localSheetId="10">#REF!</definedName>
    <definedName name="упроуо" localSheetId="9">#REF!</definedName>
    <definedName name="упроуо">#REF!</definedName>
    <definedName name="упрт" localSheetId="10">#REF!</definedName>
    <definedName name="упрт" localSheetId="9">#REF!</definedName>
    <definedName name="упрт">#REF!</definedName>
    <definedName name="ур" localSheetId="10">#REF!</definedName>
    <definedName name="ур" localSheetId="9">#REF!</definedName>
    <definedName name="ур">#REF!</definedName>
    <definedName name="уре" localSheetId="10">#REF!</definedName>
    <definedName name="уре" localSheetId="9">#REF!</definedName>
    <definedName name="уре">#REF!</definedName>
    <definedName name="урк" localSheetId="10">#REF!</definedName>
    <definedName name="урк" localSheetId="9">#REF!</definedName>
    <definedName name="урк">#REF!</definedName>
    <definedName name="урн" localSheetId="10">#REF!</definedName>
    <definedName name="урн" localSheetId="9">#REF!</definedName>
    <definedName name="урн">#REF!</definedName>
    <definedName name="уу" localSheetId="10">#REF!</definedName>
    <definedName name="уу" localSheetId="9">#REF!</definedName>
    <definedName name="уу">#REF!</definedName>
    <definedName name="уукк" localSheetId="10">#REF!</definedName>
    <definedName name="уукк" localSheetId="9">#REF!</definedName>
    <definedName name="уукк">#REF!</definedName>
    <definedName name="ууу" localSheetId="10">#REF!</definedName>
    <definedName name="ууу" localSheetId="9">#REF!</definedName>
    <definedName name="ууу">#REF!</definedName>
    <definedName name="уцуц" localSheetId="10">#REF!</definedName>
    <definedName name="уцуц" localSheetId="12">#REF!</definedName>
    <definedName name="уцуц" localSheetId="116">#REF!</definedName>
    <definedName name="уцуц" localSheetId="110">#REF!</definedName>
    <definedName name="уцуц" localSheetId="109">#REF!</definedName>
    <definedName name="уцуц" localSheetId="108">#REF!</definedName>
    <definedName name="уцуц" localSheetId="9">#REF!</definedName>
    <definedName name="уцуц" localSheetId="92">#REF!</definedName>
    <definedName name="уцуц" localSheetId="93">#REF!</definedName>
    <definedName name="уцуц" localSheetId="94">#REF!</definedName>
    <definedName name="уцуц" localSheetId="99">#REF!</definedName>
    <definedName name="уцуц" localSheetId="100">#REF!</definedName>
    <definedName name="уцуц" localSheetId="106">#REF!</definedName>
    <definedName name="уцуц">#REF!</definedName>
    <definedName name="Участок" localSheetId="10">#REF!</definedName>
    <definedName name="Участок" localSheetId="12">#REF!</definedName>
    <definedName name="Участок" localSheetId="116">#REF!</definedName>
    <definedName name="Участок" localSheetId="110">#REF!</definedName>
    <definedName name="Участок" localSheetId="109">#REF!</definedName>
    <definedName name="Участок" localSheetId="108">#REF!</definedName>
    <definedName name="Участок" localSheetId="9">#REF!</definedName>
    <definedName name="Участок" localSheetId="92">#REF!</definedName>
    <definedName name="Участок" localSheetId="93">#REF!</definedName>
    <definedName name="Участок" localSheetId="94">#REF!</definedName>
    <definedName name="Участок" localSheetId="99">#REF!</definedName>
    <definedName name="Участок" localSheetId="100">#REF!</definedName>
    <definedName name="Участок" localSheetId="106">#REF!</definedName>
    <definedName name="Участок">#REF!</definedName>
    <definedName name="Участок_1" localSheetId="10">#REF!</definedName>
    <definedName name="Участок_1" localSheetId="9">#REF!</definedName>
    <definedName name="Участок_1">#REF!</definedName>
    <definedName name="ушщпгу" localSheetId="10">#REF!</definedName>
    <definedName name="ушщпгу" localSheetId="9">#REF!</definedName>
    <definedName name="ушщпгу">#REF!</definedName>
    <definedName name="уы" localSheetId="10" hidden="1">{#N/A,#N/A,TRUE,"Смета на пасс. обор. №1"}</definedName>
    <definedName name="уы" localSheetId="12" hidden="1">{#N/A,#N/A,TRUE,"Смета на пасс. обор. №1"}</definedName>
    <definedName name="уы" localSheetId="111" hidden="1">{#N/A,#N/A,TRUE,"Смета на пасс. обор. №1"}</definedName>
    <definedName name="уы" localSheetId="112" hidden="1">{#N/A,#N/A,TRUE,"Смета на пасс. обор. №1"}</definedName>
    <definedName name="уы" localSheetId="113" hidden="1">{#N/A,#N/A,TRUE,"Смета на пасс. обор. №1"}</definedName>
    <definedName name="уы" localSheetId="114" hidden="1">{#N/A,#N/A,TRUE,"Смета на пасс. обор. №1"}</definedName>
    <definedName name="уы" localSheetId="115" hidden="1">{#N/A,#N/A,TRUE,"Смета на пасс. обор. №1"}</definedName>
    <definedName name="уы" localSheetId="116" hidden="1">{#N/A,#N/A,TRUE,"Смета на пасс. обор. №1"}</definedName>
    <definedName name="уы" localSheetId="117" hidden="1">{#N/A,#N/A,TRUE,"Смета на пасс. обор. №1"}</definedName>
    <definedName name="уы" localSheetId="118" hidden="1">{#N/A,#N/A,TRUE,"Смета на пасс. обор. №1"}</definedName>
    <definedName name="уы" localSheetId="121" hidden="1">{#N/A,#N/A,TRUE,"Смета на пасс. обор. №1"}</definedName>
    <definedName name="уы" localSheetId="122" hidden="1">{#N/A,#N/A,TRUE,"Смета на пасс. обор. №1"}</definedName>
    <definedName name="уы" localSheetId="8" hidden="1">{#N/A,#N/A,TRUE,"Смета на пасс. обор. №1"}</definedName>
    <definedName name="уы" localSheetId="11" hidden="1">{#N/A,#N/A,TRUE,"Смета на пасс. обор. №1"}</definedName>
    <definedName name="уы" localSheetId="110" hidden="1">{#N/A,#N/A,TRUE,"Смета на пасс. обор. №1"}</definedName>
    <definedName name="уы" localSheetId="109" hidden="1">{#N/A,#N/A,TRUE,"Смета на пасс. обор. №1"}</definedName>
    <definedName name="уы" localSheetId="108" hidden="1">{#N/A,#N/A,TRUE,"Смета на пасс. обор. №1"}</definedName>
    <definedName name="уы" localSheetId="6" hidden="1">{#N/A,#N/A,TRUE,"Смета на пасс. обор. №1"}</definedName>
    <definedName name="уы" localSheetId="9" hidden="1">{#N/A,#N/A,TRUE,"Смета на пасс. обор. №1"}</definedName>
    <definedName name="уы" localSheetId="7" hidden="1">{#N/A,#N/A,TRUE,"Смета на пасс. обор. №1"}</definedName>
    <definedName name="уы" localSheetId="92" hidden="1">{#N/A,#N/A,TRUE,"Смета на пасс. обор. №1"}</definedName>
    <definedName name="уы" localSheetId="93" hidden="1">{#N/A,#N/A,TRUE,"Смета на пасс. обор. №1"}</definedName>
    <definedName name="уы" localSheetId="94" hidden="1">{#N/A,#N/A,TRUE,"Смета на пасс. обор. №1"}</definedName>
    <definedName name="уы" localSheetId="99" hidden="1">{#N/A,#N/A,TRUE,"Смета на пасс. обор. №1"}</definedName>
    <definedName name="уы" localSheetId="100" hidden="1">{#N/A,#N/A,TRUE,"Смета на пасс. обор. №1"}</definedName>
    <definedName name="уы" localSheetId="106" hidden="1">{#N/A,#N/A,TRUE,"Смета на пасс. обор. №1"}</definedName>
    <definedName name="уы" localSheetId="2" hidden="1">{#N/A,#N/A,TRUE,"Смета на пасс. обор. №1"}</definedName>
    <definedName name="уы" localSheetId="123" hidden="1">{#N/A,#N/A,TRUE,"Смета на пасс. обор. №1"}</definedName>
    <definedName name="уы" localSheetId="4" hidden="1">{#N/A,#N/A,TRUE,"Смета на пасс. обор. №1"}</definedName>
    <definedName name="уы" localSheetId="13" hidden="1">{#N/A,#N/A,TRUE,"Смета на пасс. обор. №1"}</definedName>
    <definedName name="уы" hidden="1">{#N/A,#N/A,TRUE,"Смета на пасс. обор. №1"}</definedName>
    <definedName name="уы_1" localSheetId="10" hidden="1">{#N/A,#N/A,TRUE,"Смета на пасс. обор. №1"}</definedName>
    <definedName name="уы_1" localSheetId="12" hidden="1">{#N/A,#N/A,TRUE,"Смета на пасс. обор. №1"}</definedName>
    <definedName name="уы_1" localSheetId="111" hidden="1">{#N/A,#N/A,TRUE,"Смета на пасс. обор. №1"}</definedName>
    <definedName name="уы_1" localSheetId="112" hidden="1">{#N/A,#N/A,TRUE,"Смета на пасс. обор. №1"}</definedName>
    <definedName name="уы_1" localSheetId="113" hidden="1">{#N/A,#N/A,TRUE,"Смета на пасс. обор. №1"}</definedName>
    <definedName name="уы_1" localSheetId="114" hidden="1">{#N/A,#N/A,TRUE,"Смета на пасс. обор. №1"}</definedName>
    <definedName name="уы_1" localSheetId="115" hidden="1">{#N/A,#N/A,TRUE,"Смета на пасс. обор. №1"}</definedName>
    <definedName name="уы_1" localSheetId="116" hidden="1">{#N/A,#N/A,TRUE,"Смета на пасс. обор. №1"}</definedName>
    <definedName name="уы_1" localSheetId="117" hidden="1">{#N/A,#N/A,TRUE,"Смета на пасс. обор. №1"}</definedName>
    <definedName name="уы_1" localSheetId="118" hidden="1">{#N/A,#N/A,TRUE,"Смета на пасс. обор. №1"}</definedName>
    <definedName name="уы_1" localSheetId="121" hidden="1">{#N/A,#N/A,TRUE,"Смета на пасс. обор. №1"}</definedName>
    <definedName name="уы_1" localSheetId="122" hidden="1">{#N/A,#N/A,TRUE,"Смета на пасс. обор. №1"}</definedName>
    <definedName name="уы_1" localSheetId="8" hidden="1">{#N/A,#N/A,TRUE,"Смета на пасс. обор. №1"}</definedName>
    <definedName name="уы_1" localSheetId="11" hidden="1">{#N/A,#N/A,TRUE,"Смета на пасс. обор. №1"}</definedName>
    <definedName name="уы_1" localSheetId="110" hidden="1">{#N/A,#N/A,TRUE,"Смета на пасс. обор. №1"}</definedName>
    <definedName name="уы_1" localSheetId="109" hidden="1">{#N/A,#N/A,TRUE,"Смета на пасс. обор. №1"}</definedName>
    <definedName name="уы_1" localSheetId="108" hidden="1">{#N/A,#N/A,TRUE,"Смета на пасс. обор. №1"}</definedName>
    <definedName name="уы_1" localSheetId="6" hidden="1">{#N/A,#N/A,TRUE,"Смета на пасс. обор. №1"}</definedName>
    <definedName name="уы_1" localSheetId="9" hidden="1">{#N/A,#N/A,TRUE,"Смета на пасс. обор. №1"}</definedName>
    <definedName name="уы_1" localSheetId="7" hidden="1">{#N/A,#N/A,TRUE,"Смета на пасс. обор. №1"}</definedName>
    <definedName name="уы_1" localSheetId="92" hidden="1">{#N/A,#N/A,TRUE,"Смета на пасс. обор. №1"}</definedName>
    <definedName name="уы_1" localSheetId="93" hidden="1">{#N/A,#N/A,TRUE,"Смета на пасс. обор. №1"}</definedName>
    <definedName name="уы_1" localSheetId="94" hidden="1">{#N/A,#N/A,TRUE,"Смета на пасс. обор. №1"}</definedName>
    <definedName name="уы_1" localSheetId="99" hidden="1">{#N/A,#N/A,TRUE,"Смета на пасс. обор. №1"}</definedName>
    <definedName name="уы_1" localSheetId="100" hidden="1">{#N/A,#N/A,TRUE,"Смета на пасс. обор. №1"}</definedName>
    <definedName name="уы_1" localSheetId="106" hidden="1">{#N/A,#N/A,TRUE,"Смета на пасс. обор. №1"}</definedName>
    <definedName name="уы_1" localSheetId="2" hidden="1">{#N/A,#N/A,TRUE,"Смета на пасс. обор. №1"}</definedName>
    <definedName name="уы_1" localSheetId="123" hidden="1">{#N/A,#N/A,TRUE,"Смета на пасс. обор. №1"}</definedName>
    <definedName name="уы_1" localSheetId="4" hidden="1">{#N/A,#N/A,TRUE,"Смета на пасс. обор. №1"}</definedName>
    <definedName name="уы_1" localSheetId="13" hidden="1">{#N/A,#N/A,TRUE,"Смета на пасс. обор. №1"}</definedName>
    <definedName name="уы_1" hidden="1">{#N/A,#N/A,TRUE,"Смета на пасс. обор. №1"}</definedName>
    <definedName name="ф" localSheetId="10">#REF!</definedName>
    <definedName name="ф" localSheetId="12" hidden="1">{#N/A,#N/A,TRUE,"Смета на пасс. обор. №1"}</definedName>
    <definedName name="ф" localSheetId="111" hidden="1">{#N/A,#N/A,TRUE,"Смета на пасс. обор. №1"}</definedName>
    <definedName name="ф" localSheetId="112" hidden="1">{#N/A,#N/A,TRUE,"Смета на пасс. обор. №1"}</definedName>
    <definedName name="ф" localSheetId="113" hidden="1">{#N/A,#N/A,TRUE,"Смета на пасс. обор. №1"}</definedName>
    <definedName name="ф" localSheetId="114" hidden="1">{#N/A,#N/A,TRUE,"Смета на пасс. обор. №1"}</definedName>
    <definedName name="ф" localSheetId="115" hidden="1">{#N/A,#N/A,TRUE,"Смета на пасс. обор. №1"}</definedName>
    <definedName name="ф" localSheetId="116" hidden="1">{#N/A,#N/A,TRUE,"Смета на пасс. обор. №1"}</definedName>
    <definedName name="ф" localSheetId="117" hidden="1">{#N/A,#N/A,TRUE,"Смета на пасс. обор. №1"}</definedName>
    <definedName name="ф" localSheetId="118" hidden="1">{#N/A,#N/A,TRUE,"Смета на пасс. обор. №1"}</definedName>
    <definedName name="ф" localSheetId="121" hidden="1">{#N/A,#N/A,TRUE,"Смета на пасс. обор. №1"}</definedName>
    <definedName name="ф" localSheetId="122" hidden="1">{#N/A,#N/A,TRUE,"Смета на пасс. обор. №1"}</definedName>
    <definedName name="ф" localSheetId="8">#REF!</definedName>
    <definedName name="ф" localSheetId="11">#REF!</definedName>
    <definedName name="ф" localSheetId="110" hidden="1">{#N/A,#N/A,TRUE,"Смета на пасс. обор. №1"}</definedName>
    <definedName name="ф" localSheetId="109" hidden="1">{#N/A,#N/A,TRUE,"Смета на пасс. обор. №1"}</definedName>
    <definedName name="ф" localSheetId="108" hidden="1">{#N/A,#N/A,TRUE,"Смета на пасс. обор. №1"}</definedName>
    <definedName name="ф" localSheetId="6">#REF!</definedName>
    <definedName name="ф" localSheetId="9">#REF!</definedName>
    <definedName name="ф" localSheetId="7" hidden="1">{#N/A,#N/A,TRUE,"Смета на пасс. обор. №1"}</definedName>
    <definedName name="ф" localSheetId="92" hidden="1">{#N/A,#N/A,TRUE,"Смета на пасс. обор. №1"}</definedName>
    <definedName name="ф" localSheetId="93" hidden="1">{#N/A,#N/A,TRUE,"Смета на пасс. обор. №1"}</definedName>
    <definedName name="ф" localSheetId="94" hidden="1">{#N/A,#N/A,TRUE,"Смета на пасс. обор. №1"}</definedName>
    <definedName name="ф" localSheetId="99" hidden="1">{#N/A,#N/A,TRUE,"Смета на пасс. обор. №1"}</definedName>
    <definedName name="ф" localSheetId="100" hidden="1">{#N/A,#N/A,TRUE,"Смета на пасс. обор. №1"}</definedName>
    <definedName name="ф" localSheetId="106" hidden="1">{#N/A,#N/A,TRUE,"Смета на пасс. обор. №1"}</definedName>
    <definedName name="ф" localSheetId="2" hidden="1">{#N/A,#N/A,TRUE,"Смета на пасс. обор. №1"}</definedName>
    <definedName name="ф" localSheetId="123" hidden="1">{#N/A,#N/A,TRUE,"Смета на пасс. обор. №1"}</definedName>
    <definedName name="ф" localSheetId="4" hidden="1">{#N/A,#N/A,TRUE,"Смета на пасс. обор. №1"}</definedName>
    <definedName name="ф" localSheetId="13" hidden="1">{#N/A,#N/A,TRUE,"Смета на пасс. обор. №1"}</definedName>
    <definedName name="ф" hidden="1">{#N/A,#N/A,TRUE,"Смета на пасс. обор. №1"}</definedName>
    <definedName name="ф_1" localSheetId="10" hidden="1">{#N/A,#N/A,TRUE,"Смета на пасс. обор. №1"}</definedName>
    <definedName name="ф_1" localSheetId="12" hidden="1">{#N/A,#N/A,TRUE,"Смета на пасс. обор. №1"}</definedName>
    <definedName name="ф_1" localSheetId="111" hidden="1">{#N/A,#N/A,TRUE,"Смета на пасс. обор. №1"}</definedName>
    <definedName name="ф_1" localSheetId="112" hidden="1">{#N/A,#N/A,TRUE,"Смета на пасс. обор. №1"}</definedName>
    <definedName name="ф_1" localSheetId="113" hidden="1">{#N/A,#N/A,TRUE,"Смета на пасс. обор. №1"}</definedName>
    <definedName name="ф_1" localSheetId="114" hidden="1">{#N/A,#N/A,TRUE,"Смета на пасс. обор. №1"}</definedName>
    <definedName name="ф_1" localSheetId="115" hidden="1">{#N/A,#N/A,TRUE,"Смета на пасс. обор. №1"}</definedName>
    <definedName name="ф_1" localSheetId="116" hidden="1">{#N/A,#N/A,TRUE,"Смета на пасс. обор. №1"}</definedName>
    <definedName name="ф_1" localSheetId="117" hidden="1">{#N/A,#N/A,TRUE,"Смета на пасс. обор. №1"}</definedName>
    <definedName name="ф_1" localSheetId="118" hidden="1">{#N/A,#N/A,TRUE,"Смета на пасс. обор. №1"}</definedName>
    <definedName name="ф_1" localSheetId="121" hidden="1">{#N/A,#N/A,TRUE,"Смета на пасс. обор. №1"}</definedName>
    <definedName name="ф_1" localSheetId="122" hidden="1">{#N/A,#N/A,TRUE,"Смета на пасс. обор. №1"}</definedName>
    <definedName name="ф_1" localSheetId="8" hidden="1">{#N/A,#N/A,TRUE,"Смета на пасс. обор. №1"}</definedName>
    <definedName name="ф_1" localSheetId="11" hidden="1">{#N/A,#N/A,TRUE,"Смета на пасс. обор. №1"}</definedName>
    <definedName name="ф_1" localSheetId="110" hidden="1">{#N/A,#N/A,TRUE,"Смета на пасс. обор. №1"}</definedName>
    <definedName name="ф_1" localSheetId="109" hidden="1">{#N/A,#N/A,TRUE,"Смета на пасс. обор. №1"}</definedName>
    <definedName name="ф_1" localSheetId="108" hidden="1">{#N/A,#N/A,TRUE,"Смета на пасс. обор. №1"}</definedName>
    <definedName name="ф_1" localSheetId="6" hidden="1">{#N/A,#N/A,TRUE,"Смета на пасс. обор. №1"}</definedName>
    <definedName name="ф_1" localSheetId="9" hidden="1">{#N/A,#N/A,TRUE,"Смета на пасс. обор. №1"}</definedName>
    <definedName name="ф_1" localSheetId="7" hidden="1">{#N/A,#N/A,TRUE,"Смета на пасс. обор. №1"}</definedName>
    <definedName name="ф_1" localSheetId="92" hidden="1">{#N/A,#N/A,TRUE,"Смета на пасс. обор. №1"}</definedName>
    <definedName name="ф_1" localSheetId="93" hidden="1">{#N/A,#N/A,TRUE,"Смета на пасс. обор. №1"}</definedName>
    <definedName name="ф_1" localSheetId="94" hidden="1">{#N/A,#N/A,TRUE,"Смета на пасс. обор. №1"}</definedName>
    <definedName name="ф_1" localSheetId="99" hidden="1">{#N/A,#N/A,TRUE,"Смета на пасс. обор. №1"}</definedName>
    <definedName name="ф_1" localSheetId="100" hidden="1">{#N/A,#N/A,TRUE,"Смета на пасс. обор. №1"}</definedName>
    <definedName name="ф_1" localSheetId="106" hidden="1">{#N/A,#N/A,TRUE,"Смета на пасс. обор. №1"}</definedName>
    <definedName name="ф_1" localSheetId="2" hidden="1">{#N/A,#N/A,TRUE,"Смета на пасс. обор. №1"}</definedName>
    <definedName name="ф_1" localSheetId="123" hidden="1">{#N/A,#N/A,TRUE,"Смета на пасс. обор. №1"}</definedName>
    <definedName name="ф_1" localSheetId="4" hidden="1">{#N/A,#N/A,TRUE,"Смета на пасс. обор. №1"}</definedName>
    <definedName name="ф_1" localSheetId="13" hidden="1">{#N/A,#N/A,TRUE,"Смета на пасс. обор. №1"}</definedName>
    <definedName name="ф_1" hidden="1">{#N/A,#N/A,TRUE,"Смета на пасс. обор. №1"}</definedName>
    <definedName name="ф1" localSheetId="10">#REF!</definedName>
    <definedName name="ф1" localSheetId="9">#REF!</definedName>
    <definedName name="ф1">#REF!</definedName>
    <definedName name="фавр" localSheetId="10">#REF!</definedName>
    <definedName name="фавр" localSheetId="9">#REF!</definedName>
    <definedName name="фавр">#REF!</definedName>
    <definedName name="фапиаи" localSheetId="10">#REF!</definedName>
    <definedName name="фапиаи" localSheetId="9">#REF!</definedName>
    <definedName name="фапиаи">#REF!</definedName>
    <definedName name="фвап" localSheetId="10">#REF!</definedName>
    <definedName name="фвап" localSheetId="9">#REF!</definedName>
    <definedName name="фвап">#REF!</definedName>
    <definedName name="фвапив" localSheetId="10">#REF!</definedName>
    <definedName name="фвапив" localSheetId="9">#REF!</definedName>
    <definedName name="фвапив">#REF!</definedName>
    <definedName name="фнн" localSheetId="10">#REF!</definedName>
    <definedName name="фнн" localSheetId="9">#REF!</definedName>
    <definedName name="фнн">#REF!</definedName>
    <definedName name="фукек" localSheetId="10">#REF!</definedName>
    <definedName name="фукек" localSheetId="9">#REF!</definedName>
    <definedName name="фукек">#REF!</definedName>
    <definedName name="ффггг" localSheetId="10">#REF!</definedName>
    <definedName name="ффггг" localSheetId="9">#REF!</definedName>
    <definedName name="ффггг">#REF!</definedName>
    <definedName name="фффффф" localSheetId="10">#REF!</definedName>
    <definedName name="фффффф" localSheetId="9">#REF!</definedName>
    <definedName name="фффффф">#REF!</definedName>
    <definedName name="ффыв" localSheetId="10">#REF!</definedName>
    <definedName name="ффыв" localSheetId="12">#REF!</definedName>
    <definedName name="ффыв" localSheetId="116">#REF!</definedName>
    <definedName name="ффыв" localSheetId="110">#REF!</definedName>
    <definedName name="ффыв" localSheetId="109">#REF!</definedName>
    <definedName name="ффыв" localSheetId="108">#REF!</definedName>
    <definedName name="ффыв" localSheetId="9">#REF!</definedName>
    <definedName name="ффыв" localSheetId="7">#REF!</definedName>
    <definedName name="ффыв" localSheetId="92">#REF!</definedName>
    <definedName name="ффыв" localSheetId="93">#REF!</definedName>
    <definedName name="ффыв" localSheetId="94">#REF!</definedName>
    <definedName name="ффыв" localSheetId="99">#REF!</definedName>
    <definedName name="ффыв" localSheetId="100">#REF!</definedName>
    <definedName name="ффыв" localSheetId="106">#REF!</definedName>
    <definedName name="ффыв">#REF!</definedName>
    <definedName name="фы" localSheetId="10">[7]топография!#REF!</definedName>
    <definedName name="фы" localSheetId="12">[7]топография!#REF!</definedName>
    <definedName name="фы" localSheetId="110">[7]топография!#REF!</definedName>
    <definedName name="фы" localSheetId="9">[7]топография!#REF!</definedName>
    <definedName name="фы">[7]топография!#REF!</definedName>
    <definedName name="фыв" localSheetId="10">#REF!</definedName>
    <definedName name="фыв" localSheetId="12" hidden="1">{#N/A,#N/A,TRUE,"Смета на пасс. обор. №1"}</definedName>
    <definedName name="фыв" localSheetId="111" hidden="1">{#N/A,#N/A,TRUE,"Смета на пасс. обор. №1"}</definedName>
    <definedName name="фыв" localSheetId="112" hidden="1">{#N/A,#N/A,TRUE,"Смета на пасс. обор. №1"}</definedName>
    <definedName name="фыв" localSheetId="113" hidden="1">{#N/A,#N/A,TRUE,"Смета на пасс. обор. №1"}</definedName>
    <definedName name="фыв" localSheetId="114" hidden="1">{#N/A,#N/A,TRUE,"Смета на пасс. обор. №1"}</definedName>
    <definedName name="фыв" localSheetId="115" hidden="1">{#N/A,#N/A,TRUE,"Смета на пасс. обор. №1"}</definedName>
    <definedName name="фыв" localSheetId="116" hidden="1">{#N/A,#N/A,TRUE,"Смета на пасс. обор. №1"}</definedName>
    <definedName name="фыв" localSheetId="117" hidden="1">{#N/A,#N/A,TRUE,"Смета на пасс. обор. №1"}</definedName>
    <definedName name="фыв" localSheetId="118" hidden="1">{#N/A,#N/A,TRUE,"Смета на пасс. обор. №1"}</definedName>
    <definedName name="фыв" localSheetId="121" hidden="1">{#N/A,#N/A,TRUE,"Смета на пасс. обор. №1"}</definedName>
    <definedName name="фыв" localSheetId="122" hidden="1">{#N/A,#N/A,TRUE,"Смета на пасс. обор. №1"}</definedName>
    <definedName name="фыв" localSheetId="8">#REF!</definedName>
    <definedName name="фыв" localSheetId="11">#REF!</definedName>
    <definedName name="фыв" localSheetId="110" hidden="1">{#N/A,#N/A,TRUE,"Смета на пасс. обор. №1"}</definedName>
    <definedName name="фыв" localSheetId="109" hidden="1">{#N/A,#N/A,TRUE,"Смета на пасс. обор. №1"}</definedName>
    <definedName name="фыв" localSheetId="108" hidden="1">{#N/A,#N/A,TRUE,"Смета на пасс. обор. №1"}</definedName>
    <definedName name="фыв" localSheetId="6">#REF!</definedName>
    <definedName name="фыв" localSheetId="9">#REF!</definedName>
    <definedName name="фыв" localSheetId="7" hidden="1">{#N/A,#N/A,TRUE,"Смета на пасс. обор. №1"}</definedName>
    <definedName name="фыв" localSheetId="92" hidden="1">{#N/A,#N/A,TRUE,"Смета на пасс. обор. №1"}</definedName>
    <definedName name="фыв" localSheetId="93" hidden="1">{#N/A,#N/A,TRUE,"Смета на пасс. обор. №1"}</definedName>
    <definedName name="фыв" localSheetId="94" hidden="1">{#N/A,#N/A,TRUE,"Смета на пасс. обор. №1"}</definedName>
    <definedName name="фыв" localSheetId="99" hidden="1">{#N/A,#N/A,TRUE,"Смета на пасс. обор. №1"}</definedName>
    <definedName name="фыв" localSheetId="100" hidden="1">{#N/A,#N/A,TRUE,"Смета на пасс. обор. №1"}</definedName>
    <definedName name="фыв" localSheetId="106" hidden="1">{#N/A,#N/A,TRUE,"Смета на пасс. обор. №1"}</definedName>
    <definedName name="фыв" localSheetId="2" hidden="1">{#N/A,#N/A,TRUE,"Смета на пасс. обор. №1"}</definedName>
    <definedName name="фыв" localSheetId="123" hidden="1">{#N/A,#N/A,TRUE,"Смета на пасс. обор. №1"}</definedName>
    <definedName name="фыв" localSheetId="4" hidden="1">{#N/A,#N/A,TRUE,"Смета на пасс. обор. №1"}</definedName>
    <definedName name="фыв" localSheetId="13" hidden="1">{#N/A,#N/A,TRUE,"Смета на пасс. обор. №1"}</definedName>
    <definedName name="фыв" hidden="1">{#N/A,#N/A,TRUE,"Смета на пасс. обор. №1"}</definedName>
    <definedName name="фыв_1" localSheetId="10" hidden="1">{#N/A,#N/A,TRUE,"Смета на пасс. обор. №1"}</definedName>
    <definedName name="фыв_1" localSheetId="12" hidden="1">{#N/A,#N/A,TRUE,"Смета на пасс. обор. №1"}</definedName>
    <definedName name="фыв_1" localSheetId="111" hidden="1">{#N/A,#N/A,TRUE,"Смета на пасс. обор. №1"}</definedName>
    <definedName name="фыв_1" localSheetId="112" hidden="1">{#N/A,#N/A,TRUE,"Смета на пасс. обор. №1"}</definedName>
    <definedName name="фыв_1" localSheetId="113" hidden="1">{#N/A,#N/A,TRUE,"Смета на пасс. обор. №1"}</definedName>
    <definedName name="фыв_1" localSheetId="114" hidden="1">{#N/A,#N/A,TRUE,"Смета на пасс. обор. №1"}</definedName>
    <definedName name="фыв_1" localSheetId="115" hidden="1">{#N/A,#N/A,TRUE,"Смета на пасс. обор. №1"}</definedName>
    <definedName name="фыв_1" localSheetId="116" hidden="1">{#N/A,#N/A,TRUE,"Смета на пасс. обор. №1"}</definedName>
    <definedName name="фыв_1" localSheetId="117" hidden="1">{#N/A,#N/A,TRUE,"Смета на пасс. обор. №1"}</definedName>
    <definedName name="фыв_1" localSheetId="118" hidden="1">{#N/A,#N/A,TRUE,"Смета на пасс. обор. №1"}</definedName>
    <definedName name="фыв_1" localSheetId="121" hidden="1">{#N/A,#N/A,TRUE,"Смета на пасс. обор. №1"}</definedName>
    <definedName name="фыв_1" localSheetId="122" hidden="1">{#N/A,#N/A,TRUE,"Смета на пасс. обор. №1"}</definedName>
    <definedName name="фыв_1" localSheetId="8" hidden="1">{#N/A,#N/A,TRUE,"Смета на пасс. обор. №1"}</definedName>
    <definedName name="фыв_1" localSheetId="11" hidden="1">{#N/A,#N/A,TRUE,"Смета на пасс. обор. №1"}</definedName>
    <definedName name="фыв_1" localSheetId="110" hidden="1">{#N/A,#N/A,TRUE,"Смета на пасс. обор. №1"}</definedName>
    <definedName name="фыв_1" localSheetId="109" hidden="1">{#N/A,#N/A,TRUE,"Смета на пасс. обор. №1"}</definedName>
    <definedName name="фыв_1" localSheetId="108" hidden="1">{#N/A,#N/A,TRUE,"Смета на пасс. обор. №1"}</definedName>
    <definedName name="фыв_1" localSheetId="6" hidden="1">{#N/A,#N/A,TRUE,"Смета на пасс. обор. №1"}</definedName>
    <definedName name="фыв_1" localSheetId="9" hidden="1">{#N/A,#N/A,TRUE,"Смета на пасс. обор. №1"}</definedName>
    <definedName name="фыв_1" localSheetId="7" hidden="1">{#N/A,#N/A,TRUE,"Смета на пасс. обор. №1"}</definedName>
    <definedName name="фыв_1" localSheetId="92" hidden="1">{#N/A,#N/A,TRUE,"Смета на пасс. обор. №1"}</definedName>
    <definedName name="фыв_1" localSheetId="93" hidden="1">{#N/A,#N/A,TRUE,"Смета на пасс. обор. №1"}</definedName>
    <definedName name="фыв_1" localSheetId="94" hidden="1">{#N/A,#N/A,TRUE,"Смета на пасс. обор. №1"}</definedName>
    <definedName name="фыв_1" localSheetId="99" hidden="1">{#N/A,#N/A,TRUE,"Смета на пасс. обор. №1"}</definedName>
    <definedName name="фыв_1" localSheetId="100" hidden="1">{#N/A,#N/A,TRUE,"Смета на пасс. обор. №1"}</definedName>
    <definedName name="фыв_1" localSheetId="106" hidden="1">{#N/A,#N/A,TRUE,"Смета на пасс. обор. №1"}</definedName>
    <definedName name="фыв_1" localSheetId="2" hidden="1">{#N/A,#N/A,TRUE,"Смета на пасс. обор. №1"}</definedName>
    <definedName name="фыв_1" localSheetId="123" hidden="1">{#N/A,#N/A,TRUE,"Смета на пасс. обор. №1"}</definedName>
    <definedName name="фыв_1" localSheetId="4" hidden="1">{#N/A,#N/A,TRUE,"Смета на пасс. обор. №1"}</definedName>
    <definedName name="фыв_1" localSheetId="13" hidden="1">{#N/A,#N/A,TRUE,"Смета на пасс. обор. №1"}</definedName>
    <definedName name="фыв_1" hidden="1">{#N/A,#N/A,TRUE,"Смета на пасс. обор. №1"}</definedName>
    <definedName name="Хабаровский_край" localSheetId="10">#REF!</definedName>
    <definedName name="Хабаровский_край" localSheetId="9">#REF!</definedName>
    <definedName name="Хабаровский_край">#REF!</definedName>
    <definedName name="Хабаровский_край_1" localSheetId="10">#REF!</definedName>
    <definedName name="Хабаровский_край_1" localSheetId="9">#REF!</definedName>
    <definedName name="Хабаровский_край_1">#REF!</definedName>
    <definedName name="хэ" localSheetId="10" hidden="1">{#N/A,#N/A,TRUE,"Смета на пасс. обор. №1"}</definedName>
    <definedName name="хэ" localSheetId="12" hidden="1">{#N/A,#N/A,TRUE,"Смета на пасс. обор. №1"}</definedName>
    <definedName name="хэ" localSheetId="111" hidden="1">{#N/A,#N/A,TRUE,"Смета на пасс. обор. №1"}</definedName>
    <definedName name="хэ" localSheetId="112" hidden="1">{#N/A,#N/A,TRUE,"Смета на пасс. обор. №1"}</definedName>
    <definedName name="хэ" localSheetId="113" hidden="1">{#N/A,#N/A,TRUE,"Смета на пасс. обор. №1"}</definedName>
    <definedName name="хэ" localSheetId="114" hidden="1">{#N/A,#N/A,TRUE,"Смета на пасс. обор. №1"}</definedName>
    <definedName name="хэ" localSheetId="115" hidden="1">{#N/A,#N/A,TRUE,"Смета на пасс. обор. №1"}</definedName>
    <definedName name="хэ" localSheetId="116" hidden="1">{#N/A,#N/A,TRUE,"Смета на пасс. обор. №1"}</definedName>
    <definedName name="хэ" localSheetId="117" hidden="1">{#N/A,#N/A,TRUE,"Смета на пасс. обор. №1"}</definedName>
    <definedName name="хэ" localSheetId="118" hidden="1">{#N/A,#N/A,TRUE,"Смета на пасс. обор. №1"}</definedName>
    <definedName name="хэ" localSheetId="121" hidden="1">{#N/A,#N/A,TRUE,"Смета на пасс. обор. №1"}</definedName>
    <definedName name="хэ" localSheetId="122" hidden="1">{#N/A,#N/A,TRUE,"Смета на пасс. обор. №1"}</definedName>
    <definedName name="хэ" localSheetId="8" hidden="1">{#N/A,#N/A,TRUE,"Смета на пасс. обор. №1"}</definedName>
    <definedName name="хэ" localSheetId="11" hidden="1">{#N/A,#N/A,TRUE,"Смета на пасс. обор. №1"}</definedName>
    <definedName name="хэ" localSheetId="110" hidden="1">{#N/A,#N/A,TRUE,"Смета на пасс. обор. №1"}</definedName>
    <definedName name="хэ" localSheetId="109" hidden="1">{#N/A,#N/A,TRUE,"Смета на пасс. обор. №1"}</definedName>
    <definedName name="хэ" localSheetId="108" hidden="1">{#N/A,#N/A,TRUE,"Смета на пасс. обор. №1"}</definedName>
    <definedName name="хэ" localSheetId="6" hidden="1">{#N/A,#N/A,TRUE,"Смета на пасс. обор. №1"}</definedName>
    <definedName name="хэ" localSheetId="9" hidden="1">{#N/A,#N/A,TRUE,"Смета на пасс. обор. №1"}</definedName>
    <definedName name="хэ" localSheetId="7" hidden="1">{#N/A,#N/A,TRUE,"Смета на пасс. обор. №1"}</definedName>
    <definedName name="хэ" localSheetId="92" hidden="1">{#N/A,#N/A,TRUE,"Смета на пасс. обор. №1"}</definedName>
    <definedName name="хэ" localSheetId="93" hidden="1">{#N/A,#N/A,TRUE,"Смета на пасс. обор. №1"}</definedName>
    <definedName name="хэ" localSheetId="94" hidden="1">{#N/A,#N/A,TRUE,"Смета на пасс. обор. №1"}</definedName>
    <definedName name="хэ" localSheetId="99" hidden="1">{#N/A,#N/A,TRUE,"Смета на пасс. обор. №1"}</definedName>
    <definedName name="хэ" localSheetId="100" hidden="1">{#N/A,#N/A,TRUE,"Смета на пасс. обор. №1"}</definedName>
    <definedName name="хэ" localSheetId="106" hidden="1">{#N/A,#N/A,TRUE,"Смета на пасс. обор. №1"}</definedName>
    <definedName name="хэ" localSheetId="2" hidden="1">{#N/A,#N/A,TRUE,"Смета на пасс. обор. №1"}</definedName>
    <definedName name="хэ" localSheetId="123" hidden="1">{#N/A,#N/A,TRUE,"Смета на пасс. обор. №1"}</definedName>
    <definedName name="хэ" localSheetId="4" hidden="1">{#N/A,#N/A,TRUE,"Смета на пасс. обор. №1"}</definedName>
    <definedName name="хэ" localSheetId="13" hidden="1">{#N/A,#N/A,TRUE,"Смета на пасс. обор. №1"}</definedName>
    <definedName name="хэ" hidden="1">{#N/A,#N/A,TRUE,"Смета на пасс. обор. №1"}</definedName>
    <definedName name="хэ_1" localSheetId="10" hidden="1">{#N/A,#N/A,TRUE,"Смета на пасс. обор. №1"}</definedName>
    <definedName name="хэ_1" localSheetId="12" hidden="1">{#N/A,#N/A,TRUE,"Смета на пасс. обор. №1"}</definedName>
    <definedName name="хэ_1" localSheetId="111" hidden="1">{#N/A,#N/A,TRUE,"Смета на пасс. обор. №1"}</definedName>
    <definedName name="хэ_1" localSheetId="112" hidden="1">{#N/A,#N/A,TRUE,"Смета на пасс. обор. №1"}</definedName>
    <definedName name="хэ_1" localSheetId="113" hidden="1">{#N/A,#N/A,TRUE,"Смета на пасс. обор. №1"}</definedName>
    <definedName name="хэ_1" localSheetId="114" hidden="1">{#N/A,#N/A,TRUE,"Смета на пасс. обор. №1"}</definedName>
    <definedName name="хэ_1" localSheetId="115" hidden="1">{#N/A,#N/A,TRUE,"Смета на пасс. обор. №1"}</definedName>
    <definedName name="хэ_1" localSheetId="116" hidden="1">{#N/A,#N/A,TRUE,"Смета на пасс. обор. №1"}</definedName>
    <definedName name="хэ_1" localSheetId="117" hidden="1">{#N/A,#N/A,TRUE,"Смета на пасс. обор. №1"}</definedName>
    <definedName name="хэ_1" localSheetId="118" hidden="1">{#N/A,#N/A,TRUE,"Смета на пасс. обор. №1"}</definedName>
    <definedName name="хэ_1" localSheetId="121" hidden="1">{#N/A,#N/A,TRUE,"Смета на пасс. обор. №1"}</definedName>
    <definedName name="хэ_1" localSheetId="122" hidden="1">{#N/A,#N/A,TRUE,"Смета на пасс. обор. №1"}</definedName>
    <definedName name="хэ_1" localSheetId="8" hidden="1">{#N/A,#N/A,TRUE,"Смета на пасс. обор. №1"}</definedName>
    <definedName name="хэ_1" localSheetId="11" hidden="1">{#N/A,#N/A,TRUE,"Смета на пасс. обор. №1"}</definedName>
    <definedName name="хэ_1" localSheetId="110" hidden="1">{#N/A,#N/A,TRUE,"Смета на пасс. обор. №1"}</definedName>
    <definedName name="хэ_1" localSheetId="109" hidden="1">{#N/A,#N/A,TRUE,"Смета на пасс. обор. №1"}</definedName>
    <definedName name="хэ_1" localSheetId="108" hidden="1">{#N/A,#N/A,TRUE,"Смета на пасс. обор. №1"}</definedName>
    <definedName name="хэ_1" localSheetId="6" hidden="1">{#N/A,#N/A,TRUE,"Смета на пасс. обор. №1"}</definedName>
    <definedName name="хэ_1" localSheetId="9" hidden="1">{#N/A,#N/A,TRUE,"Смета на пасс. обор. №1"}</definedName>
    <definedName name="хэ_1" localSheetId="7" hidden="1">{#N/A,#N/A,TRUE,"Смета на пасс. обор. №1"}</definedName>
    <definedName name="хэ_1" localSheetId="92" hidden="1">{#N/A,#N/A,TRUE,"Смета на пасс. обор. №1"}</definedName>
    <definedName name="хэ_1" localSheetId="93" hidden="1">{#N/A,#N/A,TRUE,"Смета на пасс. обор. №1"}</definedName>
    <definedName name="хэ_1" localSheetId="94" hidden="1">{#N/A,#N/A,TRUE,"Смета на пасс. обор. №1"}</definedName>
    <definedName name="хэ_1" localSheetId="99" hidden="1">{#N/A,#N/A,TRUE,"Смета на пасс. обор. №1"}</definedName>
    <definedName name="хэ_1" localSheetId="100" hidden="1">{#N/A,#N/A,TRUE,"Смета на пасс. обор. №1"}</definedName>
    <definedName name="хэ_1" localSheetId="106" hidden="1">{#N/A,#N/A,TRUE,"Смета на пасс. обор. №1"}</definedName>
    <definedName name="хэ_1" localSheetId="2" hidden="1">{#N/A,#N/A,TRUE,"Смета на пасс. обор. №1"}</definedName>
    <definedName name="хэ_1" localSheetId="123" hidden="1">{#N/A,#N/A,TRUE,"Смета на пасс. обор. №1"}</definedName>
    <definedName name="хэ_1" localSheetId="4" hidden="1">{#N/A,#N/A,TRUE,"Смета на пасс. обор. №1"}</definedName>
    <definedName name="хэ_1" localSheetId="13" hidden="1">{#N/A,#N/A,TRUE,"Смета на пасс. обор. №1"}</definedName>
    <definedName name="хэ_1" hidden="1">{#N/A,#N/A,TRUE,"Смета на пасс. обор. №1"}</definedName>
    <definedName name="ц" localSheetId="10">#REF!</definedName>
    <definedName name="ц" localSheetId="9">#REF!</definedName>
    <definedName name="ц">#REF!</definedName>
    <definedName name="цвет" localSheetId="10" hidden="1">{#N/A,#N/A,TRUE,"Смета на пасс. обор. №1"}</definedName>
    <definedName name="цвет" localSheetId="12" hidden="1">{#N/A,#N/A,TRUE,"Смета на пасс. обор. №1"}</definedName>
    <definedName name="цвет" localSheetId="111" hidden="1">{#N/A,#N/A,TRUE,"Смета на пасс. обор. №1"}</definedName>
    <definedName name="цвет" localSheetId="112" hidden="1">{#N/A,#N/A,TRUE,"Смета на пасс. обор. №1"}</definedName>
    <definedName name="цвет" localSheetId="113" hidden="1">{#N/A,#N/A,TRUE,"Смета на пасс. обор. №1"}</definedName>
    <definedName name="цвет" localSheetId="114" hidden="1">{#N/A,#N/A,TRUE,"Смета на пасс. обор. №1"}</definedName>
    <definedName name="цвет" localSheetId="115" hidden="1">{#N/A,#N/A,TRUE,"Смета на пасс. обор. №1"}</definedName>
    <definedName name="цвет" localSheetId="116" hidden="1">{#N/A,#N/A,TRUE,"Смета на пасс. обор. №1"}</definedName>
    <definedName name="цвет" localSheetId="117" hidden="1">{#N/A,#N/A,TRUE,"Смета на пасс. обор. №1"}</definedName>
    <definedName name="цвет" localSheetId="118" hidden="1">{#N/A,#N/A,TRUE,"Смета на пасс. обор. №1"}</definedName>
    <definedName name="цвет" localSheetId="121" hidden="1">{#N/A,#N/A,TRUE,"Смета на пасс. обор. №1"}</definedName>
    <definedName name="цвет" localSheetId="122" hidden="1">{#N/A,#N/A,TRUE,"Смета на пасс. обор. №1"}</definedName>
    <definedName name="цвет" localSheetId="8" hidden="1">{#N/A,#N/A,TRUE,"Смета на пасс. обор. №1"}</definedName>
    <definedName name="цвет" localSheetId="11" hidden="1">{#N/A,#N/A,TRUE,"Смета на пасс. обор. №1"}</definedName>
    <definedName name="цвет" localSheetId="110" hidden="1">{#N/A,#N/A,TRUE,"Смета на пасс. обор. №1"}</definedName>
    <definedName name="цвет" localSheetId="109" hidden="1">{#N/A,#N/A,TRUE,"Смета на пасс. обор. №1"}</definedName>
    <definedName name="цвет" localSheetId="108" hidden="1">{#N/A,#N/A,TRUE,"Смета на пасс. обор. №1"}</definedName>
    <definedName name="цвет" localSheetId="6" hidden="1">{#N/A,#N/A,TRUE,"Смета на пасс. обор. №1"}</definedName>
    <definedName name="цвет" localSheetId="9" hidden="1">{#N/A,#N/A,TRUE,"Смета на пасс. обор. №1"}</definedName>
    <definedName name="цвет" localSheetId="7" hidden="1">{#N/A,#N/A,TRUE,"Смета на пасс. обор. №1"}</definedName>
    <definedName name="цвет" localSheetId="92" hidden="1">{#N/A,#N/A,TRUE,"Смета на пасс. обор. №1"}</definedName>
    <definedName name="цвет" localSheetId="93" hidden="1">{#N/A,#N/A,TRUE,"Смета на пасс. обор. №1"}</definedName>
    <definedName name="цвет" localSheetId="94" hidden="1">{#N/A,#N/A,TRUE,"Смета на пасс. обор. №1"}</definedName>
    <definedName name="цвет" localSheetId="99" hidden="1">{#N/A,#N/A,TRUE,"Смета на пасс. обор. №1"}</definedName>
    <definedName name="цвет" localSheetId="100" hidden="1">{#N/A,#N/A,TRUE,"Смета на пасс. обор. №1"}</definedName>
    <definedName name="цвет" localSheetId="106" hidden="1">{#N/A,#N/A,TRUE,"Смета на пасс. обор. №1"}</definedName>
    <definedName name="цвет" localSheetId="2" hidden="1">{#N/A,#N/A,TRUE,"Смета на пасс. обор. №1"}</definedName>
    <definedName name="цвет" localSheetId="123" hidden="1">{#N/A,#N/A,TRUE,"Смета на пасс. обор. №1"}</definedName>
    <definedName name="цвет" localSheetId="4" hidden="1">{#N/A,#N/A,TRUE,"Смета на пасс. обор. №1"}</definedName>
    <definedName name="цвет" localSheetId="13" hidden="1">{#N/A,#N/A,TRUE,"Смета на пасс. обор. №1"}</definedName>
    <definedName name="цвет" hidden="1">{#N/A,#N/A,TRUE,"Смета на пасс. обор. №1"}</definedName>
    <definedName name="цвет_1" localSheetId="10" hidden="1">{#N/A,#N/A,TRUE,"Смета на пасс. обор. №1"}</definedName>
    <definedName name="цвет_1" localSheetId="12" hidden="1">{#N/A,#N/A,TRUE,"Смета на пасс. обор. №1"}</definedName>
    <definedName name="цвет_1" localSheetId="111" hidden="1">{#N/A,#N/A,TRUE,"Смета на пасс. обор. №1"}</definedName>
    <definedName name="цвет_1" localSheetId="112" hidden="1">{#N/A,#N/A,TRUE,"Смета на пасс. обор. №1"}</definedName>
    <definedName name="цвет_1" localSheetId="113" hidden="1">{#N/A,#N/A,TRUE,"Смета на пасс. обор. №1"}</definedName>
    <definedName name="цвет_1" localSheetId="114" hidden="1">{#N/A,#N/A,TRUE,"Смета на пасс. обор. №1"}</definedName>
    <definedName name="цвет_1" localSheetId="115" hidden="1">{#N/A,#N/A,TRUE,"Смета на пасс. обор. №1"}</definedName>
    <definedName name="цвет_1" localSheetId="116" hidden="1">{#N/A,#N/A,TRUE,"Смета на пасс. обор. №1"}</definedName>
    <definedName name="цвет_1" localSheetId="117" hidden="1">{#N/A,#N/A,TRUE,"Смета на пасс. обор. №1"}</definedName>
    <definedName name="цвет_1" localSheetId="118" hidden="1">{#N/A,#N/A,TRUE,"Смета на пасс. обор. №1"}</definedName>
    <definedName name="цвет_1" localSheetId="121" hidden="1">{#N/A,#N/A,TRUE,"Смета на пасс. обор. №1"}</definedName>
    <definedName name="цвет_1" localSheetId="122" hidden="1">{#N/A,#N/A,TRUE,"Смета на пасс. обор. №1"}</definedName>
    <definedName name="цвет_1" localSheetId="8" hidden="1">{#N/A,#N/A,TRUE,"Смета на пасс. обор. №1"}</definedName>
    <definedName name="цвет_1" localSheetId="11" hidden="1">{#N/A,#N/A,TRUE,"Смета на пасс. обор. №1"}</definedName>
    <definedName name="цвет_1" localSheetId="110" hidden="1">{#N/A,#N/A,TRUE,"Смета на пасс. обор. №1"}</definedName>
    <definedName name="цвет_1" localSheetId="109" hidden="1">{#N/A,#N/A,TRUE,"Смета на пасс. обор. №1"}</definedName>
    <definedName name="цвет_1" localSheetId="108" hidden="1">{#N/A,#N/A,TRUE,"Смета на пасс. обор. №1"}</definedName>
    <definedName name="цвет_1" localSheetId="6" hidden="1">{#N/A,#N/A,TRUE,"Смета на пасс. обор. №1"}</definedName>
    <definedName name="цвет_1" localSheetId="9" hidden="1">{#N/A,#N/A,TRUE,"Смета на пасс. обор. №1"}</definedName>
    <definedName name="цвет_1" localSheetId="7" hidden="1">{#N/A,#N/A,TRUE,"Смета на пасс. обор. №1"}</definedName>
    <definedName name="цвет_1" localSheetId="92" hidden="1">{#N/A,#N/A,TRUE,"Смета на пасс. обор. №1"}</definedName>
    <definedName name="цвет_1" localSheetId="93" hidden="1">{#N/A,#N/A,TRUE,"Смета на пасс. обор. №1"}</definedName>
    <definedName name="цвет_1" localSheetId="94" hidden="1">{#N/A,#N/A,TRUE,"Смета на пасс. обор. №1"}</definedName>
    <definedName name="цвет_1" localSheetId="99" hidden="1">{#N/A,#N/A,TRUE,"Смета на пасс. обор. №1"}</definedName>
    <definedName name="цвет_1" localSheetId="100" hidden="1">{#N/A,#N/A,TRUE,"Смета на пасс. обор. №1"}</definedName>
    <definedName name="цвет_1" localSheetId="106" hidden="1">{#N/A,#N/A,TRUE,"Смета на пасс. обор. №1"}</definedName>
    <definedName name="цвет_1" localSheetId="2" hidden="1">{#N/A,#N/A,TRUE,"Смета на пасс. обор. №1"}</definedName>
    <definedName name="цвет_1" localSheetId="123" hidden="1">{#N/A,#N/A,TRUE,"Смета на пасс. обор. №1"}</definedName>
    <definedName name="цвет_1" localSheetId="4" hidden="1">{#N/A,#N/A,TRUE,"Смета на пасс. обор. №1"}</definedName>
    <definedName name="цвет_1" localSheetId="13" hidden="1">{#N/A,#N/A,TRUE,"Смета на пасс. обор. №1"}</definedName>
    <definedName name="цвет_1" hidden="1">{#N/A,#N/A,TRUE,"Смета на пасс. обор. №1"}</definedName>
    <definedName name="цена">#N/A</definedName>
    <definedName name="цена___0" localSheetId="10">#REF!</definedName>
    <definedName name="цена___0" localSheetId="12">#REF!</definedName>
    <definedName name="цена___0" localSheetId="116">#REF!</definedName>
    <definedName name="цена___0" localSheetId="8">#REF!</definedName>
    <definedName name="цена___0" localSheetId="11">#REF!</definedName>
    <definedName name="цена___0" localSheetId="110">#REF!</definedName>
    <definedName name="цена___0" localSheetId="109">#REF!</definedName>
    <definedName name="цена___0" localSheetId="108">#REF!</definedName>
    <definedName name="цена___0" localSheetId="6">#REF!</definedName>
    <definedName name="цена___0" localSheetId="9">#REF!</definedName>
    <definedName name="цена___0" localSheetId="7">#REF!</definedName>
    <definedName name="цена___0" localSheetId="92">#REF!</definedName>
    <definedName name="цена___0" localSheetId="93">#REF!</definedName>
    <definedName name="цена___0" localSheetId="94">#REF!</definedName>
    <definedName name="цена___0" localSheetId="99">#REF!</definedName>
    <definedName name="цена___0" localSheetId="100">#REF!</definedName>
    <definedName name="цена___0" localSheetId="106">#REF!</definedName>
    <definedName name="цена___0">#REF!</definedName>
    <definedName name="цена___0___0" localSheetId="10">#REF!</definedName>
    <definedName name="цена___0___0" localSheetId="12">#REF!</definedName>
    <definedName name="цена___0___0" localSheetId="116">#REF!</definedName>
    <definedName name="цена___0___0" localSheetId="110">#REF!</definedName>
    <definedName name="цена___0___0" localSheetId="109">#REF!</definedName>
    <definedName name="цена___0___0" localSheetId="108">#REF!</definedName>
    <definedName name="цена___0___0" localSheetId="9">#REF!</definedName>
    <definedName name="цена___0___0" localSheetId="7">#REF!</definedName>
    <definedName name="цена___0___0" localSheetId="92">#REF!</definedName>
    <definedName name="цена___0___0" localSheetId="93">#REF!</definedName>
    <definedName name="цена___0___0" localSheetId="94">#REF!</definedName>
    <definedName name="цена___0___0" localSheetId="99">#REF!</definedName>
    <definedName name="цена___0___0" localSheetId="100">#REF!</definedName>
    <definedName name="цена___0___0" localSheetId="106">#REF!</definedName>
    <definedName name="цена___0___0">#REF!</definedName>
    <definedName name="цена___0___0___0" localSheetId="10">#REF!</definedName>
    <definedName name="цена___0___0___0" localSheetId="12">#REF!</definedName>
    <definedName name="цена___0___0___0" localSheetId="116">#REF!</definedName>
    <definedName name="цена___0___0___0" localSheetId="110">#REF!</definedName>
    <definedName name="цена___0___0___0" localSheetId="109">#REF!</definedName>
    <definedName name="цена___0___0___0" localSheetId="108">#REF!</definedName>
    <definedName name="цена___0___0___0" localSheetId="9">#REF!</definedName>
    <definedName name="цена___0___0___0" localSheetId="92">#REF!</definedName>
    <definedName name="цена___0___0___0" localSheetId="93">#REF!</definedName>
    <definedName name="цена___0___0___0" localSheetId="94">#REF!</definedName>
    <definedName name="цена___0___0___0" localSheetId="99">#REF!</definedName>
    <definedName name="цена___0___0___0" localSheetId="100">#REF!</definedName>
    <definedName name="цена___0___0___0" localSheetId="106">#REF!</definedName>
    <definedName name="цена___0___0___0">#REF!</definedName>
    <definedName name="цена___0___0___0___0" localSheetId="10">#REF!</definedName>
    <definedName name="цена___0___0___0___0" localSheetId="12">#REF!</definedName>
    <definedName name="цена___0___0___0___0" localSheetId="110">#REF!</definedName>
    <definedName name="цена___0___0___0___0" localSheetId="9">#REF!</definedName>
    <definedName name="цена___0___0___0___0">#REF!</definedName>
    <definedName name="цена___0___0___0___0___0" localSheetId="10">#REF!</definedName>
    <definedName name="цена___0___0___0___0___0" localSheetId="9">#REF!</definedName>
    <definedName name="цена___0___0___0___0___0">#REF!</definedName>
    <definedName name="цена___0___0___0___0___0_1" localSheetId="10">#REF!</definedName>
    <definedName name="цена___0___0___0___0___0_1" localSheetId="9">#REF!</definedName>
    <definedName name="цена___0___0___0___0___0_1">#REF!</definedName>
    <definedName name="цена___0___0___0___0_1" localSheetId="10">#REF!</definedName>
    <definedName name="цена___0___0___0___0_1" localSheetId="9">#REF!</definedName>
    <definedName name="цена___0___0___0___0_1">#REF!</definedName>
    <definedName name="цена___0___0___0___1" localSheetId="10">#REF!</definedName>
    <definedName name="цена___0___0___0___1" localSheetId="9">#REF!</definedName>
    <definedName name="цена___0___0___0___1">#REF!</definedName>
    <definedName name="цена___0___0___0___1_1" localSheetId="10">#REF!</definedName>
    <definedName name="цена___0___0___0___1_1" localSheetId="9">#REF!</definedName>
    <definedName name="цена___0___0___0___1_1">#REF!</definedName>
    <definedName name="цена___0___0___0___5" localSheetId="10">#REF!</definedName>
    <definedName name="цена___0___0___0___5" localSheetId="9">#REF!</definedName>
    <definedName name="цена___0___0___0___5">#REF!</definedName>
    <definedName name="цена___0___0___0___5_1" localSheetId="10">#REF!</definedName>
    <definedName name="цена___0___0___0___5_1" localSheetId="9">#REF!</definedName>
    <definedName name="цена___0___0___0___5_1">#REF!</definedName>
    <definedName name="цена___0___0___0_1" localSheetId="10">#REF!</definedName>
    <definedName name="цена___0___0___0_1" localSheetId="9">#REF!</definedName>
    <definedName name="цена___0___0___0_1">#REF!</definedName>
    <definedName name="цена___0___0___0_1_1" localSheetId="10">#REF!</definedName>
    <definedName name="цена___0___0___0_1_1" localSheetId="9">#REF!</definedName>
    <definedName name="цена___0___0___0_1_1">#REF!</definedName>
    <definedName name="цена___0___0___0_1_1_1" localSheetId="10">#REF!</definedName>
    <definedName name="цена___0___0___0_1_1_1" localSheetId="9">#REF!</definedName>
    <definedName name="цена___0___0___0_1_1_1">#REF!</definedName>
    <definedName name="цена___0___0___0_5" localSheetId="10">#REF!</definedName>
    <definedName name="цена___0___0___0_5" localSheetId="9">#REF!</definedName>
    <definedName name="цена___0___0___0_5">#REF!</definedName>
    <definedName name="цена___0___0___0_5_1" localSheetId="10">#REF!</definedName>
    <definedName name="цена___0___0___0_5_1" localSheetId="9">#REF!</definedName>
    <definedName name="цена___0___0___0_5_1">#REF!</definedName>
    <definedName name="цена___0___0___1" localSheetId="10">#REF!</definedName>
    <definedName name="цена___0___0___1" localSheetId="9">#REF!</definedName>
    <definedName name="цена___0___0___1">#REF!</definedName>
    <definedName name="цена___0___0___1_1" localSheetId="10">#REF!</definedName>
    <definedName name="цена___0___0___1_1" localSheetId="9">#REF!</definedName>
    <definedName name="цена___0___0___1_1">#REF!</definedName>
    <definedName name="цена___0___0___2" localSheetId="10">#REF!</definedName>
    <definedName name="цена___0___0___2" localSheetId="12">#REF!</definedName>
    <definedName name="цена___0___0___2" localSheetId="110">#REF!</definedName>
    <definedName name="цена___0___0___2" localSheetId="9">#REF!</definedName>
    <definedName name="цена___0___0___2">#REF!</definedName>
    <definedName name="цена___0___0___2_1" localSheetId="10">#REF!</definedName>
    <definedName name="цена___0___0___2_1" localSheetId="9">#REF!</definedName>
    <definedName name="цена___0___0___2_1">#REF!</definedName>
    <definedName name="цена___0___0___3" localSheetId="10">#REF!</definedName>
    <definedName name="цена___0___0___3" localSheetId="12">#REF!</definedName>
    <definedName name="цена___0___0___3" localSheetId="110">#REF!</definedName>
    <definedName name="цена___0___0___3" localSheetId="9">#REF!</definedName>
    <definedName name="цена___0___0___3">#REF!</definedName>
    <definedName name="цена___0___0___3_1" localSheetId="10">#REF!</definedName>
    <definedName name="цена___0___0___3_1" localSheetId="9">#REF!</definedName>
    <definedName name="цена___0___0___3_1">#REF!</definedName>
    <definedName name="цена___0___0___4" localSheetId="10">#REF!</definedName>
    <definedName name="цена___0___0___4" localSheetId="12">#REF!</definedName>
    <definedName name="цена___0___0___4" localSheetId="110">#REF!</definedName>
    <definedName name="цена___0___0___4" localSheetId="9">#REF!</definedName>
    <definedName name="цена___0___0___4">#REF!</definedName>
    <definedName name="цена___0___0___4_1" localSheetId="10">#REF!</definedName>
    <definedName name="цена___0___0___4_1" localSheetId="9">#REF!</definedName>
    <definedName name="цена___0___0___4_1">#REF!</definedName>
    <definedName name="цена___0___0___5" localSheetId="10">#REF!</definedName>
    <definedName name="цена___0___0___5" localSheetId="9">#REF!</definedName>
    <definedName name="цена___0___0___5">#REF!</definedName>
    <definedName name="цена___0___0___5_1" localSheetId="10">#REF!</definedName>
    <definedName name="цена___0___0___5_1" localSheetId="9">#REF!</definedName>
    <definedName name="цена___0___0___5_1">#REF!</definedName>
    <definedName name="цена___0___0_1" localSheetId="10">#REF!</definedName>
    <definedName name="цена___0___0_1" localSheetId="9">#REF!</definedName>
    <definedName name="цена___0___0_1">#REF!</definedName>
    <definedName name="цена___0___0_1_1" localSheetId="10">#REF!</definedName>
    <definedName name="цена___0___0_1_1" localSheetId="9">#REF!</definedName>
    <definedName name="цена___0___0_1_1">#REF!</definedName>
    <definedName name="цена___0___0_1_1_1" localSheetId="10">#REF!</definedName>
    <definedName name="цена___0___0_1_1_1" localSheetId="9">#REF!</definedName>
    <definedName name="цена___0___0_1_1_1">#REF!</definedName>
    <definedName name="цена___0___0_3" localSheetId="10">#REF!</definedName>
    <definedName name="цена___0___0_3" localSheetId="9">#REF!</definedName>
    <definedName name="цена___0___0_3">#REF!</definedName>
    <definedName name="цена___0___0_3_1" localSheetId="10">#REF!</definedName>
    <definedName name="цена___0___0_3_1" localSheetId="9">#REF!</definedName>
    <definedName name="цена___0___0_3_1">#REF!</definedName>
    <definedName name="цена___0___0_5" localSheetId="10">#REF!</definedName>
    <definedName name="цена___0___0_5" localSheetId="9">#REF!</definedName>
    <definedName name="цена___0___0_5">#REF!</definedName>
    <definedName name="цена___0___0_5_1" localSheetId="10">#REF!</definedName>
    <definedName name="цена___0___0_5_1" localSheetId="9">#REF!</definedName>
    <definedName name="цена___0___0_5_1">#REF!</definedName>
    <definedName name="цена___0___1" localSheetId="10">#REF!</definedName>
    <definedName name="цена___0___1" localSheetId="12">#REF!</definedName>
    <definedName name="цена___0___1" localSheetId="110">#REF!</definedName>
    <definedName name="цена___0___1" localSheetId="9">#REF!</definedName>
    <definedName name="цена___0___1">#REF!</definedName>
    <definedName name="цена___0___1___0" localSheetId="10">#REF!</definedName>
    <definedName name="цена___0___1___0" localSheetId="9">#REF!</definedName>
    <definedName name="цена___0___1___0">#REF!</definedName>
    <definedName name="цена___0___1___0_1" localSheetId="10">#REF!</definedName>
    <definedName name="цена___0___1___0_1" localSheetId="9">#REF!</definedName>
    <definedName name="цена___0___1___0_1">#REF!</definedName>
    <definedName name="цена___0___1_1" localSheetId="10">#REF!</definedName>
    <definedName name="цена___0___1_1" localSheetId="9">#REF!</definedName>
    <definedName name="цена___0___1_1">#REF!</definedName>
    <definedName name="цена___0___10" localSheetId="10">#REF!</definedName>
    <definedName name="цена___0___10" localSheetId="12">#REF!</definedName>
    <definedName name="цена___0___10" localSheetId="110">#REF!</definedName>
    <definedName name="цена___0___10" localSheetId="9">#REF!</definedName>
    <definedName name="цена___0___10">#REF!</definedName>
    <definedName name="цена___0___10_1" localSheetId="10">#REF!</definedName>
    <definedName name="цена___0___10_1" localSheetId="9">#REF!</definedName>
    <definedName name="цена___0___10_1">#REF!</definedName>
    <definedName name="цена___0___12" localSheetId="10">#REF!</definedName>
    <definedName name="цена___0___12" localSheetId="12">#REF!</definedName>
    <definedName name="цена___0___12" localSheetId="110">#REF!</definedName>
    <definedName name="цена___0___12" localSheetId="9">#REF!</definedName>
    <definedName name="цена___0___12">#REF!</definedName>
    <definedName name="цена___0___2" localSheetId="10">#REF!</definedName>
    <definedName name="цена___0___2" localSheetId="12">#REF!</definedName>
    <definedName name="цена___0___2" localSheetId="110">#REF!</definedName>
    <definedName name="цена___0___2" localSheetId="9">#REF!</definedName>
    <definedName name="цена___0___2">#REF!</definedName>
    <definedName name="цена___0___2___0" localSheetId="10">#REF!</definedName>
    <definedName name="цена___0___2___0" localSheetId="12">#REF!</definedName>
    <definedName name="цена___0___2___0" localSheetId="110">#REF!</definedName>
    <definedName name="цена___0___2___0" localSheetId="9">#REF!</definedName>
    <definedName name="цена___0___2___0">#REF!</definedName>
    <definedName name="цена___0___2___0___0" localSheetId="10">#REF!</definedName>
    <definedName name="цена___0___2___0___0" localSheetId="9">#REF!</definedName>
    <definedName name="цена___0___2___0___0">#REF!</definedName>
    <definedName name="цена___0___2___0___0_1" localSheetId="10">#REF!</definedName>
    <definedName name="цена___0___2___0___0_1" localSheetId="9">#REF!</definedName>
    <definedName name="цена___0___2___0___0_1">#REF!</definedName>
    <definedName name="цена___0___2___0_1" localSheetId="10">#REF!</definedName>
    <definedName name="цена___0___2___0_1" localSheetId="9">#REF!</definedName>
    <definedName name="цена___0___2___0_1">#REF!</definedName>
    <definedName name="цена___0___2___5" localSheetId="10">#REF!</definedName>
    <definedName name="цена___0___2___5" localSheetId="9">#REF!</definedName>
    <definedName name="цена___0___2___5">#REF!</definedName>
    <definedName name="цена___0___2___5_1" localSheetId="10">#REF!</definedName>
    <definedName name="цена___0___2___5_1" localSheetId="9">#REF!</definedName>
    <definedName name="цена___0___2___5_1">#REF!</definedName>
    <definedName name="цена___0___2_1" localSheetId="10">#REF!</definedName>
    <definedName name="цена___0___2_1" localSheetId="9">#REF!</definedName>
    <definedName name="цена___0___2_1">#REF!</definedName>
    <definedName name="цена___0___2_1_1" localSheetId="10">#REF!</definedName>
    <definedName name="цена___0___2_1_1" localSheetId="9">#REF!</definedName>
    <definedName name="цена___0___2_1_1">#REF!</definedName>
    <definedName name="цена___0___2_1_1_1" localSheetId="10">#REF!</definedName>
    <definedName name="цена___0___2_1_1_1" localSheetId="9">#REF!</definedName>
    <definedName name="цена___0___2_1_1_1">#REF!</definedName>
    <definedName name="цена___0___2_3" localSheetId="10">#REF!</definedName>
    <definedName name="цена___0___2_3" localSheetId="9">#REF!</definedName>
    <definedName name="цена___0___2_3">#REF!</definedName>
    <definedName name="цена___0___2_3_1" localSheetId="10">#REF!</definedName>
    <definedName name="цена___0___2_3_1" localSheetId="9">#REF!</definedName>
    <definedName name="цена___0___2_3_1">#REF!</definedName>
    <definedName name="цена___0___2_5" localSheetId="10">#REF!</definedName>
    <definedName name="цена___0___2_5" localSheetId="9">#REF!</definedName>
    <definedName name="цена___0___2_5">#REF!</definedName>
    <definedName name="цена___0___2_5_1" localSheetId="10">#REF!</definedName>
    <definedName name="цена___0___2_5_1" localSheetId="9">#REF!</definedName>
    <definedName name="цена___0___2_5_1">#REF!</definedName>
    <definedName name="цена___0___3" localSheetId="10">#REF!</definedName>
    <definedName name="цена___0___3" localSheetId="12">#REF!</definedName>
    <definedName name="цена___0___3" localSheetId="110">#REF!</definedName>
    <definedName name="цена___0___3" localSheetId="9">#REF!</definedName>
    <definedName name="цена___0___3">#REF!</definedName>
    <definedName name="цена___0___3___0" localSheetId="10">#REF!</definedName>
    <definedName name="цена___0___3___0" localSheetId="9">#REF!</definedName>
    <definedName name="цена___0___3___0">#REF!</definedName>
    <definedName name="цена___0___3___0_1" localSheetId="10">#REF!</definedName>
    <definedName name="цена___0___3___0_1" localSheetId="9">#REF!</definedName>
    <definedName name="цена___0___3___0_1">#REF!</definedName>
    <definedName name="цена___0___3___5" localSheetId="10">#REF!</definedName>
    <definedName name="цена___0___3___5" localSheetId="9">#REF!</definedName>
    <definedName name="цена___0___3___5">#REF!</definedName>
    <definedName name="цена___0___3___5_1" localSheetId="10">#REF!</definedName>
    <definedName name="цена___0___3___5_1" localSheetId="9">#REF!</definedName>
    <definedName name="цена___0___3___5_1">#REF!</definedName>
    <definedName name="цена___0___3_1" localSheetId="10">#REF!</definedName>
    <definedName name="цена___0___3_1" localSheetId="9">#REF!</definedName>
    <definedName name="цена___0___3_1">#REF!</definedName>
    <definedName name="цена___0___3_1_1" localSheetId="10">#REF!</definedName>
    <definedName name="цена___0___3_1_1" localSheetId="9">#REF!</definedName>
    <definedName name="цена___0___3_1_1">#REF!</definedName>
    <definedName name="цена___0___3_1_1_1" localSheetId="10">#REF!</definedName>
    <definedName name="цена___0___3_1_1_1" localSheetId="9">#REF!</definedName>
    <definedName name="цена___0___3_1_1_1">#REF!</definedName>
    <definedName name="цена___0___3_5" localSheetId="10">#REF!</definedName>
    <definedName name="цена___0___3_5" localSheetId="9">#REF!</definedName>
    <definedName name="цена___0___3_5">#REF!</definedName>
    <definedName name="цена___0___3_5_1" localSheetId="10">#REF!</definedName>
    <definedName name="цена___0___3_5_1" localSheetId="9">#REF!</definedName>
    <definedName name="цена___0___3_5_1">#REF!</definedName>
    <definedName name="цена___0___4" localSheetId="10">#REF!</definedName>
    <definedName name="цена___0___4" localSheetId="12">#REF!</definedName>
    <definedName name="цена___0___4" localSheetId="110">#REF!</definedName>
    <definedName name="цена___0___4" localSheetId="9">#REF!</definedName>
    <definedName name="цена___0___4">#REF!</definedName>
    <definedName name="цена___0___4___0" localSheetId="10">#REF!</definedName>
    <definedName name="цена___0___4___0" localSheetId="9">#REF!</definedName>
    <definedName name="цена___0___4___0">#REF!</definedName>
    <definedName name="цена___0___4___0_1" localSheetId="10">#REF!</definedName>
    <definedName name="цена___0___4___0_1" localSheetId="9">#REF!</definedName>
    <definedName name="цена___0___4___0_1">#REF!</definedName>
    <definedName name="цена___0___4___5" localSheetId="10">#REF!</definedName>
    <definedName name="цена___0___4___5" localSheetId="9">#REF!</definedName>
    <definedName name="цена___0___4___5">#REF!</definedName>
    <definedName name="цена___0___4___5_1" localSheetId="10">#REF!</definedName>
    <definedName name="цена___0___4___5_1" localSheetId="9">#REF!</definedName>
    <definedName name="цена___0___4___5_1">#REF!</definedName>
    <definedName name="цена___0___4_1" localSheetId="10">#REF!</definedName>
    <definedName name="цена___0___4_1" localSheetId="9">#REF!</definedName>
    <definedName name="цена___0___4_1">#REF!</definedName>
    <definedName name="цена___0___4_1_1" localSheetId="10">#REF!</definedName>
    <definedName name="цена___0___4_1_1" localSheetId="9">#REF!</definedName>
    <definedName name="цена___0___4_1_1">#REF!</definedName>
    <definedName name="цена___0___4_1_1_1" localSheetId="10">#REF!</definedName>
    <definedName name="цена___0___4_1_1_1" localSheetId="9">#REF!</definedName>
    <definedName name="цена___0___4_1_1_1">#REF!</definedName>
    <definedName name="цена___0___4_3" localSheetId="10">#REF!</definedName>
    <definedName name="цена___0___4_3" localSheetId="9">#REF!</definedName>
    <definedName name="цена___0___4_3">#REF!</definedName>
    <definedName name="цена___0___4_3_1" localSheetId="10">#REF!</definedName>
    <definedName name="цена___0___4_3_1" localSheetId="9">#REF!</definedName>
    <definedName name="цена___0___4_3_1">#REF!</definedName>
    <definedName name="цена___0___4_5" localSheetId="10">#REF!</definedName>
    <definedName name="цена___0___4_5" localSheetId="9">#REF!</definedName>
    <definedName name="цена___0___4_5">#REF!</definedName>
    <definedName name="цена___0___4_5_1" localSheetId="10">#REF!</definedName>
    <definedName name="цена___0___4_5_1" localSheetId="9">#REF!</definedName>
    <definedName name="цена___0___4_5_1">#REF!</definedName>
    <definedName name="цена___0___5" localSheetId="10">#REF!</definedName>
    <definedName name="цена___0___5" localSheetId="12">#REF!</definedName>
    <definedName name="цена___0___5" localSheetId="110">#REF!</definedName>
    <definedName name="цена___0___5" localSheetId="9">#REF!</definedName>
    <definedName name="цена___0___5">#REF!</definedName>
    <definedName name="цена___0___5_1" localSheetId="10">#REF!</definedName>
    <definedName name="цена___0___5_1" localSheetId="9">#REF!</definedName>
    <definedName name="цена___0___5_1">#REF!</definedName>
    <definedName name="цена___0___6" localSheetId="10">#REF!</definedName>
    <definedName name="цена___0___6" localSheetId="12">#REF!</definedName>
    <definedName name="цена___0___6" localSheetId="110">#REF!</definedName>
    <definedName name="цена___0___6" localSheetId="9">#REF!</definedName>
    <definedName name="цена___0___6">#REF!</definedName>
    <definedName name="цена___0___6_1" localSheetId="10">#REF!</definedName>
    <definedName name="цена___0___6_1" localSheetId="9">#REF!</definedName>
    <definedName name="цена___0___6_1">#REF!</definedName>
    <definedName name="цена___0___8" localSheetId="10">#REF!</definedName>
    <definedName name="цена___0___8" localSheetId="12">#REF!</definedName>
    <definedName name="цена___0___8" localSheetId="110">#REF!</definedName>
    <definedName name="цена___0___8" localSheetId="9">#REF!</definedName>
    <definedName name="цена___0___8">#REF!</definedName>
    <definedName name="цена___0___8_1" localSheetId="10">#REF!</definedName>
    <definedName name="цена___0___8_1" localSheetId="9">#REF!</definedName>
    <definedName name="цена___0___8_1">#REF!</definedName>
    <definedName name="цена___0_1" localSheetId="10">#REF!</definedName>
    <definedName name="цена___0_1" localSheetId="9">#REF!</definedName>
    <definedName name="цена___0_1">#REF!</definedName>
    <definedName name="цена___0_1_1" localSheetId="10">#REF!</definedName>
    <definedName name="цена___0_1_1" localSheetId="9">#REF!</definedName>
    <definedName name="цена___0_1_1">#REF!</definedName>
    <definedName name="цена___0_3" localSheetId="10">#REF!</definedName>
    <definedName name="цена___0_3" localSheetId="9">#REF!</definedName>
    <definedName name="цена___0_3">#REF!</definedName>
    <definedName name="цена___0_3_1" localSheetId="10">#REF!</definedName>
    <definedName name="цена___0_3_1" localSheetId="9">#REF!</definedName>
    <definedName name="цена___0_3_1">#REF!</definedName>
    <definedName name="цена___0_5" localSheetId="10">#REF!</definedName>
    <definedName name="цена___0_5" localSheetId="9">#REF!</definedName>
    <definedName name="цена___0_5">#REF!</definedName>
    <definedName name="цена___0_5_1" localSheetId="10">#REF!</definedName>
    <definedName name="цена___0_5_1" localSheetId="9">#REF!</definedName>
    <definedName name="цена___0_5_1">#REF!</definedName>
    <definedName name="цена___1" localSheetId="10">#REF!</definedName>
    <definedName name="цена___1" localSheetId="12">#REF!</definedName>
    <definedName name="цена___1" localSheetId="110">#REF!</definedName>
    <definedName name="цена___1" localSheetId="9">#REF!</definedName>
    <definedName name="цена___1">#REF!</definedName>
    <definedName name="цена___1___0" localSheetId="10">#REF!</definedName>
    <definedName name="цена___1___0" localSheetId="12">#REF!</definedName>
    <definedName name="цена___1___0" localSheetId="110">#REF!</definedName>
    <definedName name="цена___1___0" localSheetId="9">#REF!</definedName>
    <definedName name="цена___1___0">#REF!</definedName>
    <definedName name="цена___1___0___0" localSheetId="10">#REF!</definedName>
    <definedName name="цена___1___0___0" localSheetId="9">#REF!</definedName>
    <definedName name="цена___1___0___0">#REF!</definedName>
    <definedName name="цена___1___0___0_1" localSheetId="10">#REF!</definedName>
    <definedName name="цена___1___0___0_1" localSheetId="9">#REF!</definedName>
    <definedName name="цена___1___0___0_1">#REF!</definedName>
    <definedName name="цена___1___0_1" localSheetId="10">#REF!</definedName>
    <definedName name="цена___1___0_1" localSheetId="9">#REF!</definedName>
    <definedName name="цена___1___0_1">#REF!</definedName>
    <definedName name="цена___1___1" localSheetId="10">#REF!</definedName>
    <definedName name="цена___1___1" localSheetId="9">#REF!</definedName>
    <definedName name="цена___1___1">#REF!</definedName>
    <definedName name="цена___1___1_1" localSheetId="10">#REF!</definedName>
    <definedName name="цена___1___1_1" localSheetId="9">#REF!</definedName>
    <definedName name="цена___1___1_1">#REF!</definedName>
    <definedName name="цена___1___5" localSheetId="10">#REF!</definedName>
    <definedName name="цена___1___5" localSheetId="9">#REF!</definedName>
    <definedName name="цена___1___5">#REF!</definedName>
    <definedName name="цена___1___5_1" localSheetId="10">#REF!</definedName>
    <definedName name="цена___1___5_1" localSheetId="9">#REF!</definedName>
    <definedName name="цена___1___5_1">#REF!</definedName>
    <definedName name="цена___1_1" localSheetId="10">#REF!</definedName>
    <definedName name="цена___1_1" localSheetId="9">#REF!</definedName>
    <definedName name="цена___1_1">#REF!</definedName>
    <definedName name="цена___1_1_1" localSheetId="10">#REF!</definedName>
    <definedName name="цена___1_1_1" localSheetId="9">#REF!</definedName>
    <definedName name="цена___1_1_1">#REF!</definedName>
    <definedName name="цена___1_1_1_1" localSheetId="10">#REF!</definedName>
    <definedName name="цена___1_1_1_1" localSheetId="9">#REF!</definedName>
    <definedName name="цена___1_1_1_1">#REF!</definedName>
    <definedName name="цена___1_3" localSheetId="10">#REF!</definedName>
    <definedName name="цена___1_3" localSheetId="9">#REF!</definedName>
    <definedName name="цена___1_3">#REF!</definedName>
    <definedName name="цена___1_3_1" localSheetId="10">#REF!</definedName>
    <definedName name="цена___1_3_1" localSheetId="9">#REF!</definedName>
    <definedName name="цена___1_3_1">#REF!</definedName>
    <definedName name="цена___1_5" localSheetId="10">#REF!</definedName>
    <definedName name="цена___1_5" localSheetId="9">#REF!</definedName>
    <definedName name="цена___1_5">#REF!</definedName>
    <definedName name="цена___1_5_1" localSheetId="10">#REF!</definedName>
    <definedName name="цена___1_5_1" localSheetId="9">#REF!</definedName>
    <definedName name="цена___1_5_1">#REF!</definedName>
    <definedName name="цена___10" localSheetId="10">#REF!</definedName>
    <definedName name="цена___10" localSheetId="12">#REF!</definedName>
    <definedName name="цена___10" localSheetId="110">#REF!</definedName>
    <definedName name="цена___10" localSheetId="9">#REF!</definedName>
    <definedName name="цена___10" localSheetId="7">#REF!</definedName>
    <definedName name="цена___10">#REF!</definedName>
    <definedName name="цена___10___0">NA()</definedName>
    <definedName name="цена___10___0___0" localSheetId="10">#REF!</definedName>
    <definedName name="цена___10___0___0" localSheetId="12">#REF!</definedName>
    <definedName name="цена___10___0___0" localSheetId="116">#REF!</definedName>
    <definedName name="цена___10___0___0" localSheetId="8">#REF!</definedName>
    <definedName name="цена___10___0___0" localSheetId="11">#REF!</definedName>
    <definedName name="цена___10___0___0" localSheetId="110">#REF!</definedName>
    <definedName name="цена___10___0___0" localSheetId="109">#REF!</definedName>
    <definedName name="цена___10___0___0" localSheetId="108">#REF!</definedName>
    <definedName name="цена___10___0___0" localSheetId="6">#REF!</definedName>
    <definedName name="цена___10___0___0" localSheetId="9">#REF!</definedName>
    <definedName name="цена___10___0___0" localSheetId="7">#REF!</definedName>
    <definedName name="цена___10___0___0" localSheetId="92">#REF!</definedName>
    <definedName name="цена___10___0___0" localSheetId="93">#REF!</definedName>
    <definedName name="цена___10___0___0" localSheetId="94">#REF!</definedName>
    <definedName name="цена___10___0___0" localSheetId="99">#REF!</definedName>
    <definedName name="цена___10___0___0" localSheetId="100">#REF!</definedName>
    <definedName name="цена___10___0___0" localSheetId="106">#REF!</definedName>
    <definedName name="цена___10___0___0">#REF!</definedName>
    <definedName name="цена___10___0___0___0" localSheetId="10">#REF!</definedName>
    <definedName name="цена___10___0___0___0" localSheetId="9">#REF!</definedName>
    <definedName name="цена___10___0___0___0">#REF!</definedName>
    <definedName name="цена___10___0___0___0_1" localSheetId="10">#REF!</definedName>
    <definedName name="цена___10___0___0___0_1" localSheetId="9">#REF!</definedName>
    <definedName name="цена___10___0___0___0_1">#REF!</definedName>
    <definedName name="цена___10___0___0_1" localSheetId="10">#REF!</definedName>
    <definedName name="цена___10___0___0_1" localSheetId="9">#REF!</definedName>
    <definedName name="цена___10___0___0_1">#REF!</definedName>
    <definedName name="цена___10___0___1">NA()</definedName>
    <definedName name="цена___10___0___5">NA()</definedName>
    <definedName name="цена___10___0_1" localSheetId="10">#REF!</definedName>
    <definedName name="цена___10___0_1" localSheetId="9">#REF!</definedName>
    <definedName name="цена___10___0_1">#REF!</definedName>
    <definedName name="цена___10___0_1_1">NA()</definedName>
    <definedName name="цена___10___0_3">NA()</definedName>
    <definedName name="цена___10___0_5">NA()</definedName>
    <definedName name="цена___10___1" localSheetId="10">#REF!</definedName>
    <definedName name="цена___10___1" localSheetId="12">#REF!</definedName>
    <definedName name="цена___10___1" localSheetId="116">#REF!</definedName>
    <definedName name="цена___10___1" localSheetId="8">#REF!</definedName>
    <definedName name="цена___10___1" localSheetId="11">#REF!</definedName>
    <definedName name="цена___10___1" localSheetId="110">#REF!</definedName>
    <definedName name="цена___10___1" localSheetId="109">#REF!</definedName>
    <definedName name="цена___10___1" localSheetId="108">#REF!</definedName>
    <definedName name="цена___10___1" localSheetId="6">#REF!</definedName>
    <definedName name="цена___10___1" localSheetId="9">#REF!</definedName>
    <definedName name="цена___10___1" localSheetId="7">#REF!</definedName>
    <definedName name="цена___10___1" localSheetId="92">#REF!</definedName>
    <definedName name="цена___10___1" localSheetId="93">#REF!</definedName>
    <definedName name="цена___10___1" localSheetId="94">#REF!</definedName>
    <definedName name="цена___10___1" localSheetId="99">#REF!</definedName>
    <definedName name="цена___10___1" localSheetId="100">#REF!</definedName>
    <definedName name="цена___10___1" localSheetId="106">#REF!</definedName>
    <definedName name="цена___10___1">#REF!</definedName>
    <definedName name="цена___10___10" localSheetId="10">#REF!</definedName>
    <definedName name="цена___10___10" localSheetId="12">#REF!</definedName>
    <definedName name="цена___10___10" localSheetId="116">#REF!</definedName>
    <definedName name="цена___10___10" localSheetId="8">#REF!</definedName>
    <definedName name="цена___10___10" localSheetId="11">#REF!</definedName>
    <definedName name="цена___10___10" localSheetId="110">#REF!</definedName>
    <definedName name="цена___10___10" localSheetId="109">#REF!</definedName>
    <definedName name="цена___10___10" localSheetId="108">#REF!</definedName>
    <definedName name="цена___10___10" localSheetId="6">#REF!</definedName>
    <definedName name="цена___10___10" localSheetId="9">#REF!</definedName>
    <definedName name="цена___10___10" localSheetId="7">#REF!</definedName>
    <definedName name="цена___10___10" localSheetId="92">#REF!</definedName>
    <definedName name="цена___10___10" localSheetId="93">#REF!</definedName>
    <definedName name="цена___10___10" localSheetId="94">#REF!</definedName>
    <definedName name="цена___10___10" localSheetId="99">#REF!</definedName>
    <definedName name="цена___10___10" localSheetId="100">#REF!</definedName>
    <definedName name="цена___10___10" localSheetId="106">#REF!</definedName>
    <definedName name="цена___10___10">#REF!</definedName>
    <definedName name="цена___10___12" localSheetId="10">#REF!</definedName>
    <definedName name="цена___10___12" localSheetId="12">#REF!</definedName>
    <definedName name="цена___10___12" localSheetId="110">#REF!</definedName>
    <definedName name="цена___10___12" localSheetId="9">#REF!</definedName>
    <definedName name="цена___10___12">#REF!</definedName>
    <definedName name="цена___10___2">NA()</definedName>
    <definedName name="цена___10___4">NA()</definedName>
    <definedName name="цена___10___5" localSheetId="10">#REF!</definedName>
    <definedName name="цена___10___5" localSheetId="9">#REF!</definedName>
    <definedName name="цена___10___5">#REF!</definedName>
    <definedName name="цена___10___5_1" localSheetId="10">#REF!</definedName>
    <definedName name="цена___10___5_1" localSheetId="9">#REF!</definedName>
    <definedName name="цена___10___5_1">#REF!</definedName>
    <definedName name="цена___10___6">NA()</definedName>
    <definedName name="цена___10___8">NA()</definedName>
    <definedName name="цена___10_1">NA()</definedName>
    <definedName name="цена___10_3" localSheetId="10">#REF!</definedName>
    <definedName name="цена___10_3" localSheetId="9">#REF!</definedName>
    <definedName name="цена___10_3">#REF!</definedName>
    <definedName name="цена___10_3_1" localSheetId="10">#REF!</definedName>
    <definedName name="цена___10_3_1" localSheetId="9">#REF!</definedName>
    <definedName name="цена___10_3_1">#REF!</definedName>
    <definedName name="цена___10_5" localSheetId="10">#REF!</definedName>
    <definedName name="цена___10_5" localSheetId="9">#REF!</definedName>
    <definedName name="цена___10_5">#REF!</definedName>
    <definedName name="цена___10_5_1" localSheetId="10">#REF!</definedName>
    <definedName name="цена___10_5_1" localSheetId="9">#REF!</definedName>
    <definedName name="цена___10_5_1">#REF!</definedName>
    <definedName name="цена___11" localSheetId="10">#REF!</definedName>
    <definedName name="цена___11" localSheetId="12">#REF!</definedName>
    <definedName name="цена___11" localSheetId="116">#REF!</definedName>
    <definedName name="цена___11" localSheetId="110">#REF!</definedName>
    <definedName name="цена___11" localSheetId="109">#REF!</definedName>
    <definedName name="цена___11" localSheetId="108">#REF!</definedName>
    <definedName name="цена___11" localSheetId="9">#REF!</definedName>
    <definedName name="цена___11" localSheetId="7">#REF!</definedName>
    <definedName name="цена___11" localSheetId="92">#REF!</definedName>
    <definedName name="цена___11" localSheetId="93">#REF!</definedName>
    <definedName name="цена___11" localSheetId="94">#REF!</definedName>
    <definedName name="цена___11" localSheetId="99">#REF!</definedName>
    <definedName name="цена___11" localSheetId="100">#REF!</definedName>
    <definedName name="цена___11" localSheetId="106">#REF!</definedName>
    <definedName name="цена___11">#REF!</definedName>
    <definedName name="цена___11___0">NA()</definedName>
    <definedName name="цена___11___10" localSheetId="10">#REF!</definedName>
    <definedName name="цена___11___10" localSheetId="12">#REF!</definedName>
    <definedName name="цена___11___10" localSheetId="116">#REF!</definedName>
    <definedName name="цена___11___10" localSheetId="8">#REF!</definedName>
    <definedName name="цена___11___10" localSheetId="11">#REF!</definedName>
    <definedName name="цена___11___10" localSheetId="110">#REF!</definedName>
    <definedName name="цена___11___10" localSheetId="109">#REF!</definedName>
    <definedName name="цена___11___10" localSheetId="108">#REF!</definedName>
    <definedName name="цена___11___10" localSheetId="6">#REF!</definedName>
    <definedName name="цена___11___10" localSheetId="9">#REF!</definedName>
    <definedName name="цена___11___10" localSheetId="7">#REF!</definedName>
    <definedName name="цена___11___10" localSheetId="92">#REF!</definedName>
    <definedName name="цена___11___10" localSheetId="93">#REF!</definedName>
    <definedName name="цена___11___10" localSheetId="94">#REF!</definedName>
    <definedName name="цена___11___10" localSheetId="99">#REF!</definedName>
    <definedName name="цена___11___10" localSheetId="100">#REF!</definedName>
    <definedName name="цена___11___10" localSheetId="106">#REF!</definedName>
    <definedName name="цена___11___10">#REF!</definedName>
    <definedName name="цена___11___2" localSheetId="10">#REF!</definedName>
    <definedName name="цена___11___2" localSheetId="12">#REF!</definedName>
    <definedName name="цена___11___2" localSheetId="116">#REF!</definedName>
    <definedName name="цена___11___2" localSheetId="8">#REF!</definedName>
    <definedName name="цена___11___2" localSheetId="11">#REF!</definedName>
    <definedName name="цена___11___2" localSheetId="110">#REF!</definedName>
    <definedName name="цена___11___2" localSheetId="109">#REF!</definedName>
    <definedName name="цена___11___2" localSheetId="108">#REF!</definedName>
    <definedName name="цена___11___2" localSheetId="6">#REF!</definedName>
    <definedName name="цена___11___2" localSheetId="9">#REF!</definedName>
    <definedName name="цена___11___2" localSheetId="7">#REF!</definedName>
    <definedName name="цена___11___2" localSheetId="92">#REF!</definedName>
    <definedName name="цена___11___2" localSheetId="93">#REF!</definedName>
    <definedName name="цена___11___2" localSheetId="94">#REF!</definedName>
    <definedName name="цена___11___2" localSheetId="99">#REF!</definedName>
    <definedName name="цена___11___2" localSheetId="100">#REF!</definedName>
    <definedName name="цена___11___2" localSheetId="106">#REF!</definedName>
    <definedName name="цена___11___2">#REF!</definedName>
    <definedName name="цена___11___4" localSheetId="10">#REF!</definedName>
    <definedName name="цена___11___4" localSheetId="12">#REF!</definedName>
    <definedName name="цена___11___4" localSheetId="116">#REF!</definedName>
    <definedName name="цена___11___4" localSheetId="110">#REF!</definedName>
    <definedName name="цена___11___4" localSheetId="109">#REF!</definedName>
    <definedName name="цена___11___4" localSheetId="108">#REF!</definedName>
    <definedName name="цена___11___4" localSheetId="9">#REF!</definedName>
    <definedName name="цена___11___4" localSheetId="92">#REF!</definedName>
    <definedName name="цена___11___4" localSheetId="93">#REF!</definedName>
    <definedName name="цена___11___4" localSheetId="94">#REF!</definedName>
    <definedName name="цена___11___4" localSheetId="99">#REF!</definedName>
    <definedName name="цена___11___4" localSheetId="100">#REF!</definedName>
    <definedName name="цена___11___4" localSheetId="106">#REF!</definedName>
    <definedName name="цена___11___4">#REF!</definedName>
    <definedName name="цена___11___6" localSheetId="10">#REF!</definedName>
    <definedName name="цена___11___6" localSheetId="12">#REF!</definedName>
    <definedName name="цена___11___6" localSheetId="110">#REF!</definedName>
    <definedName name="цена___11___6" localSheetId="9">#REF!</definedName>
    <definedName name="цена___11___6">#REF!</definedName>
    <definedName name="цена___11___8" localSheetId="10">#REF!</definedName>
    <definedName name="цена___11___8" localSheetId="12">#REF!</definedName>
    <definedName name="цена___11___8" localSheetId="110">#REF!</definedName>
    <definedName name="цена___11___8" localSheetId="9">#REF!</definedName>
    <definedName name="цена___11___8">#REF!</definedName>
    <definedName name="цена___11_1" localSheetId="10">#REF!</definedName>
    <definedName name="цена___11_1" localSheetId="9">#REF!</definedName>
    <definedName name="цена___11_1">#REF!</definedName>
    <definedName name="цена___12">NA()</definedName>
    <definedName name="цена___2" localSheetId="10">#REF!</definedName>
    <definedName name="цена___2" localSheetId="12">#REF!</definedName>
    <definedName name="цена___2" localSheetId="116">#REF!</definedName>
    <definedName name="цена___2" localSheetId="8">#REF!</definedName>
    <definedName name="цена___2" localSheetId="11">#REF!</definedName>
    <definedName name="цена___2" localSheetId="110">#REF!</definedName>
    <definedName name="цена___2" localSheetId="109">#REF!</definedName>
    <definedName name="цена___2" localSheetId="108">#REF!</definedName>
    <definedName name="цена___2" localSheetId="6">#REF!</definedName>
    <definedName name="цена___2" localSheetId="9">#REF!</definedName>
    <definedName name="цена___2" localSheetId="7">#REF!</definedName>
    <definedName name="цена___2" localSheetId="92">#REF!</definedName>
    <definedName name="цена___2" localSheetId="93">#REF!</definedName>
    <definedName name="цена___2" localSheetId="94">#REF!</definedName>
    <definedName name="цена___2" localSheetId="99">#REF!</definedName>
    <definedName name="цена___2" localSheetId="100">#REF!</definedName>
    <definedName name="цена___2" localSheetId="106">#REF!</definedName>
    <definedName name="цена___2">#REF!</definedName>
    <definedName name="цена___2___0" localSheetId="10">#REF!</definedName>
    <definedName name="цена___2___0" localSheetId="12">#REF!</definedName>
    <definedName name="цена___2___0" localSheetId="116">#REF!</definedName>
    <definedName name="цена___2___0" localSheetId="8">#REF!</definedName>
    <definedName name="цена___2___0" localSheetId="11">#REF!</definedName>
    <definedName name="цена___2___0" localSheetId="110">#REF!</definedName>
    <definedName name="цена___2___0" localSheetId="109">#REF!</definedName>
    <definedName name="цена___2___0" localSheetId="108">#REF!</definedName>
    <definedName name="цена___2___0" localSheetId="6">#REF!</definedName>
    <definedName name="цена___2___0" localSheetId="9">#REF!</definedName>
    <definedName name="цена___2___0" localSheetId="7">#REF!</definedName>
    <definedName name="цена___2___0" localSheetId="92">#REF!</definedName>
    <definedName name="цена___2___0" localSheetId="93">#REF!</definedName>
    <definedName name="цена___2___0" localSheetId="94">#REF!</definedName>
    <definedName name="цена___2___0" localSheetId="99">#REF!</definedName>
    <definedName name="цена___2___0" localSheetId="100">#REF!</definedName>
    <definedName name="цена___2___0" localSheetId="106">#REF!</definedName>
    <definedName name="цена___2___0">#REF!</definedName>
    <definedName name="цена___2___0___0" localSheetId="10">#REF!</definedName>
    <definedName name="цена___2___0___0" localSheetId="12">#REF!</definedName>
    <definedName name="цена___2___0___0" localSheetId="116">#REF!</definedName>
    <definedName name="цена___2___0___0" localSheetId="110">#REF!</definedName>
    <definedName name="цена___2___0___0" localSheetId="109">#REF!</definedName>
    <definedName name="цена___2___0___0" localSheetId="108">#REF!</definedName>
    <definedName name="цена___2___0___0" localSheetId="9">#REF!</definedName>
    <definedName name="цена___2___0___0" localSheetId="92">#REF!</definedName>
    <definedName name="цена___2___0___0" localSheetId="93">#REF!</definedName>
    <definedName name="цена___2___0___0" localSheetId="94">#REF!</definedName>
    <definedName name="цена___2___0___0" localSheetId="99">#REF!</definedName>
    <definedName name="цена___2___0___0" localSheetId="100">#REF!</definedName>
    <definedName name="цена___2___0___0" localSheetId="106">#REF!</definedName>
    <definedName name="цена___2___0___0">#REF!</definedName>
    <definedName name="цена___2___0___0___0" localSheetId="10">#REF!</definedName>
    <definedName name="цена___2___0___0___0" localSheetId="12">#REF!</definedName>
    <definedName name="цена___2___0___0___0" localSheetId="110">#REF!</definedName>
    <definedName name="цена___2___0___0___0" localSheetId="9">#REF!</definedName>
    <definedName name="цена___2___0___0___0">#REF!</definedName>
    <definedName name="цена___2___0___0___0___0" localSheetId="10">#REF!</definedName>
    <definedName name="цена___2___0___0___0___0" localSheetId="9">#REF!</definedName>
    <definedName name="цена___2___0___0___0___0">#REF!</definedName>
    <definedName name="цена___2___0___0___0___0_1" localSheetId="10">#REF!</definedName>
    <definedName name="цена___2___0___0___0___0_1" localSheetId="9">#REF!</definedName>
    <definedName name="цена___2___0___0___0___0_1">#REF!</definedName>
    <definedName name="цена___2___0___0___0_1" localSheetId="10">#REF!</definedName>
    <definedName name="цена___2___0___0___0_1" localSheetId="9">#REF!</definedName>
    <definedName name="цена___2___0___0___0_1">#REF!</definedName>
    <definedName name="цена___2___0___0___1" localSheetId="10">#REF!</definedName>
    <definedName name="цена___2___0___0___1" localSheetId="9">#REF!</definedName>
    <definedName name="цена___2___0___0___1">#REF!</definedName>
    <definedName name="цена___2___0___0___1_1" localSheetId="10">#REF!</definedName>
    <definedName name="цена___2___0___0___1_1" localSheetId="9">#REF!</definedName>
    <definedName name="цена___2___0___0___1_1">#REF!</definedName>
    <definedName name="цена___2___0___0___5" localSheetId="10">#REF!</definedName>
    <definedName name="цена___2___0___0___5" localSheetId="9">#REF!</definedName>
    <definedName name="цена___2___0___0___5">#REF!</definedName>
    <definedName name="цена___2___0___0___5_1" localSheetId="10">#REF!</definedName>
    <definedName name="цена___2___0___0___5_1" localSheetId="9">#REF!</definedName>
    <definedName name="цена___2___0___0___5_1">#REF!</definedName>
    <definedName name="цена___2___0___0_1" localSheetId="10">#REF!</definedName>
    <definedName name="цена___2___0___0_1" localSheetId="9">#REF!</definedName>
    <definedName name="цена___2___0___0_1">#REF!</definedName>
    <definedName name="цена___2___0___0_1_1" localSheetId="10">#REF!</definedName>
    <definedName name="цена___2___0___0_1_1" localSheetId="9">#REF!</definedName>
    <definedName name="цена___2___0___0_1_1">#REF!</definedName>
    <definedName name="цена___2___0___0_1_1_1" localSheetId="10">#REF!</definedName>
    <definedName name="цена___2___0___0_1_1_1" localSheetId="9">#REF!</definedName>
    <definedName name="цена___2___0___0_1_1_1">#REF!</definedName>
    <definedName name="цена___2___0___0_5" localSheetId="10">#REF!</definedName>
    <definedName name="цена___2___0___0_5" localSheetId="9">#REF!</definedName>
    <definedName name="цена___2___0___0_5">#REF!</definedName>
    <definedName name="цена___2___0___0_5_1" localSheetId="10">#REF!</definedName>
    <definedName name="цена___2___0___0_5_1" localSheetId="9">#REF!</definedName>
    <definedName name="цена___2___0___0_5_1">#REF!</definedName>
    <definedName name="цена___2___0___1" localSheetId="10">#REF!</definedName>
    <definedName name="цена___2___0___1" localSheetId="9">#REF!</definedName>
    <definedName name="цена___2___0___1">#REF!</definedName>
    <definedName name="цена___2___0___1_1" localSheetId="10">#REF!</definedName>
    <definedName name="цена___2___0___1_1" localSheetId="9">#REF!</definedName>
    <definedName name="цена___2___0___1_1">#REF!</definedName>
    <definedName name="цена___2___0___5" localSheetId="10">#REF!</definedName>
    <definedName name="цена___2___0___5" localSheetId="9">#REF!</definedName>
    <definedName name="цена___2___0___5">#REF!</definedName>
    <definedName name="цена___2___0___5_1" localSheetId="10">#REF!</definedName>
    <definedName name="цена___2___0___5_1" localSheetId="9">#REF!</definedName>
    <definedName name="цена___2___0___5_1">#REF!</definedName>
    <definedName name="цена___2___0_1" localSheetId="10">#REF!</definedName>
    <definedName name="цена___2___0_1" localSheetId="9">#REF!</definedName>
    <definedName name="цена___2___0_1">#REF!</definedName>
    <definedName name="цена___2___0_1_1" localSheetId="10">#REF!</definedName>
    <definedName name="цена___2___0_1_1" localSheetId="9">#REF!</definedName>
    <definedName name="цена___2___0_1_1">#REF!</definedName>
    <definedName name="цена___2___0_1_1_1" localSheetId="10">#REF!</definedName>
    <definedName name="цена___2___0_1_1_1" localSheetId="9">#REF!</definedName>
    <definedName name="цена___2___0_1_1_1">#REF!</definedName>
    <definedName name="цена___2___0_3" localSheetId="10">#REF!</definedName>
    <definedName name="цена___2___0_3" localSheetId="9">#REF!</definedName>
    <definedName name="цена___2___0_3">#REF!</definedName>
    <definedName name="цена___2___0_3_1" localSheetId="10">#REF!</definedName>
    <definedName name="цена___2___0_3_1" localSheetId="9">#REF!</definedName>
    <definedName name="цена___2___0_3_1">#REF!</definedName>
    <definedName name="цена___2___0_5" localSheetId="10">#REF!</definedName>
    <definedName name="цена___2___0_5" localSheetId="9">#REF!</definedName>
    <definedName name="цена___2___0_5">#REF!</definedName>
    <definedName name="цена___2___0_5_1" localSheetId="10">#REF!</definedName>
    <definedName name="цена___2___0_5_1" localSheetId="9">#REF!</definedName>
    <definedName name="цена___2___0_5_1">#REF!</definedName>
    <definedName name="цена___2___1" localSheetId="10">#REF!</definedName>
    <definedName name="цена___2___1" localSheetId="12">#REF!</definedName>
    <definedName name="цена___2___1" localSheetId="110">#REF!</definedName>
    <definedName name="цена___2___1" localSheetId="9">#REF!</definedName>
    <definedName name="цена___2___1">#REF!</definedName>
    <definedName name="цена___2___1_1" localSheetId="10">#REF!</definedName>
    <definedName name="цена___2___1_1" localSheetId="9">#REF!</definedName>
    <definedName name="цена___2___1_1">#REF!</definedName>
    <definedName name="цена___2___10" localSheetId="10">#REF!</definedName>
    <definedName name="цена___2___10" localSheetId="12">#REF!</definedName>
    <definedName name="цена___2___10" localSheetId="110">#REF!</definedName>
    <definedName name="цена___2___10" localSheetId="9">#REF!</definedName>
    <definedName name="цена___2___10">#REF!</definedName>
    <definedName name="цена___2___10_1" localSheetId="10">#REF!</definedName>
    <definedName name="цена___2___10_1" localSheetId="9">#REF!</definedName>
    <definedName name="цена___2___10_1">#REF!</definedName>
    <definedName name="цена___2___12" localSheetId="10">#REF!</definedName>
    <definedName name="цена___2___12" localSheetId="12">#REF!</definedName>
    <definedName name="цена___2___12" localSheetId="110">#REF!</definedName>
    <definedName name="цена___2___12" localSheetId="9">#REF!</definedName>
    <definedName name="цена___2___12">#REF!</definedName>
    <definedName name="цена___2___2" localSheetId="10">#REF!</definedName>
    <definedName name="цена___2___2" localSheetId="12">#REF!</definedName>
    <definedName name="цена___2___2" localSheetId="110">#REF!</definedName>
    <definedName name="цена___2___2" localSheetId="9">#REF!</definedName>
    <definedName name="цена___2___2">#REF!</definedName>
    <definedName name="цена___2___2_1" localSheetId="10">#REF!</definedName>
    <definedName name="цена___2___2_1" localSheetId="9">#REF!</definedName>
    <definedName name="цена___2___2_1">#REF!</definedName>
    <definedName name="цена___2___3" localSheetId="10">#REF!</definedName>
    <definedName name="цена___2___3" localSheetId="12">#REF!</definedName>
    <definedName name="цена___2___3" localSheetId="110">#REF!</definedName>
    <definedName name="цена___2___3" localSheetId="9">#REF!</definedName>
    <definedName name="цена___2___3">#REF!</definedName>
    <definedName name="цена___2___4" localSheetId="10">#REF!</definedName>
    <definedName name="цена___2___4" localSheetId="12">#REF!</definedName>
    <definedName name="цена___2___4" localSheetId="110">#REF!</definedName>
    <definedName name="цена___2___4" localSheetId="9">#REF!</definedName>
    <definedName name="цена___2___4">#REF!</definedName>
    <definedName name="цена___2___4___0" localSheetId="10">#REF!</definedName>
    <definedName name="цена___2___4___0" localSheetId="9">#REF!</definedName>
    <definedName name="цена___2___4___0">#REF!</definedName>
    <definedName name="цена___2___4___0_1" localSheetId="10">#REF!</definedName>
    <definedName name="цена___2___4___0_1" localSheetId="9">#REF!</definedName>
    <definedName name="цена___2___4___0_1">#REF!</definedName>
    <definedName name="цена___2___4___5" localSheetId="10">#REF!</definedName>
    <definedName name="цена___2___4___5" localSheetId="9">#REF!</definedName>
    <definedName name="цена___2___4___5">#REF!</definedName>
    <definedName name="цена___2___4___5_1" localSheetId="10">#REF!</definedName>
    <definedName name="цена___2___4___5_1" localSheetId="9">#REF!</definedName>
    <definedName name="цена___2___4___5_1">#REF!</definedName>
    <definedName name="цена___2___4_1" localSheetId="10">#REF!</definedName>
    <definedName name="цена___2___4_1" localSheetId="9">#REF!</definedName>
    <definedName name="цена___2___4_1">#REF!</definedName>
    <definedName name="цена___2___4_1_1" localSheetId="10">#REF!</definedName>
    <definedName name="цена___2___4_1_1" localSheetId="9">#REF!</definedName>
    <definedName name="цена___2___4_1_1">#REF!</definedName>
    <definedName name="цена___2___4_1_1_1" localSheetId="10">#REF!</definedName>
    <definedName name="цена___2___4_1_1_1" localSheetId="9">#REF!</definedName>
    <definedName name="цена___2___4_1_1_1">#REF!</definedName>
    <definedName name="цена___2___4_3" localSheetId="10">#REF!</definedName>
    <definedName name="цена___2___4_3" localSheetId="9">#REF!</definedName>
    <definedName name="цена___2___4_3">#REF!</definedName>
    <definedName name="цена___2___4_3_1" localSheetId="10">#REF!</definedName>
    <definedName name="цена___2___4_3_1" localSheetId="9">#REF!</definedName>
    <definedName name="цена___2___4_3_1">#REF!</definedName>
    <definedName name="цена___2___4_5" localSheetId="10">#REF!</definedName>
    <definedName name="цена___2___4_5" localSheetId="9">#REF!</definedName>
    <definedName name="цена___2___4_5">#REF!</definedName>
    <definedName name="цена___2___4_5_1" localSheetId="10">#REF!</definedName>
    <definedName name="цена___2___4_5_1" localSheetId="9">#REF!</definedName>
    <definedName name="цена___2___4_5_1">#REF!</definedName>
    <definedName name="цена___2___5" localSheetId="10">#REF!</definedName>
    <definedName name="цена___2___5" localSheetId="9">#REF!</definedName>
    <definedName name="цена___2___5">#REF!</definedName>
    <definedName name="цена___2___5_1" localSheetId="10">#REF!</definedName>
    <definedName name="цена___2___5_1" localSheetId="9">#REF!</definedName>
    <definedName name="цена___2___5_1">#REF!</definedName>
    <definedName name="цена___2___6" localSheetId="10">#REF!</definedName>
    <definedName name="цена___2___6" localSheetId="12">#REF!</definedName>
    <definedName name="цена___2___6" localSheetId="110">#REF!</definedName>
    <definedName name="цена___2___6" localSheetId="9">#REF!</definedName>
    <definedName name="цена___2___6">#REF!</definedName>
    <definedName name="цена___2___6_1" localSheetId="10">#REF!</definedName>
    <definedName name="цена___2___6_1" localSheetId="9">#REF!</definedName>
    <definedName name="цена___2___6_1">#REF!</definedName>
    <definedName name="цена___2___8" localSheetId="10">#REF!</definedName>
    <definedName name="цена___2___8" localSheetId="12">#REF!</definedName>
    <definedName name="цена___2___8" localSheetId="110">#REF!</definedName>
    <definedName name="цена___2___8" localSheetId="9">#REF!</definedName>
    <definedName name="цена___2___8">#REF!</definedName>
    <definedName name="цена___2___8_1" localSheetId="10">#REF!</definedName>
    <definedName name="цена___2___8_1" localSheetId="9">#REF!</definedName>
    <definedName name="цена___2___8_1">#REF!</definedName>
    <definedName name="цена___2_1" localSheetId="10">#REF!</definedName>
    <definedName name="цена___2_1" localSheetId="9">#REF!</definedName>
    <definedName name="цена___2_1">#REF!</definedName>
    <definedName name="цена___2_1_1" localSheetId="10">#REF!</definedName>
    <definedName name="цена___2_1_1" localSheetId="9">#REF!</definedName>
    <definedName name="цена___2_1_1">#REF!</definedName>
    <definedName name="цена___2_1_1_1" localSheetId="10">#REF!</definedName>
    <definedName name="цена___2_1_1_1" localSheetId="9">#REF!</definedName>
    <definedName name="цена___2_1_1_1">#REF!</definedName>
    <definedName name="цена___2_3" localSheetId="10">#REF!</definedName>
    <definedName name="цена___2_3" localSheetId="9">#REF!</definedName>
    <definedName name="цена___2_3">#REF!</definedName>
    <definedName name="цена___2_3_1" localSheetId="10">#REF!</definedName>
    <definedName name="цена___2_3_1" localSheetId="9">#REF!</definedName>
    <definedName name="цена___2_3_1">#REF!</definedName>
    <definedName name="цена___2_5" localSheetId="10">#REF!</definedName>
    <definedName name="цена___2_5" localSheetId="9">#REF!</definedName>
    <definedName name="цена___2_5">#REF!</definedName>
    <definedName name="цена___2_5_1" localSheetId="10">#REF!</definedName>
    <definedName name="цена___2_5_1" localSheetId="9">#REF!</definedName>
    <definedName name="цена___2_5_1">#REF!</definedName>
    <definedName name="цена___3" localSheetId="10">#REF!</definedName>
    <definedName name="цена___3" localSheetId="12">#REF!</definedName>
    <definedName name="цена___3" localSheetId="110">#REF!</definedName>
    <definedName name="цена___3" localSheetId="9">#REF!</definedName>
    <definedName name="цена___3">#REF!</definedName>
    <definedName name="цена___3___0" localSheetId="10">#REF!</definedName>
    <definedName name="цена___3___0" localSheetId="12">#REF!</definedName>
    <definedName name="цена___3___0" localSheetId="110">#REF!</definedName>
    <definedName name="цена___3___0" localSheetId="9">#REF!</definedName>
    <definedName name="цена___3___0">#REF!</definedName>
    <definedName name="цена___3___0___0">NA()</definedName>
    <definedName name="цена___3___0___0___0">NA()</definedName>
    <definedName name="цена___3___0___1">NA()</definedName>
    <definedName name="цена___3___0___5" localSheetId="10">#REF!</definedName>
    <definedName name="цена___3___0___5" localSheetId="9">#REF!</definedName>
    <definedName name="цена___3___0___5">#REF!</definedName>
    <definedName name="цена___3___0___5_1" localSheetId="10">#REF!</definedName>
    <definedName name="цена___3___0___5_1" localSheetId="9">#REF!</definedName>
    <definedName name="цена___3___0___5_1">#REF!</definedName>
    <definedName name="цена___3___0_1" localSheetId="10">#REF!</definedName>
    <definedName name="цена___3___0_1" localSheetId="9">#REF!</definedName>
    <definedName name="цена___3___0_1">#REF!</definedName>
    <definedName name="цена___3___0_1_1">NA()</definedName>
    <definedName name="цена___3___0_3" localSheetId="10">#REF!</definedName>
    <definedName name="цена___3___0_3" localSheetId="9">#REF!</definedName>
    <definedName name="цена___3___0_3">#REF!</definedName>
    <definedName name="цена___3___0_3_1" localSheetId="10">#REF!</definedName>
    <definedName name="цена___3___0_3_1" localSheetId="9">#REF!</definedName>
    <definedName name="цена___3___0_3_1">#REF!</definedName>
    <definedName name="цена___3___0_5" localSheetId="10">#REF!</definedName>
    <definedName name="цена___3___0_5" localSheetId="9">#REF!</definedName>
    <definedName name="цена___3___0_5">#REF!</definedName>
    <definedName name="цена___3___0_5_1" localSheetId="10">#REF!</definedName>
    <definedName name="цена___3___0_5_1" localSheetId="9">#REF!</definedName>
    <definedName name="цена___3___0_5_1">#REF!</definedName>
    <definedName name="цена___3___10" localSheetId="10">#REF!</definedName>
    <definedName name="цена___3___10" localSheetId="12">#REF!</definedName>
    <definedName name="цена___3___10" localSheetId="116">#REF!</definedName>
    <definedName name="цена___3___10" localSheetId="110">#REF!</definedName>
    <definedName name="цена___3___10" localSheetId="109">#REF!</definedName>
    <definedName name="цена___3___10" localSheetId="108">#REF!</definedName>
    <definedName name="цена___3___10" localSheetId="9">#REF!</definedName>
    <definedName name="цена___3___10" localSheetId="7">#REF!</definedName>
    <definedName name="цена___3___10" localSheetId="92">#REF!</definedName>
    <definedName name="цена___3___10" localSheetId="93">#REF!</definedName>
    <definedName name="цена___3___10" localSheetId="94">#REF!</definedName>
    <definedName name="цена___3___10" localSheetId="99">#REF!</definedName>
    <definedName name="цена___3___10" localSheetId="100">#REF!</definedName>
    <definedName name="цена___3___10" localSheetId="106">#REF!</definedName>
    <definedName name="цена___3___10">#REF!</definedName>
    <definedName name="цена___3___2" localSheetId="10">#REF!</definedName>
    <definedName name="цена___3___2" localSheetId="12">#REF!</definedName>
    <definedName name="цена___3___2" localSheetId="116">#REF!</definedName>
    <definedName name="цена___3___2" localSheetId="110">#REF!</definedName>
    <definedName name="цена___3___2" localSheetId="109">#REF!</definedName>
    <definedName name="цена___3___2" localSheetId="108">#REF!</definedName>
    <definedName name="цена___3___2" localSheetId="9">#REF!</definedName>
    <definedName name="цена___3___2" localSheetId="92">#REF!</definedName>
    <definedName name="цена___3___2" localSheetId="93">#REF!</definedName>
    <definedName name="цена___3___2" localSheetId="94">#REF!</definedName>
    <definedName name="цена___3___2" localSheetId="99">#REF!</definedName>
    <definedName name="цена___3___2" localSheetId="100">#REF!</definedName>
    <definedName name="цена___3___2" localSheetId="106">#REF!</definedName>
    <definedName name="цена___3___2">#REF!</definedName>
    <definedName name="цена___3___2_1" localSheetId="10">#REF!</definedName>
    <definedName name="цена___3___2_1" localSheetId="9">#REF!</definedName>
    <definedName name="цена___3___2_1">#REF!</definedName>
    <definedName name="цена___3___3" localSheetId="10">#REF!</definedName>
    <definedName name="цена___3___3" localSheetId="12">#REF!</definedName>
    <definedName name="цена___3___3" localSheetId="116">#REF!</definedName>
    <definedName name="цена___3___3" localSheetId="110">#REF!</definedName>
    <definedName name="цена___3___3" localSheetId="109">#REF!</definedName>
    <definedName name="цена___3___3" localSheetId="108">#REF!</definedName>
    <definedName name="цена___3___3" localSheetId="9">#REF!</definedName>
    <definedName name="цена___3___3" localSheetId="92">#REF!</definedName>
    <definedName name="цена___3___3" localSheetId="93">#REF!</definedName>
    <definedName name="цена___3___3" localSheetId="94">#REF!</definedName>
    <definedName name="цена___3___3" localSheetId="99">#REF!</definedName>
    <definedName name="цена___3___3" localSheetId="100">#REF!</definedName>
    <definedName name="цена___3___3" localSheetId="106">#REF!</definedName>
    <definedName name="цена___3___3">#REF!</definedName>
    <definedName name="цена___3___3_1" localSheetId="10">#REF!</definedName>
    <definedName name="цена___3___3_1" localSheetId="9">#REF!</definedName>
    <definedName name="цена___3___3_1">#REF!</definedName>
    <definedName name="цена___3___4" localSheetId="10">#REF!</definedName>
    <definedName name="цена___3___4" localSheetId="12">#REF!</definedName>
    <definedName name="цена___3___4" localSheetId="110">#REF!</definedName>
    <definedName name="цена___3___4" localSheetId="9">#REF!</definedName>
    <definedName name="цена___3___4">#REF!</definedName>
    <definedName name="цена___3___5" localSheetId="10">#REF!</definedName>
    <definedName name="цена___3___5" localSheetId="9">#REF!</definedName>
    <definedName name="цена___3___5">#REF!</definedName>
    <definedName name="цена___3___5_1" localSheetId="10">#REF!</definedName>
    <definedName name="цена___3___5_1" localSheetId="9">#REF!</definedName>
    <definedName name="цена___3___5_1">#REF!</definedName>
    <definedName name="цена___3___6" localSheetId="10">#REF!</definedName>
    <definedName name="цена___3___6" localSheetId="12">#REF!</definedName>
    <definedName name="цена___3___6" localSheetId="110">#REF!</definedName>
    <definedName name="цена___3___6" localSheetId="9">#REF!</definedName>
    <definedName name="цена___3___6">#REF!</definedName>
    <definedName name="цена___3___8" localSheetId="10">#REF!</definedName>
    <definedName name="цена___3___8" localSheetId="12">#REF!</definedName>
    <definedName name="цена___3___8" localSheetId="110">#REF!</definedName>
    <definedName name="цена___3___8" localSheetId="9">#REF!</definedName>
    <definedName name="цена___3___8">#REF!</definedName>
    <definedName name="цена___3_1" localSheetId="10">#REF!</definedName>
    <definedName name="цена___3_1" localSheetId="9">#REF!</definedName>
    <definedName name="цена___3_1">#REF!</definedName>
    <definedName name="цена___3_1_1" localSheetId="10">#REF!</definedName>
    <definedName name="цена___3_1_1" localSheetId="9">#REF!</definedName>
    <definedName name="цена___3_1_1">#REF!</definedName>
    <definedName name="цена___3_1_1_1" localSheetId="10">#REF!</definedName>
    <definedName name="цена___3_1_1_1" localSheetId="9">#REF!</definedName>
    <definedName name="цена___3_1_1_1">#REF!</definedName>
    <definedName name="цена___3_3">NA()</definedName>
    <definedName name="цена___3_5" localSheetId="10">#REF!</definedName>
    <definedName name="цена___3_5" localSheetId="9">#REF!</definedName>
    <definedName name="цена___3_5">#REF!</definedName>
    <definedName name="цена___3_5_1" localSheetId="10">#REF!</definedName>
    <definedName name="цена___3_5_1" localSheetId="9">#REF!</definedName>
    <definedName name="цена___3_5_1">#REF!</definedName>
    <definedName name="цена___4" localSheetId="10">#REF!</definedName>
    <definedName name="цена___4" localSheetId="12">#REF!</definedName>
    <definedName name="цена___4" localSheetId="8">#REF!</definedName>
    <definedName name="цена___4" localSheetId="11">#REF!</definedName>
    <definedName name="цена___4" localSheetId="110">#REF!</definedName>
    <definedName name="цена___4" localSheetId="6">#REF!</definedName>
    <definedName name="цена___4" localSheetId="9">#REF!</definedName>
    <definedName name="цена___4" localSheetId="7">#REF!</definedName>
    <definedName name="цена___4">#REF!</definedName>
    <definedName name="цена___4___0">NA()</definedName>
    <definedName name="цена___4___0___0" localSheetId="10">#REF!</definedName>
    <definedName name="цена___4___0___0" localSheetId="12">#REF!</definedName>
    <definedName name="цена___4___0___0" localSheetId="116">#REF!</definedName>
    <definedName name="цена___4___0___0" localSheetId="8">#REF!</definedName>
    <definedName name="цена___4___0___0" localSheetId="11">#REF!</definedName>
    <definedName name="цена___4___0___0" localSheetId="110">#REF!</definedName>
    <definedName name="цена___4___0___0" localSheetId="109">#REF!</definedName>
    <definedName name="цена___4___0___0" localSheetId="108">#REF!</definedName>
    <definedName name="цена___4___0___0" localSheetId="6">#REF!</definedName>
    <definedName name="цена___4___0___0" localSheetId="9">#REF!</definedName>
    <definedName name="цена___4___0___0" localSheetId="7">#REF!</definedName>
    <definedName name="цена___4___0___0" localSheetId="92">#REF!</definedName>
    <definedName name="цена___4___0___0" localSheetId="93">#REF!</definedName>
    <definedName name="цена___4___0___0" localSheetId="94">#REF!</definedName>
    <definedName name="цена___4___0___0" localSheetId="99">#REF!</definedName>
    <definedName name="цена___4___0___0" localSheetId="100">#REF!</definedName>
    <definedName name="цена___4___0___0" localSheetId="106">#REF!</definedName>
    <definedName name="цена___4___0___0">#REF!</definedName>
    <definedName name="цена___4___0___0___0" localSheetId="10">#REF!</definedName>
    <definedName name="цена___4___0___0___0" localSheetId="12">#REF!</definedName>
    <definedName name="цена___4___0___0___0" localSheetId="116">#REF!</definedName>
    <definedName name="цена___4___0___0___0" localSheetId="8">#REF!</definedName>
    <definedName name="цена___4___0___0___0" localSheetId="11">#REF!</definedName>
    <definedName name="цена___4___0___0___0" localSheetId="110">#REF!</definedName>
    <definedName name="цена___4___0___0___0" localSheetId="109">#REF!</definedName>
    <definedName name="цена___4___0___0___0" localSheetId="108">#REF!</definedName>
    <definedName name="цена___4___0___0___0" localSheetId="6">#REF!</definedName>
    <definedName name="цена___4___0___0___0" localSheetId="9">#REF!</definedName>
    <definedName name="цена___4___0___0___0" localSheetId="7">#REF!</definedName>
    <definedName name="цена___4___0___0___0" localSheetId="92">#REF!</definedName>
    <definedName name="цена___4___0___0___0" localSheetId="93">#REF!</definedName>
    <definedName name="цена___4___0___0___0" localSheetId="94">#REF!</definedName>
    <definedName name="цена___4___0___0___0" localSheetId="99">#REF!</definedName>
    <definedName name="цена___4___0___0___0" localSheetId="100">#REF!</definedName>
    <definedName name="цена___4___0___0___0" localSheetId="106">#REF!</definedName>
    <definedName name="цена___4___0___0___0">#REF!</definedName>
    <definedName name="цена___4___0___0___0___0" localSheetId="10">#REF!</definedName>
    <definedName name="цена___4___0___0___0___0" localSheetId="9">#REF!</definedName>
    <definedName name="цена___4___0___0___0___0">#REF!</definedName>
    <definedName name="цена___4___0___0___0___0_1" localSheetId="10">#REF!</definedName>
    <definedName name="цена___4___0___0___0___0_1" localSheetId="9">#REF!</definedName>
    <definedName name="цена___4___0___0___0___0_1">#REF!</definedName>
    <definedName name="цена___4___0___0___0_1" localSheetId="10">#REF!</definedName>
    <definedName name="цена___4___0___0___0_1" localSheetId="9">#REF!</definedName>
    <definedName name="цена___4___0___0___0_1">#REF!</definedName>
    <definedName name="цена___4___0___0___1" localSheetId="10">#REF!</definedName>
    <definedName name="цена___4___0___0___1" localSheetId="9">#REF!</definedName>
    <definedName name="цена___4___0___0___1">#REF!</definedName>
    <definedName name="цена___4___0___0___1_1" localSheetId="10">#REF!</definedName>
    <definedName name="цена___4___0___0___1_1" localSheetId="9">#REF!</definedName>
    <definedName name="цена___4___0___0___1_1">#REF!</definedName>
    <definedName name="цена___4___0___0___5" localSheetId="10">#REF!</definedName>
    <definedName name="цена___4___0___0___5" localSheetId="9">#REF!</definedName>
    <definedName name="цена___4___0___0___5">#REF!</definedName>
    <definedName name="цена___4___0___0___5_1" localSheetId="10">#REF!</definedName>
    <definedName name="цена___4___0___0___5_1" localSheetId="9">#REF!</definedName>
    <definedName name="цена___4___0___0___5_1">#REF!</definedName>
    <definedName name="цена___4___0___0_1" localSheetId="10">#REF!</definedName>
    <definedName name="цена___4___0___0_1" localSheetId="9">#REF!</definedName>
    <definedName name="цена___4___0___0_1">#REF!</definedName>
    <definedName name="цена___4___0___0_1_1" localSheetId="10">#REF!</definedName>
    <definedName name="цена___4___0___0_1_1" localSheetId="9">#REF!</definedName>
    <definedName name="цена___4___0___0_1_1">#REF!</definedName>
    <definedName name="цена___4___0___0_1_1_1" localSheetId="10">#REF!</definedName>
    <definedName name="цена___4___0___0_1_1_1" localSheetId="9">#REF!</definedName>
    <definedName name="цена___4___0___0_1_1_1">#REF!</definedName>
    <definedName name="цена___4___0___0_5" localSheetId="10">#REF!</definedName>
    <definedName name="цена___4___0___0_5" localSheetId="9">#REF!</definedName>
    <definedName name="цена___4___0___0_5">#REF!</definedName>
    <definedName name="цена___4___0___0_5_1" localSheetId="10">#REF!</definedName>
    <definedName name="цена___4___0___0_5_1" localSheetId="9">#REF!</definedName>
    <definedName name="цена___4___0___0_5_1">#REF!</definedName>
    <definedName name="цена___4___0___1" localSheetId="10">#REF!</definedName>
    <definedName name="цена___4___0___1" localSheetId="9">#REF!</definedName>
    <definedName name="цена___4___0___1">#REF!</definedName>
    <definedName name="цена___4___0___1_1" localSheetId="10">#REF!</definedName>
    <definedName name="цена___4___0___1_1" localSheetId="9">#REF!</definedName>
    <definedName name="цена___4___0___1_1">#REF!</definedName>
    <definedName name="цена___4___0___5">NA()</definedName>
    <definedName name="цена___4___0_1" localSheetId="10">#REF!</definedName>
    <definedName name="цена___4___0_1" localSheetId="9">#REF!</definedName>
    <definedName name="цена___4___0_1">#REF!</definedName>
    <definedName name="цена___4___0_1_1" localSheetId="10">#REF!</definedName>
    <definedName name="цена___4___0_1_1" localSheetId="9">#REF!</definedName>
    <definedName name="цена___4___0_1_1">#REF!</definedName>
    <definedName name="цена___4___0_1_1_1" localSheetId="10">#REF!</definedName>
    <definedName name="цена___4___0_1_1_1" localSheetId="9">#REF!</definedName>
    <definedName name="цена___4___0_1_1_1">#REF!</definedName>
    <definedName name="цена___4___0_3" localSheetId="10">#REF!</definedName>
    <definedName name="цена___4___0_3" localSheetId="9">#REF!</definedName>
    <definedName name="цена___4___0_3">#REF!</definedName>
    <definedName name="цена___4___0_3_1" localSheetId="10">#REF!</definedName>
    <definedName name="цена___4___0_3_1" localSheetId="9">#REF!</definedName>
    <definedName name="цена___4___0_3_1">#REF!</definedName>
    <definedName name="цена___4___0_5">NA()</definedName>
    <definedName name="цена___4___1" localSheetId="10">#REF!</definedName>
    <definedName name="цена___4___1" localSheetId="9">#REF!</definedName>
    <definedName name="цена___4___1">#REF!</definedName>
    <definedName name="цена___4___1_1" localSheetId="10">#REF!</definedName>
    <definedName name="цена___4___1_1" localSheetId="9">#REF!</definedName>
    <definedName name="цена___4___1_1">#REF!</definedName>
    <definedName name="цена___4___10" localSheetId="10">#REF!</definedName>
    <definedName name="цена___4___10" localSheetId="12">#REF!</definedName>
    <definedName name="цена___4___10" localSheetId="116">#REF!</definedName>
    <definedName name="цена___4___10" localSheetId="8">#REF!</definedName>
    <definedName name="цена___4___10" localSheetId="11">#REF!</definedName>
    <definedName name="цена___4___10" localSheetId="110">#REF!</definedName>
    <definedName name="цена___4___10" localSheetId="109">#REF!</definedName>
    <definedName name="цена___4___10" localSheetId="108">#REF!</definedName>
    <definedName name="цена___4___10" localSheetId="6">#REF!</definedName>
    <definedName name="цена___4___10" localSheetId="9">#REF!</definedName>
    <definedName name="цена___4___10" localSheetId="7">#REF!</definedName>
    <definedName name="цена___4___10" localSheetId="92">#REF!</definedName>
    <definedName name="цена___4___10" localSheetId="93">#REF!</definedName>
    <definedName name="цена___4___10" localSheetId="94">#REF!</definedName>
    <definedName name="цена___4___10" localSheetId="99">#REF!</definedName>
    <definedName name="цена___4___10" localSheetId="100">#REF!</definedName>
    <definedName name="цена___4___10" localSheetId="106">#REF!</definedName>
    <definedName name="цена___4___10">#REF!</definedName>
    <definedName name="цена___4___10_1" localSheetId="10">#REF!</definedName>
    <definedName name="цена___4___10_1" localSheetId="9">#REF!</definedName>
    <definedName name="цена___4___10_1">#REF!</definedName>
    <definedName name="цена___4___12" localSheetId="10">#REF!</definedName>
    <definedName name="цена___4___12" localSheetId="12">#REF!</definedName>
    <definedName name="цена___4___12" localSheetId="110">#REF!</definedName>
    <definedName name="цена___4___12" localSheetId="9">#REF!</definedName>
    <definedName name="цена___4___12">#REF!</definedName>
    <definedName name="цена___4___2" localSheetId="10">#REF!</definedName>
    <definedName name="цена___4___2" localSheetId="12">#REF!</definedName>
    <definedName name="цена___4___2" localSheetId="110">#REF!</definedName>
    <definedName name="цена___4___2" localSheetId="9">#REF!</definedName>
    <definedName name="цена___4___2">#REF!</definedName>
    <definedName name="цена___4___2_1" localSheetId="10">#REF!</definedName>
    <definedName name="цена___4___2_1" localSheetId="9">#REF!</definedName>
    <definedName name="цена___4___2_1">#REF!</definedName>
    <definedName name="цена___4___3" localSheetId="10">#REF!</definedName>
    <definedName name="цена___4___3" localSheetId="12">#REF!</definedName>
    <definedName name="цена___4___3" localSheetId="110">#REF!</definedName>
    <definedName name="цена___4___3" localSheetId="9">#REF!</definedName>
    <definedName name="цена___4___3">#REF!</definedName>
    <definedName name="цена___4___3_1" localSheetId="10">#REF!</definedName>
    <definedName name="цена___4___3_1" localSheetId="9">#REF!</definedName>
    <definedName name="цена___4___3_1">#REF!</definedName>
    <definedName name="цена___4___4" localSheetId="10">#REF!</definedName>
    <definedName name="цена___4___4" localSheetId="12">#REF!</definedName>
    <definedName name="цена___4___4" localSheetId="110">#REF!</definedName>
    <definedName name="цена___4___4" localSheetId="9">#REF!</definedName>
    <definedName name="цена___4___4">#REF!</definedName>
    <definedName name="цена___4___4_1" localSheetId="10">#REF!</definedName>
    <definedName name="цена___4___4_1" localSheetId="9">#REF!</definedName>
    <definedName name="цена___4___4_1">#REF!</definedName>
    <definedName name="цена___4___5" localSheetId="10">#REF!</definedName>
    <definedName name="цена___4___5" localSheetId="9">#REF!</definedName>
    <definedName name="цена___4___5">#REF!</definedName>
    <definedName name="цена___4___5_1" localSheetId="10">#REF!</definedName>
    <definedName name="цена___4___5_1" localSheetId="9">#REF!</definedName>
    <definedName name="цена___4___5_1">#REF!</definedName>
    <definedName name="цена___4___6" localSheetId="10">#REF!</definedName>
    <definedName name="цена___4___6" localSheetId="12">#REF!</definedName>
    <definedName name="цена___4___6" localSheetId="110">#REF!</definedName>
    <definedName name="цена___4___6" localSheetId="9">#REF!</definedName>
    <definedName name="цена___4___6">#REF!</definedName>
    <definedName name="цена___4___6_1" localSheetId="10">#REF!</definedName>
    <definedName name="цена___4___6_1" localSheetId="9">#REF!</definedName>
    <definedName name="цена___4___6_1">#REF!</definedName>
    <definedName name="цена___4___8" localSheetId="10">#REF!</definedName>
    <definedName name="цена___4___8" localSheetId="12">#REF!</definedName>
    <definedName name="цена___4___8" localSheetId="110">#REF!</definedName>
    <definedName name="цена___4___8" localSheetId="9">#REF!</definedName>
    <definedName name="цена___4___8">#REF!</definedName>
    <definedName name="цена___4___8_1" localSheetId="10">#REF!</definedName>
    <definedName name="цена___4___8_1" localSheetId="9">#REF!</definedName>
    <definedName name="цена___4___8_1">#REF!</definedName>
    <definedName name="цена___4_1" localSheetId="10">#REF!</definedName>
    <definedName name="цена___4_1" localSheetId="9">#REF!</definedName>
    <definedName name="цена___4_1">#REF!</definedName>
    <definedName name="цена___4_1_1" localSheetId="10">#REF!</definedName>
    <definedName name="цена___4_1_1" localSheetId="9">#REF!</definedName>
    <definedName name="цена___4_1_1">#REF!</definedName>
    <definedName name="цена___4_1_1_1" localSheetId="10">#REF!</definedName>
    <definedName name="цена___4_1_1_1" localSheetId="9">#REF!</definedName>
    <definedName name="цена___4_1_1_1">#REF!</definedName>
    <definedName name="цена___4_3" localSheetId="10">#REF!</definedName>
    <definedName name="цена___4_3" localSheetId="9">#REF!</definedName>
    <definedName name="цена___4_3">#REF!</definedName>
    <definedName name="цена___4_3_1" localSheetId="10">#REF!</definedName>
    <definedName name="цена___4_3_1" localSheetId="9">#REF!</definedName>
    <definedName name="цена___4_3_1">#REF!</definedName>
    <definedName name="цена___4_5" localSheetId="10">#REF!</definedName>
    <definedName name="цена___4_5" localSheetId="9">#REF!</definedName>
    <definedName name="цена___4_5">#REF!</definedName>
    <definedName name="цена___4_5_1" localSheetId="10">#REF!</definedName>
    <definedName name="цена___4_5_1" localSheetId="9">#REF!</definedName>
    <definedName name="цена___4_5_1">#REF!</definedName>
    <definedName name="цена___5">NA()</definedName>
    <definedName name="цена___5___0" localSheetId="10">#REF!</definedName>
    <definedName name="цена___5___0" localSheetId="12">#REF!</definedName>
    <definedName name="цена___5___0" localSheetId="116">#REF!</definedName>
    <definedName name="цена___5___0" localSheetId="8">#REF!</definedName>
    <definedName name="цена___5___0" localSheetId="11">#REF!</definedName>
    <definedName name="цена___5___0" localSheetId="110">#REF!</definedName>
    <definedName name="цена___5___0" localSheetId="109">#REF!</definedName>
    <definedName name="цена___5___0" localSheetId="108">#REF!</definedName>
    <definedName name="цена___5___0" localSheetId="6">#REF!</definedName>
    <definedName name="цена___5___0" localSheetId="9">#REF!</definedName>
    <definedName name="цена___5___0" localSheetId="7">#REF!</definedName>
    <definedName name="цена___5___0" localSheetId="92">#REF!</definedName>
    <definedName name="цена___5___0" localSheetId="93">#REF!</definedName>
    <definedName name="цена___5___0" localSheetId="94">#REF!</definedName>
    <definedName name="цена___5___0" localSheetId="99">#REF!</definedName>
    <definedName name="цена___5___0" localSheetId="100">#REF!</definedName>
    <definedName name="цена___5___0" localSheetId="106">#REF!</definedName>
    <definedName name="цена___5___0">#REF!</definedName>
    <definedName name="цена___5___0___0" localSheetId="10">#REF!</definedName>
    <definedName name="цена___5___0___0" localSheetId="12">#REF!</definedName>
    <definedName name="цена___5___0___0" localSheetId="116">#REF!</definedName>
    <definedName name="цена___5___0___0" localSheetId="8">#REF!</definedName>
    <definedName name="цена___5___0___0" localSheetId="11">#REF!</definedName>
    <definedName name="цена___5___0___0" localSheetId="110">#REF!</definedName>
    <definedName name="цена___5___0___0" localSheetId="109">#REF!</definedName>
    <definedName name="цена___5___0___0" localSheetId="108">#REF!</definedName>
    <definedName name="цена___5___0___0" localSheetId="6">#REF!</definedName>
    <definedName name="цена___5___0___0" localSheetId="9">#REF!</definedName>
    <definedName name="цена___5___0___0" localSheetId="7">#REF!</definedName>
    <definedName name="цена___5___0___0" localSheetId="92">#REF!</definedName>
    <definedName name="цена___5___0___0" localSheetId="93">#REF!</definedName>
    <definedName name="цена___5___0___0" localSheetId="94">#REF!</definedName>
    <definedName name="цена___5___0___0" localSheetId="99">#REF!</definedName>
    <definedName name="цена___5___0___0" localSheetId="100">#REF!</definedName>
    <definedName name="цена___5___0___0" localSheetId="106">#REF!</definedName>
    <definedName name="цена___5___0___0">#REF!</definedName>
    <definedName name="цена___5___0___0___0" localSheetId="10">#REF!</definedName>
    <definedName name="цена___5___0___0___0" localSheetId="12">#REF!</definedName>
    <definedName name="цена___5___0___0___0" localSheetId="116">#REF!</definedName>
    <definedName name="цена___5___0___0___0" localSheetId="110">#REF!</definedName>
    <definedName name="цена___5___0___0___0" localSheetId="109">#REF!</definedName>
    <definedName name="цена___5___0___0___0" localSheetId="108">#REF!</definedName>
    <definedName name="цена___5___0___0___0" localSheetId="9">#REF!</definedName>
    <definedName name="цена___5___0___0___0" localSheetId="92">#REF!</definedName>
    <definedName name="цена___5___0___0___0" localSheetId="93">#REF!</definedName>
    <definedName name="цена___5___0___0___0" localSheetId="94">#REF!</definedName>
    <definedName name="цена___5___0___0___0" localSheetId="99">#REF!</definedName>
    <definedName name="цена___5___0___0___0" localSheetId="100">#REF!</definedName>
    <definedName name="цена___5___0___0___0" localSheetId="106">#REF!</definedName>
    <definedName name="цена___5___0___0___0">#REF!</definedName>
    <definedName name="цена___5___0___0___0___0" localSheetId="10">#REF!</definedName>
    <definedName name="цена___5___0___0___0___0" localSheetId="9">#REF!</definedName>
    <definedName name="цена___5___0___0___0___0">#REF!</definedName>
    <definedName name="цена___5___0___0___0___0_1" localSheetId="10">#REF!</definedName>
    <definedName name="цена___5___0___0___0___0_1" localSheetId="9">#REF!</definedName>
    <definedName name="цена___5___0___0___0___0_1">#REF!</definedName>
    <definedName name="цена___5___0___0___0_1" localSheetId="10">#REF!</definedName>
    <definedName name="цена___5___0___0___0_1" localSheetId="9">#REF!</definedName>
    <definedName name="цена___5___0___0___0_1">#REF!</definedName>
    <definedName name="цена___5___0___0_1" localSheetId="10">#REF!</definedName>
    <definedName name="цена___5___0___0_1" localSheetId="9">#REF!</definedName>
    <definedName name="цена___5___0___0_1">#REF!</definedName>
    <definedName name="цена___5___0___1" localSheetId="10">#REF!</definedName>
    <definedName name="цена___5___0___1" localSheetId="9">#REF!</definedName>
    <definedName name="цена___5___0___1">#REF!</definedName>
    <definedName name="цена___5___0___1_1" localSheetId="10">#REF!</definedName>
    <definedName name="цена___5___0___1_1" localSheetId="9">#REF!</definedName>
    <definedName name="цена___5___0___1_1">#REF!</definedName>
    <definedName name="цена___5___0___5" localSheetId="10">#REF!</definedName>
    <definedName name="цена___5___0___5" localSheetId="9">#REF!</definedName>
    <definedName name="цена___5___0___5">#REF!</definedName>
    <definedName name="цена___5___0___5_1" localSheetId="10">#REF!</definedName>
    <definedName name="цена___5___0___5_1" localSheetId="9">#REF!</definedName>
    <definedName name="цена___5___0___5_1">#REF!</definedName>
    <definedName name="цена___5___0_1" localSheetId="10">#REF!</definedName>
    <definedName name="цена___5___0_1" localSheetId="9">#REF!</definedName>
    <definedName name="цена___5___0_1">#REF!</definedName>
    <definedName name="цена___5___0_1_1" localSheetId="10">#REF!</definedName>
    <definedName name="цена___5___0_1_1" localSheetId="9">#REF!</definedName>
    <definedName name="цена___5___0_1_1">#REF!</definedName>
    <definedName name="цена___5___0_1_1_1" localSheetId="10">#REF!</definedName>
    <definedName name="цена___5___0_1_1_1" localSheetId="9">#REF!</definedName>
    <definedName name="цена___5___0_1_1_1">#REF!</definedName>
    <definedName name="цена___5___0_3" localSheetId="10">#REF!</definedName>
    <definedName name="цена___5___0_3" localSheetId="9">#REF!</definedName>
    <definedName name="цена___5___0_3">#REF!</definedName>
    <definedName name="цена___5___0_3_1" localSheetId="10">#REF!</definedName>
    <definedName name="цена___5___0_3_1" localSheetId="9">#REF!</definedName>
    <definedName name="цена___5___0_3_1">#REF!</definedName>
    <definedName name="цена___5___0_5" localSheetId="10">#REF!</definedName>
    <definedName name="цена___5___0_5" localSheetId="9">#REF!</definedName>
    <definedName name="цена___5___0_5">#REF!</definedName>
    <definedName name="цена___5___0_5_1" localSheetId="10">#REF!</definedName>
    <definedName name="цена___5___0_5_1" localSheetId="9">#REF!</definedName>
    <definedName name="цена___5___0_5_1">#REF!</definedName>
    <definedName name="цена___5___1" localSheetId="10">#REF!</definedName>
    <definedName name="цена___5___1" localSheetId="9">#REF!</definedName>
    <definedName name="цена___5___1">#REF!</definedName>
    <definedName name="цена___5___1_1" localSheetId="10">#REF!</definedName>
    <definedName name="цена___5___1_1" localSheetId="9">#REF!</definedName>
    <definedName name="цена___5___1_1">#REF!</definedName>
    <definedName name="цена___5___3">NA()</definedName>
    <definedName name="цена___5___5">NA()</definedName>
    <definedName name="цена___5_1" localSheetId="10">#REF!</definedName>
    <definedName name="цена___5_1" localSheetId="9">#REF!</definedName>
    <definedName name="цена___5_1">#REF!</definedName>
    <definedName name="цена___5_1_1" localSheetId="10">#REF!</definedName>
    <definedName name="цена___5_1_1" localSheetId="9">#REF!</definedName>
    <definedName name="цена___5_1_1">#REF!</definedName>
    <definedName name="цена___5_1_1_1" localSheetId="10">#REF!</definedName>
    <definedName name="цена___5_1_1_1" localSheetId="9">#REF!</definedName>
    <definedName name="цена___5_1_1_1">#REF!</definedName>
    <definedName name="цена___5_3">NA()</definedName>
    <definedName name="цена___5_5">NA()</definedName>
    <definedName name="цена___6">NA()</definedName>
    <definedName name="цена___6___0" localSheetId="10">#REF!</definedName>
    <definedName name="цена___6___0" localSheetId="12">#REF!</definedName>
    <definedName name="цена___6___0" localSheetId="116">#REF!</definedName>
    <definedName name="цена___6___0" localSheetId="8">#REF!</definedName>
    <definedName name="цена___6___0" localSheetId="11">#REF!</definedName>
    <definedName name="цена___6___0" localSheetId="110">#REF!</definedName>
    <definedName name="цена___6___0" localSheetId="109">#REF!</definedName>
    <definedName name="цена___6___0" localSheetId="108">#REF!</definedName>
    <definedName name="цена___6___0" localSheetId="6">#REF!</definedName>
    <definedName name="цена___6___0" localSheetId="9">#REF!</definedName>
    <definedName name="цена___6___0" localSheetId="7">#REF!</definedName>
    <definedName name="цена___6___0" localSheetId="92">#REF!</definedName>
    <definedName name="цена___6___0" localSheetId="93">#REF!</definedName>
    <definedName name="цена___6___0" localSheetId="94">#REF!</definedName>
    <definedName name="цена___6___0" localSheetId="99">#REF!</definedName>
    <definedName name="цена___6___0" localSheetId="100">#REF!</definedName>
    <definedName name="цена___6___0" localSheetId="106">#REF!</definedName>
    <definedName name="цена___6___0">#REF!</definedName>
    <definedName name="цена___6___0___0" localSheetId="10">#REF!</definedName>
    <definedName name="цена___6___0___0" localSheetId="12">#REF!</definedName>
    <definedName name="цена___6___0___0" localSheetId="116">#REF!</definedName>
    <definedName name="цена___6___0___0" localSheetId="8">#REF!</definedName>
    <definedName name="цена___6___0___0" localSheetId="11">#REF!</definedName>
    <definedName name="цена___6___0___0" localSheetId="110">#REF!</definedName>
    <definedName name="цена___6___0___0" localSheetId="109">#REF!</definedName>
    <definedName name="цена___6___0___0" localSheetId="108">#REF!</definedName>
    <definedName name="цена___6___0___0" localSheetId="6">#REF!</definedName>
    <definedName name="цена___6___0___0" localSheetId="9">#REF!</definedName>
    <definedName name="цена___6___0___0" localSheetId="7">#REF!</definedName>
    <definedName name="цена___6___0___0" localSheetId="92">#REF!</definedName>
    <definedName name="цена___6___0___0" localSheetId="93">#REF!</definedName>
    <definedName name="цена___6___0___0" localSheetId="94">#REF!</definedName>
    <definedName name="цена___6___0___0" localSheetId="99">#REF!</definedName>
    <definedName name="цена___6___0___0" localSheetId="100">#REF!</definedName>
    <definedName name="цена___6___0___0" localSheetId="106">#REF!</definedName>
    <definedName name="цена___6___0___0">#REF!</definedName>
    <definedName name="цена___6___0___0___0" localSheetId="10">#REF!</definedName>
    <definedName name="цена___6___0___0___0" localSheetId="12">#REF!</definedName>
    <definedName name="цена___6___0___0___0" localSheetId="116">#REF!</definedName>
    <definedName name="цена___6___0___0___0" localSheetId="110">#REF!</definedName>
    <definedName name="цена___6___0___0___0" localSheetId="109">#REF!</definedName>
    <definedName name="цена___6___0___0___0" localSheetId="108">#REF!</definedName>
    <definedName name="цена___6___0___0___0" localSheetId="9">#REF!</definedName>
    <definedName name="цена___6___0___0___0" localSheetId="92">#REF!</definedName>
    <definedName name="цена___6___0___0___0" localSheetId="93">#REF!</definedName>
    <definedName name="цена___6___0___0___0" localSheetId="94">#REF!</definedName>
    <definedName name="цена___6___0___0___0" localSheetId="99">#REF!</definedName>
    <definedName name="цена___6___0___0___0" localSheetId="100">#REF!</definedName>
    <definedName name="цена___6___0___0___0" localSheetId="106">#REF!</definedName>
    <definedName name="цена___6___0___0___0">#REF!</definedName>
    <definedName name="цена___6___0___0___0___0" localSheetId="10">#REF!</definedName>
    <definedName name="цена___6___0___0___0___0" localSheetId="9">#REF!</definedName>
    <definedName name="цена___6___0___0___0___0">#REF!</definedName>
    <definedName name="цена___6___0___0___0___0_1" localSheetId="10">#REF!</definedName>
    <definedName name="цена___6___0___0___0___0_1" localSheetId="9">#REF!</definedName>
    <definedName name="цена___6___0___0___0___0_1">#REF!</definedName>
    <definedName name="цена___6___0___0___0_1" localSheetId="10">#REF!</definedName>
    <definedName name="цена___6___0___0___0_1" localSheetId="9">#REF!</definedName>
    <definedName name="цена___6___0___0___0_1">#REF!</definedName>
    <definedName name="цена___6___0___0_1" localSheetId="10">#REF!</definedName>
    <definedName name="цена___6___0___0_1" localSheetId="9">#REF!</definedName>
    <definedName name="цена___6___0___0_1">#REF!</definedName>
    <definedName name="цена___6___0___1" localSheetId="10">#REF!</definedName>
    <definedName name="цена___6___0___1" localSheetId="9">#REF!</definedName>
    <definedName name="цена___6___0___1">#REF!</definedName>
    <definedName name="цена___6___0___1_1" localSheetId="10">#REF!</definedName>
    <definedName name="цена___6___0___1_1" localSheetId="9">#REF!</definedName>
    <definedName name="цена___6___0___1_1">#REF!</definedName>
    <definedName name="цена___6___0___5" localSheetId="10">#REF!</definedName>
    <definedName name="цена___6___0___5" localSheetId="9">#REF!</definedName>
    <definedName name="цена___6___0___5">#REF!</definedName>
    <definedName name="цена___6___0___5_1" localSheetId="10">#REF!</definedName>
    <definedName name="цена___6___0___5_1" localSheetId="9">#REF!</definedName>
    <definedName name="цена___6___0___5_1">#REF!</definedName>
    <definedName name="цена___6___0_1" localSheetId="10">#REF!</definedName>
    <definedName name="цена___6___0_1" localSheetId="9">#REF!</definedName>
    <definedName name="цена___6___0_1">#REF!</definedName>
    <definedName name="цена___6___0_1_1" localSheetId="10">#REF!</definedName>
    <definedName name="цена___6___0_1_1" localSheetId="9">#REF!</definedName>
    <definedName name="цена___6___0_1_1">#REF!</definedName>
    <definedName name="цена___6___0_1_1_1" localSheetId="10">#REF!</definedName>
    <definedName name="цена___6___0_1_1_1" localSheetId="9">#REF!</definedName>
    <definedName name="цена___6___0_1_1_1">#REF!</definedName>
    <definedName name="цена___6___0_3" localSheetId="10">#REF!</definedName>
    <definedName name="цена___6___0_3" localSheetId="9">#REF!</definedName>
    <definedName name="цена___6___0_3">#REF!</definedName>
    <definedName name="цена___6___0_3_1" localSheetId="10">#REF!</definedName>
    <definedName name="цена___6___0_3_1" localSheetId="9">#REF!</definedName>
    <definedName name="цена___6___0_3_1">#REF!</definedName>
    <definedName name="цена___6___0_5" localSheetId="10">#REF!</definedName>
    <definedName name="цена___6___0_5" localSheetId="9">#REF!</definedName>
    <definedName name="цена___6___0_5">#REF!</definedName>
    <definedName name="цена___6___0_5_1" localSheetId="10">#REF!</definedName>
    <definedName name="цена___6___0_5_1" localSheetId="9">#REF!</definedName>
    <definedName name="цена___6___0_5_1">#REF!</definedName>
    <definedName name="цена___6___1" localSheetId="10">#REF!</definedName>
    <definedName name="цена___6___1" localSheetId="12">#REF!</definedName>
    <definedName name="цена___6___1" localSheetId="110">#REF!</definedName>
    <definedName name="цена___6___1" localSheetId="9">#REF!</definedName>
    <definedName name="цена___6___1">#REF!</definedName>
    <definedName name="цена___6___10" localSheetId="10">#REF!</definedName>
    <definedName name="цена___6___10" localSheetId="12">#REF!</definedName>
    <definedName name="цена___6___10" localSheetId="110">#REF!</definedName>
    <definedName name="цена___6___10" localSheetId="9">#REF!</definedName>
    <definedName name="цена___6___10">#REF!</definedName>
    <definedName name="цена___6___10_1" localSheetId="10">#REF!</definedName>
    <definedName name="цена___6___10_1" localSheetId="9">#REF!</definedName>
    <definedName name="цена___6___10_1">#REF!</definedName>
    <definedName name="цена___6___12" localSheetId="10">#REF!</definedName>
    <definedName name="цена___6___12" localSheetId="12">#REF!</definedName>
    <definedName name="цена___6___12" localSheetId="110">#REF!</definedName>
    <definedName name="цена___6___12" localSheetId="9">#REF!</definedName>
    <definedName name="цена___6___12">#REF!</definedName>
    <definedName name="цена___6___2" localSheetId="10">#REF!</definedName>
    <definedName name="цена___6___2" localSheetId="12">#REF!</definedName>
    <definedName name="цена___6___2" localSheetId="110">#REF!</definedName>
    <definedName name="цена___6___2" localSheetId="9">#REF!</definedName>
    <definedName name="цена___6___2">#REF!</definedName>
    <definedName name="цена___6___2_1" localSheetId="10">#REF!</definedName>
    <definedName name="цена___6___2_1" localSheetId="9">#REF!</definedName>
    <definedName name="цена___6___2_1">#REF!</definedName>
    <definedName name="цена___6___4" localSheetId="10">#REF!</definedName>
    <definedName name="цена___6___4" localSheetId="12">#REF!</definedName>
    <definedName name="цена___6___4" localSheetId="110">#REF!</definedName>
    <definedName name="цена___6___4" localSheetId="9">#REF!</definedName>
    <definedName name="цена___6___4">#REF!</definedName>
    <definedName name="цена___6___4_1" localSheetId="10">#REF!</definedName>
    <definedName name="цена___6___4_1" localSheetId="9">#REF!</definedName>
    <definedName name="цена___6___4_1">#REF!</definedName>
    <definedName name="цена___6___5">NA()</definedName>
    <definedName name="цена___6___6" localSheetId="10">#REF!</definedName>
    <definedName name="цена___6___6" localSheetId="12">#REF!</definedName>
    <definedName name="цена___6___6" localSheetId="8">#REF!</definedName>
    <definedName name="цена___6___6" localSheetId="11">#REF!</definedName>
    <definedName name="цена___6___6" localSheetId="110">#REF!</definedName>
    <definedName name="цена___6___6" localSheetId="6">#REF!</definedName>
    <definedName name="цена___6___6" localSheetId="9">#REF!</definedName>
    <definedName name="цена___6___6" localSheetId="7">#REF!</definedName>
    <definedName name="цена___6___6">#REF!</definedName>
    <definedName name="цена___6___6_1" localSheetId="10">#REF!</definedName>
    <definedName name="цена___6___6_1" localSheetId="9">#REF!</definedName>
    <definedName name="цена___6___6_1">#REF!</definedName>
    <definedName name="цена___6___8" localSheetId="10">#REF!</definedName>
    <definedName name="цена___6___8" localSheetId="12">#REF!</definedName>
    <definedName name="цена___6___8" localSheetId="110">#REF!</definedName>
    <definedName name="цена___6___8" localSheetId="9">#REF!</definedName>
    <definedName name="цена___6___8">#REF!</definedName>
    <definedName name="цена___6___8_1" localSheetId="10">#REF!</definedName>
    <definedName name="цена___6___8_1" localSheetId="9">#REF!</definedName>
    <definedName name="цена___6___8_1">#REF!</definedName>
    <definedName name="цена___6_1" localSheetId="10">#REF!</definedName>
    <definedName name="цена___6_1" localSheetId="9">#REF!</definedName>
    <definedName name="цена___6_1">#REF!</definedName>
    <definedName name="цена___6_1_1" localSheetId="10">#REF!</definedName>
    <definedName name="цена___6_1_1" localSheetId="9">#REF!</definedName>
    <definedName name="цена___6_1_1">#REF!</definedName>
    <definedName name="цена___6_1_1_1" localSheetId="10">#REF!</definedName>
    <definedName name="цена___6_1_1_1" localSheetId="9">#REF!</definedName>
    <definedName name="цена___6_1_1_1">#REF!</definedName>
    <definedName name="цена___6_3" localSheetId="10">#REF!</definedName>
    <definedName name="цена___6_3" localSheetId="9">#REF!</definedName>
    <definedName name="цена___6_3">#REF!</definedName>
    <definedName name="цена___6_3_1" localSheetId="10">#REF!</definedName>
    <definedName name="цена___6_3_1" localSheetId="9">#REF!</definedName>
    <definedName name="цена___6_3_1">#REF!</definedName>
    <definedName name="цена___6_5">NA()</definedName>
    <definedName name="цена___7" localSheetId="10">#REF!</definedName>
    <definedName name="цена___7" localSheetId="12">#REF!</definedName>
    <definedName name="цена___7" localSheetId="8">#REF!</definedName>
    <definedName name="цена___7" localSheetId="11">#REF!</definedName>
    <definedName name="цена___7" localSheetId="110">#REF!</definedName>
    <definedName name="цена___7" localSheetId="6">#REF!</definedName>
    <definedName name="цена___7" localSheetId="9">#REF!</definedName>
    <definedName name="цена___7" localSheetId="7">#REF!</definedName>
    <definedName name="цена___7">#REF!</definedName>
    <definedName name="цена___7___0" localSheetId="10">#REF!</definedName>
    <definedName name="цена___7___0" localSheetId="12">#REF!</definedName>
    <definedName name="цена___7___0" localSheetId="8">#REF!</definedName>
    <definedName name="цена___7___0" localSheetId="11">#REF!</definedName>
    <definedName name="цена___7___0" localSheetId="110">#REF!</definedName>
    <definedName name="цена___7___0" localSheetId="6">#REF!</definedName>
    <definedName name="цена___7___0" localSheetId="9">#REF!</definedName>
    <definedName name="цена___7___0" localSheetId="7">#REF!</definedName>
    <definedName name="цена___7___0">#REF!</definedName>
    <definedName name="цена___7___10" localSheetId="10">#REF!</definedName>
    <definedName name="цена___7___10" localSheetId="12">#REF!</definedName>
    <definedName name="цена___7___10" localSheetId="110">#REF!</definedName>
    <definedName name="цена___7___10" localSheetId="9">#REF!</definedName>
    <definedName name="цена___7___10">#REF!</definedName>
    <definedName name="цена___7___2" localSheetId="10">#REF!</definedName>
    <definedName name="цена___7___2" localSheetId="12">#REF!</definedName>
    <definedName name="цена___7___2" localSheetId="110">#REF!</definedName>
    <definedName name="цена___7___2" localSheetId="9">#REF!</definedName>
    <definedName name="цена___7___2">#REF!</definedName>
    <definedName name="цена___7___4" localSheetId="10">#REF!</definedName>
    <definedName name="цена___7___4" localSheetId="12">#REF!</definedName>
    <definedName name="цена___7___4" localSheetId="110">#REF!</definedName>
    <definedName name="цена___7___4" localSheetId="9">#REF!</definedName>
    <definedName name="цена___7___4">#REF!</definedName>
    <definedName name="цена___7___6" localSheetId="10">#REF!</definedName>
    <definedName name="цена___7___6" localSheetId="12">#REF!</definedName>
    <definedName name="цена___7___6" localSheetId="110">#REF!</definedName>
    <definedName name="цена___7___6" localSheetId="9">#REF!</definedName>
    <definedName name="цена___7___6">#REF!</definedName>
    <definedName name="цена___7___8" localSheetId="10">#REF!</definedName>
    <definedName name="цена___7___8" localSheetId="12">#REF!</definedName>
    <definedName name="цена___7___8" localSheetId="110">#REF!</definedName>
    <definedName name="цена___7___8" localSheetId="9">#REF!</definedName>
    <definedName name="цена___7___8">#REF!</definedName>
    <definedName name="цена___7_1" localSheetId="10">#REF!</definedName>
    <definedName name="цена___7_1" localSheetId="9">#REF!</definedName>
    <definedName name="цена___7_1">#REF!</definedName>
    <definedName name="цена___8" localSheetId="10">#REF!</definedName>
    <definedName name="цена___8" localSheetId="12">#REF!</definedName>
    <definedName name="цена___8" localSheetId="110">#REF!</definedName>
    <definedName name="цена___8" localSheetId="9">#REF!</definedName>
    <definedName name="цена___8">#REF!</definedName>
    <definedName name="цена___8___0" localSheetId="10">#REF!</definedName>
    <definedName name="цена___8___0" localSheetId="12">#REF!</definedName>
    <definedName name="цена___8___0" localSheetId="110">#REF!</definedName>
    <definedName name="цена___8___0" localSheetId="9">#REF!</definedName>
    <definedName name="цена___8___0">#REF!</definedName>
    <definedName name="цена___8___0___0" localSheetId="10">#REF!</definedName>
    <definedName name="цена___8___0___0" localSheetId="12">#REF!</definedName>
    <definedName name="цена___8___0___0" localSheetId="110">#REF!</definedName>
    <definedName name="цена___8___0___0" localSheetId="9">#REF!</definedName>
    <definedName name="цена___8___0___0">#REF!</definedName>
    <definedName name="цена___8___0___0___0" localSheetId="10">#REF!</definedName>
    <definedName name="цена___8___0___0___0" localSheetId="12">#REF!</definedName>
    <definedName name="цена___8___0___0___0" localSheetId="110">#REF!</definedName>
    <definedName name="цена___8___0___0___0" localSheetId="9">#REF!</definedName>
    <definedName name="цена___8___0___0___0">#REF!</definedName>
    <definedName name="цена___8___0___0___0___0" localSheetId="10">#REF!</definedName>
    <definedName name="цена___8___0___0___0___0" localSheetId="9">#REF!</definedName>
    <definedName name="цена___8___0___0___0___0">#REF!</definedName>
    <definedName name="цена___8___0___0___0___0_1" localSheetId="10">#REF!</definedName>
    <definedName name="цена___8___0___0___0___0_1" localSheetId="9">#REF!</definedName>
    <definedName name="цена___8___0___0___0___0_1">#REF!</definedName>
    <definedName name="цена___8___0___0___0_1" localSheetId="10">#REF!</definedName>
    <definedName name="цена___8___0___0___0_1" localSheetId="9">#REF!</definedName>
    <definedName name="цена___8___0___0___0_1">#REF!</definedName>
    <definedName name="цена___8___0___0_1" localSheetId="10">#REF!</definedName>
    <definedName name="цена___8___0___0_1" localSheetId="9">#REF!</definedName>
    <definedName name="цена___8___0___0_1">#REF!</definedName>
    <definedName name="цена___8___0___1" localSheetId="10">#REF!</definedName>
    <definedName name="цена___8___0___1" localSheetId="9">#REF!</definedName>
    <definedName name="цена___8___0___1">#REF!</definedName>
    <definedName name="цена___8___0___1_1" localSheetId="10">#REF!</definedName>
    <definedName name="цена___8___0___1_1" localSheetId="9">#REF!</definedName>
    <definedName name="цена___8___0___1_1">#REF!</definedName>
    <definedName name="цена___8___0___5" localSheetId="10">#REF!</definedName>
    <definedName name="цена___8___0___5" localSheetId="9">#REF!</definedName>
    <definedName name="цена___8___0___5">#REF!</definedName>
    <definedName name="цена___8___0___5_1" localSheetId="10">#REF!</definedName>
    <definedName name="цена___8___0___5_1" localSheetId="9">#REF!</definedName>
    <definedName name="цена___8___0___5_1">#REF!</definedName>
    <definedName name="цена___8___0_1" localSheetId="10">#REF!</definedName>
    <definedName name="цена___8___0_1" localSheetId="9">#REF!</definedName>
    <definedName name="цена___8___0_1">#REF!</definedName>
    <definedName name="цена___8___0_1_1" localSheetId="10">#REF!</definedName>
    <definedName name="цена___8___0_1_1" localSheetId="9">#REF!</definedName>
    <definedName name="цена___8___0_1_1">#REF!</definedName>
    <definedName name="цена___8___0_1_1_1" localSheetId="10">#REF!</definedName>
    <definedName name="цена___8___0_1_1_1" localSheetId="9">#REF!</definedName>
    <definedName name="цена___8___0_1_1_1">#REF!</definedName>
    <definedName name="цена___8___0_3" localSheetId="10">#REF!</definedName>
    <definedName name="цена___8___0_3" localSheetId="9">#REF!</definedName>
    <definedName name="цена___8___0_3">#REF!</definedName>
    <definedName name="цена___8___0_3_1" localSheetId="10">#REF!</definedName>
    <definedName name="цена___8___0_3_1" localSheetId="9">#REF!</definedName>
    <definedName name="цена___8___0_3_1">#REF!</definedName>
    <definedName name="цена___8___0_5" localSheetId="10">#REF!</definedName>
    <definedName name="цена___8___0_5" localSheetId="9">#REF!</definedName>
    <definedName name="цена___8___0_5">#REF!</definedName>
    <definedName name="цена___8___0_5_1" localSheetId="10">#REF!</definedName>
    <definedName name="цена___8___0_5_1" localSheetId="9">#REF!</definedName>
    <definedName name="цена___8___0_5_1">#REF!</definedName>
    <definedName name="цена___8___1" localSheetId="10">#REF!</definedName>
    <definedName name="цена___8___1" localSheetId="12">#REF!</definedName>
    <definedName name="цена___8___1" localSheetId="110">#REF!</definedName>
    <definedName name="цена___8___1" localSheetId="9">#REF!</definedName>
    <definedName name="цена___8___1">#REF!</definedName>
    <definedName name="цена___8___10" localSheetId="10">#REF!</definedName>
    <definedName name="цена___8___10" localSheetId="12">#REF!</definedName>
    <definedName name="цена___8___10" localSheetId="110">#REF!</definedName>
    <definedName name="цена___8___10" localSheetId="9">#REF!</definedName>
    <definedName name="цена___8___10">#REF!</definedName>
    <definedName name="цена___8___10_1" localSheetId="10">#REF!</definedName>
    <definedName name="цена___8___10_1" localSheetId="9">#REF!</definedName>
    <definedName name="цена___8___10_1">#REF!</definedName>
    <definedName name="цена___8___12" localSheetId="10">#REF!</definedName>
    <definedName name="цена___8___12" localSheetId="12">#REF!</definedName>
    <definedName name="цена___8___12" localSheetId="110">#REF!</definedName>
    <definedName name="цена___8___12" localSheetId="9">#REF!</definedName>
    <definedName name="цена___8___12">#REF!</definedName>
    <definedName name="цена___8___2" localSheetId="10">#REF!</definedName>
    <definedName name="цена___8___2" localSheetId="12">#REF!</definedName>
    <definedName name="цена___8___2" localSheetId="110">#REF!</definedName>
    <definedName name="цена___8___2" localSheetId="9">#REF!</definedName>
    <definedName name="цена___8___2">#REF!</definedName>
    <definedName name="цена___8___2_1" localSheetId="10">#REF!</definedName>
    <definedName name="цена___8___2_1" localSheetId="9">#REF!</definedName>
    <definedName name="цена___8___2_1">#REF!</definedName>
    <definedName name="цена___8___4" localSheetId="10">#REF!</definedName>
    <definedName name="цена___8___4" localSheetId="12">#REF!</definedName>
    <definedName name="цена___8___4" localSheetId="110">#REF!</definedName>
    <definedName name="цена___8___4" localSheetId="9">#REF!</definedName>
    <definedName name="цена___8___4">#REF!</definedName>
    <definedName name="цена___8___4_1" localSheetId="10">#REF!</definedName>
    <definedName name="цена___8___4_1" localSheetId="9">#REF!</definedName>
    <definedName name="цена___8___4_1">#REF!</definedName>
    <definedName name="цена___8___5" localSheetId="10">#REF!</definedName>
    <definedName name="цена___8___5" localSheetId="9">#REF!</definedName>
    <definedName name="цена___8___5">#REF!</definedName>
    <definedName name="цена___8___5_1" localSheetId="10">#REF!</definedName>
    <definedName name="цена___8___5_1" localSheetId="9">#REF!</definedName>
    <definedName name="цена___8___5_1">#REF!</definedName>
    <definedName name="цена___8___6" localSheetId="10">#REF!</definedName>
    <definedName name="цена___8___6" localSheetId="12">#REF!</definedName>
    <definedName name="цена___8___6" localSheetId="110">#REF!</definedName>
    <definedName name="цена___8___6" localSheetId="9">#REF!</definedName>
    <definedName name="цена___8___6">#REF!</definedName>
    <definedName name="цена___8___6_1" localSheetId="10">#REF!</definedName>
    <definedName name="цена___8___6_1" localSheetId="9">#REF!</definedName>
    <definedName name="цена___8___6_1">#REF!</definedName>
    <definedName name="цена___8___8" localSheetId="10">#REF!</definedName>
    <definedName name="цена___8___8" localSheetId="12">#REF!</definedName>
    <definedName name="цена___8___8" localSheetId="110">#REF!</definedName>
    <definedName name="цена___8___8" localSheetId="9">#REF!</definedName>
    <definedName name="цена___8___8">#REF!</definedName>
    <definedName name="цена___8___8_1" localSheetId="10">#REF!</definedName>
    <definedName name="цена___8___8_1" localSheetId="9">#REF!</definedName>
    <definedName name="цена___8___8_1">#REF!</definedName>
    <definedName name="цена___8_1" localSheetId="10">#REF!</definedName>
    <definedName name="цена___8_1" localSheetId="9">#REF!</definedName>
    <definedName name="цена___8_1">#REF!</definedName>
    <definedName name="цена___8_1_1" localSheetId="10">#REF!</definedName>
    <definedName name="цена___8_1_1" localSheetId="9">#REF!</definedName>
    <definedName name="цена___8_1_1">#REF!</definedName>
    <definedName name="цена___8_1_1_1" localSheetId="10">#REF!</definedName>
    <definedName name="цена___8_1_1_1" localSheetId="9">#REF!</definedName>
    <definedName name="цена___8_1_1_1">#REF!</definedName>
    <definedName name="цена___8_3" localSheetId="10">#REF!</definedName>
    <definedName name="цена___8_3" localSheetId="9">#REF!</definedName>
    <definedName name="цена___8_3">#REF!</definedName>
    <definedName name="цена___8_3_1" localSheetId="10">#REF!</definedName>
    <definedName name="цена___8_3_1" localSheetId="9">#REF!</definedName>
    <definedName name="цена___8_3_1">#REF!</definedName>
    <definedName name="цена___8_5" localSheetId="10">#REF!</definedName>
    <definedName name="цена___8_5" localSheetId="9">#REF!</definedName>
    <definedName name="цена___8_5">#REF!</definedName>
    <definedName name="цена___8_5_1" localSheetId="10">#REF!</definedName>
    <definedName name="цена___8_5_1" localSheetId="9">#REF!</definedName>
    <definedName name="цена___8_5_1">#REF!</definedName>
    <definedName name="цена___9" localSheetId="10">#REF!</definedName>
    <definedName name="цена___9" localSheetId="12">#REF!</definedName>
    <definedName name="цена___9" localSheetId="110">#REF!</definedName>
    <definedName name="цена___9" localSheetId="9">#REF!</definedName>
    <definedName name="цена___9">#REF!</definedName>
    <definedName name="цена___9___0" localSheetId="10">#REF!</definedName>
    <definedName name="цена___9___0" localSheetId="12">#REF!</definedName>
    <definedName name="цена___9___0" localSheetId="110">#REF!</definedName>
    <definedName name="цена___9___0" localSheetId="9">#REF!</definedName>
    <definedName name="цена___9___0">#REF!</definedName>
    <definedName name="цена___9___0___0" localSheetId="10">#REF!</definedName>
    <definedName name="цена___9___0___0" localSheetId="12">#REF!</definedName>
    <definedName name="цена___9___0___0" localSheetId="110">#REF!</definedName>
    <definedName name="цена___9___0___0" localSheetId="9">#REF!</definedName>
    <definedName name="цена___9___0___0">#REF!</definedName>
    <definedName name="цена___9___0___0___0" localSheetId="10">#REF!</definedName>
    <definedName name="цена___9___0___0___0" localSheetId="12">#REF!</definedName>
    <definedName name="цена___9___0___0___0" localSheetId="110">#REF!</definedName>
    <definedName name="цена___9___0___0___0" localSheetId="9">#REF!</definedName>
    <definedName name="цена___9___0___0___0">#REF!</definedName>
    <definedName name="цена___9___0___0___0___0" localSheetId="10">#REF!</definedName>
    <definedName name="цена___9___0___0___0___0" localSheetId="9">#REF!</definedName>
    <definedName name="цена___9___0___0___0___0">#REF!</definedName>
    <definedName name="цена___9___0___0___0___0_1" localSheetId="10">#REF!</definedName>
    <definedName name="цена___9___0___0___0___0_1" localSheetId="9">#REF!</definedName>
    <definedName name="цена___9___0___0___0___0_1">#REF!</definedName>
    <definedName name="цена___9___0___0___0_1" localSheetId="10">#REF!</definedName>
    <definedName name="цена___9___0___0___0_1" localSheetId="9">#REF!</definedName>
    <definedName name="цена___9___0___0___0_1">#REF!</definedName>
    <definedName name="цена___9___0___0_1" localSheetId="10">#REF!</definedName>
    <definedName name="цена___9___0___0_1" localSheetId="9">#REF!</definedName>
    <definedName name="цена___9___0___0_1">#REF!</definedName>
    <definedName name="цена___9___0___5" localSheetId="10">#REF!</definedName>
    <definedName name="цена___9___0___5" localSheetId="9">#REF!</definedName>
    <definedName name="цена___9___0___5">#REF!</definedName>
    <definedName name="цена___9___0___5_1" localSheetId="10">#REF!</definedName>
    <definedName name="цена___9___0___5_1" localSheetId="9">#REF!</definedName>
    <definedName name="цена___9___0___5_1">#REF!</definedName>
    <definedName name="цена___9___0_1" localSheetId="10">#REF!</definedName>
    <definedName name="цена___9___0_1" localSheetId="9">#REF!</definedName>
    <definedName name="цена___9___0_1">#REF!</definedName>
    <definedName name="цена___9___0_5" localSheetId="10">#REF!</definedName>
    <definedName name="цена___9___0_5" localSheetId="9">#REF!</definedName>
    <definedName name="цена___9___0_5">#REF!</definedName>
    <definedName name="цена___9___0_5_1" localSheetId="10">#REF!</definedName>
    <definedName name="цена___9___0_5_1" localSheetId="9">#REF!</definedName>
    <definedName name="цена___9___0_5_1">#REF!</definedName>
    <definedName name="цена___9___10" localSheetId="10">#REF!</definedName>
    <definedName name="цена___9___10" localSheetId="12">#REF!</definedName>
    <definedName name="цена___9___10" localSheetId="110">#REF!</definedName>
    <definedName name="цена___9___10" localSheetId="9">#REF!</definedName>
    <definedName name="цена___9___10">#REF!</definedName>
    <definedName name="цена___9___2" localSheetId="10">#REF!</definedName>
    <definedName name="цена___9___2" localSheetId="12">#REF!</definedName>
    <definedName name="цена___9___2" localSheetId="110">#REF!</definedName>
    <definedName name="цена___9___2" localSheetId="9">#REF!</definedName>
    <definedName name="цена___9___2">#REF!</definedName>
    <definedName name="цена___9___4" localSheetId="10">#REF!</definedName>
    <definedName name="цена___9___4" localSheetId="12">#REF!</definedName>
    <definedName name="цена___9___4" localSheetId="110">#REF!</definedName>
    <definedName name="цена___9___4" localSheetId="9">#REF!</definedName>
    <definedName name="цена___9___4">#REF!</definedName>
    <definedName name="цена___9___5" localSheetId="10">#REF!</definedName>
    <definedName name="цена___9___5" localSheetId="9">#REF!</definedName>
    <definedName name="цена___9___5">#REF!</definedName>
    <definedName name="цена___9___5_1" localSheetId="10">#REF!</definedName>
    <definedName name="цена___9___5_1" localSheetId="9">#REF!</definedName>
    <definedName name="цена___9___5_1">#REF!</definedName>
    <definedName name="цена___9___6" localSheetId="10">#REF!</definedName>
    <definedName name="цена___9___6" localSheetId="12">#REF!</definedName>
    <definedName name="цена___9___6" localSheetId="110">#REF!</definedName>
    <definedName name="цена___9___6" localSheetId="9">#REF!</definedName>
    <definedName name="цена___9___6">#REF!</definedName>
    <definedName name="цена___9___8" localSheetId="10">#REF!</definedName>
    <definedName name="цена___9___8" localSheetId="12">#REF!</definedName>
    <definedName name="цена___9___8" localSheetId="110">#REF!</definedName>
    <definedName name="цена___9___8" localSheetId="9">#REF!</definedName>
    <definedName name="цена___9___8">#REF!</definedName>
    <definedName name="цена___9_1" localSheetId="10">#REF!</definedName>
    <definedName name="цена___9_1" localSheetId="9">#REF!</definedName>
    <definedName name="цена___9_1">#REF!</definedName>
    <definedName name="цена___9_1_1" localSheetId="10">#REF!</definedName>
    <definedName name="цена___9_1_1" localSheetId="9">#REF!</definedName>
    <definedName name="цена___9_1_1">#REF!</definedName>
    <definedName name="цена___9_1_1_1" localSheetId="10">#REF!</definedName>
    <definedName name="цена___9_1_1_1" localSheetId="9">#REF!</definedName>
    <definedName name="цена___9_1_1_1">#REF!</definedName>
    <definedName name="цена___9_3" localSheetId="10">#REF!</definedName>
    <definedName name="цена___9_3" localSheetId="9">#REF!</definedName>
    <definedName name="цена___9_3">#REF!</definedName>
    <definedName name="цена___9_3_1" localSheetId="10">#REF!</definedName>
    <definedName name="цена___9_3_1" localSheetId="9">#REF!</definedName>
    <definedName name="цена___9_3_1">#REF!</definedName>
    <definedName name="цена___9_5" localSheetId="10">#REF!</definedName>
    <definedName name="цена___9_5" localSheetId="9">#REF!</definedName>
    <definedName name="цена___9_5">#REF!</definedName>
    <definedName name="цена___9_5_1" localSheetId="10">#REF!</definedName>
    <definedName name="цена___9_5_1" localSheetId="9">#REF!</definedName>
    <definedName name="цена___9_5_1">#REF!</definedName>
    <definedName name="цена_1">NA()</definedName>
    <definedName name="цена_1_1">NA()</definedName>
    <definedName name="цена_3">NA()</definedName>
    <definedName name="цена_4">NA()</definedName>
    <definedName name="цена_5">NA()</definedName>
    <definedName name="Цена1" localSheetId="10">#REF!</definedName>
    <definedName name="Цена1" localSheetId="9">#REF!</definedName>
    <definedName name="Цена1">#REF!</definedName>
    <definedName name="ЦенаМашБур" localSheetId="10">[50]СмМашБур!#REF!</definedName>
    <definedName name="ЦенаМашБур" localSheetId="9">[50]СмМашБур!#REF!</definedName>
    <definedName name="ЦенаМашБур" localSheetId="7">[49]СмМашБур!#REF!</definedName>
    <definedName name="ЦенаМашБур">[50]СмМашБур!#REF!</definedName>
    <definedName name="ЦенаОбслед" localSheetId="7">[49]ОбмОбслЗемОд!$F$62</definedName>
    <definedName name="ЦенаОбслед">[50]ОбмОбслЗемОд!$F$62</definedName>
    <definedName name="ЦенаРучБур" localSheetId="10">[50]СмРучБур!#REF!</definedName>
    <definedName name="ЦенаРучБур" localSheetId="9">[50]СмРучБур!#REF!</definedName>
    <definedName name="ЦенаРучБур" localSheetId="7">[49]СмРучБур!#REF!</definedName>
    <definedName name="ЦенаРучБур">[50]СмРучБур!#REF!</definedName>
    <definedName name="ЦенаШурфов" localSheetId="10">#REF!</definedName>
    <definedName name="ЦенаШурфов" localSheetId="9">#REF!</definedName>
    <definedName name="ЦенаШурфов" localSheetId="7">#REF!</definedName>
    <definedName name="ЦенаШурфов">#REF!</definedName>
    <definedName name="цуе" localSheetId="10" hidden="1">{#N/A,#N/A,TRUE,"Смета на пасс. обор. №1"}</definedName>
    <definedName name="цуе" localSheetId="12" hidden="1">{#N/A,#N/A,TRUE,"Смета на пасс. обор. №1"}</definedName>
    <definedName name="цуе" localSheetId="111" hidden="1">{#N/A,#N/A,TRUE,"Смета на пасс. обор. №1"}</definedName>
    <definedName name="цуе" localSheetId="112" hidden="1">{#N/A,#N/A,TRUE,"Смета на пасс. обор. №1"}</definedName>
    <definedName name="цуе" localSheetId="113" hidden="1">{#N/A,#N/A,TRUE,"Смета на пасс. обор. №1"}</definedName>
    <definedName name="цуе" localSheetId="114" hidden="1">{#N/A,#N/A,TRUE,"Смета на пасс. обор. №1"}</definedName>
    <definedName name="цуе" localSheetId="115" hidden="1">{#N/A,#N/A,TRUE,"Смета на пасс. обор. №1"}</definedName>
    <definedName name="цуе" localSheetId="116" hidden="1">{#N/A,#N/A,TRUE,"Смета на пасс. обор. №1"}</definedName>
    <definedName name="цуе" localSheetId="117" hidden="1">{#N/A,#N/A,TRUE,"Смета на пасс. обор. №1"}</definedName>
    <definedName name="цуе" localSheetId="118" hidden="1">{#N/A,#N/A,TRUE,"Смета на пасс. обор. №1"}</definedName>
    <definedName name="цуе" localSheetId="121" hidden="1">{#N/A,#N/A,TRUE,"Смета на пасс. обор. №1"}</definedName>
    <definedName name="цуе" localSheetId="122" hidden="1">{#N/A,#N/A,TRUE,"Смета на пасс. обор. №1"}</definedName>
    <definedName name="цуе" localSheetId="8" hidden="1">{#N/A,#N/A,TRUE,"Смета на пасс. обор. №1"}</definedName>
    <definedName name="цуе" localSheetId="11" hidden="1">{#N/A,#N/A,TRUE,"Смета на пасс. обор. №1"}</definedName>
    <definedName name="цуе" localSheetId="110" hidden="1">{#N/A,#N/A,TRUE,"Смета на пасс. обор. №1"}</definedName>
    <definedName name="цуе" localSheetId="109" hidden="1">{#N/A,#N/A,TRUE,"Смета на пасс. обор. №1"}</definedName>
    <definedName name="цуе" localSheetId="108" hidden="1">{#N/A,#N/A,TRUE,"Смета на пасс. обор. №1"}</definedName>
    <definedName name="цуе" localSheetId="6" hidden="1">{#N/A,#N/A,TRUE,"Смета на пасс. обор. №1"}</definedName>
    <definedName name="цуе" localSheetId="9" hidden="1">{#N/A,#N/A,TRUE,"Смета на пасс. обор. №1"}</definedName>
    <definedName name="цуе" localSheetId="7" hidden="1">{#N/A,#N/A,TRUE,"Смета на пасс. обор. №1"}</definedName>
    <definedName name="цуе" localSheetId="92" hidden="1">{#N/A,#N/A,TRUE,"Смета на пасс. обор. №1"}</definedName>
    <definedName name="цуе" localSheetId="93" hidden="1">{#N/A,#N/A,TRUE,"Смета на пасс. обор. №1"}</definedName>
    <definedName name="цуе" localSheetId="94" hidden="1">{#N/A,#N/A,TRUE,"Смета на пасс. обор. №1"}</definedName>
    <definedName name="цуе" localSheetId="99" hidden="1">{#N/A,#N/A,TRUE,"Смета на пасс. обор. №1"}</definedName>
    <definedName name="цуе" localSheetId="100" hidden="1">{#N/A,#N/A,TRUE,"Смета на пасс. обор. №1"}</definedName>
    <definedName name="цуе" localSheetId="106" hidden="1">{#N/A,#N/A,TRUE,"Смета на пасс. обор. №1"}</definedName>
    <definedName name="цуе" localSheetId="2" hidden="1">{#N/A,#N/A,TRUE,"Смета на пасс. обор. №1"}</definedName>
    <definedName name="цуе" localSheetId="123" hidden="1">{#N/A,#N/A,TRUE,"Смета на пасс. обор. №1"}</definedName>
    <definedName name="цуе" localSheetId="4" hidden="1">{#N/A,#N/A,TRUE,"Смета на пасс. обор. №1"}</definedName>
    <definedName name="цуе" localSheetId="13" hidden="1">{#N/A,#N/A,TRUE,"Смета на пасс. обор. №1"}</definedName>
    <definedName name="цуе" hidden="1">{#N/A,#N/A,TRUE,"Смета на пасс. обор. №1"}</definedName>
    <definedName name="цук" localSheetId="10">#REF!</definedName>
    <definedName name="цук" localSheetId="12">#REF!</definedName>
    <definedName name="цук" localSheetId="116">#REF!</definedName>
    <definedName name="цук" localSheetId="8">#REF!</definedName>
    <definedName name="цук" localSheetId="11">#REF!</definedName>
    <definedName name="цук" localSheetId="110">#REF!</definedName>
    <definedName name="цук" localSheetId="109">#REF!</definedName>
    <definedName name="цук" localSheetId="108">#REF!</definedName>
    <definedName name="цук" localSheetId="6">#REF!</definedName>
    <definedName name="цук" localSheetId="9">#REF!</definedName>
    <definedName name="цук" localSheetId="7">#REF!</definedName>
    <definedName name="цук" localSheetId="92">#REF!</definedName>
    <definedName name="цук" localSheetId="93">#REF!</definedName>
    <definedName name="цук" localSheetId="94">#REF!</definedName>
    <definedName name="цук" localSheetId="99">#REF!</definedName>
    <definedName name="цук" localSheetId="100">#REF!</definedName>
    <definedName name="цук" localSheetId="106">#REF!</definedName>
    <definedName name="цук">#REF!</definedName>
    <definedName name="цукеп" localSheetId="10">#REF!</definedName>
    <definedName name="цукеп" localSheetId="9">#REF!</definedName>
    <definedName name="цукеп">#REF!</definedName>
    <definedName name="цукцук" localSheetId="10">#REF!</definedName>
    <definedName name="цукцук" localSheetId="9">#REF!</definedName>
    <definedName name="цукцук">#REF!</definedName>
    <definedName name="цукцукуцкцук" localSheetId="10">#REF!</definedName>
    <definedName name="цукцукуцкцук" localSheetId="9">#REF!</definedName>
    <definedName name="цукцукуцкцук">#REF!</definedName>
    <definedName name="цукцукцук" localSheetId="10">#REF!</definedName>
    <definedName name="цукцукцук" localSheetId="9">#REF!</definedName>
    <definedName name="цукцукцук">#REF!</definedName>
    <definedName name="цфйе" localSheetId="10">#REF!</definedName>
    <definedName name="цфйе" localSheetId="9">#REF!</definedName>
    <definedName name="цфйе">#REF!</definedName>
    <definedName name="ццц" localSheetId="10">#REF!</definedName>
    <definedName name="ццц" localSheetId="9">#REF!</definedName>
    <definedName name="ццц" localSheetId="7">#REF!</definedName>
    <definedName name="ццц">#REF!</definedName>
    <definedName name="цы" localSheetId="10">#REF!</definedName>
    <definedName name="цы" localSheetId="9">#REF!</definedName>
    <definedName name="цы">#REF!</definedName>
    <definedName name="цы_1" localSheetId="10">#REF!</definedName>
    <definedName name="цы_1" localSheetId="9">#REF!</definedName>
    <definedName name="цы_1">#REF!</definedName>
    <definedName name="ч" localSheetId="10" hidden="1">{#N/A,#N/A,TRUE,"Смета на пасс. обор. №1"}</definedName>
    <definedName name="ч" localSheetId="12" hidden="1">{#N/A,#N/A,TRUE,"Смета на пасс. обор. №1"}</definedName>
    <definedName name="ч" localSheetId="111" hidden="1">{#N/A,#N/A,TRUE,"Смета на пасс. обор. №1"}</definedName>
    <definedName name="ч" localSheetId="112" hidden="1">{#N/A,#N/A,TRUE,"Смета на пасс. обор. №1"}</definedName>
    <definedName name="ч" localSheetId="113" hidden="1">{#N/A,#N/A,TRUE,"Смета на пасс. обор. №1"}</definedName>
    <definedName name="ч" localSheetId="114" hidden="1">{#N/A,#N/A,TRUE,"Смета на пасс. обор. №1"}</definedName>
    <definedName name="ч" localSheetId="115" hidden="1">{#N/A,#N/A,TRUE,"Смета на пасс. обор. №1"}</definedName>
    <definedName name="ч" localSheetId="116" hidden="1">{#N/A,#N/A,TRUE,"Смета на пасс. обор. №1"}</definedName>
    <definedName name="ч" localSheetId="117" hidden="1">{#N/A,#N/A,TRUE,"Смета на пасс. обор. №1"}</definedName>
    <definedName name="ч" localSheetId="118" hidden="1">{#N/A,#N/A,TRUE,"Смета на пасс. обор. №1"}</definedName>
    <definedName name="ч" localSheetId="121" hidden="1">{#N/A,#N/A,TRUE,"Смета на пасс. обор. №1"}</definedName>
    <definedName name="ч" localSheetId="122" hidden="1">{#N/A,#N/A,TRUE,"Смета на пасс. обор. №1"}</definedName>
    <definedName name="ч" localSheetId="8" hidden="1">{#N/A,#N/A,TRUE,"Смета на пасс. обор. №1"}</definedName>
    <definedName name="ч" localSheetId="11" hidden="1">{#N/A,#N/A,TRUE,"Смета на пасс. обор. №1"}</definedName>
    <definedName name="ч" localSheetId="110" hidden="1">{#N/A,#N/A,TRUE,"Смета на пасс. обор. №1"}</definedName>
    <definedName name="ч" localSheetId="109" hidden="1">{#N/A,#N/A,TRUE,"Смета на пасс. обор. №1"}</definedName>
    <definedName name="ч" localSheetId="108" hidden="1">{#N/A,#N/A,TRUE,"Смета на пасс. обор. №1"}</definedName>
    <definedName name="ч" localSheetId="6" hidden="1">{#N/A,#N/A,TRUE,"Смета на пасс. обор. №1"}</definedName>
    <definedName name="ч" localSheetId="9" hidden="1">{#N/A,#N/A,TRUE,"Смета на пасс. обор. №1"}</definedName>
    <definedName name="ч" localSheetId="7" hidden="1">{#N/A,#N/A,TRUE,"Смета на пасс. обор. №1"}</definedName>
    <definedName name="ч" localSheetId="92" hidden="1">{#N/A,#N/A,TRUE,"Смета на пасс. обор. №1"}</definedName>
    <definedName name="ч" localSheetId="93" hidden="1">{#N/A,#N/A,TRUE,"Смета на пасс. обор. №1"}</definedName>
    <definedName name="ч" localSheetId="94" hidden="1">{#N/A,#N/A,TRUE,"Смета на пасс. обор. №1"}</definedName>
    <definedName name="ч" localSheetId="99" hidden="1">{#N/A,#N/A,TRUE,"Смета на пасс. обор. №1"}</definedName>
    <definedName name="ч" localSheetId="100" hidden="1">{#N/A,#N/A,TRUE,"Смета на пасс. обор. №1"}</definedName>
    <definedName name="ч" localSheetId="106" hidden="1">{#N/A,#N/A,TRUE,"Смета на пасс. обор. №1"}</definedName>
    <definedName name="ч" localSheetId="2" hidden="1">{#N/A,#N/A,TRUE,"Смета на пасс. обор. №1"}</definedName>
    <definedName name="ч" localSheetId="123" hidden="1">{#N/A,#N/A,TRUE,"Смета на пасс. обор. №1"}</definedName>
    <definedName name="ч" localSheetId="4" hidden="1">{#N/A,#N/A,TRUE,"Смета на пасс. обор. №1"}</definedName>
    <definedName name="ч" localSheetId="13" hidden="1">{#N/A,#N/A,TRUE,"Смета на пасс. обор. №1"}</definedName>
    <definedName name="ч" hidden="1">{#N/A,#N/A,TRUE,"Смета на пасс. обор. №1"}</definedName>
    <definedName name="ч_1" localSheetId="10" hidden="1">{#N/A,#N/A,TRUE,"Смета на пасс. обор. №1"}</definedName>
    <definedName name="ч_1" localSheetId="12" hidden="1">{#N/A,#N/A,TRUE,"Смета на пасс. обор. №1"}</definedName>
    <definedName name="ч_1" localSheetId="111" hidden="1">{#N/A,#N/A,TRUE,"Смета на пасс. обор. №1"}</definedName>
    <definedName name="ч_1" localSheetId="112" hidden="1">{#N/A,#N/A,TRUE,"Смета на пасс. обор. №1"}</definedName>
    <definedName name="ч_1" localSheetId="113" hidden="1">{#N/A,#N/A,TRUE,"Смета на пасс. обор. №1"}</definedName>
    <definedName name="ч_1" localSheetId="114" hidden="1">{#N/A,#N/A,TRUE,"Смета на пасс. обор. №1"}</definedName>
    <definedName name="ч_1" localSheetId="115" hidden="1">{#N/A,#N/A,TRUE,"Смета на пасс. обор. №1"}</definedName>
    <definedName name="ч_1" localSheetId="116" hidden="1">{#N/A,#N/A,TRUE,"Смета на пасс. обор. №1"}</definedName>
    <definedName name="ч_1" localSheetId="117" hidden="1">{#N/A,#N/A,TRUE,"Смета на пасс. обор. №1"}</definedName>
    <definedName name="ч_1" localSheetId="118" hidden="1">{#N/A,#N/A,TRUE,"Смета на пасс. обор. №1"}</definedName>
    <definedName name="ч_1" localSheetId="121" hidden="1">{#N/A,#N/A,TRUE,"Смета на пасс. обор. №1"}</definedName>
    <definedName name="ч_1" localSheetId="122" hidden="1">{#N/A,#N/A,TRUE,"Смета на пасс. обор. №1"}</definedName>
    <definedName name="ч_1" localSheetId="8" hidden="1">{#N/A,#N/A,TRUE,"Смета на пасс. обор. №1"}</definedName>
    <definedName name="ч_1" localSheetId="11" hidden="1">{#N/A,#N/A,TRUE,"Смета на пасс. обор. №1"}</definedName>
    <definedName name="ч_1" localSheetId="110" hidden="1">{#N/A,#N/A,TRUE,"Смета на пасс. обор. №1"}</definedName>
    <definedName name="ч_1" localSheetId="109" hidden="1">{#N/A,#N/A,TRUE,"Смета на пасс. обор. №1"}</definedName>
    <definedName name="ч_1" localSheetId="108" hidden="1">{#N/A,#N/A,TRUE,"Смета на пасс. обор. №1"}</definedName>
    <definedName name="ч_1" localSheetId="6" hidden="1">{#N/A,#N/A,TRUE,"Смета на пасс. обор. №1"}</definedName>
    <definedName name="ч_1" localSheetId="9" hidden="1">{#N/A,#N/A,TRUE,"Смета на пасс. обор. №1"}</definedName>
    <definedName name="ч_1" localSheetId="7" hidden="1">{#N/A,#N/A,TRUE,"Смета на пасс. обор. №1"}</definedName>
    <definedName name="ч_1" localSheetId="92" hidden="1">{#N/A,#N/A,TRUE,"Смета на пасс. обор. №1"}</definedName>
    <definedName name="ч_1" localSheetId="93" hidden="1">{#N/A,#N/A,TRUE,"Смета на пасс. обор. №1"}</definedName>
    <definedName name="ч_1" localSheetId="94" hidden="1">{#N/A,#N/A,TRUE,"Смета на пасс. обор. №1"}</definedName>
    <definedName name="ч_1" localSheetId="99" hidden="1">{#N/A,#N/A,TRUE,"Смета на пасс. обор. №1"}</definedName>
    <definedName name="ч_1" localSheetId="100" hidden="1">{#N/A,#N/A,TRUE,"Смета на пасс. обор. №1"}</definedName>
    <definedName name="ч_1" localSheetId="106" hidden="1">{#N/A,#N/A,TRUE,"Смета на пасс. обор. №1"}</definedName>
    <definedName name="ч_1" localSheetId="2" hidden="1">{#N/A,#N/A,TRUE,"Смета на пасс. обор. №1"}</definedName>
    <definedName name="ч_1" localSheetId="123" hidden="1">{#N/A,#N/A,TRUE,"Смета на пасс. обор. №1"}</definedName>
    <definedName name="ч_1" localSheetId="4" hidden="1">{#N/A,#N/A,TRUE,"Смета на пасс. обор. №1"}</definedName>
    <definedName name="ч_1" localSheetId="13" hidden="1">{#N/A,#N/A,TRUE,"Смета на пасс. обор. №1"}</definedName>
    <definedName name="ч_1" hidden="1">{#N/A,#N/A,TRUE,"Смета на пасс. обор. №1"}</definedName>
    <definedName name="чапо" localSheetId="10">#REF!</definedName>
    <definedName name="чапо" localSheetId="9">#REF!</definedName>
    <definedName name="чапо">#REF!</definedName>
    <definedName name="чапр" localSheetId="10">#REF!</definedName>
    <definedName name="чапр" localSheetId="9">#REF!</definedName>
    <definedName name="чапр">#REF!</definedName>
    <definedName name="Челябинская_область" localSheetId="10">#REF!</definedName>
    <definedName name="Челябинская_область" localSheetId="9">#REF!</definedName>
    <definedName name="Челябинская_область">#REF!</definedName>
    <definedName name="Челябинская_область_1" localSheetId="10">#REF!</definedName>
    <definedName name="Челябинская_область_1" localSheetId="9">#REF!</definedName>
    <definedName name="Челябинская_область_1">#REF!</definedName>
    <definedName name="четвертый" localSheetId="10">#REF!</definedName>
    <definedName name="четвертый" localSheetId="9">#REF!</definedName>
    <definedName name="четвертый">#REF!</definedName>
    <definedName name="Чеченская_Республика" localSheetId="10">#REF!</definedName>
    <definedName name="Чеченская_Республика" localSheetId="9">#REF!</definedName>
    <definedName name="Чеченская_Республика">#REF!</definedName>
    <definedName name="Читинская_область" localSheetId="10">#REF!</definedName>
    <definedName name="Читинская_область" localSheetId="9">#REF!</definedName>
    <definedName name="Читинская_область">#REF!</definedName>
    <definedName name="Читинская_область_1" localSheetId="10">#REF!</definedName>
    <definedName name="Читинская_область_1" localSheetId="9">#REF!</definedName>
    <definedName name="Читинская_область_1">#REF!</definedName>
    <definedName name="чмтчмт" localSheetId="10">#REF!</definedName>
    <definedName name="чмтчмт" localSheetId="9">#REF!</definedName>
    <definedName name="чмтчмт">#REF!</definedName>
    <definedName name="чмтчт" localSheetId="10">#REF!</definedName>
    <definedName name="чмтчт" localSheetId="9">#REF!</definedName>
    <definedName name="чмтчт">#REF!</definedName>
    <definedName name="чс" localSheetId="10">#REF!</definedName>
    <definedName name="чс" localSheetId="12">#REF!</definedName>
    <definedName name="чс" localSheetId="116">#REF!</definedName>
    <definedName name="чс" localSheetId="110">#REF!</definedName>
    <definedName name="чс" localSheetId="109">#REF!</definedName>
    <definedName name="чс" localSheetId="108">#REF!</definedName>
    <definedName name="чс" localSheetId="9">#REF!</definedName>
    <definedName name="чс" localSheetId="7">#REF!</definedName>
    <definedName name="чс" localSheetId="92">#REF!</definedName>
    <definedName name="чс" localSheetId="93">#REF!</definedName>
    <definedName name="чс" localSheetId="94">#REF!</definedName>
    <definedName name="чс" localSheetId="99">#REF!</definedName>
    <definedName name="чс" localSheetId="100">#REF!</definedName>
    <definedName name="чс" localSheetId="106">#REF!</definedName>
    <definedName name="чс">#REF!</definedName>
    <definedName name="чсапр" localSheetId="10">#REF!</definedName>
    <definedName name="чсапр" localSheetId="9">#REF!</definedName>
    <definedName name="чсапр">#REF!</definedName>
    <definedName name="чсипа" localSheetId="10">[7]топография!#REF!</definedName>
    <definedName name="чсипа" localSheetId="12">[7]топография!#REF!</definedName>
    <definedName name="чсипа" localSheetId="110">[7]топография!#REF!</definedName>
    <definedName name="чсипа" localSheetId="9">[7]топография!#REF!</definedName>
    <definedName name="чсипа">[7]топография!#REF!</definedName>
    <definedName name="чсиь" localSheetId="10">#REF!</definedName>
    <definedName name="чсиь" localSheetId="9">#REF!</definedName>
    <definedName name="чсиь">#REF!</definedName>
    <definedName name="чсмт" localSheetId="10">#REF!</definedName>
    <definedName name="чсмт" localSheetId="9">#REF!</definedName>
    <definedName name="чсмт">#REF!</definedName>
    <definedName name="чстм" localSheetId="10">#REF!</definedName>
    <definedName name="чстм" localSheetId="9">#REF!</definedName>
    <definedName name="чстм">#REF!</definedName>
    <definedName name="чт" localSheetId="10">#REF!</definedName>
    <definedName name="чт" localSheetId="9">#REF!</definedName>
    <definedName name="чт">#REF!</definedName>
    <definedName name="чтм" localSheetId="10">#REF!</definedName>
    <definedName name="чтм" localSheetId="9">#REF!</definedName>
    <definedName name="чтм">#REF!</definedName>
    <definedName name="чть" localSheetId="10">#REF!</definedName>
    <definedName name="чть" localSheetId="12">#REF!</definedName>
    <definedName name="чть" localSheetId="116">#REF!</definedName>
    <definedName name="чть" localSheetId="110">#REF!</definedName>
    <definedName name="чть" localSheetId="109">#REF!</definedName>
    <definedName name="чть" localSheetId="108">#REF!</definedName>
    <definedName name="чть" localSheetId="9">#REF!</definedName>
    <definedName name="чть" localSheetId="7">#REF!</definedName>
    <definedName name="чть" localSheetId="92">#REF!</definedName>
    <definedName name="чть" localSheetId="93">#REF!</definedName>
    <definedName name="чть" localSheetId="94">#REF!</definedName>
    <definedName name="чть" localSheetId="99">#REF!</definedName>
    <definedName name="чть" localSheetId="100">#REF!</definedName>
    <definedName name="чть" localSheetId="106">#REF!</definedName>
    <definedName name="чть">#REF!</definedName>
    <definedName name="Чувашская_Республика___Чувашия" localSheetId="10">#REF!</definedName>
    <definedName name="Чувашская_Республика___Чувашия" localSheetId="9">#REF!</definedName>
    <definedName name="Чувашская_Республика___Чувашия">#REF!</definedName>
    <definedName name="Чукотский_автономный_округ" localSheetId="10">#REF!</definedName>
    <definedName name="Чукотский_автономный_округ" localSheetId="9">#REF!</definedName>
    <definedName name="Чукотский_автономный_округ">#REF!</definedName>
    <definedName name="Чукотский_автономный_округ_1" localSheetId="10">#REF!</definedName>
    <definedName name="Чукотский_автономный_округ_1" localSheetId="9">#REF!</definedName>
    <definedName name="Чукотский_автономный_округ_1">#REF!</definedName>
    <definedName name="ш" localSheetId="10">#REF!</definedName>
    <definedName name="ш" localSheetId="12" hidden="1">{#N/A,#N/A,TRUE,"Смета на пасс. обор. №1"}</definedName>
    <definedName name="ш" localSheetId="111" hidden="1">{#N/A,#N/A,TRUE,"Смета на пасс. обор. №1"}</definedName>
    <definedName name="ш" localSheetId="112" hidden="1">{#N/A,#N/A,TRUE,"Смета на пасс. обор. №1"}</definedName>
    <definedName name="ш" localSheetId="113" hidden="1">{#N/A,#N/A,TRUE,"Смета на пасс. обор. №1"}</definedName>
    <definedName name="ш" localSheetId="114" hidden="1">{#N/A,#N/A,TRUE,"Смета на пасс. обор. №1"}</definedName>
    <definedName name="ш" localSheetId="115" hidden="1">{#N/A,#N/A,TRUE,"Смета на пасс. обор. №1"}</definedName>
    <definedName name="ш" localSheetId="116" hidden="1">{#N/A,#N/A,TRUE,"Смета на пасс. обор. №1"}</definedName>
    <definedName name="ш" localSheetId="117" hidden="1">{#N/A,#N/A,TRUE,"Смета на пасс. обор. №1"}</definedName>
    <definedName name="ш" localSheetId="118" hidden="1">{#N/A,#N/A,TRUE,"Смета на пасс. обор. №1"}</definedName>
    <definedName name="ш" localSheetId="121" hidden="1">{#N/A,#N/A,TRUE,"Смета на пасс. обор. №1"}</definedName>
    <definedName name="ш" localSheetId="122" hidden="1">{#N/A,#N/A,TRUE,"Смета на пасс. обор. №1"}</definedName>
    <definedName name="ш" localSheetId="8">#REF!</definedName>
    <definedName name="ш" localSheetId="11">#REF!</definedName>
    <definedName name="ш" localSheetId="110" hidden="1">{#N/A,#N/A,TRUE,"Смета на пасс. обор. №1"}</definedName>
    <definedName name="ш" localSheetId="109" hidden="1">{#N/A,#N/A,TRUE,"Смета на пасс. обор. №1"}</definedName>
    <definedName name="ш" localSheetId="108" hidden="1">{#N/A,#N/A,TRUE,"Смета на пасс. обор. №1"}</definedName>
    <definedName name="ш" localSheetId="6">#REF!</definedName>
    <definedName name="ш" localSheetId="9">#REF!</definedName>
    <definedName name="ш" localSheetId="7" hidden="1">{#N/A,#N/A,TRUE,"Смета на пасс. обор. №1"}</definedName>
    <definedName name="ш" localSheetId="92" hidden="1">{#N/A,#N/A,TRUE,"Смета на пасс. обор. №1"}</definedName>
    <definedName name="ш" localSheetId="93" hidden="1">{#N/A,#N/A,TRUE,"Смета на пасс. обор. №1"}</definedName>
    <definedName name="ш" localSheetId="94" hidden="1">{#N/A,#N/A,TRUE,"Смета на пасс. обор. №1"}</definedName>
    <definedName name="ш" localSheetId="99" hidden="1">{#N/A,#N/A,TRUE,"Смета на пасс. обор. №1"}</definedName>
    <definedName name="ш" localSheetId="100" hidden="1">{#N/A,#N/A,TRUE,"Смета на пасс. обор. №1"}</definedName>
    <definedName name="ш" localSheetId="106" hidden="1">{#N/A,#N/A,TRUE,"Смета на пасс. обор. №1"}</definedName>
    <definedName name="ш" localSheetId="2" hidden="1">{#N/A,#N/A,TRUE,"Смета на пасс. обор. №1"}</definedName>
    <definedName name="ш" localSheetId="123" hidden="1">{#N/A,#N/A,TRUE,"Смета на пасс. обор. №1"}</definedName>
    <definedName name="ш" localSheetId="4" hidden="1">{#N/A,#N/A,TRUE,"Смета на пасс. обор. №1"}</definedName>
    <definedName name="ш" localSheetId="13" hidden="1">{#N/A,#N/A,TRUE,"Смета на пасс. обор. №1"}</definedName>
    <definedName name="ш" hidden="1">{#N/A,#N/A,TRUE,"Смета на пасс. обор. №1"}</definedName>
    <definedName name="ш_1" localSheetId="10" hidden="1">{#N/A,#N/A,TRUE,"Смета на пасс. обор. №1"}</definedName>
    <definedName name="ш_1" localSheetId="12" hidden="1">{#N/A,#N/A,TRUE,"Смета на пасс. обор. №1"}</definedName>
    <definedName name="ш_1" localSheetId="111" hidden="1">{#N/A,#N/A,TRUE,"Смета на пасс. обор. №1"}</definedName>
    <definedName name="ш_1" localSheetId="112" hidden="1">{#N/A,#N/A,TRUE,"Смета на пасс. обор. №1"}</definedName>
    <definedName name="ш_1" localSheetId="113" hidden="1">{#N/A,#N/A,TRUE,"Смета на пасс. обор. №1"}</definedName>
    <definedName name="ш_1" localSheetId="114" hidden="1">{#N/A,#N/A,TRUE,"Смета на пасс. обор. №1"}</definedName>
    <definedName name="ш_1" localSheetId="115" hidden="1">{#N/A,#N/A,TRUE,"Смета на пасс. обор. №1"}</definedName>
    <definedName name="ш_1" localSheetId="116" hidden="1">{#N/A,#N/A,TRUE,"Смета на пасс. обор. №1"}</definedName>
    <definedName name="ш_1" localSheetId="117" hidden="1">{#N/A,#N/A,TRUE,"Смета на пасс. обор. №1"}</definedName>
    <definedName name="ш_1" localSheetId="118" hidden="1">{#N/A,#N/A,TRUE,"Смета на пасс. обор. №1"}</definedName>
    <definedName name="ш_1" localSheetId="121" hidden="1">{#N/A,#N/A,TRUE,"Смета на пасс. обор. №1"}</definedName>
    <definedName name="ш_1" localSheetId="122" hidden="1">{#N/A,#N/A,TRUE,"Смета на пасс. обор. №1"}</definedName>
    <definedName name="ш_1" localSheetId="8" hidden="1">{#N/A,#N/A,TRUE,"Смета на пасс. обор. №1"}</definedName>
    <definedName name="ш_1" localSheetId="11" hidden="1">{#N/A,#N/A,TRUE,"Смета на пасс. обор. №1"}</definedName>
    <definedName name="ш_1" localSheetId="110" hidden="1">{#N/A,#N/A,TRUE,"Смета на пасс. обор. №1"}</definedName>
    <definedName name="ш_1" localSheetId="109" hidden="1">{#N/A,#N/A,TRUE,"Смета на пасс. обор. №1"}</definedName>
    <definedName name="ш_1" localSheetId="108" hidden="1">{#N/A,#N/A,TRUE,"Смета на пасс. обор. №1"}</definedName>
    <definedName name="ш_1" localSheetId="6" hidden="1">{#N/A,#N/A,TRUE,"Смета на пасс. обор. №1"}</definedName>
    <definedName name="ш_1" localSheetId="9" hidden="1">{#N/A,#N/A,TRUE,"Смета на пасс. обор. №1"}</definedName>
    <definedName name="ш_1" localSheetId="7" hidden="1">{#N/A,#N/A,TRUE,"Смета на пасс. обор. №1"}</definedName>
    <definedName name="ш_1" localSheetId="92" hidden="1">{#N/A,#N/A,TRUE,"Смета на пасс. обор. №1"}</definedName>
    <definedName name="ш_1" localSheetId="93" hidden="1">{#N/A,#N/A,TRUE,"Смета на пасс. обор. №1"}</definedName>
    <definedName name="ш_1" localSheetId="94" hidden="1">{#N/A,#N/A,TRUE,"Смета на пасс. обор. №1"}</definedName>
    <definedName name="ш_1" localSheetId="99" hidden="1">{#N/A,#N/A,TRUE,"Смета на пасс. обор. №1"}</definedName>
    <definedName name="ш_1" localSheetId="100" hidden="1">{#N/A,#N/A,TRUE,"Смета на пасс. обор. №1"}</definedName>
    <definedName name="ш_1" localSheetId="106" hidden="1">{#N/A,#N/A,TRUE,"Смета на пасс. обор. №1"}</definedName>
    <definedName name="ш_1" localSheetId="2" hidden="1">{#N/A,#N/A,TRUE,"Смета на пасс. обор. №1"}</definedName>
    <definedName name="ш_1" localSheetId="123" hidden="1">{#N/A,#N/A,TRUE,"Смета на пасс. обор. №1"}</definedName>
    <definedName name="ш_1" localSheetId="4" hidden="1">{#N/A,#N/A,TRUE,"Смета на пасс. обор. №1"}</definedName>
    <definedName name="ш_1" localSheetId="13" hidden="1">{#N/A,#N/A,TRUE,"Смета на пасс. обор. №1"}</definedName>
    <definedName name="ш_1" hidden="1">{#N/A,#N/A,TRUE,"Смета на пасс. обор. №1"}</definedName>
    <definedName name="шгд" localSheetId="10">#REF!</definedName>
    <definedName name="шгд" localSheetId="9">#REF!</definedName>
    <definedName name="шгд">#REF!</definedName>
    <definedName name="шгнкушгрдаы" localSheetId="10">#REF!</definedName>
    <definedName name="шгнкушгрдаы" localSheetId="12">#REF!</definedName>
    <definedName name="шгнкушгрдаы" localSheetId="116">#REF!</definedName>
    <definedName name="шгнкушгрдаы" localSheetId="8">#REF!</definedName>
    <definedName name="шгнкушгрдаы" localSheetId="11">#REF!</definedName>
    <definedName name="шгнкушгрдаы" localSheetId="110">#REF!</definedName>
    <definedName name="шгнкушгрдаы" localSheetId="109">#REF!</definedName>
    <definedName name="шгнкушгрдаы" localSheetId="108">#REF!</definedName>
    <definedName name="шгнкушгрдаы" localSheetId="6">#REF!</definedName>
    <definedName name="шгнкушгрдаы" localSheetId="9">#REF!</definedName>
    <definedName name="шгнкушгрдаы" localSheetId="7">#REF!</definedName>
    <definedName name="шгнкушгрдаы" localSheetId="92">#REF!</definedName>
    <definedName name="шгнкушгрдаы" localSheetId="93">#REF!</definedName>
    <definedName name="шгнкушгрдаы" localSheetId="94">#REF!</definedName>
    <definedName name="шгнкушгрдаы" localSheetId="99">#REF!</definedName>
    <definedName name="шгнкушгрдаы" localSheetId="100">#REF!</definedName>
    <definedName name="шгнкушгрдаы" localSheetId="106">#REF!</definedName>
    <definedName name="шгнкушгрдаы">#REF!</definedName>
    <definedName name="шгфуждлоэзшщ\ыфтм" localSheetId="10">#REF!</definedName>
    <definedName name="шгфуждлоэзшщ\ыфтм" localSheetId="12">#REF!</definedName>
    <definedName name="шгфуждлоэзшщ\ыфтм" localSheetId="116">#REF!</definedName>
    <definedName name="шгфуждлоэзшщ\ыфтм" localSheetId="8">#REF!</definedName>
    <definedName name="шгфуждлоэзшщ\ыфтм" localSheetId="11">#REF!</definedName>
    <definedName name="шгфуждлоэзшщ\ыфтм" localSheetId="110">#REF!</definedName>
    <definedName name="шгфуждлоэзшщ\ыфтм" localSheetId="109">#REF!</definedName>
    <definedName name="шгфуждлоэзшщ\ыфтм" localSheetId="108">#REF!</definedName>
    <definedName name="шгфуждлоэзшщ\ыфтм" localSheetId="6">#REF!</definedName>
    <definedName name="шгфуждлоэзшщ\ыфтм" localSheetId="9">#REF!</definedName>
    <definedName name="шгфуждлоэзшщ\ыфтм" localSheetId="7">#REF!</definedName>
    <definedName name="шгфуждлоэзшщ\ыфтм" localSheetId="92">#REF!</definedName>
    <definedName name="шгфуждлоэзшщ\ыфтм" localSheetId="93">#REF!</definedName>
    <definedName name="шгфуждлоэзшщ\ыфтм" localSheetId="94">#REF!</definedName>
    <definedName name="шгфуждлоэзшщ\ыфтм" localSheetId="99">#REF!</definedName>
    <definedName name="шгфуждлоэзшщ\ыфтм" localSheetId="100">#REF!</definedName>
    <definedName name="шгфуждлоэзшщ\ыфтм" localSheetId="106">#REF!</definedName>
    <definedName name="шгфуждлоэзшщ\ыфтм">#REF!</definedName>
    <definedName name="шдгшж" localSheetId="10">#REF!</definedName>
    <definedName name="шдгшж" localSheetId="9">#REF!</definedName>
    <definedName name="шдгшж">#REF!</definedName>
    <definedName name="шестой" localSheetId="10">#REF!</definedName>
    <definedName name="шестой" localSheetId="9">#REF!</definedName>
    <definedName name="шестой">#REF!</definedName>
    <definedName name="Шесть" localSheetId="10">#REF!</definedName>
    <definedName name="Шесть" localSheetId="9">#REF!</definedName>
    <definedName name="Шесть">#REF!</definedName>
    <definedName name="Шкафы_ТМ" localSheetId="10">#REF!</definedName>
    <definedName name="Шкафы_ТМ" localSheetId="9">#REF!</definedName>
    <definedName name="Шкафы_ТМ">#REF!</definedName>
    <definedName name="шплю" localSheetId="10">#REF!</definedName>
    <definedName name="шплю" localSheetId="9">#REF!</definedName>
    <definedName name="шплю">#REF!</definedName>
    <definedName name="шпр" localSheetId="10">#REF!</definedName>
    <definedName name="шпр" localSheetId="9">#REF!</definedName>
    <definedName name="шпр">#REF!</definedName>
    <definedName name="шщгщ9шщллщ" localSheetId="10">#REF!</definedName>
    <definedName name="шщгщ9шщллщ" localSheetId="9">#REF!</definedName>
    <definedName name="шщгщ9шщллщ">#REF!</definedName>
    <definedName name="щжэдж" localSheetId="10">#REF!</definedName>
    <definedName name="щжэдж" localSheetId="9">#REF!</definedName>
    <definedName name="щжэдж">#REF!</definedName>
    <definedName name="щшшщрг" localSheetId="10">#REF!</definedName>
    <definedName name="щшшщрг" localSheetId="9">#REF!</definedName>
    <definedName name="щшшщрг">#REF!</definedName>
    <definedName name="щщ" localSheetId="10">#REF!</definedName>
    <definedName name="щщ" localSheetId="12">#REF!</definedName>
    <definedName name="щщ" localSheetId="116">#REF!</definedName>
    <definedName name="щщ" localSheetId="110">#REF!</definedName>
    <definedName name="щщ" localSheetId="109">#REF!</definedName>
    <definedName name="щщ" localSheetId="108">#REF!</definedName>
    <definedName name="щщ" localSheetId="9">#REF!</definedName>
    <definedName name="щщ" localSheetId="92">#REF!</definedName>
    <definedName name="щщ" localSheetId="93">#REF!</definedName>
    <definedName name="щщ" localSheetId="94">#REF!</definedName>
    <definedName name="щщ" localSheetId="99">#REF!</definedName>
    <definedName name="щщ" localSheetId="100">#REF!</definedName>
    <definedName name="щщ" localSheetId="106">#REF!</definedName>
    <definedName name="щщ">#REF!</definedName>
    <definedName name="ъхз" localSheetId="10">#REF!</definedName>
    <definedName name="ъхз" localSheetId="12">#REF!</definedName>
    <definedName name="ъхз" localSheetId="110">#REF!</definedName>
    <definedName name="ъхз" localSheetId="9">#REF!</definedName>
    <definedName name="ъхз">#REF!</definedName>
    <definedName name="ы" localSheetId="10">[83]топография!#REF!</definedName>
    <definedName name="ы" localSheetId="12" hidden="1">{#N/A,#N/A,TRUE,"Смета на пасс. обор. №1"}</definedName>
    <definedName name="ы" localSheetId="111" hidden="1">{#N/A,#N/A,TRUE,"Смета на пасс. обор. №1"}</definedName>
    <definedName name="ы" localSheetId="112" hidden="1">{#N/A,#N/A,TRUE,"Смета на пасс. обор. №1"}</definedName>
    <definedName name="ы" localSheetId="113" hidden="1">{#N/A,#N/A,TRUE,"Смета на пасс. обор. №1"}</definedName>
    <definedName name="ы" localSheetId="114" hidden="1">{#N/A,#N/A,TRUE,"Смета на пасс. обор. №1"}</definedName>
    <definedName name="ы" localSheetId="115" hidden="1">{#N/A,#N/A,TRUE,"Смета на пасс. обор. №1"}</definedName>
    <definedName name="ы" localSheetId="116" hidden="1">{#N/A,#N/A,TRUE,"Смета на пасс. обор. №1"}</definedName>
    <definedName name="ы" localSheetId="117" hidden="1">{#N/A,#N/A,TRUE,"Смета на пасс. обор. №1"}</definedName>
    <definedName name="ы" localSheetId="118" hidden="1">{#N/A,#N/A,TRUE,"Смета на пасс. обор. №1"}</definedName>
    <definedName name="ы" localSheetId="121" hidden="1">{#N/A,#N/A,TRUE,"Смета на пасс. обор. №1"}</definedName>
    <definedName name="ы" localSheetId="122" hidden="1">{#N/A,#N/A,TRUE,"Смета на пасс. обор. №1"}</definedName>
    <definedName name="ы" localSheetId="8">[83]топография!#REF!</definedName>
    <definedName name="ы" localSheetId="11">[83]топография!#REF!</definedName>
    <definedName name="ы" localSheetId="110" hidden="1">{#N/A,#N/A,TRUE,"Смета на пасс. обор. №1"}</definedName>
    <definedName name="ы" localSheetId="109" hidden="1">{#N/A,#N/A,TRUE,"Смета на пасс. обор. №1"}</definedName>
    <definedName name="ы" localSheetId="108" hidden="1">{#N/A,#N/A,TRUE,"Смета на пасс. обор. №1"}</definedName>
    <definedName name="ы" localSheetId="6">[83]топография!#REF!</definedName>
    <definedName name="ы" localSheetId="9">[83]топография!#REF!</definedName>
    <definedName name="ы" localSheetId="7" hidden="1">{#N/A,#N/A,TRUE,"Смета на пасс. обор. №1"}</definedName>
    <definedName name="ы" localSheetId="92" hidden="1">{#N/A,#N/A,TRUE,"Смета на пасс. обор. №1"}</definedName>
    <definedName name="ы" localSheetId="93" hidden="1">{#N/A,#N/A,TRUE,"Смета на пасс. обор. №1"}</definedName>
    <definedName name="ы" localSheetId="94" hidden="1">{#N/A,#N/A,TRUE,"Смета на пасс. обор. №1"}</definedName>
    <definedName name="ы" localSheetId="99" hidden="1">{#N/A,#N/A,TRUE,"Смета на пасс. обор. №1"}</definedName>
    <definedName name="ы" localSheetId="100" hidden="1">{#N/A,#N/A,TRUE,"Смета на пасс. обор. №1"}</definedName>
    <definedName name="ы" localSheetId="106" hidden="1">{#N/A,#N/A,TRUE,"Смета на пасс. обор. №1"}</definedName>
    <definedName name="ы" localSheetId="2" hidden="1">{#N/A,#N/A,TRUE,"Смета на пасс. обор. №1"}</definedName>
    <definedName name="ы" localSheetId="123" hidden="1">{#N/A,#N/A,TRUE,"Смета на пасс. обор. №1"}</definedName>
    <definedName name="ы" localSheetId="4" hidden="1">{#N/A,#N/A,TRUE,"Смета на пасс. обор. №1"}</definedName>
    <definedName name="ы" localSheetId="13" hidden="1">{#N/A,#N/A,TRUE,"Смета на пасс. обор. №1"}</definedName>
    <definedName name="ы" hidden="1">{#N/A,#N/A,TRUE,"Смета на пасс. обор. №1"}</definedName>
    <definedName name="ы_1" localSheetId="10" hidden="1">{#N/A,#N/A,TRUE,"Смета на пасс. обор. №1"}</definedName>
    <definedName name="ы_1" localSheetId="12" hidden="1">{#N/A,#N/A,TRUE,"Смета на пасс. обор. №1"}</definedName>
    <definedName name="ы_1" localSheetId="111" hidden="1">{#N/A,#N/A,TRUE,"Смета на пасс. обор. №1"}</definedName>
    <definedName name="ы_1" localSheetId="112" hidden="1">{#N/A,#N/A,TRUE,"Смета на пасс. обор. №1"}</definedName>
    <definedName name="ы_1" localSheetId="113" hidden="1">{#N/A,#N/A,TRUE,"Смета на пасс. обор. №1"}</definedName>
    <definedName name="ы_1" localSheetId="114" hidden="1">{#N/A,#N/A,TRUE,"Смета на пасс. обор. №1"}</definedName>
    <definedName name="ы_1" localSheetId="115" hidden="1">{#N/A,#N/A,TRUE,"Смета на пасс. обор. №1"}</definedName>
    <definedName name="ы_1" localSheetId="116" hidden="1">{#N/A,#N/A,TRUE,"Смета на пасс. обор. №1"}</definedName>
    <definedName name="ы_1" localSheetId="117" hidden="1">{#N/A,#N/A,TRUE,"Смета на пасс. обор. №1"}</definedName>
    <definedName name="ы_1" localSheetId="118" hidden="1">{#N/A,#N/A,TRUE,"Смета на пасс. обор. №1"}</definedName>
    <definedName name="ы_1" localSheetId="121" hidden="1">{#N/A,#N/A,TRUE,"Смета на пасс. обор. №1"}</definedName>
    <definedName name="ы_1" localSheetId="122" hidden="1">{#N/A,#N/A,TRUE,"Смета на пасс. обор. №1"}</definedName>
    <definedName name="ы_1" localSheetId="8" hidden="1">{#N/A,#N/A,TRUE,"Смета на пасс. обор. №1"}</definedName>
    <definedName name="ы_1" localSheetId="11" hidden="1">{#N/A,#N/A,TRUE,"Смета на пасс. обор. №1"}</definedName>
    <definedName name="ы_1" localSheetId="110" hidden="1">{#N/A,#N/A,TRUE,"Смета на пасс. обор. №1"}</definedName>
    <definedName name="ы_1" localSheetId="109" hidden="1">{#N/A,#N/A,TRUE,"Смета на пасс. обор. №1"}</definedName>
    <definedName name="ы_1" localSheetId="108" hidden="1">{#N/A,#N/A,TRUE,"Смета на пасс. обор. №1"}</definedName>
    <definedName name="ы_1" localSheetId="6" hidden="1">{#N/A,#N/A,TRUE,"Смета на пасс. обор. №1"}</definedName>
    <definedName name="ы_1" localSheetId="9" hidden="1">{#N/A,#N/A,TRUE,"Смета на пасс. обор. №1"}</definedName>
    <definedName name="ы_1" localSheetId="7" hidden="1">{#N/A,#N/A,TRUE,"Смета на пасс. обор. №1"}</definedName>
    <definedName name="ы_1" localSheetId="92" hidden="1">{#N/A,#N/A,TRUE,"Смета на пасс. обор. №1"}</definedName>
    <definedName name="ы_1" localSheetId="93" hidden="1">{#N/A,#N/A,TRUE,"Смета на пасс. обор. №1"}</definedName>
    <definedName name="ы_1" localSheetId="94" hidden="1">{#N/A,#N/A,TRUE,"Смета на пасс. обор. №1"}</definedName>
    <definedName name="ы_1" localSheetId="99" hidden="1">{#N/A,#N/A,TRUE,"Смета на пасс. обор. №1"}</definedName>
    <definedName name="ы_1" localSheetId="100" hidden="1">{#N/A,#N/A,TRUE,"Смета на пасс. обор. №1"}</definedName>
    <definedName name="ы_1" localSheetId="106" hidden="1">{#N/A,#N/A,TRUE,"Смета на пасс. обор. №1"}</definedName>
    <definedName name="ы_1" localSheetId="2" hidden="1">{#N/A,#N/A,TRUE,"Смета на пасс. обор. №1"}</definedName>
    <definedName name="ы_1" localSheetId="123" hidden="1">{#N/A,#N/A,TRUE,"Смета на пасс. обор. №1"}</definedName>
    <definedName name="ы_1" localSheetId="4" hidden="1">{#N/A,#N/A,TRUE,"Смета на пасс. обор. №1"}</definedName>
    <definedName name="ы_1" localSheetId="13" hidden="1">{#N/A,#N/A,TRUE,"Смета на пасс. обор. №1"}</definedName>
    <definedName name="ы_1" hidden="1">{#N/A,#N/A,TRUE,"Смета на пасс. обор. №1"}</definedName>
    <definedName name="ыа" localSheetId="10">#REF!</definedName>
    <definedName name="ыа" localSheetId="9">#REF!</definedName>
    <definedName name="ыа">#REF!</definedName>
    <definedName name="ыаоаы" localSheetId="10">#REF!</definedName>
    <definedName name="ыаоаы" localSheetId="9">#REF!</definedName>
    <definedName name="ыаоаы">#REF!</definedName>
    <definedName name="ыаоаыо" localSheetId="10">#REF!</definedName>
    <definedName name="ыаоаыо" localSheetId="9">#REF!</definedName>
    <definedName name="ыаоаыо">#REF!</definedName>
    <definedName name="ыаоаып" localSheetId="10">#REF!</definedName>
    <definedName name="ыаоаып" localSheetId="9">#REF!</definedName>
    <definedName name="ыаоаып">#REF!</definedName>
    <definedName name="ыаоп" localSheetId="10">#REF!</definedName>
    <definedName name="ыаоп" localSheetId="9">#REF!</definedName>
    <definedName name="ыаоп">#REF!</definedName>
    <definedName name="ыапо" localSheetId="10">#REF!</definedName>
    <definedName name="ыапо" localSheetId="9">#REF!</definedName>
    <definedName name="ыапо">#REF!</definedName>
    <definedName name="ыапоапоао" localSheetId="10">#REF!</definedName>
    <definedName name="ыапоапоао" localSheetId="9">#REF!</definedName>
    <definedName name="ыапоапоао">#REF!</definedName>
    <definedName name="ыапоаыо" localSheetId="10">#REF!</definedName>
    <definedName name="ыапоаыо" localSheetId="9">#REF!</definedName>
    <definedName name="ыапоаыо">#REF!</definedName>
    <definedName name="ыапоы" localSheetId="10">#REF!</definedName>
    <definedName name="ыапоы" localSheetId="9">#REF!</definedName>
    <definedName name="ыапоы">#REF!</definedName>
    <definedName name="ыапоыа" localSheetId="10">#REF!</definedName>
    <definedName name="ыапоыа" localSheetId="9">#REF!</definedName>
    <definedName name="ыапоыа">#REF!</definedName>
    <definedName name="ыапр" localSheetId="10">[4]топография!#REF!</definedName>
    <definedName name="ыапр" localSheetId="9">[4]топография!#REF!</definedName>
    <definedName name="ыапр">[4]топография!#REF!</definedName>
    <definedName name="ыапраыр" localSheetId="10">#REF!</definedName>
    <definedName name="ыапраыр" localSheetId="9">#REF!</definedName>
    <definedName name="ыапраыр">#REF!</definedName>
    <definedName name="ыв" localSheetId="10">[17]ПДР!#REF!</definedName>
    <definedName name="ыв" localSheetId="9">[17]ПДР!#REF!</definedName>
    <definedName name="ыв">[17]ПДР!#REF!</definedName>
    <definedName name="ЫВGGGGGGGGGGGGGGG" localSheetId="10">#REF!</definedName>
    <definedName name="ЫВGGGGGGGGGGGGGGG" localSheetId="12">#REF!</definedName>
    <definedName name="ЫВGGGGGGGGGGGGGGG" localSheetId="116">#REF!</definedName>
    <definedName name="ЫВGGGGGGGGGGGGGGG" localSheetId="8">#REF!</definedName>
    <definedName name="ЫВGGGGGGGGGGGGGGG" localSheetId="11">#REF!</definedName>
    <definedName name="ЫВGGGGGGGGGGGGGGG" localSheetId="110">#REF!</definedName>
    <definedName name="ЫВGGGGGGGGGGGGGGG" localSheetId="109">#REF!</definedName>
    <definedName name="ЫВGGGGGGGGGGGGGGG" localSheetId="108">#REF!</definedName>
    <definedName name="ЫВGGGGGGGGGGGGGGG" localSheetId="6">#REF!</definedName>
    <definedName name="ЫВGGGGGGGGGGGGGGG" localSheetId="9">#REF!</definedName>
    <definedName name="ЫВGGGGGGGGGGGGGGG" localSheetId="7">#REF!</definedName>
    <definedName name="ЫВGGGGGGGGGGGGGGG" localSheetId="92">#REF!</definedName>
    <definedName name="ЫВGGGGGGGGGGGGGGG" localSheetId="93">#REF!</definedName>
    <definedName name="ЫВGGGGGGGGGGGGGGG" localSheetId="94">#REF!</definedName>
    <definedName name="ЫВGGGGGGGGGGGGGGG" localSheetId="99">#REF!</definedName>
    <definedName name="ЫВGGGGGGGGGGGGGGG" localSheetId="100">#REF!</definedName>
    <definedName name="ЫВGGGGGGGGGGGGGGG" localSheetId="106">#REF!</definedName>
    <definedName name="ЫВGGGGGGGGGGGGGGG">#REF!</definedName>
    <definedName name="ыва" localSheetId="10">#REF!</definedName>
    <definedName name="ыва" localSheetId="12" hidden="1">{#N/A,#N/A,TRUE,"Смета на пасс. обор. №1"}</definedName>
    <definedName name="ыва" localSheetId="111" hidden="1">{#N/A,#N/A,TRUE,"Смета на пасс. обор. №1"}</definedName>
    <definedName name="ыва" localSheetId="112" hidden="1">{#N/A,#N/A,TRUE,"Смета на пасс. обор. №1"}</definedName>
    <definedName name="ыва" localSheetId="113" hidden="1">{#N/A,#N/A,TRUE,"Смета на пасс. обор. №1"}</definedName>
    <definedName name="ыва" localSheetId="114" hidden="1">{#N/A,#N/A,TRUE,"Смета на пасс. обор. №1"}</definedName>
    <definedName name="ыва" localSheetId="115" hidden="1">{#N/A,#N/A,TRUE,"Смета на пасс. обор. №1"}</definedName>
    <definedName name="ыва" localSheetId="116" hidden="1">{#N/A,#N/A,TRUE,"Смета на пасс. обор. №1"}</definedName>
    <definedName name="ыва" localSheetId="117" hidden="1">{#N/A,#N/A,TRUE,"Смета на пасс. обор. №1"}</definedName>
    <definedName name="ыва" localSheetId="118" hidden="1">{#N/A,#N/A,TRUE,"Смета на пасс. обор. №1"}</definedName>
    <definedName name="ыва" localSheetId="121" hidden="1">{#N/A,#N/A,TRUE,"Смета на пасс. обор. №1"}</definedName>
    <definedName name="ыва" localSheetId="122" hidden="1">{#N/A,#N/A,TRUE,"Смета на пасс. обор. №1"}</definedName>
    <definedName name="ыва" localSheetId="8">#REF!</definedName>
    <definedName name="ыва" localSheetId="11">#REF!</definedName>
    <definedName name="ыва" localSheetId="110" hidden="1">{#N/A,#N/A,TRUE,"Смета на пасс. обор. №1"}</definedName>
    <definedName name="ыва" localSheetId="109" hidden="1">{#N/A,#N/A,TRUE,"Смета на пасс. обор. №1"}</definedName>
    <definedName name="ыва" localSheetId="108" hidden="1">{#N/A,#N/A,TRUE,"Смета на пасс. обор. №1"}</definedName>
    <definedName name="ыва" localSheetId="6">#REF!</definedName>
    <definedName name="ыва" localSheetId="9">#REF!</definedName>
    <definedName name="ыва" localSheetId="7" hidden="1">{#N/A,#N/A,TRUE,"Смета на пасс. обор. №1"}</definedName>
    <definedName name="ыва" localSheetId="92" hidden="1">{#N/A,#N/A,TRUE,"Смета на пасс. обор. №1"}</definedName>
    <definedName name="ыва" localSheetId="93" hidden="1">{#N/A,#N/A,TRUE,"Смета на пасс. обор. №1"}</definedName>
    <definedName name="ыва" localSheetId="94" hidden="1">{#N/A,#N/A,TRUE,"Смета на пасс. обор. №1"}</definedName>
    <definedName name="ыва" localSheetId="99" hidden="1">{#N/A,#N/A,TRUE,"Смета на пасс. обор. №1"}</definedName>
    <definedName name="ыва" localSheetId="100" hidden="1">{#N/A,#N/A,TRUE,"Смета на пасс. обор. №1"}</definedName>
    <definedName name="ыва" localSheetId="106" hidden="1">{#N/A,#N/A,TRUE,"Смета на пасс. обор. №1"}</definedName>
    <definedName name="ыва" localSheetId="2" hidden="1">{#N/A,#N/A,TRUE,"Смета на пасс. обор. №1"}</definedName>
    <definedName name="ыва" localSheetId="123" hidden="1">{#N/A,#N/A,TRUE,"Смета на пасс. обор. №1"}</definedName>
    <definedName name="ыва" localSheetId="4" hidden="1">{#N/A,#N/A,TRUE,"Смета на пасс. обор. №1"}</definedName>
    <definedName name="ыва" localSheetId="13" hidden="1">{#N/A,#N/A,TRUE,"Смета на пасс. обор. №1"}</definedName>
    <definedName name="ыва" hidden="1">{#N/A,#N/A,TRUE,"Смета на пасс. обор. №1"}</definedName>
    <definedName name="ыва_1" localSheetId="10" hidden="1">{#N/A,#N/A,TRUE,"Смета на пасс. обор. №1"}</definedName>
    <definedName name="ыва_1" localSheetId="12" hidden="1">{#N/A,#N/A,TRUE,"Смета на пасс. обор. №1"}</definedName>
    <definedName name="ыва_1" localSheetId="111" hidden="1">{#N/A,#N/A,TRUE,"Смета на пасс. обор. №1"}</definedName>
    <definedName name="ыва_1" localSheetId="112" hidden="1">{#N/A,#N/A,TRUE,"Смета на пасс. обор. №1"}</definedName>
    <definedName name="ыва_1" localSheetId="113" hidden="1">{#N/A,#N/A,TRUE,"Смета на пасс. обор. №1"}</definedName>
    <definedName name="ыва_1" localSheetId="114" hidden="1">{#N/A,#N/A,TRUE,"Смета на пасс. обор. №1"}</definedName>
    <definedName name="ыва_1" localSheetId="115" hidden="1">{#N/A,#N/A,TRUE,"Смета на пасс. обор. №1"}</definedName>
    <definedName name="ыва_1" localSheetId="116" hidden="1">{#N/A,#N/A,TRUE,"Смета на пасс. обор. №1"}</definedName>
    <definedName name="ыва_1" localSheetId="117" hidden="1">{#N/A,#N/A,TRUE,"Смета на пасс. обор. №1"}</definedName>
    <definedName name="ыва_1" localSheetId="118" hidden="1">{#N/A,#N/A,TRUE,"Смета на пасс. обор. №1"}</definedName>
    <definedName name="ыва_1" localSheetId="121" hidden="1">{#N/A,#N/A,TRUE,"Смета на пасс. обор. №1"}</definedName>
    <definedName name="ыва_1" localSheetId="122" hidden="1">{#N/A,#N/A,TRUE,"Смета на пасс. обор. №1"}</definedName>
    <definedName name="ыва_1" localSheetId="8" hidden="1">{#N/A,#N/A,TRUE,"Смета на пасс. обор. №1"}</definedName>
    <definedName name="ыва_1" localSheetId="11" hidden="1">{#N/A,#N/A,TRUE,"Смета на пасс. обор. №1"}</definedName>
    <definedName name="ыва_1" localSheetId="110" hidden="1">{#N/A,#N/A,TRUE,"Смета на пасс. обор. №1"}</definedName>
    <definedName name="ыва_1" localSheetId="109" hidden="1">{#N/A,#N/A,TRUE,"Смета на пасс. обор. №1"}</definedName>
    <definedName name="ыва_1" localSheetId="108" hidden="1">{#N/A,#N/A,TRUE,"Смета на пасс. обор. №1"}</definedName>
    <definedName name="ыва_1" localSheetId="6" hidden="1">{#N/A,#N/A,TRUE,"Смета на пасс. обор. №1"}</definedName>
    <definedName name="ыва_1" localSheetId="9" hidden="1">{#N/A,#N/A,TRUE,"Смета на пасс. обор. №1"}</definedName>
    <definedName name="ыва_1" localSheetId="7" hidden="1">{#N/A,#N/A,TRUE,"Смета на пасс. обор. №1"}</definedName>
    <definedName name="ыва_1" localSheetId="92" hidden="1">{#N/A,#N/A,TRUE,"Смета на пасс. обор. №1"}</definedName>
    <definedName name="ыва_1" localSheetId="93" hidden="1">{#N/A,#N/A,TRUE,"Смета на пасс. обор. №1"}</definedName>
    <definedName name="ыва_1" localSheetId="94" hidden="1">{#N/A,#N/A,TRUE,"Смета на пасс. обор. №1"}</definedName>
    <definedName name="ыва_1" localSheetId="99" hidden="1">{#N/A,#N/A,TRUE,"Смета на пасс. обор. №1"}</definedName>
    <definedName name="ыва_1" localSheetId="100" hidden="1">{#N/A,#N/A,TRUE,"Смета на пасс. обор. №1"}</definedName>
    <definedName name="ыва_1" localSheetId="106" hidden="1">{#N/A,#N/A,TRUE,"Смета на пасс. обор. №1"}</definedName>
    <definedName name="ыва_1" localSheetId="2" hidden="1">{#N/A,#N/A,TRUE,"Смета на пасс. обор. №1"}</definedName>
    <definedName name="ыва_1" localSheetId="123" hidden="1">{#N/A,#N/A,TRUE,"Смета на пасс. обор. №1"}</definedName>
    <definedName name="ыва_1" localSheetId="4" hidden="1">{#N/A,#N/A,TRUE,"Смета на пасс. обор. №1"}</definedName>
    <definedName name="ыва_1" localSheetId="13" hidden="1">{#N/A,#N/A,TRUE,"Смета на пасс. обор. №1"}</definedName>
    <definedName name="ыва_1" hidden="1">{#N/A,#N/A,TRUE,"Смета на пасс. обор. №1"}</definedName>
    <definedName name="ывапвыфп" localSheetId="10">[4]топография!#REF!</definedName>
    <definedName name="ывапвыфп" localSheetId="9">[4]топография!#REF!</definedName>
    <definedName name="ывапвыфп">[4]топография!#REF!</definedName>
    <definedName name="ываф" localSheetId="10">#REF!</definedName>
    <definedName name="ываф" localSheetId="9">#REF!</definedName>
    <definedName name="ываф">#REF!</definedName>
    <definedName name="Ываы" localSheetId="10">#REF!</definedName>
    <definedName name="Ываы" localSheetId="9">#REF!</definedName>
    <definedName name="Ываы">#REF!</definedName>
    <definedName name="ЫВаЫа" localSheetId="10">#REF!</definedName>
    <definedName name="ЫВаЫа" localSheetId="9">#REF!</definedName>
    <definedName name="ЫВаЫа">#REF!</definedName>
    <definedName name="ЫВаЫваав" localSheetId="10">#REF!</definedName>
    <definedName name="ЫВаЫваав" localSheetId="9">#REF!</definedName>
    <definedName name="ЫВаЫваав">#REF!</definedName>
    <definedName name="ывпавар" localSheetId="10">#REF!</definedName>
    <definedName name="ывпавар" localSheetId="9">#REF!</definedName>
    <definedName name="ывпавар">#REF!</definedName>
    <definedName name="ЫВПВвввв" localSheetId="10">[7]топография!#REF!</definedName>
    <definedName name="ЫВПВвввв" localSheetId="9">[7]топография!#REF!</definedName>
    <definedName name="ЫВПВвввв">[7]топография!#REF!</definedName>
    <definedName name="ыВПВП" localSheetId="10">#REF!</definedName>
    <definedName name="ыВПВП" localSheetId="9">#REF!</definedName>
    <definedName name="ыВПВП">#REF!</definedName>
    <definedName name="ыкен" localSheetId="10">#REF!</definedName>
    <definedName name="ыкен" localSheetId="9">#REF!</definedName>
    <definedName name="ыкен">#REF!</definedName>
    <definedName name="ыопвпо" localSheetId="10">#REF!</definedName>
    <definedName name="ыопвпо" localSheetId="9">#REF!</definedName>
    <definedName name="ыопвпо">#REF!</definedName>
    <definedName name="ып" localSheetId="10">#REF!</definedName>
    <definedName name="ып" localSheetId="9">#REF!</definedName>
    <definedName name="ып">#REF!</definedName>
    <definedName name="ыпаота" localSheetId="10">#REF!</definedName>
    <definedName name="ыпаота" localSheetId="9">#REF!</definedName>
    <definedName name="ыпаота">#REF!</definedName>
    <definedName name="ыпартап" localSheetId="10">#REF!</definedName>
    <definedName name="ыпартап" localSheetId="9">#REF!</definedName>
    <definedName name="ыпартап">#REF!</definedName>
    <definedName name="ыпатапт" localSheetId="10">#REF!</definedName>
    <definedName name="ыпатапт" localSheetId="9">#REF!</definedName>
    <definedName name="ыпатапт">#REF!</definedName>
    <definedName name="ыпми" localSheetId="10">#REF!</definedName>
    <definedName name="ыпми" localSheetId="9">#REF!</definedName>
    <definedName name="ыпми">#REF!</definedName>
    <definedName name="ыпо" localSheetId="10">#REF!</definedName>
    <definedName name="ыпо" localSheetId="9">#REF!</definedName>
    <definedName name="ыпо">#REF!</definedName>
    <definedName name="ыпоыа" localSheetId="10">#REF!</definedName>
    <definedName name="ыпоыа" localSheetId="9">#REF!</definedName>
    <definedName name="ыпоыа">#REF!</definedName>
    <definedName name="ыпоыапо" localSheetId="10">#REF!</definedName>
    <definedName name="ыпоыапо" localSheetId="9">#REF!</definedName>
    <definedName name="ыпоыапо">#REF!</definedName>
    <definedName name="ыпр" localSheetId="10">#REF!</definedName>
    <definedName name="ыпр" localSheetId="9">#REF!</definedName>
    <definedName name="ыпр">#REF!</definedName>
    <definedName name="ыпрапр" localSheetId="10">#REF!</definedName>
    <definedName name="ыпрапр" localSheetId="9">#REF!</definedName>
    <definedName name="ыпрапр">#REF!</definedName>
    <definedName name="ыпраыпо" localSheetId="10">[5]топография!#REF!</definedName>
    <definedName name="ыпраыпо" localSheetId="9">[5]топография!#REF!</definedName>
    <definedName name="ыпраыпо">[5]топография!#REF!</definedName>
    <definedName name="ыпры" localSheetId="10">#REF!</definedName>
    <definedName name="ыпры" localSheetId="9">#REF!</definedName>
    <definedName name="ыпры">#REF!</definedName>
    <definedName name="ырипыр" localSheetId="10">#REF!</definedName>
    <definedName name="ырипыр" localSheetId="9">#REF!</definedName>
    <definedName name="ырипыр">#REF!</definedName>
    <definedName name="ырп" localSheetId="10">#REF!</definedName>
    <definedName name="ырп" localSheetId="9">#REF!</definedName>
    <definedName name="ырп">#REF!</definedName>
    <definedName name="ыукнр" localSheetId="10">#REF!</definedName>
    <definedName name="ыукнр" localSheetId="9">#REF!</definedName>
    <definedName name="ыукнр">#REF!</definedName>
    <definedName name="ыы" localSheetId="10">#REF!</definedName>
    <definedName name="ыы" localSheetId="12">#REF!</definedName>
    <definedName name="ыы" localSheetId="116">#REF!</definedName>
    <definedName name="ыы" localSheetId="110">#REF!</definedName>
    <definedName name="ыы" localSheetId="109">#REF!</definedName>
    <definedName name="ыы" localSheetId="108">#REF!</definedName>
    <definedName name="ыы" localSheetId="9">#REF!</definedName>
    <definedName name="ыы" localSheetId="92">#REF!</definedName>
    <definedName name="ыы" localSheetId="93">#REF!</definedName>
    <definedName name="ыы" localSheetId="94">#REF!</definedName>
    <definedName name="ыы" localSheetId="99">#REF!</definedName>
    <definedName name="ыы" localSheetId="100">#REF!</definedName>
    <definedName name="ыы" localSheetId="106">#REF!</definedName>
    <definedName name="ыы">#REF!</definedName>
    <definedName name="ыы_1" localSheetId="10">#REF!</definedName>
    <definedName name="ыы_1" localSheetId="12">#REF!</definedName>
    <definedName name="ыы_1" localSheetId="116">#REF!</definedName>
    <definedName name="ыы_1" localSheetId="110">#REF!</definedName>
    <definedName name="ыы_1" localSheetId="109">#REF!</definedName>
    <definedName name="ыы_1" localSheetId="108">#REF!</definedName>
    <definedName name="ыы_1" localSheetId="9">#REF!</definedName>
    <definedName name="ыы_1" localSheetId="92">#REF!</definedName>
    <definedName name="ыы_1" localSheetId="93">#REF!</definedName>
    <definedName name="ыы_1" localSheetId="94">#REF!</definedName>
    <definedName name="ыы_1" localSheetId="99">#REF!</definedName>
    <definedName name="ыы_1" localSheetId="100">#REF!</definedName>
    <definedName name="ыы_1" localSheetId="106">#REF!</definedName>
    <definedName name="ыы_1">#REF!</definedName>
    <definedName name="ыы_10" localSheetId="10">#REF!</definedName>
    <definedName name="ыы_10" localSheetId="12">#REF!</definedName>
    <definedName name="ыы_10" localSheetId="116">#REF!</definedName>
    <definedName name="ыы_10" localSheetId="110">#REF!</definedName>
    <definedName name="ыы_10" localSheetId="109">#REF!</definedName>
    <definedName name="ыы_10" localSheetId="108">#REF!</definedName>
    <definedName name="ыы_10" localSheetId="9">#REF!</definedName>
    <definedName name="ыы_10" localSheetId="92">#REF!</definedName>
    <definedName name="ыы_10" localSheetId="93">#REF!</definedName>
    <definedName name="ыы_10" localSheetId="94">#REF!</definedName>
    <definedName name="ыы_10" localSheetId="99">#REF!</definedName>
    <definedName name="ыы_10" localSheetId="100">#REF!</definedName>
    <definedName name="ыы_10" localSheetId="106">#REF!</definedName>
    <definedName name="ыы_10">#REF!</definedName>
    <definedName name="ыы_11" localSheetId="10">#REF!</definedName>
    <definedName name="ыы_11" localSheetId="12">#REF!</definedName>
    <definedName name="ыы_11" localSheetId="110">#REF!</definedName>
    <definedName name="ыы_11" localSheetId="9">#REF!</definedName>
    <definedName name="ыы_11">#REF!</definedName>
    <definedName name="ыы_12" localSheetId="10">#REF!</definedName>
    <definedName name="ыы_12" localSheetId="12">#REF!</definedName>
    <definedName name="ыы_12" localSheetId="110">#REF!</definedName>
    <definedName name="ыы_12" localSheetId="9">#REF!</definedName>
    <definedName name="ыы_12">#REF!</definedName>
    <definedName name="ыы_13" localSheetId="10">#REF!</definedName>
    <definedName name="ыы_13" localSheetId="12">#REF!</definedName>
    <definedName name="ыы_13" localSheetId="110">#REF!</definedName>
    <definedName name="ыы_13" localSheetId="9">#REF!</definedName>
    <definedName name="ыы_13">#REF!</definedName>
    <definedName name="ыы_14" localSheetId="10">#REF!</definedName>
    <definedName name="ыы_14" localSheetId="12">#REF!</definedName>
    <definedName name="ыы_14" localSheetId="110">#REF!</definedName>
    <definedName name="ыы_14" localSheetId="9">#REF!</definedName>
    <definedName name="ыы_14">#REF!</definedName>
    <definedName name="ыы_15" localSheetId="10">#REF!</definedName>
    <definedName name="ыы_15" localSheetId="12">#REF!</definedName>
    <definedName name="ыы_15" localSheetId="110">#REF!</definedName>
    <definedName name="ыы_15" localSheetId="9">#REF!</definedName>
    <definedName name="ыы_15">#REF!</definedName>
    <definedName name="ыы_16" localSheetId="10">#REF!</definedName>
    <definedName name="ыы_16" localSheetId="12">#REF!</definedName>
    <definedName name="ыы_16" localSheetId="110">#REF!</definedName>
    <definedName name="ыы_16" localSheetId="9">#REF!</definedName>
    <definedName name="ыы_16">#REF!</definedName>
    <definedName name="ыы_17" localSheetId="10">#REF!</definedName>
    <definedName name="ыы_17" localSheetId="12">#REF!</definedName>
    <definedName name="ыы_17" localSheetId="110">#REF!</definedName>
    <definedName name="ыы_17" localSheetId="9">#REF!</definedName>
    <definedName name="ыы_17">#REF!</definedName>
    <definedName name="ыы_18" localSheetId="10">#REF!</definedName>
    <definedName name="ыы_18" localSheetId="12">#REF!</definedName>
    <definedName name="ыы_18" localSheetId="110">#REF!</definedName>
    <definedName name="ыы_18" localSheetId="9">#REF!</definedName>
    <definedName name="ыы_18">#REF!</definedName>
    <definedName name="ыы_19" localSheetId="10">#REF!</definedName>
    <definedName name="ыы_19" localSheetId="12">#REF!</definedName>
    <definedName name="ыы_19" localSheetId="110">#REF!</definedName>
    <definedName name="ыы_19" localSheetId="9">#REF!</definedName>
    <definedName name="ыы_19">#REF!</definedName>
    <definedName name="ыы_2" localSheetId="10">#REF!</definedName>
    <definedName name="ыы_2" localSheetId="12">#REF!</definedName>
    <definedName name="ыы_2" localSheetId="110">#REF!</definedName>
    <definedName name="ыы_2" localSheetId="9">#REF!</definedName>
    <definedName name="ыы_2">#REF!</definedName>
    <definedName name="ыы_20" localSheetId="10">#REF!</definedName>
    <definedName name="ыы_20" localSheetId="12">#REF!</definedName>
    <definedName name="ыы_20" localSheetId="110">#REF!</definedName>
    <definedName name="ыы_20" localSheetId="9">#REF!</definedName>
    <definedName name="ыы_20">#REF!</definedName>
    <definedName name="ыы_21" localSheetId="10">#REF!</definedName>
    <definedName name="ыы_21" localSheetId="12">#REF!</definedName>
    <definedName name="ыы_21" localSheetId="110">#REF!</definedName>
    <definedName name="ыы_21" localSheetId="9">#REF!</definedName>
    <definedName name="ыы_21">#REF!</definedName>
    <definedName name="ыы_49" localSheetId="10">#REF!</definedName>
    <definedName name="ыы_49" localSheetId="12">#REF!</definedName>
    <definedName name="ыы_49" localSheetId="110">#REF!</definedName>
    <definedName name="ыы_49" localSheetId="9">#REF!</definedName>
    <definedName name="ыы_49">#REF!</definedName>
    <definedName name="ыы_50" localSheetId="10">#REF!</definedName>
    <definedName name="ыы_50" localSheetId="12">#REF!</definedName>
    <definedName name="ыы_50" localSheetId="110">#REF!</definedName>
    <definedName name="ыы_50" localSheetId="9">#REF!</definedName>
    <definedName name="ыы_50">#REF!</definedName>
    <definedName name="ыы_51" localSheetId="10">#REF!</definedName>
    <definedName name="ыы_51" localSheetId="12">#REF!</definedName>
    <definedName name="ыы_51" localSheetId="110">#REF!</definedName>
    <definedName name="ыы_51" localSheetId="9">#REF!</definedName>
    <definedName name="ыы_51">#REF!</definedName>
    <definedName name="ыы_52" localSheetId="10">#REF!</definedName>
    <definedName name="ыы_52" localSheetId="12">#REF!</definedName>
    <definedName name="ыы_52" localSheetId="110">#REF!</definedName>
    <definedName name="ыы_52" localSheetId="9">#REF!</definedName>
    <definedName name="ыы_52">#REF!</definedName>
    <definedName name="ыы_53" localSheetId="10">#REF!</definedName>
    <definedName name="ыы_53" localSheetId="12">#REF!</definedName>
    <definedName name="ыы_53" localSheetId="110">#REF!</definedName>
    <definedName name="ыы_53" localSheetId="9">#REF!</definedName>
    <definedName name="ыы_53">#REF!</definedName>
    <definedName name="ыы_54" localSheetId="10">#REF!</definedName>
    <definedName name="ыы_54" localSheetId="12">#REF!</definedName>
    <definedName name="ыы_54" localSheetId="110">#REF!</definedName>
    <definedName name="ыы_54" localSheetId="9">#REF!</definedName>
    <definedName name="ыы_54">#REF!</definedName>
    <definedName name="ыы_6" localSheetId="10">#REF!</definedName>
    <definedName name="ыы_6" localSheetId="12">#REF!</definedName>
    <definedName name="ыы_6" localSheetId="110">#REF!</definedName>
    <definedName name="ыы_6" localSheetId="9">#REF!</definedName>
    <definedName name="ыы_6">#REF!</definedName>
    <definedName name="ыы_7" localSheetId="10">#REF!</definedName>
    <definedName name="ыы_7" localSheetId="12">#REF!</definedName>
    <definedName name="ыы_7" localSheetId="110">#REF!</definedName>
    <definedName name="ыы_7" localSheetId="9">#REF!</definedName>
    <definedName name="ыы_7">#REF!</definedName>
    <definedName name="ыы_8" localSheetId="10">#REF!</definedName>
    <definedName name="ыы_8" localSheetId="12">#REF!</definedName>
    <definedName name="ыы_8" localSheetId="110">#REF!</definedName>
    <definedName name="ыы_8" localSheetId="9">#REF!</definedName>
    <definedName name="ыы_8">#REF!</definedName>
    <definedName name="ыы_9" localSheetId="10">#REF!</definedName>
    <definedName name="ыы_9" localSheetId="12">#REF!</definedName>
    <definedName name="ыы_9" localSheetId="110">#REF!</definedName>
    <definedName name="ыы_9" localSheetId="9">#REF!</definedName>
    <definedName name="ыы_9">#REF!</definedName>
    <definedName name="ыыы" localSheetId="10">#REF!</definedName>
    <definedName name="ыыы" localSheetId="12">#REF!</definedName>
    <definedName name="ыыы" localSheetId="110">#REF!</definedName>
    <definedName name="ыыы" localSheetId="9">#REF!</definedName>
    <definedName name="ыыы">#REF!</definedName>
    <definedName name="ыыыы" localSheetId="10">#REF!</definedName>
    <definedName name="ыыыы" localSheetId="9">#REF!</definedName>
    <definedName name="ыыыы">#REF!</definedName>
    <definedName name="ьбют" localSheetId="10">#REF!</definedName>
    <definedName name="ьбют" localSheetId="9">#REF!</definedName>
    <definedName name="ьбют">#REF!</definedName>
    <definedName name="ьвпрьрп" localSheetId="10">#REF!</definedName>
    <definedName name="ьвпрьрп" localSheetId="9">#REF!</definedName>
    <definedName name="ьвпрьрп">#REF!</definedName>
    <definedName name="ьврп" localSheetId="10">#REF!</definedName>
    <definedName name="ьврп" localSheetId="9">#REF!</definedName>
    <definedName name="ьврп">#REF!</definedName>
    <definedName name="ьпрьп" localSheetId="10">#REF!</definedName>
    <definedName name="ьпрьп" localSheetId="9">#REF!</definedName>
    <definedName name="ьпрьп">#REF!</definedName>
    <definedName name="э1" localSheetId="10">#REF!</definedName>
    <definedName name="э1" localSheetId="12">#REF!</definedName>
    <definedName name="э1" localSheetId="110">#REF!</definedName>
    <definedName name="э1" localSheetId="9">#REF!</definedName>
    <definedName name="э1">#REF!</definedName>
    <definedName name="эж" localSheetId="10">#REF!</definedName>
    <definedName name="эж" localSheetId="12">#REF!</definedName>
    <definedName name="эж" localSheetId="110">#REF!</definedName>
    <definedName name="эж" localSheetId="9">#REF!</definedName>
    <definedName name="эж">#REF!</definedName>
    <definedName name="эж_1" localSheetId="10">#REF!</definedName>
    <definedName name="эж_1" localSheetId="12">#REF!</definedName>
    <definedName name="эж_1" localSheetId="110">#REF!</definedName>
    <definedName name="эж_1" localSheetId="9">#REF!</definedName>
    <definedName name="эж_1">#REF!</definedName>
    <definedName name="эж_10" localSheetId="10">#REF!</definedName>
    <definedName name="эж_10" localSheetId="12">#REF!</definedName>
    <definedName name="эж_10" localSheetId="110">#REF!</definedName>
    <definedName name="эж_10" localSheetId="9">#REF!</definedName>
    <definedName name="эж_10">#REF!</definedName>
    <definedName name="эж_11" localSheetId="10">#REF!</definedName>
    <definedName name="эж_11" localSheetId="12">#REF!</definedName>
    <definedName name="эж_11" localSheetId="110">#REF!</definedName>
    <definedName name="эж_11" localSheetId="9">#REF!</definedName>
    <definedName name="эж_11">#REF!</definedName>
    <definedName name="эж_12" localSheetId="10">#REF!</definedName>
    <definedName name="эж_12" localSheetId="12">#REF!</definedName>
    <definedName name="эж_12" localSheetId="110">#REF!</definedName>
    <definedName name="эж_12" localSheetId="9">#REF!</definedName>
    <definedName name="эж_12">#REF!</definedName>
    <definedName name="эж_13" localSheetId="10">#REF!</definedName>
    <definedName name="эж_13" localSheetId="12">#REF!</definedName>
    <definedName name="эж_13" localSheetId="110">#REF!</definedName>
    <definedName name="эж_13" localSheetId="9">#REF!</definedName>
    <definedName name="эж_13">#REF!</definedName>
    <definedName name="эж_14" localSheetId="10">#REF!</definedName>
    <definedName name="эж_14" localSheetId="12">#REF!</definedName>
    <definedName name="эж_14" localSheetId="110">#REF!</definedName>
    <definedName name="эж_14" localSheetId="9">#REF!</definedName>
    <definedName name="эж_14">#REF!</definedName>
    <definedName name="эж_15" localSheetId="10">#REF!</definedName>
    <definedName name="эж_15" localSheetId="12">#REF!</definedName>
    <definedName name="эж_15" localSheetId="110">#REF!</definedName>
    <definedName name="эж_15" localSheetId="9">#REF!</definedName>
    <definedName name="эж_15">#REF!</definedName>
    <definedName name="эж_16" localSheetId="10">#REF!</definedName>
    <definedName name="эж_16" localSheetId="12">#REF!</definedName>
    <definedName name="эж_16" localSheetId="110">#REF!</definedName>
    <definedName name="эж_16" localSheetId="9">#REF!</definedName>
    <definedName name="эж_16">#REF!</definedName>
    <definedName name="эж_17" localSheetId="10">#REF!</definedName>
    <definedName name="эж_17" localSheetId="12">#REF!</definedName>
    <definedName name="эж_17" localSheetId="110">#REF!</definedName>
    <definedName name="эж_17" localSheetId="9">#REF!</definedName>
    <definedName name="эж_17">#REF!</definedName>
    <definedName name="эж_18" localSheetId="10">#REF!</definedName>
    <definedName name="эж_18" localSheetId="12">#REF!</definedName>
    <definedName name="эж_18" localSheetId="110">#REF!</definedName>
    <definedName name="эж_18" localSheetId="9">#REF!</definedName>
    <definedName name="эж_18">#REF!</definedName>
    <definedName name="эж_19" localSheetId="10">#REF!</definedName>
    <definedName name="эж_19" localSheetId="12">#REF!</definedName>
    <definedName name="эж_19" localSheetId="110">#REF!</definedName>
    <definedName name="эж_19" localSheetId="9">#REF!</definedName>
    <definedName name="эж_19">#REF!</definedName>
    <definedName name="эж_2" localSheetId="10">#REF!</definedName>
    <definedName name="эж_2" localSheetId="12">#REF!</definedName>
    <definedName name="эж_2" localSheetId="110">#REF!</definedName>
    <definedName name="эж_2" localSheetId="9">#REF!</definedName>
    <definedName name="эж_2">#REF!</definedName>
    <definedName name="эж_20" localSheetId="10">#REF!</definedName>
    <definedName name="эж_20" localSheetId="12">#REF!</definedName>
    <definedName name="эж_20" localSheetId="110">#REF!</definedName>
    <definedName name="эж_20" localSheetId="9">#REF!</definedName>
    <definedName name="эж_20">#REF!</definedName>
    <definedName name="эж_21" localSheetId="10">#REF!</definedName>
    <definedName name="эж_21" localSheetId="12">#REF!</definedName>
    <definedName name="эж_21" localSheetId="110">#REF!</definedName>
    <definedName name="эж_21" localSheetId="9">#REF!</definedName>
    <definedName name="эж_21">#REF!</definedName>
    <definedName name="эж_49" localSheetId="10">#REF!</definedName>
    <definedName name="эж_49" localSheetId="12">#REF!</definedName>
    <definedName name="эж_49" localSheetId="110">#REF!</definedName>
    <definedName name="эж_49" localSheetId="9">#REF!</definedName>
    <definedName name="эж_49">#REF!</definedName>
    <definedName name="эж_50" localSheetId="10">#REF!</definedName>
    <definedName name="эж_50" localSheetId="12">#REF!</definedName>
    <definedName name="эж_50" localSheetId="110">#REF!</definedName>
    <definedName name="эж_50" localSheetId="9">#REF!</definedName>
    <definedName name="эж_50">#REF!</definedName>
    <definedName name="эж_51" localSheetId="10">#REF!</definedName>
    <definedName name="эж_51" localSheetId="12">#REF!</definedName>
    <definedName name="эж_51" localSheetId="110">#REF!</definedName>
    <definedName name="эж_51" localSheetId="9">#REF!</definedName>
    <definedName name="эж_51">#REF!</definedName>
    <definedName name="эж_52" localSheetId="10">#REF!</definedName>
    <definedName name="эж_52" localSheetId="12">#REF!</definedName>
    <definedName name="эж_52" localSheetId="110">#REF!</definedName>
    <definedName name="эж_52" localSheetId="9">#REF!</definedName>
    <definedName name="эж_52">#REF!</definedName>
    <definedName name="эж_53" localSheetId="10">#REF!</definedName>
    <definedName name="эж_53" localSheetId="12">#REF!</definedName>
    <definedName name="эж_53" localSheetId="110">#REF!</definedName>
    <definedName name="эж_53" localSheetId="9">#REF!</definedName>
    <definedName name="эж_53">#REF!</definedName>
    <definedName name="эж_54" localSheetId="10">#REF!</definedName>
    <definedName name="эж_54" localSheetId="12">#REF!</definedName>
    <definedName name="эж_54" localSheetId="110">#REF!</definedName>
    <definedName name="эж_54" localSheetId="9">#REF!</definedName>
    <definedName name="эж_54">#REF!</definedName>
    <definedName name="эж_6" localSheetId="10">#REF!</definedName>
    <definedName name="эж_6" localSheetId="12">#REF!</definedName>
    <definedName name="эж_6" localSheetId="110">#REF!</definedName>
    <definedName name="эж_6" localSheetId="9">#REF!</definedName>
    <definedName name="эж_6">#REF!</definedName>
    <definedName name="эж_7" localSheetId="10">#REF!</definedName>
    <definedName name="эж_7" localSheetId="12">#REF!</definedName>
    <definedName name="эж_7" localSheetId="110">#REF!</definedName>
    <definedName name="эж_7" localSheetId="9">#REF!</definedName>
    <definedName name="эж_7">#REF!</definedName>
    <definedName name="эж_8" localSheetId="10">#REF!</definedName>
    <definedName name="эж_8" localSheetId="12">#REF!</definedName>
    <definedName name="эж_8" localSheetId="110">#REF!</definedName>
    <definedName name="эж_8" localSheetId="9">#REF!</definedName>
    <definedName name="эж_8">#REF!</definedName>
    <definedName name="эж_9" localSheetId="10">#REF!</definedName>
    <definedName name="эж_9" localSheetId="12">#REF!</definedName>
    <definedName name="эж_9" localSheetId="110">#REF!</definedName>
    <definedName name="эж_9" localSheetId="9">#REF!</definedName>
    <definedName name="эж_9">#REF!</definedName>
    <definedName name="эк" localSheetId="10">#REF!</definedName>
    <definedName name="эк" localSheetId="12">#REF!</definedName>
    <definedName name="эк" localSheetId="110">#REF!</definedName>
    <definedName name="эк" localSheetId="9">#REF!</definedName>
    <definedName name="эк">#REF!</definedName>
    <definedName name="эк1" localSheetId="10">#REF!</definedName>
    <definedName name="эк1" localSheetId="12">#REF!</definedName>
    <definedName name="эк1" localSheetId="110">#REF!</definedName>
    <definedName name="эк1" localSheetId="9">#REF!</definedName>
    <definedName name="эк1">#REF!</definedName>
    <definedName name="эко" localSheetId="10">#REF!</definedName>
    <definedName name="эко" localSheetId="12">#REF!</definedName>
    <definedName name="эко" localSheetId="110">#REF!</definedName>
    <definedName name="эко" localSheetId="9">#REF!</definedName>
    <definedName name="эко">#REF!</definedName>
    <definedName name="эко___0" localSheetId="10">#REF!</definedName>
    <definedName name="эко___0" localSheetId="9">#REF!</definedName>
    <definedName name="эко___0">#REF!</definedName>
    <definedName name="эко___0_1" localSheetId="10">#REF!</definedName>
    <definedName name="эко___0_1" localSheetId="9">#REF!</definedName>
    <definedName name="эко___0_1">#REF!</definedName>
    <definedName name="эко_1" localSheetId="10">#REF!</definedName>
    <definedName name="эко_1" localSheetId="9">#REF!</definedName>
    <definedName name="эко_1">#REF!</definedName>
    <definedName name="эко_5" localSheetId="10">#REF!</definedName>
    <definedName name="эко_5" localSheetId="9">#REF!</definedName>
    <definedName name="эко_5">#REF!</definedName>
    <definedName name="эко_5_1" localSheetId="10">#REF!</definedName>
    <definedName name="эко_5_1" localSheetId="9">#REF!</definedName>
    <definedName name="эко_5_1">#REF!</definedName>
    <definedName name="эко1" localSheetId="10">#REF!</definedName>
    <definedName name="эко1" localSheetId="12">#REF!</definedName>
    <definedName name="эко1" localSheetId="110">#REF!</definedName>
    <definedName name="эко1" localSheetId="9">#REF!</definedName>
    <definedName name="эко1">#REF!</definedName>
    <definedName name="экол.1" localSheetId="10">[71]топография!#REF!</definedName>
    <definedName name="экол.1" localSheetId="12">[7]топография!#REF!</definedName>
    <definedName name="экол.1" localSheetId="8">[71]топография!#REF!</definedName>
    <definedName name="экол.1" localSheetId="11">[71]топография!#REF!</definedName>
    <definedName name="экол.1" localSheetId="110">[7]топография!#REF!</definedName>
    <definedName name="экол.1" localSheetId="6">[71]топография!#REF!</definedName>
    <definedName name="экол.1" localSheetId="9">[71]топография!#REF!</definedName>
    <definedName name="экол.1" localSheetId="7">[71]топография!#REF!</definedName>
    <definedName name="экол.1">[7]топография!#REF!</definedName>
    <definedName name="экол1" localSheetId="10">#REF!</definedName>
    <definedName name="экол1" localSheetId="12">#REF!</definedName>
    <definedName name="экол1" localSheetId="116">#REF!</definedName>
    <definedName name="экол1" localSheetId="8">#REF!</definedName>
    <definedName name="экол1" localSheetId="11">#REF!</definedName>
    <definedName name="экол1" localSheetId="110">#REF!</definedName>
    <definedName name="экол1" localSheetId="109">#REF!</definedName>
    <definedName name="экол1" localSheetId="108">#REF!</definedName>
    <definedName name="экол1" localSheetId="6">#REF!</definedName>
    <definedName name="экол1" localSheetId="9">#REF!</definedName>
    <definedName name="экол1" localSheetId="7">#REF!</definedName>
    <definedName name="экол1" localSheetId="92">#REF!</definedName>
    <definedName name="экол1" localSheetId="93">#REF!</definedName>
    <definedName name="экол1" localSheetId="94">#REF!</definedName>
    <definedName name="экол1" localSheetId="99">#REF!</definedName>
    <definedName name="экол1" localSheetId="100">#REF!</definedName>
    <definedName name="экол1" localSheetId="106">#REF!</definedName>
    <definedName name="экол1">#REF!</definedName>
    <definedName name="экол2" localSheetId="10">#REF!</definedName>
    <definedName name="экол2" localSheetId="12">#REF!</definedName>
    <definedName name="экол2" localSheetId="116">#REF!</definedName>
    <definedName name="экол2" localSheetId="8">#REF!</definedName>
    <definedName name="экол2" localSheetId="11">#REF!</definedName>
    <definedName name="экол2" localSheetId="110">#REF!</definedName>
    <definedName name="экол2" localSheetId="109">#REF!</definedName>
    <definedName name="экол2" localSheetId="108">#REF!</definedName>
    <definedName name="экол2" localSheetId="6">#REF!</definedName>
    <definedName name="экол2" localSheetId="9">#REF!</definedName>
    <definedName name="экол2" localSheetId="7">#REF!</definedName>
    <definedName name="экол2" localSheetId="92">#REF!</definedName>
    <definedName name="экол2" localSheetId="93">#REF!</definedName>
    <definedName name="экол2" localSheetId="94">#REF!</definedName>
    <definedName name="экол2" localSheetId="99">#REF!</definedName>
    <definedName name="экол2" localSheetId="100">#REF!</definedName>
    <definedName name="экол2" localSheetId="106">#REF!</definedName>
    <definedName name="экол2">#REF!</definedName>
    <definedName name="Экол3" localSheetId="10">#REF!</definedName>
    <definedName name="Экол3" localSheetId="12">#REF!</definedName>
    <definedName name="Экол3" localSheetId="116">#REF!</definedName>
    <definedName name="Экол3" localSheetId="110">#REF!</definedName>
    <definedName name="Экол3" localSheetId="109">#REF!</definedName>
    <definedName name="Экол3" localSheetId="108">#REF!</definedName>
    <definedName name="Экол3" localSheetId="9">#REF!</definedName>
    <definedName name="Экол3" localSheetId="92">#REF!</definedName>
    <definedName name="Экол3" localSheetId="93">#REF!</definedName>
    <definedName name="Экол3" localSheetId="94">#REF!</definedName>
    <definedName name="Экол3" localSheetId="99">#REF!</definedName>
    <definedName name="Экол3" localSheetId="100">#REF!</definedName>
    <definedName name="Экол3" localSheetId="106">#REF!</definedName>
    <definedName name="Экол3">#REF!</definedName>
    <definedName name="эколог" localSheetId="10">#REF!</definedName>
    <definedName name="эколог" localSheetId="12">#REF!</definedName>
    <definedName name="эколог" localSheetId="110">#REF!</definedName>
    <definedName name="эколог" localSheetId="9">#REF!</definedName>
    <definedName name="эколог">#REF!</definedName>
    <definedName name="экология">NA()</definedName>
    <definedName name="экологияч" localSheetId="10">#REF!</definedName>
    <definedName name="экологияч" localSheetId="9">#REF!</definedName>
    <definedName name="экологияч">#REF!</definedName>
    <definedName name="экт" localSheetId="10">#REF!</definedName>
    <definedName name="экт" localSheetId="9">#REF!</definedName>
    <definedName name="экт">#REF!</definedName>
    <definedName name="эл" localSheetId="10" hidden="1">{#N/A,#N/A,TRUE,"Смета на пасс. обор. №1"}</definedName>
    <definedName name="эл" localSheetId="12" hidden="1">{#N/A,#N/A,TRUE,"Смета на пасс. обор. №1"}</definedName>
    <definedName name="эл" localSheetId="111" hidden="1">{#N/A,#N/A,TRUE,"Смета на пасс. обор. №1"}</definedName>
    <definedName name="эл" localSheetId="112" hidden="1">{#N/A,#N/A,TRUE,"Смета на пасс. обор. №1"}</definedName>
    <definedName name="эл" localSheetId="113" hidden="1">{#N/A,#N/A,TRUE,"Смета на пасс. обор. №1"}</definedName>
    <definedName name="эл" localSheetId="114" hidden="1">{#N/A,#N/A,TRUE,"Смета на пасс. обор. №1"}</definedName>
    <definedName name="эл" localSheetId="115" hidden="1">{#N/A,#N/A,TRUE,"Смета на пасс. обор. №1"}</definedName>
    <definedName name="эл" localSheetId="116" hidden="1">{#N/A,#N/A,TRUE,"Смета на пасс. обор. №1"}</definedName>
    <definedName name="эл" localSheetId="117" hidden="1">{#N/A,#N/A,TRUE,"Смета на пасс. обор. №1"}</definedName>
    <definedName name="эл" localSheetId="118" hidden="1">{#N/A,#N/A,TRUE,"Смета на пасс. обор. №1"}</definedName>
    <definedName name="эл" localSheetId="121" hidden="1">{#N/A,#N/A,TRUE,"Смета на пасс. обор. №1"}</definedName>
    <definedName name="эл" localSheetId="122" hidden="1">{#N/A,#N/A,TRUE,"Смета на пасс. обор. №1"}</definedName>
    <definedName name="эл" localSheetId="8" hidden="1">{#N/A,#N/A,TRUE,"Смета на пасс. обор. №1"}</definedName>
    <definedName name="эл" localSheetId="11" hidden="1">{#N/A,#N/A,TRUE,"Смета на пасс. обор. №1"}</definedName>
    <definedName name="эл" localSheetId="110" hidden="1">{#N/A,#N/A,TRUE,"Смета на пасс. обор. №1"}</definedName>
    <definedName name="эл" localSheetId="109" hidden="1">{#N/A,#N/A,TRUE,"Смета на пасс. обор. №1"}</definedName>
    <definedName name="эл" localSheetId="108" hidden="1">{#N/A,#N/A,TRUE,"Смета на пасс. обор. №1"}</definedName>
    <definedName name="эл" localSheetId="6" hidden="1">{#N/A,#N/A,TRUE,"Смета на пасс. обор. №1"}</definedName>
    <definedName name="эл" localSheetId="9" hidden="1">{#N/A,#N/A,TRUE,"Смета на пасс. обор. №1"}</definedName>
    <definedName name="эл" localSheetId="7" hidden="1">{#N/A,#N/A,TRUE,"Смета на пасс. обор. №1"}</definedName>
    <definedName name="эл" localSheetId="92" hidden="1">{#N/A,#N/A,TRUE,"Смета на пасс. обор. №1"}</definedName>
    <definedName name="эл" localSheetId="93" hidden="1">{#N/A,#N/A,TRUE,"Смета на пасс. обор. №1"}</definedName>
    <definedName name="эл" localSheetId="94" hidden="1">{#N/A,#N/A,TRUE,"Смета на пасс. обор. №1"}</definedName>
    <definedName name="эл" localSheetId="99" hidden="1">{#N/A,#N/A,TRUE,"Смета на пасс. обор. №1"}</definedName>
    <definedName name="эл" localSheetId="100" hidden="1">{#N/A,#N/A,TRUE,"Смета на пасс. обор. №1"}</definedName>
    <definedName name="эл" localSheetId="106" hidden="1">{#N/A,#N/A,TRUE,"Смета на пасс. обор. №1"}</definedName>
    <definedName name="эл" localSheetId="2" hidden="1">{#N/A,#N/A,TRUE,"Смета на пасс. обор. №1"}</definedName>
    <definedName name="эл" localSheetId="123" hidden="1">{#N/A,#N/A,TRUE,"Смета на пасс. обор. №1"}</definedName>
    <definedName name="эл" localSheetId="4" hidden="1">{#N/A,#N/A,TRUE,"Смета на пасс. обор. №1"}</definedName>
    <definedName name="эл" localSheetId="13" hidden="1">{#N/A,#N/A,TRUE,"Смета на пасс. обор. №1"}</definedName>
    <definedName name="эл" hidden="1">{#N/A,#N/A,TRUE,"Смета на пасс. обор. №1"}</definedName>
    <definedName name="эл_1" localSheetId="10" hidden="1">{#N/A,#N/A,TRUE,"Смета на пасс. обор. №1"}</definedName>
    <definedName name="эл_1" localSheetId="12" hidden="1">{#N/A,#N/A,TRUE,"Смета на пасс. обор. №1"}</definedName>
    <definedName name="эл_1" localSheetId="111" hidden="1">{#N/A,#N/A,TRUE,"Смета на пасс. обор. №1"}</definedName>
    <definedName name="эл_1" localSheetId="112" hidden="1">{#N/A,#N/A,TRUE,"Смета на пасс. обор. №1"}</definedName>
    <definedName name="эл_1" localSheetId="113" hidden="1">{#N/A,#N/A,TRUE,"Смета на пасс. обор. №1"}</definedName>
    <definedName name="эл_1" localSheetId="114" hidden="1">{#N/A,#N/A,TRUE,"Смета на пасс. обор. №1"}</definedName>
    <definedName name="эл_1" localSheetId="115" hidden="1">{#N/A,#N/A,TRUE,"Смета на пасс. обор. №1"}</definedName>
    <definedName name="эл_1" localSheetId="116" hidden="1">{#N/A,#N/A,TRUE,"Смета на пасс. обор. №1"}</definedName>
    <definedName name="эл_1" localSheetId="117" hidden="1">{#N/A,#N/A,TRUE,"Смета на пасс. обор. №1"}</definedName>
    <definedName name="эл_1" localSheetId="118" hidden="1">{#N/A,#N/A,TRUE,"Смета на пасс. обор. №1"}</definedName>
    <definedName name="эл_1" localSheetId="121" hidden="1">{#N/A,#N/A,TRUE,"Смета на пасс. обор. №1"}</definedName>
    <definedName name="эл_1" localSheetId="122" hidden="1">{#N/A,#N/A,TRUE,"Смета на пасс. обор. №1"}</definedName>
    <definedName name="эл_1" localSheetId="8" hidden="1">{#N/A,#N/A,TRUE,"Смета на пасс. обор. №1"}</definedName>
    <definedName name="эл_1" localSheetId="11" hidden="1">{#N/A,#N/A,TRUE,"Смета на пасс. обор. №1"}</definedName>
    <definedName name="эл_1" localSheetId="110" hidden="1">{#N/A,#N/A,TRUE,"Смета на пасс. обор. №1"}</definedName>
    <definedName name="эл_1" localSheetId="109" hidden="1">{#N/A,#N/A,TRUE,"Смета на пасс. обор. №1"}</definedName>
    <definedName name="эл_1" localSheetId="108" hidden="1">{#N/A,#N/A,TRUE,"Смета на пасс. обор. №1"}</definedName>
    <definedName name="эл_1" localSheetId="6" hidden="1">{#N/A,#N/A,TRUE,"Смета на пасс. обор. №1"}</definedName>
    <definedName name="эл_1" localSheetId="9" hidden="1">{#N/A,#N/A,TRUE,"Смета на пасс. обор. №1"}</definedName>
    <definedName name="эл_1" localSheetId="7" hidden="1">{#N/A,#N/A,TRUE,"Смета на пасс. обор. №1"}</definedName>
    <definedName name="эл_1" localSheetId="92" hidden="1">{#N/A,#N/A,TRUE,"Смета на пасс. обор. №1"}</definedName>
    <definedName name="эл_1" localSheetId="93" hidden="1">{#N/A,#N/A,TRUE,"Смета на пасс. обор. №1"}</definedName>
    <definedName name="эл_1" localSheetId="94" hidden="1">{#N/A,#N/A,TRUE,"Смета на пасс. обор. №1"}</definedName>
    <definedName name="эл_1" localSheetId="99" hidden="1">{#N/A,#N/A,TRUE,"Смета на пасс. обор. №1"}</definedName>
    <definedName name="эл_1" localSheetId="100" hidden="1">{#N/A,#N/A,TRUE,"Смета на пасс. обор. №1"}</definedName>
    <definedName name="эл_1" localSheetId="106" hidden="1">{#N/A,#N/A,TRUE,"Смета на пасс. обор. №1"}</definedName>
    <definedName name="эл_1" localSheetId="2" hidden="1">{#N/A,#N/A,TRUE,"Смета на пасс. обор. №1"}</definedName>
    <definedName name="эл_1" localSheetId="123" hidden="1">{#N/A,#N/A,TRUE,"Смета на пасс. обор. №1"}</definedName>
    <definedName name="эл_1" localSheetId="4" hidden="1">{#N/A,#N/A,TRUE,"Смета на пасс. обор. №1"}</definedName>
    <definedName name="эл_1" localSheetId="13" hidden="1">{#N/A,#N/A,TRUE,"Смета на пасс. обор. №1"}</definedName>
    <definedName name="эл_1" hidden="1">{#N/A,#N/A,TRUE,"Смета на пасс. обор. №1"}</definedName>
    <definedName name="ЭлеСи">[84]Коэфф1.!$E$7</definedName>
    <definedName name="ЭлеСи_1" localSheetId="10">#REF!</definedName>
    <definedName name="ЭлеСи_1" localSheetId="9">#REF!</definedName>
    <definedName name="ЭлеСи_1">#REF!</definedName>
    <definedName name="элрасч" localSheetId="10">#REF!</definedName>
    <definedName name="элрасч" localSheetId="9">#REF!</definedName>
    <definedName name="элрасч">#REF!</definedName>
    <definedName name="ЭЛСИ_Т" localSheetId="10">#REF!</definedName>
    <definedName name="ЭЛСИ_Т" localSheetId="9">#REF!</definedName>
    <definedName name="ЭЛСИ_Т">#REF!</definedName>
    <definedName name="эмс" localSheetId="10">[14]топография!#REF!</definedName>
    <definedName name="эмс" localSheetId="12">[7]топография!#REF!</definedName>
    <definedName name="эмс" localSheetId="8">[14]топография!#REF!</definedName>
    <definedName name="эмс" localSheetId="11">[14]топография!#REF!</definedName>
    <definedName name="эмс" localSheetId="110">[7]топография!#REF!</definedName>
    <definedName name="эмс" localSheetId="6">[14]топография!#REF!</definedName>
    <definedName name="эмс" localSheetId="9">[14]топография!#REF!</definedName>
    <definedName name="эмс" localSheetId="7">[14]топография!#REF!</definedName>
    <definedName name="эмс">[7]топография!#REF!</definedName>
    <definedName name="ю" localSheetId="10">#REF!</definedName>
    <definedName name="ю" localSheetId="12">#REF!</definedName>
    <definedName name="ю" localSheetId="116">#REF!</definedName>
    <definedName name="ю" localSheetId="8">#REF!</definedName>
    <definedName name="ю" localSheetId="11">#REF!</definedName>
    <definedName name="ю" localSheetId="110">#REF!</definedName>
    <definedName name="ю" localSheetId="109">#REF!</definedName>
    <definedName name="ю" localSheetId="108">#REF!</definedName>
    <definedName name="ю" localSheetId="6">#REF!</definedName>
    <definedName name="ю" localSheetId="9">#REF!</definedName>
    <definedName name="ю" localSheetId="7">#REF!</definedName>
    <definedName name="ю" localSheetId="92">#REF!</definedName>
    <definedName name="ю" localSheetId="93">#REF!</definedName>
    <definedName name="ю" localSheetId="94">#REF!</definedName>
    <definedName name="ю" localSheetId="99">#REF!</definedName>
    <definedName name="ю" localSheetId="100">#REF!</definedName>
    <definedName name="ю" localSheetId="106">#REF!</definedName>
    <definedName name="ю">#REF!</definedName>
    <definedName name="юб" localSheetId="10">#REF!</definedName>
    <definedName name="юб" localSheetId="12">#REF!</definedName>
    <definedName name="юб" localSheetId="116">#REF!</definedName>
    <definedName name="юб" localSheetId="8">#REF!</definedName>
    <definedName name="юб" localSheetId="11">#REF!</definedName>
    <definedName name="юб" localSheetId="110">#REF!</definedName>
    <definedName name="юб" localSheetId="109">#REF!</definedName>
    <definedName name="юб" localSheetId="108">#REF!</definedName>
    <definedName name="юб" localSheetId="6">#REF!</definedName>
    <definedName name="юб" localSheetId="9">#REF!</definedName>
    <definedName name="юб" localSheetId="7">#REF!</definedName>
    <definedName name="юб" localSheetId="92">#REF!</definedName>
    <definedName name="юб" localSheetId="93">#REF!</definedName>
    <definedName name="юб" localSheetId="94">#REF!</definedName>
    <definedName name="юб" localSheetId="99">#REF!</definedName>
    <definedName name="юб" localSheetId="100">#REF!</definedName>
    <definedName name="юб" localSheetId="106">#REF!</definedName>
    <definedName name="юб">#REF!</definedName>
    <definedName name="юдшншджгп" localSheetId="10">#REF!</definedName>
    <definedName name="юдшншджгп" localSheetId="9">#REF!</definedName>
    <definedName name="юдшншджгп">#REF!</definedName>
    <definedName name="ЮФУ" localSheetId="10">#REF!</definedName>
    <definedName name="ЮФУ" localSheetId="12">#REF!</definedName>
    <definedName name="ЮФУ" localSheetId="116">#REF!</definedName>
    <definedName name="ЮФУ" localSheetId="110">#REF!</definedName>
    <definedName name="ЮФУ" localSheetId="109">#REF!</definedName>
    <definedName name="ЮФУ" localSheetId="108">#REF!</definedName>
    <definedName name="ЮФУ" localSheetId="9">#REF!</definedName>
    <definedName name="ЮФУ" localSheetId="92">#REF!</definedName>
    <definedName name="ЮФУ" localSheetId="93">#REF!</definedName>
    <definedName name="ЮФУ" localSheetId="94">#REF!</definedName>
    <definedName name="ЮФУ" localSheetId="99">#REF!</definedName>
    <definedName name="ЮФУ" localSheetId="100">#REF!</definedName>
    <definedName name="ЮФУ" localSheetId="106">#REF!</definedName>
    <definedName name="ЮФУ">#REF!</definedName>
    <definedName name="ЮФУ2" localSheetId="10">#REF!</definedName>
    <definedName name="ЮФУ2" localSheetId="12">#REF!</definedName>
    <definedName name="ЮФУ2" localSheetId="110">#REF!</definedName>
    <definedName name="ЮФУ2" localSheetId="9">#REF!</definedName>
    <definedName name="ЮФУ2">#REF!</definedName>
    <definedName name="ююю" localSheetId="10">[13]топография!#REF!</definedName>
    <definedName name="ююю" localSheetId="12" hidden="1">{#N/A,#N/A,TRUE,"Смета на пасс. обор. №1"}</definedName>
    <definedName name="ююю" localSheetId="111" hidden="1">{#N/A,#N/A,TRUE,"Смета на пасс. обор. №1"}</definedName>
    <definedName name="ююю" localSheetId="112" hidden="1">{#N/A,#N/A,TRUE,"Смета на пасс. обор. №1"}</definedName>
    <definedName name="ююю" localSheetId="113" hidden="1">{#N/A,#N/A,TRUE,"Смета на пасс. обор. №1"}</definedName>
    <definedName name="ююю" localSheetId="114" hidden="1">{#N/A,#N/A,TRUE,"Смета на пасс. обор. №1"}</definedName>
    <definedName name="ююю" localSheetId="115" hidden="1">{#N/A,#N/A,TRUE,"Смета на пасс. обор. №1"}</definedName>
    <definedName name="ююю" localSheetId="116" hidden="1">{#N/A,#N/A,TRUE,"Смета на пасс. обор. №1"}</definedName>
    <definedName name="ююю" localSheetId="117" hidden="1">{#N/A,#N/A,TRUE,"Смета на пасс. обор. №1"}</definedName>
    <definedName name="ююю" localSheetId="118" hidden="1">{#N/A,#N/A,TRUE,"Смета на пасс. обор. №1"}</definedName>
    <definedName name="ююю" localSheetId="121" hidden="1">{#N/A,#N/A,TRUE,"Смета на пасс. обор. №1"}</definedName>
    <definedName name="ююю" localSheetId="122" hidden="1">{#N/A,#N/A,TRUE,"Смета на пасс. обор. №1"}</definedName>
    <definedName name="ююю" localSheetId="8">[13]топография!#REF!</definedName>
    <definedName name="ююю" localSheetId="11">[13]топография!#REF!</definedName>
    <definedName name="ююю" localSheetId="110" hidden="1">{#N/A,#N/A,TRUE,"Смета на пасс. обор. №1"}</definedName>
    <definedName name="ююю" localSheetId="109" hidden="1">{#N/A,#N/A,TRUE,"Смета на пасс. обор. №1"}</definedName>
    <definedName name="ююю" localSheetId="108" hidden="1">{#N/A,#N/A,TRUE,"Смета на пасс. обор. №1"}</definedName>
    <definedName name="ююю" localSheetId="6">[13]топография!#REF!</definedName>
    <definedName name="ююю" localSheetId="9">[13]топография!#REF!</definedName>
    <definedName name="ююю" localSheetId="7" hidden="1">{#N/A,#N/A,TRUE,"Смета на пасс. обор. №1"}</definedName>
    <definedName name="ююю" localSheetId="92" hidden="1">{#N/A,#N/A,TRUE,"Смета на пасс. обор. №1"}</definedName>
    <definedName name="ююю" localSheetId="93" hidden="1">{#N/A,#N/A,TRUE,"Смета на пасс. обор. №1"}</definedName>
    <definedName name="ююю" localSheetId="94" hidden="1">{#N/A,#N/A,TRUE,"Смета на пасс. обор. №1"}</definedName>
    <definedName name="ююю" localSheetId="99" hidden="1">{#N/A,#N/A,TRUE,"Смета на пасс. обор. №1"}</definedName>
    <definedName name="ююю" localSheetId="100" hidden="1">{#N/A,#N/A,TRUE,"Смета на пасс. обор. №1"}</definedName>
    <definedName name="ююю" localSheetId="106" hidden="1">{#N/A,#N/A,TRUE,"Смета на пасс. обор. №1"}</definedName>
    <definedName name="ююю" localSheetId="2" hidden="1">{#N/A,#N/A,TRUE,"Смета на пасс. обор. №1"}</definedName>
    <definedName name="ююю" localSheetId="123" hidden="1">{#N/A,#N/A,TRUE,"Смета на пасс. обор. №1"}</definedName>
    <definedName name="ююю" localSheetId="4" hidden="1">{#N/A,#N/A,TRUE,"Смета на пасс. обор. №1"}</definedName>
    <definedName name="ююю" localSheetId="13" hidden="1">{#N/A,#N/A,TRUE,"Смета на пасс. обор. №1"}</definedName>
    <definedName name="ююю" hidden="1">{#N/A,#N/A,TRUE,"Смета на пасс. обор. №1"}</definedName>
    <definedName name="ююю_1" localSheetId="10" hidden="1">{#N/A,#N/A,TRUE,"Смета на пасс. обор. №1"}</definedName>
    <definedName name="ююю_1" localSheetId="12" hidden="1">{#N/A,#N/A,TRUE,"Смета на пасс. обор. №1"}</definedName>
    <definedName name="ююю_1" localSheetId="111" hidden="1">{#N/A,#N/A,TRUE,"Смета на пасс. обор. №1"}</definedName>
    <definedName name="ююю_1" localSheetId="112" hidden="1">{#N/A,#N/A,TRUE,"Смета на пасс. обор. №1"}</definedName>
    <definedName name="ююю_1" localSheetId="113" hidden="1">{#N/A,#N/A,TRUE,"Смета на пасс. обор. №1"}</definedName>
    <definedName name="ююю_1" localSheetId="114" hidden="1">{#N/A,#N/A,TRUE,"Смета на пасс. обор. №1"}</definedName>
    <definedName name="ююю_1" localSheetId="115" hidden="1">{#N/A,#N/A,TRUE,"Смета на пасс. обор. №1"}</definedName>
    <definedName name="ююю_1" localSheetId="116" hidden="1">{#N/A,#N/A,TRUE,"Смета на пасс. обор. №1"}</definedName>
    <definedName name="ююю_1" localSheetId="117" hidden="1">{#N/A,#N/A,TRUE,"Смета на пасс. обор. №1"}</definedName>
    <definedName name="ююю_1" localSheetId="118" hidden="1">{#N/A,#N/A,TRUE,"Смета на пасс. обор. №1"}</definedName>
    <definedName name="ююю_1" localSheetId="121" hidden="1">{#N/A,#N/A,TRUE,"Смета на пасс. обор. №1"}</definedName>
    <definedName name="ююю_1" localSheetId="122" hidden="1">{#N/A,#N/A,TRUE,"Смета на пасс. обор. №1"}</definedName>
    <definedName name="ююю_1" localSheetId="8" hidden="1">{#N/A,#N/A,TRUE,"Смета на пасс. обор. №1"}</definedName>
    <definedName name="ююю_1" localSheetId="11" hidden="1">{#N/A,#N/A,TRUE,"Смета на пасс. обор. №1"}</definedName>
    <definedName name="ююю_1" localSheetId="110" hidden="1">{#N/A,#N/A,TRUE,"Смета на пасс. обор. №1"}</definedName>
    <definedName name="ююю_1" localSheetId="109" hidden="1">{#N/A,#N/A,TRUE,"Смета на пасс. обор. №1"}</definedName>
    <definedName name="ююю_1" localSheetId="108" hidden="1">{#N/A,#N/A,TRUE,"Смета на пасс. обор. №1"}</definedName>
    <definedName name="ююю_1" localSheetId="6" hidden="1">{#N/A,#N/A,TRUE,"Смета на пасс. обор. №1"}</definedName>
    <definedName name="ююю_1" localSheetId="9" hidden="1">{#N/A,#N/A,TRUE,"Смета на пасс. обор. №1"}</definedName>
    <definedName name="ююю_1" localSheetId="7" hidden="1">{#N/A,#N/A,TRUE,"Смета на пасс. обор. №1"}</definedName>
    <definedName name="ююю_1" localSheetId="92" hidden="1">{#N/A,#N/A,TRUE,"Смета на пасс. обор. №1"}</definedName>
    <definedName name="ююю_1" localSheetId="93" hidden="1">{#N/A,#N/A,TRUE,"Смета на пасс. обор. №1"}</definedName>
    <definedName name="ююю_1" localSheetId="94" hidden="1">{#N/A,#N/A,TRUE,"Смета на пасс. обор. №1"}</definedName>
    <definedName name="ююю_1" localSheetId="99" hidden="1">{#N/A,#N/A,TRUE,"Смета на пасс. обор. №1"}</definedName>
    <definedName name="ююю_1" localSheetId="100" hidden="1">{#N/A,#N/A,TRUE,"Смета на пасс. обор. №1"}</definedName>
    <definedName name="ююю_1" localSheetId="106" hidden="1">{#N/A,#N/A,TRUE,"Смета на пасс. обор. №1"}</definedName>
    <definedName name="ююю_1" localSheetId="2" hidden="1">{#N/A,#N/A,TRUE,"Смета на пасс. обор. №1"}</definedName>
    <definedName name="ююю_1" localSheetId="123" hidden="1">{#N/A,#N/A,TRUE,"Смета на пасс. обор. №1"}</definedName>
    <definedName name="ююю_1" localSheetId="4" hidden="1">{#N/A,#N/A,TRUE,"Смета на пасс. обор. №1"}</definedName>
    <definedName name="ююю_1" localSheetId="13" hidden="1">{#N/A,#N/A,TRUE,"Смета на пасс. обор. №1"}</definedName>
    <definedName name="ююю_1" hidden="1">{#N/A,#N/A,TRUE,"Смета на пасс. обор. №1"}</definedName>
    <definedName name="я" localSheetId="10">[85]ОбмОбслЗемОд!$E$28</definedName>
    <definedName name="я" localSheetId="12">#REF!</definedName>
    <definedName name="я" localSheetId="116">#REF!</definedName>
    <definedName name="я" localSheetId="8">[85]ОбмОбслЗемОд!$E$28</definedName>
    <definedName name="я" localSheetId="11">[85]ОбмОбслЗемОд!$E$28</definedName>
    <definedName name="я" localSheetId="110">#REF!</definedName>
    <definedName name="я" localSheetId="109">#REF!</definedName>
    <definedName name="я" localSheetId="108">#REF!</definedName>
    <definedName name="я" localSheetId="6">[85]ОбмОбслЗемОд!$E$28</definedName>
    <definedName name="я" localSheetId="9">[85]ОбмОбслЗемОд!$E$28</definedName>
    <definedName name="я" localSheetId="7">#REF!</definedName>
    <definedName name="я" localSheetId="92">#REF!</definedName>
    <definedName name="я" localSheetId="93">#REF!</definedName>
    <definedName name="я" localSheetId="94">#REF!</definedName>
    <definedName name="я" localSheetId="99">#REF!</definedName>
    <definedName name="я" localSheetId="100">#REF!</definedName>
    <definedName name="я" localSheetId="106">#REF!</definedName>
    <definedName name="я">#REF!</definedName>
    <definedName name="яапт" localSheetId="10">#REF!</definedName>
    <definedName name="яапт" localSheetId="9">#REF!</definedName>
    <definedName name="яапт">#REF!</definedName>
    <definedName name="яапяяяя" localSheetId="10">#REF!</definedName>
    <definedName name="яапяяяя" localSheetId="9">#REF!</definedName>
    <definedName name="яапяяяя">#REF!</definedName>
    <definedName name="явапяап" localSheetId="10">#REF!</definedName>
    <definedName name="явапяап" localSheetId="9">#REF!</definedName>
    <definedName name="явапяап">#REF!</definedName>
    <definedName name="явапявп" localSheetId="10">#REF!</definedName>
    <definedName name="явапявп" localSheetId="9">#REF!</definedName>
    <definedName name="явапявп">#REF!</definedName>
    <definedName name="явар" localSheetId="10">#REF!</definedName>
    <definedName name="явар" localSheetId="9">#REF!</definedName>
    <definedName name="явар">#REF!</definedName>
    <definedName name="яваряра" localSheetId="10">#REF!</definedName>
    <definedName name="яваряра" localSheetId="9">#REF!</definedName>
    <definedName name="яваряра">#REF!</definedName>
    <definedName name="ярая" localSheetId="10">#REF!</definedName>
    <definedName name="ярая" localSheetId="9">#REF!</definedName>
    <definedName name="ярая">#REF!</definedName>
    <definedName name="яраяраря" localSheetId="10">#REF!</definedName>
    <definedName name="яраяраря" localSheetId="9">#REF!</definedName>
    <definedName name="яраяраря">#REF!</definedName>
    <definedName name="яроптап" localSheetId="10">#REF!</definedName>
    <definedName name="яроптап" localSheetId="9">#REF!</definedName>
    <definedName name="яроптап">#REF!</definedName>
    <definedName name="Ярославская_область" localSheetId="10">#REF!</definedName>
    <definedName name="Ярославская_область" localSheetId="9">#REF!</definedName>
    <definedName name="Ярославская_область">#REF!</definedName>
    <definedName name="ЯЯЯ" localSheetId="10">[86]топография!#REF!</definedName>
    <definedName name="ЯЯЯ" localSheetId="9">[86]топография!#REF!</definedName>
    <definedName name="ЯЯЯ">[86]топография!#REF!</definedName>
  </definedNames>
  <calcPr calcId="145621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6" i="410" l="1"/>
  <c r="H96" i="410"/>
  <c r="I95" i="410"/>
  <c r="H95" i="410"/>
  <c r="G96" i="410"/>
  <c r="G95" i="410"/>
  <c r="F96" i="410"/>
  <c r="F95" i="410"/>
  <c r="F9" i="410"/>
  <c r="G9" i="410" s="1"/>
  <c r="H9" i="410"/>
  <c r="I9" i="410"/>
  <c r="F10" i="410"/>
  <c r="G10" i="410" s="1"/>
  <c r="H10" i="410"/>
  <c r="I10" i="410" s="1"/>
  <c r="F11" i="410"/>
  <c r="G11" i="410" s="1"/>
  <c r="H11" i="410"/>
  <c r="I11" i="410"/>
  <c r="F12" i="410"/>
  <c r="G12" i="410" s="1"/>
  <c r="H12" i="410"/>
  <c r="I12" i="410" s="1"/>
  <c r="F13" i="410"/>
  <c r="G13" i="410" s="1"/>
  <c r="H13" i="410"/>
  <c r="I13" i="410"/>
  <c r="F14" i="410"/>
  <c r="G14" i="410" s="1"/>
  <c r="H14" i="410"/>
  <c r="I14" i="410" s="1"/>
  <c r="F15" i="410"/>
  <c r="G15" i="410" s="1"/>
  <c r="H15" i="410"/>
  <c r="I15" i="410" s="1"/>
  <c r="F16" i="410"/>
  <c r="G16" i="410" s="1"/>
  <c r="H16" i="410"/>
  <c r="I16" i="410" s="1"/>
  <c r="F17" i="410"/>
  <c r="G17" i="410" s="1"/>
  <c r="H17" i="410"/>
  <c r="I17" i="410"/>
  <c r="F18" i="410"/>
  <c r="G18" i="410" s="1"/>
  <c r="H18" i="410"/>
  <c r="I18" i="410" s="1"/>
  <c r="F19" i="410"/>
  <c r="G19" i="410" s="1"/>
  <c r="H19" i="410"/>
  <c r="I19" i="410" s="1"/>
  <c r="F20" i="410"/>
  <c r="G20" i="410" s="1"/>
  <c r="H20" i="410"/>
  <c r="I20" i="410" s="1"/>
  <c r="F21" i="410"/>
  <c r="G21" i="410" s="1"/>
  <c r="H21" i="410"/>
  <c r="I21" i="410" s="1"/>
  <c r="F22" i="410"/>
  <c r="G22" i="410" s="1"/>
  <c r="H22" i="410"/>
  <c r="I22" i="410" s="1"/>
  <c r="F23" i="410"/>
  <c r="G23" i="410" s="1"/>
  <c r="H23" i="410"/>
  <c r="I23" i="410" s="1"/>
  <c r="F24" i="410"/>
  <c r="G24" i="410"/>
  <c r="H24" i="410"/>
  <c r="I24" i="410" s="1"/>
  <c r="F25" i="410"/>
  <c r="G25" i="410" s="1"/>
  <c r="H25" i="410"/>
  <c r="I25" i="410" s="1"/>
  <c r="F26" i="410"/>
  <c r="G26" i="410" s="1"/>
  <c r="H26" i="410"/>
  <c r="I26" i="410" s="1"/>
  <c r="F27" i="410"/>
  <c r="G27" i="410" s="1"/>
  <c r="H27" i="410"/>
  <c r="I27" i="410" s="1"/>
  <c r="F28" i="410"/>
  <c r="G28" i="410" s="1"/>
  <c r="H28" i="410"/>
  <c r="I28" i="410" s="1"/>
  <c r="F29" i="410"/>
  <c r="G29" i="410" s="1"/>
  <c r="H29" i="410"/>
  <c r="I29" i="410" s="1"/>
  <c r="F30" i="410"/>
  <c r="G30" i="410" s="1"/>
  <c r="H30" i="410"/>
  <c r="I30" i="410" s="1"/>
  <c r="F31" i="410"/>
  <c r="G31" i="410" s="1"/>
  <c r="H31" i="410"/>
  <c r="I31" i="410" s="1"/>
  <c r="F32" i="410"/>
  <c r="G32" i="410" s="1"/>
  <c r="H32" i="410"/>
  <c r="I32" i="410" s="1"/>
  <c r="F33" i="410"/>
  <c r="G33" i="410" s="1"/>
  <c r="H33" i="410"/>
  <c r="I33" i="410"/>
  <c r="F34" i="410"/>
  <c r="G34" i="410" s="1"/>
  <c r="H34" i="410"/>
  <c r="I34" i="410" s="1"/>
  <c r="F35" i="410"/>
  <c r="G35" i="410" s="1"/>
  <c r="H35" i="410"/>
  <c r="I35" i="410"/>
  <c r="F36" i="410"/>
  <c r="G36" i="410"/>
  <c r="H36" i="410"/>
  <c r="I36" i="410" s="1"/>
  <c r="F37" i="410"/>
  <c r="G37" i="410" s="1"/>
  <c r="H37" i="410"/>
  <c r="I37" i="410"/>
  <c r="F38" i="410"/>
  <c r="G38" i="410" s="1"/>
  <c r="H38" i="410"/>
  <c r="I38" i="410" s="1"/>
  <c r="F39" i="410"/>
  <c r="G39" i="410" s="1"/>
  <c r="H39" i="410"/>
  <c r="I39" i="410" s="1"/>
  <c r="F40" i="410"/>
  <c r="G40" i="410"/>
  <c r="H40" i="410"/>
  <c r="I40" i="410" s="1"/>
  <c r="F41" i="410"/>
  <c r="G41" i="410" s="1"/>
  <c r="H41" i="410"/>
  <c r="I41" i="410" s="1"/>
  <c r="F42" i="410"/>
  <c r="G42" i="410" s="1"/>
  <c r="H42" i="410"/>
  <c r="I42" i="410" s="1"/>
  <c r="F43" i="410"/>
  <c r="G43" i="410" s="1"/>
  <c r="H43" i="410"/>
  <c r="I43" i="410" s="1"/>
  <c r="F44" i="410"/>
  <c r="G44" i="410"/>
  <c r="H44" i="410"/>
  <c r="I44" i="410" s="1"/>
  <c r="F45" i="410"/>
  <c r="G45" i="410" s="1"/>
  <c r="H45" i="410"/>
  <c r="I45" i="410"/>
  <c r="F46" i="410"/>
  <c r="G46" i="410" s="1"/>
  <c r="H46" i="410"/>
  <c r="I46" i="410" s="1"/>
  <c r="F47" i="410"/>
  <c r="G47" i="410" s="1"/>
  <c r="H47" i="410"/>
  <c r="I47" i="410" s="1"/>
  <c r="F48" i="410"/>
  <c r="G48" i="410" s="1"/>
  <c r="H48" i="410"/>
  <c r="I48" i="410" s="1"/>
  <c r="F49" i="410"/>
  <c r="G49" i="410" s="1"/>
  <c r="H49" i="410"/>
  <c r="I49" i="410"/>
  <c r="F50" i="410"/>
  <c r="G50" i="410" s="1"/>
  <c r="H50" i="410"/>
  <c r="I50" i="410" s="1"/>
  <c r="F51" i="410"/>
  <c r="G51" i="410" s="1"/>
  <c r="H51" i="410"/>
  <c r="I51" i="410" s="1"/>
  <c r="F52" i="410"/>
  <c r="G52" i="410"/>
  <c r="H52" i="410"/>
  <c r="I52" i="410" s="1"/>
  <c r="F53" i="410"/>
  <c r="G53" i="410" s="1"/>
  <c r="H53" i="410"/>
  <c r="I53" i="410"/>
  <c r="F54" i="410"/>
  <c r="G54" i="410" s="1"/>
  <c r="H54" i="410"/>
  <c r="I54" i="410" s="1"/>
  <c r="F55" i="410"/>
  <c r="G55" i="410" s="1"/>
  <c r="H55" i="410"/>
  <c r="I55" i="410" s="1"/>
  <c r="F56" i="410"/>
  <c r="G56" i="410"/>
  <c r="H56" i="410"/>
  <c r="I56" i="410" s="1"/>
  <c r="F57" i="410"/>
  <c r="G57" i="410" s="1"/>
  <c r="H57" i="410"/>
  <c r="I57" i="410" s="1"/>
  <c r="F58" i="410"/>
  <c r="G58" i="410" s="1"/>
  <c r="H58" i="410"/>
  <c r="I58" i="410" s="1"/>
  <c r="F59" i="410"/>
  <c r="G59" i="410" s="1"/>
  <c r="H59" i="410"/>
  <c r="I59" i="410" s="1"/>
  <c r="F60" i="410"/>
  <c r="G60" i="410"/>
  <c r="H60" i="410"/>
  <c r="I60" i="410" s="1"/>
  <c r="F61" i="410"/>
  <c r="G61" i="410" s="1"/>
  <c r="H61" i="410"/>
  <c r="I61" i="410"/>
  <c r="F62" i="410"/>
  <c r="G62" i="410" s="1"/>
  <c r="H62" i="410"/>
  <c r="I62" i="410" s="1"/>
  <c r="F63" i="410"/>
  <c r="G63" i="410" s="1"/>
  <c r="H63" i="410"/>
  <c r="I63" i="410" s="1"/>
  <c r="F64" i="410"/>
  <c r="G64" i="410" s="1"/>
  <c r="H64" i="410"/>
  <c r="I64" i="410" s="1"/>
  <c r="F65" i="410"/>
  <c r="G65" i="410" s="1"/>
  <c r="H65" i="410"/>
  <c r="I65" i="410"/>
  <c r="F66" i="410"/>
  <c r="G66" i="410" s="1"/>
  <c r="H66" i="410"/>
  <c r="I66" i="410" s="1"/>
  <c r="F67" i="410"/>
  <c r="G67" i="410" s="1"/>
  <c r="H67" i="410"/>
  <c r="I67" i="410" s="1"/>
  <c r="F68" i="410"/>
  <c r="G68" i="410"/>
  <c r="H68" i="410"/>
  <c r="I68" i="410" s="1"/>
  <c r="F69" i="410"/>
  <c r="G69" i="410" s="1"/>
  <c r="H69" i="410"/>
  <c r="I69" i="410"/>
  <c r="F70" i="410"/>
  <c r="G70" i="410" s="1"/>
  <c r="H70" i="410"/>
  <c r="I70" i="410" s="1"/>
  <c r="F71" i="410"/>
  <c r="G71" i="410" s="1"/>
  <c r="H71" i="410"/>
  <c r="I71" i="410" s="1"/>
  <c r="F72" i="410"/>
  <c r="G72" i="410"/>
  <c r="H72" i="410"/>
  <c r="I72" i="410" s="1"/>
  <c r="F73" i="410"/>
  <c r="G73" i="410" s="1"/>
  <c r="H73" i="410"/>
  <c r="I73" i="410" s="1"/>
  <c r="F74" i="410"/>
  <c r="G74" i="410" s="1"/>
  <c r="H74" i="410"/>
  <c r="I74" i="410" s="1"/>
  <c r="F75" i="410"/>
  <c r="G75" i="410" s="1"/>
  <c r="H75" i="410"/>
  <c r="I75" i="410" s="1"/>
  <c r="F76" i="410"/>
  <c r="G76" i="410"/>
  <c r="H76" i="410"/>
  <c r="I76" i="410" s="1"/>
  <c r="F77" i="410"/>
  <c r="G77" i="410" s="1"/>
  <c r="H77" i="410"/>
  <c r="I77" i="410"/>
  <c r="F78" i="410"/>
  <c r="G78" i="410" s="1"/>
  <c r="H78" i="410"/>
  <c r="I78" i="410" s="1"/>
  <c r="F79" i="410"/>
  <c r="G79" i="410" s="1"/>
  <c r="H79" i="410"/>
  <c r="I79" i="410" s="1"/>
  <c r="F80" i="410"/>
  <c r="G80" i="410" s="1"/>
  <c r="H80" i="410"/>
  <c r="I80" i="410" s="1"/>
  <c r="F81" i="410"/>
  <c r="G81" i="410" s="1"/>
  <c r="H81" i="410"/>
  <c r="I81" i="410"/>
  <c r="F82" i="410"/>
  <c r="G82" i="410" s="1"/>
  <c r="H82" i="410"/>
  <c r="I82" i="410" s="1"/>
  <c r="F83" i="410"/>
  <c r="G83" i="410" s="1"/>
  <c r="H83" i="410"/>
  <c r="I83" i="410" s="1"/>
  <c r="F84" i="410"/>
  <c r="G84" i="410"/>
  <c r="H84" i="410"/>
  <c r="I84" i="410" s="1"/>
  <c r="F85" i="410"/>
  <c r="G85" i="410" s="1"/>
  <c r="H85" i="410"/>
  <c r="I85" i="410" s="1"/>
  <c r="F86" i="410"/>
  <c r="G86" i="410" s="1"/>
  <c r="H86" i="410"/>
  <c r="I86" i="410" s="1"/>
  <c r="F87" i="410"/>
  <c r="G87" i="410" s="1"/>
  <c r="H87" i="410"/>
  <c r="I87" i="410" s="1"/>
  <c r="F88" i="410"/>
  <c r="G88" i="410" s="1"/>
  <c r="H88" i="410"/>
  <c r="I88" i="410" s="1"/>
  <c r="F89" i="410"/>
  <c r="G89" i="410" s="1"/>
  <c r="H89" i="410"/>
  <c r="I89" i="410" s="1"/>
  <c r="F90" i="410"/>
  <c r="G90" i="410" s="1"/>
  <c r="H90" i="410"/>
  <c r="I90" i="410" s="1"/>
  <c r="F91" i="410"/>
  <c r="G91" i="410" s="1"/>
  <c r="H91" i="410"/>
  <c r="I91" i="410" s="1"/>
  <c r="F92" i="410"/>
  <c r="G92" i="410" s="1"/>
  <c r="H92" i="410"/>
  <c r="I92" i="410" s="1"/>
  <c r="F93" i="410"/>
  <c r="G93" i="410" s="1"/>
  <c r="H93" i="410"/>
  <c r="I93" i="410"/>
  <c r="F94" i="410"/>
  <c r="G94" i="410" s="1"/>
  <c r="H94" i="410"/>
  <c r="I94" i="410" s="1"/>
  <c r="H8" i="410"/>
  <c r="I8" i="410" s="1"/>
  <c r="F8" i="410"/>
  <c r="G8" i="410" s="1"/>
  <c r="B3" i="410"/>
  <c r="B3" i="409"/>
  <c r="I97" i="410" l="1"/>
  <c r="H97" i="410"/>
  <c r="F97" i="410"/>
  <c r="G97" i="410" l="1"/>
  <c r="D21" i="405" l="1"/>
  <c r="D16" i="405"/>
  <c r="C16" i="405"/>
  <c r="C118" i="404" l="1"/>
  <c r="F118" i="404"/>
  <c r="F128" i="404"/>
  <c r="C128" i="404"/>
  <c r="F123" i="404"/>
  <c r="F113" i="404"/>
  <c r="C5" i="405"/>
  <c r="C7" i="405"/>
  <c r="C6" i="405"/>
  <c r="F125" i="404"/>
  <c r="F115" i="404"/>
  <c r="F124" i="404"/>
  <c r="F122" i="404"/>
  <c r="F127" i="404"/>
  <c r="D127" i="404"/>
  <c r="F112" i="404"/>
  <c r="F117" i="404"/>
  <c r="D117" i="404"/>
  <c r="N101" i="404" l="1"/>
  <c r="N90" i="404"/>
  <c r="N79" i="404"/>
  <c r="N67" i="404"/>
  <c r="N56" i="404"/>
  <c r="N49" i="404"/>
  <c r="N46" i="404"/>
  <c r="N30" i="404"/>
  <c r="N96" i="404"/>
  <c r="N72" i="404"/>
  <c r="N52" i="404"/>
  <c r="N32" i="404"/>
  <c r="N44" i="404"/>
  <c r="N100" i="404"/>
  <c r="N86" i="404"/>
  <c r="N76" i="404"/>
  <c r="N66" i="404"/>
  <c r="N57" i="404"/>
  <c r="N39" i="404"/>
  <c r="N38" i="404"/>
  <c r="N28" i="404"/>
  <c r="N27" i="404"/>
  <c r="N83" i="404"/>
  <c r="N64" i="404"/>
  <c r="N41" i="404"/>
  <c r="N26" i="404"/>
  <c r="N91" i="404"/>
  <c r="N77" i="404"/>
  <c r="N60" i="404"/>
  <c r="N35" i="404"/>
  <c r="N95" i="404"/>
  <c r="N82" i="404"/>
  <c r="N73" i="404"/>
  <c r="N62" i="404"/>
  <c r="N53" i="404"/>
  <c r="N42" i="404"/>
  <c r="N33" i="404"/>
  <c r="N25" i="404"/>
  <c r="N92" i="404"/>
  <c r="N81" i="404"/>
  <c r="N74" i="404"/>
  <c r="N61" i="404"/>
  <c r="N51" i="404"/>
  <c r="N43" i="404"/>
  <c r="N34" i="404"/>
  <c r="N24" i="404"/>
  <c r="N47" i="404"/>
  <c r="N22" i="404"/>
  <c r="N89" i="404"/>
  <c r="N78" i="404"/>
  <c r="N68" i="404"/>
  <c r="N58" i="404"/>
  <c r="N48" i="404"/>
  <c r="N45" i="404"/>
  <c r="N36" i="404"/>
  <c r="N21" i="404"/>
  <c r="N99" i="404"/>
  <c r="N84" i="404"/>
  <c r="N71" i="404"/>
  <c r="N65" i="404"/>
  <c r="N55" i="404"/>
  <c r="N40" i="404"/>
  <c r="N31" i="404"/>
  <c r="N70" i="404"/>
  <c r="N18" i="404"/>
  <c r="N17" i="404"/>
  <c r="G107" i="404" l="1"/>
  <c r="L24" i="404" l="1"/>
  <c r="L25" i="404"/>
  <c r="L28" i="404"/>
  <c r="L26" i="404"/>
  <c r="L17" i="404"/>
  <c r="L27" i="404"/>
  <c r="L18" i="404"/>
  <c r="L21" i="404"/>
  <c r="L22" i="404"/>
  <c r="G87" i="404"/>
  <c r="G101" i="404"/>
  <c r="G97" i="404" s="1"/>
  <c r="G95" i="404"/>
  <c r="K95" i="404" s="1"/>
  <c r="G17" i="404"/>
  <c r="G18" i="404" s="1"/>
  <c r="G91" i="404"/>
  <c r="G90" i="404"/>
  <c r="G89" i="404"/>
  <c r="G86" i="404"/>
  <c r="G84" i="404"/>
  <c r="G83" i="404"/>
  <c r="E82" i="404"/>
  <c r="D82" i="404"/>
  <c r="F81" i="404"/>
  <c r="F80" i="404" s="1"/>
  <c r="E81" i="404"/>
  <c r="D81" i="404"/>
  <c r="D79" i="404"/>
  <c r="H79" i="404" s="1"/>
  <c r="I79" i="404" s="1"/>
  <c r="D78" i="404"/>
  <c r="H78" i="404" s="1"/>
  <c r="I78" i="404" s="1"/>
  <c r="D77" i="404"/>
  <c r="D76" i="404"/>
  <c r="H76" i="404" s="1"/>
  <c r="I76" i="404" s="1"/>
  <c r="F74" i="404"/>
  <c r="F69" i="404" s="1"/>
  <c r="E74" i="404"/>
  <c r="E69" i="404" s="1"/>
  <c r="D74" i="404"/>
  <c r="D73" i="404"/>
  <c r="H73" i="404" s="1"/>
  <c r="J73" i="404" s="1"/>
  <c r="D72" i="404"/>
  <c r="H72" i="404" s="1"/>
  <c r="J72" i="404" s="1"/>
  <c r="D71" i="404"/>
  <c r="H71" i="404" s="1"/>
  <c r="J71" i="404" s="1"/>
  <c r="D70" i="404"/>
  <c r="H70" i="404" s="1"/>
  <c r="J70" i="404" s="1"/>
  <c r="D68" i="404"/>
  <c r="H68" i="404" s="1"/>
  <c r="I68" i="404" s="1"/>
  <c r="D67" i="404"/>
  <c r="H67" i="404" s="1"/>
  <c r="J67" i="404" s="1"/>
  <c r="F66" i="404"/>
  <c r="F63" i="404" s="1"/>
  <c r="E66" i="404"/>
  <c r="E63" i="404" s="1"/>
  <c r="D66" i="404"/>
  <c r="D65" i="404"/>
  <c r="H65" i="404" s="1"/>
  <c r="J65" i="404" s="1"/>
  <c r="D64" i="404"/>
  <c r="H64" i="404" s="1"/>
  <c r="J64" i="404" s="1"/>
  <c r="F62" i="404"/>
  <c r="E62" i="404"/>
  <c r="D62" i="404"/>
  <c r="F100" i="404"/>
  <c r="F98" i="404" s="1"/>
  <c r="F101" i="404" s="1"/>
  <c r="E100" i="404"/>
  <c r="E98" i="404" s="1"/>
  <c r="E101" i="404" s="1"/>
  <c r="D100" i="404"/>
  <c r="D99" i="404"/>
  <c r="H99" i="404" s="1"/>
  <c r="J99" i="404" s="1"/>
  <c r="D61" i="404"/>
  <c r="H61" i="404" s="1"/>
  <c r="J61" i="404" s="1"/>
  <c r="F60" i="404"/>
  <c r="F59" i="404" s="1"/>
  <c r="E60" i="404"/>
  <c r="E59" i="404" s="1"/>
  <c r="D60" i="404"/>
  <c r="H60" i="404" s="1"/>
  <c r="I60" i="404" s="1"/>
  <c r="D58" i="404"/>
  <c r="H58" i="404" s="1"/>
  <c r="I58" i="404" s="1"/>
  <c r="F57" i="404"/>
  <c r="E57" i="404"/>
  <c r="D57" i="404"/>
  <c r="D56" i="404"/>
  <c r="H56" i="404" s="1"/>
  <c r="J56" i="404" s="1"/>
  <c r="F55" i="404"/>
  <c r="E55" i="404"/>
  <c r="D55" i="404"/>
  <c r="F53" i="404"/>
  <c r="F50" i="404" s="1"/>
  <c r="E53" i="404"/>
  <c r="E50" i="404" s="1"/>
  <c r="D53" i="404"/>
  <c r="D52" i="404"/>
  <c r="H52" i="404" s="1"/>
  <c r="J52" i="404" s="1"/>
  <c r="D51" i="404"/>
  <c r="H51" i="404" s="1"/>
  <c r="I51" i="404" s="1"/>
  <c r="F49" i="404"/>
  <c r="E49" i="404"/>
  <c r="H49" i="404" s="1"/>
  <c r="J49" i="404" s="1"/>
  <c r="F48" i="404"/>
  <c r="E48" i="404"/>
  <c r="H48" i="404" s="1"/>
  <c r="J48" i="404" s="1"/>
  <c r="F47" i="404"/>
  <c r="E47" i="404"/>
  <c r="H47" i="404" s="1"/>
  <c r="J47" i="404" s="1"/>
  <c r="F46" i="404"/>
  <c r="E46" i="404"/>
  <c r="D46" i="404"/>
  <c r="F45" i="404"/>
  <c r="E45" i="404"/>
  <c r="H45" i="404" s="1"/>
  <c r="J45" i="404" s="1"/>
  <c r="F44" i="404"/>
  <c r="E44" i="404"/>
  <c r="H44" i="404" s="1"/>
  <c r="J44" i="404" s="1"/>
  <c r="F43" i="404"/>
  <c r="E43" i="404"/>
  <c r="D43" i="404"/>
  <c r="D42" i="404"/>
  <c r="H42" i="404" s="1"/>
  <c r="J42" i="404" s="1"/>
  <c r="F41" i="404"/>
  <c r="D41" i="404"/>
  <c r="H41" i="404" s="1"/>
  <c r="J41" i="404" s="1"/>
  <c r="F40" i="404"/>
  <c r="E40" i="404"/>
  <c r="D40" i="404"/>
  <c r="D39" i="404"/>
  <c r="H39" i="404" s="1"/>
  <c r="J39" i="404" s="1"/>
  <c r="F38" i="404"/>
  <c r="E38" i="404"/>
  <c r="D38" i="404"/>
  <c r="F36" i="404"/>
  <c r="E36" i="404"/>
  <c r="H36" i="404" s="1"/>
  <c r="J36" i="404" s="1"/>
  <c r="D35" i="404"/>
  <c r="H35" i="404" s="1"/>
  <c r="J35" i="404" s="1"/>
  <c r="D34" i="404"/>
  <c r="H34" i="404" s="1"/>
  <c r="J34" i="404" s="1"/>
  <c r="D33" i="404"/>
  <c r="H33" i="404" s="1"/>
  <c r="J33" i="404" s="1"/>
  <c r="D32" i="404"/>
  <c r="H32" i="404" s="1"/>
  <c r="J32" i="404" s="1"/>
  <c r="F31" i="404"/>
  <c r="E31" i="404"/>
  <c r="D31" i="404"/>
  <c r="F30" i="404"/>
  <c r="E30" i="404"/>
  <c r="D30" i="404"/>
  <c r="G28" i="404"/>
  <c r="E27" i="404"/>
  <c r="D27" i="404"/>
  <c r="E26" i="404"/>
  <c r="E23" i="404" s="1"/>
  <c r="D26" i="404"/>
  <c r="D25" i="404"/>
  <c r="H25" i="404" s="1"/>
  <c r="J25" i="404" s="1"/>
  <c r="D24" i="404"/>
  <c r="H24" i="404" s="1"/>
  <c r="D22" i="404"/>
  <c r="H22" i="404" s="1"/>
  <c r="J22" i="404" s="1"/>
  <c r="D21" i="404"/>
  <c r="H21" i="404" s="1"/>
  <c r="I21" i="404" s="1"/>
  <c r="F51" i="388"/>
  <c r="F52" i="388" s="1"/>
  <c r="J85" i="404"/>
  <c r="I85" i="404"/>
  <c r="H85" i="404"/>
  <c r="H91" i="404"/>
  <c r="H90" i="404"/>
  <c r="I90" i="404" s="1"/>
  <c r="H89" i="404"/>
  <c r="H84" i="404"/>
  <c r="I84" i="404" s="1"/>
  <c r="H83" i="404"/>
  <c r="I83" i="404" s="1"/>
  <c r="H28" i="404"/>
  <c r="J28" i="404" s="1"/>
  <c r="C3" i="404"/>
  <c r="A4" i="407" s="1"/>
  <c r="L67" i="404"/>
  <c r="H161" i="403"/>
  <c r="L121" i="403"/>
  <c r="M121" i="403" s="1"/>
  <c r="L135" i="403"/>
  <c r="G135" i="403"/>
  <c r="G134" i="403"/>
  <c r="G133" i="403"/>
  <c r="G131" i="403"/>
  <c r="G129" i="403"/>
  <c r="G128" i="403"/>
  <c r="H128" i="403" s="1"/>
  <c r="G121" i="403"/>
  <c r="G120" i="403"/>
  <c r="G119" i="403"/>
  <c r="H119" i="403" s="1"/>
  <c r="G118" i="403"/>
  <c r="H118" i="403" s="1"/>
  <c r="G116" i="403"/>
  <c r="H116" i="403" s="1"/>
  <c r="H160" i="403"/>
  <c r="M136" i="403"/>
  <c r="H136" i="403"/>
  <c r="M135" i="403"/>
  <c r="H135" i="403"/>
  <c r="H134" i="403"/>
  <c r="H133" i="403"/>
  <c r="H131" i="403"/>
  <c r="H130" i="403"/>
  <c r="H129" i="403"/>
  <c r="K126" i="403"/>
  <c r="J126" i="403"/>
  <c r="I126" i="403"/>
  <c r="F126" i="403"/>
  <c r="E126" i="403"/>
  <c r="D126" i="403"/>
  <c r="L122" i="403"/>
  <c r="K122" i="403"/>
  <c r="J122" i="403"/>
  <c r="I122" i="403"/>
  <c r="H121" i="403"/>
  <c r="H120" i="403"/>
  <c r="H115" i="403"/>
  <c r="H114" i="403"/>
  <c r="H113" i="403"/>
  <c r="G112" i="403"/>
  <c r="H112" i="403" s="1"/>
  <c r="H111" i="403"/>
  <c r="H110" i="403"/>
  <c r="H109" i="403"/>
  <c r="M101" i="403"/>
  <c r="L101" i="403"/>
  <c r="K101" i="403"/>
  <c r="J101" i="403"/>
  <c r="I101" i="403"/>
  <c r="G101" i="403"/>
  <c r="H100" i="403"/>
  <c r="H99" i="403"/>
  <c r="F98" i="403"/>
  <c r="F101" i="403" s="1"/>
  <c r="E98" i="403"/>
  <c r="E101" i="403" s="1"/>
  <c r="D98" i="403"/>
  <c r="H98" i="403" s="1"/>
  <c r="H97" i="403"/>
  <c r="H96" i="403"/>
  <c r="H95" i="403"/>
  <c r="H94" i="403"/>
  <c r="D93" i="403"/>
  <c r="H93" i="403" s="1"/>
  <c r="M91" i="403"/>
  <c r="L91" i="403"/>
  <c r="K91" i="403"/>
  <c r="J91" i="403"/>
  <c r="I91" i="403"/>
  <c r="G91" i="403"/>
  <c r="H90" i="403"/>
  <c r="H89" i="403"/>
  <c r="H88" i="403"/>
  <c r="H87" i="403"/>
  <c r="H86" i="403"/>
  <c r="F85" i="403"/>
  <c r="F91" i="403" s="1"/>
  <c r="E85" i="403"/>
  <c r="E91" i="403" s="1"/>
  <c r="D85" i="403"/>
  <c r="H84" i="403"/>
  <c r="M82" i="403"/>
  <c r="L82" i="403"/>
  <c r="K82" i="403"/>
  <c r="J82" i="403"/>
  <c r="I82" i="403"/>
  <c r="G82" i="403"/>
  <c r="H81" i="403"/>
  <c r="H80" i="403"/>
  <c r="H79" i="403"/>
  <c r="H78" i="403"/>
  <c r="F77" i="403"/>
  <c r="F82" i="403" s="1"/>
  <c r="E77" i="403"/>
  <c r="E82" i="403" s="1"/>
  <c r="D77" i="403"/>
  <c r="H76" i="403"/>
  <c r="L74" i="403"/>
  <c r="K74" i="403"/>
  <c r="J74" i="403"/>
  <c r="I74" i="403"/>
  <c r="M74" i="403" s="1"/>
  <c r="M102" i="403" s="1"/>
  <c r="G74" i="403"/>
  <c r="H73" i="403"/>
  <c r="H72" i="403"/>
  <c r="M71" i="403"/>
  <c r="F71" i="403"/>
  <c r="E71" i="403"/>
  <c r="D71" i="403"/>
  <c r="H70" i="403"/>
  <c r="H69" i="403"/>
  <c r="F68" i="403"/>
  <c r="F74" i="403" s="1"/>
  <c r="E68" i="403"/>
  <c r="D68" i="403"/>
  <c r="G66" i="403"/>
  <c r="H65" i="403"/>
  <c r="H64" i="403"/>
  <c r="H63" i="403"/>
  <c r="H62" i="403"/>
  <c r="F61" i="403"/>
  <c r="E61" i="403"/>
  <c r="D61" i="403"/>
  <c r="D66" i="403" s="1"/>
  <c r="H60" i="403"/>
  <c r="H59" i="403"/>
  <c r="H58" i="403"/>
  <c r="F57" i="403"/>
  <c r="E57" i="403"/>
  <c r="D57" i="403"/>
  <c r="H56" i="403"/>
  <c r="H55" i="403"/>
  <c r="H54" i="403"/>
  <c r="H53" i="403"/>
  <c r="H52" i="403"/>
  <c r="H51" i="403"/>
  <c r="H50" i="403"/>
  <c r="H49" i="403"/>
  <c r="H48" i="403"/>
  <c r="H47" i="403"/>
  <c r="H46" i="403"/>
  <c r="H45" i="403"/>
  <c r="F44" i="403"/>
  <c r="H44" i="403" s="1"/>
  <c r="E44" i="403"/>
  <c r="D44" i="403"/>
  <c r="G42" i="403"/>
  <c r="H41" i="403"/>
  <c r="H40" i="403"/>
  <c r="H39" i="403"/>
  <c r="H38" i="403"/>
  <c r="H37" i="403"/>
  <c r="H36" i="403"/>
  <c r="H35" i="403"/>
  <c r="F34" i="403"/>
  <c r="F42" i="403" s="1"/>
  <c r="E34" i="403"/>
  <c r="D34" i="403"/>
  <c r="D42" i="403" s="1"/>
  <c r="G32" i="403"/>
  <c r="F32" i="403"/>
  <c r="H31" i="403"/>
  <c r="H30" i="403"/>
  <c r="H29" i="403"/>
  <c r="H28" i="403"/>
  <c r="H27" i="403"/>
  <c r="E26" i="403"/>
  <c r="E32" i="403" s="1"/>
  <c r="D26" i="403"/>
  <c r="D32" i="403" s="1"/>
  <c r="H25" i="403"/>
  <c r="H24" i="403"/>
  <c r="D23" i="403"/>
  <c r="H23" i="403" s="1"/>
  <c r="G117" i="384"/>
  <c r="G120" i="384"/>
  <c r="G119" i="384"/>
  <c r="H119" i="384" s="1"/>
  <c r="G118" i="384"/>
  <c r="H118" i="384" s="1"/>
  <c r="H120" i="384"/>
  <c r="H114" i="384"/>
  <c r="H113" i="384"/>
  <c r="G112" i="384"/>
  <c r="H100" i="384"/>
  <c r="H99" i="384"/>
  <c r="E98" i="384"/>
  <c r="E101" i="384" s="1"/>
  <c r="F98" i="384"/>
  <c r="D98" i="384"/>
  <c r="H95" i="384"/>
  <c r="H96" i="384"/>
  <c r="H97" i="384"/>
  <c r="H94" i="384"/>
  <c r="D93" i="384"/>
  <c r="F101" i="384"/>
  <c r="G101" i="384"/>
  <c r="H87" i="384"/>
  <c r="H88" i="384"/>
  <c r="H89" i="384"/>
  <c r="H90" i="384"/>
  <c r="H86" i="384"/>
  <c r="E85" i="384"/>
  <c r="E91" i="384" s="1"/>
  <c r="F85" i="384"/>
  <c r="F91" i="384" s="1"/>
  <c r="D85" i="384"/>
  <c r="D91" i="384" s="1"/>
  <c r="G91" i="384"/>
  <c r="H79" i="384"/>
  <c r="H80" i="384"/>
  <c r="H78" i="384"/>
  <c r="E77" i="384"/>
  <c r="E82" i="384" s="1"/>
  <c r="F77" i="384"/>
  <c r="F82" i="384" s="1"/>
  <c r="D77" i="384"/>
  <c r="D82" i="384" s="1"/>
  <c r="G82" i="384"/>
  <c r="H73" i="384"/>
  <c r="H72" i="384"/>
  <c r="E71" i="384"/>
  <c r="F71" i="384"/>
  <c r="D71" i="384"/>
  <c r="H70" i="384"/>
  <c r="H69" i="384"/>
  <c r="E68" i="384"/>
  <c r="F68" i="384"/>
  <c r="D68" i="384"/>
  <c r="G74" i="384"/>
  <c r="H63" i="384"/>
  <c r="H64" i="384"/>
  <c r="H62" i="384"/>
  <c r="E61" i="384"/>
  <c r="F61" i="384"/>
  <c r="D61" i="384"/>
  <c r="G66" i="384"/>
  <c r="H59" i="384"/>
  <c r="H60" i="384"/>
  <c r="H58" i="384"/>
  <c r="E57" i="384"/>
  <c r="F57" i="384"/>
  <c r="D57" i="384"/>
  <c r="H46" i="384"/>
  <c r="H47" i="384"/>
  <c r="H48" i="384"/>
  <c r="H49" i="384"/>
  <c r="H50" i="384"/>
  <c r="H51" i="384"/>
  <c r="H52" i="384"/>
  <c r="H53" i="384"/>
  <c r="H54" i="384"/>
  <c r="H55" i="384"/>
  <c r="H56" i="384"/>
  <c r="H45" i="384"/>
  <c r="E44" i="384"/>
  <c r="F44" i="384"/>
  <c r="D44" i="384"/>
  <c r="H36" i="384"/>
  <c r="H37" i="384"/>
  <c r="H38" i="384"/>
  <c r="H39" i="384"/>
  <c r="H40" i="384"/>
  <c r="H41" i="384"/>
  <c r="H35" i="384"/>
  <c r="E34" i="384"/>
  <c r="F34" i="384"/>
  <c r="D34" i="384"/>
  <c r="H29" i="384"/>
  <c r="H28" i="384"/>
  <c r="H27" i="384"/>
  <c r="E26" i="384"/>
  <c r="E32" i="384" s="1"/>
  <c r="D26" i="384"/>
  <c r="D23" i="384"/>
  <c r="H24" i="384"/>
  <c r="H25" i="384"/>
  <c r="F32" i="384"/>
  <c r="G32" i="384"/>
  <c r="H62" i="404" l="1"/>
  <c r="J62" i="404" s="1"/>
  <c r="H82" i="404"/>
  <c r="J82" i="404" s="1"/>
  <c r="A3" i="405"/>
  <c r="C4" i="406"/>
  <c r="E97" i="404"/>
  <c r="E93" i="404" s="1"/>
  <c r="K17" i="404"/>
  <c r="L101" i="404"/>
  <c r="F97" i="404"/>
  <c r="F93" i="404" s="1"/>
  <c r="H53" i="404"/>
  <c r="J53" i="404" s="1"/>
  <c r="H31" i="404"/>
  <c r="I31" i="404" s="1"/>
  <c r="G96" i="404"/>
  <c r="G94" i="404" s="1"/>
  <c r="G93" i="404" s="1"/>
  <c r="L86" i="404"/>
  <c r="L83" i="404"/>
  <c r="L96" i="404"/>
  <c r="L76" i="404"/>
  <c r="L90" i="404"/>
  <c r="L77" i="404"/>
  <c r="L82" i="404"/>
  <c r="L91" i="404"/>
  <c r="L95" i="404"/>
  <c r="M95" i="404" s="1"/>
  <c r="H46" i="404"/>
  <c r="J46" i="404" s="1"/>
  <c r="F54" i="404"/>
  <c r="H66" i="404"/>
  <c r="J66" i="404" s="1"/>
  <c r="J63" i="404" s="1"/>
  <c r="L81" i="404"/>
  <c r="E29" i="404"/>
  <c r="L79" i="404"/>
  <c r="L84" i="404"/>
  <c r="L78" i="404"/>
  <c r="L89" i="404"/>
  <c r="D80" i="404"/>
  <c r="D75" i="404"/>
  <c r="D23" i="404"/>
  <c r="E54" i="404"/>
  <c r="H30" i="404"/>
  <c r="J30" i="404" s="1"/>
  <c r="H40" i="404"/>
  <c r="J40" i="404" s="1"/>
  <c r="H77" i="404"/>
  <c r="J77" i="404" s="1"/>
  <c r="H57" i="404"/>
  <c r="J57" i="404" s="1"/>
  <c r="G88" i="404"/>
  <c r="H43" i="404"/>
  <c r="J43" i="404" s="1"/>
  <c r="G16" i="404"/>
  <c r="D50" i="404"/>
  <c r="D59" i="404"/>
  <c r="F29" i="404"/>
  <c r="J24" i="404"/>
  <c r="I24" i="404"/>
  <c r="D20" i="404"/>
  <c r="J79" i="404"/>
  <c r="K79" i="404" s="1"/>
  <c r="I32" i="404"/>
  <c r="K32" i="404" s="1"/>
  <c r="D98" i="404"/>
  <c r="D101" i="404" s="1"/>
  <c r="D63" i="404"/>
  <c r="E80" i="404"/>
  <c r="H81" i="404"/>
  <c r="I81" i="404" s="1"/>
  <c r="H74" i="404"/>
  <c r="J74" i="404" s="1"/>
  <c r="J69" i="404" s="1"/>
  <c r="D69" i="404"/>
  <c r="D54" i="404"/>
  <c r="F37" i="404"/>
  <c r="E37" i="404"/>
  <c r="D37" i="404"/>
  <c r="H38" i="404"/>
  <c r="J38" i="404" s="1"/>
  <c r="D29" i="404"/>
  <c r="I65" i="404"/>
  <c r="K65" i="404" s="1"/>
  <c r="I47" i="404"/>
  <c r="K47" i="404" s="1"/>
  <c r="I39" i="404"/>
  <c r="K39" i="404" s="1"/>
  <c r="I52" i="404"/>
  <c r="K52" i="404" s="1"/>
  <c r="I61" i="404"/>
  <c r="I59" i="404" s="1"/>
  <c r="I33" i="404"/>
  <c r="K33" i="404" s="1"/>
  <c r="I70" i="404"/>
  <c r="K70" i="404" s="1"/>
  <c r="I45" i="404"/>
  <c r="K45" i="404" s="1"/>
  <c r="I25" i="404"/>
  <c r="K25" i="404" s="1"/>
  <c r="I44" i="404"/>
  <c r="K44" i="404" s="1"/>
  <c r="I28" i="404"/>
  <c r="K28" i="404" s="1"/>
  <c r="I42" i="404"/>
  <c r="K42" i="404" s="1"/>
  <c r="I73" i="404"/>
  <c r="K73" i="404" s="1"/>
  <c r="J90" i="404"/>
  <c r="K90" i="404" s="1"/>
  <c r="I49" i="404"/>
  <c r="K49" i="404" s="1"/>
  <c r="I41" i="404"/>
  <c r="K41" i="404" s="1"/>
  <c r="I56" i="404"/>
  <c r="K56" i="404" s="1"/>
  <c r="I64" i="404"/>
  <c r="I72" i="404"/>
  <c r="K72" i="404" s="1"/>
  <c r="J83" i="404"/>
  <c r="K83" i="404" s="1"/>
  <c r="I36" i="404"/>
  <c r="K36" i="404" s="1"/>
  <c r="I48" i="404"/>
  <c r="K48" i="404" s="1"/>
  <c r="I71" i="404"/>
  <c r="I22" i="404"/>
  <c r="I20" i="404" s="1"/>
  <c r="I35" i="404"/>
  <c r="K35" i="404" s="1"/>
  <c r="I67" i="404"/>
  <c r="K67" i="404" s="1"/>
  <c r="M67" i="404" s="1"/>
  <c r="I34" i="404"/>
  <c r="K34" i="404" s="1"/>
  <c r="I53" i="404"/>
  <c r="K53" i="404" s="1"/>
  <c r="I99" i="404"/>
  <c r="K99" i="404" s="1"/>
  <c r="J84" i="404"/>
  <c r="K84" i="404" s="1"/>
  <c r="I91" i="404"/>
  <c r="J91" i="404"/>
  <c r="I89" i="404"/>
  <c r="I88" i="404" s="1"/>
  <c r="J89" i="404"/>
  <c r="H88" i="404"/>
  <c r="I82" i="404"/>
  <c r="K82" i="404" s="1"/>
  <c r="J78" i="404"/>
  <c r="K78" i="404" s="1"/>
  <c r="J76" i="404"/>
  <c r="H20" i="404"/>
  <c r="L57" i="404"/>
  <c r="L49" i="404"/>
  <c r="L45" i="404"/>
  <c r="L41" i="404"/>
  <c r="L53" i="404"/>
  <c r="L56" i="404"/>
  <c r="H26" i="404"/>
  <c r="L30" i="404"/>
  <c r="L34" i="404"/>
  <c r="L99" i="404"/>
  <c r="L65" i="404"/>
  <c r="L33" i="404"/>
  <c r="L38" i="404"/>
  <c r="L51" i="404"/>
  <c r="L61" i="404"/>
  <c r="L64" i="404"/>
  <c r="L72" i="404"/>
  <c r="L48" i="404"/>
  <c r="L44" i="404"/>
  <c r="L40" i="404"/>
  <c r="L52" i="404"/>
  <c r="H100" i="404"/>
  <c r="H98" i="404" s="1"/>
  <c r="L68" i="404"/>
  <c r="L73" i="404"/>
  <c r="L46" i="404"/>
  <c r="L42" i="404"/>
  <c r="L71" i="404"/>
  <c r="L58" i="404"/>
  <c r="L66" i="404"/>
  <c r="H27" i="404"/>
  <c r="L47" i="404"/>
  <c r="H55" i="404"/>
  <c r="L70" i="404"/>
  <c r="L74" i="404"/>
  <c r="L31" i="404"/>
  <c r="L35" i="404"/>
  <c r="L100" i="404"/>
  <c r="J21" i="404"/>
  <c r="K21" i="404" s="1"/>
  <c r="L43" i="404"/>
  <c r="L39" i="404"/>
  <c r="L32" i="404"/>
  <c r="L36" i="404"/>
  <c r="L55" i="404"/>
  <c r="L60" i="404"/>
  <c r="L62" i="404"/>
  <c r="H59" i="404"/>
  <c r="J68" i="404"/>
  <c r="K68" i="404" s="1"/>
  <c r="J60" i="404"/>
  <c r="K60" i="404" s="1"/>
  <c r="J58" i="404"/>
  <c r="K58" i="404" s="1"/>
  <c r="J51" i="404"/>
  <c r="K51" i="404" s="1"/>
  <c r="M17" i="404"/>
  <c r="L92" i="404"/>
  <c r="H26" i="403"/>
  <c r="H32" i="403" s="1"/>
  <c r="H71" i="403"/>
  <c r="E66" i="403"/>
  <c r="H57" i="403"/>
  <c r="H66" i="403" s="1"/>
  <c r="J102" i="403"/>
  <c r="J104" i="403" s="1"/>
  <c r="J105" i="403" s="1"/>
  <c r="J106" i="403" s="1"/>
  <c r="J123" i="403" s="1"/>
  <c r="J138" i="403" s="1"/>
  <c r="K102" i="403"/>
  <c r="K106" i="403" s="1"/>
  <c r="K123" i="403" s="1"/>
  <c r="K138" i="403" s="1"/>
  <c r="K140" i="403" s="1"/>
  <c r="K141" i="403" s="1"/>
  <c r="K142" i="403" s="1"/>
  <c r="M122" i="403"/>
  <c r="D74" i="403"/>
  <c r="L102" i="403"/>
  <c r="L106" i="403" s="1"/>
  <c r="L123" i="403" s="1"/>
  <c r="H85" i="403"/>
  <c r="H91" i="403" s="1"/>
  <c r="H34" i="403"/>
  <c r="H42" i="403" s="1"/>
  <c r="G102" i="403"/>
  <c r="G106" i="403" s="1"/>
  <c r="E74" i="403"/>
  <c r="H82" i="403"/>
  <c r="D101" i="403"/>
  <c r="G117" i="403"/>
  <c r="G122" i="403" s="1"/>
  <c r="H61" i="403"/>
  <c r="H77" i="403"/>
  <c r="H74" i="403"/>
  <c r="H101" i="403"/>
  <c r="E102" i="403"/>
  <c r="E104" i="403" s="1"/>
  <c r="E105" i="403" s="1"/>
  <c r="E106" i="403" s="1"/>
  <c r="E108" i="403" s="1"/>
  <c r="E122" i="403" s="1"/>
  <c r="E123" i="403" s="1"/>
  <c r="E138" i="403" s="1"/>
  <c r="E140" i="403" s="1"/>
  <c r="E141" i="403" s="1"/>
  <c r="E42" i="403"/>
  <c r="H68" i="403"/>
  <c r="D91" i="403"/>
  <c r="I102" i="403"/>
  <c r="I104" i="403" s="1"/>
  <c r="D82" i="403"/>
  <c r="D102" i="403" s="1"/>
  <c r="D104" i="403" s="1"/>
  <c r="G123" i="403"/>
  <c r="H117" i="403"/>
  <c r="F66" i="403"/>
  <c r="F102" i="403" s="1"/>
  <c r="F106" i="403" s="1"/>
  <c r="F123" i="403" s="1"/>
  <c r="F138" i="403" s="1"/>
  <c r="G122" i="384"/>
  <c r="D101" i="384"/>
  <c r="D74" i="384"/>
  <c r="F74" i="384"/>
  <c r="E74" i="384"/>
  <c r="D66" i="384"/>
  <c r="F66" i="384"/>
  <c r="E66" i="384"/>
  <c r="D32" i="384"/>
  <c r="I62" i="404" l="1"/>
  <c r="K62" i="404" s="1"/>
  <c r="F92" i="404"/>
  <c r="F19" i="404" s="1"/>
  <c r="F15" i="404" s="1"/>
  <c r="F102" i="404" s="1"/>
  <c r="H50" i="404"/>
  <c r="M79" i="404"/>
  <c r="H101" i="404"/>
  <c r="H97" i="404" s="1"/>
  <c r="H93" i="404" s="1"/>
  <c r="D92" i="404"/>
  <c r="D19" i="404" s="1"/>
  <c r="D15" i="404" s="1"/>
  <c r="E92" i="404"/>
  <c r="E19" i="404" s="1"/>
  <c r="E15" i="404" s="1"/>
  <c r="E102" i="404" s="1"/>
  <c r="J31" i="404"/>
  <c r="K31" i="404" s="1"/>
  <c r="M31" i="404" s="1"/>
  <c r="M82" i="404"/>
  <c r="M83" i="404"/>
  <c r="M78" i="404"/>
  <c r="M90" i="404"/>
  <c r="H63" i="404"/>
  <c r="I46" i="404"/>
  <c r="K46" i="404" s="1"/>
  <c r="M46" i="404" s="1"/>
  <c r="H29" i="404"/>
  <c r="I66" i="404"/>
  <c r="K66" i="404" s="1"/>
  <c r="M66" i="404" s="1"/>
  <c r="M84" i="404"/>
  <c r="M48" i="404"/>
  <c r="M52" i="404"/>
  <c r="H75" i="404"/>
  <c r="I40" i="404"/>
  <c r="K40" i="404" s="1"/>
  <c r="M40" i="404" s="1"/>
  <c r="I30" i="404"/>
  <c r="K30" i="404" s="1"/>
  <c r="M30" i="404" s="1"/>
  <c r="K24" i="404"/>
  <c r="M24" i="404" s="1"/>
  <c r="K18" i="404"/>
  <c r="K16" i="404" s="1"/>
  <c r="I77" i="404"/>
  <c r="K77" i="404" s="1"/>
  <c r="M77" i="404" s="1"/>
  <c r="I57" i="404"/>
  <c r="K57" i="404" s="1"/>
  <c r="M57" i="404" s="1"/>
  <c r="J37" i="404"/>
  <c r="J88" i="404"/>
  <c r="J81" i="404"/>
  <c r="K81" i="404" s="1"/>
  <c r="M81" i="404" s="1"/>
  <c r="I43" i="404"/>
  <c r="K43" i="404" s="1"/>
  <c r="M43" i="404" s="1"/>
  <c r="H37" i="404"/>
  <c r="M53" i="404"/>
  <c r="M33" i="404"/>
  <c r="M35" i="404"/>
  <c r="M44" i="404"/>
  <c r="M36" i="404"/>
  <c r="H80" i="404"/>
  <c r="H69" i="404"/>
  <c r="I74" i="404"/>
  <c r="K74" i="404" s="1"/>
  <c r="M74" i="404" s="1"/>
  <c r="K61" i="404"/>
  <c r="M61" i="404" s="1"/>
  <c r="I38" i="404"/>
  <c r="K38" i="404" s="1"/>
  <c r="M38" i="404" s="1"/>
  <c r="M28" i="404"/>
  <c r="M32" i="404"/>
  <c r="M72" i="404"/>
  <c r="I50" i="404"/>
  <c r="M45" i="404"/>
  <c r="K22" i="404"/>
  <c r="K20" i="404" s="1"/>
  <c r="M70" i="404"/>
  <c r="M65" i="404"/>
  <c r="M47" i="404"/>
  <c r="I80" i="404"/>
  <c r="M56" i="404"/>
  <c r="J55" i="404"/>
  <c r="I55" i="404"/>
  <c r="J100" i="404"/>
  <c r="I100" i="404"/>
  <c r="I98" i="404" s="1"/>
  <c r="M39" i="404"/>
  <c r="M62" i="404"/>
  <c r="M34" i="404"/>
  <c r="J26" i="404"/>
  <c r="J23" i="404" s="1"/>
  <c r="I26" i="404"/>
  <c r="I23" i="404" s="1"/>
  <c r="M68" i="404"/>
  <c r="K89" i="404"/>
  <c r="K88" i="404" s="1"/>
  <c r="M60" i="404"/>
  <c r="M42" i="404"/>
  <c r="J27" i="404"/>
  <c r="I27" i="404"/>
  <c r="M73" i="404"/>
  <c r="K64" i="404"/>
  <c r="M25" i="404"/>
  <c r="K91" i="404"/>
  <c r="M91" i="404" s="1"/>
  <c r="K71" i="404"/>
  <c r="M99" i="404"/>
  <c r="J75" i="404"/>
  <c r="K76" i="404"/>
  <c r="H54" i="404"/>
  <c r="H23" i="404"/>
  <c r="M51" i="404"/>
  <c r="M41" i="404"/>
  <c r="J20" i="404"/>
  <c r="M58" i="404"/>
  <c r="M49" i="404"/>
  <c r="J59" i="404"/>
  <c r="O67" i="404"/>
  <c r="J50" i="404"/>
  <c r="K50" i="404"/>
  <c r="M21" i="404"/>
  <c r="H102" i="403"/>
  <c r="M104" i="403"/>
  <c r="M105" i="403" s="1"/>
  <c r="M106" i="403" s="1"/>
  <c r="M123" i="403" s="1"/>
  <c r="L132" i="403" s="1"/>
  <c r="J140" i="403"/>
  <c r="J141" i="403" s="1"/>
  <c r="J142" i="403" s="1"/>
  <c r="J144" i="403" s="1"/>
  <c r="J145" i="403" s="1"/>
  <c r="J146" i="403" s="1"/>
  <c r="E148" i="403" s="1"/>
  <c r="I105" i="403"/>
  <c r="I106" i="403" s="1"/>
  <c r="I123" i="403" s="1"/>
  <c r="L125" i="403" s="1"/>
  <c r="H104" i="403"/>
  <c r="H105" i="403" s="1"/>
  <c r="H106" i="403" s="1"/>
  <c r="D105" i="403"/>
  <c r="D106" i="403" s="1"/>
  <c r="D108" i="403" s="1"/>
  <c r="D122" i="403" s="1"/>
  <c r="D123" i="403" s="1"/>
  <c r="G125" i="403" s="1"/>
  <c r="F140" i="403"/>
  <c r="F141" i="403" s="1"/>
  <c r="F142" i="403"/>
  <c r="E142" i="403"/>
  <c r="K144" i="403"/>
  <c r="K145" i="403" s="1"/>
  <c r="K146" i="403" s="1"/>
  <c r="F148" i="403" s="1"/>
  <c r="E144" i="403"/>
  <c r="E145" i="403" s="1"/>
  <c r="E146" i="403" s="1"/>
  <c r="P67" i="404" l="1"/>
  <c r="Q67" i="404" s="1"/>
  <c r="O78" i="404"/>
  <c r="O79" i="404"/>
  <c r="H92" i="404"/>
  <c r="H19" i="404" s="1"/>
  <c r="H15" i="404" s="1"/>
  <c r="H102" i="404" s="1"/>
  <c r="I101" i="404"/>
  <c r="I97" i="404" s="1"/>
  <c r="I93" i="404" s="1"/>
  <c r="O83" i="404"/>
  <c r="J29" i="404"/>
  <c r="O82" i="404"/>
  <c r="K63" i="404"/>
  <c r="O90" i="404"/>
  <c r="O52" i="404"/>
  <c r="I29" i="404"/>
  <c r="O48" i="404"/>
  <c r="O77" i="404"/>
  <c r="I75" i="404"/>
  <c r="I63" i="404"/>
  <c r="O61" i="404"/>
  <c r="O84" i="404"/>
  <c r="F103" i="404"/>
  <c r="F104" i="404" s="1"/>
  <c r="E103" i="404"/>
  <c r="E104" i="404" s="1"/>
  <c r="O28" i="404"/>
  <c r="M18" i="404"/>
  <c r="M16" i="404" s="1"/>
  <c r="O33" i="404"/>
  <c r="O40" i="404"/>
  <c r="O56" i="404"/>
  <c r="O36" i="404"/>
  <c r="O35" i="404"/>
  <c r="I54" i="404"/>
  <c r="J80" i="404"/>
  <c r="O44" i="404"/>
  <c r="K80" i="404"/>
  <c r="O53" i="404"/>
  <c r="O32" i="404"/>
  <c r="O31" i="404"/>
  <c r="M22" i="404"/>
  <c r="O22" i="404" s="1"/>
  <c r="K59" i="404"/>
  <c r="I69" i="404"/>
  <c r="K27" i="404"/>
  <c r="M27" i="404" s="1"/>
  <c r="O27" i="404" s="1"/>
  <c r="M89" i="404"/>
  <c r="O89" i="404" s="1"/>
  <c r="P89" i="404" s="1"/>
  <c r="O74" i="404"/>
  <c r="K69" i="404"/>
  <c r="O72" i="404"/>
  <c r="M64" i="404"/>
  <c r="M63" i="404" s="1"/>
  <c r="O62" i="404"/>
  <c r="O57" i="404"/>
  <c r="O47" i="404"/>
  <c r="I37" i="404"/>
  <c r="K37" i="404"/>
  <c r="O38" i="404"/>
  <c r="O34" i="404"/>
  <c r="K29" i="404"/>
  <c r="O73" i="404"/>
  <c r="O24" i="404"/>
  <c r="M71" i="404"/>
  <c r="M69" i="404" s="1"/>
  <c r="O70" i="404"/>
  <c r="P70" i="404" s="1"/>
  <c r="O30" i="404"/>
  <c r="O46" i="404"/>
  <c r="O65" i="404"/>
  <c r="O43" i="404"/>
  <c r="O25" i="404"/>
  <c r="O91" i="404"/>
  <c r="O99" i="404"/>
  <c r="K100" i="404"/>
  <c r="J98" i="404"/>
  <c r="J97" i="404" s="1"/>
  <c r="J93" i="404" s="1"/>
  <c r="O60" i="404"/>
  <c r="K55" i="404"/>
  <c r="J54" i="404"/>
  <c r="O42" i="404"/>
  <c r="K26" i="404"/>
  <c r="O68" i="404"/>
  <c r="O81" i="404"/>
  <c r="P81" i="404" s="1"/>
  <c r="M80" i="404"/>
  <c r="M76" i="404"/>
  <c r="K75" i="404"/>
  <c r="O58" i="404"/>
  <c r="O41" i="404"/>
  <c r="O49" i="404"/>
  <c r="O51" i="404"/>
  <c r="O66" i="404"/>
  <c r="O45" i="404"/>
  <c r="O39" i="404"/>
  <c r="M59" i="404"/>
  <c r="M29" i="404"/>
  <c r="M37" i="404"/>
  <c r="M50" i="404"/>
  <c r="O21" i="404"/>
  <c r="P21" i="404" s="1"/>
  <c r="I138" i="403"/>
  <c r="F144" i="403"/>
  <c r="F145" i="403" s="1"/>
  <c r="F146" i="403" s="1"/>
  <c r="H108" i="403"/>
  <c r="H122" i="403" s="1"/>
  <c r="H123" i="403" s="1"/>
  <c r="G132" i="403" s="1"/>
  <c r="I140" i="403"/>
  <c r="L137" i="403"/>
  <c r="M132" i="403"/>
  <c r="M137" i="403" s="1"/>
  <c r="E147" i="403"/>
  <c r="L126" i="403"/>
  <c r="M125" i="403"/>
  <c r="M126" i="403" s="1"/>
  <c r="D138" i="403"/>
  <c r="P27" i="404" l="1"/>
  <c r="Q27" i="404" s="1"/>
  <c r="P24" i="404"/>
  <c r="Q24" i="404" s="1"/>
  <c r="P66" i="404"/>
  <c r="Q66" i="404" s="1"/>
  <c r="P33" i="404"/>
  <c r="Q33" i="404" s="1"/>
  <c r="P68" i="404"/>
  <c r="Q68" i="404" s="1"/>
  <c r="P44" i="404"/>
  <c r="Q44" i="404" s="1"/>
  <c r="P91" i="404"/>
  <c r="Q91" i="404" s="1"/>
  <c r="P48" i="404"/>
  <c r="Q48" i="404" s="1"/>
  <c r="P62" i="404"/>
  <c r="Q62" i="404" s="1"/>
  <c r="P22" i="404"/>
  <c r="Q22" i="404" s="1"/>
  <c r="P52" i="404"/>
  <c r="Q52" i="404" s="1"/>
  <c r="P79" i="404"/>
  <c r="Q79" i="404" s="1"/>
  <c r="P65" i="404"/>
  <c r="Q65" i="404" s="1"/>
  <c r="P34" i="404"/>
  <c r="Q34" i="404" s="1"/>
  <c r="P72" i="404"/>
  <c r="Q72" i="404" s="1"/>
  <c r="P31" i="404"/>
  <c r="Q31" i="404" s="1"/>
  <c r="P36" i="404"/>
  <c r="Q36" i="404" s="1"/>
  <c r="P84" i="404"/>
  <c r="Q84" i="404" s="1"/>
  <c r="P90" i="404"/>
  <c r="Q90" i="404" s="1"/>
  <c r="P78" i="404"/>
  <c r="Q78" i="404" s="1"/>
  <c r="P51" i="404"/>
  <c r="Q51" i="404" s="1"/>
  <c r="P47" i="404"/>
  <c r="Q47" i="404" s="1"/>
  <c r="P83" i="404"/>
  <c r="Q83" i="404" s="1"/>
  <c r="P57" i="404"/>
  <c r="Q57" i="404" s="1"/>
  <c r="P25" i="404"/>
  <c r="Q25" i="404" s="1"/>
  <c r="P58" i="404"/>
  <c r="Q58" i="404" s="1"/>
  <c r="P35" i="404"/>
  <c r="P46" i="404"/>
  <c r="Q46" i="404" s="1"/>
  <c r="P32" i="404"/>
  <c r="Q32" i="404" s="1"/>
  <c r="P61" i="404"/>
  <c r="Q61" i="404" s="1"/>
  <c r="P99" i="404"/>
  <c r="Q99" i="404" s="1"/>
  <c r="P77" i="404"/>
  <c r="Q77" i="404" s="1"/>
  <c r="P49" i="404"/>
  <c r="Q49" i="404" s="1"/>
  <c r="P28" i="404"/>
  <c r="Q28" i="404" s="1"/>
  <c r="P41" i="404"/>
  <c r="Q41" i="404" s="1"/>
  <c r="P42" i="404"/>
  <c r="Q42" i="404" s="1"/>
  <c r="P73" i="404"/>
  <c r="Q73" i="404" s="1"/>
  <c r="P43" i="404"/>
  <c r="Q43" i="404" s="1"/>
  <c r="P39" i="404"/>
  <c r="P60" i="404"/>
  <c r="Q60" i="404" s="1"/>
  <c r="P38" i="404"/>
  <c r="Q38" i="404" s="1"/>
  <c r="P56" i="404"/>
  <c r="Q56" i="404" s="1"/>
  <c r="P45" i="404"/>
  <c r="Q45" i="404" s="1"/>
  <c r="P30" i="404"/>
  <c r="Q30" i="404" s="1"/>
  <c r="P74" i="404"/>
  <c r="Q74" i="404" s="1"/>
  <c r="P53" i="404"/>
  <c r="Q53" i="404" s="1"/>
  <c r="P40" i="404"/>
  <c r="Q40" i="404" s="1"/>
  <c r="P82" i="404"/>
  <c r="Q82" i="404" s="1"/>
  <c r="I92" i="404"/>
  <c r="I19" i="404" s="1"/>
  <c r="I15" i="404" s="1"/>
  <c r="I102" i="404" s="1"/>
  <c r="J19" i="404"/>
  <c r="J15" i="404" s="1"/>
  <c r="J102" i="404" s="1"/>
  <c r="O80" i="404"/>
  <c r="O88" i="404"/>
  <c r="O95" i="404"/>
  <c r="P95" i="404" s="1"/>
  <c r="M20" i="404"/>
  <c r="H103" i="404"/>
  <c r="H104" i="404" s="1"/>
  <c r="O71" i="404"/>
  <c r="M88" i="404"/>
  <c r="O64" i="404"/>
  <c r="M55" i="404"/>
  <c r="K54" i="404"/>
  <c r="K98" i="404"/>
  <c r="M100" i="404"/>
  <c r="O59" i="404"/>
  <c r="M26" i="404"/>
  <c r="K23" i="404"/>
  <c r="M75" i="404"/>
  <c r="O76" i="404"/>
  <c r="O50" i="404"/>
  <c r="Q70" i="404"/>
  <c r="O29" i="404"/>
  <c r="O37" i="404"/>
  <c r="O20" i="404"/>
  <c r="F147" i="403"/>
  <c r="D140" i="403"/>
  <c r="G137" i="403"/>
  <c r="H132" i="403"/>
  <c r="H137" i="403" s="1"/>
  <c r="I141" i="403"/>
  <c r="I142" i="403" s="1"/>
  <c r="H125" i="403"/>
  <c r="H126" i="403" s="1"/>
  <c r="G126" i="403"/>
  <c r="M138" i="403"/>
  <c r="L138" i="403"/>
  <c r="P37" i="404" l="1"/>
  <c r="P29" i="404"/>
  <c r="Q35" i="404"/>
  <c r="Q29" i="404" s="1"/>
  <c r="Q39" i="404"/>
  <c r="Q37" i="404" s="1"/>
  <c r="O75" i="404"/>
  <c r="P76" i="404"/>
  <c r="O63" i="404"/>
  <c r="P64" i="404"/>
  <c r="P63" i="404" s="1"/>
  <c r="P71" i="404"/>
  <c r="Q71" i="404" s="1"/>
  <c r="Q69" i="404" s="1"/>
  <c r="J103" i="404"/>
  <c r="J104" i="404" s="1"/>
  <c r="I103" i="404"/>
  <c r="I104" i="404" s="1"/>
  <c r="P69" i="404"/>
  <c r="O69" i="404"/>
  <c r="M54" i="404"/>
  <c r="O55" i="404"/>
  <c r="P55" i="404" s="1"/>
  <c r="M23" i="404"/>
  <c r="O26" i="404"/>
  <c r="P26" i="404" s="1"/>
  <c r="O100" i="404"/>
  <c r="P100" i="404" s="1"/>
  <c r="M98" i="404"/>
  <c r="P88" i="404"/>
  <c r="Q89" i="404"/>
  <c r="Q88" i="404" s="1"/>
  <c r="P80" i="404"/>
  <c r="Q81" i="404"/>
  <c r="Q80" i="404" s="1"/>
  <c r="P59" i="404"/>
  <c r="Q59" i="404"/>
  <c r="P50" i="404"/>
  <c r="Q50" i="404"/>
  <c r="Q21" i="404"/>
  <c r="Q20" i="404" s="1"/>
  <c r="P20" i="404"/>
  <c r="O17" i="404"/>
  <c r="P17" i="404" s="1"/>
  <c r="O18" i="404"/>
  <c r="P18" i="404" s="1"/>
  <c r="G138" i="403"/>
  <c r="G140" i="403" s="1"/>
  <c r="H138" i="403"/>
  <c r="D141" i="403"/>
  <c r="D142" i="403" s="1"/>
  <c r="I144" i="403"/>
  <c r="L140" i="403"/>
  <c r="R95" i="404" l="1"/>
  <c r="Q95" i="404"/>
  <c r="Q64" i="404"/>
  <c r="Q63" i="404" s="1"/>
  <c r="O54" i="404"/>
  <c r="O98" i="404"/>
  <c r="O23" i="404"/>
  <c r="P75" i="404"/>
  <c r="Q76" i="404"/>
  <c r="Q75" i="404" s="1"/>
  <c r="O16" i="404"/>
  <c r="G141" i="403"/>
  <c r="G142" i="403" s="1"/>
  <c r="G144" i="403" s="1"/>
  <c r="G145" i="403" s="1"/>
  <c r="G146" i="403" s="1"/>
  <c r="H140" i="403"/>
  <c r="H141" i="403" s="1"/>
  <c r="H142" i="403" s="1"/>
  <c r="D144" i="403"/>
  <c r="I145" i="403"/>
  <c r="I146" i="403" s="1"/>
  <c r="D148" i="403" s="1"/>
  <c r="L141" i="403"/>
  <c r="L142" i="403" s="1"/>
  <c r="M140" i="403"/>
  <c r="M141" i="403" s="1"/>
  <c r="M142" i="403" s="1"/>
  <c r="C15" i="405" l="1"/>
  <c r="Q55" i="404"/>
  <c r="Q54" i="404" s="1"/>
  <c r="P54" i="404"/>
  <c r="Q26" i="404"/>
  <c r="Q23" i="404" s="1"/>
  <c r="P23" i="404"/>
  <c r="Q100" i="404"/>
  <c r="Q98" i="404" s="1"/>
  <c r="C29" i="405" s="1"/>
  <c r="D29" i="405" s="1"/>
  <c r="E29" i="405" s="1"/>
  <c r="P98" i="404"/>
  <c r="R18" i="404"/>
  <c r="P16" i="404"/>
  <c r="C13" i="405" s="1"/>
  <c r="R17" i="404"/>
  <c r="Q17" i="404"/>
  <c r="L144" i="403"/>
  <c r="H144" i="403"/>
  <c r="H145" i="403" s="1"/>
  <c r="H146" i="403" s="1"/>
  <c r="D145" i="403"/>
  <c r="D146" i="403" s="1"/>
  <c r="D15" i="405" l="1"/>
  <c r="E15" i="405" s="1"/>
  <c r="Q16" i="404"/>
  <c r="D13" i="405"/>
  <c r="E13" i="405" s="1"/>
  <c r="E16" i="405"/>
  <c r="D147" i="403"/>
  <c r="L145" i="403"/>
  <c r="L146" i="403" s="1"/>
  <c r="G148" i="403" s="1"/>
  <c r="M144" i="403"/>
  <c r="M145" i="403" s="1"/>
  <c r="M146" i="403" s="1"/>
  <c r="H148" i="403" s="1"/>
  <c r="H147" i="403" l="1"/>
  <c r="G147" i="403"/>
  <c r="I16" i="402" l="1"/>
  <c r="I17" i="402" s="1"/>
  <c r="I18" i="402" s="1"/>
  <c r="I19" i="402" s="1"/>
  <c r="G87" i="401"/>
  <c r="G86" i="401"/>
  <c r="E86" i="401"/>
  <c r="G85" i="401"/>
  <c r="G84" i="401"/>
  <c r="G83" i="401"/>
  <c r="G89" i="401" s="1"/>
  <c r="G90" i="401" s="1"/>
  <c r="G76" i="401"/>
  <c r="E76" i="401"/>
  <c r="G75" i="401"/>
  <c r="E74" i="401"/>
  <c r="G74" i="401" s="1"/>
  <c r="G73" i="401"/>
  <c r="E70" i="401"/>
  <c r="G70" i="401" s="1"/>
  <c r="E69" i="401"/>
  <c r="G69" i="401" s="1"/>
  <c r="G68" i="401"/>
  <c r="G67" i="401"/>
  <c r="G66" i="401"/>
  <c r="G65" i="401"/>
  <c r="G64" i="401"/>
  <c r="G63" i="401"/>
  <c r="G62" i="401"/>
  <c r="G61" i="401"/>
  <c r="G60" i="401"/>
  <c r="G59" i="401"/>
  <c r="G58" i="401"/>
  <c r="G57" i="401"/>
  <c r="G56" i="401"/>
  <c r="G55" i="401"/>
  <c r="G54" i="401"/>
  <c r="G53" i="401"/>
  <c r="G51" i="401"/>
  <c r="G50" i="401"/>
  <c r="G49" i="401"/>
  <c r="G48" i="401"/>
  <c r="F47" i="401"/>
  <c r="G47" i="401" s="1"/>
  <c r="E45" i="401"/>
  <c r="G45" i="401" s="1"/>
  <c r="G44" i="401"/>
  <c r="G43" i="401"/>
  <c r="G42" i="401"/>
  <c r="G41" i="401"/>
  <c r="G40" i="401"/>
  <c r="G39" i="401"/>
  <c r="G38" i="401"/>
  <c r="G37" i="401"/>
  <c r="G36" i="401"/>
  <c r="G25" i="401"/>
  <c r="G24" i="401"/>
  <c r="G23" i="401"/>
  <c r="G22" i="401"/>
  <c r="G21" i="401"/>
  <c r="G20" i="401"/>
  <c r="G19" i="401"/>
  <c r="G18" i="401"/>
  <c r="G26" i="401" s="1"/>
  <c r="D19" i="400"/>
  <c r="I19" i="400" s="1"/>
  <c r="I18" i="400"/>
  <c r="D18" i="400"/>
  <c r="I17" i="400"/>
  <c r="D17" i="400"/>
  <c r="I16" i="400"/>
  <c r="D16" i="400"/>
  <c r="I15" i="400"/>
  <c r="D15" i="400"/>
  <c r="I14" i="400"/>
  <c r="D14" i="400"/>
  <c r="D20" i="400" s="1"/>
  <c r="E28" i="399"/>
  <c r="E26" i="399"/>
  <c r="E22" i="399"/>
  <c r="E24" i="399" s="1"/>
  <c r="E29" i="399" s="1"/>
  <c r="D19" i="399"/>
  <c r="D18" i="399"/>
  <c r="D17" i="399"/>
  <c r="D16" i="399"/>
  <c r="D20" i="399" s="1"/>
  <c r="D29" i="399" s="1"/>
  <c r="D30" i="399" s="1"/>
  <c r="D15" i="399"/>
  <c r="D14" i="399"/>
  <c r="E31" i="398"/>
  <c r="E26" i="398"/>
  <c r="I22" i="398"/>
  <c r="E22" i="398"/>
  <c r="E24" i="398" s="1"/>
  <c r="E32" i="398" s="1"/>
  <c r="I21" i="398"/>
  <c r="I20" i="398"/>
  <c r="D19" i="398"/>
  <c r="D17" i="398"/>
  <c r="D16" i="398"/>
  <c r="D15" i="398"/>
  <c r="D14" i="398"/>
  <c r="D20" i="398" s="1"/>
  <c r="G27" i="401" l="1"/>
  <c r="F28" i="401"/>
  <c r="G28" i="401" s="1"/>
  <c r="F29" i="401" s="1"/>
  <c r="G71" i="401"/>
  <c r="E77" i="401" s="1"/>
  <c r="G77" i="401" s="1"/>
  <c r="G78" i="401" s="1"/>
  <c r="I20" i="400"/>
  <c r="J20" i="398"/>
  <c r="J22" i="398" s="1"/>
  <c r="D32" i="398"/>
  <c r="D33" i="398" s="1"/>
  <c r="J21" i="398"/>
  <c r="G29" i="401" l="1"/>
  <c r="G31" i="401" s="1"/>
  <c r="G32" i="401" s="1"/>
  <c r="G33" i="401" s="1"/>
  <c r="E30" i="401"/>
  <c r="G30" i="401" s="1"/>
  <c r="F79" i="401"/>
  <c r="G79" i="401" s="1"/>
  <c r="G80" i="401" s="1"/>
  <c r="G81" i="401" l="1"/>
  <c r="G91" i="401" s="1"/>
  <c r="G94" i="401" l="1"/>
  <c r="G93" i="401"/>
  <c r="G92" i="401"/>
  <c r="I749" i="390"/>
  <c r="I730" i="390"/>
  <c r="I711" i="390"/>
  <c r="I692" i="390"/>
  <c r="I672" i="390"/>
  <c r="I652" i="390"/>
  <c r="I633" i="390"/>
  <c r="I617" i="390"/>
  <c r="I605" i="390"/>
  <c r="I590" i="390"/>
  <c r="I575" i="390"/>
  <c r="I560" i="390"/>
  <c r="I545" i="390"/>
  <c r="I522" i="390"/>
  <c r="I504" i="390"/>
  <c r="I488" i="390"/>
  <c r="I475" i="390"/>
  <c r="I466" i="390"/>
  <c r="I450" i="390"/>
  <c r="I437" i="390"/>
  <c r="I420" i="390"/>
  <c r="I402" i="390"/>
  <c r="I383" i="390"/>
  <c r="I365" i="390"/>
  <c r="I351" i="390"/>
  <c r="I338" i="390"/>
  <c r="I325" i="390"/>
  <c r="I312" i="390"/>
  <c r="I291" i="390"/>
  <c r="I270" i="390"/>
  <c r="I257" i="390"/>
  <c r="I235" i="390"/>
  <c r="I223" i="390"/>
  <c r="I211" i="390"/>
  <c r="I199" i="390"/>
  <c r="I188" i="390"/>
  <c r="I162" i="390"/>
  <c r="I144" i="390"/>
  <c r="I126" i="390"/>
  <c r="I103" i="390"/>
  <c r="I83" i="390"/>
  <c r="I69" i="390"/>
  <c r="I58" i="390"/>
  <c r="I43" i="390"/>
  <c r="I33" i="390"/>
  <c r="I24" i="390"/>
  <c r="I15" i="390"/>
  <c r="I919" i="389"/>
  <c r="I906" i="389"/>
  <c r="I885" i="389"/>
  <c r="I864" i="389"/>
  <c r="I843" i="389"/>
  <c r="I829" i="389"/>
  <c r="I808" i="389"/>
  <c r="I788" i="389"/>
  <c r="I767" i="389"/>
  <c r="I747" i="389"/>
  <c r="I727" i="389"/>
  <c r="I707" i="389"/>
  <c r="I687" i="389"/>
  <c r="I663" i="389"/>
  <c r="I641" i="389"/>
  <c r="I628" i="389"/>
  <c r="I611" i="389"/>
  <c r="I599" i="389"/>
  <c r="I583" i="389"/>
  <c r="I560" i="389"/>
  <c r="I535" i="389"/>
  <c r="I511" i="389"/>
  <c r="I487" i="389"/>
  <c r="I463" i="389"/>
  <c r="I441" i="389"/>
  <c r="I419" i="389"/>
  <c r="I397" i="389"/>
  <c r="I374" i="389"/>
  <c r="I349" i="389"/>
  <c r="I324" i="389"/>
  <c r="I307" i="389"/>
  <c r="I282" i="389"/>
  <c r="I262" i="389"/>
  <c r="I248" i="389"/>
  <c r="I234" i="389"/>
  <c r="I220" i="389"/>
  <c r="I194" i="389"/>
  <c r="I173" i="389"/>
  <c r="I152" i="389"/>
  <c r="I127" i="389"/>
  <c r="I106" i="389"/>
  <c r="I84" i="389"/>
  <c r="I68" i="389"/>
  <c r="I54" i="389"/>
  <c r="I41" i="389"/>
  <c r="I28" i="389"/>
  <c r="I15" i="389"/>
  <c r="D769" i="390"/>
  <c r="D948" i="389"/>
  <c r="I939" i="389" l="1"/>
  <c r="I940" i="389" s="1"/>
  <c r="I943" i="389" s="1"/>
  <c r="I764" i="390"/>
  <c r="I765" i="390" s="1"/>
  <c r="I767" i="390"/>
  <c r="I766" i="390"/>
  <c r="I942" i="389"/>
  <c r="I945" i="389" l="1"/>
  <c r="I944" i="389"/>
  <c r="E17" i="337" l="1"/>
  <c r="E17" i="336"/>
  <c r="E17" i="330"/>
  <c r="E17" i="329"/>
  <c r="E17" i="323"/>
  <c r="E17" i="322"/>
  <c r="E17" i="319"/>
  <c r="E17" i="317"/>
  <c r="E17" i="313"/>
  <c r="E17" i="303"/>
  <c r="E17" i="288"/>
  <c r="E17" i="286"/>
  <c r="E17" i="360"/>
  <c r="E17" i="361"/>
  <c r="E49" i="388"/>
  <c r="E51" i="388" s="1"/>
  <c r="E37" i="388"/>
  <c r="E34" i="388"/>
  <c r="E33" i="388"/>
  <c r="E28" i="388"/>
  <c r="E25" i="388"/>
  <c r="E23" i="388"/>
  <c r="E17" i="388"/>
  <c r="E18" i="388" s="1"/>
  <c r="E41" i="388" s="1"/>
  <c r="E52" i="388" l="1"/>
  <c r="K87" i="404"/>
  <c r="M87" i="404" s="1"/>
  <c r="E29" i="388"/>
  <c r="E38" i="388"/>
  <c r="E39" i="388" s="1"/>
  <c r="M136" i="384"/>
  <c r="H136" i="384"/>
  <c r="M135" i="384"/>
  <c r="H135" i="384"/>
  <c r="H134" i="384"/>
  <c r="H133" i="384"/>
  <c r="H131" i="384"/>
  <c r="H130" i="384"/>
  <c r="H129" i="384"/>
  <c r="H128" i="384"/>
  <c r="K126" i="384"/>
  <c r="J126" i="384"/>
  <c r="I126" i="384"/>
  <c r="F126" i="384"/>
  <c r="E126" i="384"/>
  <c r="D126" i="384"/>
  <c r="L122" i="384"/>
  <c r="K122" i="384"/>
  <c r="J122" i="384"/>
  <c r="I122" i="384"/>
  <c r="M121" i="384"/>
  <c r="H121" i="384"/>
  <c r="H117" i="384"/>
  <c r="H116" i="384"/>
  <c r="H115" i="384"/>
  <c r="H112" i="384"/>
  <c r="H111" i="384"/>
  <c r="H110" i="384"/>
  <c r="H109" i="384"/>
  <c r="M101" i="384"/>
  <c r="L101" i="384"/>
  <c r="K101" i="384"/>
  <c r="J101" i="384"/>
  <c r="I101" i="384"/>
  <c r="H98" i="384"/>
  <c r="H93" i="384"/>
  <c r="M91" i="384"/>
  <c r="L91" i="384"/>
  <c r="K91" i="384"/>
  <c r="J91" i="384"/>
  <c r="I91" i="384"/>
  <c r="H85" i="384"/>
  <c r="H84" i="384"/>
  <c r="M82" i="384"/>
  <c r="L82" i="384"/>
  <c r="K82" i="384"/>
  <c r="J82" i="384"/>
  <c r="I82" i="384"/>
  <c r="H81" i="384"/>
  <c r="H77" i="384"/>
  <c r="H76" i="384"/>
  <c r="L74" i="384"/>
  <c r="K74" i="384"/>
  <c r="J74" i="384"/>
  <c r="I74" i="384"/>
  <c r="M71" i="384"/>
  <c r="H71" i="384"/>
  <c r="H68" i="384"/>
  <c r="H65" i="384"/>
  <c r="H61" i="384"/>
  <c r="H57" i="384"/>
  <c r="H44" i="384"/>
  <c r="G42" i="384"/>
  <c r="F42" i="384"/>
  <c r="E42" i="384"/>
  <c r="D42" i="384"/>
  <c r="H34" i="384"/>
  <c r="H42" i="384" s="1"/>
  <c r="H31" i="384"/>
  <c r="H30" i="384"/>
  <c r="H26" i="384"/>
  <c r="H23" i="384"/>
  <c r="M88" i="383"/>
  <c r="H85" i="383"/>
  <c r="H84" i="383"/>
  <c r="M83" i="383"/>
  <c r="H83" i="383"/>
  <c r="M82" i="383"/>
  <c r="H82" i="383"/>
  <c r="M80" i="383"/>
  <c r="H80" i="383"/>
  <c r="M79" i="383"/>
  <c r="H79" i="383"/>
  <c r="M78" i="383"/>
  <c r="H78" i="383"/>
  <c r="M77" i="383"/>
  <c r="H77" i="383"/>
  <c r="M76" i="383"/>
  <c r="K75" i="383"/>
  <c r="J75" i="383"/>
  <c r="I75" i="383"/>
  <c r="F75" i="383"/>
  <c r="E75" i="383"/>
  <c r="D75" i="383"/>
  <c r="M73" i="383"/>
  <c r="L71" i="383"/>
  <c r="K71" i="383"/>
  <c r="G71" i="383"/>
  <c r="F71" i="383"/>
  <c r="M70" i="383"/>
  <c r="H70" i="383"/>
  <c r="H69" i="383"/>
  <c r="H68" i="383"/>
  <c r="H67" i="383"/>
  <c r="H66" i="383"/>
  <c r="H65" i="383"/>
  <c r="H64" i="383"/>
  <c r="H63" i="383"/>
  <c r="M61" i="383"/>
  <c r="M59" i="383"/>
  <c r="M57" i="383"/>
  <c r="M55" i="383"/>
  <c r="G55" i="383"/>
  <c r="F55" i="383"/>
  <c r="E55" i="383"/>
  <c r="D55" i="383"/>
  <c r="M54" i="383"/>
  <c r="H54" i="383"/>
  <c r="M53" i="383"/>
  <c r="H53" i="383"/>
  <c r="M52" i="383"/>
  <c r="L51" i="383"/>
  <c r="K51" i="383"/>
  <c r="J51" i="383"/>
  <c r="I51" i="383"/>
  <c r="G51" i="383"/>
  <c r="F51" i="383"/>
  <c r="E51" i="383"/>
  <c r="D51" i="383"/>
  <c r="M50" i="383"/>
  <c r="H50" i="383"/>
  <c r="M49" i="383"/>
  <c r="H49" i="383"/>
  <c r="M48" i="383"/>
  <c r="L47" i="383"/>
  <c r="K47" i="383"/>
  <c r="J47" i="383"/>
  <c r="I47" i="383"/>
  <c r="G47" i="383"/>
  <c r="F47" i="383"/>
  <c r="E47" i="383"/>
  <c r="D47" i="383"/>
  <c r="M46" i="383"/>
  <c r="H46" i="383"/>
  <c r="M45" i="383"/>
  <c r="H45" i="383"/>
  <c r="M44" i="383"/>
  <c r="H44" i="383"/>
  <c r="M43" i="383"/>
  <c r="L42" i="383"/>
  <c r="K42" i="383"/>
  <c r="J42" i="383"/>
  <c r="I42" i="383"/>
  <c r="G42" i="383"/>
  <c r="F42" i="383"/>
  <c r="E42" i="383"/>
  <c r="D42" i="383"/>
  <c r="M41" i="383"/>
  <c r="H41" i="383"/>
  <c r="H40" i="383"/>
  <c r="G38" i="383"/>
  <c r="F38" i="383"/>
  <c r="E38" i="383"/>
  <c r="D38" i="383"/>
  <c r="H37" i="383"/>
  <c r="H36" i="383"/>
  <c r="H35" i="383"/>
  <c r="H34" i="383"/>
  <c r="G32" i="383"/>
  <c r="F32" i="383"/>
  <c r="E32" i="383"/>
  <c r="D32" i="383"/>
  <c r="H31" i="383"/>
  <c r="H32" i="383" s="1"/>
  <c r="G29" i="383"/>
  <c r="F29" i="383"/>
  <c r="E29" i="383"/>
  <c r="D29" i="383"/>
  <c r="H28" i="383"/>
  <c r="H27" i="383"/>
  <c r="H26" i="383"/>
  <c r="H25" i="383"/>
  <c r="Q73" i="382"/>
  <c r="P73" i="382"/>
  <c r="O73" i="382"/>
  <c r="N73" i="382"/>
  <c r="M73" i="382"/>
  <c r="Q72" i="382"/>
  <c r="P72" i="382"/>
  <c r="O72" i="382"/>
  <c r="N72" i="382"/>
  <c r="M72" i="382"/>
  <c r="Q71" i="382"/>
  <c r="P71" i="382"/>
  <c r="O71" i="382"/>
  <c r="N71" i="382"/>
  <c r="M71" i="382"/>
  <c r="H71" i="382"/>
  <c r="Q70" i="382"/>
  <c r="P70" i="382"/>
  <c r="O70" i="382"/>
  <c r="N70" i="382"/>
  <c r="M70" i="382"/>
  <c r="H70" i="382"/>
  <c r="P69" i="382"/>
  <c r="O69" i="382"/>
  <c r="N69" i="382"/>
  <c r="Q68" i="382"/>
  <c r="P68" i="382"/>
  <c r="O68" i="382"/>
  <c r="N68" i="382"/>
  <c r="M68" i="382"/>
  <c r="H68" i="382"/>
  <c r="Q67" i="382"/>
  <c r="P67" i="382"/>
  <c r="O67" i="382"/>
  <c r="N67" i="382"/>
  <c r="M67" i="382"/>
  <c r="H67" i="382"/>
  <c r="Q66" i="382"/>
  <c r="P66" i="382"/>
  <c r="O66" i="382"/>
  <c r="N66" i="382"/>
  <c r="M66" i="382"/>
  <c r="H66" i="382"/>
  <c r="Q65" i="382"/>
  <c r="P65" i="382"/>
  <c r="O65" i="382"/>
  <c r="N65" i="382"/>
  <c r="M65" i="382"/>
  <c r="H65" i="382"/>
  <c r="P63" i="382"/>
  <c r="O63" i="382"/>
  <c r="N63" i="382"/>
  <c r="K63" i="382"/>
  <c r="J63" i="382"/>
  <c r="I63" i="382"/>
  <c r="F63" i="382"/>
  <c r="E63" i="382"/>
  <c r="D63" i="382"/>
  <c r="L59" i="382"/>
  <c r="K59" i="382"/>
  <c r="F59" i="382"/>
  <c r="Q58" i="382"/>
  <c r="P58" i="382"/>
  <c r="O58" i="382"/>
  <c r="N58" i="382"/>
  <c r="M58" i="382"/>
  <c r="Q57" i="382"/>
  <c r="P57" i="382"/>
  <c r="O57" i="382"/>
  <c r="N57" i="382"/>
  <c r="M57" i="382"/>
  <c r="H57" i="382"/>
  <c r="P56" i="382"/>
  <c r="O56" i="382"/>
  <c r="N56" i="382"/>
  <c r="M56" i="382"/>
  <c r="G56" i="382"/>
  <c r="H56" i="382" s="1"/>
  <c r="Q55" i="382"/>
  <c r="P55" i="382"/>
  <c r="O55" i="382"/>
  <c r="N55" i="382"/>
  <c r="M55" i="382"/>
  <c r="H55" i="382"/>
  <c r="Q54" i="382"/>
  <c r="P54" i="382"/>
  <c r="O54" i="382"/>
  <c r="N54" i="382"/>
  <c r="M54" i="382"/>
  <c r="H54" i="382"/>
  <c r="Q53" i="382"/>
  <c r="P53" i="382"/>
  <c r="O53" i="382"/>
  <c r="N53" i="382"/>
  <c r="M53" i="382"/>
  <c r="H53" i="382"/>
  <c r="Q52" i="382"/>
  <c r="P52" i="382"/>
  <c r="O52" i="382"/>
  <c r="N52" i="382"/>
  <c r="M52" i="382"/>
  <c r="H52" i="382"/>
  <c r="Q51" i="382"/>
  <c r="R51" i="382" s="1"/>
  <c r="P51" i="382"/>
  <c r="O51" i="382"/>
  <c r="N51" i="382"/>
  <c r="M51" i="382"/>
  <c r="H51" i="382"/>
  <c r="L43" i="382"/>
  <c r="K43" i="382"/>
  <c r="J43" i="382"/>
  <c r="I43" i="382"/>
  <c r="G43" i="382"/>
  <c r="F43" i="382"/>
  <c r="E43" i="382"/>
  <c r="D43" i="382"/>
  <c r="Q42" i="382"/>
  <c r="P42" i="382"/>
  <c r="O42" i="382"/>
  <c r="N42" i="382"/>
  <c r="M42" i="382"/>
  <c r="H42" i="382"/>
  <c r="Q41" i="382"/>
  <c r="P41" i="382"/>
  <c r="O41" i="382"/>
  <c r="N41" i="382"/>
  <c r="M41" i="382"/>
  <c r="H41" i="382"/>
  <c r="L39" i="382"/>
  <c r="K39" i="382"/>
  <c r="J39" i="382"/>
  <c r="I39" i="382"/>
  <c r="G39" i="382"/>
  <c r="F39" i="382"/>
  <c r="E39" i="382"/>
  <c r="D39" i="382"/>
  <c r="Q38" i="382"/>
  <c r="P38" i="382"/>
  <c r="O38" i="382"/>
  <c r="N38" i="382"/>
  <c r="M38" i="382"/>
  <c r="H38" i="382"/>
  <c r="Q37" i="382"/>
  <c r="P37" i="382"/>
  <c r="O37" i="382"/>
  <c r="N37" i="382"/>
  <c r="M37" i="382"/>
  <c r="H37" i="382"/>
  <c r="Q35" i="382"/>
  <c r="L35" i="382"/>
  <c r="K35" i="382"/>
  <c r="J35" i="382"/>
  <c r="I35" i="382"/>
  <c r="G35" i="382"/>
  <c r="F35" i="382"/>
  <c r="E35" i="382"/>
  <c r="D35" i="382"/>
  <c r="P34" i="382"/>
  <c r="O34" i="382"/>
  <c r="N34" i="382"/>
  <c r="M34" i="382"/>
  <c r="H34" i="382"/>
  <c r="P33" i="382"/>
  <c r="O33" i="382"/>
  <c r="N33" i="382"/>
  <c r="M33" i="382"/>
  <c r="H33" i="382"/>
  <c r="P32" i="382"/>
  <c r="O32" i="382"/>
  <c r="N32" i="382"/>
  <c r="M32" i="382"/>
  <c r="H32" i="382"/>
  <c r="Q30" i="382"/>
  <c r="L30" i="382"/>
  <c r="K30" i="382"/>
  <c r="J30" i="382"/>
  <c r="I30" i="382"/>
  <c r="G30" i="382"/>
  <c r="F30" i="382"/>
  <c r="E30" i="382"/>
  <c r="D30" i="382"/>
  <c r="P29" i="382"/>
  <c r="O29" i="382"/>
  <c r="N29" i="382"/>
  <c r="M29" i="382"/>
  <c r="P28" i="382"/>
  <c r="P30" i="382" s="1"/>
  <c r="O28" i="382"/>
  <c r="O30" i="382" s="1"/>
  <c r="N28" i="382"/>
  <c r="M28" i="382"/>
  <c r="M30" i="382" s="1"/>
  <c r="H28" i="382"/>
  <c r="H30" i="382" s="1"/>
  <c r="Q26" i="382"/>
  <c r="L26" i="382"/>
  <c r="K26" i="382"/>
  <c r="J26" i="382"/>
  <c r="I26" i="382"/>
  <c r="G26" i="382"/>
  <c r="F26" i="382"/>
  <c r="E26" i="382"/>
  <c r="D26" i="382"/>
  <c r="P25" i="382"/>
  <c r="O25" i="382"/>
  <c r="N25" i="382"/>
  <c r="M25" i="382"/>
  <c r="H25" i="382"/>
  <c r="P24" i="382"/>
  <c r="O24" i="382"/>
  <c r="N24" i="382"/>
  <c r="M24" i="382"/>
  <c r="H24" i="382"/>
  <c r="P23" i="382"/>
  <c r="O23" i="382"/>
  <c r="N23" i="382"/>
  <c r="M23" i="382"/>
  <c r="H23" i="382"/>
  <c r="P22" i="382"/>
  <c r="O22" i="382"/>
  <c r="N22" i="382"/>
  <c r="M22" i="382"/>
  <c r="H22" i="382"/>
  <c r="Q20" i="382"/>
  <c r="L20" i="382"/>
  <c r="K20" i="382"/>
  <c r="J20" i="382"/>
  <c r="I20" i="382"/>
  <c r="G20" i="382"/>
  <c r="F20" i="382"/>
  <c r="E20" i="382"/>
  <c r="D20" i="382"/>
  <c r="P19" i="382"/>
  <c r="P20" i="382" s="1"/>
  <c r="O19" i="382"/>
  <c r="O20" i="382" s="1"/>
  <c r="N19" i="382"/>
  <c r="N20" i="382" s="1"/>
  <c r="M19" i="382"/>
  <c r="M20" i="382" s="1"/>
  <c r="H19" i="382"/>
  <c r="H20" i="382" s="1"/>
  <c r="L17" i="382"/>
  <c r="K17" i="382"/>
  <c r="J17" i="382"/>
  <c r="I17" i="382"/>
  <c r="G17" i="382"/>
  <c r="F17" i="382"/>
  <c r="E17" i="382"/>
  <c r="D17" i="382"/>
  <c r="Q16" i="382"/>
  <c r="P16" i="382"/>
  <c r="O16" i="382"/>
  <c r="N16" i="382"/>
  <c r="M16" i="382"/>
  <c r="H16" i="382"/>
  <c r="Q15" i="382"/>
  <c r="P15" i="382"/>
  <c r="O15" i="382"/>
  <c r="N15" i="382"/>
  <c r="M15" i="382"/>
  <c r="H15" i="382"/>
  <c r="Q14" i="382"/>
  <c r="P14" i="382"/>
  <c r="O14" i="382"/>
  <c r="N14" i="382"/>
  <c r="M14" i="382"/>
  <c r="H14" i="382"/>
  <c r="Q13" i="382"/>
  <c r="P13" i="382"/>
  <c r="O13" i="382"/>
  <c r="N13" i="382"/>
  <c r="M13" i="382"/>
  <c r="H13" i="382"/>
  <c r="E53" i="388" l="1"/>
  <c r="F53" i="388"/>
  <c r="O87" i="404"/>
  <c r="H101" i="384"/>
  <c r="H91" i="384"/>
  <c r="H82" i="384"/>
  <c r="H74" i="384"/>
  <c r="H66" i="384"/>
  <c r="H32" i="384"/>
  <c r="F44" i="382"/>
  <c r="F48" i="382" s="1"/>
  <c r="F60" i="382" s="1"/>
  <c r="F75" i="382" s="1"/>
  <c r="E102" i="384"/>
  <c r="E104" i="384" s="1"/>
  <c r="E105" i="384" s="1"/>
  <c r="E106" i="384" s="1"/>
  <c r="E108" i="384" s="1"/>
  <c r="N43" i="382"/>
  <c r="J102" i="384"/>
  <c r="J104" i="384" s="1"/>
  <c r="J105" i="384" s="1"/>
  <c r="J106" i="384" s="1"/>
  <c r="J123" i="384" s="1"/>
  <c r="J138" i="384" s="1"/>
  <c r="J140" i="384" s="1"/>
  <c r="J141" i="384" s="1"/>
  <c r="J142" i="384" s="1"/>
  <c r="R23" i="382"/>
  <c r="R29" i="382"/>
  <c r="O43" i="382"/>
  <c r="R65" i="382"/>
  <c r="R14" i="382"/>
  <c r="K102" i="384"/>
  <c r="K106" i="384" s="1"/>
  <c r="K123" i="384" s="1"/>
  <c r="K138" i="384" s="1"/>
  <c r="K140" i="384" s="1"/>
  <c r="K141" i="384" s="1"/>
  <c r="K142" i="384" s="1"/>
  <c r="H17" i="382"/>
  <c r="P17" i="382"/>
  <c r="H39" i="382"/>
  <c r="P39" i="382"/>
  <c r="R52" i="382"/>
  <c r="R54" i="382"/>
  <c r="R70" i="382"/>
  <c r="R73" i="382"/>
  <c r="H29" i="383"/>
  <c r="D56" i="383"/>
  <c r="D58" i="383" s="1"/>
  <c r="M42" i="383"/>
  <c r="H51" i="383"/>
  <c r="M51" i="383"/>
  <c r="L102" i="384"/>
  <c r="L106" i="384" s="1"/>
  <c r="L123" i="384" s="1"/>
  <c r="R13" i="382"/>
  <c r="R15" i="382"/>
  <c r="J44" i="382"/>
  <c r="J46" i="382" s="1"/>
  <c r="J47" i="382" s="1"/>
  <c r="J48" i="382" s="1"/>
  <c r="J50" i="382" s="1"/>
  <c r="J59" i="382" s="1"/>
  <c r="J60" i="382" s="1"/>
  <c r="J75" i="382" s="1"/>
  <c r="R19" i="382"/>
  <c r="R20" i="382" s="1"/>
  <c r="M35" i="382"/>
  <c r="R33" i="382"/>
  <c r="R37" i="382"/>
  <c r="H42" i="383"/>
  <c r="H47" i="383"/>
  <c r="H55" i="383"/>
  <c r="I102" i="384"/>
  <c r="I104" i="384" s="1"/>
  <c r="E40" i="388"/>
  <c r="E42" i="388" s="1"/>
  <c r="N17" i="382"/>
  <c r="D44" i="382"/>
  <c r="D46" i="382" s="1"/>
  <c r="D47" i="382" s="1"/>
  <c r="D48" i="382" s="1"/>
  <c r="D50" i="382" s="1"/>
  <c r="L44" i="382"/>
  <c r="L48" i="382" s="1"/>
  <c r="L60" i="382" s="1"/>
  <c r="H26" i="382"/>
  <c r="P26" i="382"/>
  <c r="R24" i="382"/>
  <c r="R32" i="382"/>
  <c r="N39" i="382"/>
  <c r="R42" i="382"/>
  <c r="R55" i="382"/>
  <c r="R58" i="382"/>
  <c r="R71" i="382"/>
  <c r="F56" i="383"/>
  <c r="F60" i="383" s="1"/>
  <c r="K56" i="383"/>
  <c r="K60" i="383" s="1"/>
  <c r="K72" i="383" s="1"/>
  <c r="K87" i="383" s="1"/>
  <c r="F102" i="384"/>
  <c r="F106" i="384" s="1"/>
  <c r="F123" i="384" s="1"/>
  <c r="F138" i="384" s="1"/>
  <c r="R16" i="382"/>
  <c r="O26" i="382"/>
  <c r="N35" i="382"/>
  <c r="R34" i="382"/>
  <c r="R57" i="382"/>
  <c r="R67" i="382"/>
  <c r="E56" i="383"/>
  <c r="E58" i="383" s="1"/>
  <c r="E59" i="383" s="1"/>
  <c r="E60" i="383" s="1"/>
  <c r="E62" i="383" s="1"/>
  <c r="E71" i="383" s="1"/>
  <c r="E72" i="383" s="1"/>
  <c r="E87" i="383" s="1"/>
  <c r="E89" i="383" s="1"/>
  <c r="E90" i="383" s="1"/>
  <c r="E91" i="383" s="1"/>
  <c r="E92" i="383" s="1"/>
  <c r="H38" i="383"/>
  <c r="J56" i="383"/>
  <c r="J60" i="383" s="1"/>
  <c r="J62" i="383" s="1"/>
  <c r="J71" i="383" s="1"/>
  <c r="J72" i="383" s="1"/>
  <c r="J87" i="383" s="1"/>
  <c r="M122" i="384"/>
  <c r="M26" i="382"/>
  <c r="H35" i="382"/>
  <c r="P35" i="382"/>
  <c r="R41" i="382"/>
  <c r="Q43" i="382"/>
  <c r="R66" i="382"/>
  <c r="R72" i="382"/>
  <c r="G56" i="383"/>
  <c r="G60" i="383" s="1"/>
  <c r="G72" i="383" s="1"/>
  <c r="L56" i="383"/>
  <c r="L60" i="383" s="1"/>
  <c r="L72" i="383" s="1"/>
  <c r="I56" i="383"/>
  <c r="I60" i="383" s="1"/>
  <c r="D102" i="384"/>
  <c r="D104" i="384" s="1"/>
  <c r="D105" i="384" s="1"/>
  <c r="D106" i="384" s="1"/>
  <c r="D108" i="384" s="1"/>
  <c r="D122" i="384" s="1"/>
  <c r="G102" i="384"/>
  <c r="G106" i="384" s="1"/>
  <c r="G123" i="384" s="1"/>
  <c r="M74" i="384"/>
  <c r="M102" i="384" s="1"/>
  <c r="D59" i="383"/>
  <c r="D60" i="383" s="1"/>
  <c r="D62" i="383" s="1"/>
  <c r="J58" i="383"/>
  <c r="F72" i="383"/>
  <c r="F87" i="383" s="1"/>
  <c r="M47" i="383"/>
  <c r="F77" i="382"/>
  <c r="F78" i="382" s="1"/>
  <c r="F79" i="382" s="1"/>
  <c r="O35" i="382"/>
  <c r="M43" i="382"/>
  <c r="O17" i="382"/>
  <c r="E44" i="382"/>
  <c r="E46" i="382" s="1"/>
  <c r="E47" i="382" s="1"/>
  <c r="E48" i="382" s="1"/>
  <c r="E50" i="382" s="1"/>
  <c r="E59" i="382" s="1"/>
  <c r="E60" i="382" s="1"/>
  <c r="E75" i="382" s="1"/>
  <c r="I44" i="382"/>
  <c r="I46" i="382" s="1"/>
  <c r="O39" i="382"/>
  <c r="G59" i="382"/>
  <c r="N26" i="382"/>
  <c r="R68" i="382"/>
  <c r="N30" i="382"/>
  <c r="Q56" i="382"/>
  <c r="R56" i="382" s="1"/>
  <c r="R25" i="382"/>
  <c r="M17" i="382"/>
  <c r="Q17" i="382"/>
  <c r="G44" i="382"/>
  <c r="G48" i="382" s="1"/>
  <c r="K44" i="382"/>
  <c r="K48" i="382" s="1"/>
  <c r="K60" i="382" s="1"/>
  <c r="K75" i="382" s="1"/>
  <c r="R22" i="382"/>
  <c r="R28" i="382"/>
  <c r="M39" i="382"/>
  <c r="Q39" i="382"/>
  <c r="R38" i="382"/>
  <c r="H43" i="382"/>
  <c r="P43" i="382"/>
  <c r="R53" i="382"/>
  <c r="P59" i="382"/>
  <c r="P87" i="404" l="1"/>
  <c r="Q87" i="404" s="1"/>
  <c r="E54" i="388"/>
  <c r="F54" i="388"/>
  <c r="E122" i="384"/>
  <c r="E123" i="384" s="1"/>
  <c r="E138" i="384" s="1"/>
  <c r="E140" i="384" s="1"/>
  <c r="E141" i="384" s="1"/>
  <c r="E142" i="384" s="1"/>
  <c r="E144" i="384" s="1"/>
  <c r="E145" i="384" s="1"/>
  <c r="E146" i="384" s="1"/>
  <c r="E160" i="384" s="1"/>
  <c r="M104" i="384"/>
  <c r="M105" i="384" s="1"/>
  <c r="M106" i="384" s="1"/>
  <c r="M123" i="384" s="1"/>
  <c r="L132" i="384" s="1"/>
  <c r="I58" i="383"/>
  <c r="R30" i="382"/>
  <c r="R39" i="382"/>
  <c r="H56" i="383"/>
  <c r="I105" i="384"/>
  <c r="I106" i="384" s="1"/>
  <c r="I123" i="384" s="1"/>
  <c r="I138" i="384" s="1"/>
  <c r="R43" i="382"/>
  <c r="H102" i="384"/>
  <c r="H58" i="383"/>
  <c r="H59" i="383" s="1"/>
  <c r="H60" i="383" s="1"/>
  <c r="N44" i="382"/>
  <c r="N46" i="382" s="1"/>
  <c r="M56" i="383"/>
  <c r="R17" i="382"/>
  <c r="R44" i="382" s="1"/>
  <c r="P44" i="382"/>
  <c r="P48" i="382" s="1"/>
  <c r="P60" i="382" s="1"/>
  <c r="P75" i="382" s="1"/>
  <c r="H44" i="382"/>
  <c r="R35" i="382"/>
  <c r="K89" i="383"/>
  <c r="K90" i="383" s="1"/>
  <c r="K91" i="383" s="1"/>
  <c r="K92" i="383" s="1"/>
  <c r="F94" i="383" s="1"/>
  <c r="Q44" i="382"/>
  <c r="Q48" i="382" s="1"/>
  <c r="H104" i="384"/>
  <c r="H105" i="384" s="1"/>
  <c r="R26" i="382"/>
  <c r="M44" i="382"/>
  <c r="K144" i="384"/>
  <c r="K145" i="384" s="1"/>
  <c r="K146" i="384" s="1"/>
  <c r="F148" i="384" s="1"/>
  <c r="F162" i="384" s="1"/>
  <c r="J144" i="384"/>
  <c r="J145" i="384" s="1"/>
  <c r="J146" i="384" s="1"/>
  <c r="E148" i="384" s="1"/>
  <c r="E162" i="384" s="1"/>
  <c r="F140" i="384"/>
  <c r="F141" i="384" s="1"/>
  <c r="F142" i="384" s="1"/>
  <c r="H108" i="384"/>
  <c r="H122" i="384" s="1"/>
  <c r="M58" i="383"/>
  <c r="F89" i="383"/>
  <c r="F90" i="383" s="1"/>
  <c r="F91" i="383" s="1"/>
  <c r="F92" i="383" s="1"/>
  <c r="J89" i="383"/>
  <c r="J90" i="383" s="1"/>
  <c r="J91" i="383" s="1"/>
  <c r="J92" i="383" s="1"/>
  <c r="E94" i="383" s="1"/>
  <c r="E93" i="383" s="1"/>
  <c r="D71" i="383"/>
  <c r="H62" i="383"/>
  <c r="I62" i="383"/>
  <c r="M60" i="383"/>
  <c r="F81" i="382"/>
  <c r="F82" i="382" s="1"/>
  <c r="F83" i="382" s="1"/>
  <c r="N47" i="382"/>
  <c r="N48" i="382" s="1"/>
  <c r="N50" i="382" s="1"/>
  <c r="I47" i="382"/>
  <c r="I48" i="382" s="1"/>
  <c r="I50" i="382" s="1"/>
  <c r="M46" i="382"/>
  <c r="M47" i="382" s="1"/>
  <c r="E77" i="382"/>
  <c r="E78" i="382" s="1"/>
  <c r="E79" i="382" s="1"/>
  <c r="H46" i="382"/>
  <c r="H47" i="382" s="1"/>
  <c r="H48" i="382" s="1"/>
  <c r="G60" i="382"/>
  <c r="Q59" i="382"/>
  <c r="O44" i="382"/>
  <c r="O46" i="382" s="1"/>
  <c r="O47" i="382" s="1"/>
  <c r="O48" i="382" s="1"/>
  <c r="O50" i="382" s="1"/>
  <c r="O59" i="382"/>
  <c r="K77" i="382"/>
  <c r="K78" i="382" s="1"/>
  <c r="K79" i="382" s="1"/>
  <c r="D59" i="382"/>
  <c r="H50" i="382"/>
  <c r="J77" i="382"/>
  <c r="J78" i="382" s="1"/>
  <c r="J79" i="382" s="1"/>
  <c r="K86" i="404" l="1"/>
  <c r="G85" i="404"/>
  <c r="G92" i="404" s="1"/>
  <c r="G19" i="404" s="1"/>
  <c r="G15" i="404" s="1"/>
  <c r="G102" i="404" s="1"/>
  <c r="L125" i="384"/>
  <c r="L126" i="384" s="1"/>
  <c r="M132" i="384"/>
  <c r="M137" i="384" s="1"/>
  <c r="L137" i="384"/>
  <c r="O60" i="382"/>
  <c r="O75" i="382" s="1"/>
  <c r="H106" i="384"/>
  <c r="F93" i="383"/>
  <c r="M48" i="382"/>
  <c r="R46" i="382"/>
  <c r="R47" i="382" s="1"/>
  <c r="R48" i="382" s="1"/>
  <c r="Q60" i="382"/>
  <c r="E147" i="384"/>
  <c r="E161" i="384" s="1"/>
  <c r="F144" i="384"/>
  <c r="F145" i="384" s="1"/>
  <c r="F146" i="384" s="1"/>
  <c r="I140" i="384"/>
  <c r="D123" i="384"/>
  <c r="I71" i="383"/>
  <c r="M62" i="383"/>
  <c r="H71" i="383"/>
  <c r="H72" i="383" s="1"/>
  <c r="D72" i="383"/>
  <c r="E81" i="382"/>
  <c r="E82" i="382" s="1"/>
  <c r="E83" i="382" s="1"/>
  <c r="K81" i="382"/>
  <c r="K82" i="382" s="1"/>
  <c r="K83" i="382" s="1"/>
  <c r="J81" i="382"/>
  <c r="J82" i="382" s="1"/>
  <c r="J83" i="382" s="1"/>
  <c r="P77" i="382"/>
  <c r="P78" i="382" s="1"/>
  <c r="P79" i="382" s="1"/>
  <c r="O77" i="382"/>
  <c r="O78" i="382" s="1"/>
  <c r="O79" i="382" s="1"/>
  <c r="M50" i="382"/>
  <c r="I59" i="382"/>
  <c r="H59" i="382"/>
  <c r="H60" i="382" s="1"/>
  <c r="D60" i="382"/>
  <c r="R50" i="382"/>
  <c r="K92" i="404" l="1"/>
  <c r="K85" i="404"/>
  <c r="M86" i="404"/>
  <c r="H123" i="384"/>
  <c r="G132" i="384" s="1"/>
  <c r="F147" i="384"/>
  <c r="F161" i="384" s="1"/>
  <c r="F160" i="384"/>
  <c r="L138" i="384"/>
  <c r="L140" i="384" s="1"/>
  <c r="L141" i="384" s="1"/>
  <c r="L142" i="384" s="1"/>
  <c r="M125" i="384"/>
  <c r="M126" i="384" s="1"/>
  <c r="M138" i="384" s="1"/>
  <c r="G125" i="384"/>
  <c r="D138" i="384"/>
  <c r="I141" i="384"/>
  <c r="I142" i="384" s="1"/>
  <c r="G81" i="383"/>
  <c r="D87" i="383"/>
  <c r="G74" i="383"/>
  <c r="M71" i="383"/>
  <c r="I72" i="383"/>
  <c r="O81" i="382"/>
  <c r="O82" i="382" s="1"/>
  <c r="O83" i="382" s="1"/>
  <c r="P81" i="382"/>
  <c r="P82" i="382" s="1"/>
  <c r="P83" i="382" s="1"/>
  <c r="G69" i="382"/>
  <c r="D75" i="382"/>
  <c r="G62" i="382"/>
  <c r="I60" i="382"/>
  <c r="N59" i="382"/>
  <c r="M59" i="382"/>
  <c r="M60" i="382" s="1"/>
  <c r="M92" i="404" l="1"/>
  <c r="K19" i="404"/>
  <c r="K15" i="404" s="1"/>
  <c r="G103" i="404"/>
  <c r="G104" i="404" s="1"/>
  <c r="M85" i="404"/>
  <c r="O86" i="404"/>
  <c r="M140" i="384"/>
  <c r="M141" i="384" s="1"/>
  <c r="M142" i="384" s="1"/>
  <c r="L144" i="384"/>
  <c r="L145" i="384" s="1"/>
  <c r="L146" i="384" s="1"/>
  <c r="G148" i="384" s="1"/>
  <c r="G162" i="384" s="1"/>
  <c r="D140" i="384"/>
  <c r="H125" i="384"/>
  <c r="H126" i="384" s="1"/>
  <c r="G126" i="384"/>
  <c r="I144" i="384"/>
  <c r="G137" i="384"/>
  <c r="H132" i="384"/>
  <c r="H137" i="384" s="1"/>
  <c r="D89" i="383"/>
  <c r="L74" i="383"/>
  <c r="M72" i="383"/>
  <c r="L81" i="383" s="1"/>
  <c r="I87" i="383"/>
  <c r="G86" i="383"/>
  <c r="H81" i="383"/>
  <c r="H86" i="383" s="1"/>
  <c r="G75" i="383"/>
  <c r="H74" i="383"/>
  <c r="H75" i="383" s="1"/>
  <c r="G63" i="382"/>
  <c r="H62" i="382"/>
  <c r="H63" i="382" s="1"/>
  <c r="D77" i="382"/>
  <c r="L69" i="382"/>
  <c r="R59" i="382"/>
  <c r="R60" i="382" s="1"/>
  <c r="N60" i="382"/>
  <c r="H69" i="382"/>
  <c r="H74" i="382" s="1"/>
  <c r="G74" i="382"/>
  <c r="L62" i="382"/>
  <c r="I75" i="382"/>
  <c r="O85" i="404" l="1"/>
  <c r="P86" i="404"/>
  <c r="P85" i="404" s="1"/>
  <c r="O92" i="404"/>
  <c r="P92" i="404" s="1"/>
  <c r="M19" i="404"/>
  <c r="K96" i="404"/>
  <c r="K94" i="404" s="1"/>
  <c r="L86" i="383"/>
  <c r="M81" i="383"/>
  <c r="M86" i="383" s="1"/>
  <c r="H75" i="382"/>
  <c r="G87" i="383"/>
  <c r="G89" i="383" s="1"/>
  <c r="G138" i="384"/>
  <c r="H138" i="384"/>
  <c r="I145" i="384"/>
  <c r="I146" i="384" s="1"/>
  <c r="D148" i="384" s="1"/>
  <c r="D162" i="384" s="1"/>
  <c r="M144" i="384"/>
  <c r="M145" i="384" s="1"/>
  <c r="M146" i="384" s="1"/>
  <c r="H148" i="384" s="1"/>
  <c r="H162" i="384" s="1"/>
  <c r="D141" i="384"/>
  <c r="D142" i="384" s="1"/>
  <c r="D90" i="383"/>
  <c r="D91" i="383" s="1"/>
  <c r="D92" i="383" s="1"/>
  <c r="L75" i="383"/>
  <c r="L87" i="383" s="1"/>
  <c r="M74" i="383"/>
  <c r="H87" i="383"/>
  <c r="I89" i="383"/>
  <c r="N75" i="382"/>
  <c r="Q62" i="382"/>
  <c r="I77" i="382"/>
  <c r="L63" i="382"/>
  <c r="M62" i="382"/>
  <c r="M63" i="382" s="1"/>
  <c r="D78" i="382"/>
  <c r="D79" i="382" s="1"/>
  <c r="L74" i="382"/>
  <c r="Q69" i="382"/>
  <c r="M69" i="382"/>
  <c r="M74" i="382" s="1"/>
  <c r="G75" i="382"/>
  <c r="M96" i="404" l="1"/>
  <c r="M94" i="404" s="1"/>
  <c r="M15" i="404"/>
  <c r="C20" i="405"/>
  <c r="O19" i="404"/>
  <c r="O96" i="404"/>
  <c r="Q86" i="404"/>
  <c r="Q85" i="404" s="1"/>
  <c r="M75" i="382"/>
  <c r="G90" i="383"/>
  <c r="G91" i="383" s="1"/>
  <c r="G92" i="383" s="1"/>
  <c r="H89" i="383"/>
  <c r="H90" i="383" s="1"/>
  <c r="H91" i="383" s="1"/>
  <c r="H92" i="383" s="1"/>
  <c r="D144" i="384"/>
  <c r="G140" i="384"/>
  <c r="I90" i="383"/>
  <c r="M75" i="383"/>
  <c r="Q74" i="382"/>
  <c r="R69" i="382"/>
  <c r="R74" i="382" s="1"/>
  <c r="L75" i="382"/>
  <c r="G77" i="382"/>
  <c r="D81" i="382"/>
  <c r="R62" i="382"/>
  <c r="R63" i="382" s="1"/>
  <c r="R75" i="382" s="1"/>
  <c r="Q63" i="382"/>
  <c r="I78" i="382"/>
  <c r="I79" i="382" s="1"/>
  <c r="N77" i="382"/>
  <c r="O94" i="404" l="1"/>
  <c r="P96" i="404"/>
  <c r="Q94" i="404" s="1"/>
  <c r="D20" i="405"/>
  <c r="E20" i="405" s="1"/>
  <c r="O15" i="404"/>
  <c r="P19" i="404"/>
  <c r="R92" i="404"/>
  <c r="Q19" i="404"/>
  <c r="C19" i="405" s="1"/>
  <c r="Q75" i="382"/>
  <c r="Q77" i="382" s="1"/>
  <c r="Q78" i="382" s="1"/>
  <c r="Q79" i="382" s="1"/>
  <c r="D145" i="384"/>
  <c r="D146" i="384" s="1"/>
  <c r="G141" i="384"/>
  <c r="G142" i="384" s="1"/>
  <c r="H140" i="384"/>
  <c r="H141" i="384" s="1"/>
  <c r="H142" i="384" s="1"/>
  <c r="I91" i="383"/>
  <c r="L89" i="383"/>
  <c r="M87" i="383"/>
  <c r="I81" i="382"/>
  <c r="L77" i="382"/>
  <c r="D82" i="382"/>
  <c r="D83" i="382" s="1"/>
  <c r="N78" i="382"/>
  <c r="N79" i="382" s="1"/>
  <c r="G78" i="382"/>
  <c r="G79" i="382" s="1"/>
  <c r="H77" i="382"/>
  <c r="H78" i="382" s="1"/>
  <c r="H79" i="382" s="1"/>
  <c r="C34" i="405" l="1"/>
  <c r="D34" i="405" s="1"/>
  <c r="E34" i="405" s="1"/>
  <c r="D19" i="405"/>
  <c r="E19" i="405" s="1"/>
  <c r="P15" i="404"/>
  <c r="C21" i="405"/>
  <c r="C17" i="405"/>
  <c r="P94" i="404"/>
  <c r="C25" i="405"/>
  <c r="R96" i="404"/>
  <c r="Q15" i="404"/>
  <c r="R19" i="404"/>
  <c r="D147" i="384"/>
  <c r="D161" i="384" s="1"/>
  <c r="D160" i="384"/>
  <c r="G144" i="384"/>
  <c r="L90" i="383"/>
  <c r="M89" i="383"/>
  <c r="I92" i="383"/>
  <c r="N81" i="382"/>
  <c r="L78" i="382"/>
  <c r="L79" i="382" s="1"/>
  <c r="M77" i="382"/>
  <c r="M78" i="382" s="1"/>
  <c r="M79" i="382" s="1"/>
  <c r="I82" i="382"/>
  <c r="I83" i="382" s="1"/>
  <c r="G81" i="382"/>
  <c r="Q81" i="382"/>
  <c r="Q82" i="382" s="1"/>
  <c r="Q83" i="382" s="1"/>
  <c r="R77" i="382"/>
  <c r="R78" i="382" s="1"/>
  <c r="R79" i="382" s="1"/>
  <c r="C26" i="405" l="1"/>
  <c r="D26" i="405" s="1"/>
  <c r="C23" i="405"/>
  <c r="E21" i="405"/>
  <c r="D25" i="405"/>
  <c r="E25" i="405" s="1"/>
  <c r="D17" i="405"/>
  <c r="D12" i="405" s="1"/>
  <c r="C12" i="405"/>
  <c r="G145" i="384"/>
  <c r="G146" i="384" s="1"/>
  <c r="H144" i="384"/>
  <c r="H145" i="384" s="1"/>
  <c r="H146" i="384" s="1"/>
  <c r="D94" i="383"/>
  <c r="M90" i="383"/>
  <c r="L91" i="383"/>
  <c r="G82" i="382"/>
  <c r="G83" i="382" s="1"/>
  <c r="H81" i="382"/>
  <c r="H82" i="382" s="1"/>
  <c r="H83" i="382" s="1"/>
  <c r="L81" i="382"/>
  <c r="R81" i="382"/>
  <c r="R82" i="382" s="1"/>
  <c r="R83" i="382" s="1"/>
  <c r="N82" i="382"/>
  <c r="N83" i="382" s="1"/>
  <c r="E26" i="405" l="1"/>
  <c r="D23" i="405"/>
  <c r="E17" i="405"/>
  <c r="E12" i="405" s="1"/>
  <c r="G147" i="384"/>
  <c r="G161" i="384" s="1"/>
  <c r="G160" i="384"/>
  <c r="H147" i="384"/>
  <c r="H161" i="384" s="1"/>
  <c r="H160" i="384"/>
  <c r="L92" i="383"/>
  <c r="M91" i="383"/>
  <c r="D93" i="383"/>
  <c r="L82" i="382"/>
  <c r="L83" i="382" s="1"/>
  <c r="M81" i="382"/>
  <c r="M82" i="382" s="1"/>
  <c r="M83" i="382" s="1"/>
  <c r="E23" i="405" l="1"/>
  <c r="G94" i="383"/>
  <c r="M92" i="383"/>
  <c r="G93" i="383" l="1"/>
  <c r="H93" i="383" s="1"/>
  <c r="H94" i="383"/>
  <c r="E20" i="381" l="1"/>
  <c r="I36" i="379"/>
  <c r="I15" i="379"/>
  <c r="I39" i="378"/>
  <c r="I15" i="378"/>
  <c r="J39" i="374"/>
  <c r="J37" i="374"/>
  <c r="J36" i="374"/>
  <c r="J35" i="374"/>
  <c r="J34" i="374"/>
  <c r="J33" i="374"/>
  <c r="J32" i="374"/>
  <c r="J31" i="374"/>
  <c r="J30" i="374"/>
  <c r="J29" i="374"/>
  <c r="J28" i="374"/>
  <c r="J27" i="374"/>
  <c r="J26" i="374"/>
  <c r="E25" i="374"/>
  <c r="J25" i="374" s="1"/>
  <c r="E24" i="374"/>
  <c r="J24" i="374" s="1"/>
  <c r="J16" i="374"/>
  <c r="J15" i="374"/>
  <c r="J14" i="374"/>
  <c r="I43" i="373"/>
  <c r="I42" i="373"/>
  <c r="I41" i="373"/>
  <c r="J37" i="373"/>
  <c r="I36" i="373"/>
  <c r="J36" i="373" s="1"/>
  <c r="I35" i="373"/>
  <c r="J35" i="373" s="1"/>
  <c r="I34" i="373"/>
  <c r="J34" i="373" s="1"/>
  <c r="I33" i="373"/>
  <c r="J33" i="373" s="1"/>
  <c r="I32" i="373"/>
  <c r="J32" i="373" s="1"/>
  <c r="I31" i="373"/>
  <c r="J31" i="373" s="1"/>
  <c r="I30" i="373"/>
  <c r="J30" i="373" s="1"/>
  <c r="I29" i="373"/>
  <c r="J29" i="373" s="1"/>
  <c r="I28" i="373"/>
  <c r="J28" i="373" s="1"/>
  <c r="I27" i="373"/>
  <c r="J27" i="373" s="1"/>
  <c r="I26" i="373"/>
  <c r="J26" i="373" s="1"/>
  <c r="I25" i="373"/>
  <c r="J25" i="373" s="1"/>
  <c r="I24" i="373"/>
  <c r="J24" i="373" s="1"/>
  <c r="I23" i="373"/>
  <c r="J23" i="373" s="1"/>
  <c r="I22" i="373"/>
  <c r="J22" i="373" s="1"/>
  <c r="I21" i="373"/>
  <c r="J21" i="373" s="1"/>
  <c r="D20" i="373"/>
  <c r="I20" i="373" s="1"/>
  <c r="J20" i="373" s="1"/>
  <c r="D19" i="373"/>
  <c r="C19" i="373"/>
  <c r="B19" i="373"/>
  <c r="I16" i="373"/>
  <c r="J16" i="373" s="1"/>
  <c r="I15" i="373"/>
  <c r="J15" i="373" s="1"/>
  <c r="I14" i="373"/>
  <c r="J14" i="373" s="1"/>
  <c r="I13" i="373"/>
  <c r="J13" i="373" s="1"/>
  <c r="I12" i="373"/>
  <c r="J12" i="373" s="1"/>
  <c r="I11" i="373"/>
  <c r="I19" i="373" s="1"/>
  <c r="J19" i="373" s="1"/>
  <c r="G38" i="372"/>
  <c r="G29" i="372"/>
  <c r="G22" i="372"/>
  <c r="G16" i="372"/>
  <c r="D33" i="372" s="1"/>
  <c r="G33" i="372" s="1"/>
  <c r="G10" i="372"/>
  <c r="I59" i="371"/>
  <c r="I58" i="371"/>
  <c r="I57" i="371"/>
  <c r="I53" i="371"/>
  <c r="I52" i="371"/>
  <c r="I51" i="371"/>
  <c r="I50" i="371"/>
  <c r="I49" i="371"/>
  <c r="I48" i="371"/>
  <c r="D47" i="371"/>
  <c r="I47" i="371" s="1"/>
  <c r="I44" i="371"/>
  <c r="D56" i="371" s="1"/>
  <c r="I56" i="371" s="1"/>
  <c r="I43" i="371"/>
  <c r="D55" i="371" s="1"/>
  <c r="I55" i="371" s="1"/>
  <c r="I42" i="371"/>
  <c r="I41" i="371"/>
  <c r="I40" i="371"/>
  <c r="I39" i="371"/>
  <c r="I38" i="371"/>
  <c r="I31" i="371"/>
  <c r="I30" i="371"/>
  <c r="I29" i="371"/>
  <c r="I28" i="371"/>
  <c r="I27" i="371"/>
  <c r="I26" i="371"/>
  <c r="I25" i="371"/>
  <c r="I24" i="371"/>
  <c r="I23" i="371"/>
  <c r="I22" i="371"/>
  <c r="I21" i="371"/>
  <c r="I20" i="371"/>
  <c r="I19" i="371"/>
  <c r="I18" i="371"/>
  <c r="I17" i="371"/>
  <c r="I16" i="371"/>
  <c r="I15" i="371"/>
  <c r="I14" i="371"/>
  <c r="I13" i="371"/>
  <c r="K22" i="370"/>
  <c r="K21" i="370"/>
  <c r="K20" i="370"/>
  <c r="D16" i="370"/>
  <c r="K16" i="370" s="1"/>
  <c r="L16" i="370" s="1"/>
  <c r="L17" i="370" s="1"/>
  <c r="L18" i="370" s="1"/>
  <c r="K11" i="370"/>
  <c r="L11" i="370" s="1"/>
  <c r="L12" i="370" s="1"/>
  <c r="F13" i="370" s="1"/>
  <c r="L13" i="370" s="1"/>
  <c r="L14" i="370" s="1"/>
  <c r="F20" i="370" s="1"/>
  <c r="D54" i="371" l="1"/>
  <c r="I54" i="371" s="1"/>
  <c r="I52" i="379"/>
  <c r="I53" i="379" s="1"/>
  <c r="I55" i="379" s="1"/>
  <c r="I60" i="378"/>
  <c r="J17" i="374"/>
  <c r="F19" i="374" s="1"/>
  <c r="J19" i="374" s="1"/>
  <c r="I32" i="371"/>
  <c r="I33" i="371" s="1"/>
  <c r="I34" i="371" s="1"/>
  <c r="I45" i="371"/>
  <c r="G37" i="372"/>
  <c r="G41" i="372" s="1"/>
  <c r="G42" i="372" s="1"/>
  <c r="J38" i="374"/>
  <c r="J40" i="374" s="1"/>
  <c r="J41" i="374" s="1"/>
  <c r="I54" i="379"/>
  <c r="I61" i="378"/>
  <c r="I62" i="378"/>
  <c r="D38" i="373"/>
  <c r="J38" i="373"/>
  <c r="J39" i="373" s="1"/>
  <c r="D37" i="373"/>
  <c r="J11" i="373"/>
  <c r="J17" i="373" s="1"/>
  <c r="G24" i="372"/>
  <c r="D60" i="371"/>
  <c r="L20" i="370"/>
  <c r="I63" i="378" l="1"/>
  <c r="I65" i="378" s="1"/>
  <c r="F20" i="374"/>
  <c r="F41" i="373"/>
  <c r="G25" i="372"/>
  <c r="G26" i="372"/>
  <c r="G27" i="372" s="1"/>
  <c r="I36" i="371"/>
  <c r="D35" i="371"/>
  <c r="I35" i="371" s="1"/>
  <c r="I60" i="371"/>
  <c r="I61" i="371"/>
  <c r="F21" i="370"/>
  <c r="I64" i="378" l="1"/>
  <c r="J20" i="374"/>
  <c r="F21" i="374"/>
  <c r="J21" i="374" s="1"/>
  <c r="J41" i="373"/>
  <c r="G44" i="372"/>
  <c r="G48" i="372" s="1"/>
  <c r="D64" i="371"/>
  <c r="D63" i="371"/>
  <c r="I63" i="371" s="1"/>
  <c r="D67" i="371" s="1"/>
  <c r="I67" i="371" s="1"/>
  <c r="L21" i="370"/>
  <c r="F22" i="370"/>
  <c r="L22" i="370" s="1"/>
  <c r="J22" i="374" l="1"/>
  <c r="J42" i="374" s="1"/>
  <c r="F42" i="373"/>
  <c r="J42" i="373" s="1"/>
  <c r="F43" i="373"/>
  <c r="J43" i="373" s="1"/>
  <c r="G46" i="372"/>
  <c r="G47" i="372"/>
  <c r="G45" i="372"/>
  <c r="I64" i="371"/>
  <c r="D65" i="371" s="1"/>
  <c r="I65" i="371" s="1"/>
  <c r="L23" i="370"/>
  <c r="L24" i="370" s="1"/>
  <c r="L25" i="370" s="1"/>
  <c r="G49" i="372" l="1"/>
  <c r="G50" i="372" s="1"/>
  <c r="G51" i="372" s="1"/>
  <c r="G52" i="372" s="1"/>
  <c r="J44" i="373"/>
  <c r="J45" i="373" s="1"/>
  <c r="J47" i="373" s="1"/>
  <c r="J45" i="374"/>
  <c r="J44" i="374"/>
  <c r="J43" i="374"/>
  <c r="J48" i="373"/>
  <c r="J46" i="373"/>
  <c r="G54" i="372"/>
  <c r="G53" i="372"/>
  <c r="D66" i="371"/>
  <c r="I66" i="371" s="1"/>
  <c r="D68" i="371" s="1"/>
  <c r="I68" i="371" s="1"/>
  <c r="L27" i="370"/>
  <c r="L26" i="370"/>
  <c r="D69" i="371" l="1"/>
  <c r="I69" i="371" s="1"/>
  <c r="I70" i="371"/>
  <c r="I71" i="371" s="1"/>
  <c r="I74" i="371" l="1"/>
  <c r="I73" i="371"/>
  <c r="I72" i="371"/>
  <c r="D11" i="366" l="1"/>
  <c r="D12" i="366" s="1"/>
  <c r="D13" i="366" s="1"/>
  <c r="D11" i="365"/>
  <c r="D12" i="365" s="1"/>
  <c r="D13" i="365" s="1"/>
  <c r="D12" i="350"/>
  <c r="D13" i="350" s="1"/>
  <c r="D14" i="350" s="1"/>
  <c r="D11" i="348" l="1"/>
  <c r="D12" i="348" s="1"/>
  <c r="D13" i="348" s="1"/>
  <c r="D13" i="347"/>
  <c r="D14" i="347" s="1"/>
  <c r="D15" i="347" s="1"/>
  <c r="L7" i="346"/>
  <c r="N7" i="346"/>
  <c r="N8" i="346"/>
  <c r="L10" i="346"/>
  <c r="N10" i="346" s="1"/>
  <c r="L11" i="346"/>
  <c r="N11" i="346"/>
  <c r="M17" i="346" s="1"/>
  <c r="L12" i="346"/>
  <c r="M12" i="346"/>
  <c r="L13" i="346"/>
  <c r="M13" i="346"/>
  <c r="L15" i="346"/>
  <c r="M15" i="346"/>
  <c r="M16" i="346" l="1"/>
  <c r="G19" i="346" s="1"/>
  <c r="M19" i="346" s="1"/>
  <c r="E17" i="314"/>
  <c r="E17" i="309"/>
  <c r="E17" i="308"/>
  <c r="E17" i="304"/>
  <c r="G20" i="346" l="1"/>
  <c r="M20" i="346" s="1"/>
  <c r="G22" i="346" s="1"/>
  <c r="M22" i="346" s="1"/>
  <c r="G18" i="346"/>
  <c r="M18" i="346" s="1"/>
  <c r="G21" i="346" l="1"/>
  <c r="M21" i="346" s="1"/>
  <c r="M23" i="346"/>
  <c r="M24" i="346" s="1"/>
  <c r="D11" i="250"/>
  <c r="D12" i="250" s="1"/>
  <c r="D13" i="250" s="1"/>
  <c r="M25" i="346" l="1"/>
  <c r="F34" i="249"/>
  <c r="F35" i="249" s="1"/>
  <c r="F28" i="249"/>
  <c r="D25" i="249"/>
  <c r="F25" i="249" s="1"/>
  <c r="F29" i="249" s="1"/>
  <c r="D22" i="249"/>
  <c r="F22" i="249" s="1"/>
  <c r="F23" i="249" s="1"/>
  <c r="F36" i="249" l="1"/>
  <c r="F39" i="249" s="1"/>
  <c r="G25" i="234" l="1"/>
  <c r="G29" i="234" s="1"/>
  <c r="G30" i="234" s="1"/>
  <c r="G18" i="234"/>
  <c r="G22" i="234" s="1"/>
  <c r="G23" i="234" s="1"/>
  <c r="I27" i="233"/>
  <c r="I22" i="233"/>
  <c r="I17" i="233"/>
  <c r="G25" i="232"/>
  <c r="G29" i="232" s="1"/>
  <c r="G30" i="232" s="1"/>
  <c r="G18" i="232"/>
  <c r="G22" i="232" s="1"/>
  <c r="G23" i="232" s="1"/>
  <c r="H23" i="231"/>
  <c r="G23" i="231"/>
  <c r="G22" i="231"/>
  <c r="H22" i="231" s="1"/>
  <c r="G21" i="231"/>
  <c r="G23" i="230"/>
  <c r="H23" i="230" s="1"/>
  <c r="G22" i="230"/>
  <c r="H22" i="230" s="1"/>
  <c r="G21" i="230"/>
  <c r="H21" i="230" s="1"/>
  <c r="D37" i="233"/>
  <c r="C42" i="232"/>
  <c r="I33" i="233" l="1"/>
  <c r="G24" i="231"/>
  <c r="D7" i="231" s="1"/>
  <c r="I31" i="233"/>
  <c r="I32" i="233" s="1"/>
  <c r="G32" i="234"/>
  <c r="G34" i="234" s="1"/>
  <c r="G31" i="234"/>
  <c r="G31" i="232"/>
  <c r="G32" i="232"/>
  <c r="G34" i="232" s="1"/>
  <c r="H21" i="231"/>
  <c r="H24" i="231" s="1"/>
  <c r="G24" i="230"/>
  <c r="I34" i="233" l="1"/>
  <c r="I35" i="233" s="1"/>
  <c r="G33" i="234"/>
  <c r="G35" i="234" s="1"/>
  <c r="G33" i="232"/>
  <c r="G35" i="232" s="1"/>
  <c r="H24" i="230"/>
  <c r="D7" i="230"/>
  <c r="G37" i="234" l="1"/>
  <c r="G38" i="234" s="1"/>
  <c r="G36" i="234"/>
  <c r="G37" i="232"/>
  <c r="G38" i="232" s="1"/>
  <c r="G36" i="232"/>
  <c r="B16" i="26" l="1"/>
  <c r="B19" i="26" s="1"/>
  <c r="B26" i="26" s="1"/>
  <c r="B27" i="26" s="1"/>
  <c r="B28" i="26" s="1"/>
  <c r="B29" i="26" s="1"/>
  <c r="B30" i="26" s="1"/>
  <c r="B31" i="26" s="1"/>
  <c r="B32" i="26" s="1"/>
  <c r="B35" i="26" s="1"/>
  <c r="B36" i="26" s="1"/>
  <c r="B37" i="26" s="1"/>
  <c r="B38" i="26" s="1"/>
  <c r="B39" i="26" s="1"/>
  <c r="B40" i="26" s="1"/>
  <c r="B41" i="26" s="1"/>
  <c r="B42" i="26" s="1"/>
  <c r="B43" i="26" s="1"/>
  <c r="B44" i="26" s="1"/>
  <c r="B45" i="26" s="1"/>
  <c r="B46" i="26" s="1"/>
  <c r="B49" i="26" s="1"/>
  <c r="B50" i="26" s="1"/>
  <c r="B51" i="26" s="1"/>
  <c r="B54" i="26" s="1"/>
  <c r="B55" i="26" s="1"/>
  <c r="B56" i="26" s="1"/>
  <c r="B57" i="26" s="1"/>
  <c r="B60" i="26" s="1"/>
  <c r="B61" i="26" s="1"/>
  <c r="B62" i="26" s="1"/>
  <c r="B63" i="26" s="1"/>
  <c r="B64" i="26" s="1"/>
  <c r="B65" i="26" s="1"/>
  <c r="B66" i="26" s="1"/>
  <c r="B67" i="26" s="1"/>
  <c r="B68" i="26" s="1"/>
  <c r="B69" i="26" s="1"/>
  <c r="B70" i="26" s="1"/>
  <c r="B71" i="26" s="1"/>
  <c r="B72" i="26" s="1"/>
  <c r="B73" i="26" s="1"/>
  <c r="B74" i="26" s="1"/>
  <c r="B75" i="26" s="1"/>
  <c r="B76" i="26" s="1"/>
  <c r="B77" i="26" s="1"/>
  <c r="B78" i="26" s="1"/>
  <c r="B79" i="26" s="1"/>
  <c r="B80" i="26" s="1"/>
  <c r="B81" i="26" s="1"/>
  <c r="B82" i="26" s="1"/>
  <c r="B83" i="26" s="1"/>
  <c r="B84" i="26" s="1"/>
  <c r="B85" i="26" s="1"/>
  <c r="B86" i="26" s="1"/>
  <c r="B87" i="26" s="1"/>
  <c r="B88" i="26" s="1"/>
  <c r="B89" i="26" s="1"/>
  <c r="B90" i="26" s="1"/>
  <c r="B91" i="26" s="1"/>
  <c r="B92" i="26" s="1"/>
  <c r="B93" i="26" s="1"/>
  <c r="B94" i="26" s="1"/>
  <c r="B95" i="26" s="1"/>
  <c r="B96" i="26" s="1"/>
  <c r="B97" i="26" s="1"/>
  <c r="B98" i="26" s="1"/>
  <c r="B99" i="26" s="1"/>
  <c r="B100" i="26" l="1"/>
  <c r="B101" i="26" s="1"/>
  <c r="B102" i="26" s="1"/>
  <c r="B103" i="26" s="1"/>
  <c r="B104" i="26" s="1"/>
  <c r="B105" i="26" s="1"/>
  <c r="B106" i="26" s="1"/>
  <c r="B107" i="26" s="1"/>
  <c r="B108" i="26" s="1"/>
  <c r="B109" i="26" s="1"/>
  <c r="B110" i="26" s="1"/>
  <c r="B111" i="26" s="1"/>
  <c r="B112" i="26" s="1"/>
  <c r="B113" i="26" s="1"/>
  <c r="B114" i="26" s="1"/>
  <c r="B115" i="26" s="1"/>
  <c r="B116" i="26" s="1"/>
  <c r="B117" i="26" s="1"/>
  <c r="B118" i="26" s="1"/>
  <c r="D97" i="404" l="1"/>
  <c r="D93" i="404" s="1"/>
  <c r="D102" i="404" s="1"/>
  <c r="D103" i="404" s="1"/>
  <c r="D104" i="404" s="1"/>
  <c r="K101" i="404"/>
  <c r="M101" i="404" l="1"/>
  <c r="M97" i="404" s="1"/>
  <c r="M93" i="404" s="1"/>
  <c r="M102" i="404" s="1"/>
  <c r="M103" i="404" s="1"/>
  <c r="M104" i="404" s="1"/>
  <c r="K97" i="404"/>
  <c r="K93" i="404" s="1"/>
  <c r="K102" i="404" s="1"/>
  <c r="K103" i="404" s="1"/>
  <c r="K104" i="404" s="1"/>
  <c r="K107" i="404" s="1"/>
  <c r="K108" i="404" s="1"/>
  <c r="O101" i="404" l="1"/>
  <c r="P101" i="404" s="1"/>
  <c r="R101" i="404" s="1"/>
  <c r="Q97" i="404" l="1"/>
  <c r="Q93" i="404" s="1"/>
  <c r="Q102" i="404" s="1"/>
  <c r="Q103" i="404" s="1"/>
  <c r="Q104" i="404" s="1"/>
  <c r="Q106" i="404" s="1"/>
  <c r="O97" i="404"/>
  <c r="O93" i="404" s="1"/>
  <c r="O102" i="404" s="1"/>
  <c r="O103" i="404" s="1"/>
  <c r="O104" i="404" s="1"/>
  <c r="P97" i="404"/>
  <c r="C30" i="405"/>
  <c r="P93" i="404"/>
  <c r="P102" i="404" s="1"/>
  <c r="P103" i="404" s="1"/>
  <c r="P104" i="404" s="1"/>
  <c r="P106" i="404" s="1"/>
  <c r="R97" i="404"/>
  <c r="D30" i="405" l="1"/>
  <c r="E30" i="405" s="1"/>
  <c r="C35" i="405"/>
  <c r="D35" i="405" s="1"/>
  <c r="E35" i="405" s="1"/>
  <c r="C31" i="405"/>
  <c r="C27" i="405"/>
  <c r="D27" i="405" l="1"/>
  <c r="C22" i="405"/>
  <c r="C32" i="405" s="1"/>
  <c r="D31" i="405"/>
  <c r="C36" i="405"/>
  <c r="E31" i="405" l="1"/>
  <c r="D36" i="405"/>
  <c r="E36" i="405" s="1"/>
  <c r="E27" i="405"/>
  <c r="E22" i="405" s="1"/>
  <c r="E32" i="405" s="1"/>
  <c r="D22" i="405"/>
  <c r="D32" i="405" s="1"/>
  <c r="B19" i="407" l="1"/>
  <c r="G6" i="406"/>
</calcChain>
</file>

<file path=xl/comments1.xml><?xml version="1.0" encoding="utf-8"?>
<comments xmlns="http://schemas.openxmlformats.org/spreadsheetml/2006/main">
  <authors>
    <author>nsavkin</author>
    <author>Alex</author>
  </authors>
  <commentLis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стройки&gt;
</t>
        </r>
      </text>
    </comment>
    <comment ref="A7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B7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C7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</commentList>
</comments>
</file>

<file path=xl/comments10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43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43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4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4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11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43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43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4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4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12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4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4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6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6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13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4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4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6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6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14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4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4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6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6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15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4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4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6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6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16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3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3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17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3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3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18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3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3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19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3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3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2.xml><?xml version="1.0" encoding="utf-8"?>
<comments xmlns="http://schemas.openxmlformats.org/spreadsheetml/2006/main">
  <authors>
    <author>nsavkin</author>
    <author>Alex</author>
  </authors>
  <commentLis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стройки&gt;
</t>
        </r>
      </text>
    </comment>
    <comment ref="A9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B9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C9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</commentList>
</comments>
</file>

<file path=xl/comments20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4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4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6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6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21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3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3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22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6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6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8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8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23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7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7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24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4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4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6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6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25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7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7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26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3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3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27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3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3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28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3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3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29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2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2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4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4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3.xml><?xml version="1.0" encoding="utf-8"?>
<comments xmlns="http://schemas.openxmlformats.org/spreadsheetml/2006/main">
  <authors>
    <author>nsavkin</author>
    <author>Alex</author>
  </authors>
  <commentList>
    <comment ref="C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стройки&gt;
</t>
        </r>
      </text>
    </comment>
    <comment ref="A1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B1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C1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</commentList>
</comments>
</file>

<file path=xl/comments4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2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2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4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4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5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2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2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4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4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6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3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3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5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7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4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4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6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6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8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8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8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40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40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9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D38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8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40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40" authorId="6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sharedStrings.xml><?xml version="1.0" encoding="utf-8"?>
<sst xmlns="http://schemas.openxmlformats.org/spreadsheetml/2006/main" count="87123" uniqueCount="10410">
  <si>
    <t>ЛСР 01-02-01</t>
  </si>
  <si>
    <t>ЛСР 12-01-01</t>
  </si>
  <si>
    <t>ЛСР 12-02-01</t>
  </si>
  <si>
    <t>ЛСР 02-01-03</t>
  </si>
  <si>
    <t>ЛСР 02-01-02</t>
  </si>
  <si>
    <t>ЛСР 02-01-01</t>
  </si>
  <si>
    <t>Наименование</t>
  </si>
  <si>
    <t>Кол-во</t>
  </si>
  <si>
    <t>№ п/п</t>
  </si>
  <si>
    <t>Состав сметной документации</t>
  </si>
  <si>
    <t>Номер</t>
  </si>
  <si>
    <t>Сводный сметный расчет</t>
  </si>
  <si>
    <t>ЛСР 01-01-01</t>
  </si>
  <si>
    <t>ЛСР 01-01-02</t>
  </si>
  <si>
    <t>Валка деревьев</t>
  </si>
  <si>
    <t>Подготовительные работы.</t>
  </si>
  <si>
    <t>ЛСР 01-02-02</t>
  </si>
  <si>
    <t>Демонтажные работы</t>
  </si>
  <si>
    <t>Подготовка территории строительства</t>
  </si>
  <si>
    <t>Открытая плоскостная парковка  на 800 машино-мест.</t>
  </si>
  <si>
    <t>"Всесезонный туристско-рекреационный комплекс «Эльбрус», Кабардино-Балкарская Республика. Открытая плоскостная парковка на 800 машино-мест".</t>
  </si>
  <si>
    <t>Технологические решения.2</t>
  </si>
  <si>
    <t>Технологические решения.1</t>
  </si>
  <si>
    <t>Устройство покрытия</t>
  </si>
  <si>
    <t>ЛСР 02-01-04</t>
  </si>
  <si>
    <t>Архитектурные решения.Платежный терминал</t>
  </si>
  <si>
    <t>ЛСР 02-01-05</t>
  </si>
  <si>
    <t>ЛСР 02-01-06</t>
  </si>
  <si>
    <t>Устройство подпорной стенки из габионных конструкций. Система дренажей.</t>
  </si>
  <si>
    <t>ЛСР 02-01-07</t>
  </si>
  <si>
    <t>Электроснабжение. Терминал оплаты</t>
  </si>
  <si>
    <t>Административно-бытовой корпус</t>
  </si>
  <si>
    <t>ЛСР 03-01-01</t>
  </si>
  <si>
    <t>Архитектурные решения</t>
  </si>
  <si>
    <t>ЛСР 03-01-02</t>
  </si>
  <si>
    <t>ЛСР 03-01-03</t>
  </si>
  <si>
    <t>Электроснабжение</t>
  </si>
  <si>
    <t>ЛСР 03-01-04</t>
  </si>
  <si>
    <t>Внутренние системы водоснабжения.</t>
  </si>
  <si>
    <t>ЛСР 03-01-05</t>
  </si>
  <si>
    <t>Внутренние системы водоотведения</t>
  </si>
  <si>
    <t>ЛСР 03-01-06</t>
  </si>
  <si>
    <t>Отопление, вентиляция и кондиционирования воздуха, тепловые сети.</t>
  </si>
  <si>
    <t>ЛСР 03-01-07</t>
  </si>
  <si>
    <t>Система оповещения и управления эвакуацией.</t>
  </si>
  <si>
    <t>ЛСР 03-01-08</t>
  </si>
  <si>
    <t>Автоматическая пожарная сигнализация.</t>
  </si>
  <si>
    <t>ЛСР 03-01-09</t>
  </si>
  <si>
    <t>Система контроля и управления доступом</t>
  </si>
  <si>
    <t>ЛСР 03-01-10</t>
  </si>
  <si>
    <t>Система охранной сигнализации</t>
  </si>
  <si>
    <t>ЛСР 03-01-11</t>
  </si>
  <si>
    <t>Система охранного телевидения</t>
  </si>
  <si>
    <t>ЛСР 03-01-12</t>
  </si>
  <si>
    <t>Сети связи.</t>
  </si>
  <si>
    <t>Навес для снегоуборочной техники</t>
  </si>
  <si>
    <t>ЛСР 03-02-01</t>
  </si>
  <si>
    <t>ЛСР 03-02-02</t>
  </si>
  <si>
    <t>Конструкторские решения.</t>
  </si>
  <si>
    <t>Конструкторские решения.Платежный терминал</t>
  </si>
  <si>
    <t>ЛСР 03-02-03</t>
  </si>
  <si>
    <t>Общественный туалет</t>
  </si>
  <si>
    <t>ЛСР 03-03-01</t>
  </si>
  <si>
    <t>ЛСР 03-03-02</t>
  </si>
  <si>
    <t>ЛСР 03-03-03</t>
  </si>
  <si>
    <t>ЛСР 03-04-01</t>
  </si>
  <si>
    <t xml:space="preserve"> Конструкторские решения.Парковочный островок</t>
  </si>
  <si>
    <t xml:space="preserve">Наружное электроснабжение </t>
  </si>
  <si>
    <t>Фундамент под КТП.</t>
  </si>
  <si>
    <t>ЛСР 05-01-01</t>
  </si>
  <si>
    <t>Наружные сети связи.</t>
  </si>
  <si>
    <t>Остановка</t>
  </si>
  <si>
    <t>ЛСР 05-02-01</t>
  </si>
  <si>
    <t>ЛСР 05-02-02</t>
  </si>
  <si>
    <t>ЛСР 05-02-03</t>
  </si>
  <si>
    <t>ЛСР 05-03-01</t>
  </si>
  <si>
    <t>Автомобильные дороги, тротуары.</t>
  </si>
  <si>
    <t>ЛСР 06-01-01</t>
  </si>
  <si>
    <t>Внутриплощадочные сети водоснабжения</t>
  </si>
  <si>
    <t>Внутриплощадочные сети водоотведения</t>
  </si>
  <si>
    <t>ЛСР 06-02-01</t>
  </si>
  <si>
    <t>ЛСР 06-02-02</t>
  </si>
  <si>
    <t>Внутриплощадочные сети  водоотведения</t>
  </si>
  <si>
    <t>Кострукторские решения. Резервуар-усреднитель.</t>
  </si>
  <si>
    <t>ЛСР 06-02-03</t>
  </si>
  <si>
    <t>Фундамент под КНС.</t>
  </si>
  <si>
    <t>ЛСР 06-02-04</t>
  </si>
  <si>
    <t>Фундамент под ЛОС №1</t>
  </si>
  <si>
    <t>ЛСР 06-02-05</t>
  </si>
  <si>
    <t>Фундамент под ЛОС №2</t>
  </si>
  <si>
    <t>Благоустройство и озеленение</t>
  </si>
  <si>
    <t>ЛСР 07-01-01</t>
  </si>
  <si>
    <t>Устройство тротуаров и пешеходных зон.</t>
  </si>
  <si>
    <t>ЛСР 07-01-02</t>
  </si>
  <si>
    <t>Благоустройство.</t>
  </si>
  <si>
    <t>ЛСР 07-01-03</t>
  </si>
  <si>
    <t>МАФ.</t>
  </si>
  <si>
    <t>ЛСР 07-01-04</t>
  </si>
  <si>
    <t>Устройство водоотводных лотков</t>
  </si>
  <si>
    <t>ЛСР 07-02-01</t>
  </si>
  <si>
    <t>Наружные сети электроосвещения</t>
  </si>
  <si>
    <t>Производственный экологический контроль и мониторинг</t>
  </si>
  <si>
    <t>Плата за негативное воздействие на окружающую среду</t>
  </si>
  <si>
    <t xml:space="preserve">Командировочные расходы </t>
  </si>
  <si>
    <t>Затраты на пусконаладочные работы "вхолостую"</t>
  </si>
  <si>
    <t>ЛСР 09-04-01</t>
  </si>
  <si>
    <t>ПНР. Внутриплощадочные сети 0,4 кВ.</t>
  </si>
  <si>
    <t>ЛСР 09-04-02</t>
  </si>
  <si>
    <t>ПНР. БКТП</t>
  </si>
  <si>
    <t>ЛСР 09-05-01</t>
  </si>
  <si>
    <t>Затраты по размещению, утилизации отходов строительного производства</t>
  </si>
  <si>
    <t>Затраты на осуществление технологического присоединения к электрическим сетям</t>
  </si>
  <si>
    <t>ЛСР 09-06-01</t>
  </si>
  <si>
    <t>Затраты на подготовку технических планов сооружений</t>
  </si>
  <si>
    <t>ЛСР 09-07-01</t>
  </si>
  <si>
    <t>ЛСР 09-07-02</t>
  </si>
  <si>
    <t>Инженерные изыскания</t>
  </si>
  <si>
    <t>ЛСР 12-01-02</t>
  </si>
  <si>
    <t>Проектные работы (стадия ПД)</t>
  </si>
  <si>
    <t>Проектные работы (стадия РД)</t>
  </si>
  <si>
    <t>ЛСР 12-03-01</t>
  </si>
  <si>
    <t>Затраты на экспертизу результатов инженерных изысканий, проектной документации и проверку достоверности определения сметной стоимости строительства</t>
  </si>
  <si>
    <t xml:space="preserve">Затраты на проезд авторского надзора </t>
  </si>
  <si>
    <t>ЛСР 01-04-01</t>
  </si>
  <si>
    <t>Инженерно-геодезические изыскания</t>
  </si>
  <si>
    <t>Инженерно-геологические изыскания</t>
  </si>
  <si>
    <t>ЛСР 12-01-03</t>
  </si>
  <si>
    <t>Инженерно-геофизические изыскания</t>
  </si>
  <si>
    <t>ЛСР 12-01-04</t>
  </si>
  <si>
    <t>Инженерно-гидрометеорологические изыскания</t>
  </si>
  <si>
    <t>ЛСР 12-01-05</t>
  </si>
  <si>
    <t>Сели и лавины</t>
  </si>
  <si>
    <t>ЛСР 12-01-06</t>
  </si>
  <si>
    <t>Инженерно-экологические изыскания</t>
  </si>
  <si>
    <t>Затраты на проведение государственной экологической экспертизы.</t>
  </si>
  <si>
    <t>Подготовка технического плана инженерного сооружения. Плоскостная парковка открытого типа.</t>
  </si>
  <si>
    <t>Подготовка технического плана инженерного сооружения. Инженерная инфраструктура.</t>
  </si>
  <si>
    <t>Демонтажные работы (трубопровод)</t>
  </si>
  <si>
    <t>Демонтажные работы (кювет)</t>
  </si>
  <si>
    <t>(наименование стройки)</t>
  </si>
  <si>
    <t>монтажных работ</t>
  </si>
  <si>
    <t>Утверждено приказом № 421 от 4 августа 2020 г. Минстроя РФ</t>
  </si>
  <si>
    <t>(наименование объекта капитального строительства)</t>
  </si>
  <si>
    <t/>
  </si>
  <si>
    <t>(проектная и (или) иная техническая документация)</t>
  </si>
  <si>
    <t>Обоснование</t>
  </si>
  <si>
    <t>оборудования</t>
  </si>
  <si>
    <t>прочих затрат</t>
  </si>
  <si>
    <t>всего</t>
  </si>
  <si>
    <t>Составил:</t>
  </si>
  <si>
    <t>[должность, подпись (инициалы, фамилия)]</t>
  </si>
  <si>
    <t>Проверил:</t>
  </si>
  <si>
    <t>Приложение № 2</t>
  </si>
  <si>
    <t>СОГЛАСОВАНО:</t>
  </si>
  <si>
    <t>УТВЕРЖДАЮ:</t>
  </si>
  <si>
    <t>"_____" ________________ 2021 года</t>
  </si>
  <si>
    <t xml:space="preserve">Наименование редакции сметных нормативов  </t>
  </si>
  <si>
    <t>Изменения в сметные нормы, утвержденные приказами Минстроя России от 26 декабря № 2019 г. № 871/пр, 872/пр, 874/пр, 875/пр (в ред. приказов от 30.03.2019 № 171/пр, от 01.06.2020 295/пр, от 30.06.2020 № 353/пр, от 20.10.2020 № 635/пр, от 09.02.2021 № 50/пр)</t>
  </si>
  <si>
    <t>Наименование программного продукта</t>
  </si>
  <si>
    <t>ПК "ГРАНД-Смета 2021"</t>
  </si>
  <si>
    <t>(наименование конструктивного решения)</t>
  </si>
  <si>
    <t xml:space="preserve">Составлен </t>
  </si>
  <si>
    <t>базисно-индексным</t>
  </si>
  <si>
    <t>методом</t>
  </si>
  <si>
    <t>Основание</t>
  </si>
  <si>
    <t xml:space="preserve">Составлен(а) в текущем (базисном) уровне цен </t>
  </si>
  <si>
    <t xml:space="preserve">Сметная стоимость </t>
  </si>
  <si>
    <t>тыс.руб.</t>
  </si>
  <si>
    <t>в том числе:</t>
  </si>
  <si>
    <t>строительных работ</t>
  </si>
  <si>
    <t>Средства на оплату труда рабочих</t>
  </si>
  <si>
    <t>(0)</t>
  </si>
  <si>
    <t>Нормативные затраты труда рабочих</t>
  </si>
  <si>
    <t>чел.час.</t>
  </si>
  <si>
    <t>Нормативные затраты труда машинистов</t>
  </si>
  <si>
    <t xml:space="preserve">Расчетный измеритель конструктивного решения  </t>
  </si>
  <si>
    <t>Наименование работ и затрат</t>
  </si>
  <si>
    <t>Единица измерения</t>
  </si>
  <si>
    <t>Количество</t>
  </si>
  <si>
    <t>Сметная стоимость в базисном уровне цен (в текущем уровне цен (гр. 8) для ресурсов, отсутствующих в СНБ), руб.</t>
  </si>
  <si>
    <t>Индексы</t>
  </si>
  <si>
    <t>Сметная стоимость в текущем уровне цен, руб.</t>
  </si>
  <si>
    <t>на единицу</t>
  </si>
  <si>
    <t>коэффициенты</t>
  </si>
  <si>
    <t>всего с учетом коэффициентов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</si>
  <si>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</si>
  <si>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</si>
  <si>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</si>
  <si>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</si>
  <si>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</si>
  <si>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</si>
  <si>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</si>
  <si>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</si>
  <si>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</si>
  <si>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</si>
  <si>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</si>
  <si>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</si>
  <si>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</si>
  <si>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</si>
  <si>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</si>
  <si>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</si>
  <si>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 т груза</t>
  </si>
  <si>
    <t>ФССЦпг-03-21-01-140</t>
  </si>
  <si>
    <t>Перевозка грузов автомобилями-самосвалами грузоподъемностью 10 т работающих вне карьера на расстояние: I класс груза до 140 км</t>
  </si>
  <si>
    <t xml:space="preserve">          В том числе:</t>
  </si>
  <si>
    <t>Итоги по смете:</t>
  </si>
  <si>
    <t xml:space="preserve">  ВСЕГО по смете</t>
  </si>
  <si>
    <t xml:space="preserve">                                                      (Симонова В.К.)</t>
  </si>
  <si>
    <t xml:space="preserve">                                                      (Авраменко Р.М.)</t>
  </si>
  <si>
    <t>(Перевозка грузов автотранспортом)</t>
  </si>
  <si>
    <t>Расчет 09-03-01</t>
  </si>
  <si>
    <t>Расчет 09-02-01</t>
  </si>
  <si>
    <t>Расчет 09-01-01</t>
  </si>
  <si>
    <t>Расчет 12-04-01</t>
  </si>
  <si>
    <t>Расчет 12-05-01</t>
  </si>
  <si>
    <t>Расчет СР-7</t>
  </si>
  <si>
    <t>Калькуляция №1</t>
  </si>
  <si>
    <t>Доставка материалов ФССЦ  свыше 30 км учтенных в СНБ</t>
  </si>
  <si>
    <t>Доставка материалов до площадки стоительства</t>
  </si>
  <si>
    <t>01.01.2000г.</t>
  </si>
  <si>
    <t>Раздел 1. Перевозка материалов автомобилями-самосвалами автомобилем гп 10 т на расстояние L=135 км от  Малкинского песчаного карьерера до площадки строительства за исключением 30 км, учтенных в СНБ (итого: 105 км),  I класс груза</t>
  </si>
  <si>
    <t>ФССЦпг-03-21-01-105</t>
  </si>
  <si>
    <t>Перевозка грузов автомобилями-самосвалами грузоподъемностью 10 т работающих вне карьера на расстояние: I класс груза до 105 км</t>
  </si>
  <si>
    <t>Итого прямые затраты по разделу в базисных ценах</t>
  </si>
  <si>
    <t xml:space="preserve">     Итого</t>
  </si>
  <si>
    <t xml:space="preserve">            Машины и механизмы</t>
  </si>
  <si>
    <t>Раздел 2. Перевозка материалов бортовым автомобилем гп 5 т на расстояние L=130 км от г. Нальчик  до площадки строительства, за исключением 30 км, учтенных в СНБ (итого: 100 км), I класс груза</t>
  </si>
  <si>
    <t>ФССЦпг-03-02-01-100</t>
  </si>
  <si>
    <t>Перевозка грузов автомобилями бортовыми грузоподъемностью до 5 т на расстояние: I класс груза до 100 км</t>
  </si>
  <si>
    <t xml:space="preserve">     Перевозка грузов автотранспортом:</t>
  </si>
  <si>
    <t xml:space="preserve">            Материалы</t>
  </si>
  <si>
    <t>Раздел 3. Перевозка материалов бортовым автомобилем гп 5 т на расстояние L=130 км от г. Нальчик  до площадки строительства, за исключением 30 км, учтенных в СНБ (итого: 100км), II класс груза</t>
  </si>
  <si>
    <t>ФССЦпг-03-02-02-100</t>
  </si>
  <si>
    <t>Перевозка грузов автомобилями бортовыми грузоподъемностью до 5 т на расстояние: II класс груза до 100 км</t>
  </si>
  <si>
    <t>Раздел 4. Перевозка материалов бортовым автомобилем гп 5 т на расстояние L=130 км от г. Нальчик до площадки строительства, за исключением 30 км, учтенных в СНБ (итого: 100 км), III класс груза</t>
  </si>
  <si>
    <t>ФССЦпг-03-02-03-100</t>
  </si>
  <si>
    <t>Перевозка грузов автомобилями бортовыми грузоподъемностью до 5 т на расстояние: III класс груза до 100 км</t>
  </si>
  <si>
    <t>Раздел 5. Перевозка материалов автомобилями-самосвалами автомобилем гп 10 т на расстояние L=130 км от г. Нальчик до площадки строительства за исключением 30 км, учтенных в СНБ (итого: 100 км),  I класс груза</t>
  </si>
  <si>
    <t>ФССЦпг-03-21-01-100</t>
  </si>
  <si>
    <t>Перевозка грузов автомобилями-самосвалами грузоподъемностью 10 т работающих вне карьера на расстояние: I класс груза до 100 км</t>
  </si>
  <si>
    <t>Раздел 6. Перевозка материалов автомобилями-самосвалами автомобилем гп 10 т на расстояние L=130 км от г. Нальчик до площадки строительства за исключением 30 км, учтенных в СНБ (итого: 100 км), II класс груза</t>
  </si>
  <si>
    <t>ФССЦпг-03-21-02-100</t>
  </si>
  <si>
    <t>Перевозка грузов автомобилями-самосвалами грузоподъемностью 10 т работающих вне карьера на расстояние: II класс груза до 100 км</t>
  </si>
  <si>
    <t>Раздел 7. Перевозка материалов автомобилями-самосвалами автомобилем гп 10 т на расстояние L=130 км от г.Нальчик до площадки строительства за исключением 30 км, учтенных в СНБ (итого: 100 км), IIIкласс груза</t>
  </si>
  <si>
    <t>ФССЦпг-03-21-03-100</t>
  </si>
  <si>
    <t>Перевозка грузов автомобилями-самосвалами грузоподъемностью 10 т работающих вне карьера на расстояние: III класс груза до 100 км</t>
  </si>
  <si>
    <t>Раздел 8. Перевозка материалов бортовым автомобилем гп 5 т на расстояние L=170 км от г. Пятигоск до площадки строительства, за исключением 30 км, учтенных в СНБ (итого: 140 км), I класс груза</t>
  </si>
  <si>
    <t>ФССЦпг-03-02-01-140</t>
  </si>
  <si>
    <t>Перевозка грузов автомобилями бортовыми грузоподъемностью до 5 т на расстояние: I класс груза до 140 км</t>
  </si>
  <si>
    <t>Раздел 9. Перевозка материалов бортовым автомобилем гп 5 т на расстояние L=170 км от г. Пятигоск до площадки строительства, за исключением 30 км, учтенных в СНБ (итого: 140 км), II  класс груза</t>
  </si>
  <si>
    <t>ФССЦпг-03-02-02-140</t>
  </si>
  <si>
    <t>Перевозка грузов автомобилями бортовыми грузоподъемностью до 5 т на расстояние: II класс груза до 140 км</t>
  </si>
  <si>
    <t>Раздел 10. Перевозка материалов бортовым автомобилем гп 5 т на расстояние L=170 км от г. Пятигоск до площадки строительства, за исключением 30 км, учтенных в СНБ (итого: 140 км), III  класс груза</t>
  </si>
  <si>
    <t>ФССЦпг-03-02-03-140</t>
  </si>
  <si>
    <t>Перевозка грузов автомобилями бортовыми грузоподъемностью до 5 т на расстояние: III класс груза до 140 км</t>
  </si>
  <si>
    <t>Раздел 11. Перевозка материалов автомобилями-самосвалами автомобилем гп 10 т на расстояние L=170 км от  г. Пятигоск  до площадки строительства за исключением 30 км, учтенных в СНБ (итого: 140 км),  I класс груза</t>
  </si>
  <si>
    <t>Раздел 12. Перевозка материалов автомобилями-самосвалами автомобилем гп 10 т на расстояние L=170 км от  г. Пятигоск  до площадки строительства за исключением 30 км, учтенных в СНБ (итого: 140 км),  II класс груза</t>
  </si>
  <si>
    <t>ФССЦпг-03-21-02-140</t>
  </si>
  <si>
    <t>Перевозка грузов автомобилями-самосвалами грузоподъемностью 10 т работающих вне карьера на расстояние: II класс груза до 140 км</t>
  </si>
  <si>
    <t>Раздел 13. Перевозка материалов автомобилями-самосвалами автомобилем гп 10 т на расстояние L=170 км от  г. Пятигоск  до площадки строительства за исключением 30 км, учтенных в СНБ (итого: 140 км), III класс груза</t>
  </si>
  <si>
    <t>ФССЦпг-03-21-03-140</t>
  </si>
  <si>
    <t>Перевозка грузов автомобилями-самосвалами грузоподъемностью 10 т работающих вне карьера на расстояние: III класс груза до 140 км</t>
  </si>
  <si>
    <t>Раздел 14. Перевозка материалов автомобилями-самосвалами автомобилем гп 10 т на расстояние L=110км от г. Баксан до площадки строительства за исключением 30 км, учтенных в СНБ (итого: 80 км),  I класс груза</t>
  </si>
  <si>
    <t>ФССЦпг-03-21-01-080</t>
  </si>
  <si>
    <t>Перевозка грузов автомобилями-самосвалами грузоподъемностью 10 т работающих вне карьера на расстояние: I класс груза до 80 км</t>
  </si>
  <si>
    <t>Раздел 15. Перевозка материалов бортовым автомобилем гп 5 т на расстояние L=110 км от г. Баксан  до площадки строительства, за исключением 30 км, учтенных в СНБ (итого: 80 км), I класс груза</t>
  </si>
  <si>
    <t>ФССЦпг-03-02-01-080</t>
  </si>
  <si>
    <t>Перевозка грузов автомобилями бортовыми грузоподъемностью до 5 т на расстояние: I класс груза до 80 км</t>
  </si>
  <si>
    <t>Раздел 16. Перевозка материалов бортовым автомобилем гп 5 т на расстояние L=130 км от г. Нальчик до площадки строительства, за исключением 30 км, учтенных в СНБ (итого: 100 км), IV класс груза</t>
  </si>
  <si>
    <t>ФССЦпг-03-02-04-100</t>
  </si>
  <si>
    <t>Перевозка грузов автомобилями бортовыми грузоподъемностью до 5 т на расстояние: IV класс груза до 100 км</t>
  </si>
  <si>
    <t>Итого прямые затраты по смете в базисных ценах</t>
  </si>
  <si>
    <t xml:space="preserve">          Итого Поз. 1, 5-7, 11-14</t>
  </si>
  <si>
    <t>Приложение № 5</t>
  </si>
  <si>
    <t>Всесезонный туристско-реакреционный комплекс " Эльбрус", Кабардино-Балкарская Республика. Открытая плоскостная парковка на 800 машино-мест"</t>
  </si>
  <si>
    <t>Подготовка территории</t>
  </si>
  <si>
    <t>ОБЪЕКТНЫЙ СМЕТНЫЙ РАСЧЕТ (СМЕТА) № ОС-01-01</t>
  </si>
  <si>
    <t xml:space="preserve">Основание </t>
  </si>
  <si>
    <t>Сметная стоимость</t>
  </si>
  <si>
    <t>тыс. руб.</t>
  </si>
  <si>
    <t xml:space="preserve">Расчетный измеритель </t>
  </si>
  <si>
    <t xml:space="preserve">объекта капитального строительства  </t>
  </si>
  <si>
    <t>6,66 га</t>
  </si>
  <si>
    <t>га</t>
  </si>
  <si>
    <t>Показатель единичной стоимости на расчетный измеритель</t>
  </si>
  <si>
    <t>тыс. руб</t>
  </si>
  <si>
    <t>Составлен(а) в базисном (текущем) уровне цен  01.01.2000г</t>
  </si>
  <si>
    <t>№ пп</t>
  </si>
  <si>
    <t>Наименование локальных сметных расчетов (смет), затрат</t>
  </si>
  <si>
    <t>Сметная стоимость, тыс. руб.</t>
  </si>
  <si>
    <t xml:space="preserve">Строительных
(ремонтно- строительных, ремонтно- реставрационных) работ
</t>
  </si>
  <si>
    <t>Локальные сметы (расчеты)</t>
  </si>
  <si>
    <t>01-01-01</t>
  </si>
  <si>
    <t>01-01-02</t>
  </si>
  <si>
    <t>Итого по объектной смете</t>
  </si>
  <si>
    <t>\</t>
  </si>
  <si>
    <t>Симонова В.К.</t>
  </si>
  <si>
    <t>Авраменко Р.М.</t>
  </si>
  <si>
    <t>Составлен(а) в базисном (текущем) уровне цен  2 квартал  2021г.</t>
  </si>
  <si>
    <t>ЛОКАЛЬНЫЙ СМЕТНЫЙ РАСЧЕТ (СМЕТА) № 01-01-01</t>
  </si>
  <si>
    <t>Д-ДРП-20-016-СПЗУ.ВР1</t>
  </si>
  <si>
    <t>01.01.2000г. с переводом в текущие цены на 2кв.2021г.</t>
  </si>
  <si>
    <t>(27,08)</t>
  </si>
  <si>
    <t>(1,61)</t>
  </si>
  <si>
    <t>Раздел 1. Валка деревьев</t>
  </si>
  <si>
    <t>ФЕР01-02-099-01</t>
  </si>
  <si>
    <t>Валка деревьев мягких пород с корня, диаметр стволов: до 16 см</t>
  </si>
  <si>
    <t>100 шт</t>
  </si>
  <si>
    <t>2,78</t>
  </si>
  <si>
    <t>Объем=278 / 100</t>
  </si>
  <si>
    <t>Приказ от 04.08.2020 № 421/пр прил.10 табл.1 п.8.1</t>
  </si>
  <si>
    <t>Производство работ осуществляется в горной местности: на высоте свыше 1500 до 2500 м над уровнем моря ОЗП=1,25; ЭМ=1,25 к расх.; ЗПМ=1,25; ТЗ=1,25; ТЗМ=1,25</t>
  </si>
  <si>
    <t>ОТ</t>
  </si>
  <si>
    <t>1,25</t>
  </si>
  <si>
    <t>ЗТ</t>
  </si>
  <si>
    <t>чел.-ч</t>
  </si>
  <si>
    <t>5,21</t>
  </si>
  <si>
    <t>18,10475</t>
  </si>
  <si>
    <t>Итого по расценке</t>
  </si>
  <si>
    <t>ФОТ</t>
  </si>
  <si>
    <t>Приказ Минстроя России № 812/пр от 21.12.2020 Прил. п.1.4</t>
  </si>
  <si>
    <t>НР Земляные работы, выполняемые по другим видам работ (подготовительным, сопутствующим, укрепительным)</t>
  </si>
  <si>
    <t>%</t>
  </si>
  <si>
    <t>89</t>
  </si>
  <si>
    <t>Приказ Минстроя России № 774/пр от 11.12.2020 Прил. п.1.4</t>
  </si>
  <si>
    <t>СП Земляные работы, выполняемые по другим видам работ (подготовительным, сопутствующим, укрепительным)</t>
  </si>
  <si>
    <t>41</t>
  </si>
  <si>
    <t>Всего по позиции</t>
  </si>
  <si>
    <t>ФЕР01-02-099-02</t>
  </si>
  <si>
    <t>Валка деревьев мягких пород с корня, диаметр стволов: до 20 см</t>
  </si>
  <si>
    <t>0,85</t>
  </si>
  <si>
    <t>Объем=85 / 100</t>
  </si>
  <si>
    <t>6,52</t>
  </si>
  <si>
    <t>6,9275</t>
  </si>
  <si>
    <t>ФЕР01-02-099-03</t>
  </si>
  <si>
    <t>Валка деревьев мягких пород с корня, диаметр стволов: до 24 см</t>
  </si>
  <si>
    <t>0,64</t>
  </si>
  <si>
    <t>Объем=64 / 100</t>
  </si>
  <si>
    <t>8,46</t>
  </si>
  <si>
    <t>6,768</t>
  </si>
  <si>
    <t>ФЕР01-02-100-01</t>
  </si>
  <si>
    <t>Трелевка хлыстов древесины на расстояние до 300 м тракторами мощностью: 59 кВт (80 л.с.), диаметр стволов до 20 см</t>
  </si>
  <si>
    <t>3,63</t>
  </si>
  <si>
    <t>Объем=363 / 100</t>
  </si>
  <si>
    <t>ЭМ</t>
  </si>
  <si>
    <t>в т.ч. ОТм</t>
  </si>
  <si>
    <t>14,8</t>
  </si>
  <si>
    <t>67,155</t>
  </si>
  <si>
    <t>ЗТм</t>
  </si>
  <si>
    <t>8,49</t>
  </si>
  <si>
    <t>38,523375</t>
  </si>
  <si>
    <t>ФЕР01-02-100-02</t>
  </si>
  <si>
    <t>Трелевка хлыстов древесины на расстояние до 300 м тракторами мощностью: 59 кВт (80 л.с.), диаметр стволов до 30 см</t>
  </si>
  <si>
    <t>25,8</t>
  </si>
  <si>
    <t>20,64</t>
  </si>
  <si>
    <t>11,84</t>
  </si>
  <si>
    <t>ФЕР01-02-101-01</t>
  </si>
  <si>
    <t>Разделка древесины мягких пород, полученной от валки леса, диаметр стволов: до 12 см</t>
  </si>
  <si>
    <t>100 деревьев</t>
  </si>
  <si>
    <t>1,71</t>
  </si>
  <si>
    <t>Объем=171 / 100</t>
  </si>
  <si>
    <t>Прил.1.12 п.3.213</t>
  </si>
  <si>
    <t>Разделка древесины без заготовки дров ОЗП=0,8; ЭМ=0,7 к расх.; ЗПМ=0,7; ТЗ=0,8; ТЗМ=0,7</t>
  </si>
  <si>
    <t>6,4</t>
  </si>
  <si>
    <t>10,944</t>
  </si>
  <si>
    <t>ФЕР01-02-101-02</t>
  </si>
  <si>
    <t>Разделка древесины мягких пород, полученной от валки леса, диаметр стволов: до 16 см</t>
  </si>
  <si>
    <t>1,07</t>
  </si>
  <si>
    <t>Объем=107 / 100</t>
  </si>
  <si>
    <t>13,4</t>
  </si>
  <si>
    <t>14,338</t>
  </si>
  <si>
    <t>ФЕР01-02-101-03</t>
  </si>
  <si>
    <t>Разделка древесины мягких пород, полученной от валки леса, диаметр стволов: до 20 см</t>
  </si>
  <si>
    <t>21,6</t>
  </si>
  <si>
    <t>18,36</t>
  </si>
  <si>
    <t>ФЕР01-02-101-04</t>
  </si>
  <si>
    <t>Разделка древесины мягких пород, полученной от валки леса, диаметр стволов: до 24 см</t>
  </si>
  <si>
    <t>28,8</t>
  </si>
  <si>
    <t>18,432</t>
  </si>
  <si>
    <t>ФЕР01-02-105-07</t>
  </si>
  <si>
    <t>Корчевка пней в грунтах естественного залегания корчевателями-собирателями на тракторе мощностью 118 кВт (160 л.с.) с перемещением пней до 5 м, диаметр пней: до 24 см</t>
  </si>
  <si>
    <t>4,27</t>
  </si>
  <si>
    <t>Объем=427 / 100</t>
  </si>
  <si>
    <t>1,94</t>
  </si>
  <si>
    <t>10,35475</t>
  </si>
  <si>
    <t>ФЕР01-02-107-02</t>
  </si>
  <si>
    <t>Засыпка ям подкоренных бульдозерами мощностью: 118 кВт (160 л.с.)</t>
  </si>
  <si>
    <t>1,77</t>
  </si>
  <si>
    <t>9,447375</t>
  </si>
  <si>
    <t>ФЕР01-02-108-01</t>
  </si>
  <si>
    <t>Обивка земли с выкорчеванных пней корчевателями-собирателями на тракторе мощностью 79 кВт (108 л.с.), диаметр пней: до 24 см</t>
  </si>
  <si>
    <t>0,69</t>
  </si>
  <si>
    <t>3,682875</t>
  </si>
  <si>
    <t>ФЕР01-02-110-01</t>
  </si>
  <si>
    <t>Вывозка пней тракторными прицепами 2 т на расстояние до 100 м, диаметр деревьев: до 32 см</t>
  </si>
  <si>
    <t>2,53</t>
  </si>
  <si>
    <t>13,503875</t>
  </si>
  <si>
    <t>1,45</t>
  </si>
  <si>
    <t>7,739375</t>
  </si>
  <si>
    <t>ФССЦпг-01-01-01-043</t>
  </si>
  <si>
    <t>Погрузо-разгрузочные работы при автомобильных перевозках: Погрузка мусора строительного с погрузкой экскаваторами емкостью ковша до 0,5 м3</t>
  </si>
  <si>
    <t>50,9</t>
  </si>
  <si>
    <t>Итоги по разделу 1 Валка деревьев :</t>
  </si>
  <si>
    <t xml:space="preserve">     Итого прямые затраты (справочно)</t>
  </si>
  <si>
    <t xml:space="preserve">               Оплата труда рабочих</t>
  </si>
  <si>
    <t xml:space="preserve">               Эксплуатация машин</t>
  </si>
  <si>
    <t xml:space="preserve">               Оплата труда машинистов</t>
  </si>
  <si>
    <t xml:space="preserve">     Строительные работы</t>
  </si>
  <si>
    <t xml:space="preserve">          Строительные работы</t>
  </si>
  <si>
    <t xml:space="preserve">               В том числе:</t>
  </si>
  <si>
    <t xml:space="preserve">                    оплата труда</t>
  </si>
  <si>
    <t xml:space="preserve">                    эксплуатация машин и механизмов</t>
  </si>
  <si>
    <t xml:space="preserve">                    накладные расходы</t>
  </si>
  <si>
    <t xml:space="preserve">                    сметная прибыль</t>
  </si>
  <si>
    <t xml:space="preserve">          Транспортные расходы (перевозка), относимые на стоимость строительных работ</t>
  </si>
  <si>
    <t xml:space="preserve">     Итого ФОТ (справочно)</t>
  </si>
  <si>
    <t xml:space="preserve">     Итого накладные расходы (справочно)</t>
  </si>
  <si>
    <t xml:space="preserve">     Итого сметная прибыль (справочно)</t>
  </si>
  <si>
    <t xml:space="preserve">  Итого по разделу 1 Валка деревьев</t>
  </si>
  <si>
    <t>Раздел 2. Кустарник</t>
  </si>
  <si>
    <t>ФЕР01-02-114-06</t>
  </si>
  <si>
    <t>Корчевка кустарника и мелколесья в грунтах естественного залегания корчевателями-собирателями на тракторе мощностью: 118 кВт (160 л.с.), кустарник и мелколесье редкие</t>
  </si>
  <si>
    <t>3,8</t>
  </si>
  <si>
    <t>5,07</t>
  </si>
  <si>
    <t>24,0825</t>
  </si>
  <si>
    <t>17</t>
  </si>
  <si>
    <t>ФЕР01-02-117-09</t>
  </si>
  <si>
    <t>Сгребание срезанного или выкорчеванного кустарника и мелколесья корчевателями-собирателями на тракторе мощностью 118 кВт (160 л.с.) с перемещением до 20 м, кустарник и мелколесье: редкие</t>
  </si>
  <si>
    <t>3,54</t>
  </si>
  <si>
    <t>16,815</t>
  </si>
  <si>
    <t>18</t>
  </si>
  <si>
    <t>ФЕР01-02-117-12</t>
  </si>
  <si>
    <t>При перемещении на каждые последующие 10 м добавлять: к расценке 01-02-117-09 (до 70 м)</t>
  </si>
  <si>
    <t>до 70 м ПЗ=5 (ОЗП=5; ЭМ=5 к расх.; ЗПМ=5; МАТ=5 к расх.; ТЗ=5; ТЗМ=5)</t>
  </si>
  <si>
    <t>6,25</t>
  </si>
  <si>
    <t>23,75</t>
  </si>
  <si>
    <t>19</t>
  </si>
  <si>
    <t>ФЕР01-02-122-09</t>
  </si>
  <si>
    <t>Перетряхивание валов из кустарника, мелколесья и корней корчевателями-собирателями на тракторе мощностью: 118 кВт (160 л.с.), кустарник и мелколесье редкие</t>
  </si>
  <si>
    <t>0,51</t>
  </si>
  <si>
    <t>2,4225</t>
  </si>
  <si>
    <t>Итоги по разделу 2 Кустарник :</t>
  </si>
  <si>
    <t xml:space="preserve">               эксплуатация машин и механизмов</t>
  </si>
  <si>
    <t xml:space="preserve">               накладные расходы</t>
  </si>
  <si>
    <t xml:space="preserve">               сметная прибыль</t>
  </si>
  <si>
    <t xml:space="preserve">  Итого по разделу 2 Кустарник</t>
  </si>
  <si>
    <t xml:space="preserve">Симонова В.К. </t>
  </si>
  <si>
    <t>"Всесезонный  туристско-реакреционный комплекс " Эльбрус", Кабардино-Балкарская Республика. Открытая плоскостная парковка на 800 машино-мест"</t>
  </si>
  <si>
    <t>ЛОКАЛЬНЫЙ СМЕТНЫЙ РАСЧЕТ (СМЕТА) № 01-01-02</t>
  </si>
  <si>
    <t>Д-ДРП-20-016-СПЗУ</t>
  </si>
  <si>
    <t>(85,81)</t>
  </si>
  <si>
    <t>(0,1)</t>
  </si>
  <si>
    <t>Раздел 1. Срезка растительного слоя с перемещением во временный отвал</t>
  </si>
  <si>
    <t>ФЕР01-01-032-06</t>
  </si>
  <si>
    <t>Разработка грунта с перемещением до 10 м бульдозерами мощностью: 243 кВт (330 л.с.), группа грунтов 2</t>
  </si>
  <si>
    <t>1000 м3</t>
  </si>
  <si>
    <t>3,849</t>
  </si>
  <si>
    <t>Объем=3849 / 1000</t>
  </si>
  <si>
    <t>2,6</t>
  </si>
  <si>
    <t>12,50925</t>
  </si>
  <si>
    <t>Приказ Минстроя России № 812/пр от 21.12.2020 Прил. п.1.1</t>
  </si>
  <si>
    <t>НР Земляные работы, выполняемые механизированным способом</t>
  </si>
  <si>
    <t>92</t>
  </si>
  <si>
    <t>Приказ Минстроя России № 774/пр от 11.12.2020 Прил. п.1.1</t>
  </si>
  <si>
    <t>СП Земляные работы, выполняемые механизированным способом</t>
  </si>
  <si>
    <t>46</t>
  </si>
  <si>
    <t>ФЕР01-01-021-01</t>
  </si>
  <si>
    <t>Разработка грунта в котлованах объемом от 3000 до 7000 м3 с погрузкой на автомобили-самосвалы экскаватором с ковшом вместимостью 1,0 м3, группа грунтов: 1</t>
  </si>
  <si>
    <t>91,41375</t>
  </si>
  <si>
    <t>ФССЦпг-03-21-01-013</t>
  </si>
  <si>
    <t>Перевозка грузов автомобилями-самосвалами грузоподъемностью 10 т работающих вне карьера на расстояние: I класс груза до 13 км</t>
  </si>
  <si>
    <t>5388,6</t>
  </si>
  <si>
    <t>Объем=3849*1,4</t>
  </si>
  <si>
    <t>ФЕР01-01-016-01</t>
  </si>
  <si>
    <t>Работа на отвале, группа грунтов: 1</t>
  </si>
  <si>
    <t>М</t>
  </si>
  <si>
    <t>2,72</t>
  </si>
  <si>
    <t>13,0866</t>
  </si>
  <si>
    <t>3,03</t>
  </si>
  <si>
    <t>14,5780875</t>
  </si>
  <si>
    <t xml:space="preserve">               Материалы</t>
  </si>
  <si>
    <t xml:space="preserve">                    материалы</t>
  </si>
  <si>
    <t>ОБЪЕКТНЫЙ СМЕТНЫЙ РАСЧЕТ (СМЕТА) № ОС-01-02</t>
  </si>
  <si>
    <t>м</t>
  </si>
  <si>
    <t>Составлен(а) в базисном (текущем) уровне цен  01.01.2000г.</t>
  </si>
  <si>
    <t>01-02-01</t>
  </si>
  <si>
    <t>01-02-02</t>
  </si>
  <si>
    <t>Составлен(а) в базисном (текущем) уровне цен  2 квартал 2021г.</t>
  </si>
  <si>
    <t>"Всесезонный туристско-реакреционный комплекс " Эльбрус", Кабардино-Балкарская Республика. Открытая плоскостная парковка на 800 машино-мест"</t>
  </si>
  <si>
    <t>ЛОКАЛЬНЫЙ СМЕТНЫЙ РАСЧЕТ (СМЕТА) № 01-02-01</t>
  </si>
  <si>
    <t>Д-ДРП-20-016-ИОС2.2, Д-ДРП-20-016-СПЗУ-ВР3</t>
  </si>
  <si>
    <t>(33,62)</t>
  </si>
  <si>
    <t>(3,23)</t>
  </si>
  <si>
    <t>Раздел 1. Демонтаж существующего стального водопровода Ду300 (Д-ДРП-20-016-ИОС2.2)</t>
  </si>
  <si>
    <t>Земляные работы</t>
  </si>
  <si>
    <t>ФЕР01-01-008-05</t>
  </si>
  <si>
    <t>Разработка грунта в отвал в котлованах объемом от 1000 до 3000 м3 экскаваторами с ковшом вместимостью 0,65 м3, группа грунтов: 5</t>
  </si>
  <si>
    <t>0,9049</t>
  </si>
  <si>
    <t>Объем=904,9 / 1000</t>
  </si>
  <si>
    <t>Приказ от 04.09.2019 № 519/пр прил.2 табл.1 п.8.1</t>
  </si>
  <si>
    <t>Производство работ осуществляется в горной местности: на высоте от 1500 до 2500 м над уровнем моря ОЗП=1,25; ЭМ=1,25 к расх.; ЗПМ=1,25; ТЗ=1,25; ТЗМ=1,25</t>
  </si>
  <si>
    <t>48</t>
  </si>
  <si>
    <t>54,294</t>
  </si>
  <si>
    <t>ФЕР01-01-009-10</t>
  </si>
  <si>
    <t>Разработка грунта в траншеях экскаватором «обратная лопата» с ковшом вместимостью 0,65 (0,5-1) м3, группа грунтов: 4 (обратная засыпка)</t>
  </si>
  <si>
    <t>33</t>
  </si>
  <si>
    <t>37,327125</t>
  </si>
  <si>
    <t>ФЕР01-02-005-02</t>
  </si>
  <si>
    <t>Уплотнение грунта пневматическими трамбовками, группа грунтов: 3-4</t>
  </si>
  <si>
    <t>100 м3</t>
  </si>
  <si>
    <t>9,049</t>
  </si>
  <si>
    <t>Объем=904,9 / 100</t>
  </si>
  <si>
    <t>14,96</t>
  </si>
  <si>
    <t>169,2163</t>
  </si>
  <si>
    <t>3,13</t>
  </si>
  <si>
    <t>35,4042125</t>
  </si>
  <si>
    <t>Демонтаж трубы</t>
  </si>
  <si>
    <t>ФЕР22-01-011-08</t>
  </si>
  <si>
    <t>Укладка стальных водопроводных труб с гидравлическим испытанием диаметром: 300 мм. (Демонтаж существующего трубопровода Д325х5).</t>
  </si>
  <si>
    <t>км</t>
  </si>
  <si>
    <t>0,457</t>
  </si>
  <si>
    <t>Объем=457/1000</t>
  </si>
  <si>
    <t>Приказ от 04.09.2019 № 519/пр табл.2 п.5</t>
  </si>
  <si>
    <t>Демонтаж (разборка) сетей инженерно-технического обеспечения ОЗП=0,6; ЭМ=0,6 к расх.; ЗПМ=0,6; МАТ=0 к расх.; ТЗ=0,6; ТЗМ=0,6</t>
  </si>
  <si>
    <t>0,75</t>
  </si>
  <si>
    <t>0</t>
  </si>
  <si>
    <t>23.5.02.02</t>
  </si>
  <si>
    <t>Трубы стальные</t>
  </si>
  <si>
    <t>1004</t>
  </si>
  <si>
    <t>504</t>
  </si>
  <si>
    <t>172,746</t>
  </si>
  <si>
    <t>148,34</t>
  </si>
  <si>
    <t>50,843535</t>
  </si>
  <si>
    <t>Приказ Минстроя России № 812/пр от 21.12.2020 Прил. п.18</t>
  </si>
  <si>
    <t>НР Наружные сети водопровода, канализации, теплоснабжения, газопровода</t>
  </si>
  <si>
    <t>117</t>
  </si>
  <si>
    <t>Приказ Минстроя России № 774/пр от 11.12.2020 Прил. п.18</t>
  </si>
  <si>
    <t>СП Наружные сети водопровода, канализации, теплоснабжения, газопровода</t>
  </si>
  <si>
    <t>74</t>
  </si>
  <si>
    <t>ФССЦпг-01-01-01-014</t>
  </si>
  <si>
    <t>Погрузо-разгрузочные работы при автомобильных перевозках: Погрузка изделий металлических (армокаркасы, заготовки трубные и др.)</t>
  </si>
  <si>
    <t>18,13833</t>
  </si>
  <si>
    <t>(Погрузо-разгрузочные работы)</t>
  </si>
  <si>
    <t>Объем=457*39,69/1000</t>
  </si>
  <si>
    <t>ФССЦпг-03-02-01-130</t>
  </si>
  <si>
    <t>Перевозка грузов автомобилями бортовыми грузоподъемностью до 5 т на расстояние: I класс груза до 130 км</t>
  </si>
  <si>
    <t xml:space="preserve">               оплата труда</t>
  </si>
  <si>
    <t xml:space="preserve">               материалы</t>
  </si>
  <si>
    <t>ЛОКАЛЬНЫЙ СМЕТНЫЙ РАСЧЕТ (СМЕТА) № 01-02-02</t>
  </si>
  <si>
    <t>Раздел 1. Разборка существующего укрепления кюветов (Д-ДРП-20-016-СПЗУ-ВР3)</t>
  </si>
  <si>
    <t>ФЕР27-03-008-05</t>
  </si>
  <si>
    <t>Разборка покрытий и оснований: цементно-бетонных</t>
  </si>
  <si>
    <t>57,42</t>
  </si>
  <si>
    <t>12,43</t>
  </si>
  <si>
    <t>Приказ Минстроя России № 812/пр от 21.12.2020 Прил. п.21</t>
  </si>
  <si>
    <t>НР Автомобильные дороги</t>
  </si>
  <si>
    <t>126</t>
  </si>
  <si>
    <t>Приказ Минстроя России № 774/пр от 11.12.2020 Прил. п.21</t>
  </si>
  <si>
    <t>СП Автомобильные дороги</t>
  </si>
  <si>
    <t>95</t>
  </si>
  <si>
    <t xml:space="preserve">форма №2П
</t>
  </si>
  <si>
    <t>Наименование объекта изысканий:</t>
  </si>
  <si>
    <t>Заказчик:</t>
  </si>
  <si>
    <t>ООО "Национальные канатные дороги"</t>
  </si>
  <si>
    <t xml:space="preserve">Подрядчик: </t>
  </si>
  <si>
    <t>ООО "ГТ Север"</t>
  </si>
  <si>
    <t>Обоснование стоимости</t>
  </si>
  <si>
    <t>Расчет стоимости</t>
  </si>
  <si>
    <t>Стоимость, руб.</t>
  </si>
  <si>
    <t>Раздел</t>
  </si>
  <si>
    <t>Полевые работы</t>
  </si>
  <si>
    <t>1.1</t>
  </si>
  <si>
    <t>Коэффициенты</t>
  </si>
  <si>
    <t>Стадия: Изыскания</t>
  </si>
  <si>
    <t>Выполнение изысканий в горных и высокогорных районах. Горный и высокогорный район с абсолютными высотами поверхности участка над уровнем моря от 1500 м до 1700 м</t>
  </si>
  <si>
    <t>K1 = 1.1
СБЦ на инж.из. для стр-ва Инженерно-гидрографические работы. Инженерно-гидрометеорологические изыскания на реках, 2000 г., ОУ п. 8а табл. 1 п.1 (Ценообразующий)</t>
  </si>
  <si>
    <t>1.2</t>
  </si>
  <si>
    <t>1.3</t>
  </si>
  <si>
    <t>1.4</t>
  </si>
  <si>
    <t>Итого Полевые работы:</t>
  </si>
  <si>
    <t>1.5</t>
  </si>
  <si>
    <t>Всего Полевые работы:</t>
  </si>
  <si>
    <t>Камеральные работы</t>
  </si>
  <si>
    <t>2.1</t>
  </si>
  <si>
    <t>2.2</t>
  </si>
  <si>
    <t>2.3</t>
  </si>
  <si>
    <t>Итого Камеральные работы:</t>
  </si>
  <si>
    <t>Всего Камеральные работы:</t>
  </si>
  <si>
    <t>Итого по смете:</t>
  </si>
  <si>
    <t>Индекс на II квартал 2021 года на изыскательские работы к уровню цен на 01.01.2001</t>
  </si>
  <si>
    <t>Письмо Минстроя России от 04.05.2021 №18410-ИФ/09</t>
  </si>
  <si>
    <t xml:space="preserve">Коэф - т 4.66 </t>
  </si>
  <si>
    <t>Всего по смете:</t>
  </si>
  <si>
    <t>Всего по смете (руб.):</t>
  </si>
  <si>
    <t>И.В.Тимофеева</t>
  </si>
  <si>
    <t>Терминал оплаты</t>
  </si>
  <si>
    <t>ОБЪЕКТНЫЙ СМЕТНЫЙ РАСЧЕТ (СМЕТА) № ОС-02-01</t>
  </si>
  <si>
    <t>02-01-01</t>
  </si>
  <si>
    <t>Технологические решения. Комплексная автоматизированная парковочная система.</t>
  </si>
  <si>
    <t>02-01-02</t>
  </si>
  <si>
    <t>Технологические решения.</t>
  </si>
  <si>
    <t>02-01-03</t>
  </si>
  <si>
    <t>Открытая плоскостная парковка на 800 машино/мест"</t>
  </si>
  <si>
    <t>02-01-04</t>
  </si>
  <si>
    <t>Архитектурные решения.</t>
  </si>
  <si>
    <t>02-01-05</t>
  </si>
  <si>
    <t>Конструктивные решения.</t>
  </si>
  <si>
    <t>02-01-06</t>
  </si>
  <si>
    <t>02-01-07</t>
  </si>
  <si>
    <t>Силовое электрооборудование и электроосвещение</t>
  </si>
  <si>
    <t>Технологические решения</t>
  </si>
  <si>
    <t>ЛОКАЛЬНЫЙ СМЕТНЫЙ РАСЧЕТ (СМЕТА) № 02-01-01</t>
  </si>
  <si>
    <t>Д-ДРП-20-016-ИОС7.2-ТХ2</t>
  </si>
  <si>
    <t>01.01.2000г. с переводом в текущие цены на 2 кв.2021г.</t>
  </si>
  <si>
    <t>(25,94)</t>
  </si>
  <si>
    <t>(2323,84)</t>
  </si>
  <si>
    <t>Раздел 1. Стоянка автомобилей №1</t>
  </si>
  <si>
    <t>шт</t>
  </si>
  <si>
    <t>10,3</t>
  </si>
  <si>
    <t>0,83</t>
  </si>
  <si>
    <t>Приказ Минстроя России № 812/пр от 21.12.2020 Прил. п.51.2</t>
  </si>
  <si>
    <t>НР Монтаж радиотелевизионного и электронного оборудования</t>
  </si>
  <si>
    <t>Приказ Минстроя России № 774/пр от 11.12.2020 Прил. п.51.2</t>
  </si>
  <si>
    <t>СП Монтаж радиотелевизионного и электронного оборудования</t>
  </si>
  <si>
    <t>53</t>
  </si>
  <si>
    <t>2
О</t>
  </si>
  <si>
    <t>ТЦ_101_77_7717159534_01.03.2021_01, Том 11.4, с.52, п.174</t>
  </si>
  <si>
    <t>Стойка въезда RPS 01‐1.030100000</t>
  </si>
  <si>
    <t>шт.</t>
  </si>
  <si>
    <t>1,012</t>
  </si>
  <si>
    <t>(Оборудование)</t>
  </si>
  <si>
    <t>Приказ от 04.08.02020 №421/пр п.92в</t>
  </si>
  <si>
    <t>Заготовительно-складские расходы ПЗ=1,012 (ОЗП=1,012; ЭМ=1,012; МАТ=1,012)</t>
  </si>
  <si>
    <t>4
О</t>
  </si>
  <si>
    <t>ТЦ_101_77_7717159534_01.03.2021_01, Том 11.4, с.52, п.175</t>
  </si>
  <si>
    <t>Стойка выезда RPS 01‐01.01100000</t>
  </si>
  <si>
    <t>ФЕР09-08-003-01</t>
  </si>
  <si>
    <t>Монтаж автоматического дорожного шлагбаума для контроля проезда шириной до: 4 м</t>
  </si>
  <si>
    <t>компл</t>
  </si>
  <si>
    <t>04.1.02.05</t>
  </si>
  <si>
    <t>Смеси бетонные тяжелого бетона</t>
  </si>
  <si>
    <t>м3</t>
  </si>
  <si>
    <t>0,375</t>
  </si>
  <si>
    <t>1,125</t>
  </si>
  <si>
    <t>5,67</t>
  </si>
  <si>
    <t>21,2625</t>
  </si>
  <si>
    <t>0,12</t>
  </si>
  <si>
    <t>0,45</t>
  </si>
  <si>
    <t>Приказ Минстроя России № 812/пр от 21.12.2020 Прил. п.9</t>
  </si>
  <si>
    <t>НР Строительные металлические конструкции</t>
  </si>
  <si>
    <t>93</t>
  </si>
  <si>
    <t>Приказ Минстроя России № 774/пр от 11.12.2020 Прил. п.9</t>
  </si>
  <si>
    <t>СП Строительные металлические конструкции</t>
  </si>
  <si>
    <t>62</t>
  </si>
  <si>
    <t>ФССЦ-04.1.02.05-0006</t>
  </si>
  <si>
    <t>Смеси бетонные тяжелого бетона (БСТ), класс В15 (М200)</t>
  </si>
  <si>
    <t>(Бетонные и железобетонные монолитные конструкции и работы в строительстве)</t>
  </si>
  <si>
    <t>ФССЦ Тех.ч. Прил. 15 таб.2</t>
  </si>
  <si>
    <t>Смеси бетонные, БСГ, тяжелого бетона  класс: B15 (М200), F150, W6 (Надбавка на водонепроницаемость)</t>
  </si>
  <si>
    <t>Цена=515,43*0,035</t>
  </si>
  <si>
    <t>8
О</t>
  </si>
  <si>
    <t>ТЦ_62.7.01.04_77_7717159534_01.03.2021_01, Том 11.4, с.52, п.176</t>
  </si>
  <si>
    <t>Шлагбаум RPS 03-01.001 (стрела 3000х80)</t>
  </si>
  <si>
    <t>компл.</t>
  </si>
  <si>
    <t>10
О</t>
  </si>
  <si>
    <t>ТЦ_101_77_7717159534_01.03.2021_01, Том 11.4, с.53, п.178</t>
  </si>
  <si>
    <t>Автоматический терминал оплаты RPS CM Light 02-03.20200011 (ККМ, оплата наличными, Банковский модуль)</t>
  </si>
  <si>
    <t>ФЕР01-02-058-04</t>
  </si>
  <si>
    <t>Копание ям вручную без креплений для стоек и столбов: без откосов глубиной до 0,7 м, группа грунтов 4</t>
  </si>
  <si>
    <t>0,0035</t>
  </si>
  <si>
    <t>Объем=0,35 / 100</t>
  </si>
  <si>
    <t>615</t>
  </si>
  <si>
    <t>2,690625</t>
  </si>
  <si>
    <t>Приказ Минстроя России № 812/пр от 21.12.2020 Прил. п.1.2</t>
  </si>
  <si>
    <t>НР Земляные работы, выполняемые ручным способом</t>
  </si>
  <si>
    <t>Приказ Минстроя России № 774/пр от 11.12.2020 Прил. п.1.2</t>
  </si>
  <si>
    <t>СП Земляные работы, выполняемые ручным способом</t>
  </si>
  <si>
    <t>40</t>
  </si>
  <si>
    <t>ФЕР06-02-001-01</t>
  </si>
  <si>
    <t>Устройство бетонных фундаментов общего назначения объемом: до 5 м3</t>
  </si>
  <si>
    <t>102</t>
  </si>
  <si>
    <t>0,357</t>
  </si>
  <si>
    <t>394</t>
  </si>
  <si>
    <t>1,72375</t>
  </si>
  <si>
    <t>35,87</t>
  </si>
  <si>
    <t>0,1569313</t>
  </si>
  <si>
    <t>Приказ Минстроя России № 812/пр от 21.12.2020 Прил. п.6</t>
  </si>
  <si>
    <t>НР Бетонные и железобетонные монолитные конструкции и работы в строительстве</t>
  </si>
  <si>
    <t>Приказ Минстроя России № 774/пр от 11.12.2020 Прил. п.6</t>
  </si>
  <si>
    <t>СП Бетонные и железобетонные монолитные конструкции и работы в строительстве</t>
  </si>
  <si>
    <t>58</t>
  </si>
  <si>
    <t>0,35</t>
  </si>
  <si>
    <t>ФЕР33-02-013-11</t>
  </si>
  <si>
    <t>Установка стальных: конструкций под оборудование массой до 0,2 т</t>
  </si>
  <si>
    <t>т</t>
  </si>
  <si>
    <t>0,02</t>
  </si>
  <si>
    <t>Объем=1*20/1000</t>
  </si>
  <si>
    <t>01.7.15.03-0042</t>
  </si>
  <si>
    <t>Болты с гайками и шайбами строительные</t>
  </si>
  <si>
    <t>кг</t>
  </si>
  <si>
    <t>22.2.02.07</t>
  </si>
  <si>
    <t>Конструкции стальные крепления электрооборудования ОРУ</t>
  </si>
  <si>
    <t>1,03</t>
  </si>
  <si>
    <t>0,0206</t>
  </si>
  <si>
    <t>17,51</t>
  </si>
  <si>
    <t>0,43775</t>
  </si>
  <si>
    <t>4,68</t>
  </si>
  <si>
    <t>0,117</t>
  </si>
  <si>
    <t>Приказ Минстроя России № 812/пр от 21.12.2020 Прил. п.27</t>
  </si>
  <si>
    <t>НР Линии электропередачи</t>
  </si>
  <si>
    <t>103</t>
  </si>
  <si>
    <t>Приказ Минстроя России № 774/пр от 11.12.2020 Прил. п.27</t>
  </si>
  <si>
    <t>СП Линии электропередачи</t>
  </si>
  <si>
    <t>60</t>
  </si>
  <si>
    <t>ТЦ_01.5.03.05_77_7717159534_01.03.2021_01, Том 11.4, с.54, п.184</t>
  </si>
  <si>
    <t>Столб крепления табло (крепеж, комплект)</t>
  </si>
  <si>
    <t>1,02</t>
  </si>
  <si>
    <t>(Материалы для строительных работ)</t>
  </si>
  <si>
    <t>Приказ от 04.08.02020 №421/пр п.92а</t>
  </si>
  <si>
    <t>Заготовительно-складские расходы ПЗ=1,02 (ОЗП=1,02; ЭМ=1,02; МАТ=1,02)</t>
  </si>
  <si>
    <t>ФЕРм10-04-101-15</t>
  </si>
  <si>
    <t>Транспарант световой (табло)</t>
  </si>
  <si>
    <t>2,5</t>
  </si>
  <si>
    <t>18
О</t>
  </si>
  <si>
    <t>ТЦ_62.7.01.01_77_7717159534_01.03.2021_01, Том 11.4, с.54, п.183</t>
  </si>
  <si>
    <t>Въездное табло свободных мест InfoTab 3 знака</t>
  </si>
  <si>
    <t>ФЕР33-02-013-10</t>
  </si>
  <si>
    <t>Установка стальных: конструкций под оборудование массой до 0,01 т</t>
  </si>
  <si>
    <t>0,04</t>
  </si>
  <si>
    <t>Объем=4*10/1000</t>
  </si>
  <si>
    <t>0,0412</t>
  </si>
  <si>
    <t>21,63</t>
  </si>
  <si>
    <t>1,0815</t>
  </si>
  <si>
    <t>20</t>
  </si>
  <si>
    <t>ТЦ_01.5.03.05_77_7717159534_01.03.2021_01, Том 11.4, с.109, п.393</t>
  </si>
  <si>
    <t>Столб крепления IP-камеры</t>
  </si>
  <si>
    <t>21</t>
  </si>
  <si>
    <t>ФЕРм10-10-001-02</t>
  </si>
  <si>
    <t>Камеры видеонаблюдения: на кронштейне</t>
  </si>
  <si>
    <t>3,11</t>
  </si>
  <si>
    <t>15,55</t>
  </si>
  <si>
    <t>Приказ Минстроя России № 812/пр от 21.12.2020 Прил. п.28</t>
  </si>
  <si>
    <t>НР Сооружения связи, радиовещания и телевидения</t>
  </si>
  <si>
    <t>98</t>
  </si>
  <si>
    <t>Приказ Минстроя России № 774/пр от 11.12.2020 Прил. п.28</t>
  </si>
  <si>
    <t>СП Сооружения связи, радиовещания и телевидения</t>
  </si>
  <si>
    <t>22
О</t>
  </si>
  <si>
    <t>ТЦ_61.3.01.02_77_7717159534_01.03.2021_01, Том 11.4, с.108, п.391</t>
  </si>
  <si>
    <t>IP-камера для распознавания номеров</t>
  </si>
  <si>
    <t>23
О</t>
  </si>
  <si>
    <t>ТЦ_101_77_7717159534_01.03.2021_01, Том 11.4, с.109, п.392</t>
  </si>
  <si>
    <t>ПО распознавания номеров RPS (РФ)</t>
  </si>
  <si>
    <t>Итоги по разделу 1 Стоянка автомобилей №1 :</t>
  </si>
  <si>
    <t xml:space="preserve">     Монтажные работы</t>
  </si>
  <si>
    <t xml:space="preserve">     Оборудование</t>
  </si>
  <si>
    <t xml:space="preserve">  Итого по разделу 1 Стоянка автомобилей №1</t>
  </si>
  <si>
    <t>Раздел 2. Стоянка автомобилей №2</t>
  </si>
  <si>
    <t>24</t>
  </si>
  <si>
    <t>25
О</t>
  </si>
  <si>
    <t>26</t>
  </si>
  <si>
    <t>27
О</t>
  </si>
  <si>
    <t>28</t>
  </si>
  <si>
    <t>29</t>
  </si>
  <si>
    <t>30</t>
  </si>
  <si>
    <t>31
О</t>
  </si>
  <si>
    <t>32</t>
  </si>
  <si>
    <t>33
О</t>
  </si>
  <si>
    <t>34</t>
  </si>
  <si>
    <t>35</t>
  </si>
  <si>
    <t>36</t>
  </si>
  <si>
    <t>37</t>
  </si>
  <si>
    <t>38</t>
  </si>
  <si>
    <t>39</t>
  </si>
  <si>
    <t>41
О</t>
  </si>
  <si>
    <t>42</t>
  </si>
  <si>
    <t>43</t>
  </si>
  <si>
    <t>44</t>
  </si>
  <si>
    <t>45
О</t>
  </si>
  <si>
    <t>46
О</t>
  </si>
  <si>
    <t>Итоги по разделу 2 Стоянка автомобилей №2 :</t>
  </si>
  <si>
    <t xml:space="preserve">  Итого по разделу 2 Стоянка автомобилей №2</t>
  </si>
  <si>
    <t>Раздел 3. Стоянка автомобилей №3</t>
  </si>
  <si>
    <t>47</t>
  </si>
  <si>
    <t>48
О</t>
  </si>
  <si>
    <t>49</t>
  </si>
  <si>
    <t>50
О</t>
  </si>
  <si>
    <t>51</t>
  </si>
  <si>
    <t>52</t>
  </si>
  <si>
    <t>54
О</t>
  </si>
  <si>
    <t>55</t>
  </si>
  <si>
    <t>56
О</t>
  </si>
  <si>
    <t>57</t>
  </si>
  <si>
    <t>59</t>
  </si>
  <si>
    <t>61</t>
  </si>
  <si>
    <t>63</t>
  </si>
  <si>
    <t>64
О</t>
  </si>
  <si>
    <t>65</t>
  </si>
  <si>
    <t>66</t>
  </si>
  <si>
    <t>67</t>
  </si>
  <si>
    <t>68
О</t>
  </si>
  <si>
    <t>69
О</t>
  </si>
  <si>
    <t>Итоги по разделу 3 Стоянка автомобилей №3 :</t>
  </si>
  <si>
    <t xml:space="preserve">  Итого по разделу 3 Стоянка автомобилей №3</t>
  </si>
  <si>
    <t>Раздел 4. Центральное оборудование</t>
  </si>
  <si>
    <t>70</t>
  </si>
  <si>
    <t>ФЕРм11-04-008-02</t>
  </si>
  <si>
    <t>Съемные и выдвижные блоки (модули, ячейки, ТЭЗ), масса: до 10 кг</t>
  </si>
  <si>
    <t>2,06</t>
  </si>
  <si>
    <t>2,575</t>
  </si>
  <si>
    <t>0,01</t>
  </si>
  <si>
    <t>0,0125</t>
  </si>
  <si>
    <t>71
О</t>
  </si>
  <si>
    <t>ТЦ_61.3.05.04_77_7717159534_01.03.2021_01, Том 11.4, с.54, п.182</t>
  </si>
  <si>
    <t>Сервер  системы RPS</t>
  </si>
  <si>
    <t>72
О</t>
  </si>
  <si>
    <t>ТЦ_61.2.07.08_77_7717159534_01.03.2021_01, Том 11.4, с.54, п.181</t>
  </si>
  <si>
    <t>Серверное ПО (лицензии) на парковку. Программным обеспечением RPS</t>
  </si>
  <si>
    <t>73</t>
  </si>
  <si>
    <t>ФЕРм11-04-002-01</t>
  </si>
  <si>
    <t>Аппарат настольный, масса: до 0,015 т (Рабочая станция, считыватель)</t>
  </si>
  <si>
    <t>Объем=1+1+1</t>
  </si>
  <si>
    <t>3,8625</t>
  </si>
  <si>
    <t>0,16</t>
  </si>
  <si>
    <t>0,6</t>
  </si>
  <si>
    <t>74
О</t>
  </si>
  <si>
    <t>ТЦ_61.3.05.04_77_7717159534_01.03.2021_01, Том 11.4, с.53, п.180</t>
  </si>
  <si>
    <t>Hабочая станция оператора (моноблок HP 19,5' со считывателем Omnikey 5422)</t>
  </si>
  <si>
    <t>75
О</t>
  </si>
  <si>
    <t>ТЦ_61.2.07.08_77_7717159534_01.03.2021_01Том 11.4, с.55, п.185</t>
  </si>
  <si>
    <t>RFID считыватель RPS с преобразователем Wiegand</t>
  </si>
  <si>
    <t>76
О</t>
  </si>
  <si>
    <t>ТЦ_61.3.05.04_77_7717159534_01.03.2021_01 Том 11.4, с.53, п.179</t>
  </si>
  <si>
    <t>Мобильная ручная касса ККТ "MSPOS-E-Ф" v.001/ФН</t>
  </si>
  <si>
    <t>Итоги по разделу 4 Центральное оборудование :</t>
  </si>
  <si>
    <t xml:space="preserve">  Итого по разделу 4 Центральное оборудование</t>
  </si>
  <si>
    <t>"Всесезонный туристско-рекреационный комплекс «Эльбрус», Кабардино Балкарская Республика. Открытая плоскостная парковка на 800 машино-мест".</t>
  </si>
  <si>
    <t>Открытая плоскостная парковка на 800 машино-мест.</t>
  </si>
  <si>
    <t>ЛОКАЛЬНЫЙ СМЕТНЫЙ РАСЧЕТ (СМЕТА) № 02-01-02</t>
  </si>
  <si>
    <t>Д-ДРП-20-016-ИОС7.1-ТХ1</t>
  </si>
  <si>
    <t>Раздел 1. Оборудование и материалы поставляемые заказчиком</t>
  </si>
  <si>
    <t>Раздевалка, комната обогрева</t>
  </si>
  <si>
    <t>ФЕР10-01-059-01</t>
  </si>
  <si>
    <t>Установка столов, шкафов под мойки, холодильных шкафов и др.</t>
  </si>
  <si>
    <t>Объем=1 / 100</t>
  </si>
  <si>
    <t>100</t>
  </si>
  <si>
    <t>67,7</t>
  </si>
  <si>
    <t>0,84625</t>
  </si>
  <si>
    <t>4,2</t>
  </si>
  <si>
    <t>0,0525</t>
  </si>
  <si>
    <t>Приказ Минстроя России № 812/пр от 21.12.2020 Прил. п.10</t>
  </si>
  <si>
    <t>НР Деревянные конструкции</t>
  </si>
  <si>
    <t>108</t>
  </si>
  <si>
    <t>Приказ Минстроя России № 774/пр от 11.12.2020 Прил. п.10</t>
  </si>
  <si>
    <t>СП Деревянные конструкции</t>
  </si>
  <si>
    <t>ТЦ_104_77_0278115269_01.03.2021_01 Том.11, с. 29 п.86</t>
  </si>
  <si>
    <t>Холодильник  Габариты: 600х600х1500 1ф;220В; 0,1 кВт Hi HTD015552W</t>
  </si>
  <si>
    <t>0,05</t>
  </si>
  <si>
    <t>Объем=(4+1) / 100</t>
  </si>
  <si>
    <t>4,23125</t>
  </si>
  <si>
    <t>0,2625</t>
  </si>
  <si>
    <t>ФЕР10-01-057-02</t>
  </si>
  <si>
    <t>Установка по месту шкафных и антресольных: полок</t>
  </si>
  <si>
    <t>100 м2</t>
  </si>
  <si>
    <t>0,0054</t>
  </si>
  <si>
    <t>Объем=(0,6*0,3*3) / 100</t>
  </si>
  <si>
    <t>м2</t>
  </si>
  <si>
    <t>0,54</t>
  </si>
  <si>
    <t>124</t>
  </si>
  <si>
    <t>0,837</t>
  </si>
  <si>
    <t>3,7</t>
  </si>
  <si>
    <t>0,024975</t>
  </si>
  <si>
    <t>5
О</t>
  </si>
  <si>
    <t>ТЦ_104_77_0278115269_01.03.2021_01, Том 11 с.29 п.87</t>
  </si>
  <si>
    <t>Кухонный гарнитур SANVUT КРАФТ 2200.217164. В комплекте:
шкаф нижний 400х470х824-1 шт . Шкаф нижний 600х470х824-3 шт. Шкаф верхний 400х300х950-1 шт. Шкаф верхний 600х300х950-3 шт. Столешница-2200х600х26-1 шт., мойка 450х450 и смеситель в комплекте</t>
  </si>
  <si>
    <t>6
О</t>
  </si>
  <si>
    <t>7
О</t>
  </si>
  <si>
    <t>9
О</t>
  </si>
  <si>
    <t>ТЦ_104_77_0278115269_01.03.2021_01 Том 11, с.30 п.91</t>
  </si>
  <si>
    <t>Стол обеденный
Габариты: 1200х800х730 Страйк, арт.432903, Комус</t>
  </si>
  <si>
    <t>ТЦ_104_77_0278115269_01.03.2021_01 Том 11 с.31 п. 92</t>
  </si>
  <si>
    <t>Стул Альфа, арт.138682, Комус</t>
  </si>
  <si>
    <t>11
О</t>
  </si>
  <si>
    <t>ТЦ_104_77_0278115269_01.03.2021_01 Том 11 с.31 п.93</t>
  </si>
  <si>
    <t>Диван трехместный 
Габариты: 1930х920х820 Bayu черный, арт.605036, Комус</t>
  </si>
  <si>
    <t>Приказ Минстроя России № 812/пр от 21.12.2020 Прил. п.51.1</t>
  </si>
  <si>
    <t>НР Прокладка и монтаж сетей связи</t>
  </si>
  <si>
    <t>90</t>
  </si>
  <si>
    <t>Приказ Минстроя России № 774/пр от 11.12.2020 Прил. п.51.1</t>
  </si>
  <si>
    <t>СП Прокладка и монтаж сетей связи</t>
  </si>
  <si>
    <t>10 шт</t>
  </si>
  <si>
    <t>0,2</t>
  </si>
  <si>
    <t>0,7</t>
  </si>
  <si>
    <t>Приказ Минстроя России № 812/пр от 21.12.2020 Прил. п.16</t>
  </si>
  <si>
    <t>НР Сантехнические работы - внутренние (трубопроводы, водопровод, канализация, отопление, газоснабжение, вентиляция и кондиционирование воздуха)</t>
  </si>
  <si>
    <t>121</t>
  </si>
  <si>
    <t>Приказ Минстроя России № 774/пр от 11.12.2020 Прил. п.16</t>
  </si>
  <si>
    <t>СП Сантехнические работы - внутренние (трубопроводы, водопровод, канализация, отопление, газоснабжение, вентиляция и кондиционирование воздуха)</t>
  </si>
  <si>
    <t>72</t>
  </si>
  <si>
    <t>16
О</t>
  </si>
  <si>
    <t>17
О</t>
  </si>
  <si>
    <t>Помещение сушки и хранения спецодежды пом. 04</t>
  </si>
  <si>
    <t>ТЦ_104_77_0278115269_01.03.2021_01 Том 11 с.32 п.98</t>
  </si>
  <si>
    <t>Шкаф сушильный для одежды
Габариты: 800х510х1812
1ф;220в; 2,0кВт/ Производительность вентилятора: 300 м3/час/ Диаметр фланца для отвода воздуха во внешнюю вытяжку: 120 или 125мм	ШСО 2000, Сталь-Мастер</t>
  </si>
  <si>
    <t>1,05248</t>
  </si>
  <si>
    <t>Методика №421 от 04.08.21 г. п.120</t>
  </si>
  <si>
    <t>К=4% На установку мебели (если соответствующее лабораторное оборудование и мебель поставляются в 
разобранном виде или необходима предварительная разборка и последующая
сборка при монтаже, при этом подключение к системам инженерно-технического
обеспечения не требуется, то сметные затраты на установку такого лабораторного
оборудования и мебели составляют 4,0 процента от их сметной стоимости; ПЗ=1,04 (ОЗП=1,04; ЭМ=1,04 к расх.; ЗПМ=1,04; МАТ=1,04 к расх.; ТЗ=1,04; ТЗМ=1,04)</t>
  </si>
  <si>
    <t>Помещение уборочного инвентаря пом. 05</t>
  </si>
  <si>
    <t>19
О</t>
  </si>
  <si>
    <t>ТЦ_104_77_0278115269_01.03.2021_01 Том 11 с. 33 п.99</t>
  </si>
  <si>
    <t>Шкаф для хозинвентаря
Габариты: 500х500х1860 ОД-321-К, ДиКом</t>
  </si>
  <si>
    <t>21
О</t>
  </si>
  <si>
    <t>Санитарный узел пом. 06</t>
  </si>
  <si>
    <t>23</t>
  </si>
  <si>
    <t>0,3</t>
  </si>
  <si>
    <t>1,05</t>
  </si>
  <si>
    <t>24
О</t>
  </si>
  <si>
    <t>26
О</t>
  </si>
  <si>
    <t>27</t>
  </si>
  <si>
    <t>28
О</t>
  </si>
  <si>
    <t>29
О</t>
  </si>
  <si>
    <t>30
О</t>
  </si>
  <si>
    <t>Раздевалка, комната обогрева 08</t>
  </si>
  <si>
    <t>31</t>
  </si>
  <si>
    <t>32
О</t>
  </si>
  <si>
    <t>35
О</t>
  </si>
  <si>
    <t>36
О</t>
  </si>
  <si>
    <t>37
О</t>
  </si>
  <si>
    <t>38
О</t>
  </si>
  <si>
    <t>39
О</t>
  </si>
  <si>
    <t>43
О</t>
  </si>
  <si>
    <t>44
О</t>
  </si>
  <si>
    <t>45</t>
  </si>
  <si>
    <t>47
О</t>
  </si>
  <si>
    <t>Помещение сушки и хранения спецодежды пом. 09</t>
  </si>
  <si>
    <t>Санитарный узел пом.10</t>
  </si>
  <si>
    <t>51
О</t>
  </si>
  <si>
    <t>52
О</t>
  </si>
  <si>
    <t>Помещение дежурного пом. 12</t>
  </si>
  <si>
    <t>53
О</t>
  </si>
  <si>
    <t>ТЦ_104_77_0278115269_01.03.2021_01 Том 11 с.33 п. 101</t>
  </si>
  <si>
    <t>Стол эргономичный Стратегия
Габариты: 1400х1000х735, арт.114303, Комус</t>
  </si>
  <si>
    <t>ТЦ_104_77_0278115269_01.03.2021_01 Том 11 с. 33 п. 102</t>
  </si>
  <si>
    <t>Подставка мобильная под системный блок, арт.114275, Комус</t>
  </si>
  <si>
    <t>ТЦ_104_77_0278115269_01.03.2021_01 Том 11 с.34 п. 103</t>
  </si>
  <si>
    <t>Тумба приставная
Габариты: 422х600х735, арт.114311, Комус</t>
  </si>
  <si>
    <t>Аппарат настольный, масса: до 0,015 т</t>
  </si>
  <si>
    <t>Объем=1+1</t>
  </si>
  <si>
    <t>0,4</t>
  </si>
  <si>
    <t>Приказ Минстроя России № 812/пр от 21.12.2020 Прил. п.53</t>
  </si>
  <si>
    <t>НР Приборы, средства автоматизации и вычислительной техники</t>
  </si>
  <si>
    <t>Приказ Минстроя России № 774/пр от 11.12.2020 Прил. п.53</t>
  </si>
  <si>
    <t>СП Приборы, средства автоматизации и вычислительной техники</t>
  </si>
  <si>
    <t>ТЦ_104_77_0278115269_01.03.2021_01 Том 11 с. 34 п. 104</t>
  </si>
  <si>
    <t>Принтер
Габариты: 365x368x268
1ф;220В; 0,55 кВт LaserJet Pro M104w, НР</t>
  </si>
  <si>
    <t>ТЦ_104_77_0278115269_01.03.2021_01 Том 11 с. 34 п. 106</t>
  </si>
  <si>
    <t>Кресло для оператора CH 9801, Комус</t>
  </si>
  <si>
    <t>ТЦ_104_77_0278115269_01.03.2021_01 Том 11 с. 35 п. 107</t>
  </si>
  <si>
    <t>Стул для посетителей Изо, арт.18543, Комус</t>
  </si>
  <si>
    <t>Объем=(1+1) / 100</t>
  </si>
  <si>
    <t>1,6925</t>
  </si>
  <si>
    <t>0,105</t>
  </si>
  <si>
    <t>ТЦ_104_77_0278115269_01.03.2021_01 Том 11 с. 35 п. 108</t>
  </si>
  <si>
    <t>Шкаф высокий 
Габариты: 836х435х2175, арт. 114320, Комус</t>
  </si>
  <si>
    <t>ТЦ_104_77_0278115269_01.03.2021_01 Том 11 с. 35 п. 109</t>
  </si>
  <si>
    <t>Шкаф для одежды широкий
Габариты: 836х435х2175, арт.114314, Комус</t>
  </si>
  <si>
    <t>Служебное помещение пом. 13.1</t>
  </si>
  <si>
    <t>75</t>
  </si>
  <si>
    <t>Служебное помещение пом. 13.2</t>
  </si>
  <si>
    <t>81</t>
  </si>
  <si>
    <t>86</t>
  </si>
  <si>
    <t>Установка столов, шкафов под мойки, холодильных шкафов и др.( установка подставки для лыж)</t>
  </si>
  <si>
    <t>90
О</t>
  </si>
  <si>
    <t>ТЦ_104_77_781587792_01.03.2021_01 Том 11 с.35 п.110</t>
  </si>
  <si>
    <t>Подставка для лыж 17 1640х600х1425 мм, арт.10007, Хоббика</t>
  </si>
  <si>
    <t>Открытая плоскостная парковка на 800 машино-мест</t>
  </si>
  <si>
    <t>ЛОКАЛЬНЫЙ СМЕТНЫЙ РАСЧЕТ (СМЕТА) № 02-01-03</t>
  </si>
  <si>
    <t>Раздел 1. Земляные работы</t>
  </si>
  <si>
    <t>ВОР п.2.1-2.2</t>
  </si>
  <si>
    <t>ФЕР01-01-032-08</t>
  </si>
  <si>
    <t>Разработка грунта с перемещением до 10 м бульдозерами мощностью: 243 кВт (330 л.с.), группа грунтов 4</t>
  </si>
  <si>
    <t>41,544</t>
  </si>
  <si>
    <t>Объем=41544 / 1000</t>
  </si>
  <si>
    <t>7,7</t>
  </si>
  <si>
    <t>399,861</t>
  </si>
  <si>
    <t>ФЕР01-01-046-03</t>
  </si>
  <si>
    <t>Устройство дорожных насыпей бульдозерами с перемещением грунта до 20 м, группа грунтов: 3</t>
  </si>
  <si>
    <t>35,168</t>
  </si>
  <si>
    <t>Объем=35168 / 1000</t>
  </si>
  <si>
    <t>16,58</t>
  </si>
  <si>
    <t>728,8568</t>
  </si>
  <si>
    <t>ФЕР01-02-001-01</t>
  </si>
  <si>
    <t>Уплотнение грунта прицепными катками на пневмоколесном ходу 25 т на первый проход по одному следу при толщине слоя: 25 см</t>
  </si>
  <si>
    <t>15,67</t>
  </si>
  <si>
    <t>688,8532</t>
  </si>
  <si>
    <t>ФЕР01-02-001-07</t>
  </si>
  <si>
    <t>На каждый последующий проход по одному следу добавлять: к расценке 01-02-001-01 (до 8 проходов)</t>
  </si>
  <si>
    <t>К=7 ПЗ=7 (ОЗП=7; ЭМ=7 к расх.; ЗПМ=7; МАТ=7 к расх.; ТЗ=7; ТЗМ=7)</t>
  </si>
  <si>
    <t>8,75</t>
  </si>
  <si>
    <t>1,37</t>
  </si>
  <si>
    <t>421,5764</t>
  </si>
  <si>
    <t>ФЕР01-01-019-04</t>
  </si>
  <si>
    <t>Разработка грунта с погрузкой на автомобили-самосвалы в котлованах объемом до 1000 м3 экскаваторами с ковшом вместимостью 0,5 м3, группа грунтов: 4</t>
  </si>
  <si>
    <t>6,376</t>
  </si>
  <si>
    <t>Объем=6376 / 1000</t>
  </si>
  <si>
    <t>454,29</t>
  </si>
  <si>
    <t>ФССЦпг-03-21-01-001</t>
  </si>
  <si>
    <t>Перевозка грузов автомобилями-самосвалами грузоподъемностью 10 т работающих вне карьера на расстояние: I класс груза до 1 км</t>
  </si>
  <si>
    <t>14664,8</t>
  </si>
  <si>
    <t>Объем=6376*2,3</t>
  </si>
  <si>
    <t>ФССЦпг-01-01-01-039</t>
  </si>
  <si>
    <t>Погрузо-разгрузочные работы при автомобильных перевозках: Погрузка грунта растительного слоя (земля, перегной) (из временного отвала)</t>
  </si>
  <si>
    <t>282,8</t>
  </si>
  <si>
    <t>Объем=202*1,4</t>
  </si>
  <si>
    <t>ФЕР01-01-035-05</t>
  </si>
  <si>
    <t>Засыпка траншей и котлованов с перемещением грунта до 5 м бульдозерами мощностью: 243 кВт (330 л.с.), группа грунтов 2 (внесение растительной земли)</t>
  </si>
  <si>
    <t>0,202</t>
  </si>
  <si>
    <t>Объем=202 / 1000</t>
  </si>
  <si>
    <t>1,59</t>
  </si>
  <si>
    <t>0,401475</t>
  </si>
  <si>
    <t>ФЕР01-01-019-05</t>
  </si>
  <si>
    <t>Разработка грунта с погрузкой на автомобили-самосвалы в котлованах объемом до 1000 м3 экскаваторами с ковшом вместимостью 0,5 м3, группа грунтов: 5</t>
  </si>
  <si>
    <t>Итоги по разделу 1 Земляные работы :</t>
  </si>
  <si>
    <t xml:space="preserve">  Итого по разделу 1 Земляные работы</t>
  </si>
  <si>
    <t>Раздел 2. Устройство парковки</t>
  </si>
  <si>
    <t>ФЕР27-04-001-02</t>
  </si>
  <si>
    <t>Устройство подстилающих и выравнивающих слоев оснований: из песчано-гравийной смеси, дресвы</t>
  </si>
  <si>
    <t>02.2.04.03</t>
  </si>
  <si>
    <t>Смесь песчано-гравийная</t>
  </si>
  <si>
    <t>14,4</t>
  </si>
  <si>
    <t>14,81</t>
  </si>
  <si>
    <t>ФССЦ-02.2.04.03-0003</t>
  </si>
  <si>
    <t>Смесь песчано-гравийная природная</t>
  </si>
  <si>
    <t>ФЕР27-04-003-05</t>
  </si>
  <si>
    <t>Устройство оснований и покрытий из песчано-гравийных или щебеночно-песчаных смесей: непрерывной гранулометрии С-4 и С-6, однослойных толщиной 15 см</t>
  </si>
  <si>
    <t>1000 м2</t>
  </si>
  <si>
    <t>Смесь песчано-гравийная, щебеночно-песчаная и т.п.</t>
  </si>
  <si>
    <t>29,71</t>
  </si>
  <si>
    <t>20,97</t>
  </si>
  <si>
    <t>ФЕР27-04-003-08</t>
  </si>
  <si>
    <t>На каждый 1 см изменения толщины слоя добавлять или исключать к расценкам с 27-04-003-05 по 27-04-003-07 (до 30 см)</t>
  </si>
  <si>
    <t>К=15 ПЗ=15 (ОЗП=15; ЭМ=15 к расх.; ЗПМ=15; МАТ=15 к расх.; ТЗ=15; ТЗМ=15)</t>
  </si>
  <si>
    <t>18,75</t>
  </si>
  <si>
    <t>0,46</t>
  </si>
  <si>
    <t>ФССЦ-02.2.04.04-0003</t>
  </si>
  <si>
    <t>Смеси готовые щебеночно-песчаные (ГОСТ 25607-2009) номер: С3, размер зерен 0-120 мм (нижний слой основания)</t>
  </si>
  <si>
    <t>ФЕР27-04-006-01</t>
  </si>
  <si>
    <t>Устройство оснований толщиной 15 см из щебня фракции 40-70 мм при укатке каменных материалов с пределом прочности на сжатие свыше 68,6 до 98,1 МПа (свыше 700 до 1000 кгс/см2): однослойных</t>
  </si>
  <si>
    <t>37,37</t>
  </si>
  <si>
    <t>ФЕР27-04-006-04</t>
  </si>
  <si>
    <t>На каждый 1 см изменения толщины слоя добавлять или исключать к расценкам 27-04-006-01, 27-04-006-02, 27-04-006-03 (До 18 см)</t>
  </si>
  <si>
    <t>К=3 ПЗ=3 (ОЗП=3; ЭМ=3 к расх.; ЗПМ=3; МАТ=3 к расх.; ТЗ=3; ТЗМ=3)</t>
  </si>
  <si>
    <t>3,75</t>
  </si>
  <si>
    <t>2,51</t>
  </si>
  <si>
    <t>ФЕР27-06-026-01</t>
  </si>
  <si>
    <t>Розлив вяжущих материалов</t>
  </si>
  <si>
    <t>01.2.01.01</t>
  </si>
  <si>
    <t>Битум</t>
  </si>
  <si>
    <t>0,66</t>
  </si>
  <si>
    <t>14,025</t>
  </si>
  <si>
    <t>ФССЦ-01.2.03.07-0021</t>
  </si>
  <si>
    <t>Эмульсия битумная</t>
  </si>
  <si>
    <t>ФЕР27-06-029-01</t>
  </si>
  <si>
    <t>Устройство покрытия из горячих асфальтобетонных смесей асфальтоукладчиками второго типоразмера, толщина слоя 4 см</t>
  </si>
  <si>
    <t>04.2.01.01</t>
  </si>
  <si>
    <t>Смесь асфальтобетонная</t>
  </si>
  <si>
    <t>20,86</t>
  </si>
  <si>
    <t>18,85</t>
  </si>
  <si>
    <t>22</t>
  </si>
  <si>
    <t>ФЕР27-06-030-01</t>
  </si>
  <si>
    <t>При изменении толщины покрытия на 0,5 см добавлять или исключать к расценке 27-06-029-01 (до 7 см)</t>
  </si>
  <si>
    <t>Толщина слоя 7 см ПЗ=6 (ОЗП=6; ЭМ=6 к расх.; ЗПМ=6; МАТ=6 к расх.; ТЗ=6; ТЗМ=6)</t>
  </si>
  <si>
    <t>7,5</t>
  </si>
  <si>
    <t>0,47</t>
  </si>
  <si>
    <t>ФССЦ-04.2.01.02-0003</t>
  </si>
  <si>
    <t>Смеси асфальтобетонные высокопористые крупнозернистые марка I</t>
  </si>
  <si>
    <t>3946</t>
  </si>
  <si>
    <t>7,3</t>
  </si>
  <si>
    <t>7,519</t>
  </si>
  <si>
    <t>6,0225</t>
  </si>
  <si>
    <t>25</t>
  </si>
  <si>
    <t>При изменении толщины покрытия на 0,5 см добавлять или исключать к расценке 27-06-029-01 (До 5 см)</t>
  </si>
  <si>
    <t>Толщина слоя 5 см ПЗ=4 (ОЗП=4; ЭМ=4 к расх.; ЗПМ=4; МАТ=4 к расх.; ТЗ=4; ТЗМ=4)</t>
  </si>
  <si>
    <t>ФССЦ-04.2.01.01-0047</t>
  </si>
  <si>
    <t>Смеси асфальтобетонные плотные мелкозернистые тип А марка II</t>
  </si>
  <si>
    <t>2941</t>
  </si>
  <si>
    <t>Установка бортового камня</t>
  </si>
  <si>
    <t>ФЕР27-04-001-01</t>
  </si>
  <si>
    <t>Устройство подстилающих и выравнивающих слоев оснований: из песка</t>
  </si>
  <si>
    <t>3,73</t>
  </si>
  <si>
    <t>Объем=373 / 100</t>
  </si>
  <si>
    <t>02.3.01.02</t>
  </si>
  <si>
    <t>Песок для строительных работ природный</t>
  </si>
  <si>
    <t>67,14</t>
  </si>
  <si>
    <t>13,88</t>
  </si>
  <si>
    <t>64,7155</t>
  </si>
  <si>
    <t>ФССЦ-02.3.01.02-0016</t>
  </si>
  <si>
    <t>Песок природный для строительных: работ средний с крупностью зерен размером свыше 5 мм-до 5% по массе</t>
  </si>
  <si>
    <t>410,3</t>
  </si>
  <si>
    <t>Объем=373*1,1</t>
  </si>
  <si>
    <t>3,07</t>
  </si>
  <si>
    <t>Объем=(307/0,1) / 1000</t>
  </si>
  <si>
    <t>126,6375</t>
  </si>
  <si>
    <t>143,407375</t>
  </si>
  <si>
    <t>На каждый 1 см изменения толщины слоя добавлять или исключать к расценкам 27-04-006-01, 27-04-006-02, 27-04-006-03 (До 10 см)</t>
  </si>
  <si>
    <t>-3,07</t>
  </si>
  <si>
    <t>Объем=-3070 / 1000</t>
  </si>
  <si>
    <t>К=5 ПЗ=5 (ОЗП=5; ЭМ=5 к расх.; ЗПМ=5; МАТ=5 к расх.; ТЗ=5; ТЗМ=5)</t>
  </si>
  <si>
    <t>-48,160625</t>
  </si>
  <si>
    <t>ФЕР27-02-010-02</t>
  </si>
  <si>
    <t>Установка бортовых камней бетонных: при других видах покрытий</t>
  </si>
  <si>
    <t>100 м</t>
  </si>
  <si>
    <t>21,39</t>
  </si>
  <si>
    <t>Объем=2139 / 100</t>
  </si>
  <si>
    <t>13.2.03.02</t>
  </si>
  <si>
    <t>Камни бортовые</t>
  </si>
  <si>
    <t>2139</t>
  </si>
  <si>
    <t>69,8</t>
  </si>
  <si>
    <t>1866,2775</t>
  </si>
  <si>
    <t>0,65</t>
  </si>
  <si>
    <t>17,379375</t>
  </si>
  <si>
    <t>ФССЦ-05.2.03.03-0032</t>
  </si>
  <si>
    <t>Камни бортовые БР 100.30.15, бетон В30 (М400), объем 0,043 м3</t>
  </si>
  <si>
    <t>Итоги по разделу 2 Устройство парковки :</t>
  </si>
  <si>
    <t xml:space="preserve">  Итого по разделу 2 Устройство парковки</t>
  </si>
  <si>
    <t>Раздел 3. Доставка материалов ФССЦ сверх нормы 30 км. (Д-ДРП-20-016-ПОС, транспортная схема, л.2)</t>
  </si>
  <si>
    <t>Калькуляция №1, раздел 14</t>
  </si>
  <si>
    <t>Перевозка грузов автомобилями-самосвалами грузоподъемностью 10 т работающих вне карьера на расстояние L=110км от г. Баксан до площадки строительства за исключением 30 км, учтенных в СНБ (итого: 80 км): I класс груза (асфальтобетон)</t>
  </si>
  <si>
    <t>6887</t>
  </si>
  <si>
    <t>Объем=3946+2941</t>
  </si>
  <si>
    <t>Калькуляция №1, раздел 15</t>
  </si>
  <si>
    <t>Перевозка материалов бортовым автомобилем гп 5 т на расстояние L=110 км от г. Баксан  до площадки строительства, за исключением 30 км, учтенных в СНБ (итого: 80 км), I класс груза (битумная эмульсия, битум)</t>
  </si>
  <si>
    <t>25,029</t>
  </si>
  <si>
    <t>Объем=17,51+7,519</t>
  </si>
  <si>
    <t>Калькуляция №1, раздел 1</t>
  </si>
  <si>
    <t>Перевозка материалов автомобилями-самосвалами автомобилем гп 10 т на расстояние L=135 км от  Малкинского песчаного карьерера до площадки строительства за исключением 30 км, учтенных в СНБ (итого: 105 км),  I класс груза (песок, ПГС)</t>
  </si>
  <si>
    <t>Калькуляция №1, раздел 2</t>
  </si>
  <si>
    <t>Перевозка грузов автомобилями бортовыми грузоподъемностью до 5 т на расстояние L=130 км от г. Нальчик до площадки строительства, за исключением 30 км, учтенных в СНБ (итого: 100 км): I класс груза (бортовой камень)</t>
  </si>
  <si>
    <t>222,584</t>
  </si>
  <si>
    <t>Итоги по разделу 3 Доставка материалов ФССЦ сверх нормы 30 км. (Д-ДРП-20-016-ПОС, транспортная схема, л.2) :</t>
  </si>
  <si>
    <t xml:space="preserve">  Итого по разделу 3 Доставка материалов ФССЦ сверх нормы 30 км. (Д-ДРП-20-016-ПОС, транспортная схема, л.2)</t>
  </si>
  <si>
    <t>"Всесезонный туристско-рекреационный комплекс «Эльбрус», Кабардино-Балкарская Республика. Открытая плоскостная парковка на 800 машино-мест"</t>
  </si>
  <si>
    <t>Платежный терминал</t>
  </si>
  <si>
    <t>ЛОКАЛЬНЫЙ СМЕТНЫЙ РАСЧЕТ (СМЕТА) № 02-01-04</t>
  </si>
  <si>
    <t>Д-ДРП-20-016-АР2</t>
  </si>
  <si>
    <t>(51,38)</t>
  </si>
  <si>
    <t>Раздел 1. Терминал  3 шт</t>
  </si>
  <si>
    <t>Кровля</t>
  </si>
  <si>
    <t>ФЕР12-01-026-01</t>
  </si>
  <si>
    <t>Устройство кровель из рулонной стали по обрешетке из обрезной доски при: простой кровле</t>
  </si>
  <si>
    <t>0,315</t>
  </si>
  <si>
    <t>Объем=10,50 / 100 * 3</t>
  </si>
  <si>
    <t>48,63</t>
  </si>
  <si>
    <t>19,1480625</t>
  </si>
  <si>
    <t>0,26</t>
  </si>
  <si>
    <t>0,102375</t>
  </si>
  <si>
    <t>Приказ Минстроя России № 812/пр от 21.12.2020 Прил. п.12</t>
  </si>
  <si>
    <t>НР Кровли</t>
  </si>
  <si>
    <t>109</t>
  </si>
  <si>
    <t>Приказ Минстроя России № 774/пр от 11.12.2020 Прил. п.12</t>
  </si>
  <si>
    <t>СП Кровли</t>
  </si>
  <si>
    <t>ФССЦ-08.3.05.05-0081
Применительно</t>
  </si>
  <si>
    <t>Сталь оцинкованная в рулонах, с полимерным покрытием, толщина 0,5 мм (толщина 0,55 мм)</t>
  </si>
  <si>
    <t>0,221</t>
  </si>
  <si>
    <t>Объем=(0,066885*0,55/0,5) * 3</t>
  </si>
  <si>
    <t>ФЕР12-01-037-04</t>
  </si>
  <si>
    <t>Устройство подкровельной пленочной гидроизоляции</t>
  </si>
  <si>
    <t>Объем=10,5 / 100 * 3</t>
  </si>
  <si>
    <t>52,78</t>
  </si>
  <si>
    <t>20,782125</t>
  </si>
  <si>
    <t>0,007875</t>
  </si>
  <si>
    <t>ТЦ_01.7.12.04_78_7814731027_01.03.2021_01 Том 11 с.82 п.294</t>
  </si>
  <si>
    <t>Изоспан AQ proff мембрана</t>
  </si>
  <si>
    <t>36,21</t>
  </si>
  <si>
    <t>(Отдельные виды затрат, относимые на стоимость строительных работ)</t>
  </si>
  <si>
    <t>Объем=12,07 * 3</t>
  </si>
  <si>
    <t>ФЕР12-01-009-02</t>
  </si>
  <si>
    <t>Устройство желобов: подвесных</t>
  </si>
  <si>
    <t>0,09</t>
  </si>
  <si>
    <t>Объем=(1*3) / 100 * 3</t>
  </si>
  <si>
    <t>27,8</t>
  </si>
  <si>
    <t>3,1275</t>
  </si>
  <si>
    <t>0,25</t>
  </si>
  <si>
    <t>0,028125</t>
  </si>
  <si>
    <t>ФССЦ-12.1.01.05-0036</t>
  </si>
  <si>
    <t>Желоб металлический для водосточных систем, покрытие полиэстер, диаметр 185 мм, длина 3000 мм</t>
  </si>
  <si>
    <t>Объем=1 * 3</t>
  </si>
  <si>
    <t>ФССЦ-12.1.01.05-0058</t>
  </si>
  <si>
    <t>Соединитель желоба металлический для водосточных систем, окрашенный, диаметр 125 мм (150 мм)</t>
  </si>
  <si>
    <t>Объем=3 * 3</t>
  </si>
  <si>
    <t>ФССЦ-12.1.01.05-0043</t>
  </si>
  <si>
    <t>Заглушка желоба металлическая для водосточных систем, покрытие полиэстер, диаметр 185 мм</t>
  </si>
  <si>
    <t>Объем=2 * 3</t>
  </si>
  <si>
    <t>ТЦ_20.2.06.02_34_3525273236_01.03.2021_01Том 11 с.95 п.348</t>
  </si>
  <si>
    <t>Держатель желоба, D185</t>
  </si>
  <si>
    <t>Объем=6 * 3</t>
  </si>
  <si>
    <t>Цена=180,25
/8,32</t>
  </si>
  <si>
    <t>ФЕР12-01-035-02</t>
  </si>
  <si>
    <t>Устройство металлической водосточной системы: воронок</t>
  </si>
  <si>
    <t>08.1.02.22</t>
  </si>
  <si>
    <t>Изделия для водосточных труб</t>
  </si>
  <si>
    <t>0,18</t>
  </si>
  <si>
    <t>1,35</t>
  </si>
  <si>
    <t>ФССЦ-12.1.01.05-0006</t>
  </si>
  <si>
    <t>Воронка выпускная металлическая для водосточных систем, покрытие полиэстер, диаметр 185/150 мм</t>
  </si>
  <si>
    <t>ФЕР12-01-035-03</t>
  </si>
  <si>
    <t>Устройство металлической водосточной системы: прямых звеньев труб</t>
  </si>
  <si>
    <t>Объем=(2*3+2*1) * 3</t>
  </si>
  <si>
    <t>08.1.02.07</t>
  </si>
  <si>
    <t>Труба водосточная</t>
  </si>
  <si>
    <t>3,6</t>
  </si>
  <si>
    <t>ФССЦ-12.1.01.05-0068</t>
  </si>
  <si>
    <t>Труба металлическая для водосточных систем, покрытие полиэстер, диаметр 150 мм, длина 3000 мм</t>
  </si>
  <si>
    <t>ФССЦ-12.1.01.05-0067</t>
  </si>
  <si>
    <t>Труба металлическая для водосточных систем, покрытие полиэстер, диаметр 150 мм, длина 1000 мм</t>
  </si>
  <si>
    <t>ФЕР12-01-035-01</t>
  </si>
  <si>
    <t>Устройство металлической водосточной системы: колен</t>
  </si>
  <si>
    <t>Объем=(4+2) * 3</t>
  </si>
  <si>
    <t>2,7</t>
  </si>
  <si>
    <t>ФССЦ-12.1.01.05-0051</t>
  </si>
  <si>
    <t>Колено трубы 60° металлическое для водосточных систем, покрытие полиэстер, диаметр 150 мм</t>
  </si>
  <si>
    <t>Объем=4 * 3</t>
  </si>
  <si>
    <t>ФССЦ-12.1.01.05-0048</t>
  </si>
  <si>
    <t>Колено трубы сливное 60° металлическое для водосточных систем, покрытие полиэстер, диаметр 150 мм ( Излив трубы)</t>
  </si>
  <si>
    <t>Устройство снегодержателя</t>
  </si>
  <si>
    <t>ФЕР12-01-032-02</t>
  </si>
  <si>
    <t>Монтаж снегозадержателя: решетчатого и трубчатого</t>
  </si>
  <si>
    <t>0,102</t>
  </si>
  <si>
    <t>Объем=3,4 / 100 * 3</t>
  </si>
  <si>
    <t>07.2.07.13</t>
  </si>
  <si>
    <t>Конструкции стальные</t>
  </si>
  <si>
    <t>5,3</t>
  </si>
  <si>
    <t>0,67575</t>
  </si>
  <si>
    <t>0,11</t>
  </si>
  <si>
    <t>0,014025</t>
  </si>
  <si>
    <t>ТЦ_01.7.01.02_78_7814731027_01.03.2021_01 Том 11 с.7 п.5</t>
  </si>
  <si>
    <t>Снегодержатель трубчатый СЗТ-h 150х3000</t>
  </si>
  <si>
    <t>комплект</t>
  </si>
  <si>
    <t>Объем=(3,4/3) * 3</t>
  </si>
  <si>
    <t>Полы</t>
  </si>
  <si>
    <t>ФЕР11-01-011-01</t>
  </si>
  <si>
    <t>Устройство стяжек: цементных толщиной 20 мм</t>
  </si>
  <si>
    <t>Объем=4 / 100 * 3</t>
  </si>
  <si>
    <t>04.3.01.09</t>
  </si>
  <si>
    <t>Раствор готовый кладочный тяжелый цементный</t>
  </si>
  <si>
    <t>2,04</t>
  </si>
  <si>
    <t>0,2448</t>
  </si>
  <si>
    <t>35,6</t>
  </si>
  <si>
    <t>5,34</t>
  </si>
  <si>
    <t>1,27</t>
  </si>
  <si>
    <t>0,1905</t>
  </si>
  <si>
    <t>Приказ Минстроя России № 812/пр от 21.12.2020 Прил. п.11</t>
  </si>
  <si>
    <t>НР Полы</t>
  </si>
  <si>
    <t>112</t>
  </si>
  <si>
    <t>Приказ Минстроя России № 774/пр от 11.12.2020 Прил. п.11</t>
  </si>
  <si>
    <t>СП Полы</t>
  </si>
  <si>
    <t>ФССЦ-04.3.01.09-0016</t>
  </si>
  <si>
    <t>Раствор готовый кладочный, цементный, М200</t>
  </si>
  <si>
    <t>0,245</t>
  </si>
  <si>
    <t>Объем=0,0816 * 3</t>
  </si>
  <si>
    <t>ФЕР11-01-011-02</t>
  </si>
  <si>
    <t>Устройство стяжек: на каждые 5 мм изменения толщины стяжки добавлять или исключать к расценке 11-01-011-01 (до 60 мм)</t>
  </si>
  <si>
    <t>Толщина 60 мм ПЗ=8 (ОЗП=8; ЭМ=8 к расх.; ЗПМ=8; МАТ=8 к расх.; ТЗ=8; ТЗМ=8)</t>
  </si>
  <si>
    <t>0,4896</t>
  </si>
  <si>
    <t>0,44</t>
  </si>
  <si>
    <t>0,528</t>
  </si>
  <si>
    <t>0,21</t>
  </si>
  <si>
    <t>0,252</t>
  </si>
  <si>
    <t>Объем=0,1632 * 3</t>
  </si>
  <si>
    <t>ФЕР06-03-004-12</t>
  </si>
  <si>
    <t>Армирование подстилающих слоев и набетонок (масса сетки 2.75 кг/м2)</t>
  </si>
  <si>
    <t>0,033</t>
  </si>
  <si>
    <t>Объем=(4*2,75/1000) * 3</t>
  </si>
  <si>
    <t>08.4.03.03</t>
  </si>
  <si>
    <t>Арматура</t>
  </si>
  <si>
    <t>11,6</t>
  </si>
  <si>
    <t>0,4785</t>
  </si>
  <si>
    <t>0,0144375</t>
  </si>
  <si>
    <t>ФССЦ-08.1.02.17-0097</t>
  </si>
  <si>
    <t>Сетка сварная из арматурной проволоки без покрытия, диаметр проволоки 5,0 мм, размер ячейки 100х100 мм</t>
  </si>
  <si>
    <t>ФЕР11-01-017-02</t>
  </si>
  <si>
    <t>Устройство покрытий мозаичных: терраццо толщиной 20 мм без рисунка</t>
  </si>
  <si>
    <t>04.3.01.06</t>
  </si>
  <si>
    <t>Раствор декоративный (с каменной крошкой)</t>
  </si>
  <si>
    <t>157</t>
  </si>
  <si>
    <t>23,55</t>
  </si>
  <si>
    <t>2,31</t>
  </si>
  <si>
    <t>0,3465</t>
  </si>
  <si>
    <t>ФЕР11-01-017-04</t>
  </si>
  <si>
    <t>Устройство покрытий мозаичных: на каждые 5 мм изменения толщины добавлять сверх 20 мм к расценкам 11-01-017-02, 11-01-017-003 (До 40 мм)</t>
  </si>
  <si>
    <t>К=4 ПЗ=4 (ОЗП=4; ЭМ=4 к расх.; ЗПМ=4; МАТ=4 к расх.; ТЗ=4; ТЗМ=4)</t>
  </si>
  <si>
    <t>15,3</t>
  </si>
  <si>
    <t>9,18</t>
  </si>
  <si>
    <t>0,03</t>
  </si>
  <si>
    <t>ТЦ_04.3.02.02_78_7814731027_01.03.2021_01 Том 11 с.82 п.296</t>
  </si>
  <si>
    <t>Мозаичное покрытие АЛЬФАПОЛ МБ (мрамор), 40 мм</t>
  </si>
  <si>
    <t>Объем=(4*0,04*1,02) * 3</t>
  </si>
  <si>
    <t>Остекление</t>
  </si>
  <si>
    <t>ФЕР15-05-002-04</t>
  </si>
  <si>
    <t>Остекление витринным стеклом на эластичных прокладках: витрин с металлическими переплетами</t>
  </si>
  <si>
    <t>0,3936</t>
  </si>
  <si>
    <t>Объем=13,12 / 100 * 3</t>
  </si>
  <si>
    <t>01.8.02.06</t>
  </si>
  <si>
    <t>Стекло листовое витринное полированное</t>
  </si>
  <si>
    <t>40,1472</t>
  </si>
  <si>
    <t>98,5</t>
  </si>
  <si>
    <t>48,462</t>
  </si>
  <si>
    <t>1,22</t>
  </si>
  <si>
    <t>0,60024</t>
  </si>
  <si>
    <t>Приказ Минстроя России № 812/пр от 21.12.2020 Прил. п.15</t>
  </si>
  <si>
    <t>НР Отделочные работы</t>
  </si>
  <si>
    <t>Приказ Минстроя России № 774/пр от 11.12.2020 Прил. п.15</t>
  </si>
  <si>
    <t>СП Отделочные работы</t>
  </si>
  <si>
    <t>ФССЦ-01.8.01.04-0055</t>
  </si>
  <si>
    <t>Оргстекло листовое ТОСП толщиной: 6 мм бесцветное</t>
  </si>
  <si>
    <t>40,14</t>
  </si>
  <si>
    <t>Объем=13,38 * 3</t>
  </si>
  <si>
    <t>ФЕР09-01-010-01</t>
  </si>
  <si>
    <t>Устройство металлических каркасов зданий из оцинкованных профилей</t>
  </si>
  <si>
    <t>т металлоконструкций</t>
  </si>
  <si>
    <t>0,278</t>
  </si>
  <si>
    <t>Объем=((87,84+4,84)/1000) * 3</t>
  </si>
  <si>
    <t>Конструкции стальные из оцинкованных профилей</t>
  </si>
  <si>
    <t>111,44</t>
  </si>
  <si>
    <t>38,7254</t>
  </si>
  <si>
    <t>21,85</t>
  </si>
  <si>
    <t>7,592875</t>
  </si>
  <si>
    <t>ТЦ_23.3.08.02_78_7814731027_01.03.2021_01 Том 11 с.82 п.295</t>
  </si>
  <si>
    <t>Профиль АД31 100х30х2 мм</t>
  </si>
  <si>
    <t>98,4</t>
  </si>
  <si>
    <t>Объем=(65,6/2) * 3</t>
  </si>
  <si>
    <t>ТЦ_09.2.03.02_78_7814731027_01.03.2021_01 Том 11 с.108 п.389</t>
  </si>
  <si>
    <t>U-профиль АД31 ПР100-3, 15х15х2мм, окрашенный</t>
  </si>
  <si>
    <t>78,9</t>
  </si>
  <si>
    <t>Объем=26,3 * 3</t>
  </si>
  <si>
    <t>Итоги по разделу 1 Терминал  3 шт :</t>
  </si>
  <si>
    <t xml:space="preserve">  Итого по разделу 1 Терминал  3 шт</t>
  </si>
  <si>
    <t>Раздел 2. Доставка материалов ФССЦ сверх нормы 30 км. (Д-ДРП-20-016-ПОС, транспортная схема, л.2)</t>
  </si>
  <si>
    <t>Перевозка грузов автомобилями бортовыми грузоподъемностью до 5 т на расстояние L=130 км от г. Нальчик до площадки строительства, за исключением 30 км, учтенных в СНБ (итого: 100 км): I класс груза (Сталь кровельная)</t>
  </si>
  <si>
    <t>Калькуляция №1, раздел 3</t>
  </si>
  <si>
    <t>Перевозка грузов автомобилями бортовыми грузоподъемностью до 5 т на расстояние L=130 км от г. Нальчик  до площадки строительства, за исключением 30 км, учтенных в СНБ (итого: 100км), II класс груза (сетка сварная, оргстекло, водосточная система)</t>
  </si>
  <si>
    <t>0,303</t>
  </si>
  <si>
    <t>Объем=0,013+0,033+0,032+0,225</t>
  </si>
  <si>
    <t>Итоги по разделу 2 Доставка материалов ФССЦ сверх нормы 30 км. (Д-ДРП-20-016-ПОС, транспортная схема, л.2) :</t>
  </si>
  <si>
    <t xml:space="preserve">  Итого по разделу 2 Доставка материалов ФССЦ сверх нормы 30 км. (Д-ДРП-20-016-ПОС, транспортная схема, л.2)</t>
  </si>
  <si>
    <t>Платежный терминал .</t>
  </si>
  <si>
    <t>ЛОКАЛЬНЫЙ СМЕТНЫЙ РАСЧЕТ (СМЕТА) № 02-01-05</t>
  </si>
  <si>
    <t>(33,7)</t>
  </si>
  <si>
    <t>(0,65)</t>
  </si>
  <si>
    <t>Раздел 1. Терминал  -3 шт</t>
  </si>
  <si>
    <t>ФЕР01-01-020-05</t>
  </si>
  <si>
    <t>Разработка грунта с погрузкой на автомобили-самосвалы в котлованах объемом от 1000 до 3000 м3 экскаваторами с ковшом вместимостью 0,65 м3, группа грунтов: 5</t>
  </si>
  <si>
    <t>0,00612</t>
  </si>
  <si>
    <t>Объем=2,04 / 1000 * 3</t>
  </si>
  <si>
    <t>65,5</t>
  </si>
  <si>
    <t>0,501075</t>
  </si>
  <si>
    <t>0,00024</t>
  </si>
  <si>
    <t>Объем=0,08 / 1000 * 3</t>
  </si>
  <si>
    <t>0,0144</t>
  </si>
  <si>
    <t>ФЕР01-01-008-04</t>
  </si>
  <si>
    <t>Разработка грунта в отвал в котлованах объемом от 1000 до 3000 м3 экскаваторами с ковшом вместимостью 0,65 м3, группа грунтов: 4 (обратная засыпка)</t>
  </si>
  <si>
    <t>0,0111</t>
  </si>
  <si>
    <t>0,0024</t>
  </si>
  <si>
    <t>Объем=0,08 / 100 * 3</t>
  </si>
  <si>
    <t>0,04488</t>
  </si>
  <si>
    <t>0,00939</t>
  </si>
  <si>
    <t>14,076</t>
  </si>
  <si>
    <t>Объем=(2,04*2,3) * 3</t>
  </si>
  <si>
    <t>Устройство фундаментов</t>
  </si>
  <si>
    <t>ФЕР06-01-001-01</t>
  </si>
  <si>
    <t>Устройство бетонной подготовки</t>
  </si>
  <si>
    <t>0,0174</t>
  </si>
  <si>
    <t>Объем=0,58 / 100 * 3</t>
  </si>
  <si>
    <t>1,7748</t>
  </si>
  <si>
    <t>135</t>
  </si>
  <si>
    <t>2,93625</t>
  </si>
  <si>
    <t>18,12</t>
  </si>
  <si>
    <t>0,39411</t>
  </si>
  <si>
    <t>ФССЦ-04.1.02.05-0003</t>
  </si>
  <si>
    <t>Смеси бетонные тяжелого бетона (БСТ), класс В7,5 (М100)</t>
  </si>
  <si>
    <t>Объем=0,5916 * 3</t>
  </si>
  <si>
    <t>ФЕР06-01-001-16</t>
  </si>
  <si>
    <t>Устройство фундаментных плит железобетонных: плоских</t>
  </si>
  <si>
    <t>0,0291</t>
  </si>
  <si>
    <t>Объем=0,97 / 100 * 3</t>
  </si>
  <si>
    <t>101,5</t>
  </si>
  <si>
    <t>2,95365</t>
  </si>
  <si>
    <t>8,1</t>
  </si>
  <si>
    <t>0,23571</t>
  </si>
  <si>
    <t>179</t>
  </si>
  <si>
    <t>6,511125</t>
  </si>
  <si>
    <t>28,56</t>
  </si>
  <si>
    <t>1,03887</t>
  </si>
  <si>
    <t>ФССЦ-04.1.02.05-0009</t>
  </si>
  <si>
    <t>Смеси бетонные тяжелого бетона (БСТ), класс В25 (М350)</t>
  </si>
  <si>
    <t>2,9537</t>
  </si>
  <si>
    <t>Объем=0,98455 * 3</t>
  </si>
  <si>
    <t>Надбавка на водонепроницаемость. Смеси бетонные, БСГ, тяжелого бетона  класс: B25 (М350), П3, F150, W6</t>
  </si>
  <si>
    <t>2,91</t>
  </si>
  <si>
    <t>Объем=0,97 * 3</t>
  </si>
  <si>
    <t>Цена=645,75*0,015</t>
  </si>
  <si>
    <t>ФССЦ-08.4.03.03-0004</t>
  </si>
  <si>
    <t>Горячекатанная арматурная сталь класса А500 С, диаметром: 12 мм</t>
  </si>
  <si>
    <t>0,3905</t>
  </si>
  <si>
    <t>Объем=(130,18/1000) * 3</t>
  </si>
  <si>
    <t>ФЕР06-03-004-10</t>
  </si>
  <si>
    <t>Установка закладных деталей весом: до 20 кг</t>
  </si>
  <si>
    <t>0,0514</t>
  </si>
  <si>
    <t>Объем=(4*4,28/1000) * 3</t>
  </si>
  <si>
    <t>08.4.01.02</t>
  </si>
  <si>
    <t>Детали закладные и накладные</t>
  </si>
  <si>
    <t>3,7265</t>
  </si>
  <si>
    <t>0,33</t>
  </si>
  <si>
    <t>0,0212025</t>
  </si>
  <si>
    <t>ФССЦ-08.4.01.02-0013</t>
  </si>
  <si>
    <t>Детали закладные и накладные, изготовленные с применением сварки, гнутья, сверления (пробивки) отверстий (при наличии одной из этих операций или всего перечня в любых сочетаниях), поставляемые отдельно</t>
  </si>
  <si>
    <t>Объем=0,01712 * 3</t>
  </si>
  <si>
    <t>ФЕР11-01-004-07</t>
  </si>
  <si>
    <t>Устройство гидроизоляции обмазочной: холодной асфальтовой мастикой в один слой толщиной 2 мм</t>
  </si>
  <si>
    <t>0,1986</t>
  </si>
  <si>
    <t>Объем=6,62 / 100 * 3</t>
  </si>
  <si>
    <t>01.7.13.02</t>
  </si>
  <si>
    <t>Мастика холодная асфальтовая</t>
  </si>
  <si>
    <t>0,24</t>
  </si>
  <si>
    <t>0,047664</t>
  </si>
  <si>
    <t>15,54</t>
  </si>
  <si>
    <t>3,857805</t>
  </si>
  <si>
    <t>0,1861875</t>
  </si>
  <si>
    <t>ФССЦ-01.2.03.03-0103</t>
  </si>
  <si>
    <t>Мастика гидроизоляционная холодная ТЕХНОНИКОЛЬ №24 (МГТН)</t>
  </si>
  <si>
    <t>31,776</t>
  </si>
  <si>
    <t>Объем=(6,62*1,6) * 3</t>
  </si>
  <si>
    <t>Монтаж металлоконструкций</t>
  </si>
  <si>
    <t>ФЕР09-03-002-01</t>
  </si>
  <si>
    <t>Монтаж колонн одноэтажных и многоэтажных зданий и крановых эстакад высотой: до 25 м цельного сечения массой до 1,0 т</t>
  </si>
  <si>
    <t>0,6513</t>
  </si>
  <si>
    <t>Объем=(210,78*1,03/1000) * 3</t>
  </si>
  <si>
    <t>07.2.07.12</t>
  </si>
  <si>
    <t>9,35</t>
  </si>
  <si>
    <t>7,6120688</t>
  </si>
  <si>
    <t>2,17</t>
  </si>
  <si>
    <t>1,7666513</t>
  </si>
  <si>
    <t>ФССЦ-07.2.07.12-0011</t>
  </si>
  <si>
    <t>Элементы конструктивные зданий и сооружений с преобладанием гнутосварных профилей и круглых труб, средняя масса сборочной единицы до 0,1 т</t>
  </si>
  <si>
    <t>Объем=0,2171 * 3</t>
  </si>
  <si>
    <t>ФЕР09-03-002-12</t>
  </si>
  <si>
    <t>Монтаж балок, ригелей перекрытия, покрытия и под установку оборудования многоэтажных зданий при высоте здания: до 25 м  ( Б1 и Б2)</t>
  </si>
  <si>
    <t>0,8006</t>
  </si>
  <si>
    <t>Объем=(256,54*1,01*1,03/1000) * 3</t>
  </si>
  <si>
    <t>15,6</t>
  </si>
  <si>
    <t>15,6117</t>
  </si>
  <si>
    <t>2,88</t>
  </si>
  <si>
    <t>2,88216</t>
  </si>
  <si>
    <t>0,8007</t>
  </si>
  <si>
    <t>Объем=0,2669 * 3</t>
  </si>
  <si>
    <t>ФЕР09-03-014-01</t>
  </si>
  <si>
    <t>Монтаж связей и распорок из одиночных и парных уголков, гнутосварных профилей для пролетов: до 24 м при высоте здания до 25 м</t>
  </si>
  <si>
    <t>0,3511</t>
  </si>
  <si>
    <t>Объем=(112,5*1,01*1,03/1000) * 3</t>
  </si>
  <si>
    <t>39,55</t>
  </si>
  <si>
    <t>17,3575063</t>
  </si>
  <si>
    <t>4,01</t>
  </si>
  <si>
    <t>1,7598888</t>
  </si>
  <si>
    <t>0,351</t>
  </si>
  <si>
    <t>Объем=0,117 * 3</t>
  </si>
  <si>
    <t>ФЕР09-04-006-01</t>
  </si>
  <si>
    <t>Монтаж фахверка</t>
  </si>
  <si>
    <t>0,2332</t>
  </si>
  <si>
    <t>Объем=(74,72*1,01*1,03/1000) * 3</t>
  </si>
  <si>
    <t>07.2.03.06</t>
  </si>
  <si>
    <t>25,3</t>
  </si>
  <si>
    <t>7,37495</t>
  </si>
  <si>
    <t>3,08</t>
  </si>
  <si>
    <t>0,89782</t>
  </si>
  <si>
    <t>0,2331</t>
  </si>
  <si>
    <t>Объем=0,0777 * 3</t>
  </si>
  <si>
    <t>ФЕР13-03-002-17</t>
  </si>
  <si>
    <t>Огрунтовка металлических поверхностей за один раз: грунтовкой цинконаполненной</t>
  </si>
  <si>
    <t>0,5694</t>
  </si>
  <si>
    <t>Объем=18,98 / 100 * 3</t>
  </si>
  <si>
    <t>4,1</t>
  </si>
  <si>
    <t>2,918175</t>
  </si>
  <si>
    <t>0,014235</t>
  </si>
  <si>
    <t>Приказ Минстроя России № 812/пр от 21.12.2020 Прил. п.13</t>
  </si>
  <si>
    <t>НР Защита строительных конструкций и оборудования от коррозии</t>
  </si>
  <si>
    <t>94</t>
  </si>
  <si>
    <t>Приказ Минстроя России № 774/пр от 11.12.2020 Прил. п.13</t>
  </si>
  <si>
    <t>СП Защита строительных конструкций и оборудования от коррозии</t>
  </si>
  <si>
    <t>ФЕР13-03-004-26</t>
  </si>
  <si>
    <t>Окраска металлических огрунтованных поверхностей: эмалью ПФ-115</t>
  </si>
  <si>
    <t>2,13</t>
  </si>
  <si>
    <t>1,5160275</t>
  </si>
  <si>
    <t>ФССЦ-14.4.04.02-0003</t>
  </si>
  <si>
    <t>Эмаль акриловая защитно-декоративная "Политон-АК"</t>
  </si>
  <si>
    <t>11,388</t>
  </si>
  <si>
    <t>Объем=(18,98*0,2) * 3</t>
  </si>
  <si>
    <t>Итоги по разделу 1 Терминал  -3 шт :</t>
  </si>
  <si>
    <t xml:space="preserve">  Итого по разделу 1 Терминал  -3 шт</t>
  </si>
  <si>
    <t>Калькуляция №1  раздел 2</t>
  </si>
  <si>
    <t>Перевозка грузов автомобилями бортовыми грузоподъемностью до 5 т на расстояние L=130 км от г. Нальчик до площадки строительства, за исключением 30 км, учтенных в СНБ (итого: 100 км): I класс груза  (Металл. конструкции, арматура, закладные)</t>
  </si>
  <si>
    <t>2,478</t>
  </si>
  <si>
    <t>Объем=0.391+0.051+0.651+0.801+0.351+0.233</t>
  </si>
  <si>
    <t>Перевозка грузов автомобилями бортовыми грузоподъемностью до 5 т на расстояние L=130 км от г. Нальчик  до площадки строительства, за исключением 30 км, учтенных в СНБ (итого: 100км), II класс груза (мастика)</t>
  </si>
  <si>
    <t>0,032</t>
  </si>
  <si>
    <t>Калькуляция №1  раздел 4</t>
  </si>
  <si>
    <t>Перевозка грузов автомобилями бортовыми грузоподъемностью до 5 т на расстояние L=130 км от г. Нальчик до площадки строительства, за исключением 30 км, учтенных в СНБ (итого: 100 км): III класс груза (Эмаль)</t>
  </si>
  <si>
    <t>0,011</t>
  </si>
  <si>
    <t>ЛОКАЛЬНЫЙ СМЕТНЫЙ РАСЧЕТ (СМЕТА) № 02-01-06</t>
  </si>
  <si>
    <t>Д-ДРП-20-016-КР3</t>
  </si>
  <si>
    <t>Подпорная стена</t>
  </si>
  <si>
    <t>0,715</t>
  </si>
  <si>
    <t>Система дренажей</t>
  </si>
  <si>
    <t>ФЕР01-01-009-11</t>
  </si>
  <si>
    <t>Разработка грунта в траншеях экскаватором «обратная лопата» с ковшом вместимостью 0,65 (0,5-1) м3, группа грунтов: 5</t>
  </si>
  <si>
    <t>42,5</t>
  </si>
  <si>
    <t>ФЕР01-02-057-04</t>
  </si>
  <si>
    <t>Разработка грунта вручную в траншеях глубиной до 2 м без креплений с откосами, группа грунтов: 4</t>
  </si>
  <si>
    <t>0,168</t>
  </si>
  <si>
    <t>Объем=16,8 / 100</t>
  </si>
  <si>
    <t>Прил.1.12 п.3.187</t>
  </si>
  <si>
    <t>Доработка вручную, зачистка дна и стенок с выкидкой грунта в котлованах и траншеях, разработанных механизированным способом ОЗП=1,2; ТЗ=1,2</t>
  </si>
  <si>
    <t>1,5</t>
  </si>
  <si>
    <t>356</t>
  </si>
  <si>
    <t>89,712</t>
  </si>
  <si>
    <t>ФЕР01-02-027-10</t>
  </si>
  <si>
    <t>Планировка откосов и полотна: выемок механизированным способом, группа грунтов 3</t>
  </si>
  <si>
    <t>0,378</t>
  </si>
  <si>
    <t>Объем=378 / 1000</t>
  </si>
  <si>
    <t>106</t>
  </si>
  <si>
    <t>50,085</t>
  </si>
  <si>
    <t>3,64</t>
  </si>
  <si>
    <t>1,7199</t>
  </si>
  <si>
    <t>Объем=90 / 1000</t>
  </si>
  <si>
    <t>3,7125</t>
  </si>
  <si>
    <t>0,9</t>
  </si>
  <si>
    <t>Объем=90 / 100</t>
  </si>
  <si>
    <t>16,83</t>
  </si>
  <si>
    <t>3,52125</t>
  </si>
  <si>
    <t>10 м3</t>
  </si>
  <si>
    <t>2,9</t>
  </si>
  <si>
    <t>122</t>
  </si>
  <si>
    <t>80</t>
  </si>
  <si>
    <t>ФССЦ-02.2.05.04-1822</t>
  </si>
  <si>
    <t>Щебень М 1000, фракция 40-80(70) мм, группа 2</t>
  </si>
  <si>
    <t>ФССЦ-01.7.12.05-0054</t>
  </si>
  <si>
    <t>Нетканый геотекстиль: Дорнит 250 г/м2</t>
  </si>
  <si>
    <t>0,325</t>
  </si>
  <si>
    <t>01.7.12.05-1018</t>
  </si>
  <si>
    <t>Геотекстиль нетканый, поверхностной плотностью 550 г/м2</t>
  </si>
  <si>
    <t>ФЕР06-03-002-01</t>
  </si>
  <si>
    <t>Устройство подливки толщиной 20 мм</t>
  </si>
  <si>
    <t>1,3</t>
  </si>
  <si>
    <t>Объем=130 / 100</t>
  </si>
  <si>
    <t>0,13</t>
  </si>
  <si>
    <t>ФЕР06-03-002-02</t>
  </si>
  <si>
    <t>0,06</t>
  </si>
  <si>
    <t>0,78</t>
  </si>
  <si>
    <t>Раздел 3. Устройство дренажа</t>
  </si>
  <si>
    <t>ФЕР27-02-021-01</t>
  </si>
  <si>
    <t>Устройство дренажа под дорожной конструкцией из полиэтиленовых дренажных гофрированных труб диаметром 110 мм: с укладкой геотекстиля</t>
  </si>
  <si>
    <t>5,4</t>
  </si>
  <si>
    <t>Объем=540 / 100</t>
  </si>
  <si>
    <t>01.7.12.05</t>
  </si>
  <si>
    <t>Геотекстиль нетканый</t>
  </si>
  <si>
    <t>02.2.05.04</t>
  </si>
  <si>
    <t>Щебень из природного камня для строительных работ, фракция 20-40 мм</t>
  </si>
  <si>
    <t>Песок природный для строительных работ</t>
  </si>
  <si>
    <t>24.3.03.05</t>
  </si>
  <si>
    <t>Муфта полиэтиленовая для труб дренажных</t>
  </si>
  <si>
    <t>24.3.03.06</t>
  </si>
  <si>
    <t>Труба дренажная полиэтиленовая, гофрированная</t>
  </si>
  <si>
    <t>100,8</t>
  </si>
  <si>
    <t>544,32</t>
  </si>
  <si>
    <t>26,27</t>
  </si>
  <si>
    <t>177,3225</t>
  </si>
  <si>
    <t>13,905</t>
  </si>
  <si>
    <t>2331</t>
  </si>
  <si>
    <t>Объем=2220*1,05</t>
  </si>
  <si>
    <t>ФССЦ-02.2.05.04-1767</t>
  </si>
  <si>
    <t>Щебень М 400, фракция 20-40 мм, группа 2</t>
  </si>
  <si>
    <t>442,26</t>
  </si>
  <si>
    <t>Объем=351*1,26</t>
  </si>
  <si>
    <t>ФССЦ-02.3.01.02-0033</t>
  </si>
  <si>
    <t>Песок природный обогащенный для строительных работ средний</t>
  </si>
  <si>
    <t>41,58</t>
  </si>
  <si>
    <t>Объем=37,8*1,1</t>
  </si>
  <si>
    <t>ФССЦ-24.3.03.06-0025</t>
  </si>
  <si>
    <t>Трубы дренажные полиэтиленовые гофрированные двухслойные, класс кольцевой жесткости SN8, номинальный внутренний диаметр 200 мм</t>
  </si>
  <si>
    <t>453,6</t>
  </si>
  <si>
    <t>Объем=450*1,008</t>
  </si>
  <si>
    <t>ФССЦ-24.3.05.07-0164</t>
  </si>
  <si>
    <t>Муфта из полиэтилена для труб с двухслойной структурированной стенкой с наружным, диаметр 200 мм</t>
  </si>
  <si>
    <t>ФССЦ-24.3.03.06-0023</t>
  </si>
  <si>
    <t>Трубы дренажные полиэтиленовые гофрированные двухслойные, класс кольцевой жесткости SN8, номинальный внутренний диаметр 110 мм</t>
  </si>
  <si>
    <t>90,72</t>
  </si>
  <si>
    <t>Объем=90*1,008</t>
  </si>
  <si>
    <t>ФССЦ-24.3.05.02-1124</t>
  </si>
  <si>
    <t>Заглушка из полиэтилена для двустенных гофрированных труб, внутренний диаметр 110 мм</t>
  </si>
  <si>
    <t>Объем=2 / 100</t>
  </si>
  <si>
    <t>3,375</t>
  </si>
  <si>
    <t>0,453</t>
  </si>
  <si>
    <t>ФЕР22-04-005-01</t>
  </si>
  <si>
    <t>Установка круглых сборных колодцев из полимерных материалов на фланцевом соединении: высотой 1,5 м, диаметром 1000 мм</t>
  </si>
  <si>
    <t>04.1.02.01</t>
  </si>
  <si>
    <t>Смеси бетонные</t>
  </si>
  <si>
    <t>18.2.04.01</t>
  </si>
  <si>
    <t>Колодцы полиэтиленовые</t>
  </si>
  <si>
    <t>1,18</t>
  </si>
  <si>
    <t>14,75</t>
  </si>
  <si>
    <t>0,53</t>
  </si>
  <si>
    <t>6,625</t>
  </si>
  <si>
    <t>ТЦ_18.2.04.04_78_7814731027_01.03.2021_01, Том  11.4, с.98,  п.357</t>
  </si>
  <si>
    <t>Фильтрационный конический дренажный колодец H-1700 Dниз=900/ Dверх=600</t>
  </si>
  <si>
    <t>Итоги по разделу 3 Устройство дренажа :</t>
  </si>
  <si>
    <t xml:space="preserve">  Итого по разделу 3 Устройство дренажа</t>
  </si>
  <si>
    <t>Раздел 4. Доставка материалов ФССЦ сверх нормы 30 км. (Д-ДРП-20-016-ПОС, транспортная схема, л.2)</t>
  </si>
  <si>
    <t>Калькуляция №1  раздел 9</t>
  </si>
  <si>
    <t>Калькуляция №1  раздел 3</t>
  </si>
  <si>
    <t>Перевозка материалов бортовым автомобилем гп 5 т на расстояние L=130 км от г. Нальчик  до площадки строительства, за исключением 30 км, учтенных в СНБ (итого: 100км), II класс груза (трубы, муфты)</t>
  </si>
  <si>
    <t>Перевозка материалов автомобилями-самосвалами автомобилем гп 10 т на расстояние L=135 км от  Малкинского песчаного карьерера до площадки строительства за исключением 30 км, учтенных в СНБ (итого: 105 км),  I класс груза (песок)</t>
  </si>
  <si>
    <t>62,37</t>
  </si>
  <si>
    <t>Итоги по разделу 4 Доставка материалов ФССЦ сверх нормы 30 км. (Д-ДРП-20-016-ПОС, транспортная схема, л.2) :</t>
  </si>
  <si>
    <t xml:space="preserve">  Итого по разделу 4 Доставка материалов ФССЦ сверх нормы 30 км. (Д-ДРП-20-016-ПОС, транспортная схема, л.2)</t>
  </si>
  <si>
    <t>ЛОКАЛЬНЫЙ СМЕТНЫЙ РАСЧЕТ (СМЕТА) № 02-01-07</t>
  </si>
  <si>
    <t>Д-ДРП-20-016-ИОС1.1-ЭС</t>
  </si>
  <si>
    <t>(2,39)</t>
  </si>
  <si>
    <t>Раздел 1. Оборудование</t>
  </si>
  <si>
    <t>ФЕРм08-03-573-04</t>
  </si>
  <si>
    <t>Шкаф (пульт) управления навесной, высота, ширина и глубина: до 600х600х350 мм</t>
  </si>
  <si>
    <t>15,45</t>
  </si>
  <si>
    <t>0,31</t>
  </si>
  <si>
    <t>2,325</t>
  </si>
  <si>
    <t>Приказ Минстроя России № 812/пр от 21.12.2020 Прил. п.49.3</t>
  </si>
  <si>
    <t>НР Электротехнические установки на других объектах</t>
  </si>
  <si>
    <t>97</t>
  </si>
  <si>
    <t>Приказ Минстроя России № 774/пр от 11.12.2020 Прил. п.49.3</t>
  </si>
  <si>
    <t>СП Электротехнические установки на других объектах</t>
  </si>
  <si>
    <t>ТЦ_62.1.02.14_77_7731593655_01.03.2021_01  том 11.4.стр.76, п.269</t>
  </si>
  <si>
    <t>Щит силовой и электрообогрева, навесного исполнения, номинальное напряжение ~380 В; частота 50 Гц, ввод кабелей сверху, степень защиты P54, 620х310х120 мм; с шиной N изолированной от корпуса щита; с шиной РЕ изолированной от корпуса щита; вводной трехполюсный автоматический выключатель, характеристика С, Iном.= 20 А – 1 шт., на отходящих линиях: четырехполюсный дифференциальные автоматический выключатель, характеристика С, 30мА Iном. = 16A – 3 шт.; контактор трехполюсный 1НО Iном. = 25A – 3 шт.; двухполюсный дифференциальные автоматический выключатель, характеристика С, 30мА, Iном. = 6A – 2 шт.; контактор однополюсный 1НО, Iном. = 10A – 2 шт. ШУ-ЕЭ-АС-21-0057-05,06,07,08,09,10 см. лист 25</t>
  </si>
  <si>
    <t>Приказ от 04.08.02020 №421/пр п.92б</t>
  </si>
  <si>
    <t>ФЕРм08-03-574-01</t>
  </si>
  <si>
    <t>Разводка по устройствам и подключение жил кабелей или проводов сечением: до 10 мм2</t>
  </si>
  <si>
    <t>1,56</t>
  </si>
  <si>
    <t>Объем=(12*3+18*5+2*5+4*5) / 100</t>
  </si>
  <si>
    <t>30,1275</t>
  </si>
  <si>
    <t>0,039</t>
  </si>
  <si>
    <t>Итоги по разделу 1 Оборудование :</t>
  </si>
  <si>
    <t xml:space="preserve">  Итого по разделу 1 Оборудование</t>
  </si>
  <si>
    <t>Раздел 2. Монтажные работы</t>
  </si>
  <si>
    <t>Светотехническое оборудование</t>
  </si>
  <si>
    <t>ФЕРм08-03-593-06</t>
  </si>
  <si>
    <t>Светильник потолочный или настенный с креплением винтами или болтами для помещений: с нормальными условиями среды, одноламповый</t>
  </si>
  <si>
    <t>Объем=6 / 100</t>
  </si>
  <si>
    <t>70,64</t>
  </si>
  <si>
    <t>5,298</t>
  </si>
  <si>
    <t>1,75</t>
  </si>
  <si>
    <t>0,13125</t>
  </si>
  <si>
    <t>ТЦ_20.3.03.07_77_7734647080_01.03.2021_01 том 11.4. стр.61, п.211</t>
  </si>
  <si>
    <t>Светильник светодиодный, накладной, 400 К, мощностью 49 Вт Universal 50 Econex</t>
  </si>
  <si>
    <t>(Материалы для монтажных работ)</t>
  </si>
  <si>
    <t>Электроустановочное оборудование</t>
  </si>
  <si>
    <t>ФЕРм08-03-591-03</t>
  </si>
  <si>
    <t>Выключатель: полугерметический и герметический</t>
  </si>
  <si>
    <t>60,8</t>
  </si>
  <si>
    <t>4,56</t>
  </si>
  <si>
    <t>0,009</t>
  </si>
  <si>
    <t>ТЦ_20.4.01.02_77_7816515991_01.03.2021_01 том 11.4. стр.40,п.139</t>
  </si>
  <si>
    <t>Выключатель одноклавишный, 220 В, 10 А, степень защиты IP44, скрытой установкиШнайдер электрик</t>
  </si>
  <si>
    <t>Кабель и кабеленесущая продукция</t>
  </si>
  <si>
    <t>ФЕРм08-02-409-09</t>
  </si>
  <si>
    <t>Труба гофрированная ПВХ для защиты проводов и кабелей по установленным конструкциям, по стенам, колоннам, потолкам, основанию пола</t>
  </si>
  <si>
    <t>Объем=35 / 100</t>
  </si>
  <si>
    <t>15,2</t>
  </si>
  <si>
    <t>6,65</t>
  </si>
  <si>
    <t>ТЦ_24.3.01.04_78_7804526950_01.03.2021_01  том 11.4. стр.107, п.384</t>
  </si>
  <si>
    <t>Труба гофр. DN17мм, ПВ-0, Dвн 16,8 мм, Dнар 21,2 мм, полиамид 6, цвет тёмно-серый, с протяжкой (PA611721F0)</t>
  </si>
  <si>
    <t>35,7</t>
  </si>
  <si>
    <t>Объем=35*1,02</t>
  </si>
  <si>
    <t>ТЦ_23.8.03.02_78_7804526950_01.03.2021_01 Том 11.4. стр.107, п.385</t>
  </si>
  <si>
    <t>Держатель с крышкой DN 17 мм PASW17N</t>
  </si>
  <si>
    <t>50</t>
  </si>
  <si>
    <t>ФЕРм08-02-412-02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</si>
  <si>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6 мм2</t>
  </si>
  <si>
    <t>5,39</t>
  </si>
  <si>
    <t>2,358125</t>
  </si>
  <si>
    <t>0,0175</t>
  </si>
  <si>
    <t>ФССЦ-21.1.06.09-0151</t>
  </si>
  <si>
    <t>Кабель силовой с медными жилами ВВГнг(A)-LS 3х1,5-660</t>
  </si>
  <si>
    <t>1000 м</t>
  </si>
  <si>
    <t>0,0357</t>
  </si>
  <si>
    <t>Объем=(35*1,02) / 1000</t>
  </si>
  <si>
    <t>ФЕРм10-08-019-01</t>
  </si>
  <si>
    <t>Коробка ответвительная на стене</t>
  </si>
  <si>
    <t>0,5</t>
  </si>
  <si>
    <t>ТЦ_20.5.02.04_78_7804526950_01.03.2021_01 Том 11.4. стр.107, п.386</t>
  </si>
  <si>
    <t>Коробка ответвительная (распаячная), для открытой проводки, с контактной группой, габаритные размеры 100х100х50 мм, степень защиты IP55 53800 DKC</t>
  </si>
  <si>
    <t>ФССЦ-20.2.10.04-0002</t>
  </si>
  <si>
    <t>Наконечники кабельные медные луженные ТМЛ-6</t>
  </si>
  <si>
    <t>Объем=12 / 100</t>
  </si>
  <si>
    <t>Электрообогрев кровли и водостоков</t>
  </si>
  <si>
    <t>ФЕРм08-02-146-01</t>
  </si>
  <si>
    <t>Кабель до 35 кВ с креплением накладными скобами, масса 1 м кабеля: до 0,5 кг</t>
  </si>
  <si>
    <t>7,44</t>
  </si>
  <si>
    <t>Объем=744 / 100</t>
  </si>
  <si>
    <t>11,76</t>
  </si>
  <si>
    <t>109,368</t>
  </si>
  <si>
    <t>4,11</t>
  </si>
  <si>
    <t>38,223</t>
  </si>
  <si>
    <t>ТЦ_21.1.07.00_77_7731593655_01.03.2021_01 том 11.4. стр.68,п.240</t>
  </si>
  <si>
    <t>Кабель саморегулирующий ЕЭ-ХИТФЛЕКС НТКэ25</t>
  </si>
  <si>
    <t>758,88</t>
  </si>
  <si>
    <t>Объем=744*1,02</t>
  </si>
  <si>
    <t>ТЦ_21.1.07.00_77_7731593655_01.03.2021_01 том 11.4. стр.69,п.241</t>
  </si>
  <si>
    <t>Комплект для соединения нагревательной секции ЕЭ-ХИТФЛЕКС СНС1</t>
  </si>
  <si>
    <t>ТЦ_21.1.07.00_77_7731593655_01.03.2021_01 том 11.4. стр.69,п.п.242</t>
  </si>
  <si>
    <t>Комплект для оконцевания нагревательной секции ЕЭ-ХИТФЛЕКС ОНС1</t>
  </si>
  <si>
    <t>0,72</t>
  </si>
  <si>
    <t>Объем=72 / 100</t>
  </si>
  <si>
    <t>4,851</t>
  </si>
  <si>
    <t>0,036</t>
  </si>
  <si>
    <t>ТЦ_21.2.03.09_77_7731593655_01.03.2021_01 том 11.4. стр.66,п.243</t>
  </si>
  <si>
    <t>Провод установочный ПРКС 3х1,5</t>
  </si>
  <si>
    <t>73,44</t>
  </si>
  <si>
    <t>Объем=72*1,02</t>
  </si>
  <si>
    <t>13,68</t>
  </si>
  <si>
    <t>ФССЦ-24.3.03.05-0002</t>
  </si>
  <si>
    <t>Трубы полиэтиленовые гибкие гофрированные легкие без протяжки, номинальный внутренний диаметр 20 мм</t>
  </si>
  <si>
    <t>11,25</t>
  </si>
  <si>
    <t>ТЦ_20.5.02.09_77_7731593655_01.03.2021_01 том 11.4. стр.69,п.244</t>
  </si>
  <si>
    <t>Коробка соединительная Abox 100 арт. 81041001</t>
  </si>
  <si>
    <t>ТЦ_20.5.01.02_77_7731593655_01.03.2021_01 том 11.4. стр.70,п.245</t>
  </si>
  <si>
    <t>Кабельный ввод PG-13,5</t>
  </si>
  <si>
    <t>ТЦ_25.2.01.01_77_7731593655_01.03.2021_01 том 11.4. стр.70,п.246</t>
  </si>
  <si>
    <t>Бирка маркировочная (квадратная маленькая) У 153</t>
  </si>
  <si>
    <t>ФССЦ-25.2.01.01-0018</t>
  </si>
  <si>
    <t>Бирки маркировочные пластмассовые У134</t>
  </si>
  <si>
    <t>Объем=18 / 100</t>
  </si>
  <si>
    <t>ФССЦ-25.2.01.01-0014</t>
  </si>
  <si>
    <t>Бирки кабельные маркировочные пластмассовые У136</t>
  </si>
  <si>
    <t>ФССЦ-20.1.02.18-0003</t>
  </si>
  <si>
    <t>Стяжка нейлоновая неоткрывающаяся 3,6x250 мм</t>
  </si>
  <si>
    <t>Объем=600 / 100</t>
  </si>
  <si>
    <t>ТЦ_09.3.01.01_77_7731593655_01.03.2021_01 том 11.4. стр.71,п.250</t>
  </si>
  <si>
    <t>Крепежный элемент СР.3-50 Ц</t>
  </si>
  <si>
    <t>180</t>
  </si>
  <si>
    <t>ТЦ_09.3.01.01_77_7731593655_01.03.2021_01 том 11.4. стр.71,п.251</t>
  </si>
  <si>
    <t>Крепежный элемент СР/Т.2-50 Ц</t>
  </si>
  <si>
    <t>84</t>
  </si>
  <si>
    <t>ТЦ_09.3.01.01_77_7731593655_01.03.2021_0 том 11.4.стр.71,п.252</t>
  </si>
  <si>
    <t>Полоса крепежная 0,5х15 мм</t>
  </si>
  <si>
    <t>ТЦ_09.3.01.01_77_7731593655_01.03.2021_01 том 11.4. стр.72,п.253</t>
  </si>
  <si>
    <t>Радиусная накладка ТС.03</t>
  </si>
  <si>
    <t>ФЕРм08-02-302-02</t>
  </si>
  <si>
    <t>Поперечины из троса, длина: до 60 м</t>
  </si>
  <si>
    <t>2,25</t>
  </si>
  <si>
    <t>2,8125</t>
  </si>
  <si>
    <t>0,55</t>
  </si>
  <si>
    <t>ТЦ_20.1.02.19_77_7731593655_01.03.2021_01 том 11.4. стр.72,п.254</t>
  </si>
  <si>
    <t>Трос стальной D3 в п/э</t>
  </si>
  <si>
    <t>42,84</t>
  </si>
  <si>
    <t>Объем=42*1,02</t>
  </si>
  <si>
    <t>ТЦ_20.1.02.19_77_7731593655_01.03.2021_01 том 11.4. стр.72,п.255</t>
  </si>
  <si>
    <t>Зажим для троса 3 мм</t>
  </si>
  <si>
    <t>ТЦ_09.3.01.01_77_7731593655_01.03.2021_01 том 11.4. стр.72,п.256</t>
  </si>
  <si>
    <t>Коуш для троса 3 мм</t>
  </si>
  <si>
    <t>ТЦ_09.3.01.01_77_7731593655_01.03.2021_01 том 11.4. стр.73,п.257</t>
  </si>
  <si>
    <t>Кронштейн ТС.10.005</t>
  </si>
  <si>
    <t>240</t>
  </si>
  <si>
    <t>ТЦ_09.3.01.01_77_7731593655_01.03.2021_01 том 11.4. стр.73,п.258</t>
  </si>
  <si>
    <t>Крепежный элемент СР.2-100 Ц</t>
  </si>
  <si>
    <t>660</t>
  </si>
  <si>
    <t>ТЦ_09.3.01.01_77_7731593655_01.03.2021_01 том 11.4. стр.73,п.259</t>
  </si>
  <si>
    <t>Крепежный элемент СР.1-25 Ц</t>
  </si>
  <si>
    <t>300</t>
  </si>
  <si>
    <t>ТЦ_09.3.01.01_77_7731593655_01.03.2021_01 том 11.4. стр.73,п.260</t>
  </si>
  <si>
    <t>Заклепка вытяжная алюмин. 4,0х10</t>
  </si>
  <si>
    <t>1800</t>
  </si>
  <si>
    <t>ФЕРм08-02-200-01</t>
  </si>
  <si>
    <t>Монтаж термоусаживаемой манжеты из трубки для кабеля</t>
  </si>
  <si>
    <t>0,59</t>
  </si>
  <si>
    <t>4,425</t>
  </si>
  <si>
    <t>ТЦ_20.2.09.08_77_7731593655_01.03.2021_01 том 11.4. стр.74,п.262</t>
  </si>
  <si>
    <t>Трубка термоусаживаемая Deray® H – 31,8/15,9</t>
  </si>
  <si>
    <t>ФЕРм08-02-155-01</t>
  </si>
  <si>
    <t>Герметизация проходов при вводе кабелей во взрывоопасные помещения уплотнительной массой</t>
  </si>
  <si>
    <t>54</t>
  </si>
  <si>
    <t>0,38</t>
  </si>
  <si>
    <t>25,65</t>
  </si>
  <si>
    <t>ТЦ_14.5.01.00_77_7731593655_01.03.2021_01 том 11.4. стр.74,п.263</t>
  </si>
  <si>
    <t>Специализированный герметик для кровли (упак. 310 мл)</t>
  </si>
  <si>
    <t>ФЕРм11-02-001-01</t>
  </si>
  <si>
    <t>Прибор, устанавливаемый на резьбовых соединениях, масса: до 1,5 кг</t>
  </si>
  <si>
    <t>6,18</t>
  </si>
  <si>
    <t>ТЦ_63.4.03.01_77_7731593655_01.03.2021_01 том 11.4.стр.74,п.264</t>
  </si>
  <si>
    <t>Датчик термосопротивления ДТС125М-Pt100.0,5.60.И (15)</t>
  </si>
  <si>
    <t>ФЕРм08-02-472-10</t>
  </si>
  <si>
    <t>Проводник заземляющий из медного изолированного провода сечением 25 мм2 открыто по строительным основаниям</t>
  </si>
  <si>
    <t>32,16</t>
  </si>
  <si>
    <t>4,824</t>
  </si>
  <si>
    <t>ФССЦ-21.2.03.05-0070</t>
  </si>
  <si>
    <t>Провод силовой установочный с медными жилами ПВ3 6-450(прим.ПуГВ 1х6)</t>
  </si>
  <si>
    <t>0,01224</t>
  </si>
  <si>
    <t>Объем=(12*1,02) / 1000</t>
  </si>
  <si>
    <t>Итоги по разделу 2 Монтажные работы :</t>
  </si>
  <si>
    <t xml:space="preserve">  Итого по разделу 2 Монтажные работы</t>
  </si>
  <si>
    <t>Перевозка материалов бортовым автомобилем гп 5 т на расстояние L=130 км от г. Нальчик до площадки строительства, за исключением 30 км, учтенных в СНБ (итого: 100 км), III класс груза (Кабель)</t>
  </si>
  <si>
    <t>0,007</t>
  </si>
  <si>
    <t>Административно-бытовой корпус.</t>
  </si>
  <si>
    <t>ОБЪЕКТНЫЙ СМЕТНЫЙ РАСЧЕТ (СМЕТА) № ОС-03-01</t>
  </si>
  <si>
    <t>03-01-01</t>
  </si>
  <si>
    <t>03-01-02</t>
  </si>
  <si>
    <t>Конструктивные решения</t>
  </si>
  <si>
    <t>03-01-03</t>
  </si>
  <si>
    <t>03-01-04</t>
  </si>
  <si>
    <t>03-01-05</t>
  </si>
  <si>
    <t>03-01-06</t>
  </si>
  <si>
    <t>03-01-07</t>
  </si>
  <si>
    <t>03-01-08</t>
  </si>
  <si>
    <t>03-01-09</t>
  </si>
  <si>
    <t>03-01-10</t>
  </si>
  <si>
    <t>03-01-11</t>
  </si>
  <si>
    <t>03-01-12</t>
  </si>
  <si>
    <t>Внутренние сети связи.</t>
  </si>
  <si>
    <t>ЛОКАЛЬНЫЙ СМЕТНЫЙ РАСЧЕТ (СМЕТА) № 03-01-01</t>
  </si>
  <si>
    <t>(1088,58)</t>
  </si>
  <si>
    <t>(269,16)</t>
  </si>
  <si>
    <t>(29,04)</t>
  </si>
  <si>
    <t>(41,28)</t>
  </si>
  <si>
    <t>(778,14)</t>
  </si>
  <si>
    <t>Раздел 1. Монтаж ограждающих конструкций</t>
  </si>
  <si>
    <t>ФЕР15-01-064-01</t>
  </si>
  <si>
    <t>Облицовка стен фасадов зданий искусственными фиброцементными (и хризотилцементными) плитами гладкими или с покрытием на металлическом каркасе</t>
  </si>
  <si>
    <t>2,766</t>
  </si>
  <si>
    <t>Объем=(195,4+81,2) / 100</t>
  </si>
  <si>
    <t>270</t>
  </si>
  <si>
    <t>933,525</t>
  </si>
  <si>
    <t>3,699525</t>
  </si>
  <si>
    <t>ФССЦ-01.6.01.11-0021</t>
  </si>
  <si>
    <t>Плиты фасадные фиброцементные с грунтовочным слоем и лицевым двухкомпонентным покрытием (акрил/полиуретан), толщиной 8-9 мм (Тип1 и Тип2)</t>
  </si>
  <si>
    <t>290,43</t>
  </si>
  <si>
    <t>Объем=195,4*1,05+81,2*1,05</t>
  </si>
  <si>
    <t>ФЕР12-01-010-01</t>
  </si>
  <si>
    <t>Устройство мелких покрытий (брандмауэры, парапеты, свесы и т.п.) из листовой оцинкованной стали</t>
  </si>
  <si>
    <t>0,7929</t>
  </si>
  <si>
    <t>Объем=(64+44,9*0,3+1,01*0,3*6) / 100</t>
  </si>
  <si>
    <t>97,2</t>
  </si>
  <si>
    <t>96,33735</t>
  </si>
  <si>
    <t>0,27</t>
  </si>
  <si>
    <t>0,2676038</t>
  </si>
  <si>
    <t>ФССЦ-08.3.05.05-0006</t>
  </si>
  <si>
    <t>Сталь листовая оцинкованная, с полимерным покрытием (металлопласт), толщина 0,55 мм, размер 1250х2000 мм</t>
  </si>
  <si>
    <t>115,15</t>
  </si>
  <si>
    <t>Объем=0,451953*1000/3,925</t>
  </si>
  <si>
    <t>ФЕР15-01-002-04</t>
  </si>
  <si>
    <t>Облицовка стен плитами из известняка толщиной 60 мм при числе плит в 1 м2: до 6</t>
  </si>
  <si>
    <t>Объем=27 / 100</t>
  </si>
  <si>
    <t>01.7.10.03</t>
  </si>
  <si>
    <t>Изделия из натурального камня</t>
  </si>
  <si>
    <t>26,46</t>
  </si>
  <si>
    <t>08.1.02.25</t>
  </si>
  <si>
    <t>Детали крепления</t>
  </si>
  <si>
    <t>784</t>
  </si>
  <si>
    <t>264,6</t>
  </si>
  <si>
    <t>1,0125</t>
  </si>
  <si>
    <t>ФЕР15-01-005-03</t>
  </si>
  <si>
    <t>На каждые 10 мм изменения толщины плит добавлять или исключать к расценкам 15-01-001, 15-01-002, 15-01-003, 15-01-004 при облицовке стен и колонн: известняком (До 30 мм)</t>
  </si>
  <si>
    <t>-0,27</t>
  </si>
  <si>
    <t>Объем=-27 / 100</t>
  </si>
  <si>
    <t>11,32</t>
  </si>
  <si>
    <t>-11,4615</t>
  </si>
  <si>
    <t>-0,243</t>
  </si>
  <si>
    <t>ТЦ_05.2.03.05_78_7814731027_01.03.2021_01 Том 11.4, с.6 п.3</t>
  </si>
  <si>
    <t>Натуральный камень, рваный край 20-30мм, БКП/ДР/У/20 Sandsstone</t>
  </si>
  <si>
    <t>ФЕР09-04-006-04</t>
  </si>
  <si>
    <t>Монтаж ограждающих конструкций стен: из многослойных панелей заводской готовности при высоте здания до 50 м</t>
  </si>
  <si>
    <t>0,968</t>
  </si>
  <si>
    <t>Объем=96,8 / 100</t>
  </si>
  <si>
    <t>07.2.05.02</t>
  </si>
  <si>
    <t>Панели многослойные стеновые с обшивкой из профильного настила</t>
  </si>
  <si>
    <t>Конструкции стальные нащельников и деталей обрамления</t>
  </si>
  <si>
    <t>0,273</t>
  </si>
  <si>
    <t>0,264264</t>
  </si>
  <si>
    <t>152</t>
  </si>
  <si>
    <t>183,92</t>
  </si>
  <si>
    <t>36,14</t>
  </si>
  <si>
    <t>43,7294</t>
  </si>
  <si>
    <t>ФССЦ-07.2.05.05-0078</t>
  </si>
  <si>
    <t>Сэндвич-панель трехслойная стеновая "Металл Профиль" с видимым креплением Z-LOCK, с наполнителем из минеральной ваты (НГ) плотностью 110кг/м3, марка МП ТСП-Z, толщина: 150 мм, тип покрытия полиэстер, толщина металлических облицовок 0,5 мм (Россия)</t>
  </si>
  <si>
    <t>96,8</t>
  </si>
  <si>
    <t>Итоги по разделу 1 Монтаж ограждающих конструкций :</t>
  </si>
  <si>
    <t xml:space="preserve">  Итого по разделу 1 Монтаж ограждающих конструкций</t>
  </si>
  <si>
    <t>Раздел 2. Кровля</t>
  </si>
  <si>
    <t>2,5145</t>
  </si>
  <si>
    <t>Объем=251,45 / 100</t>
  </si>
  <si>
    <t>152,8501688</t>
  </si>
  <si>
    <t>0,8172125</t>
  </si>
  <si>
    <t>1,76</t>
  </si>
  <si>
    <t>Объем=1,6017365*0,55/0,5</t>
  </si>
  <si>
    <t>165,8941375</t>
  </si>
  <si>
    <t>0,0628625</t>
  </si>
  <si>
    <t>ТЦ_01.7.12.04_78_7814731027_01.03.2021_01 Том 11.4,  с.82 п.294</t>
  </si>
  <si>
    <t>289,17</t>
  </si>
  <si>
    <t>0,15</t>
  </si>
  <si>
    <t>Объем=(5*3) / 100</t>
  </si>
  <si>
    <t>5,2125</t>
  </si>
  <si>
    <t>0,046875</t>
  </si>
  <si>
    <t>Соединитель желоба металлический для водосточных систем, окрашенный, диаметр 125 мм ( 150 мм)</t>
  </si>
  <si>
    <t>ТЦ_20.2.06.02_34_3525273236_01.03.2021_01Том 11.4,  с.95 п.348</t>
  </si>
  <si>
    <t>Объем=2*3+2*1</t>
  </si>
  <si>
    <t>1,2</t>
  </si>
  <si>
    <t>Объем=4+2</t>
  </si>
  <si>
    <t>Колено трубы сливное 60° металлическое для водосточных систем, покрытие полиэстер, диаметр 150 мм</t>
  </si>
  <si>
    <t>0,17</t>
  </si>
  <si>
    <t>Объем=17 / 100</t>
  </si>
  <si>
    <t>1,12625</t>
  </si>
  <si>
    <t>0,023375</t>
  </si>
  <si>
    <t>ТЦ_01.7.01.02_78_7814731027_01.03.2021_01 Том 11.4, с.7 п.5</t>
  </si>
  <si>
    <t>5,7</t>
  </si>
  <si>
    <t>Объем=17/3</t>
  </si>
  <si>
    <t>Итоги по разделу 2 Кровля :</t>
  </si>
  <si>
    <t xml:space="preserve">  Итого по разделу 2 Кровля</t>
  </si>
  <si>
    <t>Раздел 3. Перегородки</t>
  </si>
  <si>
    <t>ФЕР10-05-001-02</t>
  </si>
  <si>
    <t>Устройство перегородок из гипсокартонных листов (ГКЛ) с одинарным металлическим каркасом и однослойной обшивкой с обеих сторон: с одним дверным проемом</t>
  </si>
  <si>
    <t>0,843</t>
  </si>
  <si>
    <t>Объем=84,3 / 100</t>
  </si>
  <si>
    <t>01.6.01.02</t>
  </si>
  <si>
    <t>Листы гипсокартонные</t>
  </si>
  <si>
    <t>226</t>
  </si>
  <si>
    <t>190,518</t>
  </si>
  <si>
    <t>12.2.03.15</t>
  </si>
  <si>
    <t>Материалы теплоизоляционные из минеральных волокон</t>
  </si>
  <si>
    <t>86,829</t>
  </si>
  <si>
    <t>108,53625</t>
  </si>
  <si>
    <t>0,63225</t>
  </si>
  <si>
    <t>ФССЦ-01.6.01.02-0006</t>
  </si>
  <si>
    <t>Листы гипсокартонные ГКЛ, толщина 12,5 мм</t>
  </si>
  <si>
    <t>ФССЦ-12.2.05.10-1006</t>
  </si>
  <si>
    <t>Плиты минераловатные, толщина 50 мм (Rockwoll Лайт-Баттс )</t>
  </si>
  <si>
    <t>86,83</t>
  </si>
  <si>
    <t>0,951</t>
  </si>
  <si>
    <t>Объем=(53,5+41,6) / 100</t>
  </si>
  <si>
    <t>214,926</t>
  </si>
  <si>
    <t>97,953</t>
  </si>
  <si>
    <t>122,44125</t>
  </si>
  <si>
    <t>0,71325</t>
  </si>
  <si>
    <t>ФССЦ-01.6.01.02-0008</t>
  </si>
  <si>
    <t>Листы гипсокартонные ГКЛВ, толщина 12,5 мм</t>
  </si>
  <si>
    <t>97,95</t>
  </si>
  <si>
    <t>Итоги по разделу 3 Перегородки :</t>
  </si>
  <si>
    <t xml:space="preserve">  Итого по разделу 3 Перегородки</t>
  </si>
  <si>
    <t>Раздел 4. Двери</t>
  </si>
  <si>
    <t>ФЕР10-01-047-04</t>
  </si>
  <si>
    <t>Установка блоков из ПВХ в наружных и внутренних дверных проемах: в перегородках и деревянных нерубленных стенах площадью проема до 3 м2</t>
  </si>
  <si>
    <t>0,2251</t>
  </si>
  <si>
    <t>Объем=(2,1*0,81*3+2,1*0,91*8+2,1*1,01*1) / 100</t>
  </si>
  <si>
    <t>11.3.01.02</t>
  </si>
  <si>
    <t>Блоки дверные входные из поливинилхлоридных профилей</t>
  </si>
  <si>
    <t>22,51</t>
  </si>
  <si>
    <t>159,34</t>
  </si>
  <si>
    <t>44,8342925</t>
  </si>
  <si>
    <t>4,33</t>
  </si>
  <si>
    <t>1,2183538</t>
  </si>
  <si>
    <t>ФССЦ-11.3.01.02-0021</t>
  </si>
  <si>
    <t>Блок дверной входной из ПВХ-профилей, с простой коробкой, однопольный с простой фурнитурой, без стеклопакета по типу сэндвич, площадь от 1,5-2 м2</t>
  </si>
  <si>
    <t>20,391</t>
  </si>
  <si>
    <t>Объем=2,1*0,81*3+2,1*0,91*8</t>
  </si>
  <si>
    <t>ФССЦ-11.3.01.02-0019</t>
  </si>
  <si>
    <t>Блок дверной входной из ПВХ-профилей, с простой коробкой, однопольный с простой фурнитурой, без стеклопакета по типу сэндвич, площадь более 2 м2</t>
  </si>
  <si>
    <t>2,121</t>
  </si>
  <si>
    <t>Объем=2,1*1,01*1</t>
  </si>
  <si>
    <t>ФЕР10-01-060-01</t>
  </si>
  <si>
    <t>Установка и крепление наличников</t>
  </si>
  <si>
    <t>1,2224</t>
  </si>
  <si>
    <t>Объем=(((2,1*2+0,81)*3+(2,1*2+0,91)*8+(2,1*2+1,01)*1)*2) / 100</t>
  </si>
  <si>
    <t>11.1.01.10</t>
  </si>
  <si>
    <t>Наличники</t>
  </si>
  <si>
    <t>136,9088</t>
  </si>
  <si>
    <t>7,82</t>
  </si>
  <si>
    <t>11,94896</t>
  </si>
  <si>
    <t>0,06112</t>
  </si>
  <si>
    <t>ФССЦ-11.3.03.02-0004</t>
  </si>
  <si>
    <t>Наличники из ПВХ, ширина 70 мм</t>
  </si>
  <si>
    <t>136,9</t>
  </si>
  <si>
    <t>ФЕР09-04-013-01</t>
  </si>
  <si>
    <t>Установка противопожарных дверей: однопольных глухих</t>
  </si>
  <si>
    <t>Объем=2,1*1,01</t>
  </si>
  <si>
    <t>07.1.01.01</t>
  </si>
  <si>
    <t>Дверь противопожарная металлическая</t>
  </si>
  <si>
    <t>2,07</t>
  </si>
  <si>
    <t>5,4880875</t>
  </si>
  <si>
    <t>0,053025</t>
  </si>
  <si>
    <t>ФССЦ-07.1.01.01-0013</t>
  </si>
  <si>
    <t>Дверь противопожарная металлическая однопольная ДПМ-01/30, размером 900х2100 мм</t>
  </si>
  <si>
    <t>Итоги по разделу 4 Двери :</t>
  </si>
  <si>
    <t xml:space="preserve">  Итого по разделу 4 Двери</t>
  </si>
  <si>
    <t>Раздел 5. Устройство витражей</t>
  </si>
  <si>
    <t>0,173</t>
  </si>
  <si>
    <t>Объем=17,3 / 100</t>
  </si>
  <si>
    <t>17,646</t>
  </si>
  <si>
    <t>21,300625</t>
  </si>
  <si>
    <t>0,263825</t>
  </si>
  <si>
    <t>17,65</t>
  </si>
  <si>
    <t>ФЕР09-01-002-04</t>
  </si>
  <si>
    <t>Монтаж элементов каркасов быстровозводимых одноэтажных зданий из стальных сварных профилей на болтовых соединениях (без применения сварки): элементов обрамления проемов</t>
  </si>
  <si>
    <t>Объем=6,57/1000</t>
  </si>
  <si>
    <t>01.7.15.03</t>
  </si>
  <si>
    <t>Болты с гайками</t>
  </si>
  <si>
    <t>198,44</t>
  </si>
  <si>
    <t>1,73635</t>
  </si>
  <si>
    <t>0,018025</t>
  </si>
  <si>
    <t>Итоги по разделу 5 Устройство витражей :</t>
  </si>
  <si>
    <t xml:space="preserve">  Итого по разделу 5 Устройство витражей</t>
  </si>
  <si>
    <t>Раздел 6. Полы</t>
  </si>
  <si>
    <t>0,584</t>
  </si>
  <si>
    <t>Объем=58,4 / 100</t>
  </si>
  <si>
    <t>1,19136</t>
  </si>
  <si>
    <t>114,61</t>
  </si>
  <si>
    <t>1,6863</t>
  </si>
  <si>
    <t>44,676</t>
  </si>
  <si>
    <t>0,146</t>
  </si>
  <si>
    <t>Мозаичное покрытие АЛЬФАПОЛ МБ, 40 мм</t>
  </si>
  <si>
    <t>2,336</t>
  </si>
  <si>
    <t>Объем=58,4*0,04</t>
  </si>
  <si>
    <t>ФЕР08-02-007-03</t>
  </si>
  <si>
    <t>Установка металлических решеток приямков</t>
  </si>
  <si>
    <t>0,024</t>
  </si>
  <si>
    <t>Объем=2*12/1000</t>
  </si>
  <si>
    <t>Изделия металлические (стяжки, прижимы, планки)</t>
  </si>
  <si>
    <t>42,3</t>
  </si>
  <si>
    <t>1,269</t>
  </si>
  <si>
    <t>2,34</t>
  </si>
  <si>
    <t>0,0702</t>
  </si>
  <si>
    <t>Приказ Минстроя России № 812/пр от 21.12.2020 Прил. п.8</t>
  </si>
  <si>
    <t>НР Конструкции из кирпича и блоков</t>
  </si>
  <si>
    <t>110</t>
  </si>
  <si>
    <t>Приказ Минстроя России № 774/пр от 11.12.2020 Прил. п.8</t>
  </si>
  <si>
    <t>СП Конструкции из кирпича и блоков</t>
  </si>
  <si>
    <t>69</t>
  </si>
  <si>
    <t>ФССЦ-07.2.07.04-0007</t>
  </si>
  <si>
    <t>Конструкции стальные индивидуальные решетчатые сварные, масса до 0,1 т (Решетка 1000х500х20)</t>
  </si>
  <si>
    <t>Итоги по разделу 6 Полы :</t>
  </si>
  <si>
    <t xml:space="preserve">  Итого по разделу 6 Полы</t>
  </si>
  <si>
    <t>Раздел 7. Установка модулей</t>
  </si>
  <si>
    <t>ФЕРм37-01-001-08</t>
  </si>
  <si>
    <t>Монтаж сосудов и аппаратов без механизмов на открытой площадке, масса сосудов и аппаратов: 3 т</t>
  </si>
  <si>
    <t>Приказ от 04.09.2019 № 519/пр п.5.8 Табл.1</t>
  </si>
  <si>
    <t>Коэффициент изменения массы оборудования: 0,81-0,90 ПЗ=0,95 (ОЗП=0,95; ЭМ=0,95 к расх.; ЗПМ=0,95; МАТ=0,95 к расх.; ТЗ=0,95; ТЗМ=0,95)</t>
  </si>
  <si>
    <t>0,95</t>
  </si>
  <si>
    <t>843,6</t>
  </si>
  <si>
    <t>60,42</t>
  </si>
  <si>
    <t>Приказ Минстроя России № 812/пр от 21.12.2020 Прил. п.79</t>
  </si>
  <si>
    <t>НР Оборудование общего назначения</t>
  </si>
  <si>
    <t>Приказ Минстроя России № 774/пр от 11.12.2020 Прил. п.79</t>
  </si>
  <si>
    <t>СП Оборудование общего назначения</t>
  </si>
  <si>
    <t>ТЦ_102_77_7814462092_01.03.2021_01 Том 11.4, с.6 п.2</t>
  </si>
  <si>
    <t>Модульное здание КПП размером 9.77х14.6м. Комплектность 12 модулей размером 4.88х2.43х2.8м</t>
  </si>
  <si>
    <t>Итоги по разделу 7 Установка модулей :</t>
  </si>
  <si>
    <t xml:space="preserve">  Итого по разделу 7 Установка модулей</t>
  </si>
  <si>
    <t>Раздел 8. Доставка материалов ФССЦ сверх нормы 30 км. (Д-ДРП-20-016-ПОС, транспортная схема, л.2)</t>
  </si>
  <si>
    <t>Перевозка грузов автомобилями бортовыми грузоподъемностью до 5 т на расстояние L=130 км от г. Нальчик до площадки строительства, за исключением 30 км, учтенных в СНБ (итого: 100 км): I класс груза (плиты Тип 1 и Тип 2, решетка, сталь кровельная, сэндвич-панели, листы ГКЛ, двери противопожарные)</t>
  </si>
  <si>
    <t>11,285</t>
  </si>
  <si>
    <t>Объем=4,081+0,024+0,544+1,956+2,372+2,21+0,098</t>
  </si>
  <si>
    <t>Перевозка грузов автомобилями бортовыми грузоподъемностью до 5 т на расстояние L=130 км от г. Нальчик  до площадки строительства, за исключением 30 км, учтенных в СНБ (итого: 100км), II класс груза ( оргстекло, водосточная система, двери ПВХ,Противопожарные двери )</t>
  </si>
  <si>
    <t>0,955</t>
  </si>
  <si>
    <t>Объем=0,099+0,022+0,011+0,004+0,742+0,077</t>
  </si>
  <si>
    <t>Калькуляция №1, раздел 4</t>
  </si>
  <si>
    <t>Перевозка грузов автомобилями бортовыми грузоподъемностью до 5 т  на расстояние L=130 км от г. Нальчик до площадки строительства, за исключением 30 км, учтенных в СНБ (итого: 100 км), III класс груза (наличники)</t>
  </si>
  <si>
    <t>0,068</t>
  </si>
  <si>
    <t>Итоги по разделу 8 Доставка материалов ФССЦ сверх нормы 30 км. (Д-ДРП-20-016-ПОС, транспортная схема, л.2) :</t>
  </si>
  <si>
    <t xml:space="preserve">  Итого по разделу 8 Доставка материалов ФССЦ сверх нормы 30 км. (Д-ДРП-20-016-ПОС, транспортная схема, л.2)</t>
  </si>
  <si>
    <t>ЛОКАЛЬНЫЙ СМЕТНЫЙ РАСЧЕТ (СМЕТА) № 03-01-02</t>
  </si>
  <si>
    <t>Д-ДРП-20-016-КР2</t>
  </si>
  <si>
    <t>0,07597</t>
  </si>
  <si>
    <t>Объем=75,97 / 1000</t>
  </si>
  <si>
    <t>6,2200438</t>
  </si>
  <si>
    <t>0,00265</t>
  </si>
  <si>
    <t>Объем=2,65 / 1000</t>
  </si>
  <si>
    <t>0,159</t>
  </si>
  <si>
    <t>0,1225625</t>
  </si>
  <si>
    <t>0,0265</t>
  </si>
  <si>
    <t>Объем=2,65 / 100</t>
  </si>
  <si>
    <t>0,49555</t>
  </si>
  <si>
    <t>0,1036813</t>
  </si>
  <si>
    <t>174,731</t>
  </si>
  <si>
    <t>Объем=75,97*2,3</t>
  </si>
  <si>
    <t>Раздел 2. Железбетонные конструкции</t>
  </si>
  <si>
    <t>0,2383</t>
  </si>
  <si>
    <t>Объем=23,83 / 100</t>
  </si>
  <si>
    <t>24,3066</t>
  </si>
  <si>
    <t>40,213125</t>
  </si>
  <si>
    <t>5,397495</t>
  </si>
  <si>
    <t>0,6372</t>
  </si>
  <si>
    <t>Объем=63.72 / 100</t>
  </si>
  <si>
    <t>64,6758</t>
  </si>
  <si>
    <t>5,16132</t>
  </si>
  <si>
    <t>142,5735</t>
  </si>
  <si>
    <t>22,74804</t>
  </si>
  <si>
    <t>Надбавка на водопрониаемость: Смеси бетонные, БСГ, тяжелого бетона  класс: B25 (М350), F150, W6</t>
  </si>
  <si>
    <t>63,72</t>
  </si>
  <si>
    <t>4,115</t>
  </si>
  <si>
    <t>Объем=4114,96/1000</t>
  </si>
  <si>
    <t>ФЕР06-03-004-01</t>
  </si>
  <si>
    <t>Установка анкерных болтов: в готовые гнезда с заделкой длиной до 1 м</t>
  </si>
  <si>
    <t>0,0896</t>
  </si>
  <si>
    <t>Объем=32*2,8/1000</t>
  </si>
  <si>
    <t>289</t>
  </si>
  <si>
    <t>32,368</t>
  </si>
  <si>
    <t>0,06608</t>
  </si>
  <si>
    <t>0,028</t>
  </si>
  <si>
    <t>Объем=(0,14/0,05) / 100</t>
  </si>
  <si>
    <t>0,05712</t>
  </si>
  <si>
    <t>1,47</t>
  </si>
  <si>
    <t>0,00455</t>
  </si>
  <si>
    <t>На каждые 10 мм изменения толщины добавлять или исключать к расценке 06-03-002-01 (до 50 мм)</t>
  </si>
  <si>
    <t>0,08568</t>
  </si>
  <si>
    <t>1,26</t>
  </si>
  <si>
    <t>0,0063</t>
  </si>
  <si>
    <t>ФССЦ-04.1.02.05-0011</t>
  </si>
  <si>
    <t>Смеси бетонные тяжелого бетона (БСТ), класс В30 (М400)</t>
  </si>
  <si>
    <t>0,1428</t>
  </si>
  <si>
    <t>Объем=0,0571+0,0857</t>
  </si>
  <si>
    <t>2,2992</t>
  </si>
  <si>
    <t>Объем=229,92 / 100</t>
  </si>
  <si>
    <t>0,551808</t>
  </si>
  <si>
    <t>44,66196</t>
  </si>
  <si>
    <t>2,1555</t>
  </si>
  <si>
    <t>ФЕР11-01-004-08</t>
  </si>
  <si>
    <t>Устройство гидроизоляции обмазочной: на каждый последующий слой толщиной 1 мм добавлять к расценке 11-01-004-07</t>
  </si>
  <si>
    <t>0,275904</t>
  </si>
  <si>
    <t>4,92</t>
  </si>
  <si>
    <t>14,14008</t>
  </si>
  <si>
    <t>0,37</t>
  </si>
  <si>
    <t>1,06338</t>
  </si>
  <si>
    <t>367,872</t>
  </si>
  <si>
    <t>Объем=229,92*1,6</t>
  </si>
  <si>
    <t>Итоги по разделу 2 Железбетонные конструкции :</t>
  </si>
  <si>
    <t xml:space="preserve">  Итого по разделу 2 Железбетонные конструкции</t>
  </si>
  <si>
    <t>Раздел 3. Монтаж металлоконструкций каркаса</t>
  </si>
  <si>
    <t>Монтаж балок, ригелей перекрытия, покрытия и под установку оборудования многоэтажных зданий при высоте здания: до 25 м (Б1 и Б2)</t>
  </si>
  <si>
    <t>29,7414</t>
  </si>
  <si>
    <t>Объем=28589,28*1,01*1,03/1000</t>
  </si>
  <si>
    <t>579,9573</t>
  </si>
  <si>
    <t>107,06904</t>
  </si>
  <si>
    <t>ФССЦ-07.2.07.12-0022</t>
  </si>
  <si>
    <t>Элементы конструктивные зданий и сооружений с преобладанием горячекатаных профилей, средняя масса сборочной единицы свыше 1 до 3 т</t>
  </si>
  <si>
    <t>ФЕР09-03-012-12</t>
  </si>
  <si>
    <t>Монтаж опорных стоек для пролетов: до 24 м (Ст1 и Ст2)</t>
  </si>
  <si>
    <t>5,78</t>
  </si>
  <si>
    <t>2,29</t>
  </si>
  <si>
    <t>ФССЦ-07.2.07.12-0012</t>
  </si>
  <si>
    <t>Элементы конструктивные зданий и сооружений с преобладанием гнутосварных профилей и круглых труб, средняя масса сборочной единицы от 0,1 до 0,5 т</t>
  </si>
  <si>
    <t>1,112</t>
  </si>
  <si>
    <t>Объем=1068,94*1,01*1,03/1000</t>
  </si>
  <si>
    <t>54,9745</t>
  </si>
  <si>
    <t>5,5739</t>
  </si>
  <si>
    <t>ФССЦ-07.2.07.12-0032</t>
  </si>
  <si>
    <t>Прочие конструкции одноэтажных производственных зданий, масса сборочной единицы от 0,1 до 0,5 т</t>
  </si>
  <si>
    <t>9,0064</t>
  </si>
  <si>
    <t>Объем=900,64 / 100</t>
  </si>
  <si>
    <t>46,1578</t>
  </si>
  <si>
    <t>0,22516</t>
  </si>
  <si>
    <t>23,97954</t>
  </si>
  <si>
    <t>180,128</t>
  </si>
  <si>
    <t>Объем=900,64*0,2</t>
  </si>
  <si>
    <t>Итоги по разделу 3 Монтаж металлоконструкций каркаса :</t>
  </si>
  <si>
    <t xml:space="preserve">  Итого по разделу 3 Монтаж металлоконструкций каркаса</t>
  </si>
  <si>
    <t>Раздел 4. Кровля (Обрешетка учтена в марке АР)</t>
  </si>
  <si>
    <t>ФЕР10-02-036-01</t>
  </si>
  <si>
    <t>Установка стропил</t>
  </si>
  <si>
    <t>2,79</t>
  </si>
  <si>
    <t>11,8</t>
  </si>
  <si>
    <t>41,1525</t>
  </si>
  <si>
    <t>0,34</t>
  </si>
  <si>
    <t>1,18575</t>
  </si>
  <si>
    <t>ФССЦ-11.1.03.03-0005</t>
  </si>
  <si>
    <t>Брусья необрезные хвойных пород, длина 2-3,75 м, все ширины, толщина 150 мм и более, I сорт</t>
  </si>
  <si>
    <t>Итоги по разделу 4 Кровля (Обрешетка учтена в марке АР) :</t>
  </si>
  <si>
    <t xml:space="preserve">  Итого по разделу 4 Кровля (Обрешетка учтена в марке АР)</t>
  </si>
  <si>
    <t>Раздел 5. Доставка материалов ФССЦ сверх нормы 30 км. (Д-ДРП-20-016-ПОС, транспортная схема, л.2)</t>
  </si>
  <si>
    <t>Перевозка грузов автомобилями бортовыми грузоподъемностью до 5 т на расстояние L=130 км от г. Нальчик до площадки строительства, за исключением 30 км, учтенных в СНБ (итого: 100 км): I класс груза (арматура, металлоконструкции)</t>
  </si>
  <si>
    <t>36,423</t>
  </si>
  <si>
    <t>Объем=4,115+29,741+1,455+1,112</t>
  </si>
  <si>
    <t>Перевозка грузов автомобилями бортовыми грузоподъемностью до 5 т на расстояние L=130 км от г. Нальчик  до площадки строительства, за исключением 30 км, учтенных в СНБ (итого: 100км), II класс груза ( брус, мастика)</t>
  </si>
  <si>
    <t>2,438</t>
  </si>
  <si>
    <t>Объем=1,702+0,736</t>
  </si>
  <si>
    <t>Итоги по разделу 5 Доставка материалов ФССЦ сверх нормы 30 км. (Д-ДРП-20-016-ПОС, транспортная схема, л.2) :</t>
  </si>
  <si>
    <t xml:space="preserve">  Итого по разделу 5 Доставка материалов ФССЦ сверх нормы 30 км. (Д-ДРП-20-016-ПОС, транспортная схема, л.2)</t>
  </si>
  <si>
    <t>ЛОКАЛЬНЫЙ СМЕТНЫЙ РАСЧЕТ (СМЕТА) № 03-01-03</t>
  </si>
  <si>
    <t>(2,37)</t>
  </si>
  <si>
    <t>(6,42)</t>
  </si>
  <si>
    <t>(96,03)</t>
  </si>
  <si>
    <t>5,15</t>
  </si>
  <si>
    <t>0,775</t>
  </si>
  <si>
    <t>ТЦ_62.5.03.04_78_7808011951_01.03.2021_01 том 11.4.стр.42, п.136</t>
  </si>
  <si>
    <t>Щит силовой, навесного исполнения, номинальное напряжение ~380 В; частота 50 Гц, ввод кабелей сверху, степень защиты P31, 540х600х120 мм, с шиной N изолированной от корпуса щита; с шиной РЕ изолированной от корпуса щита; вводной трехполюсный автоматический выключатель ВА47-100, характеристика С, Iном.= 100А – 1 шт., на отходящих линиях: однополюсный автоматический выключатель ВА47-60М, характеристика С Iном. = 6A – 1 шт., Iном. = 10A – 4 шт., Iном.= 16А – 1 шт., Iном.= 20А – 1 шт., Iном.= 40А – 1 шт., двухполюсный дифференциальные автоматический выключатель АВДТ32ЕМ, характеристика С, 30мА, Iном. = 16A – 23 шт.; трехполюсный автоматический выключатель ВА47-60М, характеристика С, Iном.= 63 А – 1 шт.; контактор однополюсный 1НО Iном. = 20A – 10 шт., Iном.= 25А – 1 шт.ЩРн-72з-1 согласно ПД Д-ДРП-20-016-ИОС1.1-ЭС лист. 2</t>
  </si>
  <si>
    <t>3
О</t>
  </si>
  <si>
    <t>ТЦ_62.1.02.14_77_7731593655_01.03.2021_01 том 11.4. стр.75,п.265</t>
  </si>
  <si>
    <t>Щит электрообогрева, номинальное напряжение ~380 В; частота 50 Гц, ввод кабелей сверху, степень защиты P31, 620х310х120 мм, навесного исполнения, с шиной N изолированной от корпуса щита; с шиной РЕ изолированной от корпуса щита; вводной трехполюсный автоматический выключатель, характеристика С, Iном.= 50 А – 1 шт., на отходящих линиях: четырехполюсный дифференциальные автоматический выключатель, характеристика С, 30мА Iном. = 16A – 1 шт.; Iном. = 20A – 1 шт.; Iном. = 32A – 1 шт.; контактор трехполюсный 1НО Iном. = 25A – 2 шт., Iном.= 40А – 1 шт.ШУ-ЕЭ-АС-21-0057-01 лист 3</t>
  </si>
  <si>
    <t>0,91</t>
  </si>
  <si>
    <t>Объем=(1*3+27*3+1*3+1*4) / 100</t>
  </si>
  <si>
    <t>17,574375</t>
  </si>
  <si>
    <t>0,02275</t>
  </si>
  <si>
    <t>ФЕРм08-03-574-02</t>
  </si>
  <si>
    <t>Разводка по устройствам и подключение жил кабелей или проводов сечением: до 16 мм2</t>
  </si>
  <si>
    <t>Объем=(1*5) / 100</t>
  </si>
  <si>
    <t>29,87</t>
  </si>
  <si>
    <t>1,866875</t>
  </si>
  <si>
    <t>0,00125</t>
  </si>
  <si>
    <t>ФЕРм08-03-574-04</t>
  </si>
  <si>
    <t>Разводка по устройствам и подключение жил кабелей или проводов сечением: до 70 мм2</t>
  </si>
  <si>
    <t>40,17</t>
  </si>
  <si>
    <t>2,510625</t>
  </si>
  <si>
    <t>0,00375</t>
  </si>
  <si>
    <t>Объем=(3*5) / 100</t>
  </si>
  <si>
    <t>2,896875</t>
  </si>
  <si>
    <t>ФЕРм08-03-603-01</t>
  </si>
  <si>
    <t>Ящик с понижающим трансформатором</t>
  </si>
  <si>
    <t>1,14</t>
  </si>
  <si>
    <t>4,275</t>
  </si>
  <si>
    <t>0,075</t>
  </si>
  <si>
    <t>ФССЦ-62.1.02.22-0033</t>
  </si>
  <si>
    <t>Ящики с понижающим трансформатором автомат. выключателем,: 36в ЯТП-0,25-1</t>
  </si>
  <si>
    <t>(Инженерное оборудование)</t>
  </si>
  <si>
    <t xml:space="preserve">          Оборудование</t>
  </si>
  <si>
    <t xml:space="preserve">          Инженерное оборудование</t>
  </si>
  <si>
    <t>0,41</t>
  </si>
  <si>
    <t>Объем=(13+7+15+1+5) / 100</t>
  </si>
  <si>
    <t>36,203</t>
  </si>
  <si>
    <t>0,896875</t>
  </si>
  <si>
    <t>ТЦ_20.3.03.07_77_7734647080_01.03.2021_01 том 11.4. стр.63,п.213</t>
  </si>
  <si>
    <t>Светильник светодиодный, накладной, 400 К, мощностью 25 Вт Universal 25 Econex</t>
  </si>
  <si>
    <t>ТЦ_20.3.03.07_77_7734647080_01.03.2021_01 том 11.4. стр.62,п.214</t>
  </si>
  <si>
    <t>Светильник светодиодный, накладной, 400 К, мощностью 25 Вт, с аккумуляторным блоком Universal 25 Econex</t>
  </si>
  <si>
    <t>ТЦ_20.3.03.07_77_7734647080_01.03.2021_01 том 11.4. стр.61,п.211</t>
  </si>
  <si>
    <t>ТЦ_20.3.03.07_77_7734647080_01.03.2021_01 том 11.4.стр.61,п.212</t>
  </si>
  <si>
    <t>Светильник светодиодный, накладной, 400 К, мощностью 49 Вт, с аккумуляторным блоком Universal 50 Econex</t>
  </si>
  <si>
    <t>ТЦ_20.3.03.07_77_7734647080_01.03.2021_01 том 11.4.стр.62,п.215</t>
  </si>
  <si>
    <t>Светильник светодиодный, накладной, 400 К, мощностью 12 Вт, степень защиты IP65 Budget 12 Econex</t>
  </si>
  <si>
    <t>ФЕРм08-03-591-01</t>
  </si>
  <si>
    <t>Выключатель: одноклавишный неутопленного типа при открытой проводке</t>
  </si>
  <si>
    <t>0,14</t>
  </si>
  <si>
    <t>Объем=14 / 100</t>
  </si>
  <si>
    <t>31,6</t>
  </si>
  <si>
    <t>5,53</t>
  </si>
  <si>
    <t>0,00875</t>
  </si>
  <si>
    <t>ТЦ_20.4.01.02_77_7816515991_01.03.2021_01 том 11.4. стр.43,п.138</t>
  </si>
  <si>
    <t>Выключатель одноклавишный, 220 В, 10 А, степень защиты IP20, скрытой установки (9742426) Шнайдер Электрик</t>
  </si>
  <si>
    <t>0,08</t>
  </si>
  <si>
    <t>Объем=8 / 100</t>
  </si>
  <si>
    <t>6,08</t>
  </si>
  <si>
    <t>0,012</t>
  </si>
  <si>
    <t>ТЦ_20.4.01.02_77_7816515991_01.03.2021_01 том 11.4. стр.43,п.139</t>
  </si>
  <si>
    <t>Выключатель одноклавишный, 220 В, 10 А, степень защиты IP44, скрытой установки Шнайдер электрик</t>
  </si>
  <si>
    <t>ФЕРм08-03-591-08</t>
  </si>
  <si>
    <t>Розетка штепсельная: неутопленного типа при открытой проводке</t>
  </si>
  <si>
    <t>Объем=40 / 100</t>
  </si>
  <si>
    <t>34,56</t>
  </si>
  <si>
    <t>17,28</t>
  </si>
  <si>
    <t>0,025</t>
  </si>
  <si>
    <t>ТЦ_20.9.03.01_77_7816515991_01.03.2021_01том 11.4. стр.43,п.140</t>
  </si>
  <si>
    <t>Розетка штепсельная одноместная, с заземлением, со шторками, 220 В, 16 А, степень защиты IP20, срытой установки Шнайдер электрик</t>
  </si>
  <si>
    <t>ФЕРм08-03-591-10</t>
  </si>
  <si>
    <t>Розетка штепсельная: полугерметическая и герметическая</t>
  </si>
  <si>
    <t>Объем=4 / 100</t>
  </si>
  <si>
    <t>60,88</t>
  </si>
  <si>
    <t>3,044</t>
  </si>
  <si>
    <t>0,008</t>
  </si>
  <si>
    <t>ТЦ_20.9.03.01_77_7816515991_01.03.2021_01 том 11.4. стр.44,п.141</t>
  </si>
  <si>
    <t>Розетка штепсельная одноместная, с заземлением, со шторками, 220 В, 16 А, степень защиты IP44, срытой установки Шнайдер электрик</t>
  </si>
  <si>
    <t>7,9</t>
  </si>
  <si>
    <t>Объем=(130+645+10+5) / 100</t>
  </si>
  <si>
    <t>150,1</t>
  </si>
  <si>
    <t>ФССЦ-24.3.01.02-0021</t>
  </si>
  <si>
    <t>Трубы из самозатухающего ПВХ гибкие гофрированные, легкие, с зондом, номинальный внутренний диаметр 16 мм</t>
  </si>
  <si>
    <t>132,6</t>
  </si>
  <si>
    <t>Объем=130*1,02</t>
  </si>
  <si>
    <t>ФССЦ-24.3.01.02-0022</t>
  </si>
  <si>
    <t>Трубы гибкие гофрированные легкие из самозатухающего ПВХ (IP55) серии FL, с зондом, диаметром: 20 мм</t>
  </si>
  <si>
    <t>10 м</t>
  </si>
  <si>
    <t>65,79</t>
  </si>
  <si>
    <t>Объем=(645*1,02) / 10</t>
  </si>
  <si>
    <t>ФССЦ-24.3.01.02-0023</t>
  </si>
  <si>
    <t>Трубы гибкие гофрированные легкие из самозатухающего ПВХ (IP55) серии FL, с зондом, диаметром: 25 мм</t>
  </si>
  <si>
    <t>Объем=(10*1,02) / 10</t>
  </si>
  <si>
    <t>ФССЦ-24.3.01.02-0026</t>
  </si>
  <si>
    <t>Трубы из самозатухающего ПВХ гибкие гофрированные, легкие, с зондом, номинальный внутренний диаметр 50 мм</t>
  </si>
  <si>
    <t>5,1</t>
  </si>
  <si>
    <t>Объем=5*1,02</t>
  </si>
  <si>
    <t>Объем=(80+55) / 100</t>
  </si>
  <si>
    <t>9,095625</t>
  </si>
  <si>
    <t>0,0675</t>
  </si>
  <si>
    <t>0,0816</t>
  </si>
  <si>
    <t>Объем=(80*1,02) / 1000</t>
  </si>
  <si>
    <t>ФССЦ-21.1.06.10-0249</t>
  </si>
  <si>
    <t>Кабель силовой с медными жилами ВВГнг-FRLS 4х1,5-1000</t>
  </si>
  <si>
    <t>0,0561</t>
  </si>
  <si>
    <t>Объем=(55*1,02) / 1000</t>
  </si>
  <si>
    <t>ФЕРм08-02-412-03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</si>
  <si>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16 мм2</t>
  </si>
  <si>
    <t>6,55</t>
  </si>
  <si>
    <t>Объем=655 / 100</t>
  </si>
  <si>
    <t>6,29</t>
  </si>
  <si>
    <t>51,499375</t>
  </si>
  <si>
    <t>0,49125</t>
  </si>
  <si>
    <t>ФССЦ-21.1.06.09-0152</t>
  </si>
  <si>
    <t>Кабель силовой с медными жилами ВВГнг(A)-LS 3х2,5-660</t>
  </si>
  <si>
    <t>0,6681</t>
  </si>
  <si>
    <t>Объем=(655*1,02) / 1000</t>
  </si>
  <si>
    <t>ФЕРм08-02-412-04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</si>
  <si>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35 мм2</t>
  </si>
  <si>
    <t>8,96</t>
  </si>
  <si>
    <t>1,344</t>
  </si>
  <si>
    <t>0,018</t>
  </si>
  <si>
    <t>ФССЦ-21.1.06.09-0154</t>
  </si>
  <si>
    <t>Кабель силовой с медными жилами ВВГнг(A)-LS 3х6-660</t>
  </si>
  <si>
    <t>ФЕРм08-02-412-06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</si>
  <si>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120 мм2</t>
  </si>
  <si>
    <t>Объем=5 / 100</t>
  </si>
  <si>
    <t>ФССЦ-21.1.06.09-0180</t>
  </si>
  <si>
    <t>Кабель силовой с медными жилами ВВГнг(A)-LS 5х16-660</t>
  </si>
  <si>
    <t>0,0051</t>
  </si>
  <si>
    <t>Объем=(5*1,02) / 1000</t>
  </si>
  <si>
    <t>62,5</t>
  </si>
  <si>
    <t>0,1</t>
  </si>
  <si>
    <t>Объем=10 / 100</t>
  </si>
  <si>
    <t>3,84</t>
  </si>
  <si>
    <t>Объем=384 / 100</t>
  </si>
  <si>
    <t>56,448</t>
  </si>
  <si>
    <t>19,728</t>
  </si>
  <si>
    <t>Комплект саморегулирующий ЕЭ-ХИТФЛЕКС НТКэ25</t>
  </si>
  <si>
    <t>391,68</t>
  </si>
  <si>
    <t>Объем=384*1,02</t>
  </si>
  <si>
    <t>ТЦ_21.1.07.00_77_7731593655_01.03.2021_01 том 11.4. стр.69,п.242</t>
  </si>
  <si>
    <t>Объем=20 / 100</t>
  </si>
  <si>
    <t>1,3475</t>
  </si>
  <si>
    <t>ТЦ_21.2.03.09_77_7731593655_01.03.2021_01 том 11.4. стр.69,п.243</t>
  </si>
  <si>
    <t>20,4</t>
  </si>
  <si>
    <t>Объем=20*1,02</t>
  </si>
  <si>
    <t>ТЦ_09.3.01.01_77_7731593655_01.03.2021_01 том 11.4. стр.69,п.244</t>
  </si>
  <si>
    <t>56</t>
  </si>
  <si>
    <t>Объем=100 / 100</t>
  </si>
  <si>
    <t>ФЕРм08-02-302-01</t>
  </si>
  <si>
    <t>Поперечины из троса, длина: до 30 м</t>
  </si>
  <si>
    <t>2,55</t>
  </si>
  <si>
    <t>0,32</t>
  </si>
  <si>
    <t>10,2</t>
  </si>
  <si>
    <t>Объем=10*1,02</t>
  </si>
  <si>
    <t>64</t>
  </si>
  <si>
    <t>450</t>
  </si>
  <si>
    <t>68</t>
  </si>
  <si>
    <t>600</t>
  </si>
  <si>
    <t>0,7375</t>
  </si>
  <si>
    <t>71</t>
  </si>
  <si>
    <t>6,175</t>
  </si>
  <si>
    <t>Заземление и молниезащита</t>
  </si>
  <si>
    <t>ФЕРм08-03-545-02</t>
  </si>
  <si>
    <t>Коробка (ящик) с зажимами для кабелей и проводов сечением до 6 мм2, устанавливаемая на конструкции на стене или колонне, количество зажимов: до 20</t>
  </si>
  <si>
    <t>4,46</t>
  </si>
  <si>
    <t>22,3</t>
  </si>
  <si>
    <t>76</t>
  </si>
  <si>
    <t>ФССЦ-20.5.02.06-0003</t>
  </si>
  <si>
    <t>Коробка разветвительная для открытой проводки KP 2606 "HEGEL" размером 150х110х70 мм (прим. КУП1102)</t>
  </si>
  <si>
    <t>Объем=4 / 10</t>
  </si>
  <si>
    <t>77</t>
  </si>
  <si>
    <t>0,88</t>
  </si>
  <si>
    <t>Объем=(28+40+20) / 100</t>
  </si>
  <si>
    <t>35,376</t>
  </si>
  <si>
    <t>0,066</t>
  </si>
  <si>
    <t>78</t>
  </si>
  <si>
    <t>ФССЦ-21.2.03.05-0066</t>
  </si>
  <si>
    <t>Провод силовой установочный с медными жилами ПуГВ 1х2,5-450</t>
  </si>
  <si>
    <t>0,02856</t>
  </si>
  <si>
    <t>Объем=(28*1,02) / 1000</t>
  </si>
  <si>
    <t>79</t>
  </si>
  <si>
    <t>Провод силовой установочный с медными жилами ПВ3 6-450</t>
  </si>
  <si>
    <t>0,0408</t>
  </si>
  <si>
    <t>Объем=(40*1,02) / 1000</t>
  </si>
  <si>
    <t>ФССЦ-21.2.03.05-0074</t>
  </si>
  <si>
    <t>Провод силовой установочный с медными жилами ПуГВ 1х25-450</t>
  </si>
  <si>
    <t>0,0204</t>
  </si>
  <si>
    <t>Объем=(20*1,02) / 1000</t>
  </si>
  <si>
    <t>ФЕРм08-02-472-02</t>
  </si>
  <si>
    <t>Заземлитель горизонтальный из стали: полосовой сечением 160 мм2</t>
  </si>
  <si>
    <t>Объем=70 / 100</t>
  </si>
  <si>
    <t>12,6</t>
  </si>
  <si>
    <t>82</t>
  </si>
  <si>
    <t>ТЦ_08.3.05.05_78_7804526950_01.03.2021_01 том 11.4., стр.78,п.279</t>
  </si>
  <si>
    <t>Полоса стальная оцинкованная 40х5</t>
  </si>
  <si>
    <t>Приказ от 04.08.02020 №421/пр</t>
  </si>
  <si>
    <t>83</t>
  </si>
  <si>
    <t>ФЕРм08-02-472-06</t>
  </si>
  <si>
    <t>Проводник заземляющий открыто по строительным основаниям: из полосовой стали сечением 100 мм2</t>
  </si>
  <si>
    <t>Объем=65 / 100</t>
  </si>
  <si>
    <t>16,5</t>
  </si>
  <si>
    <t>13,40625</t>
  </si>
  <si>
    <t>0,27625</t>
  </si>
  <si>
    <t>ТЦ_08.3.05.05_78_7804526950_01.03.2021_01 том 11.4, стр.77,п.276</t>
  </si>
  <si>
    <t>Сталь полосовая 25х4 мм, оцинкованная</t>
  </si>
  <si>
    <t>85</t>
  </si>
  <si>
    <t>ФЕРм08-02-471-02</t>
  </si>
  <si>
    <t>Заземлитель вертикальный из угловой стали размером: 63х63х6 мм</t>
  </si>
  <si>
    <t>ТЦ_08.3.05.05_78_7804526950_01.03.2021_01 том 11.4. стр.64, п.222</t>
  </si>
  <si>
    <t>Сталь угловая равнополочная 63х63х6 мм, L=3000 мм,
оцинкованная</t>
  </si>
  <si>
    <t>87</t>
  </si>
  <si>
    <t>ФЕРм08-02-472-08</t>
  </si>
  <si>
    <t>Проводник заземляющий открыто по строительным основаниям: из круглой стали диаметром 8 мм</t>
  </si>
  <si>
    <t>17,5</t>
  </si>
  <si>
    <t>28,4375</t>
  </si>
  <si>
    <t>88</t>
  </si>
  <si>
    <t>ТЦ_08.4.03.04_78_7804526950_01.03.2021_01 том 11.4. стр.63, п.220</t>
  </si>
  <si>
    <t>Пруток стальной оцинкованный 8 мм</t>
  </si>
  <si>
    <t>130</t>
  </si>
  <si>
    <t>ТЦ_20.2.05.02_78_7804526950_01.03.2021_01 том 11.4.,стр.78, п.277</t>
  </si>
  <si>
    <t>Зажим соединительный круглого проводника 8-10 мм, оцинк 91071 EZETEK</t>
  </si>
  <si>
    <t>ТЦ_20.2.05.02_78_7804526950_01.03.2021_01 том 11.4. стр.78,стр.278</t>
  </si>
  <si>
    <t>Держатель проводника круглого 8-10 мм для плоской кровли, пластик с бетоном 91053 EZETEK</t>
  </si>
  <si>
    <t>105</t>
  </si>
  <si>
    <t>Земляные работы (траншея под заземление)</t>
  </si>
  <si>
    <t>91</t>
  </si>
  <si>
    <t>0,196</t>
  </si>
  <si>
    <t>Объем=(0,7*0,4*70) / 100</t>
  </si>
  <si>
    <t>87,22</t>
  </si>
  <si>
    <t>ФЕР01-02-061-03</t>
  </si>
  <si>
    <t>Засыпка вручную траншей, пазух котлованов и ям, группа грунтов: 3</t>
  </si>
  <si>
    <t>29,645</t>
  </si>
  <si>
    <t>Объем=19,6 / 100</t>
  </si>
  <si>
    <t>3,6652</t>
  </si>
  <si>
    <t>0,76685</t>
  </si>
  <si>
    <t>Объем=0,015+0,147+0,005+0,006</t>
  </si>
  <si>
    <t>Перевозка материалов бортовым автомобилем гп 5 т на расстояние L=130 км от г. Нальчик  до площадки строительства, за исключением 30 км, учтенных в СНБ (итого: 100 км), I класс груза (Провод)</t>
  </si>
  <si>
    <t>Объем=0,001+0,004+0,006</t>
  </si>
  <si>
    <t>ЛОКАЛЬНЫЙ СМЕТНЫЙ РАСЧЕТ (СМЕТА) № 03-01-04</t>
  </si>
  <si>
    <t>Д-ДРП-20-016-ИОС2.1-ВК</t>
  </si>
  <si>
    <t>01.01.2000г. с переводом в текущие цены на  2 кв.2021г.</t>
  </si>
  <si>
    <t>(0,41)</t>
  </si>
  <si>
    <t>(3,45)</t>
  </si>
  <si>
    <t>Раздел 1. В1, Т3</t>
  </si>
  <si>
    <t>Водомерный узел В1</t>
  </si>
  <si>
    <t>ФЕР18-07-001-02</t>
  </si>
  <si>
    <t>Установка манометров: с трехходовым краном</t>
  </si>
  <si>
    <t>0,22</t>
  </si>
  <si>
    <t>0,275</t>
  </si>
  <si>
    <t>ТЦ_63.4.01.02_77_7702680818_01.03.2021_01, Том 11.4, с.41, п.129</t>
  </si>
  <si>
    <t>Манометр ДМ 02-100</t>
  </si>
  <si>
    <t>ФССЦ-18.1.06.10-0012</t>
  </si>
  <si>
    <t>Кран трехходовой для манометра, номинальное давление 1,6 МПа (16 кгс/см2), номинальный диаметр 15 мм</t>
  </si>
  <si>
    <t>ФЕР16-06-005-01</t>
  </si>
  <si>
    <t>Установка счетчиков (водомеров) диаметром: до 40 мм</t>
  </si>
  <si>
    <t>0,5125</t>
  </si>
  <si>
    <t>ФССЦ-65.1.04.03-0032</t>
  </si>
  <si>
    <t>Счетчики холодной воды ВСХ, диаметр 15 мм</t>
  </si>
  <si>
    <t>Прокладка труб</t>
  </si>
  <si>
    <t>ФЕР16-04-002-03</t>
  </si>
  <si>
    <t>Прокладка трубопроводов водоснабжения из напорных полиэтиленовых труб наружным диаметром: 32 мм</t>
  </si>
  <si>
    <t>18.1.09.06</t>
  </si>
  <si>
    <t>Арматура муфтовая</t>
  </si>
  <si>
    <t>23.1.02.07</t>
  </si>
  <si>
    <t>Крепления</t>
  </si>
  <si>
    <t>24.3.03.13</t>
  </si>
  <si>
    <t>Трубы полиэтиленовые</t>
  </si>
  <si>
    <t>93,8</t>
  </si>
  <si>
    <t>3,752</t>
  </si>
  <si>
    <t>24.3.05.19</t>
  </si>
  <si>
    <t>Фасонные и соединительные части к полиэтиленовым трубам</t>
  </si>
  <si>
    <t>5,25</t>
  </si>
  <si>
    <t>4,26</t>
  </si>
  <si>
    <t>0,213</t>
  </si>
  <si>
    <t>Труба ПЭ100 SDR17 диам. 32х2 Ду25</t>
  </si>
  <si>
    <t>м.</t>
  </si>
  <si>
    <t>ФЕР22-01-021-11</t>
  </si>
  <si>
    <t>Укладка трубопроводов из полиэтиленовых труб диаметром: 500 мм</t>
  </si>
  <si>
    <t>0,004</t>
  </si>
  <si>
    <t>Объем=4/1000</t>
  </si>
  <si>
    <t>1010</t>
  </si>
  <si>
    <t>4,04</t>
  </si>
  <si>
    <t>569,8</t>
  </si>
  <si>
    <t>2,849</t>
  </si>
  <si>
    <t>143,88</t>
  </si>
  <si>
    <t>0,7194</t>
  </si>
  <si>
    <t>ФССЦ-24.3.03.13-0059</t>
  </si>
  <si>
    <t>Трубы напорные полиэтиленовые ПЭ100, стандартное размерное отношение SDR17, номинальный наружный диаметр 500 мм, толщина стенки 29,7 мм</t>
  </si>
  <si>
    <t>ФЕР22-05-005-01</t>
  </si>
  <si>
    <t>Протаскивание в футляр полиэтиленовых труб диаметром: 110 мм</t>
  </si>
  <si>
    <t>100 м трубы, уложенной в футляр</t>
  </si>
  <si>
    <t>4,4</t>
  </si>
  <si>
    <t>71,67</t>
  </si>
  <si>
    <t>3,5835</t>
  </si>
  <si>
    <t>0,0015</t>
  </si>
  <si>
    <t>ФЕР16-04-006-02</t>
  </si>
  <si>
    <t>Сборка узла трубопровода водоснабжения и отопления из многослойного полипропилена, армированного стекловолокном, раструбная сварка, наружный диаметр: 25 мм</t>
  </si>
  <si>
    <t>100 соединений</t>
  </si>
  <si>
    <t>Объем=15 / 100</t>
  </si>
  <si>
    <t>0,43875</t>
  </si>
  <si>
    <t>ФЕР16-04-005-03</t>
  </si>
  <si>
    <t>Прокладка внутренних трубопроводов водоснабжения и отопления из многослойных полипропиленовых труб, из заранее собранных узлов, наружным диаметром: 32 мм</t>
  </si>
  <si>
    <t>01.7.17.09</t>
  </si>
  <si>
    <t>Буры</t>
  </si>
  <si>
    <t>24.1.02.01</t>
  </si>
  <si>
    <t>Хомуты для крепления труб</t>
  </si>
  <si>
    <t>12,5</t>
  </si>
  <si>
    <t>0,625</t>
  </si>
  <si>
    <t>24.3.02.05</t>
  </si>
  <si>
    <t>Трубы напорные из полипропилена</t>
  </si>
  <si>
    <t>102,5</t>
  </si>
  <si>
    <t>5,125</t>
  </si>
  <si>
    <t>Фасонные и соединительные части</t>
  </si>
  <si>
    <t>12,8</t>
  </si>
  <si>
    <t>0,8</t>
  </si>
  <si>
    <t>0,003125</t>
  </si>
  <si>
    <t>ФССЦ-23.1.02.07-0001</t>
  </si>
  <si>
    <t>Крепления для трубопроводов оцинкованные: кронштейны, планки, хомуты</t>
  </si>
  <si>
    <t>Объем=7*0,13</t>
  </si>
  <si>
    <t>ФССЦ-24.3.02.05-0016</t>
  </si>
  <si>
    <t>Трубы полипропиленовые ПП-Р, номинальное давление 1,6 МПа, номинальный наружный диаметр 32 мм</t>
  </si>
  <si>
    <t>ФЕР16-04-005-02</t>
  </si>
  <si>
    <t>Прокладка внутренних трубопроводов водоснабжения и отопления из многослойных полипропиленовых труб, из заранее собранных узлов, наружным диаметром: 25 мм</t>
  </si>
  <si>
    <t>0,21099</t>
  </si>
  <si>
    <t>Объем=((20+0,304+0,201+0,134+0,46)) / 100</t>
  </si>
  <si>
    <t>14,3</t>
  </si>
  <si>
    <t>3,017157</t>
  </si>
  <si>
    <t>21,626475</t>
  </si>
  <si>
    <t>13,18</t>
  </si>
  <si>
    <t>3,4760603</t>
  </si>
  <si>
    <t>0,0105495</t>
  </si>
  <si>
    <t>3,72</t>
  </si>
  <si>
    <t>Объем=31*0,12</t>
  </si>
  <si>
    <t>ФССЦ-24.3.02.05-0003</t>
  </si>
  <si>
    <t>Трубы полипропиленовые ПП-Р, номинальное давление 1,0 МПа, номинальный наружный диаметр 25 мм</t>
  </si>
  <si>
    <t>20,5</t>
  </si>
  <si>
    <t>Отвод полипропиленый 90град. Dy25</t>
  </si>
  <si>
    <t>Тройник полипропиленовый Dy25х15</t>
  </si>
  <si>
    <t>Тройник полипропиленовый Dy25х20</t>
  </si>
  <si>
    <t>Переход полипропиленовый Dy25 на резьбу 1”</t>
  </si>
  <si>
    <t>ФССЦ-18.1.09.08-1044</t>
  </si>
  <si>
    <t>Кран шаровой латунный, номинальный диаметр 25 мм, резьбовое присоединение</t>
  </si>
  <si>
    <t>ФССЦ-18.2.08.05-0002</t>
  </si>
  <si>
    <t>Фильтры для очистки воды, ФММ-25, муфтовые</t>
  </si>
  <si>
    <t>ФССЦ-23.1.01.03-1008</t>
  </si>
  <si>
    <t>Компенсаторы антивибрационные, температура до 100 °C, давление до 16 бар, диаметр 25 мм</t>
  </si>
  <si>
    <t>ФЕР16-04-006-01</t>
  </si>
  <si>
    <t>Сборка узла трубопровода водоснабжения и отопления из многослойного полипропилена, армированного стекловолокном, раструбная сварка, наружный диаметр: 20 мм</t>
  </si>
  <si>
    <t>0,76</t>
  </si>
  <si>
    <t>Объем=(51+25) / 100</t>
  </si>
  <si>
    <t>1,482</t>
  </si>
  <si>
    <t>ФЕР16-04-005-01</t>
  </si>
  <si>
    <t>Прокладка внутренних трубопроводов водоснабжения и отопления из многослойных полипропиленовых труб, из заранее собранных узлов, наружным диаметром: 20 мм</t>
  </si>
  <si>
    <t>0,30126</t>
  </si>
  <si>
    <t>Объем=((26+0,464+1,008+0,285+0,342+1,219+0,4+0,408)) / 100</t>
  </si>
  <si>
    <t>16,7</t>
  </si>
  <si>
    <t>5,031042</t>
  </si>
  <si>
    <t>30,87915</t>
  </si>
  <si>
    <t>13,71</t>
  </si>
  <si>
    <t>5,1628433</t>
  </si>
  <si>
    <t>0,0075315</t>
  </si>
  <si>
    <t>5,72</t>
  </si>
  <si>
    <t>Объем=52*0,11</t>
  </si>
  <si>
    <t>ФССЦ-24.3.02.05-0014</t>
  </si>
  <si>
    <t>Трубы полипропиленовые ПП-Р, номинальное давление 1,6 МПа, номинальный наружный диаметр 20 мм</t>
  </si>
  <si>
    <t>26,65</t>
  </si>
  <si>
    <t>Отвод полипропиленый 90град. Dy20</t>
  </si>
  <si>
    <t>Отвод полипропиленый 90град. Dy16</t>
  </si>
  <si>
    <t>Отвод полипропиленый 90град. Dy20х16</t>
  </si>
  <si>
    <t>ТЦ_24.3.05.15_78_7814731027_01.03.2021_01, Том 9.4, с.100, п.364</t>
  </si>
  <si>
    <t>Тройник полипропиленовый Dy16</t>
  </si>
  <si>
    <t>ТЦ_24.3.05.15_78_7814731027_01.03.2021_01, Том 9.4, с.101, п.366</t>
  </si>
  <si>
    <t>Переход полипропиленовый Dy16 на резьбу 1/2”</t>
  </si>
  <si>
    <t>ТЦ_24.3.05.15_78_7814731027_01.03.2021_01, Том 9.4, с.101, п.367</t>
  </si>
  <si>
    <t>Переход полипропиленовый Dy20 на резьбу 3/4”</t>
  </si>
  <si>
    <t>ФССЦ-24.3.05.15-0191</t>
  </si>
  <si>
    <t>Тройник полипропиленовый, диаметр 20 мм</t>
  </si>
  <si>
    <t>ФССЦ-18.1.09.08-1040</t>
  </si>
  <si>
    <t>Кран шаровой латунный, номинальный диаметр 15 мм, резьбовое присоединение</t>
  </si>
  <si>
    <t>Объем=1+5</t>
  </si>
  <si>
    <t>ФССЦ-18.1.09.08-1042</t>
  </si>
  <si>
    <t>Кран шаровой латунный, номинальный диаметр 20 мм, резьбовое присоединение</t>
  </si>
  <si>
    <t>ФССЦ-23.1.01.03-1027</t>
  </si>
  <si>
    <t>Компенсаторы антивибрационные, муфтовые, номинальное давление 1,6 МПа (16 кгс/см2), номинальный диаметр 20 мм</t>
  </si>
  <si>
    <t>ФЕР18-07-001-05</t>
  </si>
  <si>
    <t>Установка кранов воздушных</t>
  </si>
  <si>
    <t>ФССЦ-19.1.02.01-1002</t>
  </si>
  <si>
    <t>Воздухоотводчик, давление 1,6 МПа (16 кгс/см2), диаметр 15 мм, присоединение 1/2"</t>
  </si>
  <si>
    <t>Теплоизоляция труб</t>
  </si>
  <si>
    <t>ФЕР26-01-017-01</t>
  </si>
  <si>
    <t>Изоляция изделиями из вспененного каучука, вспененного полиэтилена трубопроводов наружным диметром: до 160 мм трубками</t>
  </si>
  <si>
    <t>3,5</t>
  </si>
  <si>
    <t>Объем=(10+20+5) / 10</t>
  </si>
  <si>
    <t>12.2.07.04</t>
  </si>
  <si>
    <t>Трубки из вспененного каучука, полиэтилена</t>
  </si>
  <si>
    <t>38,5</t>
  </si>
  <si>
    <t>14.3.02.06-0001</t>
  </si>
  <si>
    <t>Краска на водной основе со специальными добавками, для защиты теплоизоляционных материалов</t>
  </si>
  <si>
    <t>л</t>
  </si>
  <si>
    <t>2,2</t>
  </si>
  <si>
    <t>9,625</t>
  </si>
  <si>
    <t>1,09375</t>
  </si>
  <si>
    <t>Приказ Минстроя России № 812/пр от 21.12.2020 Прил. п.20</t>
  </si>
  <si>
    <t>НР Теплоизоляционные работы</t>
  </si>
  <si>
    <t>Приказ Минстроя России № 774/пр от 11.12.2020 Прил. п.20</t>
  </si>
  <si>
    <t>СП Теплоизоляционные работы</t>
  </si>
  <si>
    <t>ФССЦ-12.2.07.05-0108</t>
  </si>
  <si>
    <t>Трубки теплоизоляционные из вспененного полиэтилена типа THERMAFLEX FRZ толщиной: 9 мм, диаметром 15 мм</t>
  </si>
  <si>
    <t>Объем=10 / 10</t>
  </si>
  <si>
    <t>ФССЦ-12.2.07.05-0110</t>
  </si>
  <si>
    <t>Трубки теплоизоляционные из вспененного полиэтилена типа THERMAFLEX FRZ толщиной: 9 мм, диаметром 22 мм</t>
  </si>
  <si>
    <t>Объем=20 / 10</t>
  </si>
  <si>
    <t>ФССЦ-12.2.07.05-0111</t>
  </si>
  <si>
    <t>Трубки теплоизоляционные из вспененного полиэтилена типа THERMAFLEX FRZ толщиной: 9 мм, диаметром 28 мм</t>
  </si>
  <si>
    <t>Объем=5 / 10</t>
  </si>
  <si>
    <t>Итоги по разделу 1 В1, Т3 :</t>
  </si>
  <si>
    <t xml:space="preserve">  Итого по разделу 1 В1, Т3</t>
  </si>
  <si>
    <t>Раздел 2. Оборудование</t>
  </si>
  <si>
    <t>ФЕР17-01-002-03</t>
  </si>
  <si>
    <t>Установка смесителей</t>
  </si>
  <si>
    <t>Объем=(4+1+2) / 10</t>
  </si>
  <si>
    <t>18.1.10.10</t>
  </si>
  <si>
    <t>Смесители</t>
  </si>
  <si>
    <t>6,125</t>
  </si>
  <si>
    <t>ТЦ_18.1.10.10_34_3525273236_01.03.2021_01, Том 9.4, с.76, п.280</t>
  </si>
  <si>
    <t>Смеситель для раковины GROHE
Euroeco, хром</t>
  </si>
  <si>
    <t>ТЦ_18.1.10.10_34_3525273236_01.03.2021_01, Том 9.4, с.76, п.283</t>
  </si>
  <si>
    <t>Смеситель настенный однорычажный Eurosmart 32847000, Grohe</t>
  </si>
  <si>
    <t>ТЦ_18.1.10.10_34_3525273236_01.03.2021_01, Том 9.4, с.76, п.281</t>
  </si>
  <si>
    <t>Смеситель для мойки локтевой однорычажный LM4606C</t>
  </si>
  <si>
    <t>ФЕР18-02-004-03</t>
  </si>
  <si>
    <t>Монтаж водонагревателей электрических накопительных (емкостных) объемом: свыше 100 л</t>
  </si>
  <si>
    <t>2,22</t>
  </si>
  <si>
    <t>2,775</t>
  </si>
  <si>
    <t>ТЦ_63.1.01.06_34_3525273236_01.03.2021_01, Том 9.4, с.76, п.282</t>
  </si>
  <si>
    <t>Итоги по разделу 2 Оборудование :</t>
  </si>
  <si>
    <t xml:space="preserve">  Итого по разделу 2 Оборудование</t>
  </si>
  <si>
    <t>Перевозка материалов бортовым автомобилем гп 5 т на расстояние L=130 км от г. Нальчик  до площадки строительства, за исключением 30 км, учтенных в СНБ (итого: 100км), II класс груза</t>
  </si>
  <si>
    <t>0,181</t>
  </si>
  <si>
    <t>Объем=0,001+0,176+0,002+0,001+0,001</t>
  </si>
  <si>
    <t>Перевозка материалов бортовым автомобилем гп 5 т на расстояние L=130 км от г. Нальчик  до площадки строительства, за исключением 30 км, учтенных в СНБ (итого: 100 км), I класс груза</t>
  </si>
  <si>
    <t>Объем=0,004+0,001+0,006</t>
  </si>
  <si>
    <t>ЛОКАЛЬНЫЙ СМЕТНЫЙ РАСЧЕТ (СМЕТА) № 03-01-05</t>
  </si>
  <si>
    <t>Д-ДРП-20-016-ИОС3.1-ВК</t>
  </si>
  <si>
    <t>(7,65)</t>
  </si>
  <si>
    <t>(0,32)</t>
  </si>
  <si>
    <t>Раздел 1. К1</t>
  </si>
  <si>
    <t>ФЕР16-04-004-02</t>
  </si>
  <si>
    <t>Прокладка внутренних трубопроводов канализации из полипропиленовых труб диаметром: 110 мм</t>
  </si>
  <si>
    <t>Объем=(9+8) / 100</t>
  </si>
  <si>
    <t>18.1.02.01</t>
  </si>
  <si>
    <t>Задвижки</t>
  </si>
  <si>
    <t>24.3.02.02</t>
  </si>
  <si>
    <t>Трубы безнапорные канализационные из полипропилена</t>
  </si>
  <si>
    <t>99,8</t>
  </si>
  <si>
    <t>16,966</t>
  </si>
  <si>
    <t>Фасонные и соединительные части к полипропиленовым трубам</t>
  </si>
  <si>
    <t>55,83</t>
  </si>
  <si>
    <t>11,863875</t>
  </si>
  <si>
    <t>0,09775</t>
  </si>
  <si>
    <t>ФССЦ-24.1.02.01-0112</t>
  </si>
  <si>
    <t>Хомуты для крепления: канализационных и водосточных пластмассовых трубопроводов, диаметром 100 мм</t>
  </si>
  <si>
    <t>0,0004</t>
  </si>
  <si>
    <t>Объем=0,05*8/1000</t>
  </si>
  <si>
    <t>ФССЦ-24.3.02.02-0004</t>
  </si>
  <si>
    <t>Трубы полипропиленовые для систем водоотведения, диаметр 110 мм</t>
  </si>
  <si>
    <t>8,982</t>
  </si>
  <si>
    <t>Объем=9*0,998</t>
  </si>
  <si>
    <t>ФССЦ-24.3.02.05-0010</t>
  </si>
  <si>
    <t>Трубы полипропиленовые ПП-Р, номинальное давление 1,0 МПа, номинальный наружный диаметр 110 мм</t>
  </si>
  <si>
    <t>7,984</t>
  </si>
  <si>
    <t>Объем=8*0,998</t>
  </si>
  <si>
    <t>ФССЦ-24.3.05.15-0102</t>
  </si>
  <si>
    <t>Тройник полипропиленовый для систем водоотведения, диаметр 110 мм</t>
  </si>
  <si>
    <t>ФССЦ-24.3.05.08-0202</t>
  </si>
  <si>
    <t>Отвод полипропиленовый 45°, для систем водоотведения, диаметр 110 мм</t>
  </si>
  <si>
    <t>ФССЦ-24.3.05.08-0204</t>
  </si>
  <si>
    <t>Отвод полипропиленовый 87,5°, для систем водоотведения, диаметр 110 мм</t>
  </si>
  <si>
    <t>ФССЦ-24.3.05.12-0001</t>
  </si>
  <si>
    <t>Ревизия полипропиленовая с крышкой, номинальный внутренний диаметр 100 мм</t>
  </si>
  <si>
    <t>ФССЦ-24.3.05.02-0101</t>
  </si>
  <si>
    <t>Заглушка полипропиленовая для систем водоотведения, диаметр 110 мм</t>
  </si>
  <si>
    <t>ФЕР16-04-004-01</t>
  </si>
  <si>
    <t>Прокладка внутренних трубопроводов канализации из полипропиленовых труб диаметром: 50 мм</t>
  </si>
  <si>
    <t>Объем=11 / 100</t>
  </si>
  <si>
    <t>10,978</t>
  </si>
  <si>
    <t>59,92</t>
  </si>
  <si>
    <t>8,239</t>
  </si>
  <si>
    <t>0,01375</t>
  </si>
  <si>
    <t>ФССЦ-24.1.02.01-0111</t>
  </si>
  <si>
    <t>Хомуты для крепления: канализационных и водосточных пластмассовых трубопроводов, диаметром 50 мм</t>
  </si>
  <si>
    <t>0,00044</t>
  </si>
  <si>
    <t>Объем=22*0,02/1000</t>
  </si>
  <si>
    <t>ФССЦ-24.3.02.05-0006</t>
  </si>
  <si>
    <t>Трубы полипропиленовые ПП-Р, номинальное давление 1,0 МПа, номинальный наружный диаметр 50 мм</t>
  </si>
  <si>
    <t>10,98</t>
  </si>
  <si>
    <t>ФССЦ-24.3.05.15-0101</t>
  </si>
  <si>
    <t>Тройник полипропиленовый для систем водоотведения, диаметр 50 мм</t>
  </si>
  <si>
    <t>ФССЦ-24.3.05.08-0203</t>
  </si>
  <si>
    <t>Отвод полипропиленовый 87,5°, для систем водоотведения, диаметр 50 мм</t>
  </si>
  <si>
    <t>ФЕР17-01-001-22</t>
  </si>
  <si>
    <t>Установка трапов диаметром: 50 мм</t>
  </si>
  <si>
    <t>10 компл</t>
  </si>
  <si>
    <t>Объем=1 / 10</t>
  </si>
  <si>
    <t>18.2.06.10</t>
  </si>
  <si>
    <t>Трапы</t>
  </si>
  <si>
    <t>4,6</t>
  </si>
  <si>
    <t>0,575</t>
  </si>
  <si>
    <t>0,01625</t>
  </si>
  <si>
    <t>ФССЦ-18.2.06.10-0002</t>
  </si>
  <si>
    <t>Трап канализационный HL310NPr с вертикальным выпуском и сифоном "Primus"</t>
  </si>
  <si>
    <t>ФЕР16-07-008-03</t>
  </si>
  <si>
    <t>Установка муфт противопожарных на трубопроводы пластиковые в междуэтажных перекрытиях с креплением дюбель-гвоздями к перекрытиям, диаметром: до 160 мм</t>
  </si>
  <si>
    <t>23.8.03.04</t>
  </si>
  <si>
    <t>Муфты противопожарные из нержавеющей стали с вкладышем из терморасширяющейся резины</t>
  </si>
  <si>
    <t>7,48</t>
  </si>
  <si>
    <t>0,0935</t>
  </si>
  <si>
    <t>0,00075</t>
  </si>
  <si>
    <t>ФССЦ-24.3.05.07-0301</t>
  </si>
  <si>
    <t>Муфта противопожарная, диаметр 110 мм</t>
  </si>
  <si>
    <t>Итоги по разделу 1 К1 :</t>
  </si>
  <si>
    <t xml:space="preserve">  Итого по разделу 1 К1</t>
  </si>
  <si>
    <t>Раздел 2. Сантехнические работы</t>
  </si>
  <si>
    <t>ФЕР17-01-003-01</t>
  </si>
  <si>
    <t>Установка унитазов: с бачком непосредственно присоединенным</t>
  </si>
  <si>
    <t>Объем=3 / 10</t>
  </si>
  <si>
    <t>18.2.01.06</t>
  </si>
  <si>
    <t>Унитазы</t>
  </si>
  <si>
    <t>22,2</t>
  </si>
  <si>
    <t>8,325</t>
  </si>
  <si>
    <t>0,71</t>
  </si>
  <si>
    <t>0,26625</t>
  </si>
  <si>
    <t>ТЦ_18.2.01.06_34_3525273236_01.03.2021_01, Том 9.4, с.95, п.345</t>
  </si>
  <si>
    <t>Унитаз напольный с крышкой-сиденьем, двойным смывом и косым выпуском, 360х770х635 фарфор. Lyra, 2423.4, Jika</t>
  </si>
  <si>
    <t>ФЕР17-01-005-04</t>
  </si>
  <si>
    <t>Установка раковин</t>
  </si>
  <si>
    <t>18.2.02.08</t>
  </si>
  <si>
    <t>Раковины и умывальники</t>
  </si>
  <si>
    <t>3,0375</t>
  </si>
  <si>
    <t>0,07875</t>
  </si>
  <si>
    <t>ТЦ_18.2.01.04_34_3525273236_01.03.2021_01, Том 9.4, с.95, п.346</t>
  </si>
  <si>
    <t>Умывальник 600х490 с пьедесталом, фарфор, Lyra, 8.1427.2.000.104.9, Jika</t>
  </si>
  <si>
    <t>ФССЦ-18.2.06.09-0005</t>
  </si>
  <si>
    <t>Сифоны полимерные, бутылочные унифицированные с выпуском и вертикальным отводом для моек и умывальников</t>
  </si>
  <si>
    <t>Объем=3+2</t>
  </si>
  <si>
    <t>ФЕР17-01-001-17</t>
  </si>
  <si>
    <t>Установка поддонов душевых: чугунных глубоких</t>
  </si>
  <si>
    <t>18.2.02.07</t>
  </si>
  <si>
    <t>Поддоны душевые</t>
  </si>
  <si>
    <t>15,5</t>
  </si>
  <si>
    <t>1,9375</t>
  </si>
  <si>
    <t>0,81</t>
  </si>
  <si>
    <t>0,10125</t>
  </si>
  <si>
    <t>ТЦ_18.2.02.07_78_7814731027_01.03.2021_01, Том 9.4, с.105, п.380</t>
  </si>
  <si>
    <t>Душевой поддон акриловый 900х900 с ножками, сифоном и экраном Тритон,</t>
  </si>
  <si>
    <t>Итоги по разделу 2 Сантехнические работы :</t>
  </si>
  <si>
    <t xml:space="preserve">  Итого по разделу 2 Сантехнические работы</t>
  </si>
  <si>
    <t>0,063</t>
  </si>
  <si>
    <t>Объем=0,029+0,002+0,008+0,004+0,008+0,008+0,001+0,001+0,002</t>
  </si>
  <si>
    <t>Объем=0,001+0,011</t>
  </si>
  <si>
    <t>ЛОКАЛЬНЫЙ СМЕТНЫЙ РАСЧЕТ (СМЕТА) № 03-01-06</t>
  </si>
  <si>
    <t>Д-ДРП-20-016-ИОС4.1</t>
  </si>
  <si>
    <t>(0,75)</t>
  </si>
  <si>
    <t>Раздел 1. Система отопления</t>
  </si>
  <si>
    <t>ФЕРм08-03-602-01
Применительно</t>
  </si>
  <si>
    <t>Электрополотенце</t>
  </si>
  <si>
    <t>Объем=6+4+7</t>
  </si>
  <si>
    <t>0,96</t>
  </si>
  <si>
    <t>0,425</t>
  </si>
  <si>
    <t>ТЦ_18.5.06.00_77_7735602822_01.03.2021_01, Том 11.4, с.83, п.299</t>
  </si>
  <si>
    <t>Конвектор электрический, Q = 500 Вт Oslo NTL 4S 05</t>
  </si>
  <si>
    <t>ТЦ_18.5.06.00_77_7735602822_01.03.2021_01, Том 11.4, с.83, п.300</t>
  </si>
  <si>
    <t>Конвектор электрический, Q = 700 Вт Oslo NTL 4S 07</t>
  </si>
  <si>
    <t>ТЦ_18.5.06.00_77_7735602822_01.03.2021_01, Том 11.4, с.84, п.301</t>
  </si>
  <si>
    <t>Конвектор электрический, Q = 1000 Вт Oslo NTL 4S 10</t>
  </si>
  <si>
    <t>Итоги по разделу 1 Система отопления :</t>
  </si>
  <si>
    <t xml:space="preserve">  Итого по разделу 1 Система отопления</t>
  </si>
  <si>
    <t>Раздел 2. Система вентиляции</t>
  </si>
  <si>
    <t>Система приточной вентиляции П1</t>
  </si>
  <si>
    <t>ФЕР20-03-002-01</t>
  </si>
  <si>
    <t>Установка вентиляторов осевых массой: до 0,025 т</t>
  </si>
  <si>
    <t>ОП п.1.20.19</t>
  </si>
  <si>
    <t>Индивидуальные испытания систем вентиляции и кондиционирования воздуха - 5% ОЗП=1,05; ЭМ=1,05 к расх.; ЗПМ=1,05; ТЗ=1,05; ТЗМ=1,05</t>
  </si>
  <si>
    <t>1,3125</t>
  </si>
  <si>
    <t>3,65</t>
  </si>
  <si>
    <t>4,790625</t>
  </si>
  <si>
    <t>0,065625</t>
  </si>
  <si>
    <t>ТЦ_64.1.02.00_78_7825400027_01.03.2021_01, Том 11.4, с.84, п.302</t>
  </si>
  <si>
    <t>Вентилятор канальный CK 315 C</t>
  </si>
  <si>
    <t>ФЕР20-04-002-01</t>
  </si>
  <si>
    <t>Установка калориферов массой: до 0,1 т</t>
  </si>
  <si>
    <t>4,87</t>
  </si>
  <si>
    <t>6,391875</t>
  </si>
  <si>
    <t>ФССЦ-64.5.02.08-0019</t>
  </si>
  <si>
    <t>Нагреватели электрические канальные для круглых воздуховодов марки: PBEC 315/12</t>
  </si>
  <si>
    <t>ФЕРм11-03-001-01</t>
  </si>
  <si>
    <t>Приборы, устанавливаемые на металлоконструкциях, щитах и пультах, масса: до 5 кг</t>
  </si>
  <si>
    <t>0,52</t>
  </si>
  <si>
    <t>ТЦ_63.4.03.02_78_7825400027_01.03.2021_01, Том 11.4, с.86, п.310</t>
  </si>
  <si>
    <t>Регулятор температуры TTC 25</t>
  </si>
  <si>
    <t>ФЕРм11-05-001-01</t>
  </si>
  <si>
    <t>Механизм исполнительный, масса: до 20 кг</t>
  </si>
  <si>
    <t>12
О</t>
  </si>
  <si>
    <t>ТЦ_69.3.01.03_78_7825400027_01.03.2021_01, Том 11.4, с.86, п.311</t>
  </si>
  <si>
    <t>Электропривод ASO-R03.F</t>
  </si>
  <si>
    <t>ФЕР20-06-005-01</t>
  </si>
  <si>
    <t>Установка фильтров воздушных (сухих) производительностью: до 10 тыс.м3/час</t>
  </si>
  <si>
    <t>19.1.01.11</t>
  </si>
  <si>
    <t>19.3.03.03</t>
  </si>
  <si>
    <t>Фильтры воздушные</t>
  </si>
  <si>
    <t>9,32</t>
  </si>
  <si>
    <t>12,2325</t>
  </si>
  <si>
    <t>ТЦ_19.3.03.00_78_7825400027_01.03.2021_01, Том 11.4, с.85, п.307</t>
  </si>
  <si>
    <t>Корпус фильтра ФЛФ 315</t>
  </si>
  <si>
    <t>ТЦ_19.3.03.00_78_7825400027_01.03.2021_01, Том 11.4, с.85, п.308</t>
  </si>
  <si>
    <t>Карманный фильтр M5 400*400*360-4</t>
  </si>
  <si>
    <t>ТЦ_64.4.02.04_78_7825400027_01.03.2021_01, Том 11.4, с.86, п.309</t>
  </si>
  <si>
    <t>Регулятор скорости VRS 1.5N</t>
  </si>
  <si>
    <t>ФЕР20-02-014-04</t>
  </si>
  <si>
    <t>Установка шумоглушителей вентиляционных трубчатых круглого сечения типа: ГТК 1-4, диаметр обечайки 315 мм</t>
  </si>
  <si>
    <t>19.4.02.04</t>
  </si>
  <si>
    <t>Шумоглушители трубчатые</t>
  </si>
  <si>
    <t>1,54</t>
  </si>
  <si>
    <t>4,0425</t>
  </si>
  <si>
    <t>0,02625</t>
  </si>
  <si>
    <t>ФССЦ-19.4.02.04-1022</t>
  </si>
  <si>
    <t>Шумоглушители для круглых воздуховодов 315/900</t>
  </si>
  <si>
    <t>(Материалы)</t>
  </si>
  <si>
    <t>Система вытяжной вентиляции В1</t>
  </si>
  <si>
    <t>ТЦ_64.1.02.00_78_7825400027_01.03.2021_01, Том 11.4, с.84, п.304</t>
  </si>
  <si>
    <t>Вентилятор канальный CK 200 В</t>
  </si>
  <si>
    <t>ФЕР20-02-014-02</t>
  </si>
  <si>
    <t>Установка шумоглушителей вентиляционных трубчатых круглого сечения типа: ГТК 1-2, диаметр обечайки 200 мм</t>
  </si>
  <si>
    <t>1,09</t>
  </si>
  <si>
    <t>2,86125</t>
  </si>
  <si>
    <t>ФССЦ-19.4.02.04-1014</t>
  </si>
  <si>
    <t>Шумоглушители для круглых воздуховодов 200/900</t>
  </si>
  <si>
    <t>Система вытяжной вентиляции В2</t>
  </si>
  <si>
    <t>Система вытяжной вентиляции В3</t>
  </si>
  <si>
    <t>ТЦ_64.1.02.00_78_7825400027_01.03.2021_01, Том 11.4, с.84, п.303</t>
  </si>
  <si>
    <t>Вентилятор канальный CK 125 C</t>
  </si>
  <si>
    <t>ФЕР20-02-014-01</t>
  </si>
  <si>
    <t>Установка шумоглушителей вентиляционных трубчатых круглого сечения типа: ГТК 1-1, диаметр обечайки 125 мм</t>
  </si>
  <si>
    <t>2,725</t>
  </si>
  <si>
    <t>ФССЦ-19.4.02.04-1004</t>
  </si>
  <si>
    <t>Шумоглушители для круглых воздуховодов 125/600</t>
  </si>
  <si>
    <t>Система вытяжной вентиляции В4</t>
  </si>
  <si>
    <t>Вентилятор канальный CK 100 C</t>
  </si>
  <si>
    <t>ФССЦ-19.4.02.04-1002</t>
  </si>
  <si>
    <t>Шумоглушители для круглых воздуховодов 100/900</t>
  </si>
  <si>
    <t>Установка решеток жалюзийных</t>
  </si>
  <si>
    <t>ФЕР20-02-002-01</t>
  </si>
  <si>
    <t>Установка решеток жалюзийных площадью в свету: до 0,5 м2</t>
  </si>
  <si>
    <t>Объем=2+2+1</t>
  </si>
  <si>
    <t>19.2.03.09</t>
  </si>
  <si>
    <t>Решетки жалюзийные</t>
  </si>
  <si>
    <t>7,021875</t>
  </si>
  <si>
    <t>ФССЦ-19.2.03.01-0002</t>
  </si>
  <si>
    <t>Решетки вентиляционные алюминиевые штампованные с противомоскитной сеткой, диаметр 125 мм</t>
  </si>
  <si>
    <t>ФССЦ-19.2.03.01-1002</t>
  </si>
  <si>
    <t>Решетки жалюзийные наружные, из алюминия круглого сечения, диаметр 200 мм</t>
  </si>
  <si>
    <t>ФССЦ-19.2.03.01-1006</t>
  </si>
  <si>
    <t>Решетки жалюзийные наружные, из алюминия круглого сечения, диаметр 315 мм</t>
  </si>
  <si>
    <t>ФССЦ-19.2.03.01-0015</t>
  </si>
  <si>
    <t>Решетки вентиляционные переточные из алюминиевого профиля с порошковым покрытием, размер 200х400 мм</t>
  </si>
  <si>
    <t>Установка клапанов</t>
  </si>
  <si>
    <t>ФЕР20-02-005-01</t>
  </si>
  <si>
    <t>Установка заслонок воздушных и клапанов воздушных КВР с ручным приводом: диаметром до 250 мм</t>
  </si>
  <si>
    <t>19.3.01.02</t>
  </si>
  <si>
    <t>Заслонки унифицированные или клапаны</t>
  </si>
  <si>
    <t>1,06</t>
  </si>
  <si>
    <t>4,17375</t>
  </si>
  <si>
    <t>0,039375</t>
  </si>
  <si>
    <t>ФССЦ-19.3.01.14-0001</t>
  </si>
  <si>
    <t>Клапан инфильтрации воздуха КИВ-125</t>
  </si>
  <si>
    <t>ФЕР20-02-006-01</t>
  </si>
  <si>
    <t>Установка заслонок воздушных и клапанов воздушных КВР с электрическим или пневматическим приводом: диаметром до 250 мм</t>
  </si>
  <si>
    <t>1,42</t>
  </si>
  <si>
    <t>ТЦ_69.2.02.05_78_7825400027_01.03.2021_01, Том 11.4, с.87, п.316</t>
  </si>
  <si>
    <t>Клапан противопожарный нормально открытый КПС-1-(60)-НО-МВ220-100-К</t>
  </si>
  <si>
    <t>ТЦ_19.3.01.06_78_7825400027_01.03.2021_01, Том 11.4, с.88, п.317</t>
  </si>
  <si>
    <t>Клапан воздушный КВК-100Р</t>
  </si>
  <si>
    <t>ТЦ_19.3.01.06_78_7825400027_01.03.2021_01, Том 11.4, с.88, п.318</t>
  </si>
  <si>
    <t>Клапан воздушный КВК-125Р</t>
  </si>
  <si>
    <t>ТЦ_19.3.01.06_78_7825400027_01.03.2021_01, Том 11.4, с.88, п.319</t>
  </si>
  <si>
    <t>Клапан воздушный КВК-160Р</t>
  </si>
  <si>
    <t>ФЕР20-02-005-02</t>
  </si>
  <si>
    <t>Установка заслонок воздушных и клапанов воздушных КВР с ручным приводом: диаметром до 355 мм</t>
  </si>
  <si>
    <t>1,54875</t>
  </si>
  <si>
    <t>0,013125</t>
  </si>
  <si>
    <t>ТЦ_19.3.01.06_78_7825400027_01.03.2021_01, Том 11.4, с.88, п.320</t>
  </si>
  <si>
    <t>Клапан воздушный КВК-315Р</t>
  </si>
  <si>
    <t>Установка диффузоров</t>
  </si>
  <si>
    <t>ФССЦ-19.1.05.03-0002</t>
  </si>
  <si>
    <t>Диффузоры вентиляционные приточные/вытяжные круглые стальные, диаметр воздуховода 125 мм</t>
  </si>
  <si>
    <t>Объем=8+6</t>
  </si>
  <si>
    <t>ФССЦ-19.1.05.03-1004</t>
  </si>
  <si>
    <t>Диффузоры потолочные металлические вытяжные, диаметр 100 мм</t>
  </si>
  <si>
    <t>ФССЦ-19.1.05.03-0003</t>
  </si>
  <si>
    <t>Диффузоры вентиляционные приточные/вытяжные круглые стальные, диаметр воздуховода 160 мм</t>
  </si>
  <si>
    <t>ФЕР20-01-001-04</t>
  </si>
  <si>
    <t>Прокладка воздуховодов из листовой, оцинкованной стали и алюминия класса Н (нормальные) толщиной: 0,6 мм, диаметром до 250 мм</t>
  </si>
  <si>
    <t>0,499</t>
  </si>
  <si>
    <t>Объем=(3,14*0,1*20+3,14*0,125*50+3.14*0.16*10+3.14*0.2*18+2*0,02+3*0,02+3*0,02+3*0,03+1*0,02+7*0,03+2*0,04+21*0,16+2*0,19+5*0,28+3*0,04+5*0,05+5*0,07+1*0,07+1*0,09+10*0,11) / 100</t>
  </si>
  <si>
    <t>08.1.02.17</t>
  </si>
  <si>
    <t>Сетки в рамках</t>
  </si>
  <si>
    <t>19.1.01.02</t>
  </si>
  <si>
    <t>Воздуховоды металлические</t>
  </si>
  <si>
    <t>49,9</t>
  </si>
  <si>
    <t>Заглушки питометражных лючков</t>
  </si>
  <si>
    <t>19.3.01.01</t>
  </si>
  <si>
    <t>Дроссель-клапаны в патрубке</t>
  </si>
  <si>
    <t>19.3.02.07</t>
  </si>
  <si>
    <t>Шиберы</t>
  </si>
  <si>
    <t>154</t>
  </si>
  <si>
    <t>100,860375</t>
  </si>
  <si>
    <t>1,21</t>
  </si>
  <si>
    <t>0,7924744</t>
  </si>
  <si>
    <t>ФССЦ-19.1.01.03-0073</t>
  </si>
  <si>
    <t>Воздуховоды из оцинкованной стали, толщина 0,6 мм, диаметр до 250 мм</t>
  </si>
  <si>
    <t>42,233</t>
  </si>
  <si>
    <t>Объем=3.14*0.1*20+3.14*0.125*50+3.14*0.16*10+3.14*0.2*18</t>
  </si>
  <si>
    <t>ФССЦ-19.1.01.06-0001</t>
  </si>
  <si>
    <t>Врезка воротниковая из оцинкованной стали, диаметр 100/100 мм</t>
  </si>
  <si>
    <t>ФССЦ-19.1.01.06-0002</t>
  </si>
  <si>
    <t>Врезка воротниковая из оцинкованной стали, диаметр 125/100 мм</t>
  </si>
  <si>
    <t>ФССЦ-19.1.01.06-0003</t>
  </si>
  <si>
    <t>Врезка воротниковая из оцинкованной стали, диаметр 125/125 мм</t>
  </si>
  <si>
    <t>ФССЦ-19.1.01.06-0007</t>
  </si>
  <si>
    <t>Врезка воротниковая из оцинкованной стали, диаметр 160/125 мм</t>
  </si>
  <si>
    <t>ФССЦ-19.1.01.06-0009</t>
  </si>
  <si>
    <t>Врезка воротниковая из оцинкованной стали, диаметр 200/100 мм</t>
  </si>
  <si>
    <t>ФССЦ-19.1.01.06-0010</t>
  </si>
  <si>
    <t>Врезка воротниковая из оцинкованной стали, диаметр 200/125 мм</t>
  </si>
  <si>
    <t>ФССЦ-19.1.01.06-0012</t>
  </si>
  <si>
    <t>Врезка воротниковая из оцинкованной стали, диаметр 200/160 мм</t>
  </si>
  <si>
    <t>ТЦ_19.1.01.09_78_7825400027_01.03.2021_01, Том 11.4, с.89, п.321</t>
  </si>
  <si>
    <t>Ниппель воздуховода из оцинкованной стали, ГОСТ 14918‐80, толщиной 0,6 мм Д100</t>
  </si>
  <si>
    <t>ТЦ_19.1.01.09_78_7825400027_01.03.2021_01, Том 11.4, с.89, п.322</t>
  </si>
  <si>
    <t>Ниппель воздуховода из оцинкованной стали, ГОСТ 14918‐80, толщиной 0,6 мм Д125</t>
  </si>
  <si>
    <t>ТЦ_19.1.01.09_78_7825400027_01.03.2021_01, Том 11.4, с.89, п.323</t>
  </si>
  <si>
    <t>Ниппель воздуховода из оцинкованной стали, ГОСТ 14918‐80, толщиной 0,6 мм Д160</t>
  </si>
  <si>
    <t>ТЦ_19.1.01.09_78_7825400027_01.03.2021_01, Том 11.4, с.89, п.324</t>
  </si>
  <si>
    <t>Ниппель воздуховода из оцинкованной стали, ГОСТ 14918‐80, толщиной 0,6 мм Д200</t>
  </si>
  <si>
    <t>ТЦ_19.1.01.09_78_7825400027_01.03.2021_01, Том 11.4, с.90, п.325</t>
  </si>
  <si>
    <t>Отвод 90° из оцинкованной стали,
ГОСТ 14918‐80, толщиной 0,6 мм Д100</t>
  </si>
  <si>
    <t>ТЦ_19.1.01.09_78_7825400027_01.03.2021_01, Том 11.4, с.90, п.326</t>
  </si>
  <si>
    <t>Отвод 90° из оцинкованной стали,
ГОСТ 14918‐80, толщиной 0,6 мм Д125</t>
  </si>
  <si>
    <t>ТЦ_19.1.01.09_78_7825400027_01.03.2021_01, Том 11.4, с.90, п.327</t>
  </si>
  <si>
    <t>Отвод 90° из оцинкованной стали,
ГОСТ 14918‐80, толщиной 0,6 мм Д160</t>
  </si>
  <si>
    <t>ТЦ_19.1.01.09_78_7825400027_01.03.2021_01, Том 11.4, с.90, п.328</t>
  </si>
  <si>
    <t>Отвод 90° из оцинкованной стали,
ГОСТ 14918‐80, толщиной 0,6 мм Д200</t>
  </si>
  <si>
    <t>ТЦ_19.1.01.09_78_7825400027_01.03.2021_01, Том 11.4, с.91, п.329</t>
  </si>
  <si>
    <t>Переход из оцинкованной стали,
ГОСТ 14918‐80, толщиной 0,6 мм
Д125/Д100</t>
  </si>
  <si>
    <t>ТЦ_19.1.01.09_78_7825400027_01.03.2021_01, Том 11.4, с.91, п.330</t>
  </si>
  <si>
    <t>Переход из оцинкованной стали,
ГОСТ 14918‐80, толщиной 0,6 мм
Д160/Д125</t>
  </si>
  <si>
    <t>ТЦ_19.1.01.09_78_7825400027_01.03.2021_01, Том 11.4, с.91, п.331</t>
  </si>
  <si>
    <t>Переход из оцинкованной стали,
ГОСТ 14918‐80, толщиной 0,6 мм
Д200/Д125</t>
  </si>
  <si>
    <t>ТЦ_19.1.01.09_78_7825400027_01.03.2021_01, Том 11.4, с.91, п.332</t>
  </si>
  <si>
    <t>Переход из оцинкованной стали,
ГОСТ 14918‐80, толщиной 0,6 мм
Д200/Д160</t>
  </si>
  <si>
    <t>ТЦ_19.1.01.09_78_7825400027_01.03.2021_01, Том 11.4, с.92, п.333</t>
  </si>
  <si>
    <t>Переход из оцинкованной стали,
ГОСТ 14918‐80, толщиной 0,6 мм
Д250/Д200</t>
  </si>
  <si>
    <t>ТЦ_19.1.01.08_78_7825400027_01.03.2021_01, Том 11.4, с.92, п.335</t>
  </si>
  <si>
    <t>Заглушка из оцинкованной стали,
ГОСТ 14918‐80, толщиной 0,6 мм ⌀200</t>
  </si>
  <si>
    <t>ФССЦ-19.1.01.11-0031</t>
  </si>
  <si>
    <t>Хомут со шпилькой для крепления воздуховодов, диаметр 100 мм</t>
  </si>
  <si>
    <t>ФССЦ-19.1.01.11-0032</t>
  </si>
  <si>
    <t>Хомут со шпилькой для крепления воздуховодов, диаметр 125 мм</t>
  </si>
  <si>
    <t>ФССЦ-19.1.01.11-0033</t>
  </si>
  <si>
    <t>Хомут со шпилькой для крепления воздуховодов, диаметр 160 мм</t>
  </si>
  <si>
    <t>ФССЦ-19.1.01.11-0034</t>
  </si>
  <si>
    <t>Хомут со шпилькой для крепления воздуховодов, диаметр 200 мм</t>
  </si>
  <si>
    <t>ТЦ_20.2.08.08_78_7825400027_01.03.2021_01, Том 11.4, с.92, п.336</t>
  </si>
  <si>
    <t>Перфошвеллер П-образный 2,5 мм для крепления воздуховодов.</t>
  </si>
  <si>
    <t>ФЕР20-01-001-05</t>
  </si>
  <si>
    <t>Прокладка воздуховодов из листовой, оцинкованной стали и алюминия класса Н (нормальные) толщиной: 0,6 мм, диаметром до 355 мм</t>
  </si>
  <si>
    <t>0,051</t>
  </si>
  <si>
    <t>Объем=(3.14*0.315*5+0,07*1+1*0,13) / 100</t>
  </si>
  <si>
    <t>141</t>
  </si>
  <si>
    <t>9,4381875</t>
  </si>
  <si>
    <t>0,06426</t>
  </si>
  <si>
    <t>ФССЦ-19.1.01.03-0074</t>
  </si>
  <si>
    <t>Воздуховоды из оцинкованной стали, толщина 0,6 мм, диаметр до 450 мм</t>
  </si>
  <si>
    <t>4,946</t>
  </si>
  <si>
    <t>Объем=3.14*0.315*5</t>
  </si>
  <si>
    <t>ФССЦ-19.1.01.06-0028</t>
  </si>
  <si>
    <t>Врезка воротниковая из оцинкованной стали, диаметр 315/200 мм</t>
  </si>
  <si>
    <t>96</t>
  </si>
  <si>
    <t>ТЦ_19.1.01.09_78_7825400027_01.03.2021_01, Том 11.4, с.92, п.334</t>
  </si>
  <si>
    <t>Переход из оцинкованной стали,
ГОСТ 14918‐80, толщиной 0,6 мм
Д315/Д200</t>
  </si>
  <si>
    <t>10 м2</t>
  </si>
  <si>
    <t>99</t>
  </si>
  <si>
    <t>Итоги по разделу 2 Система вентиляции :</t>
  </si>
  <si>
    <t xml:space="preserve">  Итого по разделу 2 Система вентиляции</t>
  </si>
  <si>
    <t>Раздел 3. Система кондиционирования</t>
  </si>
  <si>
    <t>Система К1 Мультизщональная система</t>
  </si>
  <si>
    <t>ФЕР20-06-019-01</t>
  </si>
  <si>
    <t>Установка внешнего блока мульти сплит-системы</t>
  </si>
  <si>
    <t>1,19</t>
  </si>
  <si>
    <t>1,561875</t>
  </si>
  <si>
    <t>ТЦ_64.2.03.01_78_7816629741_01.03.2021_01, Том 11.4, с.92, п.337</t>
  </si>
  <si>
    <t>Наружный блок, Qхол = 10 кВт 5U34HS1ERA</t>
  </si>
  <si>
    <t>ФЕР20-06-019-02</t>
  </si>
  <si>
    <t>Установка внутреннего блока настенного типа мощностью: до 5 кВт</t>
  </si>
  <si>
    <t>01.7.06.03-0024</t>
  </si>
  <si>
    <t>Лента полиэтиленовая с липким слоем, толщина 0,1 мм</t>
  </si>
  <si>
    <t>14.5.01.10-0003</t>
  </si>
  <si>
    <t>Пена монтажная</t>
  </si>
  <si>
    <t>19.3.02.08-0032</t>
  </si>
  <si>
    <t>Трубки дренажные (шланги) гофрированные для систем кондиционирования, диаметр 20 мм</t>
  </si>
  <si>
    <t>21.1.05.04</t>
  </si>
  <si>
    <t>Кабель для систем кондиционирования</t>
  </si>
  <si>
    <t>23.2.02.05</t>
  </si>
  <si>
    <t>Трубы медные для систем кондиционирования</t>
  </si>
  <si>
    <t>2,39</t>
  </si>
  <si>
    <t>15,684375</t>
  </si>
  <si>
    <t>ТЦ_64.2.03.01_78_7816629741_01.03.2021_01, Том 11.4, с.93, п.338</t>
  </si>
  <si>
    <t>Внутренний блок настенный, Qхол = 2,7 кВт AS09NS5ERA</t>
  </si>
  <si>
    <t>104
О</t>
  </si>
  <si>
    <t>ТЦ_64.2.03.03_78_7816629741_01.03.2021_01, Том 11.4, с.93, п.339</t>
  </si>
  <si>
    <t>Внутренний блок настенный, Qхол = 3,6 кВт AS12NS5ERA</t>
  </si>
  <si>
    <t>ФССЦ-23.2.02.05-0001</t>
  </si>
  <si>
    <t>Трубы медные круглого сечения для систем кондиционирования, размером 9,52x0,81 мм</t>
  </si>
  <si>
    <t>ФССЦ-23.2.02.05-0002</t>
  </si>
  <si>
    <t>Трубы медные круглого сечения для систем кондиционирования, размером 15,9x0,89 мм</t>
  </si>
  <si>
    <t>107</t>
  </si>
  <si>
    <t>ФССЦ-12.2.07.04-0143</t>
  </si>
  <si>
    <t>Трубки высокотемпературные из вспененного каучука K-FLEX ST, толщиной: 9 мм, внутренним диаметром 6 мм</t>
  </si>
  <si>
    <t>Объем=50 / 10</t>
  </si>
  <si>
    <t>ФССЦ-12.2.07.04-0072</t>
  </si>
  <si>
    <t>Трубки высокотемпературные из вспененного каучука K-FLEX SOLAR HT, толщиной: 9 мм диаметром 12 мм</t>
  </si>
  <si>
    <t>Система К2. Сплит-система</t>
  </si>
  <si>
    <t>ТЦ_64.2.03.01_78_7816629741_01.03.2021_01, Том 11.4, с.94, п.341</t>
  </si>
  <si>
    <t>Наружный блок, Qхол = 7,0 кВт 1U24RE8ERA-A</t>
  </si>
  <si>
    <t>111</t>
  </si>
  <si>
    <t>ФЕР20-06-019-04</t>
  </si>
  <si>
    <t>Установка внутреннего блока настенного типа мощностью: свыше 8 кВт</t>
  </si>
  <si>
    <t>3,02</t>
  </si>
  <si>
    <t>3,96375</t>
  </si>
  <si>
    <t>ТЦ_64.2.03.01_78_7816629741_01.03.2021_01, Том 11.4, с.94, п.342</t>
  </si>
  <si>
    <t>Внутренний блок настенный, Qхол = 9,8 кВт</t>
  </si>
  <si>
    <t>113</t>
  </si>
  <si>
    <t>114</t>
  </si>
  <si>
    <t>115</t>
  </si>
  <si>
    <t>ФССЦ-12.2.07.04-0071
Применительно</t>
  </si>
  <si>
    <t>Трубки высокотемпературные из вспененного каучука K-FLEX SOLAR HT, толщиной: 9 мм диаметром 10 мм</t>
  </si>
  <si>
    <t>116</t>
  </si>
  <si>
    <t>ФССЦ-12.2.07.04-0073
Применительно</t>
  </si>
  <si>
    <t>Трубки высокотемпературные из вспененного каучука K-FLEX SOLAR HT, толщиной: 9 мм диаметром 15 мм</t>
  </si>
  <si>
    <t>Система отвода конденсата</t>
  </si>
  <si>
    <t>ТЦ_24.3.03.12_78_7814731027_01.03.2021_01, Том 11.4, с.94, п.343</t>
  </si>
  <si>
    <t>Труба полипропиленовая, армированная стекловолокном,
⌀25x4,2 PPRC Pn20</t>
  </si>
  <si>
    <t>118</t>
  </si>
  <si>
    <t>ФССЦ-24.3.05.07-0035</t>
  </si>
  <si>
    <t>Муфта полипропиленовая комбинированная, с внутренней резьбой, номинальный наружный диаметр 25 мм, размер резьбы 1/2"</t>
  </si>
  <si>
    <t>119</t>
  </si>
  <si>
    <t>ФССЦ-18.2.06.09-0004</t>
  </si>
  <si>
    <t>Сифоны полимерные, гофрированные для мойки и умывальника с пластиковым выпуском</t>
  </si>
  <si>
    <t>Итоги по разделу 3 Система кондиционирования :</t>
  </si>
  <si>
    <t xml:space="preserve">  Итого по разделу 3 Система кондиционирования</t>
  </si>
  <si>
    <t>120</t>
  </si>
  <si>
    <t>0,082</t>
  </si>
  <si>
    <t>Объем=0,007+0,003+0,003+0,001+0,002+0,002+0,002+0,001+0,005+0,001+0,001+0,013+0,021+0,001+0,003+0,003+0,004+0,001+0,001+0,007</t>
  </si>
  <si>
    <t>0,027</t>
  </si>
  <si>
    <t>Объем=0,003+0,009+0,003+0,005+0,007</t>
  </si>
  <si>
    <t>Перевозка материалов бортовым автомобилем гп 5 т на расстояние L=130 км от г. Нальчик до площадки строительства, за исключением 30 км, учтенных в СНБ (итого: 100 км), III класс груза</t>
  </si>
  <si>
    <t>0,302</t>
  </si>
  <si>
    <t>Объем=0,004+0,001+0,266+0,031</t>
  </si>
  <si>
    <t xml:space="preserve">                                                      (Симонова В.К)</t>
  </si>
  <si>
    <t>ЛОКАЛЬНЫЙ СМЕТНЫЙ РАСЧЕТ (СМЕТА) № 03-01-07</t>
  </si>
  <si>
    <t>Система оповещения и управления эвакуацией (СОУЭ)</t>
  </si>
  <si>
    <t>Д-ДРП-20-016-МПБ2</t>
  </si>
  <si>
    <t>(1,21)</t>
  </si>
  <si>
    <t>Раздел 1. Монтажные работы</t>
  </si>
  <si>
    <t>ФЕРм10-08-001-01</t>
  </si>
  <si>
    <t>Приборы ПС приемно-контрольные, пусковые, концентратор: блок базовый на 10 лучей</t>
  </si>
  <si>
    <t>7,2</t>
  </si>
  <si>
    <t>ФССЦ-61.2.07.02-0034</t>
  </si>
  <si>
    <t>Блок контрольно-пусковой, марка "С2000-КПБ"</t>
  </si>
  <si>
    <t>ФЕРм08-03-593-10</t>
  </si>
  <si>
    <t>Световые настенные указатели</t>
  </si>
  <si>
    <t>Объем=3 / 100</t>
  </si>
  <si>
    <t>78,56</t>
  </si>
  <si>
    <t>0,015</t>
  </si>
  <si>
    <t>ТЦ_61.2.07.00_77_7702680818_01.03.2021_01 том 11.4. стр.39, п.122</t>
  </si>
  <si>
    <t>Оповещатель охранно-пожарный "ВЫХОД" КОП-25</t>
  </si>
  <si>
    <t>ФЕРм08-01-081-01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</si>
  <si>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концов: до 2</t>
  </si>
  <si>
    <t>0,225</t>
  </si>
  <si>
    <t>ТЦ_61.2.07.00_77_7702680818_01.03.2021_01 том 11.4. стр.39, п.123</t>
  </si>
  <si>
    <t>Оповещатель охранно-пожарный комбинированный свето-звуковой МАЯК-12-К</t>
  </si>
  <si>
    <t>999-0005</t>
  </si>
  <si>
    <t>Масса</t>
  </si>
  <si>
    <t>1,8</t>
  </si>
  <si>
    <t>ФЕРм08-02-390-01</t>
  </si>
  <si>
    <t>Короба пластмассовые: шириной до 40 мм</t>
  </si>
  <si>
    <t>Объем=(60*2) / 100</t>
  </si>
  <si>
    <t>16,29</t>
  </si>
  <si>
    <t>24,435</t>
  </si>
  <si>
    <t>ТЦ_20.2.04.04_77_7702680818_01.03.2021_01 том 11.4.  стр.25,п.70</t>
  </si>
  <si>
    <t>Кабель-канал 25/1x17 TMC IN-Liner 00304 DKC</t>
  </si>
  <si>
    <t>ФЕРм08-02-399-01</t>
  </si>
  <si>
    <t>Провод в коробах, сечением: до 6 мм2</t>
  </si>
  <si>
    <t>2,82</t>
  </si>
  <si>
    <t>ФССЦ-21.1.08.01-0157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</si>
  <si>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ПВХ, не распространяющий горение, с низким дымо- и газовыделением, с экраном из алюмолавсановой ленты, марки КПСЭСнг- FRLS 1х2х0,75</t>
  </si>
  <si>
    <t>ФЕРм08-02-148-01</t>
  </si>
  <si>
    <t>4,75</t>
  </si>
  <si>
    <t>9,92</t>
  </si>
  <si>
    <t>2,375</t>
  </si>
  <si>
    <t>ФЕРм08-02-407-13</t>
  </si>
  <si>
    <t>Труба стальная по установленным конструкциям, в опалубке фундаментов и перекрытиях, диаметр: до 50 мм</t>
  </si>
  <si>
    <t>41,68</t>
  </si>
  <si>
    <t>2,605</t>
  </si>
  <si>
    <t>1,46</t>
  </si>
  <si>
    <t>0,09125</t>
  </si>
  <si>
    <t>ФССЦ-23.3.06.05-0006</t>
  </si>
  <si>
    <t>Трубы стальные сварные неоцинкованные водогазопроводные с резьбой, обыкновенные, номинальный диаметр 50 мм, толщина стенки 3,5 мм</t>
  </si>
  <si>
    <t>ТЦ_14.5.01.11_77_7702680818_01.03.2021_01 том 11.4.стр.20, п.49</t>
  </si>
  <si>
    <t>Огнезащитный противопожарный гемретик "ОГНЕЗА-ГТ"</t>
  </si>
  <si>
    <t>ФССЦ-01.7.06.10-0021</t>
  </si>
  <si>
    <t>Лента термоуплотнительная самоклеящаяся</t>
  </si>
  <si>
    <t>Объем=1,5 / 10</t>
  </si>
  <si>
    <t>Итоги по разделу 1 Монтажные работы :</t>
  </si>
  <si>
    <t xml:space="preserve">  Итого по разделу 1 Монтажные работы</t>
  </si>
  <si>
    <t>0,017</t>
  </si>
  <si>
    <t>ЛОКАЛЬНЫЙ СМЕТНЫЙ РАСЧЕТ (СМЕТА) № 03-01-08</t>
  </si>
  <si>
    <t>Автоматическая  пожарнаяй сигнализация (АПС)</t>
  </si>
  <si>
    <t>1
О</t>
  </si>
  <si>
    <t>ТЦ_61.1.00.00_77_7702680818_01.03.2021_01 том 11.4. стр.36,п.111</t>
  </si>
  <si>
    <t>Персональный компьютер (не ниже Intel Core i5, 2 ядра, 3,2 ГГц или аналогичный).
Оперативная память: 8 Гб
Жесткий диск SSD: не менее 512 Гб
Жесткий диск HDD: не менее 1Тб
Видеокарта: 512Мб, выходы на несколько мониторов
Сетевое соединение: 1 Гбит
Монитор - не менее 24”, клавиатура, мышь.
Операционная система - Microsoft Windows 10</t>
  </si>
  <si>
    <t>ТЦ_61.1.00.00_77_7702680818_01.03.2021_01  стр.20 том 11.4.,  стр.22, п.59</t>
  </si>
  <si>
    <t>Монитор 27" 273V7QSB</t>
  </si>
  <si>
    <t>ТЦ_61.1.00.00_77_7702680818_01.03.2021_01 том 11.4. том 11.4.  стр.23, п.61</t>
  </si>
  <si>
    <t>Сетевой фильтр Optima Base black</t>
  </si>
  <si>
    <t>ТЦ_61.1.00.00_77_7702680818_01.03.2021_01 том 11.4. стр.23,п.60</t>
  </si>
  <si>
    <t>Клавиатура+мышь Sven Standard 310</t>
  </si>
  <si>
    <t>0,3875</t>
  </si>
  <si>
    <t>4,8</t>
  </si>
  <si>
    <t>ФЕРм10-04-066-06</t>
  </si>
  <si>
    <t>Табло сигнальное студийное или коридорное</t>
  </si>
  <si>
    <t>ТЦ_61.2.07.00_77_7702680818_01.03.2021_01 том 11.4. стр.25, п.68</t>
  </si>
  <si>
    <t>Блок контроля и индикации С2000-БКИ</t>
  </si>
  <si>
    <t>ФЕРм10-08-002-02</t>
  </si>
  <si>
    <t>Извещатель ПС автоматический: дымовой, фотоэлектрический, радиоизотопный, световой в нормальном исполнении</t>
  </si>
  <si>
    <t>1,68</t>
  </si>
  <si>
    <t>ФССЦ-61.2.02.01-1004</t>
  </si>
  <si>
    <t>ФЕРм08-01-081-02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</si>
  <si>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концов: до 6</t>
  </si>
  <si>
    <t>4,5</t>
  </si>
  <si>
    <t>20
О</t>
  </si>
  <si>
    <t>ТЦ_61.2.07.00_77_7702680818_01.03.2021_01 том 11.4. стр.38,п.117</t>
  </si>
  <si>
    <t>Блок сигнально-пусковой С2000-СП4/220</t>
  </si>
  <si>
    <t>ФЕРм10-01-039-06</t>
  </si>
  <si>
    <t>Реле, ключ, кнопка и др. с подготовкой места установки</t>
  </si>
  <si>
    <t>ТЦ_101_77_7702680818_01.03.2021_01 том 11.4. стр.38, п.120</t>
  </si>
  <si>
    <t>Программное обеспечение АРМ  в составе: "Орион Про" исп. 127  + Монитор "Орион Про"</t>
  </si>
  <si>
    <t>ФЕРм11-04-008-01</t>
  </si>
  <si>
    <t>Съемные и выдвижные блоки (модули, ячейки, ТЭЗ), масса: до 5 кг</t>
  </si>
  <si>
    <t>20,3625</t>
  </si>
  <si>
    <t>ТЦ_20.2.04.04_77_7702680818_01.03.2021_01 том 11.4.  стр.25, п.70</t>
  </si>
  <si>
    <t>Кабель-канал 25/1x17 TMC IN-Liner" 00304 DKC</t>
  </si>
  <si>
    <t>3,525</t>
  </si>
  <si>
    <t>ФССЦ-21.1.08.01-0156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</si>
  <si>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ПВХ, не распространяющий горение, с низким дымо- и газовыделением, с экраном из алюмолавсановой ленты, марки КПСЭСнг- FRLS 1х2х0,5</t>
  </si>
  <si>
    <t>Объем=(100*1,02)/1000</t>
  </si>
  <si>
    <t>(0,76)</t>
  </si>
  <si>
    <t>ФЕРм11-04-028-01</t>
  </si>
  <si>
    <t>Включение в аппаратуру разъемов штепсельных, количество контактов в разъеме: до 14 шт.</t>
  </si>
  <si>
    <t>13,5</t>
  </si>
  <si>
    <t>0,0375</t>
  </si>
  <si>
    <t>15
О</t>
  </si>
  <si>
    <t>1,11</t>
  </si>
  <si>
    <t>3,1725</t>
  </si>
  <si>
    <t>30,6</t>
  </si>
  <si>
    <t>Объем=30*1,02</t>
  </si>
  <si>
    <t>Шнур коммутационный ЛЮ-ШКС-5е Ф20Н39</t>
  </si>
  <si>
    <t>0,005</t>
  </si>
  <si>
    <t>0,07</t>
  </si>
  <si>
    <t>4,65</t>
  </si>
  <si>
    <t>1,2875</t>
  </si>
  <si>
    <t>34
О</t>
  </si>
  <si>
    <t>0,28</t>
  </si>
  <si>
    <t>2,1</t>
  </si>
  <si>
    <t>ТЦ_25.3.16.01_77_7702680818_01.03.2021_01 том 11.4. стр.20,п.48</t>
  </si>
  <si>
    <t>1,08</t>
  </si>
  <si>
    <t>Навес для снегоуборочной техники.</t>
  </si>
  <si>
    <t>ОБЪЕКТНЫЙ СМЕТНЫЙ РАСЧЕТ (СМЕТА) № ОС-03-02</t>
  </si>
  <si>
    <t>03-02-01</t>
  </si>
  <si>
    <t>03-02-02</t>
  </si>
  <si>
    <t>03-02-03</t>
  </si>
  <si>
    <t>ЛОКАЛЬНЫЙ СМЕТНЫЙ РАСЧЕТ (СМЕТА) № 03-02-01</t>
  </si>
  <si>
    <t>(143,95)</t>
  </si>
  <si>
    <t>(6,35)</t>
  </si>
  <si>
    <t>Раздел 1. Кровля</t>
  </si>
  <si>
    <t>Объем=177 / 100</t>
  </si>
  <si>
    <t>107,593875</t>
  </si>
  <si>
    <t>0,57525</t>
  </si>
  <si>
    <t>1,24</t>
  </si>
  <si>
    <t>Объем=1,12749*0,55/0,5</t>
  </si>
  <si>
    <t>116,77575</t>
  </si>
  <si>
    <t>0,04425</t>
  </si>
  <si>
    <t>203,55</t>
  </si>
  <si>
    <t>Объем=(6*3) / 100</t>
  </si>
  <si>
    <t>6,255</t>
  </si>
  <si>
    <t>0,05625</t>
  </si>
  <si>
    <t>Соединитель желоба металлический для водосточных систем, окрашенный, диаметр 125 мм ( 185 мм)</t>
  </si>
  <si>
    <t>Установка снегодержателя</t>
  </si>
  <si>
    <t>0,188</t>
  </si>
  <si>
    <t>Объем=18,8 / 100</t>
  </si>
  <si>
    <t>1,2455</t>
  </si>
  <si>
    <t>0,02585</t>
  </si>
  <si>
    <t>Объем=18,8/3</t>
  </si>
  <si>
    <t>Итоги по разделу 1 Кровля :</t>
  </si>
  <si>
    <t xml:space="preserve">  Итого по разделу 1 Кровля</t>
  </si>
  <si>
    <t>Раздел 2. Полы</t>
  </si>
  <si>
    <t>1,1151</t>
  </si>
  <si>
    <t>Объем=111,51 / 100</t>
  </si>
  <si>
    <t>2,274804</t>
  </si>
  <si>
    <t>49,62195</t>
  </si>
  <si>
    <t>1,7702213</t>
  </si>
  <si>
    <t>2,275</t>
  </si>
  <si>
    <t>Устройство стяжек: на каждые 5 мм изменения толщины стяжки добавлять или исключать к расценке 11-01-011-01 (до 90 мм)</t>
  </si>
  <si>
    <t>Толщина 90 мм ПЗ=14 (ОЗП=14; ЭМ=14 к расх.; ЗПМ=14; МАТ=14 к расх.; ТЗ=14; ТЗМ=14)</t>
  </si>
  <si>
    <t>7,961814</t>
  </si>
  <si>
    <t>8,58627</t>
  </si>
  <si>
    <t>4,0979925</t>
  </si>
  <si>
    <t>7,9618</t>
  </si>
  <si>
    <t>0,307</t>
  </si>
  <si>
    <t>Объем=111,51*2,75/1000</t>
  </si>
  <si>
    <t>4,4515</t>
  </si>
  <si>
    <t>0,1343125</t>
  </si>
  <si>
    <t>111,51</t>
  </si>
  <si>
    <t>ФЕР11-01-045-02</t>
  </si>
  <si>
    <t>Устройство покрытий наливных составом на эпоксидной смоле толщиной 2 мм, наполненным кварцевым песком</t>
  </si>
  <si>
    <t>1,115</t>
  </si>
  <si>
    <t>Объем=111,5 / 100</t>
  </si>
  <si>
    <t>14.2.04.03</t>
  </si>
  <si>
    <t>Смола эпоксидная двухкомпонентная</t>
  </si>
  <si>
    <t>14.4.01.09</t>
  </si>
  <si>
    <t>Грунтовка двухкомпонентная на основе эпоксидной смолы</t>
  </si>
  <si>
    <t>14.4.03.15</t>
  </si>
  <si>
    <t>Лак двухкомпонентный полиуретановый</t>
  </si>
  <si>
    <t>95,14</t>
  </si>
  <si>
    <t>132,601375</t>
  </si>
  <si>
    <t>0,72475</t>
  </si>
  <si>
    <t>ФЕР11-01-045-03</t>
  </si>
  <si>
    <t>На каждые 0,5 мм изменения толщины основного слоя добавлять или исключать к расценке 11-01-045-02 (до 4,5 мм)</t>
  </si>
  <si>
    <t>до 4,5 мм ПЗ=5 (ОЗП=5; ЭМ=5 к расх.; ЗПМ=5; МАТ=5 к расх.; ТЗ=5; ТЗМ=5)</t>
  </si>
  <si>
    <t>9,19</t>
  </si>
  <si>
    <t>64,0428125</t>
  </si>
  <si>
    <t>0,7665625</t>
  </si>
  <si>
    <t>ТЦ_04.3.02.03_50_5036071477_01.03.2021_01  Том 11 с.97 п.355</t>
  </si>
  <si>
    <t>ESP 2106 / ЕСП 2106 эпоксидный наливной состав (фасовка 28,6 кг). Расход 2 кг/м2</t>
  </si>
  <si>
    <t>223</t>
  </si>
  <si>
    <t>Объем=111,5*2</t>
  </si>
  <si>
    <t>ТЦ_14.4.01.09_50_5036071477_01.03.2021_01 Том 11 с.97 п.353</t>
  </si>
  <si>
    <t>ESP 0112 / ЕСП 0112 грунтовка (расход 0,3-0,5 кг/м2 на 2 слоя)</t>
  </si>
  <si>
    <t>44,6</t>
  </si>
  <si>
    <t>Объем=111,5*0,4</t>
  </si>
  <si>
    <t>Итоги по разделу 2 Полы :</t>
  </si>
  <si>
    <t xml:space="preserve">  Итого по разделу 2 Полы</t>
  </si>
  <si>
    <t>Раздел 3. Монтаж витражей</t>
  </si>
  <si>
    <t>1,1514</t>
  </si>
  <si>
    <t>Объем=((24,81+32,76)*2) / 100</t>
  </si>
  <si>
    <t>117,4428</t>
  </si>
  <si>
    <t>141,766125</t>
  </si>
  <si>
    <t>1,755885</t>
  </si>
  <si>
    <t>117,44</t>
  </si>
  <si>
    <t>0,509</t>
  </si>
  <si>
    <t>Объем=(16,19+492,75)/1000</t>
  </si>
  <si>
    <t>70,9037</t>
  </si>
  <si>
    <t>13,9020625</t>
  </si>
  <si>
    <t>184</t>
  </si>
  <si>
    <t>Объем=368/2</t>
  </si>
  <si>
    <t>Итоги по разделу 3 Монтаж витражей :</t>
  </si>
  <si>
    <t xml:space="preserve">  Итого по разделу 3 Монтаж витражей</t>
  </si>
  <si>
    <t>Перевозка грузов автомобилями бортовыми грузоподъемностью до 5 т на расстояние L=130 км от г. Нальчик  до площадки строительства, за исключением 30 км, учтенных в СНБ (итого: 100км), II класс груза (сетка сварная, оргстекло, водосточая система)</t>
  </si>
  <si>
    <t>1,001</t>
  </si>
  <si>
    <t>Объем=0,301+0,658+0,027+0,011+0,004</t>
  </si>
  <si>
    <t>Навес над снегоуборочной техникой</t>
  </si>
  <si>
    <t>ЛОКАЛЬНЫЙ СМЕТНЫЙ РАСЧЕТ (СМЕТА) № 03-02-02</t>
  </si>
  <si>
    <t>0,06497</t>
  </si>
  <si>
    <t>Объем=64,97 / 1000</t>
  </si>
  <si>
    <t>5,3194188</t>
  </si>
  <si>
    <t>0,00261</t>
  </si>
  <si>
    <t>Объем=2,61 / 1000</t>
  </si>
  <si>
    <t>0,1566</t>
  </si>
  <si>
    <t>0,1207125</t>
  </si>
  <si>
    <t>0,0261</t>
  </si>
  <si>
    <t>Объем=2,61 / 100</t>
  </si>
  <si>
    <t>0,48807</t>
  </si>
  <si>
    <t>0,1021163</t>
  </si>
  <si>
    <t>149,431</t>
  </si>
  <si>
    <t>Объем=64,97*2,3</t>
  </si>
  <si>
    <t>Раздел 2. Устройство фундамента</t>
  </si>
  <si>
    <t>0,1851</t>
  </si>
  <si>
    <t>Объем=18,51 / 100</t>
  </si>
  <si>
    <t>18,8802</t>
  </si>
  <si>
    <t>31,235625</t>
  </si>
  <si>
    <t>4,192515</t>
  </si>
  <si>
    <t>0,5378</t>
  </si>
  <si>
    <t>Объем=53,78 / 100</t>
  </si>
  <si>
    <t>54,5867</t>
  </si>
  <si>
    <t>4,35618</t>
  </si>
  <si>
    <t>120,33275</t>
  </si>
  <si>
    <t>19,19946</t>
  </si>
  <si>
    <t>Добавка на водонепроницаемость. Смеси бетонные, БСГ, тяжелого бетона  класс: B25 (М350), П3, F150, W6</t>
  </si>
  <si>
    <t>53,78</t>
  </si>
  <si>
    <t>3,5182</t>
  </si>
  <si>
    <t>Объем=3518,24/1000</t>
  </si>
  <si>
    <t>Установка анкерных болтов: в готовые гнезда с заделкой длиной до 1 м,</t>
  </si>
  <si>
    <t>0,0672</t>
  </si>
  <si>
    <t>Объем=2,8 *24/1000</t>
  </si>
  <si>
    <t>24,276</t>
  </si>
  <si>
    <t>0,04956</t>
  </si>
  <si>
    <t>ФЕР06-03-004-08</t>
  </si>
  <si>
    <t>Установка стальных конструкций, остающихся в теле бетона</t>
  </si>
  <si>
    <t>0,0998</t>
  </si>
  <si>
    <t>Объем=4,16*24/1000</t>
  </si>
  <si>
    <t>07.3.02.11</t>
  </si>
  <si>
    <t>5,301875</t>
  </si>
  <si>
    <t>4,16</t>
  </si>
  <si>
    <t>0,51896</t>
  </si>
  <si>
    <t>0,9655</t>
  </si>
  <si>
    <t>Объем=96,55 / 100</t>
  </si>
  <si>
    <t>0,23172</t>
  </si>
  <si>
    <t>18,7548375</t>
  </si>
  <si>
    <t>0,9051563</t>
  </si>
  <si>
    <t>0,11586</t>
  </si>
  <si>
    <t>5,937825</t>
  </si>
  <si>
    <t>0,4465438</t>
  </si>
  <si>
    <t>154,48</t>
  </si>
  <si>
    <t>Объем=96,55*1,6</t>
  </si>
  <si>
    <t>Итоги по разделу 2 Устройство фундамента :</t>
  </si>
  <si>
    <t xml:space="preserve">  Итого по разделу 2 Устройство фундамента</t>
  </si>
  <si>
    <t>2,1572</t>
  </si>
  <si>
    <t>Объем=2073,6*1,01*1,03/1000</t>
  </si>
  <si>
    <t>25,212275</t>
  </si>
  <si>
    <t>5,851405</t>
  </si>
  <si>
    <t>ФССЦ-07.2.07.12-0020</t>
  </si>
  <si>
    <t>Элементы конструктивные зданий и сооружений с преобладанием горячекатаных профилей, средняя масса сборочной единицы от 0,1 до 0,5 т</t>
  </si>
  <si>
    <t>Монтаж балок, ригелей перекрытия, покрытия и под установку оборудования многоэтажных зданий при высоте здания: до 25 м ( Б1 и Б2)</t>
  </si>
  <si>
    <t>4,8598</t>
  </si>
  <si>
    <t>Объем=(3603,9+1067,61)*1,01*1,03/1000</t>
  </si>
  <si>
    <t>240,2563625</t>
  </si>
  <si>
    <t>24,3597475</t>
  </si>
  <si>
    <t>3,736</t>
  </si>
  <si>
    <t>Объем=373,6 / 100</t>
  </si>
  <si>
    <t>19,147</t>
  </si>
  <si>
    <t>0,0934</t>
  </si>
  <si>
    <t>9,9471</t>
  </si>
  <si>
    <t>74,72</t>
  </si>
  <si>
    <t>Объем=373,6*0,2</t>
  </si>
  <si>
    <t>Раздел 4. Кровля (Обрешетка учтена в АР)</t>
  </si>
  <si>
    <t>30,385</t>
  </si>
  <si>
    <t>0,8755</t>
  </si>
  <si>
    <t>Итоги по разделу 4 Кровля (Обрешетка учтена в АР) :</t>
  </si>
  <si>
    <t xml:space="preserve">  Итого по разделу 4 Кровля (Обрешетка учтена в АР)</t>
  </si>
  <si>
    <t>17,0218</t>
  </si>
  <si>
    <t>Объем=2,157+6,387+4,8598+0,1+3,518</t>
  </si>
  <si>
    <t>1,411</t>
  </si>
  <si>
    <t>Объем=1,257+0,154</t>
  </si>
  <si>
    <t>ЛОКАЛЬНЫЙ СМЕТНЫЙ РАСЧЕТ (СМЕТА) № 03-02-03</t>
  </si>
  <si>
    <t>(2,03)</t>
  </si>
  <si>
    <t>(2,09)</t>
  </si>
  <si>
    <t>(86,92)</t>
  </si>
  <si>
    <t>ТЦ_62.1.02.14_77_7731593655_01.03.2021_01 том 11.стр.75, п.266</t>
  </si>
  <si>
    <t>Щит силовой и электрообогрева, навесного исполнения, номинальное напряжение ~380 В; частота 50 Гц, ввод кабелей сверху, степень защиты P54, 620х310х120 мм; с шиной N изолированной от корпуса щита; с шиной РЕ изолированной от корпуса щита; вводной трехполюсный автоматический выключатель, характеристика С, Iном.= 50 А – 1 шт., на отходящих линиях: четырехполюсный дифференциальные автоматический выключатель, характеристика С, 30мА Iном. = 16A – 1 шт.; Iном. = 25A – 1 шт.; Iном. = 32A – 1 шт.; контактор трехполюсный 1НО Iном. = 25A – 1 шт., Iном.= 40А – 2 шт.; двухполюсный дифференциальные автоматический выключатель, характеристика С, 30мА, Iном. = 6A – 1 шт.; контактор однополюсный 1НО, Iном. = 10A – 1 шт. ШУ-ЕЭ-АС-21-0057-02 см. лист 10</t>
  </si>
  <si>
    <t>0,23</t>
  </si>
  <si>
    <t>Объем=(1*3+3*5+1*5) / 100</t>
  </si>
  <si>
    <t>4,441875</t>
  </si>
  <si>
    <t>0,00575</t>
  </si>
  <si>
    <t>Выключатель наружной установки одинарный IP44 Шнайдер Электрик</t>
  </si>
  <si>
    <t>ТЦ_23.8.03.02_78_7804526950_01.03.2021_01 Том 11.4. стр.107,п.385</t>
  </si>
  <si>
    <t>Объем=416 / 100</t>
  </si>
  <si>
    <t>61,152</t>
  </si>
  <si>
    <t>21,372</t>
  </si>
  <si>
    <t>Кабель нагревательный саморегулирующийся  ЕЭ-ХИТФЛЕКС НТКэ25</t>
  </si>
  <si>
    <t>424,32</t>
  </si>
  <si>
    <t>Объем=416*1,02</t>
  </si>
  <si>
    <t>Объем=9 / 100</t>
  </si>
  <si>
    <t>21,25</t>
  </si>
  <si>
    <t>475</t>
  </si>
  <si>
    <t>550</t>
  </si>
  <si>
    <t>0,804</t>
  </si>
  <si>
    <t>Провод силовой установочный с медными жилами ПВ3 6-450 (прим.ПуГВ 1х6)</t>
  </si>
  <si>
    <t>0,00204</t>
  </si>
  <si>
    <t>Объем=(2*1,02) / 1000</t>
  </si>
  <si>
    <t>Объем=60 / 100</t>
  </si>
  <si>
    <t>10,8</t>
  </si>
  <si>
    <t>Объем=80 / 100</t>
  </si>
  <si>
    <t>ТЦ_20.2.05.02_78_7804526950_01.03.2021_01 том 11,стр.78, п.277</t>
  </si>
  <si>
    <t>ТЦ_20.2.05.02_78_7804526950_01.03.2021_01 том том 11, стр.78,стр.278</t>
  </si>
  <si>
    <t>Объем=(0,7*0,4*60) / 100</t>
  </si>
  <si>
    <t>74,76</t>
  </si>
  <si>
    <t>25,41</t>
  </si>
  <si>
    <t>3,1416</t>
  </si>
  <si>
    <t>0,6573</t>
  </si>
  <si>
    <t>ОБЪЕКТНЫЙ СМЕТНЫЙ РАСЧЕТ (СМЕТА) № ОС-03-03</t>
  </si>
  <si>
    <t>03-03-01</t>
  </si>
  <si>
    <t>03-03-02</t>
  </si>
  <si>
    <t>03-03-03</t>
  </si>
  <si>
    <t>Составлен(а) в базисном (текущем) уровне цен  01.01.2000г. с переводом в текущие цены на 2кв.2021г.</t>
  </si>
  <si>
    <t>Туалет.</t>
  </si>
  <si>
    <t>ЛОКАЛЬНЫЙ СМЕТНЫЙ РАСЧЕТ (СМЕТА) № 03-03-01</t>
  </si>
  <si>
    <t>(84,06)</t>
  </si>
  <si>
    <t>(10,01)</t>
  </si>
  <si>
    <t>(14,24)</t>
  </si>
  <si>
    <t>1,246</t>
  </si>
  <si>
    <t>Объем=(113,2+11,4) / 100</t>
  </si>
  <si>
    <t>420,525</t>
  </si>
  <si>
    <t>1,666525</t>
  </si>
  <si>
    <t>Плиты фасадные фиброцементные с грунтовочным слоем и лицевым двухкомпонентным покрытием (акрил/полиуретан), толщиной 8-9 мм (Тип 1 и Тип 2)</t>
  </si>
  <si>
    <t>124,6</t>
  </si>
  <si>
    <t>Объем=113,2+11,4</t>
  </si>
  <si>
    <t>0,783</t>
  </si>
  <si>
    <t>Объем=(65,8+0,3*33,3+0,76*0,3*11) / 100</t>
  </si>
  <si>
    <t>95,1345</t>
  </si>
  <si>
    <t>0,2642625</t>
  </si>
  <si>
    <t>113,71</t>
  </si>
  <si>
    <t>Объем=0,44631*1000/3,925</t>
  </si>
  <si>
    <t>ФЕР15-01-011-01</t>
  </si>
  <si>
    <t>Облицовка фасадов гранитными плитами со скрытым креплением без утеплителя на металлическом каркасе с его устройством</t>
  </si>
  <si>
    <t>0,113</t>
  </si>
  <si>
    <t>Объем=11,3 / 100</t>
  </si>
  <si>
    <t>101,51</t>
  </si>
  <si>
    <t>11,47063</t>
  </si>
  <si>
    <t>07.2.06.06</t>
  </si>
  <si>
    <t>Конструкции металлические и элементы крепежные вентилируемых фасадов</t>
  </si>
  <si>
    <t>14.1.06.05</t>
  </si>
  <si>
    <t>Клей</t>
  </si>
  <si>
    <t>0,35369</t>
  </si>
  <si>
    <t>388,23</t>
  </si>
  <si>
    <t>54,8374875</t>
  </si>
  <si>
    <t>28,66</t>
  </si>
  <si>
    <t>4,048225</t>
  </si>
  <si>
    <t>ФССЦ-14.1.06.02-1002</t>
  </si>
  <si>
    <t>Клей плиточный</t>
  </si>
  <si>
    <t>ТЦ_05.2.03.05_78_7814731027_01.03.2021_01 Том 11 с.6 п.3</t>
  </si>
  <si>
    <t>11,47</t>
  </si>
  <si>
    <t>ФССЦ-07.2.06.06-0011</t>
  </si>
  <si>
    <t>Конструкции навесной фасадной системы с воздушным зазором</t>
  </si>
  <si>
    <t>0,165</t>
  </si>
  <si>
    <t>Объем=16,5 / 100</t>
  </si>
  <si>
    <t>0,045045</t>
  </si>
  <si>
    <t>31,35</t>
  </si>
  <si>
    <t>7,453875</t>
  </si>
  <si>
    <t>1,1881</t>
  </si>
  <si>
    <t>Объем=118,81 / 100</t>
  </si>
  <si>
    <t>72,2216288</t>
  </si>
  <si>
    <t>0,3861325</t>
  </si>
  <si>
    <t>0,833</t>
  </si>
  <si>
    <t>Объем=0,7568197*0,55/0,5</t>
  </si>
  <si>
    <t>78,3848975</t>
  </si>
  <si>
    <t>0,0297025</t>
  </si>
  <si>
    <t>136,63</t>
  </si>
  <si>
    <t>Объем=16 / 100</t>
  </si>
  <si>
    <t>0,022</t>
  </si>
  <si>
    <t>Объем=16/3</t>
  </si>
  <si>
    <t>Ограждение ОГ-1 и ОГ-2</t>
  </si>
  <si>
    <t>ФЕР07-05-016-04</t>
  </si>
  <si>
    <t>Устройство металлических ограждений: без поручней</t>
  </si>
  <si>
    <t>0,224</t>
  </si>
  <si>
    <t>Объем=(3*2,1+16,1) / 100</t>
  </si>
  <si>
    <t>41,5</t>
  </si>
  <si>
    <t>9,296</t>
  </si>
  <si>
    <t>2,59</t>
  </si>
  <si>
    <t>0,58016</t>
  </si>
  <si>
    <t>Приказ Минстроя России № 812/пр от 21.12.2020 Прил. п.7.1</t>
  </si>
  <si>
    <t>НР Бетонные и железобетонные сборные конструкции жилых, общественных и административно-бытовых зданий промышленных предприятий</t>
  </si>
  <si>
    <t>Приказ Минстроя России № 774/пр от 11.12.2020 Прил. п.7.1</t>
  </si>
  <si>
    <t>СП Бетонные и железобетонные сборные конструкции жилых, общественных и административно-бытовых зданий промышленных предприятий</t>
  </si>
  <si>
    <t>Раздел 3. Установка модулей</t>
  </si>
  <si>
    <t>ФЕРм37-01-001-07</t>
  </si>
  <si>
    <t>Монтаж сосудов и аппаратов без механизмов на открытой площадке, масса сосудов и аппаратов: 2 т</t>
  </si>
  <si>
    <t>Коэффициент изменения массы оборудования: 1,11-1,20 ПЗ=1,11 (ОЗП=1,11; ЭМ=1,11 к расх.; ЗПМ=1,11; МАТ=1,11 к расх.; ТЗ=1,11; ТЗМ=1,11)</t>
  </si>
  <si>
    <t>1,3875</t>
  </si>
  <si>
    <t>81,8625</t>
  </si>
  <si>
    <t>4,9</t>
  </si>
  <si>
    <t>6,79875</t>
  </si>
  <si>
    <t>Коэффициент изменения массы оборудования: 1,31-1,40 ПЗ=1,2 (ОЗП=1,2; ЭМ=1,2 к расх.; ЗПМ=1,2; МАТ=1,2 к расх.; ТЗ=1,2; ТЗМ=1,2)</t>
  </si>
  <si>
    <t>222</t>
  </si>
  <si>
    <t>15,9</t>
  </si>
  <si>
    <t>ТЦ_102_77_7814462092_01.03.2021_01 Том 11 с.5 п.1</t>
  </si>
  <si>
    <t>Модуль размером 10,5х2.43х2.8м – 2шт
Модуль размером 2,4х2.43х2.8м – 1шт</t>
  </si>
  <si>
    <t>МДС35 п.4.64.</t>
  </si>
  <si>
    <t>Итоги по разделу 3 Установка модулей :</t>
  </si>
  <si>
    <t xml:space="preserve">  Итого по разделу 3 Установка модулей</t>
  </si>
  <si>
    <t>Перевозка грузов автомобилями бортовыми грузоподъемностью до 5 т на расстояние L=130 км от г. Нальчик до площадки строительства, за исключением 30 км, учтенных в СНБ (итого: 100 км): I класс груза (плиты Тип 1 и Тип 2, фасадной системы, сэдвичпанель)</t>
  </si>
  <si>
    <t>3,636</t>
  </si>
  <si>
    <t>Объем=1,751+0,537+0,034+0,404+0,91</t>
  </si>
  <si>
    <t>Перевозка грузов автомобилями бортовыми грузоподъемностью до 5 т на расстояние L=130 км от г. Нальчик  до площадки строительства, за исключением 30 км, учтенных в СНБ (итого: 100км), II класс груза (водосточная система)</t>
  </si>
  <si>
    <t>0,037</t>
  </si>
  <si>
    <t>Объем=0,022+0,011+0,004</t>
  </si>
  <si>
    <t>Туалет</t>
  </si>
  <si>
    <t>ЛОКАЛЬНЫЙ СМЕТНЫЙ РАСЧЕТ (СМЕТА) № 03-03-02</t>
  </si>
  <si>
    <t>(40,12)</t>
  </si>
  <si>
    <t>0,03176</t>
  </si>
  <si>
    <t>Объем=31,76 / 1000</t>
  </si>
  <si>
    <t>2,60035</t>
  </si>
  <si>
    <t>0,00132</t>
  </si>
  <si>
    <t>Объем=1,32 / 1000</t>
  </si>
  <si>
    <t>0,0792</t>
  </si>
  <si>
    <t>0,06105</t>
  </si>
  <si>
    <t>0,0132</t>
  </si>
  <si>
    <t>Объем=1,32 / 100</t>
  </si>
  <si>
    <t>0,24684</t>
  </si>
  <si>
    <t>0,051645</t>
  </si>
  <si>
    <t>73,048</t>
  </si>
  <si>
    <t>Объем=31,76*2,3</t>
  </si>
  <si>
    <t>0,0456</t>
  </si>
  <si>
    <t>Объем=4,56 / 100</t>
  </si>
  <si>
    <t>4,6512</t>
  </si>
  <si>
    <t>7,695</t>
  </si>
  <si>
    <t>1,03284</t>
  </si>
  <si>
    <t>0,0857</t>
  </si>
  <si>
    <t>Объем=8,57 / 100</t>
  </si>
  <si>
    <t>8,69855</t>
  </si>
  <si>
    <t>0,69417</t>
  </si>
  <si>
    <t>19,175375</t>
  </si>
  <si>
    <t>3,05949</t>
  </si>
  <si>
    <t>8,6986</t>
  </si>
  <si>
    <t>8,57</t>
  </si>
  <si>
    <t>0,8841</t>
  </si>
  <si>
    <t>Объем=884,09/1000</t>
  </si>
  <si>
    <t>0,0257</t>
  </si>
  <si>
    <t>Объем=4,28*6/1000</t>
  </si>
  <si>
    <t>1,86325</t>
  </si>
  <si>
    <t>0,0106013</t>
  </si>
  <si>
    <t>0,4823</t>
  </si>
  <si>
    <t>Объем=48,23 / 100</t>
  </si>
  <si>
    <t>0,115752</t>
  </si>
  <si>
    <t>9,3686775</t>
  </si>
  <si>
    <t>0,4521563</t>
  </si>
  <si>
    <t>0,057876</t>
  </si>
  <si>
    <t>2,966145</t>
  </si>
  <si>
    <t>0,2230638</t>
  </si>
  <si>
    <t>77,168</t>
  </si>
  <si>
    <t>Объем=48,23*1,6</t>
  </si>
  <si>
    <t>Монтаж опорных стоек для пролетов: до 24 м ( Ст1 и Ст2)</t>
  </si>
  <si>
    <t>0,4143</t>
  </si>
  <si>
    <t>Объем=398,28*1,01*1,03/1000</t>
  </si>
  <si>
    <t>2,9933175</t>
  </si>
  <si>
    <t>1,1859338</t>
  </si>
  <si>
    <t>1,1818</t>
  </si>
  <si>
    <t>Объем=1136,05*1,01*1,03/1000</t>
  </si>
  <si>
    <t>23,0451</t>
  </si>
  <si>
    <t>4,25448</t>
  </si>
  <si>
    <t>0,6356</t>
  </si>
  <si>
    <t>Объем=14*43,64*1,01*1,03/1000</t>
  </si>
  <si>
    <t>0,5463</t>
  </si>
  <si>
    <t>Объем=3*175,03*1,01*1,03/1000</t>
  </si>
  <si>
    <t>Монтаж связей и распорок из одиночных и парных уголков, гнутосварных профилей для пролетов: до 24 м при высоте здания до 25 м //Св1</t>
  </si>
  <si>
    <t>0,1842</t>
  </si>
  <si>
    <t>Объем=177,08*1,01*1,03/1000</t>
  </si>
  <si>
    <t>9,1063875</t>
  </si>
  <si>
    <t>0,9233025</t>
  </si>
  <si>
    <t>0,4963</t>
  </si>
  <si>
    <t>Объем=49,63 / 100</t>
  </si>
  <si>
    <t>2,5435375</t>
  </si>
  <si>
    <t>0,0124075</t>
  </si>
  <si>
    <t>1,3213988</t>
  </si>
  <si>
    <t>9,926</t>
  </si>
  <si>
    <t>Объем=49,63*0,2</t>
  </si>
  <si>
    <t>2,69</t>
  </si>
  <si>
    <t>Объем=0,414+1,182+0,184+0,884+0,026</t>
  </si>
  <si>
    <t>Перевозка грузов автомобилями бортовыми грузоподъемностью до 5 т на расстояние L=130 км от г. Нальчик  до площадки строительства, за исключением 30 км, учтенных в СНБ (итого: 100км), II класс груза ( мастика)</t>
  </si>
  <si>
    <t>0,154</t>
  </si>
  <si>
    <t>Сантехкабина</t>
  </si>
  <si>
    <t>ЛОКАЛЬНЫЙ СМЕТНЫЙ РАСЧЕТ (СМЕТА) № 03-03-03</t>
  </si>
  <si>
    <t>(111,98)</t>
  </si>
  <si>
    <t>(1,86)</t>
  </si>
  <si>
    <t>(1,65)</t>
  </si>
  <si>
    <t>(74,51)</t>
  </si>
  <si>
    <t>ТЦ_62.1.02.14_77_7731593655_01.03.2021_01 том 11.4.стр.75, п.268</t>
  </si>
  <si>
    <t>Щит электрообогрева, номинальное напряжение ~380 В; частота 50 Гц, ввод кабелей сверху, степень защиты P31, 620х310х120 мм; с шиной N изолированной от корпуса щита; с шиной РЕ изолированной от корпуса щита; вводной трехполюсный автоматический выключатель, характеристика С, Iном.= 32 А – 1 шт., на отходящих линиях: четырехполюсный дифференциальные автоматическийШУ-ЕЭ-АС-21-0057-04 выключатель, характеристика С, 30мА Iном. = 16A – 2 шт.; Iном. = 20A – 1 шт.; контактор трехполюсный 1НО, Iном. = 25A – 3 шт. ШУ-ЕЭ-АС-21-0057-04, см. лист 15</t>
  </si>
  <si>
    <t>Объем=(3*5+1*5) / 100</t>
  </si>
  <si>
    <t>Объем=255 / 100</t>
  </si>
  <si>
    <t>37,485</t>
  </si>
  <si>
    <t>13,100625</t>
  </si>
  <si>
    <t>260,1</t>
  </si>
  <si>
    <t>Объем=255*1,02</t>
  </si>
  <si>
    <t>ТЦ_21.1.07.00_77_7731593655_01.03.2021_01 том 11.4. стр.66,п.241</t>
  </si>
  <si>
    <t>8,16</t>
  </si>
  <si>
    <t>Объем=8*1,02</t>
  </si>
  <si>
    <t>500</t>
  </si>
  <si>
    <t>Объем=55 / 100</t>
  </si>
  <si>
    <t>9,9</t>
  </si>
  <si>
    <t>ТЦ_08.3.05.05_78_7804526950_01.03.2021_01 том 11.4., стр.75, п.279</t>
  </si>
  <si>
    <t>14,21875</t>
  </si>
  <si>
    <t>0,1625</t>
  </si>
  <si>
    <t>Объем=(0,7*0,4*55) / 100</t>
  </si>
  <si>
    <t>68,53</t>
  </si>
  <si>
    <t>23,2925</t>
  </si>
  <si>
    <t>Объем=15,4 / 100</t>
  </si>
  <si>
    <t>2,8798</t>
  </si>
  <si>
    <t>0,602525</t>
  </si>
  <si>
    <t>Парковочный островок</t>
  </si>
  <si>
    <t>ЛОКАЛЬНЫЙ СМЕТНЫЙ РАСЧЕТ (СМЕТА) № 03-04-01</t>
  </si>
  <si>
    <t>(40,77)</t>
  </si>
  <si>
    <t>(0,86)</t>
  </si>
  <si>
    <t>Раздел 1. Парковочный островок №1</t>
  </si>
  <si>
    <t>0,00317</t>
  </si>
  <si>
    <t>Объем=3,17 / 1000</t>
  </si>
  <si>
    <t>0,2595438</t>
  </si>
  <si>
    <t>0,00197</t>
  </si>
  <si>
    <t>Объем=1,97 / 1000</t>
  </si>
  <si>
    <t>0,1182</t>
  </si>
  <si>
    <t>0,0911125</t>
  </si>
  <si>
    <t>0,0197</t>
  </si>
  <si>
    <t>Объем=1,97 / 100</t>
  </si>
  <si>
    <t>0,36839</t>
  </si>
  <si>
    <t>0,0770763</t>
  </si>
  <si>
    <t>7,291</t>
  </si>
  <si>
    <t>Объем=3,17*2,3</t>
  </si>
  <si>
    <t>Железобетонные конструкции</t>
  </si>
  <si>
    <t>0,0072</t>
  </si>
  <si>
    <t>Объем=0,72 / 100</t>
  </si>
  <si>
    <t>0,7344</t>
  </si>
  <si>
    <t>1,215</t>
  </si>
  <si>
    <t>0,16308</t>
  </si>
  <si>
    <t>0,0279</t>
  </si>
  <si>
    <t>Объем=2,785 / 100</t>
  </si>
  <si>
    <t>2,83185</t>
  </si>
  <si>
    <t>0,22599</t>
  </si>
  <si>
    <t>6,242625</t>
  </si>
  <si>
    <t>0,99603</t>
  </si>
  <si>
    <t>2,8318</t>
  </si>
  <si>
    <t>Надбавка на водонепрониаемость. Смеси бетонные, БСГ, тяжелого бетона  класс: B15 (М200), F150, W6</t>
  </si>
  <si>
    <t>2,785</t>
  </si>
  <si>
    <t>ФССЦ-08.4.03.03-0003</t>
  </si>
  <si>
    <t>Сталь арматурная рифленая свариваемая, класс A500С, диаметр 10 мм</t>
  </si>
  <si>
    <t>0,0511</t>
  </si>
  <si>
    <t>Объем=51,09/1000</t>
  </si>
  <si>
    <t>0,01056</t>
  </si>
  <si>
    <t>Объем=2*5,28/1000</t>
  </si>
  <si>
    <t>0,561</t>
  </si>
  <si>
    <t>0,054912</t>
  </si>
  <si>
    <t>ФССЦ-23.3.08.01-0121</t>
  </si>
  <si>
    <t>Трубы стальные квадратные из стали марки ст1-3сп/пс размером: 100х100 мм, толщина стенки 4 мм</t>
  </si>
  <si>
    <t>0,0106</t>
  </si>
  <si>
    <t>Ограждение</t>
  </si>
  <si>
    <t>0,1678</t>
  </si>
  <si>
    <t>Объем=16,78 / 100</t>
  </si>
  <si>
    <t>8,704625</t>
  </si>
  <si>
    <t>0,5432525</t>
  </si>
  <si>
    <t>Приказ Минстроя России № 812/пр от 21.12.2020 Прил. п.7</t>
  </si>
  <si>
    <t>НР Бетонные и железобетонные сборные конструкции и работы в строительстве</t>
  </si>
  <si>
    <t>Приказ Минстроя России № 774/пр от 11.12.2020 Прил. п.7</t>
  </si>
  <si>
    <t>СП Бетонные и железобетонные сборные конструкции и работы в строительстве</t>
  </si>
  <si>
    <t>Установка колодца</t>
  </si>
  <si>
    <t>ФЕР34-02-014-01</t>
  </si>
  <si>
    <t>Установка цельнолитых кабельных колодцев из полимерных материалов</t>
  </si>
  <si>
    <t>18.2.04.08</t>
  </si>
  <si>
    <t>Колодцы кабельные полимерные цельнолитые</t>
  </si>
  <si>
    <t>12,36</t>
  </si>
  <si>
    <t>0,1545</t>
  </si>
  <si>
    <t>ФССЦ-18.2.04.08-0014</t>
  </si>
  <si>
    <t>Колодец полимерный цельнолитой для кабельной канализации, однокамерный, с ребрами жесткости, крышкой, резиновым уплотнительным кольцом, диаметр 480 мм, высота 450 мм</t>
  </si>
  <si>
    <t>Итоги по разделу 1 Парковочный островок №1 :</t>
  </si>
  <si>
    <t xml:space="preserve">  Итого по разделу 1 Парковочный островок №1</t>
  </si>
  <si>
    <t>Раздел 2. Парковочный островок №2</t>
  </si>
  <si>
    <t>Итоги по разделу 2 Парковочный островок №2 :</t>
  </si>
  <si>
    <t xml:space="preserve">  Итого по разделу 2 Парковочный островок №2</t>
  </si>
  <si>
    <t>Раздел 3. Парковочный островок №3</t>
  </si>
  <si>
    <t>Устройсвтво ограждения</t>
  </si>
  <si>
    <t>6,9637</t>
  </si>
  <si>
    <t>0,434602</t>
  </si>
  <si>
    <t>Итоги по разделу 3 Парковочный островок №3 :</t>
  </si>
  <si>
    <t xml:space="preserve">  Итого по разделу 3 Парковочный островок №3</t>
  </si>
  <si>
    <t>Раздел 4. Парковочный островок №4</t>
  </si>
  <si>
    <t>Итоги по разделу 4 Парковочный островок №4 :</t>
  </si>
  <si>
    <t xml:space="preserve">  Итого по разделу 4 Парковочный островок №4</t>
  </si>
  <si>
    <t>Раздел 5. Парковочный островок №5</t>
  </si>
  <si>
    <t>Итоги по разделу 5 Парковочный островок №5 :</t>
  </si>
  <si>
    <t xml:space="preserve">  Итого по разделу 5 Парковочный островок №5</t>
  </si>
  <si>
    <t>Раздел 6. Парковочный островок №6</t>
  </si>
  <si>
    <t>Итоги по разделу 6 Парковочный островок №6 :</t>
  </si>
  <si>
    <t xml:space="preserve">  Итого по разделу 6 Парковочный островок №6</t>
  </si>
  <si>
    <t>Раздел 7. Доставка материалов ФССЦ сверх нормы 30 км. (Д-ДРП-20-016-ПОС, транспортная схема, л.2)</t>
  </si>
  <si>
    <t>Перевозка грузов автомобилями бортовыми грузоподъемностью до 5 т на расстояние L=130 км от г. Нальчик до площадки строительства, за исключением 30 км, учтенных в СНБ (итого: 100 км): I класс груза  (Металл. конструкции)</t>
  </si>
  <si>
    <t>0,372</t>
  </si>
  <si>
    <t>Объем=(0,051+0,011)*6</t>
  </si>
  <si>
    <t>Итоги по разделу 7 Доставка материалов ФССЦ сверх нормы 30 км. (Д-ДРП-20-016-ПОС, транспортная схема, л.2) :</t>
  </si>
  <si>
    <t xml:space="preserve">  Итого по разделу 7 Доставка материалов ФССЦ сверх нормы 30 км. (Д-ДРП-20-016-ПОС, транспортная схема, л.2)</t>
  </si>
  <si>
    <t>ОБЪЕКТНЫЙ СМЕТНЫЙ РАСЧЕТ (СМЕТА) № ОС-04-01</t>
  </si>
  <si>
    <t>04-01-01</t>
  </si>
  <si>
    <t>Наружное электроснабжение.</t>
  </si>
  <si>
    <t>04-01-02</t>
  </si>
  <si>
    <t>Электроснабжение.</t>
  </si>
  <si>
    <t>ЛОКАЛЬНЫЙ СМЕТНЫЙ РАСЧЕТ (СМЕТА) № 04-01-01</t>
  </si>
  <si>
    <t>Д-ДРП-20-016-ИОС1.3</t>
  </si>
  <si>
    <t>ФЕРм08-01-025-01</t>
  </si>
  <si>
    <t>Подстанция комплектная трансформаторная напряжением до 10 кВ с трансформатором мощностью: до 400 кВ·А</t>
  </si>
  <si>
    <t>34,75</t>
  </si>
  <si>
    <t>7,6</t>
  </si>
  <si>
    <t>9,5</t>
  </si>
  <si>
    <t>ТЦ_62.5.02.03_66_6659202137_01.03.2021_01 том 11.4. стр.51,п.169</t>
  </si>
  <si>
    <t>Блочно-модульная комплектная трансформаторная подстанция,
напряжением 10/0,4кВ, в комплекте с
- одним силовым трансформатором мощностью 160 кВА, схема
соединения обмоток Δ/Y-11, без кожуха;
- РУ-10кВ - воздушный ввод;
- РУ-0,4кВ - кабельный ввод БТП-160-10/0,4-У1</t>
  </si>
  <si>
    <t>0,175</t>
  </si>
  <si>
    <t>0,054</t>
  </si>
  <si>
    <t>Объем=54/1000</t>
  </si>
  <si>
    <t>ТЦ_08.3.05.05_78_7804526950_01.03.2021_01 том 11.4. стр.60, п.221</t>
  </si>
  <si>
    <t>Полоса стальная  оцинкованная 50х5</t>
  </si>
  <si>
    <t>ТЦ_08.3.05.05_78_7804526950_01.03.2021_01 том 11.4. стр.61, п.222</t>
  </si>
  <si>
    <t>Сталь угловая равнополочная  оцинкованная 63х63х6 L=3000мм</t>
  </si>
  <si>
    <t>КТП</t>
  </si>
  <si>
    <t>ЛОКАЛЬНЫЙ СМЕТНЫЙ РАСЧЕТ (СМЕТА) № 04-01-02</t>
  </si>
  <si>
    <t>(8,91)</t>
  </si>
  <si>
    <t>(0,14)</t>
  </si>
  <si>
    <t>Объем=1,5 / 1000</t>
  </si>
  <si>
    <t>0,1228125</t>
  </si>
  <si>
    <t>0,00012</t>
  </si>
  <si>
    <t>Объем=0,12 / 1000</t>
  </si>
  <si>
    <t>0,00555</t>
  </si>
  <si>
    <t>0,0012</t>
  </si>
  <si>
    <t>Объем=0,12 / 100</t>
  </si>
  <si>
    <t>0,02244</t>
  </si>
  <si>
    <t>0,004695</t>
  </si>
  <si>
    <t>3,45</t>
  </si>
  <si>
    <t>Объем=1,5*2,3</t>
  </si>
  <si>
    <t>Раздел 2. Железобетонные конструкции</t>
  </si>
  <si>
    <t>0,0188</t>
  </si>
  <si>
    <t>Объем=1,88 / 100</t>
  </si>
  <si>
    <t>1,9176</t>
  </si>
  <si>
    <t>0,42582</t>
  </si>
  <si>
    <t>0,0338</t>
  </si>
  <si>
    <t>Объем=3,38 / 100</t>
  </si>
  <si>
    <t>3,4307</t>
  </si>
  <si>
    <t>0,27378</t>
  </si>
  <si>
    <t>7,56275</t>
  </si>
  <si>
    <t>1,20666</t>
  </si>
  <si>
    <t>3,38</t>
  </si>
  <si>
    <t>0,3892</t>
  </si>
  <si>
    <t>Объем=389,22/1000</t>
  </si>
  <si>
    <t>ФЕР08-01-003-10</t>
  </si>
  <si>
    <t>Гидроизоляция боковая обмазочная полимерной мастикой на основе бутилкаучука в один слой</t>
  </si>
  <si>
    <t>0,2054</t>
  </si>
  <si>
    <t>Объем=20,54 / 100</t>
  </si>
  <si>
    <t>14.5.04.01</t>
  </si>
  <si>
    <t>Мастика полимерная, гидроизоляционная, коррозионно-защитная, биостойкая, на основе бутилкаучука</t>
  </si>
  <si>
    <t>55,62</t>
  </si>
  <si>
    <t>11,424348</t>
  </si>
  <si>
    <t>3,36</t>
  </si>
  <si>
    <t>0,86268</t>
  </si>
  <si>
    <t>0,0128375</t>
  </si>
  <si>
    <t>32,864</t>
  </si>
  <si>
    <t>Объем=20,54*1,6</t>
  </si>
  <si>
    <t>ФЕР07-05-001-02</t>
  </si>
  <si>
    <t>Установка блоков стен подвалов массой: до 1 т</t>
  </si>
  <si>
    <t>0,0142</t>
  </si>
  <si>
    <t>05.2.02.01</t>
  </si>
  <si>
    <t>Блоки бетонные для стен подвалов</t>
  </si>
  <si>
    <t>66,8</t>
  </si>
  <si>
    <t>1,336</t>
  </si>
  <si>
    <t>27,06</t>
  </si>
  <si>
    <t>0,5412</t>
  </si>
  <si>
    <t>ФССЦ-05.2.02.01-0042</t>
  </si>
  <si>
    <t>Блоки бетонные для стен подвалов полнотелые ФБС12-4-6-Т, бетон B7,5 (М100, объем 0,265 м3, расход арматуры 1,46 кг</t>
  </si>
  <si>
    <t>ФЕР07-05-001-03</t>
  </si>
  <si>
    <t>Установка блоков стен подвалов массой: до 1,5 т</t>
  </si>
  <si>
    <t>93,7</t>
  </si>
  <si>
    <t>3,748</t>
  </si>
  <si>
    <t>43,06</t>
  </si>
  <si>
    <t>1,7224</t>
  </si>
  <si>
    <t>ФССЦ-05.2.02.01-0053</t>
  </si>
  <si>
    <t>Блоки бетонные для стен подвалов полнотелые ФБС24-4-6-Т, бетон B7,5 (М100, объем 0,543 м3, расход арматуры 1,46 кг</t>
  </si>
  <si>
    <t>Итоги по разделу 2 Железобетонные конструкции :</t>
  </si>
  <si>
    <t xml:space="preserve">  Итого по разделу 2 Железобетонные конструкции</t>
  </si>
  <si>
    <t>Перевозка грузов автомобилями бортовыми грузоподъемностью до 5 т на расстояние L=130 км от г. Нальчик до площадки строительства, за исключением 30 км, учтенных в СНБ (итого: 100 км): I класс груза  (арматура)</t>
  </si>
  <si>
    <t>0,389</t>
  </si>
  <si>
    <t>Перевозка грузов автомобилями бортовыми грузоподъемностью до 5 т на расстояние L=130 км от г. Нальчик до площадки строительства, за исключением 30 км, учтенных в СНБ (итого: 100 км): II класс груза (мастика)</t>
  </si>
  <si>
    <t>Калькуляция №1  раздел 17</t>
  </si>
  <si>
    <t>Перевозка грузов автомобилями бортовыми грузоподъемностью до 15 т на расстояние L=130 км от г. Нальчик до площадки строительства, за исключением 30 км, учтенных в СНБ (итого: 100 км): I класс груза  (Блоки ФБС)</t>
  </si>
  <si>
    <t>6,48</t>
  </si>
  <si>
    <t>Объем=1,28+5,2</t>
  </si>
  <si>
    <t>ЛОКАЛЬНЫЙ СМЕТНЫЙ РАСЧЕТ (СМЕТА) № 05-01-01</t>
  </si>
  <si>
    <t>Наружные сети связи</t>
  </si>
  <si>
    <t>Д-ДРП-20-016-ИОС 5.2</t>
  </si>
  <si>
    <t>(2,46)</t>
  </si>
  <si>
    <t>ФЕР01-01-022-11</t>
  </si>
  <si>
    <t>Разработка грунта с погрузкой на автомобили-самосвалы в траншеях экскаватором «обратная лопата» с ковшом вместимостью 0,65 (0,5-1) м3, группа грунтов: 5</t>
  </si>
  <si>
    <t>53,5</t>
  </si>
  <si>
    <t>0,2244</t>
  </si>
  <si>
    <t>Объем=(748*0,03) / 100</t>
  </si>
  <si>
    <t>119,8296</t>
  </si>
  <si>
    <t>ФЕР08-01-002-01</t>
  </si>
  <si>
    <t>Устройство основания под фундаменты: песчаного (колодец)</t>
  </si>
  <si>
    <t>12,3</t>
  </si>
  <si>
    <t>Объем=0,3*41</t>
  </si>
  <si>
    <t>1,1</t>
  </si>
  <si>
    <t>13,53</t>
  </si>
  <si>
    <t>11,9925</t>
  </si>
  <si>
    <t>1,07625</t>
  </si>
  <si>
    <t>Объем=0,3*41*1,1</t>
  </si>
  <si>
    <t>ФЕР23-01-001-01</t>
  </si>
  <si>
    <t>Устройство основания под трубопроводы: песчаного</t>
  </si>
  <si>
    <t>ФЕР34-02-003-01</t>
  </si>
  <si>
    <t>Устройство трубопроводов из полиэтиленовых труб: до 2 отверстий</t>
  </si>
  <si>
    <t>канал.км</t>
  </si>
  <si>
    <t>133</t>
  </si>
  <si>
    <t>ТЦ_24.3.01.04_77_7723005557_01.03.2021_01 том 11.4.стр.66, п.230</t>
  </si>
  <si>
    <t>Труба ССД-Пайп OD=110 мм, 1100N, SN22, с протяжкой (110610-00009)</t>
  </si>
  <si>
    <t>ТЦ_24.3.01.04_77_7723005557_01.03.2021_01 том 11.4.  стр.66, п.231</t>
  </si>
  <si>
    <t>Труба ССД-Пайп OD=50 мм, 800N, SN22 (110610-00005)</t>
  </si>
  <si>
    <t>ТЦ_20.2.09.12_77_7723005557_01.03.2021_01 том 11.4. стр.66 п.232</t>
  </si>
  <si>
    <t>Муфты соединительные резьбовая ССД-Пайп 110мм</t>
  </si>
  <si>
    <t>ТЦ_20.2.03.01_77_7723005557_01.03.2021_01 том 11.4.  стр.67, п.233</t>
  </si>
  <si>
    <t>Кластер ССД-Пайп OD 110мм тройной</t>
  </si>
  <si>
    <t>ТЦ_20.2.03.01_77_7723005557_01.03.2021_01 том 11.4. стр.67, п.234</t>
  </si>
  <si>
    <t>Заглушка для труб ССД-Пайп 110мм</t>
  </si>
  <si>
    <t>246</t>
  </si>
  <si>
    <t>ФЕР22-04-005-02</t>
  </si>
  <si>
    <t>Установка круглых сборных колодцев из полимерных материалов на фланцевом соединении: высотой 2 м, диаметром 1500 мм</t>
  </si>
  <si>
    <t>1,7</t>
  </si>
  <si>
    <t>87,125</t>
  </si>
  <si>
    <t>63,55</t>
  </si>
  <si>
    <t>ТЦ_18.2.04.10_77_7723005557_01.03.2021_01 том 11.4.  стр.64, п.223</t>
  </si>
  <si>
    <t>Колодец пластиковый кабельный КС-5-ССД с закладными (под кронштейны)</t>
  </si>
  <si>
    <t>ТЦ_18.2.00.00_77_7723005557_01.03.2021_01 том 11.4. стр.64, п.224</t>
  </si>
  <si>
    <t>Кронштейн (стойка) для пластикового колодца КС-5-ССД</t>
  </si>
  <si>
    <t>164</t>
  </si>
  <si>
    <t>ТЦ_18.2.00.00_77_7723005557_01.03.2021_01 том 11.4.  стр.65, п.225</t>
  </si>
  <si>
    <t>Полка (консоль) для пластикового колодца КС-5-ССД</t>
  </si>
  <si>
    <t>328</t>
  </si>
  <si>
    <t>ТЦ_01.6.03.01_77_7723005557_01.03.2021_01 том 11.4. стр.65, п.227</t>
  </si>
  <si>
    <t>Плита ПАКС 1,6х1,6 анкерная колодца связи</t>
  </si>
  <si>
    <t>ТЦ_01.6.03.01_77_7723005557_01.03.2021_01 том 11.4. стр.65, п.228</t>
  </si>
  <si>
    <t>Плита опорная ОП-1к МТ</t>
  </si>
  <si>
    <t>ТЦ_18.2.00.00_77_7723005557_01.03.2021_01 том 11.4. стр.65, п.226</t>
  </si>
  <si>
    <t>Крышка для пластикового колодца КС-5-ССД</t>
  </si>
  <si>
    <t>ТЦ_20.5.01.01_77_7723005557_01.03.2021_01 том 11.4. стр.66, п.229</t>
  </si>
  <si>
    <t>Адаптер герметичного ввода труб ССД-Пайп 110мм</t>
  </si>
  <si>
    <t>ФЕР22-01-011-06</t>
  </si>
  <si>
    <t>Укладка стальных водопроводных труб с гидравлическим испытанием диаметром: 200 мм</t>
  </si>
  <si>
    <t>0,327</t>
  </si>
  <si>
    <t>Объем=327/1000</t>
  </si>
  <si>
    <t>328,308</t>
  </si>
  <si>
    <t>376</t>
  </si>
  <si>
    <t>153,69</t>
  </si>
  <si>
    <t>108,85</t>
  </si>
  <si>
    <t>44,4924375</t>
  </si>
  <si>
    <t>ФССЦ-23.5.02.02-0009</t>
  </si>
  <si>
    <t>Трубы стальные электросварные прямошовные из стали марок БСт2кп-БСт4кп и БСт2пс-БСт4пс, наружный диаметр 159 мм, толщина стенки 5,0 мм</t>
  </si>
  <si>
    <t>ФЕРм10-06-058-01</t>
  </si>
  <si>
    <t>Монтаж прямых муфт для волоконно-оптических кабелей в колодце, емкость оптических волокон: 4</t>
  </si>
  <si>
    <t>2,77</t>
  </si>
  <si>
    <t>3,4625</t>
  </si>
  <si>
    <t>ТЦ_20.2.09.00_77_7723005557_01.03.2021_01 том 11.4. стр.68, п.237</t>
  </si>
  <si>
    <t>Муфта МОГ-Т3-40-1КБ4845ССД</t>
  </si>
  <si>
    <t>ФЕРм10-06-060-01</t>
  </si>
  <si>
    <t>Монтаж оптического кросса с учетом измерений на волоконно-оптическом кабеле с числом волокон: 4</t>
  </si>
  <si>
    <t>1,86</t>
  </si>
  <si>
    <t>ФЕРм10-06-060-04</t>
  </si>
  <si>
    <t>Монтаж оптического кросса с учетом измерений на волоконно-оптическом кабеле с числом волокон: 16</t>
  </si>
  <si>
    <t>3,61</t>
  </si>
  <si>
    <t>4,5125</t>
  </si>
  <si>
    <t>ТЦ_61.1.00.00_77_7723005557_01.03.2021_01 том 11.4. стр.68, п.238</t>
  </si>
  <si>
    <t>Кросс ШКОС-М-1U/2-16-FC/ST-16-FC/D/SM-16-FC/UPC</t>
  </si>
  <si>
    <t>ТЦ_61.1.00.00_78_7804526950_01.03.2021_01 том 11.4. стр.82,п.293</t>
  </si>
  <si>
    <t>Кросс ШКОС-М -1U/2 -32 -FC/ST ~32 -FC/D/SM ~32 -FC/UPC</t>
  </si>
  <si>
    <t>ФЕРм10-06-048-06</t>
  </si>
  <si>
    <t>Прокладка волоконно-оптических кабелей в канализации: в трубопроводе по свободному каналу</t>
  </si>
  <si>
    <t>100 м кабеля</t>
  </si>
  <si>
    <t>Объем=(5750+150) / 100</t>
  </si>
  <si>
    <t>885</t>
  </si>
  <si>
    <t>2,02</t>
  </si>
  <si>
    <t>148,975</t>
  </si>
  <si>
    <t>ТЦ_25.3.16.01_77_7702680818_01.03.2021_01 том 11.4. стр.20,п.51</t>
  </si>
  <si>
    <t>Кабель оптический ТОЛ-П-04У-2,7кН</t>
  </si>
  <si>
    <t>5865</t>
  </si>
  <si>
    <t>Объем=5750*1,02</t>
  </si>
  <si>
    <t>ТЦ_25.3.16.01_77_7702680818_01.03.2021_01 том 11.4. стр.21, п.52</t>
  </si>
  <si>
    <t>Кабель оптический ТОЛ-П-16У-2,7кН</t>
  </si>
  <si>
    <t>153</t>
  </si>
  <si>
    <t>Объем=150*1,02</t>
  </si>
  <si>
    <t>ФЕРм10-06-065-01</t>
  </si>
  <si>
    <t>Измерение на смонтированном участке волоконно-оптического кабеля в одном направлении на двух длинах волн с числом волокон: 4</t>
  </si>
  <si>
    <t>участок</t>
  </si>
  <si>
    <t>1,72</t>
  </si>
  <si>
    <t>2,15</t>
  </si>
  <si>
    <t>ФЕРм10-06-065-04</t>
  </si>
  <si>
    <t>Измерение на смонтированном участке волоконно-оптического кабеля в одном направлении на двух длинах волн с числом волокон: 16</t>
  </si>
  <si>
    <t>Объем=26+24</t>
  </si>
  <si>
    <t>149,375</t>
  </si>
  <si>
    <t>Калькуляция №1 Разлел 1</t>
  </si>
  <si>
    <t>Перевозка материалов автомобилями-самосвалами автомобилем гп 10 т на расстояние L=135 км от  Малкинского песчаного карьерера до площадки строительства за исключением 30 км, учтенных в СНБ (итого: 105 км),  I класс груза(строительный песок)</t>
  </si>
  <si>
    <t>Калькуляция №1 Разлел 2</t>
  </si>
  <si>
    <t>Перевозка материалов бортовым автомобилем гп 5 т на расстояние L=130 км от г. Нальчик  до площадки строительства, за исключением 30 км, учтенных в СНБ (итого: 100 км), I класс груза (Трубы стальные электросварные)</t>
  </si>
  <si>
    <t>6,235</t>
  </si>
  <si>
    <t>Остановочный павильон</t>
  </si>
  <si>
    <t>ОБЪЕКТНЫЙ СМЕТНЫЙ РАСЧЕТ (СМЕТА) № ОС-05-02</t>
  </si>
  <si>
    <t>05-02-01</t>
  </si>
  <si>
    <t>05-02-02</t>
  </si>
  <si>
    <t>05-02-03</t>
  </si>
  <si>
    <t>Автобусная остановка.</t>
  </si>
  <si>
    <t>ЛОКАЛЬНЫЙ СМЕТНЫЙ РАСЧЕТ (СМЕТА) № 05-02-01</t>
  </si>
  <si>
    <t>(83,41)</t>
  </si>
  <si>
    <t>(3,67)</t>
  </si>
  <si>
    <t>0,374</t>
  </si>
  <si>
    <t>Объем=37,4 / 100</t>
  </si>
  <si>
    <t>22,734525</t>
  </si>
  <si>
    <t>0,12155</t>
  </si>
  <si>
    <t>60,69</t>
  </si>
  <si>
    <t>Объем=0,2382*1000/3,925</t>
  </si>
  <si>
    <t>24,67465</t>
  </si>
  <si>
    <t>0,00935</t>
  </si>
  <si>
    <t>Объем=(4*3) / 100</t>
  </si>
  <si>
    <t>4,17</t>
  </si>
  <si>
    <t>ТЦ_20.2.06.02_34_3525273236_01.03.2021_01Том 11 с.93 п.348</t>
  </si>
  <si>
    <t>0,124</t>
  </si>
  <si>
    <t>Объем=12,4 / 100</t>
  </si>
  <si>
    <t>0,8215</t>
  </si>
  <si>
    <t>0,01705</t>
  </si>
  <si>
    <t>Объем=12,4/3</t>
  </si>
  <si>
    <t>0,3472</t>
  </si>
  <si>
    <t>Объем=34,72 / 100</t>
  </si>
  <si>
    <t>0,708288</t>
  </si>
  <si>
    <t>15,4504</t>
  </si>
  <si>
    <t>0,55118</t>
  </si>
  <si>
    <t>0,708</t>
  </si>
  <si>
    <t>1,416576</t>
  </si>
  <si>
    <t>1,52768</t>
  </si>
  <si>
    <t>0,72912</t>
  </si>
  <si>
    <t>1,4166</t>
  </si>
  <si>
    <t>0,095</t>
  </si>
  <si>
    <t>Объем=34,72*2,75/1000</t>
  </si>
  <si>
    <t>1,3775</t>
  </si>
  <si>
    <t>0,0415625</t>
  </si>
  <si>
    <t>34,72</t>
  </si>
  <si>
    <t>68,138</t>
  </si>
  <si>
    <t>1,00254</t>
  </si>
  <si>
    <t>26,5608</t>
  </si>
  <si>
    <t>0,0868</t>
  </si>
  <si>
    <t>1,3888</t>
  </si>
  <si>
    <t>Объем=34,72*0,04</t>
  </si>
  <si>
    <t>Объем=80,4 / 100</t>
  </si>
  <si>
    <t>82,008</t>
  </si>
  <si>
    <t>98,9925</t>
  </si>
  <si>
    <t>1,2261</t>
  </si>
  <si>
    <t>0,563</t>
  </si>
  <si>
    <t>Объем=(20,24+542,3)/1000</t>
  </si>
  <si>
    <t>139,65215</t>
  </si>
  <si>
    <t>1,449725</t>
  </si>
  <si>
    <t>202,5</t>
  </si>
  <si>
    <t>Объем=405/2</t>
  </si>
  <si>
    <t>0,287</t>
  </si>
  <si>
    <t>0,586</t>
  </si>
  <si>
    <t>Объем=0,094+0,459+0,018+0,011+0,004</t>
  </si>
  <si>
    <t>Автобусная остановка</t>
  </si>
  <si>
    <t>ЛОКАЛЬНЫЙ СМЕТНЫЙ РАСЧЕТ (СМЕТА) № 05-02-02</t>
  </si>
  <si>
    <t>(34,6)</t>
  </si>
  <si>
    <t>0,01587</t>
  </si>
  <si>
    <t>Объем=15,87 / 1000</t>
  </si>
  <si>
    <t>1,2993563</t>
  </si>
  <si>
    <t>0,00066</t>
  </si>
  <si>
    <t>Объем=0,66 / 1000</t>
  </si>
  <si>
    <t>0,0396</t>
  </si>
  <si>
    <t>0,030525</t>
  </si>
  <si>
    <t>0,0066</t>
  </si>
  <si>
    <t>Объем=0,66 / 100</t>
  </si>
  <si>
    <t>0,12342</t>
  </si>
  <si>
    <t>0,0258225</t>
  </si>
  <si>
    <t>36,501</t>
  </si>
  <si>
    <t>Объем=15,87*2,3</t>
  </si>
  <si>
    <t>0,0413</t>
  </si>
  <si>
    <t>Объем=4,13 / 100</t>
  </si>
  <si>
    <t>4,2126</t>
  </si>
  <si>
    <t>6,969375</t>
  </si>
  <si>
    <t>0,935445</t>
  </si>
  <si>
    <t>0,0763</t>
  </si>
  <si>
    <t>Объем=7,63 / 100</t>
  </si>
  <si>
    <t>7,74445</t>
  </si>
  <si>
    <t>0,61803</t>
  </si>
  <si>
    <t>17,072125</t>
  </si>
  <si>
    <t>2,72391</t>
  </si>
  <si>
    <t>7,7445</t>
  </si>
  <si>
    <t>7,63</t>
  </si>
  <si>
    <t>0,8379</t>
  </si>
  <si>
    <t>Объем=837,93/1000</t>
  </si>
  <si>
    <t>0,0556</t>
  </si>
  <si>
    <t>Объем=4,28*13/1000</t>
  </si>
  <si>
    <t>4,031</t>
  </si>
  <si>
    <t>0,022935</t>
  </si>
  <si>
    <t>0,4442</t>
  </si>
  <si>
    <t>Объем=44,42 / 100</t>
  </si>
  <si>
    <t>0,106608</t>
  </si>
  <si>
    <t>8,628585</t>
  </si>
  <si>
    <t>0,4164375</t>
  </si>
  <si>
    <t>0,053304</t>
  </si>
  <si>
    <t>2,73183</t>
  </si>
  <si>
    <t>0,2054425</t>
  </si>
  <si>
    <t>71,072</t>
  </si>
  <si>
    <t>Объем=44,42*1,6</t>
  </si>
  <si>
    <t>1,1748</t>
  </si>
  <si>
    <t>Объем=1129,28*1,01*1,03/1000</t>
  </si>
  <si>
    <t>Прил.9.1 п.2</t>
  </si>
  <si>
    <t>При применении в рабочих чертежах марок стали с повышенным расчетным сопротивлением: предел текучести в зависимости от вида толщины проката 265-345 МПа (27-35 кгс/мм2), марка стали С345, С345к, С345Т1 - каркасы зданий ПЗ=1,09 (ОЗП=1,09; ЭМ=1,09 к расх.; ЗПМ=1,09; МАТ=1,09 к расх.; ТЗ=1,09; ТЗМ=1,09)</t>
  </si>
  <si>
    <t>1,3625</t>
  </si>
  <si>
    <t>1,280532</t>
  </si>
  <si>
    <t>9,2518437</t>
  </si>
  <si>
    <t>3,6655229</t>
  </si>
  <si>
    <t>ФССЦ-23.3.08.01-0125</t>
  </si>
  <si>
    <t>Трубы стальные квадратные из стали марки ст1-3сп/пс размером: 120х120 мм, толщина стенки 5 мм</t>
  </si>
  <si>
    <t>0,4575</t>
  </si>
  <si>
    <t>Объем=439,8*1,01*1,03/1000</t>
  </si>
  <si>
    <t>При применении в рабочих чертежах марок стали с повышенным расчетным сопротивлением: предел текучести в зависимости от вида толщины проката 265-345 МПа (27-35 кгс/мм2), марка стали С345, С345к, С345Т1 - балки (независимо от массы) ПЗ=1,13 (ОЗП=1,13; ЭМ=1,13 к расх.; ЗПМ=1,13; МАТ=1,13 к расх.; ТЗ=1,13; ТЗМ=1,13)</t>
  </si>
  <si>
    <t>1,4125</t>
  </si>
  <si>
    <t>1,13</t>
  </si>
  <si>
    <t>0,516975</t>
  </si>
  <si>
    <t>10,0810125</t>
  </si>
  <si>
    <t>1,86111</t>
  </si>
  <si>
    <t>0,2345</t>
  </si>
  <si>
    <t>Объем=(195,16+30,24)*1,01*1,03/1000</t>
  </si>
  <si>
    <t>При применении в рабочих чертежах марок стали с повышенным расчетным сопротивлением: предел текучести в зависимости от вида толщины проката 265-345 МПа (27-35 кгс/мм2), марка стали С345, С345к, С345Т1 - прочие конструктивные элементы ПЗ=1,1 (ОЗП=1,1; ЭМ=1,1 к расх.; ЗПМ=1,1; МАТ=1,1 к расх.; ТЗ=1,1; ТЗМ=1,1)</t>
  </si>
  <si>
    <t>1,375</t>
  </si>
  <si>
    <t>0,25795</t>
  </si>
  <si>
    <t>12,7524031</t>
  </si>
  <si>
    <t>1,2929744</t>
  </si>
  <si>
    <t>ФССЦ-07.2.07.04-0011</t>
  </si>
  <si>
    <t>Конструкции сварные индивидуальные прочие, масса сборочной единицы до 0,1 т</t>
  </si>
  <si>
    <t>0,5204</t>
  </si>
  <si>
    <t>Объем=52,04 / 100</t>
  </si>
  <si>
    <t>2,66705</t>
  </si>
  <si>
    <t>0,01301</t>
  </si>
  <si>
    <t>1,3845</t>
  </si>
  <si>
    <t>0,013</t>
  </si>
  <si>
    <t>10,408</t>
  </si>
  <si>
    <t>Объем=52,04*0,2</t>
  </si>
  <si>
    <t>Раздел 4. Кровля (Устройство обрешетки учтено в смете 03-04-01)</t>
  </si>
  <si>
    <t>7,375</t>
  </si>
  <si>
    <t>0,2125</t>
  </si>
  <si>
    <t>Итоги по разделу 4 Кровля (Устройство обрешетки учтено в смете 03-04-01) :</t>
  </si>
  <si>
    <t xml:space="preserve">  Итого по разделу 4 Кровля (Устройство обрешетки учтено в смете 03-04-01)</t>
  </si>
  <si>
    <t>2,762</t>
  </si>
  <si>
    <t>Объем=0,838+0,056+1,175+0,458+0,235</t>
  </si>
  <si>
    <t>Перевозка грузов автомобилями бортовыми грузоподъемностью до 5 т на расстояние L=130 км от г. Нальчик  до площадки строительства, за исключением 30 км, учтенных в СНБ (итого: 100км), II класс груза (брус, мастика)</t>
  </si>
  <si>
    <t>0,394</t>
  </si>
  <si>
    <t>Объем=0,089+0,305</t>
  </si>
  <si>
    <t>Остановочный павильон.</t>
  </si>
  <si>
    <t>ЛОКАЛЬНЫЙ СМЕТНЫЙ РАСЧЕТ (СМЕТА) № 05-02-03</t>
  </si>
  <si>
    <t>(1,52)</t>
  </si>
  <si>
    <t>(1,53)</t>
  </si>
  <si>
    <t>ТЦ_62.1.02.14_77_7731593655_01.03.2021_01 том 11.4.стр.75, п.267</t>
  </si>
  <si>
    <t>Щит силовой и электрообогрева, навесного исполнения, номинальное напряжение ~380 В; частота 50 Гц, ввод кабелей сверху, степень защиты P54, 620х310х120 мм; с шиной N изолированной от корпуса щита; с шиной РЕ изолированной от корпуса щита; вводной трехполюсный автоматический выключатель, характеристика С, Iном.= 40 А – 1 шт., на отходящих линиях: четырехполюсный дифференциальные автоматический выключатель, характеристика С, 30мА Iном. = 16A – 3 шт.; контактор трехполюсный 1НО, Iном. = 25A – 3 шт.; двухполюсный дифференциальные автоматический выключатель, характеристика С, 30мА, Iном. = 6A – 1 шт.; контактор однополюсный 1НО, Iном. = 10A – 1 шт.  ШУ-ЕЭ-АС-21-0057-03 см. лист 21</t>
  </si>
  <si>
    <t>2,649</t>
  </si>
  <si>
    <t>ТЦ_20.3.03.07_77_7734647080_01.03.2021_01 том 11.4. стр.61 п.211</t>
  </si>
  <si>
    <t>Объем=229 / 100</t>
  </si>
  <si>
    <t>33,663</t>
  </si>
  <si>
    <t>11,764875</t>
  </si>
  <si>
    <t>Кабель нагревательный саморегулирующийся саморегулирующий ЕЭ-ХИТФЛЕКС НТКэ25</t>
  </si>
  <si>
    <t>233,58</t>
  </si>
  <si>
    <t>Объем=229*1,02</t>
  </si>
  <si>
    <t>200</t>
  </si>
  <si>
    <t>Провод силовой установочный с медными жилами ПВ3 6-450(прим.ПуГВ  1х6)</t>
  </si>
  <si>
    <t>Объем=45 / 100</t>
  </si>
  <si>
    <t>12,03125</t>
  </si>
  <si>
    <t>0,1375</t>
  </si>
  <si>
    <t>0,126</t>
  </si>
  <si>
    <t>Объем=(0,7*0,4*45) / 100</t>
  </si>
  <si>
    <t>56,07</t>
  </si>
  <si>
    <t>19,0575</t>
  </si>
  <si>
    <t>Объем=12,6 / 100</t>
  </si>
  <si>
    <t>2,3562</t>
  </si>
  <si>
    <t>0,492975</t>
  </si>
  <si>
    <t>ЛОКАЛЬНЫЙ СМЕТНЫЙ РАСЧЕТ (СМЕТА) № 05-03-01</t>
  </si>
  <si>
    <t>Автомобильные дороги, тротуары</t>
  </si>
  <si>
    <t>Д-ДРП-20-016-СПЗУ-ВОР</t>
  </si>
  <si>
    <t>ФЕР01-01-022-05</t>
  </si>
  <si>
    <t>Разработка грунта с погрузкой на автомобили-самосвалы в траншеях экскаватором «обратная лопата» с ковшом вместимостью 1 (1-1,2) м3, группа грунтов: 5 (Нарезка кюветов)</t>
  </si>
  <si>
    <t>ФЕР01-02-001-03</t>
  </si>
  <si>
    <t>Уплотнение грунта прицепными катками на пневмоколесном ходу 25 т на первый проход по одному следу при толщине слоя: 40 см</t>
  </si>
  <si>
    <t>10,59</t>
  </si>
  <si>
    <t>ФЕР01-02-001-09</t>
  </si>
  <si>
    <t>На каждый последующий проход по одному следу добавлять: к расценке 01-02-001-03 (До 8 проходов)</t>
  </si>
  <si>
    <t>До 8 проходов ПЗ=7 (ОЗП=7; ЭМ=7 к расх.; ЗПМ=7; МАТ=7 к расх.; ТЗ=7; ТЗМ=7)</t>
  </si>
  <si>
    <t>1,01</t>
  </si>
  <si>
    <t>ФЕР01-02-027-13</t>
  </si>
  <si>
    <t>35,5</t>
  </si>
  <si>
    <t>Под знаки (остальные работы учтены при установки знаков)</t>
  </si>
  <si>
    <t>Раздел 2. Укрепительные работы</t>
  </si>
  <si>
    <t>ФЕР01-02-040-02</t>
  </si>
  <si>
    <t>Укрепление откосов земляных сооружений посевом многолетних трав: механизированным способом</t>
  </si>
  <si>
    <t>16.2.02.07</t>
  </si>
  <si>
    <t>Семена трав</t>
  </si>
  <si>
    <t>2,16</t>
  </si>
  <si>
    <t>ФССЦ-16.2.02.07-0131</t>
  </si>
  <si>
    <t>Семена трав: овсяница</t>
  </si>
  <si>
    <t>(Озеленение. Защитные лесонасаждения)</t>
  </si>
  <si>
    <t>Погрузо-разгрузочные работы при автомобильных перевозках: Погрузка грунта растительного слоя (земля, перегной) ( из временного отвала)</t>
  </si>
  <si>
    <t>ФЕР01-02-046-05</t>
  </si>
  <si>
    <t>Укрепление откосов земляного полотна бетонными: монолитными плитами при толщине до 10 см</t>
  </si>
  <si>
    <t>9,1</t>
  </si>
  <si>
    <t>Объем=910 / 100</t>
  </si>
  <si>
    <t>Щебень</t>
  </si>
  <si>
    <t>10,7</t>
  </si>
  <si>
    <t>97,37</t>
  </si>
  <si>
    <t>1387,75</t>
  </si>
  <si>
    <t>34,92125</t>
  </si>
  <si>
    <t>ФССЦ-02.2.05.04-1692</t>
  </si>
  <si>
    <t>Щебень М 600, фракция 10-20 мм, группа 2</t>
  </si>
  <si>
    <t>ФЕР01-02-046-06</t>
  </si>
  <si>
    <t>Укрепление откосов земляного полотна бетонными: на каждый 1 см изменения толщины добавлять к расценке 01-02-046-05 (до 8 см)</t>
  </si>
  <si>
    <t>-9,1</t>
  </si>
  <si>
    <t>Объем=-910 / 100</t>
  </si>
  <si>
    <t>До 8 см ПЗ=2 (ОЗП=2; ЭМ=2 к расх.; ЗПМ=2; МАТ=2 к расх.; ТЗ=2; ТЗМ=2)</t>
  </si>
  <si>
    <t>7,62</t>
  </si>
  <si>
    <t>-173,355</t>
  </si>
  <si>
    <t>-0,455</t>
  </si>
  <si>
    <t>Армирование подстилающих слоев и набетонок</t>
  </si>
  <si>
    <t>2,002</t>
  </si>
  <si>
    <t>Объем=2002/1000</t>
  </si>
  <si>
    <t>29,029</t>
  </si>
  <si>
    <t>0,875875</t>
  </si>
  <si>
    <t>ФССЦ-08.4.03.02-0003</t>
  </si>
  <si>
    <t>Сталь арматурная, горячекатаная, гладкая, класс А-I, диаметр 10 мм</t>
  </si>
  <si>
    <t>ФЕР27-06-011-01</t>
  </si>
  <si>
    <t>Устройство швов расширения</t>
  </si>
  <si>
    <t>Устройство лотков</t>
  </si>
  <si>
    <t>0,0258</t>
  </si>
  <si>
    <t>Объем=2,58 / 100</t>
  </si>
  <si>
    <t>2,6316</t>
  </si>
  <si>
    <t>4,35375</t>
  </si>
  <si>
    <t>0,58437</t>
  </si>
  <si>
    <t>ФССЦ-04.1.02.05-0007</t>
  </si>
  <si>
    <t>Смеси бетонные тяжелого бетона (БСТ), класс В20 (М250)</t>
  </si>
  <si>
    <t>ФЕР01-02-048-01</t>
  </si>
  <si>
    <t>Укрепление нагорных и водоотводных канав, кюветов: лотками-желобами</t>
  </si>
  <si>
    <t>Объем=13 / 100</t>
  </si>
  <si>
    <t>0,39</t>
  </si>
  <si>
    <t>05.1.08.01</t>
  </si>
  <si>
    <t>Блоки железобетонные</t>
  </si>
  <si>
    <t>1,742</t>
  </si>
  <si>
    <t>219</t>
  </si>
  <si>
    <t>35,5875</t>
  </si>
  <si>
    <t>7,6375</t>
  </si>
  <si>
    <t>ФССЦ-02.2.05.04-1687</t>
  </si>
  <si>
    <t>Щебень М 400, фракция 10-20 мм, группа 2</t>
  </si>
  <si>
    <t>ТЦ_11.3.04.05_34_3525273236_01.03.2021_01 Том 11.4, с.93 п.349</t>
  </si>
  <si>
    <t>Бетонные лотки ЛВК ВМ SIR DN300</t>
  </si>
  <si>
    <t>Итоги по разделу 2 Укрепительные работы :</t>
  </si>
  <si>
    <t xml:space="preserve">  Итого по разделу 2 Укрепительные работы</t>
  </si>
  <si>
    <t>15,17</t>
  </si>
  <si>
    <t>Объем=1517 / 100</t>
  </si>
  <si>
    <t>273,06</t>
  </si>
  <si>
    <t>280,834625</t>
  </si>
  <si>
    <t>1850,74</t>
  </si>
  <si>
    <t>Объем=1517*1,22</t>
  </si>
  <si>
    <t>9,1833</t>
  </si>
  <si>
    <t>Объем=(2755/0,3) / 1000</t>
  </si>
  <si>
    <t>341,0448038</t>
  </si>
  <si>
    <t>240,7172513</t>
  </si>
  <si>
    <t>Л=15 ПЗ=15 (ОЗП=15; ЭМ=15 к расх.; ЗПМ=15; МАТ=15 к расх.; ТЗ=15; ТЗМ=15)</t>
  </si>
  <si>
    <t>79,2059625</t>
  </si>
  <si>
    <t>3030,5</t>
  </si>
  <si>
    <t>Объем=2755*1,1</t>
  </si>
  <si>
    <t>Устройство оснований толщиной 15 см из щебня фракции 40-70 мм при укатке каменных материалов с пределом прочности на сжатие свыше 68,6 до 98,1 МПа (свыше 700 до 1000 кгс/см2): однослойных)</t>
  </si>
  <si>
    <t>6,606</t>
  </si>
  <si>
    <t>Объем=6606 / 1000</t>
  </si>
  <si>
    <t>272,4975</t>
  </si>
  <si>
    <t>308,582775</t>
  </si>
  <si>
    <t>На каждый 1 см изменения толщины слоя добавлять или исключать к расценкам 27-04-006-01, 27-04-006-02, 27-04-006-03 До 18 см)</t>
  </si>
  <si>
    <t>62,178975</t>
  </si>
  <si>
    <t>4,62</t>
  </si>
  <si>
    <t>4,7586</t>
  </si>
  <si>
    <t>3,8115</t>
  </si>
  <si>
    <t>6,005</t>
  </si>
  <si>
    <t>Объем=6005 / 1000</t>
  </si>
  <si>
    <t>156,580375</t>
  </si>
  <si>
    <t>141,4928125</t>
  </si>
  <si>
    <t>15,763125</t>
  </si>
  <si>
    <t>21,167625</t>
  </si>
  <si>
    <t>ФССЦ-04.2.01.02-0005</t>
  </si>
  <si>
    <t>Смеси асфальтобетонные пористые крупнозернистые марка I</t>
  </si>
  <si>
    <t>973,41</t>
  </si>
  <si>
    <t>1,854</t>
  </si>
  <si>
    <t>1,485</t>
  </si>
  <si>
    <t>10,50875</t>
  </si>
  <si>
    <t>14,11175</t>
  </si>
  <si>
    <t>725,4</t>
  </si>
  <si>
    <t>Устройство подстилающих и выравнивающих слоев оснований: из песчано-гравийной смеси, дресвы (присыпная обочина)</t>
  </si>
  <si>
    <t>163,8</t>
  </si>
  <si>
    <t>168,46375</t>
  </si>
  <si>
    <t>1110,2</t>
  </si>
  <si>
    <t>Объем=910*1,22</t>
  </si>
  <si>
    <t>Раздел 4. Устройство тротуара</t>
  </si>
  <si>
    <t>ФЕР27-07-003-02</t>
  </si>
  <si>
    <t>Устройство бетонных плитных тротуаров с заполнением швов: песком</t>
  </si>
  <si>
    <t>5,82</t>
  </si>
  <si>
    <t>Объем=582 / 100</t>
  </si>
  <si>
    <t>04.3.02.13</t>
  </si>
  <si>
    <t>Смеси цементно-песчаные</t>
  </si>
  <si>
    <t>05.2.04.04</t>
  </si>
  <si>
    <t>Плиты бетонные тротуарные гладкие</t>
  </si>
  <si>
    <t>582</t>
  </si>
  <si>
    <t>42,4</t>
  </si>
  <si>
    <t>246,768</t>
  </si>
  <si>
    <t>5,238</t>
  </si>
  <si>
    <t>Приказ Минстроя России № 812/пр от 21.12.2020 Прил. п.21.1</t>
  </si>
  <si>
    <t>НР Устройство покрытий дорожек, тротуаров, мостовых и площадок и прочее</t>
  </si>
  <si>
    <t>Приказ Минстроя России № 774/пр от 11.12.2020 Прил. п.21.1</t>
  </si>
  <si>
    <t>СП Устройство покрытий дорожек, тротуаров, мостовых и площадок и прочее</t>
  </si>
  <si>
    <t>ФССЦ-04.3.02.13-0214</t>
  </si>
  <si>
    <t>Смеси сухие цементно-песчаные кладочные, класс B7,5 (М100)</t>
  </si>
  <si>
    <t>83,226</t>
  </si>
  <si>
    <t>Объем=58,2*1,3*1,1</t>
  </si>
  <si>
    <t>ФССЦ-05.2.04.04-0011</t>
  </si>
  <si>
    <t>Плиты бетонные тротуарные, толщина 70 мм, разного цвета</t>
  </si>
  <si>
    <t>ФЕР27-04-001-04</t>
  </si>
  <si>
    <t>Устройство подстилающих и выравнивающих слоев оснований: из щебня</t>
  </si>
  <si>
    <t>1,082</t>
  </si>
  <si>
    <t>Объем=(58,2+50) / 100</t>
  </si>
  <si>
    <t>Щебень из плотных горных пород</t>
  </si>
  <si>
    <t>29,214</t>
  </si>
  <si>
    <t>20,6</t>
  </si>
  <si>
    <t>27,8615</t>
  </si>
  <si>
    <t>73,332</t>
  </si>
  <si>
    <t>Объем=58,2*1,26</t>
  </si>
  <si>
    <t>9,23</t>
  </si>
  <si>
    <t>Объем=923 / 100</t>
  </si>
  <si>
    <t>923</t>
  </si>
  <si>
    <t>805,3175</t>
  </si>
  <si>
    <t>7,499375</t>
  </si>
  <si>
    <t>ФССЦ-05.2.03.03-0034</t>
  </si>
  <si>
    <t>Камни бортовые БР 100.30.18, бетон В30 (М400), объем 0,052 м3</t>
  </si>
  <si>
    <t>2,85</t>
  </si>
  <si>
    <t>Объем=285 / 100</t>
  </si>
  <si>
    <t>285</t>
  </si>
  <si>
    <t>248,6625</t>
  </si>
  <si>
    <t>2,315625</t>
  </si>
  <si>
    <t>ФССЦ-04.1.02.05-0007
Тех.часть сб.27, Приложение 27.3, п.3.8а</t>
  </si>
  <si>
    <t>3,9216</t>
  </si>
  <si>
    <t>Объем=4,56*0,86</t>
  </si>
  <si>
    <t>ФССЦ-04.3.01.09-0014
Тех.часть сб.27, Приложение 27.3, п.3.8б</t>
  </si>
  <si>
    <t>Раствор готовый кладочный, цементный, М100</t>
  </si>
  <si>
    <t>0,05643</t>
  </si>
  <si>
    <t>Объем=0,171*0,33</t>
  </si>
  <si>
    <t>ФССЦ-05.2.03.03-0031</t>
  </si>
  <si>
    <t>Камни бортовые БР 100.20.8, бетон В22,5 (М300), объем 0,016 м3</t>
  </si>
  <si>
    <t>Итоги по разделу 4 Устройство тротуара :</t>
  </si>
  <si>
    <t xml:space="preserve">  Итого по разделу 4 Устройство тротуара</t>
  </si>
  <si>
    <t>Раздел 5. Обстановка и обустройство автомобильной дороги (в т.ч съезды и примыкания)</t>
  </si>
  <si>
    <t>ФЕР27-09-004-02</t>
  </si>
  <si>
    <t>Установка столбиков сигнальных: пластиковых</t>
  </si>
  <si>
    <t>11,35</t>
  </si>
  <si>
    <t>0,94</t>
  </si>
  <si>
    <t>ФЕР27-09-002-07</t>
  </si>
  <si>
    <t>Устройство металлических барьерных ограждений типа 11ДО высотой 0,75 м механизированным способом, шаг стоек: 2 м</t>
  </si>
  <si>
    <t>6,28</t>
  </si>
  <si>
    <t>Объем=628 / 100</t>
  </si>
  <si>
    <t>01.5.02.01</t>
  </si>
  <si>
    <t>Металлоконструкции балок ограждения</t>
  </si>
  <si>
    <t>2,5351</t>
  </si>
  <si>
    <t>15,920428</t>
  </si>
  <si>
    <t>33,8</t>
  </si>
  <si>
    <t>265,33</t>
  </si>
  <si>
    <t>1,41</t>
  </si>
  <si>
    <t>11,0685</t>
  </si>
  <si>
    <t>ФССЦ-01.5.02.01-0032</t>
  </si>
  <si>
    <t>Комплект металлоконструкций барьерного ограждения 11-ДО/190-0,75-3,0-1,25, горячее цинкование</t>
  </si>
  <si>
    <t>0,628</t>
  </si>
  <si>
    <t>Объем=628 / 1000</t>
  </si>
  <si>
    <t>ФЕР27-09-009-01</t>
  </si>
  <si>
    <t>Установка дорожных знаков на сборных железобетонных фундаментах и металлических стойках массой: до 25 кг</t>
  </si>
  <si>
    <t>т стоек</t>
  </si>
  <si>
    <t>01.5.03.03</t>
  </si>
  <si>
    <t>Знак дорожный</t>
  </si>
  <si>
    <t>01.5.03.05</t>
  </si>
  <si>
    <t>Стойки для дорожных знаков</t>
  </si>
  <si>
    <t>05.1.05.16</t>
  </si>
  <si>
    <t>Фундаменты железобетонные</t>
  </si>
  <si>
    <t>407,37</t>
  </si>
  <si>
    <t>43,82</t>
  </si>
  <si>
    <t>ФССЦ-02.2.05.04-1812</t>
  </si>
  <si>
    <t>Щебень М 600, фракция 40-80(70) мм, группа 2</t>
  </si>
  <si>
    <t>ФССЦ-05.1.08.01-0088</t>
  </si>
  <si>
    <t>Блоки железобетонные фундаментные</t>
  </si>
  <si>
    <t>ФССЦ-01.5.03.03-0063</t>
  </si>
  <si>
    <t>Знаки дорожные на оцинкованной подоснове со световозвращающей пленкой приоритета, треугольной формы размером 900х900х900 мм, тип 2.3.1-2.3.7, 2.4</t>
  </si>
  <si>
    <t>ФССЦ-01.5.03.03-0046</t>
  </si>
  <si>
    <t>Знак дорожный на оцинкованной подоснове со световозвращающей пленкой предписывающий, диаметр круга 700 мм, тип 4.1.1-4.7</t>
  </si>
  <si>
    <t>Разметка дороги</t>
  </si>
  <si>
    <t>ФЕР27-09-016-01</t>
  </si>
  <si>
    <t>Разметка проезжей части краской сплошной линией шириной: 0,1 м</t>
  </si>
  <si>
    <t>14.4.04.08</t>
  </si>
  <si>
    <t>Эмаль</t>
  </si>
  <si>
    <t>3,66</t>
  </si>
  <si>
    <t>ФССЦ-01.5.01.01-1000</t>
  </si>
  <si>
    <t>Краска для дорожной разметки автомобильных дорог, суспензия пигментов и наполнителей в акриловом сополимере с модифицирующими добавками, белая</t>
  </si>
  <si>
    <t>ФЕР27-09-016-02</t>
  </si>
  <si>
    <t>ФЕР27-09-016-05</t>
  </si>
  <si>
    <t>10,5</t>
  </si>
  <si>
    <t>ФЕР27-09-016-07</t>
  </si>
  <si>
    <t>01.5.01.01</t>
  </si>
  <si>
    <t>Краски разметочные дорожные</t>
  </si>
  <si>
    <t>5,08</t>
  </si>
  <si>
    <t>Итоги по разделу 5 Обстановка и обустройство автомобильной дороги (в т.ч съезды и примыкания) :</t>
  </si>
  <si>
    <t xml:space="preserve">  Итого по разделу 5 Обстановка и обустройство автомобильной дороги (в т.ч съезды и примыкания)</t>
  </si>
  <si>
    <t>Раздел 6. Доставка материалов ФССЦ сверх нормы 30 км. (Д-ДРП-20-016-ПОС, транспортная схема, л.2)</t>
  </si>
  <si>
    <t>Перевозка грузов автомобилями бортовыми грузоподъемностью до 5 т  на расстояние L=130 км от г. Нальчик до площадки строительства, за исключением 30 км, учтенных в СНБ (итого: 100 км): II класс груза до 100 км (Семена)</t>
  </si>
  <si>
    <t>0,103</t>
  </si>
  <si>
    <t>1720,7</t>
  </si>
  <si>
    <t>Объем=973,41+725,4+21,89</t>
  </si>
  <si>
    <t>Перевозка грузов автомобилями бортовыми грузоподъемностью до 5 т на расстояние L=110км от г. Баксан до площадки строительства за исключением 30 км, учтенных в СНБ (итого: 80 км): I класс груза (битум)</t>
  </si>
  <si>
    <t>6,6126</t>
  </si>
  <si>
    <t>Объем=1,854+4,7586</t>
  </si>
  <si>
    <t>Перевозка грузов автомобилями бортовыми грузоподъемностью до 5 т на расстояние L=130 км от г. Нальчик до площадки строительства, за исключением 30 км, учтенных в СНБ (итого: 100 км): I класс груза (бортовой камень, фундамент)</t>
  </si>
  <si>
    <t>137,685</t>
  </si>
  <si>
    <t>Объем=116,15+11,035+10,5</t>
  </si>
  <si>
    <t>Калькуляция №1, раздел 8</t>
  </si>
  <si>
    <t>Перевозка грузов автомобилями бортовыми грузоподъемностью до 5 т на расстояние L=170 км от г. Пятигоск до площадки строительства, за исключением 30 км, учтенных в СНБ (итого: 140 км), I класс груза (тротуарная плитка)</t>
  </si>
  <si>
    <t>139,68</t>
  </si>
  <si>
    <t>Перевозка грузов автомобилями бортовыми грузоподъемностью до 5 т на расстояние L=130 км от г. Нальчик до площадки строительства, за исключением 30 км, учтенных в СНБ (итого: 100 км): I класс груза (ограждение, арматура, знаки, краска)</t>
  </si>
  <si>
    <t>17,036</t>
  </si>
  <si>
    <t>Объем=14,797+2,002+0,175+0,027*2+0,008</t>
  </si>
  <si>
    <t>Перевозка материалов автомобилями-самосвалами автомобилем гп 10 т на расстояние L=135 км от  Малкинского песчаного карьерера до площадки строительства за исключением 30 км, учтенных в СНБ (итого: 105 км),  I класс груза (ПГС, песок)</t>
  </si>
  <si>
    <t>4737,946</t>
  </si>
  <si>
    <t>Объем=2961.184+1776.32+0,442</t>
  </si>
  <si>
    <t>Итоги по разделу 6 Доставка материалов ФССЦ сверх нормы 30 км. (Д-ДРП-20-016-ПОС, транспортная схема, л.2) :</t>
  </si>
  <si>
    <t xml:space="preserve">  Итого по разделу 6 Доставка материалов ФССЦ сверх нормы 30 км. (Д-ДРП-20-016-ПОС, транспортная схема, л.2)</t>
  </si>
  <si>
    <t>ЛОКАЛЬНЫЙ СМЕТНЫЙ РАСЧЕТ (СМЕТА) № 06-01-01</t>
  </si>
  <si>
    <t>Д-ДРП-20-016-ИОС2.2-НВК1</t>
  </si>
  <si>
    <t>Раздел 2. В1</t>
  </si>
  <si>
    <t>ФЕР22-01-021-05</t>
  </si>
  <si>
    <t>Укладка трубопроводов из полиэтиленовых труб диаметром: 160 мм</t>
  </si>
  <si>
    <t>0,501</t>
  </si>
  <si>
    <t>Объем=501/1000</t>
  </si>
  <si>
    <t>1008</t>
  </si>
  <si>
    <t>505,008</t>
  </si>
  <si>
    <t>286,52</t>
  </si>
  <si>
    <t>179,43315</t>
  </si>
  <si>
    <t>42,87</t>
  </si>
  <si>
    <t>26,8473375</t>
  </si>
  <si>
    <t>ФССЦ-24.3.03.13-0010</t>
  </si>
  <si>
    <t>Трубы напорные полиэтиленовые ПЭ100, стандартное размерное отношение SDR11 номинальный наружный диаметр 160 мм, толщина стенки 14,6 мм</t>
  </si>
  <si>
    <t>505</t>
  </si>
  <si>
    <t>ФЕР22-03-001-05</t>
  </si>
  <si>
    <t>Установка фасонных частей стальных сварных диаметром: 100-250 мм</t>
  </si>
  <si>
    <t>0,048</t>
  </si>
  <si>
    <t>Объем=(24*2)/1000</t>
  </si>
  <si>
    <t>23.8.03.12</t>
  </si>
  <si>
    <t>Фланцы стальные</t>
  </si>
  <si>
    <t>312,7</t>
  </si>
  <si>
    <t>18,762</t>
  </si>
  <si>
    <t>94,12</t>
  </si>
  <si>
    <t>5,6472</t>
  </si>
  <si>
    <t>ТЦ_23.8.03.12_78_7814731027_01.03.2021_01, Том 11.4, с.103, п.373</t>
  </si>
  <si>
    <t>Тройник стальной фланцевый Ду 150х50 Ry1,0 MПа</t>
  </si>
  <si>
    <t>ФЕР22-03-002-01</t>
  </si>
  <si>
    <t>Установка полиэтиленовых фасонных частей: отводов, колен, патрубков, переходов</t>
  </si>
  <si>
    <t>Объем=(3+2) / 10</t>
  </si>
  <si>
    <t>Фасонные части</t>
  </si>
  <si>
    <t>4,14</t>
  </si>
  <si>
    <t>2,5875</t>
  </si>
  <si>
    <t>2,26</t>
  </si>
  <si>
    <t>ТЦ_23.8.03.12_78_7814731027_01.03.2021_01, Том 11.4, с.111, п.401</t>
  </si>
  <si>
    <t>Отвод 90гр. ПЭ100 SDR17 Ду 150 Ry1,0 MПа</t>
  </si>
  <si>
    <t>ТЦ_24.3.05.08_78_7814731027_01.03.2021_01, Том 11.4, с.111, п.402</t>
  </si>
  <si>
    <t>Отвод 60гр. ПЭ100 SDR17 Ду 150 Ry1,0 MПа</t>
  </si>
  <si>
    <t>ФЕР22-03-014-05</t>
  </si>
  <si>
    <t>Приварка фланцев к стальным трубопроводам диаметром: 150 мм</t>
  </si>
  <si>
    <t>23.8.03.11</t>
  </si>
  <si>
    <t>Фланцы стальные плоские</t>
  </si>
  <si>
    <t>ФССЦ-23.8.03.11-0658</t>
  </si>
  <si>
    <t>Фланцы стальные плоские приварные из стали ВСт3сп2, ВСт3сп3, номинальное давление 1,0 МПа, номинальный диаметр 150 мм</t>
  </si>
  <si>
    <t>ТЦ_23.8.03.12_78_7814731027_01.03.2021_01, Том 11.4, с.103, п.372</t>
  </si>
  <si>
    <t>Втулка полиэтиленовая под фланец ПЭ150  SDR17  Ду 150 Ry1,0 MПа</t>
  </si>
  <si>
    <t>ФЕР22-01-021-08</t>
  </si>
  <si>
    <t>Укладка трубопроводов из полиэтиленовых труб диаметром: 315 мм</t>
  </si>
  <si>
    <t>0,4625</t>
  </si>
  <si>
    <t>Объем=462,5/1000</t>
  </si>
  <si>
    <t>467,125</t>
  </si>
  <si>
    <t>351,9</t>
  </si>
  <si>
    <t>203,4421875</t>
  </si>
  <si>
    <t>70,19</t>
  </si>
  <si>
    <t>40,5785938</t>
  </si>
  <si>
    <t>ФЕР22-03-001-06</t>
  </si>
  <si>
    <t>Установка фасонных частей стальных сварных диаметром: 300-800 мм</t>
  </si>
  <si>
    <t>0,2046</t>
  </si>
  <si>
    <t>Объем=(36,7*2+65,6*2)/1000</t>
  </si>
  <si>
    <t>147,7</t>
  </si>
  <si>
    <t>37,774275</t>
  </si>
  <si>
    <t>74,38</t>
  </si>
  <si>
    <t>19,022685</t>
  </si>
  <si>
    <t>ТЦ_23.8.03.12_78_7814731027_01.03.2021_01, Том 11.4, с.103, п.371</t>
  </si>
  <si>
    <t>Переход стальной фланцевый Ду 300х150 Ry1,0 MПа</t>
  </si>
  <si>
    <t>ТЦ_23.8.03.11_78_7814731027_01.03.2021_01, Том 11.4, с.102, п.369</t>
  </si>
  <si>
    <t>Фланец стальной свободный Ду 300 Ry1,0 MПа</t>
  </si>
  <si>
    <t>ТЦ_23.8.03.12_78_7814731027_01.03.2021_01, Том 11.4, с.102, п.370</t>
  </si>
  <si>
    <t>Тройник стальной фланцевый Ду 300х300 Ry1,0 MПа</t>
  </si>
  <si>
    <t>ФЕР22-03-014-08</t>
  </si>
  <si>
    <t>Приварка фланцев к стальным трубопроводам диаметром: 300 мм</t>
  </si>
  <si>
    <t>2,45</t>
  </si>
  <si>
    <t>1,69</t>
  </si>
  <si>
    <t>4,225</t>
  </si>
  <si>
    <t>ТЦ_24.3.05.08_78_7814731027_01.03.2021_01, Том 11.4, с.104, п.376</t>
  </si>
  <si>
    <t>Отвод 15гр. ПЭ100 SDR17 Ду 300 Ry1,0 MПа</t>
  </si>
  <si>
    <t>ТЦ_24.3.05.08_78_7814731027_01.03.2021_01, Том 11.4, с.104, п.377</t>
  </si>
  <si>
    <t>Отвод 30гр. ПЭ100 SDR17 Ду 300 Ry1,0 MПа</t>
  </si>
  <si>
    <t>ФЕР22-01-021-01</t>
  </si>
  <si>
    <t>Укладка трубопроводов из полиэтиленовых труб диаметром: 50 мм</t>
  </si>
  <si>
    <t>0,0685</t>
  </si>
  <si>
    <t>Объем=68,5/1000</t>
  </si>
  <si>
    <t>1007</t>
  </si>
  <si>
    <t>68,9795</t>
  </si>
  <si>
    <t>200,68</t>
  </si>
  <si>
    <t>17,183225</t>
  </si>
  <si>
    <t>21,4</t>
  </si>
  <si>
    <t>1,832375</t>
  </si>
  <si>
    <t>ФССЦ-24.3.03.13-0278
Применительно</t>
  </si>
  <si>
    <t>68,98</t>
  </si>
  <si>
    <t>0,0009</t>
  </si>
  <si>
    <t>Объем=(0,3*2+0,16*2)/1000</t>
  </si>
  <si>
    <t>0,1661625</t>
  </si>
  <si>
    <t>0,0836775</t>
  </si>
  <si>
    <t>ТЦ_23.8.03.12_78_7814731027_01.03.2021_01, Том 11.4, с.104, п.374</t>
  </si>
  <si>
    <t>Переход стальной фланцевый Ду 50х25 Ry1,0 MПа</t>
  </si>
  <si>
    <t>ТЦ_24.3.05.10_78_7814731027_01.03.2021_01, Том 11.4, с.104, п.375</t>
  </si>
  <si>
    <t>Переход ПЭ-сталь Ду25х1" Ry1,0 MПа</t>
  </si>
  <si>
    <t>ФЕР22-01-021-10</t>
  </si>
  <si>
    <t>Укладка трубопроводов из полиэтиленовых труб диаметром: 400 мм</t>
  </si>
  <si>
    <t>0,0425</t>
  </si>
  <si>
    <t>Объем=42,5/1000</t>
  </si>
  <si>
    <t>42,925</t>
  </si>
  <si>
    <t>465</t>
  </si>
  <si>
    <t>24,703125</t>
  </si>
  <si>
    <t>115,38</t>
  </si>
  <si>
    <t>6,1295625</t>
  </si>
  <si>
    <t>ФССЦ-24.3.03.12-0012</t>
  </si>
  <si>
    <t>Трубы полиэтиленовые напорные с соэкструдированными слоями многослойные ПЭ100, стандартное размерное отношение SDR17, номинальный наружный диаметр 400 мм, толщина стенки 23,7 мм</t>
  </si>
  <si>
    <t>42,93</t>
  </si>
  <si>
    <t>ФЕР22-01-021-12</t>
  </si>
  <si>
    <t>Укладка трубопроводов из полиэтиленовых труб диаметром: 560 мм</t>
  </si>
  <si>
    <t>Объем=37/1000</t>
  </si>
  <si>
    <t>619,85</t>
  </si>
  <si>
    <t>28,6680625</t>
  </si>
  <si>
    <t>157,85</t>
  </si>
  <si>
    <t>7,3005625</t>
  </si>
  <si>
    <t>ФССЦ-24.3.03.12-0015</t>
  </si>
  <si>
    <t>Трубы полиэтиленовые напорные с соэкструдированными слоями многослойные ПЭ100, стандартное размерное отношение SDR17, номинальный наружный диаметр 560 мм, толщина стенки 33,2 мм</t>
  </si>
  <si>
    <t>ФЕР22-04-001-01</t>
  </si>
  <si>
    <t>Устройство круглых колодцев из сборного железобетона в грунтах: сухих</t>
  </si>
  <si>
    <t>1,384</t>
  </si>
  <si>
    <t>Объем=(10*1,384) / 10</t>
  </si>
  <si>
    <t>05.1.01.09</t>
  </si>
  <si>
    <t>Кольца для колодцев сборные железобетонные диаметром 1500 мм</t>
  </si>
  <si>
    <t>Кольца для колодцев сборные железобетонные диаметром 700 мм</t>
  </si>
  <si>
    <t>07.2.07.12-0019</t>
  </si>
  <si>
    <t>Элементы конструктивные зданий и сооружений с преобладанием горячекатаных профилей, средняя масса сборочной единицы до 0,1 т</t>
  </si>
  <si>
    <t>08.1.02.06</t>
  </si>
  <si>
    <t>Люки чугунные</t>
  </si>
  <si>
    <t>88,6</t>
  </si>
  <si>
    <t>153,278</t>
  </si>
  <si>
    <t>10,34</t>
  </si>
  <si>
    <t>17,8882</t>
  </si>
  <si>
    <t>ФССЦ-05.1.01.11-0045</t>
  </si>
  <si>
    <t>Плита днища ПН15, бетон B15 (М200), объем 0,38 м3, расход арматуры 33,13 кг</t>
  </si>
  <si>
    <t>ФССЦ-05.1.01.09-0065</t>
  </si>
  <si>
    <t>Кольцо стеновое смотровых колодцев КС15.9, бетон B15 (М200), объем 0,40 м3, расход арматуры 7,02 кг</t>
  </si>
  <si>
    <t>ФССЦ-05.1.01.09-0063</t>
  </si>
  <si>
    <t>Кольцо стеновое смотровых колодцев КС15.6, бетон B15 (М200), объем 0,265 м3, расход арматуры 4,94 кг</t>
  </si>
  <si>
    <t>ФССЦ-05.1.01.09-0051</t>
  </si>
  <si>
    <t>Кольцо стеновое смотровых колодцев КС7.3, бетон B15 (М200), объем 0,05 м3, расход арматуры 1,64 кг</t>
  </si>
  <si>
    <t>ФССЦ-05.1.06.09-0003</t>
  </si>
  <si>
    <t>Плиты перекрытия 1ПП15-2, бетон B15, объем 0,27 м3, расход арматуры 32,21 кг</t>
  </si>
  <si>
    <t>ФССЦ-05.1.01.09-0042</t>
  </si>
  <si>
    <t>Кольцо опорное КО-6 /бетон B15 (М200), объем 0,02 м3, расход арматуры 1,10 кг</t>
  </si>
  <si>
    <t>ФССЦ-01.7.15.10-0067</t>
  </si>
  <si>
    <t>Скобы ходовые</t>
  </si>
  <si>
    <t>Объем=5*10</t>
  </si>
  <si>
    <t>ФССЦ-08.1.02.06-0043</t>
  </si>
  <si>
    <t>Люк чугунный тяжелый</t>
  </si>
  <si>
    <t>ФЕР22-03-011-03</t>
  </si>
  <si>
    <t>Установка: гидрантов пожарных</t>
  </si>
  <si>
    <t>1,82</t>
  </si>
  <si>
    <t>13,65</t>
  </si>
  <si>
    <t>ФССЦ-18.1.10.04-0002</t>
  </si>
  <si>
    <t>Гидрант пожарный подземный, номинальное давление 1,0 МПа (10 кгс/см2), номинальный диаметр 125 мм, высота 1000 мм</t>
  </si>
  <si>
    <t>ФЕР22-03-011-01</t>
  </si>
  <si>
    <t>Установка: вантузов одинарных</t>
  </si>
  <si>
    <t>18.5.08.02</t>
  </si>
  <si>
    <t>Вантузы для воздуха и воды</t>
  </si>
  <si>
    <t>1,62</t>
  </si>
  <si>
    <t>2,025</t>
  </si>
  <si>
    <t>ФССЦ-18.5.08.02-0001</t>
  </si>
  <si>
    <t>Вантузы из серого чугуна ВМТ для воздуха и воды, номинальное давление 1 МПа (10 кгс/см2), номинальный диаметр 50 мм</t>
  </si>
  <si>
    <t>ФЕР22-03-006-05</t>
  </si>
  <si>
    <t>Установка задвижек или клапанов обратных чугунных диаметром: 150 мм</t>
  </si>
  <si>
    <t>Задвижки чугунные водопроводные (или клапаны обратные)</t>
  </si>
  <si>
    <t>1,93</t>
  </si>
  <si>
    <t>4,825</t>
  </si>
  <si>
    <t>ФССЦ-18.1.03.02-0026</t>
  </si>
  <si>
    <t>Затвор дисковый поворотный, корпус-чугун, затвор-хромированный чугун, номинальное давление 1,6 МПа (16 кгс/см2), номинальный диаметр 150 мм</t>
  </si>
  <si>
    <t>ФЕР22-03-006-01</t>
  </si>
  <si>
    <t>Установка задвижек или клапанов обратных чугунных диаметром: 50 мм</t>
  </si>
  <si>
    <t>ФССЦ-18.1.03.02-0002</t>
  </si>
  <si>
    <t>Затвор дисковый поворотный межфланцевый чугунный, рабочее давление 1,0-1,6 МПа, диаметр 50 мм</t>
  </si>
  <si>
    <t>ФССЦ-18.1.09.08-1062</t>
  </si>
  <si>
    <t>Кран шаровой латунный, стандартный проход, номинальное давление 1,6 МПа (16 кгс/см2), номинальный диаметр 25 мм, присоединение 1"х1", с внутренним резьбовым присоединением</t>
  </si>
  <si>
    <t>Итоги по разделу 2 В1 :</t>
  </si>
  <si>
    <t xml:space="preserve">  Итого по разделу 2 В1</t>
  </si>
  <si>
    <t>159,75</t>
  </si>
  <si>
    <t>36,236</t>
  </si>
  <si>
    <t>Объем=0,119+9,451+9,87+6,542+1,241+6,937+0,501+0,005+1+0,57</t>
  </si>
  <si>
    <t>3,737</t>
  </si>
  <si>
    <t>Объем=3,353+0,001+0,308+0,05+0,02+0,005</t>
  </si>
  <si>
    <t>Внутриплощщадочгные сети водоотведения</t>
  </si>
  <si>
    <t>ОБЪЕКТНЫЙ СМЕТНЫЙ РАСЧЕТ (СМЕТА) № ОС-06-02</t>
  </si>
  <si>
    <t>06-02-01</t>
  </si>
  <si>
    <t>06-02-02</t>
  </si>
  <si>
    <t>06-02-03</t>
  </si>
  <si>
    <t>06-02-04</t>
  </si>
  <si>
    <t>06-02-05</t>
  </si>
  <si>
    <t>Локальные очистные сооружения</t>
  </si>
  <si>
    <t>ЛОКАЛЬНЫЙ СМЕТНЫЙ РАСЧЕТ (СМЕТА) № 06-02-01</t>
  </si>
  <si>
    <t>Д-ДРП-20-016-ИОС3.2-НВК</t>
  </si>
  <si>
    <t>Раздел 1. Земляные работы К1</t>
  </si>
  <si>
    <t>18,81</t>
  </si>
  <si>
    <t>Итоги по разделу 1 Земляные работы К1 :</t>
  </si>
  <si>
    <t xml:space="preserve">  Итого по разделу 1 Земляные работы К1</t>
  </si>
  <si>
    <t>Раздел 2. К1</t>
  </si>
  <si>
    <t>ФЕР23-01-020-01</t>
  </si>
  <si>
    <t>Укладка канализационных безнапорных раструбных труб из поливинилхлорида (ПВХ) диаметром: 160 мм</t>
  </si>
  <si>
    <t>1,55</t>
  </si>
  <si>
    <t>Объем=(13,5+141,5) / 100</t>
  </si>
  <si>
    <t>24.3.01.04</t>
  </si>
  <si>
    <t>Трубы ПВХ безнапорные, раструбные</t>
  </si>
  <si>
    <t>155</t>
  </si>
  <si>
    <t>22,74</t>
  </si>
  <si>
    <t>44,05875</t>
  </si>
  <si>
    <t>0,174375</t>
  </si>
  <si>
    <t>ФССЦ-24.3.04.05-0027</t>
  </si>
  <si>
    <t>Трубы полимерные со структурированной стенкой для систем наружного водоотведения, класс кольцевой жесткости SN16, наружный диаметр 110 мм</t>
  </si>
  <si>
    <t>ФССЦ-24.3.04.05-0028</t>
  </si>
  <si>
    <t>Трубы из полипропилена с двухслойной структурированной стенкой повышенного класса жесткости, кольцевая жесткость SN16, для безнапорных трубопроводов хозяйственно бытовой и ливневой канализации, в комплекте с муфтой и двумя уплотнительными кольцами, наружный диаметр 160 мм</t>
  </si>
  <si>
    <t>141,5</t>
  </si>
  <si>
    <t>ФЕР23-01-020-04</t>
  </si>
  <si>
    <t>Укладка канализационных безнапорных раструбных труб из поливинилхлорида (ПВХ) диаметром: 315 мм</t>
  </si>
  <si>
    <t>29,68</t>
  </si>
  <si>
    <t>ФССЦ-24.3.04.05-0031</t>
  </si>
  <si>
    <t>Трубы из полипропилена с двухслойной структурированной стенкой повышенного класса жесткости, кольцевая жесткость SN16, для безнапорных трубопроводов хозяйственно бытовой и ливневой канализации, с приварным раструбом, в комплекте с уплотнительным кольцом, наружный диаметр 315</t>
  </si>
  <si>
    <t>ФЕР23-03-001-03</t>
  </si>
  <si>
    <t>Устройство круглых сборных железобетонных канализационных колодцев диаметром: 1 м в сухих грунтах</t>
  </si>
  <si>
    <t>0,9012</t>
  </si>
  <si>
    <t>Кольца для колодцев сборные железобетонные диаметром 1000 мм</t>
  </si>
  <si>
    <t>05.1.01.13</t>
  </si>
  <si>
    <t>Плиты сборные железобетонные</t>
  </si>
  <si>
    <t>07.2.05.01-0032</t>
  </si>
  <si>
    <t>Ограждения лестничных проемов, лестничные марши, пожарные лестницы</t>
  </si>
  <si>
    <t>138,69</t>
  </si>
  <si>
    <t>21,87</t>
  </si>
  <si>
    <t>ФССЦ-05.1.01.11-0044</t>
  </si>
  <si>
    <t>Плита днища ПН10, бетон B15 (М200), объем 0,18 м3, расход арматуры 15,14 кг</t>
  </si>
  <si>
    <t>ФССЦ-05.1.01.09-0056</t>
  </si>
  <si>
    <t>Кольцо стеновое смотровых колодцев КС10.9, бетон B15 (М200), объем 0,24 м3, расход арматуры 5,66 кг</t>
  </si>
  <si>
    <t>ФССЦ-05.1.01.09-0055</t>
  </si>
  <si>
    <t>Кольцо стеновое смотровых колодцев КС10.6, бетон B15 (М200), объем 0,16 м3, расход арматуры 3,95 кг</t>
  </si>
  <si>
    <t>ФССЦ-05.1.06.09-0087</t>
  </si>
  <si>
    <t>Плиты перекрытия ПП10-1, бетон B15, объем 0,10 м3, расход арматуры 8,38 кг</t>
  </si>
  <si>
    <t>Итоги по разделу 2 К1 :</t>
  </si>
  <si>
    <t xml:space="preserve">  Итого по разделу 2 К1</t>
  </si>
  <si>
    <t>Раздел 3. Земляные работы (трубопроводы К2, КНС)</t>
  </si>
  <si>
    <t>0,469</t>
  </si>
  <si>
    <t>Объем=469 / 1000</t>
  </si>
  <si>
    <t>31,364375</t>
  </si>
  <si>
    <t>1078,7</t>
  </si>
  <si>
    <t>Объем=469*2,3</t>
  </si>
  <si>
    <t>3,5219</t>
  </si>
  <si>
    <t>Объем=3521,9 / 1000</t>
  </si>
  <si>
    <t>187,1009375</t>
  </si>
  <si>
    <t>9,39</t>
  </si>
  <si>
    <t>Объем=93,9 / 10</t>
  </si>
  <si>
    <t>103,29</t>
  </si>
  <si>
    <t>119,7225</t>
  </si>
  <si>
    <t>3,756</t>
  </si>
  <si>
    <t>103,3</t>
  </si>
  <si>
    <t>2,959</t>
  </si>
  <si>
    <t>Объем=((665,6+2293,4)) / 1000</t>
  </si>
  <si>
    <t>122,05875</t>
  </si>
  <si>
    <t>29,59</t>
  </si>
  <si>
    <t>Объем=(665,6+2293,4) / 100</t>
  </si>
  <si>
    <t>553,333</t>
  </si>
  <si>
    <t>115,770875</t>
  </si>
  <si>
    <t>Итоги по разделу 3 Земляные работы (трубопроводы К2, КНС) :</t>
  </si>
  <si>
    <t xml:space="preserve">  Итого по разделу 3 Земляные работы (трубопроводы К2, КНС)</t>
  </si>
  <si>
    <t>Раздел 4. К2</t>
  </si>
  <si>
    <t>ФЕР23-01-020-02</t>
  </si>
  <si>
    <t>Укладка канализационных безнапорных раструбных труб из поливинилхлорида (ПВХ) диаметром: 200 мм</t>
  </si>
  <si>
    <t>0,565</t>
  </si>
  <si>
    <t>Объем=56,5 / 100</t>
  </si>
  <si>
    <t>56,5</t>
  </si>
  <si>
    <t>24,84</t>
  </si>
  <si>
    <t>17,54325</t>
  </si>
  <si>
    <t>0,0918125</t>
  </si>
  <si>
    <t>ФССЦ-24.3.04.05-0029</t>
  </si>
  <si>
    <t>Трубы из полипропилена с двухслойной структурированной стенкой повышенного класса жесткости, кольцевая жесткость SN16, для безнапорных трубопроводов хозяйственно бытовой и ливневой канализации, в комплекте с муфтой и двумя уплотнительными кольцами, наружный диаметр 200 мм</t>
  </si>
  <si>
    <t>Объем=202,5 / 100</t>
  </si>
  <si>
    <t>75,1275</t>
  </si>
  <si>
    <t>11,694375</t>
  </si>
  <si>
    <t>ФЕР23-01-020-05</t>
  </si>
  <si>
    <t>Укладка канализационных безнапорных раструбных труб из поливинилхлорида (ПВХ) диаметром: 400 мм</t>
  </si>
  <si>
    <t>1,355</t>
  </si>
  <si>
    <t>Объем=135,5 / 100</t>
  </si>
  <si>
    <t>135,5</t>
  </si>
  <si>
    <t>34,7</t>
  </si>
  <si>
    <t>58,773125</t>
  </si>
  <si>
    <t>5,52</t>
  </si>
  <si>
    <t>9,3495</t>
  </si>
  <si>
    <t>ФССЦ-24.3.04.05-0032</t>
  </si>
  <si>
    <t>Трубы из полипропилена с двухслойной структурированной стенкой повышенного класса жесткости, кольцевая жесткость SN16, для безнапорных трубопроводов хозяйственно бытовой и ливневой канализации, с приварным раструбом, в комплекте с уплотнительным кольцом, наружный диаметр 400 мм</t>
  </si>
  <si>
    <t>ФЕР23-01-032-01</t>
  </si>
  <si>
    <t>Укладка витых с полой стенкой труб канализации из полиэтилена низкого давления (ПНД) диаметром: 600 мм</t>
  </si>
  <si>
    <t>Объем=210/1000</t>
  </si>
  <si>
    <t>24.3.03.09</t>
  </si>
  <si>
    <t>Труба спиральновитая со структурированной стенкой полиэтиленовая для систем водоотведения</t>
  </si>
  <si>
    <t>1013,66</t>
  </si>
  <si>
    <t>212,8686</t>
  </si>
  <si>
    <t>490,59</t>
  </si>
  <si>
    <t>128,779875</t>
  </si>
  <si>
    <t>81,09</t>
  </si>
  <si>
    <t>21,286125</t>
  </si>
  <si>
    <t>ФССЦ-24.3.04.05-0034</t>
  </si>
  <si>
    <t>Трубы из полипропилена с двухслойной структурированной стенкой повышенного класса жесткости, кольцевая жесткость SN16, для безнапорных трубопроводов хозяйственно бытовой и ливневой канализации, с приварным раструбом, в комплекте с уплотнительным кольцом, наружный диаметр 630 мм</t>
  </si>
  <si>
    <t>212,9</t>
  </si>
  <si>
    <t>ФЕР23-01-032-03</t>
  </si>
  <si>
    <t>Укладка витых с полой стенкой труб канализации из полиэтилена низкого давления (ПНД) диаметром: 800 мм</t>
  </si>
  <si>
    <t>0,412</t>
  </si>
  <si>
    <t>Объем=412/1000</t>
  </si>
  <si>
    <t>1023,58</t>
  </si>
  <si>
    <t>421,71496</t>
  </si>
  <si>
    <t>607,58</t>
  </si>
  <si>
    <t>312,9037</t>
  </si>
  <si>
    <t>105,28</t>
  </si>
  <si>
    <t>54,2192</t>
  </si>
  <si>
    <t>ФССЦ-24.3.04.05-0035</t>
  </si>
  <si>
    <t>Трубы из полипропилена с двухслойной структурированной стенкой повышенного класса жесткости, кольцевая жесткость SN16, для безнапорных трубопроводов хозяйственно бытовой и ливневой канализации, с приварным раструбом, в комплекте с уплотнительным кольцом, наружный диаметр 800 мм</t>
  </si>
  <si>
    <t>421,7</t>
  </si>
  <si>
    <t>ФЕР23-01-030-01</t>
  </si>
  <si>
    <t>Укладка трубопроводов канализации из полиэтиленовых труб диаметром: 110 мм</t>
  </si>
  <si>
    <t>0,235</t>
  </si>
  <si>
    <t>Объем=23,5 / 100</t>
  </si>
  <si>
    <t>Трубы безнапорные полиэтиленовые</t>
  </si>
  <si>
    <t>101</t>
  </si>
  <si>
    <t>23,735</t>
  </si>
  <si>
    <t>26,09</t>
  </si>
  <si>
    <t>7,6639375</t>
  </si>
  <si>
    <t>7,8</t>
  </si>
  <si>
    <t>2,29125</t>
  </si>
  <si>
    <t>ФССЦ-24.3.03.13-0007</t>
  </si>
  <si>
    <t>Трубы напорные полиэтиленовые ПЭ100, стандартное размерное отношение SDR11 номинальный наружный диаметр 110 мм, толщина стенки 10 мм</t>
  </si>
  <si>
    <t>23,74</t>
  </si>
  <si>
    <t>ФЕР23-01-030-03</t>
  </si>
  <si>
    <t>Укладка трубопроводов канализации из полиэтиленовых труб диаметром: 225 мм</t>
  </si>
  <si>
    <t>33,17</t>
  </si>
  <si>
    <t>1,243875</t>
  </si>
  <si>
    <t>10,46</t>
  </si>
  <si>
    <t>0,39225</t>
  </si>
  <si>
    <t>ФССЦ-24.3.03.13-0013</t>
  </si>
  <si>
    <t>Трубы напорные полиэтиленовые ПЭ100, стандартное размерное отношение SDR11 номинальный наружный диаметр 225 мм, толщина стенки 20,5 мм</t>
  </si>
  <si>
    <t>ФЕР23-01-030-08</t>
  </si>
  <si>
    <t>Укладка трубопроводов канализации из полиэтиленовых труб диаметром: 400 мм</t>
  </si>
  <si>
    <t>Объем=27,5 / 100</t>
  </si>
  <si>
    <t>27,775</t>
  </si>
  <si>
    <t>54,63</t>
  </si>
  <si>
    <t>18,7790625</t>
  </si>
  <si>
    <t>19,46</t>
  </si>
  <si>
    <t>6,689375</t>
  </si>
  <si>
    <t>ФССЦ-24.3.03.12-0013</t>
  </si>
  <si>
    <t>Трубы полиэтиленовые напорные с соэкструдированными слоями многослойные ПЭ100, стандартное размерное отношение SDR17, номинальный наружный диаметр 450 мм, толщина стенки 26,7 мм</t>
  </si>
  <si>
    <t>27,78</t>
  </si>
  <si>
    <t>ФЕР23-01-030-14</t>
  </si>
  <si>
    <t>Укладка трубопроводов канализации из полиэтиленовых труб диаметром: 900 мм</t>
  </si>
  <si>
    <t>Объем=22,5 / 100</t>
  </si>
  <si>
    <t>22,725</t>
  </si>
  <si>
    <t>116,05</t>
  </si>
  <si>
    <t>32,6390625</t>
  </si>
  <si>
    <t>64,83</t>
  </si>
  <si>
    <t>18,2334375</t>
  </si>
  <si>
    <t>ФССЦ-24.3.03.12-0019</t>
  </si>
  <si>
    <t>Трубы полиэтиленовые напорные с соэкструдированными слоями многослойные ПЭ100, стандартное размерное отношение SDR17, номинальный наружный диаметр 900 мм, толщина стенки 53,3 мм</t>
  </si>
  <si>
    <t>22,73</t>
  </si>
  <si>
    <t>ФЕР23-01-030-16</t>
  </si>
  <si>
    <t>Укладка трубопроводов канализации из полиэтиленовых труб диаметром: 1200 мм</t>
  </si>
  <si>
    <t>Объем=71,5 / 100</t>
  </si>
  <si>
    <t>72,215</t>
  </si>
  <si>
    <t>148,33</t>
  </si>
  <si>
    <t>132,5699375</t>
  </si>
  <si>
    <t>96,02</t>
  </si>
  <si>
    <t>85,817875</t>
  </si>
  <si>
    <t>ФССЦ-24.3.03.12-0021</t>
  </si>
  <si>
    <t>Трубы полиэтиленовые напорные с соэкструдированными слоями многослойные ПЭ100, стандартное размерное отношение SDR17, номинальный наружный диаметр 1200 мм, толщина стенки 71,1 мм</t>
  </si>
  <si>
    <t>72,22</t>
  </si>
  <si>
    <t>1,2016</t>
  </si>
  <si>
    <t>Объем=(16*(0,18+0,242+0,16+0,049+0,02+0,1)) / 10</t>
  </si>
  <si>
    <t>208,31238</t>
  </si>
  <si>
    <t>32,84874</t>
  </si>
  <si>
    <t>Объем=16*6</t>
  </si>
  <si>
    <t>ФЕР23-03-001-05</t>
  </si>
  <si>
    <t>Устройство круглых сборных железобетонных канализационных колодцев диаметром: 1,5 м в сухих грунтах</t>
  </si>
  <si>
    <t>3,268</t>
  </si>
  <si>
    <t>Объем=19*(0,38*1+0,4*3+0,05*2+0,02*2)/10</t>
  </si>
  <si>
    <t>96,55</t>
  </si>
  <si>
    <t>394,40675</t>
  </si>
  <si>
    <t>15,89</t>
  </si>
  <si>
    <t>64,91065</t>
  </si>
  <si>
    <t>Объем=19*1</t>
  </si>
  <si>
    <t>Объем=19*3</t>
  </si>
  <si>
    <t>Объем=19*2</t>
  </si>
  <si>
    <t>Объем=7*19</t>
  </si>
  <si>
    <t>ФЕР23-03-007-03</t>
  </si>
  <si>
    <t>Устройство круглых дождеприемных колодцев для дождевой канализации: из сборного железобетона диаметром 1,0 м в сухих грунтах</t>
  </si>
  <si>
    <t>1,04</t>
  </si>
  <si>
    <t>Объем=(20*(0,18*1+2*0,16+1*0,02)) / 10</t>
  </si>
  <si>
    <t>Кольца железобетонные и бетонные</t>
  </si>
  <si>
    <t>08.1.02.06-0042</t>
  </si>
  <si>
    <t>Люк чугунный с решеткой для дождеприемного колодца ЛР</t>
  </si>
  <si>
    <t>149</t>
  </si>
  <si>
    <t>193,7</t>
  </si>
  <si>
    <t>28,02</t>
  </si>
  <si>
    <t>36,426</t>
  </si>
  <si>
    <t>Объем=20*2</t>
  </si>
  <si>
    <t>Объем=20*1</t>
  </si>
  <si>
    <t>Объем=20*3</t>
  </si>
  <si>
    <t>ТЦ_08.1.02.14_77_7702680818_01.03.2021_01, Том 11.4, с.41, п.130</t>
  </si>
  <si>
    <t>Дождеприемная решетка «ДБ1»</t>
  </si>
  <si>
    <t>Итоги по разделу 4 К2 :</t>
  </si>
  <si>
    <t xml:space="preserve">  Итого по разделу 4 К2</t>
  </si>
  <si>
    <t>183,165</t>
  </si>
  <si>
    <t>Объем=28,215+154,95</t>
  </si>
  <si>
    <t>Перевозка материалов бортовым автомобилем гп 5 т на расстояние L=130 км от г. Нальчик  до площадки строительства, за исключением 30 км, учтенных в СНБ (итого: 100 км), I класс груза (сборные ж/б колодцы)</t>
  </si>
  <si>
    <t>318,508</t>
  </si>
  <si>
    <t>Объем=5,366+7,124+4,751+1,49+0,601+3,041+0,007+1,2+154,95+7,154+9,499+6,335+1,986+0,802+4,051+0,01+17,958+56,26+4,717+1,904+0,013+8,943+15,838+1,002+0,006+3,5</t>
  </si>
  <si>
    <t>Перевозка материалов бортовым автомобилем гп 5 т на расстояние L=130 км от г. Нальчик  до площадки строительства, за исключением 30 км, учтенных в СНБ (итого: 100км), II класс груза (трубы)</t>
  </si>
  <si>
    <t>41,618</t>
  </si>
  <si>
    <t>Объем=0,125+1,053+1,083+3,63+13,199+0,075+0,04+0,986+3,228+18,199</t>
  </si>
  <si>
    <t>Всесоюзный туристско-реакреционный комплекс " Эльбрус", Кабардино-Балкарская Республика. Открытая плоскостная парковка на 800 машино-мест"</t>
  </si>
  <si>
    <t>Резервуар-усреднитель</t>
  </si>
  <si>
    <t>ЛОКАЛЬНЫЙ СМЕТНЫЙ РАСЧЕТ (СМЕТА) № 06-02-02</t>
  </si>
  <si>
    <t>(1063,48)</t>
  </si>
  <si>
    <t>(30,41)</t>
  </si>
  <si>
    <t>Раздел 1. Устройство плиты</t>
  </si>
  <si>
    <t>0,429</t>
  </si>
  <si>
    <t>Объем=42,9 / 100</t>
  </si>
  <si>
    <t>43,758</t>
  </si>
  <si>
    <t>72,39375</t>
  </si>
  <si>
    <t>9,71685</t>
  </si>
  <si>
    <t>ФЕР08-01-008-03</t>
  </si>
  <si>
    <t>Устройство горизонтальной изоляции: методом наплавления (в 2 слоя)</t>
  </si>
  <si>
    <t>4,2899</t>
  </si>
  <si>
    <t>Объем=428,99 / 100</t>
  </si>
  <si>
    <t>К=2 ПЗ=2 (ОЗП=2; ЭМ=2 к расх.; ЗПМ=2; МАТ=2 к расх.; ТЗ=2; ТЗМ=2)</t>
  </si>
  <si>
    <t>12.1.02.15</t>
  </si>
  <si>
    <t>Материал рулонный кровельный гидроизоляционный битумно-полимерный СБС-модифицированный</t>
  </si>
  <si>
    <t>986,677</t>
  </si>
  <si>
    <t>6,81</t>
  </si>
  <si>
    <t>73,0355475</t>
  </si>
  <si>
    <t>1,71596</t>
  </si>
  <si>
    <t>ФССЦ-12.1.02.03-0195</t>
  </si>
  <si>
    <t>Материал рулонный битумно-полимерный кровельный и гидроизоляционный наплавляемый ЭПП, для нижних слоев гидроизоляции, основа полиэстер, гибкость не выше-25 °C, масса 1 м2 до 4,95 кг, прочность не менее 400-600 Н, теплостойкость не менее 100 °C</t>
  </si>
  <si>
    <t>4,29</t>
  </si>
  <si>
    <t>Объем=(12,87/0,03) / 100</t>
  </si>
  <si>
    <t>8,7516</t>
  </si>
  <si>
    <t>190,905</t>
  </si>
  <si>
    <t>6,810375</t>
  </si>
  <si>
    <t>ФССЦ-04.3.01.09-0015</t>
  </si>
  <si>
    <t>Раствор готовый кладочный, цементный, М150</t>
  </si>
  <si>
    <t>Устройство стяжек: на каждые 5 мм изменения толщины стяжки добавлять или исключать к расценке 11-01-011-01 ( до 30 мм)</t>
  </si>
  <si>
    <t>4,3758</t>
  </si>
  <si>
    <t>4,719</t>
  </si>
  <si>
    <t>2,25225</t>
  </si>
  <si>
    <t>2,145</t>
  </si>
  <si>
    <t>Объем=214,50 / 100</t>
  </si>
  <si>
    <t>217,7175</t>
  </si>
  <si>
    <t>17,3745</t>
  </si>
  <si>
    <t>479,94375</t>
  </si>
  <si>
    <t>76,5765</t>
  </si>
  <si>
    <t>217,72</t>
  </si>
  <si>
    <t>Надбавка на водонепроницаемость. Смеси бетонные, БСГ, тяжелого бетона  класс: B30 (М400), F150, W8</t>
  </si>
  <si>
    <t>214,5</t>
  </si>
  <si>
    <t>Цена=708,80*0,03</t>
  </si>
  <si>
    <t>ФССЦ-08.4.03.03-0012</t>
  </si>
  <si>
    <t>Горячекатанная арматурная сталь класса А500 С, диаметром: 36 мм</t>
  </si>
  <si>
    <t>3,8158</t>
  </si>
  <si>
    <t>Объем=3815,82/1000</t>
  </si>
  <si>
    <t>ФССЦ-08.4.03.03-0007</t>
  </si>
  <si>
    <t>Горячекатанная арматурная сталь класса А500 С, диаметром: 18 мм</t>
  </si>
  <si>
    <t>2,3936</t>
  </si>
  <si>
    <t>Объем=544*4,4/1000</t>
  </si>
  <si>
    <t>ФССЦ-08.4.03.03-0008</t>
  </si>
  <si>
    <t>Сталь арматурная рифленая свариваемая, класс A500С, диаметр 20 мм</t>
  </si>
  <si>
    <t>16,266</t>
  </si>
  <si>
    <t>Объем=(3142*2*2,47+328*2,27)/1000</t>
  </si>
  <si>
    <t>ФССЦ-08.4.02.04-0001</t>
  </si>
  <si>
    <t>Каркасы металлические, КР1</t>
  </si>
  <si>
    <t>1,4239</t>
  </si>
  <si>
    <t>Объем=(578,26+845,62)/1000</t>
  </si>
  <si>
    <t>Итоги по разделу 1 Устройство плиты :</t>
  </si>
  <si>
    <t xml:space="preserve">  Итого по разделу 1 Устройство плиты</t>
  </si>
  <si>
    <t>Раздел 2. Колонны</t>
  </si>
  <si>
    <t>ФЕР06-05-001-07</t>
  </si>
  <si>
    <t>Устройство железобетонных колонн в деревянной опалубке высотой: до 6 м, периметром до 2 м</t>
  </si>
  <si>
    <t>0,0231</t>
  </si>
  <si>
    <t>Объем=2,31 / 100</t>
  </si>
  <si>
    <t>2,34465</t>
  </si>
  <si>
    <t>0,29106</t>
  </si>
  <si>
    <t>1520</t>
  </si>
  <si>
    <t>43,89</t>
  </si>
  <si>
    <t>104,54</t>
  </si>
  <si>
    <t>3,0185925</t>
  </si>
  <si>
    <t>2,345</t>
  </si>
  <si>
    <t>Надбавка на водонепрониаемость. Смеси бетонные, БСГ, тяжелого бетона  класс: B30 (М400), F150, W8</t>
  </si>
  <si>
    <t>Объем=(4*36,75+4*38,35)*3/1000</t>
  </si>
  <si>
    <t>0,0735</t>
  </si>
  <si>
    <t>Объем=25*0.98*3/1000</t>
  </si>
  <si>
    <t>Итоги по разделу 2 Колонны :</t>
  </si>
  <si>
    <t xml:space="preserve">  Итого по разделу 2 Колонны</t>
  </si>
  <si>
    <t>Раздел 3. Стены</t>
  </si>
  <si>
    <t>ФЕР06-06-002-10</t>
  </si>
  <si>
    <t>Устройство железобетонных стен и перегородок высотой: до 6 м, толщиной 500 мм</t>
  </si>
  <si>
    <t>1,6621</t>
  </si>
  <si>
    <t>Объем=166,21 / 100</t>
  </si>
  <si>
    <t>168,70315</t>
  </si>
  <si>
    <t>10,1</t>
  </si>
  <si>
    <t>16,78721</t>
  </si>
  <si>
    <t>738</t>
  </si>
  <si>
    <t>1533,28725</t>
  </si>
  <si>
    <t>55,99</t>
  </si>
  <si>
    <t>116,3262238</t>
  </si>
  <si>
    <t>168,7</t>
  </si>
  <si>
    <t>166,21</t>
  </si>
  <si>
    <t>10,4336</t>
  </si>
  <si>
    <t>Объем=10433,6/1000</t>
  </si>
  <si>
    <t>1,8408</t>
  </si>
  <si>
    <t>Объем=48*38,35/1000</t>
  </si>
  <si>
    <t>ФССЦ-08.4.03.02-0002</t>
  </si>
  <si>
    <t>Сталь арматурная, горячекатаная, гладкая, класс А-I, диаметр 8 мм</t>
  </si>
  <si>
    <t>0,6324</t>
  </si>
  <si>
    <t>Объем=(2065*0,19+250*0,96)/1000</t>
  </si>
  <si>
    <t>ФЕР08-01-005-01</t>
  </si>
  <si>
    <t>Устройство боковой обмазочной изоляции стен, фундаментов ручным способом из сухих смесей: толщиной слоя 2 мм</t>
  </si>
  <si>
    <t>4,2506</t>
  </si>
  <si>
    <t>Объем=425,06 / 100</t>
  </si>
  <si>
    <t>04.3.02.09</t>
  </si>
  <si>
    <t>Смеси на цементной основе</t>
  </si>
  <si>
    <t>1,338939</t>
  </si>
  <si>
    <t>10,92</t>
  </si>
  <si>
    <t>58,02069</t>
  </si>
  <si>
    <t>1,4345775</t>
  </si>
  <si>
    <t>ФССЦ-04.3.02.09-0821</t>
  </si>
  <si>
    <t>Смесь сухая: гидроизоляционная проникающая капиллярная марка "Пенетрон"</t>
  </si>
  <si>
    <t>340,05</t>
  </si>
  <si>
    <t>Объем=425,06*0,8</t>
  </si>
  <si>
    <t>ФЕР08-01-008-05</t>
  </si>
  <si>
    <t>Устройство боковой изоляции: методом механического крепления</t>
  </si>
  <si>
    <t>Лента бандажная рулонная гидроизоляционная битумно-полимерная СБС-модифицированная, на нетканой основе из высокопрочного полиэстера</t>
  </si>
  <si>
    <t>296,172</t>
  </si>
  <si>
    <t>1258,9087032</t>
  </si>
  <si>
    <t>488,819</t>
  </si>
  <si>
    <t>21,69</t>
  </si>
  <si>
    <t>115,2443925</t>
  </si>
  <si>
    <t>1,593975</t>
  </si>
  <si>
    <t>ФССЦ-12.1.02.15-1017</t>
  </si>
  <si>
    <t>Лента бандажная рулонная битумно-полимерная СБС-модифицированная на нетканой основе с мелкозернистой посыпкой и наплавляемым слоем, ширина 200 мм</t>
  </si>
  <si>
    <t>251,7817</t>
  </si>
  <si>
    <t>Объем=1258,9087032*0,2</t>
  </si>
  <si>
    <t>ФССЦ-12.1.02.10-0098</t>
  </si>
  <si>
    <t>Мембрана профилированная гидроизоляционная, высота шипа 8 мм, прочность 300-600 Н, относительное удлинение при разрыве не менее 24-28 %, Г4</t>
  </si>
  <si>
    <t>488,82</t>
  </si>
  <si>
    <t>ФЕР08-01-008-04</t>
  </si>
  <si>
    <t>Устройство боковой изоляции: методом наплавления (в 2 слоя)</t>
  </si>
  <si>
    <t>977,638</t>
  </si>
  <si>
    <t>23,64</t>
  </si>
  <si>
    <t>251,21046</t>
  </si>
  <si>
    <t>1,91277</t>
  </si>
  <si>
    <t>977,64</t>
  </si>
  <si>
    <t>ФЕР26-01-036-01</t>
  </si>
  <si>
    <t>Изоляция изделиями из волокнистых и зернистых материалов с креплением на клее и дюбелями холодных поверхностей: наружных стен</t>
  </si>
  <si>
    <t>4,251</t>
  </si>
  <si>
    <t>Объем=(42,51/0,1) / 100</t>
  </si>
  <si>
    <t>01.7.15.07-0132</t>
  </si>
  <si>
    <t>Дюбели распорные с металлическим стержнем, размер 10х150 мм</t>
  </si>
  <si>
    <t>12.2.01.09</t>
  </si>
  <si>
    <t>Изделия теплоизоляционные</t>
  </si>
  <si>
    <t>16,06</t>
  </si>
  <si>
    <t>85,338825</t>
  </si>
  <si>
    <t>0,4251</t>
  </si>
  <si>
    <t>ФССЦ-01.7.15.07-0132</t>
  </si>
  <si>
    <t>340,08</t>
  </si>
  <si>
    <t>Объем=(425,1*8) / 10</t>
  </si>
  <si>
    <t>ФССЦ-12.2.05.09-0042</t>
  </si>
  <si>
    <t>Плиты теплоизоляционные из экструдированного пенополистирола со ступенчатой формой кромки, плотность 33-38 кг/м3, Г1</t>
  </si>
  <si>
    <t>42,51</t>
  </si>
  <si>
    <t>Установка стальных конструкций, остающихся в теле бетона (установка сальников)</t>
  </si>
  <si>
    <t>0,1792</t>
  </si>
  <si>
    <t>Объем=(28,6+150,6)/1000</t>
  </si>
  <si>
    <t>9,52</t>
  </si>
  <si>
    <t>0,93184</t>
  </si>
  <si>
    <t>ФССЦ-23.1.02.04-0042</t>
  </si>
  <si>
    <t>Сальник набивной (серия 5.900-2) длиной 500 мм, диаметром условного прохода 200 мм</t>
  </si>
  <si>
    <t>ФССЦ-23.1.02.04-0050</t>
  </si>
  <si>
    <t>Сальник набивной (серия 5.900-2) длиной 500 мм, диаметром условного прохода 800 мм</t>
  </si>
  <si>
    <t>Итоги по разделу 3 Стены :</t>
  </si>
  <si>
    <t xml:space="preserve">  Итого по разделу 3 Стены</t>
  </si>
  <si>
    <t>Раздел 4. Перекрытие</t>
  </si>
  <si>
    <t>ФЕР06-08-001-03</t>
  </si>
  <si>
    <t>Устройство перекрытий безбалочных толщиной: более 200 мм на высоте от опорной площади до 6 м</t>
  </si>
  <si>
    <t>0,8364</t>
  </si>
  <si>
    <t>Объем=83,64 / 100</t>
  </si>
  <si>
    <t>84,8946</t>
  </si>
  <si>
    <t>0,200736</t>
  </si>
  <si>
    <t>6,63</t>
  </si>
  <si>
    <t>5,545332</t>
  </si>
  <si>
    <t>575</t>
  </si>
  <si>
    <t>601,1625</t>
  </si>
  <si>
    <t>25,42</t>
  </si>
  <si>
    <t>26,57661</t>
  </si>
  <si>
    <t>Надбавка на водонепроницаемость.Смеси бетонные, БСГ, тяжелого бетона  класс: B30 (М400), F150, W8</t>
  </si>
  <si>
    <t>83,64</t>
  </si>
  <si>
    <t>ФССЦ-08.4.03.03-0009</t>
  </si>
  <si>
    <t>Горячекатанная арматурная сталь класса А500 С, диаметром: 25 мм</t>
  </si>
  <si>
    <t>21,714</t>
  </si>
  <si>
    <t>Объем=5640*3,85/1000</t>
  </si>
  <si>
    <t>Каркасы металлические КР2</t>
  </si>
  <si>
    <t>0,7682</t>
  </si>
  <si>
    <t>Объем=(521,49+246,73)/1000</t>
  </si>
  <si>
    <t>ФЕР06-03-004-11</t>
  </si>
  <si>
    <t>Установка закладных деталей весом: более 20 кг</t>
  </si>
  <si>
    <t>0,1446</t>
  </si>
  <si>
    <t>Объем=19,2*7,53/1000</t>
  </si>
  <si>
    <t>3,615</t>
  </si>
  <si>
    <t>0,0596475</t>
  </si>
  <si>
    <t>ФССЦ-08.3.08.01-0039</t>
  </si>
  <si>
    <t>Сталь угловая неравнополочная, марка стали: Ст3пс, размером 100х63 мм</t>
  </si>
  <si>
    <t>Итоги по разделу 4 Перекрытие :</t>
  </si>
  <si>
    <t xml:space="preserve">  Итого по разделу 4 Перекрытие</t>
  </si>
  <si>
    <t>Раздел 5. Установка колодца</t>
  </si>
  <si>
    <t>0,0264</t>
  </si>
  <si>
    <t>Объем=0,264 / 10</t>
  </si>
  <si>
    <t>3,661416</t>
  </si>
  <si>
    <t>0,577368</t>
  </si>
  <si>
    <t>ФССЦ-05.1.01.08-0011</t>
  </si>
  <si>
    <t>Колодцы железобетонные объемные смотровые</t>
  </si>
  <si>
    <t>0,264</t>
  </si>
  <si>
    <t>(Сооружения связи, радиовещания и телевидения)</t>
  </si>
  <si>
    <t>ФССЦ-08.1.02.06-0041</t>
  </si>
  <si>
    <t>Люк чугунный легкий</t>
  </si>
  <si>
    <t>Итоги по разделу 5 Установка колодца :</t>
  </si>
  <si>
    <t xml:space="preserve">  Итого по разделу 5 Установка колодца</t>
  </si>
  <si>
    <t>Перевозка грузов автомобилями бортовыми грузоподъемностью до 5 т на расстояние L=130 км от г. Нальчик до площадки строительства, за исключением 30 км, учтенных в СНБ (итого: 100 км): I класс груза  (ЭПП, мембрана, дюбели, арматура, закладные)</t>
  </si>
  <si>
    <t>69,311</t>
  </si>
  <si>
    <t>Объем=3,938+3,816+2,394+16,266+1,424+0,901+0,074+10,434+1,841+0,632+0,344+0,587+3,911+0,068+21,714+0,768+0,054+0,145</t>
  </si>
  <si>
    <t>Калькуляция №1  раздел 16</t>
  </si>
  <si>
    <t>Перевозка грузов автомобилями бортовыми грузоподъемностью до 5 т на расстояние L=130 км от г. Нальчик до площадки строительства, за исключением 30 км, учтенных в СНБ (итого: 100 км): IV класс груза (плиты теплоизоляционные)</t>
  </si>
  <si>
    <t>1,488</t>
  </si>
  <si>
    <t>КНС.</t>
  </si>
  <si>
    <t>ЛОКАЛЬНЫЙ СМЕТНЫЙ РАСЧЕТ (СМЕТА) № 06-02-03</t>
  </si>
  <si>
    <t>(9,1)</t>
  </si>
  <si>
    <t>(0,2)</t>
  </si>
  <si>
    <t>Раздел 1. Устройство плиты КНС №1</t>
  </si>
  <si>
    <t>0,0102</t>
  </si>
  <si>
    <t>Объем=1,02 / 100</t>
  </si>
  <si>
    <t>1,0404</t>
  </si>
  <si>
    <t>1,72125</t>
  </si>
  <si>
    <t>0,23103</t>
  </si>
  <si>
    <t>Объем=2,7 / 100</t>
  </si>
  <si>
    <t>2,7405</t>
  </si>
  <si>
    <t>0,2187</t>
  </si>
  <si>
    <t>6,04125</t>
  </si>
  <si>
    <t>0,9639</t>
  </si>
  <si>
    <t>0,2354</t>
  </si>
  <si>
    <t>Объем=235,36/1000</t>
  </si>
  <si>
    <t>0,03024</t>
  </si>
  <si>
    <t>2,44755</t>
  </si>
  <si>
    <t>0,118125</t>
  </si>
  <si>
    <t>0,01512</t>
  </si>
  <si>
    <t>0,7749</t>
  </si>
  <si>
    <t>0,058275</t>
  </si>
  <si>
    <t>20,16</t>
  </si>
  <si>
    <t>Объем=12,6*1,6</t>
  </si>
  <si>
    <t>Итоги по разделу 1 Устройство плиты КНС №1 :</t>
  </si>
  <si>
    <t xml:space="preserve">  Итого по разделу 1 Устройство плиты КНС №1</t>
  </si>
  <si>
    <t>Раздел 2. Устройство плиты КНС №3</t>
  </si>
  <si>
    <t>Итоги по разделу 2 Устройство плиты КНС №3 :</t>
  </si>
  <si>
    <t xml:space="preserve">  Итого по разделу 2 Устройство плиты КНС №3</t>
  </si>
  <si>
    <t>Калькуляция №1  раздел  2</t>
  </si>
  <si>
    <t>Объем=0,235*2</t>
  </si>
  <si>
    <t>0,088</t>
  </si>
  <si>
    <t>Объем=0,044*2</t>
  </si>
  <si>
    <t>ЛОС №1</t>
  </si>
  <si>
    <t>ЛОКАЛЬНЫЙ СМЕТНЫЙ РАСЧЕТ (СМЕТА) № 06-02-04</t>
  </si>
  <si>
    <t>(25,77)</t>
  </si>
  <si>
    <t>(0,57)</t>
  </si>
  <si>
    <t>Раздел 1. Устройство плиты под ЛОС №1</t>
  </si>
  <si>
    <t>0,0582</t>
  </si>
  <si>
    <t>Объем=5,82 / 100</t>
  </si>
  <si>
    <t>5,9364</t>
  </si>
  <si>
    <t>9,82125</t>
  </si>
  <si>
    <t>1,31823</t>
  </si>
  <si>
    <t>Объем=16,50 / 100</t>
  </si>
  <si>
    <t>16,7475</t>
  </si>
  <si>
    <t>1,3365</t>
  </si>
  <si>
    <t>36,91875</t>
  </si>
  <si>
    <t>5,8905</t>
  </si>
  <si>
    <t>1,176</t>
  </si>
  <si>
    <t>Объем=1175,96/1000</t>
  </si>
  <si>
    <t>0,646</t>
  </si>
  <si>
    <t>Объем=64,6 / 100</t>
  </si>
  <si>
    <t>0,15504</t>
  </si>
  <si>
    <t>12,54855</t>
  </si>
  <si>
    <t>0,605625</t>
  </si>
  <si>
    <t>0,07752</t>
  </si>
  <si>
    <t>3,9729</t>
  </si>
  <si>
    <t>0,298775</t>
  </si>
  <si>
    <t>103,36</t>
  </si>
  <si>
    <t>Объем=64,6*1,6</t>
  </si>
  <si>
    <t>Итоги по разделу 1 Устройство плиты под ЛОС №1 :</t>
  </si>
  <si>
    <t xml:space="preserve">  Итого по разделу 1 Устройство плиты под ЛОС №1</t>
  </si>
  <si>
    <t>0,234</t>
  </si>
  <si>
    <t>Внутриплощадочные сети водоотведения.</t>
  </si>
  <si>
    <t>ЛОКАЛЬНЫЙ СМЕТНЫЙ РАСЧЕТ (СМЕТА) № 06-02-05</t>
  </si>
  <si>
    <t>(1172,72)</t>
  </si>
  <si>
    <t>(56,74)</t>
  </si>
  <si>
    <t>(7,56)</t>
  </si>
  <si>
    <t>(15,7)</t>
  </si>
  <si>
    <t>(1100,27)</t>
  </si>
  <si>
    <t>Раздел 1. Земляные работы (ЛОС и резервуар-усреднитель)</t>
  </si>
  <si>
    <t>2,5652</t>
  </si>
  <si>
    <t>Объем=2565,2 / 1000</t>
  </si>
  <si>
    <t>153,912</t>
  </si>
  <si>
    <t>2,6826</t>
  </si>
  <si>
    <t>Объем=((350,5+2332,1)) / 1000</t>
  </si>
  <si>
    <t>110,65725</t>
  </si>
  <si>
    <t>26,826</t>
  </si>
  <si>
    <t>Объем=2682,6 / 100</t>
  </si>
  <si>
    <t>501,6462</t>
  </si>
  <si>
    <t>104,956725</t>
  </si>
  <si>
    <t>Итоги по разделу 1 Земляные работы (ЛОС и резервуар-усреднитель) :</t>
  </si>
  <si>
    <t xml:space="preserve">  Итого по разделу 1 Земляные работы (ЛОС и резервуар-усреднитель)</t>
  </si>
  <si>
    <t>Раздел 2. Монтаж оборудования</t>
  </si>
  <si>
    <t>ФЕРм07-04-028-04</t>
  </si>
  <si>
    <t>Насос погружной заливочный, масса 0,11 т</t>
  </si>
  <si>
    <t>0,58</t>
  </si>
  <si>
    <t>ТЦ_62.7.01.00_77_7702680818_01.03.2021_01, Том 11.4, с.38, п.131</t>
  </si>
  <si>
    <t>Мешалка N=2,5кВт 380В для резервуара-усреднителя Grundfos</t>
  </si>
  <si>
    <t>Монтаж сосудов и аппаратов без механизмов на открытой площадке, масса сосудов и аппаратов: 2 т (масса 1800 кг.)</t>
  </si>
  <si>
    <t>Приказ от 04.09.2019 № 507/пр п.5.8 табл.1</t>
  </si>
  <si>
    <t>1,1875</t>
  </si>
  <si>
    <t>70,0625</t>
  </si>
  <si>
    <t>5,81875</t>
  </si>
  <si>
    <t>ТЦ_68.1.01.08_77_7702680818_01.03.2021_01, Том 11.4, с.39, п.132</t>
  </si>
  <si>
    <t>Модульная КНС дождевого стока Q=20л/с H=12,0м N=7,5кВт
(1 раб.,1 рез. насос) в комплекте с автоматикой и
диспетчеризацией</t>
  </si>
  <si>
    <t>Монтаж сосудов и аппаратов без механизмов на открытой площадке, масса сосудов и аппаратов: 3 т (масса 2500 кг.)</t>
  </si>
  <si>
    <t>87,875</t>
  </si>
  <si>
    <t>6,29375</t>
  </si>
  <si>
    <t>ТЦ_65.1.03.00_77_7702680818_01.03.2021_01, Том 11.4, с.39, п.133</t>
  </si>
  <si>
    <t>Локальные модульные очистные сооружения дождевого стока
Q=40 л/с в комплекте с автоматикой и диспетчеризацией</t>
  </si>
  <si>
    <t>Монтаж сосудов и аппаратов без механизмов на открытой площадке, масса сосудов и аппаратов: 2 т (масса 2300 кг.)</t>
  </si>
  <si>
    <t>ТЦ_68.1.01.08_77_7702680818_01.03.2021_01, Том 11.4, с.39, п.134</t>
  </si>
  <si>
    <t>Модульная КНС дождевого стока Q=40л/с H=12,0м N=12,0кВт
(1 раб.,1 рез. насос) в комплекте с автоматикой и
диспетчеризацией</t>
  </si>
  <si>
    <t>Итоги по разделу 2 Монтаж оборудования :</t>
  </si>
  <si>
    <t xml:space="preserve">  Итого по разделу 2 Монтаж оборудования</t>
  </si>
  <si>
    <t>ОБЪЕКТНЫЙ СМЕТНЫЙ РАСЧЕТ (СМЕТА) № ОС-07-01</t>
  </si>
  <si>
    <t>07-01-01</t>
  </si>
  <si>
    <t>Устройство тротуаров и пешеходных зон</t>
  </si>
  <si>
    <t>07-01-02</t>
  </si>
  <si>
    <t>Благоустройство</t>
  </si>
  <si>
    <t>07-01-03</t>
  </si>
  <si>
    <t>Установка МАФ</t>
  </si>
  <si>
    <t>07-01-04</t>
  </si>
  <si>
    <t>ЛОКАЛЬНЫЙ СМЕТНЫЙ РАСЧЕТ (СМЕТА) № 07-01-01</t>
  </si>
  <si>
    <t>(18,73)</t>
  </si>
  <si>
    <t>2,885</t>
  </si>
  <si>
    <t>Объем=2885 / 1000</t>
  </si>
  <si>
    <t>119,00625</t>
  </si>
  <si>
    <t>134,7655625</t>
  </si>
  <si>
    <t>-2,885</t>
  </si>
  <si>
    <t>Объем=-2885 / 1000</t>
  </si>
  <si>
    <t>-45,2584375</t>
  </si>
  <si>
    <t>28,85</t>
  </si>
  <si>
    <t>Объем=2885 / 100</t>
  </si>
  <si>
    <t>2885</t>
  </si>
  <si>
    <t>1223,24</t>
  </si>
  <si>
    <t>25,965</t>
  </si>
  <si>
    <t>375,7</t>
  </si>
  <si>
    <t>Объем=289*1,3</t>
  </si>
  <si>
    <t>0,49</t>
  </si>
  <si>
    <t>Объем=(49/0,1) / 1000</t>
  </si>
  <si>
    <t>20,2125</t>
  </si>
  <si>
    <t>22,889125</t>
  </si>
  <si>
    <t>На каждый 1 см изменения толщины слоя добавлять или исключать к расценкам 27-04-006-01, 27-04-006-02, 27-04-006-03 // До 10 см</t>
  </si>
  <si>
    <t>-0,49</t>
  </si>
  <si>
    <t>Объем=-490 / 1000</t>
  </si>
  <si>
    <t>-7,686875</t>
  </si>
  <si>
    <t>Объем=1030 / 100</t>
  </si>
  <si>
    <t>1030</t>
  </si>
  <si>
    <t>898,675</t>
  </si>
  <si>
    <t>8,36875</t>
  </si>
  <si>
    <t>44,945</t>
  </si>
  <si>
    <t>Объем=52,2622*0,86</t>
  </si>
  <si>
    <t>Объем=0,53148*0,33</t>
  </si>
  <si>
    <t>692,4</t>
  </si>
  <si>
    <t>39,882</t>
  </si>
  <si>
    <t>2,164</t>
  </si>
  <si>
    <t>ЛОКАЛЬНЫЙ СМЕТНЫЙ РАСЧЕТ (СМЕТА) № 07-01-02</t>
  </si>
  <si>
    <t>(266,24)</t>
  </si>
  <si>
    <t>(20,83)</t>
  </si>
  <si>
    <t>Раздел 1. Устройство газона</t>
  </si>
  <si>
    <t>ФЕР47-01-046-03</t>
  </si>
  <si>
    <t>Подготовка почвы для устройства партерного и обыкновенного газона с внесением растительной земли слоем 15 см: механизированным способом</t>
  </si>
  <si>
    <t>55,45</t>
  </si>
  <si>
    <t>Объем=5545 / 100</t>
  </si>
  <si>
    <t>26,78</t>
  </si>
  <si>
    <t>1856,18875</t>
  </si>
  <si>
    <t>3,465625</t>
  </si>
  <si>
    <t>Приказ Минстроя России № 812/пр от 21.12.2020 Прил. п.41</t>
  </si>
  <si>
    <t>НР Озеленение. Защитные лесонасаждения</t>
  </si>
  <si>
    <t>Приказ Минстроя России № 774/пр от 11.12.2020 Прил. п.41</t>
  </si>
  <si>
    <t>СП Озеленение. Защитные лесонасаждения</t>
  </si>
  <si>
    <t>ФССЦ-16.2.01.02-0001</t>
  </si>
  <si>
    <t>Земля растительная</t>
  </si>
  <si>
    <t>-831,75</t>
  </si>
  <si>
    <t>ФЕР47-01-046-05</t>
  </si>
  <si>
    <t>На каждые 5 см изменения толщины слоя добавлять или исключать к расценкам с 47-01-046-01 по 47-01-046-04 ( до 20 см)</t>
  </si>
  <si>
    <t>5,47</t>
  </si>
  <si>
    <t>379,139375</t>
  </si>
  <si>
    <t>-277,25</t>
  </si>
  <si>
    <t>4302,2</t>
  </si>
  <si>
    <t>Объем=3073*1,4</t>
  </si>
  <si>
    <t>ФЕР47-01-046-06</t>
  </si>
  <si>
    <t>Посев газонов партерных, мавританских и обыкновенных вручную</t>
  </si>
  <si>
    <t>Семена газонных трав</t>
  </si>
  <si>
    <t>110,9</t>
  </si>
  <si>
    <t>363,890625</t>
  </si>
  <si>
    <t>2,74</t>
  </si>
  <si>
    <t>189,91625</t>
  </si>
  <si>
    <t>Итоги по разделу 1 Устройство газона :</t>
  </si>
  <si>
    <t xml:space="preserve">  Итого по разделу 1 Устройство газона</t>
  </si>
  <si>
    <t>Раздел 2. Укрепление откосов в выемке и насыпи</t>
  </si>
  <si>
    <t>98,18</t>
  </si>
  <si>
    <t>Объем=(5720+4098) / 100</t>
  </si>
  <si>
    <t>265,086</t>
  </si>
  <si>
    <t>2749,6</t>
  </si>
  <si>
    <t>Объем=(820+1144)*1,4</t>
  </si>
  <si>
    <t>Итоги по разделу 2 Укрепление откосов в выемке и насыпи :</t>
  </si>
  <si>
    <t xml:space="preserve">  Итого по разделу 2 Укрепление откосов в выемке и насыпи</t>
  </si>
  <si>
    <t>0,376</t>
  </si>
  <si>
    <t>Объем=0,111+0,265</t>
  </si>
  <si>
    <t>ЛОКАЛЬНЫЙ СМЕТНЫЙ РАСЧЕТ (СМЕТА) № 07-01-03</t>
  </si>
  <si>
    <t>Д-ДРП-20-016-СПЗУ, ВОР</t>
  </si>
  <si>
    <t>(38,93)</t>
  </si>
  <si>
    <t>(0,17)</t>
  </si>
  <si>
    <t>Раздел 1. Установка МАФ</t>
  </si>
  <si>
    <t>ФЕР09-08-001-03</t>
  </si>
  <si>
    <t>Объем=(6*2+25) / 100</t>
  </si>
  <si>
    <t>01.7.15.02</t>
  </si>
  <si>
    <t>Болты анкерные</t>
  </si>
  <si>
    <t>07.2.07.11</t>
  </si>
  <si>
    <t>Стойки металлические опорные</t>
  </si>
  <si>
    <t>44,05</t>
  </si>
  <si>
    <t>20,373125</t>
  </si>
  <si>
    <t>29,78</t>
  </si>
  <si>
    <t>13,77325</t>
  </si>
  <si>
    <t>ТЦ_15.1.02.27_44_4401028410_01.03.2021_01  Том 11.4, с.55, п.186</t>
  </si>
  <si>
    <t>Скамейка «Stand» без спинки</t>
  </si>
  <si>
    <t>ТЦ_15.1.02.27_44_4401028410_01.03.2021_01 Том 11.4, с.55, п.187</t>
  </si>
  <si>
    <t>Урна «Эстет»</t>
  </si>
  <si>
    <t>ЛОКАЛЬНЫЙ СМЕТНЫЙ РАСЧЕТ (СМЕТА) № 07-01-04</t>
  </si>
  <si>
    <t>(1476,21)</t>
  </si>
  <si>
    <t>(18,83)</t>
  </si>
  <si>
    <t>0,3951</t>
  </si>
  <si>
    <t>Объем=395,1 / 1000</t>
  </si>
  <si>
    <t>26,4223125</t>
  </si>
  <si>
    <t>Разработка грунта в траншеях экскаватором «обратная лопата» с ковшом вместимостью 0,65 (0,5-1) м3, группа грунтов: 5 в отвал</t>
  </si>
  <si>
    <t>0,0809</t>
  </si>
  <si>
    <t>Объем=80,9 / 1000</t>
  </si>
  <si>
    <t>4,2978125</t>
  </si>
  <si>
    <t>0,143</t>
  </si>
  <si>
    <t>Объем=14,3 / 100</t>
  </si>
  <si>
    <t>76,362</t>
  </si>
  <si>
    <t>Разработка грунта в траншеях экскаватором «обратная лопата» с ковшом вместимостью 0,65 (0,5-1) м3, группа грунтов: 4  ( обратная засыпка)</t>
  </si>
  <si>
    <t>0,0952</t>
  </si>
  <si>
    <t>Объем=95,2 / 1000</t>
  </si>
  <si>
    <t>3,927</t>
  </si>
  <si>
    <t>0,952</t>
  </si>
  <si>
    <t>Объем=95,2 / 100</t>
  </si>
  <si>
    <t>17,8024</t>
  </si>
  <si>
    <t>3,7247</t>
  </si>
  <si>
    <t>908,73</t>
  </si>
  <si>
    <t>Объем=395,1*2,3</t>
  </si>
  <si>
    <t>Раздел 2. Устройство лотков</t>
  </si>
  <si>
    <t>ФЕР08-01-003-02</t>
  </si>
  <si>
    <t>Гидроизоляция стен, фундаментов: горизонтальная оклеечная в 1 слой</t>
  </si>
  <si>
    <t>9,3279</t>
  </si>
  <si>
    <t>Объем=932,79 / 100</t>
  </si>
  <si>
    <t>Раствор готовый кладочный</t>
  </si>
  <si>
    <t>23,31975</t>
  </si>
  <si>
    <t>Материалы гидроизоляционные рулонные</t>
  </si>
  <si>
    <t>1026,069</t>
  </si>
  <si>
    <t>166,7362125</t>
  </si>
  <si>
    <t>6,4129313</t>
  </si>
  <si>
    <t>ФССЦ-12.1.02.12-0004</t>
  </si>
  <si>
    <t>Пергамин кровельный П-350</t>
  </si>
  <si>
    <t>Объем=932,79*1,1</t>
  </si>
  <si>
    <t>1,1171</t>
  </si>
  <si>
    <t>Объем=111,71 / 100</t>
  </si>
  <si>
    <t>30,1617</t>
  </si>
  <si>
    <t>28,765325</t>
  </si>
  <si>
    <t>140,7546</t>
  </si>
  <si>
    <t>Объем=111,71*1,26</t>
  </si>
  <si>
    <t>ФЕР27-02-005-01</t>
  </si>
  <si>
    <t>Устройство водосбросных сооружений с проезжей части из продольных лотков из сборного бетона</t>
  </si>
  <si>
    <t>0,5783</t>
  </si>
  <si>
    <t>Объем=57,83 / 100</t>
  </si>
  <si>
    <t>05.1.01.10</t>
  </si>
  <si>
    <t>Конструкции сборные бетонные</t>
  </si>
  <si>
    <t>57,83</t>
  </si>
  <si>
    <t>323</t>
  </si>
  <si>
    <t>233,488625</t>
  </si>
  <si>
    <t>122,19</t>
  </si>
  <si>
    <t>88,3280963</t>
  </si>
  <si>
    <t>ФССЦ-14.5.01.06-0020</t>
  </si>
  <si>
    <t>Герметик полиуретановый: САЗИЛАСТ 25, долговременная герметизация швов</t>
  </si>
  <si>
    <t>102,25</t>
  </si>
  <si>
    <t>(Работы по реконструкции зданий и сооружений: усиление и замена существующих конструкций, возведение отдельных конструктивных элементов)</t>
  </si>
  <si>
    <t>ТЦ_11.3.04.05_78_7814731027_01.03.2021_01 Том 11 с.56 п.191</t>
  </si>
  <si>
    <t>Бетонные лотки ЛВБ OPTIMA 150 №0/1 1000х230х175</t>
  </si>
  <si>
    <t>ТЦ_11.3.04.06_23_2311204642_01.03.2021_01 Том 11 с.56 п.192</t>
  </si>
  <si>
    <t>Бетонные лотки ЛВБ OPTIMA 150 №0/0 1000х230х225</t>
  </si>
  <si>
    <t>ТЦ_11.3.04.06_23_2311204642_01.03.2021_01 Том 11 с. 57 п. 193</t>
  </si>
  <si>
    <t>Бетонные лотки ЛВБ OPTIMA 150 №5/0 1000х230х250</t>
  </si>
  <si>
    <t>196</t>
  </si>
  <si>
    <t>ТЦ_11.3.04.06_23_2311204642_01.03.2021_01 Том 11 с. 57 п. 194</t>
  </si>
  <si>
    <t>Бетонные лотки ЛВБ OPTIMA 150 №10/0 1000х230х275</t>
  </si>
  <si>
    <t>ТЦ_11.3.04.06_23_2311204642_01.03.2021_01 Том 11 с. 57 п. 195</t>
  </si>
  <si>
    <t>Бетонные лотки ЛВБ OPTIMA 150 №15/0 1000х230х300</t>
  </si>
  <si>
    <t>ТЦ_11.3.04.06_23_2311204642_01.03.2021_01 Том 11 с. 57 п. 196</t>
  </si>
  <si>
    <t>Бетонные лотки ЛВБ OPTIMA 150 №20/0 1000х230х325</t>
  </si>
  <si>
    <t>123</t>
  </si>
  <si>
    <t>ТЦ_11.3.04.06_23_2311204642_01.03.2021_01 Том 11 с. 58 п. 197</t>
  </si>
  <si>
    <t>Бетонные лотки ЛВБ OPTIMA 150 №20/1 1000х230х350</t>
  </si>
  <si>
    <t>ТЦ_11.3.04.06_23_2311204642_01.03.2021_01 Том 11 с.58 п.198</t>
  </si>
  <si>
    <t>Бетонные лотки ЛВБ OPTIMA 150 №5/0 1000х290х335</t>
  </si>
  <si>
    <t>ТЦ_11.3.04.06_23_2311204642_01.03.2021_01 Том 11 с. 58 п. 199</t>
  </si>
  <si>
    <t>Бетонные лотки ЛВБ OPTIMA 150 №10/0 1000х290х360</t>
  </si>
  <si>
    <t>ТЦ_11.3.04.06_23_2311204642_01.03.2021_01 Том 11 с. 58 п. 200</t>
  </si>
  <si>
    <t>Бетонные лотки ЛВБ OPTIMA 150 №0/1 1000х230х150</t>
  </si>
  <si>
    <t>318</t>
  </si>
  <si>
    <t>ТЦ_11.3.04.08_23_2311204642_01.03.2021_01 Том 11 с. 59 п. 201</t>
  </si>
  <si>
    <t>Бетонные лотки ЛВБ OPTIMA 150 №0/0 1000х230х200</t>
  </si>
  <si>
    <t>ТЦ_11.3.04.06_23_2311204642_01.03.2021_01 Том 11 с. 59 п. 202</t>
  </si>
  <si>
    <t>Бетонные лотки ЛВБ OPTIMA 150 №5/0 1000х230х225</t>
  </si>
  <si>
    <t>161</t>
  </si>
  <si>
    <t>ТЦ_23.8.02.01_23_2311204642_01.03.2021_01 Том 11 с.58 п.209</t>
  </si>
  <si>
    <t>Заглушка торцевая стальная DN200 Н310</t>
  </si>
  <si>
    <t>ТЦ_23.8.02.01_23_2311204642_01.03.2021_01 Том 11 с.58 п.210</t>
  </si>
  <si>
    <t>Заглушка торцевая стальная DN150 Н310</t>
  </si>
  <si>
    <t>ТЦ_11.3.04.08_23_2311204642_01.03.2021_01 Том 11 с. 59 п. 204</t>
  </si>
  <si>
    <t>Пескоуловитель бетонный ПБ Optima 150</t>
  </si>
  <si>
    <t>ТЦ_08.1.02.14_23_2311204642_01.03.2021_01 Том 11 с.59 п.203</t>
  </si>
  <si>
    <t>Пескоуловитель бетонный ПБ Optima 200</t>
  </si>
  <si>
    <t>ТЦ_11.3.04.08_23_2311204642_01.03.2021_01 Том 11 с.60 п.205</t>
  </si>
  <si>
    <t>Корзинка для пескоуловителя бетонного DN200 оц</t>
  </si>
  <si>
    <t>ТЦ_11.3.04.08_23_2311204642_01.03.2021_01 Том 11 с.60 п.206</t>
  </si>
  <si>
    <t>Корзинка для пескоуловителя бетонного DN150 оц</t>
  </si>
  <si>
    <t>2,95</t>
  </si>
  <si>
    <t>Объем=0,63+2,32</t>
  </si>
  <si>
    <t>20,0838</t>
  </si>
  <si>
    <t>Объем=(11*468+7,3*2046)/1000</t>
  </si>
  <si>
    <t>1061,930925</t>
  </si>
  <si>
    <t>58,745115</t>
  </si>
  <si>
    <t>ТЦ_08.1.02.14_23_2311204642_01.03.2021_01 Том 11 с.60 п.207</t>
  </si>
  <si>
    <t>Решетка чугунная РЧВ Optima 200 D400 "волна"</t>
  </si>
  <si>
    <t>468</t>
  </si>
  <si>
    <t>ТЦ_08.1.02.14_23_2311204642_01.03.2021_01 Том 11 с.60 п.208</t>
  </si>
  <si>
    <t>Решетка чугунная РЧВ Optima 150 D400 "волна"</t>
  </si>
  <si>
    <t>2046</t>
  </si>
  <si>
    <t>ТЦ_08.1.02.14_23_2311204642_01.03.2021_01 Том 11 с.61 п.209</t>
  </si>
  <si>
    <t>Крепеж решетки к лотку бетонному Optima 200 (комплект)</t>
  </si>
  <si>
    <t>ТЦ_08.1.02.14_23_2311204642_01.03.2021_01 Том 11 с.61 п.210</t>
  </si>
  <si>
    <t>Крепеж решетки к лотку бетонному Optima 150 (комплект)</t>
  </si>
  <si>
    <t>Устройство бетонной подготовки (бетонная обойма замок)</t>
  </si>
  <si>
    <t>2,5432</t>
  </si>
  <si>
    <t>Объем=254,32 / 100</t>
  </si>
  <si>
    <t>259,4064</t>
  </si>
  <si>
    <t>429,165</t>
  </si>
  <si>
    <t>57,60348</t>
  </si>
  <si>
    <t>259,406</t>
  </si>
  <si>
    <t>ФЕР46-08-022-05</t>
  </si>
  <si>
    <t>Гидроизоляция набухающей самоклеящейся лентой: горизонтальных швов</t>
  </si>
  <si>
    <t>50,48</t>
  </si>
  <si>
    <t>Объем=5048 / 100</t>
  </si>
  <si>
    <t>01.7.06.02</t>
  </si>
  <si>
    <t>Лента гидроизоляционная</t>
  </si>
  <si>
    <t>101,8</t>
  </si>
  <si>
    <t>5138,864</t>
  </si>
  <si>
    <t>3,28</t>
  </si>
  <si>
    <t>165,5744</t>
  </si>
  <si>
    <t>17,668</t>
  </si>
  <si>
    <t>Приказ Минстроя России № 812/пр от 21.12.2020 Прил. п.40.1</t>
  </si>
  <si>
    <t>НР Работы по реконструкции зданий и сооружений: усиление и замена существующих конструкций, возведение отдельных конструктивных элементов</t>
  </si>
  <si>
    <t>Приказ Минстроя России № 774/пр от 11.12.2020 Прил. п.40.1</t>
  </si>
  <si>
    <t>СП Работы по реконструкции зданий и сооружений: усиление и замена существующих конструкций, возведение отдельных конструктивных элементов</t>
  </si>
  <si>
    <t>ФССЦ-01.7.06.09-0001</t>
  </si>
  <si>
    <t>Лента стыковая битумно-каучуковая 40х5 мм</t>
  </si>
  <si>
    <t>5138,86</t>
  </si>
  <si>
    <t>Итоги по разделу 2 Устройство лотков :</t>
  </si>
  <si>
    <t xml:space="preserve">  Итого по разделу 2 Устройство лотков</t>
  </si>
  <si>
    <t>Перевозка грузов автомобилями бортовыми грузоподъемностью до 5 т на расстояние  L=130 км от г. Нальчик до площадки строительства, за исключением 30 км, учтенных в СНБ (итого: 100 км): III класс груза (герметик)</t>
  </si>
  <si>
    <t>Перевозка грузов автомобилями бортовыми грузоподъемностью до 5 т на расстояние L=130 км от г. Нальчик  до площадки строительства, за исключением 30 км, учтенных в СНБ (итого: 100км), II класс груза (пергамин, лента изоляционная )</t>
  </si>
  <si>
    <t>1,9</t>
  </si>
  <si>
    <t>Объем=0,821+1,079</t>
  </si>
  <si>
    <t>ЛОКАЛЬНЫЙ СМЕТНЫЙ РАСЧЕТ (СМЕТА) № 07-02-01</t>
  </si>
  <si>
    <t>Д-ДРП-20-016-ИОС1.2-ЭС</t>
  </si>
  <si>
    <t>(618,72)</t>
  </si>
  <si>
    <t>(34,86)</t>
  </si>
  <si>
    <t>(27,42)</t>
  </si>
  <si>
    <t>Траншея Т-10</t>
  </si>
  <si>
    <t>0,26568</t>
  </si>
  <si>
    <t>Объем=265,68 / 1000</t>
  </si>
  <si>
    <t>17,76735</t>
  </si>
  <si>
    <t>0,80811</t>
  </si>
  <si>
    <t>Объем=(1107-265,68-33,21) / 1000</t>
  </si>
  <si>
    <t>42,9308438</t>
  </si>
  <si>
    <t>Разработка грунта вручную в траншеях глубиной до 2 м без креплений с откосами, группа грунтов: 4  (доработка вручную)</t>
  </si>
  <si>
    <t>0,3321</t>
  </si>
  <si>
    <t>Объем=(1107*0,03) / 100</t>
  </si>
  <si>
    <t>177,3414</t>
  </si>
  <si>
    <t>611,34</t>
  </si>
  <si>
    <t>Объем=265,8*2,3</t>
  </si>
  <si>
    <t>0,84132</t>
  </si>
  <si>
    <t>Объем=841,32 / 1000</t>
  </si>
  <si>
    <t>34,70445</t>
  </si>
  <si>
    <t>8,4132</t>
  </si>
  <si>
    <t>Объем=841,32 / 100</t>
  </si>
  <si>
    <t>157,32684</t>
  </si>
  <si>
    <t>32,916645</t>
  </si>
  <si>
    <t>Траншея  Т-2</t>
  </si>
  <si>
    <t>0,03582</t>
  </si>
  <si>
    <t>Объем=35,82 / 1000</t>
  </si>
  <si>
    <t>2,3954625</t>
  </si>
  <si>
    <t>0,06841</t>
  </si>
  <si>
    <t>Объем=(107,46-35,82-3,23) / 1000</t>
  </si>
  <si>
    <t>3,6342813</t>
  </si>
  <si>
    <t>0,032238</t>
  </si>
  <si>
    <t>Объем=(107,46*0,03) / 100</t>
  </si>
  <si>
    <t>17,215092</t>
  </si>
  <si>
    <t>82,386</t>
  </si>
  <si>
    <t>Объем=35,82*2,3</t>
  </si>
  <si>
    <t>Разработка грунта в траншеях экскаватором «обратная лопата» с ковшом вместимостью 0,65 (0,5-1) м3, группа грунтов: 4  (обратная засыпка)</t>
  </si>
  <si>
    <t>0,07164</t>
  </si>
  <si>
    <t>Объем=71,64 / 1000</t>
  </si>
  <si>
    <t>2,95515</t>
  </si>
  <si>
    <t>0,7164</t>
  </si>
  <si>
    <t>Объем=71,64 / 100</t>
  </si>
  <si>
    <t>13,39668</t>
  </si>
  <si>
    <t>2,802915</t>
  </si>
  <si>
    <t>Траншея Т-15</t>
  </si>
  <si>
    <t>0,0126</t>
  </si>
  <si>
    <t>Объем=12,6 / 1000</t>
  </si>
  <si>
    <t>0,842625</t>
  </si>
  <si>
    <t>0,03832</t>
  </si>
  <si>
    <t>Объем=(52,5-12,6-1,58) / 1000</t>
  </si>
  <si>
    <t>2,03575</t>
  </si>
  <si>
    <t>Разработка грунта вручную в траншеях глубиной до 2 м без креплений с откосами, группа грунтов: 4 (доработка вручную)</t>
  </si>
  <si>
    <t>0,01575</t>
  </si>
  <si>
    <t>Объем=(52,5*0,03) / 100</t>
  </si>
  <si>
    <t>8,4105</t>
  </si>
  <si>
    <t>28,98</t>
  </si>
  <si>
    <t>Объем=12,6*2,3</t>
  </si>
  <si>
    <t>0,0399</t>
  </si>
  <si>
    <t>Объем=39,9 / 1000</t>
  </si>
  <si>
    <t>1,645875</t>
  </si>
  <si>
    <t>0,399</t>
  </si>
  <si>
    <t>Объем=39,9 / 100</t>
  </si>
  <si>
    <t>7,4613</t>
  </si>
  <si>
    <t>1,5610875</t>
  </si>
  <si>
    <t>Опоры</t>
  </si>
  <si>
    <t>0,05035</t>
  </si>
  <si>
    <t>Объем=(30,21+20,14) / 1000</t>
  </si>
  <si>
    <t>3,3671563</t>
  </si>
  <si>
    <t>115,805</t>
  </si>
  <si>
    <t>Объем=50,35*2,3</t>
  </si>
  <si>
    <t>Раздел 2. Фундаменты  под опоры (135шт)</t>
  </si>
  <si>
    <t>ФЕР08-01-002-02</t>
  </si>
  <si>
    <t>Устройство основания под фундаменты: щебеночного</t>
  </si>
  <si>
    <t>5,27</t>
  </si>
  <si>
    <t>1,15</t>
  </si>
  <si>
    <t>6,0605</t>
  </si>
  <si>
    <t>5,599375</t>
  </si>
  <si>
    <t>0,461125</t>
  </si>
  <si>
    <t>ФССЦ-02.2.05.05-0005</t>
  </si>
  <si>
    <t>Щебень из пористых горных пород, фракция: 20-40 мм</t>
  </si>
  <si>
    <t>Объем=5,27*1,15</t>
  </si>
  <si>
    <t>0,4509</t>
  </si>
  <si>
    <t>Объем=45,09 / 100</t>
  </si>
  <si>
    <t>45,9918</t>
  </si>
  <si>
    <t>76,089375</t>
  </si>
  <si>
    <t>10,212885</t>
  </si>
  <si>
    <t>Итоги по разделу 2 Фундаменты  под опоры (135шт) :</t>
  </si>
  <si>
    <t xml:space="preserve">  Итого по разделу 2 Фундаменты  под опоры (135шт)</t>
  </si>
  <si>
    <t>Раздел 3. Оборудование</t>
  </si>
  <si>
    <t>ФЕРм08-03-571-04</t>
  </si>
  <si>
    <t>Щит заводского изготовления однорядный или двухрядный: шкафного исполнения, глубина до 600 мм</t>
  </si>
  <si>
    <t>1,155</t>
  </si>
  <si>
    <t>ТЦ_62.5.03.04_78_7808011951_01.03.1_01 ТЦ_6 Том 11.4, стр.42 п.135</t>
  </si>
  <si>
    <t>Вводное распределительное устройство IP31, навесной, с шиной N изолированной от корпуса щита; с шиной РЕ изолированной от корпуса щита; в щите на DIN-рейке установить: вводной трехполюсный автоматический выключатель ВА88-33 Iном.= 200А – 1 шт.; трансформаторы тока ТШП-0,66 200/5А, кл. точ. 0.5S – 3 шт.; электронный счетчик электрической энергии Меркурий 234 АRTМ2-03 PBG, 3х230/400В, 5(10)А, кл. точ. 0.5S/1.0 – 1 шт.; измерительная клеммная коробка (ИКК) – 1 шт.; на отходящих линиях: трехполюсный автоматический выключатель ВА 88-32, Iном. = 125A – 1 шт., трехполюсный автоматический выключатель ВА47-60М, характеристика С, Iном. = 63 A – 2 шт., Iном. = 50 A – 1 шт., Iном. = 32 A – 1 шт., Iном. = 25 A – 8 шт., Iном. = 20 A – 1 шт., Iном. = 16 A – 1 шт., однополюсный автоматический выключатель характеристика С Iном. = 20 A – 1 шт., Iном. = 16 A – 2 шт., Iном. = 6 A – 6 шт.,ЩРн-72з-1, см. лист 1 габариты (540х600х120)</t>
  </si>
  <si>
    <t>Объем=(2*3+1*3+3*3+5*2+5*6) / 100</t>
  </si>
  <si>
    <t>11,20125</t>
  </si>
  <si>
    <t>0,0145</t>
  </si>
  <si>
    <t>ФЕРм08-03-574-03</t>
  </si>
  <si>
    <t>Разводка по устройствам и подключение жил кабелей или проводов сечением: до 35 мм2</t>
  </si>
  <si>
    <t>Объем=(2*5+2*5) / 100</t>
  </si>
  <si>
    <t>33,49</t>
  </si>
  <si>
    <t>8,3725</t>
  </si>
  <si>
    <t>Объем=(1*5+1*5) / 100</t>
  </si>
  <si>
    <t>5,02125</t>
  </si>
  <si>
    <t>0,0075</t>
  </si>
  <si>
    <t>ФЕРм08-03-574-07</t>
  </si>
  <si>
    <t>Разводка по устройствам и подключение жил кабелей или проводов сечением: до 150 мм2</t>
  </si>
  <si>
    <t>Объем=(2*4) / 100</t>
  </si>
  <si>
    <t>67,98</t>
  </si>
  <si>
    <t>6,798</t>
  </si>
  <si>
    <t>ФЕРм08-03-573-05</t>
  </si>
  <si>
    <t>Шкаф (пульт) управления навесной, высота, ширина и глубина: до 900х600х500 мм</t>
  </si>
  <si>
    <t>0,5875</t>
  </si>
  <si>
    <t>ТЦ_62.5.03.04_78_7808011951_01.03.2021_01Том 11.4 Том 11.4,стр.106, п.383</t>
  </si>
  <si>
    <t>Щит наружного освещения, IP31, навесной, с шиной N изолированной от корпуса щита; с шиной РЕ изолированной от корпуса щита; в щите на DIN-рейке установить: вводной четырехполюсный дифференциальный автоматический выключатель АВДТ32ЕМ, характеристика С, 100мА, Iном. = 25 A – 1 шт., на отходящих линиях: трехполюсный автоматический выключатель ВА47-60М, характеристика С, Iном. = 10 A – 2 шт., Iном. = 6 A – 5 шт., однополюсный автоматический выключатель характеристика С Iном. = 6 A – 1 шт., трехполюсный контактор Iном. = 16 A – 7 шт. габариты (715х370х135 мм)</t>
  </si>
  <si>
    <t>Объем=(1*3+4*5+2*5+1*5) / 100</t>
  </si>
  <si>
    <t>7,33875</t>
  </si>
  <si>
    <t>0,0095</t>
  </si>
  <si>
    <t>ФЕРм08-03-574-08</t>
  </si>
  <si>
    <t>Разводка по устройствам и подключение жил кабелей или проводов сечением: до 185 мм2</t>
  </si>
  <si>
    <t>76,22</t>
  </si>
  <si>
    <t>7,622</t>
  </si>
  <si>
    <t>Итоги по разделу 3 Оборудование :</t>
  </si>
  <si>
    <t xml:space="preserve">  Итого по разделу 3 Оборудование</t>
  </si>
  <si>
    <t>Раздел 4. Монтажные работы</t>
  </si>
  <si>
    <t>ФЕР33-05-008-01</t>
  </si>
  <si>
    <t>Установка опор наружного освещения композитных фланцевых</t>
  </si>
  <si>
    <t>Объем=45+36+54</t>
  </si>
  <si>
    <t>07.2.02.01</t>
  </si>
  <si>
    <t>Закладная деталь фундамента</t>
  </si>
  <si>
    <t>07.4.03.12</t>
  </si>
  <si>
    <t>Опора наружного освещения композитная с фланцевым соединением</t>
  </si>
  <si>
    <t>239,625</t>
  </si>
  <si>
    <t>101,25</t>
  </si>
  <si>
    <t>ТЦ_05.1.05.14_77_7734647080_01.03.2021_01 Том 11.4,стр.45, п.148</t>
  </si>
  <si>
    <t>Фундамент под опору ФМ  0,219-2,5</t>
  </si>
  <si>
    <t>ТЦ_05.1.05.14_77_7734647080_01.03.2021_01 Том 11.4, стр.47,п.153</t>
  </si>
  <si>
    <t>Фундамент под опору  ФМ 0,169-2,5</t>
  </si>
  <si>
    <t>ТЦ_07.4.03.12_77_7734647080_01.03.2021_01 Том 11.4 стр.45, п.147</t>
  </si>
  <si>
    <t>Опора освещения ОГК-0,4-12 метров</t>
  </si>
  <si>
    <t>ТЦ_07.4.03.12_77_7734647080_01.03.2021_01 Том 11.4,стр.46,п.150</t>
  </si>
  <si>
    <t>Опора освещения ОГК-0,4- 8 метров</t>
  </si>
  <si>
    <t>ТЦ_07.4.03.12_77_7734647080_01.03.2021_01 Том 11.4,стр.46,п.152</t>
  </si>
  <si>
    <t>Опора освещения ОГК-0,4-6 метров</t>
  </si>
  <si>
    <t>ФЕРм08-03-596-05</t>
  </si>
  <si>
    <t>Прожектор, отдельно устанавливаемый: на кронштейне, установленном на опоре, с лампой мощностью 500 Вт</t>
  </si>
  <si>
    <t>Объем=(45+90) / 100</t>
  </si>
  <si>
    <t>276,8</t>
  </si>
  <si>
    <t>467,1</t>
  </si>
  <si>
    <t>92,58</t>
  </si>
  <si>
    <t>156,22875</t>
  </si>
  <si>
    <t>ТЦ_20.3.03.07_78_7815877921_01.03.2021_01 Том 11.4 стр.56, п.189</t>
  </si>
  <si>
    <t>Светильник светодиодный консольный, мощностью 200 Вт, IP67, 4000 К, КСС – Д, 32000 лм IS-DL-Viko-V3.0-200
(D120 32000 7540 L IP67)</t>
  </si>
  <si>
    <t>ТЦ_20.3.03.07_78_7815877921_01.03.2021_01 Том 11.4 стр.55, п.188</t>
  </si>
  <si>
    <t>Светильник светодиодный консольный, мощностью 50 Вт, IP67, 4000 К, КСС – Д, 6750 лм IS-DL-Street-50
(W135xD55 6750 7540 C IP67</t>
  </si>
  <si>
    <t>ТЦ_20.2.06.05_77_7734647080_01.03.2021_01 Том 11.4 стр.47, п.154</t>
  </si>
  <si>
    <t>Кронштейн для светильника  К1(15)-1,5-1,5-9-1</t>
  </si>
  <si>
    <t>ТЦ_20.2.06.05_77_7734647080_01.03.2021_01 Том 11.4 стр.47, п.155</t>
  </si>
  <si>
    <t>Кронштейн для светильника  К2-1,5-1,5-9-180</t>
  </si>
  <si>
    <t>ТЦ_20.2.06.05_77_7734647080_01.03.2021_01 Том 11.4, стр.79,п.284</t>
  </si>
  <si>
    <t>Кронштейн для светильника  К61-0,2-1,0-1,0</t>
  </si>
  <si>
    <t>ФЕРм08-02-231-01</t>
  </si>
  <si>
    <t>Прокладка труб гофрированных ПВХ в земле для защиты одного кабеля диаметром: 50 мм</t>
  </si>
  <si>
    <t>63,65</t>
  </si>
  <si>
    <t>Объем=6365 / 100</t>
  </si>
  <si>
    <t>4,42</t>
  </si>
  <si>
    <t>351,66625</t>
  </si>
  <si>
    <t>1,59125</t>
  </si>
  <si>
    <t>ФССЦ-24.3.03.13-0414</t>
  </si>
  <si>
    <t>Трубы напорные полиэтиленовые, среднего типа, ПНД, номинальный наружный диаметр 50 мм</t>
  </si>
  <si>
    <t>6492,3</t>
  </si>
  <si>
    <t>Объем=6365*1,02</t>
  </si>
  <si>
    <t>ФЕРм08-02-231-05</t>
  </si>
  <si>
    <t>Прокладка труб гофрированных ПВХ в земле для защиты одного кабеля диаметром: 110 мм</t>
  </si>
  <si>
    <t>18,09</t>
  </si>
  <si>
    <t>Объем=1809 / 100</t>
  </si>
  <si>
    <t>6,44</t>
  </si>
  <si>
    <t>145,6245</t>
  </si>
  <si>
    <t>1,35675</t>
  </si>
  <si>
    <t>ФССЦ-24.3.03.13-0418</t>
  </si>
  <si>
    <t>Труба напорная полиэтиленовая ПНД, среднего типа, диаметр 110 мм</t>
  </si>
  <si>
    <t>1845,18</t>
  </si>
  <si>
    <t>Объем=1809*1,02</t>
  </si>
  <si>
    <t>345,51</t>
  </si>
  <si>
    <t>Объем=314,1*1,1</t>
  </si>
  <si>
    <t>ФССЦ-24.3.01.02-0024</t>
  </si>
  <si>
    <t>Трубы из самозатухающего ПВХ гибкие гофрированные, легкие, с зондом, номинальный внутренний диаметр 32 мм</t>
  </si>
  <si>
    <t>ФЕРм08-02-407-08</t>
  </si>
  <si>
    <t>Труба стальная по установленным конструкциям, в готовых бороздах, по основанию пола, диаметр: до 50 мм</t>
  </si>
  <si>
    <t>22,72</t>
  </si>
  <si>
    <t>4,544</t>
  </si>
  <si>
    <t>0,292</t>
  </si>
  <si>
    <t>ФССЦ-23.3.06.06-0006</t>
  </si>
  <si>
    <t>Трубы стальные сварные водогазопроводные с резьбой черные усиленные (неоцинкованные), диаметр условного прохода: 50 мм, толщина стенки 4,5 мм</t>
  </si>
  <si>
    <t>16,32</t>
  </si>
  <si>
    <t>Объем=16*1,02</t>
  </si>
  <si>
    <t>Кабель до 35 кВ в проложенных трубах, блоках и коробах, масса 1 м кабеля: до 1 кг</t>
  </si>
  <si>
    <t>57,55</t>
  </si>
  <si>
    <t>Объем=(1326+315+231+534+2099+1230+20) / 100</t>
  </si>
  <si>
    <t>713,62</t>
  </si>
  <si>
    <t>28,775</t>
  </si>
  <si>
    <t>ФЕРм08-02-148-02</t>
  </si>
  <si>
    <t>Кабель до 35 кВ в проложенных трубах, блоках и коробах, масса 1 м кабеля: до 2 кг</t>
  </si>
  <si>
    <t>22,05</t>
  </si>
  <si>
    <t>Объем=(7+2198) / 100</t>
  </si>
  <si>
    <t>14,64</t>
  </si>
  <si>
    <t>403,515</t>
  </si>
  <si>
    <t>11,025</t>
  </si>
  <si>
    <t>ФЕРм08-02-148-03</t>
  </si>
  <si>
    <t>Кабель до 35 кВ в проложенных трубах, блоках и коробах, масса 1 м кабеля: до 3 кг</t>
  </si>
  <si>
    <t>Объем=(271+639) / 100</t>
  </si>
  <si>
    <t>18,56</t>
  </si>
  <si>
    <t>211,12</t>
  </si>
  <si>
    <t>4,55</t>
  </si>
  <si>
    <t>ФЕРм08-02-148-04</t>
  </si>
  <si>
    <t>Кабель до 35 кВ в проложенных трубах, блоках и коробах, масса 1 м кабеля: до 6 кг</t>
  </si>
  <si>
    <t>Объем=(140+7) / 100</t>
  </si>
  <si>
    <t>23,04</t>
  </si>
  <si>
    <t>42,336</t>
  </si>
  <si>
    <t>0,735</t>
  </si>
  <si>
    <t>ФЕРм08-02-148-06</t>
  </si>
  <si>
    <t>Кабель до 35 кВ в проложенных трубах, блоках и коробах, масса 1 м кабеля: до 13 кг</t>
  </si>
  <si>
    <t>8,86</t>
  </si>
  <si>
    <t>Объем=886 / 100</t>
  </si>
  <si>
    <t>36,56</t>
  </si>
  <si>
    <t>404,902</t>
  </si>
  <si>
    <t>4,43</t>
  </si>
  <si>
    <t>1,35252</t>
  </si>
  <si>
    <t>Объем=(1326*1,02) / 1000</t>
  </si>
  <si>
    <t>ФССЦ-21.1.06.09-0181</t>
  </si>
  <si>
    <t>Кабель силовой с медными жилами ВВГнг(A)-LS 5х25-660</t>
  </si>
  <si>
    <t>0,00714</t>
  </si>
  <si>
    <t>Объем=(7*1,02) / 1000</t>
  </si>
  <si>
    <t>ФССЦ-21.1.06.09-0184</t>
  </si>
  <si>
    <t>Кабель силовой с медными жилами ВВГнг-LS 5х70-660</t>
  </si>
  <si>
    <t>ФССЦ-21.1.06.09-0197</t>
  </si>
  <si>
    <t>Кабель силовой с медными жилами ВБбШв 3х4-660</t>
  </si>
  <si>
    <t>0,3213</t>
  </si>
  <si>
    <t>Объем=(315*1,02) / 1000</t>
  </si>
  <si>
    <t>ФССЦ-21.1.06.09-0199</t>
  </si>
  <si>
    <t>Кабель силовой с медными жилами ВБбШв 3х6-660</t>
  </si>
  <si>
    <t>0,24255</t>
  </si>
  <si>
    <t>Объем=(231*1,05) / 1000</t>
  </si>
  <si>
    <t>ФССЦ-21.1.06.09-0201</t>
  </si>
  <si>
    <t>Кабель силовой с медными жилами ВБбШв 3х10-660</t>
  </si>
  <si>
    <t>0,54468</t>
  </si>
  <si>
    <t>Объем=(534*1,02) / 1000</t>
  </si>
  <si>
    <t>ФССЦ-21.1.06.09-0213</t>
  </si>
  <si>
    <t>Кабель силовой с медными жилами ВБбШв 5х4-660</t>
  </si>
  <si>
    <t>2,14098</t>
  </si>
  <si>
    <t>Объем=(2099*1,02) / 1000</t>
  </si>
  <si>
    <t>ФССЦ-21.1.06.09-0214</t>
  </si>
  <si>
    <t>Кабель силовой с медными жилами ВБбШв 5х6-660</t>
  </si>
  <si>
    <t>1,2546</t>
  </si>
  <si>
    <t>Объем=(1230*1,02) / 1000</t>
  </si>
  <si>
    <t>ТЦ_21.1.07.04_78_7804526950_01.03.2021_01 Том 11.4, стр.80, п.285</t>
  </si>
  <si>
    <t>Кабель силовой с медными жилами ВБбШв 5х10-660</t>
  </si>
  <si>
    <t>2241,96</t>
  </si>
  <si>
    <t>Объем=2198*1,02</t>
  </si>
  <si>
    <t>ТЦ_21.1.06.09_78_7804526950_01.03.2021_01 Том 11.4 стр.47, п.156</t>
  </si>
  <si>
    <t>Кабель силовой с медными жилами ВБбШвнг 5х25-660</t>
  </si>
  <si>
    <t>276,42</t>
  </si>
  <si>
    <t>Объем=271*1,02</t>
  </si>
  <si>
    <t>ТЦ_21.1.07.04_78_7804526950_01.03.2021_01 Том 11.4, стр.80, п.286</t>
  </si>
  <si>
    <t>Кабель силовой с медными жилами ВБбШвнг 5х35-660</t>
  </si>
  <si>
    <t>651,78</t>
  </si>
  <si>
    <t>Объем=639*1,02</t>
  </si>
  <si>
    <t>ТЦ_21.1.07.04_78_7804526950_01.03.2021_01 Том 11.4,  стр.80, п.287</t>
  </si>
  <si>
    <t>Кабель силовой с медными жилами ВБбШвнг 5х50-660</t>
  </si>
  <si>
    <t>142,8</t>
  </si>
  <si>
    <t>Объем=140*1,02</t>
  </si>
  <si>
    <t>ТЦ_21.1.07.05_78_7804526950_01.03.2021_01 Том 11.4,  стр.109, п.394</t>
  </si>
  <si>
    <t>Кабель силовой с медными жилами ВБбШвнг 4х185-660</t>
  </si>
  <si>
    <t>903,72</t>
  </si>
  <si>
    <t>Объем=886*1,02</t>
  </si>
  <si>
    <t>ТЦ_21.1.08.00_78_7804526950_01.03.2021_01 Том 11.4,стр.81, п.289</t>
  </si>
  <si>
    <t>Кабель контрольный КВВГнг(А)-LS-1  3х2,5</t>
  </si>
  <si>
    <t>Объем=135 / 100</t>
  </si>
  <si>
    <t>54,27</t>
  </si>
  <si>
    <t>Провод силовой установочный с медными жилами ПВ3 6-450 (прим.ПуГВ1х6)</t>
  </si>
  <si>
    <t>0,1377</t>
  </si>
  <si>
    <t>Объем=(135*1,02) / 1000</t>
  </si>
  <si>
    <t>ФЕРм08-02-163-01</t>
  </si>
  <si>
    <t>Заделка концевая с термоусаживающимися полиэтиленовыми перчатками для 3-5-жильного кабеля с бумажной изоляцией напряжением до 1 кВ, сечение одной жилы: до 35 мм2</t>
  </si>
  <si>
    <t>13,75</t>
  </si>
  <si>
    <t>ТЦ_20.2.09.00_78_7804526950_01.03.2021_01 Том 11.4, стр.81, п.290</t>
  </si>
  <si>
    <t>Кабельная концевая муфта 5ПКТп-1-25/50(Б) нг-LS</t>
  </si>
  <si>
    <t>ФЕРм08-02-163-02</t>
  </si>
  <si>
    <t>Заделка концевая с термоусаживающимися полиэтиленовыми перчатками для 3-5-жильного кабеля с бумажной изоляцией напряжением до 1 кВ, сечение одной жилы: до 120 мм2</t>
  </si>
  <si>
    <t>1,38</t>
  </si>
  <si>
    <t>ТЦ_20.2.09.00_78_7804526950_01.03.2021_01 Том 11.4 стр.81, п.291</t>
  </si>
  <si>
    <t>Кабельная концевая муфта 5ПКТп-1-70/120(Б) нг-LS</t>
  </si>
  <si>
    <t>ФЕРм08-02-163-03</t>
  </si>
  <si>
    <t>Заделка концевая с термоусаживающимися полиэтиленовыми перчатками для 3-5-жильного кабеля с бумажной изоляцией напряжением до 1 кВ, сечение одной жилы: до 240 мм2</t>
  </si>
  <si>
    <t>1,6</t>
  </si>
  <si>
    <t>ТЦ_20.2.09.00_78_7804526950_01.03.2021_01 Том 11.4 стр.81, п.292</t>
  </si>
  <si>
    <t>Кабельная концевая муфта  4КВНТп-1-150/240(Б) нг-LS</t>
  </si>
  <si>
    <t>20,425</t>
  </si>
  <si>
    <t>ФССЦ-14.2.02.05-0001</t>
  </si>
  <si>
    <t>Мастика огнезащитная (прим. МГКП)</t>
  </si>
  <si>
    <t>41,86</t>
  </si>
  <si>
    <t>ФЕРм08-02-144-02</t>
  </si>
  <si>
    <t>Присоединение к зажимам жил проводов или кабелей сечением: до 6 мм2</t>
  </si>
  <si>
    <t>4,05</t>
  </si>
  <si>
    <t>Объем=(135+135+135) / 100</t>
  </si>
  <si>
    <t>10,4</t>
  </si>
  <si>
    <t>52,65</t>
  </si>
  <si>
    <t>ТЦ_20.5.02.02_78_7804526950_01.03.2021_01 Том 11.4, стр 49, п.162</t>
  </si>
  <si>
    <t>Клемный блок КЕ 61.03.</t>
  </si>
  <si>
    <t>ТЦ_20.5.02.02_78_7804526950_01.03.2021_01 Том 11.4 ,стр 49,п.163</t>
  </si>
  <si>
    <t>Клемный блок на нулевую жилу КЕ61.2</t>
  </si>
  <si>
    <t>ТЦ_20.5.02.02_78_7804526950_01.03.2021_01 Том 11.4, стр 49, п.164</t>
  </si>
  <si>
    <t>Клемный блок на  жилу заземления  КЕ61.3</t>
  </si>
  <si>
    <t>ФЕРм08-03-575-01</t>
  </si>
  <si>
    <t>Прибор или аппарат</t>
  </si>
  <si>
    <t>173,8125</t>
  </si>
  <si>
    <t>ТЦ_62.1.01.04_78_7804526950_01.03.2021_01 Том 11.4,стр 50, п.165</t>
  </si>
  <si>
    <t>Автоматический выключатель 1-но полюсный 10 А ВА 47-60М</t>
  </si>
  <si>
    <t>Объем=(135+135) / 100</t>
  </si>
  <si>
    <t>ФЕРм08-02-397-01</t>
  </si>
  <si>
    <t>Профиль перфорированный монтажный длиной 2 м</t>
  </si>
  <si>
    <t>Объем=(0,2*135) / 100</t>
  </si>
  <si>
    <t>8,56</t>
  </si>
  <si>
    <t>2,889</t>
  </si>
  <si>
    <t>2,27</t>
  </si>
  <si>
    <t>0,766125</t>
  </si>
  <si>
    <t>ФССЦ-20.2.08.01-0001</t>
  </si>
  <si>
    <t>DIN-рейка металлическая ТН 35/7,5 длина 260 мм</t>
  </si>
  <si>
    <t>Объем=1135 / 100</t>
  </si>
  <si>
    <t>Итоги по разделу 4 Монтажные работы :</t>
  </si>
  <si>
    <t xml:space="preserve">  Итого по разделу 4 Монтажные работы</t>
  </si>
  <si>
    <t>Строительный песок</t>
  </si>
  <si>
    <t>Калькуляция №1 Раздел 1</t>
  </si>
  <si>
    <t>Перевозка материалов автомобилями-самосвалами автомобилем гп 10 т на расстояние L=135 км от  Малкинского песчаного карьерера до площадки строительства за исключением 30 км, учтенных в СНБ (итого: 105 км),  I класс груза</t>
  </si>
  <si>
    <t>518,265</t>
  </si>
  <si>
    <t>Объем=314,1*1,5*1,1</t>
  </si>
  <si>
    <t>Доставка кабеля</t>
  </si>
  <si>
    <t>Калькуляция №1 раздел 4</t>
  </si>
  <si>
    <t>2,464</t>
  </si>
  <si>
    <t>Объем=0,252+0,013+0,028+0,145+0,136+0,404+0,927+0,559</t>
  </si>
  <si>
    <t>Калькуляция №1 раздел 2</t>
  </si>
  <si>
    <t>Трубы для кабельной канализации</t>
  </si>
  <si>
    <t>Калькуляция №1 раздел 3</t>
  </si>
  <si>
    <t>65,593</t>
  </si>
  <si>
    <t>Объем=27,917+37,642+0,034</t>
  </si>
  <si>
    <t>0,099</t>
  </si>
  <si>
    <t>РАСЧЕТ № 09-01-01</t>
  </si>
  <si>
    <t xml:space="preserve">  Производственный экологический контроль и мониторинг</t>
  </si>
  <si>
    <t>АО "Курорты Северного Кавказа"</t>
  </si>
  <si>
    <t>Генподрядчик:</t>
  </si>
  <si>
    <t>ООО «НКД»</t>
  </si>
  <si>
    <t>Основание:</t>
  </si>
  <si>
    <t>Обоснование:</t>
  </si>
  <si>
    <t>Составлен в базисном уровне цен на 01.01.2000 г. с переводов в текущие цены по состоянию на 2 квартал 2021 г.</t>
  </si>
  <si>
    <t>№№</t>
  </si>
  <si>
    <t>Наименование затрат</t>
  </si>
  <si>
    <t>Примечания:</t>
  </si>
  <si>
    <t>Всего затрат, в ценах на 01.01.2000г.</t>
  </si>
  <si>
    <t>Всего затрат, в текущих ценах:</t>
  </si>
  <si>
    <t>письмо Минстроя РФ от 20.05.2021 N 20800-ИФ/09 для объектов непроизводственного назначения К= 12,14</t>
  </si>
  <si>
    <t>Составил: ___________________________ Ярулина В.К.</t>
  </si>
  <si>
    <t>(должность, подпись, расшифровка)</t>
  </si>
  <si>
    <t>Проверил: ___________________________ Книгель В.В.</t>
  </si>
  <si>
    <t>РАСЧЕТ № 09-02-01</t>
  </si>
  <si>
    <t xml:space="preserve">           Плата за негативное воздействие на окружающую среду на период строительства</t>
  </si>
  <si>
    <t>Расчет платы за размещение отходов на период строительства</t>
  </si>
  <si>
    <t>Всего затрат в ценах на 01.01.2000г.:</t>
  </si>
  <si>
    <t>РАСЧЕТ № 09-03-01</t>
  </si>
  <si>
    <t xml:space="preserve">Расходы на командировки рабочих, привлекаемых для строительства </t>
  </si>
  <si>
    <t>Д-ДРП-20-016-ПОС</t>
  </si>
  <si>
    <t>ст. №168 Трудового кодекса РФ</t>
  </si>
  <si>
    <t>Затраты на перевозку работников к месту командирования и обратно</t>
  </si>
  <si>
    <t>Ед изм.</t>
  </si>
  <si>
    <t>Стоимость проезда  автовокзал г. Пятигорск - г. Баксан</t>
  </si>
  <si>
    <t>Продолжительность строительства</t>
  </si>
  <si>
    <t>мес.</t>
  </si>
  <si>
    <t>Кол-во рабочих, необходимых для выполнения строительно-монтажных работ согласно ПОС</t>
  </si>
  <si>
    <t>чел</t>
  </si>
  <si>
    <t>Количество перевозок в 1 месяц от г. Пятигорск до г. Баксан</t>
  </si>
  <si>
    <t>туда и обратно</t>
  </si>
  <si>
    <t>Стоимость проезда  автовокзал г. Пятигорск - г. Баксан (рейсовый автобус) на 1 человека</t>
  </si>
  <si>
    <t>Д-ДРП-20-016-СМ4, с.168</t>
  </si>
  <si>
    <t>руб.</t>
  </si>
  <si>
    <t>Стоимость проезда  автовокзал г. Пятигорск - г. Баксан (рейсовый автобус) всех командированных работников в ценах на 01.01.2000г.</t>
  </si>
  <si>
    <t>Стоимость проезда  автовокзал г.Баксан - с. Эльбрус</t>
  </si>
  <si>
    <t>Расстояние перевозки от г. Баксан до с. Эльбрус</t>
  </si>
  <si>
    <t>Д-ДРП-20-016-ПОС, транспортная схема</t>
  </si>
  <si>
    <t>вместимость автобуса</t>
  </si>
  <si>
    <t>Необходимое количество автобусов в 1 месяц</t>
  </si>
  <si>
    <t>19/30=0,6</t>
  </si>
  <si>
    <t>ед.</t>
  </si>
  <si>
    <t xml:space="preserve">Итого рейсов </t>
  </si>
  <si>
    <t>1 авт*2 (туда и обратно)*18,2 мес</t>
  </si>
  <si>
    <t>Скорость передвижения автобуса в горах - 30 км/час, по равнинной местности - 60 км/час .</t>
  </si>
  <si>
    <t>(50% пути со скоростью 60 км /час, 50 % пути со скоростью 30 км/час) (0,5*60+0,5*30)=45</t>
  </si>
  <si>
    <t>км\час</t>
  </si>
  <si>
    <t>Время автобуса в пути за 1 рейс с учетом времени сбора рабочих</t>
  </si>
  <si>
    <t>(100/45+0,2)</t>
  </si>
  <si>
    <t>час.</t>
  </si>
  <si>
    <t>Стоимость маш-часа работы (прим.)</t>
  </si>
  <si>
    <t>(ФСЭМ-91.13.03-011)</t>
  </si>
  <si>
    <t>руб/маш-час</t>
  </si>
  <si>
    <t>в том числе заработная плата водителя</t>
  </si>
  <si>
    <t>руб/маш/час</t>
  </si>
  <si>
    <t xml:space="preserve">Итого стоимость 1 маш\часа работы автобуса </t>
  </si>
  <si>
    <t>Затраты на проезд г.Баксан - с. Эльбрус (дежурный автобус) в ценах на 01.01.2000г.</t>
  </si>
  <si>
    <t>Стоимость проезда с.Эльбрус - площадка строительства (всех рабочих)</t>
  </si>
  <si>
    <t>Расстояние перевозки от с. Эльбрус до площадки строительства</t>
  </si>
  <si>
    <t>Необходимое количество автобусов в 1 день</t>
  </si>
  <si>
    <t>62/30=2,1</t>
  </si>
  <si>
    <t>2 авт*2 (туда и обратно)*546 дней</t>
  </si>
  <si>
    <t>(13/30+0,2)</t>
  </si>
  <si>
    <t>Всего затрат, связанных с перевозкой работников в ценах на 01.01.2000г.</t>
  </si>
  <si>
    <t>Всего затрат, связанных с перевозкой работников в текущих ценах</t>
  </si>
  <si>
    <t xml:space="preserve">Затраты на оплату проживания и суточные работников </t>
  </si>
  <si>
    <t>Работы ведутся в 2 смены/сутки.  Продолжительность смены</t>
  </si>
  <si>
    <t>час/см</t>
  </si>
  <si>
    <t>Срок выполнения работ  согласно ПОС - 18,2 месяца, 546 календарных дней</t>
  </si>
  <si>
    <t>дни</t>
  </si>
  <si>
    <t>Число командированных рабочих</t>
  </si>
  <si>
    <t xml:space="preserve">Затраты, связанные с проживанием   на 1чел. в 1день </t>
  </si>
  <si>
    <t xml:space="preserve">Постановление Правительства РФ от 02.10.2002 N 729     </t>
  </si>
  <si>
    <t xml:space="preserve">Суточные расходы  на 1чел. в 1день </t>
  </si>
  <si>
    <t>Всего затрат на командировки рабочих и пусконаладочного персонала в текущем уровне цен 2 кв.2021г.</t>
  </si>
  <si>
    <t>Всего затрат, связанных с выплатой суточных и проживанием в уровне цен на 01.01.2000г.</t>
  </si>
  <si>
    <t>ИТОГО расходы на командировки рабочих и пусконаладочного персонала, привлекаемых для строительства в  уровне цен на 01.01.2000г.</t>
  </si>
  <si>
    <t>ИТОГО расходы на командировки рабочих и пусконаладочного персонала, привлекаемых для строительства в текущем уровне цен 2кв.2021г.</t>
  </si>
  <si>
    <t>Электроснабжение. Пусконаладочные работы.</t>
  </si>
  <si>
    <t>ОБЪЕКТНЫЙ СМЕТНЫЙ РАСЧЕТ (СМЕТА) № ОС-09-04</t>
  </si>
  <si>
    <t>09-04-01</t>
  </si>
  <si>
    <t>ПНР. Внутриплощадочные сети 0,4кВ</t>
  </si>
  <si>
    <t>09-04-02</t>
  </si>
  <si>
    <t>Пусконаладочные работы. БКТП</t>
  </si>
  <si>
    <t>ЛОКАЛЬНЫЙ СМЕТНЫЙ РАСЧЕТ (СМЕТА) № 09-04-01</t>
  </si>
  <si>
    <t>Д-ДРП-20-016-ИОС1.2</t>
  </si>
  <si>
    <t>Раздел 1. Пусконаладочные работы</t>
  </si>
  <si>
    <t>Кабельные линии 0,4</t>
  </si>
  <si>
    <t>ФЕРп01-11-024-01</t>
  </si>
  <si>
    <t>Фазировка электрической линии или трансформатора с сетью напряжением: до 1 кВ</t>
  </si>
  <si>
    <t>Пусконаладочные работы: 'вхолостую' - 80% ПЗ=0,8 (ОЗП=0,8; ЭМ=0,8; ЗПМ=0,8; МАТ=0,8; ТЗ=0,8; ТЗМ=0,8)</t>
  </si>
  <si>
    <t>0,82</t>
  </si>
  <si>
    <t>Приказ Минстроя России № 812/пр от 21.12.2020 Прил. п.83</t>
  </si>
  <si>
    <t>НР Пусконаладочные работы: 'вхолостую' - 80%, 'под нагрузкой' - 20%</t>
  </si>
  <si>
    <t>Приказ Минстроя России № 774/пр от 11.12.2020 Прил. п.83</t>
  </si>
  <si>
    <t>СП Пусконаладочные работы: 'вхолостую' - 80%, 'под нагрузкой' - 20%</t>
  </si>
  <si>
    <t>ФЕРп01-11-028-01</t>
  </si>
  <si>
    <t>Измерение сопротивления изоляции (на линию) мегаомметром кабельных и других линий напряжением до 1 кВ, предназначенных для передачи электроэнергии к распределительным устройствам, щитам, шкафам, коммутационным аппаратам и электропотребителям</t>
  </si>
  <si>
    <t>ФЕРп01-12-027-07</t>
  </si>
  <si>
    <t>Испытание кабеля силового длиной до 500 м напряжением до 1 кВ</t>
  </si>
  <si>
    <t>испытание</t>
  </si>
  <si>
    <t>2,43</t>
  </si>
  <si>
    <t xml:space="preserve">     Прочие затраты</t>
  </si>
  <si>
    <t xml:space="preserve">          Пусконаладочные работы</t>
  </si>
  <si>
    <t>ЛОКАЛЬНЫЙ СМЕТНЫЙ РАСЧЕТ (СМЕТА) № 09-04-02</t>
  </si>
  <si>
    <t>БКТП</t>
  </si>
  <si>
    <t>ФЕРп01-02-002-01</t>
  </si>
  <si>
    <t>Трансформатор силовой трехфазный масляный двухобмоточный напряжением: до 11 кВ, мощностью до 0,32 МВА</t>
  </si>
  <si>
    <t>6,3</t>
  </si>
  <si>
    <t>ФЕРп01-02-017-02</t>
  </si>
  <si>
    <t>Трансформатор тока измерительный выносной напряжением: до 11 кВ, с твердой изоляцией</t>
  </si>
  <si>
    <t>ФЕРп01-03-002-06</t>
  </si>
  <si>
    <t>Выключатель трехполюсный напряжением до 1 кВ с: электромагнитным, тепловым или комбинированным расцепителем, номинальный ток до 600 А</t>
  </si>
  <si>
    <t>ФЕРп01-05-025-03</t>
  </si>
  <si>
    <t>Устройство измерения и фиксации аварийных значений тока и напряжения</t>
  </si>
  <si>
    <t>ФЕРп01-10-002-01</t>
  </si>
  <si>
    <t>Схема образования участка сигнализации (центральной, технологической, местной, аварийной, предупредительной и др.)</t>
  </si>
  <si>
    <t>23,49</t>
  </si>
  <si>
    <t>ФЕРп01-11-010-02</t>
  </si>
  <si>
    <t>Измерение сопротивления растеканию тока: контура с диагональю до 20 м</t>
  </si>
  <si>
    <t>измерение</t>
  </si>
  <si>
    <t>ФЕРп01-11-024-02</t>
  </si>
  <si>
    <t>Фазировка электрической линии или трансформатора с сетью напряжением: свыше 1 кВ</t>
  </si>
  <si>
    <t>РАСЧЕТ № 09-05-01</t>
  </si>
  <si>
    <t>КП ООО "Экологистика", Том 9.4, с.161</t>
  </si>
  <si>
    <t>РАСЧЕТ № 09-06-01</t>
  </si>
  <si>
    <t>Договор с ООО "ПЭС" (исх.№31 от 12.02.2021 г.)</t>
  </si>
  <si>
    <t>Всего затрат, на 01.01.2000г.</t>
  </si>
  <si>
    <t>Всего затрат, в текущих ценах</t>
  </si>
  <si>
    <t>«Адепт: Проект в 13.4» © ООО «Адепт»</t>
  </si>
  <si>
    <t>ОБЪЕКТНЫЙ СМЕТНЫЙ РАСЧЕТ № 09-07</t>
  </si>
  <si>
    <t>(Объектная смета)</t>
  </si>
  <si>
    <t>Всесезонный туристско-рекреационный комплекс "Эльбрус", Кабардино-Балкарская Республика. Открытая плоскостная парковка на 800 машино/мест.</t>
  </si>
  <si>
    <t>Поготовка технического плана инженерного сооружения</t>
  </si>
  <si>
    <t>Заказчик</t>
  </si>
  <si>
    <t>(наименование организации)</t>
  </si>
  <si>
    <t>Изыскательская организация</t>
  </si>
  <si>
    <t>Проектная организация</t>
  </si>
  <si>
    <t>Составлен в ценах по состоянию на 2 квартал 2021г.</t>
  </si>
  <si>
    <t>№№ п/п</t>
  </si>
  <si>
    <t>Номера сметных расчестов (смет)</t>
  </si>
  <si>
    <t>Наименование смет на проектные работы и инженерные изыскания, затрат</t>
  </si>
  <si>
    <t>Сметная стоимость, руб.</t>
  </si>
  <si>
    <t>Оборудования, мебели</t>
  </si>
  <si>
    <t>Прочих</t>
  </si>
  <si>
    <t>№09-07-01</t>
  </si>
  <si>
    <t xml:space="preserve"> Плоскостная парковка открытого типа.</t>
  </si>
  <si>
    <t>№09-07-02</t>
  </si>
  <si>
    <t xml:space="preserve"> Административно-бытовой корпус, навес для снегоуборочной техники, остановка</t>
  </si>
  <si>
    <t>№09-07-03</t>
  </si>
  <si>
    <t xml:space="preserve"> Инженерная инфраструктура</t>
  </si>
  <si>
    <t>Итого по объектной смете:</t>
  </si>
  <si>
    <t>ВСЕГО</t>
  </si>
  <si>
    <t>Руководитель проектной организации</t>
  </si>
  <si>
    <t>[подпись (инициалы, фамилия)]</t>
  </si>
  <si>
    <t>Главный инженер проекта</t>
  </si>
  <si>
    <t>Начальник</t>
  </si>
  <si>
    <t>отдела</t>
  </si>
  <si>
    <t>Составлен в ценах по состоянию на 01.01.2000г.</t>
  </si>
  <si>
    <t>«Адепт: Проект в 13.6»
© ООО «Адепт»</t>
  </si>
  <si>
    <t>Смета № 09-07-01</t>
  </si>
  <si>
    <t>Подготовка технического плана инженерного сооружения</t>
  </si>
  <si>
    <t>Всесезонный туристско-рекреационный комплекс "Эльбрус", Кабардино-Балкарская Республика. Открытая плоскостная парковка на 800 машино/мест. Плоскостная парковка открытого типа.</t>
  </si>
  <si>
    <t>АО "Национальные канатные дороги"</t>
  </si>
  <si>
    <t>Сметный расчет составлен по следующим документам: Справочник базовых цен на инженерные изыскания для строительства. Инженерно-геодезические изыскания. 2004 г.</t>
  </si>
  <si>
    <t>Инженерно-топографические планы. Масштаб съемки 1:1000. Высота сечения рельефа 0,5 м. Категория сложности II. Вид территории: застроенная. Парковки (10840+8858+7844)=27542м2=2,7542га</t>
  </si>
  <si>
    <t>Справочник базовых цен на инженерные изыскания для строительства. Инженерно-геодезические изыскания. 2004 г. Часть I, Глава 2, Таблица 9. Цены на создание инженерно-топографических планов в масштабах 1:500-1:10000 п.11
A=2258 руб; 
Количество = 2.7542 (1 га)</t>
  </si>
  <si>
    <t>A * Количество * K1
2258 руб * 2.7542 * 1.1</t>
  </si>
  <si>
    <t>K1 = 1.1
СЦиР 1981 г., ОУ п. 7а табл. 1 п.1, Письмо ГС СССР №22 от 01.03.1990 г. (Ценообразующий)</t>
  </si>
  <si>
    <t>Инженерно-топографические планы. Масштаб съемки 1:1000. Высота сечения рельефа 0,5 м. Категория сложности II. Вид территории: застроенная</t>
  </si>
  <si>
    <t>Справочник базовых цен на инженерные изыскания для строительства. Инженерно-геодезические изыскания. 2004 г. Часть I, Глава 2, Таблица 9. Цены на создание инженерно-топографических планов в масштабах 1:500-1:10000 п.11
A=734 руб; 
Количество = 2.7542 (1 га)</t>
  </si>
  <si>
    <t>A * Количество * K1
734 руб * 2.7542 * 1.75</t>
  </si>
  <si>
    <t>К стоимости изыскательских работ при выполнении картографических работ с составлением планов (продольных профилей) в двух видах: на магнитном и бумажном носителях к их стоимости применяется коэффициент</t>
  </si>
  <si>
    <t>K1 = 1.75
Общие указания п.15"е" (Ценообразующий)</t>
  </si>
  <si>
    <t>Расходы по внутреннему транспорту. Расстояние от базы до участка изысканий до 5 км. Сметная стоимость полевых изыск.работ до 75 тыс.руб</t>
  </si>
  <si>
    <t>СБЦ на инж.из. для стр-ва "Инженерно-геодезические изыскания" (ОУ п. 9 Таблица 4)</t>
  </si>
  <si>
    <t>8.75% от п.1.3</t>
  </si>
  <si>
    <t>Расходы по внешнему транспорту. Расстояние проезда и перевозки в одном направлении св. 100 до 300 км. Продолжительность экспедиции до 1 мес</t>
  </si>
  <si>
    <t>СБЦ на инж.из. для стр-ва "Инженерно-геодезические изыскания" (ОУ п. 10 Таблица 5)</t>
  </si>
  <si>
    <t>19.6% от п.1.3, 4</t>
  </si>
  <si>
    <t>Расходы по организации и ликвидации работ с учетом коэффициента для изысканий со сметной стоимостью до 30 тыс. руб. (К=2.5)</t>
  </si>
  <si>
    <t>СБЦ на инж.из. для стр-ва "Инженерно-геодезические изыскания" (ОУ п. 13)</t>
  </si>
  <si>
    <t>Коэф - т 2.5 и 6% от п.1.3, 4</t>
  </si>
  <si>
    <t>Всего по смете в уровне цен на 01.01.2001г.</t>
  </si>
  <si>
    <t>Сумма от п.3 - 6</t>
  </si>
  <si>
    <t xml:space="preserve">Всего по смете в уровне цен на 01.01.2000г.: </t>
  </si>
  <si>
    <t>Индекс на 01.01.2000г. К ценам на 01.01.1991г. по письму Госстроя России № АШ-3412/10 от 07.10.1999г.=8,98. Индекс на 1 квартал 2001г. к ценам на 01.01.1991г. по письму Госстроя России № АШ-9/10 от 04.01.2001г.=11,37</t>
  </si>
  <si>
    <t>И=11,37/8,98=1,266</t>
  </si>
  <si>
    <t>Коэф - т 4.66 от п.7</t>
  </si>
  <si>
    <t>Смету составил:</t>
  </si>
  <si>
    <t>Смета № 09-07-02</t>
  </si>
  <si>
    <t>Наименование предприятия, здания, сооружения, стадии проектирования, этапа, вида проектных или изыскательских работ</t>
  </si>
  <si>
    <t>Всесезонный туристско-рекреационный комплекс "Эльбрус", Кабардино-Балкарская Республика. Открытая плоскостная парковка на 800 машино/мест. Административно-бытовой корпус, навес для снегоуборочной техники, остановка</t>
  </si>
  <si>
    <t>Наименование проектной (изыскательской) организации</t>
  </si>
  <si>
    <t>Наименование организации заказчика</t>
  </si>
  <si>
    <t>Сметный расчет составлен по следующим документам: Справочник базовых цен на обмерные работы и обследования зданий и сооружений. 2016 г.</t>
  </si>
  <si>
    <t>Характеристика предприятия, здания, сооружения или виды работ</t>
  </si>
  <si>
    <t>Номер частей, глав, таблиц, процентов, параграфов и пунктов указаний к разделу Справочника базовых цен на проектные и изыскательские работы для строительства</t>
  </si>
  <si>
    <t xml:space="preserve">Расчет стоимости: (a+bx)*Ki, или (объем строительно-монтажных работ) * проц./100 или количество x цена </t>
  </si>
  <si>
    <t>Выполнение обмерных работ для каркасных одноэтажных зданий. I категория сложности работ. I категория сложности здания. Высота здания до 6 м.</t>
  </si>
  <si>
    <t>Справочник базовых цен на обмерные работы и обследования зданий и сооружений. 2016 г. Глава 3. Базовые цены на выполнение обмерных работ и обследований. Таблица 1. Базовые цены на выполнение обмерных работ для одноэтажных зданий, п.4
B=0.3486 тыс.руб;
Осн. показ. Х=8.8162 (100 м3) 
Количество = 1</t>
  </si>
  <si>
    <t>(A + B * Xзад) * Количество * K1 * K2
(0 руб + 348.6 руб * 8.8162) * 1 * 1.1 * 4.3 * 0.095</t>
  </si>
  <si>
    <t>K1 = 1.1
СБЦ на инж.из. для стр-ва. Инженерно-геодезические изыскания, 2004 г., ОУ п. 8а табл. 1 п.1 (Ценообразующий)</t>
  </si>
  <si>
    <t>Корректирующий коэффициент, учитывающий строительный объем зданий и сооружений до 1000 м3</t>
  </si>
  <si>
    <t>K2 = 4.3
Таблица 11, п.1 (Ценообразующий)</t>
  </si>
  <si>
    <t>Навес снегоуборочной техники</t>
  </si>
  <si>
    <t>Выполнение обмерных работ для каркасных одноэтажных зданий. I категория сложности работ. I категория сложности здания. Высота здания до 5 м.</t>
  </si>
  <si>
    <t>Справочник базовых цен на обмерные работы и обследования зданий и сооружений. 2016 г. Глава 3. Базовые цены на выполнение обмерных работ и обследований. Таблица 1. Базовые цены на выполнение обмерных работ для одноэтажных зданий, п.3
B=0.3664 тыс.руб;
Осн. показ. Х=5.2409 (100 м3) 
Количество = 1</t>
  </si>
  <si>
    <t>(A + B * Xзад) * Количество * K1 * K2
(0 руб + 366.4 руб * 5.2409) * 1 * 1.1 * 4.3 * 0.095</t>
  </si>
  <si>
    <t>Выполнение обмерных работ для каркасных одноэтажных зданий. I категория сложности работ. I категория сложности здания. Высота здания до 4 м.</t>
  </si>
  <si>
    <t>Справочник базовых цен на обмерные работы и обследования зданий и сооружений. 2016 г. Глава 3. Базовые цены на выполнение обмерных работ и обследований. Таблица 1. Базовые цены на выполнение обмерных работ для одноэтажных зданий, п.2
B=0.3838 тыс.руб;
Осн. показ. Х=1.9812 (100 м3) 
Количество = 1</t>
  </si>
  <si>
    <t>(A + B * Xзад) * Количество * K1 * K2
(0 руб + 383.8 руб * 1.9812) * 1 * 1.1 * 4.3 * 0.095</t>
  </si>
  <si>
    <t>K1 = 1.1
СБЦ Инженерно-геодезические изыскания при строит-ве и эксплуатации зданий и сооружений. 2006 г, ОУ п. 8а табл. 1 п.1 (Ценообразующий)</t>
  </si>
  <si>
    <t>Итого по смете в уровне цен на 01.2001г.:</t>
  </si>
  <si>
    <t>Индекс на 01.01.2000г. К ценам на 01.01.1991г. по письму Госстроя России № АШ-3412/10 от 07.10.1995г.=6,46. Индекс на 1 квартал 2001г. к ценам на 01.01.1991г. по письму Госстроя России № АШ-9/10 от 04.01.2001г.=7,71</t>
  </si>
  <si>
    <t>К = 7,71/6,46=1,19</t>
  </si>
  <si>
    <t>Индекс на II квартал 2021 года на проектные работы к уровню цен 01.01.2001</t>
  </si>
  <si>
    <t>Коэф - т 4.59 от п.4</t>
  </si>
  <si>
    <t>Смета № 09-07-03</t>
  </si>
  <si>
    <t>Всесезонный туристско-рекреационный комплекс "Эльбрус", Кабардино-Балкарская Республика. Открытая плоскостная парковка на 800 машино/мест. Инженерная инфраструктура</t>
  </si>
  <si>
    <t>Инженерно-топографические планы. Масштаб съемки 1:1000. Высота сечения рельефа 0,5 м. Категория сложности II. Вид территории: застроенная. Инженерная инфраструктура(водопровод-1085м, канализация К1-280м, Канализация К2-54м, ливневая канализация К2-1120м, дренаж-446, линии связи-1726м, ЛЭП-53м, проезды-1030м. Итого:5794м. Средняя ширина полосы-10м. Итого: 5794*10=57940м2=5,794га</t>
  </si>
  <si>
    <t>Справочник базовых цен на инженерные изыскания для строительства. Инженерно-геодезические изыскания. 2004 г. Часть I, Глава 2, Таблица 9. Цены на создание инженерно-топографических планов в масштабах 1:500-1:10000 п.11
A=2258 руб; 
Количество = 5.794 (1 га)</t>
  </si>
  <si>
    <t>A * Количество * K1
2258 руб * 5.794 * 1.1</t>
  </si>
  <si>
    <t>Справочник базовых цен на инженерные изыскания для строительства. Инженерно-геодезические изыскания. 2004 г. Часть I, Глава 2, Таблица 9. Цены на создание инженерно-топографических планов в масштабах 1:500-1:10000 п.11
A=734 руб; 
Количество = 5.794 (1 га)</t>
  </si>
  <si>
    <t>A * Количество * K1
734 руб * 5.794 * 1.75</t>
  </si>
  <si>
    <t>Коэф - т 2.5 и 6% от п.1.3, 4 с начислениями</t>
  </si>
  <si>
    <t>Всего по смете в уровне цен на 01.01.2001г.:</t>
  </si>
  <si>
    <t>Смета № 10-01-01</t>
  </si>
  <si>
    <t>Расчет норматива на проведение строительного контроля</t>
  </si>
  <si>
    <t>Приложение к ______________________________________</t>
  </si>
  <si>
    <t>Всесезонный туристско-рекреационный комплекс «Эльбрус»,
Кабардино-Балкарская Республика. Открытая плоскостная парковка  на 800 машино-мест.</t>
  </si>
  <si>
    <t>Наименование проектной (изыскательской организации)</t>
  </si>
  <si>
    <t>ООО "НКД"</t>
  </si>
  <si>
    <t>Наименование организации Заказчика</t>
  </si>
  <si>
    <t>АО "КСК"</t>
  </si>
  <si>
    <t>Расчет стоимости определяется на основании Постановления Правительства РФ от 21 июня 2010 г. N 468</t>
  </si>
  <si>
    <t xml:space="preserve">№ пп </t>
  </si>
  <si>
    <t>Итого по Главам 1-9, руб.:</t>
  </si>
  <si>
    <t>Итого по Главе 12, руб.:</t>
  </si>
  <si>
    <t>Итого в ценах 2000 г., руб.:</t>
  </si>
  <si>
    <t>Норматив расходов Заказчика на осуществление строительного контроля:</t>
  </si>
  <si>
    <t>Составил: ___________________________</t>
  </si>
  <si>
    <t>Ярулина В.К.</t>
  </si>
  <si>
    <t>Проверил: ____________________________</t>
  </si>
  <si>
    <t>Книгель В.В.</t>
  </si>
  <si>
    <t xml:space="preserve">
</t>
  </si>
  <si>
    <t>СВОДНАЯ СМЕТА</t>
  </si>
  <si>
    <t>на проектные  работы и инженерные изыскания</t>
  </si>
  <si>
    <t>Наименование стройки</t>
  </si>
  <si>
    <t>«Всесезонный туристско-рекреационный комплекс «Эльбрус», 
Кабардино-Балкарская Республика. 
Открытая плоскостная парковка на 800 машино/мест»</t>
  </si>
  <si>
    <t>АО "Курорты Северного Кавказа" (АО "КСК")</t>
  </si>
  <si>
    <t>ООО "Национальные канатные дороги" (ООО "НКД")</t>
  </si>
  <si>
    <t>Составлена в уровне цен на 2 квартал 2021 г.</t>
  </si>
  <si>
    <t>Перечень выполняемых работ</t>
  </si>
  <si>
    <t>Инженерных изысканий</t>
  </si>
  <si>
    <t>Проектных работ</t>
  </si>
  <si>
    <t>Инженерно- гидрометеорологические изыскания</t>
  </si>
  <si>
    <t>1.6</t>
  </si>
  <si>
    <t>По договору, тыс. руб. без НДС</t>
  </si>
  <si>
    <t>По смете, тыс. руб. без НДС</t>
  </si>
  <si>
    <t>Итого по разделу 1</t>
  </si>
  <si>
    <t>ИЗ</t>
  </si>
  <si>
    <t>II</t>
  </si>
  <si>
    <t>Проектная документация</t>
  </si>
  <si>
    <t>ПД</t>
  </si>
  <si>
    <t>Итого</t>
  </si>
  <si>
    <t>Итого по разделу II</t>
  </si>
  <si>
    <t>III</t>
  </si>
  <si>
    <t>Рабочая документация</t>
  </si>
  <si>
    <t>3.1</t>
  </si>
  <si>
    <t>Итого по разделу III</t>
  </si>
  <si>
    <t>Итого по видам работ</t>
  </si>
  <si>
    <t>Руководитель проектной организации:</t>
  </si>
  <si>
    <t>Заместитель Генерального директора ООО «НКД»</t>
  </si>
  <si>
    <t>Р.М. Ихсанов</t>
  </si>
  <si>
    <t>по доверенности №…… от…………………...</t>
  </si>
  <si>
    <t>Место печати "          " __________________ 2020 г.</t>
  </si>
  <si>
    <t>Л.А. Тененбаум</t>
  </si>
  <si>
    <t>Директор департамента развития инфраструктуры АО «КСК»</t>
  </si>
  <si>
    <t>В.В. Лапухин</t>
  </si>
  <si>
    <t>по доверенности №1516 от 19.08.2019 г.</t>
  </si>
  <si>
    <t>Составлена в уровне цен на 01.01. 2000 г.</t>
  </si>
  <si>
    <t>на инженерно-геодезические изыскания</t>
  </si>
  <si>
    <r>
      <t>Наименование  организации подрядчика:</t>
    </r>
    <r>
      <rPr>
        <b/>
        <i/>
        <sz val="11"/>
        <rFont val="Times New Roman"/>
        <family val="1"/>
        <charset val="204"/>
      </rPr>
      <t xml:space="preserve"> </t>
    </r>
  </si>
  <si>
    <t xml:space="preserve">Наименование организации заказчика: </t>
  </si>
  <si>
    <t>Стадия проектирования:</t>
  </si>
  <si>
    <t>(Смета составлена по Справочнику  базовых цен на инженерно-геодезические изыскания, Москва, 2004г.)</t>
  </si>
  <si>
    <t xml:space="preserve">Расчет стоимости                                                </t>
  </si>
  <si>
    <t xml:space="preserve">Стоимость работ в руб. </t>
  </si>
  <si>
    <t>цена за ед</t>
  </si>
  <si>
    <t>коэфф.</t>
  </si>
  <si>
    <t>кол-во</t>
  </si>
  <si>
    <t>1. Полевые работы</t>
  </si>
  <si>
    <t>Создание инженерно-топографических планов М 1:500, высота сечения рельефа 0,5 м Участок расположен на высоте св.2000 м, категория сложности - II</t>
  </si>
  <si>
    <t>СБЦ - 2004 Табл. 9 п.14; К1- т.1 п.3 (высокогорный район); К2- п.4 прим. ( застр.территория, трубоискатели)</t>
  </si>
  <si>
    <t>ИТОГО полевых работ:</t>
  </si>
  <si>
    <t>Выполнение изысканий в неблагоприятный период</t>
  </si>
  <si>
    <t>Коэфф</t>
  </si>
  <si>
    <t xml:space="preserve">СБЦ - 2004 Табл 2 п.3 </t>
  </si>
  <si>
    <t xml:space="preserve">ИТОГО </t>
  </si>
  <si>
    <t>2. Камеральные работы</t>
  </si>
  <si>
    <t>Создание инженерно-топографических планов М 1:500, высота сечения рельефа 0,5 м, категория сложности - II</t>
  </si>
  <si>
    <t>СБЦ - 2004 Табл. 9 п.5; К1- п.15д ОУ (компьют.технол.); К2- п.4 прим.(трубокабелеиск.)</t>
  </si>
  <si>
    <t>ИТОГО по позиции 2:</t>
  </si>
  <si>
    <t>ИТОГО камеральных работ:</t>
  </si>
  <si>
    <t>3. Прочие расходы</t>
  </si>
  <si>
    <t>Внутренний транспорт при расстоянии до площадки  15 км;</t>
  </si>
  <si>
    <t>% от обьема</t>
  </si>
  <si>
    <t xml:space="preserve"> СБЦ-2004,Табл. 4, п. 3</t>
  </si>
  <si>
    <t xml:space="preserve"> Расходы по внешнему транспорту  свыше 2000км  (1 месяц)</t>
  </si>
  <si>
    <t>СБЦ-2004,Табл. 5, п.6</t>
  </si>
  <si>
    <t>Расходы по организации и ликвидации работ</t>
  </si>
  <si>
    <t xml:space="preserve">  СБЦ-2004, О.У., п. 13
</t>
  </si>
  <si>
    <t>ИТОГО по позиции 3:</t>
  </si>
  <si>
    <t>ВСЕГО изыскательские работы</t>
  </si>
  <si>
    <t>ИТОГО в ценах на 01.01.2001 г.</t>
  </si>
  <si>
    <t xml:space="preserve">ИТОГО в ценах на 01.01.2000 г. </t>
  </si>
  <si>
    <t xml:space="preserve">Индекс на 01.01.2000 г. к ценам на 01.01.1991 г. по письму Госстроя России №АШ-3412/10-ЛС/08 от 07.10.1999г. = 8,98
Индекс на 1 квартал 2001 г. г. к ценам на 01.01.1991 г. по письму Госстроя России №АШ-9/10 от 04.01.2001г. = 11,37                                                                                                                                           11,37/8,98=1,266
</t>
  </si>
  <si>
    <t xml:space="preserve">ИТОГО  в ценах на  I1 квартал 2021 года  </t>
  </si>
  <si>
    <t>Индекс на II квартал 2021 г.   к ценам на 01.01.2001 по письму Минстроя РФ  № 18410-ИФ/09 от 04.05.2021</t>
  </si>
  <si>
    <t>на  инженерно-геологические изыскания</t>
  </si>
  <si>
    <t>Смета составлена по Справочник базовых цен на инженерно-геологические и инженерно-экологические изыскания для строительства (1999 г.)</t>
  </si>
  <si>
    <t>Единица измерен.</t>
  </si>
  <si>
    <t xml:space="preserve">Стоимость, руб. </t>
  </si>
  <si>
    <t>К1</t>
  </si>
  <si>
    <t>К2</t>
  </si>
  <si>
    <t>1 км маршрута</t>
  </si>
  <si>
    <t>СБЦ-99, т.9, п.2</t>
  </si>
  <si>
    <t>Наблюдения при передвижении по маршруту при составлении карты: инженерно-геологической, гидрогеологической, почвенной, инженерно-экологической в масштабе: 1:2000-1:1000, категория проходимости удовлетворительная</t>
  </si>
  <si>
    <t>СБЦ-99, т.10, п.4</t>
  </si>
  <si>
    <t>1 т.н.</t>
  </si>
  <si>
    <t>СБЦ-99, т. 11, п.1</t>
  </si>
  <si>
    <t>Предварительная разбивка местоположения геологических выработок при  расстоянии между выработками до 50 м, II категория сложности производства измерений</t>
  </si>
  <si>
    <t>1 выработка (точка)</t>
  </si>
  <si>
    <t xml:space="preserve">СБЦ-99, т.93, п.1                    K1 - прим. 1             </t>
  </si>
  <si>
    <t>Предварительная разбивка местоположения геологических выработок при  расстоянии между выработками св 50 м до 100 м, II категория сложности производства измерений</t>
  </si>
  <si>
    <t xml:space="preserve">СБЦ-99, т.93, п.2                    K1 - прим. 1             </t>
  </si>
  <si>
    <t>Предварительная разбивка местоположения геологических выработок при  расстоянии между выработками св 100 м до 200 м, II категория сложности производства измерений</t>
  </si>
  <si>
    <t xml:space="preserve">СБЦ-99, т.93, п.3                    K1 - прим. 1             </t>
  </si>
  <si>
    <t>Планово-высотная привязка выработок при   расстоянии между выработками до 50 м, II категория сложности производства измерений</t>
  </si>
  <si>
    <t>СБЦ-99, т.93, п.1</t>
  </si>
  <si>
    <t>Планово-высотная привязка выработок при   расстоянии между выработками св. 50 м до 100 м, II категория сложности производства измерений</t>
  </si>
  <si>
    <t xml:space="preserve">СБЦ-99, т.93, п.2                         </t>
  </si>
  <si>
    <t>Планово-высотная привязка выработок при   расстоянии между выработками до 50м, II категория сложности производства измерений</t>
  </si>
  <si>
    <t xml:space="preserve">СБЦ-99, т.93, п.3                        </t>
  </si>
  <si>
    <t xml:space="preserve">Колонковое бурение скважин диаметром 168  мм,  глубиной   до 15 м без устройства циркуляционной системы[X категория породы]  </t>
  </si>
  <si>
    <t xml:space="preserve">1 м </t>
  </si>
  <si>
    <t xml:space="preserve">СБЦ-99, т.17 п.7                      К2- прим. к табл.17, без уст-ва циркуляционной системы               </t>
  </si>
  <si>
    <t xml:space="preserve">Гидрогеологические наблюдения при бурении  диаметром 168 мм гл.  до 15 м,  без тартания </t>
  </si>
  <si>
    <t>СБЦ-99, т.18 п.2,
К1=0,6 - Ч II, гл. 4, п.8</t>
  </si>
  <si>
    <t>Проходка шурфов сечением 1,5 м. глубиной до 2,5 м. Категория породы V</t>
  </si>
  <si>
    <t>1 м</t>
  </si>
  <si>
    <t>СБЦ-99, т. 27, п. 1, прим. 2</t>
  </si>
  <si>
    <t>Проходка шурфов сечением 1,5 м. глубиной св. 2,5 м до 5,0 м. Категория породы V</t>
  </si>
  <si>
    <t>СБЦ-99, т. 27, п. 2, прим.2</t>
  </si>
  <si>
    <t>Определение объемного веса в естественном залегании и коэффициента разрыхления несвязного грунта</t>
  </si>
  <si>
    <t>1 опыт</t>
  </si>
  <si>
    <t xml:space="preserve"> СБЦ-99, т.59 п.8
</t>
  </si>
  <si>
    <t>Испытание грунтов в скважинах на глубине до 5 м вертикальной статической нагрузкой штампом площадью 600 см  удельным давлением, св. 0,3 до 0,5 Мпа в грунтах I категорий сложности испытаний по скорости стабилизации деформации грунта</t>
  </si>
  <si>
    <t xml:space="preserve"> СБЦ-99, т.54 п.16
</t>
  </si>
  <si>
    <t>Испытание грунтов в шурфах на глубине до 5 м вертикальной статической нагрузкой штампом площадью 5000 см  удельным давлением, св. 0,3 до 0,5 Мпа в грунтах I категорий сложности испытаний по скорости стабилизации деформации грунта</t>
  </si>
  <si>
    <t xml:space="preserve"> СБЦ-99, т.54 п.10
</t>
  </si>
  <si>
    <t>Испытание грунтов на срез в горных выработках при вертикальном удельном давлении от 0,1 до 0,5 МПа (неконсолидированный срез)</t>
  </si>
  <si>
    <t>Отбор валовой пробы несвязных грунтов из отвалов и штабелей (отборка вручную валунов и крупной гальки со взвешиванием)</t>
  </si>
  <si>
    <t>1 т</t>
  </si>
  <si>
    <t xml:space="preserve"> СБЦ-99, т.59 п.3
</t>
  </si>
  <si>
    <t>Обработка и грохочение валовых проб валунно-галечных и гравийно-галечных отложений (отборка валунов, квартование, сокращение, грохочение, рассев пробы и взвешивание по фракциям, составление гранулометрического описания по фракциям</t>
  </si>
  <si>
    <t xml:space="preserve"> СБЦ-99, т.59 п.5
</t>
  </si>
  <si>
    <t>Итого :</t>
  </si>
  <si>
    <t>Выполнение изысканий в горных и высокогорных районах св. 2000 до 3000 м</t>
  </si>
  <si>
    <t>О.У., п.8а, т.1, п.1</t>
  </si>
  <si>
    <t>Выполнение полевых изыскательских работ в неблагоприятный период года продолжительностью св 8 до 9,5 мес</t>
  </si>
  <si>
    <t>О.У., п.8г, т.1, п.3</t>
  </si>
  <si>
    <t>О.У.,п.8г</t>
  </si>
  <si>
    <t>Итого полевых работ:</t>
  </si>
  <si>
    <t>2. Лабораторные работы</t>
  </si>
  <si>
    <t>Гранулометрический анализ ситовым методом с разделением на фракции 10; 5; 2; 1; 0,5 мм без кипячения и промывки (навеска свыше 1 кг)</t>
  </si>
  <si>
    <t>1 образец</t>
  </si>
  <si>
    <t>СБЦ-99, т.64 п.10</t>
  </si>
  <si>
    <t>Влажность</t>
  </si>
  <si>
    <t>СБЦ-99, т.64 п.1</t>
  </si>
  <si>
    <t>Плотность</t>
  </si>
  <si>
    <t>СБЦ-99, т.64 п.3</t>
  </si>
  <si>
    <t>Подготовка  проб щебня к испытаниям в полочном барабане</t>
  </si>
  <si>
    <t>СБЦ-99, т.76 п.43</t>
  </si>
  <si>
    <t>Истираемость щебня (гравия) в полочном барабане</t>
  </si>
  <si>
    <t>СБЦ-99, т.76 п.30</t>
  </si>
  <si>
    <t>Коррозионная активность грунтов и грунтовых вод  по отношению к бетону</t>
  </si>
  <si>
    <t>1 анализ</t>
  </si>
  <si>
    <t>СБЦ-99, т.75 п.5</t>
  </si>
  <si>
    <t>Стандартный (типовой) анализ воды</t>
  </si>
  <si>
    <t>1 проба</t>
  </si>
  <si>
    <t>СБЦ-99, т. 73, п. 2</t>
  </si>
  <si>
    <t>ИТОГО лабораторных работ:</t>
  </si>
  <si>
    <t>3. Камеральные работы</t>
  </si>
  <si>
    <t>Наблюдения при передвижении по маршруту при составлении карты: инженерно-геологической, гидрогеологической, почвенной, инженерно-экологической в масштабе 1:2000-1:1000, категория проходимости удовлетворительная</t>
  </si>
  <si>
    <t>1 м выработки</t>
  </si>
  <si>
    <t>СБЦ-99, т.82 п.2</t>
  </si>
  <si>
    <t>Камеральная обработка полевого испытания грунтов в скважинах, шурфах вертикальной статической нагрузкой штампом</t>
  </si>
  <si>
    <t>1 испытаний</t>
  </si>
  <si>
    <t>СБЦ-99, т.83 п.6</t>
  </si>
  <si>
    <t>Камеральная обработка полевого испытания грунтов в скважинах, шурфах вертикальной статической нагрузкой на срез</t>
  </si>
  <si>
    <t>Камеральная обработка комплексных исследований и отдельных определений физико-механических свойств песчаных пород</t>
  </si>
  <si>
    <t xml:space="preserve">% от стоимости лаборатор. работ </t>
  </si>
  <si>
    <t>СБЦ-99, т.86, п.2</t>
  </si>
  <si>
    <t>Камеральная обработка определения коррозийной активности грунтов и грунтовых вод</t>
  </si>
  <si>
    <t>СБЦ-99, т.86, п.8</t>
  </si>
  <si>
    <t>Камеральная обработка комплексных исследований химического состава воды</t>
  </si>
  <si>
    <t>СБЦ-99, т. 86, п. 5</t>
  </si>
  <si>
    <t xml:space="preserve">1 м выработки </t>
  </si>
  <si>
    <t>СБЦ-99, т.78, п.1</t>
  </si>
  <si>
    <t>10 цифровых значений</t>
  </si>
  <si>
    <t>СБЦ-99, т.78, п.2</t>
  </si>
  <si>
    <t xml:space="preserve">1 программа </t>
  </si>
  <si>
    <t>СБЦ-99, т.81, п.2  К1- прим.</t>
  </si>
  <si>
    <t>1 отчет</t>
  </si>
  <si>
    <t xml:space="preserve">СБЦ-99, т.87, п. 1 
К2 - компьютерные технологии МП стр.76
</t>
  </si>
  <si>
    <t>4. Прочие расходы</t>
  </si>
  <si>
    <t>Выдача промежуточых материалов изысканий</t>
  </si>
  <si>
    <t>СБЦ-99, О.У.п.15</t>
  </si>
  <si>
    <t>Расходы по внутреннему транспорту  при расст. от базы св.10 до 15 км и сметной стоимости полевых работ св 50 тыс. руб.</t>
  </si>
  <si>
    <t>СБЦ-99, т.4 п.3</t>
  </si>
  <si>
    <t xml:space="preserve">Расходы по внешнему транспорту от 100 до 300 км продолжительностью до 1 мес   </t>
  </si>
  <si>
    <t>СБЦ-99, т.5 п.2</t>
  </si>
  <si>
    <t>Расходы на организацию и ликвидацию полевых работ</t>
  </si>
  <si>
    <t>СБЦ-99, О.У.п.13</t>
  </si>
  <si>
    <t>Расходы по курированию инженерных изысканий</t>
  </si>
  <si>
    <t>Метод. Пособ. Стр. 60</t>
  </si>
  <si>
    <t>Срочность выполнения работ</t>
  </si>
  <si>
    <t>Метод. Пособ. Стр. 59</t>
  </si>
  <si>
    <t>Непредвиденные расходы</t>
  </si>
  <si>
    <t>СБЦ-99, О.У.п.17</t>
  </si>
  <si>
    <t>ИТОГО прочих расходов:</t>
  </si>
  <si>
    <t>ИТОГО в ценах 1991 года:</t>
  </si>
  <si>
    <t>Индекс на 1 квартал 2001 г. г. к ценам на 01.01.1991 г. по письму Госстроя России №АШ-9/10 от 04.01.2001г.</t>
  </si>
  <si>
    <t xml:space="preserve">ИТОГО  в ценах на 01.01.2000 г. </t>
  </si>
  <si>
    <t xml:space="preserve">Индекс на 01.01.2000 г. к ценам на 01.01.1991 г. по письму Госстроя России №АШ-3412/10-ЛС/08 от 07.10.1999г. </t>
  </si>
  <si>
    <t>Индекс на II квартал 2021 г.   к ценам на 01.01.1991 по письму Минстроя РФ  № 18410-ИФ/09 от 04.05.2021</t>
  </si>
  <si>
    <t>на геофизические исследования</t>
  </si>
  <si>
    <t>Ед.
Изм</t>
  </si>
  <si>
    <t>Кол-
во.</t>
  </si>
  <si>
    <t>1 физическое наблюдение</t>
  </si>
  <si>
    <t>СЦИР, 1982 г. Часть IV. Глава 16. Таблица 258, п.73
A=22 руб</t>
  </si>
  <si>
    <t>При выполнении наблюдений с двумя компонентами вектора смещений (регистрация поочередная</t>
  </si>
  <si>
    <t>K1 = 1.1
ЧастьVI, Глава 16, п.2, Таблица 257,§14</t>
  </si>
  <si>
    <t>Работа в условиях механических и электрических помех</t>
  </si>
  <si>
    <t>K2 = 1.1
ЧастьVI, Глава 16, п.5</t>
  </si>
  <si>
    <t>Поправочный коэффициент к ценам на изыскательские работы для строительства</t>
  </si>
  <si>
    <t>K3 = 1.21
Письмо Госстроя СССР от 25 декабря 1990 года № 21-Д</t>
  </si>
  <si>
    <t>При переноске оборудования с профиля на профиль, от скважины или горной выработки к скважине или горной выработке на расстояние до 200 м</t>
  </si>
  <si>
    <t>K4 = 1.1
Часть VI, Глава 16, Общие Положения, п.6</t>
  </si>
  <si>
    <t>Вертикальное электрическое зондирование  (АВ до  100м ) с поверхности земли установкой Шлюмберже, IV категория сложности</t>
  </si>
  <si>
    <t>СЦИР, 1982 г. Часть IV. Глава 16. Таблица 267, п.2
A=9,5 руб</t>
  </si>
  <si>
    <t>Разность потенциалов до 0,3 мВ, неустойчивые токи ПС</t>
  </si>
  <si>
    <t>K1 = 1.1
СЦИР, 1982 г. Часть IV. Глава 16. Таблица 265, п.4</t>
  </si>
  <si>
    <t>K2 = 1.21
Письмо Госстроя СССР от 25 декабря 1990 года № 21-Д</t>
  </si>
  <si>
    <t>K3 = 1.1
ЧастьVI, Глава 16, Общие Положения, п.6</t>
  </si>
  <si>
    <t>Устройство заземлений удлиненными электродами в мерзлых гравийно-галечных и песчаных отложениях</t>
  </si>
  <si>
    <t>K4 = 1.15
ЧастьVI, Глава 16,табл. 265, п. 2</t>
  </si>
  <si>
    <t>ЧастьVI, Глава 16,табл. 283, п. 2</t>
  </si>
  <si>
    <t>17*1*1,21</t>
  </si>
  <si>
    <t>K1 = 1.21
Письмо Госстроя СССР от 25 декабря 1990 года № 21-Д</t>
  </si>
  <si>
    <t>Надбавки за выполнение изысканий в горных и высокогорных районах. Горный и высокогорный район с абсолютными высотами поверхности участка над уровнем моря св. 2000 м до 3000 м</t>
  </si>
  <si>
    <t>СЦИР, 1982 г., ОУ п. 7а табл. 1, Пост. Госстроя РФ от 01.03.1990 № 22</t>
  </si>
  <si>
    <t>Коэф - т 0,2 от п.1.8</t>
  </si>
  <si>
    <t>Надбавки за выполнение полевых работ и выполняемых в условиях полевого лагеря камеральных работ в неблагоприятный период года. Продолжительность неблагоприятного периода года св 8 до 9,5 мес</t>
  </si>
  <si>
    <t>СЦиР 1981 г.(ОУ п. 7г Таблица 2), Письмо ГС СССР №22 от 01.03.1990 г.</t>
  </si>
  <si>
    <t>Коэф - т 0.4 от п.1.8 - 1.9</t>
  </si>
  <si>
    <t>Обработка материалов:Сейсморазведка МПВ на дневной поверхности при двух типах волн</t>
  </si>
  <si>
    <t>1 физическое наблюдение (годограф)</t>
  </si>
  <si>
    <t>СЦИР, 1982 г. Часть IV. Глава 16. Таблица 291,  п.2
A=13 руб</t>
  </si>
  <si>
    <t>13 руб * 90  * 1,5*1.21</t>
  </si>
  <si>
    <t>Расчеты на ЭВМ</t>
  </si>
  <si>
    <t>K1 = 1.5
К1-ОУ п.15</t>
  </si>
  <si>
    <t>Камеральная обработка полевых материалов электроразведки</t>
  </si>
  <si>
    <t xml:space="preserve">% от стоимости полевых работ </t>
  </si>
  <si>
    <t xml:space="preserve">СЦИР-82, Камеральные геофизические работы общ.часть                                                     К1-ОУ п.15  (расчеты на ЭВМ)           
</t>
  </si>
  <si>
    <t>Итого камеральные работы:</t>
  </si>
  <si>
    <t>Составление программы при стоимости изысканий, тыс.руб. до 5 тыс.руб</t>
  </si>
  <si>
    <t>1 программа</t>
  </si>
  <si>
    <t>СЦИР, 1982 г. Часть IV. Глава 16. Таблица 294, п.1
A=200 руб</t>
  </si>
  <si>
    <t>200 руб * 1 * 1.21</t>
  </si>
  <si>
    <t>Составление технического отчета по сейсморазведке и сейсмическому микрорайонированию                                                (1000+10% от стоимости камеральной обработки)</t>
  </si>
  <si>
    <t>СЦИР, 1982 г. Часть IV. Глава 16. Таблица 294, п.10
Коэффициенты:
К=1,21,Письмо Госстроя СССР от 25 декабря 1990 года № 21-Д); К=1,2, прим. к табл.294 п.3</t>
  </si>
  <si>
    <t>1000 руб.+ (2149,68*0,1)*1,21*1,2</t>
  </si>
  <si>
    <t>Всего камеральные работы:</t>
  </si>
  <si>
    <t>Прочие расходы</t>
  </si>
  <si>
    <t>Расходы по внутреннему транспорту. Расстояние от базы до участка изысканий св. 10 до 15 км. Сметная стоимость полевых изыск.работ до 5 тыс.руб</t>
  </si>
  <si>
    <t>СЦИР, 1982, ОУ п. 7г Таблица 4, п.3), К=1,25 - Письмо ГС СССР №22 от 01.03.1990 г. П. 8 ОУ</t>
  </si>
  <si>
    <t>11% от 2793,77*1,25</t>
  </si>
  <si>
    <t>Расходы по внешнему транспорту. Расстояние проезда и перевозки св. 100 до 300 км. Продолжительность экспедиции до 1 мес</t>
  </si>
  <si>
    <t xml:space="preserve">СЦиР 1981 г. (ОУ п. 9 Таблица 5, п. 5), К=1,4 Письмо ГС СССР №22 от 01.03.1990 г. п. 9 </t>
  </si>
  <si>
    <t>14% от (2793,77+384,14)*1,4</t>
  </si>
  <si>
    <t>Расходы по организации изысканий. При сметной стоимости св.3 до 5 тыс. руб</t>
  </si>
  <si>
    <t>СЦиР 1981 г. (ОУ п. 13, табл.6), прим.1 Письмо ГС СССР №22 от 01.03.1990 г.</t>
  </si>
  <si>
    <t>((2793,77+384,14)* 6 / 100*2,0</t>
  </si>
  <si>
    <t>Расходы по ликвидации изысканий. При сметной стоимости св.3 до 5 тыс. руб</t>
  </si>
  <si>
    <t>(3294,96+453,06) * 5 / 100*2,0</t>
  </si>
  <si>
    <t>Затраты по метрологическому обеспечению</t>
  </si>
  <si>
    <t>Сц на изыскательские работы для капитального строительства (ОУ п. 14)</t>
  </si>
  <si>
    <t>Коэф - т 0.05 от ((2793,77+384,14+4155,81)</t>
  </si>
  <si>
    <t>Всего Прочие расходы:</t>
  </si>
  <si>
    <t>Районный коэффициент</t>
  </si>
  <si>
    <t>K = 1.08 Постановление Госстроя СССР от 01.03.90 г. № 22 табл.3 п.1</t>
  </si>
  <si>
    <t xml:space="preserve">на  инженерно-гидрометеорологические изыскания </t>
  </si>
  <si>
    <t>Смета составлена по Справочнику  базовых цен на инженерно-гидрографические работы. Инженерно-гидрометеорологические изыскания на реках, Москва 2000 г.</t>
  </si>
  <si>
    <t>коэф</t>
  </si>
  <si>
    <t>Рекогносцировочное обследование реки, категория сложности III</t>
  </si>
  <si>
    <t>1км реки</t>
  </si>
  <si>
    <t>Табл.43 п.1</t>
  </si>
  <si>
    <t>Определение мгновенного уклона поверхности воды в реке при количестве урезных кольев 2 на 1 км длины реки, категория сложности III</t>
  </si>
  <si>
    <t>1 определение на 1 км длины реки</t>
  </si>
  <si>
    <t>Табл.26 п.2</t>
  </si>
  <si>
    <t xml:space="preserve">Измерение расхода воды детальным методом (ширина реки до 20 м) </t>
  </si>
  <si>
    <t>1 расход</t>
  </si>
  <si>
    <t xml:space="preserve">Табл.48 п.1 </t>
  </si>
  <si>
    <t xml:space="preserve">Разбивка промерного створа при ширине реки до 100 м, категория сложности III </t>
  </si>
  <si>
    <t>1 створ</t>
  </si>
  <si>
    <t xml:space="preserve">Табл.44 п.7 </t>
  </si>
  <si>
    <t xml:space="preserve">Промеры глубин при ширине реки до 20 м </t>
  </si>
  <si>
    <t>1 профиль</t>
  </si>
  <si>
    <t>Табл.48 п.3</t>
  </si>
  <si>
    <t>Фотоработы</t>
  </si>
  <si>
    <t>1 снимок</t>
  </si>
  <si>
    <t>Табл.48 п.15</t>
  </si>
  <si>
    <t>ИТОГО по позиции 1 на высоте 2000-3000 в неблагоприятный период:</t>
  </si>
  <si>
    <t>Измерение расхода воды детальным методом (ширина реки до 20 м)</t>
  </si>
  <si>
    <t>Составление таблицы гидрологической изученности бассейна реки при числе пунктов наблюдений до 50</t>
  </si>
  <si>
    <t>1 таблица</t>
  </si>
  <si>
    <t>Табл.51 п.1</t>
  </si>
  <si>
    <t>Составление схемы гидрометеорологической изученноти бассейна реки при числе пунктов наблюдений до 50</t>
  </si>
  <si>
    <t>1 схема</t>
  </si>
  <si>
    <t>Табл.51 п.3</t>
  </si>
  <si>
    <t>Определение площади водосбора</t>
  </si>
  <si>
    <r>
      <t>1 дм</t>
    </r>
    <r>
      <rPr>
        <vertAlign val="superscript"/>
        <sz val="10"/>
        <rFont val="Times New Roman"/>
        <family val="1"/>
        <charset val="204"/>
      </rPr>
      <t>2</t>
    </r>
  </si>
  <si>
    <t>Табл.55 п.9</t>
  </si>
  <si>
    <t>Выбор аналога</t>
  </si>
  <si>
    <t>1 расчет</t>
  </si>
  <si>
    <t>Табл.56 п.15</t>
  </si>
  <si>
    <t>Составление вспомогательной таблицы характеристик гидрологического режима при числе лет до 50</t>
  </si>
  <si>
    <t>Табл.52 п.1</t>
  </si>
  <si>
    <t>Составление вспомогательной таблицы характеристик гидрологического режима при числе лет свыше 50</t>
  </si>
  <si>
    <t>Табл.52 п.2</t>
  </si>
  <si>
    <t>Вычисление параметров распределения отдельных характеристик стока и величин различной обеспеченности с построением кривой обеспеченности при числе лет до 50</t>
  </si>
  <si>
    <t>Табл. 56 п.12</t>
  </si>
  <si>
    <t>Вычисление параметров распределения отдельных характеристик стока и величин различной обеспеченности с построением кривой обеспеченности при числе лет свыше 50</t>
  </si>
  <si>
    <t>Табл. 56 п.13</t>
  </si>
  <si>
    <t>Определение максимальных расходов весеннего половодья или дождевых паводков по эмпирическим редукционным формулам</t>
  </si>
  <si>
    <t>Табл. 56 п.2</t>
  </si>
  <si>
    <t>Определение минимального расхода воды при отсутствии данных наблюдений по одному методу</t>
  </si>
  <si>
    <t>Табл. 56 п.3</t>
  </si>
  <si>
    <t>Составление и вычерчивание профилей</t>
  </si>
  <si>
    <t>1 дм профиля</t>
  </si>
  <si>
    <t>Табл. 39 п.1</t>
  </si>
  <si>
    <t xml:space="preserve">Построение кривой расходов гидравлическим методом </t>
  </si>
  <si>
    <t>1 график</t>
  </si>
  <si>
    <t>Табл.55 п.1</t>
  </si>
  <si>
    <t>Систематизация собранных материалов и данных метеорологических наблюдений. Подбор станций или постов с оценкой качества материалов наблюдений и степени их репрезентативности.</t>
  </si>
  <si>
    <t>1 годостанция</t>
  </si>
  <si>
    <t>Табл. 67 п.1</t>
  </si>
  <si>
    <t>Построение розы ветров</t>
  </si>
  <si>
    <t>Табл. 68 п.11</t>
  </si>
  <si>
    <t>Расчет глубины промерзания грунта</t>
  </si>
  <si>
    <t>Табл. 68 п.15</t>
  </si>
  <si>
    <t>Составление климатической характеристики района изысканий при числе метеостанций: 1, число годостанций до 50.</t>
  </si>
  <si>
    <t>1 записка</t>
  </si>
  <si>
    <t>Табл. 69 п.1</t>
  </si>
  <si>
    <t xml:space="preserve">Составление программы производства гидрометеорологических работ </t>
  </si>
  <si>
    <t>Табл. 53 п.1</t>
  </si>
  <si>
    <t xml:space="preserve"> Составление  технического отчета                             (недостаточно  изученная) </t>
  </si>
  <si>
    <t xml:space="preserve">Табл. 62 п.4, прим.6       </t>
  </si>
  <si>
    <t>Расходы по внутреннему транспорту  при расст. от базы до 5 км</t>
  </si>
  <si>
    <t xml:space="preserve"> Табл. 4, п.1</t>
  </si>
  <si>
    <t>Расходы по внешнему транспорту</t>
  </si>
  <si>
    <t>Табл. 5, п. 2</t>
  </si>
  <si>
    <t>Расходы по организации и ликвидации</t>
  </si>
  <si>
    <t xml:space="preserve">  ОУп.13, прим.1</t>
  </si>
  <si>
    <t>ИТОГО в ценах 1991 года</t>
  </si>
  <si>
    <t>Оценка селевой и лавинной опасности</t>
  </si>
  <si>
    <t>Наименование работ</t>
  </si>
  <si>
    <t>Ссылка на нормативы</t>
  </si>
  <si>
    <t>Ед. изм.</t>
  </si>
  <si>
    <t>Объем работ</t>
  </si>
  <si>
    <t xml:space="preserve">Цена, руб. </t>
  </si>
  <si>
    <t>Коэф.</t>
  </si>
  <si>
    <t>Стоим., руб.</t>
  </si>
  <si>
    <t>Применен "СБЦ на инженерно-гидрографические изыскания для строительства, М-2000"Цены приведены к базовому уровню на 01.01.1991 г.</t>
  </si>
  <si>
    <t>Ι. ПОЛЕВЫЕ РАБОТЫ</t>
  </si>
  <si>
    <t>Селевые рекогносцировочные работы</t>
  </si>
  <si>
    <t xml:space="preserve">табл. 43 § 1 </t>
  </si>
  <si>
    <t>Лавинные рекогносцировочные работы</t>
  </si>
  <si>
    <t>табл. 43 § 2</t>
  </si>
  <si>
    <r>
      <t xml:space="preserve">табл. 48 </t>
    </r>
    <r>
      <rPr>
        <sz val="10"/>
        <rFont val="Arial"/>
        <family val="2"/>
        <charset val="204"/>
      </rPr>
      <t>§</t>
    </r>
    <r>
      <rPr>
        <sz val="10"/>
        <rFont val="Times New Roman"/>
        <family val="1"/>
        <charset val="204"/>
      </rPr>
      <t>15</t>
    </r>
  </si>
  <si>
    <t xml:space="preserve">Итого полевые работы в неблагоприятный период выше 2000 м                                                                                                                                      </t>
  </si>
  <si>
    <t>II. ПРОЧИЕ РАБОТЫ</t>
  </si>
  <si>
    <t>Расходы по внутреннему транспорту</t>
  </si>
  <si>
    <t>Таблица 4  п.1, 8.75%</t>
  </si>
  <si>
    <t xml:space="preserve">Организация и ликвидация работ </t>
  </si>
  <si>
    <t xml:space="preserve"> п.13 "Общих указаний" Примечание 1.(6%)</t>
  </si>
  <si>
    <t xml:space="preserve">Расходы по внешнему транспорту </t>
  </si>
  <si>
    <t>Таблица 5</t>
  </si>
  <si>
    <t>Итого  по прочим работам:</t>
  </si>
  <si>
    <t xml:space="preserve"> ΙΙΙ. КАМЕРАЛЬНЫЕ РАБОТЫ</t>
  </si>
  <si>
    <t>табл. 43 §1</t>
  </si>
  <si>
    <t>1 км  маршрута</t>
  </si>
  <si>
    <t>Составление записки «Характеристика условий образования селевых потоков района"</t>
  </si>
  <si>
    <t>табл.63 §1</t>
  </si>
  <si>
    <t>Установление высот границ действия снежных лавин</t>
  </si>
  <si>
    <t>табл. 56 §2</t>
  </si>
  <si>
    <t>Определение площади зон зарождения лавин</t>
  </si>
  <si>
    <t>Определение углов наклона зон зарождения и транзита снежных лавин</t>
  </si>
  <si>
    <t>Построение продольных профилей лавиносборов</t>
  </si>
  <si>
    <t>табл. 40 §1</t>
  </si>
  <si>
    <t>Определение дальности выброса снежных лавин</t>
  </si>
  <si>
    <t>Определение скоростей снежных лавин</t>
  </si>
  <si>
    <t xml:space="preserve">Определение объемов снежных лавин </t>
  </si>
  <si>
    <t>Определение высоты фронта лавин</t>
  </si>
  <si>
    <t>Определение давления лавин</t>
  </si>
  <si>
    <t xml:space="preserve">табл.55 §8  </t>
  </si>
  <si>
    <t>Составление записки «Характеристика лавинной опасности территории"</t>
  </si>
  <si>
    <t>Составление карты лавинной опасности территории района изысканий</t>
  </si>
  <si>
    <t>табл.52 §1</t>
  </si>
  <si>
    <t>1 карта</t>
  </si>
  <si>
    <t xml:space="preserve">итого камеральные работы                                                                                                                                                                                                  </t>
  </si>
  <si>
    <t>Составление программы производства работ</t>
  </si>
  <si>
    <t>табл.53 §2</t>
  </si>
  <si>
    <t>Составление технического отчета</t>
  </si>
  <si>
    <t>табл. 62 §4</t>
  </si>
  <si>
    <t>отчет</t>
  </si>
  <si>
    <t>Итого камеральные работы</t>
  </si>
  <si>
    <t>на выполнение инженерно-экологических изысканий</t>
  </si>
  <si>
    <t xml:space="preserve">СПРАВОЧНИК БАЗОВЫХ ЦЕН
на инженерно-геологические и инженерно-экологические
изыскания для строительства  СБЦ-99
</t>
  </si>
  <si>
    <t>Вид работ</t>
  </si>
  <si>
    <t>Таблица и параграф СБЦ</t>
  </si>
  <si>
    <t>Объем</t>
  </si>
  <si>
    <t>Стоимость</t>
  </si>
  <si>
    <t>1.  Полевые работы</t>
  </si>
  <si>
    <t>проба</t>
  </si>
  <si>
    <t xml:space="preserve">Отбор проб для бактериологического анализа (4)  и на паразитические показатели (4) </t>
  </si>
  <si>
    <t>Табл.60, § 10</t>
  </si>
  <si>
    <t>Отбор природной воды на химические показатели с поверхностного слоя</t>
  </si>
  <si>
    <r>
      <t xml:space="preserve"> Табл.60 </t>
    </r>
    <r>
      <rPr>
        <sz val="10"/>
        <rFont val="Calibri"/>
        <family val="2"/>
        <charset val="204"/>
      </rPr>
      <t>§</t>
    </r>
    <r>
      <rPr>
        <sz val="10"/>
        <rFont val="Arial"/>
        <family val="2"/>
        <charset val="204"/>
      </rPr>
      <t xml:space="preserve">.1  (прим 3. к-0.5)                       </t>
    </r>
  </si>
  <si>
    <t xml:space="preserve">Радиационное обследование участка площадью свыше 1 га (измерение гамма-съемка 6,6 га, МАД) </t>
  </si>
  <si>
    <t>0.1 га</t>
  </si>
  <si>
    <t>Табл.92, § 3</t>
  </si>
  <si>
    <t>1.11</t>
  </si>
  <si>
    <t>с учетом коэффициента к итогу  сметной стоимости полевых работ</t>
  </si>
  <si>
    <t>прил. 4 , О.У., п. 8д,табл. 3, п.7 (К=1.25)</t>
  </si>
  <si>
    <t>Расходы по внутреннему транспорту при расстоянии до 15 км</t>
  </si>
  <si>
    <t xml:space="preserve"> Табл.4,   § 3.5</t>
  </si>
  <si>
    <t xml:space="preserve"> Табл. 5, § 5.1</t>
  </si>
  <si>
    <t>ИТОГО ПОЛЕВЫХ РАБОТ С ПРОЧИМИ</t>
  </si>
  <si>
    <t>1.15</t>
  </si>
  <si>
    <t>С учетом производства  полевых работ в неблагоприятный период года</t>
  </si>
  <si>
    <t>Всего полевых работ</t>
  </si>
  <si>
    <t>Обследование проб почво-грунтов на агрохимические показатели:</t>
  </si>
  <si>
    <t>Водородный показатель pH</t>
  </si>
  <si>
    <t>образец</t>
  </si>
  <si>
    <t xml:space="preserve"> Табл.70, § 14</t>
  </si>
  <si>
    <t xml:space="preserve">Органические вещества (гумус) </t>
  </si>
  <si>
    <t xml:space="preserve"> Табл.70, § 11</t>
  </si>
  <si>
    <t>Обменный натрий</t>
  </si>
  <si>
    <t xml:space="preserve"> Табл.70, § 31</t>
  </si>
  <si>
    <t>ЕКО -емкость катионного обмена</t>
  </si>
  <si>
    <t xml:space="preserve"> Табл.70, § 41</t>
  </si>
  <si>
    <t xml:space="preserve">Карбонаты в почвах </t>
  </si>
  <si>
    <t>Ионы Сульфата</t>
  </si>
  <si>
    <t xml:space="preserve"> Табл.70, § 3</t>
  </si>
  <si>
    <t>Ионы хлорида</t>
  </si>
  <si>
    <t xml:space="preserve"> Табл.70, § 7</t>
  </si>
  <si>
    <t xml:space="preserve"> Калий подвижный </t>
  </si>
  <si>
    <t xml:space="preserve"> Табл.70, § 29</t>
  </si>
  <si>
    <t xml:space="preserve">Кальций и Магний </t>
  </si>
  <si>
    <t xml:space="preserve"> Табл.70, § 50</t>
  </si>
  <si>
    <t>Гранулометрический анализ фракций почв меньше 0,1 мм методом ареометра (пипетки)</t>
  </si>
  <si>
    <t xml:space="preserve"> Табл.64, § 12</t>
  </si>
  <si>
    <t>Определение химического состава почв</t>
  </si>
  <si>
    <t>1 метал образец</t>
  </si>
  <si>
    <t>Табл.70, § 57</t>
  </si>
  <si>
    <t>Определение нефтепродуктов</t>
  </si>
  <si>
    <t>Табл.70, § 63</t>
  </si>
  <si>
    <t>Определение 3,4-бенз(а)пирена</t>
  </si>
  <si>
    <t>Табл.70, § 66</t>
  </si>
  <si>
    <t xml:space="preserve">Алюминий </t>
  </si>
  <si>
    <t xml:space="preserve"> Табл.72, § 1</t>
  </si>
  <si>
    <t>Барий</t>
  </si>
  <si>
    <t xml:space="preserve"> Табл.72, § 3</t>
  </si>
  <si>
    <t xml:space="preserve">Бериллий </t>
  </si>
  <si>
    <t xml:space="preserve"> Табл.72, § 4</t>
  </si>
  <si>
    <t>Бор</t>
  </si>
  <si>
    <t xml:space="preserve"> Табл.72, § 5</t>
  </si>
  <si>
    <t>Кадмий</t>
  </si>
  <si>
    <t xml:space="preserve"> Табл.72, § 15</t>
  </si>
  <si>
    <t>Медь</t>
  </si>
  <si>
    <t xml:space="preserve"> Табл.72, § 33</t>
  </si>
  <si>
    <t>Мышьяк</t>
  </si>
  <si>
    <t xml:space="preserve"> Табл.72, § 35</t>
  </si>
  <si>
    <t>Никель</t>
  </si>
  <si>
    <t xml:space="preserve"> Табл.72, § 39</t>
  </si>
  <si>
    <t>Ртуть</t>
  </si>
  <si>
    <t xml:space="preserve"> Табл.72, § 48</t>
  </si>
  <si>
    <t>Свинец</t>
  </si>
  <si>
    <t xml:space="preserve"> Табл.72, § 49</t>
  </si>
  <si>
    <t>Хром</t>
  </si>
  <si>
    <t xml:space="preserve"> Табл.72, § 74</t>
  </si>
  <si>
    <t>Цинк</t>
  </si>
  <si>
    <t xml:space="preserve"> Табл.72, § 75</t>
  </si>
  <si>
    <t>Натрий</t>
  </si>
  <si>
    <t xml:space="preserve"> Табл.72, § 36</t>
  </si>
  <si>
    <t>Молибден</t>
  </si>
  <si>
    <t xml:space="preserve"> Табл.72, § 34</t>
  </si>
  <si>
    <t>Марганец</t>
  </si>
  <si>
    <t xml:space="preserve"> Табл.72, § 30</t>
  </si>
  <si>
    <t>Селен</t>
  </si>
  <si>
    <t xml:space="preserve"> Табл.72, § 50</t>
  </si>
  <si>
    <t>Анализ воды (взвешенные вещества).</t>
  </si>
  <si>
    <t xml:space="preserve"> Табл.72, §90</t>
  </si>
  <si>
    <t>Определение нефтепродуктов в воде</t>
  </si>
  <si>
    <t xml:space="preserve"> Табл.72, § 38</t>
  </si>
  <si>
    <t>ИТОГО ЛАБОРАТОРНЫХ РАБОТ</t>
  </si>
  <si>
    <t>Составление программы</t>
  </si>
  <si>
    <t>программа</t>
  </si>
  <si>
    <t>Табл.86, § 6</t>
  </si>
  <si>
    <t>Итого стоимость камеральных работ</t>
  </si>
  <si>
    <t>Составление отчета</t>
  </si>
  <si>
    <t xml:space="preserve"> Табл.87, § 1</t>
  </si>
  <si>
    <t>ИТОГО КАМЕРАЛЬНЫХ РАБОТ</t>
  </si>
  <si>
    <t xml:space="preserve">4. Дополнительные работы с оплатой услуг сторонних организаций, необходимых для производства изысканий </t>
  </si>
  <si>
    <t>Получение (приобретение) исходных данных и сведений о природных условиях</t>
  </si>
  <si>
    <t>справка</t>
  </si>
  <si>
    <t>на  инженерные изыскания</t>
  </si>
  <si>
    <t>Составлена в уровне цен на 01.01.2001 г.</t>
  </si>
  <si>
    <t>В руб.</t>
  </si>
  <si>
    <t>Индекс на 01.01.2000 г. к ценам на 01.01.1995 г. по письму Госстроя России №АШ-3412/10-ЛС/08 от 07.10.1999г. = 6,46; Индекс на 1 квартал 2001 г. г. к ценам на 01.01.1995 г. по письму Госстроя России №АШ-9/10 от 04.01.2001г. = 7,71</t>
  </si>
  <si>
    <t>К=4,59</t>
  </si>
  <si>
    <t>РАСЧЕТ № 12-04-01
ЗАТРАТ НА ПРОЕЗД АВТОРСКОГО НАДЗОРА НА ОБЪЕКТ И ОБРАТНО</t>
  </si>
  <si>
    <t>Приказ №421/пр от 04.08.2020 г., п.174</t>
  </si>
  <si>
    <t>Составлен на 01.01.2000 г. с переводом в текущие цены на 2 квартал 2021 г.</t>
  </si>
  <si>
    <t>Наименование данных</t>
  </si>
  <si>
    <t>Ед.изм.</t>
  </si>
  <si>
    <t>Расчет</t>
  </si>
  <si>
    <t>Показатели</t>
  </si>
  <si>
    <t>ИСХОДНЫЕ ДАННЫЕ:</t>
  </si>
  <si>
    <t>Срок строительства объекта</t>
  </si>
  <si>
    <t>Д-ДРП-20-016-ПОС, л.138</t>
  </si>
  <si>
    <t>Количество поездок на Объект</t>
  </si>
  <si>
    <t>Численность инженеров АН</t>
  </si>
  <si>
    <t>чел.</t>
  </si>
  <si>
    <t>Колисество дней нахождения на объекте за одну поездку</t>
  </si>
  <si>
    <t>дней</t>
  </si>
  <si>
    <t>Раздел 1. Расчет затрат на проезд АН от г. Санкт-Петербург до г. Пятигорск</t>
  </si>
  <si>
    <t>Стоимость проезда аэропорт Пулково-аэропорт Минеральные воды</t>
  </si>
  <si>
    <t>714,51 руб. х 1 чел. х 18 раз</t>
  </si>
  <si>
    <t>стоимость билетов на самолет (туда-обратно) Д-ДРП-20-016-СМ4, с.167</t>
  </si>
  <si>
    <t>ИТОГО по разделу 1</t>
  </si>
  <si>
    <t>Раздел 2. Расчет затрат на проезд работников от г. Пятигорск до с. Эльбрус</t>
  </si>
  <si>
    <t>24,78 руб. х 1 чел. х 2 (туда-обратно) х 18 раз</t>
  </si>
  <si>
    <t>стоимость билетов на автобус Д-ДРП-20-016-СМ4, с.168</t>
  </si>
  <si>
    <t>Время в пути в одном направлении</t>
  </si>
  <si>
    <t>1ч.13м.</t>
  </si>
  <si>
    <t>60 км</t>
  </si>
  <si>
    <t>Норма времени для перевозки работников от г. Баксан до с. Эльбрус</t>
  </si>
  <si>
    <t>м/час</t>
  </si>
  <si>
    <t>97/50  = 1,94 часа</t>
  </si>
  <si>
    <t>По дорогам не нас.пункта с усоверш. покр. Расч.пробег автобусов при перевозке людей - 50 км/час, по дорогам насел.пунктов - 22 км/час</t>
  </si>
  <si>
    <t>Затраты на перевозку рабочих от г. Баксан до с. Эльбрус</t>
  </si>
  <si>
    <t>110,21 х 1 чел. х 2 (туда-обратно) х 18</t>
  </si>
  <si>
    <t>56,81*1,94 ч.=110,21 руб ФСЭМ-91.13.03-011 (применительно).</t>
  </si>
  <si>
    <t>ИТОГО по разделу 2</t>
  </si>
  <si>
    <t>Раздел 3. Расчет затрат на перевозку АН от с. Эльбрус до места производства работ</t>
  </si>
  <si>
    <t>Д-ДРП-20-016-ПОС, л.133</t>
  </si>
  <si>
    <t>Норма времени для перевозки работников от с. Эльбрус до площадки строительства</t>
  </si>
  <si>
    <t>13/50  = 0,26 часа</t>
  </si>
  <si>
    <t>Стоимость одного маш.часа автобуса, вместимостью 30 человека</t>
  </si>
  <si>
    <t>руб./час</t>
  </si>
  <si>
    <t>Применительно: ФСЭМ-91.13.03-011</t>
  </si>
  <si>
    <t>Затраты на перевозку АН от с. Эльбрус до площадки строительства</t>
  </si>
  <si>
    <t>14,77 х 1 чел. х 2 (туда-обратно)х2 дня х 18 раз</t>
  </si>
  <si>
    <t>56,81*0,26 ч.=14,77 руб</t>
  </si>
  <si>
    <t>ИТОГО по разделу 3</t>
  </si>
  <si>
    <t>ВСЕГО ЗАТРАТЫ НА ПРОЕЗД АН в ценах 2000 г.:</t>
  </si>
  <si>
    <t>ВСЕГО ЗАТРАТЫ НА ПРОЕЗД АН в текущих ценах:</t>
  </si>
  <si>
    <t>Составил: ___________________________Ярулина В.К.</t>
  </si>
  <si>
    <t>Проверил: ___________________________Книгель В.В.</t>
  </si>
  <si>
    <t>РАСЧЕТ № 12-05-01</t>
  </si>
  <si>
    <t>ГЭЭ от 14.12.2020 № МК-05-02-41/43738, Том 9.4, с.191</t>
  </si>
  <si>
    <t xml:space="preserve">Составлен в текущем  уровне 2кв. 2021г. с пересчетом в базовый уровень  цен на 01.01.2000 г. </t>
  </si>
  <si>
    <t>ГЭЭ документации "Всесезонный
туристско-рекреацонный комплекс
"Эльбрус", Кабардино-Балкарская
Республика. Открытая плоскостная
парковка на 800 машино/мест".</t>
  </si>
  <si>
    <t>Счет №00ГУ-0000015 от 31.05.2021  ЮЖНОЕ МЕЖРЕГИОНАЛЬНОЕ УПРАВЛЕНИЕ ФЕДЕРАЛЬНОЙ СЛУЖБЫ ПО НАДЗОРУ В СФЕРЕ
ПРИРОДОПОЛЬЗОВАНИЯ ИНН 2309089375 КПП 230901001</t>
  </si>
  <si>
    <t>Всего затрат, в текущих ценах 2 кв.2021г.</t>
  </si>
  <si>
    <t>Всего затрат,  в ценах на 01.01.2000г.</t>
  </si>
  <si>
    <t>письмо Минстроя РФ от 20.05.2021 №20800-ИФ/09 для объектов непроизводственного назначения К= 5,71</t>
  </si>
  <si>
    <t>Форма № 1</t>
  </si>
  <si>
    <t xml:space="preserve">Заказчик </t>
  </si>
  <si>
    <t>"Утвержден" «    »________________2021 г.</t>
  </si>
  <si>
    <t>(ссылка на документ об утверждении)</t>
  </si>
  <si>
    <t>«    »________________2021 г.</t>
  </si>
  <si>
    <t>СВОДНЫЙ СМЕТНЫЙ РАСЧЕТ СТОИМОСТИ СТРОИТЕЛЬСТВА</t>
  </si>
  <si>
    <t>Составлен в базисном уровне цен по состоянию на 01.01.2000 г.</t>
  </si>
  <si>
    <t>Номера сметных расчетов и смет</t>
  </si>
  <si>
    <t>Наименование глав, объектов, работ и затрат</t>
  </si>
  <si>
    <t>Общая сметная стоимость, тыс. руб.</t>
  </si>
  <si>
    <t>строитель-
ных работ</t>
  </si>
  <si>
    <t>оборудования, мебели, инвентаря</t>
  </si>
  <si>
    <t>прочих</t>
  </si>
  <si>
    <t>Глава 1. Подготовка территории строительства</t>
  </si>
  <si>
    <t>01-01</t>
  </si>
  <si>
    <t>01-02</t>
  </si>
  <si>
    <t>01-04-01</t>
  </si>
  <si>
    <t>Итого по Главе 1. "Подготовка территории строительства"</t>
  </si>
  <si>
    <t>Глава 2. Основные объекты строительства</t>
  </si>
  <si>
    <t>02-01</t>
  </si>
  <si>
    <t>Итого по Главе 2. "Основные объекты строительства"</t>
  </si>
  <si>
    <t>Глава 3. Объекты подсобного и обслуживающего назначения</t>
  </si>
  <si>
    <t>03-01</t>
  </si>
  <si>
    <t>03-02</t>
  </si>
  <si>
    <t>03-03</t>
  </si>
  <si>
    <t>03-04-01</t>
  </si>
  <si>
    <t>Итого по Главе 3. "Объекты подсобного и обслуживающего назначения"</t>
  </si>
  <si>
    <t>Глава 4. Объекты энергетического хозяйства</t>
  </si>
  <si>
    <t>04-01</t>
  </si>
  <si>
    <t>Наружное электроснабжение</t>
  </si>
  <si>
    <t>Итого по Главе 4. "Объекты энергетического хозяйства"</t>
  </si>
  <si>
    <t>Глава 5. Объекты транспортного хозяйства и связи</t>
  </si>
  <si>
    <t>05-01-01</t>
  </si>
  <si>
    <t>05-02</t>
  </si>
  <si>
    <t>05-03-01</t>
  </si>
  <si>
    <t>Итого по Главе 5. "Объекты транспортного хозяйства и связи"</t>
  </si>
  <si>
    <t>Глава 6. Наружные сети и сооружения водоснабжения, водоотведения, теплоснабжения и газоснабжения</t>
  </si>
  <si>
    <t>06-01-01</t>
  </si>
  <si>
    <t>06-02</t>
  </si>
  <si>
    <t>Итого по Главе 6. "Наружные сети и сооружения водоснабжения, водоотведения, теплоснабжения и газоснабжения"</t>
  </si>
  <si>
    <t>Глава 7. Благоустройство и озеленение территории</t>
  </si>
  <si>
    <t>07-01</t>
  </si>
  <si>
    <t>Итого по Главе 7. "Благоустройство и озеленение территории"</t>
  </si>
  <si>
    <t>Итого по Главам 1-7</t>
  </si>
  <si>
    <t>Глава 8. Временные здания и сооружения</t>
  </si>
  <si>
    <t>Приказ Минстроя России от 19.06.2020 N 332/пр, Прил.1, Раздел 3 п.55</t>
  </si>
  <si>
    <t>Временные здания и сооружения 3,1%</t>
  </si>
  <si>
    <t>Итого по Главе 8. "Временные здания и сооружения"</t>
  </si>
  <si>
    <t>Итого по Главам 1-8</t>
  </si>
  <si>
    <t>Глава 9. Прочие работы и затраты</t>
  </si>
  <si>
    <t>ГСН 81-05-02-2007 п.11.4</t>
  </si>
  <si>
    <t>Производство работ в зимнее время 0,5%</t>
  </si>
  <si>
    <t>09-01-01</t>
  </si>
  <si>
    <t>09-02-01</t>
  </si>
  <si>
    <t>09-03-01</t>
  </si>
  <si>
    <t>09-04</t>
  </si>
  <si>
    <t>09-05-01</t>
  </si>
  <si>
    <t>09-06-01</t>
  </si>
  <si>
    <t>09-07</t>
  </si>
  <si>
    <t>Итого по Главе 9. "Прочие работы и затраты"</t>
  </si>
  <si>
    <t>Итого по Главам 1-9</t>
  </si>
  <si>
    <t>Глава 10. Содержание службы заказчика. Строительный контроль</t>
  </si>
  <si>
    <t>10-01-01</t>
  </si>
  <si>
    <t>Итого по Главе 10. "Содержание службы заказчика. Строительный контроль"</t>
  </si>
  <si>
    <t>Глава 12. 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</t>
  </si>
  <si>
    <t>12-01</t>
  </si>
  <si>
    <t>12-02-01</t>
  </si>
  <si>
    <t>12-03-01</t>
  </si>
  <si>
    <t>СР-7</t>
  </si>
  <si>
    <t>№421/пр от 4.08.2020 г.,п.173</t>
  </si>
  <si>
    <t>Авторский надзор 0,2%</t>
  </si>
  <si>
    <t>12-04-01</t>
  </si>
  <si>
    <t>12-05-01</t>
  </si>
  <si>
    <t>Итого по Главе 12. "Публичный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работы"</t>
  </si>
  <si>
    <t>Итого по Главам 1-12</t>
  </si>
  <si>
    <t>Непредвиденные затраты</t>
  </si>
  <si>
    <t>№421/пр от 4.08.2020 г., п.179 а</t>
  </si>
  <si>
    <t>Непредвиденные работы и затраты 2%</t>
  </si>
  <si>
    <t>Итого "Непредвиденные затраты"</t>
  </si>
  <si>
    <t>Итого с учетом "Непредвиденные затраты"</t>
  </si>
  <si>
    <t>Итого по сводному расчету</t>
  </si>
  <si>
    <t>В.В. Книгель</t>
  </si>
  <si>
    <t>П.А. Орищук</t>
  </si>
  <si>
    <t>Составлена в ценах по состоянию на 2 кв.2021 г.</t>
  </si>
  <si>
    <t>Затраты на геодезическую разбивочную основу</t>
  </si>
  <si>
    <t>Налоги и обязательные платежи</t>
  </si>
  <si>
    <t>№ 303-ФЗ 3 августа 2018 г.</t>
  </si>
  <si>
    <t>НДС 20%</t>
  </si>
  <si>
    <t>Итого "Налоги и обязательные платежи"</t>
  </si>
  <si>
    <t>ССР СС(2000г)</t>
  </si>
  <si>
    <t>ССР СС(2021г)</t>
  </si>
  <si>
    <t>ОСР 01-01(2000г)</t>
  </si>
  <si>
    <t>ОСР 01-01(2021г)</t>
  </si>
  <si>
    <t>ОСР 01-02 (2000г)</t>
  </si>
  <si>
    <t>ОСР 01-02 (2021г)</t>
  </si>
  <si>
    <t>ОСР 02-01 (2000г)</t>
  </si>
  <si>
    <t>ОСР 02-01 (2021г)</t>
  </si>
  <si>
    <t>ОСР 03-01 (2000г)</t>
  </si>
  <si>
    <t>ОСР 03-01 (2021г)</t>
  </si>
  <si>
    <t>ОСР 03-02 (2000г)</t>
  </si>
  <si>
    <t>ОСР 03-02 (2021г)</t>
  </si>
  <si>
    <t>ОСР 03-03 (2000г)</t>
  </si>
  <si>
    <t>ОСР 03-03 (2021г)</t>
  </si>
  <si>
    <t>ОСР 04-01(2000г)</t>
  </si>
  <si>
    <t>ОСР 04-01(2021г)</t>
  </si>
  <si>
    <t>ОСР 05-02(2000г)</t>
  </si>
  <si>
    <t>ОСР 05-02(2021г)</t>
  </si>
  <si>
    <t>ОСР 06-02(2000г)</t>
  </si>
  <si>
    <t>ОСР 06-02(2021г)</t>
  </si>
  <si>
    <t>ОСР 07-01 (2000г)</t>
  </si>
  <si>
    <t>ОСР 07-01 (2021г)</t>
  </si>
  <si>
    <t>ОСР 09-04(2000г)</t>
  </si>
  <si>
    <t>ОСР 09-04(2021г)</t>
  </si>
  <si>
    <t>ОСР 09-07(2000г)</t>
  </si>
  <si>
    <t>ОСР 09-07(2021г)</t>
  </si>
  <si>
    <t>ОСР ПИР (2021г)</t>
  </si>
  <si>
    <t>ОСР ПИР (2001г)</t>
  </si>
  <si>
    <t>ОСР ПИР (2000г)</t>
  </si>
  <si>
    <t>Электроснабжение и электроосвещение</t>
  </si>
  <si>
    <t>(1529,8)</t>
  </si>
  <si>
    <t>Раздел 2. Земляные работы</t>
  </si>
  <si>
    <t>Траншея Т-1</t>
  </si>
  <si>
    <t>0,000796</t>
  </si>
  <si>
    <t>Объем=(0,54+0,256) / 1000</t>
  </si>
  <si>
    <t>0,0532325</t>
  </si>
  <si>
    <t>0,014525</t>
  </si>
  <si>
    <t>Объем=(15,795-0,796-0,4739) / 1000</t>
  </si>
  <si>
    <t>0,7716406</t>
  </si>
  <si>
    <t>0,004739</t>
  </si>
  <si>
    <t>Объем=(15,795*0,03) / 100</t>
  </si>
  <si>
    <t>2,108855</t>
  </si>
  <si>
    <t>1,8308</t>
  </si>
  <si>
    <t>Объем=(0,54+0,256)*2,3</t>
  </si>
  <si>
    <t>0,014999</t>
  </si>
  <si>
    <t>Объем=14,999 / 1000</t>
  </si>
  <si>
    <t>0,6187088</t>
  </si>
  <si>
    <t>0,14999</t>
  </si>
  <si>
    <t>Объем=14,999 / 100</t>
  </si>
  <si>
    <t>2,804813</t>
  </si>
  <si>
    <t>0,5868359</t>
  </si>
  <si>
    <t>Стартовый и приемный котлован  (2 шт)</t>
  </si>
  <si>
    <t>0,000478</t>
  </si>
  <si>
    <t>Объем=(0,45+0,028) / 1000</t>
  </si>
  <si>
    <t>0,0448125</t>
  </si>
  <si>
    <t>ФЕР01-01-007-05</t>
  </si>
  <si>
    <t>Разработка грунта в отвал в котлованах объемом до 1000 м3 экскаваторами с ковшом вместимостью 0,5 (0,5-0,63) м3, группа грунтов: 5</t>
  </si>
  <si>
    <t>0,015272</t>
  </si>
  <si>
    <t>Объем=(15,75-0,478) / 1000</t>
  </si>
  <si>
    <t>59,5</t>
  </si>
  <si>
    <t>1,135855</t>
  </si>
  <si>
    <t>1,0994</t>
  </si>
  <si>
    <t>Объем=0,478*2,3</t>
  </si>
  <si>
    <t>ФЕР01-01-007-04</t>
  </si>
  <si>
    <t>Разработка грунта в отвал в котлованах объемом до 1000 м3 экскаваторами с ковшом вместимостью 0,5 (0,5-0,63) м3, группа грунтов: 4 (обратная засыпка)</t>
  </si>
  <si>
    <t>Объем=15,272 / 1000</t>
  </si>
  <si>
    <t>0,85905</t>
  </si>
  <si>
    <t>0,15272</t>
  </si>
  <si>
    <t>Объем=15,272 / 100</t>
  </si>
  <si>
    <t>2,855864</t>
  </si>
  <si>
    <t>0,597517</t>
  </si>
  <si>
    <t>Итоги по разделу 2 Земляные работы :</t>
  </si>
  <si>
    <t xml:space="preserve">  Итого по разделу 2 Земляные работы</t>
  </si>
  <si>
    <t>Раздел 3. Строительные и монтажные работы</t>
  </si>
  <si>
    <t>ФЕР04-01-079-01</t>
  </si>
  <si>
    <t>Монтаж установки горизонтально направленного бурения: с тяговым усилием 20 тс (200 кН)</t>
  </si>
  <si>
    <t>0,3375</t>
  </si>
  <si>
    <t>Приказ Минстроя России № 812/пр от 21.12.2020 Прил. п.4</t>
  </si>
  <si>
    <t>НР Скважины</t>
  </si>
  <si>
    <t>Приказ Минстроя России № 774/пр от 11.12.2020 Прил. п.4</t>
  </si>
  <si>
    <t>СП Скважины</t>
  </si>
  <si>
    <t>ФЕР04-01-080-01</t>
  </si>
  <si>
    <t>Демонтаж установки горизонтально направленного бурения: с тяговым усилием 20 тс (200 кН)</t>
  </si>
  <si>
    <t>ФЕР04-01-081-02</t>
  </si>
  <si>
    <t>Устройство закрытого подземного перехода методом ГНБ с поэтапным расширением скважины для стальных труб в грунтах I-III группы установками с тяговым усилием 20 тс (200 кН): для труб Dу=200 мм длиной до 200 м</t>
  </si>
  <si>
    <t>124,2</t>
  </si>
  <si>
    <t>1,66</t>
  </si>
  <si>
    <t>149,4</t>
  </si>
  <si>
    <t>ФССЦ-01.4.03.01-0021</t>
  </si>
  <si>
    <t>Глина бентонитовая, ПБМГ</t>
  </si>
  <si>
    <t>3,0744</t>
  </si>
  <si>
    <t>Объем=3074,4/1000</t>
  </si>
  <si>
    <t>ФССЦ-01.4.03.03-0031</t>
  </si>
  <si>
    <t>Полимер универсальный для стабилизации буровых скважин</t>
  </si>
  <si>
    <t>155,52</t>
  </si>
  <si>
    <t>ФЕРм08-02-407-19</t>
  </si>
  <si>
    <t>Труба стальная по установленным конструкциям, по фермам, колоннам и другим стальным конструкциям, диаметр: до 100 мм(по опоре)</t>
  </si>
  <si>
    <t>55,92</t>
  </si>
  <si>
    <t>ФССЦ-23.3.06.04-0033</t>
  </si>
  <si>
    <t>Трубы стальные сварные неоцинкованные водогазопроводные без резьбы, легкие, номинальный диаметр 125 мм, толщина стенки 4 мм</t>
  </si>
  <si>
    <t>Объем=2*1,02</t>
  </si>
  <si>
    <t>1,089</t>
  </si>
  <si>
    <t>Объем=0,99*1,1</t>
  </si>
  <si>
    <t>Объем=25 / 100</t>
  </si>
  <si>
    <t>25,5</t>
  </si>
  <si>
    <t>Объем=103 / 100</t>
  </si>
  <si>
    <t>29,664</t>
  </si>
  <si>
    <t>0,515</t>
  </si>
  <si>
    <t>ТЦ_21.1.06.00_78_7801023620_28.07.2021_01 том 11.4. стр.51, п.170</t>
  </si>
  <si>
    <t>Кабель силовой с алюминиевыми жилами с экраном, с изоляцией из сшитого полиэтилена, на напряжение 10 кВ, АПвП2гу-10 3х95/50 мм2</t>
  </si>
  <si>
    <t>105,06</t>
  </si>
  <si>
    <t>Объем=103*1,02</t>
  </si>
  <si>
    <t>ФЕРм08-02-162-02</t>
  </si>
  <si>
    <t>Заделка концевая из самосклеивающихся лент для 3-жильного кабеля с бумажной изоляцией напряжением до 10 кВ, сечение одной жилы: до 120 мм2</t>
  </si>
  <si>
    <t>4,85</t>
  </si>
  <si>
    <t>ТЦ_20.2.09.00_78_7801023620_28.07.2021_01 том 11.4. стр.51, п.171</t>
  </si>
  <si>
    <t>Кабельная концевая муфта наружной установки напряжением до 10 кВ, 3ПКНТп-10-70/120</t>
  </si>
  <si>
    <t>ТЦ_20.2.09.00_78_7801023620_28.07.2021._01 том 11.4. стр.51, п.172</t>
  </si>
  <si>
    <t>Кабельная концевая муфта внутренней  установки напряжением до 10 кВ,3ПКВТп-10-70/120</t>
  </si>
  <si>
    <t>ФССЦ-20.2.10.04-0007</t>
  </si>
  <si>
    <t>Наконечники кабельные медные луженые под опрессовку 50-10-11-М УХЛ3</t>
  </si>
  <si>
    <t>7,275</t>
  </si>
  <si>
    <t>ТЦ_20.2.09.00_78_7801023620_28.07.2021_01том 11.4. стр.52, п.173</t>
  </si>
  <si>
    <t>Кабельные изолированные адаптеры РИКС 70-120</t>
  </si>
  <si>
    <t>Итоги по разделу 3 Строительные и монтажные работы :</t>
  </si>
  <si>
    <t xml:space="preserve">  Итого по разделу 3 Строительные и монтажные работы</t>
  </si>
  <si>
    <t>Раздел 4. Заземление</t>
  </si>
  <si>
    <t>ФЕРм08-02-472-07</t>
  </si>
  <si>
    <t>Проводник заземляющий открыто по строительным основаниям: из полосовой стали сечением 160 мм2</t>
  </si>
  <si>
    <t>18,5</t>
  </si>
  <si>
    <t>12,875</t>
  </si>
  <si>
    <t>0,675</t>
  </si>
  <si>
    <t>Итоги по разделу 4 Заземление :</t>
  </si>
  <si>
    <t xml:space="preserve">  Итого по разделу 4 Заземление</t>
  </si>
  <si>
    <t>07-02</t>
  </si>
  <si>
    <t>ЛОКАЛЬНЫЙ СМЕТНЫЙ РАСЧЕТ (СМЕТА) № 01-02-03</t>
  </si>
  <si>
    <t>Внутриплощадочные  сети электроснабжения и электроосвещения. Демонтаж существующей ВЛ НО 0,4 кВ</t>
  </si>
  <si>
    <t>Внутриплощадочные  сети электроснабжения и электроосвещения.</t>
  </si>
  <si>
    <t>Д-ДРП-20-016-ИОС 1.2-ЭС. С.2</t>
  </si>
  <si>
    <t>01.01.2000г. с переводом в текущие цены 2 кв. 2021г.</t>
  </si>
  <si>
    <t>(1,73)</t>
  </si>
  <si>
    <t>(1,08)</t>
  </si>
  <si>
    <t>Раздел 1. Демонтаж существующей ВЛ НО 0,4 кВ</t>
  </si>
  <si>
    <t>ФЕР33-04-017-01</t>
  </si>
  <si>
    <t>Подвеска самонесущих изолированных проводов (СИП-2А) напряжением от 0,4 кВ до 1 кВ (со снятием напряжения) при количестве 29 опор: с использованием автогидроподъемника (Демонтаж)</t>
  </si>
  <si>
    <t>0,185</t>
  </si>
  <si>
    <t>Объем=185 / 1000</t>
  </si>
  <si>
    <t>Приказ от 04.09.2019 № 507/пр табл.3 п.2</t>
  </si>
  <si>
    <t>Демонтаж оборудования, пригодного для дальнейшего использования, со снятием с места установки, необходимой (частичной) разборкой без надобности хранения (перемещается на другое место установки и т.п.) ОЗП=0,6; ЭМ=0,6 к расх.; ЗПМ=0,6; МАТ=0 к расх.; ТЗ=0,6; ТЗМ=0,6</t>
  </si>
  <si>
    <t>20.1.01.08-0019</t>
  </si>
  <si>
    <t>Зажим ответвительный с проводами ответвлений сечением 16-95 мм2</t>
  </si>
  <si>
    <t>20.2.02.04-0001</t>
  </si>
  <si>
    <t>Колпачки герметичные для защиты жил площадью поперечного сечения от 6 до 35 мм2</t>
  </si>
  <si>
    <t>21.2.01.01</t>
  </si>
  <si>
    <t>Провода самонесущие изолированные</t>
  </si>
  <si>
    <t>25.2.02.09-0011</t>
  </si>
  <si>
    <t>Хомут стяжной, диаметр 10-45 мм, длина 175 мм, разрушающая нагрузка 0,3 кН</t>
  </si>
  <si>
    <t>65,24</t>
  </si>
  <si>
    <t>9,05205</t>
  </si>
  <si>
    <t>37,51</t>
  </si>
  <si>
    <t>5,2045125</t>
  </si>
  <si>
    <t>ФЕР33-04-017-03</t>
  </si>
  <si>
    <t>При изменении количества опор на 1000 м добавлять или исключать: к расценке 33-04-017-01 (Nдоп= (4/0,185-29)*0,185)=-1</t>
  </si>
  <si>
    <t>-1</t>
  </si>
  <si>
    <t>1,53</t>
  </si>
  <si>
    <t>-1,1475</t>
  </si>
  <si>
    <t>-0,8325</t>
  </si>
  <si>
    <t>Установка опор наружного освещения композитных фланцевых (Демонтаж)</t>
  </si>
  <si>
    <t>Приказ от 04.09.2019 № 507/пр табл.2 п.4</t>
  </si>
  <si>
    <t>Демонтаж (разборка) металлических конструкций ОЗП=0,7; ЭМ=0,7 к расх.; ЗПМ=0,7; МАТ=0 к расх.; ТЗ=0,7; ТЗМ=0,7</t>
  </si>
  <si>
    <t>0,875</t>
  </si>
  <si>
    <t>4,97</t>
  </si>
  <si>
    <t>Прожектор, отдельно устанавливаемый: на кронштейне, установленном на опоре, с лампой мощностью 500 Вт (Демонтаж)</t>
  </si>
  <si>
    <t>8,304</t>
  </si>
  <si>
    <t>2,7774</t>
  </si>
  <si>
    <t>(2,06)</t>
  </si>
  <si>
    <t>(0,11)</t>
  </si>
  <si>
    <t>0,201</t>
  </si>
  <si>
    <t>Объем=20,1 / 100</t>
  </si>
  <si>
    <t>14,426775</t>
  </si>
  <si>
    <t>3,1230375</t>
  </si>
  <si>
    <t>48,24</t>
  </si>
  <si>
    <t>Объем=20,1*2,4</t>
  </si>
  <si>
    <t>ФССЦпг-03-21-01-040</t>
  </si>
  <si>
    <t>Перевозка грузов автомобилями-самосвалами грузоподъемностью 10 т работающих вне карьера на расстояние: I класс груза до 40 км</t>
  </si>
  <si>
    <t>Демонтажные работы. Труба</t>
  </si>
  <si>
    <t>Демонтажные работы. Кювет.</t>
  </si>
  <si>
    <t>01-02-03</t>
  </si>
  <si>
    <t>Демонтаж существующей ВЛ НО 0,4 кВ</t>
  </si>
  <si>
    <t>Итого "Локальные сметы (расчеты)"</t>
  </si>
  <si>
    <t>ЛОКАЛЬНЫЙ СМЕТНЫЙ РАСЧЕТ (СМЕТА) № 01-03-01</t>
  </si>
  <si>
    <t>Устройство защиты газопровода.</t>
  </si>
  <si>
    <t>Участок 1</t>
  </si>
  <si>
    <t>ФЕР01-01-009-14</t>
  </si>
  <si>
    <t>Разработка грунта в траншеях экскаватором «обратная лопата» с ковшом вместимостью 0,5 (0,5-0,63) м3, в отвал группа грунтов: 2</t>
  </si>
  <si>
    <t>ФЕР01-02-057-01</t>
  </si>
  <si>
    <t>Разработка грунта вручную в траншеях глубиной до 2 м без креплений с откосами, группа грунтов: 1</t>
  </si>
  <si>
    <t>ФЕР01-01-009-13</t>
  </si>
  <si>
    <t>Разработка грунта в траншеях экскаватором «обратная лопата» с ковшом вместимостью 0,5 (0,5-0,63) м3, в отвал группа грунтов: 1 (обратная засыпка)</t>
  </si>
  <si>
    <t>ФЕР01-02-005-01</t>
  </si>
  <si>
    <t>Уплотнение грунта пневматическими трамбовками, группа грунтов: 1-2</t>
  </si>
  <si>
    <t>12,53</t>
  </si>
  <si>
    <t>2,62</t>
  </si>
  <si>
    <t>Участок2</t>
  </si>
  <si>
    <t>0,0608</t>
  </si>
  <si>
    <t>Объем=6,08 / 100</t>
  </si>
  <si>
    <t>10,7616</t>
  </si>
  <si>
    <t>Раздел 2. Демонтажные работы</t>
  </si>
  <si>
    <t>ФЕР24-02-030-02</t>
  </si>
  <si>
    <t>Укладка в траншею изолированных стальных газопроводов диаметром: 80 мм (Демонтаж в траншеи изолированных стальных газопроводов диаметром: 80 мм)</t>
  </si>
  <si>
    <t>Приказ от 04.09.2019 № 507/пр табл.2 п.5</t>
  </si>
  <si>
    <t>23.4.01.04</t>
  </si>
  <si>
    <t>Трубы стальные изолированные</t>
  </si>
  <si>
    <t>21,44</t>
  </si>
  <si>
    <t>Участок 2</t>
  </si>
  <si>
    <t>Итоги по разделу 2 Демонтажные работы :</t>
  </si>
  <si>
    <t xml:space="preserve">  Итого по разделу 2 Демонтажные работы</t>
  </si>
  <si>
    <t>Раздел 3. Устройство защиты</t>
  </si>
  <si>
    <t>ФЕР22-05-003-01</t>
  </si>
  <si>
    <t>Протаскивание в футляр стальных труб диаметром: 100 мм</t>
  </si>
  <si>
    <t>84,4</t>
  </si>
  <si>
    <t>ФССЦ-18.4.01.02-0071</t>
  </si>
  <si>
    <t>Опорные части, седла, кронштейны и хомуты</t>
  </si>
  <si>
    <t>ФЕР22-02-004-02</t>
  </si>
  <si>
    <t>Нанесение нормальной антикоррозионной битумно-резиновой или битумно-полимерной изоляции на стыки и фасонные части стальных трубопроводов диаметром: 75 мм</t>
  </si>
  <si>
    <t>01.2.03.03</t>
  </si>
  <si>
    <t>Мастика</t>
  </si>
  <si>
    <t>19,5</t>
  </si>
  <si>
    <t>42,9</t>
  </si>
  <si>
    <t>7,92</t>
  </si>
  <si>
    <t>ФССЦ-01.2.03.03-0052</t>
  </si>
  <si>
    <t>Мастика битумно-полимерная горячая</t>
  </si>
  <si>
    <t>ФССЦ-01.7.18.01-0001</t>
  </si>
  <si>
    <t>Изолон ППЭ-Л</t>
  </si>
  <si>
    <t>ФЕР22-05-004-01</t>
  </si>
  <si>
    <t>Заделка битумом и прядью концов футляра диаметром: 400 мм</t>
  </si>
  <si>
    <t>футляр</t>
  </si>
  <si>
    <t>08.1.02.11-0001</t>
  </si>
  <si>
    <t>Поковки из квадратных заготовок, масса 1,8 кг</t>
  </si>
  <si>
    <t>2,89</t>
  </si>
  <si>
    <t>3,6125</t>
  </si>
  <si>
    <t>ФЕР24-02-123-02</t>
  </si>
  <si>
    <t>Подъем давления при испытании воздухом газопроводов высокого давления (до 0,6 МПа) номинальным диаметром: 100 мм</t>
  </si>
  <si>
    <t>ФЕР24-02-124-01</t>
  </si>
  <si>
    <t>Выдержка под давлением до 0,6 МПа при испытании на прочность и герметичность участка газопровода номинальным диаметром: 50-300 мм</t>
  </si>
  <si>
    <t>9,8</t>
  </si>
  <si>
    <t>12,25</t>
  </si>
  <si>
    <t>ФЕРм39-01-021-24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</si>
  <si>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грубее Rz 20 мкм (V5) и не грубее Rz 40 мкм (V4) без снятия выпуклости (усиления) сварного шва, номинальный диаметр трубопровода: 65 и 80, толщина стенки до 6 мм</t>
  </si>
  <si>
    <t>стык</t>
  </si>
  <si>
    <t>0,68</t>
  </si>
  <si>
    <t>Приказ Минстроя России № 812/пр от 21.12.2020 Прил. п.81</t>
  </si>
  <si>
    <t>НР Контроль монтажных сварных соединений</t>
  </si>
  <si>
    <t>Приказ Минстроя России № 774/пр от 11.12.2020 Прил. п.81</t>
  </si>
  <si>
    <t>СП Контроль монтажных сварных соединений</t>
  </si>
  <si>
    <t>ФЕРм39-02-006-04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</si>
  <si>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номинальный диаметр трубопровода: 80, толщина стенки до 8 мм</t>
  </si>
  <si>
    <t>Укладка в траншею изолированных стальных газопроводов диаметром: 80 мм (Ранее демонтированного)</t>
  </si>
  <si>
    <t>Объем=4,93*6/1000</t>
  </si>
  <si>
    <t>Итоги по разделу 3 Устройство защиты :</t>
  </si>
  <si>
    <t xml:space="preserve">  Итого по разделу 3 Устройство защиты</t>
  </si>
  <si>
    <t>01.4.03.01</t>
  </si>
  <si>
    <t>Бентонит</t>
  </si>
  <si>
    <t>42,7</t>
  </si>
  <si>
    <t>3074,4</t>
  </si>
  <si>
    <t>01.4.03.03</t>
  </si>
  <si>
    <t>Полимер для стабилизации грунта</t>
  </si>
  <si>
    <t>0,00216</t>
  </si>
  <si>
    <t>0,15552</t>
  </si>
  <si>
    <t>Труба стальная диаметр наружный 140 мм,толщина стенки 5мм
ГОСТ 10704‐91</t>
  </si>
  <si>
    <t>1,398</t>
  </si>
  <si>
    <t>0,0755</t>
  </si>
  <si>
    <t>2,1735</t>
  </si>
  <si>
    <t>0,02025</t>
  </si>
  <si>
    <t>ФЕРм08-02-231-06</t>
  </si>
  <si>
    <t>За каждую последующую трубу добавлять: к расценке 08-02-231-01</t>
  </si>
  <si>
    <t>0,36</t>
  </si>
  <si>
    <t>Объем=(63-27) / 100</t>
  </si>
  <si>
    <t>1,3635</t>
  </si>
  <si>
    <t>ТЦ_24.3.03.12_78_7814731027_01.03.2021_01 том 11.4.стр. 110, п.399</t>
  </si>
  <si>
    <t>Двустенная труба ПНД гибкая для кабельной канализации
диаметром 110 мм, с протяжкой DKC (120911)</t>
  </si>
  <si>
    <t>64,26</t>
  </si>
  <si>
    <t>(Электротехнические установки на других объектах)</t>
  </si>
  <si>
    <t>Объем=63*1,02</t>
  </si>
  <si>
    <t>Труба гофрированная ПВХ для защиты проводов и кабелей по установленным конструкциям, по стенам, колоннам, потолкам, основанию пола (по опоре)</t>
  </si>
  <si>
    <t>ТЦ_24.3.03.12_78_7814731027_01.03.2021_1том 11.4.стр.111, п.400</t>
  </si>
  <si>
    <t>Двустенная труба ПНД гибкая для открытой прокладки
диаметром125мм, УФ, с протяжкой, в бухте 40м, цвет черный 151912
"DKC"</t>
  </si>
  <si>
    <t>Объем=25*1,02</t>
  </si>
  <si>
    <t>0,365</t>
  </si>
  <si>
    <t>Объем=365 / 1000</t>
  </si>
  <si>
    <t>3,513125</t>
  </si>
  <si>
    <t>ФЕР01-01-032-16</t>
  </si>
  <si>
    <t>При перемещении грунта на каждые последующие 10 м добавлять: к расценке 01-01-032-08 (до 30 м в насыпь)</t>
  </si>
  <si>
    <t>5,35</t>
  </si>
  <si>
    <t>4,881875</t>
  </si>
  <si>
    <t>0,355</t>
  </si>
  <si>
    <t>Объем=355 / 1000</t>
  </si>
  <si>
    <t>18,6375</t>
  </si>
  <si>
    <t>15,13</t>
  </si>
  <si>
    <t>Объем=(11160+3970) / 1000</t>
  </si>
  <si>
    <t>671,39375</t>
  </si>
  <si>
    <t>58,061375</t>
  </si>
  <si>
    <t>2,754</t>
  </si>
  <si>
    <t>Объем=2754 / 1000</t>
  </si>
  <si>
    <t>364,905</t>
  </si>
  <si>
    <t>12,5307</t>
  </si>
  <si>
    <t>39,7</t>
  </si>
  <si>
    <t>Объем=3970 / 100</t>
  </si>
  <si>
    <t>107,19</t>
  </si>
  <si>
    <t>834,4</t>
  </si>
  <si>
    <t>Объем=596*1,4</t>
  </si>
  <si>
    <t>Раздел 3. Устройство дорожной одежды (в т.ч. съезды на парковки)</t>
  </si>
  <si>
    <t>Устройство дорожной одежды примыкания на км 102+852</t>
  </si>
  <si>
    <t>Объем=105 / 100</t>
  </si>
  <si>
    <t>18,9</t>
  </si>
  <si>
    <t>19,438125</t>
  </si>
  <si>
    <t>128,1</t>
  </si>
  <si>
    <t>Объем=105*1,22</t>
  </si>
  <si>
    <t>0,6333</t>
  </si>
  <si>
    <t>Объем=(190/0,3) / 1000</t>
  </si>
  <si>
    <t>23,5191788</t>
  </si>
  <si>
    <t>16,6003763</t>
  </si>
  <si>
    <t>5,4622125</t>
  </si>
  <si>
    <t>209</t>
  </si>
  <si>
    <t>Объем=190*1,1</t>
  </si>
  <si>
    <t>0,456</t>
  </si>
  <si>
    <t>Объем=456 / 1000</t>
  </si>
  <si>
    <t>21,3009</t>
  </si>
  <si>
    <t>4,2921</t>
  </si>
  <si>
    <t>0,29</t>
  </si>
  <si>
    <t>0,2987</t>
  </si>
  <si>
    <t>0,23925</t>
  </si>
  <si>
    <t>0,415</t>
  </si>
  <si>
    <t>Объем=415 / 1000</t>
  </si>
  <si>
    <t>10,821125</t>
  </si>
  <si>
    <t>9,7784375</t>
  </si>
  <si>
    <t>1,089375</t>
  </si>
  <si>
    <t>1,462875</t>
  </si>
  <si>
    <t>67,27</t>
  </si>
  <si>
    <t>0,1236</t>
  </si>
  <si>
    <t>0,72625</t>
  </si>
  <si>
    <t>0,97525</t>
  </si>
  <si>
    <t>50,13</t>
  </si>
  <si>
    <t>0,63</t>
  </si>
  <si>
    <t>Объем=63 / 100</t>
  </si>
  <si>
    <t>11,34</t>
  </si>
  <si>
    <t>11,662875</t>
  </si>
  <si>
    <t>76,86</t>
  </si>
  <si>
    <t>Объем=63*1,22</t>
  </si>
  <si>
    <t>Устройство дорожной одежды примыкания на км 103+310</t>
  </si>
  <si>
    <t>Объем=104 / 100</t>
  </si>
  <si>
    <t>18,72</t>
  </si>
  <si>
    <t>19,253</t>
  </si>
  <si>
    <t>126,88</t>
  </si>
  <si>
    <t>Объем=104*1,22</t>
  </si>
  <si>
    <t>0,6267</t>
  </si>
  <si>
    <t>Объем=(188/0,3) / 1000</t>
  </si>
  <si>
    <t>23,2740713</t>
  </si>
  <si>
    <t>16,4273738</t>
  </si>
  <si>
    <t>5,4052875</t>
  </si>
  <si>
    <t>206,8</t>
  </si>
  <si>
    <t>Объем=188*1,1</t>
  </si>
  <si>
    <t>0,451</t>
  </si>
  <si>
    <t>Объем=451 / 1000</t>
  </si>
  <si>
    <t>18,60375</t>
  </si>
  <si>
    <t>21,0673375</t>
  </si>
  <si>
    <t>4,2450375</t>
  </si>
  <si>
    <t>Объем=410 / 1000</t>
  </si>
  <si>
    <t>10,69075</t>
  </si>
  <si>
    <t>9,660625</t>
  </si>
  <si>
    <t>1,44525</t>
  </si>
  <si>
    <t>66,46</t>
  </si>
  <si>
    <t>0,7175</t>
  </si>
  <si>
    <t>0,9635</t>
  </si>
  <si>
    <t>49,53</t>
  </si>
  <si>
    <t>0,62</t>
  </si>
  <si>
    <t>Объем=62 / 100</t>
  </si>
  <si>
    <t>11,16</t>
  </si>
  <si>
    <t>11,47775</t>
  </si>
  <si>
    <t>75,64</t>
  </si>
  <si>
    <t>Объем=62*1,22</t>
  </si>
  <si>
    <t>Итоги по разделу 3 Устройство дорожной одежды (в т.ч. съезды на парковки) :</t>
  </si>
  <si>
    <t xml:space="preserve">  Итого по разделу 3 Устройство дорожной одежды (в т.ч. съезды на парковки)</t>
  </si>
  <si>
    <t>Объем=113 / 100</t>
  </si>
  <si>
    <t>16,031875</t>
  </si>
  <si>
    <t>1,32775</t>
  </si>
  <si>
    <t>0,3155</t>
  </si>
  <si>
    <t>Объем=(193,7+121,8)/1000</t>
  </si>
  <si>
    <t>160,6565438</t>
  </si>
  <si>
    <t>17,2815125</t>
  </si>
  <si>
    <t>5,704</t>
  </si>
  <si>
    <t>Объем=4,6*1,24</t>
  </si>
  <si>
    <t>ФССЦ-01.5.03.05-0012</t>
  </si>
  <si>
    <t>Стойка (опора) металлическая для дорожного знака, диаметр 76 мм (СКМ 3.30)</t>
  </si>
  <si>
    <t>ФССЦ-01.5.03.05-0021</t>
  </si>
  <si>
    <t>Стойка круглая металлическая для дорожных знаков с покраской и креплением для знака СКМ 3.35</t>
  </si>
  <si>
    <t>104</t>
  </si>
  <si>
    <t>ФССЦ-01.5.03.03-0042</t>
  </si>
  <si>
    <t>Знак дорожный на оцинкованной подоснове со световозвращающей пленкой особых предписаний, размером 900х900 мм, тип 5.5, 5.6, 5.8-5.14, 5.15.2-5.15.6, 5.19.1, 5.19.2, 5.20</t>
  </si>
  <si>
    <t>ФССЦ-01.5.03.03-0058</t>
  </si>
  <si>
    <t>Знак дорожный на оцинкованной подоснове со световозвращающей пленкой приоритета, 8-угольник размером 900 мм, тип 2.5</t>
  </si>
  <si>
    <t>ФССЦ-01.5.03.03-0022</t>
  </si>
  <si>
    <t>Знаки дорожные на оцинкованной подоснове со световозвращающей пленкой дополнительной информации, прямоугольной формы размером 450х900 мм, тип 8.1.1, 8.1.3-8.12, 8.14-8.21.3 (8.3.2)</t>
  </si>
  <si>
    <t>0,297</t>
  </si>
  <si>
    <t>Объем=297/1000</t>
  </si>
  <si>
    <t>12,474</t>
  </si>
  <si>
    <t>1,358775</t>
  </si>
  <si>
    <t>0,75735</t>
  </si>
  <si>
    <t>Разметка проезжей части краской сплошной линией шириной: 0,2 м (разметка 1.2.1)</t>
  </si>
  <si>
    <t>1,773</t>
  </si>
  <si>
    <t>Объем=1773/1000</t>
  </si>
  <si>
    <t>148,932</t>
  </si>
  <si>
    <t>8,111475</t>
  </si>
  <si>
    <t>4,52115</t>
  </si>
  <si>
    <t>148,9</t>
  </si>
  <si>
    <t>Разметка проезжей части краской прерывистой линией шириной 0,1 м при соотношении штриха и промежутка: 1:3 (разметка1.5)</t>
  </si>
  <si>
    <t>0,819</t>
  </si>
  <si>
    <t>Объем=819/1000</t>
  </si>
  <si>
    <t>8,5995</t>
  </si>
  <si>
    <t>3,746925</t>
  </si>
  <si>
    <t>2,08845</t>
  </si>
  <si>
    <t>8,6</t>
  </si>
  <si>
    <t>Разметка проезжей части краской линий регулирования дорожного движения сложной конфигурации по трафаретам с использованием маркировочных машин ручных (1.18а)</t>
  </si>
  <si>
    <t>0,288</t>
  </si>
  <si>
    <t>Объем=2,88 / 10</t>
  </si>
  <si>
    <t>0,002016</t>
  </si>
  <si>
    <t>1,8288</t>
  </si>
  <si>
    <t>0,8424</t>
  </si>
  <si>
    <t>Объем=0,002016*1000</t>
  </si>
  <si>
    <t>Разметка проезжей части краской линий регулирования дорожного движения сложной конфигурации по трафаретам с использованием маркировочных машин ручных  (1.18в)</t>
  </si>
  <si>
    <t>0,262</t>
  </si>
  <si>
    <t>Объем=2,62 / 10</t>
  </si>
  <si>
    <t>0,001834</t>
  </si>
  <si>
    <t>1,6637</t>
  </si>
  <si>
    <t>0,76635</t>
  </si>
  <si>
    <t>1,83</t>
  </si>
  <si>
    <t>Объем=0,001834*1000</t>
  </si>
  <si>
    <t>0,392</t>
  </si>
  <si>
    <t>Объем=3,92 / 10</t>
  </si>
  <si>
    <t>0,002744</t>
  </si>
  <si>
    <t>2,4892</t>
  </si>
  <si>
    <t>1,1466</t>
  </si>
  <si>
    <t>Объем=0,002744*1000</t>
  </si>
  <si>
    <t>125</t>
  </si>
  <si>
    <t>127</t>
  </si>
  <si>
    <t>ЛОКАЛЬНЫЙ СМЕТНЫЙ РАСЧЕТ (СМЕТА) № 07-02-02</t>
  </si>
  <si>
    <t>Внутриплощадочные  сети электроснабжения и электроосвещения.Перенос существующей ВЛ НО 0,4 кВ.</t>
  </si>
  <si>
    <t>(4,34)</t>
  </si>
  <si>
    <t>(0,97)</t>
  </si>
  <si>
    <t>0,00552</t>
  </si>
  <si>
    <t>Объем=5,52 / 1000</t>
  </si>
  <si>
    <t>0,36915</t>
  </si>
  <si>
    <t>0,015005</t>
  </si>
  <si>
    <t>Объем=(21,16-0,6348-5,52) / 1000</t>
  </si>
  <si>
    <t>0,7971406</t>
  </si>
  <si>
    <t>Разработка грунта вручную в траншеях глубиной до 2 м без креплений с откосами, группа грунтов: 4(доработка вручную)</t>
  </si>
  <si>
    <t>0,006348</t>
  </si>
  <si>
    <t>Объем=(21,16*0,03) / 100</t>
  </si>
  <si>
    <t>3,389832</t>
  </si>
  <si>
    <t>12,696</t>
  </si>
  <si>
    <t>Объем=5,52*2,3</t>
  </si>
  <si>
    <t>Разработка грунта в траншеях экскаватором «обратная лопата» с ковшом вместимостью 0,65 (0,5-1) м3, группа грунтов: 4(обратная засыпка)</t>
  </si>
  <si>
    <t>0,01564</t>
  </si>
  <si>
    <t>Объем=15,64 / 1000</t>
  </si>
  <si>
    <t>0,64515</t>
  </si>
  <si>
    <t>0,1564</t>
  </si>
  <si>
    <t>Объем=15,64 / 100</t>
  </si>
  <si>
    <t>2,92468</t>
  </si>
  <si>
    <t>0,611915</t>
  </si>
  <si>
    <t>0,0019</t>
  </si>
  <si>
    <t>Объем=1,9 / 1000</t>
  </si>
  <si>
    <t>0,1270625</t>
  </si>
  <si>
    <t>4,37</t>
  </si>
  <si>
    <t>Объем=1,9*2,3</t>
  </si>
  <si>
    <t>Раздел 2. Фундаменты под опоры</t>
  </si>
  <si>
    <t>ФССЦ-02.2.05.05-0004</t>
  </si>
  <si>
    <t>Щебень из пористых горных пород, фракция: 10-20 мм</t>
  </si>
  <si>
    <t>Объем=0,20*1,15</t>
  </si>
  <si>
    <t>Объем=1,7 / 100</t>
  </si>
  <si>
    <t>1,734</t>
  </si>
  <si>
    <t>2,86875</t>
  </si>
  <si>
    <t>0,38505</t>
  </si>
  <si>
    <t>Итоги по разделу 2 Фундаменты под опоры :</t>
  </si>
  <si>
    <t xml:space="preserve">  Итого по разделу 2 Фундаменты под опоры</t>
  </si>
  <si>
    <t>Раздел 3. Монтажные работы</t>
  </si>
  <si>
    <t>0,552</t>
  </si>
  <si>
    <t>Объем=5,52 / 10</t>
  </si>
  <si>
    <t>6,072</t>
  </si>
  <si>
    <t>7,038</t>
  </si>
  <si>
    <t>0,2208</t>
  </si>
  <si>
    <t>Объем=5,52*1,1</t>
  </si>
  <si>
    <t>0,92</t>
  </si>
  <si>
    <t>Объем=92 / 100</t>
  </si>
  <si>
    <t>5,083</t>
  </si>
  <si>
    <t>0,023</t>
  </si>
  <si>
    <t>ФССЦ-24.3.03.13-0306</t>
  </si>
  <si>
    <t>Трубы полиэтиленовые гладкие легкие ПНД, диаметр 50 мм</t>
  </si>
  <si>
    <t>93,84</t>
  </si>
  <si>
    <t>Объем=92*1,02</t>
  </si>
  <si>
    <t>Объем=24 / 100</t>
  </si>
  <si>
    <t>ТЦ_24.3.03.12_78_7814731027_01.03.2021_1 том 11.4 стр.50, п.168</t>
  </si>
  <si>
    <t>Двустенная труба ПНД гибкая для открытой прокладки диаметром 50мм, УФ, с протяжкой, в бухте 40м, цвет черный ("DKC"151950100)</t>
  </si>
  <si>
    <t>24,48</t>
  </si>
  <si>
    <t>Объем=24*1,02</t>
  </si>
  <si>
    <t>1,28</t>
  </si>
  <si>
    <t>Объем=128 / 100</t>
  </si>
  <si>
    <t>15,872</t>
  </si>
  <si>
    <t>ФССЦ-21.1.06.07-0013</t>
  </si>
  <si>
    <t>Кабель силовой с алюминиевыми жилами АВБбШв 4х16-660</t>
  </si>
  <si>
    <t>0,13056</t>
  </si>
  <si>
    <t>Объем=(128*1,02) / 1000</t>
  </si>
  <si>
    <t>2,272</t>
  </si>
  <si>
    <t>ТЦ_24.1.02.01_78_7814731027_01.03.2021_1 том 11.4 стр.110, п.396</t>
  </si>
  <si>
    <t>Хомут стальной для крепления к опоре  кабеля и трубСКС (304) 4,6*500 FORTISFLEX</t>
  </si>
  <si>
    <t>7,1</t>
  </si>
  <si>
    <t>13,84</t>
  </si>
  <si>
    <t>4,629</t>
  </si>
  <si>
    <t>Подвеска самонесущих изолированных проводов (СИП-2А) напряжением от 0,4 кВ до 1 кВ (со снятием напряжения) при количестве 29 опор: с использованием автогидроподъемника</t>
  </si>
  <si>
    <t>Объем=95 / 1000</t>
  </si>
  <si>
    <t>0,0969</t>
  </si>
  <si>
    <t>7,74725</t>
  </si>
  <si>
    <t>4,4543125</t>
  </si>
  <si>
    <t>При изменении количества опор на 1000 м добавлять или исключать: к расценке 33-04-017-01 (Nдоп= (4/0,095-29)*0,095)=1</t>
  </si>
  <si>
    <t>1,9125</t>
  </si>
  <si>
    <t>ФЕРм08-02-167-01</t>
  </si>
  <si>
    <t>Муфта соединительная эпоксидная для 3-5-жильного кабеля напряжением: до 1 кВ, сечение одной жилы до 35 мм2</t>
  </si>
  <si>
    <t>27,65</t>
  </si>
  <si>
    <t>ТЦ_20.2.09.05_78_7814731027_01.03.2021_1том 11.4 стр.109, п.395</t>
  </si>
  <si>
    <t>Муфты переходные для соединения кабеля с пластмассовой изоляцией и СИП на напряжение 1 кВ, с болтовыми наконечниками, четырехжильного, сечением 16 мм2 ПКМтпб4(СИП)-16/70</t>
  </si>
  <si>
    <t>4,408</t>
  </si>
  <si>
    <t>Итоги по разделу 3 Монтажные работы :</t>
  </si>
  <si>
    <t xml:space="preserve">  Итого по разделу 3 Монтажные работы</t>
  </si>
  <si>
    <t>ОБЪЕКТНЫЙ СМЕТНЫЙ РАСЧЕТ (СМЕТА) № ОС-07-02</t>
  </si>
  <si>
    <t>07-02-01</t>
  </si>
  <si>
    <t>07-02-02</t>
  </si>
  <si>
    <t>Перенос существующей ВЛ НО 0,4 кВ.</t>
  </si>
  <si>
    <t xml:space="preserve">Демонтаж существующей ВЛ </t>
  </si>
  <si>
    <t>ЛСР01-02-03</t>
  </si>
  <si>
    <t>Демонтажные работы. Кювет</t>
  </si>
  <si>
    <t>Демонтажные работы.Устройство защиты газопровода</t>
  </si>
  <si>
    <t>ЛСР 01-03-01</t>
  </si>
  <si>
    <t>ЛСР 04-01-01</t>
  </si>
  <si>
    <t>ЛСР 04-01-02</t>
  </si>
  <si>
    <t>01-03-01</t>
  </si>
  <si>
    <t>Цена 2000 г, тыс. руб</t>
  </si>
  <si>
    <t>Расчет 10-01-01</t>
  </si>
  <si>
    <t>1 070 060,28/12,14=88 143,35 руб.</t>
  </si>
  <si>
    <t>Д-ДРП-20-016-ООС1, л.85</t>
  </si>
  <si>
    <t xml:space="preserve">          Итого Поз. 2-4, 8-10, 15-17</t>
  </si>
  <si>
    <t>Итого по разделу 17 Перевозка грузов автомобилями бортовыми грузоподъемностью до 15 т на расстояние  L=130 км от г. Нальчик до площадки строительства, за исключением 30 км, учтенных в СНБ (итого: 100 км)  I класс груза</t>
  </si>
  <si>
    <t>Перевозка грузов автомобилями бортовыми грузоподъемностью до 15 т на расстояние: I класс груза до 100 км</t>
  </si>
  <si>
    <t>ФССЦпг-03-01-01-100</t>
  </si>
  <si>
    <t>Раздел 17. Перевозка грузов автомобилями бортовыми грузоподъемностью до 15 т на расстояние  L=130 км от г. Нальчик до площадки строительства, за исключением 30 км, учтенных в СНБ (итого: 100 км)  I класс груза</t>
  </si>
  <si>
    <t>Итого по разделу 16 Перевозка материалов бортовым автомобилем гп 5 т на расстояние L=130 км от г. Нальчик до площадки строительства, за исключением 30 км, учтенных в СНБ (итого: 100 км), IV класс груза</t>
  </si>
  <si>
    <t>Итого по разделу 15 Перевозка материалов бортовым автомобилем гп 5 т на расстояние L=110 км от г. Баксан  до площадки строительства, за исключением 30 км, учтенных в СНБ (итого: 80 км), I класс груза</t>
  </si>
  <si>
    <t>Итого по разделу 14 Перевозка материалов автомобилями-самосвалами автомобилем гп 10 т на расстояние L=110км от г. Баксан до площадки строительства за исключением 30 км, учтенных в СНБ (итого: 80 км),  I класс груза</t>
  </si>
  <si>
    <t>Итого по разделу 13 Перевозка материалов автомобилями-самосвалами автомобилем гп 10 т на расстояние L=170 км от  г. Пятигоск  до площадки строительства за исключением 30 км, учтенных в СНБ (итого: 140 км), III класс груза</t>
  </si>
  <si>
    <t>Итого по разделу 12 Перевозка материалов автомобилями-самосвалами автомобилем гп 10 т на расстояние L=170 км от  г. Пятигоск  до площадки строительства за исключением 30 км, учтенных в СНБ (итого: 140 км),  II класс груза</t>
  </si>
  <si>
    <t>Итого по разделу 11 Перевозка материалов автомобилями-самосвалами автомобилем гп 10 т на расстояние L=170 км от  г. Пятигоск  до площадки строительства за исключением 30 км, учтенных в СНБ (итого: 140 км),  I класс груза</t>
  </si>
  <si>
    <t>Итого по разделу 10 Перевозка материалов бортовым автомобилем гп 5 т на расстояние L=170 км от г. Пятигоск до площадки строительства, за исключением 30 км, учтенных в СНБ (итого: 140 км), III  класс груза</t>
  </si>
  <si>
    <t>Итого по разделу 9 Перевозка материалов бортовым автомобилем гп 5 т на расстояние L=170 км от г. Пятигоск до площадки строительства, за исключением 30 км, учтенных в СНБ (итого: 140 км), II  класс груза</t>
  </si>
  <si>
    <t>Итого по разделу 8 Перевозка материалов бортовым автомобилем гп 5 т на расстояние L=170 км от г. Пятигоск до площадки строительства, за исключением 30 км, учтенных в СНБ (итого: 140 км), I класс груза</t>
  </si>
  <si>
    <t>Итого по разделу 7 Перевозка материалов автомобилями-самосвалами автомобилем гп 10 т на расстояние L=130 км от г.Нальчик до площадки строительства за исключением 30 км, учтенных в СНБ (итого: 100 км), IIIкласс груза</t>
  </si>
  <si>
    <t>Итого по разделу 6 Перевозка материалов автомобилями-самосвалами автомобилем гп 10 т на расстояние L=130 км от г. Нальчик до площадки строительства за исключением 30 км, учтенных в СНБ (итого: 100 км), II класс груза</t>
  </si>
  <si>
    <t>Итого по разделу 5 Перевозка материалов автомобилями-самосвалами автомобилем гп 10 т на расстояние L=130 км от г. Нальчик до площадки строительства за исключением 30 км, учтенных в СНБ (итого: 100 км),  I класс груза</t>
  </si>
  <si>
    <t>Итого по разделу 4 Перевозка материалов бортовым автомобилем гп 5 т на расстояние L=130 км от г. Нальчик до площадки строительства, за исключением 30 км, учтенных в СНБ (итого: 100 км), III класс груза</t>
  </si>
  <si>
    <t>Итого по разделу 3 Перевозка материалов бортовым автомобилем гп 5 т на расстояние L=130 км от г. Нальчик  до площадки строительства, за исключением 30 км, учтенных в СНБ (итого: 100км), II класс груза</t>
  </si>
  <si>
    <t>Итого по разделу 2 Перевозка материалов бортовым автомобилем гп 5 т на расстояние L=130 км от г. Нальчик  до площадки строительства, за исключением 30 км, учтенных в СНБ (итого: 100 км), I класс груза</t>
  </si>
  <si>
    <t>Итого по разделу 1 Перевозка материалов автомобилями-самосвалами автомобилем гп 10 т на расстояние L=135 км от  Малкинского песчаного карьерера до площадки строительства за исключением 30 км, учтенных в СНБ (итого: 105 км),  I класс груза</t>
  </si>
  <si>
    <t>(1,46)</t>
  </si>
  <si>
    <t xml:space="preserve"> Транспортная схема (ПОС)</t>
  </si>
  <si>
    <t>Транспортная калькуляция № 1</t>
  </si>
  <si>
    <t>42,768</t>
  </si>
  <si>
    <t>При выполнении пусконаладочных работ звеном (бригадой), которое выполнило монтаж этого же оборудования к единичным расценкам на пусконаладочные работы ОЗП=0,8; ТЗ=0,8</t>
  </si>
  <si>
    <t>Приказ от 04.09.2019 № 519/пр п.7.4</t>
  </si>
  <si>
    <t>5,632</t>
  </si>
  <si>
    <t>71,504</t>
  </si>
  <si>
    <t>(3,1)</t>
  </si>
  <si>
    <t>(1,48)</t>
  </si>
  <si>
    <t>3,888</t>
  </si>
  <si>
    <t>1,968</t>
  </si>
  <si>
    <t>1,296</t>
  </si>
  <si>
    <t>18,792</t>
  </si>
  <si>
    <t>5,04</t>
  </si>
  <si>
    <t>(1,56)</t>
  </si>
  <si>
    <t>(0,74)</t>
  </si>
  <si>
    <t>Д-ДРП-20-016-ПОС, письмо АО "КСК" от 12.11.2021 г. исх.№60-21-2812, Д-ДРП-20-016-ИРД, с.</t>
  </si>
  <si>
    <t>Всесезонный туристско-рекреационный комплекс «Эльбрус», 
Кабардино-Балкарская Республика.Открытая плоскостная парковка на 800 машиномест.Создание геодезической разбивочной основы</t>
  </si>
  <si>
    <t>Стоимость, тыс. руб.</t>
  </si>
  <si>
    <t>"ГРАНД-Смета"</t>
  </si>
  <si>
    <t>(110,41)</t>
  </si>
  <si>
    <t>(0,18)</t>
  </si>
  <si>
    <t>(0,13)</t>
  </si>
  <si>
    <t>(109,52)</t>
  </si>
  <si>
    <t>Туалет пом. 07</t>
  </si>
  <si>
    <t>42
О</t>
  </si>
  <si>
    <t>49
О</t>
  </si>
  <si>
    <t>Оборудование парковки</t>
  </si>
  <si>
    <t>«Адепт: Проект в 13.10.1»
© ООО «Адепт»</t>
  </si>
  <si>
    <t>на проектные (изыскательские) работы</t>
  </si>
  <si>
    <t>Открытые стоянки автотранспорта площадью свыше 3200м2.</t>
  </si>
  <si>
    <t>Предприятия автомобильного транспорта. (Эксплуатация, технический сервис и хранение автомобильной техники.) 2006 г. Таблица  1. Предприятия автомобильного транспорта. п.48
A=94.4 тыс.руб; B=0.016 тыс.руб;
Xмакс=3200.0;
Осн. показ. Х=10840 (1 м2) 
Количество = 1</t>
  </si>
  <si>
    <t>Стадия: Проектная документация Кст = 0.4</t>
  </si>
  <si>
    <t>1. Тех час 5.5% * (1 + 0.2) = 5780 руб.</t>
  </si>
  <si>
    <t>2. Арх час и ген 56.5% = 49481 руб.</t>
  </si>
  <si>
    <t>6. Про орг стр 2% = 1752 руб.</t>
  </si>
  <si>
    <t>7. Охр окр сре 6% = 5255 руб.</t>
  </si>
  <si>
    <t>8. Сме док 7% = 6130 руб.</t>
  </si>
  <si>
    <t>Предприятия автомобильного транспорта. (Эксплуатация, технический сервис и хранение автомобильной техники.) 2006 г. Таблица  1. Предприятия автомобильного транспорта. п.48
A=94.4 тыс.руб; B=0.016 тыс.руб;
Xмакс=3200.0;
Осн. показ. Х=8858 (1 м2) 
Количество = 1</t>
  </si>
  <si>
    <t>1. Тех час 5.5% * (1 + 0.2) = 5278 руб.</t>
  </si>
  <si>
    <t>2. Арх час и ген 56.5% = 45181 руб.</t>
  </si>
  <si>
    <t>6. Про орг стр 2% = 1599 руб.</t>
  </si>
  <si>
    <t>7. Охр окр сре 6% = 4798 руб.</t>
  </si>
  <si>
    <t>8. Сме док 7% = 5598 руб.</t>
  </si>
  <si>
    <t>Предприятия автомобильного транспорта. (Эксплуатация, технический сервис и хранение автомобильной техники.) 2006 г. Таблица  1. Предприятия автомобильного транспорта. п.48
A=94.4 тыс.руб; B=0.016 тыс.руб;
Xмакс=3200.0;
Осн. показ. Х=7844 (1 м2) 
Количество = 1</t>
  </si>
  <si>
    <t>1. Тех час 5.5% * (1 + 0.2) = 5021 руб.</t>
  </si>
  <si>
    <t>2. Арх час и ген 56.5% = 42981 руб.</t>
  </si>
  <si>
    <t>6. Про орг стр 2% = 1521 руб.</t>
  </si>
  <si>
    <t>7. Охр окр сре 6% = 4564 руб.</t>
  </si>
  <si>
    <t>8. Сме док 7% = 5325 руб.</t>
  </si>
  <si>
    <t>Автомобильные дороги общего пользования. Категория дороги IV. Категория сложности проектирования: 3. Протяжение дороги до 2 км.</t>
  </si>
  <si>
    <t>Автомобильные дороги общего пользования. 2007 г. Таблица 2. Автомобильные дороги общего пользования, п.3
A=419.1 тыс.руб, 
Протяженость дороги L=0.675 км;
Количество = 1 (дорога)</t>
  </si>
  <si>
    <t>K2 = 1.2 (РПД 2-4)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</si>
  <si>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Примыкания к автодороге IV категории с переходно-скоростными полосами. Пересечение в одном уровне. 2 категория сложности проектирования. 2 примыкания</t>
  </si>
  <si>
    <t>Автомобильные дороги общего пользования. 2007 г. Таблица 3. Транспортные развязки, п.3
A=334.88 тыс.руб; 
Количество = 2 (развязка)</t>
  </si>
  <si>
    <t>A * Количество * Кст * K1
334880 руб * 2 * 0.29 * 0.75 * 1.0624</t>
  </si>
  <si>
    <t>Стадия: Проектная документация Кст = 0.29</t>
  </si>
  <si>
    <t>K1 = 0.75 Проектирование примыканий в одном уровне Прим. к табл.3, п.2 (Ценообразующий)</t>
  </si>
  <si>
    <t>K2 = 1.16 (РПД 2-4) Разработка проектной документации на строительство сооружений в сложных условиях определяется с применением коэффициента к стоимости проектных работ: сейсмичность 8 баллов Основные положения, п.3.12, п/п 1.2 Усложняющий</t>
  </si>
  <si>
    <t>Разделы документации (13% + 27% * (1 + 0.16) + 3% * (1 + 0.16) + 9% * (1 + 0.16) + 4% + 3% + 2% + 8% + 18% + 13%) = 106.24%</t>
  </si>
  <si>
    <t>1. Пла пер, при, тра раз с оце про тра пот 13% = 18937 руб.</t>
  </si>
  <si>
    <t>2. Зем пол 27% * (1 + 0.16) = 45625 руб.</t>
  </si>
  <si>
    <t>3. Вод тру и вод 3% * (1 + 0.16) = 5069 руб.</t>
  </si>
  <si>
    <t>4. Дор оде 9% * (1 + 0.16) = 15208 руб.</t>
  </si>
  <si>
    <t>5. Орг и без дви, обу дор 4% = 5827 руб.</t>
  </si>
  <si>
    <t>6. Орг сод авт дор 3% = 4370 руб.</t>
  </si>
  <si>
    <t>7. Рес стр с обо исп зар тех и мат 2% = 2913 руб.</t>
  </si>
  <si>
    <t>8. Охр окр сре 8% = 11654 руб.</t>
  </si>
  <si>
    <t>9. Про орг стр 18% = 26221 руб.</t>
  </si>
  <si>
    <t>10. Сме док 13% = 18937 руб.</t>
  </si>
  <si>
    <t>Въезды/выезды с автодороги IV категории на площадки размещения стоянок, к ТП, к ЛОС. Пересечение в одном уровне. 5 въездов/выездов по 50 м каждый. Подъездная автодорога к зданиям. До 1 км.</t>
  </si>
  <si>
    <t>Железные дороги. 2014 г. Таблица 10. Отдельные здания и сооружения, п.13.1
A=100 тыс.руб; 
Количество = 1 (объект)</t>
  </si>
  <si>
    <t>Административно-бытовой корпус. Площадь 200,6 м2. Административные здания,площадью от 100 до 300 м2.</t>
  </si>
  <si>
    <t>Объекты жилищно-гражданского строительства. 2010 г. Раздел 4. Таблица 25. Административные здания п.1
A=530.71 тыс.руб; B=0.158 тыс.руб;
Осн. показ. Х=200.6 (1 м2) 
Количество = 1</t>
  </si>
  <si>
    <t>(A + B * Xзад) * Количество * Кст * K1
(530710 руб + 158 руб * 200.6) * 1 * 0.4 * 0.35 * 1.06</t>
  </si>
  <si>
    <t>блок-модуль заводской готовности K1 = 0.35 (Ценообразующий)</t>
  </si>
  <si>
    <t>K2 = 1.2 (РПД 4-5, 5.1-6)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</si>
  <si>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(2.0% + 4.0% + 14.0% + 15.0% * (1 + 0.2) + 7.0% * (1 + 0.2) + 4.0% * (1 + 0.2) + 4.0% * (1 + 0.2) + 12.0% * (1 + 0.2) + 3.0% * (1 + 0.2) + 5.0% * (1 + 0.2) + 6.0% + 7.0% + 6.0% + 7.0%) = 106%</t>
  </si>
  <si>
    <t>1. Поя зап 2% = 1575 руб.</t>
  </si>
  <si>
    <t>2. Схе пла орг зем уча 4% = 3149 руб.</t>
  </si>
  <si>
    <t>3. Арх реш 14% = 11023 руб.</t>
  </si>
  <si>
    <t>4. Кон и объ реш 15% * (1 + 0.2) = 14173 руб.</t>
  </si>
  <si>
    <t>5. Инж обо, сет инж мер, тех реш</t>
  </si>
  <si>
    <t>5.1. Эле 7% * (1 + 0.2) [из 42%] = 6614 руб.</t>
  </si>
  <si>
    <t>5.2. Вод 4% * (1 + 0.2) [из 42%] = 3779 руб.</t>
  </si>
  <si>
    <t>5.3. Вод 4% * (1 + 0.2) [из 42%] = 3779 руб.</t>
  </si>
  <si>
    <t>5.4. Ото, вен, кон воз 12% * (1 + 0.2) [из 42%] = 11338 руб.</t>
  </si>
  <si>
    <t>5.5. Свя 3% * (1 + 0.2) [из 42%] = 2835 руб.</t>
  </si>
  <si>
    <t>5.6. Тех реш 5% * (1 + 0.2) [из 42%] = 4724 руб.</t>
  </si>
  <si>
    <t>6. Про орг стр 6% = 4724 руб.</t>
  </si>
  <si>
    <t>7. Охр окр сре (ООС) 7% = 5512 руб.</t>
  </si>
  <si>
    <t>8. Мер по обе пож без 6% = 4724 руб.</t>
  </si>
  <si>
    <t>9. Сме на стр 7% = 5512 руб.</t>
  </si>
  <si>
    <t>Навес для хранения уборочной и коммунальной техники. Площадь 108,24 м2. Навес для хранения сельскохозяйственных машин площадью от 160 до 800 м2</t>
  </si>
  <si>
    <t>Предприятия агропромышленного комплекса, торговли и общественного питания. 2014 г. Таблица 48. Отдельные объекты предприятий ремонта, технического обслуживания и хранения сельскохозяйственной техники, п.45
A=28.73 тыс.руб; B=0.024 тыс.руб;
Xмин=160; 
Осн. показ. Х=108.24 (1 м2) 
Количество = 1</t>
  </si>
  <si>
    <t>(A + B * (0.4 * Xмин + 0.6 * Xзад)) * Количество * Кст * K1
(28730 руб + 24 руб * (0.4 * 160 + 0.6 * 108.24)) * 1 * 0.4 * 0.22 * 1.115</t>
  </si>
  <si>
    <t>K1 = 0.22 Проектирование при мощности до 160 м2 определяется с коэффициентом Глава 2, п.2.66д (Ценообразующий)</t>
  </si>
  <si>
    <t>K2 = 1.2 (РПД 4-5, 5.1-7)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</si>
  <si>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(1.1% + 2.2% + 2.5% + 2.8% * (1 + 0.2) + 3.9% * (1 + 0.2) + 1.3% * (1 + 0.2) + 1.2% * (1 + 0.2) + 5.3% * (1 + 0.2) + 0.4% * (1 + 0.2) + 2.2% * (1 + 0.2) + 40.4% * (1 + 0.2) + 2.4% + 0.6% + 20.1% + 9.1% + 1.0% + 3.5%) = 111.5%</t>
  </si>
  <si>
    <t>1. Поя зап 1.1% = 31 руб.</t>
  </si>
  <si>
    <t>2. Схе пла орг зем уча 2.2% = 62 руб.</t>
  </si>
  <si>
    <t>3. Арх реш 2.5% = 70 руб.</t>
  </si>
  <si>
    <t>4. Кон и объ реш 2.8% * (1 + 0.2) = 94 руб.</t>
  </si>
  <si>
    <t>5.1. Эле 3.9% * (1 + 0.2) [из 65.64%] = 131 руб.</t>
  </si>
  <si>
    <t>5.2. Вод 1.3% * (1 + 0.2) [из 65.64%] = 44 руб.</t>
  </si>
  <si>
    <t>5.3. Вод 1.2% * (1 + 0.2) [из 65.64%] = 40 руб.</t>
  </si>
  <si>
    <t>5.4. Ото, вен, кон воз 5.3% * (1 + 0.2) [из 65.64%] = 178 руб.</t>
  </si>
  <si>
    <t>5.5. Свя 0.4% * (1 + 0.2) [из 65.64%] = 13 руб.</t>
  </si>
  <si>
    <t>5.6. Газ 2.2% * (1 + 0.2) [из 65.64%] = 74 руб.</t>
  </si>
  <si>
    <t>5.7. Тех реш 40.4% * (1 + 0.2) [из 65.64%] = 1358 руб.</t>
  </si>
  <si>
    <t>6. Про орг стр 2.4% = 67 руб.</t>
  </si>
  <si>
    <t>7. Про орг раб по сно и дем 0.6% = 17 руб.</t>
  </si>
  <si>
    <t>8. Охр окр сре (ООС) 20.1% = 563 руб.</t>
  </si>
  <si>
    <t>9. Мер по обе пож без 9.1% = 255 руб.</t>
  </si>
  <si>
    <t>10. Мер по обе дос инв 1% = 28 руб.</t>
  </si>
  <si>
    <t>11. Сме на стр 3.5% = 98 руб.</t>
  </si>
  <si>
    <t>Санузлы для посетителей и персонала. Кабин 11, площадь 89,2 м2. Теплые туалеты от 4 до 16 человек</t>
  </si>
  <si>
    <t>Железные дороги. 2014 г. Таблица 10. Отдельные здания и сооружения, п.20
A=33 тыс.руб; B=5.5 тыс.руб;
Осн. показ. Х=11 (кабина) 
Количество = 1</t>
  </si>
  <si>
    <t>(A + B * Xзад) * Количество * Кст * K1
(33000 руб + 5500 руб * 11) * 1 * 0.4 * 0.35 * 1.126</t>
  </si>
  <si>
    <t>K2 = 1.2 (РПД 4-10)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</si>
  <si>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(1.0% + 3.0% + 9.0% + 12.0% * (1 + 0.2) + 5.0% * (1 + 0.2) + 4.0% * (1 + 0.2) + 5.0% * (1 + 0.2) + 4.0% * (1 + 0.2) + 2.0% * (1 + 0.2) + 31.0% * (1 + 0.2) + 4.0% + 9.0% + 5.0% + 1.0% + 5.0%) = 112.6%</t>
  </si>
  <si>
    <t>1. Поя зап 1% = 131 руб.</t>
  </si>
  <si>
    <t>2. Схе пла орг зем уча 3% = 393 руб.</t>
  </si>
  <si>
    <t>3. Арх реш 9% = 1178 руб.</t>
  </si>
  <si>
    <t>4. Кон и объ реш 12% * (1 + 0.2) = 1885 руб.</t>
  </si>
  <si>
    <t>5. Инж обо, сет, инж мер, тех реш. Сис эле 5% * (1 + 0.2) = 785 руб.</t>
  </si>
  <si>
    <t>6. Инж обо, сет, инж мер, тех реш. Сис вод и вод 4% * (1 + 0.2) = 628 руб.</t>
  </si>
  <si>
    <t>7. Инж обо, сет, инж мер, тех реш. Пут раз 5% * (1 + 0.2) = 785 руб.</t>
  </si>
  <si>
    <t>8. Инж обо, сет, инж мер, тех реш. Ото, вен и кон воз 4% * (1 + 0.2) = 628 руб.</t>
  </si>
  <si>
    <t>9. Инж обо, сет, инж мер, тех реш. Сет свя 2% * (1 + 0.2) = 314 руб.</t>
  </si>
  <si>
    <t>10. Инж обо, сет, инж мер, тех реш. Тех реш 31% * (1 + 0.2) = 4869 руб.</t>
  </si>
  <si>
    <t>11. Про орг стр 4% = 524 руб.</t>
  </si>
  <si>
    <t>12. Пер мер по охр окр сре 9% = 1178 руб.</t>
  </si>
  <si>
    <t>13. Мер по обе пож без 5% = 655 руб.</t>
  </si>
  <si>
    <t>14. Мер по обе эне эфф 1% = 131 руб.</t>
  </si>
  <si>
    <t>15. Сме на стр 5% = 655 руб.</t>
  </si>
  <si>
    <t>Остановочный павильон. Площадь 39 м2. Навесы пассажирские площадью от 250 до 500 м2.</t>
  </si>
  <si>
    <t>Железные дороги. 2014 г. Таблица 7. Пассажирские здания, турникетно-кассовые павильоны, навесы и платформы, п.4.1
A=35 тыс.руб; B=0.19 тыс.руб;
Xмин=250; 
Осн. показ. Х=39 (м2) 
Количество = 1</t>
  </si>
  <si>
    <t>(A + B * (0.4 * Xмин + 0.6 * (Xмин / 2))) * Количество * Кст * K1
(35000 руб + 190 руб * (0.4 * 250 + 0.6 * 250 / 2)) * 1 * 0.4 * 0.7 * 1.038</t>
  </si>
  <si>
    <t>K1 = 0.7 К'пон = Xзад / (0.5 * Xмин) понижающий коэффициент, учитывающий разницу в трудоемкости работ по проектируемому объекту и объекту аналогу (Ценообразующий)</t>
  </si>
  <si>
    <t>K2 = 1.2 (РПД 4-5, 9)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</si>
  <si>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(1.0% + 3.0% + 9.0% + 12.0% * (1 + 0.2) + 5.0% * (1 + 0.2) + 4.0% + 5.0% + 4.0% + 2.0% * (1 + 0.2) + 31.0% + 4.0% + 9.0% + 5.0% + 1.0% + 5.0%) = 103.8%</t>
  </si>
  <si>
    <t>1. Поя зап 1% = 191 руб.</t>
  </si>
  <si>
    <t>2. Схе пла орг зем уча 3% = 573 руб.</t>
  </si>
  <si>
    <t>3. Арх реш 9% = 1720 руб.</t>
  </si>
  <si>
    <t>4. Кон и объ реш 12% * (1 + 0.2) = 2752 руб.</t>
  </si>
  <si>
    <t>5. Инж обо, сет, инж мер, тех реш. Сис эле 5% * (1 + 0.2) = 1147 руб.</t>
  </si>
  <si>
    <t>6. Инж обо, сет, инж мер, тех реш. Сис вод и вод 4% = 764 руб.</t>
  </si>
  <si>
    <t>7. Инж обо, сет, инж мер, тех реш. Пут раз 5% = 956 руб.</t>
  </si>
  <si>
    <t>8. Инж обо, сет, инж мер, тех реш. Ото, вен и кон воз 4% = 764 руб.</t>
  </si>
  <si>
    <t>9. Инж обо, сет, инж мер, тех реш. Сет свя 2% * (1 + 0.2) = 459 руб.</t>
  </si>
  <si>
    <t>10. Инж обо, сет, инж мер, тех реш. Тех реш 31% = 5924 руб.</t>
  </si>
  <si>
    <t>11. Про орг стр 4% = 764 руб.</t>
  </si>
  <si>
    <t>12. Пер мер по охр окр сре 9% = 1720 руб.</t>
  </si>
  <si>
    <t>13. Мер по обе пож без 5% = 956 руб.</t>
  </si>
  <si>
    <t>14. Мер по обе эне эфф 1% = 191 руб.</t>
  </si>
  <si>
    <t>15. Сме на стр 5% = 956 руб.</t>
  </si>
  <si>
    <t>Навес для платежного терминала. Площадь 3,57 м2, 3 кавеса. Навес для хранения сельскохозяйственных машин площадью от 160 до 800 м2</t>
  </si>
  <si>
    <t>Предприятия агропромышленного комплекса, торговли и общественного питания. 2014 г. Таблица 48. Отдельные объекты предприятий ремонта, технического обслуживания и хранения сельскохозяйственной техники, п.45
A=28.73 тыс.руб; B=0.024 тыс.руб;
Xмин=160; 
Осн. показ. Х=3.57 (1 м2) 
Количество = 1</t>
  </si>
  <si>
    <t>(A + B * (0.4 * Xмин + 0.6 * (Xмин / 2))) * Количество * Кст * K1 * K2 * K3
(28730 руб + 24 руб * (0.4 * 160 + 0.6 * 160 / 2)) * 1 * 0.4 * 1.4 * 0.22 * 0.7 * 1.0142</t>
  </si>
  <si>
    <t>K1 = 1.4, N1=3 (шт.), N2=0.2  Для нескольких объектов цена привязки типовой или повторно применяемой проектной документации определяется по ценам Справочников с применением коэффициента К=1+(N1-1)*N2, где N1 - количество объектов (второй и последующие объекты проектируются повторно), N2-коэффициент привязки МУ 2009 г. Часть III п. 3.2 (Ценообразующий)</t>
  </si>
  <si>
    <t>K2 = 0.22 Проектирование при мощности до 160 м2 определяется с коэффициентом Глава 2, п.2.66д (Ценообразующий)</t>
  </si>
  <si>
    <t>K3 = 0.7 К'пон = Xзад / (0.5 * Xмин) понижающий коэффициент, учитывающий разницу в трудоемкости работ по проектируемому объекту и объекту аналогу (Ценообразующий)</t>
  </si>
  <si>
    <t>K4 = 1.2 (РПД 4, 5.1, 5.5)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</si>
  <si>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(1.1% + 2.2% + 2.5% + 2.8% * (1 + 0.2) + 3.9% * (1 + 0.2) + 1.3% + 1.2% + 5.3% + 0.4% * (1 + 0.2) + 2.2% + 40.4% + 2.4% + 0.6% + 20.1% + 9.1% + 1.0% + 3.5%) = 101.42%</t>
  </si>
  <si>
    <t>1. Поя зап 1.1% = 30 руб.</t>
  </si>
  <si>
    <t>2. Схе пла орг зем уча 2.2% = 60 руб.</t>
  </si>
  <si>
    <t>3. Арх реш 2.5% = 68 руб.</t>
  </si>
  <si>
    <t>4. Кон и объ реш 2.8% * (1 + 0.2) = 91 руб.</t>
  </si>
  <si>
    <t>5. Инж обо, сет инж мер, тех реш 55.56% = 1505 руб.</t>
  </si>
  <si>
    <t>5.1. Эле 3.9% * (1 + 0.2) [из 55.56%] = 127 руб.</t>
  </si>
  <si>
    <t>5.2. Вод 1.3% [из 55.56%] = 35 руб.</t>
  </si>
  <si>
    <t>5.3. Вод 1.2% [из 55.56%] = 33 руб.</t>
  </si>
  <si>
    <t>5.4. Ото, вен, кон воз 5.3% [из 55.56%] = 144 руб.</t>
  </si>
  <si>
    <t>5.5. Свя 0.4% * (1 + 0.2) [из 55.56%] = 13 руб.</t>
  </si>
  <si>
    <t>5.6. Газ 2.2% [из 55.56%] = 60 руб.</t>
  </si>
  <si>
    <t>5.7. Тех реш 40.4% [из 55.56%] = 1095 руб.</t>
  </si>
  <si>
    <t>6. Про орг стр 2.4% = 65 руб.</t>
  </si>
  <si>
    <t>7. Про орг раб по сно и дем 0.6% = 16 руб.</t>
  </si>
  <si>
    <t>8. Охр окр сре (ООС) 20.1% = 545 руб.</t>
  </si>
  <si>
    <t>9. Мер по обе пож без 9.1% = 247 руб.</t>
  </si>
  <si>
    <t>10. Мер по обе дос инв 1% = 27 руб.</t>
  </si>
  <si>
    <t>11. Сме на стр 3.5% = 95 руб.</t>
  </si>
  <si>
    <t>Подпорная стена переменной высотыы 2,4-2,8 м, длиной 131м, площадь 327 м2. Удерживающие сооружения на оползнеопасных и оползневых склонах и откосах вертикального сечения сползающего массива недостаточно устойчивых или неустойчивых грунтов. Площадь свыше 0.3 до 1.1 тыс.м2.</t>
  </si>
  <si>
    <t>Заглубленные сооружения и конструкции, водопонижение, противооползневые сооружения и мероприятия. 2015 г. Таблица 1. Заглубленные сооружения и конструкции, водопонижение, противооползневые сооружения и мероприятия, п.29
A=160.512 тыс.руб; B=321.48 тыс.руб;
Осн. показ. Х=0.327 (тыс.м2) 
Количество = 1</t>
  </si>
  <si>
    <t>Стадия: Проектная документация Кст = 0.3</t>
  </si>
  <si>
    <t>K1 = 1.2 (РПД 4)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</si>
  <si>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1. Поя зап 2% = 1594 руб.</t>
  </si>
  <si>
    <t>2. Схе пла орг зем уча 4% = 3188 руб.</t>
  </si>
  <si>
    <t>Лестничный переход между площадками парковки. Длина 52,95 м. Пешеходный переход (технологическая эстакада) шириной до 3 м над железнодорожным или автодорожным проездом, из типовых конструкций пролетных строений и опор. Размер наибольшего пролета до 42 м. Полная длина свыше 25 до 600 м.</t>
  </si>
  <si>
    <t>Искусственные сооружения. 2015 г. Таблица 1. Железнодорожные, автодорожные, пешеходные, городские мосты, технологические переходы, путепроводы, эстакады нормального пересечения, п.4.2
A=67.1 тыс.руб; B=0.66 тыс.руб;
Осн. показ. Х=52.95 (м) 
Количество = 1</t>
  </si>
  <si>
    <t>(A + B * Xзад) * Количество * Кст * K1 * K2
(67100 руб + 660 руб * 52.95) * 1 * 0.23 * 0.85 * 0.9 * 1.096</t>
  </si>
  <si>
    <t>Стадия: Проектная документация Кст = 0.23</t>
  </si>
  <si>
    <t>K1 = 0.85 При высоте опор менее 10 м к ценам применяется коэффициент Глава 2, п.2.1.10 (Ценообразующий)</t>
  </si>
  <si>
    <t>K2 = 0.9, n=3 (ширина сооружения между перилами, м) При определении стоимости проектирования городских и автодорожных мостов, эстакад и путепроводов к ценам применяются коэффициенты на ширину сооружения между перилами: 10 м и менее - 0.9; 30 м и более - 1.35; от 10 м до 30 м - К=0.9+(1.35-0.9)/(30-10)*(n-10) Глава 2, п.2.1.12 (Ценообразующий)</t>
  </si>
  <si>
    <t>K3 = 1.2 (РПД 2-3)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</si>
  <si>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(22.0% + 40.0% * (1 + 0.2) + 8.0% * (1 + 0.2) + 18.0% + 5.0% + 7.0%) = 109.6%</t>
  </si>
  <si>
    <t>1. Поя зап (общ воп про) 22% = 3950 руб.</t>
  </si>
  <si>
    <t>2. Кон реш. Иск соо. Опо 40% * (1 + 0.2) = 8618 руб.</t>
  </si>
  <si>
    <t>3. Кон реш. Иск соо. Про стр 8% * (1 + 0.2) = 1724 руб.</t>
  </si>
  <si>
    <t>4. Про орг стр 18% = 3232 руб.</t>
  </si>
  <si>
    <t>5. Сме на стр 5% = 898 руб.</t>
  </si>
  <si>
    <t>6. Ина док (арх реш) 7% = 1257 руб.</t>
  </si>
  <si>
    <t>Лестничный переход между площадками парковки. Длина 46,7 м. Пешеходный переход (технологическая эстакада) шириной до 3 м над железнодорожным или автодорожным проездом, из типовых конструкций пролетных строений и опор. Размер наибольшего пролета до 42 м. Полная длина свыше 25 до 600 м.</t>
  </si>
  <si>
    <t>Искусственные сооружения. 2015 г. Таблица 1. Железнодорожные, автодорожные, пешеходные, городские мосты, технологические переходы, путепроводы, эстакады нормального пересечения, п.4.2
A=67.1 тыс.руб; B=0.66 тыс.руб;
Осн. показ. Х=46.7 (м) 
Количество = 1</t>
  </si>
  <si>
    <t>(A + B * Xзад) * Количество * Кст * K1 * K2
(67100 руб + 660 руб * 46.7) * 1 * 0.23 * 0.85 * 0.9 * 1.096</t>
  </si>
  <si>
    <t>K2 = 0.9, n= (ширина сооружения между перилами, м) При определении стоимости проектирования городских и автодорожных мостов, эстакад и путепроводов к ценам применяются коэффициенты на ширину сооружения между перилами: 10 м и менее - 0.9; 30 м и более - 1.35; от 10 м до 30 м - К=0.9+(1.35-0.9)/(30-10)*(n-10) Глава 2, п.2.1.12 (Ценообразующий)</t>
  </si>
  <si>
    <t>1. Поя зап (общ воп про) 22% = 3790 руб.</t>
  </si>
  <si>
    <t>2. Кон реш. Иск соо. Опо 40% * (1 + 0.2) = 8270 руб.</t>
  </si>
  <si>
    <t>3. Кон реш. Иск соо. Про стр 8% * (1 + 0.2) = 1654 руб.</t>
  </si>
  <si>
    <t>4. Про орг стр 18% = 3101 руб.</t>
  </si>
  <si>
    <t>5. Сме на стр 5% = 861 руб.</t>
  </si>
  <si>
    <t>6. Ина док (арх реш) 7% = 1206 руб.</t>
  </si>
  <si>
    <t>Перекладка магистрального водопровода  (вынос с территории парковки). 300 м. Городской водопровод, сооружаемый открытым способом. Диаметр до 315 мм. Протяженность от 100 до 1000 м.</t>
  </si>
  <si>
    <t>Коммунальные инженерные сети и сооружения, 2012 г. Раздел 3. Таблица 4. Городской водопровод, п.1
A=12 тыс.руб; B=0.136 тыс.руб;
Осн. показ. Х=500 (м) 
Количество = 1</t>
  </si>
  <si>
    <t>Стадия: Проектная документация Кст = 0.5</t>
  </si>
  <si>
    <t>Разделы документации (2.0% + 2.0% + 24.5% * (1 + 0.2) + 27.5% * (1 + 0.2) + 1.5% * (1 + 0.2) + 2.5% * (1 + 0.2) + 10.0% * (1 + 0.2) + 2.5% * (1 + 0.2) + 1.5% * (1 + 0.2) + 6.0% * (1 + 0.2) + 2.0% + 1.0% + 9.0% + 3.0% + 5.0%) = 115.2%</t>
  </si>
  <si>
    <t>1. Поя зап 2% = 800 руб.</t>
  </si>
  <si>
    <t>2. Про пол отв 2% = 800 руб.</t>
  </si>
  <si>
    <t>3. Тех и кон реш лин объ. Иск соо (инж обу, сет)</t>
  </si>
  <si>
    <t>5. Про орг стр 2% = 800 руб.</t>
  </si>
  <si>
    <t>6. Про орг раб по сно (дем) 1% = 400 руб.</t>
  </si>
  <si>
    <t>7. Мер по охр окр сре 9% = 3600 руб.</t>
  </si>
  <si>
    <t>8. Мер по обе пож без 3% = 1200 руб.</t>
  </si>
  <si>
    <t>9. Сме на стр 5% = 2000 руб.</t>
  </si>
  <si>
    <t>Узлы врезки в существующий магистральный водопровод.2 узла.  Узлы врезки в городские и распределительные сети</t>
  </si>
  <si>
    <t>Коммунальные инженерные сети и сооружения, 2012 г. Раздел 3.  Таблица 4. Городской водопровод п.17
A=11.8 тыс.руб; 
Количество = 1 (объект)</t>
  </si>
  <si>
    <t>A * Количество * Кст * K1 * K2
11800 руб * 1 * 0.5 * 1.2 * 1.1 * 1.022</t>
  </si>
  <si>
    <t>K1 = 1.2 Для нескольких объектов цена привязки типовой или повторно применяемой проектной документации определяется по ценам Справочников с применением коэффициента К=1+(N1-1)*N2, где N1 - количество объектов  (N1=2, N2=0.2) (второй и последующие объекты проектируются повторно), N2-коэффициент привязки МУ 2009 г. Часть III п. 3.2 (Ценообразующий)</t>
  </si>
  <si>
    <t>K2 = 1.1 При проектировании городского водопровода из «нежестких» труб (полиэтилен, полипропилен, стеклопластик, поливинилхлорид), требующих проверки на статическую устойчивость в период длительной эксплуатации, к стоимости проектирования применяется ценообразующий коэффициент Глава 2.3, п.2.3.3 (Ценообразующий)</t>
  </si>
  <si>
    <t>K3 = 1.2 (РПД 4)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</si>
  <si>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(2.0% + 2.0% + 5.0% + 11.0% * (1 + 0.2) + 7.0% + 2.0% + 2.0% + 6.0% + 2.0% + 1.0% + 30.0% + 3.0% + 8.0% + 6.0% + 1.0% + 5.0% + 7.0%) = 102.2%</t>
  </si>
  <si>
    <t>1. Поя зап 2% = 156 руб.</t>
  </si>
  <si>
    <t>2. Схе пла орг зем уча 2% = 156 руб.</t>
  </si>
  <si>
    <t>3. Арх реш 5% = 389 руб.</t>
  </si>
  <si>
    <t>4. Кон и объ реш 11% * (1 + 0.2) = 1028 руб.</t>
  </si>
  <si>
    <t>5. Инж обо, сет, инж мер, тех реш 50% = 3894 руб.</t>
  </si>
  <si>
    <t>5.1. Сис эле 7% [из 50%] = 545 руб.</t>
  </si>
  <si>
    <t>5.2. Сис вод 2% [из 50%] = 156 руб.</t>
  </si>
  <si>
    <t>5.3. Сис вод 2% [из 50%] = 156 руб.</t>
  </si>
  <si>
    <t>5.4. Ото, вен и кон воз 6% [из 50%] = 467 руб.</t>
  </si>
  <si>
    <t>5.5. Сет свя 2% [из 50%] = 156 руб.</t>
  </si>
  <si>
    <t>5.6. Сис газ 1% [из 50%] = 78 руб.</t>
  </si>
  <si>
    <t>5.7. Тех реш 30% [из 50%] = 2336 руб.</t>
  </si>
  <si>
    <t>6. Про орг стр 3% = 234 руб.</t>
  </si>
  <si>
    <t>7. Пер мер по охр окр сре 8% = 623 руб.</t>
  </si>
  <si>
    <t>8. Мер по обе пож без 6% = 467 руб.</t>
  </si>
  <si>
    <t>9. Мер по обе дос инв 1% = 78 руб.</t>
  </si>
  <si>
    <t>10. Мер по обе соб тре эне эфф и тре осн зда, стр и соо при уче исп эне рес 5% = 389 руб.</t>
  </si>
  <si>
    <t>11. Сме на стр 7% = 545 руб.</t>
  </si>
  <si>
    <t>Сеть наружного водопровода на территории парковки. 542,5 м. Городской водопровод, сооружаемый открытым способом. Диаметр до 315 мм. Протяженность от 100 до 1000 м.</t>
  </si>
  <si>
    <t>Коммунальные инженерные сети и сооружения, 2012 г. Раздел 3. Таблица 4. Городской водопровод, п.1
A=12 тыс.руб; B=0.136 тыс.руб;
Осн. показ. Х=542.5 (м) 
Количество = 1</t>
  </si>
  <si>
    <t>K1 = 1.1 При проектировании городского водопровода из «нежестких» труб (полиэтилен, полипропилен, стеклопластик, поливинилхлорид), требующих проверки на статическую устойчивость в период длительной эксплуатации, к стоимости проектирования применяется ценообразующий коэффициент Глава 2.3, п.2.3.3 (Ценообразующий)</t>
  </si>
  <si>
    <t>K2 = 1.2 (РПД 3, 3.1-7)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</si>
  <si>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(2.0% + 2.0% + 24.5% * (1 + 0.2) + 27.5% * (1 + 0.2) + 1.5% * (1 + 0.2) + 2.5% * (1 + 0.2) + 10.0% * (1 + 0.2) + 2.5% * (1 + 0.2) + 1.5% * (1 + 0.2) + 6.0% + 2.0% + 1.0% + 9.0% + 3.0% + 5.0%) = 114%</t>
  </si>
  <si>
    <t>1. Поя зап 2% = 944 руб.</t>
  </si>
  <si>
    <t>2. Про пол отв 2% = 944 руб.</t>
  </si>
  <si>
    <t>Гидранты, 6 шт. Узлы управления (камеры, колодцы, коверы) для обслуживания задвижек, гидрантов, воздушников, спускников. Диаметр до 300 мм.</t>
  </si>
  <si>
    <t>Коммунальные инженерные сети и сооружения, 2012 г. Раздел 3. Таблица 4. Городской водопровод, п.18
A=30 тыс.руб; 
Количество = 1 (объект)</t>
  </si>
  <si>
    <t>A * Количество * Кст * K1 * K2
30000 руб * 1 * 0.5 * 2 * 1.1 * 1.026</t>
  </si>
  <si>
    <t>K1 = 2, N1=6 (шт.), N2=0.2  Для нескольких объектов цена привязки типовой или повторно применяемой проектной документации определяется по ценам Справочников с применением коэффициента К=1+(N1-1)*N2, где N1 - количество объектов (второй и последующие объекты проектируются повторно), N2-коэффициент привязки МУ 2009 г. Часть III п. 3.2 (Ценообразующий)</t>
  </si>
  <si>
    <t>K3 = 1.2 (РПД 4, 5.2)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</si>
  <si>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(2.0% + 2.0% + 5.0% + 11.0% * (1 + 0.2) + 7.0% + 2.0% * (1 + 0.2) + 2.0% + 6.0% + 2.0% + 1.0% + 30.0% + 3.0% + 8.0% + 6.0% + 1.0% + 5.0% + 7.0%) = 102.6%</t>
  </si>
  <si>
    <t>1. Поя зап 2% = 660 руб.</t>
  </si>
  <si>
    <t>2. Схе пла орг зем уча 2% = 660 руб.</t>
  </si>
  <si>
    <t>3. Арх реш 5% = 1650 руб.</t>
  </si>
  <si>
    <t>4. Кон и объ реш 11% * (1 + 0.2) = 4356 руб.</t>
  </si>
  <si>
    <t>5. Инж обо, сет, инж мер, тех реш 50.4% = 16632 руб.</t>
  </si>
  <si>
    <t>5.1. Сис эле 7% [из 50.4%] = 2310 руб.</t>
  </si>
  <si>
    <t>5.2. Сис вод 2% * (1 + 0.2) [из 50.4%] = 792 руб.</t>
  </si>
  <si>
    <t>5.3. Сис вод 2% [из 50.4%] = 660 руб.</t>
  </si>
  <si>
    <t>5.4. Ото, вен и кон воз 6% [из 50.4%] = 1980 руб.</t>
  </si>
  <si>
    <t>5.5. Сет свя 2% [из 50.4%] = 660 руб.</t>
  </si>
  <si>
    <t>5.6. Сис газ 1% [из 50.4%] = 330 руб.</t>
  </si>
  <si>
    <t>5.7. Тех реш 30% [из 50.4%] = 9900 руб.</t>
  </si>
  <si>
    <t>6. Про орг стр 3% = 990 руб.</t>
  </si>
  <si>
    <t>7. Пер мер по охр окр сре 8% = 2640 руб.</t>
  </si>
  <si>
    <t>8. Мер по обе пож без 6% = 1980 руб.</t>
  </si>
  <si>
    <t>9. Мер по обе дос инв 1% = 330 руб.</t>
  </si>
  <si>
    <t>10. Мер по обе соб тре эне эфф и тре осн зда, стр и соо при уче исп эне рес 5% = 1650 руб.</t>
  </si>
  <si>
    <t>11. Сме на стр 7% = 2310 руб.</t>
  </si>
  <si>
    <t>Водомерный узел в здании АБК. Водомерный узел на вводе в сооружение</t>
  </si>
  <si>
    <t>Коммунальные инженерные сети и сооружения, 2012 г. Раздел 3.  Таблица 4. Городской водопровод п.13
A=77.5 тыс.руб; 
Количество = 1 (объект)</t>
  </si>
  <si>
    <t>A * Количество * Кст * K1 * K2
77500 руб * 1 * 0.5 * 0.4 * 1.1 * 1.122</t>
  </si>
  <si>
    <t>K1 = 0.4 При проектировании водомерного узла, встроенного в здание или сооружение, его цена определяется с понижающим коэффициентом Глава 2.3, п.2.3.3 (Ценообразующий)</t>
  </si>
  <si>
    <t>K3 = 1.2 (РПД 4-5, 5.1-7)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</si>
  <si>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(2.0% + 2.0% + 5.0% + 11.0% * (1 + 0.2) + 7.0% * (1 + 0.2) + 2.0% * (1 + 0.2) + 2.0% * (1 + 0.2) + 6.0% * (1 + 0.2) + 2.0% * (1 + 0.2) + 1.0% * (1 + 0.2) + 30.0% * (1 + 0.2) + 3.0% + 8.0% + 6.0% + 1.0% + 5.0% + 7.0%) = 112.2%</t>
  </si>
  <si>
    <t>1. Поя зап 2% = 341 руб.</t>
  </si>
  <si>
    <t>2. Схе пла орг зем уча 2% = 341 руб.</t>
  </si>
  <si>
    <t>3. Арх реш 5% = 853 руб.</t>
  </si>
  <si>
    <t>4. Кон и объ реш 11% * (1 + 0.2) = 2251 руб.</t>
  </si>
  <si>
    <t>5. Инж обо, сет, инж мер, тех реш</t>
  </si>
  <si>
    <t>5.1. Сис эле 7% * (1 + 0.2) [из 60%] = 1432 руб.</t>
  </si>
  <si>
    <t>5.2. Сис вод 2% * (1 + 0.2) [из 60%] = 409 руб.</t>
  </si>
  <si>
    <t>5.3. Сис вод 2% * (1 + 0.2) [из 60%] = 409 руб.</t>
  </si>
  <si>
    <t>5.4. Ото, вен и кон воз 6% * (1 + 0.2) [из 60%] = 1228 руб.</t>
  </si>
  <si>
    <t>5.5. Сет свя 2% * (1 + 0.2) [из 60%] = 409 руб.</t>
  </si>
  <si>
    <t>5.6. Сис газ 1% * (1 + 0.2) [из 60%] = 205 руб.</t>
  </si>
  <si>
    <t>5.7. Тех реш 30% * (1 + 0.2) [из 60%] = 6138 руб.</t>
  </si>
  <si>
    <t>6. Про орг стр 3% = 512 руб.</t>
  </si>
  <si>
    <t>7. Пер мер по охр окр сре 8% = 1364 руб.</t>
  </si>
  <si>
    <t>8. Мер по обе пож без 6% = 1023 руб.</t>
  </si>
  <si>
    <t>9. Мер по обе дос инв 1% = 171 руб.</t>
  </si>
  <si>
    <t>10. Мер по обе соб тре эне эфф и тре осн зда, стр и соо при уче исп эне рес 5% = 853 руб.</t>
  </si>
  <si>
    <t>11. Сме на стр 7% = 1194 руб.</t>
  </si>
  <si>
    <t>Сети хоз.-быт. водоотведения  магистральная с подключением к существующей  сети хоз-быт. водоотведения. 298 м. Канализация (бытовая, дождевая, общесплавная), сооружаемая открытым способом. Диаметр до 300 мм. Протяженность от 100 до 500 м.</t>
  </si>
  <si>
    <t>Коммунальные инженерные сети и сооружения, 2012 г. Раздел 3. Таблица 5. Наружные сети канализации, п.1
A=33 тыс.руб; B=0.128 тыс.руб;
Осн. показ. Х=298 (м) 
Количество = 1</t>
  </si>
  <si>
    <t>(A + B * Xзад) * Количество * Кст * K1
(33000 руб + 128 руб * 298) * 1 * 0.5 * 1.1 * 1.152</t>
  </si>
  <si>
    <t>K1 = 1.1 При проектировании городской канализации из «нежестких» труб (полиэтилен, полипропилен, стеклопластик, поливинилхлорид), требующих проверки на статическую устойчивость в период длительной эксплуатации, к стоимости проектирования применяется ценообразующий коэффициент Глава 2.4, п.2.4.8 (Ценообразующий)</t>
  </si>
  <si>
    <t>K2 = 1.2 (РПД 3, 3.1-7, 4)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</si>
  <si>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1. Поя зап 2% = 783 руб.</t>
  </si>
  <si>
    <t>2. Про пол отв 2% = 783 руб.</t>
  </si>
  <si>
    <t>3.1. Тех реш 24.5% * (1 + 0.2) [из 84%] = 11504 руб.</t>
  </si>
  <si>
    <t>3.2. Кон реш 27.5% * (1 + 0.2) [из 84%] = 12913 руб.</t>
  </si>
  <si>
    <t>3.3. Иск соо 1.5% * (1 + 0.2) [из 84%] = 704 руб.</t>
  </si>
  <si>
    <t>3.4. Обу 2.5% * (1 + 0.2) [из 84%] = 1174 руб.</t>
  </si>
  <si>
    <t>3.5. Эле 10% * (1 + 0.2) [из 84%] = 4696 руб.</t>
  </si>
  <si>
    <t>3.6. Вод и вод 2.5% * (1 + 0.2) [из 84%] = 1174 руб.</t>
  </si>
  <si>
    <t>3.7. Свя, сиг, АСУ 1.5% * (1 + 0.2) [из 84%] = 704 руб.</t>
  </si>
  <si>
    <t>4. Зда и соо, вхо в инф объ 6% * (1 + 0.2) = 2817 руб.</t>
  </si>
  <si>
    <t>5. Про орг стр 2% = 783 руб.</t>
  </si>
  <si>
    <t>6. Про орг раб по сно (дем) 1% = 391 руб.</t>
  </si>
  <si>
    <t>7. Мер по охр окр сре 9% = 3522 руб.</t>
  </si>
  <si>
    <t>8. Мер по обе пож без 3% = 1174 руб.</t>
  </si>
  <si>
    <t>9. Сме на стр 5% = 1956 руб.</t>
  </si>
  <si>
    <t>Сети ливневой канализации, самотечная, диам. до 300 мм, 161 м. Канализация (бытовая, дождевая, общесплавная), сооружаемая открытым способом. Диаметр  до 300 мм. Протяженность от 100 до 500 м.</t>
  </si>
  <si>
    <t>Коммунальные инженерные сети и сооружения, 2012 г. Раздел 3. Таблица 5. Наружные сети канализации, п.1
A=33 тыс.руб; B=0.128 тыс.руб;
Осн. показ. Х=161 (м) 
Количество = 1</t>
  </si>
  <si>
    <t>(A + B * Xзад) * Количество * Кст * K1
(33000 руб + 128 руб * 161) * 1 * 0.5 * 1.1 * 1.112</t>
  </si>
  <si>
    <t>K2 = 1.2 (РПД 3, 3.1-3, 3.6)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</si>
  <si>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(2.0% + 2.0% + 24.5% * (1 + 0.2) + 27.5% * (1 + 0.2) + 1.5% * (1 + 0.2) + 2.5% + 10.0% + 2.5% * (1 + 0.2) + 1.5% + 6.0% + 2.0% + 1.0% + 9.0% + 3.0% + 5.0%) = 111.2%</t>
  </si>
  <si>
    <t>1. Поя зап 2% = 590 руб.</t>
  </si>
  <si>
    <t>2. Про пол отв 2% = 590 руб.</t>
  </si>
  <si>
    <t>3.1. Тех реш 24.5% * (1 + 0.2) [из 81.2%] = 8668 руб.</t>
  </si>
  <si>
    <t>3.2. Кон реш 27.5% * (1 + 0.2) [из 81.2%] = 9730 руб.</t>
  </si>
  <si>
    <t>3.3. Иск соо 1.5% * (1 + 0.2) [из 81.2%] = 531 руб.</t>
  </si>
  <si>
    <t>3.4. Обу 2.5% [из 81.2%] = 737 руб.</t>
  </si>
  <si>
    <t>3.5. Эле 10% [из 81.2%] = 2948 руб.</t>
  </si>
  <si>
    <t>3.6. Вод и вод 2.5% * (1 + 0.2) [из 81.2%] = 885 руб.</t>
  </si>
  <si>
    <t>3.7. Свя, сиг, АСУ 1.5% [из 81.2%] = 442 руб.</t>
  </si>
  <si>
    <t>4. Зда и соо, вхо в инф объ 6% = 1769 руб.</t>
  </si>
  <si>
    <t>5. Про орг стр 2% = 590 руб.</t>
  </si>
  <si>
    <t>6. Про орг раб по сно (дем) 1% = 295 руб.</t>
  </si>
  <si>
    <t>7. Мер по охр окр сре 9% = 2654 руб.</t>
  </si>
  <si>
    <t>8. Мер по обе пож без 3% = 885 руб.</t>
  </si>
  <si>
    <t>9. Сме на стр 5% = 1474 руб.</t>
  </si>
  <si>
    <t>Сети ливневой канализации, самотечная,диам. до 400 мм, 132,5 м. Канализация (бытовая, дождевая, общесплавная), сооружаемая открытым способом. Диаметр  свыше 300 до 500 мм. Протяженность от 100 до 500 м.</t>
  </si>
  <si>
    <t>Коммунальные инженерные сети и сооружения, 2012 г. Раздел 3. Таблица 5. Наружные сети канализации, п.3
A=55.04 тыс.руб; B=0.213 тыс.руб;
Осн. показ. Х=132.5 (м) 
Количество = 1</t>
  </si>
  <si>
    <t>(A + B * Xзад) * Количество * Кст * K1
(55040 руб + 213 руб * 132.5) * 1 * 0.5 * 1.1 * 1.112</t>
  </si>
  <si>
    <t>1. Поя зап 2% = 916 руб.</t>
  </si>
  <si>
    <t>2. Про пол отв 2% = 916 руб.</t>
  </si>
  <si>
    <t>3.1. Тех реш 24.5% * (1 + 0.2) [из 81.2%] = 13464 руб.</t>
  </si>
  <si>
    <t>3.2. Кон реш 27.5% * (1 + 0.2) [из 81.2%] = 15112 руб.</t>
  </si>
  <si>
    <t>3.3. Иск соо 1.5% * (1 + 0.2) [из 81.2%] = 824 руб.</t>
  </si>
  <si>
    <t>3.4. Обу 2.5% [из 81.2%] = 1145 руб.</t>
  </si>
  <si>
    <t>3.5. Эле 10% [из 81.2%] = 4579 руб.</t>
  </si>
  <si>
    <t>3.6. Вод и вод 2.5% * (1 + 0.2) [из 81.2%] = 1374 руб.</t>
  </si>
  <si>
    <t>3.7. Свя, сиг, АСУ 1.5% [из 81.2%] = 687 руб.</t>
  </si>
  <si>
    <t>4. Зда и соо, вхо в инф объ 6% = 2748 руб.</t>
  </si>
  <si>
    <t>5. Про орг стр 2% = 916 руб.</t>
  </si>
  <si>
    <t>6. Про орг раб по сно (дем) 1% = 458 руб.</t>
  </si>
  <si>
    <t>7. Мер по охр окр сре 9% = 4121 руб.</t>
  </si>
  <si>
    <t>8. Мер по обе пож без 3% = 1374 руб.</t>
  </si>
  <si>
    <t>9. Сме на стр 5% = 2290 руб.</t>
  </si>
  <si>
    <t>Сети ливневой канализации, самотечная,диам. 600-1000 мм, 186+335=521 м. Канализация (бытовая, дождевая, общесплавная), сооружаемая открытым способом. Диаметр  свыше 500 до 1000 мм. Протяженность от 100 до 500 м.</t>
  </si>
  <si>
    <t>Коммунальные инженерные сети и сооружения, 2012 г. Раздел 3. Таблица 5. Наружные сети канализации, п.5
A=76.4 тыс.руб; B=0.31 тыс.руб;
Осн. показ. Х=521 (м) 
Количество = 1</t>
  </si>
  <si>
    <t>(A + B * Xзад) * Количество * Кст * K1
(76400 руб + 310 руб * 521) * 1 * 0.5 * 1.1 * 1.112</t>
  </si>
  <si>
    <t>1. Поя зап 2% = 2617 руб.</t>
  </si>
  <si>
    <t>2. Про пол отв 2% = 2617 руб.</t>
  </si>
  <si>
    <t>3.1. Тех реш 24.5% * (1 + 0.2) [из 81.2%] = 38470 руб.</t>
  </si>
  <si>
    <t>3.2. Кон реш 27.5% * (1 + 0.2) [из 81.2%] = 43181 руб.</t>
  </si>
  <si>
    <t>3.3. Иск соо 1.5% * (1 + 0.2) [из 81.2%] = 2355 руб.</t>
  </si>
  <si>
    <t>3.4. Обу 2.5% [из 81.2%] = 3271 руб.</t>
  </si>
  <si>
    <t>3.5. Эле 10% [из 81.2%] = 13085 руб.</t>
  </si>
  <si>
    <t>3.6. Вод и вод 2.5% * (1 + 0.2) [из 81.2%] = 3926 руб.</t>
  </si>
  <si>
    <t>3.7. Свя, сиг, АСУ 1.5% [из 81.2%] = 1963 руб.</t>
  </si>
  <si>
    <t>4. Зда и соо, вхо в инф объ 6% = 7851 руб.</t>
  </si>
  <si>
    <t>5. Про орг стр 2% = 2617 руб.</t>
  </si>
  <si>
    <t>6. Про орг раб по сно (дем) 1% = 1309 руб.</t>
  </si>
  <si>
    <t>7. Мер по охр окр сре 9% = 11777 руб.</t>
  </si>
  <si>
    <t>8. Мер по обе пож без 3% = 3926 руб.</t>
  </si>
  <si>
    <t>9. Сме на стр 5% = 6543 руб.</t>
  </si>
  <si>
    <t>КНС №1 ливневого стока, производительность 30 м3/час. Канализационная насосная станция перекачки бытовых сточных вод или неагрессивных и невзрывоопасных производственных сточных вод. Производительность до 0,25 тыс.м3/ч.</t>
  </si>
  <si>
    <t>Объекты водоснабжения и канализации. 2015 г. Таблица 9. Станции перекачки сточных вод, п.1
A=147.38 тыс.руб; B=242.53 тыс.руб;
Xмин=0.25; 
Осн. показ. Х=0.03 (1 тыс.м3/ч) 
Количество = 1</t>
  </si>
  <si>
    <t>(A + B * (0.4 * Xмин + 0.6 * (Xмин / 2))) * Количество * Кст * K1 * K2
(147380 руб + 242530 руб * (0.4 * 0.25 + 0.6 * 0.25 / 2)) * 1 * 0.6 * 0.2 * 0.7 * 1.126</t>
  </si>
  <si>
    <t>Стадия: Проектная документация Кст = 0.6</t>
  </si>
  <si>
    <t>K1 = 0.2 Цена привязки типовой или повторно применяемой проектной документации, без внесения изменений в надземную часть здания, определяется по ценам Справочников с применением коэффициента МУ 2009 г. Часть III п. 3.2 (Ценообразующий)</t>
  </si>
  <si>
    <t>K2 = 0.7 К'пон = Xзад / (0.5 * Xмин) понижающий коэффициент, учитывающий разницу в трудоемкости работ по проектируемому объекту и объекту аналогу (Ценообразующий)</t>
  </si>
  <si>
    <t>K3 = 1.2 (РПД 4-5, 5.1-6)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</si>
  <si>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(2.0% + 2.0% + 5.0% + 18.0% * (1 + 0.2) + 8.0% * (1 + 0.2) + 2.0% * (1 + 0.2) + 2.0% * (1 + 0.2) + 6.0% * (1 + 0.2) + 2.0% * (1 + 0.2) + 25.0% * (1 + 0.2) + 6.0% + 8.0% + 4.0% + 1.0% + 2.0% + 7.0%) = 112.6%</t>
  </si>
  <si>
    <t>1. Поя зап 2% = 319 руб.</t>
  </si>
  <si>
    <t>2. Схе пла орг зем уча 2% = 319 руб.</t>
  </si>
  <si>
    <t>3. Арх реш 5% = 797 руб.</t>
  </si>
  <si>
    <t>4. Кон и объ реш 18% * (1 + 0.2) = 3444 руб.</t>
  </si>
  <si>
    <t>5.1. Сис эле 8% * (1 + 0.2) [из 54%] = 1531 руб.</t>
  </si>
  <si>
    <t>5.2. Сис вод 2% * (1 + 0.2) [из 54%] = 383 руб.</t>
  </si>
  <si>
    <t>5.3. Сис вод 2% * (1 + 0.2) [из 54%] = 383 руб.</t>
  </si>
  <si>
    <t>5.4. Ото, вен 6% * (1 + 0.2) [из 54%] = 1148 руб.</t>
  </si>
  <si>
    <t>5.5. Осн общ сис свя и опо 2% * (1 + 0.2) [из 54%] = 383 руб.</t>
  </si>
  <si>
    <t>5.6. Тех реш 25% * (1 + 0.2) [из 54%] = 4784 руб.</t>
  </si>
  <si>
    <t>6. Про орг стр 6% = 957 руб.</t>
  </si>
  <si>
    <t>7. Пер мер по охр окр сре 8% = 1276 руб.</t>
  </si>
  <si>
    <t>8. Мер по обе пож без 4% = 638 руб.</t>
  </si>
  <si>
    <t>9. Тре к обе без экс объ кап стр 1% = 159 руб.</t>
  </si>
  <si>
    <t>10. Мер по обе соб тре эне эфф и тре осн зда, стр и соо при уче исп эне рес 2% = 319 руб.</t>
  </si>
  <si>
    <t>11. Сме на стр 7% = 1116 руб.</t>
  </si>
  <si>
    <t>КНС №3 ливневого стока, производительность 20 м3/час. Канализационная насосная станция перекачки бытовых сточных вод или неагрессивных и невзрывоопасных производственных сточных вод. Производительность до 0,25 тыс.м3/ч.</t>
  </si>
  <si>
    <t>Объекты водоснабжения и канализации. 2015 г. Таблица 9. Станции перекачки сточных вод, п.1
A=147.38 тыс.руб; B=242.53 тыс.руб;
Xмин=0.25; 
Осн. показ. Х=0.02 (1 тыс.м3/ч) 
Количество = 1</t>
  </si>
  <si>
    <t>Сети ливневой канализации, напорная, диам. 100 мм, 23,5 м. Канализация (бытовая, дождевая, общесплавная), сооружаемая открытым способом. Диаметр свыше 300 до 500 мм. Протяженность от 100 до 1000 м.</t>
  </si>
  <si>
    <t>Коммунальные инженерные сети и сооружения, 2012 г. Раздел 3. Таблица 5. Наружные сети канализации, п.1
A=33 тыс.руб; B=0.128 тыс.руб;
Осн. показ. Х=100 (м) 
Количество = 1</t>
  </si>
  <si>
    <t>(A + B * Xзад) * Количество * Кст * K1 * K2 * K3
(33000 руб + 128 руб * 100) * 1 * 0.5 * 0.7 * 0.7 * 1.1 * 1.109</t>
  </si>
  <si>
    <t>Малый объем K1 = 0.7 (Ценообразующий)</t>
  </si>
  <si>
    <t>K2 = 0.7 При проектировании напорной канализации применяется коэффициент Глава 2.4, п.2.4.3 (Ценообразующий)</t>
  </si>
  <si>
    <t>K3 = 1.1 При проектировании городской канализации из «нежестких» труб (полиэтилен, полипропилен, стеклопластик, поливинилхлорид), требующих проверки на статическую устойчивость в период длительной эксплуатации, к стоимости проектирования применяется ценообразующий коэффициент Глава 2.4, п.2.4.8 (Ценообразующий)</t>
  </si>
  <si>
    <t>K4 = 1.2 (РПД 3.1-2, 3.6)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</si>
  <si>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(2.0% + 2.0% + 24.5% * (1 + 0.2) + 27.5% * (1 + 0.2) + 1.5% + 2.5% + 10.0% + 2.5% * (1 + 0.2) + 1.5% + 6.0% + 2.0% + 1.0% + 9.0% + 3.0% + 5.0%) = 110.9%</t>
  </si>
  <si>
    <t>1. Поя зап 2% = 247 руб.</t>
  </si>
  <si>
    <t>2. Про пол отв 2% = 247 руб.</t>
  </si>
  <si>
    <t>3. Тех и кон реш лин объ. Иск соо (инж обу, сет) 80.9% = 9986 руб.</t>
  </si>
  <si>
    <t>3.1. Тех реш 24.5% * (1 + 0.2) [из 80.9%] = 3629 руб.</t>
  </si>
  <si>
    <t>3.2. Кон реш 27.5% * (1 + 0.2) [из 80.9%] = 4073 руб.</t>
  </si>
  <si>
    <t>3.3. Иск соо 1.5% [из 80.9%] = 185 руб.</t>
  </si>
  <si>
    <t>3.4. Обу 2.5% [из 80.9%] = 309 руб.</t>
  </si>
  <si>
    <t>3.5. Эле 10% [из 80.9%] = 1234 руб.</t>
  </si>
  <si>
    <t>3.6. Вод и вод 2.5% * (1 + 0.2) [из 80.9%] = 370 руб.</t>
  </si>
  <si>
    <t>3.7. Свя, сиг, АСУ 1.5% [из 80.9%] = 185 руб.</t>
  </si>
  <si>
    <t>4. Зда и соо, вхо в инф объ 6% = 741 руб.</t>
  </si>
  <si>
    <t>5. Про орг стр 2% = 247 руб.</t>
  </si>
  <si>
    <t>6. Про орг раб по сно (дем) 1% = 123 руб.</t>
  </si>
  <si>
    <t>7. Мер по охр окр сре 9% = 1111 руб.</t>
  </si>
  <si>
    <t>8. Мер по обе пож без 3% = 370 руб.</t>
  </si>
  <si>
    <t>9. Сме на стр 5% = 617 руб.</t>
  </si>
  <si>
    <t>Локальные очистные сооружения ливневого стока, 2592 м3/сут. Сооружения для очистки ливневых (дождевых) и талых вод с территории промпредприятий и населенных мест. Производительность свыше 2 до 5 тыс.м3/сут.</t>
  </si>
  <si>
    <t>Объекты водоснабжения и канализации. 2015 г. Таблица 10. Сооружения для очистки сточных вод, п.17
A=424.77 тыс.руб; B=27.28 тыс.руб;
Осн. показ. Х=2.592 (1 тыс.м3/сут) 
Количество = 1</t>
  </si>
  <si>
    <t>(A + B * Xзад) * Количество * Кст * K1 * K2
(424770 руб + 27280 руб * 2.592) * 1 * 0.6 * 0.3 * 1.5 * 1.126</t>
  </si>
  <si>
    <t>K1 = 0.3 Цена привязки типовой или повторно применяемой проектной документации, без внесения изменений в надземную часть здания, определяется по ценам Справочников с применением коэффициента МУ 2009 г. Часть III п. 3.2 (Ценообразующий)</t>
  </si>
  <si>
    <t>K2 = 1.5 При сбросе в водоемы высшей, первой и второй категории рыбохозяйственного назначения очищенных сточных вод следует применять ценообразующий коэффициент Глава 2, п.2.10.1 (Ценообразующий)</t>
  </si>
  <si>
    <t>1. Поя зап 2% = 2676 руб.</t>
  </si>
  <si>
    <t>2. Схе пла орг зем уча 2% = 2676 руб.</t>
  </si>
  <si>
    <t>3. Арх реш 5% = 6689 руб.</t>
  </si>
  <si>
    <t>4. Кон и объ реш 18% * (1 + 0.2) = 28896 руб.</t>
  </si>
  <si>
    <t>5.1. Сис эле 8% * (1 + 0.2) [из 54%] = 12843 руб.</t>
  </si>
  <si>
    <t>5.2. Сис вод 2% * (1 + 0.2) [из 54%] = 3211 руб.</t>
  </si>
  <si>
    <t>5.3. Сис вод 2% * (1 + 0.2) [из 54%] = 3211 руб.</t>
  </si>
  <si>
    <t>5.4. Ото, вен 6% * (1 + 0.2) [из 54%] = 9632 руб.</t>
  </si>
  <si>
    <t>5.5. Осн общ сис свя и опо 2% * (1 + 0.2) [из 54%] = 3211 руб.</t>
  </si>
  <si>
    <t>5.6. Тех реш 25% * (1 + 0.2) [из 54%] = 40134 руб.</t>
  </si>
  <si>
    <t>6. Про орг стр 6% = 8027 руб.</t>
  </si>
  <si>
    <t>7. Пер мер по охр окр сре 8% = 10702 руб.</t>
  </si>
  <si>
    <t>8. Мер по обе пож без 4% = 5351 руб.</t>
  </si>
  <si>
    <t>9. Тре к обе без экс объ кап стр 1% = 1338 руб.</t>
  </si>
  <si>
    <t>10. Мер по обе соб тре эне эфф и тре осн зда, стр и соо при уче исп эне рес 2% = 2676 руб.</t>
  </si>
  <si>
    <t>11. Сме на стр 7% = 9365 руб.</t>
  </si>
  <si>
    <t>Резрвуар-усреднитель на ЛОС ливневого стока, 1770 м3. Резервуары для воды. Емкость свыше 1 до 2 тыс.м3.</t>
  </si>
  <si>
    <t>Объекты водоснабжения и канализации. 2015 г. Таблица 5. Насосная станция II-го подъема, подкачки или систем оборотного водоснабжения, п.11
A=72.89 тыс.руб; B=28.95 тыс.руб;
Осн. показ. Х=1.77 (1 тыс.м3) 
Количество = 1</t>
  </si>
  <si>
    <t>(A + B * Xзад) * Количество * Кст
(72890 руб + 28950 руб * 1.77) * 1 * 0.6 * 1.108</t>
  </si>
  <si>
    <t>K2 = 1.4 (РПД 4) Базовая цена проектирования зданий и сооружений с ограждающими и несущими конструкциями из монолитного железобетона определяется с применением коэффициента к тем разделам, разработка которых усложняется Общие положения, п.1.18 Усложняющий</t>
  </si>
  <si>
    <t>Разделы документации (2.0% + 2.0% + 5.0% + 18.0% * (1 + 0.2 + 0.4) + 8.0% + 2.0% + 2.0% + 6.0% + 2.0% + 25.0% + 6.0% + 8.0% + 4.0% + 1.0% + 2.0% + 7.0%) = 110.8%</t>
  </si>
  <si>
    <t>1. Поя зап 2% = 1490 руб.</t>
  </si>
  <si>
    <t>2. Схе пла орг зем уча 2% = 1490 руб.</t>
  </si>
  <si>
    <t>3. Арх реш 5% = 3724 руб.</t>
  </si>
  <si>
    <t>4. Кон и объ реш 18% * (1 + 0.2 + 0.4) = 21450 руб.</t>
  </si>
  <si>
    <t>5. Инж обо, сет, инж мер, тех реш 45% = 33516 руб.</t>
  </si>
  <si>
    <t>5.1. Сис эле 8% [из 45%] = 5958 руб.</t>
  </si>
  <si>
    <t>5.2. Сис вод 2% [из 45%] = 1490 руб.</t>
  </si>
  <si>
    <t>5.3. Сис вод 2% [из 45%] = 1490 руб.</t>
  </si>
  <si>
    <t>5.4. Ото, вен 6% [из 45%] = 4469 руб.</t>
  </si>
  <si>
    <t>5.5. Осн общ сис свя и опо 2% [из 45%] = 1490 руб.</t>
  </si>
  <si>
    <t>5.6. Тех реш 25% [из 45%] = 18620 руб.</t>
  </si>
  <si>
    <t>6. Про орг стр 6% = 4469 руб.</t>
  </si>
  <si>
    <t>7. Пер мер по охр окр сре 8% = 5958 руб.</t>
  </si>
  <si>
    <t>8. Мер по обе пож без 4% = 2979 руб.</t>
  </si>
  <si>
    <t>9. Тре к обе без экс объ кап стр 1% = 745 руб.</t>
  </si>
  <si>
    <t>10. Мер по обе соб тре эне эфф и тре осн зда, стр и соо при уче исп эне рес 2% = 1490 руб.</t>
  </si>
  <si>
    <t>11. Сме на стр 7% = 5214 руб.</t>
  </si>
  <si>
    <t>Сеть сброса очищенного стока в водоем, диам.800 мм, 90 м.  самотечная. Канализация (бытовая, дождевая, общесплавная), сооружаемая открытым способом. Диаметр  до 300 мм. Протяженность от 100 до 500 м.</t>
  </si>
  <si>
    <t>Коммунальные инженерные сети и сооружения, 2012 г. Раздел 3. Таблица 5. Наружные сети канализации, п.5
A=76.4 тыс.руб; B=0.31 тыс.руб;
Осн. показ. Х=100 (м) 
Количество = 1</t>
  </si>
  <si>
    <t>Сеть дренажной канализации, 540 м.  Кольцевой дренаж. Длина до 1000 м.</t>
  </si>
  <si>
    <t>Объекты водоснабжения и канализации. 2015 г. Таблица 18. Дренаж, п.1
A=4.6 тыс.руб; B=0.166 тыс.руб;
Xмин=1000; 
Осн. показ. Х=540 (1 м) 
Количество = 1</t>
  </si>
  <si>
    <t>Сеть водоотводных лотков ливневых стоков на территории парковки. 1833 м. Канализация (бытовая, дождевая, общесплавная), сооружаемая открытым способом. Диаметр до 300 мм. Протяженность свыше 500 м.</t>
  </si>
  <si>
    <t>Коммунальные инженерные сети и сооружения, 2012 г. Раздел 3. Таблица 5. Наружные сети канализации, п.2
A=55.5 тыс.руб; B=0.083 тыс.руб;
Xмакс=500;
Осн. показ. Х=1833 (м) 
Количество = 1</t>
  </si>
  <si>
    <t>K1 = 1.2 (РПД 3, 3.1-7)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</si>
  <si>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1. Поя зап 2% = 1634 руб.</t>
  </si>
  <si>
    <t>Кабельная линия 10кВ от ВЛ 10 кВ до проектируемой ТП,103 м. Кабельные линии напряжением до 35 кВ. Интервалы протяженности свыше 100 до 500 м.</t>
  </si>
  <si>
    <t>Коммунальные инженерные сети и сооружения, 2012 г. Раздел 3. Таблица 17. Квартальные, межквартальные, уличные кабельные электросети, п.2
A=7.763 тыс.руб; B=0.042 тыс.руб;
Осн. показ. Х=103 (м) 
Количество = 1</t>
  </si>
  <si>
    <t>Переход кабелем 10 кВ под автодорогой А-158 методом ГНБ. 36 м. Канализация, прокладываемая методом горизонтального направленного бурения, протяженностью от 100 до 1000 м</t>
  </si>
  <si>
    <t>Коммунальные инженерные сети и сооружения, 2012 г. Раздел 3.  Таблица 5. Наружные сети канализации п.10
A=47.8 тыс.руб; B=0.18 тыс.руб;
Xмин=100; 
Осн. показ. Х=36 (м) 
Количество = 1</t>
  </si>
  <si>
    <t>(A + B * (0.4 * Xмин + 0.6 * (Xмин / 2))) * Количество * Кст * K1
(47800 руб + 180 руб * (0.4 * 100 + 0.6 * 100 / 2)) * 1 * 0.5 * 0.72 * 1.14</t>
  </si>
  <si>
    <t>K1 = 0.72 К'пон = Xзад / (0.5 * Xмин) понижающий коэффициент, учитывающий разницу в трудоемкости работ по проектируемому объекту и объекту аналогу (Ценообразующий)</t>
  </si>
  <si>
    <t>1. Поя зап 2% = 435 руб.</t>
  </si>
  <si>
    <t>2. Про пол отв 2% = 435 руб.</t>
  </si>
  <si>
    <t>3.1. Тех реш 24.5% * (1 + 0.2) [из 84%] = 6393 руб.</t>
  </si>
  <si>
    <t>3.2. Кон реш 27.5% * (1 + 0.2) [из 84%] = 7176 руб.</t>
  </si>
  <si>
    <t>3.3. Иск соо 1.5% * (1 + 0.2) [из 84%] = 391 руб.</t>
  </si>
  <si>
    <t>3.4. Обу 2.5% * (1 + 0.2) [из 84%] = 652 руб.</t>
  </si>
  <si>
    <t>3.5. Эле 10% * (1 + 0.2) [из 84%] = 2609 руб.</t>
  </si>
  <si>
    <t>3.6. Вод и вод 2.5% * (1 + 0.2) [из 84%] = 652 руб.</t>
  </si>
  <si>
    <t>3.7. Свя, сиг, АСУ 1.5% * (1 + 0.2) [из 84%] = 391 руб.</t>
  </si>
  <si>
    <t>4. Зда и соо, вхо в инф объ 6% = 1305 руб.</t>
  </si>
  <si>
    <t>5. Про орг стр 2% = 435 руб.</t>
  </si>
  <si>
    <t>6. Про орг раб по сно (дем) 1% = 217 руб.</t>
  </si>
  <si>
    <t>7. Мер по охр окр сре 9% = 1957 руб.</t>
  </si>
  <si>
    <t>8. Мер по обе пож без 3% = 652 руб.</t>
  </si>
  <si>
    <t>9. Сме на стр 5% = 1087 руб.</t>
  </si>
  <si>
    <t>Трансформаторные подстанции напряжением 10/0,4 кВ.однотрансформаторная 1*16 0кВА. Трансформаторные подстанции напряжением 6-20/0,4 кВ. Закрытая двухтрансформаторная без распределительного устройства высокого напряжения, мощностью до 2х630 кВ А.</t>
  </si>
  <si>
    <t>Коммунальные инженерные сети и сооружения, 2012 г. Раздел 3. Таблица 37. Трансформаторные подстанции напряжением 6-20/0,4-10 кВ, распределительные и секционирующие пункты напряжением 6-20 кВ, п.3
A=47.26 тыс.руб; 
Количество = 1 (1 подстанция)</t>
  </si>
  <si>
    <t>A * Количество * Кст * K1 * K2
47260 руб * 1 * 0.5 * 0.5 * 0.7</t>
  </si>
  <si>
    <t>K1 = 0.5 При проектировании трансформаторных подстанций напряжением 6-20/0,4-10 кВ, распределительных и секционирующих пунктов напряжением 6-20 кВ: базовые цены для однотрансформаторных подстанций и односекционных распределительных устройств принимаются с коэффициентом Глава 2.8, п.2.8.7.1 (Ценообразующий)</t>
  </si>
  <si>
    <t>K2 = 0.7 При проектировании трансформаторных подстанций напряжением 6-20/0,4-10 кВ, распределительных и секционирующих пунктов напряжением 6-20 кВ: базовые цены для комплектных подстанций с мощностью трансформаторов 160 кВ А (2х160) и ниже принимаются с коэффициентом Глава 2.8, п.2.8.7.1 (Ценообразующий)</t>
  </si>
  <si>
    <t>Разделы документации (2.0% + 2.0% + 5.0% + 11.0% + 7.0% + 2.0% + 2.0% + 6.0% + 2.0% + 1.0% + 30.0% + 3.0% + 8.0% + 6.0% + 1.0% + 5.0% + 7.0%) = 100%</t>
  </si>
  <si>
    <t>1. Поя зап 2% = 165 руб.</t>
  </si>
  <si>
    <t>2. Схе пла орг зем уча 2% = 165 руб.</t>
  </si>
  <si>
    <t>3. Арх реш 5% = 414 руб.</t>
  </si>
  <si>
    <t>4. Кон и объ реш 11% = 910 руб.</t>
  </si>
  <si>
    <t>5. Инж обо, сет, инж мер, тех реш 50% = 4135 руб.</t>
  </si>
  <si>
    <t>5.1. Сис эле 7% [из 50%] = 579 руб.</t>
  </si>
  <si>
    <t>5.2. Сис вод 2% [из 50%] = 165 руб.</t>
  </si>
  <si>
    <t>5.3. Сис вод 2% [из 50%] = 165 руб.</t>
  </si>
  <si>
    <t>5.4. Ото, вен и кон воз 6% [из 50%] = 496 руб.</t>
  </si>
  <si>
    <t>5.5. Сет свя 2% [из 50%] = 165 руб.</t>
  </si>
  <si>
    <t>5.6. Сис газ 1% [из 50%] = 83 руб.</t>
  </si>
  <si>
    <t>5.7. Тех реш 30% [из 50%] = 2481 руб.</t>
  </si>
  <si>
    <t>6. Про орг стр 3% = 248 руб.</t>
  </si>
  <si>
    <t>7. Пер мер по охр окр сре 8% = 662 руб.</t>
  </si>
  <si>
    <t>8. Мер по обе пож без 6% = 496 руб.</t>
  </si>
  <si>
    <t>9. Мер по обе дос инв 1% = 83 руб.</t>
  </si>
  <si>
    <t>10. Мер по обе соб тре эне эфф и тре осн зда, стр и соо при уче исп эне рес 5% = 414 руб.</t>
  </si>
  <si>
    <t>11. Сме на стр 7% = 579 руб.</t>
  </si>
  <si>
    <t>Кабельная линия 0,4 кВ, от ТП до ВР и к потребителям парковки. 3068 м.. Кабельные линии напряжением до 35 кВ. Интервалы протяженности свыше 1000 до 5000 м.</t>
  </si>
  <si>
    <t>Коммунальные инженерные сети и сооружения, 2012 г. Раздел 3. Таблица 17. Квартальные, межквартальные, уличные кабельные электросети, п.4
A=12.265 тыс.руб; B=0.037 тыс.руб;
Осн. показ. Х=3068 (м) 
Количество = 1</t>
  </si>
  <si>
    <t>1. Поя зап 2% = 1006 руб.</t>
  </si>
  <si>
    <t>2. Про пол отв 2% = 1006 руб.</t>
  </si>
  <si>
    <t>5. Про орг стр 2% = 1006 руб.</t>
  </si>
  <si>
    <t>6. Про орг раб по сно (дем) 1% = 503 руб.</t>
  </si>
  <si>
    <t>7. Мер по охр окр сре 9% = 4528 руб.</t>
  </si>
  <si>
    <t>8. Мер по обе пож без 3% = 1509 руб.</t>
  </si>
  <si>
    <t>9. Сме на стр 5% = 2516 руб.</t>
  </si>
  <si>
    <t>Наружное освещение парковки, 3839 м. Наружное освещение. Длина свыше 3000 до 5000 п.м.</t>
  </si>
  <si>
    <t>Коммунальные инженерные сети и сооружения, 2012 г. Раздел 3. Таблица 2. Наружное освещение улиц, магистралей, проездов, площадей, парков, скверов, бульваров, жилых дворовых территорий, кладбищ, территорий школ, детских садов, яслей-садов, поликлиник и больниц, п.5
A=84.97 тыс.руб; B=0.01 тыс.руб;
Осн. показ. Х=3839 (п.м.) 
Количество = 1</t>
  </si>
  <si>
    <t>1. Поя зап 2% = 987 руб.</t>
  </si>
  <si>
    <t>2. Про пол отв 2% = 987 руб.</t>
  </si>
  <si>
    <t>5. Про орг стр 2% = 987 руб.</t>
  </si>
  <si>
    <t>6. Про орг раб по сно (дем) 1% = 493 руб.</t>
  </si>
  <si>
    <t>7. Мер по охр окр сре 9% = 4441 руб.</t>
  </si>
  <si>
    <t>8. Мер по обе пож без 3% = 1480 руб.</t>
  </si>
  <si>
    <t>9. Сме на стр 5% = 2467 руб.</t>
  </si>
  <si>
    <t>Кабельная канализация связи, трехотверстная, 1028 м. Прокладка канализации связи и радио из асбоцементных труб. Емкость до 6 отверстий включительно. Протяженность свыше 1000 до 3000 м.</t>
  </si>
  <si>
    <t>Коммунальные инженерные сети и сооружения, 2012 г. Раздел 3. Таблица 1. Городские линейные инженерные сети связи, п.12
A=46 тыс.руб; B=0.069 тыс.руб;
Осн. показ. Х=1028 (м) 
Количество = 1</t>
  </si>
  <si>
    <t>1. Поя зап 2% = 935 руб.</t>
  </si>
  <si>
    <t>2. Про пол отв 2% = 935 руб.</t>
  </si>
  <si>
    <t>5. Про орг стр 2% = 935 руб.</t>
  </si>
  <si>
    <t>6. Про орг раб по сно (дем) 1% = 468 руб.</t>
  </si>
  <si>
    <t>7. Мер по охр окр сре 9% = 4210 руб.</t>
  </si>
  <si>
    <t>8. Мер по обе пож без 3% = 1403 руб.</t>
  </si>
  <si>
    <t>9. Сме на стр 5% = 2339 руб.</t>
  </si>
  <si>
    <t>Кабельная канализация связи, двухотверстная, 128 м. Прокладка канализации связи и радио из асбоцементных труб. Емкость до 2 отверстий включительно. Протяженность  свыше 100 до 250 м.</t>
  </si>
  <si>
    <t>Коммунальные инженерные сети и сооружения, 2012 г. Раздел 3. Таблица 1. Городские линейные инженерные сети связи, п.2
A=0.75 тыс.руб; B=0.137 тыс.руб;
Осн. показ. Х=128 (м) 
Количество = 1</t>
  </si>
  <si>
    <t>1. Поя зап 2% = 146 руб.</t>
  </si>
  <si>
    <t>2. Про пол отв 2% = 146 руб.</t>
  </si>
  <si>
    <t>5. Про орг стр 2% = 146 руб.</t>
  </si>
  <si>
    <t>6. Про орг раб по сно (дем) 1% = 73 руб.</t>
  </si>
  <si>
    <t>7. Мер по охр окр сре 9% = 658 руб.</t>
  </si>
  <si>
    <t>8. Мер по обе пож без 3% = 219 руб.</t>
  </si>
  <si>
    <t>9. Сме на стр 5% = 366 руб.</t>
  </si>
  <si>
    <t>ВОЛС в кабельной канализации связи. 5750 м.  Прокладка первого кабеля в проектируемой телефонной канализации. Длина участка прокладки свыше  3000 м.</t>
  </si>
  <si>
    <t>Коммунальные инженерные сети и сооружения, 2012 г. Раздел 3. Таблица 1. Городские линейные инженерные сети связи, п.41
A=41 тыс.руб; B=0.02 тыс.руб;
Xмакс=3000;
Осн. показ. Х=5750 (м) 
Количество = 1</t>
  </si>
  <si>
    <t>K1 = 1.2 При проектировании кабелей уплотненных, междугородних, оптических, телемеханики, кабельного телевидения к базовой цене применяется коэффициент (базовая цена рассчитана на телефонные распределительные кабели и кабели радиофикации) Глава 2.1, п.2.1.2 (Ценообразующий)</t>
  </si>
  <si>
    <t>1. Поя зап 2% = 1286 руб.</t>
  </si>
  <si>
    <t>2. Про пол отв 2% = 1286 руб.</t>
  </si>
  <si>
    <t>4. Зда и соо, вхо в инф объ 6% = 3859 руб.</t>
  </si>
  <si>
    <t>5. Про орг стр 2% = 1286 руб.</t>
  </si>
  <si>
    <t>6. Про орг раб по сно (дем) 1% = 643 руб.</t>
  </si>
  <si>
    <t>7. Мер по охр окр сре 9% = 5789 руб.</t>
  </si>
  <si>
    <t>8. Мер по обе пож без 3% = 1930 руб.</t>
  </si>
  <si>
    <t>9. Сме на стр 5% = 3216 руб.</t>
  </si>
  <si>
    <t>ВОЛС в траншее в грунте. 756 м. Прокладка бронированного кабеля связи в земле. Протяженность свыше 500 до 1000 м.</t>
  </si>
  <si>
    <t>Коммунальные инженерные сети и сооружения, 2012 г. Раздел 3. Таблица 1. Городские линейные инженерные сети связи, п.44
A=21 тыс.руб; B=0.062 тыс.руб;
Осн. показ. Х=756 (м) 
Количество = 1</t>
  </si>
  <si>
    <t>1. Поя зап 2% = 543 руб.</t>
  </si>
  <si>
    <t>2. Про пол отв 2% = 543 руб.</t>
  </si>
  <si>
    <t>4. Зда и соо, вхо в инф объ 6% = 1629 руб.</t>
  </si>
  <si>
    <t>5. Про орг стр 2% = 543 руб.</t>
  </si>
  <si>
    <t>6. Про орг раб по сно (дем) 1% = 271 руб.</t>
  </si>
  <si>
    <t>7. Мер по охр окр сре 9% = 2443 руб.</t>
  </si>
  <si>
    <t>8. Мер по обе пож без 3% = 814 руб.</t>
  </si>
  <si>
    <t>9. Сме на стр 5% = 1357 руб.</t>
  </si>
  <si>
    <t>СБ.СОТ в здании АБК. видеонаблюдение внутреннее, 2 камеры</t>
  </si>
  <si>
    <t>Объекты связи. 2010 г. Раздел 4. Таблица 20. Отдельные здания цехов и сооружения предприятий радиосвязи, радиовещания и телевидения п.7
A=36.61 тыс.руб; B=4.57 тыс.руб;
Осн. показ. Х=2 (1 камера) 
Количество = 1</t>
  </si>
  <si>
    <t>1. Поя зап 2% = 366 руб.</t>
  </si>
  <si>
    <t>2. Схе пла орг зем уча 2% = 366 руб.</t>
  </si>
  <si>
    <t>3. Арх реш 6% = 1098 руб.</t>
  </si>
  <si>
    <t>4. Кон и объ реш 12% = 2196 руб.</t>
  </si>
  <si>
    <t>6. Про орг стр 3% = 549 руб.</t>
  </si>
  <si>
    <t>7. Охр окр сре (ООС) 9% = 1647 руб.</t>
  </si>
  <si>
    <t>8. Мер по обе пож без 6% = 1098 руб.</t>
  </si>
  <si>
    <t>9. Мер по обе дос инв 1% = 183 руб.</t>
  </si>
  <si>
    <t>10. Сме на стр 8% = 1464 руб.</t>
  </si>
  <si>
    <t>СБ.СОТ Видеонаблюдение наружное, 76 камер</t>
  </si>
  <si>
    <t>Объекты связи. 2010 г. Раздел 4. Таблица 20. Отдельные здания цехов и сооружения предприятий радиосвязи, радиовещания и телевидения п.7
A=36.61 тыс.руб; B=4.57 тыс.руб;
Xмакс=12;
Осн. показ. Х=76 (1 камера) 
Количество = 1</t>
  </si>
  <si>
    <t>K1 = 1.1 Цена проектирования наружных установок промышленного телевизионного оборудования на территории объекта определяется с применением коэффициента Раздел 2, п.2.45 (Ценообразующий)</t>
  </si>
  <si>
    <t>1. Поя зап 2% = 2349 руб.</t>
  </si>
  <si>
    <t>Серверная. Интегрирующий комплекс приема, обработки и хранения  информации</t>
  </si>
  <si>
    <t>Объекты связи. 2010 г. Раздел 4. Таблица 20. Отдельные здания цехов и сооружения предприятий радиосвязи, радиовещания и телевидения п.10
A=85.45 тыс.руб; 
Количество = 1 (1 комплекс)</t>
  </si>
  <si>
    <t>Встроенное помещение K1 = 0.5 (Ценообразующий)</t>
  </si>
  <si>
    <t>1. Поя зап 2% = 342 руб.</t>
  </si>
  <si>
    <t>2. Схе пла орг зем уча 2% = 342 руб.</t>
  </si>
  <si>
    <t>3. Арх реш 6% = 1025 руб.</t>
  </si>
  <si>
    <t>4. Кон и объ реш 12% = 2051 руб.</t>
  </si>
  <si>
    <t>6. Про орг стр 3% = 513 руб.</t>
  </si>
  <si>
    <t>7. Охр окр сре (ООС) 9% = 1538 руб.</t>
  </si>
  <si>
    <t>8. Мер по обе пож без 6% = 1025 руб.</t>
  </si>
  <si>
    <t>9. Сме на стр 8% = 1367 руб.</t>
  </si>
  <si>
    <t>СКУД, 3 элемент. Установка промышленного телевизионного оборудования в готовом здании с числом камер от 2 до 12</t>
  </si>
  <si>
    <t>Объекты связи. 2010 г. Раздел 4. Таблица 20. Отдельные здания цехов и сооружения предприятий радиосвязи, радиовещания и телевидения п.7
A=36.61 тыс.руб; B=4.57 тыс.руб;
Осн. показ. Х=3 (1 камера) 
Количество = 1</t>
  </si>
  <si>
    <t>1. Поя зап 2% = 503 руб.</t>
  </si>
  <si>
    <t>2. Схе пла орг зем уча 2% = 503 руб.</t>
  </si>
  <si>
    <t>3. Арх реш 6% = 1510 руб.</t>
  </si>
  <si>
    <t>4. Кон и объ реш 12% = 3019 руб.</t>
  </si>
  <si>
    <t>6. Про орг стр 3% = 755 руб.</t>
  </si>
  <si>
    <t>7. Охр окр сре (ООС) 9% = 2264 руб.</t>
  </si>
  <si>
    <t>8. Мер по обе пож без 6% = 1510 руб.</t>
  </si>
  <si>
    <t>9. Мер по обе дос инв 1% = 252 руб.</t>
  </si>
  <si>
    <t>10. Сме на стр 8% = 2013 руб.</t>
  </si>
  <si>
    <t>Комплексная автоматизированная парковочная система, 12 элементов. Установка промышленного телевизионного оборудования в готовом здании с числом камер от 2 до 12</t>
  </si>
  <si>
    <t>Объекты связи. 2010 г. Раздел 4. Таблица 20. Отдельные здания цехов и сооружения предприятий радиосвязи, радиовещания и телевидения п.7
A=36.61 тыс.руб; B=4.57 тыс.руб;
Осн. показ. Х=12 (1 камера) 
Количество = 1</t>
  </si>
  <si>
    <t>1. Поя зап 2% = 915 руб.</t>
  </si>
  <si>
    <t>2. Схе пла орг зем уча 2% = 915 руб.</t>
  </si>
  <si>
    <t>3. Арх реш 6% = 2744 руб.</t>
  </si>
  <si>
    <t>4. Кон и объ реш 12% = 5487 руб.</t>
  </si>
  <si>
    <t>6. Про орг стр 3% = 1372 руб.</t>
  </si>
  <si>
    <t>7. Охр окр сре (ООС) 9% = 4115 руб.</t>
  </si>
  <si>
    <t>8. Мер по обе пож без 6% = 2744 руб.</t>
  </si>
  <si>
    <t>9. Мер по обе дос инв 1% = 457 руб.</t>
  </si>
  <si>
    <t>10. Сме на стр 8% = 3658 руб.</t>
  </si>
  <si>
    <t>АРМ СОТ, АРМ КАПС, 2 шт. Автоматизированное рабочее место (АРМ) оператора на базе ПЭВМ</t>
  </si>
  <si>
    <t>Объекты связи. 2010 г. Раздел 4. Таблица 24. Локальные вычислительные сети, структурированные кабельные сети п.1
A=2.40 тыс.руб; 
Количество = 1 (1 АРМ)</t>
  </si>
  <si>
    <t>A * Количество * Кст * K1
2400 руб * 1 * 0.5 * 1.2</t>
  </si>
  <si>
    <t>Разделы документации (2.0% + 2.0% + 6.0% + 12.0% + 16.0% + 2.0% + 2.0% + 10.0% + 2.0% + 1.0% + 18.0% + 3.0% + 9.0% + 6.0% + 1.0% + 8.0%) = 100%</t>
  </si>
  <si>
    <t>Структурированная кабельная сеть с числом узлов 31. Структурированная кабельная сеть с числом узлов свыше 25 до 50</t>
  </si>
  <si>
    <t>Объекты связи. 2010 г. Раздел 4. Таблица 24. Локальные вычислительные сети, структурированные кабельные сети п.10
A=34.20 тыс.руб; B=0.79 тыс.руб;
Осн. показ. Х=31 (1 узел) 
Количество = 1</t>
  </si>
  <si>
    <t>(A + B * Xзад) * Количество * Кст
(34200 руб + 790 руб * 31) * 1 * 0.5</t>
  </si>
  <si>
    <t>Разделы документации (2.0% + 2.0% + 22.0% + 27.0% + 1.0% + 2.0% + 15.0% + 2.0% + 1.0% + 6.0% + 2.0% + 1.0% + 9.0% + 3.0% + 5.0%) = 100%</t>
  </si>
  <si>
    <t>1. Поя зап 2% = 587 руб.</t>
  </si>
  <si>
    <t>2. Про пол отв 2% = 587 руб.</t>
  </si>
  <si>
    <t>3. Тех и кон реш лин объ. Иск соо (инж обу, сет) 70% = 20542 руб.</t>
  </si>
  <si>
    <t>3.1. Тех реш 22% [из 70%] = 6456 руб.</t>
  </si>
  <si>
    <t>3.2. Кон реш 27% [из 70%] = 7923 руб.</t>
  </si>
  <si>
    <t>3.3. Иск соо 1% [из 70%] = 293 руб.</t>
  </si>
  <si>
    <t>3.4. Обу 2% [из 70%] = 587 руб.</t>
  </si>
  <si>
    <t>3.5. Эле 15% [из 70%] = 4402 руб.</t>
  </si>
  <si>
    <t>3.6. Вод и вод 2% [из 70%] = 587 руб.</t>
  </si>
  <si>
    <t>3.7. Свя, сиг, АСУ 1% [из 70%] = 293 руб.</t>
  </si>
  <si>
    <t>4. Зда и соо, вхо в инф объ 6% = 1761 руб.</t>
  </si>
  <si>
    <t>5. Про орг стр 2% = 587 руб.</t>
  </si>
  <si>
    <t>6. Про орг раб по сно (дем) 1% = 293 руб.</t>
  </si>
  <si>
    <t>7. Охр окр сре (ООС) 9% = 2641 руб.</t>
  </si>
  <si>
    <t>8. Мер по обе пож без 3% = 880 руб.</t>
  </si>
  <si>
    <t>9. Сме на стр 5% = 1467 руб.</t>
  </si>
  <si>
    <t>Базовая цена проектирования объектов по которым обязательно проведение государственной экологической экспертизы проектной документации определяется с применением  ценообразующего коэффициента (Общие положения, п.1.10) начисление</t>
  </si>
  <si>
    <t>Проектиуемый объект находится в ООПТ федерального значения.
 В соответствии с ЗнП проектная документация  подлежит государственной экологической экспертизе</t>
  </si>
  <si>
    <t>Разработка ОВОС, стоимость определяется дополнительно в размере 4% от общей стоимости проектирования (Общие положения, п.1.13)</t>
  </si>
  <si>
    <t>В соответствии с ЗнП проектная документация подлежит государственной экологической экспертизе. В связи с этим, требуется разрааботка ОВОС</t>
  </si>
  <si>
    <t>Коэф - т 0.04 от п.48</t>
  </si>
  <si>
    <t>Сумма от п.48-50</t>
  </si>
  <si>
    <t>Главный инженер ООО "Национальные канатные дороги"  _________________________Нагулевич В.А.</t>
  </si>
  <si>
    <t>Стадия: Рабочая документация Кст = 0.6</t>
  </si>
  <si>
    <t>1. Тех час 5% = 6568 руб.</t>
  </si>
  <si>
    <t>2. Арх час и ген 65% * (1 + 0.2) = 102466 руб.</t>
  </si>
  <si>
    <t>3. Вод и кан 10% * (1 + 0.2) = 15764 руб.</t>
  </si>
  <si>
    <t>1. Тех час 5% = 5998 руб.</t>
  </si>
  <si>
    <t>2. Арх час и ген 65% * (1 + 0.2) = 93561 руб.</t>
  </si>
  <si>
    <t>3. Вод и кан 10% * (1 + 0.2) = 14394 руб.</t>
  </si>
  <si>
    <t>1. Тех час 5% = 5705 руб.</t>
  </si>
  <si>
    <t>2. Арх час и ген 65% * (1 + 0.2) = 89005 руб.</t>
  </si>
  <si>
    <t>3. Вод и кан 10% * (1 + 0.2) = 13693 руб.</t>
  </si>
  <si>
    <t>4. Эле и эле, авт 15% * (1 + 0.2) = 20540 руб.</t>
  </si>
  <si>
    <t>Разделы документации (9% + 42% * (1 + 0.2) + 9% * (1 + 0.2) + 11% * (1 + 0.2) + 10% + 2% + 1% + 8% + 8%) = 112.4%</t>
  </si>
  <si>
    <t>Стадия: Рабочая документация Кст = 0.61</t>
  </si>
  <si>
    <t>(A + B * Xзад) * Количество * Кст * K1
(530710 руб + 158 руб * 200.6) * 1 * 0.6 * 0.35 * 1.122</t>
  </si>
  <si>
    <t>K2 = 1.2 (РПД 3-4, 4.1-7)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</si>
  <si>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(1.0% + 22.0% + 27.0% * (1 + 0.2) + 5.0% * (1 + 0.2) + 3.0% * (1 + 0.2) + 3.0% * (1 + 0.2) + 14.0% * (1 + 0.2) + 3.0% * (1 + 0.2) + 2.0% * (1 + 0.2) + 4.0% * (1 + 0.2) + 4.0% + 3.0% + 9.0%) = 112.2%</t>
  </si>
  <si>
    <t>1. Схе пла орг зем уча 1% = 1181 руб.</t>
  </si>
  <si>
    <t>2. Арх реш 22% = 25983 руб.</t>
  </si>
  <si>
    <t>3. Кон и объ реш 27% * (1 + 0.2) = 38266 руб.</t>
  </si>
  <si>
    <t>4. Инж обо, сет инж мер, тех реш</t>
  </si>
  <si>
    <t>4.1. Эле 5% * (1 + 0.2) [из 40.8%] = 7086 руб.</t>
  </si>
  <si>
    <t>4.2. Вод 3% * (1 + 0.2) [из 40.8%] = 4252 руб.</t>
  </si>
  <si>
    <t>4.3. Вод 3% * (1 + 0.2) [из 40.8%] = 4252 руб.</t>
  </si>
  <si>
    <t>4.4. Ото, вен, кон воз 14% * (1 + 0.2) [из 40.8%] = 19842 руб.</t>
  </si>
  <si>
    <t>4.5. Свя 3% * (1 + 0.2) [из 40.8%] = 4252 руб.</t>
  </si>
  <si>
    <t>4.6. Газ 2% * (1 + 0.2) [из 40.8%] = 2835 руб.</t>
  </si>
  <si>
    <t>4.7. Тех реш 4% * (1 + 0.2) [из 40.8%] = 5669 руб.</t>
  </si>
  <si>
    <t>5. Мер по обе пож без 4% = 4724 руб.</t>
  </si>
  <si>
    <t>6. Мер по обе дос инв 3% = 3543 руб.</t>
  </si>
  <si>
    <t>7. Сме на стр 9% = 10629 руб.</t>
  </si>
  <si>
    <t>(A + B * (0.4 * Xмин + 0.6 * Xзад)) * Количество * Кст * K1
(28730 руб + 24 руб * (0.4 * 160 + 0.6 * 108.24)) * 1 * 0.6 * 0.22 * 1.1378</t>
  </si>
  <si>
    <t>Разделы документации (1.1% + 12.6% + 15.8% * (1 + 0.2) + 7.1% * (1 + 0.2) + 1.7% * (1 + 0.2) + 1.5% * (1 + 0.2) + 10.9% * (1 + 0.2) + 0.8% * (1 + 0.2) + 3.0% * (1 + 0.2) + 28.1% * (1 + 0.2) + 0.6% + 0.1% + 1.4% + 5.3% + 0.6% + 9.4%) = 113.78%</t>
  </si>
  <si>
    <t>1. Схе пла орг зем уча 1.1% = 46 руб.</t>
  </si>
  <si>
    <t>2. Арх реш 12.6% = 529 руб.</t>
  </si>
  <si>
    <t>3. Кон и объ реш 15.8% * (1 + 0.2) = 796 руб.</t>
  </si>
  <si>
    <t>4.1. Эле 7.1% * (1 + 0.2) [из 63.72%] = 358 руб.</t>
  </si>
  <si>
    <t>4.2. Вод 1.7% * (1 + 0.2) [из 63.72%] = 86 руб.</t>
  </si>
  <si>
    <t>4.3. Вод 1.5% * (1 + 0.2) [из 63.72%] = 76 руб.</t>
  </si>
  <si>
    <t>4.4. Ото, вен, кон воз 10.9% * (1 + 0.2) [из 63.72%] = 549 руб.</t>
  </si>
  <si>
    <t>4.5. Свя 0.8% * (1 + 0.2) [из 63.72%] = 40 руб.</t>
  </si>
  <si>
    <t>4.6. Газ 3% * (1 + 0.2) [из 63.72%] = 151 руб.</t>
  </si>
  <si>
    <t>4.7. Тех реш 28.1% * (1 + 0.2) [из 63.72%] = 1417 руб.</t>
  </si>
  <si>
    <t>5. Про орг стр 0.6% = 25 руб.</t>
  </si>
  <si>
    <t>6. Про орг раб по сно и дем 0.1% = 4 руб.</t>
  </si>
  <si>
    <t>7. Охр окр сре (ООС) 1.4% = 59 руб.</t>
  </si>
  <si>
    <t>8. Мер по обе пож без 5.3% = 223 руб.</t>
  </si>
  <si>
    <t>9. Мер по обе дос инв 0.6% = 25 руб.</t>
  </si>
  <si>
    <t>10. Сме на стр 9.4% = 395 руб.</t>
  </si>
  <si>
    <t>(A + B * Xзад) * Количество * Кст * K1
(33000 руб + 5500 руб * 11) * 1 * 0.6 * 0.35 * 1.164</t>
  </si>
  <si>
    <t>Разделы документации (1.0% + 3.0% + 7.0% + 12.0% * (1 + 0.2) + 7.0% * (1 + 0.2) + 8.0% * (1 + 0.2) + 3.0% * (1 + 0.2) + 5.0% * (1 + 0.2) + 5.0% * (1 + 0.2) + 42.0% * (1 + 0.2) + 1.0% + 6.0%) = 116.4%</t>
  </si>
  <si>
    <t>1. Поя зап 1% = 196 руб.</t>
  </si>
  <si>
    <t>2. Схе пла орг зем уча 3% = 589 руб.</t>
  </si>
  <si>
    <t>3. Арх реш 7% = 1374 руб.</t>
  </si>
  <si>
    <t>4. Кон и объ реш 12% * (1 + 0.2) = 2827 руб.</t>
  </si>
  <si>
    <t>5. Инж обо, сет, инж мер, тех реш. Сис эле 7% * (1 + 0.2) = 1649 руб.</t>
  </si>
  <si>
    <t>6. Инж обо, сет, инж мер, тех реш. Сис вод и вод 8% * (1 + 0.2) = 1885 руб.</t>
  </si>
  <si>
    <t>7. Инж обо, сет, инж мер, тех реш. Пут раз 3% * (1 + 0.2) = 707 руб.</t>
  </si>
  <si>
    <t>8. Инж обо, сет, инж мер, тех реш. Ото, вен и кон воз 5% * (1 + 0.2) = 1178 руб.</t>
  </si>
  <si>
    <t>9. Инж обо, сет, инж мер, тех реш. Сет свя 5% * (1 + 0.2) = 1178 руб.</t>
  </si>
  <si>
    <t>10. Инж обо, сет, инж мер, тех реш. Тех реш 42% * (1 + 0.2) = 9896 руб.</t>
  </si>
  <si>
    <t>11. Мер по обе эне эфф 1% = 196 руб.</t>
  </si>
  <si>
    <t>12. Сме на стр 6% = 1178 руб.</t>
  </si>
  <si>
    <t>(A + B * (0.4 * Xмин + 0.6 * (Xмин / 2))) * Количество * Кст * K1
(35000 руб + 190 руб * (0.4 * 250 + 0.6 * 250 / 2)) * 1 * 0.6 * 0.7 * 1.164</t>
  </si>
  <si>
    <t>1. Поя зап 1% = 287 руб.</t>
  </si>
  <si>
    <t>2. Схе пла орг зем уча 3% = 860 руб.</t>
  </si>
  <si>
    <t>3. Арх реш 7% = 2007 руб.</t>
  </si>
  <si>
    <t>4. Кон и объ реш 12% * (1 + 0.2) = 4128 руб.</t>
  </si>
  <si>
    <t>5. Инж обо, сет, инж мер, тех реш. Сис эле 7% * (1 + 0.2) = 2408 руб.</t>
  </si>
  <si>
    <t>6. Инж обо, сет, инж мер, тех реш. Сис вод и вод 8% * (1 + 0.2) = 2752 руб.</t>
  </si>
  <si>
    <t>7. Инж обо, сет, инж мер, тех реш. Пут раз 3% * (1 + 0.2) = 1032 руб.</t>
  </si>
  <si>
    <t>8. Инж обо, сет, инж мер, тех реш. Ото, вен и кон воз 5% * (1 + 0.2) = 1720 руб.</t>
  </si>
  <si>
    <t>9. Инж обо, сет, инж мер, тех реш. Сет свя 5% * (1 + 0.2) = 1720 руб.</t>
  </si>
  <si>
    <t>10. Инж обо, сет, инж мер, тех реш. Тех реш 42% * (1 + 0.2) = 14447 руб.</t>
  </si>
  <si>
    <t>11. Мер по обе эне эфф 1% = 287 руб.</t>
  </si>
  <si>
    <t>12. Сме на стр 6% = 1720 руб.</t>
  </si>
  <si>
    <t>(A + B * (0.4 * Xмин + 0.6 * (Xмин / 2))) * Количество * Кст * K1 * K2 * K3
(28730 руб + 24 руб * (0.4 * 160 + 0.6 * 160 / 2)) * 1 * 0.6 * 1.4 * 0.22 * 0.7 * 1.1378</t>
  </si>
  <si>
    <t>K4 = 1.2 (РПД 3-4, 4.1-7)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</si>
  <si>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1. Схе пла орг зем уча 1.1% = 45 руб.</t>
  </si>
  <si>
    <t>2. Арх реш 12.6% = 512 руб.</t>
  </si>
  <si>
    <t>3. Кон и объ реш 15.8% * (1 + 0.2) = 771 руб.</t>
  </si>
  <si>
    <t>4.1. Эле 7.1% * (1 + 0.2) [из 63.72%] = 346 руб.</t>
  </si>
  <si>
    <t>4.2. Вод 1.7% * (1 + 0.2) [из 63.72%] = 83 руб.</t>
  </si>
  <si>
    <t>4.3. Вод 1.5% * (1 + 0.2) [из 63.72%] = 73 руб.</t>
  </si>
  <si>
    <t>4.4. Ото, вен, кон воз 10.9% * (1 + 0.2) [из 63.72%] = 532 руб.</t>
  </si>
  <si>
    <t>4.5. Свя 0.8% * (1 + 0.2) [из 63.72%] = 39 руб.</t>
  </si>
  <si>
    <t>4.6. Газ 3% * (1 + 0.2) [из 63.72%] = 146 руб.</t>
  </si>
  <si>
    <t>4.7. Тех реш 28.1% * (1 + 0.2) [из 63.72%] = 1370 руб.</t>
  </si>
  <si>
    <t>5. Про орг стр 0.6% = 24 руб.</t>
  </si>
  <si>
    <t>7. Охр окр сре (ООС) 1.4% = 57 руб.</t>
  </si>
  <si>
    <t>8. Мер по обе пож без 5.3% = 215 руб.</t>
  </si>
  <si>
    <t>9. Мер по обе дос инв 0.6% = 24 руб.</t>
  </si>
  <si>
    <t>10. Сме на стр 9.4% = 382 руб.</t>
  </si>
  <si>
    <t>Стадия: Рабочая документация Кст = 0.7</t>
  </si>
  <si>
    <t>1. Арх реш 6% = 11157 руб.</t>
  </si>
  <si>
    <t>2. Кон и объ реш 7% * (1 + 0.2) = 15619 руб.</t>
  </si>
  <si>
    <t>3. Инж обо, сет инж мер, тех реш</t>
  </si>
  <si>
    <t>4. Мер по обе пож без 2% = 3719 руб.</t>
  </si>
  <si>
    <t>5. Сме на стр 7% = 13016 руб.</t>
  </si>
  <si>
    <t>Стадия: Рабочая документация Кст = 0.77</t>
  </si>
  <si>
    <t>Стадия: Рабочая документация Кст = 0.5</t>
  </si>
  <si>
    <t>K1 = 1.2 (РПД 1, 1.1-7)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</si>
  <si>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(24.5% * (1 + 0.2) + 23.5% * (1 + 0.2) + 1.5% * (1 + 0.2) + 2.5% * (1 + 0.2) + 17.0% * (1 + 0.2) + 5.5% * (1 + 0.2) + 2.5% * (1 + 0.2) + 8.0% + 5.0% + 10.0%) = 115.4%</t>
  </si>
  <si>
    <t>1. Тех и кон реш лин объ. Иск соо (инж обу, сет)</t>
  </si>
  <si>
    <t>A * Количество * Кст * K1 * K2
11800 руб * 1 * 0.5 * 1.2 * 1.1 * 1.14</t>
  </si>
  <si>
    <t>K3 = 1.2 (РПД 3-4, 4.1-7)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</si>
  <si>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(2.0% + 6.0% + 15.0% * (1 + 0.2) + 9.0% * (1 + 0.2) + 3.0% * (1 + 0.2) + 3.0% * (1 + 0.2) + 7.0% * (1 + 0.2) + 2.0% * (1 + 0.2) + 1.0% * (1 + 0.2) + 30.0% * (1 + 0.2) + 9.0% + 1.0% + 5.0% + 7.0%) = 114%</t>
  </si>
  <si>
    <t>1. Схе пла орг зем уча 2% = 156 руб.</t>
  </si>
  <si>
    <t>2. Арх реш 6% = 467 руб.</t>
  </si>
  <si>
    <t>3. Кон и объ реш 15% * (1 + 0.2) = 1402 руб.</t>
  </si>
  <si>
    <t>4. Инж обо, сет, инж мер, тех реш</t>
  </si>
  <si>
    <t>4.1. Сис эле 9% * (1 + 0.2) [из 66%] = 841 руб.</t>
  </si>
  <si>
    <t>4.2. Сис вод 3% * (1 + 0.2) [из 66%] = 280 руб.</t>
  </si>
  <si>
    <t>4.3. Сис вод 3% * (1 + 0.2) [из 66%] = 280 руб.</t>
  </si>
  <si>
    <t>4.4. Ото, вен и кон воз 7% * (1 + 0.2) [из 66%] = 654 руб.</t>
  </si>
  <si>
    <t>4.5. Сет свя 2% * (1 + 0.2) [из 66%] = 187 руб.</t>
  </si>
  <si>
    <t>4.6. Сис газ 1% * (1 + 0.2) [из 66%] = 93 руб.</t>
  </si>
  <si>
    <t>4.7. Тех реш 30% * (1 + 0.2) [из 66%] = 2804 руб.</t>
  </si>
  <si>
    <t>5. Мер по обе пож без 9% = 701 руб.</t>
  </si>
  <si>
    <t>6. Мер по обе дос инв 1% = 78 руб.</t>
  </si>
  <si>
    <t>7. Мер по обе соб тре эне эфф и тре осн зда, стр и соо при уче исп эне рес 5% = 389 руб.</t>
  </si>
  <si>
    <t>8. Сме на стр 7% = 545 руб.</t>
  </si>
  <si>
    <t>K2 = 1.2 (РПД 1, 1.1-7)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</si>
  <si>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(A + B * (0.4 * Xмин + 0.6 * (Xмин / 2))) * Количество * Кст * K1 * K2
(147380 руб + 242530 руб * (0.4 * 0.25 + 0.6 * 0.25 / 2)) * 1 * 0.4 * 0.2 * 0.7 * 1.156</t>
  </si>
  <si>
    <t>Стадия: Рабочая документация Кст = 0.4</t>
  </si>
  <si>
    <t>K3 = 1.2 (РПД 3-4, 4.1-6)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</si>
  <si>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(5.0% + 10.0% + 33.0% * (1 + 0.2) + 10.0% * (1 + 0.2) + 3.0% * (1 + 0.2) + 3.0% * (1 + 0.2) + 7.0% * (1 + 0.2) + 2.0% * (1 + 0.2) + 20.0% * (1 + 0.2) + 7.0%) = 115.6%</t>
  </si>
  <si>
    <t>1. Схе пла орг зем уча 5% = 532 руб.</t>
  </si>
  <si>
    <t>2. Арх реш 10% = 1063 руб.</t>
  </si>
  <si>
    <t>3. Кон и объ реш 33% * (1 + 0.2) = 4210 руб.</t>
  </si>
  <si>
    <t>4.1. Сис эле 10% * (1 + 0.2) [из 54%] = 1276 руб.</t>
  </si>
  <si>
    <t>4.2. Сис вод 3% * (1 + 0.2) [из 54%] = 383 руб.</t>
  </si>
  <si>
    <t>4.3. Сис вод 3% * (1 + 0.2) [из 54%] = 383 руб.</t>
  </si>
  <si>
    <t>4.4. Ото, вен 7% * (1 + 0.2) [из 54%] = 893 руб.</t>
  </si>
  <si>
    <t>4.5. Осн общ сис свя и опо 2% * (1 + 0.2) [из 54%] = 255 руб.</t>
  </si>
  <si>
    <t>4.6. Тех реш 20% * (1 + 0.2) [из 54%] = 2551 руб.</t>
  </si>
  <si>
    <t>5. Сме на стр 7% = 744 руб.</t>
  </si>
  <si>
    <t>K2 = 1.2 (РПД 3-4, 4.1-6)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</si>
  <si>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1. Схе пла орг зем уча 5% = 2483 руб.</t>
  </si>
  <si>
    <t>2. Арх реш 10% = 4965 руб.</t>
  </si>
  <si>
    <t>5. Сме на стр 7% = 3476 руб.</t>
  </si>
  <si>
    <t>(A + B * (0.4 * Xмин + 0.6 * Xзад)) * Количество * Кст
(4600 руб + 166 руб * (0.4 * 1000 + 0.6 * 540)) * 1 * 0.4 * 1.18</t>
  </si>
  <si>
    <t>K1 = 1.2 (РПД 1, 1.1-2)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</si>
  <si>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(46.0% * (1 + 0.2) + 44.0% * (1 + 0.2) + 10.0%) = 118%</t>
  </si>
  <si>
    <t>1.1. Тех реш 46% * (1 + 0.2) [из 108%] = 27552 руб.</t>
  </si>
  <si>
    <t>1.2. Кон реш 44% * (1 + 0.2) [из 108%] = 26354 руб.</t>
  </si>
  <si>
    <t>2. Сме на стр 10% = 4991 руб.</t>
  </si>
  <si>
    <t>2. Зда и соо, вхо в инф объ 8% = 6535 руб.</t>
  </si>
  <si>
    <t>3. Мер по обе пож без 5% = 4085 руб.</t>
  </si>
  <si>
    <t>4. Сме на стр 10% = 8169 руб.</t>
  </si>
  <si>
    <t>(A + B * Xзад) * Количество * Кст
(7763 руб + 42 руб * 103) * 1 * 0.6 * 1.154</t>
  </si>
  <si>
    <t>1.1. Тех реш 24.5% * (1 + 0.2) [из 92.4%] = 2132 руб.</t>
  </si>
  <si>
    <t>1.2. Кон реш 23.5% * (1 + 0.2) [из 92.4%] = 2045 руб.</t>
  </si>
  <si>
    <t>1.3. Иск соо 1.5% * (1 + 0.2) [из 92.4%] = 131 руб.</t>
  </si>
  <si>
    <t>1.4. Обу 2.5% * (1 + 0.2) [из 92.4%] = 218 руб.</t>
  </si>
  <si>
    <t>1.5. Эле 17% * (1 + 0.2) [из 92.4%] = 1480 руб.</t>
  </si>
  <si>
    <t>1.6. Вод и вод 5.5% * (1 + 0.2) [из 92.4%] = 479 руб.</t>
  </si>
  <si>
    <t>1.7. Свя, сиг, АСУ 2.5% * (1 + 0.2) [из 92.4%] = 218 руб.</t>
  </si>
  <si>
    <t>2. Зда и соо, вхо в инф объ 8% = 580 руб.</t>
  </si>
  <si>
    <t>3. Мер по обе пож без 5% = 363 руб.</t>
  </si>
  <si>
    <t>4. Сме на стр 10% = 725 руб.</t>
  </si>
  <si>
    <t>(A + B * (0.4 * Xмин + 0.6 * (Xмин / 2))) * Количество * Кст * K1
(47800 руб + 180 руб * (0.4 * 100 + 0.6 * 100 / 2)) * 1 * 0.5 * 0.72 * 1.154</t>
  </si>
  <si>
    <t>1.1. Тех реш 24.5% * (1 + 0.2) [из 92.4%] = 6393 руб.</t>
  </si>
  <si>
    <t>1.2. Кон реш 23.5% * (1 + 0.2) [из 92.4%] = 6132 руб.</t>
  </si>
  <si>
    <t>1.3. Иск соо 1.5% * (1 + 0.2) [из 92.4%] = 391 руб.</t>
  </si>
  <si>
    <t>1.4. Обу 2.5% * (1 + 0.2) [из 92.4%] = 652 руб.</t>
  </si>
  <si>
    <t>1.5. Эле 17% * (1 + 0.2) [из 92.4%] = 4436 руб.</t>
  </si>
  <si>
    <t>1.6. Вод и вод 5.5% * (1 + 0.2) [из 92.4%] = 1435 руб.</t>
  </si>
  <si>
    <t>1.7. Свя, сиг, АСУ 2.5% * (1 + 0.2) [из 92.4%] = 652 руб.</t>
  </si>
  <si>
    <t>2. Зда и соо, вхо в инф объ 8% = 1740 руб.</t>
  </si>
  <si>
    <t>3. Мер по обе пож без 5% = 1087 руб.</t>
  </si>
  <si>
    <t>4. Сме на стр 10% = 2174 руб.</t>
  </si>
  <si>
    <t>A * Количество * Кст * K1 * K2
47260 руб * 1 * 0.5 * 0.5 * 0.7 * 1.14</t>
  </si>
  <si>
    <t>1. Схе пла орг зем уча 2% = 165 руб.</t>
  </si>
  <si>
    <t>2. Арх реш 6% = 496 руб.</t>
  </si>
  <si>
    <t>3. Кон и объ реш 15% * (1 + 0.2) = 1489 руб.</t>
  </si>
  <si>
    <t>4.1. Сис эле 9% * (1 + 0.2) [из 66%] = 893 руб.</t>
  </si>
  <si>
    <t>4.2. Сис вод 3% * (1 + 0.2) [из 66%] = 298 руб.</t>
  </si>
  <si>
    <t>4.3. Сис вод 3% * (1 + 0.2) [из 66%] = 298 руб.</t>
  </si>
  <si>
    <t>4.4. Ото, вен и кон воз 7% * (1 + 0.2) [из 66%] = 695 руб.</t>
  </si>
  <si>
    <t>4.5. Сет свя 2% * (1 + 0.2) [из 66%] = 198 руб.</t>
  </si>
  <si>
    <t>4.6. Сис газ 1% * (1 + 0.2) [из 66%] = 99 руб.</t>
  </si>
  <si>
    <t>4.7. Тех реш 30% * (1 + 0.2) [из 66%] = 2977 руб.</t>
  </si>
  <si>
    <t>5. Мер по обе пож без 9% = 744 руб.</t>
  </si>
  <si>
    <t>6. Мер по обе дос инв 1% = 83 руб.</t>
  </si>
  <si>
    <t>7. Мер по обе соб тре эне эфф и тре осн зда, стр и соо при уче исп эне рес 5% = 414 руб.</t>
  </si>
  <si>
    <t>8. Сме на стр 7% = 579 руб.</t>
  </si>
  <si>
    <t>2. Зда и соо, вхо в инф объ 8% = 6037 руб.</t>
  </si>
  <si>
    <t>3. Мер по обе пож без 5% = 3773 руб.</t>
  </si>
  <si>
    <t>4. Сме на стр 10% = 7547 руб.</t>
  </si>
  <si>
    <t>2. Зда и соо, вхо в инф объ 8% = 5921 руб.</t>
  </si>
  <si>
    <t>3. Мер по обе пож без 5% = 3701 руб.</t>
  </si>
  <si>
    <t>4. Сме на стр 10% = 7402 руб.</t>
  </si>
  <si>
    <t>2. Зда и соо, вхо в инф объ 8% = 5613 руб.</t>
  </si>
  <si>
    <t>3. Мер по обе пож без 5% = 3508 руб.</t>
  </si>
  <si>
    <t>4. Сме на стр 10% = 7016 руб.</t>
  </si>
  <si>
    <t>2. Зда и соо, вхо в инф объ 8% = 878 руб.</t>
  </si>
  <si>
    <t>3. Мер по обе пож без 5% = 549 руб.</t>
  </si>
  <si>
    <t>4. Сме на стр 10% = 1097 руб.</t>
  </si>
  <si>
    <t>(A + B * Xзад) * Количество * Кст
(21000 руб + 62 руб * 756) * 1 * 0.6 * 1.154</t>
  </si>
  <si>
    <t>1.1. Тех реш 24.5% * (1 + 0.2) [из 92.4%] = 11973 руб.</t>
  </si>
  <si>
    <t>1.2. Кон реш 23.5% * (1 + 0.2) [из 92.4%] = 11484 руб.</t>
  </si>
  <si>
    <t>1.3. Иск соо 1.5% * (1 + 0.2) [из 92.4%] = 733 руб.</t>
  </si>
  <si>
    <t>1.4. Обу 2.5% * (1 + 0.2) [из 92.4%] = 1222 руб.</t>
  </si>
  <si>
    <t>1.5. Эле 17% * (1 + 0.2) [из 92.4%] = 8308 руб.</t>
  </si>
  <si>
    <t>1.6. Вод и вод 5.5% * (1 + 0.2) [из 92.4%] = 2688 руб.</t>
  </si>
  <si>
    <t>1.7. Свя, сиг, АСУ 2.5% * (1 + 0.2) [из 92.4%] = 1222 руб.</t>
  </si>
  <si>
    <t>2. Зда и соо, вхо в инф объ 8% = 3258 руб.</t>
  </si>
  <si>
    <t>3. Мер по обе пож без 5% = 2036 руб.</t>
  </si>
  <si>
    <t>4. Сме на стр 10% = 4072 руб.</t>
  </si>
  <si>
    <t>(A + B * Xзад) * Количество * Кст
(36610 руб + 4570 руб * 2) * 1 * 0.6 * 1.146</t>
  </si>
  <si>
    <t>K1 = 1.2 (РПД 3-4, 4.1-7)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</si>
  <si>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(2.0% + 6.0% + 16.0% * (1 + 0.2) + 17.0% * (1 + 0.2) + 3.0% * (1 + 0.2) + 3.0% * (1 + 0.2) + 11.0% * (1 + 0.2) + 2.0% * (1 + 0.2) + 1.0% * (1 + 0.2) + 20.0% * (1 + 0.2) + 10.0% + 1.0% + 8.0%) = 114.6%</t>
  </si>
  <si>
    <t>1. Схе пла орг зем уча 2% = 549 руб.</t>
  </si>
  <si>
    <t>2. Арх реш 6% = 1647 руб.</t>
  </si>
  <si>
    <t>3. Кон и объ реш 16% * (1 + 0.2) = 5270 руб.</t>
  </si>
  <si>
    <t>4.1. Эле 17% * (1 + 0.2) [из 68.4%] = 5600 руб.</t>
  </si>
  <si>
    <t>4.2. Вод 3% * (1 + 0.2) [из 68.4%] = 988 руб.</t>
  </si>
  <si>
    <t>4.3. Вод 3% * (1 + 0.2) [из 68.4%] = 988 руб.</t>
  </si>
  <si>
    <t>4.4. Ото, вен, кон воз 11% * (1 + 0.2) [из 68.4%] = 3623 руб.</t>
  </si>
  <si>
    <t>4.5. Свя 2% * (1 + 0.2) [из 68.4%] = 659 руб.</t>
  </si>
  <si>
    <t>4.6. Газ 1% * (1 + 0.2) [из 68.4%] = 329 руб.</t>
  </si>
  <si>
    <t>4.7. Тех реш 20% * (1 + 0.2) [из 68.4%] = 6588 руб.</t>
  </si>
  <si>
    <t>5. Мер по обе пож без 10% = 2745 руб.</t>
  </si>
  <si>
    <t>6. Мер по обе дос инв 1% = 275 руб.</t>
  </si>
  <si>
    <t>7. Сме на стр 8% = 2196 руб.</t>
  </si>
  <si>
    <t>(A + B * (0.4 * Xмакс + 0.6 * Xзад)) * Количество * Кст * K1
(36610 руб + 4570 руб * (0.4 * 12 + 0.6 * 76)) * 1 * 0.6 * 1.1 * 1.146</t>
  </si>
  <si>
    <t>1. Схе пла орг зем уча 2% = 3524 руб.</t>
  </si>
  <si>
    <t>2. Арх реш 6% = 10571 руб.</t>
  </si>
  <si>
    <t>3. Кон и объ реш 16% * (1 + 0.2) = 33826 руб.</t>
  </si>
  <si>
    <t>4.1. Эле 17% * (1 + 0.2) [из 68.4%] = 35941 руб.</t>
  </si>
  <si>
    <t>4.2. Вод 3% * (1 + 0.2) [из 68.4%] = 6342 руб.</t>
  </si>
  <si>
    <t>4.3. Вод 3% * (1 + 0.2) [из 68.4%] = 6342 руб.</t>
  </si>
  <si>
    <t>4.4. Ото, вен, кон воз 11% * (1 + 0.2) [из 68.4%] = 23256 руб.</t>
  </si>
  <si>
    <t>4.5. Свя 2% * (1 + 0.2) [из 68.4%] = 4228 руб.</t>
  </si>
  <si>
    <t>4.6. Газ 1% * (1 + 0.2) [из 68.4%] = 2114 руб.</t>
  </si>
  <si>
    <t>4.7. Тех реш 20% * (1 + 0.2) [из 68.4%] = 42283 руб.</t>
  </si>
  <si>
    <t>5. Мер по обе пож без 10% = 17618 руб.</t>
  </si>
  <si>
    <t>6. Мер по обе дос инв 1% = 1762 руб.</t>
  </si>
  <si>
    <t>7. Сме на стр 8% = 14094 руб.</t>
  </si>
  <si>
    <t>A * Количество * Кст * K1
85450 руб * 1 * 0.6 * 0.5 * 1.146</t>
  </si>
  <si>
    <t>1. Схе пла орг зем уча 2% = 513 руб.</t>
  </si>
  <si>
    <t>2. Арх реш 6% = 1538 руб.</t>
  </si>
  <si>
    <t>3. Кон и объ реш 16% * (1 + 0.2) = 4922 руб.</t>
  </si>
  <si>
    <t>4.1. Эле 17% * (1 + 0.2) [из 68.4%] = 5230 руб.</t>
  </si>
  <si>
    <t>4.2. Вод 3% * (1 + 0.2) [из 68.4%] = 923 руб.</t>
  </si>
  <si>
    <t>4.3. Вод 3% * (1 + 0.2) [из 68.4%] = 923 руб.</t>
  </si>
  <si>
    <t>4.4. Ото, вен, кон воз 11% * (1 + 0.2) [из 68.4%] = 3384 руб.</t>
  </si>
  <si>
    <t>4.5. Свя 2% * (1 + 0.2) [из 68.4%] = 615 руб.</t>
  </si>
  <si>
    <t>4.6. Газ 1% * (1 + 0.2) [из 68.4%] = 308 руб.</t>
  </si>
  <si>
    <t>4.7. Тех реш 20% * (1 + 0.2) [из 68.4%] = 6152 руб.</t>
  </si>
  <si>
    <t>5. Мер по обе пож без 10% = 2564 руб.</t>
  </si>
  <si>
    <t>6. Мер по обе дос инв 1% = 256 руб.</t>
  </si>
  <si>
    <t>7. Сме на стр 8% = 2051 руб.</t>
  </si>
  <si>
    <t>(A + B * Xзад) * Количество * Кст
(36610 руб + 4570 руб * 3) * 1 * 0.5 * 1.146</t>
  </si>
  <si>
    <t>1. Схе пла орг зем уча 2% = 503 руб.</t>
  </si>
  <si>
    <t>2. Арх реш 6% = 1510 руб.</t>
  </si>
  <si>
    <t>3. Кон и объ реш 16% * (1 + 0.2) = 4831 руб.</t>
  </si>
  <si>
    <t>4.1. Эле 17% * (1 + 0.2) [из 68.4%] = 5133 руб.</t>
  </si>
  <si>
    <t>4.2. Вод 3% * (1 + 0.2) [из 68.4%] = 906 руб.</t>
  </si>
  <si>
    <t>4.3. Вод 3% * (1 + 0.2) [из 68.4%] = 906 руб.</t>
  </si>
  <si>
    <t>4.4. Ото, вен, кон воз 11% * (1 + 0.2) [из 68.4%] = 3321 руб.</t>
  </si>
  <si>
    <t>4.5. Свя 2% * (1 + 0.2) [из 68.4%] = 604 руб.</t>
  </si>
  <si>
    <t>4.6. Газ 1% * (1 + 0.2) [из 68.4%] = 302 руб.</t>
  </si>
  <si>
    <t>4.7. Тех реш 20% * (1 + 0.2) [из 68.4%] = 6038 руб.</t>
  </si>
  <si>
    <t>5. Мер по обе пож без 10% = 2516 руб.</t>
  </si>
  <si>
    <t>6. Мер по обе дос инв 1% = 252 руб.</t>
  </si>
  <si>
    <t>7. Сме на стр 8% = 2013 руб.</t>
  </si>
  <si>
    <t>(A + B * Xзад) * Количество * Кст
(36610 руб + 4570 руб * 12) * 1 * 0.5 * 1.146</t>
  </si>
  <si>
    <t>1. Схе пла орг зем уча 2% = 915 руб.</t>
  </si>
  <si>
    <t>2. Арх реш 6% = 2744 руб.</t>
  </si>
  <si>
    <t>3. Кон и объ реш 16% * (1 + 0.2) = 8779 руб.</t>
  </si>
  <si>
    <t>4.1. Эле 17% * (1 + 0.2) [из 68.4%] = 9328 руб.</t>
  </si>
  <si>
    <t>4.2. Вод 3% * (1 + 0.2) [из 68.4%] = 1646 руб.</t>
  </si>
  <si>
    <t>4.3. Вод 3% * (1 + 0.2) [из 68.4%] = 1646 руб.</t>
  </si>
  <si>
    <t>4.4. Ото, вен, кон воз 11% * (1 + 0.2) [из 68.4%] = 6036 руб.</t>
  </si>
  <si>
    <t>4.5. Свя 2% * (1 + 0.2) [из 68.4%] = 1097 руб.</t>
  </si>
  <si>
    <t>4.6. Газ 1% * (1 + 0.2) [из 68.4%] = 549 руб.</t>
  </si>
  <si>
    <t>4.7. Тех реш 20% * (1 + 0.2) [из 68.4%] = 10974 руб.</t>
  </si>
  <si>
    <t>5. Мер по обе пож без 10% = 4573 руб.</t>
  </si>
  <si>
    <t>6. Мер по обе дос инв 1% = 457 руб.</t>
  </si>
  <si>
    <t>7. Сме на стр 8% = 3658 руб.</t>
  </si>
  <si>
    <t>Разделы документации (2.0% + 6.0% + 16.0% + 17.0% + 3.0% + 3.0% + 11.0% + 2.0% + 1.0% + 20.0% + 10.0% + 1.0% + 8.0%) = 100%</t>
  </si>
  <si>
    <t>1. Схе пла орг зем уча 2% = 29 руб.</t>
  </si>
  <si>
    <t>2. Арх реш 6% = 86 руб.</t>
  </si>
  <si>
    <t>3. Кон и объ реш 16% = 230 руб.</t>
  </si>
  <si>
    <t>4. Инж обо, сет, инж мер, тех реш 57% = 821 руб.</t>
  </si>
  <si>
    <t>4.1. Эле 17% [из 57%] = 245 руб.</t>
  </si>
  <si>
    <t>4.2. Вод 3% [из 57%] = 43 руб.</t>
  </si>
  <si>
    <t>4.3. Вод 3% [из 57%] = 43 руб.</t>
  </si>
  <si>
    <t>4.4. Ото, вен, кон воз 11% [из 57%] = 158 руб.</t>
  </si>
  <si>
    <t>4.5. Свя 2% [из 57%] = 29 руб.</t>
  </si>
  <si>
    <t>4.6. Газ 1% [из 57%] = 14 руб.</t>
  </si>
  <si>
    <t>4.7. Тех реш 20% [из 57%] = 288 руб.</t>
  </si>
  <si>
    <t>5. Мер по обе пож без 10% = 144 руб.</t>
  </si>
  <si>
    <t>6. Мер по обе дос инв 1% = 14 руб.</t>
  </si>
  <si>
    <t>7. Сме на стр 8% = 115 руб.</t>
  </si>
  <si>
    <t>Разделы документации (23.0% + 27.0% + 1.0% + 2.0% + 17.0% + 5.0% + 2.0% + 8.0% + 5.0% + 10.0%) = 100%</t>
  </si>
  <si>
    <t>1. Тех и кон реш лин объ. Иск соо (инж обу, сет) 77% = 22596 руб.</t>
  </si>
  <si>
    <t>1.1. Тех реш 23% [из 77%] = 6749 руб.</t>
  </si>
  <si>
    <t>1.2. Кон реш 27% [из 77%] = 7923 руб.</t>
  </si>
  <si>
    <t>1.3. Иск соо 1% [из 77%] = 293 руб.</t>
  </si>
  <si>
    <t>1.4. Обу 2% [из 77%] = 587 руб.</t>
  </si>
  <si>
    <t>1.5. Эле 17% [из 77%] = 4989 руб.</t>
  </si>
  <si>
    <t>1.6. Вод и вод 5% [из 77%] = 1467 руб.</t>
  </si>
  <si>
    <t>1.7. Свя, сиг, АСУ 2% [из 77%] = 587 руб.</t>
  </si>
  <si>
    <t>2. Зда и соо, вхо в инф объ 8% = 2348 руб.</t>
  </si>
  <si>
    <t>3. Мер по обе пож без 5% = 1467 руб.</t>
  </si>
  <si>
    <t>4. Сме на стр 10% = 2935 руб.</t>
  </si>
  <si>
    <t>Сумма от п.48</t>
  </si>
  <si>
    <t>Размер платы за проведение государственной экспертизы проектной документации и (или) результатов инженерных изысканий для нежилых объектов капитального строительства</t>
  </si>
  <si>
    <t>К=5,71</t>
  </si>
  <si>
    <t xml:space="preserve">Сопоставительная ведомость изменения сметной стоимости </t>
  </si>
  <si>
    <t xml:space="preserve">Первоначально представленная сметная стоимость, 
тыс. руб., </t>
  </si>
  <si>
    <t xml:space="preserve">Откорректированная сметная стоимость, 
тыс. руб., </t>
  </si>
  <si>
    <t xml:space="preserve">Изменение сметной стоимости, 
тыс. руб., </t>
  </si>
  <si>
    <t>Причины именения сметной стоимости</t>
  </si>
  <si>
    <t>Представлена откорректированная ведомость объемов работ. Затраты откорректированы в соответствии с ведомостью объемов работ</t>
  </si>
  <si>
    <t>Представлены дополнительные объемы работ. Затраты откорректированы в соответствии с ведомостью объемов работ.</t>
  </si>
  <si>
    <t>Затраты откорректированы по замечанию ФАУ "ГлавГосЭкспертиза России"</t>
  </si>
  <si>
    <t>Представлена откорректированная ведомость объемов работ. Затраты откорректированы по замечанию ФАУ "ГлавГосЭкспертиза России"</t>
  </si>
  <si>
    <t>Затраты откорректированы в следствии корректировки Глав 1-7</t>
  </si>
  <si>
    <t>Затраты откорректированы в следствии корректировки Глав 1-8</t>
  </si>
  <si>
    <t>Затраты увеличены в связи с увеичением итога Глав 1-12</t>
  </si>
  <si>
    <t>Затраты увеличены в связи с увеичением итого с непредвиденными</t>
  </si>
  <si>
    <t>04-02</t>
  </si>
  <si>
    <t>РП 10 кВ. Этап 2</t>
  </si>
  <si>
    <t xml:space="preserve">               материалы, изделия и конструкции отсутствующие в СНБ</t>
  </si>
  <si>
    <t>Цена=5757,50/70</t>
  </si>
  <si>
    <t xml:space="preserve">               оборудование отсутствующее в СНБ</t>
  </si>
  <si>
    <t>(410,74)</t>
  </si>
  <si>
    <t>(10,03)</t>
  </si>
  <si>
    <t>1,8852</t>
  </si>
  <si>
    <t>Объем=1812,2*1,01*1,03/1000</t>
  </si>
  <si>
    <t>13,62057</t>
  </si>
  <si>
    <t>5,396385</t>
  </si>
  <si>
    <t>(195,05)</t>
  </si>
  <si>
    <t>(96,65)</t>
  </si>
  <si>
    <t>Сталь угловая равнополочная 63х63х6 мм, L=3000 мм, оцинкованная</t>
  </si>
  <si>
    <t>(22,85)</t>
  </si>
  <si>
    <t>(19,4)</t>
  </si>
  <si>
    <t>ТЦ_24.3.03.00_78_7814731027_01.03.2021_01, Том 11.4, с.83, п.298</t>
  </si>
  <si>
    <t>ТЦ_24.3.05.15_78_7814731027_01.03.2021_01, Том 11.4, с.98, п.358</t>
  </si>
  <si>
    <t>ТЦ_24.3.05.15_78_7814731027_01.03.2021_01, Том 11.4, с.99, п.361</t>
  </si>
  <si>
    <t>ТЦ_24.3.05.15_78_7814731027_01.03.2021_01, Том 11.4, с.100, п.362</t>
  </si>
  <si>
    <t>ТЦ_24.3.05.15_78_7814731027_01.03.2021_01, Том 11.4, с.102, п.368</t>
  </si>
  <si>
    <t>ТЦ_24.3.05.15_78_7814731027_01.03.2021_01, Том 11.4, с.99, п.359</t>
  </si>
  <si>
    <t>ТЦ_24.3.05.15_78_7814731027_01.03.2021_01, Том 11.4, с.99, п.360</t>
  </si>
  <si>
    <t>Накопительный электрический
водонагреватель Thermo 150V Термекс V=150л N=2,5кВт 380В в комплекте с группой безопасности</t>
  </si>
  <si>
    <t>(161,8)</t>
  </si>
  <si>
    <t>(76,55)</t>
  </si>
  <si>
    <t>(3,56)</t>
  </si>
  <si>
    <t>(84,49)</t>
  </si>
  <si>
    <t>5,6175</t>
  </si>
  <si>
    <t>1,86375</t>
  </si>
  <si>
    <t>Объем=5+14+3</t>
  </si>
  <si>
    <t>30,6075</t>
  </si>
  <si>
    <t>0,28875</t>
  </si>
  <si>
    <t>ФЕР20-02-004-01</t>
  </si>
  <si>
    <t>Установка клапанов обратных: диаметром до 355 мм</t>
  </si>
  <si>
    <t>19.3.01.09</t>
  </si>
  <si>
    <t>Клапаны обратные</t>
  </si>
  <si>
    <t>ФССЦ-19.3.01.09-0002</t>
  </si>
  <si>
    <t>Клапаны обратные "Systemair" RSK диаметром: 125 мм</t>
  </si>
  <si>
    <t>Объем=8+1+4+6+1</t>
  </si>
  <si>
    <t>28,0875</t>
  </si>
  <si>
    <t>ФЕР26-01-011-01</t>
  </si>
  <si>
    <t>Изоляция плоских и криволинейных поверхностей матами минераловатными прошивными безобкладочными и в обкладках, плитами минераловатными на синтетическом связующем, плитами из стеклянного штапельного волокна</t>
  </si>
  <si>
    <t>12.2.04.05</t>
  </si>
  <si>
    <t>5,184</t>
  </si>
  <si>
    <t>88,8</t>
  </si>
  <si>
    <t>3,06</t>
  </si>
  <si>
    <t>ФССЦ-12.2.04.07-0002</t>
  </si>
  <si>
    <t>Маты минераловатные прошивные с покрытием сеткой и кашированные неармированной алюминиевой фольгой, марка: "Wired mat 80 ALU1" ROCKWOOL, толщиной 50 мм</t>
  </si>
  <si>
    <t>102
О</t>
  </si>
  <si>
    <t>105
О</t>
  </si>
  <si>
    <t>111
О</t>
  </si>
  <si>
    <t>113
О</t>
  </si>
  <si>
    <t>(7,86)</t>
  </si>
  <si>
    <t>(0,5)</t>
  </si>
  <si>
    <t>(3,74)</t>
  </si>
  <si>
    <t>(4,13)</t>
  </si>
  <si>
    <t>ТЦ_62.1.02.12_77_7702680818_09.12.2021_011 том 11.4. стр.279, п.428</t>
  </si>
  <si>
    <t>Шкаф с резервированным источником питания ШПС-12 исп.10</t>
  </si>
  <si>
    <t>1,964</t>
  </si>
  <si>
    <t>Объем=(30+140) / 100</t>
  </si>
  <si>
    <t>5,9925</t>
  </si>
  <si>
    <t>Объем=(140*1.02) / 1000</t>
  </si>
  <si>
    <t>ТЦ_21.1.04.07_77_7702680818_01.03.2021_1 том 11.4.  стр.17,п.39</t>
  </si>
  <si>
    <t>ParLan F/UTP Cat5e PVCLS нг(А)-FRLS 4х2х0,52</t>
  </si>
  <si>
    <t>Объем=1*2</t>
  </si>
  <si>
    <t>Объем=0,008+0,002</t>
  </si>
  <si>
    <t>(39,12)</t>
  </si>
  <si>
    <t>(4,77)</t>
  </si>
  <si>
    <t>(34,35)</t>
  </si>
  <si>
    <t>ТЦ_61.2.06.03_77_7702680818_0912.2021_01, Том 11.4, стр.280, п.431</t>
  </si>
  <si>
    <t>Прибор приемно-контрольный и управления СИРИУС</t>
  </si>
  <si>
    <t>Объем=17+5</t>
  </si>
  <si>
    <t>46,2</t>
  </si>
  <si>
    <t>Извещатели пожарные дымовые ДИП-34А (ИП 212-34А) оптико-электронные адресно-аналоговые в комплекте с базой (розеткой) (ДИП 34А-03)</t>
  </si>
  <si>
    <t>ТЦ_61.2.02.03_77_7702680818_09.12.2021_01 том 11.4. стр.280, п.432</t>
  </si>
  <si>
    <t>Извещатель пожарный дымовой оптико-электронный адресно-аналоговый с встроенным изолятором короткого замыкания ДИП34А-04</t>
  </si>
  <si>
    <t>13
О</t>
  </si>
  <si>
    <t>ТЦ_61.2.02.03_77_7702680818_09.12.2021_01 том 11.4. стр.280, п.433</t>
  </si>
  <si>
    <t>Извещатель пожарный ручной адресный ИПР 513-3АМ ИСП.01</t>
  </si>
  <si>
    <t>Объем=1+2</t>
  </si>
  <si>
    <t>ТЦ_62.1.05.01_77_7702680818_09.12.2021_01 том 11.4. стр.280, п.434</t>
  </si>
  <si>
    <t>Устройство коммутации УК/ВК исп.14</t>
  </si>
  <si>
    <t>ТЦ_61.2.07.00_77_7702680818_01.03.2021_01 том 11.4. стр.26, п.74</t>
  </si>
  <si>
    <t>Батарея аккумуляторная DTM 1217</t>
  </si>
  <si>
    <t>ТЦ_62.4.02.04_77_7702680818_09.12.2021_01 том 11.4.  стр.278, п.425</t>
  </si>
  <si>
    <t>Батарея аккумуляторная DTM 1207</t>
  </si>
  <si>
    <t>ЛОКАЛЬНЫЙ СМЕТНЫЙ РАСЧЕТ (СМЕТА) № 03-01-09</t>
  </si>
  <si>
    <t>Д-ДРП-20-016-ИОС5.3*ССЗ-КСБ</t>
  </si>
  <si>
    <t>(18,78)</t>
  </si>
  <si>
    <t>(1,09)</t>
  </si>
  <si>
    <t>(0,83)</t>
  </si>
  <si>
    <t>(4,31)</t>
  </si>
  <si>
    <t>(13,39)</t>
  </si>
  <si>
    <t>0,825</t>
  </si>
  <si>
    <t>ТЦ_61.2.07.00_77_7702680818_01.03.2021_01 том 11.4. стр.25, п.71</t>
  </si>
  <si>
    <t>Считыватель настольный Proxy-USB-MA</t>
  </si>
  <si>
    <t>ФЕРм10-08-001-09</t>
  </si>
  <si>
    <t>Приборы приемно-контрольные объектовые на: 2 луча</t>
  </si>
  <si>
    <t>21,375</t>
  </si>
  <si>
    <t>ФССЦ-61.2.07.04-0004</t>
  </si>
  <si>
    <t>Контроллер доступа, марка "С2000-2" исп. 01</t>
  </si>
  <si>
    <t>ФЕРм10-08-003-03</t>
  </si>
  <si>
    <t>Устройство ультразвуковое,: блок питания и контроля</t>
  </si>
  <si>
    <t>ФССЦ-62.4.02.02-0035</t>
  </si>
  <si>
    <t>Источник резервного питания, марка: "РИП 12" исп. 01</t>
  </si>
  <si>
    <t>ФЕРм10-08-001-13</t>
  </si>
  <si>
    <t>Устройства промежуточные на количество лучей: 1</t>
  </si>
  <si>
    <t>ТЦ_61.2.07.00_77_7702680818_01.03.2021_01 том 11.4. стр.26, п.75</t>
  </si>
  <si>
    <t>Считыватель накладной Proxy-3A</t>
  </si>
  <si>
    <t>14
О</t>
  </si>
  <si>
    <t>ТЦ_61.2.07.00_77_7702680818_01.03.2021_01 том 11.4. стр.27, п.76</t>
  </si>
  <si>
    <t>Замок электромагнитный ML-350AL</t>
  </si>
  <si>
    <t>ТЦ_61.2.07.00_77_7702680818_01.03.2021_01 том 11.4. стр.27, п.77</t>
  </si>
  <si>
    <t>Уголок крепления замка LM-350AL</t>
  </si>
  <si>
    <t>ФЕРм10-08-002-05</t>
  </si>
  <si>
    <t>Извещатель ОС автоматический: ударно-контактный, бесконтактный электромагнитный или пьезоэлектрический, устанавливаемый на стекле</t>
  </si>
  <si>
    <t>0,84</t>
  </si>
  <si>
    <t>3,15</t>
  </si>
  <si>
    <t>ФССЦ-61.2.01.05-0024</t>
  </si>
  <si>
    <t>Извещатель охранный контактный: ИО 102-6П</t>
  </si>
  <si>
    <t>ТЦ_61.2.07.00_77_7702680818_01.03.2021_01 том 11.4. стр.27, п.79</t>
  </si>
  <si>
    <t>Proximily карта стандарта ЕМ Marine толщ. 1,8мм ST-PCO10EM</t>
  </si>
  <si>
    <t>ФЕР09-04-012-02</t>
  </si>
  <si>
    <t>Установка дверного доводчика к металлическим дверям</t>
  </si>
  <si>
    <t>01.7.04.01</t>
  </si>
  <si>
    <t>Доводчики дверные</t>
  </si>
  <si>
    <t>4,1625</t>
  </si>
  <si>
    <t>ТЦ_01.7.04.01_77_7702680818_01.03.2021_01 том 11.4.стр.28, п.80</t>
  </si>
  <si>
    <t>Дверной доводчик с рычагом TS Compact EN/3/4</t>
  </si>
  <si>
    <t>Объем=3+3</t>
  </si>
  <si>
    <t>7,725</t>
  </si>
  <si>
    <t>ТЦ_61.2.07.00_77_7702680818_01.03.2021_01 том 11.4. стр.28,п.81</t>
  </si>
  <si>
    <t>Извещатель охранно-пожарный ручной "Аварийный выход"  ИОПР 513/101-4</t>
  </si>
  <si>
    <t>ТЦ_61.2.07.00_77_7702680818_01.03.2021_01 том 11.4. стр.28,п.82</t>
  </si>
  <si>
    <t>Кнопка выхода АТ-Н801В</t>
  </si>
  <si>
    <t>ТЦ_24.9.01.00_78_7804526950_01.03.2021_01 том 11.4. стр.76,п.270</t>
  </si>
  <si>
    <t>Ручной металлодетектор Блокпост РД-150</t>
  </si>
  <si>
    <t>Объем=30 / 100</t>
  </si>
  <si>
    <t>6,10875</t>
  </si>
  <si>
    <t>Объем=(30+30+50) / 100</t>
  </si>
  <si>
    <t>3,8775</t>
  </si>
  <si>
    <t>0,0275</t>
  </si>
  <si>
    <t>ТЦ_21.1.04.07_77_7702680818_01.03.2021_01  том 11.4. стр.28, п.82</t>
  </si>
  <si>
    <t>Кабель КПСЭнг(А)-LS-1х2х0,5</t>
  </si>
  <si>
    <t>ТЦ_21.1.04.07_77_7702680818_01.03.2021_01 том 11.4. стр.40, п.128</t>
  </si>
  <si>
    <t>Кабель КПСЭнг(А)-LS-1х2х0,75</t>
  </si>
  <si>
    <t>ТЦ_21.1.04.07_77_7702680818_01.03.2021_01том 11.4. стр.17, п.39</t>
  </si>
  <si>
    <t>Кабель связи RS-485 ParLan F/UTP Cat5e PE 4х2х0,52</t>
  </si>
  <si>
    <t>Объем=50*1,02</t>
  </si>
  <si>
    <t>ЛОКАЛЬНЫЙ СМЕТНЫЙ РАСЧЕТ (СМЕТА) № 03-01-10</t>
  </si>
  <si>
    <t>(48,61)</t>
  </si>
  <si>
    <t>(1,1)</t>
  </si>
  <si>
    <t>(4,25)</t>
  </si>
  <si>
    <t>(44,36)</t>
  </si>
  <si>
    <t>ТЦ_101_77_7702680818_01.03.2021_01том 11.4. стр.23,п.120</t>
  </si>
  <si>
    <t>Оперативная задача "Орион Про" исп. 127+Монитор "Орион Про"</t>
  </si>
  <si>
    <t>ФЕРм10-02-016-06</t>
  </si>
  <si>
    <t>Отдельно устанавливаемый: преобразователь или блок питания</t>
  </si>
  <si>
    <t>0,001</t>
  </si>
  <si>
    <t>9,3</t>
  </si>
  <si>
    <t>11,625</t>
  </si>
  <si>
    <t>ТЦ_62.4.02.04_77_7702680818_09.12.2021_01стр.279,п.423</t>
  </si>
  <si>
    <t>Источник бесперебойного питания для АРМ SMT1500I</t>
  </si>
  <si>
    <t>ТЦ_61.2.07.00_77_7702680818_01.03.2021_01 том 11.4. стр.36, п.112</t>
  </si>
  <si>
    <t>Шкаф с резервированным источником питания ШПС-12</t>
  </si>
  <si>
    <t>ФЕРм10-08-001-06</t>
  </si>
  <si>
    <t>Приборы приемно-контрольные сигнальные, концентратор: блок базовый на 10 лучей</t>
  </si>
  <si>
    <t>ФССЦ-61.2.04.10-0004</t>
  </si>
  <si>
    <t>Пульт контроля и управления охранно-пожарный с двухстрочным ЖК индикатором (С2000М)</t>
  </si>
  <si>
    <t>ФССЦ-61.2.06.01-0011</t>
  </si>
  <si>
    <t>Прибор приемно-контрольный охранно-пожарный, марка: "C2000-Ethernet"</t>
  </si>
  <si>
    <t>ФЕРм10-08-001-12</t>
  </si>
  <si>
    <t>Устройства промежуточные на количество лучей: 5</t>
  </si>
  <si>
    <t>2,4</t>
  </si>
  <si>
    <t>ФССЦ-61.2.07.04-0002</t>
  </si>
  <si>
    <t>Контроллер двухпроводной линии связи, марка "С2000-КДЛ"</t>
  </si>
  <si>
    <t>ФССЦ-61.2.07.02-0051</t>
  </si>
  <si>
    <t>Блоки разветвительно-изолирующие типа БРИЗ, для участка двухпроводной линии с коротким замыканием, размер не более 56x38x20 мм</t>
  </si>
  <si>
    <t>ФССЦ-61.2.01.01-0001</t>
  </si>
  <si>
    <t>Извещатель охранный адресный акустический, марка "С2000-СТ"</t>
  </si>
  <si>
    <t>ФЕРм10-08-003-05</t>
  </si>
  <si>
    <t>Устройство оптико-(фото)электрическое,: прибор оптико-электрический в одноблочном исполнении</t>
  </si>
  <si>
    <t>5,76</t>
  </si>
  <si>
    <t>ФССЦ-61.2.01.07-0002</t>
  </si>
  <si>
    <t>Извещатель охранный адресный объемный оптико-электронный, марка "С2000-ИК" исп. 02</t>
  </si>
  <si>
    <t>ФЕРм10-08-002-04</t>
  </si>
  <si>
    <t>Извещатель ОС автоматический: контактный, магнитоконтактный на открывание окон, дверей</t>
  </si>
  <si>
    <t>7,35</t>
  </si>
  <si>
    <t>ФССЦ-61.2.01.06-0003</t>
  </si>
  <si>
    <t>Извещатель охранный адресный магнитоконтактный, марка "С2000-СМК"</t>
  </si>
  <si>
    <t>Объем=7 / 10</t>
  </si>
  <si>
    <t>Блок индикации клавиатуры С2000- БКИ</t>
  </si>
  <si>
    <t>ФССЦ-61.1.04.03-1006</t>
  </si>
  <si>
    <t>Преобразователь интерфейсов с гальванической изоляцией, корпус IP65 (С2000-ПИ)</t>
  </si>
  <si>
    <t>Кабель-канал 25/1x17 TMC IN-Liner" (00304) DKC</t>
  </si>
  <si>
    <t>ТЦ_21.1.04.07_77_7702680818_01.03.2021_01 том 11.4. стр.28, п.83</t>
  </si>
  <si>
    <t>Кабель КПСЭнг(А)- LS 1х2х0,5</t>
  </si>
  <si>
    <t>Объем=100*1,02</t>
  </si>
  <si>
    <t>ЛОКАЛЬНЫЙ СМЕТНЫЙ РАСЧЕТ (СМЕТА) № 03-01-11</t>
  </si>
  <si>
    <t>(1037,69)</t>
  </si>
  <si>
    <t>(8,47)</t>
  </si>
  <si>
    <t>(71,95)</t>
  </si>
  <si>
    <t>(965,74)</t>
  </si>
  <si>
    <t>Объем=76+2</t>
  </si>
  <si>
    <t>303,225</t>
  </si>
  <si>
    <t>ТЦ_20.2.06.05_77_7702680818_01.03.2021_01 том 11.4. стр.21, п.53</t>
  </si>
  <si>
    <t>Кронштейн для крепления на столб RV-3BPM2</t>
  </si>
  <si>
    <t>ТЦ_61.3.01.01_77_7702680818_01.03.2021_01 том 11.4. стр.21, п.54</t>
  </si>
  <si>
    <t>IP-Камера  видеонаблюдения уличная RV-3NCT2075 (2/7-12)</t>
  </si>
  <si>
    <t>ТЦ_61.3.01.01_77_7702680818_01.03.2021_01 том 11.4. стр.22, п.56</t>
  </si>
  <si>
    <t>IP-Камера  видеонаблюдения внутренняя RVi-1ACE200 (2/8) white</t>
  </si>
  <si>
    <t>ТЦ_20.5.02.11_77_7702680818_01.03.2021_01 том 11.4. стр.21, п.55</t>
  </si>
  <si>
    <t>Монтажная коробка RVi-1ВМВ-3 white</t>
  </si>
  <si>
    <t>33,475</t>
  </si>
  <si>
    <t>5,0375</t>
  </si>
  <si>
    <t>ТЦ_61.1.03.03_77_7702680818_01.03.2021_01 том 11.4. стр.10, п.17</t>
  </si>
  <si>
    <t>Уличный коммутатор TFortis PSW-2G8F+UPS-Box</t>
  </si>
  <si>
    <t>ТЦ_20.2.03.18_77_7702680818_01.03.2021_01 том 11.4. стр.10, п.18</t>
  </si>
  <si>
    <t>Комплект крепления на столб TFortis PSW-2(ККС-2)</t>
  </si>
  <si>
    <t>Объем=13+13</t>
  </si>
  <si>
    <t>ТЦ_61.1.00.00_77_7702680818_01.03.2021_01 том 11.4. стр.12, п.23</t>
  </si>
  <si>
    <t>SFP модуль TBSF-13-3-12gSC-3i 1310</t>
  </si>
  <si>
    <t>ТЦ_61.1.00.00_77_7702680818_01.03.2021_01 том 11.4. стр.12, п.24</t>
  </si>
  <si>
    <t>SFP модуль TBSF-15-3-12gSC-3i 1550</t>
  </si>
  <si>
    <t>ФЕРм11-04-008-06</t>
  </si>
  <si>
    <t>Съемные и выдвижные блоки (модули, ячейки, ТЭЗ), масса: до 75 кг</t>
  </si>
  <si>
    <t>4,12</t>
  </si>
  <si>
    <t>1,0375</t>
  </si>
  <si>
    <t>ФЕРм10-06-068-15</t>
  </si>
  <si>
    <t>Настройка простых сетевых трактов: конфигурация и настройка сетевых компонентов (мост, маршрутизатор, модем и т.п.)</t>
  </si>
  <si>
    <t>ТЦ_61.3.05.04_77_7702680818_09.12.2021_01том 11.4. стр.279, п.430</t>
  </si>
  <si>
    <t>Видеосервер с ПО Интеллект ViServer-IP-b-100-2MP-Storage-128TB</t>
  </si>
  <si>
    <t>ТЦ_61.3.05.04_77_7702680818_01.03.2021_01  том 11.4. стр.279, п.430</t>
  </si>
  <si>
    <t>Ядро  системы интеллект Предустановленное ПО в составе видеосервера</t>
  </si>
  <si>
    <t>ТЦ_61.3.05.04_77_7702680818_01.03.2021_01  том 11.4.  стр.279, п.430</t>
  </si>
  <si>
    <t>ПО система защиты Guardant Предустановленное ПО в составе видеосервера</t>
  </si>
  <si>
    <t>ТЦ_61.3.05.04_77_7702680818_01.03.2021_01  том 11.4.стр.279, п.430</t>
  </si>
  <si>
    <t>ПО интеллект подключения камеры Предустановленное ПО в составе видеосервера</t>
  </si>
  <si>
    <t>ТЦ_61.1.00.00_77_7702680818_01.03.2021_0101 том 11.4. стр.22, п.58</t>
  </si>
  <si>
    <t>ПК Леново ThinkCentre M710s</t>
  </si>
  <si>
    <t>ТЦ_61.1.00.00_77_7702680818_01.03.2021_0101.03.2021_01 том 11.4. стр.22,п.59</t>
  </si>
  <si>
    <t>ТЦ_61.1.00.00_77_7702680818_01.03.2021_01 том 11.4. стр.23, п.60</t>
  </si>
  <si>
    <t>ТЦ_61.1.00.00_77_7702680818_01.03.2021_01 том 11.4. стр.23, п.61</t>
  </si>
  <si>
    <t>ФЕРм08-02-405-01</t>
  </si>
  <si>
    <t>Провод по установленным стальным конструкциям и панелям, сечение: до 16 мм2</t>
  </si>
  <si>
    <t>Объем=50 / 100</t>
  </si>
  <si>
    <t>30,64</t>
  </si>
  <si>
    <t>19,15</t>
  </si>
  <si>
    <t>Кабель до 35 кВ в проложенных трубах, блоках и коробах, масса 1 м кабеля: до 1 кг (наружная кабельная канализация)</t>
  </si>
  <si>
    <t>29,5</t>
  </si>
  <si>
    <t>Объем=2950 / 100</t>
  </si>
  <si>
    <t>365,8</t>
  </si>
  <si>
    <t>ТЦ_21.1.04.07_77_7702680818_01.03.2021_01 том 11.4. стр.17,п.39</t>
  </si>
  <si>
    <t>Кабель UTP Cat5e PE 4х2х0,52</t>
  </si>
  <si>
    <t>3060</t>
  </si>
  <si>
    <t>Объем=3000*1,02</t>
  </si>
  <si>
    <t>Объем=26*2+26*2+2*2</t>
  </si>
  <si>
    <t>29,7</t>
  </si>
  <si>
    <t>ТЦ_25.3.16.01_77_7702680818_01.03.2021_01 том 11.4. стр.19, п.45</t>
  </si>
  <si>
    <t>Шнур оптический ШОС-SM/2.0 мм-FC/UPC-LC/UPC-2.0 м</t>
  </si>
  <si>
    <t>ТЦ_25.3.16.01_77_7702680818_01.03.2021_01 том 11.4. стр.19, п.46</t>
  </si>
  <si>
    <t>Шнур оптический ШОС-SM/2.0 мм-FC/UPC-LC/UPC-1.0 м</t>
  </si>
  <si>
    <t>ТЦ_25.3.16.01_77_7702680818_01.03.2021_01 том 11.4. стр.20, п.48</t>
  </si>
  <si>
    <t>ФССЦ-22.1.02.04-0003</t>
  </si>
  <si>
    <t>Коннектор (джек) RJ-45 8P-8C CAT6 (со вставкой) REXANT</t>
  </si>
  <si>
    <t>1,52</t>
  </si>
  <si>
    <t>Объем=152 / 100</t>
  </si>
  <si>
    <t>ЛОКАЛЬНЫЙ СМЕТНЫЙ РАСЧЕТ (СМЕТА) № 03-01-12</t>
  </si>
  <si>
    <t>Д-ДРП-20-016-ИОС5.1</t>
  </si>
  <si>
    <t>(380,66)</t>
  </si>
  <si>
    <t>(5,46)</t>
  </si>
  <si>
    <t>(33,29)</t>
  </si>
  <si>
    <t>(347,37)</t>
  </si>
  <si>
    <t>ФЕРм10-03-001-01</t>
  </si>
  <si>
    <t>Стойка, полустойка, каркас стойки или шкаф, масса: до 100 кг</t>
  </si>
  <si>
    <t>8,2</t>
  </si>
  <si>
    <t>10,25</t>
  </si>
  <si>
    <t>0,4125</t>
  </si>
  <si>
    <t>ТЦ_61.1.00.00_ 77_7 7026 80818_01.03.2021_0 1 том 11.4. стр.8, п.9</t>
  </si>
  <si>
    <t>Шкаф телекоммуникационный напольный 42U (800 × 1000) дверь стекло ШТК-М-42.8.10-1ААА 
30144523500</t>
  </si>
  <si>
    <t>ТЦ_22.1.01.02_77_7702680818_01.03.2021_01том 11.4. стр.9,п.12</t>
  </si>
  <si>
    <t>Комплект уголков опорных для наполных шкафов УО-75У</t>
  </si>
  <si>
    <t>ТЦ_22.2.02.19_77_7702680818_01.03.2021_01том 11.4. стр.9, п.13</t>
  </si>
  <si>
    <t>Комплект проводов заземления для шкафа ПЗ-ШТК-М</t>
  </si>
  <si>
    <t>ФЕРм08-03-605-01</t>
  </si>
  <si>
    <t>Вентилятор</t>
  </si>
  <si>
    <t>0,99</t>
  </si>
  <si>
    <t>2,475</t>
  </si>
  <si>
    <t>ТЦ_62.1.02.12_77_7702680818_01.03.2021_01 том 11.4. стр.8,п.10</t>
  </si>
  <si>
    <t>Модуль вентиляторный 3 вентилятора с терморегулятором R-FAN-3T</t>
  </si>
  <si>
    <t>ФЕРм08-01-072-01</t>
  </si>
  <si>
    <t>Шина ответвительная - одна полоса в фазе, медная или алюминиевая сечением: до 250 мм2</t>
  </si>
  <si>
    <t>Объем=0,5 / 100</t>
  </si>
  <si>
    <t>50,5</t>
  </si>
  <si>
    <t>0,315625</t>
  </si>
  <si>
    <t>6,33</t>
  </si>
  <si>
    <t>0,0395625</t>
  </si>
  <si>
    <t>ТЦ_22.2.02.19_77_7702680818_01.03.2021_01 том 11.4. стр.9, п.14</t>
  </si>
  <si>
    <t>Панель заземления 19" 500мм/200А  ПЗ-19-500.200 А</t>
  </si>
  <si>
    <t>ФЕРм10-01-001-12</t>
  </si>
  <si>
    <t>Рамка со штифтами на винтах в нарезных отверстиях</t>
  </si>
  <si>
    <t>0,0875</t>
  </si>
  <si>
    <t>ТЦ_20.5.01.02_77_7702680818_01.03.2021_01 том 11.4. стр.10,п.15</t>
  </si>
  <si>
    <t>Комплект щеточного ввода в шкаф КВ-Щ-55.420А</t>
  </si>
  <si>
    <t>ФЕРм10-01-001-13</t>
  </si>
  <si>
    <t>Рамка со штифтами на винтах и гайках с шайбами</t>
  </si>
  <si>
    <t>0,8125</t>
  </si>
  <si>
    <t>ТЦ_22.1.01.02_77_7702680818_01.03.2021_01 том 11.4. стр.8, п.11</t>
  </si>
  <si>
    <t>Органайзер кабельный горизонтальный 19" 1U, 6 колец ГКО-1-6</t>
  </si>
  <si>
    <t>ФЕРм08-03-591-12</t>
  </si>
  <si>
    <t>Блоки с тремя выключателями и одной штепсельной розеткой утопленного типа при скрытой проводке</t>
  </si>
  <si>
    <t>55,53</t>
  </si>
  <si>
    <t>0,694125</t>
  </si>
  <si>
    <t>ТЦ_61.1.00.00_ 77_7 7026 8081 8_01. 03.20 21_01 том 11.4. стр.10, п.16</t>
  </si>
  <si>
    <t>Блок розеток R-16-85-V-440-18</t>
  </si>
  <si>
    <t>30,9</t>
  </si>
  <si>
    <t>Уличный коммутатор с наличием РоЕ-портов, TFortis PSW-2G8F+UPS-Box</t>
  </si>
  <si>
    <t>Комплект крепления на столб TFortis SWU-16</t>
  </si>
  <si>
    <t>Объем=2+1</t>
  </si>
  <si>
    <t>ФЕРм10-06-068-16</t>
  </si>
  <si>
    <t>Настройка простых сетевых трактов: программирование сетевого элемента и отладка его работы (мультиплексор, регенератор)</t>
  </si>
  <si>
    <t>сетевой элемент</t>
  </si>
  <si>
    <t>ТЦ_61.1.03.03_77_7702680818_01.03.2021_01 том 11.4. стр.11, п.19</t>
  </si>
  <si>
    <t>Коммутатор агрегации TFortis SWU-16</t>
  </si>
  <si>
    <t>ТЦ_61.1.03.03_77_7734682230_01.03.2021_01 том 11.4. стр.14, п.30</t>
  </si>
  <si>
    <t>Коммутатор c наличием РоЕ-портов Cisco SG350X-24MP-K9-EU</t>
  </si>
  <si>
    <t>ТЦ_61.1.00.00_77_9715299360_01.03.2021_01 том 11.4.  стр.14, п.32</t>
  </si>
  <si>
    <t>Cisco трансивер Gigabit 1000 Base-T Mini-GBIC SFP MGBT1</t>
  </si>
  <si>
    <t>ФЕРм10-04-112-01</t>
  </si>
  <si>
    <t>Шкаф или панель коммутации связи и сигнализации на стене или в нише, количество пар: до 20</t>
  </si>
  <si>
    <t>ТЦ_61.1.00.00_77_7702680818_01.03.2021_01 том 11.4. стр.11, п.21</t>
  </si>
  <si>
    <t>Панель коммутационная Navigator. Kat.5e. 24 порта 19" 1U</t>
  </si>
  <si>
    <t>Объем=12+12</t>
  </si>
  <si>
    <t>SFP модуль TBSF-13-12gSC-3i 1310</t>
  </si>
  <si>
    <t>SFP модуль TBSF-15-12gSC-3i 1550</t>
  </si>
  <si>
    <t>ФЕРм11-04-008-04</t>
  </si>
  <si>
    <t>Съемные и выдвижные блоки (модули, ячейки, ТЭЗ), масса: до 30 кг</t>
  </si>
  <si>
    <t>3,09</t>
  </si>
  <si>
    <t>ТЦ_62.4.02.04_77_7702680818_09.12.2021_1 том 11.4. стр.271, п.403</t>
  </si>
  <si>
    <t>Источник бесперебойного питания  ИБП СИПБ3КА.10-11</t>
  </si>
  <si>
    <t>ТЦ_61.1.00.00_77_7702680818_01.03.2021_01 том 11.4. стр.13, п.28</t>
  </si>
  <si>
    <t>Карта удаленного управления SNMP для ИБП CY504</t>
  </si>
  <si>
    <t>11,5875</t>
  </si>
  <si>
    <t>0,1125</t>
  </si>
  <si>
    <t>ТЦ_62.4.02.04_77_7702680818_09.12.2021_01 том 11.4. стр.272, п.404</t>
  </si>
  <si>
    <t>АКБ с длительным сроком службы 12в/100 Ач HM-12-100</t>
  </si>
  <si>
    <t>ТЦ_61.1.00.00_77_9715299360_01.03.2021_01 том 11.4. стр.15, п.33</t>
  </si>
  <si>
    <t>Маршрутизатор C1161X-8PLTEP Cisco</t>
  </si>
  <si>
    <t>ТЦ_61.1.00.00_77_9715299360_01.03.2021_01 том 11.4. стр.15, п.34</t>
  </si>
  <si>
    <t>Лицензия Cisco 1000 Series SL-1100-8P-SECNPE=</t>
  </si>
  <si>
    <t>ТЦ_101_77_9715299360_01.03.2021_01 том 11.4. стр.15, п.35</t>
  </si>
  <si>
    <t>SMARTNET 8X5XNBD Cisco C1161X-8PLTEP CON-SNT-C1161X-8P</t>
  </si>
  <si>
    <t>ФЕРм10-02-030-01</t>
  </si>
  <si>
    <t>Аппарат телефонный системы ЦБ или АТС: настольный</t>
  </si>
  <si>
    <t>0,003</t>
  </si>
  <si>
    <t>ТЦ_61.1.02.01_77_7702680818_09.12.2021_01 том 11.4. стр.281, п.435</t>
  </si>
  <si>
    <t>SIP телефон Panasonic KX-HDV100RU</t>
  </si>
  <si>
    <t>ТЦ_61.2.04.00_77_7702680818_09.12.2021_01 том 11.4. стр.272, п.405</t>
  </si>
  <si>
    <t>Блок автоматического оповещения и контроля трансляции линии SC-05EM</t>
  </si>
  <si>
    <t>ФЕРм10-02-016-07</t>
  </si>
  <si>
    <t>Отдельно устанавливаемый: усилитель дуплексный или абонентский</t>
  </si>
  <si>
    <t>12,4</t>
  </si>
  <si>
    <t>ТЦ_61.2.04.00_77_7702680818_09.12.2021_01 том 11.4. стр.272, п.406</t>
  </si>
  <si>
    <t>Модульный усилитель 340Вт PAM-340A</t>
  </si>
  <si>
    <t>ФЕРм10-04-064-01</t>
  </si>
  <si>
    <t>Громкоговоритель настольный</t>
  </si>
  <si>
    <t>ТЦ_61.3.06.01_77_7702680818_09.12.2021_01 том 11.4. стр.273, п.407</t>
  </si>
  <si>
    <t>Микрофонная панель RM-05a</t>
  </si>
  <si>
    <t>ФЕРм10-04-101-07</t>
  </si>
  <si>
    <t>Громкоговоритель или звуковая колонка: в помещении</t>
  </si>
  <si>
    <t>ФССЦ-61.3.02.01-0011</t>
  </si>
  <si>
    <t>Громкоговоритель настенный, мощность 3 Вт</t>
  </si>
  <si>
    <t>ФЕРм10-04-101-09</t>
  </si>
  <si>
    <t>Громкоговоритель или звуковая колонка: на столбе или на крыше, мощность свыше 10 Вт</t>
  </si>
  <si>
    <t>37,5</t>
  </si>
  <si>
    <t>ТЦ_61.3.02.03_77_7702680818_09.12.2021_1том 11.4. стр.273, п.409</t>
  </si>
  <si>
    <t>Громкоговоритель рупорный ГР50.02</t>
  </si>
  <si>
    <t>ФЕРм10-08-003-04</t>
  </si>
  <si>
    <t>Устройство ультразвуковое,: преобразователь (излучатель или приемник)</t>
  </si>
  <si>
    <t>ТЦ_61.1.01.02_77_7702680818_09.12.2021_1том 11.4. стр.274, п.410</t>
  </si>
  <si>
    <t>Антенна для приема FM диапазона RX‐553</t>
  </si>
  <si>
    <t>ФЕРм08-02-364-02</t>
  </si>
  <si>
    <t>Кронштейн "Переход" на: стене</t>
  </si>
  <si>
    <t>ТЦ_20.2.06.05_77_7702680818_09.12.2021_1том 11.4. стр.274, п.411</t>
  </si>
  <si>
    <t>Кронштейн эфирный 30 см Г-образный</t>
  </si>
  <si>
    <t>ФЕРм10-02-030-02</t>
  </si>
  <si>
    <t>Аппарат телефонный системы ЦБ или АТС: настенный</t>
  </si>
  <si>
    <t>0,002</t>
  </si>
  <si>
    <t>57
О</t>
  </si>
  <si>
    <t>ТЦ_67.1.02.02_77_7702680818_09.12.2021_01том 11.4. стр.274, п.412</t>
  </si>
  <si>
    <t>Устройство переговорное абонентское GC-2001W3</t>
  </si>
  <si>
    <t>58
О</t>
  </si>
  <si>
    <t>ТЦ_67.1.02.02_77_7702680818_09.12.2021_01 том 11.4. стр.275, п.413</t>
  </si>
  <si>
    <t>Устройство переговорное абонентское уличное GC-2001P1</t>
  </si>
  <si>
    <t>60
О</t>
  </si>
  <si>
    <t>ТЦ_20.3.02.13_77_7702680818_09.12.2021_01 том 11.4. стр.275, п.414</t>
  </si>
  <si>
    <t>Сигнальная лампа GC-0611W2</t>
  </si>
  <si>
    <t>61
О</t>
  </si>
  <si>
    <t>ТЦ_61.2.05.02_77_7702680818_09.12.2021_01 том 11.4. стр.275, п.415</t>
  </si>
  <si>
    <t>Кнопка сброса GC-0421W1</t>
  </si>
  <si>
    <t>62
О</t>
  </si>
  <si>
    <t>ТЦ_61.2.05.02_77_7702680818_09.12.2021_01 том 11.4. стр.276, п.416</t>
  </si>
  <si>
    <t>Влагозащищенная кнопка вызова со шнуром GC-0423W1</t>
  </si>
  <si>
    <t>ТЦ_61.2.04.10_77_7702680818_09.12.2021_01 том 11.4. стр.276, п.417</t>
  </si>
  <si>
    <t>Пульт селекторной связи GC-1001D4</t>
  </si>
  <si>
    <t>ФЕРм10-06-037-13</t>
  </si>
  <si>
    <t>Крышка декоративная и другие мелкие изделия (без присоединения проводов)</t>
  </si>
  <si>
    <t>Объем=(8+8+12) / 100</t>
  </si>
  <si>
    <t>0,0028</t>
  </si>
  <si>
    <t>ТЦ_20.5.02.00_77_7702680818_01.03.2021_01 том 11.4. стр.16, п.36</t>
  </si>
  <si>
    <t>Коробка для накладного монтажа 65х65мм для 1 модуля ЛО-КНН-145.39</t>
  </si>
  <si>
    <t>ТЦ_20.5.02.00_77_7702680818_01.03.2021_01 том 11.4.  стр.16, п.37</t>
  </si>
  <si>
    <t>ЛАН ЮНИОН Модуль вставка ЛО-МВШ-45.2К39</t>
  </si>
  <si>
    <t>ТЦ_20.5.02.00_77_7702680818_01.03.2021_01 том 11.4.  стр.16, п.38</t>
  </si>
  <si>
    <t>ЛАН ЮНИОН Модуль коммутационный  ЛО-МКС-5е.ВК39Би</t>
  </si>
  <si>
    <t>ФЕРм08-02-390-02</t>
  </si>
  <si>
    <t>Короба пластмассовые: шириной до 63 мм</t>
  </si>
  <si>
    <t>18,39</t>
  </si>
  <si>
    <t>11,49375</t>
  </si>
  <si>
    <t>0,00625</t>
  </si>
  <si>
    <t>ФССЦ-20.2.05.04-0030</t>
  </si>
  <si>
    <t>Кабель-канал (короб) 60х40 мм</t>
  </si>
  <si>
    <t>ФССЦ-20.2.05.08-0001</t>
  </si>
  <si>
    <t>Тройник для короба 60х40 мм</t>
  </si>
  <si>
    <t>ФССЦ-20.2.05.09-0065</t>
  </si>
  <si>
    <t>Угол плоский для кабель-канала 60х40 мм</t>
  </si>
  <si>
    <t>ФССЦ-20.2.05.09-0035</t>
  </si>
  <si>
    <t>Угол внутренний изменяемый для кабель-канала 60х40 мм</t>
  </si>
  <si>
    <t>ФССЦ-20.2.05.03-0005</t>
  </si>
  <si>
    <t>Заглушка для короба 60x40 мм</t>
  </si>
  <si>
    <t>2,05</t>
  </si>
  <si>
    <t>Объем=(100+20+15+20+50) / 100</t>
  </si>
  <si>
    <t>7,22625</t>
  </si>
  <si>
    <t>0,05125</t>
  </si>
  <si>
    <t>Кабель до 35 кВ в проложенных трубах, блоках и коробах, масса 1 м кабеля: до 1 кг (уличная кабельная канализация)</t>
  </si>
  <si>
    <t>Объем=1200 / 100</t>
  </si>
  <si>
    <t>148,8</t>
  </si>
  <si>
    <t>ТЦ_21.1.04.07_77_7702680818_09.12.2021_01 том 11.4. стр.276, п.417</t>
  </si>
  <si>
    <t>Кабель UTP Cat5e PE ParLan F/UTP Cat5e PVCLS нг(А)-LS
 4х2х0,52</t>
  </si>
  <si>
    <t>1326</t>
  </si>
  <si>
    <t>Объем=1300*1,02</t>
  </si>
  <si>
    <t>ТЦ_21.1.04.07_77_7702680818_09.12.2021_01 том 11.4. стр.277, п.419</t>
  </si>
  <si>
    <t>КабельКПСВВнг(А)-LS 1х2х1,5</t>
  </si>
  <si>
    <t>ФССЦ-21.1.08.01-0092</t>
  </si>
  <si>
    <t>Кабель пожарной сигнализации КПСВВнг-LS 1х2х0,75</t>
  </si>
  <si>
    <t>0,0663</t>
  </si>
  <si>
    <t>Объем=((15+50)*1,02) / 1000</t>
  </si>
  <si>
    <t>ТЦ_21.1.04.07_77_7702680818_09.12.2021_01 том 11.4.  стр.277, п.421</t>
  </si>
  <si>
    <t>Кабель РК 75-4,8-319нг(А)-LS</t>
  </si>
  <si>
    <t>144</t>
  </si>
  <si>
    <t>Объем=24*2+24*2+24*2</t>
  </si>
  <si>
    <t>39,6</t>
  </si>
  <si>
    <t>Коннектор (джек) RJ-45 8P-8C CAT6 (со вставкой) REXANT_(ПРИМ.)</t>
  </si>
  <si>
    <t>Объем=108 / 100</t>
  </si>
  <si>
    <t>Объем=2+3</t>
  </si>
  <si>
    <t>3,125</t>
  </si>
  <si>
    <t>ТЦ_20.5.02.11_77_7702680818_09.12.2021_01 том 11.4.  стр.277, п.422</t>
  </si>
  <si>
    <t>Коробка монтажная огнестойкая КМ-О (4к)</t>
  </si>
  <si>
    <t>ТЦ_20.5.02.11_77_7702680818_09.12.2021_01 том 11.4.  стр.278, п.423</t>
  </si>
  <si>
    <t>Коробка соединительная IP65 КСП-10</t>
  </si>
  <si>
    <t>Составлен(а) в базисном (текущем) уровне цен  2 кв. 2021г.</t>
  </si>
  <si>
    <t>(Симонова В.К.)</t>
  </si>
  <si>
    <t>(Авраменко Р.М)</t>
  </si>
  <si>
    <t>(235,26)</t>
  </si>
  <si>
    <t>(6,03)</t>
  </si>
  <si>
    <t>Сталь арматурная рифленая свариваемая, класс A500С, диаметр 12 мм</t>
  </si>
  <si>
    <t>Сталь арматурная рифленая свариваемая, класс A500С, диаметр 18 мм</t>
  </si>
  <si>
    <t>Объем=88/1000</t>
  </si>
  <si>
    <t>6,7738</t>
  </si>
  <si>
    <t>Объем=6511,43*1,01*1,03/1000</t>
  </si>
  <si>
    <t>132,0891</t>
  </si>
  <si>
    <t>24,38568</t>
  </si>
  <si>
    <t>(Авраменко Р.М.)</t>
  </si>
  <si>
    <t>(147,46)</t>
  </si>
  <si>
    <t>(58,51)</t>
  </si>
  <si>
    <t>(646,7)</t>
  </si>
  <si>
    <t>(548,41)</t>
  </si>
  <si>
    <t>(35,61)</t>
  </si>
  <si>
    <t>Наружное электроснабжение.КТП</t>
  </si>
  <si>
    <t>Конструктивные решения.КТП</t>
  </si>
  <si>
    <t>(1706,54)</t>
  </si>
  <si>
    <t>(114,84)</t>
  </si>
  <si>
    <t>(3,11)</t>
  </si>
  <si>
    <t>(61,9)</t>
  </si>
  <si>
    <t>ТЦ_23.3.03.00_78_7814731027_01.03.2021_01том 11.4.стр. 110, п.397</t>
  </si>
  <si>
    <t>10,40625</t>
  </si>
  <si>
    <t>0,25875</t>
  </si>
  <si>
    <t>1,6335</t>
  </si>
  <si>
    <t>Объем=0,99*1,1*1,5</t>
  </si>
  <si>
    <t>04-02-01</t>
  </si>
  <si>
    <t>Конструктивные решения.РП-10кВ</t>
  </si>
  <si>
    <t>04-02-02</t>
  </si>
  <si>
    <t>Наружное электроснабжение. РП-10кВ Этап 2</t>
  </si>
  <si>
    <t>РП</t>
  </si>
  <si>
    <t>ЛОКАЛЬНЫЙ СМЕТНЫЙ РАСЧЕТ (СМЕТА) № 04-02-01</t>
  </si>
  <si>
    <t>(14,31)</t>
  </si>
  <si>
    <t>(0,22)</t>
  </si>
  <si>
    <t>Объем=8 / 1000</t>
  </si>
  <si>
    <t>0,655</t>
  </si>
  <si>
    <t>18,4</t>
  </si>
  <si>
    <t>Объем=8*2,3</t>
  </si>
  <si>
    <t>0,00033</t>
  </si>
  <si>
    <t>Объем=0,33 / 1000</t>
  </si>
  <si>
    <t>0,0198</t>
  </si>
  <si>
    <t>0,0152625</t>
  </si>
  <si>
    <t>0,0033</t>
  </si>
  <si>
    <t>Объем=0,33 / 100</t>
  </si>
  <si>
    <t>0,06171</t>
  </si>
  <si>
    <t>0,0129113</t>
  </si>
  <si>
    <t>0,041</t>
  </si>
  <si>
    <t>Объем=4,1 / 100</t>
  </si>
  <si>
    <t>4,182</t>
  </si>
  <si>
    <t>6,91875</t>
  </si>
  <si>
    <t>0,92865</t>
  </si>
  <si>
    <t>0,076</t>
  </si>
  <si>
    <t>Объем=7,6 / 100</t>
  </si>
  <si>
    <t>7,714</t>
  </si>
  <si>
    <t>0,6156</t>
  </si>
  <si>
    <t>17,005</t>
  </si>
  <si>
    <t>2,7132</t>
  </si>
  <si>
    <t>0,7833</t>
  </si>
  <si>
    <t>Объем=783,3/1000</t>
  </si>
  <si>
    <t>Объем=45,3 / 100</t>
  </si>
  <si>
    <t>25,19586</t>
  </si>
  <si>
    <t>1,9026</t>
  </si>
  <si>
    <t>0,0283125</t>
  </si>
  <si>
    <t>72,48</t>
  </si>
  <si>
    <t>Объем=45,3*1,6</t>
  </si>
  <si>
    <t>0,073</t>
  </si>
  <si>
    <t>ЛОКАЛЬНЫЙ СМЕТНЫЙ РАСЧЕТ (СМЕТА) № 04-02-02</t>
  </si>
  <si>
    <t>(10028,38)</t>
  </si>
  <si>
    <t>(9,24)</t>
  </si>
  <si>
    <t>(7,23)</t>
  </si>
  <si>
    <t>(2258,89)</t>
  </si>
  <si>
    <t>(7760,25)</t>
  </si>
  <si>
    <t>ФЕРм37-01-001-12</t>
  </si>
  <si>
    <t>Монтаж сосудов и аппаратов без механизмов на открытой площадке, масса сосудов и аппаратов: 18 т</t>
  </si>
  <si>
    <t>138</t>
  </si>
  <si>
    <t>172,5</t>
  </si>
  <si>
    <t>ТЦ_101_61_6161046222_15.12.2021_01 том 11.4. стр.281, п.439</t>
  </si>
  <si>
    <t>Комплектный распределительный пункт напряжением 10 кВ, в комплекте с металлической подставкой РП-10 кВ (вес 16,5 тонн)</t>
  </si>
  <si>
    <t>Траншея 1  под ПНД трубу</t>
  </si>
  <si>
    <t>0,004608</t>
  </si>
  <si>
    <t>Объем=4,608 / 1000</t>
  </si>
  <si>
    <t>0,30816</t>
  </si>
  <si>
    <t>0,008048</t>
  </si>
  <si>
    <t>Объем=(13,047-4,608-0,3914) / 1000</t>
  </si>
  <si>
    <t>0,42755</t>
  </si>
  <si>
    <t>0,003914</t>
  </si>
  <si>
    <t>Объем=(13,047*0,03) / 100</t>
  </si>
  <si>
    <t>1,74173</t>
  </si>
  <si>
    <t>10,5984</t>
  </si>
  <si>
    <t>Объем=4,608*2,3</t>
  </si>
  <si>
    <t>0,008439</t>
  </si>
  <si>
    <t>Объем=8,439 / 1000</t>
  </si>
  <si>
    <t>0,3481088</t>
  </si>
  <si>
    <t>0,08439</t>
  </si>
  <si>
    <t>Объем=8,439 / 100</t>
  </si>
  <si>
    <t>1,578093</t>
  </si>
  <si>
    <t>0,3301759</t>
  </si>
  <si>
    <t>Траншея 2  под ПНД трубу</t>
  </si>
  <si>
    <t>0,012809</t>
  </si>
  <si>
    <t>Объем=(17,956-4,608-0,5387) / 1000</t>
  </si>
  <si>
    <t>0,6804781</t>
  </si>
  <si>
    <t>0,005387</t>
  </si>
  <si>
    <t>Объем=(17,956*0,03) / 100</t>
  </si>
  <si>
    <t>2,397215</t>
  </si>
  <si>
    <t>0,013349</t>
  </si>
  <si>
    <t>Объем=13,349 / 1000</t>
  </si>
  <si>
    <t>0,5506463</t>
  </si>
  <si>
    <t>0,13349</t>
  </si>
  <si>
    <t>Объем=13,349 / 100</t>
  </si>
  <si>
    <t>2,496263</t>
  </si>
  <si>
    <t>0,5222796</t>
  </si>
  <si>
    <t>Траншея под кабель  (открыто)</t>
  </si>
  <si>
    <t>0,052205</t>
  </si>
  <si>
    <t>Объем=52,205 / 1000</t>
  </si>
  <si>
    <t>3,4912094</t>
  </si>
  <si>
    <t>0,11796</t>
  </si>
  <si>
    <t>Объем=(175,428-52,205-5,2628) / 1000</t>
  </si>
  <si>
    <t>6,266625</t>
  </si>
  <si>
    <t>0,052628</t>
  </si>
  <si>
    <t>Объем=(175,428*0,03) / 100</t>
  </si>
  <si>
    <t>23,41946</t>
  </si>
  <si>
    <t>120,0715</t>
  </si>
  <si>
    <t>Объем=52,205*2,3</t>
  </si>
  <si>
    <t>0,12323</t>
  </si>
  <si>
    <t>Объем=123,23 / 1000</t>
  </si>
  <si>
    <t>5,0832375</t>
  </si>
  <si>
    <t>1,2323</t>
  </si>
  <si>
    <t>Объем=123,23 / 100</t>
  </si>
  <si>
    <t>23,04401</t>
  </si>
  <si>
    <t>4,8213738</t>
  </si>
  <si>
    <t>ФЕРм08-02-142-01</t>
  </si>
  <si>
    <t>Устройство постели при одном кабеле в траншее</t>
  </si>
  <si>
    <t>Объем=83 / 100</t>
  </si>
  <si>
    <t>5,49875</t>
  </si>
  <si>
    <t>3,9</t>
  </si>
  <si>
    <t>4,04625</t>
  </si>
  <si>
    <t>ФЕРм08-02-142-02</t>
  </si>
  <si>
    <t>На каждый последующий кабель добавлять к расценке 08-02-142-01</t>
  </si>
  <si>
    <t>9,43</t>
  </si>
  <si>
    <t>Объем=(1026-83) / 100</t>
  </si>
  <si>
    <t>1,99</t>
  </si>
  <si>
    <t>23,457125</t>
  </si>
  <si>
    <t>0,943</t>
  </si>
  <si>
    <t>54,329</t>
  </si>
  <si>
    <t>Объем=49,39*1,1</t>
  </si>
  <si>
    <t>ФЕРм08-02-141-04</t>
  </si>
  <si>
    <t>Кабель до 35 кВ в готовых траншеях без покрытий, масса 1 м: до 6 кг</t>
  </si>
  <si>
    <t>10,26</t>
  </si>
  <si>
    <t>Объем=1026 / 100</t>
  </si>
  <si>
    <t>17,44</t>
  </si>
  <si>
    <t>223,668</t>
  </si>
  <si>
    <t>2,64</t>
  </si>
  <si>
    <t>33,858</t>
  </si>
  <si>
    <t>ТЦ_21.1.05.04_2_0276132981_13.12.2021_01 том 11.4. стр.281, п.436</t>
  </si>
  <si>
    <t>Кабель силовой с медными жиламис экраном, с проволочной броней с изоляцией из сшитого полиэтилена, на напряжение 10 кВ ИнСил-ПвЭКаВнг(А)-LS 1х400/35-10</t>
  </si>
  <si>
    <t>1046,52</t>
  </si>
  <si>
    <t>Объем=1026*1,02</t>
  </si>
  <si>
    <t>Цена=7713644,02/1000</t>
  </si>
  <si>
    <t>ФЕРм08-02-143-01</t>
  </si>
  <si>
    <t>Покрытие кабеля, проложенного в траншее: кирпичом одного кабеля</t>
  </si>
  <si>
    <t>5,405375</t>
  </si>
  <si>
    <t>3,46</t>
  </si>
  <si>
    <t>3,58975</t>
  </si>
  <si>
    <t>ФЕРм08-02-143-02</t>
  </si>
  <si>
    <t>Покрытие кабеля, проложенного в траншее: кирпичом каждого последующего</t>
  </si>
  <si>
    <t>32,062</t>
  </si>
  <si>
    <t>21,45325</t>
  </si>
  <si>
    <t>ФССЦ-06.1.01.05-0039</t>
  </si>
  <si>
    <t>Кирпич керамический одинарный, размер 250х120х65 мм, марка 200</t>
  </si>
  <si>
    <t>1000 шт</t>
  </si>
  <si>
    <t>Объем=2770 / 1000</t>
  </si>
  <si>
    <t>ФЕРм08-02-143-05</t>
  </si>
  <si>
    <t>Покрытие кабеля, проложенного в траншее: лентой сигнальной</t>
  </si>
  <si>
    <t>Объем=200 / 100</t>
  </si>
  <si>
    <t>0,48</t>
  </si>
  <si>
    <t>ФССЦ-01.7.06.08-0012</t>
  </si>
  <si>
    <t>Лента сигнальная полиэтиленовая ЛСЭ-300, длина 100 м, ширина 300 мм</t>
  </si>
  <si>
    <t>ФЕРм08-02-147-13</t>
  </si>
  <si>
    <t>Кабель до 35 кВ по установленным конструкциям и лоткам с креплением по всей длине, масса 1 м кабеля: до 6 кг</t>
  </si>
  <si>
    <t>3,49</t>
  </si>
  <si>
    <t>Объем=349 / 100</t>
  </si>
  <si>
    <t>129,479</t>
  </si>
  <si>
    <t>1,745</t>
  </si>
  <si>
    <t>355,98</t>
  </si>
  <si>
    <t>Объем=349*1,02</t>
  </si>
  <si>
    <t>Объем=50/1000</t>
  </si>
  <si>
    <t>8,3125</t>
  </si>
  <si>
    <t>8,756</t>
  </si>
  <si>
    <t>Объем=(3,98*2)*1,1</t>
  </si>
  <si>
    <t>ФССЦ-24.3.03.13-0423</t>
  </si>
  <si>
    <t>Трубы напорные полиэтиленовые, среднего типа, ПНД, номинальный наружный диаметр 200 мм</t>
  </si>
  <si>
    <t>Объем=155 / 100</t>
  </si>
  <si>
    <t>44,64</t>
  </si>
  <si>
    <t>158,1</t>
  </si>
  <si>
    <t>Объем=155*1,02</t>
  </si>
  <si>
    <t>ФЕРм08-02-162-03</t>
  </si>
  <si>
    <t>Заделка концевая из самосклеивающихся лент для 3-жильного кабеля с бумажной изоляцией напряжением до 10 кВ, сечение одной жилы: до 240 мм2</t>
  </si>
  <si>
    <t>2,36</t>
  </si>
  <si>
    <t>70,8</t>
  </si>
  <si>
    <t>ТЦ_20.2.09.05_78_7806345589_13.12.2021_01,том 11.4. стр.281, п.437</t>
  </si>
  <si>
    <t>Концевая кабельная муфта внутренней установки для кабелей «нг-LS» с изоляцией из сшитого полиэтилена до 10 кВ 1ПКВТ-10-300/400(Б) нг-LS</t>
  </si>
  <si>
    <t>ФССЦ-25.2.01.01-0013</t>
  </si>
  <si>
    <t>Бирки кабельные маркировочные пластмассовые У135</t>
  </si>
  <si>
    <t>ФССЦ-20.1.02.18-0001</t>
  </si>
  <si>
    <t>Хомут-стяжка кабельная (бандаж), размер 3,6х200 мм</t>
  </si>
  <si>
    <t>Объем=1100 / 100</t>
  </si>
  <si>
    <t>Мастика огнезащитная</t>
  </si>
  <si>
    <t>ФССЦ-14.2.02.12-0801</t>
  </si>
  <si>
    <t>Пена противопожарная, марка "PROMAFOAM-C" (700 мл)</t>
  </si>
  <si>
    <t>94,6275</t>
  </si>
  <si>
    <t>Объем=57,35*1,1*1,5</t>
  </si>
  <si>
    <t>(685,93)</t>
  </si>
  <si>
    <t>(599,49)</t>
  </si>
  <si>
    <t>(25,05)</t>
  </si>
  <si>
    <t>(83,98)</t>
  </si>
  <si>
    <t>0,3113</t>
  </si>
  <si>
    <t>Объем=311,3 / 1000</t>
  </si>
  <si>
    <t>20,8181875</t>
  </si>
  <si>
    <t>Объем=(748-311,3-22,4) / 1000</t>
  </si>
  <si>
    <t>22,0096875</t>
  </si>
  <si>
    <t>715,99</t>
  </si>
  <si>
    <t>Объем=311,3*2,3</t>
  </si>
  <si>
    <t>0,4368</t>
  </si>
  <si>
    <t>Объем=436,8 / 1000</t>
  </si>
  <si>
    <t>18,018</t>
  </si>
  <si>
    <t>4,368</t>
  </si>
  <si>
    <t>Объем=436,8 / 100</t>
  </si>
  <si>
    <t>81,6816</t>
  </si>
  <si>
    <t>17,0898</t>
  </si>
  <si>
    <t>9,6</t>
  </si>
  <si>
    <t>Объем=96 / 10</t>
  </si>
  <si>
    <t>105,6</t>
  </si>
  <si>
    <t>122,4</t>
  </si>
  <si>
    <t>Объем=96*1,1</t>
  </si>
  <si>
    <t>3,834</t>
  </si>
  <si>
    <t>Объем=(3704+130)/1000</t>
  </si>
  <si>
    <t>637,4025</t>
  </si>
  <si>
    <t>3704</t>
  </si>
  <si>
    <t>23,2</t>
  </si>
  <si>
    <t>Объем=(700+720+400+500) / 100</t>
  </si>
  <si>
    <t>287,68</t>
  </si>
  <si>
    <t>Кабеля связи RS-485 ParLan F/UTP Cat5e PE 4х2х0,52</t>
  </si>
  <si>
    <t>714</t>
  </si>
  <si>
    <t>Объем=700*1,02</t>
  </si>
  <si>
    <t>ТЦ_21.1.04.07_77_7702680818_09.12.2021_01 том 11.4. стр.276, п.424</t>
  </si>
  <si>
    <t>Кабеля связи RS-485 ParLan F/UTP Cat5e PVCLS нг(А)-FRLS 4х2х0,52</t>
  </si>
  <si>
    <t>734,4</t>
  </si>
  <si>
    <t>Объем=720*1,02</t>
  </si>
  <si>
    <t>Кабель КПСВВнг(А)-LS 1х2х1,5</t>
  </si>
  <si>
    <t>408</t>
  </si>
  <si>
    <t>Объем=400*1,02</t>
  </si>
  <si>
    <t>Объем=(500*1,02) / 1000</t>
  </si>
  <si>
    <t>178,695</t>
  </si>
  <si>
    <t>Объем=(12,3+96)*1,1*1,5</t>
  </si>
  <si>
    <t>Калькуляция №1 Раздел 2</t>
  </si>
  <si>
    <t>(110,6)</t>
  </si>
  <si>
    <t>(36,5)</t>
  </si>
  <si>
    <t>(72,58)</t>
  </si>
  <si>
    <t>(3655,94)</t>
  </si>
  <si>
    <t>(46,72)</t>
  </si>
  <si>
    <t>Разработка грунта с погрузкой на автомобили-самосвалы в траншеях экскаватором «обратная лопата» с ковшом вместимостью 1 (1-1,2) м3, группа грунтов: 5  (Устройство насыпи) (п.2.1)</t>
  </si>
  <si>
    <t>4,916</t>
  </si>
  <si>
    <t>Объем=4916 / 1000</t>
  </si>
  <si>
    <t>258,09</t>
  </si>
  <si>
    <t>Разработка грунта с перемещением до 10 м бульдозерами мощностью: 243 кВт (330 л.с.), группа грунтов 4 (Срезка сущ. обочины) (п.2.1.1)</t>
  </si>
  <si>
    <t>12123,3</t>
  </si>
  <si>
    <t>Объем=(4916+355)*2,3</t>
  </si>
  <si>
    <t>65,07555</t>
  </si>
  <si>
    <t>43,44515</t>
  </si>
  <si>
    <t>Планировка откосов и полотна: насыпей механизированным способом, группа грунтов 3 (п.2.4, п.2.5)</t>
  </si>
  <si>
    <t>Планировка откосов и полотна: выемок механизированным способом, группа грунтов 3 (планировка кювета) (п.2.6)</t>
  </si>
  <si>
    <t>Планировка откосов и полотна: насыпей механизированным способом, группа грунтов 3 (п.7.3)</t>
  </si>
  <si>
    <t>0,265</t>
  </si>
  <si>
    <t>Объем=265 / 1000</t>
  </si>
  <si>
    <t>11,759375</t>
  </si>
  <si>
    <t>1,0169375</t>
  </si>
  <si>
    <t>Укрепление откосов земляных сооружений посевом многолетних трав: механизированным способом (п.2.7)</t>
  </si>
  <si>
    <t>Укрепление кюветов (п.3)</t>
  </si>
  <si>
    <t>0,3033</t>
  </si>
  <si>
    <t>Объем=(9,1/0,03) / 1000</t>
  </si>
  <si>
    <t>1,592325</t>
  </si>
  <si>
    <t>0,0492863</t>
  </si>
  <si>
    <t>ФССЦ-11.1.03.06-0001</t>
  </si>
  <si>
    <t>Доска обрезная, антисептированная, длина 4-6,5 м, ширина 75-150 мм, толщина 32-40 мм, сорт II</t>
  </si>
  <si>
    <t>Устройство подстилающих и выравнивающих слоев оснований: из песчано-гравийной смеси, дресвы (п.5.1)</t>
  </si>
  <si>
    <t>Устройство подстилающих и выравнивающих слоев оснований: из песчано-гравийной смеси, дресвы (п.5.9)</t>
  </si>
  <si>
    <t>(600,03)</t>
  </si>
  <si>
    <t>(13,71)</t>
  </si>
  <si>
    <t>0,2817</t>
  </si>
  <si>
    <t>Объем=281,7 / 1000</t>
  </si>
  <si>
    <t>18,8386875</t>
  </si>
  <si>
    <t>647,91</t>
  </si>
  <si>
    <t>Объем=281,7*2,3</t>
  </si>
  <si>
    <t>3,5152</t>
  </si>
  <si>
    <t>Объем=3515,2 / 1000</t>
  </si>
  <si>
    <t>186,745</t>
  </si>
  <si>
    <t>9,71</t>
  </si>
  <si>
    <t>Объем=97,1 / 10</t>
  </si>
  <si>
    <t>106,81</t>
  </si>
  <si>
    <t>123,8025</t>
  </si>
  <si>
    <t>3,884</t>
  </si>
  <si>
    <t>Объем=(427,5+3087,7) / 1000</t>
  </si>
  <si>
    <t>145,002</t>
  </si>
  <si>
    <t>35,152</t>
  </si>
  <si>
    <t>Объем=3515,2 / 100</t>
  </si>
  <si>
    <t>657,3424</t>
  </si>
  <si>
    <t>137,5322</t>
  </si>
  <si>
    <t>22,5</t>
  </si>
  <si>
    <t>ФССЦ-23.8.03.11-0661</t>
  </si>
  <si>
    <t>Фланцы стальные плоские приварные из стали ВСт3сп2, ВСт3сп3, номинальное давление 1,0 МПа, номинальный диаметр 300 мм</t>
  </si>
  <si>
    <t>Трубы полиэтиленовые ПЭ100, SDR17, диаметр 50 мм (Труба 32х2 мм)</t>
  </si>
  <si>
    <t>Устройство круглых колодцев из сборного железобетона в грунтах: сухих (диаметр 2000 мм)</t>
  </si>
  <si>
    <t>0,239</t>
  </si>
  <si>
    <t>Объем=(1*(0,59+0,59*2+0,05+0,55+0,02)) / 10</t>
  </si>
  <si>
    <t>26,46925</t>
  </si>
  <si>
    <t>3,089075</t>
  </si>
  <si>
    <t>ФССЦ-05.1.01.11-0046</t>
  </si>
  <si>
    <t>Плита днища ПН20, бетон B15 (М200), объем 0,59 м3, расход арматуры 79,44 кг</t>
  </si>
  <si>
    <t>ФССЦ-05.1.01.09-0073</t>
  </si>
  <si>
    <t>Кольцо стеновое смотровых колодцев КС20.9, бетон B15 (М200), объем 0,59 м3, расход арматуры 19,88 кг</t>
  </si>
  <si>
    <t>ФССЦ-05.1.06.09-0005</t>
  </si>
  <si>
    <t>Плиты перекрытия 1ПП20-2, бетон B15, объем 0,55 м3, расход арматуры 77,66 кг</t>
  </si>
  <si>
    <t>Устройство круглых колодцев из сборного железобетона в грунтах: сухих (диаметр 1000 мм)</t>
  </si>
  <si>
    <t>0,083</t>
  </si>
  <si>
    <t>Объем=(1*(0,18+0,24*2+0,05+0,02+0,1)) / 10</t>
  </si>
  <si>
    <t>9,19225</t>
  </si>
  <si>
    <t>1,072775</t>
  </si>
  <si>
    <t>ФССЦ-05.1.06.09-0088</t>
  </si>
  <si>
    <t>Плиты перекрытия ПП10-2, бетон B15, объем 0,10 м3, расход арматуры 16,65 кг</t>
  </si>
  <si>
    <t>ФЕР22-01-021-02</t>
  </si>
  <si>
    <t>Укладка трубопроводов из полиэтиленовых труб диаметром: 63 мм</t>
  </si>
  <si>
    <t>0,0045</t>
  </si>
  <si>
    <t>Объем=4,5/1000</t>
  </si>
  <si>
    <t>4,5315</t>
  </si>
  <si>
    <t>207,64</t>
  </si>
  <si>
    <t>1,167975</t>
  </si>
  <si>
    <t>24,18</t>
  </si>
  <si>
    <t>0,1360125</t>
  </si>
  <si>
    <t>ФССЦ-24.3.03.13-0279</t>
  </si>
  <si>
    <t>Трубы полиэтиленовые ПЭ100, SDR17, диаметр 63 мм</t>
  </si>
  <si>
    <t>4,53</t>
  </si>
  <si>
    <t>ФЕР22-03-014-01</t>
  </si>
  <si>
    <t>Приварка фланцев к стальным трубопроводам диаметром: 50 мм</t>
  </si>
  <si>
    <t>ФССЦ-23.8.03.11-0653</t>
  </si>
  <si>
    <t>Фланцы стальные плоские приварные из стали ВСт3сп2, ВСт3сп3, номинальное давление 1,0 МПа, номинальный диаметр 50 мм</t>
  </si>
  <si>
    <t>ФССЦ-24.3.05.01-0001</t>
  </si>
  <si>
    <t>Втулка полиэтиленовая под фланец, ПЭ100, стандартное размерное отношение SDR 13,6, номинальный наружный диаметр 63 мм (Применительно Втулка под фланец ПЭ100 SDR17 Dy50 Ry1,0 МПа)</t>
  </si>
  <si>
    <t>ФЕР22-03-006-08</t>
  </si>
  <si>
    <t>Установка задвижек или клапанов обратных чугунных диаметром: 300 мм</t>
  </si>
  <si>
    <t>5,29</t>
  </si>
  <si>
    <t>6,6125</t>
  </si>
  <si>
    <t>ФССЦ-18.1.03.02-0012</t>
  </si>
  <si>
    <t>Затвор дисковый поворотный чугунный SYLAX PCF фирмы "Danfoss" с металлической рукояткой и центрирующими отверстиями для установки между фланцами, диаметром: 250 мм (Применительно диаметром 300 мм)</t>
  </si>
  <si>
    <t>3,3</t>
  </si>
  <si>
    <t>Конструктивные решения. Резервуар-усреднитель</t>
  </si>
  <si>
    <t>Конструктивные решения. Фундамент под КНС</t>
  </si>
  <si>
    <t>Конструктивные решения. Фундамент под ЛОС.</t>
  </si>
  <si>
    <t>Конструктивные решения.  Фундамент под ЛОС.</t>
  </si>
  <si>
    <t>(2896,93)</t>
  </si>
  <si>
    <t>(22,99)</t>
  </si>
  <si>
    <t>0,1963</t>
  </si>
  <si>
    <t>Объем=196,3 / 1000</t>
  </si>
  <si>
    <t>13,1275625</t>
  </si>
  <si>
    <t>451,49</t>
  </si>
  <si>
    <t>Объем=196,3*2,3</t>
  </si>
  <si>
    <t>0,406</t>
  </si>
  <si>
    <t>Объем=406 / 1000</t>
  </si>
  <si>
    <t>21,56875</t>
  </si>
  <si>
    <t>1,64</t>
  </si>
  <si>
    <t>Объем=16,4 / 10</t>
  </si>
  <si>
    <t>18,04</t>
  </si>
  <si>
    <t>20,91</t>
  </si>
  <si>
    <t>0,656</t>
  </si>
  <si>
    <t>Объем=(234,9+171,1) / 1000</t>
  </si>
  <si>
    <t>4,06</t>
  </si>
  <si>
    <t>Объем=406 / 100</t>
  </si>
  <si>
    <t>75,922</t>
  </si>
  <si>
    <t>15,88475</t>
  </si>
  <si>
    <t>40,068</t>
  </si>
  <si>
    <t>6,237</t>
  </si>
  <si>
    <t>0,8261</t>
  </si>
  <si>
    <t>Объем=(11*(0,18+0,242+0,16+0,049+0,02+0,1)) / 10</t>
  </si>
  <si>
    <t>143,2147613</t>
  </si>
  <si>
    <t>22,5835088</t>
  </si>
  <si>
    <t>Объем=11*6</t>
  </si>
  <si>
    <t>(943,27)</t>
  </si>
  <si>
    <t>Раздел 1. Устройство тротуаров и пешеходных зон</t>
  </si>
  <si>
    <t>Итоги по разделу 1 Устройство тротуаров и пешеходных зон :</t>
  </si>
  <si>
    <t xml:space="preserve">  Итого по разделу 1 Устройство тротуаров и пешеходных зон</t>
  </si>
  <si>
    <t>(Симонова В.К)</t>
  </si>
  <si>
    <t>Установка металлических столбов высотой до 4 м: на подготовленный бетонный фундамент (6 скамеек на 2ух опорных ножках)</t>
  </si>
  <si>
    <t>(2064,15)</t>
  </si>
  <si>
    <t>(1418,01)</t>
  </si>
  <si>
    <t>(9,9)</t>
  </si>
  <si>
    <t>"ГРАНД-Смета 2021"</t>
  </si>
  <si>
    <t>(172,43)</t>
  </si>
  <si>
    <t>(172,04)</t>
  </si>
  <si>
    <t>(3,7)</t>
  </si>
  <si>
    <t>(0,39)</t>
  </si>
  <si>
    <t>0,10032</t>
  </si>
  <si>
    <t>Объем=100,32 / 1000</t>
  </si>
  <si>
    <t>3,1977</t>
  </si>
  <si>
    <t>ФЕР01-02-067-02</t>
  </si>
  <si>
    <t>Крепление досками стенок котлованов и траншей шириной: от 2 до 3 м, глубиной до 3 м в грунтах устойчивых</t>
  </si>
  <si>
    <t>1,952</t>
  </si>
  <si>
    <t>Объем=195.2 / 100</t>
  </si>
  <si>
    <t>24,9</t>
  </si>
  <si>
    <t>60,756</t>
  </si>
  <si>
    <t>2,1472</t>
  </si>
  <si>
    <t>0,1039</t>
  </si>
  <si>
    <t>Объем=103,9 / 1000</t>
  </si>
  <si>
    <t>2,727375</t>
  </si>
  <si>
    <t>114,29</t>
  </si>
  <si>
    <t>Объем=103,9*1,1</t>
  </si>
  <si>
    <t>1,064</t>
  </si>
  <si>
    <t>Объем=106,4 / 100</t>
  </si>
  <si>
    <t>16,6649</t>
  </si>
  <si>
    <t>3,4846</t>
  </si>
  <si>
    <t>0,1201</t>
  </si>
  <si>
    <t>Объем=120,1 / 1000</t>
  </si>
  <si>
    <t>3,8281875</t>
  </si>
  <si>
    <t>Объем=7,3 / 100</t>
  </si>
  <si>
    <t>12,921</t>
  </si>
  <si>
    <t>2,548</t>
  </si>
  <si>
    <t>Объем=254.8 / 100</t>
  </si>
  <si>
    <t>79,3065</t>
  </si>
  <si>
    <t>2,8028</t>
  </si>
  <si>
    <t>0,1244</t>
  </si>
  <si>
    <t>Объем=124,4 / 1000</t>
  </si>
  <si>
    <t>3,2655</t>
  </si>
  <si>
    <t>136,84</t>
  </si>
  <si>
    <t>Объем=124,4*1,1</t>
  </si>
  <si>
    <t>1,274</t>
  </si>
  <si>
    <t>Объем=127,4 / 100</t>
  </si>
  <si>
    <t>19,954025</t>
  </si>
  <si>
    <t>4,17235</t>
  </si>
  <si>
    <t xml:space="preserve">          в том числе:</t>
  </si>
  <si>
    <t xml:space="preserve">                    в том числе оплата труда машинистов (Отм)</t>
  </si>
  <si>
    <t xml:space="preserve">                    в том числе оплата труда машинистов (ОТм)</t>
  </si>
  <si>
    <t>4,422</t>
  </si>
  <si>
    <t>1,2890625</t>
  </si>
  <si>
    <t>0,335</t>
  </si>
  <si>
    <t>Объем=33,5 / 100</t>
  </si>
  <si>
    <t>5,3868</t>
  </si>
  <si>
    <t>1,5703125</t>
  </si>
  <si>
    <t>Сборка и монтаж газопровода в кожухе (футляре)</t>
  </si>
  <si>
    <t>ФЕР22-01-021-07</t>
  </si>
  <si>
    <t>Укладка трубопроводов из полиэтиленовых труб диаметром: 280 мм (футляров)</t>
  </si>
  <si>
    <t>Объем=27,5*0,001</t>
  </si>
  <si>
    <t>1009</t>
  </si>
  <si>
    <t>27,7475</t>
  </si>
  <si>
    <t>340,4</t>
  </si>
  <si>
    <t>11,70125</t>
  </si>
  <si>
    <t>63,1</t>
  </si>
  <si>
    <t>2,1690625</t>
  </si>
  <si>
    <t>ФССЦ-24.3.04.06-0008</t>
  </si>
  <si>
    <t>Труба защитная полимерная термостойкая электротехническая, класс кольцевой жесткости SDR11, размер 280х25,4 мм</t>
  </si>
  <si>
    <t>Протаскивание в футляр стальных труб диаметром: 100 мм / 80 мм</t>
  </si>
  <si>
    <t>29,0125</t>
  </si>
  <si>
    <t>0,0584375</t>
  </si>
  <si>
    <t>0,0068</t>
  </si>
  <si>
    <t>Объем=3,4*0,001*2</t>
  </si>
  <si>
    <t>2,65795</t>
  </si>
  <si>
    <t>0,80002</t>
  </si>
  <si>
    <t>ФССЦ-23.8.04.06-0312</t>
  </si>
  <si>
    <t>Отводы крутоизогнутые из стали марки 20, наружный диаметр 89 мм, толщина стенки 3,5-4,0 мм, угол 90°, 60°, 45°</t>
  </si>
  <si>
    <t>Укладка в траншею изолированных стальных газопроводов диаметром: 80 мм</t>
  </si>
  <si>
    <t>Объем=36,5 / 100</t>
  </si>
  <si>
    <t>36,865</t>
  </si>
  <si>
    <t>9,782</t>
  </si>
  <si>
    <t>2,8515625</t>
  </si>
  <si>
    <t>ФССЦ-23.5.02.02-0051</t>
  </si>
  <si>
    <t>Трубы стальные электросварные прямошовные со снятой фаской из стали марок БСт2кп-БСт4кп и БСт2пс-БСт4пс, наружный диаметр 89 мм, толщина стенки 4,5 мм</t>
  </si>
  <si>
    <t>ФЕР09-03-039-01</t>
  </si>
  <si>
    <t>Монтаж опорных конструкций: для крепления трубопроводов внутри зданий и сооружений массой до 0,1 т</t>
  </si>
  <si>
    <t>0,026</t>
  </si>
  <si>
    <t>Объем=4,93*5*1,01*1,03*0,001</t>
  </si>
  <si>
    <t>73,6</t>
  </si>
  <si>
    <t>2,392</t>
  </si>
  <si>
    <t>0,008775</t>
  </si>
  <si>
    <t>Гидроизоляция и герметизация газопровода</t>
  </si>
  <si>
    <t>ФЕР24-02-020-02</t>
  </si>
  <si>
    <t>Изоляция термоусаживающимися лентами сварных стыков стальных газопроводов диаметром: 80 мм / монтаж сегментов</t>
  </si>
  <si>
    <t>01.7.06.10-0011</t>
  </si>
  <si>
    <t>Лента полиэтиленовая термоусаживающаяся, ширина 440 мм</t>
  </si>
  <si>
    <t>-1,9</t>
  </si>
  <si>
    <t>ФССЦ-01.7.06.03-0003</t>
  </si>
  <si>
    <t>Лента поливинилхлоридная липкая, толщина 0,4 мм, ширина 30 мм / " Полилен" L=1500мм</t>
  </si>
  <si>
    <t>Объем=1,5*2*0,03</t>
  </si>
  <si>
    <t>Объем=9*0,001</t>
  </si>
  <si>
    <t>0,00063</t>
  </si>
  <si>
    <t>0,1755</t>
  </si>
  <si>
    <t>0,482625</t>
  </si>
  <si>
    <t>0,0891</t>
  </si>
  <si>
    <t>0,05475</t>
  </si>
  <si>
    <t>0,0365</t>
  </si>
  <si>
    <t>Устройство ковера над газопроводом</t>
  </si>
  <si>
    <t>ФЕР24-02-010-01</t>
  </si>
  <si>
    <t>Установка неразъемного соединения "полиэтилен-сталь" на газопроводе, диаметр газопровода: до 32 мм</t>
  </si>
  <si>
    <t>23.8.03.07</t>
  </si>
  <si>
    <t>Соединительный элемент «сталь-полиэтилен»</t>
  </si>
  <si>
    <t>24.3.05.07</t>
  </si>
  <si>
    <t>Муфты полиэтиленовые с закладными электронагревателями</t>
  </si>
  <si>
    <t>0,4875</t>
  </si>
  <si>
    <t>ФССЦ-23.8.04.08-0011</t>
  </si>
  <si>
    <t>Соединение неразъемное полиэтилен-сталь стандартное размерное отношение SDR11, наружный диаметр 32х32 мм</t>
  </si>
  <si>
    <t>ФССЦ-24.3.05.07-0512</t>
  </si>
  <si>
    <t>Муфта полиэтиленовая электросварная, диаметр 32 мм</t>
  </si>
  <si>
    <t>ФЕР24-02-007-02</t>
  </si>
  <si>
    <t>Установка седловых отводов полиэтиленовых с закладными нагревателями на газопроводе из полиэтиленовых труб диаметром: свыше 63 до 110 мм</t>
  </si>
  <si>
    <t>соединение</t>
  </si>
  <si>
    <t>24.3.05.13</t>
  </si>
  <si>
    <t>Седелка крановая полиэтиленовая с закладными электронагревателями</t>
  </si>
  <si>
    <t>1,4</t>
  </si>
  <si>
    <t>ФССЦ-24.3.05.13-0081</t>
  </si>
  <si>
    <t>Отвод седловидный электросварной поворотный 360°, ПЭ100, SDR11 с ответной нижней частью для газо-и водоснабжения, диаметр 160х32 мм</t>
  </si>
  <si>
    <t>ФЕР24-02-081-01</t>
  </si>
  <si>
    <t>Устройство контрольной трубки на кожухе перехода газопровода</t>
  </si>
  <si>
    <t>установка</t>
  </si>
  <si>
    <t>Плиты сборные железобетонные под ковер</t>
  </si>
  <si>
    <t>18.5.08.04</t>
  </si>
  <si>
    <t>Ковер</t>
  </si>
  <si>
    <t>18.5.08.13</t>
  </si>
  <si>
    <t>Трубка контрольная</t>
  </si>
  <si>
    <t>1,925</t>
  </si>
  <si>
    <t>ФССЦ-07.2.07.12-0006</t>
  </si>
  <si>
    <t>Элементы конструктивные вспомогательного назначения, с преобладанием профильного проката, собираемые из двух и более деталей, с отверстиями и без отверстий, соединяемые на сварке / ковер из трубы  219х5,0мм с лючком лист 5х220х220мм  и опорами из круга 10</t>
  </si>
  <si>
    <t>0,071</t>
  </si>
  <si>
    <t>Объем=0,3*26,388*0,001+1*0,0628+0,000616*0,075*4</t>
  </si>
  <si>
    <t>ФССЦ-23.3.05.02-0052</t>
  </si>
  <si>
    <t>Трубы стальные бесшовные, холоднодеформированные из стали марок 10, 20, 30, 45 (ГОСТ 8734-75, 8733-74), наружным диаметром: 32 мм, толщина стенки 3,0 мм / контрольная трубка</t>
  </si>
  <si>
    <t>ФЕР06-15-003-19</t>
  </si>
  <si>
    <t>Приготовление тяжелых кладочных растворов: цементных марки 150</t>
  </si>
  <si>
    <t>0,00102</t>
  </si>
  <si>
    <t>0,11832</t>
  </si>
  <si>
    <t>201</t>
  </si>
  <si>
    <t>0,20502</t>
  </si>
  <si>
    <t>45,59</t>
  </si>
  <si>
    <t>0,0465018</t>
  </si>
  <si>
    <t>Приказ Минстроя России № 812/пр от 21.12.2020 Прил. п.108</t>
  </si>
  <si>
    <t>НР Изготовление в построечных условиях материалов, полуфабрикатов, металлических и трубопроводных заготовок</t>
  </si>
  <si>
    <t>Приказ Минстроя России № 774/пр от 11.12.2020 Прил. п.108</t>
  </si>
  <si>
    <t>СП Изготовление в построечных условиях материалов, полуфабрикатов, металлических и трубопроводных заготовок</t>
  </si>
  <si>
    <t>Устройство бетонной подготовки / бетонной опоры для ковера</t>
  </si>
  <si>
    <t>0,00001</t>
  </si>
  <si>
    <t>Объем=0,001 / 100</t>
  </si>
  <si>
    <t>0,0016875</t>
  </si>
  <si>
    <t>0,0002265</t>
  </si>
  <si>
    <t>ФССЦ-04.1.02.05-0005</t>
  </si>
  <si>
    <t>Смеси бетонные тяжелого бетона (БСТ), класс В12,5 (М150)</t>
  </si>
  <si>
    <t>Объем=33,8*0,001</t>
  </si>
  <si>
    <t>34,1042</t>
  </si>
  <si>
    <t>14,3819</t>
  </si>
  <si>
    <t>2,665975</t>
  </si>
  <si>
    <t>Объем=37,5 / 100</t>
  </si>
  <si>
    <t>37,875</t>
  </si>
  <si>
    <t>10,05</t>
  </si>
  <si>
    <t>2,9296875</t>
  </si>
  <si>
    <t>35,3425</t>
  </si>
  <si>
    <t>0,0711875</t>
  </si>
  <si>
    <t>Объем=42,5 / 100</t>
  </si>
  <si>
    <t>11,39</t>
  </si>
  <si>
    <t>3,3203125</t>
  </si>
  <si>
    <t>0,031</t>
  </si>
  <si>
    <t>Объем=4,93*6*1,01*1,03*0,001</t>
  </si>
  <si>
    <t>2,852</t>
  </si>
  <si>
    <t>0,0104625</t>
  </si>
  <si>
    <t>0,0006</t>
  </si>
  <si>
    <t>0,06375</t>
  </si>
  <si>
    <t>ФССЦ-24.3.05.13-0083</t>
  </si>
  <si>
    <t>Отвод седловидный электросварной поворотный 360°, ПЭ100, SDR11 с ответной нижней частью для газо-и водоснабжения, диаметр 225х32 мм</t>
  </si>
  <si>
    <t xml:space="preserve">               в том числе:</t>
  </si>
  <si>
    <t xml:space="preserve">                         в том числе оплата труда машинистов (ОТм)</t>
  </si>
  <si>
    <t xml:space="preserve">          Отдельные виды работ и затрат, относимые на стоимость строительных работ</t>
  </si>
  <si>
    <t>376,872</t>
  </si>
  <si>
    <t>Объем=(114,29+136,84+0,11832)*1,5</t>
  </si>
  <si>
    <t>Перевозка грузов автомобилями бортовыми грузоподъемностью до 5 т на расстояние L=130 км от г. Нальчик до площадки строительства, за исключением 30 км, учтенных в СНБ (итого: 100 км): I класс груза  (футляры, трубы, опоры)</t>
  </si>
  <si>
    <t>1,019</t>
  </si>
  <si>
    <t>Объем=0,034*2+36,865*0,0094+42,925*0,0094+0,026+0,03+0,00063*2*2+0,071*2</t>
  </si>
  <si>
    <t>8,32</t>
  </si>
  <si>
    <t>4,66</t>
  </si>
  <si>
    <t>Индекс на 01.01.2000 г. к ценам на 01.01.1991 г. по письму Госстроя России №АШ-3412/10-ЛС/08 от 07.10.1999г. = 8,98
Индекс на 1 квартал 2001 г. г. к ценам на 01.01.1991 г. по письму Госстроя России №АШ-9/10 от 04.01.2001г. = 11,37                                                                                                                                           11,37/8,98=1,266'</t>
  </si>
  <si>
    <t>Итого в базовых ценах 2000г.</t>
  </si>
  <si>
    <t>Общие указания
п. 13, k = 0,06</t>
  </si>
  <si>
    <t>Организация и ликвидация работ</t>
  </si>
  <si>
    <t>Табл. 5, §2
19,6%</t>
  </si>
  <si>
    <t>Внешний транспорт.
Расстояние проезда и перевозки в одном направлении 100 - 300 км.
Продолжительность полевых работ, а также выполняемых в экспедиционных условиях камеральных работ, до 1 мес.</t>
  </si>
  <si>
    <t xml:space="preserve">Табл. 4, §3
</t>
  </si>
  <si>
    <t>Внутренний транспорт.
Расстояние от базы до участка изысканий от 10 до 15 км</t>
  </si>
  <si>
    <t>СБЦИИС, 2006 г.
Табл. 68, §1</t>
  </si>
  <si>
    <t xml:space="preserve">1 отчет </t>
  </si>
  <si>
    <t xml:space="preserve">Составление технического отчета (пояснительной записки) по геодезическим работам. .Коэффициент  -примечание </t>
  </si>
  <si>
    <t>СБЦИИС, 2006 г.
Табл. 67, §1</t>
  </si>
  <si>
    <t xml:space="preserve">Составление программы (предписания) по геодезическим работам .Коэффициент  -примечание </t>
  </si>
  <si>
    <t>Итого камеральных работ</t>
  </si>
  <si>
    <t xml:space="preserve">Итого полевых работ без учета выплат полевого довольствия или командировочных расходов </t>
  </si>
  <si>
    <t xml:space="preserve">СБЦИИС, 2006 г.
Табл. 61, §3   табл. 1 § 3, к=1,2                         
            </t>
  </si>
  <si>
    <t>1 км</t>
  </si>
  <si>
    <r>
      <t xml:space="preserve">  Техническое Нивелирование. Категория сложности III
Коэффициент  -проведение работ в горной местности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b/>
        <sz val="8"/>
        <color rgb="FF000000"/>
        <rFont val="Times New Roman"/>
        <family val="1"/>
        <charset val="204"/>
      </rPr>
      <t xml:space="preserve">                         </t>
    </r>
  </si>
  <si>
    <t xml:space="preserve">СБЦИИС, 2006 г.
Табл. 61, §1,  табл. 1 § 3, к=1,2 </t>
  </si>
  <si>
    <t xml:space="preserve">Проложение теодолитного хода  Категория сложности III     - Коэффициент - проведение работ в горной местности       </t>
  </si>
  <si>
    <t>СБЦИИС, 2006 г.
Табл. 10, § 5                    табл. 1 § 3, к=1,2</t>
  </si>
  <si>
    <t>1 пункт</t>
  </si>
  <si>
    <t>Пункт разбивочной сети.  Категория грунтов II         - проведение работ в горной местности</t>
  </si>
  <si>
    <t xml:space="preserve">камеральная </t>
  </si>
  <si>
    <t xml:space="preserve">полевые </t>
  </si>
  <si>
    <t xml:space="preserve">СБЦИИС, 2006 г.
Табл. 14, §10  табл. 1 § 3 к=1,2       
      </t>
  </si>
  <si>
    <t>1 контур</t>
  </si>
  <si>
    <r>
      <t xml:space="preserve">Вынос в натуру контура здания (котлована гаража ратраков). Категория сложности III    Коэффициенты:                                                                                </t>
    </r>
    <r>
      <rPr>
        <b/>
        <sz val="8"/>
        <color rgb="FF000000"/>
        <rFont val="Times New Roman"/>
        <family val="1"/>
        <charset val="204"/>
      </rPr>
      <t xml:space="preserve">полевые   </t>
    </r>
    <r>
      <rPr>
        <sz val="8"/>
        <color rgb="FF000000"/>
        <rFont val="Times New Roman"/>
        <family val="1"/>
        <charset val="204"/>
      </rPr>
      <t xml:space="preserve">                                                                                                                             - проведение работ в горной местности                                                       
</t>
    </r>
    <r>
      <rPr>
        <b/>
        <sz val="8"/>
        <color rgb="FF000000"/>
        <rFont val="Times New Roman"/>
        <family val="1"/>
        <charset val="204"/>
      </rPr>
      <t xml:space="preserve">   </t>
    </r>
    <r>
      <rPr>
        <sz val="8"/>
        <color rgb="FF000000"/>
        <rFont val="Times New Roman"/>
        <family val="1"/>
        <charset val="204"/>
      </rPr>
      <t xml:space="preserve">                                                                                              </t>
    </r>
  </si>
  <si>
    <t xml:space="preserve">камеральные </t>
  </si>
  <si>
    <t xml:space="preserve">СБЦИИС, 2006 г.
Табл. 14,                        Табл. 1,§3  к=1,2
</t>
  </si>
  <si>
    <t>20 точек на '1 км</t>
  </si>
  <si>
    <r>
      <t xml:space="preserve">Вынос в натуру красных линий застройки   Категория сложности III
Коэффициенты:                                                                                       </t>
    </r>
    <r>
      <rPr>
        <b/>
        <sz val="8"/>
        <color rgb="FF000000"/>
        <rFont val="Times New Roman"/>
        <family val="1"/>
        <charset val="204"/>
      </rPr>
      <t>полевые</t>
    </r>
    <r>
      <rPr>
        <sz val="8"/>
        <color rgb="FF000000"/>
        <rFont val="Times New Roman"/>
        <family val="1"/>
        <charset val="204"/>
      </rPr>
      <t xml:space="preserve">                                                                                                               - проведение работ в горной местности св "2000" до 3000                                                                                                                                                                                     
</t>
    </r>
  </si>
  <si>
    <t>Сметный расчет составлен по Справочнику базовых цен на инженерные изыскания для строительства "Инженерно-геодезические изыскания при строительстве и эксплуатации зданий и сооружений", 2006 г. (СБЦИИС-2006)</t>
  </si>
  <si>
    <t xml:space="preserve">Основание: Д-ДРП-20-016-ПОС, л.67 </t>
  </si>
  <si>
    <t>Смета № 01-04-01
Затраты на геодезическую разбивочную основу</t>
  </si>
  <si>
    <t>Д-ДРП-20-016-ООС1, л.73-83</t>
  </si>
  <si>
    <t>КП ФГБУ "ЦЛАТИ по ЮФО", Д-ДРП-20-016-СМ4, с.192, Д-ДРП-20-016-ООС2 книга  2, Приложение Т, с. 503</t>
  </si>
  <si>
    <t>Д-ДРП-20-016-ООС1, л.73-83, КП ФГБУ "ЦЛАТИ по ЮФО"</t>
  </si>
  <si>
    <t>11546,5/12,14-=951,11 руб.</t>
  </si>
  <si>
    <t>КП "Hotel Pamir", Д-ДРП-20-016-СМ4, с.297</t>
  </si>
  <si>
    <t>Д-ДРП-20-016-ООС1, л.43-45</t>
  </si>
  <si>
    <t>КП КП ООО "Экологистика", Д-ДРП-20-016-ООС2, книга 2, Приложение Щ</t>
  </si>
  <si>
    <t>3502,84*(411,24-8,784-172,16-51,066)/12,14=51 714,5 руб.</t>
  </si>
  <si>
    <t>Приказ №278 от 28.12.2021 г. о стоимости присоединения к сетям ПАО «Россети»</t>
  </si>
  <si>
    <t>Затраты на осуществление технологического присоединения к электрическим сетям на 104 кВт</t>
  </si>
  <si>
    <t>Договор с ООО "ПЭС" (исх.№31 от 12.02.2021 г.), Д-ДРП-20-016-ИРД, с.117-123</t>
  </si>
  <si>
    <t>29943,26//1,2/12,14=2 055,41 руб.</t>
  </si>
  <si>
    <t>РАСЧЕТ № 09-08-01</t>
  </si>
  <si>
    <t>Затраты на осуществление технологического присоединения к электрическим сетям на 17,09 МВт</t>
  </si>
  <si>
    <t>Приказ №278 от 28.12.2021 г. о стоимости присоединения к сетям ПАО «Россети», Д-ДРП-20-016-ИРД, с.178-180</t>
  </si>
  <si>
    <t>500 831 565,12/12,14=41 254 659,40 р.</t>
  </si>
  <si>
    <t>ОСР 04-02(2000г)</t>
  </si>
  <si>
    <t>ОСР 04-02(2021г)</t>
  </si>
  <si>
    <t>ЛСР 04-02-01</t>
  </si>
  <si>
    <t>ЛСР 04-02-02</t>
  </si>
  <si>
    <t>Электроснабжение. РП-10кВ Этап 2</t>
  </si>
  <si>
    <t>РП-10кВ. 2 этап</t>
  </si>
  <si>
    <t>ЛСР 09-08-01</t>
  </si>
  <si>
    <t>0,975</t>
  </si>
  <si>
    <t>25,2</t>
  </si>
  <si>
    <t>Монтаж машин и механизмов на открытой площадке, масса машин и механизмов: 0,1 т</t>
  </si>
  <si>
    <t>ФЕРм37-01-013-03</t>
  </si>
  <si>
    <t>(19,35)</t>
  </si>
  <si>
    <t>(6,72)</t>
  </si>
  <si>
    <t>(2369,13)</t>
  </si>
  <si>
    <t>11.2.07.12</t>
  </si>
  <si>
    <t>Изделия штучные</t>
  </si>
  <si>
    <t>11.2.14.03</t>
  </si>
  <si>
    <t>Полки шкафов</t>
  </si>
  <si>
    <t>(8473,91)</t>
  </si>
  <si>
    <t>(50,59)</t>
  </si>
  <si>
    <t>36,46</t>
  </si>
  <si>
    <t>Объем=3646 / 100</t>
  </si>
  <si>
    <t>656,28</t>
  </si>
  <si>
    <t>674,96575</t>
  </si>
  <si>
    <t>4010,6</t>
  </si>
  <si>
    <t>Объем=3646*1,1</t>
  </si>
  <si>
    <t>24,305</t>
  </si>
  <si>
    <t>Объем=24305 / 1000</t>
  </si>
  <si>
    <t>902,6269375</t>
  </si>
  <si>
    <t>637,0948125</t>
  </si>
  <si>
    <t>209,630625</t>
  </si>
  <si>
    <t>8021,2</t>
  </si>
  <si>
    <t>Объем=7292*1,1</t>
  </si>
  <si>
    <t>1002,58125</t>
  </si>
  <si>
    <t>1135,3473125</t>
  </si>
  <si>
    <t>228,7708125</t>
  </si>
  <si>
    <t>633,752875</t>
  </si>
  <si>
    <t>572,6865625</t>
  </si>
  <si>
    <t>63,800625</t>
  </si>
  <si>
    <t>85,675125</t>
  </si>
  <si>
    <t>42,53375</t>
  </si>
  <si>
    <t>57,11675</t>
  </si>
  <si>
    <t>7032,41</t>
  </si>
  <si>
    <t>Объем=6416,96+615,45</t>
  </si>
  <si>
    <t>(485,3)</t>
  </si>
  <si>
    <t>(108)</t>
  </si>
  <si>
    <t>(377,3)</t>
  </si>
  <si>
    <t>ЛСР 12-06-01</t>
  </si>
  <si>
    <t>ЛСР12-07-01</t>
  </si>
  <si>
    <t>Затраты на осуществление технологического присоединения к электрическим сетям 1 этап</t>
  </si>
  <si>
    <t>Устройство подпорной стенк. Система дренажей.</t>
  </si>
  <si>
    <t>Затраты на осуществление технологического присоединения к электрическим сетям. Этап 1</t>
  </si>
  <si>
    <t>Затраты на осуществление технологического присоединения к электрическим сетям. Этап 2.</t>
  </si>
  <si>
    <t>Изменения в федеральные единичные расценки и отдельные составляющие к ним, включенные в федеральный реестр сметных нормативов приказом Минстроя России от 26 декабря 2019 г. № 876/пр (в ред. приказов от 30.03.2020 № 172/пр, от 01.06.2020 294/пр, от 30.06.2020 № 352/пр, от 20.10.2020 № 636/пр, от 09.02.2021 № 51/пр)</t>
  </si>
  <si>
    <t>Инженерная защита территории. Противооползневые конструкции.</t>
  </si>
  <si>
    <t>(5286,69)</t>
  </si>
  <si>
    <t>(176,05)</t>
  </si>
  <si>
    <t>Разработка грунта в траншеях экскаватором «обратная лопата» с ковшом вместимостью 0,65 (0,5-1) м3, группа грунтов: 5  (обратная засыпка)</t>
  </si>
  <si>
    <t>3,95</t>
  </si>
  <si>
    <t>Объем=3950 / 1000</t>
  </si>
  <si>
    <t>209,84375</t>
  </si>
  <si>
    <t>Перевозка грузов автомобилями-самосвалами грузоподъемностью 10 т работающих вне карьера на расстояние: I класс груза до 1 км / местный грунт из накопителя</t>
  </si>
  <si>
    <t>9085</t>
  </si>
  <si>
    <t>Объем=3950*2,3</t>
  </si>
  <si>
    <t>Объем=1050 / 100</t>
  </si>
  <si>
    <t>196,35</t>
  </si>
  <si>
    <t>41,08125</t>
  </si>
  <si>
    <t>ФЕР01-02-003-02</t>
  </si>
  <si>
    <t>Уплотнение грунта вибрационными катками 2,2 т на первый проход по одному следу при толщине слоя: 30 см</t>
  </si>
  <si>
    <t>5,2</t>
  </si>
  <si>
    <t>Объем=(1250+3950) / 1000</t>
  </si>
  <si>
    <t>79,95</t>
  </si>
  <si>
    <t>ФЕР01-02-003-08</t>
  </si>
  <si>
    <t>На каждый последующий проход по одному следу добавлять: к расценке 01-02-003-02</t>
  </si>
  <si>
    <t>К=6 ПЗ=6 (ОЗП=6; ЭМ=6 к расх.; ЗПМ=6; МАТ=6 к расх.; ТЗ=6; ТЗМ=6)</t>
  </si>
  <si>
    <t>70,2</t>
  </si>
  <si>
    <t>Разработка грунта в траншеях экскаватором «обратная лопата» с ковшом вместимостью 0,65 (0,5-1) м3, группа грунтов: 4 (обратная засыпка щебнем)</t>
  </si>
  <si>
    <t>Объем=(75+2300) / 1000</t>
  </si>
  <si>
    <t>97,96875</t>
  </si>
  <si>
    <t>ФССЦ-02.2.05.04-1773</t>
  </si>
  <si>
    <t>Щебень М 600, фракция 20-40 мм, группа 3</t>
  </si>
  <si>
    <t>94,5</t>
  </si>
  <si>
    <t>Объем=75*1,26</t>
  </si>
  <si>
    <t>ФССЦ-02.2.05.04-1813</t>
  </si>
  <si>
    <t>Щебень М 600, фракция 40-80(70) мм, группа 3</t>
  </si>
  <si>
    <t>2898</t>
  </si>
  <si>
    <t>Объем=2300*1,26</t>
  </si>
  <si>
    <t>ФЕР01-01-013-11</t>
  </si>
  <si>
    <t>Разработка грунта с погрузкой на автомобили-самосвалы экскаваторами с ковшом вместимостью: 0,65 (0,5-1) м3, группа грунтов 5 (с учетом грунта от ручной разработки)</t>
  </si>
  <si>
    <t>12,6968</t>
  </si>
  <si>
    <t>Объем=(12680+16,8) / 1000</t>
  </si>
  <si>
    <t>21,5</t>
  </si>
  <si>
    <t>341,2265</t>
  </si>
  <si>
    <t>62,4</t>
  </si>
  <si>
    <t>990,3504</t>
  </si>
  <si>
    <t>Перевозка грузов автомобилями-самосвалами грузоподъемностью 10 т работающих вне карьера на расстояние: I класс груза до 1 км / в насыпь</t>
  </si>
  <si>
    <t>29202,64</t>
  </si>
  <si>
    <t>Объем=(12680+16,8)*2,3</t>
  </si>
  <si>
    <t xml:space="preserve">          Дополнительная перевозка</t>
  </si>
  <si>
    <t>Раздел 2. Устройство подпорной стены</t>
  </si>
  <si>
    <t>ФЕР01-01-036-03</t>
  </si>
  <si>
    <t>Планировка площадей бульдозерами мощностью: 132 кВт (180 л.с.)</t>
  </si>
  <si>
    <t>0,57</t>
  </si>
  <si>
    <t>Объем=570 / 1000</t>
  </si>
  <si>
    <t>0,121125</t>
  </si>
  <si>
    <t>ФЕР27-04-016-04</t>
  </si>
  <si>
    <t>Устройство прослойки из нетканого синтетического материала (НСМ) в земляном полотне: сплошной</t>
  </si>
  <si>
    <t>Объем=2780 / 1000</t>
  </si>
  <si>
    <t>27,7</t>
  </si>
  <si>
    <t>96,2575</t>
  </si>
  <si>
    <t>13,344</t>
  </si>
  <si>
    <t>2919</t>
  </si>
  <si>
    <t>Объем=2780*1,05</t>
  </si>
  <si>
    <t>215</t>
  </si>
  <si>
    <t>247,25</t>
  </si>
  <si>
    <t>228,4375</t>
  </si>
  <si>
    <t>18,8125</t>
  </si>
  <si>
    <t>ФССЦ-02.2.05.04-1777</t>
  </si>
  <si>
    <t>Щебень М 800, фракция 20-40 мм, группа 2</t>
  </si>
  <si>
    <t>40,8</t>
  </si>
  <si>
    <t>67,5</t>
  </si>
  <si>
    <t>9,06</t>
  </si>
  <si>
    <t>ФЕР06-04-001-04</t>
  </si>
  <si>
    <t>Устройство стен подвалов и подпорных стен железобетонных высотой: до 3 м, толщиной до 500 мм</t>
  </si>
  <si>
    <t>Объем=2300 / 100</t>
  </si>
  <si>
    <t>2334,5</t>
  </si>
  <si>
    <t>188,6</t>
  </si>
  <si>
    <t>592</t>
  </si>
  <si>
    <t>17020</t>
  </si>
  <si>
    <t>35,72</t>
  </si>
  <si>
    <t>1026,95</t>
  </si>
  <si>
    <t>ФССЦ-04.1.02.02-0011</t>
  </si>
  <si>
    <t>Смеси бетонные тяжелого бетона (БСТ) для гидротехнических сооружений на сульфатостойких цементах, класс В30 (М400)</t>
  </si>
  <si>
    <t>Надбавка на водопрониаемость: Смеси бетонные, БСГ, тяжелого бетона  класс: B30 (М400), F200, W8 (939,24*3%)</t>
  </si>
  <si>
    <t>2300</t>
  </si>
  <si>
    <t>Цена=939,24*0,03</t>
  </si>
  <si>
    <t>ФССЦ-08.4.03.03-0032</t>
  </si>
  <si>
    <t>Сталь арматурная, горячекатаная, периодического профиля, класс А-III, диаметр 12 мм</t>
  </si>
  <si>
    <t>7,326</t>
  </si>
  <si>
    <t>ФССЦ-08.4.03.03-0034</t>
  </si>
  <si>
    <t>Сталь арматурная, горячекатаная, периодического профиля, класс А-III, диаметр 16-18 мм</t>
  </si>
  <si>
    <t>8,69</t>
  </si>
  <si>
    <t>ФЕР06-03-004-09</t>
  </si>
  <si>
    <t>Установка закладных деталей весом: до 4 кг</t>
  </si>
  <si>
    <t>0,5421</t>
  </si>
  <si>
    <t>Объем=77*7,04/1000</t>
  </si>
  <si>
    <t>198</t>
  </si>
  <si>
    <t>134,16975</t>
  </si>
  <si>
    <t>0,2236163</t>
  </si>
  <si>
    <t>ФССЦ-24.3.03.11-0062</t>
  </si>
  <si>
    <t>Трубы напорные полиэтиленовые газопроводные ПЭ100, стандартное размерное отношение SDR17,6, номинальный наружный диаметр 200 мм, толщина стенки 11,4 мм</t>
  </si>
  <si>
    <t>Устройство деформационного шва</t>
  </si>
  <si>
    <t>ФЕР46-08-022-03</t>
  </si>
  <si>
    <t>Гидроизоляция полиуретановым герметиком с уплотнением пенополиэтиленовым прокладочным шнуром: горизонтальных швов</t>
  </si>
  <si>
    <t>2,75</t>
  </si>
  <si>
    <t>Объем=275 / 100</t>
  </si>
  <si>
    <t>01.7.07.26</t>
  </si>
  <si>
    <t>Шнур пенополиэтиленовый теплоизоляционный прокладочный</t>
  </si>
  <si>
    <t>279,95</t>
  </si>
  <si>
    <t>01.7.17.12</t>
  </si>
  <si>
    <t>Щетка дисковая для УШМ из стальной проволоки</t>
  </si>
  <si>
    <t>14.5.01.06</t>
  </si>
  <si>
    <t>Герметик полиуретановый</t>
  </si>
  <si>
    <t>9,34</t>
  </si>
  <si>
    <t>25,685</t>
  </si>
  <si>
    <t>ФССЦ-14.5.01.03-0007</t>
  </si>
  <si>
    <t>Герметик полисульфидный, тиоколовый, двухкомпонентный, для герметизации швов строительных конструкций с деформацией до 25%, стыков, щелей и трещин фасадов зданий, металлических примыканий кровли</t>
  </si>
  <si>
    <t>ФССЦ-01.7.07.26-0021</t>
  </si>
  <si>
    <t>Шнур пенополиэтиленовый теплоизоляционный прокладочный "Вилатерм",: сечение круглое с отверстием, диаметр 30 мм</t>
  </si>
  <si>
    <t>2,7995</t>
  </si>
  <si>
    <t>Объем=(279,95) / 100</t>
  </si>
  <si>
    <t>ФЕР06-17-004-01</t>
  </si>
  <si>
    <t>Установка плит теплоизоляционного слоя</t>
  </si>
  <si>
    <t>2,33</t>
  </si>
  <si>
    <t>Объем=(0,7/0,03) / 10</t>
  </si>
  <si>
    <t>12.2.05.11</t>
  </si>
  <si>
    <t>Плиты теплоизоляционные</t>
  </si>
  <si>
    <t>17,708</t>
  </si>
  <si>
    <t>0,1398</t>
  </si>
  <si>
    <t>Приказ Минстроя России № 812/пр от 21.12.2020 Прил. п.6.1</t>
  </si>
  <si>
    <t>НР Бетонные и железобетонные монолитные конструкции и работы в строительстве с применением индустриальных видов опалубки</t>
  </si>
  <si>
    <t>Приказ Минстроя России № 774/пр от 11.12.2020 Прил. п.6.1</t>
  </si>
  <si>
    <t>СП Бетонные и железобетонные монолитные конструкции и работы в строительстве с применением индустриальных видов опалубки</t>
  </si>
  <si>
    <t>ФССЦ-12.2.05.09-0004</t>
  </si>
  <si>
    <t>Пенополистирол экструдированный ТЕХНОНИКОЛЬ XPS 30-200 Стандарт</t>
  </si>
  <si>
    <t>Итоги по разделу 2 Устройство подпорной стены :</t>
  </si>
  <si>
    <t xml:space="preserve">  Итого по разделу 2 Устройство подпорной стены</t>
  </si>
  <si>
    <t>Перевозка грузов автомобилями бортовыми грузоподъемностью до 5 т на расстояние L=170 км от г. Пятигоск до площадки строительства, за исключением 30 км, учтенных в СНБ (итого: 140 км), II  класс груза (геотекстиль)</t>
  </si>
  <si>
    <t>3,087</t>
  </si>
  <si>
    <t>Объем=1,665+1,422</t>
  </si>
  <si>
    <t>5,334</t>
  </si>
  <si>
    <t>Объем=0,131+4,309+0,372+0,522</t>
  </si>
  <si>
    <t>Перевозка грузов автомобилями бортовыми грузоподъемностью до 5 т на расстояние: IV класс груза до 100 км (Пенополистирол)</t>
  </si>
  <si>
    <t>Раздел 5. Устройство нагельного поля АП-3 (VP-3)</t>
  </si>
  <si>
    <t>ФЕР05-03-007-04</t>
  </si>
  <si>
    <t>Устройство крепления стен котлована грунтовыми стержневыми инъекционными анкерами (АИ) с расчетной несущей способностью анкера по тяге до 42 тс при бурении скважин в грунтах группы: 4</t>
  </si>
  <si>
    <t>м анкера</t>
  </si>
  <si>
    <t>348</t>
  </si>
  <si>
    <t>Объем=6*58</t>
  </si>
  <si>
    <t>01.4.02.04</t>
  </si>
  <si>
    <t>Штанги для бурения</t>
  </si>
  <si>
    <t>08.4.02.03</t>
  </si>
  <si>
    <t>Каркасы арматурные</t>
  </si>
  <si>
    <t>0,01129</t>
  </si>
  <si>
    <t>3,92892</t>
  </si>
  <si>
    <t>23.3.01.03</t>
  </si>
  <si>
    <t>Трубы стальные бесшовные обсадные, с короткой и нормальной длиной резьбы, с навернутыми муфтами, предохранительными ниппелями и кольцами из стали групп прочности С и Д</t>
  </si>
  <si>
    <t>6,96</t>
  </si>
  <si>
    <t>2,35</t>
  </si>
  <si>
    <t>817,8</t>
  </si>
  <si>
    <t>504,6</t>
  </si>
  <si>
    <t>Приказ Минстроя России № 812/пр от 21.12.2020 Прил. п.5.3</t>
  </si>
  <si>
    <t>НР Закрепление грунтов</t>
  </si>
  <si>
    <t>Приказ Минстроя России № 774/пр от 11.12.2020 Прил. п.5.3</t>
  </si>
  <si>
    <t>СП Закрепление грунтов</t>
  </si>
  <si>
    <t>Штанга трубчатая винтовая 40/16, РО,2=558 кН, левая резьба, необработанная, Зм (ШСО 040-016)</t>
  </si>
  <si>
    <t>174</t>
  </si>
  <si>
    <t>(Закрепление грунтов)</t>
  </si>
  <si>
    <t>Цена=7171,29/1,2</t>
  </si>
  <si>
    <t>Приказ от 04.08.2020 № 421/пр п.92а</t>
  </si>
  <si>
    <t>Заготовительно-складские расходы для материальных ресурсов (за исключением металлических конструкций) - 2% ПЗ=2% (ОЗП=2%; ЭМ=2%; МАТ=2%)</t>
  </si>
  <si>
    <t>Штанга трубчатая винтовая 40/16, РО,2=558 кН, левая резьба, оцинкованная, Зм (ШЦО 040-016)</t>
  </si>
  <si>
    <t>Цена=8372,94/1,2</t>
  </si>
  <si>
    <t>Гайка оцинкованная сферическая 040-65-50мм (ГЦСф 040-065-050)</t>
  </si>
  <si>
    <t>Цена=1124,39/1,2</t>
  </si>
  <si>
    <t>Пластина оцинкованная когтевая 200х200х12, отверстие 056мм (ПЦКогт 040-056-12)</t>
  </si>
  <si>
    <t>Цена=1358,85/1,2</t>
  </si>
  <si>
    <t>Муфта стальная обычная 57х 140мм для ТВШ 40 (МСО 040-057)</t>
  </si>
  <si>
    <t>Цена=1786,49/1,2</t>
  </si>
  <si>
    <t>Центратор стальной обычный 0 88мм (ЦСО 040-088)</t>
  </si>
  <si>
    <t>Цена=528,89/1,2</t>
  </si>
  <si>
    <t>Коронка твёрдосплавная бородавчатая 0 90мм (КТБ 040-090)</t>
  </si>
  <si>
    <t>Цена=6744,98/1,2</t>
  </si>
  <si>
    <t>Шайба оцинкованная сферическая для компенсации угла наклона 0-36° (ШЦСф 040-045)</t>
  </si>
  <si>
    <t>Цена=2032,95/1,2</t>
  </si>
  <si>
    <t>ФЕР01-02-061-01</t>
  </si>
  <si>
    <t>Засыпка вручную траншей, пазух котлованов и ям, группа грунтов: 1</t>
  </si>
  <si>
    <t>88,5</t>
  </si>
  <si>
    <t>1,10625</t>
  </si>
  <si>
    <t>ФССЦ-04.3.02.13-0108</t>
  </si>
  <si>
    <t>Смеси сухие монтажно-кладочные цементно-песчаные, B7,5 (М100), F50, крупность заполнителя не более 3,5 мм</t>
  </si>
  <si>
    <t>Объем=1*1,5</t>
  </si>
  <si>
    <t>Итоги по разделу 5 Устройство нагельного поля АП-3 (VP-3) :</t>
  </si>
  <si>
    <t xml:space="preserve">  Итого по разделу 5 Устройство нагельного поля АП-3 (VP-3)</t>
  </si>
  <si>
    <t>Раздел 6. Устройство сетчатой системы, 420 м2</t>
  </si>
  <si>
    <t>ФЕР01-02-096-02</t>
  </si>
  <si>
    <t>Оборка горных склонов, тип склона: средней крутизны</t>
  </si>
  <si>
    <t>420</t>
  </si>
  <si>
    <t>630</t>
  </si>
  <si>
    <t>ФЕР01-01-050-01</t>
  </si>
  <si>
    <t>Укрепление откосов с использованием сетки геотехнической пластиковой противоэрозийной</t>
  </si>
  <si>
    <t>0,42</t>
  </si>
  <si>
    <t>Объем=420 / 1000</t>
  </si>
  <si>
    <t>01.7.12.16</t>
  </si>
  <si>
    <t>Сетка геотехническая пластиковая противоэрозионная</t>
  </si>
  <si>
    <t>1428,3</t>
  </si>
  <si>
    <t>599,886</t>
  </si>
  <si>
    <t>01.7.15.01-0081</t>
  </si>
  <si>
    <t>Крюк анкерный для геотехнической полимерной решетки</t>
  </si>
  <si>
    <t>123,36</t>
  </si>
  <si>
    <t>64,764</t>
  </si>
  <si>
    <t>19,64</t>
  </si>
  <si>
    <t>10,311</t>
  </si>
  <si>
    <t>ФССЦ-08.1.02.17-0021</t>
  </si>
  <si>
    <t>Сетка двойного кручения с шестиугольными ячейками из оцинкованной проволоки, диаметр проволоки 2,7 мм, размер ячейки 60х100 мм</t>
  </si>
  <si>
    <t>Итоги по разделу 6 Устройство сетчатой системы, 420 м2 :</t>
  </si>
  <si>
    <t xml:space="preserve">  Итого по разделу 6 Устройство сетчатой системы, 420 м2</t>
  </si>
  <si>
    <t xml:space="preserve">СВОДНАЯ СМЕТА </t>
  </si>
  <si>
    <t>Разработка проектной документации 1 этап</t>
  </si>
  <si>
    <t>Разработка проектной документации 2 этап</t>
  </si>
  <si>
    <t>Разработка рабочей документации 1 этап</t>
  </si>
  <si>
    <t>3.2</t>
  </si>
  <si>
    <t>Разработка рабочей документации 2 этап</t>
  </si>
  <si>
    <t>ЛСР 12-07-01</t>
  </si>
  <si>
    <t xml:space="preserve">"Всесезонный туристско-рекреационный комплекс «Эльбрус», 
Кабардино-Балкарская Республика.Открытая плоскостная парковка на 800 машиномест."
</t>
  </si>
  <si>
    <t>ИТОГО в ценах 2001 года:</t>
  </si>
  <si>
    <t>Инженерно-геологическая рекогносцировка при удовлетворительной проходимости, II категория сложности ИГУ</t>
  </si>
  <si>
    <t>Описание точек наблюдения, II категория сложности ИГУ</t>
  </si>
  <si>
    <t xml:space="preserve"> СБЦ-99, т.55 п.1
</t>
  </si>
  <si>
    <t>Камеральная обработка материалов буровых и горнопроходческих работ II категории сложности ИГУ с гидрогеологическими наблюдениями</t>
  </si>
  <si>
    <t>Камеральная обработка материалов буровых и горнопроходческих работ II категории сложности ИГУ без гидрогеологических наблюдений</t>
  </si>
  <si>
    <t>СБЦ-99, т.83 п.6, прим.</t>
  </si>
  <si>
    <t>Сбор изучение и систематизация материалов изысканий прошлых лет по горным выработкам II категория сложности ИГУ</t>
  </si>
  <si>
    <t>Сбор изучение и систематизация материалов изысканий прошлых лет по цифровым показателям II категория сложности ИГУ</t>
  </si>
  <si>
    <t>Составление программы работ при средней глубине исследований св. 5,0 до 10 м, исследуемой площади до 1 кв.км II категория сложности ИГУ</t>
  </si>
  <si>
    <t>Составление технического отчета при стоимости камеральных работ до 5 тыс.руб. II категория сложности ИГУ</t>
  </si>
  <si>
    <t xml:space="preserve">ИТОГО  в ценах на  II квартал 2021 года  </t>
  </si>
  <si>
    <t>Сейсморазведка МПВ при возбуждении колебаний ударами кувалды; наблюдения с двумя сейсмограммами; Категория IV, шаг до 2 м. Число пикетов взрыва 3, при электрических и механических помехах и переноске оборудования до 200 м</t>
  </si>
  <si>
    <t>22 руб * 45 * 1.1 *1.1* *1.1 *1.21</t>
  </si>
  <si>
    <t>9,5 руб * 3*1.1*1.21 * 1.1*1.15</t>
  </si>
  <si>
    <t>Измерения разности потенциалов между двумя точками земли (Наблюдения над БТ). Измерение самопишущими приборами при длительности записи до 1 ч.  Работа  на территории  III категория сложности</t>
  </si>
  <si>
    <t>Итого по смете в ценах 1991г.:</t>
  </si>
  <si>
    <t>ИТОГО в ценах на 01.01.2000 г.</t>
  </si>
  <si>
    <t>Составил:________________</t>
  </si>
  <si>
    <t>Итого  по смете в базовых ценах</t>
  </si>
  <si>
    <t>Наименование объекта:</t>
  </si>
  <si>
    <t>этап изыскательских работ:</t>
  </si>
  <si>
    <t>Проект</t>
  </si>
  <si>
    <t>Наименование проектной (изыскательской) организации:</t>
  </si>
  <si>
    <t xml:space="preserve"> </t>
  </si>
  <si>
    <t>Цена, руб.</t>
  </si>
  <si>
    <t>Инженерно-экологическое рекогносцировочное обследование I категории сложности при хорошей проходимости</t>
  </si>
  <si>
    <t>1 км.</t>
  </si>
  <si>
    <r>
      <t xml:space="preserve"> Табл. 9, </t>
    </r>
    <r>
      <rPr>
        <sz val="10"/>
        <rFont val="Calibri"/>
        <family val="2"/>
        <charset val="204"/>
      </rPr>
      <t>§</t>
    </r>
    <r>
      <rPr>
        <sz val="10"/>
        <rFont val="Arial"/>
        <family val="2"/>
        <charset val="204"/>
      </rPr>
      <t xml:space="preserve">.1 
прим.1  (к-1.1)                  </t>
    </r>
  </si>
  <si>
    <t>Отбор  проб почво-грунтов на химический анализ (методами конверта, 5 точечных ) 2 объединенных проб</t>
  </si>
  <si>
    <r>
      <t xml:space="preserve"> Табл.60 </t>
    </r>
    <r>
      <rPr>
        <sz val="10"/>
        <rFont val="Calibri"/>
        <family val="2"/>
        <charset val="204"/>
      </rPr>
      <t>§</t>
    </r>
    <r>
      <rPr>
        <sz val="10"/>
        <rFont val="Arial"/>
        <family val="2"/>
        <charset val="204"/>
      </rPr>
      <t xml:space="preserve">.7   прим.1 (к -0.9)                      </t>
    </r>
  </si>
  <si>
    <t xml:space="preserve">Отбор  проб почво-грунтов на агрохимический анализ </t>
  </si>
  <si>
    <t>Табл.60, § 7</t>
  </si>
  <si>
    <t>Табл.60, § 10 прим.4 (к-0.9)</t>
  </si>
  <si>
    <t>Отбор  проб почво-грунтов для оценки ЕРН</t>
  </si>
  <si>
    <t>Измерение потока радона на участке (10 точек)</t>
  </si>
  <si>
    <t>20 точек</t>
  </si>
  <si>
    <t>Табл.91, § 2</t>
  </si>
  <si>
    <t>ИТОГО с неблагоприятным периодом и высокогорным коэффициентом</t>
  </si>
  <si>
    <t>Расходы по внешнему транспорту при расстоянии 300  км и продолжительности полевых работ до 1 месяца</t>
  </si>
  <si>
    <t>6 % от объёма</t>
  </si>
  <si>
    <t>О.У. П 13</t>
  </si>
  <si>
    <t>О.У.,Табл... 2, п. 4 (коэфф. 1,4)</t>
  </si>
  <si>
    <t>Определение солей тяжелых металлов без пробоподготовки с использованием ртутно-гидридной приставки (ртуть)</t>
  </si>
  <si>
    <t>Табл.70, § 59</t>
  </si>
  <si>
    <t>ЕРН</t>
  </si>
  <si>
    <t>1 определение</t>
  </si>
  <si>
    <t>Табл.91, § 4</t>
  </si>
  <si>
    <t xml:space="preserve"> Анализ проб воды :</t>
  </si>
  <si>
    <t xml:space="preserve">Табл.81, § 1, прим. 1 (к-1.25) </t>
  </si>
  <si>
    <t>Обработка результатов инженерно-экологического рекогносцировочного обследования I категории сложности при хорошей проходимости</t>
  </si>
  <si>
    <t xml:space="preserve">Табл.9, § 1 прим.1  (к-1.1)     </t>
  </si>
  <si>
    <t>Обработка результатов радиационного обследования участка</t>
  </si>
  <si>
    <t>Обработка результатов измерения потока радона</t>
  </si>
  <si>
    <t xml:space="preserve"> Табл.91 § 1</t>
  </si>
  <si>
    <t>Камеральная обработка химических и бактериологических анализов на загрязненность  почво-грунтов, воды при инженерно-экологических изысканиях</t>
  </si>
  <si>
    <t>ВСЕГО ПО СМЕТЕ в ценах к базисному уровню на 01.01.1991 года</t>
  </si>
  <si>
    <t>Паразитология</t>
  </si>
  <si>
    <t>"Типовые нормы выработки и расценок на работы, выполняемые проектно-изыскательскими центрами и станциями агрохимической службы" Москва 1994 г.</t>
  </si>
  <si>
    <t>Бактериология</t>
  </si>
  <si>
    <t>Измерение существующих величин нагрузки по факторам шумового воздействия (День)</t>
  </si>
  <si>
    <t>1 точка</t>
  </si>
  <si>
    <t>Морфологическое описание разрезов</t>
  </si>
  <si>
    <t>разрез</t>
  </si>
  <si>
    <t>Счет №0000-000097 от 17.12.2020 ФГБУ "Северо-Кавказское УГМС"</t>
  </si>
  <si>
    <t>Всего дополнительных работ</t>
  </si>
  <si>
    <t xml:space="preserve">Справочно дополнительные затраты в цене 1991г.
</t>
  </si>
  <si>
    <t>К=52,94</t>
  </si>
  <si>
    <t>ВСЕГО в уровне цен 1991г.</t>
  </si>
  <si>
    <t>Смета № 12-02-01</t>
  </si>
  <si>
    <t>«Всесезонный туристско-рекреационный комплекс «Эльбрус», 
Кабардино-Балкарская Республика. 
Открытая плоскостная парковка на 800 машино/мест». Проектная документация. 1й этап.</t>
  </si>
  <si>
    <t>Сметный расчет составлен в ценах I кв. 2001 г. с переходом в цены 2 кв.2021г.</t>
  </si>
  <si>
    <t xml:space="preserve">ВСЕГО в ценах на 01.01.2000 </t>
  </si>
  <si>
    <t>К=1,19</t>
  </si>
  <si>
    <t>Всего в ценах на 2 кв. 2021г.</t>
  </si>
  <si>
    <t>Смета № 12-03-01</t>
  </si>
  <si>
    <t>«Всесезонный туристско-рекреационный комплекс «Эльбрус», 
Кабардино-Балкарская Республика. 
Открытая плоскостная парковка на 800 машино/мест». Рабочая документация. 1й этап.</t>
  </si>
  <si>
    <t>Смета № 12-06-01</t>
  </si>
  <si>
    <t>«Всесезонный туристско-рекреационный комплекс «Эльбрус», 
Кабардино-Балкарская Республика. 
Открытая плоскостная парковка на 800 машино/мест». Проектная документация. 2й этап.</t>
  </si>
  <si>
    <t>Распределительный пункт 10 кВ, двухсекционный на 8 ячеек. Распределительные пункты 6-20 кВ, двухсекционный с количеством ячеек до 16. Закрытый распределительный пункт.</t>
  </si>
  <si>
    <t>Коммунальные инженерные сети и сооружения, 2012 г. Раздел 3. Таблица 37. Трансформаторные подстанции напряжением 6-20/0,4-10 кВ, распределительные и секционирующие пункты напряжением 6-20 кВ, п.8
A=125.8 тыс.руб; 
Количество = 1 (1 пункт)</t>
  </si>
  <si>
    <t>A * Количество * Кст * K1
125800 руб * 1 * 0.5 * 0.35 * 1.122</t>
  </si>
  <si>
    <t>Комплектный распределительный пункт K1 = 0.35 (Ценообразующий)</t>
  </si>
  <si>
    <t>1. Поя зап 2% = 440 руб.</t>
  </si>
  <si>
    <t>2. Схе пла орг зем уча 2% = 440 руб.</t>
  </si>
  <si>
    <t>3. Арх реш 5% = 1101 руб.</t>
  </si>
  <si>
    <t>4. Кон и объ реш 11% * (1 + 0.2) = 2906 руб.</t>
  </si>
  <si>
    <t>5.1. Сис эле 7% * (1 + 0.2) [из 60%] = 1849 руб.</t>
  </si>
  <si>
    <t>5.2. Сис вод 2% * (1 + 0.2) [из 60%] = 528 руб.</t>
  </si>
  <si>
    <t>5.3. Сис вод 2% * (1 + 0.2) [из 60%] = 528 руб.</t>
  </si>
  <si>
    <t>5.4. Ото, вен и кон воз 6% * (1 + 0.2) [из 60%] = 1585 руб.</t>
  </si>
  <si>
    <t>5.5. Сет свя 2% * (1 + 0.2) [из 60%] = 528 руб.</t>
  </si>
  <si>
    <t>5.6. Сис газ 1% * (1 + 0.2) [из 60%] = 264 руб.</t>
  </si>
  <si>
    <t>5.7. Тех реш 30% * (1 + 0.2) [из 60%] = 7925 руб.</t>
  </si>
  <si>
    <t>6. Про орг стр 3% = 660 руб.</t>
  </si>
  <si>
    <t>7. Пер мер по охр окр сре 8% = 1761 руб.</t>
  </si>
  <si>
    <t>8. Мер по обе пож без 6% = 1321 руб.</t>
  </si>
  <si>
    <t>9. Мер по обе дос инв 1% = 220 руб.</t>
  </si>
  <si>
    <t>10. Мер по обе соб тре эне эфф и тре осн зда, стр и соо при уче исп эне рес 5% = 1101 руб.</t>
  </si>
  <si>
    <t>11. Сме на стр 7% = 1541 руб.</t>
  </si>
  <si>
    <t>Кабельная линия 10кВ от ПС 35/10 "Азау" до проектируемого РП, 100 м. Кабельные линии напряжением до 35 кВ. Интервалы протяженности свыше 100 до 500 м.</t>
  </si>
  <si>
    <t>Коммунальные инженерные сети и сооружения, 2012 г. Раздел 3. Таблица 17. Квартальные, межквартальные, уличные кабельные электросети, п.1
A=11.96 тыс.руб; 
Количество = 2 (объект, до 100 м)</t>
  </si>
  <si>
    <t>A * Количество * Кст
11960 руб * 2 * 0.4 * 1.14</t>
  </si>
  <si>
    <t>1. Поя зап 2% = 191 руб.</t>
  </si>
  <si>
    <t>2. Про пол отв 2% = 191 руб.</t>
  </si>
  <si>
    <t>3.1. Тех реш 24.5% * (1 + 0.2) [из 84%] = 2813 руб.</t>
  </si>
  <si>
    <t>3.2. Кон реш 27.5% * (1 + 0.2) [из 84%] = 3157 руб.</t>
  </si>
  <si>
    <t>3.3. Иск соо 1.5% * (1 + 0.2) [из 84%] = 172 руб.</t>
  </si>
  <si>
    <t>3.4. Обу 2.5% * (1 + 0.2) [из 84%] = 287 руб.</t>
  </si>
  <si>
    <t>3.5. Эле 10% * (1 + 0.2) [из 84%] = 1148 руб.</t>
  </si>
  <si>
    <t>3.6. Вод и вод 2.5% * (1 + 0.2) [из 84%] = 287 руб.</t>
  </si>
  <si>
    <t>3.7. Свя, сиг, АСУ 1.5% * (1 + 0.2) [из 84%] = 172 руб.</t>
  </si>
  <si>
    <t>4. Зда и соо, вхо в инф объ 6% = 574 руб.</t>
  </si>
  <si>
    <t>5. Про орг стр 2% = 191 руб.</t>
  </si>
  <si>
    <t>6. Про орг раб по сно (дем) 1% = 96 руб.</t>
  </si>
  <si>
    <t>7. Мер по охр окр сре 9% = 861 руб.</t>
  </si>
  <si>
    <t>8. Мер по обе пож без 3% = 287 руб.</t>
  </si>
  <si>
    <t>9. Сме на стр 5% = 478 руб.</t>
  </si>
  <si>
    <t>Коэф - т 0.2 от п.3</t>
  </si>
  <si>
    <t>В соответствии с ЗнП проектная документация подлежит государственной экологической экспертизе. В связи с этим, требуется разработка ОВОС</t>
  </si>
  <si>
    <t>Коэф - т 0.04 от п.3</t>
  </si>
  <si>
    <t>Сумма от п.3-5</t>
  </si>
  <si>
    <t>Смета №12-07-01</t>
  </si>
  <si>
    <t>«Всесезонный туристско-рекреационный комплекс «Эльбрус», 
Кабардино-Балкарская Республика. 
Открытая плоскостная парковка на 800 машино/мест». Рабочая документация. 2й этап.</t>
  </si>
  <si>
    <t>Распределительные пункты 10 кВ, двухсекционный на 5 ячеек. Распределительные пункты 6-20 кВ, двухсекционный с количеством ячеек до 16. Закрытый распределительный пункт.</t>
  </si>
  <si>
    <t>A * Количество * Кст * K1
125800 руб * 1 * 0.5 * 0.35 * 1.14</t>
  </si>
  <si>
    <t>1. Схе пла орг зем уча 2% = 440 руб.</t>
  </si>
  <si>
    <t>2. Арх реш 6% = 1321 руб.</t>
  </si>
  <si>
    <t>3. Кон и объ реш 15% * (1 + 0.2) = 3963 руб.</t>
  </si>
  <si>
    <t>4.1. Сис эле 9% * (1 + 0.2) [из 66%] = 2378 руб.</t>
  </si>
  <si>
    <t>4.2. Сис вод 3% * (1 + 0.2) [из 66%] = 793 руб.</t>
  </si>
  <si>
    <t>4.3. Сис вод 3% * (1 + 0.2) [из 66%] = 793 руб.</t>
  </si>
  <si>
    <t>4.4. Ото, вен и кон воз 7% * (1 + 0.2) [из 66%] = 1849 руб.</t>
  </si>
  <si>
    <t>4.5. Сет свя 2% * (1 + 0.2) [из 66%] = 528 руб.</t>
  </si>
  <si>
    <t>4.6. Сис газ 1% * (1 + 0.2) [из 66%] = 264 руб.</t>
  </si>
  <si>
    <t>4.7. Тех реш 30% * (1 + 0.2) [из 66%] = 7925 руб.</t>
  </si>
  <si>
    <t>5. Мер по обе пож без 9% = 1981 руб.</t>
  </si>
  <si>
    <t>6. Мер по обе дос инв 1% = 220 руб.</t>
  </si>
  <si>
    <t>7. Мер по обе соб тре эне эфф и тре осн зда, стр и соо при уче исп эне рес 5% = 1101 руб.</t>
  </si>
  <si>
    <t>8. Сме на стр 7% = 1541 руб.</t>
  </si>
  <si>
    <t>A * Количество * Кст
11960 руб * 2 * 0.6 * 1.154</t>
  </si>
  <si>
    <t>1.1. Тех реш 24.5% * (1 + 0.2) [из 92.4%] = 4219 руб.</t>
  </si>
  <si>
    <t>1.2. Кон реш 23.5% * (1 + 0.2) [из 92.4%] = 4047 руб.</t>
  </si>
  <si>
    <t>1.3. Иск соо 1.5% * (1 + 0.2) [из 92.4%] = 258 руб.</t>
  </si>
  <si>
    <t>1.4. Обу 2.5% * (1 + 0.2) [из 92.4%] = 431 руб.</t>
  </si>
  <si>
    <t>1.5. Эле 17% * (1 + 0.2) [из 92.4%] = 2928 руб.</t>
  </si>
  <si>
    <t>1.6. Вод и вод 5.5% * (1 + 0.2) [из 92.4%] = 947 руб.</t>
  </si>
  <si>
    <t>1.7. Свя, сиг, АСУ 2.5% * (1 + 0.2) [из 92.4%] = 431 руб.</t>
  </si>
  <si>
    <t>2. Зда и соо, вхо в инф объ 8% = 1148 руб.</t>
  </si>
  <si>
    <t>3. Мер по обе пож без 5% = 718 руб.</t>
  </si>
  <si>
    <t>4. Сме на стр 10% = 1435 руб.</t>
  </si>
  <si>
    <t>Сумма от п.3</t>
  </si>
  <si>
    <t>«Адепт: Проект в 13.11»
© ООО «Адепт»</t>
  </si>
  <si>
    <t>Смета № СР-7</t>
  </si>
  <si>
    <t>Экспертиза проектной документации</t>
  </si>
  <si>
    <t>«Всесезонный туристско-рекреационный комплекс «Эльбрус», 
Кабардино-Балкарская Республика. 
Открытая плоскостная парковка на 800 машино/мест».</t>
  </si>
  <si>
    <t>Всего в ценах на 01.01.2001г.</t>
  </si>
  <si>
    <t>Произведение индексов потребительских цен</t>
  </si>
  <si>
    <t>Вновьдобавляемы затраты. В рамках Этапа 2. Изменение ТЗ</t>
  </si>
  <si>
    <t>Увеличение за счет учета стоимости проживания по КП. Затраты откорректированы по замечанию ФАУ "ГлавГосЭкспертиза России"</t>
  </si>
  <si>
    <t>09-08-01</t>
  </si>
  <si>
    <t>Затраты на осуществление технологического присоединения к электрическим сетям. Этап 2</t>
  </si>
  <si>
    <t>Добавлены затраты согласно дорожной карте по подготовке и согласованию ПСД с включение затрат на технологическое присоединение для передачи в ФАУ "ГГЭ". Приказ №278 от 28.12.2021 г.</t>
  </si>
  <si>
    <t>Затраты на проведение строительного контроля (1,61 % от глав 1-9 граф 4,5,6)</t>
  </si>
  <si>
    <t>Затраты откорректированы в следствии коорректировки итога Глав 1-9</t>
  </si>
  <si>
    <t>Уточнение стоимости, учтены дополнительные объемы проектирования</t>
  </si>
  <si>
    <t>12-06-01</t>
  </si>
  <si>
    <t>Проектные работы (стадия ПД). Этап 2.</t>
  </si>
  <si>
    <t>Добавлены затраты на разработку ПД. Этап 2.</t>
  </si>
  <si>
    <t>12-07-01</t>
  </si>
  <si>
    <t>Проектные работы (стадия РД). Этап 2</t>
  </si>
  <si>
    <t>Добавлены затраты на разработку РД. Этап 2.</t>
  </si>
  <si>
    <t>Главный инженер проекта ООО "ГТ Север"</t>
  </si>
  <si>
    <t>Заместитель директора по проектированию ООО "ГТ Север"</t>
  </si>
  <si>
    <t>в работе</t>
  </si>
  <si>
    <t>Затраты на осуществление технологического присоединения к электрическим сетям. Этап 1.</t>
  </si>
  <si>
    <t>Проектные работы (стадия ПД). Этап 1.</t>
  </si>
  <si>
    <t>Проектные работы (стадия РД). Этап 1</t>
  </si>
  <si>
    <t>в т.ч.  Этап 1</t>
  </si>
  <si>
    <t xml:space="preserve"> Этап 2</t>
  </si>
  <si>
    <t>Составлен в ценах по состоянию на 2 кв.2021 г.</t>
  </si>
  <si>
    <t>Проектные работы (стадия РД). Этап 1.</t>
  </si>
  <si>
    <t>тыс.руб</t>
  </si>
  <si>
    <t>56,81*2,4*36</t>
  </si>
  <si>
    <t>56,81*0,6*2184</t>
  </si>
  <si>
    <t>18,2*2*24,78*19</t>
  </si>
  <si>
    <t>17 137,85+4 908,38+74 443,82</t>
  </si>
  <si>
    <t>письмо Минстроя РФ от 21.05.2021 N 20800-ИФ/09 "Прочие объекты" К= 8,32</t>
  </si>
  <si>
    <t>Итого затрат, связанных с перевозкой работников в текущих ценах</t>
  </si>
  <si>
    <t>843 634,94+208 053,50</t>
  </si>
  <si>
    <t>письмо Минстроя РФ от 21.05.2021 N 20800-ИФ/09 "Прочие затраты" для объектов непроизводственного назначения К= 12,14</t>
  </si>
  <si>
    <t>Затраты на проезд с. Эльбрус-площадка строительства в ценах на 01.01.2000г.</t>
  </si>
  <si>
    <t>868 263,80+11 843 684,58</t>
  </si>
  <si>
    <t>«Адепт: Проект в 13.12»
© ООО «Адепт»</t>
  </si>
  <si>
    <t>(A + B * (0.4 * Xмакс + 0.6 * Xзад)) * Количество * Кст
(94400 руб + 16 руб * (0.4 * 3200.0 + 0.6 * 10840)) * 1 * 0.4 * 1.011</t>
  </si>
  <si>
    <t>K1 = 1.2 (РПД 1)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</si>
  <si>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(5.5% * (1 + 0.2) + 56.5% + 11.0% + 11.0% + 1.0% + 2.0% + 6.0% + 7.0%) = 101.1%</t>
  </si>
  <si>
    <t>3. Вод и кан 11% = 9634 руб.</t>
  </si>
  <si>
    <t>4. Эле и эле, авт 11% = 9634 руб.</t>
  </si>
  <si>
    <t>5. Свя и сиг 1% = 876 руб.</t>
  </si>
  <si>
    <t>(A + B * (0.4 * Xмакс + 0.6 * Xзад)) * Количество * Кст
(94400 руб + 16 руб * (0.4 * 3200.0 + 0.6 * 8858)) * 1 * 0.4 * 1.011</t>
  </si>
  <si>
    <t>3. Вод и кан 11% = 8796 руб.</t>
  </si>
  <si>
    <t>4. Эле и эле, авт 11% = 8796 руб.</t>
  </si>
  <si>
    <t>5. Свя и сиг 1% = 800 руб.</t>
  </si>
  <si>
    <t>(A + B * (0.4 * Xмакс + 0.6 * Xзад)) * Количество * Кст
(94400 руб + 16 руб * (0.4 * 3200.0 + 0.6 * 7844)) * 1 * 0.4 * 1.011</t>
  </si>
  <si>
    <t>3. Вод и кан 11% = 8368 руб.</t>
  </si>
  <si>
    <t>4. Эле и эле, авт 11% = 8368 руб.</t>
  </si>
  <si>
    <t>5. Свя и сиг 1% = 761 руб.</t>
  </si>
  <si>
    <t>A * Количество * Кст * K1
419100 руб * 1 * 0.4 * 0.5 * 1.016</t>
  </si>
  <si>
    <t>Малая протяженность дороги K1 = 0.5 (Ценообразующий)</t>
  </si>
  <si>
    <t>K2 = 1.2 (РПД 2-3)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</si>
  <si>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(11% + 27% * (1 + 0.2) + 6% * (1 + 0.2) + 11% + 6% + 5% + 18% + 11%) = 101.6%</t>
  </si>
  <si>
    <t>1. Тра 11% = 9220 руб.</t>
  </si>
  <si>
    <t>2. Зем пол 27% * (1 + 0.2) = 27158 руб.</t>
  </si>
  <si>
    <t>3. Вод тру и вод 6% * (1 + 0.2) = 6035 руб.</t>
  </si>
  <si>
    <t>4. Дор оде 11% = 9220 руб.</t>
  </si>
  <si>
    <t>5. Орг и без дви, обу дор 6% = 5029 руб.</t>
  </si>
  <si>
    <t>6. Охр окр сре 5% = 4191 руб.</t>
  </si>
  <si>
    <t>7. Про орг стр 18% = 15088 руб.</t>
  </si>
  <si>
    <t>8. Сме док 11% = 9220 руб.</t>
  </si>
  <si>
    <t>A * Количество * Кст * K1
100000 руб * 1 * 0.4 * 1.6 * 1.054</t>
  </si>
  <si>
    <t>K1 = 1.6, N1=4 (шт.), N2=0.2  Для нескольких объектов цена привязки типовой или повторно применяемой проектной документации определяется по ценам Справочников с применением коэффициента К=1+(N1-1)*N2, где N1 - количество объектов (второй и последующие объекты проектируются повторно), N2-коэффициент привязки МУ 2009 г. Часть III п. 3.2 (Ценообразующий)</t>
  </si>
  <si>
    <t>K2 = 1.2 (РПД 4, 6, 10-11)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</si>
  <si>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(2.0% + 3.0% + 6.0% + 10.0% * (1 + 0.2) + 8.0% + 8.0% * (1 + 0.2) + 13.0% + 5.0% + 8.0% + 5.0% * (1 + 0.2) + 4.0% * (1 + 0.2) + 8.0% + 5.0% + 8.0% + 2.0% + 5.0%) = 105.4%</t>
  </si>
  <si>
    <t>1. Поя зап 2% = 1280 руб.</t>
  </si>
  <si>
    <t>2. Про пол отв 3% = 1920 руб.</t>
  </si>
  <si>
    <t>3. Тех и кон реш лин объ. Иск соо (инж обу, сет). Орг дви 6% = 3840 руб.</t>
  </si>
  <si>
    <t>4. Тех и кон реш лин объ. Иск соо (инж обу, сет). Зем пол, вер стр пут на пер 10% * (1 + 0.2) = 7680 руб.</t>
  </si>
  <si>
    <t>5. Тех и кон реш лин объ. Иск соо (инж обу, сет). Ста 8% = 5120 руб.</t>
  </si>
  <si>
    <t>6. Тех и кон реш лин объ. Иск соо (инж обу, сет). Иск соо 8% * (1 + 0.2) = 6144 руб.</t>
  </si>
  <si>
    <t>7. Тех и кон реш лин объ. Иск соо (инж обу, сет). 13% = 8320 руб.</t>
  </si>
  <si>
    <t>8. Тех и кон реш лин объ. Иск соо (инж обу, сет). Лок и ваг хоз (тех час) 5% = 3200 руб.</t>
  </si>
  <si>
    <t>9. Тех и кон реш лин объ. Иск соо (инж обу, сет). Эле 8% = 5120 руб.</t>
  </si>
  <si>
    <t>10. Тех и кон реш лин объ. Иск соо (инж обу, сет). Вод и вод 5% * (1 + 0.2) = 3840 руб.</t>
  </si>
  <si>
    <t>11. Тех и кон реш лин объ. Иск соо (инж обу, сет). Свя 4% * (1 + 0.2) = 3072 руб.</t>
  </si>
  <si>
    <t>12. Зда и соо, вхо в инф объ 8% = 5120 руб.</t>
  </si>
  <si>
    <t>13. Про орг стр 5% = 3200 руб.</t>
  </si>
  <si>
    <t>14. Мер по охр окр сре 8% = 5120 руб.</t>
  </si>
  <si>
    <t>15. Мер по обе пож без 2% = 1280 руб.</t>
  </si>
  <si>
    <t>16. Сме на стр 5% = 3200 руб.</t>
  </si>
  <si>
    <t>(A + B * Xзад) * Количество * Кст
(160512 руб + 321480 руб * 0.327) * 1 * 0.3 * 0.824</t>
  </si>
  <si>
    <t>K1 = 1.2 (РПД 3)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</si>
  <si>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(2.0% + 4.0% + 7.0% * (1 + 0.2) + 49.0% + 4.0% + 8.0% + 2.0% + 5.0%) = 82.4%</t>
  </si>
  <si>
    <t>3. Кон и объ реш 7% * (1 + 0.2) = 6694 руб.</t>
  </si>
  <si>
    <t>4. Инж обо, сет инж мер, тех реш 49% = 39048 руб.</t>
  </si>
  <si>
    <t>4.1. Тех реш 49% [из 49%] = 39048 руб.</t>
  </si>
  <si>
    <t>5. Про орг стр (ПОС) 4% = 3188 руб.</t>
  </si>
  <si>
    <t>6. Охр окр сре (ООС) 8% = 6375 руб.</t>
  </si>
  <si>
    <t>7. Мер по обе пож без 2% = 1594 руб.</t>
  </si>
  <si>
    <t>8. Сме на стр 5% = 3985 руб.</t>
  </si>
  <si>
    <t>(A + B * Xзад) * Количество * Кст
(12000 руб + 136 руб * 500) * 1 * 0.5</t>
  </si>
  <si>
    <t>Разделы документации (2.0% + 2.0% + 24.5% + 27.5% + 1.5% + 2.5% + 10.0% + 2.5% + 1.5% + 6.0% + 2.0% + 1.0% + 9.0% + 3.0% + 5.0%) = 100%</t>
  </si>
  <si>
    <t>3. Тех и кон реш лин объ. Иск соо (инж обу, сет) 70% = 28000 руб.</t>
  </si>
  <si>
    <t>3.1. Тех реш 24.5% [из 70%] = 9800 руб.</t>
  </si>
  <si>
    <t>3.2. Кон реш 27.5% [из 70%] = 11000 руб.</t>
  </si>
  <si>
    <t>3.3. Иск соо 1.5% [из 70%] = 600 руб.</t>
  </si>
  <si>
    <t>3.4. Обу 2.5% [из 70%] = 1000 руб.</t>
  </si>
  <si>
    <t>3.5. Эле 10% [из 70%] = 4000 руб.</t>
  </si>
  <si>
    <t>3.6. Вод и вод 2.5% [из 70%] = 1000 руб.</t>
  </si>
  <si>
    <t>3.7. Свя, сиг, АСУ 1.5% [из 70%] = 600 руб.</t>
  </si>
  <si>
    <t>4. Зда и соо, вхо в инф объ 6% = 2400 руб.</t>
  </si>
  <si>
    <t>(A + B * Xзад) * Количество * Кст * K1
(12000 руб + 136 руб * 542.5) * 1 * 0.5 * 1.1 * 0.902</t>
  </si>
  <si>
    <t>K2 = 1.2 (РПД 3, 3.1-4)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</si>
  <si>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(2.0% + 2.0% + 24.5% * (1 + 0.2) + 27.5% * (1 + 0.2) + 2.5% * (1 + 0.2) + 1.5% * (1 + 0.2) + 2.0% + 9.0% + 3.0% + 5.0%) = 90.2%</t>
  </si>
  <si>
    <t>3.1. Тех реш 24.5% * (1 + 0.2) [из 67.2%] = 13871 руб.</t>
  </si>
  <si>
    <t>3.2. Кон реш 27.5% * (1 + 0.2) [из 67.2%] = 15569 руб.</t>
  </si>
  <si>
    <t>3.3. Вод и вод 2.5% * (1 + 0.2) [из 67.2%] = 1415 руб.</t>
  </si>
  <si>
    <t>3.4. Свя, сиг, АСУ 1.5% * (1 + 0.2) [из 67.2%] = 849 руб.</t>
  </si>
  <si>
    <t>4. Про орг стр 2% = 944 руб.</t>
  </si>
  <si>
    <t>5. Мер по охр окр сре 9% = 4246 руб.</t>
  </si>
  <si>
    <t>6. Мер по обе пож без 3% = 1415 руб.</t>
  </si>
  <si>
    <t>7. Сме на стр 5% = 2359 руб.</t>
  </si>
  <si>
    <t>(A + B * Xзад) * Количество * Кст
(76400 руб + 310 руб * 100) * 1 * 0.5 * 0.944</t>
  </si>
  <si>
    <t>K1 = 1.2 (РПД 3, 3.1-3)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</si>
  <si>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(2.0% + 2.0% + 24.5% * (1 + 0.2) + 27.5% * (1 + 0.2) + 2.5% * (1 + 0.2) + 6.0% + 2.0% + 9.0% + 3.0% + 5.0%) = 94.4%</t>
  </si>
  <si>
    <t>1. Поя зап 2% = 1074 руб.</t>
  </si>
  <si>
    <t>2. Про пол отв 2% = 1074 руб.</t>
  </si>
  <si>
    <t>3.1. Тех реш 24.5% * (1 + 0.2) [из 65.4%] = 15788 руб.</t>
  </si>
  <si>
    <t>3.2. Кон реш 27.5% * (1 + 0.2) [из 65.4%] = 17721 руб.</t>
  </si>
  <si>
    <t>3.3. Вод и вод 2.5% * (1 + 0.2) [из 65.4%] = 1611 руб.</t>
  </si>
  <si>
    <t>4. Зда и соо, вхо в инф объ 6% = 3222 руб.</t>
  </si>
  <si>
    <t>5. Про орг стр 2% = 1074 руб.</t>
  </si>
  <si>
    <t>6. Мер по охр окр сре 9% = 4833 руб.</t>
  </si>
  <si>
    <t>7. Мер по обе пож без 3% = 1611 руб.</t>
  </si>
  <si>
    <t>8. Сме на стр 5% = 2685 руб.</t>
  </si>
  <si>
    <t>(A + B * (0.4 * Xмин + 0.6 * Xзад)) * Количество * Кст
(4600 руб + 166 руб * (0.4 * 1000 + 0.6 * 540)) * 1 * 0.6 * 1.08</t>
  </si>
  <si>
    <t>Разделы документации (33.0% * (1 + 0.2) + 37.0% * (1 + 0.2) + 7.0% + 9.0% + 1.0% + 7.0%) = 108%</t>
  </si>
  <si>
    <t>1.1. Тех реш 33% * (1 + 0.2) [из 84%] = 29649 руб.</t>
  </si>
  <si>
    <t>1.2. Кон реш 37% * (1 + 0.2) [из 84%] = 33242 руб.</t>
  </si>
  <si>
    <t>2. Про орг стр 7% = 5241 руб.</t>
  </si>
  <si>
    <t>3. Мер по охр окр сре 9% = 6738 руб.</t>
  </si>
  <si>
    <t>4. Мер по обе пож без 1% = 749 руб.</t>
  </si>
  <si>
    <t>5. Сме на стр 7% = 5241 руб.</t>
  </si>
  <si>
    <t>(A + B * (0.4 * Xмакс + 0.6 * Xзад)) * Количество * Кст
(55500 руб + 83 руб * (0.4 * 500 + 0.6 * 1833)) * 1 * 0.5 * 1.002</t>
  </si>
  <si>
    <t>K1 = 1.2 (РПД 2, 2.1-5)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</si>
  <si>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(2.0% + 24.5% * (1 + 0.2) + 27.5% * (1 + 0.2) + 1.5% * (1 + 0.2) + 2.5% * (1 + 0.2) + 10.0% * (1 + 0.2) + 2.0% + 9.0% + 3.0% + 5.0%) = 100.2%</t>
  </si>
  <si>
    <t>2. Тех и кон реш лин объ. Иск соо (инж обу, сет)</t>
  </si>
  <si>
    <t>2.1. Тех реш 24.5% * (1 + 0.2) [из 79.2%] = 24017 руб.</t>
  </si>
  <si>
    <t>2.2. Кон реш 27.5% * (1 + 0.2) [из 79.2%] = 26958 руб.</t>
  </si>
  <si>
    <t>2.3. Иск соо 1.5% * (1 + 0.2) [из 79.2%] = 1470 руб.</t>
  </si>
  <si>
    <t>2.4. Обу 2.5% * (1 + 0.2) [из 79.2%] = 2451 руб.</t>
  </si>
  <si>
    <t>2.5. Эле 10% * (1 + 0.2) [из 79.2%] = 9803 руб.</t>
  </si>
  <si>
    <t>3. Про орг стр 2% = 1634 руб.</t>
  </si>
  <si>
    <t>4. Мер по охр окр сре 9% = 7352 руб.</t>
  </si>
  <si>
    <t>5. Мер по обе пож без 3% = 2451 руб.</t>
  </si>
  <si>
    <t>6. Сме на стр 5% = 4085 руб.</t>
  </si>
  <si>
    <t>(A + B * Xзад) * Количество * Кст
(7763 руб + 42 руб * 103) * 1 * 0.4 * 0.825</t>
  </si>
  <si>
    <t>Разделы документации (24.5% + 27.5% + 10.0% + 1.5% + 2.0% + 9.0% + 3.0% + 5.0%) = 82.5%</t>
  </si>
  <si>
    <t>1. Тех и кон реш лин объ. Иск соо (инж обу, сет) 63.5% = 3071 руб.</t>
  </si>
  <si>
    <t>1.1. Тех реш 24.5% [из 63.5%] = 1185 руб.</t>
  </si>
  <si>
    <t>1.2. Кон реш 27.5% [из 63.5%] = 1330 руб.</t>
  </si>
  <si>
    <t>1.3. Эле 10% [из 63.5%] = 484 руб.</t>
  </si>
  <si>
    <t>1.4. Свя, сиг, АСУ 1.5% [из 63.5%] = 73 руб.</t>
  </si>
  <si>
    <t>2. Про орг стр 2% = 97 руб.</t>
  </si>
  <si>
    <t>3. Мер по охр окр сре 9% = 435 руб.</t>
  </si>
  <si>
    <t>4. Мер по обе пож без 3% = 145 руб.</t>
  </si>
  <si>
    <t>5. Сме на стр 5% = 242 руб.</t>
  </si>
  <si>
    <t>(A + B * Xзад) * Количество * Кст
(12265 руб + 37 руб * 3068) * 1 * 0.4</t>
  </si>
  <si>
    <t>3. Тех и кон реш лин объ. Иск соо (инж обу, сет) 70% = 35219 руб.</t>
  </si>
  <si>
    <t>3.1. Тех реш 24.5% [из 70%] = 12327 руб.</t>
  </si>
  <si>
    <t>3.2. Кон реш 27.5% [из 70%] = 13836 руб.</t>
  </si>
  <si>
    <t>3.3. Иск соо 1.5% [из 70%] = 755 руб.</t>
  </si>
  <si>
    <t>3.4. Обу 2.5% [из 70%] = 1258 руб.</t>
  </si>
  <si>
    <t>3.5. Эле 10% [из 70%] = 5031 руб.</t>
  </si>
  <si>
    <t>3.6. Вод и вод 2.5% [из 70%] = 1258 руб.</t>
  </si>
  <si>
    <t>3.7. Свя, сиг, АСУ 1.5% [из 70%] = 755 руб.</t>
  </si>
  <si>
    <t>4. Зда и соо, вхо в инф объ 6% = 3019 руб.</t>
  </si>
  <si>
    <t>(A + B * Xзад) * Количество * Кст
(84970 руб + 10 руб * 3839) * 1 * 0.4</t>
  </si>
  <si>
    <t>3. Тех и кон реш лин объ. Иск соо (инж обу, сет) 70% = 34541 руб.</t>
  </si>
  <si>
    <t>3.1. Тех реш 24.5% [из 70%] = 12089 руб.</t>
  </si>
  <si>
    <t>3.2. Кон реш 27.5% [из 70%] = 13570 руб.</t>
  </si>
  <si>
    <t>3.3. Иск соо 1.5% [из 70%] = 740 руб.</t>
  </si>
  <si>
    <t>3.4. Обу 2.5% [из 70%] = 1234 руб.</t>
  </si>
  <si>
    <t>3.5. Эле 10% [из 70%] = 4934 руб.</t>
  </si>
  <si>
    <t>3.6. Вод и вод 2.5% [из 70%] = 1234 руб.</t>
  </si>
  <si>
    <t>3.7. Свя, сиг, АСУ 1.5% [из 70%] = 740 руб.</t>
  </si>
  <si>
    <t>4. Зда и соо, вхо в инф объ 6% = 2961 руб.</t>
  </si>
  <si>
    <t>(A + B * Xзад) * Количество * Кст
(46000 руб + 69 руб * 1028) * 1 * 0.4</t>
  </si>
  <si>
    <t>3. Тех и кон реш лин объ. Иск соо (инж обу, сет) 70% = 32741 руб.</t>
  </si>
  <si>
    <t>3.1. Тан 24.5% [из 70%] = 11459 руб.</t>
  </si>
  <si>
    <t>3.2. Кон реш 27.5% [из 70%] = 12863 руб.</t>
  </si>
  <si>
    <t>3.3. Иск соо 1.5% [из 70%] = 702 руб.</t>
  </si>
  <si>
    <t>3.4. Обу 2.5% [из 70%] = 1169 руб.</t>
  </si>
  <si>
    <t>3.5. Эле 10% [из 70%] = 4677 руб.</t>
  </si>
  <si>
    <t>3.6. Вод и вод 2.5% [из 70%] = 1169 руб.</t>
  </si>
  <si>
    <t>3.7. Свя, сиг, АСУ 1.5% [из 70%] = 702 руб.</t>
  </si>
  <si>
    <t>4. Зда и соо, вхо в инф объ 6% = 2806 руб.</t>
  </si>
  <si>
    <t>(A + B * Xзад) * Количество * Кст
(750 руб + 137 руб * 128) * 1 * 0.4</t>
  </si>
  <si>
    <t>3. Тех и кон реш лин объ. Иск соо (инж обу, сет) 70% = 5120 руб.</t>
  </si>
  <si>
    <t>3.1. Тан 24.5% [из 70%] = 1792 руб.</t>
  </si>
  <si>
    <t>3.2. Кон реш 27.5% [из 70%] = 2011 руб.</t>
  </si>
  <si>
    <t>3.3. Иск соо 1.5% [из 70%] = 110 руб.</t>
  </si>
  <si>
    <t>3.4. Обу 2.5% [из 70%] = 183 руб.</t>
  </si>
  <si>
    <t>3.5. Эле 10% [из 70%] = 731 руб.</t>
  </si>
  <si>
    <t>3.6. Вод и вод 2.5% [из 70%] = 183 руб.</t>
  </si>
  <si>
    <t>3.7. Свя, сиг, АСУ 1.5% [из 70%] = 110 руб.</t>
  </si>
  <si>
    <t>4. Зда и соо, вхо в инф объ 6% = 439 руб.</t>
  </si>
  <si>
    <t>(A + B * (0.4 * Xмакс + 0.6 * Xзад)) * Количество * Кст * K1
(41000 руб + 20 руб * (0.4 * 3000 + 0.6 * 5750)) * 1 * 0.4 * 1.2</t>
  </si>
  <si>
    <t>3. Тех и кон реш лин объ. Иск соо (инж обу, сет) 70% = 45024 руб.</t>
  </si>
  <si>
    <t>3.1. Тех реш 24.5% [из 70%] = 15758 руб.</t>
  </si>
  <si>
    <t>3.2. Кон реш 27.5% [из 70%] = 17688 руб.</t>
  </si>
  <si>
    <t>3.3. Иск соо 1.5% [из 70%] = 965 руб.</t>
  </si>
  <si>
    <t>3.4. Обу 2.5% [из 70%] = 1608 руб.</t>
  </si>
  <si>
    <t>3.5. Эле 10% [из 70%] = 6432 руб.</t>
  </si>
  <si>
    <t>3.6. Вод и вод 2.5% [из 70%] = 1608 руб.</t>
  </si>
  <si>
    <t>3.7. Свя, сиг, АСУ 1.5% [из 70%] = 965 руб.</t>
  </si>
  <si>
    <t>(A + B * Xзад) * Количество * Кст
(21000 руб + 62 руб * 756) * 1 * 0.4</t>
  </si>
  <si>
    <t>3. Тех и кон реш лин объ. Иск соо (инж обу, сет) 70% = 19004 руб.</t>
  </si>
  <si>
    <t>3.1. Тех реш 24.5% [из 70%] = 6651 руб.</t>
  </si>
  <si>
    <t>3.2. Кон реш 27.5% [из 70%] = 7466 руб.</t>
  </si>
  <si>
    <t>3.3. Иск соо 1.5% [из 70%] = 407 руб.</t>
  </si>
  <si>
    <t>3.4. Обу 2.5% [из 70%] = 679 руб.</t>
  </si>
  <si>
    <t>3.5. Эле 10% [из 70%] = 2715 руб.</t>
  </si>
  <si>
    <t>3.6. Вод и вод 2.5% [из 70%] = 679 руб.</t>
  </si>
  <si>
    <t>3.7. Свя, сиг, АСУ 1.5% [из 70%] = 407 руб.</t>
  </si>
  <si>
    <t>(A + B * Xзад) * Количество * Кст
(36610 руб + 4570 руб * 2) * 1 * 0.4</t>
  </si>
  <si>
    <t>5. Инж обо, сет, инж мер, тех реш 51% = 9333 руб.</t>
  </si>
  <si>
    <t>5.1. Эле 16% [из 51%] = 2928 руб.</t>
  </si>
  <si>
    <t>5.2. Вод 2% [из 51%] = 366 руб.</t>
  </si>
  <si>
    <t>5.3. Вод 2% [из 51%] = 366 руб.</t>
  </si>
  <si>
    <t>5.4. Ото, вен, кон воз 10% [из 51%] = 1830 руб.</t>
  </si>
  <si>
    <t>5.5. Свя 2% [из 51%] = 366 руб.</t>
  </si>
  <si>
    <t>5.6. Газ 1% [из 51%] = 183 руб.</t>
  </si>
  <si>
    <t>5.7. Тех реш 18% [из 51%] = 3294 руб.</t>
  </si>
  <si>
    <t>(A + B * (0.4 * Xмакс + 0.6 * Xзад)) * Количество * Кст * K1
(36610 руб + 4570 руб * (0.4 * 12 + 0.6 * 76)) * 1 * 0.4 * 1.1 * 0.64</t>
  </si>
  <si>
    <t>Разделы документации (2.0% + 16.0% + 2.0% + 18.0% + 3.0% + 9.0% + 6.0% + 8.0%) = 64%</t>
  </si>
  <si>
    <t>2. Инж обо, сет, инж мер, тех реш 36% = 42283 руб.</t>
  </si>
  <si>
    <t>2.1. Эле 16% [из 36%] = 18792 руб.</t>
  </si>
  <si>
    <t>2.2. Свя 2% [из 36%] = 2349 руб.</t>
  </si>
  <si>
    <t>2.3. Тех реш 18% [из 36%] = 21141 руб.</t>
  </si>
  <si>
    <t>3. Про орг стр 3% = 3524 руб.</t>
  </si>
  <si>
    <t>4. Охр окр сре (ООС) 9% = 10571 руб.</t>
  </si>
  <si>
    <t>5. Мер по обе пож без 6% = 7047 руб.</t>
  </si>
  <si>
    <t>6. Сме на стр 8% = 9396 руб.</t>
  </si>
  <si>
    <t>A * Количество * Кст * K1
85450 руб * 1 * 0.4 * 0.5 * 0.99</t>
  </si>
  <si>
    <t>Разделы документации (2.0% + 2.0% + 6.0% + 12.0% + 16.0% + 2.0% + 2.0% + 10.0% + 2.0% + 1.0% + 18.0% + 3.0% + 9.0% + 6.0% + 8.0%) = 99%</t>
  </si>
  <si>
    <t>5. Инж обо, сет, инж мер, тех реш 51% = 8716 руб.</t>
  </si>
  <si>
    <t>5.1. Эле 16% [из 51%] = 2734 руб.</t>
  </si>
  <si>
    <t>5.2. Вод 2% [из 51%] = 342 руб.</t>
  </si>
  <si>
    <t>5.3. Вод 2% [из 51%] = 342 руб.</t>
  </si>
  <si>
    <t>5.4. Ото, вен, кон воз 10% [из 51%] = 1709 руб.</t>
  </si>
  <si>
    <t>5.5. Свя 2% [из 51%] = 342 руб.</t>
  </si>
  <si>
    <t>5.6. Газ 1% [из 51%] = 171 руб.</t>
  </si>
  <si>
    <t>5.7. Тех реш 18% [из 51%] = 3076 руб.</t>
  </si>
  <si>
    <t>(A + B * Xзад) * Количество * Кст
(36610 руб + 4570 руб * 3) * 1 * 0.5</t>
  </si>
  <si>
    <t>5. Инж обо, сет, инж мер, тех реш 51% = 12832 руб.</t>
  </si>
  <si>
    <t>5.1. Эле 16% [из 51%] = 4026 руб.</t>
  </si>
  <si>
    <t>5.2. Вод 2% [из 51%] = 503 руб.</t>
  </si>
  <si>
    <t>5.3. Вод 2% [из 51%] = 503 руб.</t>
  </si>
  <si>
    <t>5.4. Ото, вен, кон воз 10% [из 51%] = 2516 руб.</t>
  </si>
  <si>
    <t>5.5. Свя 2% [из 51%] = 503 руб.</t>
  </si>
  <si>
    <t>5.6. Газ 1% [из 51%] = 252 руб.</t>
  </si>
  <si>
    <t>5.7. Тех реш 18% [из 51%] = 4529 руб.</t>
  </si>
  <si>
    <t>(A + B * Xзад) * Количество * Кст
(36610 руб + 4570 руб * 12) * 1 * 0.5</t>
  </si>
  <si>
    <t>5. Инж обо, сет, инж мер, тех реш 51% = 23320 руб.</t>
  </si>
  <si>
    <t>5.1. Эле 16% [из 51%] = 7316 руб.</t>
  </si>
  <si>
    <t>5.2. Вод 2% [из 51%] = 915 руб.</t>
  </si>
  <si>
    <t>5.3. Вод 2% [из 51%] = 915 руб.</t>
  </si>
  <si>
    <t>5.4. Ото, вен, кон воз 10% [из 51%] = 4573 руб.</t>
  </si>
  <si>
    <t>5.5. Свя 2% [из 51%] = 915 руб.</t>
  </si>
  <si>
    <t>5.6. Газ 1% [из 51%] = 457 руб.</t>
  </si>
  <si>
    <t>5.7. Тех реш 18% [из 51%] = 8231 руб.</t>
  </si>
  <si>
    <t>A * Количество * Кст * K1
2400 руб * 1 * 0.5 * 1.2 * 0.47</t>
  </si>
  <si>
    <t>Разделы документации (2.0% + 18.0% + 3.0% + 9.0% + 6.0% + 1.0% + 8.0%) = 47%</t>
  </si>
  <si>
    <t>1. Инж обо, сет, инж мер, тех реш 20% = 288 руб.</t>
  </si>
  <si>
    <t>1.1. Свя 2% [из 20%] = 29 руб.</t>
  </si>
  <si>
    <t>1.2. Тех реш 18% [из 20%] = 259 руб.</t>
  </si>
  <si>
    <t>2. Про орг стр 3% = 43 руб.</t>
  </si>
  <si>
    <t>3. Охр окр сре (ООС) 9% = 130 руб.</t>
  </si>
  <si>
    <t>4. Мер по обе пож без 6% = 86 руб.</t>
  </si>
  <si>
    <t>5. Мер по обе дос инв 1% = 14 руб.</t>
  </si>
  <si>
    <t>6. Сме на стр 8% = 115 руб.</t>
  </si>
  <si>
    <t>ВСЕГО в ценах на 01.01.2000 г. без НДС (справочно, по 1 кв. 2000 г.)</t>
  </si>
  <si>
    <t>Индекс на 01.01.2000 г. к ценам на 01.01.1995 г. по письму Госстроя России №АШ-3412/10-ЛС/08 от 07.10.1999г. = 6,46; Индекс на 1 квартал 2001 г. г. к ценам на 01.01.1995 г. по письму Госстроя России №АШ-9/10 от 04.01.2001г. = 7,71; 7,71/6,46=1,19</t>
  </si>
  <si>
    <t>(п.51) / 1.19</t>
  </si>
  <si>
    <t>(A + B * (0.4 * Xмакс + 0.6 * Xзад)) * Количество * Кст
(94400 руб + 16 руб * (0.4 * 3200.0 + 0.6 * 10840)) * 1 * 0.6 * 0.99</t>
  </si>
  <si>
    <t>K1 = 1.2 (РПД 2-3)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</si>
  <si>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(5.0% + 65.0% * (1 + 0.2) + 10.0% * (1 + 0.2) + 4.0%) = 99%</t>
  </si>
  <si>
    <t>4. Сме док 4% = 5255 руб.</t>
  </si>
  <si>
    <t>(A + B * (0.4 * Xмакс + 0.6 * Xзад)) * Количество * Кст
(94400 руб + 16 руб * (0.4 * 3200.0 + 0.6 * 8858)) * 1 * 0.6 * 0.99</t>
  </si>
  <si>
    <t>4. Сме док 4% = 4798 руб.</t>
  </si>
  <si>
    <t>(A + B * (0.4 * Xмакс + 0.6 * Xзад)) * Количество * Кст
(94400 руб + 16 руб * (0.4 * 3200.0 + 0.6 * 7844)) * 1 * 0.6 * 1.17</t>
  </si>
  <si>
    <t>K1 = 1.2 (РПД 2-4)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</si>
  <si>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(5.0% + 65.0% * (1 + 0.2) + 10.0% * (1 + 0.2) + 15.0% * (1 + 0.2) + 4.0%) = 117%</t>
  </si>
  <si>
    <t>5. Сме док 4% = 4564 руб.</t>
  </si>
  <si>
    <t>A * Количество * Кст * K1
419100 руб * 1 * 0.6 * 0.5 * 1.124</t>
  </si>
  <si>
    <t>1. Тра 9% = 11316 руб.</t>
  </si>
  <si>
    <t>2. Зем пол 42% * (1 + 0.2) = 63368 руб.</t>
  </si>
  <si>
    <t>3. Вод тру и вод 9% * (1 + 0.2) = 13579 руб.</t>
  </si>
  <si>
    <t>4. Дор оде 11% * (1 + 0.2) = 16596 руб.</t>
  </si>
  <si>
    <t>5. Орг и без дви, обу дор 10% = 12573 руб.</t>
  </si>
  <si>
    <t>6. Орг сод авт дор 2% = 2515 руб.</t>
  </si>
  <si>
    <t>7. Рес стр с обо исп зар тех и мат 1% = 1257 руб.</t>
  </si>
  <si>
    <t>8. Охр окр сре 8% = 10058 руб.</t>
  </si>
  <si>
    <t>9. Сме док 8% = 10058 руб.</t>
  </si>
  <si>
    <t>A * Количество * Кст * K1
334880 руб * 2 * 0.61 * 0.75 * 0.808</t>
  </si>
  <si>
    <t>K2 = 1.16 (РПД 1-3) Разработка проектной документации на строительство сооружений в сложных условиях определяется с применением коэффициента к стоимости проектных работ: сейсмичность 8 баллов Основные положения, п.3.12, п/п 1.2 Усложняющий</t>
  </si>
  <si>
    <t>Разделы документации (43% * (1 + 0.16) + 2% * (1 + 0.16) + 10% * (1 + 0.16) + 7% + 10%) = 80.8%</t>
  </si>
  <si>
    <t>1. Зем пол 43% * (1 + 0.16) = 152840 руб.</t>
  </si>
  <si>
    <t>2. Вод тру и вод 2% * (1 + 0.16) = 7109 руб.</t>
  </si>
  <si>
    <t>3. Дор оде 10% * (1 + 0.16) = 35544 руб.</t>
  </si>
  <si>
    <t>4. Охр окр сре 7% = 21449 руб.</t>
  </si>
  <si>
    <t>5. Сме док 10% = 30642 руб.</t>
  </si>
  <si>
    <t>A * Количество * Кст * K1
100000 руб * 1 * 0.6 * 1.6 * 0.788</t>
  </si>
  <si>
    <t>K2 = 1.2 (РПД 2-6)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</si>
  <si>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(3.0% + 14.0% * (1 + 0.2) + 10.0% * (1 + 0.2) + 10.0% * (1 + 0.2) + 7.0% * (1 + 0.2) + 8.0% * (1 + 0.2) + 11.0% + 6.0%) = 78.8%</t>
  </si>
  <si>
    <t>1. Про пол отв 3% = 2880 руб.</t>
  </si>
  <si>
    <t>2. Тех и кон реш лин объ. Иск соо (инж обу, сет). Зем пол, вер стр пут на пер 14% * (1 + 0.2) = 16128 руб.</t>
  </si>
  <si>
    <t>3. Тех и кон реш лин объ. Иск соо (инж обу, сет). Иск соо 10% * (1 + 0.2) = 11520 руб.</t>
  </si>
  <si>
    <t>4. Тех и кон реш лин объ. Иск соо (инж обу, сет). Эле 10% * (1 + 0.2) = 11520 руб.</t>
  </si>
  <si>
    <t>5. Тех и кон реш лин объ. Иск соо (инж обу, сет). Вод и вод 7% * (1 + 0.2) = 8064 руб.</t>
  </si>
  <si>
    <t>6. Тех и кон реш лин объ. Иск соо (инж обу, сет). Свя 8% * (1 + 0.2) = 9216 руб.</t>
  </si>
  <si>
    <t>7. Зда и соо, вхо в инф объ 11% = 10560 руб.</t>
  </si>
  <si>
    <t>8. Сме на стр 6% = 5760 руб.</t>
  </si>
  <si>
    <t>(A + B * Xзад) * Количество * Кст
(160512 руб + 321480 руб * 0.327) * 1 * 0.7 * 1.026</t>
  </si>
  <si>
    <t>K1 = 1.2 (РПД 2-3, 3.1)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</si>
  <si>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(6.0% + 7.0% * (1 + 0.2) + 66.0% * (1 + 0.2) + 2.0% + 7.0%) = 102.6%</t>
  </si>
  <si>
    <t>3.1. Тех реш 66% * (1 + 0.2) [из 79.2%] = 147269 руб.</t>
  </si>
  <si>
    <t>(A + B * Xзад) * Количество * Кст * K1 * K2
(67100 руб + 660 руб * 52.95) * 1 * 0.77 * 0.85 * 0.9 * 1.036</t>
  </si>
  <si>
    <t>K3 = 1.2 (РПД 1-2)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</si>
  <si>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(66.0% * (1 + 0.2) + 12.0% * (1 + 0.2) + 6.0% + 4.0%) = 103.6%</t>
  </si>
  <si>
    <t>1. Кон реш. Иск соо. Опо 66% * (1 + 0.2) = 47608 руб.</t>
  </si>
  <si>
    <t>2. Кон реш. Иск соо. Про стр 12% * (1 + 0.2) = 8656 руб.</t>
  </si>
  <si>
    <t>3. Сме на стр 6% = 3607 руб.</t>
  </si>
  <si>
    <t>4. Ина док (арх реш) 4% = 2404 руб.</t>
  </si>
  <si>
    <t>(A + B * Xзад) * Количество * Кст * K1 * K2
(67100 руб + 660 руб * 46.7) * 1 * 0.77 * 0.85 * 0.9 * 1.036</t>
  </si>
  <si>
    <t>1. Кон реш. Иск соо. Опо 66% * (1 + 0.2) = 45683 руб.</t>
  </si>
  <si>
    <t>2. Кон реш. Иск соо. Про стр 12% * (1 + 0.2) = 8306 руб.</t>
  </si>
  <si>
    <t>3. Сме на стр 6% = 3461 руб.</t>
  </si>
  <si>
    <t>4. Ина док (арх реш) 4% = 2307 руб.</t>
  </si>
  <si>
    <t>(A + B * Xзад) * Количество * Кст
(12000 руб + 136 руб * 500) * 1 * 0.5 * 0.81</t>
  </si>
  <si>
    <t>K1 = 1.2 (РПД 1, 1.1-4)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</si>
  <si>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(24.5% * (1 + 0.2) + 23.5% * (1 + 0.2) + 1.5% * (1 + 0.2) + 5.5% * (1 + 0.2) + 5.0% + 10.0%) = 81%</t>
  </si>
  <si>
    <t>1.1. Тех реш 24.5% * (1 + 0.2) [из 66%] = 11760 руб.</t>
  </si>
  <si>
    <t>1.2. Кон реш 23.5% * (1 + 0.2) [из 66%] = 11280 руб.</t>
  </si>
  <si>
    <t>1.3. Иск соо 1.5% * (1 + 0.2) [из 66%] = 720 руб.</t>
  </si>
  <si>
    <t>1.4. Вод и вод 5.5% * (1 + 0.2) [из 66%] = 2640 руб.</t>
  </si>
  <si>
    <t>2. Мер по обе пож без 5% = 2000 руб.</t>
  </si>
  <si>
    <t>3. Сме на стр 10% = 4000 руб.</t>
  </si>
  <si>
    <t>(A + B * Xзад) * Количество * Кст
(12000 руб + 136 руб * 542.5) * 1 * 0.5 * 0.89</t>
  </si>
  <si>
    <t>Разделы документации (24.5% * (1 + 0.2) + 23.5% * (1 + 0.2) + 1.5% * (1 + 0.2) + 5.5% * (1 + 0.2) + 8.0% + 5.0% + 10.0%) = 89%</t>
  </si>
  <si>
    <t>1.1. Тех реш 24.5% * (1 + 0.2) [из 66%] = 12610 руб.</t>
  </si>
  <si>
    <t>1.2. Кон реш 23.5% * (1 + 0.2) [из 66%] = 12095 руб.</t>
  </si>
  <si>
    <t>1.3. Иск соо 1.5% * (1 + 0.2) [из 66%] = 772 руб.</t>
  </si>
  <si>
    <t>1.4. Вод и вод 5.5% * (1 + 0.2) [из 66%] = 2831 руб.</t>
  </si>
  <si>
    <t>2. Зда и соо, вхо в инф объ 8% = 3431 руб.</t>
  </si>
  <si>
    <t>3. Мер по обе пож без 5% = 2145 руб.</t>
  </si>
  <si>
    <t>4. Сме на стр 10% = 4289 руб.</t>
  </si>
  <si>
    <t>A * Количество * Кст * K1
30000 руб * 1 * 0.5 * 2 * 1.14</t>
  </si>
  <si>
    <t>1. Схе пла орг зем уча 2% = 600 руб.</t>
  </si>
  <si>
    <t>2. Арх реш 6% = 1800 руб.</t>
  </si>
  <si>
    <t>3. Кон и объ реш 15% * (1 + 0.2) = 5400 руб.</t>
  </si>
  <si>
    <t>4.1. Сис эле 9% * (1 + 0.2) [из 66%] = 3240 руб.</t>
  </si>
  <si>
    <t>4.2. Сис вод 3% * (1 + 0.2) [из 66%] = 1080 руб.</t>
  </si>
  <si>
    <t>4.3. Сис вод 3% * (1 + 0.2) [из 66%] = 1080 руб.</t>
  </si>
  <si>
    <t>4.4. Ото, вен и кон воз 7% * (1 + 0.2) [из 66%] = 2520 руб.</t>
  </si>
  <si>
    <t>4.5. Сет свя 2% * (1 + 0.2) [из 66%] = 720 руб.</t>
  </si>
  <si>
    <t>4.6. Сис газ 1% * (1 + 0.2) [из 66%] = 360 руб.</t>
  </si>
  <si>
    <t>4.7. Тех реш 30% * (1 + 0.2) [из 66%] = 10800 руб.</t>
  </si>
  <si>
    <t>5. Мер по обе пож без 9% = 2700 руб.</t>
  </si>
  <si>
    <t>6. Мер по обе дос инв 1% = 300 руб.</t>
  </si>
  <si>
    <t>7. Мер по обе соб тре эне эфф и тре осн зда, стр и соо при уче исп эне рес 5% = 1500 руб.</t>
  </si>
  <si>
    <t>8. Сме на стр 7% = 2100 руб.</t>
  </si>
  <si>
    <t>A * Количество * Кст * K1
77500 руб * 1 * 0.5 * 0.4 * 1.14</t>
  </si>
  <si>
    <t>1. Схе пла орг зем уча 2% = 310 руб.</t>
  </si>
  <si>
    <t>2. Арх реш 6% = 930 руб.</t>
  </si>
  <si>
    <t>3. Кон и объ реш 15% * (1 + 0.2) = 2790 руб.</t>
  </si>
  <si>
    <t>4.1. Сис эле 9% * (1 + 0.2) [из 66%] = 1674 руб.</t>
  </si>
  <si>
    <t>4.2. Сис вод 3% * (1 + 0.2) [из 66%] = 558 руб.</t>
  </si>
  <si>
    <t>4.3. Сис вод 3% * (1 + 0.2) [из 66%] = 558 руб.</t>
  </si>
  <si>
    <t>4.4. Ото, вен и кон воз 7% * (1 + 0.2) [из 66%] = 1302 руб.</t>
  </si>
  <si>
    <t>4.5. Сет свя 2% * (1 + 0.2) [из 66%] = 372 руб.</t>
  </si>
  <si>
    <t>4.6. Сис газ 1% * (1 + 0.2) [из 66%] = 186 руб.</t>
  </si>
  <si>
    <t>4.7. Тех реш 30% * (1 + 0.2) [из 66%] = 5580 руб.</t>
  </si>
  <si>
    <t>5. Мер по обе пож без 9% = 1395 руб.</t>
  </si>
  <si>
    <t>6. Мер по обе дос инв 1% = 155 руб.</t>
  </si>
  <si>
    <t>7. Мер по обе соб тре эне эфф и тре осн зда, стр и соо при уче исп эне рес 5% = 775 руб.</t>
  </si>
  <si>
    <t>8. Сме на стр 7% = 1085 руб.</t>
  </si>
  <si>
    <t>(A + B * Xзад) * Количество * Кст
(33000 руб + 128 руб * 298) * 1 * 0.5 * 0.89</t>
  </si>
  <si>
    <t>1.1. Тех реш 24.5% * (1 + 0.2) [из 66%] = 10458 руб.</t>
  </si>
  <si>
    <t>1.2. Кон реш 23.5% * (1 + 0.2) [из 66%] = 10031 руб.</t>
  </si>
  <si>
    <t>1.3. Иск соо 1.5% * (1 + 0.2) [из 66%] = 640 руб.</t>
  </si>
  <si>
    <t>1.4. Вод и вод 5.5% * (1 + 0.2) [из 66%] = 2348 руб.</t>
  </si>
  <si>
    <t>2. Зда и соо, вхо в инф объ 8% = 2846 руб.</t>
  </si>
  <si>
    <t>3. Мер по обе пож без 5% = 1779 руб.</t>
  </si>
  <si>
    <t>4. Сме на стр 10% = 3557 руб.</t>
  </si>
  <si>
    <t>(A + B * Xзад) * Количество * Кст
(33000 руб + 128 руб * 161) * 1 * 0.5 * 0.89</t>
  </si>
  <si>
    <t>1.1. Тех реш 24.5% * (1 + 0.2) [из 66%] = 7880 руб.</t>
  </si>
  <si>
    <t>1.2. Кон реш 23.5% * (1 + 0.2) [из 66%] = 7559 руб.</t>
  </si>
  <si>
    <t>1.3. Иск соо 1.5% * (1 + 0.2) [из 66%] = 482 руб.</t>
  </si>
  <si>
    <t>1.4. Вод и вод 5.5% * (1 + 0.2) [из 66%] = 1769 руб.</t>
  </si>
  <si>
    <t>2. Зда и соо, вхо в инф объ 8% = 2144 руб.</t>
  </si>
  <si>
    <t>3. Мер по обе пож без 5% = 1340 руб.</t>
  </si>
  <si>
    <t>4. Сме на стр 10% = 2680 руб.</t>
  </si>
  <si>
    <t>(A + B * Xзад) * Количество * Кст
(55040 руб + 213 руб * 132.5) * 1 * 0.5 * 0.89</t>
  </si>
  <si>
    <t>1.1. Тех реш 24.5% * (1 + 0.2) [из 66%] = 12240 руб.</t>
  </si>
  <si>
    <t>1.2. Кон реш 23.5% * (1 + 0.2) [из 66%] = 11740 руб.</t>
  </si>
  <si>
    <t>1.3. Иск соо 1.5% * (1 + 0.2) [из 66%] = 749 руб.</t>
  </si>
  <si>
    <t>1.4. Вод и вод 5.5% * (1 + 0.2) [из 66%] = 2748 руб.</t>
  </si>
  <si>
    <t>2. Зда и соо, вхо в инф объ 8% = 3331 руб.</t>
  </si>
  <si>
    <t>3. Мер по обе пож без 5% = 2082 руб.</t>
  </si>
  <si>
    <t>4. Сме на стр 10% = 4163 руб.</t>
  </si>
  <si>
    <t>(A + B * Xзад) * Количество * Кст
(76400 руб + 310 руб * 521) * 1 * 0.5 * 0.89</t>
  </si>
  <si>
    <t>1.1. Тех реш 24.5% * (1 + 0.2) [из 66%] = 34973 руб.</t>
  </si>
  <si>
    <t>1.2. Кон реш 23.5% * (1 + 0.2) [из 66%] = 33545 руб.</t>
  </si>
  <si>
    <t>1.3. Иск соо 1.5% * (1 + 0.2) [из 66%] = 2141 руб.</t>
  </si>
  <si>
    <t>1.4. Вод и вод 5.5% * (1 + 0.2) [из 66%] = 7851 руб.</t>
  </si>
  <si>
    <t>2. Зда и соо, вхо в инф объ 8% = 9516 руб.</t>
  </si>
  <si>
    <t>3. Мер по обе пож без 5% = 5948 руб.</t>
  </si>
  <si>
    <t>4. Сме на стр 10% = 11896 руб.</t>
  </si>
  <si>
    <t>(A + B * Xзад) * Количество * Кст * K1 * K2
(33000 руб + 128 руб * 100) * 1 * 0.5 * 0.7 * 0.7 * 1.154</t>
  </si>
  <si>
    <t>K3 = 1.2 (РПД 1, 1.1-7)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</si>
  <si>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1.1. Тех реш 24.5% * (1 + 0.2) [из 92.4%] = 3299 руб.</t>
  </si>
  <si>
    <t>1.2. Кон реш 23.5% * (1 + 0.2) [из 92.4%] = 3164 руб.</t>
  </si>
  <si>
    <t>1.3. Иск соо 1.5% * (1 + 0.2) [из 92.4%] = 202 руб.</t>
  </si>
  <si>
    <t>1.4. Обу 2.5% * (1 + 0.2) [из 92.4%] = 337 руб.</t>
  </si>
  <si>
    <t>1.5. Эле 17% * (1 + 0.2) [из 92.4%] = 2289 руб.</t>
  </si>
  <si>
    <t>1.6. Вод и вод 5.5% * (1 + 0.2) [из 92.4%] = 741 руб.</t>
  </si>
  <si>
    <t>1.7. Свя, сиг, АСУ 2.5% * (1 + 0.2) [из 92.4%] = 337 руб.</t>
  </si>
  <si>
    <t>2. Зда и соо, вхо в инф объ 8% = 898 руб.</t>
  </si>
  <si>
    <t>3. Мер по обе пож без 5% = 561 руб.</t>
  </si>
  <si>
    <t>4. Сме на стр 10% = 1122 руб.</t>
  </si>
  <si>
    <t>(A + B * Xзад) * Количество * Кст * K1
(424770 руб + 27280 руб * 2.592) * 1 * 0.4 * 0.3 * 1.156</t>
  </si>
  <si>
    <t>1. Схе пла орг зем уча 5% = 2973 руб.</t>
  </si>
  <si>
    <t>2. Арх реш 10% = 5946 руб.</t>
  </si>
  <si>
    <t>3. Кон и объ реш 33% * (1 + 0.2) = 23545 руб.</t>
  </si>
  <si>
    <t>4.1. Сис эле 10% * (1 + 0.2) [из 54%] = 7135 руб.</t>
  </si>
  <si>
    <t>4.2. Сис вод 3% * (1 + 0.2) [из 54%] = 2140 руб.</t>
  </si>
  <si>
    <t>4.3. Сис вод 3% * (1 + 0.2) [из 54%] = 2140 руб.</t>
  </si>
  <si>
    <t>4.4. Ото, вен 7% * (1 + 0.2) [из 54%] = 4994 руб.</t>
  </si>
  <si>
    <t>4.5. Осн общ сис свя и опо 2% * (1 + 0.2) [из 54%] = 1427 руб.</t>
  </si>
  <si>
    <t>4.6. Тех реш 20% * (1 + 0.2) [из 54%] = 14270 руб.</t>
  </si>
  <si>
    <t>5. Сме на стр 7% = 4162 руб.</t>
  </si>
  <si>
    <t>(A + B * Xзад) * Количество * Кст
(72890 руб + 28950 руб * 1.77) * 1 * 0.4 * 1.012</t>
  </si>
  <si>
    <t>K1 = 1.2 (РПД 3-4, 4.1-3) Разработка проектной документации на строительство предприятий, зданий и сооружений в сложных условиях:сейсмичность 8 баллов МУ 2009 г. Часть III п.3.7 Усложняющий</t>
  </si>
  <si>
    <t>Разделы документации (5.0% + 10.0% + 33.0% * (1 + 0.2) + 10.0% * (1 + 0.2) + 3.0% * (1 + 0.2) + 20.0% * (1 + 0.2) + 7.0%) = 101.2%</t>
  </si>
  <si>
    <t>3. Кон и объ реш 33% * (1 + 0.2) = 19662 руб.</t>
  </si>
  <si>
    <t>4.1. Сис эле 10% * (1 + 0.2) [из 39.6%] = 5958 руб.</t>
  </si>
  <si>
    <t>4.2. Сис вод 3% * (1 + 0.2) [из 39.6%] = 1787 руб.</t>
  </si>
  <si>
    <t>4.3. Тех реш 20% * (1 + 0.2) [из 39.6%] = 11917 руб.</t>
  </si>
  <si>
    <t>(A + B * Xзад) * Количество * Кст
(76400 руб + 310 руб * 100) * 1 * 0.5 * 1.154</t>
  </si>
  <si>
    <t>1.1. Тех реш 24.5% * (1 + 0.2) [из 92.4%] = 15788 руб.</t>
  </si>
  <si>
    <t>1.2. Кон реш 23.5% * (1 + 0.2) [из 92.4%] = 15143 руб.</t>
  </si>
  <si>
    <t>1.3. Иск соо 1.5% * (1 + 0.2) [из 92.4%] = 967 руб.</t>
  </si>
  <si>
    <t>1.4. Обу 2.5% * (1 + 0.2) [из 92.4%] = 1611 руб.</t>
  </si>
  <si>
    <t>1.5. Эле 17% * (1 + 0.2) [из 92.4%] = 10955 руб.</t>
  </si>
  <si>
    <t>1.6. Вод и вод 5.5% * (1 + 0.2) [из 92.4%] = 3544 руб.</t>
  </si>
  <si>
    <t>1.7. Свя, сиг, АСУ 2.5% * (1 + 0.2) [из 92.4%] = 1611 руб.</t>
  </si>
  <si>
    <t>2. Зда и соо, вхо в инф объ 8% = 4296 руб.</t>
  </si>
  <si>
    <t>3. Мер по обе пож без 5% = 2685 руб.</t>
  </si>
  <si>
    <t>4. Сме на стр 10% = 5370 руб.</t>
  </si>
  <si>
    <t>(A + B * (0.4 * Xмакс + 0.6 * Xзад)) * Количество * Кст
(55500 руб + 83 руб * (0.4 * 500 + 0.6 * 1833)) * 1 * 0.5 * 0.89</t>
  </si>
  <si>
    <t>1.1. Тех реш 24.5% * (1 + 0.2) [из 66%] = 24017 руб.</t>
  </si>
  <si>
    <t>1.2. Кон реш 23.5% * (1 + 0.2) [из 66%] = 23037 руб.</t>
  </si>
  <si>
    <t>1.3. Иск соо 1.5% * (1 + 0.2) [из 66%] = 1470 руб.</t>
  </si>
  <si>
    <t>1.4. Вод и вод 5.5% * (1 + 0.2) [из 66%] = 5392 руб.</t>
  </si>
  <si>
    <t>(A + B * Xзад) * Количество * Кст
(12265 руб + 37 руб * 3068) * 1 * 0.6</t>
  </si>
  <si>
    <t>Разделы документации (24.5% + 23.5% + 1.5% + 2.5% + 17.0% + 5.5% + 2.5% + 8.0% + 5.0% + 10.0%) = 100%</t>
  </si>
  <si>
    <t>1. Тех и кон реш лин объ. Иск соо (инж обу, сет) 77% = 58111 руб.</t>
  </si>
  <si>
    <t>1.1. Тех реш 24.5% [из 77%] = 18490 руб.</t>
  </si>
  <si>
    <t>1.2. Кон реш 23.5% [из 77%] = 17735 руб.</t>
  </si>
  <si>
    <t>1.3. Иск соо 1.5% [из 77%] = 1132 руб.</t>
  </si>
  <si>
    <t>1.4. Обу 2.5% [из 77%] = 1887 руб.</t>
  </si>
  <si>
    <t>1.5. Эле 17% [из 77%] = 12830 руб.</t>
  </si>
  <si>
    <t>1.6. Вод и вод 5.5% [из 77%] = 4151 руб.</t>
  </si>
  <si>
    <t>1.7. Свя, сиг, АСУ 2.5% [из 77%] = 1887 руб.</t>
  </si>
  <si>
    <t>(A + B * Xзад) * Количество * Кст
(84970 руб + 10 руб * 3839) * 1 * 0.6</t>
  </si>
  <si>
    <t>1. Тех и кон реш лин объ. Иск соо (инж обу, сет) 77% = 56992 руб.</t>
  </si>
  <si>
    <t>1.1. Тех реш 24.5% [из 77%] = 18134 руб.</t>
  </si>
  <si>
    <t>1.2. Кон реш 23.5% [из 77%] = 17394 руб.</t>
  </si>
  <si>
    <t>1.3. Иск соо 1.5% [из 77%] = 1110 руб.</t>
  </si>
  <si>
    <t>1.4. Обу 2.5% [из 77%] = 1850 руб.</t>
  </si>
  <si>
    <t>1.5. Эле 17% [из 77%] = 12583 руб.</t>
  </si>
  <si>
    <t>1.6. Вод и вод 5.5% [из 77%] = 4071 руб.</t>
  </si>
  <si>
    <t>1.7. Свя, сиг, АСУ 2.5% [из 77%] = 1850 руб.</t>
  </si>
  <si>
    <t>(A + B * Xзад) * Количество * Кст
(46000 руб + 69 руб * 1028) * 1 * 0.6</t>
  </si>
  <si>
    <t>1. Тех и кон реш лин объ. Иск соо (инж обу, сет) 77% = 54023 руб.</t>
  </si>
  <si>
    <t>1.1. Тех реш 24.5% [из 77%] = 17189 руб.</t>
  </si>
  <si>
    <t>1.2. Кон реш 23.5% [из 77%] = 16487 руб.</t>
  </si>
  <si>
    <t>1.3. Иск соо 1.5% [из 77%] = 1052 руб.</t>
  </si>
  <si>
    <t>1.4. Обу 2.5% [из 77%] = 1754 руб.</t>
  </si>
  <si>
    <t>1.5. Эле 17% [из 77%] = 11927 руб.</t>
  </si>
  <si>
    <t>1.6. Вод и вод 5.5% [из 77%] = 3859 руб.</t>
  </si>
  <si>
    <t>1.7. Свя, сиг, АСУ 2.5% [из 77%] = 1754 руб.</t>
  </si>
  <si>
    <t>(A + B * Xзад) * Количество * Кст
(750 руб + 137 руб * 128) * 1 * 0.6</t>
  </si>
  <si>
    <t>1. Тех и кон реш лин объ. Иск соо (инж обу, сет) 77% = 8448 руб.</t>
  </si>
  <si>
    <t>1.1. Тех реш 24.5% [из 77%] = 2688 руб.</t>
  </si>
  <si>
    <t>1.2. Кон реш 23.5% [из 77%] = 2578 руб.</t>
  </si>
  <si>
    <t>1.3. Иск соо 1.5% [из 77%] = 165 руб.</t>
  </si>
  <si>
    <t>1.4. Обу 2.5% [из 77%] = 274 руб.</t>
  </si>
  <si>
    <t>1.5. Эле 17% [из 77%] = 1865 руб.</t>
  </si>
  <si>
    <t>1.6. Вод и вод 5.5% [из 77%] = 603 руб.</t>
  </si>
  <si>
    <t>1.7. Свя, сиг, АСУ 2.5% [из 77%] = 274 руб.</t>
  </si>
  <si>
    <t>(A + B * (0.4 * Xмакс + 0.6 * Xзад)) * Количество * Кст
(41000 руб + 20 руб * (0.4 * 3000 + 0.6 * 5750)) * 1 * 0.6 * 0.75</t>
  </si>
  <si>
    <t>Разделы документации (24.5% + 23.5% + 1.5% + 2.5% + 8.0% + 5.0% + 10.0%) = 75%</t>
  </si>
  <si>
    <t>1. Тех и кон реш лин объ. Иск соо (инж обу, сет) 52% = 41808 руб.</t>
  </si>
  <si>
    <t>1.1. Тех реш 24.5% [из 52%] = 19698 руб.</t>
  </si>
  <si>
    <t>1.2. Кон реш 23.5% [из 52%] = 18894 руб.</t>
  </si>
  <si>
    <t>1.3. Иск соо 1.5% [из 52%] = 1206 руб.</t>
  </si>
  <si>
    <t>1.4. Свя, сиг, АСУ 2.5% [из 52%] = 2010 руб.</t>
  </si>
  <si>
    <t>2. Зда и соо, вхо в инф объ 8% = 6432 руб.</t>
  </si>
  <si>
    <t>3. Мер по обе пож без 5% = 4020 руб.</t>
  </si>
  <si>
    <t>4. Сме на стр 10% = 8040 руб.</t>
  </si>
  <si>
    <t>(п.49) / 1.19</t>
  </si>
  <si>
    <t>Сметный расчет составлен по следующим документам: Постановление Правительства РФ № 145 от 05.03.2007 «О порядке организации и проведения государственной экспертизы проектной документации и результатов инженерных изысканий»</t>
  </si>
  <si>
    <t>Устройство подпорной стенки. Система дренажей.</t>
  </si>
  <si>
    <t>ТЦ_01.4.01.00_78_7820337847_29.05.2021_01 Том  11.4, стр. 282, п.440</t>
  </si>
  <si>
    <t>ТЦ_01.4.01_78_7820337847_29.05.2021_01, Том  11.4, стр. 282, п.441</t>
  </si>
  <si>
    <t>ТЦ_01.4.01_78_7820337847_29.05.2021_01, Том  11.4, стр. 282, п.442</t>
  </si>
  <si>
    <t>ТЦ_01.4.01_78_7820337847_29.05.2021_01, Том  11.4, стр. 282, п.443</t>
  </si>
  <si>
    <t>ТЦ_01.4.01_78_7820337847_29.05.2021_01, Том  11.4, стр. 282, п.444</t>
  </si>
  <si>
    <t>ТЦ_01.4.01_78_7820337847_29.05.2021_01, Том  11.4, стр. 282, п.445</t>
  </si>
  <si>
    <t>ТЦ_01.4.01_78_7820337847_29.05.2021_01, Том  11.4, стр. 282, п.446</t>
  </si>
  <si>
    <t>ТЦ_01.4.01_78_7820337847_29.05.2021_01, Том  11.4, стр. 282, п.447</t>
  </si>
  <si>
    <t>Определение солей тяжёлых металлов в почвах, грунтах и донных отложениях (медь, никель, цинк, мышьяк, кадмий, свинец) - 6 элемент.</t>
  </si>
  <si>
    <t>Постановление Правительства РФ № 145 от 05.03.2007 «О порядке организации и проведения государственной экспертизы проектной документации и результатов инженерных изысканий» Таблица (п.56). Плата за проведение государственной экспертизы проектной документации и (или) результатов инженерных изысканий для нежилых объектов капитального строительства
в ценах 2001 года:
Спд = 2.409 млн.руб
Сиж = 1.643 млн.руб
Спд+Сиж = 4.052 млн.руб
Процентное соотношение
П=0.0877
Произведение индексов потребительских цен
Кi=5.71 (инд. 2021 (1,1858*1,1506*1,1199*1,1173*1,1092*1,0900*1,1187 *1,1328*1,0880*1,0878*1,0610*1,0657*1,0647* 1,1135*1,1291*1,0539*1,0251*1,0426*1,0304*1,0491))</t>
  </si>
  <si>
    <t>Спд2001 * П * Кi + Сиж2001 * П * Ki
2409 тыс.руб * 0.0877 * 5.71 + 1643 тыс.руб * 0.0877 * 5.71</t>
  </si>
  <si>
    <r>
      <t>Сводный сметный расчет в сумме</t>
    </r>
    <r>
      <rPr>
        <b/>
        <sz val="10"/>
        <rFont val="Arial"/>
        <family val="2"/>
        <charset val="204"/>
      </rPr>
      <t xml:space="preserve"> 1 112 946,82</t>
    </r>
    <r>
      <rPr>
        <sz val="10"/>
        <rFont val="Arial"/>
        <family val="2"/>
        <charset val="204"/>
      </rPr>
      <t xml:space="preserve"> тыс. руб.</t>
    </r>
  </si>
  <si>
    <r>
      <t xml:space="preserve">Сводный сметный расчет в сумме </t>
    </r>
    <r>
      <rPr>
        <b/>
        <sz val="10"/>
        <rFont val="Arial"/>
        <family val="2"/>
        <charset val="204"/>
      </rPr>
      <t>101 587,76</t>
    </r>
    <r>
      <rPr>
        <sz val="10"/>
        <rFont val="Arial"/>
        <family val="2"/>
        <charset val="204"/>
      </rPr>
      <t xml:space="preserve"> тыс. руб.</t>
    </r>
  </si>
  <si>
    <t>Этап 2</t>
  </si>
  <si>
    <t>В том числе этап 2</t>
  </si>
  <si>
    <t>5.1</t>
  </si>
  <si>
    <t>5.2</t>
  </si>
  <si>
    <t>5.3</t>
  </si>
  <si>
    <t>5.4</t>
  </si>
  <si>
    <t>5.5</t>
  </si>
  <si>
    <t>5.6</t>
  </si>
  <si>
    <t>5.7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</si>
  <si>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</si>
  <si>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</si>
  <si>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</si>
  <si>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</si>
  <si>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</si>
  <si>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</si>
  <si>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</si>
  <si>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</si>
  <si>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</si>
  <si>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</si>
  <si>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6.11</t>
  </si>
  <si>
    <t>6.12</t>
  </si>
  <si>
    <t>7.1</t>
  </si>
  <si>
    <t>7.2</t>
  </si>
  <si>
    <t>7.3</t>
  </si>
  <si>
    <t>8.1</t>
  </si>
  <si>
    <t>8.2</t>
  </si>
  <si>
    <t>8.3</t>
  </si>
  <si>
    <t>10.1</t>
  </si>
  <si>
    <t>10.2</t>
  </si>
  <si>
    <t>11.1</t>
  </si>
  <si>
    <t>11.2</t>
  </si>
  <si>
    <t>13.1</t>
  </si>
  <si>
    <t>13.2</t>
  </si>
  <si>
    <t>13.3</t>
  </si>
  <si>
    <t>16.1</t>
  </si>
  <si>
    <t>16.2</t>
  </si>
  <si>
    <t>16.3</t>
  </si>
  <si>
    <t>16.4</t>
  </si>
  <si>
    <t>16.5</t>
  </si>
  <si>
    <t>17.1</t>
  </si>
  <si>
    <t>17.2</t>
  </si>
  <si>
    <t>17.3</t>
  </si>
  <si>
    <t>17.4</t>
  </si>
  <si>
    <t>18.1</t>
  </si>
  <si>
    <t>18.2</t>
  </si>
  <si>
    <t>24.1</t>
  </si>
  <si>
    <t>24.2</t>
  </si>
  <si>
    <t>27.1</t>
  </si>
  <si>
    <t>27.2</t>
  </si>
  <si>
    <t>27.3</t>
  </si>
  <si>
    <t>Расчет начальной (максимальной) цены контракта при осуществлении закупки на выполнение подрядных работ по строительству</t>
  </si>
  <si>
    <t>объект:</t>
  </si>
  <si>
    <t>по адресу:</t>
  </si>
  <si>
    <t>Основания для расчета:</t>
  </si>
  <si>
    <t>Наименование глав, объектов капитального строительства, работ и затрат</t>
  </si>
  <si>
    <t>Оборудование</t>
  </si>
  <si>
    <t>Возврат от разборки ВзИС - 15%</t>
  </si>
  <si>
    <t>Индекс фактической инфляции*</t>
  </si>
  <si>
    <t>Стоимость работ в ценах на дату формирования начальной (максимальной) цены контракта</t>
  </si>
  <si>
    <t>Индекс прогнозной инфляции на период выполнения работ</t>
  </si>
  <si>
    <t>Начальная (максимальная) цена контракта с учетом индекса прогнозной инфляции на период выполнения работ</t>
  </si>
  <si>
    <t>в том числе Оборудование</t>
  </si>
  <si>
    <t>Методика Минстрой РФ от 04.08.2020 № 421/пр, п.179 а</t>
  </si>
  <si>
    <t>Непредвиденные работы и затраты - 2%</t>
  </si>
  <si>
    <t>Стоимость без учета НДС</t>
  </si>
  <si>
    <t>НДС - 20 %</t>
  </si>
  <si>
    <t>Стоимость с учетом НДС</t>
  </si>
  <si>
    <t>Дата формирования НМЦК</t>
  </si>
  <si>
    <t>Расчет индекса прогнозной инфляции для разработки РД:</t>
  </si>
  <si>
    <t>Продолжительность выполнения работ, мес.</t>
  </si>
  <si>
    <t>Начало работ</t>
  </si>
  <si>
    <t>Окончание работ</t>
  </si>
  <si>
    <t>^(1/12)</t>
  </si>
  <si>
    <t>ежемесячный прогнозный индекс на 2022 год</t>
  </si>
  <si>
    <t>Индекс прогнозной инфляции</t>
  </si>
  <si>
    <t>Расчет индекса прогнозной инфляции для строительства</t>
  </si>
  <si>
    <r>
      <t>1. Приказ об утверждении проектной документации, включая сводный сметный расчет стоимости строительства от</t>
    </r>
    <r>
      <rPr>
        <sz val="10"/>
        <color rgb="FFFF0000"/>
        <rFont val="Times New Roman"/>
        <family val="1"/>
        <charset val="204"/>
      </rPr>
      <t xml:space="preserve"> ___.___.2022 № Пр-22-____.</t>
    </r>
  </si>
  <si>
    <t>3. Утвержденный сводный сметный расчет стоимости строительства «Всесезонный туристско-рекреационный комплекс «Эльбрус»,
Кабардино-Балкарская Республика. Открытая плоскостная парковка  на 800 машино-мест.» в ценах 2 квартала 2021 г.</t>
  </si>
  <si>
    <t>ВЗиС 3,1%</t>
  </si>
  <si>
    <t>Стоимость работ в ценах утверждения сметной документации по состоянию на 2 квартал 2021 г.</t>
  </si>
  <si>
    <t>2.1.1</t>
  </si>
  <si>
    <t>2.1.2</t>
  </si>
  <si>
    <t>2.2.1</t>
  </si>
  <si>
    <t>2.2.2</t>
  </si>
  <si>
    <t>ЗУ 0,5%</t>
  </si>
  <si>
    <t>Перевозка работников</t>
  </si>
  <si>
    <t>суточные и проживание</t>
  </si>
  <si>
    <t>Примечание</t>
  </si>
  <si>
    <r>
      <t xml:space="preserve">Согласно Постановлению правительства РФ от 2 октября 2002 г. N 729 п.1а затраты на проживание компенсируются по факту (при наличии подтверждающих документов), но </t>
    </r>
    <r>
      <rPr>
        <b/>
        <u/>
        <sz val="11"/>
        <color theme="1"/>
        <rFont val="Calibri"/>
        <family val="2"/>
        <charset val="204"/>
        <scheme val="minor"/>
      </rPr>
      <t>не более 550 руб</t>
    </r>
    <r>
      <rPr>
        <sz val="11"/>
        <color theme="1"/>
        <rFont val="Calibri"/>
        <family val="2"/>
        <charset val="204"/>
        <scheme val="minor"/>
      </rPr>
      <t>. в сутки</t>
    </r>
  </si>
  <si>
    <t>с учетом проживания 550 руб/сутки</t>
  </si>
  <si>
    <t>тыс.руб. - без учета возврата от разборки ВЗиС</t>
  </si>
  <si>
    <t>Строительство (строительные работы, оборудование, прочие затраты). 1 этап</t>
  </si>
  <si>
    <t>Строительство (строительные работы, оборудование, прочие затраты). 2 этап</t>
  </si>
  <si>
    <t>1 этап</t>
  </si>
  <si>
    <t>2 этап</t>
  </si>
  <si>
    <t>Разработка рабочей документации. 2 этап</t>
  </si>
  <si>
    <t>Разработка рабочей документации. 1 этап</t>
  </si>
  <si>
    <t>1.1.1</t>
  </si>
  <si>
    <t>1.1.2</t>
  </si>
  <si>
    <t>1.2.1</t>
  </si>
  <si>
    <t>1.2.1.1</t>
  </si>
  <si>
    <t>1.2.1.2</t>
  </si>
  <si>
    <t>1.2.2</t>
  </si>
  <si>
    <t>1.2.2.1</t>
  </si>
  <si>
    <t>1.2.2.2</t>
  </si>
  <si>
    <t>1.2.2.3</t>
  </si>
  <si>
    <t>1.2.3</t>
  </si>
  <si>
    <t>1.2.4</t>
  </si>
  <si>
    <t>1.2.5</t>
  </si>
  <si>
    <t>1.2.5.1</t>
  </si>
  <si>
    <t>1.2.5.2</t>
  </si>
  <si>
    <t>1.2.5.3</t>
  </si>
  <si>
    <t>1.2.5.4</t>
  </si>
  <si>
    <t>1.2.5.5</t>
  </si>
  <si>
    <t>1.2.5.6</t>
  </si>
  <si>
    <t>1.2.5.7</t>
  </si>
  <si>
    <t>1.2.6</t>
  </si>
  <si>
    <t>1.2.6.1</t>
  </si>
  <si>
    <t>1.2.6.2</t>
  </si>
  <si>
    <t>1.2.6.3</t>
  </si>
  <si>
    <t>1.2.6.4</t>
  </si>
  <si>
    <t>1.2.6.5</t>
  </si>
  <si>
    <t>1.2.6.6</t>
  </si>
  <si>
    <t>1.2.6.7</t>
  </si>
  <si>
    <t>1.2.6.8</t>
  </si>
  <si>
    <t>1.2.6.9</t>
  </si>
  <si>
    <t>1.2.6.10</t>
  </si>
  <si>
    <t>1.2.6.11</t>
  </si>
  <si>
    <t>1.2.6.12</t>
  </si>
  <si>
    <t>1.2.7</t>
  </si>
  <si>
    <t>1.2.7.1</t>
  </si>
  <si>
    <t>1.2.7.2</t>
  </si>
  <si>
    <t>1.2.7.3</t>
  </si>
  <si>
    <t>1.2.8</t>
  </si>
  <si>
    <t>1.2.8.1</t>
  </si>
  <si>
    <t>1.2.8.2</t>
  </si>
  <si>
    <t>1.2.8.3</t>
  </si>
  <si>
    <t>1.2.9</t>
  </si>
  <si>
    <t>1.2.10</t>
  </si>
  <si>
    <t>1.2.10.1</t>
  </si>
  <si>
    <t>1.2.10.2</t>
  </si>
  <si>
    <t>1.2.11</t>
  </si>
  <si>
    <t>1.2.12</t>
  </si>
  <si>
    <t>1.2.12.1</t>
  </si>
  <si>
    <t>1.2.12.2</t>
  </si>
  <si>
    <t>1.2.12.3</t>
  </si>
  <si>
    <t>1.2.13</t>
  </si>
  <si>
    <t>1.2.14</t>
  </si>
  <si>
    <t>1.2.15</t>
  </si>
  <si>
    <t>1.2.15.1</t>
  </si>
  <si>
    <t>1.2.15.2</t>
  </si>
  <si>
    <t>1.2.15.3</t>
  </si>
  <si>
    <t>1.2.15.4</t>
  </si>
  <si>
    <t>1.2.15.5</t>
  </si>
  <si>
    <t>1.2.16</t>
  </si>
  <si>
    <t>1.2.16.1</t>
  </si>
  <si>
    <t>1.2.16.2</t>
  </si>
  <si>
    <t>1.2.16.3</t>
  </si>
  <si>
    <t>1.2.16.4</t>
  </si>
  <si>
    <t>1.2.17</t>
  </si>
  <si>
    <t>1.2.17.1</t>
  </si>
  <si>
    <t>1.2.17.2</t>
  </si>
  <si>
    <t>1.2.18</t>
  </si>
  <si>
    <t>1.2.19</t>
  </si>
  <si>
    <t>1.2.20</t>
  </si>
  <si>
    <t>1.2.20.1</t>
  </si>
  <si>
    <t>1.2.20.2</t>
  </si>
  <si>
    <t>1.2.21</t>
  </si>
  <si>
    <t>1.2.21.1</t>
  </si>
  <si>
    <t>1.2.21.2</t>
  </si>
  <si>
    <t>1.2.22</t>
  </si>
  <si>
    <t>1.2.23</t>
  </si>
  <si>
    <t>2.2.1.1</t>
  </si>
  <si>
    <t>2.2.1.2</t>
  </si>
  <si>
    <t>РАСЧЕТ НАЧАЛЬНОЙ МАКСИМАЛЬНОЙ ЦЕНЫ ДОГОВОРА</t>
  </si>
  <si>
    <t>по объекту:</t>
  </si>
  <si>
    <t xml:space="preserve">Продолжительность работ </t>
  </si>
  <si>
    <t xml:space="preserve">Начало работ - </t>
  </si>
  <si>
    <t xml:space="preserve">Окончание работ - </t>
  </si>
  <si>
    <t>№ п.п.</t>
  </si>
  <si>
    <t>Перечень видов работ</t>
  </si>
  <si>
    <t xml:space="preserve"> Стоимость в прогнозных   ценах, руб.</t>
  </si>
  <si>
    <t>без учета НДС</t>
  </si>
  <si>
    <t>НДС-20 %</t>
  </si>
  <si>
    <t>с учетом НДС</t>
  </si>
  <si>
    <t>В том числе:</t>
  </si>
  <si>
    <t>Инфляционная составляющая за период выполнения работ</t>
  </si>
  <si>
    <t>ВСЕГО:</t>
  </si>
  <si>
    <t xml:space="preserve">Оборудование </t>
  </si>
  <si>
    <t xml:space="preserve">непредвиденные расходы </t>
  </si>
  <si>
    <t xml:space="preserve">инфляционная составляющая за период выполнения работ </t>
  </si>
  <si>
    <t>Протокол</t>
  </si>
  <si>
    <t>начальной (максимальной) цены контракта</t>
  </si>
  <si>
    <t>Объект закупки:</t>
  </si>
  <si>
    <t xml:space="preserve">Начальная (максимальная ) цена контракта составляет </t>
  </si>
  <si>
    <t>Начальная (максимальная ) цена контракта включает в себя расходы:</t>
  </si>
  <si>
    <t>- разработка рабочей документации;</t>
  </si>
  <si>
    <t>- затраты на оплату труда рабочих-строителей;</t>
  </si>
  <si>
    <t>- затраты на приобретение материалов, изделий и конструкций;</t>
  </si>
  <si>
    <t>- затраты на эксплуатацию машин и механизмов;</t>
  </si>
  <si>
    <t>- накладные расходы;</t>
  </si>
  <si>
    <t>- сметную прибыль;</t>
  </si>
  <si>
    <t>- стоимость оборудования поставки подрядчика;</t>
  </si>
  <si>
    <t>- затраты на строительство временных зданий и сооружений;</t>
  </si>
  <si>
    <t>- возврат от разборки временных зданий и сооружений в размере 15% от суммы затрат на их возведение;</t>
  </si>
  <si>
    <t>- пусконаладочные работы;</t>
  </si>
  <si>
    <t>- резерв средств на непредвиденные работы и затраты;</t>
  </si>
  <si>
    <t>-индексы фактической инфляции для пересчета сметной стоимости из уровня цен утверждения проектной документации в уровень цен на дату определения НМЦК;</t>
  </si>
  <si>
    <t>-прогнозные индексы инфляции для пересчета из уровня цен на дату определения НМЦК в уровень цен соответствующего периода реализации проекта;</t>
  </si>
  <si>
    <t>- налог на добавленную стоимость в размере 20%.</t>
  </si>
  <si>
    <t>Приложение:</t>
  </si>
  <si>
    <t>Расчет начальной (максимальной) цены контракта.</t>
  </si>
  <si>
    <t xml:space="preserve">Заказчик: </t>
  </si>
  <si>
    <t>(должность, подпись, инициалы, фамилия)</t>
  </si>
  <si>
    <t>- затраты на геодезическую разбивочную основу;</t>
  </si>
  <si>
    <t>- производственный экологический контроль и мониторинг;</t>
  </si>
  <si>
    <t>- плата за негативное воздействие на окружающую среду;</t>
  </si>
  <si>
    <t>- командировочные расходы;</t>
  </si>
  <si>
    <t>- затраты по размещению, утилизации отходов строительного производства;</t>
  </si>
  <si>
    <t>ПОЯСНИТЕЛЬНАЯ ЗАПИСКА</t>
  </si>
  <si>
    <t>К РАСЧЕТУ НАЧАЛЬНОЙ МАКСИМАЛЬНОЙ ЦЕНЫ ДОГОВОРА</t>
  </si>
  <si>
    <t>Расчет стоимости строительства выполнен проектно- сметным методом.</t>
  </si>
  <si>
    <t>Цена работ учитывает все затраты Подрядчика, включая стоимость проектных работ стадии "Рабочая документация", стоимость приобретения материалов и оборудования поставки Подрядчика, стоимость строительно-монтажных и прочих затрат согласно перечню затрат, учтенному сводным сметным расчетом стоимости строительства, накладных расходов, сметной прибыли.</t>
  </si>
  <si>
    <t>Описание метода расчета стоимости проектных работ и строительства</t>
  </si>
  <si>
    <t xml:space="preserve">Индекс-дефлятор определен в соответствии с данными Минэкономразвития РФ.  </t>
  </si>
  <si>
    <t>Индекс-дефлятор на продолжительность строительства выполнен в соответствии с графиком выполнения работ.</t>
  </si>
  <si>
    <t>Налог на добавленную стоимость - 20 %</t>
  </si>
  <si>
    <t>Итоговая начальная максимальная цена  работ  составляет:</t>
  </si>
  <si>
    <t>рублей с учетом НДС</t>
  </si>
  <si>
    <t>Размер суточных- 100 руб. в сутки на человека, компенсация за проживание - 550 руб. в сутки на человека (согласно Постановлению Правительства РФ от 02.10.2002 г. № 729).</t>
  </si>
  <si>
    <t>В расчете учтены временные здания и сооружения в размере 3,1%, зимнее удорожание в размере 0,5%, непредвиденные затраты в размере 2 % согласно сводному сметному расчету и возврат от разборки временных зданий и сооружений в размере 15%.</t>
  </si>
  <si>
    <t>- удорожание работ в зимнее время;</t>
  </si>
  <si>
    <t>**поскольку индексы Росстата от ноября 2021 до даты формирования НМЦК отсутствуют, они принимаются равными 1.</t>
  </si>
  <si>
    <t>1,0069*1,0128*1,0142*1,008*1*1*1=</t>
  </si>
  <si>
    <t>*Индекс фактической инфляции по данным Росстата ("Строительство ", Кабардино-Балкарская Республика) от цен утверждения сметной документации до даты формирования НМЦК</t>
  </si>
  <si>
    <t>График производства работ по объекту: 
Всесезонный туристско-рекреационный комплекс "Эльбрус", Кабардино-Балкарская Республика. Открытая плоскостная парковка на 800 машино-мест</t>
  </si>
  <si>
    <t>Виды (наименования) работ</t>
  </si>
  <si>
    <t>Сроки выполнения работ</t>
  </si>
  <si>
    <t>Дата начала</t>
  </si>
  <si>
    <t>Дата окончания</t>
  </si>
  <si>
    <t xml:space="preserve">Разработка рабочей документации </t>
  </si>
  <si>
    <t>Всесезонный туристско-рекреационный комплекс "Эльбрус", Кабардино-Балкарская Республика. Открытая плоскостная парковка на 800 машино-мест</t>
  </si>
  <si>
    <t>Х</t>
  </si>
  <si>
    <t>Х + 90</t>
  </si>
  <si>
    <t>Строительно-монтажные работы, включая ГРО, подготовительные работы, монтаж и пусконаладка оборудования, оборудование поставки подрядчика, прочие затраты, подготовка исполнительной документации, сдача объекта Заказчику с комплектом документов, позволяющим получить разрешение на ввод объекта в эксплуатацию.</t>
  </si>
  <si>
    <t>Х + 40</t>
  </si>
  <si>
    <t>X-дата заключения Договора</t>
  </si>
  <si>
    <t xml:space="preserve">Начальная (максимальная) цена контракта с учетом индекса прогнозной инфляции на период выполнения работ и с учетом  авансирования в размере </t>
  </si>
  <si>
    <t>Индекс Минэкономразвития РФ на 2022 г. (Письмо Минэкономразвития России от 05.10.2021 № 33918-ПК/Д03и)</t>
  </si>
  <si>
    <t>- авансирование в размере 50%;</t>
  </si>
  <si>
    <t>(четыреста восемьдесят три миллиона четыреста тридцать девять тысяч шестьсот пятьдесят семь рублей, 56 копеек)</t>
  </si>
  <si>
    <t>Индексы-дефляторы определены с учетом авансирования в размере 50%.</t>
  </si>
  <si>
    <t>затраты не индексируются (лимит ограничен ПП РФ). учтены затраты на проживание 550 руб/сутки согласно постановлению правительства РФ №729.</t>
  </si>
  <si>
    <t>Россия, Кабардино-Балкарская Республика, Эльбрусский район</t>
  </si>
  <si>
    <t>2. Заключение Федерального автономного учреждения "Главное управление государственной экспертизы" (ФАУ "ГЛАВГОСЭКСПЕРТИЗА РОССИИ") от 13.01.2022 № 07-1-1-3-001009-2022.</t>
  </si>
  <si>
    <t>Ведомость объемов конструктивных решений (элементов) и комплексов (видов) работ</t>
  </si>
  <si>
    <t>Номера сметных расчетов (смет) и позиций в сметных расчетах (сметах), относящиеся к соответствующим конструктивным решениям (элементам), комплексам (видам) работ</t>
  </si>
  <si>
    <t>Наименование конструктивных решений (элементов), комплексов (видов) работ</t>
  </si>
  <si>
    <t>Количество (объем работ)</t>
  </si>
  <si>
    <t>комплекс</t>
  </si>
  <si>
    <t>ПРОЕКТ СМЕТЫ КОНТРАКТА</t>
  </si>
  <si>
    <t>На единицу измерения</t>
  </si>
  <si>
    <t>Всего</t>
  </si>
  <si>
    <t>НДС-20%</t>
  </si>
  <si>
    <t>НДС не начисляется к п.1.2.19, 1.2.20, 1.2.22</t>
  </si>
  <si>
    <t>Начальная максимальная цена договора ( далее - НМЦД) определена в соответствии с Приказом Минстроя России от 23 декабря 2019 г. № 841/пр «Об утверждении Порядка определения начальной (максимальной) цены контракта, цены контракта, заключаемого с единственным поставщиком (подрядчиком, исполнителем), начальной цены единицы товара, работы, услуги при осуществлении закупок в сфере градостроительной деятельности (за исключением территориального планирования) и Методики составления сметы контракта, предметом которого являются строительство, реконструкция объектов капитального строительства», требованием Федерального Закона  от 05.04.2013 г. № 44 "О контрактной системе в сфере закупок товаров, работ, услуг для обеспечения государственных и муниципальных нужд", требованием Положения о договорной работе, утвержденного  Приказом акционерного общества "Курорты Северного Кавказа" от 21.07.2020  № Пр-20-133.</t>
  </si>
  <si>
    <t xml:space="preserve">Для расчета цены строительства  использован сводный сметный расчет в ценах 2 квартала 2021 г., локальные сметные расчеты в ценах 2 кв. 2021 г.,  получившие положительное заключение ФАУ "Главгосэкспертиза России" от 13.01.2022 № 07-1-1-3-001009-2022.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</si>
</sst>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3" formatCode="_-* #,##0.00\ _₽_-;\-* #,##0.00\ _₽_-;_-* &quot;-&quot;??\ _₽_-;_-@_-"/>
    <numFmt numFmtId="164" formatCode="_-* #,##0.00_-;\-* #,##0.00_-;_-* &quot;-&quot;??_-;_-@_-"/>
    <numFmt numFmtId="165" formatCode="_-* #,##0.00_р_._-;\-* #,##0.00_р_._-;_-* &quot;-&quot;??_р_._-;_-@_-"/>
    <numFmt numFmtId="166" formatCode="_-* #,##0_р_._-;\-* #,##0_р_._-;_-* &quot;-&quot;_р_._-;_-@_-"/>
    <numFmt numFmtId="167" formatCode="#,##0.00;[Red]\-\ #,##0.00"/>
    <numFmt numFmtId="168" formatCode="#,##0.0"/>
    <numFmt numFmtId="169" formatCode="#,##0.000"/>
    <numFmt numFmtId="170" formatCode="0.0"/>
    <numFmt numFmtId="171" formatCode="_-* #,##0.0_р_._-;\-* #,##0.0_р_._-;_-* &quot;-&quot;??_р_._-;_-@_-"/>
    <numFmt numFmtId="172" formatCode="0.0%"/>
    <numFmt numFmtId="173" formatCode="#,##0.00000"/>
    <numFmt numFmtId="174" formatCode="#,##0.00_р_."/>
    <numFmt numFmtId="175" formatCode="0.0000"/>
    <numFmt numFmtId="176" formatCode="000000"/>
    <numFmt numFmtId="177" formatCode="0.###%"/>
    <numFmt numFmtId="178" formatCode="0.000"/>
    <numFmt numFmtId="179" formatCode="_-* #,##0.0000000_-;\-* #,##0.0000000_-;_-* &quot;-&quot;??_-;_-@_-"/>
    <numFmt numFmtId="180" formatCode="0.0000000"/>
  </numFmts>
  <fonts count="177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name val="Arial Cyr"/>
      <family val="2"/>
      <charset val="204"/>
    </font>
    <font>
      <sz val="7"/>
      <color rgb="FF808080"/>
      <name val="Arial"/>
      <family val="2"/>
      <charset val="204"/>
    </font>
    <font>
      <sz val="11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name val="Calibri"/>
      <family val="2"/>
      <charset val="204"/>
    </font>
    <font>
      <sz val="11"/>
      <color rgb="FF000000"/>
      <name val="Calibri"/>
      <family val="2"/>
      <charset val="204"/>
    </font>
    <font>
      <sz val="12"/>
      <name val="Arial Cyr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name val="Arial Cyr"/>
      <charset val="204"/>
    </font>
    <font>
      <b/>
      <sz val="11"/>
      <name val="Times New Roman"/>
      <family val="1"/>
      <charset val="204"/>
    </font>
    <font>
      <b/>
      <sz val="11"/>
      <name val="Arial Cyr"/>
      <charset val="204"/>
    </font>
    <font>
      <i/>
      <sz val="8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i/>
      <sz val="8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6"/>
      <name val="Arial"/>
      <family val="2"/>
      <charset val="204"/>
    </font>
    <font>
      <sz val="8"/>
      <color indexed="8"/>
      <name val="Arial"/>
      <family val="2"/>
    </font>
    <font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sz val="10"/>
      <name val="Tahoma"/>
      <family val="2"/>
      <charset val="204"/>
    </font>
    <font>
      <u/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8"/>
      <color indexed="8"/>
      <name val="Arial"/>
      <family val="2"/>
      <charset val="204"/>
    </font>
    <font>
      <sz val="9"/>
      <name val="Arial"/>
      <family val="2"/>
      <charset val="204"/>
    </font>
    <font>
      <i/>
      <sz val="8"/>
      <name val="Arial"/>
      <family val="2"/>
      <charset val="204"/>
    </font>
    <font>
      <i/>
      <sz val="12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 Cyr"/>
      <family val="2"/>
      <charset val="204"/>
    </font>
    <font>
      <sz val="10"/>
      <name val="Times New Roman Cyr"/>
      <family val="1"/>
      <charset val="204"/>
    </font>
    <font>
      <b/>
      <i/>
      <sz val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u/>
      <sz val="10"/>
      <name val="Arial Cyr"/>
      <family val="2"/>
      <charset val="204"/>
    </font>
    <font>
      <sz val="12"/>
      <color rgb="FF00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0"/>
      <color theme="1"/>
      <name val="Arial"/>
      <family val="2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name val="Times New Roman Cyr"/>
      <charset val="204"/>
    </font>
    <font>
      <sz val="10"/>
      <color rgb="FF000000"/>
      <name val="Times New Roman"/>
      <family val="1"/>
      <charset val="204"/>
    </font>
    <font>
      <sz val="11"/>
      <name val="Calibri"/>
      <family val="2"/>
      <scheme val="minor"/>
    </font>
    <font>
      <sz val="10"/>
      <color theme="0"/>
      <name val="Arial Cyr"/>
      <charset val="204"/>
    </font>
    <font>
      <vertAlign val="superscript"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name val="Courier"/>
      <family val="1"/>
      <charset val="204"/>
    </font>
    <font>
      <sz val="10"/>
      <name val="Calibri"/>
      <family val="2"/>
      <charset val="204"/>
    </font>
    <font>
      <b/>
      <sz val="10"/>
      <name val="Arial"/>
      <family val="2"/>
    </font>
    <font>
      <sz val="10"/>
      <color indexed="8"/>
      <name val="Calibri"/>
      <family val="2"/>
      <charset val="204"/>
    </font>
    <font>
      <i/>
      <sz val="9"/>
      <name val="Arial"/>
      <family val="2"/>
      <charset val="204"/>
    </font>
    <font>
      <u/>
      <sz val="12"/>
      <name val="Arial"/>
      <family val="2"/>
      <charset val="204"/>
    </font>
    <font>
      <i/>
      <sz val="10"/>
      <name val="Arial"/>
      <family val="2"/>
      <charset val="204"/>
    </font>
    <font>
      <b/>
      <sz val="11"/>
      <name val="Arial"/>
      <family val="2"/>
      <charset val="204"/>
    </font>
    <font>
      <u/>
      <sz val="10"/>
      <color theme="10"/>
      <name val="Arial Cyr"/>
      <charset val="204"/>
    </font>
    <font>
      <sz val="11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i/>
      <sz val="8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sz val="10"/>
      <color indexed="8"/>
      <name val="Arial"/>
      <family val="2"/>
    </font>
    <font>
      <b/>
      <sz val="9"/>
      <name val="Arial"/>
      <family val="2"/>
      <charset val="204"/>
    </font>
    <font>
      <sz val="9"/>
      <name val="Arial Cyr"/>
      <charset val="204"/>
    </font>
    <font>
      <sz val="8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i/>
      <sz val="8"/>
      <color rgb="FF000000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6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6"/>
      <color theme="1"/>
      <name val="Times New Roman"/>
      <family val="1"/>
      <charset val="204"/>
    </font>
    <font>
      <sz val="6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rgb="FF000000"/>
      <name val="Times New Roman"/>
      <family val="1"/>
      <charset val="204"/>
    </font>
    <font>
      <b/>
      <sz val="10"/>
      <color rgb="FFFF0000"/>
      <name val="Arial Cyr"/>
      <charset val="204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1"/>
      <name val="Arial"/>
      <family val="2"/>
      <charset val="204"/>
    </font>
    <font>
      <sz val="10"/>
      <color rgb="FF002060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name val="Calibri"/>
      <family val="2"/>
      <charset val="204"/>
      <scheme val="minor"/>
    </font>
    <font>
      <b/>
      <i/>
      <sz val="9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i/>
      <sz val="8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0"/>
      <color rgb="FF0070C0"/>
      <name val="Times New Roman"/>
      <family val="1"/>
      <charset val="204"/>
    </font>
    <font>
      <sz val="10"/>
      <color rgb="FF0070C0"/>
      <name val="Arial"/>
      <family val="2"/>
      <charset val="204"/>
    </font>
    <font>
      <sz val="10"/>
      <color rgb="FF0070C0"/>
      <name val="Arial Cyr"/>
      <family val="2"/>
      <charset val="204"/>
    </font>
    <font>
      <i/>
      <sz val="10"/>
      <color rgb="FF0070C0"/>
      <name val="Arial Cyr"/>
      <charset val="204"/>
    </font>
    <font>
      <sz val="10"/>
      <color rgb="FFFF0000"/>
      <name val="Times New Roman"/>
      <family val="1"/>
      <charset val="204"/>
    </font>
    <font>
      <b/>
      <u/>
      <sz val="11"/>
      <color theme="1"/>
      <name val="Calibri"/>
      <family val="2"/>
      <charset val="204"/>
      <scheme val="minor"/>
    </font>
    <font>
      <b/>
      <sz val="12"/>
      <name val="Arial Cyr"/>
      <charset val="204"/>
    </font>
    <font>
      <sz val="10"/>
      <color rgb="FFFF0000"/>
      <name val="Arial Cyr"/>
      <charset val="204"/>
    </font>
    <font>
      <b/>
      <sz val="12"/>
      <color rgb="FFFF0000"/>
      <name val="Times New Roman"/>
      <family val="1"/>
      <charset val="204"/>
    </font>
    <font>
      <b/>
      <sz val="11"/>
      <name val="Calibri"/>
      <family val="2"/>
      <charset val="204"/>
    </font>
    <font>
      <b/>
      <i/>
      <sz val="12"/>
      <color rgb="FF0070C0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u/>
      <sz val="12"/>
      <name val="Times New Roman"/>
      <family val="1"/>
      <charset val="204"/>
    </font>
    <font>
      <sz val="11"/>
      <color rgb="FF9C6500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u/>
      <sz val="10"/>
      <name val="Arial Cyr"/>
      <charset val="204"/>
    </font>
  </fonts>
  <fills count="2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EB9C"/>
      </patternFill>
    </fill>
    <fill>
      <patternFill patternType="solid">
        <fgColor theme="9" tint="0.59999389629810485"/>
        <bgColor indexed="64"/>
      </patternFill>
    </fill>
  </fills>
  <borders count="1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54">
    <xf numFmtId="0" fontId="0" fillId="0" borderId="0"/>
    <xf numFmtId="0" fontId="23" fillId="0" borderId="0"/>
    <xf numFmtId="0" fontId="26" fillId="0" borderId="0">
      <alignment horizontal="left" vertical="top"/>
    </xf>
    <xf numFmtId="0" fontId="27" fillId="0" borderId="0">
      <alignment horizontal="left" vertical="top"/>
    </xf>
    <xf numFmtId="0" fontId="27" fillId="0" borderId="1">
      <alignment horizontal="center"/>
    </xf>
    <xf numFmtId="0" fontId="27" fillId="0" borderId="0">
      <alignment horizontal="center"/>
    </xf>
    <xf numFmtId="0" fontId="24" fillId="0" borderId="1" applyBorder="0" applyAlignment="0">
      <alignment horizontal="center" wrapText="1"/>
    </xf>
    <xf numFmtId="0" fontId="28" fillId="0" borderId="0"/>
    <xf numFmtId="0" fontId="24" fillId="0" borderId="0"/>
    <xf numFmtId="0" fontId="27" fillId="0" borderId="0">
      <alignment horizontal="right" vertical="top" wrapText="1"/>
    </xf>
    <xf numFmtId="0" fontId="25" fillId="0" borderId="0"/>
    <xf numFmtId="0" fontId="29" fillId="0" borderId="1">
      <alignment horizontal="left" vertical="center"/>
    </xf>
    <xf numFmtId="0" fontId="29" fillId="0" borderId="2">
      <alignment horizontal="left" vertical="top"/>
    </xf>
    <xf numFmtId="0" fontId="29" fillId="0" borderId="1">
      <alignment horizontal="center" vertical="center"/>
    </xf>
    <xf numFmtId="0" fontId="23" fillId="0" borderId="0"/>
    <xf numFmtId="0" fontId="29" fillId="0" borderId="0">
      <alignment horizontal="left" vertical="top"/>
    </xf>
    <xf numFmtId="0" fontId="30" fillId="0" borderId="0">
      <alignment horizontal="left" vertical="top"/>
    </xf>
    <xf numFmtId="0" fontId="29" fillId="0" borderId="0">
      <alignment horizontal="left" vertical="center"/>
    </xf>
    <xf numFmtId="0" fontId="30" fillId="0" borderId="0">
      <alignment horizontal="left" vertical="center"/>
    </xf>
    <xf numFmtId="164" fontId="23" fillId="0" borderId="0" applyFont="0" applyFill="0" applyBorder="0" applyAlignment="0" applyProtection="0"/>
    <xf numFmtId="0" fontId="22" fillId="0" borderId="0"/>
    <xf numFmtId="0" fontId="26" fillId="0" borderId="0">
      <alignment horizontal="center"/>
    </xf>
    <xf numFmtId="0" fontId="26" fillId="0" borderId="0">
      <alignment horizontal="center" vertical="center"/>
    </xf>
    <xf numFmtId="0" fontId="26" fillId="0" borderId="0">
      <alignment horizontal="left" vertical="center"/>
    </xf>
    <xf numFmtId="0" fontId="26" fillId="0" borderId="0">
      <alignment horizontal="center" vertical="center"/>
    </xf>
    <xf numFmtId="0" fontId="26" fillId="0" borderId="0">
      <alignment horizontal="center" vertical="center"/>
    </xf>
    <xf numFmtId="0" fontId="26" fillId="0" borderId="0">
      <alignment horizontal="center" vertical="center"/>
    </xf>
    <xf numFmtId="0" fontId="26" fillId="0" borderId="0">
      <alignment horizontal="center" vertical="center"/>
    </xf>
    <xf numFmtId="0" fontId="31" fillId="0" borderId="0">
      <alignment horizontal="center" vertical="center"/>
    </xf>
    <xf numFmtId="0" fontId="31" fillId="0" borderId="0">
      <alignment horizontal="center" vertical="center"/>
    </xf>
    <xf numFmtId="0" fontId="32" fillId="0" borderId="0">
      <alignment horizontal="center" vertical="top"/>
    </xf>
    <xf numFmtId="164" fontId="22" fillId="0" borderId="0" applyFont="0" applyFill="0" applyBorder="0" applyAlignment="0" applyProtection="0"/>
    <xf numFmtId="0" fontId="22" fillId="0" borderId="0"/>
    <xf numFmtId="0" fontId="33" fillId="0" borderId="0"/>
    <xf numFmtId="0" fontId="21" fillId="0" borderId="0"/>
    <xf numFmtId="0" fontId="21" fillId="0" borderId="0"/>
    <xf numFmtId="0" fontId="21" fillId="0" borderId="0"/>
    <xf numFmtId="0" fontId="34" fillId="0" borderId="0"/>
    <xf numFmtId="0" fontId="24" fillId="0" borderId="0"/>
    <xf numFmtId="0" fontId="21" fillId="0" borderId="0"/>
    <xf numFmtId="0" fontId="20" fillId="0" borderId="0"/>
    <xf numFmtId="0" fontId="26" fillId="0" borderId="0">
      <alignment horizontal="right"/>
    </xf>
    <xf numFmtId="0" fontId="35" fillId="0" borderId="0">
      <alignment horizontal="left" vertical="top"/>
    </xf>
    <xf numFmtId="0" fontId="26" fillId="0" borderId="0">
      <alignment horizontal="right" vertical="top"/>
    </xf>
    <xf numFmtId="0" fontId="19" fillId="0" borderId="0"/>
    <xf numFmtId="0" fontId="28" fillId="0" borderId="0"/>
    <xf numFmtId="0" fontId="33" fillId="0" borderId="0"/>
    <xf numFmtId="0" fontId="36" fillId="0" borderId="0"/>
    <xf numFmtId="0" fontId="18" fillId="0" borderId="0"/>
    <xf numFmtId="0" fontId="27" fillId="0" borderId="1">
      <alignment horizontal="center" wrapText="1"/>
    </xf>
    <xf numFmtId="0" fontId="3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39" fillId="0" borderId="0"/>
    <xf numFmtId="0" fontId="43" fillId="0" borderId="0"/>
    <xf numFmtId="0" fontId="43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43" fillId="0" borderId="0"/>
    <xf numFmtId="43" fontId="28" fillId="0" borderId="0" applyFont="0" applyFill="0" applyBorder="0" applyAlignment="0" applyProtection="0"/>
    <xf numFmtId="165" fontId="43" fillId="0" borderId="0" applyFont="0" applyFill="0" applyBorder="0" applyAlignment="0" applyProtection="0"/>
    <xf numFmtId="9" fontId="28" fillId="0" borderId="0" applyFont="0" applyFill="0" applyBorder="0" applyAlignment="0" applyProtection="0"/>
    <xf numFmtId="166" fontId="43" fillId="0" borderId="0" applyFont="0" applyFill="0" applyBorder="0" applyAlignment="0" applyProtection="0"/>
    <xf numFmtId="0" fontId="43" fillId="0" borderId="0"/>
    <xf numFmtId="9" fontId="43" fillId="0" borderId="0" applyFont="0" applyFill="0" applyBorder="0" applyAlignment="0" applyProtection="0"/>
    <xf numFmtId="0" fontId="14" fillId="0" borderId="0"/>
    <xf numFmtId="165" fontId="44" fillId="0" borderId="0" applyFont="0" applyFill="0" applyBorder="0" applyAlignment="0" applyProtection="0"/>
    <xf numFmtId="0" fontId="44" fillId="0" borderId="0"/>
    <xf numFmtId="0" fontId="24" fillId="0" borderId="0"/>
    <xf numFmtId="0" fontId="14" fillId="0" borderId="0"/>
    <xf numFmtId="0" fontId="24" fillId="0" borderId="0"/>
    <xf numFmtId="0" fontId="43" fillId="0" borderId="0"/>
    <xf numFmtId="0" fontId="14" fillId="0" borderId="0"/>
    <xf numFmtId="0" fontId="29" fillId="0" borderId="10">
      <alignment horizontal="left" vertical="top"/>
    </xf>
    <xf numFmtId="0" fontId="14" fillId="0" borderId="0"/>
    <xf numFmtId="0" fontId="13" fillId="0" borderId="0"/>
    <xf numFmtId="0" fontId="13" fillId="0" borderId="0"/>
    <xf numFmtId="0" fontId="45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3" fillId="0" borderId="0"/>
    <xf numFmtId="0" fontId="1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22" fillId="0" borderId="0" applyNumberFormat="0" applyFill="0" applyBorder="0" applyAlignment="0" applyProtection="0"/>
    <xf numFmtId="0" fontId="9" fillId="0" borderId="0"/>
    <xf numFmtId="0" fontId="123" fillId="0" borderId="0"/>
    <xf numFmtId="0" fontId="27" fillId="0" borderId="1">
      <alignment horizontal="center"/>
    </xf>
    <xf numFmtId="0" fontId="43" fillId="0" borderId="0">
      <alignment vertical="top"/>
    </xf>
    <xf numFmtId="0" fontId="27" fillId="0" borderId="0">
      <alignment vertical="top"/>
    </xf>
    <xf numFmtId="0" fontId="43" fillId="0" borderId="0"/>
    <xf numFmtId="0" fontId="27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>
      <alignment vertical="top"/>
    </xf>
    <xf numFmtId="0" fontId="43" fillId="0" borderId="0"/>
    <xf numFmtId="0" fontId="27" fillId="0" borderId="0"/>
    <xf numFmtId="0" fontId="27" fillId="0" borderId="1">
      <alignment horizontal="center" wrapText="1"/>
    </xf>
    <xf numFmtId="0" fontId="27" fillId="0" borderId="1">
      <alignment horizontal="center"/>
    </xf>
    <xf numFmtId="0" fontId="43" fillId="0" borderId="0"/>
    <xf numFmtId="0" fontId="27" fillId="0" borderId="1">
      <alignment horizontal="center" wrapText="1"/>
    </xf>
    <xf numFmtId="0" fontId="43" fillId="0" borderId="0"/>
    <xf numFmtId="0" fontId="43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4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15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36" fillId="0" borderId="0"/>
    <xf numFmtId="0" fontId="43" fillId="0" borderId="0"/>
    <xf numFmtId="0" fontId="24" fillId="0" borderId="0"/>
    <xf numFmtId="0" fontId="40" fillId="0" borderId="0"/>
    <xf numFmtId="0" fontId="174" fillId="18" borderId="0" applyNumberFormat="0" applyBorder="0" applyAlignment="0" applyProtection="0"/>
    <xf numFmtId="0" fontId="2" fillId="0" borderId="0"/>
  </cellStyleXfs>
  <cellXfs count="2444">
    <xf numFmtId="0" fontId="0" fillId="0" borderId="0" xfId="0"/>
    <xf numFmtId="0" fontId="0" fillId="0" borderId="0" xfId="0"/>
    <xf numFmtId="0" fontId="40" fillId="0" borderId="0" xfId="0" applyFont="1"/>
    <xf numFmtId="0" fontId="14" fillId="0" borderId="0" xfId="63"/>
    <xf numFmtId="0" fontId="11" fillId="0" borderId="0" xfId="88"/>
    <xf numFmtId="0" fontId="46" fillId="0" borderId="0" xfId="0" applyFont="1" applyAlignment="1">
      <alignment horizontal="right"/>
    </xf>
    <xf numFmtId="0" fontId="27" fillId="0" borderId="0" xfId="0" applyFont="1"/>
    <xf numFmtId="49" fontId="27" fillId="0" borderId="0" xfId="0" applyNumberFormat="1" applyFont="1" applyAlignment="1">
      <alignment horizontal="left" vertical="top"/>
    </xf>
    <xf numFmtId="0" fontId="27" fillId="0" borderId="0" xfId="0" applyFont="1" applyAlignment="1">
      <alignment horizontal="left" vertical="top"/>
    </xf>
    <xf numFmtId="0" fontId="27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8" fillId="0" borderId="0" xfId="5" applyFont="1" applyAlignment="1">
      <alignment horizontal="center" vertical="center"/>
    </xf>
    <xf numFmtId="49" fontId="27" fillId="0" borderId="0" xfId="5" applyNumberFormat="1" applyAlignment="1">
      <alignment wrapText="1"/>
    </xf>
    <xf numFmtId="49" fontId="48" fillId="0" borderId="0" xfId="0" applyNumberFormat="1" applyFont="1" applyAlignment="1">
      <alignment horizontal="left" vertical="top"/>
    </xf>
    <xf numFmtId="0" fontId="50" fillId="0" borderId="3" xfId="0" applyFont="1" applyBorder="1"/>
    <xf numFmtId="0" fontId="48" fillId="0" borderId="3" xfId="0" applyFont="1" applyBorder="1" applyAlignment="1">
      <alignment horizontal="center" vertical="center"/>
    </xf>
    <xf numFmtId="0" fontId="48" fillId="0" borderId="3" xfId="60" applyFont="1" applyBorder="1" applyAlignment="1">
      <alignment horizontal="right"/>
    </xf>
    <xf numFmtId="49" fontId="48" fillId="0" borderId="0" xfId="5" applyNumberFormat="1" applyFont="1" applyAlignment="1">
      <alignment horizontal="left"/>
    </xf>
    <xf numFmtId="0" fontId="27" fillId="0" borderId="0" xfId="0" applyFont="1" applyAlignment="1">
      <alignment horizontal="right" vertical="center"/>
    </xf>
    <xf numFmtId="49" fontId="27" fillId="0" borderId="0" xfId="5" applyNumberFormat="1" applyAlignment="1">
      <alignment horizontal="left"/>
    </xf>
    <xf numFmtId="0" fontId="27" fillId="0" borderId="0" xfId="5" applyAlignment="1">
      <alignment horizontal="left"/>
    </xf>
    <xf numFmtId="0" fontId="27" fillId="0" borderId="3" xfId="0" applyFont="1" applyBorder="1" applyAlignment="1">
      <alignment horizontal="right" vertical="center"/>
    </xf>
    <xf numFmtId="0" fontId="27" fillId="0" borderId="3" xfId="0" applyFont="1" applyBorder="1" applyAlignment="1">
      <alignment horizontal="center" vertical="center"/>
    </xf>
    <xf numFmtId="0" fontId="27" fillId="0" borderId="3" xfId="5" applyBorder="1" applyAlignment="1">
      <alignment horizontal="right"/>
    </xf>
    <xf numFmtId="49" fontId="27" fillId="0" borderId="0" xfId="5" applyNumberFormat="1" applyAlignment="1">
      <alignment vertical="center"/>
    </xf>
    <xf numFmtId="0" fontId="27" fillId="0" borderId="12" xfId="61" applyFont="1" applyBorder="1" applyAlignment="1">
      <alignment horizontal="center" wrapText="1"/>
    </xf>
    <xf numFmtId="49" fontId="27" fillId="0" borderId="1" xfId="0" applyNumberFormat="1" applyFont="1" applyBorder="1" applyAlignment="1">
      <alignment horizontal="center" vertical="top" wrapText="1"/>
    </xf>
    <xf numFmtId="49" fontId="27" fillId="0" borderId="1" xfId="0" applyNumberFormat="1" applyFont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27" fillId="0" borderId="1" xfId="0" applyFont="1" applyBorder="1" applyAlignment="1">
      <alignment horizontal="right" vertical="top" wrapText="1"/>
    </xf>
    <xf numFmtId="0" fontId="48" fillId="0" borderId="1" xfId="0" applyFont="1" applyBorder="1" applyAlignment="1">
      <alignment horizontal="left" vertical="top" wrapText="1"/>
    </xf>
    <xf numFmtId="49" fontId="27" fillId="0" borderId="0" xfId="0" applyNumberFormat="1" applyFont="1" applyAlignment="1">
      <alignment horizontal="center" vertical="top" wrapText="1"/>
    </xf>
    <xf numFmtId="49" fontId="27" fillId="0" borderId="0" xfId="0" applyNumberFormat="1" applyFont="1" applyAlignment="1">
      <alignment horizontal="left" vertical="top" wrapText="1"/>
    </xf>
    <xf numFmtId="0" fontId="27" fillId="0" borderId="0" xfId="0" applyFont="1" applyAlignment="1">
      <alignment horizontal="left" vertical="top" wrapText="1"/>
    </xf>
    <xf numFmtId="0" fontId="27" fillId="0" borderId="0" xfId="0" applyFont="1" applyAlignment="1">
      <alignment horizontal="right" vertical="top" wrapText="1"/>
    </xf>
    <xf numFmtId="0" fontId="27" fillId="0" borderId="0" xfId="3">
      <alignment horizontal="left" vertical="top"/>
    </xf>
    <xf numFmtId="0" fontId="27" fillId="0" borderId="3" xfId="3" applyBorder="1">
      <alignment horizontal="left" vertical="top"/>
    </xf>
    <xf numFmtId="0" fontId="41" fillId="0" borderId="3" xfId="3" applyFont="1" applyBorder="1" applyAlignment="1">
      <alignment vertical="top"/>
    </xf>
    <xf numFmtId="0" fontId="0" fillId="0" borderId="3" xfId="0" applyBorder="1"/>
    <xf numFmtId="0" fontId="41" fillId="0" borderId="0" xfId="0" applyFont="1"/>
    <xf numFmtId="0" fontId="57" fillId="0" borderId="0" xfId="59" applyFont="1"/>
    <xf numFmtId="0" fontId="57" fillId="0" borderId="0" xfId="59" applyFont="1" applyAlignment="1">
      <alignment horizontal="right"/>
    </xf>
    <xf numFmtId="0" fontId="58" fillId="0" borderId="0" xfId="59" applyFont="1" applyAlignment="1">
      <alignment vertical="top"/>
    </xf>
    <xf numFmtId="0" fontId="57" fillId="0" borderId="0" xfId="59" applyFont="1" applyAlignment="1">
      <alignment wrapText="1"/>
    </xf>
    <xf numFmtId="0" fontId="57" fillId="0" borderId="3" xfId="59" applyFont="1" applyBorder="1"/>
    <xf numFmtId="0" fontId="57" fillId="0" borderId="3" xfId="59" applyFont="1" applyBorder="1" applyAlignment="1">
      <alignment horizontal="right"/>
    </xf>
    <xf numFmtId="0" fontId="57" fillId="0" borderId="0" xfId="59" applyFont="1" applyAlignment="1">
      <alignment vertical="top"/>
    </xf>
    <xf numFmtId="0" fontId="58" fillId="0" borderId="0" xfId="59" applyFont="1" applyAlignment="1">
      <alignment horizontal="center"/>
    </xf>
    <xf numFmtId="0" fontId="57" fillId="0" borderId="0" xfId="59" applyFont="1" applyAlignment="1">
      <alignment horizontal="left" vertical="top"/>
    </xf>
    <xf numFmtId="0" fontId="57" fillId="0" borderId="0" xfId="59" applyFont="1" applyAlignment="1">
      <alignment horizontal="left"/>
    </xf>
    <xf numFmtId="0" fontId="57" fillId="0" borderId="3" xfId="59" applyFont="1" applyBorder="1" applyAlignment="1">
      <alignment vertical="top"/>
    </xf>
    <xf numFmtId="0" fontId="59" fillId="0" borderId="0" xfId="59" applyFont="1" applyAlignment="1">
      <alignment horizontal="center" vertical="top"/>
    </xf>
    <xf numFmtId="0" fontId="60" fillId="0" borderId="0" xfId="59" applyFont="1" applyAlignment="1">
      <alignment horizontal="center"/>
    </xf>
    <xf numFmtId="0" fontId="57" fillId="0" borderId="3" xfId="59" applyFont="1" applyBorder="1" applyAlignment="1">
      <alignment horizontal="center"/>
    </xf>
    <xf numFmtId="0" fontId="59" fillId="0" borderId="0" xfId="59" applyFont="1"/>
    <xf numFmtId="3" fontId="57" fillId="0" borderId="0" xfId="59" applyNumberFormat="1" applyFont="1" applyAlignment="1">
      <alignment horizontal="right" vertical="top"/>
    </xf>
    <xf numFmtId="0" fontId="59" fillId="0" borderId="0" xfId="59" applyFont="1" applyAlignment="1">
      <alignment horizontal="center"/>
    </xf>
    <xf numFmtId="0" fontId="58" fillId="0" borderId="0" xfId="59" applyFont="1" applyAlignment="1">
      <alignment horizontal="left"/>
    </xf>
    <xf numFmtId="0" fontId="57" fillId="0" borderId="0" xfId="59" applyFont="1" applyAlignment="1">
      <alignment horizontal="center"/>
    </xf>
    <xf numFmtId="2" fontId="57" fillId="0" borderId="3" xfId="59" applyNumberFormat="1" applyFont="1" applyBorder="1"/>
    <xf numFmtId="49" fontId="57" fillId="0" borderId="3" xfId="59" applyNumberFormat="1" applyFont="1" applyBorder="1" applyAlignment="1">
      <alignment horizontal="right"/>
    </xf>
    <xf numFmtId="0" fontId="57" fillId="0" borderId="0" xfId="59" applyFont="1" applyAlignment="1">
      <alignment vertical="center" wrapText="1"/>
    </xf>
    <xf numFmtId="2" fontId="57" fillId="0" borderId="0" xfId="59" applyNumberFormat="1" applyFont="1"/>
    <xf numFmtId="49" fontId="57" fillId="0" borderId="0" xfId="59" applyNumberFormat="1" applyFont="1" applyAlignment="1">
      <alignment horizontal="right"/>
    </xf>
    <xf numFmtId="49" fontId="57" fillId="0" borderId="6" xfId="59" applyNumberFormat="1" applyFont="1" applyBorder="1" applyAlignment="1">
      <alignment horizontal="right"/>
    </xf>
    <xf numFmtId="2" fontId="57" fillId="0" borderId="6" xfId="59" applyNumberFormat="1" applyFont="1" applyBorder="1" applyAlignment="1">
      <alignment horizontal="right"/>
    </xf>
    <xf numFmtId="0" fontId="57" fillId="0" borderId="0" xfId="59" applyFont="1" applyAlignment="1">
      <alignment vertical="center"/>
    </xf>
    <xf numFmtId="0" fontId="57" fillId="0" borderId="1" xfId="59" applyFont="1" applyBorder="1" applyAlignment="1">
      <alignment horizontal="center" vertical="center" wrapText="1"/>
    </xf>
    <xf numFmtId="0" fontId="57" fillId="0" borderId="1" xfId="59" applyFont="1" applyBorder="1" applyAlignment="1">
      <alignment horizontal="center" vertical="center"/>
    </xf>
    <xf numFmtId="0" fontId="58" fillId="0" borderId="9" xfId="59" applyFont="1" applyBorder="1" applyAlignment="1">
      <alignment horizontal="center" vertical="top" wrapText="1"/>
    </xf>
    <xf numFmtId="0" fontId="58" fillId="0" borderId="10" xfId="59" applyFont="1" applyBorder="1" applyAlignment="1">
      <alignment horizontal="left" vertical="top" wrapText="1"/>
    </xf>
    <xf numFmtId="0" fontId="58" fillId="0" borderId="10" xfId="59" applyFont="1" applyBorder="1" applyAlignment="1">
      <alignment horizontal="center" vertical="top" wrapText="1"/>
    </xf>
    <xf numFmtId="4" fontId="58" fillId="0" borderId="10" xfId="59" applyNumberFormat="1" applyFont="1" applyBorder="1" applyAlignment="1">
      <alignment horizontal="right" vertical="top" wrapText="1"/>
    </xf>
    <xf numFmtId="2" fontId="58" fillId="0" borderId="10" xfId="59" applyNumberFormat="1" applyFont="1" applyBorder="1" applyAlignment="1">
      <alignment horizontal="center" vertical="top" wrapText="1"/>
    </xf>
    <xf numFmtId="3" fontId="58" fillId="0" borderId="11" xfId="59" applyNumberFormat="1" applyFont="1" applyBorder="1" applyAlignment="1">
      <alignment horizontal="right" vertical="top" wrapText="1"/>
    </xf>
    <xf numFmtId="0" fontId="57" fillId="0" borderId="7" xfId="59" applyFont="1" applyBorder="1" applyAlignment="1">
      <alignment horizontal="center" vertical="top" wrapText="1"/>
    </xf>
    <xf numFmtId="0" fontId="57" fillId="0" borderId="0" xfId="59" applyFont="1" applyAlignment="1">
      <alignment horizontal="left" vertical="top" wrapText="1"/>
    </xf>
    <xf numFmtId="0" fontId="57" fillId="0" borderId="7" xfId="59" applyFont="1" applyBorder="1" applyAlignment="1">
      <alignment vertical="center" wrapText="1"/>
    </xf>
    <xf numFmtId="0" fontId="57" fillId="0" borderId="0" xfId="59" applyFont="1" applyAlignment="1">
      <alignment horizontal="right" vertical="top" wrapText="1"/>
    </xf>
    <xf numFmtId="0" fontId="57" fillId="0" borderId="7" xfId="59" applyFont="1" applyBorder="1" applyAlignment="1">
      <alignment horizontal="center" vertical="center" wrapText="1"/>
    </xf>
    <xf numFmtId="0" fontId="57" fillId="0" borderId="0" xfId="59" applyFont="1" applyAlignment="1">
      <alignment horizontal="center" vertical="top" wrapText="1"/>
    </xf>
    <xf numFmtId="4" fontId="57" fillId="0" borderId="0" xfId="59" applyNumberFormat="1" applyFont="1" applyAlignment="1">
      <alignment horizontal="right" vertical="top" wrapText="1"/>
    </xf>
    <xf numFmtId="2" fontId="57" fillId="0" borderId="0" xfId="59" applyNumberFormat="1" applyFont="1" applyAlignment="1">
      <alignment horizontal="center" vertical="top" wrapText="1"/>
    </xf>
    <xf numFmtId="3" fontId="57" fillId="0" borderId="8" xfId="59" applyNumberFormat="1" applyFont="1" applyBorder="1" applyAlignment="1">
      <alignment horizontal="right" vertical="top" wrapText="1"/>
    </xf>
    <xf numFmtId="0" fontId="57" fillId="0" borderId="10" xfId="59" applyFont="1" applyBorder="1" applyAlignment="1">
      <alignment horizontal="center" vertical="top" wrapText="1"/>
    </xf>
    <xf numFmtId="4" fontId="57" fillId="0" borderId="10" xfId="59" applyNumberFormat="1" applyFont="1" applyBorder="1" applyAlignment="1">
      <alignment horizontal="right" vertical="top" wrapText="1"/>
    </xf>
    <xf numFmtId="2" fontId="57" fillId="0" borderId="10" xfId="59" applyNumberFormat="1" applyFont="1" applyBorder="1" applyAlignment="1">
      <alignment horizontal="center" vertical="top" wrapText="1"/>
    </xf>
    <xf numFmtId="3" fontId="57" fillId="0" borderId="11" xfId="59" applyNumberFormat="1" applyFont="1" applyBorder="1" applyAlignment="1">
      <alignment horizontal="right" vertical="top" wrapText="1"/>
    </xf>
    <xf numFmtId="0" fontId="58" fillId="0" borderId="7" xfId="59" applyFont="1" applyBorder="1" applyAlignment="1">
      <alignment horizontal="center" vertical="top" wrapText="1"/>
    </xf>
    <xf numFmtId="0" fontId="58" fillId="0" borderId="0" xfId="59" applyFont="1" applyAlignment="1">
      <alignment horizontal="left" vertical="top" wrapText="1"/>
    </xf>
    <xf numFmtId="0" fontId="58" fillId="0" borderId="0" xfId="59" applyFont="1" applyAlignment="1">
      <alignment horizontal="center" vertical="top" wrapText="1"/>
    </xf>
    <xf numFmtId="0" fontId="58" fillId="0" borderId="0" xfId="59" applyFont="1" applyAlignment="1">
      <alignment horizontal="right" vertical="top" wrapText="1"/>
    </xf>
    <xf numFmtId="0" fontId="57" fillId="0" borderId="9" xfId="59" applyFont="1" applyBorder="1"/>
    <xf numFmtId="0" fontId="58" fillId="0" borderId="10" xfId="59" applyFont="1" applyBorder="1" applyAlignment="1">
      <alignment horizontal="right" vertical="top" wrapText="1"/>
    </xf>
    <xf numFmtId="4" fontId="58" fillId="0" borderId="10" xfId="59" applyNumberFormat="1" applyFont="1" applyBorder="1" applyAlignment="1">
      <alignment horizontal="right" vertical="top"/>
    </xf>
    <xf numFmtId="2" fontId="58" fillId="0" borderId="10" xfId="59" applyNumberFormat="1" applyFont="1" applyBorder="1" applyAlignment="1">
      <alignment horizontal="center" vertical="top"/>
    </xf>
    <xf numFmtId="3" fontId="58" fillId="0" borderId="11" xfId="59" applyNumberFormat="1" applyFont="1" applyBorder="1" applyAlignment="1">
      <alignment horizontal="right" vertical="top"/>
    </xf>
    <xf numFmtId="0" fontId="57" fillId="0" borderId="7" xfId="59" applyFont="1" applyBorder="1"/>
    <xf numFmtId="4" fontId="57" fillId="0" borderId="0" xfId="59" applyNumberFormat="1" applyFont="1" applyAlignment="1">
      <alignment horizontal="right" vertical="top"/>
    </xf>
    <xf numFmtId="2" fontId="57" fillId="0" borderId="0" xfId="59" applyNumberFormat="1" applyFont="1" applyAlignment="1">
      <alignment horizontal="center" vertical="top"/>
    </xf>
    <xf numFmtId="3" fontId="57" fillId="0" borderId="8" xfId="59" applyNumberFormat="1" applyFont="1" applyBorder="1" applyAlignment="1">
      <alignment horizontal="right" vertical="top"/>
    </xf>
    <xf numFmtId="0" fontId="58" fillId="0" borderId="0" xfId="59" applyFont="1" applyAlignment="1">
      <alignment horizontal="left" vertical="top" wrapText="1"/>
    </xf>
    <xf numFmtId="4" fontId="58" fillId="0" borderId="0" xfId="59" applyNumberFormat="1" applyFont="1" applyAlignment="1">
      <alignment horizontal="right" vertical="top"/>
    </xf>
    <xf numFmtId="2" fontId="58" fillId="0" borderId="0" xfId="59" applyNumberFormat="1" applyFont="1" applyAlignment="1">
      <alignment horizontal="center" vertical="top"/>
    </xf>
    <xf numFmtId="3" fontId="58" fillId="0" borderId="8" xfId="59" applyNumberFormat="1" applyFont="1" applyBorder="1" applyAlignment="1">
      <alignment horizontal="right" vertical="top"/>
    </xf>
    <xf numFmtId="4" fontId="57" fillId="0" borderId="0" xfId="59" applyNumberFormat="1" applyFont="1" applyAlignment="1">
      <alignment vertical="top"/>
    </xf>
    <xf numFmtId="2" fontId="57" fillId="0" borderId="0" xfId="59" applyNumberFormat="1" applyFont="1" applyAlignment="1">
      <alignment vertical="top"/>
    </xf>
    <xf numFmtId="3" fontId="57" fillId="0" borderId="0" xfId="59" applyNumberFormat="1" applyFont="1" applyAlignment="1">
      <alignment vertical="top"/>
    </xf>
    <xf numFmtId="4" fontId="58" fillId="0" borderId="8" xfId="59" applyNumberFormat="1" applyFont="1" applyBorder="1" applyAlignment="1">
      <alignment horizontal="right" vertical="top"/>
    </xf>
    <xf numFmtId="3" fontId="58" fillId="0" borderId="0" xfId="59" applyNumberFormat="1" applyFont="1" applyAlignment="1">
      <alignment horizontal="right" vertical="top"/>
    </xf>
    <xf numFmtId="0" fontId="57" fillId="0" borderId="10" xfId="59" applyFont="1" applyBorder="1"/>
    <xf numFmtId="0" fontId="57" fillId="0" borderId="0" xfId="59" applyFont="1" applyAlignment="1">
      <alignment horizontal="right" vertical="top"/>
    </xf>
    <xf numFmtId="0" fontId="58" fillId="0" borderId="0" xfId="59" applyFont="1" applyAlignment="1">
      <alignment vertical="top" wrapText="1"/>
    </xf>
    <xf numFmtId="0" fontId="39" fillId="0" borderId="0" xfId="59"/>
    <xf numFmtId="0" fontId="59" fillId="0" borderId="0" xfId="59" applyFont="1" applyAlignment="1">
      <alignment horizontal="right" vertical="top" wrapText="1"/>
    </xf>
    <xf numFmtId="0" fontId="59" fillId="0" borderId="0" xfId="59" applyFont="1" applyAlignment="1">
      <alignment horizontal="center" vertical="top" wrapText="1"/>
    </xf>
    <xf numFmtId="0" fontId="57" fillId="0" borderId="8" xfId="59" applyFont="1" applyBorder="1" applyAlignment="1">
      <alignment horizontal="right" vertical="top" wrapText="1"/>
    </xf>
    <xf numFmtId="0" fontId="57" fillId="0" borderId="0" xfId="59" applyFont="1" applyAlignment="1">
      <alignment vertical="top" wrapText="1"/>
    </xf>
    <xf numFmtId="4" fontId="58" fillId="0" borderId="0" xfId="59" applyNumberFormat="1" applyFont="1" applyAlignment="1">
      <alignment horizontal="right" vertical="top" wrapText="1"/>
    </xf>
    <xf numFmtId="2" fontId="58" fillId="0" borderId="0" xfId="59" applyNumberFormat="1" applyFont="1" applyAlignment="1">
      <alignment horizontal="center" vertical="top" wrapText="1"/>
    </xf>
    <xf numFmtId="3" fontId="58" fillId="0" borderId="8" xfId="59" applyNumberFormat="1" applyFont="1" applyBorder="1" applyAlignment="1">
      <alignment horizontal="right" vertical="top" wrapText="1"/>
    </xf>
    <xf numFmtId="0" fontId="24" fillId="0" borderId="0" xfId="62"/>
    <xf numFmtId="0" fontId="24" fillId="0" borderId="0" xfId="62" applyAlignment="1">
      <alignment horizontal="right"/>
    </xf>
    <xf numFmtId="0" fontId="64" fillId="0" borderId="0" xfId="62" applyFont="1" applyAlignment="1">
      <alignment horizontal="right" vertical="top"/>
    </xf>
    <xf numFmtId="0" fontId="24" fillId="0" borderId="0" xfId="62" applyAlignment="1">
      <alignment wrapText="1"/>
    </xf>
    <xf numFmtId="0" fontId="24" fillId="0" borderId="0" xfId="62" applyAlignment="1">
      <alignment horizontal="left" vertical="top" wrapText="1"/>
    </xf>
    <xf numFmtId="0" fontId="24" fillId="0" borderId="0" xfId="62" applyAlignment="1">
      <alignment vertical="top"/>
    </xf>
    <xf numFmtId="0" fontId="24" fillId="0" borderId="0" xfId="62" applyAlignment="1">
      <alignment vertical="top" wrapText="1"/>
    </xf>
    <xf numFmtId="0" fontId="67" fillId="0" borderId="0" xfId="62" applyFont="1" applyAlignment="1">
      <alignment vertical="top"/>
    </xf>
    <xf numFmtId="0" fontId="24" fillId="0" borderId="13" xfId="62" applyBorder="1" applyAlignment="1">
      <alignment horizontal="center" vertical="top" wrapText="1"/>
    </xf>
    <xf numFmtId="49" fontId="24" fillId="0" borderId="13" xfId="62" applyNumberFormat="1" applyBorder="1" applyAlignment="1">
      <alignment horizontal="center" wrapText="1"/>
    </xf>
    <xf numFmtId="0" fontId="24" fillId="0" borderId="13" xfId="62" applyBorder="1" applyAlignment="1">
      <alignment horizontal="center" wrapText="1"/>
    </xf>
    <xf numFmtId="49" fontId="65" fillId="0" borderId="1" xfId="62" applyNumberFormat="1" applyFont="1" applyBorder="1" applyAlignment="1">
      <alignment horizontal="right" vertical="top" wrapText="1"/>
    </xf>
    <xf numFmtId="0" fontId="65" fillId="0" borderId="1" xfId="62" applyFont="1" applyBorder="1" applyAlignment="1">
      <alignment horizontal="left" vertical="top" wrapText="1"/>
    </xf>
    <xf numFmtId="0" fontId="65" fillId="0" borderId="1" xfId="62" applyFont="1" applyBorder="1" applyAlignment="1">
      <alignment horizontal="right" vertical="top" wrapText="1"/>
    </xf>
    <xf numFmtId="49" fontId="65" fillId="0" borderId="20" xfId="62" applyNumberFormat="1" applyFont="1" applyBorder="1" applyAlignment="1">
      <alignment horizontal="right" vertical="top" wrapText="1"/>
    </xf>
    <xf numFmtId="0" fontId="24" fillId="0" borderId="20" xfId="62" applyBorder="1" applyAlignment="1">
      <alignment horizontal="left" vertical="top" wrapText="1"/>
    </xf>
    <xf numFmtId="4" fontId="24" fillId="0" borderId="20" xfId="62" applyNumberFormat="1" applyBorder="1" applyAlignment="1">
      <alignment horizontal="right" vertical="top" wrapText="1"/>
    </xf>
    <xf numFmtId="49" fontId="65" fillId="0" borderId="21" xfId="62" applyNumberFormat="1" applyFont="1" applyBorder="1" applyAlignment="1">
      <alignment horizontal="right" vertical="top" wrapText="1"/>
    </xf>
    <xf numFmtId="0" fontId="65" fillId="0" borderId="21" xfId="62" applyFont="1" applyBorder="1" applyAlignment="1">
      <alignment horizontal="left" vertical="top" wrapText="1"/>
    </xf>
    <xf numFmtId="0" fontId="65" fillId="0" borderId="21" xfId="62" applyFont="1" applyBorder="1" applyAlignment="1">
      <alignment horizontal="right" vertical="top" wrapText="1"/>
    </xf>
    <xf numFmtId="49" fontId="65" fillId="0" borderId="25" xfId="62" applyNumberFormat="1" applyFont="1" applyBorder="1" applyAlignment="1">
      <alignment horizontal="right" vertical="top" wrapText="1"/>
    </xf>
    <xf numFmtId="0" fontId="24" fillId="0" borderId="25" xfId="62" applyBorder="1" applyAlignment="1">
      <alignment horizontal="left" vertical="top" wrapText="1"/>
    </xf>
    <xf numFmtId="0" fontId="24" fillId="0" borderId="25" xfId="62" applyBorder="1" applyAlignment="1">
      <alignment horizontal="right" vertical="top" wrapText="1"/>
    </xf>
    <xf numFmtId="49" fontId="65" fillId="0" borderId="29" xfId="62" applyNumberFormat="1" applyFont="1" applyBorder="1" applyAlignment="1">
      <alignment horizontal="right" vertical="top" wrapText="1"/>
    </xf>
    <xf numFmtId="0" fontId="24" fillId="0" borderId="29" xfId="62" applyBorder="1" applyAlignment="1">
      <alignment horizontal="left" vertical="top" wrapText="1"/>
    </xf>
    <xf numFmtId="0" fontId="24" fillId="0" borderId="29" xfId="62" applyBorder="1" applyAlignment="1">
      <alignment horizontal="right" vertical="top" wrapText="1"/>
    </xf>
    <xf numFmtId="49" fontId="65" fillId="0" borderId="33" xfId="62" applyNumberFormat="1" applyFont="1" applyBorder="1" applyAlignment="1">
      <alignment horizontal="right" vertical="top" wrapText="1"/>
    </xf>
    <xf numFmtId="0" fontId="65" fillId="0" borderId="33" xfId="62" applyFont="1" applyBorder="1" applyAlignment="1">
      <alignment horizontal="left" vertical="top" wrapText="1"/>
    </xf>
    <xf numFmtId="4" fontId="65" fillId="0" borderId="33" xfId="62" applyNumberFormat="1" applyFont="1" applyBorder="1" applyAlignment="1">
      <alignment horizontal="right" vertical="top" wrapText="1"/>
    </xf>
    <xf numFmtId="0" fontId="65" fillId="0" borderId="33" xfId="62" applyFont="1" applyBorder="1" applyAlignment="1">
      <alignment horizontal="right" vertical="top" wrapText="1"/>
    </xf>
    <xf numFmtId="49" fontId="65" fillId="0" borderId="12" xfId="62" applyNumberFormat="1" applyFont="1" applyBorder="1" applyAlignment="1">
      <alignment horizontal="right" vertical="top" wrapText="1"/>
    </xf>
    <xf numFmtId="0" fontId="24" fillId="0" borderId="12" xfId="62" applyBorder="1" applyAlignment="1">
      <alignment horizontal="left" vertical="top" wrapText="1"/>
    </xf>
    <xf numFmtId="4" fontId="24" fillId="0" borderId="12" xfId="62" applyNumberFormat="1" applyBorder="1" applyAlignment="1">
      <alignment horizontal="right" vertical="top" wrapText="1"/>
    </xf>
    <xf numFmtId="0" fontId="24" fillId="0" borderId="33" xfId="62" applyBorder="1" applyAlignment="1">
      <alignment horizontal="left" vertical="top" wrapText="1"/>
    </xf>
    <xf numFmtId="4" fontId="24" fillId="0" borderId="33" xfId="62" applyNumberFormat="1" applyBorder="1" applyAlignment="1">
      <alignment horizontal="right" vertical="top" wrapText="1"/>
    </xf>
    <xf numFmtId="0" fontId="69" fillId="0" borderId="33" xfId="62" applyFont="1" applyBorder="1" applyAlignment="1">
      <alignment horizontal="left" vertical="top" wrapText="1"/>
    </xf>
    <xf numFmtId="4" fontId="69" fillId="0" borderId="33" xfId="62" applyNumberFormat="1" applyFont="1" applyBorder="1" applyAlignment="1">
      <alignment horizontal="right" vertical="top" wrapText="1"/>
    </xf>
    <xf numFmtId="0" fontId="24" fillId="0" borderId="0" xfId="62" applyAlignment="1">
      <alignment horizontal="left" vertical="top"/>
    </xf>
    <xf numFmtId="49" fontId="57" fillId="0" borderId="35" xfId="59" applyNumberFormat="1" applyFont="1" applyBorder="1" applyAlignment="1">
      <alignment horizontal="right"/>
    </xf>
    <xf numFmtId="2" fontId="57" fillId="0" borderId="35" xfId="59" applyNumberFormat="1" applyFont="1" applyBorder="1" applyAlignment="1">
      <alignment horizontal="right"/>
    </xf>
    <xf numFmtId="0" fontId="57" fillId="0" borderId="36" xfId="59" applyFont="1" applyBorder="1" applyAlignment="1">
      <alignment horizontal="center" vertical="center" wrapText="1"/>
    </xf>
    <xf numFmtId="0" fontId="57" fillId="0" borderId="36" xfId="59" applyFont="1" applyBorder="1" applyAlignment="1">
      <alignment horizontal="center" vertical="center"/>
    </xf>
    <xf numFmtId="0" fontId="58" fillId="0" borderId="39" xfId="59" applyFont="1" applyBorder="1" applyAlignment="1">
      <alignment horizontal="center" vertical="top" wrapText="1"/>
    </xf>
    <xf numFmtId="0" fontId="58" fillId="0" borderId="34" xfId="59" applyFont="1" applyBorder="1" applyAlignment="1">
      <alignment horizontal="left" vertical="top" wrapText="1"/>
    </xf>
    <xf numFmtId="0" fontId="58" fillId="0" borderId="34" xfId="59" applyFont="1" applyBorder="1" applyAlignment="1">
      <alignment horizontal="center" vertical="top" wrapText="1"/>
    </xf>
    <xf numFmtId="4" fontId="58" fillId="0" borderId="34" xfId="59" applyNumberFormat="1" applyFont="1" applyBorder="1" applyAlignment="1">
      <alignment horizontal="right" vertical="top" wrapText="1"/>
    </xf>
    <xf numFmtId="2" fontId="58" fillId="0" borderId="34" xfId="59" applyNumberFormat="1" applyFont="1" applyBorder="1" applyAlignment="1">
      <alignment horizontal="center" vertical="top" wrapText="1"/>
    </xf>
    <xf numFmtId="3" fontId="58" fillId="0" borderId="40" xfId="59" applyNumberFormat="1" applyFont="1" applyBorder="1" applyAlignment="1">
      <alignment horizontal="right" vertical="top" wrapText="1"/>
    </xf>
    <xf numFmtId="0" fontId="57" fillId="0" borderId="34" xfId="59" applyFont="1" applyBorder="1" applyAlignment="1">
      <alignment horizontal="center" vertical="top" wrapText="1"/>
    </xf>
    <xf numFmtId="4" fontId="57" fillId="0" borderId="34" xfId="59" applyNumberFormat="1" applyFont="1" applyBorder="1" applyAlignment="1">
      <alignment horizontal="right" vertical="top" wrapText="1"/>
    </xf>
    <xf numFmtId="2" fontId="57" fillId="0" borderId="34" xfId="59" applyNumberFormat="1" applyFont="1" applyBorder="1" applyAlignment="1">
      <alignment horizontal="center" vertical="top" wrapText="1"/>
    </xf>
    <xf numFmtId="3" fontId="57" fillId="0" borderId="40" xfId="59" applyNumberFormat="1" applyFont="1" applyBorder="1" applyAlignment="1">
      <alignment horizontal="right" vertical="top" wrapText="1"/>
    </xf>
    <xf numFmtId="0" fontId="57" fillId="0" borderId="39" xfId="59" applyFont="1" applyBorder="1"/>
    <xf numFmtId="0" fontId="58" fillId="0" borderId="34" xfId="59" applyFont="1" applyBorder="1" applyAlignment="1">
      <alignment horizontal="right" vertical="top" wrapText="1"/>
    </xf>
    <xf numFmtId="4" fontId="58" fillId="0" borderId="34" xfId="59" applyNumberFormat="1" applyFont="1" applyBorder="1" applyAlignment="1">
      <alignment horizontal="right" vertical="top"/>
    </xf>
    <xf numFmtId="2" fontId="58" fillId="0" borderId="34" xfId="59" applyNumberFormat="1" applyFont="1" applyBorder="1" applyAlignment="1">
      <alignment horizontal="center" vertical="top"/>
    </xf>
    <xf numFmtId="3" fontId="58" fillId="0" borderId="40" xfId="59" applyNumberFormat="1" applyFont="1" applyBorder="1" applyAlignment="1">
      <alignment horizontal="right" vertical="top"/>
    </xf>
    <xf numFmtId="0" fontId="57" fillId="0" borderId="34" xfId="59" applyFont="1" applyBorder="1"/>
    <xf numFmtId="0" fontId="10" fillId="0" borderId="0" xfId="90"/>
    <xf numFmtId="0" fontId="73" fillId="0" borderId="0" xfId="90" applyFont="1" applyAlignment="1">
      <alignment vertical="center"/>
    </xf>
    <xf numFmtId="0" fontId="73" fillId="0" borderId="0" xfId="90" applyFont="1" applyAlignment="1">
      <alignment vertical="center" wrapText="1"/>
    </xf>
    <xf numFmtId="0" fontId="73" fillId="0" borderId="0" xfId="90" applyFont="1" applyAlignment="1">
      <alignment horizontal="justify" vertical="center"/>
    </xf>
    <xf numFmtId="0" fontId="82" fillId="0" borderId="0" xfId="90" applyFont="1"/>
    <xf numFmtId="0" fontId="77" fillId="0" borderId="32" xfId="8" applyFont="1" applyBorder="1" applyAlignment="1">
      <alignment horizontal="center" vertical="center" wrapText="1"/>
    </xf>
    <xf numFmtId="4" fontId="77" fillId="0" borderId="29" xfId="45" applyNumberFormat="1" applyFont="1" applyBorder="1" applyAlignment="1">
      <alignment horizontal="center" vertical="center" wrapText="1"/>
    </xf>
    <xf numFmtId="0" fontId="64" fillId="0" borderId="0" xfId="37" applyFont="1" applyAlignment="1">
      <alignment vertical="top" wrapText="1"/>
    </xf>
    <xf numFmtId="0" fontId="34" fillId="0" borderId="0" xfId="37"/>
    <xf numFmtId="0" fontId="42" fillId="0" borderId="0" xfId="37" applyFont="1"/>
    <xf numFmtId="0" fontId="88" fillId="0" borderId="0" xfId="37" applyFont="1"/>
    <xf numFmtId="0" fontId="24" fillId="0" borderId="0" xfId="37" applyFont="1"/>
    <xf numFmtId="4" fontId="24" fillId="0" borderId="0" xfId="37" applyNumberFormat="1" applyFont="1"/>
    <xf numFmtId="49" fontId="24" fillId="0" borderId="0" xfId="37" applyNumberFormat="1" applyFont="1"/>
    <xf numFmtId="0" fontId="24" fillId="0" borderId="0" xfId="37" applyFont="1" applyAlignment="1">
      <alignment horizontal="left" vertical="center" wrapText="1"/>
    </xf>
    <xf numFmtId="0" fontId="88" fillId="0" borderId="0" xfId="37" applyFont="1" applyAlignment="1">
      <alignment horizontal="center"/>
    </xf>
    <xf numFmtId="0" fontId="90" fillId="0" borderId="0" xfId="37" applyFont="1" applyAlignment="1">
      <alignment horizontal="left" vertical="center" wrapText="1"/>
    </xf>
    <xf numFmtId="0" fontId="24" fillId="0" borderId="0" xfId="37" applyFont="1" applyAlignment="1">
      <alignment vertical="center" wrapText="1"/>
    </xf>
    <xf numFmtId="0" fontId="91" fillId="0" borderId="0" xfId="37" applyFont="1" applyAlignment="1">
      <alignment horizontal="center"/>
    </xf>
    <xf numFmtId="0" fontId="24" fillId="0" borderId="0" xfId="37" applyFont="1" applyAlignment="1">
      <alignment wrapText="1"/>
    </xf>
    <xf numFmtId="49" fontId="24" fillId="0" borderId="0" xfId="37" applyNumberFormat="1" applyFont="1" applyAlignment="1">
      <alignment wrapText="1"/>
    </xf>
    <xf numFmtId="0" fontId="34" fillId="0" borderId="0" xfId="37" applyAlignment="1">
      <alignment horizontal="center" vertical="top" wrapText="1"/>
    </xf>
    <xf numFmtId="0" fontId="24" fillId="0" borderId="0" xfId="37" applyFont="1" applyAlignment="1">
      <alignment vertical="center"/>
    </xf>
    <xf numFmtId="0" fontId="34" fillId="0" borderId="0" xfId="37" applyAlignment="1">
      <alignment horizontal="center" vertical="top"/>
    </xf>
    <xf numFmtId="0" fontId="24" fillId="0" borderId="30" xfId="37" applyFont="1" applyBorder="1" applyAlignment="1">
      <alignment vertical="center" wrapText="1"/>
    </xf>
    <xf numFmtId="0" fontId="34" fillId="0" borderId="7" xfId="37" applyBorder="1" applyAlignment="1">
      <alignment vertical="center" wrapText="1"/>
    </xf>
    <xf numFmtId="0" fontId="34" fillId="0" borderId="8" xfId="37" applyBorder="1" applyAlignment="1">
      <alignment vertical="center" wrapText="1"/>
    </xf>
    <xf numFmtId="0" fontId="34" fillId="0" borderId="29" xfId="37" applyBorder="1" applyAlignment="1">
      <alignment horizontal="center" vertical="center"/>
    </xf>
    <xf numFmtId="0" fontId="34" fillId="0" borderId="36" xfId="37" applyBorder="1" applyAlignment="1">
      <alignment horizontal="center"/>
    </xf>
    <xf numFmtId="0" fontId="24" fillId="0" borderId="36" xfId="37" applyFont="1" applyBorder="1" applyAlignment="1">
      <alignment horizontal="center" vertical="center" wrapText="1"/>
    </xf>
    <xf numFmtId="0" fontId="24" fillId="0" borderId="37" xfId="37" applyFont="1" applyBorder="1" applyAlignment="1">
      <alignment horizontal="center" vertical="center" wrapText="1"/>
    </xf>
    <xf numFmtId="0" fontId="34" fillId="0" borderId="37" xfId="37" applyBorder="1" applyAlignment="1">
      <alignment horizontal="center" vertical="center"/>
    </xf>
    <xf numFmtId="0" fontId="34" fillId="0" borderId="38" xfId="37" applyBorder="1" applyAlignment="1">
      <alignment horizontal="center" vertical="center"/>
    </xf>
    <xf numFmtId="49" fontId="24" fillId="0" borderId="33" xfId="37" applyNumberFormat="1" applyFont="1" applyBorder="1" applyAlignment="1">
      <alignment horizontal="left" vertical="top" wrapText="1"/>
    </xf>
    <xf numFmtId="49" fontId="24" fillId="0" borderId="33" xfId="37" applyNumberFormat="1" applyFont="1" applyBorder="1" applyAlignment="1">
      <alignment horizontal="center" vertical="top" wrapText="1"/>
    </xf>
    <xf numFmtId="169" fontId="34" fillId="0" borderId="4" xfId="37" applyNumberFormat="1" applyBorder="1" applyAlignment="1">
      <alignment vertical="top"/>
    </xf>
    <xf numFmtId="169" fontId="34" fillId="0" borderId="1" xfId="37" applyNumberFormat="1" applyBorder="1" applyAlignment="1">
      <alignment vertical="top"/>
    </xf>
    <xf numFmtId="4" fontId="24" fillId="0" borderId="42" xfId="37" applyNumberFormat="1" applyFont="1" applyBorder="1" applyAlignment="1">
      <alignment horizontal="center" vertical="top" wrapText="1"/>
    </xf>
    <xf numFmtId="4" fontId="34" fillId="0" borderId="1" xfId="37" applyNumberFormat="1" applyBorder="1"/>
    <xf numFmtId="49" fontId="65" fillId="0" borderId="33" xfId="37" applyNumberFormat="1" applyFont="1" applyBorder="1" applyAlignment="1">
      <alignment horizontal="left" vertical="top" wrapText="1"/>
    </xf>
    <xf numFmtId="169" fontId="92" fillId="0" borderId="4" xfId="37" applyNumberFormat="1" applyFont="1" applyBorder="1" applyAlignment="1">
      <alignment vertical="top"/>
    </xf>
    <xf numFmtId="169" fontId="92" fillId="0" borderId="1" xfId="37" applyNumberFormat="1" applyFont="1" applyBorder="1" applyAlignment="1">
      <alignment vertical="top"/>
    </xf>
    <xf numFmtId="4" fontId="65" fillId="0" borderId="42" xfId="37" applyNumberFormat="1" applyFont="1" applyBorder="1" applyAlignment="1">
      <alignment horizontal="center" vertical="top" wrapText="1"/>
    </xf>
    <xf numFmtId="4" fontId="92" fillId="0" borderId="1" xfId="37" applyNumberFormat="1" applyFont="1" applyBorder="1"/>
    <xf numFmtId="169" fontId="65" fillId="0" borderId="4" xfId="37" applyNumberFormat="1" applyFont="1" applyBorder="1" applyAlignment="1">
      <alignment vertical="top" wrapText="1"/>
    </xf>
    <xf numFmtId="169" fontId="65" fillId="0" borderId="1" xfId="37" applyNumberFormat="1" applyFont="1" applyBorder="1" applyAlignment="1">
      <alignment vertical="top" wrapText="1"/>
    </xf>
    <xf numFmtId="169" fontId="65" fillId="0" borderId="5" xfId="37" applyNumberFormat="1" applyFont="1" applyBorder="1" applyAlignment="1">
      <alignment vertical="top" wrapText="1"/>
    </xf>
    <xf numFmtId="0" fontId="34" fillId="0" borderId="29" xfId="37" applyBorder="1"/>
    <xf numFmtId="49" fontId="34" fillId="0" borderId="0" xfId="37" applyNumberFormat="1"/>
    <xf numFmtId="169" fontId="34" fillId="0" borderId="0" xfId="37" applyNumberFormat="1"/>
    <xf numFmtId="0" fontId="93" fillId="0" borderId="0" xfId="37" applyFont="1"/>
    <xf numFmtId="49" fontId="34" fillId="0" borderId="0" xfId="37" applyNumberFormat="1" applyAlignment="1">
      <alignment horizontal="left" vertical="top"/>
    </xf>
    <xf numFmtId="169" fontId="34" fillId="0" borderId="0" xfId="37" applyNumberFormat="1" applyAlignment="1">
      <alignment horizontal="left" vertical="top" wrapText="1"/>
    </xf>
    <xf numFmtId="49" fontId="34" fillId="0" borderId="0" xfId="37" applyNumberFormat="1" applyAlignment="1">
      <alignment horizontal="left" vertical="top" wrapText="1"/>
    </xf>
    <xf numFmtId="0" fontId="34" fillId="0" borderId="0" xfId="37" applyAlignment="1">
      <alignment vertical="justify"/>
    </xf>
    <xf numFmtId="49" fontId="24" fillId="0" borderId="0" xfId="37" applyNumberFormat="1" applyFont="1" applyAlignment="1">
      <alignment vertical="top" wrapText="1"/>
    </xf>
    <xf numFmtId="0" fontId="34" fillId="0" borderId="0" xfId="37" applyAlignment="1">
      <alignment horizontal="center" vertical="center"/>
    </xf>
    <xf numFmtId="49" fontId="24" fillId="0" borderId="43" xfId="37" applyNumberFormat="1" applyFont="1" applyBorder="1" applyAlignment="1">
      <alignment horizontal="left" vertical="top" wrapText="1"/>
    </xf>
    <xf numFmtId="49" fontId="24" fillId="0" borderId="0" xfId="37" applyNumberFormat="1" applyFont="1" applyAlignment="1">
      <alignment horizontal="center" vertical="top" wrapText="1"/>
    </xf>
    <xf numFmtId="49" fontId="89" fillId="0" borderId="44" xfId="37" applyNumberFormat="1" applyFont="1" applyBorder="1" applyAlignment="1">
      <alignment horizontal="center" vertical="center" wrapText="1"/>
    </xf>
    <xf numFmtId="49" fontId="24" fillId="0" borderId="0" xfId="37" applyNumberFormat="1" applyFont="1" applyAlignment="1">
      <alignment vertical="center" wrapText="1"/>
    </xf>
    <xf numFmtId="0" fontId="93" fillId="0" borderId="0" xfId="37" applyFont="1" applyAlignment="1">
      <alignment horizontal="right"/>
    </xf>
    <xf numFmtId="0" fontId="27" fillId="0" borderId="0" xfId="37" applyFont="1"/>
    <xf numFmtId="0" fontId="34" fillId="0" borderId="1" xfId="37" applyBorder="1" applyAlignment="1">
      <alignment horizontal="center"/>
    </xf>
    <xf numFmtId="0" fontId="24" fillId="0" borderId="1" xfId="37" applyFont="1" applyBorder="1" applyAlignment="1">
      <alignment horizontal="center" vertical="center" wrapText="1"/>
    </xf>
    <xf numFmtId="0" fontId="24" fillId="0" borderId="4" xfId="37" applyFont="1" applyBorder="1" applyAlignment="1">
      <alignment horizontal="center" vertical="center" wrapText="1"/>
    </xf>
    <xf numFmtId="0" fontId="34" fillId="0" borderId="4" xfId="37" applyBorder="1" applyAlignment="1">
      <alignment horizontal="center" vertical="center"/>
    </xf>
    <xf numFmtId="0" fontId="34" fillId="0" borderId="5" xfId="37" applyBorder="1" applyAlignment="1">
      <alignment horizontal="center" vertical="center"/>
    </xf>
    <xf numFmtId="0" fontId="27" fillId="0" borderId="0" xfId="62" applyFont="1" applyAlignment="1">
      <alignment horizontal="right"/>
    </xf>
    <xf numFmtId="0" fontId="94" fillId="0" borderId="33" xfId="62" applyFont="1" applyBorder="1" applyAlignment="1">
      <alignment horizontal="left" vertical="top" wrapText="1"/>
    </xf>
    <xf numFmtId="0" fontId="88" fillId="0" borderId="13" xfId="62" applyFont="1" applyBorder="1" applyAlignment="1">
      <alignment horizontal="center" vertical="top" wrapText="1"/>
    </xf>
    <xf numFmtId="0" fontId="68" fillId="0" borderId="13" xfId="62" applyFont="1" applyBorder="1" applyAlignment="1">
      <alignment horizontal="center" vertical="top" wrapText="1"/>
    </xf>
    <xf numFmtId="0" fontId="65" fillId="0" borderId="29" xfId="62" applyFont="1" applyBorder="1" applyAlignment="1">
      <alignment horizontal="left" vertical="top" wrapText="1"/>
    </xf>
    <xf numFmtId="4" fontId="65" fillId="0" borderId="29" xfId="62" applyNumberFormat="1" applyFont="1" applyBorder="1" applyAlignment="1">
      <alignment horizontal="right" vertical="top" wrapText="1"/>
    </xf>
    <xf numFmtId="0" fontId="69" fillId="0" borderId="29" xfId="62" applyFont="1" applyBorder="1" applyAlignment="1">
      <alignment horizontal="center" vertical="top" wrapText="1"/>
    </xf>
    <xf numFmtId="4" fontId="69" fillId="0" borderId="29" xfId="62" applyNumberFormat="1" applyFont="1" applyBorder="1" applyAlignment="1">
      <alignment horizontal="right" vertical="top" wrapText="1"/>
    </xf>
    <xf numFmtId="0" fontId="24" fillId="0" borderId="1" xfId="62" applyBorder="1" applyAlignment="1">
      <alignment horizontal="left" vertical="top" wrapText="1"/>
    </xf>
    <xf numFmtId="4" fontId="24" fillId="0" borderId="1" xfId="62" applyNumberFormat="1" applyBorder="1" applyAlignment="1">
      <alignment horizontal="right" vertical="top" wrapText="1"/>
    </xf>
    <xf numFmtId="4" fontId="65" fillId="0" borderId="1" xfId="62" applyNumberFormat="1" applyFont="1" applyBorder="1" applyAlignment="1">
      <alignment horizontal="right" vertical="top" wrapText="1"/>
    </xf>
    <xf numFmtId="0" fontId="64" fillId="0" borderId="0" xfId="62" applyFont="1" applyAlignment="1">
      <alignment horizontal="right" vertical="center"/>
    </xf>
    <xf numFmtId="0" fontId="24" fillId="0" borderId="0" xfId="62" applyAlignment="1">
      <alignment horizontal="center" vertical="center" wrapText="1"/>
    </xf>
    <xf numFmtId="4" fontId="24" fillId="0" borderId="0" xfId="62" applyNumberFormat="1"/>
    <xf numFmtId="4" fontId="27" fillId="0" borderId="1" xfId="66" applyNumberFormat="1" applyFont="1" applyBorder="1" applyAlignment="1">
      <alignment horizontal="center" vertical="center" wrapText="1"/>
    </xf>
    <xf numFmtId="0" fontId="48" fillId="0" borderId="1" xfId="66" applyFont="1" applyBorder="1" applyAlignment="1">
      <alignment horizontal="left" vertical="center" wrapText="1"/>
    </xf>
    <xf numFmtId="0" fontId="27" fillId="0" borderId="1" xfId="66" applyFont="1" applyBorder="1" applyAlignment="1">
      <alignment horizontal="left" vertical="center" wrapText="1"/>
    </xf>
    <xf numFmtId="10" fontId="27" fillId="0" borderId="1" xfId="66" applyNumberFormat="1" applyFont="1" applyBorder="1" applyAlignment="1">
      <alignment horizontal="center" vertical="center" wrapText="1"/>
    </xf>
    <xf numFmtId="3" fontId="27" fillId="0" borderId="1" xfId="66" applyNumberFormat="1" applyFont="1" applyBorder="1" applyAlignment="1">
      <alignment horizontal="center" vertical="center" wrapText="1"/>
    </xf>
    <xf numFmtId="172" fontId="27" fillId="0" borderId="1" xfId="66" applyNumberFormat="1" applyFont="1" applyBorder="1" applyAlignment="1">
      <alignment horizontal="center" vertical="center" wrapText="1"/>
    </xf>
    <xf numFmtId="168" fontId="27" fillId="0" borderId="1" xfId="66" applyNumberFormat="1" applyFont="1" applyBorder="1" applyAlignment="1">
      <alignment horizontal="center" vertical="center" wrapText="1"/>
    </xf>
    <xf numFmtId="9" fontId="27" fillId="0" borderId="1" xfId="66" applyNumberFormat="1" applyFont="1" applyBorder="1" applyAlignment="1">
      <alignment horizontal="center" vertical="center" wrapText="1"/>
    </xf>
    <xf numFmtId="0" fontId="48" fillId="2" borderId="4" xfId="66" applyFont="1" applyFill="1" applyBorder="1" applyAlignment="1">
      <alignment vertical="center"/>
    </xf>
    <xf numFmtId="0" fontId="93" fillId="0" borderId="0" xfId="66" applyFont="1" applyAlignment="1">
      <alignment wrapText="1"/>
    </xf>
    <xf numFmtId="0" fontId="43" fillId="0" borderId="0" xfId="66"/>
    <xf numFmtId="0" fontId="93" fillId="0" borderId="0" xfId="66" applyFont="1" applyAlignment="1">
      <alignment horizontal="left" vertical="top"/>
    </xf>
    <xf numFmtId="0" fontId="93" fillId="0" borderId="0" xfId="66" applyFont="1"/>
    <xf numFmtId="0" fontId="93" fillId="0" borderId="0" xfId="66" applyFont="1" applyAlignment="1">
      <alignment horizontal="center" vertical="center"/>
    </xf>
    <xf numFmtId="0" fontId="43" fillId="0" borderId="0" xfId="66" applyAlignment="1">
      <alignment wrapText="1"/>
    </xf>
    <xf numFmtId="0" fontId="27" fillId="0" borderId="1" xfId="66" applyFont="1" applyBorder="1" applyAlignment="1">
      <alignment horizontal="left" vertical="center" wrapText="1" shrinkToFit="1"/>
    </xf>
    <xf numFmtId="0" fontId="27" fillId="0" borderId="0" xfId="71" applyFont="1"/>
    <xf numFmtId="0" fontId="48" fillId="0" borderId="1" xfId="66" applyFont="1" applyBorder="1" applyAlignment="1">
      <alignment horizontal="center" vertical="center" wrapText="1"/>
    </xf>
    <xf numFmtId="4" fontId="43" fillId="0" borderId="0" xfId="66" applyNumberFormat="1" applyAlignment="1">
      <alignment wrapText="1"/>
    </xf>
    <xf numFmtId="1" fontId="43" fillId="0" borderId="0" xfId="66" applyNumberFormat="1"/>
    <xf numFmtId="2" fontId="27" fillId="0" borderId="1" xfId="66" applyNumberFormat="1" applyFont="1" applyBorder="1" applyAlignment="1">
      <alignment horizontal="center" vertical="center" wrapText="1"/>
    </xf>
    <xf numFmtId="0" fontId="108" fillId="0" borderId="0" xfId="7" applyFont="1" applyAlignment="1">
      <alignment wrapText="1"/>
    </xf>
    <xf numFmtId="0" fontId="43" fillId="0" borderId="0" xfId="66" applyAlignment="1">
      <alignment horizontal="center" wrapText="1"/>
    </xf>
    <xf numFmtId="0" fontId="50" fillId="0" borderId="0" xfId="66" applyFont="1" applyAlignment="1">
      <alignment wrapText="1"/>
    </xf>
    <xf numFmtId="0" fontId="93" fillId="0" borderId="1" xfId="7" applyFont="1" applyBorder="1" applyAlignment="1">
      <alignment horizontal="left" vertical="center" wrapText="1"/>
    </xf>
    <xf numFmtId="0" fontId="50" fillId="0" borderId="0" xfId="66" applyFont="1"/>
    <xf numFmtId="166" fontId="43" fillId="0" borderId="0" xfId="66" applyNumberFormat="1" applyAlignment="1">
      <alignment wrapText="1"/>
    </xf>
    <xf numFmtId="0" fontId="24" fillId="2" borderId="1" xfId="66" applyFont="1" applyFill="1" applyBorder="1" applyAlignment="1">
      <alignment horizontal="center" vertical="center"/>
    </xf>
    <xf numFmtId="0" fontId="106" fillId="2" borderId="1" xfId="66" applyFont="1" applyFill="1" applyBorder="1" applyAlignment="1">
      <alignment horizontal="center" vertical="center"/>
    </xf>
    <xf numFmtId="0" fontId="43" fillId="2" borderId="1" xfId="66" applyFill="1" applyBorder="1"/>
    <xf numFmtId="0" fontId="48" fillId="2" borderId="4" xfId="66" applyFont="1" applyFill="1" applyBorder="1" applyAlignment="1">
      <alignment vertical="center" wrapText="1"/>
    </xf>
    <xf numFmtId="0" fontId="50" fillId="2" borderId="1" xfId="66" applyFont="1" applyFill="1" applyBorder="1" applyAlignment="1">
      <alignment horizontal="center" vertical="center"/>
    </xf>
    <xf numFmtId="0" fontId="110" fillId="0" borderId="0" xfId="66" applyFont="1" applyAlignment="1">
      <alignment horizontal="center" vertical="center"/>
    </xf>
    <xf numFmtId="0" fontId="110" fillId="0" borderId="0" xfId="66" applyFont="1"/>
    <xf numFmtId="4" fontId="110" fillId="0" borderId="0" xfId="66" applyNumberFormat="1" applyFont="1"/>
    <xf numFmtId="4" fontId="43" fillId="0" borderId="0" xfId="66" applyNumberFormat="1"/>
    <xf numFmtId="0" fontId="43" fillId="0" borderId="0" xfId="66" applyAlignment="1">
      <alignment horizontal="center" vertical="center"/>
    </xf>
    <xf numFmtId="0" fontId="104" fillId="0" borderId="0" xfId="7" applyFont="1" applyAlignment="1">
      <alignment vertical="center"/>
    </xf>
    <xf numFmtId="0" fontId="105" fillId="0" borderId="0" xfId="66" applyFont="1" applyAlignment="1">
      <alignment vertical="center"/>
    </xf>
    <xf numFmtId="0" fontId="77" fillId="0" borderId="0" xfId="66" applyFont="1" applyAlignment="1">
      <alignment vertical="center" wrapText="1"/>
    </xf>
    <xf numFmtId="0" fontId="27" fillId="0" borderId="0" xfId="71" applyFont="1" applyAlignment="1">
      <alignment horizontal="center" vertical="top" wrapText="1"/>
    </xf>
    <xf numFmtId="0" fontId="48" fillId="0" borderId="0" xfId="71" applyFont="1" applyAlignment="1">
      <alignment horizontal="center" vertical="top" wrapText="1"/>
    </xf>
    <xf numFmtId="49" fontId="27" fillId="0" borderId="25" xfId="71" applyNumberFormat="1" applyFont="1" applyBorder="1" applyAlignment="1">
      <alignment horizontal="right" vertical="top" wrapText="1"/>
    </xf>
    <xf numFmtId="0" fontId="27" fillId="0" borderId="25" xfId="71" applyFont="1" applyBorder="1" applyAlignment="1">
      <alignment horizontal="left" vertical="top" wrapText="1"/>
    </xf>
    <xf numFmtId="4" fontId="27" fillId="0" borderId="25" xfId="71" applyNumberFormat="1" applyFont="1" applyBorder="1" applyAlignment="1">
      <alignment horizontal="right" vertical="top" wrapText="1"/>
    </xf>
    <xf numFmtId="49" fontId="27" fillId="0" borderId="32" xfId="71" applyNumberFormat="1" applyFont="1" applyBorder="1" applyAlignment="1">
      <alignment horizontal="right" vertical="top" wrapText="1"/>
    </xf>
    <xf numFmtId="0" fontId="27" fillId="0" borderId="32" xfId="71" applyFont="1" applyBorder="1" applyAlignment="1">
      <alignment horizontal="left" vertical="top" wrapText="1"/>
    </xf>
    <xf numFmtId="4" fontId="27" fillId="0" borderId="32" xfId="71" applyNumberFormat="1" applyFont="1" applyBorder="1" applyAlignment="1">
      <alignment horizontal="right" vertical="top" wrapText="1"/>
    </xf>
    <xf numFmtId="49" fontId="48" fillId="0" borderId="47" xfId="71" applyNumberFormat="1" applyFont="1" applyBorder="1" applyAlignment="1">
      <alignment horizontal="center" vertical="center" wrapText="1"/>
    </xf>
    <xf numFmtId="0" fontId="27" fillId="0" borderId="47" xfId="71" applyFont="1" applyBorder="1" applyAlignment="1">
      <alignment horizontal="left" vertical="top" wrapText="1"/>
    </xf>
    <xf numFmtId="4" fontId="27" fillId="0" borderId="47" xfId="71" applyNumberFormat="1" applyFont="1" applyBorder="1" applyAlignment="1">
      <alignment horizontal="right" vertical="top" wrapText="1"/>
    </xf>
    <xf numFmtId="0" fontId="108" fillId="0" borderId="0" xfId="7" applyFont="1" applyAlignment="1">
      <alignment horizontal="justify" vertical="center"/>
    </xf>
    <xf numFmtId="49" fontId="27" fillId="0" borderId="29" xfId="71" applyNumberFormat="1" applyFont="1" applyBorder="1" applyAlignment="1">
      <alignment horizontal="right" vertical="top" wrapText="1"/>
    </xf>
    <xf numFmtId="0" fontId="27" fillId="0" borderId="29" xfId="71" applyFont="1" applyBorder="1" applyAlignment="1">
      <alignment horizontal="left" vertical="top" wrapText="1"/>
    </xf>
    <xf numFmtId="4" fontId="27" fillId="0" borderId="29" xfId="71" applyNumberFormat="1" applyFont="1" applyBorder="1" applyAlignment="1">
      <alignment horizontal="right" vertical="top" wrapText="1"/>
    </xf>
    <xf numFmtId="0" fontId="27" fillId="0" borderId="1" xfId="7" applyFont="1" applyBorder="1" applyAlignment="1">
      <alignment wrapText="1"/>
    </xf>
    <xf numFmtId="49" fontId="48" fillId="0" borderId="29" xfId="71" applyNumberFormat="1" applyFont="1" applyBorder="1" applyAlignment="1">
      <alignment horizontal="center" vertical="center" wrapText="1"/>
    </xf>
    <xf numFmtId="0" fontId="27" fillId="0" borderId="1" xfId="71" applyFont="1" applyBorder="1" applyAlignment="1">
      <alignment horizontal="left" vertical="top" wrapText="1"/>
    </xf>
    <xf numFmtId="49" fontId="48" fillId="0" borderId="1" xfId="71" applyNumberFormat="1" applyFont="1" applyBorder="1" applyAlignment="1">
      <alignment horizontal="center" vertical="center" wrapText="1"/>
    </xf>
    <xf numFmtId="4" fontId="27" fillId="0" borderId="1" xfId="71" applyNumberFormat="1" applyFont="1" applyBorder="1" applyAlignment="1">
      <alignment horizontal="right" vertical="top" wrapText="1"/>
    </xf>
    <xf numFmtId="49" fontId="48" fillId="0" borderId="1" xfId="71" applyNumberFormat="1" applyFont="1" applyBorder="1" applyAlignment="1">
      <alignment horizontal="center" vertical="top" wrapText="1"/>
    </xf>
    <xf numFmtId="0" fontId="48" fillId="0" borderId="1" xfId="71" applyFont="1" applyBorder="1" applyAlignment="1">
      <alignment horizontal="left" vertical="top" wrapText="1"/>
    </xf>
    <xf numFmtId="4" fontId="48" fillId="0" borderId="1" xfId="71" applyNumberFormat="1" applyFont="1" applyBorder="1" applyAlignment="1">
      <alignment horizontal="right" vertical="top" wrapText="1"/>
    </xf>
    <xf numFmtId="0" fontId="48" fillId="0" borderId="0" xfId="71" applyFont="1"/>
    <xf numFmtId="49" fontId="27" fillId="0" borderId="1" xfId="71" applyNumberFormat="1" applyFont="1" applyBorder="1" applyAlignment="1">
      <alignment horizontal="right" vertical="top" wrapText="1"/>
    </xf>
    <xf numFmtId="49" fontId="48" fillId="0" borderId="32" xfId="71" applyNumberFormat="1" applyFont="1" applyBorder="1" applyAlignment="1">
      <alignment horizontal="center" vertical="center" wrapText="1"/>
    </xf>
    <xf numFmtId="4" fontId="27" fillId="0" borderId="32" xfId="71" applyNumberFormat="1" applyFont="1" applyBorder="1" applyAlignment="1">
      <alignment horizontal="left" vertical="top" wrapText="1"/>
    </xf>
    <xf numFmtId="9" fontId="27" fillId="0" borderId="32" xfId="71" applyNumberFormat="1" applyFont="1" applyBorder="1" applyAlignment="1">
      <alignment horizontal="left" vertical="top" wrapText="1"/>
    </xf>
    <xf numFmtId="4" fontId="48" fillId="0" borderId="29" xfId="71" applyNumberFormat="1" applyFont="1" applyBorder="1" applyAlignment="1">
      <alignment horizontal="right" vertical="top" wrapText="1"/>
    </xf>
    <xf numFmtId="0" fontId="82" fillId="0" borderId="0" xfId="7" applyFont="1"/>
    <xf numFmtId="174" fontId="27" fillId="0" borderId="1" xfId="66" applyNumberFormat="1" applyFont="1" applyBorder="1" applyAlignment="1">
      <alignment horizontal="center" vertical="center" wrapText="1"/>
    </xf>
    <xf numFmtId="0" fontId="27" fillId="0" borderId="1" xfId="66" applyFont="1" applyBorder="1" applyAlignment="1">
      <alignment horizontal="center" vertical="center" wrapText="1" shrinkToFit="1"/>
    </xf>
    <xf numFmtId="174" fontId="48" fillId="0" borderId="1" xfId="66" applyNumberFormat="1" applyFont="1" applyBorder="1" applyAlignment="1">
      <alignment horizontal="center" vertical="center" wrapText="1"/>
    </xf>
    <xf numFmtId="9" fontId="27" fillId="0" borderId="1" xfId="72" applyFont="1" applyFill="1" applyBorder="1" applyAlignment="1">
      <alignment horizontal="center" vertical="center" wrapText="1"/>
    </xf>
    <xf numFmtId="174" fontId="27" fillId="0" borderId="5" xfId="66" applyNumberFormat="1" applyFont="1" applyBorder="1" applyAlignment="1">
      <alignment horizontal="center" vertical="center" wrapText="1"/>
    </xf>
    <xf numFmtId="174" fontId="48" fillId="0" borderId="5" xfId="66" applyNumberFormat="1" applyFont="1" applyBorder="1" applyAlignment="1">
      <alignment horizontal="center" vertical="center" wrapText="1"/>
    </xf>
    <xf numFmtId="2" fontId="27" fillId="0" borderId="31" xfId="66" applyNumberFormat="1" applyFont="1" applyBorder="1" applyAlignment="1">
      <alignment horizontal="center" vertical="center" wrapText="1"/>
    </xf>
    <xf numFmtId="166" fontId="48" fillId="0" borderId="1" xfId="70" applyFont="1" applyFill="1" applyBorder="1" applyAlignment="1">
      <alignment horizontal="center" vertical="center" wrapText="1"/>
    </xf>
    <xf numFmtId="174" fontId="48" fillId="2" borderId="1" xfId="66" applyNumberFormat="1" applyFont="1" applyFill="1" applyBorder="1" applyAlignment="1">
      <alignment horizontal="center" vertical="center" wrapText="1"/>
    </xf>
    <xf numFmtId="0" fontId="27" fillId="0" borderId="0" xfId="66" applyFont="1" applyAlignment="1">
      <alignment horizontal="center" vertical="center" wrapText="1"/>
    </xf>
    <xf numFmtId="174" fontId="48" fillId="0" borderId="0" xfId="66" applyNumberFormat="1" applyFont="1" applyAlignment="1">
      <alignment horizontal="center" vertical="center" wrapText="1"/>
    </xf>
    <xf numFmtId="9" fontId="27" fillId="0" borderId="0" xfId="66" applyNumberFormat="1" applyFont="1" applyAlignment="1">
      <alignment horizontal="left"/>
    </xf>
    <xf numFmtId="0" fontId="27" fillId="0" borderId="0" xfId="66" applyFont="1" applyAlignment="1">
      <alignment horizontal="center" vertical="center"/>
    </xf>
    <xf numFmtId="4" fontId="27" fillId="0" borderId="0" xfId="66" applyNumberFormat="1" applyFont="1" applyAlignment="1">
      <alignment horizontal="center" vertical="center"/>
    </xf>
    <xf numFmtId="165" fontId="44" fillId="0" borderId="0" xfId="74" applyFont="1" applyFill="1"/>
    <xf numFmtId="0" fontId="41" fillId="0" borderId="0" xfId="66" applyFont="1" applyAlignment="1">
      <alignment vertical="center"/>
    </xf>
    <xf numFmtId="0" fontId="42" fillId="0" borderId="0" xfId="66" applyFont="1" applyAlignment="1">
      <alignment vertical="center"/>
    </xf>
    <xf numFmtId="4" fontId="41" fillId="0" borderId="0" xfId="66" applyNumberFormat="1" applyFont="1" applyAlignment="1">
      <alignment vertical="center"/>
    </xf>
    <xf numFmtId="0" fontId="41" fillId="0" borderId="0" xfId="66" applyFont="1" applyAlignment="1">
      <alignment vertical="justify"/>
    </xf>
    <xf numFmtId="0" fontId="41" fillId="0" borderId="0" xfId="75" applyFont="1" applyAlignment="1">
      <alignment horizontal="left" vertical="center"/>
    </xf>
    <xf numFmtId="4" fontId="41" fillId="0" borderId="0" xfId="66" applyNumberFormat="1" applyFont="1" applyAlignment="1">
      <alignment horizontal="center" vertical="center"/>
    </xf>
    <xf numFmtId="0" fontId="41" fillId="0" borderId="0" xfId="66" applyFont="1"/>
    <xf numFmtId="4" fontId="41" fillId="0" borderId="0" xfId="66" applyNumberFormat="1" applyFont="1"/>
    <xf numFmtId="0" fontId="24" fillId="0" borderId="0" xfId="76"/>
    <xf numFmtId="49" fontId="65" fillId="0" borderId="0" xfId="76" applyNumberFormat="1" applyFont="1" applyAlignment="1">
      <alignment horizontal="center"/>
    </xf>
    <xf numFmtId="0" fontId="24" fillId="0" borderId="0" xfId="76" quotePrefix="1" applyAlignment="1">
      <alignment horizontal="left"/>
    </xf>
    <xf numFmtId="0" fontId="24" fillId="0" borderId="0" xfId="93" applyFont="1" applyAlignment="1">
      <alignment horizontal="right" vertical="top"/>
    </xf>
    <xf numFmtId="2" fontId="24" fillId="0" borderId="0" xfId="76" applyNumberFormat="1"/>
    <xf numFmtId="170" fontId="24" fillId="0" borderId="0" xfId="76" applyNumberFormat="1" applyAlignment="1">
      <alignment horizontal="center"/>
    </xf>
    <xf numFmtId="0" fontId="69" fillId="0" borderId="0" xfId="94" applyFont="1" applyAlignment="1" applyProtection="1">
      <alignment horizontal="left" wrapText="1"/>
      <protection locked="0"/>
    </xf>
    <xf numFmtId="49" fontId="24" fillId="0" borderId="48" xfId="76" applyNumberFormat="1" applyBorder="1" applyAlignment="1">
      <alignment horizontal="center" vertical="center" wrapText="1"/>
    </xf>
    <xf numFmtId="0" fontId="24" fillId="0" borderId="49" xfId="76" applyBorder="1" applyAlignment="1">
      <alignment horizontal="center" vertical="center" wrapText="1"/>
    </xf>
    <xf numFmtId="0" fontId="24" fillId="0" borderId="50" xfId="76" applyBorder="1" applyAlignment="1">
      <alignment horizontal="center" vertical="center" wrapText="1"/>
    </xf>
    <xf numFmtId="4" fontId="24" fillId="0" borderId="0" xfId="76" applyNumberFormat="1" applyAlignment="1">
      <alignment horizontal="center" vertical="center" wrapText="1"/>
    </xf>
    <xf numFmtId="0" fontId="24" fillId="0" borderId="1" xfId="76" applyBorder="1" applyAlignment="1">
      <alignment horizontal="center" vertical="center" wrapText="1"/>
    </xf>
    <xf numFmtId="4" fontId="24" fillId="0" borderId="1" xfId="76" applyNumberFormat="1" applyBorder="1" applyAlignment="1">
      <alignment horizontal="center" vertical="center" wrapText="1"/>
    </xf>
    <xf numFmtId="0" fontId="24" fillId="0" borderId="55" xfId="76" applyBorder="1" applyAlignment="1">
      <alignment horizontal="center" vertical="center" wrapText="1"/>
    </xf>
    <xf numFmtId="4" fontId="24" fillId="0" borderId="56" xfId="76" applyNumberFormat="1" applyBorder="1" applyAlignment="1">
      <alignment horizontal="center" vertical="center" wrapText="1"/>
    </xf>
    <xf numFmtId="49" fontId="34" fillId="0" borderId="57" xfId="76" applyNumberFormat="1" applyFont="1" applyBorder="1" applyAlignment="1">
      <alignment horizontal="center" vertical="center" wrapText="1"/>
    </xf>
    <xf numFmtId="49" fontId="34" fillId="0" borderId="1" xfId="76" applyNumberFormat="1" applyFont="1" applyBorder="1" applyAlignment="1">
      <alignment horizontal="center" vertical="center" wrapText="1"/>
    </xf>
    <xf numFmtId="4" fontId="34" fillId="0" borderId="1" xfId="76" applyNumberFormat="1" applyFont="1" applyBorder="1" applyAlignment="1">
      <alignment horizontal="center" vertical="center" wrapText="1"/>
    </xf>
    <xf numFmtId="4" fontId="34" fillId="0" borderId="54" xfId="76" applyNumberFormat="1" applyFont="1" applyBorder="1" applyAlignment="1">
      <alignment horizontal="center" vertical="center" wrapText="1"/>
    </xf>
    <xf numFmtId="175" fontId="24" fillId="0" borderId="55" xfId="76" applyNumberFormat="1" applyBorder="1" applyAlignment="1">
      <alignment horizontal="center" vertical="center" wrapText="1"/>
    </xf>
    <xf numFmtId="4" fontId="92" fillId="0" borderId="54" xfId="76" applyNumberFormat="1" applyFont="1" applyBorder="1" applyAlignment="1">
      <alignment horizontal="center" vertical="center" wrapText="1"/>
    </xf>
    <xf numFmtId="0" fontId="34" fillId="0" borderId="57" xfId="76" applyFont="1" applyBorder="1" applyAlignment="1">
      <alignment horizontal="center" vertical="center" wrapText="1"/>
    </xf>
    <xf numFmtId="2" fontId="116" fillId="0" borderId="54" xfId="76" applyNumberFormat="1" applyFont="1" applyBorder="1" applyAlignment="1">
      <alignment horizontal="center" vertical="center" wrapText="1"/>
    </xf>
    <xf numFmtId="0" fontId="24" fillId="0" borderId="1" xfId="76" applyBorder="1" applyAlignment="1">
      <alignment horizontal="center" vertical="top" wrapText="1"/>
    </xf>
    <xf numFmtId="0" fontId="24" fillId="0" borderId="1" xfId="76" applyBorder="1"/>
    <xf numFmtId="49" fontId="24" fillId="0" borderId="0" xfId="76" applyNumberFormat="1"/>
    <xf numFmtId="49" fontId="74" fillId="0" borderId="0" xfId="85" applyNumberFormat="1" applyFont="1" applyAlignment="1">
      <alignment horizontal="left" vertical="top"/>
    </xf>
    <xf numFmtId="0" fontId="27" fillId="0" borderId="0" xfId="85" applyFont="1" applyAlignment="1">
      <alignment vertical="center"/>
    </xf>
    <xf numFmtId="49" fontId="75" fillId="0" borderId="0" xfId="85" applyNumberFormat="1" applyFont="1" applyAlignment="1">
      <alignment horizontal="center" vertical="center"/>
    </xf>
    <xf numFmtId="0" fontId="75" fillId="0" borderId="0" xfId="85" applyFont="1" applyAlignment="1">
      <alignment vertical="center"/>
    </xf>
    <xf numFmtId="0" fontId="74" fillId="0" borderId="0" xfId="85" applyFont="1" applyAlignment="1">
      <alignment vertical="center"/>
    </xf>
    <xf numFmtId="0" fontId="48" fillId="0" borderId="0" xfId="85" applyFont="1" applyAlignment="1">
      <alignment vertical="center"/>
    </xf>
    <xf numFmtId="0" fontId="76" fillId="0" borderId="0" xfId="85" applyFont="1"/>
    <xf numFmtId="49" fontId="74" fillId="0" borderId="0" xfId="85" applyNumberFormat="1" applyFont="1" applyAlignment="1">
      <alignment vertical="center"/>
    </xf>
    <xf numFmtId="49" fontId="75" fillId="0" borderId="1" xfId="85" applyNumberFormat="1" applyFont="1" applyBorder="1" applyAlignment="1">
      <alignment horizontal="center" vertical="center" wrapText="1"/>
    </xf>
    <xf numFmtId="0" fontId="75" fillId="0" borderId="1" xfId="85" applyFont="1" applyBorder="1" applyAlignment="1">
      <alignment horizontal="center" vertical="center" wrapText="1"/>
    </xf>
    <xf numFmtId="0" fontId="27" fillId="0" borderId="0" xfId="85" applyFont="1" applyAlignment="1">
      <alignment horizontal="center" vertical="center" wrapText="1"/>
    </xf>
    <xf numFmtId="49" fontId="75" fillId="0" borderId="1" xfId="85" applyNumberFormat="1" applyFont="1" applyBorder="1" applyAlignment="1">
      <alignment horizontal="center" vertical="center"/>
    </xf>
    <xf numFmtId="0" fontId="75" fillId="0" borderId="1" xfId="85" applyFont="1" applyBorder="1" applyAlignment="1">
      <alignment horizontal="center" vertical="center"/>
    </xf>
    <xf numFmtId="0" fontId="27" fillId="0" borderId="0" xfId="85" applyFont="1" applyAlignment="1">
      <alignment horizontal="center" vertical="center"/>
    </xf>
    <xf numFmtId="49" fontId="75" fillId="0" borderId="4" xfId="85" applyNumberFormat="1" applyFont="1" applyBorder="1" applyAlignment="1">
      <alignment horizontal="center" vertical="center"/>
    </xf>
    <xf numFmtId="0" fontId="74" fillId="0" borderId="6" xfId="85" applyFont="1" applyBorder="1" applyAlignment="1">
      <alignment vertical="center"/>
    </xf>
    <xf numFmtId="0" fontId="75" fillId="0" borderId="6" xfId="85" applyFont="1" applyBorder="1" applyAlignment="1">
      <alignment vertical="center"/>
    </xf>
    <xf numFmtId="0" fontId="75" fillId="0" borderId="5" xfId="85" applyFont="1" applyBorder="1" applyAlignment="1">
      <alignment vertical="center"/>
    </xf>
    <xf numFmtId="0" fontId="75" fillId="0" borderId="1" xfId="85" applyFont="1" applyBorder="1" applyAlignment="1">
      <alignment vertical="center" wrapText="1"/>
    </xf>
    <xf numFmtId="0" fontId="75" fillId="0" borderId="1" xfId="85" applyFont="1" applyBorder="1" applyAlignment="1">
      <alignment vertical="center"/>
    </xf>
    <xf numFmtId="0" fontId="27" fillId="0" borderId="7" xfId="85" applyFont="1" applyBorder="1" applyAlignment="1">
      <alignment vertical="center"/>
    </xf>
    <xf numFmtId="3" fontId="27" fillId="0" borderId="0" xfId="85" applyNumberFormat="1" applyFont="1" applyAlignment="1">
      <alignment vertical="center"/>
    </xf>
    <xf numFmtId="0" fontId="27" fillId="0" borderId="0" xfId="85" applyFont="1"/>
    <xf numFmtId="3" fontId="75" fillId="0" borderId="1" xfId="85" applyNumberFormat="1" applyFont="1" applyBorder="1" applyAlignment="1">
      <alignment horizontal="center" vertical="center"/>
    </xf>
    <xf numFmtId="2" fontId="100" fillId="0" borderId="1" xfId="85" applyNumberFormat="1" applyFont="1" applyBorder="1" applyAlignment="1">
      <alignment vertical="center" wrapText="1"/>
    </xf>
    <xf numFmtId="3" fontId="100" fillId="0" borderId="1" xfId="85" applyNumberFormat="1" applyFont="1" applyBorder="1" applyAlignment="1">
      <alignment vertical="center"/>
    </xf>
    <xf numFmtId="4" fontId="75" fillId="0" borderId="1" xfId="85" applyNumberFormat="1" applyFont="1" applyBorder="1" applyAlignment="1">
      <alignment horizontal="center" vertical="center" wrapText="1"/>
    </xf>
    <xf numFmtId="4" fontId="75" fillId="0" borderId="1" xfId="85" applyNumberFormat="1" applyFont="1" applyBorder="1" applyAlignment="1">
      <alignment vertical="center" wrapText="1"/>
    </xf>
    <xf numFmtId="0" fontId="75" fillId="0" borderId="1" xfId="85" applyFont="1" applyBorder="1" applyAlignment="1">
      <alignment horizontal="left" vertical="center" wrapText="1"/>
    </xf>
    <xf numFmtId="4" fontId="74" fillId="0" borderId="1" xfId="85" applyNumberFormat="1" applyFont="1" applyBorder="1" applyAlignment="1">
      <alignment vertical="center"/>
    </xf>
    <xf numFmtId="0" fontId="100" fillId="0" borderId="5" xfId="85" applyFont="1" applyBorder="1" applyAlignment="1">
      <alignment horizontal="center" vertical="center" wrapText="1"/>
    </xf>
    <xf numFmtId="4" fontId="75" fillId="0" borderId="1" xfId="85" applyNumberFormat="1" applyFont="1" applyBorder="1" applyAlignment="1">
      <alignment horizontal="center" vertical="center"/>
    </xf>
    <xf numFmtId="4" fontId="75" fillId="0" borderId="1" xfId="85" applyNumberFormat="1" applyFont="1" applyBorder="1" applyAlignment="1">
      <alignment vertical="center"/>
    </xf>
    <xf numFmtId="1" fontId="27" fillId="0" borderId="0" xfId="85" applyNumberFormat="1" applyFont="1" applyAlignment="1">
      <alignment vertical="center"/>
    </xf>
    <xf numFmtId="0" fontId="75" fillId="0" borderId="1" xfId="78" applyFont="1" applyBorder="1" applyAlignment="1">
      <alignment horizontal="left" vertical="center" wrapText="1"/>
    </xf>
    <xf numFmtId="0" fontId="75" fillId="0" borderId="1" xfId="85" applyFont="1" applyBorder="1" applyAlignment="1">
      <alignment horizontal="right" vertical="center"/>
    </xf>
    <xf numFmtId="2" fontId="75" fillId="0" borderId="1" xfId="85" applyNumberFormat="1" applyFont="1" applyBorder="1" applyAlignment="1">
      <alignment vertical="center"/>
    </xf>
    <xf numFmtId="0" fontId="75" fillId="6" borderId="1" xfId="85" applyFont="1" applyFill="1" applyBorder="1" applyAlignment="1">
      <alignment horizontal="center" vertical="center"/>
    </xf>
    <xf numFmtId="0" fontId="75" fillId="6" borderId="6" xfId="85" applyFont="1" applyFill="1" applyBorder="1" applyAlignment="1">
      <alignment horizontal="center" vertical="center"/>
    </xf>
    <xf numFmtId="0" fontId="75" fillId="6" borderId="5" xfId="85" applyFont="1" applyFill="1" applyBorder="1" applyAlignment="1">
      <alignment vertical="center"/>
    </xf>
    <xf numFmtId="4" fontId="74" fillId="6" borderId="1" xfId="85" applyNumberFormat="1" applyFont="1" applyFill="1" applyBorder="1" applyAlignment="1">
      <alignment vertical="center"/>
    </xf>
    <xf numFmtId="0" fontId="75" fillId="6" borderId="1" xfId="85" applyFont="1" applyFill="1" applyBorder="1" applyAlignment="1">
      <alignment vertical="center"/>
    </xf>
    <xf numFmtId="0" fontId="75" fillId="0" borderId="6" xfId="85" applyFont="1" applyBorder="1" applyAlignment="1">
      <alignment horizontal="center" vertical="center"/>
    </xf>
    <xf numFmtId="0" fontId="74" fillId="0" borderId="6" xfId="85" applyFont="1" applyBorder="1" applyAlignment="1">
      <alignment horizontal="left" vertical="center" wrapText="1"/>
    </xf>
    <xf numFmtId="3" fontId="74" fillId="0" borderId="6" xfId="85" applyNumberFormat="1" applyFont="1" applyBorder="1" applyAlignment="1">
      <alignment vertical="center"/>
    </xf>
    <xf numFmtId="0" fontId="75" fillId="0" borderId="0" xfId="85" applyFont="1" applyAlignment="1">
      <alignment vertical="center" wrapText="1"/>
    </xf>
    <xf numFmtId="0" fontId="75" fillId="0" borderId="0" xfId="85" applyFont="1" applyAlignment="1">
      <alignment horizontal="center" vertical="center"/>
    </xf>
    <xf numFmtId="0" fontId="75" fillId="2" borderId="1" xfId="85" applyFont="1" applyFill="1" applyBorder="1" applyAlignment="1">
      <alignment horizontal="center" vertical="center"/>
    </xf>
    <xf numFmtId="4" fontId="74" fillId="2" borderId="1" xfId="85" applyNumberFormat="1" applyFont="1" applyFill="1" applyBorder="1" applyAlignment="1">
      <alignment vertical="center"/>
    </xf>
    <xf numFmtId="0" fontId="75" fillId="2" borderId="1" xfId="85" applyFont="1" applyFill="1" applyBorder="1" applyAlignment="1">
      <alignment vertical="center"/>
    </xf>
    <xf numFmtId="0" fontId="113" fillId="0" borderId="0" xfId="85" applyFont="1"/>
    <xf numFmtId="0" fontId="41" fillId="0" borderId="0" xfId="79" applyFont="1" applyAlignment="1">
      <alignment horizontal="center" vertical="top" wrapText="1"/>
    </xf>
    <xf numFmtId="176" fontId="41" fillId="0" borderId="0" xfId="79" applyNumberFormat="1" applyFont="1" applyAlignment="1">
      <alignment horizontal="left" vertical="top" wrapText="1"/>
    </xf>
    <xf numFmtId="0" fontId="40" fillId="0" borderId="0" xfId="79" applyFont="1"/>
    <xf numFmtId="0" fontId="41" fillId="0" borderId="0" xfId="79" applyFont="1" applyAlignment="1">
      <alignment horizontal="right" vertical="top" wrapText="1"/>
    </xf>
    <xf numFmtId="49" fontId="27" fillId="0" borderId="0" xfId="85" applyNumberFormat="1" applyFont="1" applyAlignment="1">
      <alignment horizontal="center" vertical="center"/>
    </xf>
    <xf numFmtId="0" fontId="27" fillId="0" borderId="0" xfId="85" applyFont="1" applyAlignment="1">
      <alignment vertical="center" wrapText="1"/>
    </xf>
    <xf numFmtId="0" fontId="75" fillId="0" borderId="0" xfId="91" applyFont="1" applyAlignment="1">
      <alignment vertical="center"/>
    </xf>
    <xf numFmtId="0" fontId="76" fillId="0" borderId="0" xfId="91" applyFont="1"/>
    <xf numFmtId="49" fontId="74" fillId="0" borderId="0" xfId="91" applyNumberFormat="1" applyFont="1" applyAlignment="1">
      <alignment vertical="center"/>
    </xf>
    <xf numFmtId="0" fontId="72" fillId="2" borderId="1" xfId="90" applyFont="1" applyFill="1" applyBorder="1" applyAlignment="1">
      <alignment horizontal="center" vertical="center" wrapText="1"/>
    </xf>
    <xf numFmtId="0" fontId="73" fillId="3" borderId="1" xfId="90" applyFont="1" applyFill="1" applyBorder="1" applyAlignment="1">
      <alignment horizontal="center" vertical="center" wrapText="1"/>
    </xf>
    <xf numFmtId="0" fontId="73" fillId="0" borderId="1" xfId="90" applyFont="1" applyBorder="1" applyAlignment="1">
      <alignment vertical="center" wrapText="1"/>
    </xf>
    <xf numFmtId="0" fontId="10" fillId="0" borderId="1" xfId="91" applyBorder="1" applyAlignment="1">
      <alignment horizontal="center" vertical="center" wrapText="1"/>
    </xf>
    <xf numFmtId="4" fontId="10" fillId="0" borderId="1" xfId="91" applyNumberFormat="1" applyBorder="1" applyAlignment="1">
      <alignment horizontal="center" vertical="center" wrapText="1"/>
    </xf>
    <xf numFmtId="0" fontId="51" fillId="4" borderId="1" xfId="8" applyFont="1" applyFill="1" applyBorder="1" applyAlignment="1">
      <alignment horizontal="center" vertical="top" wrapText="1"/>
    </xf>
    <xf numFmtId="0" fontId="51" fillId="4" borderId="1" xfId="8" applyFont="1" applyFill="1" applyBorder="1" applyAlignment="1">
      <alignment horizontal="left" vertical="top" wrapText="1"/>
    </xf>
    <xf numFmtId="0" fontId="51" fillId="4" borderId="1" xfId="90" applyFont="1" applyFill="1" applyBorder="1" applyAlignment="1">
      <alignment horizontal="center" vertical="top" wrapText="1"/>
    </xf>
    <xf numFmtId="4" fontId="80" fillId="4" borderId="1" xfId="45" applyNumberFormat="1" applyFont="1" applyFill="1" applyBorder="1" applyAlignment="1">
      <alignment horizontal="center" vertical="top"/>
    </xf>
    <xf numFmtId="4" fontId="81" fillId="4" borderId="1" xfId="90" applyNumberFormat="1" applyFont="1" applyFill="1" applyBorder="1" applyAlignment="1">
      <alignment horizontal="center" vertical="top"/>
    </xf>
    <xf numFmtId="0" fontId="77" fillId="4" borderId="1" xfId="45" applyFont="1" applyFill="1" applyBorder="1" applyAlignment="1">
      <alignment horizontal="center" vertical="top" wrapText="1"/>
    </xf>
    <xf numFmtId="4" fontId="79" fillId="4" borderId="1" xfId="45" applyNumberFormat="1" applyFont="1" applyFill="1" applyBorder="1" applyAlignment="1">
      <alignment horizontal="center" vertical="top" wrapText="1"/>
    </xf>
    <xf numFmtId="0" fontId="0" fillId="0" borderId="0" xfId="0" quotePrefix="1"/>
    <xf numFmtId="49" fontId="24" fillId="3" borderId="0" xfId="0" applyNumberFormat="1" applyFont="1" applyFill="1" applyAlignment="1">
      <alignment horizontal="left" vertical="top"/>
    </xf>
    <xf numFmtId="0" fontId="24" fillId="3" borderId="0" xfId="0" applyFont="1" applyFill="1" applyAlignment="1">
      <alignment horizontal="center" vertical="center"/>
    </xf>
    <xf numFmtId="0" fontId="65" fillId="3" borderId="0" xfId="0" applyFont="1" applyFill="1" applyAlignment="1">
      <alignment horizontal="right"/>
    </xf>
    <xf numFmtId="0" fontId="24" fillId="3" borderId="0" xfId="0" applyFont="1" applyFill="1"/>
    <xf numFmtId="0" fontId="120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horizontal="right" vertical="top"/>
    </xf>
    <xf numFmtId="0" fontId="65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horizontal="right" vertical="center"/>
    </xf>
    <xf numFmtId="0" fontId="118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horizontal="center" vertical="top"/>
    </xf>
    <xf numFmtId="0" fontId="24" fillId="3" borderId="1" xfId="0" applyFont="1" applyFill="1" applyBorder="1" applyAlignment="1">
      <alignment horizontal="center" vertical="top" wrapText="1"/>
    </xf>
    <xf numFmtId="49" fontId="24" fillId="3" borderId="1" xfId="0" applyNumberFormat="1" applyFont="1" applyFill="1" applyBorder="1" applyAlignment="1">
      <alignment horizontal="left" vertical="top" wrapText="1"/>
    </xf>
    <xf numFmtId="4" fontId="24" fillId="3" borderId="1" xfId="0" applyNumberFormat="1" applyFont="1" applyFill="1" applyBorder="1" applyAlignment="1">
      <alignment horizontal="right" vertical="top" wrapText="1"/>
    </xf>
    <xf numFmtId="4" fontId="24" fillId="3" borderId="1" xfId="0" applyNumberFormat="1" applyFont="1" applyFill="1" applyBorder="1" applyAlignment="1">
      <alignment horizontal="right" vertical="top"/>
    </xf>
    <xf numFmtId="0" fontId="24" fillId="3" borderId="1" xfId="0" applyFont="1" applyFill="1" applyBorder="1" applyAlignment="1">
      <alignment horizontal="center" vertical="top"/>
    </xf>
    <xf numFmtId="4" fontId="65" fillId="3" borderId="1" xfId="0" applyNumberFormat="1" applyFont="1" applyFill="1" applyBorder="1" applyAlignment="1">
      <alignment horizontal="right" vertical="top" wrapText="1"/>
    </xf>
    <xf numFmtId="0" fontId="24" fillId="3" borderId="1" xfId="0" applyFont="1" applyFill="1" applyBorder="1" applyAlignment="1">
      <alignment horizontal="right" vertical="top" wrapText="1"/>
    </xf>
    <xf numFmtId="0" fontId="24" fillId="3" borderId="1" xfId="0" applyFont="1" applyFill="1" applyBorder="1" applyAlignment="1">
      <alignment horizontal="right" vertical="top"/>
    </xf>
    <xf numFmtId="4" fontId="24" fillId="3" borderId="0" xfId="0" applyNumberFormat="1" applyFont="1" applyFill="1" applyAlignment="1">
      <alignment horizontal="right" vertical="top"/>
    </xf>
    <xf numFmtId="2" fontId="24" fillId="3" borderId="0" xfId="0" applyNumberFormat="1" applyFont="1" applyFill="1" applyAlignment="1">
      <alignment wrapText="1"/>
    </xf>
    <xf numFmtId="2" fontId="24" fillId="3" borderId="1" xfId="0" applyNumberFormat="1" applyFont="1" applyFill="1" applyBorder="1" applyAlignment="1">
      <alignment wrapText="1"/>
    </xf>
    <xf numFmtId="4" fontId="65" fillId="3" borderId="1" xfId="0" applyNumberFormat="1" applyFont="1" applyFill="1" applyBorder="1" applyAlignment="1">
      <alignment horizontal="right" vertical="top"/>
    </xf>
    <xf numFmtId="4" fontId="24" fillId="3" borderId="4" xfId="0" applyNumberFormat="1" applyFont="1" applyFill="1" applyBorder="1" applyAlignment="1">
      <alignment horizontal="right" vertical="top" wrapText="1"/>
    </xf>
    <xf numFmtId="2" fontId="24" fillId="3" borderId="1" xfId="0" applyNumberFormat="1" applyFont="1" applyFill="1" applyBorder="1" applyAlignment="1">
      <alignment horizontal="left" vertical="top" wrapText="1"/>
    </xf>
    <xf numFmtId="49" fontId="24" fillId="3" borderId="1" xfId="0" applyNumberFormat="1" applyFont="1" applyFill="1" applyBorder="1" applyAlignment="1">
      <alignment horizontal="left" vertical="top"/>
    </xf>
    <xf numFmtId="4" fontId="121" fillId="3" borderId="1" xfId="0" applyNumberFormat="1" applyFont="1" applyFill="1" applyBorder="1" applyAlignment="1">
      <alignment horizontal="right" vertical="top" wrapText="1"/>
    </xf>
    <xf numFmtId="49" fontId="24" fillId="3" borderId="0" xfId="0" applyNumberFormat="1" applyFont="1" applyFill="1" applyAlignment="1">
      <alignment horizontal="right" vertical="top"/>
    </xf>
    <xf numFmtId="2" fontId="24" fillId="3" borderId="0" xfId="0" applyNumberFormat="1" applyFont="1" applyFill="1" applyAlignment="1">
      <alignment horizontal="left" vertical="top"/>
    </xf>
    <xf numFmtId="0" fontId="75" fillId="0" borderId="0" xfId="0" applyFont="1"/>
    <xf numFmtId="0" fontId="75" fillId="0" borderId="1" xfId="0" applyFont="1" applyBorder="1" applyAlignment="1">
      <alignment horizontal="center"/>
    </xf>
    <xf numFmtId="0" fontId="75" fillId="0" borderId="1" xfId="0" applyFont="1" applyBorder="1" applyAlignment="1">
      <alignment horizontal="center" vertical="top"/>
    </xf>
    <xf numFmtId="0" fontId="75" fillId="0" borderId="1" xfId="0" applyFont="1" applyBorder="1" applyAlignment="1">
      <alignment horizontal="center" wrapText="1"/>
    </xf>
    <xf numFmtId="0" fontId="75" fillId="0" borderId="1" xfId="0" applyFont="1" applyBorder="1" applyAlignment="1">
      <alignment horizontal="center" vertical="top" wrapText="1"/>
    </xf>
    <xf numFmtId="49" fontId="75" fillId="0" borderId="1" xfId="0" applyNumberFormat="1" applyFont="1" applyBorder="1" applyAlignment="1">
      <alignment horizontal="left" vertical="top" wrapText="1"/>
    </xf>
    <xf numFmtId="0" fontId="75" fillId="0" borderId="1" xfId="0" applyFont="1" applyBorder="1" applyAlignment="1">
      <alignment horizontal="center" vertical="center"/>
    </xf>
    <xf numFmtId="49" fontId="74" fillId="0" borderId="1" xfId="0" applyNumberFormat="1" applyFont="1" applyBorder="1" applyAlignment="1">
      <alignment horizontal="left" vertical="top" wrapText="1"/>
    </xf>
    <xf numFmtId="0" fontId="74" fillId="0" borderId="1" xfId="0" applyFont="1" applyBorder="1" applyAlignment="1">
      <alignment wrapText="1"/>
    </xf>
    <xf numFmtId="0" fontId="75" fillId="0" borderId="1" xfId="0" applyFont="1" applyBorder="1" applyAlignment="1">
      <alignment wrapText="1"/>
    </xf>
    <xf numFmtId="0" fontId="75" fillId="0" borderId="1" xfId="0" applyFont="1" applyBorder="1" applyAlignment="1">
      <alignment vertical="center" wrapText="1"/>
    </xf>
    <xf numFmtId="49" fontId="122" fillId="0" borderId="1" xfId="99" applyNumberFormat="1" applyBorder="1" applyAlignment="1">
      <alignment horizontal="left" vertical="top" wrapText="1"/>
    </xf>
    <xf numFmtId="0" fontId="122" fillId="0" borderId="1" xfId="99" applyBorder="1" applyAlignment="1">
      <alignment vertical="top"/>
    </xf>
    <xf numFmtId="14" fontId="122" fillId="0" borderId="1" xfId="99" applyNumberFormat="1" applyBorder="1" applyAlignment="1">
      <alignment vertical="top"/>
    </xf>
    <xf numFmtId="0" fontId="122" fillId="0" borderId="1" xfId="99" applyBorder="1"/>
    <xf numFmtId="0" fontId="57" fillId="0" borderId="61" xfId="59" applyFont="1" applyBorder="1"/>
    <xf numFmtId="0" fontId="57" fillId="0" borderId="61" xfId="59" applyFont="1" applyBorder="1" applyAlignment="1">
      <alignment horizontal="right"/>
    </xf>
    <xf numFmtId="0" fontId="57" fillId="0" borderId="61" xfId="59" applyFont="1" applyBorder="1" applyAlignment="1">
      <alignment vertical="top"/>
    </xf>
    <xf numFmtId="0" fontId="57" fillId="0" borderId="61" xfId="59" applyFont="1" applyBorder="1" applyAlignment="1">
      <alignment horizontal="center"/>
    </xf>
    <xf numFmtId="2" fontId="57" fillId="0" borderId="61" xfId="59" applyNumberFormat="1" applyFont="1" applyBorder="1"/>
    <xf numFmtId="49" fontId="57" fillId="0" borderId="61" xfId="59" applyNumberFormat="1" applyFont="1" applyBorder="1" applyAlignment="1">
      <alignment horizontal="right"/>
    </xf>
    <xf numFmtId="49" fontId="57" fillId="0" borderId="62" xfId="59" applyNumberFormat="1" applyFont="1" applyBorder="1" applyAlignment="1">
      <alignment horizontal="right"/>
    </xf>
    <xf numFmtId="2" fontId="57" fillId="0" borderId="62" xfId="59" applyNumberFormat="1" applyFont="1" applyBorder="1" applyAlignment="1">
      <alignment horizontal="right"/>
    </xf>
    <xf numFmtId="0" fontId="50" fillId="0" borderId="61" xfId="0" applyFont="1" applyBorder="1"/>
    <xf numFmtId="0" fontId="48" fillId="0" borderId="61" xfId="0" applyFont="1" applyBorder="1" applyAlignment="1">
      <alignment horizontal="center" vertical="center"/>
    </xf>
    <xf numFmtId="0" fontId="48" fillId="0" borderId="61" xfId="60" applyFont="1" applyBorder="1" applyAlignment="1">
      <alignment horizontal="right"/>
    </xf>
    <xf numFmtId="0" fontId="27" fillId="0" borderId="61" xfId="0" applyFont="1" applyBorder="1" applyAlignment="1">
      <alignment horizontal="right" vertical="center"/>
    </xf>
    <xf numFmtId="0" fontId="27" fillId="0" borderId="61" xfId="0" applyFont="1" applyBorder="1" applyAlignment="1">
      <alignment horizontal="center" vertical="center"/>
    </xf>
    <xf numFmtId="0" fontId="27" fillId="0" borderId="61" xfId="5" applyBorder="1" applyAlignment="1">
      <alignment horizontal="right"/>
    </xf>
    <xf numFmtId="0" fontId="27" fillId="0" borderId="66" xfId="61" applyFont="1" applyBorder="1" applyAlignment="1">
      <alignment horizontal="center" wrapText="1"/>
    </xf>
    <xf numFmtId="49" fontId="27" fillId="0" borderId="63" xfId="0" applyNumberFormat="1" applyFont="1" applyBorder="1" applyAlignment="1">
      <alignment horizontal="center" vertical="top" wrapText="1"/>
    </xf>
    <xf numFmtId="49" fontId="27" fillId="0" borderId="63" xfId="0" applyNumberFormat="1" applyFont="1" applyBorder="1" applyAlignment="1">
      <alignment horizontal="left" vertical="top" wrapText="1"/>
    </xf>
    <xf numFmtId="0" fontId="27" fillId="0" borderId="63" xfId="0" applyFont="1" applyBorder="1" applyAlignment="1">
      <alignment horizontal="left" vertical="top" wrapText="1"/>
    </xf>
    <xf numFmtId="0" fontId="27" fillId="0" borderId="63" xfId="0" applyFont="1" applyBorder="1" applyAlignment="1">
      <alignment horizontal="right" vertical="top" wrapText="1"/>
    </xf>
    <xf numFmtId="0" fontId="48" fillId="0" borderId="63" xfId="0" applyFont="1" applyBorder="1" applyAlignment="1">
      <alignment horizontal="left" vertical="top" wrapText="1"/>
    </xf>
    <xf numFmtId="0" fontId="27" fillId="0" borderId="61" xfId="3" applyBorder="1">
      <alignment horizontal="left" vertical="top"/>
    </xf>
    <xf numFmtId="0" fontId="41" fillId="0" borderId="61" xfId="3" applyFont="1" applyBorder="1" applyAlignment="1">
      <alignment vertical="top"/>
    </xf>
    <xf numFmtId="0" fontId="0" fillId="0" borderId="61" xfId="0" applyBorder="1"/>
    <xf numFmtId="0" fontId="47" fillId="0" borderId="0" xfId="0" applyFont="1" applyAlignment="1">
      <alignment horizontal="center" vertical="center"/>
    </xf>
    <xf numFmtId="0" fontId="57" fillId="0" borderId="0" xfId="59" applyFont="1" applyAlignment="1">
      <alignment horizontal="left" vertical="top" wrapText="1"/>
    </xf>
    <xf numFmtId="0" fontId="60" fillId="0" borderId="0" xfId="59" applyFont="1" applyAlignment="1">
      <alignment horizontal="center"/>
    </xf>
    <xf numFmtId="0" fontId="57" fillId="0" borderId="0" xfId="59" applyFont="1" applyAlignment="1">
      <alignment horizontal="left" vertical="top"/>
    </xf>
    <xf numFmtId="0" fontId="58" fillId="0" borderId="0" xfId="59" applyFont="1" applyAlignment="1">
      <alignment horizontal="left" vertical="top" wrapText="1"/>
    </xf>
    <xf numFmtId="0" fontId="58" fillId="0" borderId="34" xfId="59" applyFont="1" applyBorder="1" applyAlignment="1">
      <alignment horizontal="left" vertical="top" wrapText="1"/>
    </xf>
    <xf numFmtId="0" fontId="57" fillId="0" borderId="63" xfId="59" applyFont="1" applyBorder="1" applyAlignment="1">
      <alignment horizontal="center" vertical="center" wrapText="1"/>
    </xf>
    <xf numFmtId="0" fontId="57" fillId="0" borderId="63" xfId="59" applyFont="1" applyBorder="1" applyAlignment="1">
      <alignment horizontal="center" vertical="center"/>
    </xf>
    <xf numFmtId="0" fontId="48" fillId="0" borderId="63" xfId="0" applyFont="1" applyBorder="1" applyAlignment="1">
      <alignment horizontal="right" vertical="top" wrapText="1"/>
    </xf>
    <xf numFmtId="0" fontId="75" fillId="0" borderId="63" xfId="0" applyFont="1" applyBorder="1" applyAlignment="1">
      <alignment horizontal="center" vertical="top" wrapText="1"/>
    </xf>
    <xf numFmtId="0" fontId="75" fillId="0" borderId="63" xfId="0" applyFont="1" applyBorder="1" applyAlignment="1">
      <alignment horizontal="center" vertical="center"/>
    </xf>
    <xf numFmtId="49" fontId="122" fillId="0" borderId="63" xfId="99" applyNumberFormat="1" applyBorder="1" applyAlignment="1">
      <alignment horizontal="left" vertical="top" wrapText="1"/>
    </xf>
    <xf numFmtId="49" fontId="75" fillId="0" borderId="63" xfId="0" applyNumberFormat="1" applyFont="1" applyBorder="1" applyAlignment="1">
      <alignment horizontal="left" vertical="top" wrapText="1"/>
    </xf>
    <xf numFmtId="4" fontId="24" fillId="3" borderId="29" xfId="0" applyNumberFormat="1" applyFont="1" applyFill="1" applyBorder="1" applyAlignment="1">
      <alignment horizontal="right" vertical="top"/>
    </xf>
    <xf numFmtId="14" fontId="122" fillId="0" borderId="63" xfId="99" applyNumberFormat="1" applyBorder="1" applyAlignment="1">
      <alignment vertical="top"/>
    </xf>
    <xf numFmtId="0" fontId="75" fillId="0" borderId="63" xfId="0" applyFont="1" applyBorder="1" applyAlignment="1">
      <alignment wrapText="1"/>
    </xf>
    <xf numFmtId="0" fontId="47" fillId="0" borderId="0" xfId="0" applyFont="1" applyAlignment="1">
      <alignment horizontal="center" vertical="center"/>
    </xf>
    <xf numFmtId="0" fontId="124" fillId="0" borderId="0" xfId="101" applyFont="1"/>
    <xf numFmtId="0" fontId="124" fillId="0" borderId="0" xfId="101" applyFont="1" applyAlignment="1">
      <alignment wrapText="1"/>
    </xf>
    <xf numFmtId="0" fontId="125" fillId="0" borderId="0" xfId="101" applyFont="1" applyAlignment="1">
      <alignment vertical="top" wrapText="1"/>
    </xf>
    <xf numFmtId="0" fontId="124" fillId="0" borderId="0" xfId="101" applyFont="1" applyAlignment="1">
      <alignment horizontal="right" vertical="top"/>
    </xf>
    <xf numFmtId="0" fontId="124" fillId="0" borderId="0" xfId="101" applyFont="1" applyAlignment="1">
      <alignment horizontal="right"/>
    </xf>
    <xf numFmtId="0" fontId="124" fillId="0" borderId="34" xfId="101" applyFont="1" applyBorder="1"/>
    <xf numFmtId="3" fontId="125" fillId="0" borderId="0" xfId="101" applyNumberFormat="1" applyFont="1" applyAlignment="1">
      <alignment horizontal="right" vertical="top"/>
    </xf>
    <xf numFmtId="2" fontId="125" fillId="0" borderId="0" xfId="101" applyNumberFormat="1" applyFont="1" applyAlignment="1">
      <alignment horizontal="center" vertical="top"/>
    </xf>
    <xf numFmtId="4" fontId="125" fillId="0" borderId="0" xfId="101" applyNumberFormat="1" applyFont="1" applyAlignment="1">
      <alignment horizontal="right" vertical="top"/>
    </xf>
    <xf numFmtId="0" fontId="125" fillId="0" borderId="0" xfId="101" applyFont="1" applyAlignment="1">
      <alignment horizontal="left" vertical="top" wrapText="1"/>
    </xf>
    <xf numFmtId="0" fontId="125" fillId="0" borderId="0" xfId="101" applyFont="1" applyAlignment="1">
      <alignment horizontal="right" vertical="top" wrapText="1"/>
    </xf>
    <xf numFmtId="4" fontId="125" fillId="0" borderId="8" xfId="101" applyNumberFormat="1" applyFont="1" applyBorder="1" applyAlignment="1">
      <alignment horizontal="right" vertical="top"/>
    </xf>
    <xf numFmtId="0" fontId="124" fillId="0" borderId="7" xfId="101" applyFont="1" applyBorder="1"/>
    <xf numFmtId="3" fontId="124" fillId="0" borderId="8" xfId="101" applyNumberFormat="1" applyFont="1" applyBorder="1" applyAlignment="1">
      <alignment horizontal="right" vertical="top"/>
    </xf>
    <xf numFmtId="2" fontId="124" fillId="0" borderId="0" xfId="101" applyNumberFormat="1" applyFont="1" applyAlignment="1">
      <alignment horizontal="center" vertical="top"/>
    </xf>
    <xf numFmtId="4" fontId="124" fillId="0" borderId="0" xfId="101" applyNumberFormat="1" applyFont="1" applyAlignment="1">
      <alignment horizontal="right" vertical="top"/>
    </xf>
    <xf numFmtId="0" fontId="124" fillId="0" borderId="0" xfId="101" applyFont="1" applyAlignment="1">
      <alignment horizontal="right" vertical="top" wrapText="1"/>
    </xf>
    <xf numFmtId="3" fontId="125" fillId="0" borderId="40" xfId="101" applyNumberFormat="1" applyFont="1" applyBorder="1" applyAlignment="1">
      <alignment horizontal="right" vertical="top"/>
    </xf>
    <xf numFmtId="2" fontId="125" fillId="0" borderId="34" xfId="101" applyNumberFormat="1" applyFont="1" applyBorder="1" applyAlignment="1">
      <alignment horizontal="center" vertical="top"/>
    </xf>
    <xf numFmtId="4" fontId="125" fillId="0" borderId="34" xfId="101" applyNumberFormat="1" applyFont="1" applyBorder="1" applyAlignment="1">
      <alignment horizontal="right" vertical="top"/>
    </xf>
    <xf numFmtId="0" fontId="125" fillId="0" borderId="34" xfId="101" applyFont="1" applyBorder="1" applyAlignment="1">
      <alignment horizontal="right" vertical="top" wrapText="1"/>
    </xf>
    <xf numFmtId="0" fontId="124" fillId="0" borderId="39" xfId="101" applyFont="1" applyBorder="1"/>
    <xf numFmtId="3" fontId="124" fillId="0" borderId="0" xfId="101" applyNumberFormat="1" applyFont="1" applyAlignment="1">
      <alignment vertical="top"/>
    </xf>
    <xf numFmtId="2" fontId="124" fillId="0" borderId="0" xfId="101" applyNumberFormat="1" applyFont="1" applyAlignment="1">
      <alignment vertical="top"/>
    </xf>
    <xf numFmtId="4" fontId="124" fillId="0" borderId="0" xfId="101" applyNumberFormat="1" applyFont="1" applyAlignment="1">
      <alignment vertical="top"/>
    </xf>
    <xf numFmtId="0" fontId="124" fillId="0" borderId="0" xfId="101" applyFont="1" applyAlignment="1">
      <alignment vertical="top"/>
    </xf>
    <xf numFmtId="0" fontId="124" fillId="0" borderId="0" xfId="101" applyFont="1" applyAlignment="1">
      <alignment horizontal="center" vertical="top" wrapText="1"/>
    </xf>
    <xf numFmtId="0" fontId="125" fillId="0" borderId="0" xfId="101" applyFont="1" applyAlignment="1">
      <alignment horizontal="center" vertical="top" wrapText="1"/>
    </xf>
    <xf numFmtId="3" fontId="125" fillId="0" borderId="8" xfId="101" applyNumberFormat="1" applyFont="1" applyBorder="1" applyAlignment="1">
      <alignment horizontal="right" vertical="top" wrapText="1"/>
    </xf>
    <xf numFmtId="2" fontId="125" fillId="0" borderId="0" xfId="101" applyNumberFormat="1" applyFont="1" applyAlignment="1">
      <alignment horizontal="center" vertical="top" wrapText="1"/>
    </xf>
    <xf numFmtId="4" fontId="125" fillId="0" borderId="0" xfId="101" applyNumberFormat="1" applyFont="1" applyAlignment="1">
      <alignment horizontal="right" vertical="top" wrapText="1"/>
    </xf>
    <xf numFmtId="0" fontId="124" fillId="0" borderId="0" xfId="101" applyFont="1" applyAlignment="1">
      <alignment vertical="top" wrapText="1"/>
    </xf>
    <xf numFmtId="0" fontId="124" fillId="0" borderId="0" xfId="101" applyFont="1" applyAlignment="1">
      <alignment horizontal="left" vertical="top"/>
    </xf>
    <xf numFmtId="0" fontId="125" fillId="0" borderId="7" xfId="101" applyFont="1" applyBorder="1" applyAlignment="1">
      <alignment horizontal="center" vertical="top" wrapText="1"/>
    </xf>
    <xf numFmtId="3" fontId="125" fillId="0" borderId="40" xfId="101" applyNumberFormat="1" applyFont="1" applyBorder="1" applyAlignment="1">
      <alignment horizontal="right" vertical="top" wrapText="1"/>
    </xf>
    <xf numFmtId="2" fontId="125" fillId="0" borderId="34" xfId="101" applyNumberFormat="1" applyFont="1" applyBorder="1" applyAlignment="1">
      <alignment horizontal="center" vertical="top" wrapText="1"/>
    </xf>
    <xf numFmtId="4" fontId="125" fillId="0" borderId="34" xfId="101" applyNumberFormat="1" applyFont="1" applyBorder="1" applyAlignment="1">
      <alignment horizontal="right" vertical="top" wrapText="1"/>
    </xf>
    <xf numFmtId="0" fontId="125" fillId="0" borderId="34" xfId="101" applyFont="1" applyBorder="1" applyAlignment="1">
      <alignment horizontal="center" vertical="top" wrapText="1"/>
    </xf>
    <xf numFmtId="0" fontId="125" fillId="0" borderId="34" xfId="101" applyFont="1" applyBorder="1" applyAlignment="1">
      <alignment horizontal="left" vertical="top" wrapText="1"/>
    </xf>
    <xf numFmtId="0" fontId="125" fillId="0" borderId="39" xfId="101" applyFont="1" applyBorder="1" applyAlignment="1">
      <alignment horizontal="center" vertical="top" wrapText="1"/>
    </xf>
    <xf numFmtId="0" fontId="124" fillId="0" borderId="63" xfId="101" applyFont="1" applyBorder="1" applyAlignment="1">
      <alignment horizontal="center" vertical="center"/>
    </xf>
    <xf numFmtId="0" fontId="124" fillId="0" borderId="63" xfId="101" applyFont="1" applyBorder="1" applyAlignment="1">
      <alignment horizontal="center" vertical="center" wrapText="1"/>
    </xf>
    <xf numFmtId="0" fontId="124" fillId="0" borderId="0" xfId="101" applyFont="1" applyAlignment="1">
      <alignment vertical="center"/>
    </xf>
    <xf numFmtId="49" fontId="124" fillId="0" borderId="61" xfId="101" applyNumberFormat="1" applyFont="1" applyBorder="1" applyAlignment="1">
      <alignment horizontal="right"/>
    </xf>
    <xf numFmtId="2" fontId="124" fillId="0" borderId="61" xfId="101" applyNumberFormat="1" applyFont="1" applyBorder="1"/>
    <xf numFmtId="0" fontId="124" fillId="0" borderId="0" xfId="101" applyFont="1" applyAlignment="1">
      <alignment horizontal="left"/>
    </xf>
    <xf numFmtId="2" fontId="124" fillId="0" borderId="62" xfId="101" applyNumberFormat="1" applyFont="1" applyBorder="1" applyAlignment="1">
      <alignment horizontal="right"/>
    </xf>
    <xf numFmtId="49" fontId="124" fillId="0" borderId="62" xfId="101" applyNumberFormat="1" applyFont="1" applyBorder="1" applyAlignment="1">
      <alignment horizontal="right"/>
    </xf>
    <xf numFmtId="49" fontId="124" fillId="0" borderId="0" xfId="101" applyNumberFormat="1" applyFont="1" applyAlignment="1">
      <alignment horizontal="right"/>
    </xf>
    <xf numFmtId="2" fontId="124" fillId="0" borderId="0" xfId="101" applyNumberFormat="1" applyFont="1"/>
    <xf numFmtId="0" fontId="124" fillId="0" borderId="0" xfId="101" applyFont="1" applyAlignment="1">
      <alignment vertical="center" wrapText="1"/>
    </xf>
    <xf numFmtId="0" fontId="125" fillId="0" borderId="0" xfId="101" applyFont="1" applyAlignment="1">
      <alignment horizontal="left"/>
    </xf>
    <xf numFmtId="0" fontId="124" fillId="0" borderId="0" xfId="101" applyFont="1" applyAlignment="1">
      <alignment horizontal="center"/>
    </xf>
    <xf numFmtId="0" fontId="124" fillId="0" borderId="61" xfId="101" applyFont="1" applyBorder="1"/>
    <xf numFmtId="0" fontId="126" fillId="0" borderId="0" xfId="101" applyFont="1"/>
    <xf numFmtId="0" fontId="126" fillId="0" borderId="0" xfId="101" applyFont="1" applyAlignment="1">
      <alignment horizontal="center"/>
    </xf>
    <xf numFmtId="3" fontId="124" fillId="0" borderId="0" xfId="101" applyNumberFormat="1" applyFont="1" applyAlignment="1">
      <alignment horizontal="right" vertical="top"/>
    </xf>
    <xf numFmtId="0" fontId="124" fillId="0" borderId="61" xfId="101" applyFont="1" applyBorder="1" applyAlignment="1">
      <alignment horizontal="center"/>
    </xf>
    <xf numFmtId="0" fontId="128" fillId="0" borderId="0" xfId="101" applyFont="1" applyAlignment="1">
      <alignment horizontal="center"/>
    </xf>
    <xf numFmtId="0" fontId="126" fillId="0" borderId="0" xfId="101" applyFont="1" applyAlignment="1">
      <alignment horizontal="center" vertical="top"/>
    </xf>
    <xf numFmtId="0" fontId="124" fillId="0" borderId="61" xfId="101" applyFont="1" applyBorder="1" applyAlignment="1">
      <alignment vertical="top"/>
    </xf>
    <xf numFmtId="0" fontId="125" fillId="0" borderId="0" xfId="101" applyFont="1" applyAlignment="1">
      <alignment horizontal="center"/>
    </xf>
    <xf numFmtId="0" fontId="124" fillId="0" borderId="61" xfId="101" applyFont="1" applyBorder="1" applyAlignment="1">
      <alignment horizontal="right"/>
    </xf>
    <xf numFmtId="0" fontId="125" fillId="0" borderId="0" xfId="101" applyFont="1" applyAlignment="1">
      <alignment vertical="top"/>
    </xf>
    <xf numFmtId="0" fontId="123" fillId="0" borderId="0" xfId="101"/>
    <xf numFmtId="2" fontId="124" fillId="0" borderId="34" xfId="101" applyNumberFormat="1" applyFont="1" applyBorder="1" applyAlignment="1">
      <alignment horizontal="center" vertical="top" wrapText="1"/>
    </xf>
    <xf numFmtId="3" fontId="124" fillId="0" borderId="8" xfId="101" applyNumberFormat="1" applyFont="1" applyBorder="1" applyAlignment="1">
      <alignment horizontal="right" vertical="top" wrapText="1"/>
    </xf>
    <xf numFmtId="2" fontId="124" fillId="0" borderId="0" xfId="101" applyNumberFormat="1" applyFont="1" applyAlignment="1">
      <alignment horizontal="center" vertical="top" wrapText="1"/>
    </xf>
    <xf numFmtId="4" fontId="124" fillId="0" borderId="0" xfId="101" applyNumberFormat="1" applyFont="1" applyAlignment="1">
      <alignment horizontal="right" vertical="top" wrapText="1"/>
    </xf>
    <xf numFmtId="0" fontId="124" fillId="0" borderId="7" xfId="101" applyFont="1" applyBorder="1" applyAlignment="1">
      <alignment horizontal="center" vertical="center" wrapText="1"/>
    </xf>
    <xf numFmtId="3" fontId="124" fillId="0" borderId="40" xfId="101" applyNumberFormat="1" applyFont="1" applyBorder="1" applyAlignment="1">
      <alignment horizontal="right" vertical="top" wrapText="1"/>
    </xf>
    <xf numFmtId="4" fontId="124" fillId="0" borderId="34" xfId="101" applyNumberFormat="1" applyFont="1" applyBorder="1" applyAlignment="1">
      <alignment horizontal="right" vertical="top" wrapText="1"/>
    </xf>
    <xf numFmtId="0" fontId="124" fillId="0" borderId="34" xfId="101" applyFont="1" applyBorder="1" applyAlignment="1">
      <alignment horizontal="center" vertical="top" wrapText="1"/>
    </xf>
    <xf numFmtId="0" fontId="124" fillId="0" borderId="7" xfId="101" applyFont="1" applyBorder="1" applyAlignment="1">
      <alignment vertical="center" wrapText="1"/>
    </xf>
    <xf numFmtId="0" fontId="122" fillId="0" borderId="0" xfId="99"/>
    <xf numFmtId="4" fontId="0" fillId="3" borderId="0" xfId="0" applyNumberFormat="1" applyFill="1"/>
    <xf numFmtId="0" fontId="88" fillId="3" borderId="0" xfId="0" applyFont="1" applyFill="1"/>
    <xf numFmtId="0" fontId="88" fillId="3" borderId="0" xfId="0" applyFont="1" applyFill="1" applyAlignment="1">
      <alignment horizontal="center" vertical="top"/>
    </xf>
    <xf numFmtId="49" fontId="88" fillId="3" borderId="0" xfId="0" applyNumberFormat="1" applyFont="1" applyFill="1" applyAlignment="1">
      <alignment horizontal="left" vertical="top"/>
    </xf>
    <xf numFmtId="0" fontId="88" fillId="3" borderId="0" xfId="0" applyFont="1" applyFill="1" applyAlignment="1">
      <alignment horizontal="right" vertical="top"/>
    </xf>
    <xf numFmtId="0" fontId="88" fillId="3" borderId="0" xfId="0" applyFont="1" applyFill="1" applyAlignment="1">
      <alignment horizontal="center" vertical="center"/>
    </xf>
    <xf numFmtId="0" fontId="88" fillId="3" borderId="0" xfId="0" applyFont="1" applyFill="1" applyAlignment="1">
      <alignment horizontal="right" vertical="center"/>
    </xf>
    <xf numFmtId="0" fontId="88" fillId="3" borderId="66" xfId="0" applyFont="1" applyFill="1" applyBorder="1" applyAlignment="1">
      <alignment horizontal="center" vertical="center"/>
    </xf>
    <xf numFmtId="49" fontId="88" fillId="3" borderId="66" xfId="0" applyNumberFormat="1" applyFont="1" applyFill="1" applyBorder="1" applyAlignment="1">
      <alignment horizontal="center" vertical="center"/>
    </xf>
    <xf numFmtId="4" fontId="88" fillId="3" borderId="29" xfId="0" applyNumberFormat="1" applyFont="1" applyFill="1" applyBorder="1" applyAlignment="1">
      <alignment horizontal="right" vertical="top"/>
    </xf>
    <xf numFmtId="4" fontId="88" fillId="3" borderId="73" xfId="62" applyNumberFormat="1" applyFont="1" applyFill="1" applyBorder="1" applyAlignment="1">
      <alignment horizontal="right" vertical="top" wrapText="1"/>
    </xf>
    <xf numFmtId="4" fontId="88" fillId="3" borderId="1" xfId="0" applyNumberFormat="1" applyFont="1" applyFill="1" applyBorder="1" applyAlignment="1">
      <alignment horizontal="right" vertical="top"/>
    </xf>
    <xf numFmtId="4" fontId="88" fillId="3" borderId="1" xfId="0" applyNumberFormat="1" applyFont="1" applyFill="1" applyBorder="1" applyAlignment="1">
      <alignment horizontal="right" vertical="top" wrapText="1"/>
    </xf>
    <xf numFmtId="4" fontId="88" fillId="3" borderId="4" xfId="0" applyNumberFormat="1" applyFont="1" applyFill="1" applyBorder="1" applyAlignment="1">
      <alignment horizontal="right" vertical="top" wrapText="1"/>
    </xf>
    <xf numFmtId="0" fontId="88" fillId="3" borderId="1" xfId="0" applyFont="1" applyFill="1" applyBorder="1" applyAlignment="1">
      <alignment wrapText="1"/>
    </xf>
    <xf numFmtId="0" fontId="88" fillId="3" borderId="1" xfId="0" applyFont="1" applyFill="1" applyBorder="1" applyAlignment="1">
      <alignment horizontal="center" vertical="top"/>
    </xf>
    <xf numFmtId="4" fontId="130" fillId="3" borderId="1" xfId="0" applyNumberFormat="1" applyFont="1" applyFill="1" applyBorder="1" applyAlignment="1">
      <alignment horizontal="right" vertical="top" wrapText="1"/>
    </xf>
    <xf numFmtId="4" fontId="130" fillId="3" borderId="4" xfId="0" applyNumberFormat="1" applyFont="1" applyFill="1" applyBorder="1" applyAlignment="1">
      <alignment horizontal="right" vertical="top" wrapText="1"/>
    </xf>
    <xf numFmtId="0" fontId="88" fillId="3" borderId="1" xfId="0" applyFont="1" applyFill="1" applyBorder="1"/>
    <xf numFmtId="0" fontId="88" fillId="3" borderId="1" xfId="0" applyFont="1" applyFill="1" applyBorder="1" applyAlignment="1">
      <alignment horizontal="center" vertical="top" wrapText="1"/>
    </xf>
    <xf numFmtId="49" fontId="88" fillId="3" borderId="1" xfId="0" applyNumberFormat="1" applyFont="1" applyFill="1" applyBorder="1" applyAlignment="1">
      <alignment horizontal="left" vertical="top" wrapText="1"/>
    </xf>
    <xf numFmtId="0" fontId="88" fillId="3" borderId="1" xfId="0" applyFont="1" applyFill="1" applyBorder="1" applyAlignment="1">
      <alignment horizontal="right" vertical="top" wrapText="1"/>
    </xf>
    <xf numFmtId="0" fontId="88" fillId="3" borderId="1" xfId="0" applyFont="1" applyFill="1" applyBorder="1" applyAlignment="1">
      <alignment horizontal="right" vertical="top"/>
    </xf>
    <xf numFmtId="0" fontId="88" fillId="3" borderId="4" xfId="0" applyFont="1" applyFill="1" applyBorder="1" applyAlignment="1">
      <alignment horizontal="right" vertical="top" wrapText="1"/>
    </xf>
    <xf numFmtId="4" fontId="88" fillId="3" borderId="0" xfId="0" applyNumberFormat="1" applyFont="1" applyFill="1" applyAlignment="1">
      <alignment horizontal="right" vertical="top"/>
    </xf>
    <xf numFmtId="2" fontId="88" fillId="3" borderId="1" xfId="0" applyNumberFormat="1" applyFont="1" applyFill="1" applyBorder="1" applyAlignment="1">
      <alignment wrapText="1"/>
    </xf>
    <xf numFmtId="4" fontId="130" fillId="3" borderId="1" xfId="0" applyNumberFormat="1" applyFont="1" applyFill="1" applyBorder="1" applyAlignment="1">
      <alignment horizontal="right" vertical="top"/>
    </xf>
    <xf numFmtId="4" fontId="130" fillId="3" borderId="4" xfId="0" applyNumberFormat="1" applyFont="1" applyFill="1" applyBorder="1" applyAlignment="1">
      <alignment horizontal="right" vertical="top"/>
    </xf>
    <xf numFmtId="4" fontId="88" fillId="3" borderId="4" xfId="0" applyNumberFormat="1" applyFont="1" applyFill="1" applyBorder="1" applyAlignment="1">
      <alignment horizontal="right" vertical="top"/>
    </xf>
    <xf numFmtId="4" fontId="88" fillId="3" borderId="0" xfId="0" applyNumberFormat="1" applyFont="1" applyFill="1"/>
    <xf numFmtId="4" fontId="88" fillId="3" borderId="1" xfId="0" applyNumberFormat="1" applyFont="1" applyFill="1" applyBorder="1"/>
    <xf numFmtId="4" fontId="88" fillId="3" borderId="4" xfId="0" applyNumberFormat="1" applyFont="1" applyFill="1" applyBorder="1"/>
    <xf numFmtId="2" fontId="88" fillId="3" borderId="1" xfId="0" applyNumberFormat="1" applyFont="1" applyFill="1" applyBorder="1" applyAlignment="1">
      <alignment horizontal="left" vertical="top" wrapText="1"/>
    </xf>
    <xf numFmtId="49" fontId="88" fillId="3" borderId="1" xfId="0" applyNumberFormat="1" applyFont="1" applyFill="1" applyBorder="1" applyAlignment="1">
      <alignment horizontal="left" vertical="top"/>
    </xf>
    <xf numFmtId="49" fontId="88" fillId="3" borderId="0" xfId="0" applyNumberFormat="1" applyFont="1" applyFill="1" applyAlignment="1">
      <alignment horizontal="right" vertical="top"/>
    </xf>
    <xf numFmtId="0" fontId="58" fillId="7" borderId="9" xfId="59" applyFont="1" applyFill="1" applyBorder="1" applyAlignment="1">
      <alignment horizontal="center" vertical="top" wrapText="1"/>
    </xf>
    <xf numFmtId="0" fontId="58" fillId="7" borderId="10" xfId="59" applyFont="1" applyFill="1" applyBorder="1" applyAlignment="1">
      <alignment horizontal="left" vertical="top" wrapText="1"/>
    </xf>
    <xf numFmtId="0" fontId="58" fillId="7" borderId="10" xfId="59" applyFont="1" applyFill="1" applyBorder="1" applyAlignment="1">
      <alignment horizontal="center" vertical="top" wrapText="1"/>
    </xf>
    <xf numFmtId="4" fontId="58" fillId="7" borderId="10" xfId="59" applyNumberFormat="1" applyFont="1" applyFill="1" applyBorder="1" applyAlignment="1">
      <alignment horizontal="right" vertical="top" wrapText="1"/>
    </xf>
    <xf numFmtId="2" fontId="58" fillId="7" borderId="10" xfId="59" applyNumberFormat="1" applyFont="1" applyFill="1" applyBorder="1" applyAlignment="1">
      <alignment horizontal="center" vertical="top" wrapText="1"/>
    </xf>
    <xf numFmtId="3" fontId="58" fillId="7" borderId="11" xfId="59" applyNumberFormat="1" applyFont="1" applyFill="1" applyBorder="1" applyAlignment="1">
      <alignment horizontal="right" vertical="top" wrapText="1"/>
    </xf>
    <xf numFmtId="0" fontId="57" fillId="7" borderId="0" xfId="59" applyFont="1" applyFill="1"/>
    <xf numFmtId="0" fontId="57" fillId="7" borderId="0" xfId="59" applyFont="1" applyFill="1" applyAlignment="1">
      <alignment wrapText="1"/>
    </xf>
    <xf numFmtId="0" fontId="47" fillId="0" borderId="0" xfId="0" applyFont="1" applyAlignment="1">
      <alignment horizontal="center" vertical="center"/>
    </xf>
    <xf numFmtId="0" fontId="124" fillId="0" borderId="0" xfId="101" applyFont="1" applyAlignment="1">
      <alignment horizontal="left" vertical="top" wrapText="1"/>
    </xf>
    <xf numFmtId="0" fontId="125" fillId="0" borderId="0" xfId="101" applyFont="1" applyAlignment="1">
      <alignment horizontal="left" vertical="top" wrapText="1"/>
    </xf>
    <xf numFmtId="0" fontId="125" fillId="0" borderId="34" xfId="101" applyFont="1" applyBorder="1" applyAlignment="1">
      <alignment horizontal="left" vertical="top" wrapText="1"/>
    </xf>
    <xf numFmtId="0" fontId="128" fillId="0" borderId="0" xfId="101" applyFont="1" applyAlignment="1">
      <alignment horizontal="center"/>
    </xf>
    <xf numFmtId="0" fontId="124" fillId="0" borderId="63" xfId="101" applyFont="1" applyBorder="1" applyAlignment="1">
      <alignment horizontal="center" vertical="center" wrapText="1"/>
    </xf>
    <xf numFmtId="0" fontId="124" fillId="0" borderId="63" xfId="101" applyFont="1" applyBorder="1" applyAlignment="1">
      <alignment horizontal="center" vertical="center"/>
    </xf>
    <xf numFmtId="0" fontId="124" fillId="0" borderId="0" xfId="101" applyFont="1" applyAlignment="1">
      <alignment horizontal="left" vertical="top"/>
    </xf>
    <xf numFmtId="0" fontId="124" fillId="0" borderId="0" xfId="101" applyFont="1" applyAlignment="1">
      <alignment vertical="top" wrapText="1"/>
    </xf>
    <xf numFmtId="0" fontId="47" fillId="0" borderId="0" xfId="0" applyFont="1" applyAlignment="1">
      <alignment horizontal="center" vertical="center"/>
    </xf>
    <xf numFmtId="0" fontId="124" fillId="0" borderId="0" xfId="101" applyFont="1" applyAlignment="1">
      <alignment horizontal="left" vertical="top" wrapText="1"/>
    </xf>
    <xf numFmtId="0" fontId="124" fillId="0" borderId="0" xfId="101" applyFont="1" applyAlignment="1">
      <alignment horizontal="left" vertical="top"/>
    </xf>
    <xf numFmtId="0" fontId="124" fillId="0" borderId="0" xfId="101" applyFont="1" applyAlignment="1">
      <alignment vertical="top" wrapText="1"/>
    </xf>
    <xf numFmtId="0" fontId="124" fillId="0" borderId="63" xfId="101" applyFont="1" applyBorder="1" applyAlignment="1">
      <alignment horizontal="center" vertical="center" wrapText="1"/>
    </xf>
    <xf numFmtId="0" fontId="124" fillId="0" borderId="63" xfId="101" applyFont="1" applyBorder="1" applyAlignment="1">
      <alignment horizontal="center" vertical="center"/>
    </xf>
    <xf numFmtId="0" fontId="128" fillId="0" borderId="0" xfId="101" applyFont="1" applyAlignment="1">
      <alignment horizontal="center"/>
    </xf>
    <xf numFmtId="0" fontId="125" fillId="0" borderId="34" xfId="101" applyFont="1" applyBorder="1" applyAlignment="1">
      <alignment horizontal="left" vertical="top" wrapText="1"/>
    </xf>
    <xf numFmtId="0" fontId="125" fillId="0" borderId="0" xfId="101" applyFont="1" applyAlignment="1">
      <alignment horizontal="left" vertical="top" wrapText="1"/>
    </xf>
    <xf numFmtId="49" fontId="48" fillId="0" borderId="63" xfId="0" applyNumberFormat="1" applyFont="1" applyBorder="1" applyAlignment="1">
      <alignment horizontal="center" vertical="top" wrapText="1"/>
    </xf>
    <xf numFmtId="49" fontId="48" fillId="0" borderId="63" xfId="0" applyNumberFormat="1" applyFont="1" applyBorder="1" applyAlignment="1">
      <alignment horizontal="left" vertical="top" wrapText="1"/>
    </xf>
    <xf numFmtId="0" fontId="127" fillId="0" borderId="0" xfId="101" applyFont="1" applyAlignment="1">
      <alignment wrapText="1"/>
    </xf>
    <xf numFmtId="0" fontId="125" fillId="0" borderId="0" xfId="101" applyFont="1" applyAlignment="1">
      <alignment wrapText="1"/>
    </xf>
    <xf numFmtId="0" fontId="124" fillId="0" borderId="7" xfId="101" applyFont="1" applyBorder="1" applyAlignment="1">
      <alignment horizontal="center" vertical="top" wrapText="1"/>
    </xf>
    <xf numFmtId="0" fontId="126" fillId="0" borderId="0" xfId="101" applyFont="1" applyAlignment="1">
      <alignment horizontal="right" vertical="top" wrapText="1"/>
    </xf>
    <xf numFmtId="0" fontId="126" fillId="0" borderId="0" xfId="101" applyFont="1" applyAlignment="1">
      <alignment horizontal="center" vertical="top" wrapText="1"/>
    </xf>
    <xf numFmtId="0" fontId="124" fillId="0" borderId="8" xfId="101" applyFont="1" applyBorder="1" applyAlignment="1">
      <alignment horizontal="right" vertical="top" wrapText="1"/>
    </xf>
    <xf numFmtId="0" fontId="126" fillId="0" borderId="0" xfId="101" applyFont="1" applyAlignment="1">
      <alignment wrapText="1"/>
    </xf>
    <xf numFmtId="3" fontId="125" fillId="0" borderId="8" xfId="101" applyNumberFormat="1" applyFont="1" applyBorder="1" applyAlignment="1">
      <alignment horizontal="right" vertical="top"/>
    </xf>
    <xf numFmtId="0" fontId="124" fillId="0" borderId="0" xfId="101" applyFont="1" applyAlignment="1">
      <alignment horizontal="left" vertical="top" wrapText="1"/>
    </xf>
    <xf numFmtId="0" fontId="125" fillId="0" borderId="0" xfId="101" applyFont="1" applyAlignment="1">
      <alignment horizontal="left" vertical="top" wrapText="1"/>
    </xf>
    <xf numFmtId="0" fontId="125" fillId="0" borderId="34" xfId="101" applyFont="1" applyBorder="1" applyAlignment="1">
      <alignment horizontal="left" vertical="top" wrapText="1"/>
    </xf>
    <xf numFmtId="0" fontId="124" fillId="0" borderId="63" xfId="101" applyFont="1" applyBorder="1" applyAlignment="1">
      <alignment horizontal="center" vertical="center" wrapText="1"/>
    </xf>
    <xf numFmtId="0" fontId="124" fillId="0" borderId="63" xfId="101" applyFont="1" applyBorder="1" applyAlignment="1">
      <alignment horizontal="center" vertical="center"/>
    </xf>
    <xf numFmtId="0" fontId="128" fillId="0" borderId="0" xfId="101" applyFont="1" applyAlignment="1">
      <alignment horizontal="center"/>
    </xf>
    <xf numFmtId="0" fontId="125" fillId="0" borderId="0" xfId="101" applyFont="1" applyAlignment="1">
      <alignment horizontal="center" vertical="top"/>
    </xf>
    <xf numFmtId="0" fontId="124" fillId="0" borderId="0" xfId="101" applyFont="1" applyAlignment="1">
      <alignment horizontal="left" vertical="top"/>
    </xf>
    <xf numFmtId="0" fontId="124" fillId="0" borderId="0" xfId="101" applyFont="1" applyAlignment="1">
      <alignment vertical="top" wrapText="1"/>
    </xf>
    <xf numFmtId="0" fontId="48" fillId="0" borderId="0" xfId="0" applyFont="1" applyAlignment="1">
      <alignment horizontal="center" vertical="center"/>
    </xf>
    <xf numFmtId="169" fontId="27" fillId="0" borderId="61" xfId="0" applyNumberFormat="1" applyFont="1" applyBorder="1" applyAlignment="1">
      <alignment horizontal="right" vertical="center"/>
    </xf>
    <xf numFmtId="178" fontId="27" fillId="0" borderId="61" xfId="0" applyNumberFormat="1" applyFont="1" applyBorder="1" applyAlignment="1">
      <alignment horizontal="right" vertical="center"/>
    </xf>
    <xf numFmtId="0" fontId="125" fillId="0" borderId="34" xfId="101" applyFont="1" applyBorder="1" applyAlignment="1">
      <alignment horizontal="center" vertical="top"/>
    </xf>
    <xf numFmtId="0" fontId="124" fillId="0" borderId="0" xfId="101" applyFont="1" applyAlignment="1">
      <alignment horizontal="center" vertical="top"/>
    </xf>
    <xf numFmtId="0" fontId="8" fillId="3" borderId="0" xfId="121" applyFill="1" applyAlignment="1">
      <alignment horizontal="left" vertical="center" wrapText="1"/>
    </xf>
    <xf numFmtId="0" fontId="8" fillId="3" borderId="0" xfId="121" applyFill="1" applyAlignment="1">
      <alignment horizontal="center" vertical="center" wrapText="1"/>
    </xf>
    <xf numFmtId="0" fontId="132" fillId="3" borderId="0" xfId="121" applyFont="1" applyFill="1" applyAlignment="1">
      <alignment vertical="center" wrapText="1"/>
    </xf>
    <xf numFmtId="0" fontId="8" fillId="0" borderId="0" xfId="121" applyAlignment="1">
      <alignment horizontal="left" vertical="center" wrapText="1"/>
    </xf>
    <xf numFmtId="1" fontId="8" fillId="0" borderId="0" xfId="121" applyNumberFormat="1" applyAlignment="1">
      <alignment horizontal="left" vertical="center" wrapText="1"/>
    </xf>
    <xf numFmtId="3" fontId="8" fillId="0" borderId="0" xfId="121" applyNumberFormat="1" applyAlignment="1">
      <alignment horizontal="left" vertical="center" wrapText="1"/>
    </xf>
    <xf numFmtId="49" fontId="135" fillId="6" borderId="63" xfId="22" quotePrefix="1" applyNumberFormat="1" applyFont="1" applyFill="1" applyBorder="1" applyAlignment="1">
      <alignment horizontal="center" vertical="center" wrapText="1"/>
    </xf>
    <xf numFmtId="0" fontId="133" fillId="6" borderId="63" xfId="24" quotePrefix="1" applyFont="1" applyFill="1" applyBorder="1" applyAlignment="1">
      <alignment horizontal="center" vertical="center" wrapText="1"/>
    </xf>
    <xf numFmtId="0" fontId="135" fillId="6" borderId="63" xfId="22" quotePrefix="1" applyFont="1" applyFill="1" applyBorder="1" applyAlignment="1">
      <alignment horizontal="center" vertical="center" wrapText="1"/>
    </xf>
    <xf numFmtId="0" fontId="133" fillId="6" borderId="29" xfId="24" quotePrefix="1" applyFont="1" applyFill="1" applyBorder="1" applyAlignment="1">
      <alignment horizontal="center" vertical="center" wrapText="1"/>
    </xf>
    <xf numFmtId="0" fontId="133" fillId="3" borderId="31" xfId="22" quotePrefix="1" applyFont="1" applyFill="1" applyBorder="1" applyAlignment="1">
      <alignment horizontal="center" vertical="center" wrapText="1"/>
    </xf>
    <xf numFmtId="2" fontId="133" fillId="3" borderId="31" xfId="22" quotePrefix="1" applyNumberFormat="1" applyFont="1" applyFill="1" applyBorder="1" applyAlignment="1">
      <alignment horizontal="center" vertical="center" wrapText="1"/>
    </xf>
    <xf numFmtId="0" fontId="133" fillId="3" borderId="29" xfId="24" quotePrefix="1" applyFont="1" applyFill="1" applyBorder="1" applyAlignment="1">
      <alignment horizontal="center" vertical="center" wrapText="1"/>
    </xf>
    <xf numFmtId="0" fontId="132" fillId="3" borderId="65" xfId="121" applyFont="1" applyFill="1" applyBorder="1" applyAlignment="1">
      <alignment vertical="center" wrapText="1"/>
    </xf>
    <xf numFmtId="0" fontId="133" fillId="3" borderId="63" xfId="21" applyFont="1" applyFill="1" applyBorder="1" applyAlignment="1">
      <alignment vertical="center" wrapText="1"/>
    </xf>
    <xf numFmtId="0" fontId="133" fillId="3" borderId="63" xfId="21" applyFont="1" applyFill="1" applyBorder="1" applyAlignment="1">
      <alignment horizontal="center" vertical="center" wrapText="1"/>
    </xf>
    <xf numFmtId="10" fontId="133" fillId="3" borderId="64" xfId="21" applyNumberFormat="1" applyFont="1" applyFill="1" applyBorder="1" applyAlignment="1">
      <alignment vertical="center" wrapText="1"/>
    </xf>
    <xf numFmtId="0" fontId="132" fillId="3" borderId="63" xfId="121" applyFont="1" applyFill="1" applyBorder="1" applyAlignment="1">
      <alignment vertical="center" wrapText="1"/>
    </xf>
    <xf numFmtId="0" fontId="133" fillId="3" borderId="63" xfId="24" quotePrefix="1" applyFont="1" applyFill="1" applyBorder="1" applyAlignment="1">
      <alignment horizontal="center" vertical="center" wrapText="1"/>
    </xf>
    <xf numFmtId="0" fontId="8" fillId="0" borderId="0" xfId="121" applyAlignment="1">
      <alignment horizontal="center" vertical="center" wrapText="1"/>
    </xf>
    <xf numFmtId="1" fontId="8" fillId="0" borderId="0" xfId="121" applyNumberFormat="1" applyAlignment="1">
      <alignment horizontal="center" vertical="center" wrapText="1"/>
    </xf>
    <xf numFmtId="2" fontId="132" fillId="3" borderId="65" xfId="121" applyNumberFormat="1" applyFont="1" applyFill="1" applyBorder="1" applyAlignment="1">
      <alignment horizontal="center" vertical="center" wrapText="1"/>
    </xf>
    <xf numFmtId="0" fontId="133" fillId="3" borderId="65" xfId="21" quotePrefix="1" applyFont="1" applyFill="1" applyBorder="1" applyAlignment="1">
      <alignment horizontal="center" vertical="center" wrapText="1"/>
    </xf>
    <xf numFmtId="2" fontId="133" fillId="3" borderId="65" xfId="21" quotePrefix="1" applyNumberFormat="1" applyFont="1" applyFill="1" applyBorder="1" applyAlignment="1">
      <alignment horizontal="center" vertical="center" wrapText="1"/>
    </xf>
    <xf numFmtId="2" fontId="133" fillId="3" borderId="63" xfId="21" quotePrefix="1" applyNumberFormat="1" applyFont="1" applyFill="1" applyBorder="1" applyAlignment="1">
      <alignment horizontal="center" vertical="center" wrapText="1"/>
    </xf>
    <xf numFmtId="0" fontId="132" fillId="3" borderId="65" xfId="121" applyFont="1" applyFill="1" applyBorder="1" applyAlignment="1">
      <alignment horizontal="center" vertical="center" wrapText="1"/>
    </xf>
    <xf numFmtId="0" fontId="133" fillId="3" borderId="62" xfId="21" quotePrefix="1" applyFont="1" applyFill="1" applyBorder="1" applyAlignment="1">
      <alignment horizontal="center" vertical="center" wrapText="1"/>
    </xf>
    <xf numFmtId="0" fontId="133" fillId="3" borderId="64" xfId="21" quotePrefix="1" applyFont="1" applyFill="1" applyBorder="1" applyAlignment="1">
      <alignment horizontal="center" vertical="center" wrapText="1"/>
    </xf>
    <xf numFmtId="2" fontId="133" fillId="3" borderId="63" xfId="21" applyNumberFormat="1" applyFont="1" applyFill="1" applyBorder="1" applyAlignment="1">
      <alignment horizontal="center" vertical="center" wrapText="1"/>
    </xf>
    <xf numFmtId="2" fontId="133" fillId="3" borderId="8" xfId="22" quotePrefix="1" applyNumberFormat="1" applyFont="1" applyFill="1" applyBorder="1" applyAlignment="1">
      <alignment horizontal="center" vertical="center" wrapText="1"/>
    </xf>
    <xf numFmtId="0" fontId="133" fillId="3" borderId="8" xfId="22" quotePrefix="1" applyFont="1" applyFill="1" applyBorder="1" applyAlignment="1">
      <alignment horizontal="center" vertical="center" wrapText="1"/>
    </xf>
    <xf numFmtId="0" fontId="133" fillId="3" borderId="32" xfId="24" quotePrefix="1" applyFont="1" applyFill="1" applyBorder="1" applyAlignment="1">
      <alignment horizontal="center" vertical="center" wrapText="1"/>
    </xf>
    <xf numFmtId="3" fontId="8" fillId="0" borderId="0" xfId="121" applyNumberFormat="1" applyAlignment="1">
      <alignment horizontal="center" vertical="center" wrapText="1"/>
    </xf>
    <xf numFmtId="1" fontId="133" fillId="3" borderId="31" xfId="22" quotePrefix="1" applyNumberFormat="1" applyFont="1" applyFill="1" applyBorder="1" applyAlignment="1">
      <alignment horizontal="center" vertical="center" wrapText="1"/>
    </xf>
    <xf numFmtId="2" fontId="46" fillId="3" borderId="63" xfId="121" applyNumberFormat="1" applyFont="1" applyFill="1" applyBorder="1" applyAlignment="1">
      <alignment horizontal="center" vertical="center" wrapText="1"/>
    </xf>
    <xf numFmtId="0" fontId="138" fillId="3" borderId="63" xfId="21" applyFont="1" applyFill="1" applyBorder="1" applyAlignment="1">
      <alignment horizontal="center" vertical="center" wrapText="1"/>
    </xf>
    <xf numFmtId="2" fontId="46" fillId="3" borderId="65" xfId="21" quotePrefix="1" applyNumberFormat="1" applyFont="1" applyFill="1" applyBorder="1" applyAlignment="1">
      <alignment horizontal="center" vertical="center" wrapText="1"/>
    </xf>
    <xf numFmtId="178" fontId="132" fillId="3" borderId="63" xfId="121" applyNumberFormat="1" applyFont="1" applyFill="1" applyBorder="1" applyAlignment="1">
      <alignment horizontal="center" vertical="center" wrapText="1"/>
    </xf>
    <xf numFmtId="0" fontId="133" fillId="3" borderId="40" xfId="22" quotePrefix="1" applyFont="1" applyFill="1" applyBorder="1" applyAlignment="1">
      <alignment horizontal="center" vertical="center" wrapText="1"/>
    </xf>
    <xf numFmtId="0" fontId="133" fillId="3" borderId="39" xfId="22" quotePrefix="1" applyFont="1" applyFill="1" applyBorder="1" applyAlignment="1">
      <alignment horizontal="center" vertical="center" wrapText="1"/>
    </xf>
    <xf numFmtId="178" fontId="132" fillId="3" borderId="65" xfId="121" applyNumberFormat="1" applyFont="1" applyFill="1" applyBorder="1" applyAlignment="1">
      <alignment horizontal="center" vertical="center" wrapText="1"/>
    </xf>
    <xf numFmtId="0" fontId="139" fillId="3" borderId="0" xfId="121" applyFont="1" applyFill="1" applyAlignment="1">
      <alignment horizontal="left" vertical="center" wrapText="1"/>
    </xf>
    <xf numFmtId="0" fontId="139" fillId="0" borderId="0" xfId="121" applyFont="1" applyAlignment="1">
      <alignment horizontal="left" vertical="center" wrapText="1"/>
    </xf>
    <xf numFmtId="0" fontId="140" fillId="0" borderId="0" xfId="121" applyFont="1" applyAlignment="1">
      <alignment horizontal="center" vertical="center" wrapText="1"/>
    </xf>
    <xf numFmtId="0" fontId="142" fillId="3" borderId="65" xfId="26" quotePrefix="1" applyFont="1" applyFill="1" applyBorder="1" applyAlignment="1">
      <alignment horizontal="center" vertical="center" wrapText="1"/>
    </xf>
    <xf numFmtId="0" fontId="142" fillId="3" borderId="63" xfId="27" quotePrefix="1" applyFont="1" applyFill="1" applyBorder="1" applyAlignment="1">
      <alignment horizontal="center" vertical="center" wrapText="1"/>
    </xf>
    <xf numFmtId="0" fontId="132" fillId="3" borderId="0" xfId="121" applyFont="1" applyFill="1" applyAlignment="1">
      <alignment horizontal="center" vertical="center" wrapText="1"/>
    </xf>
    <xf numFmtId="0" fontId="8" fillId="0" borderId="0" xfId="123"/>
    <xf numFmtId="0" fontId="73" fillId="0" borderId="0" xfId="123" applyFont="1" applyAlignment="1">
      <alignment vertical="center"/>
    </xf>
    <xf numFmtId="0" fontId="73" fillId="0" borderId="0" xfId="123" applyFont="1" applyAlignment="1">
      <alignment vertical="center" wrapText="1"/>
    </xf>
    <xf numFmtId="0" fontId="75" fillId="0" borderId="0" xfId="122" applyFont="1" applyAlignment="1">
      <alignment vertical="center"/>
    </xf>
    <xf numFmtId="0" fontId="76" fillId="0" borderId="0" xfId="122" applyFont="1"/>
    <xf numFmtId="49" fontId="74" fillId="0" borderId="0" xfId="122" applyNumberFormat="1" applyFont="1" applyAlignment="1">
      <alignment vertical="center"/>
    </xf>
    <xf numFmtId="0" fontId="75" fillId="3" borderId="0" xfId="122" applyFont="1" applyFill="1" applyAlignment="1">
      <alignment vertical="center"/>
    </xf>
    <xf numFmtId="0" fontId="72" fillId="2" borderId="63" xfId="123" applyFont="1" applyFill="1" applyBorder="1" applyAlignment="1">
      <alignment horizontal="center" vertical="center" wrapText="1"/>
    </xf>
    <xf numFmtId="0" fontId="73" fillId="3" borderId="63" xfId="123" applyFont="1" applyFill="1" applyBorder="1" applyAlignment="1">
      <alignment horizontal="center" vertical="center" wrapText="1"/>
    </xf>
    <xf numFmtId="0" fontId="73" fillId="0" borderId="63" xfId="123" applyFont="1" applyBorder="1" applyAlignment="1">
      <alignment vertical="center" wrapText="1"/>
    </xf>
    <xf numFmtId="0" fontId="8" fillId="3" borderId="63" xfId="122" applyFill="1" applyBorder="1" applyAlignment="1">
      <alignment horizontal="center" vertical="center" wrapText="1"/>
    </xf>
    <xf numFmtId="4" fontId="8" fillId="0" borderId="63" xfId="122" applyNumberFormat="1" applyBorder="1" applyAlignment="1">
      <alignment horizontal="center" vertical="center" wrapText="1"/>
    </xf>
    <xf numFmtId="0" fontId="8" fillId="0" borderId="63" xfId="122" applyBorder="1" applyAlignment="1">
      <alignment horizontal="center" vertical="center" wrapText="1"/>
    </xf>
    <xf numFmtId="0" fontId="51" fillId="4" borderId="66" xfId="8" applyFont="1" applyFill="1" applyBorder="1" applyAlignment="1">
      <alignment horizontal="center" vertical="center" wrapText="1"/>
    </xf>
    <xf numFmtId="0" fontId="51" fillId="4" borderId="66" xfId="8" applyFont="1" applyFill="1" applyBorder="1" applyAlignment="1">
      <alignment horizontal="left" vertical="center" wrapText="1"/>
    </xf>
    <xf numFmtId="0" fontId="77" fillId="4" borderId="63" xfId="45" applyFont="1" applyFill="1" applyBorder="1" applyAlignment="1">
      <alignment horizontal="center" vertical="center"/>
    </xf>
    <xf numFmtId="4" fontId="78" fillId="4" borderId="63" xfId="45" applyNumberFormat="1" applyFont="1" applyFill="1" applyBorder="1" applyAlignment="1">
      <alignment horizontal="center" vertical="center"/>
    </xf>
    <xf numFmtId="4" fontId="79" fillId="4" borderId="63" xfId="45" applyNumberFormat="1" applyFont="1" applyFill="1" applyBorder="1" applyAlignment="1">
      <alignment horizontal="center" vertical="center" wrapText="1"/>
    </xf>
    <xf numFmtId="0" fontId="51" fillId="4" borderId="63" xfId="8" applyFont="1" applyFill="1" applyBorder="1" applyAlignment="1">
      <alignment horizontal="center" vertical="center" wrapText="1"/>
    </xf>
    <xf numFmtId="0" fontId="51" fillId="4" borderId="63" xfId="8" applyFont="1" applyFill="1" applyBorder="1" applyAlignment="1">
      <alignment horizontal="left" vertical="center" wrapText="1"/>
    </xf>
    <xf numFmtId="0" fontId="51" fillId="4" borderId="63" xfId="123" applyFont="1" applyFill="1" applyBorder="1" applyAlignment="1">
      <alignment horizontal="center" vertical="center" wrapText="1"/>
    </xf>
    <xf numFmtId="4" fontId="80" fillId="4" borderId="63" xfId="45" applyNumberFormat="1" applyFont="1" applyFill="1" applyBorder="1" applyAlignment="1">
      <alignment horizontal="center" vertical="center"/>
    </xf>
    <xf numFmtId="4" fontId="81" fillId="4" borderId="63" xfId="123" applyNumberFormat="1" applyFont="1" applyFill="1" applyBorder="1" applyAlignment="1">
      <alignment horizontal="center" vertical="center"/>
    </xf>
    <xf numFmtId="0" fontId="73" fillId="0" borderId="0" xfId="123" applyFont="1" applyAlignment="1">
      <alignment horizontal="justify" vertical="center"/>
    </xf>
    <xf numFmtId="0" fontId="82" fillId="0" borderId="0" xfId="123" applyFont="1"/>
    <xf numFmtId="168" fontId="80" fillId="4" borderId="63" xfId="45" applyNumberFormat="1" applyFont="1" applyFill="1" applyBorder="1" applyAlignment="1">
      <alignment horizontal="center" vertical="center"/>
    </xf>
    <xf numFmtId="0" fontId="122" fillId="0" borderId="63" xfId="99" applyBorder="1" applyAlignment="1">
      <alignment vertical="top"/>
    </xf>
    <xf numFmtId="0" fontId="47" fillId="0" borderId="0" xfId="0" applyFont="1" applyAlignment="1">
      <alignment horizontal="center" vertical="center"/>
    </xf>
    <xf numFmtId="0" fontId="24" fillId="0" borderId="0" xfId="62" applyAlignment="1">
      <alignment horizontal="left" vertical="top" wrapText="1"/>
    </xf>
    <xf numFmtId="0" fontId="24" fillId="0" borderId="0" xfId="62" applyAlignment="1">
      <alignment horizontal="left" vertical="top"/>
    </xf>
    <xf numFmtId="0" fontId="24" fillId="0" borderId="0" xfId="62" applyAlignment="1">
      <alignment vertical="top"/>
    </xf>
    <xf numFmtId="0" fontId="24" fillId="0" borderId="0" xfId="62" applyAlignment="1">
      <alignment vertical="top" wrapText="1"/>
    </xf>
    <xf numFmtId="0" fontId="28" fillId="0" borderId="0" xfId="7"/>
    <xf numFmtId="0" fontId="27" fillId="0" borderId="1" xfId="66" applyFont="1" applyBorder="1" applyAlignment="1">
      <alignment horizontal="center" vertical="center" wrapText="1"/>
    </xf>
    <xf numFmtId="0" fontId="27" fillId="0" borderId="6" xfId="66" applyFont="1" applyBorder="1" applyAlignment="1">
      <alignment horizontal="center" vertical="center" wrapText="1"/>
    </xf>
    <xf numFmtId="0" fontId="48" fillId="0" borderId="6" xfId="66" applyFont="1" applyBorder="1" applyAlignment="1">
      <alignment horizontal="center" vertical="center" wrapText="1"/>
    </xf>
    <xf numFmtId="0" fontId="6" fillId="0" borderId="0" xfId="127"/>
    <xf numFmtId="0" fontId="73" fillId="0" borderId="0" xfId="127" applyFont="1" applyAlignment="1">
      <alignment vertical="center"/>
    </xf>
    <xf numFmtId="0" fontId="73" fillId="0" borderId="0" xfId="127" applyFont="1" applyAlignment="1">
      <alignment vertical="center" wrapText="1"/>
    </xf>
    <xf numFmtId="0" fontId="75" fillId="0" borderId="0" xfId="126" applyFont="1" applyAlignment="1">
      <alignment vertical="center"/>
    </xf>
    <xf numFmtId="0" fontId="76" fillId="0" borderId="0" xfId="126" applyFont="1"/>
    <xf numFmtId="49" fontId="74" fillId="0" borderId="0" xfId="126" applyNumberFormat="1" applyFont="1" applyAlignment="1">
      <alignment vertical="center"/>
    </xf>
    <xf numFmtId="0" fontId="75" fillId="3" borderId="0" xfId="126" applyFont="1" applyFill="1" applyAlignment="1">
      <alignment vertical="center"/>
    </xf>
    <xf numFmtId="0" fontId="72" fillId="2" borderId="63" xfId="127" applyFont="1" applyFill="1" applyBorder="1" applyAlignment="1">
      <alignment horizontal="center" vertical="center" wrapText="1"/>
    </xf>
    <xf numFmtId="0" fontId="73" fillId="3" borderId="66" xfId="127" applyFont="1" applyFill="1" applyBorder="1" applyAlignment="1">
      <alignment horizontal="center" vertical="center" wrapText="1"/>
    </xf>
    <xf numFmtId="0" fontId="73" fillId="0" borderId="63" xfId="127" applyFont="1" applyBorder="1" applyAlignment="1">
      <alignment vertical="center" wrapText="1"/>
    </xf>
    <xf numFmtId="0" fontId="6" fillId="0" borderId="63" xfId="126" applyBorder="1" applyAlignment="1">
      <alignment horizontal="center" vertical="center" wrapText="1"/>
    </xf>
    <xf numFmtId="4" fontId="6" fillId="0" borderId="63" xfId="126" applyNumberFormat="1" applyBorder="1" applyAlignment="1">
      <alignment horizontal="center" vertical="center" wrapText="1"/>
    </xf>
    <xf numFmtId="0" fontId="51" fillId="4" borderId="63" xfId="127" applyFont="1" applyFill="1" applyBorder="1" applyAlignment="1">
      <alignment horizontal="center" vertical="center" wrapText="1"/>
    </xf>
    <xf numFmtId="4" fontId="81" fillId="4" borderId="63" xfId="127" applyNumberFormat="1" applyFont="1" applyFill="1" applyBorder="1" applyAlignment="1">
      <alignment horizontal="center" vertical="center"/>
    </xf>
    <xf numFmtId="0" fontId="73" fillId="0" borderId="0" xfId="127" applyFont="1" applyAlignment="1">
      <alignment horizontal="justify" vertical="center"/>
    </xf>
    <xf numFmtId="0" fontId="82" fillId="0" borderId="0" xfId="127" applyFont="1"/>
    <xf numFmtId="0" fontId="73" fillId="3" borderId="63" xfId="127" applyFont="1" applyFill="1" applyBorder="1" applyAlignment="1">
      <alignment horizontal="center" vertical="center" wrapText="1"/>
    </xf>
    <xf numFmtId="0" fontId="75" fillId="0" borderId="0" xfId="128" applyFont="1"/>
    <xf numFmtId="0" fontId="34" fillId="0" borderId="0" xfId="128"/>
    <xf numFmtId="0" fontId="75" fillId="3" borderId="0" xfId="128" applyFont="1" applyFill="1"/>
    <xf numFmtId="0" fontId="97" fillId="3" borderId="0" xfId="128" applyFont="1" applyFill="1" applyAlignment="1">
      <alignment horizontal="left" vertical="center" wrapText="1"/>
    </xf>
    <xf numFmtId="49" fontId="75" fillId="3" borderId="0" xfId="128" applyNumberFormat="1" applyFont="1" applyFill="1"/>
    <xf numFmtId="0" fontId="75" fillId="0" borderId="0" xfId="128" applyFont="1" applyAlignment="1">
      <alignment wrapText="1"/>
    </xf>
    <xf numFmtId="49" fontId="75" fillId="0" borderId="0" xfId="128" applyNumberFormat="1" applyFont="1" applyAlignment="1">
      <alignment wrapText="1"/>
    </xf>
    <xf numFmtId="0" fontId="75" fillId="3" borderId="0" xfId="130" applyFont="1" applyFill="1"/>
    <xf numFmtId="0" fontId="75" fillId="3" borderId="0" xfId="130" applyFont="1" applyFill="1" applyAlignment="1">
      <alignment vertical="center"/>
    </xf>
    <xf numFmtId="49" fontId="75" fillId="3" borderId="0" xfId="130" applyNumberFormat="1" applyFont="1" applyFill="1" applyAlignment="1">
      <alignment horizontal="left" vertical="center"/>
    </xf>
    <xf numFmtId="0" fontId="100" fillId="3" borderId="0" xfId="130" applyFont="1" applyFill="1" applyAlignment="1">
      <alignment horizontal="left"/>
    </xf>
    <xf numFmtId="0" fontId="75" fillId="3" borderId="0" xfId="130" applyFont="1" applyFill="1" applyAlignment="1">
      <alignment horizontal="left" wrapText="1"/>
    </xf>
    <xf numFmtId="0" fontId="24" fillId="0" borderId="0" xfId="128" applyFont="1" applyAlignment="1">
      <alignment wrapText="1"/>
    </xf>
    <xf numFmtId="49" fontId="24" fillId="0" borderId="0" xfId="128" applyNumberFormat="1" applyFont="1" applyAlignment="1">
      <alignment wrapText="1"/>
    </xf>
    <xf numFmtId="4" fontId="34" fillId="0" borderId="0" xfId="128" applyNumberFormat="1"/>
    <xf numFmtId="4" fontId="34" fillId="0" borderId="0" xfId="128" applyNumberFormat="1" applyAlignment="1">
      <alignment horizontal="center" vertical="center"/>
    </xf>
    <xf numFmtId="4" fontId="78" fillId="3" borderId="0" xfId="128" applyNumberFormat="1" applyFont="1" applyFill="1" applyAlignment="1">
      <alignment horizontal="center" vertical="center" wrapText="1"/>
    </xf>
    <xf numFmtId="0" fontId="98" fillId="0" borderId="0" xfId="128" applyFont="1" applyAlignment="1">
      <alignment horizontal="center" wrapText="1"/>
    </xf>
    <xf numFmtId="4" fontId="75" fillId="0" borderId="0" xfId="128" applyNumberFormat="1" applyFont="1"/>
    <xf numFmtId="4" fontId="34" fillId="0" borderId="0" xfId="128" applyNumberFormat="1" applyAlignment="1">
      <alignment horizontal="right"/>
    </xf>
    <xf numFmtId="4" fontId="34" fillId="0" borderId="0" xfId="128" applyNumberFormat="1" applyAlignment="1">
      <alignment horizontal="center"/>
    </xf>
    <xf numFmtId="0" fontId="34" fillId="0" borderId="0" xfId="128" applyAlignment="1">
      <alignment horizontal="right"/>
    </xf>
    <xf numFmtId="2" fontId="34" fillId="0" borderId="0" xfId="128" applyNumberFormat="1"/>
    <xf numFmtId="0" fontId="75" fillId="3" borderId="0" xfId="131" applyFont="1" applyFill="1"/>
    <xf numFmtId="0" fontId="97" fillId="3" borderId="0" xfId="131" applyFont="1" applyFill="1" applyAlignment="1">
      <alignment horizontal="left" vertical="center" wrapText="1"/>
    </xf>
    <xf numFmtId="49" fontId="75" fillId="3" borderId="0" xfId="131" applyNumberFormat="1" applyFont="1" applyFill="1"/>
    <xf numFmtId="0" fontId="28" fillId="0" borderId="0" xfId="131" applyAlignment="1">
      <alignment horizontal="center"/>
    </xf>
    <xf numFmtId="0" fontId="47" fillId="0" borderId="39" xfId="66" applyFont="1" applyBorder="1" applyAlignment="1">
      <alignment vertical="center"/>
    </xf>
    <xf numFmtId="0" fontId="103" fillId="0" borderId="34" xfId="66" applyFont="1" applyBorder="1" applyAlignment="1">
      <alignment vertical="center"/>
    </xf>
    <xf numFmtId="0" fontId="103" fillId="0" borderId="34" xfId="66" applyFont="1" applyBorder="1" applyAlignment="1">
      <alignment horizontal="center" vertical="center"/>
    </xf>
    <xf numFmtId="0" fontId="103" fillId="0" borderId="40" xfId="66" applyFont="1" applyBorder="1" applyAlignment="1">
      <alignment horizontal="right" vertical="center"/>
    </xf>
    <xf numFmtId="0" fontId="27" fillId="0" borderId="63" xfId="66" applyFont="1" applyBorder="1" applyAlignment="1">
      <alignment horizontal="center" vertical="center" wrapText="1"/>
    </xf>
    <xf numFmtId="0" fontId="48" fillId="3" borderId="63" xfId="66" applyFont="1" applyFill="1" applyBorder="1" applyAlignment="1">
      <alignment horizontal="center" vertical="center"/>
    </xf>
    <xf numFmtId="0" fontId="27" fillId="3" borderId="63" xfId="66" applyFont="1" applyFill="1" applyBorder="1" applyAlignment="1">
      <alignment horizontal="center" vertical="center" wrapText="1"/>
    </xf>
    <xf numFmtId="170" fontId="27" fillId="3" borderId="63" xfId="66" applyNumberFormat="1" applyFont="1" applyFill="1" applyBorder="1" applyAlignment="1">
      <alignment horizontal="center" vertical="center" wrapText="1"/>
    </xf>
    <xf numFmtId="4" fontId="27" fillId="0" borderId="63" xfId="66" applyNumberFormat="1" applyFont="1" applyBorder="1" applyAlignment="1">
      <alignment horizontal="center" vertical="center" wrapText="1"/>
    </xf>
    <xf numFmtId="171" fontId="27" fillId="3" borderId="63" xfId="67" applyNumberFormat="1" applyFont="1" applyFill="1" applyBorder="1" applyAlignment="1">
      <alignment horizontal="left" vertical="center" wrapText="1"/>
    </xf>
    <xf numFmtId="165" fontId="27" fillId="3" borderId="63" xfId="68" applyFont="1" applyFill="1" applyBorder="1" applyAlignment="1">
      <alignment horizontal="right" vertical="center" wrapText="1"/>
    </xf>
    <xf numFmtId="0" fontId="48" fillId="0" borderId="63" xfId="66" applyFont="1" applyBorder="1" applyAlignment="1">
      <alignment horizontal="center" vertical="center"/>
    </xf>
    <xf numFmtId="165" fontId="48" fillId="0" borderId="65" xfId="68" applyFont="1" applyFill="1" applyBorder="1" applyAlignment="1">
      <alignment horizontal="right" vertical="center" wrapText="1"/>
    </xf>
    <xf numFmtId="0" fontId="27" fillId="3" borderId="63" xfId="66" applyFont="1" applyFill="1" applyBorder="1" applyAlignment="1">
      <alignment horizontal="left" vertical="center" wrapText="1"/>
    </xf>
    <xf numFmtId="0" fontId="27" fillId="3" borderId="63" xfId="66" applyFont="1" applyFill="1" applyBorder="1" applyAlignment="1">
      <alignment vertical="center" wrapText="1"/>
    </xf>
    <xf numFmtId="165" fontId="27" fillId="3" borderId="63" xfId="66" applyNumberFormat="1" applyFont="1" applyFill="1" applyBorder="1" applyAlignment="1">
      <alignment horizontal="center" vertical="center" wrapText="1"/>
    </xf>
    <xf numFmtId="9" fontId="27" fillId="3" borderId="63" xfId="69" applyFont="1" applyFill="1" applyBorder="1" applyAlignment="1">
      <alignment horizontal="center" vertical="center" wrapText="1"/>
    </xf>
    <xf numFmtId="9" fontId="27" fillId="3" borderId="63" xfId="66" applyNumberFormat="1" applyFont="1" applyFill="1" applyBorder="1" applyAlignment="1">
      <alignment horizontal="center" vertical="center" wrapText="1"/>
    </xf>
    <xf numFmtId="9" fontId="93" fillId="3" borderId="63" xfId="7" applyNumberFormat="1" applyFont="1" applyFill="1" applyBorder="1" applyAlignment="1">
      <alignment horizontal="center" vertical="center" wrapText="1"/>
    </xf>
    <xf numFmtId="0" fontId="48" fillId="0" borderId="63" xfId="66" applyFont="1" applyBorder="1" applyAlignment="1">
      <alignment horizontal="left" vertical="center" wrapText="1"/>
    </xf>
    <xf numFmtId="0" fontId="27" fillId="0" borderId="62" xfId="66" applyFont="1" applyBorder="1" applyAlignment="1">
      <alignment horizontal="center" vertical="center" wrapText="1"/>
    </xf>
    <xf numFmtId="0" fontId="27" fillId="0" borderId="63" xfId="66" applyFont="1" applyBorder="1" applyAlignment="1">
      <alignment horizontal="left" vertical="center" wrapText="1"/>
    </xf>
    <xf numFmtId="10" fontId="27" fillId="0" borderId="63" xfId="66" applyNumberFormat="1" applyFont="1" applyBorder="1" applyAlignment="1">
      <alignment horizontal="center" vertical="center" wrapText="1"/>
    </xf>
    <xf numFmtId="3" fontId="27" fillId="0" borderId="63" xfId="66" applyNumberFormat="1" applyFont="1" applyBorder="1" applyAlignment="1">
      <alignment horizontal="center" vertical="center" wrapText="1"/>
    </xf>
    <xf numFmtId="172" fontId="27" fillId="0" borderId="63" xfId="66" applyNumberFormat="1" applyFont="1" applyBorder="1" applyAlignment="1">
      <alignment horizontal="center" vertical="center" wrapText="1"/>
    </xf>
    <xf numFmtId="4" fontId="27" fillId="0" borderId="63" xfId="66" applyNumberFormat="1" applyFont="1" applyBorder="1" applyAlignment="1">
      <alignment horizontal="right" vertical="center" wrapText="1"/>
    </xf>
    <xf numFmtId="4" fontId="27" fillId="0" borderId="63" xfId="66" applyNumberFormat="1" applyFont="1" applyBorder="1" applyAlignment="1">
      <alignment horizontal="center" vertical="center"/>
    </xf>
    <xf numFmtId="3" fontId="27" fillId="0" borderId="63" xfId="66" applyNumberFormat="1" applyFont="1" applyBorder="1" applyAlignment="1">
      <alignment horizontal="center" vertical="center"/>
    </xf>
    <xf numFmtId="0" fontId="27" fillId="0" borderId="63" xfId="66" applyFont="1" applyBorder="1" applyAlignment="1">
      <alignment horizontal="center" vertical="center"/>
    </xf>
    <xf numFmtId="0" fontId="27" fillId="0" borderId="63" xfId="66" applyFont="1" applyBorder="1" applyAlignment="1">
      <alignment horizontal="center" vertical="top" wrapText="1"/>
    </xf>
    <xf numFmtId="168" fontId="27" fillId="0" borderId="63" xfId="66" applyNumberFormat="1" applyFont="1" applyBorder="1" applyAlignment="1">
      <alignment horizontal="center" vertical="center" wrapText="1"/>
    </xf>
    <xf numFmtId="9" fontId="27" fillId="0" borderId="63" xfId="66" applyNumberFormat="1" applyFont="1" applyBorder="1" applyAlignment="1">
      <alignment horizontal="center" vertical="center" wrapText="1"/>
    </xf>
    <xf numFmtId="2" fontId="27" fillId="0" borderId="63" xfId="66" applyNumberFormat="1" applyFont="1" applyBorder="1" applyAlignment="1">
      <alignment horizontal="left" vertical="center"/>
    </xf>
    <xf numFmtId="2" fontId="27" fillId="0" borderId="63" xfId="66" applyNumberFormat="1" applyFont="1" applyBorder="1" applyAlignment="1">
      <alignment horizontal="center" vertical="center"/>
    </xf>
    <xf numFmtId="165" fontId="48" fillId="0" borderId="63" xfId="68" applyFont="1" applyFill="1" applyBorder="1" applyAlignment="1">
      <alignment horizontal="right" vertical="center" wrapText="1"/>
    </xf>
    <xf numFmtId="0" fontId="27" fillId="6" borderId="63" xfId="66" applyFont="1" applyFill="1" applyBorder="1" applyAlignment="1">
      <alignment horizontal="center" vertical="center"/>
    </xf>
    <xf numFmtId="166" fontId="48" fillId="6" borderId="63" xfId="70" applyFont="1" applyFill="1" applyBorder="1" applyAlignment="1">
      <alignment horizontal="center" vertical="center"/>
    </xf>
    <xf numFmtId="4" fontId="48" fillId="6" borderId="63" xfId="66" applyNumberFormat="1" applyFont="1" applyFill="1" applyBorder="1" applyAlignment="1">
      <alignment horizontal="right" vertical="center"/>
    </xf>
    <xf numFmtId="0" fontId="70" fillId="2" borderId="63" xfId="38" applyFont="1" applyFill="1" applyBorder="1" applyAlignment="1">
      <alignment horizontal="center" vertical="center"/>
    </xf>
    <xf numFmtId="0" fontId="70" fillId="2" borderId="63" xfId="38" applyFont="1" applyFill="1" applyBorder="1" applyAlignment="1">
      <alignment horizontal="left" vertical="center"/>
    </xf>
    <xf numFmtId="4" fontId="70" fillId="2" borderId="63" xfId="38" applyNumberFormat="1" applyFont="1" applyFill="1" applyBorder="1" applyAlignment="1">
      <alignment horizontal="right" vertical="center"/>
    </xf>
    <xf numFmtId="0" fontId="27" fillId="2" borderId="64" xfId="66" applyFont="1" applyFill="1" applyBorder="1" applyAlignment="1">
      <alignment horizontal="center" vertical="center"/>
    </xf>
    <xf numFmtId="0" fontId="48" fillId="2" borderId="63" xfId="66" applyFont="1" applyFill="1" applyBorder="1" applyAlignment="1">
      <alignment vertical="center" wrapText="1"/>
    </xf>
    <xf numFmtId="2" fontId="48" fillId="2" borderId="63" xfId="66" applyNumberFormat="1" applyFont="1" applyFill="1" applyBorder="1" applyAlignment="1">
      <alignment horizontal="center" vertical="center"/>
    </xf>
    <xf numFmtId="4" fontId="48" fillId="2" borderId="63" xfId="66" applyNumberFormat="1" applyFont="1" applyFill="1" applyBorder="1" applyAlignment="1">
      <alignment horizontal="right" vertical="center"/>
    </xf>
    <xf numFmtId="0" fontId="107" fillId="0" borderId="64" xfId="66" applyFont="1" applyBorder="1" applyAlignment="1">
      <alignment horizontal="left" vertical="top"/>
    </xf>
    <xf numFmtId="0" fontId="93" fillId="0" borderId="62" xfId="66" applyFont="1" applyBorder="1"/>
    <xf numFmtId="0" fontId="93" fillId="0" borderId="62" xfId="66" applyFont="1" applyBorder="1" applyAlignment="1">
      <alignment horizontal="center" vertical="center"/>
    </xf>
    <xf numFmtId="0" fontId="43" fillId="0" borderId="65" xfId="66" applyBorder="1"/>
    <xf numFmtId="0" fontId="105" fillId="0" borderId="63" xfId="66" applyFont="1" applyBorder="1" applyAlignment="1">
      <alignment horizontal="center" vertical="center" wrapText="1"/>
    </xf>
    <xf numFmtId="0" fontId="27" fillId="3" borderId="63" xfId="66" applyFont="1" applyFill="1" applyBorder="1" applyAlignment="1">
      <alignment horizontal="left" vertical="center" wrapText="1" shrinkToFit="1"/>
    </xf>
    <xf numFmtId="2" fontId="27" fillId="3" borderId="63" xfId="66" applyNumberFormat="1" applyFont="1" applyFill="1" applyBorder="1" applyAlignment="1">
      <alignment horizontal="center" vertical="center"/>
    </xf>
    <xf numFmtId="0" fontId="27" fillId="3" borderId="63" xfId="66" applyFont="1" applyFill="1" applyBorder="1" applyAlignment="1">
      <alignment horizontal="center" vertical="center"/>
    </xf>
    <xf numFmtId="0" fontId="27" fillId="3" borderId="0" xfId="7" applyFont="1" applyFill="1" applyAlignment="1">
      <alignment horizontal="center" vertical="center"/>
    </xf>
    <xf numFmtId="4" fontId="27" fillId="3" borderId="63" xfId="66" applyNumberFormat="1" applyFont="1" applyFill="1" applyBorder="1" applyAlignment="1">
      <alignment horizontal="center" vertical="center"/>
    </xf>
    <xf numFmtId="0" fontId="93" fillId="3" borderId="63" xfId="66" quotePrefix="1" applyFont="1" applyFill="1" applyBorder="1" applyAlignment="1">
      <alignment horizontal="left" vertical="center" wrapText="1"/>
    </xf>
    <xf numFmtId="2" fontId="93" fillId="3" borderId="63" xfId="66" applyNumberFormat="1" applyFont="1" applyFill="1" applyBorder="1" applyAlignment="1">
      <alignment horizontal="center" vertical="center" wrapText="1"/>
    </xf>
    <xf numFmtId="0" fontId="93" fillId="3" borderId="63" xfId="66" applyFont="1" applyFill="1" applyBorder="1" applyAlignment="1">
      <alignment horizontal="left" vertical="center" wrapText="1"/>
    </xf>
    <xf numFmtId="0" fontId="93" fillId="3" borderId="63" xfId="66" applyFont="1" applyFill="1" applyBorder="1" applyAlignment="1">
      <alignment horizontal="center" vertical="center" wrapText="1"/>
    </xf>
    <xf numFmtId="0" fontId="48" fillId="3" borderId="66" xfId="66" applyFont="1" applyFill="1" applyBorder="1" applyAlignment="1">
      <alignment horizontal="center" vertical="center"/>
    </xf>
    <xf numFmtId="0" fontId="93" fillId="3" borderId="66" xfId="66" quotePrefix="1" applyFont="1" applyFill="1" applyBorder="1" applyAlignment="1">
      <alignment horizontal="left" vertical="center" wrapText="1"/>
    </xf>
    <xf numFmtId="0" fontId="27" fillId="3" borderId="66" xfId="66" applyFont="1" applyFill="1" applyBorder="1" applyAlignment="1">
      <alignment horizontal="center" vertical="center" wrapText="1"/>
    </xf>
    <xf numFmtId="170" fontId="93" fillId="3" borderId="66" xfId="66" applyNumberFormat="1" applyFont="1" applyFill="1" applyBorder="1" applyAlignment="1">
      <alignment horizontal="center" vertical="center" wrapText="1"/>
    </xf>
    <xf numFmtId="0" fontId="93" fillId="3" borderId="66" xfId="66" applyFont="1" applyFill="1" applyBorder="1" applyAlignment="1">
      <alignment horizontal="left" vertical="center" wrapText="1"/>
    </xf>
    <xf numFmtId="1" fontId="93" fillId="3" borderId="66" xfId="66" applyNumberFormat="1" applyFont="1" applyFill="1" applyBorder="1" applyAlignment="1">
      <alignment horizontal="center" vertical="center" wrapText="1"/>
    </xf>
    <xf numFmtId="49" fontId="48" fillId="3" borderId="66" xfId="71" applyNumberFormat="1" applyFont="1" applyFill="1" applyBorder="1" applyAlignment="1">
      <alignment horizontal="center" vertical="center" wrapText="1"/>
    </xf>
    <xf numFmtId="0" fontId="27" fillId="3" borderId="66" xfId="71" applyFont="1" applyFill="1" applyBorder="1" applyAlignment="1">
      <alignment horizontal="left" vertical="top" wrapText="1"/>
    </xf>
    <xf numFmtId="0" fontId="27" fillId="3" borderId="66" xfId="71" applyFont="1" applyFill="1" applyBorder="1" applyAlignment="1">
      <alignment horizontal="center" vertical="center" wrapText="1"/>
    </xf>
    <xf numFmtId="0" fontId="27" fillId="3" borderId="63" xfId="71" applyFont="1" applyFill="1" applyBorder="1" applyAlignment="1">
      <alignment horizontal="center" vertical="center" wrapText="1"/>
    </xf>
    <xf numFmtId="173" fontId="27" fillId="3" borderId="63" xfId="71" applyNumberFormat="1" applyFont="1" applyFill="1" applyBorder="1" applyAlignment="1">
      <alignment horizontal="center" vertical="center" wrapText="1"/>
    </xf>
    <xf numFmtId="0" fontId="27" fillId="3" borderId="63" xfId="71" applyFont="1" applyFill="1" applyBorder="1" applyAlignment="1">
      <alignment horizontal="center" vertical="center"/>
    </xf>
    <xf numFmtId="4" fontId="27" fillId="3" borderId="63" xfId="71" applyNumberFormat="1" applyFont="1" applyFill="1" applyBorder="1" applyAlignment="1">
      <alignment horizontal="center" vertical="center" wrapText="1"/>
    </xf>
    <xf numFmtId="0" fontId="27" fillId="3" borderId="63" xfId="7" applyFont="1" applyFill="1" applyBorder="1" applyAlignment="1">
      <alignment wrapText="1"/>
    </xf>
    <xf numFmtId="0" fontId="27" fillId="3" borderId="63" xfId="7" applyFont="1" applyFill="1" applyBorder="1" applyAlignment="1">
      <alignment vertical="top" wrapText="1"/>
    </xf>
    <xf numFmtId="0" fontId="43" fillId="3" borderId="63" xfId="66" applyFill="1" applyBorder="1"/>
    <xf numFmtId="0" fontId="106" fillId="3" borderId="63" xfId="66" applyFont="1" applyFill="1" applyBorder="1" applyAlignment="1">
      <alignment horizontal="left" vertical="center" wrapText="1"/>
    </xf>
    <xf numFmtId="0" fontId="106" fillId="3" borderId="63" xfId="66" applyFont="1" applyFill="1" applyBorder="1" applyAlignment="1">
      <alignment horizontal="center" vertical="center" wrapText="1"/>
    </xf>
    <xf numFmtId="0" fontId="93" fillId="3" borderId="29" xfId="66" applyFont="1" applyFill="1" applyBorder="1" applyAlignment="1">
      <alignment horizontal="center" vertical="center" wrapText="1"/>
    </xf>
    <xf numFmtId="4" fontId="106" fillId="3" borderId="63" xfId="66" applyNumberFormat="1" applyFont="1" applyFill="1" applyBorder="1" applyAlignment="1">
      <alignment horizontal="center" vertical="center" wrapText="1"/>
    </xf>
    <xf numFmtId="0" fontId="48" fillId="3" borderId="63" xfId="66" applyFont="1" applyFill="1" applyBorder="1"/>
    <xf numFmtId="0" fontId="106" fillId="3" borderId="63" xfId="7" applyFont="1" applyFill="1" applyBorder="1" applyAlignment="1">
      <alignment horizontal="left" vertical="center" wrapText="1"/>
    </xf>
    <xf numFmtId="4" fontId="107" fillId="3" borderId="63" xfId="7" applyNumberFormat="1" applyFont="1" applyFill="1" applyBorder="1" applyAlignment="1">
      <alignment horizontal="center" vertical="center" wrapText="1"/>
    </xf>
    <xf numFmtId="9" fontId="93" fillId="3" borderId="29" xfId="66" applyNumberFormat="1" applyFont="1" applyFill="1" applyBorder="1" applyAlignment="1">
      <alignment horizontal="center" vertical="center" wrapText="1"/>
    </xf>
    <xf numFmtId="0" fontId="93" fillId="3" borderId="63" xfId="7" applyFont="1" applyFill="1" applyBorder="1" applyAlignment="1">
      <alignment horizontal="center" vertical="center" wrapText="1"/>
    </xf>
    <xf numFmtId="0" fontId="107" fillId="3" borderId="63" xfId="66" applyFont="1" applyFill="1" applyBorder="1" applyAlignment="1">
      <alignment horizontal="left" vertical="center" wrapText="1"/>
    </xf>
    <xf numFmtId="4" fontId="107" fillId="3" borderId="63" xfId="66" applyNumberFormat="1" applyFont="1" applyFill="1" applyBorder="1" applyAlignment="1">
      <alignment horizontal="center" vertical="center" wrapText="1"/>
    </xf>
    <xf numFmtId="9" fontId="93" fillId="3" borderId="63" xfId="66" applyNumberFormat="1" applyFont="1" applyFill="1" applyBorder="1" applyAlignment="1">
      <alignment horizontal="center" vertical="center" wrapText="1"/>
    </xf>
    <xf numFmtId="0" fontId="48" fillId="3" borderId="63" xfId="66" applyFont="1" applyFill="1" applyBorder="1" applyAlignment="1">
      <alignment horizontal="center" vertical="center" wrapText="1"/>
    </xf>
    <xf numFmtId="0" fontId="27" fillId="3" borderId="63" xfId="66" applyFont="1" applyFill="1" applyBorder="1" applyAlignment="1">
      <alignment horizontal="left" vertical="center"/>
    </xf>
    <xf numFmtId="168" fontId="27" fillId="3" borderId="63" xfId="66" applyNumberFormat="1" applyFont="1" applyFill="1" applyBorder="1" applyAlignment="1">
      <alignment horizontal="center" vertical="center" wrapText="1"/>
    </xf>
    <xf numFmtId="168" fontId="27" fillId="3" borderId="63" xfId="66" applyNumberFormat="1" applyFont="1" applyFill="1" applyBorder="1" applyAlignment="1">
      <alignment horizontal="center" vertical="center"/>
    </xf>
    <xf numFmtId="0" fontId="24" fillId="3" borderId="63" xfId="66" applyFont="1" applyFill="1" applyBorder="1" applyAlignment="1">
      <alignment horizontal="center" vertical="center" wrapText="1"/>
    </xf>
    <xf numFmtId="0" fontId="27" fillId="3" borderId="63" xfId="66" applyFont="1" applyFill="1" applyBorder="1" applyAlignment="1">
      <alignment horizontal="left" vertical="top" wrapText="1" shrinkToFit="1"/>
    </xf>
    <xf numFmtId="2" fontId="27" fillId="3" borderId="63" xfId="66" applyNumberFormat="1" applyFont="1" applyFill="1" applyBorder="1" applyAlignment="1">
      <alignment horizontal="center" vertical="center" wrapText="1"/>
    </xf>
    <xf numFmtId="4" fontId="27" fillId="3" borderId="63" xfId="66" applyNumberFormat="1" applyFont="1" applyFill="1" applyBorder="1" applyAlignment="1">
      <alignment horizontal="center" vertical="center" wrapText="1"/>
    </xf>
    <xf numFmtId="0" fontId="27" fillId="3" borderId="0" xfId="7" applyFont="1" applyFill="1" applyAlignment="1">
      <alignment vertical="top" wrapText="1"/>
    </xf>
    <xf numFmtId="9" fontId="27" fillId="3" borderId="63" xfId="66" applyNumberFormat="1" applyFont="1" applyFill="1" applyBorder="1" applyAlignment="1">
      <alignment horizontal="center" vertical="center"/>
    </xf>
    <xf numFmtId="2" fontId="43" fillId="3" borderId="63" xfId="66" applyNumberFormat="1" applyFill="1" applyBorder="1" applyAlignment="1">
      <alignment horizontal="center" vertical="center"/>
    </xf>
    <xf numFmtId="0" fontId="27" fillId="3" borderId="63" xfId="66" applyFont="1" applyFill="1" applyBorder="1" applyAlignment="1">
      <alignment horizontal="left" vertical="top" wrapText="1"/>
    </xf>
    <xf numFmtId="9" fontId="27" fillId="3" borderId="63" xfId="7" applyNumberFormat="1" applyFont="1" applyFill="1" applyBorder="1" applyAlignment="1">
      <alignment horizontal="center" vertical="center" wrapText="1"/>
    </xf>
    <xf numFmtId="0" fontId="27" fillId="3" borderId="63" xfId="7" applyFont="1" applyFill="1" applyBorder="1" applyAlignment="1">
      <alignment horizontal="left" vertical="center" wrapText="1"/>
    </xf>
    <xf numFmtId="0" fontId="27" fillId="3" borderId="63" xfId="7" applyFont="1" applyFill="1" applyBorder="1" applyAlignment="1">
      <alignment horizontal="center" vertical="center" wrapText="1"/>
    </xf>
    <xf numFmtId="1" fontId="27" fillId="3" borderId="63" xfId="7" applyNumberFormat="1" applyFont="1" applyFill="1" applyBorder="1" applyAlignment="1">
      <alignment horizontal="center" vertical="center" wrapText="1"/>
    </xf>
    <xf numFmtId="0" fontId="27" fillId="3" borderId="63" xfId="7" applyFont="1" applyFill="1" applyBorder="1" applyAlignment="1">
      <alignment horizontal="left" vertical="center"/>
    </xf>
    <xf numFmtId="4" fontId="27" fillId="3" borderId="63" xfId="7" applyNumberFormat="1" applyFont="1" applyFill="1" applyBorder="1" applyAlignment="1">
      <alignment horizontal="center" vertical="center" wrapText="1"/>
    </xf>
    <xf numFmtId="0" fontId="109" fillId="3" borderId="63" xfId="7" applyFont="1" applyFill="1" applyBorder="1"/>
    <xf numFmtId="2" fontId="109" fillId="3" borderId="63" xfId="7" applyNumberFormat="1" applyFont="1" applyFill="1" applyBorder="1" applyAlignment="1">
      <alignment horizontal="center" vertical="center"/>
    </xf>
    <xf numFmtId="1" fontId="27" fillId="3" borderId="63" xfId="66" applyNumberFormat="1" applyFont="1" applyFill="1" applyBorder="1" applyAlignment="1">
      <alignment horizontal="center" vertical="center" wrapText="1"/>
    </xf>
    <xf numFmtId="3" fontId="27" fillId="3" borderId="63" xfId="66" applyNumberFormat="1" applyFont="1" applyFill="1" applyBorder="1" applyAlignment="1">
      <alignment horizontal="center" vertical="center"/>
    </xf>
    <xf numFmtId="0" fontId="43" fillId="3" borderId="63" xfId="66" applyFill="1" applyBorder="1" applyAlignment="1">
      <alignment horizontal="center" vertical="center"/>
    </xf>
    <xf numFmtId="4" fontId="48" fillId="3" borderId="63" xfId="66" applyNumberFormat="1" applyFont="1" applyFill="1" applyBorder="1" applyAlignment="1">
      <alignment horizontal="center" vertical="center" wrapText="1"/>
    </xf>
    <xf numFmtId="2" fontId="27" fillId="3" borderId="63" xfId="66" applyNumberFormat="1" applyFont="1" applyFill="1" applyBorder="1" applyAlignment="1">
      <alignment horizontal="left" vertical="center"/>
    </xf>
    <xf numFmtId="2" fontId="43" fillId="3" borderId="63" xfId="66" applyNumberFormat="1" applyFill="1" applyBorder="1" applyAlignment="1">
      <alignment horizontal="center"/>
    </xf>
    <xf numFmtId="10" fontId="27" fillId="3" borderId="63" xfId="66" applyNumberFormat="1" applyFont="1" applyFill="1" applyBorder="1" applyAlignment="1">
      <alignment horizontal="center" vertical="center"/>
    </xf>
    <xf numFmtId="0" fontId="93" fillId="3" borderId="63" xfId="7" applyFont="1" applyFill="1" applyBorder="1" applyAlignment="1">
      <alignment horizontal="left" vertical="center" wrapText="1"/>
    </xf>
    <xf numFmtId="2" fontId="27" fillId="3" borderId="63" xfId="66" applyNumberFormat="1" applyFont="1" applyFill="1" applyBorder="1" applyAlignment="1">
      <alignment horizontal="left" vertical="center" wrapText="1"/>
    </xf>
    <xf numFmtId="0" fontId="48" fillId="3" borderId="63" xfId="66" applyFont="1" applyFill="1" applyBorder="1" applyAlignment="1">
      <alignment horizontal="left" vertical="center" wrapText="1"/>
    </xf>
    <xf numFmtId="2" fontId="48" fillId="3" borderId="63" xfId="66" applyNumberFormat="1" applyFont="1" applyFill="1" applyBorder="1" applyAlignment="1">
      <alignment horizontal="center" vertical="center" wrapText="1"/>
    </xf>
    <xf numFmtId="2" fontId="48" fillId="3" borderId="63" xfId="66" applyNumberFormat="1" applyFont="1" applyFill="1" applyBorder="1" applyAlignment="1">
      <alignment horizontal="left" vertical="center"/>
    </xf>
    <xf numFmtId="9" fontId="48" fillId="3" borderId="63" xfId="66" applyNumberFormat="1" applyFont="1" applyFill="1" applyBorder="1" applyAlignment="1">
      <alignment horizontal="center" vertical="center"/>
    </xf>
    <xf numFmtId="168" fontId="48" fillId="3" borderId="63" xfId="66" applyNumberFormat="1" applyFont="1" applyFill="1" applyBorder="1" applyAlignment="1">
      <alignment horizontal="center" vertical="center"/>
    </xf>
    <xf numFmtId="2" fontId="50" fillId="3" borderId="63" xfId="66" applyNumberFormat="1" applyFont="1" applyFill="1" applyBorder="1" applyAlignment="1">
      <alignment horizontal="center"/>
    </xf>
    <xf numFmtId="0" fontId="24" fillId="3" borderId="63" xfId="66" applyFont="1" applyFill="1" applyBorder="1" applyAlignment="1">
      <alignment horizontal="center" vertical="center"/>
    </xf>
    <xf numFmtId="0" fontId="105" fillId="3" borderId="63" xfId="66" applyFont="1" applyFill="1" applyBorder="1" applyAlignment="1">
      <alignment horizontal="left" vertical="center" wrapText="1"/>
    </xf>
    <xf numFmtId="0" fontId="105" fillId="3" borderId="63" xfId="66" applyFont="1" applyFill="1" applyBorder="1" applyAlignment="1">
      <alignment horizontal="center" vertical="center" wrapText="1"/>
    </xf>
    <xf numFmtId="0" fontId="93" fillId="3" borderId="63" xfId="66" applyFont="1" applyFill="1" applyBorder="1"/>
    <xf numFmtId="0" fontId="147" fillId="2" borderId="63" xfId="66" applyFont="1" applyFill="1" applyBorder="1" applyAlignment="1">
      <alignment horizontal="center" vertical="center"/>
    </xf>
    <xf numFmtId="0" fontId="148" fillId="2" borderId="64" xfId="66" applyFont="1" applyFill="1" applyBorder="1" applyAlignment="1">
      <alignment vertical="center"/>
    </xf>
    <xf numFmtId="0" fontId="148" fillId="2" borderId="63" xfId="66" applyFont="1" applyFill="1" applyBorder="1" applyAlignment="1">
      <alignment horizontal="center" vertical="center"/>
    </xf>
    <xf numFmtId="4" fontId="148" fillId="2" borderId="63" xfId="66" applyNumberFormat="1" applyFont="1" applyFill="1" applyBorder="1" applyAlignment="1">
      <alignment horizontal="center" vertical="center" wrapText="1"/>
    </xf>
    <xf numFmtId="0" fontId="147" fillId="2" borderId="63" xfId="66" applyFont="1" applyFill="1" applyBorder="1"/>
    <xf numFmtId="0" fontId="148" fillId="2" borderId="64" xfId="66" applyFont="1" applyFill="1" applyBorder="1" applyAlignment="1">
      <alignment vertical="center" wrapText="1"/>
    </xf>
    <xf numFmtId="4" fontId="148" fillId="2" borderId="63" xfId="66" applyNumberFormat="1" applyFont="1" applyFill="1" applyBorder="1" applyAlignment="1">
      <alignment horizontal="center" vertical="center"/>
    </xf>
    <xf numFmtId="0" fontId="65" fillId="0" borderId="0" xfId="66" applyFont="1"/>
    <xf numFmtId="0" fontId="24" fillId="0" borderId="0" xfId="66" applyFont="1"/>
    <xf numFmtId="0" fontId="24" fillId="0" borderId="0" xfId="66" applyFont="1" applyAlignment="1">
      <alignment horizontal="center" vertical="center"/>
    </xf>
    <xf numFmtId="4" fontId="106" fillId="0" borderId="0" xfId="66" applyNumberFormat="1" applyFont="1" applyAlignment="1">
      <alignment horizontal="right"/>
    </xf>
    <xf numFmtId="0" fontId="27" fillId="0" borderId="0" xfId="66" applyFont="1"/>
    <xf numFmtId="0" fontId="92" fillId="0" borderId="0" xfId="66" applyFont="1"/>
    <xf numFmtId="0" fontId="106" fillId="0" borderId="0" xfId="66" applyFont="1" applyAlignment="1">
      <alignment vertical="center"/>
    </xf>
    <xf numFmtId="0" fontId="93" fillId="0" borderId="0" xfId="66" applyFont="1" applyAlignment="1">
      <alignment horizontal="center"/>
    </xf>
    <xf numFmtId="0" fontId="50" fillId="0" borderId="0" xfId="66" applyFont="1" applyAlignment="1">
      <alignment vertical="center" wrapText="1"/>
    </xf>
    <xf numFmtId="0" fontId="93" fillId="0" borderId="0" xfId="66" applyFont="1" applyAlignment="1">
      <alignment horizontal="left" vertical="center" wrapText="1"/>
    </xf>
    <xf numFmtId="0" fontId="27" fillId="0" borderId="74" xfId="71" applyFont="1" applyBorder="1" applyAlignment="1">
      <alignment horizontal="center" vertical="top" wrapText="1"/>
    </xf>
    <xf numFmtId="49" fontId="48" fillId="0" borderId="66" xfId="71" applyNumberFormat="1" applyFont="1" applyBorder="1" applyAlignment="1">
      <alignment horizontal="center" vertical="center" wrapText="1"/>
    </xf>
    <xf numFmtId="0" fontId="27" fillId="0" borderId="66" xfId="71" applyFont="1" applyBorder="1" applyAlignment="1">
      <alignment horizontal="left" vertical="top" wrapText="1"/>
    </xf>
    <xf numFmtId="4" fontId="27" fillId="0" borderId="66" xfId="71" applyNumberFormat="1" applyFont="1" applyBorder="1" applyAlignment="1">
      <alignment horizontal="right" vertical="top" wrapText="1"/>
    </xf>
    <xf numFmtId="49" fontId="27" fillId="0" borderId="75" xfId="71" applyNumberFormat="1" applyFont="1" applyBorder="1" applyAlignment="1">
      <alignment horizontal="right" vertical="top" wrapText="1"/>
    </xf>
    <xf numFmtId="0" fontId="27" fillId="0" borderId="75" xfId="71" applyFont="1" applyBorder="1" applyAlignment="1">
      <alignment horizontal="left" vertical="top" wrapText="1"/>
    </xf>
    <xf numFmtId="4" fontId="27" fillId="0" borderId="75" xfId="71" applyNumberFormat="1" applyFont="1" applyBorder="1" applyAlignment="1">
      <alignment horizontal="right" vertical="top" wrapText="1"/>
    </xf>
    <xf numFmtId="0" fontId="148" fillId="6" borderId="29" xfId="71" applyFont="1" applyFill="1" applyBorder="1" applyAlignment="1">
      <alignment horizontal="left" vertical="top" wrapText="1"/>
    </xf>
    <xf numFmtId="0" fontId="48" fillId="6" borderId="29" xfId="71" applyFont="1" applyFill="1" applyBorder="1" applyAlignment="1">
      <alignment horizontal="center" vertical="top" wrapText="1"/>
    </xf>
    <xf numFmtId="4" fontId="48" fillId="6" borderId="29" xfId="71" applyNumberFormat="1" applyFont="1" applyFill="1" applyBorder="1" applyAlignment="1">
      <alignment horizontal="right" vertical="top" wrapText="1"/>
    </xf>
    <xf numFmtId="0" fontId="48" fillId="6" borderId="29" xfId="71" applyFont="1" applyFill="1" applyBorder="1" applyAlignment="1">
      <alignment horizontal="left" vertical="top" wrapText="1"/>
    </xf>
    <xf numFmtId="4" fontId="149" fillId="0" borderId="0" xfId="7" applyNumberFormat="1" applyFont="1"/>
    <xf numFmtId="9" fontId="27" fillId="0" borderId="72" xfId="66" applyNumberFormat="1" applyFont="1" applyBorder="1" applyAlignment="1">
      <alignment horizontal="center" vertical="center" wrapText="1"/>
    </xf>
    <xf numFmtId="0" fontId="70" fillId="2" borderId="1" xfId="38" applyFont="1" applyFill="1" applyBorder="1" applyAlignment="1">
      <alignment horizontal="left" vertical="center"/>
    </xf>
    <xf numFmtId="0" fontId="6" fillId="0" borderId="0" xfId="132"/>
    <xf numFmtId="0" fontId="27" fillId="0" borderId="1" xfId="133" applyFont="1" applyBorder="1" applyAlignment="1">
      <alignment horizontal="center" vertical="center" wrapText="1"/>
    </xf>
    <xf numFmtId="0" fontId="48" fillId="0" borderId="1" xfId="132" applyFont="1" applyBorder="1" applyAlignment="1">
      <alignment horizontal="center" vertical="center" wrapText="1"/>
    </xf>
    <xf numFmtId="0" fontId="27" fillId="0" borderId="66" xfId="132" applyFont="1" applyBorder="1" applyAlignment="1">
      <alignment horizontal="center" vertical="center" wrapText="1"/>
    </xf>
    <xf numFmtId="0" fontId="27" fillId="0" borderId="66" xfId="132" applyFont="1" applyBorder="1" applyAlignment="1">
      <alignment horizontal="left" vertical="center" wrapText="1"/>
    </xf>
    <xf numFmtId="0" fontId="27" fillId="0" borderId="1" xfId="132" applyFont="1" applyBorder="1" applyAlignment="1">
      <alignment horizontal="center" vertical="center"/>
    </xf>
    <xf numFmtId="0" fontId="27" fillId="0" borderId="1" xfId="132" applyFont="1" applyBorder="1" applyAlignment="1">
      <alignment horizontal="center" vertical="center" wrapText="1"/>
    </xf>
    <xf numFmtId="2" fontId="27" fillId="0" borderId="1" xfId="132" applyNumberFormat="1" applyFont="1" applyBorder="1" applyAlignment="1">
      <alignment horizontal="center" vertical="center" wrapText="1"/>
    </xf>
    <xf numFmtId="0" fontId="27" fillId="0" borderId="7" xfId="132" applyFont="1" applyBorder="1" applyAlignment="1">
      <alignment horizontal="center" vertical="center"/>
    </xf>
    <xf numFmtId="0" fontId="112" fillId="0" borderId="1" xfId="132" applyFont="1" applyBorder="1" applyAlignment="1">
      <alignment vertical="center" wrapText="1"/>
    </xf>
    <xf numFmtId="0" fontId="27" fillId="0" borderId="5" xfId="132" applyFont="1" applyBorder="1" applyAlignment="1">
      <alignment vertical="center" wrapText="1"/>
    </xf>
    <xf numFmtId="2" fontId="48" fillId="0" borderId="1" xfId="132" applyNumberFormat="1" applyFont="1" applyBorder="1" applyAlignment="1">
      <alignment horizontal="center" vertical="center" wrapText="1"/>
    </xf>
    <xf numFmtId="0" fontId="48" fillId="0" borderId="1" xfId="132" applyFont="1" applyBorder="1" applyAlignment="1">
      <alignment horizontal="center" vertical="center"/>
    </xf>
    <xf numFmtId="0" fontId="27" fillId="0" borderId="1" xfId="132" applyFont="1" applyBorder="1" applyAlignment="1">
      <alignment vertical="center" wrapText="1"/>
    </xf>
    <xf numFmtId="2" fontId="27" fillId="0" borderId="1" xfId="132" applyNumberFormat="1" applyFont="1" applyBorder="1" applyAlignment="1">
      <alignment horizontal="center" vertical="center"/>
    </xf>
    <xf numFmtId="170" fontId="27" fillId="0" borderId="1" xfId="132" applyNumberFormat="1" applyFont="1" applyBorder="1" applyAlignment="1">
      <alignment horizontal="center" vertical="center"/>
    </xf>
    <xf numFmtId="1" fontId="48" fillId="0" borderId="1" xfId="132" applyNumberFormat="1" applyFont="1" applyBorder="1" applyAlignment="1">
      <alignment horizontal="center" vertical="center"/>
    </xf>
    <xf numFmtId="0" fontId="27" fillId="0" borderId="0" xfId="132" applyFont="1" applyAlignment="1">
      <alignment vertical="center" wrapText="1"/>
    </xf>
    <xf numFmtId="0" fontId="113" fillId="0" borderId="0" xfId="132" applyFont="1" applyAlignment="1">
      <alignment horizontal="center" vertical="center"/>
    </xf>
    <xf numFmtId="0" fontId="113" fillId="0" borderId="0" xfId="132" applyFont="1"/>
    <xf numFmtId="0" fontId="27" fillId="0" borderId="29" xfId="132" applyFont="1" applyBorder="1" applyAlignment="1">
      <alignment horizontal="center" vertical="center"/>
    </xf>
    <xf numFmtId="0" fontId="27" fillId="0" borderId="66" xfId="132" applyFont="1" applyBorder="1" applyAlignment="1">
      <alignment vertical="center" wrapText="1"/>
    </xf>
    <xf numFmtId="0" fontId="27" fillId="0" borderId="66" xfId="132" applyFont="1" applyBorder="1" applyAlignment="1">
      <alignment horizontal="center" vertical="center"/>
    </xf>
    <xf numFmtId="0" fontId="27" fillId="0" borderId="29" xfId="132" applyFont="1" applyBorder="1" applyAlignment="1">
      <alignment horizontal="right" vertical="center"/>
    </xf>
    <xf numFmtId="0" fontId="27" fillId="0" borderId="29" xfId="132" applyFont="1" applyBorder="1" applyAlignment="1">
      <alignment horizontal="center" vertical="center" wrapText="1"/>
    </xf>
    <xf numFmtId="9" fontId="27" fillId="0" borderId="1" xfId="132" applyNumberFormat="1" applyFont="1" applyBorder="1" applyAlignment="1">
      <alignment horizontal="center" vertical="center" wrapText="1"/>
    </xf>
    <xf numFmtId="1" fontId="27" fillId="0" borderId="1" xfId="132" applyNumberFormat="1" applyFont="1" applyBorder="1" applyAlignment="1">
      <alignment horizontal="center" vertical="center"/>
    </xf>
    <xf numFmtId="0" fontId="48" fillId="0" borderId="5" xfId="132" applyFont="1" applyBorder="1" applyAlignment="1">
      <alignment vertical="center"/>
    </xf>
    <xf numFmtId="0" fontId="48" fillId="0" borderId="1" xfId="132" applyFont="1" applyBorder="1" applyAlignment="1">
      <alignment vertical="center"/>
    </xf>
    <xf numFmtId="49" fontId="121" fillId="0" borderId="0" xfId="76" applyNumberFormat="1" applyFont="1" applyAlignment="1">
      <alignment horizontal="center"/>
    </xf>
    <xf numFmtId="0" fontId="150" fillId="0" borderId="0" xfId="76" applyFont="1"/>
    <xf numFmtId="0" fontId="150" fillId="0" borderId="0" xfId="76" quotePrefix="1" applyFont="1" applyAlignment="1">
      <alignment horizontal="left"/>
    </xf>
    <xf numFmtId="0" fontId="150" fillId="0" borderId="0" xfId="93" applyFont="1" applyAlignment="1">
      <alignment horizontal="right" vertical="top"/>
    </xf>
    <xf numFmtId="2" fontId="150" fillId="0" borderId="0" xfId="76" applyNumberFormat="1" applyFont="1"/>
    <xf numFmtId="170" fontId="150" fillId="0" borderId="0" xfId="76" applyNumberFormat="1" applyFont="1" applyAlignment="1">
      <alignment horizontal="center"/>
    </xf>
    <xf numFmtId="0" fontId="24" fillId="0" borderId="0" xfId="76" applyAlignment="1">
      <alignment horizontal="left" vertical="center"/>
    </xf>
    <xf numFmtId="0" fontId="24" fillId="3" borderId="0" xfId="76" applyFill="1"/>
    <xf numFmtId="0" fontId="24" fillId="3" borderId="0" xfId="76" applyFill="1" applyAlignment="1">
      <alignment wrapText="1"/>
    </xf>
    <xf numFmtId="0" fontId="152" fillId="0" borderId="0" xfId="76" applyFont="1" applyAlignment="1">
      <alignment wrapText="1"/>
    </xf>
    <xf numFmtId="0" fontId="24" fillId="0" borderId="29" xfId="7" applyFont="1" applyBorder="1" applyAlignment="1">
      <alignment horizontal="center" vertical="center" wrapText="1"/>
    </xf>
    <xf numFmtId="4" fontId="24" fillId="0" borderId="0" xfId="76" applyNumberFormat="1"/>
    <xf numFmtId="0" fontId="24" fillId="3" borderId="1" xfId="76" applyFill="1" applyBorder="1" applyAlignment="1">
      <alignment horizontal="center" vertical="center" wrapText="1"/>
    </xf>
    <xf numFmtId="0" fontId="24" fillId="3" borderId="29" xfId="7" applyFont="1" applyFill="1" applyBorder="1" applyAlignment="1">
      <alignment horizontal="center" vertical="center" wrapText="1"/>
    </xf>
    <xf numFmtId="4" fontId="24" fillId="3" borderId="1" xfId="76" applyNumberFormat="1" applyFill="1" applyBorder="1" applyAlignment="1">
      <alignment horizontal="center" vertical="center" wrapText="1"/>
    </xf>
    <xf numFmtId="0" fontId="24" fillId="0" borderId="78" xfId="76" applyBorder="1" applyAlignment="1">
      <alignment horizontal="center" vertical="center" wrapText="1"/>
    </xf>
    <xf numFmtId="0" fontId="24" fillId="0" borderId="79" xfId="76" applyBorder="1" applyAlignment="1">
      <alignment horizontal="center" vertical="center" wrapText="1"/>
    </xf>
    <xf numFmtId="0" fontId="24" fillId="0" borderId="58" xfId="76" applyBorder="1" applyAlignment="1">
      <alignment horizontal="center" vertical="center" wrapText="1"/>
    </xf>
    <xf numFmtId="2" fontId="34" fillId="0" borderId="57" xfId="76" applyNumberFormat="1" applyFont="1" applyBorder="1" applyAlignment="1">
      <alignment horizontal="center" vertical="center" wrapText="1"/>
    </xf>
    <xf numFmtId="2" fontId="24" fillId="0" borderId="59" xfId="76" applyNumberFormat="1" applyBorder="1" applyAlignment="1">
      <alignment horizontal="center" vertical="center" wrapText="1"/>
    </xf>
    <xf numFmtId="170" fontId="24" fillId="0" borderId="55" xfId="76" applyNumberFormat="1" applyBorder="1" applyAlignment="1">
      <alignment horizontal="center" vertical="center" wrapText="1"/>
    </xf>
    <xf numFmtId="0" fontId="152" fillId="0" borderId="0" xfId="76" applyFont="1"/>
    <xf numFmtId="0" fontId="24" fillId="0" borderId="0" xfId="76" applyAlignment="1">
      <alignment vertical="center"/>
    </xf>
    <xf numFmtId="0" fontId="31" fillId="0" borderId="0" xfId="7" applyFont="1" applyAlignment="1">
      <alignment vertical="center"/>
    </xf>
    <xf numFmtId="0" fontId="24" fillId="0" borderId="4" xfId="76" applyBorder="1" applyAlignment="1">
      <alignment horizontal="center" vertical="center" wrapText="1"/>
    </xf>
    <xf numFmtId="0" fontId="24" fillId="0" borderId="31" xfId="76" applyBorder="1" applyAlignment="1">
      <alignment horizontal="center" vertical="center" wrapText="1"/>
    </xf>
    <xf numFmtId="0" fontId="152" fillId="0" borderId="0" xfId="76" applyFont="1" applyAlignment="1">
      <alignment horizontal="left" wrapText="1"/>
    </xf>
    <xf numFmtId="0" fontId="24" fillId="8" borderId="1" xfId="76" applyFill="1" applyBorder="1" applyAlignment="1">
      <alignment horizontal="center" vertical="center" wrapText="1"/>
    </xf>
    <xf numFmtId="0" fontId="24" fillId="8" borderId="31" xfId="76" applyFill="1" applyBorder="1" applyAlignment="1">
      <alignment horizontal="center" vertical="center" wrapText="1"/>
    </xf>
    <xf numFmtId="0" fontId="152" fillId="0" borderId="1" xfId="76" applyFont="1" applyBorder="1" applyAlignment="1">
      <alignment horizontal="center" vertical="center" wrapText="1"/>
    </xf>
    <xf numFmtId="0" fontId="152" fillId="0" borderId="31" xfId="76" applyFont="1" applyBorder="1" applyAlignment="1">
      <alignment horizontal="center" vertical="center" wrapText="1"/>
    </xf>
    <xf numFmtId="0" fontId="65" fillId="0" borderId="8" xfId="76" applyFont="1" applyBorder="1" applyAlignment="1">
      <alignment horizontal="center" vertical="center" wrapText="1"/>
    </xf>
    <xf numFmtId="0" fontId="64" fillId="0" borderId="1" xfId="76" applyFont="1" applyBorder="1" applyAlignment="1">
      <alignment horizontal="center" vertical="center" wrapText="1"/>
    </xf>
    <xf numFmtId="2" fontId="50" fillId="0" borderId="1" xfId="76" applyNumberFormat="1" applyFont="1" applyBorder="1" applyAlignment="1">
      <alignment horizontal="center" vertical="center" wrapText="1"/>
    </xf>
    <xf numFmtId="0" fontId="24" fillId="2" borderId="0" xfId="76" applyFill="1" applyAlignment="1">
      <alignment horizontal="center" vertical="center" wrapText="1"/>
    </xf>
    <xf numFmtId="0" fontId="24" fillId="0" borderId="0" xfId="76" applyAlignment="1">
      <alignment horizontal="right"/>
    </xf>
    <xf numFmtId="0" fontId="64" fillId="0" borderId="0" xfId="76" applyFont="1" applyAlignment="1">
      <alignment horizontal="right" vertical="top"/>
    </xf>
    <xf numFmtId="0" fontId="24" fillId="0" borderId="0" xfId="76" applyAlignment="1">
      <alignment wrapText="1"/>
    </xf>
    <xf numFmtId="0" fontId="24" fillId="0" borderId="0" xfId="76" applyAlignment="1">
      <alignment vertical="top" wrapText="1"/>
    </xf>
    <xf numFmtId="0" fontId="24" fillId="0" borderId="0" xfId="76" applyAlignment="1">
      <alignment vertical="top"/>
    </xf>
    <xf numFmtId="0" fontId="88" fillId="0" borderId="67" xfId="76" applyFont="1" applyBorder="1" applyAlignment="1">
      <alignment horizontal="center" vertical="top" wrapText="1"/>
    </xf>
    <xf numFmtId="0" fontId="68" fillId="0" borderId="67" xfId="76" applyFont="1" applyBorder="1" applyAlignment="1">
      <alignment horizontal="center" vertical="top" wrapText="1"/>
    </xf>
    <xf numFmtId="49" fontId="24" fillId="0" borderId="67" xfId="76" applyNumberFormat="1" applyBorder="1" applyAlignment="1">
      <alignment horizontal="center" wrapText="1"/>
    </xf>
    <xf numFmtId="0" fontId="24" fillId="0" borderId="67" xfId="76" applyBorder="1" applyAlignment="1">
      <alignment horizontal="center" wrapText="1"/>
    </xf>
    <xf numFmtId="49" fontId="65" fillId="0" borderId="66" xfId="76" applyNumberFormat="1" applyFont="1" applyBorder="1" applyAlignment="1">
      <alignment horizontal="right" vertical="top" wrapText="1"/>
    </xf>
    <xf numFmtId="0" fontId="24" fillId="0" borderId="66" xfId="76" applyBorder="1" applyAlignment="1">
      <alignment horizontal="left" vertical="top" wrapText="1"/>
    </xf>
    <xf numFmtId="3" fontId="24" fillId="0" borderId="66" xfId="76" applyNumberFormat="1" applyBorder="1" applyAlignment="1">
      <alignment horizontal="right" vertical="top" wrapText="1"/>
    </xf>
    <xf numFmtId="49" fontId="65" fillId="0" borderId="32" xfId="76" applyNumberFormat="1" applyFont="1" applyBorder="1" applyAlignment="1">
      <alignment horizontal="right" vertical="top" wrapText="1"/>
    </xf>
    <xf numFmtId="0" fontId="65" fillId="0" borderId="32" xfId="76" applyFont="1" applyBorder="1" applyAlignment="1">
      <alignment horizontal="left" vertical="top" wrapText="1"/>
    </xf>
    <xf numFmtId="0" fontId="65" fillId="0" borderId="32" xfId="76" applyFont="1" applyBorder="1" applyAlignment="1">
      <alignment horizontal="right" vertical="top" wrapText="1"/>
    </xf>
    <xf numFmtId="0" fontId="24" fillId="0" borderId="32" xfId="76" applyBorder="1" applyAlignment="1">
      <alignment horizontal="left" vertical="top" wrapText="1"/>
    </xf>
    <xf numFmtId="0" fontId="24" fillId="0" borderId="32" xfId="76" applyBorder="1" applyAlignment="1">
      <alignment horizontal="right" vertical="top" wrapText="1"/>
    </xf>
    <xf numFmtId="49" fontId="65" fillId="0" borderId="29" xfId="76" applyNumberFormat="1" applyFont="1" applyBorder="1" applyAlignment="1">
      <alignment horizontal="right" vertical="top" wrapText="1"/>
    </xf>
    <xf numFmtId="0" fontId="24" fillId="0" borderId="29" xfId="76" applyBorder="1" applyAlignment="1">
      <alignment horizontal="left" vertical="top" wrapText="1"/>
    </xf>
    <xf numFmtId="0" fontId="24" fillId="0" borderId="29" xfId="76" applyBorder="1" applyAlignment="1">
      <alignment horizontal="right" vertical="top" wrapText="1"/>
    </xf>
    <xf numFmtId="49" fontId="65" fillId="0" borderId="1" xfId="76" applyNumberFormat="1" applyFont="1" applyBorder="1" applyAlignment="1">
      <alignment horizontal="right" vertical="top" wrapText="1"/>
    </xf>
    <xf numFmtId="0" fontId="65" fillId="0" borderId="1" xfId="76" applyFont="1" applyBorder="1" applyAlignment="1">
      <alignment horizontal="left" vertical="top" wrapText="1"/>
    </xf>
    <xf numFmtId="3" fontId="65" fillId="0" borderId="1" xfId="76" applyNumberFormat="1" applyFont="1" applyBorder="1" applyAlignment="1">
      <alignment horizontal="right" vertical="top" wrapText="1"/>
    </xf>
    <xf numFmtId="0" fontId="24" fillId="0" borderId="1" xfId="76" applyBorder="1" applyAlignment="1">
      <alignment horizontal="left" vertical="top" wrapText="1"/>
    </xf>
    <xf numFmtId="3" fontId="24" fillId="0" borderId="1" xfId="76" applyNumberFormat="1" applyBorder="1" applyAlignment="1">
      <alignment horizontal="right" vertical="top" wrapText="1"/>
    </xf>
    <xf numFmtId="0" fontId="120" fillId="0" borderId="1" xfId="76" applyFont="1" applyBorder="1" applyAlignment="1">
      <alignment horizontal="left" vertical="top" wrapText="1"/>
    </xf>
    <xf numFmtId="3" fontId="120" fillId="0" borderId="1" xfId="76" applyNumberFormat="1" applyFont="1" applyBorder="1" applyAlignment="1">
      <alignment horizontal="right" vertical="top" wrapText="1"/>
    </xf>
    <xf numFmtId="49" fontId="65" fillId="0" borderId="4" xfId="76" applyNumberFormat="1" applyFont="1" applyBorder="1" applyAlignment="1">
      <alignment horizontal="right" vertical="top" wrapText="1"/>
    </xf>
    <xf numFmtId="49" fontId="65" fillId="0" borderId="0" xfId="76" applyNumberFormat="1" applyFont="1" applyAlignment="1">
      <alignment horizontal="right" vertical="top" wrapText="1"/>
    </xf>
    <xf numFmtId="0" fontId="120" fillId="0" borderId="0" xfId="76" applyFont="1" applyAlignment="1">
      <alignment horizontal="left" vertical="top" wrapText="1"/>
    </xf>
    <xf numFmtId="3" fontId="120" fillId="0" borderId="0" xfId="76" applyNumberFormat="1" applyFont="1" applyAlignment="1">
      <alignment horizontal="right" vertical="top" wrapText="1"/>
    </xf>
    <xf numFmtId="0" fontId="120" fillId="0" borderId="0" xfId="76" applyFont="1" applyAlignment="1">
      <alignment wrapText="1"/>
    </xf>
    <xf numFmtId="0" fontId="24" fillId="0" borderId="0" xfId="76" applyAlignment="1">
      <alignment horizontal="left" vertical="top"/>
    </xf>
    <xf numFmtId="0" fontId="24" fillId="0" borderId="0" xfId="76" applyAlignment="1">
      <alignment horizontal="left" wrapText="1"/>
    </xf>
    <xf numFmtId="0" fontId="24" fillId="0" borderId="0" xfId="76" applyAlignment="1">
      <alignment horizontal="left" vertical="top" wrapText="1"/>
    </xf>
    <xf numFmtId="0" fontId="68" fillId="0" borderId="0" xfId="76" applyFont="1" applyAlignment="1">
      <alignment wrapText="1"/>
    </xf>
    <xf numFmtId="0" fontId="28" fillId="0" borderId="0" xfId="136"/>
    <xf numFmtId="49" fontId="65" fillId="6" borderId="4" xfId="76" applyNumberFormat="1" applyFont="1" applyFill="1" applyBorder="1" applyAlignment="1">
      <alignment horizontal="right" vertical="top" wrapText="1"/>
    </xf>
    <xf numFmtId="0" fontId="120" fillId="6" borderId="1" xfId="76" applyFont="1" applyFill="1" applyBorder="1" applyAlignment="1">
      <alignment horizontal="left" vertical="top" wrapText="1"/>
    </xf>
    <xf numFmtId="169" fontId="120" fillId="6" borderId="1" xfId="76" applyNumberFormat="1" applyFont="1" applyFill="1" applyBorder="1" applyAlignment="1">
      <alignment horizontal="right" vertical="top" wrapText="1"/>
    </xf>
    <xf numFmtId="0" fontId="24" fillId="0" borderId="1" xfId="62" applyBorder="1" applyAlignment="1">
      <alignment horizontal="right" vertical="top" wrapText="1"/>
    </xf>
    <xf numFmtId="4" fontId="24" fillId="0" borderId="1" xfId="62" applyNumberFormat="1" applyBorder="1" applyAlignment="1">
      <alignment horizontal="right" vertical="center" wrapText="1"/>
    </xf>
    <xf numFmtId="0" fontId="24" fillId="0" borderId="1" xfId="62" applyBorder="1" applyAlignment="1">
      <alignment vertical="top" wrapText="1"/>
    </xf>
    <xf numFmtId="4" fontId="24" fillId="0" borderId="1" xfId="129" applyNumberFormat="1" applyFont="1" applyBorder="1" applyAlignment="1">
      <alignment horizontal="right" vertical="top" wrapText="1"/>
    </xf>
    <xf numFmtId="4" fontId="24" fillId="0" borderId="1" xfId="62" applyNumberFormat="1" applyBorder="1" applyAlignment="1">
      <alignment vertical="top" wrapText="1"/>
    </xf>
    <xf numFmtId="10" fontId="24" fillId="0" borderId="1" xfId="62" applyNumberFormat="1" applyBorder="1" applyAlignment="1">
      <alignment vertical="top" wrapText="1"/>
    </xf>
    <xf numFmtId="0" fontId="88" fillId="3" borderId="1" xfId="0" applyFont="1" applyFill="1" applyBorder="1" applyAlignment="1">
      <alignment horizontal="center" vertical="center"/>
    </xf>
    <xf numFmtId="0" fontId="88" fillId="3" borderId="4" xfId="0" applyFont="1" applyFill="1" applyBorder="1" applyAlignment="1">
      <alignment horizontal="center" vertical="center"/>
    </xf>
    <xf numFmtId="0" fontId="88" fillId="3" borderId="4" xfId="0" applyFont="1" applyFill="1" applyBorder="1"/>
    <xf numFmtId="4" fontId="24" fillId="3" borderId="73" xfId="62" applyNumberFormat="1" applyFill="1" applyBorder="1" applyAlignment="1">
      <alignment horizontal="right" vertical="top" wrapText="1"/>
    </xf>
    <xf numFmtId="4" fontId="27" fillId="3" borderId="1" xfId="0" applyNumberFormat="1" applyFont="1" applyFill="1" applyBorder="1" applyAlignment="1">
      <alignment horizontal="right" vertical="top" wrapText="1"/>
    </xf>
    <xf numFmtId="4" fontId="24" fillId="3" borderId="1" xfId="0" applyNumberFormat="1" applyFont="1" applyFill="1" applyBorder="1" applyAlignment="1">
      <alignment horizontal="left" vertical="top" wrapText="1"/>
    </xf>
    <xf numFmtId="4" fontId="24" fillId="3" borderId="1" xfId="0" applyNumberFormat="1" applyFont="1" applyFill="1" applyBorder="1" applyAlignment="1">
      <alignment vertical="top"/>
    </xf>
    <xf numFmtId="49" fontId="24" fillId="3" borderId="76" xfId="0" applyNumberFormat="1" applyFont="1" applyFill="1" applyBorder="1" applyAlignment="1">
      <alignment horizontal="left" vertical="top"/>
    </xf>
    <xf numFmtId="0" fontId="120" fillId="3" borderId="76" xfId="0" applyFont="1" applyFill="1" applyBorder="1" applyAlignment="1">
      <alignment horizontal="center" vertical="center"/>
    </xf>
    <xf numFmtId="0" fontId="24" fillId="3" borderId="76" xfId="0" applyFont="1" applyFill="1" applyBorder="1" applyAlignment="1">
      <alignment horizontal="right" vertical="top"/>
    </xf>
    <xf numFmtId="0" fontId="24" fillId="3" borderId="76" xfId="0" applyFont="1" applyFill="1" applyBorder="1" applyAlignment="1">
      <alignment horizontal="center" vertical="center"/>
    </xf>
    <xf numFmtId="4" fontId="121" fillId="3" borderId="0" xfId="0" applyNumberFormat="1" applyFont="1" applyFill="1" applyAlignment="1">
      <alignment horizontal="right" vertical="top" wrapText="1"/>
    </xf>
    <xf numFmtId="0" fontId="24" fillId="3" borderId="66" xfId="0" applyFont="1" applyFill="1" applyBorder="1" applyAlignment="1">
      <alignment horizontal="center" vertical="center"/>
    </xf>
    <xf numFmtId="49" fontId="24" fillId="3" borderId="66" xfId="0" applyNumberFormat="1" applyFont="1" applyFill="1" applyBorder="1" applyAlignment="1">
      <alignment horizontal="center" vertical="center"/>
    </xf>
    <xf numFmtId="4" fontId="26" fillId="3" borderId="0" xfId="98" applyNumberFormat="1" applyFont="1" applyFill="1" applyAlignment="1">
      <alignment horizontal="right" vertical="top"/>
    </xf>
    <xf numFmtId="2" fontId="24" fillId="3" borderId="0" xfId="0" applyNumberFormat="1" applyFont="1" applyFill="1" applyAlignment="1">
      <alignment horizontal="right" vertical="top"/>
    </xf>
    <xf numFmtId="0" fontId="122" fillId="0" borderId="0" xfId="99" applyFill="1"/>
    <xf numFmtId="0" fontId="122" fillId="0" borderId="1" xfId="99" applyFill="1" applyBorder="1"/>
    <xf numFmtId="0" fontId="72" fillId="2" borderId="82" xfId="127" applyFont="1" applyFill="1" applyBorder="1" applyAlignment="1">
      <alignment horizontal="center" vertical="center" wrapText="1"/>
    </xf>
    <xf numFmtId="0" fontId="73" fillId="3" borderId="82" xfId="127" applyFont="1" applyFill="1" applyBorder="1" applyAlignment="1">
      <alignment horizontal="center" vertical="center" wrapText="1"/>
    </xf>
    <xf numFmtId="0" fontId="73" fillId="0" borderId="82" xfId="127" applyFont="1" applyBorder="1" applyAlignment="1">
      <alignment vertical="center" wrapText="1"/>
    </xf>
    <xf numFmtId="0" fontId="6" fillId="0" borderId="82" xfId="126" applyBorder="1" applyAlignment="1">
      <alignment horizontal="center" vertical="center" wrapText="1"/>
    </xf>
    <xf numFmtId="0" fontId="73" fillId="3" borderId="86" xfId="127" applyFont="1" applyFill="1" applyBorder="1" applyAlignment="1">
      <alignment horizontal="center" vertical="center" wrapText="1"/>
    </xf>
    <xf numFmtId="0" fontId="73" fillId="0" borderId="82" xfId="127" applyFont="1" applyBorder="1" applyAlignment="1">
      <alignment horizontal="center" vertical="center" wrapText="1"/>
    </xf>
    <xf numFmtId="0" fontId="82" fillId="0" borderId="86" xfId="45" applyFont="1" applyBorder="1" applyAlignment="1">
      <alignment vertical="center" wrapText="1"/>
    </xf>
    <xf numFmtId="0" fontId="84" fillId="0" borderId="86" xfId="45" applyFont="1" applyBorder="1" applyAlignment="1">
      <alignment horizontal="center" vertical="center" wrapText="1"/>
    </xf>
    <xf numFmtId="0" fontId="82" fillId="0" borderId="86" xfId="45" applyFont="1" applyBorder="1" applyAlignment="1">
      <alignment horizontal="center" vertical="center" wrapText="1"/>
    </xf>
    <xf numFmtId="3" fontId="82" fillId="0" borderId="86" xfId="45" applyNumberFormat="1" applyFont="1" applyBorder="1" applyAlignment="1">
      <alignment horizontal="center" vertical="center" wrapText="1"/>
    </xf>
    <xf numFmtId="0" fontId="75" fillId="0" borderId="82" xfId="126" applyFont="1" applyBorder="1" applyAlignment="1">
      <alignment horizontal="center" vertical="center" wrapText="1"/>
    </xf>
    <xf numFmtId="0" fontId="77" fillId="0" borderId="82" xfId="8" applyFont="1" applyBorder="1" applyAlignment="1">
      <alignment horizontal="center" vertical="center" wrapText="1"/>
    </xf>
    <xf numFmtId="4" fontId="77" fillId="0" borderId="82" xfId="45" applyNumberFormat="1" applyFont="1" applyBorder="1" applyAlignment="1">
      <alignment horizontal="center" vertical="center" wrapText="1"/>
    </xf>
    <xf numFmtId="0" fontId="75" fillId="0" borderId="86" xfId="126" applyFont="1" applyBorder="1" applyAlignment="1">
      <alignment vertical="center" wrapText="1"/>
    </xf>
    <xf numFmtId="0" fontId="73" fillId="0" borderId="29" xfId="127" applyFont="1" applyBorder="1" applyAlignment="1">
      <alignment horizontal="center" vertical="center" wrapText="1"/>
    </xf>
    <xf numFmtId="0" fontId="75" fillId="0" borderId="32" xfId="126" applyFont="1" applyBorder="1" applyAlignment="1">
      <alignment vertical="center" wrapText="1"/>
    </xf>
    <xf numFmtId="0" fontId="75" fillId="0" borderId="0" xfId="126" applyFont="1" applyAlignment="1">
      <alignment horizontal="center" vertical="center" wrapText="1"/>
    </xf>
    <xf numFmtId="0" fontId="77" fillId="0" borderId="86" xfId="8" applyFont="1" applyBorder="1" applyAlignment="1">
      <alignment horizontal="left" vertical="center" wrapText="1"/>
    </xf>
    <xf numFmtId="0" fontId="77" fillId="0" borderId="86" xfId="8" applyFont="1" applyBorder="1" applyAlignment="1">
      <alignment horizontal="center" vertical="center" wrapText="1"/>
    </xf>
    <xf numFmtId="3" fontId="82" fillId="0" borderId="82" xfId="45" applyNumberFormat="1" applyFont="1" applyBorder="1" applyAlignment="1">
      <alignment horizontal="center" vertical="center" wrapText="1"/>
    </xf>
    <xf numFmtId="0" fontId="77" fillId="0" borderId="82" xfId="8" applyFont="1" applyBorder="1" applyAlignment="1">
      <alignment horizontal="left" vertical="center" wrapText="1"/>
    </xf>
    <xf numFmtId="4" fontId="82" fillId="0" borderId="82" xfId="45" applyNumberFormat="1" applyFont="1" applyBorder="1" applyAlignment="1">
      <alignment horizontal="center" vertical="center" wrapText="1"/>
    </xf>
    <xf numFmtId="167" fontId="77" fillId="0" borderId="86" xfId="8" applyNumberFormat="1" applyFont="1" applyBorder="1" applyAlignment="1">
      <alignment horizontal="center" vertical="center" wrapText="1"/>
    </xf>
    <xf numFmtId="168" fontId="82" fillId="0" borderId="82" xfId="45" applyNumberFormat="1" applyFont="1" applyBorder="1" applyAlignment="1">
      <alignment horizontal="center" vertical="center" wrapText="1"/>
    </xf>
    <xf numFmtId="4" fontId="84" fillId="0" borderId="82" xfId="45" applyNumberFormat="1" applyFont="1" applyBorder="1" applyAlignment="1">
      <alignment horizontal="center" vertical="center" wrapText="1"/>
    </xf>
    <xf numFmtId="167" fontId="27" fillId="0" borderId="86" xfId="8" applyNumberFormat="1" applyFont="1" applyBorder="1" applyAlignment="1">
      <alignment horizontal="center" vertical="center" wrapText="1"/>
    </xf>
    <xf numFmtId="167" fontId="77" fillId="0" borderId="82" xfId="8" applyNumberFormat="1" applyFont="1" applyBorder="1" applyAlignment="1">
      <alignment horizontal="center" vertical="center" wrapText="1"/>
    </xf>
    <xf numFmtId="4" fontId="77" fillId="0" borderId="86" xfId="8" applyNumberFormat="1" applyFont="1" applyBorder="1" applyAlignment="1">
      <alignment horizontal="center" vertical="center" wrapText="1"/>
    </xf>
    <xf numFmtId="0" fontId="77" fillId="3" borderId="86" xfId="8" applyFont="1" applyFill="1" applyBorder="1" applyAlignment="1">
      <alignment horizontal="left" vertical="center" wrapText="1"/>
    </xf>
    <xf numFmtId="0" fontId="77" fillId="3" borderId="82" xfId="45" applyFont="1" applyFill="1" applyBorder="1" applyAlignment="1">
      <alignment horizontal="center" vertical="center"/>
    </xf>
    <xf numFmtId="0" fontId="78" fillId="3" borderId="82" xfId="45" applyFont="1" applyFill="1" applyBorder="1" applyAlignment="1">
      <alignment horizontal="center" vertical="center"/>
    </xf>
    <xf numFmtId="4" fontId="82" fillId="3" borderId="82" xfId="45" applyNumberFormat="1" applyFont="1" applyFill="1" applyBorder="1" applyAlignment="1">
      <alignment horizontal="center" vertical="center" wrapText="1"/>
    </xf>
    <xf numFmtId="0" fontId="75" fillId="0" borderId="82" xfId="126" applyFont="1" applyBorder="1" applyAlignment="1">
      <alignment vertical="center" wrapText="1"/>
    </xf>
    <xf numFmtId="0" fontId="75" fillId="0" borderId="82" xfId="126" applyFont="1" applyBorder="1" applyAlignment="1">
      <alignment horizontal="center" vertical="center"/>
    </xf>
    <xf numFmtId="0" fontId="85" fillId="0" borderId="0" xfId="127" applyFont="1" applyAlignment="1">
      <alignment vertical="center" wrapText="1"/>
    </xf>
    <xf numFmtId="0" fontId="51" fillId="4" borderId="86" xfId="8" applyFont="1" applyFill="1" applyBorder="1" applyAlignment="1">
      <alignment horizontal="center" vertical="center" wrapText="1"/>
    </xf>
    <xf numFmtId="0" fontId="51" fillId="4" borderId="86" xfId="8" applyFont="1" applyFill="1" applyBorder="1" applyAlignment="1">
      <alignment horizontal="left" vertical="center" wrapText="1"/>
    </xf>
    <xf numFmtId="0" fontId="77" fillId="4" borderId="82" xfId="45" applyFont="1" applyFill="1" applyBorder="1" applyAlignment="1">
      <alignment horizontal="center" vertical="center"/>
    </xf>
    <xf numFmtId="0" fontId="78" fillId="4" borderId="82" xfId="45" applyFont="1" applyFill="1" applyBorder="1" applyAlignment="1">
      <alignment horizontal="center" vertical="center"/>
    </xf>
    <xf numFmtId="4" fontId="79" fillId="4" borderId="82" xfId="45" applyNumberFormat="1" applyFont="1" applyFill="1" applyBorder="1" applyAlignment="1">
      <alignment horizontal="center" vertical="center" wrapText="1"/>
    </xf>
    <xf numFmtId="0" fontId="51" fillId="4" borderId="82" xfId="8" applyFont="1" applyFill="1" applyBorder="1" applyAlignment="1">
      <alignment horizontal="center" vertical="center" wrapText="1"/>
    </xf>
    <xf numFmtId="0" fontId="51" fillId="4" borderId="82" xfId="8" applyFont="1" applyFill="1" applyBorder="1" applyAlignment="1">
      <alignment horizontal="left" vertical="center" wrapText="1"/>
    </xf>
    <xf numFmtId="0" fontId="51" fillId="4" borderId="82" xfId="127" applyFont="1" applyFill="1" applyBorder="1" applyAlignment="1">
      <alignment horizontal="center" vertical="center" wrapText="1"/>
    </xf>
    <xf numFmtId="0" fontId="80" fillId="4" borderId="82" xfId="45" applyFont="1" applyFill="1" applyBorder="1" applyAlignment="1">
      <alignment horizontal="center" vertical="center"/>
    </xf>
    <xf numFmtId="4" fontId="81" fillId="4" borderId="82" xfId="127" applyNumberFormat="1" applyFont="1" applyFill="1" applyBorder="1" applyAlignment="1">
      <alignment horizontal="center" vertical="center"/>
    </xf>
    <xf numFmtId="0" fontId="72" fillId="0" borderId="0" xfId="127" applyFont="1" applyAlignment="1">
      <alignment horizontal="center" vertical="center" wrapText="1"/>
    </xf>
    <xf numFmtId="0" fontId="77" fillId="0" borderId="82" xfId="127" applyFont="1" applyBorder="1" applyAlignment="1">
      <alignment vertical="center" wrapText="1"/>
    </xf>
    <xf numFmtId="0" fontId="86" fillId="0" borderId="0" xfId="127" applyFont="1"/>
    <xf numFmtId="3" fontId="77" fillId="0" borderId="82" xfId="127" applyNumberFormat="1" applyFont="1" applyBorder="1" applyAlignment="1">
      <alignment horizontal="center" vertical="center" wrapText="1"/>
    </xf>
    <xf numFmtId="0" fontId="77" fillId="0" borderId="82" xfId="127" applyFont="1" applyBorder="1" applyAlignment="1">
      <alignment horizontal="center" vertical="center" wrapText="1"/>
    </xf>
    <xf numFmtId="4" fontId="73" fillId="0" borderId="82" xfId="127" applyNumberFormat="1" applyFont="1" applyBorder="1" applyAlignment="1">
      <alignment horizontal="center" vertical="center" wrapText="1"/>
    </xf>
    <xf numFmtId="0" fontId="72" fillId="4" borderId="82" xfId="127" applyFont="1" applyFill="1" applyBorder="1" applyAlignment="1">
      <alignment horizontal="center" vertical="center" wrapText="1"/>
    </xf>
    <xf numFmtId="0" fontId="72" fillId="4" borderId="82" xfId="127" applyFont="1" applyFill="1" applyBorder="1" applyAlignment="1">
      <alignment horizontal="left" vertical="center" wrapText="1"/>
    </xf>
    <xf numFmtId="4" fontId="72" fillId="4" borderId="82" xfId="127" applyNumberFormat="1" applyFont="1" applyFill="1" applyBorder="1" applyAlignment="1">
      <alignment horizontal="center" vertical="center" wrapText="1"/>
    </xf>
    <xf numFmtId="0" fontId="51" fillId="4" borderId="82" xfId="127" applyFont="1" applyFill="1" applyBorder="1" applyAlignment="1">
      <alignment vertical="center" wrapText="1"/>
    </xf>
    <xf numFmtId="4" fontId="51" fillId="4" borderId="82" xfId="127" applyNumberFormat="1" applyFont="1" applyFill="1" applyBorder="1" applyAlignment="1">
      <alignment horizontal="center" vertical="center" wrapText="1"/>
    </xf>
    <xf numFmtId="0" fontId="73" fillId="2" borderId="82" xfId="127" applyFont="1" applyFill="1" applyBorder="1" applyAlignment="1">
      <alignment horizontal="center" vertical="center" wrapText="1"/>
    </xf>
    <xf numFmtId="0" fontId="72" fillId="2" borderId="82" xfId="127" applyFont="1" applyFill="1" applyBorder="1" applyAlignment="1">
      <alignment vertical="center" wrapText="1"/>
    </xf>
    <xf numFmtId="4" fontId="72" fillId="2" borderId="82" xfId="127" applyNumberFormat="1" applyFont="1" applyFill="1" applyBorder="1" applyAlignment="1">
      <alignment horizontal="center" vertical="center" wrapText="1"/>
    </xf>
    <xf numFmtId="0" fontId="72" fillId="2" borderId="82" xfId="127" applyFont="1" applyFill="1" applyBorder="1" applyAlignment="1">
      <alignment horizontal="center" vertical="center"/>
    </xf>
    <xf numFmtId="0" fontId="51" fillId="2" borderId="82" xfId="8" applyFont="1" applyFill="1" applyBorder="1" applyAlignment="1">
      <alignment horizontal="left" vertical="center" wrapText="1"/>
    </xf>
    <xf numFmtId="0" fontId="51" fillId="2" borderId="82" xfId="127" applyFont="1" applyFill="1" applyBorder="1" applyAlignment="1">
      <alignment horizontal="center" vertical="center" wrapText="1"/>
    </xf>
    <xf numFmtId="0" fontId="80" fillId="2" borderId="82" xfId="45" applyFont="1" applyFill="1" applyBorder="1" applyAlignment="1">
      <alignment horizontal="center" vertical="center"/>
    </xf>
    <xf numFmtId="4" fontId="81" fillId="2" borderId="82" xfId="127" applyNumberFormat="1" applyFont="1" applyFill="1" applyBorder="1" applyAlignment="1">
      <alignment horizontal="center" vertical="center"/>
    </xf>
    <xf numFmtId="4" fontId="27" fillId="0" borderId="61" xfId="0" applyNumberFormat="1" applyFont="1" applyBorder="1" applyAlignment="1">
      <alignment horizontal="right" vertical="center"/>
    </xf>
    <xf numFmtId="0" fontId="48" fillId="0" borderId="61" xfId="0" applyFont="1" applyBorder="1" applyAlignment="1">
      <alignment horizontal="right" vertical="center"/>
    </xf>
    <xf numFmtId="4" fontId="48" fillId="0" borderId="61" xfId="0" applyNumberFormat="1" applyFont="1" applyBorder="1" applyAlignment="1">
      <alignment horizontal="right" vertical="center"/>
    </xf>
    <xf numFmtId="0" fontId="51" fillId="4" borderId="63" xfId="45" applyFont="1" applyFill="1" applyBorder="1" applyAlignment="1">
      <alignment horizontal="center" vertical="center" wrapText="1"/>
    </xf>
    <xf numFmtId="0" fontId="24" fillId="0" borderId="0" xfId="76" applyAlignment="1">
      <alignment horizontal="left" wrapText="1"/>
    </xf>
    <xf numFmtId="0" fontId="68" fillId="0" borderId="0" xfId="76" applyFont="1" applyAlignment="1">
      <alignment wrapText="1"/>
    </xf>
    <xf numFmtId="0" fontId="24" fillId="0" borderId="0" xfId="76" applyAlignment="1">
      <alignment horizontal="left" vertical="top" wrapText="1"/>
    </xf>
    <xf numFmtId="0" fontId="24" fillId="0" borderId="66" xfId="76" applyBorder="1" applyAlignment="1">
      <alignment horizontal="left" vertical="top" wrapText="1"/>
    </xf>
    <xf numFmtId="0" fontId="24" fillId="0" borderId="29" xfId="76" applyBorder="1" applyAlignment="1">
      <alignment horizontal="left" vertical="top" wrapText="1"/>
    </xf>
    <xf numFmtId="3" fontId="24" fillId="0" borderId="66" xfId="76" applyNumberFormat="1" applyBorder="1" applyAlignment="1">
      <alignment horizontal="right" vertical="top" wrapText="1"/>
    </xf>
    <xf numFmtId="49" fontId="65" fillId="0" borderId="66" xfId="76" applyNumberFormat="1" applyFont="1" applyBorder="1" applyAlignment="1">
      <alignment horizontal="right" vertical="top" wrapText="1"/>
    </xf>
    <xf numFmtId="49" fontId="65" fillId="0" borderId="29" xfId="76" applyNumberFormat="1" applyFont="1" applyBorder="1" applyAlignment="1">
      <alignment horizontal="right" vertical="top" wrapText="1"/>
    </xf>
    <xf numFmtId="0" fontId="24" fillId="0" borderId="32" xfId="76" applyBorder="1" applyAlignment="1">
      <alignment horizontal="left" vertical="top" wrapText="1"/>
    </xf>
    <xf numFmtId="49" fontId="65" fillId="0" borderId="32" xfId="76" applyNumberFormat="1" applyFont="1" applyBorder="1" applyAlignment="1">
      <alignment horizontal="right" vertical="top" wrapText="1"/>
    </xf>
    <xf numFmtId="0" fontId="24" fillId="0" borderId="1" xfId="76" applyBorder="1" applyAlignment="1">
      <alignment horizontal="left" vertical="top" wrapText="1"/>
    </xf>
    <xf numFmtId="0" fontId="24" fillId="3" borderId="1" xfId="0" applyFont="1" applyFill="1" applyBorder="1"/>
    <xf numFmtId="49" fontId="24" fillId="3" borderId="0" xfId="0" applyNumberFormat="1" applyFont="1" applyFill="1" applyAlignment="1">
      <alignment horizontal="left" vertical="top" wrapText="1"/>
    </xf>
    <xf numFmtId="0" fontId="0" fillId="3" borderId="0" xfId="0" applyFill="1" applyAlignment="1">
      <alignment wrapText="1"/>
    </xf>
    <xf numFmtId="0" fontId="88" fillId="0" borderId="74" xfId="76" applyFont="1" applyBorder="1" applyAlignment="1">
      <alignment horizontal="center" vertical="top" wrapText="1"/>
    </xf>
    <xf numFmtId="0" fontId="68" fillId="0" borderId="74" xfId="76" applyFont="1" applyBorder="1" applyAlignment="1">
      <alignment horizontal="center" vertical="top" wrapText="1"/>
    </xf>
    <xf numFmtId="49" fontId="24" fillId="0" borderId="74" xfId="76" applyNumberFormat="1" applyBorder="1" applyAlignment="1">
      <alignment horizontal="center" wrapText="1"/>
    </xf>
    <xf numFmtId="0" fontId="24" fillId="0" borderId="74" xfId="76" applyBorder="1" applyAlignment="1">
      <alignment horizontal="center" wrapText="1"/>
    </xf>
    <xf numFmtId="0" fontId="156" fillId="0" borderId="0" xfId="137" applyFont="1"/>
    <xf numFmtId="0" fontId="156" fillId="0" borderId="0" xfId="137" applyFont="1" applyAlignment="1">
      <alignment horizontal="right"/>
    </xf>
    <xf numFmtId="0" fontId="156" fillId="0" borderId="0" xfId="137" applyFont="1" applyAlignment="1">
      <alignment horizontal="left" vertical="top"/>
    </xf>
    <xf numFmtId="0" fontId="156" fillId="0" borderId="0" xfId="137" applyFont="1" applyAlignment="1">
      <alignment vertical="top"/>
    </xf>
    <xf numFmtId="0" fontId="156" fillId="0" borderId="0" xfId="137" applyFont="1" applyAlignment="1">
      <alignment wrapText="1"/>
    </xf>
    <xf numFmtId="0" fontId="156" fillId="0" borderId="0" xfId="137" applyFont="1" applyAlignment="1">
      <alignment horizontal="left"/>
    </xf>
    <xf numFmtId="0" fontId="156" fillId="0" borderId="3" xfId="137" applyFont="1" applyBorder="1"/>
    <xf numFmtId="0" fontId="156" fillId="0" borderId="3" xfId="137" applyFont="1" applyBorder="1" applyAlignment="1">
      <alignment vertical="top"/>
    </xf>
    <xf numFmtId="0" fontId="157" fillId="0" borderId="0" xfId="137" applyFont="1" applyAlignment="1">
      <alignment horizontal="center" vertical="top"/>
    </xf>
    <xf numFmtId="0" fontId="158" fillId="0" borderId="0" xfId="137" applyFont="1" applyAlignment="1">
      <alignment horizontal="center"/>
    </xf>
    <xf numFmtId="0" fontId="156" fillId="0" borderId="3" xfId="137" applyFont="1" applyBorder="1" applyAlignment="1">
      <alignment horizontal="center"/>
    </xf>
    <xf numFmtId="0" fontId="157" fillId="0" borderId="0" xfId="137" applyFont="1"/>
    <xf numFmtId="3" fontId="156" fillId="0" borderId="0" xfId="137" applyNumberFormat="1" applyFont="1" applyAlignment="1">
      <alignment horizontal="right" vertical="top"/>
    </xf>
    <xf numFmtId="0" fontId="157" fillId="0" borderId="0" xfId="137" applyFont="1" applyAlignment="1">
      <alignment horizontal="center"/>
    </xf>
    <xf numFmtId="0" fontId="159" fillId="0" borderId="0" xfId="137" applyFont="1" applyAlignment="1">
      <alignment horizontal="left"/>
    </xf>
    <xf numFmtId="0" fontId="156" fillId="0" borderId="0" xfId="137" applyFont="1" applyAlignment="1">
      <alignment horizontal="center"/>
    </xf>
    <xf numFmtId="2" fontId="156" fillId="0" borderId="3" xfId="137" applyNumberFormat="1" applyFont="1" applyBorder="1"/>
    <xf numFmtId="49" fontId="156" fillId="0" borderId="3" xfId="137" applyNumberFormat="1" applyFont="1" applyBorder="1" applyAlignment="1">
      <alignment horizontal="right"/>
    </xf>
    <xf numFmtId="0" fontId="156" fillId="0" borderId="0" xfId="137" applyFont="1" applyAlignment="1">
      <alignment vertical="center" wrapText="1"/>
    </xf>
    <xf numFmtId="2" fontId="156" fillId="0" borderId="0" xfId="137" applyNumberFormat="1" applyFont="1"/>
    <xf numFmtId="49" fontId="156" fillId="0" borderId="0" xfId="137" applyNumberFormat="1" applyFont="1" applyAlignment="1">
      <alignment horizontal="right"/>
    </xf>
    <xf numFmtId="49" fontId="156" fillId="0" borderId="35" xfId="137" applyNumberFormat="1" applyFont="1" applyBorder="1" applyAlignment="1">
      <alignment horizontal="right"/>
    </xf>
    <xf numFmtId="2" fontId="156" fillId="0" borderId="35" xfId="137" applyNumberFormat="1" applyFont="1" applyBorder="1" applyAlignment="1">
      <alignment horizontal="right"/>
    </xf>
    <xf numFmtId="0" fontId="156" fillId="0" borderId="0" xfId="137" applyFont="1" applyAlignment="1">
      <alignment vertical="center"/>
    </xf>
    <xf numFmtId="0" fontId="156" fillId="0" borderId="1" xfId="137" applyFont="1" applyBorder="1" applyAlignment="1">
      <alignment horizontal="center" vertical="center" wrapText="1"/>
    </xf>
    <xf numFmtId="0" fontId="156" fillId="0" borderId="1" xfId="137" applyFont="1" applyBorder="1" applyAlignment="1">
      <alignment horizontal="center" vertical="center"/>
    </xf>
    <xf numFmtId="0" fontId="160" fillId="0" borderId="0" xfId="137" applyFont="1" applyAlignment="1">
      <alignment wrapText="1"/>
    </xf>
    <xf numFmtId="0" fontId="159" fillId="0" borderId="0" xfId="137" applyFont="1" applyAlignment="1">
      <alignment wrapText="1"/>
    </xf>
    <xf numFmtId="0" fontId="159" fillId="0" borderId="87" xfId="137" applyFont="1" applyBorder="1" applyAlignment="1">
      <alignment horizontal="center" vertical="top" wrapText="1"/>
    </xf>
    <xf numFmtId="0" fontId="159" fillId="0" borderId="89" xfId="137" applyFont="1" applyBorder="1" applyAlignment="1">
      <alignment horizontal="left" vertical="top" wrapText="1"/>
    </xf>
    <xf numFmtId="0" fontId="159" fillId="0" borderId="89" xfId="137" applyFont="1" applyBorder="1" applyAlignment="1">
      <alignment horizontal="center" vertical="top" wrapText="1"/>
    </xf>
    <xf numFmtId="4" fontId="159" fillId="0" borderId="89" xfId="137" applyNumberFormat="1" applyFont="1" applyBorder="1" applyAlignment="1">
      <alignment horizontal="right" vertical="top" wrapText="1"/>
    </xf>
    <xf numFmtId="3" fontId="159" fillId="0" borderId="88" xfId="137" applyNumberFormat="1" applyFont="1" applyBorder="1" applyAlignment="1">
      <alignment horizontal="right" vertical="top" wrapText="1"/>
    </xf>
    <xf numFmtId="0" fontId="156" fillId="0" borderId="7" xfId="137" applyFont="1" applyBorder="1" applyAlignment="1">
      <alignment horizontal="center" vertical="top" wrapText="1"/>
    </xf>
    <xf numFmtId="0" fontId="156" fillId="0" borderId="0" xfId="137" applyFont="1" applyAlignment="1">
      <alignment horizontal="left" vertical="top" wrapText="1"/>
    </xf>
    <xf numFmtId="0" fontId="156" fillId="0" borderId="7" xfId="137" applyFont="1" applyBorder="1" applyAlignment="1">
      <alignment vertical="center" wrapText="1"/>
    </xf>
    <xf numFmtId="0" fontId="156" fillId="0" borderId="0" xfId="137" applyFont="1" applyAlignment="1">
      <alignment horizontal="right" vertical="top" wrapText="1"/>
    </xf>
    <xf numFmtId="0" fontId="156" fillId="0" borderId="7" xfId="137" applyFont="1" applyBorder="1" applyAlignment="1">
      <alignment horizontal="center" vertical="center" wrapText="1"/>
    </xf>
    <xf numFmtId="0" fontId="156" fillId="0" borderId="0" xfId="137" applyFont="1" applyAlignment="1">
      <alignment horizontal="center" vertical="top" wrapText="1"/>
    </xf>
    <xf numFmtId="4" fontId="156" fillId="0" borderId="0" xfId="137" applyNumberFormat="1" applyFont="1" applyAlignment="1">
      <alignment horizontal="right" vertical="top" wrapText="1"/>
    </xf>
    <xf numFmtId="3" fontId="156" fillId="0" borderId="8" xfId="137" applyNumberFormat="1" applyFont="1" applyBorder="1" applyAlignment="1">
      <alignment horizontal="right" vertical="top" wrapText="1"/>
    </xf>
    <xf numFmtId="0" fontId="156" fillId="0" borderId="89" xfId="137" applyFont="1" applyBorder="1" applyAlignment="1">
      <alignment horizontal="center" vertical="top" wrapText="1"/>
    </xf>
    <xf numFmtId="4" fontId="156" fillId="0" borderId="89" xfId="137" applyNumberFormat="1" applyFont="1" applyBorder="1" applyAlignment="1">
      <alignment horizontal="right" vertical="top" wrapText="1"/>
    </xf>
    <xf numFmtId="3" fontId="156" fillId="0" borderId="88" xfId="137" applyNumberFormat="1" applyFont="1" applyBorder="1" applyAlignment="1">
      <alignment horizontal="right" vertical="top" wrapText="1"/>
    </xf>
    <xf numFmtId="0" fontId="159" fillId="0" borderId="7" xfId="137" applyFont="1" applyBorder="1" applyAlignment="1">
      <alignment horizontal="center" vertical="top" wrapText="1"/>
    </xf>
    <xf numFmtId="0" fontId="159" fillId="0" borderId="0" xfId="137" applyFont="1" applyAlignment="1">
      <alignment horizontal="left" vertical="top" wrapText="1"/>
    </xf>
    <xf numFmtId="0" fontId="156" fillId="0" borderId="0" xfId="137" applyFont="1" applyAlignment="1">
      <alignment vertical="top" wrapText="1"/>
    </xf>
    <xf numFmtId="0" fontId="159" fillId="0" borderId="0" xfId="137" applyFont="1" applyAlignment="1">
      <alignment horizontal="center" vertical="top" wrapText="1"/>
    </xf>
    <xf numFmtId="4" fontId="159" fillId="0" borderId="0" xfId="137" applyNumberFormat="1" applyFont="1" applyAlignment="1">
      <alignment horizontal="right" vertical="top" wrapText="1"/>
    </xf>
    <xf numFmtId="2" fontId="159" fillId="0" borderId="0" xfId="137" applyNumberFormat="1" applyFont="1" applyAlignment="1">
      <alignment horizontal="center" vertical="top" wrapText="1"/>
    </xf>
    <xf numFmtId="3" fontId="159" fillId="0" borderId="8" xfId="137" applyNumberFormat="1" applyFont="1" applyBorder="1" applyAlignment="1">
      <alignment horizontal="right" vertical="top" wrapText="1"/>
    </xf>
    <xf numFmtId="0" fontId="159" fillId="0" borderId="0" xfId="137" applyFont="1" applyAlignment="1">
      <alignment horizontal="right" vertical="top" wrapText="1"/>
    </xf>
    <xf numFmtId="0" fontId="156" fillId="0" borderId="87" xfId="137" applyFont="1" applyBorder="1"/>
    <xf numFmtId="0" fontId="159" fillId="0" borderId="89" xfId="137" applyFont="1" applyBorder="1" applyAlignment="1">
      <alignment horizontal="right" vertical="top" wrapText="1"/>
    </xf>
    <xf numFmtId="4" fontId="159" fillId="0" borderId="89" xfId="137" applyNumberFormat="1" applyFont="1" applyBorder="1" applyAlignment="1">
      <alignment horizontal="right" vertical="top"/>
    </xf>
    <xf numFmtId="2" fontId="159" fillId="0" borderId="89" xfId="137" applyNumberFormat="1" applyFont="1" applyBorder="1" applyAlignment="1">
      <alignment horizontal="center" vertical="top"/>
    </xf>
    <xf numFmtId="3" fontId="159" fillId="0" borderId="88" xfId="137" applyNumberFormat="1" applyFont="1" applyBorder="1" applyAlignment="1">
      <alignment horizontal="right" vertical="top"/>
    </xf>
    <xf numFmtId="0" fontId="156" fillId="0" borderId="7" xfId="137" applyFont="1" applyBorder="1"/>
    <xf numFmtId="4" fontId="156" fillId="0" borderId="0" xfId="137" applyNumberFormat="1" applyFont="1" applyAlignment="1">
      <alignment horizontal="right" vertical="top"/>
    </xf>
    <xf numFmtId="2" fontId="156" fillId="0" borderId="0" xfId="137" applyNumberFormat="1" applyFont="1" applyAlignment="1">
      <alignment horizontal="center" vertical="top"/>
    </xf>
    <xf numFmtId="3" fontId="156" fillId="0" borderId="8" xfId="137" applyNumberFormat="1" applyFont="1" applyBorder="1" applyAlignment="1">
      <alignment horizontal="right" vertical="top"/>
    </xf>
    <xf numFmtId="4" fontId="159" fillId="0" borderId="0" xfId="137" applyNumberFormat="1" applyFont="1" applyAlignment="1">
      <alignment horizontal="right" vertical="top"/>
    </xf>
    <xf numFmtId="2" fontId="159" fillId="0" borderId="0" xfId="137" applyNumberFormat="1" applyFont="1" applyAlignment="1">
      <alignment horizontal="center" vertical="top"/>
    </xf>
    <xf numFmtId="3" fontId="159" fillId="0" borderId="8" xfId="137" applyNumberFormat="1" applyFont="1" applyBorder="1" applyAlignment="1">
      <alignment horizontal="right" vertical="top"/>
    </xf>
    <xf numFmtId="0" fontId="157" fillId="0" borderId="0" xfId="137" applyFont="1" applyAlignment="1">
      <alignment horizontal="right" vertical="top" wrapText="1"/>
    </xf>
    <xf numFmtId="0" fontId="157" fillId="0" borderId="0" xfId="137" applyFont="1" applyAlignment="1">
      <alignment horizontal="center" vertical="top" wrapText="1"/>
    </xf>
    <xf numFmtId="0" fontId="156" fillId="0" borderId="8" xfId="137" applyFont="1" applyBorder="1" applyAlignment="1">
      <alignment horizontal="right" vertical="top" wrapText="1"/>
    </xf>
    <xf numFmtId="0" fontId="157" fillId="0" borderId="0" xfId="137" applyFont="1" applyAlignment="1">
      <alignment wrapText="1"/>
    </xf>
    <xf numFmtId="4" fontId="156" fillId="0" borderId="0" xfId="137" applyNumberFormat="1" applyFont="1" applyAlignment="1">
      <alignment vertical="top"/>
    </xf>
    <xf numFmtId="2" fontId="156" fillId="0" borderId="0" xfId="137" applyNumberFormat="1" applyFont="1" applyAlignment="1">
      <alignment vertical="top"/>
    </xf>
    <xf numFmtId="3" fontId="156" fillId="0" borderId="0" xfId="137" applyNumberFormat="1" applyFont="1" applyAlignment="1">
      <alignment vertical="top"/>
    </xf>
    <xf numFmtId="0" fontId="159" fillId="0" borderId="89" xfId="137" applyFont="1" applyBorder="1" applyAlignment="1">
      <alignment horizontal="center" vertical="top"/>
    </xf>
    <xf numFmtId="0" fontId="156" fillId="0" borderId="0" xfId="137" applyFont="1" applyAlignment="1">
      <alignment horizontal="center" vertical="top"/>
    </xf>
    <xf numFmtId="0" fontId="159" fillId="0" borderId="0" xfId="137" applyFont="1" applyAlignment="1">
      <alignment horizontal="center" vertical="top"/>
    </xf>
    <xf numFmtId="4" fontId="159" fillId="0" borderId="8" xfId="137" applyNumberFormat="1" applyFont="1" applyBorder="1" applyAlignment="1">
      <alignment horizontal="right" vertical="top"/>
    </xf>
    <xf numFmtId="3" fontId="159" fillId="0" borderId="0" xfId="137" applyNumberFormat="1" applyFont="1" applyAlignment="1">
      <alignment horizontal="right" vertical="top"/>
    </xf>
    <xf numFmtId="0" fontId="156" fillId="0" borderId="89" xfId="137" applyFont="1" applyBorder="1"/>
    <xf numFmtId="0" fontId="156" fillId="0" borderId="0" xfId="137" applyFont="1" applyAlignment="1">
      <alignment horizontal="right" vertical="top"/>
    </xf>
    <xf numFmtId="0" fontId="159" fillId="0" borderId="0" xfId="137" applyFont="1" applyAlignment="1">
      <alignment vertical="top" wrapText="1"/>
    </xf>
    <xf numFmtId="4" fontId="0" fillId="3" borderId="1" xfId="0" applyNumberFormat="1" applyFill="1" applyBorder="1"/>
    <xf numFmtId="4" fontId="0" fillId="3" borderId="1" xfId="0" applyNumberFormat="1" applyFill="1" applyBorder="1" applyAlignment="1">
      <alignment horizontal="right" vertical="top"/>
    </xf>
    <xf numFmtId="0" fontId="24" fillId="0" borderId="90" xfId="76" applyBorder="1" applyAlignment="1">
      <alignment horizontal="center" vertical="center" wrapText="1"/>
    </xf>
    <xf numFmtId="0" fontId="24" fillId="0" borderId="91" xfId="76" applyBorder="1" applyAlignment="1">
      <alignment horizontal="center" vertical="center" wrapText="1"/>
    </xf>
    <xf numFmtId="4" fontId="24" fillId="0" borderId="91" xfId="76" applyNumberFormat="1" applyBorder="1" applyAlignment="1">
      <alignment horizontal="center" vertical="center" wrapText="1"/>
    </xf>
    <xf numFmtId="4" fontId="24" fillId="3" borderId="92" xfId="76" applyNumberFormat="1" applyFill="1" applyBorder="1" applyAlignment="1">
      <alignment horizontal="center" vertical="center" wrapText="1"/>
    </xf>
    <xf numFmtId="0" fontId="24" fillId="3" borderId="91" xfId="76" applyFill="1" applyBorder="1" applyAlignment="1">
      <alignment horizontal="center" vertical="center" wrapText="1"/>
    </xf>
    <xf numFmtId="0" fontId="24" fillId="3" borderId="90" xfId="76" applyFill="1" applyBorder="1" applyAlignment="1">
      <alignment horizontal="center" vertical="center" wrapText="1"/>
    </xf>
    <xf numFmtId="0" fontId="24" fillId="3" borderId="93" xfId="76" applyFill="1" applyBorder="1" applyAlignment="1">
      <alignment horizontal="center" vertical="center" wrapText="1"/>
    </xf>
    <xf numFmtId="4" fontId="116" fillId="3" borderId="92" xfId="76" applyNumberFormat="1" applyFont="1" applyFill="1" applyBorder="1" applyAlignment="1">
      <alignment horizontal="center" vertical="center" wrapText="1"/>
    </xf>
    <xf numFmtId="4" fontId="24" fillId="0" borderId="92" xfId="76" applyNumberFormat="1" applyBorder="1" applyAlignment="1">
      <alignment horizontal="center" vertical="center" wrapText="1"/>
    </xf>
    <xf numFmtId="4" fontId="92" fillId="0" borderId="92" xfId="76" applyNumberFormat="1" applyFont="1" applyBorder="1" applyAlignment="1">
      <alignment horizontal="center" vertical="center" wrapText="1"/>
    </xf>
    <xf numFmtId="49" fontId="24" fillId="0" borderId="90" xfId="76" applyNumberFormat="1" applyBorder="1" applyAlignment="1">
      <alignment horizontal="center" vertical="center" wrapText="1"/>
    </xf>
    <xf numFmtId="0" fontId="64" fillId="0" borderId="90" xfId="76" applyFont="1" applyBorder="1" applyAlignment="1">
      <alignment horizontal="center" vertical="center" wrapText="1"/>
    </xf>
    <xf numFmtId="4" fontId="24" fillId="3" borderId="91" xfId="76" applyNumberFormat="1" applyFill="1" applyBorder="1" applyAlignment="1">
      <alignment horizontal="center" vertical="center" wrapText="1"/>
    </xf>
    <xf numFmtId="2" fontId="24" fillId="0" borderId="90" xfId="76" applyNumberFormat="1" applyBorder="1" applyAlignment="1">
      <alignment horizontal="center" vertical="center" wrapText="1"/>
    </xf>
    <xf numFmtId="49" fontId="24" fillId="3" borderId="91" xfId="76" applyNumberFormat="1" applyFill="1" applyBorder="1" applyAlignment="1">
      <alignment horizontal="center" vertical="center" wrapText="1"/>
    </xf>
    <xf numFmtId="4" fontId="24" fillId="0" borderId="99" xfId="76" applyNumberFormat="1" applyBorder="1" applyAlignment="1">
      <alignment horizontal="center" vertical="center" wrapText="1"/>
    </xf>
    <xf numFmtId="4" fontId="24" fillId="0" borderId="98" xfId="76" applyNumberFormat="1" applyBorder="1" applyAlignment="1">
      <alignment horizontal="center" vertical="center" wrapText="1"/>
    </xf>
    <xf numFmtId="4" fontId="116" fillId="0" borderId="92" xfId="76" applyNumberFormat="1" applyFont="1" applyBorder="1" applyAlignment="1">
      <alignment horizontal="center" vertical="center" wrapText="1"/>
    </xf>
    <xf numFmtId="2" fontId="24" fillId="3" borderId="92" xfId="76" applyNumberFormat="1" applyFill="1" applyBorder="1" applyAlignment="1">
      <alignment horizontal="center" vertical="center" wrapText="1"/>
    </xf>
    <xf numFmtId="2" fontId="24" fillId="0" borderId="91" xfId="76" applyNumberFormat="1" applyBorder="1" applyAlignment="1">
      <alignment horizontal="center" vertical="center" wrapText="1"/>
    </xf>
    <xf numFmtId="2" fontId="24" fillId="0" borderId="92" xfId="76" applyNumberFormat="1" applyBorder="1" applyAlignment="1">
      <alignment horizontal="center" vertical="center" wrapText="1"/>
    </xf>
    <xf numFmtId="9" fontId="24" fillId="0" borderId="91" xfId="76" applyNumberFormat="1" applyBorder="1" applyAlignment="1">
      <alignment horizontal="center" vertical="center" wrapText="1"/>
    </xf>
    <xf numFmtId="0" fontId="24" fillId="0" borderId="92" xfId="76" applyBorder="1" applyAlignment="1">
      <alignment horizontal="center" vertical="center" wrapText="1"/>
    </xf>
    <xf numFmtId="2" fontId="65" fillId="0" borderId="92" xfId="76" applyNumberFormat="1" applyFont="1" applyBorder="1" applyAlignment="1">
      <alignment horizontal="center" vertical="center" wrapText="1"/>
    </xf>
    <xf numFmtId="2" fontId="116" fillId="0" borderId="102" xfId="76" applyNumberFormat="1" applyFont="1" applyBorder="1" applyAlignment="1">
      <alignment horizontal="center" vertical="center" wrapText="1"/>
    </xf>
    <xf numFmtId="0" fontId="24" fillId="0" borderId="0" xfId="62" applyAlignment="1">
      <alignment horizontal="left" vertical="top" wrapText="1"/>
    </xf>
    <xf numFmtId="0" fontId="24" fillId="0" borderId="0" xfId="62" applyAlignment="1">
      <alignment vertical="top"/>
    </xf>
    <xf numFmtId="0" fontId="24" fillId="0" borderId="0" xfId="62" applyAlignment="1">
      <alignment vertical="top" wrapText="1"/>
    </xf>
    <xf numFmtId="0" fontId="24" fillId="0" borderId="1" xfId="62" applyBorder="1" applyAlignment="1">
      <alignment horizontal="left" vertical="top" wrapText="1"/>
    </xf>
    <xf numFmtId="49" fontId="75" fillId="3" borderId="0" xfId="130" applyNumberFormat="1" applyFont="1" applyFill="1" applyAlignment="1">
      <alignment horizontal="left" vertical="center" wrapText="1"/>
    </xf>
    <xf numFmtId="0" fontId="28" fillId="0" borderId="0" xfId="131"/>
    <xf numFmtId="0" fontId="24" fillId="0" borderId="0" xfId="76" applyAlignment="1">
      <alignment horizontal="center" vertical="center" wrapText="1"/>
    </xf>
    <xf numFmtId="0" fontId="24" fillId="0" borderId="93" xfId="76" applyBorder="1" applyAlignment="1">
      <alignment horizontal="center" vertical="center" wrapText="1"/>
    </xf>
    <xf numFmtId="0" fontId="151" fillId="0" borderId="0" xfId="76" applyFont="1" applyAlignment="1">
      <alignment horizontal="center" vertical="center" wrapText="1"/>
    </xf>
    <xf numFmtId="49" fontId="75" fillId="2" borderId="103" xfId="128" applyNumberFormat="1" applyFont="1" applyFill="1" applyBorder="1" applyAlignment="1">
      <alignment horizontal="center" vertical="center" wrapText="1"/>
    </xf>
    <xf numFmtId="0" fontId="75" fillId="2" borderId="103" xfId="128" applyFont="1" applyFill="1" applyBorder="1" applyAlignment="1">
      <alignment horizontal="center" vertical="center" wrapText="1"/>
    </xf>
    <xf numFmtId="49" fontId="75" fillId="2" borderId="103" xfId="128" applyNumberFormat="1" applyFont="1" applyFill="1" applyBorder="1" applyAlignment="1">
      <alignment wrapText="1"/>
    </xf>
    <xf numFmtId="49" fontId="75" fillId="2" borderId="103" xfId="128" applyNumberFormat="1" applyFont="1" applyFill="1" applyBorder="1" applyAlignment="1">
      <alignment horizontal="center" vertical="top" wrapText="1"/>
    </xf>
    <xf numFmtId="49" fontId="75" fillId="2" borderId="103" xfId="128" applyNumberFormat="1" applyFont="1" applyFill="1" applyBorder="1" applyAlignment="1">
      <alignment horizontal="center" vertical="top"/>
    </xf>
    <xf numFmtId="0" fontId="75" fillId="2" borderId="103" xfId="128" applyFont="1" applyFill="1" applyBorder="1" applyAlignment="1">
      <alignment horizontal="center" vertical="top"/>
    </xf>
    <xf numFmtId="49" fontId="74" fillId="3" borderId="103" xfId="128" applyNumberFormat="1" applyFont="1" applyFill="1" applyBorder="1" applyAlignment="1">
      <alignment horizontal="center" vertical="top" wrapText="1"/>
    </xf>
    <xf numFmtId="49" fontId="74" fillId="3" borderId="103" xfId="128" applyNumberFormat="1" applyFont="1" applyFill="1" applyBorder="1" applyAlignment="1">
      <alignment vertical="top" wrapText="1"/>
    </xf>
    <xf numFmtId="4" fontId="74" fillId="3" borderId="103" xfId="128" applyNumberFormat="1" applyFont="1" applyFill="1" applyBorder="1" applyAlignment="1">
      <alignment horizontal="center" vertical="center" wrapText="1"/>
    </xf>
    <xf numFmtId="49" fontId="75" fillId="3" borderId="103" xfId="128" applyNumberFormat="1" applyFont="1" applyFill="1" applyBorder="1" applyAlignment="1">
      <alignment horizontal="center" vertical="center" wrapText="1"/>
    </xf>
    <xf numFmtId="49" fontId="75" fillId="3" borderId="103" xfId="128" applyNumberFormat="1" applyFont="1" applyFill="1" applyBorder="1" applyAlignment="1">
      <alignment horizontal="left" vertical="center" wrapText="1"/>
    </xf>
    <xf numFmtId="4" fontId="75" fillId="3" borderId="103" xfId="128" applyNumberFormat="1" applyFont="1" applyFill="1" applyBorder="1" applyAlignment="1">
      <alignment horizontal="center" vertical="center" wrapText="1"/>
    </xf>
    <xf numFmtId="4" fontId="75" fillId="3" borderId="103" xfId="128" applyNumberFormat="1" applyFont="1" applyFill="1" applyBorder="1" applyAlignment="1">
      <alignment horizontal="center" vertical="center"/>
    </xf>
    <xf numFmtId="49" fontId="74" fillId="3" borderId="103" xfId="128" applyNumberFormat="1" applyFont="1" applyFill="1" applyBorder="1" applyAlignment="1">
      <alignment horizontal="left" vertical="center" wrapText="1"/>
    </xf>
    <xf numFmtId="49" fontId="74" fillId="3" borderId="103" xfId="128" applyNumberFormat="1" applyFont="1" applyFill="1" applyBorder="1" applyAlignment="1">
      <alignment horizontal="right" vertical="center" wrapText="1"/>
    </xf>
    <xf numFmtId="49" fontId="74" fillId="3" borderId="103" xfId="128" applyNumberFormat="1" applyFont="1" applyFill="1" applyBorder="1" applyAlignment="1">
      <alignment horizontal="center" vertical="center" wrapText="1"/>
    </xf>
    <xf numFmtId="4" fontId="74" fillId="3" borderId="103" xfId="128" applyNumberFormat="1" applyFont="1" applyFill="1" applyBorder="1" applyAlignment="1">
      <alignment horizontal="center" vertical="center"/>
    </xf>
    <xf numFmtId="3" fontId="34" fillId="0" borderId="103" xfId="128" applyNumberFormat="1" applyBorder="1" applyAlignment="1">
      <alignment horizontal="right"/>
    </xf>
    <xf numFmtId="4" fontId="99" fillId="0" borderId="103" xfId="128" applyNumberFormat="1" applyFont="1" applyBorder="1" applyAlignment="1">
      <alignment horizontal="center"/>
    </xf>
    <xf numFmtId="4" fontId="34" fillId="0" borderId="103" xfId="128" applyNumberFormat="1" applyBorder="1" applyAlignment="1">
      <alignment horizontal="center"/>
    </xf>
    <xf numFmtId="49" fontId="74" fillId="0" borderId="103" xfId="128" applyNumberFormat="1" applyFont="1" applyBorder="1" applyAlignment="1">
      <alignment horizontal="center" vertical="top" wrapText="1"/>
    </xf>
    <xf numFmtId="49" fontId="74" fillId="0" borderId="103" xfId="128" applyNumberFormat="1" applyFont="1" applyBorder="1" applyAlignment="1">
      <alignment vertical="top" wrapText="1"/>
    </xf>
    <xf numFmtId="49" fontId="74" fillId="0" borderId="103" xfId="128" applyNumberFormat="1" applyFont="1" applyBorder="1" applyAlignment="1">
      <alignment horizontal="center" vertical="center" wrapText="1"/>
    </xf>
    <xf numFmtId="4" fontId="74" fillId="0" borderId="103" xfId="128" applyNumberFormat="1" applyFont="1" applyBorder="1" applyAlignment="1">
      <alignment horizontal="center" vertical="center" wrapText="1"/>
    </xf>
    <xf numFmtId="4" fontId="99" fillId="5" borderId="103" xfId="128" applyNumberFormat="1" applyFont="1" applyFill="1" applyBorder="1" applyAlignment="1">
      <alignment horizontal="center" vertical="center" wrapText="1"/>
    </xf>
    <xf numFmtId="49" fontId="75" fillId="0" borderId="103" xfId="128" applyNumberFormat="1" applyFont="1" applyBorder="1" applyAlignment="1">
      <alignment horizontal="center" vertical="top" wrapText="1"/>
    </xf>
    <xf numFmtId="49" fontId="75" fillId="0" borderId="103" xfId="128" applyNumberFormat="1" applyFont="1" applyBorder="1" applyAlignment="1">
      <alignment horizontal="left" vertical="top" wrapText="1"/>
    </xf>
    <xf numFmtId="49" fontId="75" fillId="0" borderId="103" xfId="128" applyNumberFormat="1" applyFont="1" applyBorder="1" applyAlignment="1">
      <alignment horizontal="center" vertical="center" wrapText="1"/>
    </xf>
    <xf numFmtId="4" fontId="75" fillId="0" borderId="103" xfId="128" applyNumberFormat="1" applyFont="1" applyBorder="1" applyAlignment="1">
      <alignment horizontal="center" vertical="center" wrapText="1"/>
    </xf>
    <xf numFmtId="4" fontId="24" fillId="0" borderId="103" xfId="142" applyNumberFormat="1" applyFont="1" applyBorder="1" applyAlignment="1">
      <alignment horizontal="center" vertical="top" wrapText="1"/>
    </xf>
    <xf numFmtId="4" fontId="34" fillId="0" borderId="103" xfId="128" applyNumberFormat="1" applyBorder="1" applyAlignment="1">
      <alignment horizontal="right"/>
    </xf>
    <xf numFmtId="49" fontId="74" fillId="0" borderId="103" xfId="128" applyNumberFormat="1" applyFont="1" applyBorder="1" applyAlignment="1">
      <alignment horizontal="right" vertical="center" wrapText="1"/>
    </xf>
    <xf numFmtId="49" fontId="100" fillId="0" borderId="103" xfId="128" applyNumberFormat="1" applyFont="1" applyBorder="1" applyAlignment="1">
      <alignment horizontal="center" vertical="center" wrapText="1"/>
    </xf>
    <xf numFmtId="4" fontId="74" fillId="0" borderId="103" xfId="128" applyNumberFormat="1" applyFont="1" applyBorder="1" applyAlignment="1">
      <alignment horizontal="center" vertical="center"/>
    </xf>
    <xf numFmtId="4" fontId="75" fillId="0" borderId="103" xfId="128" applyNumberFormat="1" applyFont="1" applyBorder="1" applyAlignment="1">
      <alignment horizontal="center" vertical="center"/>
    </xf>
    <xf numFmtId="4" fontId="24" fillId="0" borderId="103" xfId="142" applyNumberFormat="1" applyFont="1" applyBorder="1" applyAlignment="1">
      <alignment horizontal="center" vertical="center"/>
    </xf>
    <xf numFmtId="49" fontId="75" fillId="3" borderId="103" xfId="128" applyNumberFormat="1" applyFont="1" applyFill="1" applyBorder="1" applyAlignment="1">
      <alignment horizontal="left" vertical="top" wrapText="1"/>
    </xf>
    <xf numFmtId="49" fontId="100" fillId="3" borderId="103" xfId="128" applyNumberFormat="1" applyFont="1" applyFill="1" applyBorder="1" applyAlignment="1">
      <alignment horizontal="center" vertical="center" wrapText="1"/>
    </xf>
    <xf numFmtId="49" fontId="74" fillId="2" borderId="103" xfId="128" applyNumberFormat="1" applyFont="1" applyFill="1" applyBorder="1" applyAlignment="1">
      <alignment horizontal="right" vertical="center" wrapText="1"/>
    </xf>
    <xf numFmtId="4" fontId="75" fillId="2" borderId="103" xfId="128" applyNumberFormat="1" applyFont="1" applyFill="1" applyBorder="1" applyAlignment="1">
      <alignment horizontal="center" vertical="center" wrapText="1"/>
    </xf>
    <xf numFmtId="4" fontId="74" fillId="2" borderId="103" xfId="128" applyNumberFormat="1" applyFont="1" applyFill="1" applyBorder="1" applyAlignment="1">
      <alignment horizontal="center" vertical="center" wrapText="1"/>
    </xf>
    <xf numFmtId="4" fontId="74" fillId="2" borderId="103" xfId="128" applyNumberFormat="1" applyFont="1" applyFill="1" applyBorder="1" applyAlignment="1">
      <alignment horizontal="center" vertical="center"/>
    </xf>
    <xf numFmtId="49" fontId="75" fillId="2" borderId="103" xfId="128" applyNumberFormat="1" applyFont="1" applyFill="1" applyBorder="1" applyAlignment="1">
      <alignment horizontal="left" vertical="top" wrapText="1"/>
    </xf>
    <xf numFmtId="49" fontId="75" fillId="3" borderId="103" xfId="128" applyNumberFormat="1" applyFont="1" applyFill="1" applyBorder="1" applyAlignment="1">
      <alignment horizontal="center" vertical="top" wrapText="1"/>
    </xf>
    <xf numFmtId="4" fontId="25" fillId="3" borderId="103" xfId="142" applyNumberFormat="1" applyFont="1" applyFill="1" applyBorder="1" applyAlignment="1">
      <alignment horizontal="center" vertical="center"/>
    </xf>
    <xf numFmtId="4" fontId="101" fillId="3" borderId="0" xfId="142" applyNumberFormat="1" applyFont="1" applyFill="1" applyAlignment="1">
      <alignment horizontal="center" vertical="center"/>
    </xf>
    <xf numFmtId="49" fontId="75" fillId="2" borderId="103" xfId="131" applyNumberFormat="1" applyFont="1" applyFill="1" applyBorder="1" applyAlignment="1">
      <alignment horizontal="center" vertical="center" wrapText="1"/>
    </xf>
    <xf numFmtId="0" fontId="75" fillId="2" borderId="103" xfId="131" applyFont="1" applyFill="1" applyBorder="1" applyAlignment="1">
      <alignment horizontal="center" vertical="center" wrapText="1"/>
    </xf>
    <xf numFmtId="49" fontId="75" fillId="2" borderId="103" xfId="131" applyNumberFormat="1" applyFont="1" applyFill="1" applyBorder="1" applyAlignment="1">
      <alignment wrapText="1"/>
    </xf>
    <xf numFmtId="49" fontId="75" fillId="2" borderId="103" xfId="131" applyNumberFormat="1" applyFont="1" applyFill="1" applyBorder="1" applyAlignment="1">
      <alignment horizontal="center" vertical="top" wrapText="1"/>
    </xf>
    <xf numFmtId="49" fontId="75" fillId="2" borderId="103" xfId="131" applyNumberFormat="1" applyFont="1" applyFill="1" applyBorder="1" applyAlignment="1">
      <alignment horizontal="center" vertical="top"/>
    </xf>
    <xf numFmtId="0" fontId="75" fillId="2" borderId="103" xfId="131" applyFont="1" applyFill="1" applyBorder="1" applyAlignment="1">
      <alignment horizontal="center" vertical="top"/>
    </xf>
    <xf numFmtId="49" fontId="74" fillId="3" borderId="103" xfId="131" applyNumberFormat="1" applyFont="1" applyFill="1" applyBorder="1" applyAlignment="1">
      <alignment horizontal="center" vertical="top" wrapText="1"/>
    </xf>
    <xf numFmtId="49" fontId="74" fillId="3" borderId="103" xfId="131" applyNumberFormat="1" applyFont="1" applyFill="1" applyBorder="1" applyAlignment="1">
      <alignment vertical="top" wrapText="1"/>
    </xf>
    <xf numFmtId="4" fontId="74" fillId="3" borderId="103" xfId="131" applyNumberFormat="1" applyFont="1" applyFill="1" applyBorder="1" applyAlignment="1">
      <alignment horizontal="center" vertical="center" wrapText="1"/>
    </xf>
    <xf numFmtId="49" fontId="75" fillId="3" borderId="103" xfId="131" applyNumberFormat="1" applyFont="1" applyFill="1" applyBorder="1" applyAlignment="1">
      <alignment horizontal="center" vertical="center" wrapText="1"/>
    </xf>
    <xf numFmtId="49" fontId="75" fillId="3" borderId="103" xfId="131" applyNumberFormat="1" applyFont="1" applyFill="1" applyBorder="1" applyAlignment="1">
      <alignment horizontal="left" vertical="center" wrapText="1"/>
    </xf>
    <xf numFmtId="4" fontId="75" fillId="3" borderId="103" xfId="131" applyNumberFormat="1" applyFont="1" applyFill="1" applyBorder="1" applyAlignment="1">
      <alignment horizontal="center" vertical="center" wrapText="1"/>
    </xf>
    <xf numFmtId="4" fontId="75" fillId="3" borderId="103" xfId="131" applyNumberFormat="1" applyFont="1" applyFill="1" applyBorder="1" applyAlignment="1">
      <alignment horizontal="center" vertical="center"/>
    </xf>
    <xf numFmtId="4" fontId="28" fillId="0" borderId="103" xfId="131" applyNumberFormat="1" applyBorder="1" applyAlignment="1">
      <alignment horizontal="center" vertical="center"/>
    </xf>
    <xf numFmtId="49" fontId="74" fillId="3" borderId="103" xfId="131" applyNumberFormat="1" applyFont="1" applyFill="1" applyBorder="1" applyAlignment="1">
      <alignment horizontal="left" vertical="center" wrapText="1"/>
    </xf>
    <xf numFmtId="49" fontId="74" fillId="3" borderId="103" xfId="131" applyNumberFormat="1" applyFont="1" applyFill="1" applyBorder="1" applyAlignment="1">
      <alignment horizontal="right" vertical="center" wrapText="1"/>
    </xf>
    <xf numFmtId="49" fontId="74" fillId="3" borderId="103" xfId="131" applyNumberFormat="1" applyFont="1" applyFill="1" applyBorder="1" applyAlignment="1">
      <alignment horizontal="center" vertical="center" wrapText="1"/>
    </xf>
    <xf numFmtId="4" fontId="74" fillId="3" borderId="103" xfId="131" applyNumberFormat="1" applyFont="1" applyFill="1" applyBorder="1" applyAlignment="1">
      <alignment horizontal="center" vertical="center"/>
    </xf>
    <xf numFmtId="0" fontId="24" fillId="0" borderId="106" xfId="76" applyBorder="1" applyAlignment="1">
      <alignment horizontal="left" vertical="center"/>
    </xf>
    <xf numFmtId="0" fontId="24" fillId="0" borderId="104" xfId="76" applyBorder="1" applyAlignment="1">
      <alignment horizontal="left" vertical="center"/>
    </xf>
    <xf numFmtId="0" fontId="24" fillId="0" borderId="105" xfId="76" applyBorder="1" applyAlignment="1">
      <alignment horizontal="left" vertical="center"/>
    </xf>
    <xf numFmtId="49" fontId="24" fillId="0" borderId="104" xfId="76" applyNumberFormat="1" applyBorder="1"/>
    <xf numFmtId="0" fontId="24" fillId="0" borderId="103" xfId="144" applyFont="1" applyBorder="1" applyAlignment="1">
      <alignment horizontal="center" vertical="center" wrapText="1"/>
    </xf>
    <xf numFmtId="0" fontId="24" fillId="0" borderId="1" xfId="144" applyFont="1" applyBorder="1" applyAlignment="1">
      <alignment horizontal="center" vertical="center" wrapText="1"/>
    </xf>
    <xf numFmtId="0" fontId="152" fillId="7" borderId="0" xfId="76" applyFont="1" applyFill="1" applyAlignment="1">
      <alignment wrapText="1"/>
    </xf>
    <xf numFmtId="0" fontId="24" fillId="0" borderId="29" xfId="144" applyFont="1" applyBorder="1" applyAlignment="1">
      <alignment horizontal="center" vertical="center" wrapText="1"/>
    </xf>
    <xf numFmtId="0" fontId="4" fillId="0" borderId="1" xfId="145" applyBorder="1" applyAlignment="1">
      <alignment horizontal="center" vertical="center" wrapText="1"/>
    </xf>
    <xf numFmtId="0" fontId="153" fillId="0" borderId="1" xfId="145" applyFont="1" applyBorder="1" applyAlignment="1">
      <alignment horizontal="center" vertical="center" wrapText="1"/>
    </xf>
    <xf numFmtId="0" fontId="24" fillId="0" borderId="62" xfId="76" applyBorder="1" applyAlignment="1">
      <alignment horizontal="center" vertical="center" wrapText="1"/>
    </xf>
    <xf numFmtId="0" fontId="24" fillId="8" borderId="62" xfId="76" applyFill="1" applyBorder="1" applyAlignment="1">
      <alignment horizontal="center" vertical="center" wrapText="1"/>
    </xf>
    <xf numFmtId="0" fontId="152" fillId="0" borderId="62" xfId="76" applyFont="1" applyBorder="1" applyAlignment="1">
      <alignment horizontal="center" vertical="center" wrapText="1"/>
    </xf>
    <xf numFmtId="0" fontId="31" fillId="0" borderId="1" xfId="144" applyFont="1" applyBorder="1" applyAlignment="1">
      <alignment horizontal="center" vertical="center" wrapText="1"/>
    </xf>
    <xf numFmtId="0" fontId="61" fillId="0" borderId="1" xfId="144" applyFont="1" applyBorder="1" applyAlignment="1">
      <alignment horizontal="center" vertical="center" wrapText="1"/>
    </xf>
    <xf numFmtId="0" fontId="154" fillId="0" borderId="62" xfId="144" applyFont="1" applyBorder="1" applyAlignment="1">
      <alignment horizontal="left" vertical="center" wrapText="1"/>
    </xf>
    <xf numFmtId="0" fontId="154" fillId="0" borderId="62" xfId="144" applyFont="1" applyBorder="1" applyAlignment="1">
      <alignment horizontal="center" vertical="center" wrapText="1"/>
    </xf>
    <xf numFmtId="0" fontId="154" fillId="0" borderId="65" xfId="144" applyFont="1" applyBorder="1" applyAlignment="1">
      <alignment horizontal="center" vertical="center" wrapText="1"/>
    </xf>
    <xf numFmtId="2" fontId="69" fillId="0" borderId="65" xfId="76" applyNumberFormat="1" applyFont="1" applyBorder="1" applyAlignment="1">
      <alignment horizontal="center" vertical="center" wrapText="1"/>
    </xf>
    <xf numFmtId="0" fontId="95" fillId="0" borderId="62" xfId="76" applyFont="1" applyBorder="1" applyAlignment="1">
      <alignment horizontal="left" vertical="center" wrapText="1"/>
    </xf>
    <xf numFmtId="0" fontId="64" fillId="0" borderId="62" xfId="76" applyFont="1" applyBorder="1" applyAlignment="1">
      <alignment horizontal="center" vertical="center" wrapText="1"/>
    </xf>
    <xf numFmtId="0" fontId="64" fillId="0" borderId="65" xfId="76" applyFont="1" applyBorder="1" applyAlignment="1">
      <alignment horizontal="center" vertical="center" wrapText="1"/>
    </xf>
    <xf numFmtId="2" fontId="65" fillId="2" borderId="29" xfId="76" applyNumberFormat="1" applyFont="1" applyFill="1" applyBorder="1" applyAlignment="1">
      <alignment horizontal="center" vertical="top" wrapText="1"/>
    </xf>
    <xf numFmtId="2" fontId="65" fillId="2" borderId="1" xfId="76" applyNumberFormat="1" applyFont="1" applyFill="1" applyBorder="1" applyAlignment="1">
      <alignment horizontal="center" vertical="top" wrapText="1"/>
    </xf>
    <xf numFmtId="0" fontId="88" fillId="0" borderId="109" xfId="62" applyFont="1" applyBorder="1" applyAlignment="1">
      <alignment horizontal="center" vertical="top" wrapText="1"/>
    </xf>
    <xf numFmtId="0" fontId="68" fillId="0" borderId="109" xfId="62" applyFont="1" applyBorder="1" applyAlignment="1">
      <alignment horizontal="center" vertical="top" wrapText="1"/>
    </xf>
    <xf numFmtId="49" fontId="24" fillId="0" borderId="109" xfId="62" applyNumberFormat="1" applyBorder="1" applyAlignment="1">
      <alignment horizontal="center" wrapText="1"/>
    </xf>
    <xf numFmtId="0" fontId="24" fillId="0" borderId="109" xfId="62" applyBorder="1" applyAlignment="1">
      <alignment horizontal="center" wrapText="1"/>
    </xf>
    <xf numFmtId="169" fontId="24" fillId="0" borderId="1" xfId="62" applyNumberFormat="1" applyBorder="1" applyAlignment="1">
      <alignment horizontal="right" vertical="top" wrapText="1"/>
    </xf>
    <xf numFmtId="169" fontId="65" fillId="0" borderId="1" xfId="62" applyNumberFormat="1" applyFont="1" applyBorder="1" applyAlignment="1">
      <alignment horizontal="right" vertical="top" wrapText="1"/>
    </xf>
    <xf numFmtId="4" fontId="121" fillId="3" borderId="0" xfId="0" applyNumberFormat="1" applyFont="1" applyFill="1" applyBorder="1" applyAlignment="1">
      <alignment horizontal="right" vertical="top" wrapText="1"/>
    </xf>
    <xf numFmtId="0" fontId="24" fillId="7" borderId="1" xfId="0" applyFont="1" applyFill="1" applyBorder="1" applyAlignment="1">
      <alignment horizontal="center" vertical="top" wrapText="1"/>
    </xf>
    <xf numFmtId="49" fontId="24" fillId="7" borderId="1" xfId="0" applyNumberFormat="1" applyFont="1" applyFill="1" applyBorder="1" applyAlignment="1">
      <alignment horizontal="left" vertical="top" wrapText="1"/>
    </xf>
    <xf numFmtId="4" fontId="24" fillId="7" borderId="1" xfId="0" applyNumberFormat="1" applyFont="1" applyFill="1" applyBorder="1" applyAlignment="1">
      <alignment horizontal="right" vertical="top"/>
    </xf>
    <xf numFmtId="4" fontId="24" fillId="7" borderId="1" xfId="0" applyNumberFormat="1" applyFont="1" applyFill="1" applyBorder="1" applyAlignment="1">
      <alignment horizontal="right" vertical="top" wrapText="1"/>
    </xf>
    <xf numFmtId="4" fontId="24" fillId="7" borderId="1" xfId="0" applyNumberFormat="1" applyFont="1" applyFill="1" applyBorder="1" applyAlignment="1">
      <alignment horizontal="left" vertical="top" wrapText="1"/>
    </xf>
    <xf numFmtId="4" fontId="24" fillId="7" borderId="1" xfId="0" applyNumberFormat="1" applyFont="1" applyFill="1" applyBorder="1"/>
    <xf numFmtId="2" fontId="24" fillId="3" borderId="0" xfId="0" applyNumberFormat="1" applyFont="1" applyFill="1"/>
    <xf numFmtId="4" fontId="24" fillId="9" borderId="1" xfId="0" applyNumberFormat="1" applyFont="1" applyFill="1" applyBorder="1"/>
    <xf numFmtId="4" fontId="24" fillId="9" borderId="1" xfId="0" applyNumberFormat="1" applyFont="1" applyFill="1" applyBorder="1" applyAlignment="1">
      <alignment horizontal="right" vertical="top" wrapText="1"/>
    </xf>
    <xf numFmtId="4" fontId="24" fillId="9" borderId="1" xfId="0" applyNumberFormat="1" applyFont="1" applyFill="1" applyBorder="1" applyAlignment="1">
      <alignment horizontal="right" vertical="top"/>
    </xf>
    <xf numFmtId="4" fontId="65" fillId="9" borderId="1" xfId="0" applyNumberFormat="1" applyFont="1" applyFill="1" applyBorder="1" applyAlignment="1">
      <alignment horizontal="right" vertical="top" wrapText="1"/>
    </xf>
    <xf numFmtId="0" fontId="24" fillId="9" borderId="0" xfId="0" applyFont="1" applyFill="1"/>
    <xf numFmtId="2" fontId="24" fillId="9" borderId="0" xfId="0" applyNumberFormat="1" applyFont="1" applyFill="1"/>
    <xf numFmtId="0" fontId="24" fillId="9" borderId="1" xfId="0" applyFont="1" applyFill="1" applyBorder="1" applyAlignment="1">
      <alignment horizontal="right" vertical="top" wrapText="1"/>
    </xf>
    <xf numFmtId="4" fontId="65" fillId="9" borderId="1" xfId="0" applyNumberFormat="1" applyFont="1" applyFill="1" applyBorder="1" applyAlignment="1">
      <alignment horizontal="right" vertical="top"/>
    </xf>
    <xf numFmtId="0" fontId="24" fillId="9" borderId="1" xfId="0" applyFont="1" applyFill="1" applyBorder="1"/>
    <xf numFmtId="0" fontId="24" fillId="9" borderId="1" xfId="0" applyFont="1" applyFill="1" applyBorder="1" applyAlignment="1">
      <alignment horizontal="right" vertical="top"/>
    </xf>
    <xf numFmtId="4" fontId="121" fillId="9" borderId="1" xfId="0" applyNumberFormat="1" applyFont="1" applyFill="1" applyBorder="1" applyAlignment="1">
      <alignment horizontal="right" vertical="top" wrapText="1"/>
    </xf>
    <xf numFmtId="4" fontId="24" fillId="9" borderId="1" xfId="0" applyNumberFormat="1" applyFont="1" applyFill="1" applyBorder="1" applyAlignment="1">
      <alignment vertical="top"/>
    </xf>
    <xf numFmtId="49" fontId="24" fillId="3" borderId="0" xfId="0" applyNumberFormat="1" applyFont="1" applyFill="1" applyAlignment="1">
      <alignment horizontal="left" vertical="top" wrapText="1"/>
    </xf>
    <xf numFmtId="0" fontId="0" fillId="3" borderId="0" xfId="0" applyFill="1" applyAlignment="1">
      <alignment wrapText="1"/>
    </xf>
    <xf numFmtId="0" fontId="152" fillId="9" borderId="4" xfId="0" applyFont="1" applyFill="1" applyBorder="1" applyAlignment="1">
      <alignment horizontal="center"/>
    </xf>
    <xf numFmtId="0" fontId="152" fillId="9" borderId="106" xfId="0" applyFont="1" applyFill="1" applyBorder="1" applyAlignment="1">
      <alignment horizontal="center"/>
    </xf>
    <xf numFmtId="0" fontId="27" fillId="0" borderId="1" xfId="0" applyFont="1" applyBorder="1" applyAlignment="1">
      <alignment horizontal="center" vertical="center" wrapText="1"/>
    </xf>
    <xf numFmtId="0" fontId="24" fillId="10" borderId="1" xfId="0" applyFont="1" applyFill="1" applyBorder="1" applyAlignment="1">
      <alignment horizontal="center" vertical="top" wrapText="1"/>
    </xf>
    <xf numFmtId="49" fontId="24" fillId="10" borderId="1" xfId="0" applyNumberFormat="1" applyFont="1" applyFill="1" applyBorder="1" applyAlignment="1">
      <alignment horizontal="left" vertical="top" wrapText="1"/>
    </xf>
    <xf numFmtId="2" fontId="24" fillId="10" borderId="0" xfId="0" applyNumberFormat="1" applyFont="1" applyFill="1" applyAlignment="1">
      <alignment wrapText="1"/>
    </xf>
    <xf numFmtId="4" fontId="24" fillId="10" borderId="1" xfId="0" applyNumberFormat="1" applyFont="1" applyFill="1" applyBorder="1" applyAlignment="1">
      <alignment horizontal="right" vertical="top"/>
    </xf>
    <xf numFmtId="4" fontId="24" fillId="10" borderId="1" xfId="0" applyNumberFormat="1" applyFont="1" applyFill="1" applyBorder="1" applyAlignment="1">
      <alignment horizontal="right" vertical="top" wrapText="1"/>
    </xf>
    <xf numFmtId="2" fontId="24" fillId="10" borderId="1" xfId="0" applyNumberFormat="1" applyFont="1" applyFill="1" applyBorder="1" applyAlignment="1">
      <alignment wrapText="1"/>
    </xf>
    <xf numFmtId="0" fontId="24" fillId="10" borderId="1" xfId="0" applyFont="1" applyFill="1" applyBorder="1" applyAlignment="1">
      <alignment horizontal="right" vertical="top"/>
    </xf>
    <xf numFmtId="4" fontId="24" fillId="10" borderId="4" xfId="0" applyNumberFormat="1" applyFont="1" applyFill="1" applyBorder="1" applyAlignment="1">
      <alignment horizontal="right" vertical="top" wrapText="1"/>
    </xf>
    <xf numFmtId="4" fontId="0" fillId="10" borderId="0" xfId="0" applyNumberFormat="1" applyFill="1"/>
    <xf numFmtId="4" fontId="0" fillId="10" borderId="1" xfId="0" applyNumberFormat="1" applyFill="1" applyBorder="1"/>
    <xf numFmtId="4" fontId="0" fillId="10" borderId="1" xfId="0" applyNumberFormat="1" applyFill="1" applyBorder="1" applyAlignment="1">
      <alignment horizontal="right" vertical="top"/>
    </xf>
    <xf numFmtId="2" fontId="24" fillId="10" borderId="1" xfId="0" applyNumberFormat="1" applyFont="1" applyFill="1" applyBorder="1" applyAlignment="1">
      <alignment horizontal="left" vertical="top" wrapText="1"/>
    </xf>
    <xf numFmtId="49" fontId="24" fillId="10" borderId="1" xfId="0" applyNumberFormat="1" applyFont="1" applyFill="1" applyBorder="1" applyAlignment="1">
      <alignment horizontal="left" vertical="top"/>
    </xf>
    <xf numFmtId="49" fontId="161" fillId="0" borderId="1" xfId="0" quotePrefix="1" applyNumberFormat="1" applyFont="1" applyBorder="1" applyAlignment="1">
      <alignment horizontal="center" vertical="top" wrapText="1"/>
    </xf>
    <xf numFmtId="49" fontId="161" fillId="0" borderId="1" xfId="0" applyNumberFormat="1" applyFont="1" applyBorder="1" applyAlignment="1">
      <alignment horizontal="left" vertical="top" wrapText="1"/>
    </xf>
    <xf numFmtId="0" fontId="161" fillId="0" borderId="1" xfId="0" applyFont="1" applyBorder="1" applyAlignment="1">
      <alignment horizontal="left" vertical="top" wrapText="1"/>
    </xf>
    <xf numFmtId="0" fontId="161" fillId="0" borderId="1" xfId="0" applyFont="1" applyBorder="1" applyAlignment="1">
      <alignment horizontal="right" vertical="top" wrapText="1"/>
    </xf>
    <xf numFmtId="4" fontId="162" fillId="3" borderId="1" xfId="0" applyNumberFormat="1" applyFont="1" applyFill="1" applyBorder="1" applyAlignment="1">
      <alignment horizontal="right" vertical="top" wrapText="1"/>
    </xf>
    <xf numFmtId="0" fontId="162" fillId="3" borderId="0" xfId="0" applyFont="1" applyFill="1"/>
    <xf numFmtId="49" fontId="161" fillId="0" borderId="63" xfId="0" applyNumberFormat="1" applyFont="1" applyBorder="1" applyAlignment="1">
      <alignment horizontal="left" vertical="top" wrapText="1"/>
    </xf>
    <xf numFmtId="0" fontId="161" fillId="0" borderId="63" xfId="0" applyFont="1" applyBorder="1" applyAlignment="1">
      <alignment horizontal="left" vertical="top" wrapText="1"/>
    </xf>
    <xf numFmtId="0" fontId="161" fillId="0" borderId="63" xfId="0" applyFont="1" applyBorder="1" applyAlignment="1">
      <alignment horizontal="right" vertical="top" wrapText="1"/>
    </xf>
    <xf numFmtId="49" fontId="161" fillId="0" borderId="63" xfId="0" quotePrefix="1" applyNumberFormat="1" applyFont="1" applyBorder="1" applyAlignment="1">
      <alignment horizontal="center" vertical="top" wrapText="1"/>
    </xf>
    <xf numFmtId="0" fontId="152" fillId="9" borderId="105" xfId="0" applyFont="1" applyFill="1" applyBorder="1" applyAlignment="1">
      <alignment horizontal="center"/>
    </xf>
    <xf numFmtId="49" fontId="162" fillId="10" borderId="33" xfId="37" applyNumberFormat="1" applyFont="1" applyFill="1" applyBorder="1" applyAlignment="1">
      <alignment horizontal="left" vertical="top" wrapText="1"/>
    </xf>
    <xf numFmtId="49" fontId="162" fillId="10" borderId="33" xfId="37" applyNumberFormat="1" applyFont="1" applyFill="1" applyBorder="1" applyAlignment="1">
      <alignment horizontal="center" vertical="top" wrapText="1"/>
    </xf>
    <xf numFmtId="169" fontId="163" fillId="10" borderId="4" xfId="37" applyNumberFormat="1" applyFont="1" applyFill="1" applyBorder="1" applyAlignment="1">
      <alignment vertical="top"/>
    </xf>
    <xf numFmtId="169" fontId="163" fillId="10" borderId="1" xfId="37" applyNumberFormat="1" applyFont="1" applyFill="1" applyBorder="1" applyAlignment="1">
      <alignment vertical="top"/>
    </xf>
    <xf numFmtId="4" fontId="163" fillId="10" borderId="1" xfId="37" applyNumberFormat="1" applyFont="1" applyFill="1" applyBorder="1"/>
    <xf numFmtId="49" fontId="162" fillId="10" borderId="33" xfId="37" quotePrefix="1" applyNumberFormat="1" applyFont="1" applyFill="1" applyBorder="1" applyAlignment="1">
      <alignment horizontal="left" vertical="top" wrapText="1"/>
    </xf>
    <xf numFmtId="4" fontId="162" fillId="10" borderId="42" xfId="37" applyNumberFormat="1" applyFont="1" applyFill="1" applyBorder="1" applyAlignment="1">
      <alignment horizontal="right" vertical="top" wrapText="1"/>
    </xf>
    <xf numFmtId="178" fontId="24" fillId="3" borderId="0" xfId="0" applyNumberFormat="1" applyFont="1" applyFill="1" applyAlignment="1">
      <alignment horizontal="right" vertical="top"/>
    </xf>
    <xf numFmtId="169" fontId="24" fillId="3" borderId="0" xfId="0" applyNumberFormat="1" applyFont="1" applyFill="1" applyAlignment="1">
      <alignment horizontal="right" vertical="top"/>
    </xf>
    <xf numFmtId="0" fontId="27" fillId="0" borderId="0" xfId="0" applyFont="1" applyAlignment="1">
      <alignment horizontal="center" vertical="top"/>
    </xf>
    <xf numFmtId="0" fontId="27" fillId="0" borderId="0" xfId="0" applyFont="1" applyAlignment="1">
      <alignment horizontal="left" vertical="center"/>
    </xf>
    <xf numFmtId="0" fontId="27" fillId="0" borderId="0" xfId="0" applyFont="1" applyFill="1" applyAlignment="1">
      <alignment horizontal="left" vertical="top"/>
    </xf>
    <xf numFmtId="49" fontId="27" fillId="0" borderId="0" xfId="0" applyNumberFormat="1" applyFont="1" applyFill="1" applyAlignment="1">
      <alignment horizontal="left" vertical="top"/>
    </xf>
    <xf numFmtId="0" fontId="0" fillId="0" borderId="0" xfId="0" applyFont="1" applyFill="1"/>
    <xf numFmtId="0" fontId="0" fillId="0" borderId="0" xfId="0" applyFill="1"/>
    <xf numFmtId="0" fontId="27" fillId="0" borderId="114" xfId="118" applyFont="1" applyBorder="1" applyAlignment="1">
      <alignment horizontal="center"/>
    </xf>
    <xf numFmtId="0" fontId="52" fillId="11" borderId="1" xfId="0" applyFont="1" applyFill="1" applyBorder="1" applyAlignment="1">
      <alignment vertical="top" wrapText="1"/>
    </xf>
    <xf numFmtId="0" fontId="51" fillId="11" borderId="1" xfId="0" applyFont="1" applyFill="1" applyBorder="1" applyAlignment="1">
      <alignment vertical="top" wrapText="1"/>
    </xf>
    <xf numFmtId="16" fontId="27" fillId="0" borderId="1" xfId="0" quotePrefix="1" applyNumberFormat="1" applyFont="1" applyBorder="1" applyAlignment="1">
      <alignment horizontal="center" vertical="top" wrapText="1"/>
    </xf>
    <xf numFmtId="164" fontId="0" fillId="0" borderId="1" xfId="146" applyFont="1" applyBorder="1"/>
    <xf numFmtId="0" fontId="27" fillId="0" borderId="1" xfId="0" quotePrefix="1" applyFont="1" applyBorder="1" applyAlignment="1">
      <alignment horizontal="center" vertical="top" wrapText="1"/>
    </xf>
    <xf numFmtId="49" fontId="27" fillId="11" borderId="1" xfId="0" applyNumberFormat="1" applyFont="1" applyFill="1" applyBorder="1" applyAlignment="1">
      <alignment horizontal="left" vertical="top" wrapText="1"/>
    </xf>
    <xf numFmtId="164" fontId="164" fillId="0" borderId="1" xfId="146" applyFont="1" applyBorder="1"/>
    <xf numFmtId="0" fontId="48" fillId="6" borderId="1" xfId="0" applyFont="1" applyFill="1" applyBorder="1" applyAlignment="1">
      <alignment horizontal="center" vertical="top" wrapText="1"/>
    </xf>
    <xf numFmtId="49" fontId="48" fillId="6" borderId="1" xfId="0" applyNumberFormat="1" applyFont="1" applyFill="1" applyBorder="1" applyAlignment="1">
      <alignment horizontal="left" vertical="top" wrapText="1"/>
    </xf>
    <xf numFmtId="0" fontId="48" fillId="6" borderId="1" xfId="0" applyFont="1" applyFill="1" applyBorder="1" applyAlignment="1">
      <alignment horizontal="left" vertical="top" wrapText="1"/>
    </xf>
    <xf numFmtId="164" fontId="50" fillId="6" borderId="1" xfId="146" applyFont="1" applyFill="1" applyBorder="1"/>
    <xf numFmtId="179" fontId="50" fillId="6" borderId="1" xfId="146" applyNumberFormat="1" applyFont="1" applyFill="1" applyBorder="1"/>
    <xf numFmtId="0" fontId="50" fillId="0" borderId="0" xfId="0" applyFont="1"/>
    <xf numFmtId="0" fontId="27" fillId="6" borderId="1" xfId="0" applyFont="1" applyFill="1" applyBorder="1" applyAlignment="1">
      <alignment horizontal="center" vertical="top" wrapText="1"/>
    </xf>
    <xf numFmtId="49" fontId="27" fillId="6" borderId="1" xfId="0" applyNumberFormat="1" applyFont="1" applyFill="1" applyBorder="1" applyAlignment="1">
      <alignment horizontal="left" vertical="top" wrapText="1"/>
    </xf>
    <xf numFmtId="0" fontId="27" fillId="6" borderId="1" xfId="0" applyFont="1" applyFill="1" applyBorder="1" applyAlignment="1">
      <alignment horizontal="left" vertical="top" wrapText="1"/>
    </xf>
    <xf numFmtId="164" fontId="0" fillId="6" borderId="1" xfId="146" applyFont="1" applyFill="1" applyBorder="1"/>
    <xf numFmtId="179" fontId="0" fillId="6" borderId="1" xfId="146" applyNumberFormat="1" applyFont="1" applyFill="1" applyBorder="1"/>
    <xf numFmtId="180" fontId="0" fillId="0" borderId="0" xfId="0" applyNumberFormat="1"/>
    <xf numFmtId="14" fontId="0" fillId="0" borderId="0" xfId="0" applyNumberFormat="1"/>
    <xf numFmtId="49" fontId="27" fillId="0" borderId="0" xfId="5" applyNumberFormat="1" applyFont="1" applyBorder="1" applyAlignment="1">
      <alignment horizontal="left" vertical="center"/>
    </xf>
    <xf numFmtId="180" fontId="24" fillId="3" borderId="1" xfId="0" applyNumberFormat="1" applyFont="1" applyFill="1" applyBorder="1"/>
    <xf numFmtId="0" fontId="24" fillId="3" borderId="1" xfId="0" quotePrefix="1" applyFont="1" applyFill="1" applyBorder="1" applyAlignment="1">
      <alignment horizontal="center" vertical="top" wrapText="1"/>
    </xf>
    <xf numFmtId="16" fontId="24" fillId="3" borderId="1" xfId="0" quotePrefix="1" applyNumberFormat="1" applyFont="1" applyFill="1" applyBorder="1" applyAlignment="1">
      <alignment horizontal="center" vertical="top" wrapText="1"/>
    </xf>
    <xf numFmtId="0" fontId="24" fillId="7" borderId="1" xfId="0" quotePrefix="1" applyFont="1" applyFill="1" applyBorder="1" applyAlignment="1">
      <alignment horizontal="center" vertical="top" wrapText="1"/>
    </xf>
    <xf numFmtId="14" fontId="0" fillId="0" borderId="0" xfId="0" applyNumberFormat="1" applyBorder="1"/>
    <xf numFmtId="164" fontId="164" fillId="0" borderId="1" xfId="146" applyFont="1" applyFill="1" applyBorder="1"/>
    <xf numFmtId="179" fontId="50" fillId="6" borderId="1" xfId="146" applyNumberFormat="1" applyFont="1" applyFill="1" applyBorder="1" applyAlignment="1">
      <alignment horizontal="right"/>
    </xf>
    <xf numFmtId="164" fontId="0" fillId="0" borderId="1" xfId="146" applyFont="1" applyBorder="1" applyAlignment="1">
      <alignment horizontal="right"/>
    </xf>
    <xf numFmtId="4" fontId="0" fillId="0" borderId="0" xfId="0" applyNumberFormat="1"/>
    <xf numFmtId="49" fontId="162" fillId="3" borderId="1" xfId="0" applyNumberFormat="1" applyFont="1" applyFill="1" applyBorder="1" applyAlignment="1">
      <alignment horizontal="left" vertical="top" wrapText="1"/>
    </xf>
    <xf numFmtId="180" fontId="24" fillId="9" borderId="1" xfId="0" applyNumberFormat="1" applyFont="1" applyFill="1" applyBorder="1"/>
    <xf numFmtId="4" fontId="77" fillId="15" borderId="1" xfId="127" applyNumberFormat="1" applyFont="1" applyFill="1" applyBorder="1" applyAlignment="1">
      <alignment horizontal="center" vertical="center" wrapText="1"/>
    </xf>
    <xf numFmtId="0" fontId="6" fillId="0" borderId="1" xfId="127" applyBorder="1"/>
    <xf numFmtId="4" fontId="72" fillId="4" borderId="1" xfId="127" applyNumberFormat="1" applyFont="1" applyFill="1" applyBorder="1" applyAlignment="1">
      <alignment horizontal="center" vertical="center" wrapText="1"/>
    </xf>
    <xf numFmtId="4" fontId="51" fillId="4" borderId="1" xfId="127" applyNumberFormat="1" applyFont="1" applyFill="1" applyBorder="1" applyAlignment="1">
      <alignment horizontal="center" vertical="center" wrapText="1"/>
    </xf>
    <xf numFmtId="4" fontId="72" fillId="2" borderId="1" xfId="127" applyNumberFormat="1" applyFont="1" applyFill="1" applyBorder="1" applyAlignment="1">
      <alignment horizontal="center" vertical="center" wrapText="1"/>
    </xf>
    <xf numFmtId="4" fontId="81" fillId="2" borderId="1" xfId="127" applyNumberFormat="1" applyFont="1" applyFill="1" applyBorder="1" applyAlignment="1">
      <alignment horizontal="center" vertical="center"/>
    </xf>
    <xf numFmtId="0" fontId="3" fillId="0" borderId="1" xfId="127" applyFont="1" applyBorder="1" applyAlignment="1">
      <alignment wrapText="1"/>
    </xf>
    <xf numFmtId="4" fontId="77" fillId="16" borderId="82" xfId="127" applyNumberFormat="1" applyFont="1" applyFill="1" applyBorder="1" applyAlignment="1">
      <alignment horizontal="center" vertical="center" wrapText="1"/>
    </xf>
    <xf numFmtId="164" fontId="24" fillId="3" borderId="1" xfId="146" applyFont="1" applyFill="1" applyBorder="1" applyAlignment="1">
      <alignment horizontal="right" vertical="top" wrapText="1"/>
    </xf>
    <xf numFmtId="164" fontId="50" fillId="11" borderId="1" xfId="146" applyFont="1" applyFill="1" applyBorder="1"/>
    <xf numFmtId="164" fontId="50" fillId="11" borderId="1" xfId="146" applyFont="1" applyFill="1" applyBorder="1" applyAlignment="1">
      <alignment horizontal="right"/>
    </xf>
    <xf numFmtId="164" fontId="51" fillId="11" borderId="1" xfId="146" applyFont="1" applyFill="1" applyBorder="1" applyAlignment="1">
      <alignment vertical="top" wrapText="1"/>
    </xf>
    <xf numFmtId="164" fontId="24" fillId="3" borderId="1" xfId="146" applyFont="1" applyFill="1" applyBorder="1" applyAlignment="1">
      <alignment horizontal="left" vertical="top" wrapText="1"/>
    </xf>
    <xf numFmtId="164" fontId="27" fillId="0" borderId="1" xfId="146" applyFont="1" applyBorder="1" applyAlignment="1">
      <alignment horizontal="left" vertical="top" wrapText="1"/>
    </xf>
    <xf numFmtId="164" fontId="24" fillId="3" borderId="1" xfId="146" applyFont="1" applyFill="1" applyBorder="1" applyAlignment="1">
      <alignment horizontal="right" vertical="top"/>
    </xf>
    <xf numFmtId="164" fontId="161" fillId="0" borderId="1" xfId="146" applyFont="1" applyBorder="1" applyAlignment="1">
      <alignment horizontal="right" vertical="top" wrapText="1"/>
    </xf>
    <xf numFmtId="164" fontId="24" fillId="3" borderId="1" xfId="146" applyFont="1" applyFill="1" applyBorder="1"/>
    <xf numFmtId="164" fontId="24" fillId="7" borderId="1" xfId="146" applyFont="1" applyFill="1" applyBorder="1"/>
    <xf numFmtId="164" fontId="24" fillId="7" borderId="1" xfId="146" applyFont="1" applyFill="1" applyBorder="1" applyAlignment="1">
      <alignment horizontal="right" vertical="top"/>
    </xf>
    <xf numFmtId="164" fontId="24" fillId="0" borderId="1" xfId="146" applyFont="1" applyFill="1" applyBorder="1"/>
    <xf numFmtId="164" fontId="24" fillId="0" borderId="1" xfId="146" applyFont="1" applyFill="1" applyBorder="1" applyAlignment="1">
      <alignment horizontal="right" vertical="top" wrapText="1"/>
    </xf>
    <xf numFmtId="164" fontId="162" fillId="3" borderId="1" xfId="146" applyFont="1" applyFill="1" applyBorder="1" applyAlignment="1">
      <alignment horizontal="right" vertical="top"/>
    </xf>
    <xf numFmtId="164" fontId="162" fillId="0" borderId="1" xfId="146" applyFont="1" applyFill="1" applyBorder="1" applyAlignment="1">
      <alignment horizontal="right" vertical="top"/>
    </xf>
    <xf numFmtId="164" fontId="162" fillId="3" borderId="1" xfId="146" applyFont="1" applyFill="1" applyBorder="1" applyAlignment="1">
      <alignment horizontal="right" vertical="top" wrapText="1"/>
    </xf>
    <xf numFmtId="164" fontId="162" fillId="0" borderId="1" xfId="146" applyFont="1" applyFill="1" applyBorder="1"/>
    <xf numFmtId="164" fontId="162" fillId="7" borderId="1" xfId="146" applyFont="1" applyFill="1" applyBorder="1" applyAlignment="1">
      <alignment horizontal="right" vertical="top"/>
    </xf>
    <xf numFmtId="164" fontId="24" fillId="0" borderId="1" xfId="146" applyFont="1" applyFill="1" applyBorder="1" applyAlignment="1">
      <alignment horizontal="right" vertical="top"/>
    </xf>
    <xf numFmtId="164" fontId="27" fillId="0" borderId="1" xfId="146" applyFont="1" applyBorder="1" applyAlignment="1">
      <alignment horizontal="right" vertical="top" wrapText="1"/>
    </xf>
    <xf numFmtId="164" fontId="48" fillId="6" borderId="1" xfId="146" applyFont="1" applyFill="1" applyBorder="1" applyAlignment="1">
      <alignment horizontal="right" vertical="top" wrapText="1"/>
    </xf>
    <xf numFmtId="164" fontId="27" fillId="6" borderId="1" xfId="146" applyFont="1" applyFill="1" applyBorder="1" applyAlignment="1">
      <alignment horizontal="right" vertical="top" wrapText="1"/>
    </xf>
    <xf numFmtId="180" fontId="0" fillId="12" borderId="1" xfId="146" applyNumberFormat="1" applyFont="1" applyFill="1" applyBorder="1" applyAlignment="1">
      <alignment horizontal="right"/>
    </xf>
    <xf numFmtId="180" fontId="0" fillId="11" borderId="1" xfId="146" applyNumberFormat="1" applyFont="1" applyFill="1" applyBorder="1"/>
    <xf numFmtId="180" fontId="0" fillId="12" borderId="1" xfId="146" applyNumberFormat="1" applyFont="1" applyFill="1" applyBorder="1"/>
    <xf numFmtId="180" fontId="164" fillId="12" borderId="1" xfId="146" applyNumberFormat="1" applyFont="1" applyFill="1" applyBorder="1"/>
    <xf numFmtId="180" fontId="43" fillId="0" borderId="1" xfId="146" applyNumberFormat="1" applyFont="1" applyFill="1" applyBorder="1"/>
    <xf numFmtId="180" fontId="152" fillId="9" borderId="1" xfId="0" applyNumberFormat="1" applyFont="1" applyFill="1" applyBorder="1" applyAlignment="1"/>
    <xf numFmtId="180" fontId="24" fillId="3" borderId="1" xfId="0" applyNumberFormat="1" applyFont="1" applyFill="1" applyBorder="1" applyAlignment="1">
      <alignment horizontal="right" vertical="top" wrapText="1"/>
    </xf>
    <xf numFmtId="180" fontId="0" fillId="13" borderId="1" xfId="146" applyNumberFormat="1" applyFont="1" applyFill="1" applyBorder="1" applyAlignment="1">
      <alignment horizontal="right"/>
    </xf>
    <xf numFmtId="180" fontId="0" fillId="14" borderId="1" xfId="146" applyNumberFormat="1" applyFont="1" applyFill="1" applyBorder="1"/>
    <xf numFmtId="180" fontId="164" fillId="14" borderId="1" xfId="146" applyNumberFormat="1" applyFont="1" applyFill="1" applyBorder="1"/>
    <xf numFmtId="180" fontId="24" fillId="9" borderId="1" xfId="0" applyNumberFormat="1" applyFont="1" applyFill="1" applyBorder="1" applyAlignment="1">
      <alignment horizontal="right" vertical="top"/>
    </xf>
    <xf numFmtId="180" fontId="65" fillId="9" borderId="1" xfId="0" applyNumberFormat="1" applyFont="1" applyFill="1" applyBorder="1" applyAlignment="1">
      <alignment horizontal="right" vertical="top" wrapText="1"/>
    </xf>
    <xf numFmtId="180" fontId="0" fillId="14" borderId="1" xfId="146" applyNumberFormat="1" applyFont="1" applyFill="1" applyBorder="1" applyAlignment="1">
      <alignment horizontal="right"/>
    </xf>
    <xf numFmtId="0" fontId="167" fillId="0" borderId="0" xfId="0" applyFont="1"/>
    <xf numFmtId="0" fontId="74" fillId="17" borderId="114" xfId="118" applyFont="1" applyFill="1" applyBorder="1" applyAlignment="1">
      <alignment horizontal="center"/>
    </xf>
    <xf numFmtId="43" fontId="74" fillId="17" borderId="114" xfId="118" applyNumberFormat="1" applyFont="1" applyFill="1" applyBorder="1" applyAlignment="1">
      <alignment horizontal="center"/>
    </xf>
    <xf numFmtId="0" fontId="50" fillId="11" borderId="1" xfId="0" quotePrefix="1" applyFont="1" applyFill="1" applyBorder="1"/>
    <xf numFmtId="0" fontId="27" fillId="11" borderId="1" xfId="0" quotePrefix="1" applyFont="1" applyFill="1" applyBorder="1" applyAlignment="1">
      <alignment horizontal="center" vertical="top" wrapText="1"/>
    </xf>
    <xf numFmtId="0" fontId="162" fillId="3" borderId="1" xfId="0" quotePrefix="1" applyFont="1" applyFill="1" applyBorder="1" applyAlignment="1">
      <alignment horizontal="center" vertical="top" wrapText="1"/>
    </xf>
    <xf numFmtId="14" fontId="168" fillId="7" borderId="1" xfId="0" applyNumberFormat="1" applyFont="1" applyFill="1" applyBorder="1"/>
    <xf numFmtId="0" fontId="168" fillId="0" borderId="0" xfId="0" applyFont="1"/>
    <xf numFmtId="0" fontId="75" fillId="0" borderId="0" xfId="148" applyFont="1"/>
    <xf numFmtId="0" fontId="36" fillId="0" borderId="0" xfId="148"/>
    <xf numFmtId="0" fontId="80" fillId="0" borderId="0" xfId="148" applyFont="1" applyAlignment="1">
      <alignment horizontal="center" vertical="center" wrapText="1"/>
    </xf>
    <xf numFmtId="0" fontId="80" fillId="0" borderId="0" xfId="148" applyFont="1" applyAlignment="1">
      <alignment vertical="center"/>
    </xf>
    <xf numFmtId="0" fontId="78" fillId="0" borderId="0" xfId="148" applyFont="1"/>
    <xf numFmtId="0" fontId="78" fillId="6" borderId="1" xfId="148" applyFont="1" applyFill="1" applyBorder="1" applyAlignment="1">
      <alignment horizontal="center" vertical="center" wrapText="1"/>
    </xf>
    <xf numFmtId="0" fontId="75" fillId="6" borderId="1" xfId="148" applyFont="1" applyFill="1" applyBorder="1" applyAlignment="1">
      <alignment horizontal="center"/>
    </xf>
    <xf numFmtId="4" fontId="80" fillId="11" borderId="1" xfId="148" applyNumberFormat="1" applyFont="1" applyFill="1" applyBorder="1" applyAlignment="1">
      <alignment horizontal="center" vertical="center" wrapText="1"/>
    </xf>
    <xf numFmtId="4" fontId="74" fillId="11" borderId="1" xfId="148" applyNumberFormat="1" applyFont="1" applyFill="1" applyBorder="1" applyAlignment="1">
      <alignment horizontal="center" vertical="center"/>
    </xf>
    <xf numFmtId="0" fontId="74" fillId="0" borderId="0" xfId="148" applyFont="1"/>
    <xf numFmtId="0" fontId="170" fillId="0" borderId="0" xfId="148" applyFont="1"/>
    <xf numFmtId="49" fontId="78" fillId="3" borderId="1" xfId="149" applyNumberFormat="1" applyFont="1" applyFill="1" applyBorder="1" applyAlignment="1">
      <alignment horizontal="center" vertical="center" wrapText="1"/>
    </xf>
    <xf numFmtId="0" fontId="171" fillId="0" borderId="1" xfId="148" applyFont="1" applyFill="1" applyBorder="1" applyAlignment="1">
      <alignment vertical="center" wrapText="1"/>
    </xf>
    <xf numFmtId="4" fontId="172" fillId="3" borderId="1" xfId="148" applyNumberFormat="1" applyFont="1" applyFill="1" applyBorder="1" applyAlignment="1">
      <alignment horizontal="center" vertical="center" wrapText="1"/>
    </xf>
    <xf numFmtId="4" fontId="172" fillId="3" borderId="1" xfId="148" applyNumberFormat="1" applyFont="1" applyFill="1" applyBorder="1" applyAlignment="1">
      <alignment horizontal="center" vertical="center"/>
    </xf>
    <xf numFmtId="0" fontId="172" fillId="3" borderId="1" xfId="148" applyFont="1" applyFill="1" applyBorder="1" applyAlignment="1">
      <alignment horizontal="left" vertical="center" wrapText="1"/>
    </xf>
    <xf numFmtId="49" fontId="172" fillId="3" borderId="1" xfId="148" applyNumberFormat="1" applyFont="1" applyFill="1" applyBorder="1" applyAlignment="1">
      <alignment horizontal="center" vertical="center" wrapText="1"/>
    </xf>
    <xf numFmtId="0" fontId="80" fillId="6" borderId="1" xfId="148" applyFont="1" applyFill="1" applyBorder="1" applyAlignment="1">
      <alignment vertical="center" wrapText="1"/>
    </xf>
    <xf numFmtId="4" fontId="80" fillId="6" borderId="1" xfId="148" applyNumberFormat="1" applyFont="1" applyFill="1" applyBorder="1" applyAlignment="1">
      <alignment horizontal="center" vertical="center" wrapText="1"/>
    </xf>
    <xf numFmtId="3" fontId="171" fillId="0" borderId="1" xfId="148" applyNumberFormat="1" applyFont="1" applyFill="1" applyBorder="1" applyAlignment="1">
      <alignment horizontal="center" vertical="center" wrapText="1"/>
    </xf>
    <xf numFmtId="4" fontId="171" fillId="0" borderId="1" xfId="148" applyNumberFormat="1" applyFont="1" applyFill="1" applyBorder="1" applyAlignment="1">
      <alignment horizontal="center" vertical="center" wrapText="1"/>
    </xf>
    <xf numFmtId="0" fontId="75" fillId="0" borderId="0" xfId="148" applyFont="1" applyFill="1"/>
    <xf numFmtId="0" fontId="36" fillId="0" borderId="0" xfId="148" applyFill="1"/>
    <xf numFmtId="0" fontId="172" fillId="0" borderId="1" xfId="148" applyFont="1" applyBorder="1" applyAlignment="1">
      <alignment horizontal="right" vertical="top"/>
    </xf>
    <xf numFmtId="4" fontId="172" fillId="0" borderId="1" xfId="148" applyNumberFormat="1" applyFont="1" applyBorder="1" applyAlignment="1">
      <alignment horizontal="center" vertical="center"/>
    </xf>
    <xf numFmtId="0" fontId="172" fillId="0" borderId="1" xfId="148" applyFont="1" applyBorder="1"/>
    <xf numFmtId="0" fontId="172" fillId="0" borderId="1" xfId="148" applyFont="1" applyBorder="1" applyAlignment="1">
      <alignment vertical="center" wrapText="1"/>
    </xf>
    <xf numFmtId="49" fontId="80" fillId="11" borderId="1" xfId="149" quotePrefix="1" applyNumberFormat="1" applyFont="1" applyFill="1" applyBorder="1" applyAlignment="1">
      <alignment horizontal="center" vertical="center" wrapText="1"/>
    </xf>
    <xf numFmtId="49" fontId="78" fillId="3" borderId="1" xfId="149" quotePrefix="1" applyNumberFormat="1" applyFont="1" applyFill="1" applyBorder="1" applyAlignment="1">
      <alignment horizontal="center" vertical="center" wrapText="1"/>
    </xf>
    <xf numFmtId="49" fontId="80" fillId="11" borderId="1" xfId="148" quotePrefix="1" applyNumberFormat="1" applyFont="1" applyFill="1" applyBorder="1" applyAlignment="1">
      <alignment horizontal="center" vertical="center" wrapText="1"/>
    </xf>
    <xf numFmtId="0" fontId="80" fillId="17" borderId="1" xfId="148" applyFont="1" applyFill="1" applyBorder="1" applyAlignment="1">
      <alignment horizontal="center" vertical="center" wrapText="1"/>
    </xf>
    <xf numFmtId="4" fontId="80" fillId="17" borderId="1" xfId="148" applyNumberFormat="1" applyFont="1" applyFill="1" applyBorder="1" applyAlignment="1">
      <alignment horizontal="center" vertical="center" wrapText="1"/>
    </xf>
    <xf numFmtId="0" fontId="75" fillId="6" borderId="1" xfId="148" applyFont="1" applyFill="1" applyBorder="1" applyAlignment="1">
      <alignment horizontal="center" vertical="center" wrapText="1"/>
    </xf>
    <xf numFmtId="4" fontId="97" fillId="3" borderId="1" xfId="148" applyNumberFormat="1" applyFont="1" applyFill="1" applyBorder="1" applyAlignment="1">
      <alignment horizontal="center" vertical="center"/>
    </xf>
    <xf numFmtId="4" fontId="74" fillId="17" borderId="1" xfId="148" applyNumberFormat="1" applyFont="1" applyFill="1" applyBorder="1" applyAlignment="1">
      <alignment horizontal="center" vertical="center" wrapText="1"/>
    </xf>
    <xf numFmtId="4" fontId="74" fillId="6" borderId="1" xfId="148" applyNumberFormat="1" applyFont="1" applyFill="1" applyBorder="1" applyAlignment="1">
      <alignment horizontal="center" vertical="center" wrapText="1"/>
    </xf>
    <xf numFmtId="43" fontId="0" fillId="0" borderId="0" xfId="0" applyNumberFormat="1"/>
    <xf numFmtId="0" fontId="74" fillId="0" borderId="0" xfId="150" applyFont="1" applyAlignment="1"/>
    <xf numFmtId="0" fontId="75" fillId="0" borderId="0" xfId="150" applyFont="1"/>
    <xf numFmtId="0" fontId="75" fillId="0" borderId="0" xfId="150" applyFont="1" applyAlignment="1">
      <alignment vertical="center"/>
    </xf>
    <xf numFmtId="4" fontId="74" fillId="0" borderId="0" xfId="150" applyNumberFormat="1" applyFont="1" applyAlignment="1">
      <alignment vertical="center" wrapText="1"/>
    </xf>
    <xf numFmtId="0" fontId="74" fillId="0" borderId="0" xfId="150" applyFont="1"/>
    <xf numFmtId="0" fontId="169" fillId="0" borderId="0" xfId="150" applyFont="1"/>
    <xf numFmtId="0" fontId="169" fillId="0" borderId="0" xfId="150" applyFont="1" applyFill="1" applyAlignment="1">
      <alignment vertical="center" wrapText="1"/>
    </xf>
    <xf numFmtId="49" fontId="75" fillId="0" borderId="0" xfId="150" applyNumberFormat="1" applyFont="1"/>
    <xf numFmtId="0" fontId="78" fillId="0" borderId="0" xfId="45" quotePrefix="1" applyFont="1" applyFill="1" applyBorder="1"/>
    <xf numFmtId="49" fontId="100" fillId="0" borderId="0" xfId="150" applyNumberFormat="1" applyFont="1"/>
    <xf numFmtId="0" fontId="78" fillId="0" borderId="0" xfId="45" applyFont="1" applyFill="1" applyBorder="1"/>
    <xf numFmtId="0" fontId="173" fillId="0" borderId="3" xfId="150" applyFont="1" applyBorder="1" applyAlignment="1">
      <alignment horizontal="center"/>
    </xf>
    <xf numFmtId="0" fontId="78" fillId="0" borderId="3" xfId="45" applyFont="1" applyBorder="1"/>
    <xf numFmtId="0" fontId="173" fillId="0" borderId="0" xfId="150" applyFont="1" applyBorder="1" applyAlignment="1">
      <alignment horizontal="center"/>
    </xf>
    <xf numFmtId="0" fontId="78" fillId="0" borderId="0" xfId="45" applyFont="1"/>
    <xf numFmtId="0" fontId="97" fillId="0" borderId="0" xfId="150" applyFont="1" applyBorder="1" applyAlignment="1"/>
    <xf numFmtId="180" fontId="0" fillId="12" borderId="1" xfId="0" applyNumberFormat="1" applyFont="1" applyFill="1" applyBorder="1" applyAlignment="1">
      <alignment horizontal="right" vertical="center"/>
    </xf>
    <xf numFmtId="0" fontId="2" fillId="0" borderId="0" xfId="153"/>
    <xf numFmtId="0" fontId="175" fillId="0" borderId="1" xfId="153" applyFont="1" applyBorder="1" applyAlignment="1">
      <alignment horizontal="center" vertical="center" wrapText="1"/>
    </xf>
    <xf numFmtId="0" fontId="99" fillId="0" borderId="1" xfId="153" applyFont="1" applyBorder="1" applyAlignment="1">
      <alignment horizontal="center" vertical="center" wrapText="1"/>
    </xf>
    <xf numFmtId="0" fontId="99" fillId="0" borderId="1" xfId="153" applyFont="1" applyBorder="1" applyAlignment="1">
      <alignment horizontal="left" vertical="center" wrapText="1"/>
    </xf>
    <xf numFmtId="14" fontId="99" fillId="0" borderId="1" xfId="153" applyNumberFormat="1" applyFont="1" applyBorder="1" applyAlignment="1">
      <alignment horizontal="center" vertical="center" wrapText="1"/>
    </xf>
    <xf numFmtId="0" fontId="2" fillId="0" borderId="0" xfId="153" applyBorder="1"/>
    <xf numFmtId="0" fontId="99" fillId="0" borderId="0" xfId="153" applyFont="1" applyFill="1" applyBorder="1" applyAlignment="1">
      <alignment vertical="center" wrapText="1"/>
    </xf>
    <xf numFmtId="9" fontId="146" fillId="19" borderId="29" xfId="0" applyNumberFormat="1" applyFont="1" applyFill="1" applyBorder="1" applyAlignment="1">
      <alignment horizontal="center" vertical="center" wrapText="1"/>
    </xf>
    <xf numFmtId="0" fontId="176" fillId="0" borderId="0" xfId="0" applyFont="1"/>
    <xf numFmtId="0" fontId="0" fillId="0" borderId="0" xfId="0" applyFont="1"/>
    <xf numFmtId="14" fontId="0" fillId="7" borderId="1" xfId="0" applyNumberFormat="1" applyFill="1" applyBorder="1"/>
    <xf numFmtId="170" fontId="0" fillId="0" borderId="1" xfId="0" applyNumberFormat="1" applyBorder="1"/>
    <xf numFmtId="172" fontId="0" fillId="0" borderId="1" xfId="147" applyNumberFormat="1" applyFont="1" applyBorder="1"/>
    <xf numFmtId="10" fontId="75" fillId="5" borderId="4" xfId="0" applyNumberFormat="1" applyFont="1" applyFill="1" applyBorder="1" applyAlignment="1">
      <alignment vertical="center"/>
    </xf>
    <xf numFmtId="0" fontId="75" fillId="5" borderId="65" xfId="0" applyFont="1" applyFill="1" applyBorder="1" applyAlignment="1">
      <alignment vertical="center"/>
    </xf>
    <xf numFmtId="180" fontId="0" fillId="0" borderId="1" xfId="0" applyNumberFormat="1" applyBorder="1"/>
    <xf numFmtId="180" fontId="0" fillId="13" borderId="1" xfId="0" applyNumberFormat="1" applyFont="1" applyFill="1" applyBorder="1"/>
    <xf numFmtId="180" fontId="174" fillId="18" borderId="1" xfId="152" applyNumberFormat="1" applyBorder="1"/>
    <xf numFmtId="0" fontId="74" fillId="0" borderId="0" xfId="148" applyFont="1" applyAlignment="1">
      <alignment vertical="center"/>
    </xf>
    <xf numFmtId="43" fontId="50" fillId="0" borderId="0" xfId="0" applyNumberFormat="1" applyFont="1"/>
    <xf numFmtId="49" fontId="24" fillId="3" borderId="1" xfId="0" applyNumberFormat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7" fillId="0" borderId="0" xfId="5" applyFont="1" applyFill="1" applyBorder="1" applyAlignment="1">
      <alignment horizontal="center" vertical="center" wrapText="1"/>
    </xf>
    <xf numFmtId="0" fontId="27" fillId="0" borderId="0" xfId="5" applyFont="1" applyFill="1" applyBorder="1" applyAlignment="1">
      <alignment horizontal="left" vertical="center"/>
    </xf>
    <xf numFmtId="0" fontId="0" fillId="7" borderId="0" xfId="0" applyFont="1" applyFill="1"/>
    <xf numFmtId="43" fontId="36" fillId="0" borderId="0" xfId="148" applyNumberFormat="1"/>
    <xf numFmtId="0" fontId="74" fillId="17" borderId="114" xfId="118" applyFont="1" applyFill="1" applyBorder="1" applyAlignment="1">
      <alignment horizontal="center" vertical="center"/>
    </xf>
    <xf numFmtId="0" fontId="51" fillId="11" borderId="1" xfId="0" applyFont="1" applyFill="1" applyBorder="1" applyAlignment="1">
      <alignment horizontal="center" vertical="center" wrapText="1"/>
    </xf>
    <xf numFmtId="0" fontId="161" fillId="0" borderId="1" xfId="0" applyFont="1" applyBorder="1" applyAlignment="1">
      <alignment horizontal="center" vertical="center" wrapText="1"/>
    </xf>
    <xf numFmtId="49" fontId="162" fillId="3" borderId="1" xfId="0" applyNumberFormat="1" applyFont="1" applyFill="1" applyBorder="1" applyAlignment="1">
      <alignment horizontal="center" vertical="center" wrapText="1"/>
    </xf>
    <xf numFmtId="4" fontId="24" fillId="0" borderId="1" xfId="0" applyNumberFormat="1" applyFont="1" applyFill="1" applyBorder="1" applyAlignment="1">
      <alignment horizontal="left" vertical="top" wrapText="1"/>
    </xf>
    <xf numFmtId="49" fontId="24" fillId="0" borderId="1" xfId="0" applyNumberFormat="1" applyFont="1" applyFill="1" applyBorder="1" applyAlignment="1">
      <alignment horizontal="left" vertical="top" wrapText="1"/>
    </xf>
    <xf numFmtId="49" fontId="24" fillId="0" borderId="1" xfId="0" applyNumberFormat="1" applyFont="1" applyFill="1" applyBorder="1" applyAlignment="1">
      <alignment horizontal="center" vertical="center" wrapText="1"/>
    </xf>
    <xf numFmtId="0" fontId="50" fillId="11" borderId="1" xfId="0" quotePrefix="1" applyFont="1" applyFill="1" applyBorder="1" applyAlignment="1">
      <alignment horizontal="center" vertical="center"/>
    </xf>
    <xf numFmtId="16" fontId="27" fillId="0" borderId="1" xfId="0" quotePrefix="1" applyNumberFormat="1" applyFont="1" applyBorder="1" applyAlignment="1">
      <alignment horizontal="center" vertical="center" wrapText="1"/>
    </xf>
    <xf numFmtId="0" fontId="27" fillId="11" borderId="1" xfId="0" quotePrefix="1" applyFont="1" applyFill="1" applyBorder="1" applyAlignment="1">
      <alignment horizontal="center" vertical="center" wrapText="1"/>
    </xf>
    <xf numFmtId="0" fontId="24" fillId="3" borderId="1" xfId="0" quotePrefix="1" applyFont="1" applyFill="1" applyBorder="1" applyAlignment="1">
      <alignment horizontal="center" vertical="center" wrapText="1"/>
    </xf>
    <xf numFmtId="49" fontId="161" fillId="0" borderId="1" xfId="0" quotePrefix="1" applyNumberFormat="1" applyFont="1" applyBorder="1" applyAlignment="1">
      <alignment horizontal="center" vertical="center" wrapText="1"/>
    </xf>
    <xf numFmtId="16" fontId="24" fillId="3" borderId="1" xfId="0" quotePrefix="1" applyNumberFormat="1" applyFont="1" applyFill="1" applyBorder="1" applyAlignment="1">
      <alignment horizontal="center" vertical="center" wrapText="1"/>
    </xf>
    <xf numFmtId="0" fontId="162" fillId="3" borderId="1" xfId="0" quotePrefix="1" applyFont="1" applyFill="1" applyBorder="1" applyAlignment="1">
      <alignment horizontal="center" vertical="center" wrapText="1"/>
    </xf>
    <xf numFmtId="0" fontId="24" fillId="0" borderId="1" xfId="0" quotePrefix="1" applyFont="1" applyFill="1" applyBorder="1" applyAlignment="1">
      <alignment horizontal="center" vertical="center" wrapText="1"/>
    </xf>
    <xf numFmtId="0" fontId="27" fillId="0" borderId="1" xfId="0" quotePrefix="1" applyFont="1" applyBorder="1" applyAlignment="1">
      <alignment horizontal="center" vertical="center" wrapText="1"/>
    </xf>
    <xf numFmtId="164" fontId="74" fillId="17" borderId="114" xfId="146" applyFont="1" applyFill="1" applyBorder="1" applyAlignment="1">
      <alignment horizontal="center" vertical="center"/>
    </xf>
    <xf numFmtId="164" fontId="51" fillId="11" borderId="1" xfId="146" applyFont="1" applyFill="1" applyBorder="1" applyAlignment="1">
      <alignment horizontal="center" vertical="center" wrapText="1"/>
    </xf>
    <xf numFmtId="164" fontId="24" fillId="3" borderId="1" xfId="146" applyFont="1" applyFill="1" applyBorder="1" applyAlignment="1">
      <alignment horizontal="center" vertical="center" wrapText="1"/>
    </xf>
    <xf numFmtId="164" fontId="27" fillId="0" borderId="1" xfId="146" applyFont="1" applyBorder="1" applyAlignment="1">
      <alignment horizontal="center" vertical="center" wrapText="1"/>
    </xf>
    <xf numFmtId="164" fontId="161" fillId="0" borderId="1" xfId="146" applyFont="1" applyBorder="1" applyAlignment="1">
      <alignment horizontal="center" vertical="center" wrapText="1"/>
    </xf>
    <xf numFmtId="164" fontId="162" fillId="3" borderId="1" xfId="146" applyFont="1" applyFill="1" applyBorder="1" applyAlignment="1">
      <alignment horizontal="center" vertical="center" wrapText="1"/>
    </xf>
    <xf numFmtId="164" fontId="24" fillId="0" borderId="1" xfId="146" applyFont="1" applyFill="1" applyBorder="1" applyAlignment="1">
      <alignment horizontal="center" vertical="center" wrapText="1"/>
    </xf>
    <xf numFmtId="0" fontId="0" fillId="2" borderId="1" xfId="0" applyFill="1" applyBorder="1"/>
    <xf numFmtId="0" fontId="74" fillId="2" borderId="1" xfId="45" applyFont="1" applyFill="1" applyBorder="1"/>
    <xf numFmtId="164" fontId="50" fillId="2" borderId="1" xfId="146" applyFont="1" applyFill="1" applyBorder="1"/>
    <xf numFmtId="43" fontId="0" fillId="2" borderId="1" xfId="0" applyNumberFormat="1" applyFill="1" applyBorder="1"/>
    <xf numFmtId="0" fontId="50" fillId="2" borderId="1" xfId="0" applyFont="1" applyFill="1" applyBorder="1"/>
    <xf numFmtId="43" fontId="50" fillId="2" borderId="1" xfId="0" applyNumberFormat="1" applyFont="1" applyFill="1" applyBorder="1"/>
    <xf numFmtId="4" fontId="50" fillId="0" borderId="0" xfId="0" applyNumberFormat="1" applyFont="1"/>
    <xf numFmtId="49" fontId="130" fillId="3" borderId="0" xfId="0" applyNumberFormat="1" applyFont="1" applyFill="1" applyAlignment="1">
      <alignment horizontal="center" vertical="center" wrapText="1"/>
    </xf>
    <xf numFmtId="0" fontId="130" fillId="3" borderId="0" xfId="0" applyFont="1" applyFill="1" applyAlignment="1">
      <alignment wrapText="1"/>
    </xf>
    <xf numFmtId="0" fontId="131" fillId="3" borderId="0" xfId="0" applyFont="1" applyFill="1" applyAlignment="1">
      <alignment wrapText="1"/>
    </xf>
    <xf numFmtId="0" fontId="88" fillId="3" borderId="1" xfId="0" applyFont="1" applyFill="1" applyBorder="1" applyAlignment="1">
      <alignment horizontal="center" vertical="center" wrapText="1"/>
    </xf>
    <xf numFmtId="49" fontId="88" fillId="3" borderId="1" xfId="0" applyNumberFormat="1" applyFont="1" applyFill="1" applyBorder="1" applyAlignment="1">
      <alignment horizontal="center" vertical="center" wrapText="1"/>
    </xf>
    <xf numFmtId="0" fontId="88" fillId="3" borderId="4" xfId="0" applyFont="1" applyFill="1" applyBorder="1" applyAlignment="1">
      <alignment horizontal="center" vertical="center" wrapText="1"/>
    </xf>
    <xf numFmtId="0" fontId="88" fillId="3" borderId="6" xfId="0" applyFont="1" applyFill="1" applyBorder="1" applyAlignment="1">
      <alignment horizontal="center" vertical="center" wrapText="1"/>
    </xf>
    <xf numFmtId="0" fontId="88" fillId="3" borderId="5" xfId="0" applyFont="1" applyFill="1" applyBorder="1" applyAlignment="1">
      <alignment horizontal="center" vertical="center" wrapText="1"/>
    </xf>
    <xf numFmtId="0" fontId="88" fillId="3" borderId="1" xfId="0" applyFont="1" applyFill="1" applyBorder="1" applyAlignment="1">
      <alignment wrapText="1"/>
    </xf>
    <xf numFmtId="0" fontId="88" fillId="3" borderId="72" xfId="0" applyFont="1" applyFill="1" applyBorder="1" applyAlignment="1">
      <alignment horizontal="center" vertical="center" wrapText="1"/>
    </xf>
    <xf numFmtId="0" fontId="88" fillId="3" borderId="7" xfId="0" applyFont="1" applyFill="1" applyBorder="1" applyAlignment="1">
      <alignment horizontal="center" vertical="center" wrapText="1"/>
    </xf>
    <xf numFmtId="0" fontId="88" fillId="3" borderId="30" xfId="0" applyFont="1" applyFill="1" applyBorder="1" applyAlignment="1">
      <alignment horizontal="center" vertical="center" wrapText="1"/>
    </xf>
    <xf numFmtId="49" fontId="130" fillId="3" borderId="1" xfId="0" applyNumberFormat="1" applyFont="1" applyFill="1" applyBorder="1" applyAlignment="1">
      <alignment horizontal="right" vertical="top" wrapText="1"/>
    </xf>
    <xf numFmtId="0" fontId="88" fillId="3" borderId="1" xfId="0" applyFont="1" applyFill="1" applyBorder="1" applyAlignment="1">
      <alignment vertical="top" wrapText="1"/>
    </xf>
    <xf numFmtId="0" fontId="88" fillId="3" borderId="66" xfId="0" applyFont="1" applyFill="1" applyBorder="1" applyAlignment="1">
      <alignment horizontal="center" vertical="center" wrapText="1"/>
    </xf>
    <xf numFmtId="0" fontId="88" fillId="3" borderId="32" xfId="0" applyFont="1" applyFill="1" applyBorder="1" applyAlignment="1">
      <alignment horizontal="center" vertical="center" wrapText="1"/>
    </xf>
    <xf numFmtId="0" fontId="88" fillId="3" borderId="29" xfId="0" applyFont="1" applyFill="1" applyBorder="1" applyAlignment="1">
      <alignment horizontal="center" vertical="center" wrapText="1"/>
    </xf>
    <xf numFmtId="0" fontId="130" fillId="3" borderId="1" xfId="0" applyFont="1" applyFill="1" applyBorder="1" applyAlignment="1">
      <alignment horizontal="left" vertical="top" wrapText="1"/>
    </xf>
    <xf numFmtId="0" fontId="88" fillId="3" borderId="1" xfId="0" applyFont="1" applyFill="1" applyBorder="1" applyAlignment="1">
      <alignment horizontal="left" vertical="top" wrapText="1"/>
    </xf>
    <xf numFmtId="2" fontId="88" fillId="3" borderId="0" xfId="0" applyNumberFormat="1" applyFont="1" applyFill="1" applyAlignment="1">
      <alignment horizontal="left" vertical="top" wrapText="1"/>
    </xf>
    <xf numFmtId="0" fontId="0" fillId="3" borderId="0" xfId="0" applyFill="1" applyAlignment="1">
      <alignment vertical="top" wrapText="1"/>
    </xf>
    <xf numFmtId="0" fontId="74" fillId="0" borderId="0" xfId="0" applyFont="1" applyAlignment="1">
      <alignment wrapText="1"/>
    </xf>
    <xf numFmtId="0" fontId="65" fillId="3" borderId="1" xfId="0" applyFont="1" applyFill="1" applyBorder="1" applyAlignment="1">
      <alignment horizontal="left" vertical="top" wrapText="1"/>
    </xf>
    <xf numFmtId="0" fontId="0" fillId="3" borderId="1" xfId="0" applyFill="1" applyBorder="1" applyAlignment="1">
      <alignment horizontal="left" vertical="top" wrapText="1"/>
    </xf>
    <xf numFmtId="49" fontId="24" fillId="3" borderId="0" xfId="0" applyNumberFormat="1" applyFont="1" applyFill="1" applyAlignment="1">
      <alignment horizontal="left" vertical="top" wrapText="1"/>
    </xf>
    <xf numFmtId="0" fontId="0" fillId="3" borderId="0" xfId="0" applyFill="1" applyAlignment="1">
      <alignment wrapText="1"/>
    </xf>
    <xf numFmtId="49" fontId="24" fillId="3" borderId="3" xfId="0" applyNumberFormat="1" applyFont="1" applyFill="1" applyBorder="1" applyAlignment="1">
      <alignment horizontal="left" vertical="top" wrapText="1"/>
    </xf>
    <xf numFmtId="0" fontId="0" fillId="3" borderId="3" xfId="0" applyFill="1" applyBorder="1" applyAlignment="1">
      <alignment wrapText="1"/>
    </xf>
    <xf numFmtId="49" fontId="24" fillId="3" borderId="3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49" fontId="24" fillId="3" borderId="1" xfId="0" applyNumberFormat="1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/>
    </xf>
    <xf numFmtId="49" fontId="65" fillId="3" borderId="1" xfId="0" applyNumberFormat="1" applyFont="1" applyFill="1" applyBorder="1" applyAlignment="1">
      <alignment horizontal="right" vertical="top" wrapText="1"/>
    </xf>
    <xf numFmtId="0" fontId="0" fillId="3" borderId="1" xfId="0" applyFill="1" applyBorder="1" applyAlignment="1">
      <alignment vertical="top" wrapText="1"/>
    </xf>
    <xf numFmtId="0" fontId="175" fillId="0" borderId="4" xfId="153" applyFont="1" applyBorder="1" applyAlignment="1">
      <alignment horizontal="center" vertical="center" wrapText="1"/>
    </xf>
    <xf numFmtId="0" fontId="175" fillId="0" borderId="106" xfId="153" applyFont="1" applyBorder="1" applyAlignment="1">
      <alignment horizontal="center" vertical="center" wrapText="1"/>
    </xf>
    <xf numFmtId="0" fontId="175" fillId="0" borderId="65" xfId="153" applyFont="1" applyBorder="1" applyAlignment="1">
      <alignment horizontal="center" vertical="center" wrapText="1"/>
    </xf>
    <xf numFmtId="0" fontId="80" fillId="0" borderId="0" xfId="153" applyFont="1" applyAlignment="1">
      <alignment horizontal="right" vertical="center"/>
    </xf>
    <xf numFmtId="0" fontId="175" fillId="0" borderId="0" xfId="153" applyFont="1" applyBorder="1" applyAlignment="1">
      <alignment horizontal="center" vertical="center" wrapText="1"/>
    </xf>
    <xf numFmtId="0" fontId="175" fillId="0" borderId="1" xfId="153" applyFont="1" applyBorder="1" applyAlignment="1">
      <alignment horizontal="center" vertical="center" wrapText="1"/>
    </xf>
    <xf numFmtId="0" fontId="97" fillId="0" borderId="115" xfId="150" applyFont="1" applyBorder="1" applyAlignment="1">
      <alignment horizontal="center"/>
    </xf>
    <xf numFmtId="0" fontId="74" fillId="0" borderId="0" xfId="150" applyFont="1" applyAlignment="1">
      <alignment horizontal="center"/>
    </xf>
    <xf numFmtId="49" fontId="74" fillId="0" borderId="0" xfId="150" applyNumberFormat="1" applyFont="1" applyAlignment="1">
      <alignment horizontal="left" vertical="center" wrapText="1"/>
    </xf>
    <xf numFmtId="0" fontId="74" fillId="0" borderId="0" xfId="150" applyNumberFormat="1" applyFont="1" applyAlignment="1">
      <alignment horizontal="left" vertical="center" wrapText="1"/>
    </xf>
    <xf numFmtId="0" fontId="74" fillId="0" borderId="0" xfId="150" applyFont="1" applyAlignment="1">
      <alignment horizontal="left" vertical="center" wrapText="1"/>
    </xf>
    <xf numFmtId="0" fontId="74" fillId="0" borderId="0" xfId="150" applyFont="1" applyFill="1" applyAlignment="1">
      <alignment horizontal="left" vertical="center" wrapText="1"/>
    </xf>
    <xf numFmtId="0" fontId="80" fillId="0" borderId="0" xfId="148" applyFont="1" applyAlignment="1">
      <alignment horizontal="center" vertical="center"/>
    </xf>
    <xf numFmtId="0" fontId="80" fillId="0" borderId="0" xfId="148" applyFont="1" applyAlignment="1">
      <alignment horizontal="center" vertical="center" wrapText="1"/>
    </xf>
    <xf numFmtId="49" fontId="80" fillId="0" borderId="0" xfId="148" applyNumberFormat="1" applyFont="1" applyAlignment="1">
      <alignment horizontal="center" vertical="center" wrapText="1"/>
    </xf>
    <xf numFmtId="0" fontId="78" fillId="6" borderId="1" xfId="148" applyFont="1" applyFill="1" applyBorder="1" applyAlignment="1">
      <alignment horizontal="center" vertical="center" wrapText="1"/>
    </xf>
    <xf numFmtId="0" fontId="78" fillId="6" borderId="114" xfId="148" applyFont="1" applyFill="1" applyBorder="1" applyAlignment="1">
      <alignment horizontal="center" vertical="center" wrapText="1"/>
    </xf>
    <xf numFmtId="0" fontId="78" fillId="6" borderId="32" xfId="148" applyFont="1" applyFill="1" applyBorder="1" applyAlignment="1">
      <alignment horizontal="center" vertical="center" wrapText="1"/>
    </xf>
    <xf numFmtId="0" fontId="27" fillId="0" borderId="114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49" fontId="27" fillId="0" borderId="0" xfId="5" applyNumberFormat="1" applyFont="1" applyBorder="1" applyAlignment="1">
      <alignment horizontal="left" vertical="center" wrapText="1"/>
    </xf>
    <xf numFmtId="0" fontId="50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27" fillId="0" borderId="114" xfId="0" applyNumberFormat="1" applyFont="1" applyBorder="1" applyAlignment="1">
      <alignment horizontal="center" vertical="center" wrapText="1"/>
    </xf>
    <xf numFmtId="49" fontId="27" fillId="0" borderId="32" xfId="0" applyNumberFormat="1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0" fontId="50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14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75" fillId="5" borderId="4" xfId="0" applyFont="1" applyFill="1" applyBorder="1" applyAlignment="1">
      <alignment horizontal="left" vertical="center" wrapText="1"/>
    </xf>
    <xf numFmtId="0" fontId="75" fillId="5" borderId="65" xfId="0" applyFont="1" applyFill="1" applyBorder="1" applyAlignment="1">
      <alignment horizontal="left" vertical="center" wrapText="1"/>
    </xf>
    <xf numFmtId="0" fontId="75" fillId="7" borderId="4" xfId="0" applyFont="1" applyFill="1" applyBorder="1" applyAlignment="1">
      <alignment horizontal="center" vertical="center"/>
    </xf>
    <xf numFmtId="0" fontId="75" fillId="7" borderId="106" xfId="0" applyFont="1" applyFill="1" applyBorder="1" applyAlignment="1">
      <alignment horizontal="center" vertical="center"/>
    </xf>
    <xf numFmtId="0" fontId="75" fillId="7" borderId="65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0" xfId="0" applyFont="1" applyAlignment="1">
      <alignment horizontal="left"/>
    </xf>
    <xf numFmtId="0" fontId="75" fillId="0" borderId="4" xfId="0" applyFont="1" applyBorder="1" applyAlignment="1">
      <alignment horizontal="left" wrapText="1"/>
    </xf>
    <xf numFmtId="0" fontId="75" fillId="0" borderId="106" xfId="0" applyFont="1" applyBorder="1" applyAlignment="1">
      <alignment horizontal="left" wrapText="1"/>
    </xf>
    <xf numFmtId="0" fontId="75" fillId="0" borderId="65" xfId="0" applyFont="1" applyBorder="1" applyAlignment="1">
      <alignment horizontal="left" wrapText="1"/>
    </xf>
    <xf numFmtId="0" fontId="75" fillId="5" borderId="1" xfId="0" applyFont="1" applyFill="1" applyBorder="1" applyAlignment="1">
      <alignment horizontal="left" vertical="center"/>
    </xf>
    <xf numFmtId="0" fontId="75" fillId="0" borderId="4" xfId="0" applyFont="1" applyBorder="1" applyAlignment="1">
      <alignment horizontal="center"/>
    </xf>
    <xf numFmtId="0" fontId="75" fillId="0" borderId="106" xfId="0" applyFont="1" applyBorder="1" applyAlignment="1">
      <alignment horizontal="center"/>
    </xf>
    <xf numFmtId="0" fontId="75" fillId="0" borderId="65" xfId="0" applyFont="1" applyBorder="1" applyAlignment="1">
      <alignment horizontal="center"/>
    </xf>
    <xf numFmtId="0" fontId="0" fillId="0" borderId="29" xfId="0" applyBorder="1" applyAlignment="1">
      <alignment horizontal="center" vertical="center" wrapText="1"/>
    </xf>
    <xf numFmtId="0" fontId="0" fillId="0" borderId="4" xfId="0" applyFont="1" applyBorder="1" applyAlignment="1">
      <alignment horizontal="center" wrapText="1"/>
    </xf>
    <xf numFmtId="0" fontId="0" fillId="0" borderId="106" xfId="0" applyFont="1" applyBorder="1" applyAlignment="1">
      <alignment horizontal="center" wrapText="1"/>
    </xf>
    <xf numFmtId="0" fontId="0" fillId="0" borderId="105" xfId="0" applyFont="1" applyBorder="1" applyAlignment="1">
      <alignment horizontal="center" wrapText="1"/>
    </xf>
    <xf numFmtId="0" fontId="0" fillId="0" borderId="4" xfId="0" applyFont="1" applyBorder="1" applyAlignment="1">
      <alignment horizontal="right" vertical="center" wrapText="1"/>
    </xf>
    <xf numFmtId="0" fontId="0" fillId="0" borderId="106" xfId="0" applyFont="1" applyBorder="1" applyAlignment="1">
      <alignment horizontal="right" vertical="center" wrapText="1"/>
    </xf>
    <xf numFmtId="0" fontId="0" fillId="0" borderId="105" xfId="0" applyFont="1" applyBorder="1" applyAlignment="1">
      <alignment horizontal="right" vertical="center" wrapText="1"/>
    </xf>
    <xf numFmtId="0" fontId="24" fillId="3" borderId="66" xfId="0" applyFont="1" applyFill="1" applyBorder="1" applyAlignment="1">
      <alignment horizontal="center" vertical="center" wrapText="1"/>
    </xf>
    <xf numFmtId="0" fontId="0" fillId="3" borderId="32" xfId="0" applyFill="1" applyBorder="1" applyAlignment="1">
      <alignment horizontal="center" vertical="center" wrapText="1"/>
    </xf>
    <xf numFmtId="0" fontId="0" fillId="3" borderId="29" xfId="0" applyFill="1" applyBorder="1" applyAlignment="1">
      <alignment horizontal="center" vertical="center" wrapText="1"/>
    </xf>
    <xf numFmtId="0" fontId="152" fillId="9" borderId="4" xfId="0" applyFont="1" applyFill="1" applyBorder="1" applyAlignment="1">
      <alignment horizontal="center"/>
    </xf>
    <xf numFmtId="0" fontId="152" fillId="9" borderId="106" xfId="0" applyFont="1" applyFill="1" applyBorder="1" applyAlignment="1">
      <alignment horizontal="center"/>
    </xf>
    <xf numFmtId="0" fontId="152" fillId="9" borderId="65" xfId="0" applyFont="1" applyFill="1" applyBorder="1" applyAlignment="1">
      <alignment horizontal="center"/>
    </xf>
    <xf numFmtId="0" fontId="49" fillId="0" borderId="0" xfId="0" applyFont="1" applyAlignment="1">
      <alignment horizontal="center"/>
    </xf>
    <xf numFmtId="0" fontId="27" fillId="0" borderId="3" xfId="5" applyBorder="1" applyAlignment="1">
      <alignment horizontal="center" wrapText="1"/>
    </xf>
    <xf numFmtId="0" fontId="47" fillId="0" borderId="0" xfId="0" applyFont="1" applyAlignment="1">
      <alignment horizontal="center" vertical="center"/>
    </xf>
    <xf numFmtId="49" fontId="27" fillId="0" borderId="3" xfId="5" applyNumberFormat="1" applyBorder="1" applyAlignment="1">
      <alignment horizontal="left" wrapText="1"/>
    </xf>
    <xf numFmtId="49" fontId="51" fillId="0" borderId="1" xfId="0" applyNumberFormat="1" applyFont="1" applyBorder="1" applyAlignment="1">
      <alignment horizontal="left" vertical="top" wrapText="1"/>
    </xf>
    <xf numFmtId="0" fontId="52" fillId="0" borderId="1" xfId="0" applyFont="1" applyBorder="1" applyAlignment="1">
      <alignment horizontal="left" vertical="top" wrapText="1"/>
    </xf>
    <xf numFmtId="0" fontId="53" fillId="0" borderId="10" xfId="0" applyFont="1" applyBorder="1" applyAlignment="1">
      <alignment horizontal="center"/>
    </xf>
    <xf numFmtId="49" fontId="27" fillId="0" borderId="4" xfId="5" applyNumberFormat="1" applyBorder="1">
      <alignment horizontal="center"/>
    </xf>
    <xf numFmtId="49" fontId="27" fillId="0" borderId="6" xfId="5" applyNumberFormat="1" applyBorder="1">
      <alignment horizontal="center"/>
    </xf>
    <xf numFmtId="49" fontId="27" fillId="0" borderId="5" xfId="5" applyNumberFormat="1" applyBorder="1">
      <alignment horizontal="center"/>
    </xf>
    <xf numFmtId="0" fontId="57" fillId="0" borderId="0" xfId="59" applyFont="1" applyAlignment="1">
      <alignment horizontal="left" vertical="top" wrapText="1"/>
    </xf>
    <xf numFmtId="0" fontId="57" fillId="0" borderId="0" xfId="59" applyFont="1" applyAlignment="1">
      <alignment horizontal="center" wrapText="1"/>
    </xf>
    <xf numFmtId="0" fontId="59" fillId="0" borderId="10" xfId="59" applyFont="1" applyBorder="1" applyAlignment="1">
      <alignment horizontal="center" vertical="top"/>
    </xf>
    <xf numFmtId="0" fontId="60" fillId="0" borderId="0" xfId="59" applyFont="1" applyAlignment="1">
      <alignment horizontal="center"/>
    </xf>
    <xf numFmtId="0" fontId="58" fillId="0" borderId="0" xfId="59" applyFont="1" applyAlignment="1">
      <alignment horizontal="center" vertical="top"/>
    </xf>
    <xf numFmtId="0" fontId="57" fillId="0" borderId="0" xfId="59" applyFont="1" applyAlignment="1">
      <alignment horizontal="left" vertical="top"/>
    </xf>
    <xf numFmtId="0" fontId="57" fillId="0" borderId="0" xfId="59" applyFont="1" applyAlignment="1">
      <alignment vertical="top" wrapText="1"/>
    </xf>
    <xf numFmtId="0" fontId="57" fillId="0" borderId="3" xfId="59" applyFont="1" applyBorder="1" applyAlignment="1">
      <alignment horizontal="center" wrapText="1"/>
    </xf>
    <xf numFmtId="0" fontId="59" fillId="0" borderId="10" xfId="59" applyFont="1" applyBorder="1" applyAlignment="1">
      <alignment horizontal="center"/>
    </xf>
    <xf numFmtId="0" fontId="57" fillId="0" borderId="6" xfId="59" applyFont="1" applyBorder="1" applyAlignment="1">
      <alignment horizontal="center"/>
    </xf>
    <xf numFmtId="0" fontId="57" fillId="0" borderId="1" xfId="59" applyFont="1" applyBorder="1" applyAlignment="1">
      <alignment horizontal="center" vertical="center" wrapText="1"/>
    </xf>
    <xf numFmtId="0" fontId="57" fillId="0" borderId="8" xfId="59" applyFont="1" applyBorder="1" applyAlignment="1">
      <alignment horizontal="left" vertical="top" wrapText="1"/>
    </xf>
    <xf numFmtId="0" fontId="57" fillId="0" borderId="10" xfId="59" applyFont="1" applyBorder="1" applyAlignment="1">
      <alignment horizontal="left" vertical="top" wrapText="1"/>
    </xf>
    <xf numFmtId="0" fontId="57" fillId="0" borderId="1" xfId="59" applyFont="1" applyBorder="1" applyAlignment="1">
      <alignment horizontal="center" vertical="center"/>
    </xf>
    <xf numFmtId="0" fontId="61" fillId="0" borderId="4" xfId="59" applyFont="1" applyBorder="1" applyAlignment="1">
      <alignment horizontal="left" vertical="center" wrapText="1"/>
    </xf>
    <xf numFmtId="0" fontId="61" fillId="0" borderId="6" xfId="59" applyFont="1" applyBorder="1" applyAlignment="1">
      <alignment horizontal="left" vertical="center" wrapText="1"/>
    </xf>
    <xf numFmtId="0" fontId="61" fillId="0" borderId="5" xfId="59" applyFont="1" applyBorder="1" applyAlignment="1">
      <alignment horizontal="left" vertical="center" wrapText="1"/>
    </xf>
    <xf numFmtId="0" fontId="58" fillId="0" borderId="10" xfId="59" applyFont="1" applyBorder="1" applyAlignment="1">
      <alignment horizontal="left" vertical="top" wrapText="1"/>
    </xf>
    <xf numFmtId="0" fontId="58" fillId="7" borderId="10" xfId="59" applyFont="1" applyFill="1" applyBorder="1" applyAlignment="1">
      <alignment horizontal="left" vertical="top" wrapText="1"/>
    </xf>
    <xf numFmtId="0" fontId="58" fillId="0" borderId="0" xfId="59" applyFont="1" applyAlignment="1">
      <alignment horizontal="left" vertical="top" wrapText="1"/>
    </xf>
    <xf numFmtId="0" fontId="59" fillId="0" borderId="10" xfId="59" applyFont="1" applyBorder="1" applyAlignment="1">
      <alignment horizontal="center" vertical="center"/>
    </xf>
    <xf numFmtId="0" fontId="57" fillId="0" borderId="3" xfId="59" applyFont="1" applyBorder="1" applyAlignment="1">
      <alignment horizontal="center" vertical="top"/>
    </xf>
    <xf numFmtId="0" fontId="57" fillId="0" borderId="0" xfId="59" applyFont="1" applyAlignment="1">
      <alignment horizontal="left" wrapText="1"/>
    </xf>
    <xf numFmtId="49" fontId="51" fillId="0" borderId="63" xfId="0" applyNumberFormat="1" applyFont="1" applyBorder="1" applyAlignment="1">
      <alignment horizontal="left" vertical="top" wrapText="1"/>
    </xf>
    <xf numFmtId="0" fontId="52" fillId="0" borderId="63" xfId="0" applyFont="1" applyBorder="1" applyAlignment="1">
      <alignment horizontal="left" vertical="top" wrapText="1"/>
    </xf>
    <xf numFmtId="0" fontId="53" fillId="0" borderId="34" xfId="0" applyFont="1" applyBorder="1" applyAlignment="1">
      <alignment horizontal="center"/>
    </xf>
    <xf numFmtId="0" fontId="27" fillId="0" borderId="63" xfId="0" applyFont="1" applyBorder="1" applyAlignment="1">
      <alignment horizontal="center" vertical="center" wrapText="1"/>
    </xf>
    <xf numFmtId="49" fontId="27" fillId="0" borderId="63" xfId="0" applyNumberFormat="1" applyFont="1" applyBorder="1" applyAlignment="1">
      <alignment horizontal="center" vertical="center" wrapText="1"/>
    </xf>
    <xf numFmtId="49" fontId="27" fillId="0" borderId="64" xfId="5" applyNumberFormat="1" applyBorder="1">
      <alignment horizontal="center"/>
    </xf>
    <xf numFmtId="49" fontId="27" fillId="0" borderId="62" xfId="5" applyNumberFormat="1" applyBorder="1">
      <alignment horizontal="center"/>
    </xf>
    <xf numFmtId="49" fontId="27" fillId="0" borderId="65" xfId="5" applyNumberFormat="1" applyBorder="1">
      <alignment horizontal="center"/>
    </xf>
    <xf numFmtId="0" fontId="27" fillId="0" borderId="61" xfId="5" applyBorder="1" applyAlignment="1">
      <alignment horizontal="center" wrapText="1"/>
    </xf>
    <xf numFmtId="49" fontId="27" fillId="0" borderId="61" xfId="5" applyNumberFormat="1" applyBorder="1" applyAlignment="1">
      <alignment horizontal="left" wrapText="1"/>
    </xf>
    <xf numFmtId="0" fontId="58" fillId="0" borderId="4" xfId="59" applyFont="1" applyBorder="1" applyAlignment="1">
      <alignment horizontal="left" vertical="center" wrapText="1"/>
    </xf>
    <xf numFmtId="0" fontId="58" fillId="0" borderId="6" xfId="59" applyFont="1" applyBorder="1" applyAlignment="1">
      <alignment horizontal="left" vertical="center" wrapText="1"/>
    </xf>
    <xf numFmtId="0" fontId="58" fillId="0" borderId="5" xfId="59" applyFont="1" applyBorder="1" applyAlignment="1">
      <alignment horizontal="left" vertical="center" wrapText="1"/>
    </xf>
    <xf numFmtId="0" fontId="59" fillId="0" borderId="0" xfId="59" applyFont="1" applyAlignment="1">
      <alignment horizontal="left" vertical="top" wrapText="1"/>
    </xf>
    <xf numFmtId="0" fontId="57" fillId="0" borderId="3" xfId="59" applyFont="1" applyBorder="1" applyAlignment="1">
      <alignment horizontal="left" vertical="top"/>
    </xf>
    <xf numFmtId="0" fontId="59" fillId="0" borderId="34" xfId="59" applyFont="1" applyBorder="1" applyAlignment="1">
      <alignment horizontal="center" vertical="center"/>
    </xf>
    <xf numFmtId="0" fontId="57" fillId="0" borderId="61" xfId="59" applyFont="1" applyBorder="1" applyAlignment="1">
      <alignment horizontal="left" vertical="top"/>
    </xf>
    <xf numFmtId="0" fontId="57" fillId="0" borderId="34" xfId="59" applyFont="1" applyBorder="1" applyAlignment="1">
      <alignment horizontal="left" vertical="top" wrapText="1"/>
    </xf>
    <xf numFmtId="0" fontId="58" fillId="0" borderId="34" xfId="59" applyFont="1" applyBorder="1" applyAlignment="1">
      <alignment horizontal="left" vertical="top" wrapText="1"/>
    </xf>
    <xf numFmtId="0" fontId="57" fillId="0" borderId="63" xfId="59" applyFont="1" applyBorder="1" applyAlignment="1">
      <alignment horizontal="center" vertical="center" wrapText="1"/>
    </xf>
    <xf numFmtId="0" fontId="57" fillId="0" borderId="63" xfId="59" applyFont="1" applyBorder="1" applyAlignment="1">
      <alignment horizontal="center" vertical="center"/>
    </xf>
    <xf numFmtId="0" fontId="61" fillId="0" borderId="64" xfId="59" applyFont="1" applyBorder="1" applyAlignment="1">
      <alignment horizontal="left" vertical="center" wrapText="1"/>
    </xf>
    <xf numFmtId="0" fontId="61" fillId="0" borderId="62" xfId="59" applyFont="1" applyBorder="1" applyAlignment="1">
      <alignment horizontal="left" vertical="center" wrapText="1"/>
    </xf>
    <xf numFmtId="0" fontId="61" fillId="0" borderId="65" xfId="59" applyFont="1" applyBorder="1" applyAlignment="1">
      <alignment horizontal="left" vertical="center" wrapText="1"/>
    </xf>
    <xf numFmtId="0" fontId="57" fillId="0" borderId="61" xfId="59" applyFont="1" applyBorder="1" applyAlignment="1">
      <alignment horizontal="center" wrapText="1"/>
    </xf>
    <xf numFmtId="0" fontId="59" fillId="0" borderId="34" xfId="59" applyFont="1" applyBorder="1" applyAlignment="1">
      <alignment horizontal="center" vertical="top"/>
    </xf>
    <xf numFmtId="0" fontId="59" fillId="0" borderId="34" xfId="59" applyFont="1" applyBorder="1" applyAlignment="1">
      <alignment horizontal="center"/>
    </xf>
    <xf numFmtId="0" fontId="57" fillId="0" borderId="62" xfId="59" applyFont="1" applyBorder="1" applyAlignment="1">
      <alignment horizontal="center"/>
    </xf>
    <xf numFmtId="0" fontId="125" fillId="0" borderId="0" xfId="101" applyFont="1" applyAlignment="1">
      <alignment horizontal="left" vertical="top" wrapText="1"/>
    </xf>
    <xf numFmtId="0" fontId="124" fillId="0" borderId="61" xfId="101" applyFont="1" applyBorder="1" applyAlignment="1">
      <alignment horizontal="center" vertical="top"/>
    </xf>
    <xf numFmtId="0" fontId="126" fillId="0" borderId="34" xfId="101" applyFont="1" applyBorder="1" applyAlignment="1">
      <alignment horizontal="center" vertical="center"/>
    </xf>
    <xf numFmtId="0" fontId="124" fillId="0" borderId="0" xfId="101" applyFont="1" applyAlignment="1">
      <alignment horizontal="left" vertical="top" wrapText="1"/>
    </xf>
    <xf numFmtId="0" fontId="125" fillId="0" borderId="34" xfId="101" applyFont="1" applyBorder="1" applyAlignment="1">
      <alignment horizontal="left" vertical="top" wrapText="1"/>
    </xf>
    <xf numFmtId="0" fontId="127" fillId="0" borderId="64" xfId="101" applyFont="1" applyBorder="1" applyAlignment="1">
      <alignment horizontal="left" vertical="center" wrapText="1"/>
    </xf>
    <xf numFmtId="0" fontId="127" fillId="0" borderId="62" xfId="101" applyFont="1" applyBorder="1" applyAlignment="1">
      <alignment horizontal="left" vertical="center" wrapText="1"/>
    </xf>
    <xf numFmtId="0" fontId="127" fillId="0" borderId="65" xfId="101" applyFont="1" applyBorder="1" applyAlignment="1">
      <alignment horizontal="left" vertical="center" wrapText="1"/>
    </xf>
    <xf numFmtId="0" fontId="124" fillId="0" borderId="8" xfId="101" applyFont="1" applyBorder="1" applyAlignment="1">
      <alignment horizontal="left" vertical="top" wrapText="1"/>
    </xf>
    <xf numFmtId="0" fontId="124" fillId="0" borderId="34" xfId="101" applyFont="1" applyBorder="1" applyAlignment="1">
      <alignment horizontal="left" vertical="top" wrapText="1"/>
    </xf>
    <xf numFmtId="0" fontId="126" fillId="0" borderId="0" xfId="101" applyFont="1" applyAlignment="1">
      <alignment horizontal="left" vertical="top" wrapText="1"/>
    </xf>
    <xf numFmtId="0" fontId="125" fillId="0" borderId="64" xfId="101" applyFont="1" applyBorder="1" applyAlignment="1">
      <alignment horizontal="left" vertical="center" wrapText="1"/>
    </xf>
    <xf numFmtId="0" fontId="125" fillId="0" borderId="62" xfId="101" applyFont="1" applyBorder="1" applyAlignment="1">
      <alignment horizontal="left" vertical="center" wrapText="1"/>
    </xf>
    <xf numFmtId="0" fontId="125" fillId="0" borderId="65" xfId="101" applyFont="1" applyBorder="1" applyAlignment="1">
      <alignment horizontal="left" vertical="center" wrapText="1"/>
    </xf>
    <xf numFmtId="0" fontId="124" fillId="0" borderId="63" xfId="101" applyFont="1" applyBorder="1" applyAlignment="1">
      <alignment horizontal="center" vertical="center" wrapText="1"/>
    </xf>
    <xf numFmtId="0" fontId="124" fillId="0" borderId="63" xfId="101" applyFont="1" applyBorder="1" applyAlignment="1">
      <alignment horizontal="center" vertical="center"/>
    </xf>
    <xf numFmtId="0" fontId="126" fillId="0" borderId="34" xfId="101" applyFont="1" applyBorder="1" applyAlignment="1">
      <alignment horizontal="center"/>
    </xf>
    <xf numFmtId="0" fontId="124" fillId="0" borderId="62" xfId="101" applyFont="1" applyBorder="1" applyAlignment="1">
      <alignment horizontal="center"/>
    </xf>
    <xf numFmtId="0" fontId="124" fillId="0" borderId="0" xfId="101" applyFont="1" applyAlignment="1">
      <alignment horizontal="center" wrapText="1"/>
    </xf>
    <xf numFmtId="0" fontId="126" fillId="0" borderId="34" xfId="101" applyFont="1" applyBorder="1" applyAlignment="1">
      <alignment horizontal="center" vertical="top"/>
    </xf>
    <xf numFmtId="0" fontId="128" fillId="0" borderId="0" xfId="101" applyFont="1" applyAlignment="1">
      <alignment horizontal="center"/>
    </xf>
    <xf numFmtId="0" fontId="124" fillId="0" borderId="61" xfId="101" applyFont="1" applyBorder="1" applyAlignment="1">
      <alignment horizontal="center" wrapText="1"/>
    </xf>
    <xf numFmtId="0" fontId="133" fillId="3" borderId="39" xfId="22" quotePrefix="1" applyFont="1" applyFill="1" applyBorder="1" applyAlignment="1">
      <alignment horizontal="center" vertical="center" wrapText="1"/>
    </xf>
    <xf numFmtId="0" fontId="133" fillId="3" borderId="40" xfId="22" quotePrefix="1" applyFont="1" applyFill="1" applyBorder="1" applyAlignment="1">
      <alignment horizontal="center" vertical="center" wrapText="1"/>
    </xf>
    <xf numFmtId="0" fontId="133" fillId="3" borderId="7" xfId="22" quotePrefix="1" applyFont="1" applyFill="1" applyBorder="1" applyAlignment="1">
      <alignment horizontal="center" vertical="center" wrapText="1"/>
    </xf>
    <xf numFmtId="0" fontId="133" fillId="3" borderId="8" xfId="22" quotePrefix="1" applyFont="1" applyFill="1" applyBorder="1" applyAlignment="1">
      <alignment horizontal="center" vertical="center" wrapText="1"/>
    </xf>
    <xf numFmtId="0" fontId="133" fillId="3" borderId="30" xfId="22" quotePrefix="1" applyFont="1" applyFill="1" applyBorder="1" applyAlignment="1">
      <alignment horizontal="center" vertical="center" wrapText="1"/>
    </xf>
    <xf numFmtId="0" fontId="133" fillId="3" borderId="31" xfId="22" quotePrefix="1" applyFont="1" applyFill="1" applyBorder="1" applyAlignment="1">
      <alignment horizontal="center" vertical="center" wrapText="1"/>
    </xf>
    <xf numFmtId="170" fontId="133" fillId="3" borderId="66" xfId="22" quotePrefix="1" applyNumberFormat="1" applyFont="1" applyFill="1" applyBorder="1" applyAlignment="1">
      <alignment horizontal="center" vertical="center" wrapText="1"/>
    </xf>
    <xf numFmtId="170" fontId="133" fillId="3" borderId="32" xfId="22" quotePrefix="1" applyNumberFormat="1" applyFont="1" applyFill="1" applyBorder="1" applyAlignment="1">
      <alignment horizontal="center" vertical="center" wrapText="1"/>
    </xf>
    <xf numFmtId="170" fontId="133" fillId="3" borderId="29" xfId="22" quotePrefix="1" applyNumberFormat="1" applyFont="1" applyFill="1" applyBorder="1" applyAlignment="1">
      <alignment horizontal="center" vertical="center" wrapText="1"/>
    </xf>
    <xf numFmtId="0" fontId="133" fillId="3" borderId="66" xfId="22" quotePrefix="1" applyFont="1" applyFill="1" applyBorder="1" applyAlignment="1">
      <alignment horizontal="center" vertical="center" wrapText="1"/>
    </xf>
    <xf numFmtId="0" fontId="133" fillId="3" borderId="32" xfId="22" quotePrefix="1" applyFont="1" applyFill="1" applyBorder="1" applyAlignment="1">
      <alignment horizontal="center" vertical="center" wrapText="1"/>
    </xf>
    <xf numFmtId="0" fontId="133" fillId="3" borderId="29" xfId="22" quotePrefix="1" applyFont="1" applyFill="1" applyBorder="1" applyAlignment="1">
      <alignment horizontal="center" vertical="center" wrapText="1"/>
    </xf>
    <xf numFmtId="0" fontId="46" fillId="3" borderId="63" xfId="21" applyFont="1" applyFill="1" applyBorder="1" applyAlignment="1">
      <alignment horizontal="center" vertical="center" wrapText="1"/>
    </xf>
    <xf numFmtId="0" fontId="46" fillId="3" borderId="63" xfId="121" applyFont="1" applyFill="1" applyBorder="1" applyAlignment="1">
      <alignment horizontal="center" vertical="center" wrapText="1"/>
    </xf>
    <xf numFmtId="0" fontId="133" fillId="3" borderId="64" xfId="23" quotePrefix="1" applyFont="1" applyFill="1" applyBorder="1" applyAlignment="1">
      <alignment horizontal="center" vertical="center" wrapText="1"/>
    </xf>
    <xf numFmtId="0" fontId="133" fillId="3" borderId="62" xfId="23" quotePrefix="1" applyFont="1" applyFill="1" applyBorder="1" applyAlignment="1">
      <alignment horizontal="center" vertical="center" wrapText="1"/>
    </xf>
    <xf numFmtId="0" fontId="133" fillId="3" borderId="65" xfId="23" quotePrefix="1" applyFont="1" applyFill="1" applyBorder="1" applyAlignment="1">
      <alignment horizontal="center" vertical="center" wrapText="1"/>
    </xf>
    <xf numFmtId="2" fontId="46" fillId="3" borderId="64" xfId="21" quotePrefix="1" applyNumberFormat="1" applyFont="1" applyFill="1" applyBorder="1" applyAlignment="1">
      <alignment horizontal="center" vertical="center" wrapText="1"/>
    </xf>
    <xf numFmtId="2" fontId="46" fillId="3" borderId="65" xfId="21" quotePrefix="1" applyNumberFormat="1" applyFont="1" applyFill="1" applyBorder="1" applyAlignment="1">
      <alignment horizontal="center" vertical="center" wrapText="1"/>
    </xf>
    <xf numFmtId="0" fontId="137" fillId="3" borderId="64" xfId="23" quotePrefix="1" applyFont="1" applyFill="1" applyBorder="1" applyAlignment="1">
      <alignment horizontal="right" wrapText="1"/>
    </xf>
    <xf numFmtId="0" fontId="133" fillId="3" borderId="62" xfId="23" quotePrefix="1" applyFont="1" applyFill="1" applyBorder="1" applyAlignment="1">
      <alignment horizontal="right" wrapText="1"/>
    </xf>
    <xf numFmtId="0" fontId="133" fillId="3" borderId="65" xfId="23" quotePrefix="1" applyFont="1" applyFill="1" applyBorder="1" applyAlignment="1">
      <alignment horizontal="right" wrapText="1"/>
    </xf>
    <xf numFmtId="0" fontId="143" fillId="0" borderId="0" xfId="121" applyFont="1" applyAlignment="1">
      <alignment horizontal="center" wrapText="1"/>
    </xf>
    <xf numFmtId="0" fontId="133" fillId="3" borderId="66" xfId="24" quotePrefix="1" applyFont="1" applyFill="1" applyBorder="1" applyAlignment="1">
      <alignment horizontal="center" vertical="center" wrapText="1"/>
    </xf>
    <xf numFmtId="0" fontId="133" fillId="3" borderId="32" xfId="24" quotePrefix="1" applyFont="1" applyFill="1" applyBorder="1" applyAlignment="1">
      <alignment horizontal="center" vertical="center" wrapText="1"/>
    </xf>
    <xf numFmtId="0" fontId="133" fillId="3" borderId="29" xfId="24" quotePrefix="1" applyFont="1" applyFill="1" applyBorder="1" applyAlignment="1">
      <alignment horizontal="center" vertical="center" wrapText="1"/>
    </xf>
    <xf numFmtId="2" fontId="133" fillId="3" borderId="32" xfId="22" quotePrefix="1" applyNumberFormat="1" applyFont="1" applyFill="1" applyBorder="1" applyAlignment="1">
      <alignment horizontal="center" vertical="center" wrapText="1"/>
    </xf>
    <xf numFmtId="0" fontId="133" fillId="3" borderId="66" xfId="22" quotePrefix="1" applyFont="1" applyFill="1" applyBorder="1" applyAlignment="1">
      <alignment horizontal="center" vertical="top" wrapText="1"/>
    </xf>
    <xf numFmtId="0" fontId="133" fillId="3" borderId="32" xfId="22" quotePrefix="1" applyFont="1" applyFill="1" applyBorder="1" applyAlignment="1">
      <alignment horizontal="center" vertical="top" wrapText="1"/>
    </xf>
    <xf numFmtId="2" fontId="46" fillId="3" borderId="64" xfId="121" applyNumberFormat="1" applyFont="1" applyFill="1" applyBorder="1" applyAlignment="1">
      <alignment horizontal="center" vertical="center" wrapText="1"/>
    </xf>
    <xf numFmtId="2" fontId="46" fillId="3" borderId="65" xfId="121" applyNumberFormat="1" applyFont="1" applyFill="1" applyBorder="1" applyAlignment="1">
      <alignment horizontal="center" vertical="center" wrapText="1"/>
    </xf>
    <xf numFmtId="0" fontId="133" fillId="3" borderId="64" xfId="21" quotePrefix="1" applyFont="1" applyFill="1" applyBorder="1" applyAlignment="1">
      <alignment horizontal="center" vertical="center" wrapText="1"/>
    </xf>
    <xf numFmtId="0" fontId="133" fillId="3" borderId="62" xfId="21" quotePrefix="1" applyFont="1" applyFill="1" applyBorder="1" applyAlignment="1">
      <alignment horizontal="center" vertical="center" wrapText="1"/>
    </xf>
    <xf numFmtId="0" fontId="132" fillId="3" borderId="65" xfId="121" applyFont="1" applyFill="1" applyBorder="1" applyAlignment="1">
      <alignment horizontal="center" vertical="center" wrapText="1"/>
    </xf>
    <xf numFmtId="0" fontId="133" fillId="3" borderId="39" xfId="23" quotePrefix="1" applyFont="1" applyFill="1" applyBorder="1" applyAlignment="1">
      <alignment horizontal="center" vertical="center" wrapText="1"/>
    </xf>
    <xf numFmtId="0" fontId="133" fillId="3" borderId="34" xfId="23" quotePrefix="1" applyFont="1" applyFill="1" applyBorder="1" applyAlignment="1">
      <alignment horizontal="center" vertical="center" wrapText="1"/>
    </xf>
    <xf numFmtId="0" fontId="133" fillId="3" borderId="40" xfId="23" quotePrefix="1" applyFont="1" applyFill="1" applyBorder="1" applyAlignment="1">
      <alignment horizontal="center" vertical="center" wrapText="1"/>
    </xf>
    <xf numFmtId="0" fontId="133" fillId="3" borderId="7" xfId="23" quotePrefix="1" applyFont="1" applyFill="1" applyBorder="1" applyAlignment="1">
      <alignment horizontal="center" vertical="center" wrapText="1"/>
    </xf>
    <xf numFmtId="0" fontId="133" fillId="3" borderId="0" xfId="23" quotePrefix="1" applyFont="1" applyFill="1" applyAlignment="1">
      <alignment horizontal="center" vertical="center" wrapText="1"/>
    </xf>
    <xf numFmtId="0" fontId="133" fillId="3" borderId="8" xfId="23" quotePrefix="1" applyFont="1" applyFill="1" applyBorder="1" applyAlignment="1">
      <alignment horizontal="center" vertical="center" wrapText="1"/>
    </xf>
    <xf numFmtId="0" fontId="133" fillId="3" borderId="30" xfId="23" quotePrefix="1" applyFont="1" applyFill="1" applyBorder="1" applyAlignment="1">
      <alignment horizontal="center" vertical="center" wrapText="1"/>
    </xf>
    <xf numFmtId="0" fontId="133" fillId="3" borderId="61" xfId="23" quotePrefix="1" applyFont="1" applyFill="1" applyBorder="1" applyAlignment="1">
      <alignment horizontal="center" vertical="center" wrapText="1"/>
    </xf>
    <xf numFmtId="0" fontId="133" fillId="3" borderId="31" xfId="23" quotePrefix="1" applyFont="1" applyFill="1" applyBorder="1" applyAlignment="1">
      <alignment horizontal="center" vertical="center" wrapText="1"/>
    </xf>
    <xf numFmtId="0" fontId="133" fillId="3" borderId="64" xfId="22" quotePrefix="1" applyFont="1" applyFill="1" applyBorder="1" applyAlignment="1">
      <alignment horizontal="center" vertical="center" wrapText="1"/>
    </xf>
    <xf numFmtId="0" fontId="133" fillId="3" borderId="65" xfId="22" quotePrefix="1" applyFont="1" applyFill="1" applyBorder="1" applyAlignment="1">
      <alignment horizontal="center" vertical="center" wrapText="1"/>
    </xf>
    <xf numFmtId="0" fontId="142" fillId="3" borderId="64" xfId="26" quotePrefix="1" applyFont="1" applyFill="1" applyBorder="1" applyAlignment="1">
      <alignment horizontal="center" vertical="center" wrapText="1"/>
    </xf>
    <xf numFmtId="0" fontId="141" fillId="3" borderId="62" xfId="121" applyFont="1" applyFill="1" applyBorder="1" applyAlignment="1">
      <alignment horizontal="center" vertical="center" wrapText="1"/>
    </xf>
    <xf numFmtId="0" fontId="141" fillId="3" borderId="65" xfId="121" applyFont="1" applyFill="1" applyBorder="1" applyAlignment="1">
      <alignment horizontal="center" vertical="center" wrapText="1"/>
    </xf>
    <xf numFmtId="0" fontId="142" fillId="3" borderId="64" xfId="25" quotePrefix="1" applyFont="1" applyFill="1" applyBorder="1" applyAlignment="1">
      <alignment horizontal="center" vertical="center" wrapText="1"/>
    </xf>
    <xf numFmtId="0" fontId="142" fillId="3" borderId="62" xfId="25" quotePrefix="1" applyFont="1" applyFill="1" applyBorder="1" applyAlignment="1">
      <alignment horizontal="center" vertical="center" wrapText="1"/>
    </xf>
    <xf numFmtId="0" fontId="142" fillId="3" borderId="63" xfId="25" quotePrefix="1" applyFont="1" applyFill="1" applyBorder="1" applyAlignment="1">
      <alignment horizontal="center" vertical="center" wrapText="1"/>
    </xf>
    <xf numFmtId="0" fontId="141" fillId="3" borderId="63" xfId="121" applyFont="1" applyFill="1" applyBorder="1" applyAlignment="1">
      <alignment horizontal="center" vertical="center" wrapText="1"/>
    </xf>
    <xf numFmtId="2" fontId="46" fillId="3" borderId="64" xfId="21" applyNumberFormat="1" applyFont="1" applyFill="1" applyBorder="1" applyAlignment="1">
      <alignment horizontal="center" vertical="center" wrapText="1"/>
    </xf>
    <xf numFmtId="2" fontId="46" fillId="3" borderId="65" xfId="21" applyNumberFormat="1" applyFont="1" applyFill="1" applyBorder="1" applyAlignment="1">
      <alignment horizontal="center" vertical="center" wrapText="1"/>
    </xf>
    <xf numFmtId="0" fontId="133" fillId="3" borderId="64" xfId="23" quotePrefix="1" applyFont="1" applyFill="1" applyBorder="1" applyAlignment="1">
      <alignment horizontal="left" vertical="center" wrapText="1"/>
    </xf>
    <xf numFmtId="0" fontId="132" fillId="3" borderId="62" xfId="121" applyFont="1" applyFill="1" applyBorder="1" applyAlignment="1">
      <alignment horizontal="left" vertical="center" wrapText="1"/>
    </xf>
    <xf numFmtId="0" fontId="132" fillId="3" borderId="65" xfId="121" applyFont="1" applyFill="1" applyBorder="1" applyAlignment="1">
      <alignment horizontal="left" vertical="center" wrapText="1"/>
    </xf>
    <xf numFmtId="10" fontId="133" fillId="3" borderId="64" xfId="21" applyNumberFormat="1" applyFont="1" applyFill="1" applyBorder="1" applyAlignment="1">
      <alignment horizontal="center" vertical="center" wrapText="1"/>
    </xf>
    <xf numFmtId="0" fontId="133" fillId="3" borderId="62" xfId="21" applyFont="1" applyFill="1" applyBorder="1" applyAlignment="1">
      <alignment horizontal="center" vertical="center" wrapText="1"/>
    </xf>
    <xf numFmtId="2" fontId="46" fillId="3" borderId="63" xfId="21" quotePrefix="1" applyNumberFormat="1" applyFont="1" applyFill="1" applyBorder="1" applyAlignment="1">
      <alignment horizontal="center" vertical="center" wrapText="1"/>
    </xf>
    <xf numFmtId="2" fontId="46" fillId="3" borderId="63" xfId="121" applyNumberFormat="1" applyFont="1" applyFill="1" applyBorder="1" applyAlignment="1">
      <alignment horizontal="center" vertical="center" wrapText="1"/>
    </xf>
    <xf numFmtId="0" fontId="133" fillId="6" borderId="64" xfId="23" quotePrefix="1" applyFont="1" applyFill="1" applyBorder="1" applyAlignment="1">
      <alignment horizontal="center" vertical="center" wrapText="1"/>
    </xf>
    <xf numFmtId="0" fontId="133" fillId="6" borderId="62" xfId="23" quotePrefix="1" applyFont="1" applyFill="1" applyBorder="1" applyAlignment="1">
      <alignment horizontal="center" vertical="center" wrapText="1"/>
    </xf>
    <xf numFmtId="0" fontId="133" fillId="6" borderId="65" xfId="23" quotePrefix="1" applyFont="1" applyFill="1" applyBorder="1" applyAlignment="1">
      <alignment horizontal="center" vertical="center" wrapText="1"/>
    </xf>
    <xf numFmtId="4" fontId="134" fillId="6" borderId="64" xfId="21" quotePrefix="1" applyNumberFormat="1" applyFont="1" applyFill="1" applyBorder="1" applyAlignment="1">
      <alignment horizontal="center" vertical="center" wrapText="1"/>
    </xf>
    <xf numFmtId="4" fontId="134" fillId="6" borderId="65" xfId="21" quotePrefix="1" applyNumberFormat="1" applyFont="1" applyFill="1" applyBorder="1" applyAlignment="1">
      <alignment horizontal="center" vertical="center" wrapText="1"/>
    </xf>
    <xf numFmtId="2" fontId="134" fillId="6" borderId="63" xfId="21" quotePrefix="1" applyNumberFormat="1" applyFont="1" applyFill="1" applyBorder="1" applyAlignment="1">
      <alignment horizontal="center" vertical="center" wrapText="1"/>
    </xf>
    <xf numFmtId="2" fontId="134" fillId="6" borderId="63" xfId="121" applyNumberFormat="1" applyFont="1" applyFill="1" applyBorder="1" applyAlignment="1">
      <alignment horizontal="center" vertical="center" wrapText="1"/>
    </xf>
    <xf numFmtId="0" fontId="132" fillId="3" borderId="0" xfId="121" applyFont="1" applyFill="1" applyAlignment="1">
      <alignment horizontal="center" vertical="top" wrapText="1"/>
    </xf>
    <xf numFmtId="0" fontId="135" fillId="6" borderId="64" xfId="23" quotePrefix="1" applyFont="1" applyFill="1" applyBorder="1" applyAlignment="1">
      <alignment horizontal="left" vertical="center" wrapText="1"/>
    </xf>
    <xf numFmtId="0" fontId="136" fillId="6" borderId="62" xfId="121" applyFont="1" applyFill="1" applyBorder="1" applyAlignment="1">
      <alignment horizontal="left" vertical="center" wrapText="1"/>
    </xf>
    <xf numFmtId="0" fontId="136" fillId="6" borderId="65" xfId="121" applyFont="1" applyFill="1" applyBorder="1" applyAlignment="1">
      <alignment horizontal="left" vertical="center" wrapText="1"/>
    </xf>
    <xf numFmtId="4" fontId="134" fillId="6" borderId="63" xfId="21" quotePrefix="1" applyNumberFormat="1" applyFont="1" applyFill="1" applyBorder="1" applyAlignment="1">
      <alignment horizontal="center" vertical="center" wrapText="1"/>
    </xf>
    <xf numFmtId="4" fontId="134" fillId="6" borderId="63" xfId="121" applyNumberFormat="1" applyFont="1" applyFill="1" applyBorder="1" applyAlignment="1">
      <alignment horizontal="center" vertical="center" wrapText="1"/>
    </xf>
    <xf numFmtId="0" fontId="132" fillId="3" borderId="34" xfId="121" applyFont="1" applyFill="1" applyBorder="1" applyAlignment="1">
      <alignment horizontal="center" wrapText="1"/>
    </xf>
    <xf numFmtId="0" fontId="133" fillId="3" borderId="0" xfId="2" applyFont="1" applyFill="1" applyAlignment="1">
      <alignment horizontal="center" vertical="top" wrapText="1"/>
    </xf>
    <xf numFmtId="0" fontId="135" fillId="6" borderId="64" xfId="22" quotePrefix="1" applyFont="1" applyFill="1" applyBorder="1" applyAlignment="1">
      <alignment horizontal="center" vertical="center" wrapText="1"/>
    </xf>
    <xf numFmtId="0" fontId="135" fillId="6" borderId="62" xfId="22" quotePrefix="1" applyFont="1" applyFill="1" applyBorder="1" applyAlignment="1">
      <alignment horizontal="center" vertical="center" wrapText="1"/>
    </xf>
    <xf numFmtId="0" fontId="132" fillId="3" borderId="0" xfId="121" applyFont="1" applyFill="1" applyAlignment="1">
      <alignment horizontal="center" wrapText="1"/>
    </xf>
    <xf numFmtId="2" fontId="134" fillId="3" borderId="63" xfId="21" quotePrefix="1" applyNumberFormat="1" applyFont="1" applyFill="1" applyBorder="1" applyAlignment="1">
      <alignment horizontal="center" vertical="center" wrapText="1"/>
    </xf>
    <xf numFmtId="2" fontId="134" fillId="3" borderId="63" xfId="121" applyNumberFormat="1" applyFont="1" applyFill="1" applyBorder="1" applyAlignment="1">
      <alignment horizontal="center" vertical="center" wrapText="1"/>
    </xf>
    <xf numFmtId="0" fontId="132" fillId="3" borderId="64" xfId="121" applyFont="1" applyFill="1" applyBorder="1" applyAlignment="1">
      <alignment horizontal="center" vertical="center" wrapText="1"/>
    </xf>
    <xf numFmtId="0" fontId="135" fillId="6" borderId="62" xfId="23" quotePrefix="1" applyFont="1" applyFill="1" applyBorder="1" applyAlignment="1">
      <alignment horizontal="left" vertical="center" wrapText="1"/>
    </xf>
    <xf numFmtId="0" fontId="135" fillId="6" borderId="65" xfId="23" quotePrefix="1" applyFont="1" applyFill="1" applyBorder="1" applyAlignment="1">
      <alignment horizontal="left" vertical="center" wrapText="1"/>
    </xf>
    <xf numFmtId="2" fontId="46" fillId="3" borderId="63" xfId="21" applyNumberFormat="1" applyFont="1" applyFill="1" applyBorder="1" applyAlignment="1">
      <alignment horizontal="center" vertical="center" wrapText="1"/>
    </xf>
    <xf numFmtId="0" fontId="137" fillId="3" borderId="64" xfId="23" quotePrefix="1" applyFont="1" applyFill="1" applyBorder="1" applyAlignment="1">
      <alignment horizontal="right" vertical="center" wrapText="1"/>
    </xf>
    <xf numFmtId="0" fontId="133" fillId="3" borderId="62" xfId="23" quotePrefix="1" applyFont="1" applyFill="1" applyBorder="1" applyAlignment="1">
      <alignment horizontal="right" vertical="center" wrapText="1"/>
    </xf>
    <xf numFmtId="0" fontId="133" fillId="3" borderId="65" xfId="23" quotePrefix="1" applyFont="1" applyFill="1" applyBorder="1" applyAlignment="1">
      <alignment horizontal="right" vertical="center" wrapText="1"/>
    </xf>
    <xf numFmtId="9" fontId="133" fillId="3" borderId="64" xfId="21" applyNumberFormat="1" applyFont="1" applyFill="1" applyBorder="1" applyAlignment="1">
      <alignment horizontal="center" vertical="center" wrapText="1"/>
    </xf>
    <xf numFmtId="0" fontId="145" fillId="3" borderId="0" xfId="30" quotePrefix="1" applyFont="1" applyFill="1" applyAlignment="1">
      <alignment horizontal="center" vertical="center" wrapText="1"/>
    </xf>
    <xf numFmtId="0" fontId="133" fillId="3" borderId="0" xfId="2" quotePrefix="1" applyFont="1" applyFill="1" applyAlignment="1">
      <alignment horizontal="center" vertical="center" wrapText="1"/>
    </xf>
    <xf numFmtId="0" fontId="132" fillId="3" borderId="0" xfId="121" applyFont="1" applyFill="1" applyAlignment="1">
      <alignment horizontal="center" vertical="center" wrapText="1"/>
    </xf>
    <xf numFmtId="0" fontId="144" fillId="0" borderId="0" xfId="121" applyFont="1" applyAlignment="1">
      <alignment horizontal="left" wrapText="1"/>
    </xf>
    <xf numFmtId="0" fontId="133" fillId="3" borderId="39" xfId="23" quotePrefix="1" applyFont="1" applyFill="1" applyBorder="1" applyAlignment="1">
      <alignment horizontal="center" vertical="top" wrapText="1"/>
    </xf>
    <xf numFmtId="0" fontId="133" fillId="3" borderId="34" xfId="23" quotePrefix="1" applyFont="1" applyFill="1" applyBorder="1" applyAlignment="1">
      <alignment horizontal="center" vertical="top" wrapText="1"/>
    </xf>
    <xf numFmtId="0" fontId="133" fillId="3" borderId="40" xfId="23" quotePrefix="1" applyFont="1" applyFill="1" applyBorder="1" applyAlignment="1">
      <alignment horizontal="center" vertical="top" wrapText="1"/>
    </xf>
    <xf numFmtId="0" fontId="133" fillId="3" borderId="30" xfId="23" quotePrefix="1" applyFont="1" applyFill="1" applyBorder="1" applyAlignment="1">
      <alignment horizontal="center" vertical="top" wrapText="1"/>
    </xf>
    <xf numFmtId="0" fontId="133" fillId="3" borderId="61" xfId="23" quotePrefix="1" applyFont="1" applyFill="1" applyBorder="1" applyAlignment="1">
      <alignment horizontal="center" vertical="top" wrapText="1"/>
    </xf>
    <xf numFmtId="0" fontId="133" fillId="3" borderId="31" xfId="23" quotePrefix="1" applyFont="1" applyFill="1" applyBorder="1" applyAlignment="1">
      <alignment horizontal="center" vertical="top" wrapText="1"/>
    </xf>
    <xf numFmtId="0" fontId="125" fillId="0" borderId="0" xfId="101" applyFont="1" applyAlignment="1">
      <alignment horizontal="center" vertical="top"/>
    </xf>
    <xf numFmtId="0" fontId="124" fillId="0" borderId="0" xfId="101" applyFont="1" applyAlignment="1">
      <alignment horizontal="left" vertical="top"/>
    </xf>
    <xf numFmtId="0" fontId="124" fillId="0" borderId="0" xfId="101" applyFont="1" applyAlignment="1">
      <alignment vertical="top" wrapText="1"/>
    </xf>
    <xf numFmtId="0" fontId="124" fillId="0" borderId="61" xfId="101" applyFont="1" applyBorder="1" applyAlignment="1">
      <alignment horizontal="left" vertical="top"/>
    </xf>
    <xf numFmtId="0" fontId="124" fillId="0" borderId="0" xfId="101" applyFont="1" applyAlignment="1">
      <alignment horizontal="left" wrapText="1"/>
    </xf>
    <xf numFmtId="0" fontId="156" fillId="0" borderId="0" xfId="137" applyFont="1" applyAlignment="1">
      <alignment horizontal="left" vertical="top" wrapText="1"/>
    </xf>
    <xf numFmtId="0" fontId="156" fillId="0" borderId="0" xfId="137" applyFont="1" applyAlignment="1">
      <alignment horizontal="center" wrapText="1"/>
    </xf>
    <xf numFmtId="0" fontId="157" fillId="0" borderId="89" xfId="137" applyFont="1" applyBorder="1" applyAlignment="1">
      <alignment horizontal="center" vertical="top"/>
    </xf>
    <xf numFmtId="0" fontId="158" fillId="0" borderId="0" xfId="137" applyFont="1" applyAlignment="1">
      <alignment horizontal="center"/>
    </xf>
    <xf numFmtId="0" fontId="156" fillId="0" borderId="3" xfId="137" applyFont="1" applyBorder="1" applyAlignment="1">
      <alignment horizontal="center" wrapText="1"/>
    </xf>
    <xf numFmtId="0" fontId="157" fillId="0" borderId="89" xfId="137" applyFont="1" applyBorder="1" applyAlignment="1">
      <alignment horizontal="center"/>
    </xf>
    <xf numFmtId="0" fontId="156" fillId="0" borderId="35" xfId="137" applyFont="1" applyBorder="1" applyAlignment="1">
      <alignment horizontal="center"/>
    </xf>
    <xf numFmtId="0" fontId="156" fillId="0" borderId="1" xfId="137" applyFont="1" applyBorder="1" applyAlignment="1">
      <alignment horizontal="center" vertical="center" wrapText="1"/>
    </xf>
    <xf numFmtId="0" fontId="159" fillId="0" borderId="89" xfId="137" applyFont="1" applyBorder="1" applyAlignment="1">
      <alignment horizontal="left" vertical="top" wrapText="1"/>
    </xf>
    <xf numFmtId="0" fontId="156" fillId="0" borderId="8" xfId="137" applyFont="1" applyBorder="1" applyAlignment="1">
      <alignment horizontal="left" vertical="top" wrapText="1"/>
    </xf>
    <xf numFmtId="0" fontId="156" fillId="0" borderId="1" xfId="137" applyFont="1" applyBorder="1" applyAlignment="1">
      <alignment horizontal="center" vertical="center"/>
    </xf>
    <xf numFmtId="0" fontId="160" fillId="0" borderId="4" xfId="137" applyFont="1" applyBorder="1" applyAlignment="1">
      <alignment horizontal="left" vertical="center" wrapText="1"/>
    </xf>
    <xf numFmtId="0" fontId="160" fillId="0" borderId="35" xfId="137" applyFont="1" applyBorder="1" applyAlignment="1">
      <alignment horizontal="left" vertical="center" wrapText="1"/>
    </xf>
    <xf numFmtId="0" fontId="160" fillId="0" borderId="5" xfId="137" applyFont="1" applyBorder="1" applyAlignment="1">
      <alignment horizontal="left" vertical="center" wrapText="1"/>
    </xf>
    <xf numFmtId="0" fontId="159" fillId="0" borderId="4" xfId="137" applyFont="1" applyBorder="1" applyAlignment="1">
      <alignment horizontal="left" vertical="center" wrapText="1"/>
    </xf>
    <xf numFmtId="0" fontId="159" fillId="0" borderId="35" xfId="137" applyFont="1" applyBorder="1" applyAlignment="1">
      <alignment horizontal="left" vertical="center" wrapText="1"/>
    </xf>
    <xf numFmtId="0" fontId="159" fillId="0" borderId="5" xfId="137" applyFont="1" applyBorder="1" applyAlignment="1">
      <alignment horizontal="left" vertical="center" wrapText="1"/>
    </xf>
    <xf numFmtId="0" fontId="156" fillId="0" borderId="89" xfId="137" applyFont="1" applyBorder="1" applyAlignment="1">
      <alignment horizontal="left" vertical="top" wrapText="1"/>
    </xf>
    <xf numFmtId="0" fontId="159" fillId="0" borderId="0" xfId="137" applyFont="1" applyAlignment="1">
      <alignment horizontal="left" vertical="top" wrapText="1"/>
    </xf>
    <xf numFmtId="0" fontId="157" fillId="0" borderId="0" xfId="137" applyFont="1" applyAlignment="1">
      <alignment horizontal="left" vertical="top" wrapText="1"/>
    </xf>
    <xf numFmtId="0" fontId="156" fillId="0" borderId="3" xfId="137" applyFont="1" applyBorder="1" applyAlignment="1">
      <alignment horizontal="left" vertical="top"/>
    </xf>
    <xf numFmtId="0" fontId="157" fillId="0" borderId="89" xfId="137" applyFont="1" applyBorder="1" applyAlignment="1">
      <alignment horizontal="center" vertical="center"/>
    </xf>
    <xf numFmtId="0" fontId="61" fillId="0" borderId="37" xfId="59" applyFont="1" applyBorder="1" applyAlignment="1">
      <alignment horizontal="left" vertical="center" wrapText="1"/>
    </xf>
    <xf numFmtId="0" fontId="61" fillId="0" borderId="35" xfId="59" applyFont="1" applyBorder="1" applyAlignment="1">
      <alignment horizontal="left" vertical="center" wrapText="1"/>
    </xf>
    <xf numFmtId="0" fontId="61" fillId="0" borderId="38" xfId="59" applyFont="1" applyBorder="1" applyAlignment="1">
      <alignment horizontal="left" vertical="center" wrapText="1"/>
    </xf>
    <xf numFmtId="0" fontId="57" fillId="0" borderId="36" xfId="59" applyFont="1" applyBorder="1" applyAlignment="1">
      <alignment horizontal="center" vertical="center" wrapText="1"/>
    </xf>
    <xf numFmtId="0" fontId="57" fillId="0" borderId="36" xfId="59" applyFont="1" applyBorder="1" applyAlignment="1">
      <alignment horizontal="center" vertical="center"/>
    </xf>
    <xf numFmtId="0" fontId="57" fillId="0" borderId="35" xfId="59" applyFont="1" applyBorder="1" applyAlignment="1">
      <alignment horizontal="center"/>
    </xf>
    <xf numFmtId="0" fontId="82" fillId="3" borderId="0" xfId="123" applyFont="1" applyFill="1" applyAlignment="1">
      <alignment horizontal="center" vertical="top" wrapText="1"/>
    </xf>
    <xf numFmtId="0" fontId="42" fillId="0" borderId="0" xfId="62" applyFont="1" applyAlignment="1">
      <alignment horizontal="center" vertical="top" wrapText="1"/>
    </xf>
    <xf numFmtId="0" fontId="71" fillId="0" borderId="0" xfId="122" applyFont="1" applyAlignment="1">
      <alignment horizontal="center" vertical="top" wrapText="1"/>
    </xf>
    <xf numFmtId="0" fontId="72" fillId="0" borderId="0" xfId="123" applyFont="1" applyAlignment="1">
      <alignment horizontal="center" vertical="center"/>
    </xf>
    <xf numFmtId="0" fontId="72" fillId="0" borderId="0" xfId="123" applyFont="1" applyAlignment="1">
      <alignment horizontal="center" vertical="center" wrapText="1"/>
    </xf>
    <xf numFmtId="49" fontId="74" fillId="0" borderId="0" xfId="122" applyNumberFormat="1" applyFont="1" applyAlignment="1">
      <alignment horizontal="left" vertical="center"/>
    </xf>
    <xf numFmtId="0" fontId="75" fillId="3" borderId="0" xfId="122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2" fontId="75" fillId="0" borderId="0" xfId="122" applyNumberFormat="1" applyFont="1" applyAlignment="1">
      <alignment horizontal="left" vertical="center" wrapText="1"/>
    </xf>
    <xf numFmtId="0" fontId="8" fillId="0" borderId="0" xfId="122" applyAlignment="1">
      <alignment horizontal="left" vertical="center" wrapText="1"/>
    </xf>
    <xf numFmtId="0" fontId="82" fillId="3" borderId="0" xfId="123" applyFont="1" applyFill="1" applyAlignment="1">
      <alignment horizontal="center" wrapText="1"/>
    </xf>
    <xf numFmtId="0" fontId="83" fillId="3" borderId="0" xfId="2" applyFont="1" applyFill="1" applyAlignment="1">
      <alignment horizontal="center" vertical="top" wrapText="1"/>
    </xf>
    <xf numFmtId="2" fontId="75" fillId="0" borderId="0" xfId="126" applyNumberFormat="1" applyFont="1" applyAlignment="1">
      <alignment horizontal="left" vertical="center" wrapText="1"/>
    </xf>
    <xf numFmtId="0" fontId="6" fillId="0" borderId="0" xfId="126" applyAlignment="1">
      <alignment horizontal="left" vertical="center" wrapText="1"/>
    </xf>
    <xf numFmtId="0" fontId="71" fillId="0" borderId="0" xfId="126" applyFont="1" applyAlignment="1">
      <alignment horizontal="center" vertical="top" wrapText="1"/>
    </xf>
    <xf numFmtId="0" fontId="72" fillId="0" borderId="0" xfId="127" applyFont="1" applyAlignment="1">
      <alignment horizontal="center" vertical="center"/>
    </xf>
    <xf numFmtId="0" fontId="72" fillId="0" borderId="0" xfId="127" applyFont="1" applyAlignment="1">
      <alignment horizontal="center" vertical="center" wrapText="1"/>
    </xf>
    <xf numFmtId="49" fontId="74" fillId="0" borderId="0" xfId="126" applyNumberFormat="1" applyFont="1" applyAlignment="1">
      <alignment horizontal="left" vertical="center"/>
    </xf>
    <xf numFmtId="0" fontId="82" fillId="3" borderId="0" xfId="127" applyFont="1" applyFill="1" applyAlignment="1">
      <alignment horizontal="center" wrapText="1"/>
    </xf>
    <xf numFmtId="0" fontId="82" fillId="3" borderId="0" xfId="127" applyFont="1" applyFill="1" applyAlignment="1">
      <alignment horizontal="center" vertical="top" wrapText="1"/>
    </xf>
    <xf numFmtId="0" fontId="72" fillId="0" borderId="3" xfId="127" applyFont="1" applyBorder="1" applyAlignment="1">
      <alignment horizontal="center" vertical="center" wrapText="1"/>
    </xf>
    <xf numFmtId="0" fontId="72" fillId="3" borderId="83" xfId="127" applyFont="1" applyFill="1" applyBorder="1" applyAlignment="1">
      <alignment horizontal="center" vertical="center" wrapText="1"/>
    </xf>
    <xf numFmtId="0" fontId="70" fillId="0" borderId="84" xfId="126" applyFont="1" applyBorder="1" applyAlignment="1">
      <alignment horizontal="center" vertical="center" wrapText="1"/>
    </xf>
    <xf numFmtId="0" fontId="70" fillId="0" borderId="85" xfId="126" applyFont="1" applyBorder="1" applyAlignment="1">
      <alignment horizontal="center" vertical="center" wrapText="1"/>
    </xf>
    <xf numFmtId="0" fontId="72" fillId="0" borderId="83" xfId="127" applyFont="1" applyBorder="1" applyAlignment="1">
      <alignment horizontal="center" vertical="center" wrapText="1"/>
    </xf>
    <xf numFmtId="0" fontId="70" fillId="0" borderId="84" xfId="126" applyFont="1" applyBorder="1" applyAlignment="1">
      <alignment vertical="center" wrapText="1"/>
    </xf>
    <xf numFmtId="0" fontId="70" fillId="0" borderId="85" xfId="126" applyFont="1" applyBorder="1" applyAlignment="1">
      <alignment vertical="center" wrapText="1"/>
    </xf>
    <xf numFmtId="49" fontId="24" fillId="0" borderId="0" xfId="37" applyNumberFormat="1" applyFont="1" applyAlignment="1">
      <alignment vertical="top" wrapText="1"/>
    </xf>
    <xf numFmtId="49" fontId="24" fillId="0" borderId="3" xfId="37" applyNumberFormat="1" applyFont="1" applyBorder="1" applyAlignment="1">
      <alignment horizontal="center" vertical="top" wrapText="1"/>
    </xf>
    <xf numFmtId="49" fontId="89" fillId="0" borderId="0" xfId="37" applyNumberFormat="1" applyFont="1" applyAlignment="1">
      <alignment horizontal="center" vertical="center" wrapText="1"/>
    </xf>
    <xf numFmtId="49" fontId="24" fillId="0" borderId="0" xfId="37" applyNumberFormat="1" applyFont="1" applyAlignment="1">
      <alignment horizontal="center" vertical="center" wrapText="1"/>
    </xf>
    <xf numFmtId="49" fontId="24" fillId="0" borderId="0" xfId="37" applyNumberFormat="1" applyFont="1" applyAlignment="1">
      <alignment horizontal="left" wrapText="1"/>
    </xf>
    <xf numFmtId="49" fontId="24" fillId="0" borderId="0" xfId="37" applyNumberFormat="1" applyFont="1" applyAlignment="1">
      <alignment horizontal="left"/>
    </xf>
    <xf numFmtId="49" fontId="89" fillId="0" borderId="10" xfId="37" applyNumberFormat="1" applyFont="1" applyBorder="1" applyAlignment="1">
      <alignment horizontal="center" vertical="center" wrapText="1"/>
    </xf>
    <xf numFmtId="0" fontId="89" fillId="0" borderId="34" xfId="37" applyFont="1" applyBorder="1" applyAlignment="1">
      <alignment horizontal="center" vertical="top"/>
    </xf>
    <xf numFmtId="0" fontId="88" fillId="0" borderId="34" xfId="37" applyFont="1" applyBorder="1" applyAlignment="1">
      <alignment horizontal="center" vertical="top"/>
    </xf>
    <xf numFmtId="0" fontId="24" fillId="0" borderId="0" xfId="37" applyFont="1" applyAlignment="1">
      <alignment horizontal="left" vertical="center"/>
    </xf>
    <xf numFmtId="0" fontId="24" fillId="0" borderId="3" xfId="37" applyFont="1" applyBorder="1" applyAlignment="1">
      <alignment horizontal="left" vertical="center" wrapText="1"/>
    </xf>
    <xf numFmtId="0" fontId="68" fillId="0" borderId="0" xfId="37" applyFont="1" applyAlignment="1">
      <alignment horizontal="left" wrapText="1"/>
    </xf>
    <xf numFmtId="0" fontId="24" fillId="0" borderId="41" xfId="37" applyFont="1" applyBorder="1" applyAlignment="1">
      <alignment horizontal="center" vertical="center" wrapText="1"/>
    </xf>
    <xf numFmtId="0" fontId="24" fillId="0" borderId="29" xfId="37" applyFont="1" applyBorder="1" applyAlignment="1">
      <alignment horizontal="center" vertical="center" wrapText="1"/>
    </xf>
    <xf numFmtId="0" fontId="24" fillId="0" borderId="37" xfId="37" applyFont="1" applyBorder="1" applyAlignment="1">
      <alignment horizontal="center" vertical="center" wrapText="1"/>
    </xf>
    <xf numFmtId="0" fontId="24" fillId="0" borderId="35" xfId="37" applyFont="1" applyBorder="1" applyAlignment="1">
      <alignment horizontal="center" vertical="center" wrapText="1"/>
    </xf>
    <xf numFmtId="0" fontId="24" fillId="0" borderId="38" xfId="37" applyFont="1" applyBorder="1" applyAlignment="1">
      <alignment horizontal="center" vertical="center" wrapText="1"/>
    </xf>
    <xf numFmtId="49" fontId="89" fillId="0" borderId="10" xfId="37" applyNumberFormat="1" applyFont="1" applyBorder="1" applyAlignment="1">
      <alignment horizontal="center" vertical="top" wrapText="1"/>
    </xf>
    <xf numFmtId="0" fontId="62" fillId="0" borderId="0" xfId="37" applyFont="1" applyAlignment="1">
      <alignment vertical="top"/>
    </xf>
    <xf numFmtId="0" fontId="24" fillId="0" borderId="0" xfId="37" applyFont="1" applyAlignment="1">
      <alignment vertical="top"/>
    </xf>
    <xf numFmtId="0" fontId="87" fillId="0" borderId="0" xfId="37" applyFont="1" applyAlignment="1">
      <alignment horizontal="right" vertical="top" wrapText="1"/>
    </xf>
    <xf numFmtId="0" fontId="65" fillId="0" borderId="0" xfId="37" applyFont="1" applyAlignment="1">
      <alignment horizontal="center" wrapText="1"/>
    </xf>
    <xf numFmtId="0" fontId="88" fillId="0" borderId="0" xfId="37" applyFont="1" applyAlignment="1">
      <alignment horizontal="center" vertical="center"/>
    </xf>
    <xf numFmtId="0" fontId="24" fillId="0" borderId="0" xfId="37" applyFont="1" applyAlignment="1">
      <alignment horizontal="center" wrapText="1"/>
    </xf>
    <xf numFmtId="0" fontId="24" fillId="0" borderId="3" xfId="37" applyFont="1" applyBorder="1" applyAlignment="1">
      <alignment horizontal="center" vertical="top" wrapText="1"/>
    </xf>
    <xf numFmtId="0" fontId="24" fillId="0" borderId="34" xfId="37" applyFont="1" applyBorder="1" applyAlignment="1">
      <alignment horizontal="center" vertical="top"/>
    </xf>
    <xf numFmtId="0" fontId="24" fillId="0" borderId="0" xfId="37" applyFont="1" applyAlignment="1">
      <alignment horizontal="left"/>
    </xf>
    <xf numFmtId="0" fontId="24" fillId="0" borderId="0" xfId="37" applyFont="1" applyAlignment="1">
      <alignment horizontal="left" vertical="center" wrapText="1"/>
    </xf>
    <xf numFmtId="0" fontId="89" fillId="0" borderId="10" xfId="37" applyFont="1" applyBorder="1" applyAlignment="1">
      <alignment horizontal="center" vertical="top"/>
    </xf>
    <xf numFmtId="0" fontId="88" fillId="0" borderId="10" xfId="37" applyFont="1" applyBorder="1" applyAlignment="1">
      <alignment horizontal="center" vertical="top"/>
    </xf>
    <xf numFmtId="0" fontId="24" fillId="0" borderId="12" xfId="37" applyFont="1" applyBorder="1" applyAlignment="1">
      <alignment horizontal="center" vertical="center" wrapText="1"/>
    </xf>
    <xf numFmtId="0" fontId="24" fillId="0" borderId="4" xfId="37" applyFont="1" applyBorder="1" applyAlignment="1">
      <alignment horizontal="center" vertical="center" wrapText="1"/>
    </xf>
    <xf numFmtId="0" fontId="24" fillId="0" borderId="6" xfId="37" applyFont="1" applyBorder="1" applyAlignment="1">
      <alignment horizontal="center" vertical="center" wrapText="1"/>
    </xf>
    <xf numFmtId="0" fontId="24" fillId="0" borderId="5" xfId="37" applyFont="1" applyBorder="1" applyAlignment="1">
      <alignment horizontal="center" vertical="center" wrapText="1"/>
    </xf>
    <xf numFmtId="0" fontId="24" fillId="0" borderId="10" xfId="37" applyFont="1" applyBorder="1" applyAlignment="1">
      <alignment horizontal="center" vertical="top"/>
    </xf>
    <xf numFmtId="0" fontId="88" fillId="0" borderId="0" xfId="62" applyFont="1" applyAlignment="1">
      <alignment horizontal="left" vertical="top" wrapText="1"/>
    </xf>
    <xf numFmtId="0" fontId="24" fillId="0" borderId="0" xfId="62" applyAlignment="1">
      <alignment horizontal="left" vertical="top" wrapText="1"/>
    </xf>
    <xf numFmtId="0" fontId="24" fillId="0" borderId="4" xfId="62" applyBorder="1" applyAlignment="1">
      <alignment horizontal="left" vertical="top" wrapText="1"/>
    </xf>
    <xf numFmtId="0" fontId="24" fillId="0" borderId="6" xfId="62" applyBorder="1" applyAlignment="1">
      <alignment horizontal="left" vertical="top" wrapText="1"/>
    </xf>
    <xf numFmtId="0" fontId="24" fillId="0" borderId="5" xfId="62" applyBorder="1" applyAlignment="1">
      <alignment horizontal="left" vertical="top" wrapText="1"/>
    </xf>
    <xf numFmtId="0" fontId="65" fillId="0" borderId="4" xfId="62" applyFont="1" applyBorder="1" applyAlignment="1">
      <alignment horizontal="left" vertical="top" wrapText="1"/>
    </xf>
    <xf numFmtId="0" fontId="65" fillId="0" borderId="6" xfId="62" applyFont="1" applyBorder="1" applyAlignment="1">
      <alignment horizontal="left" vertical="top" wrapText="1"/>
    </xf>
    <xf numFmtId="0" fontId="65" fillId="0" borderId="5" xfId="62" applyFont="1" applyBorder="1" applyAlignment="1">
      <alignment horizontal="left" vertical="top" wrapText="1"/>
    </xf>
    <xf numFmtId="0" fontId="69" fillId="0" borderId="4" xfId="62" applyFont="1" applyBorder="1" applyAlignment="1">
      <alignment horizontal="left" vertical="top" wrapText="1"/>
    </xf>
    <xf numFmtId="0" fontId="69" fillId="0" borderId="6" xfId="62" applyFont="1" applyBorder="1" applyAlignment="1">
      <alignment horizontal="left" vertical="top" wrapText="1"/>
    </xf>
    <xf numFmtId="0" fontId="69" fillId="0" borderId="5" xfId="62" applyFont="1" applyBorder="1" applyAlignment="1">
      <alignment horizontal="left" vertical="top" wrapText="1"/>
    </xf>
    <xf numFmtId="0" fontId="24" fillId="0" borderId="10" xfId="62" applyBorder="1" applyAlignment="1">
      <alignment wrapText="1"/>
    </xf>
    <xf numFmtId="0" fontId="65" fillId="0" borderId="9" xfId="62" applyFont="1" applyBorder="1" applyAlignment="1">
      <alignment horizontal="left" vertical="top" wrapText="1"/>
    </xf>
    <xf numFmtId="0" fontId="65" fillId="0" borderId="10" xfId="62" applyFont="1" applyBorder="1" applyAlignment="1">
      <alignment horizontal="left" vertical="top" wrapText="1"/>
    </xf>
    <xf numFmtId="0" fontId="65" fillId="0" borderId="11" xfId="62" applyFont="1" applyBorder="1" applyAlignment="1">
      <alignment horizontal="left" vertical="top" wrapText="1"/>
    </xf>
    <xf numFmtId="0" fontId="65" fillId="0" borderId="22" xfId="62" applyFont="1" applyBorder="1" applyAlignment="1">
      <alignment horizontal="left" vertical="top" wrapText="1"/>
    </xf>
    <xf numFmtId="0" fontId="65" fillId="0" borderId="23" xfId="62" applyFont="1" applyBorder="1" applyAlignment="1">
      <alignment horizontal="left" vertical="top" wrapText="1"/>
    </xf>
    <xf numFmtId="0" fontId="65" fillId="0" borderId="24" xfId="62" applyFont="1" applyBorder="1" applyAlignment="1">
      <alignment horizontal="left" vertical="top" wrapText="1"/>
    </xf>
    <xf numFmtId="0" fontId="24" fillId="0" borderId="26" xfId="62" applyBorder="1" applyAlignment="1">
      <alignment horizontal="left" vertical="top" wrapText="1"/>
    </xf>
    <xf numFmtId="0" fontId="24" fillId="0" borderId="27" xfId="62" applyBorder="1" applyAlignment="1">
      <alignment horizontal="left" vertical="top" wrapText="1"/>
    </xf>
    <xf numFmtId="0" fontId="24" fillId="0" borderId="28" xfId="62" applyBorder="1" applyAlignment="1">
      <alignment horizontal="left" vertical="top" wrapText="1"/>
    </xf>
    <xf numFmtId="0" fontId="24" fillId="0" borderId="30" xfId="62" applyBorder="1" applyAlignment="1">
      <alignment horizontal="left" vertical="top" wrapText="1"/>
    </xf>
    <xf numFmtId="0" fontId="24" fillId="0" borderId="3" xfId="62" applyBorder="1" applyAlignment="1">
      <alignment horizontal="left" vertical="top" wrapText="1"/>
    </xf>
    <xf numFmtId="0" fontId="24" fillId="0" borderId="31" xfId="62" applyBorder="1" applyAlignment="1">
      <alignment horizontal="left" vertical="top" wrapText="1"/>
    </xf>
    <xf numFmtId="0" fontId="67" fillId="0" borderId="0" xfId="62" applyFont="1" applyAlignment="1">
      <alignment horizontal="left" vertical="top" wrapText="1"/>
    </xf>
    <xf numFmtId="0" fontId="24" fillId="0" borderId="0" xfId="62" applyAlignment="1">
      <alignment horizontal="left" vertical="top"/>
    </xf>
    <xf numFmtId="0" fontId="24" fillId="0" borderId="14" xfId="62" applyBorder="1" applyAlignment="1">
      <alignment horizontal="center" vertical="top" wrapText="1"/>
    </xf>
    <xf numFmtId="0" fontId="24" fillId="0" borderId="15" xfId="62" applyBorder="1" applyAlignment="1">
      <alignment horizontal="center" vertical="top" wrapText="1"/>
    </xf>
    <xf numFmtId="0" fontId="24" fillId="0" borderId="16" xfId="62" applyBorder="1" applyAlignment="1">
      <alignment horizontal="center" vertical="top" wrapText="1"/>
    </xf>
    <xf numFmtId="0" fontId="24" fillId="0" borderId="14" xfId="62" applyBorder="1" applyAlignment="1">
      <alignment horizontal="center" wrapText="1"/>
    </xf>
    <xf numFmtId="0" fontId="24" fillId="0" borderId="15" xfId="62" applyBorder="1" applyAlignment="1">
      <alignment horizontal="center" wrapText="1"/>
    </xf>
    <xf numFmtId="0" fontId="24" fillId="0" borderId="16" xfId="62" applyBorder="1" applyAlignment="1">
      <alignment horizontal="center" wrapText="1"/>
    </xf>
    <xf numFmtId="0" fontId="65" fillId="0" borderId="17" xfId="62" applyFont="1" applyBorder="1" applyAlignment="1">
      <alignment horizontal="left" vertical="top" wrapText="1"/>
    </xf>
    <xf numFmtId="0" fontId="65" fillId="0" borderId="18" xfId="62" applyFont="1" applyBorder="1" applyAlignment="1">
      <alignment horizontal="left" vertical="top" wrapText="1"/>
    </xf>
    <xf numFmtId="0" fontId="65" fillId="0" borderId="19" xfId="62" applyFont="1" applyBorder="1" applyAlignment="1">
      <alignment horizontal="left" vertical="top" wrapText="1"/>
    </xf>
    <xf numFmtId="0" fontId="62" fillId="0" borderId="0" xfId="62" applyFont="1" applyAlignment="1">
      <alignment vertical="top" wrapText="1"/>
    </xf>
    <xf numFmtId="0" fontId="63" fillId="0" borderId="0" xfId="62" applyFont="1" applyAlignment="1">
      <alignment horizontal="right" vertical="top" wrapText="1"/>
    </xf>
    <xf numFmtId="0" fontId="65" fillId="0" borderId="0" xfId="62" applyFont="1" applyAlignment="1">
      <alignment horizontal="center" vertical="top" wrapText="1"/>
    </xf>
    <xf numFmtId="0" fontId="66" fillId="0" borderId="0" xfId="62" applyFont="1" applyAlignment="1">
      <alignment horizontal="center" vertical="center"/>
    </xf>
    <xf numFmtId="0" fontId="65" fillId="0" borderId="30" xfId="62" applyFont="1" applyBorder="1" applyAlignment="1">
      <alignment horizontal="left" vertical="top" wrapText="1"/>
    </xf>
    <xf numFmtId="0" fontId="65" fillId="0" borderId="31" xfId="62" applyFont="1" applyBorder="1" applyAlignment="1">
      <alignment horizontal="left" vertical="top" wrapText="1"/>
    </xf>
    <xf numFmtId="0" fontId="65" fillId="0" borderId="3" xfId="62" applyFont="1" applyBorder="1" applyAlignment="1">
      <alignment horizontal="left" vertical="top" wrapText="1"/>
    </xf>
    <xf numFmtId="0" fontId="94" fillId="0" borderId="4" xfId="62" applyFont="1" applyBorder="1" applyAlignment="1">
      <alignment horizontal="center" vertical="top" wrapText="1"/>
    </xf>
    <xf numFmtId="0" fontId="94" fillId="0" borderId="6" xfId="62" applyFont="1" applyBorder="1" applyAlignment="1">
      <alignment horizontal="center" vertical="top" wrapText="1"/>
    </xf>
    <xf numFmtId="0" fontId="94" fillId="0" borderId="5" xfId="62" applyFont="1" applyBorder="1" applyAlignment="1">
      <alignment horizontal="center" vertical="top" wrapText="1"/>
    </xf>
    <xf numFmtId="49" fontId="65" fillId="0" borderId="30" xfId="62" applyNumberFormat="1" applyFont="1" applyBorder="1" applyAlignment="1">
      <alignment horizontal="left" vertical="top" wrapText="1"/>
    </xf>
    <xf numFmtId="49" fontId="65" fillId="0" borderId="3" xfId="62" applyNumberFormat="1" applyFont="1" applyBorder="1" applyAlignment="1">
      <alignment horizontal="left" vertical="top" wrapText="1"/>
    </xf>
    <xf numFmtId="49" fontId="65" fillId="0" borderId="31" xfId="62" applyNumberFormat="1" applyFont="1" applyBorder="1" applyAlignment="1">
      <alignment horizontal="left" vertical="top" wrapText="1"/>
    </xf>
    <xf numFmtId="0" fontId="24" fillId="0" borderId="9" xfId="62" applyBorder="1" applyAlignment="1">
      <alignment horizontal="left" vertical="top" wrapText="1"/>
    </xf>
    <xf numFmtId="0" fontId="24" fillId="0" borderId="10" xfId="62" applyBorder="1" applyAlignment="1">
      <alignment horizontal="left" vertical="top" wrapText="1"/>
    </xf>
    <xf numFmtId="0" fontId="24" fillId="0" borderId="11" xfId="62" applyBorder="1" applyAlignment="1">
      <alignment horizontal="left" vertical="top" wrapText="1"/>
    </xf>
    <xf numFmtId="0" fontId="24" fillId="0" borderId="45" xfId="62" applyBorder="1" applyAlignment="1">
      <alignment horizontal="center" wrapText="1"/>
    </xf>
    <xf numFmtId="0" fontId="24" fillId="0" borderId="46" xfId="62" applyBorder="1" applyAlignment="1">
      <alignment horizontal="center" wrapText="1"/>
    </xf>
    <xf numFmtId="0" fontId="24" fillId="0" borderId="18" xfId="62" applyBorder="1" applyAlignment="1">
      <alignment horizontal="center" wrapText="1"/>
    </xf>
    <xf numFmtId="0" fontId="88" fillId="0" borderId="14" xfId="62" applyFont="1" applyBorder="1" applyAlignment="1">
      <alignment horizontal="center" vertical="top" wrapText="1"/>
    </xf>
    <xf numFmtId="0" fontId="88" fillId="0" borderId="16" xfId="62" applyFont="1" applyBorder="1" applyAlignment="1">
      <alignment horizontal="center" vertical="top" wrapText="1"/>
    </xf>
    <xf numFmtId="0" fontId="88" fillId="0" borderId="15" xfId="62" applyFont="1" applyBorder="1" applyAlignment="1">
      <alignment horizontal="center" vertical="top" wrapText="1"/>
    </xf>
    <xf numFmtId="0" fontId="62" fillId="0" borderId="0" xfId="62" applyFont="1" applyAlignment="1">
      <alignment horizontal="left" vertical="top" wrapText="1"/>
    </xf>
    <xf numFmtId="0" fontId="24" fillId="0" borderId="0" xfId="62" applyAlignment="1">
      <alignment horizontal="center" vertical="center"/>
    </xf>
    <xf numFmtId="0" fontId="95" fillId="0" borderId="0" xfId="62" applyFont="1" applyAlignment="1">
      <alignment horizontal="center" vertical="center"/>
    </xf>
    <xf numFmtId="0" fontId="25" fillId="0" borderId="0" xfId="129" applyFont="1"/>
    <xf numFmtId="0" fontId="24" fillId="0" borderId="0" xfId="62" applyAlignment="1">
      <alignment horizontal="center" vertical="top" wrapText="1"/>
    </xf>
    <xf numFmtId="0" fontId="25" fillId="0" borderId="0" xfId="129" applyFont="1" applyAlignment="1">
      <alignment horizontal="center" vertical="top" wrapText="1"/>
    </xf>
    <xf numFmtId="0" fontId="24" fillId="0" borderId="0" xfId="62" applyAlignment="1">
      <alignment vertical="top"/>
    </xf>
    <xf numFmtId="0" fontId="24" fillId="0" borderId="0" xfId="62" applyAlignment="1">
      <alignment vertical="top" wrapText="1"/>
    </xf>
    <xf numFmtId="0" fontId="24" fillId="0" borderId="1" xfId="62" applyBorder="1" applyAlignment="1">
      <alignment horizontal="left" vertical="top" wrapText="1"/>
    </xf>
    <xf numFmtId="0" fontId="25" fillId="0" borderId="0" xfId="129" applyFont="1" applyAlignment="1">
      <alignment horizontal="left" vertical="top" wrapText="1"/>
    </xf>
    <xf numFmtId="0" fontId="24" fillId="0" borderId="1" xfId="62" applyBorder="1" applyAlignment="1">
      <alignment horizontal="center" vertical="top" wrapText="1"/>
    </xf>
    <xf numFmtId="0" fontId="24" fillId="0" borderId="72" xfId="62" applyBorder="1" applyAlignment="1">
      <alignment horizontal="center" vertical="top" wrapText="1"/>
    </xf>
    <xf numFmtId="0" fontId="24" fillId="0" borderId="76" xfId="62" applyBorder="1" applyAlignment="1">
      <alignment horizontal="center" vertical="top" wrapText="1"/>
    </xf>
    <xf numFmtId="0" fontId="24" fillId="0" borderId="77" xfId="62" applyBorder="1" applyAlignment="1">
      <alignment horizontal="center" vertical="top" wrapText="1"/>
    </xf>
    <xf numFmtId="0" fontId="24" fillId="0" borderId="30" xfId="62" applyBorder="1" applyAlignment="1">
      <alignment horizontal="center" vertical="top" wrapText="1"/>
    </xf>
    <xf numFmtId="0" fontId="24" fillId="0" borderId="3" xfId="62" applyBorder="1" applyAlignment="1">
      <alignment horizontal="center" vertical="top" wrapText="1"/>
    </xf>
    <xf numFmtId="0" fontId="24" fillId="0" borderId="31" xfId="62" applyBorder="1" applyAlignment="1">
      <alignment horizontal="center" vertical="top" wrapText="1"/>
    </xf>
    <xf numFmtId="49" fontId="75" fillId="3" borderId="0" xfId="130" applyNumberFormat="1" applyFont="1" applyFill="1" applyAlignment="1">
      <alignment horizontal="left" vertical="center" wrapText="1"/>
    </xf>
    <xf numFmtId="0" fontId="75" fillId="0" borderId="0" xfId="128" applyFont="1" applyAlignment="1">
      <alignment horizontal="left" vertical="center"/>
    </xf>
    <xf numFmtId="0" fontId="75" fillId="2" borderId="103" xfId="128" applyFont="1" applyFill="1" applyBorder="1" applyAlignment="1">
      <alignment horizontal="center" vertical="center" wrapText="1"/>
    </xf>
    <xf numFmtId="49" fontId="75" fillId="2" borderId="104" xfId="128" applyNumberFormat="1" applyFont="1" applyFill="1" applyBorder="1" applyAlignment="1">
      <alignment horizontal="center" vertical="center" wrapText="1"/>
    </xf>
    <xf numFmtId="49" fontId="75" fillId="2" borderId="105" xfId="128" applyNumberFormat="1" applyFont="1" applyFill="1" applyBorder="1" applyAlignment="1">
      <alignment horizontal="center" vertical="center" wrapText="1"/>
    </xf>
    <xf numFmtId="4" fontId="74" fillId="2" borderId="104" xfId="128" applyNumberFormat="1" applyFont="1" applyFill="1" applyBorder="1" applyAlignment="1">
      <alignment horizontal="center" vertical="center" wrapText="1"/>
    </xf>
    <xf numFmtId="4" fontId="74" fillId="2" borderId="105" xfId="128" applyNumberFormat="1" applyFont="1" applyFill="1" applyBorder="1" applyAlignment="1">
      <alignment horizontal="center" vertical="center" wrapText="1"/>
    </xf>
    <xf numFmtId="0" fontId="75" fillId="3" borderId="0" xfId="128" applyFont="1" applyFill="1" applyAlignment="1">
      <alignment horizontal="left"/>
    </xf>
    <xf numFmtId="0" fontId="75" fillId="3" borderId="0" xfId="128" applyFont="1" applyFill="1" applyAlignment="1">
      <alignment horizontal="left" wrapText="1"/>
    </xf>
    <xf numFmtId="0" fontId="74" fillId="0" borderId="0" xfId="128" applyFont="1" applyAlignment="1">
      <alignment vertical="top" wrapText="1"/>
    </xf>
    <xf numFmtId="0" fontId="74" fillId="0" borderId="0" xfId="128" applyFont="1" applyAlignment="1">
      <alignment vertical="top"/>
    </xf>
    <xf numFmtId="0" fontId="96" fillId="0" borderId="0" xfId="128" applyFont="1" applyAlignment="1">
      <alignment horizontal="right" vertical="top" wrapText="1"/>
    </xf>
    <xf numFmtId="0" fontId="74" fillId="3" borderId="0" xfId="128" applyFont="1" applyFill="1" applyAlignment="1">
      <alignment horizontal="center"/>
    </xf>
    <xf numFmtId="0" fontId="75" fillId="3" borderId="0" xfId="128" applyFont="1" applyFill="1" applyAlignment="1">
      <alignment horizontal="center"/>
    </xf>
    <xf numFmtId="0" fontId="74" fillId="3" borderId="0" xfId="128" applyFont="1" applyFill="1" applyAlignment="1">
      <alignment horizontal="left" wrapText="1"/>
    </xf>
    <xf numFmtId="0" fontId="75" fillId="0" borderId="0" xfId="128" applyFont="1" applyAlignment="1">
      <alignment horizontal="left"/>
    </xf>
    <xf numFmtId="0" fontId="75" fillId="0" borderId="0" xfId="131" applyFont="1" applyAlignment="1">
      <alignment horizontal="left" vertical="center"/>
    </xf>
    <xf numFmtId="0" fontId="75" fillId="2" borderId="103" xfId="131" applyFont="1" applyFill="1" applyBorder="1" applyAlignment="1">
      <alignment horizontal="center" vertical="center" wrapText="1"/>
    </xf>
    <xf numFmtId="49" fontId="75" fillId="2" borderId="104" xfId="131" applyNumberFormat="1" applyFont="1" applyFill="1" applyBorder="1" applyAlignment="1">
      <alignment horizontal="center" vertical="center" wrapText="1"/>
    </xf>
    <xf numFmtId="49" fontId="75" fillId="2" borderId="105" xfId="131" applyNumberFormat="1" applyFont="1" applyFill="1" applyBorder="1" applyAlignment="1">
      <alignment horizontal="center" vertical="center" wrapText="1"/>
    </xf>
    <xf numFmtId="0" fontId="75" fillId="3" borderId="0" xfId="131" applyFont="1" applyFill="1" applyAlignment="1">
      <alignment horizontal="left"/>
    </xf>
    <xf numFmtId="0" fontId="75" fillId="3" borderId="0" xfId="131" applyFont="1" applyFill="1" applyAlignment="1">
      <alignment horizontal="left" wrapText="1"/>
    </xf>
    <xf numFmtId="0" fontId="74" fillId="0" borderId="0" xfId="131" applyFont="1" applyAlignment="1">
      <alignment vertical="top" wrapText="1"/>
    </xf>
    <xf numFmtId="0" fontId="74" fillId="0" borderId="0" xfId="131" applyFont="1" applyAlignment="1">
      <alignment vertical="top"/>
    </xf>
    <xf numFmtId="0" fontId="96" fillId="0" borderId="0" xfId="131" applyFont="1" applyAlignment="1">
      <alignment horizontal="right" vertical="top" wrapText="1"/>
    </xf>
    <xf numFmtId="0" fontId="74" fillId="3" borderId="0" xfId="131" applyFont="1" applyFill="1" applyAlignment="1">
      <alignment horizontal="center"/>
    </xf>
    <xf numFmtId="0" fontId="75" fillId="3" borderId="0" xfId="131" applyFont="1" applyFill="1" applyAlignment="1">
      <alignment horizontal="center"/>
    </xf>
    <xf numFmtId="0" fontId="74" fillId="3" borderId="0" xfId="131" applyFont="1" applyFill="1" applyAlignment="1">
      <alignment horizontal="left" wrapText="1"/>
    </xf>
    <xf numFmtId="0" fontId="77" fillId="0" borderId="0" xfId="66" applyFont="1"/>
    <xf numFmtId="0" fontId="28" fillId="0" borderId="0" xfId="131"/>
    <xf numFmtId="0" fontId="77" fillId="0" borderId="0" xfId="66" applyFont="1" applyAlignment="1">
      <alignment wrapText="1"/>
    </xf>
    <xf numFmtId="0" fontId="28" fillId="0" borderId="0" xfId="131" applyAlignment="1">
      <alignment wrapText="1"/>
    </xf>
    <xf numFmtId="0" fontId="51" fillId="0" borderId="0" xfId="66" applyFont="1" applyAlignment="1">
      <alignment horizontal="center" vertical="center"/>
    </xf>
    <xf numFmtId="0" fontId="51" fillId="0" borderId="0" xfId="66" applyFont="1" applyAlignment="1">
      <alignment horizontal="center" vertical="center" wrapText="1"/>
    </xf>
    <xf numFmtId="0" fontId="27" fillId="0" borderId="63" xfId="66" applyFont="1" applyBorder="1" applyAlignment="1">
      <alignment horizontal="center" vertical="center" wrapText="1"/>
    </xf>
    <xf numFmtId="0" fontId="27" fillId="0" borderId="66" xfId="66" applyFont="1" applyBorder="1" applyAlignment="1">
      <alignment horizontal="center" vertical="center" wrapText="1"/>
    </xf>
    <xf numFmtId="0" fontId="27" fillId="0" borderId="29" xfId="66" applyFont="1" applyBorder="1" applyAlignment="1">
      <alignment horizontal="center" vertical="center" wrapText="1"/>
    </xf>
    <xf numFmtId="0" fontId="48" fillId="6" borderId="64" xfId="66" applyFont="1" applyFill="1" applyBorder="1" applyAlignment="1">
      <alignment horizontal="left" vertical="center"/>
    </xf>
    <xf numFmtId="0" fontId="48" fillId="6" borderId="62" xfId="66" applyFont="1" applyFill="1" applyBorder="1" applyAlignment="1">
      <alignment horizontal="left" vertical="center"/>
    </xf>
    <xf numFmtId="0" fontId="48" fillId="6" borderId="65" xfId="66" applyFont="1" applyFill="1" applyBorder="1" applyAlignment="1">
      <alignment horizontal="left" vertical="center"/>
    </xf>
    <xf numFmtId="0" fontId="70" fillId="2" borderId="64" xfId="38" applyFont="1" applyFill="1" applyBorder="1" applyAlignment="1">
      <alignment horizontal="center" vertical="center" wrapText="1"/>
    </xf>
    <xf numFmtId="0" fontId="70" fillId="2" borderId="62" xfId="38" applyFont="1" applyFill="1" applyBorder="1" applyAlignment="1">
      <alignment horizontal="center" vertical="center" wrapText="1"/>
    </xf>
    <xf numFmtId="0" fontId="70" fillId="2" borderId="65" xfId="38" applyFont="1" applyFill="1" applyBorder="1" applyAlignment="1">
      <alignment horizontal="center" vertical="center" wrapText="1"/>
    </xf>
    <xf numFmtId="0" fontId="48" fillId="2" borderId="62" xfId="66" applyFont="1" applyFill="1" applyBorder="1" applyAlignment="1">
      <alignment horizontal="center" vertical="center" wrapText="1"/>
    </xf>
    <xf numFmtId="0" fontId="48" fillId="2" borderId="65" xfId="66" applyFont="1" applyFill="1" applyBorder="1" applyAlignment="1">
      <alignment horizontal="center" vertical="center" wrapText="1"/>
    </xf>
    <xf numFmtId="0" fontId="48" fillId="0" borderId="64" xfId="66" applyFont="1" applyBorder="1" applyAlignment="1">
      <alignment horizontal="center" vertical="center"/>
    </xf>
    <xf numFmtId="0" fontId="48" fillId="0" borderId="62" xfId="66" applyFont="1" applyBorder="1" applyAlignment="1">
      <alignment horizontal="center" vertical="center"/>
    </xf>
    <xf numFmtId="0" fontId="48" fillId="0" borderId="65" xfId="66" applyFont="1" applyBorder="1" applyAlignment="1">
      <alignment horizontal="center" vertical="center"/>
    </xf>
    <xf numFmtId="0" fontId="48" fillId="0" borderId="64" xfId="66" applyFont="1" applyBorder="1" applyAlignment="1">
      <alignment horizontal="right" vertical="center" wrapText="1"/>
    </xf>
    <xf numFmtId="0" fontId="48" fillId="0" borderId="62" xfId="66" applyFont="1" applyBorder="1" applyAlignment="1">
      <alignment horizontal="right" vertical="center" wrapText="1"/>
    </xf>
    <xf numFmtId="0" fontId="48" fillId="0" borderId="65" xfId="66" applyFont="1" applyBorder="1" applyAlignment="1">
      <alignment horizontal="right" vertical="center" wrapText="1"/>
    </xf>
    <xf numFmtId="0" fontId="48" fillId="0" borderId="64" xfId="66" applyFont="1" applyBorder="1" applyAlignment="1">
      <alignment horizontal="left" vertical="center" wrapText="1"/>
    </xf>
    <xf numFmtId="0" fontId="48" fillId="0" borderId="62" xfId="66" applyFont="1" applyBorder="1" applyAlignment="1">
      <alignment horizontal="left" vertical="center" wrapText="1"/>
    </xf>
    <xf numFmtId="0" fontId="48" fillId="0" borderId="65" xfId="66" applyFont="1" applyBorder="1" applyAlignment="1">
      <alignment horizontal="left" vertical="center" wrapText="1"/>
    </xf>
    <xf numFmtId="0" fontId="104" fillId="0" borderId="0" xfId="131" applyFont="1" applyAlignment="1">
      <alignment horizontal="center" vertical="center"/>
    </xf>
    <xf numFmtId="0" fontId="105" fillId="0" borderId="0" xfId="66" applyFont="1" applyAlignment="1">
      <alignment horizontal="center" vertical="center"/>
    </xf>
    <xf numFmtId="0" fontId="106" fillId="0" borderId="0" xfId="66" applyFont="1" applyAlignment="1">
      <alignment horizontal="center" vertical="center"/>
    </xf>
    <xf numFmtId="0" fontId="51" fillId="0" borderId="0" xfId="66" quotePrefix="1" applyFont="1" applyAlignment="1">
      <alignment horizontal="center" vertical="center" wrapText="1"/>
    </xf>
    <xf numFmtId="0" fontId="77" fillId="0" borderId="0" xfId="66" applyFont="1" applyAlignment="1">
      <alignment horizontal="center" vertical="center" wrapText="1"/>
    </xf>
    <xf numFmtId="0" fontId="77" fillId="0" borderId="0" xfId="66" applyFont="1" applyAlignment="1">
      <alignment horizontal="left" wrapText="1"/>
    </xf>
    <xf numFmtId="0" fontId="43" fillId="0" borderId="7" xfId="66" applyBorder="1" applyAlignment="1">
      <alignment horizontal="center" wrapText="1"/>
    </xf>
    <xf numFmtId="0" fontId="146" fillId="0" borderId="7" xfId="66" applyFont="1" applyBorder="1" applyAlignment="1">
      <alignment horizontal="left" vertical="top" wrapText="1"/>
    </xf>
    <xf numFmtId="0" fontId="74" fillId="3" borderId="64" xfId="66" applyFont="1" applyFill="1" applyBorder="1" applyAlignment="1">
      <alignment horizontal="center"/>
    </xf>
    <xf numFmtId="0" fontId="74" fillId="3" borderId="62" xfId="66" applyFont="1" applyFill="1" applyBorder="1" applyAlignment="1">
      <alignment horizontal="center"/>
    </xf>
    <xf numFmtId="0" fontId="74" fillId="3" borderId="65" xfId="66" applyFont="1" applyFill="1" applyBorder="1" applyAlignment="1">
      <alignment horizontal="center"/>
    </xf>
    <xf numFmtId="0" fontId="77" fillId="0" borderId="61" xfId="66" applyFont="1" applyBorder="1" applyAlignment="1">
      <alignment horizontal="left" wrapText="1"/>
    </xf>
    <xf numFmtId="0" fontId="105" fillId="0" borderId="63" xfId="66" applyFont="1" applyBorder="1" applyAlignment="1">
      <alignment horizontal="center" vertical="center" wrapText="1"/>
    </xf>
    <xf numFmtId="0" fontId="50" fillId="0" borderId="63" xfId="66" applyFont="1" applyBorder="1" applyAlignment="1">
      <alignment horizontal="center" vertical="center" wrapText="1"/>
    </xf>
    <xf numFmtId="0" fontId="148" fillId="2" borderId="64" xfId="66" applyFont="1" applyFill="1" applyBorder="1" applyAlignment="1">
      <alignment horizontal="center" vertical="center" wrapText="1"/>
    </xf>
    <xf numFmtId="0" fontId="148" fillId="2" borderId="62" xfId="66" applyFont="1" applyFill="1" applyBorder="1" applyAlignment="1">
      <alignment horizontal="center" vertical="center" wrapText="1"/>
    </xf>
    <xf numFmtId="0" fontId="148" fillId="2" borderId="65" xfId="66" applyFont="1" applyFill="1" applyBorder="1" applyAlignment="1">
      <alignment horizontal="center" vertical="center" wrapText="1"/>
    </xf>
    <xf numFmtId="0" fontId="74" fillId="0" borderId="64" xfId="66" applyFont="1" applyBorder="1" applyAlignment="1">
      <alignment horizontal="center"/>
    </xf>
    <xf numFmtId="0" fontId="74" fillId="0" borderId="62" xfId="66" applyFont="1" applyBorder="1" applyAlignment="1">
      <alignment horizontal="center"/>
    </xf>
    <xf numFmtId="0" fontId="74" fillId="0" borderId="65" xfId="66" applyFont="1" applyBorder="1" applyAlignment="1">
      <alignment horizontal="center"/>
    </xf>
    <xf numFmtId="0" fontId="148" fillId="6" borderId="4" xfId="71" applyFont="1" applyFill="1" applyBorder="1" applyAlignment="1">
      <alignment horizontal="center" vertical="top" wrapText="1"/>
    </xf>
    <xf numFmtId="0" fontId="148" fillId="6" borderId="6" xfId="71" applyFont="1" applyFill="1" applyBorder="1" applyAlignment="1">
      <alignment horizontal="center" vertical="top" wrapText="1"/>
    </xf>
    <xf numFmtId="0" fontId="148" fillId="6" borderId="5" xfId="71" applyFont="1" applyFill="1" applyBorder="1" applyAlignment="1">
      <alignment horizontal="center" vertical="top" wrapText="1"/>
    </xf>
    <xf numFmtId="0" fontId="77" fillId="0" borderId="43" xfId="66" applyFont="1" applyBorder="1" applyAlignment="1">
      <alignment horizontal="left" wrapText="1"/>
    </xf>
    <xf numFmtId="0" fontId="48" fillId="0" borderId="0" xfId="66" applyFont="1" applyAlignment="1">
      <alignment horizontal="center" vertical="center" wrapText="1"/>
    </xf>
    <xf numFmtId="0" fontId="27" fillId="0" borderId="4" xfId="66" applyFont="1" applyBorder="1" applyAlignment="1">
      <alignment horizontal="left" vertical="center" wrapText="1"/>
    </xf>
    <xf numFmtId="0" fontId="27" fillId="0" borderId="6" xfId="66" applyFont="1" applyBorder="1" applyAlignment="1">
      <alignment horizontal="left" vertical="center" wrapText="1"/>
    </xf>
    <xf numFmtId="0" fontId="27" fillId="0" borderId="5" xfId="66" applyFont="1" applyBorder="1" applyAlignment="1">
      <alignment horizontal="left" vertical="center" wrapText="1"/>
    </xf>
    <xf numFmtId="0" fontId="27" fillId="0" borderId="4" xfId="66" applyFont="1" applyBorder="1" applyAlignment="1">
      <alignment horizontal="center" vertical="center" wrapText="1"/>
    </xf>
    <xf numFmtId="0" fontId="27" fillId="0" borderId="6" xfId="66" applyFont="1" applyBorder="1" applyAlignment="1">
      <alignment horizontal="center" vertical="center" wrapText="1"/>
    </xf>
    <xf numFmtId="0" fontId="27" fillId="0" borderId="5" xfId="66" applyFont="1" applyBorder="1" applyAlignment="1">
      <alignment horizontal="center" vertical="center" wrapText="1"/>
    </xf>
    <xf numFmtId="0" fontId="48" fillId="2" borderId="1" xfId="66" applyFont="1" applyFill="1" applyBorder="1" applyAlignment="1">
      <alignment horizontal="center" vertical="center" wrapText="1"/>
    </xf>
    <xf numFmtId="0" fontId="48" fillId="0" borderId="4" xfId="66" applyFont="1" applyBorder="1" applyAlignment="1">
      <alignment horizontal="center" vertical="center" wrapText="1"/>
    </xf>
    <xf numFmtId="0" fontId="48" fillId="0" borderId="6" xfId="66" applyFont="1" applyBorder="1" applyAlignment="1">
      <alignment horizontal="center" vertical="center" wrapText="1"/>
    </xf>
    <xf numFmtId="0" fontId="48" fillId="0" borderId="5" xfId="66" applyFont="1" applyBorder="1" applyAlignment="1">
      <alignment horizontal="center" vertical="center" wrapText="1"/>
    </xf>
    <xf numFmtId="0" fontId="105" fillId="2" borderId="1" xfId="66" applyFont="1" applyFill="1" applyBorder="1" applyAlignment="1">
      <alignment horizontal="center" vertical="center" wrapText="1"/>
    </xf>
    <xf numFmtId="0" fontId="117" fillId="0" borderId="0" xfId="132" applyFont="1" applyAlignment="1">
      <alignment horizontal="right"/>
    </xf>
    <xf numFmtId="0" fontId="48" fillId="0" borderId="0" xfId="133" applyFont="1" applyAlignment="1">
      <alignment horizontal="center" vertical="center"/>
    </xf>
    <xf numFmtId="0" fontId="48" fillId="0" borderId="0" xfId="133" applyFont="1" applyAlignment="1">
      <alignment horizontal="center" vertical="center" wrapText="1"/>
    </xf>
    <xf numFmtId="0" fontId="79" fillId="0" borderId="0" xfId="133" applyFont="1" applyAlignment="1">
      <alignment horizontal="center" wrapText="1"/>
    </xf>
    <xf numFmtId="0" fontId="27" fillId="0" borderId="4" xfId="132" applyFont="1" applyBorder="1" applyAlignment="1">
      <alignment vertical="center" wrapText="1"/>
    </xf>
    <xf numFmtId="0" fontId="27" fillId="0" borderId="6" xfId="132" applyFont="1" applyBorder="1" applyAlignment="1">
      <alignment vertical="center" wrapText="1"/>
    </xf>
    <xf numFmtId="0" fontId="27" fillId="0" borderId="5" xfId="132" applyFont="1" applyBorder="1" applyAlignment="1">
      <alignment vertical="center" wrapText="1"/>
    </xf>
    <xf numFmtId="0" fontId="6" fillId="0" borderId="0" xfId="132" applyAlignment="1">
      <alignment horizontal="center"/>
    </xf>
    <xf numFmtId="0" fontId="27" fillId="0" borderId="1" xfId="133" applyFont="1" applyBorder="1" applyAlignment="1">
      <alignment horizontal="center" vertical="center" wrapText="1"/>
    </xf>
    <xf numFmtId="0" fontId="27" fillId="0" borderId="1" xfId="132" applyFont="1" applyBorder="1" applyAlignment="1">
      <alignment horizontal="center" vertical="center" wrapText="1"/>
    </xf>
    <xf numFmtId="0" fontId="48" fillId="0" borderId="4" xfId="132" applyFont="1" applyBorder="1" applyAlignment="1">
      <alignment horizontal="center" vertical="center" wrapText="1"/>
    </xf>
    <xf numFmtId="0" fontId="48" fillId="0" borderId="6" xfId="132" applyFont="1" applyBorder="1" applyAlignment="1">
      <alignment horizontal="center" vertical="center" wrapText="1"/>
    </xf>
    <xf numFmtId="0" fontId="48" fillId="0" borderId="5" xfId="132" applyFont="1" applyBorder="1" applyAlignment="1">
      <alignment horizontal="center" vertical="center" wrapText="1"/>
    </xf>
    <xf numFmtId="0" fontId="48" fillId="0" borderId="4" xfId="132" applyFont="1" applyBorder="1" applyAlignment="1">
      <alignment vertical="center" wrapText="1"/>
    </xf>
    <xf numFmtId="0" fontId="48" fillId="0" borderId="6" xfId="132" applyFont="1" applyBorder="1" applyAlignment="1">
      <alignment vertical="center" wrapText="1"/>
    </xf>
    <xf numFmtId="0" fontId="48" fillId="0" borderId="5" xfId="132" applyFont="1" applyBorder="1" applyAlignment="1">
      <alignment vertical="center" wrapText="1"/>
    </xf>
    <xf numFmtId="0" fontId="48" fillId="0" borderId="30" xfId="132" applyFont="1" applyBorder="1" applyAlignment="1">
      <alignment vertical="center" wrapText="1"/>
    </xf>
    <xf numFmtId="0" fontId="48" fillId="0" borderId="3" xfId="132" applyFont="1" applyBorder="1" applyAlignment="1">
      <alignment vertical="center" wrapText="1"/>
    </xf>
    <xf numFmtId="0" fontId="48" fillId="0" borderId="31" xfId="132" applyFont="1" applyBorder="1" applyAlignment="1">
      <alignment vertical="center" wrapText="1"/>
    </xf>
    <xf numFmtId="0" fontId="48" fillId="0" borderId="4" xfId="132" applyFont="1" applyBorder="1" applyAlignment="1">
      <alignment vertical="center"/>
    </xf>
    <xf numFmtId="0" fontId="48" fillId="0" borderId="6" xfId="132" applyFont="1" applyBorder="1" applyAlignment="1">
      <alignment vertical="center"/>
    </xf>
    <xf numFmtId="0" fontId="48" fillId="0" borderId="5" xfId="132" applyFont="1" applyBorder="1" applyAlignment="1">
      <alignment vertical="center"/>
    </xf>
    <xf numFmtId="0" fontId="48" fillId="0" borderId="1" xfId="132" applyFont="1" applyBorder="1" applyAlignment="1">
      <alignment vertical="center"/>
    </xf>
    <xf numFmtId="0" fontId="61" fillId="0" borderId="76" xfId="144" applyFont="1" applyBorder="1" applyAlignment="1">
      <alignment horizontal="center" vertical="center" wrapText="1"/>
    </xf>
    <xf numFmtId="0" fontId="61" fillId="0" borderId="77" xfId="144" applyFont="1" applyBorder="1" applyAlignment="1">
      <alignment horizontal="center" vertical="center" wrapText="1"/>
    </xf>
    <xf numFmtId="0" fontId="148" fillId="2" borderId="4" xfId="71" applyFont="1" applyFill="1" applyBorder="1" applyAlignment="1">
      <alignment horizontal="center" vertical="top" wrapText="1"/>
    </xf>
    <xf numFmtId="0" fontId="148" fillId="2" borderId="62" xfId="71" applyFont="1" applyFill="1" applyBorder="1" applyAlignment="1">
      <alignment horizontal="center" vertical="top" wrapText="1"/>
    </xf>
    <xf numFmtId="0" fontId="148" fillId="2" borderId="65" xfId="71" applyFont="1" applyFill="1" applyBorder="1" applyAlignment="1">
      <alignment horizontal="center" vertical="top" wrapText="1"/>
    </xf>
    <xf numFmtId="0" fontId="95" fillId="0" borderId="95" xfId="76" applyFont="1" applyBorder="1" applyAlignment="1">
      <alignment horizontal="center" vertical="center" wrapText="1"/>
    </xf>
    <xf numFmtId="0" fontId="95" fillId="0" borderId="108" xfId="76" applyFont="1" applyBorder="1" applyAlignment="1">
      <alignment horizontal="center" vertical="center" wrapText="1"/>
    </xf>
    <xf numFmtId="0" fontId="95" fillId="0" borderId="101" xfId="76" applyFont="1" applyBorder="1" applyAlignment="1">
      <alignment horizontal="center" vertical="center" wrapText="1"/>
    </xf>
    <xf numFmtId="0" fontId="95" fillId="0" borderId="60" xfId="76" applyFont="1" applyBorder="1" applyAlignment="1">
      <alignment horizontal="center" vertical="center" wrapText="1"/>
    </xf>
    <xf numFmtId="0" fontId="95" fillId="0" borderId="62" xfId="76" applyFont="1" applyBorder="1" applyAlignment="1">
      <alignment horizontal="center" vertical="center" wrapText="1"/>
    </xf>
    <xf numFmtId="0" fontId="95" fillId="0" borderId="65" xfId="76" applyFont="1" applyBorder="1" applyAlignment="1">
      <alignment horizontal="center" vertical="center" wrapText="1"/>
    </xf>
    <xf numFmtId="0" fontId="65" fillId="0" borderId="4" xfId="76" applyFont="1" applyBorder="1" applyAlignment="1">
      <alignment horizontal="center" vertical="center" wrapText="1"/>
    </xf>
    <xf numFmtId="0" fontId="65" fillId="0" borderId="62" xfId="76" applyFont="1" applyBorder="1" applyAlignment="1">
      <alignment horizontal="center" vertical="center" wrapText="1"/>
    </xf>
    <xf numFmtId="0" fontId="65" fillId="0" borderId="65" xfId="76" applyFont="1" applyBorder="1" applyAlignment="1">
      <alignment horizontal="center" vertical="center" wrapText="1"/>
    </xf>
    <xf numFmtId="0" fontId="24" fillId="0" borderId="66" xfId="76" applyBorder="1" applyAlignment="1">
      <alignment horizontal="center" vertical="center" wrapText="1"/>
    </xf>
    <xf numFmtId="0" fontId="24" fillId="0" borderId="32" xfId="76" applyBorder="1" applyAlignment="1">
      <alignment horizontal="center" vertical="center" wrapText="1"/>
    </xf>
    <xf numFmtId="0" fontId="24" fillId="0" borderId="29" xfId="76" applyBorder="1" applyAlignment="1">
      <alignment horizontal="center" vertical="center" wrapText="1"/>
    </xf>
    <xf numFmtId="0" fontId="24" fillId="0" borderId="0" xfId="76" applyAlignment="1">
      <alignment horizontal="center" vertical="center"/>
    </xf>
    <xf numFmtId="0" fontId="151" fillId="0" borderId="0" xfId="76" applyFont="1" applyAlignment="1">
      <alignment horizontal="center"/>
    </xf>
    <xf numFmtId="0" fontId="24" fillId="0" borderId="0" xfId="76" applyAlignment="1">
      <alignment horizontal="center" vertical="center" wrapText="1"/>
    </xf>
    <xf numFmtId="0" fontId="95" fillId="0" borderId="100" xfId="76" applyFont="1" applyBorder="1" applyAlignment="1">
      <alignment horizontal="center" vertical="center" wrapText="1"/>
    </xf>
    <xf numFmtId="0" fontId="95" fillId="0" borderId="96" xfId="76" applyFont="1" applyBorder="1" applyAlignment="1">
      <alignment horizontal="center" vertical="center" wrapText="1"/>
    </xf>
    <xf numFmtId="0" fontId="95" fillId="0" borderId="97" xfId="76" applyFont="1" applyBorder="1" applyAlignment="1">
      <alignment horizontal="center" vertical="center" wrapText="1"/>
    </xf>
    <xf numFmtId="0" fontId="95" fillId="0" borderId="90" xfId="76" applyFont="1" applyBorder="1" applyAlignment="1">
      <alignment horizontal="center" vertical="center" wrapText="1"/>
    </xf>
    <xf numFmtId="0" fontId="95" fillId="0" borderId="91" xfId="76" applyFont="1" applyBorder="1" applyAlignment="1">
      <alignment horizontal="center" vertical="center" wrapText="1"/>
    </xf>
    <xf numFmtId="0" fontId="95" fillId="0" borderId="92" xfId="76" applyFont="1" applyBorder="1" applyAlignment="1">
      <alignment horizontal="center" vertical="center" wrapText="1"/>
    </xf>
    <xf numFmtId="0" fontId="151" fillId="3" borderId="0" xfId="76" applyFont="1" applyFill="1" applyAlignment="1">
      <alignment horizontal="center" vertical="center" wrapText="1"/>
    </xf>
    <xf numFmtId="0" fontId="65" fillId="0" borderId="100" xfId="76" applyFont="1" applyBorder="1" applyAlignment="1">
      <alignment horizontal="center" vertical="center" wrapText="1"/>
    </xf>
    <xf numFmtId="0" fontId="65" fillId="0" borderId="96" xfId="76" applyFont="1" applyBorder="1" applyAlignment="1">
      <alignment horizontal="center" vertical="center" wrapText="1"/>
    </xf>
    <xf numFmtId="0" fontId="65" fillId="0" borderId="97" xfId="76" applyFont="1" applyBorder="1" applyAlignment="1">
      <alignment horizontal="center" vertical="center" wrapText="1"/>
    </xf>
    <xf numFmtId="0" fontId="65" fillId="0" borderId="93" xfId="76" applyFont="1" applyBorder="1" applyAlignment="1">
      <alignment horizontal="center" vertical="center" wrapText="1"/>
    </xf>
    <xf numFmtId="0" fontId="24" fillId="0" borderId="93" xfId="76" applyBorder="1" applyAlignment="1">
      <alignment horizontal="center" vertical="center" wrapText="1"/>
    </xf>
    <xf numFmtId="0" fontId="24" fillId="0" borderId="96" xfId="76" applyBorder="1" applyAlignment="1">
      <alignment horizontal="center" vertical="center" wrapText="1"/>
    </xf>
    <xf numFmtId="0" fontId="24" fillId="0" borderId="98" xfId="76" applyBorder="1" applyAlignment="1">
      <alignment horizontal="center" vertical="center" wrapText="1"/>
    </xf>
    <xf numFmtId="0" fontId="151" fillId="0" borderId="0" xfId="76" applyFont="1" applyAlignment="1">
      <alignment horizontal="center" vertical="center" wrapText="1"/>
    </xf>
    <xf numFmtId="0" fontId="24" fillId="0" borderId="43" xfId="76" applyBorder="1" applyAlignment="1">
      <alignment horizontal="center" vertical="center" wrapText="1"/>
    </xf>
    <xf numFmtId="0" fontId="64" fillId="0" borderId="93" xfId="76" applyFont="1" applyBorder="1" applyAlignment="1">
      <alignment horizontal="center" vertical="center" wrapText="1"/>
    </xf>
    <xf numFmtId="0" fontId="64" fillId="0" borderId="96" xfId="76" applyFont="1" applyBorder="1" applyAlignment="1">
      <alignment horizontal="center" vertical="center" wrapText="1"/>
    </xf>
    <xf numFmtId="0" fontId="64" fillId="0" borderId="98" xfId="76" applyFont="1" applyBorder="1" applyAlignment="1">
      <alignment horizontal="center" vertical="center" wrapText="1"/>
    </xf>
    <xf numFmtId="0" fontId="69" fillId="0" borderId="104" xfId="94" applyFont="1" applyBorder="1" applyAlignment="1" applyProtection="1">
      <alignment horizontal="left" vertical="center" wrapText="1"/>
      <protection locked="0"/>
    </xf>
    <xf numFmtId="0" fontId="69" fillId="0" borderId="106" xfId="94" applyFont="1" applyBorder="1" applyAlignment="1" applyProtection="1">
      <alignment horizontal="left" vertical="center" wrapText="1"/>
      <protection locked="0"/>
    </xf>
    <xf numFmtId="0" fontId="69" fillId="0" borderId="105" xfId="94" applyFont="1" applyBorder="1" applyAlignment="1" applyProtection="1">
      <alignment horizontal="left" vertical="center" wrapText="1"/>
      <protection locked="0"/>
    </xf>
    <xf numFmtId="0" fontId="24" fillId="0" borderId="106" xfId="76" applyBorder="1" applyAlignment="1">
      <alignment horizontal="center" vertical="top" wrapText="1"/>
    </xf>
    <xf numFmtId="0" fontId="24" fillId="0" borderId="105" xfId="76" applyBorder="1" applyAlignment="1">
      <alignment horizontal="center" vertical="top" wrapText="1"/>
    </xf>
    <xf numFmtId="0" fontId="95" fillId="0" borderId="51" xfId="76" applyFont="1" applyBorder="1" applyAlignment="1">
      <alignment horizontal="center" vertical="center" wrapText="1"/>
    </xf>
    <xf numFmtId="0" fontId="95" fillId="0" borderId="52" xfId="76" applyFont="1" applyBorder="1" applyAlignment="1">
      <alignment horizontal="center" vertical="center" wrapText="1"/>
    </xf>
    <xf numFmtId="0" fontId="95" fillId="0" borderId="53" xfId="76" applyFont="1" applyBorder="1" applyAlignment="1">
      <alignment horizontal="center" vertical="center" wrapText="1"/>
    </xf>
    <xf numFmtId="0" fontId="95" fillId="3" borderId="107" xfId="76" applyFont="1" applyFill="1" applyBorder="1" applyAlignment="1">
      <alignment horizontal="center" vertical="center" wrapText="1"/>
    </xf>
    <xf numFmtId="0" fontId="95" fillId="3" borderId="94" xfId="76" applyFont="1" applyFill="1" applyBorder="1" applyAlignment="1">
      <alignment horizontal="center" vertical="center" wrapText="1"/>
    </xf>
    <xf numFmtId="0" fontId="95" fillId="3" borderId="80" xfId="76" applyFont="1" applyFill="1" applyBorder="1" applyAlignment="1">
      <alignment horizontal="center" vertical="center" wrapText="1"/>
    </xf>
    <xf numFmtId="0" fontId="24" fillId="0" borderId="81" xfId="76" applyBorder="1" applyAlignment="1">
      <alignment horizontal="center" vertical="center" wrapText="1"/>
    </xf>
    <xf numFmtId="0" fontId="24" fillId="0" borderId="80" xfId="76" applyBorder="1" applyAlignment="1">
      <alignment horizontal="center" vertical="center" wrapText="1"/>
    </xf>
    <xf numFmtId="0" fontId="65" fillId="0" borderId="57" xfId="76" applyFont="1" applyBorder="1" applyAlignment="1">
      <alignment horizontal="center" vertical="center" wrapText="1"/>
    </xf>
    <xf numFmtId="0" fontId="65" fillId="0" borderId="1" xfId="76" applyFont="1" applyBorder="1" applyAlignment="1">
      <alignment horizontal="center" vertical="center" wrapText="1"/>
    </xf>
    <xf numFmtId="0" fontId="24" fillId="0" borderId="104" xfId="76" applyBorder="1" applyAlignment="1">
      <alignment horizontal="left" vertical="center"/>
    </xf>
    <xf numFmtId="0" fontId="24" fillId="0" borderId="105" xfId="76" applyBorder="1" applyAlignment="1">
      <alignment horizontal="left" vertical="center"/>
    </xf>
    <xf numFmtId="0" fontId="69" fillId="0" borderId="0" xfId="94" applyFont="1" applyAlignment="1" applyProtection="1">
      <alignment horizontal="left" vertical="center" wrapText="1"/>
      <protection locked="0"/>
    </xf>
    <xf numFmtId="0" fontId="69" fillId="0" borderId="104" xfId="94" applyFont="1" applyBorder="1" applyAlignment="1" applyProtection="1">
      <alignment horizontal="left" vertical="top" wrapText="1"/>
      <protection locked="0"/>
    </xf>
    <xf numFmtId="0" fontId="69" fillId="0" borderId="106" xfId="94" applyFont="1" applyBorder="1" applyAlignment="1" applyProtection="1">
      <alignment horizontal="left" vertical="top" wrapText="1"/>
      <protection locked="0"/>
    </xf>
    <xf numFmtId="0" fontId="69" fillId="0" borderId="105" xfId="94" applyFont="1" applyBorder="1" applyAlignment="1" applyProtection="1">
      <alignment horizontal="left" vertical="top" wrapText="1"/>
      <protection locked="0"/>
    </xf>
    <xf numFmtId="0" fontId="24" fillId="0" borderId="39" xfId="76" applyBorder="1" applyAlignment="1">
      <alignment horizontal="left" vertical="center" wrapText="1"/>
    </xf>
    <xf numFmtId="0" fontId="24" fillId="0" borderId="34" xfId="76" applyBorder="1" applyAlignment="1">
      <alignment horizontal="left" vertical="center" wrapText="1"/>
    </xf>
    <xf numFmtId="0" fontId="24" fillId="0" borderId="40" xfId="76" applyBorder="1" applyAlignment="1">
      <alignment horizontal="left" vertical="center" wrapText="1"/>
    </xf>
    <xf numFmtId="0" fontId="24" fillId="0" borderId="30" xfId="76" applyBorder="1" applyAlignment="1">
      <alignment horizontal="left" vertical="center" wrapText="1"/>
    </xf>
    <xf numFmtId="0" fontId="24" fillId="0" borderId="3" xfId="76" applyBorder="1" applyAlignment="1">
      <alignment horizontal="left" vertical="center" wrapText="1"/>
    </xf>
    <xf numFmtId="0" fontId="24" fillId="0" borderId="31" xfId="76" applyBorder="1" applyAlignment="1">
      <alignment horizontal="left" vertical="center" wrapText="1"/>
    </xf>
    <xf numFmtId="0" fontId="69" fillId="0" borderId="39" xfId="94" applyFont="1" applyBorder="1" applyAlignment="1" applyProtection="1">
      <alignment horizontal="left" vertical="center" wrapText="1"/>
      <protection locked="0"/>
    </xf>
    <xf numFmtId="0" fontId="69" fillId="0" borderId="34" xfId="94" applyFont="1" applyBorder="1" applyAlignment="1" applyProtection="1">
      <alignment horizontal="left" vertical="center" wrapText="1"/>
      <protection locked="0"/>
    </xf>
    <xf numFmtId="0" fontId="69" fillId="0" borderId="40" xfId="94" applyFont="1" applyBorder="1" applyAlignment="1" applyProtection="1">
      <alignment horizontal="left" vertical="center" wrapText="1"/>
      <protection locked="0"/>
    </xf>
    <xf numFmtId="0" fontId="69" fillId="0" borderId="30" xfId="94" applyFont="1" applyBorder="1" applyAlignment="1" applyProtection="1">
      <alignment horizontal="left" vertical="center" wrapText="1"/>
      <protection locked="0"/>
    </xf>
    <xf numFmtId="0" fontId="69" fillId="0" borderId="3" xfId="94" applyFont="1" applyBorder="1" applyAlignment="1" applyProtection="1">
      <alignment horizontal="left" vertical="center" wrapText="1"/>
      <protection locked="0"/>
    </xf>
    <xf numFmtId="0" fontId="69" fillId="0" borderId="31" xfId="94" applyFont="1" applyBorder="1" applyAlignment="1" applyProtection="1">
      <alignment horizontal="left" vertical="center" wrapText="1"/>
      <protection locked="0"/>
    </xf>
    <xf numFmtId="2" fontId="121" fillId="0" borderId="0" xfId="76" applyNumberFormat="1" applyFont="1" applyAlignment="1">
      <alignment horizontal="center"/>
    </xf>
    <xf numFmtId="0" fontId="121" fillId="0" borderId="0" xfId="76" applyFont="1" applyAlignment="1">
      <alignment horizontal="center"/>
    </xf>
    <xf numFmtId="0" fontId="70" fillId="0" borderId="0" xfId="143" applyFont="1" applyAlignment="1">
      <alignment horizontal="center" wrapText="1"/>
    </xf>
    <xf numFmtId="0" fontId="62" fillId="0" borderId="0" xfId="76" applyFont="1" applyAlignment="1">
      <alignment horizontal="left" vertical="top" wrapText="1"/>
    </xf>
    <xf numFmtId="0" fontId="129" fillId="0" borderId="0" xfId="76" applyFont="1" applyAlignment="1">
      <alignment horizontal="right" vertical="top" wrapText="1"/>
    </xf>
    <xf numFmtId="0" fontId="65" fillId="0" borderId="0" xfId="76" applyFont="1" applyAlignment="1">
      <alignment horizontal="center" vertical="top" wrapText="1"/>
    </xf>
    <xf numFmtId="0" fontId="24" fillId="0" borderId="1" xfId="76" applyBorder="1" applyAlignment="1">
      <alignment horizontal="left" vertical="top" wrapText="1"/>
    </xf>
    <xf numFmtId="0" fontId="67" fillId="0" borderId="1" xfId="76" applyFont="1" applyBorder="1" applyAlignment="1">
      <alignment horizontal="left" vertical="top" wrapText="1"/>
    </xf>
    <xf numFmtId="0" fontId="24" fillId="0" borderId="7" xfId="76" applyBorder="1" applyAlignment="1">
      <alignment horizontal="left" vertical="top" wrapText="1"/>
    </xf>
    <xf numFmtId="0" fontId="24" fillId="0" borderId="8" xfId="76" applyBorder="1" applyAlignment="1">
      <alignment horizontal="left" vertical="top" wrapText="1"/>
    </xf>
    <xf numFmtId="0" fontId="24" fillId="0" borderId="0" xfId="76" applyAlignment="1">
      <alignment horizontal="left" vertical="top" wrapText="1"/>
    </xf>
    <xf numFmtId="0" fontId="65" fillId="0" borderId="7" xfId="76" applyFont="1" applyBorder="1" applyAlignment="1">
      <alignment horizontal="left" vertical="top" wrapText="1"/>
    </xf>
    <xf numFmtId="0" fontId="65" fillId="0" borderId="8" xfId="76" applyFont="1" applyBorder="1" applyAlignment="1">
      <alignment horizontal="left" vertical="top" wrapText="1"/>
    </xf>
    <xf numFmtId="0" fontId="65" fillId="0" borderId="0" xfId="76" applyFont="1" applyAlignment="1">
      <alignment horizontal="left" vertical="top" wrapText="1"/>
    </xf>
    <xf numFmtId="0" fontId="24" fillId="0" borderId="81" xfId="76" applyBorder="1" applyAlignment="1">
      <alignment horizontal="center" wrapText="1"/>
    </xf>
    <xf numFmtId="0" fontId="24" fillId="0" borderId="80" xfId="76" applyBorder="1" applyAlignment="1">
      <alignment horizontal="center" wrapText="1"/>
    </xf>
    <xf numFmtId="0" fontId="24" fillId="0" borderId="71" xfId="76" applyBorder="1" applyAlignment="1">
      <alignment horizontal="center" wrapText="1"/>
    </xf>
    <xf numFmtId="0" fontId="65" fillId="0" borderId="72" xfId="76" applyFont="1" applyBorder="1" applyAlignment="1">
      <alignment horizontal="left" vertical="top" wrapText="1"/>
    </xf>
    <xf numFmtId="0" fontId="65" fillId="0" borderId="77" xfId="76" applyFont="1" applyBorder="1" applyAlignment="1">
      <alignment horizontal="left" vertical="top" wrapText="1"/>
    </xf>
    <xf numFmtId="0" fontId="24" fillId="0" borderId="72" xfId="76" applyBorder="1" applyAlignment="1">
      <alignment horizontal="left" vertical="top" wrapText="1"/>
    </xf>
    <xf numFmtId="0" fontId="24" fillId="0" borderId="76" xfId="76" applyBorder="1" applyAlignment="1">
      <alignment horizontal="left" vertical="top" wrapText="1"/>
    </xf>
    <xf numFmtId="0" fontId="24" fillId="0" borderId="77" xfId="76" applyBorder="1" applyAlignment="1">
      <alignment horizontal="left" vertical="top" wrapText="1"/>
    </xf>
    <xf numFmtId="0" fontId="24" fillId="0" borderId="43" xfId="76" applyBorder="1" applyAlignment="1">
      <alignment horizontal="left" vertical="top" wrapText="1"/>
    </xf>
    <xf numFmtId="0" fontId="88" fillId="0" borderId="68" xfId="76" applyFont="1" applyBorder="1" applyAlignment="1">
      <alignment horizontal="center" vertical="top" wrapText="1"/>
    </xf>
    <xf numFmtId="0" fontId="88" fillId="0" borderId="69" xfId="76" applyFont="1" applyBorder="1" applyAlignment="1">
      <alignment horizontal="center" vertical="top" wrapText="1"/>
    </xf>
    <xf numFmtId="0" fontId="88" fillId="0" borderId="70" xfId="76" applyFont="1" applyBorder="1" applyAlignment="1">
      <alignment horizontal="center" vertical="top" wrapText="1"/>
    </xf>
    <xf numFmtId="0" fontId="24" fillId="0" borderId="30" xfId="76" applyBorder="1" applyAlignment="1">
      <alignment horizontal="left" vertical="top" wrapText="1"/>
    </xf>
    <xf numFmtId="0" fontId="24" fillId="0" borderId="31" xfId="76" applyBorder="1" applyAlignment="1">
      <alignment horizontal="left" vertical="top" wrapText="1"/>
    </xf>
    <xf numFmtId="0" fontId="24" fillId="0" borderId="3" xfId="76" applyBorder="1" applyAlignment="1">
      <alignment horizontal="left" vertical="top" wrapText="1"/>
    </xf>
    <xf numFmtId="177" fontId="24" fillId="0" borderId="7" xfId="76" applyNumberFormat="1" applyBorder="1" applyAlignment="1">
      <alignment horizontal="left" vertical="top" wrapText="1"/>
    </xf>
    <xf numFmtId="177" fontId="24" fillId="0" borderId="0" xfId="76" applyNumberFormat="1" applyAlignment="1">
      <alignment horizontal="left" vertical="top" wrapText="1"/>
    </xf>
    <xf numFmtId="177" fontId="24" fillId="0" borderId="8" xfId="76" applyNumberFormat="1" applyBorder="1" applyAlignment="1">
      <alignment horizontal="left" vertical="top" wrapText="1"/>
    </xf>
    <xf numFmtId="49" fontId="65" fillId="0" borderId="66" xfId="76" applyNumberFormat="1" applyFont="1" applyBorder="1" applyAlignment="1">
      <alignment horizontal="right" vertical="top" wrapText="1"/>
    </xf>
    <xf numFmtId="49" fontId="65" fillId="0" borderId="32" xfId="76" applyNumberFormat="1" applyFont="1" applyBorder="1" applyAlignment="1">
      <alignment horizontal="right" vertical="top" wrapText="1"/>
    </xf>
    <xf numFmtId="0" fontId="24" fillId="0" borderId="66" xfId="76" applyBorder="1" applyAlignment="1">
      <alignment horizontal="left" vertical="top" wrapText="1"/>
    </xf>
    <xf numFmtId="0" fontId="24" fillId="0" borderId="32" xfId="76" applyBorder="1" applyAlignment="1">
      <alignment horizontal="left" vertical="top" wrapText="1"/>
    </xf>
    <xf numFmtId="3" fontId="24" fillId="0" borderId="66" xfId="76" applyNumberFormat="1" applyBorder="1" applyAlignment="1">
      <alignment horizontal="right" vertical="top" wrapText="1"/>
    </xf>
    <xf numFmtId="3" fontId="24" fillId="0" borderId="32" xfId="76" applyNumberFormat="1" applyBorder="1" applyAlignment="1">
      <alignment horizontal="right" vertical="top" wrapText="1"/>
    </xf>
    <xf numFmtId="177" fontId="24" fillId="0" borderId="30" xfId="76" applyNumberFormat="1" applyBorder="1" applyAlignment="1">
      <alignment horizontal="left" vertical="top" wrapText="1"/>
    </xf>
    <xf numFmtId="177" fontId="24" fillId="0" borderId="3" xfId="76" applyNumberFormat="1" applyBorder="1" applyAlignment="1">
      <alignment horizontal="left" vertical="top" wrapText="1"/>
    </xf>
    <xf numFmtId="177" fontId="24" fillId="0" borderId="31" xfId="76" applyNumberFormat="1" applyBorder="1" applyAlignment="1">
      <alignment horizontal="left" vertical="top" wrapText="1"/>
    </xf>
    <xf numFmtId="0" fontId="65" fillId="0" borderId="72" xfId="76" quotePrefix="1" applyFont="1" applyBorder="1" applyAlignment="1">
      <alignment horizontal="left" vertical="top" wrapText="1"/>
    </xf>
    <xf numFmtId="0" fontId="65" fillId="0" borderId="77" xfId="76" quotePrefix="1" applyFont="1" applyBorder="1" applyAlignment="1">
      <alignment horizontal="left" vertical="top" wrapText="1"/>
    </xf>
    <xf numFmtId="0" fontId="24" fillId="0" borderId="0" xfId="76" applyAlignment="1">
      <alignment horizontal="left" wrapText="1"/>
    </xf>
    <xf numFmtId="0" fontId="68" fillId="0" borderId="0" xfId="76" applyFont="1" applyAlignment="1">
      <alignment wrapText="1"/>
    </xf>
    <xf numFmtId="0" fontId="120" fillId="0" borderId="4" xfId="76" applyFont="1" applyBorder="1" applyAlignment="1">
      <alignment horizontal="left" vertical="top" wrapText="1"/>
    </xf>
    <xf numFmtId="0" fontId="120" fillId="0" borderId="65" xfId="76" applyFont="1" applyBorder="1" applyAlignment="1">
      <alignment horizontal="left" vertical="top" wrapText="1"/>
    </xf>
    <xf numFmtId="0" fontId="120" fillId="0" borderId="62" xfId="76" applyFont="1" applyBorder="1" applyAlignment="1">
      <alignment horizontal="left" vertical="top" wrapText="1"/>
    </xf>
    <xf numFmtId="0" fontId="24" fillId="0" borderId="4" xfId="76" applyBorder="1" applyAlignment="1">
      <alignment horizontal="left" vertical="top" wrapText="1"/>
    </xf>
    <xf numFmtId="0" fontId="24" fillId="0" borderId="65" xfId="76" applyBorder="1" applyAlignment="1">
      <alignment horizontal="left" vertical="top" wrapText="1"/>
    </xf>
    <xf numFmtId="0" fontId="120" fillId="0" borderId="62" xfId="76" applyFont="1" applyBorder="1" applyAlignment="1">
      <alignment horizontal="center" vertical="top" wrapText="1"/>
    </xf>
    <xf numFmtId="0" fontId="24" fillId="0" borderId="29" xfId="76" applyBorder="1" applyAlignment="1">
      <alignment horizontal="left" vertical="top" wrapText="1"/>
    </xf>
    <xf numFmtId="3" fontId="24" fillId="0" borderId="29" xfId="76" applyNumberFormat="1" applyBorder="1" applyAlignment="1">
      <alignment horizontal="right" vertical="top" wrapText="1"/>
    </xf>
    <xf numFmtId="0" fontId="24" fillId="0" borderId="62" xfId="76" applyBorder="1" applyAlignment="1">
      <alignment horizontal="left" vertical="top" wrapText="1"/>
    </xf>
    <xf numFmtId="0" fontId="65" fillId="0" borderId="4" xfId="76" applyFont="1" applyBorder="1" applyAlignment="1">
      <alignment horizontal="left" vertical="top" wrapText="1"/>
    </xf>
    <xf numFmtId="0" fontId="65" fillId="0" borderId="65" xfId="76" applyFont="1" applyBorder="1" applyAlignment="1">
      <alignment horizontal="left" vertical="top" wrapText="1"/>
    </xf>
    <xf numFmtId="0" fontId="65" fillId="0" borderId="62" xfId="76" applyFont="1" applyBorder="1" applyAlignment="1">
      <alignment horizontal="left" vertical="top" wrapText="1"/>
    </xf>
    <xf numFmtId="49" fontId="65" fillId="0" borderId="29" xfId="76" applyNumberFormat="1" applyFont="1" applyBorder="1" applyAlignment="1">
      <alignment horizontal="right" vertical="top" wrapText="1"/>
    </xf>
    <xf numFmtId="0" fontId="118" fillId="0" borderId="62" xfId="76" applyFont="1" applyBorder="1" applyAlignment="1">
      <alignment horizontal="center" vertical="top" wrapText="1"/>
    </xf>
    <xf numFmtId="0" fontId="90" fillId="0" borderId="0" xfId="79" applyFont="1" applyAlignment="1">
      <alignment horizontal="center" vertical="top" wrapText="1"/>
    </xf>
    <xf numFmtId="0" fontId="40" fillId="0" borderId="0" xfId="79" applyFont="1" applyAlignment="1">
      <alignment vertical="top" wrapText="1"/>
    </xf>
    <xf numFmtId="0" fontId="74" fillId="0" borderId="6" xfId="85" applyFont="1" applyBorder="1" applyAlignment="1">
      <alignment vertical="center" wrapText="1"/>
    </xf>
    <xf numFmtId="0" fontId="75" fillId="0" borderId="4" xfId="85" applyFont="1" applyBorder="1" applyAlignment="1">
      <alignment horizontal="center" vertical="center"/>
    </xf>
    <xf numFmtId="0" fontId="75" fillId="0" borderId="5" xfId="85" applyFont="1" applyBorder="1" applyAlignment="1">
      <alignment horizontal="center" vertical="center"/>
    </xf>
    <xf numFmtId="4" fontId="75" fillId="0" borderId="4" xfId="85" applyNumberFormat="1" applyFont="1" applyBorder="1" applyAlignment="1">
      <alignment horizontal="center" vertical="center"/>
    </xf>
    <xf numFmtId="4" fontId="75" fillId="0" borderId="5" xfId="85" applyNumberFormat="1" applyFont="1" applyBorder="1" applyAlignment="1">
      <alignment horizontal="center" vertical="center"/>
    </xf>
    <xf numFmtId="0" fontId="75" fillId="0" borderId="4" xfId="85" applyFont="1" applyBorder="1" applyAlignment="1">
      <alignment horizontal="center" vertical="center" wrapText="1"/>
    </xf>
    <xf numFmtId="0" fontId="75" fillId="0" borderId="5" xfId="85" applyFont="1" applyBorder="1" applyAlignment="1">
      <alignment horizontal="center" vertical="center" wrapText="1"/>
    </xf>
    <xf numFmtId="0" fontId="74" fillId="6" borderId="6" xfId="85" applyFont="1" applyFill="1" applyBorder="1" applyAlignment="1">
      <alignment horizontal="left" vertical="center" wrapText="1"/>
    </xf>
    <xf numFmtId="0" fontId="74" fillId="2" borderId="6" xfId="85" applyFont="1" applyFill="1" applyBorder="1" applyAlignment="1">
      <alignment horizontal="left" vertical="center" wrapText="1"/>
    </xf>
    <xf numFmtId="0" fontId="75" fillId="2" borderId="1" xfId="85" applyFont="1" applyFill="1" applyBorder="1" applyAlignment="1">
      <alignment horizontal="center" vertical="center" wrapText="1"/>
    </xf>
    <xf numFmtId="0" fontId="45" fillId="2" borderId="1" xfId="85" applyFill="1" applyBorder="1" applyAlignment="1">
      <alignment vertical="center" wrapText="1"/>
    </xf>
    <xf numFmtId="0" fontId="41" fillId="0" borderId="0" xfId="79" applyFont="1" applyAlignment="1">
      <alignment horizontal="center" vertical="top" wrapText="1"/>
    </xf>
    <xf numFmtId="0" fontId="119" fillId="0" borderId="0" xfId="62" applyFont="1" applyAlignment="1">
      <alignment horizontal="center" vertical="top" wrapText="1"/>
    </xf>
    <xf numFmtId="0" fontId="113" fillId="0" borderId="0" xfId="85" applyFont="1" applyAlignment="1">
      <alignment horizontal="center" vertical="top" wrapText="1"/>
    </xf>
    <xf numFmtId="49" fontId="48" fillId="0" borderId="0" xfId="85" applyNumberFormat="1" applyFont="1" applyAlignment="1">
      <alignment horizontal="center" vertical="top"/>
    </xf>
    <xf numFmtId="0" fontId="74" fillId="0" borderId="0" xfId="85" applyFont="1" applyAlignment="1">
      <alignment horizontal="center" vertical="center" wrapText="1"/>
    </xf>
    <xf numFmtId="49" fontId="74" fillId="0" borderId="0" xfId="85" applyNumberFormat="1" applyFont="1" applyAlignment="1">
      <alignment horizontal="left" vertical="center"/>
    </xf>
    <xf numFmtId="2" fontId="75" fillId="0" borderId="0" xfId="85" applyNumberFormat="1" applyFont="1" applyAlignment="1">
      <alignment horizontal="left" vertical="center" wrapText="1"/>
    </xf>
    <xf numFmtId="0" fontId="45" fillId="0" borderId="0" xfId="85" applyAlignment="1">
      <alignment horizontal="left" vertical="center" wrapText="1"/>
    </xf>
    <xf numFmtId="0" fontId="74" fillId="0" borderId="1" xfId="85" applyFont="1" applyBorder="1" applyAlignment="1">
      <alignment vertical="center" wrapText="1"/>
    </xf>
    <xf numFmtId="0" fontId="45" fillId="0" borderId="1" xfId="85" applyBorder="1" applyAlignment="1">
      <alignment vertical="center" wrapText="1"/>
    </xf>
    <xf numFmtId="4" fontId="74" fillId="0" borderId="4" xfId="85" applyNumberFormat="1" applyFont="1" applyBorder="1" applyAlignment="1">
      <alignment vertical="center" wrapText="1"/>
    </xf>
    <xf numFmtId="0" fontId="45" fillId="0" borderId="6" xfId="85" applyBorder="1" applyAlignment="1">
      <alignment vertical="center" wrapText="1"/>
    </xf>
    <xf numFmtId="0" fontId="72" fillId="0" borderId="0" xfId="90" applyFont="1" applyAlignment="1">
      <alignment horizontal="center" vertical="center" wrapText="1"/>
    </xf>
    <xf numFmtId="0" fontId="82" fillId="3" borderId="0" xfId="90" applyFont="1" applyFill="1" applyAlignment="1">
      <alignment horizontal="center" wrapText="1"/>
    </xf>
    <xf numFmtId="0" fontId="82" fillId="3" borderId="0" xfId="90" applyFont="1" applyFill="1" applyAlignment="1">
      <alignment horizontal="center" vertical="top" wrapText="1"/>
    </xf>
    <xf numFmtId="2" fontId="75" fillId="0" borderId="0" xfId="91" applyNumberFormat="1" applyFont="1" applyAlignment="1">
      <alignment horizontal="left" vertical="center" wrapText="1"/>
    </xf>
    <xf numFmtId="0" fontId="10" fillId="0" borderId="0" xfId="91" applyAlignment="1">
      <alignment horizontal="left" vertical="center" wrapText="1"/>
    </xf>
    <xf numFmtId="0" fontId="71" fillId="0" borderId="0" xfId="91" applyFont="1" applyAlignment="1">
      <alignment horizontal="center" vertical="top" wrapText="1"/>
    </xf>
    <xf numFmtId="0" fontId="72" fillId="0" borderId="0" xfId="90" applyFont="1" applyAlignment="1">
      <alignment horizontal="center" vertical="center"/>
    </xf>
    <xf numFmtId="49" fontId="74" fillId="0" borderId="0" xfId="91" applyNumberFormat="1" applyFont="1" applyAlignment="1">
      <alignment horizontal="left" vertical="center"/>
    </xf>
    <xf numFmtId="0" fontId="65" fillId="0" borderId="5" xfId="76" applyFont="1" applyBorder="1" applyAlignment="1">
      <alignment horizontal="left" vertical="top" wrapText="1"/>
    </xf>
    <xf numFmtId="0" fontId="65" fillId="0" borderId="6" xfId="76" applyFont="1" applyBorder="1" applyAlignment="1">
      <alignment horizontal="left" vertical="top" wrapText="1"/>
    </xf>
    <xf numFmtId="0" fontId="24" fillId="0" borderId="5" xfId="76" applyBorder="1" applyAlignment="1">
      <alignment horizontal="left" vertical="top" wrapText="1"/>
    </xf>
    <xf numFmtId="0" fontId="24" fillId="0" borderId="6" xfId="76" applyBorder="1" applyAlignment="1">
      <alignment horizontal="left" vertical="top" wrapText="1"/>
    </xf>
    <xf numFmtId="0" fontId="118" fillId="0" borderId="6" xfId="76" applyFont="1" applyBorder="1" applyAlignment="1">
      <alignment horizontal="center" vertical="top" wrapText="1"/>
    </xf>
    <xf numFmtId="0" fontId="120" fillId="0" borderId="5" xfId="76" applyFont="1" applyBorder="1" applyAlignment="1">
      <alignment horizontal="left" vertical="top" wrapText="1"/>
    </xf>
    <xf numFmtId="0" fontId="118" fillId="0" borderId="4" xfId="76" applyFont="1" applyBorder="1" applyAlignment="1">
      <alignment horizontal="left" vertical="top" wrapText="1"/>
    </xf>
    <xf numFmtId="0" fontId="118" fillId="0" borderId="6" xfId="76" applyFont="1" applyBorder="1" applyAlignment="1">
      <alignment horizontal="left" vertical="top" wrapText="1"/>
    </xf>
    <xf numFmtId="0" fontId="118" fillId="0" borderId="5" xfId="76" applyFont="1" applyBorder="1" applyAlignment="1">
      <alignment horizontal="left" vertical="top" wrapText="1"/>
    </xf>
    <xf numFmtId="0" fontId="120" fillId="6" borderId="4" xfId="76" applyFont="1" applyFill="1" applyBorder="1" applyAlignment="1">
      <alignment horizontal="left" vertical="top" wrapText="1"/>
    </xf>
    <xf numFmtId="0" fontId="120" fillId="6" borderId="5" xfId="76" applyFont="1" applyFill="1" applyBorder="1" applyAlignment="1">
      <alignment horizontal="left" vertical="top" wrapText="1"/>
    </xf>
    <xf numFmtId="0" fontId="24" fillId="6" borderId="4" xfId="76" applyFill="1" applyBorder="1" applyAlignment="1">
      <alignment horizontal="left" vertical="top" wrapText="1"/>
    </xf>
    <xf numFmtId="0" fontId="24" fillId="6" borderId="62" xfId="76" applyFill="1" applyBorder="1" applyAlignment="1">
      <alignment horizontal="left" vertical="top" wrapText="1"/>
    </xf>
    <xf numFmtId="0" fontId="24" fillId="6" borderId="5" xfId="76" applyFill="1" applyBorder="1" applyAlignment="1">
      <alignment horizontal="left" vertical="top" wrapText="1"/>
    </xf>
    <xf numFmtId="0" fontId="118" fillId="6" borderId="4" xfId="76" applyFont="1" applyFill="1" applyBorder="1" applyAlignment="1">
      <alignment horizontal="left" vertical="top" wrapText="1"/>
    </xf>
    <xf numFmtId="0" fontId="118" fillId="6" borderId="62" xfId="76" applyFont="1" applyFill="1" applyBorder="1" applyAlignment="1">
      <alignment horizontal="left" vertical="top" wrapText="1"/>
    </xf>
    <xf numFmtId="0" fontId="118" fillId="6" borderId="5" xfId="76" applyFont="1" applyFill="1" applyBorder="1" applyAlignment="1">
      <alignment horizontal="left" vertical="top" wrapText="1"/>
    </xf>
    <xf numFmtId="0" fontId="24" fillId="0" borderId="113" xfId="62" applyBorder="1" applyAlignment="1">
      <alignment horizontal="center" wrapText="1"/>
    </xf>
    <xf numFmtId="0" fontId="24" fillId="0" borderId="62" xfId="62" applyBorder="1" applyAlignment="1">
      <alignment horizontal="left" vertical="top" wrapText="1"/>
    </xf>
    <xf numFmtId="0" fontId="65" fillId="0" borderId="62" xfId="62" applyFont="1" applyBorder="1" applyAlignment="1">
      <alignment horizontal="left" vertical="top" wrapText="1"/>
    </xf>
    <xf numFmtId="0" fontId="88" fillId="0" borderId="110" xfId="62" applyFont="1" applyBorder="1" applyAlignment="1">
      <alignment horizontal="center" vertical="top" wrapText="1"/>
    </xf>
    <xf numFmtId="0" fontId="88" fillId="0" borderId="111" xfId="62" applyFont="1" applyBorder="1" applyAlignment="1">
      <alignment horizontal="center" vertical="top" wrapText="1"/>
    </xf>
    <xf numFmtId="0" fontId="88" fillId="0" borderId="112" xfId="62" applyFont="1" applyBorder="1" applyAlignment="1">
      <alignment horizontal="center" vertical="top" wrapText="1"/>
    </xf>
    <xf numFmtId="0" fontId="129" fillId="0" borderId="0" xfId="62" applyFont="1" applyAlignment="1">
      <alignment horizontal="right" vertical="top" wrapText="1"/>
    </xf>
    <xf numFmtId="0" fontId="67" fillId="0" borderId="0" xfId="76" applyFont="1" applyAlignment="1">
      <alignment horizontal="left" vertical="top" wrapText="1"/>
    </xf>
    <xf numFmtId="170" fontId="74" fillId="3" borderId="0" xfId="148" applyNumberFormat="1" applyFont="1" applyFill="1" applyAlignment="1">
      <alignment vertical="center"/>
    </xf>
    <xf numFmtId="14" fontId="74" fillId="3" borderId="0" xfId="148" applyNumberFormat="1" applyFont="1" applyFill="1" applyAlignment="1">
      <alignment vertical="center"/>
    </xf>
    <xf numFmtId="0" fontId="48" fillId="0" borderId="0" xfId="148" applyFont="1" applyBorder="1" applyAlignment="1">
      <alignment horizontal="center"/>
    </xf>
    <xf numFmtId="0" fontId="27" fillId="0" borderId="0" xfId="148" quotePrefix="1" applyFont="1" applyBorder="1" applyAlignment="1">
      <alignment horizontal="center" vertical="center" wrapText="1"/>
    </xf>
    <xf numFmtId="0" fontId="27" fillId="0" borderId="0" xfId="148" applyFont="1" applyBorder="1" applyAlignment="1">
      <alignment horizontal="center" vertical="center" wrapText="1"/>
    </xf>
    <xf numFmtId="49" fontId="51" fillId="0" borderId="0" xfId="148" applyNumberFormat="1" applyFont="1" applyAlignment="1">
      <alignment horizontal="center" wrapText="1"/>
    </xf>
    <xf numFmtId="0" fontId="51" fillId="0" borderId="0" xfId="148" applyFont="1" applyAlignment="1">
      <alignment horizontal="center" wrapText="1"/>
    </xf>
    <xf numFmtId="0" fontId="27" fillId="0" borderId="0" xfId="148" applyFont="1" applyBorder="1" applyAlignment="1">
      <alignment horizontal="left" vertical="center" wrapText="1"/>
    </xf>
    <xf numFmtId="0" fontId="27" fillId="0" borderId="0" xfId="148" applyFont="1" applyFill="1" applyBorder="1" applyAlignment="1">
      <alignment horizontal="left" vertical="top" wrapText="1"/>
    </xf>
    <xf numFmtId="0" fontId="27" fillId="0" borderId="0" xfId="148" applyFont="1" applyBorder="1" applyAlignment="1">
      <alignment horizontal="left" vertical="top" wrapText="1"/>
    </xf>
    <xf numFmtId="0" fontId="48" fillId="0" borderId="0" xfId="148" applyFont="1" applyBorder="1" applyAlignment="1">
      <alignment horizontal="center" vertical="center" wrapText="1"/>
    </xf>
    <xf numFmtId="0" fontId="27" fillId="0" borderId="0" xfId="148" applyFont="1" applyBorder="1" applyAlignment="1">
      <alignment vertical="center" wrapText="1"/>
    </xf>
    <xf numFmtId="49" fontId="27" fillId="0" borderId="0" xfId="148" applyNumberFormat="1" applyFont="1" applyFill="1" applyBorder="1" applyAlignment="1">
      <alignment horizontal="left" vertical="center" wrapText="1"/>
    </xf>
    <xf numFmtId="0" fontId="27" fillId="0" borderId="0" xfId="148" applyFont="1" applyBorder="1" applyAlignment="1">
      <alignment horizontal="left" vertical="center"/>
    </xf>
    <xf numFmtId="0" fontId="27" fillId="0" borderId="0" xfId="148" applyFont="1" applyBorder="1" applyAlignment="1">
      <alignment horizontal="left" vertical="center" wrapText="1"/>
    </xf>
    <xf numFmtId="0" fontId="27" fillId="0" borderId="0" xfId="148" applyFont="1" applyBorder="1" applyAlignment="1">
      <alignment vertical="center" wrapText="1"/>
    </xf>
    <xf numFmtId="0" fontId="48" fillId="0" borderId="0" xfId="148" applyFont="1" applyBorder="1"/>
    <xf numFmtId="4" fontId="48" fillId="0" borderId="0" xfId="148" applyNumberFormat="1" applyFont="1" applyBorder="1" applyAlignment="1">
      <alignment horizontal="right"/>
    </xf>
    <xf numFmtId="0" fontId="77" fillId="0" borderId="0" xfId="148" applyFont="1"/>
    <xf numFmtId="0" fontId="27" fillId="0" borderId="0" xfId="150" applyFont="1"/>
    <xf numFmtId="0" fontId="82" fillId="0" borderId="0" xfId="45" applyFont="1"/>
    <xf numFmtId="49" fontId="77" fillId="0" borderId="0" xfId="151" applyNumberFormat="1" applyFont="1"/>
    <xf numFmtId="49" fontId="75" fillId="0" borderId="0" xfId="151" applyNumberFormat="1" applyFont="1"/>
    <xf numFmtId="0" fontId="75" fillId="0" borderId="0" xfId="151" applyFont="1"/>
    <xf numFmtId="0" fontId="77" fillId="0" borderId="0" xfId="151" applyFont="1"/>
    <xf numFmtId="49" fontId="77" fillId="0" borderId="0" xfId="151" quotePrefix="1" applyNumberFormat="1" applyFont="1"/>
    <xf numFmtId="49" fontId="77" fillId="0" borderId="0" xfId="151" applyNumberFormat="1" applyFont="1" applyAlignment="1">
      <alignment horizontal="left" wrapText="1"/>
    </xf>
    <xf numFmtId="49" fontId="77" fillId="0" borderId="0" xfId="151" applyNumberFormat="1" applyFont="1" applyAlignment="1">
      <alignment wrapText="1"/>
    </xf>
    <xf numFmtId="0" fontId="85" fillId="0" borderId="0" xfId="151" applyFont="1"/>
    <xf numFmtId="49" fontId="77" fillId="0" borderId="0" xfId="151" quotePrefix="1" applyNumberFormat="1" applyFont="1" applyAlignment="1">
      <alignment horizontal="left"/>
    </xf>
    <xf numFmtId="49" fontId="77" fillId="0" borderId="0" xfId="151" applyNumberFormat="1" applyFont="1" applyAlignment="1">
      <alignment horizontal="left" wrapText="1"/>
    </xf>
    <xf numFmtId="49" fontId="85" fillId="0" borderId="0" xfId="151" applyNumberFormat="1" applyFont="1"/>
    <xf numFmtId="0" fontId="82" fillId="0" borderId="3" xfId="45" applyFont="1" applyBorder="1"/>
  </cellXfs>
  <cellStyles count="154">
    <cellStyle name="S0" xfId="30"/>
    <cellStyle name="S1" xfId="2"/>
    <cellStyle name="S10" xfId="22"/>
    <cellStyle name="S10 5" xfId="11"/>
    <cellStyle name="S11" xfId="21"/>
    <cellStyle name="S12" xfId="41"/>
    <cellStyle name="S12 4" xfId="12"/>
    <cellStyle name="S12 4 2" xfId="81"/>
    <cellStyle name="S13" xfId="42"/>
    <cellStyle name="S2" xfId="29"/>
    <cellStyle name="S2 6" xfId="17"/>
    <cellStyle name="S3" xfId="28"/>
    <cellStyle name="S4" xfId="43"/>
    <cellStyle name="S5" xfId="27"/>
    <cellStyle name="S5 4" xfId="16"/>
    <cellStyle name="S6" xfId="26"/>
    <cellStyle name="S6 4" xfId="15"/>
    <cellStyle name="S7" xfId="25"/>
    <cellStyle name="S7 3" xfId="18"/>
    <cellStyle name="S8" xfId="24"/>
    <cellStyle name="S8 3" xfId="13"/>
    <cellStyle name="S9" xfId="23"/>
    <cellStyle name="Акт" xfId="102"/>
    <cellStyle name="АктМТСН" xfId="103"/>
    <cellStyle name="ВедРесурсов" xfId="4"/>
    <cellStyle name="ВедРесурсовАкт" xfId="104"/>
    <cellStyle name="Гиперссылка" xfId="99" builtinId="8"/>
    <cellStyle name="Индексы" xfId="105"/>
    <cellStyle name="Итоги" xfId="9"/>
    <cellStyle name="ИтогоАктБазЦ" xfId="106"/>
    <cellStyle name="ИтогоАктБИМ" xfId="107"/>
    <cellStyle name="ИтогоАктРесМет" xfId="108"/>
    <cellStyle name="ИтогоБазЦ" xfId="109"/>
    <cellStyle name="ИтогоБИМ" xfId="60"/>
    <cellStyle name="ИтогоРесМет" xfId="110"/>
    <cellStyle name="ЛокСмета" xfId="49"/>
    <cellStyle name="ЛокСмМТСН" xfId="111"/>
    <cellStyle name="М29" xfId="112"/>
    <cellStyle name="Нейтральный" xfId="152" builtinId="28"/>
    <cellStyle name="ОбСмета" xfId="61"/>
    <cellStyle name="Обычный" xfId="0" builtinId="0"/>
    <cellStyle name="Обычный 10" xfId="47"/>
    <cellStyle name="Обычный 10 2" xfId="71"/>
    <cellStyle name="Обычный 11" xfId="48"/>
    <cellStyle name="Обычный 11 2" xfId="98"/>
    <cellStyle name="Обычный 12" xfId="50"/>
    <cellStyle name="Обычный 13" xfId="51"/>
    <cellStyle name="Обычный 14" xfId="52"/>
    <cellStyle name="Обычный 15" xfId="55"/>
    <cellStyle name="Обычный 16" xfId="59"/>
    <cellStyle name="Обычный 17" xfId="63"/>
    <cellStyle name="Обычный 18" xfId="14"/>
    <cellStyle name="Обычный 18 2" xfId="32"/>
    <cellStyle name="Обычный 18 3" xfId="36"/>
    <cellStyle name="Обычный 18 4" xfId="53"/>
    <cellStyle name="Обычный 18 5" xfId="80"/>
    <cellStyle name="Обычный 18 6" xfId="96"/>
    <cellStyle name="Обычный 19" xfId="83"/>
    <cellStyle name="Обычный 2" xfId="1"/>
    <cellStyle name="Обычный 2 2" xfId="20"/>
    <cellStyle name="Обычный 2 2 2" xfId="62"/>
    <cellStyle name="Обычный 2 2 2 2" xfId="76"/>
    <cellStyle name="Обычный 2 2 4" xfId="75"/>
    <cellStyle name="Обычный 2 3" xfId="8"/>
    <cellStyle name="Обычный 2 4" xfId="39"/>
    <cellStyle name="Обычный 2 5" xfId="46"/>
    <cellStyle name="Обычный 2 6" xfId="56"/>
    <cellStyle name="Обычный 2 7" xfId="65"/>
    <cellStyle name="Обычный 2 8" xfId="66"/>
    <cellStyle name="Обычный 2 9" xfId="91"/>
    <cellStyle name="Обычный 2 9 2" xfId="129"/>
    <cellStyle name="Обычный 2 9 2 2" xfId="142"/>
    <cellStyle name="Обычный 2 9 3" xfId="141"/>
    <cellStyle name="Обычный 20" xfId="85"/>
    <cellStyle name="Обычный 21" xfId="86"/>
    <cellStyle name="Обычный 22" xfId="88"/>
    <cellStyle name="Обычный 23" xfId="89"/>
    <cellStyle name="Обычный 23 2" xfId="122"/>
    <cellStyle name="Обычный 23 3" xfId="124"/>
    <cellStyle name="Обычный 23 4" xfId="126"/>
    <cellStyle name="Обычный 24" xfId="100"/>
    <cellStyle name="Обычный 25" xfId="101"/>
    <cellStyle name="Обычный 26" xfId="121"/>
    <cellStyle name="Обычный 27" xfId="137"/>
    <cellStyle name="Обычный 28" xfId="153"/>
    <cellStyle name="Обычный 28 3 2 3" xfId="77"/>
    <cellStyle name="Обычный 28 3 2 3 2" xfId="95"/>
    <cellStyle name="Обычный 28 3 2 3 2 2" xfId="135"/>
    <cellStyle name="Обычный 28 3 2 3 2 2 2" xfId="140"/>
    <cellStyle name="Обычный 28 3 2 3 2 2 3" xfId="145"/>
    <cellStyle name="Обычный 28 3 2 3 4" xfId="134"/>
    <cellStyle name="Обычный 28 3 2 3 4 2" xfId="139"/>
    <cellStyle name="Обычный 28 3 2 3 4 3" xfId="144"/>
    <cellStyle name="Обычный 28 4" xfId="73"/>
    <cellStyle name="Обычный 28 4 2" xfId="92"/>
    <cellStyle name="Обычный 28 4 2 2" xfId="133"/>
    <cellStyle name="Обычный 28 4 2 2 2" xfId="143"/>
    <cellStyle name="Обычный 28 4 2 3" xfId="138"/>
    <cellStyle name="Обычный 28 4 3" xfId="132"/>
    <cellStyle name="Обычный 3" xfId="7"/>
    <cellStyle name="Обычный 3 2" xfId="35"/>
    <cellStyle name="Обычный 3 2 2" xfId="38"/>
    <cellStyle name="Обычный 3 2 2 2" xfId="130"/>
    <cellStyle name="Обычный 3 2 3" xfId="45"/>
    <cellStyle name="Обычный 3 3" xfId="54"/>
    <cellStyle name="Обычный 3 3 4" xfId="150"/>
    <cellStyle name="Обычный 3 4" xfId="79"/>
    <cellStyle name="Обычный 3 4 2" xfId="131"/>
    <cellStyle name="Обычный 3 5" xfId="82"/>
    <cellStyle name="Обычный 3 6" xfId="97"/>
    <cellStyle name="Обычный 34" xfId="136"/>
    <cellStyle name="Обычный 4" xfId="10"/>
    <cellStyle name="Обычный 4 3" xfId="149"/>
    <cellStyle name="Обычный 4 3 2" xfId="148"/>
    <cellStyle name="Обычный 5" xfId="33"/>
    <cellStyle name="Обычный 5 2" xfId="78"/>
    <cellStyle name="Обычный 5 4" xfId="151"/>
    <cellStyle name="Обычный 6" xfId="34"/>
    <cellStyle name="Обычный 7" xfId="37"/>
    <cellStyle name="Обычный 7 4" xfId="128"/>
    <cellStyle name="Обычный 8" xfId="40"/>
    <cellStyle name="Обычный 8 2" xfId="57"/>
    <cellStyle name="Обычный 8 2 2" xfId="58"/>
    <cellStyle name="Обычный 9" xfId="44"/>
    <cellStyle name="Обычный 9 2" xfId="64"/>
    <cellStyle name="Обычный 9 3" xfId="84"/>
    <cellStyle name="Обычный 9 4" xfId="87"/>
    <cellStyle name="Обычный 9 5" xfId="90"/>
    <cellStyle name="Обычный 9 5 2" xfId="123"/>
    <cellStyle name="Обычный 9 5 3" xfId="125"/>
    <cellStyle name="Обычный 9 5 4" xfId="127"/>
    <cellStyle name="Обычный_6200_PRT" xfId="94"/>
    <cellStyle name="Обычный_6200РД" xfId="93"/>
    <cellStyle name="Параметр" xfId="113"/>
    <cellStyle name="ПеременныеСметы" xfId="114"/>
    <cellStyle name="ПИР" xfId="6"/>
    <cellStyle name="Процентный" xfId="147" builtinId="5"/>
    <cellStyle name="Процентный 2" xfId="69"/>
    <cellStyle name="Процентный 2 2" xfId="72"/>
    <cellStyle name="РесСмета" xfId="115"/>
    <cellStyle name="СводВедРес" xfId="116"/>
    <cellStyle name="СводкаСтоимРаб" xfId="117"/>
    <cellStyle name="СводРасч" xfId="118"/>
    <cellStyle name="Титул" xfId="5"/>
    <cellStyle name="Финансовый" xfId="146" builtinId="3"/>
    <cellStyle name="Финансовый [0] 2" xfId="70"/>
    <cellStyle name="Финансовый 2" xfId="19"/>
    <cellStyle name="Финансовый 2 2" xfId="31"/>
    <cellStyle name="Финансовый 2 3" xfId="68"/>
    <cellStyle name="Финансовый 3" xfId="67"/>
    <cellStyle name="Финансовый 7" xfId="74"/>
    <cellStyle name="Хвост" xfId="3"/>
    <cellStyle name="Ценник" xfId="119"/>
    <cellStyle name="Экспертиза" xfId="120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externalLink" Target="externalLinks/externalLink13.xml"/><Relationship Id="rId159" Type="http://schemas.openxmlformats.org/officeDocument/2006/relationships/externalLink" Target="externalLinks/externalLink34.xml"/><Relationship Id="rId170" Type="http://schemas.openxmlformats.org/officeDocument/2006/relationships/externalLink" Target="externalLinks/externalLink45.xml"/><Relationship Id="rId191" Type="http://schemas.openxmlformats.org/officeDocument/2006/relationships/externalLink" Target="externalLinks/externalLink66.xml"/><Relationship Id="rId205" Type="http://schemas.openxmlformats.org/officeDocument/2006/relationships/externalLink" Target="externalLinks/externalLink8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externalLink" Target="externalLinks/externalLink3.xml"/><Relationship Id="rId149" Type="http://schemas.openxmlformats.org/officeDocument/2006/relationships/externalLink" Target="externalLinks/externalLink24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externalLink" Target="externalLinks/externalLink35.xml"/><Relationship Id="rId181" Type="http://schemas.openxmlformats.org/officeDocument/2006/relationships/externalLink" Target="externalLinks/externalLink56.xml"/><Relationship Id="rId216" Type="http://schemas.openxmlformats.org/officeDocument/2006/relationships/styles" Target="styles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externalLink" Target="externalLinks/externalLink14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25.xml"/><Relationship Id="rId171" Type="http://schemas.openxmlformats.org/officeDocument/2006/relationships/externalLink" Target="externalLinks/externalLink46.xml"/><Relationship Id="rId192" Type="http://schemas.openxmlformats.org/officeDocument/2006/relationships/externalLink" Target="externalLinks/externalLink67.xml"/><Relationship Id="rId206" Type="http://schemas.openxmlformats.org/officeDocument/2006/relationships/externalLink" Target="externalLinks/externalLink8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externalLink" Target="externalLinks/externalLink4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externalLink" Target="externalLinks/externalLink15.xml"/><Relationship Id="rId161" Type="http://schemas.openxmlformats.org/officeDocument/2006/relationships/externalLink" Target="externalLinks/externalLink36.xml"/><Relationship Id="rId182" Type="http://schemas.openxmlformats.org/officeDocument/2006/relationships/externalLink" Target="externalLinks/externalLink57.xml"/><Relationship Id="rId217" Type="http://schemas.openxmlformats.org/officeDocument/2006/relationships/sharedStrings" Target="sharedStrings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externalLink" Target="externalLinks/externalLink5.xml"/><Relationship Id="rId151" Type="http://schemas.openxmlformats.org/officeDocument/2006/relationships/externalLink" Target="externalLinks/externalLink26.xml"/><Relationship Id="rId172" Type="http://schemas.openxmlformats.org/officeDocument/2006/relationships/externalLink" Target="externalLinks/externalLink47.xml"/><Relationship Id="rId193" Type="http://schemas.openxmlformats.org/officeDocument/2006/relationships/externalLink" Target="externalLinks/externalLink68.xml"/><Relationship Id="rId207" Type="http://schemas.openxmlformats.org/officeDocument/2006/relationships/externalLink" Target="externalLinks/externalLink82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externalLink" Target="externalLinks/externalLink16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37.xml"/><Relationship Id="rId183" Type="http://schemas.openxmlformats.org/officeDocument/2006/relationships/externalLink" Target="externalLinks/externalLink58.xml"/><Relationship Id="rId218" Type="http://schemas.openxmlformats.org/officeDocument/2006/relationships/calcChain" Target="calcChain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externalLink" Target="externalLinks/externalLink6.xml"/><Relationship Id="rId152" Type="http://schemas.openxmlformats.org/officeDocument/2006/relationships/externalLink" Target="externalLinks/externalLink27.xml"/><Relationship Id="rId173" Type="http://schemas.openxmlformats.org/officeDocument/2006/relationships/externalLink" Target="externalLinks/externalLink48.xml"/><Relationship Id="rId194" Type="http://schemas.openxmlformats.org/officeDocument/2006/relationships/externalLink" Target="externalLinks/externalLink69.xml"/><Relationship Id="rId208" Type="http://schemas.openxmlformats.org/officeDocument/2006/relationships/externalLink" Target="externalLinks/externalLink83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externalLink" Target="externalLinks/externalLink1.xml"/><Relationship Id="rId147" Type="http://schemas.openxmlformats.org/officeDocument/2006/relationships/externalLink" Target="externalLinks/externalLink22.xml"/><Relationship Id="rId168" Type="http://schemas.openxmlformats.org/officeDocument/2006/relationships/externalLink" Target="externalLinks/externalLink4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externalLink" Target="externalLinks/externalLink17.xml"/><Relationship Id="rId163" Type="http://schemas.openxmlformats.org/officeDocument/2006/relationships/externalLink" Target="externalLinks/externalLink38.xml"/><Relationship Id="rId184" Type="http://schemas.openxmlformats.org/officeDocument/2006/relationships/externalLink" Target="externalLinks/externalLink59.xml"/><Relationship Id="rId189" Type="http://schemas.openxmlformats.org/officeDocument/2006/relationships/externalLink" Target="externalLinks/externalLink64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89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externalLink" Target="externalLinks/externalLink12.xml"/><Relationship Id="rId158" Type="http://schemas.openxmlformats.org/officeDocument/2006/relationships/externalLink" Target="externalLinks/externalLink3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externalLink" Target="externalLinks/externalLink7.xml"/><Relationship Id="rId153" Type="http://schemas.openxmlformats.org/officeDocument/2006/relationships/externalLink" Target="externalLinks/externalLink28.xml"/><Relationship Id="rId174" Type="http://schemas.openxmlformats.org/officeDocument/2006/relationships/externalLink" Target="externalLinks/externalLink49.xml"/><Relationship Id="rId179" Type="http://schemas.openxmlformats.org/officeDocument/2006/relationships/externalLink" Target="externalLinks/externalLink54.xml"/><Relationship Id="rId195" Type="http://schemas.openxmlformats.org/officeDocument/2006/relationships/externalLink" Target="externalLinks/externalLink70.xml"/><Relationship Id="rId209" Type="http://schemas.openxmlformats.org/officeDocument/2006/relationships/externalLink" Target="externalLinks/externalLink84.xml"/><Relationship Id="rId190" Type="http://schemas.openxmlformats.org/officeDocument/2006/relationships/externalLink" Target="externalLinks/externalLink65.xml"/><Relationship Id="rId204" Type="http://schemas.openxmlformats.org/officeDocument/2006/relationships/externalLink" Target="externalLinks/externalLink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externalLink" Target="externalLinks/externalLink18.xml"/><Relationship Id="rId148" Type="http://schemas.openxmlformats.org/officeDocument/2006/relationships/externalLink" Target="externalLinks/externalLink23.xml"/><Relationship Id="rId164" Type="http://schemas.openxmlformats.org/officeDocument/2006/relationships/externalLink" Target="externalLinks/externalLink39.xml"/><Relationship Id="rId169" Type="http://schemas.openxmlformats.org/officeDocument/2006/relationships/externalLink" Target="externalLinks/externalLink44.xml"/><Relationship Id="rId185" Type="http://schemas.openxmlformats.org/officeDocument/2006/relationships/externalLink" Target="externalLinks/externalLink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55.xml"/><Relationship Id="rId210" Type="http://schemas.openxmlformats.org/officeDocument/2006/relationships/externalLink" Target="externalLinks/externalLink85.xml"/><Relationship Id="rId215" Type="http://schemas.openxmlformats.org/officeDocument/2006/relationships/theme" Target="theme/theme1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externalLink" Target="externalLinks/externalLink8.xml"/><Relationship Id="rId154" Type="http://schemas.openxmlformats.org/officeDocument/2006/relationships/externalLink" Target="externalLinks/externalLink29.xml"/><Relationship Id="rId175" Type="http://schemas.openxmlformats.org/officeDocument/2006/relationships/externalLink" Target="externalLinks/externalLink50.xml"/><Relationship Id="rId196" Type="http://schemas.openxmlformats.org/officeDocument/2006/relationships/externalLink" Target="externalLinks/externalLink71.xml"/><Relationship Id="rId200" Type="http://schemas.openxmlformats.org/officeDocument/2006/relationships/externalLink" Target="externalLinks/externalLink7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externalLink" Target="externalLinks/externalLink19.xml"/><Relationship Id="rId90" Type="http://schemas.openxmlformats.org/officeDocument/2006/relationships/worksheet" Target="worksheets/sheet90.xml"/><Relationship Id="rId165" Type="http://schemas.openxmlformats.org/officeDocument/2006/relationships/externalLink" Target="externalLinks/externalLink40.xml"/><Relationship Id="rId186" Type="http://schemas.openxmlformats.org/officeDocument/2006/relationships/externalLink" Target="externalLinks/externalLink61.xml"/><Relationship Id="rId211" Type="http://schemas.openxmlformats.org/officeDocument/2006/relationships/externalLink" Target="externalLinks/externalLink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externalLink" Target="externalLinks/externalLink9.xml"/><Relationship Id="rId80" Type="http://schemas.openxmlformats.org/officeDocument/2006/relationships/worksheet" Target="worksheets/sheet80.xml"/><Relationship Id="rId155" Type="http://schemas.openxmlformats.org/officeDocument/2006/relationships/externalLink" Target="externalLinks/externalLink30.xml"/><Relationship Id="rId176" Type="http://schemas.openxmlformats.org/officeDocument/2006/relationships/externalLink" Target="externalLinks/externalLink51.xml"/><Relationship Id="rId197" Type="http://schemas.openxmlformats.org/officeDocument/2006/relationships/externalLink" Target="externalLinks/externalLink72.xml"/><Relationship Id="rId201" Type="http://schemas.openxmlformats.org/officeDocument/2006/relationships/externalLink" Target="externalLinks/externalLink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externalLink" Target="externalLinks/externalLink20.xml"/><Relationship Id="rId166" Type="http://schemas.openxmlformats.org/officeDocument/2006/relationships/externalLink" Target="externalLinks/externalLink41.xml"/><Relationship Id="rId187" Type="http://schemas.openxmlformats.org/officeDocument/2006/relationships/externalLink" Target="externalLinks/externalLink6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87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externalLink" Target="externalLinks/externalLink10.xml"/><Relationship Id="rId156" Type="http://schemas.openxmlformats.org/officeDocument/2006/relationships/externalLink" Target="externalLinks/externalLink31.xml"/><Relationship Id="rId177" Type="http://schemas.openxmlformats.org/officeDocument/2006/relationships/externalLink" Target="externalLinks/externalLink52.xml"/><Relationship Id="rId198" Type="http://schemas.openxmlformats.org/officeDocument/2006/relationships/externalLink" Target="externalLinks/externalLink73.xml"/><Relationship Id="rId202" Type="http://schemas.openxmlformats.org/officeDocument/2006/relationships/externalLink" Target="externalLinks/externalLink77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externalLink" Target="externalLinks/externalLink21.xml"/><Relationship Id="rId167" Type="http://schemas.openxmlformats.org/officeDocument/2006/relationships/externalLink" Target="externalLinks/externalLink42.xml"/><Relationship Id="rId188" Type="http://schemas.openxmlformats.org/officeDocument/2006/relationships/externalLink" Target="externalLinks/externalLink63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externalLink" Target="externalLinks/externalLink11.xml"/><Relationship Id="rId157" Type="http://schemas.openxmlformats.org/officeDocument/2006/relationships/externalLink" Target="externalLinks/externalLink32.xml"/><Relationship Id="rId178" Type="http://schemas.openxmlformats.org/officeDocument/2006/relationships/externalLink" Target="externalLinks/externalLink5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externalLink" Target="externalLinks/externalLink74.xml"/><Relationship Id="rId203" Type="http://schemas.openxmlformats.org/officeDocument/2006/relationships/externalLink" Target="externalLinks/externalLink78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286471</xdr:colOff>
      <xdr:row>38</xdr:row>
      <xdr:rowOff>182011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F1F9C130-53C2-4711-A0CB-A8E679789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63271" cy="7421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324576</xdr:colOff>
      <xdr:row>38</xdr:row>
      <xdr:rowOff>182011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70113355-6D14-4199-BE0D-A965420AF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01376" cy="74210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p.tomsknipineft:8080/1922/&#1044;&#1086;&#1075;&#1086;&#1074;&#1086;&#1088;/&#1055;&#1088;&#1080;&#1083;&#1086;&#1078;&#1077;&#1085;&#1080;&#1077;%20&#1055;&#1057;&#1044;192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83;&#1072;&#1090;&#1077;&#1078;&#1085;&#1099;&#1077;%20&#1092;&#1086;&#1088;&#1084;&#1099;1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1\Netwrkng\WORK\Project_Price_1-99.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&#1094;\AppData\Roaming\Microsoft\Excel\&#1086;&#1090;%20&#1054;&#1048;&#1047;\&#1054;&#1041;&#1065;&#1040;&#1071;\&#1042;&#1086;&#1088;&#1086;&#1085;&#1077;&#1078;\&#1089;&#1084;&#1077;&#1090;&#1099;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&#1086;&#1073;&#1097;&#1072;&#1103;%20&#1087;&#1072;&#1087;&#1082;&#1072;\&#1070;&#1089;&#1091;&#1087;&#1086;&#1074;\&#1057;&#1052;&#1045;&#1058;&#1040;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godze\exchange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polikw2k\BLANK\&#1054;&#1073;&#1097;&#1080;&#1077;%20&#1076;&#1072;&#1085;&#1085;&#1099;&#1077;%20_format%20(electr)_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UDDsmetaPIR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p.tomsknipineft:8080/Documents%20and%20Settings/user.KLG0043/&#1056;&#1072;&#1073;&#1086;&#1095;&#1080;&#1081;%20&#1089;&#1090;&#1086;&#1083;/&#1044;&#1080;&#1085;&#1072;&#1088;&#1072;/Documents%20and%20Settings/afismagilov/Local%20Settings/Temporary%20Internet%20Files/OLK164/&#1055;&#1044;&#1056;+&#1041;&#1102;&#1076;&#1078;&#1077;&#1090;%20&#1070;&#1053;&#1043;%20&#1053;&#1058;&#1062;%20&#1059;&#1092;&#1072;%20(2005-2006)v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\CurProjects\Working_objects\BalticZavod\&#1048;&#1042;&#1062;%20(62-01-001)\62-01-&#1057;&#1057;.001\Spec%20&#1048;&#1042;&#1062;(16.08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sdc2\&#1076;&#1077;&#1087;&#1072;&#1088;&#1090;&#1072;&#1084;&#1077;&#1085;&#1090;%20&#1089;&#1080;&#1073;\&#1054;&#1090;&#1076;&#1077;&#1083;%20&#1087;&#1088;&#1086;&#1077;&#1082;&#1090;&#1080;&#1088;&#1086;&#1074;&#1072;&#1085;&#1080;&#1103;\01.%20&#1055;&#1088;&#1086;&#1077;&#1082;&#1090;&#1099;%20&#1074;%20&#1088;&#1072;&#1079;&#1088;&#1072;&#1073;&#1086;&#1090;&#1082;&#1077;\&#1057;&#1072;&#1084;&#1072;&#1088;&#1072;&#1090;&#1088;&#1072;&#1085;&#1089;&#1075;&#1072;&#1079;\07.%20&#1055;&#1088;&#1086;&#1077;&#1082;&#1090;&#1080;&#1088;&#1086;&#1074;&#1072;&#1085;&#1080;&#1077;\01.&#1058;&#1077;&#1093;&#1085;&#1080;&#1095;&#1077;&#1089;&#1082;&#1080;&#1081;%20&#1087;&#1088;&#1086;&#1077;&#1082;&#1090;\&#1057;&#1087;&#1077;&#1094;&#1080;&#1092;&#1080;&#1082;&#1072;&#1094;&#1080;&#1103;\1807200716462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2;&#1086;&#1084;&#1087;&#1100;&#1102;&#1090;&#1077;&#1088;/&#1051;&#1077;&#1085;&#1072;/&#1044;&#1086;&#1083;&#1075;&#1080;/123/&#1044;&#1086;&#1075;&#1086;&#1074;&#1086;&#1088;&#1072;/&#1048;&#1085;&#1078;&#1043;&#1077;&#1086;&#1055;&#1088;&#1086;&#1077;&#1082;&#1090;/2010/&#1057;&#1086;&#1095;&#1080;/&#1044;&#1054;&#1053;&#1048;&#1053;&#1042;&#1045;&#1057;&#1058;/&#1057;&#1052;&#1045;&#1058;&#1067;/&#1057;&#1084;&#1077;&#1090;&#1099;%20&#1088;&#1072;&#1073;&#1086;&#1095;&#1080;&#1077;/2008/&#1089;&#1084;&#1077;&#1090;&#1072;%20&#1075;&#1077;&#1086;&#1083;%20&#1042;&#1086;&#1083;&#1075;&#1072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5.250.4\Projects\Documents%20and%20Settings\Ibragimov_RR.UFANP\Local%20Settings\Temporary%20Internet%20Files\OLK44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sdc2\&#1089;&#1084;&#1077;&#1090;&#1085;&#1099;&#1081;%20&#1086;&#1090;&#1076;&#1077;&#1083;\DTkachev\Ttt_\Objects\&#1055;&#1057;&#1041;\PSBkrasnogvard_v4_09090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80;&#1077;%20&#1087;&#1072;&#1087;&#1082;&#1080;\Documents%20and%20Settings\&#1040;&#1076;&#1084;&#1080;&#1085;&#1080;&#1089;&#1090;&#1088;&#1072;&#1090;&#1086;&#1088;\&#1056;&#1072;&#1073;&#1086;&#1095;&#1080;&#1081;%20&#1089;&#1090;&#1086;&#1083;\&#1050;&#1086;&#1084;&#1084;%20&#1087;&#1088;&#1077;&#1076;&#1083;%20&#1087;&#1086;%20&#1057;&#1077;&#1088;&#1086;&#1086;&#1095;&#1080;&#1089;&#1090;&#1082;&#1077;-%20&#1040;&#1083;&#1072;&#1090;&#1086;&#1088;&#1082;&#1072;\&#1050;&#1086;&#1084;%20%20&#1087;&#1088;&#1077;&#1076;&#1083;%20&#1087;&#1086;%20&#1057;&#1077;&#1088;&#1086;&#1086;&#1095;&#1080;&#1089;&#1090;&#1082;&#1077;%20&#1040;&#1083;&#1072;&#1090;&#1086;&#1088;&#1082;&#1072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uments%20and%20Settings\904\Local%20Settings\Temporary%20Internet%20Files\OLK2\&#1057;&#1074;&#1086;&#1076;&#1085;&#1072;&#1103;%20&#1075;&#1072;&#1079;&#1086;&#1087;&#1088;&#1086;&#1074;&#1086;&#1076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LIVERY\&#1044;&#1054;&#1043;&#1054;&#1042;&#1054;&#1056;&#1040;\&#1044;&#1054;&#1043;&#1054;&#1042;&#1054;&#1056;&#1040;%202000\07_&#1059;&#1093;&#1090;&#1072;\107-07_00\&#1048;&#1089;&#1093;&#1086;&#1076;&#1085;&#1080;&#1082;&#1080;\&#1064;&#1082;&#1072;&#1092;&#1099;_en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2007_&#1076;&#1086;&#1075;\!&#1044;&#1086;&#1075;&#1086;&#1074;&#1086;&#1088;&#1099;%20&#1085;&#1072;%202007%20&#1075;&#1086;&#1076;\&#1050;&#1091;&#1081;&#1073;_&#1046;&#1044;_&#1055;&#1048;&#1056;_&#1055;&#1054;\&#1040;&#1043;&#1043;_%20new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ENT\DOG5\5176-1\Smeta-5-176-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w030302\&#1057;&#1084;&#1077;&#1090;&#1099;%20&#1048;&#1048;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SHKINA\Transfer\&#1052;&#1086;&#1080;%20&#1076;&#1086;&#1082;&#1091;&#1084;&#1077;&#1085;&#1090;&#1099;\&#1055;&#1053;&#1056;%20&#1057;&#1084;&#1086;&#1083;&#1077;&#1085;&#1089;&#1082;&#1072;&#1103;\&#1055;&#1053;&#1056;%20&#1076;&#1086;&#1087;%2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ET01\doc.&amp;\&#1052;&#1086;&#1080;%20&#1076;&#1086;&#1082;&#1091;&#1084;&#1077;&#1085;&#1090;&#1099;\&#1041;&#1088;&#1103;&#1085;&#1089;&#108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alkina\Local%20Settings\Temporary%20Internet%20Files\Content.Outlook\U4QWQD3Y\&#1057;&#1084;&#1077;&#1090;&#1072;%20&#1085;&#1072;%20&#1056;&#1044;%20%20&#1040;&#1057;&#1059;%20&#1058;&#1055;%20%20&#1055;&#1057;%20&#1070;&#1078;&#1085;&#1072;&#1103;%20&#1050;&#1056;&#1059;&#1069;%20220%20&#1082;&#1042;%20&#1085;&#1086;&#1074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4\tmpfolder\!exchange\23%20&#1086;&#1090;&#1076;&#1077;&#1083;\&#1045;&#1088;&#1105;&#1084;&#1080;&#1085;\&#1089;&#1084;&#1043;&#1040;&#1055;&#1086;&#1076;&#1085;&#1052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!exchange\23%20&#1086;&#1090;&#1076;&#1077;&#1083;\&#1045;&#1088;&#1105;&#1084;&#1080;&#1085;\&#1089;&#1084;&#1043;&#1040;&#1055;&#1086;&#1076;&#1085;&#1052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sdc2\&#1089;&#1084;&#1077;&#1090;&#1085;&#1099;&#1081;%20&#1086;&#1090;&#1076;&#1077;&#1083;\!Bakcell\&#1041;&#1102;&#1076;\&#1041;&#1102;&#1076;&#1078;&#1077;&#1090;_Bakcell_081_07_2007-09-2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BDC\smo\Users\&#1094;\AppData\Roaming\Microsoft\Excel\&#1086;&#1090;%20&#1054;&#1048;&#1047;\&#1054;&#1041;&#1065;&#1040;&#1071;\&#1042;&#1086;&#1088;&#1086;&#1085;&#1077;&#1078;\&#1089;&#1084;&#1077;&#1090;&#1099;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WP\NGK\5_2005\&#1057;&#1084;&#1077;&#1090;&#1072;_5_2005_&#1050;&#1072;&#1088;&#1100;&#1077;&#1088;&#1099;-&#1041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2;&#1086;&#1084;&#1087;&#1100;&#1102;&#1090;&#1077;&#1088;/&#1051;&#1077;&#1085;&#1072;/&#1044;&#1086;&#1083;&#1075;&#1080;/123/&#1044;&#1086;&#1075;&#1086;&#1074;&#1086;&#1088;&#1072;/&#1048;&#1085;&#1078;&#1043;&#1077;&#1086;&#1055;&#1088;&#1086;&#1077;&#1082;&#1090;/2010/&#1057;&#1086;&#1095;&#1080;/&#1044;&#1054;&#1053;&#1048;&#1053;&#1042;&#1045;&#1057;&#1058;/&#1057;&#1052;&#1045;&#1058;&#1067;/Temp/Rar$DI00.781/&#1048;&#1079;&#1099;&#1089;&#1082;&#1072;&#1085;&#1080;&#1103;/&#1075;&#1077;&#1086;&#1083;-&#1048;&#1082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\&#1059;&#1087;&#1088;&#1072;&#1074;&#1083;&#1077;&#1085;&#1080;&#1077;%20&#1080;&#1079;&#1099;&#1089;&#1082;&#1072;&#1090;&#1077;&#1083;&#1100;&#1089;&#1082;&#1080;&#1093;%20&#1088;&#1072;&#1073;&#1086;&#1090;\Temp\Rar$DI00.781\&#1048;&#1079;&#1099;&#1089;&#1082;&#1072;&#1085;&#1080;&#1103;\&#1075;&#1077;&#1086;&#1083;-&#1048;&#1082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&#1056;&#1072;&#1073;&#1086;&#1095;&#1080;&#1081;%20&#1089;&#1090;&#1086;&#1083;\&#1056;&#1072;&#1073;&#1086;&#1095;&#1072;&#1103;\&#1056;&#1040;&#1057;&#1063;&#1045;&#1058;%20%20&#1055;&#1048;&#1056;%20&#1087;&#1086;%20&#1062;&#1055;&#1054;\&#1040;&#1069;&#1056;&#1054;&#1044;&#1056;&#1054;&#1052;&#1067;\&#1061;&#1091;&#1088;&#1073;&#1072;,%20&#1061;&#1072;&#1073;&#1072;&#1088;&#1086;&#1074;&#1089;&#1082;&#1080;&#1081;%20&#1082;&#1088;&#1072;&#1081;\&#1056;&#1053;&#1062;\&#1054;&#1090;&#1074;&#1077;&#1090;%20&#1085;&#1072;%20&#1079;&#1072;&#1084;&#1077;&#1095;&#1072;&#1085;&#1080;&#1103;\Temp\Rar$DI00.781\&#1048;&#1079;&#1099;&#1089;&#1082;&#1072;&#1085;&#1080;&#1103;\&#1075;&#1077;&#1086;&#1083;-&#1048;&#1082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2;&#1086;&#1084;&#1087;&#1100;&#1102;&#1090;&#1077;&#1088;/&#1051;&#1077;&#1085;&#1072;/&#1044;&#1086;&#1083;&#1075;&#1080;/123/&#1044;&#1086;&#1075;&#1086;&#1074;&#1086;&#1088;&#1072;/&#1048;&#1085;&#1078;&#1043;&#1077;&#1086;&#1055;&#1088;&#1086;&#1077;&#1082;&#1090;/2010/&#1057;&#1086;&#1095;&#1080;/&#1044;&#1054;&#1053;&#1048;&#1053;&#1042;&#1045;&#1057;&#1058;/&#1057;&#1052;&#1045;&#1058;&#1067;/&#1043;&#1045;&#1054;&#1057;&#1052;&#1045;&#1058;&#1040;/&#1056;&#1040;&#1057;&#1063;&#1045;&#1058;%20&#1057;&#1052;&#1045;&#1058;&#1067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\&#1059;&#1087;&#1088;&#1072;&#1074;&#1083;&#1077;&#1085;&#1080;&#1077;%20&#1080;&#1079;&#1099;&#1089;&#1082;&#1072;&#1090;&#1077;&#1083;&#1100;&#1089;&#1082;&#1080;&#1093;%20&#1088;&#1072;&#1073;&#1086;&#1090;\&#1043;&#1045;&#1054;&#1057;&#1052;&#1045;&#1058;&#1040;\&#1056;&#1040;&#1057;&#1063;&#1045;&#1058;%20&#1057;&#1052;&#1045;&#1058;&#106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Borisenko_LV\&#1056;&#1072;&#1073;&#1086;&#1095;&#1080;&#1081;%20&#1089;&#1090;&#1086;&#1083;\&#1057;&#1084;&#1077;&#1090;&#1099;\&#1053;&#1072;&#1088;&#1072;&#1073;&#1086;&#1090;&#1082;&#1080;\&#1053;&#1055;&#1057;-4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&#1056;&#1072;&#1073;&#1086;&#1095;&#1080;&#1081;%20&#1089;&#1090;&#1086;&#1083;\&#1056;&#1072;&#1073;&#1086;&#1095;&#1072;&#1103;\&#1056;&#1040;&#1057;&#1063;&#1045;&#1058;%20%20&#1055;&#1048;&#1056;%20&#1087;&#1086;%20&#1062;&#1055;&#1054;\&#1040;&#1069;&#1056;&#1054;&#1044;&#1056;&#1054;&#1052;&#1067;\&#1061;&#1091;&#1088;&#1073;&#1072;,%20&#1061;&#1072;&#1073;&#1072;&#1088;&#1086;&#1074;&#1089;&#1082;&#1080;&#1081;%20&#1082;&#1088;&#1072;&#1081;\&#1056;&#1053;&#1062;\&#1054;&#1090;&#1074;&#1077;&#1090;%20&#1085;&#1072;%20&#1079;&#1072;&#1084;&#1077;&#1095;&#1072;&#1085;&#1080;&#1103;\&#1043;&#1045;&#1054;&#1057;&#1052;&#1045;&#1058;&#1040;\&#1056;&#1040;&#1057;&#1063;&#1045;&#1058;%20&#1057;&#1052;&#1045;&#1058;&#1067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p.tomsknipineft:8080/&#1052;&#1086;&#1080;%20&#1076;&#1086;&#1082;&#1091;&#1084;&#1077;&#1085;&#1090;&#1099;/&#1044;&#1077;&#1085;&#1080;&#1089;/Files/&#1089;&#1086;&#1093;&#1088;&#1072;&#1085;&#1080;&#1090;&#1100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server\&#1087;&#1083;&#1072;&#1085;&#1086;&#1074;&#1099;&#1081;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orisenko_LV\&#1056;&#1072;&#1073;&#1086;&#1095;&#1080;&#1081;%20&#1089;&#1090;&#1086;&#1083;\&#1057;&#1084;&#1077;&#1090;&#1099;\&#1053;&#1072;&#1088;&#1072;&#1073;&#1086;&#1090;&#1082;&#1080;\&#1053;&#1055;&#1057;-4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uments%20and%20Settings\428\My%20Documents\&#1090;&#1088;&#1072;&#1085;&#1089;&#1085;&#1077;&#1092;&#1090;&#1077;&#1084;&#1072;&#1096;\mail\&#1043;&#1077;&#1086;&#1057;&#1084;&#1077;&#1090;&#1072;\&#1040;&#1088;&#1093;&#1080;&#1074;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ET01\doc.&amp;\&#1055;&#1088;&#1086;&#1077;&#1082;&#1090;\&#1055;&#1088;&#1086;&#1077;&#1082;&#1090;&#1099;\&#1062;&#1077;&#1085;&#1090;&#1088;&#1086;&#1073;&#1072;&#1085;&#1082;\&#1041;&#1088;&#1103;&#1085;&#1089;&#1082;&#1072;&#1103;%20&#1086;&#1073;&#1083;&#1072;&#1089;&#1090;&#1100;\&#1059;&#1075;&#1083;&#1099;%20(&#1041;&#1088;&#1103;&#1085;&#1089;&#1082;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4;&#1054;&#1080;&#1069;&#1055;/&#1043;&#1072;&#1102;&#1085;&#1086;&#1074;&#1072;%20&#1051;%20&#1042;/&#1042;&#1067;&#1041;&#1054;&#1056;&#1043;&#1057;&#1050;&#1040;&#1071;%20&#1055;&#1055;&#1058;/&#1056;&#1072;&#1079;&#1076;&#1077;&#1083;%209.%20&#1057;&#1084;&#1077;&#1090;&#1099;/102-&#1057;&#1052;1%20&#1080;&#1079;&#1084;.3/EDIT/&#1054;&#1089;&#1090;&#1072;&#1083;&#1100;&#1085;&#1086;&#1077;/&#1044;&#1086;&#1082;&#1091;&#1084;&#1077;&#1085;&#1090;&#1072;&#1094;&#1080;&#1103;/&#1055;&#1072;&#1088;&#1075;&#1072;&#1083;&#1086;&#1074;&#1086;/&#1044;&#1083;&#1103;%20&#1057;&#1057;&#1056;/Users/biruzova/Desktop/&#1057;&#1086;&#1083;&#1085;&#1077;&#1095;&#1085;.%20&#1073;&#1072;&#1090;&#1072;&#1088;&#1077;&#1103;%20-%20&#1056;&#1044;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4;&#1091;&#1076;&#1082;&#1072;\&#1087;&#1072;&#1087;&#1082;&#1072;%20&#1086;&#1073;&#1084;&#1077;&#1085;&#1072;\&#1052;&#1086;&#1080;%20&#1076;&#1086;&#1082;&#1091;&#1084;&#1077;&#1085;&#1090;&#1099;\&#1044;&#1077;&#1085;&#1080;&#1089;\&#1089;&#1086;&#1093;&#1088;&#1072;&#1085;&#1080;&#1090;&#1100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1_&#1055;&#1088;&#1086;&#1077;&#1082;&#1090;&#1099;\03_&#1050;&#1072;&#1084;&#1089;&#1082;&#1072;&#1103;_&#1043;&#1069;&#1057;\&#1047;&#1072;&#1084;&#1077;&#1085;&#1072;_&#1079;&#1072;&#1097;&#1080;&#1090;_&#1042;&#1051;_&#1042;&#1083;&#1072;&#1076;&#1080;&#1084;&#1080;&#1088;&#1089;&#1082;&#1072;&#1103;-2\!new_&#1050;&#1072;&#1084;&#1043;&#1069;&#1057;_&#1042;&#1083;&#1072;&#1076;&#1080;&#1084;&#1080;&#1088;&#1089;&#1082;&#1072;&#1103;2_&#1057;&#1052;&#1057;_&#1056;&#1072;&#1089;&#1095;&#1077;&#1090;_210809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4\tmpfolder\!exchange\23%20&#1086;&#1090;&#1076;&#1077;&#1083;\&#1045;&#1088;&#1105;&#1084;&#1080;&#1085;\&#1089;&#1084;&#1047;&#1045;&#1052;&#1086;&#1076;&#108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bragimov_RR.UFANP\Local%20Settings\Temporary%20Internet%20Files\OLK44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!exchange\23%20&#1086;&#1090;&#1076;&#1077;&#1083;\&#1045;&#1088;&#1105;&#1084;&#1080;&#1085;\&#1089;&#1084;&#1047;&#1045;&#1052;&#1086;&#1076;&#1085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&#1089;&#1084;&#1077;&#1090;&#1085;&#1099;&#1081;\&#1040;&#1083;&#1077;&#1082;&#1089;&#1072;&#1085;&#1076;&#1088;%20&#1040;&#1083;&#1077;&#1082;&#1089;&#1077;&#1077;&#1074;&#1080;&#1095;\&#1057;&#1057;&#1056;%20&#1089;&#1085;&#1077;&#1075;&#1086;&#1074;&#1072;&#1103;%20&#1087;&#1072;&#1076;&#1100;\&#1059;&#1050;&#1057;&#1048;%20&#1057;&#1090;&#1088;&#1102;&#1082;&#1086;&#1074;\&#1056;&#1072;&#1079;&#1085;&#1086;&#1077;%20Excel\&#1057;&#1057;&#1056;\&#1059;&#1050;&#1057;&#1048;\&#1056;&#1045;&#1057;&#1058;&#1056;&#1059;&#1050;&#1058;&#1059;&#1056;&#1048;&#1047;&#1040;&#1062;&#1048;&#1071;\&#1057;&#1086;&#1089;&#1085;&#1086;&#1074;&#1086;&#1077;\&#1052;&#1086;&#1080;%20&#1076;&#1086;&#1082;&#1091;&#1084;&#1077;&#1085;&#1090;&#1099;\&#1041;&#1102;&#1076;&#1078;&#1077;&#1090;\&#1060;&#1062;&#1055;\&#1056;&#1077;&#1089;&#1090;&#1088;&#1091;&#1082;&#1090;&#1091;&#1088;&#1080;&#1079;&#1072;&#1094;&#1080;&#1103;\&#1057;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oduws2003\&#1060;&#1080;&#1083;&#1080;&#1072;&#1083;%20&#1040;&#1057;&#1054;&#1044;&#1059;\&#1047;&#1072;&#1082;&#1072;&#1079;&#1095;&#1080;&#1082;&#1080;\&#1051;&#1059;&#1050;&#1054;&#1049;&#1051;-&#1055;&#1045;&#1056;&#1052;&#1053;&#1045;&#1060;&#1058;&#1068;\&#1050;&#1059;&#1059;&#1053;%20276%20&#1054;&#1089;&#1072;\&#1044;&#1086;&#1075;&#1086;&#1074;&#1086;&#1088;%20310%20&#1086;&#1090;%2006.02.03%20(&#1088;&#1077;&#1082;&#1086;&#1085;&#1089;&#1090;&#1088;&#1091;&#1082;&#1094;&#1080;&#1103;)\&#1044;&#1086;&#1087;.%20&#1089;&#1086;&#1075;&#1083;.%20&#8470;2%20&#1086;&#1090;%2001.09.04\&#1055;&#1088;&#1080;&#1083;&#1086;&#1078;.%20&#1076;.&#1089;.%202%20&#1082;%20&#1076;&#1086;&#1075;.%2031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vo-d\d\&#1042;&#1080;&#1083;&#1099;\GEODESIA\Natasha\&#1042;&#1053;&#1048;&#1048;&#1056;\&#1057;&#1084;&#1077;&#1090;&#1072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ukreshZI\Local%20Settings\Temporary%20Internet%20Files\OLK7\Zarplata_1\&#1044;&#1077;&#1085;&#1080;&#1089;\&#1089;&#1086;&#1093;&#1088;&#1072;&#1085;&#1080;&#1090;&#1100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4;&#1054;&#1080;&#1069;&#1055;/&#1043;&#1072;&#1102;&#1085;&#1086;&#1074;&#1072;%20&#1051;%20&#1042;/&#1042;&#1067;&#1041;&#1054;&#1056;&#1043;&#1057;&#1050;&#1040;&#1071;%20&#1055;&#1055;&#1058;/&#1056;&#1072;&#1079;&#1076;&#1077;&#1083;%209.%20&#1057;&#1084;&#1077;&#1090;&#1099;/102-&#1057;&#1052;1%20&#1080;&#1079;&#1084;.3/EDIT/&#1054;&#1089;&#1090;&#1072;&#1083;&#1100;&#1085;&#1086;&#1077;/&#1044;&#1086;&#1082;&#1091;&#1084;&#1077;&#1085;&#1090;&#1072;&#1094;&#1080;&#1103;/&#1055;&#1072;&#1088;&#1075;&#1072;&#1083;&#1086;&#1074;&#1086;/&#1044;&#1083;&#1103;%20&#1057;&#1057;&#1056;/tmp/Temporary%20Internet%20Files/Content.Outlook/I72ZG5PP/&#1041;&#1044;&#1056;%20&#1057;&#1057;%201%20&#1082;&#1074;%202008%2014%2007%20200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rozhnyj/Downloads/&#1042;&#1040;&#1057;&#1048;&#1051;&#1048;&#1049;/&#1055;&#1048;&#1056;%20&#1057;&#1090;&#1072;&#1076;&#1080;&#1086;&#1085;/DOCUME~1/TEMP/LOCALS~1/Temp/Xl000026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cenko\&#1084;&#1086;&#1080;%20&#1076;&#1086;&#1082;&#1091;&#1084;&#1077;&#1085;&#1090;\TEMP\ps19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4;&#1086;&#1082;&#1091;&#1084;&#1077;&#1085;&#1090;&#1099;-&#1087;&#1086;%20&#1086;&#1073;&#1098;&#1077;&#1082;&#1090;&#1072;&#1084;\&#1050;&#1041;&#1044;&#1061;\&#1044;&#1080;&#1088;&#1077;&#1082;&#1094;&#1080;&#1103;%20&#1090;&#1088;&#1072;&#1085;&#1089;&#1087;%20&#1089;&#1090;&#1088;-&#1074;&#1072;\&#1056;&#1072;&#1079;&#1074;&#1103;&#1079;&#1082;&#1072;%20&#1085;&#1072;%20&#1046;&#1091;&#1082;&#1086;&#1074;&#1072;\&#1055;&#1088;&#1086;&#1077;&#1082;&#1090;\1%20&#1086;&#1095;&#1077;&#1088;&#1077;&#1076;&#1100;%20-%20&#1091;&#1083;.&#1052;&#1086;&#1088;.%20&#1087;&#1077;&#1093;&#1086;&#1090;&#1099;%20&#1089;%20&#1084;&#1086;&#1089;&#1090;&#1086;&#1084;\&#1057;&#1084;&#1077;&#1090;&#1099;%20&#1052;&#1046;%201-&#1103;%20&#1086;&#1095;&#1077;&#1088;&#1077;&#1076;&#1100;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uddsmetapir\Docs\Zarplata_1\&#1044;&#1077;&#1085;&#1080;&#1089;\&#1089;&#1086;&#1093;&#1088;&#1072;&#1085;&#1080;&#1090;&#1100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CommonData\&#1082;&#1086;&#1084;&#1087;&#1100;&#1102;&#1090;&#1077;&#1088;\&#1051;&#1077;&#1085;&#1072;\&#1044;&#1086;&#1083;&#1075;&#1080;\123\&#1044;&#1086;&#1075;&#1086;&#1074;&#1086;&#1088;&#1072;\&#1048;&#1085;&#1078;&#1043;&#1077;&#1086;&#1055;&#1088;&#1086;&#1077;&#1082;&#1090;\2010\&#1057;&#1086;&#1095;&#1080;\&#1044;&#1054;&#1053;&#1048;&#1053;&#1042;&#1045;&#1057;&#1058;\&#1057;&#1052;&#1045;&#1058;&#1067;\DOCUME~1\STREKA~2\LOCALS~1\Temp\Rar$DI86.8079\624_4_13-14_&#1056;&#1077;&#1082;_&#1055;&#1058;&#1047;%20&#1050;&#1072;&#1083;&#1077;&#1081;&#1082;&#1080;&#1085;&#1086;-&#1050;&#1086;&#1074;&#1072;&#1083;&#1080;%20109-119%20&#1082;&#1084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\&#1059;&#1087;&#1088;&#1072;&#1074;&#1083;&#1077;&#1085;&#1080;&#1077;%20&#1080;&#1079;&#1099;&#1089;&#1082;&#1072;&#1090;&#1077;&#1083;&#1100;&#1089;&#1082;&#1080;&#1093;%20&#1088;&#1072;&#1073;&#1086;&#1090;\DOCUME~1\STREKA~2\LOCALS~1\Temp\Rar$DI86.8079\624_4_13-14_&#1056;&#1077;&#1082;_&#1055;&#1058;&#1047;%20&#1050;&#1072;&#1083;&#1077;&#1081;&#1082;&#1080;&#1085;&#1086;-&#1050;&#1086;&#1074;&#1072;&#1083;&#1080;%20109-119%20&#1082;&#1084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&#1056;&#1072;&#1073;&#1086;&#1095;&#1080;&#1081;%20&#1089;&#1090;&#1086;&#1083;\&#1056;&#1072;&#1073;&#1086;&#1095;&#1072;&#1103;\&#1056;&#1040;&#1057;&#1063;&#1045;&#1058;%20%20&#1055;&#1048;&#1056;%20&#1087;&#1086;%20&#1062;&#1055;&#1054;\&#1040;&#1069;&#1056;&#1054;&#1044;&#1056;&#1054;&#1052;&#1067;\&#1061;&#1091;&#1088;&#1073;&#1072;,%20&#1061;&#1072;&#1073;&#1072;&#1088;&#1086;&#1074;&#1089;&#1082;&#1080;&#1081;%20&#1082;&#1088;&#1072;&#1081;\&#1056;&#1053;&#1062;\&#1054;&#1090;&#1074;&#1077;&#1090;%20&#1085;&#1072;%20&#1079;&#1072;&#1084;&#1077;&#1095;&#1072;&#1085;&#1080;&#1103;\DOCUME~1\STREKA~2\LOCALS~1\Temp\Rar$DI86.8079\624_4_13-14_&#1056;&#1077;&#1082;_&#1055;&#1058;&#1047;%20&#1050;&#1072;&#1083;&#1077;&#1081;&#1082;&#1080;&#1085;&#1086;-&#1050;&#1086;&#1074;&#1072;&#1083;&#1080;%20109-119%20&#1082;&#1084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Borisenko_LV\&#1056;&#1072;&#1073;&#1086;&#1095;&#1080;&#1081;%20&#1089;&#1090;&#1086;&#1083;\&#1057;&#1084;&#1077;&#1090;&#1099;\&#1053;&#1072;&#1088;&#1072;&#1073;&#1086;&#1090;&#1082;&#1080;\&#1053;&#1055;&#1057;-4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COPU\&#1052;&#1086;&#1080;%20&#1076;&#1086;&#1082;&#1091;&#1084;&#1077;&#1085;&#1090;&#1099;%20898\&#1051;&#1086;&#1087;&#1072;&#1090;&#1082;&#1080;&#1085;\&#1057;&#1077;&#1088;&#1074;&#1077;&#1088;\&#1053;&#1072;&#1083;&#1080;&#1095;&#1080;&#1077;%20&#1072;&#1074;&#1090;&#1086;&#1090;&#1088;&#1072;&#1085;&#1089;&#1087;&#1086;&#1088;&#1090;&#1072;%20&#1087;&#1086;%20&#1060;&#1062;&#1055;\&#1057;&#1074;&#1086;&#1076;&#1085;&#1072;&#1103;%20&#1086;&#1090;&#1095;&#1077;&#1090;&#1099;%2020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uments%20and%20Settings\221\&#1056;&#1072;&#1073;&#1086;&#1095;&#1080;&#1081;%20&#1089;&#1090;&#1086;&#1083;\&#1053;&#1086;&#1074;&#1072;&#1103;%20&#1087;&#1072;&#1087;&#1082;&#1072;\&#1061;&#1072;&#1081;&#1090;&#1091;&#1085;\&#1056;&#1042;&#1057;%2030&#1090;&#1099;&#1089;%20%20&#1057;&#1090;&#1072;&#1088;&#1086;&#1083;&#1080;&#1082;&#1077;&#1077;&#1074;&#1086;\mail\&#1043;&#1077;&#1086;&#1057;&#1084;&#1077;&#1090;&#1072;\&#1040;&#1088;&#1093;&#1080;&#1074;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8;&#1088;&#1091;&#1076;&#1086;&#1079;&#1072;&#1090;&#1088;&#1072;&#1090;&#1099;%20&#1054;&#1054;&#1054;%20&#1043;&#1072;&#1079;&#1087;&#1088;&#1086;&#1084;%20&#1090;&#1088;&#1072;&#1085;&#1089;&#1075;&#1072;&#1079;%20&#1057;&#1072;&#1085;&#1082;&#1090;-&#1055;&#1077;&#1090;&#1077;&#1088;&#1073;&#1091;&#1088;&#1075;.%20&#1042;&#1085;&#1077;&#1076;&#1088;&#1077;&#1085;&#1080;&#1077;\&#1057;&#1080;&#1089;&#1090;&#1077;&#1084;&#1072;%20&#1076;&#1080;&#1089;&#1087;&#1077;&#1090;&#1095;&#1077;&#1088;&#1089;&#1082;&#1086;&#1075;&#1086;%20&#1091;&#1087;&#1088;&#1072;&#1074;&#1083;&#1077;&#1085;&#1080;&#1103;%20&#1074;%20&#1088;&#1072;&#1084;&#1082;&#1072;&#1093;%20&#1089;&#1090;&#1088;&#1086;&#1081;&#1082;&#1080;%20&#1059;&#1093;&#1090;&#1072;-&#1058;&#1086;&#1088;&#1078;&#1086;&#1082;.%20II%20&#1085;&#1080;&#1090;&#1082;&#1072;%20(&#1071;&#1084;&#1072;&#1083;)\&#1056;&#1044;%20-%20&#1057;&#1044;&#1059;%20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ENT\DOG5\5-348\Smety\&#1057;&#1077;&#1089;&#1090;&#1088;&#1086;&#1088;&#1077;&#1094;&#1082;\Smeta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tvinenko\SERVER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Smety\&#1057;&#1077;&#1089;&#1090;&#1088;&#1086;&#1088;&#1077;&#1094;&#1082;\Smeta-tonn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Zarplata_1\&#1044;&#1077;&#1085;&#1080;&#1089;\&#1089;&#1086;&#1093;&#1088;&#1072;&#1085;&#1080;&#1090;&#1100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4;&#1086;&#1082;&#1091;&#1084;&#1077;&#1085;&#1090;&#1099;-&#1087;&#1086;%20&#1086;&#1073;&#1098;&#1077;&#1082;&#1090;&#1072;&#1084;\&#1050;&#1041;&#1044;&#1061;\&#1044;&#1080;&#1088;&#1077;&#1082;&#1094;&#1080;&#1103;%20&#1090;&#1088;&#1072;&#1085;&#1089;&#1087;%20&#1089;&#1090;&#1088;-&#1074;&#1072;\&#1057;&#1085;&#1077;&#1075;\&#1057;&#1084;&#1077;&#1090;&#1072;%20&#1089;&#1085;&#1077;&#1075;&#1086;&#1087;&#1083;&#1072;&#1074;&#1080;&#1083;&#1100;&#1085;&#1099;&#1081;%20&#1087;&#1091;&#1085;&#1082;&#1090;,%20&#1056;&#1080;&#1078;&#1089;&#1082;&#1080;&#1081;,%20190105%20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w030302\exchange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1086;&#1073;&#1098;&#1077;&#1084;&#1099;%20&#1088;&#1072;&#1073;&#1086;&#1090;/&#1056;&#1072;&#1079;&#1085;&#1086;&#1077;/Zarplata_1/&#1044;&#1077;&#1085;&#1080;&#1089;/&#1089;&#1086;&#1093;&#1088;&#1072;&#1085;&#1080;&#1090;&#1100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w030302\&#1057;&#1084;&#1077;&#1090;&#1099;%20&#1048;&#1048;\Docs\Zarplata_1\&#1044;&#1077;&#1085;&#1080;&#1089;\&#1089;&#1086;&#1093;&#1088;&#1072;&#1085;&#1080;&#1090;&#1100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Smety\&#1057;&#1077;&#1089;&#1090;&#1088;&#1086;&#1088;&#1077;&#1094;&#1082;\Smeta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&#1050;&#1086;&#1085;&#1102;&#1096;&#1077;&#1085;&#1085;&#1072;&#1103;%20&#1091;&#1083;&#1080;&#1094;&#1072;\Smeta-tonnel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Smety\&#1050;&#1086;&#1085;&#1102;&#1096;&#1077;&#1085;&#1085;&#1072;&#1103;%20&#1091;&#1083;&#1080;&#1094;&#1072;\Smeta-tonne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4;&#1054;&#1080;&#1069;&#1055;/&#1043;&#1072;&#1102;&#1085;&#1086;&#1074;&#1072;%20&#1051;%20&#1042;/&#1042;&#1067;&#1041;&#1054;&#1056;&#1043;&#1057;&#1050;&#1040;&#1071;%20&#1055;&#1055;&#1058;/&#1056;&#1072;&#1079;&#1076;&#1077;&#1083;%209.%20&#1057;&#1084;&#1077;&#1090;&#1099;/102-&#1057;&#1052;1%20&#1080;&#1079;&#1084;.3/EDIT/&#1054;&#1089;&#1090;&#1072;&#1083;&#1100;&#1085;&#1086;&#1077;/&#1044;&#1086;&#1082;&#1091;&#1084;&#1077;&#1085;&#1090;&#1072;&#1094;&#1080;&#1103;/&#1055;&#1072;&#1088;&#1075;&#1072;&#1083;&#1086;&#1074;&#1086;/&#1044;&#1083;&#1103;%20&#1057;&#1057;&#1056;/&#1044;&#1086;&#1075;&#1086;&#1074;&#1086;&#1088;&#1085;&#1086;&#1081;%20&#1086;&#1090;&#1076;&#1077;&#1083;/&#1069;&#1082;&#1086;&#1085;&#1086;&#1084;&#1080;&#1082;&#1072;/&#1040;&#1082;&#1090;&#1099;-&#1054;&#1087;&#1083;&#1072;&#1090;&#1072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voronina.PGBUH\&#1052;&#1086;&#1080;%20&#1076;&#1086;&#1082;&#1091;&#1084;&#1077;&#1085;&#1090;&#1099;\&#1057;&#1084;&#1077;&#1090;&#1099;\&#1041;&#1072;&#1081;&#1076;&#1072;&#1088;&#1072;&#1094;&#1082;&#1072;&#1103;%20&#1075;&#1091;&#1073;&#1072;%202007\&#1048;&#1079;&#1099;&#1089;&#1082;&#1072;&#1085;&#1080;&#1103;\&#1071;&#1043;&#1048;\&#1050;&#1055;+C&#1084;&#1077;&#1090;&#1072;%202007%20&#1071;&#1043;&#1048;%20%20(14.03.07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4;&#1054;&#1080;&#1069;&#1055;/&#1043;&#1072;&#1102;&#1085;&#1086;&#1074;&#1072;%20&#1051;%20&#1042;/&#1042;&#1067;&#1041;&#1054;&#1056;&#1043;&#1057;&#1050;&#1040;&#1071;%20&#1055;&#1055;&#1058;/&#1056;&#1072;&#1079;&#1076;&#1077;&#1083;%209.%20&#1057;&#1084;&#1077;&#1090;&#1099;/102-&#1057;&#1052;1%20&#1080;&#1079;&#1084;.3/EDIT/&#1054;&#1089;&#1090;&#1072;&#1083;&#1100;&#1085;&#1086;&#1077;/&#1044;&#1086;&#1082;&#1091;&#1084;&#1077;&#1085;&#1090;&#1072;&#1094;&#1080;&#1103;/&#1055;&#1072;&#1088;&#1075;&#1072;&#1083;&#1086;&#1074;&#1086;/&#1044;&#1083;&#1103;%20&#1057;&#1057;&#1056;/Documents%20and%20Settings/operator/Desktop/&#1051;&#1072;&#1090;&#1091;&#1096;&#1082;&#1080;&#1085;&#1072;/&#1087;&#1083;&#1072;&#1085;&#1080;&#1088;&#1086;&#1074;&#1072;&#1085;&#1080;&#1077;%20&#1090;&#1077;&#1082;&#1091;&#1097;&#1080;&#1081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LIVERY\&#1052;&#1086;&#1080;%20&#1076;&#1086;&#1082;&#1091;&#1084;&#1077;&#1085;&#1090;&#1099;\&#1050;&#1085;&#1080;&#1075;&#1072;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CommonData\&#1082;&#1086;&#1084;&#1087;&#1100;&#1102;&#1090;&#1077;&#1088;\&#1051;&#1077;&#1085;&#1072;\&#1044;&#1086;&#1083;&#1075;&#1080;\123\&#1044;&#1086;&#1075;&#1086;&#1074;&#1086;&#1088;&#1072;\&#1048;&#1085;&#1078;&#1043;&#1077;&#1086;&#1055;&#1088;&#1086;&#1077;&#1082;&#1090;\2010\&#1057;&#1086;&#1095;&#1080;\&#1044;&#1054;&#1053;&#1048;&#1053;&#1042;&#1045;&#1057;&#1058;\&#1057;&#1052;&#1045;&#1058;&#1067;\My%20documents\&#1058;&#1077;&#1082;&#1091;&#1097;&#1080;&#1077;%20&#1073;&#1072;&#1079;&#1099;\&#1041;&#1053;&#1055;_&#1090;&#1077;&#1082;&#1091;&#1097;&#1072;&#1103;%20&#1073;&#1072;&#1079;&#1072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\&#1059;&#1087;&#1088;&#1072;&#1074;&#1083;&#1077;&#1085;&#1080;&#1077;%20&#1080;&#1079;&#1099;&#1089;&#1082;&#1072;&#1090;&#1077;&#1083;&#1100;&#1089;&#1082;&#1080;&#1093;%20&#1088;&#1072;&#1073;&#1086;&#1090;\My%20documents\&#1058;&#1077;&#1082;&#1091;&#1097;&#1080;&#1077;%20&#1073;&#1072;&#1079;&#1099;\&#1041;&#1053;&#1055;_&#1090;&#1077;&#1082;&#1091;&#1097;&#1072;&#1103;%20&#1073;&#1072;&#1079;&#1072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&#1056;&#1072;&#1073;&#1086;&#1095;&#1080;&#1081;%20&#1089;&#1090;&#1086;&#1083;\&#1056;&#1072;&#1073;&#1086;&#1095;&#1072;&#1103;\&#1056;&#1040;&#1057;&#1063;&#1045;&#1058;%20%20&#1055;&#1048;&#1056;%20&#1087;&#1086;%20&#1062;&#1055;&#1054;\&#1040;&#1069;&#1056;&#1054;&#1044;&#1056;&#1054;&#1052;&#1067;\&#1061;&#1091;&#1088;&#1073;&#1072;,%20&#1061;&#1072;&#1073;&#1072;&#1088;&#1086;&#1074;&#1089;&#1082;&#1080;&#1081;%20&#1082;&#1088;&#1072;&#1081;\&#1056;&#1053;&#1062;\&#1054;&#1090;&#1074;&#1077;&#1090;%20&#1085;&#1072;%20&#1079;&#1072;&#1084;&#1077;&#1095;&#1072;&#1085;&#1080;&#1103;\My%20documents\&#1058;&#1077;&#1082;&#1091;&#1097;&#1080;&#1077;%20&#1073;&#1072;&#1079;&#1099;\&#1041;&#1053;&#1055;_&#1090;&#1077;&#1082;&#1091;&#1097;&#1072;&#1103;%20&#1073;&#1072;&#1079;&#1072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zlyakov-rv\Shared\Documents%20and%20Settings\Borisenko_LV\&#1056;&#1072;&#1073;&#1086;&#1095;&#1080;&#1081;%20&#1089;&#1090;&#1086;&#1083;\&#1057;&#1084;&#1077;&#1090;&#1099;\&#1053;&#1072;&#1088;&#1072;&#1073;&#1086;&#1090;&#1082;&#1080;\&#1053;&#1055;&#1057;-4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LIVERY\&#1055;&#1056;&#1040;&#1049;&#1057;_2000%20&#1054;&#1058;%2020_01_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!exchange\23%20&#1086;&#1090;&#1076;&#1077;&#1083;\&#1045;&#1088;&#1105;&#1084;&#1080;&#1085;\&#1089;&#1084;&#1047;&#1045;&#1052;&#1086;&#1076;&#1085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server\xserver\Documents%20and%20Settings\Borisenko_LV\&#1056;&#1072;&#1073;&#1086;&#1095;&#1080;&#1081;%20&#1089;&#1090;&#1086;&#1083;\&#1057;&#1084;&#1077;&#1090;&#1099;\&#1053;&#1072;&#1088;&#1072;&#1073;&#1086;&#1090;&#1082;&#1080;\&#1053;&#1055;&#1057;-4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!!!&#1055;&#1057;&#1044;\&#1055;4_462_20_(&#1069;&#1083;&#1100;&#1073;&#1088;&#1091;&#1089;_&#1087;&#1072;&#1088;&#1082;&#1086;&#1074;&#1082;&#1080;)\00.%20&#1055;&#1088;&#1086;&#1077;&#1082;&#1090;\1.%20&#1057;&#1090;&#1072;&#1076;&#1080;&#1103;%20&#1055;\_&#1042;&#1099;&#1076;&#1072;&#1095;&#1072;%20&#1061;&#1061;&#1061;&#1061;%20&#1061;&#1061;%20&#1061;&#1061;\11.%20&#1057;&#1052;\!!!%20&#1043;&#1043;&#1069;\4%20&#1050;&#1086;&#1088;&#1088;&#1077;&#1082;&#1090;&#1080;&#1088;&#1086;&#1074;&#1082;&#1072;\&#1057;&#1084;&#1077;&#1090;&#1099;%20&#1074;%20&#1088;&#1077;&#1076;&#1072;&#1082;&#1090;&#1080;&#1088;&#1091;&#1077;&#1084;&#1086;&#1084;%20&#1092;&#1086;&#1088;&#1084;&#1072;&#1090;&#1077;\80.%20&#1054;&#1057;&#1056;%2009-07%20%20&#1058;&#1077;&#1093;.&#1087;&#1083;&#1072;&#1085;%2005.07.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!!!&#1055;&#1057;&#1044;\&#1055;4_462_20_(&#1069;&#1083;&#1100;&#1073;&#1088;&#1091;&#1089;_&#1087;&#1072;&#1088;&#1082;&#1086;&#1074;&#1082;&#1080;)\00.%20&#1055;&#1088;&#1086;&#1077;&#1082;&#1090;\1.%20&#1057;&#1090;&#1072;&#1076;&#1080;&#1103;%20&#1055;\_&#1042;&#1099;&#1076;&#1072;&#1095;&#1072;%20&#1061;&#1061;&#1061;&#1061;%20&#1061;&#1061;%20&#1061;&#1061;\11.%20&#1057;&#1052;\!!!%20&#1043;&#1043;&#1069;\8%20&#1050;&#1086;&#1088;&#1088;&#1077;&#1082;&#1090;&#1080;&#1088;&#1086;&#1074;&#1082;&#1072;\&#1055;&#1048;&#1056;\2.&#1055;&#1072;&#1088;&#1082;&#1086;&#1074;&#1082;&#1072;&#1069;&#1083;&#1100;&#1073;&#1088;&#1091;&#1089;_30_12_2021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!!!&#1055;&#1057;&#1044;\&#1055;4_462_20_(&#1069;&#1083;&#1100;&#1073;&#1088;&#1091;&#1089;_&#1087;&#1072;&#1088;&#1082;&#1086;&#1074;&#1082;&#1080;)\00.%20&#1055;&#1088;&#1086;&#1077;&#1082;&#1090;\1.%20&#1057;&#1090;&#1072;&#1076;&#1080;&#1103;%20&#1055;\_&#1042;&#1099;&#1076;&#1072;&#1095;&#1072;%20&#1061;&#1061;&#1061;&#1061;%20&#1061;&#1061;%20&#1061;&#1061;\11.%20&#1057;&#1052;\!!!%20&#1043;&#1043;&#1069;\8%20&#1050;&#1086;&#1088;&#1088;&#1077;&#1082;&#1090;&#1080;&#1088;&#1086;&#1074;&#1082;&#1072;\&#1054;&#1090;&#1087;&#1088;&#1072;&#1074;&#1082;&#1072;%2030.12.21%20&#1082;&#1086;&#1088;&#1088;&#1077;&#1082;&#1090;&#1080;&#1088;&#1086;&#1074;&#1082;&#1072;\__&#1057;&#1056;-7-&#1050;&#1086;&#1087;&#1080;&#1103;%20&#1050;&#1086;&#1087;&#1080;&#1103;%20&#1047;&#1072;&#1084;&#1077;&#1095;&#1072;&#1085;&#1080;&#1077;%20&#1048;&#1069;&#1048;%20&#1082;%20&#1089;&#1084;&#1077;&#1090;&#1072;&#1084;%2011.01.22%20(005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pi\pir\PROJECTS\GIP\Office4\1980\&#1044;&#1086;&#1075;&#1086;&#1074;&#1086;&#1088;\&#1080;&#1089;&#1087;&#1086;&#1083;&#1085;&#1080;&#1090;&#1077;&#1083;&#1100;&#1085;&#1099;&#1077;%20&#1089;&#1084;&#1077;&#1090;&#1099;\DELIVERY\&#1052;&#1086;&#1080;%20&#1076;&#1086;&#1082;&#1091;&#1084;&#1077;&#1085;&#1090;&#1099;\&#1050;&#1085;&#1080;&#1075;&#1072;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"/>
      <sheetName val="СС"/>
      <sheetName val="Топографо-геодезические работы"/>
      <sheetName val=" Инженерно-геологические работы"/>
      <sheetName val=" Инженерно-гидрологически работ"/>
      <sheetName val="Смета №4"/>
      <sheetName val="Смета №5"/>
      <sheetName val="Обследование"/>
      <sheetName val="Экспертизы"/>
      <sheetName val="Сводная сммета_ИСП"/>
      <sheetName val="топография"/>
      <sheetName val="См-2 проектн"/>
      <sheetName val="Приложение ПСД1922"/>
      <sheetName val="топо"/>
      <sheetName val="Зап-3- СЦБ"/>
      <sheetName val="Данные для расчёта сметы"/>
      <sheetName val="RSOILBAL"/>
      <sheetName val="3.1 Проект на стр.скв."/>
      <sheetName val="Смета"/>
      <sheetName val="К.рын"/>
      <sheetName val="Суточная"/>
      <sheetName val="Коэфф1."/>
      <sheetName val="Шкаф"/>
      <sheetName val="Прайс лис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андировка"/>
      <sheetName val="Авансовый отчет"/>
      <sheetName val="Платежное поручение"/>
      <sheetName val="Счет-Фактура"/>
      <sheetName val="Накладная"/>
      <sheetName val="Доверенность"/>
      <sheetName val="Расходный ордер"/>
      <sheetName val="Приходный ордер"/>
      <sheetName val="Платежка за телефон"/>
      <sheetName val="Платежка за электроэнергию"/>
      <sheetName val="Счет_Фактура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cent"/>
      <sheetName val="VERO"/>
      <sheetName val="RITTAL"/>
      <sheetName val="LEGRAND"/>
      <sheetName val="Works"/>
      <sheetName val="крепеж"/>
      <sheetName val="исключ ЭХЗ"/>
      <sheetName val="Справочник"/>
      <sheetName val="Лист1"/>
      <sheetName val="Обновление"/>
      <sheetName val="Цена"/>
      <sheetName val="Product"/>
      <sheetName val="SakhNIPI5"/>
      <sheetName val="№1"/>
      <sheetName val="№10"/>
      <sheetName val="№11"/>
      <sheetName val="№12"/>
      <sheetName val="№2"/>
      <sheetName val="№3"/>
      <sheetName val="№4"/>
      <sheetName val="№5"/>
      <sheetName val="№7"/>
      <sheetName val="№8"/>
      <sheetName val="№9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вод"/>
      <sheetName val="Смета"/>
      <sheetName val="Лист2"/>
      <sheetName val="СметаСводная снег"/>
      <sheetName val="93-110"/>
      <sheetName val="Лист опроса"/>
      <sheetName val="к.84-к.83"/>
      <sheetName val="Шкаф"/>
      <sheetName val="Коэфф1.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см8"/>
      <sheetName val="Данные для расчёта сметы"/>
      <sheetName val="Зап-3- СЦБ"/>
      <sheetName val="СМЕТА проект"/>
      <sheetName val="ТИТУЛ"/>
      <sheetName val="6.14"/>
      <sheetName val="ОБЩЕСТВА"/>
      <sheetName val="6.3.1"/>
      <sheetName val="6.20"/>
      <sheetName val="6.4.1"/>
      <sheetName val="ПРОГНОЗ_1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топо"/>
      <sheetName val="6.14_КР"/>
      <sheetName val="Прилож"/>
      <sheetName val="ПДР"/>
      <sheetName val="DATA"/>
      <sheetName val="вариант"/>
      <sheetName val="Обновление"/>
      <sheetName val="Цена"/>
      <sheetName val="Product"/>
      <sheetName val="Summary"/>
      <sheetName val="Пример расчета"/>
      <sheetName val="свод 2"/>
      <sheetName val="Табл38-7"/>
      <sheetName val="все"/>
      <sheetName val="информация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График"/>
      <sheetName val="2002(v2)"/>
      <sheetName val="справ."/>
      <sheetName val="справ_"/>
      <sheetName val="2002_v2_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С"/>
      <sheetName val="Смета 1"/>
      <sheetName val="РП"/>
      <sheetName val="данные"/>
      <sheetName val="Баланс"/>
      <sheetName val="Production and Spend"/>
      <sheetName val="sapactivexlhiddensheet"/>
      <sheetName val="OCK1"/>
      <sheetName val="1.3"/>
      <sheetName val="ИГ1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шаблон"/>
      <sheetName val="1"/>
      <sheetName val="Пояснение 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исходные данные"/>
      <sheetName val="расчетные таблицы"/>
      <sheetName val="5ОборРабМест(HP)"/>
      <sheetName val="СметаСводная Колпино"/>
      <sheetName val="HP и оргтехника"/>
      <sheetName val="оборудован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Вспомогательный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8"/>
      <sheetName val="исх-данные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РП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Смета"/>
      <sheetName val="сводная"/>
      <sheetName val="свод 2"/>
      <sheetName val="Табл38-7"/>
      <sheetName val="вариант"/>
      <sheetName val="Разработка проекта"/>
      <sheetName val="Обновление"/>
      <sheetName val="Лист1"/>
      <sheetName val="Цена"/>
      <sheetName val="ПДР"/>
      <sheetName val="Product"/>
      <sheetName val="КП НовоКов"/>
      <sheetName val="Шкаф"/>
      <sheetName val="Коэфф1."/>
      <sheetName val="Прайс лист"/>
      <sheetName val="Summary"/>
      <sheetName val="sapactivexlhiddensheet"/>
      <sheetName val="Данные для расчёта сметы"/>
      <sheetName val="График"/>
      <sheetName val="Счет-Фактура"/>
      <sheetName val="Переменные и константы"/>
      <sheetName val="СМЕТА проект"/>
      <sheetName val="ЭХЗ"/>
      <sheetName val="РасчетКомандир1"/>
      <sheetName val="РасчетКомандир2"/>
      <sheetName val="Коэфф"/>
      <sheetName val="Смета2 проект. раб."/>
      <sheetName val="Зап-3- СЦБ"/>
      <sheetName val="Кредиты"/>
      <sheetName val="Суточная"/>
      <sheetName val="данные"/>
      <sheetName val="СС"/>
      <sheetName val="Баланс"/>
      <sheetName val="Production and Spend"/>
      <sheetName val="ТИТУЛ"/>
      <sheetName val="6.14"/>
      <sheetName val="ОБЩЕСТВА"/>
      <sheetName val="6.3.1"/>
      <sheetName val="6.20"/>
      <sheetName val="6.4.1"/>
      <sheetName val="ПРОГНОЗ_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топо"/>
      <sheetName val="DATA"/>
      <sheetName val="Списки"/>
      <sheetName val="6.14_КР"/>
      <sheetName val="см8"/>
      <sheetName val="Прилож"/>
      <sheetName val="Пример расчета"/>
      <sheetName val="СметаСводная Рыб"/>
      <sheetName val="все"/>
      <sheetName val="Нормы"/>
      <sheetName val="OCK1"/>
      <sheetName val="1.3"/>
      <sheetName val="ИГ1"/>
      <sheetName val="К.рын"/>
      <sheetName val="Сводная смета"/>
      <sheetName val="Землеотвод"/>
      <sheetName val="Пояснение "/>
      <sheetName val="93-110"/>
      <sheetName val="list"/>
      <sheetName val="ПДР ООО &quot;Юкос ФБЦ&quot;"/>
      <sheetName val="Прибыль опл"/>
      <sheetName val="сохранить"/>
      <sheetName val="3.1"/>
      <sheetName val="Коммерческие расходы"/>
      <sheetName val="13.1"/>
      <sheetName val="исходные данные"/>
      <sheetName val="расчетные таблицы"/>
      <sheetName val="к.84-к.83"/>
      <sheetName val="Лист опроса"/>
      <sheetName val="5ОборРабМест(HP)"/>
      <sheetName val="СметаСводная Колпино"/>
      <sheetName val="HP и оргтехника"/>
      <sheetName val="Лист2"/>
      <sheetName val="2002(v2)"/>
      <sheetName val="справ."/>
      <sheetName val="справ_"/>
      <sheetName val="оборудован"/>
      <sheetName val="СметаСводная снег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2002_v2_"/>
      <sheetName val="свод1"/>
      <sheetName val="таблица руководству"/>
      <sheetName val="Суточная добыча за неделю"/>
      <sheetName val="Хаттон 90.90 Femco"/>
      <sheetName val="ИД1"/>
      <sheetName val="шаблон"/>
      <sheetName val="Таблица 4 АСУТП"/>
      <sheetName val="Смета 5.2. Кусты25,29,31,65"/>
      <sheetName val="свод общ"/>
      <sheetName val="1"/>
      <sheetName val="Смета 1свод"/>
      <sheetName val="№5 СУБ Инж защ"/>
      <sheetName val="Смета 2"/>
      <sheetName val="информация"/>
      <sheetName val="Текущие цены"/>
      <sheetName val="рабочий"/>
      <sheetName val="окраска"/>
      <sheetName val="отчет эл_эн  2000"/>
      <sheetName val="3.1 ТХ"/>
      <sheetName val="ЗП_ЮНГ"/>
      <sheetName val="СметаСводная 1 оч"/>
      <sheetName val="пятилетка"/>
      <sheetName val="мониторинг"/>
      <sheetName val="Спецификация"/>
      <sheetName val="См_1_наруж_водопровод"/>
      <sheetName val="свод_2"/>
      <sheetName val="Разработка_проекта"/>
      <sheetName val="КП_НовоКов"/>
      <sheetName val="Данные_для_расчёта_сметы"/>
      <sheetName val="Коэфф1_"/>
      <sheetName val="Прайс_лист"/>
      <sheetName val="СметаСводная_1_оч"/>
      <sheetName val="свод (2)"/>
      <sheetName val="Калплан ОИ2 Макм крестики"/>
      <sheetName val="ПОДПИСИ"/>
      <sheetName val="РАСЧЕТ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Зап-3-_СЦБ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КП (2)"/>
      <sheetName val="Бюджет"/>
      <sheetName val="Norm"/>
      <sheetName val="свод 3"/>
      <sheetName val="ID"/>
      <sheetName val="Смета 1"/>
      <sheetName val="Смета2_проект__раб_"/>
      <sheetName val="Смета_1"/>
      <sheetName val="Св. смета"/>
      <sheetName val="РБС ИЗМ1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Вспомогательный"/>
      <sheetName val="Calc"/>
      <sheetName val="История"/>
      <sheetName val="Р1"/>
      <sheetName val="Параметры_i"/>
      <sheetName val="Таблица 2"/>
      <sheetName val="Input"/>
      <sheetName val="Calculation"/>
      <sheetName val="Амур ДОН"/>
      <sheetName val="кп ГК"/>
      <sheetName val="Справочные данные"/>
      <sheetName val="Б.Сатка"/>
      <sheetName val="total"/>
      <sheetName val="Комплектация"/>
      <sheetName val="трубы"/>
      <sheetName val="СМР"/>
      <sheetName val="дороги"/>
      <sheetName val="РН-ПНГ"/>
      <sheetName val="влад-таблица"/>
      <sheetName val="2002(v1)"/>
      <sheetName val="Подрядчики"/>
      <sheetName val="Январь"/>
      <sheetName val="Итог"/>
      <sheetName val="мсн"/>
      <sheetName val="мат"/>
      <sheetName val="3.5"/>
      <sheetName val="справка"/>
      <sheetName val="суб.подряд"/>
      <sheetName val="ПСБ - ОЭ"/>
      <sheetName val="суб_подряд"/>
      <sheetName val="ПСБ_-_ОЭ"/>
      <sheetName val="D"/>
      <sheetName val="Ачинский НПЗ"/>
      <sheetName val="4"/>
      <sheetName val="ИД"/>
      <sheetName val="См3 СЦБ-зап"/>
      <sheetName val="смета СИД"/>
      <sheetName val="часы"/>
      <sheetName val="ресурсная вед."/>
      <sheetName val="ИДвалка"/>
      <sheetName val="р.Волхов"/>
      <sheetName val="КП к ГК"/>
      <sheetName val="изыскания 2"/>
      <sheetName val="Калплан Кра"/>
      <sheetName val="Материалы"/>
      <sheetName val="Смета терзем"/>
      <sheetName val="смета 2 проект. работы"/>
      <sheetName val="Хар_"/>
      <sheetName val="С1_"/>
      <sheetName val="СтрЗапасов (2)"/>
      <sheetName val="НМ расчеты"/>
      <sheetName val="СС замеч с ответам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АЧ"/>
      <sheetName val="кп"/>
      <sheetName val="Кал.план Жукова даты - не надо"/>
      <sheetName val="6.11 новый"/>
      <sheetName val="Баланс (Ф1)"/>
      <sheetName val="К"/>
      <sheetName val="Общая часть"/>
      <sheetName val="Табл.5"/>
      <sheetName val="Табл.2"/>
      <sheetName val="Исх.данные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Перечень Заказчиков"/>
      <sheetName val="СП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оэф КВ"/>
      <sheetName val="кп (3)"/>
      <sheetName val="13_1"/>
      <sheetName val="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8"/>
      <sheetName val="исх-данные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 _format (electr)_2"/>
      <sheetName val="Спецификация"/>
      <sheetName val="Lucent"/>
      <sheetName val="А и Т"/>
      <sheetName val="ЭКС"/>
      <sheetName val="топография"/>
      <sheetName val="№5 СУБ Инж за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Лист1"/>
      <sheetName val="Обновление"/>
      <sheetName val="Цена"/>
      <sheetName val="Product"/>
      <sheetName val="РасчетКомандир1"/>
      <sheetName val="РасчетКомандир2"/>
      <sheetName val="Коэфф"/>
      <sheetName val="Смета2 проект. раб."/>
      <sheetName val="ЭХЗ"/>
      <sheetName val="РП"/>
      <sheetName val="Смета"/>
      <sheetName val="График"/>
      <sheetName val="Summary"/>
      <sheetName val="Зап-3- СЦБ"/>
      <sheetName val="свод 2"/>
      <sheetName val="Кредиты"/>
      <sheetName val="Счет-Фактура"/>
      <sheetName val="Суточная"/>
      <sheetName val="ПДР"/>
      <sheetName val="вариант"/>
      <sheetName val="Табл38-7"/>
      <sheetName val="СС"/>
      <sheetName val="Данные для расчёта сметы"/>
      <sheetName val="СМЕТА проект"/>
      <sheetName val="Смета 1"/>
      <sheetName val="эл_химз_"/>
      <sheetName val="геология_"/>
      <sheetName val="ТИТУЛ"/>
      <sheetName val="6.14"/>
      <sheetName val="ОБЩЕСТВА"/>
      <sheetName val="6.3.1"/>
      <sheetName val="6.20"/>
      <sheetName val="6.4.1"/>
      <sheetName val="ПРОГНОЗ_1"/>
      <sheetName val="6_11_1  сторонние"/>
      <sheetName val="установки"/>
      <sheetName val="8.14 КР (списание)ОПСТИКР"/>
      <sheetName val="Стр1"/>
      <sheetName val="Список"/>
      <sheetName val="топо"/>
      <sheetName val="6_14"/>
      <sheetName val="6_3_1"/>
      <sheetName val="6_20"/>
      <sheetName val="6_4_1"/>
      <sheetName val="6_11_1__сторонние"/>
      <sheetName val="8_14_КР_(списание)ОПСТИКР"/>
      <sheetName val="данные"/>
      <sheetName val="Баланс"/>
      <sheetName val="Production and Spend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сводная"/>
      <sheetName val="Списки"/>
      <sheetName val="6.14_КР"/>
      <sheetName val="Прилож"/>
      <sheetName val="DATA"/>
      <sheetName val="см8"/>
      <sheetName val="Пример расчета"/>
      <sheetName val="все"/>
      <sheetName val="информация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к.84-к.83"/>
      <sheetName val="Коэфф1."/>
      <sheetName val="2002(v2)"/>
      <sheetName val="справ.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Данные_для_расчёта_сметы"/>
      <sheetName val="6_14_КР"/>
      <sheetName val="свод_2"/>
      <sheetName val="Зап-3-_СЦБ"/>
      <sheetName val="13_1"/>
      <sheetName val="Пример_расчета"/>
      <sheetName val="СметаСводная_Рыб"/>
      <sheetName val="sapactivexlhiddensheet"/>
      <sheetName val="OCK1"/>
      <sheetName val="Шкаф"/>
      <sheetName val="Прайс лист"/>
      <sheetName val="1.3"/>
      <sheetName val="ИГ1"/>
      <sheetName val="К.рын"/>
      <sheetName val="Сводная смета"/>
      <sheetName val="Землеотвод"/>
      <sheetName val="Смета2_проект__раб_"/>
      <sheetName val="Смета_1"/>
      <sheetName val="свод 3"/>
      <sheetName val="шаблон"/>
      <sheetName val="1"/>
      <sheetName val="Пояснение "/>
      <sheetName val="93-110"/>
      <sheetName val="list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исходные данные"/>
      <sheetName val="расчетные таблицы"/>
      <sheetName val="Лист опроса"/>
      <sheetName val="5ОборРабМест(HP)"/>
      <sheetName val="СметаСводная Колпино"/>
      <sheetName val="HP и оргтехника"/>
      <sheetName val="Лист2"/>
      <sheetName val="справ_"/>
      <sheetName val="оборудован"/>
      <sheetName val="СметаСводная снег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2002_v2_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изыскания 2"/>
      <sheetName val="мсн"/>
      <sheetName val="КП к ГК"/>
      <sheetName val="Calc"/>
      <sheetName val="ID"/>
      <sheetName val="История"/>
      <sheetName val="Р1"/>
      <sheetName val="Параметры_i"/>
      <sheetName val="Таблица 2"/>
      <sheetName val="Input"/>
      <sheetName val="Calculation"/>
      <sheetName val="RSOILBAL"/>
      <sheetName val="смета 2 проект. работы"/>
      <sheetName val="4сд"/>
      <sheetName val="2сд"/>
      <sheetName val="7сд"/>
      <sheetName val="MAIN_PARAMETERS"/>
      <sheetName val="Амур ДОН"/>
      <sheetName val="total"/>
      <sheetName val="Комплектация"/>
      <sheetName val="трубы"/>
      <sheetName val="СМР"/>
      <sheetName val="дороги"/>
      <sheetName val="Ачинский НПЗ"/>
      <sheetName val="ИД"/>
      <sheetName val="СС замеч с ответами"/>
      <sheetName val="начало"/>
      <sheetName val="Main"/>
      <sheetName val="УП _2004"/>
      <sheetName val="в работу"/>
      <sheetName val="1ПС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20_Кредиты краткосрочные"/>
      <sheetName val="№5 СУБ Инж защ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3.1 ТХ"/>
      <sheetName val="ЗП_ЮНГ"/>
      <sheetName val="3.5"/>
      <sheetName val="справка"/>
      <sheetName val="суб.подряд"/>
      <sheetName val="ПСБ - ОЭ"/>
      <sheetName val="См3 СЦБ-зап"/>
      <sheetName val="Смета 2"/>
      <sheetName val="Январь"/>
      <sheetName val="ИДвалка"/>
      <sheetName val="СметаСводная 1 оч"/>
      <sheetName val="Итог"/>
      <sheetName val="Вспомогательный"/>
      <sheetName val="Перечень Заказчиков"/>
      <sheetName val="Капитальные затраты"/>
      <sheetName val="Opex personnel (Term facs)"/>
      <sheetName val="КП (2)"/>
      <sheetName val="2.2 "/>
      <sheetName val="ПОДПИСИ"/>
      <sheetName val="РАСЧЕТ"/>
      <sheetName val="Бюджет"/>
      <sheetName val="Norm"/>
      <sheetName val="Текущие_цены"/>
      <sheetName val="отчет_эл_эн__2000"/>
      <sheetName val="к_84-к_83"/>
      <sheetName val="6.3"/>
      <sheetName val="6.7"/>
      <sheetName val="6.3.1.3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еременные и константы"/>
      <sheetName val="пятилетка"/>
      <sheetName val="мониторинг"/>
      <sheetName val="свод (2)"/>
      <sheetName val="Калплан ОИ2 Макм крестики"/>
      <sheetName val="Св. смета"/>
      <sheetName val="РБС ИЗМ1"/>
      <sheetName val="кп ГК"/>
      <sheetName val="Справочные данные"/>
      <sheetName val="Б.Сатка"/>
      <sheetName val="РН-ПНГ"/>
      <sheetName val="влад-таблица"/>
      <sheetName val="2002(v1)"/>
      <sheetName val="Подрядчики"/>
      <sheetName val="мат"/>
      <sheetName val="суб_подряд"/>
      <sheetName val="ПСБ_-_ОЭ"/>
      <sheetName val="D"/>
      <sheetName val="4"/>
      <sheetName val="смета СИД"/>
      <sheetName val="часы"/>
      <sheetName val="ресурсная вед."/>
      <sheetName val="р.Волхов"/>
      <sheetName val="Калплан Кра"/>
      <sheetName val="Материалы"/>
      <sheetName val="6.11 новый"/>
      <sheetName val="Хар_"/>
      <sheetName val="С1_"/>
      <sheetName val="СтрЗапасов (2)"/>
      <sheetName val="Lim"/>
      <sheetName val="Справочник"/>
      <sheetName val="PwC Copies from old models --&gt;&gt;"/>
      <sheetName val="Справочники"/>
      <sheetName val="Journals"/>
      <sheetName val="ц_1991"/>
      <sheetName val="rvldmrv"/>
      <sheetName val="Сравнение ДПН факт 06-07"/>
      <sheetName val="Параметры"/>
      <sheetName val="трансформация1"/>
      <sheetName val="НМ расчеты"/>
      <sheetName val="Names"/>
      <sheetName val="breakdown"/>
      <sheetName val="Destination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НГХК"/>
      <sheetName val="КП к снег Рыбинская"/>
      <sheetName val="EKDEB90"/>
      <sheetName val="Коэф КВ"/>
      <sheetName val="К"/>
      <sheetName val="Смета терзем"/>
      <sheetName val="Кал.план Жукова даты - не надо"/>
      <sheetName val="кп"/>
      <sheetName val="матер."/>
      <sheetName val="КП Прим (3)"/>
      <sheetName val="Лист3"/>
      <sheetName val="АЧ"/>
      <sheetName val="кп (3)"/>
      <sheetName val="СП"/>
      <sheetName val="фонтан разбитый2"/>
      <sheetName val="накладная"/>
      <sheetName val="Акт"/>
      <sheetName val="Баланс (Ф1)"/>
      <sheetName val="Смета-Т"/>
      <sheetName val=""/>
      <sheetName val="Смета 3 Гидролог"/>
      <sheetName val="Записка СЦБ"/>
      <sheetName val="РС "/>
      <sheetName val="геолог"/>
      <sheetName val="SakhNIPI5"/>
      <sheetName val="ПИР"/>
      <sheetName val="Табл.5"/>
      <sheetName val="Табл.2"/>
      <sheetName val="Исх.данные"/>
      <sheetName val="Курс доллара"/>
      <sheetName val="Календарь новый"/>
      <sheetName val="Смета № 1 ИИ линия"/>
      <sheetName val="Общая часть"/>
      <sheetName val="ВКЕ"/>
      <sheetName val="Additives"/>
      <sheetName val="Ryazan"/>
      <sheetName val="Assumpt"/>
      <sheetName val="Control"/>
      <sheetName val="См №3 ОПР"/>
      <sheetName val="см.№6 АВЗУ и ГПЗУ"/>
      <sheetName val="Геофизика"/>
      <sheetName val="Геодезия"/>
      <sheetName val="Экология1"/>
      <sheetName val="АУП"/>
      <sheetName val="CENTR"/>
      <sheetName val="DMTR_BP_03"/>
      <sheetName val="см №1.1 Геодезические работы "/>
      <sheetName val="см №1.4 Экология "/>
      <sheetName val="Input Assumptions"/>
      <sheetName val="Расчет курса"/>
      <sheetName val="XLR_NoRangeSheet"/>
      <sheetName val="НЕДЕЛИ"/>
      <sheetName val="GD"/>
      <sheetName val="АСУ ТП 1 этап ПД"/>
      <sheetName val="Дополнительные параметры"/>
      <sheetName val="ЛЧ"/>
      <sheetName val="Leistungsakt"/>
      <sheetName val="Свод объем"/>
      <sheetName val="Дог цена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/>
      <sheetData sheetId="232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ДР"/>
      <sheetName val="Бюджет"/>
    </sheetNames>
    <sheetDataSet>
      <sheetData sheetId="0" refreshError="1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duit"/>
      <sheetName val="Panduit old"/>
      <sheetName val="расчет_каналов"/>
      <sheetName val="Test"/>
      <sheetName val="Spec ИВЦ"/>
      <sheetName val="Panduit (new)"/>
      <sheetName val="Оборуд в шкафах"/>
      <sheetName val="Выборка Заказчик"/>
      <sheetName val="Сводная смета"/>
      <sheetName val="list"/>
      <sheetName val="Свод объем"/>
      <sheetName val="ПДР"/>
    </sheetNames>
    <sheetDataSet>
      <sheetData sheetId="0" refreshError="1">
        <row r="4">
          <cell r="E4">
            <v>1.5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Vendors!"/>
      <sheetName val="Услуги"/>
      <sheetName val="Microsoft"/>
      <sheetName val="Veritas"/>
      <sheetName val="Citrix"/>
      <sheetName val="eSafeLine"/>
      <sheetName val="Kaspersky"/>
      <sheetName val="Symantec"/>
      <sheetName val="McAfee"/>
      <sheetName val="Trend Micro"/>
      <sheetName val="Panda"/>
      <sheetName val="ABBYY"/>
      <sheetName val="Promt"/>
      <sheetName val="Corel"/>
      <sheetName val="Adobe"/>
      <sheetName val="Macromedia"/>
      <sheetName val="Borland"/>
      <sheetName val="Serena-Merant"/>
      <sheetName val="Venta"/>
      <sheetName val="SmartPhone"/>
      <sheetName val="TopPlan"/>
      <sheetName val="Прочее"/>
      <sheetName val="О компани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КП"/>
      <sheetName val="КСТ"/>
      <sheetName val="ВЭРС"/>
      <sheetName val="Оборуд в шкафах"/>
      <sheetName val="UTP_и_каналы"/>
      <sheetName val="УКП (2)"/>
      <sheetName val="ВЭРС (2)"/>
    </sheetNames>
    <sheetDataSet>
      <sheetData sheetId="0" refreshError="1">
        <row r="3">
          <cell r="H3">
            <v>1.1499999999999999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р расчета"/>
      <sheetName val="Структура АСУ УПН"/>
      <sheetName val="Структура АРМ"/>
      <sheetName val="Сигналы контроллера"/>
      <sheetName val="Сигналы контроллера + верхн уро"/>
      <sheetName val="У1500"/>
      <sheetName val="Смета 1 разд с коэф"/>
      <sheetName val="Смета (3 кат) ГЭСНп"/>
      <sheetName val="Трудозатраты (3кат) ГЭСНп"/>
      <sheetName val="Таблица 9 ГЭСНп"/>
      <sheetName val="ПДР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 П"/>
      <sheetName val="Свод"/>
      <sheetName val="СМЕТА проект"/>
      <sheetName val="СВОД ПИР"/>
      <sheetName val="топография"/>
      <sheetName val="13.1"/>
      <sheetName val="ПДР"/>
      <sheetName val="Пример расчета"/>
      <sheetName val="93-110"/>
      <sheetName val="sapactivexlhiddensheet"/>
      <sheetName val="Calc"/>
      <sheetName val="Шкаф"/>
      <sheetName val="Коэфф1."/>
      <sheetName val="Прайс лист"/>
      <sheetName val="Сводная смета"/>
      <sheetName val="list"/>
      <sheetName val="топо"/>
      <sheetName val="Смета"/>
      <sheetName val="1ПС"/>
      <sheetName val="Сводная газопровод"/>
      <sheetName val="5ОборРабМест(HP)"/>
      <sheetName val="к.84-к.83"/>
      <sheetName val="Обновление"/>
      <sheetName val="Цена"/>
      <sheetName val="Product"/>
      <sheetName val="Лист1"/>
      <sheetName val="График"/>
      <sheetName val="РП"/>
      <sheetName val="См 1 наруж.водопровод"/>
      <sheetName val="Упр"/>
      <sheetName val="OCK1"/>
      <sheetName val="КП (2)"/>
      <sheetName val="в работу"/>
      <sheetName val="Данные для расчёта сметы"/>
      <sheetName val="Коэф"/>
      <sheetName val="Сводная"/>
      <sheetName val="Параметры"/>
      <sheetName val="Геология"/>
      <sheetName val="Геофизика"/>
      <sheetName val="ЭХЗ"/>
      <sheetName val="Табл38-7"/>
      <sheetName val="Journals"/>
      <sheetName val="СтрЗапасов (2)"/>
      <sheetName val="З_П"/>
      <sheetName val="СМЕТА_проект"/>
      <sheetName val="СВОД_ПИР"/>
      <sheetName val="13_1"/>
      <sheetName val="Пример_расчета"/>
      <sheetName val="Коэфф1_"/>
      <sheetName val="Прайс_лист"/>
      <sheetName val="Сводная_смета"/>
      <sheetName val="Сводная_газопровод"/>
      <sheetName val="к_84-к_83"/>
      <sheetName val="Прибыль опл"/>
      <sheetName val="все"/>
      <sheetName val="8"/>
      <sheetName val="Хар_"/>
      <sheetName val="С1_"/>
      <sheetName val="Восстановл_Лист7"/>
      <sheetName val="Восстановл_Лист13"/>
      <sheetName val="Восстановл_Лист15"/>
      <sheetName val="Восстановл_Лист19"/>
      <sheetName val="УКП"/>
      <sheetName val="Lim"/>
      <sheetName val="ИД СМР"/>
      <sheetName val="ИД ПНР"/>
      <sheetName val="СПЕЦИФИКАЦИЯ"/>
      <sheetName val="Norm"/>
      <sheetName val=""/>
      <sheetName val="ПД"/>
      <sheetName val="№5 СУБ Инж защ"/>
      <sheetName val="data"/>
      <sheetName val="Panduit"/>
      <sheetName val="БД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Коэфф1."/>
      <sheetName val="в работу"/>
      <sheetName val="Нижний ур."/>
      <sheetName val="Нижний NEW"/>
      <sheetName val="ЗИП_НУ"/>
      <sheetName val="Лист2"/>
      <sheetName val="ВерхУров"/>
      <sheetName val="Прайс лист"/>
      <sheetName val="СП"/>
      <sheetName val="КП"/>
      <sheetName val="КП-1"/>
      <sheetName val="СП-1"/>
      <sheetName val="СП-2"/>
      <sheetName val="СП-3"/>
      <sheetName val="СП-4"/>
      <sheetName val="СП-5"/>
      <sheetName val="Спец"/>
      <sheetName val="Шкаф"/>
      <sheetName val="Сервис"/>
      <sheetName val="ЗИП"/>
      <sheetName val="Труд"/>
      <sheetName val="Тепло"/>
      <sheetName val="База"/>
      <sheetName val="MACRO"/>
      <sheetName val="Коэфф1_"/>
      <sheetName val="13.1"/>
      <sheetName val="ЭХЗ"/>
      <sheetName val="Лист1"/>
      <sheetName val="Обновление"/>
      <sheetName val="Цена"/>
      <sheetName val="Product"/>
      <sheetName val="Шкафы_end"/>
      <sheetName val="СМЕТА проект"/>
      <sheetName val="топография"/>
      <sheetName val="Calc"/>
      <sheetName val="ПДР"/>
      <sheetName val="Кредиты"/>
      <sheetName val="sapactivexlhiddensheet"/>
      <sheetName val="трансформация1"/>
      <sheetName val="Все ОС"/>
      <sheetName val="к.84-к.83"/>
      <sheetName val="Данные для расчёта сметы"/>
      <sheetName val="MAIN_PARAMETERS"/>
      <sheetName val="HP и оргтехника"/>
      <sheetName val="93-110"/>
      <sheetName val="Смета"/>
      <sheetName val="Пример расчета"/>
      <sheetName val="Summary"/>
      <sheetName val="1ПС"/>
      <sheetName val="5ОборРабМест(HP)"/>
      <sheetName val="Лист опроса"/>
      <sheetName val="COS&amp; SG&amp;A Classification"/>
      <sheetName val="reconciliation"/>
      <sheetName val="свод 2"/>
      <sheetName val="1155"/>
      <sheetName val="SP173И1"/>
      <sheetName val="SP173И2"/>
      <sheetName val="SP173И3"/>
      <sheetName val="SP353СИ1"/>
      <sheetName val="SP353СИ2"/>
      <sheetName val="SP353ЦИ1"/>
      <sheetName val="SP353ЦИ2"/>
      <sheetName val="КП (2)"/>
      <sheetName val="информация"/>
      <sheetName val="Lim"/>
      <sheetName val="Параметры"/>
      <sheetName val="Norm"/>
      <sheetName val="ПДР ООО &quot;Юкос ФБЦ&quot;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г_деньги"/>
      <sheetName val="Задание В"/>
      <sheetName val="Лист опроса"/>
      <sheetName val="Исх Тракт"/>
      <sheetName val="См_Тракт"/>
      <sheetName val="См_об Тракт"/>
      <sheetName val="Ст_ком Тракт"/>
      <sheetName val="Шаблон"/>
      <sheetName val="Шаблон_ДЦ_АПК"/>
      <sheetName val="Дог_рас"/>
      <sheetName val="Исх АПК"/>
      <sheetName val="См_АПК"/>
      <sheetName val="Об_АПК"/>
      <sheetName val="Спец_об"/>
      <sheetName val="Шаблон_Спец1"/>
      <sheetName val="Шаблон_Спец2"/>
      <sheetName val="Об_Сет"/>
      <sheetName val="См_Сет"/>
    </sheetNames>
    <sheetDataSet>
      <sheetData sheetId="0" refreshError="1"/>
      <sheetData sheetId="1" refreshError="1"/>
      <sheetData sheetId="2">
        <row r="6">
          <cell r="B6">
            <v>19.2</v>
          </cell>
        </row>
        <row r="10">
          <cell r="B10">
            <v>97</v>
          </cell>
        </row>
        <row r="11">
          <cell r="B11">
            <v>45</v>
          </cell>
        </row>
        <row r="12">
          <cell r="B12">
            <v>52</v>
          </cell>
        </row>
        <row r="17">
          <cell r="B17">
            <v>1.3</v>
          </cell>
        </row>
        <row r="19">
          <cell r="B19">
            <v>1.1000000000000001</v>
          </cell>
        </row>
        <row r="20">
          <cell r="B20">
            <v>1.08</v>
          </cell>
        </row>
        <row r="22">
          <cell r="B22">
            <v>35</v>
          </cell>
        </row>
        <row r="23">
          <cell r="B23">
            <v>3</v>
          </cell>
        </row>
        <row r="24">
          <cell r="B24">
            <v>81</v>
          </cell>
        </row>
        <row r="32">
          <cell r="B32">
            <v>0</v>
          </cell>
        </row>
        <row r="34">
          <cell r="B34">
            <v>0</v>
          </cell>
        </row>
        <row r="41">
          <cell r="B4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1"/>
      <sheetName val="Выполнение"/>
      <sheetName val="Расчет"/>
      <sheetName val="Сводная смета"/>
      <sheetName val="Смета 1"/>
      <sheetName val="Смета 2"/>
      <sheetName val="Смета 3"/>
      <sheetName val="Вспомогательный"/>
      <sheetName val="Выполнение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6">
          <cell r="D36">
            <v>1.1000000000000001</v>
          </cell>
        </row>
        <row r="38">
          <cell r="D38">
            <v>1.1000000000000001</v>
          </cell>
        </row>
        <row r="77">
          <cell r="D77">
            <v>0.02</v>
          </cell>
        </row>
        <row r="78">
          <cell r="D78">
            <v>0.01</v>
          </cell>
        </row>
        <row r="80">
          <cell r="D80">
            <v>0.05</v>
          </cell>
        </row>
      </sheetData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вод"/>
      <sheetName val="Смета"/>
      <sheetName val="Лист опроса"/>
      <sheetName val="СметаСводная снег"/>
      <sheetName val="к.84-к.83"/>
      <sheetName val="Лист2"/>
      <sheetName val="93-110"/>
      <sheetName val="Шкаф"/>
      <sheetName val="Коэфф1.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см8"/>
      <sheetName val="Данные для расчёта сметы"/>
      <sheetName val="Зап-3- СЦБ"/>
      <sheetName val="свод 2"/>
      <sheetName val="Прибыль опл"/>
      <sheetName val="СМЕТА проект"/>
      <sheetName val="таблица руководству"/>
      <sheetName val="Суточная добыча за неделю"/>
      <sheetName val="РП"/>
      <sheetName val="list"/>
      <sheetName val="Вспомогательный"/>
      <sheetName val="Смета 1"/>
      <sheetName val="Табл38-7"/>
      <sheetName val="вариант"/>
      <sheetName val="Обновление"/>
      <sheetName val="Лист1"/>
      <sheetName val="Цена"/>
      <sheetName val="Product"/>
      <sheetName val="Разработка проекта"/>
      <sheetName val="сводная"/>
      <sheetName val="См 1 наруж.водопровод"/>
      <sheetName val="График"/>
      <sheetName val="топо"/>
      <sheetName val="Суточная"/>
      <sheetName val="5ОборРабМест(HP)"/>
      <sheetName val="ПДР"/>
      <sheetName val="1"/>
      <sheetName val="СметаСводная Рыб"/>
      <sheetName val="СметаСводная Колпино"/>
      <sheetName val="СметаСводная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 (доп)"/>
      <sheetName val="ПС 110 кВ (доп)"/>
      <sheetName val=" КИП и А(доп)"/>
      <sheetName val="содержание том 8"/>
      <sheetName val="ПС 110 кВ _доп_"/>
      <sheetName val="W28"/>
    </sheetNames>
    <sheetDataSet>
      <sheetData sheetId="0"/>
      <sheetData sheetId="1" refreshError="1">
        <row r="8">
          <cell r="D8" t="str">
            <v>Сметная стоимость</v>
          </cell>
        </row>
        <row r="9">
          <cell r="D9" t="str">
            <v>Нормативная трудоемкость</v>
          </cell>
        </row>
        <row r="12">
          <cell r="B12" t="str">
            <v>Номер или шифр</v>
          </cell>
          <cell r="C12" t="str">
            <v>Наименование и техническая характеристика</v>
          </cell>
          <cell r="F12" t="str">
            <v>Затраты труда</v>
          </cell>
        </row>
        <row r="13">
          <cell r="B13" t="str">
            <v xml:space="preserve">норматива, </v>
          </cell>
          <cell r="C13" t="str">
            <v xml:space="preserve">оборудования или видов работ,ресурсов </v>
          </cell>
          <cell r="D13" t="str">
            <v>Единица</v>
          </cell>
          <cell r="E13" t="str">
            <v>Кол-во</v>
          </cell>
          <cell r="F13" t="str">
            <v>на един.</v>
          </cell>
        </row>
        <row r="14">
          <cell r="B14" t="str">
            <v>ценника</v>
          </cell>
          <cell r="C14" t="str">
            <v>и затрат</v>
          </cell>
          <cell r="D14" t="str">
            <v>измер.</v>
          </cell>
          <cell r="F14" t="str">
            <v>измерения</v>
          </cell>
        </row>
        <row r="15">
          <cell r="B15" t="str">
            <v>2</v>
          </cell>
          <cell r="C15" t="str">
            <v>3</v>
          </cell>
          <cell r="D15" t="str">
            <v>4</v>
          </cell>
          <cell r="E15" t="str">
            <v>5</v>
          </cell>
          <cell r="F15" t="str">
            <v>6</v>
          </cell>
        </row>
        <row r="16">
          <cell r="B16" t="str">
            <v>МДС 81-27.2001</v>
          </cell>
          <cell r="C16" t="str">
            <v>К стеснен.=1,2 (85% работ См.№10и)</v>
          </cell>
        </row>
        <row r="17">
          <cell r="B17" t="str">
            <v>табл.1.п.1</v>
          </cell>
          <cell r="C17" t="str">
            <v>27112,8*0,85*0,2=4609</v>
          </cell>
        </row>
        <row r="18">
          <cell r="B18" t="str">
            <v>ГЭСНп -2001</v>
          </cell>
        </row>
      </sheetData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 см мон (2)"/>
      <sheetName val="Коэфф"/>
      <sheetName val="св см Бр нов (2)"/>
      <sheetName val="См Б"/>
      <sheetName val="Cпец Б"/>
      <sheetName val="св см Суз нов"/>
      <sheetName val="См Суз"/>
      <sheetName val="CпецС"/>
      <sheetName val="св см Поч н   "/>
      <sheetName val="См Поч"/>
      <sheetName val="CпецПоч"/>
      <sheetName val="св см Лок н  "/>
      <sheetName val="См Локоть"/>
      <sheetName val="CпецЛок"/>
      <sheetName val="св см Тр"/>
      <sheetName val="См Труб"/>
      <sheetName val="CпецТруб"/>
      <sheetName val="св см Уне"/>
      <sheetName val="См Ун"/>
      <sheetName val="CпецУн"/>
      <sheetName val="св см Дуб н  (2)"/>
      <sheetName val="св Дуб"/>
      <sheetName val="См Дуб"/>
      <sheetName val="CпецДуб"/>
      <sheetName val="св см Кл н"/>
      <sheetName val="См Клет"/>
      <sheetName val="CпецКлет "/>
      <sheetName val="св см Кл им н "/>
      <sheetName val="См Клим"/>
      <sheetName val="CпецКлим"/>
      <sheetName val="св см жук"/>
      <sheetName val="См жук"/>
      <sheetName val="Cпецжук"/>
      <sheetName val="св см Дят  (2)"/>
      <sheetName val="См Дят"/>
      <sheetName val="CпецДят"/>
      <sheetName val="св см Клинц н "/>
      <sheetName val="См Клинц"/>
      <sheetName val="Cпец Клинц"/>
      <sheetName val="св см Сур нов"/>
      <sheetName val="См Сураж"/>
      <sheetName val="Cпец Сураж"/>
      <sheetName val="СводнСР"/>
      <sheetName val="Командировочн"/>
      <sheetName val="матНеучтЦенЭМ"/>
      <sheetName val="СпецЭМ"/>
      <sheetName val="коэф"/>
      <sheetName val="матНеучтЦенПолы"/>
      <sheetName val="СпецПолы"/>
      <sheetName val="ССМ (2)"/>
      <sheetName val="ССМ"/>
      <sheetName val="ОС2000"/>
      <sheetName val="ОбщестрАС"/>
      <sheetName val="МонтСилЭлОб"/>
      <sheetName val="МатерЭМ"/>
      <sheetName val="МонтОбАнтиобл"/>
      <sheetName val="Пуско-нал"/>
      <sheetName val="Пуско-нал (2)"/>
      <sheetName val="ЛЧ Р"/>
      <sheetName val="План Газпрома"/>
      <sheetName val="Лист5"/>
      <sheetName val="ПЛАН 07-10"/>
      <sheetName val="Акт-Смета_30"/>
      <sheetName val="Смета 1 инж_изыск"/>
      <sheetName val="свод 2"/>
    </sheetNames>
    <sheetDataSet>
      <sheetData sheetId="0" refreshError="1"/>
      <sheetData sheetId="1" refreshError="1">
        <row r="1">
          <cell r="B1">
            <v>2.1600000000000001E-2</v>
          </cell>
        </row>
        <row r="2">
          <cell r="B2">
            <v>1.4E-2</v>
          </cell>
        </row>
        <row r="3">
          <cell r="B3">
            <v>26.82</v>
          </cell>
        </row>
        <row r="4">
          <cell r="B4">
            <v>18.113</v>
          </cell>
        </row>
        <row r="6">
          <cell r="B6">
            <v>5.0000000000000001E-3</v>
          </cell>
        </row>
        <row r="7">
          <cell r="B7">
            <v>0.02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Таблица 4 АСУТП"/>
      <sheetName val="Таблица 5 АСУТП"/>
      <sheetName val="Таблица 6 АСУТП"/>
      <sheetName val="исх.данные"/>
      <sheetName val="СВОД 2001 "/>
    </sheetNames>
    <sheetDataSet>
      <sheetData sheetId="0"/>
      <sheetData sheetId="1">
        <row r="8">
          <cell r="B8" t="str">
            <v>1.1. Непрерывный (с длительным поддержанием режимов, близких к установившимся, и практически безостановочной подачей сырья и реагентов)</v>
          </cell>
        </row>
        <row r="9">
          <cell r="B9" t="str">
            <v>1.2. Полунепрерывный (непрерывный, с существенными для управления переходными режимами, вызванными добавками (заменами) сырья или реагентов либо выдачей продукции)</v>
          </cell>
        </row>
        <row r="10">
          <cell r="B10" t="str">
            <v>1.3. Непрерывно-дискретный - I (сочетающий непрерывные и прерывистые режимы на различных стадиях процесса)</v>
          </cell>
        </row>
        <row r="11">
          <cell r="B11" t="str">
            <v>1.4. Непрерывно-дискретный - II (сочетающий непрерывные и прерывистые режимы с малой длительностью непрерывных режимов в аварийных условиях)</v>
          </cell>
        </row>
        <row r="12">
          <cell r="B12" t="str">
            <v>1.5. Циклический (прерывистый, с существенной для управления длительностью интервалов непрерывного функционирования и циклическим следованием интервалов с различными режимами)</v>
          </cell>
        </row>
        <row r="13">
          <cell r="B13" t="str">
            <v>1.6. Дискретный (прерывистый, с малой, несущественной для управления длительностью непрерывных технологических операций)</v>
          </cell>
        </row>
        <row r="14">
          <cell r="B14" t="str">
            <v/>
          </cell>
        </row>
        <row r="16">
          <cell r="B16" t="str">
            <v>2.1. до 5</v>
          </cell>
        </row>
        <row r="17">
          <cell r="B17" t="str">
            <v>2.2. св. 5 до 10</v>
          </cell>
        </row>
        <row r="18">
          <cell r="B18" t="str">
            <v>2.3. св. 10 до 20</v>
          </cell>
        </row>
        <row r="19">
          <cell r="B19" t="str">
            <v>2.4. св. 20 до 35</v>
          </cell>
        </row>
        <row r="20">
          <cell r="B20" t="str">
            <v>2.5. св. 35 до 50</v>
          </cell>
        </row>
        <row r="21">
          <cell r="B21" t="str">
            <v>2.6. св. 50 до 70</v>
          </cell>
        </row>
        <row r="22">
          <cell r="B22" t="str">
            <v>2.7. св.70 до 100</v>
          </cell>
        </row>
        <row r="23">
          <cell r="B23" t="str">
            <v/>
          </cell>
        </row>
        <row r="24">
          <cell r="B24" t="str">
            <v>2.8. За каждые 50 свыше 100                                                              n =</v>
          </cell>
        </row>
        <row r="25">
          <cell r="B25" t="str">
            <v/>
          </cell>
        </row>
        <row r="27">
          <cell r="B27" t="str">
            <v>3.1. I степень - параллельные контроль и измерение параметров состояния ТОУ</v>
          </cell>
        </row>
        <row r="28">
          <cell r="B28" t="str">
            <v>3.2. II степень - централизованный контроль и измерение параметров состояния ТОУ</v>
          </cell>
        </row>
        <row r="29">
          <cell r="B29" t="str">
            <v>3.3. III степень - косвенное измерение (вычисление) отдельных комплексных показателей функционирования ТОУ</v>
          </cell>
        </row>
        <row r="30">
          <cell r="B30" t="str">
            <v>3.4. IV степень - анализ и обобщенная оценка состояния процесса в целом по его модели (распознавание ситуаций, диагностика аварийных состояний, поиск "узкого места", прогноз хода процесса)</v>
          </cell>
        </row>
        <row r="31">
          <cell r="B31" t="str">
            <v/>
          </cell>
        </row>
        <row r="33">
          <cell r="B33" t="str">
            <v>4.1. I степень - одноконтурное автоматическое регулирование или автоматическое однотактное логическое управление (переключения, блокировки и т. п.)</v>
          </cell>
        </row>
        <row r="34">
          <cell r="B34" t="str">
            <v>4.2. II степень - каскадное и (или) программное автоматическое регулирование или автоматическое программное логическое управление по "жесткому" циклу</v>
          </cell>
        </row>
        <row r="35">
          <cell r="B35" t="str">
            <v>4.3. III степень - многосвязное автоматическое регулирование или автоматическое программное логическое управление по циклу с разветвлениями</v>
          </cell>
        </row>
        <row r="36">
          <cell r="B36" t="str">
            <v>4.4. IV степень - оптимальное управление установившимися режимами (в статике)</v>
          </cell>
        </row>
        <row r="37">
          <cell r="B37" t="str">
            <v>4.5. V степень - оптимальное управление переходными процессами или процессом в целом (оптимизация в динамике)</v>
          </cell>
        </row>
        <row r="38">
          <cell r="B38" t="str">
            <v>4.6. VI степень - оптимальное управление быстропротекающими переходными процессами в аварийных условиях</v>
          </cell>
        </row>
        <row r="39">
          <cell r="B39" t="str">
            <v>4.7. VII степень - оптимальное управление с адаптацией (самообучением и изменением алгоритмов и параметров системы)</v>
          </cell>
        </row>
        <row r="40">
          <cell r="B40" t="str">
            <v/>
          </cell>
        </row>
        <row r="42">
          <cell r="B42" t="str">
            <v>5.1. Автоматизированный "ручной" режим</v>
          </cell>
        </row>
        <row r="43">
          <cell r="B43" t="str">
            <v>5.2. Автоматизированный режим "советчика"</v>
          </cell>
        </row>
        <row r="44">
          <cell r="B44" t="str">
            <v>5.3. Автоматизированный диалоговый режим</v>
          </cell>
        </row>
        <row r="45">
          <cell r="B45" t="str">
            <v>5.4. Автоматический режим косвенного управления</v>
          </cell>
        </row>
        <row r="46">
          <cell r="B46" t="str">
            <v>5.5. Автоматический режим прямого (непосредственного) цифрового (или аналого-цифрового) управления</v>
          </cell>
        </row>
        <row r="47">
          <cell r="B47" t="str">
            <v/>
          </cell>
        </row>
        <row r="49">
          <cell r="B49" t="str">
            <v>6.1. до 20</v>
          </cell>
        </row>
        <row r="50">
          <cell r="B50" t="str">
            <v>6.2. св. 20 до 50</v>
          </cell>
        </row>
        <row r="51">
          <cell r="B51" t="str">
            <v>6.3. св. 50 до 100</v>
          </cell>
        </row>
        <row r="52">
          <cell r="B52" t="str">
            <v>6.4. св. 100 до 170</v>
          </cell>
        </row>
        <row r="53">
          <cell r="B53" t="str">
            <v>6.5. св. 170 до 250</v>
          </cell>
        </row>
        <row r="54">
          <cell r="B54" t="str">
            <v>6.6. св. 250 до 350</v>
          </cell>
        </row>
        <row r="55">
          <cell r="B55" t="str">
            <v>6.7. св. 350 до 470</v>
          </cell>
        </row>
        <row r="56">
          <cell r="B56" t="str">
            <v>6.8. св. 470 до 600</v>
          </cell>
        </row>
        <row r="57">
          <cell r="B57" t="str">
            <v>6.9. св. 600 до 800</v>
          </cell>
        </row>
        <row r="58">
          <cell r="B58" t="str">
            <v>6.10. св. 800 до 1000</v>
          </cell>
        </row>
        <row r="59">
          <cell r="B59" t="str">
            <v>6.11. св. 1000 до 1300</v>
          </cell>
        </row>
        <row r="60">
          <cell r="B60" t="str">
            <v>6.12. св. 1300 до 1600</v>
          </cell>
        </row>
        <row r="61">
          <cell r="B61" t="str">
            <v>6.13. св. 1600 до 2000</v>
          </cell>
        </row>
        <row r="62">
          <cell r="B62" t="str">
            <v/>
          </cell>
        </row>
        <row r="63">
          <cell r="B63" t="str">
            <v>6.14. за каждые 500 свыше 2000                                                         n=</v>
          </cell>
        </row>
        <row r="64">
          <cell r="B64" t="str">
            <v/>
          </cell>
        </row>
        <row r="66">
          <cell r="B66" t="str">
            <v>7.1. до 5</v>
          </cell>
        </row>
        <row r="67">
          <cell r="B67" t="str">
            <v>7.2. св. 5 до 10</v>
          </cell>
        </row>
        <row r="68">
          <cell r="B68" t="str">
            <v>7.3. св. 10 до 20</v>
          </cell>
        </row>
        <row r="69">
          <cell r="B69" t="str">
            <v>7.4. св. 20 до 40</v>
          </cell>
        </row>
        <row r="70">
          <cell r="B70" t="str">
            <v>7.5. св. 40 до 60</v>
          </cell>
        </row>
        <row r="71">
          <cell r="B71" t="str">
            <v>7.6. св. 60 до 90</v>
          </cell>
        </row>
        <row r="72">
          <cell r="B72" t="str">
            <v>7.7. св. 90 до 120</v>
          </cell>
        </row>
        <row r="73">
          <cell r="B73" t="str">
            <v>7.8. св. 120 до 160</v>
          </cell>
        </row>
        <row r="74">
          <cell r="B74" t="str">
            <v>7.9. св. 160 до 200</v>
          </cell>
        </row>
        <row r="75">
          <cell r="B75" t="str">
            <v>7.10. св. 200 до 250</v>
          </cell>
        </row>
        <row r="76">
          <cell r="B76" t="str">
            <v>7.11. св. 250 до 300</v>
          </cell>
        </row>
        <row r="77">
          <cell r="B77" t="str">
            <v>7.12. св. 300 до 350</v>
          </cell>
        </row>
        <row r="78">
          <cell r="B78" t="str">
            <v>7.13. св. 350 до 400</v>
          </cell>
        </row>
        <row r="79">
          <cell r="B79" t="str">
            <v/>
          </cell>
        </row>
        <row r="80">
          <cell r="B80" t="str">
            <v>7.14 за каждые 70 свыше 400                                                              n=</v>
          </cell>
        </row>
        <row r="81">
          <cell r="B81" t="str">
            <v/>
          </cell>
        </row>
        <row r="84">
          <cell r="B84" t="str">
            <v>Проект</v>
          </cell>
        </row>
        <row r="85">
          <cell r="B85" t="str">
            <v>Рабочая документация</v>
          </cell>
        </row>
        <row r="86">
          <cell r="B86" t="str">
            <v>Рабочий проект</v>
          </cell>
        </row>
        <row r="90">
          <cell r="B90" t="str">
            <v>п</v>
          </cell>
        </row>
        <row r="91">
          <cell r="B91" t="str">
            <v>рд</v>
          </cell>
        </row>
        <row r="92">
          <cell r="B92" t="str">
            <v>рп</v>
          </cell>
        </row>
        <row r="106">
          <cell r="B106" t="str">
            <v>С. В. Красавин</v>
          </cell>
        </row>
        <row r="107">
          <cell r="B107" t="str">
            <v>Н. И. Юнов</v>
          </cell>
        </row>
      </sheetData>
      <sheetData sheetId="2">
        <row r="6">
          <cell r="B6">
            <v>1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Глав"/>
      <sheetName val="ГлавнСмГАП"/>
      <sheetName val="КалендПлан"/>
      <sheetName val="СводнСм"/>
      <sheetName val="СмШурф"/>
      <sheetName val="СмРучБур"/>
      <sheetName val="СмМашБур"/>
    </sheetNames>
    <sheetDataSet>
      <sheetData sheetId="0"/>
      <sheetData sheetId="1"/>
      <sheetData sheetId="2"/>
      <sheetData sheetId="3"/>
      <sheetData sheetId="4"/>
      <sheetData sheetId="5" refreshError="1">
        <row r="40">
          <cell r="J40">
            <v>67798</v>
          </cell>
        </row>
      </sheetData>
      <sheetData sheetId="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Глав"/>
      <sheetName val="ГлавнСмГАП"/>
      <sheetName val="КалендПлан"/>
      <sheetName val="СводнСм"/>
      <sheetName val="СмШурф"/>
      <sheetName val="СмРучБур"/>
      <sheetName val="СмМашБур"/>
    </sheetNames>
    <sheetDataSet>
      <sheetData sheetId="0"/>
      <sheetData sheetId="1"/>
      <sheetData sheetId="2"/>
      <sheetData sheetId="3"/>
      <sheetData sheetId="4"/>
      <sheetData sheetId="5" refreshError="1">
        <row r="40">
          <cell r="J40">
            <v>67798</v>
          </cell>
        </row>
      </sheetData>
      <sheetData sheetId="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ЛИСТ"/>
      <sheetName val="Фонды"/>
      <sheetName val="ПланПроекта"/>
      <sheetName val="ПланПроекта_ВнешнРейт"/>
      <sheetName val="ПланПредконтр"/>
      <sheetName val="РасчетКомандир1"/>
      <sheetName val="РасчетКомандир2"/>
      <sheetName val="Субподряд"/>
      <sheetName val="Рейты"/>
      <sheetName val="Матрица рекомендуемых Recovery"/>
      <sheetName val="Нормативы"/>
      <sheetName val="КодыВидовДеят"/>
      <sheetName val="Лист1"/>
      <sheetName val="Лист2"/>
      <sheetName val="Лист3"/>
      <sheetName val="ТехЛистФОТрасчет"/>
      <sheetName val="ТехЛистФОТ"/>
    </sheetNames>
    <sheetDataSet>
      <sheetData sheetId="0"/>
      <sheetData sheetId="1"/>
      <sheetData sheetId="2"/>
      <sheetData sheetId="3"/>
      <sheetData sheetId="4"/>
      <sheetData sheetId="5">
        <row r="1">
          <cell r="M1" t="str">
            <v>Приложение к приказу № ___ от _____________2005г.</v>
          </cell>
        </row>
        <row r="2">
          <cell r="M2" t="str">
            <v>Действует с _____________ 2005 г.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  <cell r="M17" t="str">
            <v>Сумма (Евро)</v>
          </cell>
        </row>
        <row r="18">
          <cell r="E18">
            <v>0</v>
          </cell>
          <cell r="M18" t="str">
            <v>без НДС</v>
          </cell>
        </row>
        <row r="19">
          <cell r="E19">
            <v>0</v>
          </cell>
          <cell r="M19">
            <v>0</v>
          </cell>
        </row>
        <row r="20">
          <cell r="E20">
            <v>0</v>
          </cell>
          <cell r="M20">
            <v>126722.72340425532</v>
          </cell>
        </row>
        <row r="21">
          <cell r="E21">
            <v>0</v>
          </cell>
          <cell r="M21">
            <v>107758.29787234042</v>
          </cell>
        </row>
        <row r="22">
          <cell r="E22">
            <v>0</v>
          </cell>
          <cell r="M22">
            <v>4765.9787234042597</v>
          </cell>
        </row>
        <row r="23">
          <cell r="E23">
            <v>0</v>
          </cell>
          <cell r="M23">
            <v>239247</v>
          </cell>
        </row>
        <row r="24">
          <cell r="E24">
            <v>0</v>
          </cell>
          <cell r="M24" t="str">
            <v>руб.</v>
          </cell>
        </row>
        <row r="25">
          <cell r="E25">
            <v>0</v>
          </cell>
          <cell r="M25" t="str">
            <v xml:space="preserve">Евро </v>
          </cell>
        </row>
        <row r="26">
          <cell r="E26">
            <v>0</v>
          </cell>
        </row>
        <row r="27">
          <cell r="E27">
            <v>0</v>
          </cell>
        </row>
        <row r="32">
          <cell r="E32" t="str">
            <v>руб.</v>
          </cell>
        </row>
        <row r="33">
          <cell r="E33" t="str">
            <v>руб.</v>
          </cell>
        </row>
        <row r="35">
          <cell r="E35">
            <v>300</v>
          </cell>
        </row>
        <row r="37">
          <cell r="E37" t="str">
            <v>Период командировки (месяц)</v>
          </cell>
          <cell r="M37" t="str">
            <v>ВСЕГО командировочные (Евро)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  <row r="44">
          <cell r="M44">
            <v>0</v>
          </cell>
        </row>
        <row r="45">
          <cell r="M45">
            <v>0</v>
          </cell>
        </row>
        <row r="46">
          <cell r="M46">
            <v>0</v>
          </cell>
        </row>
        <row r="47">
          <cell r="M47">
            <v>0</v>
          </cell>
        </row>
        <row r="48">
          <cell r="M48">
            <v>0</v>
          </cell>
        </row>
        <row r="49">
          <cell r="M49">
            <v>0</v>
          </cell>
        </row>
        <row r="50">
          <cell r="M50">
            <v>0</v>
          </cell>
        </row>
        <row r="51">
          <cell r="M51">
            <v>0</v>
          </cell>
        </row>
        <row r="52">
          <cell r="M52">
            <v>0</v>
          </cell>
        </row>
        <row r="53">
          <cell r="M53">
            <v>0</v>
          </cell>
        </row>
        <row r="54">
          <cell r="M54">
            <v>0</v>
          </cell>
        </row>
        <row r="55">
          <cell r="E55" t="str">
            <v xml:space="preserve"> </v>
          </cell>
          <cell r="M55">
            <v>0</v>
          </cell>
        </row>
        <row r="56">
          <cell r="M56">
            <v>0</v>
          </cell>
        </row>
        <row r="57">
          <cell r="M57">
            <v>0</v>
          </cell>
        </row>
        <row r="58">
          <cell r="M58">
            <v>0</v>
          </cell>
        </row>
        <row r="59">
          <cell r="M59">
            <v>0</v>
          </cell>
        </row>
        <row r="60">
          <cell r="E60" t="str">
            <v>Превышение суточных сверх норм, установленных законодательством</v>
          </cell>
        </row>
        <row r="64">
          <cell r="E64">
            <v>500</v>
          </cell>
        </row>
        <row r="66">
          <cell r="E66" t="str">
            <v>Период командировки (месяц)</v>
          </cell>
          <cell r="M66" t="str">
            <v>ВСЕГО командировочные (Евро)</v>
          </cell>
        </row>
        <row r="67">
          <cell r="M67">
            <v>0</v>
          </cell>
        </row>
        <row r="68">
          <cell r="M68">
            <v>0</v>
          </cell>
        </row>
        <row r="69">
          <cell r="M69">
            <v>0</v>
          </cell>
        </row>
        <row r="70">
          <cell r="E70" t="str">
            <v xml:space="preserve"> </v>
          </cell>
          <cell r="M70">
            <v>0</v>
          </cell>
        </row>
        <row r="71">
          <cell r="M71">
            <v>0</v>
          </cell>
        </row>
        <row r="72">
          <cell r="M72">
            <v>0</v>
          </cell>
        </row>
        <row r="73">
          <cell r="E73" t="str">
            <v xml:space="preserve"> </v>
          </cell>
          <cell r="M73">
            <v>0</v>
          </cell>
        </row>
        <row r="74">
          <cell r="M74">
            <v>0</v>
          </cell>
        </row>
        <row r="75">
          <cell r="M75">
            <v>0</v>
          </cell>
        </row>
        <row r="76">
          <cell r="M76">
            <v>0</v>
          </cell>
        </row>
        <row r="77">
          <cell r="E77" t="str">
            <v xml:space="preserve"> </v>
          </cell>
          <cell r="M77">
            <v>0</v>
          </cell>
        </row>
        <row r="78">
          <cell r="M78">
            <v>0</v>
          </cell>
        </row>
        <row r="79">
          <cell r="M79">
            <v>0</v>
          </cell>
        </row>
        <row r="80">
          <cell r="E80" t="str">
            <v xml:space="preserve"> </v>
          </cell>
          <cell r="M80">
            <v>0</v>
          </cell>
        </row>
        <row r="81">
          <cell r="M81">
            <v>0</v>
          </cell>
        </row>
        <row r="82">
          <cell r="M82">
            <v>0</v>
          </cell>
        </row>
        <row r="83">
          <cell r="M83">
            <v>0</v>
          </cell>
        </row>
        <row r="84">
          <cell r="M84">
            <v>0</v>
          </cell>
        </row>
        <row r="85">
          <cell r="M85">
            <v>0</v>
          </cell>
        </row>
        <row r="86">
          <cell r="M86">
            <v>0</v>
          </cell>
        </row>
        <row r="87">
          <cell r="M87">
            <v>0</v>
          </cell>
        </row>
        <row r="88">
          <cell r="M88">
            <v>0</v>
          </cell>
        </row>
        <row r="89">
          <cell r="E89" t="str">
            <v>Превышение суточных сверх норм, установленных законодательством</v>
          </cell>
        </row>
        <row r="93">
          <cell r="E93">
            <v>1428</v>
          </cell>
        </row>
        <row r="95">
          <cell r="E95">
            <v>39356</v>
          </cell>
        </row>
        <row r="97">
          <cell r="E97" t="str">
            <v>Период командировки (месяц)</v>
          </cell>
          <cell r="M97" t="str">
            <v>ВСЕГО командировочные (Евро)</v>
          </cell>
        </row>
        <row r="98">
          <cell r="E98">
            <v>39356</v>
          </cell>
          <cell r="M98">
            <v>1086.4113475177305</v>
          </cell>
        </row>
        <row r="99">
          <cell r="E99">
            <v>39387</v>
          </cell>
          <cell r="M99">
            <v>1086.4113475177305</v>
          </cell>
        </row>
        <row r="100">
          <cell r="E100">
            <v>39417</v>
          </cell>
          <cell r="M100">
            <v>1086.4113475177305</v>
          </cell>
        </row>
        <row r="101">
          <cell r="E101">
            <v>39448</v>
          </cell>
          <cell r="M101">
            <v>1086.4113475177305</v>
          </cell>
        </row>
        <row r="102">
          <cell r="E102">
            <v>39479</v>
          </cell>
          <cell r="M102">
            <v>1086.4113475177305</v>
          </cell>
        </row>
        <row r="103">
          <cell r="E103">
            <v>39508</v>
          </cell>
          <cell r="M103">
            <v>1086.4113475177305</v>
          </cell>
        </row>
        <row r="104">
          <cell r="E104">
            <v>39539</v>
          </cell>
          <cell r="M104">
            <v>1086.4113475177305</v>
          </cell>
        </row>
        <row r="105">
          <cell r="E105">
            <v>39569</v>
          </cell>
          <cell r="M105">
            <v>1086.4113475177305</v>
          </cell>
        </row>
        <row r="106">
          <cell r="E106">
            <v>39600</v>
          </cell>
          <cell r="M106">
            <v>1086.4113475177305</v>
          </cell>
        </row>
        <row r="107">
          <cell r="E107">
            <v>39630</v>
          </cell>
          <cell r="M107">
            <v>1086.4113475177305</v>
          </cell>
        </row>
        <row r="108">
          <cell r="E108">
            <v>39661</v>
          </cell>
          <cell r="M108">
            <v>1086.4113475177305</v>
          </cell>
        </row>
        <row r="109">
          <cell r="E109">
            <v>39692</v>
          </cell>
          <cell r="M109">
            <v>681.30496453900707</v>
          </cell>
        </row>
        <row r="110">
          <cell r="E110">
            <v>39722</v>
          </cell>
          <cell r="M110">
            <v>1086.4113475177305</v>
          </cell>
        </row>
        <row r="111">
          <cell r="E111">
            <v>39753</v>
          </cell>
          <cell r="M111">
            <v>1086.4113475177305</v>
          </cell>
        </row>
        <row r="112">
          <cell r="E112">
            <v>39783</v>
          </cell>
          <cell r="M112">
            <v>1086.4113475177305</v>
          </cell>
        </row>
        <row r="113">
          <cell r="M113">
            <v>0</v>
          </cell>
        </row>
        <row r="114">
          <cell r="M114">
            <v>0</v>
          </cell>
        </row>
        <row r="115">
          <cell r="M115">
            <v>0</v>
          </cell>
        </row>
        <row r="116">
          <cell r="M116">
            <v>0</v>
          </cell>
        </row>
        <row r="117">
          <cell r="M117">
            <v>0</v>
          </cell>
        </row>
        <row r="118">
          <cell r="E118">
            <v>39356</v>
          </cell>
          <cell r="M118">
            <v>1288.9645390070923</v>
          </cell>
        </row>
        <row r="119">
          <cell r="E119">
            <v>39387</v>
          </cell>
          <cell r="M119">
            <v>1288.9645390070923</v>
          </cell>
        </row>
        <row r="120">
          <cell r="E120">
            <v>39417</v>
          </cell>
          <cell r="M120">
            <v>1288.9645390070923</v>
          </cell>
        </row>
        <row r="121">
          <cell r="E121">
            <v>39448</v>
          </cell>
          <cell r="M121">
            <v>1288.9645390070923</v>
          </cell>
        </row>
        <row r="122">
          <cell r="E122">
            <v>39479</v>
          </cell>
          <cell r="M122">
            <v>1288.9645390070923</v>
          </cell>
        </row>
        <row r="123">
          <cell r="E123">
            <v>39508</v>
          </cell>
          <cell r="M123">
            <v>1288.9645390070923</v>
          </cell>
        </row>
        <row r="124">
          <cell r="E124">
            <v>39539</v>
          </cell>
          <cell r="M124">
            <v>1288.9645390070923</v>
          </cell>
        </row>
        <row r="125">
          <cell r="E125">
            <v>39569</v>
          </cell>
          <cell r="M125">
            <v>1288.9645390070923</v>
          </cell>
        </row>
        <row r="126">
          <cell r="E126">
            <v>39600</v>
          </cell>
          <cell r="M126">
            <v>1288.9645390070923</v>
          </cell>
        </row>
        <row r="127">
          <cell r="E127">
            <v>39630</v>
          </cell>
          <cell r="M127">
            <v>1288.9645390070923</v>
          </cell>
        </row>
        <row r="128">
          <cell r="E128">
            <v>39661</v>
          </cell>
          <cell r="M128">
            <v>1288.9645390070923</v>
          </cell>
        </row>
        <row r="129">
          <cell r="E129">
            <v>39692</v>
          </cell>
          <cell r="M129">
            <v>681.30496453900707</v>
          </cell>
        </row>
        <row r="130">
          <cell r="E130">
            <v>39722</v>
          </cell>
          <cell r="M130">
            <v>1288.9645390070923</v>
          </cell>
        </row>
        <row r="131">
          <cell r="E131">
            <v>39753</v>
          </cell>
          <cell r="M131">
            <v>1288.9645390070923</v>
          </cell>
        </row>
        <row r="132">
          <cell r="E132">
            <v>39783</v>
          </cell>
          <cell r="M132">
            <v>1288.9645390070923</v>
          </cell>
        </row>
        <row r="133">
          <cell r="M133">
            <v>0</v>
          </cell>
        </row>
        <row r="134">
          <cell r="M134">
            <v>0</v>
          </cell>
        </row>
        <row r="135">
          <cell r="M135">
            <v>0</v>
          </cell>
        </row>
        <row r="136">
          <cell r="M136">
            <v>0</v>
          </cell>
        </row>
        <row r="137">
          <cell r="M137">
            <v>0</v>
          </cell>
        </row>
        <row r="138">
          <cell r="E138">
            <v>39356</v>
          </cell>
          <cell r="M138">
            <v>1288.9645390070923</v>
          </cell>
        </row>
        <row r="139">
          <cell r="E139">
            <v>39387</v>
          </cell>
          <cell r="M139">
            <v>1288.9645390070923</v>
          </cell>
        </row>
        <row r="140">
          <cell r="E140">
            <v>39417</v>
          </cell>
          <cell r="M140">
            <v>1288.9645390070923</v>
          </cell>
        </row>
        <row r="141">
          <cell r="E141">
            <v>39448</v>
          </cell>
          <cell r="M141">
            <v>1288.9645390070923</v>
          </cell>
        </row>
        <row r="142">
          <cell r="E142">
            <v>39479</v>
          </cell>
          <cell r="M142">
            <v>1288.9645390070923</v>
          </cell>
        </row>
        <row r="143">
          <cell r="E143">
            <v>39508</v>
          </cell>
          <cell r="M143">
            <v>1288.9645390070923</v>
          </cell>
        </row>
        <row r="144">
          <cell r="E144">
            <v>39539</v>
          </cell>
          <cell r="M144">
            <v>1288.9645390070923</v>
          </cell>
        </row>
        <row r="145">
          <cell r="E145">
            <v>39569</v>
          </cell>
          <cell r="M145">
            <v>1288.9645390070923</v>
          </cell>
        </row>
        <row r="146">
          <cell r="E146">
            <v>39600</v>
          </cell>
          <cell r="M146">
            <v>1288.9645390070923</v>
          </cell>
        </row>
        <row r="147">
          <cell r="E147">
            <v>39630</v>
          </cell>
          <cell r="M147">
            <v>1288.9645390070923</v>
          </cell>
        </row>
        <row r="148">
          <cell r="E148">
            <v>39661</v>
          </cell>
          <cell r="M148">
            <v>1288.9645390070923</v>
          </cell>
        </row>
        <row r="149">
          <cell r="E149">
            <v>39692</v>
          </cell>
          <cell r="M149">
            <v>1288.9645390070923</v>
          </cell>
        </row>
        <row r="150">
          <cell r="E150">
            <v>39722</v>
          </cell>
          <cell r="M150">
            <v>1288.9645390070923</v>
          </cell>
        </row>
        <row r="151">
          <cell r="E151">
            <v>39753</v>
          </cell>
          <cell r="M151">
            <v>1288.9645390070923</v>
          </cell>
        </row>
        <row r="152">
          <cell r="E152">
            <v>39783</v>
          </cell>
          <cell r="M152">
            <v>1288.9645390070923</v>
          </cell>
        </row>
        <row r="153">
          <cell r="M153">
            <v>0</v>
          </cell>
        </row>
        <row r="154">
          <cell r="M154">
            <v>0</v>
          </cell>
        </row>
        <row r="155">
          <cell r="M155">
            <v>0</v>
          </cell>
        </row>
        <row r="156">
          <cell r="M156">
            <v>0</v>
          </cell>
        </row>
        <row r="157">
          <cell r="M157">
            <v>0</v>
          </cell>
        </row>
        <row r="158">
          <cell r="E158">
            <v>39356</v>
          </cell>
          <cell r="M158">
            <v>1288.9645390070923</v>
          </cell>
        </row>
        <row r="159">
          <cell r="E159">
            <v>39387</v>
          </cell>
          <cell r="M159">
            <v>1288.9645390070923</v>
          </cell>
        </row>
        <row r="160">
          <cell r="E160">
            <v>39417</v>
          </cell>
          <cell r="M160">
            <v>1288.9645390070923</v>
          </cell>
        </row>
        <row r="161">
          <cell r="E161">
            <v>39448</v>
          </cell>
          <cell r="M161">
            <v>1288.9645390070923</v>
          </cell>
        </row>
        <row r="162">
          <cell r="E162">
            <v>39479</v>
          </cell>
          <cell r="M162">
            <v>1288.9645390070923</v>
          </cell>
        </row>
        <row r="163">
          <cell r="E163">
            <v>39508</v>
          </cell>
          <cell r="M163">
            <v>1288.9645390070923</v>
          </cell>
        </row>
        <row r="164">
          <cell r="E164">
            <v>39539</v>
          </cell>
          <cell r="M164">
            <v>1288.9645390070923</v>
          </cell>
        </row>
        <row r="165">
          <cell r="E165">
            <v>39569</v>
          </cell>
          <cell r="M165">
            <v>1288.9645390070923</v>
          </cell>
        </row>
        <row r="166">
          <cell r="E166">
            <v>39600</v>
          </cell>
          <cell r="M166">
            <v>1288.9645390070923</v>
          </cell>
        </row>
        <row r="167">
          <cell r="E167">
            <v>39630</v>
          </cell>
          <cell r="M167">
            <v>0</v>
          </cell>
        </row>
        <row r="168">
          <cell r="E168">
            <v>39661</v>
          </cell>
          <cell r="M168">
            <v>0</v>
          </cell>
        </row>
        <row r="169">
          <cell r="E169">
            <v>39692</v>
          </cell>
          <cell r="M169">
            <v>0</v>
          </cell>
        </row>
        <row r="170">
          <cell r="E170">
            <v>39722</v>
          </cell>
          <cell r="M170">
            <v>0</v>
          </cell>
        </row>
        <row r="171">
          <cell r="E171">
            <v>39753</v>
          </cell>
          <cell r="M171">
            <v>0</v>
          </cell>
        </row>
        <row r="172">
          <cell r="E172">
            <v>39783</v>
          </cell>
          <cell r="M172">
            <v>0</v>
          </cell>
        </row>
        <row r="173">
          <cell r="M173">
            <v>0</v>
          </cell>
        </row>
        <row r="174">
          <cell r="M174">
            <v>0</v>
          </cell>
        </row>
        <row r="175">
          <cell r="M175">
            <v>0</v>
          </cell>
        </row>
        <row r="176">
          <cell r="M176">
            <v>0</v>
          </cell>
        </row>
        <row r="177">
          <cell r="M177">
            <v>0</v>
          </cell>
        </row>
        <row r="178">
          <cell r="E178">
            <v>39356</v>
          </cell>
          <cell r="M178">
            <v>1288.9645390070923</v>
          </cell>
        </row>
        <row r="179">
          <cell r="E179">
            <v>39387</v>
          </cell>
          <cell r="M179">
            <v>1288.9645390070923</v>
          </cell>
        </row>
        <row r="180">
          <cell r="E180">
            <v>39417</v>
          </cell>
          <cell r="M180">
            <v>1288.9645390070923</v>
          </cell>
        </row>
        <row r="181">
          <cell r="E181">
            <v>39448</v>
          </cell>
          <cell r="M181">
            <v>1288.9645390070923</v>
          </cell>
        </row>
        <row r="182">
          <cell r="E182">
            <v>39479</v>
          </cell>
          <cell r="M182">
            <v>1288.9645390070923</v>
          </cell>
        </row>
        <row r="183">
          <cell r="E183">
            <v>39508</v>
          </cell>
          <cell r="M183">
            <v>1288.9645390070923</v>
          </cell>
        </row>
        <row r="184">
          <cell r="E184">
            <v>39539</v>
          </cell>
          <cell r="M184">
            <v>1288.9645390070923</v>
          </cell>
        </row>
        <row r="185">
          <cell r="E185">
            <v>39569</v>
          </cell>
          <cell r="M185">
            <v>1288.9645390070923</v>
          </cell>
        </row>
        <row r="186">
          <cell r="E186">
            <v>39600</v>
          </cell>
          <cell r="M186">
            <v>1288.9645390070923</v>
          </cell>
        </row>
        <row r="187">
          <cell r="E187">
            <v>39630</v>
          </cell>
          <cell r="M187">
            <v>0</v>
          </cell>
        </row>
        <row r="188">
          <cell r="E188">
            <v>39661</v>
          </cell>
          <cell r="M188">
            <v>0</v>
          </cell>
        </row>
        <row r="189">
          <cell r="E189">
            <v>39692</v>
          </cell>
          <cell r="M189">
            <v>0</v>
          </cell>
        </row>
        <row r="190">
          <cell r="E190">
            <v>39722</v>
          </cell>
          <cell r="M190">
            <v>0</v>
          </cell>
        </row>
        <row r="191">
          <cell r="E191">
            <v>39753</v>
          </cell>
          <cell r="M191">
            <v>0</v>
          </cell>
        </row>
        <row r="192">
          <cell r="E192">
            <v>39783</v>
          </cell>
          <cell r="M192">
            <v>0</v>
          </cell>
        </row>
        <row r="193">
          <cell r="M193">
            <v>0</v>
          </cell>
        </row>
        <row r="194">
          <cell r="M194">
            <v>0</v>
          </cell>
        </row>
        <row r="195">
          <cell r="M195">
            <v>0</v>
          </cell>
        </row>
        <row r="196">
          <cell r="M196">
            <v>0</v>
          </cell>
        </row>
        <row r="197">
          <cell r="M197">
            <v>0</v>
          </cell>
        </row>
        <row r="198">
          <cell r="E198">
            <v>39356</v>
          </cell>
          <cell r="M198">
            <v>1288.9645390070923</v>
          </cell>
        </row>
        <row r="199">
          <cell r="E199">
            <v>39387</v>
          </cell>
          <cell r="M199">
            <v>1288.9645390070923</v>
          </cell>
        </row>
        <row r="200">
          <cell r="E200">
            <v>39417</v>
          </cell>
          <cell r="M200">
            <v>1288.9645390070923</v>
          </cell>
        </row>
        <row r="201">
          <cell r="E201">
            <v>39448</v>
          </cell>
          <cell r="M201">
            <v>1288.9645390070923</v>
          </cell>
        </row>
        <row r="202">
          <cell r="E202">
            <v>39479</v>
          </cell>
          <cell r="M202">
            <v>1288.9645390070923</v>
          </cell>
        </row>
        <row r="203">
          <cell r="E203">
            <v>39508</v>
          </cell>
          <cell r="M203">
            <v>1288.9645390070923</v>
          </cell>
        </row>
        <row r="204">
          <cell r="E204">
            <v>39539</v>
          </cell>
          <cell r="M204">
            <v>1288.9645390070923</v>
          </cell>
        </row>
        <row r="205">
          <cell r="E205">
            <v>39569</v>
          </cell>
          <cell r="M205">
            <v>1288.9645390070923</v>
          </cell>
        </row>
        <row r="206">
          <cell r="E206">
            <v>39600</v>
          </cell>
          <cell r="M206">
            <v>1288.9645390070923</v>
          </cell>
        </row>
        <row r="207">
          <cell r="E207">
            <v>39630</v>
          </cell>
          <cell r="M207">
            <v>0</v>
          </cell>
        </row>
        <row r="208">
          <cell r="E208">
            <v>39661</v>
          </cell>
          <cell r="M208">
            <v>0</v>
          </cell>
        </row>
        <row r="209">
          <cell r="E209">
            <v>39692</v>
          </cell>
          <cell r="M209">
            <v>0</v>
          </cell>
        </row>
        <row r="210">
          <cell r="E210">
            <v>39722</v>
          </cell>
          <cell r="M210">
            <v>0</v>
          </cell>
        </row>
        <row r="211">
          <cell r="E211">
            <v>39753</v>
          </cell>
          <cell r="M211">
            <v>0</v>
          </cell>
        </row>
        <row r="212">
          <cell r="E212">
            <v>39783</v>
          </cell>
          <cell r="M212">
            <v>0</v>
          </cell>
        </row>
        <row r="213">
          <cell r="M213">
            <v>0</v>
          </cell>
        </row>
        <row r="214">
          <cell r="M214">
            <v>0</v>
          </cell>
        </row>
        <row r="215">
          <cell r="M215">
            <v>0</v>
          </cell>
        </row>
        <row r="216">
          <cell r="M216">
            <v>0</v>
          </cell>
        </row>
        <row r="217">
          <cell r="M217">
            <v>0</v>
          </cell>
        </row>
        <row r="218">
          <cell r="E218">
            <v>39356</v>
          </cell>
          <cell r="M218">
            <v>1288.9645390070923</v>
          </cell>
        </row>
        <row r="219">
          <cell r="E219">
            <v>39387</v>
          </cell>
          <cell r="M219">
            <v>1288.9645390070923</v>
          </cell>
        </row>
        <row r="220">
          <cell r="E220">
            <v>39417</v>
          </cell>
          <cell r="M220">
            <v>1288.9645390070923</v>
          </cell>
        </row>
        <row r="221">
          <cell r="E221">
            <v>39448</v>
          </cell>
          <cell r="M221">
            <v>1288.9645390070923</v>
          </cell>
        </row>
        <row r="222">
          <cell r="E222">
            <v>39479</v>
          </cell>
          <cell r="M222">
            <v>1288.9645390070923</v>
          </cell>
        </row>
        <row r="223">
          <cell r="E223">
            <v>39508</v>
          </cell>
          <cell r="M223">
            <v>1288.9645390070923</v>
          </cell>
        </row>
        <row r="224">
          <cell r="E224">
            <v>39539</v>
          </cell>
          <cell r="M224">
            <v>1288.9645390070923</v>
          </cell>
        </row>
        <row r="225">
          <cell r="E225">
            <v>39569</v>
          </cell>
          <cell r="M225">
            <v>1288.9645390070923</v>
          </cell>
        </row>
        <row r="226">
          <cell r="E226">
            <v>39600</v>
          </cell>
          <cell r="M226">
            <v>1288.9645390070923</v>
          </cell>
        </row>
        <row r="227">
          <cell r="E227">
            <v>39630</v>
          </cell>
          <cell r="M227">
            <v>0</v>
          </cell>
        </row>
        <row r="228">
          <cell r="E228">
            <v>39661</v>
          </cell>
          <cell r="M228">
            <v>0</v>
          </cell>
        </row>
        <row r="229">
          <cell r="E229">
            <v>39692</v>
          </cell>
          <cell r="M229">
            <v>0</v>
          </cell>
        </row>
        <row r="230">
          <cell r="E230">
            <v>39722</v>
          </cell>
          <cell r="M230">
            <v>0</v>
          </cell>
        </row>
        <row r="231">
          <cell r="E231">
            <v>39753</v>
          </cell>
          <cell r="M231">
            <v>0</v>
          </cell>
        </row>
        <row r="232">
          <cell r="E232">
            <v>39783</v>
          </cell>
          <cell r="M232">
            <v>0</v>
          </cell>
        </row>
        <row r="233">
          <cell r="M233">
            <v>0</v>
          </cell>
        </row>
        <row r="234">
          <cell r="M234">
            <v>0</v>
          </cell>
        </row>
        <row r="235">
          <cell r="M235">
            <v>0</v>
          </cell>
        </row>
        <row r="236">
          <cell r="M236">
            <v>0</v>
          </cell>
        </row>
        <row r="237">
          <cell r="M237">
            <v>0</v>
          </cell>
        </row>
        <row r="238">
          <cell r="E238">
            <v>39356</v>
          </cell>
          <cell r="M238">
            <v>1288.9645390070923</v>
          </cell>
        </row>
        <row r="239">
          <cell r="E239">
            <v>39387</v>
          </cell>
          <cell r="M239">
            <v>1288.9645390070923</v>
          </cell>
        </row>
        <row r="240">
          <cell r="E240">
            <v>39417</v>
          </cell>
          <cell r="M240">
            <v>1288.9645390070923</v>
          </cell>
        </row>
        <row r="241">
          <cell r="E241">
            <v>39448</v>
          </cell>
          <cell r="M241">
            <v>1288.9645390070923</v>
          </cell>
        </row>
        <row r="242">
          <cell r="E242">
            <v>39479</v>
          </cell>
          <cell r="M242">
            <v>1288.9645390070923</v>
          </cell>
        </row>
        <row r="243">
          <cell r="E243">
            <v>39508</v>
          </cell>
          <cell r="M243">
            <v>1288.9645390070923</v>
          </cell>
        </row>
        <row r="244">
          <cell r="E244">
            <v>39539</v>
          </cell>
          <cell r="M244">
            <v>1288.9645390070923</v>
          </cell>
        </row>
        <row r="245">
          <cell r="E245">
            <v>39569</v>
          </cell>
          <cell r="M245">
            <v>1288.9645390070923</v>
          </cell>
        </row>
        <row r="246">
          <cell r="E246">
            <v>39600</v>
          </cell>
          <cell r="M246">
            <v>1288.9645390070923</v>
          </cell>
        </row>
        <row r="247">
          <cell r="E247">
            <v>39630</v>
          </cell>
          <cell r="M247">
            <v>0</v>
          </cell>
        </row>
        <row r="248">
          <cell r="E248">
            <v>39661</v>
          </cell>
          <cell r="M248">
            <v>0</v>
          </cell>
        </row>
        <row r="249">
          <cell r="E249">
            <v>39692</v>
          </cell>
          <cell r="M249">
            <v>0</v>
          </cell>
        </row>
        <row r="250">
          <cell r="E250">
            <v>39722</v>
          </cell>
          <cell r="M250">
            <v>0</v>
          </cell>
        </row>
        <row r="251">
          <cell r="E251">
            <v>39753</v>
          </cell>
          <cell r="M251">
            <v>0</v>
          </cell>
        </row>
        <row r="252">
          <cell r="E252">
            <v>39783</v>
          </cell>
          <cell r="M252">
            <v>0</v>
          </cell>
        </row>
        <row r="253">
          <cell r="M253">
            <v>0</v>
          </cell>
        </row>
        <row r="254">
          <cell r="M254">
            <v>0</v>
          </cell>
        </row>
        <row r="255">
          <cell r="M255">
            <v>0</v>
          </cell>
        </row>
        <row r="256">
          <cell r="M256">
            <v>0</v>
          </cell>
        </row>
        <row r="257">
          <cell r="M257">
            <v>0</v>
          </cell>
        </row>
        <row r="258">
          <cell r="E258">
            <v>39356</v>
          </cell>
          <cell r="M258">
            <v>1288.9645390070923</v>
          </cell>
        </row>
        <row r="259">
          <cell r="E259">
            <v>39387</v>
          </cell>
          <cell r="M259">
            <v>1288.9645390070923</v>
          </cell>
        </row>
        <row r="260">
          <cell r="E260">
            <v>39417</v>
          </cell>
          <cell r="M260">
            <v>1288.9645390070923</v>
          </cell>
        </row>
        <row r="261">
          <cell r="E261">
            <v>39448</v>
          </cell>
          <cell r="M261">
            <v>1288.9645390070923</v>
          </cell>
        </row>
        <row r="262">
          <cell r="E262">
            <v>39479</v>
          </cell>
          <cell r="M262">
            <v>1288.9645390070923</v>
          </cell>
        </row>
        <row r="263">
          <cell r="E263">
            <v>39508</v>
          </cell>
          <cell r="M263">
            <v>1288.9645390070923</v>
          </cell>
        </row>
        <row r="264">
          <cell r="E264">
            <v>39539</v>
          </cell>
          <cell r="M264">
            <v>1288.9645390070923</v>
          </cell>
        </row>
        <row r="265">
          <cell r="E265">
            <v>39569</v>
          </cell>
          <cell r="M265">
            <v>1288.9645390070923</v>
          </cell>
        </row>
        <row r="266">
          <cell r="E266">
            <v>39600</v>
          </cell>
          <cell r="M266">
            <v>1288.9645390070923</v>
          </cell>
        </row>
        <row r="267">
          <cell r="E267">
            <v>39630</v>
          </cell>
          <cell r="M267">
            <v>0</v>
          </cell>
        </row>
        <row r="268">
          <cell r="E268">
            <v>39661</v>
          </cell>
          <cell r="M268">
            <v>0</v>
          </cell>
        </row>
        <row r="269">
          <cell r="E269">
            <v>39692</v>
          </cell>
          <cell r="M269">
            <v>0</v>
          </cell>
        </row>
        <row r="270">
          <cell r="E270">
            <v>39722</v>
          </cell>
          <cell r="M270">
            <v>0</v>
          </cell>
        </row>
        <row r="271">
          <cell r="E271">
            <v>39753</v>
          </cell>
          <cell r="M271">
            <v>0</v>
          </cell>
        </row>
        <row r="272">
          <cell r="E272">
            <v>39783</v>
          </cell>
          <cell r="M272">
            <v>0</v>
          </cell>
        </row>
        <row r="273">
          <cell r="M273">
            <v>0</v>
          </cell>
        </row>
        <row r="274">
          <cell r="M274">
            <v>0</v>
          </cell>
        </row>
        <row r="275">
          <cell r="M275">
            <v>0</v>
          </cell>
        </row>
        <row r="276">
          <cell r="M276">
            <v>0</v>
          </cell>
        </row>
        <row r="277">
          <cell r="M277">
            <v>0</v>
          </cell>
        </row>
        <row r="278">
          <cell r="E278">
            <v>39356</v>
          </cell>
          <cell r="M278">
            <v>1288.9645390070923</v>
          </cell>
        </row>
        <row r="279">
          <cell r="E279">
            <v>39387</v>
          </cell>
          <cell r="M279">
            <v>1288.9645390070923</v>
          </cell>
        </row>
        <row r="280">
          <cell r="E280">
            <v>39417</v>
          </cell>
          <cell r="M280">
            <v>1288.9645390070923</v>
          </cell>
        </row>
        <row r="281">
          <cell r="E281">
            <v>39448</v>
          </cell>
          <cell r="M281">
            <v>1288.9645390070923</v>
          </cell>
        </row>
        <row r="282">
          <cell r="E282">
            <v>39479</v>
          </cell>
          <cell r="M282">
            <v>1288.9645390070923</v>
          </cell>
        </row>
        <row r="283">
          <cell r="E283">
            <v>39508</v>
          </cell>
          <cell r="M283">
            <v>1288.9645390070923</v>
          </cell>
        </row>
        <row r="284">
          <cell r="E284">
            <v>39539</v>
          </cell>
          <cell r="M284">
            <v>1288.9645390070923</v>
          </cell>
        </row>
        <row r="285">
          <cell r="E285">
            <v>39569</v>
          </cell>
          <cell r="M285">
            <v>1288.9645390070923</v>
          </cell>
        </row>
        <row r="286">
          <cell r="E286">
            <v>39600</v>
          </cell>
          <cell r="M286">
            <v>1288.9645390070923</v>
          </cell>
        </row>
        <row r="287">
          <cell r="E287">
            <v>39630</v>
          </cell>
          <cell r="M287">
            <v>0</v>
          </cell>
        </row>
        <row r="288">
          <cell r="E288">
            <v>39661</v>
          </cell>
          <cell r="M288">
            <v>0</v>
          </cell>
        </row>
        <row r="289">
          <cell r="E289">
            <v>39692</v>
          </cell>
          <cell r="M289">
            <v>0</v>
          </cell>
        </row>
        <row r="290">
          <cell r="E290">
            <v>39722</v>
          </cell>
          <cell r="M290">
            <v>0</v>
          </cell>
        </row>
        <row r="291">
          <cell r="E291">
            <v>39753</v>
          </cell>
          <cell r="M291">
            <v>0</v>
          </cell>
        </row>
        <row r="292">
          <cell r="E292">
            <v>39783</v>
          </cell>
          <cell r="M292">
            <v>0</v>
          </cell>
        </row>
        <row r="293">
          <cell r="M293">
            <v>0</v>
          </cell>
        </row>
        <row r="294">
          <cell r="M294">
            <v>0</v>
          </cell>
        </row>
        <row r="295">
          <cell r="M295">
            <v>0</v>
          </cell>
        </row>
        <row r="296">
          <cell r="M296">
            <v>0</v>
          </cell>
        </row>
        <row r="297">
          <cell r="M297">
            <v>0</v>
          </cell>
        </row>
        <row r="298">
          <cell r="E298">
            <v>39356</v>
          </cell>
          <cell r="M298">
            <v>1288.9645390070923</v>
          </cell>
        </row>
        <row r="299">
          <cell r="E299">
            <v>39387</v>
          </cell>
          <cell r="M299">
            <v>1288.9645390070923</v>
          </cell>
        </row>
        <row r="300">
          <cell r="E300">
            <v>39417</v>
          </cell>
          <cell r="M300">
            <v>1288.9645390070923</v>
          </cell>
        </row>
        <row r="301">
          <cell r="E301">
            <v>39448</v>
          </cell>
          <cell r="M301">
            <v>1288.9645390070923</v>
          </cell>
        </row>
        <row r="302">
          <cell r="E302">
            <v>39479</v>
          </cell>
          <cell r="M302">
            <v>1288.9645390070923</v>
          </cell>
        </row>
        <row r="303">
          <cell r="E303">
            <v>39508</v>
          </cell>
          <cell r="M303">
            <v>1288.9645390070923</v>
          </cell>
        </row>
        <row r="304">
          <cell r="E304">
            <v>39539</v>
          </cell>
          <cell r="M304">
            <v>1288.9645390070923</v>
          </cell>
        </row>
        <row r="305">
          <cell r="E305">
            <v>39569</v>
          </cell>
          <cell r="M305">
            <v>1288.9645390070923</v>
          </cell>
        </row>
        <row r="306">
          <cell r="E306">
            <v>39600</v>
          </cell>
          <cell r="M306">
            <v>1288.9645390070923</v>
          </cell>
        </row>
        <row r="307">
          <cell r="E307">
            <v>39630</v>
          </cell>
          <cell r="M307">
            <v>0</v>
          </cell>
        </row>
        <row r="308">
          <cell r="E308">
            <v>39661</v>
          </cell>
          <cell r="M308">
            <v>0</v>
          </cell>
        </row>
        <row r="309">
          <cell r="E309">
            <v>39692</v>
          </cell>
          <cell r="M309">
            <v>0</v>
          </cell>
        </row>
        <row r="310">
          <cell r="E310">
            <v>39722</v>
          </cell>
          <cell r="M310">
            <v>0</v>
          </cell>
        </row>
        <row r="311">
          <cell r="E311">
            <v>39753</v>
          </cell>
          <cell r="M311">
            <v>0</v>
          </cell>
        </row>
        <row r="312">
          <cell r="E312">
            <v>39783</v>
          </cell>
          <cell r="M312">
            <v>0</v>
          </cell>
        </row>
        <row r="313">
          <cell r="M313">
            <v>0</v>
          </cell>
        </row>
        <row r="314">
          <cell r="M314">
            <v>0</v>
          </cell>
        </row>
        <row r="315">
          <cell r="M315">
            <v>0</v>
          </cell>
        </row>
        <row r="316">
          <cell r="M316">
            <v>0</v>
          </cell>
        </row>
        <row r="317">
          <cell r="M317">
            <v>0</v>
          </cell>
        </row>
        <row r="318">
          <cell r="E318">
            <v>39356</v>
          </cell>
          <cell r="M318">
            <v>0</v>
          </cell>
        </row>
        <row r="319">
          <cell r="E319">
            <v>39387</v>
          </cell>
          <cell r="M319">
            <v>0</v>
          </cell>
        </row>
        <row r="320">
          <cell r="E320">
            <v>39417</v>
          </cell>
          <cell r="M320">
            <v>0</v>
          </cell>
        </row>
        <row r="321">
          <cell r="E321">
            <v>39448</v>
          </cell>
          <cell r="M321">
            <v>0</v>
          </cell>
        </row>
        <row r="322">
          <cell r="E322">
            <v>39479</v>
          </cell>
          <cell r="M322">
            <v>0</v>
          </cell>
        </row>
        <row r="323">
          <cell r="E323">
            <v>39508</v>
          </cell>
          <cell r="M323">
            <v>0</v>
          </cell>
        </row>
        <row r="324">
          <cell r="E324">
            <v>39539</v>
          </cell>
          <cell r="M324">
            <v>0</v>
          </cell>
        </row>
        <row r="325">
          <cell r="E325">
            <v>39569</v>
          </cell>
          <cell r="M325">
            <v>1288.9645390070923</v>
          </cell>
        </row>
        <row r="326">
          <cell r="E326">
            <v>39600</v>
          </cell>
          <cell r="M326">
            <v>1288.9645390070923</v>
          </cell>
        </row>
        <row r="327">
          <cell r="E327">
            <v>39630</v>
          </cell>
          <cell r="M327">
            <v>1288.9645390070923</v>
          </cell>
        </row>
        <row r="328">
          <cell r="E328">
            <v>39661</v>
          </cell>
          <cell r="M328">
            <v>1288.9645390070923</v>
          </cell>
        </row>
        <row r="329">
          <cell r="E329">
            <v>39692</v>
          </cell>
          <cell r="M329">
            <v>681.30496453900707</v>
          </cell>
        </row>
        <row r="330">
          <cell r="E330">
            <v>39722</v>
          </cell>
          <cell r="M330">
            <v>1288.9645390070923</v>
          </cell>
        </row>
        <row r="331">
          <cell r="E331">
            <v>39753</v>
          </cell>
          <cell r="M331">
            <v>1288.9645390070923</v>
          </cell>
        </row>
        <row r="332">
          <cell r="E332">
            <v>39783</v>
          </cell>
          <cell r="M332">
            <v>1288.9645390070923</v>
          </cell>
        </row>
        <row r="333">
          <cell r="M333">
            <v>0</v>
          </cell>
        </row>
        <row r="334">
          <cell r="M334">
            <v>0</v>
          </cell>
        </row>
        <row r="335">
          <cell r="M335">
            <v>0</v>
          </cell>
        </row>
        <row r="336">
          <cell r="M336">
            <v>0</v>
          </cell>
        </row>
        <row r="337">
          <cell r="M337">
            <v>0</v>
          </cell>
        </row>
        <row r="338">
          <cell r="E338">
            <v>39356</v>
          </cell>
          <cell r="M338">
            <v>0</v>
          </cell>
        </row>
        <row r="339">
          <cell r="E339">
            <v>39387</v>
          </cell>
          <cell r="M339">
            <v>0</v>
          </cell>
        </row>
        <row r="340">
          <cell r="E340">
            <v>39417</v>
          </cell>
          <cell r="M340">
            <v>0</v>
          </cell>
        </row>
        <row r="341">
          <cell r="E341">
            <v>39448</v>
          </cell>
          <cell r="M341">
            <v>0</v>
          </cell>
        </row>
        <row r="342">
          <cell r="E342">
            <v>39479</v>
          </cell>
          <cell r="M342">
            <v>0</v>
          </cell>
        </row>
        <row r="343">
          <cell r="E343">
            <v>39508</v>
          </cell>
          <cell r="M343">
            <v>0</v>
          </cell>
        </row>
        <row r="344">
          <cell r="E344">
            <v>39539</v>
          </cell>
          <cell r="M344">
            <v>0</v>
          </cell>
        </row>
        <row r="345">
          <cell r="E345">
            <v>39569</v>
          </cell>
          <cell r="M345">
            <v>1288.9645390070923</v>
          </cell>
        </row>
        <row r="346">
          <cell r="E346">
            <v>39600</v>
          </cell>
          <cell r="M346">
            <v>1288.9645390070923</v>
          </cell>
        </row>
        <row r="347">
          <cell r="E347">
            <v>39630</v>
          </cell>
          <cell r="M347">
            <v>1288.9645390070923</v>
          </cell>
        </row>
        <row r="348">
          <cell r="E348">
            <v>39661</v>
          </cell>
          <cell r="M348">
            <v>1288.9645390070923</v>
          </cell>
        </row>
        <row r="349">
          <cell r="E349">
            <v>39692</v>
          </cell>
          <cell r="M349">
            <v>681.30496453900707</v>
          </cell>
        </row>
        <row r="350">
          <cell r="E350">
            <v>39722</v>
          </cell>
          <cell r="M350">
            <v>1288.9645390070923</v>
          </cell>
        </row>
        <row r="351">
          <cell r="E351">
            <v>39753</v>
          </cell>
          <cell r="M351">
            <v>1288.9645390070923</v>
          </cell>
        </row>
        <row r="352">
          <cell r="E352">
            <v>39783</v>
          </cell>
          <cell r="M352">
            <v>1288.9645390070923</v>
          </cell>
        </row>
        <row r="353">
          <cell r="M353">
            <v>0</v>
          </cell>
        </row>
        <row r="354">
          <cell r="M354">
            <v>0</v>
          </cell>
        </row>
        <row r="355">
          <cell r="M355">
            <v>0</v>
          </cell>
        </row>
        <row r="356">
          <cell r="M356">
            <v>0</v>
          </cell>
        </row>
        <row r="357">
          <cell r="M357">
            <v>0</v>
          </cell>
        </row>
        <row r="358">
          <cell r="E358">
            <v>39356</v>
          </cell>
          <cell r="M358">
            <v>0</v>
          </cell>
        </row>
        <row r="359">
          <cell r="E359">
            <v>39387</v>
          </cell>
          <cell r="M359">
            <v>0</v>
          </cell>
        </row>
        <row r="360">
          <cell r="E360">
            <v>39417</v>
          </cell>
          <cell r="M360">
            <v>0</v>
          </cell>
        </row>
        <row r="361">
          <cell r="E361">
            <v>39448</v>
          </cell>
          <cell r="M361">
            <v>0</v>
          </cell>
        </row>
        <row r="362">
          <cell r="E362">
            <v>39479</v>
          </cell>
          <cell r="M362">
            <v>0</v>
          </cell>
        </row>
        <row r="363">
          <cell r="E363">
            <v>39508</v>
          </cell>
          <cell r="M363">
            <v>0</v>
          </cell>
        </row>
        <row r="364">
          <cell r="E364">
            <v>39539</v>
          </cell>
          <cell r="M364">
            <v>0</v>
          </cell>
        </row>
        <row r="365">
          <cell r="E365">
            <v>39569</v>
          </cell>
          <cell r="M365">
            <v>1288.9645390070923</v>
          </cell>
        </row>
        <row r="366">
          <cell r="E366">
            <v>39600</v>
          </cell>
          <cell r="M366">
            <v>1288.9645390070923</v>
          </cell>
        </row>
        <row r="367">
          <cell r="E367">
            <v>39630</v>
          </cell>
          <cell r="M367">
            <v>1288.9645390070923</v>
          </cell>
        </row>
        <row r="368">
          <cell r="E368">
            <v>39661</v>
          </cell>
          <cell r="M368">
            <v>1288.9645390070923</v>
          </cell>
        </row>
        <row r="369">
          <cell r="E369">
            <v>39692</v>
          </cell>
          <cell r="M369">
            <v>1288.9645390070923</v>
          </cell>
        </row>
        <row r="370">
          <cell r="E370">
            <v>39722</v>
          </cell>
          <cell r="M370">
            <v>1288.9645390070923</v>
          </cell>
        </row>
        <row r="371">
          <cell r="E371">
            <v>39753</v>
          </cell>
          <cell r="M371">
            <v>1288.9645390070923</v>
          </cell>
        </row>
        <row r="372">
          <cell r="E372">
            <v>39783</v>
          </cell>
          <cell r="M372">
            <v>1288.9645390070923</v>
          </cell>
        </row>
        <row r="373">
          <cell r="M373">
            <v>0</v>
          </cell>
        </row>
        <row r="374">
          <cell r="M374">
            <v>0</v>
          </cell>
        </row>
        <row r="375">
          <cell r="M375">
            <v>0</v>
          </cell>
        </row>
        <row r="376">
          <cell r="M376">
            <v>0</v>
          </cell>
        </row>
        <row r="377">
          <cell r="M377">
            <v>0</v>
          </cell>
        </row>
        <row r="378">
          <cell r="E378">
            <v>39356</v>
          </cell>
          <cell r="M378">
            <v>1288.9645390070923</v>
          </cell>
        </row>
        <row r="379">
          <cell r="E379">
            <v>39387</v>
          </cell>
          <cell r="M379">
            <v>1288.9645390070923</v>
          </cell>
        </row>
        <row r="380">
          <cell r="E380">
            <v>39417</v>
          </cell>
          <cell r="M380">
            <v>1288.9645390070923</v>
          </cell>
        </row>
        <row r="381">
          <cell r="E381">
            <v>39448</v>
          </cell>
          <cell r="M381">
            <v>1288.9645390070923</v>
          </cell>
        </row>
        <row r="382">
          <cell r="E382">
            <v>39479</v>
          </cell>
          <cell r="M382">
            <v>1288.9645390070923</v>
          </cell>
        </row>
        <row r="383">
          <cell r="E383">
            <v>39508</v>
          </cell>
          <cell r="M383">
            <v>1288.9645390070923</v>
          </cell>
        </row>
        <row r="384">
          <cell r="E384">
            <v>39539</v>
          </cell>
          <cell r="M384">
            <v>1288.9645390070923</v>
          </cell>
        </row>
        <row r="385">
          <cell r="E385">
            <v>39569</v>
          </cell>
          <cell r="M385">
            <v>1288.9645390070923</v>
          </cell>
        </row>
        <row r="386">
          <cell r="E386">
            <v>39600</v>
          </cell>
          <cell r="M386">
            <v>1288.9645390070923</v>
          </cell>
        </row>
        <row r="387">
          <cell r="E387">
            <v>39630</v>
          </cell>
          <cell r="M387">
            <v>1288.9645390070923</v>
          </cell>
        </row>
        <row r="388">
          <cell r="E388">
            <v>39661</v>
          </cell>
          <cell r="M388">
            <v>1288.9645390070923</v>
          </cell>
        </row>
        <row r="389">
          <cell r="E389">
            <v>39692</v>
          </cell>
          <cell r="M389">
            <v>1288.9645390070923</v>
          </cell>
        </row>
        <row r="390">
          <cell r="E390">
            <v>39722</v>
          </cell>
          <cell r="M390">
            <v>1288.9645390070923</v>
          </cell>
        </row>
        <row r="391">
          <cell r="E391">
            <v>39753</v>
          </cell>
          <cell r="M391">
            <v>1288.9645390070923</v>
          </cell>
        </row>
        <row r="392">
          <cell r="E392">
            <v>39783</v>
          </cell>
          <cell r="M392">
            <v>1288.9645390070923</v>
          </cell>
        </row>
        <row r="393">
          <cell r="M393">
            <v>0</v>
          </cell>
        </row>
        <row r="394">
          <cell r="M394">
            <v>0</v>
          </cell>
        </row>
        <row r="395">
          <cell r="M395">
            <v>0</v>
          </cell>
        </row>
        <row r="396">
          <cell r="M396">
            <v>0</v>
          </cell>
        </row>
        <row r="397">
          <cell r="M397">
            <v>0</v>
          </cell>
        </row>
        <row r="398">
          <cell r="E398">
            <v>39356</v>
          </cell>
          <cell r="M398">
            <v>1288.9645390070923</v>
          </cell>
        </row>
        <row r="399">
          <cell r="E399">
            <v>39387</v>
          </cell>
          <cell r="M399">
            <v>1288.9645390070923</v>
          </cell>
        </row>
        <row r="400">
          <cell r="E400">
            <v>39417</v>
          </cell>
          <cell r="M400">
            <v>1288.9645390070923</v>
          </cell>
        </row>
        <row r="401">
          <cell r="E401">
            <v>39448</v>
          </cell>
          <cell r="M401">
            <v>1288.9645390070923</v>
          </cell>
        </row>
        <row r="402">
          <cell r="E402">
            <v>39479</v>
          </cell>
          <cell r="M402">
            <v>1288.9645390070923</v>
          </cell>
        </row>
        <row r="403">
          <cell r="E403">
            <v>39508</v>
          </cell>
          <cell r="M403">
            <v>1288.9645390070923</v>
          </cell>
        </row>
        <row r="404">
          <cell r="E404">
            <v>39539</v>
          </cell>
          <cell r="M404">
            <v>1288.9645390070923</v>
          </cell>
        </row>
        <row r="405">
          <cell r="E405">
            <v>39569</v>
          </cell>
          <cell r="M405">
            <v>1288.9645390070923</v>
          </cell>
        </row>
        <row r="406">
          <cell r="E406">
            <v>39600</v>
          </cell>
          <cell r="M406">
            <v>1288.9645390070923</v>
          </cell>
        </row>
        <row r="407">
          <cell r="E407">
            <v>39630</v>
          </cell>
          <cell r="M407">
            <v>1288.9645390070923</v>
          </cell>
        </row>
        <row r="408">
          <cell r="E408">
            <v>39661</v>
          </cell>
          <cell r="M408">
            <v>1288.9645390070923</v>
          </cell>
        </row>
        <row r="409">
          <cell r="E409">
            <v>39692</v>
          </cell>
          <cell r="M409">
            <v>1288.9645390070923</v>
          </cell>
        </row>
        <row r="410">
          <cell r="E410">
            <v>39722</v>
          </cell>
          <cell r="M410">
            <v>1288.9645390070923</v>
          </cell>
        </row>
        <row r="411">
          <cell r="E411">
            <v>39753</v>
          </cell>
          <cell r="M411">
            <v>1288.9645390070923</v>
          </cell>
        </row>
        <row r="412">
          <cell r="E412">
            <v>39783</v>
          </cell>
          <cell r="M412">
            <v>1288.9645390070923</v>
          </cell>
        </row>
        <row r="413">
          <cell r="M413">
            <v>0</v>
          </cell>
        </row>
        <row r="414">
          <cell r="M414">
            <v>0</v>
          </cell>
        </row>
        <row r="415">
          <cell r="M415">
            <v>0</v>
          </cell>
        </row>
        <row r="416">
          <cell r="M416">
            <v>0</v>
          </cell>
        </row>
        <row r="417">
          <cell r="M417">
            <v>0</v>
          </cell>
        </row>
        <row r="418">
          <cell r="E418">
            <v>39356</v>
          </cell>
          <cell r="M418">
            <v>1288.9645390070923</v>
          </cell>
        </row>
        <row r="419">
          <cell r="E419">
            <v>39387</v>
          </cell>
          <cell r="M419">
            <v>1288.9645390070923</v>
          </cell>
        </row>
        <row r="420">
          <cell r="E420">
            <v>39417</v>
          </cell>
          <cell r="M420">
            <v>1288.9645390070923</v>
          </cell>
        </row>
        <row r="421">
          <cell r="E421">
            <v>39448</v>
          </cell>
          <cell r="M421">
            <v>1288.9645390070923</v>
          </cell>
        </row>
        <row r="422">
          <cell r="E422">
            <v>39479</v>
          </cell>
          <cell r="M422">
            <v>1288.9645390070923</v>
          </cell>
        </row>
        <row r="423">
          <cell r="E423">
            <v>39508</v>
          </cell>
          <cell r="M423">
            <v>1288.9645390070923</v>
          </cell>
        </row>
        <row r="424">
          <cell r="E424">
            <v>39539</v>
          </cell>
          <cell r="M424">
            <v>1288.9645390070923</v>
          </cell>
        </row>
        <row r="425">
          <cell r="E425">
            <v>39569</v>
          </cell>
          <cell r="M425">
            <v>1288.9645390070923</v>
          </cell>
        </row>
        <row r="426">
          <cell r="E426">
            <v>39600</v>
          </cell>
          <cell r="M426">
            <v>1288.9645390070923</v>
          </cell>
        </row>
        <row r="427">
          <cell r="E427">
            <v>39630</v>
          </cell>
          <cell r="M427">
            <v>1288.9645390070923</v>
          </cell>
        </row>
        <row r="428">
          <cell r="E428">
            <v>39661</v>
          </cell>
          <cell r="M428">
            <v>1288.9645390070923</v>
          </cell>
        </row>
        <row r="429">
          <cell r="E429">
            <v>39692</v>
          </cell>
          <cell r="M429">
            <v>1288.9645390070923</v>
          </cell>
        </row>
        <row r="430">
          <cell r="E430">
            <v>39722</v>
          </cell>
          <cell r="M430">
            <v>1288.9645390070923</v>
          </cell>
        </row>
        <row r="431">
          <cell r="E431">
            <v>39753</v>
          </cell>
          <cell r="M431">
            <v>1288.9645390070923</v>
          </cell>
        </row>
        <row r="432">
          <cell r="E432">
            <v>39783</v>
          </cell>
          <cell r="M432">
            <v>1288.9645390070923</v>
          </cell>
        </row>
        <row r="433">
          <cell r="M433">
            <v>0</v>
          </cell>
        </row>
        <row r="434">
          <cell r="M434">
            <v>0</v>
          </cell>
        </row>
        <row r="435">
          <cell r="M435">
            <v>0</v>
          </cell>
        </row>
        <row r="436">
          <cell r="M436">
            <v>0</v>
          </cell>
        </row>
        <row r="437">
          <cell r="M437">
            <v>0</v>
          </cell>
        </row>
        <row r="438">
          <cell r="E438">
            <v>39356</v>
          </cell>
          <cell r="M438">
            <v>0</v>
          </cell>
        </row>
        <row r="439">
          <cell r="E439">
            <v>39387</v>
          </cell>
          <cell r="M439">
            <v>0</v>
          </cell>
        </row>
        <row r="440">
          <cell r="E440">
            <v>39417</v>
          </cell>
          <cell r="M440">
            <v>0</v>
          </cell>
        </row>
        <row r="441">
          <cell r="E441">
            <v>39448</v>
          </cell>
          <cell r="M441">
            <v>0</v>
          </cell>
        </row>
        <row r="442">
          <cell r="E442">
            <v>39479</v>
          </cell>
          <cell r="M442">
            <v>0</v>
          </cell>
        </row>
        <row r="443">
          <cell r="E443">
            <v>39508</v>
          </cell>
          <cell r="M443">
            <v>0</v>
          </cell>
        </row>
        <row r="444">
          <cell r="E444">
            <v>39539</v>
          </cell>
          <cell r="M444">
            <v>0</v>
          </cell>
        </row>
        <row r="445">
          <cell r="E445">
            <v>39569</v>
          </cell>
          <cell r="M445">
            <v>0</v>
          </cell>
        </row>
        <row r="446">
          <cell r="E446">
            <v>39600</v>
          </cell>
          <cell r="M446">
            <v>0</v>
          </cell>
        </row>
        <row r="447">
          <cell r="E447">
            <v>39630</v>
          </cell>
          <cell r="M447">
            <v>0</v>
          </cell>
        </row>
        <row r="448">
          <cell r="E448">
            <v>39661</v>
          </cell>
          <cell r="M448">
            <v>0</v>
          </cell>
        </row>
        <row r="449">
          <cell r="E449">
            <v>39692</v>
          </cell>
          <cell r="M449">
            <v>0</v>
          </cell>
        </row>
        <row r="450">
          <cell r="E450">
            <v>39722</v>
          </cell>
          <cell r="M450">
            <v>0</v>
          </cell>
        </row>
        <row r="451">
          <cell r="E451">
            <v>39753</v>
          </cell>
          <cell r="M451">
            <v>0</v>
          </cell>
        </row>
        <row r="452">
          <cell r="E452">
            <v>39783</v>
          </cell>
          <cell r="M452">
            <v>0</v>
          </cell>
        </row>
        <row r="453">
          <cell r="M453">
            <v>0</v>
          </cell>
        </row>
        <row r="454">
          <cell r="M454">
            <v>0</v>
          </cell>
        </row>
        <row r="455">
          <cell r="M455">
            <v>0</v>
          </cell>
        </row>
        <row r="456">
          <cell r="M456">
            <v>0</v>
          </cell>
        </row>
        <row r="457">
          <cell r="M457">
            <v>0</v>
          </cell>
        </row>
        <row r="458">
          <cell r="E458">
            <v>39356</v>
          </cell>
          <cell r="M458">
            <v>0</v>
          </cell>
        </row>
        <row r="459">
          <cell r="E459">
            <v>39387</v>
          </cell>
          <cell r="M459">
            <v>0</v>
          </cell>
        </row>
        <row r="460">
          <cell r="E460">
            <v>39417</v>
          </cell>
          <cell r="M460">
            <v>0</v>
          </cell>
        </row>
        <row r="461">
          <cell r="E461">
            <v>39448</v>
          </cell>
          <cell r="M461">
            <v>0</v>
          </cell>
        </row>
        <row r="462">
          <cell r="E462">
            <v>39479</v>
          </cell>
          <cell r="M462">
            <v>0</v>
          </cell>
        </row>
        <row r="463">
          <cell r="E463">
            <v>39508</v>
          </cell>
          <cell r="M463">
            <v>0</v>
          </cell>
        </row>
        <row r="464">
          <cell r="E464">
            <v>39539</v>
          </cell>
          <cell r="M464">
            <v>0</v>
          </cell>
        </row>
        <row r="465">
          <cell r="E465">
            <v>39569</v>
          </cell>
          <cell r="M465">
            <v>0</v>
          </cell>
        </row>
        <row r="466">
          <cell r="E466">
            <v>39600</v>
          </cell>
          <cell r="M466">
            <v>0</v>
          </cell>
        </row>
        <row r="467">
          <cell r="E467">
            <v>39630</v>
          </cell>
          <cell r="M467">
            <v>0</v>
          </cell>
        </row>
        <row r="468">
          <cell r="E468">
            <v>39661</v>
          </cell>
          <cell r="M468">
            <v>0</v>
          </cell>
        </row>
        <row r="469">
          <cell r="E469">
            <v>39692</v>
          </cell>
          <cell r="M469">
            <v>0</v>
          </cell>
        </row>
        <row r="470">
          <cell r="M470">
            <v>0</v>
          </cell>
        </row>
        <row r="471">
          <cell r="M471">
            <v>0</v>
          </cell>
        </row>
        <row r="472">
          <cell r="M472">
            <v>0</v>
          </cell>
        </row>
        <row r="473">
          <cell r="M473">
            <v>0</v>
          </cell>
        </row>
        <row r="474">
          <cell r="M474">
            <v>0</v>
          </cell>
        </row>
        <row r="475">
          <cell r="M475">
            <v>0</v>
          </cell>
        </row>
        <row r="476">
          <cell r="M476">
            <v>0</v>
          </cell>
        </row>
        <row r="477">
          <cell r="M477">
            <v>0</v>
          </cell>
        </row>
        <row r="478">
          <cell r="E478">
            <v>39356</v>
          </cell>
          <cell r="M478">
            <v>0</v>
          </cell>
        </row>
        <row r="479">
          <cell r="E479">
            <v>39387</v>
          </cell>
          <cell r="M479">
            <v>0</v>
          </cell>
        </row>
        <row r="480">
          <cell r="E480">
            <v>39417</v>
          </cell>
          <cell r="M480">
            <v>0</v>
          </cell>
        </row>
        <row r="481">
          <cell r="E481">
            <v>39448</v>
          </cell>
          <cell r="M481">
            <v>0</v>
          </cell>
        </row>
        <row r="482">
          <cell r="E482">
            <v>39479</v>
          </cell>
          <cell r="M482">
            <v>0</v>
          </cell>
        </row>
        <row r="483">
          <cell r="E483">
            <v>39508</v>
          </cell>
          <cell r="M483">
            <v>0</v>
          </cell>
        </row>
        <row r="484">
          <cell r="E484">
            <v>39539</v>
          </cell>
          <cell r="M484">
            <v>0</v>
          </cell>
        </row>
        <row r="485">
          <cell r="E485">
            <v>39569</v>
          </cell>
          <cell r="M485">
            <v>0</v>
          </cell>
        </row>
        <row r="486">
          <cell r="E486">
            <v>39600</v>
          </cell>
          <cell r="M486">
            <v>0</v>
          </cell>
        </row>
        <row r="487">
          <cell r="E487">
            <v>39630</v>
          </cell>
          <cell r="M487">
            <v>0</v>
          </cell>
        </row>
        <row r="488">
          <cell r="E488">
            <v>39661</v>
          </cell>
          <cell r="M488">
            <v>0</v>
          </cell>
        </row>
        <row r="489">
          <cell r="E489">
            <v>39692</v>
          </cell>
          <cell r="M489">
            <v>0</v>
          </cell>
        </row>
        <row r="490">
          <cell r="M490">
            <v>0</v>
          </cell>
        </row>
        <row r="491">
          <cell r="M491">
            <v>0</v>
          </cell>
        </row>
        <row r="492">
          <cell r="M492">
            <v>0</v>
          </cell>
        </row>
        <row r="493">
          <cell r="M493">
            <v>0</v>
          </cell>
        </row>
        <row r="494">
          <cell r="M494">
            <v>0</v>
          </cell>
        </row>
        <row r="495">
          <cell r="M495">
            <v>0</v>
          </cell>
        </row>
        <row r="496">
          <cell r="M496">
            <v>0</v>
          </cell>
        </row>
        <row r="497">
          <cell r="M497">
            <v>0</v>
          </cell>
        </row>
        <row r="498">
          <cell r="E498">
            <v>39356</v>
          </cell>
          <cell r="M498">
            <v>0</v>
          </cell>
        </row>
        <row r="499">
          <cell r="E499">
            <v>39387</v>
          </cell>
          <cell r="M499">
            <v>0</v>
          </cell>
        </row>
        <row r="500">
          <cell r="E500">
            <v>39417</v>
          </cell>
          <cell r="M500">
            <v>0</v>
          </cell>
        </row>
        <row r="501">
          <cell r="E501">
            <v>39448</v>
          </cell>
          <cell r="M501">
            <v>0</v>
          </cell>
        </row>
        <row r="502">
          <cell r="E502">
            <v>39479</v>
          </cell>
          <cell r="M502">
            <v>0</v>
          </cell>
        </row>
        <row r="503">
          <cell r="E503">
            <v>39508</v>
          </cell>
          <cell r="M503">
            <v>0</v>
          </cell>
        </row>
        <row r="504">
          <cell r="E504">
            <v>39539</v>
          </cell>
          <cell r="M504">
            <v>0</v>
          </cell>
        </row>
        <row r="505">
          <cell r="E505">
            <v>39569</v>
          </cell>
          <cell r="M505">
            <v>0</v>
          </cell>
        </row>
        <row r="506">
          <cell r="E506">
            <v>39600</v>
          </cell>
          <cell r="M506">
            <v>0</v>
          </cell>
        </row>
        <row r="507">
          <cell r="E507">
            <v>39630</v>
          </cell>
          <cell r="M507">
            <v>0</v>
          </cell>
        </row>
        <row r="508">
          <cell r="E508">
            <v>39661</v>
          </cell>
          <cell r="M508">
            <v>0</v>
          </cell>
        </row>
        <row r="509">
          <cell r="E509">
            <v>39692</v>
          </cell>
          <cell r="M509">
            <v>0</v>
          </cell>
        </row>
        <row r="510">
          <cell r="M510">
            <v>0</v>
          </cell>
        </row>
        <row r="511">
          <cell r="M511">
            <v>0</v>
          </cell>
        </row>
        <row r="512">
          <cell r="M512">
            <v>0</v>
          </cell>
        </row>
        <row r="513">
          <cell r="M513">
            <v>0</v>
          </cell>
        </row>
        <row r="514">
          <cell r="M514">
            <v>0</v>
          </cell>
        </row>
        <row r="515">
          <cell r="M515">
            <v>0</v>
          </cell>
        </row>
        <row r="516">
          <cell r="M516">
            <v>0</v>
          </cell>
        </row>
        <row r="517">
          <cell r="M517">
            <v>0</v>
          </cell>
        </row>
        <row r="518">
          <cell r="E518">
            <v>39356</v>
          </cell>
          <cell r="M518">
            <v>0</v>
          </cell>
        </row>
        <row r="519">
          <cell r="E519">
            <v>39387</v>
          </cell>
          <cell r="M519">
            <v>0</v>
          </cell>
        </row>
        <row r="520">
          <cell r="E520">
            <v>39417</v>
          </cell>
          <cell r="M520">
            <v>0</v>
          </cell>
        </row>
        <row r="521">
          <cell r="E521">
            <v>39448</v>
          </cell>
          <cell r="M521">
            <v>0</v>
          </cell>
        </row>
        <row r="522">
          <cell r="E522">
            <v>39479</v>
          </cell>
          <cell r="M522">
            <v>0</v>
          </cell>
        </row>
        <row r="523">
          <cell r="E523">
            <v>39508</v>
          </cell>
          <cell r="M523">
            <v>0</v>
          </cell>
        </row>
        <row r="524">
          <cell r="E524">
            <v>39539</v>
          </cell>
          <cell r="M524">
            <v>0</v>
          </cell>
        </row>
        <row r="525">
          <cell r="E525">
            <v>39569</v>
          </cell>
          <cell r="M525">
            <v>0</v>
          </cell>
        </row>
        <row r="526">
          <cell r="E526">
            <v>39600</v>
          </cell>
          <cell r="M526">
            <v>0</v>
          </cell>
        </row>
        <row r="527">
          <cell r="E527">
            <v>39630</v>
          </cell>
          <cell r="M527">
            <v>0</v>
          </cell>
        </row>
        <row r="528">
          <cell r="E528">
            <v>39661</v>
          </cell>
          <cell r="M528">
            <v>0</v>
          </cell>
        </row>
        <row r="529">
          <cell r="E529">
            <v>39692</v>
          </cell>
          <cell r="M529">
            <v>0</v>
          </cell>
        </row>
        <row r="530">
          <cell r="M530">
            <v>0</v>
          </cell>
        </row>
        <row r="531">
          <cell r="M531">
            <v>0</v>
          </cell>
        </row>
        <row r="532">
          <cell r="M532">
            <v>0</v>
          </cell>
        </row>
        <row r="533">
          <cell r="M533">
            <v>0</v>
          </cell>
        </row>
        <row r="534">
          <cell r="M534">
            <v>0</v>
          </cell>
        </row>
        <row r="535">
          <cell r="M535">
            <v>0</v>
          </cell>
        </row>
        <row r="536">
          <cell r="M536">
            <v>0</v>
          </cell>
        </row>
        <row r="537">
          <cell r="M537">
            <v>0</v>
          </cell>
        </row>
        <row r="538">
          <cell r="E538">
            <v>39356</v>
          </cell>
          <cell r="M538">
            <v>0</v>
          </cell>
        </row>
        <row r="539">
          <cell r="E539">
            <v>39387</v>
          </cell>
          <cell r="M539">
            <v>0</v>
          </cell>
        </row>
        <row r="540">
          <cell r="E540">
            <v>39417</v>
          </cell>
          <cell r="M540">
            <v>0</v>
          </cell>
        </row>
        <row r="541">
          <cell r="E541">
            <v>39448</v>
          </cell>
          <cell r="M541">
            <v>0</v>
          </cell>
        </row>
        <row r="542">
          <cell r="E542">
            <v>39479</v>
          </cell>
          <cell r="M542">
            <v>0</v>
          </cell>
        </row>
        <row r="543">
          <cell r="E543">
            <v>39508</v>
          </cell>
          <cell r="M543">
            <v>0</v>
          </cell>
        </row>
        <row r="544">
          <cell r="E544">
            <v>39539</v>
          </cell>
          <cell r="M544">
            <v>0</v>
          </cell>
        </row>
        <row r="545">
          <cell r="E545">
            <v>39569</v>
          </cell>
          <cell r="M545">
            <v>0</v>
          </cell>
        </row>
        <row r="546">
          <cell r="E546">
            <v>39600</v>
          </cell>
          <cell r="M546">
            <v>0</v>
          </cell>
        </row>
        <row r="547">
          <cell r="E547">
            <v>39630</v>
          </cell>
          <cell r="M547">
            <v>0</v>
          </cell>
        </row>
        <row r="548">
          <cell r="E548">
            <v>39661</v>
          </cell>
          <cell r="M548">
            <v>0</v>
          </cell>
        </row>
        <row r="549">
          <cell r="E549">
            <v>39692</v>
          </cell>
          <cell r="M549">
            <v>0</v>
          </cell>
        </row>
        <row r="550">
          <cell r="M550">
            <v>0</v>
          </cell>
        </row>
        <row r="551">
          <cell r="M551">
            <v>0</v>
          </cell>
        </row>
        <row r="552">
          <cell r="M552">
            <v>0</v>
          </cell>
        </row>
        <row r="553">
          <cell r="M553">
            <v>0</v>
          </cell>
        </row>
        <row r="554">
          <cell r="M554">
            <v>0</v>
          </cell>
        </row>
        <row r="555">
          <cell r="M555">
            <v>0</v>
          </cell>
        </row>
        <row r="556">
          <cell r="M556">
            <v>0</v>
          </cell>
        </row>
        <row r="557">
          <cell r="M557">
            <v>0</v>
          </cell>
        </row>
        <row r="558">
          <cell r="E558">
            <v>39356</v>
          </cell>
          <cell r="M558">
            <v>0</v>
          </cell>
        </row>
        <row r="559">
          <cell r="E559">
            <v>39387</v>
          </cell>
          <cell r="M559">
            <v>0</v>
          </cell>
        </row>
        <row r="560">
          <cell r="E560">
            <v>39417</v>
          </cell>
          <cell r="M560">
            <v>0</v>
          </cell>
        </row>
        <row r="561">
          <cell r="E561">
            <v>39448</v>
          </cell>
          <cell r="M561">
            <v>0</v>
          </cell>
        </row>
        <row r="562">
          <cell r="E562">
            <v>39479</v>
          </cell>
          <cell r="M562">
            <v>0</v>
          </cell>
        </row>
        <row r="563">
          <cell r="E563">
            <v>39508</v>
          </cell>
          <cell r="M563">
            <v>0</v>
          </cell>
        </row>
        <row r="564">
          <cell r="E564">
            <v>39539</v>
          </cell>
          <cell r="M564">
            <v>0</v>
          </cell>
        </row>
        <row r="565">
          <cell r="E565">
            <v>39569</v>
          </cell>
          <cell r="M565">
            <v>0</v>
          </cell>
        </row>
        <row r="566">
          <cell r="E566">
            <v>39600</v>
          </cell>
          <cell r="M566">
            <v>0</v>
          </cell>
        </row>
        <row r="567">
          <cell r="E567">
            <v>39630</v>
          </cell>
          <cell r="M567">
            <v>0</v>
          </cell>
        </row>
        <row r="568">
          <cell r="E568">
            <v>39661</v>
          </cell>
          <cell r="M568">
            <v>0</v>
          </cell>
        </row>
        <row r="569">
          <cell r="E569">
            <v>39692</v>
          </cell>
          <cell r="M569">
            <v>0</v>
          </cell>
        </row>
        <row r="570">
          <cell r="M570">
            <v>0</v>
          </cell>
        </row>
        <row r="571">
          <cell r="M571">
            <v>0</v>
          </cell>
        </row>
        <row r="572">
          <cell r="M572">
            <v>0</v>
          </cell>
        </row>
        <row r="573">
          <cell r="M573">
            <v>0</v>
          </cell>
        </row>
        <row r="574">
          <cell r="M574">
            <v>0</v>
          </cell>
        </row>
        <row r="575">
          <cell r="M575">
            <v>0</v>
          </cell>
        </row>
        <row r="576">
          <cell r="M576">
            <v>0</v>
          </cell>
        </row>
        <row r="577">
          <cell r="M577">
            <v>0</v>
          </cell>
        </row>
        <row r="578">
          <cell r="E578">
            <v>39356</v>
          </cell>
          <cell r="M578">
            <v>0</v>
          </cell>
        </row>
        <row r="579">
          <cell r="E579">
            <v>39387</v>
          </cell>
          <cell r="M579">
            <v>0</v>
          </cell>
        </row>
        <row r="580">
          <cell r="E580">
            <v>39417</v>
          </cell>
          <cell r="M580">
            <v>0</v>
          </cell>
        </row>
        <row r="581">
          <cell r="E581">
            <v>39448</v>
          </cell>
          <cell r="M581">
            <v>0</v>
          </cell>
        </row>
        <row r="582">
          <cell r="E582">
            <v>39479</v>
          </cell>
          <cell r="M582">
            <v>0</v>
          </cell>
        </row>
        <row r="583">
          <cell r="E583">
            <v>39508</v>
          </cell>
          <cell r="M583">
            <v>0</v>
          </cell>
        </row>
        <row r="584">
          <cell r="E584">
            <v>39539</v>
          </cell>
          <cell r="M584">
            <v>0</v>
          </cell>
        </row>
        <row r="585">
          <cell r="E585">
            <v>39569</v>
          </cell>
          <cell r="M585">
            <v>0</v>
          </cell>
        </row>
        <row r="586">
          <cell r="E586">
            <v>39600</v>
          </cell>
          <cell r="M586">
            <v>0</v>
          </cell>
        </row>
        <row r="587">
          <cell r="E587">
            <v>39630</v>
          </cell>
          <cell r="M587">
            <v>0</v>
          </cell>
        </row>
        <row r="588">
          <cell r="E588">
            <v>39661</v>
          </cell>
          <cell r="M588">
            <v>0</v>
          </cell>
        </row>
        <row r="589">
          <cell r="E589">
            <v>39692</v>
          </cell>
          <cell r="M589">
            <v>0</v>
          </cell>
        </row>
        <row r="590">
          <cell r="M590">
            <v>0</v>
          </cell>
        </row>
        <row r="591">
          <cell r="M591">
            <v>0</v>
          </cell>
        </row>
        <row r="592">
          <cell r="M592">
            <v>0</v>
          </cell>
        </row>
        <row r="593">
          <cell r="M593">
            <v>0</v>
          </cell>
        </row>
        <row r="594">
          <cell r="M594">
            <v>0</v>
          </cell>
        </row>
        <row r="595">
          <cell r="M595">
            <v>0</v>
          </cell>
        </row>
        <row r="596">
          <cell r="M596">
            <v>0</v>
          </cell>
        </row>
        <row r="597">
          <cell r="M597">
            <v>0</v>
          </cell>
        </row>
        <row r="598">
          <cell r="E598">
            <v>39356</v>
          </cell>
          <cell r="M598">
            <v>0</v>
          </cell>
        </row>
        <row r="599">
          <cell r="E599">
            <v>39387</v>
          </cell>
          <cell r="M599">
            <v>0</v>
          </cell>
        </row>
        <row r="600">
          <cell r="E600">
            <v>39417</v>
          </cell>
          <cell r="M600">
            <v>0</v>
          </cell>
        </row>
        <row r="601">
          <cell r="E601">
            <v>39448</v>
          </cell>
          <cell r="M601">
            <v>0</v>
          </cell>
        </row>
        <row r="602">
          <cell r="E602">
            <v>39479</v>
          </cell>
          <cell r="M602">
            <v>0</v>
          </cell>
        </row>
        <row r="603">
          <cell r="E603">
            <v>39508</v>
          </cell>
          <cell r="M603">
            <v>0</v>
          </cell>
        </row>
        <row r="604">
          <cell r="E604">
            <v>39539</v>
          </cell>
          <cell r="M604">
            <v>0</v>
          </cell>
        </row>
        <row r="605">
          <cell r="E605">
            <v>39569</v>
          </cell>
          <cell r="M605">
            <v>0</v>
          </cell>
        </row>
        <row r="606">
          <cell r="E606">
            <v>39600</v>
          </cell>
          <cell r="M606">
            <v>0</v>
          </cell>
        </row>
        <row r="607">
          <cell r="E607">
            <v>39630</v>
          </cell>
          <cell r="M607">
            <v>0</v>
          </cell>
        </row>
        <row r="608">
          <cell r="E608">
            <v>39661</v>
          </cell>
          <cell r="M608">
            <v>0</v>
          </cell>
        </row>
        <row r="609">
          <cell r="E609">
            <v>39692</v>
          </cell>
          <cell r="M609">
            <v>0</v>
          </cell>
        </row>
        <row r="610">
          <cell r="M610">
            <v>0</v>
          </cell>
        </row>
        <row r="611">
          <cell r="M611">
            <v>0</v>
          </cell>
        </row>
        <row r="612">
          <cell r="M612">
            <v>0</v>
          </cell>
        </row>
        <row r="613">
          <cell r="M613">
            <v>0</v>
          </cell>
        </row>
        <row r="614">
          <cell r="M614">
            <v>0</v>
          </cell>
        </row>
        <row r="615">
          <cell r="M615">
            <v>0</v>
          </cell>
        </row>
        <row r="616">
          <cell r="M616">
            <v>0</v>
          </cell>
        </row>
        <row r="617">
          <cell r="M617">
            <v>0</v>
          </cell>
        </row>
        <row r="618">
          <cell r="E618">
            <v>39356</v>
          </cell>
          <cell r="M618">
            <v>0</v>
          </cell>
        </row>
        <row r="619">
          <cell r="E619">
            <v>39387</v>
          </cell>
          <cell r="M619">
            <v>0</v>
          </cell>
        </row>
        <row r="620">
          <cell r="E620">
            <v>39417</v>
          </cell>
          <cell r="M620">
            <v>0</v>
          </cell>
        </row>
        <row r="621">
          <cell r="E621">
            <v>39448</v>
          </cell>
          <cell r="M621">
            <v>0</v>
          </cell>
        </row>
        <row r="622">
          <cell r="E622">
            <v>39479</v>
          </cell>
          <cell r="M622">
            <v>0</v>
          </cell>
        </row>
        <row r="623">
          <cell r="E623">
            <v>39508</v>
          </cell>
          <cell r="M623">
            <v>0</v>
          </cell>
        </row>
        <row r="624">
          <cell r="E624">
            <v>39539</v>
          </cell>
          <cell r="M624">
            <v>0</v>
          </cell>
        </row>
        <row r="625">
          <cell r="E625">
            <v>39569</v>
          </cell>
          <cell r="M625">
            <v>0</v>
          </cell>
        </row>
        <row r="626">
          <cell r="E626">
            <v>39600</v>
          </cell>
          <cell r="M626">
            <v>0</v>
          </cell>
        </row>
        <row r="627">
          <cell r="E627">
            <v>39630</v>
          </cell>
          <cell r="M627">
            <v>0</v>
          </cell>
        </row>
        <row r="628">
          <cell r="E628">
            <v>39661</v>
          </cell>
          <cell r="M628">
            <v>0</v>
          </cell>
        </row>
        <row r="629">
          <cell r="E629">
            <v>39692</v>
          </cell>
          <cell r="M629">
            <v>0</v>
          </cell>
        </row>
        <row r="630">
          <cell r="M630">
            <v>0</v>
          </cell>
        </row>
        <row r="631">
          <cell r="M631">
            <v>0</v>
          </cell>
        </row>
        <row r="632">
          <cell r="M632">
            <v>0</v>
          </cell>
        </row>
        <row r="633">
          <cell r="M633">
            <v>0</v>
          </cell>
        </row>
        <row r="634">
          <cell r="M634">
            <v>0</v>
          </cell>
        </row>
        <row r="635">
          <cell r="M635">
            <v>0</v>
          </cell>
        </row>
        <row r="636">
          <cell r="M636">
            <v>0</v>
          </cell>
        </row>
        <row r="637">
          <cell r="M637">
            <v>0</v>
          </cell>
        </row>
        <row r="638">
          <cell r="E638">
            <v>39356</v>
          </cell>
          <cell r="M638">
            <v>0</v>
          </cell>
        </row>
        <row r="639">
          <cell r="E639">
            <v>39387</v>
          </cell>
          <cell r="M639">
            <v>0</v>
          </cell>
        </row>
        <row r="640">
          <cell r="E640">
            <v>39417</v>
          </cell>
          <cell r="M640">
            <v>0</v>
          </cell>
        </row>
        <row r="641">
          <cell r="E641">
            <v>39448</v>
          </cell>
          <cell r="M641">
            <v>0</v>
          </cell>
        </row>
        <row r="642">
          <cell r="E642">
            <v>39479</v>
          </cell>
          <cell r="M642">
            <v>0</v>
          </cell>
        </row>
        <row r="643">
          <cell r="E643">
            <v>39508</v>
          </cell>
          <cell r="M643">
            <v>0</v>
          </cell>
        </row>
        <row r="644">
          <cell r="E644">
            <v>39539</v>
          </cell>
          <cell r="M644">
            <v>0</v>
          </cell>
        </row>
        <row r="645">
          <cell r="E645">
            <v>39569</v>
          </cell>
          <cell r="M645">
            <v>0</v>
          </cell>
        </row>
        <row r="646">
          <cell r="E646">
            <v>39600</v>
          </cell>
          <cell r="M646">
            <v>0</v>
          </cell>
        </row>
        <row r="647">
          <cell r="E647">
            <v>39630</v>
          </cell>
          <cell r="M647">
            <v>0</v>
          </cell>
        </row>
        <row r="648">
          <cell r="E648">
            <v>39661</v>
          </cell>
          <cell r="M648">
            <v>0</v>
          </cell>
        </row>
        <row r="649">
          <cell r="E649">
            <v>39692</v>
          </cell>
          <cell r="M649">
            <v>0</v>
          </cell>
        </row>
        <row r="650">
          <cell r="M650">
            <v>0</v>
          </cell>
        </row>
        <row r="651">
          <cell r="M651">
            <v>0</v>
          </cell>
        </row>
        <row r="652">
          <cell r="M652">
            <v>0</v>
          </cell>
        </row>
        <row r="653">
          <cell r="M653">
            <v>0</v>
          </cell>
        </row>
        <row r="654">
          <cell r="M654">
            <v>0</v>
          </cell>
        </row>
        <row r="655">
          <cell r="M655">
            <v>0</v>
          </cell>
        </row>
        <row r="656">
          <cell r="M656">
            <v>0</v>
          </cell>
        </row>
        <row r="657">
          <cell r="M657">
            <v>0</v>
          </cell>
        </row>
        <row r="658">
          <cell r="E658">
            <v>39356</v>
          </cell>
          <cell r="M658">
            <v>0</v>
          </cell>
        </row>
        <row r="659">
          <cell r="E659">
            <v>39387</v>
          </cell>
          <cell r="M659">
            <v>0</v>
          </cell>
        </row>
        <row r="660">
          <cell r="E660">
            <v>39417</v>
          </cell>
          <cell r="M660">
            <v>0</v>
          </cell>
        </row>
        <row r="661">
          <cell r="E661">
            <v>39448</v>
          </cell>
          <cell r="M661">
            <v>0</v>
          </cell>
        </row>
        <row r="662">
          <cell r="E662">
            <v>39479</v>
          </cell>
          <cell r="M662">
            <v>0</v>
          </cell>
        </row>
        <row r="663">
          <cell r="E663">
            <v>39508</v>
          </cell>
          <cell r="M663">
            <v>0</v>
          </cell>
        </row>
        <row r="664">
          <cell r="E664">
            <v>39539</v>
          </cell>
          <cell r="M664">
            <v>0</v>
          </cell>
        </row>
        <row r="665">
          <cell r="E665">
            <v>39569</v>
          </cell>
          <cell r="M665">
            <v>0</v>
          </cell>
        </row>
        <row r="666">
          <cell r="E666">
            <v>39600</v>
          </cell>
          <cell r="M666">
            <v>0</v>
          </cell>
        </row>
        <row r="667">
          <cell r="E667">
            <v>39630</v>
          </cell>
          <cell r="M667">
            <v>0</v>
          </cell>
        </row>
        <row r="668">
          <cell r="E668">
            <v>39661</v>
          </cell>
          <cell r="M668">
            <v>0</v>
          </cell>
        </row>
        <row r="669">
          <cell r="E669">
            <v>39692</v>
          </cell>
          <cell r="M669">
            <v>0</v>
          </cell>
        </row>
        <row r="670">
          <cell r="M670">
            <v>0</v>
          </cell>
        </row>
        <row r="671">
          <cell r="M671">
            <v>0</v>
          </cell>
        </row>
        <row r="672">
          <cell r="M672">
            <v>0</v>
          </cell>
        </row>
        <row r="673">
          <cell r="M673">
            <v>0</v>
          </cell>
        </row>
        <row r="674">
          <cell r="M674">
            <v>0</v>
          </cell>
        </row>
        <row r="675">
          <cell r="M675">
            <v>0</v>
          </cell>
        </row>
        <row r="676">
          <cell r="M676">
            <v>0</v>
          </cell>
        </row>
        <row r="677">
          <cell r="M677">
            <v>0</v>
          </cell>
        </row>
        <row r="678">
          <cell r="E678">
            <v>39356</v>
          </cell>
          <cell r="M678">
            <v>0</v>
          </cell>
        </row>
        <row r="679">
          <cell r="E679">
            <v>39387</v>
          </cell>
          <cell r="M679">
            <v>0</v>
          </cell>
        </row>
        <row r="680">
          <cell r="E680">
            <v>39417</v>
          </cell>
          <cell r="M680">
            <v>0</v>
          </cell>
        </row>
        <row r="681">
          <cell r="E681">
            <v>39448</v>
          </cell>
          <cell r="M681">
            <v>0</v>
          </cell>
        </row>
        <row r="682">
          <cell r="E682">
            <v>39479</v>
          </cell>
          <cell r="M682">
            <v>0</v>
          </cell>
        </row>
        <row r="683">
          <cell r="E683">
            <v>39508</v>
          </cell>
          <cell r="M683">
            <v>0</v>
          </cell>
        </row>
        <row r="684">
          <cell r="E684">
            <v>39539</v>
          </cell>
          <cell r="M684">
            <v>0</v>
          </cell>
        </row>
        <row r="685">
          <cell r="E685">
            <v>39569</v>
          </cell>
          <cell r="M685">
            <v>0</v>
          </cell>
        </row>
        <row r="686">
          <cell r="E686">
            <v>39600</v>
          </cell>
          <cell r="M686">
            <v>0</v>
          </cell>
        </row>
        <row r="687">
          <cell r="E687">
            <v>39630</v>
          </cell>
          <cell r="M687">
            <v>0</v>
          </cell>
        </row>
        <row r="688">
          <cell r="E688">
            <v>39661</v>
          </cell>
          <cell r="M688">
            <v>0</v>
          </cell>
        </row>
        <row r="689">
          <cell r="E689">
            <v>39692</v>
          </cell>
          <cell r="M689">
            <v>0</v>
          </cell>
        </row>
        <row r="690">
          <cell r="M690">
            <v>0</v>
          </cell>
        </row>
        <row r="691">
          <cell r="M691">
            <v>0</v>
          </cell>
        </row>
        <row r="692">
          <cell r="M692">
            <v>0</v>
          </cell>
        </row>
        <row r="693">
          <cell r="M693">
            <v>0</v>
          </cell>
        </row>
        <row r="694">
          <cell r="M694">
            <v>0</v>
          </cell>
        </row>
        <row r="695">
          <cell r="M695">
            <v>0</v>
          </cell>
        </row>
        <row r="696">
          <cell r="M696">
            <v>0</v>
          </cell>
        </row>
        <row r="697">
          <cell r="M697">
            <v>0</v>
          </cell>
        </row>
        <row r="699">
          <cell r="M699">
            <v>0</v>
          </cell>
        </row>
        <row r="700">
          <cell r="M700">
            <v>234481.02127659495</v>
          </cell>
        </row>
        <row r="701">
          <cell r="E701" t="str">
            <v>Превышение суточных сверх норм, установленных законодательством</v>
          </cell>
        </row>
        <row r="707">
          <cell r="E707" t="str">
            <v>Всего с НДС (руб.)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7705296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7705296</v>
          </cell>
        </row>
      </sheetData>
      <sheetData sheetId="6"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32">
          <cell r="E32" t="str">
            <v>руб.</v>
          </cell>
        </row>
        <row r="33">
          <cell r="E33" t="str">
            <v>руб.</v>
          </cell>
        </row>
        <row r="35">
          <cell r="E35">
            <v>300</v>
          </cell>
        </row>
        <row r="37">
          <cell r="E37" t="str">
            <v>Период командировки (месяц)</v>
          </cell>
          <cell r="O37" t="str">
            <v>ВСЕГО командировочные (Евро)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0</v>
          </cell>
        </row>
        <row r="49">
          <cell r="O49">
            <v>0</v>
          </cell>
        </row>
        <row r="50">
          <cell r="O50">
            <v>0</v>
          </cell>
        </row>
        <row r="51">
          <cell r="O51">
            <v>0</v>
          </cell>
        </row>
        <row r="52">
          <cell r="O52">
            <v>0</v>
          </cell>
        </row>
        <row r="53">
          <cell r="E53" t="str">
            <v>Превышение суточных сверх норм, установленных законодательством</v>
          </cell>
        </row>
        <row r="57">
          <cell r="E57">
            <v>500</v>
          </cell>
        </row>
        <row r="59">
          <cell r="E59" t="str">
            <v>Период командировки (месяц)</v>
          </cell>
          <cell r="O59" t="str">
            <v>ВСЕГО командировочные (Евро)</v>
          </cell>
        </row>
        <row r="60">
          <cell r="O60">
            <v>0</v>
          </cell>
        </row>
        <row r="61">
          <cell r="O61">
            <v>0</v>
          </cell>
        </row>
        <row r="62">
          <cell r="O62">
            <v>0</v>
          </cell>
        </row>
        <row r="63">
          <cell r="E63" t="str">
            <v xml:space="preserve"> </v>
          </cell>
          <cell r="O63">
            <v>0</v>
          </cell>
        </row>
        <row r="64">
          <cell r="O64">
            <v>0</v>
          </cell>
        </row>
        <row r="65">
          <cell r="O65">
            <v>0</v>
          </cell>
        </row>
        <row r="66">
          <cell r="E66" t="str">
            <v xml:space="preserve"> </v>
          </cell>
          <cell r="O66">
            <v>0</v>
          </cell>
        </row>
        <row r="67">
          <cell r="O67">
            <v>0</v>
          </cell>
        </row>
        <row r="68">
          <cell r="O68">
            <v>0</v>
          </cell>
        </row>
        <row r="69">
          <cell r="O69">
            <v>0</v>
          </cell>
        </row>
        <row r="70">
          <cell r="E70" t="str">
            <v xml:space="preserve"> </v>
          </cell>
          <cell r="O70">
            <v>0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E75" t="str">
            <v>Превышение суточных сверх норм, установленных законодательством</v>
          </cell>
        </row>
        <row r="79">
          <cell r="E79">
            <v>700</v>
          </cell>
        </row>
        <row r="81">
          <cell r="E81" t="str">
            <v>Период командировки (месяц)</v>
          </cell>
          <cell r="O81" t="str">
            <v>ВСЕГО командировочные (Евро)</v>
          </cell>
        </row>
        <row r="82">
          <cell r="O82">
            <v>0</v>
          </cell>
        </row>
        <row r="83">
          <cell r="O83">
            <v>0</v>
          </cell>
        </row>
        <row r="84">
          <cell r="O84">
            <v>0</v>
          </cell>
        </row>
        <row r="85">
          <cell r="E85" t="str">
            <v xml:space="preserve"> </v>
          </cell>
          <cell r="O85">
            <v>0</v>
          </cell>
        </row>
        <row r="86">
          <cell r="O86">
            <v>0</v>
          </cell>
        </row>
        <row r="87">
          <cell r="O87">
            <v>0</v>
          </cell>
        </row>
        <row r="88">
          <cell r="E88" t="str">
            <v xml:space="preserve"> </v>
          </cell>
          <cell r="O88">
            <v>0</v>
          </cell>
        </row>
        <row r="89">
          <cell r="O89">
            <v>0</v>
          </cell>
        </row>
        <row r="90">
          <cell r="O90">
            <v>0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0</v>
          </cell>
        </row>
        <row r="95">
          <cell r="O95">
            <v>0</v>
          </cell>
        </row>
        <row r="96">
          <cell r="O96">
            <v>0</v>
          </cell>
        </row>
        <row r="97">
          <cell r="E97" t="str">
            <v>Превышение суточных сверх норм, установленных законодательством</v>
          </cell>
        </row>
        <row r="103">
          <cell r="E103" t="str">
            <v>Всего с НДС (руб.)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вод"/>
      <sheetName val="Смета"/>
      <sheetName val="Лист2"/>
      <sheetName val="СметаСводная снег"/>
      <sheetName val="93-110"/>
      <sheetName val="Лист опроса"/>
      <sheetName val="к.84-к.83"/>
      <sheetName val="Шкаф"/>
      <sheetName val="Коэфф1.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см8"/>
      <sheetName val="Данные для расчёта сметы"/>
      <sheetName val="Зап-3- СЦБ"/>
      <sheetName val="СМЕТА проект"/>
      <sheetName val="ТИТУЛ"/>
      <sheetName val="6.14"/>
      <sheetName val="ОБЩЕСТВА"/>
      <sheetName val="6.3.1"/>
      <sheetName val="6.20"/>
      <sheetName val="6.4.1"/>
      <sheetName val="ПРОГНОЗ_1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топо"/>
      <sheetName val="6.14_КР"/>
      <sheetName val="Прилож"/>
      <sheetName val="ПДР"/>
      <sheetName val="DATA"/>
      <sheetName val="вариант"/>
      <sheetName val="Обновление"/>
      <sheetName val="Цена"/>
      <sheetName val="Product"/>
      <sheetName val="Summary"/>
      <sheetName val="Пример расчета"/>
      <sheetName val="свод 2"/>
      <sheetName val="Табл38-7"/>
      <sheetName val="все"/>
      <sheetName val="информация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График"/>
      <sheetName val="2002(v2)"/>
      <sheetName val="справ."/>
      <sheetName val="справ_"/>
      <sheetName val="2002_v2_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С"/>
      <sheetName val="Смета 1"/>
      <sheetName val="РП"/>
      <sheetName val="данные"/>
      <sheetName val="Баланс"/>
      <sheetName val="Production and Spend"/>
      <sheetName val="sapactivexlhiddensheet"/>
      <sheetName val="OCK1"/>
      <sheetName val="1.3"/>
      <sheetName val="ИГ1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шаблон"/>
      <sheetName val="1"/>
      <sheetName val="Пояснение 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исходные данные"/>
      <sheetName val="расчетные таблицы"/>
      <sheetName val="5ОборРабМест(HP)"/>
      <sheetName val="СметаСводная Колпино"/>
      <sheetName val="HP и оргтехника"/>
      <sheetName val="оборудован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Вспомогательный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8"/>
      <sheetName val="исх-данные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еолог"/>
      <sheetName val="Лист2"/>
      <sheetName val="Лист3"/>
      <sheetName val="геолог м"/>
    </sheetNames>
    <sheetDataSet>
      <sheetData sheetId="0" refreshError="1"/>
      <sheetData sheetId="1">
        <row r="81">
          <cell r="L81">
            <v>11150.96551828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</sheet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к"/>
    </sheetNames>
    <sheetDataSet>
      <sheetData sheetId="0" refreshError="1"/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к"/>
    </sheetNames>
    <sheetDataSet>
      <sheetData sheetId="0" refreshError="1"/>
      <sheetData sheetId="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</sheet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к 2006"/>
      <sheetName val="Амур ДОН"/>
      <sheetName val="ВСТО РП  км 570 - км 1088"/>
      <sheetName val="ВСТО ВЛ вдол  км 570 - км 1088 "/>
      <sheetName val="Сопутствующие сооружения"/>
      <sheetName val="Причалы"/>
      <sheetName val="ВСТО ОИ км 570 - км 1088 "/>
      <sheetName val="ВСТО 500км - 160 рек"/>
      <sheetName val="14 рек ОИ"/>
      <sheetName val="14 рек ТЭО"/>
      <sheetName val="14рек РД"/>
      <sheetName val="Амур ОИ (2 вар.)"/>
      <sheetName val="Амур ТЭО"/>
      <sheetName val="Амур РП"/>
      <sheetName val="Д2-246 (2)"/>
      <sheetName val="Д1-252  (2)"/>
      <sheetName val="Д 1 -253 (2)"/>
      <sheetName val="Д 2 -253 (2)"/>
      <sheetName val="Д 2-285 (2)"/>
      <sheetName val="Д 2-497 (2)"/>
      <sheetName val="Д 2-499 (2)"/>
      <sheetName val="Д 1-565 (3)"/>
      <sheetName val="Д 1-565 (4)"/>
      <sheetName val="Дон Др.1"/>
      <sheetName val="Перевозная исп"/>
      <sheetName val="Перевозная2"/>
      <sheetName val="ВЛ Филино"/>
      <sheetName val="ВСТО 2700-2850"/>
      <sheetName val="Иркутская"/>
      <sheetName val="Бурятия"/>
      <sheetName val="Чита"/>
      <sheetName val="Хабаровский"/>
      <sheetName val="Приморский"/>
      <sheetName val="Перевозная"/>
      <sheetName val="Эстакада"/>
      <sheetName val="Овраг"/>
      <sheetName val="ВСТОисп"/>
      <sheetName val="От п.ст. 119"/>
      <sheetName val="Пл.рег.давл."/>
      <sheetName val="от НПС Коломна"/>
      <sheetName val="От фидера Индустрия"/>
      <sheetName val="НПС1 с Печ"/>
      <sheetName val="Кожва-НПС1"/>
      <sheetName val="ПС 220-100"/>
      <sheetName val="ВЛ Ухта-НПС2"/>
      <sheetName val="ВЛ Стэц-НПС2 (2)"/>
      <sheetName val="ВЛ 110 -ПС Ухта"/>
      <sheetName val="ПС 100 при НПС 2"/>
      <sheetName val="Климат"/>
      <sheetName val="Климат-Волга"/>
      <sheetName val="Кудьма"/>
      <sheetName val="Волга"/>
      <sheetName val="ВЛ 155-157ис.г"/>
      <sheetName val="ОтНПС Коломна Сев.Кол.Исп.гид"/>
      <sheetName val="Дружба овраги"/>
      <sheetName val="Д2 -134"/>
      <sheetName val="Д2-246"/>
      <sheetName val="Д1-252 "/>
      <sheetName val="Д 1 -253"/>
      <sheetName val="Д 2 -253"/>
      <sheetName val="Д 2-285"/>
      <sheetName val="Д 2-497"/>
      <sheetName val="Д 2-499"/>
      <sheetName val="Д 1-565"/>
      <sheetName val="Сестрорецкая"/>
      <sheetName val="ДОН Печора"/>
      <sheetName val="ТЭО Печора"/>
      <sheetName val="ОИ Печора "/>
      <sheetName val="ОИ Хар-Инд"/>
      <sheetName val="ТЭО Хар-Инд "/>
      <sheetName val="ОИ Печора  (2)"/>
      <sheetName val="ОИ Хар-Инд (2)"/>
      <sheetName val="ТЭО Хар-Инд  (2)"/>
      <sheetName val="ТОН-2"/>
      <sheetName val="Курган-кольца"/>
      <sheetName val="Реки Брянск(пртр)"/>
      <sheetName val="Сур-Ал(РД)"/>
      <sheetName val="Сур-Ал(ТЭО)"/>
      <sheetName val="Сур-Ал(ОИ)"/>
      <sheetName val="Сур-Ал(ДОН)"/>
      <sheetName val="Мал. водоток-Урал"/>
      <sheetName val="Урал"/>
      <sheetName val="Теребутинец-2"/>
      <sheetName val="Теребутинец-1"/>
      <sheetName val="Левочка-2"/>
      <sheetName val="Левочка-1"/>
      <sheetName val="Китай РД "/>
      <sheetName val="Амур РД"/>
      <sheetName val="ВСТО-Казьмино"/>
      <sheetName val="ВОЛС-Лен"/>
      <sheetName val="ВОЛС-Тв"/>
      <sheetName val="Дичня"/>
      <sheetName val="Бор-Подб"/>
      <sheetName val="Пест-Бык"/>
      <sheetName val="Юб-Пест"/>
      <sheetName val="Кириши-ГРЭС-19"/>
      <sheetName val="2436"/>
      <sheetName val="Самара"/>
      <sheetName val="Волга241"/>
      <sheetName val="Волга2093"/>
      <sheetName val="Вала"/>
      <sheetName val="Сок"/>
      <sheetName val="Вятка"/>
      <sheetName val="Св.Нос"/>
      <sheetName val="Мурманск(М)"/>
      <sheetName val="Southvar"/>
      <sheetName val="Pechёra"/>
      <sheetName val="Obь"/>
      <sheetName val="SevDv"/>
      <sheetName val="KemOz"/>
      <sheetName val="Ozero"/>
      <sheetName val="Меша"/>
      <sheetName val="Пахра"/>
      <sheetName val="Kanzal"/>
      <sheetName val="Vыmь"/>
      <sheetName val="Pinega"/>
      <sheetName val="Onega"/>
      <sheetName val="Belkanal"/>
      <sheetName val="Vesliana"/>
      <sheetName val="Kemь"/>
      <sheetName val="Est-Niva"/>
      <sheetName val="Ichma"/>
      <sheetName val="Uhta"/>
      <sheetName val="ВОЛС-Яр"/>
      <sheetName val="Смета (3)"/>
      <sheetName val="ВОЛС-Нов"/>
      <sheetName val="791-797 БТ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вод"/>
      <sheetName val="Смета"/>
      <sheetName val="Лист2"/>
      <sheetName val="СметаСводная снег"/>
      <sheetName val="93-110"/>
      <sheetName val="Лист опроса"/>
      <sheetName val="к.84-к.83"/>
      <sheetName val="Шкаф"/>
      <sheetName val="Коэфф1.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см8"/>
      <sheetName val="Данные для расчёта сметы"/>
      <sheetName val="Зап-3- СЦБ"/>
      <sheetName val="СМЕТА проект"/>
      <sheetName val="ТИТУЛ"/>
      <sheetName val="6.14"/>
      <sheetName val="ОБЩЕСТВА"/>
      <sheetName val="6.3.1"/>
      <sheetName val="6.20"/>
      <sheetName val="6.4.1"/>
      <sheetName val="ПРОГНОЗ_1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топо"/>
      <sheetName val="6.14_КР"/>
      <sheetName val="Прилож"/>
      <sheetName val="ПДР"/>
      <sheetName val="DATA"/>
      <sheetName val="вариант"/>
      <sheetName val="Обновление"/>
      <sheetName val="Цена"/>
      <sheetName val="Product"/>
      <sheetName val="Summary"/>
      <sheetName val="Пример расчета"/>
      <sheetName val="свод 2"/>
      <sheetName val="Табл38-7"/>
      <sheetName val="все"/>
      <sheetName val="информация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График"/>
      <sheetName val="2002(v2)"/>
      <sheetName val="справ."/>
      <sheetName val="справ_"/>
      <sheetName val="2002_v2_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С"/>
      <sheetName val="Смета 1"/>
      <sheetName val="РП"/>
      <sheetName val="данные"/>
      <sheetName val="Баланс"/>
      <sheetName val="Production and Spend"/>
      <sheetName val="sapactivexlhiddensheet"/>
      <sheetName val="OCK1"/>
      <sheetName val="1.3"/>
      <sheetName val="ИГ1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шаблон"/>
      <sheetName val="1"/>
      <sheetName val="Пояснение 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исходные данные"/>
      <sheetName val="расчетные таблицы"/>
      <sheetName val="5ОборРабМест(HP)"/>
      <sheetName val="СметаСводная Колпино"/>
      <sheetName val="HP и оргтехника"/>
      <sheetName val="оборудован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Вспомогательный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8"/>
      <sheetName val="исх-данные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к 2006"/>
      <sheetName val="Амур ДОН"/>
      <sheetName val="ВСТО РП  км 570 - км 1088"/>
      <sheetName val="ВСТО ВЛ вдол  км 570 - км 1088 "/>
      <sheetName val="Сопутствующие сооружения"/>
      <sheetName val="Причалы"/>
      <sheetName val="ВСТО ОИ км 570 - км 1088 "/>
      <sheetName val="ВСТО 500км - 160 рек"/>
      <sheetName val="14 рек ОИ"/>
      <sheetName val="14 рек ТЭО"/>
      <sheetName val="14рек РД"/>
      <sheetName val="Амур ОИ (2 вар.)"/>
      <sheetName val="Амур ТЭО"/>
      <sheetName val="Амур РП"/>
      <sheetName val="Д2-246 (2)"/>
      <sheetName val="Д1-252  (2)"/>
      <sheetName val="Д 1 -253 (2)"/>
      <sheetName val="Д 2 -253 (2)"/>
      <sheetName val="Д 2-285 (2)"/>
      <sheetName val="Д 2-497 (2)"/>
      <sheetName val="Д 2-499 (2)"/>
      <sheetName val="Д 1-565 (3)"/>
      <sheetName val="Д 1-565 (4)"/>
      <sheetName val="Дон Др.1"/>
      <sheetName val="Перевозная исп"/>
      <sheetName val="Перевозная2"/>
      <sheetName val="ВЛ Филино"/>
      <sheetName val="ВСТО 2700-2850"/>
      <sheetName val="Иркутская"/>
      <sheetName val="Бурятия"/>
      <sheetName val="Чита"/>
      <sheetName val="Хабаровский"/>
      <sheetName val="Приморский"/>
      <sheetName val="Перевозная"/>
      <sheetName val="Эстакада"/>
      <sheetName val="Овраг"/>
      <sheetName val="ВСТОисп"/>
      <sheetName val="От п.ст. 119"/>
      <sheetName val="Пл.рег.давл."/>
      <sheetName val="от НПС Коломна"/>
      <sheetName val="От фидера Индустрия"/>
      <sheetName val="НПС1 с Печ"/>
      <sheetName val="Кожва-НПС1"/>
      <sheetName val="ПС 220-100"/>
      <sheetName val="ВЛ Ухта-НПС2"/>
      <sheetName val="ВЛ Стэц-НПС2 (2)"/>
      <sheetName val="ВЛ 110 -ПС Ухта"/>
      <sheetName val="ПС 100 при НПС 2"/>
      <sheetName val="Климат"/>
      <sheetName val="Климат-Волга"/>
      <sheetName val="Кудьма"/>
      <sheetName val="Волга"/>
      <sheetName val="ВЛ 155-157ис.г"/>
      <sheetName val="ОтНПС Коломна Сев.Кол.Исп.гид"/>
      <sheetName val="Дружба овраги"/>
      <sheetName val="Д2 -134"/>
      <sheetName val="Д2-246"/>
      <sheetName val="Д1-252 "/>
      <sheetName val="Д 1 -253"/>
      <sheetName val="Д 2 -253"/>
      <sheetName val="Д 2-285"/>
      <sheetName val="Д 2-497"/>
      <sheetName val="Д 2-499"/>
      <sheetName val="Д 1-565"/>
      <sheetName val="Сестрорецкая"/>
      <sheetName val="ДОН Печора"/>
      <sheetName val="ТЭО Печора"/>
      <sheetName val="ОИ Печора "/>
      <sheetName val="ОИ Хар-Инд"/>
      <sheetName val="ТЭО Хар-Инд "/>
      <sheetName val="ОИ Печора  (2)"/>
      <sheetName val="ОИ Хар-Инд (2)"/>
      <sheetName val="ТЭО Хар-Инд  (2)"/>
      <sheetName val="ТОН-2"/>
      <sheetName val="Курган-кольца"/>
      <sheetName val="Реки Брянск(пртр)"/>
      <sheetName val="Сур-Ал(РД)"/>
      <sheetName val="Сур-Ал(ТЭО)"/>
      <sheetName val="Сур-Ал(ОИ)"/>
      <sheetName val="Сур-Ал(ДОН)"/>
      <sheetName val="Мал. водоток-Урал"/>
      <sheetName val="Урал"/>
      <sheetName val="Теребутинец-2"/>
      <sheetName val="Теребутинец-1"/>
      <sheetName val="Левочка-2"/>
      <sheetName val="Левочка-1"/>
      <sheetName val="Китай РД "/>
      <sheetName val="Амур РД"/>
      <sheetName val="ВСТО-Казьмино"/>
      <sheetName val="ВОЛС-Лен"/>
      <sheetName val="ВОЛС-Тв"/>
      <sheetName val="Дичня"/>
      <sheetName val="Бор-Подб"/>
      <sheetName val="Пест-Бык"/>
      <sheetName val="Юб-Пест"/>
      <sheetName val="Кириши-ГРЭС-19"/>
      <sheetName val="2436"/>
      <sheetName val="Самара"/>
      <sheetName val="Волга241"/>
      <sheetName val="Волга2093"/>
      <sheetName val="Вала"/>
      <sheetName val="Сок"/>
      <sheetName val="Вятка"/>
      <sheetName val="Св.Нос"/>
      <sheetName val="Мурманск(М)"/>
      <sheetName val="Southvar"/>
      <sheetName val="Pechёra"/>
      <sheetName val="Obь"/>
      <sheetName val="SevDv"/>
      <sheetName val="KemOz"/>
      <sheetName val="Ozero"/>
      <sheetName val="Меша"/>
      <sheetName val="Пахра"/>
      <sheetName val="Kanzal"/>
      <sheetName val="Vыmь"/>
      <sheetName val="Pinega"/>
      <sheetName val="Onega"/>
      <sheetName val="Belkanal"/>
      <sheetName val="Vesliana"/>
      <sheetName val="Kemь"/>
      <sheetName val="Est-Niva"/>
      <sheetName val="Ichma"/>
      <sheetName val="Uhta"/>
      <sheetName val="ВОЛС-Яр"/>
      <sheetName val="Смета (3)"/>
      <sheetName val="ВОЛС-Нов"/>
      <sheetName val="791-797 БТ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ПДР"/>
      <sheetName val="РасчетКомандир1"/>
      <sheetName val="РасчетКомандир2"/>
      <sheetName val="Смета"/>
      <sheetName val="свод 2"/>
      <sheetName val="свод 3"/>
      <sheetName val="топо"/>
      <sheetName val="Зап-3- СЦБ"/>
      <sheetName val="Данные для расчёта сметы"/>
      <sheetName val="эл_химз_"/>
      <sheetName val="геология_"/>
      <sheetName val="Лист1"/>
      <sheetName val="Обновление"/>
      <sheetName val="Цена"/>
      <sheetName val="Product"/>
      <sheetName val="ТИТУЛ"/>
      <sheetName val="6.14"/>
      <sheetName val="ОБЩЕСТВА"/>
      <sheetName val="6.3.1"/>
      <sheetName val="6.20"/>
      <sheetName val="6.4.1"/>
      <sheetName val="ПРОГНОЗ_1"/>
      <sheetName val="6_11_1  сторонние"/>
      <sheetName val="установки"/>
      <sheetName val="8.14 КР (списание)ОПСТИКР"/>
      <sheetName val="Стр1"/>
      <sheetName val="Список"/>
      <sheetName val="6_14"/>
      <sheetName val="6_3_1"/>
      <sheetName val="6_20"/>
      <sheetName val="6_4_1"/>
      <sheetName val="6_11_1__сторонние"/>
      <sheetName val="8_14_КР_(списание)ОПСТИКР"/>
      <sheetName val="Справочные данные"/>
      <sheetName val="Шкаф"/>
      <sheetName val="Коэфф1."/>
      <sheetName val="Прайс лист"/>
      <sheetName val="Амур ДОН"/>
      <sheetName val="кп ГК"/>
      <sheetName val="Б.Сатка"/>
      <sheetName val="Исполнение по оборуд_"/>
      <sheetName val="Calc"/>
      <sheetName val="total"/>
      <sheetName val="Комплектация"/>
      <sheetName val="трубы"/>
      <sheetName val="СМР"/>
      <sheetName val="дороги"/>
      <sheetName val="ИД"/>
      <sheetName val="исходные данные"/>
      <sheetName val="расчетные таблицы"/>
      <sheetName val="УП _2004"/>
      <sheetName val="См3 СЦБ-зап"/>
      <sheetName val="СметаСводная Рыб"/>
      <sheetName val="Справка"/>
      <sheetName val="свод_2"/>
      <sheetName val="свод_3"/>
      <sheetName val="Зап-3-_СЦБ"/>
      <sheetName val="Данные_для_расчёта_сметы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1"/>
      <sheetName val="259-290"/>
      <sheetName val="р.Волхов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93-110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Б.Сатка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топография"/>
      <sheetName val="топо"/>
      <sheetName val="Обновление"/>
      <sheetName val="Цена"/>
      <sheetName val="Product"/>
      <sheetName val="Шкаф"/>
      <sheetName val="Коэфф1."/>
      <sheetName val="Прайс лист"/>
      <sheetName val="Упр"/>
      <sheetName val="ц_1991"/>
      <sheetName val="информация"/>
      <sheetName val="РС"/>
      <sheetName val="шаблон"/>
      <sheetName val="Journals"/>
      <sheetName val="Данные для расчёта сметы"/>
      <sheetName val="свод 3"/>
      <sheetName val="Восстановл_Лист13"/>
      <sheetName val="Восстановл_Лист15"/>
      <sheetName val="Восстановл_Лист19"/>
      <sheetName val="Восстановл_Лист7"/>
      <sheetName val="Восстановл_Лист5"/>
      <sheetName val="Восстановл_Лист44"/>
      <sheetName val="Восстановл_Лист29"/>
      <sheetName val="Восстановл_Лист6"/>
      <sheetName val="Восстановл_Лист2"/>
      <sheetName val="Восстановл_Лист4"/>
      <sheetName val="Восстановл_Лист8"/>
      <sheetName val="Восстановл_Лист45"/>
      <sheetName val="Восстановл_Лист27"/>
      <sheetName val="Восстановл_Лист9"/>
      <sheetName val="Восстановл_Лист10"/>
      <sheetName val="Восстановл_Лист46"/>
      <sheetName val="Восстановл_Лист28"/>
      <sheetName val="Восстановл_Лист11"/>
      <sheetName val="Восстановл_Лист12"/>
      <sheetName val="Восстановл_Лист47"/>
      <sheetName val="Восстановл_Лист14"/>
      <sheetName val="Восстановл_Лист1"/>
      <sheetName val="Восстановл_Лист18"/>
      <sheetName val="Восстановл_Лист21"/>
      <sheetName val="Восстановл_Лист20"/>
      <sheetName val="Восстановл_Лист49"/>
      <sheetName val="Восстановл_Лист25"/>
      <sheetName val="ПДР"/>
      <sheetName val="Norm"/>
      <sheetName val="все"/>
      <sheetName val="ГПК"/>
      <sheetName val="ДКС"/>
      <sheetName val="Етыпур"/>
      <sheetName val="Западн"/>
      <sheetName val="НГКХ"/>
      <sheetName val="ПСП "/>
      <sheetName val="Тобольск"/>
      <sheetName val="УПН"/>
      <sheetName val="Спр_общий"/>
      <sheetName val="Пример расчета"/>
      <sheetName val="свод 2"/>
      <sheetName val="Курсы"/>
      <sheetName val="ВКЕ"/>
      <sheetName val="СМЕТА проект"/>
      <sheetName val="РП"/>
      <sheetName val="Сводная смета"/>
      <sheetName val="list"/>
      <sheetName val="Разработка проекта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Данные_для_расчёта_сметы"/>
      <sheetName val="свод_3"/>
      <sheetName val="ПСП_"/>
      <sheetName val="Пример_расчета"/>
      <sheetName val="свод_2"/>
      <sheetName val="СМЕТА_проект"/>
      <sheetName val="Сводная_смета"/>
      <sheetName val="Разработка_проекта"/>
      <sheetName val="Main"/>
      <sheetName val="СметаСводная"/>
      <sheetName val="См 1 наруж.водопровод"/>
      <sheetName val="Кл-р SysTel"/>
      <sheetName val="СПРПФ"/>
      <sheetName val="sapactivexlhiddensheet"/>
      <sheetName val="КП Прим (3)"/>
      <sheetName val="1.3"/>
      <sheetName val="Калькуляция_2012"/>
      <sheetName val="СметаСводная Рыб"/>
      <sheetName val="1.2.1-Проект"/>
      <sheetName val="Итог"/>
      <sheetName val="см8"/>
      <sheetName val="свод"/>
      <sheetName val="4"/>
      <sheetName val="Землеотвод"/>
      <sheetName val="КП к снег Рыбинская"/>
      <sheetName val="Лист опроса"/>
      <sheetName val="к.84-к.83"/>
      <sheetName val="Summary"/>
      <sheetName val="HP и оргтехника"/>
      <sheetName val="5ОборРабМест(HP)"/>
      <sheetName val="Зап-3- СЦБ"/>
      <sheetName val="ИГ1"/>
      <sheetName val="свод1"/>
      <sheetName val="#ССЫЛКА"/>
      <sheetName val="СметаСводная Колпино"/>
      <sheetName val="СметаСводная павильон"/>
      <sheetName val="сводная"/>
      <sheetName val="OCK1"/>
      <sheetName val="СМ"/>
      <sheetName val="Раб"/>
      <sheetName val="Ap"/>
      <sheetName val="Раб1"/>
      <sheetName val="Штамп"/>
      <sheetName val="Ан"/>
      <sheetName val="Титул"/>
      <sheetName val="СмДок"/>
      <sheetName val="СостРабПр"/>
      <sheetName val="Огл"/>
      <sheetName val="ПЗ"/>
      <sheetName val="ИсхДан"/>
      <sheetName val="С0"/>
      <sheetName val="Л09-02"/>
      <sheetName val="Л09-03"/>
      <sheetName val="16"/>
      <sheetName val="17"/>
      <sheetName val="18"/>
      <sheetName val="SS(4)"/>
      <sheetName val="SS(5)"/>
      <sheetName val="SS(6)"/>
      <sheetName val="SSS"/>
      <sheetName val="SS(7)"/>
      <sheetName val="SS(8)"/>
      <sheetName val="SS(9)"/>
      <sheetName val="SS(10)"/>
      <sheetName val="SS(11)"/>
      <sheetName val="SS(12)"/>
      <sheetName val="SS(13)"/>
      <sheetName val="SS(14)"/>
      <sheetName val="SS(15)"/>
      <sheetName val="SS(16)"/>
      <sheetName val="SS(17)"/>
      <sheetName val="SS(18)"/>
      <sheetName val="SS(19)"/>
      <sheetName val="SS(20)"/>
      <sheetName val="SS(21)"/>
      <sheetName val="SS(22)"/>
      <sheetName val="SS(23)"/>
      <sheetName val="SS(24)"/>
      <sheetName val="SS(25)"/>
      <sheetName val="SS(26)"/>
      <sheetName val="SS(27)"/>
      <sheetName val="SS(28)"/>
      <sheetName val="SS(29)"/>
      <sheetName val="SS(30)"/>
      <sheetName val="SS(31)"/>
      <sheetName val="SS(32)"/>
      <sheetName val="SS(33)"/>
      <sheetName val="SS(34)"/>
      <sheetName val="SS(35)"/>
      <sheetName val="SS(36)"/>
      <sheetName val="SS(37)"/>
      <sheetName val="SS(38)"/>
      <sheetName val="SS(39)"/>
      <sheetName val="SS(40)"/>
      <sheetName val="SS(41)"/>
      <sheetName val="SS(42)"/>
      <sheetName val="SS(43)"/>
      <sheetName val="SS(44)"/>
      <sheetName val="SS(45)"/>
      <sheetName val="SS(46)"/>
      <sheetName val="SS(47)"/>
      <sheetName val="SS(48)"/>
      <sheetName val="SS(49)"/>
      <sheetName val="SS(50)"/>
      <sheetName val="SS(51)"/>
      <sheetName val="SS(52)"/>
      <sheetName val="SS(53)"/>
      <sheetName val="SS(54)"/>
      <sheetName val="SS(55)"/>
      <sheetName val="SS(56)"/>
      <sheetName val="SS(57)"/>
      <sheetName val="SS(58)"/>
      <sheetName val="SS(59)"/>
      <sheetName val="SS(60)"/>
      <sheetName val="SS(61)"/>
      <sheetName val="SS(62)"/>
      <sheetName val="SS(63)"/>
      <sheetName val="SS(64)"/>
      <sheetName val="SS(65)"/>
      <sheetName val="SS(66)"/>
      <sheetName val="SS(67)"/>
      <sheetName val="SS(68)"/>
      <sheetName val="SS(69)"/>
      <sheetName val="SS(70)"/>
      <sheetName val="SS(71)"/>
      <sheetName val="SS(72)"/>
      <sheetName val="SS(73)"/>
      <sheetName val="SS(74)"/>
      <sheetName val="SS(75)"/>
      <sheetName val="SS(76)"/>
      <sheetName val="SS(77)"/>
      <sheetName val="SS(78)"/>
      <sheetName val="SS(79)"/>
      <sheetName val="SS(80)"/>
      <sheetName val="SS(81)"/>
      <sheetName val="SS(82)"/>
      <sheetName val="SS(83)"/>
      <sheetName val="SS(84)"/>
      <sheetName val="SS(85)"/>
      <sheetName val="SS(86)"/>
      <sheetName val="SS(87)"/>
      <sheetName val="SS(88)"/>
      <sheetName val="SS(89)"/>
      <sheetName val="SS(90)"/>
      <sheetName val="SS(91)"/>
      <sheetName val="SS(92)"/>
      <sheetName val="SS(93)"/>
      <sheetName val="SS(94)"/>
      <sheetName val="SS(95)"/>
      <sheetName val="SS(96)"/>
      <sheetName val="SS(97)"/>
      <sheetName val="SS(98)"/>
      <sheetName val="SS(99)"/>
      <sheetName val="SS(100)"/>
      <sheetName val="SS(101)"/>
      <sheetName val="SS(102)"/>
      <sheetName val="SS(103)"/>
      <sheetName val="SS(104)"/>
      <sheetName val="SS(105)"/>
      <sheetName val="SS(106)"/>
      <sheetName val="SS(107)"/>
      <sheetName val="SS(108)"/>
      <sheetName val="SS(109)"/>
      <sheetName val="SS(110)"/>
      <sheetName val="SS(111)"/>
      <sheetName val="SS(112)"/>
      <sheetName val="SS(113)"/>
      <sheetName val="SS(114)"/>
      <sheetName val="SS(115)"/>
      <sheetName val="SS(116)"/>
      <sheetName val="SS(117)"/>
      <sheetName val="SS(118)"/>
      <sheetName val="SS(119)"/>
      <sheetName val="SS(120)"/>
      <sheetName val="SS(121)"/>
      <sheetName val="SS(122)"/>
      <sheetName val="SS(123)"/>
      <sheetName val="SS(124)"/>
      <sheetName val="SS(125)"/>
      <sheetName val="SS(126)"/>
      <sheetName val="SS(127)"/>
      <sheetName val="SS(128)"/>
      <sheetName val="SS(129)"/>
      <sheetName val="SS(130)"/>
      <sheetName val="SS(131)"/>
      <sheetName val="SS(132)"/>
      <sheetName val="SS(133)"/>
      <sheetName val="SS(134)"/>
      <sheetName val="SS(135)"/>
      <sheetName val="SS(136)"/>
      <sheetName val="SS(137)"/>
      <sheetName val="SS(138)"/>
      <sheetName val="SS(139)"/>
      <sheetName val="SS(140)"/>
      <sheetName val="SS(141)"/>
      <sheetName val="SS(142)"/>
      <sheetName val="SS(143)"/>
      <sheetName val="SS(144)"/>
      <sheetName val="SS(145)"/>
      <sheetName val="SS(146)"/>
      <sheetName val="SS(147)"/>
      <sheetName val="SS(148)"/>
      <sheetName val="SS(149)"/>
      <sheetName val="SS(150)"/>
      <sheetName val="SS(151)"/>
      <sheetName val="SS(152)"/>
      <sheetName val="SS(153)"/>
      <sheetName val="SS(154)"/>
      <sheetName val="SS(155)"/>
      <sheetName val="SS(156)"/>
      <sheetName val="SS(157)"/>
      <sheetName val="SS(158)"/>
      <sheetName val="SS(159)"/>
      <sheetName val="SS(160)"/>
      <sheetName val="SS(161)"/>
      <sheetName val="SS(162)"/>
      <sheetName val="SS(163)"/>
      <sheetName val="SS(164)"/>
      <sheetName val="SS(166)"/>
      <sheetName val="Титул1"/>
      <sheetName val="Титул2"/>
      <sheetName val="Титул3"/>
      <sheetName val="НЕДЕЛИ"/>
      <sheetName val="х"/>
      <sheetName val="влад-таблица"/>
      <sheetName val="Стр1По"/>
      <sheetName val="Материалы"/>
      <sheetName val="Подрядчики"/>
      <sheetName val="См_1_наруж_водопровод"/>
      <sheetName val="Кл-р_SysTel"/>
      <sheetName val="КП_Прим_(3)"/>
      <sheetName val="1_3"/>
      <sheetName val="СметаСводная_Рыб"/>
      <sheetName val="Таас-Юрях"/>
      <sheetName val="Етыпур-"/>
      <sheetName val="ЗапТарк"/>
      <sheetName val="Приобка"/>
      <sheetName val="ВЖК"/>
      <sheetName val="КП Мак"/>
      <sheetName val="Бюджет"/>
      <sheetName val="гидрология"/>
      <sheetName val="пр_5_1"/>
      <sheetName val="Стр5"/>
      <sheetName val="Стр6"/>
      <sheetName val="Стр7"/>
      <sheetName val="Стр8а"/>
      <sheetName val="Стр9а"/>
      <sheetName val="Стр8б"/>
      <sheetName val="Стр9б"/>
      <sheetName val="Стр8г"/>
      <sheetName val="Стр9г"/>
      <sheetName val="Стр8и"/>
      <sheetName val="Стр9и"/>
      <sheetName val="Стр14"/>
      <sheetName val="Список"/>
      <sheetName val="Иммакр"/>
      <sheetName val="Данные1кв."/>
      <sheetName val="Данные"/>
      <sheetName val="Стр2По"/>
      <sheetName val="Стр3По"/>
      <sheetName val="Стр4По"/>
      <sheetName val="Стр5По"/>
      <sheetName val="Стр6По(а)"/>
      <sheetName val="Стр6По(б)"/>
      <sheetName val="Стр6По(г)"/>
      <sheetName val="Стр6По(и)"/>
      <sheetName val="Стр7По"/>
      <sheetName val="НДС"/>
      <sheetName val="Коэф КВ"/>
      <sheetName val="EKDEB90"/>
      <sheetName val="Стр1"/>
      <sheetName val="ИД"/>
      <sheetName val="январь"/>
      <sheetName val="Лист1"/>
      <sheetName val="База"/>
      <sheetName val="6.52-свод"/>
      <sheetName val="ОБЩЕСТВА"/>
      <sheetName val="План"/>
      <sheetName val="Лист2"/>
      <sheetName val="Гр5(о)"/>
      <sheetName val="Справочник"/>
      <sheetName val="Данные1кв_"/>
      <sheetName val="Коэф_КВ"/>
      <sheetName val="6_52-свод"/>
      <sheetName val="КП НовоКов"/>
      <sheetName val="Калплан Кра"/>
      <sheetName val="изыскания 2"/>
      <sheetName val="КП к ГК"/>
      <sheetName val="Об-15"/>
      <sheetName val="Прибыль опл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К.рын"/>
      <sheetName val="Вспомогательный"/>
      <sheetName val="Смета 1свод"/>
      <sheetName val="СметаСводная снег"/>
      <sheetName val="13.1"/>
      <sheetName val="Амур ДОН"/>
      <sheetName val="Архив2"/>
      <sheetName val="Opex personnel (Term facs)"/>
      <sheetName val="КП (2)"/>
      <sheetName val="Calc"/>
      <sheetName val="Ачинский НПЗ"/>
      <sheetName val="пятилетка"/>
      <sheetName val="мониторинг"/>
      <sheetName val="Параметры"/>
      <sheetName val="кп"/>
      <sheetName val="Кал.план Жукова даты - не надо"/>
      <sheetName val="смета СИД"/>
      <sheetName val="ПДР ООО &quot;Юкос ФБЦ&quot;"/>
      <sheetName val="Объемы работ по ПВ"/>
      <sheetName val="мсн"/>
      <sheetName val="Lim"/>
      <sheetName val="Хар_"/>
      <sheetName val="С1_"/>
      <sheetName val="total"/>
      <sheetName val="исходные данные"/>
      <sheetName val="Комплектация"/>
      <sheetName val="трубы"/>
      <sheetName val="расчетные таблицы"/>
      <sheetName val="СМР"/>
      <sheetName val="дороги"/>
      <sheetName val="Дополнительные параметры"/>
      <sheetName val="ОПС"/>
      <sheetName val="BACT"/>
      <sheetName val="Дополнительные пара_x0000__x0000__x0005__x0000__xde00_"/>
      <sheetName val="ЛЧ"/>
      <sheetName val="Смета-Т"/>
      <sheetName val="Курс доллара"/>
      <sheetName val="Хаттон 90.90 Femco"/>
      <sheetName val="См3 СЦБ-зап"/>
      <sheetName val="ПД"/>
      <sheetName val="СметаСводная 1 оч"/>
      <sheetName val="Leistungsakt"/>
      <sheetName val="в работу"/>
      <sheetName val="трансформация1"/>
      <sheetName val="breakdown"/>
      <sheetName val="Destination"/>
      <sheetName val="СС"/>
      <sheetName val="Капитальные затраты"/>
      <sheetName val="ЭХЗ"/>
      <sheetName val="Свод объем"/>
      <sheetName val="1ПС"/>
      <sheetName val="ИД1"/>
      <sheetName val="Приложение 2"/>
      <sheetName val="Переменные и константы"/>
      <sheetName val="вариант"/>
      <sheetName val="ID"/>
      <sheetName val="СП"/>
      <sheetName val="A54НДС"/>
      <sheetName val="Должности"/>
      <sheetName val="Общая часть"/>
      <sheetName val="УП _2004"/>
      <sheetName val="АЧ"/>
      <sheetName val="Табл38-7"/>
      <sheetName val="БП НОВЫЙ"/>
      <sheetName val="База Геодезия"/>
      <sheetName val="База Геология"/>
      <sheetName val="6"/>
      <sheetName val="5.1"/>
      <sheetName val="3.1 ТХ"/>
      <sheetName val="геолог"/>
      <sheetName val="К"/>
      <sheetName val="база на 21-04-08"/>
      <sheetName val="СПЕЦИФИКА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глы"/>
      <sheetName val="Готовность"/>
      <sheetName val="CKK"/>
      <sheetName val="Щиты"/>
      <sheetName val="DATA"/>
      <sheetName val="СводнСР"/>
      <sheetName val="Командировочн"/>
      <sheetName val="матНеучтЦенПолы"/>
      <sheetName val="СпецПолы"/>
      <sheetName val="матНеучтЦенЭМ"/>
      <sheetName val="СпецЭМ"/>
      <sheetName val="коэф"/>
      <sheetName val="ССМ (2)"/>
      <sheetName val="ССМ"/>
      <sheetName val="ОС2000"/>
      <sheetName val="ОбщестрАС"/>
      <sheetName val="МонтСилЭлОб"/>
      <sheetName val="МатерЭМ"/>
      <sheetName val="МонтОбАнтиобл"/>
      <sheetName val="Пуско-нал"/>
      <sheetName val="Пуско-нал (2)"/>
      <sheetName val="Коэфф"/>
      <sheetName val="Дебет_Кредит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СметаСводная Рыб"/>
      <sheetName val="Сме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>
            <v>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расходы"/>
      <sheetName val="Накладные расходы"/>
      <sheetName val="Смета - стадия РД"/>
    </sheetNames>
    <sheetDataSet>
      <sheetData sheetId="0">
        <row r="9">
          <cell r="C9" t="str">
            <v>Должность</v>
          </cell>
        </row>
        <row r="10">
          <cell r="C10" t="str">
            <v>Начальник департамента</v>
          </cell>
        </row>
        <row r="11">
          <cell r="C11" t="str">
            <v>ГИП</v>
          </cell>
        </row>
        <row r="12">
          <cell r="C12" t="str">
            <v>Заместитель ГИПа</v>
          </cell>
        </row>
        <row r="13">
          <cell r="C13" t="str">
            <v>Помощник ГИПа</v>
          </cell>
        </row>
        <row r="14">
          <cell r="C14" t="str">
            <v>Начальник отдела</v>
          </cell>
        </row>
        <row r="15">
          <cell r="C15" t="str">
            <v>Начальник сектора</v>
          </cell>
        </row>
        <row r="16">
          <cell r="C16" t="str">
            <v>Заместитель начальника отдела</v>
          </cell>
        </row>
        <row r="17">
          <cell r="C17" t="str">
            <v>Начальник группы</v>
          </cell>
        </row>
        <row r="18">
          <cell r="C18" t="str">
            <v>Главный специалист</v>
          </cell>
        </row>
        <row r="19">
          <cell r="C19" t="str">
            <v>Ведущий специалист</v>
          </cell>
        </row>
        <row r="20">
          <cell r="C20" t="str">
            <v>Ведущий инженер-проектировщик</v>
          </cell>
        </row>
        <row r="21">
          <cell r="C21" t="str">
            <v>инженер-проектировщик 1-й категории</v>
          </cell>
        </row>
        <row r="22">
          <cell r="C22" t="str">
            <v>инженер-проектировщик 2-й категории</v>
          </cell>
        </row>
        <row r="23">
          <cell r="C23" t="str">
            <v>инженер-проектировщик 3-й категории</v>
          </cell>
        </row>
        <row r="24">
          <cell r="C24" t="str">
            <v>Специалист 1-й категории</v>
          </cell>
        </row>
        <row r="25">
          <cell r="C25" t="str">
            <v>Специалист 2-й категории</v>
          </cell>
        </row>
        <row r="26">
          <cell r="C26" t="str">
            <v>Специалист 3-й категории</v>
          </cell>
        </row>
        <row r="27">
          <cell r="C27" t="str">
            <v>Техник 2-й категории</v>
          </cell>
        </row>
      </sheetData>
      <sheetData sheetId="1">
        <row r="36">
          <cell r="D36">
            <v>0.92058430320218054</v>
          </cell>
        </row>
      </sheetData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Данные для расчёта сметы"/>
      <sheetName val="Шкаф"/>
      <sheetName val="Коэфф1."/>
      <sheetName val="Прайс лист"/>
      <sheetName val="Смета"/>
      <sheetName val="топо"/>
      <sheetName val="1.3"/>
      <sheetName val="ИГ1"/>
      <sheetName val="свод 2"/>
      <sheetName val="СметаСводная Рыб"/>
      <sheetName val="Лист1"/>
      <sheetName val="Обновление"/>
      <sheetName val="Пример расчета"/>
      <sheetName val="Зап-3- СЦБ"/>
      <sheetName val="К.рын"/>
      <sheetName val="Сводная смета"/>
      <sheetName val="Землеотвод"/>
      <sheetName val="sapactivexlhiddensheet"/>
      <sheetName val="График"/>
      <sheetName val="ц_199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ка"/>
      <sheetName val="Св табл стоим"/>
      <sheetName val="Календарный план дог"/>
      <sheetName val="СМР"/>
      <sheetName val="Поставка"/>
      <sheetName val="Расчет рабо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3">
          <cell r="H13">
            <v>46.5</v>
          </cell>
        </row>
      </sheetData>
      <sheetData sheetId="5" refreshError="1">
        <row r="2">
          <cell r="G2">
            <v>6300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Глав"/>
      <sheetName val="ОбмОбслЗемОд"/>
      <sheetName val="КалендПлан"/>
      <sheetName val="СводнСм"/>
      <sheetName val="СводнСм ГАП"/>
      <sheetName val="СмШурф"/>
      <sheetName val="СмРучБур"/>
      <sheetName val="СмМашБур"/>
      <sheetName val="ОБмГеодезия"/>
      <sheetName val="СмШурфКонтр"/>
      <sheetName val="СмРучБурКонтр"/>
    </sheetNames>
    <sheetDataSet>
      <sheetData sheetId="0"/>
      <sheetData sheetId="1" refreshError="1">
        <row r="2">
          <cell r="F2" t="str">
            <v>к договору № **/п-**-2007 от **.**.2007 г.</v>
          </cell>
        </row>
        <row r="4">
          <cell r="A4" t="str">
            <v>одноэтажного здания ********, расположенного по адресу: 
ул. ******, д. ***</v>
          </cell>
        </row>
        <row r="7">
          <cell r="A7" t="str">
            <v>Исполнитель - ОАО "Гипронииавиапром" ООО "СК Перспектива-100"</v>
          </cell>
        </row>
        <row r="28">
          <cell r="E28">
            <v>26.88</v>
          </cell>
        </row>
        <row r="29">
          <cell r="E29">
            <v>1</v>
          </cell>
        </row>
        <row r="62">
          <cell r="F62">
            <v>3</v>
          </cell>
        </row>
        <row r="67">
          <cell r="B67" t="str">
            <v>Подкрановые и тормозные конструкции.</v>
          </cell>
          <cell r="F67">
            <v>3.5000000000000003E-2</v>
          </cell>
        </row>
      </sheetData>
      <sheetData sheetId="2"/>
      <sheetData sheetId="3"/>
      <sheetData sheetId="4"/>
      <sheetData sheetId="5"/>
      <sheetData sheetId="6" refreshError="1">
        <row r="39">
          <cell r="K39">
            <v>0</v>
          </cell>
        </row>
      </sheetData>
      <sheetData sheetId="7"/>
      <sheetData sheetId="8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Глав"/>
      <sheetName val="ОбмОбслЗемОд"/>
      <sheetName val="КалендПлан"/>
      <sheetName val="СводнСм"/>
      <sheetName val="СводнСм ГАП"/>
      <sheetName val="СмШурф"/>
      <sheetName val="СмРучБур"/>
      <sheetName val="СмМашБур"/>
      <sheetName val="ОБмГеодезия"/>
      <sheetName val="СмШурфКонтр"/>
      <sheetName val="СмРучБурКонтр"/>
    </sheetNames>
    <sheetDataSet>
      <sheetData sheetId="0"/>
      <sheetData sheetId="1" refreshError="1">
        <row r="2">
          <cell r="F2" t="str">
            <v>к договору № **/п-**-2007 от **.**.2007 г.</v>
          </cell>
        </row>
        <row r="4">
          <cell r="A4" t="str">
            <v>одноэтажного здания ********, расположенного по адресу: ул. ******, д. ***</v>
          </cell>
        </row>
        <row r="7">
          <cell r="A7" t="str">
            <v>Исполнитель - ОАО "Гипронииавиапром" ООО "СК Перспектива-100"</v>
          </cell>
        </row>
        <row r="28">
          <cell r="E28">
            <v>26.88</v>
          </cell>
        </row>
        <row r="29">
          <cell r="E29">
            <v>1</v>
          </cell>
        </row>
        <row r="62">
          <cell r="F62">
            <v>3</v>
          </cell>
        </row>
        <row r="67">
          <cell r="B67" t="str">
            <v>Подкрановые и тормозные конструкции.</v>
          </cell>
          <cell r="F67">
            <v>3.5000000000000003E-2</v>
          </cell>
        </row>
      </sheetData>
      <sheetData sheetId="2"/>
      <sheetData sheetId="3"/>
      <sheetData sheetId="4"/>
      <sheetData sheetId="5"/>
      <sheetData sheetId="6" refreshError="1">
        <row r="39">
          <cell r="K39">
            <v>0</v>
          </cell>
        </row>
      </sheetData>
      <sheetData sheetId="7"/>
      <sheetData sheetId="8"/>
      <sheetData sheetId="9" refreshError="1"/>
      <sheetData sheetId="1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(подряд)"/>
      <sheetName val="СравненЦен"/>
      <sheetName val="Сводная"/>
      <sheetName val="Цена"/>
      <sheetName val="Лист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 1 (смр)"/>
      <sheetName val="2 См 1 (смр)"/>
      <sheetName val="Переменные и константы"/>
    </sheetNames>
    <sheetDataSet>
      <sheetData sheetId="0"/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-Т"/>
      <sheetName val="ЛЧ"/>
    </sheetNames>
    <sheetDataSet>
      <sheetData sheetId="0"/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Реестр"/>
      <sheetName val="Отчет"/>
    </sheetNames>
    <sheetDataSet>
      <sheetData sheetId="0" refreshError="1"/>
      <sheetData sheetId="1" refreshError="1">
        <row r="4">
          <cell r="X4" t="str">
            <v>Начало периода</v>
          </cell>
          <cell r="Y4" t="str">
            <v>Конец периода</v>
          </cell>
        </row>
        <row r="5">
          <cell r="X5">
            <v>39448</v>
          </cell>
          <cell r="Y5">
            <v>39478</v>
          </cell>
        </row>
        <row r="6">
          <cell r="X6">
            <v>39479</v>
          </cell>
          <cell r="Y6">
            <v>39507</v>
          </cell>
        </row>
        <row r="7">
          <cell r="X7">
            <v>39508</v>
          </cell>
          <cell r="Y7">
            <v>39538</v>
          </cell>
        </row>
        <row r="8">
          <cell r="X8">
            <v>39539</v>
          </cell>
          <cell r="Y8">
            <v>39568</v>
          </cell>
        </row>
        <row r="9">
          <cell r="X9">
            <v>39569</v>
          </cell>
          <cell r="Y9">
            <v>39599</v>
          </cell>
        </row>
        <row r="10">
          <cell r="X10">
            <v>39600</v>
          </cell>
          <cell r="Y10">
            <v>39629</v>
          </cell>
        </row>
        <row r="11">
          <cell r="X11">
            <v>39630</v>
          </cell>
          <cell r="Y11">
            <v>39660</v>
          </cell>
        </row>
        <row r="12">
          <cell r="X12">
            <v>39661</v>
          </cell>
          <cell r="Y12">
            <v>39691</v>
          </cell>
        </row>
        <row r="13">
          <cell r="X13">
            <v>39692</v>
          </cell>
          <cell r="Y13">
            <v>39721</v>
          </cell>
        </row>
        <row r="14">
          <cell r="X14">
            <v>39722</v>
          </cell>
          <cell r="Y14">
            <v>39752</v>
          </cell>
        </row>
        <row r="15">
          <cell r="X15">
            <v>39753</v>
          </cell>
          <cell r="Y15">
            <v>39782</v>
          </cell>
        </row>
        <row r="16">
          <cell r="X16">
            <v>39783</v>
          </cell>
          <cell r="Y16">
            <v>39813</v>
          </cell>
        </row>
      </sheetData>
      <sheetData sheetId="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 данные"/>
      <sheetName val="Сводная РД"/>
      <sheetName val="ПА РД"/>
      <sheetName val="РУ РД"/>
      <sheetName val="ЛАДВ РД"/>
      <sheetName val="Сводная П"/>
      <sheetName val="ПА П"/>
      <sheetName val="ЛАДВ П"/>
      <sheetName val="РУ П"/>
      <sheetName val="ПА РП"/>
      <sheetName val="РУ РП"/>
      <sheetName val="Кал. план"/>
      <sheetName val="РУ+ПА"/>
      <sheetName val="АСУ ТП"/>
      <sheetName val="Лист1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Курс доллара"/>
      <sheetName val="Лист3"/>
      <sheetName val="топография"/>
      <sheetName val="СметаСводная"/>
      <sheetName val="Данные для расчёта сметы"/>
      <sheetName val="Коэфф1."/>
      <sheetName val="ПО 1-7"/>
      <sheetName val="ставки"/>
      <sheetName val="Курс_доллара"/>
      <sheetName val="свод 2"/>
      <sheetName val="Смета"/>
      <sheetName val="СметаСводная Колпино"/>
      <sheetName val="Лист7"/>
      <sheetName val="ОПС"/>
      <sheetName val="Дог цена"/>
      <sheetName val="Смета-Т"/>
      <sheetName val="ps198"/>
    </sheetNames>
    <sheetDataSet>
      <sheetData sheetId="0">
        <row r="2">
          <cell r="A2">
            <v>25</v>
          </cell>
        </row>
      </sheetData>
      <sheetData sheetId="1">
        <row r="2">
          <cell r="A2">
            <v>25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план Жукова мес"/>
      <sheetName val="Кал.план Жукова даты - не надо"/>
      <sheetName val="СметаСводная 1 оч"/>
      <sheetName val="Смета1 Чеснович"/>
      <sheetName val="Смета2 геология"/>
      <sheetName val="См3 кадастр"/>
      <sheetName val="Смета4 Зем"/>
      <sheetName val="См5 дороги"/>
      <sheetName val="6 Кр.линии"/>
      <sheetName val="См7 мост"/>
      <sheetName val="Сети8 1 оч"/>
      <sheetName val="Смета9 регламент с 0,335"/>
      <sheetName val="Смета10 ООС"/>
      <sheetName val="смета11 конк докум"/>
      <sheetName val="См12  ГО и ЧС"/>
    </sheetNames>
    <sheetDataSet>
      <sheetData sheetId="0" refreshError="1"/>
      <sheetData sheetId="1" refreshError="1"/>
      <sheetData sheetId="2">
        <row r="6">
          <cell r="D6" t="str">
            <v>"Реконструкция транспортной развязки на пр. Маршала Жукова через ж.д. пути в Угольную гавань". 1-ая очередь. Реконструкция Портовой ул. с выходом на дорогу в Угольную гавань и строительство ул. Морской Пехоты с мостом через р. Красненькая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Шкаф"/>
      <sheetName val="Коэфф1."/>
      <sheetName val="Прайс лист"/>
      <sheetName val="СМЕТА проект"/>
      <sheetName val="Смета"/>
      <sheetName val="HP и оргтехника"/>
      <sheetName val="к.84-к.83"/>
      <sheetName val="Лист опроса"/>
      <sheetName val="Summary"/>
      <sheetName val="5ОборРабМест(HP)"/>
      <sheetName val="сохранить"/>
      <sheetName val="13.1"/>
      <sheetName val="свод 2"/>
      <sheetName val="Лист2"/>
      <sheetName val="Данные для расчёта сметы"/>
      <sheetName val="свод"/>
      <sheetName val="СметаСводная снег"/>
      <sheetName val="93-110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см8"/>
      <sheetName val="Зап-3- СЦБ"/>
      <sheetName val="ТИТУЛ"/>
      <sheetName val="6.14"/>
      <sheetName val="ОБЩЕСТВА"/>
      <sheetName val="6.3.1"/>
      <sheetName val="6.20"/>
      <sheetName val="6.4.1"/>
      <sheetName val="ПРОГНОЗ_1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топо"/>
      <sheetName val="6.14_КР"/>
      <sheetName val="Прилож"/>
      <sheetName val="ПДР"/>
      <sheetName val="DATA"/>
      <sheetName val="вариант"/>
      <sheetName val="Обновление"/>
      <sheetName val="Цена"/>
      <sheetName val="Product"/>
      <sheetName val="Пример расчета"/>
      <sheetName val="Табл38-7"/>
      <sheetName val="все"/>
      <sheetName val="информация"/>
      <sheetName val="Кредиты"/>
      <sheetName val="СметаСводная Рыб"/>
      <sheetName val="Нормы"/>
      <sheetName val="Текущие цены"/>
      <sheetName val="рабочий"/>
      <sheetName val="окраска"/>
      <sheetName val="отчет эл_эн  2000"/>
      <sheetName val="Счет-Фактура"/>
      <sheetName val="График"/>
      <sheetName val="2002(v2)"/>
      <sheetName val="справ."/>
      <sheetName val="справ_"/>
      <sheetName val="2002_v2_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С"/>
      <sheetName val="Смета 1"/>
      <sheetName val="РП"/>
      <sheetName val="данные"/>
      <sheetName val="Баланс"/>
      <sheetName val="Production and Spend"/>
      <sheetName val="sapactivexlhiddensheet"/>
      <sheetName val="OCK1"/>
      <sheetName val="1.3"/>
      <sheetName val="ИГ1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шаблон"/>
      <sheetName val="1"/>
      <sheetName val="Пояснение 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3.1"/>
      <sheetName val="Коммерческие расходы"/>
      <sheetName val="исходные данные"/>
      <sheetName val="расчетные таблицы"/>
      <sheetName val="СметаСводная Колпино"/>
      <sheetName val="оборудован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Вспомогательный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</sheetNames>
    <sheetDataSet>
      <sheetData sheetId="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  <sheetName val="Смета рекультивация"/>
      <sheetName val="Смета терзем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  <sheetName val="Смета рекультивация"/>
      <sheetName val="Смета терзем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"/>
      <sheetName val="Орг"/>
      <sheetName val="Нал"/>
      <sheetName val="Наличие"/>
      <sheetName val="Движение"/>
      <sheetName val="Бал.стоим."/>
      <sheetName val="УНРМа-6.99"/>
      <sheetName val="Спр.образец (2)"/>
      <sheetName val="Майоров"/>
      <sheetName val="Бунин"/>
      <sheetName val="Черенков"/>
      <sheetName val="Путилин"/>
      <sheetName val="Гибадулин"/>
      <sheetName val="Головнев"/>
      <sheetName val="Остремский"/>
      <sheetName val="Горовой"/>
      <sheetName val="Кабанов"/>
      <sheetName val="Волошенко"/>
      <sheetName val="Копытовский"/>
      <sheetName val="Иванченко"/>
      <sheetName val="Цвик"/>
      <sheetName val=" Забусов"/>
      <sheetName val="Катанов"/>
      <sheetName val="Колодяжный"/>
      <sheetName val="Алисов"/>
      <sheetName val="Максименко"/>
      <sheetName val="Власов"/>
      <sheetName val="Двулучанский"/>
      <sheetName val="Чеботарев"/>
      <sheetName val="Щукин"/>
      <sheetName val="Маренков"/>
      <sheetName val="Дергунов"/>
      <sheetName val="Мышенков"/>
      <sheetName val="Евдокимов"/>
      <sheetName val="Жабко"/>
      <sheetName val="Кафтанников"/>
      <sheetName val="Вайдерман"/>
      <sheetName val="Хапилин"/>
      <sheetName val="Павелко"/>
      <sheetName val="Ксензов"/>
      <sheetName val="211 КЖБИ"/>
      <sheetName val="122ЭМЗ"/>
    </sheetNames>
    <sheetDataSet>
      <sheetData sheetId="0">
        <row r="50">
          <cell r="C50" t="str">
            <v>Майоров</v>
          </cell>
        </row>
      </sheetData>
      <sheetData sheetId="1" refreshError="1">
        <row r="50">
          <cell r="C50" t="str">
            <v>Майоров</v>
          </cell>
        </row>
        <row r="51">
          <cell r="C51" t="str">
            <v>Бунин</v>
          </cell>
        </row>
        <row r="52">
          <cell r="C52" t="str">
            <v>Черенков</v>
          </cell>
        </row>
        <row r="53">
          <cell r="C53" t="str">
            <v>Путилин</v>
          </cell>
        </row>
        <row r="54">
          <cell r="C54" t="str">
            <v>Гибадулин</v>
          </cell>
        </row>
        <row r="55">
          <cell r="C55" t="str">
            <v>Дергунов</v>
          </cell>
        </row>
        <row r="56">
          <cell r="C56" t="str">
            <v>Головнев</v>
          </cell>
        </row>
        <row r="57">
          <cell r="C57" t="str">
            <v>Остремский</v>
          </cell>
        </row>
        <row r="58">
          <cell r="C58" t="str">
            <v>Горовой</v>
          </cell>
        </row>
        <row r="59">
          <cell r="C59" t="str">
            <v>Кабанов</v>
          </cell>
        </row>
        <row r="60">
          <cell r="C60" t="str">
            <v>Волошенко</v>
          </cell>
        </row>
        <row r="61">
          <cell r="C61" t="str">
            <v>Копытовский</v>
          </cell>
        </row>
        <row r="62">
          <cell r="C62" t="str">
            <v>Иванченко</v>
          </cell>
        </row>
        <row r="63">
          <cell r="C63" t="str">
            <v>Цвик</v>
          </cell>
        </row>
        <row r="64">
          <cell r="C64" t="str">
            <v>Забусов</v>
          </cell>
        </row>
        <row r="65">
          <cell r="C65" t="str">
            <v>Катанов</v>
          </cell>
        </row>
        <row r="66">
          <cell r="C66" t="str">
            <v>Колодяжный</v>
          </cell>
        </row>
        <row r="67">
          <cell r="C67" t="str">
            <v>Алисов</v>
          </cell>
        </row>
        <row r="68">
          <cell r="C68" t="str">
            <v>Максименко</v>
          </cell>
        </row>
        <row r="69">
          <cell r="C69" t="str">
            <v>Власов</v>
          </cell>
        </row>
        <row r="70">
          <cell r="C70" t="str">
            <v>Двулучанский</v>
          </cell>
        </row>
        <row r="71">
          <cell r="C71" t="str">
            <v>Чеботарев</v>
          </cell>
        </row>
        <row r="72">
          <cell r="C72" t="str">
            <v>Щукин</v>
          </cell>
        </row>
        <row r="73">
          <cell r="C73" t="str">
            <v>Маренков</v>
          </cell>
        </row>
        <row r="74">
          <cell r="C74" t="str">
            <v>Мышенков</v>
          </cell>
        </row>
        <row r="75">
          <cell r="C75" t="str">
            <v>Евдокимов</v>
          </cell>
        </row>
        <row r="76">
          <cell r="C76" t="str">
            <v>Жабко</v>
          </cell>
        </row>
        <row r="77">
          <cell r="C77" t="str">
            <v>Кафтанников</v>
          </cell>
        </row>
        <row r="78">
          <cell r="C78" t="str">
            <v>Вайдерман</v>
          </cell>
        </row>
        <row r="79">
          <cell r="C79" t="str">
            <v>Хапилин</v>
          </cell>
        </row>
        <row r="80">
          <cell r="C80" t="str">
            <v>Павелко</v>
          </cell>
        </row>
        <row r="81">
          <cell r="C81" t="str">
            <v>Ксензов</v>
          </cell>
        </row>
        <row r="82">
          <cell r="C82" t="str">
            <v>Меркурьев</v>
          </cell>
        </row>
        <row r="83">
          <cell r="C83" t="str">
            <v>Сикорский</v>
          </cell>
        </row>
        <row r="85">
          <cell r="C85" t="str">
            <v xml:space="preserve"> 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1"/>
      <sheetName val="259-290"/>
      <sheetName val="р.Волхов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93-110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Б.Сатка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Данные для расчёта сметы"/>
      <sheetName val="топография"/>
      <sheetName val="СметаСводная"/>
      <sheetName val="свод 2"/>
      <sheetName val="ИГ1"/>
      <sheetName val="См 1 наруж.водопровод"/>
      <sheetName val="свод1"/>
      <sheetName val="СметаСводная Рыб"/>
      <sheetName val="#ССЫЛКА"/>
      <sheetName val="СметаСводная Колпино"/>
      <sheetName val="Материалы"/>
      <sheetName val="топо"/>
      <sheetName val="Обновление"/>
      <sheetName val="Цена"/>
      <sheetName val="Product"/>
      <sheetName val="Шкаф"/>
      <sheetName val="Коэфф1."/>
      <sheetName val="Прайс лис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П"/>
      <sheetName val="Командировки"/>
      <sheetName val="Должности"/>
    </sheetNames>
    <sheetDataSet>
      <sheetData sheetId="0"/>
      <sheetData sheetId="1"/>
      <sheetData sheetId="2">
        <row r="2">
          <cell r="A2" t="str">
            <v xml:space="preserve"> </v>
          </cell>
        </row>
        <row r="3">
          <cell r="A3" t="str">
            <v>Главный специалист (ДП)</v>
          </cell>
        </row>
        <row r="4">
          <cell r="A4" t="str">
            <v>Инженер-проектировщик (ДП)</v>
          </cell>
        </row>
        <row r="5">
          <cell r="A5" t="str">
            <v>Менеджер проекта (ДУП)</v>
          </cell>
        </row>
        <row r="6">
          <cell r="A6" t="str">
            <v>Инженер (СО)</v>
          </cell>
        </row>
        <row r="7">
          <cell r="A7" t="str">
            <v>Руководитель группы (СО)</v>
          </cell>
        </row>
        <row r="8">
          <cell r="A8" t="str">
            <v>Оператор копировальных и множительных машин</v>
          </cell>
        </row>
        <row r="9">
          <cell r="A9" t="str">
            <v>Инженер-нормоконтролер (ДП)</v>
          </cell>
        </row>
        <row r="10">
          <cell r="A10" t="str">
            <v>Ведущий инженер (ДП)</v>
          </cell>
        </row>
        <row r="11">
          <cell r="A11" t="str">
            <v xml:space="preserve"> </v>
          </cell>
        </row>
        <row r="12">
          <cell r="A12" t="str">
            <v xml:space="preserve"> </v>
          </cell>
        </row>
        <row r="13">
          <cell r="A13" t="str">
            <v xml:space="preserve"> </v>
          </cell>
        </row>
        <row r="14">
          <cell r="A14" t="str">
            <v xml:space="preserve"> </v>
          </cell>
        </row>
        <row r="15">
          <cell r="A15" t="str">
            <v xml:space="preserve"> </v>
          </cell>
        </row>
        <row r="16">
          <cell r="A16" t="str">
            <v xml:space="preserve"> </v>
          </cell>
        </row>
        <row r="17">
          <cell r="A17" t="str">
            <v xml:space="preserve"> </v>
          </cell>
        </row>
        <row r="18">
          <cell r="A18" t="str">
            <v xml:space="preserve"> </v>
          </cell>
        </row>
        <row r="19">
          <cell r="A19" t="str">
            <v xml:space="preserve"> </v>
          </cell>
        </row>
        <row r="20">
          <cell r="A20" t="str">
            <v xml:space="preserve"> </v>
          </cell>
        </row>
        <row r="21">
          <cell r="A21" t="str">
            <v xml:space="preserve"> </v>
          </cell>
        </row>
        <row r="22">
          <cell r="A22" t="str">
            <v xml:space="preserve"> </v>
          </cell>
        </row>
        <row r="23">
          <cell r="A23" t="str">
            <v xml:space="preserve"> </v>
          </cell>
        </row>
        <row r="24">
          <cell r="A24" t="str">
            <v xml:space="preserve"> </v>
          </cell>
        </row>
        <row r="25">
          <cell r="A25" t="str">
            <v xml:space="preserve"> </v>
          </cell>
        </row>
        <row r="26">
          <cell r="A26" t="str">
            <v xml:space="preserve"> </v>
          </cell>
        </row>
        <row r="27">
          <cell r="A27" t="str">
            <v xml:space="preserve"> </v>
          </cell>
        </row>
        <row r="28">
          <cell r="A28" t="str">
            <v xml:space="preserve"> </v>
          </cell>
        </row>
        <row r="29">
          <cell r="A29" t="str">
            <v xml:space="preserve"> </v>
          </cell>
        </row>
        <row r="30">
          <cell r="A30" t="str">
            <v xml:space="preserve"> </v>
          </cell>
        </row>
        <row r="31">
          <cell r="A31" t="str">
            <v xml:space="preserve"> 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ёт1"/>
      <sheetName val="Сводная смета"/>
      <sheetName val="Смета 3"/>
      <sheetName val="Смета 4"/>
      <sheetName val="Смета 5"/>
      <sheetName val="Смета 6"/>
      <sheetName val="Смета 7"/>
      <sheetName val="Смета 8"/>
      <sheetName val="Смета9"/>
      <sheetName val="Смета 10"/>
      <sheetName val="Смета 11"/>
      <sheetName val="Смета 12"/>
      <sheetName val="Смета 13"/>
      <sheetName val="Смета 14"/>
      <sheetName val="Смета 15 "/>
      <sheetName val="Смета 16"/>
      <sheetName val="Смета 17"/>
      <sheetName val="Смета 18"/>
      <sheetName val="Смета 19"/>
      <sheetName val="Смета 20"/>
      <sheetName val="Смета 21"/>
      <sheetName val="Смета 22"/>
      <sheetName val="K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F1">
            <v>0.83155992578849702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DATA"/>
      <sheetName val="РП"/>
      <sheetName val="График"/>
      <sheetName val="ПДР"/>
      <sheetName val="СметаСводная павильон"/>
      <sheetName val="Summary"/>
      <sheetName val="93-110"/>
      <sheetName val="Смета"/>
      <sheetName val="Коэфф1."/>
      <sheetName val="сводная"/>
      <sheetName val="Данные для расчёта сметы"/>
      <sheetName val="см8"/>
      <sheetName val="Зап-3- СЦБ"/>
      <sheetName val="свод"/>
      <sheetName val="ЭХЗ"/>
      <sheetName val="Обновление"/>
      <sheetName val="Цена"/>
      <sheetName val="Product"/>
      <sheetName val="Смета 1свод"/>
      <sheetName val="Лист1"/>
      <sheetName val="Шкаф"/>
      <sheetName val="Прайс лист"/>
      <sheetName val="Счет-Фактур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договорной цены"/>
      <sheetName val="Сводная смета"/>
      <sheetName val="Смета 1"/>
      <sheetName val="Смета 2"/>
      <sheetName val="Смета 3"/>
      <sheetName val="Смета 4"/>
      <sheetName val="Смета 5"/>
      <sheetName val="Смета 6"/>
      <sheetName val="Смета 7"/>
      <sheetName val="Смета 8"/>
      <sheetName val="Смета 9"/>
      <sheetName val="Смета 10"/>
      <sheetName val="Смета 11"/>
      <sheetName val="Смета 12"/>
      <sheetName val="Смета 13"/>
      <sheetName val="Смета 14"/>
      <sheetName val="Смета 15"/>
      <sheetName val="Смета 16"/>
      <sheetName val="Вспомогательные подсчеты"/>
      <sheetName val="Расчет (ССР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0.83155992578849702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ТИТУЛ"/>
      <sheetName val="6.14"/>
      <sheetName val="ОБЩЕСТВА"/>
      <sheetName val="6.3.1"/>
      <sheetName val="6.20"/>
      <sheetName val="6.4.1"/>
      <sheetName val="ПРОГНОЗ_1"/>
      <sheetName val="Смета"/>
      <sheetName val="Лист1"/>
      <sheetName val="6_11_1  сторонние"/>
      <sheetName val="топо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6.14_КР"/>
      <sheetName val="Данные для расчёта сметы"/>
      <sheetName val="Прилож"/>
      <sheetName val="ПДР"/>
      <sheetName val="DATA"/>
      <sheetName val="см8"/>
      <sheetName val="13.1"/>
      <sheetName val="вариант"/>
      <sheetName val="Обновление"/>
      <sheetName val="Цена"/>
      <sheetName val="Product"/>
      <sheetName val="Summary"/>
      <sheetName val="свод 2"/>
      <sheetName val="все"/>
      <sheetName val="Табл38-7"/>
      <sheetName val="Зап-3- СЦБ"/>
      <sheetName val="информация"/>
      <sheetName val="Кредиты"/>
      <sheetName val="Пример расчета"/>
      <sheetName val="СметаСводная Рыб"/>
      <sheetName val="Нормы"/>
      <sheetName val="Текущие цены"/>
      <sheetName val="рабочий"/>
      <sheetName val="окраска"/>
      <sheetName val="отчет эл_эн  2000"/>
      <sheetName val="к.84-к.83"/>
      <sheetName val="Счет-Фактура"/>
      <sheetName val="Коэфф1."/>
      <sheetName val="График"/>
      <sheetName val="ПОДПИСИ"/>
      <sheetName val="РАСЧЕТ"/>
      <sheetName val="КП (2)"/>
      <sheetName val="Бюджет"/>
      <sheetName val="Norm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Данные_для_расчёта_сметы"/>
      <sheetName val="6_14_КР"/>
      <sheetName val="свод_2"/>
      <sheetName val="Зап-3-_СЦБ"/>
      <sheetName val="13_1"/>
      <sheetName val="Пример_расчета"/>
      <sheetName val="СметаСводная_Рыб"/>
      <sheetName val="sapactivexlhiddensheet"/>
      <sheetName val="Текущие_цены"/>
      <sheetName val="отчет_эл_эн__2000"/>
      <sheetName val="к_84-к_83"/>
      <sheetName val="6.3"/>
      <sheetName val="6.7"/>
      <sheetName val="6.3.1.3"/>
      <sheetName val="Лист2"/>
      <sheetName val="свод 3"/>
      <sheetName val="ID"/>
      <sheetName val="СС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мета 1"/>
      <sheetName val="РП"/>
      <sheetName val="данные"/>
      <sheetName val="Баланс"/>
      <sheetName val="Смета2_проект__раб_"/>
      <sheetName val="Смета_1"/>
      <sheetName val="СМЕТА проект"/>
      <sheetName val="Production and Spend"/>
      <sheetName val="OCK1"/>
      <sheetName val="Шкаф"/>
      <sheetName val="Прайс лист"/>
      <sheetName val="1.3"/>
      <sheetName val="ИГ1"/>
      <sheetName val="К.рын"/>
      <sheetName val="Сводная смета"/>
      <sheetName val="Землеотвод"/>
      <sheetName val="шаблон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сводная"/>
      <sheetName val="Разработка проекта"/>
      <sheetName val="КП НовоКов"/>
      <sheetName val="СметаСводная 1 оч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еременные и константы"/>
      <sheetName val="пятилетка"/>
      <sheetName val="мониторинг"/>
      <sheetName val="свод (2)"/>
      <sheetName val="Калплан ОИ2 Макм крестики"/>
      <sheetName val="СметаСводная павильон"/>
      <sheetName val="93-110"/>
      <sheetName val="Св. смета"/>
      <sheetName val="РБС ИЗМ1"/>
      <sheetName val="СметаСводная снег"/>
      <sheetName val="Лист опроса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таблица руководству"/>
      <sheetName val="Суточная добыча за неделю"/>
      <sheetName val="list"/>
      <sheetName val="Прибыль опл"/>
      <sheetName val="Вспомогательный"/>
      <sheetName val="сохранить"/>
      <sheetName val="5ОборРабМест(HP)"/>
      <sheetName val="№5 СУБ Инж защ"/>
      <sheetName val="HP и оргтехника"/>
      <sheetName val="Calc"/>
      <sheetName val="История"/>
      <sheetName val="Р1"/>
      <sheetName val="Параметры_i"/>
      <sheetName val="Таблица 2"/>
      <sheetName val="свод1"/>
      <sheetName val="Таблица 4 АСУТП"/>
      <sheetName val="Input"/>
      <sheetName val="Calculation"/>
      <sheetName val="ст ГТМ"/>
      <sheetName val="ПДР ООО &quot;Юкос ФБЦ&quot;"/>
      <sheetName val="исходные данные"/>
      <sheetName val="расчетные таблицы"/>
      <sheetName val="Амур ДОН"/>
      <sheetName val="кп ГК"/>
      <sheetName val="Справочные данные"/>
      <sheetName val="Б.Сатка"/>
      <sheetName val="total"/>
      <sheetName val="Комплектация"/>
      <sheetName val="трубы"/>
      <sheetName val="СМР"/>
      <sheetName val="дороги"/>
      <sheetName val="2002(v2)"/>
      <sheetName val="справ."/>
      <sheetName val="справ_"/>
      <sheetName val="2002_v2_"/>
      <sheetName val="СметаСводная"/>
      <sheetName val="оборудован"/>
      <sheetName val="Упр"/>
      <sheetName val="Перечень ИУ"/>
      <sheetName val="РН-ПНГ"/>
      <sheetName val="влад-таблица"/>
      <sheetName val="2002(v1)"/>
      <sheetName val="3.1 ТХ"/>
      <sheetName val="ЗП_ЮНГ"/>
      <sheetName val="НМА"/>
      <sheetName val="оператор"/>
      <sheetName val="исх_данные"/>
      <sheetName val="СметаСводная Колпино"/>
      <sheetName val="Подрядчики"/>
      <sheetName val="Январь"/>
      <sheetName val="Итог"/>
      <sheetName val="мсн"/>
      <sheetName val="мат"/>
      <sheetName val="3.5"/>
      <sheetName val="справка"/>
      <sheetName val="суб.подряд"/>
      <sheetName val="ПСБ - ОЭ"/>
      <sheetName val="суб_подряд"/>
      <sheetName val="ПСБ_-_ОЭ"/>
      <sheetName val="Смета 2"/>
      <sheetName val="D"/>
      <sheetName val="Ачинский НПЗ"/>
      <sheetName val="4"/>
      <sheetName val="ИД"/>
      <sheetName val="См3 СЦБ-зап"/>
      <sheetName val="Хаттон 90.90 Femco"/>
      <sheetName val="ИД1"/>
      <sheetName val="свод общ"/>
      <sheetName val="Смета 5.2. Кусты25,29,31,65"/>
      <sheetName val="смета СИД"/>
      <sheetName val="часы"/>
      <sheetName val="ресурсная вед."/>
      <sheetName val="ИДвалка"/>
      <sheetName val="р.Волхов"/>
      <sheetName val="КП к ГК"/>
      <sheetName val="изыскания 2"/>
      <sheetName val="Калплан Кра"/>
      <sheetName val="Материалы"/>
      <sheetName val="6.11 новый"/>
      <sheetName val="Opex personnel (Term facs)"/>
      <sheetName val="Капитальные затраты"/>
      <sheetName val="накладная"/>
      <sheetName val="Акт"/>
      <sheetName val="1"/>
      <sheetName val="Пояснение "/>
      <sheetName val="3.1"/>
      <sheetName val="Коммерческие расходы"/>
      <sheetName val="RSOILBAL"/>
      <sheetName val="смета 2 проект. работы"/>
      <sheetName val="4сд"/>
      <sheetName val="2сд"/>
      <sheetName val="7сд"/>
      <sheetName val="MAIN_PARAMETERS"/>
      <sheetName val="СС замеч с ответами"/>
      <sheetName val="начало"/>
      <sheetName val="Main"/>
      <sheetName val="УП _2004"/>
      <sheetName val="в работу"/>
      <sheetName val="1ПС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20_Кредиты краткосрочные"/>
      <sheetName val="Перечень Заказчиков"/>
      <sheetName val="2.2 "/>
      <sheetName val="Хар_"/>
      <sheetName val="С1_"/>
      <sheetName val="СтрЗапасов (2)"/>
      <sheetName val="Lim"/>
      <sheetName val="Справочник"/>
      <sheetName val="PwC Copies from old models --&gt;&gt;"/>
      <sheetName val="Справочники"/>
      <sheetName val="Journals"/>
      <sheetName val="ц_1991"/>
      <sheetName val="rvldmrv"/>
      <sheetName val="Сравнение ДПН факт 06-07"/>
      <sheetName val="Параметры"/>
      <sheetName val="трансформация1"/>
      <sheetName val="НМ расчеты"/>
      <sheetName val="Names"/>
      <sheetName val="breakdown"/>
      <sheetName val="Destination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НГХК"/>
      <sheetName val="КП к снег Рыбинская"/>
      <sheetName val="EKDEB90"/>
      <sheetName val="Коэф КВ"/>
      <sheetName val="К"/>
      <sheetName val="Смета терзем"/>
      <sheetName val="Кал.план Жукова даты - не надо"/>
      <sheetName val="кп"/>
      <sheetName val="матер."/>
      <sheetName val="КП Прим (3)"/>
      <sheetName val="Лист3"/>
      <sheetName val="АЧ"/>
      <sheetName val="кп (3)"/>
      <sheetName val="СП"/>
      <sheetName val="фонтан разбитый2"/>
      <sheetName val="Баланс (Ф1)"/>
      <sheetName val="Смета-Т"/>
      <sheetName val=""/>
      <sheetName val="Смета 3 Гидролог"/>
      <sheetName val="Записка СЦБ"/>
      <sheetName val="ИПЦ2002-2004"/>
      <sheetName val="РС 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Общая часть"/>
      <sheetName val="Табл.5"/>
      <sheetName val="Табл.2"/>
      <sheetName val="Исх.данные"/>
      <sheetName val="ВКЕ"/>
      <sheetName val="Additives"/>
      <sheetName val="Ryazan"/>
      <sheetName val="Assumpt"/>
      <sheetName val="Control"/>
      <sheetName val="См №3 ОПР"/>
      <sheetName val="см.№6 АВЗУ и ГПЗУ"/>
      <sheetName val="Геофизика"/>
      <sheetName val="Геодезия"/>
      <sheetName val="Экология1"/>
      <sheetName val="АУП"/>
      <sheetName val="CENTR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Расчет курса"/>
      <sheetName val="XLR_NoRangeSheet"/>
      <sheetName val="НЕДЕЛИ"/>
      <sheetName val="GD"/>
      <sheetName val="Source lists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8"/>
      <sheetName val="исх-данные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 refreshError="1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Сводная снег"/>
      <sheetName val="Смета1 Чеснович снег"/>
      <sheetName val="Смета2 снег геология"/>
      <sheetName val="См3 эколог изыск. снег"/>
      <sheetName val="смета4  Дор.работы"/>
      <sheetName val="Смета 6 Снег - Сети"/>
      <sheetName val="См 7Расчет ОДД Прокоп"/>
      <sheetName val="Смета8 ООС снег"/>
      <sheetName val="Смета9 регламент с 0,335"/>
      <sheetName val="КП снег"/>
      <sheetName val="См10  ГО и ЧС"/>
      <sheetName val="Смета11 Новые технологии"/>
      <sheetName val="Смета11 Ресурсоемкость"/>
      <sheetName val="Смета10 кадастр съемка п54"/>
      <sheetName val="Смета11 Землеустр.п54"/>
      <sheetName val="Смета12 межевание п54"/>
      <sheetName val="Смета13 Юрид оформл п54"/>
      <sheetName val="см14 конк докум Обв24"/>
      <sheetName val="См15Кр.линии"/>
      <sheetName val="См16 Сбор исх данных"/>
      <sheetName val="См17 Допэкз"/>
    </sheetNames>
    <sheetDataSet>
      <sheetData sheetId="0">
        <row r="7">
          <cell r="E7" t="str">
            <v>Рабочий проект по объекту:с "Снегоплавильная камера. расположенная на сетях ГУП "Водоканал Санкт-Петербург", по адресу: Рижский пр., д.43 (угол Рижского проспекта и Либавского переулка)"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м8"/>
      <sheetName val="Данные для расчёта сметы"/>
      <sheetName val="Смета"/>
      <sheetName val="свод1"/>
      <sheetName val="СметаСводная"/>
      <sheetName val="свод 2"/>
      <sheetName val="свод"/>
      <sheetName val="СметаСводная снег"/>
      <sheetName val="93-110"/>
      <sheetName val="Хаттон 90.90 Femco"/>
      <sheetName val="ИД1"/>
      <sheetName val="шаблон"/>
      <sheetName val="ИГ1"/>
      <sheetName val="сводная"/>
      <sheetName val="Коэфф1."/>
      <sheetName val="свод общ"/>
      <sheetName val="таблица руководству"/>
      <sheetName val="Суточная добыча за неделю"/>
      <sheetName val="СметаСводная павильон"/>
      <sheetName val="Таблица 4 АСУТП"/>
      <sheetName val="СметаСводная 1 оч"/>
      <sheetName val="Итог"/>
      <sheetName val="Смета 5.2. Кусты25,29,31,65"/>
      <sheetName val="НМА"/>
      <sheetName val="list"/>
      <sheetName val="Подрядчики"/>
      <sheetName val="Обновление"/>
      <sheetName val="Цена"/>
      <sheetName val="Product"/>
      <sheetName val=""/>
      <sheetName val="сохранить"/>
      <sheetName val="См 1 наруж.водопровод"/>
      <sheetName val="2002(v2)"/>
      <sheetName val="2002_v2_"/>
      <sheetName val="информация"/>
      <sheetName val="смета СИД"/>
      <sheetName val="часы"/>
      <sheetName val="ресурсная вед."/>
      <sheetName val="ИДвалка"/>
      <sheetName val="Лист2"/>
      <sheetName val="Лист опроса"/>
      <sheetName val="к.84-к.83"/>
      <sheetName val="Шкаф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Зап-3- СЦБ"/>
      <sheetName val="СМЕТА проект"/>
      <sheetName val="ТИТУЛ"/>
      <sheetName val="6.14"/>
      <sheetName val="ОБЩЕСТВА"/>
      <sheetName val="6.3.1"/>
      <sheetName val="6.20"/>
      <sheetName val="6.4.1"/>
      <sheetName val="ПРОГНОЗ_1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топо"/>
      <sheetName val="6.14_КР"/>
      <sheetName val="Прилож"/>
      <sheetName val="ПДР"/>
      <sheetName val="DATA"/>
      <sheetName val="вариант"/>
      <sheetName val="Summary"/>
      <sheetName val="Пример расчета"/>
      <sheetName val="Табл38-7"/>
      <sheetName val="все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График"/>
      <sheetName val="справ."/>
      <sheetName val="справ_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С"/>
      <sheetName val="Смета 1"/>
      <sheetName val="РП"/>
      <sheetName val="данные"/>
      <sheetName val="Баланс"/>
      <sheetName val="Production and Spend"/>
      <sheetName val="sapactivexlhiddensheet"/>
      <sheetName val="OCK1"/>
      <sheetName val="1.3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1"/>
      <sheetName val="Пояснение 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Разработка проекта"/>
      <sheetName val="КП НовоКов"/>
      <sheetName val="ПДР ООО &quot;Юкос ФБЦ&quot;"/>
      <sheetName val="Прибыль опл"/>
      <sheetName val="3.1"/>
      <sheetName val="Коммерческие расходы"/>
      <sheetName val="исходные данные"/>
      <sheetName val="расчетные таблицы"/>
      <sheetName val="5ОборРабМест(HP)"/>
      <sheetName val="СметаСводная Колпино"/>
      <sheetName val="HP и оргтехника"/>
      <sheetName val="оборудован"/>
      <sheetName val="Перечень ИУ"/>
      <sheetName val="Упр"/>
      <sheetName val="оператор"/>
      <sheetName val="исх_данные"/>
      <sheetName val="ст ГТМ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Вспомогательный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 refreshError="1"/>
      <sheetData sheetId="76" refreshError="1"/>
      <sheetData sheetId="77" refreshError="1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Лист1"/>
      <sheetName val="2002(v2)"/>
      <sheetName val="ПРОГНОЗ_1"/>
      <sheetName val="справ."/>
      <sheetName val="Лист2"/>
      <sheetName val="эл_химз_"/>
      <sheetName val="геология_"/>
      <sheetName val="справ_"/>
      <sheetName val="Данные для расчёта сметы"/>
      <sheetName val="СметаСводная снег"/>
      <sheetName val="93-110"/>
      <sheetName val="СметаСводная"/>
      <sheetName val="ИГ1"/>
      <sheetName val="СметаСводная павильон"/>
      <sheetName val="Смета"/>
      <sheetName val="топо"/>
      <sheetName val="оборудован"/>
      <sheetName val="Упр"/>
      <sheetName val="2002_v2_"/>
      <sheetName val="см8"/>
      <sheetName val="РН-ПНГ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ёт1"/>
      <sheetName val="Сводная смета"/>
      <sheetName val="Смета 3"/>
      <sheetName val="Смета 4"/>
      <sheetName val="Смета 5"/>
      <sheetName val="Смета 6"/>
      <sheetName val="Смета 7"/>
      <sheetName val="Смета 8"/>
      <sheetName val="Смета9"/>
      <sheetName val="Смета 10"/>
      <sheetName val="Смета 11"/>
      <sheetName val="Смета 12"/>
      <sheetName val="Смета 13"/>
      <sheetName val="Смета 14"/>
      <sheetName val="Смета 15 "/>
      <sheetName val="Смета 16"/>
      <sheetName val="Смета 17"/>
      <sheetName val="Смета 18"/>
      <sheetName val="Смета 19"/>
      <sheetName val="Смета 20"/>
      <sheetName val="Смета 21"/>
      <sheetName val="Смета 22"/>
      <sheetName val="K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F1">
            <v>0.83155992578849702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договорной цены"/>
      <sheetName val="Сводная смета"/>
      <sheetName val="Смета 1"/>
      <sheetName val="Смета 2"/>
      <sheetName val="Смета 3"/>
      <sheetName val="Смета 4"/>
      <sheetName val="Смета 5"/>
      <sheetName val="Смета 6"/>
      <sheetName val="Смета 7"/>
      <sheetName val="Смета 8"/>
      <sheetName val="Смета 9"/>
      <sheetName val="Смета 10"/>
      <sheetName val="Смета 11"/>
      <sheetName val="Смета 12"/>
      <sheetName val="Смета 13"/>
      <sheetName val="Смета 14"/>
      <sheetName val="Смета 15"/>
      <sheetName val="Смета 16"/>
      <sheetName val="Вспомогательные подсче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0.83155992578849702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договорной цены"/>
      <sheetName val="Сводная смета"/>
      <sheetName val="Смета 1"/>
      <sheetName val="Смета 2"/>
      <sheetName val="Смета 3"/>
      <sheetName val="Смета 4"/>
      <sheetName val="Смета 5"/>
      <sheetName val="Смета 6"/>
      <sheetName val="Смета 7"/>
      <sheetName val="Смета 8"/>
      <sheetName val="Смета 9"/>
      <sheetName val="Смета 10"/>
      <sheetName val="Смета 11"/>
      <sheetName val="Смета 12"/>
      <sheetName val="Смета 13"/>
      <sheetName val="Смета 14"/>
      <sheetName val="Смета 15"/>
      <sheetName val="Смета 16"/>
      <sheetName val="Вспомогательные подсче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0.83155992578849702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ЛАТА (образец)"/>
      <sheetName val="Списки"/>
      <sheetName val="для Бухг."/>
      <sheetName val="договоры"/>
      <sheetName val="Сводная оплата"/>
      <sheetName val="Ал(РД)"/>
      <sheetName val="Мант(ПР)"/>
      <sheetName val="мант(ПР`)"/>
      <sheetName val="Калин(РД)"/>
      <sheetName val="Калин(авт.над)"/>
      <sheetName val="Калгр(РД)1"/>
      <sheetName val="Советск"/>
      <sheetName val="Княж(РД)1"/>
      <sheetName val="Княж`(РД)1"/>
      <sheetName val="Княж РД4"/>
      <sheetName val="Фрол-Рост"/>
      <sheetName val="Ржевская"/>
      <sheetName val="Ржевская (конк.док.)"/>
      <sheetName val="Калгр(авт.надз)1"/>
      <sheetName val="Княж(РД)2"/>
      <sheetName val="Княж РД3"/>
      <sheetName val="Княж(конк.)"/>
      <sheetName val="ИССС"/>
      <sheetName val="Калгр(ПР)"/>
      <sheetName val="Выборг"/>
      <sheetName val="МЧС"/>
      <sheetName val="Восточная ПР"/>
      <sheetName val="Центральная"/>
      <sheetName val="Ал(авт.надз)"/>
      <sheetName val="Абак(ПР)"/>
      <sheetName val="Б-Т(РД)"/>
      <sheetName val="Б-Т(кор)"/>
      <sheetName val="Б-Т(конк.)"/>
      <sheetName val="З-Б(РД)"/>
      <sheetName val="З-Б(конк.)"/>
      <sheetName val="Итат1(РД)"/>
      <sheetName val="Итат2(РД)"/>
      <sheetName val="Барнаульск(конк)"/>
      <sheetName val="Барнаул(РД1)"/>
      <sheetName val="Барнаул(РД2)"/>
      <sheetName val="Гусиноозерская (конк)"/>
      <sheetName val="Гусинооз(коррРД)"/>
      <sheetName val="Казах-Р(ПР1)"/>
      <sheetName val="Казах-Р(ПР2)"/>
      <sheetName val="Кузбасская"/>
      <sheetName val="Ул-У(РП)"/>
      <sheetName val="Камала(ПР)"/>
      <sheetName val="Крсноярск"/>
      <sheetName val="Машук(РД)"/>
      <sheetName val="Машук(корр)"/>
      <sheetName val="Фрунзенская"/>
      <sheetName val="Белый Раст"/>
      <sheetName val="Белый Р"/>
      <sheetName val="Радуга РД3"/>
      <sheetName val="Радуга ПР"/>
      <sheetName val="МантРД"/>
      <sheetName val="МантРД`"/>
      <sheetName val="Мант(авт.надз.)"/>
      <sheetName val="Калгр(РД)2"/>
      <sheetName val="Калгр(РД)3"/>
      <sheetName val="Калгр(авт.надз)3"/>
      <sheetName val="Калгр(авт.надз)2"/>
      <sheetName val="Златоуст"/>
      <sheetName val="Шагол(конк)"/>
      <sheetName val="Тюмень"/>
      <sheetName val="Вятка (конк)"/>
      <sheetName val="Емелино ПР"/>
      <sheetName val="Бологое РД"/>
      <sheetName val="Бологое (авт.надз)"/>
      <sheetName val="Радуга(РД2)"/>
      <sheetName val="Радуга(агент.дог)"/>
      <sheetName val="Радуга (РД1)"/>
      <sheetName val="Радуга(авт.надз)"/>
      <sheetName val="Ростов(ПР)"/>
      <sheetName val="Куйбышев"/>
      <sheetName val="Самара (ПР)"/>
      <sheetName val="Сангтуда"/>
      <sheetName val="Рек.Мант."/>
      <sheetName val="Лист4"/>
      <sheetName val="Лист5"/>
      <sheetName val="Лист6"/>
      <sheetName val="Лист1"/>
      <sheetName val="Лист2"/>
      <sheetName val="Лист3"/>
      <sheetName val="АЛ(ПР)"/>
      <sheetName val="Лист7"/>
      <sheetName val="пусто"/>
      <sheetName val="пусто2"/>
      <sheetName val=""/>
    </sheetNames>
    <sheetDataSet>
      <sheetData sheetId="0" refreshError="1"/>
      <sheetData sheetId="1" refreshError="1">
        <row r="1">
          <cell r="A1" t="str">
            <v>список</v>
          </cell>
        </row>
        <row r="2">
          <cell r="A2" t="str">
            <v>ГУП "Трест ГРИИ"</v>
          </cell>
        </row>
        <row r="3">
          <cell r="A3" t="str">
            <v>ЗАО "ИК ЭНИКО-МИФИ"</v>
          </cell>
        </row>
        <row r="4">
          <cell r="A4" t="str">
            <v>ЗАО "Институт автоматизации энергетических систем"</v>
          </cell>
        </row>
        <row r="5">
          <cell r="A5" t="str">
            <v>ЗАО "Институт энергетических сетей" г. Каунас</v>
          </cell>
        </row>
        <row r="6">
          <cell r="A6" t="str">
            <v>ЗАО "СПЕЦЭЛЕКТРОМОНТАЖ"</v>
          </cell>
        </row>
        <row r="7">
          <cell r="A7" t="str">
            <v>ЗАО "Стройинвестпроект ЛТД"</v>
          </cell>
        </row>
        <row r="8">
          <cell r="A8" t="str">
            <v>ЗАО "Электросетьпроект"</v>
          </cell>
        </row>
        <row r="9">
          <cell r="A9" t="str">
            <v>ЗАО НПП "Инмажпроект"</v>
          </cell>
        </row>
        <row r="10">
          <cell r="A10" t="str">
            <v>Измайлова Л.И.</v>
          </cell>
        </row>
        <row r="11">
          <cell r="A11" t="str">
            <v>Инновационный геологический центр ФГУГП "Волгагеология"</v>
          </cell>
        </row>
        <row r="12">
          <cell r="A12" t="str">
            <v>МЧС</v>
          </cell>
        </row>
        <row r="13">
          <cell r="A13" t="str">
            <v>ОАО "Гипросвязь-4"</v>
          </cell>
        </row>
        <row r="14">
          <cell r="A14" t="str">
            <v>ОАО "Ивэлектроналадка"</v>
          </cell>
        </row>
        <row r="15">
          <cell r="A15" t="str">
            <v>ОАО "Институт Энергосетьпроект"</v>
          </cell>
        </row>
        <row r="16">
          <cell r="A16" t="str">
            <v>ОАО "Калининградская ТЭЦ-2"</v>
          </cell>
        </row>
        <row r="17">
          <cell r="A17" t="str">
            <v>ОАО "Отделение Дальних Передач"</v>
          </cell>
        </row>
        <row r="18">
          <cell r="A18" t="str">
            <v>ОАО "Сангтудинская ГЭС-1"</v>
          </cell>
        </row>
        <row r="19">
          <cell r="A19" t="str">
            <v>ОАО "СевЗап НТЦ"</v>
          </cell>
        </row>
        <row r="20">
          <cell r="A20" t="str">
            <v>ОАО "Севзапэлектросетьстрой"</v>
          </cell>
        </row>
        <row r="21">
          <cell r="A21" t="str">
            <v>ОАО "СОЮЗТЕХЭНЕРГО"</v>
          </cell>
        </row>
        <row r="22">
          <cell r="A22" t="str">
            <v>ОАО "Спецсетьстрой"</v>
          </cell>
        </row>
        <row r="23">
          <cell r="A23" t="str">
            <v>ОАО "ФСК ЕЭС" МЭС Волги</v>
          </cell>
        </row>
        <row r="24">
          <cell r="A24" t="str">
            <v>ОАО "ФСК ЕЭС" МЭС Северо-Запада</v>
          </cell>
        </row>
        <row r="25">
          <cell r="A25" t="str">
            <v>ОАО "ФСК ЕЭС" МЭС Сибири</v>
          </cell>
        </row>
        <row r="26">
          <cell r="A26" t="str">
            <v>ОАО "ФСК ЕЭС" МЭС Урала</v>
          </cell>
        </row>
        <row r="27">
          <cell r="A27" t="str">
            <v>ОАО "ФСК ЕЭС" МЭС Центра</v>
          </cell>
        </row>
        <row r="28">
          <cell r="A28" t="str">
            <v>ОАО "ФСК ЕЭС" МЭС Юга</v>
          </cell>
        </row>
        <row r="29">
          <cell r="A29" t="str">
            <v>ОАО "ФСК ЕЭС" филиал Валдайское ПМЭС</v>
          </cell>
        </row>
        <row r="30">
          <cell r="A30" t="str">
            <v>ОАО "ФСК ЕЭС" филиал Волго-Окское ПМЭС</v>
          </cell>
        </row>
        <row r="31">
          <cell r="A31" t="str">
            <v>ОАО "Южное ИЦЭ"</v>
          </cell>
        </row>
        <row r="32">
          <cell r="A32" t="str">
            <v>ОАО "Янтарьэнерго"</v>
          </cell>
        </row>
        <row r="33">
          <cell r="A33" t="str">
            <v>ООО  "ЭЛКО Технологии СПб"</v>
          </cell>
        </row>
        <row r="34">
          <cell r="A34" t="str">
            <v>ООО "АрхиГАП"</v>
          </cell>
        </row>
        <row r="35">
          <cell r="A35" t="str">
            <v xml:space="preserve">ООО "Витасвязь" </v>
          </cell>
        </row>
        <row r="36">
          <cell r="A36" t="str">
            <v>ООО "ИКЦ "Экспертриск"</v>
          </cell>
        </row>
        <row r="37">
          <cell r="A37" t="str">
            <v>ООО "Инжиниринговый центр Энерго"</v>
          </cell>
        </row>
        <row r="38">
          <cell r="A38" t="str">
            <v>ООО "ИнтерЭСП"</v>
          </cell>
        </row>
        <row r="39">
          <cell r="A39" t="str">
            <v>ООО "ОМК-Сталь"</v>
          </cell>
        </row>
        <row r="40">
          <cell r="A40" t="str">
            <v>ООО "ПРОЕКТИНВЕСТ"</v>
          </cell>
        </row>
        <row r="41">
          <cell r="A41" t="str">
            <v>ООО "Сибэнергосетьпроект"</v>
          </cell>
        </row>
        <row r="42">
          <cell r="A42" t="str">
            <v>ООО "СМУ в г. Калининграде. ДО ОАО "Союзтелефонстрой"</v>
          </cell>
        </row>
        <row r="43">
          <cell r="A43" t="str">
            <v>ООО "Спецмонтажсервис"</v>
          </cell>
        </row>
        <row r="44">
          <cell r="A44" t="str">
            <v>ООО "СУНЭТО"</v>
          </cell>
        </row>
        <row r="45">
          <cell r="A45" t="str">
            <v>ООО "Энергоинжиниринг"</v>
          </cell>
        </row>
        <row r="46">
          <cell r="A46" t="str">
            <v>ООО "Энергокомплект-Сервис"</v>
          </cell>
        </row>
        <row r="47">
          <cell r="A47" t="str">
            <v>ООО "Энергосетьпроект-НН"</v>
          </cell>
        </row>
        <row r="48">
          <cell r="A48" t="str">
            <v>ООО "Энерго-Юг"</v>
          </cell>
        </row>
        <row r="49">
          <cell r="A49" t="str">
            <v>ООО НПФ "ЭЛНАП"</v>
          </cell>
        </row>
        <row r="50">
          <cell r="A50" t="str">
            <v>ООО НПЦ "ЭСиС"</v>
          </cell>
        </row>
        <row r="51">
          <cell r="A51" t="str">
            <v>ОРЗАУМ</v>
          </cell>
        </row>
        <row r="52">
          <cell r="A52" t="str">
            <v>транспорт</v>
          </cell>
        </row>
        <row r="53">
          <cell r="A53" t="str">
            <v>Филиал "Институт Тулаэнергосетьпроект" ОАО "СевЗап НТЦ"</v>
          </cell>
        </row>
        <row r="54">
          <cell r="A54" t="str">
            <v>Филиал ОАО "Инженерный центр ЕЭС" - "Фирма ОРГРЭС"</v>
          </cell>
        </row>
        <row r="55">
          <cell r="A55" t="str">
            <v>ХЗ</v>
          </cell>
        </row>
        <row r="56">
          <cell r="A56" t="str">
            <v>ХЗ1</v>
          </cell>
        </row>
        <row r="57">
          <cell r="A57" t="str">
            <v>ХЗ2</v>
          </cell>
        </row>
        <row r="58">
          <cell r="A58" t="str">
            <v>ОАО "ВНИИГ им. Б.Е.Веденеева</v>
          </cell>
        </row>
        <row r="59">
          <cell r="A59" t="str">
            <v>ООО СП "Строймеханизация"</v>
          </cell>
        </row>
        <row r="60">
          <cell r="A60" t="str">
            <v>ЗАО "ПЕНТАКОН"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1"/>
      <sheetName val="2"/>
      <sheetName val="3"/>
      <sheetName val="4"/>
      <sheetName val="4.1"/>
      <sheetName val="6"/>
      <sheetName val="6.1"/>
      <sheetName val="6.2"/>
      <sheetName val="8"/>
      <sheetName val="8.1"/>
      <sheetName val="9"/>
      <sheetName val="9.1"/>
      <sheetName val="9.2"/>
      <sheetName val="10"/>
      <sheetName val="11"/>
      <sheetName val="12"/>
      <sheetName val="13"/>
      <sheetName val="14"/>
      <sheetName val="14.1"/>
      <sheetName val="14.2"/>
      <sheetName val="14.3"/>
      <sheetName val="14.4"/>
      <sheetName val="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Этапы"/>
      <sheetName val="Лист6"/>
      <sheetName val="Лист7"/>
      <sheetName val="Лист4"/>
    </sheetNames>
    <sheetDataSet>
      <sheetData sheetId="0" refreshError="1">
        <row r="1">
          <cell r="A1" t="str">
            <v>список</v>
          </cell>
        </row>
        <row r="2">
          <cell r="A2" t="str">
            <v>ВСЕ СУБЧИКИ</v>
          </cell>
        </row>
        <row r="3">
          <cell r="A3" t="str">
            <v>ГУП "Трест ГРИИ"</v>
          </cell>
        </row>
        <row r="4">
          <cell r="A4" t="str">
            <v>ЗАО "ИК ЭНИКО-МИФИ"</v>
          </cell>
        </row>
        <row r="5">
          <cell r="A5" t="str">
            <v>ЗАО "Институт автоматизации энергетических систем"</v>
          </cell>
        </row>
        <row r="6">
          <cell r="A6" t="str">
            <v>ЗАО "Институт энергетических сетей" г. Каунас</v>
          </cell>
        </row>
        <row r="7">
          <cell r="A7" t="str">
            <v>ЗАО "СПЕЦЭЛЕКТРОМОНТАЖ"</v>
          </cell>
        </row>
        <row r="8">
          <cell r="A8" t="str">
            <v>ЗАО "Стройинвестпроект ЛТД"</v>
          </cell>
        </row>
        <row r="9">
          <cell r="A9" t="str">
            <v>ЗАО "Электросетьпроект"</v>
          </cell>
        </row>
        <row r="10">
          <cell r="A10" t="str">
            <v>ЗАО НПП "Инмажпроект"</v>
          </cell>
        </row>
        <row r="11">
          <cell r="A11" t="str">
            <v>Измайлова Л.И.</v>
          </cell>
        </row>
        <row r="12">
          <cell r="A12" t="str">
            <v>Инновационный геологический центр ФГУГП "Волгагеология"</v>
          </cell>
        </row>
        <row r="13">
          <cell r="A13" t="str">
            <v>МЧС</v>
          </cell>
        </row>
        <row r="14">
          <cell r="A14" t="str">
            <v>СибНИИЭ</v>
          </cell>
        </row>
        <row r="15">
          <cell r="A15" t="str">
            <v>ОАО "Гипросвязь-4"</v>
          </cell>
        </row>
        <row r="16">
          <cell r="A16" t="str">
            <v>ОАО "Ивэлектроналадка"</v>
          </cell>
        </row>
        <row r="17">
          <cell r="A17" t="str">
            <v>ОАО "Институт Энергосетьпроект"</v>
          </cell>
        </row>
        <row r="18">
          <cell r="A18" t="str">
            <v>ОАО "Калининградская ТЭЦ-2"</v>
          </cell>
        </row>
        <row r="19">
          <cell r="A19" t="str">
            <v>ОАО "Отделение Дальних Передач"</v>
          </cell>
        </row>
        <row r="20">
          <cell r="A20" t="str">
            <v>ОАО "Отделение Дальних Передач"</v>
          </cell>
        </row>
        <row r="21">
          <cell r="A21" t="str">
            <v>ОАО "Сангтудинская ГЭС-1"</v>
          </cell>
        </row>
        <row r="22">
          <cell r="A22" t="str">
            <v>ПЦ Энерго</v>
          </cell>
        </row>
        <row r="23">
          <cell r="A23" t="str">
            <v>ОАО "Отделение Дальних Передач"</v>
          </cell>
        </row>
        <row r="24">
          <cell r="A24" t="str">
            <v>ОАО "Сангтудинская ГЭС-1"</v>
          </cell>
        </row>
        <row r="25">
          <cell r="A25" t="str">
            <v>ОАО "СевЗап НТЦ"</v>
          </cell>
        </row>
        <row r="26">
          <cell r="A26" t="str">
            <v>ОАО "Севзапэлектросетьстрой"</v>
          </cell>
        </row>
        <row r="27">
          <cell r="A27" t="str">
            <v>ОАО "СОЮЗТЕХЭНЕРГО"</v>
          </cell>
        </row>
        <row r="28">
          <cell r="A28" t="str">
            <v>ОАО "Спецсетьстрой"</v>
          </cell>
        </row>
        <row r="29">
          <cell r="A29" t="str">
            <v>ОАО "ФСК ЕЭС" МЭС Волги</v>
          </cell>
        </row>
        <row r="30">
          <cell r="A30" t="str">
            <v>ОАО "ФСК ЕЭС" МЭС Северо-Запада</v>
          </cell>
        </row>
        <row r="31">
          <cell r="A31" t="str">
            <v>ОАО "ФСК ЕЭС" МЭС Сибири</v>
          </cell>
        </row>
        <row r="32">
          <cell r="A32" t="str">
            <v>ОАО "ФСК ЕЭС" МЭС Урала</v>
          </cell>
        </row>
        <row r="33">
          <cell r="A33" t="str">
            <v>ОАО "ФСК ЕЭС" МЭС Центра</v>
          </cell>
        </row>
        <row r="34">
          <cell r="A34" t="str">
            <v>ОАО "ФСК ЕЭС" МЭС Юга</v>
          </cell>
        </row>
        <row r="35">
          <cell r="A35" t="str">
            <v>ОАО "ФСК ЕЭС" филиал Валдайское ПМЭС</v>
          </cell>
        </row>
        <row r="36">
          <cell r="A36" t="str">
            <v>ОАО "ФСК ЕЭС" филиал Волго-Окское ПМЭС</v>
          </cell>
        </row>
        <row r="37">
          <cell r="A37" t="str">
            <v>ОАО "Южное ИЦЭ"</v>
          </cell>
        </row>
        <row r="38">
          <cell r="A38" t="str">
            <v>ОАО "Янтарьэнерго"</v>
          </cell>
        </row>
        <row r="39">
          <cell r="A39" t="str">
            <v>ООО  "ЭЛКО Технологии СПб"</v>
          </cell>
        </row>
        <row r="40">
          <cell r="A40" t="str">
            <v>ООО "АрхиГАП"</v>
          </cell>
        </row>
        <row r="41">
          <cell r="A41" t="str">
            <v xml:space="preserve">ООО "Витасвязь" </v>
          </cell>
        </row>
        <row r="42">
          <cell r="A42" t="str">
            <v>ООО "ИКЦ "Экспертриск"</v>
          </cell>
        </row>
        <row r="43">
          <cell r="A43" t="str">
            <v>ООО "Инжиниринговый центр Энерго"</v>
          </cell>
        </row>
        <row r="44">
          <cell r="A44" t="str">
            <v>ООО "ИнтерЭСП"</v>
          </cell>
        </row>
        <row r="45">
          <cell r="A45" t="str">
            <v>ООО "ОМК-Сталь"</v>
          </cell>
        </row>
        <row r="46">
          <cell r="A46" t="str">
            <v>ООО "ПРОЕКТИНВЕСТ"</v>
          </cell>
        </row>
        <row r="47">
          <cell r="A47" t="str">
            <v>ООО "Сибэнергосетьпроект"</v>
          </cell>
        </row>
        <row r="48">
          <cell r="A48" t="str">
            <v>ООО "СМУ в г. Калининграде. ДО ОАО "Союзтелефонстрой"</v>
          </cell>
        </row>
        <row r="49">
          <cell r="A49" t="str">
            <v>ООО "Спецмонтажсервис"</v>
          </cell>
        </row>
        <row r="50">
          <cell r="A50" t="str">
            <v>ООО "СУНЭТО"</v>
          </cell>
        </row>
        <row r="51">
          <cell r="A51" t="str">
            <v>ООО "Энергоинжиниринг"</v>
          </cell>
        </row>
        <row r="52">
          <cell r="A52" t="str">
            <v>ООО "Энергокомплект-Сервис"</v>
          </cell>
        </row>
        <row r="53">
          <cell r="A53" t="str">
            <v>ООО "Энергосетьпроект-НН"</v>
          </cell>
        </row>
        <row r="54">
          <cell r="A54" t="str">
            <v>ООО "Энерго-Юг"</v>
          </cell>
        </row>
        <row r="55">
          <cell r="A55" t="str">
            <v>ООО НПФ "ЭЛНАП"</v>
          </cell>
        </row>
        <row r="56">
          <cell r="A56" t="str">
            <v>ООО НПЦ "ЭСиС"</v>
          </cell>
        </row>
        <row r="57">
          <cell r="A57" t="str">
            <v>ОРЗАУМ</v>
          </cell>
        </row>
        <row r="58">
          <cell r="A58" t="str">
            <v>ООО СП Строймеханизация</v>
          </cell>
        </row>
        <row r="59">
          <cell r="A59" t="str">
            <v>Субподрядчик</v>
          </cell>
        </row>
        <row r="60">
          <cell r="A60" t="str">
            <v>транспорт</v>
          </cell>
        </row>
        <row r="61">
          <cell r="A61" t="str">
            <v>Филиал "Институт Тулаэнергосетьпроект" ОАО "СевЗап НТЦ"</v>
          </cell>
        </row>
        <row r="62">
          <cell r="A62" t="str">
            <v>Филиал ОАО "Инженерный центр ЕЭС" - "Фирма ОРГРЭС"</v>
          </cell>
        </row>
        <row r="63">
          <cell r="A63" t="str">
            <v>ХЗ</v>
          </cell>
        </row>
        <row r="64">
          <cell r="A64" t="str">
            <v>ХЗ1</v>
          </cell>
        </row>
        <row r="65">
          <cell r="A65" t="str">
            <v>ХЗ2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а"/>
      <sheetName val="Product"/>
      <sheetName val="Обновление"/>
      <sheetName val="Лист1"/>
      <sheetName val="Книга1"/>
      <sheetName val="График"/>
      <sheetName val="Суточная"/>
      <sheetName val="Коэфф1."/>
      <sheetName val="Смета"/>
      <sheetName val="Зап-3- СЦБ"/>
      <sheetName val="Смета2 проект. раб."/>
      <sheetName val="смета 2 проект. работы"/>
      <sheetName val="Кредиты"/>
      <sheetName val="топография"/>
      <sheetName val="Шкаф"/>
      <sheetName val="Прайс лист"/>
      <sheetName val="1.2 геол"/>
      <sheetName val="5 П"/>
      <sheetName val="3 акт П"/>
      <sheetName val="1.1 геод"/>
      <sheetName val="MAIN_PARAMETERS"/>
      <sheetName val="4сд"/>
      <sheetName val="2сд"/>
      <sheetName val="7сд"/>
      <sheetName val="медведицкая"/>
      <sheetName val="медведицкая (2)"/>
      <sheetName val="Сумма прописью"/>
      <sheetName val="132-155"/>
      <sheetName val="зай"/>
      <sheetName val="сводная рд"/>
      <sheetName val="волгард"/>
      <sheetName val="706-793вл"/>
      <sheetName val="626-706вл"/>
      <sheetName val="прим-рд"/>
      <sheetName val="нпс2рд"/>
      <sheetName val="нпс3рд "/>
      <sheetName val="нпс кириши рд"/>
      <sheetName val="73-94рд"/>
      <sheetName val="538-626"/>
      <sheetName val="515-538рд"/>
      <sheetName val="дружба"/>
      <sheetName val="яросл2"/>
      <sheetName val="155-253"/>
      <sheetName val="обследование"/>
      <sheetName val="новгород"/>
      <sheetName val="515-538"/>
      <sheetName val="НПС-2"/>
      <sheetName val="НПС-3 "/>
      <sheetName val="которосль"/>
      <sheetName val="улейма"/>
      <sheetName val="ярославль"/>
      <sheetName val="уфа"/>
      <sheetName val="#ССЫЛКА"/>
      <sheetName val="Лист2"/>
      <sheetName val="Лист3"/>
      <sheetName val="Смета 1"/>
      <sheetName val="Коэф"/>
      <sheetName val="DMTR_BP_03"/>
      <sheetName val="вариант"/>
      <sheetName val="ПДР"/>
      <sheetName val="Calc"/>
      <sheetName val="ID"/>
      <sheetName val="Таблица 2"/>
      <sheetName val="РП"/>
      <sheetName val="К.рын"/>
      <sheetName val="Титул1"/>
      <sheetName val="Титул2"/>
      <sheetName val="Титул3"/>
      <sheetName val="Упр"/>
      <sheetName val="свод"/>
      <sheetName val="Таблица 3"/>
      <sheetName val="СС"/>
      <sheetName val="информация"/>
      <sheetName val="Summary"/>
      <sheetName val="Tabelle3"/>
      <sheetName val="Данные для расчёта сметы"/>
      <sheetName val="ПОДПИСИ"/>
      <sheetName val="медведицкая_(2)"/>
      <sheetName val="Сумма_прописью"/>
      <sheetName val="сводная_рд"/>
      <sheetName val="нпс3рд_"/>
      <sheetName val="нпс_кириши_рд"/>
      <sheetName val="НПС-3_"/>
      <sheetName val="Список прогонов за месяц"/>
      <sheetName val="1.1"/>
      <sheetName val="93-110"/>
      <sheetName val="Сводная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20"/>
      <sheetName val="Восстановл_Лист49"/>
      <sheetName val="Восстановл_Лист21"/>
      <sheetName val="Расчет зарплаты"/>
      <sheetName val="Табл38-7"/>
      <sheetName val="ЭХЗ"/>
      <sheetName val="№5 СУБ Инж защ"/>
      <sheetName val="13.1"/>
      <sheetName val="Харьяга-индига(ПР-Трасса+реки)"/>
      <sheetName val="к.84-к.83"/>
      <sheetName val="свод 2"/>
      <sheetName val="HP и оргтехника"/>
      <sheetName val="свод 3"/>
      <sheetName val="СметаСводная Колпино"/>
      <sheetName val="СметаСводная"/>
      <sheetName val="См3 СЦБ-зап"/>
      <sheetName val="ИГ1"/>
      <sheetName val="СметаСводная снег"/>
      <sheetName val="см8"/>
      <sheetName val="Смета 7"/>
      <sheetName val="Смета 1свод"/>
      <sheetName val="шаблон"/>
      <sheetName val="Ф-1"/>
      <sheetName val="Справочники"/>
      <sheetName val="Разработка проекта"/>
      <sheetName val="RSOILBAL"/>
      <sheetName val="Итог Лена"/>
      <sheetName val="Итого М. (2)"/>
      <sheetName val="условия"/>
      <sheetName val="Итог Антиснег11.01"/>
      <sheetName val="Входные параметрыВНГДУ"/>
      <sheetName val="1"/>
      <sheetName val="Прил 6.51-Упр рас"/>
      <sheetName val=""/>
      <sheetName val="Материалы"/>
      <sheetName val="6_11_1  сторонние"/>
      <sheetName val="Восстановл_Лист12"/>
      <sheetName val="Восстановл_Лист18"/>
      <sheetName val="Восстановл_Лист14"/>
      <sheetName val="Восстановл_Лист16"/>
      <sheetName val="Восстановл_Лист5"/>
      <sheetName val="Восстановл_Лист13"/>
      <sheetName val="Восстановл_Лист19"/>
      <sheetName val="Восстановл_Лист7"/>
      <sheetName val="Восстановл_Лист15"/>
      <sheetName val="Восстановл_Лист17"/>
      <sheetName val="Ли啁䉓C"/>
      <sheetName val="БАЛАНС"/>
      <sheetName val="Documents and Settings\Halilova"/>
      <sheetName val="ТИТУЛ"/>
      <sheetName val="ОБЩЕСТВА"/>
      <sheetName val="Приморск БДС"/>
      <sheetName val="ААС М.Вешак (259,8)_x0000__x0000_İŹ_x0000__x0004__x0000__x0000__x0000__x0000__x0000__x0000_"/>
      <sheetName val="ААС М.Вешак (259,8)??İŹ?_x0004_??????"/>
      <sheetName val="Проверка и настройка параметров"/>
      <sheetName val="AccountingQtyTotal"/>
      <sheetName val="Пример расчета"/>
      <sheetName val="SP173И1"/>
      <sheetName val="SP173И2"/>
      <sheetName val="SP173И3"/>
      <sheetName val="SP353СИ1"/>
      <sheetName val="SP353СИ2"/>
      <sheetName val="SP353ЦИ1"/>
      <sheetName val="SP353ЦИ2"/>
      <sheetName val="SakhNIPI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рмация"/>
    </sheetNames>
    <sheetDataSet>
      <sheetData sheetId="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ГИП"/>
      <sheetName val="ОРФиСО"/>
      <sheetName val="Филиалы"/>
      <sheetName val="анн"/>
      <sheetName val="связи"/>
      <sheetName val="информ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B8">
            <v>39426.518341319446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ГИП"/>
      <sheetName val="ОРФиСО"/>
      <sheetName val="Филиалы"/>
      <sheetName val="анн"/>
      <sheetName val="связи"/>
      <sheetName val="информ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 на 9114"/>
      <sheetName val="Коэфф1."/>
      <sheetName val="Прайс лист"/>
      <sheetName val="СП"/>
      <sheetName val="КП"/>
      <sheetName val="СП-1"/>
      <sheetName val="СП-2"/>
      <sheetName val="СП-3"/>
      <sheetName val="СП-4"/>
      <sheetName val="СП-5"/>
      <sheetName val="Спец"/>
      <sheetName val="Шкаф"/>
      <sheetName val="Сервис"/>
      <sheetName val="ЗИП"/>
      <sheetName val="Труд"/>
      <sheetName val="Тепло"/>
      <sheetName val="База"/>
      <sheetName val="MACRO"/>
      <sheetName val="Коэфф1_"/>
      <sheetName val="Прайс_на_9114"/>
      <sheetName val="Коэфф1_1"/>
      <sheetName val="Прайс_лист"/>
      <sheetName val="см8"/>
      <sheetName val="топография"/>
      <sheetName val="свод"/>
      <sheetName val="Данные для расчёта сметы"/>
      <sheetName val="ПРАЙС_2000 ОТ 20_01_00"/>
      <sheetName val="Смета"/>
      <sheetName val="#ССЫЛКА"/>
      <sheetName val="93-110"/>
      <sheetName val="свод1"/>
      <sheetName val="СметаСводная Рыб"/>
      <sheetName val="Пояснение "/>
      <sheetName val="сводная"/>
      <sheetName val="кп (3)"/>
      <sheetName val="БП НОВЫЙ"/>
      <sheetName val="СметаСводная павильон"/>
      <sheetName val="Лист3"/>
      <sheetName val="информация"/>
      <sheetName val="Пример расчета"/>
      <sheetName val="СметаСводная"/>
      <sheetName val="Итог"/>
      <sheetName val="СметаСводная снег"/>
      <sheetName val="sapactivexlhiddensheet"/>
      <sheetName val="Сервис_x0000__x0000__x0000__x0000__x0000__x0000__x0000__x0000__x0000__x0009__x0000_✈ʷ_x0000__x0004__x0000__x0000__x0000__x0000__x0000__x0000_ᩀʷ_x0000__x0000_"/>
      <sheetName val="Сервис?????????_x0009_?✈ʷ?_x0004_??????ᩀʷ??"/>
      <sheetName val="ПДР"/>
      <sheetName val="таблица руководству"/>
      <sheetName val="Суточная добыча за неделю"/>
      <sheetName val="Лист1"/>
      <sheetName val="Обновление"/>
      <sheetName val="Цена"/>
      <sheetName val="Product"/>
      <sheetName val="янв."/>
      <sheetName val="Сервис_x0000__x0000__x0000__x0000__x0000__x0000__x0000__x0000__x0000_ _x0000_✈ʷ_x0000__x0004__x0000__x0000__x0000__x0000__x0000__x0000_ᩀʷ_x0000__x0000_"/>
      <sheetName val="Спр_общий"/>
      <sheetName val="Ярково"/>
      <sheetName val="Таблица 4 АСУТП"/>
      <sheetName val="шаблон"/>
      <sheetName val="list"/>
      <sheetName val="часы"/>
      <sheetName val="ИГ1"/>
      <sheetName val="Объемы работ по ПВ"/>
    </sheetNames>
    <sheetDataSet>
      <sheetData sheetId="0" refreshError="1"/>
      <sheetData sheetId="1" refreshError="1">
        <row r="7">
          <cell r="E7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Глав"/>
      <sheetName val="ОбмОбслЗемОд"/>
      <sheetName val="КалендПлан"/>
      <sheetName val="СводнСм"/>
      <sheetName val="СводнСм ГАП"/>
      <sheetName val="СмШурф"/>
      <sheetName val="СмРучБур"/>
      <sheetName val="СмМашБур"/>
      <sheetName val="ОБмГеодезия"/>
      <sheetName val="СмШурфКонтр"/>
      <sheetName val="СмРучБурКонтр"/>
    </sheetNames>
    <sheetDataSet>
      <sheetData sheetId="0"/>
      <sheetData sheetId="1" refreshError="1">
        <row r="2">
          <cell r="F2" t="str">
            <v>к договору № **/п-**-2007 от **.**.2007 г.</v>
          </cell>
        </row>
        <row r="28">
          <cell r="E28">
            <v>26.88</v>
          </cell>
        </row>
      </sheetData>
      <sheetData sheetId="2"/>
      <sheetData sheetId="3"/>
      <sheetData sheetId="4"/>
      <sheetData sheetId="5"/>
      <sheetData sheetId="6">
        <row r="39">
          <cell r="K39">
            <v>0</v>
          </cell>
        </row>
      </sheetData>
      <sheetData sheetId="7"/>
      <sheetData sheetId="8"/>
      <sheetData sheetId="9" refreshError="1"/>
      <sheetData sheetId="1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вод"/>
      <sheetName val="Смета"/>
      <sheetName val="Лист2"/>
      <sheetName val="СметаСводная снег"/>
      <sheetName val="93-110"/>
      <sheetName val="Лист опроса"/>
      <sheetName val="к.84-к.83"/>
      <sheetName val="Шкаф"/>
      <sheetName val="Коэфф1.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см8"/>
      <sheetName val="Данные для расчёта сметы"/>
      <sheetName val="Зап-3- СЦБ"/>
      <sheetName val="СМЕТА проект"/>
      <sheetName val="ТИТУЛ"/>
      <sheetName val="6.14"/>
      <sheetName val="ОБЩЕСТВА"/>
      <sheetName val="6.3.1"/>
      <sheetName val="6.20"/>
      <sheetName val="6.4.1"/>
      <sheetName val="ПРОГНОЗ_1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топо"/>
      <sheetName val="6.14_КР"/>
      <sheetName val="Прилож"/>
      <sheetName val="ПДР"/>
      <sheetName val="DATA"/>
      <sheetName val="вариант"/>
      <sheetName val="Обновление"/>
      <sheetName val="Цена"/>
      <sheetName val="Product"/>
      <sheetName val="Summary"/>
      <sheetName val="Пример расчета"/>
      <sheetName val="свод 2"/>
      <sheetName val="Табл38-7"/>
      <sheetName val="все"/>
      <sheetName val="информация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График"/>
      <sheetName val="2002(v2)"/>
      <sheetName val="справ."/>
      <sheetName val="справ_"/>
      <sheetName val="2002_v2_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С"/>
      <sheetName val="Смета 1"/>
      <sheetName val="РП"/>
      <sheetName val="данные"/>
      <sheetName val="Баланс"/>
      <sheetName val="Production and Spend"/>
      <sheetName val="sapactivexlhiddensheet"/>
      <sheetName val="OCK1"/>
      <sheetName val="1.3"/>
      <sheetName val="ИГ1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шаблон"/>
      <sheetName val="1"/>
      <sheetName val="Пояснение 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исходные данные"/>
      <sheetName val="расчетные таблицы"/>
      <sheetName val="5ОборРабМест(HP)"/>
      <sheetName val="СметаСводная Колпино"/>
      <sheetName val="HP и оргтехника"/>
      <sheetName val="оборудован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Вспомогательный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8"/>
      <sheetName val="исх-данные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Р 09-07_(2021г)"/>
      <sheetName val="ОСР 09-07 (2000г.)"/>
      <sheetName val="ЛСР 09-07-01"/>
      <sheetName val="ЛСР 09-07-02"/>
      <sheetName val="ЛСР 09-07-03"/>
    </sheetNames>
    <sheetDataSet>
      <sheetData sheetId="0" refreshError="1"/>
      <sheetData sheetId="1" refreshError="1"/>
      <sheetData sheetId="2" refreshError="1">
        <row r="36">
          <cell r="G36">
            <v>10704.012638230648</v>
          </cell>
        </row>
        <row r="38">
          <cell r="G38">
            <v>63148.959999999999</v>
          </cell>
        </row>
      </sheetData>
      <sheetData sheetId="3" refreshError="1">
        <row r="32">
          <cell r="I32">
            <v>2172.7310924369744</v>
          </cell>
        </row>
        <row r="35">
          <cell r="I35">
            <v>11867.67</v>
          </cell>
        </row>
      </sheetData>
      <sheetData sheetId="4" refreshError="1">
        <row r="36">
          <cell r="G36">
            <v>22517.985781990523</v>
          </cell>
        </row>
        <row r="38">
          <cell r="G38">
            <v>132846.21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рамма ГТМ"/>
      <sheetName val="ОСР ПИР (2021 г.)"/>
      <sheetName val="ОСР ПИР (2000 г)."/>
      <sheetName val="ОСР ПИР ( 2001 г.)"/>
      <sheetName val="ЛСР 12-01-01"/>
      <sheetName val="ЛСР 12-01-02"/>
      <sheetName val="ЛСР 12-01-03"/>
      <sheetName val="ЛСР 12-01-04"/>
      <sheetName val="ЛСР 12-01-05"/>
      <sheetName val="ЛСР 12-01-06"/>
      <sheetName val="ЛСР 12-02-01"/>
      <sheetName val="ЛСР 12-03-01"/>
      <sheetName val="ЛСР 12-06-01"/>
      <sheetName val="ЛСР 12-07-01"/>
      <sheetName val="СР-7"/>
    </sheetNames>
    <sheetDataSet>
      <sheetData sheetId="0" refreshError="1"/>
      <sheetData sheetId="1"/>
      <sheetData sheetId="2"/>
      <sheetData sheetId="3" refreshError="1"/>
      <sheetData sheetId="4">
        <row r="25">
          <cell r="L25">
            <v>140971.87</v>
          </cell>
        </row>
        <row r="26">
          <cell r="L26">
            <v>111352.19</v>
          </cell>
        </row>
        <row r="27">
          <cell r="L27">
            <v>656928.91</v>
          </cell>
        </row>
      </sheetData>
      <sheetData sheetId="5">
        <row r="72">
          <cell r="I72">
            <v>1095497.68</v>
          </cell>
        </row>
        <row r="73">
          <cell r="I73">
            <v>865221.56</v>
          </cell>
        </row>
        <row r="74">
          <cell r="I74">
            <v>5100760.53</v>
          </cell>
        </row>
      </sheetData>
      <sheetData sheetId="6">
        <row r="52">
          <cell r="G52">
            <v>110791.67</v>
          </cell>
        </row>
        <row r="53">
          <cell r="G53">
            <v>87503.01</v>
          </cell>
        </row>
        <row r="54">
          <cell r="G54">
            <v>515858.48</v>
          </cell>
        </row>
      </sheetData>
      <sheetData sheetId="7">
        <row r="46">
          <cell r="J46">
            <v>56775.19</v>
          </cell>
        </row>
        <row r="47">
          <cell r="J47">
            <v>44840.91</v>
          </cell>
        </row>
        <row r="48">
          <cell r="J48">
            <v>264351.65000000002</v>
          </cell>
        </row>
      </sheetData>
      <sheetData sheetId="8">
        <row r="43">
          <cell r="J43">
            <v>98293.65</v>
          </cell>
        </row>
      </sheetData>
      <sheetData sheetId="9">
        <row r="92">
          <cell r="G92">
            <v>149949.04</v>
          </cell>
        </row>
      </sheetData>
      <sheetData sheetId="10">
        <row r="1001">
          <cell r="I1001">
            <v>2513659</v>
          </cell>
        </row>
      </sheetData>
      <sheetData sheetId="11">
        <row r="826">
          <cell r="I826">
            <v>2822850</v>
          </cell>
        </row>
      </sheetData>
      <sheetData sheetId="12"/>
      <sheetData sheetId="13"/>
      <sheetData sheetId="14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 НКД"/>
      <sheetName val="ГТ север "/>
      <sheetName val="Сопоставительная ведомость"/>
      <sheetName val="состав СД"/>
      <sheetName val="ССРСС(2000г )"/>
      <sheetName val="ССРСС(2021г.)"/>
      <sheetName val="ОСР 01-01(2000г)"/>
      <sheetName val="ОСР 01-01 (2021г)"/>
      <sheetName val=" ЛСР 01-01-01"/>
      <sheetName val="ЛСР 01-01-02"/>
      <sheetName val="ОСР 01-02(2000г)"/>
      <sheetName val="ОСР 01-02(2021г)"/>
      <sheetName val="ЛСР 01-02-01"/>
      <sheetName val="ЛСР 01-02-02"/>
      <sheetName val="ЛСР 01-02-03"/>
      <sheetName val="ЛСР 01-03-01 "/>
      <sheetName val="ЛСР 01-04-01"/>
      <sheetName val="ОСР 02-01(2000г)"/>
      <sheetName val="ОСР 02-01(2021г)"/>
      <sheetName val="ЛСР 02-01-01"/>
      <sheetName val="ЛСР 02-01-02"/>
      <sheetName val="ЛСР 02-01-03"/>
      <sheetName val="ЛСР 02-01-04"/>
      <sheetName val="ЛСР 02-01-05"/>
      <sheetName val="ЛСР 02-01-06 "/>
      <sheetName val="ЛСР 02-01-07"/>
      <sheetName val="ОСР 03-01(2000г)"/>
      <sheetName val="ОСР 03-01(2021г)"/>
      <sheetName val="ЛСР 03-01-01"/>
      <sheetName val="ЛСР 03-01-02"/>
      <sheetName val="ЛСР 03-01-03"/>
      <sheetName val="ЛСР 03-01-04"/>
      <sheetName val="ЛСР 03-01-05"/>
      <sheetName val="ЛСР 03-01-06"/>
      <sheetName val="ЛСР 03-01-07"/>
      <sheetName val=" ЛСР 03-01-08"/>
      <sheetName val="ЛСР 03-01-09"/>
      <sheetName val="ЛСР 03-01-10"/>
      <sheetName val="ЛСР 03-01-11"/>
      <sheetName val="ЛСР 03-01-12"/>
      <sheetName val="ОСР 03-02(2000г)"/>
      <sheetName val="ОСР 03-02(2021г)"/>
      <sheetName val="ЛСР 03-02-01 "/>
      <sheetName val="ЛСР 03-02-02"/>
      <sheetName val="ЛСР 03-02-03"/>
      <sheetName val="ОСР 03-03(2000г)"/>
      <sheetName val="ОСР03-03(2021г)"/>
      <sheetName val="ЛСР 03-03-01"/>
      <sheetName val="ЛСР 03-03-02"/>
      <sheetName val="ЛСР 03-03-03"/>
      <sheetName val="ЛСР 03-04-01"/>
      <sheetName val="ОСР 04-01(2000г)"/>
      <sheetName val="ОСР04-01(2021г)"/>
      <sheetName val="ЛСР 04-01-01"/>
      <sheetName val="ЛСР 04-01-02"/>
      <sheetName val="ОСР 04-02(2000г)"/>
      <sheetName val="ОСР04-02(2021г)"/>
      <sheetName val="ЛСР 04-02-01"/>
      <sheetName val="ЛСР 04-02-02"/>
      <sheetName val="ЛСР 05-01-01"/>
      <sheetName val="ОСР 05-02(2000г)"/>
      <sheetName val="ОСР 05-02(2021г)"/>
      <sheetName val="ЛСР 05-02-01"/>
      <sheetName val="ЛСР 05-02-02"/>
      <sheetName val="ЛСР 05-02-03"/>
      <sheetName val="ЛСР 05-03-01"/>
      <sheetName val="ЛСР 06-01-01"/>
      <sheetName val="ОСР 06-02(2000г)"/>
      <sheetName val="ОСР06-02(2021г)"/>
      <sheetName val="ЛСР 06-02-01"/>
      <sheetName val="ЛСР 06-02-02"/>
      <sheetName val="ЛСР 06-02-03"/>
      <sheetName val="ЛСР 06-02-04"/>
      <sheetName val="ЛСР 06-02-05"/>
      <sheetName val="ОСР 07-01(2000г)"/>
      <sheetName val="ОСР07-01(2021г)"/>
      <sheetName val="ЛСР 07-01-01"/>
      <sheetName val="ЛСР 07-01-02"/>
      <sheetName val="ЛСР 07-01-03"/>
      <sheetName val="ЛСР 07-01-04"/>
      <sheetName val="ОСР 07-02(2000г)"/>
      <sheetName val="ОСР 07-02(2021г)"/>
      <sheetName val="ЛСР 07-02-01"/>
      <sheetName val="ЛСР 07-02-02"/>
      <sheetName val="Расчет 09-01-01"/>
      <sheetName val="Расчет 09-02-01"/>
      <sheetName val="Расчет 09-03-01"/>
      <sheetName val="ОСР 09-04(2000г)"/>
      <sheetName val="ОСР 09-04 (2021г)"/>
      <sheetName val="ЛСР 09-04-01"/>
      <sheetName val="ЛСР 09-04-02 "/>
      <sheetName val="Расчет 09-05-01"/>
      <sheetName val="Расчет 09-06-01 "/>
      <sheetName val="ОСР 09-07_(2021г)"/>
      <sheetName val="ОСР 09-07 (2000г.)"/>
      <sheetName val="ЛСР 09-07-01"/>
      <sheetName val="ЛСР 09-07-02"/>
      <sheetName val="ЛСР 09-07-03"/>
      <sheetName val="Расчет 09-08-01"/>
      <sheetName val="Расчет 10-01-01"/>
      <sheetName val="ОСР ПИР (2021 г.)"/>
      <sheetName val="ОСР ПИР (2000 г)."/>
      <sheetName val="ОСР ПИР ( 2001 г.)"/>
      <sheetName val="ЛСР 12-01-01"/>
      <sheetName val="ЛСР 12-01-02"/>
      <sheetName val="ЛСР 12-01-03"/>
      <sheetName val="ЛСР 12-01-04"/>
      <sheetName val="ЛСР 12-01-05"/>
      <sheetName val="ЛСР 12-01-06"/>
      <sheetName val="ЛСР 12-01-06 (2)"/>
      <sheetName val="ЛСР 12-02-01"/>
      <sheetName val="ЛСР 12-03-01"/>
      <sheetName val="Расчет 12-04-01"/>
      <sheetName val="Расчет 12-05-01"/>
      <sheetName val="ЛСР 12-06-01"/>
      <sheetName val="ЛСР 12-07-01"/>
      <sheetName val="СР-7"/>
      <sheetName val=" Калькуляция №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>
        <row r="92">
          <cell r="G92">
            <v>141474.51999999999</v>
          </cell>
        </row>
        <row r="93">
          <cell r="G93">
            <v>111736.25</v>
          </cell>
        </row>
        <row r="94">
          <cell r="G94">
            <v>658721.30000000005</v>
          </cell>
        </row>
      </sheetData>
      <sheetData sheetId="109"/>
      <sheetData sheetId="110">
        <row r="944">
          <cell r="I944">
            <v>1986950</v>
          </cell>
        </row>
        <row r="945">
          <cell r="I945">
            <v>10852922</v>
          </cell>
        </row>
      </sheetData>
      <sheetData sheetId="111">
        <row r="766">
          <cell r="I766">
            <v>2347235</v>
          </cell>
        </row>
        <row r="767">
          <cell r="I767">
            <v>12820834</v>
          </cell>
        </row>
      </sheetData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а"/>
      <sheetName val="Product"/>
      <sheetName val="Обновление"/>
      <sheetName val="Лист1"/>
      <sheetName val="Книг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45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4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48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4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2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57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5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1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7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73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7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"/>
  <sheetViews>
    <sheetView workbookViewId="0">
      <selection activeCell="L35" sqref="L35"/>
    </sheetView>
  </sheetViews>
  <sheetFormatPr defaultRowHeight="15" x14ac:dyDescent="0.25"/>
  <cols>
    <col min="1" max="16384" width="9.140625" style="3"/>
  </cols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J97"/>
  <sheetViews>
    <sheetView showGridLines="0" view="pageBreakPreview" zoomScale="80" zoomScaleNormal="100" zoomScaleSheetLayoutView="80" workbookViewId="0">
      <pane ySplit="7" topLeftCell="A8" activePane="bottomLeft" state="frozen"/>
      <selection pane="bottomLeft" activeCell="I97" sqref="A1:I97"/>
    </sheetView>
  </sheetViews>
  <sheetFormatPr defaultRowHeight="12.75" outlineLevelRow="3" x14ac:dyDescent="0.2"/>
  <cols>
    <col min="1" max="1" width="8.140625" style="1" customWidth="1"/>
    <col min="2" max="2" width="16.5703125" style="1" hidden="1" customWidth="1"/>
    <col min="3" max="3" width="42.7109375" style="1" customWidth="1"/>
    <col min="4" max="4" width="11.5703125" style="1" customWidth="1"/>
    <col min="5" max="5" width="13" style="1" customWidth="1"/>
    <col min="6" max="6" width="18.140625" style="1" bestFit="1" customWidth="1"/>
    <col min="7" max="7" width="18.140625" style="1" customWidth="1"/>
    <col min="8" max="9" width="17" style="1" customWidth="1"/>
    <col min="10" max="16384" width="9.140625" style="1"/>
  </cols>
  <sheetData>
    <row r="1" spans="1:9" ht="42" customHeight="1" x14ac:dyDescent="0.2">
      <c r="A1" s="1719" t="s">
        <v>10403</v>
      </c>
      <c r="B1" s="1719"/>
      <c r="C1" s="1719"/>
      <c r="D1" s="1719"/>
      <c r="E1" s="1719"/>
      <c r="F1" s="1719"/>
      <c r="G1" s="1719"/>
      <c r="H1" s="1719"/>
      <c r="I1" s="1719"/>
    </row>
    <row r="2" spans="1:9" x14ac:dyDescent="0.2">
      <c r="A2" s="1461"/>
      <c r="B2" s="7"/>
      <c r="C2" s="8"/>
      <c r="D2" s="8"/>
      <c r="E2" s="8"/>
    </row>
    <row r="3" spans="1:9" ht="27.75" customHeight="1" x14ac:dyDescent="0.2">
      <c r="A3" s="1462" t="s">
        <v>10194</v>
      </c>
      <c r="B3" s="1718" t="str">
        <f>'ССРСС(2021г.)'!C14</f>
        <v>Всесезонный туристско-рекреационный комплекс «Эльбрус»,
Кабардино-Балкарская Республика. Открытая плоскостная парковка  на 800 машино-мест.</v>
      </c>
      <c r="C3" s="1718"/>
      <c r="D3" s="1718"/>
      <c r="E3" s="1718"/>
      <c r="F3" s="1718"/>
      <c r="G3" s="1718"/>
      <c r="H3" s="1718"/>
      <c r="I3" s="1718"/>
    </row>
    <row r="4" spans="1:9" x14ac:dyDescent="0.2">
      <c r="A4" s="1461"/>
      <c r="B4" s="7"/>
      <c r="C4" s="8"/>
      <c r="D4" s="8"/>
      <c r="E4" s="8"/>
    </row>
    <row r="5" spans="1:9" ht="12.75" customHeight="1" x14ac:dyDescent="0.2">
      <c r="A5" s="1716" t="s">
        <v>287</v>
      </c>
      <c r="B5" s="1721" t="s">
        <v>10399</v>
      </c>
      <c r="C5" s="1716" t="s">
        <v>10400</v>
      </c>
      <c r="D5" s="1716" t="s">
        <v>177</v>
      </c>
      <c r="E5" s="1716" t="s">
        <v>10401</v>
      </c>
      <c r="F5" s="1720" t="s">
        <v>9489</v>
      </c>
      <c r="G5" s="1720"/>
      <c r="H5" s="1720" t="s">
        <v>10204</v>
      </c>
      <c r="I5" s="1720"/>
    </row>
    <row r="6" spans="1:9" ht="50.25" customHeight="1" x14ac:dyDescent="0.2">
      <c r="A6" s="1717"/>
      <c r="B6" s="1722"/>
      <c r="C6" s="1717"/>
      <c r="D6" s="1717"/>
      <c r="E6" s="1717"/>
      <c r="F6" s="1627" t="s">
        <v>10404</v>
      </c>
      <c r="G6" s="1628" t="s">
        <v>10405</v>
      </c>
      <c r="H6" s="1627" t="s">
        <v>10404</v>
      </c>
      <c r="I6" s="1628" t="s">
        <v>10405</v>
      </c>
    </row>
    <row r="7" spans="1:9" x14ac:dyDescent="0.2">
      <c r="A7" s="1467">
        <v>1</v>
      </c>
      <c r="B7" s="1467">
        <v>2</v>
      </c>
      <c r="C7" s="1467">
        <v>2</v>
      </c>
      <c r="D7" s="1467">
        <v>3</v>
      </c>
      <c r="E7" s="1467">
        <v>4</v>
      </c>
      <c r="F7" s="1467">
        <v>5</v>
      </c>
      <c r="G7" s="1467">
        <v>6</v>
      </c>
      <c r="H7" s="1467">
        <v>7</v>
      </c>
      <c r="I7" s="1467">
        <v>8</v>
      </c>
    </row>
    <row r="8" spans="1:9" s="1543" customFormat="1" ht="15.75" x14ac:dyDescent="0.25">
      <c r="A8" s="1544">
        <v>1</v>
      </c>
      <c r="B8" s="1544"/>
      <c r="C8" s="1544" t="s">
        <v>10236</v>
      </c>
      <c r="D8" s="1633" t="s">
        <v>10402</v>
      </c>
      <c r="E8" s="1633">
        <v>1</v>
      </c>
      <c r="F8" s="1649">
        <f>НМЦК!P15</f>
        <v>351421457.45999998</v>
      </c>
      <c r="G8" s="1649">
        <f>E8*F8</f>
        <v>351421457.45999998</v>
      </c>
      <c r="H8" s="1649">
        <f>НМЦК!Q15</f>
        <v>41850337.549999997</v>
      </c>
      <c r="I8" s="1649">
        <f>E8*H8</f>
        <v>41850337.549999997</v>
      </c>
    </row>
    <row r="9" spans="1:9" s="1480" customFormat="1" ht="31.5" customHeight="1" outlineLevel="1" x14ac:dyDescent="0.2">
      <c r="A9" s="1640" t="s">
        <v>571</v>
      </c>
      <c r="B9" s="1468"/>
      <c r="C9" s="1469" t="s">
        <v>10239</v>
      </c>
      <c r="D9" s="1634" t="s">
        <v>10402</v>
      </c>
      <c r="E9" s="1634">
        <v>1</v>
      </c>
      <c r="F9" s="1650">
        <f>НМЦК!P16</f>
        <v>13707601.119999999</v>
      </c>
      <c r="G9" s="1650">
        <f t="shared" ref="G9:G72" si="0">E9*F9</f>
        <v>13707601.119999999</v>
      </c>
      <c r="H9" s="1650">
        <f>НМЦК!Q16</f>
        <v>0</v>
      </c>
      <c r="I9" s="1650">
        <f t="shared" ref="I9:I72" si="1">E9*H9</f>
        <v>0</v>
      </c>
    </row>
    <row r="10" spans="1:9" outlineLevel="2" x14ac:dyDescent="0.2">
      <c r="A10" s="1641" t="s">
        <v>10240</v>
      </c>
      <c r="B10" s="464" t="s">
        <v>6514</v>
      </c>
      <c r="C10" s="464" t="s">
        <v>9645</v>
      </c>
      <c r="D10" s="1625" t="s">
        <v>10402</v>
      </c>
      <c r="E10" s="1625">
        <v>1</v>
      </c>
      <c r="F10" s="1651">
        <f>НМЦК!P17</f>
        <v>13438824.630000001</v>
      </c>
      <c r="G10" s="1651">
        <f t="shared" si="0"/>
        <v>13438824.630000001</v>
      </c>
      <c r="H10" s="1651">
        <f>НМЦК!Q17</f>
        <v>0</v>
      </c>
      <c r="I10" s="1651">
        <f t="shared" si="1"/>
        <v>0</v>
      </c>
    </row>
    <row r="11" spans="1:9" ht="51" outlineLevel="2" x14ac:dyDescent="0.2">
      <c r="A11" s="1641" t="s">
        <v>10241</v>
      </c>
      <c r="B11" s="27" t="s">
        <v>10205</v>
      </c>
      <c r="C11" s="28" t="s">
        <v>10206</v>
      </c>
      <c r="D11" s="1626" t="s">
        <v>10402</v>
      </c>
      <c r="E11" s="1626">
        <v>1</v>
      </c>
      <c r="F11" s="1652">
        <f>НМЦК!P18</f>
        <v>268776.49</v>
      </c>
      <c r="G11" s="1652">
        <f t="shared" si="0"/>
        <v>268776.49</v>
      </c>
      <c r="H11" s="1652">
        <f>НМЦК!Q18</f>
        <v>0</v>
      </c>
      <c r="I11" s="1652">
        <f t="shared" si="1"/>
        <v>0</v>
      </c>
    </row>
    <row r="12" spans="1:9" ht="28.5" outlineLevel="1" x14ac:dyDescent="0.2">
      <c r="A12" s="1642" t="s">
        <v>576</v>
      </c>
      <c r="B12" s="1473"/>
      <c r="C12" s="1469" t="s">
        <v>10234</v>
      </c>
      <c r="D12" s="1634" t="s">
        <v>10402</v>
      </c>
      <c r="E12" s="1634">
        <v>1</v>
      </c>
      <c r="F12" s="1650">
        <f>НМЦК!P19</f>
        <v>337713856.33999997</v>
      </c>
      <c r="G12" s="1650">
        <f t="shared" si="0"/>
        <v>337713856.33999997</v>
      </c>
      <c r="H12" s="1650">
        <f>НМЦК!Q19</f>
        <v>41850337.549999997</v>
      </c>
      <c r="I12" s="1650">
        <f t="shared" si="1"/>
        <v>41850337.549999997</v>
      </c>
    </row>
    <row r="13" spans="1:9" s="456" customFormat="1" outlineLevel="2" x14ac:dyDescent="0.2">
      <c r="A13" s="1643" t="s">
        <v>10242</v>
      </c>
      <c r="B13" s="464" t="s">
        <v>6461</v>
      </c>
      <c r="C13" s="464" t="s">
        <v>18</v>
      </c>
      <c r="D13" s="1625" t="s">
        <v>10402</v>
      </c>
      <c r="E13" s="1625">
        <v>1</v>
      </c>
      <c r="F13" s="1651">
        <f>НМЦК!P20</f>
        <v>1024236.67</v>
      </c>
      <c r="G13" s="1651">
        <f t="shared" si="0"/>
        <v>1024236.67</v>
      </c>
      <c r="H13" s="1651">
        <f>НМЦК!Q20</f>
        <v>0</v>
      </c>
      <c r="I13" s="1651">
        <f t="shared" si="1"/>
        <v>0</v>
      </c>
    </row>
    <row r="14" spans="1:9" s="1446" customFormat="1" outlineLevel="3" x14ac:dyDescent="0.2">
      <c r="A14" s="1644" t="s">
        <v>10243</v>
      </c>
      <c r="B14" s="1442" t="s">
        <v>292</v>
      </c>
      <c r="C14" s="1443" t="s">
        <v>14</v>
      </c>
      <c r="D14" s="1635" t="s">
        <v>10402</v>
      </c>
      <c r="E14" s="1635">
        <v>1</v>
      </c>
      <c r="F14" s="1653">
        <f>НМЦК!P21</f>
        <v>245727.51</v>
      </c>
      <c r="G14" s="1653">
        <f t="shared" si="0"/>
        <v>245727.51</v>
      </c>
      <c r="H14" s="1653">
        <f>НМЦК!Q21</f>
        <v>0</v>
      </c>
      <c r="I14" s="1653">
        <f t="shared" si="1"/>
        <v>0</v>
      </c>
    </row>
    <row r="15" spans="1:9" s="1446" customFormat="1" outlineLevel="3" x14ac:dyDescent="0.2">
      <c r="A15" s="1644" t="s">
        <v>10244</v>
      </c>
      <c r="B15" s="1442" t="s">
        <v>293</v>
      </c>
      <c r="C15" s="1443" t="s">
        <v>275</v>
      </c>
      <c r="D15" s="1635" t="s">
        <v>10402</v>
      </c>
      <c r="E15" s="1635">
        <v>1</v>
      </c>
      <c r="F15" s="1653">
        <f>НМЦК!P22</f>
        <v>778509.16</v>
      </c>
      <c r="G15" s="1653">
        <f t="shared" si="0"/>
        <v>778509.16</v>
      </c>
      <c r="H15" s="1653">
        <f>НМЦК!Q22</f>
        <v>0</v>
      </c>
      <c r="I15" s="1653">
        <f t="shared" si="1"/>
        <v>0</v>
      </c>
    </row>
    <row r="16" spans="1:9" s="456" customFormat="1" outlineLevel="2" x14ac:dyDescent="0.2">
      <c r="A16" s="1645" t="s">
        <v>10245</v>
      </c>
      <c r="B16" s="464" t="s">
        <v>6462</v>
      </c>
      <c r="C16" s="464" t="s">
        <v>17</v>
      </c>
      <c r="D16" s="1625" t="s">
        <v>10402</v>
      </c>
      <c r="E16" s="1625">
        <v>1</v>
      </c>
      <c r="F16" s="1651">
        <f>НМЦК!P23</f>
        <v>342238.83</v>
      </c>
      <c r="G16" s="1651">
        <f t="shared" si="0"/>
        <v>342238.83</v>
      </c>
      <c r="H16" s="1651">
        <f>НМЦК!Q23</f>
        <v>0</v>
      </c>
      <c r="I16" s="1651">
        <f t="shared" si="1"/>
        <v>0</v>
      </c>
    </row>
    <row r="17" spans="1:9" s="456" customFormat="1" outlineLevel="3" x14ac:dyDescent="0.2">
      <c r="A17" s="1644" t="s">
        <v>10246</v>
      </c>
      <c r="B17" s="1442" t="s">
        <v>485</v>
      </c>
      <c r="C17" s="1443" t="s">
        <v>6721</v>
      </c>
      <c r="D17" s="1635" t="s">
        <v>10402</v>
      </c>
      <c r="E17" s="1635">
        <v>1</v>
      </c>
      <c r="F17" s="1653">
        <f>НМЦК!P24</f>
        <v>305060.45</v>
      </c>
      <c r="G17" s="1653">
        <f t="shared" si="0"/>
        <v>305060.45</v>
      </c>
      <c r="H17" s="1653">
        <f>НМЦК!Q24</f>
        <v>0</v>
      </c>
      <c r="I17" s="1653">
        <f t="shared" si="1"/>
        <v>0</v>
      </c>
    </row>
    <row r="18" spans="1:9" s="456" customFormat="1" outlineLevel="3" x14ac:dyDescent="0.2">
      <c r="A18" s="1644" t="s">
        <v>10247</v>
      </c>
      <c r="B18" s="1442" t="s">
        <v>486</v>
      </c>
      <c r="C18" s="1443" t="s">
        <v>6722</v>
      </c>
      <c r="D18" s="1635" t="s">
        <v>10402</v>
      </c>
      <c r="E18" s="1635">
        <v>1</v>
      </c>
      <c r="F18" s="1653">
        <f>НМЦК!P25</f>
        <v>18731.5</v>
      </c>
      <c r="G18" s="1653">
        <f t="shared" si="0"/>
        <v>18731.5</v>
      </c>
      <c r="H18" s="1653">
        <f>НМЦК!Q25</f>
        <v>0</v>
      </c>
      <c r="I18" s="1653">
        <f t="shared" si="1"/>
        <v>0</v>
      </c>
    </row>
    <row r="19" spans="1:9" s="456" customFormat="1" outlineLevel="3" x14ac:dyDescent="0.2">
      <c r="A19" s="1644" t="s">
        <v>10248</v>
      </c>
      <c r="B19" s="1442" t="s">
        <v>6723</v>
      </c>
      <c r="C19" s="1443" t="s">
        <v>6724</v>
      </c>
      <c r="D19" s="1635" t="s">
        <v>10402</v>
      </c>
      <c r="E19" s="1635">
        <v>1</v>
      </c>
      <c r="F19" s="1653">
        <f>НМЦК!P26</f>
        <v>18446.88</v>
      </c>
      <c r="G19" s="1653">
        <f t="shared" si="0"/>
        <v>18446.88</v>
      </c>
      <c r="H19" s="1653">
        <f>НМЦК!Q26</f>
        <v>0</v>
      </c>
      <c r="I19" s="1653">
        <f t="shared" si="1"/>
        <v>0</v>
      </c>
    </row>
    <row r="20" spans="1:9" s="456" customFormat="1" ht="25.5" outlineLevel="2" x14ac:dyDescent="0.2">
      <c r="A20" s="1645" t="s">
        <v>10249</v>
      </c>
      <c r="B20" s="464" t="s">
        <v>7079</v>
      </c>
      <c r="C20" s="464" t="s">
        <v>7075</v>
      </c>
      <c r="D20" s="1625" t="s">
        <v>10402</v>
      </c>
      <c r="E20" s="1625">
        <v>1</v>
      </c>
      <c r="F20" s="1651">
        <f>НМЦК!P27</f>
        <v>1564418.45</v>
      </c>
      <c r="G20" s="1651">
        <f t="shared" si="0"/>
        <v>1564418.45</v>
      </c>
      <c r="H20" s="1651">
        <f>НМЦК!Q27</f>
        <v>0</v>
      </c>
      <c r="I20" s="1651">
        <f t="shared" si="1"/>
        <v>0</v>
      </c>
    </row>
    <row r="21" spans="1:9" s="456" customFormat="1" ht="25.5" outlineLevel="2" x14ac:dyDescent="0.2">
      <c r="A21" s="1645" t="s">
        <v>10250</v>
      </c>
      <c r="B21" s="464" t="s">
        <v>6463</v>
      </c>
      <c r="C21" s="464" t="s">
        <v>6531</v>
      </c>
      <c r="D21" s="1625" t="s">
        <v>10402</v>
      </c>
      <c r="E21" s="1625">
        <v>1</v>
      </c>
      <c r="F21" s="1651">
        <f>НМЦК!P28</f>
        <v>158001.72</v>
      </c>
      <c r="G21" s="1651">
        <f t="shared" si="0"/>
        <v>158001.72</v>
      </c>
      <c r="H21" s="1651">
        <f>НМЦК!Q28</f>
        <v>0</v>
      </c>
      <c r="I21" s="1651">
        <f t="shared" si="1"/>
        <v>0</v>
      </c>
    </row>
    <row r="22" spans="1:9" s="456" customFormat="1" ht="25.5" outlineLevel="2" x14ac:dyDescent="0.2">
      <c r="A22" s="1645" t="s">
        <v>10251</v>
      </c>
      <c r="B22" s="464" t="s">
        <v>6466</v>
      </c>
      <c r="C22" s="464" t="s">
        <v>19</v>
      </c>
      <c r="D22" s="1625" t="s">
        <v>10402</v>
      </c>
      <c r="E22" s="1625">
        <v>1</v>
      </c>
      <c r="F22" s="1651">
        <f>НМЦК!P29</f>
        <v>140658746.90000001</v>
      </c>
      <c r="G22" s="1651">
        <f t="shared" si="0"/>
        <v>140658746.90000001</v>
      </c>
      <c r="H22" s="1651">
        <f>НМЦК!Q29</f>
        <v>13638748.02</v>
      </c>
      <c r="I22" s="1651">
        <f t="shared" si="1"/>
        <v>13638748.02</v>
      </c>
    </row>
    <row r="23" spans="1:9" s="456" customFormat="1" ht="25.5" outlineLevel="3" x14ac:dyDescent="0.2">
      <c r="A23" s="1644" t="s">
        <v>10252</v>
      </c>
      <c r="B23" s="1442" t="s">
        <v>597</v>
      </c>
      <c r="C23" s="1443" t="s">
        <v>598</v>
      </c>
      <c r="D23" s="1635" t="s">
        <v>10402</v>
      </c>
      <c r="E23" s="1635">
        <v>1</v>
      </c>
      <c r="F23" s="1653">
        <f>НМЦК!P30</f>
        <v>11687340.91</v>
      </c>
      <c r="G23" s="1653">
        <f t="shared" si="0"/>
        <v>11687340.91</v>
      </c>
      <c r="H23" s="1653">
        <f>НМЦК!Q30</f>
        <v>11276449.75</v>
      </c>
      <c r="I23" s="1653">
        <f t="shared" si="1"/>
        <v>11276449.75</v>
      </c>
    </row>
    <row r="24" spans="1:9" s="456" customFormat="1" outlineLevel="3" x14ac:dyDescent="0.2">
      <c r="A24" s="1644" t="s">
        <v>10253</v>
      </c>
      <c r="B24" s="1442" t="s">
        <v>599</v>
      </c>
      <c r="C24" s="1443" t="s">
        <v>600</v>
      </c>
      <c r="D24" s="1635" t="s">
        <v>10402</v>
      </c>
      <c r="E24" s="1635">
        <v>1</v>
      </c>
      <c r="F24" s="1653">
        <f>НМЦК!P31</f>
        <v>539514.96</v>
      </c>
      <c r="G24" s="1653">
        <f t="shared" si="0"/>
        <v>539514.96</v>
      </c>
      <c r="H24" s="1653">
        <f>НМЦК!Q31</f>
        <v>531437.63</v>
      </c>
      <c r="I24" s="1653">
        <f t="shared" si="1"/>
        <v>531437.63</v>
      </c>
    </row>
    <row r="25" spans="1:9" s="456" customFormat="1" ht="25.5" outlineLevel="3" x14ac:dyDescent="0.2">
      <c r="A25" s="1644" t="s">
        <v>10254</v>
      </c>
      <c r="B25" s="1442" t="s">
        <v>601</v>
      </c>
      <c r="C25" s="1443" t="s">
        <v>602</v>
      </c>
      <c r="D25" s="1635" t="s">
        <v>10402</v>
      </c>
      <c r="E25" s="1635">
        <v>1</v>
      </c>
      <c r="F25" s="1653">
        <f>НМЦК!P32</f>
        <v>76883375.280000001</v>
      </c>
      <c r="G25" s="1653">
        <f t="shared" si="0"/>
        <v>76883375.280000001</v>
      </c>
      <c r="H25" s="1653">
        <f>НМЦК!Q32</f>
        <v>0</v>
      </c>
      <c r="I25" s="1653">
        <f t="shared" si="1"/>
        <v>0</v>
      </c>
    </row>
    <row r="26" spans="1:9" s="456" customFormat="1" outlineLevel="3" x14ac:dyDescent="0.2">
      <c r="A26" s="1644" t="s">
        <v>10255</v>
      </c>
      <c r="B26" s="1442" t="s">
        <v>603</v>
      </c>
      <c r="C26" s="1443" t="s">
        <v>604</v>
      </c>
      <c r="D26" s="1635" t="s">
        <v>10402</v>
      </c>
      <c r="E26" s="1635">
        <v>1</v>
      </c>
      <c r="F26" s="1653">
        <f>НМЦК!P33</f>
        <v>466130.37</v>
      </c>
      <c r="G26" s="1653">
        <f t="shared" si="0"/>
        <v>466130.37</v>
      </c>
      <c r="H26" s="1653">
        <f>НМЦК!Q33</f>
        <v>0</v>
      </c>
      <c r="I26" s="1653">
        <f t="shared" si="1"/>
        <v>0</v>
      </c>
    </row>
    <row r="27" spans="1:9" s="456" customFormat="1" outlineLevel="3" x14ac:dyDescent="0.2">
      <c r="A27" s="1644" t="s">
        <v>10256</v>
      </c>
      <c r="B27" s="1442" t="s">
        <v>605</v>
      </c>
      <c r="C27" s="1443" t="s">
        <v>606</v>
      </c>
      <c r="D27" s="1635" t="s">
        <v>10402</v>
      </c>
      <c r="E27" s="1635">
        <v>1</v>
      </c>
      <c r="F27" s="1653">
        <f>НМЦК!P34</f>
        <v>305735.46000000002</v>
      </c>
      <c r="G27" s="1653">
        <f t="shared" si="0"/>
        <v>305735.46000000002</v>
      </c>
      <c r="H27" s="1653">
        <f>НМЦК!Q34</f>
        <v>0</v>
      </c>
      <c r="I27" s="1653">
        <f t="shared" si="1"/>
        <v>0</v>
      </c>
    </row>
    <row r="28" spans="1:9" s="456" customFormat="1" outlineLevel="3" x14ac:dyDescent="0.2">
      <c r="A28" s="1644" t="s">
        <v>10257</v>
      </c>
      <c r="B28" s="1442" t="s">
        <v>607</v>
      </c>
      <c r="C28" s="1443" t="s">
        <v>9239</v>
      </c>
      <c r="D28" s="1635" t="s">
        <v>10402</v>
      </c>
      <c r="E28" s="1635">
        <v>1</v>
      </c>
      <c r="F28" s="1653">
        <f>НМЦК!P35</f>
        <v>47965885.740000002</v>
      </c>
      <c r="G28" s="1653">
        <f t="shared" si="0"/>
        <v>47965885.740000002</v>
      </c>
      <c r="H28" s="1653">
        <f>НМЦК!Q35</f>
        <v>0</v>
      </c>
      <c r="I28" s="1653">
        <f t="shared" si="1"/>
        <v>0</v>
      </c>
    </row>
    <row r="29" spans="1:9" s="456" customFormat="1" ht="25.5" outlineLevel="3" x14ac:dyDescent="0.2">
      <c r="A29" s="1644" t="s">
        <v>10258</v>
      </c>
      <c r="B29" s="1442" t="s">
        <v>608</v>
      </c>
      <c r="C29" s="1443" t="s">
        <v>609</v>
      </c>
      <c r="D29" s="1635" t="s">
        <v>10402</v>
      </c>
      <c r="E29" s="1635">
        <v>1</v>
      </c>
      <c r="F29" s="1653">
        <f>НМЦК!P36</f>
        <v>2810764.18</v>
      </c>
      <c r="G29" s="1653">
        <f t="shared" si="0"/>
        <v>2810764.18</v>
      </c>
      <c r="H29" s="1653">
        <f>НМЦК!Q36</f>
        <v>1830860.64</v>
      </c>
      <c r="I29" s="1653">
        <f t="shared" si="1"/>
        <v>1830860.64</v>
      </c>
    </row>
    <row r="30" spans="1:9" s="456" customFormat="1" outlineLevel="2" x14ac:dyDescent="0.2">
      <c r="A30" s="1643" t="s">
        <v>10259</v>
      </c>
      <c r="B30" s="464" t="s">
        <v>6469</v>
      </c>
      <c r="C30" s="464" t="s">
        <v>31</v>
      </c>
      <c r="D30" s="1625" t="s">
        <v>10402</v>
      </c>
      <c r="E30" s="1625">
        <v>1</v>
      </c>
      <c r="F30" s="1651">
        <f>НМЦК!P37</f>
        <v>21015422.960000001</v>
      </c>
      <c r="G30" s="1651">
        <f t="shared" si="0"/>
        <v>21015422.960000001</v>
      </c>
      <c r="H30" s="1651">
        <f>НМЦК!Q37</f>
        <v>11507486.35</v>
      </c>
      <c r="I30" s="1651">
        <f t="shared" si="1"/>
        <v>11507486.35</v>
      </c>
    </row>
    <row r="31" spans="1:9" s="456" customFormat="1" outlineLevel="3" x14ac:dyDescent="0.2">
      <c r="A31" s="1644" t="s">
        <v>10260</v>
      </c>
      <c r="B31" s="1442" t="s">
        <v>1808</v>
      </c>
      <c r="C31" s="1443" t="s">
        <v>33</v>
      </c>
      <c r="D31" s="1635" t="s">
        <v>10402</v>
      </c>
      <c r="E31" s="1635">
        <v>1</v>
      </c>
      <c r="F31" s="1653">
        <f>НМЦК!P38</f>
        <v>6592497.1100000003</v>
      </c>
      <c r="G31" s="1653">
        <f t="shared" si="0"/>
        <v>6592497.1100000003</v>
      </c>
      <c r="H31" s="1653">
        <f>НМЦК!Q38</f>
        <v>3775956.13</v>
      </c>
      <c r="I31" s="1653">
        <f t="shared" si="1"/>
        <v>3775956.13</v>
      </c>
    </row>
    <row r="32" spans="1:9" s="456" customFormat="1" outlineLevel="3" x14ac:dyDescent="0.2">
      <c r="A32" s="1644" t="s">
        <v>10261</v>
      </c>
      <c r="B32" s="1442" t="s">
        <v>1809</v>
      </c>
      <c r="C32" s="1443" t="s">
        <v>1810</v>
      </c>
      <c r="D32" s="1635" t="s">
        <v>10402</v>
      </c>
      <c r="E32" s="1635">
        <v>1</v>
      </c>
      <c r="F32" s="1653">
        <f>НМЦК!P39</f>
        <v>3726644.97</v>
      </c>
      <c r="G32" s="1653">
        <f t="shared" si="0"/>
        <v>3726644.97</v>
      </c>
      <c r="H32" s="1653">
        <f>НМЦК!Q39</f>
        <v>0</v>
      </c>
      <c r="I32" s="1653">
        <f t="shared" si="1"/>
        <v>0</v>
      </c>
    </row>
    <row r="33" spans="1:9" s="456" customFormat="1" ht="25.5" outlineLevel="3" x14ac:dyDescent="0.2">
      <c r="A33" s="1644" t="s">
        <v>10262</v>
      </c>
      <c r="B33" s="1442" t="s">
        <v>1811</v>
      </c>
      <c r="C33" s="1443" t="s">
        <v>609</v>
      </c>
      <c r="D33" s="1635" t="s">
        <v>10402</v>
      </c>
      <c r="E33" s="1635">
        <v>1</v>
      </c>
      <c r="F33" s="1653">
        <f>НМЦК!P40</f>
        <v>1364351.9</v>
      </c>
      <c r="G33" s="1653">
        <f t="shared" si="0"/>
        <v>1364351.9</v>
      </c>
      <c r="H33" s="1653">
        <f>НМЦК!Q40</f>
        <v>465979.49</v>
      </c>
      <c r="I33" s="1653">
        <f t="shared" si="1"/>
        <v>465979.49</v>
      </c>
    </row>
    <row r="34" spans="1:9" s="456" customFormat="1" outlineLevel="3" x14ac:dyDescent="0.2">
      <c r="A34" s="1644" t="s">
        <v>10263</v>
      </c>
      <c r="B34" s="1442" t="s">
        <v>1812</v>
      </c>
      <c r="C34" s="1443" t="s">
        <v>38</v>
      </c>
      <c r="D34" s="1635" t="s">
        <v>10402</v>
      </c>
      <c r="E34" s="1635">
        <v>1</v>
      </c>
      <c r="F34" s="1653">
        <f>НМЦК!P41</f>
        <v>192763.54</v>
      </c>
      <c r="G34" s="1653">
        <f t="shared" si="0"/>
        <v>192763.54</v>
      </c>
      <c r="H34" s="1653">
        <f>НМЦК!Q41</f>
        <v>16738.52</v>
      </c>
      <c r="I34" s="1653">
        <f t="shared" si="1"/>
        <v>16738.52</v>
      </c>
    </row>
    <row r="35" spans="1:9" s="456" customFormat="1" outlineLevel="3" x14ac:dyDescent="0.2">
      <c r="A35" s="1644" t="s">
        <v>10264</v>
      </c>
      <c r="B35" s="1442" t="s">
        <v>1813</v>
      </c>
      <c r="C35" s="1443" t="s">
        <v>40</v>
      </c>
      <c r="D35" s="1635" t="s">
        <v>10402</v>
      </c>
      <c r="E35" s="1635">
        <v>1</v>
      </c>
      <c r="F35" s="1653">
        <f>НМЦК!P42</f>
        <v>69408.070000000007</v>
      </c>
      <c r="G35" s="1653">
        <f t="shared" si="0"/>
        <v>69408.070000000007</v>
      </c>
      <c r="H35" s="1653">
        <f>НМЦК!Q42</f>
        <v>0</v>
      </c>
      <c r="I35" s="1653">
        <f t="shared" si="1"/>
        <v>0</v>
      </c>
    </row>
    <row r="36" spans="1:9" s="456" customFormat="1" ht="25.5" outlineLevel="3" x14ac:dyDescent="0.2">
      <c r="A36" s="1644" t="s">
        <v>10265</v>
      </c>
      <c r="B36" s="1442" t="s">
        <v>1814</v>
      </c>
      <c r="C36" s="1443" t="s">
        <v>42</v>
      </c>
      <c r="D36" s="1635" t="s">
        <v>10402</v>
      </c>
      <c r="E36" s="1635">
        <v>1</v>
      </c>
      <c r="F36" s="1653">
        <f>НМЦК!P43</f>
        <v>1111400</v>
      </c>
      <c r="G36" s="1653">
        <f t="shared" si="0"/>
        <v>1111400</v>
      </c>
      <c r="H36" s="1653">
        <f>НМЦК!Q43</f>
        <v>410004.36</v>
      </c>
      <c r="I36" s="1653">
        <f t="shared" si="1"/>
        <v>410004.36</v>
      </c>
    </row>
    <row r="37" spans="1:9" s="456" customFormat="1" ht="25.5" outlineLevel="3" x14ac:dyDescent="0.2">
      <c r="A37" s="1644" t="s">
        <v>10266</v>
      </c>
      <c r="B37" s="1442" t="s">
        <v>1815</v>
      </c>
      <c r="C37" s="1443" t="s">
        <v>3063</v>
      </c>
      <c r="D37" s="1635" t="s">
        <v>10402</v>
      </c>
      <c r="E37" s="1635">
        <v>1</v>
      </c>
      <c r="F37" s="1653">
        <f>НМЦК!P44</f>
        <v>53943.21</v>
      </c>
      <c r="G37" s="1653">
        <f t="shared" si="0"/>
        <v>53943.21</v>
      </c>
      <c r="H37" s="1653">
        <f>НМЦК!Q44</f>
        <v>20022.16</v>
      </c>
      <c r="I37" s="1653">
        <f t="shared" si="1"/>
        <v>20022.16</v>
      </c>
    </row>
    <row r="38" spans="1:9" s="456" customFormat="1" outlineLevel="3" x14ac:dyDescent="0.2">
      <c r="A38" s="1644" t="s">
        <v>10267</v>
      </c>
      <c r="B38" s="1442" t="s">
        <v>1816</v>
      </c>
      <c r="C38" s="1443" t="s">
        <v>3120</v>
      </c>
      <c r="D38" s="1635" t="s">
        <v>10402</v>
      </c>
      <c r="E38" s="1635">
        <v>1</v>
      </c>
      <c r="F38" s="1653">
        <f>НМЦК!P45</f>
        <v>209940.84</v>
      </c>
      <c r="G38" s="1653">
        <f t="shared" si="0"/>
        <v>209940.84</v>
      </c>
      <c r="H38" s="1653">
        <f>НМЦК!Q45</f>
        <v>166691.66</v>
      </c>
      <c r="I38" s="1653">
        <f t="shared" si="1"/>
        <v>166691.66</v>
      </c>
    </row>
    <row r="39" spans="1:9" s="456" customFormat="1" outlineLevel="3" x14ac:dyDescent="0.2">
      <c r="A39" s="1644" t="s">
        <v>10268</v>
      </c>
      <c r="B39" s="1442" t="s">
        <v>1817</v>
      </c>
      <c r="C39" s="1443" t="s">
        <v>48</v>
      </c>
      <c r="D39" s="1635" t="s">
        <v>10402</v>
      </c>
      <c r="E39" s="1635">
        <v>1</v>
      </c>
      <c r="F39" s="1653">
        <f>НМЦК!P46</f>
        <v>113930.11</v>
      </c>
      <c r="G39" s="1653">
        <f t="shared" si="0"/>
        <v>113930.11</v>
      </c>
      <c r="H39" s="1653">
        <f>НМЦК!Q46</f>
        <v>64961.27</v>
      </c>
      <c r="I39" s="1653">
        <f t="shared" si="1"/>
        <v>64961.27</v>
      </c>
    </row>
    <row r="40" spans="1:9" s="456" customFormat="1" outlineLevel="3" x14ac:dyDescent="0.2">
      <c r="A40" s="1644" t="s">
        <v>10269</v>
      </c>
      <c r="B40" s="1442" t="s">
        <v>1818</v>
      </c>
      <c r="C40" s="1443" t="s">
        <v>50</v>
      </c>
      <c r="D40" s="1635" t="s">
        <v>10402</v>
      </c>
      <c r="E40" s="1635">
        <v>1</v>
      </c>
      <c r="F40" s="1653">
        <f>НМЦК!P47</f>
        <v>253791.3</v>
      </c>
      <c r="G40" s="1653">
        <f t="shared" si="0"/>
        <v>253791.3</v>
      </c>
      <c r="H40" s="1653">
        <f>НМЦК!Q47</f>
        <v>215275.97</v>
      </c>
      <c r="I40" s="1653">
        <f t="shared" si="1"/>
        <v>215275.97</v>
      </c>
    </row>
    <row r="41" spans="1:9" s="456" customFormat="1" outlineLevel="3" x14ac:dyDescent="0.2">
      <c r="A41" s="1644" t="s">
        <v>10270</v>
      </c>
      <c r="B41" s="1442" t="s">
        <v>1819</v>
      </c>
      <c r="C41" s="1443" t="s">
        <v>52</v>
      </c>
      <c r="D41" s="1635" t="s">
        <v>10402</v>
      </c>
      <c r="E41" s="1635">
        <v>1</v>
      </c>
      <c r="F41" s="1653">
        <f>НМЦК!P48</f>
        <v>5339080.46</v>
      </c>
      <c r="G41" s="1653">
        <f t="shared" si="0"/>
        <v>5339080.46</v>
      </c>
      <c r="H41" s="1653">
        <f>НМЦК!Q48</f>
        <v>4686246.91</v>
      </c>
      <c r="I41" s="1653">
        <f t="shared" si="1"/>
        <v>4686246.91</v>
      </c>
    </row>
    <row r="42" spans="1:9" s="456" customFormat="1" outlineLevel="3" x14ac:dyDescent="0.2">
      <c r="A42" s="1644" t="s">
        <v>10271</v>
      </c>
      <c r="B42" s="1442" t="s">
        <v>1820</v>
      </c>
      <c r="C42" s="1443" t="s">
        <v>1821</v>
      </c>
      <c r="D42" s="1635" t="s">
        <v>10402</v>
      </c>
      <c r="E42" s="1635">
        <v>1</v>
      </c>
      <c r="F42" s="1653">
        <f>НМЦК!P49</f>
        <v>1987671.45</v>
      </c>
      <c r="G42" s="1653">
        <f t="shared" si="0"/>
        <v>1987671.45</v>
      </c>
      <c r="H42" s="1653">
        <f>НМЦК!Q49</f>
        <v>1685609.88</v>
      </c>
      <c r="I42" s="1653">
        <f t="shared" si="1"/>
        <v>1685609.88</v>
      </c>
    </row>
    <row r="43" spans="1:9" s="456" customFormat="1" outlineLevel="2" x14ac:dyDescent="0.2">
      <c r="A43" s="1643" t="s">
        <v>10272</v>
      </c>
      <c r="B43" s="464" t="s">
        <v>6470</v>
      </c>
      <c r="C43" s="464" t="s">
        <v>55</v>
      </c>
      <c r="D43" s="1625" t="s">
        <v>10402</v>
      </c>
      <c r="E43" s="1625">
        <v>1</v>
      </c>
      <c r="F43" s="1651">
        <f>НМЦК!P50</f>
        <v>4411682.6500000004</v>
      </c>
      <c r="G43" s="1651">
        <f t="shared" si="0"/>
        <v>4411682.6500000004</v>
      </c>
      <c r="H43" s="1651">
        <f>НМЦК!Q50</f>
        <v>421780.42</v>
      </c>
      <c r="I43" s="1651">
        <f t="shared" si="1"/>
        <v>421780.42</v>
      </c>
    </row>
    <row r="44" spans="1:9" s="456" customFormat="1" outlineLevel="3" x14ac:dyDescent="0.2">
      <c r="A44" s="1644" t="s">
        <v>10273</v>
      </c>
      <c r="B44" s="1442" t="s">
        <v>3181</v>
      </c>
      <c r="C44" s="1443" t="s">
        <v>604</v>
      </c>
      <c r="D44" s="1635" t="s">
        <v>10402</v>
      </c>
      <c r="E44" s="1635">
        <v>1</v>
      </c>
      <c r="F44" s="1653">
        <f>НМЦК!P51</f>
        <v>1306074.95</v>
      </c>
      <c r="G44" s="1653">
        <f t="shared" si="0"/>
        <v>1306074.95</v>
      </c>
      <c r="H44" s="1653">
        <f>НМЦК!Q51</f>
        <v>0</v>
      </c>
      <c r="I44" s="1653">
        <f t="shared" si="1"/>
        <v>0</v>
      </c>
    </row>
    <row r="45" spans="1:9" s="456" customFormat="1" outlineLevel="3" x14ac:dyDescent="0.2">
      <c r="A45" s="1644" t="s">
        <v>10274</v>
      </c>
      <c r="B45" s="1442" t="s">
        <v>3182</v>
      </c>
      <c r="C45" s="1443" t="s">
        <v>606</v>
      </c>
      <c r="D45" s="1635" t="s">
        <v>10402</v>
      </c>
      <c r="E45" s="1635">
        <v>1</v>
      </c>
      <c r="F45" s="1653">
        <f>НМЦК!P52</f>
        <v>2134543.13</v>
      </c>
      <c r="G45" s="1653">
        <f t="shared" si="0"/>
        <v>2134543.13</v>
      </c>
      <c r="H45" s="1653">
        <f>НМЦК!Q52</f>
        <v>0</v>
      </c>
      <c r="I45" s="1653">
        <f t="shared" si="1"/>
        <v>0</v>
      </c>
    </row>
    <row r="46" spans="1:9" s="456" customFormat="1" ht="25.5" outlineLevel="3" x14ac:dyDescent="0.2">
      <c r="A46" s="1644" t="s">
        <v>10275</v>
      </c>
      <c r="B46" s="1442" t="s">
        <v>3183</v>
      </c>
      <c r="C46" s="1443" t="s">
        <v>609</v>
      </c>
      <c r="D46" s="1635" t="s">
        <v>10402</v>
      </c>
      <c r="E46" s="1635">
        <v>1</v>
      </c>
      <c r="F46" s="1653">
        <f>НМЦК!P53</f>
        <v>971064.57</v>
      </c>
      <c r="G46" s="1653">
        <f t="shared" si="0"/>
        <v>971064.57</v>
      </c>
      <c r="H46" s="1653">
        <f>НМЦК!Q53</f>
        <v>421780.42</v>
      </c>
      <c r="I46" s="1653">
        <f t="shared" si="1"/>
        <v>421780.42</v>
      </c>
    </row>
    <row r="47" spans="1:9" s="456" customFormat="1" outlineLevel="2" x14ac:dyDescent="0.2">
      <c r="A47" s="1643" t="s">
        <v>10276</v>
      </c>
      <c r="B47" s="464" t="s">
        <v>6471</v>
      </c>
      <c r="C47" s="464" t="s">
        <v>61</v>
      </c>
      <c r="D47" s="1625" t="s">
        <v>10402</v>
      </c>
      <c r="E47" s="1625">
        <v>1</v>
      </c>
      <c r="F47" s="1651">
        <f>НМЦК!P54</f>
        <v>4618507.24</v>
      </c>
      <c r="G47" s="1651">
        <f t="shared" si="0"/>
        <v>4618507.24</v>
      </c>
      <c r="H47" s="1651">
        <f>НМЦК!Q54</f>
        <v>3022723.89</v>
      </c>
      <c r="I47" s="1651">
        <f t="shared" si="1"/>
        <v>3022723.89</v>
      </c>
    </row>
    <row r="48" spans="1:9" s="456" customFormat="1" outlineLevel="3" x14ac:dyDescent="0.2">
      <c r="A48" s="1644" t="s">
        <v>10277</v>
      </c>
      <c r="B48" s="1442" t="s">
        <v>3393</v>
      </c>
      <c r="C48" s="1443" t="s">
        <v>604</v>
      </c>
      <c r="D48" s="1635" t="s">
        <v>10402</v>
      </c>
      <c r="E48" s="1635">
        <v>1</v>
      </c>
      <c r="F48" s="1653">
        <f>НМЦК!P55</f>
        <v>3552975.82</v>
      </c>
      <c r="G48" s="1653">
        <f t="shared" si="0"/>
        <v>3552975.82</v>
      </c>
      <c r="H48" s="1653">
        <f>НМЦК!Q55</f>
        <v>2661143.14</v>
      </c>
      <c r="I48" s="1653">
        <f t="shared" si="1"/>
        <v>2661143.14</v>
      </c>
    </row>
    <row r="49" spans="1:9" s="456" customFormat="1" outlineLevel="3" x14ac:dyDescent="0.2">
      <c r="A49" s="1644" t="s">
        <v>10278</v>
      </c>
      <c r="B49" s="1442" t="s">
        <v>3394</v>
      </c>
      <c r="C49" s="1443" t="s">
        <v>606</v>
      </c>
      <c r="D49" s="1635" t="s">
        <v>10402</v>
      </c>
      <c r="E49" s="1635">
        <v>1</v>
      </c>
      <c r="F49" s="1653">
        <f>НМЦК!P56</f>
        <v>363989.91</v>
      </c>
      <c r="G49" s="1653">
        <f t="shared" si="0"/>
        <v>363989.91</v>
      </c>
      <c r="H49" s="1653">
        <f>НМЦК!Q56</f>
        <v>0</v>
      </c>
      <c r="I49" s="1653">
        <f t="shared" si="1"/>
        <v>0</v>
      </c>
    </row>
    <row r="50" spans="1:9" s="456" customFormat="1" ht="25.5" outlineLevel="3" x14ac:dyDescent="0.2">
      <c r="A50" s="1644" t="s">
        <v>10279</v>
      </c>
      <c r="B50" s="1442" t="s">
        <v>3395</v>
      </c>
      <c r="C50" s="1443" t="s">
        <v>609</v>
      </c>
      <c r="D50" s="1635" t="s">
        <v>10402</v>
      </c>
      <c r="E50" s="1635">
        <v>1</v>
      </c>
      <c r="F50" s="1653">
        <f>НМЦК!P57</f>
        <v>701541.51</v>
      </c>
      <c r="G50" s="1653">
        <f t="shared" si="0"/>
        <v>701541.51</v>
      </c>
      <c r="H50" s="1653">
        <f>НМЦК!Q57</f>
        <v>361580.75</v>
      </c>
      <c r="I50" s="1653">
        <f t="shared" si="1"/>
        <v>361580.75</v>
      </c>
    </row>
    <row r="51" spans="1:9" s="456" customFormat="1" outlineLevel="2" x14ac:dyDescent="0.2">
      <c r="A51" s="1643" t="s">
        <v>10280</v>
      </c>
      <c r="B51" s="464" t="s">
        <v>6472</v>
      </c>
      <c r="C51" s="464" t="s">
        <v>3591</v>
      </c>
      <c r="D51" s="1625" t="s">
        <v>10402</v>
      </c>
      <c r="E51" s="1625">
        <v>1</v>
      </c>
      <c r="F51" s="1651">
        <f>НМЦК!P58</f>
        <v>369932.03</v>
      </c>
      <c r="G51" s="1651">
        <f t="shared" si="0"/>
        <v>369932.03</v>
      </c>
      <c r="H51" s="1651">
        <f>НМЦК!Q58</f>
        <v>0</v>
      </c>
      <c r="I51" s="1651">
        <f t="shared" si="1"/>
        <v>0</v>
      </c>
    </row>
    <row r="52" spans="1:9" s="456" customFormat="1" outlineLevel="2" x14ac:dyDescent="0.2">
      <c r="A52" s="1643" t="s">
        <v>10281</v>
      </c>
      <c r="B52" s="464" t="s">
        <v>6475</v>
      </c>
      <c r="C52" s="464" t="s">
        <v>6476</v>
      </c>
      <c r="D52" s="1625" t="s">
        <v>10402</v>
      </c>
      <c r="E52" s="1625">
        <v>1</v>
      </c>
      <c r="F52" s="1651">
        <f>НМЦК!P59</f>
        <v>8723091.2100000009</v>
      </c>
      <c r="G52" s="1651">
        <f t="shared" si="0"/>
        <v>8723091.2100000009</v>
      </c>
      <c r="H52" s="1651">
        <f>НМЦК!Q59</f>
        <v>7423365.1299999999</v>
      </c>
      <c r="I52" s="1651">
        <f t="shared" si="1"/>
        <v>7423365.1299999999</v>
      </c>
    </row>
    <row r="53" spans="1:9" s="456" customFormat="1" outlineLevel="3" x14ac:dyDescent="0.2">
      <c r="A53" s="1644" t="s">
        <v>10282</v>
      </c>
      <c r="B53" s="1442" t="s">
        <v>3680</v>
      </c>
      <c r="C53" s="1443" t="s">
        <v>3681</v>
      </c>
      <c r="D53" s="1635" t="s">
        <v>10402</v>
      </c>
      <c r="E53" s="1635">
        <v>1</v>
      </c>
      <c r="F53" s="1653">
        <f>НМЦК!P60</f>
        <v>8660698.3300000001</v>
      </c>
      <c r="G53" s="1653">
        <f t="shared" si="0"/>
        <v>8660698.3300000001</v>
      </c>
      <c r="H53" s="1653">
        <f>НМЦК!Q60</f>
        <v>7423365.1299999999</v>
      </c>
      <c r="I53" s="1653">
        <f t="shared" si="1"/>
        <v>7423365.1299999999</v>
      </c>
    </row>
    <row r="54" spans="1:9" s="456" customFormat="1" outlineLevel="3" x14ac:dyDescent="0.2">
      <c r="A54" s="1644" t="s">
        <v>10283</v>
      </c>
      <c r="B54" s="1442" t="s">
        <v>3682</v>
      </c>
      <c r="C54" s="1443" t="s">
        <v>606</v>
      </c>
      <c r="D54" s="1635" t="s">
        <v>10402</v>
      </c>
      <c r="E54" s="1635">
        <v>1</v>
      </c>
      <c r="F54" s="1653">
        <f>НМЦК!P61</f>
        <v>62392.88</v>
      </c>
      <c r="G54" s="1653">
        <f t="shared" si="0"/>
        <v>62392.88</v>
      </c>
      <c r="H54" s="1653">
        <f>НМЦК!Q61</f>
        <v>0</v>
      </c>
      <c r="I54" s="1653">
        <f t="shared" si="1"/>
        <v>0</v>
      </c>
    </row>
    <row r="55" spans="1:9" s="456" customFormat="1" outlineLevel="2" x14ac:dyDescent="0.2">
      <c r="A55" s="1643" t="s">
        <v>10284</v>
      </c>
      <c r="B55" s="464" t="s">
        <v>6479</v>
      </c>
      <c r="C55" s="464" t="s">
        <v>3771</v>
      </c>
      <c r="D55" s="1625" t="s">
        <v>10402</v>
      </c>
      <c r="E55" s="1625">
        <v>1</v>
      </c>
      <c r="F55" s="1651">
        <f>НМЦК!P62</f>
        <v>6213004.2999999998</v>
      </c>
      <c r="G55" s="1651">
        <f t="shared" si="0"/>
        <v>6213004.2999999998</v>
      </c>
      <c r="H55" s="1651">
        <f>НМЦК!Q62</f>
        <v>11921.95</v>
      </c>
      <c r="I55" s="1651">
        <f t="shared" si="1"/>
        <v>11921.95</v>
      </c>
    </row>
    <row r="56" spans="1:9" s="456" customFormat="1" outlineLevel="2" x14ac:dyDescent="0.2">
      <c r="A56" s="1643" t="s">
        <v>10285</v>
      </c>
      <c r="B56" s="464" t="s">
        <v>6480</v>
      </c>
      <c r="C56" s="464" t="s">
        <v>71</v>
      </c>
      <c r="D56" s="1625" t="s">
        <v>10402</v>
      </c>
      <c r="E56" s="1625">
        <v>1</v>
      </c>
      <c r="F56" s="1651">
        <f>НМЦК!P63</f>
        <v>1767876.6</v>
      </c>
      <c r="G56" s="1651">
        <f t="shared" si="0"/>
        <v>1767876.6</v>
      </c>
      <c r="H56" s="1651">
        <f>НМЦК!Q63</f>
        <v>352174.91</v>
      </c>
      <c r="I56" s="1651">
        <f t="shared" si="1"/>
        <v>352174.91</v>
      </c>
    </row>
    <row r="57" spans="1:9" s="456" customFormat="1" outlineLevel="3" x14ac:dyDescent="0.2">
      <c r="A57" s="1644" t="s">
        <v>10286</v>
      </c>
      <c r="B57" s="1442" t="s">
        <v>3886</v>
      </c>
      <c r="C57" s="1443" t="s">
        <v>604</v>
      </c>
      <c r="D57" s="1635" t="s">
        <v>10402</v>
      </c>
      <c r="E57" s="1635">
        <v>1</v>
      </c>
      <c r="F57" s="1653">
        <f>НМЦК!P64</f>
        <v>756775.52</v>
      </c>
      <c r="G57" s="1653">
        <f t="shared" si="0"/>
        <v>756775.52</v>
      </c>
      <c r="H57" s="1653">
        <f>НМЦК!Q64</f>
        <v>0</v>
      </c>
      <c r="I57" s="1653">
        <f t="shared" si="1"/>
        <v>0</v>
      </c>
    </row>
    <row r="58" spans="1:9" s="456" customFormat="1" outlineLevel="3" x14ac:dyDescent="0.2">
      <c r="A58" s="1644" t="s">
        <v>10287</v>
      </c>
      <c r="B58" s="1442" t="s">
        <v>3887</v>
      </c>
      <c r="C58" s="1443" t="s">
        <v>1810</v>
      </c>
      <c r="D58" s="1635" t="s">
        <v>10402</v>
      </c>
      <c r="E58" s="1635">
        <v>1</v>
      </c>
      <c r="F58" s="1653">
        <f>НМЦК!P65</f>
        <v>313941.46999999997</v>
      </c>
      <c r="G58" s="1653">
        <f t="shared" si="0"/>
        <v>313941.46999999997</v>
      </c>
      <c r="H58" s="1653">
        <f>НМЦК!Q65</f>
        <v>0</v>
      </c>
      <c r="I58" s="1653">
        <f t="shared" si="1"/>
        <v>0</v>
      </c>
    </row>
    <row r="59" spans="1:9" s="456" customFormat="1" ht="25.5" outlineLevel="3" x14ac:dyDescent="0.2">
      <c r="A59" s="1644" t="s">
        <v>10288</v>
      </c>
      <c r="B59" s="1442" t="s">
        <v>3888</v>
      </c>
      <c r="C59" s="1443" t="s">
        <v>609</v>
      </c>
      <c r="D59" s="1635" t="s">
        <v>10402</v>
      </c>
      <c r="E59" s="1635">
        <v>1</v>
      </c>
      <c r="F59" s="1653">
        <f>НМЦК!P66</f>
        <v>697159.61</v>
      </c>
      <c r="G59" s="1653">
        <f t="shared" si="0"/>
        <v>697159.61</v>
      </c>
      <c r="H59" s="1653">
        <f>НМЦК!Q66</f>
        <v>352174.91</v>
      </c>
      <c r="I59" s="1653">
        <f t="shared" si="1"/>
        <v>352174.91</v>
      </c>
    </row>
    <row r="60" spans="1:9" s="456" customFormat="1" outlineLevel="2" x14ac:dyDescent="0.2">
      <c r="A60" s="1643" t="s">
        <v>10289</v>
      </c>
      <c r="B60" s="464" t="s">
        <v>6481</v>
      </c>
      <c r="C60" s="464" t="s">
        <v>4060</v>
      </c>
      <c r="D60" s="1625" t="s">
        <v>10402</v>
      </c>
      <c r="E60" s="1625">
        <v>1</v>
      </c>
      <c r="F60" s="1651">
        <f>НМЦК!P67</f>
        <v>32332967.27</v>
      </c>
      <c r="G60" s="1651">
        <f t="shared" si="0"/>
        <v>32332967.27</v>
      </c>
      <c r="H60" s="1651">
        <f>НМЦК!Q67</f>
        <v>0</v>
      </c>
      <c r="I60" s="1651">
        <f t="shared" si="1"/>
        <v>0</v>
      </c>
    </row>
    <row r="61" spans="1:9" s="456" customFormat="1" outlineLevel="2" x14ac:dyDescent="0.2">
      <c r="A61" s="1643" t="s">
        <v>10290</v>
      </c>
      <c r="B61" s="464" t="s">
        <v>6484</v>
      </c>
      <c r="C61" s="464" t="s">
        <v>78</v>
      </c>
      <c r="D61" s="1625" t="s">
        <v>10402</v>
      </c>
      <c r="E61" s="1625">
        <v>1</v>
      </c>
      <c r="F61" s="1651">
        <f>НМЦК!P68</f>
        <v>4043795.77</v>
      </c>
      <c r="G61" s="1651">
        <f t="shared" si="0"/>
        <v>4043795.77</v>
      </c>
      <c r="H61" s="1651">
        <f>НМЦК!Q68</f>
        <v>0</v>
      </c>
      <c r="I61" s="1651">
        <f t="shared" si="1"/>
        <v>0</v>
      </c>
    </row>
    <row r="62" spans="1:9" s="456" customFormat="1" outlineLevel="2" x14ac:dyDescent="0.2">
      <c r="A62" s="1643" t="s">
        <v>10291</v>
      </c>
      <c r="B62" s="464" t="s">
        <v>6485</v>
      </c>
      <c r="C62" s="464" t="s">
        <v>79</v>
      </c>
      <c r="D62" s="1625" t="s">
        <v>10402</v>
      </c>
      <c r="E62" s="1625">
        <v>1</v>
      </c>
      <c r="F62" s="1651">
        <f>НМЦК!P69</f>
        <v>47525269.159999996</v>
      </c>
      <c r="G62" s="1651">
        <f t="shared" si="0"/>
        <v>47525269.159999996</v>
      </c>
      <c r="H62" s="1651">
        <f>НМЦК!Q69</f>
        <v>5339084</v>
      </c>
      <c r="I62" s="1651">
        <f t="shared" si="1"/>
        <v>5339084</v>
      </c>
    </row>
    <row r="63" spans="1:9" s="456" customFormat="1" outlineLevel="3" x14ac:dyDescent="0.2">
      <c r="A63" s="1644" t="s">
        <v>10292</v>
      </c>
      <c r="B63" s="1442" t="s">
        <v>4502</v>
      </c>
      <c r="C63" s="1443" t="s">
        <v>79</v>
      </c>
      <c r="D63" s="1635" t="s">
        <v>10402</v>
      </c>
      <c r="E63" s="1635">
        <v>1</v>
      </c>
      <c r="F63" s="1653">
        <f>НМЦК!P70</f>
        <v>31938530.640000001</v>
      </c>
      <c r="G63" s="1653">
        <f t="shared" si="0"/>
        <v>31938530.640000001</v>
      </c>
      <c r="H63" s="1653">
        <f>НМЦК!Q70</f>
        <v>0</v>
      </c>
      <c r="I63" s="1653">
        <f t="shared" si="1"/>
        <v>0</v>
      </c>
    </row>
    <row r="64" spans="1:9" s="456" customFormat="1" outlineLevel="3" x14ac:dyDescent="0.2">
      <c r="A64" s="1644" t="s">
        <v>10293</v>
      </c>
      <c r="B64" s="1442" t="s">
        <v>4503</v>
      </c>
      <c r="C64" s="1443" t="s">
        <v>8911</v>
      </c>
      <c r="D64" s="1635" t="s">
        <v>10402</v>
      </c>
      <c r="E64" s="1635">
        <v>1</v>
      </c>
      <c r="F64" s="1653">
        <f>НМЦК!P71</f>
        <v>9289405.0099999998</v>
      </c>
      <c r="G64" s="1653">
        <f t="shared" si="0"/>
        <v>9289405.0099999998</v>
      </c>
      <c r="H64" s="1653">
        <f>НМЦК!Q71</f>
        <v>0</v>
      </c>
      <c r="I64" s="1653">
        <f t="shared" si="1"/>
        <v>0</v>
      </c>
    </row>
    <row r="65" spans="1:9" s="456" customFormat="1" outlineLevel="3" x14ac:dyDescent="0.2">
      <c r="A65" s="1644" t="s">
        <v>10294</v>
      </c>
      <c r="B65" s="1442" t="s">
        <v>4504</v>
      </c>
      <c r="C65" s="1443" t="s">
        <v>8912</v>
      </c>
      <c r="D65" s="1635" t="s">
        <v>10402</v>
      </c>
      <c r="E65" s="1635">
        <v>1</v>
      </c>
      <c r="F65" s="1653">
        <f>НМЦК!P72</f>
        <v>100358.59</v>
      </c>
      <c r="G65" s="1653">
        <f t="shared" si="0"/>
        <v>100358.59</v>
      </c>
      <c r="H65" s="1653">
        <f>НМЦК!Q72</f>
        <v>0</v>
      </c>
      <c r="I65" s="1653">
        <f t="shared" si="1"/>
        <v>0</v>
      </c>
    </row>
    <row r="66" spans="1:9" s="456" customFormat="1" outlineLevel="3" x14ac:dyDescent="0.2">
      <c r="A66" s="1644" t="s">
        <v>10295</v>
      </c>
      <c r="B66" s="1442" t="s">
        <v>4505</v>
      </c>
      <c r="C66" s="1443" t="s">
        <v>8914</v>
      </c>
      <c r="D66" s="1635" t="s">
        <v>10402</v>
      </c>
      <c r="E66" s="1635">
        <v>1</v>
      </c>
      <c r="F66" s="1653">
        <f>НМЦК!P73</f>
        <v>225098.55</v>
      </c>
      <c r="G66" s="1653">
        <f t="shared" si="0"/>
        <v>225098.55</v>
      </c>
      <c r="H66" s="1653">
        <f>НМЦК!Q73</f>
        <v>0</v>
      </c>
      <c r="I66" s="1653">
        <f t="shared" si="1"/>
        <v>0</v>
      </c>
    </row>
    <row r="67" spans="1:9" s="456" customFormat="1" outlineLevel="3" x14ac:dyDescent="0.2">
      <c r="A67" s="1644" t="s">
        <v>10296</v>
      </c>
      <c r="B67" s="1442" t="s">
        <v>4506</v>
      </c>
      <c r="C67" s="1443" t="s">
        <v>4507</v>
      </c>
      <c r="D67" s="1635" t="s">
        <v>10402</v>
      </c>
      <c r="E67" s="1635">
        <v>1</v>
      </c>
      <c r="F67" s="1653">
        <f>НМЦК!P74</f>
        <v>5971876.3700000001</v>
      </c>
      <c r="G67" s="1653">
        <f t="shared" si="0"/>
        <v>5971876.3700000001</v>
      </c>
      <c r="H67" s="1653">
        <f>НМЦК!Q74</f>
        <v>5339084</v>
      </c>
      <c r="I67" s="1653">
        <f t="shared" si="1"/>
        <v>5339084</v>
      </c>
    </row>
    <row r="68" spans="1:9" s="456" customFormat="1" outlineLevel="2" x14ac:dyDescent="0.2">
      <c r="A68" s="1643" t="s">
        <v>10297</v>
      </c>
      <c r="B68" s="464" t="s">
        <v>6488</v>
      </c>
      <c r="C68" s="464" t="s">
        <v>90</v>
      </c>
      <c r="D68" s="1625" t="s">
        <v>10402</v>
      </c>
      <c r="E68" s="1625">
        <v>1</v>
      </c>
      <c r="F68" s="1651">
        <f>НМЦК!P75</f>
        <v>24720548.510000002</v>
      </c>
      <c r="G68" s="1651">
        <f t="shared" si="0"/>
        <v>24720548.510000002</v>
      </c>
      <c r="H68" s="1651">
        <f>НМЦК!Q75</f>
        <v>0</v>
      </c>
      <c r="I68" s="1651">
        <f t="shared" si="1"/>
        <v>0</v>
      </c>
    </row>
    <row r="69" spans="1:9" s="456" customFormat="1" outlineLevel="3" x14ac:dyDescent="0.2">
      <c r="A69" s="1644" t="s">
        <v>10298</v>
      </c>
      <c r="B69" s="1442" t="s">
        <v>5056</v>
      </c>
      <c r="C69" s="1443" t="s">
        <v>5057</v>
      </c>
      <c r="D69" s="1635" t="s">
        <v>10402</v>
      </c>
      <c r="E69" s="1635">
        <v>1</v>
      </c>
      <c r="F69" s="1653">
        <f>НМЦК!P76</f>
        <v>8558196.2400000002</v>
      </c>
      <c r="G69" s="1653">
        <f t="shared" si="0"/>
        <v>8558196.2400000002</v>
      </c>
      <c r="H69" s="1653">
        <f>НМЦК!Q76</f>
        <v>0</v>
      </c>
      <c r="I69" s="1653">
        <f t="shared" si="1"/>
        <v>0</v>
      </c>
    </row>
    <row r="70" spans="1:9" s="456" customFormat="1" outlineLevel="3" x14ac:dyDescent="0.2">
      <c r="A70" s="1644" t="s">
        <v>10299</v>
      </c>
      <c r="B70" s="1442" t="s">
        <v>5058</v>
      </c>
      <c r="C70" s="1443" t="s">
        <v>5059</v>
      </c>
      <c r="D70" s="1635" t="s">
        <v>10402</v>
      </c>
      <c r="E70" s="1635">
        <v>1</v>
      </c>
      <c r="F70" s="1653">
        <f>НМЦК!P77</f>
        <v>2415559.17</v>
      </c>
      <c r="G70" s="1653">
        <f t="shared" si="0"/>
        <v>2415559.17</v>
      </c>
      <c r="H70" s="1653">
        <f>НМЦК!Q77</f>
        <v>0</v>
      </c>
      <c r="I70" s="1653">
        <f t="shared" si="1"/>
        <v>0</v>
      </c>
    </row>
    <row r="71" spans="1:9" s="456" customFormat="1" outlineLevel="3" x14ac:dyDescent="0.2">
      <c r="A71" s="1644" t="s">
        <v>10300</v>
      </c>
      <c r="B71" s="1442" t="s">
        <v>5060</v>
      </c>
      <c r="C71" s="1443" t="s">
        <v>5061</v>
      </c>
      <c r="D71" s="1635" t="s">
        <v>10402</v>
      </c>
      <c r="E71" s="1635">
        <v>1</v>
      </c>
      <c r="F71" s="1653">
        <f>НМЦК!P78</f>
        <v>353212.5</v>
      </c>
      <c r="G71" s="1653">
        <f t="shared" si="0"/>
        <v>353212.5</v>
      </c>
      <c r="H71" s="1653">
        <f>НМЦК!Q78</f>
        <v>0</v>
      </c>
      <c r="I71" s="1653">
        <f t="shared" si="1"/>
        <v>0</v>
      </c>
    </row>
    <row r="72" spans="1:9" s="456" customFormat="1" outlineLevel="3" x14ac:dyDescent="0.2">
      <c r="A72" s="1644" t="s">
        <v>10301</v>
      </c>
      <c r="B72" s="1442" t="s">
        <v>5062</v>
      </c>
      <c r="C72" s="1443" t="s">
        <v>98</v>
      </c>
      <c r="D72" s="1635" t="s">
        <v>10402</v>
      </c>
      <c r="E72" s="1635">
        <v>1</v>
      </c>
      <c r="F72" s="1653">
        <f>НМЦК!P79</f>
        <v>13393580.6</v>
      </c>
      <c r="G72" s="1653">
        <f t="shared" si="0"/>
        <v>13393580.6</v>
      </c>
      <c r="H72" s="1653">
        <f>НМЦК!Q79</f>
        <v>0</v>
      </c>
      <c r="I72" s="1653">
        <f t="shared" si="1"/>
        <v>0</v>
      </c>
    </row>
    <row r="73" spans="1:9" s="456" customFormat="1" outlineLevel="2" x14ac:dyDescent="0.2">
      <c r="A73" s="1643" t="s">
        <v>10302</v>
      </c>
      <c r="B73" s="464" t="s">
        <v>6670</v>
      </c>
      <c r="C73" s="464" t="s">
        <v>100</v>
      </c>
      <c r="D73" s="1625" t="s">
        <v>10402</v>
      </c>
      <c r="E73" s="1625">
        <v>1</v>
      </c>
      <c r="F73" s="1651">
        <f>НМЦК!P80</f>
        <v>22029160.850000001</v>
      </c>
      <c r="G73" s="1651">
        <f t="shared" ref="G73:G94" si="2">E73*F73</f>
        <v>22029160.850000001</v>
      </c>
      <c r="H73" s="1651">
        <f>НМЦК!Q80</f>
        <v>133052.88</v>
      </c>
      <c r="I73" s="1651">
        <f t="shared" ref="I73:I94" si="3">E73*H73</f>
        <v>133052.88</v>
      </c>
    </row>
    <row r="74" spans="1:9" s="456" customFormat="1" outlineLevel="3" x14ac:dyDescent="0.2">
      <c r="A74" s="1644" t="s">
        <v>10303</v>
      </c>
      <c r="B74" s="1442" t="s">
        <v>7069</v>
      </c>
      <c r="C74" s="1443" t="s">
        <v>100</v>
      </c>
      <c r="D74" s="1635" t="s">
        <v>10402</v>
      </c>
      <c r="E74" s="1635">
        <v>1</v>
      </c>
      <c r="F74" s="1653">
        <f>НМЦК!P81</f>
        <v>21877130.07</v>
      </c>
      <c r="G74" s="1653">
        <f t="shared" si="2"/>
        <v>21877130.07</v>
      </c>
      <c r="H74" s="1653">
        <f>НМЦК!Q81</f>
        <v>133052.88</v>
      </c>
      <c r="I74" s="1653">
        <f t="shared" si="3"/>
        <v>133052.88</v>
      </c>
    </row>
    <row r="75" spans="1:9" s="456" customFormat="1" outlineLevel="3" x14ac:dyDescent="0.2">
      <c r="A75" s="1644" t="s">
        <v>10304</v>
      </c>
      <c r="B75" s="1442" t="s">
        <v>7070</v>
      </c>
      <c r="C75" s="1443" t="s">
        <v>7071</v>
      </c>
      <c r="D75" s="1635" t="s">
        <v>10402</v>
      </c>
      <c r="E75" s="1635">
        <v>1</v>
      </c>
      <c r="F75" s="1653">
        <f>НМЦК!P82</f>
        <v>152030.78</v>
      </c>
      <c r="G75" s="1653">
        <f t="shared" si="2"/>
        <v>152030.78</v>
      </c>
      <c r="H75" s="1653">
        <f>НМЦК!Q82</f>
        <v>0</v>
      </c>
      <c r="I75" s="1653">
        <f t="shared" si="3"/>
        <v>0</v>
      </c>
    </row>
    <row r="76" spans="1:9" s="456" customFormat="1" ht="25.5" outlineLevel="2" x14ac:dyDescent="0.2">
      <c r="A76" s="1643" t="s">
        <v>10305</v>
      </c>
      <c r="B76" s="464" t="s">
        <v>6499</v>
      </c>
      <c r="C76" s="464" t="s">
        <v>101</v>
      </c>
      <c r="D76" s="1625" t="s">
        <v>10402</v>
      </c>
      <c r="E76" s="1625">
        <v>1</v>
      </c>
      <c r="F76" s="1651">
        <f>НМЦК!P83</f>
        <v>1131258.96</v>
      </c>
      <c r="G76" s="1651">
        <f t="shared" si="2"/>
        <v>1131258.96</v>
      </c>
      <c r="H76" s="1651">
        <f>НМЦК!Q83</f>
        <v>0</v>
      </c>
      <c r="I76" s="1651">
        <f t="shared" si="3"/>
        <v>0</v>
      </c>
    </row>
    <row r="77" spans="1:9" s="456" customFormat="1" ht="25.5" outlineLevel="2" x14ac:dyDescent="0.2">
      <c r="A77" s="1643" t="s">
        <v>10306</v>
      </c>
      <c r="B77" s="464" t="s">
        <v>6500</v>
      </c>
      <c r="C77" s="464" t="s">
        <v>102</v>
      </c>
      <c r="D77" s="1625" t="s">
        <v>10402</v>
      </c>
      <c r="E77" s="1625">
        <v>1</v>
      </c>
      <c r="F77" s="1651">
        <f>НМЦК!P84</f>
        <v>12206.87</v>
      </c>
      <c r="G77" s="1651">
        <f t="shared" si="2"/>
        <v>12206.87</v>
      </c>
      <c r="H77" s="1651">
        <f>НМЦК!Q84</f>
        <v>0</v>
      </c>
      <c r="I77" s="1651">
        <f t="shared" si="3"/>
        <v>0</v>
      </c>
    </row>
    <row r="78" spans="1:9" s="456" customFormat="1" outlineLevel="2" x14ac:dyDescent="0.2">
      <c r="A78" s="1643" t="s">
        <v>10307</v>
      </c>
      <c r="B78" s="464" t="s">
        <v>6501</v>
      </c>
      <c r="C78" s="464" t="s">
        <v>103</v>
      </c>
      <c r="D78" s="1625" t="s">
        <v>10402</v>
      </c>
      <c r="E78" s="1625">
        <v>1</v>
      </c>
      <c r="F78" s="1651">
        <f>НМЦК!P85</f>
        <v>7661021.3799999999</v>
      </c>
      <c r="G78" s="1651">
        <f t="shared" si="2"/>
        <v>7661021.3799999999</v>
      </c>
      <c r="H78" s="1651">
        <f>НМЦК!Q85</f>
        <v>0</v>
      </c>
      <c r="I78" s="1651">
        <f t="shared" si="3"/>
        <v>0</v>
      </c>
    </row>
    <row r="79" spans="1:9" s="456" customFormat="1" outlineLevel="3" x14ac:dyDescent="0.2">
      <c r="A79" s="1646" t="s">
        <v>10308</v>
      </c>
      <c r="B79" s="1498" t="s">
        <v>6501</v>
      </c>
      <c r="C79" s="1498" t="s">
        <v>10228</v>
      </c>
      <c r="D79" s="1636" t="s">
        <v>10402</v>
      </c>
      <c r="E79" s="1636">
        <v>1</v>
      </c>
      <c r="F79" s="1654">
        <f>НМЦК!P86</f>
        <v>917921.38</v>
      </c>
      <c r="G79" s="1654">
        <f t="shared" si="2"/>
        <v>917921.38</v>
      </c>
      <c r="H79" s="1654">
        <f>НМЦК!Q86</f>
        <v>0</v>
      </c>
      <c r="I79" s="1654">
        <f t="shared" si="3"/>
        <v>0</v>
      </c>
    </row>
    <row r="80" spans="1:9" s="456" customFormat="1" outlineLevel="3" x14ac:dyDescent="0.2">
      <c r="A80" s="1646" t="s">
        <v>10309</v>
      </c>
      <c r="B80" s="1498" t="s">
        <v>6501</v>
      </c>
      <c r="C80" s="1498" t="s">
        <v>10229</v>
      </c>
      <c r="D80" s="1636" t="s">
        <v>10402</v>
      </c>
      <c r="E80" s="1636">
        <v>1</v>
      </c>
      <c r="F80" s="1654">
        <f>НМЦК!P87</f>
        <v>6743100</v>
      </c>
      <c r="G80" s="1654">
        <f t="shared" si="2"/>
        <v>6743100</v>
      </c>
      <c r="H80" s="1654">
        <f>НМЦК!Q87</f>
        <v>0</v>
      </c>
      <c r="I80" s="1654">
        <f t="shared" si="3"/>
        <v>0</v>
      </c>
    </row>
    <row r="81" spans="1:10" s="456" customFormat="1" ht="25.5" outlineLevel="2" x14ac:dyDescent="0.2">
      <c r="A81" s="1643" t="s">
        <v>10310</v>
      </c>
      <c r="B81" s="464" t="s">
        <v>6502</v>
      </c>
      <c r="C81" s="464" t="s">
        <v>104</v>
      </c>
      <c r="D81" s="1625" t="s">
        <v>10402</v>
      </c>
      <c r="E81" s="1625">
        <v>1</v>
      </c>
      <c r="F81" s="1651">
        <f>НМЦК!P88</f>
        <v>72639.649999999994</v>
      </c>
      <c r="G81" s="1651">
        <f t="shared" si="2"/>
        <v>72639.649999999994</v>
      </c>
      <c r="H81" s="1651">
        <f>НМЦК!Q88</f>
        <v>0</v>
      </c>
      <c r="I81" s="1651">
        <f t="shared" si="3"/>
        <v>0</v>
      </c>
    </row>
    <row r="82" spans="1:10" s="456" customFormat="1" outlineLevel="3" x14ac:dyDescent="0.2">
      <c r="A82" s="1644" t="s">
        <v>10311</v>
      </c>
      <c r="B82" s="1442" t="s">
        <v>5735</v>
      </c>
      <c r="C82" s="1443" t="s">
        <v>5736</v>
      </c>
      <c r="D82" s="1635" t="s">
        <v>10402</v>
      </c>
      <c r="E82" s="1635">
        <v>1</v>
      </c>
      <c r="F82" s="1653">
        <f>НМЦК!P89</f>
        <v>48369.7</v>
      </c>
      <c r="G82" s="1653">
        <f t="shared" si="2"/>
        <v>48369.7</v>
      </c>
      <c r="H82" s="1653">
        <f>НМЦК!Q89</f>
        <v>0</v>
      </c>
      <c r="I82" s="1653">
        <f t="shared" si="3"/>
        <v>0</v>
      </c>
    </row>
    <row r="83" spans="1:10" s="456" customFormat="1" outlineLevel="3" x14ac:dyDescent="0.2">
      <c r="A83" s="1644" t="s">
        <v>10312</v>
      </c>
      <c r="B83" s="1442" t="s">
        <v>5737</v>
      </c>
      <c r="C83" s="1443" t="s">
        <v>5738</v>
      </c>
      <c r="D83" s="1635" t="s">
        <v>10402</v>
      </c>
      <c r="E83" s="1635">
        <v>1</v>
      </c>
      <c r="F83" s="1653">
        <f>НМЦК!P90</f>
        <v>24269.95</v>
      </c>
      <c r="G83" s="1653">
        <f t="shared" si="2"/>
        <v>24269.95</v>
      </c>
      <c r="H83" s="1653">
        <f>НМЦК!Q90</f>
        <v>0</v>
      </c>
      <c r="I83" s="1653">
        <f t="shared" si="3"/>
        <v>0</v>
      </c>
    </row>
    <row r="84" spans="1:10" s="456" customFormat="1" ht="25.5" outlineLevel="2" x14ac:dyDescent="0.2">
      <c r="A84" s="1643" t="s">
        <v>10313</v>
      </c>
      <c r="B84" s="464" t="s">
        <v>6503</v>
      </c>
      <c r="C84" s="464" t="s">
        <v>110</v>
      </c>
      <c r="D84" s="1625" t="s">
        <v>10402</v>
      </c>
      <c r="E84" s="1625">
        <v>1</v>
      </c>
      <c r="F84" s="1651">
        <f>НМЦК!P91</f>
        <v>663719.86</v>
      </c>
      <c r="G84" s="1651">
        <f t="shared" si="2"/>
        <v>663719.86</v>
      </c>
      <c r="H84" s="1651">
        <f>НМЦК!Q91</f>
        <v>0</v>
      </c>
      <c r="I84" s="1651">
        <f t="shared" si="3"/>
        <v>0</v>
      </c>
    </row>
    <row r="85" spans="1:10" ht="25.5" outlineLevel="2" x14ac:dyDescent="0.2">
      <c r="A85" s="1643" t="s">
        <v>10314</v>
      </c>
      <c r="B85" s="27" t="s">
        <v>6523</v>
      </c>
      <c r="C85" s="28" t="s">
        <v>10206</v>
      </c>
      <c r="D85" s="1626" t="s">
        <v>10402</v>
      </c>
      <c r="E85" s="1626">
        <v>1</v>
      </c>
      <c r="F85" s="1652">
        <f>НМЦК!P92</f>
        <v>6654108.5</v>
      </c>
      <c r="G85" s="1652">
        <f t="shared" si="2"/>
        <v>6654108.5</v>
      </c>
      <c r="H85" s="1652">
        <f>НМЦК!Q92</f>
        <v>0</v>
      </c>
      <c r="I85" s="1652">
        <f t="shared" si="3"/>
        <v>0</v>
      </c>
    </row>
    <row r="86" spans="1:10" s="1543" customFormat="1" ht="15.75" x14ac:dyDescent="0.25">
      <c r="A86" s="1633">
        <v>2</v>
      </c>
      <c r="B86" s="1544"/>
      <c r="C86" s="1544" t="s">
        <v>10237</v>
      </c>
      <c r="D86" s="1633" t="s">
        <v>10402</v>
      </c>
      <c r="E86" s="1633">
        <v>1</v>
      </c>
      <c r="F86" s="1649">
        <f>НМЦК!P93</f>
        <v>52834415.189999998</v>
      </c>
      <c r="G86" s="1649">
        <f t="shared" si="2"/>
        <v>52834415.189999998</v>
      </c>
      <c r="H86" s="1649">
        <f>НМЦК!Q93</f>
        <v>37656687.009999998</v>
      </c>
      <c r="I86" s="1649">
        <f t="shared" si="3"/>
        <v>37656687.009999998</v>
      </c>
    </row>
    <row r="87" spans="1:10" s="1480" customFormat="1" ht="32.25" customHeight="1" outlineLevel="1" x14ac:dyDescent="0.2">
      <c r="A87" s="1640" t="s">
        <v>583</v>
      </c>
      <c r="B87" s="1468"/>
      <c r="C87" s="1469" t="s">
        <v>10238</v>
      </c>
      <c r="D87" s="1634" t="s">
        <v>10402</v>
      </c>
      <c r="E87" s="1634">
        <v>1</v>
      </c>
      <c r="F87" s="1650">
        <f>НМЦК!P94</f>
        <v>206193.96</v>
      </c>
      <c r="G87" s="1650">
        <f t="shared" si="2"/>
        <v>206193.96</v>
      </c>
      <c r="H87" s="1650">
        <f>НМЦК!Q94</f>
        <v>0</v>
      </c>
      <c r="I87" s="1650">
        <f t="shared" si="3"/>
        <v>0</v>
      </c>
    </row>
    <row r="88" spans="1:10" outlineLevel="2" x14ac:dyDescent="0.2">
      <c r="A88" s="1641" t="s">
        <v>10223</v>
      </c>
      <c r="B88" s="477" t="s">
        <v>9633</v>
      </c>
      <c r="C88" s="464" t="s">
        <v>9634</v>
      </c>
      <c r="D88" s="1625" t="s">
        <v>10402</v>
      </c>
      <c r="E88" s="1625">
        <v>1</v>
      </c>
      <c r="F88" s="1651">
        <f>НМЦК!P95</f>
        <v>202150.94</v>
      </c>
      <c r="G88" s="1651">
        <f t="shared" si="2"/>
        <v>202150.94</v>
      </c>
      <c r="H88" s="1651">
        <f>НМЦК!Q95</f>
        <v>0</v>
      </c>
      <c r="I88" s="1651">
        <f t="shared" si="3"/>
        <v>0</v>
      </c>
    </row>
    <row r="89" spans="1:10" ht="51" outlineLevel="2" x14ac:dyDescent="0.2">
      <c r="A89" s="1641" t="s">
        <v>10224</v>
      </c>
      <c r="B89" s="27" t="s">
        <v>10205</v>
      </c>
      <c r="C89" s="28" t="s">
        <v>10206</v>
      </c>
      <c r="D89" s="1626" t="s">
        <v>10402</v>
      </c>
      <c r="E89" s="1626">
        <v>1</v>
      </c>
      <c r="F89" s="1652">
        <f>НМЦК!P96</f>
        <v>4043.02</v>
      </c>
      <c r="G89" s="1652">
        <f t="shared" si="2"/>
        <v>4043.02</v>
      </c>
      <c r="H89" s="1652">
        <f>НМЦК!Q96</f>
        <v>0</v>
      </c>
      <c r="I89" s="1652">
        <f t="shared" si="3"/>
        <v>0</v>
      </c>
    </row>
    <row r="90" spans="1:10" ht="28.5" outlineLevel="1" x14ac:dyDescent="0.2">
      <c r="A90" s="1642" t="s">
        <v>584</v>
      </c>
      <c r="B90" s="1473"/>
      <c r="C90" s="1469" t="s">
        <v>10235</v>
      </c>
      <c r="D90" s="1634" t="s">
        <v>10402</v>
      </c>
      <c r="E90" s="1634">
        <v>1</v>
      </c>
      <c r="F90" s="1650">
        <f>НМЦК!P97</f>
        <v>52628221.229999997</v>
      </c>
      <c r="G90" s="1650">
        <f t="shared" si="2"/>
        <v>52628221.229999997</v>
      </c>
      <c r="H90" s="1650">
        <f>НМЦК!Q97</f>
        <v>37656687.009999998</v>
      </c>
      <c r="I90" s="1650">
        <f t="shared" si="3"/>
        <v>37656687.009999998</v>
      </c>
    </row>
    <row r="91" spans="1:10" s="456" customFormat="1" outlineLevel="2" x14ac:dyDescent="0.2">
      <c r="A91" s="1647" t="s">
        <v>10225</v>
      </c>
      <c r="B91" s="1637" t="s">
        <v>8093</v>
      </c>
      <c r="C91" s="1638" t="s">
        <v>8094</v>
      </c>
      <c r="D91" s="1639" t="s">
        <v>10402</v>
      </c>
      <c r="E91" s="1639">
        <v>1</v>
      </c>
      <c r="F91" s="1655">
        <f>НМЦК!P98</f>
        <v>51595063.280000001</v>
      </c>
      <c r="G91" s="1655">
        <f t="shared" si="2"/>
        <v>51595063.280000001</v>
      </c>
      <c r="H91" s="1655">
        <f>НМЦК!Q98</f>
        <v>37656687.009999998</v>
      </c>
      <c r="I91" s="1655">
        <f t="shared" si="3"/>
        <v>37656687.009999998</v>
      </c>
    </row>
    <row r="92" spans="1:10" s="456" customFormat="1" outlineLevel="3" x14ac:dyDescent="0.2">
      <c r="A92" s="1644" t="s">
        <v>10315</v>
      </c>
      <c r="B92" s="1442" t="s">
        <v>8583</v>
      </c>
      <c r="C92" s="1443" t="s">
        <v>8584</v>
      </c>
      <c r="D92" s="1635" t="s">
        <v>10402</v>
      </c>
      <c r="E92" s="1635">
        <v>1</v>
      </c>
      <c r="F92" s="1653">
        <f>НМЦК!P99</f>
        <v>87381.66</v>
      </c>
      <c r="G92" s="1653">
        <f t="shared" si="2"/>
        <v>87381.66</v>
      </c>
      <c r="H92" s="1653">
        <f>НМЦК!Q99</f>
        <v>0</v>
      </c>
      <c r="I92" s="1653">
        <f t="shared" si="3"/>
        <v>0</v>
      </c>
    </row>
    <row r="93" spans="1:10" s="456" customFormat="1" outlineLevel="3" x14ac:dyDescent="0.2">
      <c r="A93" s="1644" t="s">
        <v>10316</v>
      </c>
      <c r="B93" s="1442" t="s">
        <v>8585</v>
      </c>
      <c r="C93" s="1443" t="s">
        <v>8586</v>
      </c>
      <c r="D93" s="1635" t="s">
        <v>10402</v>
      </c>
      <c r="E93" s="1635">
        <v>1</v>
      </c>
      <c r="F93" s="1653">
        <f>НМЦК!P100</f>
        <v>51507681.619999997</v>
      </c>
      <c r="G93" s="1653">
        <f t="shared" si="2"/>
        <v>51507681.619999997</v>
      </c>
      <c r="H93" s="1653">
        <f>НМЦК!Q100</f>
        <v>37656687.009999998</v>
      </c>
      <c r="I93" s="1653">
        <f t="shared" si="3"/>
        <v>37656687.009999998</v>
      </c>
    </row>
    <row r="94" spans="1:10" ht="25.5" outlineLevel="2" x14ac:dyDescent="0.2">
      <c r="A94" s="1648" t="s">
        <v>10226</v>
      </c>
      <c r="B94" s="27" t="s">
        <v>6523</v>
      </c>
      <c r="C94" s="28" t="s">
        <v>10206</v>
      </c>
      <c r="D94" s="1626" t="s">
        <v>10402</v>
      </c>
      <c r="E94" s="1626">
        <v>1</v>
      </c>
      <c r="F94" s="1652">
        <f>НМЦК!P101</f>
        <v>1033157.95</v>
      </c>
      <c r="G94" s="1652">
        <f t="shared" si="2"/>
        <v>1033157.95</v>
      </c>
      <c r="H94" s="1652">
        <f>НМЦК!Q101</f>
        <v>0</v>
      </c>
      <c r="I94" s="1652">
        <f t="shared" si="3"/>
        <v>0</v>
      </c>
    </row>
    <row r="95" spans="1:10" ht="15.75" x14ac:dyDescent="0.25">
      <c r="A95" s="1656"/>
      <c r="B95" s="1656"/>
      <c r="C95" s="1657" t="s">
        <v>10207</v>
      </c>
      <c r="D95" s="1656"/>
      <c r="E95" s="1656"/>
      <c r="F95" s="1658">
        <f>F8+F86</f>
        <v>404255872.64999998</v>
      </c>
      <c r="G95" s="1658">
        <f>G8+G86</f>
        <v>404255872.64999998</v>
      </c>
      <c r="H95" s="1658">
        <f>H8+H86</f>
        <v>79507024.560000002</v>
      </c>
      <c r="I95" s="1658">
        <f>I8+I86</f>
        <v>79507024.560000002</v>
      </c>
    </row>
    <row r="96" spans="1:10" ht="15.75" x14ac:dyDescent="0.25">
      <c r="A96" s="1656"/>
      <c r="B96" s="1656"/>
      <c r="C96" s="1657" t="s">
        <v>10406</v>
      </c>
      <c r="D96" s="1656"/>
      <c r="E96" s="1656"/>
      <c r="F96" s="1659">
        <f>(F95-F77-F78-F84)*20%</f>
        <v>79183784.909999996</v>
      </c>
      <c r="G96" s="1659">
        <f>(G95-G77-G78-G84)*20%</f>
        <v>79183784.909999996</v>
      </c>
      <c r="H96" s="1659">
        <f>(H95-H77-H78-H84)*20%</f>
        <v>15901404.91</v>
      </c>
      <c r="I96" s="1659">
        <f>(I95-I77-I78-I84)*20%</f>
        <v>15901404.91</v>
      </c>
      <c r="J96" s="1" t="s">
        <v>10407</v>
      </c>
    </row>
    <row r="97" spans="1:10" s="1480" customFormat="1" ht="15.75" x14ac:dyDescent="0.25">
      <c r="A97" s="1660"/>
      <c r="B97" s="1660"/>
      <c r="C97" s="1657" t="s">
        <v>10209</v>
      </c>
      <c r="D97" s="1660"/>
      <c r="E97" s="1660"/>
      <c r="F97" s="1661">
        <f>F95+F96</f>
        <v>483439657.56</v>
      </c>
      <c r="G97" s="1661">
        <f t="shared" ref="G97:I97" si="4">G95+G96</f>
        <v>483439657.56</v>
      </c>
      <c r="H97" s="1661">
        <f t="shared" si="4"/>
        <v>95408429.469999999</v>
      </c>
      <c r="I97" s="1661">
        <f t="shared" si="4"/>
        <v>95408429.469999999</v>
      </c>
      <c r="J97" s="1662"/>
    </row>
  </sheetData>
  <mergeCells count="9">
    <mergeCell ref="A5:A6"/>
    <mergeCell ref="B3:I3"/>
    <mergeCell ref="A1:I1"/>
    <mergeCell ref="F5:G5"/>
    <mergeCell ref="H5:I5"/>
    <mergeCell ref="E5:E6"/>
    <mergeCell ref="D5:D6"/>
    <mergeCell ref="C5:C6"/>
    <mergeCell ref="B5:B6"/>
  </mergeCells>
  <pageMargins left="0.34" right="0.25" top="0.75" bottom="0.75" header="0.3" footer="0.3"/>
  <pageSetup paperSize="9" scale="99" fitToHeight="0" orientation="landscape" r:id="rId1"/>
  <headerFooter alignWithMargins="0">
    <oddHeader>&amp;LГРАНД-Смета 2021</oddHeader>
    <oddFooter>&amp;RСтраница &amp;P</oddFooter>
  </headerFooter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"/>
  <dimension ref="A2:L21"/>
  <sheetViews>
    <sheetView zoomScale="95" zoomScaleNormal="95" zoomScaleSheetLayoutView="95" workbookViewId="0"/>
  </sheetViews>
  <sheetFormatPr defaultRowHeight="15" x14ac:dyDescent="0.25"/>
  <cols>
    <col min="1" max="1" width="5.7109375" style="743" customWidth="1"/>
    <col min="2" max="2" width="46.28515625" style="743" customWidth="1"/>
    <col min="3" max="3" width="28.140625" style="743" customWidth="1"/>
    <col min="4" max="4" width="15.28515625" style="743" customWidth="1"/>
    <col min="5" max="5" width="31.85546875" style="743" customWidth="1"/>
    <col min="6" max="6" width="11.7109375" style="743" bestFit="1" customWidth="1"/>
    <col min="7" max="256" width="9.140625" style="743"/>
    <col min="257" max="257" width="5.7109375" style="743" customWidth="1"/>
    <col min="258" max="258" width="46.28515625" style="743" customWidth="1"/>
    <col min="259" max="259" width="19.7109375" style="743" customWidth="1"/>
    <col min="260" max="260" width="11.28515625" style="743" customWidth="1"/>
    <col min="261" max="261" width="16.28515625" style="743" customWidth="1"/>
    <col min="262" max="512" width="9.140625" style="743"/>
    <col min="513" max="513" width="5.7109375" style="743" customWidth="1"/>
    <col min="514" max="514" width="46.28515625" style="743" customWidth="1"/>
    <col min="515" max="515" width="19.7109375" style="743" customWidth="1"/>
    <col min="516" max="516" width="11.28515625" style="743" customWidth="1"/>
    <col min="517" max="517" width="16.28515625" style="743" customWidth="1"/>
    <col min="518" max="768" width="9.140625" style="743"/>
    <col min="769" max="769" width="5.7109375" style="743" customWidth="1"/>
    <col min="770" max="770" width="46.28515625" style="743" customWidth="1"/>
    <col min="771" max="771" width="19.7109375" style="743" customWidth="1"/>
    <col min="772" max="772" width="11.28515625" style="743" customWidth="1"/>
    <col min="773" max="773" width="16.28515625" style="743" customWidth="1"/>
    <col min="774" max="1024" width="9.140625" style="743"/>
    <col min="1025" max="1025" width="5.7109375" style="743" customWidth="1"/>
    <col min="1026" max="1026" width="46.28515625" style="743" customWidth="1"/>
    <col min="1027" max="1027" width="19.7109375" style="743" customWidth="1"/>
    <col min="1028" max="1028" width="11.28515625" style="743" customWidth="1"/>
    <col min="1029" max="1029" width="16.28515625" style="743" customWidth="1"/>
    <col min="1030" max="1280" width="9.140625" style="743"/>
    <col min="1281" max="1281" width="5.7109375" style="743" customWidth="1"/>
    <col min="1282" max="1282" width="46.28515625" style="743" customWidth="1"/>
    <col min="1283" max="1283" width="19.7109375" style="743" customWidth="1"/>
    <col min="1284" max="1284" width="11.28515625" style="743" customWidth="1"/>
    <col min="1285" max="1285" width="16.28515625" style="743" customWidth="1"/>
    <col min="1286" max="1536" width="9.140625" style="743"/>
    <col min="1537" max="1537" width="5.7109375" style="743" customWidth="1"/>
    <col min="1538" max="1538" width="46.28515625" style="743" customWidth="1"/>
    <col min="1539" max="1539" width="19.7109375" style="743" customWidth="1"/>
    <col min="1540" max="1540" width="11.28515625" style="743" customWidth="1"/>
    <col min="1541" max="1541" width="16.28515625" style="743" customWidth="1"/>
    <col min="1542" max="1792" width="9.140625" style="743"/>
    <col min="1793" max="1793" width="5.7109375" style="743" customWidth="1"/>
    <col min="1794" max="1794" width="46.28515625" style="743" customWidth="1"/>
    <col min="1795" max="1795" width="19.7109375" style="743" customWidth="1"/>
    <col min="1796" max="1796" width="11.28515625" style="743" customWidth="1"/>
    <col min="1797" max="1797" width="16.28515625" style="743" customWidth="1"/>
    <col min="1798" max="2048" width="9.140625" style="743"/>
    <col min="2049" max="2049" width="5.7109375" style="743" customWidth="1"/>
    <col min="2050" max="2050" width="46.28515625" style="743" customWidth="1"/>
    <col min="2051" max="2051" width="19.7109375" style="743" customWidth="1"/>
    <col min="2052" max="2052" width="11.28515625" style="743" customWidth="1"/>
    <col min="2053" max="2053" width="16.28515625" style="743" customWidth="1"/>
    <col min="2054" max="2304" width="9.140625" style="743"/>
    <col min="2305" max="2305" width="5.7109375" style="743" customWidth="1"/>
    <col min="2306" max="2306" width="46.28515625" style="743" customWidth="1"/>
    <col min="2307" max="2307" width="19.7109375" style="743" customWidth="1"/>
    <col min="2308" max="2308" width="11.28515625" style="743" customWidth="1"/>
    <col min="2309" max="2309" width="16.28515625" style="743" customWidth="1"/>
    <col min="2310" max="2560" width="9.140625" style="743"/>
    <col min="2561" max="2561" width="5.7109375" style="743" customWidth="1"/>
    <col min="2562" max="2562" width="46.28515625" style="743" customWidth="1"/>
    <col min="2563" max="2563" width="19.7109375" style="743" customWidth="1"/>
    <col min="2564" max="2564" width="11.28515625" style="743" customWidth="1"/>
    <col min="2565" max="2565" width="16.28515625" style="743" customWidth="1"/>
    <col min="2566" max="2816" width="9.140625" style="743"/>
    <col min="2817" max="2817" width="5.7109375" style="743" customWidth="1"/>
    <col min="2818" max="2818" width="46.28515625" style="743" customWidth="1"/>
    <col min="2819" max="2819" width="19.7109375" style="743" customWidth="1"/>
    <col min="2820" max="2820" width="11.28515625" style="743" customWidth="1"/>
    <col min="2821" max="2821" width="16.28515625" style="743" customWidth="1"/>
    <col min="2822" max="3072" width="9.140625" style="743"/>
    <col min="3073" max="3073" width="5.7109375" style="743" customWidth="1"/>
    <col min="3074" max="3074" width="46.28515625" style="743" customWidth="1"/>
    <col min="3075" max="3075" width="19.7109375" style="743" customWidth="1"/>
    <col min="3076" max="3076" width="11.28515625" style="743" customWidth="1"/>
    <col min="3077" max="3077" width="16.28515625" style="743" customWidth="1"/>
    <col min="3078" max="3328" width="9.140625" style="743"/>
    <col min="3329" max="3329" width="5.7109375" style="743" customWidth="1"/>
    <col min="3330" max="3330" width="46.28515625" style="743" customWidth="1"/>
    <col min="3331" max="3331" width="19.7109375" style="743" customWidth="1"/>
    <col min="3332" max="3332" width="11.28515625" style="743" customWidth="1"/>
    <col min="3333" max="3333" width="16.28515625" style="743" customWidth="1"/>
    <col min="3334" max="3584" width="9.140625" style="743"/>
    <col min="3585" max="3585" width="5.7109375" style="743" customWidth="1"/>
    <col min="3586" max="3586" width="46.28515625" style="743" customWidth="1"/>
    <col min="3587" max="3587" width="19.7109375" style="743" customWidth="1"/>
    <col min="3588" max="3588" width="11.28515625" style="743" customWidth="1"/>
    <col min="3589" max="3589" width="16.28515625" style="743" customWidth="1"/>
    <col min="3590" max="3840" width="9.140625" style="743"/>
    <col min="3841" max="3841" width="5.7109375" style="743" customWidth="1"/>
    <col min="3842" max="3842" width="46.28515625" style="743" customWidth="1"/>
    <col min="3843" max="3843" width="19.7109375" style="743" customWidth="1"/>
    <col min="3844" max="3844" width="11.28515625" style="743" customWidth="1"/>
    <col min="3845" max="3845" width="16.28515625" style="743" customWidth="1"/>
    <col min="3846" max="4096" width="9.140625" style="743"/>
    <col min="4097" max="4097" width="5.7109375" style="743" customWidth="1"/>
    <col min="4098" max="4098" width="46.28515625" style="743" customWidth="1"/>
    <col min="4099" max="4099" width="19.7109375" style="743" customWidth="1"/>
    <col min="4100" max="4100" width="11.28515625" style="743" customWidth="1"/>
    <col min="4101" max="4101" width="16.28515625" style="743" customWidth="1"/>
    <col min="4102" max="4352" width="9.140625" style="743"/>
    <col min="4353" max="4353" width="5.7109375" style="743" customWidth="1"/>
    <col min="4354" max="4354" width="46.28515625" style="743" customWidth="1"/>
    <col min="4355" max="4355" width="19.7109375" style="743" customWidth="1"/>
    <col min="4356" max="4356" width="11.28515625" style="743" customWidth="1"/>
    <col min="4357" max="4357" width="16.28515625" style="743" customWidth="1"/>
    <col min="4358" max="4608" width="9.140625" style="743"/>
    <col min="4609" max="4609" width="5.7109375" style="743" customWidth="1"/>
    <col min="4610" max="4610" width="46.28515625" style="743" customWidth="1"/>
    <col min="4611" max="4611" width="19.7109375" style="743" customWidth="1"/>
    <col min="4612" max="4612" width="11.28515625" style="743" customWidth="1"/>
    <col min="4613" max="4613" width="16.28515625" style="743" customWidth="1"/>
    <col min="4614" max="4864" width="9.140625" style="743"/>
    <col min="4865" max="4865" width="5.7109375" style="743" customWidth="1"/>
    <col min="4866" max="4866" width="46.28515625" style="743" customWidth="1"/>
    <col min="4867" max="4867" width="19.7109375" style="743" customWidth="1"/>
    <col min="4868" max="4868" width="11.28515625" style="743" customWidth="1"/>
    <col min="4869" max="4869" width="16.28515625" style="743" customWidth="1"/>
    <col min="4870" max="5120" width="9.140625" style="743"/>
    <col min="5121" max="5121" width="5.7109375" style="743" customWidth="1"/>
    <col min="5122" max="5122" width="46.28515625" style="743" customWidth="1"/>
    <col min="5123" max="5123" width="19.7109375" style="743" customWidth="1"/>
    <col min="5124" max="5124" width="11.28515625" style="743" customWidth="1"/>
    <col min="5125" max="5125" width="16.28515625" style="743" customWidth="1"/>
    <col min="5126" max="5376" width="9.140625" style="743"/>
    <col min="5377" max="5377" width="5.7109375" style="743" customWidth="1"/>
    <col min="5378" max="5378" width="46.28515625" style="743" customWidth="1"/>
    <col min="5379" max="5379" width="19.7109375" style="743" customWidth="1"/>
    <col min="5380" max="5380" width="11.28515625" style="743" customWidth="1"/>
    <col min="5381" max="5381" width="16.28515625" style="743" customWidth="1"/>
    <col min="5382" max="5632" width="9.140625" style="743"/>
    <col min="5633" max="5633" width="5.7109375" style="743" customWidth="1"/>
    <col min="5634" max="5634" width="46.28515625" style="743" customWidth="1"/>
    <col min="5635" max="5635" width="19.7109375" style="743" customWidth="1"/>
    <col min="5636" max="5636" width="11.28515625" style="743" customWidth="1"/>
    <col min="5637" max="5637" width="16.28515625" style="743" customWidth="1"/>
    <col min="5638" max="5888" width="9.140625" style="743"/>
    <col min="5889" max="5889" width="5.7109375" style="743" customWidth="1"/>
    <col min="5890" max="5890" width="46.28515625" style="743" customWidth="1"/>
    <col min="5891" max="5891" width="19.7109375" style="743" customWidth="1"/>
    <col min="5892" max="5892" width="11.28515625" style="743" customWidth="1"/>
    <col min="5893" max="5893" width="16.28515625" style="743" customWidth="1"/>
    <col min="5894" max="6144" width="9.140625" style="743"/>
    <col min="6145" max="6145" width="5.7109375" style="743" customWidth="1"/>
    <col min="6146" max="6146" width="46.28515625" style="743" customWidth="1"/>
    <col min="6147" max="6147" width="19.7109375" style="743" customWidth="1"/>
    <col min="6148" max="6148" width="11.28515625" style="743" customWidth="1"/>
    <col min="6149" max="6149" width="16.28515625" style="743" customWidth="1"/>
    <col min="6150" max="6400" width="9.140625" style="743"/>
    <col min="6401" max="6401" width="5.7109375" style="743" customWidth="1"/>
    <col min="6402" max="6402" width="46.28515625" style="743" customWidth="1"/>
    <col min="6403" max="6403" width="19.7109375" style="743" customWidth="1"/>
    <col min="6404" max="6404" width="11.28515625" style="743" customWidth="1"/>
    <col min="6405" max="6405" width="16.28515625" style="743" customWidth="1"/>
    <col min="6406" max="6656" width="9.140625" style="743"/>
    <col min="6657" max="6657" width="5.7109375" style="743" customWidth="1"/>
    <col min="6658" max="6658" width="46.28515625" style="743" customWidth="1"/>
    <col min="6659" max="6659" width="19.7109375" style="743" customWidth="1"/>
    <col min="6660" max="6660" width="11.28515625" style="743" customWidth="1"/>
    <col min="6661" max="6661" width="16.28515625" style="743" customWidth="1"/>
    <col min="6662" max="6912" width="9.140625" style="743"/>
    <col min="6913" max="6913" width="5.7109375" style="743" customWidth="1"/>
    <col min="6914" max="6914" width="46.28515625" style="743" customWidth="1"/>
    <col min="6915" max="6915" width="19.7109375" style="743" customWidth="1"/>
    <col min="6916" max="6916" width="11.28515625" style="743" customWidth="1"/>
    <col min="6917" max="6917" width="16.28515625" style="743" customWidth="1"/>
    <col min="6918" max="7168" width="9.140625" style="743"/>
    <col min="7169" max="7169" width="5.7109375" style="743" customWidth="1"/>
    <col min="7170" max="7170" width="46.28515625" style="743" customWidth="1"/>
    <col min="7171" max="7171" width="19.7109375" style="743" customWidth="1"/>
    <col min="7172" max="7172" width="11.28515625" style="743" customWidth="1"/>
    <col min="7173" max="7173" width="16.28515625" style="743" customWidth="1"/>
    <col min="7174" max="7424" width="9.140625" style="743"/>
    <col min="7425" max="7425" width="5.7109375" style="743" customWidth="1"/>
    <col min="7426" max="7426" width="46.28515625" style="743" customWidth="1"/>
    <col min="7427" max="7427" width="19.7109375" style="743" customWidth="1"/>
    <col min="7428" max="7428" width="11.28515625" style="743" customWidth="1"/>
    <col min="7429" max="7429" width="16.28515625" style="743" customWidth="1"/>
    <col min="7430" max="7680" width="9.140625" style="743"/>
    <col min="7681" max="7681" width="5.7109375" style="743" customWidth="1"/>
    <col min="7682" max="7682" width="46.28515625" style="743" customWidth="1"/>
    <col min="7683" max="7683" width="19.7109375" style="743" customWidth="1"/>
    <col min="7684" max="7684" width="11.28515625" style="743" customWidth="1"/>
    <col min="7685" max="7685" width="16.28515625" style="743" customWidth="1"/>
    <col min="7686" max="7936" width="9.140625" style="743"/>
    <col min="7937" max="7937" width="5.7109375" style="743" customWidth="1"/>
    <col min="7938" max="7938" width="46.28515625" style="743" customWidth="1"/>
    <col min="7939" max="7939" width="19.7109375" style="743" customWidth="1"/>
    <col min="7940" max="7940" width="11.28515625" style="743" customWidth="1"/>
    <col min="7941" max="7941" width="16.28515625" style="743" customWidth="1"/>
    <col min="7942" max="8192" width="9.140625" style="743"/>
    <col min="8193" max="8193" width="5.7109375" style="743" customWidth="1"/>
    <col min="8194" max="8194" width="46.28515625" style="743" customWidth="1"/>
    <col min="8195" max="8195" width="19.7109375" style="743" customWidth="1"/>
    <col min="8196" max="8196" width="11.28515625" style="743" customWidth="1"/>
    <col min="8197" max="8197" width="16.28515625" style="743" customWidth="1"/>
    <col min="8198" max="8448" width="9.140625" style="743"/>
    <col min="8449" max="8449" width="5.7109375" style="743" customWidth="1"/>
    <col min="8450" max="8450" width="46.28515625" style="743" customWidth="1"/>
    <col min="8451" max="8451" width="19.7109375" style="743" customWidth="1"/>
    <col min="8452" max="8452" width="11.28515625" style="743" customWidth="1"/>
    <col min="8453" max="8453" width="16.28515625" style="743" customWidth="1"/>
    <col min="8454" max="8704" width="9.140625" style="743"/>
    <col min="8705" max="8705" width="5.7109375" style="743" customWidth="1"/>
    <col min="8706" max="8706" width="46.28515625" style="743" customWidth="1"/>
    <col min="8707" max="8707" width="19.7109375" style="743" customWidth="1"/>
    <col min="8708" max="8708" width="11.28515625" style="743" customWidth="1"/>
    <col min="8709" max="8709" width="16.28515625" style="743" customWidth="1"/>
    <col min="8710" max="8960" width="9.140625" style="743"/>
    <col min="8961" max="8961" width="5.7109375" style="743" customWidth="1"/>
    <col min="8962" max="8962" width="46.28515625" style="743" customWidth="1"/>
    <col min="8963" max="8963" width="19.7109375" style="743" customWidth="1"/>
    <col min="8964" max="8964" width="11.28515625" style="743" customWidth="1"/>
    <col min="8965" max="8965" width="16.28515625" style="743" customWidth="1"/>
    <col min="8966" max="9216" width="9.140625" style="743"/>
    <col min="9217" max="9217" width="5.7109375" style="743" customWidth="1"/>
    <col min="9218" max="9218" width="46.28515625" style="743" customWidth="1"/>
    <col min="9219" max="9219" width="19.7109375" style="743" customWidth="1"/>
    <col min="9220" max="9220" width="11.28515625" style="743" customWidth="1"/>
    <col min="9221" max="9221" width="16.28515625" style="743" customWidth="1"/>
    <col min="9222" max="9472" width="9.140625" style="743"/>
    <col min="9473" max="9473" width="5.7109375" style="743" customWidth="1"/>
    <col min="9474" max="9474" width="46.28515625" style="743" customWidth="1"/>
    <col min="9475" max="9475" width="19.7109375" style="743" customWidth="1"/>
    <col min="9476" max="9476" width="11.28515625" style="743" customWidth="1"/>
    <col min="9477" max="9477" width="16.28515625" style="743" customWidth="1"/>
    <col min="9478" max="9728" width="9.140625" style="743"/>
    <col min="9729" max="9729" width="5.7109375" style="743" customWidth="1"/>
    <col min="9730" max="9730" width="46.28515625" style="743" customWidth="1"/>
    <col min="9731" max="9731" width="19.7109375" style="743" customWidth="1"/>
    <col min="9732" max="9732" width="11.28515625" style="743" customWidth="1"/>
    <col min="9733" max="9733" width="16.28515625" style="743" customWidth="1"/>
    <col min="9734" max="9984" width="9.140625" style="743"/>
    <col min="9985" max="9985" width="5.7109375" style="743" customWidth="1"/>
    <col min="9986" max="9986" width="46.28515625" style="743" customWidth="1"/>
    <col min="9987" max="9987" width="19.7109375" style="743" customWidth="1"/>
    <col min="9988" max="9988" width="11.28515625" style="743" customWidth="1"/>
    <col min="9989" max="9989" width="16.28515625" style="743" customWidth="1"/>
    <col min="9990" max="10240" width="9.140625" style="743"/>
    <col min="10241" max="10241" width="5.7109375" style="743" customWidth="1"/>
    <col min="10242" max="10242" width="46.28515625" style="743" customWidth="1"/>
    <col min="10243" max="10243" width="19.7109375" style="743" customWidth="1"/>
    <col min="10244" max="10244" width="11.28515625" style="743" customWidth="1"/>
    <col min="10245" max="10245" width="16.28515625" style="743" customWidth="1"/>
    <col min="10246" max="10496" width="9.140625" style="743"/>
    <col min="10497" max="10497" width="5.7109375" style="743" customWidth="1"/>
    <col min="10498" max="10498" width="46.28515625" style="743" customWidth="1"/>
    <col min="10499" max="10499" width="19.7109375" style="743" customWidth="1"/>
    <col min="10500" max="10500" width="11.28515625" style="743" customWidth="1"/>
    <col min="10501" max="10501" width="16.28515625" style="743" customWidth="1"/>
    <col min="10502" max="10752" width="9.140625" style="743"/>
    <col min="10753" max="10753" width="5.7109375" style="743" customWidth="1"/>
    <col min="10754" max="10754" width="46.28515625" style="743" customWidth="1"/>
    <col min="10755" max="10755" width="19.7109375" style="743" customWidth="1"/>
    <col min="10756" max="10756" width="11.28515625" style="743" customWidth="1"/>
    <col min="10757" max="10757" width="16.28515625" style="743" customWidth="1"/>
    <col min="10758" max="11008" width="9.140625" style="743"/>
    <col min="11009" max="11009" width="5.7109375" style="743" customWidth="1"/>
    <col min="11010" max="11010" width="46.28515625" style="743" customWidth="1"/>
    <col min="11011" max="11011" width="19.7109375" style="743" customWidth="1"/>
    <col min="11012" max="11012" width="11.28515625" style="743" customWidth="1"/>
    <col min="11013" max="11013" width="16.28515625" style="743" customWidth="1"/>
    <col min="11014" max="11264" width="9.140625" style="743"/>
    <col min="11265" max="11265" width="5.7109375" style="743" customWidth="1"/>
    <col min="11266" max="11266" width="46.28515625" style="743" customWidth="1"/>
    <col min="11267" max="11267" width="19.7109375" style="743" customWidth="1"/>
    <col min="11268" max="11268" width="11.28515625" style="743" customWidth="1"/>
    <col min="11269" max="11269" width="16.28515625" style="743" customWidth="1"/>
    <col min="11270" max="11520" width="9.140625" style="743"/>
    <col min="11521" max="11521" width="5.7109375" style="743" customWidth="1"/>
    <col min="11522" max="11522" width="46.28515625" style="743" customWidth="1"/>
    <col min="11523" max="11523" width="19.7109375" style="743" customWidth="1"/>
    <col min="11524" max="11524" width="11.28515625" style="743" customWidth="1"/>
    <col min="11525" max="11525" width="16.28515625" style="743" customWidth="1"/>
    <col min="11526" max="11776" width="9.140625" style="743"/>
    <col min="11777" max="11777" width="5.7109375" style="743" customWidth="1"/>
    <col min="11778" max="11778" width="46.28515625" style="743" customWidth="1"/>
    <col min="11779" max="11779" width="19.7109375" style="743" customWidth="1"/>
    <col min="11780" max="11780" width="11.28515625" style="743" customWidth="1"/>
    <col min="11781" max="11781" width="16.28515625" style="743" customWidth="1"/>
    <col min="11782" max="12032" width="9.140625" style="743"/>
    <col min="12033" max="12033" width="5.7109375" style="743" customWidth="1"/>
    <col min="12034" max="12034" width="46.28515625" style="743" customWidth="1"/>
    <col min="12035" max="12035" width="19.7109375" style="743" customWidth="1"/>
    <col min="12036" max="12036" width="11.28515625" style="743" customWidth="1"/>
    <col min="12037" max="12037" width="16.28515625" style="743" customWidth="1"/>
    <col min="12038" max="12288" width="9.140625" style="743"/>
    <col min="12289" max="12289" width="5.7109375" style="743" customWidth="1"/>
    <col min="12290" max="12290" width="46.28515625" style="743" customWidth="1"/>
    <col min="12291" max="12291" width="19.7109375" style="743" customWidth="1"/>
    <col min="12292" max="12292" width="11.28515625" style="743" customWidth="1"/>
    <col min="12293" max="12293" width="16.28515625" style="743" customWidth="1"/>
    <col min="12294" max="12544" width="9.140625" style="743"/>
    <col min="12545" max="12545" width="5.7109375" style="743" customWidth="1"/>
    <col min="12546" max="12546" width="46.28515625" style="743" customWidth="1"/>
    <col min="12547" max="12547" width="19.7109375" style="743" customWidth="1"/>
    <col min="12548" max="12548" width="11.28515625" style="743" customWidth="1"/>
    <col min="12549" max="12549" width="16.28515625" style="743" customWidth="1"/>
    <col min="12550" max="12800" width="9.140625" style="743"/>
    <col min="12801" max="12801" width="5.7109375" style="743" customWidth="1"/>
    <col min="12802" max="12802" width="46.28515625" style="743" customWidth="1"/>
    <col min="12803" max="12803" width="19.7109375" style="743" customWidth="1"/>
    <col min="12804" max="12804" width="11.28515625" style="743" customWidth="1"/>
    <col min="12805" max="12805" width="16.28515625" style="743" customWidth="1"/>
    <col min="12806" max="13056" width="9.140625" style="743"/>
    <col min="13057" max="13057" width="5.7109375" style="743" customWidth="1"/>
    <col min="13058" max="13058" width="46.28515625" style="743" customWidth="1"/>
    <col min="13059" max="13059" width="19.7109375" style="743" customWidth="1"/>
    <col min="13060" max="13060" width="11.28515625" style="743" customWidth="1"/>
    <col min="13061" max="13061" width="16.28515625" style="743" customWidth="1"/>
    <col min="13062" max="13312" width="9.140625" style="743"/>
    <col min="13313" max="13313" width="5.7109375" style="743" customWidth="1"/>
    <col min="13314" max="13314" width="46.28515625" style="743" customWidth="1"/>
    <col min="13315" max="13315" width="19.7109375" style="743" customWidth="1"/>
    <col min="13316" max="13316" width="11.28515625" style="743" customWidth="1"/>
    <col min="13317" max="13317" width="16.28515625" style="743" customWidth="1"/>
    <col min="13318" max="13568" width="9.140625" style="743"/>
    <col min="13569" max="13569" width="5.7109375" style="743" customWidth="1"/>
    <col min="13570" max="13570" width="46.28515625" style="743" customWidth="1"/>
    <col min="13571" max="13571" width="19.7109375" style="743" customWidth="1"/>
    <col min="13572" max="13572" width="11.28515625" style="743" customWidth="1"/>
    <col min="13573" max="13573" width="16.28515625" style="743" customWidth="1"/>
    <col min="13574" max="13824" width="9.140625" style="743"/>
    <col min="13825" max="13825" width="5.7109375" style="743" customWidth="1"/>
    <col min="13826" max="13826" width="46.28515625" style="743" customWidth="1"/>
    <col min="13827" max="13827" width="19.7109375" style="743" customWidth="1"/>
    <col min="13828" max="13828" width="11.28515625" style="743" customWidth="1"/>
    <col min="13829" max="13829" width="16.28515625" style="743" customWidth="1"/>
    <col min="13830" max="14080" width="9.140625" style="743"/>
    <col min="14081" max="14081" width="5.7109375" style="743" customWidth="1"/>
    <col min="14082" max="14082" width="46.28515625" style="743" customWidth="1"/>
    <col min="14083" max="14083" width="19.7109375" style="743" customWidth="1"/>
    <col min="14084" max="14084" width="11.28515625" style="743" customWidth="1"/>
    <col min="14085" max="14085" width="16.28515625" style="743" customWidth="1"/>
    <col min="14086" max="14336" width="9.140625" style="743"/>
    <col min="14337" max="14337" width="5.7109375" style="743" customWidth="1"/>
    <col min="14338" max="14338" width="46.28515625" style="743" customWidth="1"/>
    <col min="14339" max="14339" width="19.7109375" style="743" customWidth="1"/>
    <col min="14340" max="14340" width="11.28515625" style="743" customWidth="1"/>
    <col min="14341" max="14341" width="16.28515625" style="743" customWidth="1"/>
    <col min="14342" max="14592" width="9.140625" style="743"/>
    <col min="14593" max="14593" width="5.7109375" style="743" customWidth="1"/>
    <col min="14594" max="14594" width="46.28515625" style="743" customWidth="1"/>
    <col min="14595" max="14595" width="19.7109375" style="743" customWidth="1"/>
    <col min="14596" max="14596" width="11.28515625" style="743" customWidth="1"/>
    <col min="14597" max="14597" width="16.28515625" style="743" customWidth="1"/>
    <col min="14598" max="14848" width="9.140625" style="743"/>
    <col min="14849" max="14849" width="5.7109375" style="743" customWidth="1"/>
    <col min="14850" max="14850" width="46.28515625" style="743" customWidth="1"/>
    <col min="14851" max="14851" width="19.7109375" style="743" customWidth="1"/>
    <col min="14852" max="14852" width="11.28515625" style="743" customWidth="1"/>
    <col min="14853" max="14853" width="16.28515625" style="743" customWidth="1"/>
    <col min="14854" max="15104" width="9.140625" style="743"/>
    <col min="15105" max="15105" width="5.7109375" style="743" customWidth="1"/>
    <col min="15106" max="15106" width="46.28515625" style="743" customWidth="1"/>
    <col min="15107" max="15107" width="19.7109375" style="743" customWidth="1"/>
    <col min="15108" max="15108" width="11.28515625" style="743" customWidth="1"/>
    <col min="15109" max="15109" width="16.28515625" style="743" customWidth="1"/>
    <col min="15110" max="15360" width="9.140625" style="743"/>
    <col min="15361" max="15361" width="5.7109375" style="743" customWidth="1"/>
    <col min="15362" max="15362" width="46.28515625" style="743" customWidth="1"/>
    <col min="15363" max="15363" width="19.7109375" style="743" customWidth="1"/>
    <col min="15364" max="15364" width="11.28515625" style="743" customWidth="1"/>
    <col min="15365" max="15365" width="16.28515625" style="743" customWidth="1"/>
    <col min="15366" max="15616" width="9.140625" style="743"/>
    <col min="15617" max="15617" width="5.7109375" style="743" customWidth="1"/>
    <col min="15618" max="15618" width="46.28515625" style="743" customWidth="1"/>
    <col min="15619" max="15619" width="19.7109375" style="743" customWidth="1"/>
    <col min="15620" max="15620" width="11.28515625" style="743" customWidth="1"/>
    <col min="15621" max="15621" width="16.28515625" style="743" customWidth="1"/>
    <col min="15622" max="15872" width="9.140625" style="743"/>
    <col min="15873" max="15873" width="5.7109375" style="743" customWidth="1"/>
    <col min="15874" max="15874" width="46.28515625" style="743" customWidth="1"/>
    <col min="15875" max="15875" width="19.7109375" style="743" customWidth="1"/>
    <col min="15876" max="15876" width="11.28515625" style="743" customWidth="1"/>
    <col min="15877" max="15877" width="16.28515625" style="743" customWidth="1"/>
    <col min="15878" max="16128" width="9.140625" style="743"/>
    <col min="16129" max="16129" width="5.7109375" style="743" customWidth="1"/>
    <col min="16130" max="16130" width="46.28515625" style="743" customWidth="1"/>
    <col min="16131" max="16131" width="19.7109375" style="743" customWidth="1"/>
    <col min="16132" max="16132" width="11.28515625" style="743" customWidth="1"/>
    <col min="16133" max="16133" width="16.28515625" style="743" customWidth="1"/>
    <col min="16134" max="16384" width="9.140625" style="743"/>
  </cols>
  <sheetData>
    <row r="2" spans="1:12" ht="28.5" customHeight="1" x14ac:dyDescent="0.25">
      <c r="A2" s="1974" t="s">
        <v>20</v>
      </c>
      <c r="B2" s="1975"/>
      <c r="C2" s="1975"/>
      <c r="D2" s="1975"/>
      <c r="E2" s="1975"/>
      <c r="F2" s="1975"/>
    </row>
    <row r="4" spans="1:12" x14ac:dyDescent="0.25">
      <c r="A4" s="1976" t="s">
        <v>5778</v>
      </c>
      <c r="B4" s="1976"/>
      <c r="C4" s="1976"/>
      <c r="D4" s="1976"/>
      <c r="E4" s="1976"/>
      <c r="F4" s="744"/>
      <c r="G4" s="744"/>
      <c r="H4" s="744"/>
      <c r="I4" s="744"/>
      <c r="J4" s="744"/>
      <c r="K4" s="744"/>
      <c r="L4" s="744"/>
    </row>
    <row r="5" spans="1:12" ht="33" customHeight="1" x14ac:dyDescent="0.25">
      <c r="A5" s="1977" t="s">
        <v>110</v>
      </c>
      <c r="B5" s="1977"/>
      <c r="C5" s="1977"/>
      <c r="D5" s="1977"/>
      <c r="E5" s="1977"/>
      <c r="F5" s="745"/>
      <c r="G5" s="745"/>
      <c r="H5" s="745"/>
      <c r="I5" s="745"/>
      <c r="J5" s="745"/>
      <c r="K5" s="745"/>
      <c r="L5" s="745"/>
    </row>
    <row r="6" spans="1:12" ht="33" customHeight="1" x14ac:dyDescent="0.25">
      <c r="A6" s="1978" t="s">
        <v>562</v>
      </c>
      <c r="B6" s="1978"/>
      <c r="C6" s="746" t="s">
        <v>5654</v>
      </c>
      <c r="D6" s="746"/>
      <c r="E6" s="746"/>
      <c r="F6" s="746"/>
      <c r="G6" s="746"/>
      <c r="H6" s="745"/>
      <c r="I6" s="745"/>
      <c r="J6" s="745"/>
      <c r="K6" s="745"/>
      <c r="L6" s="745"/>
    </row>
    <row r="7" spans="1:12" ht="33" customHeight="1" x14ac:dyDescent="0.3">
      <c r="A7" s="1978" t="s">
        <v>5655</v>
      </c>
      <c r="B7" s="1978"/>
      <c r="C7" s="747" t="s">
        <v>5656</v>
      </c>
      <c r="D7" s="746"/>
      <c r="E7" s="746"/>
      <c r="F7" s="746"/>
      <c r="G7" s="746"/>
      <c r="H7" s="745"/>
      <c r="I7" s="745"/>
      <c r="J7" s="745"/>
      <c r="K7" s="745"/>
      <c r="L7" s="745"/>
    </row>
    <row r="8" spans="1:12" ht="33" customHeight="1" x14ac:dyDescent="0.25">
      <c r="A8" s="748" t="s">
        <v>5657</v>
      </c>
      <c r="B8" s="746"/>
      <c r="C8" s="749" t="s">
        <v>9178</v>
      </c>
      <c r="D8" s="746"/>
      <c r="E8" s="746"/>
      <c r="F8" s="746"/>
      <c r="G8" s="746"/>
      <c r="H8" s="745"/>
      <c r="I8" s="745"/>
      <c r="J8" s="745"/>
      <c r="K8" s="745"/>
      <c r="L8" s="745"/>
    </row>
    <row r="9" spans="1:12" ht="33" customHeight="1" x14ac:dyDescent="0.25">
      <c r="A9" s="748" t="s">
        <v>5658</v>
      </c>
      <c r="B9" s="746"/>
      <c r="C9" s="749" t="s">
        <v>5779</v>
      </c>
      <c r="D9" s="746"/>
      <c r="E9" s="746"/>
      <c r="F9" s="746"/>
      <c r="G9" s="746"/>
      <c r="H9" s="745"/>
      <c r="I9" s="745"/>
      <c r="J9" s="745"/>
      <c r="K9" s="745"/>
      <c r="L9" s="745"/>
    </row>
    <row r="10" spans="1:12" ht="33" customHeight="1" x14ac:dyDescent="0.25">
      <c r="A10" s="1981" t="s">
        <v>5659</v>
      </c>
      <c r="B10" s="1982"/>
      <c r="C10" s="1982"/>
      <c r="D10" s="1982"/>
      <c r="E10" s="1982"/>
      <c r="F10" s="1982"/>
      <c r="G10" s="1982"/>
      <c r="H10" s="745"/>
      <c r="I10" s="745"/>
      <c r="J10" s="745"/>
      <c r="K10" s="745"/>
      <c r="L10" s="745"/>
    </row>
    <row r="11" spans="1:12" ht="33" customHeight="1" x14ac:dyDescent="0.25">
      <c r="A11" s="750" t="s">
        <v>5660</v>
      </c>
      <c r="B11" s="750" t="s">
        <v>5661</v>
      </c>
      <c r="C11" s="750" t="s">
        <v>145</v>
      </c>
      <c r="D11" s="750" t="s">
        <v>568</v>
      </c>
      <c r="E11" s="750" t="s">
        <v>5662</v>
      </c>
      <c r="F11" s="745"/>
      <c r="G11" s="745"/>
      <c r="H11" s="745"/>
      <c r="I11" s="745"/>
      <c r="J11" s="745"/>
      <c r="K11" s="745"/>
      <c r="L11" s="745"/>
    </row>
    <row r="12" spans="1:12" ht="46.5" customHeight="1" x14ac:dyDescent="0.25">
      <c r="A12" s="751">
        <v>1</v>
      </c>
      <c r="B12" s="752" t="s">
        <v>110</v>
      </c>
      <c r="C12" s="755" t="s">
        <v>9179</v>
      </c>
      <c r="D12" s="754">
        <f>3502.84*(411.24-8.784-172.16-51.066)/12.14</f>
        <v>51714.5</v>
      </c>
      <c r="E12" s="755" t="s">
        <v>9180</v>
      </c>
      <c r="F12" s="745"/>
      <c r="G12" s="745"/>
      <c r="H12" s="745"/>
      <c r="I12" s="745"/>
      <c r="J12" s="745"/>
      <c r="K12" s="745"/>
      <c r="L12" s="745"/>
    </row>
    <row r="13" spans="1:12" ht="33" customHeight="1" x14ac:dyDescent="0.25">
      <c r="A13" s="756">
        <v>2</v>
      </c>
      <c r="B13" s="757" t="s">
        <v>5663</v>
      </c>
      <c r="C13" s="758"/>
      <c r="D13" s="759">
        <f>D12</f>
        <v>51714.5</v>
      </c>
      <c r="E13" s="760"/>
      <c r="F13" s="745"/>
      <c r="G13" s="745"/>
      <c r="H13" s="745"/>
      <c r="I13" s="745"/>
      <c r="J13" s="745"/>
      <c r="K13" s="745"/>
      <c r="L13" s="745"/>
    </row>
    <row r="14" spans="1:12" ht="75.75" customHeight="1" x14ac:dyDescent="0.25">
      <c r="A14" s="761">
        <v>3</v>
      </c>
      <c r="B14" s="762" t="s">
        <v>5664</v>
      </c>
      <c r="C14" s="763" t="s">
        <v>5665</v>
      </c>
      <c r="D14" s="764">
        <f>D13*12.14</f>
        <v>627814.03</v>
      </c>
      <c r="E14" s="765"/>
      <c r="F14" s="745"/>
      <c r="G14" s="745"/>
      <c r="H14" s="745"/>
      <c r="I14" s="745"/>
      <c r="J14" s="745"/>
      <c r="K14" s="745"/>
      <c r="L14" s="745"/>
    </row>
    <row r="15" spans="1:12" x14ac:dyDescent="0.25">
      <c r="A15" s="1977"/>
      <c r="B15" s="1977"/>
      <c r="C15" s="1977"/>
      <c r="D15" s="1977"/>
      <c r="E15" s="1977"/>
    </row>
    <row r="16" spans="1:12" x14ac:dyDescent="0.25">
      <c r="A16" s="766"/>
    </row>
    <row r="17" spans="1:5" x14ac:dyDescent="0.25">
      <c r="A17" s="1983" t="s">
        <v>5666</v>
      </c>
      <c r="B17" s="1983"/>
      <c r="C17" s="1983"/>
      <c r="D17" s="1983"/>
      <c r="E17" s="1983"/>
    </row>
    <row r="18" spans="1:5" x14ac:dyDescent="0.25">
      <c r="A18" s="1984" t="s">
        <v>5667</v>
      </c>
      <c r="B18" s="1984"/>
      <c r="C18" s="1984"/>
      <c r="D18" s="1984"/>
      <c r="E18" s="1984"/>
    </row>
    <row r="19" spans="1:5" x14ac:dyDescent="0.25">
      <c r="A19" s="1983" t="s">
        <v>5668</v>
      </c>
      <c r="B19" s="1983"/>
      <c r="C19" s="1983"/>
      <c r="D19" s="1983"/>
      <c r="E19" s="1983"/>
    </row>
    <row r="20" spans="1:5" x14ac:dyDescent="0.25">
      <c r="A20" s="1973" t="s">
        <v>5667</v>
      </c>
      <c r="B20" s="1973"/>
      <c r="C20" s="1973"/>
      <c r="D20" s="1973"/>
      <c r="E20" s="1973"/>
    </row>
    <row r="21" spans="1:5" x14ac:dyDescent="0.25">
      <c r="A21" s="767"/>
      <c r="B21" s="767"/>
      <c r="C21" s="767"/>
      <c r="D21" s="767"/>
      <c r="E21" s="767"/>
    </row>
  </sheetData>
  <mergeCells count="11">
    <mergeCell ref="A10:G10"/>
    <mergeCell ref="A2:F2"/>
    <mergeCell ref="A4:E4"/>
    <mergeCell ref="A5:E5"/>
    <mergeCell ref="A6:B6"/>
    <mergeCell ref="A7:B7"/>
    <mergeCell ref="A15:E15"/>
    <mergeCell ref="A17:E17"/>
    <mergeCell ref="A18:E18"/>
    <mergeCell ref="A19:E19"/>
    <mergeCell ref="A20:E20"/>
  </mergeCells>
  <pageMargins left="0.35" right="0.24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"/>
  <dimension ref="A2:L20"/>
  <sheetViews>
    <sheetView zoomScale="95" zoomScaleNormal="95" zoomScaleSheetLayoutView="95" workbookViewId="0">
      <selection activeCell="F17" sqref="F17"/>
    </sheetView>
  </sheetViews>
  <sheetFormatPr defaultRowHeight="15" x14ac:dyDescent="0.25"/>
  <cols>
    <col min="1" max="1" width="5.7109375" style="779" customWidth="1"/>
    <col min="2" max="2" width="46.28515625" style="779" customWidth="1"/>
    <col min="3" max="3" width="28.140625" style="779" customWidth="1"/>
    <col min="4" max="4" width="18.140625" style="779" customWidth="1"/>
    <col min="5" max="5" width="31.85546875" style="779" customWidth="1"/>
    <col min="6" max="6" width="11.7109375" style="779" bestFit="1" customWidth="1"/>
    <col min="7" max="256" width="9.140625" style="779"/>
    <col min="257" max="257" width="5.7109375" style="779" customWidth="1"/>
    <col min="258" max="258" width="46.28515625" style="779" customWidth="1"/>
    <col min="259" max="259" width="19.7109375" style="779" customWidth="1"/>
    <col min="260" max="260" width="11.28515625" style="779" customWidth="1"/>
    <col min="261" max="261" width="16.28515625" style="779" customWidth="1"/>
    <col min="262" max="512" width="9.140625" style="779"/>
    <col min="513" max="513" width="5.7109375" style="779" customWidth="1"/>
    <col min="514" max="514" width="46.28515625" style="779" customWidth="1"/>
    <col min="515" max="515" width="19.7109375" style="779" customWidth="1"/>
    <col min="516" max="516" width="11.28515625" style="779" customWidth="1"/>
    <col min="517" max="517" width="16.28515625" style="779" customWidth="1"/>
    <col min="518" max="768" width="9.140625" style="779"/>
    <col min="769" max="769" width="5.7109375" style="779" customWidth="1"/>
    <col min="770" max="770" width="46.28515625" style="779" customWidth="1"/>
    <col min="771" max="771" width="19.7109375" style="779" customWidth="1"/>
    <col min="772" max="772" width="11.28515625" style="779" customWidth="1"/>
    <col min="773" max="773" width="16.28515625" style="779" customWidth="1"/>
    <col min="774" max="1024" width="9.140625" style="779"/>
    <col min="1025" max="1025" width="5.7109375" style="779" customWidth="1"/>
    <col min="1026" max="1026" width="46.28515625" style="779" customWidth="1"/>
    <col min="1027" max="1027" width="19.7109375" style="779" customWidth="1"/>
    <col min="1028" max="1028" width="11.28515625" style="779" customWidth="1"/>
    <col min="1029" max="1029" width="16.28515625" style="779" customWidth="1"/>
    <col min="1030" max="1280" width="9.140625" style="779"/>
    <col min="1281" max="1281" width="5.7109375" style="779" customWidth="1"/>
    <col min="1282" max="1282" width="46.28515625" style="779" customWidth="1"/>
    <col min="1283" max="1283" width="19.7109375" style="779" customWidth="1"/>
    <col min="1284" max="1284" width="11.28515625" style="779" customWidth="1"/>
    <col min="1285" max="1285" width="16.28515625" style="779" customWidth="1"/>
    <col min="1286" max="1536" width="9.140625" style="779"/>
    <col min="1537" max="1537" width="5.7109375" style="779" customWidth="1"/>
    <col min="1538" max="1538" width="46.28515625" style="779" customWidth="1"/>
    <col min="1539" max="1539" width="19.7109375" style="779" customWidth="1"/>
    <col min="1540" max="1540" width="11.28515625" style="779" customWidth="1"/>
    <col min="1541" max="1541" width="16.28515625" style="779" customWidth="1"/>
    <col min="1542" max="1792" width="9.140625" style="779"/>
    <col min="1793" max="1793" width="5.7109375" style="779" customWidth="1"/>
    <col min="1794" max="1794" width="46.28515625" style="779" customWidth="1"/>
    <col min="1795" max="1795" width="19.7109375" style="779" customWidth="1"/>
    <col min="1796" max="1796" width="11.28515625" style="779" customWidth="1"/>
    <col min="1797" max="1797" width="16.28515625" style="779" customWidth="1"/>
    <col min="1798" max="2048" width="9.140625" style="779"/>
    <col min="2049" max="2049" width="5.7109375" style="779" customWidth="1"/>
    <col min="2050" max="2050" width="46.28515625" style="779" customWidth="1"/>
    <col min="2051" max="2051" width="19.7109375" style="779" customWidth="1"/>
    <col min="2052" max="2052" width="11.28515625" style="779" customWidth="1"/>
    <col min="2053" max="2053" width="16.28515625" style="779" customWidth="1"/>
    <col min="2054" max="2304" width="9.140625" style="779"/>
    <col min="2305" max="2305" width="5.7109375" style="779" customWidth="1"/>
    <col min="2306" max="2306" width="46.28515625" style="779" customWidth="1"/>
    <col min="2307" max="2307" width="19.7109375" style="779" customWidth="1"/>
    <col min="2308" max="2308" width="11.28515625" style="779" customWidth="1"/>
    <col min="2309" max="2309" width="16.28515625" style="779" customWidth="1"/>
    <col min="2310" max="2560" width="9.140625" style="779"/>
    <col min="2561" max="2561" width="5.7109375" style="779" customWidth="1"/>
    <col min="2562" max="2562" width="46.28515625" style="779" customWidth="1"/>
    <col min="2563" max="2563" width="19.7109375" style="779" customWidth="1"/>
    <col min="2564" max="2564" width="11.28515625" style="779" customWidth="1"/>
    <col min="2565" max="2565" width="16.28515625" style="779" customWidth="1"/>
    <col min="2566" max="2816" width="9.140625" style="779"/>
    <col min="2817" max="2817" width="5.7109375" style="779" customWidth="1"/>
    <col min="2818" max="2818" width="46.28515625" style="779" customWidth="1"/>
    <col min="2819" max="2819" width="19.7109375" style="779" customWidth="1"/>
    <col min="2820" max="2820" width="11.28515625" style="779" customWidth="1"/>
    <col min="2821" max="2821" width="16.28515625" style="779" customWidth="1"/>
    <col min="2822" max="3072" width="9.140625" style="779"/>
    <col min="3073" max="3073" width="5.7109375" style="779" customWidth="1"/>
    <col min="3074" max="3074" width="46.28515625" style="779" customWidth="1"/>
    <col min="3075" max="3075" width="19.7109375" style="779" customWidth="1"/>
    <col min="3076" max="3076" width="11.28515625" style="779" customWidth="1"/>
    <col min="3077" max="3077" width="16.28515625" style="779" customWidth="1"/>
    <col min="3078" max="3328" width="9.140625" style="779"/>
    <col min="3329" max="3329" width="5.7109375" style="779" customWidth="1"/>
    <col min="3330" max="3330" width="46.28515625" style="779" customWidth="1"/>
    <col min="3331" max="3331" width="19.7109375" style="779" customWidth="1"/>
    <col min="3332" max="3332" width="11.28515625" style="779" customWidth="1"/>
    <col min="3333" max="3333" width="16.28515625" style="779" customWidth="1"/>
    <col min="3334" max="3584" width="9.140625" style="779"/>
    <col min="3585" max="3585" width="5.7109375" style="779" customWidth="1"/>
    <col min="3586" max="3586" width="46.28515625" style="779" customWidth="1"/>
    <col min="3587" max="3587" width="19.7109375" style="779" customWidth="1"/>
    <col min="3588" max="3588" width="11.28515625" style="779" customWidth="1"/>
    <col min="3589" max="3589" width="16.28515625" style="779" customWidth="1"/>
    <col min="3590" max="3840" width="9.140625" style="779"/>
    <col min="3841" max="3841" width="5.7109375" style="779" customWidth="1"/>
    <col min="3842" max="3842" width="46.28515625" style="779" customWidth="1"/>
    <col min="3843" max="3843" width="19.7109375" style="779" customWidth="1"/>
    <col min="3844" max="3844" width="11.28515625" style="779" customWidth="1"/>
    <col min="3845" max="3845" width="16.28515625" style="779" customWidth="1"/>
    <col min="3846" max="4096" width="9.140625" style="779"/>
    <col min="4097" max="4097" width="5.7109375" style="779" customWidth="1"/>
    <col min="4098" max="4098" width="46.28515625" style="779" customWidth="1"/>
    <col min="4099" max="4099" width="19.7109375" style="779" customWidth="1"/>
    <col min="4100" max="4100" width="11.28515625" style="779" customWidth="1"/>
    <col min="4101" max="4101" width="16.28515625" style="779" customWidth="1"/>
    <col min="4102" max="4352" width="9.140625" style="779"/>
    <col min="4353" max="4353" width="5.7109375" style="779" customWidth="1"/>
    <col min="4354" max="4354" width="46.28515625" style="779" customWidth="1"/>
    <col min="4355" max="4355" width="19.7109375" style="779" customWidth="1"/>
    <col min="4356" max="4356" width="11.28515625" style="779" customWidth="1"/>
    <col min="4357" max="4357" width="16.28515625" style="779" customWidth="1"/>
    <col min="4358" max="4608" width="9.140625" style="779"/>
    <col min="4609" max="4609" width="5.7109375" style="779" customWidth="1"/>
    <col min="4610" max="4610" width="46.28515625" style="779" customWidth="1"/>
    <col min="4611" max="4611" width="19.7109375" style="779" customWidth="1"/>
    <col min="4612" max="4612" width="11.28515625" style="779" customWidth="1"/>
    <col min="4613" max="4613" width="16.28515625" style="779" customWidth="1"/>
    <col min="4614" max="4864" width="9.140625" style="779"/>
    <col min="4865" max="4865" width="5.7109375" style="779" customWidth="1"/>
    <col min="4866" max="4866" width="46.28515625" style="779" customWidth="1"/>
    <col min="4867" max="4867" width="19.7109375" style="779" customWidth="1"/>
    <col min="4868" max="4868" width="11.28515625" style="779" customWidth="1"/>
    <col min="4869" max="4869" width="16.28515625" style="779" customWidth="1"/>
    <col min="4870" max="5120" width="9.140625" style="779"/>
    <col min="5121" max="5121" width="5.7109375" style="779" customWidth="1"/>
    <col min="5122" max="5122" width="46.28515625" style="779" customWidth="1"/>
    <col min="5123" max="5123" width="19.7109375" style="779" customWidth="1"/>
    <col min="5124" max="5124" width="11.28515625" style="779" customWidth="1"/>
    <col min="5125" max="5125" width="16.28515625" style="779" customWidth="1"/>
    <col min="5126" max="5376" width="9.140625" style="779"/>
    <col min="5377" max="5377" width="5.7109375" style="779" customWidth="1"/>
    <col min="5378" max="5378" width="46.28515625" style="779" customWidth="1"/>
    <col min="5379" max="5379" width="19.7109375" style="779" customWidth="1"/>
    <col min="5380" max="5380" width="11.28515625" style="779" customWidth="1"/>
    <col min="5381" max="5381" width="16.28515625" style="779" customWidth="1"/>
    <col min="5382" max="5632" width="9.140625" style="779"/>
    <col min="5633" max="5633" width="5.7109375" style="779" customWidth="1"/>
    <col min="5634" max="5634" width="46.28515625" style="779" customWidth="1"/>
    <col min="5635" max="5635" width="19.7109375" style="779" customWidth="1"/>
    <col min="5636" max="5636" width="11.28515625" style="779" customWidth="1"/>
    <col min="5637" max="5637" width="16.28515625" style="779" customWidth="1"/>
    <col min="5638" max="5888" width="9.140625" style="779"/>
    <col min="5889" max="5889" width="5.7109375" style="779" customWidth="1"/>
    <col min="5890" max="5890" width="46.28515625" style="779" customWidth="1"/>
    <col min="5891" max="5891" width="19.7109375" style="779" customWidth="1"/>
    <col min="5892" max="5892" width="11.28515625" style="779" customWidth="1"/>
    <col min="5893" max="5893" width="16.28515625" style="779" customWidth="1"/>
    <col min="5894" max="6144" width="9.140625" style="779"/>
    <col min="6145" max="6145" width="5.7109375" style="779" customWidth="1"/>
    <col min="6146" max="6146" width="46.28515625" style="779" customWidth="1"/>
    <col min="6147" max="6147" width="19.7109375" style="779" customWidth="1"/>
    <col min="6148" max="6148" width="11.28515625" style="779" customWidth="1"/>
    <col min="6149" max="6149" width="16.28515625" style="779" customWidth="1"/>
    <col min="6150" max="6400" width="9.140625" style="779"/>
    <col min="6401" max="6401" width="5.7109375" style="779" customWidth="1"/>
    <col min="6402" max="6402" width="46.28515625" style="779" customWidth="1"/>
    <col min="6403" max="6403" width="19.7109375" style="779" customWidth="1"/>
    <col min="6404" max="6404" width="11.28515625" style="779" customWidth="1"/>
    <col min="6405" max="6405" width="16.28515625" style="779" customWidth="1"/>
    <col min="6406" max="6656" width="9.140625" style="779"/>
    <col min="6657" max="6657" width="5.7109375" style="779" customWidth="1"/>
    <col min="6658" max="6658" width="46.28515625" style="779" customWidth="1"/>
    <col min="6659" max="6659" width="19.7109375" style="779" customWidth="1"/>
    <col min="6660" max="6660" width="11.28515625" style="779" customWidth="1"/>
    <col min="6661" max="6661" width="16.28515625" style="779" customWidth="1"/>
    <col min="6662" max="6912" width="9.140625" style="779"/>
    <col min="6913" max="6913" width="5.7109375" style="779" customWidth="1"/>
    <col min="6914" max="6914" width="46.28515625" style="779" customWidth="1"/>
    <col min="6915" max="6915" width="19.7109375" style="779" customWidth="1"/>
    <col min="6916" max="6916" width="11.28515625" style="779" customWidth="1"/>
    <col min="6917" max="6917" width="16.28515625" style="779" customWidth="1"/>
    <col min="6918" max="7168" width="9.140625" style="779"/>
    <col min="7169" max="7169" width="5.7109375" style="779" customWidth="1"/>
    <col min="7170" max="7170" width="46.28515625" style="779" customWidth="1"/>
    <col min="7171" max="7171" width="19.7109375" style="779" customWidth="1"/>
    <col min="7172" max="7172" width="11.28515625" style="779" customWidth="1"/>
    <col min="7173" max="7173" width="16.28515625" style="779" customWidth="1"/>
    <col min="7174" max="7424" width="9.140625" style="779"/>
    <col min="7425" max="7425" width="5.7109375" style="779" customWidth="1"/>
    <col min="7426" max="7426" width="46.28515625" style="779" customWidth="1"/>
    <col min="7427" max="7427" width="19.7109375" style="779" customWidth="1"/>
    <col min="7428" max="7428" width="11.28515625" style="779" customWidth="1"/>
    <col min="7429" max="7429" width="16.28515625" style="779" customWidth="1"/>
    <col min="7430" max="7680" width="9.140625" style="779"/>
    <col min="7681" max="7681" width="5.7109375" style="779" customWidth="1"/>
    <col min="7682" max="7682" width="46.28515625" style="779" customWidth="1"/>
    <col min="7683" max="7683" width="19.7109375" style="779" customWidth="1"/>
    <col min="7684" max="7684" width="11.28515625" style="779" customWidth="1"/>
    <col min="7685" max="7685" width="16.28515625" style="779" customWidth="1"/>
    <col min="7686" max="7936" width="9.140625" style="779"/>
    <col min="7937" max="7937" width="5.7109375" style="779" customWidth="1"/>
    <col min="7938" max="7938" width="46.28515625" style="779" customWidth="1"/>
    <col min="7939" max="7939" width="19.7109375" style="779" customWidth="1"/>
    <col min="7940" max="7940" width="11.28515625" style="779" customWidth="1"/>
    <col min="7941" max="7941" width="16.28515625" style="779" customWidth="1"/>
    <col min="7942" max="8192" width="9.140625" style="779"/>
    <col min="8193" max="8193" width="5.7109375" style="779" customWidth="1"/>
    <col min="8194" max="8194" width="46.28515625" style="779" customWidth="1"/>
    <col min="8195" max="8195" width="19.7109375" style="779" customWidth="1"/>
    <col min="8196" max="8196" width="11.28515625" style="779" customWidth="1"/>
    <col min="8197" max="8197" width="16.28515625" style="779" customWidth="1"/>
    <col min="8198" max="8448" width="9.140625" style="779"/>
    <col min="8449" max="8449" width="5.7109375" style="779" customWidth="1"/>
    <col min="8450" max="8450" width="46.28515625" style="779" customWidth="1"/>
    <col min="8451" max="8451" width="19.7109375" style="779" customWidth="1"/>
    <col min="8452" max="8452" width="11.28515625" style="779" customWidth="1"/>
    <col min="8453" max="8453" width="16.28515625" style="779" customWidth="1"/>
    <col min="8454" max="8704" width="9.140625" style="779"/>
    <col min="8705" max="8705" width="5.7109375" style="779" customWidth="1"/>
    <col min="8706" max="8706" width="46.28515625" style="779" customWidth="1"/>
    <col min="8707" max="8707" width="19.7109375" style="779" customWidth="1"/>
    <col min="8708" max="8708" width="11.28515625" style="779" customWidth="1"/>
    <col min="8709" max="8709" width="16.28515625" style="779" customWidth="1"/>
    <col min="8710" max="8960" width="9.140625" style="779"/>
    <col min="8961" max="8961" width="5.7109375" style="779" customWidth="1"/>
    <col min="8962" max="8962" width="46.28515625" style="779" customWidth="1"/>
    <col min="8963" max="8963" width="19.7109375" style="779" customWidth="1"/>
    <col min="8964" max="8964" width="11.28515625" style="779" customWidth="1"/>
    <col min="8965" max="8965" width="16.28515625" style="779" customWidth="1"/>
    <col min="8966" max="9216" width="9.140625" style="779"/>
    <col min="9217" max="9217" width="5.7109375" style="779" customWidth="1"/>
    <col min="9218" max="9218" width="46.28515625" style="779" customWidth="1"/>
    <col min="9219" max="9219" width="19.7109375" style="779" customWidth="1"/>
    <col min="9220" max="9220" width="11.28515625" style="779" customWidth="1"/>
    <col min="9221" max="9221" width="16.28515625" style="779" customWidth="1"/>
    <col min="9222" max="9472" width="9.140625" style="779"/>
    <col min="9473" max="9473" width="5.7109375" style="779" customWidth="1"/>
    <col min="9474" max="9474" width="46.28515625" style="779" customWidth="1"/>
    <col min="9475" max="9475" width="19.7109375" style="779" customWidth="1"/>
    <col min="9476" max="9476" width="11.28515625" style="779" customWidth="1"/>
    <col min="9477" max="9477" width="16.28515625" style="779" customWidth="1"/>
    <col min="9478" max="9728" width="9.140625" style="779"/>
    <col min="9729" max="9729" width="5.7109375" style="779" customWidth="1"/>
    <col min="9730" max="9730" width="46.28515625" style="779" customWidth="1"/>
    <col min="9731" max="9731" width="19.7109375" style="779" customWidth="1"/>
    <col min="9732" max="9732" width="11.28515625" style="779" customWidth="1"/>
    <col min="9733" max="9733" width="16.28515625" style="779" customWidth="1"/>
    <col min="9734" max="9984" width="9.140625" style="779"/>
    <col min="9985" max="9985" width="5.7109375" style="779" customWidth="1"/>
    <col min="9986" max="9986" width="46.28515625" style="779" customWidth="1"/>
    <col min="9987" max="9987" width="19.7109375" style="779" customWidth="1"/>
    <col min="9988" max="9988" width="11.28515625" style="779" customWidth="1"/>
    <col min="9989" max="9989" width="16.28515625" style="779" customWidth="1"/>
    <col min="9990" max="10240" width="9.140625" style="779"/>
    <col min="10241" max="10241" width="5.7109375" style="779" customWidth="1"/>
    <col min="10242" max="10242" width="46.28515625" style="779" customWidth="1"/>
    <col min="10243" max="10243" width="19.7109375" style="779" customWidth="1"/>
    <col min="10244" max="10244" width="11.28515625" style="779" customWidth="1"/>
    <col min="10245" max="10245" width="16.28515625" style="779" customWidth="1"/>
    <col min="10246" max="10496" width="9.140625" style="779"/>
    <col min="10497" max="10497" width="5.7109375" style="779" customWidth="1"/>
    <col min="10498" max="10498" width="46.28515625" style="779" customWidth="1"/>
    <col min="10499" max="10499" width="19.7109375" style="779" customWidth="1"/>
    <col min="10500" max="10500" width="11.28515625" style="779" customWidth="1"/>
    <col min="10501" max="10501" width="16.28515625" style="779" customWidth="1"/>
    <col min="10502" max="10752" width="9.140625" style="779"/>
    <col min="10753" max="10753" width="5.7109375" style="779" customWidth="1"/>
    <col min="10754" max="10754" width="46.28515625" style="779" customWidth="1"/>
    <col min="10755" max="10755" width="19.7109375" style="779" customWidth="1"/>
    <col min="10756" max="10756" width="11.28515625" style="779" customWidth="1"/>
    <col min="10757" max="10757" width="16.28515625" style="779" customWidth="1"/>
    <col min="10758" max="11008" width="9.140625" style="779"/>
    <col min="11009" max="11009" width="5.7109375" style="779" customWidth="1"/>
    <col min="11010" max="11010" width="46.28515625" style="779" customWidth="1"/>
    <col min="11011" max="11011" width="19.7109375" style="779" customWidth="1"/>
    <col min="11012" max="11012" width="11.28515625" style="779" customWidth="1"/>
    <col min="11013" max="11013" width="16.28515625" style="779" customWidth="1"/>
    <col min="11014" max="11264" width="9.140625" style="779"/>
    <col min="11265" max="11265" width="5.7109375" style="779" customWidth="1"/>
    <col min="11266" max="11266" width="46.28515625" style="779" customWidth="1"/>
    <col min="11267" max="11267" width="19.7109375" style="779" customWidth="1"/>
    <col min="11268" max="11268" width="11.28515625" style="779" customWidth="1"/>
    <col min="11269" max="11269" width="16.28515625" style="779" customWidth="1"/>
    <col min="11270" max="11520" width="9.140625" style="779"/>
    <col min="11521" max="11521" width="5.7109375" style="779" customWidth="1"/>
    <col min="11522" max="11522" width="46.28515625" style="779" customWidth="1"/>
    <col min="11523" max="11523" width="19.7109375" style="779" customWidth="1"/>
    <col min="11524" max="11524" width="11.28515625" style="779" customWidth="1"/>
    <col min="11525" max="11525" width="16.28515625" style="779" customWidth="1"/>
    <col min="11526" max="11776" width="9.140625" style="779"/>
    <col min="11777" max="11777" width="5.7109375" style="779" customWidth="1"/>
    <col min="11778" max="11778" width="46.28515625" style="779" customWidth="1"/>
    <col min="11779" max="11779" width="19.7109375" style="779" customWidth="1"/>
    <col min="11780" max="11780" width="11.28515625" style="779" customWidth="1"/>
    <col min="11781" max="11781" width="16.28515625" style="779" customWidth="1"/>
    <col min="11782" max="12032" width="9.140625" style="779"/>
    <col min="12033" max="12033" width="5.7109375" style="779" customWidth="1"/>
    <col min="12034" max="12034" width="46.28515625" style="779" customWidth="1"/>
    <col min="12035" max="12035" width="19.7109375" style="779" customWidth="1"/>
    <col min="12036" max="12036" width="11.28515625" style="779" customWidth="1"/>
    <col min="12037" max="12037" width="16.28515625" style="779" customWidth="1"/>
    <col min="12038" max="12288" width="9.140625" style="779"/>
    <col min="12289" max="12289" width="5.7109375" style="779" customWidth="1"/>
    <col min="12290" max="12290" width="46.28515625" style="779" customWidth="1"/>
    <col min="12291" max="12291" width="19.7109375" style="779" customWidth="1"/>
    <col min="12292" max="12292" width="11.28515625" style="779" customWidth="1"/>
    <col min="12293" max="12293" width="16.28515625" style="779" customWidth="1"/>
    <col min="12294" max="12544" width="9.140625" style="779"/>
    <col min="12545" max="12545" width="5.7109375" style="779" customWidth="1"/>
    <col min="12546" max="12546" width="46.28515625" style="779" customWidth="1"/>
    <col min="12547" max="12547" width="19.7109375" style="779" customWidth="1"/>
    <col min="12548" max="12548" width="11.28515625" style="779" customWidth="1"/>
    <col min="12549" max="12549" width="16.28515625" style="779" customWidth="1"/>
    <col min="12550" max="12800" width="9.140625" style="779"/>
    <col min="12801" max="12801" width="5.7109375" style="779" customWidth="1"/>
    <col min="12802" max="12802" width="46.28515625" style="779" customWidth="1"/>
    <col min="12803" max="12803" width="19.7109375" style="779" customWidth="1"/>
    <col min="12804" max="12804" width="11.28515625" style="779" customWidth="1"/>
    <col min="12805" max="12805" width="16.28515625" style="779" customWidth="1"/>
    <col min="12806" max="13056" width="9.140625" style="779"/>
    <col min="13057" max="13057" width="5.7109375" style="779" customWidth="1"/>
    <col min="13058" max="13058" width="46.28515625" style="779" customWidth="1"/>
    <col min="13059" max="13059" width="19.7109375" style="779" customWidth="1"/>
    <col min="13060" max="13060" width="11.28515625" style="779" customWidth="1"/>
    <col min="13061" max="13061" width="16.28515625" style="779" customWidth="1"/>
    <col min="13062" max="13312" width="9.140625" style="779"/>
    <col min="13313" max="13313" width="5.7109375" style="779" customWidth="1"/>
    <col min="13314" max="13314" width="46.28515625" style="779" customWidth="1"/>
    <col min="13315" max="13315" width="19.7109375" style="779" customWidth="1"/>
    <col min="13316" max="13316" width="11.28515625" style="779" customWidth="1"/>
    <col min="13317" max="13317" width="16.28515625" style="779" customWidth="1"/>
    <col min="13318" max="13568" width="9.140625" style="779"/>
    <col min="13569" max="13569" width="5.7109375" style="779" customWidth="1"/>
    <col min="13570" max="13570" width="46.28515625" style="779" customWidth="1"/>
    <col min="13571" max="13571" width="19.7109375" style="779" customWidth="1"/>
    <col min="13572" max="13572" width="11.28515625" style="779" customWidth="1"/>
    <col min="13573" max="13573" width="16.28515625" style="779" customWidth="1"/>
    <col min="13574" max="13824" width="9.140625" style="779"/>
    <col min="13825" max="13825" width="5.7109375" style="779" customWidth="1"/>
    <col min="13826" max="13826" width="46.28515625" style="779" customWidth="1"/>
    <col min="13827" max="13827" width="19.7109375" style="779" customWidth="1"/>
    <col min="13828" max="13828" width="11.28515625" style="779" customWidth="1"/>
    <col min="13829" max="13829" width="16.28515625" style="779" customWidth="1"/>
    <col min="13830" max="14080" width="9.140625" style="779"/>
    <col min="14081" max="14081" width="5.7109375" style="779" customWidth="1"/>
    <col min="14082" max="14082" width="46.28515625" style="779" customWidth="1"/>
    <col min="14083" max="14083" width="19.7109375" style="779" customWidth="1"/>
    <col min="14084" max="14084" width="11.28515625" style="779" customWidth="1"/>
    <col min="14085" max="14085" width="16.28515625" style="779" customWidth="1"/>
    <col min="14086" max="14336" width="9.140625" style="779"/>
    <col min="14337" max="14337" width="5.7109375" style="779" customWidth="1"/>
    <col min="14338" max="14338" width="46.28515625" style="779" customWidth="1"/>
    <col min="14339" max="14339" width="19.7109375" style="779" customWidth="1"/>
    <col min="14340" max="14340" width="11.28515625" style="779" customWidth="1"/>
    <col min="14341" max="14341" width="16.28515625" style="779" customWidth="1"/>
    <col min="14342" max="14592" width="9.140625" style="779"/>
    <col min="14593" max="14593" width="5.7109375" style="779" customWidth="1"/>
    <col min="14594" max="14594" width="46.28515625" style="779" customWidth="1"/>
    <col min="14595" max="14595" width="19.7109375" style="779" customWidth="1"/>
    <col min="14596" max="14596" width="11.28515625" style="779" customWidth="1"/>
    <col min="14597" max="14597" width="16.28515625" style="779" customWidth="1"/>
    <col min="14598" max="14848" width="9.140625" style="779"/>
    <col min="14849" max="14849" width="5.7109375" style="779" customWidth="1"/>
    <col min="14850" max="14850" width="46.28515625" style="779" customWidth="1"/>
    <col min="14851" max="14851" width="19.7109375" style="779" customWidth="1"/>
    <col min="14852" max="14852" width="11.28515625" style="779" customWidth="1"/>
    <col min="14853" max="14853" width="16.28515625" style="779" customWidth="1"/>
    <col min="14854" max="15104" width="9.140625" style="779"/>
    <col min="15105" max="15105" width="5.7109375" style="779" customWidth="1"/>
    <col min="15106" max="15106" width="46.28515625" style="779" customWidth="1"/>
    <col min="15107" max="15107" width="19.7109375" style="779" customWidth="1"/>
    <col min="15108" max="15108" width="11.28515625" style="779" customWidth="1"/>
    <col min="15109" max="15109" width="16.28515625" style="779" customWidth="1"/>
    <col min="15110" max="15360" width="9.140625" style="779"/>
    <col min="15361" max="15361" width="5.7109375" style="779" customWidth="1"/>
    <col min="15362" max="15362" width="46.28515625" style="779" customWidth="1"/>
    <col min="15363" max="15363" width="19.7109375" style="779" customWidth="1"/>
    <col min="15364" max="15364" width="11.28515625" style="779" customWidth="1"/>
    <col min="15365" max="15365" width="16.28515625" style="779" customWidth="1"/>
    <col min="15366" max="15616" width="9.140625" style="779"/>
    <col min="15617" max="15617" width="5.7109375" style="779" customWidth="1"/>
    <col min="15618" max="15618" width="46.28515625" style="779" customWidth="1"/>
    <col min="15619" max="15619" width="19.7109375" style="779" customWidth="1"/>
    <col min="15620" max="15620" width="11.28515625" style="779" customWidth="1"/>
    <col min="15621" max="15621" width="16.28515625" style="779" customWidth="1"/>
    <col min="15622" max="15872" width="9.140625" style="779"/>
    <col min="15873" max="15873" width="5.7109375" style="779" customWidth="1"/>
    <col min="15874" max="15874" width="46.28515625" style="779" customWidth="1"/>
    <col min="15875" max="15875" width="19.7109375" style="779" customWidth="1"/>
    <col min="15876" max="15876" width="11.28515625" style="779" customWidth="1"/>
    <col min="15877" max="15877" width="16.28515625" style="779" customWidth="1"/>
    <col min="15878" max="16128" width="9.140625" style="779"/>
    <col min="16129" max="16129" width="5.7109375" style="779" customWidth="1"/>
    <col min="16130" max="16130" width="46.28515625" style="779" customWidth="1"/>
    <col min="16131" max="16131" width="19.7109375" style="779" customWidth="1"/>
    <col min="16132" max="16132" width="11.28515625" style="779" customWidth="1"/>
    <col min="16133" max="16133" width="16.28515625" style="779" customWidth="1"/>
    <col min="16134" max="16384" width="9.140625" style="779"/>
  </cols>
  <sheetData>
    <row r="2" spans="1:12" ht="28.5" customHeight="1" x14ac:dyDescent="0.25">
      <c r="A2" s="1974" t="s">
        <v>20</v>
      </c>
      <c r="B2" s="1987"/>
      <c r="C2" s="1987"/>
      <c r="D2" s="1987"/>
      <c r="E2" s="1987"/>
      <c r="F2" s="1987"/>
    </row>
    <row r="4" spans="1:12" x14ac:dyDescent="0.25">
      <c r="A4" s="1988" t="s">
        <v>5780</v>
      </c>
      <c r="B4" s="1988"/>
      <c r="C4" s="1988"/>
      <c r="D4" s="1988"/>
      <c r="E4" s="1988"/>
      <c r="F4" s="780"/>
      <c r="G4" s="780"/>
      <c r="H4" s="780"/>
      <c r="I4" s="780"/>
      <c r="J4" s="780"/>
      <c r="K4" s="780"/>
      <c r="L4" s="780"/>
    </row>
    <row r="5" spans="1:12" ht="33" customHeight="1" x14ac:dyDescent="0.25">
      <c r="A5" s="1989" t="s">
        <v>9240</v>
      </c>
      <c r="B5" s="1989"/>
      <c r="C5" s="1989"/>
      <c r="D5" s="1989"/>
      <c r="E5" s="1989"/>
      <c r="F5" s="781"/>
      <c r="G5" s="781"/>
      <c r="H5" s="781"/>
      <c r="I5" s="781"/>
      <c r="J5" s="781"/>
      <c r="K5" s="781"/>
      <c r="L5" s="781"/>
    </row>
    <row r="6" spans="1:12" ht="33" customHeight="1" x14ac:dyDescent="0.25">
      <c r="A6" s="1990" t="s">
        <v>562</v>
      </c>
      <c r="B6" s="1990"/>
      <c r="C6" s="782" t="s">
        <v>5654</v>
      </c>
      <c r="D6" s="782"/>
      <c r="E6" s="782"/>
      <c r="F6" s="782"/>
      <c r="G6" s="782"/>
      <c r="H6" s="781"/>
      <c r="I6" s="781"/>
      <c r="J6" s="781"/>
      <c r="K6" s="781"/>
      <c r="L6" s="781"/>
    </row>
    <row r="7" spans="1:12" ht="33" customHeight="1" x14ac:dyDescent="0.3">
      <c r="A7" s="1990" t="s">
        <v>5655</v>
      </c>
      <c r="B7" s="1990"/>
      <c r="C7" s="783" t="s">
        <v>5656</v>
      </c>
      <c r="D7" s="782"/>
      <c r="E7" s="782"/>
      <c r="F7" s="782"/>
      <c r="G7" s="782"/>
      <c r="H7" s="781"/>
      <c r="I7" s="781"/>
      <c r="J7" s="781"/>
      <c r="K7" s="781"/>
      <c r="L7" s="781"/>
    </row>
    <row r="8" spans="1:12" ht="48.75" customHeight="1" x14ac:dyDescent="0.25">
      <c r="A8" s="784" t="s">
        <v>5657</v>
      </c>
      <c r="B8" s="782"/>
      <c r="C8" s="785" t="s">
        <v>5781</v>
      </c>
      <c r="D8" s="782"/>
      <c r="E8" s="782"/>
      <c r="F8" s="782"/>
      <c r="G8" s="782"/>
      <c r="H8" s="781"/>
      <c r="I8" s="781"/>
      <c r="J8" s="781"/>
      <c r="K8" s="781"/>
      <c r="L8" s="781"/>
    </row>
    <row r="9" spans="1:12" ht="33" customHeight="1" x14ac:dyDescent="0.25">
      <c r="A9" s="1985" t="s">
        <v>5659</v>
      </c>
      <c r="B9" s="1986"/>
      <c r="C9" s="1986"/>
      <c r="D9" s="1986"/>
      <c r="E9" s="1986"/>
      <c r="F9" s="1986"/>
      <c r="G9" s="1986"/>
      <c r="H9" s="781"/>
      <c r="I9" s="781"/>
      <c r="J9" s="781"/>
      <c r="K9" s="781"/>
      <c r="L9" s="781"/>
    </row>
    <row r="10" spans="1:12" ht="33" customHeight="1" x14ac:dyDescent="0.25">
      <c r="A10" s="786" t="s">
        <v>5660</v>
      </c>
      <c r="B10" s="786" t="s">
        <v>5661</v>
      </c>
      <c r="C10" s="786" t="s">
        <v>145</v>
      </c>
      <c r="D10" s="786" t="s">
        <v>568</v>
      </c>
      <c r="E10" s="786" t="s">
        <v>5662</v>
      </c>
      <c r="F10" s="781"/>
      <c r="G10" s="781"/>
      <c r="H10" s="781"/>
      <c r="I10" s="781"/>
      <c r="J10" s="781"/>
      <c r="K10" s="781"/>
      <c r="L10" s="781"/>
    </row>
    <row r="11" spans="1:12" ht="46.5" customHeight="1" x14ac:dyDescent="0.25">
      <c r="A11" s="795">
        <v>1</v>
      </c>
      <c r="B11" s="788" t="s">
        <v>9182</v>
      </c>
      <c r="C11" s="789" t="s">
        <v>9183</v>
      </c>
      <c r="D11" s="790">
        <f>29943.26/1.2/12.14</f>
        <v>2055.41</v>
      </c>
      <c r="E11" s="789" t="s">
        <v>9184</v>
      </c>
      <c r="F11" s="781"/>
      <c r="G11" s="781"/>
      <c r="H11" s="781"/>
      <c r="I11" s="781"/>
      <c r="J11" s="781"/>
      <c r="K11" s="781"/>
      <c r="L11" s="781"/>
    </row>
    <row r="12" spans="1:12" ht="33" customHeight="1" x14ac:dyDescent="0.25">
      <c r="A12" s="756">
        <v>3</v>
      </c>
      <c r="B12" s="757" t="s">
        <v>5782</v>
      </c>
      <c r="C12" s="758"/>
      <c r="D12" s="759">
        <f>D11</f>
        <v>2055.41</v>
      </c>
      <c r="E12" s="760"/>
      <c r="F12" s="781"/>
      <c r="G12" s="781"/>
      <c r="H12" s="781"/>
      <c r="I12" s="781"/>
      <c r="J12" s="781"/>
      <c r="K12" s="781"/>
      <c r="L12" s="781"/>
    </row>
    <row r="13" spans="1:12" ht="75.75" customHeight="1" x14ac:dyDescent="0.25">
      <c r="A13" s="761">
        <v>4</v>
      </c>
      <c r="B13" s="762" t="s">
        <v>5783</v>
      </c>
      <c r="C13" s="791" t="s">
        <v>5665</v>
      </c>
      <c r="D13" s="764">
        <f>D12*12.14</f>
        <v>24952.68</v>
      </c>
      <c r="E13" s="792"/>
      <c r="F13" s="781"/>
      <c r="G13" s="781"/>
      <c r="H13" s="781"/>
      <c r="I13" s="781"/>
      <c r="J13" s="781"/>
      <c r="K13" s="781"/>
      <c r="L13" s="781"/>
    </row>
    <row r="14" spans="1:12" x14ac:dyDescent="0.25">
      <c r="A14" s="1989"/>
      <c r="B14" s="1989"/>
      <c r="C14" s="1989"/>
      <c r="D14" s="1989"/>
      <c r="E14" s="1989"/>
    </row>
    <row r="15" spans="1:12" x14ac:dyDescent="0.25">
      <c r="A15" s="793"/>
    </row>
    <row r="16" spans="1:12" x14ac:dyDescent="0.25">
      <c r="A16" s="1991" t="s">
        <v>5666</v>
      </c>
      <c r="B16" s="1991"/>
      <c r="C16" s="1991"/>
      <c r="D16" s="1991"/>
      <c r="E16" s="1991"/>
    </row>
    <row r="17" spans="1:5" x14ac:dyDescent="0.25">
      <c r="A17" s="1984" t="s">
        <v>5667</v>
      </c>
      <c r="B17" s="1984"/>
      <c r="C17" s="1984"/>
      <c r="D17" s="1984"/>
      <c r="E17" s="1984"/>
    </row>
    <row r="18" spans="1:5" x14ac:dyDescent="0.25">
      <c r="A18" s="1991" t="s">
        <v>5668</v>
      </c>
      <c r="B18" s="1991"/>
      <c r="C18" s="1991"/>
      <c r="D18" s="1991"/>
      <c r="E18" s="1991"/>
    </row>
    <row r="19" spans="1:5" x14ac:dyDescent="0.25">
      <c r="A19" s="1992" t="s">
        <v>5667</v>
      </c>
      <c r="B19" s="1992"/>
      <c r="C19" s="1992"/>
      <c r="D19" s="1992"/>
      <c r="E19" s="1992"/>
    </row>
    <row r="20" spans="1:5" x14ac:dyDescent="0.25">
      <c r="A20" s="794"/>
      <c r="B20" s="794"/>
      <c r="C20" s="794"/>
      <c r="D20" s="794"/>
      <c r="E20" s="794"/>
    </row>
  </sheetData>
  <mergeCells count="11">
    <mergeCell ref="A14:E14"/>
    <mergeCell ref="A16:E16"/>
    <mergeCell ref="A17:E17"/>
    <mergeCell ref="A18:E18"/>
    <mergeCell ref="A19:E19"/>
    <mergeCell ref="A9:G9"/>
    <mergeCell ref="A2:F2"/>
    <mergeCell ref="A4:E4"/>
    <mergeCell ref="A5:E5"/>
    <mergeCell ref="A6:B6"/>
    <mergeCell ref="A7:B7"/>
  </mergeCells>
  <pageMargins left="0.35" right="0.24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IV52"/>
  <sheetViews>
    <sheetView zoomScale="97" zoomScaleNormal="97" workbookViewId="0">
      <selection activeCell="G21" sqref="G21:G23"/>
    </sheetView>
  </sheetViews>
  <sheetFormatPr defaultColWidth="11.5703125" defaultRowHeight="12.75" x14ac:dyDescent="0.2"/>
  <cols>
    <col min="1" max="1" width="4.28515625" style="198" customWidth="1"/>
    <col min="2" max="2" width="10.42578125" style="198" customWidth="1"/>
    <col min="3" max="3" width="37.7109375" style="198" customWidth="1"/>
    <col min="4" max="4" width="12.85546875" style="198" customWidth="1"/>
    <col min="5" max="5" width="8.42578125" style="199" customWidth="1"/>
    <col min="6" max="6" width="9.42578125" style="198" customWidth="1"/>
    <col min="7" max="7" width="12.85546875" style="187" customWidth="1"/>
    <col min="8" max="8" width="13.42578125" style="187" customWidth="1"/>
    <col min="9" max="256" width="11.5703125" style="187"/>
    <col min="257" max="257" width="4.28515625" style="187" customWidth="1"/>
    <col min="258" max="258" width="10.42578125" style="187" customWidth="1"/>
    <col min="259" max="259" width="37.7109375" style="187" customWidth="1"/>
    <col min="260" max="260" width="12.85546875" style="187" customWidth="1"/>
    <col min="261" max="261" width="8.42578125" style="187" customWidth="1"/>
    <col min="262" max="262" width="9.42578125" style="187" customWidth="1"/>
    <col min="263" max="263" width="10.140625" style="187" customWidth="1"/>
    <col min="264" max="264" width="11.42578125" style="187" customWidth="1"/>
    <col min="265" max="512" width="11.5703125" style="187"/>
    <col min="513" max="513" width="4.28515625" style="187" customWidth="1"/>
    <col min="514" max="514" width="10.42578125" style="187" customWidth="1"/>
    <col min="515" max="515" width="37.7109375" style="187" customWidth="1"/>
    <col min="516" max="516" width="12.85546875" style="187" customWidth="1"/>
    <col min="517" max="517" width="8.42578125" style="187" customWidth="1"/>
    <col min="518" max="518" width="9.42578125" style="187" customWidth="1"/>
    <col min="519" max="519" width="10.140625" style="187" customWidth="1"/>
    <col min="520" max="520" width="11.42578125" style="187" customWidth="1"/>
    <col min="521" max="768" width="11.5703125" style="187"/>
    <col min="769" max="769" width="4.28515625" style="187" customWidth="1"/>
    <col min="770" max="770" width="10.42578125" style="187" customWidth="1"/>
    <col min="771" max="771" width="37.7109375" style="187" customWidth="1"/>
    <col min="772" max="772" width="12.85546875" style="187" customWidth="1"/>
    <col min="773" max="773" width="8.42578125" style="187" customWidth="1"/>
    <col min="774" max="774" width="9.42578125" style="187" customWidth="1"/>
    <col min="775" max="775" width="10.140625" style="187" customWidth="1"/>
    <col min="776" max="776" width="11.42578125" style="187" customWidth="1"/>
    <col min="777" max="1024" width="11.5703125" style="187"/>
    <col min="1025" max="1025" width="4.28515625" style="187" customWidth="1"/>
    <col min="1026" max="1026" width="10.42578125" style="187" customWidth="1"/>
    <col min="1027" max="1027" width="37.7109375" style="187" customWidth="1"/>
    <col min="1028" max="1028" width="12.85546875" style="187" customWidth="1"/>
    <col min="1029" max="1029" width="8.42578125" style="187" customWidth="1"/>
    <col min="1030" max="1030" width="9.42578125" style="187" customWidth="1"/>
    <col min="1031" max="1031" width="10.140625" style="187" customWidth="1"/>
    <col min="1032" max="1032" width="11.42578125" style="187" customWidth="1"/>
    <col min="1033" max="1280" width="11.5703125" style="187"/>
    <col min="1281" max="1281" width="4.28515625" style="187" customWidth="1"/>
    <col min="1282" max="1282" width="10.42578125" style="187" customWidth="1"/>
    <col min="1283" max="1283" width="37.7109375" style="187" customWidth="1"/>
    <col min="1284" max="1284" width="12.85546875" style="187" customWidth="1"/>
    <col min="1285" max="1285" width="8.42578125" style="187" customWidth="1"/>
    <col min="1286" max="1286" width="9.42578125" style="187" customWidth="1"/>
    <col min="1287" max="1287" width="10.140625" style="187" customWidth="1"/>
    <col min="1288" max="1288" width="11.42578125" style="187" customWidth="1"/>
    <col min="1289" max="1536" width="11.5703125" style="187"/>
    <col min="1537" max="1537" width="4.28515625" style="187" customWidth="1"/>
    <col min="1538" max="1538" width="10.42578125" style="187" customWidth="1"/>
    <col min="1539" max="1539" width="37.7109375" style="187" customWidth="1"/>
    <col min="1540" max="1540" width="12.85546875" style="187" customWidth="1"/>
    <col min="1541" max="1541" width="8.42578125" style="187" customWidth="1"/>
    <col min="1542" max="1542" width="9.42578125" style="187" customWidth="1"/>
    <col min="1543" max="1543" width="10.140625" style="187" customWidth="1"/>
    <col min="1544" max="1544" width="11.42578125" style="187" customWidth="1"/>
    <col min="1545" max="1792" width="11.5703125" style="187"/>
    <col min="1793" max="1793" width="4.28515625" style="187" customWidth="1"/>
    <col min="1794" max="1794" width="10.42578125" style="187" customWidth="1"/>
    <col min="1795" max="1795" width="37.7109375" style="187" customWidth="1"/>
    <col min="1796" max="1796" width="12.85546875" style="187" customWidth="1"/>
    <col min="1797" max="1797" width="8.42578125" style="187" customWidth="1"/>
    <col min="1798" max="1798" width="9.42578125" style="187" customWidth="1"/>
    <col min="1799" max="1799" width="10.140625" style="187" customWidth="1"/>
    <col min="1800" max="1800" width="11.42578125" style="187" customWidth="1"/>
    <col min="1801" max="2048" width="11.5703125" style="187"/>
    <col min="2049" max="2049" width="4.28515625" style="187" customWidth="1"/>
    <col min="2050" max="2050" width="10.42578125" style="187" customWidth="1"/>
    <col min="2051" max="2051" width="37.7109375" style="187" customWidth="1"/>
    <col min="2052" max="2052" width="12.85546875" style="187" customWidth="1"/>
    <col min="2053" max="2053" width="8.42578125" style="187" customWidth="1"/>
    <col min="2054" max="2054" width="9.42578125" style="187" customWidth="1"/>
    <col min="2055" max="2055" width="10.140625" style="187" customWidth="1"/>
    <col min="2056" max="2056" width="11.42578125" style="187" customWidth="1"/>
    <col min="2057" max="2304" width="11.5703125" style="187"/>
    <col min="2305" max="2305" width="4.28515625" style="187" customWidth="1"/>
    <col min="2306" max="2306" width="10.42578125" style="187" customWidth="1"/>
    <col min="2307" max="2307" width="37.7109375" style="187" customWidth="1"/>
    <col min="2308" max="2308" width="12.85546875" style="187" customWidth="1"/>
    <col min="2309" max="2309" width="8.42578125" style="187" customWidth="1"/>
    <col min="2310" max="2310" width="9.42578125" style="187" customWidth="1"/>
    <col min="2311" max="2311" width="10.140625" style="187" customWidth="1"/>
    <col min="2312" max="2312" width="11.42578125" style="187" customWidth="1"/>
    <col min="2313" max="2560" width="11.5703125" style="187"/>
    <col min="2561" max="2561" width="4.28515625" style="187" customWidth="1"/>
    <col min="2562" max="2562" width="10.42578125" style="187" customWidth="1"/>
    <col min="2563" max="2563" width="37.7109375" style="187" customWidth="1"/>
    <col min="2564" max="2564" width="12.85546875" style="187" customWidth="1"/>
    <col min="2565" max="2565" width="8.42578125" style="187" customWidth="1"/>
    <col min="2566" max="2566" width="9.42578125" style="187" customWidth="1"/>
    <col min="2567" max="2567" width="10.140625" style="187" customWidth="1"/>
    <col min="2568" max="2568" width="11.42578125" style="187" customWidth="1"/>
    <col min="2569" max="2816" width="11.5703125" style="187"/>
    <col min="2817" max="2817" width="4.28515625" style="187" customWidth="1"/>
    <col min="2818" max="2818" width="10.42578125" style="187" customWidth="1"/>
    <col min="2819" max="2819" width="37.7109375" style="187" customWidth="1"/>
    <col min="2820" max="2820" width="12.85546875" style="187" customWidth="1"/>
    <col min="2821" max="2821" width="8.42578125" style="187" customWidth="1"/>
    <col min="2822" max="2822" width="9.42578125" style="187" customWidth="1"/>
    <col min="2823" max="2823" width="10.140625" style="187" customWidth="1"/>
    <col min="2824" max="2824" width="11.42578125" style="187" customWidth="1"/>
    <col min="2825" max="3072" width="11.5703125" style="187"/>
    <col min="3073" max="3073" width="4.28515625" style="187" customWidth="1"/>
    <col min="3074" max="3074" width="10.42578125" style="187" customWidth="1"/>
    <col min="3075" max="3075" width="37.7109375" style="187" customWidth="1"/>
    <col min="3076" max="3076" width="12.85546875" style="187" customWidth="1"/>
    <col min="3077" max="3077" width="8.42578125" style="187" customWidth="1"/>
    <col min="3078" max="3078" width="9.42578125" style="187" customWidth="1"/>
    <col min="3079" max="3079" width="10.140625" style="187" customWidth="1"/>
    <col min="3080" max="3080" width="11.42578125" style="187" customWidth="1"/>
    <col min="3081" max="3328" width="11.5703125" style="187"/>
    <col min="3329" max="3329" width="4.28515625" style="187" customWidth="1"/>
    <col min="3330" max="3330" width="10.42578125" style="187" customWidth="1"/>
    <col min="3331" max="3331" width="37.7109375" style="187" customWidth="1"/>
    <col min="3332" max="3332" width="12.85546875" style="187" customWidth="1"/>
    <col min="3333" max="3333" width="8.42578125" style="187" customWidth="1"/>
    <col min="3334" max="3334" width="9.42578125" style="187" customWidth="1"/>
    <col min="3335" max="3335" width="10.140625" style="187" customWidth="1"/>
    <col min="3336" max="3336" width="11.42578125" style="187" customWidth="1"/>
    <col min="3337" max="3584" width="11.5703125" style="187"/>
    <col min="3585" max="3585" width="4.28515625" style="187" customWidth="1"/>
    <col min="3586" max="3586" width="10.42578125" style="187" customWidth="1"/>
    <col min="3587" max="3587" width="37.7109375" style="187" customWidth="1"/>
    <col min="3588" max="3588" width="12.85546875" style="187" customWidth="1"/>
    <col min="3589" max="3589" width="8.42578125" style="187" customWidth="1"/>
    <col min="3590" max="3590" width="9.42578125" style="187" customWidth="1"/>
    <col min="3591" max="3591" width="10.140625" style="187" customWidth="1"/>
    <col min="3592" max="3592" width="11.42578125" style="187" customWidth="1"/>
    <col min="3593" max="3840" width="11.5703125" style="187"/>
    <col min="3841" max="3841" width="4.28515625" style="187" customWidth="1"/>
    <col min="3842" max="3842" width="10.42578125" style="187" customWidth="1"/>
    <col min="3843" max="3843" width="37.7109375" style="187" customWidth="1"/>
    <col min="3844" max="3844" width="12.85546875" style="187" customWidth="1"/>
    <col min="3845" max="3845" width="8.42578125" style="187" customWidth="1"/>
    <col min="3846" max="3846" width="9.42578125" style="187" customWidth="1"/>
    <col min="3847" max="3847" width="10.140625" style="187" customWidth="1"/>
    <col min="3848" max="3848" width="11.42578125" style="187" customWidth="1"/>
    <col min="3849" max="4096" width="11.5703125" style="187"/>
    <col min="4097" max="4097" width="4.28515625" style="187" customWidth="1"/>
    <col min="4098" max="4098" width="10.42578125" style="187" customWidth="1"/>
    <col min="4099" max="4099" width="37.7109375" style="187" customWidth="1"/>
    <col min="4100" max="4100" width="12.85546875" style="187" customWidth="1"/>
    <col min="4101" max="4101" width="8.42578125" style="187" customWidth="1"/>
    <col min="4102" max="4102" width="9.42578125" style="187" customWidth="1"/>
    <col min="4103" max="4103" width="10.140625" style="187" customWidth="1"/>
    <col min="4104" max="4104" width="11.42578125" style="187" customWidth="1"/>
    <col min="4105" max="4352" width="11.5703125" style="187"/>
    <col min="4353" max="4353" width="4.28515625" style="187" customWidth="1"/>
    <col min="4354" max="4354" width="10.42578125" style="187" customWidth="1"/>
    <col min="4355" max="4355" width="37.7109375" style="187" customWidth="1"/>
    <col min="4356" max="4356" width="12.85546875" style="187" customWidth="1"/>
    <col min="4357" max="4357" width="8.42578125" style="187" customWidth="1"/>
    <col min="4358" max="4358" width="9.42578125" style="187" customWidth="1"/>
    <col min="4359" max="4359" width="10.140625" style="187" customWidth="1"/>
    <col min="4360" max="4360" width="11.42578125" style="187" customWidth="1"/>
    <col min="4361" max="4608" width="11.5703125" style="187"/>
    <col min="4609" max="4609" width="4.28515625" style="187" customWidth="1"/>
    <col min="4610" max="4610" width="10.42578125" style="187" customWidth="1"/>
    <col min="4611" max="4611" width="37.7109375" style="187" customWidth="1"/>
    <col min="4612" max="4612" width="12.85546875" style="187" customWidth="1"/>
    <col min="4613" max="4613" width="8.42578125" style="187" customWidth="1"/>
    <col min="4614" max="4614" width="9.42578125" style="187" customWidth="1"/>
    <col min="4615" max="4615" width="10.140625" style="187" customWidth="1"/>
    <col min="4616" max="4616" width="11.42578125" style="187" customWidth="1"/>
    <col min="4617" max="4864" width="11.5703125" style="187"/>
    <col min="4865" max="4865" width="4.28515625" style="187" customWidth="1"/>
    <col min="4866" max="4866" width="10.42578125" style="187" customWidth="1"/>
    <col min="4867" max="4867" width="37.7109375" style="187" customWidth="1"/>
    <col min="4868" max="4868" width="12.85546875" style="187" customWidth="1"/>
    <col min="4869" max="4869" width="8.42578125" style="187" customWidth="1"/>
    <col min="4870" max="4870" width="9.42578125" style="187" customWidth="1"/>
    <col min="4871" max="4871" width="10.140625" style="187" customWidth="1"/>
    <col min="4872" max="4872" width="11.42578125" style="187" customWidth="1"/>
    <col min="4873" max="5120" width="11.5703125" style="187"/>
    <col min="5121" max="5121" width="4.28515625" style="187" customWidth="1"/>
    <col min="5122" max="5122" width="10.42578125" style="187" customWidth="1"/>
    <col min="5123" max="5123" width="37.7109375" style="187" customWidth="1"/>
    <col min="5124" max="5124" width="12.85546875" style="187" customWidth="1"/>
    <col min="5125" max="5125" width="8.42578125" style="187" customWidth="1"/>
    <col min="5126" max="5126" width="9.42578125" style="187" customWidth="1"/>
    <col min="5127" max="5127" width="10.140625" style="187" customWidth="1"/>
    <col min="5128" max="5128" width="11.42578125" style="187" customWidth="1"/>
    <col min="5129" max="5376" width="11.5703125" style="187"/>
    <col min="5377" max="5377" width="4.28515625" style="187" customWidth="1"/>
    <col min="5378" max="5378" width="10.42578125" style="187" customWidth="1"/>
    <col min="5379" max="5379" width="37.7109375" style="187" customWidth="1"/>
    <col min="5380" max="5380" width="12.85546875" style="187" customWidth="1"/>
    <col min="5381" max="5381" width="8.42578125" style="187" customWidth="1"/>
    <col min="5382" max="5382" width="9.42578125" style="187" customWidth="1"/>
    <col min="5383" max="5383" width="10.140625" style="187" customWidth="1"/>
    <col min="5384" max="5384" width="11.42578125" style="187" customWidth="1"/>
    <col min="5385" max="5632" width="11.5703125" style="187"/>
    <col min="5633" max="5633" width="4.28515625" style="187" customWidth="1"/>
    <col min="5634" max="5634" width="10.42578125" style="187" customWidth="1"/>
    <col min="5635" max="5635" width="37.7109375" style="187" customWidth="1"/>
    <col min="5636" max="5636" width="12.85546875" style="187" customWidth="1"/>
    <col min="5637" max="5637" width="8.42578125" style="187" customWidth="1"/>
    <col min="5638" max="5638" width="9.42578125" style="187" customWidth="1"/>
    <col min="5639" max="5639" width="10.140625" style="187" customWidth="1"/>
    <col min="5640" max="5640" width="11.42578125" style="187" customWidth="1"/>
    <col min="5641" max="5888" width="11.5703125" style="187"/>
    <col min="5889" max="5889" width="4.28515625" style="187" customWidth="1"/>
    <col min="5890" max="5890" width="10.42578125" style="187" customWidth="1"/>
    <col min="5891" max="5891" width="37.7109375" style="187" customWidth="1"/>
    <col min="5892" max="5892" width="12.85546875" style="187" customWidth="1"/>
    <col min="5893" max="5893" width="8.42578125" style="187" customWidth="1"/>
    <col min="5894" max="5894" width="9.42578125" style="187" customWidth="1"/>
    <col min="5895" max="5895" width="10.140625" style="187" customWidth="1"/>
    <col min="5896" max="5896" width="11.42578125" style="187" customWidth="1"/>
    <col min="5897" max="6144" width="11.5703125" style="187"/>
    <col min="6145" max="6145" width="4.28515625" style="187" customWidth="1"/>
    <col min="6146" max="6146" width="10.42578125" style="187" customWidth="1"/>
    <col min="6147" max="6147" width="37.7109375" style="187" customWidth="1"/>
    <col min="6148" max="6148" width="12.85546875" style="187" customWidth="1"/>
    <col min="6149" max="6149" width="8.42578125" style="187" customWidth="1"/>
    <col min="6150" max="6150" width="9.42578125" style="187" customWidth="1"/>
    <col min="6151" max="6151" width="10.140625" style="187" customWidth="1"/>
    <col min="6152" max="6152" width="11.42578125" style="187" customWidth="1"/>
    <col min="6153" max="6400" width="11.5703125" style="187"/>
    <col min="6401" max="6401" width="4.28515625" style="187" customWidth="1"/>
    <col min="6402" max="6402" width="10.42578125" style="187" customWidth="1"/>
    <col min="6403" max="6403" width="37.7109375" style="187" customWidth="1"/>
    <col min="6404" max="6404" width="12.85546875" style="187" customWidth="1"/>
    <col min="6405" max="6405" width="8.42578125" style="187" customWidth="1"/>
    <col min="6406" max="6406" width="9.42578125" style="187" customWidth="1"/>
    <col min="6407" max="6407" width="10.140625" style="187" customWidth="1"/>
    <col min="6408" max="6408" width="11.42578125" style="187" customWidth="1"/>
    <col min="6409" max="6656" width="11.5703125" style="187"/>
    <col min="6657" max="6657" width="4.28515625" style="187" customWidth="1"/>
    <col min="6658" max="6658" width="10.42578125" style="187" customWidth="1"/>
    <col min="6659" max="6659" width="37.7109375" style="187" customWidth="1"/>
    <col min="6660" max="6660" width="12.85546875" style="187" customWidth="1"/>
    <col min="6661" max="6661" width="8.42578125" style="187" customWidth="1"/>
    <col min="6662" max="6662" width="9.42578125" style="187" customWidth="1"/>
    <col min="6663" max="6663" width="10.140625" style="187" customWidth="1"/>
    <col min="6664" max="6664" width="11.42578125" style="187" customWidth="1"/>
    <col min="6665" max="6912" width="11.5703125" style="187"/>
    <col min="6913" max="6913" width="4.28515625" style="187" customWidth="1"/>
    <col min="6914" max="6914" width="10.42578125" style="187" customWidth="1"/>
    <col min="6915" max="6915" width="37.7109375" style="187" customWidth="1"/>
    <col min="6916" max="6916" width="12.85546875" style="187" customWidth="1"/>
    <col min="6917" max="6917" width="8.42578125" style="187" customWidth="1"/>
    <col min="6918" max="6918" width="9.42578125" style="187" customWidth="1"/>
    <col min="6919" max="6919" width="10.140625" style="187" customWidth="1"/>
    <col min="6920" max="6920" width="11.42578125" style="187" customWidth="1"/>
    <col min="6921" max="7168" width="11.5703125" style="187"/>
    <col min="7169" max="7169" width="4.28515625" style="187" customWidth="1"/>
    <col min="7170" max="7170" width="10.42578125" style="187" customWidth="1"/>
    <col min="7171" max="7171" width="37.7109375" style="187" customWidth="1"/>
    <col min="7172" max="7172" width="12.85546875" style="187" customWidth="1"/>
    <col min="7173" max="7173" width="8.42578125" style="187" customWidth="1"/>
    <col min="7174" max="7174" width="9.42578125" style="187" customWidth="1"/>
    <col min="7175" max="7175" width="10.140625" style="187" customWidth="1"/>
    <col min="7176" max="7176" width="11.42578125" style="187" customWidth="1"/>
    <col min="7177" max="7424" width="11.5703125" style="187"/>
    <col min="7425" max="7425" width="4.28515625" style="187" customWidth="1"/>
    <col min="7426" max="7426" width="10.42578125" style="187" customWidth="1"/>
    <col min="7427" max="7427" width="37.7109375" style="187" customWidth="1"/>
    <col min="7428" max="7428" width="12.85546875" style="187" customWidth="1"/>
    <col min="7429" max="7429" width="8.42578125" style="187" customWidth="1"/>
    <col min="7430" max="7430" width="9.42578125" style="187" customWidth="1"/>
    <col min="7431" max="7431" width="10.140625" style="187" customWidth="1"/>
    <col min="7432" max="7432" width="11.42578125" style="187" customWidth="1"/>
    <col min="7433" max="7680" width="11.5703125" style="187"/>
    <col min="7681" max="7681" width="4.28515625" style="187" customWidth="1"/>
    <col min="7682" max="7682" width="10.42578125" style="187" customWidth="1"/>
    <col min="7683" max="7683" width="37.7109375" style="187" customWidth="1"/>
    <col min="7684" max="7684" width="12.85546875" style="187" customWidth="1"/>
    <col min="7685" max="7685" width="8.42578125" style="187" customWidth="1"/>
    <col min="7686" max="7686" width="9.42578125" style="187" customWidth="1"/>
    <col min="7687" max="7687" width="10.140625" style="187" customWidth="1"/>
    <col min="7688" max="7688" width="11.42578125" style="187" customWidth="1"/>
    <col min="7689" max="7936" width="11.5703125" style="187"/>
    <col min="7937" max="7937" width="4.28515625" style="187" customWidth="1"/>
    <col min="7938" max="7938" width="10.42578125" style="187" customWidth="1"/>
    <col min="7939" max="7939" width="37.7109375" style="187" customWidth="1"/>
    <col min="7940" max="7940" width="12.85546875" style="187" customWidth="1"/>
    <col min="7941" max="7941" width="8.42578125" style="187" customWidth="1"/>
    <col min="7942" max="7942" width="9.42578125" style="187" customWidth="1"/>
    <col min="7943" max="7943" width="10.140625" style="187" customWidth="1"/>
    <col min="7944" max="7944" width="11.42578125" style="187" customWidth="1"/>
    <col min="7945" max="8192" width="11.5703125" style="187"/>
    <col min="8193" max="8193" width="4.28515625" style="187" customWidth="1"/>
    <col min="8194" max="8194" width="10.42578125" style="187" customWidth="1"/>
    <col min="8195" max="8195" width="37.7109375" style="187" customWidth="1"/>
    <col min="8196" max="8196" width="12.85546875" style="187" customWidth="1"/>
    <col min="8197" max="8197" width="8.42578125" style="187" customWidth="1"/>
    <col min="8198" max="8198" width="9.42578125" style="187" customWidth="1"/>
    <col min="8199" max="8199" width="10.140625" style="187" customWidth="1"/>
    <col min="8200" max="8200" width="11.42578125" style="187" customWidth="1"/>
    <col min="8201" max="8448" width="11.5703125" style="187"/>
    <col min="8449" max="8449" width="4.28515625" style="187" customWidth="1"/>
    <col min="8450" max="8450" width="10.42578125" style="187" customWidth="1"/>
    <col min="8451" max="8451" width="37.7109375" style="187" customWidth="1"/>
    <col min="8452" max="8452" width="12.85546875" style="187" customWidth="1"/>
    <col min="8453" max="8453" width="8.42578125" style="187" customWidth="1"/>
    <col min="8454" max="8454" width="9.42578125" style="187" customWidth="1"/>
    <col min="8455" max="8455" width="10.140625" style="187" customWidth="1"/>
    <col min="8456" max="8456" width="11.42578125" style="187" customWidth="1"/>
    <col min="8457" max="8704" width="11.5703125" style="187"/>
    <col min="8705" max="8705" width="4.28515625" style="187" customWidth="1"/>
    <col min="8706" max="8706" width="10.42578125" style="187" customWidth="1"/>
    <col min="8707" max="8707" width="37.7109375" style="187" customWidth="1"/>
    <col min="8708" max="8708" width="12.85546875" style="187" customWidth="1"/>
    <col min="8709" max="8709" width="8.42578125" style="187" customWidth="1"/>
    <col min="8710" max="8710" width="9.42578125" style="187" customWidth="1"/>
    <col min="8711" max="8711" width="10.140625" style="187" customWidth="1"/>
    <col min="8712" max="8712" width="11.42578125" style="187" customWidth="1"/>
    <col min="8713" max="8960" width="11.5703125" style="187"/>
    <col min="8961" max="8961" width="4.28515625" style="187" customWidth="1"/>
    <col min="8962" max="8962" width="10.42578125" style="187" customWidth="1"/>
    <col min="8963" max="8963" width="37.7109375" style="187" customWidth="1"/>
    <col min="8964" max="8964" width="12.85546875" style="187" customWidth="1"/>
    <col min="8965" max="8965" width="8.42578125" style="187" customWidth="1"/>
    <col min="8966" max="8966" width="9.42578125" style="187" customWidth="1"/>
    <col min="8967" max="8967" width="10.140625" style="187" customWidth="1"/>
    <col min="8968" max="8968" width="11.42578125" style="187" customWidth="1"/>
    <col min="8969" max="9216" width="11.5703125" style="187"/>
    <col min="9217" max="9217" width="4.28515625" style="187" customWidth="1"/>
    <col min="9218" max="9218" width="10.42578125" style="187" customWidth="1"/>
    <col min="9219" max="9219" width="37.7109375" style="187" customWidth="1"/>
    <col min="9220" max="9220" width="12.85546875" style="187" customWidth="1"/>
    <col min="9221" max="9221" width="8.42578125" style="187" customWidth="1"/>
    <col min="9222" max="9222" width="9.42578125" style="187" customWidth="1"/>
    <col min="9223" max="9223" width="10.140625" style="187" customWidth="1"/>
    <col min="9224" max="9224" width="11.42578125" style="187" customWidth="1"/>
    <col min="9225" max="9472" width="11.5703125" style="187"/>
    <col min="9473" max="9473" width="4.28515625" style="187" customWidth="1"/>
    <col min="9474" max="9474" width="10.42578125" style="187" customWidth="1"/>
    <col min="9475" max="9475" width="37.7109375" style="187" customWidth="1"/>
    <col min="9476" max="9476" width="12.85546875" style="187" customWidth="1"/>
    <col min="9477" max="9477" width="8.42578125" style="187" customWidth="1"/>
    <col min="9478" max="9478" width="9.42578125" style="187" customWidth="1"/>
    <col min="9479" max="9479" width="10.140625" style="187" customWidth="1"/>
    <col min="9480" max="9480" width="11.42578125" style="187" customWidth="1"/>
    <col min="9481" max="9728" width="11.5703125" style="187"/>
    <col min="9729" max="9729" width="4.28515625" style="187" customWidth="1"/>
    <col min="9730" max="9730" width="10.42578125" style="187" customWidth="1"/>
    <col min="9731" max="9731" width="37.7109375" style="187" customWidth="1"/>
    <col min="9732" max="9732" width="12.85546875" style="187" customWidth="1"/>
    <col min="9733" max="9733" width="8.42578125" style="187" customWidth="1"/>
    <col min="9734" max="9734" width="9.42578125" style="187" customWidth="1"/>
    <col min="9735" max="9735" width="10.140625" style="187" customWidth="1"/>
    <col min="9736" max="9736" width="11.42578125" style="187" customWidth="1"/>
    <col min="9737" max="9984" width="11.5703125" style="187"/>
    <col min="9985" max="9985" width="4.28515625" style="187" customWidth="1"/>
    <col min="9986" max="9986" width="10.42578125" style="187" customWidth="1"/>
    <col min="9987" max="9987" width="37.7109375" style="187" customWidth="1"/>
    <col min="9988" max="9988" width="12.85546875" style="187" customWidth="1"/>
    <col min="9989" max="9989" width="8.42578125" style="187" customWidth="1"/>
    <col min="9990" max="9990" width="9.42578125" style="187" customWidth="1"/>
    <col min="9991" max="9991" width="10.140625" style="187" customWidth="1"/>
    <col min="9992" max="9992" width="11.42578125" style="187" customWidth="1"/>
    <col min="9993" max="10240" width="11.5703125" style="187"/>
    <col min="10241" max="10241" width="4.28515625" style="187" customWidth="1"/>
    <col min="10242" max="10242" width="10.42578125" style="187" customWidth="1"/>
    <col min="10243" max="10243" width="37.7109375" style="187" customWidth="1"/>
    <col min="10244" max="10244" width="12.85546875" style="187" customWidth="1"/>
    <col min="10245" max="10245" width="8.42578125" style="187" customWidth="1"/>
    <col min="10246" max="10246" width="9.42578125" style="187" customWidth="1"/>
    <col min="10247" max="10247" width="10.140625" style="187" customWidth="1"/>
    <col min="10248" max="10248" width="11.42578125" style="187" customWidth="1"/>
    <col min="10249" max="10496" width="11.5703125" style="187"/>
    <col min="10497" max="10497" width="4.28515625" style="187" customWidth="1"/>
    <col min="10498" max="10498" width="10.42578125" style="187" customWidth="1"/>
    <col min="10499" max="10499" width="37.7109375" style="187" customWidth="1"/>
    <col min="10500" max="10500" width="12.85546875" style="187" customWidth="1"/>
    <col min="10501" max="10501" width="8.42578125" style="187" customWidth="1"/>
    <col min="10502" max="10502" width="9.42578125" style="187" customWidth="1"/>
    <col min="10503" max="10503" width="10.140625" style="187" customWidth="1"/>
    <col min="10504" max="10504" width="11.42578125" style="187" customWidth="1"/>
    <col min="10505" max="10752" width="11.5703125" style="187"/>
    <col min="10753" max="10753" width="4.28515625" style="187" customWidth="1"/>
    <col min="10754" max="10754" width="10.42578125" style="187" customWidth="1"/>
    <col min="10755" max="10755" width="37.7109375" style="187" customWidth="1"/>
    <col min="10756" max="10756" width="12.85546875" style="187" customWidth="1"/>
    <col min="10757" max="10757" width="8.42578125" style="187" customWidth="1"/>
    <col min="10758" max="10758" width="9.42578125" style="187" customWidth="1"/>
    <col min="10759" max="10759" width="10.140625" style="187" customWidth="1"/>
    <col min="10760" max="10760" width="11.42578125" style="187" customWidth="1"/>
    <col min="10761" max="11008" width="11.5703125" style="187"/>
    <col min="11009" max="11009" width="4.28515625" style="187" customWidth="1"/>
    <col min="11010" max="11010" width="10.42578125" style="187" customWidth="1"/>
    <col min="11011" max="11011" width="37.7109375" style="187" customWidth="1"/>
    <col min="11012" max="11012" width="12.85546875" style="187" customWidth="1"/>
    <col min="11013" max="11013" width="8.42578125" style="187" customWidth="1"/>
    <col min="11014" max="11014" width="9.42578125" style="187" customWidth="1"/>
    <col min="11015" max="11015" width="10.140625" style="187" customWidth="1"/>
    <col min="11016" max="11016" width="11.42578125" style="187" customWidth="1"/>
    <col min="11017" max="11264" width="11.5703125" style="187"/>
    <col min="11265" max="11265" width="4.28515625" style="187" customWidth="1"/>
    <col min="11266" max="11266" width="10.42578125" style="187" customWidth="1"/>
    <col min="11267" max="11267" width="37.7109375" style="187" customWidth="1"/>
    <col min="11268" max="11268" width="12.85546875" style="187" customWidth="1"/>
    <col min="11269" max="11269" width="8.42578125" style="187" customWidth="1"/>
    <col min="11270" max="11270" width="9.42578125" style="187" customWidth="1"/>
    <col min="11271" max="11271" width="10.140625" style="187" customWidth="1"/>
    <col min="11272" max="11272" width="11.42578125" style="187" customWidth="1"/>
    <col min="11273" max="11520" width="11.5703125" style="187"/>
    <col min="11521" max="11521" width="4.28515625" style="187" customWidth="1"/>
    <col min="11522" max="11522" width="10.42578125" style="187" customWidth="1"/>
    <col min="11523" max="11523" width="37.7109375" style="187" customWidth="1"/>
    <col min="11524" max="11524" width="12.85546875" style="187" customWidth="1"/>
    <col min="11525" max="11525" width="8.42578125" style="187" customWidth="1"/>
    <col min="11526" max="11526" width="9.42578125" style="187" customWidth="1"/>
    <col min="11527" max="11527" width="10.140625" style="187" customWidth="1"/>
    <col min="11528" max="11528" width="11.42578125" style="187" customWidth="1"/>
    <col min="11529" max="11776" width="11.5703125" style="187"/>
    <col min="11777" max="11777" width="4.28515625" style="187" customWidth="1"/>
    <col min="11778" max="11778" width="10.42578125" style="187" customWidth="1"/>
    <col min="11779" max="11779" width="37.7109375" style="187" customWidth="1"/>
    <col min="11780" max="11780" width="12.85546875" style="187" customWidth="1"/>
    <col min="11781" max="11781" width="8.42578125" style="187" customWidth="1"/>
    <col min="11782" max="11782" width="9.42578125" style="187" customWidth="1"/>
    <col min="11783" max="11783" width="10.140625" style="187" customWidth="1"/>
    <col min="11784" max="11784" width="11.42578125" style="187" customWidth="1"/>
    <col min="11785" max="12032" width="11.5703125" style="187"/>
    <col min="12033" max="12033" width="4.28515625" style="187" customWidth="1"/>
    <col min="12034" max="12034" width="10.42578125" style="187" customWidth="1"/>
    <col min="12035" max="12035" width="37.7109375" style="187" customWidth="1"/>
    <col min="12036" max="12036" width="12.85546875" style="187" customWidth="1"/>
    <col min="12037" max="12037" width="8.42578125" style="187" customWidth="1"/>
    <col min="12038" max="12038" width="9.42578125" style="187" customWidth="1"/>
    <col min="12039" max="12039" width="10.140625" style="187" customWidth="1"/>
    <col min="12040" max="12040" width="11.42578125" style="187" customWidth="1"/>
    <col min="12041" max="12288" width="11.5703125" style="187"/>
    <col min="12289" max="12289" width="4.28515625" style="187" customWidth="1"/>
    <col min="12290" max="12290" width="10.42578125" style="187" customWidth="1"/>
    <col min="12291" max="12291" width="37.7109375" style="187" customWidth="1"/>
    <col min="12292" max="12292" width="12.85546875" style="187" customWidth="1"/>
    <col min="12293" max="12293" width="8.42578125" style="187" customWidth="1"/>
    <col min="12294" max="12294" width="9.42578125" style="187" customWidth="1"/>
    <col min="12295" max="12295" width="10.140625" style="187" customWidth="1"/>
    <col min="12296" max="12296" width="11.42578125" style="187" customWidth="1"/>
    <col min="12297" max="12544" width="11.5703125" style="187"/>
    <col min="12545" max="12545" width="4.28515625" style="187" customWidth="1"/>
    <col min="12546" max="12546" width="10.42578125" style="187" customWidth="1"/>
    <col min="12547" max="12547" width="37.7109375" style="187" customWidth="1"/>
    <col min="12548" max="12548" width="12.85546875" style="187" customWidth="1"/>
    <col min="12549" max="12549" width="8.42578125" style="187" customWidth="1"/>
    <col min="12550" max="12550" width="9.42578125" style="187" customWidth="1"/>
    <col min="12551" max="12551" width="10.140625" style="187" customWidth="1"/>
    <col min="12552" max="12552" width="11.42578125" style="187" customWidth="1"/>
    <col min="12553" max="12800" width="11.5703125" style="187"/>
    <col min="12801" max="12801" width="4.28515625" style="187" customWidth="1"/>
    <col min="12802" max="12802" width="10.42578125" style="187" customWidth="1"/>
    <col min="12803" max="12803" width="37.7109375" style="187" customWidth="1"/>
    <col min="12804" max="12804" width="12.85546875" style="187" customWidth="1"/>
    <col min="12805" max="12805" width="8.42578125" style="187" customWidth="1"/>
    <col min="12806" max="12806" width="9.42578125" style="187" customWidth="1"/>
    <col min="12807" max="12807" width="10.140625" style="187" customWidth="1"/>
    <col min="12808" max="12808" width="11.42578125" style="187" customWidth="1"/>
    <col min="12809" max="13056" width="11.5703125" style="187"/>
    <col min="13057" max="13057" width="4.28515625" style="187" customWidth="1"/>
    <col min="13058" max="13058" width="10.42578125" style="187" customWidth="1"/>
    <col min="13059" max="13059" width="37.7109375" style="187" customWidth="1"/>
    <col min="13060" max="13060" width="12.85546875" style="187" customWidth="1"/>
    <col min="13061" max="13061" width="8.42578125" style="187" customWidth="1"/>
    <col min="13062" max="13062" width="9.42578125" style="187" customWidth="1"/>
    <col min="13063" max="13063" width="10.140625" style="187" customWidth="1"/>
    <col min="13064" max="13064" width="11.42578125" style="187" customWidth="1"/>
    <col min="13065" max="13312" width="11.5703125" style="187"/>
    <col min="13313" max="13313" width="4.28515625" style="187" customWidth="1"/>
    <col min="13314" max="13314" width="10.42578125" style="187" customWidth="1"/>
    <col min="13315" max="13315" width="37.7109375" style="187" customWidth="1"/>
    <col min="13316" max="13316" width="12.85546875" style="187" customWidth="1"/>
    <col min="13317" max="13317" width="8.42578125" style="187" customWidth="1"/>
    <col min="13318" max="13318" width="9.42578125" style="187" customWidth="1"/>
    <col min="13319" max="13319" width="10.140625" style="187" customWidth="1"/>
    <col min="13320" max="13320" width="11.42578125" style="187" customWidth="1"/>
    <col min="13321" max="13568" width="11.5703125" style="187"/>
    <col min="13569" max="13569" width="4.28515625" style="187" customWidth="1"/>
    <col min="13570" max="13570" width="10.42578125" style="187" customWidth="1"/>
    <col min="13571" max="13571" width="37.7109375" style="187" customWidth="1"/>
    <col min="13572" max="13572" width="12.85546875" style="187" customWidth="1"/>
    <col min="13573" max="13573" width="8.42578125" style="187" customWidth="1"/>
    <col min="13574" max="13574" width="9.42578125" style="187" customWidth="1"/>
    <col min="13575" max="13575" width="10.140625" style="187" customWidth="1"/>
    <col min="13576" max="13576" width="11.42578125" style="187" customWidth="1"/>
    <col min="13577" max="13824" width="11.5703125" style="187"/>
    <col min="13825" max="13825" width="4.28515625" style="187" customWidth="1"/>
    <col min="13826" max="13826" width="10.42578125" style="187" customWidth="1"/>
    <col min="13827" max="13827" width="37.7109375" style="187" customWidth="1"/>
    <col min="13828" max="13828" width="12.85546875" style="187" customWidth="1"/>
    <col min="13829" max="13829" width="8.42578125" style="187" customWidth="1"/>
    <col min="13830" max="13830" width="9.42578125" style="187" customWidth="1"/>
    <col min="13831" max="13831" width="10.140625" style="187" customWidth="1"/>
    <col min="13832" max="13832" width="11.42578125" style="187" customWidth="1"/>
    <col min="13833" max="14080" width="11.5703125" style="187"/>
    <col min="14081" max="14081" width="4.28515625" style="187" customWidth="1"/>
    <col min="14082" max="14082" width="10.42578125" style="187" customWidth="1"/>
    <col min="14083" max="14083" width="37.7109375" style="187" customWidth="1"/>
    <col min="14084" max="14084" width="12.85546875" style="187" customWidth="1"/>
    <col min="14085" max="14085" width="8.42578125" style="187" customWidth="1"/>
    <col min="14086" max="14086" width="9.42578125" style="187" customWidth="1"/>
    <col min="14087" max="14087" width="10.140625" style="187" customWidth="1"/>
    <col min="14088" max="14088" width="11.42578125" style="187" customWidth="1"/>
    <col min="14089" max="14336" width="11.5703125" style="187"/>
    <col min="14337" max="14337" width="4.28515625" style="187" customWidth="1"/>
    <col min="14338" max="14338" width="10.42578125" style="187" customWidth="1"/>
    <col min="14339" max="14339" width="37.7109375" style="187" customWidth="1"/>
    <col min="14340" max="14340" width="12.85546875" style="187" customWidth="1"/>
    <col min="14341" max="14341" width="8.42578125" style="187" customWidth="1"/>
    <col min="14342" max="14342" width="9.42578125" style="187" customWidth="1"/>
    <col min="14343" max="14343" width="10.140625" style="187" customWidth="1"/>
    <col min="14344" max="14344" width="11.42578125" style="187" customWidth="1"/>
    <col min="14345" max="14592" width="11.5703125" style="187"/>
    <col min="14593" max="14593" width="4.28515625" style="187" customWidth="1"/>
    <col min="14594" max="14594" width="10.42578125" style="187" customWidth="1"/>
    <col min="14595" max="14595" width="37.7109375" style="187" customWidth="1"/>
    <col min="14596" max="14596" width="12.85546875" style="187" customWidth="1"/>
    <col min="14597" max="14597" width="8.42578125" style="187" customWidth="1"/>
    <col min="14598" max="14598" width="9.42578125" style="187" customWidth="1"/>
    <col min="14599" max="14599" width="10.140625" style="187" customWidth="1"/>
    <col min="14600" max="14600" width="11.42578125" style="187" customWidth="1"/>
    <col min="14601" max="14848" width="11.5703125" style="187"/>
    <col min="14849" max="14849" width="4.28515625" style="187" customWidth="1"/>
    <col min="14850" max="14850" width="10.42578125" style="187" customWidth="1"/>
    <col min="14851" max="14851" width="37.7109375" style="187" customWidth="1"/>
    <col min="14852" max="14852" width="12.85546875" style="187" customWidth="1"/>
    <col min="14853" max="14853" width="8.42578125" style="187" customWidth="1"/>
    <col min="14854" max="14854" width="9.42578125" style="187" customWidth="1"/>
    <col min="14855" max="14855" width="10.140625" style="187" customWidth="1"/>
    <col min="14856" max="14856" width="11.42578125" style="187" customWidth="1"/>
    <col min="14857" max="15104" width="11.5703125" style="187"/>
    <col min="15105" max="15105" width="4.28515625" style="187" customWidth="1"/>
    <col min="15106" max="15106" width="10.42578125" style="187" customWidth="1"/>
    <col min="15107" max="15107" width="37.7109375" style="187" customWidth="1"/>
    <col min="15108" max="15108" width="12.85546875" style="187" customWidth="1"/>
    <col min="15109" max="15109" width="8.42578125" style="187" customWidth="1"/>
    <col min="15110" max="15110" width="9.42578125" style="187" customWidth="1"/>
    <col min="15111" max="15111" width="10.140625" style="187" customWidth="1"/>
    <col min="15112" max="15112" width="11.42578125" style="187" customWidth="1"/>
    <col min="15113" max="15360" width="11.5703125" style="187"/>
    <col min="15361" max="15361" width="4.28515625" style="187" customWidth="1"/>
    <col min="15362" max="15362" width="10.42578125" style="187" customWidth="1"/>
    <col min="15363" max="15363" width="37.7109375" style="187" customWidth="1"/>
    <col min="15364" max="15364" width="12.85546875" style="187" customWidth="1"/>
    <col min="15365" max="15365" width="8.42578125" style="187" customWidth="1"/>
    <col min="15366" max="15366" width="9.42578125" style="187" customWidth="1"/>
    <col min="15367" max="15367" width="10.140625" style="187" customWidth="1"/>
    <col min="15368" max="15368" width="11.42578125" style="187" customWidth="1"/>
    <col min="15369" max="15616" width="11.5703125" style="187"/>
    <col min="15617" max="15617" width="4.28515625" style="187" customWidth="1"/>
    <col min="15618" max="15618" width="10.42578125" style="187" customWidth="1"/>
    <col min="15619" max="15619" width="37.7109375" style="187" customWidth="1"/>
    <col min="15620" max="15620" width="12.85546875" style="187" customWidth="1"/>
    <col min="15621" max="15621" width="8.42578125" style="187" customWidth="1"/>
    <col min="15622" max="15622" width="9.42578125" style="187" customWidth="1"/>
    <col min="15623" max="15623" width="10.140625" style="187" customWidth="1"/>
    <col min="15624" max="15624" width="11.42578125" style="187" customWidth="1"/>
    <col min="15625" max="15872" width="11.5703125" style="187"/>
    <col min="15873" max="15873" width="4.28515625" style="187" customWidth="1"/>
    <col min="15874" max="15874" width="10.42578125" style="187" customWidth="1"/>
    <col min="15875" max="15875" width="37.7109375" style="187" customWidth="1"/>
    <col min="15876" max="15876" width="12.85546875" style="187" customWidth="1"/>
    <col min="15877" max="15877" width="8.42578125" style="187" customWidth="1"/>
    <col min="15878" max="15878" width="9.42578125" style="187" customWidth="1"/>
    <col min="15879" max="15879" width="10.140625" style="187" customWidth="1"/>
    <col min="15880" max="15880" width="11.42578125" style="187" customWidth="1"/>
    <col min="15881" max="16128" width="11.5703125" style="187"/>
    <col min="16129" max="16129" width="4.28515625" style="187" customWidth="1"/>
    <col min="16130" max="16130" width="10.42578125" style="187" customWidth="1"/>
    <col min="16131" max="16131" width="37.7109375" style="187" customWidth="1"/>
    <col min="16132" max="16132" width="12.85546875" style="187" customWidth="1"/>
    <col min="16133" max="16133" width="8.42578125" style="187" customWidth="1"/>
    <col min="16134" max="16134" width="9.42578125" style="187" customWidth="1"/>
    <col min="16135" max="16135" width="10.140625" style="187" customWidth="1"/>
    <col min="16136" max="16136" width="11.42578125" style="187" customWidth="1"/>
    <col min="16137" max="16384" width="11.5703125" style="187"/>
  </cols>
  <sheetData>
    <row r="1" spans="1:9" ht="15.75" customHeight="1" x14ac:dyDescent="0.2">
      <c r="A1" s="2018" t="s">
        <v>5784</v>
      </c>
      <c r="B1" s="2018"/>
      <c r="C1" s="2019"/>
      <c r="D1" s="2020"/>
      <c r="E1" s="2020"/>
      <c r="F1" s="2020"/>
      <c r="G1" s="2020"/>
      <c r="H1" s="186"/>
    </row>
    <row r="2" spans="1:9" ht="15.75" x14ac:dyDescent="0.25">
      <c r="A2" s="2021" t="s">
        <v>5785</v>
      </c>
      <c r="B2" s="2021"/>
      <c r="C2" s="2021"/>
      <c r="D2" s="2021"/>
      <c r="E2" s="2021"/>
      <c r="F2" s="2021"/>
      <c r="G2" s="2021"/>
      <c r="H2" s="188"/>
    </row>
    <row r="3" spans="1:9" x14ac:dyDescent="0.2">
      <c r="A3" s="2022" t="s">
        <v>5786</v>
      </c>
      <c r="B3" s="2022"/>
      <c r="C3" s="2022"/>
      <c r="D3" s="2022"/>
      <c r="E3" s="2022"/>
      <c r="F3" s="2022"/>
      <c r="G3" s="2022"/>
      <c r="H3" s="189"/>
    </row>
    <row r="4" spans="1:9" ht="34.15" customHeight="1" x14ac:dyDescent="0.2">
      <c r="A4" s="2023" t="s">
        <v>5787</v>
      </c>
      <c r="B4" s="2023"/>
      <c r="C4" s="2023"/>
      <c r="D4" s="2023"/>
      <c r="E4" s="2023"/>
      <c r="F4" s="2023"/>
      <c r="G4" s="2023"/>
      <c r="H4" s="190"/>
    </row>
    <row r="5" spans="1:9" ht="15" customHeight="1" x14ac:dyDescent="0.2">
      <c r="A5" s="2024" t="s">
        <v>5788</v>
      </c>
      <c r="B5" s="2024"/>
      <c r="C5" s="2024"/>
      <c r="D5" s="2024"/>
      <c r="E5" s="2024"/>
      <c r="F5" s="2024"/>
      <c r="G5" s="2024"/>
      <c r="H5" s="190"/>
    </row>
    <row r="6" spans="1:9" ht="15.75" customHeight="1" x14ac:dyDescent="0.2">
      <c r="A6" s="2007" t="s">
        <v>139</v>
      </c>
      <c r="B6" s="2007"/>
      <c r="C6" s="2025"/>
      <c r="D6" s="2025"/>
      <c r="E6" s="2025"/>
      <c r="F6" s="2025"/>
      <c r="G6" s="2025"/>
      <c r="H6" s="190"/>
    </row>
    <row r="7" spans="1:9" ht="15.75" customHeight="1" x14ac:dyDescent="0.2">
      <c r="A7" s="190"/>
      <c r="B7" s="2026" t="s">
        <v>278</v>
      </c>
      <c r="C7" s="2026"/>
      <c r="D7" s="191">
        <f>G24</f>
        <v>207862.84</v>
      </c>
      <c r="E7" s="192" t="s">
        <v>5688</v>
      </c>
      <c r="F7" s="190"/>
      <c r="G7" s="190"/>
      <c r="H7" s="190"/>
    </row>
    <row r="8" spans="1:9" ht="15" hidden="1" customHeight="1" x14ac:dyDescent="0.2">
      <c r="A8" s="2027" t="s">
        <v>5789</v>
      </c>
      <c r="B8" s="2027"/>
      <c r="C8" s="2027"/>
      <c r="D8" s="2010"/>
      <c r="E8" s="2010"/>
      <c r="F8" s="2010"/>
      <c r="G8" s="2010"/>
      <c r="H8" s="193"/>
    </row>
    <row r="9" spans="1:9" ht="15" hidden="1" customHeight="1" x14ac:dyDescent="0.2">
      <c r="A9" s="189"/>
      <c r="B9" s="189"/>
      <c r="C9" s="189"/>
      <c r="D9" s="2007" t="s">
        <v>5790</v>
      </c>
      <c r="E9" s="2008"/>
      <c r="F9" s="2008"/>
      <c r="G9" s="2008"/>
      <c r="H9" s="194"/>
    </row>
    <row r="10" spans="1:9" ht="15" hidden="1" x14ac:dyDescent="0.2">
      <c r="A10" s="190"/>
      <c r="B10" s="190"/>
      <c r="C10" s="195"/>
      <c r="D10" s="190"/>
      <c r="E10" s="192"/>
      <c r="F10" s="190"/>
      <c r="G10" s="190"/>
      <c r="H10" s="190"/>
    </row>
    <row r="11" spans="1:9" ht="15" hidden="1" customHeight="1" x14ac:dyDescent="0.2">
      <c r="A11" s="2009" t="s">
        <v>5791</v>
      </c>
      <c r="B11" s="2009"/>
      <c r="C11" s="2009"/>
      <c r="D11" s="2010"/>
      <c r="E11" s="2010"/>
      <c r="F11" s="2010"/>
      <c r="G11" s="2010"/>
      <c r="H11" s="196"/>
    </row>
    <row r="12" spans="1:9" ht="15" hidden="1" customHeight="1" x14ac:dyDescent="0.2">
      <c r="A12" s="189"/>
      <c r="B12" s="189"/>
      <c r="C12" s="189"/>
      <c r="D12" s="2007" t="s">
        <v>5790</v>
      </c>
      <c r="E12" s="2008"/>
      <c r="F12" s="2008"/>
      <c r="G12" s="2008"/>
      <c r="H12" s="189"/>
      <c r="I12" s="197"/>
    </row>
    <row r="13" spans="1:9" ht="15" hidden="1" x14ac:dyDescent="0.2">
      <c r="A13" s="190"/>
      <c r="B13" s="190"/>
      <c r="C13" s="195"/>
      <c r="D13" s="190"/>
      <c r="E13" s="192"/>
      <c r="F13" s="190"/>
      <c r="G13" s="190"/>
      <c r="H13" s="190"/>
    </row>
    <row r="14" spans="1:9" ht="15" hidden="1" customHeight="1" x14ac:dyDescent="0.2">
      <c r="A14" s="2009" t="s">
        <v>5792</v>
      </c>
      <c r="B14" s="2009"/>
      <c r="C14" s="2009"/>
      <c r="D14" s="2010"/>
      <c r="E14" s="2010"/>
      <c r="F14" s="2010"/>
      <c r="G14" s="2010"/>
      <c r="H14" s="196"/>
    </row>
    <row r="15" spans="1:9" ht="15" hidden="1" customHeight="1" x14ac:dyDescent="0.2">
      <c r="D15" s="2007" t="s">
        <v>5790</v>
      </c>
      <c r="E15" s="2008"/>
      <c r="F15" s="2008"/>
      <c r="G15" s="2008"/>
      <c r="H15" s="189"/>
    </row>
    <row r="16" spans="1:9" ht="17.100000000000001" customHeight="1" x14ac:dyDescent="0.2">
      <c r="B16" s="2011" t="s">
        <v>5793</v>
      </c>
      <c r="C16" s="2011"/>
      <c r="G16" s="200"/>
      <c r="H16" s="190"/>
    </row>
    <row r="17" spans="1:256" ht="1.35" customHeight="1" x14ac:dyDescent="0.2">
      <c r="A17" s="201"/>
      <c r="B17" s="201"/>
      <c r="C17" s="201"/>
      <c r="D17" s="201"/>
      <c r="E17" s="201"/>
      <c r="G17" s="202"/>
      <c r="H17" s="190"/>
    </row>
    <row r="18" spans="1:256" ht="20.25" customHeight="1" x14ac:dyDescent="0.2">
      <c r="A18" s="2012" t="s">
        <v>5794</v>
      </c>
      <c r="B18" s="2012" t="s">
        <v>5795</v>
      </c>
      <c r="C18" s="2012" t="s">
        <v>5796</v>
      </c>
      <c r="D18" s="2014" t="s">
        <v>5797</v>
      </c>
      <c r="E18" s="2015"/>
      <c r="F18" s="2015"/>
      <c r="G18" s="2015"/>
      <c r="H18" s="2016"/>
    </row>
    <row r="19" spans="1:256" ht="52.35" customHeight="1" x14ac:dyDescent="0.2">
      <c r="A19" s="2013"/>
      <c r="B19" s="2013"/>
      <c r="C19" s="2013"/>
      <c r="D19" s="203" t="s">
        <v>169</v>
      </c>
      <c r="E19" s="204" t="s">
        <v>140</v>
      </c>
      <c r="F19" s="205" t="s">
        <v>5798</v>
      </c>
      <c r="G19" s="206" t="s">
        <v>5799</v>
      </c>
      <c r="H19" s="207" t="s">
        <v>148</v>
      </c>
    </row>
    <row r="20" spans="1:256" ht="14.25" customHeight="1" x14ac:dyDescent="0.2">
      <c r="A20" s="208">
        <v>1</v>
      </c>
      <c r="B20" s="208">
        <v>2</v>
      </c>
      <c r="C20" s="208">
        <v>2</v>
      </c>
      <c r="D20" s="209">
        <v>3</v>
      </c>
      <c r="E20" s="210">
        <v>4</v>
      </c>
      <c r="F20" s="211">
        <v>5</v>
      </c>
      <c r="G20" s="208">
        <v>6</v>
      </c>
      <c r="H20" s="207">
        <v>7</v>
      </c>
    </row>
    <row r="21" spans="1:256" ht="25.5" customHeight="1" x14ac:dyDescent="0.2">
      <c r="A21" s="212" t="s">
        <v>185</v>
      </c>
      <c r="B21" s="212" t="s">
        <v>5800</v>
      </c>
      <c r="C21" s="212" t="s">
        <v>5801</v>
      </c>
      <c r="D21" s="213"/>
      <c r="E21" s="214"/>
      <c r="F21" s="215"/>
      <c r="G21" s="216">
        <f>'[87]ЛСР 09-07-01'!G38</f>
        <v>63148.959999999999</v>
      </c>
      <c r="H21" s="217">
        <f>G21</f>
        <v>63148.959999999999</v>
      </c>
    </row>
    <row r="22" spans="1:256" ht="30.2" customHeight="1" x14ac:dyDescent="0.2">
      <c r="A22" s="212" t="s">
        <v>186</v>
      </c>
      <c r="B22" s="212" t="s">
        <v>5802</v>
      </c>
      <c r="C22" s="212" t="s">
        <v>5803</v>
      </c>
      <c r="D22" s="213"/>
      <c r="E22" s="214"/>
      <c r="F22" s="215"/>
      <c r="G22" s="216">
        <f>'[87]ЛСР 09-07-02'!I35</f>
        <v>11867.67</v>
      </c>
      <c r="H22" s="217">
        <f>G22</f>
        <v>11867.67</v>
      </c>
    </row>
    <row r="23" spans="1:256" ht="30.2" customHeight="1" x14ac:dyDescent="0.2">
      <c r="A23" s="212" t="s">
        <v>187</v>
      </c>
      <c r="B23" s="212" t="s">
        <v>5804</v>
      </c>
      <c r="C23" s="212" t="s">
        <v>5805</v>
      </c>
      <c r="D23" s="213"/>
      <c r="E23" s="214"/>
      <c r="F23" s="215"/>
      <c r="G23" s="216">
        <f>'[87]ЛСР 09-07-03'!G38</f>
        <v>132846.21</v>
      </c>
      <c r="H23" s="217">
        <f>G23</f>
        <v>132846.21</v>
      </c>
    </row>
    <row r="24" spans="1:256" ht="23.65" customHeight="1" x14ac:dyDescent="0.2">
      <c r="A24" s="218"/>
      <c r="B24" s="218"/>
      <c r="C24" s="218" t="s">
        <v>5806</v>
      </c>
      <c r="D24" s="218" t="s">
        <v>143</v>
      </c>
      <c r="E24" s="219"/>
      <c r="F24" s="220"/>
      <c r="G24" s="221">
        <f>G21+G22+G23</f>
        <v>207862.84</v>
      </c>
      <c r="H24" s="222">
        <f>G24</f>
        <v>207862.84</v>
      </c>
    </row>
    <row r="25" spans="1:256" ht="16.350000000000001" hidden="1" customHeight="1" x14ac:dyDescent="0.2">
      <c r="A25" s="218"/>
      <c r="B25" s="218"/>
      <c r="C25" s="218" t="s">
        <v>5807</v>
      </c>
      <c r="D25" s="218"/>
      <c r="E25" s="223"/>
      <c r="F25" s="224"/>
      <c r="G25" s="225"/>
      <c r="H25" s="226"/>
    </row>
    <row r="26" spans="1:256" x14ac:dyDescent="0.2">
      <c r="A26" s="227"/>
      <c r="B26" s="227"/>
      <c r="C26" s="227"/>
      <c r="D26" s="227"/>
      <c r="E26" s="228"/>
      <c r="F26" s="227"/>
      <c r="G26" s="229"/>
    </row>
    <row r="27" spans="1:256" s="227" customFormat="1" ht="12.75" hidden="1" customHeight="1" x14ac:dyDescent="0.2">
      <c r="G27" s="229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  <c r="DZ27" s="187"/>
      <c r="EA27" s="187"/>
      <c r="EB27" s="187"/>
      <c r="EC27" s="187"/>
      <c r="ED27" s="187"/>
      <c r="EE27" s="187"/>
      <c r="EF27" s="187"/>
      <c r="EG27" s="187"/>
      <c r="EH27" s="187"/>
      <c r="EI27" s="187"/>
      <c r="EJ27" s="187"/>
      <c r="EK27" s="187"/>
      <c r="EL27" s="187"/>
      <c r="EM27" s="187"/>
      <c r="EN27" s="187"/>
      <c r="EO27" s="187"/>
      <c r="EP27" s="187"/>
      <c r="EQ27" s="187"/>
      <c r="ER27" s="187"/>
      <c r="ES27" s="187"/>
      <c r="ET27" s="187"/>
      <c r="EU27" s="187"/>
      <c r="EV27" s="187"/>
      <c r="EW27" s="187"/>
      <c r="EX27" s="187"/>
      <c r="EY27" s="187"/>
      <c r="EZ27" s="187"/>
      <c r="FA27" s="187"/>
      <c r="FB27" s="187"/>
      <c r="FC27" s="187"/>
      <c r="FD27" s="187"/>
      <c r="FE27" s="187"/>
      <c r="FF27" s="187"/>
      <c r="FG27" s="187"/>
      <c r="FH27" s="187"/>
      <c r="FI27" s="187"/>
      <c r="FJ27" s="187"/>
      <c r="FK27" s="187"/>
      <c r="FL27" s="187"/>
      <c r="FM27" s="187"/>
      <c r="FN27" s="187"/>
      <c r="FO27" s="187"/>
      <c r="FP27" s="187"/>
      <c r="FQ27" s="187"/>
      <c r="FR27" s="187"/>
      <c r="FS27" s="187"/>
      <c r="FT27" s="187"/>
      <c r="FU27" s="187"/>
      <c r="FV27" s="187"/>
      <c r="FW27" s="187"/>
      <c r="FX27" s="187"/>
      <c r="FY27" s="187"/>
      <c r="FZ27" s="187"/>
      <c r="GA27" s="187"/>
      <c r="GB27" s="187"/>
      <c r="GC27" s="187"/>
      <c r="GD27" s="187"/>
      <c r="GE27" s="187"/>
      <c r="GF27" s="187"/>
      <c r="GG27" s="187"/>
      <c r="GH27" s="187"/>
      <c r="GI27" s="187"/>
      <c r="GJ27" s="187"/>
      <c r="GK27" s="187"/>
      <c r="GL27" s="187"/>
      <c r="GM27" s="187"/>
      <c r="GN27" s="187"/>
      <c r="GO27" s="187"/>
      <c r="GP27" s="187"/>
      <c r="GQ27" s="187"/>
      <c r="GR27" s="187"/>
      <c r="GS27" s="187"/>
      <c r="GT27" s="187"/>
      <c r="GU27" s="187"/>
      <c r="GV27" s="187"/>
      <c r="GW27" s="187"/>
      <c r="GX27" s="187"/>
      <c r="GY27" s="187"/>
      <c r="GZ27" s="187"/>
      <c r="HA27" s="187"/>
      <c r="HB27" s="187"/>
      <c r="HC27" s="187"/>
      <c r="HD27" s="187"/>
      <c r="HE27" s="187"/>
      <c r="HF27" s="187"/>
      <c r="HG27" s="187"/>
      <c r="HH27" s="187"/>
      <c r="HI27" s="187"/>
      <c r="HJ27" s="187"/>
      <c r="HK27" s="187"/>
      <c r="HL27" s="187"/>
      <c r="HM27" s="187"/>
      <c r="HN27" s="187"/>
      <c r="HO27" s="187"/>
      <c r="HP27" s="187"/>
      <c r="HQ27" s="187"/>
      <c r="HR27" s="187"/>
      <c r="HS27" s="187"/>
      <c r="HT27" s="187"/>
      <c r="HU27" s="187"/>
      <c r="HV27" s="187"/>
      <c r="HW27" s="187"/>
      <c r="HX27" s="187"/>
      <c r="HY27" s="187"/>
      <c r="HZ27" s="187"/>
      <c r="IA27" s="187"/>
      <c r="IB27" s="187"/>
      <c r="IC27" s="187"/>
      <c r="ID27" s="187"/>
      <c r="IE27" s="187"/>
      <c r="IF27" s="187"/>
      <c r="IG27" s="187"/>
      <c r="IH27" s="187"/>
      <c r="II27" s="187"/>
      <c r="IJ27" s="187"/>
      <c r="IK27" s="187"/>
      <c r="IL27" s="187"/>
      <c r="IM27" s="187"/>
      <c r="IN27" s="187"/>
      <c r="IO27" s="187"/>
      <c r="IP27" s="187"/>
      <c r="IQ27" s="187"/>
      <c r="IR27" s="187"/>
      <c r="IS27" s="187"/>
      <c r="IT27" s="187"/>
      <c r="IU27" s="187"/>
      <c r="IV27" s="187"/>
    </row>
    <row r="28" spans="1:256" s="227" customFormat="1" ht="12" hidden="1" customHeight="1" x14ac:dyDescent="0.2">
      <c r="A28" s="230"/>
      <c r="B28" s="230"/>
      <c r="C28" s="230"/>
      <c r="D28" s="231"/>
      <c r="E28" s="232"/>
      <c r="F28" s="232"/>
      <c r="G28" s="232"/>
      <c r="H28" s="233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  <c r="FB28" s="187"/>
      <c r="FC28" s="187"/>
      <c r="FD28" s="187"/>
      <c r="FE28" s="187"/>
      <c r="FF28" s="187"/>
      <c r="FG28" s="187"/>
      <c r="FH28" s="187"/>
      <c r="FI28" s="187"/>
      <c r="FJ28" s="187"/>
      <c r="FK28" s="187"/>
      <c r="FL28" s="187"/>
      <c r="FM28" s="187"/>
      <c r="FN28" s="187"/>
      <c r="FO28" s="187"/>
      <c r="FP28" s="187"/>
      <c r="FQ28" s="187"/>
      <c r="FR28" s="187"/>
      <c r="FS28" s="187"/>
      <c r="FT28" s="187"/>
      <c r="FU28" s="187"/>
      <c r="FV28" s="187"/>
      <c r="FW28" s="187"/>
      <c r="FX28" s="187"/>
      <c r="FY28" s="187"/>
      <c r="FZ28" s="187"/>
      <c r="GA28" s="187"/>
      <c r="GB28" s="187"/>
      <c r="GC28" s="187"/>
      <c r="GD28" s="187"/>
      <c r="GE28" s="187"/>
      <c r="GF28" s="187"/>
      <c r="GG28" s="187"/>
      <c r="GH28" s="187"/>
      <c r="GI28" s="187"/>
      <c r="GJ28" s="187"/>
      <c r="GK28" s="187"/>
      <c r="GL28" s="187"/>
      <c r="GM28" s="187"/>
      <c r="GN28" s="187"/>
      <c r="GO28" s="187"/>
      <c r="GP28" s="187"/>
      <c r="GQ28" s="187"/>
      <c r="GR28" s="187"/>
      <c r="GS28" s="187"/>
      <c r="GT28" s="187"/>
      <c r="GU28" s="187"/>
      <c r="GV28" s="187"/>
      <c r="GW28" s="187"/>
      <c r="GX28" s="187"/>
      <c r="GY28" s="187"/>
      <c r="GZ28" s="187"/>
      <c r="HA28" s="187"/>
      <c r="HB28" s="187"/>
      <c r="HC28" s="187"/>
      <c r="HD28" s="187"/>
      <c r="HE28" s="187"/>
      <c r="HF28" s="187"/>
      <c r="HG28" s="187"/>
      <c r="HH28" s="187"/>
      <c r="HI28" s="187"/>
      <c r="HJ28" s="187"/>
      <c r="HK28" s="187"/>
      <c r="HL28" s="187"/>
      <c r="HM28" s="187"/>
      <c r="HN28" s="187"/>
      <c r="HO28" s="187"/>
      <c r="HP28" s="187"/>
      <c r="HQ28" s="187"/>
      <c r="HR28" s="187"/>
      <c r="HS28" s="187"/>
      <c r="HT28" s="187"/>
      <c r="HU28" s="187"/>
      <c r="HV28" s="187"/>
      <c r="HW28" s="187"/>
      <c r="HX28" s="187"/>
      <c r="HY28" s="187"/>
      <c r="HZ28" s="187"/>
      <c r="IA28" s="187"/>
      <c r="IB28" s="187"/>
      <c r="IC28" s="187"/>
      <c r="ID28" s="187"/>
      <c r="IE28" s="187"/>
      <c r="IF28" s="187"/>
      <c r="IG28" s="187"/>
      <c r="IH28" s="187"/>
      <c r="II28" s="187"/>
      <c r="IJ28" s="187"/>
      <c r="IK28" s="187"/>
      <c r="IL28" s="187"/>
      <c r="IM28" s="187"/>
      <c r="IN28" s="187"/>
      <c r="IO28" s="187"/>
      <c r="IP28" s="187"/>
      <c r="IQ28" s="187"/>
      <c r="IR28" s="187"/>
      <c r="IS28" s="187"/>
      <c r="IT28" s="187"/>
      <c r="IU28" s="187"/>
      <c r="IV28" s="187"/>
    </row>
    <row r="29" spans="1:256" s="227" customFormat="1" ht="12.75" hidden="1" customHeight="1" x14ac:dyDescent="0.2"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  <c r="IU29" s="187"/>
      <c r="IV29" s="187"/>
    </row>
    <row r="30" spans="1:256" s="227" customFormat="1" hidden="1" x14ac:dyDescent="0.2">
      <c r="A30" s="2000" t="s">
        <v>5808</v>
      </c>
      <c r="B30" s="2000"/>
      <c r="C30" s="2000"/>
      <c r="D30" s="2001"/>
      <c r="E30" s="2001"/>
      <c r="F30" s="2001"/>
      <c r="G30" s="2001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  <c r="IV30" s="187"/>
    </row>
    <row r="31" spans="1:256" s="227" customFormat="1" ht="12.75" hidden="1" customHeight="1" x14ac:dyDescent="0.2">
      <c r="A31" s="199"/>
      <c r="B31" s="199"/>
      <c r="C31" s="199"/>
      <c r="D31" s="2017" t="s">
        <v>5809</v>
      </c>
      <c r="E31" s="2017"/>
      <c r="F31" s="2017"/>
      <c r="G31" s="201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  <c r="IV31" s="187"/>
    </row>
    <row r="32" spans="1:256" s="227" customFormat="1" ht="12.75" customHeight="1" x14ac:dyDescent="0.2">
      <c r="G32" s="187"/>
      <c r="I32" s="187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</row>
    <row r="33" spans="1:256" s="227" customFormat="1" x14ac:dyDescent="0.2">
      <c r="A33" s="2000" t="s">
        <v>5810</v>
      </c>
      <c r="B33" s="2000"/>
      <c r="C33" s="2000"/>
      <c r="D33" s="2001"/>
      <c r="E33" s="2001"/>
      <c r="F33" s="2001"/>
      <c r="G33" s="2001"/>
      <c r="H33" s="187"/>
      <c r="IR33" s="187"/>
      <c r="IS33" s="187"/>
      <c r="IT33" s="187"/>
      <c r="IU33" s="187"/>
      <c r="IV33" s="187"/>
    </row>
    <row r="34" spans="1:256" s="227" customFormat="1" ht="12.75" customHeight="1" x14ac:dyDescent="0.2">
      <c r="A34" s="234"/>
      <c r="B34" s="234"/>
      <c r="C34" s="234"/>
      <c r="D34" s="2006"/>
      <c r="E34" s="2006"/>
      <c r="F34" s="2006"/>
      <c r="G34" s="2006"/>
      <c r="H34" s="187"/>
      <c r="IR34" s="187"/>
      <c r="IS34" s="187"/>
      <c r="IT34" s="187"/>
      <c r="IU34" s="187"/>
      <c r="IV34" s="187"/>
    </row>
    <row r="35" spans="1:256" s="227" customFormat="1" ht="12.75" customHeight="1" x14ac:dyDescent="0.2">
      <c r="A35" s="199"/>
      <c r="B35" s="199"/>
      <c r="C35" s="199"/>
      <c r="D35" s="199"/>
      <c r="E35" s="199"/>
      <c r="F35" s="199"/>
      <c r="G35" s="235"/>
      <c r="H35" s="187"/>
      <c r="IR35" s="187"/>
      <c r="IS35" s="187"/>
      <c r="IT35" s="187"/>
      <c r="IU35" s="187"/>
      <c r="IV35" s="187"/>
    </row>
    <row r="36" spans="1:256" s="227" customFormat="1" x14ac:dyDescent="0.2">
      <c r="A36" s="2000" t="s">
        <v>5811</v>
      </c>
      <c r="B36" s="2000"/>
      <c r="C36" s="2000"/>
      <c r="D36" s="236"/>
      <c r="E36" s="237" t="s">
        <v>5812</v>
      </c>
      <c r="F36" s="2001"/>
      <c r="G36" s="2001"/>
      <c r="H36" s="187"/>
      <c r="I36" s="187"/>
      <c r="J36" s="187"/>
      <c r="K36" s="229"/>
      <c r="L36" s="229"/>
    </row>
    <row r="37" spans="1:256" s="227" customFormat="1" ht="21" customHeight="1" x14ac:dyDescent="0.2">
      <c r="A37" s="234"/>
      <c r="B37" s="234"/>
      <c r="C37" s="234"/>
      <c r="D37" s="238"/>
      <c r="E37" s="239"/>
      <c r="F37" s="2002"/>
      <c r="G37" s="2003"/>
      <c r="H37" s="187"/>
      <c r="I37" s="187"/>
      <c r="J37" s="187"/>
      <c r="K37" s="229"/>
      <c r="L37" s="229"/>
    </row>
    <row r="38" spans="1:256" s="227" customFormat="1" ht="12.75" customHeight="1" x14ac:dyDescent="0.2">
      <c r="A38" s="2004"/>
      <c r="B38" s="2004"/>
      <c r="C38" s="199"/>
      <c r="D38" s="199"/>
      <c r="E38" s="199"/>
      <c r="F38" s="199"/>
      <c r="G38" s="187"/>
      <c r="H38" s="187"/>
      <c r="I38" s="187"/>
      <c r="J38" s="229"/>
      <c r="K38" s="229"/>
      <c r="IV38" s="187"/>
    </row>
    <row r="39" spans="1:256" s="227" customFormat="1" x14ac:dyDescent="0.2">
      <c r="A39" s="2005"/>
      <c r="B39" s="2005"/>
      <c r="C39" s="192"/>
      <c r="D39" s="192"/>
      <c r="E39" s="192"/>
      <c r="F39" s="192"/>
      <c r="G39" s="192"/>
      <c r="H39" s="240"/>
      <c r="I39" s="241"/>
      <c r="J39" s="241"/>
      <c r="K39" s="229"/>
      <c r="L39" s="229"/>
    </row>
    <row r="40" spans="1:256" s="227" customFormat="1" x14ac:dyDescent="0.2">
      <c r="A40" s="192"/>
      <c r="B40" s="192"/>
      <c r="C40" s="192"/>
      <c r="D40" s="192"/>
      <c r="E40" s="192"/>
      <c r="F40" s="192"/>
      <c r="G40" s="192"/>
      <c r="H40" s="240"/>
      <c r="I40" s="241"/>
      <c r="J40" s="241"/>
      <c r="K40" s="229"/>
      <c r="L40" s="229"/>
    </row>
    <row r="41" spans="1:256" s="227" customFormat="1" x14ac:dyDescent="0.2">
      <c r="A41" s="192"/>
      <c r="B41" s="192"/>
      <c r="C41" s="192"/>
      <c r="D41" s="192"/>
      <c r="E41" s="192"/>
      <c r="F41" s="192"/>
      <c r="G41" s="192"/>
      <c r="H41" s="229"/>
      <c r="I41" s="241"/>
      <c r="J41" s="241"/>
      <c r="K41" s="229"/>
      <c r="L41" s="229"/>
    </row>
    <row r="42" spans="1:256" s="227" customFormat="1" x14ac:dyDescent="0.2">
      <c r="A42" s="192"/>
      <c r="B42" s="192"/>
      <c r="C42" s="192"/>
      <c r="D42" s="192"/>
      <c r="E42" s="192"/>
      <c r="F42" s="192"/>
      <c r="G42" s="192"/>
      <c r="H42" s="240"/>
      <c r="I42" s="241"/>
      <c r="J42" s="241"/>
      <c r="K42" s="229"/>
      <c r="L42" s="229"/>
    </row>
    <row r="43" spans="1:256" s="227" customFormat="1" x14ac:dyDescent="0.2">
      <c r="A43" s="192"/>
      <c r="B43" s="192"/>
      <c r="C43" s="192"/>
      <c r="D43" s="192"/>
      <c r="E43" s="192"/>
      <c r="F43" s="192"/>
      <c r="G43" s="192"/>
      <c r="H43" s="240"/>
      <c r="I43" s="241"/>
      <c r="J43" s="241"/>
      <c r="K43" s="229"/>
      <c r="L43" s="229"/>
    </row>
    <row r="44" spans="1:256" s="227" customFormat="1" x14ac:dyDescent="0.2">
      <c r="A44" s="192"/>
      <c r="B44" s="192"/>
      <c r="C44" s="192"/>
      <c r="D44" s="192"/>
      <c r="E44" s="192"/>
      <c r="F44" s="192"/>
      <c r="G44" s="192"/>
      <c r="H44" s="229"/>
      <c r="I44" s="229"/>
      <c r="IT44" s="187"/>
      <c r="IU44" s="187"/>
      <c r="IV44" s="187"/>
    </row>
    <row r="45" spans="1:256" s="227" customFormat="1" x14ac:dyDescent="0.2">
      <c r="A45" s="192"/>
      <c r="B45" s="192"/>
      <c r="C45" s="192"/>
      <c r="D45" s="192"/>
      <c r="E45" s="192"/>
      <c r="F45" s="192"/>
      <c r="G45" s="192"/>
      <c r="H45" s="187"/>
      <c r="I45" s="241"/>
      <c r="J45" s="241"/>
      <c r="K45" s="229"/>
      <c r="L45" s="229"/>
    </row>
    <row r="46" spans="1:256" x14ac:dyDescent="0.2">
      <c r="G46" s="190"/>
      <c r="I46" s="241"/>
      <c r="J46" s="241"/>
      <c r="K46" s="229"/>
      <c r="L46" s="229"/>
    </row>
    <row r="47" spans="1:256" x14ac:dyDescent="0.2">
      <c r="G47" s="190"/>
      <c r="I47" s="229"/>
    </row>
    <row r="48" spans="1:256" x14ac:dyDescent="0.2">
      <c r="G48" s="190"/>
    </row>
    <row r="49" spans="7:7" x14ac:dyDescent="0.2">
      <c r="G49" s="190"/>
    </row>
    <row r="50" spans="7:7" x14ac:dyDescent="0.2">
      <c r="G50" s="190"/>
    </row>
    <row r="51" spans="7:7" x14ac:dyDescent="0.2">
      <c r="G51" s="190"/>
    </row>
    <row r="52" spans="7:7" x14ac:dyDescent="0.2">
      <c r="G52" s="190"/>
    </row>
  </sheetData>
  <mergeCells count="33">
    <mergeCell ref="A11:C11"/>
    <mergeCell ref="D11:G11"/>
    <mergeCell ref="A1:C1"/>
    <mergeCell ref="D1:G1"/>
    <mergeCell ref="A2:G2"/>
    <mergeCell ref="A3:G3"/>
    <mergeCell ref="A4:G4"/>
    <mergeCell ref="A5:G5"/>
    <mergeCell ref="A6:G6"/>
    <mergeCell ref="B7:C7"/>
    <mergeCell ref="A8:C8"/>
    <mergeCell ref="D8:G8"/>
    <mergeCell ref="D9:G9"/>
    <mergeCell ref="D34:G34"/>
    <mergeCell ref="D12:G12"/>
    <mergeCell ref="A14:C14"/>
    <mergeCell ref="D14:G14"/>
    <mergeCell ref="D15:G15"/>
    <mergeCell ref="B16:C16"/>
    <mergeCell ref="A18:A19"/>
    <mergeCell ref="B18:B19"/>
    <mergeCell ref="C18:C19"/>
    <mergeCell ref="D18:H18"/>
    <mergeCell ref="A30:C30"/>
    <mergeCell ref="D30:G30"/>
    <mergeCell ref="D31:G31"/>
    <mergeCell ref="A33:C33"/>
    <mergeCell ref="D33:G33"/>
    <mergeCell ref="A36:C36"/>
    <mergeCell ref="F36:G36"/>
    <mergeCell ref="F37:G37"/>
    <mergeCell ref="A38:B38"/>
    <mergeCell ref="A39:B39"/>
  </mergeCells>
  <printOptions horizontalCentered="1"/>
  <pageMargins left="0.39374999999999999" right="0.39374999999999999" top="0.59027777777777779" bottom="0.82777777777777772" header="0.51180555555555551" footer="0.59027777777777779"/>
  <pageSetup paperSize="9" firstPageNumber="0" orientation="landscape" horizontalDpi="300" verticalDpi="300" r:id="rId1"/>
  <headerFooter alignWithMargins="0">
    <oddFooter>&amp;C&amp;"Arial,Обычный"Страница &amp;P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V52"/>
  <sheetViews>
    <sheetView zoomScale="97" zoomScaleNormal="97" workbookViewId="0">
      <selection sqref="A1:C1"/>
    </sheetView>
  </sheetViews>
  <sheetFormatPr defaultColWidth="11.5703125" defaultRowHeight="12.75" x14ac:dyDescent="0.2"/>
  <cols>
    <col min="1" max="1" width="4.28515625" style="198" customWidth="1"/>
    <col min="2" max="2" width="10.140625" style="198" customWidth="1"/>
    <col min="3" max="3" width="37.7109375" style="198" customWidth="1"/>
    <col min="4" max="4" width="9.85546875" style="198" customWidth="1"/>
    <col min="5" max="5" width="8.42578125" style="199" customWidth="1"/>
    <col min="6" max="6" width="9.42578125" style="198" customWidth="1"/>
    <col min="7" max="7" width="12.7109375" style="187" customWidth="1"/>
    <col min="8" max="8" width="11.140625" style="187" customWidth="1"/>
    <col min="9" max="256" width="11.5703125" style="187"/>
    <col min="257" max="257" width="4.28515625" style="187" customWidth="1"/>
    <col min="258" max="258" width="10.140625" style="187" customWidth="1"/>
    <col min="259" max="259" width="37.7109375" style="187" customWidth="1"/>
    <col min="260" max="260" width="9.85546875" style="187" customWidth="1"/>
    <col min="261" max="261" width="8.42578125" style="187" customWidth="1"/>
    <col min="262" max="262" width="9.42578125" style="187" customWidth="1"/>
    <col min="263" max="263" width="11" style="187" customWidth="1"/>
    <col min="264" max="264" width="9.28515625" style="187" customWidth="1"/>
    <col min="265" max="512" width="11.5703125" style="187"/>
    <col min="513" max="513" width="4.28515625" style="187" customWidth="1"/>
    <col min="514" max="514" width="10.140625" style="187" customWidth="1"/>
    <col min="515" max="515" width="37.7109375" style="187" customWidth="1"/>
    <col min="516" max="516" width="9.85546875" style="187" customWidth="1"/>
    <col min="517" max="517" width="8.42578125" style="187" customWidth="1"/>
    <col min="518" max="518" width="9.42578125" style="187" customWidth="1"/>
    <col min="519" max="519" width="11" style="187" customWidth="1"/>
    <col min="520" max="520" width="9.28515625" style="187" customWidth="1"/>
    <col min="521" max="768" width="11.5703125" style="187"/>
    <col min="769" max="769" width="4.28515625" style="187" customWidth="1"/>
    <col min="770" max="770" width="10.140625" style="187" customWidth="1"/>
    <col min="771" max="771" width="37.7109375" style="187" customWidth="1"/>
    <col min="772" max="772" width="9.85546875" style="187" customWidth="1"/>
    <col min="773" max="773" width="8.42578125" style="187" customWidth="1"/>
    <col min="774" max="774" width="9.42578125" style="187" customWidth="1"/>
    <col min="775" max="775" width="11" style="187" customWidth="1"/>
    <col min="776" max="776" width="9.28515625" style="187" customWidth="1"/>
    <col min="777" max="1024" width="11.5703125" style="187"/>
    <col min="1025" max="1025" width="4.28515625" style="187" customWidth="1"/>
    <col min="1026" max="1026" width="10.140625" style="187" customWidth="1"/>
    <col min="1027" max="1027" width="37.7109375" style="187" customWidth="1"/>
    <col min="1028" max="1028" width="9.85546875" style="187" customWidth="1"/>
    <col min="1029" max="1029" width="8.42578125" style="187" customWidth="1"/>
    <col min="1030" max="1030" width="9.42578125" style="187" customWidth="1"/>
    <col min="1031" max="1031" width="11" style="187" customWidth="1"/>
    <col min="1032" max="1032" width="9.28515625" style="187" customWidth="1"/>
    <col min="1033" max="1280" width="11.5703125" style="187"/>
    <col min="1281" max="1281" width="4.28515625" style="187" customWidth="1"/>
    <col min="1282" max="1282" width="10.140625" style="187" customWidth="1"/>
    <col min="1283" max="1283" width="37.7109375" style="187" customWidth="1"/>
    <col min="1284" max="1284" width="9.85546875" style="187" customWidth="1"/>
    <col min="1285" max="1285" width="8.42578125" style="187" customWidth="1"/>
    <col min="1286" max="1286" width="9.42578125" style="187" customWidth="1"/>
    <col min="1287" max="1287" width="11" style="187" customWidth="1"/>
    <col min="1288" max="1288" width="9.28515625" style="187" customWidth="1"/>
    <col min="1289" max="1536" width="11.5703125" style="187"/>
    <col min="1537" max="1537" width="4.28515625" style="187" customWidth="1"/>
    <col min="1538" max="1538" width="10.140625" style="187" customWidth="1"/>
    <col min="1539" max="1539" width="37.7109375" style="187" customWidth="1"/>
    <col min="1540" max="1540" width="9.85546875" style="187" customWidth="1"/>
    <col min="1541" max="1541" width="8.42578125" style="187" customWidth="1"/>
    <col min="1542" max="1542" width="9.42578125" style="187" customWidth="1"/>
    <col min="1543" max="1543" width="11" style="187" customWidth="1"/>
    <col min="1544" max="1544" width="9.28515625" style="187" customWidth="1"/>
    <col min="1545" max="1792" width="11.5703125" style="187"/>
    <col min="1793" max="1793" width="4.28515625" style="187" customWidth="1"/>
    <col min="1794" max="1794" width="10.140625" style="187" customWidth="1"/>
    <col min="1795" max="1795" width="37.7109375" style="187" customWidth="1"/>
    <col min="1796" max="1796" width="9.85546875" style="187" customWidth="1"/>
    <col min="1797" max="1797" width="8.42578125" style="187" customWidth="1"/>
    <col min="1798" max="1798" width="9.42578125" style="187" customWidth="1"/>
    <col min="1799" max="1799" width="11" style="187" customWidth="1"/>
    <col min="1800" max="1800" width="9.28515625" style="187" customWidth="1"/>
    <col min="1801" max="2048" width="11.5703125" style="187"/>
    <col min="2049" max="2049" width="4.28515625" style="187" customWidth="1"/>
    <col min="2050" max="2050" width="10.140625" style="187" customWidth="1"/>
    <col min="2051" max="2051" width="37.7109375" style="187" customWidth="1"/>
    <col min="2052" max="2052" width="9.85546875" style="187" customWidth="1"/>
    <col min="2053" max="2053" width="8.42578125" style="187" customWidth="1"/>
    <col min="2054" max="2054" width="9.42578125" style="187" customWidth="1"/>
    <col min="2055" max="2055" width="11" style="187" customWidth="1"/>
    <col min="2056" max="2056" width="9.28515625" style="187" customWidth="1"/>
    <col min="2057" max="2304" width="11.5703125" style="187"/>
    <col min="2305" max="2305" width="4.28515625" style="187" customWidth="1"/>
    <col min="2306" max="2306" width="10.140625" style="187" customWidth="1"/>
    <col min="2307" max="2307" width="37.7109375" style="187" customWidth="1"/>
    <col min="2308" max="2308" width="9.85546875" style="187" customWidth="1"/>
    <col min="2309" max="2309" width="8.42578125" style="187" customWidth="1"/>
    <col min="2310" max="2310" width="9.42578125" style="187" customWidth="1"/>
    <col min="2311" max="2311" width="11" style="187" customWidth="1"/>
    <col min="2312" max="2312" width="9.28515625" style="187" customWidth="1"/>
    <col min="2313" max="2560" width="11.5703125" style="187"/>
    <col min="2561" max="2561" width="4.28515625" style="187" customWidth="1"/>
    <col min="2562" max="2562" width="10.140625" style="187" customWidth="1"/>
    <col min="2563" max="2563" width="37.7109375" style="187" customWidth="1"/>
    <col min="2564" max="2564" width="9.85546875" style="187" customWidth="1"/>
    <col min="2565" max="2565" width="8.42578125" style="187" customWidth="1"/>
    <col min="2566" max="2566" width="9.42578125" style="187" customWidth="1"/>
    <col min="2567" max="2567" width="11" style="187" customWidth="1"/>
    <col min="2568" max="2568" width="9.28515625" style="187" customWidth="1"/>
    <col min="2569" max="2816" width="11.5703125" style="187"/>
    <col min="2817" max="2817" width="4.28515625" style="187" customWidth="1"/>
    <col min="2818" max="2818" width="10.140625" style="187" customWidth="1"/>
    <col min="2819" max="2819" width="37.7109375" style="187" customWidth="1"/>
    <col min="2820" max="2820" width="9.85546875" style="187" customWidth="1"/>
    <col min="2821" max="2821" width="8.42578125" style="187" customWidth="1"/>
    <col min="2822" max="2822" width="9.42578125" style="187" customWidth="1"/>
    <col min="2823" max="2823" width="11" style="187" customWidth="1"/>
    <col min="2824" max="2824" width="9.28515625" style="187" customWidth="1"/>
    <col min="2825" max="3072" width="11.5703125" style="187"/>
    <col min="3073" max="3073" width="4.28515625" style="187" customWidth="1"/>
    <col min="3074" max="3074" width="10.140625" style="187" customWidth="1"/>
    <col min="3075" max="3075" width="37.7109375" style="187" customWidth="1"/>
    <col min="3076" max="3076" width="9.85546875" style="187" customWidth="1"/>
    <col min="3077" max="3077" width="8.42578125" style="187" customWidth="1"/>
    <col min="3078" max="3078" width="9.42578125" style="187" customWidth="1"/>
    <col min="3079" max="3079" width="11" style="187" customWidth="1"/>
    <col min="3080" max="3080" width="9.28515625" style="187" customWidth="1"/>
    <col min="3081" max="3328" width="11.5703125" style="187"/>
    <col min="3329" max="3329" width="4.28515625" style="187" customWidth="1"/>
    <col min="3330" max="3330" width="10.140625" style="187" customWidth="1"/>
    <col min="3331" max="3331" width="37.7109375" style="187" customWidth="1"/>
    <col min="3332" max="3332" width="9.85546875" style="187" customWidth="1"/>
    <col min="3333" max="3333" width="8.42578125" style="187" customWidth="1"/>
    <col min="3334" max="3334" width="9.42578125" style="187" customWidth="1"/>
    <col min="3335" max="3335" width="11" style="187" customWidth="1"/>
    <col min="3336" max="3336" width="9.28515625" style="187" customWidth="1"/>
    <col min="3337" max="3584" width="11.5703125" style="187"/>
    <col min="3585" max="3585" width="4.28515625" style="187" customWidth="1"/>
    <col min="3586" max="3586" width="10.140625" style="187" customWidth="1"/>
    <col min="3587" max="3587" width="37.7109375" style="187" customWidth="1"/>
    <col min="3588" max="3588" width="9.85546875" style="187" customWidth="1"/>
    <col min="3589" max="3589" width="8.42578125" style="187" customWidth="1"/>
    <col min="3590" max="3590" width="9.42578125" style="187" customWidth="1"/>
    <col min="3591" max="3591" width="11" style="187" customWidth="1"/>
    <col min="3592" max="3592" width="9.28515625" style="187" customWidth="1"/>
    <col min="3593" max="3840" width="11.5703125" style="187"/>
    <col min="3841" max="3841" width="4.28515625" style="187" customWidth="1"/>
    <col min="3842" max="3842" width="10.140625" style="187" customWidth="1"/>
    <col min="3843" max="3843" width="37.7109375" style="187" customWidth="1"/>
    <col min="3844" max="3844" width="9.85546875" style="187" customWidth="1"/>
    <col min="3845" max="3845" width="8.42578125" style="187" customWidth="1"/>
    <col min="3846" max="3846" width="9.42578125" style="187" customWidth="1"/>
    <col min="3847" max="3847" width="11" style="187" customWidth="1"/>
    <col min="3848" max="3848" width="9.28515625" style="187" customWidth="1"/>
    <col min="3849" max="4096" width="11.5703125" style="187"/>
    <col min="4097" max="4097" width="4.28515625" style="187" customWidth="1"/>
    <col min="4098" max="4098" width="10.140625" style="187" customWidth="1"/>
    <col min="4099" max="4099" width="37.7109375" style="187" customWidth="1"/>
    <col min="4100" max="4100" width="9.85546875" style="187" customWidth="1"/>
    <col min="4101" max="4101" width="8.42578125" style="187" customWidth="1"/>
    <col min="4102" max="4102" width="9.42578125" style="187" customWidth="1"/>
    <col min="4103" max="4103" width="11" style="187" customWidth="1"/>
    <col min="4104" max="4104" width="9.28515625" style="187" customWidth="1"/>
    <col min="4105" max="4352" width="11.5703125" style="187"/>
    <col min="4353" max="4353" width="4.28515625" style="187" customWidth="1"/>
    <col min="4354" max="4354" width="10.140625" style="187" customWidth="1"/>
    <col min="4355" max="4355" width="37.7109375" style="187" customWidth="1"/>
    <col min="4356" max="4356" width="9.85546875" style="187" customWidth="1"/>
    <col min="4357" max="4357" width="8.42578125" style="187" customWidth="1"/>
    <col min="4358" max="4358" width="9.42578125" style="187" customWidth="1"/>
    <col min="4359" max="4359" width="11" style="187" customWidth="1"/>
    <col min="4360" max="4360" width="9.28515625" style="187" customWidth="1"/>
    <col min="4361" max="4608" width="11.5703125" style="187"/>
    <col min="4609" max="4609" width="4.28515625" style="187" customWidth="1"/>
    <col min="4610" max="4610" width="10.140625" style="187" customWidth="1"/>
    <col min="4611" max="4611" width="37.7109375" style="187" customWidth="1"/>
    <col min="4612" max="4612" width="9.85546875" style="187" customWidth="1"/>
    <col min="4613" max="4613" width="8.42578125" style="187" customWidth="1"/>
    <col min="4614" max="4614" width="9.42578125" style="187" customWidth="1"/>
    <col min="4615" max="4615" width="11" style="187" customWidth="1"/>
    <col min="4616" max="4616" width="9.28515625" style="187" customWidth="1"/>
    <col min="4617" max="4864" width="11.5703125" style="187"/>
    <col min="4865" max="4865" width="4.28515625" style="187" customWidth="1"/>
    <col min="4866" max="4866" width="10.140625" style="187" customWidth="1"/>
    <col min="4867" max="4867" width="37.7109375" style="187" customWidth="1"/>
    <col min="4868" max="4868" width="9.85546875" style="187" customWidth="1"/>
    <col min="4869" max="4869" width="8.42578125" style="187" customWidth="1"/>
    <col min="4870" max="4870" width="9.42578125" style="187" customWidth="1"/>
    <col min="4871" max="4871" width="11" style="187" customWidth="1"/>
    <col min="4872" max="4872" width="9.28515625" style="187" customWidth="1"/>
    <col min="4873" max="5120" width="11.5703125" style="187"/>
    <col min="5121" max="5121" width="4.28515625" style="187" customWidth="1"/>
    <col min="5122" max="5122" width="10.140625" style="187" customWidth="1"/>
    <col min="5123" max="5123" width="37.7109375" style="187" customWidth="1"/>
    <col min="5124" max="5124" width="9.85546875" style="187" customWidth="1"/>
    <col min="5125" max="5125" width="8.42578125" style="187" customWidth="1"/>
    <col min="5126" max="5126" width="9.42578125" style="187" customWidth="1"/>
    <col min="5127" max="5127" width="11" style="187" customWidth="1"/>
    <col min="5128" max="5128" width="9.28515625" style="187" customWidth="1"/>
    <col min="5129" max="5376" width="11.5703125" style="187"/>
    <col min="5377" max="5377" width="4.28515625" style="187" customWidth="1"/>
    <col min="5378" max="5378" width="10.140625" style="187" customWidth="1"/>
    <col min="5379" max="5379" width="37.7109375" style="187" customWidth="1"/>
    <col min="5380" max="5380" width="9.85546875" style="187" customWidth="1"/>
    <col min="5381" max="5381" width="8.42578125" style="187" customWidth="1"/>
    <col min="5382" max="5382" width="9.42578125" style="187" customWidth="1"/>
    <col min="5383" max="5383" width="11" style="187" customWidth="1"/>
    <col min="5384" max="5384" width="9.28515625" style="187" customWidth="1"/>
    <col min="5385" max="5632" width="11.5703125" style="187"/>
    <col min="5633" max="5633" width="4.28515625" style="187" customWidth="1"/>
    <col min="5634" max="5634" width="10.140625" style="187" customWidth="1"/>
    <col min="5635" max="5635" width="37.7109375" style="187" customWidth="1"/>
    <col min="5636" max="5636" width="9.85546875" style="187" customWidth="1"/>
    <col min="5637" max="5637" width="8.42578125" style="187" customWidth="1"/>
    <col min="5638" max="5638" width="9.42578125" style="187" customWidth="1"/>
    <col min="5639" max="5639" width="11" style="187" customWidth="1"/>
    <col min="5640" max="5640" width="9.28515625" style="187" customWidth="1"/>
    <col min="5641" max="5888" width="11.5703125" style="187"/>
    <col min="5889" max="5889" width="4.28515625" style="187" customWidth="1"/>
    <col min="5890" max="5890" width="10.140625" style="187" customWidth="1"/>
    <col min="5891" max="5891" width="37.7109375" style="187" customWidth="1"/>
    <col min="5892" max="5892" width="9.85546875" style="187" customWidth="1"/>
    <col min="5893" max="5893" width="8.42578125" style="187" customWidth="1"/>
    <col min="5894" max="5894" width="9.42578125" style="187" customWidth="1"/>
    <col min="5895" max="5895" width="11" style="187" customWidth="1"/>
    <col min="5896" max="5896" width="9.28515625" style="187" customWidth="1"/>
    <col min="5897" max="6144" width="11.5703125" style="187"/>
    <col min="6145" max="6145" width="4.28515625" style="187" customWidth="1"/>
    <col min="6146" max="6146" width="10.140625" style="187" customWidth="1"/>
    <col min="6147" max="6147" width="37.7109375" style="187" customWidth="1"/>
    <col min="6148" max="6148" width="9.85546875" style="187" customWidth="1"/>
    <col min="6149" max="6149" width="8.42578125" style="187" customWidth="1"/>
    <col min="6150" max="6150" width="9.42578125" style="187" customWidth="1"/>
    <col min="6151" max="6151" width="11" style="187" customWidth="1"/>
    <col min="6152" max="6152" width="9.28515625" style="187" customWidth="1"/>
    <col min="6153" max="6400" width="11.5703125" style="187"/>
    <col min="6401" max="6401" width="4.28515625" style="187" customWidth="1"/>
    <col min="6402" max="6402" width="10.140625" style="187" customWidth="1"/>
    <col min="6403" max="6403" width="37.7109375" style="187" customWidth="1"/>
    <col min="6404" max="6404" width="9.85546875" style="187" customWidth="1"/>
    <col min="6405" max="6405" width="8.42578125" style="187" customWidth="1"/>
    <col min="6406" max="6406" width="9.42578125" style="187" customWidth="1"/>
    <col min="6407" max="6407" width="11" style="187" customWidth="1"/>
    <col min="6408" max="6408" width="9.28515625" style="187" customWidth="1"/>
    <col min="6409" max="6656" width="11.5703125" style="187"/>
    <col min="6657" max="6657" width="4.28515625" style="187" customWidth="1"/>
    <col min="6658" max="6658" width="10.140625" style="187" customWidth="1"/>
    <col min="6659" max="6659" width="37.7109375" style="187" customWidth="1"/>
    <col min="6660" max="6660" width="9.85546875" style="187" customWidth="1"/>
    <col min="6661" max="6661" width="8.42578125" style="187" customWidth="1"/>
    <col min="6662" max="6662" width="9.42578125" style="187" customWidth="1"/>
    <col min="6663" max="6663" width="11" style="187" customWidth="1"/>
    <col min="6664" max="6664" width="9.28515625" style="187" customWidth="1"/>
    <col min="6665" max="6912" width="11.5703125" style="187"/>
    <col min="6913" max="6913" width="4.28515625" style="187" customWidth="1"/>
    <col min="6914" max="6914" width="10.140625" style="187" customWidth="1"/>
    <col min="6915" max="6915" width="37.7109375" style="187" customWidth="1"/>
    <col min="6916" max="6916" width="9.85546875" style="187" customWidth="1"/>
    <col min="6917" max="6917" width="8.42578125" style="187" customWidth="1"/>
    <col min="6918" max="6918" width="9.42578125" style="187" customWidth="1"/>
    <col min="6919" max="6919" width="11" style="187" customWidth="1"/>
    <col min="6920" max="6920" width="9.28515625" style="187" customWidth="1"/>
    <col min="6921" max="7168" width="11.5703125" style="187"/>
    <col min="7169" max="7169" width="4.28515625" style="187" customWidth="1"/>
    <col min="7170" max="7170" width="10.140625" style="187" customWidth="1"/>
    <col min="7171" max="7171" width="37.7109375" style="187" customWidth="1"/>
    <col min="7172" max="7172" width="9.85546875" style="187" customWidth="1"/>
    <col min="7173" max="7173" width="8.42578125" style="187" customWidth="1"/>
    <col min="7174" max="7174" width="9.42578125" style="187" customWidth="1"/>
    <col min="7175" max="7175" width="11" style="187" customWidth="1"/>
    <col min="7176" max="7176" width="9.28515625" style="187" customWidth="1"/>
    <col min="7177" max="7424" width="11.5703125" style="187"/>
    <col min="7425" max="7425" width="4.28515625" style="187" customWidth="1"/>
    <col min="7426" max="7426" width="10.140625" style="187" customWidth="1"/>
    <col min="7427" max="7427" width="37.7109375" style="187" customWidth="1"/>
    <col min="7428" max="7428" width="9.85546875" style="187" customWidth="1"/>
    <col min="7429" max="7429" width="8.42578125" style="187" customWidth="1"/>
    <col min="7430" max="7430" width="9.42578125" style="187" customWidth="1"/>
    <col min="7431" max="7431" width="11" style="187" customWidth="1"/>
    <col min="7432" max="7432" width="9.28515625" style="187" customWidth="1"/>
    <col min="7433" max="7680" width="11.5703125" style="187"/>
    <col min="7681" max="7681" width="4.28515625" style="187" customWidth="1"/>
    <col min="7682" max="7682" width="10.140625" style="187" customWidth="1"/>
    <col min="7683" max="7683" width="37.7109375" style="187" customWidth="1"/>
    <col min="7684" max="7684" width="9.85546875" style="187" customWidth="1"/>
    <col min="7685" max="7685" width="8.42578125" style="187" customWidth="1"/>
    <col min="7686" max="7686" width="9.42578125" style="187" customWidth="1"/>
    <col min="7687" max="7687" width="11" style="187" customWidth="1"/>
    <col min="7688" max="7688" width="9.28515625" style="187" customWidth="1"/>
    <col min="7689" max="7936" width="11.5703125" style="187"/>
    <col min="7937" max="7937" width="4.28515625" style="187" customWidth="1"/>
    <col min="7938" max="7938" width="10.140625" style="187" customWidth="1"/>
    <col min="7939" max="7939" width="37.7109375" style="187" customWidth="1"/>
    <col min="7940" max="7940" width="9.85546875" style="187" customWidth="1"/>
    <col min="7941" max="7941" width="8.42578125" style="187" customWidth="1"/>
    <col min="7942" max="7942" width="9.42578125" style="187" customWidth="1"/>
    <col min="7943" max="7943" width="11" style="187" customWidth="1"/>
    <col min="7944" max="7944" width="9.28515625" style="187" customWidth="1"/>
    <col min="7945" max="8192" width="11.5703125" style="187"/>
    <col min="8193" max="8193" width="4.28515625" style="187" customWidth="1"/>
    <col min="8194" max="8194" width="10.140625" style="187" customWidth="1"/>
    <col min="8195" max="8195" width="37.7109375" style="187" customWidth="1"/>
    <col min="8196" max="8196" width="9.85546875" style="187" customWidth="1"/>
    <col min="8197" max="8197" width="8.42578125" style="187" customWidth="1"/>
    <col min="8198" max="8198" width="9.42578125" style="187" customWidth="1"/>
    <col min="8199" max="8199" width="11" style="187" customWidth="1"/>
    <col min="8200" max="8200" width="9.28515625" style="187" customWidth="1"/>
    <col min="8201" max="8448" width="11.5703125" style="187"/>
    <col min="8449" max="8449" width="4.28515625" style="187" customWidth="1"/>
    <col min="8450" max="8450" width="10.140625" style="187" customWidth="1"/>
    <col min="8451" max="8451" width="37.7109375" style="187" customWidth="1"/>
    <col min="8452" max="8452" width="9.85546875" style="187" customWidth="1"/>
    <col min="8453" max="8453" width="8.42578125" style="187" customWidth="1"/>
    <col min="8454" max="8454" width="9.42578125" style="187" customWidth="1"/>
    <col min="8455" max="8455" width="11" style="187" customWidth="1"/>
    <col min="8456" max="8456" width="9.28515625" style="187" customWidth="1"/>
    <col min="8457" max="8704" width="11.5703125" style="187"/>
    <col min="8705" max="8705" width="4.28515625" style="187" customWidth="1"/>
    <col min="8706" max="8706" width="10.140625" style="187" customWidth="1"/>
    <col min="8707" max="8707" width="37.7109375" style="187" customWidth="1"/>
    <col min="8708" max="8708" width="9.85546875" style="187" customWidth="1"/>
    <col min="8709" max="8709" width="8.42578125" style="187" customWidth="1"/>
    <col min="8710" max="8710" width="9.42578125" style="187" customWidth="1"/>
    <col min="8711" max="8711" width="11" style="187" customWidth="1"/>
    <col min="8712" max="8712" width="9.28515625" style="187" customWidth="1"/>
    <col min="8713" max="8960" width="11.5703125" style="187"/>
    <col min="8961" max="8961" width="4.28515625" style="187" customWidth="1"/>
    <col min="8962" max="8962" width="10.140625" style="187" customWidth="1"/>
    <col min="8963" max="8963" width="37.7109375" style="187" customWidth="1"/>
    <col min="8964" max="8964" width="9.85546875" style="187" customWidth="1"/>
    <col min="8965" max="8965" width="8.42578125" style="187" customWidth="1"/>
    <col min="8966" max="8966" width="9.42578125" style="187" customWidth="1"/>
    <col min="8967" max="8967" width="11" style="187" customWidth="1"/>
    <col min="8968" max="8968" width="9.28515625" style="187" customWidth="1"/>
    <col min="8969" max="9216" width="11.5703125" style="187"/>
    <col min="9217" max="9217" width="4.28515625" style="187" customWidth="1"/>
    <col min="9218" max="9218" width="10.140625" style="187" customWidth="1"/>
    <col min="9219" max="9219" width="37.7109375" style="187" customWidth="1"/>
    <col min="9220" max="9220" width="9.85546875" style="187" customWidth="1"/>
    <col min="9221" max="9221" width="8.42578125" style="187" customWidth="1"/>
    <col min="9222" max="9222" width="9.42578125" style="187" customWidth="1"/>
    <col min="9223" max="9223" width="11" style="187" customWidth="1"/>
    <col min="9224" max="9224" width="9.28515625" style="187" customWidth="1"/>
    <col min="9225" max="9472" width="11.5703125" style="187"/>
    <col min="9473" max="9473" width="4.28515625" style="187" customWidth="1"/>
    <col min="9474" max="9474" width="10.140625" style="187" customWidth="1"/>
    <col min="9475" max="9475" width="37.7109375" style="187" customWidth="1"/>
    <col min="9476" max="9476" width="9.85546875" style="187" customWidth="1"/>
    <col min="9477" max="9477" width="8.42578125" style="187" customWidth="1"/>
    <col min="9478" max="9478" width="9.42578125" style="187" customWidth="1"/>
    <col min="9479" max="9479" width="11" style="187" customWidth="1"/>
    <col min="9480" max="9480" width="9.28515625" style="187" customWidth="1"/>
    <col min="9481" max="9728" width="11.5703125" style="187"/>
    <col min="9729" max="9729" width="4.28515625" style="187" customWidth="1"/>
    <col min="9730" max="9730" width="10.140625" style="187" customWidth="1"/>
    <col min="9731" max="9731" width="37.7109375" style="187" customWidth="1"/>
    <col min="9732" max="9732" width="9.85546875" style="187" customWidth="1"/>
    <col min="9733" max="9733" width="8.42578125" style="187" customWidth="1"/>
    <col min="9734" max="9734" width="9.42578125" style="187" customWidth="1"/>
    <col min="9735" max="9735" width="11" style="187" customWidth="1"/>
    <col min="9736" max="9736" width="9.28515625" style="187" customWidth="1"/>
    <col min="9737" max="9984" width="11.5703125" style="187"/>
    <col min="9985" max="9985" width="4.28515625" style="187" customWidth="1"/>
    <col min="9986" max="9986" width="10.140625" style="187" customWidth="1"/>
    <col min="9987" max="9987" width="37.7109375" style="187" customWidth="1"/>
    <col min="9988" max="9988" width="9.85546875" style="187" customWidth="1"/>
    <col min="9989" max="9989" width="8.42578125" style="187" customWidth="1"/>
    <col min="9990" max="9990" width="9.42578125" style="187" customWidth="1"/>
    <col min="9991" max="9991" width="11" style="187" customWidth="1"/>
    <col min="9992" max="9992" width="9.28515625" style="187" customWidth="1"/>
    <col min="9993" max="10240" width="11.5703125" style="187"/>
    <col min="10241" max="10241" width="4.28515625" style="187" customWidth="1"/>
    <col min="10242" max="10242" width="10.140625" style="187" customWidth="1"/>
    <col min="10243" max="10243" width="37.7109375" style="187" customWidth="1"/>
    <col min="10244" max="10244" width="9.85546875" style="187" customWidth="1"/>
    <col min="10245" max="10245" width="8.42578125" style="187" customWidth="1"/>
    <col min="10246" max="10246" width="9.42578125" style="187" customWidth="1"/>
    <col min="10247" max="10247" width="11" style="187" customWidth="1"/>
    <col min="10248" max="10248" width="9.28515625" style="187" customWidth="1"/>
    <col min="10249" max="10496" width="11.5703125" style="187"/>
    <col min="10497" max="10497" width="4.28515625" style="187" customWidth="1"/>
    <col min="10498" max="10498" width="10.140625" style="187" customWidth="1"/>
    <col min="10499" max="10499" width="37.7109375" style="187" customWidth="1"/>
    <col min="10500" max="10500" width="9.85546875" style="187" customWidth="1"/>
    <col min="10501" max="10501" width="8.42578125" style="187" customWidth="1"/>
    <col min="10502" max="10502" width="9.42578125" style="187" customWidth="1"/>
    <col min="10503" max="10503" width="11" style="187" customWidth="1"/>
    <col min="10504" max="10504" width="9.28515625" style="187" customWidth="1"/>
    <col min="10505" max="10752" width="11.5703125" style="187"/>
    <col min="10753" max="10753" width="4.28515625" style="187" customWidth="1"/>
    <col min="10754" max="10754" width="10.140625" style="187" customWidth="1"/>
    <col min="10755" max="10755" width="37.7109375" style="187" customWidth="1"/>
    <col min="10756" max="10756" width="9.85546875" style="187" customWidth="1"/>
    <col min="10757" max="10757" width="8.42578125" style="187" customWidth="1"/>
    <col min="10758" max="10758" width="9.42578125" style="187" customWidth="1"/>
    <col min="10759" max="10759" width="11" style="187" customWidth="1"/>
    <col min="10760" max="10760" width="9.28515625" style="187" customWidth="1"/>
    <col min="10761" max="11008" width="11.5703125" style="187"/>
    <col min="11009" max="11009" width="4.28515625" style="187" customWidth="1"/>
    <col min="11010" max="11010" width="10.140625" style="187" customWidth="1"/>
    <col min="11011" max="11011" width="37.7109375" style="187" customWidth="1"/>
    <col min="11012" max="11012" width="9.85546875" style="187" customWidth="1"/>
    <col min="11013" max="11013" width="8.42578125" style="187" customWidth="1"/>
    <col min="11014" max="11014" width="9.42578125" style="187" customWidth="1"/>
    <col min="11015" max="11015" width="11" style="187" customWidth="1"/>
    <col min="11016" max="11016" width="9.28515625" style="187" customWidth="1"/>
    <col min="11017" max="11264" width="11.5703125" style="187"/>
    <col min="11265" max="11265" width="4.28515625" style="187" customWidth="1"/>
    <col min="11266" max="11266" width="10.140625" style="187" customWidth="1"/>
    <col min="11267" max="11267" width="37.7109375" style="187" customWidth="1"/>
    <col min="11268" max="11268" width="9.85546875" style="187" customWidth="1"/>
    <col min="11269" max="11269" width="8.42578125" style="187" customWidth="1"/>
    <col min="11270" max="11270" width="9.42578125" style="187" customWidth="1"/>
    <col min="11271" max="11271" width="11" style="187" customWidth="1"/>
    <col min="11272" max="11272" width="9.28515625" style="187" customWidth="1"/>
    <col min="11273" max="11520" width="11.5703125" style="187"/>
    <col min="11521" max="11521" width="4.28515625" style="187" customWidth="1"/>
    <col min="11522" max="11522" width="10.140625" style="187" customWidth="1"/>
    <col min="11523" max="11523" width="37.7109375" style="187" customWidth="1"/>
    <col min="11524" max="11524" width="9.85546875" style="187" customWidth="1"/>
    <col min="11525" max="11525" width="8.42578125" style="187" customWidth="1"/>
    <col min="11526" max="11526" width="9.42578125" style="187" customWidth="1"/>
    <col min="11527" max="11527" width="11" style="187" customWidth="1"/>
    <col min="11528" max="11528" width="9.28515625" style="187" customWidth="1"/>
    <col min="11529" max="11776" width="11.5703125" style="187"/>
    <col min="11777" max="11777" width="4.28515625" style="187" customWidth="1"/>
    <col min="11778" max="11778" width="10.140625" style="187" customWidth="1"/>
    <col min="11779" max="11779" width="37.7109375" style="187" customWidth="1"/>
    <col min="11780" max="11780" width="9.85546875" style="187" customWidth="1"/>
    <col min="11781" max="11781" width="8.42578125" style="187" customWidth="1"/>
    <col min="11782" max="11782" width="9.42578125" style="187" customWidth="1"/>
    <col min="11783" max="11783" width="11" style="187" customWidth="1"/>
    <col min="11784" max="11784" width="9.28515625" style="187" customWidth="1"/>
    <col min="11785" max="12032" width="11.5703125" style="187"/>
    <col min="12033" max="12033" width="4.28515625" style="187" customWidth="1"/>
    <col min="12034" max="12034" width="10.140625" style="187" customWidth="1"/>
    <col min="12035" max="12035" width="37.7109375" style="187" customWidth="1"/>
    <col min="12036" max="12036" width="9.85546875" style="187" customWidth="1"/>
    <col min="12037" max="12037" width="8.42578125" style="187" customWidth="1"/>
    <col min="12038" max="12038" width="9.42578125" style="187" customWidth="1"/>
    <col min="12039" max="12039" width="11" style="187" customWidth="1"/>
    <col min="12040" max="12040" width="9.28515625" style="187" customWidth="1"/>
    <col min="12041" max="12288" width="11.5703125" style="187"/>
    <col min="12289" max="12289" width="4.28515625" style="187" customWidth="1"/>
    <col min="12290" max="12290" width="10.140625" style="187" customWidth="1"/>
    <col min="12291" max="12291" width="37.7109375" style="187" customWidth="1"/>
    <col min="12292" max="12292" width="9.85546875" style="187" customWidth="1"/>
    <col min="12293" max="12293" width="8.42578125" style="187" customWidth="1"/>
    <col min="12294" max="12294" width="9.42578125" style="187" customWidth="1"/>
    <col min="12295" max="12295" width="11" style="187" customWidth="1"/>
    <col min="12296" max="12296" width="9.28515625" style="187" customWidth="1"/>
    <col min="12297" max="12544" width="11.5703125" style="187"/>
    <col min="12545" max="12545" width="4.28515625" style="187" customWidth="1"/>
    <col min="12546" max="12546" width="10.140625" style="187" customWidth="1"/>
    <col min="12547" max="12547" width="37.7109375" style="187" customWidth="1"/>
    <col min="12548" max="12548" width="9.85546875" style="187" customWidth="1"/>
    <col min="12549" max="12549" width="8.42578125" style="187" customWidth="1"/>
    <col min="12550" max="12550" width="9.42578125" style="187" customWidth="1"/>
    <col min="12551" max="12551" width="11" style="187" customWidth="1"/>
    <col min="12552" max="12552" width="9.28515625" style="187" customWidth="1"/>
    <col min="12553" max="12800" width="11.5703125" style="187"/>
    <col min="12801" max="12801" width="4.28515625" style="187" customWidth="1"/>
    <col min="12802" max="12802" width="10.140625" style="187" customWidth="1"/>
    <col min="12803" max="12803" width="37.7109375" style="187" customWidth="1"/>
    <col min="12804" max="12804" width="9.85546875" style="187" customWidth="1"/>
    <col min="12805" max="12805" width="8.42578125" style="187" customWidth="1"/>
    <col min="12806" max="12806" width="9.42578125" style="187" customWidth="1"/>
    <col min="12807" max="12807" width="11" style="187" customWidth="1"/>
    <col min="12808" max="12808" width="9.28515625" style="187" customWidth="1"/>
    <col min="12809" max="13056" width="11.5703125" style="187"/>
    <col min="13057" max="13057" width="4.28515625" style="187" customWidth="1"/>
    <col min="13058" max="13058" width="10.140625" style="187" customWidth="1"/>
    <col min="13059" max="13059" width="37.7109375" style="187" customWidth="1"/>
    <col min="13060" max="13060" width="9.85546875" style="187" customWidth="1"/>
    <col min="13061" max="13061" width="8.42578125" style="187" customWidth="1"/>
    <col min="13062" max="13062" width="9.42578125" style="187" customWidth="1"/>
    <col min="13063" max="13063" width="11" style="187" customWidth="1"/>
    <col min="13064" max="13064" width="9.28515625" style="187" customWidth="1"/>
    <col min="13065" max="13312" width="11.5703125" style="187"/>
    <col min="13313" max="13313" width="4.28515625" style="187" customWidth="1"/>
    <col min="13314" max="13314" width="10.140625" style="187" customWidth="1"/>
    <col min="13315" max="13315" width="37.7109375" style="187" customWidth="1"/>
    <col min="13316" max="13316" width="9.85546875" style="187" customWidth="1"/>
    <col min="13317" max="13317" width="8.42578125" style="187" customWidth="1"/>
    <col min="13318" max="13318" width="9.42578125" style="187" customWidth="1"/>
    <col min="13319" max="13319" width="11" style="187" customWidth="1"/>
    <col min="13320" max="13320" width="9.28515625" style="187" customWidth="1"/>
    <col min="13321" max="13568" width="11.5703125" style="187"/>
    <col min="13569" max="13569" width="4.28515625" style="187" customWidth="1"/>
    <col min="13570" max="13570" width="10.140625" style="187" customWidth="1"/>
    <col min="13571" max="13571" width="37.7109375" style="187" customWidth="1"/>
    <col min="13572" max="13572" width="9.85546875" style="187" customWidth="1"/>
    <col min="13573" max="13573" width="8.42578125" style="187" customWidth="1"/>
    <col min="13574" max="13574" width="9.42578125" style="187" customWidth="1"/>
    <col min="13575" max="13575" width="11" style="187" customWidth="1"/>
    <col min="13576" max="13576" width="9.28515625" style="187" customWidth="1"/>
    <col min="13577" max="13824" width="11.5703125" style="187"/>
    <col min="13825" max="13825" width="4.28515625" style="187" customWidth="1"/>
    <col min="13826" max="13826" width="10.140625" style="187" customWidth="1"/>
    <col min="13827" max="13827" width="37.7109375" style="187" customWidth="1"/>
    <col min="13828" max="13828" width="9.85546875" style="187" customWidth="1"/>
    <col min="13829" max="13829" width="8.42578125" style="187" customWidth="1"/>
    <col min="13830" max="13830" width="9.42578125" style="187" customWidth="1"/>
    <col min="13831" max="13831" width="11" style="187" customWidth="1"/>
    <col min="13832" max="13832" width="9.28515625" style="187" customWidth="1"/>
    <col min="13833" max="14080" width="11.5703125" style="187"/>
    <col min="14081" max="14081" width="4.28515625" style="187" customWidth="1"/>
    <col min="14082" max="14082" width="10.140625" style="187" customWidth="1"/>
    <col min="14083" max="14083" width="37.7109375" style="187" customWidth="1"/>
    <col min="14084" max="14084" width="9.85546875" style="187" customWidth="1"/>
    <col min="14085" max="14085" width="8.42578125" style="187" customWidth="1"/>
    <col min="14086" max="14086" width="9.42578125" style="187" customWidth="1"/>
    <col min="14087" max="14087" width="11" style="187" customWidth="1"/>
    <col min="14088" max="14088" width="9.28515625" style="187" customWidth="1"/>
    <col min="14089" max="14336" width="11.5703125" style="187"/>
    <col min="14337" max="14337" width="4.28515625" style="187" customWidth="1"/>
    <col min="14338" max="14338" width="10.140625" style="187" customWidth="1"/>
    <col min="14339" max="14339" width="37.7109375" style="187" customWidth="1"/>
    <col min="14340" max="14340" width="9.85546875" style="187" customWidth="1"/>
    <col min="14341" max="14341" width="8.42578125" style="187" customWidth="1"/>
    <col min="14342" max="14342" width="9.42578125" style="187" customWidth="1"/>
    <col min="14343" max="14343" width="11" style="187" customWidth="1"/>
    <col min="14344" max="14344" width="9.28515625" style="187" customWidth="1"/>
    <col min="14345" max="14592" width="11.5703125" style="187"/>
    <col min="14593" max="14593" width="4.28515625" style="187" customWidth="1"/>
    <col min="14594" max="14594" width="10.140625" style="187" customWidth="1"/>
    <col min="14595" max="14595" width="37.7109375" style="187" customWidth="1"/>
    <col min="14596" max="14596" width="9.85546875" style="187" customWidth="1"/>
    <col min="14597" max="14597" width="8.42578125" style="187" customWidth="1"/>
    <col min="14598" max="14598" width="9.42578125" style="187" customWidth="1"/>
    <col min="14599" max="14599" width="11" style="187" customWidth="1"/>
    <col min="14600" max="14600" width="9.28515625" style="187" customWidth="1"/>
    <col min="14601" max="14848" width="11.5703125" style="187"/>
    <col min="14849" max="14849" width="4.28515625" style="187" customWidth="1"/>
    <col min="14850" max="14850" width="10.140625" style="187" customWidth="1"/>
    <col min="14851" max="14851" width="37.7109375" style="187" customWidth="1"/>
    <col min="14852" max="14852" width="9.85546875" style="187" customWidth="1"/>
    <col min="14853" max="14853" width="8.42578125" style="187" customWidth="1"/>
    <col min="14854" max="14854" width="9.42578125" style="187" customWidth="1"/>
    <col min="14855" max="14855" width="11" style="187" customWidth="1"/>
    <col min="14856" max="14856" width="9.28515625" style="187" customWidth="1"/>
    <col min="14857" max="15104" width="11.5703125" style="187"/>
    <col min="15105" max="15105" width="4.28515625" style="187" customWidth="1"/>
    <col min="15106" max="15106" width="10.140625" style="187" customWidth="1"/>
    <col min="15107" max="15107" width="37.7109375" style="187" customWidth="1"/>
    <col min="15108" max="15108" width="9.85546875" style="187" customWidth="1"/>
    <col min="15109" max="15109" width="8.42578125" style="187" customWidth="1"/>
    <col min="15110" max="15110" width="9.42578125" style="187" customWidth="1"/>
    <col min="15111" max="15111" width="11" style="187" customWidth="1"/>
    <col min="15112" max="15112" width="9.28515625" style="187" customWidth="1"/>
    <col min="15113" max="15360" width="11.5703125" style="187"/>
    <col min="15361" max="15361" width="4.28515625" style="187" customWidth="1"/>
    <col min="15362" max="15362" width="10.140625" style="187" customWidth="1"/>
    <col min="15363" max="15363" width="37.7109375" style="187" customWidth="1"/>
    <col min="15364" max="15364" width="9.85546875" style="187" customWidth="1"/>
    <col min="15365" max="15365" width="8.42578125" style="187" customWidth="1"/>
    <col min="15366" max="15366" width="9.42578125" style="187" customWidth="1"/>
    <col min="15367" max="15367" width="11" style="187" customWidth="1"/>
    <col min="15368" max="15368" width="9.28515625" style="187" customWidth="1"/>
    <col min="15369" max="15616" width="11.5703125" style="187"/>
    <col min="15617" max="15617" width="4.28515625" style="187" customWidth="1"/>
    <col min="15618" max="15618" width="10.140625" style="187" customWidth="1"/>
    <col min="15619" max="15619" width="37.7109375" style="187" customWidth="1"/>
    <col min="15620" max="15620" width="9.85546875" style="187" customWidth="1"/>
    <col min="15621" max="15621" width="8.42578125" style="187" customWidth="1"/>
    <col min="15622" max="15622" width="9.42578125" style="187" customWidth="1"/>
    <col min="15623" max="15623" width="11" style="187" customWidth="1"/>
    <col min="15624" max="15624" width="9.28515625" style="187" customWidth="1"/>
    <col min="15625" max="15872" width="11.5703125" style="187"/>
    <col min="15873" max="15873" width="4.28515625" style="187" customWidth="1"/>
    <col min="15874" max="15874" width="10.140625" style="187" customWidth="1"/>
    <col min="15875" max="15875" width="37.7109375" style="187" customWidth="1"/>
    <col min="15876" max="15876" width="9.85546875" style="187" customWidth="1"/>
    <col min="15877" max="15877" width="8.42578125" style="187" customWidth="1"/>
    <col min="15878" max="15878" width="9.42578125" style="187" customWidth="1"/>
    <col min="15879" max="15879" width="11" style="187" customWidth="1"/>
    <col min="15880" max="15880" width="9.28515625" style="187" customWidth="1"/>
    <col min="15881" max="16128" width="11.5703125" style="187"/>
    <col min="16129" max="16129" width="4.28515625" style="187" customWidth="1"/>
    <col min="16130" max="16130" width="10.140625" style="187" customWidth="1"/>
    <col min="16131" max="16131" width="37.7109375" style="187" customWidth="1"/>
    <col min="16132" max="16132" width="9.85546875" style="187" customWidth="1"/>
    <col min="16133" max="16133" width="8.42578125" style="187" customWidth="1"/>
    <col min="16134" max="16134" width="9.42578125" style="187" customWidth="1"/>
    <col min="16135" max="16135" width="11" style="187" customWidth="1"/>
    <col min="16136" max="16136" width="9.28515625" style="187" customWidth="1"/>
    <col min="16137" max="16384" width="11.5703125" style="187"/>
  </cols>
  <sheetData>
    <row r="1" spans="1:9" ht="15.75" customHeight="1" x14ac:dyDescent="0.2">
      <c r="A1" s="2018" t="s">
        <v>5784</v>
      </c>
      <c r="B1" s="2018"/>
      <c r="C1" s="2019"/>
      <c r="D1" s="2020"/>
      <c r="E1" s="2020"/>
      <c r="F1" s="2020"/>
      <c r="G1" s="2020"/>
      <c r="H1" s="186"/>
    </row>
    <row r="2" spans="1:9" ht="15.75" x14ac:dyDescent="0.25">
      <c r="A2" s="2021" t="s">
        <v>5785</v>
      </c>
      <c r="B2" s="2021"/>
      <c r="C2" s="2021"/>
      <c r="D2" s="2021"/>
      <c r="E2" s="2021"/>
      <c r="F2" s="2021"/>
      <c r="G2" s="2021"/>
      <c r="H2" s="188"/>
    </row>
    <row r="3" spans="1:9" x14ac:dyDescent="0.2">
      <c r="A3" s="2022" t="s">
        <v>5786</v>
      </c>
      <c r="B3" s="2022"/>
      <c r="C3" s="2022"/>
      <c r="D3" s="2022"/>
      <c r="E3" s="2022"/>
      <c r="F3" s="2022"/>
      <c r="G3" s="2022"/>
      <c r="H3" s="189"/>
    </row>
    <row r="4" spans="1:9" ht="38.1" customHeight="1" x14ac:dyDescent="0.2">
      <c r="A4" s="2023" t="s">
        <v>5787</v>
      </c>
      <c r="B4" s="2023"/>
      <c r="C4" s="2023"/>
      <c r="D4" s="2023"/>
      <c r="E4" s="2023"/>
      <c r="F4" s="2023"/>
      <c r="G4" s="2023"/>
      <c r="H4" s="190"/>
    </row>
    <row r="5" spans="1:9" ht="19.7" customHeight="1" x14ac:dyDescent="0.2">
      <c r="A5" s="2024" t="s">
        <v>5788</v>
      </c>
      <c r="B5" s="2024"/>
      <c r="C5" s="2024"/>
      <c r="D5" s="2024"/>
      <c r="E5" s="2024"/>
      <c r="F5" s="2024"/>
      <c r="G5" s="2024"/>
      <c r="H5" s="190"/>
    </row>
    <row r="6" spans="1:9" ht="15.75" customHeight="1" x14ac:dyDescent="0.2">
      <c r="A6" s="2028" t="s">
        <v>139</v>
      </c>
      <c r="B6" s="2028"/>
      <c r="C6" s="2034"/>
      <c r="D6" s="2034"/>
      <c r="E6" s="2034"/>
      <c r="F6" s="2034"/>
      <c r="G6" s="2034"/>
      <c r="H6" s="190"/>
    </row>
    <row r="7" spans="1:9" ht="15.75" customHeight="1" x14ac:dyDescent="0.2">
      <c r="A7" s="190"/>
      <c r="B7" s="2026" t="s">
        <v>278</v>
      </c>
      <c r="C7" s="2026"/>
      <c r="D7" s="191">
        <f>G24</f>
        <v>35394.730000000003</v>
      </c>
      <c r="E7" s="192" t="s">
        <v>5688</v>
      </c>
      <c r="F7" s="190"/>
      <c r="G7" s="190"/>
      <c r="H7" s="190"/>
    </row>
    <row r="8" spans="1:9" ht="15" hidden="1" customHeight="1" x14ac:dyDescent="0.2">
      <c r="A8" s="2027" t="s">
        <v>5789</v>
      </c>
      <c r="B8" s="2027"/>
      <c r="C8" s="2027"/>
      <c r="D8" s="2010"/>
      <c r="E8" s="2010"/>
      <c r="F8" s="2010"/>
      <c r="G8" s="2010"/>
      <c r="H8" s="193"/>
    </row>
    <row r="9" spans="1:9" ht="15" hidden="1" customHeight="1" x14ac:dyDescent="0.2">
      <c r="A9" s="189"/>
      <c r="B9" s="189"/>
      <c r="C9" s="189"/>
      <c r="D9" s="2028" t="s">
        <v>5790</v>
      </c>
      <c r="E9" s="2029"/>
      <c r="F9" s="2029"/>
      <c r="G9" s="2029"/>
      <c r="H9" s="194"/>
    </row>
    <row r="10" spans="1:9" ht="15" hidden="1" x14ac:dyDescent="0.2">
      <c r="A10" s="190"/>
      <c r="B10" s="190"/>
      <c r="C10" s="195"/>
      <c r="D10" s="190"/>
      <c r="E10" s="192"/>
      <c r="F10" s="190"/>
      <c r="G10" s="190"/>
      <c r="H10" s="190"/>
    </row>
    <row r="11" spans="1:9" ht="15" hidden="1" customHeight="1" x14ac:dyDescent="0.2">
      <c r="A11" s="2009" t="s">
        <v>5791</v>
      </c>
      <c r="B11" s="2009"/>
      <c r="C11" s="2009"/>
      <c r="D11" s="2010"/>
      <c r="E11" s="2010"/>
      <c r="F11" s="2010"/>
      <c r="G11" s="2010"/>
      <c r="H11" s="196"/>
    </row>
    <row r="12" spans="1:9" ht="15" hidden="1" customHeight="1" x14ac:dyDescent="0.2">
      <c r="A12" s="189"/>
      <c r="B12" s="189"/>
      <c r="C12" s="189"/>
      <c r="D12" s="2028" t="s">
        <v>5790</v>
      </c>
      <c r="E12" s="2029"/>
      <c r="F12" s="2029"/>
      <c r="G12" s="2029"/>
      <c r="H12" s="189"/>
      <c r="I12" s="197"/>
    </row>
    <row r="13" spans="1:9" ht="15" hidden="1" x14ac:dyDescent="0.2">
      <c r="A13" s="190"/>
      <c r="B13" s="190"/>
      <c r="C13" s="195"/>
      <c r="D13" s="190"/>
      <c r="E13" s="192"/>
      <c r="F13" s="190"/>
      <c r="G13" s="190"/>
      <c r="H13" s="190"/>
    </row>
    <row r="14" spans="1:9" ht="15" hidden="1" customHeight="1" x14ac:dyDescent="0.2">
      <c r="A14" s="2009" t="s">
        <v>5792</v>
      </c>
      <c r="B14" s="2009"/>
      <c r="C14" s="2009"/>
      <c r="D14" s="2010"/>
      <c r="E14" s="2010"/>
      <c r="F14" s="2010"/>
      <c r="G14" s="2010"/>
      <c r="H14" s="196"/>
    </row>
    <row r="15" spans="1:9" ht="15" hidden="1" customHeight="1" x14ac:dyDescent="0.2">
      <c r="D15" s="2028" t="s">
        <v>5790</v>
      </c>
      <c r="E15" s="2029"/>
      <c r="F15" s="2029"/>
      <c r="G15" s="2029"/>
      <c r="H15" s="189"/>
    </row>
    <row r="16" spans="1:9" ht="17.100000000000001" customHeight="1" x14ac:dyDescent="0.2">
      <c r="B16" s="2011" t="s">
        <v>5813</v>
      </c>
      <c r="C16" s="2011"/>
      <c r="G16" s="200"/>
      <c r="H16" s="190"/>
    </row>
    <row r="17" spans="1:256" ht="1.35" customHeight="1" x14ac:dyDescent="0.2">
      <c r="A17" s="201"/>
      <c r="B17" s="201"/>
      <c r="C17" s="201"/>
      <c r="D17" s="201"/>
      <c r="E17" s="201"/>
      <c r="G17" s="202"/>
      <c r="H17" s="190"/>
    </row>
    <row r="18" spans="1:256" ht="20.25" customHeight="1" x14ac:dyDescent="0.2">
      <c r="A18" s="2030" t="s">
        <v>5794</v>
      </c>
      <c r="B18" s="2030" t="s">
        <v>5795</v>
      </c>
      <c r="C18" s="2030" t="s">
        <v>5796</v>
      </c>
      <c r="D18" s="2031" t="s">
        <v>5797</v>
      </c>
      <c r="E18" s="2032"/>
      <c r="F18" s="2032"/>
      <c r="G18" s="2032"/>
      <c r="H18" s="2033"/>
    </row>
    <row r="19" spans="1:256" ht="52.35" customHeight="1" x14ac:dyDescent="0.2">
      <c r="A19" s="2013"/>
      <c r="B19" s="2013"/>
      <c r="C19" s="2013"/>
      <c r="D19" s="203" t="s">
        <v>169</v>
      </c>
      <c r="E19" s="204" t="s">
        <v>140</v>
      </c>
      <c r="F19" s="205" t="s">
        <v>5798</v>
      </c>
      <c r="G19" s="206" t="s">
        <v>5799</v>
      </c>
      <c r="H19" s="242" t="s">
        <v>148</v>
      </c>
    </row>
    <row r="20" spans="1:256" ht="14.25" customHeight="1" x14ac:dyDescent="0.2">
      <c r="A20" s="243">
        <v>1</v>
      </c>
      <c r="B20" s="243">
        <v>2</v>
      </c>
      <c r="C20" s="243">
        <v>2</v>
      </c>
      <c r="D20" s="244">
        <v>3</v>
      </c>
      <c r="E20" s="245">
        <v>4</v>
      </c>
      <c r="F20" s="246">
        <v>5</v>
      </c>
      <c r="G20" s="243">
        <v>6</v>
      </c>
      <c r="H20" s="242">
        <v>7</v>
      </c>
    </row>
    <row r="21" spans="1:256" ht="28.15" customHeight="1" x14ac:dyDescent="0.2">
      <c r="A21" s="212" t="s">
        <v>185</v>
      </c>
      <c r="B21" s="212" t="s">
        <v>5800</v>
      </c>
      <c r="C21" s="212" t="s">
        <v>5801</v>
      </c>
      <c r="D21" s="213"/>
      <c r="E21" s="214"/>
      <c r="F21" s="215"/>
      <c r="G21" s="216">
        <f>'[87]ЛСР 09-07-01'!G36</f>
        <v>10704.01</v>
      </c>
      <c r="H21" s="217">
        <f>G21</f>
        <v>10704.01</v>
      </c>
    </row>
    <row r="22" spans="1:256" ht="30.75" customHeight="1" x14ac:dyDescent="0.2">
      <c r="A22" s="212" t="s">
        <v>186</v>
      </c>
      <c r="B22" s="212" t="s">
        <v>5802</v>
      </c>
      <c r="C22" s="212" t="s">
        <v>5803</v>
      </c>
      <c r="D22" s="213"/>
      <c r="E22" s="214"/>
      <c r="F22" s="215"/>
      <c r="G22" s="216">
        <f>'[87]ЛСР 09-07-02'!I32</f>
        <v>2172.73</v>
      </c>
      <c r="H22" s="217">
        <f>E22+F22+G22</f>
        <v>2172.73</v>
      </c>
    </row>
    <row r="23" spans="1:256" ht="30.75" customHeight="1" x14ac:dyDescent="0.2">
      <c r="A23" s="212" t="s">
        <v>187</v>
      </c>
      <c r="B23" s="212" t="s">
        <v>5804</v>
      </c>
      <c r="C23" s="212" t="s">
        <v>5805</v>
      </c>
      <c r="D23" s="213"/>
      <c r="E23" s="214"/>
      <c r="F23" s="215"/>
      <c r="G23" s="216">
        <f>'[87]ЛСР 09-07-03'!G36</f>
        <v>22517.99</v>
      </c>
      <c r="H23" s="217">
        <f>'[87]ЛСР 09-07-03'!G36</f>
        <v>22517.99</v>
      </c>
    </row>
    <row r="24" spans="1:256" ht="17.649999999999999" customHeight="1" x14ac:dyDescent="0.2">
      <c r="A24" s="218"/>
      <c r="B24" s="218"/>
      <c r="C24" s="218" t="s">
        <v>5806</v>
      </c>
      <c r="D24" s="218" t="s">
        <v>143</v>
      </c>
      <c r="E24" s="219"/>
      <c r="F24" s="220"/>
      <c r="G24" s="221">
        <f>G21+G22+G23</f>
        <v>35394.730000000003</v>
      </c>
      <c r="H24" s="221">
        <f>H21+H22+H23</f>
        <v>35394.730000000003</v>
      </c>
    </row>
    <row r="25" spans="1:256" ht="16.350000000000001" hidden="1" customHeight="1" x14ac:dyDescent="0.2">
      <c r="A25" s="218"/>
      <c r="B25" s="218"/>
      <c r="C25" s="218" t="s">
        <v>5807</v>
      </c>
      <c r="D25" s="218"/>
      <c r="E25" s="223"/>
      <c r="F25" s="224"/>
      <c r="G25" s="225"/>
      <c r="H25" s="226"/>
    </row>
    <row r="26" spans="1:256" x14ac:dyDescent="0.2">
      <c r="A26" s="227"/>
      <c r="B26" s="227"/>
      <c r="C26" s="227"/>
      <c r="D26" s="227"/>
      <c r="E26" s="228"/>
      <c r="F26" s="227"/>
      <c r="G26" s="229"/>
    </row>
    <row r="27" spans="1:256" s="227" customFormat="1" ht="12.75" hidden="1" customHeight="1" x14ac:dyDescent="0.2">
      <c r="G27" s="229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  <c r="DZ27" s="187"/>
      <c r="EA27" s="187"/>
      <c r="EB27" s="187"/>
      <c r="EC27" s="187"/>
      <c r="ED27" s="187"/>
      <c r="EE27" s="187"/>
      <c r="EF27" s="187"/>
      <c r="EG27" s="187"/>
      <c r="EH27" s="187"/>
      <c r="EI27" s="187"/>
      <c r="EJ27" s="187"/>
      <c r="EK27" s="187"/>
      <c r="EL27" s="187"/>
      <c r="EM27" s="187"/>
      <c r="EN27" s="187"/>
      <c r="EO27" s="187"/>
      <c r="EP27" s="187"/>
      <c r="EQ27" s="187"/>
      <c r="ER27" s="187"/>
      <c r="ES27" s="187"/>
      <c r="ET27" s="187"/>
      <c r="EU27" s="187"/>
      <c r="EV27" s="187"/>
      <c r="EW27" s="187"/>
      <c r="EX27" s="187"/>
      <c r="EY27" s="187"/>
      <c r="EZ27" s="187"/>
      <c r="FA27" s="187"/>
      <c r="FB27" s="187"/>
      <c r="FC27" s="187"/>
      <c r="FD27" s="187"/>
      <c r="FE27" s="187"/>
      <c r="FF27" s="187"/>
      <c r="FG27" s="187"/>
      <c r="FH27" s="187"/>
      <c r="FI27" s="187"/>
      <c r="FJ27" s="187"/>
      <c r="FK27" s="187"/>
      <c r="FL27" s="187"/>
      <c r="FM27" s="187"/>
      <c r="FN27" s="187"/>
      <c r="FO27" s="187"/>
      <c r="FP27" s="187"/>
      <c r="FQ27" s="187"/>
      <c r="FR27" s="187"/>
      <c r="FS27" s="187"/>
      <c r="FT27" s="187"/>
      <c r="FU27" s="187"/>
      <c r="FV27" s="187"/>
      <c r="FW27" s="187"/>
      <c r="FX27" s="187"/>
      <c r="FY27" s="187"/>
      <c r="FZ27" s="187"/>
      <c r="GA27" s="187"/>
      <c r="GB27" s="187"/>
      <c r="GC27" s="187"/>
      <c r="GD27" s="187"/>
      <c r="GE27" s="187"/>
      <c r="GF27" s="187"/>
      <c r="GG27" s="187"/>
      <c r="GH27" s="187"/>
      <c r="GI27" s="187"/>
      <c r="GJ27" s="187"/>
      <c r="GK27" s="187"/>
      <c r="GL27" s="187"/>
      <c r="GM27" s="187"/>
      <c r="GN27" s="187"/>
      <c r="GO27" s="187"/>
      <c r="GP27" s="187"/>
      <c r="GQ27" s="187"/>
      <c r="GR27" s="187"/>
      <c r="GS27" s="187"/>
      <c r="GT27" s="187"/>
      <c r="GU27" s="187"/>
      <c r="GV27" s="187"/>
      <c r="GW27" s="187"/>
      <c r="GX27" s="187"/>
      <c r="GY27" s="187"/>
      <c r="GZ27" s="187"/>
      <c r="HA27" s="187"/>
      <c r="HB27" s="187"/>
      <c r="HC27" s="187"/>
      <c r="HD27" s="187"/>
      <c r="HE27" s="187"/>
      <c r="HF27" s="187"/>
      <c r="HG27" s="187"/>
      <c r="HH27" s="187"/>
      <c r="HI27" s="187"/>
      <c r="HJ27" s="187"/>
      <c r="HK27" s="187"/>
      <c r="HL27" s="187"/>
      <c r="HM27" s="187"/>
      <c r="HN27" s="187"/>
      <c r="HO27" s="187"/>
      <c r="HP27" s="187"/>
      <c r="HQ27" s="187"/>
      <c r="HR27" s="187"/>
      <c r="HS27" s="187"/>
      <c r="HT27" s="187"/>
      <c r="HU27" s="187"/>
      <c r="HV27" s="187"/>
      <c r="HW27" s="187"/>
      <c r="HX27" s="187"/>
      <c r="HY27" s="187"/>
      <c r="HZ27" s="187"/>
      <c r="IA27" s="187"/>
      <c r="IB27" s="187"/>
      <c r="IC27" s="187"/>
      <c r="ID27" s="187"/>
      <c r="IE27" s="187"/>
      <c r="IF27" s="187"/>
      <c r="IG27" s="187"/>
      <c r="IH27" s="187"/>
      <c r="II27" s="187"/>
      <c r="IJ27" s="187"/>
      <c r="IK27" s="187"/>
      <c r="IL27" s="187"/>
      <c r="IM27" s="187"/>
      <c r="IN27" s="187"/>
      <c r="IO27" s="187"/>
      <c r="IP27" s="187"/>
      <c r="IQ27" s="187"/>
      <c r="IR27" s="187"/>
      <c r="IS27" s="187"/>
      <c r="IT27" s="187"/>
      <c r="IU27" s="187"/>
      <c r="IV27" s="187"/>
    </row>
    <row r="28" spans="1:256" s="227" customFormat="1" ht="12" hidden="1" customHeight="1" x14ac:dyDescent="0.2">
      <c r="A28" s="230"/>
      <c r="B28" s="230"/>
      <c r="C28" s="230"/>
      <c r="D28" s="231"/>
      <c r="E28" s="232"/>
      <c r="F28" s="232"/>
      <c r="G28" s="232"/>
      <c r="H28" s="233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  <c r="FB28" s="187"/>
      <c r="FC28" s="187"/>
      <c r="FD28" s="187"/>
      <c r="FE28" s="187"/>
      <c r="FF28" s="187"/>
      <c r="FG28" s="187"/>
      <c r="FH28" s="187"/>
      <c r="FI28" s="187"/>
      <c r="FJ28" s="187"/>
      <c r="FK28" s="187"/>
      <c r="FL28" s="187"/>
      <c r="FM28" s="187"/>
      <c r="FN28" s="187"/>
      <c r="FO28" s="187"/>
      <c r="FP28" s="187"/>
      <c r="FQ28" s="187"/>
      <c r="FR28" s="187"/>
      <c r="FS28" s="187"/>
      <c r="FT28" s="187"/>
      <c r="FU28" s="187"/>
      <c r="FV28" s="187"/>
      <c r="FW28" s="187"/>
      <c r="FX28" s="187"/>
      <c r="FY28" s="187"/>
      <c r="FZ28" s="187"/>
      <c r="GA28" s="187"/>
      <c r="GB28" s="187"/>
      <c r="GC28" s="187"/>
      <c r="GD28" s="187"/>
      <c r="GE28" s="187"/>
      <c r="GF28" s="187"/>
      <c r="GG28" s="187"/>
      <c r="GH28" s="187"/>
      <c r="GI28" s="187"/>
      <c r="GJ28" s="187"/>
      <c r="GK28" s="187"/>
      <c r="GL28" s="187"/>
      <c r="GM28" s="187"/>
      <c r="GN28" s="187"/>
      <c r="GO28" s="187"/>
      <c r="GP28" s="187"/>
      <c r="GQ28" s="187"/>
      <c r="GR28" s="187"/>
      <c r="GS28" s="187"/>
      <c r="GT28" s="187"/>
      <c r="GU28" s="187"/>
      <c r="GV28" s="187"/>
      <c r="GW28" s="187"/>
      <c r="GX28" s="187"/>
      <c r="GY28" s="187"/>
      <c r="GZ28" s="187"/>
      <c r="HA28" s="187"/>
      <c r="HB28" s="187"/>
      <c r="HC28" s="187"/>
      <c r="HD28" s="187"/>
      <c r="HE28" s="187"/>
      <c r="HF28" s="187"/>
      <c r="HG28" s="187"/>
      <c r="HH28" s="187"/>
      <c r="HI28" s="187"/>
      <c r="HJ28" s="187"/>
      <c r="HK28" s="187"/>
      <c r="HL28" s="187"/>
      <c r="HM28" s="187"/>
      <c r="HN28" s="187"/>
      <c r="HO28" s="187"/>
      <c r="HP28" s="187"/>
      <c r="HQ28" s="187"/>
      <c r="HR28" s="187"/>
      <c r="HS28" s="187"/>
      <c r="HT28" s="187"/>
      <c r="HU28" s="187"/>
      <c r="HV28" s="187"/>
      <c r="HW28" s="187"/>
      <c r="HX28" s="187"/>
      <c r="HY28" s="187"/>
      <c r="HZ28" s="187"/>
      <c r="IA28" s="187"/>
      <c r="IB28" s="187"/>
      <c r="IC28" s="187"/>
      <c r="ID28" s="187"/>
      <c r="IE28" s="187"/>
      <c r="IF28" s="187"/>
      <c r="IG28" s="187"/>
      <c r="IH28" s="187"/>
      <c r="II28" s="187"/>
      <c r="IJ28" s="187"/>
      <c r="IK28" s="187"/>
      <c r="IL28" s="187"/>
      <c r="IM28" s="187"/>
      <c r="IN28" s="187"/>
      <c r="IO28" s="187"/>
      <c r="IP28" s="187"/>
      <c r="IQ28" s="187"/>
      <c r="IR28" s="187"/>
      <c r="IS28" s="187"/>
      <c r="IT28" s="187"/>
      <c r="IU28" s="187"/>
      <c r="IV28" s="187"/>
    </row>
    <row r="29" spans="1:256" s="227" customFormat="1" ht="12.75" hidden="1" customHeight="1" x14ac:dyDescent="0.2"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  <c r="IU29" s="187"/>
      <c r="IV29" s="187"/>
    </row>
    <row r="30" spans="1:256" s="227" customFormat="1" hidden="1" x14ac:dyDescent="0.2">
      <c r="A30" s="2000" t="s">
        <v>5808</v>
      </c>
      <c r="B30" s="2000"/>
      <c r="C30" s="2000"/>
      <c r="D30" s="2001"/>
      <c r="E30" s="2001"/>
      <c r="F30" s="2001"/>
      <c r="G30" s="2001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  <c r="IV30" s="187"/>
    </row>
    <row r="31" spans="1:256" s="227" customFormat="1" ht="12.75" hidden="1" customHeight="1" x14ac:dyDescent="0.2">
      <c r="A31" s="199"/>
      <c r="B31" s="199"/>
      <c r="C31" s="199"/>
      <c r="D31" s="2017" t="s">
        <v>5809</v>
      </c>
      <c r="E31" s="2017"/>
      <c r="F31" s="2017"/>
      <c r="G31" s="201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  <c r="IV31" s="187"/>
    </row>
    <row r="32" spans="1:256" s="227" customFormat="1" ht="12.75" customHeight="1" x14ac:dyDescent="0.2">
      <c r="G32" s="187"/>
      <c r="I32" s="187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</row>
    <row r="33" spans="1:256" s="227" customFormat="1" x14ac:dyDescent="0.2">
      <c r="A33" s="2000" t="s">
        <v>5810</v>
      </c>
      <c r="B33" s="2000"/>
      <c r="C33" s="2000"/>
      <c r="D33" s="2001"/>
      <c r="E33" s="2001"/>
      <c r="F33" s="2001"/>
      <c r="G33" s="2001"/>
      <c r="H33" s="187"/>
      <c r="IR33" s="187"/>
      <c r="IS33" s="187"/>
      <c r="IT33" s="187"/>
      <c r="IU33" s="187"/>
      <c r="IV33" s="187"/>
    </row>
    <row r="34" spans="1:256" s="227" customFormat="1" ht="12.75" customHeight="1" x14ac:dyDescent="0.2">
      <c r="A34" s="234"/>
      <c r="B34" s="234"/>
      <c r="C34" s="234"/>
      <c r="D34" s="2006"/>
      <c r="E34" s="2006"/>
      <c r="F34" s="2006"/>
      <c r="G34" s="2006"/>
      <c r="H34" s="187"/>
      <c r="IR34" s="187"/>
      <c r="IS34" s="187"/>
      <c r="IT34" s="187"/>
      <c r="IU34" s="187"/>
      <c r="IV34" s="187"/>
    </row>
    <row r="35" spans="1:256" s="227" customFormat="1" ht="12.75" customHeight="1" x14ac:dyDescent="0.2">
      <c r="A35" s="199"/>
      <c r="B35" s="199"/>
      <c r="C35" s="199"/>
      <c r="D35" s="199"/>
      <c r="E35" s="199"/>
      <c r="F35" s="199"/>
      <c r="G35" s="235"/>
      <c r="H35" s="187"/>
      <c r="IR35" s="187"/>
      <c r="IS35" s="187"/>
      <c r="IT35" s="187"/>
      <c r="IU35" s="187"/>
      <c r="IV35" s="187"/>
    </row>
    <row r="36" spans="1:256" s="227" customFormat="1" x14ac:dyDescent="0.2">
      <c r="A36" s="2000" t="s">
        <v>5811</v>
      </c>
      <c r="B36" s="2000"/>
      <c r="C36" s="2000"/>
      <c r="D36" s="236"/>
      <c r="E36" s="237" t="s">
        <v>5812</v>
      </c>
      <c r="F36" s="2001"/>
      <c r="G36" s="2001"/>
      <c r="H36" s="187"/>
      <c r="I36" s="187"/>
      <c r="J36" s="187"/>
      <c r="K36" s="229"/>
      <c r="L36" s="229"/>
    </row>
    <row r="37" spans="1:256" s="227" customFormat="1" ht="21" customHeight="1" x14ac:dyDescent="0.2">
      <c r="A37" s="234"/>
      <c r="B37" s="234"/>
      <c r="C37" s="234"/>
      <c r="D37" s="238"/>
      <c r="E37" s="239"/>
      <c r="F37" s="2002"/>
      <c r="G37" s="2003"/>
      <c r="H37" s="187"/>
      <c r="I37" s="187"/>
      <c r="J37" s="187"/>
      <c r="K37" s="229"/>
      <c r="L37" s="229"/>
    </row>
    <row r="38" spans="1:256" s="227" customFormat="1" ht="12.75" customHeight="1" x14ac:dyDescent="0.2">
      <c r="A38" s="2004"/>
      <c r="B38" s="2004"/>
      <c r="C38" s="199"/>
      <c r="D38" s="199"/>
      <c r="E38" s="199"/>
      <c r="F38" s="199"/>
      <c r="G38" s="187"/>
      <c r="H38" s="187"/>
      <c r="I38" s="187"/>
      <c r="J38" s="229"/>
      <c r="K38" s="229"/>
      <c r="IV38" s="187"/>
    </row>
    <row r="39" spans="1:256" s="227" customFormat="1" x14ac:dyDescent="0.2">
      <c r="A39" s="2005"/>
      <c r="B39" s="2005"/>
      <c r="C39" s="192"/>
      <c r="D39" s="192"/>
      <c r="E39" s="192"/>
      <c r="F39" s="192"/>
      <c r="G39" s="192"/>
      <c r="H39" s="240"/>
      <c r="I39" s="241"/>
      <c r="J39" s="241"/>
      <c r="K39" s="229"/>
      <c r="L39" s="229"/>
    </row>
    <row r="40" spans="1:256" s="227" customFormat="1" x14ac:dyDescent="0.2">
      <c r="A40" s="192"/>
      <c r="B40" s="192"/>
      <c r="C40" s="192"/>
      <c r="D40" s="192"/>
      <c r="E40" s="192"/>
      <c r="F40" s="192"/>
      <c r="G40" s="192"/>
      <c r="H40" s="240"/>
      <c r="I40" s="241"/>
      <c r="J40" s="241"/>
      <c r="K40" s="229"/>
      <c r="L40" s="229"/>
    </row>
    <row r="41" spans="1:256" s="227" customFormat="1" x14ac:dyDescent="0.2">
      <c r="A41" s="192"/>
      <c r="B41" s="192"/>
      <c r="C41" s="192"/>
      <c r="D41" s="192"/>
      <c r="E41" s="192"/>
      <c r="F41" s="192"/>
      <c r="G41" s="192"/>
      <c r="H41" s="229"/>
      <c r="I41" s="241"/>
      <c r="J41" s="241"/>
      <c r="K41" s="229"/>
      <c r="L41" s="229"/>
    </row>
    <row r="42" spans="1:256" s="227" customFormat="1" x14ac:dyDescent="0.2">
      <c r="A42" s="192"/>
      <c r="B42" s="192"/>
      <c r="C42" s="192"/>
      <c r="D42" s="192"/>
      <c r="E42" s="192"/>
      <c r="F42" s="192"/>
      <c r="G42" s="192"/>
      <c r="H42" s="240"/>
      <c r="I42" s="241"/>
      <c r="J42" s="241"/>
      <c r="K42" s="229"/>
      <c r="L42" s="229"/>
    </row>
    <row r="43" spans="1:256" s="227" customFormat="1" x14ac:dyDescent="0.2">
      <c r="A43" s="192"/>
      <c r="B43" s="192"/>
      <c r="C43" s="192"/>
      <c r="D43" s="192"/>
      <c r="E43" s="192"/>
      <c r="F43" s="192"/>
      <c r="G43" s="192"/>
      <c r="H43" s="240"/>
      <c r="I43" s="241"/>
      <c r="J43" s="241"/>
      <c r="K43" s="229"/>
      <c r="L43" s="229"/>
    </row>
    <row r="44" spans="1:256" s="227" customFormat="1" x14ac:dyDescent="0.2">
      <c r="A44" s="192"/>
      <c r="B44" s="192"/>
      <c r="C44" s="192"/>
      <c r="D44" s="192"/>
      <c r="E44" s="192"/>
      <c r="F44" s="192"/>
      <c r="G44" s="192"/>
      <c r="H44" s="229"/>
      <c r="I44" s="229"/>
      <c r="IT44" s="187"/>
      <c r="IU44" s="187"/>
      <c r="IV44" s="187"/>
    </row>
    <row r="45" spans="1:256" s="227" customFormat="1" x14ac:dyDescent="0.2">
      <c r="A45" s="192"/>
      <c r="B45" s="192"/>
      <c r="C45" s="192"/>
      <c r="D45" s="192"/>
      <c r="E45" s="192"/>
      <c r="F45" s="192"/>
      <c r="G45" s="192"/>
      <c r="H45" s="187"/>
      <c r="I45" s="241"/>
      <c r="J45" s="241"/>
      <c r="K45" s="229"/>
      <c r="L45" s="229"/>
    </row>
    <row r="46" spans="1:256" x14ac:dyDescent="0.2">
      <c r="G46" s="190"/>
      <c r="I46" s="241"/>
      <c r="J46" s="241"/>
      <c r="K46" s="229"/>
      <c r="L46" s="229"/>
    </row>
    <row r="47" spans="1:256" x14ac:dyDescent="0.2">
      <c r="G47" s="190"/>
      <c r="I47" s="229"/>
    </row>
    <row r="48" spans="1:256" x14ac:dyDescent="0.2">
      <c r="G48" s="190"/>
    </row>
    <row r="49" spans="7:7" x14ac:dyDescent="0.2">
      <c r="G49" s="190"/>
    </row>
    <row r="50" spans="7:7" x14ac:dyDescent="0.2">
      <c r="G50" s="190"/>
    </row>
    <row r="51" spans="7:7" x14ac:dyDescent="0.2">
      <c r="G51" s="190"/>
    </row>
    <row r="52" spans="7:7" x14ac:dyDescent="0.2">
      <c r="G52" s="190"/>
    </row>
  </sheetData>
  <mergeCells count="33">
    <mergeCell ref="A11:C11"/>
    <mergeCell ref="D11:G11"/>
    <mergeCell ref="A1:C1"/>
    <mergeCell ref="D1:G1"/>
    <mergeCell ref="A2:G2"/>
    <mergeCell ref="A3:G3"/>
    <mergeCell ref="A4:G4"/>
    <mergeCell ref="A5:G5"/>
    <mergeCell ref="A6:G6"/>
    <mergeCell ref="B7:C7"/>
    <mergeCell ref="A8:C8"/>
    <mergeCell ref="D8:G8"/>
    <mergeCell ref="D9:G9"/>
    <mergeCell ref="D34:G34"/>
    <mergeCell ref="D12:G12"/>
    <mergeCell ref="A14:C14"/>
    <mergeCell ref="D14:G14"/>
    <mergeCell ref="D15:G15"/>
    <mergeCell ref="B16:C16"/>
    <mergeCell ref="A18:A19"/>
    <mergeCell ref="B18:B19"/>
    <mergeCell ref="C18:C19"/>
    <mergeCell ref="D18:H18"/>
    <mergeCell ref="A30:C30"/>
    <mergeCell ref="D30:G30"/>
    <mergeCell ref="D31:G31"/>
    <mergeCell ref="A33:C33"/>
    <mergeCell ref="D33:G33"/>
    <mergeCell ref="A36:C36"/>
    <mergeCell ref="F36:G36"/>
    <mergeCell ref="F37:G37"/>
    <mergeCell ref="A38:B38"/>
    <mergeCell ref="A39:B39"/>
  </mergeCells>
  <printOptions horizontalCentered="1"/>
  <pageMargins left="0.39374999999999999" right="0.39374999999999999" top="0.59027777777777779" bottom="0.82777777777777772" header="0.51180555555555551" footer="0.59027777777777779"/>
  <pageSetup paperSize="9" firstPageNumber="0" orientation="landscape" horizontalDpi="300" verticalDpi="300" r:id="rId1"/>
  <headerFooter alignWithMargins="0">
    <oddFooter>&amp;C&amp;"Arial,Обычный"Страница &amp;P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J42"/>
  <sheetViews>
    <sheetView workbookViewId="0">
      <selection sqref="A1:B1"/>
    </sheetView>
  </sheetViews>
  <sheetFormatPr defaultColWidth="11.5703125" defaultRowHeight="12.75" x14ac:dyDescent="0.2"/>
  <cols>
    <col min="1" max="1" width="3.5703125" style="124" customWidth="1"/>
    <col min="2" max="2" width="26.5703125" style="124" customWidth="1"/>
    <col min="3" max="3" width="7.5703125" style="124" customWidth="1"/>
    <col min="4" max="4" width="4.85546875" style="124" customWidth="1"/>
    <col min="5" max="5" width="27.5703125" style="124" customWidth="1"/>
    <col min="6" max="6" width="14.42578125" style="124" customWidth="1"/>
    <col min="7" max="7" width="11.5703125" style="124"/>
    <col min="8" max="256" width="11.5703125" style="121"/>
    <col min="257" max="257" width="3.5703125" style="121" customWidth="1"/>
    <col min="258" max="258" width="26.5703125" style="121" customWidth="1"/>
    <col min="259" max="259" width="7.5703125" style="121" customWidth="1"/>
    <col min="260" max="260" width="4.85546875" style="121" customWidth="1"/>
    <col min="261" max="261" width="27.5703125" style="121" customWidth="1"/>
    <col min="262" max="262" width="14.42578125" style="121" customWidth="1"/>
    <col min="263" max="512" width="11.5703125" style="121"/>
    <col min="513" max="513" width="3.5703125" style="121" customWidth="1"/>
    <col min="514" max="514" width="26.5703125" style="121" customWidth="1"/>
    <col min="515" max="515" width="7.5703125" style="121" customWidth="1"/>
    <col min="516" max="516" width="4.85546875" style="121" customWidth="1"/>
    <col min="517" max="517" width="27.5703125" style="121" customWidth="1"/>
    <col min="518" max="518" width="14.42578125" style="121" customWidth="1"/>
    <col min="519" max="768" width="11.5703125" style="121"/>
    <col min="769" max="769" width="3.5703125" style="121" customWidth="1"/>
    <col min="770" max="770" width="26.5703125" style="121" customWidth="1"/>
    <col min="771" max="771" width="7.5703125" style="121" customWidth="1"/>
    <col min="772" max="772" width="4.85546875" style="121" customWidth="1"/>
    <col min="773" max="773" width="27.5703125" style="121" customWidth="1"/>
    <col min="774" max="774" width="14.42578125" style="121" customWidth="1"/>
    <col min="775" max="1024" width="11.5703125" style="121"/>
    <col min="1025" max="1025" width="3.5703125" style="121" customWidth="1"/>
    <col min="1026" max="1026" width="26.5703125" style="121" customWidth="1"/>
    <col min="1027" max="1027" width="7.5703125" style="121" customWidth="1"/>
    <col min="1028" max="1028" width="4.85546875" style="121" customWidth="1"/>
    <col min="1029" max="1029" width="27.5703125" style="121" customWidth="1"/>
    <col min="1030" max="1030" width="14.42578125" style="121" customWidth="1"/>
    <col min="1031" max="1280" width="11.5703125" style="121"/>
    <col min="1281" max="1281" width="3.5703125" style="121" customWidth="1"/>
    <col min="1282" max="1282" width="26.5703125" style="121" customWidth="1"/>
    <col min="1283" max="1283" width="7.5703125" style="121" customWidth="1"/>
    <col min="1284" max="1284" width="4.85546875" style="121" customWidth="1"/>
    <col min="1285" max="1285" width="27.5703125" style="121" customWidth="1"/>
    <col min="1286" max="1286" width="14.42578125" style="121" customWidth="1"/>
    <col min="1287" max="1536" width="11.5703125" style="121"/>
    <col min="1537" max="1537" width="3.5703125" style="121" customWidth="1"/>
    <col min="1538" max="1538" width="26.5703125" style="121" customWidth="1"/>
    <col min="1539" max="1539" width="7.5703125" style="121" customWidth="1"/>
    <col min="1540" max="1540" width="4.85546875" style="121" customWidth="1"/>
    <col min="1541" max="1541" width="27.5703125" style="121" customWidth="1"/>
    <col min="1542" max="1542" width="14.42578125" style="121" customWidth="1"/>
    <col min="1543" max="1792" width="11.5703125" style="121"/>
    <col min="1793" max="1793" width="3.5703125" style="121" customWidth="1"/>
    <col min="1794" max="1794" width="26.5703125" style="121" customWidth="1"/>
    <col min="1795" max="1795" width="7.5703125" style="121" customWidth="1"/>
    <col min="1796" max="1796" width="4.85546875" style="121" customWidth="1"/>
    <col min="1797" max="1797" width="27.5703125" style="121" customWidth="1"/>
    <col min="1798" max="1798" width="14.42578125" style="121" customWidth="1"/>
    <col min="1799" max="2048" width="11.5703125" style="121"/>
    <col min="2049" max="2049" width="3.5703125" style="121" customWidth="1"/>
    <col min="2050" max="2050" width="26.5703125" style="121" customWidth="1"/>
    <col min="2051" max="2051" width="7.5703125" style="121" customWidth="1"/>
    <col min="2052" max="2052" width="4.85546875" style="121" customWidth="1"/>
    <col min="2053" max="2053" width="27.5703125" style="121" customWidth="1"/>
    <col min="2054" max="2054" width="14.42578125" style="121" customWidth="1"/>
    <col min="2055" max="2304" width="11.5703125" style="121"/>
    <col min="2305" max="2305" width="3.5703125" style="121" customWidth="1"/>
    <col min="2306" max="2306" width="26.5703125" style="121" customWidth="1"/>
    <col min="2307" max="2307" width="7.5703125" style="121" customWidth="1"/>
    <col min="2308" max="2308" width="4.85546875" style="121" customWidth="1"/>
    <col min="2309" max="2309" width="27.5703125" style="121" customWidth="1"/>
    <col min="2310" max="2310" width="14.42578125" style="121" customWidth="1"/>
    <col min="2311" max="2560" width="11.5703125" style="121"/>
    <col min="2561" max="2561" width="3.5703125" style="121" customWidth="1"/>
    <col min="2562" max="2562" width="26.5703125" style="121" customWidth="1"/>
    <col min="2563" max="2563" width="7.5703125" style="121" customWidth="1"/>
    <col min="2564" max="2564" width="4.85546875" style="121" customWidth="1"/>
    <col min="2565" max="2565" width="27.5703125" style="121" customWidth="1"/>
    <col min="2566" max="2566" width="14.42578125" style="121" customWidth="1"/>
    <col min="2567" max="2816" width="11.5703125" style="121"/>
    <col min="2817" max="2817" width="3.5703125" style="121" customWidth="1"/>
    <col min="2818" max="2818" width="26.5703125" style="121" customWidth="1"/>
    <col min="2819" max="2819" width="7.5703125" style="121" customWidth="1"/>
    <col min="2820" max="2820" width="4.85546875" style="121" customWidth="1"/>
    <col min="2821" max="2821" width="27.5703125" style="121" customWidth="1"/>
    <col min="2822" max="2822" width="14.42578125" style="121" customWidth="1"/>
    <col min="2823" max="3072" width="11.5703125" style="121"/>
    <col min="3073" max="3073" width="3.5703125" style="121" customWidth="1"/>
    <col min="3074" max="3074" width="26.5703125" style="121" customWidth="1"/>
    <col min="3075" max="3075" width="7.5703125" style="121" customWidth="1"/>
    <col min="3076" max="3076" width="4.85546875" style="121" customWidth="1"/>
    <col min="3077" max="3077" width="27.5703125" style="121" customWidth="1"/>
    <col min="3078" max="3078" width="14.42578125" style="121" customWidth="1"/>
    <col min="3079" max="3328" width="11.5703125" style="121"/>
    <col min="3329" max="3329" width="3.5703125" style="121" customWidth="1"/>
    <col min="3330" max="3330" width="26.5703125" style="121" customWidth="1"/>
    <col min="3331" max="3331" width="7.5703125" style="121" customWidth="1"/>
    <col min="3332" max="3332" width="4.85546875" style="121" customWidth="1"/>
    <col min="3333" max="3333" width="27.5703125" style="121" customWidth="1"/>
    <col min="3334" max="3334" width="14.42578125" style="121" customWidth="1"/>
    <col min="3335" max="3584" width="11.5703125" style="121"/>
    <col min="3585" max="3585" width="3.5703125" style="121" customWidth="1"/>
    <col min="3586" max="3586" width="26.5703125" style="121" customWidth="1"/>
    <col min="3587" max="3587" width="7.5703125" style="121" customWidth="1"/>
    <col min="3588" max="3588" width="4.85546875" style="121" customWidth="1"/>
    <col min="3589" max="3589" width="27.5703125" style="121" customWidth="1"/>
    <col min="3590" max="3590" width="14.42578125" style="121" customWidth="1"/>
    <col min="3591" max="3840" width="11.5703125" style="121"/>
    <col min="3841" max="3841" width="3.5703125" style="121" customWidth="1"/>
    <col min="3842" max="3842" width="26.5703125" style="121" customWidth="1"/>
    <col min="3843" max="3843" width="7.5703125" style="121" customWidth="1"/>
    <col min="3844" max="3844" width="4.85546875" style="121" customWidth="1"/>
    <col min="3845" max="3845" width="27.5703125" style="121" customWidth="1"/>
    <col min="3846" max="3846" width="14.42578125" style="121" customWidth="1"/>
    <col min="3847" max="4096" width="11.5703125" style="121"/>
    <col min="4097" max="4097" width="3.5703125" style="121" customWidth="1"/>
    <col min="4098" max="4098" width="26.5703125" style="121" customWidth="1"/>
    <col min="4099" max="4099" width="7.5703125" style="121" customWidth="1"/>
    <col min="4100" max="4100" width="4.85546875" style="121" customWidth="1"/>
    <col min="4101" max="4101" width="27.5703125" style="121" customWidth="1"/>
    <col min="4102" max="4102" width="14.42578125" style="121" customWidth="1"/>
    <col min="4103" max="4352" width="11.5703125" style="121"/>
    <col min="4353" max="4353" width="3.5703125" style="121" customWidth="1"/>
    <col min="4354" max="4354" width="26.5703125" style="121" customWidth="1"/>
    <col min="4355" max="4355" width="7.5703125" style="121" customWidth="1"/>
    <col min="4356" max="4356" width="4.85546875" style="121" customWidth="1"/>
    <col min="4357" max="4357" width="27.5703125" style="121" customWidth="1"/>
    <col min="4358" max="4358" width="14.42578125" style="121" customWidth="1"/>
    <col min="4359" max="4608" width="11.5703125" style="121"/>
    <col min="4609" max="4609" width="3.5703125" style="121" customWidth="1"/>
    <col min="4610" max="4610" width="26.5703125" style="121" customWidth="1"/>
    <col min="4611" max="4611" width="7.5703125" style="121" customWidth="1"/>
    <col min="4612" max="4612" width="4.85546875" style="121" customWidth="1"/>
    <col min="4613" max="4613" width="27.5703125" style="121" customWidth="1"/>
    <col min="4614" max="4614" width="14.42578125" style="121" customWidth="1"/>
    <col min="4615" max="4864" width="11.5703125" style="121"/>
    <col min="4865" max="4865" width="3.5703125" style="121" customWidth="1"/>
    <col min="4866" max="4866" width="26.5703125" style="121" customWidth="1"/>
    <col min="4867" max="4867" width="7.5703125" style="121" customWidth="1"/>
    <col min="4868" max="4868" width="4.85546875" style="121" customWidth="1"/>
    <col min="4869" max="4869" width="27.5703125" style="121" customWidth="1"/>
    <col min="4870" max="4870" width="14.42578125" style="121" customWidth="1"/>
    <col min="4871" max="5120" width="11.5703125" style="121"/>
    <col min="5121" max="5121" width="3.5703125" style="121" customWidth="1"/>
    <col min="5122" max="5122" width="26.5703125" style="121" customWidth="1"/>
    <col min="5123" max="5123" width="7.5703125" style="121" customWidth="1"/>
    <col min="5124" max="5124" width="4.85546875" style="121" customWidth="1"/>
    <col min="5125" max="5125" width="27.5703125" style="121" customWidth="1"/>
    <col min="5126" max="5126" width="14.42578125" style="121" customWidth="1"/>
    <col min="5127" max="5376" width="11.5703125" style="121"/>
    <col min="5377" max="5377" width="3.5703125" style="121" customWidth="1"/>
    <col min="5378" max="5378" width="26.5703125" style="121" customWidth="1"/>
    <col min="5379" max="5379" width="7.5703125" style="121" customWidth="1"/>
    <col min="5380" max="5380" width="4.85546875" style="121" customWidth="1"/>
    <col min="5381" max="5381" width="27.5703125" style="121" customWidth="1"/>
    <col min="5382" max="5382" width="14.42578125" style="121" customWidth="1"/>
    <col min="5383" max="5632" width="11.5703125" style="121"/>
    <col min="5633" max="5633" width="3.5703125" style="121" customWidth="1"/>
    <col min="5634" max="5634" width="26.5703125" style="121" customWidth="1"/>
    <col min="5635" max="5635" width="7.5703125" style="121" customWidth="1"/>
    <col min="5636" max="5636" width="4.85546875" style="121" customWidth="1"/>
    <col min="5637" max="5637" width="27.5703125" style="121" customWidth="1"/>
    <col min="5638" max="5638" width="14.42578125" style="121" customWidth="1"/>
    <col min="5639" max="5888" width="11.5703125" style="121"/>
    <col min="5889" max="5889" width="3.5703125" style="121" customWidth="1"/>
    <col min="5890" max="5890" width="26.5703125" style="121" customWidth="1"/>
    <col min="5891" max="5891" width="7.5703125" style="121" customWidth="1"/>
    <col min="5892" max="5892" width="4.85546875" style="121" customWidth="1"/>
    <col min="5893" max="5893" width="27.5703125" style="121" customWidth="1"/>
    <col min="5894" max="5894" width="14.42578125" style="121" customWidth="1"/>
    <col min="5895" max="6144" width="11.5703125" style="121"/>
    <col min="6145" max="6145" width="3.5703125" style="121" customWidth="1"/>
    <col min="6146" max="6146" width="26.5703125" style="121" customWidth="1"/>
    <col min="6147" max="6147" width="7.5703125" style="121" customWidth="1"/>
    <col min="6148" max="6148" width="4.85546875" style="121" customWidth="1"/>
    <col min="6149" max="6149" width="27.5703125" style="121" customWidth="1"/>
    <col min="6150" max="6150" width="14.42578125" style="121" customWidth="1"/>
    <col min="6151" max="6400" width="11.5703125" style="121"/>
    <col min="6401" max="6401" width="3.5703125" style="121" customWidth="1"/>
    <col min="6402" max="6402" width="26.5703125" style="121" customWidth="1"/>
    <col min="6403" max="6403" width="7.5703125" style="121" customWidth="1"/>
    <col min="6404" max="6404" width="4.85546875" style="121" customWidth="1"/>
    <col min="6405" max="6405" width="27.5703125" style="121" customWidth="1"/>
    <col min="6406" max="6406" width="14.42578125" style="121" customWidth="1"/>
    <col min="6407" max="6656" width="11.5703125" style="121"/>
    <col min="6657" max="6657" width="3.5703125" style="121" customWidth="1"/>
    <col min="6658" max="6658" width="26.5703125" style="121" customWidth="1"/>
    <col min="6659" max="6659" width="7.5703125" style="121" customWidth="1"/>
    <col min="6660" max="6660" width="4.85546875" style="121" customWidth="1"/>
    <col min="6661" max="6661" width="27.5703125" style="121" customWidth="1"/>
    <col min="6662" max="6662" width="14.42578125" style="121" customWidth="1"/>
    <col min="6663" max="6912" width="11.5703125" style="121"/>
    <col min="6913" max="6913" width="3.5703125" style="121" customWidth="1"/>
    <col min="6914" max="6914" width="26.5703125" style="121" customWidth="1"/>
    <col min="6915" max="6915" width="7.5703125" style="121" customWidth="1"/>
    <col min="6916" max="6916" width="4.85546875" style="121" customWidth="1"/>
    <col min="6917" max="6917" width="27.5703125" style="121" customWidth="1"/>
    <col min="6918" max="6918" width="14.42578125" style="121" customWidth="1"/>
    <col min="6919" max="7168" width="11.5703125" style="121"/>
    <col min="7169" max="7169" width="3.5703125" style="121" customWidth="1"/>
    <col min="7170" max="7170" width="26.5703125" style="121" customWidth="1"/>
    <col min="7171" max="7171" width="7.5703125" style="121" customWidth="1"/>
    <col min="7172" max="7172" width="4.85546875" style="121" customWidth="1"/>
    <col min="7173" max="7173" width="27.5703125" style="121" customWidth="1"/>
    <col min="7174" max="7174" width="14.42578125" style="121" customWidth="1"/>
    <col min="7175" max="7424" width="11.5703125" style="121"/>
    <col min="7425" max="7425" width="3.5703125" style="121" customWidth="1"/>
    <col min="7426" max="7426" width="26.5703125" style="121" customWidth="1"/>
    <col min="7427" max="7427" width="7.5703125" style="121" customWidth="1"/>
    <col min="7428" max="7428" width="4.85546875" style="121" customWidth="1"/>
    <col min="7429" max="7429" width="27.5703125" style="121" customWidth="1"/>
    <col min="7430" max="7430" width="14.42578125" style="121" customWidth="1"/>
    <col min="7431" max="7680" width="11.5703125" style="121"/>
    <col min="7681" max="7681" width="3.5703125" style="121" customWidth="1"/>
    <col min="7682" max="7682" width="26.5703125" style="121" customWidth="1"/>
    <col min="7683" max="7683" width="7.5703125" style="121" customWidth="1"/>
    <col min="7684" max="7684" width="4.85546875" style="121" customWidth="1"/>
    <col min="7685" max="7685" width="27.5703125" style="121" customWidth="1"/>
    <col min="7686" max="7686" width="14.42578125" style="121" customWidth="1"/>
    <col min="7687" max="7936" width="11.5703125" style="121"/>
    <col min="7937" max="7937" width="3.5703125" style="121" customWidth="1"/>
    <col min="7938" max="7938" width="26.5703125" style="121" customWidth="1"/>
    <col min="7939" max="7939" width="7.5703125" style="121" customWidth="1"/>
    <col min="7940" max="7940" width="4.85546875" style="121" customWidth="1"/>
    <col min="7941" max="7941" width="27.5703125" style="121" customWidth="1"/>
    <col min="7942" max="7942" width="14.42578125" style="121" customWidth="1"/>
    <col min="7943" max="8192" width="11.5703125" style="121"/>
    <col min="8193" max="8193" width="3.5703125" style="121" customWidth="1"/>
    <col min="8194" max="8194" width="26.5703125" style="121" customWidth="1"/>
    <col min="8195" max="8195" width="7.5703125" style="121" customWidth="1"/>
    <col min="8196" max="8196" width="4.85546875" style="121" customWidth="1"/>
    <col min="8197" max="8197" width="27.5703125" style="121" customWidth="1"/>
    <col min="8198" max="8198" width="14.42578125" style="121" customWidth="1"/>
    <col min="8199" max="8448" width="11.5703125" style="121"/>
    <col min="8449" max="8449" width="3.5703125" style="121" customWidth="1"/>
    <col min="8450" max="8450" width="26.5703125" style="121" customWidth="1"/>
    <col min="8451" max="8451" width="7.5703125" style="121" customWidth="1"/>
    <col min="8452" max="8452" width="4.85546875" style="121" customWidth="1"/>
    <col min="8453" max="8453" width="27.5703125" style="121" customWidth="1"/>
    <col min="8454" max="8454" width="14.42578125" style="121" customWidth="1"/>
    <col min="8455" max="8704" width="11.5703125" style="121"/>
    <col min="8705" max="8705" width="3.5703125" style="121" customWidth="1"/>
    <col min="8706" max="8706" width="26.5703125" style="121" customWidth="1"/>
    <col min="8707" max="8707" width="7.5703125" style="121" customWidth="1"/>
    <col min="8708" max="8708" width="4.85546875" style="121" customWidth="1"/>
    <col min="8709" max="8709" width="27.5703125" style="121" customWidth="1"/>
    <col min="8710" max="8710" width="14.42578125" style="121" customWidth="1"/>
    <col min="8711" max="8960" width="11.5703125" style="121"/>
    <col min="8961" max="8961" width="3.5703125" style="121" customWidth="1"/>
    <col min="8962" max="8962" width="26.5703125" style="121" customWidth="1"/>
    <col min="8963" max="8963" width="7.5703125" style="121" customWidth="1"/>
    <col min="8964" max="8964" width="4.85546875" style="121" customWidth="1"/>
    <col min="8965" max="8965" width="27.5703125" style="121" customWidth="1"/>
    <col min="8966" max="8966" width="14.42578125" style="121" customWidth="1"/>
    <col min="8967" max="9216" width="11.5703125" style="121"/>
    <col min="9217" max="9217" width="3.5703125" style="121" customWidth="1"/>
    <col min="9218" max="9218" width="26.5703125" style="121" customWidth="1"/>
    <col min="9219" max="9219" width="7.5703125" style="121" customWidth="1"/>
    <col min="9220" max="9220" width="4.85546875" style="121" customWidth="1"/>
    <col min="9221" max="9221" width="27.5703125" style="121" customWidth="1"/>
    <col min="9222" max="9222" width="14.42578125" style="121" customWidth="1"/>
    <col min="9223" max="9472" width="11.5703125" style="121"/>
    <col min="9473" max="9473" width="3.5703125" style="121" customWidth="1"/>
    <col min="9474" max="9474" width="26.5703125" style="121" customWidth="1"/>
    <col min="9475" max="9475" width="7.5703125" style="121" customWidth="1"/>
    <col min="9476" max="9476" width="4.85546875" style="121" customWidth="1"/>
    <col min="9477" max="9477" width="27.5703125" style="121" customWidth="1"/>
    <col min="9478" max="9478" width="14.42578125" style="121" customWidth="1"/>
    <col min="9479" max="9728" width="11.5703125" style="121"/>
    <col min="9729" max="9729" width="3.5703125" style="121" customWidth="1"/>
    <col min="9730" max="9730" width="26.5703125" style="121" customWidth="1"/>
    <col min="9731" max="9731" width="7.5703125" style="121" customWidth="1"/>
    <col min="9732" max="9732" width="4.85546875" style="121" customWidth="1"/>
    <col min="9733" max="9733" width="27.5703125" style="121" customWidth="1"/>
    <col min="9734" max="9734" width="14.42578125" style="121" customWidth="1"/>
    <col min="9735" max="9984" width="11.5703125" style="121"/>
    <col min="9985" max="9985" width="3.5703125" style="121" customWidth="1"/>
    <col min="9986" max="9986" width="26.5703125" style="121" customWidth="1"/>
    <col min="9987" max="9987" width="7.5703125" style="121" customWidth="1"/>
    <col min="9988" max="9988" width="4.85546875" style="121" customWidth="1"/>
    <col min="9989" max="9989" width="27.5703125" style="121" customWidth="1"/>
    <col min="9990" max="9990" width="14.42578125" style="121" customWidth="1"/>
    <col min="9991" max="10240" width="11.5703125" style="121"/>
    <col min="10241" max="10241" width="3.5703125" style="121" customWidth="1"/>
    <col min="10242" max="10242" width="26.5703125" style="121" customWidth="1"/>
    <col min="10243" max="10243" width="7.5703125" style="121" customWidth="1"/>
    <col min="10244" max="10244" width="4.85546875" style="121" customWidth="1"/>
    <col min="10245" max="10245" width="27.5703125" style="121" customWidth="1"/>
    <col min="10246" max="10246" width="14.42578125" style="121" customWidth="1"/>
    <col min="10247" max="10496" width="11.5703125" style="121"/>
    <col min="10497" max="10497" width="3.5703125" style="121" customWidth="1"/>
    <col min="10498" max="10498" width="26.5703125" style="121" customWidth="1"/>
    <col min="10499" max="10499" width="7.5703125" style="121" customWidth="1"/>
    <col min="10500" max="10500" width="4.85546875" style="121" customWidth="1"/>
    <col min="10501" max="10501" width="27.5703125" style="121" customWidth="1"/>
    <col min="10502" max="10502" width="14.42578125" style="121" customWidth="1"/>
    <col min="10503" max="10752" width="11.5703125" style="121"/>
    <col min="10753" max="10753" width="3.5703125" style="121" customWidth="1"/>
    <col min="10754" max="10754" width="26.5703125" style="121" customWidth="1"/>
    <col min="10755" max="10755" width="7.5703125" style="121" customWidth="1"/>
    <col min="10756" max="10756" width="4.85546875" style="121" customWidth="1"/>
    <col min="10757" max="10757" width="27.5703125" style="121" customWidth="1"/>
    <col min="10758" max="10758" width="14.42578125" style="121" customWidth="1"/>
    <col min="10759" max="11008" width="11.5703125" style="121"/>
    <col min="11009" max="11009" width="3.5703125" style="121" customWidth="1"/>
    <col min="11010" max="11010" width="26.5703125" style="121" customWidth="1"/>
    <col min="11011" max="11011" width="7.5703125" style="121" customWidth="1"/>
    <col min="11012" max="11012" width="4.85546875" style="121" customWidth="1"/>
    <col min="11013" max="11013" width="27.5703125" style="121" customWidth="1"/>
    <col min="11014" max="11014" width="14.42578125" style="121" customWidth="1"/>
    <col min="11015" max="11264" width="11.5703125" style="121"/>
    <col min="11265" max="11265" width="3.5703125" style="121" customWidth="1"/>
    <col min="11266" max="11266" width="26.5703125" style="121" customWidth="1"/>
    <col min="11267" max="11267" width="7.5703125" style="121" customWidth="1"/>
    <col min="11268" max="11268" width="4.85546875" style="121" customWidth="1"/>
    <col min="11269" max="11269" width="27.5703125" style="121" customWidth="1"/>
    <col min="11270" max="11270" width="14.42578125" style="121" customWidth="1"/>
    <col min="11271" max="11520" width="11.5703125" style="121"/>
    <col min="11521" max="11521" width="3.5703125" style="121" customWidth="1"/>
    <col min="11522" max="11522" width="26.5703125" style="121" customWidth="1"/>
    <col min="11523" max="11523" width="7.5703125" style="121" customWidth="1"/>
    <col min="11524" max="11524" width="4.85546875" style="121" customWidth="1"/>
    <col min="11525" max="11525" width="27.5703125" style="121" customWidth="1"/>
    <col min="11526" max="11526" width="14.42578125" style="121" customWidth="1"/>
    <col min="11527" max="11776" width="11.5703125" style="121"/>
    <col min="11777" max="11777" width="3.5703125" style="121" customWidth="1"/>
    <col min="11778" max="11778" width="26.5703125" style="121" customWidth="1"/>
    <col min="11779" max="11779" width="7.5703125" style="121" customWidth="1"/>
    <col min="11780" max="11780" width="4.85546875" style="121" customWidth="1"/>
    <col min="11781" max="11781" width="27.5703125" style="121" customWidth="1"/>
    <col min="11782" max="11782" width="14.42578125" style="121" customWidth="1"/>
    <col min="11783" max="12032" width="11.5703125" style="121"/>
    <col min="12033" max="12033" width="3.5703125" style="121" customWidth="1"/>
    <col min="12034" max="12034" width="26.5703125" style="121" customWidth="1"/>
    <col min="12035" max="12035" width="7.5703125" style="121" customWidth="1"/>
    <col min="12036" max="12036" width="4.85546875" style="121" customWidth="1"/>
    <col min="12037" max="12037" width="27.5703125" style="121" customWidth="1"/>
    <col min="12038" max="12038" width="14.42578125" style="121" customWidth="1"/>
    <col min="12039" max="12288" width="11.5703125" style="121"/>
    <col min="12289" max="12289" width="3.5703125" style="121" customWidth="1"/>
    <col min="12290" max="12290" width="26.5703125" style="121" customWidth="1"/>
    <col min="12291" max="12291" width="7.5703125" style="121" customWidth="1"/>
    <col min="12292" max="12292" width="4.85546875" style="121" customWidth="1"/>
    <col min="12293" max="12293" width="27.5703125" style="121" customWidth="1"/>
    <col min="12294" max="12294" width="14.42578125" style="121" customWidth="1"/>
    <col min="12295" max="12544" width="11.5703125" style="121"/>
    <col min="12545" max="12545" width="3.5703125" style="121" customWidth="1"/>
    <col min="12546" max="12546" width="26.5703125" style="121" customWidth="1"/>
    <col min="12547" max="12547" width="7.5703125" style="121" customWidth="1"/>
    <col min="12548" max="12548" width="4.85546875" style="121" customWidth="1"/>
    <col min="12549" max="12549" width="27.5703125" style="121" customWidth="1"/>
    <col min="12550" max="12550" width="14.42578125" style="121" customWidth="1"/>
    <col min="12551" max="12800" width="11.5703125" style="121"/>
    <col min="12801" max="12801" width="3.5703125" style="121" customWidth="1"/>
    <col min="12802" max="12802" width="26.5703125" style="121" customWidth="1"/>
    <col min="12803" max="12803" width="7.5703125" style="121" customWidth="1"/>
    <col min="12804" max="12804" width="4.85546875" style="121" customWidth="1"/>
    <col min="12805" max="12805" width="27.5703125" style="121" customWidth="1"/>
    <col min="12806" max="12806" width="14.42578125" style="121" customWidth="1"/>
    <col min="12807" max="13056" width="11.5703125" style="121"/>
    <col min="13057" max="13057" width="3.5703125" style="121" customWidth="1"/>
    <col min="13058" max="13058" width="26.5703125" style="121" customWidth="1"/>
    <col min="13059" max="13059" width="7.5703125" style="121" customWidth="1"/>
    <col min="13060" max="13060" width="4.85546875" style="121" customWidth="1"/>
    <col min="13061" max="13061" width="27.5703125" style="121" customWidth="1"/>
    <col min="13062" max="13062" width="14.42578125" style="121" customWidth="1"/>
    <col min="13063" max="13312" width="11.5703125" style="121"/>
    <col min="13313" max="13313" width="3.5703125" style="121" customWidth="1"/>
    <col min="13314" max="13314" width="26.5703125" style="121" customWidth="1"/>
    <col min="13315" max="13315" width="7.5703125" style="121" customWidth="1"/>
    <col min="13316" max="13316" width="4.85546875" style="121" customWidth="1"/>
    <col min="13317" max="13317" width="27.5703125" style="121" customWidth="1"/>
    <col min="13318" max="13318" width="14.42578125" style="121" customWidth="1"/>
    <col min="13319" max="13568" width="11.5703125" style="121"/>
    <col min="13569" max="13569" width="3.5703125" style="121" customWidth="1"/>
    <col min="13570" max="13570" width="26.5703125" style="121" customWidth="1"/>
    <col min="13571" max="13571" width="7.5703125" style="121" customWidth="1"/>
    <col min="13572" max="13572" width="4.85546875" style="121" customWidth="1"/>
    <col min="13573" max="13573" width="27.5703125" style="121" customWidth="1"/>
    <col min="13574" max="13574" width="14.42578125" style="121" customWidth="1"/>
    <col min="13575" max="13824" width="11.5703125" style="121"/>
    <col min="13825" max="13825" width="3.5703125" style="121" customWidth="1"/>
    <col min="13826" max="13826" width="26.5703125" style="121" customWidth="1"/>
    <col min="13827" max="13827" width="7.5703125" style="121" customWidth="1"/>
    <col min="13828" max="13828" width="4.85546875" style="121" customWidth="1"/>
    <col min="13829" max="13829" width="27.5703125" style="121" customWidth="1"/>
    <col min="13830" max="13830" width="14.42578125" style="121" customWidth="1"/>
    <col min="13831" max="14080" width="11.5703125" style="121"/>
    <col min="14081" max="14081" width="3.5703125" style="121" customWidth="1"/>
    <col min="14082" max="14082" width="26.5703125" style="121" customWidth="1"/>
    <col min="14083" max="14083" width="7.5703125" style="121" customWidth="1"/>
    <col min="14084" max="14084" width="4.85546875" style="121" customWidth="1"/>
    <col min="14085" max="14085" width="27.5703125" style="121" customWidth="1"/>
    <col min="14086" max="14086" width="14.42578125" style="121" customWidth="1"/>
    <col min="14087" max="14336" width="11.5703125" style="121"/>
    <col min="14337" max="14337" width="3.5703125" style="121" customWidth="1"/>
    <col min="14338" max="14338" width="26.5703125" style="121" customWidth="1"/>
    <col min="14339" max="14339" width="7.5703125" style="121" customWidth="1"/>
    <col min="14340" max="14340" width="4.85546875" style="121" customWidth="1"/>
    <col min="14341" max="14341" width="27.5703125" style="121" customWidth="1"/>
    <col min="14342" max="14342" width="14.42578125" style="121" customWidth="1"/>
    <col min="14343" max="14592" width="11.5703125" style="121"/>
    <col min="14593" max="14593" width="3.5703125" style="121" customWidth="1"/>
    <col min="14594" max="14594" width="26.5703125" style="121" customWidth="1"/>
    <col min="14595" max="14595" width="7.5703125" style="121" customWidth="1"/>
    <col min="14596" max="14596" width="4.85546875" style="121" customWidth="1"/>
    <col min="14597" max="14597" width="27.5703125" style="121" customWidth="1"/>
    <col min="14598" max="14598" width="14.42578125" style="121" customWidth="1"/>
    <col min="14599" max="14848" width="11.5703125" style="121"/>
    <col min="14849" max="14849" width="3.5703125" style="121" customWidth="1"/>
    <col min="14850" max="14850" width="26.5703125" style="121" customWidth="1"/>
    <col min="14851" max="14851" width="7.5703125" style="121" customWidth="1"/>
    <col min="14852" max="14852" width="4.85546875" style="121" customWidth="1"/>
    <col min="14853" max="14853" width="27.5703125" style="121" customWidth="1"/>
    <col min="14854" max="14854" width="14.42578125" style="121" customWidth="1"/>
    <col min="14855" max="15104" width="11.5703125" style="121"/>
    <col min="15105" max="15105" width="3.5703125" style="121" customWidth="1"/>
    <col min="15106" max="15106" width="26.5703125" style="121" customWidth="1"/>
    <col min="15107" max="15107" width="7.5703125" style="121" customWidth="1"/>
    <col min="15108" max="15108" width="4.85546875" style="121" customWidth="1"/>
    <col min="15109" max="15109" width="27.5703125" style="121" customWidth="1"/>
    <col min="15110" max="15110" width="14.42578125" style="121" customWidth="1"/>
    <col min="15111" max="15360" width="11.5703125" style="121"/>
    <col min="15361" max="15361" width="3.5703125" style="121" customWidth="1"/>
    <col min="15362" max="15362" width="26.5703125" style="121" customWidth="1"/>
    <col min="15363" max="15363" width="7.5703125" style="121" customWidth="1"/>
    <col min="15364" max="15364" width="4.85546875" style="121" customWidth="1"/>
    <col min="15365" max="15365" width="27.5703125" style="121" customWidth="1"/>
    <col min="15366" max="15366" width="14.42578125" style="121" customWidth="1"/>
    <col min="15367" max="15616" width="11.5703125" style="121"/>
    <col min="15617" max="15617" width="3.5703125" style="121" customWidth="1"/>
    <col min="15618" max="15618" width="26.5703125" style="121" customWidth="1"/>
    <col min="15619" max="15619" width="7.5703125" style="121" customWidth="1"/>
    <col min="15620" max="15620" width="4.85546875" style="121" customWidth="1"/>
    <col min="15621" max="15621" width="27.5703125" style="121" customWidth="1"/>
    <col min="15622" max="15622" width="14.42578125" style="121" customWidth="1"/>
    <col min="15623" max="15872" width="11.5703125" style="121"/>
    <col min="15873" max="15873" width="3.5703125" style="121" customWidth="1"/>
    <col min="15874" max="15874" width="26.5703125" style="121" customWidth="1"/>
    <col min="15875" max="15875" width="7.5703125" style="121" customWidth="1"/>
    <col min="15876" max="15876" width="4.85546875" style="121" customWidth="1"/>
    <col min="15877" max="15877" width="27.5703125" style="121" customWidth="1"/>
    <col min="15878" max="15878" width="14.42578125" style="121" customWidth="1"/>
    <col min="15879" max="16128" width="11.5703125" style="121"/>
    <col min="16129" max="16129" width="3.5703125" style="121" customWidth="1"/>
    <col min="16130" max="16130" width="26.5703125" style="121" customWidth="1"/>
    <col min="16131" max="16131" width="7.5703125" style="121" customWidth="1"/>
    <col min="16132" max="16132" width="4.85546875" style="121" customWidth="1"/>
    <col min="16133" max="16133" width="27.5703125" style="121" customWidth="1"/>
    <col min="16134" max="16134" width="14.42578125" style="121" customWidth="1"/>
    <col min="16135" max="16384" width="11.5703125" style="121"/>
  </cols>
  <sheetData>
    <row r="1" spans="1:7" ht="24.2" customHeight="1" x14ac:dyDescent="0.2">
      <c r="A1" s="2070" t="s">
        <v>5814</v>
      </c>
      <c r="B1" s="2070"/>
      <c r="C1" s="2071" t="s">
        <v>560</v>
      </c>
      <c r="D1" s="2071"/>
      <c r="E1" s="2071"/>
      <c r="F1" s="2071"/>
      <c r="G1" s="2071"/>
    </row>
    <row r="2" spans="1:7" x14ac:dyDescent="0.2">
      <c r="A2" s="122"/>
      <c r="B2" s="122"/>
      <c r="C2" s="123"/>
      <c r="D2" s="123"/>
      <c r="E2" s="123"/>
      <c r="F2" s="123"/>
      <c r="G2" s="123"/>
    </row>
    <row r="3" spans="1:7" x14ac:dyDescent="0.2">
      <c r="A3" s="122"/>
      <c r="B3" s="122"/>
      <c r="C3" s="123"/>
      <c r="D3" s="123"/>
      <c r="E3" s="123"/>
      <c r="F3" s="123"/>
      <c r="G3" s="123"/>
    </row>
    <row r="4" spans="1:7" x14ac:dyDescent="0.2">
      <c r="B4" s="2072" t="s">
        <v>5815</v>
      </c>
      <c r="C4" s="2072"/>
      <c r="D4" s="2072"/>
      <c r="E4" s="2072"/>
      <c r="F4" s="2072"/>
    </row>
    <row r="5" spans="1:7" x14ac:dyDescent="0.2">
      <c r="B5" s="2073" t="s">
        <v>5816</v>
      </c>
      <c r="C5" s="2073"/>
      <c r="D5" s="2073"/>
      <c r="E5" s="2073"/>
      <c r="F5" s="2073"/>
    </row>
    <row r="6" spans="1:7" x14ac:dyDescent="0.2">
      <c r="C6" s="247"/>
      <c r="D6" s="247"/>
      <c r="E6" s="247"/>
    </row>
    <row r="7" spans="1:7" ht="51" customHeight="1" x14ac:dyDescent="0.2">
      <c r="A7" s="2036" t="s">
        <v>561</v>
      </c>
      <c r="B7" s="2036"/>
      <c r="C7" s="2036"/>
      <c r="D7" s="2059" t="s">
        <v>5817</v>
      </c>
      <c r="E7" s="2059"/>
      <c r="F7" s="2059"/>
      <c r="G7" s="2059"/>
    </row>
    <row r="8" spans="1:7" x14ac:dyDescent="0.2">
      <c r="A8" s="126"/>
      <c r="B8" s="126"/>
      <c r="C8" s="127"/>
      <c r="D8" s="128"/>
      <c r="E8" s="128"/>
      <c r="F8" s="128"/>
      <c r="G8" s="128"/>
    </row>
    <row r="9" spans="1:7" x14ac:dyDescent="0.2">
      <c r="A9" s="2036" t="s">
        <v>562</v>
      </c>
      <c r="B9" s="2036"/>
      <c r="C9" s="2036"/>
      <c r="D9" s="2059" t="s">
        <v>5818</v>
      </c>
      <c r="E9" s="2059"/>
      <c r="F9" s="2059"/>
      <c r="G9" s="2059"/>
    </row>
    <row r="10" spans="1:7" x14ac:dyDescent="0.2">
      <c r="D10" s="2059"/>
      <c r="E10" s="2059"/>
      <c r="F10" s="2059"/>
      <c r="G10" s="2059"/>
    </row>
    <row r="11" spans="1:7" ht="13.7" customHeight="1" x14ac:dyDescent="0.2">
      <c r="A11" s="2036" t="s">
        <v>564</v>
      </c>
      <c r="B11" s="2036"/>
      <c r="C11" s="2036"/>
      <c r="D11" s="2059" t="s">
        <v>565</v>
      </c>
      <c r="E11" s="2059"/>
      <c r="F11" s="2059"/>
      <c r="G11" s="2059"/>
    </row>
    <row r="12" spans="1:7" ht="10.5" customHeight="1" x14ac:dyDescent="0.2">
      <c r="A12" s="127"/>
      <c r="B12" s="127"/>
      <c r="D12" s="2059"/>
      <c r="E12" s="2059"/>
      <c r="F12" s="2059"/>
      <c r="G12" s="2059"/>
    </row>
    <row r="13" spans="1:7" ht="25.5" hidden="1" customHeight="1" x14ac:dyDescent="0.2">
      <c r="A13" s="2036" t="s">
        <v>5819</v>
      </c>
      <c r="B13" s="2060"/>
      <c r="C13" s="2060"/>
      <c r="D13" s="2060"/>
      <c r="E13" s="2060"/>
      <c r="F13" s="2060"/>
      <c r="G13" s="2060"/>
    </row>
    <row r="14" spans="1:7" hidden="1" x14ac:dyDescent="0.2"/>
    <row r="15" spans="1:7" ht="32.25" customHeight="1" x14ac:dyDescent="0.2">
      <c r="A15" s="129" t="s">
        <v>287</v>
      </c>
      <c r="B15" s="2061" t="s">
        <v>176</v>
      </c>
      <c r="C15" s="2062"/>
      <c r="D15" s="2063"/>
      <c r="E15" s="129" t="s">
        <v>566</v>
      </c>
      <c r="F15" s="129" t="s">
        <v>567</v>
      </c>
      <c r="G15" s="129" t="s">
        <v>568</v>
      </c>
    </row>
    <row r="16" spans="1:7" x14ac:dyDescent="0.2">
      <c r="A16" s="130">
        <v>1</v>
      </c>
      <c r="B16" s="2064">
        <v>2</v>
      </c>
      <c r="C16" s="2065"/>
      <c r="D16" s="2066"/>
      <c r="E16" s="131">
        <v>3</v>
      </c>
      <c r="F16" s="131">
        <v>4</v>
      </c>
      <c r="G16" s="131">
        <v>5</v>
      </c>
    </row>
    <row r="17" spans="1:7" ht="12.95" customHeight="1" x14ac:dyDescent="0.2">
      <c r="A17" s="132" t="s">
        <v>185</v>
      </c>
      <c r="B17" s="2067" t="s">
        <v>569</v>
      </c>
      <c r="C17" s="2068"/>
      <c r="D17" s="2069"/>
      <c r="E17" s="133" t="s">
        <v>570</v>
      </c>
      <c r="F17" s="133"/>
      <c r="G17" s="134"/>
    </row>
    <row r="18" spans="1:7" ht="136.9" customHeight="1" x14ac:dyDescent="0.2">
      <c r="A18" s="135" t="s">
        <v>571</v>
      </c>
      <c r="B18" s="2047" t="s">
        <v>5820</v>
      </c>
      <c r="C18" s="2048"/>
      <c r="D18" s="2049"/>
      <c r="E18" s="136" t="s">
        <v>5821</v>
      </c>
      <c r="F18" s="136" t="s">
        <v>5822</v>
      </c>
      <c r="G18" s="137">
        <f>ROUND(2258  * 2.7542 * 1.1,2)</f>
        <v>6840.88</v>
      </c>
    </row>
    <row r="19" spans="1:7" ht="16.149999999999999" customHeight="1" x14ac:dyDescent="0.2">
      <c r="A19" s="138" t="s">
        <v>143</v>
      </c>
      <c r="B19" s="2050" t="s">
        <v>572</v>
      </c>
      <c r="C19" s="2051"/>
      <c r="D19" s="2052"/>
      <c r="E19" s="139"/>
      <c r="F19" s="139"/>
      <c r="G19" s="140"/>
    </row>
    <row r="20" spans="1:7" ht="12.95" customHeight="1" x14ac:dyDescent="0.2">
      <c r="A20" s="141" t="s">
        <v>143</v>
      </c>
      <c r="B20" s="2053" t="s">
        <v>573</v>
      </c>
      <c r="C20" s="2054"/>
      <c r="D20" s="2055"/>
      <c r="E20" s="142"/>
      <c r="F20" s="142"/>
      <c r="G20" s="143"/>
    </row>
    <row r="21" spans="1:7" ht="62.25" customHeight="1" x14ac:dyDescent="0.2">
      <c r="A21" s="144" t="s">
        <v>143</v>
      </c>
      <c r="B21" s="2056" t="s">
        <v>574</v>
      </c>
      <c r="C21" s="2057"/>
      <c r="D21" s="2058"/>
      <c r="E21" s="145" t="s">
        <v>5823</v>
      </c>
      <c r="F21" s="145"/>
      <c r="G21" s="146"/>
    </row>
    <row r="22" spans="1:7" ht="12.95" customHeight="1" x14ac:dyDescent="0.2">
      <c r="A22" s="147" t="s">
        <v>576</v>
      </c>
      <c r="B22" s="2040" t="s">
        <v>579</v>
      </c>
      <c r="C22" s="2041"/>
      <c r="D22" s="2042"/>
      <c r="E22" s="148"/>
      <c r="F22" s="148"/>
      <c r="G22" s="149">
        <f>ROUND(($G$18),2)</f>
        <v>6840.88</v>
      </c>
    </row>
    <row r="23" spans="1:7" ht="12.95" customHeight="1" x14ac:dyDescent="0.2">
      <c r="A23" s="147" t="s">
        <v>577</v>
      </c>
      <c r="B23" s="2040" t="s">
        <v>581</v>
      </c>
      <c r="C23" s="2041"/>
      <c r="D23" s="2042"/>
      <c r="E23" s="148"/>
      <c r="F23" s="148"/>
      <c r="G23" s="149">
        <f>ROUND(($G$22),2)</f>
        <v>6840.88</v>
      </c>
    </row>
    <row r="24" spans="1:7" ht="12.95" customHeight="1" x14ac:dyDescent="0.2">
      <c r="A24" s="147" t="s">
        <v>186</v>
      </c>
      <c r="B24" s="2040" t="s">
        <v>569</v>
      </c>
      <c r="C24" s="2041"/>
      <c r="D24" s="2042"/>
      <c r="E24" s="148" t="s">
        <v>582</v>
      </c>
      <c r="F24" s="148"/>
      <c r="G24" s="150"/>
    </row>
    <row r="25" spans="1:7" ht="136.9" customHeight="1" x14ac:dyDescent="0.2">
      <c r="A25" s="135" t="s">
        <v>583</v>
      </c>
      <c r="B25" s="2047" t="s">
        <v>5824</v>
      </c>
      <c r="C25" s="2048"/>
      <c r="D25" s="2049"/>
      <c r="E25" s="136" t="s">
        <v>5825</v>
      </c>
      <c r="F25" s="136" t="s">
        <v>5826</v>
      </c>
      <c r="G25" s="137">
        <f>ROUND(734  * 2.7542 * 1.75,2)</f>
        <v>3537.77</v>
      </c>
    </row>
    <row r="26" spans="1:7" ht="16.149999999999999" customHeight="1" x14ac:dyDescent="0.2">
      <c r="A26" s="138" t="s">
        <v>143</v>
      </c>
      <c r="B26" s="2050" t="s">
        <v>572</v>
      </c>
      <c r="C26" s="2051"/>
      <c r="D26" s="2052"/>
      <c r="E26" s="139"/>
      <c r="F26" s="139"/>
      <c r="G26" s="140"/>
    </row>
    <row r="27" spans="1:7" ht="12.95" customHeight="1" x14ac:dyDescent="0.2">
      <c r="A27" s="141" t="s">
        <v>143</v>
      </c>
      <c r="B27" s="2053" t="s">
        <v>573</v>
      </c>
      <c r="C27" s="2054"/>
      <c r="D27" s="2055"/>
      <c r="E27" s="142"/>
      <c r="F27" s="142"/>
      <c r="G27" s="143"/>
    </row>
    <row r="28" spans="1:7" ht="74.849999999999994" customHeight="1" x14ac:dyDescent="0.2">
      <c r="A28" s="144" t="s">
        <v>143</v>
      </c>
      <c r="B28" s="2056" t="s">
        <v>5827</v>
      </c>
      <c r="C28" s="2057"/>
      <c r="D28" s="2058"/>
      <c r="E28" s="145" t="s">
        <v>5828</v>
      </c>
      <c r="F28" s="145"/>
      <c r="G28" s="146"/>
    </row>
    <row r="29" spans="1:7" ht="12.95" customHeight="1" x14ac:dyDescent="0.2">
      <c r="A29" s="147" t="s">
        <v>584</v>
      </c>
      <c r="B29" s="2040" t="s">
        <v>586</v>
      </c>
      <c r="C29" s="2041"/>
      <c r="D29" s="2042"/>
      <c r="E29" s="148"/>
      <c r="F29" s="148"/>
      <c r="G29" s="149">
        <f>ROUND(($G$25),2)</f>
        <v>3537.77</v>
      </c>
    </row>
    <row r="30" spans="1:7" ht="12.95" customHeight="1" x14ac:dyDescent="0.2">
      <c r="A30" s="147" t="s">
        <v>585</v>
      </c>
      <c r="B30" s="2040" t="s">
        <v>587</v>
      </c>
      <c r="C30" s="2041"/>
      <c r="D30" s="2042"/>
      <c r="E30" s="148"/>
      <c r="F30" s="148"/>
      <c r="G30" s="149">
        <f>ROUND(($G$29),2)</f>
        <v>3537.77</v>
      </c>
    </row>
    <row r="31" spans="1:7" ht="12.95" customHeight="1" x14ac:dyDescent="0.2">
      <c r="A31" s="147" t="s">
        <v>187</v>
      </c>
      <c r="B31" s="2040" t="s">
        <v>588</v>
      </c>
      <c r="C31" s="2041"/>
      <c r="D31" s="2042"/>
      <c r="E31" s="148"/>
      <c r="F31" s="148"/>
      <c r="G31" s="149">
        <f>ROUND(($G$23 + $G$30),2)</f>
        <v>10378.65</v>
      </c>
    </row>
    <row r="32" spans="1:7" ht="49.7" customHeight="1" x14ac:dyDescent="0.2">
      <c r="A32" s="147" t="s">
        <v>188</v>
      </c>
      <c r="B32" s="2037" t="s">
        <v>5829</v>
      </c>
      <c r="C32" s="2038"/>
      <c r="D32" s="2039"/>
      <c r="E32" s="154" t="s">
        <v>5830</v>
      </c>
      <c r="F32" s="154" t="s">
        <v>5831</v>
      </c>
      <c r="G32" s="155">
        <f>ROUND(($G$23) * 8.75 / 100 * 1,2)</f>
        <v>598.58000000000004</v>
      </c>
    </row>
    <row r="33" spans="1:10" ht="49.7" customHeight="1" x14ac:dyDescent="0.2">
      <c r="A33" s="147" t="s">
        <v>189</v>
      </c>
      <c r="B33" s="2037" t="s">
        <v>5832</v>
      </c>
      <c r="C33" s="2038"/>
      <c r="D33" s="2039"/>
      <c r="E33" s="154" t="s">
        <v>5833</v>
      </c>
      <c r="F33" s="154" t="s">
        <v>5834</v>
      </c>
      <c r="G33" s="155">
        <f>ROUND(($G$23 + $G$32) * 19.6 / 100 * 1,2)</f>
        <v>1458.13</v>
      </c>
    </row>
    <row r="34" spans="1:10" ht="49.7" customHeight="1" x14ac:dyDescent="0.2">
      <c r="A34" s="147" t="s">
        <v>190</v>
      </c>
      <c r="B34" s="2037" t="s">
        <v>5835</v>
      </c>
      <c r="C34" s="2038"/>
      <c r="D34" s="2039"/>
      <c r="E34" s="154" t="s">
        <v>5836</v>
      </c>
      <c r="F34" s="154" t="s">
        <v>5837</v>
      </c>
      <c r="G34" s="155">
        <f>ROUND(($G$23 + $G$32) * 2.5 * 1 * 6 / 100 * 1,2)</f>
        <v>1115.92</v>
      </c>
    </row>
    <row r="35" spans="1:10" ht="29.45" customHeight="1" x14ac:dyDescent="0.2">
      <c r="A35" s="147" t="s">
        <v>191</v>
      </c>
      <c r="B35" s="2040" t="s">
        <v>5838</v>
      </c>
      <c r="C35" s="2041"/>
      <c r="D35" s="2042"/>
      <c r="E35" s="154"/>
      <c r="F35" s="154" t="s">
        <v>5839</v>
      </c>
      <c r="G35" s="155">
        <f>ROUND((SUM($G$31:$G$34)),2)</f>
        <v>13551.28</v>
      </c>
    </row>
    <row r="36" spans="1:10" ht="84.4" customHeight="1" x14ac:dyDescent="0.2">
      <c r="A36" s="147" t="s">
        <v>192</v>
      </c>
      <c r="B36" s="2043" t="s">
        <v>5840</v>
      </c>
      <c r="C36" s="2044"/>
      <c r="D36" s="2045"/>
      <c r="E36" s="248" t="s">
        <v>5841</v>
      </c>
      <c r="F36" s="156" t="s">
        <v>5842</v>
      </c>
      <c r="G36" s="157">
        <f>G35/1.266</f>
        <v>10704.01</v>
      </c>
    </row>
    <row r="37" spans="1:10" ht="37.35" customHeight="1" x14ac:dyDescent="0.2">
      <c r="A37" s="147" t="s">
        <v>193</v>
      </c>
      <c r="B37" s="2037" t="s">
        <v>589</v>
      </c>
      <c r="C37" s="2038"/>
      <c r="D37" s="2039"/>
      <c r="E37" s="154" t="s">
        <v>590</v>
      </c>
      <c r="F37" s="154" t="s">
        <v>5843</v>
      </c>
      <c r="G37" s="155">
        <f>ROUND(($G$35) * 4.66 * 1,2)</f>
        <v>63148.959999999999</v>
      </c>
    </row>
    <row r="38" spans="1:10" ht="16.350000000000001" customHeight="1" x14ac:dyDescent="0.2">
      <c r="A38" s="147" t="s">
        <v>194</v>
      </c>
      <c r="B38" s="2040" t="s">
        <v>592</v>
      </c>
      <c r="C38" s="2041"/>
      <c r="D38" s="2042"/>
      <c r="E38" s="148"/>
      <c r="F38" s="148"/>
      <c r="G38" s="149">
        <f>ROUND(($G$37),2)</f>
        <v>63148.959999999999</v>
      </c>
    </row>
    <row r="39" spans="1:10" ht="12.4" customHeight="1" x14ac:dyDescent="0.2">
      <c r="B39" s="2046"/>
      <c r="C39" s="2046"/>
      <c r="D39" s="2046"/>
    </row>
    <row r="40" spans="1:10" x14ac:dyDescent="0.2">
      <c r="B40" s="2035" t="s">
        <v>5844</v>
      </c>
      <c r="C40" s="2035"/>
      <c r="D40" s="2035"/>
      <c r="E40" s="2036" t="s">
        <v>594</v>
      </c>
      <c r="F40" s="2036"/>
      <c r="G40" s="2036"/>
      <c r="H40" s="2036"/>
      <c r="I40" s="2036"/>
      <c r="J40" s="2036"/>
    </row>
    <row r="42" spans="1:10" s="158" customFormat="1" ht="25.15" hidden="1" customHeight="1" x14ac:dyDescent="0.2">
      <c r="A42" s="2036" t="s">
        <v>593</v>
      </c>
      <c r="B42" s="2036"/>
      <c r="C42" s="2036" t="e">
        <f ca="1">convertNumToStr($G$38,1,2)</f>
        <v>#NAME?</v>
      </c>
      <c r="D42" s="2036"/>
      <c r="E42" s="2036"/>
      <c r="F42" s="2036"/>
      <c r="G42" s="2036"/>
    </row>
  </sheetData>
  <mergeCells count="40">
    <mergeCell ref="A1:B1"/>
    <mergeCell ref="C1:G1"/>
    <mergeCell ref="B4:F4"/>
    <mergeCell ref="B5:F5"/>
    <mergeCell ref="A7:C7"/>
    <mergeCell ref="D7:G7"/>
    <mergeCell ref="B21:D21"/>
    <mergeCell ref="A9:C9"/>
    <mergeCell ref="D9:G10"/>
    <mergeCell ref="A11:C11"/>
    <mergeCell ref="D11:G12"/>
    <mergeCell ref="A13:G13"/>
    <mergeCell ref="B15:D15"/>
    <mergeCell ref="B16:D16"/>
    <mergeCell ref="B17:D17"/>
    <mergeCell ref="B18:D18"/>
    <mergeCell ref="B19:D19"/>
    <mergeCell ref="B20:D20"/>
    <mergeCell ref="B33:D33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40:D40"/>
    <mergeCell ref="E40:J40"/>
    <mergeCell ref="A42:B42"/>
    <mergeCell ref="C42:G42"/>
    <mergeCell ref="B34:D34"/>
    <mergeCell ref="B35:D35"/>
    <mergeCell ref="B36:D36"/>
    <mergeCell ref="B37:D37"/>
    <mergeCell ref="B38:D38"/>
    <mergeCell ref="B39:D39"/>
  </mergeCells>
  <pageMargins left="0.39374999999999999" right="0.39374999999999999" top="0.59027777777777779" bottom="0.82777777777777783" header="0.51180555555555562" footer="0.59027777777777779"/>
  <pageSetup paperSize="9" scale="99" orientation="portrait" useFirstPageNumber="1" horizontalDpi="300" verticalDpi="300" r:id="rId1"/>
  <headerFooter alignWithMargins="0">
    <oddFooter>&amp;CСтраница &amp;P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I39"/>
  <sheetViews>
    <sheetView workbookViewId="0">
      <selection sqref="A1:C1"/>
    </sheetView>
  </sheetViews>
  <sheetFormatPr defaultColWidth="11.5703125" defaultRowHeight="12.75" x14ac:dyDescent="0.2"/>
  <cols>
    <col min="1" max="1" width="3.7109375" style="124" customWidth="1"/>
    <col min="2" max="2" width="10.5703125" style="124" customWidth="1"/>
    <col min="3" max="3" width="15.42578125" style="124" customWidth="1"/>
    <col min="4" max="4" width="4.28515625" style="124" customWidth="1"/>
    <col min="5" max="7" width="9.28515625" style="124" customWidth="1"/>
    <col min="8" max="8" width="19.5703125" style="124" customWidth="1"/>
    <col min="9" max="9" width="14.5703125" style="124" customWidth="1"/>
    <col min="10" max="10" width="19.7109375" style="121" customWidth="1"/>
    <col min="11" max="256" width="11.5703125" style="121"/>
    <col min="257" max="257" width="3.7109375" style="121" customWidth="1"/>
    <col min="258" max="258" width="10.5703125" style="121" customWidth="1"/>
    <col min="259" max="259" width="15.42578125" style="121" customWidth="1"/>
    <col min="260" max="260" width="4.28515625" style="121" customWidth="1"/>
    <col min="261" max="263" width="9.28515625" style="121" customWidth="1"/>
    <col min="264" max="264" width="19.5703125" style="121" customWidth="1"/>
    <col min="265" max="265" width="14.5703125" style="121" customWidth="1"/>
    <col min="266" max="266" width="19.7109375" style="121" customWidth="1"/>
    <col min="267" max="512" width="11.5703125" style="121"/>
    <col min="513" max="513" width="3.7109375" style="121" customWidth="1"/>
    <col min="514" max="514" width="10.5703125" style="121" customWidth="1"/>
    <col min="515" max="515" width="15.42578125" style="121" customWidth="1"/>
    <col min="516" max="516" width="4.28515625" style="121" customWidth="1"/>
    <col min="517" max="519" width="9.28515625" style="121" customWidth="1"/>
    <col min="520" max="520" width="19.5703125" style="121" customWidth="1"/>
    <col min="521" max="521" width="14.5703125" style="121" customWidth="1"/>
    <col min="522" max="522" width="19.7109375" style="121" customWidth="1"/>
    <col min="523" max="768" width="11.5703125" style="121"/>
    <col min="769" max="769" width="3.7109375" style="121" customWidth="1"/>
    <col min="770" max="770" width="10.5703125" style="121" customWidth="1"/>
    <col min="771" max="771" width="15.42578125" style="121" customWidth="1"/>
    <col min="772" max="772" width="4.28515625" style="121" customWidth="1"/>
    <col min="773" max="775" width="9.28515625" style="121" customWidth="1"/>
    <col min="776" max="776" width="19.5703125" style="121" customWidth="1"/>
    <col min="777" max="777" width="14.5703125" style="121" customWidth="1"/>
    <col min="778" max="778" width="19.7109375" style="121" customWidth="1"/>
    <col min="779" max="1024" width="11.5703125" style="121"/>
    <col min="1025" max="1025" width="3.7109375" style="121" customWidth="1"/>
    <col min="1026" max="1026" width="10.5703125" style="121" customWidth="1"/>
    <col min="1027" max="1027" width="15.42578125" style="121" customWidth="1"/>
    <col min="1028" max="1028" width="4.28515625" style="121" customWidth="1"/>
    <col min="1029" max="1031" width="9.28515625" style="121" customWidth="1"/>
    <col min="1032" max="1032" width="19.5703125" style="121" customWidth="1"/>
    <col min="1033" max="1033" width="14.5703125" style="121" customWidth="1"/>
    <col min="1034" max="1034" width="19.7109375" style="121" customWidth="1"/>
    <col min="1035" max="1280" width="11.5703125" style="121"/>
    <col min="1281" max="1281" width="3.7109375" style="121" customWidth="1"/>
    <col min="1282" max="1282" width="10.5703125" style="121" customWidth="1"/>
    <col min="1283" max="1283" width="15.42578125" style="121" customWidth="1"/>
    <col min="1284" max="1284" width="4.28515625" style="121" customWidth="1"/>
    <col min="1285" max="1287" width="9.28515625" style="121" customWidth="1"/>
    <col min="1288" max="1288" width="19.5703125" style="121" customWidth="1"/>
    <col min="1289" max="1289" width="14.5703125" style="121" customWidth="1"/>
    <col min="1290" max="1290" width="19.7109375" style="121" customWidth="1"/>
    <col min="1291" max="1536" width="11.5703125" style="121"/>
    <col min="1537" max="1537" width="3.7109375" style="121" customWidth="1"/>
    <col min="1538" max="1538" width="10.5703125" style="121" customWidth="1"/>
    <col min="1539" max="1539" width="15.42578125" style="121" customWidth="1"/>
    <col min="1540" max="1540" width="4.28515625" style="121" customWidth="1"/>
    <col min="1541" max="1543" width="9.28515625" style="121" customWidth="1"/>
    <col min="1544" max="1544" width="19.5703125" style="121" customWidth="1"/>
    <col min="1545" max="1545" width="14.5703125" style="121" customWidth="1"/>
    <col min="1546" max="1546" width="19.7109375" style="121" customWidth="1"/>
    <col min="1547" max="1792" width="11.5703125" style="121"/>
    <col min="1793" max="1793" width="3.7109375" style="121" customWidth="1"/>
    <col min="1794" max="1794" width="10.5703125" style="121" customWidth="1"/>
    <col min="1795" max="1795" width="15.42578125" style="121" customWidth="1"/>
    <col min="1796" max="1796" width="4.28515625" style="121" customWidth="1"/>
    <col min="1797" max="1799" width="9.28515625" style="121" customWidth="1"/>
    <col min="1800" max="1800" width="19.5703125" style="121" customWidth="1"/>
    <col min="1801" max="1801" width="14.5703125" style="121" customWidth="1"/>
    <col min="1802" max="1802" width="19.7109375" style="121" customWidth="1"/>
    <col min="1803" max="2048" width="11.5703125" style="121"/>
    <col min="2049" max="2049" width="3.7109375" style="121" customWidth="1"/>
    <col min="2050" max="2050" width="10.5703125" style="121" customWidth="1"/>
    <col min="2051" max="2051" width="15.42578125" style="121" customWidth="1"/>
    <col min="2052" max="2052" width="4.28515625" style="121" customWidth="1"/>
    <col min="2053" max="2055" width="9.28515625" style="121" customWidth="1"/>
    <col min="2056" max="2056" width="19.5703125" style="121" customWidth="1"/>
    <col min="2057" max="2057" width="14.5703125" style="121" customWidth="1"/>
    <col min="2058" max="2058" width="19.7109375" style="121" customWidth="1"/>
    <col min="2059" max="2304" width="11.5703125" style="121"/>
    <col min="2305" max="2305" width="3.7109375" style="121" customWidth="1"/>
    <col min="2306" max="2306" width="10.5703125" style="121" customWidth="1"/>
    <col min="2307" max="2307" width="15.42578125" style="121" customWidth="1"/>
    <col min="2308" max="2308" width="4.28515625" style="121" customWidth="1"/>
    <col min="2309" max="2311" width="9.28515625" style="121" customWidth="1"/>
    <col min="2312" max="2312" width="19.5703125" style="121" customWidth="1"/>
    <col min="2313" max="2313" width="14.5703125" style="121" customWidth="1"/>
    <col min="2314" max="2314" width="19.7109375" style="121" customWidth="1"/>
    <col min="2315" max="2560" width="11.5703125" style="121"/>
    <col min="2561" max="2561" width="3.7109375" style="121" customWidth="1"/>
    <col min="2562" max="2562" width="10.5703125" style="121" customWidth="1"/>
    <col min="2563" max="2563" width="15.42578125" style="121" customWidth="1"/>
    <col min="2564" max="2564" width="4.28515625" style="121" customWidth="1"/>
    <col min="2565" max="2567" width="9.28515625" style="121" customWidth="1"/>
    <col min="2568" max="2568" width="19.5703125" style="121" customWidth="1"/>
    <col min="2569" max="2569" width="14.5703125" style="121" customWidth="1"/>
    <col min="2570" max="2570" width="19.7109375" style="121" customWidth="1"/>
    <col min="2571" max="2816" width="11.5703125" style="121"/>
    <col min="2817" max="2817" width="3.7109375" style="121" customWidth="1"/>
    <col min="2818" max="2818" width="10.5703125" style="121" customWidth="1"/>
    <col min="2819" max="2819" width="15.42578125" style="121" customWidth="1"/>
    <col min="2820" max="2820" width="4.28515625" style="121" customWidth="1"/>
    <col min="2821" max="2823" width="9.28515625" style="121" customWidth="1"/>
    <col min="2824" max="2824" width="19.5703125" style="121" customWidth="1"/>
    <col min="2825" max="2825" width="14.5703125" style="121" customWidth="1"/>
    <col min="2826" max="2826" width="19.7109375" style="121" customWidth="1"/>
    <col min="2827" max="3072" width="11.5703125" style="121"/>
    <col min="3073" max="3073" width="3.7109375" style="121" customWidth="1"/>
    <col min="3074" max="3074" width="10.5703125" style="121" customWidth="1"/>
    <col min="3075" max="3075" width="15.42578125" style="121" customWidth="1"/>
    <col min="3076" max="3076" width="4.28515625" style="121" customWidth="1"/>
    <col min="3077" max="3079" width="9.28515625" style="121" customWidth="1"/>
    <col min="3080" max="3080" width="19.5703125" style="121" customWidth="1"/>
    <col min="3081" max="3081" width="14.5703125" style="121" customWidth="1"/>
    <col min="3082" max="3082" width="19.7109375" style="121" customWidth="1"/>
    <col min="3083" max="3328" width="11.5703125" style="121"/>
    <col min="3329" max="3329" width="3.7109375" style="121" customWidth="1"/>
    <col min="3330" max="3330" width="10.5703125" style="121" customWidth="1"/>
    <col min="3331" max="3331" width="15.42578125" style="121" customWidth="1"/>
    <col min="3332" max="3332" width="4.28515625" style="121" customWidth="1"/>
    <col min="3333" max="3335" width="9.28515625" style="121" customWidth="1"/>
    <col min="3336" max="3336" width="19.5703125" style="121" customWidth="1"/>
    <col min="3337" max="3337" width="14.5703125" style="121" customWidth="1"/>
    <col min="3338" max="3338" width="19.7109375" style="121" customWidth="1"/>
    <col min="3339" max="3584" width="11.5703125" style="121"/>
    <col min="3585" max="3585" width="3.7109375" style="121" customWidth="1"/>
    <col min="3586" max="3586" width="10.5703125" style="121" customWidth="1"/>
    <col min="3587" max="3587" width="15.42578125" style="121" customWidth="1"/>
    <col min="3588" max="3588" width="4.28515625" style="121" customWidth="1"/>
    <col min="3589" max="3591" width="9.28515625" style="121" customWidth="1"/>
    <col min="3592" max="3592" width="19.5703125" style="121" customWidth="1"/>
    <col min="3593" max="3593" width="14.5703125" style="121" customWidth="1"/>
    <col min="3594" max="3594" width="19.7109375" style="121" customWidth="1"/>
    <col min="3595" max="3840" width="11.5703125" style="121"/>
    <col min="3841" max="3841" width="3.7109375" style="121" customWidth="1"/>
    <col min="3842" max="3842" width="10.5703125" style="121" customWidth="1"/>
    <col min="3843" max="3843" width="15.42578125" style="121" customWidth="1"/>
    <col min="3844" max="3844" width="4.28515625" style="121" customWidth="1"/>
    <col min="3845" max="3847" width="9.28515625" style="121" customWidth="1"/>
    <col min="3848" max="3848" width="19.5703125" style="121" customWidth="1"/>
    <col min="3849" max="3849" width="14.5703125" style="121" customWidth="1"/>
    <col min="3850" max="3850" width="19.7109375" style="121" customWidth="1"/>
    <col min="3851" max="4096" width="11.5703125" style="121"/>
    <col min="4097" max="4097" width="3.7109375" style="121" customWidth="1"/>
    <col min="4098" max="4098" width="10.5703125" style="121" customWidth="1"/>
    <col min="4099" max="4099" width="15.42578125" style="121" customWidth="1"/>
    <col min="4100" max="4100" width="4.28515625" style="121" customWidth="1"/>
    <col min="4101" max="4103" width="9.28515625" style="121" customWidth="1"/>
    <col min="4104" max="4104" width="19.5703125" style="121" customWidth="1"/>
    <col min="4105" max="4105" width="14.5703125" style="121" customWidth="1"/>
    <col min="4106" max="4106" width="19.7109375" style="121" customWidth="1"/>
    <col min="4107" max="4352" width="11.5703125" style="121"/>
    <col min="4353" max="4353" width="3.7109375" style="121" customWidth="1"/>
    <col min="4354" max="4354" width="10.5703125" style="121" customWidth="1"/>
    <col min="4355" max="4355" width="15.42578125" style="121" customWidth="1"/>
    <col min="4356" max="4356" width="4.28515625" style="121" customWidth="1"/>
    <col min="4357" max="4359" width="9.28515625" style="121" customWidth="1"/>
    <col min="4360" max="4360" width="19.5703125" style="121" customWidth="1"/>
    <col min="4361" max="4361" width="14.5703125" style="121" customWidth="1"/>
    <col min="4362" max="4362" width="19.7109375" style="121" customWidth="1"/>
    <col min="4363" max="4608" width="11.5703125" style="121"/>
    <col min="4609" max="4609" width="3.7109375" style="121" customWidth="1"/>
    <col min="4610" max="4610" width="10.5703125" style="121" customWidth="1"/>
    <col min="4611" max="4611" width="15.42578125" style="121" customWidth="1"/>
    <col min="4612" max="4612" width="4.28515625" style="121" customWidth="1"/>
    <col min="4613" max="4615" width="9.28515625" style="121" customWidth="1"/>
    <col min="4616" max="4616" width="19.5703125" style="121" customWidth="1"/>
    <col min="4617" max="4617" width="14.5703125" style="121" customWidth="1"/>
    <col min="4618" max="4618" width="19.7109375" style="121" customWidth="1"/>
    <col min="4619" max="4864" width="11.5703125" style="121"/>
    <col min="4865" max="4865" width="3.7109375" style="121" customWidth="1"/>
    <col min="4866" max="4866" width="10.5703125" style="121" customWidth="1"/>
    <col min="4867" max="4867" width="15.42578125" style="121" customWidth="1"/>
    <col min="4868" max="4868" width="4.28515625" style="121" customWidth="1"/>
    <col min="4869" max="4871" width="9.28515625" style="121" customWidth="1"/>
    <col min="4872" max="4872" width="19.5703125" style="121" customWidth="1"/>
    <col min="4873" max="4873" width="14.5703125" style="121" customWidth="1"/>
    <col min="4874" max="4874" width="19.7109375" style="121" customWidth="1"/>
    <col min="4875" max="5120" width="11.5703125" style="121"/>
    <col min="5121" max="5121" width="3.7109375" style="121" customWidth="1"/>
    <col min="5122" max="5122" width="10.5703125" style="121" customWidth="1"/>
    <col min="5123" max="5123" width="15.42578125" style="121" customWidth="1"/>
    <col min="5124" max="5124" width="4.28515625" style="121" customWidth="1"/>
    <col min="5125" max="5127" width="9.28515625" style="121" customWidth="1"/>
    <col min="5128" max="5128" width="19.5703125" style="121" customWidth="1"/>
    <col min="5129" max="5129" width="14.5703125" style="121" customWidth="1"/>
    <col min="5130" max="5130" width="19.7109375" style="121" customWidth="1"/>
    <col min="5131" max="5376" width="11.5703125" style="121"/>
    <col min="5377" max="5377" width="3.7109375" style="121" customWidth="1"/>
    <col min="5378" max="5378" width="10.5703125" style="121" customWidth="1"/>
    <col min="5379" max="5379" width="15.42578125" style="121" customWidth="1"/>
    <col min="5380" max="5380" width="4.28515625" style="121" customWidth="1"/>
    <col min="5381" max="5383" width="9.28515625" style="121" customWidth="1"/>
    <col min="5384" max="5384" width="19.5703125" style="121" customWidth="1"/>
    <col min="5385" max="5385" width="14.5703125" style="121" customWidth="1"/>
    <col min="5386" max="5386" width="19.7109375" style="121" customWidth="1"/>
    <col min="5387" max="5632" width="11.5703125" style="121"/>
    <col min="5633" max="5633" width="3.7109375" style="121" customWidth="1"/>
    <col min="5634" max="5634" width="10.5703125" style="121" customWidth="1"/>
    <col min="5635" max="5635" width="15.42578125" style="121" customWidth="1"/>
    <col min="5636" max="5636" width="4.28515625" style="121" customWidth="1"/>
    <col min="5637" max="5639" width="9.28515625" style="121" customWidth="1"/>
    <col min="5640" max="5640" width="19.5703125" style="121" customWidth="1"/>
    <col min="5641" max="5641" width="14.5703125" style="121" customWidth="1"/>
    <col min="5642" max="5642" width="19.7109375" style="121" customWidth="1"/>
    <col min="5643" max="5888" width="11.5703125" style="121"/>
    <col min="5889" max="5889" width="3.7109375" style="121" customWidth="1"/>
    <col min="5890" max="5890" width="10.5703125" style="121" customWidth="1"/>
    <col min="5891" max="5891" width="15.42578125" style="121" customWidth="1"/>
    <col min="5892" max="5892" width="4.28515625" style="121" customWidth="1"/>
    <col min="5893" max="5895" width="9.28515625" style="121" customWidth="1"/>
    <col min="5896" max="5896" width="19.5703125" style="121" customWidth="1"/>
    <col min="5897" max="5897" width="14.5703125" style="121" customWidth="1"/>
    <col min="5898" max="5898" width="19.7109375" style="121" customWidth="1"/>
    <col min="5899" max="6144" width="11.5703125" style="121"/>
    <col min="6145" max="6145" width="3.7109375" style="121" customWidth="1"/>
    <col min="6146" max="6146" width="10.5703125" style="121" customWidth="1"/>
    <col min="6147" max="6147" width="15.42578125" style="121" customWidth="1"/>
    <col min="6148" max="6148" width="4.28515625" style="121" customWidth="1"/>
    <col min="6149" max="6151" width="9.28515625" style="121" customWidth="1"/>
    <col min="6152" max="6152" width="19.5703125" style="121" customWidth="1"/>
    <col min="6153" max="6153" width="14.5703125" style="121" customWidth="1"/>
    <col min="6154" max="6154" width="19.7109375" style="121" customWidth="1"/>
    <col min="6155" max="6400" width="11.5703125" style="121"/>
    <col min="6401" max="6401" width="3.7109375" style="121" customWidth="1"/>
    <col min="6402" max="6402" width="10.5703125" style="121" customWidth="1"/>
    <col min="6403" max="6403" width="15.42578125" style="121" customWidth="1"/>
    <col min="6404" max="6404" width="4.28515625" style="121" customWidth="1"/>
    <col min="6405" max="6407" width="9.28515625" style="121" customWidth="1"/>
    <col min="6408" max="6408" width="19.5703125" style="121" customWidth="1"/>
    <col min="6409" max="6409" width="14.5703125" style="121" customWidth="1"/>
    <col min="6410" max="6410" width="19.7109375" style="121" customWidth="1"/>
    <col min="6411" max="6656" width="11.5703125" style="121"/>
    <col min="6657" max="6657" width="3.7109375" style="121" customWidth="1"/>
    <col min="6658" max="6658" width="10.5703125" style="121" customWidth="1"/>
    <col min="6659" max="6659" width="15.42578125" style="121" customWidth="1"/>
    <col min="6660" max="6660" width="4.28515625" style="121" customWidth="1"/>
    <col min="6661" max="6663" width="9.28515625" style="121" customWidth="1"/>
    <col min="6664" max="6664" width="19.5703125" style="121" customWidth="1"/>
    <col min="6665" max="6665" width="14.5703125" style="121" customWidth="1"/>
    <col min="6666" max="6666" width="19.7109375" style="121" customWidth="1"/>
    <col min="6667" max="6912" width="11.5703125" style="121"/>
    <col min="6913" max="6913" width="3.7109375" style="121" customWidth="1"/>
    <col min="6914" max="6914" width="10.5703125" style="121" customWidth="1"/>
    <col min="6915" max="6915" width="15.42578125" style="121" customWidth="1"/>
    <col min="6916" max="6916" width="4.28515625" style="121" customWidth="1"/>
    <col min="6917" max="6919" width="9.28515625" style="121" customWidth="1"/>
    <col min="6920" max="6920" width="19.5703125" style="121" customWidth="1"/>
    <col min="6921" max="6921" width="14.5703125" style="121" customWidth="1"/>
    <col min="6922" max="6922" width="19.7109375" style="121" customWidth="1"/>
    <col min="6923" max="7168" width="11.5703125" style="121"/>
    <col min="7169" max="7169" width="3.7109375" style="121" customWidth="1"/>
    <col min="7170" max="7170" width="10.5703125" style="121" customWidth="1"/>
    <col min="7171" max="7171" width="15.42578125" style="121" customWidth="1"/>
    <col min="7172" max="7172" width="4.28515625" style="121" customWidth="1"/>
    <col min="7173" max="7175" width="9.28515625" style="121" customWidth="1"/>
    <col min="7176" max="7176" width="19.5703125" style="121" customWidth="1"/>
    <col min="7177" max="7177" width="14.5703125" style="121" customWidth="1"/>
    <col min="7178" max="7178" width="19.7109375" style="121" customWidth="1"/>
    <col min="7179" max="7424" width="11.5703125" style="121"/>
    <col min="7425" max="7425" width="3.7109375" style="121" customWidth="1"/>
    <col min="7426" max="7426" width="10.5703125" style="121" customWidth="1"/>
    <col min="7427" max="7427" width="15.42578125" style="121" customWidth="1"/>
    <col min="7428" max="7428" width="4.28515625" style="121" customWidth="1"/>
    <col min="7429" max="7431" width="9.28515625" style="121" customWidth="1"/>
    <col min="7432" max="7432" width="19.5703125" style="121" customWidth="1"/>
    <col min="7433" max="7433" width="14.5703125" style="121" customWidth="1"/>
    <col min="7434" max="7434" width="19.7109375" style="121" customWidth="1"/>
    <col min="7435" max="7680" width="11.5703125" style="121"/>
    <col min="7681" max="7681" width="3.7109375" style="121" customWidth="1"/>
    <col min="7682" max="7682" width="10.5703125" style="121" customWidth="1"/>
    <col min="7683" max="7683" width="15.42578125" style="121" customWidth="1"/>
    <col min="7684" max="7684" width="4.28515625" style="121" customWidth="1"/>
    <col min="7685" max="7687" width="9.28515625" style="121" customWidth="1"/>
    <col min="7688" max="7688" width="19.5703125" style="121" customWidth="1"/>
    <col min="7689" max="7689" width="14.5703125" style="121" customWidth="1"/>
    <col min="7690" max="7690" width="19.7109375" style="121" customWidth="1"/>
    <col min="7691" max="7936" width="11.5703125" style="121"/>
    <col min="7937" max="7937" width="3.7109375" style="121" customWidth="1"/>
    <col min="7938" max="7938" width="10.5703125" style="121" customWidth="1"/>
    <col min="7939" max="7939" width="15.42578125" style="121" customWidth="1"/>
    <col min="7940" max="7940" width="4.28515625" style="121" customWidth="1"/>
    <col min="7941" max="7943" width="9.28515625" style="121" customWidth="1"/>
    <col min="7944" max="7944" width="19.5703125" style="121" customWidth="1"/>
    <col min="7945" max="7945" width="14.5703125" style="121" customWidth="1"/>
    <col min="7946" max="7946" width="19.7109375" style="121" customWidth="1"/>
    <col min="7947" max="8192" width="11.5703125" style="121"/>
    <col min="8193" max="8193" width="3.7109375" style="121" customWidth="1"/>
    <col min="8194" max="8194" width="10.5703125" style="121" customWidth="1"/>
    <col min="8195" max="8195" width="15.42578125" style="121" customWidth="1"/>
    <col min="8196" max="8196" width="4.28515625" style="121" customWidth="1"/>
    <col min="8197" max="8199" width="9.28515625" style="121" customWidth="1"/>
    <col min="8200" max="8200" width="19.5703125" style="121" customWidth="1"/>
    <col min="8201" max="8201" width="14.5703125" style="121" customWidth="1"/>
    <col min="8202" max="8202" width="19.7109375" style="121" customWidth="1"/>
    <col min="8203" max="8448" width="11.5703125" style="121"/>
    <col min="8449" max="8449" width="3.7109375" style="121" customWidth="1"/>
    <col min="8450" max="8450" width="10.5703125" style="121" customWidth="1"/>
    <col min="8451" max="8451" width="15.42578125" style="121" customWidth="1"/>
    <col min="8452" max="8452" width="4.28515625" style="121" customWidth="1"/>
    <col min="8453" max="8455" width="9.28515625" style="121" customWidth="1"/>
    <col min="8456" max="8456" width="19.5703125" style="121" customWidth="1"/>
    <col min="8457" max="8457" width="14.5703125" style="121" customWidth="1"/>
    <col min="8458" max="8458" width="19.7109375" style="121" customWidth="1"/>
    <col min="8459" max="8704" width="11.5703125" style="121"/>
    <col min="8705" max="8705" width="3.7109375" style="121" customWidth="1"/>
    <col min="8706" max="8706" width="10.5703125" style="121" customWidth="1"/>
    <col min="8707" max="8707" width="15.42578125" style="121" customWidth="1"/>
    <col min="8708" max="8708" width="4.28515625" style="121" customWidth="1"/>
    <col min="8709" max="8711" width="9.28515625" style="121" customWidth="1"/>
    <col min="8712" max="8712" width="19.5703125" style="121" customWidth="1"/>
    <col min="8713" max="8713" width="14.5703125" style="121" customWidth="1"/>
    <col min="8714" max="8714" width="19.7109375" style="121" customWidth="1"/>
    <col min="8715" max="8960" width="11.5703125" style="121"/>
    <col min="8961" max="8961" width="3.7109375" style="121" customWidth="1"/>
    <col min="8962" max="8962" width="10.5703125" style="121" customWidth="1"/>
    <col min="8963" max="8963" width="15.42578125" style="121" customWidth="1"/>
    <col min="8964" max="8964" width="4.28515625" style="121" customWidth="1"/>
    <col min="8965" max="8967" width="9.28515625" style="121" customWidth="1"/>
    <col min="8968" max="8968" width="19.5703125" style="121" customWidth="1"/>
    <col min="8969" max="8969" width="14.5703125" style="121" customWidth="1"/>
    <col min="8970" max="8970" width="19.7109375" style="121" customWidth="1"/>
    <col min="8971" max="9216" width="11.5703125" style="121"/>
    <col min="9217" max="9217" width="3.7109375" style="121" customWidth="1"/>
    <col min="9218" max="9218" width="10.5703125" style="121" customWidth="1"/>
    <col min="9219" max="9219" width="15.42578125" style="121" customWidth="1"/>
    <col min="9220" max="9220" width="4.28515625" style="121" customWidth="1"/>
    <col min="9221" max="9223" width="9.28515625" style="121" customWidth="1"/>
    <col min="9224" max="9224" width="19.5703125" style="121" customWidth="1"/>
    <col min="9225" max="9225" width="14.5703125" style="121" customWidth="1"/>
    <col min="9226" max="9226" width="19.7109375" style="121" customWidth="1"/>
    <col min="9227" max="9472" width="11.5703125" style="121"/>
    <col min="9473" max="9473" width="3.7109375" style="121" customWidth="1"/>
    <col min="9474" max="9474" width="10.5703125" style="121" customWidth="1"/>
    <col min="9475" max="9475" width="15.42578125" style="121" customWidth="1"/>
    <col min="9476" max="9476" width="4.28515625" style="121" customWidth="1"/>
    <col min="9477" max="9479" width="9.28515625" style="121" customWidth="1"/>
    <col min="9480" max="9480" width="19.5703125" style="121" customWidth="1"/>
    <col min="9481" max="9481" width="14.5703125" style="121" customWidth="1"/>
    <col min="9482" max="9482" width="19.7109375" style="121" customWidth="1"/>
    <col min="9483" max="9728" width="11.5703125" style="121"/>
    <col min="9729" max="9729" width="3.7109375" style="121" customWidth="1"/>
    <col min="9730" max="9730" width="10.5703125" style="121" customWidth="1"/>
    <col min="9731" max="9731" width="15.42578125" style="121" customWidth="1"/>
    <col min="9732" max="9732" width="4.28515625" style="121" customWidth="1"/>
    <col min="9733" max="9735" width="9.28515625" style="121" customWidth="1"/>
    <col min="9736" max="9736" width="19.5703125" style="121" customWidth="1"/>
    <col min="9737" max="9737" width="14.5703125" style="121" customWidth="1"/>
    <col min="9738" max="9738" width="19.7109375" style="121" customWidth="1"/>
    <col min="9739" max="9984" width="11.5703125" style="121"/>
    <col min="9985" max="9985" width="3.7109375" style="121" customWidth="1"/>
    <col min="9986" max="9986" width="10.5703125" style="121" customWidth="1"/>
    <col min="9987" max="9987" width="15.42578125" style="121" customWidth="1"/>
    <col min="9988" max="9988" width="4.28515625" style="121" customWidth="1"/>
    <col min="9989" max="9991" width="9.28515625" style="121" customWidth="1"/>
    <col min="9992" max="9992" width="19.5703125" style="121" customWidth="1"/>
    <col min="9993" max="9993" width="14.5703125" style="121" customWidth="1"/>
    <col min="9994" max="9994" width="19.7109375" style="121" customWidth="1"/>
    <col min="9995" max="10240" width="11.5703125" style="121"/>
    <col min="10241" max="10241" width="3.7109375" style="121" customWidth="1"/>
    <col min="10242" max="10242" width="10.5703125" style="121" customWidth="1"/>
    <col min="10243" max="10243" width="15.42578125" style="121" customWidth="1"/>
    <col min="10244" max="10244" width="4.28515625" style="121" customWidth="1"/>
    <col min="10245" max="10247" width="9.28515625" style="121" customWidth="1"/>
    <col min="10248" max="10248" width="19.5703125" style="121" customWidth="1"/>
    <col min="10249" max="10249" width="14.5703125" style="121" customWidth="1"/>
    <col min="10250" max="10250" width="19.7109375" style="121" customWidth="1"/>
    <col min="10251" max="10496" width="11.5703125" style="121"/>
    <col min="10497" max="10497" width="3.7109375" style="121" customWidth="1"/>
    <col min="10498" max="10498" width="10.5703125" style="121" customWidth="1"/>
    <col min="10499" max="10499" width="15.42578125" style="121" customWidth="1"/>
    <col min="10500" max="10500" width="4.28515625" style="121" customWidth="1"/>
    <col min="10501" max="10503" width="9.28515625" style="121" customWidth="1"/>
    <col min="10504" max="10504" width="19.5703125" style="121" customWidth="1"/>
    <col min="10505" max="10505" width="14.5703125" style="121" customWidth="1"/>
    <col min="10506" max="10506" width="19.7109375" style="121" customWidth="1"/>
    <col min="10507" max="10752" width="11.5703125" style="121"/>
    <col min="10753" max="10753" width="3.7109375" style="121" customWidth="1"/>
    <col min="10754" max="10754" width="10.5703125" style="121" customWidth="1"/>
    <col min="10755" max="10755" width="15.42578125" style="121" customWidth="1"/>
    <col min="10756" max="10756" width="4.28515625" style="121" customWidth="1"/>
    <col min="10757" max="10759" width="9.28515625" style="121" customWidth="1"/>
    <col min="10760" max="10760" width="19.5703125" style="121" customWidth="1"/>
    <col min="10761" max="10761" width="14.5703125" style="121" customWidth="1"/>
    <col min="10762" max="10762" width="19.7109375" style="121" customWidth="1"/>
    <col min="10763" max="11008" width="11.5703125" style="121"/>
    <col min="11009" max="11009" width="3.7109375" style="121" customWidth="1"/>
    <col min="11010" max="11010" width="10.5703125" style="121" customWidth="1"/>
    <col min="11011" max="11011" width="15.42578125" style="121" customWidth="1"/>
    <col min="11012" max="11012" width="4.28515625" style="121" customWidth="1"/>
    <col min="11013" max="11015" width="9.28515625" style="121" customWidth="1"/>
    <col min="11016" max="11016" width="19.5703125" style="121" customWidth="1"/>
    <col min="11017" max="11017" width="14.5703125" style="121" customWidth="1"/>
    <col min="11018" max="11018" width="19.7109375" style="121" customWidth="1"/>
    <col min="11019" max="11264" width="11.5703125" style="121"/>
    <col min="11265" max="11265" width="3.7109375" style="121" customWidth="1"/>
    <col min="11266" max="11266" width="10.5703125" style="121" customWidth="1"/>
    <col min="11267" max="11267" width="15.42578125" style="121" customWidth="1"/>
    <col min="11268" max="11268" width="4.28515625" style="121" customWidth="1"/>
    <col min="11269" max="11271" width="9.28515625" style="121" customWidth="1"/>
    <col min="11272" max="11272" width="19.5703125" style="121" customWidth="1"/>
    <col min="11273" max="11273" width="14.5703125" style="121" customWidth="1"/>
    <col min="11274" max="11274" width="19.7109375" style="121" customWidth="1"/>
    <col min="11275" max="11520" width="11.5703125" style="121"/>
    <col min="11521" max="11521" width="3.7109375" style="121" customWidth="1"/>
    <col min="11522" max="11522" width="10.5703125" style="121" customWidth="1"/>
    <col min="11523" max="11523" width="15.42578125" style="121" customWidth="1"/>
    <col min="11524" max="11524" width="4.28515625" style="121" customWidth="1"/>
    <col min="11525" max="11527" width="9.28515625" style="121" customWidth="1"/>
    <col min="11528" max="11528" width="19.5703125" style="121" customWidth="1"/>
    <col min="11529" max="11529" width="14.5703125" style="121" customWidth="1"/>
    <col min="11530" max="11530" width="19.7109375" style="121" customWidth="1"/>
    <col min="11531" max="11776" width="11.5703125" style="121"/>
    <col min="11777" max="11777" width="3.7109375" style="121" customWidth="1"/>
    <col min="11778" max="11778" width="10.5703125" style="121" customWidth="1"/>
    <col min="11779" max="11779" width="15.42578125" style="121" customWidth="1"/>
    <col min="11780" max="11780" width="4.28515625" style="121" customWidth="1"/>
    <col min="11781" max="11783" width="9.28515625" style="121" customWidth="1"/>
    <col min="11784" max="11784" width="19.5703125" style="121" customWidth="1"/>
    <col min="11785" max="11785" width="14.5703125" style="121" customWidth="1"/>
    <col min="11786" max="11786" width="19.7109375" style="121" customWidth="1"/>
    <col min="11787" max="12032" width="11.5703125" style="121"/>
    <col min="12033" max="12033" width="3.7109375" style="121" customWidth="1"/>
    <col min="12034" max="12034" width="10.5703125" style="121" customWidth="1"/>
    <col min="12035" max="12035" width="15.42578125" style="121" customWidth="1"/>
    <col min="12036" max="12036" width="4.28515625" style="121" customWidth="1"/>
    <col min="12037" max="12039" width="9.28515625" style="121" customWidth="1"/>
    <col min="12040" max="12040" width="19.5703125" style="121" customWidth="1"/>
    <col min="12041" max="12041" width="14.5703125" style="121" customWidth="1"/>
    <col min="12042" max="12042" width="19.7109375" style="121" customWidth="1"/>
    <col min="12043" max="12288" width="11.5703125" style="121"/>
    <col min="12289" max="12289" width="3.7109375" style="121" customWidth="1"/>
    <col min="12290" max="12290" width="10.5703125" style="121" customWidth="1"/>
    <col min="12291" max="12291" width="15.42578125" style="121" customWidth="1"/>
    <col min="12292" max="12292" width="4.28515625" style="121" customWidth="1"/>
    <col min="12293" max="12295" width="9.28515625" style="121" customWidth="1"/>
    <col min="12296" max="12296" width="19.5703125" style="121" customWidth="1"/>
    <col min="12297" max="12297" width="14.5703125" style="121" customWidth="1"/>
    <col min="12298" max="12298" width="19.7109375" style="121" customWidth="1"/>
    <col min="12299" max="12544" width="11.5703125" style="121"/>
    <col min="12545" max="12545" width="3.7109375" style="121" customWidth="1"/>
    <col min="12546" max="12546" width="10.5703125" style="121" customWidth="1"/>
    <col min="12547" max="12547" width="15.42578125" style="121" customWidth="1"/>
    <col min="12548" max="12548" width="4.28515625" style="121" customWidth="1"/>
    <col min="12549" max="12551" width="9.28515625" style="121" customWidth="1"/>
    <col min="12552" max="12552" width="19.5703125" style="121" customWidth="1"/>
    <col min="12553" max="12553" width="14.5703125" style="121" customWidth="1"/>
    <col min="12554" max="12554" width="19.7109375" style="121" customWidth="1"/>
    <col min="12555" max="12800" width="11.5703125" style="121"/>
    <col min="12801" max="12801" width="3.7109375" style="121" customWidth="1"/>
    <col min="12802" max="12802" width="10.5703125" style="121" customWidth="1"/>
    <col min="12803" max="12803" width="15.42578125" style="121" customWidth="1"/>
    <col min="12804" max="12804" width="4.28515625" style="121" customWidth="1"/>
    <col min="12805" max="12807" width="9.28515625" style="121" customWidth="1"/>
    <col min="12808" max="12808" width="19.5703125" style="121" customWidth="1"/>
    <col min="12809" max="12809" width="14.5703125" style="121" customWidth="1"/>
    <col min="12810" max="12810" width="19.7109375" style="121" customWidth="1"/>
    <col min="12811" max="13056" width="11.5703125" style="121"/>
    <col min="13057" max="13057" width="3.7109375" style="121" customWidth="1"/>
    <col min="13058" max="13058" width="10.5703125" style="121" customWidth="1"/>
    <col min="13059" max="13059" width="15.42578125" style="121" customWidth="1"/>
    <col min="13060" max="13060" width="4.28515625" style="121" customWidth="1"/>
    <col min="13061" max="13063" width="9.28515625" style="121" customWidth="1"/>
    <col min="13064" max="13064" width="19.5703125" style="121" customWidth="1"/>
    <col min="13065" max="13065" width="14.5703125" style="121" customWidth="1"/>
    <col min="13066" max="13066" width="19.7109375" style="121" customWidth="1"/>
    <col min="13067" max="13312" width="11.5703125" style="121"/>
    <col min="13313" max="13313" width="3.7109375" style="121" customWidth="1"/>
    <col min="13314" max="13314" width="10.5703125" style="121" customWidth="1"/>
    <col min="13315" max="13315" width="15.42578125" style="121" customWidth="1"/>
    <col min="13316" max="13316" width="4.28515625" style="121" customWidth="1"/>
    <col min="13317" max="13319" width="9.28515625" style="121" customWidth="1"/>
    <col min="13320" max="13320" width="19.5703125" style="121" customWidth="1"/>
    <col min="13321" max="13321" width="14.5703125" style="121" customWidth="1"/>
    <col min="13322" max="13322" width="19.7109375" style="121" customWidth="1"/>
    <col min="13323" max="13568" width="11.5703125" style="121"/>
    <col min="13569" max="13569" width="3.7109375" style="121" customWidth="1"/>
    <col min="13570" max="13570" width="10.5703125" style="121" customWidth="1"/>
    <col min="13571" max="13571" width="15.42578125" style="121" customWidth="1"/>
    <col min="13572" max="13572" width="4.28515625" style="121" customWidth="1"/>
    <col min="13573" max="13575" width="9.28515625" style="121" customWidth="1"/>
    <col min="13576" max="13576" width="19.5703125" style="121" customWidth="1"/>
    <col min="13577" max="13577" width="14.5703125" style="121" customWidth="1"/>
    <col min="13578" max="13578" width="19.7109375" style="121" customWidth="1"/>
    <col min="13579" max="13824" width="11.5703125" style="121"/>
    <col min="13825" max="13825" width="3.7109375" style="121" customWidth="1"/>
    <col min="13826" max="13826" width="10.5703125" style="121" customWidth="1"/>
    <col min="13827" max="13827" width="15.42578125" style="121" customWidth="1"/>
    <col min="13828" max="13828" width="4.28515625" style="121" customWidth="1"/>
    <col min="13829" max="13831" width="9.28515625" style="121" customWidth="1"/>
    <col min="13832" max="13832" width="19.5703125" style="121" customWidth="1"/>
    <col min="13833" max="13833" width="14.5703125" style="121" customWidth="1"/>
    <col min="13834" max="13834" width="19.7109375" style="121" customWidth="1"/>
    <col min="13835" max="14080" width="11.5703125" style="121"/>
    <col min="14081" max="14081" width="3.7109375" style="121" customWidth="1"/>
    <col min="14082" max="14082" width="10.5703125" style="121" customWidth="1"/>
    <col min="14083" max="14083" width="15.42578125" style="121" customWidth="1"/>
    <col min="14084" max="14084" width="4.28515625" style="121" customWidth="1"/>
    <col min="14085" max="14087" width="9.28515625" style="121" customWidth="1"/>
    <col min="14088" max="14088" width="19.5703125" style="121" customWidth="1"/>
    <col min="14089" max="14089" width="14.5703125" style="121" customWidth="1"/>
    <col min="14090" max="14090" width="19.7109375" style="121" customWidth="1"/>
    <col min="14091" max="14336" width="11.5703125" style="121"/>
    <col min="14337" max="14337" width="3.7109375" style="121" customWidth="1"/>
    <col min="14338" max="14338" width="10.5703125" style="121" customWidth="1"/>
    <col min="14339" max="14339" width="15.42578125" style="121" customWidth="1"/>
    <col min="14340" max="14340" width="4.28515625" style="121" customWidth="1"/>
    <col min="14341" max="14343" width="9.28515625" style="121" customWidth="1"/>
    <col min="14344" max="14344" width="19.5703125" style="121" customWidth="1"/>
    <col min="14345" max="14345" width="14.5703125" style="121" customWidth="1"/>
    <col min="14346" max="14346" width="19.7109375" style="121" customWidth="1"/>
    <col min="14347" max="14592" width="11.5703125" style="121"/>
    <col min="14593" max="14593" width="3.7109375" style="121" customWidth="1"/>
    <col min="14594" max="14594" width="10.5703125" style="121" customWidth="1"/>
    <col min="14595" max="14595" width="15.42578125" style="121" customWidth="1"/>
    <col min="14596" max="14596" width="4.28515625" style="121" customWidth="1"/>
    <col min="14597" max="14599" width="9.28515625" style="121" customWidth="1"/>
    <col min="14600" max="14600" width="19.5703125" style="121" customWidth="1"/>
    <col min="14601" max="14601" width="14.5703125" style="121" customWidth="1"/>
    <col min="14602" max="14602" width="19.7109375" style="121" customWidth="1"/>
    <col min="14603" max="14848" width="11.5703125" style="121"/>
    <col min="14849" max="14849" width="3.7109375" style="121" customWidth="1"/>
    <col min="14850" max="14850" width="10.5703125" style="121" customWidth="1"/>
    <col min="14851" max="14851" width="15.42578125" style="121" customWidth="1"/>
    <col min="14852" max="14852" width="4.28515625" style="121" customWidth="1"/>
    <col min="14853" max="14855" width="9.28515625" style="121" customWidth="1"/>
    <col min="14856" max="14856" width="19.5703125" style="121" customWidth="1"/>
    <col min="14857" max="14857" width="14.5703125" style="121" customWidth="1"/>
    <col min="14858" max="14858" width="19.7109375" style="121" customWidth="1"/>
    <col min="14859" max="15104" width="11.5703125" style="121"/>
    <col min="15105" max="15105" width="3.7109375" style="121" customWidth="1"/>
    <col min="15106" max="15106" width="10.5703125" style="121" customWidth="1"/>
    <col min="15107" max="15107" width="15.42578125" style="121" customWidth="1"/>
    <col min="15108" max="15108" width="4.28515625" style="121" customWidth="1"/>
    <col min="15109" max="15111" width="9.28515625" style="121" customWidth="1"/>
    <col min="15112" max="15112" width="19.5703125" style="121" customWidth="1"/>
    <col min="15113" max="15113" width="14.5703125" style="121" customWidth="1"/>
    <col min="15114" max="15114" width="19.7109375" style="121" customWidth="1"/>
    <col min="15115" max="15360" width="11.5703125" style="121"/>
    <col min="15361" max="15361" width="3.7109375" style="121" customWidth="1"/>
    <col min="15362" max="15362" width="10.5703125" style="121" customWidth="1"/>
    <col min="15363" max="15363" width="15.42578125" style="121" customWidth="1"/>
    <col min="15364" max="15364" width="4.28515625" style="121" customWidth="1"/>
    <col min="15365" max="15367" width="9.28515625" style="121" customWidth="1"/>
    <col min="15368" max="15368" width="19.5703125" style="121" customWidth="1"/>
    <col min="15369" max="15369" width="14.5703125" style="121" customWidth="1"/>
    <col min="15370" max="15370" width="19.7109375" style="121" customWidth="1"/>
    <col min="15371" max="15616" width="11.5703125" style="121"/>
    <col min="15617" max="15617" width="3.7109375" style="121" customWidth="1"/>
    <col min="15618" max="15618" width="10.5703125" style="121" customWidth="1"/>
    <col min="15619" max="15619" width="15.42578125" style="121" customWidth="1"/>
    <col min="15620" max="15620" width="4.28515625" style="121" customWidth="1"/>
    <col min="15621" max="15623" width="9.28515625" style="121" customWidth="1"/>
    <col min="15624" max="15624" width="19.5703125" style="121" customWidth="1"/>
    <col min="15625" max="15625" width="14.5703125" style="121" customWidth="1"/>
    <col min="15626" max="15626" width="19.7109375" style="121" customWidth="1"/>
    <col min="15627" max="15872" width="11.5703125" style="121"/>
    <col min="15873" max="15873" width="3.7109375" style="121" customWidth="1"/>
    <col min="15874" max="15874" width="10.5703125" style="121" customWidth="1"/>
    <col min="15875" max="15875" width="15.42578125" style="121" customWidth="1"/>
    <col min="15876" max="15876" width="4.28515625" style="121" customWidth="1"/>
    <col min="15877" max="15879" width="9.28515625" style="121" customWidth="1"/>
    <col min="15880" max="15880" width="19.5703125" style="121" customWidth="1"/>
    <col min="15881" max="15881" width="14.5703125" style="121" customWidth="1"/>
    <col min="15882" max="15882" width="19.7109375" style="121" customWidth="1"/>
    <col min="15883" max="16128" width="11.5703125" style="121"/>
    <col min="16129" max="16129" width="3.7109375" style="121" customWidth="1"/>
    <col min="16130" max="16130" width="10.5703125" style="121" customWidth="1"/>
    <col min="16131" max="16131" width="15.42578125" style="121" customWidth="1"/>
    <col min="16132" max="16132" width="4.28515625" style="121" customWidth="1"/>
    <col min="16133" max="16135" width="9.28515625" style="121" customWidth="1"/>
    <col min="16136" max="16136" width="19.5703125" style="121" customWidth="1"/>
    <col min="16137" max="16137" width="14.5703125" style="121" customWidth="1"/>
    <col min="16138" max="16138" width="19.7109375" style="121" customWidth="1"/>
    <col min="16139" max="16384" width="11.5703125" style="121"/>
  </cols>
  <sheetData>
    <row r="1" spans="1:9" ht="15.75" customHeight="1" x14ac:dyDescent="0.2">
      <c r="A1" s="2092" t="s">
        <v>5814</v>
      </c>
      <c r="B1" s="2092"/>
      <c r="C1" s="2092"/>
      <c r="D1" s="2071" t="s">
        <v>560</v>
      </c>
      <c r="E1" s="2071"/>
      <c r="F1" s="2071"/>
      <c r="G1" s="2071"/>
      <c r="H1" s="2071"/>
      <c r="I1" s="2071"/>
    </row>
    <row r="2" spans="1:9" x14ac:dyDescent="0.2">
      <c r="A2" s="122"/>
      <c r="B2" s="122"/>
      <c r="C2" s="122"/>
      <c r="D2" s="123"/>
      <c r="E2" s="123"/>
      <c r="F2" s="123"/>
      <c r="G2" s="123"/>
      <c r="H2" s="123"/>
      <c r="I2" s="123"/>
    </row>
    <row r="3" spans="1:9" x14ac:dyDescent="0.2">
      <c r="A3" s="2072" t="s">
        <v>5845</v>
      </c>
      <c r="B3" s="2072"/>
      <c r="C3" s="2072"/>
      <c r="D3" s="2072"/>
      <c r="E3" s="2072"/>
      <c r="F3" s="2072"/>
      <c r="G3" s="2072"/>
      <c r="H3" s="2072"/>
      <c r="I3" s="2072"/>
    </row>
    <row r="4" spans="1:9" x14ac:dyDescent="0.2">
      <c r="A4" s="2093" t="s">
        <v>5816</v>
      </c>
      <c r="B4" s="2093"/>
      <c r="C4" s="2093"/>
      <c r="D4" s="2093"/>
      <c r="E4" s="2093"/>
      <c r="F4" s="2093"/>
      <c r="G4" s="2093"/>
      <c r="H4" s="2093"/>
      <c r="I4" s="2093"/>
    </row>
    <row r="5" spans="1:9" ht="3.75" customHeight="1" x14ac:dyDescent="0.2">
      <c r="D5" s="122"/>
      <c r="E5" s="122"/>
      <c r="F5" s="122"/>
      <c r="G5" s="122"/>
    </row>
    <row r="6" spans="1:9" ht="62.85" customHeight="1" x14ac:dyDescent="0.2">
      <c r="A6" s="2036" t="s">
        <v>5846</v>
      </c>
      <c r="B6" s="2036"/>
      <c r="C6" s="2036"/>
      <c r="D6" s="2059" t="s">
        <v>5847</v>
      </c>
      <c r="E6" s="2059"/>
      <c r="F6" s="2059"/>
      <c r="G6" s="2059"/>
      <c r="H6" s="2059"/>
      <c r="I6" s="2059"/>
    </row>
    <row r="7" spans="1:9" ht="3.95" customHeight="1" x14ac:dyDescent="0.2">
      <c r="A7" s="127"/>
      <c r="B7" s="127"/>
      <c r="C7" s="127"/>
    </row>
    <row r="8" spans="1:9" ht="30.75" customHeight="1" x14ac:dyDescent="0.2">
      <c r="A8" s="2036" t="s">
        <v>5848</v>
      </c>
      <c r="B8" s="2036"/>
      <c r="C8" s="2036"/>
      <c r="D8" s="2036" t="s">
        <v>565</v>
      </c>
      <c r="E8" s="2036"/>
      <c r="F8" s="2036"/>
      <c r="G8" s="2036"/>
      <c r="H8" s="2036"/>
      <c r="I8" s="2036"/>
    </row>
    <row r="9" spans="1:9" ht="3.95" customHeight="1" x14ac:dyDescent="0.2"/>
    <row r="10" spans="1:9" ht="30" customHeight="1" x14ac:dyDescent="0.2">
      <c r="A10" s="2036" t="s">
        <v>5849</v>
      </c>
      <c r="B10" s="2036"/>
      <c r="C10" s="2036"/>
      <c r="D10" s="2036" t="s">
        <v>5818</v>
      </c>
      <c r="E10" s="2036"/>
      <c r="F10" s="2036"/>
      <c r="G10" s="2036"/>
      <c r="H10" s="2036"/>
      <c r="I10" s="2036"/>
    </row>
    <row r="11" spans="1:9" ht="0.6" customHeight="1" x14ac:dyDescent="0.2">
      <c r="A11" s="127"/>
      <c r="B11" s="127"/>
      <c r="C11" s="127"/>
      <c r="D11" s="126"/>
      <c r="E11" s="126"/>
      <c r="F11" s="126"/>
      <c r="G11" s="126"/>
      <c r="H11" s="127"/>
      <c r="I11" s="127"/>
    </row>
    <row r="12" spans="1:9" ht="25.5" hidden="1" customHeight="1" x14ac:dyDescent="0.2">
      <c r="A12" s="2036" t="s">
        <v>5850</v>
      </c>
      <c r="B12" s="2036"/>
      <c r="C12" s="2036"/>
      <c r="D12" s="2036"/>
      <c r="E12" s="2036"/>
      <c r="F12" s="2036"/>
      <c r="G12" s="2036"/>
      <c r="H12" s="2036"/>
      <c r="I12" s="2036"/>
    </row>
    <row r="13" spans="1:9" ht="11.85" hidden="1" customHeight="1" x14ac:dyDescent="0.2"/>
    <row r="14" spans="1:9" ht="100.5" customHeight="1" x14ac:dyDescent="0.2">
      <c r="A14" s="249" t="s">
        <v>287</v>
      </c>
      <c r="B14" s="2089" t="s">
        <v>5851</v>
      </c>
      <c r="C14" s="2090"/>
      <c r="D14" s="2089" t="s">
        <v>5852</v>
      </c>
      <c r="E14" s="2091"/>
      <c r="F14" s="2091"/>
      <c r="G14" s="2090"/>
      <c r="H14" s="250" t="s">
        <v>5853</v>
      </c>
      <c r="I14" s="249" t="s">
        <v>568</v>
      </c>
    </row>
    <row r="15" spans="1:9" x14ac:dyDescent="0.2">
      <c r="A15" s="130" t="s">
        <v>185</v>
      </c>
      <c r="B15" s="2086">
        <v>2</v>
      </c>
      <c r="C15" s="2087"/>
      <c r="D15" s="2086">
        <v>3</v>
      </c>
      <c r="E15" s="2088"/>
      <c r="F15" s="2088"/>
      <c r="G15" s="2087"/>
      <c r="H15" s="131">
        <v>4</v>
      </c>
      <c r="I15" s="131">
        <v>5</v>
      </c>
    </row>
    <row r="16" spans="1:9" ht="12.95" customHeight="1" x14ac:dyDescent="0.2">
      <c r="A16" s="2080" t="s">
        <v>31</v>
      </c>
      <c r="B16" s="2081"/>
      <c r="C16" s="2081"/>
      <c r="D16" s="2081"/>
      <c r="E16" s="2081"/>
      <c r="F16" s="2081"/>
      <c r="G16" s="2081"/>
      <c r="H16" s="2081"/>
      <c r="I16" s="2082"/>
    </row>
    <row r="17" spans="1:9" ht="141.75" customHeight="1" x14ac:dyDescent="0.2">
      <c r="A17" s="151" t="s">
        <v>185</v>
      </c>
      <c r="B17" s="2047" t="s">
        <v>5854</v>
      </c>
      <c r="C17" s="2049"/>
      <c r="D17" s="2083" t="s">
        <v>5855</v>
      </c>
      <c r="E17" s="2084"/>
      <c r="F17" s="2084"/>
      <c r="G17" s="2085"/>
      <c r="H17" s="152" t="s">
        <v>5856</v>
      </c>
      <c r="I17" s="153">
        <f>ROUND((0  + 348.6  * 8.8162) * 1 * 1.1 * 4.3 * 0.095,2)</f>
        <v>1381</v>
      </c>
    </row>
    <row r="18" spans="1:9" ht="16.149999999999999" customHeight="1" x14ac:dyDescent="0.2">
      <c r="A18" s="138" t="s">
        <v>143</v>
      </c>
      <c r="B18" s="2050" t="s">
        <v>572</v>
      </c>
      <c r="C18" s="2052"/>
      <c r="D18" s="2050"/>
      <c r="E18" s="2051"/>
      <c r="F18" s="2051"/>
      <c r="G18" s="2052"/>
      <c r="H18" s="139"/>
      <c r="I18" s="140"/>
    </row>
    <row r="19" spans="1:9" ht="99.6" customHeight="1" x14ac:dyDescent="0.2">
      <c r="A19" s="141" t="s">
        <v>143</v>
      </c>
      <c r="B19" s="2053" t="s">
        <v>574</v>
      </c>
      <c r="C19" s="2055"/>
      <c r="D19" s="2053" t="s">
        <v>5857</v>
      </c>
      <c r="E19" s="2054"/>
      <c r="F19" s="2054"/>
      <c r="G19" s="2055"/>
      <c r="H19" s="142"/>
      <c r="I19" s="143"/>
    </row>
    <row r="20" spans="1:9" ht="49.7" customHeight="1" x14ac:dyDescent="0.2">
      <c r="A20" s="144" t="s">
        <v>143</v>
      </c>
      <c r="B20" s="2056" t="s">
        <v>5858</v>
      </c>
      <c r="C20" s="2058"/>
      <c r="D20" s="2056" t="s">
        <v>5859</v>
      </c>
      <c r="E20" s="2057"/>
      <c r="F20" s="2057"/>
      <c r="G20" s="2058"/>
      <c r="H20" s="145"/>
      <c r="I20" s="146"/>
    </row>
    <row r="21" spans="1:9" ht="12.95" customHeight="1" x14ac:dyDescent="0.2">
      <c r="A21" s="2080" t="s">
        <v>5860</v>
      </c>
      <c r="B21" s="2081"/>
      <c r="C21" s="2081"/>
      <c r="D21" s="2081"/>
      <c r="E21" s="2081"/>
      <c r="F21" s="2081"/>
      <c r="G21" s="2081"/>
      <c r="H21" s="2081"/>
      <c r="I21" s="2082"/>
    </row>
    <row r="22" spans="1:9" ht="141.75" customHeight="1" x14ac:dyDescent="0.2">
      <c r="A22" s="151" t="s">
        <v>186</v>
      </c>
      <c r="B22" s="2047" t="s">
        <v>5861</v>
      </c>
      <c r="C22" s="2049"/>
      <c r="D22" s="2083" t="s">
        <v>5862</v>
      </c>
      <c r="E22" s="2084"/>
      <c r="F22" s="2084"/>
      <c r="G22" s="2085"/>
      <c r="H22" s="152" t="s">
        <v>5863</v>
      </c>
      <c r="I22" s="153">
        <f>ROUND((0  + 366.4  * 5.2409) * 1 * 1.1 * 4.3 * 0.095,2)</f>
        <v>862.87</v>
      </c>
    </row>
    <row r="23" spans="1:9" ht="16.149999999999999" customHeight="1" x14ac:dyDescent="0.2">
      <c r="A23" s="138" t="s">
        <v>143</v>
      </c>
      <c r="B23" s="2050" t="s">
        <v>572</v>
      </c>
      <c r="C23" s="2052"/>
      <c r="D23" s="2050"/>
      <c r="E23" s="2051"/>
      <c r="F23" s="2051"/>
      <c r="G23" s="2052"/>
      <c r="H23" s="139"/>
      <c r="I23" s="140"/>
    </row>
    <row r="24" spans="1:9" ht="99.6" customHeight="1" x14ac:dyDescent="0.2">
      <c r="A24" s="141" t="s">
        <v>143</v>
      </c>
      <c r="B24" s="2053" t="s">
        <v>574</v>
      </c>
      <c r="C24" s="2055"/>
      <c r="D24" s="2053" t="s">
        <v>5857</v>
      </c>
      <c r="E24" s="2054"/>
      <c r="F24" s="2054"/>
      <c r="G24" s="2055"/>
      <c r="H24" s="142"/>
      <c r="I24" s="143"/>
    </row>
    <row r="25" spans="1:9" ht="49.7" customHeight="1" x14ac:dyDescent="0.2">
      <c r="A25" s="144" t="s">
        <v>143</v>
      </c>
      <c r="B25" s="2056" t="s">
        <v>5858</v>
      </c>
      <c r="C25" s="2058"/>
      <c r="D25" s="2056" t="s">
        <v>5859</v>
      </c>
      <c r="E25" s="2057"/>
      <c r="F25" s="2057"/>
      <c r="G25" s="2058"/>
      <c r="H25" s="145"/>
      <c r="I25" s="146"/>
    </row>
    <row r="26" spans="1:9" ht="12.95" customHeight="1" x14ac:dyDescent="0.2">
      <c r="A26" s="2080" t="s">
        <v>71</v>
      </c>
      <c r="B26" s="2081"/>
      <c r="C26" s="2081"/>
      <c r="D26" s="2081"/>
      <c r="E26" s="2081"/>
      <c r="F26" s="2081"/>
      <c r="G26" s="2081"/>
      <c r="H26" s="2081"/>
      <c r="I26" s="2082"/>
    </row>
    <row r="27" spans="1:9" ht="141.75" customHeight="1" x14ac:dyDescent="0.2">
      <c r="A27" s="151" t="s">
        <v>187</v>
      </c>
      <c r="B27" s="2047" t="s">
        <v>5864</v>
      </c>
      <c r="C27" s="2049"/>
      <c r="D27" s="2083" t="s">
        <v>5865</v>
      </c>
      <c r="E27" s="2084"/>
      <c r="F27" s="2084"/>
      <c r="G27" s="2085"/>
      <c r="H27" s="152" t="s">
        <v>5866</v>
      </c>
      <c r="I27" s="153">
        <f>ROUND((0  + 383.8  * 1.9812) * 1 * 1.1 * 4.3 * 0.095,2)</f>
        <v>341.68</v>
      </c>
    </row>
    <row r="28" spans="1:9" ht="16.149999999999999" customHeight="1" x14ac:dyDescent="0.2">
      <c r="A28" s="138" t="s">
        <v>143</v>
      </c>
      <c r="B28" s="2050" t="s">
        <v>572</v>
      </c>
      <c r="C28" s="2052"/>
      <c r="D28" s="2050"/>
      <c r="E28" s="2051"/>
      <c r="F28" s="2051"/>
      <c r="G28" s="2052"/>
      <c r="H28" s="139"/>
      <c r="I28" s="140"/>
    </row>
    <row r="29" spans="1:9" ht="99.6" customHeight="1" x14ac:dyDescent="0.2">
      <c r="A29" s="141" t="s">
        <v>143</v>
      </c>
      <c r="B29" s="2053" t="s">
        <v>574</v>
      </c>
      <c r="C29" s="2055"/>
      <c r="D29" s="2053" t="s">
        <v>5867</v>
      </c>
      <c r="E29" s="2054"/>
      <c r="F29" s="2054"/>
      <c r="G29" s="2055"/>
      <c r="H29" s="142"/>
      <c r="I29" s="143"/>
    </row>
    <row r="30" spans="1:9" ht="49.7" customHeight="1" x14ac:dyDescent="0.2">
      <c r="A30" s="144" t="s">
        <v>143</v>
      </c>
      <c r="B30" s="2056" t="s">
        <v>5858</v>
      </c>
      <c r="C30" s="2058"/>
      <c r="D30" s="2056" t="s">
        <v>5859</v>
      </c>
      <c r="E30" s="2057"/>
      <c r="F30" s="2057"/>
      <c r="G30" s="2058"/>
      <c r="H30" s="145"/>
      <c r="I30" s="146"/>
    </row>
    <row r="31" spans="1:9" ht="30.75" customHeight="1" x14ac:dyDescent="0.2">
      <c r="A31" s="144" t="s">
        <v>188</v>
      </c>
      <c r="B31" s="2074" t="s">
        <v>5868</v>
      </c>
      <c r="C31" s="2075"/>
      <c r="D31" s="2074"/>
      <c r="E31" s="2076"/>
      <c r="F31" s="2076"/>
      <c r="G31" s="2075"/>
      <c r="H31" s="251"/>
      <c r="I31" s="252">
        <f>I17+I22+I27</f>
        <v>2585.5500000000002</v>
      </c>
    </row>
    <row r="32" spans="1:9" ht="67.5" customHeight="1" x14ac:dyDescent="0.2">
      <c r="A32" s="144" t="s">
        <v>189</v>
      </c>
      <c r="B32" s="2043" t="s">
        <v>5840</v>
      </c>
      <c r="C32" s="2045"/>
      <c r="D32" s="2077" t="s">
        <v>5869</v>
      </c>
      <c r="E32" s="2078"/>
      <c r="F32" s="2078"/>
      <c r="G32" s="2079"/>
      <c r="H32" s="253" t="s">
        <v>5870</v>
      </c>
      <c r="I32" s="254">
        <f>I31/1.19</f>
        <v>2172.73</v>
      </c>
    </row>
    <row r="33" spans="1:9" ht="21.6" hidden="1" customHeight="1" x14ac:dyDescent="0.2">
      <c r="A33" s="144" t="s">
        <v>188</v>
      </c>
      <c r="B33" s="2074" t="s">
        <v>588</v>
      </c>
      <c r="C33" s="2075"/>
      <c r="D33" s="2074"/>
      <c r="E33" s="2076"/>
      <c r="F33" s="2076"/>
      <c r="G33" s="2075"/>
      <c r="H33" s="251"/>
      <c r="I33" s="252">
        <f>ROUND((SUM($I$17:$I$27)),2)</f>
        <v>2585.5500000000002</v>
      </c>
    </row>
    <row r="34" spans="1:9" ht="37.35" customHeight="1" x14ac:dyDescent="0.2">
      <c r="A34" s="132" t="s">
        <v>190</v>
      </c>
      <c r="B34" s="2037" t="s">
        <v>5871</v>
      </c>
      <c r="C34" s="2039"/>
      <c r="D34" s="2037" t="s">
        <v>590</v>
      </c>
      <c r="E34" s="2038"/>
      <c r="F34" s="2038"/>
      <c r="G34" s="2039"/>
      <c r="H34" s="255" t="s">
        <v>5872</v>
      </c>
      <c r="I34" s="256">
        <f>I31*4.59</f>
        <v>11867.67</v>
      </c>
    </row>
    <row r="35" spans="1:9" ht="12.95" customHeight="1" x14ac:dyDescent="0.2">
      <c r="A35" s="132" t="s">
        <v>191</v>
      </c>
      <c r="B35" s="2040" t="s">
        <v>592</v>
      </c>
      <c r="C35" s="2042"/>
      <c r="D35" s="2040"/>
      <c r="E35" s="2041"/>
      <c r="F35" s="2041"/>
      <c r="G35" s="2042"/>
      <c r="H35" s="133"/>
      <c r="I35" s="257">
        <f>ROUND(($I$34),2)</f>
        <v>11867.67</v>
      </c>
    </row>
    <row r="36" spans="1:9" ht="12.4" customHeight="1" x14ac:dyDescent="0.2"/>
    <row r="37" spans="1:9" s="158" customFormat="1" ht="25.15" hidden="1" customHeight="1" x14ac:dyDescent="0.2">
      <c r="A37" s="2036" t="s">
        <v>593</v>
      </c>
      <c r="B37" s="2036"/>
      <c r="C37" s="2036"/>
      <c r="D37" s="2036" t="e">
        <f ca="1">convertNumToStr($I$35,1,2)</f>
        <v>#NAME?</v>
      </c>
      <c r="E37" s="2036"/>
      <c r="F37" s="2036"/>
      <c r="G37" s="2036"/>
      <c r="H37" s="2036"/>
      <c r="I37" s="2036"/>
    </row>
    <row r="38" spans="1:9" ht="12.75" customHeight="1" x14ac:dyDescent="0.2">
      <c r="D38" s="125"/>
    </row>
    <row r="39" spans="1:9" x14ac:dyDescent="0.2">
      <c r="A39" s="2035" t="s">
        <v>5844</v>
      </c>
      <c r="B39" s="2035"/>
      <c r="C39" s="2035"/>
      <c r="D39" s="2036" t="s">
        <v>594</v>
      </c>
      <c r="E39" s="2036"/>
      <c r="F39" s="2036"/>
      <c r="G39" s="2036"/>
      <c r="H39" s="2036"/>
      <c r="I39" s="2036"/>
    </row>
  </sheetData>
  <mergeCells count="56">
    <mergeCell ref="B14:C14"/>
    <mergeCell ref="D14:G14"/>
    <mergeCell ref="A1:C1"/>
    <mergeCell ref="D1:I1"/>
    <mergeCell ref="A3:I3"/>
    <mergeCell ref="A4:I4"/>
    <mergeCell ref="A6:C6"/>
    <mergeCell ref="D6:I6"/>
    <mergeCell ref="A8:C8"/>
    <mergeCell ref="D8:I8"/>
    <mergeCell ref="A10:C10"/>
    <mergeCell ref="D10:I10"/>
    <mergeCell ref="A12:I12"/>
    <mergeCell ref="B22:C22"/>
    <mergeCell ref="D22:G22"/>
    <mergeCell ref="B15:C15"/>
    <mergeCell ref="D15:G15"/>
    <mergeCell ref="A16:I16"/>
    <mergeCell ref="B17:C17"/>
    <mergeCell ref="D17:G17"/>
    <mergeCell ref="B18:C18"/>
    <mergeCell ref="D18:G18"/>
    <mergeCell ref="B19:C19"/>
    <mergeCell ref="D19:G19"/>
    <mergeCell ref="B20:C20"/>
    <mergeCell ref="D20:G20"/>
    <mergeCell ref="A21:I21"/>
    <mergeCell ref="B29:C29"/>
    <mergeCell ref="D29:G29"/>
    <mergeCell ref="B23:C23"/>
    <mergeCell ref="D23:G23"/>
    <mergeCell ref="B24:C24"/>
    <mergeCell ref="D24:G24"/>
    <mergeCell ref="B25:C25"/>
    <mergeCell ref="D25:G25"/>
    <mergeCell ref="A26:I26"/>
    <mergeCell ref="B27:C27"/>
    <mergeCell ref="D27:G27"/>
    <mergeCell ref="B28:C28"/>
    <mergeCell ref="D28:G28"/>
    <mergeCell ref="B30:C30"/>
    <mergeCell ref="D30:G30"/>
    <mergeCell ref="B31:C31"/>
    <mergeCell ref="D31:G31"/>
    <mergeCell ref="B32:C32"/>
    <mergeCell ref="D32:G32"/>
    <mergeCell ref="A37:C37"/>
    <mergeCell ref="D37:I37"/>
    <mergeCell ref="A39:C39"/>
    <mergeCell ref="D39:I39"/>
    <mergeCell ref="B33:C33"/>
    <mergeCell ref="D33:G33"/>
    <mergeCell ref="B34:C34"/>
    <mergeCell ref="D34:G34"/>
    <mergeCell ref="B35:C35"/>
    <mergeCell ref="D35:G35"/>
  </mergeCells>
  <pageMargins left="0.39370078740157477" right="0.39370078740157477" top="0.74803149606299213" bottom="0.74803149606299213" header="0.31496062992125984" footer="0.31496062992125984"/>
  <pageSetup paperSize="9" orientation="portrait" useFirstPageNumber="1" horizontalDpi="300" verticalDpi="300" r:id="rId1"/>
  <headerFooter alignWithMargins="0">
    <oddFooter>&amp;CСтраница &amp;P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42"/>
  <sheetViews>
    <sheetView topLeftCell="A21" workbookViewId="0">
      <selection activeCell="F32" sqref="F32"/>
    </sheetView>
  </sheetViews>
  <sheetFormatPr defaultColWidth="11.5703125" defaultRowHeight="12.75" x14ac:dyDescent="0.2"/>
  <cols>
    <col min="1" max="1" width="3.5703125" style="124" customWidth="1"/>
    <col min="2" max="2" width="26.5703125" style="124" customWidth="1"/>
    <col min="3" max="3" width="7.5703125" style="124" customWidth="1"/>
    <col min="4" max="4" width="4.85546875" style="124" customWidth="1"/>
    <col min="5" max="5" width="30" style="124" customWidth="1"/>
    <col min="6" max="6" width="19.5703125" style="124" customWidth="1"/>
    <col min="7" max="7" width="14.7109375" style="124" customWidth="1"/>
    <col min="8" max="256" width="11.5703125" style="121"/>
    <col min="257" max="257" width="3.5703125" style="121" customWidth="1"/>
    <col min="258" max="258" width="26.5703125" style="121" customWidth="1"/>
    <col min="259" max="259" width="7.5703125" style="121" customWidth="1"/>
    <col min="260" max="260" width="4.85546875" style="121" customWidth="1"/>
    <col min="261" max="261" width="27.5703125" style="121" customWidth="1"/>
    <col min="262" max="262" width="14.42578125" style="121" customWidth="1"/>
    <col min="263" max="512" width="11.5703125" style="121"/>
    <col min="513" max="513" width="3.5703125" style="121" customWidth="1"/>
    <col min="514" max="514" width="26.5703125" style="121" customWidth="1"/>
    <col min="515" max="515" width="7.5703125" style="121" customWidth="1"/>
    <col min="516" max="516" width="4.85546875" style="121" customWidth="1"/>
    <col min="517" max="517" width="27.5703125" style="121" customWidth="1"/>
    <col min="518" max="518" width="14.42578125" style="121" customWidth="1"/>
    <col min="519" max="768" width="11.5703125" style="121"/>
    <col min="769" max="769" width="3.5703125" style="121" customWidth="1"/>
    <col min="770" max="770" width="26.5703125" style="121" customWidth="1"/>
    <col min="771" max="771" width="7.5703125" style="121" customWidth="1"/>
    <col min="772" max="772" width="4.85546875" style="121" customWidth="1"/>
    <col min="773" max="773" width="27.5703125" style="121" customWidth="1"/>
    <col min="774" max="774" width="14.42578125" style="121" customWidth="1"/>
    <col min="775" max="1024" width="11.5703125" style="121"/>
    <col min="1025" max="1025" width="3.5703125" style="121" customWidth="1"/>
    <col min="1026" max="1026" width="26.5703125" style="121" customWidth="1"/>
    <col min="1027" max="1027" width="7.5703125" style="121" customWidth="1"/>
    <col min="1028" max="1028" width="4.85546875" style="121" customWidth="1"/>
    <col min="1029" max="1029" width="27.5703125" style="121" customWidth="1"/>
    <col min="1030" max="1030" width="14.42578125" style="121" customWidth="1"/>
    <col min="1031" max="1280" width="11.5703125" style="121"/>
    <col min="1281" max="1281" width="3.5703125" style="121" customWidth="1"/>
    <col min="1282" max="1282" width="26.5703125" style="121" customWidth="1"/>
    <col min="1283" max="1283" width="7.5703125" style="121" customWidth="1"/>
    <col min="1284" max="1284" width="4.85546875" style="121" customWidth="1"/>
    <col min="1285" max="1285" width="27.5703125" style="121" customWidth="1"/>
    <col min="1286" max="1286" width="14.42578125" style="121" customWidth="1"/>
    <col min="1287" max="1536" width="11.5703125" style="121"/>
    <col min="1537" max="1537" width="3.5703125" style="121" customWidth="1"/>
    <col min="1538" max="1538" width="26.5703125" style="121" customWidth="1"/>
    <col min="1539" max="1539" width="7.5703125" style="121" customWidth="1"/>
    <col min="1540" max="1540" width="4.85546875" style="121" customWidth="1"/>
    <col min="1541" max="1541" width="27.5703125" style="121" customWidth="1"/>
    <col min="1542" max="1542" width="14.42578125" style="121" customWidth="1"/>
    <col min="1543" max="1792" width="11.5703125" style="121"/>
    <col min="1793" max="1793" width="3.5703125" style="121" customWidth="1"/>
    <col min="1794" max="1794" width="26.5703125" style="121" customWidth="1"/>
    <col min="1795" max="1795" width="7.5703125" style="121" customWidth="1"/>
    <col min="1796" max="1796" width="4.85546875" style="121" customWidth="1"/>
    <col min="1797" max="1797" width="27.5703125" style="121" customWidth="1"/>
    <col min="1798" max="1798" width="14.42578125" style="121" customWidth="1"/>
    <col min="1799" max="2048" width="11.5703125" style="121"/>
    <col min="2049" max="2049" width="3.5703125" style="121" customWidth="1"/>
    <col min="2050" max="2050" width="26.5703125" style="121" customWidth="1"/>
    <col min="2051" max="2051" width="7.5703125" style="121" customWidth="1"/>
    <col min="2052" max="2052" width="4.85546875" style="121" customWidth="1"/>
    <col min="2053" max="2053" width="27.5703125" style="121" customWidth="1"/>
    <col min="2054" max="2054" width="14.42578125" style="121" customWidth="1"/>
    <col min="2055" max="2304" width="11.5703125" style="121"/>
    <col min="2305" max="2305" width="3.5703125" style="121" customWidth="1"/>
    <col min="2306" max="2306" width="26.5703125" style="121" customWidth="1"/>
    <col min="2307" max="2307" width="7.5703125" style="121" customWidth="1"/>
    <col min="2308" max="2308" width="4.85546875" style="121" customWidth="1"/>
    <col min="2309" max="2309" width="27.5703125" style="121" customWidth="1"/>
    <col min="2310" max="2310" width="14.42578125" style="121" customWidth="1"/>
    <col min="2311" max="2560" width="11.5703125" style="121"/>
    <col min="2561" max="2561" width="3.5703125" style="121" customWidth="1"/>
    <col min="2562" max="2562" width="26.5703125" style="121" customWidth="1"/>
    <col min="2563" max="2563" width="7.5703125" style="121" customWidth="1"/>
    <col min="2564" max="2564" width="4.85546875" style="121" customWidth="1"/>
    <col min="2565" max="2565" width="27.5703125" style="121" customWidth="1"/>
    <col min="2566" max="2566" width="14.42578125" style="121" customWidth="1"/>
    <col min="2567" max="2816" width="11.5703125" style="121"/>
    <col min="2817" max="2817" width="3.5703125" style="121" customWidth="1"/>
    <col min="2818" max="2818" width="26.5703125" style="121" customWidth="1"/>
    <col min="2819" max="2819" width="7.5703125" style="121" customWidth="1"/>
    <col min="2820" max="2820" width="4.85546875" style="121" customWidth="1"/>
    <col min="2821" max="2821" width="27.5703125" style="121" customWidth="1"/>
    <col min="2822" max="2822" width="14.42578125" style="121" customWidth="1"/>
    <col min="2823" max="3072" width="11.5703125" style="121"/>
    <col min="3073" max="3073" width="3.5703125" style="121" customWidth="1"/>
    <col min="3074" max="3074" width="26.5703125" style="121" customWidth="1"/>
    <col min="3075" max="3075" width="7.5703125" style="121" customWidth="1"/>
    <col min="3076" max="3076" width="4.85546875" style="121" customWidth="1"/>
    <col min="3077" max="3077" width="27.5703125" style="121" customWidth="1"/>
    <col min="3078" max="3078" width="14.42578125" style="121" customWidth="1"/>
    <col min="3079" max="3328" width="11.5703125" style="121"/>
    <col min="3329" max="3329" width="3.5703125" style="121" customWidth="1"/>
    <col min="3330" max="3330" width="26.5703125" style="121" customWidth="1"/>
    <col min="3331" max="3331" width="7.5703125" style="121" customWidth="1"/>
    <col min="3332" max="3332" width="4.85546875" style="121" customWidth="1"/>
    <col min="3333" max="3333" width="27.5703125" style="121" customWidth="1"/>
    <col min="3334" max="3334" width="14.42578125" style="121" customWidth="1"/>
    <col min="3335" max="3584" width="11.5703125" style="121"/>
    <col min="3585" max="3585" width="3.5703125" style="121" customWidth="1"/>
    <col min="3586" max="3586" width="26.5703125" style="121" customWidth="1"/>
    <col min="3587" max="3587" width="7.5703125" style="121" customWidth="1"/>
    <col min="3588" max="3588" width="4.85546875" style="121" customWidth="1"/>
    <col min="3589" max="3589" width="27.5703125" style="121" customWidth="1"/>
    <col min="3590" max="3590" width="14.42578125" style="121" customWidth="1"/>
    <col min="3591" max="3840" width="11.5703125" style="121"/>
    <col min="3841" max="3841" width="3.5703125" style="121" customWidth="1"/>
    <col min="3842" max="3842" width="26.5703125" style="121" customWidth="1"/>
    <col min="3843" max="3843" width="7.5703125" style="121" customWidth="1"/>
    <col min="3844" max="3844" width="4.85546875" style="121" customWidth="1"/>
    <col min="3845" max="3845" width="27.5703125" style="121" customWidth="1"/>
    <col min="3846" max="3846" width="14.42578125" style="121" customWidth="1"/>
    <col min="3847" max="4096" width="11.5703125" style="121"/>
    <col min="4097" max="4097" width="3.5703125" style="121" customWidth="1"/>
    <col min="4098" max="4098" width="26.5703125" style="121" customWidth="1"/>
    <col min="4099" max="4099" width="7.5703125" style="121" customWidth="1"/>
    <col min="4100" max="4100" width="4.85546875" style="121" customWidth="1"/>
    <col min="4101" max="4101" width="27.5703125" style="121" customWidth="1"/>
    <col min="4102" max="4102" width="14.42578125" style="121" customWidth="1"/>
    <col min="4103" max="4352" width="11.5703125" style="121"/>
    <col min="4353" max="4353" width="3.5703125" style="121" customWidth="1"/>
    <col min="4354" max="4354" width="26.5703125" style="121" customWidth="1"/>
    <col min="4355" max="4355" width="7.5703125" style="121" customWidth="1"/>
    <col min="4356" max="4356" width="4.85546875" style="121" customWidth="1"/>
    <col min="4357" max="4357" width="27.5703125" style="121" customWidth="1"/>
    <col min="4358" max="4358" width="14.42578125" style="121" customWidth="1"/>
    <col min="4359" max="4608" width="11.5703125" style="121"/>
    <col min="4609" max="4609" width="3.5703125" style="121" customWidth="1"/>
    <col min="4610" max="4610" width="26.5703125" style="121" customWidth="1"/>
    <col min="4611" max="4611" width="7.5703125" style="121" customWidth="1"/>
    <col min="4612" max="4612" width="4.85546875" style="121" customWidth="1"/>
    <col min="4613" max="4613" width="27.5703125" style="121" customWidth="1"/>
    <col min="4614" max="4614" width="14.42578125" style="121" customWidth="1"/>
    <col min="4615" max="4864" width="11.5703125" style="121"/>
    <col min="4865" max="4865" width="3.5703125" style="121" customWidth="1"/>
    <col min="4866" max="4866" width="26.5703125" style="121" customWidth="1"/>
    <col min="4867" max="4867" width="7.5703125" style="121" customWidth="1"/>
    <col min="4868" max="4868" width="4.85546875" style="121" customWidth="1"/>
    <col min="4869" max="4869" width="27.5703125" style="121" customWidth="1"/>
    <col min="4870" max="4870" width="14.42578125" style="121" customWidth="1"/>
    <col min="4871" max="5120" width="11.5703125" style="121"/>
    <col min="5121" max="5121" width="3.5703125" style="121" customWidth="1"/>
    <col min="5122" max="5122" width="26.5703125" style="121" customWidth="1"/>
    <col min="5123" max="5123" width="7.5703125" style="121" customWidth="1"/>
    <col min="5124" max="5124" width="4.85546875" style="121" customWidth="1"/>
    <col min="5125" max="5125" width="27.5703125" style="121" customWidth="1"/>
    <col min="5126" max="5126" width="14.42578125" style="121" customWidth="1"/>
    <col min="5127" max="5376" width="11.5703125" style="121"/>
    <col min="5377" max="5377" width="3.5703125" style="121" customWidth="1"/>
    <col min="5378" max="5378" width="26.5703125" style="121" customWidth="1"/>
    <col min="5379" max="5379" width="7.5703125" style="121" customWidth="1"/>
    <col min="5380" max="5380" width="4.85546875" style="121" customWidth="1"/>
    <col min="5381" max="5381" width="27.5703125" style="121" customWidth="1"/>
    <col min="5382" max="5382" width="14.42578125" style="121" customWidth="1"/>
    <col min="5383" max="5632" width="11.5703125" style="121"/>
    <col min="5633" max="5633" width="3.5703125" style="121" customWidth="1"/>
    <col min="5634" max="5634" width="26.5703125" style="121" customWidth="1"/>
    <col min="5635" max="5635" width="7.5703125" style="121" customWidth="1"/>
    <col min="5636" max="5636" width="4.85546875" style="121" customWidth="1"/>
    <col min="5637" max="5637" width="27.5703125" style="121" customWidth="1"/>
    <col min="5638" max="5638" width="14.42578125" style="121" customWidth="1"/>
    <col min="5639" max="5888" width="11.5703125" style="121"/>
    <col min="5889" max="5889" width="3.5703125" style="121" customWidth="1"/>
    <col min="5890" max="5890" width="26.5703125" style="121" customWidth="1"/>
    <col min="5891" max="5891" width="7.5703125" style="121" customWidth="1"/>
    <col min="5892" max="5892" width="4.85546875" style="121" customWidth="1"/>
    <col min="5893" max="5893" width="27.5703125" style="121" customWidth="1"/>
    <col min="5894" max="5894" width="14.42578125" style="121" customWidth="1"/>
    <col min="5895" max="6144" width="11.5703125" style="121"/>
    <col min="6145" max="6145" width="3.5703125" style="121" customWidth="1"/>
    <col min="6146" max="6146" width="26.5703125" style="121" customWidth="1"/>
    <col min="6147" max="6147" width="7.5703125" style="121" customWidth="1"/>
    <col min="6148" max="6148" width="4.85546875" style="121" customWidth="1"/>
    <col min="6149" max="6149" width="27.5703125" style="121" customWidth="1"/>
    <col min="6150" max="6150" width="14.42578125" style="121" customWidth="1"/>
    <col min="6151" max="6400" width="11.5703125" style="121"/>
    <col min="6401" max="6401" width="3.5703125" style="121" customWidth="1"/>
    <col min="6402" max="6402" width="26.5703125" style="121" customWidth="1"/>
    <col min="6403" max="6403" width="7.5703125" style="121" customWidth="1"/>
    <col min="6404" max="6404" width="4.85546875" style="121" customWidth="1"/>
    <col min="6405" max="6405" width="27.5703125" style="121" customWidth="1"/>
    <col min="6406" max="6406" width="14.42578125" style="121" customWidth="1"/>
    <col min="6407" max="6656" width="11.5703125" style="121"/>
    <col min="6657" max="6657" width="3.5703125" style="121" customWidth="1"/>
    <col min="6658" max="6658" width="26.5703125" style="121" customWidth="1"/>
    <col min="6659" max="6659" width="7.5703125" style="121" customWidth="1"/>
    <col min="6660" max="6660" width="4.85546875" style="121" customWidth="1"/>
    <col min="6661" max="6661" width="27.5703125" style="121" customWidth="1"/>
    <col min="6662" max="6662" width="14.42578125" style="121" customWidth="1"/>
    <col min="6663" max="6912" width="11.5703125" style="121"/>
    <col min="6913" max="6913" width="3.5703125" style="121" customWidth="1"/>
    <col min="6914" max="6914" width="26.5703125" style="121" customWidth="1"/>
    <col min="6915" max="6915" width="7.5703125" style="121" customWidth="1"/>
    <col min="6916" max="6916" width="4.85546875" style="121" customWidth="1"/>
    <col min="6917" max="6917" width="27.5703125" style="121" customWidth="1"/>
    <col min="6918" max="6918" width="14.42578125" style="121" customWidth="1"/>
    <col min="6919" max="7168" width="11.5703125" style="121"/>
    <col min="7169" max="7169" width="3.5703125" style="121" customWidth="1"/>
    <col min="7170" max="7170" width="26.5703125" style="121" customWidth="1"/>
    <col min="7171" max="7171" width="7.5703125" style="121" customWidth="1"/>
    <col min="7172" max="7172" width="4.85546875" style="121" customWidth="1"/>
    <col min="7173" max="7173" width="27.5703125" style="121" customWidth="1"/>
    <col min="7174" max="7174" width="14.42578125" style="121" customWidth="1"/>
    <col min="7175" max="7424" width="11.5703125" style="121"/>
    <col min="7425" max="7425" width="3.5703125" style="121" customWidth="1"/>
    <col min="7426" max="7426" width="26.5703125" style="121" customWidth="1"/>
    <col min="7427" max="7427" width="7.5703125" style="121" customWidth="1"/>
    <col min="7428" max="7428" width="4.85546875" style="121" customWidth="1"/>
    <col min="7429" max="7429" width="27.5703125" style="121" customWidth="1"/>
    <col min="7430" max="7430" width="14.42578125" style="121" customWidth="1"/>
    <col min="7431" max="7680" width="11.5703125" style="121"/>
    <col min="7681" max="7681" width="3.5703125" style="121" customWidth="1"/>
    <col min="7682" max="7682" width="26.5703125" style="121" customWidth="1"/>
    <col min="7683" max="7683" width="7.5703125" style="121" customWidth="1"/>
    <col min="7684" max="7684" width="4.85546875" style="121" customWidth="1"/>
    <col min="7685" max="7685" width="27.5703125" style="121" customWidth="1"/>
    <col min="7686" max="7686" width="14.42578125" style="121" customWidth="1"/>
    <col min="7687" max="7936" width="11.5703125" style="121"/>
    <col min="7937" max="7937" width="3.5703125" style="121" customWidth="1"/>
    <col min="7938" max="7938" width="26.5703125" style="121" customWidth="1"/>
    <col min="7939" max="7939" width="7.5703125" style="121" customWidth="1"/>
    <col min="7940" max="7940" width="4.85546875" style="121" customWidth="1"/>
    <col min="7941" max="7941" width="27.5703125" style="121" customWidth="1"/>
    <col min="7942" max="7942" width="14.42578125" style="121" customWidth="1"/>
    <col min="7943" max="8192" width="11.5703125" style="121"/>
    <col min="8193" max="8193" width="3.5703125" style="121" customWidth="1"/>
    <col min="8194" max="8194" width="26.5703125" style="121" customWidth="1"/>
    <col min="8195" max="8195" width="7.5703125" style="121" customWidth="1"/>
    <col min="8196" max="8196" width="4.85546875" style="121" customWidth="1"/>
    <col min="8197" max="8197" width="27.5703125" style="121" customWidth="1"/>
    <col min="8198" max="8198" width="14.42578125" style="121" customWidth="1"/>
    <col min="8199" max="8448" width="11.5703125" style="121"/>
    <col min="8449" max="8449" width="3.5703125" style="121" customWidth="1"/>
    <col min="8450" max="8450" width="26.5703125" style="121" customWidth="1"/>
    <col min="8451" max="8451" width="7.5703125" style="121" customWidth="1"/>
    <col min="8452" max="8452" width="4.85546875" style="121" customWidth="1"/>
    <col min="8453" max="8453" width="27.5703125" style="121" customWidth="1"/>
    <col min="8454" max="8454" width="14.42578125" style="121" customWidth="1"/>
    <col min="8455" max="8704" width="11.5703125" style="121"/>
    <col min="8705" max="8705" width="3.5703125" style="121" customWidth="1"/>
    <col min="8706" max="8706" width="26.5703125" style="121" customWidth="1"/>
    <col min="8707" max="8707" width="7.5703125" style="121" customWidth="1"/>
    <col min="8708" max="8708" width="4.85546875" style="121" customWidth="1"/>
    <col min="8709" max="8709" width="27.5703125" style="121" customWidth="1"/>
    <col min="8710" max="8710" width="14.42578125" style="121" customWidth="1"/>
    <col min="8711" max="8960" width="11.5703125" style="121"/>
    <col min="8961" max="8961" width="3.5703125" style="121" customWidth="1"/>
    <col min="8962" max="8962" width="26.5703125" style="121" customWidth="1"/>
    <col min="8963" max="8963" width="7.5703125" style="121" customWidth="1"/>
    <col min="8964" max="8964" width="4.85546875" style="121" customWidth="1"/>
    <col min="8965" max="8965" width="27.5703125" style="121" customWidth="1"/>
    <col min="8966" max="8966" width="14.42578125" style="121" customWidth="1"/>
    <col min="8967" max="9216" width="11.5703125" style="121"/>
    <col min="9217" max="9217" width="3.5703125" style="121" customWidth="1"/>
    <col min="9218" max="9218" width="26.5703125" style="121" customWidth="1"/>
    <col min="9219" max="9219" width="7.5703125" style="121" customWidth="1"/>
    <col min="9220" max="9220" width="4.85546875" style="121" customWidth="1"/>
    <col min="9221" max="9221" width="27.5703125" style="121" customWidth="1"/>
    <col min="9222" max="9222" width="14.42578125" style="121" customWidth="1"/>
    <col min="9223" max="9472" width="11.5703125" style="121"/>
    <col min="9473" max="9473" width="3.5703125" style="121" customWidth="1"/>
    <col min="9474" max="9474" width="26.5703125" style="121" customWidth="1"/>
    <col min="9475" max="9475" width="7.5703125" style="121" customWidth="1"/>
    <col min="9476" max="9476" width="4.85546875" style="121" customWidth="1"/>
    <col min="9477" max="9477" width="27.5703125" style="121" customWidth="1"/>
    <col min="9478" max="9478" width="14.42578125" style="121" customWidth="1"/>
    <col min="9479" max="9728" width="11.5703125" style="121"/>
    <col min="9729" max="9729" width="3.5703125" style="121" customWidth="1"/>
    <col min="9730" max="9730" width="26.5703125" style="121" customWidth="1"/>
    <col min="9731" max="9731" width="7.5703125" style="121" customWidth="1"/>
    <col min="9732" max="9732" width="4.85546875" style="121" customWidth="1"/>
    <col min="9733" max="9733" width="27.5703125" style="121" customWidth="1"/>
    <col min="9734" max="9734" width="14.42578125" style="121" customWidth="1"/>
    <col min="9735" max="9984" width="11.5703125" style="121"/>
    <col min="9985" max="9985" width="3.5703125" style="121" customWidth="1"/>
    <col min="9986" max="9986" width="26.5703125" style="121" customWidth="1"/>
    <col min="9987" max="9987" width="7.5703125" style="121" customWidth="1"/>
    <col min="9988" max="9988" width="4.85546875" style="121" customWidth="1"/>
    <col min="9989" max="9989" width="27.5703125" style="121" customWidth="1"/>
    <col min="9990" max="9990" width="14.42578125" style="121" customWidth="1"/>
    <col min="9991" max="10240" width="11.5703125" style="121"/>
    <col min="10241" max="10241" width="3.5703125" style="121" customWidth="1"/>
    <col min="10242" max="10242" width="26.5703125" style="121" customWidth="1"/>
    <col min="10243" max="10243" width="7.5703125" style="121" customWidth="1"/>
    <col min="10244" max="10244" width="4.85546875" style="121" customWidth="1"/>
    <col min="10245" max="10245" width="27.5703125" style="121" customWidth="1"/>
    <col min="10246" max="10246" width="14.42578125" style="121" customWidth="1"/>
    <col min="10247" max="10496" width="11.5703125" style="121"/>
    <col min="10497" max="10497" width="3.5703125" style="121" customWidth="1"/>
    <col min="10498" max="10498" width="26.5703125" style="121" customWidth="1"/>
    <col min="10499" max="10499" width="7.5703125" style="121" customWidth="1"/>
    <col min="10500" max="10500" width="4.85546875" style="121" customWidth="1"/>
    <col min="10501" max="10501" width="27.5703125" style="121" customWidth="1"/>
    <col min="10502" max="10502" width="14.42578125" style="121" customWidth="1"/>
    <col min="10503" max="10752" width="11.5703125" style="121"/>
    <col min="10753" max="10753" width="3.5703125" style="121" customWidth="1"/>
    <col min="10754" max="10754" width="26.5703125" style="121" customWidth="1"/>
    <col min="10755" max="10755" width="7.5703125" style="121" customWidth="1"/>
    <col min="10756" max="10756" width="4.85546875" style="121" customWidth="1"/>
    <col min="10757" max="10757" width="27.5703125" style="121" customWidth="1"/>
    <col min="10758" max="10758" width="14.42578125" style="121" customWidth="1"/>
    <col min="10759" max="11008" width="11.5703125" style="121"/>
    <col min="11009" max="11009" width="3.5703125" style="121" customWidth="1"/>
    <col min="11010" max="11010" width="26.5703125" style="121" customWidth="1"/>
    <col min="11011" max="11011" width="7.5703125" style="121" customWidth="1"/>
    <col min="11012" max="11012" width="4.85546875" style="121" customWidth="1"/>
    <col min="11013" max="11013" width="27.5703125" style="121" customWidth="1"/>
    <col min="11014" max="11014" width="14.42578125" style="121" customWidth="1"/>
    <col min="11015" max="11264" width="11.5703125" style="121"/>
    <col min="11265" max="11265" width="3.5703125" style="121" customWidth="1"/>
    <col min="11266" max="11266" width="26.5703125" style="121" customWidth="1"/>
    <col min="11267" max="11267" width="7.5703125" style="121" customWidth="1"/>
    <col min="11268" max="11268" width="4.85546875" style="121" customWidth="1"/>
    <col min="11269" max="11269" width="27.5703125" style="121" customWidth="1"/>
    <col min="11270" max="11270" width="14.42578125" style="121" customWidth="1"/>
    <col min="11271" max="11520" width="11.5703125" style="121"/>
    <col min="11521" max="11521" width="3.5703125" style="121" customWidth="1"/>
    <col min="11522" max="11522" width="26.5703125" style="121" customWidth="1"/>
    <col min="11523" max="11523" width="7.5703125" style="121" customWidth="1"/>
    <col min="11524" max="11524" width="4.85546875" style="121" customWidth="1"/>
    <col min="11525" max="11525" width="27.5703125" style="121" customWidth="1"/>
    <col min="11526" max="11526" width="14.42578125" style="121" customWidth="1"/>
    <col min="11527" max="11776" width="11.5703125" style="121"/>
    <col min="11777" max="11777" width="3.5703125" style="121" customWidth="1"/>
    <col min="11778" max="11778" width="26.5703125" style="121" customWidth="1"/>
    <col min="11779" max="11779" width="7.5703125" style="121" customWidth="1"/>
    <col min="11780" max="11780" width="4.85546875" style="121" customWidth="1"/>
    <col min="11781" max="11781" width="27.5703125" style="121" customWidth="1"/>
    <col min="11782" max="11782" width="14.42578125" style="121" customWidth="1"/>
    <col min="11783" max="12032" width="11.5703125" style="121"/>
    <col min="12033" max="12033" width="3.5703125" style="121" customWidth="1"/>
    <col min="12034" max="12034" width="26.5703125" style="121" customWidth="1"/>
    <col min="12035" max="12035" width="7.5703125" style="121" customWidth="1"/>
    <col min="12036" max="12036" width="4.85546875" style="121" customWidth="1"/>
    <col min="12037" max="12037" width="27.5703125" style="121" customWidth="1"/>
    <col min="12038" max="12038" width="14.42578125" style="121" customWidth="1"/>
    <col min="12039" max="12288" width="11.5703125" style="121"/>
    <col min="12289" max="12289" width="3.5703125" style="121" customWidth="1"/>
    <col min="12290" max="12290" width="26.5703125" style="121" customWidth="1"/>
    <col min="12291" max="12291" width="7.5703125" style="121" customWidth="1"/>
    <col min="12292" max="12292" width="4.85546875" style="121" customWidth="1"/>
    <col min="12293" max="12293" width="27.5703125" style="121" customWidth="1"/>
    <col min="12294" max="12294" width="14.42578125" style="121" customWidth="1"/>
    <col min="12295" max="12544" width="11.5703125" style="121"/>
    <col min="12545" max="12545" width="3.5703125" style="121" customWidth="1"/>
    <col min="12546" max="12546" width="26.5703125" style="121" customWidth="1"/>
    <col min="12547" max="12547" width="7.5703125" style="121" customWidth="1"/>
    <col min="12548" max="12548" width="4.85546875" style="121" customWidth="1"/>
    <col min="12549" max="12549" width="27.5703125" style="121" customWidth="1"/>
    <col min="12550" max="12550" width="14.42578125" style="121" customWidth="1"/>
    <col min="12551" max="12800" width="11.5703125" style="121"/>
    <col min="12801" max="12801" width="3.5703125" style="121" customWidth="1"/>
    <col min="12802" max="12802" width="26.5703125" style="121" customWidth="1"/>
    <col min="12803" max="12803" width="7.5703125" style="121" customWidth="1"/>
    <col min="12804" max="12804" width="4.85546875" style="121" customWidth="1"/>
    <col min="12805" max="12805" width="27.5703125" style="121" customWidth="1"/>
    <col min="12806" max="12806" width="14.42578125" style="121" customWidth="1"/>
    <col min="12807" max="13056" width="11.5703125" style="121"/>
    <col min="13057" max="13057" width="3.5703125" style="121" customWidth="1"/>
    <col min="13058" max="13058" width="26.5703125" style="121" customWidth="1"/>
    <col min="13059" max="13059" width="7.5703125" style="121" customWidth="1"/>
    <col min="13060" max="13060" width="4.85546875" style="121" customWidth="1"/>
    <col min="13061" max="13061" width="27.5703125" style="121" customWidth="1"/>
    <col min="13062" max="13062" width="14.42578125" style="121" customWidth="1"/>
    <col min="13063" max="13312" width="11.5703125" style="121"/>
    <col min="13313" max="13313" width="3.5703125" style="121" customWidth="1"/>
    <col min="13314" max="13314" width="26.5703125" style="121" customWidth="1"/>
    <col min="13315" max="13315" width="7.5703125" style="121" customWidth="1"/>
    <col min="13316" max="13316" width="4.85546875" style="121" customWidth="1"/>
    <col min="13317" max="13317" width="27.5703125" style="121" customWidth="1"/>
    <col min="13318" max="13318" width="14.42578125" style="121" customWidth="1"/>
    <col min="13319" max="13568" width="11.5703125" style="121"/>
    <col min="13569" max="13569" width="3.5703125" style="121" customWidth="1"/>
    <col min="13570" max="13570" width="26.5703125" style="121" customWidth="1"/>
    <col min="13571" max="13571" width="7.5703125" style="121" customWidth="1"/>
    <col min="13572" max="13572" width="4.85546875" style="121" customWidth="1"/>
    <col min="13573" max="13573" width="27.5703125" style="121" customWidth="1"/>
    <col min="13574" max="13574" width="14.42578125" style="121" customWidth="1"/>
    <col min="13575" max="13824" width="11.5703125" style="121"/>
    <col min="13825" max="13825" width="3.5703125" style="121" customWidth="1"/>
    <col min="13826" max="13826" width="26.5703125" style="121" customWidth="1"/>
    <col min="13827" max="13827" width="7.5703125" style="121" customWidth="1"/>
    <col min="13828" max="13828" width="4.85546875" style="121" customWidth="1"/>
    <col min="13829" max="13829" width="27.5703125" style="121" customWidth="1"/>
    <col min="13830" max="13830" width="14.42578125" style="121" customWidth="1"/>
    <col min="13831" max="14080" width="11.5703125" style="121"/>
    <col min="14081" max="14081" width="3.5703125" style="121" customWidth="1"/>
    <col min="14082" max="14082" width="26.5703125" style="121" customWidth="1"/>
    <col min="14083" max="14083" width="7.5703125" style="121" customWidth="1"/>
    <col min="14084" max="14084" width="4.85546875" style="121" customWidth="1"/>
    <col min="14085" max="14085" width="27.5703125" style="121" customWidth="1"/>
    <col min="14086" max="14086" width="14.42578125" style="121" customWidth="1"/>
    <col min="14087" max="14336" width="11.5703125" style="121"/>
    <col min="14337" max="14337" width="3.5703125" style="121" customWidth="1"/>
    <col min="14338" max="14338" width="26.5703125" style="121" customWidth="1"/>
    <col min="14339" max="14339" width="7.5703125" style="121" customWidth="1"/>
    <col min="14340" max="14340" width="4.85546875" style="121" customWidth="1"/>
    <col min="14341" max="14341" width="27.5703125" style="121" customWidth="1"/>
    <col min="14342" max="14342" width="14.42578125" style="121" customWidth="1"/>
    <col min="14343" max="14592" width="11.5703125" style="121"/>
    <col min="14593" max="14593" width="3.5703125" style="121" customWidth="1"/>
    <col min="14594" max="14594" width="26.5703125" style="121" customWidth="1"/>
    <col min="14595" max="14595" width="7.5703125" style="121" customWidth="1"/>
    <col min="14596" max="14596" width="4.85546875" style="121" customWidth="1"/>
    <col min="14597" max="14597" width="27.5703125" style="121" customWidth="1"/>
    <col min="14598" max="14598" width="14.42578125" style="121" customWidth="1"/>
    <col min="14599" max="14848" width="11.5703125" style="121"/>
    <col min="14849" max="14849" width="3.5703125" style="121" customWidth="1"/>
    <col min="14850" max="14850" width="26.5703125" style="121" customWidth="1"/>
    <col min="14851" max="14851" width="7.5703125" style="121" customWidth="1"/>
    <col min="14852" max="14852" width="4.85546875" style="121" customWidth="1"/>
    <col min="14853" max="14853" width="27.5703125" style="121" customWidth="1"/>
    <col min="14854" max="14854" width="14.42578125" style="121" customWidth="1"/>
    <col min="14855" max="15104" width="11.5703125" style="121"/>
    <col min="15105" max="15105" width="3.5703125" style="121" customWidth="1"/>
    <col min="15106" max="15106" width="26.5703125" style="121" customWidth="1"/>
    <col min="15107" max="15107" width="7.5703125" style="121" customWidth="1"/>
    <col min="15108" max="15108" width="4.85546875" style="121" customWidth="1"/>
    <col min="15109" max="15109" width="27.5703125" style="121" customWidth="1"/>
    <col min="15110" max="15110" width="14.42578125" style="121" customWidth="1"/>
    <col min="15111" max="15360" width="11.5703125" style="121"/>
    <col min="15361" max="15361" width="3.5703125" style="121" customWidth="1"/>
    <col min="15362" max="15362" width="26.5703125" style="121" customWidth="1"/>
    <col min="15363" max="15363" width="7.5703125" style="121" customWidth="1"/>
    <col min="15364" max="15364" width="4.85546875" style="121" customWidth="1"/>
    <col min="15365" max="15365" width="27.5703125" style="121" customWidth="1"/>
    <col min="15366" max="15366" width="14.42578125" style="121" customWidth="1"/>
    <col min="15367" max="15616" width="11.5703125" style="121"/>
    <col min="15617" max="15617" width="3.5703125" style="121" customWidth="1"/>
    <col min="15618" max="15618" width="26.5703125" style="121" customWidth="1"/>
    <col min="15619" max="15619" width="7.5703125" style="121" customWidth="1"/>
    <col min="15620" max="15620" width="4.85546875" style="121" customWidth="1"/>
    <col min="15621" max="15621" width="27.5703125" style="121" customWidth="1"/>
    <col min="15622" max="15622" width="14.42578125" style="121" customWidth="1"/>
    <col min="15623" max="15872" width="11.5703125" style="121"/>
    <col min="15873" max="15873" width="3.5703125" style="121" customWidth="1"/>
    <col min="15874" max="15874" width="26.5703125" style="121" customWidth="1"/>
    <col min="15875" max="15875" width="7.5703125" style="121" customWidth="1"/>
    <col min="15876" max="15876" width="4.85546875" style="121" customWidth="1"/>
    <col min="15877" max="15877" width="27.5703125" style="121" customWidth="1"/>
    <col min="15878" max="15878" width="14.42578125" style="121" customWidth="1"/>
    <col min="15879" max="16128" width="11.5703125" style="121"/>
    <col min="16129" max="16129" width="3.5703125" style="121" customWidth="1"/>
    <col min="16130" max="16130" width="26.5703125" style="121" customWidth="1"/>
    <col min="16131" max="16131" width="7.5703125" style="121" customWidth="1"/>
    <col min="16132" max="16132" width="4.85546875" style="121" customWidth="1"/>
    <col min="16133" max="16133" width="27.5703125" style="121" customWidth="1"/>
    <col min="16134" max="16134" width="14.42578125" style="121" customWidth="1"/>
    <col min="16135" max="16384" width="11.5703125" style="121"/>
  </cols>
  <sheetData>
    <row r="1" spans="1:7" ht="18.95" customHeight="1" x14ac:dyDescent="0.2">
      <c r="A1" s="2070" t="s">
        <v>5814</v>
      </c>
      <c r="B1" s="2070"/>
      <c r="C1" s="2071" t="s">
        <v>560</v>
      </c>
      <c r="D1" s="2071"/>
      <c r="E1" s="2071"/>
      <c r="F1" s="2071"/>
      <c r="G1" s="2071"/>
    </row>
    <row r="2" spans="1:7" x14ac:dyDescent="0.2">
      <c r="A2" s="122"/>
      <c r="B2" s="122"/>
      <c r="C2" s="123"/>
      <c r="D2" s="123"/>
      <c r="E2" s="123"/>
      <c r="F2" s="123"/>
      <c r="G2" s="123"/>
    </row>
    <row r="3" spans="1:7" x14ac:dyDescent="0.2">
      <c r="A3" s="122"/>
      <c r="B3" s="122"/>
      <c r="C3" s="123"/>
      <c r="D3" s="123"/>
      <c r="E3" s="123"/>
      <c r="F3" s="123"/>
      <c r="G3" s="123"/>
    </row>
    <row r="4" spans="1:7" x14ac:dyDescent="0.2">
      <c r="B4" s="2072" t="s">
        <v>5873</v>
      </c>
      <c r="C4" s="2072"/>
      <c r="D4" s="2072"/>
      <c r="E4" s="2072"/>
      <c r="F4" s="2072"/>
    </row>
    <row r="5" spans="1:7" x14ac:dyDescent="0.2">
      <c r="B5" s="2073" t="s">
        <v>5816</v>
      </c>
      <c r="C5" s="2073"/>
      <c r="D5" s="2073"/>
      <c r="E5" s="2073"/>
      <c r="F5" s="2073"/>
    </row>
    <row r="6" spans="1:7" x14ac:dyDescent="0.2">
      <c r="C6" s="247"/>
      <c r="D6" s="247"/>
      <c r="E6" s="247"/>
    </row>
    <row r="7" spans="1:7" ht="43.9" customHeight="1" x14ac:dyDescent="0.2">
      <c r="A7" s="2036" t="s">
        <v>561</v>
      </c>
      <c r="B7" s="2036"/>
      <c r="C7" s="2036"/>
      <c r="D7" s="2059" t="s">
        <v>5874</v>
      </c>
      <c r="E7" s="2059"/>
      <c r="F7" s="2059"/>
      <c r="G7" s="2059"/>
    </row>
    <row r="8" spans="1:7" x14ac:dyDescent="0.2">
      <c r="A8" s="126"/>
      <c r="B8" s="126"/>
      <c r="C8" s="127"/>
      <c r="D8" s="128"/>
      <c r="E8" s="128"/>
      <c r="F8" s="128"/>
      <c r="G8" s="128"/>
    </row>
    <row r="9" spans="1:7" x14ac:dyDescent="0.2">
      <c r="A9" s="2036" t="s">
        <v>562</v>
      </c>
      <c r="B9" s="2036"/>
      <c r="C9" s="2036"/>
      <c r="D9" s="2059" t="s">
        <v>565</v>
      </c>
      <c r="E9" s="2059"/>
      <c r="F9" s="2059"/>
      <c r="G9" s="2059"/>
    </row>
    <row r="10" spans="1:7" x14ac:dyDescent="0.2">
      <c r="D10" s="2059"/>
      <c r="E10" s="2059"/>
      <c r="F10" s="2059"/>
      <c r="G10" s="2059"/>
    </row>
    <row r="11" spans="1:7" ht="13.7" customHeight="1" x14ac:dyDescent="0.2">
      <c r="A11" s="2036" t="s">
        <v>564</v>
      </c>
      <c r="B11" s="2036"/>
      <c r="C11" s="2036"/>
      <c r="D11" s="2059" t="s">
        <v>563</v>
      </c>
      <c r="E11" s="2059"/>
      <c r="F11" s="2059"/>
      <c r="G11" s="2059"/>
    </row>
    <row r="12" spans="1:7" ht="12" customHeight="1" x14ac:dyDescent="0.2">
      <c r="A12" s="127"/>
      <c r="B12" s="127"/>
      <c r="D12" s="2059"/>
      <c r="E12" s="2059"/>
      <c r="F12" s="2059"/>
      <c r="G12" s="2059"/>
    </row>
    <row r="13" spans="1:7" ht="25.5" hidden="1" customHeight="1" x14ac:dyDescent="0.2">
      <c r="A13" s="2036" t="s">
        <v>5819</v>
      </c>
      <c r="B13" s="2060"/>
      <c r="C13" s="2060"/>
      <c r="D13" s="2060"/>
      <c r="E13" s="2060"/>
      <c r="F13" s="2060"/>
      <c r="G13" s="2060"/>
    </row>
    <row r="14" spans="1:7" hidden="1" x14ac:dyDescent="0.2"/>
    <row r="15" spans="1:7" ht="32.25" customHeight="1" x14ac:dyDescent="0.2">
      <c r="A15" s="129" t="s">
        <v>287</v>
      </c>
      <c r="B15" s="2061" t="s">
        <v>176</v>
      </c>
      <c r="C15" s="2062"/>
      <c r="D15" s="2063"/>
      <c r="E15" s="129" t="s">
        <v>566</v>
      </c>
      <c r="F15" s="129" t="s">
        <v>567</v>
      </c>
      <c r="G15" s="129" t="s">
        <v>568</v>
      </c>
    </row>
    <row r="16" spans="1:7" x14ac:dyDescent="0.2">
      <c r="A16" s="130">
        <v>1</v>
      </c>
      <c r="B16" s="2064">
        <v>2</v>
      </c>
      <c r="C16" s="2065"/>
      <c r="D16" s="2066"/>
      <c r="E16" s="131">
        <v>3</v>
      </c>
      <c r="F16" s="131">
        <v>4</v>
      </c>
      <c r="G16" s="131">
        <v>5</v>
      </c>
    </row>
    <row r="17" spans="1:7" ht="12.95" customHeight="1" x14ac:dyDescent="0.2">
      <c r="A17" s="132" t="s">
        <v>185</v>
      </c>
      <c r="B17" s="2067" t="s">
        <v>569</v>
      </c>
      <c r="C17" s="2068"/>
      <c r="D17" s="2069"/>
      <c r="E17" s="133" t="s">
        <v>570</v>
      </c>
      <c r="F17" s="133"/>
      <c r="G17" s="134"/>
    </row>
    <row r="18" spans="1:7" ht="156.94999999999999" customHeight="1" x14ac:dyDescent="0.2">
      <c r="A18" s="135" t="s">
        <v>571</v>
      </c>
      <c r="B18" s="2047" t="s">
        <v>5875</v>
      </c>
      <c r="C18" s="2048"/>
      <c r="D18" s="2049"/>
      <c r="E18" s="136" t="s">
        <v>5876</v>
      </c>
      <c r="F18" s="136" t="s">
        <v>5877</v>
      </c>
      <c r="G18" s="137">
        <f>ROUND(2258  * 5.794 * 1.1,2)</f>
        <v>14391.14</v>
      </c>
    </row>
    <row r="19" spans="1:7" ht="16.149999999999999" customHeight="1" x14ac:dyDescent="0.2">
      <c r="A19" s="138" t="s">
        <v>143</v>
      </c>
      <c r="B19" s="2050" t="s">
        <v>572</v>
      </c>
      <c r="C19" s="2051"/>
      <c r="D19" s="2052"/>
      <c r="E19" s="139"/>
      <c r="F19" s="139"/>
      <c r="G19" s="140"/>
    </row>
    <row r="20" spans="1:7" ht="12.95" customHeight="1" x14ac:dyDescent="0.2">
      <c r="A20" s="141" t="s">
        <v>143</v>
      </c>
      <c r="B20" s="2053" t="s">
        <v>573</v>
      </c>
      <c r="C20" s="2054"/>
      <c r="D20" s="2055"/>
      <c r="E20" s="142"/>
      <c r="F20" s="142"/>
      <c r="G20" s="143"/>
    </row>
    <row r="21" spans="1:7" ht="108" customHeight="1" x14ac:dyDescent="0.2">
      <c r="A21" s="144" t="s">
        <v>143</v>
      </c>
      <c r="B21" s="2056" t="s">
        <v>574</v>
      </c>
      <c r="C21" s="2057"/>
      <c r="D21" s="2058"/>
      <c r="E21" s="145" t="s">
        <v>575</v>
      </c>
      <c r="F21" s="145"/>
      <c r="G21" s="146"/>
    </row>
    <row r="22" spans="1:7" ht="12.95" customHeight="1" x14ac:dyDescent="0.2">
      <c r="A22" s="147" t="s">
        <v>576</v>
      </c>
      <c r="B22" s="2040" t="s">
        <v>579</v>
      </c>
      <c r="C22" s="2041"/>
      <c r="D22" s="2042"/>
      <c r="E22" s="148"/>
      <c r="F22" s="148"/>
      <c r="G22" s="149">
        <f>ROUND(($G$18),2)</f>
        <v>14391.14</v>
      </c>
    </row>
    <row r="23" spans="1:7" ht="12.95" customHeight="1" x14ac:dyDescent="0.2">
      <c r="A23" s="147" t="s">
        <v>577</v>
      </c>
      <c r="B23" s="2040" t="s">
        <v>581</v>
      </c>
      <c r="C23" s="2041"/>
      <c r="D23" s="2042"/>
      <c r="E23" s="148"/>
      <c r="F23" s="148"/>
      <c r="G23" s="149">
        <f>ROUND(($G$22),2)</f>
        <v>14391.14</v>
      </c>
    </row>
    <row r="24" spans="1:7" ht="12.95" customHeight="1" x14ac:dyDescent="0.2">
      <c r="A24" s="147" t="s">
        <v>186</v>
      </c>
      <c r="B24" s="2040" t="s">
        <v>569</v>
      </c>
      <c r="C24" s="2041"/>
      <c r="D24" s="2042"/>
      <c r="E24" s="148" t="s">
        <v>582</v>
      </c>
      <c r="F24" s="148"/>
      <c r="G24" s="150"/>
    </row>
    <row r="25" spans="1:7" ht="152.25" customHeight="1" x14ac:dyDescent="0.2">
      <c r="A25" s="135" t="s">
        <v>583</v>
      </c>
      <c r="B25" s="2047" t="s">
        <v>5824</v>
      </c>
      <c r="C25" s="2048"/>
      <c r="D25" s="2049"/>
      <c r="E25" s="136" t="s">
        <v>5878</v>
      </c>
      <c r="F25" s="136" t="s">
        <v>5879</v>
      </c>
      <c r="G25" s="137">
        <f>ROUND(734  * 5.794 * 1.75,2)</f>
        <v>7442.39</v>
      </c>
    </row>
    <row r="26" spans="1:7" ht="16.149999999999999" customHeight="1" x14ac:dyDescent="0.2">
      <c r="A26" s="138" t="s">
        <v>143</v>
      </c>
      <c r="B26" s="2050" t="s">
        <v>572</v>
      </c>
      <c r="C26" s="2051"/>
      <c r="D26" s="2052"/>
      <c r="E26" s="139"/>
      <c r="F26" s="139"/>
      <c r="G26" s="140"/>
    </row>
    <row r="27" spans="1:7" ht="12.95" customHeight="1" x14ac:dyDescent="0.2">
      <c r="A27" s="141" t="s">
        <v>143</v>
      </c>
      <c r="B27" s="2053" t="s">
        <v>573</v>
      </c>
      <c r="C27" s="2054"/>
      <c r="D27" s="2055"/>
      <c r="E27" s="142"/>
      <c r="F27" s="142"/>
      <c r="G27" s="143"/>
    </row>
    <row r="28" spans="1:7" ht="74.849999999999994" customHeight="1" x14ac:dyDescent="0.2">
      <c r="A28" s="144" t="s">
        <v>143</v>
      </c>
      <c r="B28" s="2056" t="s">
        <v>5827</v>
      </c>
      <c r="C28" s="2057"/>
      <c r="D28" s="2058"/>
      <c r="E28" s="145" t="s">
        <v>5828</v>
      </c>
      <c r="F28" s="145"/>
      <c r="G28" s="146"/>
    </row>
    <row r="29" spans="1:7" ht="12.95" customHeight="1" x14ac:dyDescent="0.2">
      <c r="A29" s="147" t="s">
        <v>584</v>
      </c>
      <c r="B29" s="2040" t="s">
        <v>586</v>
      </c>
      <c r="C29" s="2041"/>
      <c r="D29" s="2042"/>
      <c r="E29" s="148"/>
      <c r="F29" s="148"/>
      <c r="G29" s="149">
        <f>ROUND(($G$25),2)</f>
        <v>7442.39</v>
      </c>
    </row>
    <row r="30" spans="1:7" ht="12.95" customHeight="1" x14ac:dyDescent="0.2">
      <c r="A30" s="147" t="s">
        <v>585</v>
      </c>
      <c r="B30" s="2040" t="s">
        <v>587</v>
      </c>
      <c r="C30" s="2041"/>
      <c r="D30" s="2042"/>
      <c r="E30" s="148"/>
      <c r="F30" s="148"/>
      <c r="G30" s="149">
        <f>ROUND(($G$29),2)</f>
        <v>7442.39</v>
      </c>
    </row>
    <row r="31" spans="1:7" ht="12.95" customHeight="1" x14ac:dyDescent="0.2">
      <c r="A31" s="147" t="s">
        <v>187</v>
      </c>
      <c r="B31" s="2040" t="s">
        <v>588</v>
      </c>
      <c r="C31" s="2041"/>
      <c r="D31" s="2042"/>
      <c r="E31" s="148"/>
      <c r="F31" s="148"/>
      <c r="G31" s="149">
        <f>ROUND(($G$23 + $G$30),2)</f>
        <v>21833.53</v>
      </c>
    </row>
    <row r="32" spans="1:7" ht="49.7" customHeight="1" x14ac:dyDescent="0.2">
      <c r="A32" s="147" t="s">
        <v>188</v>
      </c>
      <c r="B32" s="2037" t="s">
        <v>5829</v>
      </c>
      <c r="C32" s="2038"/>
      <c r="D32" s="2039"/>
      <c r="E32" s="154" t="s">
        <v>5830</v>
      </c>
      <c r="F32" s="154" t="s">
        <v>5831</v>
      </c>
      <c r="G32" s="155">
        <f>ROUND(($G$23) * 8.75 / 100 * 1,2)</f>
        <v>1259.22</v>
      </c>
    </row>
    <row r="33" spans="1:9" ht="49.7" customHeight="1" x14ac:dyDescent="0.2">
      <c r="A33" s="147" t="s">
        <v>189</v>
      </c>
      <c r="B33" s="2037" t="s">
        <v>5832</v>
      </c>
      <c r="C33" s="2038"/>
      <c r="D33" s="2039"/>
      <c r="E33" s="154" t="s">
        <v>5833</v>
      </c>
      <c r="F33" s="154" t="s">
        <v>5834</v>
      </c>
      <c r="G33" s="155">
        <f>ROUND(($G$23 + $G$32) * 19.6 / 100 * 1,2)</f>
        <v>3067.47</v>
      </c>
    </row>
    <row r="34" spans="1:9" ht="49.7" customHeight="1" x14ac:dyDescent="0.2">
      <c r="A34" s="147" t="s">
        <v>190</v>
      </c>
      <c r="B34" s="2037" t="s">
        <v>5835</v>
      </c>
      <c r="C34" s="2038"/>
      <c r="D34" s="2039"/>
      <c r="E34" s="154" t="s">
        <v>5836</v>
      </c>
      <c r="F34" s="154" t="s">
        <v>5880</v>
      </c>
      <c r="G34" s="155">
        <f>ROUND(($G$23 + $G$32) * 2.5 * 1 * 6 / 100 * 1,2)</f>
        <v>2347.5500000000002</v>
      </c>
    </row>
    <row r="35" spans="1:9" ht="28.35" customHeight="1" x14ac:dyDescent="0.2">
      <c r="A35" s="147" t="s">
        <v>191</v>
      </c>
      <c r="B35" s="2040" t="s">
        <v>5881</v>
      </c>
      <c r="C35" s="2041"/>
      <c r="D35" s="2042"/>
      <c r="E35" s="154"/>
      <c r="F35" s="154"/>
      <c r="G35" s="149">
        <f>G31+G32+G33+G34</f>
        <v>28507.77</v>
      </c>
    </row>
    <row r="36" spans="1:9" ht="98.25" customHeight="1" x14ac:dyDescent="0.2">
      <c r="A36" s="147" t="s">
        <v>192</v>
      </c>
      <c r="B36" s="2043" t="s">
        <v>5840</v>
      </c>
      <c r="C36" s="2044"/>
      <c r="D36" s="2045"/>
      <c r="E36" s="248" t="s">
        <v>5841</v>
      </c>
      <c r="F36" s="156" t="s">
        <v>5842</v>
      </c>
      <c r="G36" s="157">
        <f>G35/1.266</f>
        <v>22517.99</v>
      </c>
    </row>
    <row r="37" spans="1:9" ht="39.4" customHeight="1" x14ac:dyDescent="0.2">
      <c r="A37" s="147" t="s">
        <v>193</v>
      </c>
      <c r="B37" s="2037" t="s">
        <v>589</v>
      </c>
      <c r="C37" s="2038"/>
      <c r="D37" s="2039"/>
      <c r="E37" s="154" t="s">
        <v>590</v>
      </c>
      <c r="F37" s="154" t="s">
        <v>591</v>
      </c>
      <c r="G37" s="155">
        <f>G35*4.66</f>
        <v>132846.21</v>
      </c>
    </row>
    <row r="38" spans="1:9" ht="17.100000000000001" customHeight="1" x14ac:dyDescent="0.2">
      <c r="A38" s="147" t="s">
        <v>194</v>
      </c>
      <c r="B38" s="2040" t="s">
        <v>592</v>
      </c>
      <c r="C38" s="2041"/>
      <c r="D38" s="2042"/>
      <c r="E38" s="148"/>
      <c r="F38" s="148"/>
      <c r="G38" s="149">
        <f>ROUND(($G$37),2)</f>
        <v>132846.21</v>
      </c>
    </row>
    <row r="39" spans="1:9" ht="12.4" hidden="1" customHeight="1" x14ac:dyDescent="0.2">
      <c r="B39" s="2046"/>
      <c r="C39" s="2046"/>
      <c r="D39" s="2046"/>
    </row>
    <row r="42" spans="1:9" s="158" customFormat="1" ht="13.7" customHeight="1" x14ac:dyDescent="0.2">
      <c r="A42" s="2035" t="s">
        <v>5844</v>
      </c>
      <c r="B42" s="2035"/>
      <c r="C42" s="2035"/>
      <c r="D42" s="2036" t="s">
        <v>594</v>
      </c>
      <c r="E42" s="2036"/>
      <c r="F42" s="2036"/>
      <c r="G42" s="2036"/>
      <c r="H42" s="2036"/>
      <c r="I42" s="2036"/>
    </row>
  </sheetData>
  <mergeCells count="38">
    <mergeCell ref="A1:B1"/>
    <mergeCell ref="C1:G1"/>
    <mergeCell ref="B4:F4"/>
    <mergeCell ref="B5:F5"/>
    <mergeCell ref="A7:C7"/>
    <mergeCell ref="D7:G7"/>
    <mergeCell ref="B21:D21"/>
    <mergeCell ref="A9:C9"/>
    <mergeCell ref="D9:G10"/>
    <mergeCell ref="A11:C11"/>
    <mergeCell ref="D11:G12"/>
    <mergeCell ref="A13:G13"/>
    <mergeCell ref="B15:D15"/>
    <mergeCell ref="B16:D16"/>
    <mergeCell ref="B17:D17"/>
    <mergeCell ref="B18:D18"/>
    <mergeCell ref="B19:D19"/>
    <mergeCell ref="B20:D20"/>
    <mergeCell ref="B33:D33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A42:C42"/>
    <mergeCell ref="D42:I42"/>
    <mergeCell ref="B34:D34"/>
    <mergeCell ref="B35:D35"/>
    <mergeCell ref="B36:D36"/>
    <mergeCell ref="B37:D37"/>
    <mergeCell ref="B38:D38"/>
    <mergeCell ref="B39:D39"/>
  </mergeCells>
  <pageMargins left="0.39374999999999999" right="0.39374999999999999" top="0.59027777777777779" bottom="0.82777777777777783" header="0.51180555555555562" footer="0.59027777777777779"/>
  <pageSetup paperSize="9" scale="99" orientation="portrait" useFirstPageNumber="1" horizontalDpi="300" verticalDpi="300" r:id="rId1"/>
  <headerFooter alignWithMargins="0">
    <oddFooter>&amp;CСтраница &amp;P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"/>
  <dimension ref="A2:L20"/>
  <sheetViews>
    <sheetView zoomScale="95" zoomScaleNormal="95" zoomScaleSheetLayoutView="95" workbookViewId="0">
      <selection activeCell="A18" sqref="A18:E18"/>
    </sheetView>
  </sheetViews>
  <sheetFormatPr defaultRowHeight="15" x14ac:dyDescent="0.25"/>
  <cols>
    <col min="1" max="1" width="5.7109375" style="779" customWidth="1"/>
    <col min="2" max="2" width="46.28515625" style="779" customWidth="1"/>
    <col min="3" max="3" width="28.140625" style="779" customWidth="1"/>
    <col min="4" max="4" width="18.140625" style="779" customWidth="1"/>
    <col min="5" max="5" width="31.85546875" style="779" customWidth="1"/>
    <col min="6" max="6" width="11.7109375" style="779" bestFit="1" customWidth="1"/>
    <col min="7" max="256" width="9.140625" style="779"/>
    <col min="257" max="257" width="5.7109375" style="779" customWidth="1"/>
    <col min="258" max="258" width="46.28515625" style="779" customWidth="1"/>
    <col min="259" max="259" width="19.7109375" style="779" customWidth="1"/>
    <col min="260" max="260" width="11.28515625" style="779" customWidth="1"/>
    <col min="261" max="261" width="16.28515625" style="779" customWidth="1"/>
    <col min="262" max="512" width="9.140625" style="779"/>
    <col min="513" max="513" width="5.7109375" style="779" customWidth="1"/>
    <col min="514" max="514" width="46.28515625" style="779" customWidth="1"/>
    <col min="515" max="515" width="19.7109375" style="779" customWidth="1"/>
    <col min="516" max="516" width="11.28515625" style="779" customWidth="1"/>
    <col min="517" max="517" width="16.28515625" style="779" customWidth="1"/>
    <col min="518" max="768" width="9.140625" style="779"/>
    <col min="769" max="769" width="5.7109375" style="779" customWidth="1"/>
    <col min="770" max="770" width="46.28515625" style="779" customWidth="1"/>
    <col min="771" max="771" width="19.7109375" style="779" customWidth="1"/>
    <col min="772" max="772" width="11.28515625" style="779" customWidth="1"/>
    <col min="773" max="773" width="16.28515625" style="779" customWidth="1"/>
    <col min="774" max="1024" width="9.140625" style="779"/>
    <col min="1025" max="1025" width="5.7109375" style="779" customWidth="1"/>
    <col min="1026" max="1026" width="46.28515625" style="779" customWidth="1"/>
    <col min="1027" max="1027" width="19.7109375" style="779" customWidth="1"/>
    <col min="1028" max="1028" width="11.28515625" style="779" customWidth="1"/>
    <col min="1029" max="1029" width="16.28515625" style="779" customWidth="1"/>
    <col min="1030" max="1280" width="9.140625" style="779"/>
    <col min="1281" max="1281" width="5.7109375" style="779" customWidth="1"/>
    <col min="1282" max="1282" width="46.28515625" style="779" customWidth="1"/>
    <col min="1283" max="1283" width="19.7109375" style="779" customWidth="1"/>
    <col min="1284" max="1284" width="11.28515625" style="779" customWidth="1"/>
    <col min="1285" max="1285" width="16.28515625" style="779" customWidth="1"/>
    <col min="1286" max="1536" width="9.140625" style="779"/>
    <col min="1537" max="1537" width="5.7109375" style="779" customWidth="1"/>
    <col min="1538" max="1538" width="46.28515625" style="779" customWidth="1"/>
    <col min="1539" max="1539" width="19.7109375" style="779" customWidth="1"/>
    <col min="1540" max="1540" width="11.28515625" style="779" customWidth="1"/>
    <col min="1541" max="1541" width="16.28515625" style="779" customWidth="1"/>
    <col min="1542" max="1792" width="9.140625" style="779"/>
    <col min="1793" max="1793" width="5.7109375" style="779" customWidth="1"/>
    <col min="1794" max="1794" width="46.28515625" style="779" customWidth="1"/>
    <col min="1795" max="1795" width="19.7109375" style="779" customWidth="1"/>
    <col min="1796" max="1796" width="11.28515625" style="779" customWidth="1"/>
    <col min="1797" max="1797" width="16.28515625" style="779" customWidth="1"/>
    <col min="1798" max="2048" width="9.140625" style="779"/>
    <col min="2049" max="2049" width="5.7109375" style="779" customWidth="1"/>
    <col min="2050" max="2050" width="46.28515625" style="779" customWidth="1"/>
    <col min="2051" max="2051" width="19.7109375" style="779" customWidth="1"/>
    <col min="2052" max="2052" width="11.28515625" style="779" customWidth="1"/>
    <col min="2053" max="2053" width="16.28515625" style="779" customWidth="1"/>
    <col min="2054" max="2304" width="9.140625" style="779"/>
    <col min="2305" max="2305" width="5.7109375" style="779" customWidth="1"/>
    <col min="2306" max="2306" width="46.28515625" style="779" customWidth="1"/>
    <col min="2307" max="2307" width="19.7109375" style="779" customWidth="1"/>
    <col min="2308" max="2308" width="11.28515625" style="779" customWidth="1"/>
    <col min="2309" max="2309" width="16.28515625" style="779" customWidth="1"/>
    <col min="2310" max="2560" width="9.140625" style="779"/>
    <col min="2561" max="2561" width="5.7109375" style="779" customWidth="1"/>
    <col min="2562" max="2562" width="46.28515625" style="779" customWidth="1"/>
    <col min="2563" max="2563" width="19.7109375" style="779" customWidth="1"/>
    <col min="2564" max="2564" width="11.28515625" style="779" customWidth="1"/>
    <col min="2565" max="2565" width="16.28515625" style="779" customWidth="1"/>
    <col min="2566" max="2816" width="9.140625" style="779"/>
    <col min="2817" max="2817" width="5.7109375" style="779" customWidth="1"/>
    <col min="2818" max="2818" width="46.28515625" style="779" customWidth="1"/>
    <col min="2819" max="2819" width="19.7109375" style="779" customWidth="1"/>
    <col min="2820" max="2820" width="11.28515625" style="779" customWidth="1"/>
    <col min="2821" max="2821" width="16.28515625" style="779" customWidth="1"/>
    <col min="2822" max="3072" width="9.140625" style="779"/>
    <col min="3073" max="3073" width="5.7109375" style="779" customWidth="1"/>
    <col min="3074" max="3074" width="46.28515625" style="779" customWidth="1"/>
    <col min="3075" max="3075" width="19.7109375" style="779" customWidth="1"/>
    <col min="3076" max="3076" width="11.28515625" style="779" customWidth="1"/>
    <col min="3077" max="3077" width="16.28515625" style="779" customWidth="1"/>
    <col min="3078" max="3328" width="9.140625" style="779"/>
    <col min="3329" max="3329" width="5.7109375" style="779" customWidth="1"/>
    <col min="3330" max="3330" width="46.28515625" style="779" customWidth="1"/>
    <col min="3331" max="3331" width="19.7109375" style="779" customWidth="1"/>
    <col min="3332" max="3332" width="11.28515625" style="779" customWidth="1"/>
    <col min="3333" max="3333" width="16.28515625" style="779" customWidth="1"/>
    <col min="3334" max="3584" width="9.140625" style="779"/>
    <col min="3585" max="3585" width="5.7109375" style="779" customWidth="1"/>
    <col min="3586" max="3586" width="46.28515625" style="779" customWidth="1"/>
    <col min="3587" max="3587" width="19.7109375" style="779" customWidth="1"/>
    <col min="3588" max="3588" width="11.28515625" style="779" customWidth="1"/>
    <col min="3589" max="3589" width="16.28515625" style="779" customWidth="1"/>
    <col min="3590" max="3840" width="9.140625" style="779"/>
    <col min="3841" max="3841" width="5.7109375" style="779" customWidth="1"/>
    <col min="3842" max="3842" width="46.28515625" style="779" customWidth="1"/>
    <col min="3843" max="3843" width="19.7109375" style="779" customWidth="1"/>
    <col min="3844" max="3844" width="11.28515625" style="779" customWidth="1"/>
    <col min="3845" max="3845" width="16.28515625" style="779" customWidth="1"/>
    <col min="3846" max="4096" width="9.140625" style="779"/>
    <col min="4097" max="4097" width="5.7109375" style="779" customWidth="1"/>
    <col min="4098" max="4098" width="46.28515625" style="779" customWidth="1"/>
    <col min="4099" max="4099" width="19.7109375" style="779" customWidth="1"/>
    <col min="4100" max="4100" width="11.28515625" style="779" customWidth="1"/>
    <col min="4101" max="4101" width="16.28515625" style="779" customWidth="1"/>
    <col min="4102" max="4352" width="9.140625" style="779"/>
    <col min="4353" max="4353" width="5.7109375" style="779" customWidth="1"/>
    <col min="4354" max="4354" width="46.28515625" style="779" customWidth="1"/>
    <col min="4355" max="4355" width="19.7109375" style="779" customWidth="1"/>
    <col min="4356" max="4356" width="11.28515625" style="779" customWidth="1"/>
    <col min="4357" max="4357" width="16.28515625" style="779" customWidth="1"/>
    <col min="4358" max="4608" width="9.140625" style="779"/>
    <col min="4609" max="4609" width="5.7109375" style="779" customWidth="1"/>
    <col min="4610" max="4610" width="46.28515625" style="779" customWidth="1"/>
    <col min="4611" max="4611" width="19.7109375" style="779" customWidth="1"/>
    <col min="4612" max="4612" width="11.28515625" style="779" customWidth="1"/>
    <col min="4613" max="4613" width="16.28515625" style="779" customWidth="1"/>
    <col min="4614" max="4864" width="9.140625" style="779"/>
    <col min="4865" max="4865" width="5.7109375" style="779" customWidth="1"/>
    <col min="4866" max="4866" width="46.28515625" style="779" customWidth="1"/>
    <col min="4867" max="4867" width="19.7109375" style="779" customWidth="1"/>
    <col min="4868" max="4868" width="11.28515625" style="779" customWidth="1"/>
    <col min="4869" max="4869" width="16.28515625" style="779" customWidth="1"/>
    <col min="4870" max="5120" width="9.140625" style="779"/>
    <col min="5121" max="5121" width="5.7109375" style="779" customWidth="1"/>
    <col min="5122" max="5122" width="46.28515625" style="779" customWidth="1"/>
    <col min="5123" max="5123" width="19.7109375" style="779" customWidth="1"/>
    <col min="5124" max="5124" width="11.28515625" style="779" customWidth="1"/>
    <col min="5125" max="5125" width="16.28515625" style="779" customWidth="1"/>
    <col min="5126" max="5376" width="9.140625" style="779"/>
    <col min="5377" max="5377" width="5.7109375" style="779" customWidth="1"/>
    <col min="5378" max="5378" width="46.28515625" style="779" customWidth="1"/>
    <col min="5379" max="5379" width="19.7109375" style="779" customWidth="1"/>
    <col min="5380" max="5380" width="11.28515625" style="779" customWidth="1"/>
    <col min="5381" max="5381" width="16.28515625" style="779" customWidth="1"/>
    <col min="5382" max="5632" width="9.140625" style="779"/>
    <col min="5633" max="5633" width="5.7109375" style="779" customWidth="1"/>
    <col min="5634" max="5634" width="46.28515625" style="779" customWidth="1"/>
    <col min="5635" max="5635" width="19.7109375" style="779" customWidth="1"/>
    <col min="5636" max="5636" width="11.28515625" style="779" customWidth="1"/>
    <col min="5637" max="5637" width="16.28515625" style="779" customWidth="1"/>
    <col min="5638" max="5888" width="9.140625" style="779"/>
    <col min="5889" max="5889" width="5.7109375" style="779" customWidth="1"/>
    <col min="5890" max="5890" width="46.28515625" style="779" customWidth="1"/>
    <col min="5891" max="5891" width="19.7109375" style="779" customWidth="1"/>
    <col min="5892" max="5892" width="11.28515625" style="779" customWidth="1"/>
    <col min="5893" max="5893" width="16.28515625" style="779" customWidth="1"/>
    <col min="5894" max="6144" width="9.140625" style="779"/>
    <col min="6145" max="6145" width="5.7109375" style="779" customWidth="1"/>
    <col min="6146" max="6146" width="46.28515625" style="779" customWidth="1"/>
    <col min="6147" max="6147" width="19.7109375" style="779" customWidth="1"/>
    <col min="6148" max="6148" width="11.28515625" style="779" customWidth="1"/>
    <col min="6149" max="6149" width="16.28515625" style="779" customWidth="1"/>
    <col min="6150" max="6400" width="9.140625" style="779"/>
    <col min="6401" max="6401" width="5.7109375" style="779" customWidth="1"/>
    <col min="6402" max="6402" width="46.28515625" style="779" customWidth="1"/>
    <col min="6403" max="6403" width="19.7109375" style="779" customWidth="1"/>
    <col min="6404" max="6404" width="11.28515625" style="779" customWidth="1"/>
    <col min="6405" max="6405" width="16.28515625" style="779" customWidth="1"/>
    <col min="6406" max="6656" width="9.140625" style="779"/>
    <col min="6657" max="6657" width="5.7109375" style="779" customWidth="1"/>
    <col min="6658" max="6658" width="46.28515625" style="779" customWidth="1"/>
    <col min="6659" max="6659" width="19.7109375" style="779" customWidth="1"/>
    <col min="6660" max="6660" width="11.28515625" style="779" customWidth="1"/>
    <col min="6661" max="6661" width="16.28515625" style="779" customWidth="1"/>
    <col min="6662" max="6912" width="9.140625" style="779"/>
    <col min="6913" max="6913" width="5.7109375" style="779" customWidth="1"/>
    <col min="6914" max="6914" width="46.28515625" style="779" customWidth="1"/>
    <col min="6915" max="6915" width="19.7109375" style="779" customWidth="1"/>
    <col min="6916" max="6916" width="11.28515625" style="779" customWidth="1"/>
    <col min="6917" max="6917" width="16.28515625" style="779" customWidth="1"/>
    <col min="6918" max="7168" width="9.140625" style="779"/>
    <col min="7169" max="7169" width="5.7109375" style="779" customWidth="1"/>
    <col min="7170" max="7170" width="46.28515625" style="779" customWidth="1"/>
    <col min="7171" max="7171" width="19.7109375" style="779" customWidth="1"/>
    <col min="7172" max="7172" width="11.28515625" style="779" customWidth="1"/>
    <col min="7173" max="7173" width="16.28515625" style="779" customWidth="1"/>
    <col min="7174" max="7424" width="9.140625" style="779"/>
    <col min="7425" max="7425" width="5.7109375" style="779" customWidth="1"/>
    <col min="7426" max="7426" width="46.28515625" style="779" customWidth="1"/>
    <col min="7427" max="7427" width="19.7109375" style="779" customWidth="1"/>
    <col min="7428" max="7428" width="11.28515625" style="779" customWidth="1"/>
    <col min="7429" max="7429" width="16.28515625" style="779" customWidth="1"/>
    <col min="7430" max="7680" width="9.140625" style="779"/>
    <col min="7681" max="7681" width="5.7109375" style="779" customWidth="1"/>
    <col min="7682" max="7682" width="46.28515625" style="779" customWidth="1"/>
    <col min="7683" max="7683" width="19.7109375" style="779" customWidth="1"/>
    <col min="7684" max="7684" width="11.28515625" style="779" customWidth="1"/>
    <col min="7685" max="7685" width="16.28515625" style="779" customWidth="1"/>
    <col min="7686" max="7936" width="9.140625" style="779"/>
    <col min="7937" max="7937" width="5.7109375" style="779" customWidth="1"/>
    <col min="7938" max="7938" width="46.28515625" style="779" customWidth="1"/>
    <col min="7939" max="7939" width="19.7109375" style="779" customWidth="1"/>
    <col min="7940" max="7940" width="11.28515625" style="779" customWidth="1"/>
    <col min="7941" max="7941" width="16.28515625" style="779" customWidth="1"/>
    <col min="7942" max="8192" width="9.140625" style="779"/>
    <col min="8193" max="8193" width="5.7109375" style="779" customWidth="1"/>
    <col min="8194" max="8194" width="46.28515625" style="779" customWidth="1"/>
    <col min="8195" max="8195" width="19.7109375" style="779" customWidth="1"/>
    <col min="8196" max="8196" width="11.28515625" style="779" customWidth="1"/>
    <col min="8197" max="8197" width="16.28515625" style="779" customWidth="1"/>
    <col min="8198" max="8448" width="9.140625" style="779"/>
    <col min="8449" max="8449" width="5.7109375" style="779" customWidth="1"/>
    <col min="8450" max="8450" width="46.28515625" style="779" customWidth="1"/>
    <col min="8451" max="8451" width="19.7109375" style="779" customWidth="1"/>
    <col min="8452" max="8452" width="11.28515625" style="779" customWidth="1"/>
    <col min="8453" max="8453" width="16.28515625" style="779" customWidth="1"/>
    <col min="8454" max="8704" width="9.140625" style="779"/>
    <col min="8705" max="8705" width="5.7109375" style="779" customWidth="1"/>
    <col min="8706" max="8706" width="46.28515625" style="779" customWidth="1"/>
    <col min="8707" max="8707" width="19.7109375" style="779" customWidth="1"/>
    <col min="8708" max="8708" width="11.28515625" style="779" customWidth="1"/>
    <col min="8709" max="8709" width="16.28515625" style="779" customWidth="1"/>
    <col min="8710" max="8960" width="9.140625" style="779"/>
    <col min="8961" max="8961" width="5.7109375" style="779" customWidth="1"/>
    <col min="8962" max="8962" width="46.28515625" style="779" customWidth="1"/>
    <col min="8963" max="8963" width="19.7109375" style="779" customWidth="1"/>
    <col min="8964" max="8964" width="11.28515625" style="779" customWidth="1"/>
    <col min="8965" max="8965" width="16.28515625" style="779" customWidth="1"/>
    <col min="8966" max="9216" width="9.140625" style="779"/>
    <col min="9217" max="9217" width="5.7109375" style="779" customWidth="1"/>
    <col min="9218" max="9218" width="46.28515625" style="779" customWidth="1"/>
    <col min="9219" max="9219" width="19.7109375" style="779" customWidth="1"/>
    <col min="9220" max="9220" width="11.28515625" style="779" customWidth="1"/>
    <col min="9221" max="9221" width="16.28515625" style="779" customWidth="1"/>
    <col min="9222" max="9472" width="9.140625" style="779"/>
    <col min="9473" max="9473" width="5.7109375" style="779" customWidth="1"/>
    <col min="9474" max="9474" width="46.28515625" style="779" customWidth="1"/>
    <col min="9475" max="9475" width="19.7109375" style="779" customWidth="1"/>
    <col min="9476" max="9476" width="11.28515625" style="779" customWidth="1"/>
    <col min="9477" max="9477" width="16.28515625" style="779" customWidth="1"/>
    <col min="9478" max="9728" width="9.140625" style="779"/>
    <col min="9729" max="9729" width="5.7109375" style="779" customWidth="1"/>
    <col min="9730" max="9730" width="46.28515625" style="779" customWidth="1"/>
    <col min="9731" max="9731" width="19.7109375" style="779" customWidth="1"/>
    <col min="9732" max="9732" width="11.28515625" style="779" customWidth="1"/>
    <col min="9733" max="9733" width="16.28515625" style="779" customWidth="1"/>
    <col min="9734" max="9984" width="9.140625" style="779"/>
    <col min="9985" max="9985" width="5.7109375" style="779" customWidth="1"/>
    <col min="9986" max="9986" width="46.28515625" style="779" customWidth="1"/>
    <col min="9987" max="9987" width="19.7109375" style="779" customWidth="1"/>
    <col min="9988" max="9988" width="11.28515625" style="779" customWidth="1"/>
    <col min="9989" max="9989" width="16.28515625" style="779" customWidth="1"/>
    <col min="9990" max="10240" width="9.140625" style="779"/>
    <col min="10241" max="10241" width="5.7109375" style="779" customWidth="1"/>
    <col min="10242" max="10242" width="46.28515625" style="779" customWidth="1"/>
    <col min="10243" max="10243" width="19.7109375" style="779" customWidth="1"/>
    <col min="10244" max="10244" width="11.28515625" style="779" customWidth="1"/>
    <col min="10245" max="10245" width="16.28515625" style="779" customWidth="1"/>
    <col min="10246" max="10496" width="9.140625" style="779"/>
    <col min="10497" max="10497" width="5.7109375" style="779" customWidth="1"/>
    <col min="10498" max="10498" width="46.28515625" style="779" customWidth="1"/>
    <col min="10499" max="10499" width="19.7109375" style="779" customWidth="1"/>
    <col min="10500" max="10500" width="11.28515625" style="779" customWidth="1"/>
    <col min="10501" max="10501" width="16.28515625" style="779" customWidth="1"/>
    <col min="10502" max="10752" width="9.140625" style="779"/>
    <col min="10753" max="10753" width="5.7109375" style="779" customWidth="1"/>
    <col min="10754" max="10754" width="46.28515625" style="779" customWidth="1"/>
    <col min="10755" max="10755" width="19.7109375" style="779" customWidth="1"/>
    <col min="10756" max="10756" width="11.28515625" style="779" customWidth="1"/>
    <col min="10757" max="10757" width="16.28515625" style="779" customWidth="1"/>
    <col min="10758" max="11008" width="9.140625" style="779"/>
    <col min="11009" max="11009" width="5.7109375" style="779" customWidth="1"/>
    <col min="11010" max="11010" width="46.28515625" style="779" customWidth="1"/>
    <col min="11011" max="11011" width="19.7109375" style="779" customWidth="1"/>
    <col min="11012" max="11012" width="11.28515625" style="779" customWidth="1"/>
    <col min="11013" max="11013" width="16.28515625" style="779" customWidth="1"/>
    <col min="11014" max="11264" width="9.140625" style="779"/>
    <col min="11265" max="11265" width="5.7109375" style="779" customWidth="1"/>
    <col min="11266" max="11266" width="46.28515625" style="779" customWidth="1"/>
    <col min="11267" max="11267" width="19.7109375" style="779" customWidth="1"/>
    <col min="11268" max="11268" width="11.28515625" style="779" customWidth="1"/>
    <col min="11269" max="11269" width="16.28515625" style="779" customWidth="1"/>
    <col min="11270" max="11520" width="9.140625" style="779"/>
    <col min="11521" max="11521" width="5.7109375" style="779" customWidth="1"/>
    <col min="11522" max="11522" width="46.28515625" style="779" customWidth="1"/>
    <col min="11523" max="11523" width="19.7109375" style="779" customWidth="1"/>
    <col min="11524" max="11524" width="11.28515625" style="779" customWidth="1"/>
    <col min="11525" max="11525" width="16.28515625" style="779" customWidth="1"/>
    <col min="11526" max="11776" width="9.140625" style="779"/>
    <col min="11777" max="11777" width="5.7109375" style="779" customWidth="1"/>
    <col min="11778" max="11778" width="46.28515625" style="779" customWidth="1"/>
    <col min="11779" max="11779" width="19.7109375" style="779" customWidth="1"/>
    <col min="11780" max="11780" width="11.28515625" style="779" customWidth="1"/>
    <col min="11781" max="11781" width="16.28515625" style="779" customWidth="1"/>
    <col min="11782" max="12032" width="9.140625" style="779"/>
    <col min="12033" max="12033" width="5.7109375" style="779" customWidth="1"/>
    <col min="12034" max="12034" width="46.28515625" style="779" customWidth="1"/>
    <col min="12035" max="12035" width="19.7109375" style="779" customWidth="1"/>
    <col min="12036" max="12036" width="11.28515625" style="779" customWidth="1"/>
    <col min="12037" max="12037" width="16.28515625" style="779" customWidth="1"/>
    <col min="12038" max="12288" width="9.140625" style="779"/>
    <col min="12289" max="12289" width="5.7109375" style="779" customWidth="1"/>
    <col min="12290" max="12290" width="46.28515625" style="779" customWidth="1"/>
    <col min="12291" max="12291" width="19.7109375" style="779" customWidth="1"/>
    <col min="12292" max="12292" width="11.28515625" style="779" customWidth="1"/>
    <col min="12293" max="12293" width="16.28515625" style="779" customWidth="1"/>
    <col min="12294" max="12544" width="9.140625" style="779"/>
    <col min="12545" max="12545" width="5.7109375" style="779" customWidth="1"/>
    <col min="12546" max="12546" width="46.28515625" style="779" customWidth="1"/>
    <col min="12547" max="12547" width="19.7109375" style="779" customWidth="1"/>
    <col min="12548" max="12548" width="11.28515625" style="779" customWidth="1"/>
    <col min="12549" max="12549" width="16.28515625" style="779" customWidth="1"/>
    <col min="12550" max="12800" width="9.140625" style="779"/>
    <col min="12801" max="12801" width="5.7109375" style="779" customWidth="1"/>
    <col min="12802" max="12802" width="46.28515625" style="779" customWidth="1"/>
    <col min="12803" max="12803" width="19.7109375" style="779" customWidth="1"/>
    <col min="12804" max="12804" width="11.28515625" style="779" customWidth="1"/>
    <col min="12805" max="12805" width="16.28515625" style="779" customWidth="1"/>
    <col min="12806" max="13056" width="9.140625" style="779"/>
    <col min="13057" max="13057" width="5.7109375" style="779" customWidth="1"/>
    <col min="13058" max="13058" width="46.28515625" style="779" customWidth="1"/>
    <col min="13059" max="13059" width="19.7109375" style="779" customWidth="1"/>
    <col min="13060" max="13060" width="11.28515625" style="779" customWidth="1"/>
    <col min="13061" max="13061" width="16.28515625" style="779" customWidth="1"/>
    <col min="13062" max="13312" width="9.140625" style="779"/>
    <col min="13313" max="13313" width="5.7109375" style="779" customWidth="1"/>
    <col min="13314" max="13314" width="46.28515625" style="779" customWidth="1"/>
    <col min="13315" max="13315" width="19.7109375" style="779" customWidth="1"/>
    <col min="13316" max="13316" width="11.28515625" style="779" customWidth="1"/>
    <col min="13317" max="13317" width="16.28515625" style="779" customWidth="1"/>
    <col min="13318" max="13568" width="9.140625" style="779"/>
    <col min="13569" max="13569" width="5.7109375" style="779" customWidth="1"/>
    <col min="13570" max="13570" width="46.28515625" style="779" customWidth="1"/>
    <col min="13571" max="13571" width="19.7109375" style="779" customWidth="1"/>
    <col min="13572" max="13572" width="11.28515625" style="779" customWidth="1"/>
    <col min="13573" max="13573" width="16.28515625" style="779" customWidth="1"/>
    <col min="13574" max="13824" width="9.140625" style="779"/>
    <col min="13825" max="13825" width="5.7109375" style="779" customWidth="1"/>
    <col min="13826" max="13826" width="46.28515625" style="779" customWidth="1"/>
    <col min="13827" max="13827" width="19.7109375" style="779" customWidth="1"/>
    <col min="13828" max="13828" width="11.28515625" style="779" customWidth="1"/>
    <col min="13829" max="13829" width="16.28515625" style="779" customWidth="1"/>
    <col min="13830" max="14080" width="9.140625" style="779"/>
    <col min="14081" max="14081" width="5.7109375" style="779" customWidth="1"/>
    <col min="14082" max="14082" width="46.28515625" style="779" customWidth="1"/>
    <col min="14083" max="14083" width="19.7109375" style="779" customWidth="1"/>
    <col min="14084" max="14084" width="11.28515625" style="779" customWidth="1"/>
    <col min="14085" max="14085" width="16.28515625" style="779" customWidth="1"/>
    <col min="14086" max="14336" width="9.140625" style="779"/>
    <col min="14337" max="14337" width="5.7109375" style="779" customWidth="1"/>
    <col min="14338" max="14338" width="46.28515625" style="779" customWidth="1"/>
    <col min="14339" max="14339" width="19.7109375" style="779" customWidth="1"/>
    <col min="14340" max="14340" width="11.28515625" style="779" customWidth="1"/>
    <col min="14341" max="14341" width="16.28515625" style="779" customWidth="1"/>
    <col min="14342" max="14592" width="9.140625" style="779"/>
    <col min="14593" max="14593" width="5.7109375" style="779" customWidth="1"/>
    <col min="14594" max="14594" width="46.28515625" style="779" customWidth="1"/>
    <col min="14595" max="14595" width="19.7109375" style="779" customWidth="1"/>
    <col min="14596" max="14596" width="11.28515625" style="779" customWidth="1"/>
    <col min="14597" max="14597" width="16.28515625" style="779" customWidth="1"/>
    <col min="14598" max="14848" width="9.140625" style="779"/>
    <col min="14849" max="14849" width="5.7109375" style="779" customWidth="1"/>
    <col min="14850" max="14850" width="46.28515625" style="779" customWidth="1"/>
    <col min="14851" max="14851" width="19.7109375" style="779" customWidth="1"/>
    <col min="14852" max="14852" width="11.28515625" style="779" customWidth="1"/>
    <col min="14853" max="14853" width="16.28515625" style="779" customWidth="1"/>
    <col min="14854" max="15104" width="9.140625" style="779"/>
    <col min="15105" max="15105" width="5.7109375" style="779" customWidth="1"/>
    <col min="15106" max="15106" width="46.28515625" style="779" customWidth="1"/>
    <col min="15107" max="15107" width="19.7109375" style="779" customWidth="1"/>
    <col min="15108" max="15108" width="11.28515625" style="779" customWidth="1"/>
    <col min="15109" max="15109" width="16.28515625" style="779" customWidth="1"/>
    <col min="15110" max="15360" width="9.140625" style="779"/>
    <col min="15361" max="15361" width="5.7109375" style="779" customWidth="1"/>
    <col min="15362" max="15362" width="46.28515625" style="779" customWidth="1"/>
    <col min="15363" max="15363" width="19.7109375" style="779" customWidth="1"/>
    <col min="15364" max="15364" width="11.28515625" style="779" customWidth="1"/>
    <col min="15365" max="15365" width="16.28515625" style="779" customWidth="1"/>
    <col min="15366" max="15616" width="9.140625" style="779"/>
    <col min="15617" max="15617" width="5.7109375" style="779" customWidth="1"/>
    <col min="15618" max="15618" width="46.28515625" style="779" customWidth="1"/>
    <col min="15619" max="15619" width="19.7109375" style="779" customWidth="1"/>
    <col min="15620" max="15620" width="11.28515625" style="779" customWidth="1"/>
    <col min="15621" max="15621" width="16.28515625" style="779" customWidth="1"/>
    <col min="15622" max="15872" width="9.140625" style="779"/>
    <col min="15873" max="15873" width="5.7109375" style="779" customWidth="1"/>
    <col min="15874" max="15874" width="46.28515625" style="779" customWidth="1"/>
    <col min="15875" max="15875" width="19.7109375" style="779" customWidth="1"/>
    <col min="15876" max="15876" width="11.28515625" style="779" customWidth="1"/>
    <col min="15877" max="15877" width="16.28515625" style="779" customWidth="1"/>
    <col min="15878" max="16128" width="9.140625" style="779"/>
    <col min="16129" max="16129" width="5.7109375" style="779" customWidth="1"/>
    <col min="16130" max="16130" width="46.28515625" style="779" customWidth="1"/>
    <col min="16131" max="16131" width="19.7109375" style="779" customWidth="1"/>
    <col min="16132" max="16132" width="11.28515625" style="779" customWidth="1"/>
    <col min="16133" max="16133" width="16.28515625" style="779" customWidth="1"/>
    <col min="16134" max="16384" width="9.140625" style="779"/>
  </cols>
  <sheetData>
    <row r="2" spans="1:12" ht="28.5" customHeight="1" x14ac:dyDescent="0.25">
      <c r="A2" s="1974" t="s">
        <v>20</v>
      </c>
      <c r="B2" s="1987"/>
      <c r="C2" s="1987"/>
      <c r="D2" s="1987"/>
      <c r="E2" s="1987"/>
      <c r="F2" s="1987"/>
    </row>
    <row r="4" spans="1:12" x14ac:dyDescent="0.25">
      <c r="A4" s="1988" t="s">
        <v>9185</v>
      </c>
      <c r="B4" s="1988"/>
      <c r="C4" s="1988"/>
      <c r="D4" s="1988"/>
      <c r="E4" s="1988"/>
      <c r="F4" s="780"/>
      <c r="G4" s="780"/>
      <c r="H4" s="780"/>
      <c r="I4" s="780"/>
      <c r="J4" s="780"/>
      <c r="K4" s="780"/>
      <c r="L4" s="780"/>
    </row>
    <row r="5" spans="1:12" ht="33" customHeight="1" x14ac:dyDescent="0.25">
      <c r="A5" s="1989" t="s">
        <v>9241</v>
      </c>
      <c r="B5" s="1989"/>
      <c r="C5" s="1989"/>
      <c r="D5" s="1989"/>
      <c r="E5" s="1989"/>
      <c r="F5" s="781"/>
      <c r="G5" s="781"/>
      <c r="H5" s="781"/>
      <c r="I5" s="781"/>
      <c r="J5" s="781"/>
      <c r="K5" s="781"/>
      <c r="L5" s="781"/>
    </row>
    <row r="6" spans="1:12" ht="33" customHeight="1" x14ac:dyDescent="0.25">
      <c r="A6" s="1990" t="s">
        <v>562</v>
      </c>
      <c r="B6" s="1990"/>
      <c r="C6" s="782" t="s">
        <v>5654</v>
      </c>
      <c r="D6" s="782"/>
      <c r="E6" s="782"/>
      <c r="F6" s="782"/>
      <c r="G6" s="782"/>
      <c r="H6" s="781"/>
      <c r="I6" s="781"/>
      <c r="J6" s="781"/>
      <c r="K6" s="781"/>
      <c r="L6" s="781"/>
    </row>
    <row r="7" spans="1:12" ht="33" customHeight="1" x14ac:dyDescent="0.3">
      <c r="A7" s="1990" t="s">
        <v>5655</v>
      </c>
      <c r="B7" s="1990"/>
      <c r="C7" s="783" t="s">
        <v>5656</v>
      </c>
      <c r="D7" s="782"/>
      <c r="E7" s="782"/>
      <c r="F7" s="782"/>
      <c r="G7" s="782"/>
      <c r="H7" s="781"/>
      <c r="I7" s="781"/>
      <c r="J7" s="781"/>
      <c r="K7" s="781"/>
      <c r="L7" s="781"/>
    </row>
    <row r="8" spans="1:12" ht="48.75" customHeight="1" x14ac:dyDescent="0.25">
      <c r="A8" s="784" t="s">
        <v>5657</v>
      </c>
      <c r="B8" s="782"/>
      <c r="C8" s="785" t="s">
        <v>9181</v>
      </c>
      <c r="D8" s="782"/>
      <c r="E8" s="782"/>
      <c r="F8" s="782"/>
      <c r="G8" s="782"/>
      <c r="H8" s="781"/>
      <c r="I8" s="781"/>
      <c r="J8" s="781"/>
      <c r="K8" s="781"/>
      <c r="L8" s="781"/>
    </row>
    <row r="9" spans="1:12" ht="33" customHeight="1" x14ac:dyDescent="0.25">
      <c r="A9" s="1985" t="s">
        <v>5659</v>
      </c>
      <c r="B9" s="1986"/>
      <c r="C9" s="1986"/>
      <c r="D9" s="1986"/>
      <c r="E9" s="1986"/>
      <c r="F9" s="1986"/>
      <c r="G9" s="1986"/>
      <c r="H9" s="781"/>
      <c r="I9" s="781"/>
      <c r="J9" s="781"/>
      <c r="K9" s="781"/>
      <c r="L9" s="781"/>
    </row>
    <row r="10" spans="1:12" ht="33" customHeight="1" x14ac:dyDescent="0.25">
      <c r="A10" s="786" t="s">
        <v>5660</v>
      </c>
      <c r="B10" s="786" t="s">
        <v>5661</v>
      </c>
      <c r="C10" s="786" t="s">
        <v>145</v>
      </c>
      <c r="D10" s="786" t="s">
        <v>568</v>
      </c>
      <c r="E10" s="786" t="s">
        <v>5662</v>
      </c>
      <c r="F10" s="781"/>
      <c r="G10" s="781"/>
      <c r="H10" s="781"/>
      <c r="I10" s="781"/>
      <c r="J10" s="781"/>
      <c r="K10" s="781"/>
      <c r="L10" s="781"/>
    </row>
    <row r="11" spans="1:12" ht="62.25" customHeight="1" x14ac:dyDescent="0.25">
      <c r="A11" s="787">
        <v>1</v>
      </c>
      <c r="B11" s="788" t="s">
        <v>9186</v>
      </c>
      <c r="C11" s="789" t="s">
        <v>9187</v>
      </c>
      <c r="D11" s="790">
        <f>500831565.12/12.14</f>
        <v>41254659.399999999</v>
      </c>
      <c r="E11" s="789" t="s">
        <v>9188</v>
      </c>
      <c r="F11" s="781"/>
      <c r="G11" s="781"/>
      <c r="H11" s="781"/>
      <c r="I11" s="781"/>
      <c r="J11" s="781"/>
      <c r="K11" s="781"/>
      <c r="L11" s="781"/>
    </row>
    <row r="12" spans="1:12" ht="33" customHeight="1" x14ac:dyDescent="0.25">
      <c r="A12" s="756">
        <v>2</v>
      </c>
      <c r="B12" s="757" t="s">
        <v>5782</v>
      </c>
      <c r="C12" s="758"/>
      <c r="D12" s="759">
        <f>D11</f>
        <v>41254659.399999999</v>
      </c>
      <c r="E12" s="760"/>
      <c r="F12" s="781"/>
      <c r="G12" s="781"/>
      <c r="H12" s="781"/>
      <c r="I12" s="781"/>
      <c r="J12" s="781"/>
      <c r="K12" s="781"/>
      <c r="L12" s="781"/>
    </row>
    <row r="13" spans="1:12" ht="75.75" customHeight="1" x14ac:dyDescent="0.25">
      <c r="A13" s="761">
        <v>3</v>
      </c>
      <c r="B13" s="762" t="s">
        <v>5783</v>
      </c>
      <c r="C13" s="791" t="s">
        <v>5665</v>
      </c>
      <c r="D13" s="764">
        <f>D12*12.14</f>
        <v>500831565.12</v>
      </c>
      <c r="E13" s="792"/>
      <c r="F13" s="781"/>
      <c r="G13" s="781"/>
      <c r="H13" s="781"/>
      <c r="I13" s="781"/>
      <c r="J13" s="781"/>
      <c r="K13" s="781"/>
      <c r="L13" s="781"/>
    </row>
    <row r="14" spans="1:12" x14ac:dyDescent="0.25">
      <c r="A14" s="1989"/>
      <c r="B14" s="1989"/>
      <c r="C14" s="1989"/>
      <c r="D14" s="1989"/>
      <c r="E14" s="1989"/>
    </row>
    <row r="15" spans="1:12" x14ac:dyDescent="0.25">
      <c r="A15" s="793"/>
    </row>
    <row r="16" spans="1:12" x14ac:dyDescent="0.25">
      <c r="A16" s="1991" t="s">
        <v>5666</v>
      </c>
      <c r="B16" s="1991"/>
      <c r="C16" s="1991"/>
      <c r="D16" s="1991"/>
      <c r="E16" s="1991"/>
    </row>
    <row r="17" spans="1:5" x14ac:dyDescent="0.25">
      <c r="A17" s="1984" t="s">
        <v>5667</v>
      </c>
      <c r="B17" s="1984"/>
      <c r="C17" s="1984"/>
      <c r="D17" s="1984"/>
      <c r="E17" s="1984"/>
    </row>
    <row r="18" spans="1:5" x14ac:dyDescent="0.25">
      <c r="A18" s="1991" t="s">
        <v>5668</v>
      </c>
      <c r="B18" s="1991"/>
      <c r="C18" s="1991"/>
      <c r="D18" s="1991"/>
      <c r="E18" s="1991"/>
    </row>
    <row r="19" spans="1:5" x14ac:dyDescent="0.25">
      <c r="A19" s="1992" t="s">
        <v>5667</v>
      </c>
      <c r="B19" s="1992"/>
      <c r="C19" s="1992"/>
      <c r="D19" s="1992"/>
      <c r="E19" s="1992"/>
    </row>
    <row r="20" spans="1:5" x14ac:dyDescent="0.25">
      <c r="A20" s="794"/>
      <c r="B20" s="794"/>
      <c r="C20" s="794"/>
      <c r="D20" s="794"/>
      <c r="E20" s="794"/>
    </row>
  </sheetData>
  <mergeCells count="11">
    <mergeCell ref="A14:E14"/>
    <mergeCell ref="A16:E16"/>
    <mergeCell ref="A17:E17"/>
    <mergeCell ref="A18:E18"/>
    <mergeCell ref="A19:E19"/>
    <mergeCell ref="A9:G9"/>
    <mergeCell ref="A2:F2"/>
    <mergeCell ref="A4:E4"/>
    <mergeCell ref="A5:E5"/>
    <mergeCell ref="A6:B6"/>
    <mergeCell ref="A7:B7"/>
  </mergeCells>
  <pageMargins left="0.35" right="0.24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">
    <pageSetUpPr fitToPage="1"/>
  </sheetPr>
  <dimension ref="A1:F27"/>
  <sheetViews>
    <sheetView view="pageBreakPreview" topLeftCell="A8" zoomScale="160" zoomScaleNormal="160" zoomScaleSheetLayoutView="160" workbookViewId="0">
      <selection activeCell="E20" sqref="E20"/>
    </sheetView>
  </sheetViews>
  <sheetFormatPr defaultColWidth="11.5703125" defaultRowHeight="12.75" x14ac:dyDescent="0.2"/>
  <cols>
    <col min="1" max="1" width="4.7109375" style="124" customWidth="1"/>
    <col min="2" max="2" width="27.28515625" style="124" customWidth="1"/>
    <col min="3" max="3" width="25.42578125" style="124" customWidth="1"/>
    <col min="4" max="4" width="10" style="124" customWidth="1"/>
    <col min="5" max="5" width="15" style="121" customWidth="1"/>
    <col min="6" max="6" width="16.28515625" style="121" customWidth="1"/>
    <col min="7" max="7" width="21.28515625" style="121" customWidth="1"/>
    <col min="8" max="254" width="11.5703125" style="121"/>
    <col min="255" max="255" width="4.7109375" style="121" customWidth="1"/>
    <col min="256" max="256" width="27.28515625" style="121" customWidth="1"/>
    <col min="257" max="257" width="6.85546875" style="121" customWidth="1"/>
    <col min="258" max="258" width="12.7109375" style="121" customWidth="1"/>
    <col min="259" max="259" width="12" style="121" customWidth="1"/>
    <col min="260" max="260" width="15.28515625" style="121" customWidth="1"/>
    <col min="261" max="261" width="15" style="121" customWidth="1"/>
    <col min="262" max="510" width="11.5703125" style="121"/>
    <col min="511" max="511" width="4.7109375" style="121" customWidth="1"/>
    <col min="512" max="512" width="27.28515625" style="121" customWidth="1"/>
    <col min="513" max="513" width="6.85546875" style="121" customWidth="1"/>
    <col min="514" max="514" width="12.7109375" style="121" customWidth="1"/>
    <col min="515" max="515" width="12" style="121" customWidth="1"/>
    <col min="516" max="516" width="15.28515625" style="121" customWidth="1"/>
    <col min="517" max="517" width="15" style="121" customWidth="1"/>
    <col min="518" max="766" width="11.5703125" style="121"/>
    <col min="767" max="767" width="4.7109375" style="121" customWidth="1"/>
    <col min="768" max="768" width="27.28515625" style="121" customWidth="1"/>
    <col min="769" max="769" width="6.85546875" style="121" customWidth="1"/>
    <col min="770" max="770" width="12.7109375" style="121" customWidth="1"/>
    <col min="771" max="771" width="12" style="121" customWidth="1"/>
    <col min="772" max="772" width="15.28515625" style="121" customWidth="1"/>
    <col min="773" max="773" width="15" style="121" customWidth="1"/>
    <col min="774" max="1022" width="11.5703125" style="121"/>
    <col min="1023" max="1023" width="4.7109375" style="121" customWidth="1"/>
    <col min="1024" max="1024" width="27.28515625" style="121" customWidth="1"/>
    <col min="1025" max="1025" width="6.85546875" style="121" customWidth="1"/>
    <col min="1026" max="1026" width="12.7109375" style="121" customWidth="1"/>
    <col min="1027" max="1027" width="12" style="121" customWidth="1"/>
    <col min="1028" max="1028" width="15.28515625" style="121" customWidth="1"/>
    <col min="1029" max="1029" width="15" style="121" customWidth="1"/>
    <col min="1030" max="1278" width="11.5703125" style="121"/>
    <col min="1279" max="1279" width="4.7109375" style="121" customWidth="1"/>
    <col min="1280" max="1280" width="27.28515625" style="121" customWidth="1"/>
    <col min="1281" max="1281" width="6.85546875" style="121" customWidth="1"/>
    <col min="1282" max="1282" width="12.7109375" style="121" customWidth="1"/>
    <col min="1283" max="1283" width="12" style="121" customWidth="1"/>
    <col min="1284" max="1284" width="15.28515625" style="121" customWidth="1"/>
    <col min="1285" max="1285" width="15" style="121" customWidth="1"/>
    <col min="1286" max="1534" width="11.5703125" style="121"/>
    <col min="1535" max="1535" width="4.7109375" style="121" customWidth="1"/>
    <col min="1536" max="1536" width="27.28515625" style="121" customWidth="1"/>
    <col min="1537" max="1537" width="6.85546875" style="121" customWidth="1"/>
    <col min="1538" max="1538" width="12.7109375" style="121" customWidth="1"/>
    <col min="1539" max="1539" width="12" style="121" customWidth="1"/>
    <col min="1540" max="1540" width="15.28515625" style="121" customWidth="1"/>
    <col min="1541" max="1541" width="15" style="121" customWidth="1"/>
    <col min="1542" max="1790" width="11.5703125" style="121"/>
    <col min="1791" max="1791" width="4.7109375" style="121" customWidth="1"/>
    <col min="1792" max="1792" width="27.28515625" style="121" customWidth="1"/>
    <col min="1793" max="1793" width="6.85546875" style="121" customWidth="1"/>
    <col min="1794" max="1794" width="12.7109375" style="121" customWidth="1"/>
    <col min="1795" max="1795" width="12" style="121" customWidth="1"/>
    <col min="1796" max="1796" width="15.28515625" style="121" customWidth="1"/>
    <col min="1797" max="1797" width="15" style="121" customWidth="1"/>
    <col min="1798" max="2046" width="11.5703125" style="121"/>
    <col min="2047" max="2047" width="4.7109375" style="121" customWidth="1"/>
    <col min="2048" max="2048" width="27.28515625" style="121" customWidth="1"/>
    <col min="2049" max="2049" width="6.85546875" style="121" customWidth="1"/>
    <col min="2050" max="2050" width="12.7109375" style="121" customWidth="1"/>
    <col min="2051" max="2051" width="12" style="121" customWidth="1"/>
    <col min="2052" max="2052" width="15.28515625" style="121" customWidth="1"/>
    <col min="2053" max="2053" width="15" style="121" customWidth="1"/>
    <col min="2054" max="2302" width="11.5703125" style="121"/>
    <col min="2303" max="2303" width="4.7109375" style="121" customWidth="1"/>
    <col min="2304" max="2304" width="27.28515625" style="121" customWidth="1"/>
    <col min="2305" max="2305" width="6.85546875" style="121" customWidth="1"/>
    <col min="2306" max="2306" width="12.7109375" style="121" customWidth="1"/>
    <col min="2307" max="2307" width="12" style="121" customWidth="1"/>
    <col min="2308" max="2308" width="15.28515625" style="121" customWidth="1"/>
    <col min="2309" max="2309" width="15" style="121" customWidth="1"/>
    <col min="2310" max="2558" width="11.5703125" style="121"/>
    <col min="2559" max="2559" width="4.7109375" style="121" customWidth="1"/>
    <col min="2560" max="2560" width="27.28515625" style="121" customWidth="1"/>
    <col min="2561" max="2561" width="6.85546875" style="121" customWidth="1"/>
    <col min="2562" max="2562" width="12.7109375" style="121" customWidth="1"/>
    <col min="2563" max="2563" width="12" style="121" customWidth="1"/>
    <col min="2564" max="2564" width="15.28515625" style="121" customWidth="1"/>
    <col min="2565" max="2565" width="15" style="121" customWidth="1"/>
    <col min="2566" max="2814" width="11.5703125" style="121"/>
    <col min="2815" max="2815" width="4.7109375" style="121" customWidth="1"/>
    <col min="2816" max="2816" width="27.28515625" style="121" customWidth="1"/>
    <col min="2817" max="2817" width="6.85546875" style="121" customWidth="1"/>
    <col min="2818" max="2818" width="12.7109375" style="121" customWidth="1"/>
    <col min="2819" max="2819" width="12" style="121" customWidth="1"/>
    <col min="2820" max="2820" width="15.28515625" style="121" customWidth="1"/>
    <col min="2821" max="2821" width="15" style="121" customWidth="1"/>
    <col min="2822" max="3070" width="11.5703125" style="121"/>
    <col min="3071" max="3071" width="4.7109375" style="121" customWidth="1"/>
    <col min="3072" max="3072" width="27.28515625" style="121" customWidth="1"/>
    <col min="3073" max="3073" width="6.85546875" style="121" customWidth="1"/>
    <col min="3074" max="3074" width="12.7109375" style="121" customWidth="1"/>
    <col min="3075" max="3075" width="12" style="121" customWidth="1"/>
    <col min="3076" max="3076" width="15.28515625" style="121" customWidth="1"/>
    <col min="3077" max="3077" width="15" style="121" customWidth="1"/>
    <col min="3078" max="3326" width="11.5703125" style="121"/>
    <col min="3327" max="3327" width="4.7109375" style="121" customWidth="1"/>
    <col min="3328" max="3328" width="27.28515625" style="121" customWidth="1"/>
    <col min="3329" max="3329" width="6.85546875" style="121" customWidth="1"/>
    <col min="3330" max="3330" width="12.7109375" style="121" customWidth="1"/>
    <col min="3331" max="3331" width="12" style="121" customWidth="1"/>
    <col min="3332" max="3332" width="15.28515625" style="121" customWidth="1"/>
    <col min="3333" max="3333" width="15" style="121" customWidth="1"/>
    <col min="3334" max="3582" width="11.5703125" style="121"/>
    <col min="3583" max="3583" width="4.7109375" style="121" customWidth="1"/>
    <col min="3584" max="3584" width="27.28515625" style="121" customWidth="1"/>
    <col min="3585" max="3585" width="6.85546875" style="121" customWidth="1"/>
    <col min="3586" max="3586" width="12.7109375" style="121" customWidth="1"/>
    <col min="3587" max="3587" width="12" style="121" customWidth="1"/>
    <col min="3588" max="3588" width="15.28515625" style="121" customWidth="1"/>
    <col min="3589" max="3589" width="15" style="121" customWidth="1"/>
    <col min="3590" max="3838" width="11.5703125" style="121"/>
    <col min="3839" max="3839" width="4.7109375" style="121" customWidth="1"/>
    <col min="3840" max="3840" width="27.28515625" style="121" customWidth="1"/>
    <col min="3841" max="3841" width="6.85546875" style="121" customWidth="1"/>
    <col min="3842" max="3842" width="12.7109375" style="121" customWidth="1"/>
    <col min="3843" max="3843" width="12" style="121" customWidth="1"/>
    <col min="3844" max="3844" width="15.28515625" style="121" customWidth="1"/>
    <col min="3845" max="3845" width="15" style="121" customWidth="1"/>
    <col min="3846" max="4094" width="11.5703125" style="121"/>
    <col min="4095" max="4095" width="4.7109375" style="121" customWidth="1"/>
    <col min="4096" max="4096" width="27.28515625" style="121" customWidth="1"/>
    <col min="4097" max="4097" width="6.85546875" style="121" customWidth="1"/>
    <col min="4098" max="4098" width="12.7109375" style="121" customWidth="1"/>
    <col min="4099" max="4099" width="12" style="121" customWidth="1"/>
    <col min="4100" max="4100" width="15.28515625" style="121" customWidth="1"/>
    <col min="4101" max="4101" width="15" style="121" customWidth="1"/>
    <col min="4102" max="4350" width="11.5703125" style="121"/>
    <col min="4351" max="4351" width="4.7109375" style="121" customWidth="1"/>
    <col min="4352" max="4352" width="27.28515625" style="121" customWidth="1"/>
    <col min="4353" max="4353" width="6.85546875" style="121" customWidth="1"/>
    <col min="4354" max="4354" width="12.7109375" style="121" customWidth="1"/>
    <col min="4355" max="4355" width="12" style="121" customWidth="1"/>
    <col min="4356" max="4356" width="15.28515625" style="121" customWidth="1"/>
    <col min="4357" max="4357" width="15" style="121" customWidth="1"/>
    <col min="4358" max="4606" width="11.5703125" style="121"/>
    <col min="4607" max="4607" width="4.7109375" style="121" customWidth="1"/>
    <col min="4608" max="4608" width="27.28515625" style="121" customWidth="1"/>
    <col min="4609" max="4609" width="6.85546875" style="121" customWidth="1"/>
    <col min="4610" max="4610" width="12.7109375" style="121" customWidth="1"/>
    <col min="4611" max="4611" width="12" style="121" customWidth="1"/>
    <col min="4612" max="4612" width="15.28515625" style="121" customWidth="1"/>
    <col min="4613" max="4613" width="15" style="121" customWidth="1"/>
    <col min="4614" max="4862" width="11.5703125" style="121"/>
    <col min="4863" max="4863" width="4.7109375" style="121" customWidth="1"/>
    <col min="4864" max="4864" width="27.28515625" style="121" customWidth="1"/>
    <col min="4865" max="4865" width="6.85546875" style="121" customWidth="1"/>
    <col min="4866" max="4866" width="12.7109375" style="121" customWidth="1"/>
    <col min="4867" max="4867" width="12" style="121" customWidth="1"/>
    <col min="4868" max="4868" width="15.28515625" style="121" customWidth="1"/>
    <col min="4869" max="4869" width="15" style="121" customWidth="1"/>
    <col min="4870" max="5118" width="11.5703125" style="121"/>
    <col min="5119" max="5119" width="4.7109375" style="121" customWidth="1"/>
    <col min="5120" max="5120" width="27.28515625" style="121" customWidth="1"/>
    <col min="5121" max="5121" width="6.85546875" style="121" customWidth="1"/>
    <col min="5122" max="5122" width="12.7109375" style="121" customWidth="1"/>
    <col min="5123" max="5123" width="12" style="121" customWidth="1"/>
    <col min="5124" max="5124" width="15.28515625" style="121" customWidth="1"/>
    <col min="5125" max="5125" width="15" style="121" customWidth="1"/>
    <col min="5126" max="5374" width="11.5703125" style="121"/>
    <col min="5375" max="5375" width="4.7109375" style="121" customWidth="1"/>
    <col min="5376" max="5376" width="27.28515625" style="121" customWidth="1"/>
    <col min="5377" max="5377" width="6.85546875" style="121" customWidth="1"/>
    <col min="5378" max="5378" width="12.7109375" style="121" customWidth="1"/>
    <col min="5379" max="5379" width="12" style="121" customWidth="1"/>
    <col min="5380" max="5380" width="15.28515625" style="121" customWidth="1"/>
    <col min="5381" max="5381" width="15" style="121" customWidth="1"/>
    <col min="5382" max="5630" width="11.5703125" style="121"/>
    <col min="5631" max="5631" width="4.7109375" style="121" customWidth="1"/>
    <col min="5632" max="5632" width="27.28515625" style="121" customWidth="1"/>
    <col min="5633" max="5633" width="6.85546875" style="121" customWidth="1"/>
    <col min="5634" max="5634" width="12.7109375" style="121" customWidth="1"/>
    <col min="5635" max="5635" width="12" style="121" customWidth="1"/>
    <col min="5636" max="5636" width="15.28515625" style="121" customWidth="1"/>
    <col min="5637" max="5637" width="15" style="121" customWidth="1"/>
    <col min="5638" max="5886" width="11.5703125" style="121"/>
    <col min="5887" max="5887" width="4.7109375" style="121" customWidth="1"/>
    <col min="5888" max="5888" width="27.28515625" style="121" customWidth="1"/>
    <col min="5889" max="5889" width="6.85546875" style="121" customWidth="1"/>
    <col min="5890" max="5890" width="12.7109375" style="121" customWidth="1"/>
    <col min="5891" max="5891" width="12" style="121" customWidth="1"/>
    <col min="5892" max="5892" width="15.28515625" style="121" customWidth="1"/>
    <col min="5893" max="5893" width="15" style="121" customWidth="1"/>
    <col min="5894" max="6142" width="11.5703125" style="121"/>
    <col min="6143" max="6143" width="4.7109375" style="121" customWidth="1"/>
    <col min="6144" max="6144" width="27.28515625" style="121" customWidth="1"/>
    <col min="6145" max="6145" width="6.85546875" style="121" customWidth="1"/>
    <col min="6146" max="6146" width="12.7109375" style="121" customWidth="1"/>
    <col min="6147" max="6147" width="12" style="121" customWidth="1"/>
    <col min="6148" max="6148" width="15.28515625" style="121" customWidth="1"/>
    <col min="6149" max="6149" width="15" style="121" customWidth="1"/>
    <col min="6150" max="6398" width="11.5703125" style="121"/>
    <col min="6399" max="6399" width="4.7109375" style="121" customWidth="1"/>
    <col min="6400" max="6400" width="27.28515625" style="121" customWidth="1"/>
    <col min="6401" max="6401" width="6.85546875" style="121" customWidth="1"/>
    <col min="6402" max="6402" width="12.7109375" style="121" customWidth="1"/>
    <col min="6403" max="6403" width="12" style="121" customWidth="1"/>
    <col min="6404" max="6404" width="15.28515625" style="121" customWidth="1"/>
    <col min="6405" max="6405" width="15" style="121" customWidth="1"/>
    <col min="6406" max="6654" width="11.5703125" style="121"/>
    <col min="6655" max="6655" width="4.7109375" style="121" customWidth="1"/>
    <col min="6656" max="6656" width="27.28515625" style="121" customWidth="1"/>
    <col min="6657" max="6657" width="6.85546875" style="121" customWidth="1"/>
    <col min="6658" max="6658" width="12.7109375" style="121" customWidth="1"/>
    <col min="6659" max="6659" width="12" style="121" customWidth="1"/>
    <col min="6660" max="6660" width="15.28515625" style="121" customWidth="1"/>
    <col min="6661" max="6661" width="15" style="121" customWidth="1"/>
    <col min="6662" max="6910" width="11.5703125" style="121"/>
    <col min="6911" max="6911" width="4.7109375" style="121" customWidth="1"/>
    <col min="6912" max="6912" width="27.28515625" style="121" customWidth="1"/>
    <col min="6913" max="6913" width="6.85546875" style="121" customWidth="1"/>
    <col min="6914" max="6914" width="12.7109375" style="121" customWidth="1"/>
    <col min="6915" max="6915" width="12" style="121" customWidth="1"/>
    <col min="6916" max="6916" width="15.28515625" style="121" customWidth="1"/>
    <col min="6917" max="6917" width="15" style="121" customWidth="1"/>
    <col min="6918" max="7166" width="11.5703125" style="121"/>
    <col min="7167" max="7167" width="4.7109375" style="121" customWidth="1"/>
    <col min="7168" max="7168" width="27.28515625" style="121" customWidth="1"/>
    <col min="7169" max="7169" width="6.85546875" style="121" customWidth="1"/>
    <col min="7170" max="7170" width="12.7109375" style="121" customWidth="1"/>
    <col min="7171" max="7171" width="12" style="121" customWidth="1"/>
    <col min="7172" max="7172" width="15.28515625" style="121" customWidth="1"/>
    <col min="7173" max="7173" width="15" style="121" customWidth="1"/>
    <col min="7174" max="7422" width="11.5703125" style="121"/>
    <col min="7423" max="7423" width="4.7109375" style="121" customWidth="1"/>
    <col min="7424" max="7424" width="27.28515625" style="121" customWidth="1"/>
    <col min="7425" max="7425" width="6.85546875" style="121" customWidth="1"/>
    <col min="7426" max="7426" width="12.7109375" style="121" customWidth="1"/>
    <col min="7427" max="7427" width="12" style="121" customWidth="1"/>
    <col min="7428" max="7428" width="15.28515625" style="121" customWidth="1"/>
    <col min="7429" max="7429" width="15" style="121" customWidth="1"/>
    <col min="7430" max="7678" width="11.5703125" style="121"/>
    <col min="7679" max="7679" width="4.7109375" style="121" customWidth="1"/>
    <col min="7680" max="7680" width="27.28515625" style="121" customWidth="1"/>
    <col min="7681" max="7681" width="6.85546875" style="121" customWidth="1"/>
    <col min="7682" max="7682" width="12.7109375" style="121" customWidth="1"/>
    <col min="7683" max="7683" width="12" style="121" customWidth="1"/>
    <col min="7684" max="7684" width="15.28515625" style="121" customWidth="1"/>
    <col min="7685" max="7685" width="15" style="121" customWidth="1"/>
    <col min="7686" max="7934" width="11.5703125" style="121"/>
    <col min="7935" max="7935" width="4.7109375" style="121" customWidth="1"/>
    <col min="7936" max="7936" width="27.28515625" style="121" customWidth="1"/>
    <col min="7937" max="7937" width="6.85546875" style="121" customWidth="1"/>
    <col min="7938" max="7938" width="12.7109375" style="121" customWidth="1"/>
    <col min="7939" max="7939" width="12" style="121" customWidth="1"/>
    <col min="7940" max="7940" width="15.28515625" style="121" customWidth="1"/>
    <col min="7941" max="7941" width="15" style="121" customWidth="1"/>
    <col min="7942" max="8190" width="11.5703125" style="121"/>
    <col min="8191" max="8191" width="4.7109375" style="121" customWidth="1"/>
    <col min="8192" max="8192" width="27.28515625" style="121" customWidth="1"/>
    <col min="8193" max="8193" width="6.85546875" style="121" customWidth="1"/>
    <col min="8194" max="8194" width="12.7109375" style="121" customWidth="1"/>
    <col min="8195" max="8195" width="12" style="121" customWidth="1"/>
    <col min="8196" max="8196" width="15.28515625" style="121" customWidth="1"/>
    <col min="8197" max="8197" width="15" style="121" customWidth="1"/>
    <col min="8198" max="8446" width="11.5703125" style="121"/>
    <col min="8447" max="8447" width="4.7109375" style="121" customWidth="1"/>
    <col min="8448" max="8448" width="27.28515625" style="121" customWidth="1"/>
    <col min="8449" max="8449" width="6.85546875" style="121" customWidth="1"/>
    <col min="8450" max="8450" width="12.7109375" style="121" customWidth="1"/>
    <col min="8451" max="8451" width="12" style="121" customWidth="1"/>
    <col min="8452" max="8452" width="15.28515625" style="121" customWidth="1"/>
    <col min="8453" max="8453" width="15" style="121" customWidth="1"/>
    <col min="8454" max="8702" width="11.5703125" style="121"/>
    <col min="8703" max="8703" width="4.7109375" style="121" customWidth="1"/>
    <col min="8704" max="8704" width="27.28515625" style="121" customWidth="1"/>
    <col min="8705" max="8705" width="6.85546875" style="121" customWidth="1"/>
    <col min="8706" max="8706" width="12.7109375" style="121" customWidth="1"/>
    <col min="8707" max="8707" width="12" style="121" customWidth="1"/>
    <col min="8708" max="8708" width="15.28515625" style="121" customWidth="1"/>
    <col min="8709" max="8709" width="15" style="121" customWidth="1"/>
    <col min="8710" max="8958" width="11.5703125" style="121"/>
    <col min="8959" max="8959" width="4.7109375" style="121" customWidth="1"/>
    <col min="8960" max="8960" width="27.28515625" style="121" customWidth="1"/>
    <col min="8961" max="8961" width="6.85546875" style="121" customWidth="1"/>
    <col min="8962" max="8962" width="12.7109375" style="121" customWidth="1"/>
    <col min="8963" max="8963" width="12" style="121" customWidth="1"/>
    <col min="8964" max="8964" width="15.28515625" style="121" customWidth="1"/>
    <col min="8965" max="8965" width="15" style="121" customWidth="1"/>
    <col min="8966" max="9214" width="11.5703125" style="121"/>
    <col min="9215" max="9215" width="4.7109375" style="121" customWidth="1"/>
    <col min="9216" max="9216" width="27.28515625" style="121" customWidth="1"/>
    <col min="9217" max="9217" width="6.85546875" style="121" customWidth="1"/>
    <col min="9218" max="9218" width="12.7109375" style="121" customWidth="1"/>
    <col min="9219" max="9219" width="12" style="121" customWidth="1"/>
    <col min="9220" max="9220" width="15.28515625" style="121" customWidth="1"/>
    <col min="9221" max="9221" width="15" style="121" customWidth="1"/>
    <col min="9222" max="9470" width="11.5703125" style="121"/>
    <col min="9471" max="9471" width="4.7109375" style="121" customWidth="1"/>
    <col min="9472" max="9472" width="27.28515625" style="121" customWidth="1"/>
    <col min="9473" max="9473" width="6.85546875" style="121" customWidth="1"/>
    <col min="9474" max="9474" width="12.7109375" style="121" customWidth="1"/>
    <col min="9475" max="9475" width="12" style="121" customWidth="1"/>
    <col min="9476" max="9476" width="15.28515625" style="121" customWidth="1"/>
    <col min="9477" max="9477" width="15" style="121" customWidth="1"/>
    <col min="9478" max="9726" width="11.5703125" style="121"/>
    <col min="9727" max="9727" width="4.7109375" style="121" customWidth="1"/>
    <col min="9728" max="9728" width="27.28515625" style="121" customWidth="1"/>
    <col min="9729" max="9729" width="6.85546875" style="121" customWidth="1"/>
    <col min="9730" max="9730" width="12.7109375" style="121" customWidth="1"/>
    <col min="9731" max="9731" width="12" style="121" customWidth="1"/>
    <col min="9732" max="9732" width="15.28515625" style="121" customWidth="1"/>
    <col min="9733" max="9733" width="15" style="121" customWidth="1"/>
    <col min="9734" max="9982" width="11.5703125" style="121"/>
    <col min="9983" max="9983" width="4.7109375" style="121" customWidth="1"/>
    <col min="9984" max="9984" width="27.28515625" style="121" customWidth="1"/>
    <col min="9985" max="9985" width="6.85546875" style="121" customWidth="1"/>
    <col min="9986" max="9986" width="12.7109375" style="121" customWidth="1"/>
    <col min="9987" max="9987" width="12" style="121" customWidth="1"/>
    <col min="9988" max="9988" width="15.28515625" style="121" customWidth="1"/>
    <col min="9989" max="9989" width="15" style="121" customWidth="1"/>
    <col min="9990" max="10238" width="11.5703125" style="121"/>
    <col min="10239" max="10239" width="4.7109375" style="121" customWidth="1"/>
    <col min="10240" max="10240" width="27.28515625" style="121" customWidth="1"/>
    <col min="10241" max="10241" width="6.85546875" style="121" customWidth="1"/>
    <col min="10242" max="10242" width="12.7109375" style="121" customWidth="1"/>
    <col min="10243" max="10243" width="12" style="121" customWidth="1"/>
    <col min="10244" max="10244" width="15.28515625" style="121" customWidth="1"/>
    <col min="10245" max="10245" width="15" style="121" customWidth="1"/>
    <col min="10246" max="10494" width="11.5703125" style="121"/>
    <col min="10495" max="10495" width="4.7109375" style="121" customWidth="1"/>
    <col min="10496" max="10496" width="27.28515625" style="121" customWidth="1"/>
    <col min="10497" max="10497" width="6.85546875" style="121" customWidth="1"/>
    <col min="10498" max="10498" width="12.7109375" style="121" customWidth="1"/>
    <col min="10499" max="10499" width="12" style="121" customWidth="1"/>
    <col min="10500" max="10500" width="15.28515625" style="121" customWidth="1"/>
    <col min="10501" max="10501" width="15" style="121" customWidth="1"/>
    <col min="10502" max="10750" width="11.5703125" style="121"/>
    <col min="10751" max="10751" width="4.7109375" style="121" customWidth="1"/>
    <col min="10752" max="10752" width="27.28515625" style="121" customWidth="1"/>
    <col min="10753" max="10753" width="6.85546875" style="121" customWidth="1"/>
    <col min="10754" max="10754" width="12.7109375" style="121" customWidth="1"/>
    <col min="10755" max="10755" width="12" style="121" customWidth="1"/>
    <col min="10756" max="10756" width="15.28515625" style="121" customWidth="1"/>
    <col min="10757" max="10757" width="15" style="121" customWidth="1"/>
    <col min="10758" max="11006" width="11.5703125" style="121"/>
    <col min="11007" max="11007" width="4.7109375" style="121" customWidth="1"/>
    <col min="11008" max="11008" width="27.28515625" style="121" customWidth="1"/>
    <col min="11009" max="11009" width="6.85546875" style="121" customWidth="1"/>
    <col min="11010" max="11010" width="12.7109375" style="121" customWidth="1"/>
    <col min="11011" max="11011" width="12" style="121" customWidth="1"/>
    <col min="11012" max="11012" width="15.28515625" style="121" customWidth="1"/>
    <col min="11013" max="11013" width="15" style="121" customWidth="1"/>
    <col min="11014" max="11262" width="11.5703125" style="121"/>
    <col min="11263" max="11263" width="4.7109375" style="121" customWidth="1"/>
    <col min="11264" max="11264" width="27.28515625" style="121" customWidth="1"/>
    <col min="11265" max="11265" width="6.85546875" style="121" customWidth="1"/>
    <col min="11266" max="11266" width="12.7109375" style="121" customWidth="1"/>
    <col min="11267" max="11267" width="12" style="121" customWidth="1"/>
    <col min="11268" max="11268" width="15.28515625" style="121" customWidth="1"/>
    <col min="11269" max="11269" width="15" style="121" customWidth="1"/>
    <col min="11270" max="11518" width="11.5703125" style="121"/>
    <col min="11519" max="11519" width="4.7109375" style="121" customWidth="1"/>
    <col min="11520" max="11520" width="27.28515625" style="121" customWidth="1"/>
    <col min="11521" max="11521" width="6.85546875" style="121" customWidth="1"/>
    <col min="11522" max="11522" width="12.7109375" style="121" customWidth="1"/>
    <col min="11523" max="11523" width="12" style="121" customWidth="1"/>
    <col min="11524" max="11524" width="15.28515625" style="121" customWidth="1"/>
    <col min="11525" max="11525" width="15" style="121" customWidth="1"/>
    <col min="11526" max="11774" width="11.5703125" style="121"/>
    <col min="11775" max="11775" width="4.7109375" style="121" customWidth="1"/>
    <col min="11776" max="11776" width="27.28515625" style="121" customWidth="1"/>
    <col min="11777" max="11777" width="6.85546875" style="121" customWidth="1"/>
    <col min="11778" max="11778" width="12.7109375" style="121" customWidth="1"/>
    <col min="11779" max="11779" width="12" style="121" customWidth="1"/>
    <col min="11780" max="11780" width="15.28515625" style="121" customWidth="1"/>
    <col min="11781" max="11781" width="15" style="121" customWidth="1"/>
    <col min="11782" max="12030" width="11.5703125" style="121"/>
    <col min="12031" max="12031" width="4.7109375" style="121" customWidth="1"/>
    <col min="12032" max="12032" width="27.28515625" style="121" customWidth="1"/>
    <col min="12033" max="12033" width="6.85546875" style="121" customWidth="1"/>
    <col min="12034" max="12034" width="12.7109375" style="121" customWidth="1"/>
    <col min="12035" max="12035" width="12" style="121" customWidth="1"/>
    <col min="12036" max="12036" width="15.28515625" style="121" customWidth="1"/>
    <col min="12037" max="12037" width="15" style="121" customWidth="1"/>
    <col min="12038" max="12286" width="11.5703125" style="121"/>
    <col min="12287" max="12287" width="4.7109375" style="121" customWidth="1"/>
    <col min="12288" max="12288" width="27.28515625" style="121" customWidth="1"/>
    <col min="12289" max="12289" width="6.85546875" style="121" customWidth="1"/>
    <col min="12290" max="12290" width="12.7109375" style="121" customWidth="1"/>
    <col min="12291" max="12291" width="12" style="121" customWidth="1"/>
    <col min="12292" max="12292" width="15.28515625" style="121" customWidth="1"/>
    <col min="12293" max="12293" width="15" style="121" customWidth="1"/>
    <col min="12294" max="12542" width="11.5703125" style="121"/>
    <col min="12543" max="12543" width="4.7109375" style="121" customWidth="1"/>
    <col min="12544" max="12544" width="27.28515625" style="121" customWidth="1"/>
    <col min="12545" max="12545" width="6.85546875" style="121" customWidth="1"/>
    <col min="12546" max="12546" width="12.7109375" style="121" customWidth="1"/>
    <col min="12547" max="12547" width="12" style="121" customWidth="1"/>
    <col min="12548" max="12548" width="15.28515625" style="121" customWidth="1"/>
    <col min="12549" max="12549" width="15" style="121" customWidth="1"/>
    <col min="12550" max="12798" width="11.5703125" style="121"/>
    <col min="12799" max="12799" width="4.7109375" style="121" customWidth="1"/>
    <col min="12800" max="12800" width="27.28515625" style="121" customWidth="1"/>
    <col min="12801" max="12801" width="6.85546875" style="121" customWidth="1"/>
    <col min="12802" max="12802" width="12.7109375" style="121" customWidth="1"/>
    <col min="12803" max="12803" width="12" style="121" customWidth="1"/>
    <col min="12804" max="12804" width="15.28515625" style="121" customWidth="1"/>
    <col min="12805" max="12805" width="15" style="121" customWidth="1"/>
    <col min="12806" max="13054" width="11.5703125" style="121"/>
    <col min="13055" max="13055" width="4.7109375" style="121" customWidth="1"/>
    <col min="13056" max="13056" width="27.28515625" style="121" customWidth="1"/>
    <col min="13057" max="13057" width="6.85546875" style="121" customWidth="1"/>
    <col min="13058" max="13058" width="12.7109375" style="121" customWidth="1"/>
    <col min="13059" max="13059" width="12" style="121" customWidth="1"/>
    <col min="13060" max="13060" width="15.28515625" style="121" customWidth="1"/>
    <col min="13061" max="13061" width="15" style="121" customWidth="1"/>
    <col min="13062" max="13310" width="11.5703125" style="121"/>
    <col min="13311" max="13311" width="4.7109375" style="121" customWidth="1"/>
    <col min="13312" max="13312" width="27.28515625" style="121" customWidth="1"/>
    <col min="13313" max="13313" width="6.85546875" style="121" customWidth="1"/>
    <col min="13314" max="13314" width="12.7109375" style="121" customWidth="1"/>
    <col min="13315" max="13315" width="12" style="121" customWidth="1"/>
    <col min="13316" max="13316" width="15.28515625" style="121" customWidth="1"/>
    <col min="13317" max="13317" width="15" style="121" customWidth="1"/>
    <col min="13318" max="13566" width="11.5703125" style="121"/>
    <col min="13567" max="13567" width="4.7109375" style="121" customWidth="1"/>
    <col min="13568" max="13568" width="27.28515625" style="121" customWidth="1"/>
    <col min="13569" max="13569" width="6.85546875" style="121" customWidth="1"/>
    <col min="13570" max="13570" width="12.7109375" style="121" customWidth="1"/>
    <col min="13571" max="13571" width="12" style="121" customWidth="1"/>
    <col min="13572" max="13572" width="15.28515625" style="121" customWidth="1"/>
    <col min="13573" max="13573" width="15" style="121" customWidth="1"/>
    <col min="13574" max="13822" width="11.5703125" style="121"/>
    <col min="13823" max="13823" width="4.7109375" style="121" customWidth="1"/>
    <col min="13824" max="13824" width="27.28515625" style="121" customWidth="1"/>
    <col min="13825" max="13825" width="6.85546875" style="121" customWidth="1"/>
    <col min="13826" max="13826" width="12.7109375" style="121" customWidth="1"/>
    <col min="13827" max="13827" width="12" style="121" customWidth="1"/>
    <col min="13828" max="13828" width="15.28515625" style="121" customWidth="1"/>
    <col min="13829" max="13829" width="15" style="121" customWidth="1"/>
    <col min="13830" max="14078" width="11.5703125" style="121"/>
    <col min="14079" max="14079" width="4.7109375" style="121" customWidth="1"/>
    <col min="14080" max="14080" width="27.28515625" style="121" customWidth="1"/>
    <col min="14081" max="14081" width="6.85546875" style="121" customWidth="1"/>
    <col min="14082" max="14082" width="12.7109375" style="121" customWidth="1"/>
    <col min="14083" max="14083" width="12" style="121" customWidth="1"/>
    <col min="14084" max="14084" width="15.28515625" style="121" customWidth="1"/>
    <col min="14085" max="14085" width="15" style="121" customWidth="1"/>
    <col min="14086" max="14334" width="11.5703125" style="121"/>
    <col min="14335" max="14335" width="4.7109375" style="121" customWidth="1"/>
    <col min="14336" max="14336" width="27.28515625" style="121" customWidth="1"/>
    <col min="14337" max="14337" width="6.85546875" style="121" customWidth="1"/>
    <col min="14338" max="14338" width="12.7109375" style="121" customWidth="1"/>
    <col min="14339" max="14339" width="12" style="121" customWidth="1"/>
    <col min="14340" max="14340" width="15.28515625" style="121" customWidth="1"/>
    <col min="14341" max="14341" width="15" style="121" customWidth="1"/>
    <col min="14342" max="14590" width="11.5703125" style="121"/>
    <col min="14591" max="14591" width="4.7109375" style="121" customWidth="1"/>
    <col min="14592" max="14592" width="27.28515625" style="121" customWidth="1"/>
    <col min="14593" max="14593" width="6.85546875" style="121" customWidth="1"/>
    <col min="14594" max="14594" width="12.7109375" style="121" customWidth="1"/>
    <col min="14595" max="14595" width="12" style="121" customWidth="1"/>
    <col min="14596" max="14596" width="15.28515625" style="121" customWidth="1"/>
    <col min="14597" max="14597" width="15" style="121" customWidth="1"/>
    <col min="14598" max="14846" width="11.5703125" style="121"/>
    <col min="14847" max="14847" width="4.7109375" style="121" customWidth="1"/>
    <col min="14848" max="14848" width="27.28515625" style="121" customWidth="1"/>
    <col min="14849" max="14849" width="6.85546875" style="121" customWidth="1"/>
    <col min="14850" max="14850" width="12.7109375" style="121" customWidth="1"/>
    <col min="14851" max="14851" width="12" style="121" customWidth="1"/>
    <col min="14852" max="14852" width="15.28515625" style="121" customWidth="1"/>
    <col min="14853" max="14853" width="15" style="121" customWidth="1"/>
    <col min="14854" max="15102" width="11.5703125" style="121"/>
    <col min="15103" max="15103" width="4.7109375" style="121" customWidth="1"/>
    <col min="15104" max="15104" width="27.28515625" style="121" customWidth="1"/>
    <col min="15105" max="15105" width="6.85546875" style="121" customWidth="1"/>
    <col min="15106" max="15106" width="12.7109375" style="121" customWidth="1"/>
    <col min="15107" max="15107" width="12" style="121" customWidth="1"/>
    <col min="15108" max="15108" width="15.28515625" style="121" customWidth="1"/>
    <col min="15109" max="15109" width="15" style="121" customWidth="1"/>
    <col min="15110" max="15358" width="11.5703125" style="121"/>
    <col min="15359" max="15359" width="4.7109375" style="121" customWidth="1"/>
    <col min="15360" max="15360" width="27.28515625" style="121" customWidth="1"/>
    <col min="15361" max="15361" width="6.85546875" style="121" customWidth="1"/>
    <col min="15362" max="15362" width="12.7109375" style="121" customWidth="1"/>
    <col min="15363" max="15363" width="12" style="121" customWidth="1"/>
    <col min="15364" max="15364" width="15.28515625" style="121" customWidth="1"/>
    <col min="15365" max="15365" width="15" style="121" customWidth="1"/>
    <col min="15366" max="15614" width="11.5703125" style="121"/>
    <col min="15615" max="15615" width="4.7109375" style="121" customWidth="1"/>
    <col min="15616" max="15616" width="27.28515625" style="121" customWidth="1"/>
    <col min="15617" max="15617" width="6.85546875" style="121" customWidth="1"/>
    <col min="15618" max="15618" width="12.7109375" style="121" customWidth="1"/>
    <col min="15619" max="15619" width="12" style="121" customWidth="1"/>
    <col min="15620" max="15620" width="15.28515625" style="121" customWidth="1"/>
    <col min="15621" max="15621" width="15" style="121" customWidth="1"/>
    <col min="15622" max="15870" width="11.5703125" style="121"/>
    <col min="15871" max="15871" width="4.7109375" style="121" customWidth="1"/>
    <col min="15872" max="15872" width="27.28515625" style="121" customWidth="1"/>
    <col min="15873" max="15873" width="6.85546875" style="121" customWidth="1"/>
    <col min="15874" max="15874" width="12.7109375" style="121" customWidth="1"/>
    <col min="15875" max="15875" width="12" style="121" customWidth="1"/>
    <col min="15876" max="15876" width="15.28515625" style="121" customWidth="1"/>
    <col min="15877" max="15877" width="15" style="121" customWidth="1"/>
    <col min="15878" max="16126" width="11.5703125" style="121"/>
    <col min="16127" max="16127" width="4.7109375" style="121" customWidth="1"/>
    <col min="16128" max="16128" width="27.28515625" style="121" customWidth="1"/>
    <col min="16129" max="16129" width="6.85546875" style="121" customWidth="1"/>
    <col min="16130" max="16130" width="12.7109375" style="121" customWidth="1"/>
    <col min="16131" max="16131" width="12" style="121" customWidth="1"/>
    <col min="16132" max="16132" width="15.28515625" style="121" customWidth="1"/>
    <col min="16133" max="16133" width="15" style="121" customWidth="1"/>
    <col min="16134" max="16384" width="11.5703125" style="121"/>
  </cols>
  <sheetData>
    <row r="1" spans="1:5" x14ac:dyDescent="0.2">
      <c r="E1" s="122"/>
    </row>
    <row r="2" spans="1:5" x14ac:dyDescent="0.2">
      <c r="A2" s="772"/>
      <c r="B2" s="773"/>
      <c r="C2" s="258"/>
      <c r="D2" s="258"/>
      <c r="E2" s="258"/>
    </row>
    <row r="3" spans="1:5" ht="34.5" customHeight="1" x14ac:dyDescent="0.2">
      <c r="A3" s="2094" t="s">
        <v>5882</v>
      </c>
      <c r="B3" s="2095"/>
      <c r="C3" s="2095"/>
      <c r="D3" s="2095"/>
      <c r="E3" s="2095"/>
    </row>
    <row r="4" spans="1:5" s="772" customFormat="1" ht="13.15" customHeight="1" x14ac:dyDescent="0.2">
      <c r="A4" s="124"/>
      <c r="B4" s="2094" t="s">
        <v>5883</v>
      </c>
      <c r="C4" s="2095" t="s">
        <v>5884</v>
      </c>
      <c r="D4" s="2095" t="s">
        <v>5884</v>
      </c>
      <c r="E4" s="121"/>
    </row>
    <row r="5" spans="1:5" x14ac:dyDescent="0.2">
      <c r="C5" s="122"/>
      <c r="D5" s="122"/>
    </row>
    <row r="6" spans="1:5" ht="37.5" customHeight="1" x14ac:dyDescent="0.2">
      <c r="A6" s="2096" t="s">
        <v>5885</v>
      </c>
      <c r="B6" s="2096"/>
      <c r="C6" s="2096"/>
      <c r="D6" s="2096"/>
      <c r="E6" s="2097"/>
    </row>
    <row r="7" spans="1:5" hidden="1" x14ac:dyDescent="0.2">
      <c r="A7" s="2098"/>
      <c r="B7" s="2098"/>
      <c r="C7" s="259"/>
      <c r="D7" s="259"/>
      <c r="E7" s="259"/>
    </row>
    <row r="9" spans="1:5" ht="27.95" customHeight="1" x14ac:dyDescent="0.2">
      <c r="A9" s="2099" t="s">
        <v>5886</v>
      </c>
      <c r="B9" s="2099"/>
      <c r="C9" s="2099"/>
      <c r="D9" s="2099"/>
      <c r="E9" s="771" t="s">
        <v>5887</v>
      </c>
    </row>
    <row r="10" spans="1:5" hidden="1" x14ac:dyDescent="0.2"/>
    <row r="11" spans="1:5" ht="30.75" customHeight="1" x14ac:dyDescent="0.2">
      <c r="A11" s="2036" t="s">
        <v>5888</v>
      </c>
      <c r="B11" s="2036"/>
      <c r="C11" s="2036"/>
      <c r="D11" s="2036"/>
      <c r="E11" s="771" t="s">
        <v>5889</v>
      </c>
    </row>
    <row r="12" spans="1:5" x14ac:dyDescent="0.2">
      <c r="A12" s="774"/>
      <c r="B12" s="774"/>
      <c r="C12" s="773"/>
      <c r="D12" s="774"/>
    </row>
    <row r="13" spans="1:5" ht="26.25" customHeight="1" x14ac:dyDescent="0.2">
      <c r="A13" s="774"/>
      <c r="B13" s="2036" t="s">
        <v>5890</v>
      </c>
      <c r="C13" s="2036"/>
      <c r="D13" s="2036"/>
      <c r="E13" s="2036"/>
    </row>
    <row r="14" spans="1:5" ht="17.45" customHeight="1" x14ac:dyDescent="0.2">
      <c r="A14" s="774"/>
      <c r="B14" s="2036"/>
      <c r="C14" s="2036"/>
      <c r="D14" s="2036"/>
      <c r="E14" s="2036"/>
    </row>
    <row r="16" spans="1:5" x14ac:dyDescent="0.2">
      <c r="A16" s="2102" t="s">
        <v>5891</v>
      </c>
      <c r="B16" s="2103" t="s">
        <v>6</v>
      </c>
      <c r="C16" s="2104"/>
      <c r="D16" s="2105"/>
      <c r="E16" s="2102" t="s">
        <v>7080</v>
      </c>
    </row>
    <row r="17" spans="1:6" ht="24" customHeight="1" x14ac:dyDescent="0.2">
      <c r="A17" s="2102"/>
      <c r="B17" s="2106"/>
      <c r="C17" s="2107"/>
      <c r="D17" s="2108"/>
      <c r="E17" s="2102"/>
    </row>
    <row r="18" spans="1:6" ht="27.75" customHeight="1" x14ac:dyDescent="0.2">
      <c r="A18" s="1084">
        <v>1</v>
      </c>
      <c r="B18" s="2037" t="s">
        <v>5892</v>
      </c>
      <c r="C18" s="2038"/>
      <c r="D18" s="2039"/>
      <c r="E18" s="1085">
        <v>92526.2</v>
      </c>
      <c r="F18" s="260"/>
    </row>
    <row r="19" spans="1:6" ht="25.5" customHeight="1" x14ac:dyDescent="0.2">
      <c r="A19" s="1086">
        <v>2</v>
      </c>
      <c r="B19" s="2100" t="s">
        <v>5893</v>
      </c>
      <c r="C19" s="2100"/>
      <c r="D19" s="2100"/>
      <c r="E19" s="1085">
        <v>6264.79</v>
      </c>
      <c r="F19" s="1087"/>
    </row>
    <row r="20" spans="1:6" ht="26.25" customHeight="1" x14ac:dyDescent="0.2">
      <c r="A20" s="1086">
        <v>3</v>
      </c>
      <c r="B20" s="2100" t="s">
        <v>5894</v>
      </c>
      <c r="C20" s="2100"/>
      <c r="D20" s="2100"/>
      <c r="E20" s="1088">
        <f>E18+E19</f>
        <v>98790.99</v>
      </c>
      <c r="F20" s="260"/>
    </row>
    <row r="21" spans="1:6" ht="25.5" customHeight="1" x14ac:dyDescent="0.2">
      <c r="A21" s="1086">
        <v>5</v>
      </c>
      <c r="B21" s="2100" t="s">
        <v>5895</v>
      </c>
      <c r="C21" s="2100"/>
      <c r="D21" s="2100"/>
      <c r="E21" s="1089">
        <v>1.61E-2</v>
      </c>
    </row>
    <row r="22" spans="1:6" ht="29.45" customHeight="1" x14ac:dyDescent="0.2">
      <c r="C22" s="2036"/>
      <c r="D22" s="2101"/>
      <c r="E22" s="2101"/>
    </row>
    <row r="23" spans="1:6" x14ac:dyDescent="0.2">
      <c r="B23" s="121" t="s">
        <v>5896</v>
      </c>
      <c r="C23" s="121" t="s">
        <v>5897</v>
      </c>
      <c r="D23" s="121"/>
    </row>
    <row r="24" spans="1:6" x14ac:dyDescent="0.2">
      <c r="B24" s="121" t="s">
        <v>5667</v>
      </c>
      <c r="C24" s="121"/>
      <c r="D24" s="121"/>
    </row>
    <row r="25" spans="1:6" x14ac:dyDescent="0.2">
      <c r="B25" s="121"/>
      <c r="C25" s="121"/>
      <c r="D25" s="121"/>
    </row>
    <row r="26" spans="1:6" x14ac:dyDescent="0.2">
      <c r="B26" s="121" t="s">
        <v>5898</v>
      </c>
      <c r="C26" s="121" t="s">
        <v>5899</v>
      </c>
      <c r="D26" s="121"/>
    </row>
    <row r="27" spans="1:6" x14ac:dyDescent="0.2">
      <c r="B27" s="121" t="s">
        <v>5667</v>
      </c>
      <c r="C27" s="121"/>
      <c r="D27" s="121"/>
    </row>
  </sheetData>
  <mergeCells count="15">
    <mergeCell ref="B20:D20"/>
    <mergeCell ref="B21:D21"/>
    <mergeCell ref="C22:E22"/>
    <mergeCell ref="B13:E14"/>
    <mergeCell ref="A16:A17"/>
    <mergeCell ref="B16:D17"/>
    <mergeCell ref="E16:E17"/>
    <mergeCell ref="B18:D18"/>
    <mergeCell ref="B19:D19"/>
    <mergeCell ref="A11:D11"/>
    <mergeCell ref="A3:E3"/>
    <mergeCell ref="B4:D4"/>
    <mergeCell ref="A6:E6"/>
    <mergeCell ref="A7:B7"/>
    <mergeCell ref="A9:D9"/>
  </mergeCells>
  <pageMargins left="0.70866141732283472" right="0.70866141732283472" top="0.74803149606299213" bottom="0.74803149606299213" header="0.31496062992125984" footer="0.31496062992125984"/>
  <pageSetup paperSize="9" scale="90" orientation="portrait" horizontalDpi="180" verticalDpi="180" r:id="rId1"/>
  <headerFooter>
    <oddFooter>Страница &amp;P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54"/>
  <sheetViews>
    <sheetView zoomScale="80" zoomScaleNormal="80" zoomScaleSheetLayoutView="80" workbookViewId="0">
      <selection sqref="A1:B1"/>
    </sheetView>
  </sheetViews>
  <sheetFormatPr defaultColWidth="10.28515625" defaultRowHeight="12.75" x14ac:dyDescent="0.2"/>
  <cols>
    <col min="1" max="1" width="5.140625" style="808" customWidth="1"/>
    <col min="2" max="2" width="45" style="808" customWidth="1"/>
    <col min="3" max="3" width="25.85546875" style="808" customWidth="1"/>
    <col min="4" max="4" width="25" style="809" customWidth="1"/>
    <col min="5" max="5" width="25.42578125" style="808" customWidth="1"/>
    <col min="6" max="6" width="12.7109375" style="797" bestFit="1" customWidth="1"/>
    <col min="7" max="7" width="10.28515625" style="797"/>
    <col min="8" max="8" width="21.140625" style="797" customWidth="1"/>
    <col min="9" max="9" width="19.7109375" style="797" customWidth="1"/>
    <col min="10" max="10" width="18.42578125" style="797" customWidth="1"/>
    <col min="11" max="256" width="10.28515625" style="797"/>
    <col min="257" max="257" width="5.140625" style="797" customWidth="1"/>
    <col min="258" max="258" width="45" style="797" customWidth="1"/>
    <col min="259" max="259" width="25.85546875" style="797" customWidth="1"/>
    <col min="260" max="260" width="25" style="797" customWidth="1"/>
    <col min="261" max="261" width="25.42578125" style="797" customWidth="1"/>
    <col min="262" max="262" width="12.7109375" style="797" bestFit="1" customWidth="1"/>
    <col min="263" max="263" width="10.28515625" style="797"/>
    <col min="264" max="264" width="21.140625" style="797" customWidth="1"/>
    <col min="265" max="265" width="19.7109375" style="797" customWidth="1"/>
    <col min="266" max="266" width="18.42578125" style="797" customWidth="1"/>
    <col min="267" max="512" width="10.28515625" style="797"/>
    <col min="513" max="513" width="5.140625" style="797" customWidth="1"/>
    <col min="514" max="514" width="45" style="797" customWidth="1"/>
    <col min="515" max="515" width="25.85546875" style="797" customWidth="1"/>
    <col min="516" max="516" width="25" style="797" customWidth="1"/>
    <col min="517" max="517" width="25.42578125" style="797" customWidth="1"/>
    <col min="518" max="518" width="12.7109375" style="797" bestFit="1" customWidth="1"/>
    <col min="519" max="519" width="10.28515625" style="797"/>
    <col min="520" max="520" width="21.140625" style="797" customWidth="1"/>
    <col min="521" max="521" width="19.7109375" style="797" customWidth="1"/>
    <col min="522" max="522" width="18.42578125" style="797" customWidth="1"/>
    <col min="523" max="768" width="10.28515625" style="797"/>
    <col min="769" max="769" width="5.140625" style="797" customWidth="1"/>
    <col min="770" max="770" width="45" style="797" customWidth="1"/>
    <col min="771" max="771" width="25.85546875" style="797" customWidth="1"/>
    <col min="772" max="772" width="25" style="797" customWidth="1"/>
    <col min="773" max="773" width="25.42578125" style="797" customWidth="1"/>
    <col min="774" max="774" width="12.7109375" style="797" bestFit="1" customWidth="1"/>
    <col min="775" max="775" width="10.28515625" style="797"/>
    <col min="776" max="776" width="21.140625" style="797" customWidth="1"/>
    <col min="777" max="777" width="19.7109375" style="797" customWidth="1"/>
    <col min="778" max="778" width="18.42578125" style="797" customWidth="1"/>
    <col min="779" max="1024" width="10.28515625" style="797"/>
    <col min="1025" max="1025" width="5.140625" style="797" customWidth="1"/>
    <col min="1026" max="1026" width="45" style="797" customWidth="1"/>
    <col min="1027" max="1027" width="25.85546875" style="797" customWidth="1"/>
    <col min="1028" max="1028" width="25" style="797" customWidth="1"/>
    <col min="1029" max="1029" width="25.42578125" style="797" customWidth="1"/>
    <col min="1030" max="1030" width="12.7109375" style="797" bestFit="1" customWidth="1"/>
    <col min="1031" max="1031" width="10.28515625" style="797"/>
    <col min="1032" max="1032" width="21.140625" style="797" customWidth="1"/>
    <col min="1033" max="1033" width="19.7109375" style="797" customWidth="1"/>
    <col min="1034" max="1034" width="18.42578125" style="797" customWidth="1"/>
    <col min="1035" max="1280" width="10.28515625" style="797"/>
    <col min="1281" max="1281" width="5.140625" style="797" customWidth="1"/>
    <col min="1282" max="1282" width="45" style="797" customWidth="1"/>
    <col min="1283" max="1283" width="25.85546875" style="797" customWidth="1"/>
    <col min="1284" max="1284" width="25" style="797" customWidth="1"/>
    <col min="1285" max="1285" width="25.42578125" style="797" customWidth="1"/>
    <col min="1286" max="1286" width="12.7109375" style="797" bestFit="1" customWidth="1"/>
    <col min="1287" max="1287" width="10.28515625" style="797"/>
    <col min="1288" max="1288" width="21.140625" style="797" customWidth="1"/>
    <col min="1289" max="1289" width="19.7109375" style="797" customWidth="1"/>
    <col min="1290" max="1290" width="18.42578125" style="797" customWidth="1"/>
    <col min="1291" max="1536" width="10.28515625" style="797"/>
    <col min="1537" max="1537" width="5.140625" style="797" customWidth="1"/>
    <col min="1538" max="1538" width="45" style="797" customWidth="1"/>
    <col min="1539" max="1539" width="25.85546875" style="797" customWidth="1"/>
    <col min="1540" max="1540" width="25" style="797" customWidth="1"/>
    <col min="1541" max="1541" width="25.42578125" style="797" customWidth="1"/>
    <col min="1542" max="1542" width="12.7109375" style="797" bestFit="1" customWidth="1"/>
    <col min="1543" max="1543" width="10.28515625" style="797"/>
    <col min="1544" max="1544" width="21.140625" style="797" customWidth="1"/>
    <col min="1545" max="1545" width="19.7109375" style="797" customWidth="1"/>
    <col min="1546" max="1546" width="18.42578125" style="797" customWidth="1"/>
    <col min="1547" max="1792" width="10.28515625" style="797"/>
    <col min="1793" max="1793" width="5.140625" style="797" customWidth="1"/>
    <col min="1794" max="1794" width="45" style="797" customWidth="1"/>
    <col min="1795" max="1795" width="25.85546875" style="797" customWidth="1"/>
    <col min="1796" max="1796" width="25" style="797" customWidth="1"/>
    <col min="1797" max="1797" width="25.42578125" style="797" customWidth="1"/>
    <col min="1798" max="1798" width="12.7109375" style="797" bestFit="1" customWidth="1"/>
    <col min="1799" max="1799" width="10.28515625" style="797"/>
    <col min="1800" max="1800" width="21.140625" style="797" customWidth="1"/>
    <col min="1801" max="1801" width="19.7109375" style="797" customWidth="1"/>
    <col min="1802" max="1802" width="18.42578125" style="797" customWidth="1"/>
    <col min="1803" max="2048" width="10.28515625" style="797"/>
    <col min="2049" max="2049" width="5.140625" style="797" customWidth="1"/>
    <col min="2050" max="2050" width="45" style="797" customWidth="1"/>
    <col min="2051" max="2051" width="25.85546875" style="797" customWidth="1"/>
    <col min="2052" max="2052" width="25" style="797" customWidth="1"/>
    <col min="2053" max="2053" width="25.42578125" style="797" customWidth="1"/>
    <col min="2054" max="2054" width="12.7109375" style="797" bestFit="1" customWidth="1"/>
    <col min="2055" max="2055" width="10.28515625" style="797"/>
    <col min="2056" max="2056" width="21.140625" style="797" customWidth="1"/>
    <col min="2057" max="2057" width="19.7109375" style="797" customWidth="1"/>
    <col min="2058" max="2058" width="18.42578125" style="797" customWidth="1"/>
    <col min="2059" max="2304" width="10.28515625" style="797"/>
    <col min="2305" max="2305" width="5.140625" style="797" customWidth="1"/>
    <col min="2306" max="2306" width="45" style="797" customWidth="1"/>
    <col min="2307" max="2307" width="25.85546875" style="797" customWidth="1"/>
    <col min="2308" max="2308" width="25" style="797" customWidth="1"/>
    <col min="2309" max="2309" width="25.42578125" style="797" customWidth="1"/>
    <col min="2310" max="2310" width="12.7109375" style="797" bestFit="1" customWidth="1"/>
    <col min="2311" max="2311" width="10.28515625" style="797"/>
    <col min="2312" max="2312" width="21.140625" style="797" customWidth="1"/>
    <col min="2313" max="2313" width="19.7109375" style="797" customWidth="1"/>
    <col min="2314" max="2314" width="18.42578125" style="797" customWidth="1"/>
    <col min="2315" max="2560" width="10.28515625" style="797"/>
    <col min="2561" max="2561" width="5.140625" style="797" customWidth="1"/>
    <col min="2562" max="2562" width="45" style="797" customWidth="1"/>
    <col min="2563" max="2563" width="25.85546875" style="797" customWidth="1"/>
    <col min="2564" max="2564" width="25" style="797" customWidth="1"/>
    <col min="2565" max="2565" width="25.42578125" style="797" customWidth="1"/>
    <col min="2566" max="2566" width="12.7109375" style="797" bestFit="1" customWidth="1"/>
    <col min="2567" max="2567" width="10.28515625" style="797"/>
    <col min="2568" max="2568" width="21.140625" style="797" customWidth="1"/>
    <col min="2569" max="2569" width="19.7109375" style="797" customWidth="1"/>
    <col min="2570" max="2570" width="18.42578125" style="797" customWidth="1"/>
    <col min="2571" max="2816" width="10.28515625" style="797"/>
    <col min="2817" max="2817" width="5.140625" style="797" customWidth="1"/>
    <col min="2818" max="2818" width="45" style="797" customWidth="1"/>
    <col min="2819" max="2819" width="25.85546875" style="797" customWidth="1"/>
    <col min="2820" max="2820" width="25" style="797" customWidth="1"/>
    <col min="2821" max="2821" width="25.42578125" style="797" customWidth="1"/>
    <col min="2822" max="2822" width="12.7109375" style="797" bestFit="1" customWidth="1"/>
    <col min="2823" max="2823" width="10.28515625" style="797"/>
    <col min="2824" max="2824" width="21.140625" style="797" customWidth="1"/>
    <col min="2825" max="2825" width="19.7109375" style="797" customWidth="1"/>
    <col min="2826" max="2826" width="18.42578125" style="797" customWidth="1"/>
    <col min="2827" max="3072" width="10.28515625" style="797"/>
    <col min="3073" max="3073" width="5.140625" style="797" customWidth="1"/>
    <col min="3074" max="3074" width="45" style="797" customWidth="1"/>
    <col min="3075" max="3075" width="25.85546875" style="797" customWidth="1"/>
    <col min="3076" max="3076" width="25" style="797" customWidth="1"/>
    <col min="3077" max="3077" width="25.42578125" style="797" customWidth="1"/>
    <col min="3078" max="3078" width="12.7109375" style="797" bestFit="1" customWidth="1"/>
    <col min="3079" max="3079" width="10.28515625" style="797"/>
    <col min="3080" max="3080" width="21.140625" style="797" customWidth="1"/>
    <col min="3081" max="3081" width="19.7109375" style="797" customWidth="1"/>
    <col min="3082" max="3082" width="18.42578125" style="797" customWidth="1"/>
    <col min="3083" max="3328" width="10.28515625" style="797"/>
    <col min="3329" max="3329" width="5.140625" style="797" customWidth="1"/>
    <col min="3330" max="3330" width="45" style="797" customWidth="1"/>
    <col min="3331" max="3331" width="25.85546875" style="797" customWidth="1"/>
    <col min="3332" max="3332" width="25" style="797" customWidth="1"/>
    <col min="3333" max="3333" width="25.42578125" style="797" customWidth="1"/>
    <col min="3334" max="3334" width="12.7109375" style="797" bestFit="1" customWidth="1"/>
    <col min="3335" max="3335" width="10.28515625" style="797"/>
    <col min="3336" max="3336" width="21.140625" style="797" customWidth="1"/>
    <col min="3337" max="3337" width="19.7109375" style="797" customWidth="1"/>
    <col min="3338" max="3338" width="18.42578125" style="797" customWidth="1"/>
    <col min="3339" max="3584" width="10.28515625" style="797"/>
    <col min="3585" max="3585" width="5.140625" style="797" customWidth="1"/>
    <col min="3586" max="3586" width="45" style="797" customWidth="1"/>
    <col min="3587" max="3587" width="25.85546875" style="797" customWidth="1"/>
    <col min="3588" max="3588" width="25" style="797" customWidth="1"/>
    <col min="3589" max="3589" width="25.42578125" style="797" customWidth="1"/>
    <col min="3590" max="3590" width="12.7109375" style="797" bestFit="1" customWidth="1"/>
    <col min="3591" max="3591" width="10.28515625" style="797"/>
    <col min="3592" max="3592" width="21.140625" style="797" customWidth="1"/>
    <col min="3593" max="3593" width="19.7109375" style="797" customWidth="1"/>
    <col min="3594" max="3594" width="18.42578125" style="797" customWidth="1"/>
    <col min="3595" max="3840" width="10.28515625" style="797"/>
    <col min="3841" max="3841" width="5.140625" style="797" customWidth="1"/>
    <col min="3842" max="3842" width="45" style="797" customWidth="1"/>
    <col min="3843" max="3843" width="25.85546875" style="797" customWidth="1"/>
    <col min="3844" max="3844" width="25" style="797" customWidth="1"/>
    <col min="3845" max="3845" width="25.42578125" style="797" customWidth="1"/>
    <col min="3846" max="3846" width="12.7109375" style="797" bestFit="1" customWidth="1"/>
    <col min="3847" max="3847" width="10.28515625" style="797"/>
    <col min="3848" max="3848" width="21.140625" style="797" customWidth="1"/>
    <col min="3849" max="3849" width="19.7109375" style="797" customWidth="1"/>
    <col min="3850" max="3850" width="18.42578125" style="797" customWidth="1"/>
    <col min="3851" max="4096" width="10.28515625" style="797"/>
    <col min="4097" max="4097" width="5.140625" style="797" customWidth="1"/>
    <col min="4098" max="4098" width="45" style="797" customWidth="1"/>
    <col min="4099" max="4099" width="25.85546875" style="797" customWidth="1"/>
    <col min="4100" max="4100" width="25" style="797" customWidth="1"/>
    <col min="4101" max="4101" width="25.42578125" style="797" customWidth="1"/>
    <col min="4102" max="4102" width="12.7109375" style="797" bestFit="1" customWidth="1"/>
    <col min="4103" max="4103" width="10.28515625" style="797"/>
    <col min="4104" max="4104" width="21.140625" style="797" customWidth="1"/>
    <col min="4105" max="4105" width="19.7109375" style="797" customWidth="1"/>
    <col min="4106" max="4106" width="18.42578125" style="797" customWidth="1"/>
    <col min="4107" max="4352" width="10.28515625" style="797"/>
    <col min="4353" max="4353" width="5.140625" style="797" customWidth="1"/>
    <col min="4354" max="4354" width="45" style="797" customWidth="1"/>
    <col min="4355" max="4355" width="25.85546875" style="797" customWidth="1"/>
    <col min="4356" max="4356" width="25" style="797" customWidth="1"/>
    <col min="4357" max="4357" width="25.42578125" style="797" customWidth="1"/>
    <col min="4358" max="4358" width="12.7109375" style="797" bestFit="1" customWidth="1"/>
    <col min="4359" max="4359" width="10.28515625" style="797"/>
    <col min="4360" max="4360" width="21.140625" style="797" customWidth="1"/>
    <col min="4361" max="4361" width="19.7109375" style="797" customWidth="1"/>
    <col min="4362" max="4362" width="18.42578125" style="797" customWidth="1"/>
    <col min="4363" max="4608" width="10.28515625" style="797"/>
    <col min="4609" max="4609" width="5.140625" style="797" customWidth="1"/>
    <col min="4610" max="4610" width="45" style="797" customWidth="1"/>
    <col min="4611" max="4611" width="25.85546875" style="797" customWidth="1"/>
    <col min="4612" max="4612" width="25" style="797" customWidth="1"/>
    <col min="4613" max="4613" width="25.42578125" style="797" customWidth="1"/>
    <col min="4614" max="4614" width="12.7109375" style="797" bestFit="1" customWidth="1"/>
    <col min="4615" max="4615" width="10.28515625" style="797"/>
    <col min="4616" max="4616" width="21.140625" style="797" customWidth="1"/>
    <col min="4617" max="4617" width="19.7109375" style="797" customWidth="1"/>
    <col min="4618" max="4618" width="18.42578125" style="797" customWidth="1"/>
    <col min="4619" max="4864" width="10.28515625" style="797"/>
    <col min="4865" max="4865" width="5.140625" style="797" customWidth="1"/>
    <col min="4866" max="4866" width="45" style="797" customWidth="1"/>
    <col min="4867" max="4867" width="25.85546875" style="797" customWidth="1"/>
    <col min="4868" max="4868" width="25" style="797" customWidth="1"/>
    <col min="4869" max="4869" width="25.42578125" style="797" customWidth="1"/>
    <col min="4870" max="4870" width="12.7109375" style="797" bestFit="1" customWidth="1"/>
    <col min="4871" max="4871" width="10.28515625" style="797"/>
    <col min="4872" max="4872" width="21.140625" style="797" customWidth="1"/>
    <col min="4873" max="4873" width="19.7109375" style="797" customWidth="1"/>
    <col min="4874" max="4874" width="18.42578125" style="797" customWidth="1"/>
    <col min="4875" max="5120" width="10.28515625" style="797"/>
    <col min="5121" max="5121" width="5.140625" style="797" customWidth="1"/>
    <col min="5122" max="5122" width="45" style="797" customWidth="1"/>
    <col min="5123" max="5123" width="25.85546875" style="797" customWidth="1"/>
    <col min="5124" max="5124" width="25" style="797" customWidth="1"/>
    <col min="5125" max="5125" width="25.42578125" style="797" customWidth="1"/>
    <col min="5126" max="5126" width="12.7109375" style="797" bestFit="1" customWidth="1"/>
    <col min="5127" max="5127" width="10.28515625" style="797"/>
    <col min="5128" max="5128" width="21.140625" style="797" customWidth="1"/>
    <col min="5129" max="5129" width="19.7109375" style="797" customWidth="1"/>
    <col min="5130" max="5130" width="18.42578125" style="797" customWidth="1"/>
    <col min="5131" max="5376" width="10.28515625" style="797"/>
    <col min="5377" max="5377" width="5.140625" style="797" customWidth="1"/>
    <col min="5378" max="5378" width="45" style="797" customWidth="1"/>
    <col min="5379" max="5379" width="25.85546875" style="797" customWidth="1"/>
    <col min="5380" max="5380" width="25" style="797" customWidth="1"/>
    <col min="5381" max="5381" width="25.42578125" style="797" customWidth="1"/>
    <col min="5382" max="5382" width="12.7109375" style="797" bestFit="1" customWidth="1"/>
    <col min="5383" max="5383" width="10.28515625" style="797"/>
    <col min="5384" max="5384" width="21.140625" style="797" customWidth="1"/>
    <col min="5385" max="5385" width="19.7109375" style="797" customWidth="1"/>
    <col min="5386" max="5386" width="18.42578125" style="797" customWidth="1"/>
    <col min="5387" max="5632" width="10.28515625" style="797"/>
    <col min="5633" max="5633" width="5.140625" style="797" customWidth="1"/>
    <col min="5634" max="5634" width="45" style="797" customWidth="1"/>
    <col min="5635" max="5635" width="25.85546875" style="797" customWidth="1"/>
    <col min="5636" max="5636" width="25" style="797" customWidth="1"/>
    <col min="5637" max="5637" width="25.42578125" style="797" customWidth="1"/>
    <col min="5638" max="5638" width="12.7109375" style="797" bestFit="1" customWidth="1"/>
    <col min="5639" max="5639" width="10.28515625" style="797"/>
    <col min="5640" max="5640" width="21.140625" style="797" customWidth="1"/>
    <col min="5641" max="5641" width="19.7109375" style="797" customWidth="1"/>
    <col min="5642" max="5642" width="18.42578125" style="797" customWidth="1"/>
    <col min="5643" max="5888" width="10.28515625" style="797"/>
    <col min="5889" max="5889" width="5.140625" style="797" customWidth="1"/>
    <col min="5890" max="5890" width="45" style="797" customWidth="1"/>
    <col min="5891" max="5891" width="25.85546875" style="797" customWidth="1"/>
    <col min="5892" max="5892" width="25" style="797" customWidth="1"/>
    <col min="5893" max="5893" width="25.42578125" style="797" customWidth="1"/>
    <col min="5894" max="5894" width="12.7109375" style="797" bestFit="1" customWidth="1"/>
    <col min="5895" max="5895" width="10.28515625" style="797"/>
    <col min="5896" max="5896" width="21.140625" style="797" customWidth="1"/>
    <col min="5897" max="5897" width="19.7109375" style="797" customWidth="1"/>
    <col min="5898" max="5898" width="18.42578125" style="797" customWidth="1"/>
    <col min="5899" max="6144" width="10.28515625" style="797"/>
    <col min="6145" max="6145" width="5.140625" style="797" customWidth="1"/>
    <col min="6146" max="6146" width="45" style="797" customWidth="1"/>
    <col min="6147" max="6147" width="25.85546875" style="797" customWidth="1"/>
    <col min="6148" max="6148" width="25" style="797" customWidth="1"/>
    <col min="6149" max="6149" width="25.42578125" style="797" customWidth="1"/>
    <col min="6150" max="6150" width="12.7109375" style="797" bestFit="1" customWidth="1"/>
    <col min="6151" max="6151" width="10.28515625" style="797"/>
    <col min="6152" max="6152" width="21.140625" style="797" customWidth="1"/>
    <col min="6153" max="6153" width="19.7109375" style="797" customWidth="1"/>
    <col min="6154" max="6154" width="18.42578125" style="797" customWidth="1"/>
    <col min="6155" max="6400" width="10.28515625" style="797"/>
    <col min="6401" max="6401" width="5.140625" style="797" customWidth="1"/>
    <col min="6402" max="6402" width="45" style="797" customWidth="1"/>
    <col min="6403" max="6403" width="25.85546875" style="797" customWidth="1"/>
    <col min="6404" max="6404" width="25" style="797" customWidth="1"/>
    <col min="6405" max="6405" width="25.42578125" style="797" customWidth="1"/>
    <col min="6406" max="6406" width="12.7109375" style="797" bestFit="1" customWidth="1"/>
    <col min="6407" max="6407" width="10.28515625" style="797"/>
    <col min="6408" max="6408" width="21.140625" style="797" customWidth="1"/>
    <col min="6409" max="6409" width="19.7109375" style="797" customWidth="1"/>
    <col min="6410" max="6410" width="18.42578125" style="797" customWidth="1"/>
    <col min="6411" max="6656" width="10.28515625" style="797"/>
    <col min="6657" max="6657" width="5.140625" style="797" customWidth="1"/>
    <col min="6658" max="6658" width="45" style="797" customWidth="1"/>
    <col min="6659" max="6659" width="25.85546875" style="797" customWidth="1"/>
    <col min="6660" max="6660" width="25" style="797" customWidth="1"/>
    <col min="6661" max="6661" width="25.42578125" style="797" customWidth="1"/>
    <col min="6662" max="6662" width="12.7109375" style="797" bestFit="1" customWidth="1"/>
    <col min="6663" max="6663" width="10.28515625" style="797"/>
    <col min="6664" max="6664" width="21.140625" style="797" customWidth="1"/>
    <col min="6665" max="6665" width="19.7109375" style="797" customWidth="1"/>
    <col min="6666" max="6666" width="18.42578125" style="797" customWidth="1"/>
    <col min="6667" max="6912" width="10.28515625" style="797"/>
    <col min="6913" max="6913" width="5.140625" style="797" customWidth="1"/>
    <col min="6914" max="6914" width="45" style="797" customWidth="1"/>
    <col min="6915" max="6915" width="25.85546875" style="797" customWidth="1"/>
    <col min="6916" max="6916" width="25" style="797" customWidth="1"/>
    <col min="6917" max="6917" width="25.42578125" style="797" customWidth="1"/>
    <col min="6918" max="6918" width="12.7109375" style="797" bestFit="1" customWidth="1"/>
    <col min="6919" max="6919" width="10.28515625" style="797"/>
    <col min="6920" max="6920" width="21.140625" style="797" customWidth="1"/>
    <col min="6921" max="6921" width="19.7109375" style="797" customWidth="1"/>
    <col min="6922" max="6922" width="18.42578125" style="797" customWidth="1"/>
    <col min="6923" max="7168" width="10.28515625" style="797"/>
    <col min="7169" max="7169" width="5.140625" style="797" customWidth="1"/>
    <col min="7170" max="7170" width="45" style="797" customWidth="1"/>
    <col min="7171" max="7171" width="25.85546875" style="797" customWidth="1"/>
    <col min="7172" max="7172" width="25" style="797" customWidth="1"/>
    <col min="7173" max="7173" width="25.42578125" style="797" customWidth="1"/>
    <col min="7174" max="7174" width="12.7109375" style="797" bestFit="1" customWidth="1"/>
    <col min="7175" max="7175" width="10.28515625" style="797"/>
    <col min="7176" max="7176" width="21.140625" style="797" customWidth="1"/>
    <col min="7177" max="7177" width="19.7109375" style="797" customWidth="1"/>
    <col min="7178" max="7178" width="18.42578125" style="797" customWidth="1"/>
    <col min="7179" max="7424" width="10.28515625" style="797"/>
    <col min="7425" max="7425" width="5.140625" style="797" customWidth="1"/>
    <col min="7426" max="7426" width="45" style="797" customWidth="1"/>
    <col min="7427" max="7427" width="25.85546875" style="797" customWidth="1"/>
    <col min="7428" max="7428" width="25" style="797" customWidth="1"/>
    <col min="7429" max="7429" width="25.42578125" style="797" customWidth="1"/>
    <col min="7430" max="7430" width="12.7109375" style="797" bestFit="1" customWidth="1"/>
    <col min="7431" max="7431" width="10.28515625" style="797"/>
    <col min="7432" max="7432" width="21.140625" style="797" customWidth="1"/>
    <col min="7433" max="7433" width="19.7109375" style="797" customWidth="1"/>
    <col min="7434" max="7434" width="18.42578125" style="797" customWidth="1"/>
    <col min="7435" max="7680" width="10.28515625" style="797"/>
    <col min="7681" max="7681" width="5.140625" style="797" customWidth="1"/>
    <col min="7682" max="7682" width="45" style="797" customWidth="1"/>
    <col min="7683" max="7683" width="25.85546875" style="797" customWidth="1"/>
    <col min="7684" max="7684" width="25" style="797" customWidth="1"/>
    <col min="7685" max="7685" width="25.42578125" style="797" customWidth="1"/>
    <col min="7686" max="7686" width="12.7109375" style="797" bestFit="1" customWidth="1"/>
    <col min="7687" max="7687" width="10.28515625" style="797"/>
    <col min="7688" max="7688" width="21.140625" style="797" customWidth="1"/>
    <col min="7689" max="7689" width="19.7109375" style="797" customWidth="1"/>
    <col min="7690" max="7690" width="18.42578125" style="797" customWidth="1"/>
    <col min="7691" max="7936" width="10.28515625" style="797"/>
    <col min="7937" max="7937" width="5.140625" style="797" customWidth="1"/>
    <col min="7938" max="7938" width="45" style="797" customWidth="1"/>
    <col min="7939" max="7939" width="25.85546875" style="797" customWidth="1"/>
    <col min="7940" max="7940" width="25" style="797" customWidth="1"/>
    <col min="7941" max="7941" width="25.42578125" style="797" customWidth="1"/>
    <col min="7942" max="7942" width="12.7109375" style="797" bestFit="1" customWidth="1"/>
    <col min="7943" max="7943" width="10.28515625" style="797"/>
    <col min="7944" max="7944" width="21.140625" style="797" customWidth="1"/>
    <col min="7945" max="7945" width="19.7109375" style="797" customWidth="1"/>
    <col min="7946" max="7946" width="18.42578125" style="797" customWidth="1"/>
    <col min="7947" max="8192" width="10.28515625" style="797"/>
    <col min="8193" max="8193" width="5.140625" style="797" customWidth="1"/>
    <col min="8194" max="8194" width="45" style="797" customWidth="1"/>
    <col min="8195" max="8195" width="25.85546875" style="797" customWidth="1"/>
    <col min="8196" max="8196" width="25" style="797" customWidth="1"/>
    <col min="8197" max="8197" width="25.42578125" style="797" customWidth="1"/>
    <col min="8198" max="8198" width="12.7109375" style="797" bestFit="1" customWidth="1"/>
    <col min="8199" max="8199" width="10.28515625" style="797"/>
    <col min="8200" max="8200" width="21.140625" style="797" customWidth="1"/>
    <col min="8201" max="8201" width="19.7109375" style="797" customWidth="1"/>
    <col min="8202" max="8202" width="18.42578125" style="797" customWidth="1"/>
    <col min="8203" max="8448" width="10.28515625" style="797"/>
    <col min="8449" max="8449" width="5.140625" style="797" customWidth="1"/>
    <col min="8450" max="8450" width="45" style="797" customWidth="1"/>
    <col min="8451" max="8451" width="25.85546875" style="797" customWidth="1"/>
    <col min="8452" max="8452" width="25" style="797" customWidth="1"/>
    <col min="8453" max="8453" width="25.42578125" style="797" customWidth="1"/>
    <col min="8454" max="8454" width="12.7109375" style="797" bestFit="1" customWidth="1"/>
    <col min="8455" max="8455" width="10.28515625" style="797"/>
    <col min="8456" max="8456" width="21.140625" style="797" customWidth="1"/>
    <col min="8457" max="8457" width="19.7109375" style="797" customWidth="1"/>
    <col min="8458" max="8458" width="18.42578125" style="797" customWidth="1"/>
    <col min="8459" max="8704" width="10.28515625" style="797"/>
    <col min="8705" max="8705" width="5.140625" style="797" customWidth="1"/>
    <col min="8706" max="8706" width="45" style="797" customWidth="1"/>
    <col min="8707" max="8707" width="25.85546875" style="797" customWidth="1"/>
    <col min="8708" max="8708" width="25" style="797" customWidth="1"/>
    <col min="8709" max="8709" width="25.42578125" style="797" customWidth="1"/>
    <col min="8710" max="8710" width="12.7109375" style="797" bestFit="1" customWidth="1"/>
    <col min="8711" max="8711" width="10.28515625" style="797"/>
    <col min="8712" max="8712" width="21.140625" style="797" customWidth="1"/>
    <col min="8713" max="8713" width="19.7109375" style="797" customWidth="1"/>
    <col min="8714" max="8714" width="18.42578125" style="797" customWidth="1"/>
    <col min="8715" max="8960" width="10.28515625" style="797"/>
    <col min="8961" max="8961" width="5.140625" style="797" customWidth="1"/>
    <col min="8962" max="8962" width="45" style="797" customWidth="1"/>
    <col min="8963" max="8963" width="25.85546875" style="797" customWidth="1"/>
    <col min="8964" max="8964" width="25" style="797" customWidth="1"/>
    <col min="8965" max="8965" width="25.42578125" style="797" customWidth="1"/>
    <col min="8966" max="8966" width="12.7109375" style="797" bestFit="1" customWidth="1"/>
    <col min="8967" max="8967" width="10.28515625" style="797"/>
    <col min="8968" max="8968" width="21.140625" style="797" customWidth="1"/>
    <col min="8969" max="8969" width="19.7109375" style="797" customWidth="1"/>
    <col min="8970" max="8970" width="18.42578125" style="797" customWidth="1"/>
    <col min="8971" max="9216" width="10.28515625" style="797"/>
    <col min="9217" max="9217" width="5.140625" style="797" customWidth="1"/>
    <col min="9218" max="9218" width="45" style="797" customWidth="1"/>
    <col min="9219" max="9219" width="25.85546875" style="797" customWidth="1"/>
    <col min="9220" max="9220" width="25" style="797" customWidth="1"/>
    <col min="9221" max="9221" width="25.42578125" style="797" customWidth="1"/>
    <col min="9222" max="9222" width="12.7109375" style="797" bestFit="1" customWidth="1"/>
    <col min="9223" max="9223" width="10.28515625" style="797"/>
    <col min="9224" max="9224" width="21.140625" style="797" customWidth="1"/>
    <col min="9225" max="9225" width="19.7109375" style="797" customWidth="1"/>
    <col min="9226" max="9226" width="18.42578125" style="797" customWidth="1"/>
    <col min="9227" max="9472" width="10.28515625" style="797"/>
    <col min="9473" max="9473" width="5.140625" style="797" customWidth="1"/>
    <col min="9474" max="9474" width="45" style="797" customWidth="1"/>
    <col min="9475" max="9475" width="25.85546875" style="797" customWidth="1"/>
    <col min="9476" max="9476" width="25" style="797" customWidth="1"/>
    <col min="9477" max="9477" width="25.42578125" style="797" customWidth="1"/>
    <col min="9478" max="9478" width="12.7109375" style="797" bestFit="1" customWidth="1"/>
    <col min="9479" max="9479" width="10.28515625" style="797"/>
    <col min="9480" max="9480" width="21.140625" style="797" customWidth="1"/>
    <col min="9481" max="9481" width="19.7109375" style="797" customWidth="1"/>
    <col min="9482" max="9482" width="18.42578125" style="797" customWidth="1"/>
    <col min="9483" max="9728" width="10.28515625" style="797"/>
    <col min="9729" max="9729" width="5.140625" style="797" customWidth="1"/>
    <col min="9730" max="9730" width="45" style="797" customWidth="1"/>
    <col min="9731" max="9731" width="25.85546875" style="797" customWidth="1"/>
    <col min="9732" max="9732" width="25" style="797" customWidth="1"/>
    <col min="9733" max="9733" width="25.42578125" style="797" customWidth="1"/>
    <col min="9734" max="9734" width="12.7109375" style="797" bestFit="1" customWidth="1"/>
    <col min="9735" max="9735" width="10.28515625" style="797"/>
    <col min="9736" max="9736" width="21.140625" style="797" customWidth="1"/>
    <col min="9737" max="9737" width="19.7109375" style="797" customWidth="1"/>
    <col min="9738" max="9738" width="18.42578125" style="797" customWidth="1"/>
    <col min="9739" max="9984" width="10.28515625" style="797"/>
    <col min="9985" max="9985" width="5.140625" style="797" customWidth="1"/>
    <col min="9986" max="9986" width="45" style="797" customWidth="1"/>
    <col min="9987" max="9987" width="25.85546875" style="797" customWidth="1"/>
    <col min="9988" max="9988" width="25" style="797" customWidth="1"/>
    <col min="9989" max="9989" width="25.42578125" style="797" customWidth="1"/>
    <col min="9990" max="9990" width="12.7109375" style="797" bestFit="1" customWidth="1"/>
    <col min="9991" max="9991" width="10.28515625" style="797"/>
    <col min="9992" max="9992" width="21.140625" style="797" customWidth="1"/>
    <col min="9993" max="9993" width="19.7109375" style="797" customWidth="1"/>
    <col min="9994" max="9994" width="18.42578125" style="797" customWidth="1"/>
    <col min="9995" max="10240" width="10.28515625" style="797"/>
    <col min="10241" max="10241" width="5.140625" style="797" customWidth="1"/>
    <col min="10242" max="10242" width="45" style="797" customWidth="1"/>
    <col min="10243" max="10243" width="25.85546875" style="797" customWidth="1"/>
    <col min="10244" max="10244" width="25" style="797" customWidth="1"/>
    <col min="10245" max="10245" width="25.42578125" style="797" customWidth="1"/>
    <col min="10246" max="10246" width="12.7109375" style="797" bestFit="1" customWidth="1"/>
    <col min="10247" max="10247" width="10.28515625" style="797"/>
    <col min="10248" max="10248" width="21.140625" style="797" customWidth="1"/>
    <col min="10249" max="10249" width="19.7109375" style="797" customWidth="1"/>
    <col min="10250" max="10250" width="18.42578125" style="797" customWidth="1"/>
    <col min="10251" max="10496" width="10.28515625" style="797"/>
    <col min="10497" max="10497" width="5.140625" style="797" customWidth="1"/>
    <col min="10498" max="10498" width="45" style="797" customWidth="1"/>
    <col min="10499" max="10499" width="25.85546875" style="797" customWidth="1"/>
    <col min="10500" max="10500" width="25" style="797" customWidth="1"/>
    <col min="10501" max="10501" width="25.42578125" style="797" customWidth="1"/>
    <col min="10502" max="10502" width="12.7109375" style="797" bestFit="1" customWidth="1"/>
    <col min="10503" max="10503" width="10.28515625" style="797"/>
    <col min="10504" max="10504" width="21.140625" style="797" customWidth="1"/>
    <col min="10505" max="10505" width="19.7109375" style="797" customWidth="1"/>
    <col min="10506" max="10506" width="18.42578125" style="797" customWidth="1"/>
    <col min="10507" max="10752" width="10.28515625" style="797"/>
    <col min="10753" max="10753" width="5.140625" style="797" customWidth="1"/>
    <col min="10754" max="10754" width="45" style="797" customWidth="1"/>
    <col min="10755" max="10755" width="25.85546875" style="797" customWidth="1"/>
    <col min="10756" max="10756" width="25" style="797" customWidth="1"/>
    <col min="10757" max="10757" width="25.42578125" style="797" customWidth="1"/>
    <col min="10758" max="10758" width="12.7109375" style="797" bestFit="1" customWidth="1"/>
    <col min="10759" max="10759" width="10.28515625" style="797"/>
    <col min="10760" max="10760" width="21.140625" style="797" customWidth="1"/>
    <col min="10761" max="10761" width="19.7109375" style="797" customWidth="1"/>
    <col min="10762" max="10762" width="18.42578125" style="797" customWidth="1"/>
    <col min="10763" max="11008" width="10.28515625" style="797"/>
    <col min="11009" max="11009" width="5.140625" style="797" customWidth="1"/>
    <col min="11010" max="11010" width="45" style="797" customWidth="1"/>
    <col min="11011" max="11011" width="25.85546875" style="797" customWidth="1"/>
    <col min="11012" max="11012" width="25" style="797" customWidth="1"/>
    <col min="11013" max="11013" width="25.42578125" style="797" customWidth="1"/>
    <col min="11014" max="11014" width="12.7109375" style="797" bestFit="1" customWidth="1"/>
    <col min="11015" max="11015" width="10.28515625" style="797"/>
    <col min="11016" max="11016" width="21.140625" style="797" customWidth="1"/>
    <col min="11017" max="11017" width="19.7109375" style="797" customWidth="1"/>
    <col min="11018" max="11018" width="18.42578125" style="797" customWidth="1"/>
    <col min="11019" max="11264" width="10.28515625" style="797"/>
    <col min="11265" max="11265" width="5.140625" style="797" customWidth="1"/>
    <col min="11266" max="11266" width="45" style="797" customWidth="1"/>
    <col min="11267" max="11267" width="25.85546875" style="797" customWidth="1"/>
    <col min="11268" max="11268" width="25" style="797" customWidth="1"/>
    <col min="11269" max="11269" width="25.42578125" style="797" customWidth="1"/>
    <col min="11270" max="11270" width="12.7109375" style="797" bestFit="1" customWidth="1"/>
    <col min="11271" max="11271" width="10.28515625" style="797"/>
    <col min="11272" max="11272" width="21.140625" style="797" customWidth="1"/>
    <col min="11273" max="11273" width="19.7109375" style="797" customWidth="1"/>
    <col min="11274" max="11274" width="18.42578125" style="797" customWidth="1"/>
    <col min="11275" max="11520" width="10.28515625" style="797"/>
    <col min="11521" max="11521" width="5.140625" style="797" customWidth="1"/>
    <col min="11522" max="11522" width="45" style="797" customWidth="1"/>
    <col min="11523" max="11523" width="25.85546875" style="797" customWidth="1"/>
    <col min="11524" max="11524" width="25" style="797" customWidth="1"/>
    <col min="11525" max="11525" width="25.42578125" style="797" customWidth="1"/>
    <col min="11526" max="11526" width="12.7109375" style="797" bestFit="1" customWidth="1"/>
    <col min="11527" max="11527" width="10.28515625" style="797"/>
    <col min="11528" max="11528" width="21.140625" style="797" customWidth="1"/>
    <col min="11529" max="11529" width="19.7109375" style="797" customWidth="1"/>
    <col min="11530" max="11530" width="18.42578125" style="797" customWidth="1"/>
    <col min="11531" max="11776" width="10.28515625" style="797"/>
    <col min="11777" max="11777" width="5.140625" style="797" customWidth="1"/>
    <col min="11778" max="11778" width="45" style="797" customWidth="1"/>
    <col min="11779" max="11779" width="25.85546875" style="797" customWidth="1"/>
    <col min="11780" max="11780" width="25" style="797" customWidth="1"/>
    <col min="11781" max="11781" width="25.42578125" style="797" customWidth="1"/>
    <col min="11782" max="11782" width="12.7109375" style="797" bestFit="1" customWidth="1"/>
    <col min="11783" max="11783" width="10.28515625" style="797"/>
    <col min="11784" max="11784" width="21.140625" style="797" customWidth="1"/>
    <col min="11785" max="11785" width="19.7109375" style="797" customWidth="1"/>
    <col min="11786" max="11786" width="18.42578125" style="797" customWidth="1"/>
    <col min="11787" max="12032" width="10.28515625" style="797"/>
    <col min="12033" max="12033" width="5.140625" style="797" customWidth="1"/>
    <col min="12034" max="12034" width="45" style="797" customWidth="1"/>
    <col min="12035" max="12035" width="25.85546875" style="797" customWidth="1"/>
    <col min="12036" max="12036" width="25" style="797" customWidth="1"/>
    <col min="12037" max="12037" width="25.42578125" style="797" customWidth="1"/>
    <col min="12038" max="12038" width="12.7109375" style="797" bestFit="1" customWidth="1"/>
    <col min="12039" max="12039" width="10.28515625" style="797"/>
    <col min="12040" max="12040" width="21.140625" style="797" customWidth="1"/>
    <col min="12041" max="12041" width="19.7109375" style="797" customWidth="1"/>
    <col min="12042" max="12042" width="18.42578125" style="797" customWidth="1"/>
    <col min="12043" max="12288" width="10.28515625" style="797"/>
    <col min="12289" max="12289" width="5.140625" style="797" customWidth="1"/>
    <col min="12290" max="12290" width="45" style="797" customWidth="1"/>
    <col min="12291" max="12291" width="25.85546875" style="797" customWidth="1"/>
    <col min="12292" max="12292" width="25" style="797" customWidth="1"/>
    <col min="12293" max="12293" width="25.42578125" style="797" customWidth="1"/>
    <col min="12294" max="12294" width="12.7109375" style="797" bestFit="1" customWidth="1"/>
    <col min="12295" max="12295" width="10.28515625" style="797"/>
    <col min="12296" max="12296" width="21.140625" style="797" customWidth="1"/>
    <col min="12297" max="12297" width="19.7109375" style="797" customWidth="1"/>
    <col min="12298" max="12298" width="18.42578125" style="797" customWidth="1"/>
    <col min="12299" max="12544" width="10.28515625" style="797"/>
    <col min="12545" max="12545" width="5.140625" style="797" customWidth="1"/>
    <col min="12546" max="12546" width="45" style="797" customWidth="1"/>
    <col min="12547" max="12547" width="25.85546875" style="797" customWidth="1"/>
    <col min="12548" max="12548" width="25" style="797" customWidth="1"/>
    <col min="12549" max="12549" width="25.42578125" style="797" customWidth="1"/>
    <col min="12550" max="12550" width="12.7109375" style="797" bestFit="1" customWidth="1"/>
    <col min="12551" max="12551" width="10.28515625" style="797"/>
    <col min="12552" max="12552" width="21.140625" style="797" customWidth="1"/>
    <col min="12553" max="12553" width="19.7109375" style="797" customWidth="1"/>
    <col min="12554" max="12554" width="18.42578125" style="797" customWidth="1"/>
    <col min="12555" max="12800" width="10.28515625" style="797"/>
    <col min="12801" max="12801" width="5.140625" style="797" customWidth="1"/>
    <col min="12802" max="12802" width="45" style="797" customWidth="1"/>
    <col min="12803" max="12803" width="25.85546875" style="797" customWidth="1"/>
    <col min="12804" max="12804" width="25" style="797" customWidth="1"/>
    <col min="12805" max="12805" width="25.42578125" style="797" customWidth="1"/>
    <col min="12806" max="12806" width="12.7109375" style="797" bestFit="1" customWidth="1"/>
    <col min="12807" max="12807" width="10.28515625" style="797"/>
    <col min="12808" max="12808" width="21.140625" style="797" customWidth="1"/>
    <col min="12809" max="12809" width="19.7109375" style="797" customWidth="1"/>
    <col min="12810" max="12810" width="18.42578125" style="797" customWidth="1"/>
    <col min="12811" max="13056" width="10.28515625" style="797"/>
    <col min="13057" max="13057" width="5.140625" style="797" customWidth="1"/>
    <col min="13058" max="13058" width="45" style="797" customWidth="1"/>
    <col min="13059" max="13059" width="25.85546875" style="797" customWidth="1"/>
    <col min="13060" max="13060" width="25" style="797" customWidth="1"/>
    <col min="13061" max="13061" width="25.42578125" style="797" customWidth="1"/>
    <col min="13062" max="13062" width="12.7109375" style="797" bestFit="1" customWidth="1"/>
    <col min="13063" max="13063" width="10.28515625" style="797"/>
    <col min="13064" max="13064" width="21.140625" style="797" customWidth="1"/>
    <col min="13065" max="13065" width="19.7109375" style="797" customWidth="1"/>
    <col min="13066" max="13066" width="18.42578125" style="797" customWidth="1"/>
    <col min="13067" max="13312" width="10.28515625" style="797"/>
    <col min="13313" max="13313" width="5.140625" style="797" customWidth="1"/>
    <col min="13314" max="13314" width="45" style="797" customWidth="1"/>
    <col min="13315" max="13315" width="25.85546875" style="797" customWidth="1"/>
    <col min="13316" max="13316" width="25" style="797" customWidth="1"/>
    <col min="13317" max="13317" width="25.42578125" style="797" customWidth="1"/>
    <col min="13318" max="13318" width="12.7109375" style="797" bestFit="1" customWidth="1"/>
    <col min="13319" max="13319" width="10.28515625" style="797"/>
    <col min="13320" max="13320" width="21.140625" style="797" customWidth="1"/>
    <col min="13321" max="13321" width="19.7109375" style="797" customWidth="1"/>
    <col min="13322" max="13322" width="18.42578125" style="797" customWidth="1"/>
    <col min="13323" max="13568" width="10.28515625" style="797"/>
    <col min="13569" max="13569" width="5.140625" style="797" customWidth="1"/>
    <col min="13570" max="13570" width="45" style="797" customWidth="1"/>
    <col min="13571" max="13571" width="25.85546875" style="797" customWidth="1"/>
    <col min="13572" max="13572" width="25" style="797" customWidth="1"/>
    <col min="13573" max="13573" width="25.42578125" style="797" customWidth="1"/>
    <col min="13574" max="13574" width="12.7109375" style="797" bestFit="1" customWidth="1"/>
    <col min="13575" max="13575" width="10.28515625" style="797"/>
    <col min="13576" max="13576" width="21.140625" style="797" customWidth="1"/>
    <col min="13577" max="13577" width="19.7109375" style="797" customWidth="1"/>
    <col min="13578" max="13578" width="18.42578125" style="797" customWidth="1"/>
    <col min="13579" max="13824" width="10.28515625" style="797"/>
    <col min="13825" max="13825" width="5.140625" style="797" customWidth="1"/>
    <col min="13826" max="13826" width="45" style="797" customWidth="1"/>
    <col min="13827" max="13827" width="25.85546875" style="797" customWidth="1"/>
    <col min="13828" max="13828" width="25" style="797" customWidth="1"/>
    <col min="13829" max="13829" width="25.42578125" style="797" customWidth="1"/>
    <col min="13830" max="13830" width="12.7109375" style="797" bestFit="1" customWidth="1"/>
    <col min="13831" max="13831" width="10.28515625" style="797"/>
    <col min="13832" max="13832" width="21.140625" style="797" customWidth="1"/>
    <col min="13833" max="13833" width="19.7109375" style="797" customWidth="1"/>
    <col min="13834" max="13834" width="18.42578125" style="797" customWidth="1"/>
    <col min="13835" max="14080" width="10.28515625" style="797"/>
    <col min="14081" max="14081" width="5.140625" style="797" customWidth="1"/>
    <col min="14082" max="14082" width="45" style="797" customWidth="1"/>
    <col min="14083" max="14083" width="25.85546875" style="797" customWidth="1"/>
    <col min="14084" max="14084" width="25" style="797" customWidth="1"/>
    <col min="14085" max="14085" width="25.42578125" style="797" customWidth="1"/>
    <col min="14086" max="14086" width="12.7109375" style="797" bestFit="1" customWidth="1"/>
    <col min="14087" max="14087" width="10.28515625" style="797"/>
    <col min="14088" max="14088" width="21.140625" style="797" customWidth="1"/>
    <col min="14089" max="14089" width="19.7109375" style="797" customWidth="1"/>
    <col min="14090" max="14090" width="18.42578125" style="797" customWidth="1"/>
    <col min="14091" max="14336" width="10.28515625" style="797"/>
    <col min="14337" max="14337" width="5.140625" style="797" customWidth="1"/>
    <col min="14338" max="14338" width="45" style="797" customWidth="1"/>
    <col min="14339" max="14339" width="25.85546875" style="797" customWidth="1"/>
    <col min="14340" max="14340" width="25" style="797" customWidth="1"/>
    <col min="14341" max="14341" width="25.42578125" style="797" customWidth="1"/>
    <col min="14342" max="14342" width="12.7109375" style="797" bestFit="1" customWidth="1"/>
    <col min="14343" max="14343" width="10.28515625" style="797"/>
    <col min="14344" max="14344" width="21.140625" style="797" customWidth="1"/>
    <col min="14345" max="14345" width="19.7109375" style="797" customWidth="1"/>
    <col min="14346" max="14346" width="18.42578125" style="797" customWidth="1"/>
    <col min="14347" max="14592" width="10.28515625" style="797"/>
    <col min="14593" max="14593" width="5.140625" style="797" customWidth="1"/>
    <col min="14594" max="14594" width="45" style="797" customWidth="1"/>
    <col min="14595" max="14595" width="25.85546875" style="797" customWidth="1"/>
    <col min="14596" max="14596" width="25" style="797" customWidth="1"/>
    <col min="14597" max="14597" width="25.42578125" style="797" customWidth="1"/>
    <col min="14598" max="14598" width="12.7109375" style="797" bestFit="1" customWidth="1"/>
    <col min="14599" max="14599" width="10.28515625" style="797"/>
    <col min="14600" max="14600" width="21.140625" style="797" customWidth="1"/>
    <col min="14601" max="14601" width="19.7109375" style="797" customWidth="1"/>
    <col min="14602" max="14602" width="18.42578125" style="797" customWidth="1"/>
    <col min="14603" max="14848" width="10.28515625" style="797"/>
    <col min="14849" max="14849" width="5.140625" style="797" customWidth="1"/>
    <col min="14850" max="14850" width="45" style="797" customWidth="1"/>
    <col min="14851" max="14851" width="25.85546875" style="797" customWidth="1"/>
    <col min="14852" max="14852" width="25" style="797" customWidth="1"/>
    <col min="14853" max="14853" width="25.42578125" style="797" customWidth="1"/>
    <col min="14854" max="14854" width="12.7109375" style="797" bestFit="1" customWidth="1"/>
    <col min="14855" max="14855" width="10.28515625" style="797"/>
    <col min="14856" max="14856" width="21.140625" style="797" customWidth="1"/>
    <col min="14857" max="14857" width="19.7109375" style="797" customWidth="1"/>
    <col min="14858" max="14858" width="18.42578125" style="797" customWidth="1"/>
    <col min="14859" max="15104" width="10.28515625" style="797"/>
    <col min="15105" max="15105" width="5.140625" style="797" customWidth="1"/>
    <col min="15106" max="15106" width="45" style="797" customWidth="1"/>
    <col min="15107" max="15107" width="25.85546875" style="797" customWidth="1"/>
    <col min="15108" max="15108" width="25" style="797" customWidth="1"/>
    <col min="15109" max="15109" width="25.42578125" style="797" customWidth="1"/>
    <col min="15110" max="15110" width="12.7109375" style="797" bestFit="1" customWidth="1"/>
    <col min="15111" max="15111" width="10.28515625" style="797"/>
    <col min="15112" max="15112" width="21.140625" style="797" customWidth="1"/>
    <col min="15113" max="15113" width="19.7109375" style="797" customWidth="1"/>
    <col min="15114" max="15114" width="18.42578125" style="797" customWidth="1"/>
    <col min="15115" max="15360" width="10.28515625" style="797"/>
    <col min="15361" max="15361" width="5.140625" style="797" customWidth="1"/>
    <col min="15362" max="15362" width="45" style="797" customWidth="1"/>
    <col min="15363" max="15363" width="25.85546875" style="797" customWidth="1"/>
    <col min="15364" max="15364" width="25" style="797" customWidth="1"/>
    <col min="15365" max="15365" width="25.42578125" style="797" customWidth="1"/>
    <col min="15366" max="15366" width="12.7109375" style="797" bestFit="1" customWidth="1"/>
    <col min="15367" max="15367" width="10.28515625" style="797"/>
    <col min="15368" max="15368" width="21.140625" style="797" customWidth="1"/>
    <col min="15369" max="15369" width="19.7109375" style="797" customWidth="1"/>
    <col min="15370" max="15370" width="18.42578125" style="797" customWidth="1"/>
    <col min="15371" max="15616" width="10.28515625" style="797"/>
    <col min="15617" max="15617" width="5.140625" style="797" customWidth="1"/>
    <col min="15618" max="15618" width="45" style="797" customWidth="1"/>
    <col min="15619" max="15619" width="25.85546875" style="797" customWidth="1"/>
    <col min="15620" max="15620" width="25" style="797" customWidth="1"/>
    <col min="15621" max="15621" width="25.42578125" style="797" customWidth="1"/>
    <col min="15622" max="15622" width="12.7109375" style="797" bestFit="1" customWidth="1"/>
    <col min="15623" max="15623" width="10.28515625" style="797"/>
    <col min="15624" max="15624" width="21.140625" style="797" customWidth="1"/>
    <col min="15625" max="15625" width="19.7109375" style="797" customWidth="1"/>
    <col min="15626" max="15626" width="18.42578125" style="797" customWidth="1"/>
    <col min="15627" max="15872" width="10.28515625" style="797"/>
    <col min="15873" max="15873" width="5.140625" style="797" customWidth="1"/>
    <col min="15874" max="15874" width="45" style="797" customWidth="1"/>
    <col min="15875" max="15875" width="25.85546875" style="797" customWidth="1"/>
    <col min="15876" max="15876" width="25" style="797" customWidth="1"/>
    <col min="15877" max="15877" width="25.42578125" style="797" customWidth="1"/>
    <col min="15878" max="15878" width="12.7109375" style="797" bestFit="1" customWidth="1"/>
    <col min="15879" max="15879" width="10.28515625" style="797"/>
    <col min="15880" max="15880" width="21.140625" style="797" customWidth="1"/>
    <col min="15881" max="15881" width="19.7109375" style="797" customWidth="1"/>
    <col min="15882" max="15882" width="18.42578125" style="797" customWidth="1"/>
    <col min="15883" max="16128" width="10.28515625" style="797"/>
    <col min="16129" max="16129" width="5.140625" style="797" customWidth="1"/>
    <col min="16130" max="16130" width="45" style="797" customWidth="1"/>
    <col min="16131" max="16131" width="25.85546875" style="797" customWidth="1"/>
    <col min="16132" max="16132" width="25" style="797" customWidth="1"/>
    <col min="16133" max="16133" width="25.42578125" style="797" customWidth="1"/>
    <col min="16134" max="16134" width="12.7109375" style="797" bestFit="1" customWidth="1"/>
    <col min="16135" max="16135" width="10.28515625" style="797"/>
    <col min="16136" max="16136" width="21.140625" style="797" customWidth="1"/>
    <col min="16137" max="16137" width="19.7109375" style="797" customWidth="1"/>
    <col min="16138" max="16138" width="18.42578125" style="797" customWidth="1"/>
    <col min="16139" max="16384" width="10.28515625" style="797"/>
  </cols>
  <sheetData>
    <row r="1" spans="1:15" ht="18" customHeight="1" x14ac:dyDescent="0.25">
      <c r="A1" s="2118"/>
      <c r="B1" s="2119"/>
      <c r="C1" s="2120" t="s">
        <v>5900</v>
      </c>
      <c r="D1" s="2120"/>
      <c r="E1" s="2120"/>
      <c r="F1" s="796"/>
    </row>
    <row r="2" spans="1:15" ht="15.75" x14ac:dyDescent="0.25">
      <c r="A2" s="2121" t="s">
        <v>9456</v>
      </c>
      <c r="B2" s="2121"/>
      <c r="C2" s="2121"/>
      <c r="D2" s="2121"/>
      <c r="E2" s="2121"/>
      <c r="F2" s="796"/>
    </row>
    <row r="3" spans="1:15" ht="15.75" x14ac:dyDescent="0.25">
      <c r="A3" s="2122" t="s">
        <v>5902</v>
      </c>
      <c r="B3" s="2122"/>
      <c r="C3" s="2122"/>
      <c r="D3" s="2122"/>
      <c r="E3" s="2122"/>
      <c r="F3" s="796"/>
    </row>
    <row r="4" spans="1:15" ht="15.75" x14ac:dyDescent="0.25">
      <c r="A4" s="798"/>
      <c r="B4" s="799"/>
      <c r="C4" s="798"/>
      <c r="D4" s="800"/>
      <c r="E4" s="798"/>
      <c r="F4" s="796"/>
    </row>
    <row r="5" spans="1:15" ht="72" customHeight="1" x14ac:dyDescent="0.25">
      <c r="A5" s="2117" t="s">
        <v>5903</v>
      </c>
      <c r="B5" s="2117"/>
      <c r="C5" s="2123" t="s">
        <v>5904</v>
      </c>
      <c r="D5" s="2123"/>
      <c r="E5" s="2123"/>
      <c r="F5" s="796"/>
    </row>
    <row r="6" spans="1:15" ht="20.25" customHeight="1" x14ac:dyDescent="0.25">
      <c r="A6" s="2116" t="s">
        <v>5789</v>
      </c>
      <c r="B6" s="2116"/>
      <c r="C6" s="2117" t="s">
        <v>5905</v>
      </c>
      <c r="D6" s="2117"/>
      <c r="E6" s="2117"/>
      <c r="F6" s="796"/>
    </row>
    <row r="7" spans="1:15" ht="19.5" customHeight="1" x14ac:dyDescent="0.25">
      <c r="A7" s="2116" t="s">
        <v>5791</v>
      </c>
      <c r="B7" s="2116"/>
      <c r="C7" s="2116"/>
      <c r="D7" s="2116"/>
      <c r="E7" s="2116"/>
      <c r="F7" s="796"/>
    </row>
    <row r="8" spans="1:15" ht="25.35" customHeight="1" x14ac:dyDescent="0.25">
      <c r="A8" s="2117" t="s">
        <v>5792</v>
      </c>
      <c r="B8" s="2117"/>
      <c r="C8" s="2117" t="s">
        <v>5906</v>
      </c>
      <c r="D8" s="2117"/>
      <c r="E8" s="2117"/>
      <c r="F8" s="796"/>
    </row>
    <row r="9" spans="1:15" ht="21" customHeight="1" x14ac:dyDescent="0.25">
      <c r="A9" s="2110" t="s">
        <v>5907</v>
      </c>
      <c r="B9" s="2110"/>
      <c r="C9" s="2110"/>
      <c r="D9" s="2110"/>
      <c r="E9" s="2110"/>
      <c r="F9" s="796"/>
    </row>
    <row r="10" spans="1:15" ht="40.15" customHeight="1" x14ac:dyDescent="0.25">
      <c r="A10" s="2111" t="s">
        <v>287</v>
      </c>
      <c r="B10" s="2111" t="s">
        <v>5908</v>
      </c>
      <c r="C10" s="2111" t="s">
        <v>145</v>
      </c>
      <c r="D10" s="2112" t="s">
        <v>289</v>
      </c>
      <c r="E10" s="2113"/>
      <c r="F10" s="796"/>
    </row>
    <row r="11" spans="1:15" ht="69.599999999999994" customHeight="1" x14ac:dyDescent="0.25">
      <c r="A11" s="2111"/>
      <c r="B11" s="2111"/>
      <c r="C11" s="2111"/>
      <c r="D11" s="1309" t="s">
        <v>5909</v>
      </c>
      <c r="E11" s="1310" t="s">
        <v>5910</v>
      </c>
      <c r="F11" s="796"/>
    </row>
    <row r="12" spans="1:15" ht="15.75" x14ac:dyDescent="0.25">
      <c r="A12" s="1311" t="s">
        <v>185</v>
      </c>
      <c r="B12" s="1312" t="s">
        <v>186</v>
      </c>
      <c r="C12" s="1312" t="s">
        <v>187</v>
      </c>
      <c r="D12" s="1313">
        <v>4</v>
      </c>
      <c r="E12" s="1314">
        <v>5</v>
      </c>
      <c r="F12" s="796"/>
      <c r="H12" s="810"/>
      <c r="I12" s="810"/>
    </row>
    <row r="13" spans="1:15" ht="15.75" x14ac:dyDescent="0.25">
      <c r="A13" s="1315" t="s">
        <v>185</v>
      </c>
      <c r="B13" s="1316" t="s">
        <v>116</v>
      </c>
      <c r="C13" s="1317"/>
      <c r="D13" s="1317"/>
      <c r="E13" s="1317"/>
      <c r="F13" s="796"/>
      <c r="H13" s="810"/>
      <c r="I13" s="810"/>
    </row>
    <row r="14" spans="1:15" ht="33.75" customHeight="1" x14ac:dyDescent="0.25">
      <c r="A14" s="1318" t="s">
        <v>571</v>
      </c>
      <c r="B14" s="1319" t="s">
        <v>124</v>
      </c>
      <c r="C14" s="1318" t="s">
        <v>1</v>
      </c>
      <c r="D14" s="1320">
        <f>'[88]ЛСР 12-01-01'!L27/1000</f>
        <v>656.93</v>
      </c>
      <c r="E14" s="1321"/>
      <c r="F14" s="796"/>
      <c r="H14" s="810"/>
      <c r="I14" s="810"/>
      <c r="L14" s="811"/>
      <c r="M14" s="812"/>
      <c r="O14" s="810"/>
    </row>
    <row r="15" spans="1:15" ht="39" customHeight="1" x14ac:dyDescent="0.25">
      <c r="A15" s="1318" t="s">
        <v>576</v>
      </c>
      <c r="B15" s="1319" t="s">
        <v>125</v>
      </c>
      <c r="C15" s="1318" t="s">
        <v>117</v>
      </c>
      <c r="D15" s="1320">
        <f>'[88]ЛСР 12-01-02'!I74/1000</f>
        <v>5100.76</v>
      </c>
      <c r="E15" s="1321"/>
      <c r="F15" s="796"/>
      <c r="H15" s="810"/>
      <c r="I15" s="810"/>
      <c r="L15" s="811"/>
      <c r="M15" s="812"/>
      <c r="O15" s="810"/>
    </row>
    <row r="16" spans="1:15" ht="39" customHeight="1" x14ac:dyDescent="0.25">
      <c r="A16" s="1318" t="s">
        <v>577</v>
      </c>
      <c r="B16" s="1319" t="s">
        <v>127</v>
      </c>
      <c r="C16" s="1318" t="s">
        <v>126</v>
      </c>
      <c r="D16" s="1320">
        <f>'[88]ЛСР 12-01-03'!G54/1000</f>
        <v>515.86</v>
      </c>
      <c r="E16" s="1321"/>
      <c r="F16" s="796"/>
      <c r="H16" s="810"/>
      <c r="I16" s="810"/>
      <c r="L16" s="811"/>
      <c r="M16" s="812"/>
      <c r="O16" s="810"/>
    </row>
    <row r="17" spans="1:15" ht="39" customHeight="1" x14ac:dyDescent="0.25">
      <c r="A17" s="1318" t="s">
        <v>578</v>
      </c>
      <c r="B17" s="1319" t="s">
        <v>5911</v>
      </c>
      <c r="C17" s="1318" t="s">
        <v>128</v>
      </c>
      <c r="D17" s="1320">
        <f>'[88]ЛСР 12-01-04'!J48/1000</f>
        <v>264.35000000000002</v>
      </c>
      <c r="E17" s="1321"/>
      <c r="F17" s="796"/>
      <c r="H17" s="810"/>
      <c r="I17" s="810"/>
      <c r="L17" s="811"/>
      <c r="M17" s="812"/>
      <c r="O17" s="810"/>
    </row>
    <row r="18" spans="1:15" ht="39" customHeight="1" x14ac:dyDescent="0.25">
      <c r="A18" s="1318" t="s">
        <v>580</v>
      </c>
      <c r="B18" s="1319" t="s">
        <v>131</v>
      </c>
      <c r="C18" s="1318" t="s">
        <v>130</v>
      </c>
      <c r="D18" s="1320">
        <v>457.67</v>
      </c>
      <c r="E18" s="1321"/>
      <c r="F18" s="796"/>
      <c r="H18" s="810"/>
      <c r="I18" s="810"/>
      <c r="L18" s="811"/>
      <c r="M18" s="812"/>
      <c r="O18" s="810"/>
    </row>
    <row r="19" spans="1:15" ht="39" customHeight="1" x14ac:dyDescent="0.25">
      <c r="A19" s="1318" t="s">
        <v>5912</v>
      </c>
      <c r="B19" s="1319" t="s">
        <v>133</v>
      </c>
      <c r="C19" s="1318" t="s">
        <v>132</v>
      </c>
      <c r="D19" s="1320">
        <f>'[89]ЛСР 12-01-06'!G94/1000</f>
        <v>658.72</v>
      </c>
      <c r="E19" s="1321"/>
      <c r="F19" s="796"/>
      <c r="H19" s="810"/>
      <c r="I19" s="813" t="s">
        <v>5913</v>
      </c>
      <c r="J19" s="813" t="s">
        <v>5914</v>
      </c>
      <c r="L19" s="811"/>
      <c r="M19" s="812"/>
      <c r="O19" s="810"/>
    </row>
    <row r="20" spans="1:15" ht="27.95" customHeight="1" x14ac:dyDescent="0.25">
      <c r="A20" s="1322"/>
      <c r="B20" s="1323" t="s">
        <v>5915</v>
      </c>
      <c r="C20" s="1324" t="s">
        <v>143</v>
      </c>
      <c r="D20" s="1317">
        <f>SUM(D14:D19)</f>
        <v>7654.29</v>
      </c>
      <c r="E20" s="1325"/>
      <c r="F20" s="796"/>
      <c r="H20" s="1326" t="s">
        <v>5916</v>
      </c>
      <c r="I20" s="1327">
        <f>7095027.58/1000</f>
        <v>7095.03</v>
      </c>
      <c r="J20" s="1328">
        <f>D20</f>
        <v>7654.29</v>
      </c>
    </row>
    <row r="21" spans="1:15" ht="15.75" x14ac:dyDescent="0.25">
      <c r="A21" s="1329" t="s">
        <v>5917</v>
      </c>
      <c r="B21" s="1330" t="s">
        <v>5918</v>
      </c>
      <c r="C21" s="1331"/>
      <c r="D21" s="1332"/>
      <c r="E21" s="1332"/>
      <c r="F21" s="796"/>
      <c r="H21" s="1326" t="s">
        <v>5919</v>
      </c>
      <c r="I21" s="1333">
        <f>8154889.86/1000</f>
        <v>8154.89</v>
      </c>
      <c r="J21" s="1328">
        <f>E22</f>
        <v>10852.92</v>
      </c>
    </row>
    <row r="22" spans="1:15" ht="15.75" x14ac:dyDescent="0.25">
      <c r="A22" s="1334" t="s">
        <v>583</v>
      </c>
      <c r="B22" s="1335" t="s">
        <v>9457</v>
      </c>
      <c r="C22" s="1336" t="s">
        <v>2</v>
      </c>
      <c r="D22" s="1337"/>
      <c r="E22" s="1338">
        <f>'[89]ЛСР 12-02-01'!I945/1000</f>
        <v>10852.92</v>
      </c>
      <c r="F22" s="814"/>
      <c r="H22" s="1339" t="s">
        <v>5920</v>
      </c>
      <c r="I22" s="1328">
        <f>SUM(I20:I21)</f>
        <v>15249.92</v>
      </c>
      <c r="J22" s="1328">
        <f>SUM(J20:J21)</f>
        <v>18507.21</v>
      </c>
    </row>
    <row r="23" spans="1:15" ht="17.25" customHeight="1" x14ac:dyDescent="0.25">
      <c r="A23" s="1334" t="s">
        <v>584</v>
      </c>
      <c r="B23" s="1335" t="s">
        <v>9458</v>
      </c>
      <c r="C23" s="1336" t="s">
        <v>9236</v>
      </c>
      <c r="D23" s="1337"/>
      <c r="E23" s="1338">
        <v>202.67</v>
      </c>
      <c r="F23" s="814"/>
      <c r="H23" s="815"/>
      <c r="I23" s="816"/>
      <c r="J23" s="816"/>
    </row>
    <row r="24" spans="1:15" ht="15.75" x14ac:dyDescent="0.25">
      <c r="A24" s="1335"/>
      <c r="B24" s="1340" t="s">
        <v>5921</v>
      </c>
      <c r="C24" s="1341"/>
      <c r="D24" s="1337"/>
      <c r="E24" s="1342">
        <f>E22+E23</f>
        <v>11055.59</v>
      </c>
      <c r="F24" s="796"/>
      <c r="H24" s="810"/>
      <c r="I24" s="810"/>
    </row>
    <row r="25" spans="1:15" ht="15.75" x14ac:dyDescent="0.25">
      <c r="A25" s="1329" t="s">
        <v>5922</v>
      </c>
      <c r="B25" s="1330" t="s">
        <v>5923</v>
      </c>
      <c r="C25" s="1341"/>
      <c r="D25" s="1337"/>
      <c r="E25" s="1343"/>
      <c r="F25" s="796"/>
      <c r="H25" s="810"/>
      <c r="I25" s="810"/>
    </row>
    <row r="26" spans="1:15" ht="17.649999999999999" customHeight="1" x14ac:dyDescent="0.25">
      <c r="A26" s="1334" t="s">
        <v>5924</v>
      </c>
      <c r="B26" s="1335" t="s">
        <v>9459</v>
      </c>
      <c r="C26" s="1336" t="s">
        <v>120</v>
      </c>
      <c r="D26" s="1337"/>
      <c r="E26" s="1344">
        <f>'[89]ЛСР 12-03-01'!I767/1000</f>
        <v>12820.83</v>
      </c>
      <c r="F26" s="814"/>
      <c r="H26" s="810"/>
      <c r="I26" s="810"/>
    </row>
    <row r="27" spans="1:15" ht="17.649999999999999" customHeight="1" x14ac:dyDescent="0.25">
      <c r="A27" s="1334" t="s">
        <v>9460</v>
      </c>
      <c r="B27" s="1335" t="s">
        <v>9461</v>
      </c>
      <c r="C27" s="1336" t="s">
        <v>9462</v>
      </c>
      <c r="D27" s="1337"/>
      <c r="E27" s="1344">
        <v>191.22</v>
      </c>
      <c r="F27" s="814"/>
      <c r="H27" s="810"/>
      <c r="I27" s="810"/>
    </row>
    <row r="28" spans="1:15" ht="17.649999999999999" hidden="1" customHeight="1" x14ac:dyDescent="0.25">
      <c r="A28" s="1334"/>
      <c r="B28" s="1335"/>
      <c r="C28" s="1336"/>
      <c r="D28" s="1337"/>
      <c r="E28" s="1344"/>
      <c r="F28" s="814"/>
      <c r="H28" s="810"/>
      <c r="I28" s="810"/>
    </row>
    <row r="29" spans="1:15" ht="17.649999999999999" hidden="1" customHeight="1" x14ac:dyDescent="0.25">
      <c r="A29" s="1334"/>
      <c r="B29" s="1335"/>
      <c r="C29" s="1336"/>
      <c r="D29" s="1337"/>
      <c r="E29" s="1344"/>
      <c r="F29" s="814"/>
      <c r="H29" s="810"/>
      <c r="I29" s="810"/>
    </row>
    <row r="30" spans="1:15" ht="17.649999999999999" hidden="1" customHeight="1" x14ac:dyDescent="0.25">
      <c r="A30" s="1334"/>
      <c r="B30" s="1335"/>
      <c r="C30" s="1336"/>
      <c r="D30" s="1337"/>
      <c r="E30" s="1344"/>
      <c r="F30" s="814"/>
      <c r="H30" s="810"/>
      <c r="I30" s="810"/>
    </row>
    <row r="31" spans="1:15" ht="18.95" customHeight="1" x14ac:dyDescent="0.25">
      <c r="A31" s="1345"/>
      <c r="B31" s="1323" t="s">
        <v>5925</v>
      </c>
      <c r="C31" s="1346"/>
      <c r="D31" s="1320"/>
      <c r="E31" s="1325">
        <f>E26+E27</f>
        <v>13012.05</v>
      </c>
      <c r="F31" s="796"/>
      <c r="H31" s="810"/>
      <c r="I31" s="810"/>
    </row>
    <row r="32" spans="1:15" ht="18.399999999999999" customHeight="1" x14ac:dyDescent="0.25">
      <c r="A32" s="1312"/>
      <c r="B32" s="1347" t="s">
        <v>5926</v>
      </c>
      <c r="C32" s="1348"/>
      <c r="D32" s="1349">
        <f>D20</f>
        <v>7654.29</v>
      </c>
      <c r="E32" s="1350">
        <f>E24+E31</f>
        <v>24067.64</v>
      </c>
      <c r="F32" s="796"/>
      <c r="H32" s="810"/>
      <c r="I32" s="816"/>
    </row>
    <row r="33" spans="1:11" ht="18.95" customHeight="1" x14ac:dyDescent="0.25">
      <c r="A33" s="1351"/>
      <c r="B33" s="1347" t="s">
        <v>5807</v>
      </c>
      <c r="C33" s="1348"/>
      <c r="D33" s="2114">
        <f>D32+E32</f>
        <v>31721.93</v>
      </c>
      <c r="E33" s="2115"/>
      <c r="F33" s="796"/>
      <c r="H33" s="810"/>
      <c r="I33" s="810"/>
    </row>
    <row r="34" spans="1:11" ht="15.75" x14ac:dyDescent="0.25">
      <c r="A34" s="801"/>
      <c r="B34" s="801"/>
      <c r="C34" s="801"/>
      <c r="D34" s="802"/>
      <c r="E34" s="801"/>
      <c r="F34" s="796"/>
      <c r="H34" s="810"/>
      <c r="I34" s="810"/>
    </row>
    <row r="35" spans="1:11" ht="15.75" x14ac:dyDescent="0.25">
      <c r="A35" s="801"/>
      <c r="B35" s="801"/>
      <c r="C35" s="801"/>
      <c r="D35" s="802"/>
      <c r="E35" s="801"/>
      <c r="F35" s="796"/>
      <c r="H35" s="810"/>
      <c r="I35" s="810"/>
    </row>
    <row r="36" spans="1:11" ht="15.75" x14ac:dyDescent="0.25">
      <c r="A36" s="801"/>
      <c r="B36" s="803" t="s">
        <v>5927</v>
      </c>
      <c r="C36" s="803"/>
      <c r="D36" s="803"/>
      <c r="E36" s="803"/>
      <c r="F36" s="796"/>
      <c r="G36" s="817"/>
      <c r="H36" s="810"/>
      <c r="I36" s="810"/>
      <c r="K36" s="818"/>
    </row>
    <row r="37" spans="1:11" ht="15.6" customHeight="1" x14ac:dyDescent="0.25">
      <c r="A37" s="801"/>
      <c r="B37" s="2109" t="s">
        <v>5928</v>
      </c>
      <c r="C37" s="2109"/>
      <c r="D37" s="804" t="s">
        <v>5929</v>
      </c>
      <c r="E37" s="803"/>
      <c r="F37" s="796"/>
    </row>
    <row r="38" spans="1:11" ht="15.75" x14ac:dyDescent="0.25">
      <c r="A38" s="801"/>
      <c r="B38" s="805"/>
      <c r="C38" s="805"/>
      <c r="D38" s="806" t="s">
        <v>5930</v>
      </c>
      <c r="E38" s="806"/>
      <c r="F38" s="796"/>
    </row>
    <row r="39" spans="1:11" ht="15.75" x14ac:dyDescent="0.25">
      <c r="A39" s="801"/>
      <c r="B39" s="805" t="s">
        <v>5931</v>
      </c>
      <c r="C39" s="805"/>
      <c r="D39" s="806"/>
      <c r="E39" s="806"/>
      <c r="F39" s="796"/>
    </row>
    <row r="40" spans="1:11" ht="15.75" x14ac:dyDescent="0.25">
      <c r="A40" s="801"/>
      <c r="B40" s="803"/>
      <c r="C40" s="803"/>
      <c r="D40" s="803"/>
      <c r="E40" s="803"/>
      <c r="F40" s="796"/>
    </row>
    <row r="41" spans="1:11" ht="15.75" x14ac:dyDescent="0.25">
      <c r="A41" s="801"/>
      <c r="B41" s="803"/>
      <c r="C41" s="803"/>
      <c r="D41" s="803"/>
      <c r="E41" s="803"/>
      <c r="F41" s="796"/>
    </row>
    <row r="42" spans="1:11" ht="15.75" x14ac:dyDescent="0.25">
      <c r="A42" s="801"/>
      <c r="B42" s="803" t="s">
        <v>5810</v>
      </c>
      <c r="C42" s="803"/>
      <c r="D42" s="803" t="s">
        <v>5932</v>
      </c>
      <c r="E42" s="803"/>
      <c r="F42" s="796"/>
    </row>
    <row r="43" spans="1:11" ht="15.75" x14ac:dyDescent="0.25">
      <c r="A43" s="801"/>
      <c r="B43" s="803"/>
      <c r="C43" s="803"/>
      <c r="D43" s="803"/>
      <c r="E43" s="803"/>
      <c r="F43" s="796"/>
    </row>
    <row r="44" spans="1:11" ht="15.75" x14ac:dyDescent="0.25">
      <c r="A44" s="801"/>
      <c r="B44" s="803"/>
      <c r="C44" s="803"/>
      <c r="D44" s="803"/>
      <c r="E44" s="803"/>
      <c r="F44" s="796"/>
    </row>
    <row r="45" spans="1:11" ht="15.75" x14ac:dyDescent="0.25">
      <c r="A45" s="801"/>
      <c r="B45" s="803" t="s">
        <v>562</v>
      </c>
      <c r="C45" s="803"/>
      <c r="D45" s="803"/>
      <c r="E45" s="803"/>
      <c r="F45" s="796"/>
    </row>
    <row r="46" spans="1:11" ht="31.5" x14ac:dyDescent="0.25">
      <c r="A46" s="801"/>
      <c r="B46" s="1304" t="s">
        <v>5933</v>
      </c>
      <c r="C46" s="1304"/>
      <c r="D46" s="804" t="s">
        <v>5934</v>
      </c>
      <c r="E46" s="803"/>
      <c r="F46" s="796"/>
    </row>
    <row r="47" spans="1:11" ht="38.450000000000003" customHeight="1" x14ac:dyDescent="0.25">
      <c r="A47" s="801"/>
      <c r="B47" s="805"/>
      <c r="C47" s="805"/>
      <c r="D47" s="807" t="s">
        <v>5935</v>
      </c>
      <c r="E47" s="807"/>
      <c r="F47" s="796"/>
    </row>
    <row r="48" spans="1:11" ht="15.75" x14ac:dyDescent="0.25">
      <c r="A48" s="801"/>
      <c r="B48" s="805" t="s">
        <v>5931</v>
      </c>
      <c r="C48" s="805"/>
      <c r="D48" s="805"/>
      <c r="E48" s="805"/>
      <c r="F48" s="796"/>
    </row>
    <row r="49" spans="1:6" ht="15.75" x14ac:dyDescent="0.25">
      <c r="A49" s="801"/>
      <c r="B49" s="803"/>
      <c r="C49" s="803"/>
      <c r="D49" s="803"/>
      <c r="E49" s="803"/>
      <c r="F49" s="796"/>
    </row>
    <row r="50" spans="1:6" ht="15.75" x14ac:dyDescent="0.25">
      <c r="A50" s="801"/>
      <c r="B50" s="801"/>
      <c r="C50" s="801"/>
      <c r="D50" s="802"/>
      <c r="E50" s="801"/>
      <c r="F50" s="796"/>
    </row>
    <row r="51" spans="1:6" ht="15.75" x14ac:dyDescent="0.25">
      <c r="A51" s="801"/>
      <c r="B51" s="801"/>
      <c r="C51" s="801"/>
      <c r="D51" s="802"/>
      <c r="E51" s="801"/>
      <c r="F51" s="796"/>
    </row>
    <row r="52" spans="1:6" ht="15.75" x14ac:dyDescent="0.25">
      <c r="A52" s="801"/>
      <c r="B52" s="801"/>
      <c r="C52" s="801"/>
      <c r="D52" s="802"/>
      <c r="E52" s="801"/>
      <c r="F52" s="796"/>
    </row>
    <row r="53" spans="1:6" ht="15.75" x14ac:dyDescent="0.25">
      <c r="A53" s="801"/>
      <c r="B53" s="801"/>
      <c r="C53" s="801"/>
      <c r="D53" s="802"/>
      <c r="E53" s="801"/>
      <c r="F53" s="796"/>
    </row>
    <row r="54" spans="1:6" ht="15.75" x14ac:dyDescent="0.25">
      <c r="A54" s="801"/>
      <c r="B54" s="801"/>
      <c r="C54" s="801"/>
      <c r="D54" s="802"/>
      <c r="E54" s="801"/>
      <c r="F54" s="796"/>
    </row>
  </sheetData>
  <mergeCells count="19">
    <mergeCell ref="A1:B1"/>
    <mergeCell ref="C1:E1"/>
    <mergeCell ref="A2:E2"/>
    <mergeCell ref="A3:E3"/>
    <mergeCell ref="A5:B5"/>
    <mergeCell ref="C5:E5"/>
    <mergeCell ref="A6:B6"/>
    <mergeCell ref="C6:E6"/>
    <mergeCell ref="A7:B7"/>
    <mergeCell ref="C7:E7"/>
    <mergeCell ref="A8:B8"/>
    <mergeCell ref="C8:E8"/>
    <mergeCell ref="B37:C37"/>
    <mergeCell ref="A9:E9"/>
    <mergeCell ref="A10:A11"/>
    <mergeCell ref="B10:B11"/>
    <mergeCell ref="C10:C11"/>
    <mergeCell ref="D10:E10"/>
    <mergeCell ref="D33:E33"/>
  </mergeCells>
  <printOptions horizontalCentered="1"/>
  <pageMargins left="0.39370078740157483" right="0.39370078740157483" top="0.59055118110236227" bottom="0.82677165354330717" header="0.51181102362204722" footer="0.59055118110236227"/>
  <pageSetup paperSize="9" scale="60" firstPageNumber="0" orientation="portrait" horizontalDpi="300" verticalDpi="300" r:id="rId1"/>
  <headerFooter alignWithMargins="0">
    <oddFooter>&amp;C&amp;"Arial,Обычный"Страница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F96"/>
  <sheetViews>
    <sheetView showGridLines="0" view="pageBreakPreview" zoomScale="80" zoomScaleNormal="100" zoomScaleSheetLayoutView="80" workbookViewId="0">
      <pane ySplit="9" topLeftCell="A10" activePane="bottomLeft" state="frozen"/>
      <selection pane="bottomLeft" activeCell="H6" sqref="H6"/>
    </sheetView>
  </sheetViews>
  <sheetFormatPr defaultRowHeight="12.75" outlineLevelRow="3" x14ac:dyDescent="0.2"/>
  <cols>
    <col min="1" max="1" width="8.140625" style="1" customWidth="1"/>
    <col min="2" max="2" width="16.5703125" style="1" customWidth="1"/>
    <col min="3" max="3" width="42.7109375" style="1" customWidth="1"/>
    <col min="4" max="4" width="11.5703125" style="1" customWidth="1"/>
    <col min="5" max="5" width="13" style="1" customWidth="1"/>
    <col min="6" max="6" width="16.7109375" style="1" bestFit="1" customWidth="1"/>
    <col min="7" max="16384" width="9.140625" style="1"/>
  </cols>
  <sheetData>
    <row r="1" spans="1:6" ht="42" customHeight="1" x14ac:dyDescent="0.2">
      <c r="A1" s="1719" t="s">
        <v>10398</v>
      </c>
      <c r="B1" s="1719"/>
      <c r="C1" s="1719"/>
      <c r="D1" s="1719"/>
      <c r="E1" s="1719"/>
    </row>
    <row r="2" spans="1:6" x14ac:dyDescent="0.2">
      <c r="A2" s="1461"/>
      <c r="B2" s="7"/>
      <c r="C2" s="8"/>
      <c r="D2" s="8"/>
      <c r="E2" s="8"/>
    </row>
    <row r="3" spans="1:6" ht="27.75" customHeight="1" x14ac:dyDescent="0.2">
      <c r="A3" s="1462" t="s">
        <v>10194</v>
      </c>
      <c r="B3" s="1718" t="str">
        <f>'ССРСС(2021г.)'!C14</f>
        <v>Всесезонный туристско-рекреационный комплекс «Эльбрус»,
Кабардино-Балкарская Республика. Открытая плоскостная парковка  на 800 машино-мест.</v>
      </c>
      <c r="C3" s="1718"/>
      <c r="D3" s="1718"/>
      <c r="E3" s="1718"/>
    </row>
    <row r="4" spans="1:6" x14ac:dyDescent="0.2">
      <c r="A4" s="1461"/>
      <c r="B4" s="7"/>
      <c r="C4" s="8"/>
      <c r="D4" s="8"/>
      <c r="E4" s="8"/>
    </row>
    <row r="5" spans="1:6" ht="12.75" customHeight="1" x14ac:dyDescent="0.2">
      <c r="A5" s="1724" t="s">
        <v>287</v>
      </c>
      <c r="B5" s="1725" t="s">
        <v>10399</v>
      </c>
      <c r="C5" s="1724" t="s">
        <v>10400</v>
      </c>
      <c r="D5" s="1716" t="s">
        <v>177</v>
      </c>
      <c r="E5" s="1716" t="s">
        <v>10401</v>
      </c>
    </row>
    <row r="6" spans="1:6" ht="50.25" customHeight="1" x14ac:dyDescent="0.2">
      <c r="A6" s="1724"/>
      <c r="B6" s="1725"/>
      <c r="C6" s="1724"/>
      <c r="D6" s="1717"/>
      <c r="E6" s="1717"/>
    </row>
    <row r="7" spans="1:6" ht="81" customHeight="1" x14ac:dyDescent="0.2">
      <c r="A7" s="1724"/>
      <c r="B7" s="1725"/>
      <c r="C7" s="1724"/>
      <c r="D7" s="1717"/>
      <c r="E7" s="1717"/>
    </row>
    <row r="8" spans="1:6" ht="33.75" customHeight="1" x14ac:dyDescent="0.2">
      <c r="A8" s="1724"/>
      <c r="B8" s="1725"/>
      <c r="C8" s="1724"/>
      <c r="D8" s="1723"/>
      <c r="E8" s="1723"/>
    </row>
    <row r="9" spans="1:6" x14ac:dyDescent="0.2">
      <c r="A9" s="1467">
        <v>1</v>
      </c>
      <c r="B9" s="1467">
        <v>2</v>
      </c>
      <c r="C9" s="1467">
        <v>3</v>
      </c>
      <c r="D9" s="1467">
        <v>4</v>
      </c>
      <c r="E9" s="1467">
        <v>5</v>
      </c>
    </row>
    <row r="10" spans="1:6" s="1543" customFormat="1" ht="15.75" x14ac:dyDescent="0.25">
      <c r="A10" s="1544">
        <v>1</v>
      </c>
      <c r="B10" s="1544"/>
      <c r="C10" s="1544" t="s">
        <v>10236</v>
      </c>
      <c r="D10" s="1633" t="s">
        <v>10402</v>
      </c>
      <c r="E10" s="1633">
        <v>1</v>
      </c>
    </row>
    <row r="11" spans="1:6" s="1480" customFormat="1" ht="31.5" customHeight="1" outlineLevel="1" x14ac:dyDescent="0.2">
      <c r="A11" s="1640" t="s">
        <v>571</v>
      </c>
      <c r="B11" s="1468"/>
      <c r="C11" s="1469" t="s">
        <v>10239</v>
      </c>
      <c r="D11" s="1634" t="s">
        <v>10402</v>
      </c>
      <c r="E11" s="1634">
        <v>1</v>
      </c>
      <c r="F11" s="1624"/>
    </row>
    <row r="12" spans="1:6" outlineLevel="2" x14ac:dyDescent="0.2">
      <c r="A12" s="1641" t="s">
        <v>10240</v>
      </c>
      <c r="B12" s="464" t="s">
        <v>6514</v>
      </c>
      <c r="C12" s="464" t="s">
        <v>9645</v>
      </c>
      <c r="D12" s="1625" t="s">
        <v>10402</v>
      </c>
      <c r="E12" s="1625">
        <v>1</v>
      </c>
    </row>
    <row r="13" spans="1:6" ht="51" outlineLevel="2" x14ac:dyDescent="0.2">
      <c r="A13" s="1641" t="s">
        <v>10241</v>
      </c>
      <c r="B13" s="27" t="s">
        <v>10205</v>
      </c>
      <c r="C13" s="28" t="s">
        <v>10206</v>
      </c>
      <c r="D13" s="1626" t="s">
        <v>10402</v>
      </c>
      <c r="E13" s="1626">
        <v>1</v>
      </c>
    </row>
    <row r="14" spans="1:6" ht="28.5" outlineLevel="1" x14ac:dyDescent="0.2">
      <c r="A14" s="1642" t="s">
        <v>576</v>
      </c>
      <c r="B14" s="1473"/>
      <c r="C14" s="1469" t="s">
        <v>10234</v>
      </c>
      <c r="D14" s="1634" t="s">
        <v>10402</v>
      </c>
      <c r="E14" s="1634">
        <v>1</v>
      </c>
    </row>
    <row r="15" spans="1:6" s="456" customFormat="1" outlineLevel="2" x14ac:dyDescent="0.2">
      <c r="A15" s="1643" t="s">
        <v>10242</v>
      </c>
      <c r="B15" s="464" t="s">
        <v>6461</v>
      </c>
      <c r="C15" s="464" t="s">
        <v>18</v>
      </c>
      <c r="D15" s="1625" t="s">
        <v>10402</v>
      </c>
      <c r="E15" s="1625">
        <v>1</v>
      </c>
    </row>
    <row r="16" spans="1:6" s="1446" customFormat="1" outlineLevel="3" x14ac:dyDescent="0.2">
      <c r="A16" s="1644" t="s">
        <v>10243</v>
      </c>
      <c r="B16" s="1442" t="s">
        <v>292</v>
      </c>
      <c r="C16" s="1443" t="s">
        <v>14</v>
      </c>
      <c r="D16" s="1635" t="s">
        <v>10402</v>
      </c>
      <c r="E16" s="1635">
        <v>1</v>
      </c>
    </row>
    <row r="17" spans="1:5" s="1446" customFormat="1" outlineLevel="3" x14ac:dyDescent="0.2">
      <c r="A17" s="1644" t="s">
        <v>10244</v>
      </c>
      <c r="B17" s="1442" t="s">
        <v>293</v>
      </c>
      <c r="C17" s="1443" t="s">
        <v>275</v>
      </c>
      <c r="D17" s="1635" t="s">
        <v>10402</v>
      </c>
      <c r="E17" s="1635">
        <v>1</v>
      </c>
    </row>
    <row r="18" spans="1:5" s="456" customFormat="1" outlineLevel="2" x14ac:dyDescent="0.2">
      <c r="A18" s="1645" t="s">
        <v>10245</v>
      </c>
      <c r="B18" s="464" t="s">
        <v>6462</v>
      </c>
      <c r="C18" s="464" t="s">
        <v>17</v>
      </c>
      <c r="D18" s="1625" t="s">
        <v>10402</v>
      </c>
      <c r="E18" s="1625">
        <v>1</v>
      </c>
    </row>
    <row r="19" spans="1:5" s="456" customFormat="1" outlineLevel="3" x14ac:dyDescent="0.2">
      <c r="A19" s="1644" t="s">
        <v>10246</v>
      </c>
      <c r="B19" s="1442" t="s">
        <v>485</v>
      </c>
      <c r="C19" s="1443" t="s">
        <v>6721</v>
      </c>
      <c r="D19" s="1635" t="s">
        <v>10402</v>
      </c>
      <c r="E19" s="1635">
        <v>1</v>
      </c>
    </row>
    <row r="20" spans="1:5" s="456" customFormat="1" outlineLevel="3" x14ac:dyDescent="0.2">
      <c r="A20" s="1644" t="s">
        <v>10247</v>
      </c>
      <c r="B20" s="1442" t="s">
        <v>486</v>
      </c>
      <c r="C20" s="1443" t="s">
        <v>6722</v>
      </c>
      <c r="D20" s="1635" t="s">
        <v>10402</v>
      </c>
      <c r="E20" s="1635">
        <v>1</v>
      </c>
    </row>
    <row r="21" spans="1:5" s="456" customFormat="1" outlineLevel="3" x14ac:dyDescent="0.2">
      <c r="A21" s="1644" t="s">
        <v>10248</v>
      </c>
      <c r="B21" s="1442" t="s">
        <v>6723</v>
      </c>
      <c r="C21" s="1443" t="s">
        <v>6724</v>
      </c>
      <c r="D21" s="1635" t="s">
        <v>10402</v>
      </c>
      <c r="E21" s="1635">
        <v>1</v>
      </c>
    </row>
    <row r="22" spans="1:5" s="456" customFormat="1" ht="25.5" outlineLevel="2" x14ac:dyDescent="0.2">
      <c r="A22" s="1645" t="s">
        <v>10249</v>
      </c>
      <c r="B22" s="464" t="s">
        <v>7079</v>
      </c>
      <c r="C22" s="464" t="s">
        <v>7075</v>
      </c>
      <c r="D22" s="1625" t="s">
        <v>10402</v>
      </c>
      <c r="E22" s="1625">
        <v>1</v>
      </c>
    </row>
    <row r="23" spans="1:5" s="456" customFormat="1" ht="25.5" outlineLevel="2" x14ac:dyDescent="0.2">
      <c r="A23" s="1645" t="s">
        <v>10250</v>
      </c>
      <c r="B23" s="464" t="s">
        <v>6463</v>
      </c>
      <c r="C23" s="464" t="s">
        <v>6531</v>
      </c>
      <c r="D23" s="1625" t="s">
        <v>10402</v>
      </c>
      <c r="E23" s="1625">
        <v>1</v>
      </c>
    </row>
    <row r="24" spans="1:5" s="456" customFormat="1" ht="25.5" outlineLevel="2" x14ac:dyDescent="0.2">
      <c r="A24" s="1645" t="s">
        <v>10251</v>
      </c>
      <c r="B24" s="464" t="s">
        <v>6466</v>
      </c>
      <c r="C24" s="464" t="s">
        <v>19</v>
      </c>
      <c r="D24" s="1625" t="s">
        <v>10402</v>
      </c>
      <c r="E24" s="1625">
        <v>1</v>
      </c>
    </row>
    <row r="25" spans="1:5" s="456" customFormat="1" ht="25.5" outlineLevel="3" x14ac:dyDescent="0.2">
      <c r="A25" s="1644" t="s">
        <v>10252</v>
      </c>
      <c r="B25" s="1442" t="s">
        <v>597</v>
      </c>
      <c r="C25" s="1443" t="s">
        <v>598</v>
      </c>
      <c r="D25" s="1635" t="s">
        <v>10402</v>
      </c>
      <c r="E25" s="1635">
        <v>1</v>
      </c>
    </row>
    <row r="26" spans="1:5" s="456" customFormat="1" outlineLevel="3" x14ac:dyDescent="0.2">
      <c r="A26" s="1644" t="s">
        <v>10253</v>
      </c>
      <c r="B26" s="1442" t="s">
        <v>599</v>
      </c>
      <c r="C26" s="1443" t="s">
        <v>600</v>
      </c>
      <c r="D26" s="1635" t="s">
        <v>10402</v>
      </c>
      <c r="E26" s="1635">
        <v>1</v>
      </c>
    </row>
    <row r="27" spans="1:5" s="456" customFormat="1" ht="25.5" outlineLevel="3" x14ac:dyDescent="0.2">
      <c r="A27" s="1644" t="s">
        <v>10254</v>
      </c>
      <c r="B27" s="1442" t="s">
        <v>601</v>
      </c>
      <c r="C27" s="1443" t="s">
        <v>602</v>
      </c>
      <c r="D27" s="1635" t="s">
        <v>10402</v>
      </c>
      <c r="E27" s="1635">
        <v>1</v>
      </c>
    </row>
    <row r="28" spans="1:5" s="456" customFormat="1" outlineLevel="3" x14ac:dyDescent="0.2">
      <c r="A28" s="1644" t="s">
        <v>10255</v>
      </c>
      <c r="B28" s="1442" t="s">
        <v>603</v>
      </c>
      <c r="C28" s="1443" t="s">
        <v>604</v>
      </c>
      <c r="D28" s="1635" t="s">
        <v>10402</v>
      </c>
      <c r="E28" s="1635">
        <v>1</v>
      </c>
    </row>
    <row r="29" spans="1:5" s="456" customFormat="1" outlineLevel="3" x14ac:dyDescent="0.2">
      <c r="A29" s="1644" t="s">
        <v>10256</v>
      </c>
      <c r="B29" s="1442" t="s">
        <v>605</v>
      </c>
      <c r="C29" s="1443" t="s">
        <v>606</v>
      </c>
      <c r="D29" s="1635" t="s">
        <v>10402</v>
      </c>
      <c r="E29" s="1635">
        <v>1</v>
      </c>
    </row>
    <row r="30" spans="1:5" s="456" customFormat="1" outlineLevel="3" x14ac:dyDescent="0.2">
      <c r="A30" s="1644" t="s">
        <v>10257</v>
      </c>
      <c r="B30" s="1442" t="s">
        <v>607</v>
      </c>
      <c r="C30" s="1443" t="s">
        <v>9239</v>
      </c>
      <c r="D30" s="1635" t="s">
        <v>10402</v>
      </c>
      <c r="E30" s="1635">
        <v>1</v>
      </c>
    </row>
    <row r="31" spans="1:5" s="456" customFormat="1" ht="25.5" outlineLevel="3" x14ac:dyDescent="0.2">
      <c r="A31" s="1644" t="s">
        <v>10258</v>
      </c>
      <c r="B31" s="1442" t="s">
        <v>608</v>
      </c>
      <c r="C31" s="1443" t="s">
        <v>609</v>
      </c>
      <c r="D31" s="1635" t="s">
        <v>10402</v>
      </c>
      <c r="E31" s="1635">
        <v>1</v>
      </c>
    </row>
    <row r="32" spans="1:5" s="456" customFormat="1" outlineLevel="2" x14ac:dyDescent="0.2">
      <c r="A32" s="1643" t="s">
        <v>10259</v>
      </c>
      <c r="B32" s="464" t="s">
        <v>6469</v>
      </c>
      <c r="C32" s="464" t="s">
        <v>31</v>
      </c>
      <c r="D32" s="1625" t="s">
        <v>10402</v>
      </c>
      <c r="E32" s="1625">
        <v>1</v>
      </c>
    </row>
    <row r="33" spans="1:5" s="456" customFormat="1" outlineLevel="3" x14ac:dyDescent="0.2">
      <c r="A33" s="1644" t="s">
        <v>10260</v>
      </c>
      <c r="B33" s="1442" t="s">
        <v>1808</v>
      </c>
      <c r="C33" s="1443" t="s">
        <v>33</v>
      </c>
      <c r="D33" s="1635" t="s">
        <v>10402</v>
      </c>
      <c r="E33" s="1635">
        <v>1</v>
      </c>
    </row>
    <row r="34" spans="1:5" s="456" customFormat="1" outlineLevel="3" x14ac:dyDescent="0.2">
      <c r="A34" s="1644" t="s">
        <v>10261</v>
      </c>
      <c r="B34" s="1442" t="s">
        <v>1809</v>
      </c>
      <c r="C34" s="1443" t="s">
        <v>1810</v>
      </c>
      <c r="D34" s="1635" t="s">
        <v>10402</v>
      </c>
      <c r="E34" s="1635">
        <v>1</v>
      </c>
    </row>
    <row r="35" spans="1:5" s="456" customFormat="1" ht="25.5" outlineLevel="3" x14ac:dyDescent="0.2">
      <c r="A35" s="1644" t="s">
        <v>10262</v>
      </c>
      <c r="B35" s="1442" t="s">
        <v>1811</v>
      </c>
      <c r="C35" s="1443" t="s">
        <v>609</v>
      </c>
      <c r="D35" s="1635" t="s">
        <v>10402</v>
      </c>
      <c r="E35" s="1635">
        <v>1</v>
      </c>
    </row>
    <row r="36" spans="1:5" s="456" customFormat="1" outlineLevel="3" x14ac:dyDescent="0.2">
      <c r="A36" s="1644" t="s">
        <v>10263</v>
      </c>
      <c r="B36" s="1442" t="s">
        <v>1812</v>
      </c>
      <c r="C36" s="1443" t="s">
        <v>38</v>
      </c>
      <c r="D36" s="1635" t="s">
        <v>10402</v>
      </c>
      <c r="E36" s="1635">
        <v>1</v>
      </c>
    </row>
    <row r="37" spans="1:5" s="456" customFormat="1" outlineLevel="3" x14ac:dyDescent="0.2">
      <c r="A37" s="1644" t="s">
        <v>10264</v>
      </c>
      <c r="B37" s="1442" t="s">
        <v>1813</v>
      </c>
      <c r="C37" s="1443" t="s">
        <v>40</v>
      </c>
      <c r="D37" s="1635" t="s">
        <v>10402</v>
      </c>
      <c r="E37" s="1635">
        <v>1</v>
      </c>
    </row>
    <row r="38" spans="1:5" s="456" customFormat="1" ht="25.5" outlineLevel="3" x14ac:dyDescent="0.2">
      <c r="A38" s="1644" t="s">
        <v>10265</v>
      </c>
      <c r="B38" s="1442" t="s">
        <v>1814</v>
      </c>
      <c r="C38" s="1443" t="s">
        <v>42</v>
      </c>
      <c r="D38" s="1635" t="s">
        <v>10402</v>
      </c>
      <c r="E38" s="1635">
        <v>1</v>
      </c>
    </row>
    <row r="39" spans="1:5" s="456" customFormat="1" ht="25.5" outlineLevel="3" x14ac:dyDescent="0.2">
      <c r="A39" s="1644" t="s">
        <v>10266</v>
      </c>
      <c r="B39" s="1442" t="s">
        <v>1815</v>
      </c>
      <c r="C39" s="1443" t="s">
        <v>3063</v>
      </c>
      <c r="D39" s="1635" t="s">
        <v>10402</v>
      </c>
      <c r="E39" s="1635">
        <v>1</v>
      </c>
    </row>
    <row r="40" spans="1:5" s="456" customFormat="1" outlineLevel="3" x14ac:dyDescent="0.2">
      <c r="A40" s="1644" t="s">
        <v>10267</v>
      </c>
      <c r="B40" s="1442" t="s">
        <v>1816</v>
      </c>
      <c r="C40" s="1443" t="s">
        <v>3120</v>
      </c>
      <c r="D40" s="1635" t="s">
        <v>10402</v>
      </c>
      <c r="E40" s="1635">
        <v>1</v>
      </c>
    </row>
    <row r="41" spans="1:5" s="456" customFormat="1" outlineLevel="3" x14ac:dyDescent="0.2">
      <c r="A41" s="1644" t="s">
        <v>10268</v>
      </c>
      <c r="B41" s="1442" t="s">
        <v>1817</v>
      </c>
      <c r="C41" s="1443" t="s">
        <v>48</v>
      </c>
      <c r="D41" s="1635" t="s">
        <v>10402</v>
      </c>
      <c r="E41" s="1635">
        <v>1</v>
      </c>
    </row>
    <row r="42" spans="1:5" s="456" customFormat="1" outlineLevel="3" x14ac:dyDescent="0.2">
      <c r="A42" s="1644" t="s">
        <v>10269</v>
      </c>
      <c r="B42" s="1442" t="s">
        <v>1818</v>
      </c>
      <c r="C42" s="1443" t="s">
        <v>50</v>
      </c>
      <c r="D42" s="1635" t="s">
        <v>10402</v>
      </c>
      <c r="E42" s="1635">
        <v>1</v>
      </c>
    </row>
    <row r="43" spans="1:5" s="456" customFormat="1" outlineLevel="3" x14ac:dyDescent="0.2">
      <c r="A43" s="1644" t="s">
        <v>10270</v>
      </c>
      <c r="B43" s="1442" t="s">
        <v>1819</v>
      </c>
      <c r="C43" s="1443" t="s">
        <v>52</v>
      </c>
      <c r="D43" s="1635" t="s">
        <v>10402</v>
      </c>
      <c r="E43" s="1635">
        <v>1</v>
      </c>
    </row>
    <row r="44" spans="1:5" s="456" customFormat="1" outlineLevel="3" x14ac:dyDescent="0.2">
      <c r="A44" s="1644" t="s">
        <v>10271</v>
      </c>
      <c r="B44" s="1442" t="s">
        <v>1820</v>
      </c>
      <c r="C44" s="1443" t="s">
        <v>1821</v>
      </c>
      <c r="D44" s="1635" t="s">
        <v>10402</v>
      </c>
      <c r="E44" s="1635">
        <v>1</v>
      </c>
    </row>
    <row r="45" spans="1:5" s="456" customFormat="1" outlineLevel="2" x14ac:dyDescent="0.2">
      <c r="A45" s="1643" t="s">
        <v>10272</v>
      </c>
      <c r="B45" s="464" t="s">
        <v>6470</v>
      </c>
      <c r="C45" s="464" t="s">
        <v>55</v>
      </c>
      <c r="D45" s="1625" t="s">
        <v>10402</v>
      </c>
      <c r="E45" s="1625">
        <v>1</v>
      </c>
    </row>
    <row r="46" spans="1:5" s="456" customFormat="1" outlineLevel="3" x14ac:dyDescent="0.2">
      <c r="A46" s="1644" t="s">
        <v>10273</v>
      </c>
      <c r="B46" s="1442" t="s">
        <v>3181</v>
      </c>
      <c r="C46" s="1443" t="s">
        <v>604</v>
      </c>
      <c r="D46" s="1635" t="s">
        <v>10402</v>
      </c>
      <c r="E46" s="1635">
        <v>1</v>
      </c>
    </row>
    <row r="47" spans="1:5" s="456" customFormat="1" outlineLevel="3" x14ac:dyDescent="0.2">
      <c r="A47" s="1644" t="s">
        <v>10274</v>
      </c>
      <c r="B47" s="1442" t="s">
        <v>3182</v>
      </c>
      <c r="C47" s="1443" t="s">
        <v>606</v>
      </c>
      <c r="D47" s="1635" t="s">
        <v>10402</v>
      </c>
      <c r="E47" s="1635">
        <v>1</v>
      </c>
    </row>
    <row r="48" spans="1:5" s="456" customFormat="1" ht="25.5" outlineLevel="3" x14ac:dyDescent="0.2">
      <c r="A48" s="1644" t="s">
        <v>10275</v>
      </c>
      <c r="B48" s="1442" t="s">
        <v>3183</v>
      </c>
      <c r="C48" s="1443" t="s">
        <v>609</v>
      </c>
      <c r="D48" s="1635" t="s">
        <v>10402</v>
      </c>
      <c r="E48" s="1635">
        <v>1</v>
      </c>
    </row>
    <row r="49" spans="1:5" s="456" customFormat="1" outlineLevel="2" x14ac:dyDescent="0.2">
      <c r="A49" s="1643" t="s">
        <v>10276</v>
      </c>
      <c r="B49" s="464" t="s">
        <v>6471</v>
      </c>
      <c r="C49" s="464" t="s">
        <v>61</v>
      </c>
      <c r="D49" s="1625" t="s">
        <v>10402</v>
      </c>
      <c r="E49" s="1625">
        <v>1</v>
      </c>
    </row>
    <row r="50" spans="1:5" s="456" customFormat="1" outlineLevel="3" x14ac:dyDescent="0.2">
      <c r="A50" s="1644" t="s">
        <v>10277</v>
      </c>
      <c r="B50" s="1442" t="s">
        <v>3393</v>
      </c>
      <c r="C50" s="1443" t="s">
        <v>604</v>
      </c>
      <c r="D50" s="1635" t="s">
        <v>10402</v>
      </c>
      <c r="E50" s="1635">
        <v>1</v>
      </c>
    </row>
    <row r="51" spans="1:5" s="456" customFormat="1" outlineLevel="3" x14ac:dyDescent="0.2">
      <c r="A51" s="1644" t="s">
        <v>10278</v>
      </c>
      <c r="B51" s="1442" t="s">
        <v>3394</v>
      </c>
      <c r="C51" s="1443" t="s">
        <v>606</v>
      </c>
      <c r="D51" s="1635" t="s">
        <v>10402</v>
      </c>
      <c r="E51" s="1635">
        <v>1</v>
      </c>
    </row>
    <row r="52" spans="1:5" s="456" customFormat="1" ht="25.5" outlineLevel="3" x14ac:dyDescent="0.2">
      <c r="A52" s="1644" t="s">
        <v>10279</v>
      </c>
      <c r="B52" s="1442" t="s">
        <v>3395</v>
      </c>
      <c r="C52" s="1443" t="s">
        <v>609</v>
      </c>
      <c r="D52" s="1635" t="s">
        <v>10402</v>
      </c>
      <c r="E52" s="1635">
        <v>1</v>
      </c>
    </row>
    <row r="53" spans="1:5" s="456" customFormat="1" outlineLevel="2" x14ac:dyDescent="0.2">
      <c r="A53" s="1643" t="s">
        <v>10280</v>
      </c>
      <c r="B53" s="464" t="s">
        <v>6472</v>
      </c>
      <c r="C53" s="464" t="s">
        <v>3591</v>
      </c>
      <c r="D53" s="1625" t="s">
        <v>10402</v>
      </c>
      <c r="E53" s="1625">
        <v>1</v>
      </c>
    </row>
    <row r="54" spans="1:5" s="456" customFormat="1" outlineLevel="2" x14ac:dyDescent="0.2">
      <c r="A54" s="1643" t="s">
        <v>10281</v>
      </c>
      <c r="B54" s="464" t="s">
        <v>6475</v>
      </c>
      <c r="C54" s="464" t="s">
        <v>6476</v>
      </c>
      <c r="D54" s="1625" t="s">
        <v>10402</v>
      </c>
      <c r="E54" s="1625">
        <v>1</v>
      </c>
    </row>
    <row r="55" spans="1:5" s="456" customFormat="1" outlineLevel="3" x14ac:dyDescent="0.2">
      <c r="A55" s="1644" t="s">
        <v>10282</v>
      </c>
      <c r="B55" s="1442" t="s">
        <v>3680</v>
      </c>
      <c r="C55" s="1443" t="s">
        <v>3681</v>
      </c>
      <c r="D55" s="1635" t="s">
        <v>10402</v>
      </c>
      <c r="E55" s="1635">
        <v>1</v>
      </c>
    </row>
    <row r="56" spans="1:5" s="456" customFormat="1" outlineLevel="3" x14ac:dyDescent="0.2">
      <c r="A56" s="1644" t="s">
        <v>10283</v>
      </c>
      <c r="B56" s="1442" t="s">
        <v>3682</v>
      </c>
      <c r="C56" s="1443" t="s">
        <v>606</v>
      </c>
      <c r="D56" s="1635" t="s">
        <v>10402</v>
      </c>
      <c r="E56" s="1635">
        <v>1</v>
      </c>
    </row>
    <row r="57" spans="1:5" s="456" customFormat="1" outlineLevel="2" x14ac:dyDescent="0.2">
      <c r="A57" s="1643" t="s">
        <v>10284</v>
      </c>
      <c r="B57" s="464" t="s">
        <v>6479</v>
      </c>
      <c r="C57" s="464" t="s">
        <v>3771</v>
      </c>
      <c r="D57" s="1625" t="s">
        <v>10402</v>
      </c>
      <c r="E57" s="1625">
        <v>1</v>
      </c>
    </row>
    <row r="58" spans="1:5" s="456" customFormat="1" outlineLevel="2" x14ac:dyDescent="0.2">
      <c r="A58" s="1643" t="s">
        <v>10285</v>
      </c>
      <c r="B58" s="464" t="s">
        <v>6480</v>
      </c>
      <c r="C58" s="464" t="s">
        <v>71</v>
      </c>
      <c r="D58" s="1625" t="s">
        <v>10402</v>
      </c>
      <c r="E58" s="1625">
        <v>1</v>
      </c>
    </row>
    <row r="59" spans="1:5" s="456" customFormat="1" outlineLevel="3" x14ac:dyDescent="0.2">
      <c r="A59" s="1644" t="s">
        <v>10286</v>
      </c>
      <c r="B59" s="1442" t="s">
        <v>3886</v>
      </c>
      <c r="C59" s="1443" t="s">
        <v>604</v>
      </c>
      <c r="D59" s="1635" t="s">
        <v>10402</v>
      </c>
      <c r="E59" s="1635">
        <v>1</v>
      </c>
    </row>
    <row r="60" spans="1:5" s="456" customFormat="1" outlineLevel="3" x14ac:dyDescent="0.2">
      <c r="A60" s="1644" t="s">
        <v>10287</v>
      </c>
      <c r="B60" s="1442" t="s">
        <v>3887</v>
      </c>
      <c r="C60" s="1443" t="s">
        <v>1810</v>
      </c>
      <c r="D60" s="1635" t="s">
        <v>10402</v>
      </c>
      <c r="E60" s="1635">
        <v>1</v>
      </c>
    </row>
    <row r="61" spans="1:5" s="456" customFormat="1" ht="25.5" outlineLevel="3" x14ac:dyDescent="0.2">
      <c r="A61" s="1644" t="s">
        <v>10288</v>
      </c>
      <c r="B61" s="1442" t="s">
        <v>3888</v>
      </c>
      <c r="C61" s="1443" t="s">
        <v>609</v>
      </c>
      <c r="D61" s="1635" t="s">
        <v>10402</v>
      </c>
      <c r="E61" s="1635">
        <v>1</v>
      </c>
    </row>
    <row r="62" spans="1:5" s="456" customFormat="1" outlineLevel="2" x14ac:dyDescent="0.2">
      <c r="A62" s="1643" t="s">
        <v>10289</v>
      </c>
      <c r="B62" s="464" t="s">
        <v>6481</v>
      </c>
      <c r="C62" s="464" t="s">
        <v>4060</v>
      </c>
      <c r="D62" s="1625" t="s">
        <v>10402</v>
      </c>
      <c r="E62" s="1625">
        <v>1</v>
      </c>
    </row>
    <row r="63" spans="1:5" s="456" customFormat="1" outlineLevel="2" x14ac:dyDescent="0.2">
      <c r="A63" s="1643" t="s">
        <v>10290</v>
      </c>
      <c r="B63" s="464" t="s">
        <v>6484</v>
      </c>
      <c r="C63" s="464" t="s">
        <v>78</v>
      </c>
      <c r="D63" s="1625" t="s">
        <v>10402</v>
      </c>
      <c r="E63" s="1625">
        <v>1</v>
      </c>
    </row>
    <row r="64" spans="1:5" s="456" customFormat="1" outlineLevel="2" x14ac:dyDescent="0.2">
      <c r="A64" s="1643" t="s">
        <v>10291</v>
      </c>
      <c r="B64" s="464" t="s">
        <v>6485</v>
      </c>
      <c r="C64" s="464" t="s">
        <v>79</v>
      </c>
      <c r="D64" s="1625" t="s">
        <v>10402</v>
      </c>
      <c r="E64" s="1625">
        <v>1</v>
      </c>
    </row>
    <row r="65" spans="1:5" s="456" customFormat="1" outlineLevel="3" x14ac:dyDescent="0.2">
      <c r="A65" s="1644" t="s">
        <v>10292</v>
      </c>
      <c r="B65" s="1442" t="s">
        <v>4502</v>
      </c>
      <c r="C65" s="1443" t="s">
        <v>79</v>
      </c>
      <c r="D65" s="1635" t="s">
        <v>10402</v>
      </c>
      <c r="E65" s="1635">
        <v>1</v>
      </c>
    </row>
    <row r="66" spans="1:5" s="456" customFormat="1" outlineLevel="3" x14ac:dyDescent="0.2">
      <c r="A66" s="1644" t="s">
        <v>10293</v>
      </c>
      <c r="B66" s="1442" t="s">
        <v>4503</v>
      </c>
      <c r="C66" s="1443" t="s">
        <v>8911</v>
      </c>
      <c r="D66" s="1635" t="s">
        <v>10402</v>
      </c>
      <c r="E66" s="1635">
        <v>1</v>
      </c>
    </row>
    <row r="67" spans="1:5" s="456" customFormat="1" outlineLevel="3" x14ac:dyDescent="0.2">
      <c r="A67" s="1644" t="s">
        <v>10294</v>
      </c>
      <c r="B67" s="1442" t="s">
        <v>4504</v>
      </c>
      <c r="C67" s="1443" t="s">
        <v>8912</v>
      </c>
      <c r="D67" s="1635" t="s">
        <v>10402</v>
      </c>
      <c r="E67" s="1635">
        <v>1</v>
      </c>
    </row>
    <row r="68" spans="1:5" s="456" customFormat="1" outlineLevel="3" x14ac:dyDescent="0.2">
      <c r="A68" s="1644" t="s">
        <v>10295</v>
      </c>
      <c r="B68" s="1442" t="s">
        <v>4505</v>
      </c>
      <c r="C68" s="1443" t="s">
        <v>8914</v>
      </c>
      <c r="D68" s="1635" t="s">
        <v>10402</v>
      </c>
      <c r="E68" s="1635">
        <v>1</v>
      </c>
    </row>
    <row r="69" spans="1:5" s="456" customFormat="1" outlineLevel="3" x14ac:dyDescent="0.2">
      <c r="A69" s="1644" t="s">
        <v>10296</v>
      </c>
      <c r="B69" s="1442" t="s">
        <v>4506</v>
      </c>
      <c r="C69" s="1443" t="s">
        <v>4507</v>
      </c>
      <c r="D69" s="1635" t="s">
        <v>10402</v>
      </c>
      <c r="E69" s="1635">
        <v>1</v>
      </c>
    </row>
    <row r="70" spans="1:5" s="456" customFormat="1" outlineLevel="2" x14ac:dyDescent="0.2">
      <c r="A70" s="1643" t="s">
        <v>10297</v>
      </c>
      <c r="B70" s="464" t="s">
        <v>6488</v>
      </c>
      <c r="C70" s="464" t="s">
        <v>90</v>
      </c>
      <c r="D70" s="1625" t="s">
        <v>10402</v>
      </c>
      <c r="E70" s="1625">
        <v>1</v>
      </c>
    </row>
    <row r="71" spans="1:5" s="456" customFormat="1" outlineLevel="3" x14ac:dyDescent="0.2">
      <c r="A71" s="1644" t="s">
        <v>10298</v>
      </c>
      <c r="B71" s="1442" t="s">
        <v>5056</v>
      </c>
      <c r="C71" s="1443" t="s">
        <v>5057</v>
      </c>
      <c r="D71" s="1635" t="s">
        <v>10402</v>
      </c>
      <c r="E71" s="1635">
        <v>1</v>
      </c>
    </row>
    <row r="72" spans="1:5" s="456" customFormat="1" outlineLevel="3" x14ac:dyDescent="0.2">
      <c r="A72" s="1644" t="s">
        <v>10299</v>
      </c>
      <c r="B72" s="1442" t="s">
        <v>5058</v>
      </c>
      <c r="C72" s="1443" t="s">
        <v>5059</v>
      </c>
      <c r="D72" s="1635" t="s">
        <v>10402</v>
      </c>
      <c r="E72" s="1635">
        <v>1</v>
      </c>
    </row>
    <row r="73" spans="1:5" s="456" customFormat="1" outlineLevel="3" x14ac:dyDescent="0.2">
      <c r="A73" s="1644" t="s">
        <v>10300</v>
      </c>
      <c r="B73" s="1442" t="s">
        <v>5060</v>
      </c>
      <c r="C73" s="1443" t="s">
        <v>5061</v>
      </c>
      <c r="D73" s="1635" t="s">
        <v>10402</v>
      </c>
      <c r="E73" s="1635">
        <v>1</v>
      </c>
    </row>
    <row r="74" spans="1:5" s="456" customFormat="1" outlineLevel="3" x14ac:dyDescent="0.2">
      <c r="A74" s="1644" t="s">
        <v>10301</v>
      </c>
      <c r="B74" s="1442" t="s">
        <v>5062</v>
      </c>
      <c r="C74" s="1443" t="s">
        <v>98</v>
      </c>
      <c r="D74" s="1635" t="s">
        <v>10402</v>
      </c>
      <c r="E74" s="1635">
        <v>1</v>
      </c>
    </row>
    <row r="75" spans="1:5" s="456" customFormat="1" outlineLevel="2" x14ac:dyDescent="0.2">
      <c r="A75" s="1643" t="s">
        <v>10302</v>
      </c>
      <c r="B75" s="464" t="s">
        <v>6670</v>
      </c>
      <c r="C75" s="464" t="s">
        <v>100</v>
      </c>
      <c r="D75" s="1625" t="s">
        <v>10402</v>
      </c>
      <c r="E75" s="1625">
        <v>1</v>
      </c>
    </row>
    <row r="76" spans="1:5" s="456" customFormat="1" outlineLevel="3" x14ac:dyDescent="0.2">
      <c r="A76" s="1644" t="s">
        <v>10303</v>
      </c>
      <c r="B76" s="1442" t="s">
        <v>7069</v>
      </c>
      <c r="C76" s="1443" t="s">
        <v>100</v>
      </c>
      <c r="D76" s="1635" t="s">
        <v>10402</v>
      </c>
      <c r="E76" s="1635">
        <v>1</v>
      </c>
    </row>
    <row r="77" spans="1:5" s="456" customFormat="1" outlineLevel="3" x14ac:dyDescent="0.2">
      <c r="A77" s="1644" t="s">
        <v>10304</v>
      </c>
      <c r="B77" s="1442" t="s">
        <v>7070</v>
      </c>
      <c r="C77" s="1443" t="s">
        <v>7071</v>
      </c>
      <c r="D77" s="1635" t="s">
        <v>10402</v>
      </c>
      <c r="E77" s="1635">
        <v>1</v>
      </c>
    </row>
    <row r="78" spans="1:5" s="456" customFormat="1" ht="25.5" outlineLevel="2" x14ac:dyDescent="0.2">
      <c r="A78" s="1643" t="s">
        <v>10305</v>
      </c>
      <c r="B78" s="464" t="s">
        <v>6499</v>
      </c>
      <c r="C78" s="464" t="s">
        <v>101</v>
      </c>
      <c r="D78" s="1625" t="s">
        <v>10402</v>
      </c>
      <c r="E78" s="1625">
        <v>1</v>
      </c>
    </row>
    <row r="79" spans="1:5" s="456" customFormat="1" ht="25.5" outlineLevel="2" x14ac:dyDescent="0.2">
      <c r="A79" s="1643" t="s">
        <v>10306</v>
      </c>
      <c r="B79" s="464" t="s">
        <v>6500</v>
      </c>
      <c r="C79" s="464" t="s">
        <v>102</v>
      </c>
      <c r="D79" s="1625" t="s">
        <v>10402</v>
      </c>
      <c r="E79" s="1625">
        <v>1</v>
      </c>
    </row>
    <row r="80" spans="1:5" s="456" customFormat="1" outlineLevel="2" x14ac:dyDescent="0.2">
      <c r="A80" s="1643" t="s">
        <v>10307</v>
      </c>
      <c r="B80" s="464" t="s">
        <v>6501</v>
      </c>
      <c r="C80" s="464" t="s">
        <v>103</v>
      </c>
      <c r="D80" s="1625" t="s">
        <v>10402</v>
      </c>
      <c r="E80" s="1625">
        <v>1</v>
      </c>
    </row>
    <row r="81" spans="1:6" s="456" customFormat="1" outlineLevel="3" x14ac:dyDescent="0.2">
      <c r="A81" s="1646" t="s">
        <v>10308</v>
      </c>
      <c r="B81" s="1498" t="s">
        <v>6501</v>
      </c>
      <c r="C81" s="1498" t="s">
        <v>10228</v>
      </c>
      <c r="D81" s="1636" t="s">
        <v>10402</v>
      </c>
      <c r="E81" s="1636">
        <v>1</v>
      </c>
    </row>
    <row r="82" spans="1:6" s="456" customFormat="1" outlineLevel="3" x14ac:dyDescent="0.2">
      <c r="A82" s="1646" t="s">
        <v>10309</v>
      </c>
      <c r="B82" s="1498" t="s">
        <v>6501</v>
      </c>
      <c r="C82" s="1498" t="s">
        <v>10229</v>
      </c>
      <c r="D82" s="1636" t="s">
        <v>10402</v>
      </c>
      <c r="E82" s="1636">
        <v>1</v>
      </c>
    </row>
    <row r="83" spans="1:6" s="456" customFormat="1" ht="25.5" outlineLevel="2" x14ac:dyDescent="0.2">
      <c r="A83" s="1643" t="s">
        <v>10310</v>
      </c>
      <c r="B83" s="464" t="s">
        <v>6502</v>
      </c>
      <c r="C83" s="464" t="s">
        <v>104</v>
      </c>
      <c r="D83" s="1625" t="s">
        <v>10402</v>
      </c>
      <c r="E83" s="1625">
        <v>1</v>
      </c>
    </row>
    <row r="84" spans="1:6" s="456" customFormat="1" outlineLevel="3" x14ac:dyDescent="0.2">
      <c r="A84" s="1644" t="s">
        <v>10311</v>
      </c>
      <c r="B84" s="1442" t="s">
        <v>5735</v>
      </c>
      <c r="C84" s="1443" t="s">
        <v>5736</v>
      </c>
      <c r="D84" s="1635" t="s">
        <v>10402</v>
      </c>
      <c r="E84" s="1635">
        <v>1</v>
      </c>
    </row>
    <row r="85" spans="1:6" s="456" customFormat="1" outlineLevel="3" x14ac:dyDescent="0.2">
      <c r="A85" s="1644" t="s">
        <v>10312</v>
      </c>
      <c r="B85" s="1442" t="s">
        <v>5737</v>
      </c>
      <c r="C85" s="1443" t="s">
        <v>5738</v>
      </c>
      <c r="D85" s="1635" t="s">
        <v>10402</v>
      </c>
      <c r="E85" s="1635">
        <v>1</v>
      </c>
    </row>
    <row r="86" spans="1:6" s="456" customFormat="1" ht="25.5" outlineLevel="2" x14ac:dyDescent="0.2">
      <c r="A86" s="1643" t="s">
        <v>10313</v>
      </c>
      <c r="B86" s="464" t="s">
        <v>6503</v>
      </c>
      <c r="C86" s="464" t="s">
        <v>110</v>
      </c>
      <c r="D86" s="1625" t="s">
        <v>10402</v>
      </c>
      <c r="E86" s="1625">
        <v>1</v>
      </c>
    </row>
    <row r="87" spans="1:6" ht="25.5" outlineLevel="2" x14ac:dyDescent="0.2">
      <c r="A87" s="1643" t="s">
        <v>10314</v>
      </c>
      <c r="B87" s="27" t="s">
        <v>6523</v>
      </c>
      <c r="C87" s="28" t="s">
        <v>10206</v>
      </c>
      <c r="D87" s="1626" t="s">
        <v>10402</v>
      </c>
      <c r="E87" s="1626">
        <v>1</v>
      </c>
    </row>
    <row r="88" spans="1:6" s="1543" customFormat="1" ht="15.75" x14ac:dyDescent="0.25">
      <c r="A88" s="1633">
        <v>2</v>
      </c>
      <c r="B88" s="1544"/>
      <c r="C88" s="1544" t="s">
        <v>10237</v>
      </c>
      <c r="D88" s="1633" t="s">
        <v>10402</v>
      </c>
      <c r="E88" s="1633">
        <v>1</v>
      </c>
    </row>
    <row r="89" spans="1:6" s="1480" customFormat="1" ht="32.25" customHeight="1" outlineLevel="1" x14ac:dyDescent="0.2">
      <c r="A89" s="1640" t="s">
        <v>583</v>
      </c>
      <c r="B89" s="1468"/>
      <c r="C89" s="1469" t="s">
        <v>10238</v>
      </c>
      <c r="D89" s="1634" t="s">
        <v>10402</v>
      </c>
      <c r="E89" s="1634">
        <v>1</v>
      </c>
    </row>
    <row r="90" spans="1:6" outlineLevel="2" x14ac:dyDescent="0.2">
      <c r="A90" s="1641" t="s">
        <v>10223</v>
      </c>
      <c r="B90" s="477" t="s">
        <v>9633</v>
      </c>
      <c r="C90" s="464" t="s">
        <v>9634</v>
      </c>
      <c r="D90" s="1625" t="s">
        <v>10402</v>
      </c>
      <c r="E90" s="1625">
        <v>1</v>
      </c>
    </row>
    <row r="91" spans="1:6" ht="51" outlineLevel="2" x14ac:dyDescent="0.2">
      <c r="A91" s="1641" t="s">
        <v>10224</v>
      </c>
      <c r="B91" s="27" t="s">
        <v>10205</v>
      </c>
      <c r="C91" s="28" t="s">
        <v>10206</v>
      </c>
      <c r="D91" s="1626" t="s">
        <v>10402</v>
      </c>
      <c r="E91" s="1626">
        <v>1</v>
      </c>
    </row>
    <row r="92" spans="1:6" ht="28.5" outlineLevel="1" x14ac:dyDescent="0.2">
      <c r="A92" s="1642" t="s">
        <v>584</v>
      </c>
      <c r="B92" s="1473"/>
      <c r="C92" s="1469" t="s">
        <v>10235</v>
      </c>
      <c r="D92" s="1634" t="s">
        <v>10402</v>
      </c>
      <c r="E92" s="1634">
        <v>1</v>
      </c>
    </row>
    <row r="93" spans="1:6" s="456" customFormat="1" outlineLevel="2" x14ac:dyDescent="0.2">
      <c r="A93" s="1647" t="s">
        <v>10225</v>
      </c>
      <c r="B93" s="1637" t="s">
        <v>8093</v>
      </c>
      <c r="C93" s="1638" t="s">
        <v>8094</v>
      </c>
      <c r="D93" s="1639" t="s">
        <v>10402</v>
      </c>
      <c r="E93" s="1639">
        <v>1</v>
      </c>
    </row>
    <row r="94" spans="1:6" s="456" customFormat="1" outlineLevel="3" x14ac:dyDescent="0.2">
      <c r="A94" s="1644" t="s">
        <v>10315</v>
      </c>
      <c r="B94" s="1442" t="s">
        <v>8583</v>
      </c>
      <c r="C94" s="1443" t="s">
        <v>8584</v>
      </c>
      <c r="D94" s="1635" t="s">
        <v>10402</v>
      </c>
      <c r="E94" s="1635">
        <v>1</v>
      </c>
    </row>
    <row r="95" spans="1:6" s="456" customFormat="1" outlineLevel="3" x14ac:dyDescent="0.2">
      <c r="A95" s="1644" t="s">
        <v>10316</v>
      </c>
      <c r="B95" s="1442" t="s">
        <v>8585</v>
      </c>
      <c r="C95" s="1443" t="s">
        <v>8586</v>
      </c>
      <c r="D95" s="1635" t="s">
        <v>10402</v>
      </c>
      <c r="E95" s="1635">
        <v>1</v>
      </c>
    </row>
    <row r="96" spans="1:6" ht="25.5" outlineLevel="2" x14ac:dyDescent="0.2">
      <c r="A96" s="1648" t="s">
        <v>10226</v>
      </c>
      <c r="B96" s="27" t="s">
        <v>6523</v>
      </c>
      <c r="C96" s="28" t="s">
        <v>10206</v>
      </c>
      <c r="D96" s="1626" t="s">
        <v>10402</v>
      </c>
      <c r="E96" s="1626">
        <v>1</v>
      </c>
      <c r="F96" s="1587"/>
    </row>
  </sheetData>
  <mergeCells count="7">
    <mergeCell ref="A1:E1"/>
    <mergeCell ref="D5:D8"/>
    <mergeCell ref="E5:E8"/>
    <mergeCell ref="B3:E3"/>
    <mergeCell ref="A5:A8"/>
    <mergeCell ref="B5:B8"/>
    <mergeCell ref="C5:C8"/>
  </mergeCells>
  <pageMargins left="0.34" right="0.25" top="0.75" bottom="0.75" header="0.3" footer="0.3"/>
  <pageSetup paperSize="9" fitToHeight="0" orientation="landscape" r:id="rId1"/>
  <headerFooter alignWithMargins="0">
    <oddHeader>&amp;LГРАНД-Смета 2021</oddHeader>
    <oddFooter>&amp;RСтраница &amp;P</oddFooter>
  </headerFooter>
  <legacy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51"/>
  <sheetViews>
    <sheetView zoomScale="80" zoomScaleNormal="80" zoomScaleSheetLayoutView="80" workbookViewId="0">
      <selection sqref="A1:B1"/>
    </sheetView>
  </sheetViews>
  <sheetFormatPr defaultColWidth="10.28515625" defaultRowHeight="12.75" x14ac:dyDescent="0.2"/>
  <cols>
    <col min="1" max="1" width="5.140625" style="808" customWidth="1"/>
    <col min="2" max="2" width="45" style="808" customWidth="1"/>
    <col min="3" max="3" width="25.85546875" style="808" customWidth="1"/>
    <col min="4" max="4" width="25" style="809" customWidth="1"/>
    <col min="5" max="5" width="25.42578125" style="808" customWidth="1"/>
    <col min="6" max="7" width="10.28515625" style="797"/>
    <col min="8" max="8" width="13.28515625" style="797" customWidth="1"/>
    <col min="9" max="256" width="10.28515625" style="797"/>
    <col min="257" max="257" width="5.140625" style="797" customWidth="1"/>
    <col min="258" max="258" width="45" style="797" customWidth="1"/>
    <col min="259" max="259" width="25.85546875" style="797" customWidth="1"/>
    <col min="260" max="260" width="25" style="797" customWidth="1"/>
    <col min="261" max="261" width="25.42578125" style="797" customWidth="1"/>
    <col min="262" max="263" width="10.28515625" style="797"/>
    <col min="264" max="264" width="13.28515625" style="797" customWidth="1"/>
    <col min="265" max="512" width="10.28515625" style="797"/>
    <col min="513" max="513" width="5.140625" style="797" customWidth="1"/>
    <col min="514" max="514" width="45" style="797" customWidth="1"/>
    <col min="515" max="515" width="25.85546875" style="797" customWidth="1"/>
    <col min="516" max="516" width="25" style="797" customWidth="1"/>
    <col min="517" max="517" width="25.42578125" style="797" customWidth="1"/>
    <col min="518" max="519" width="10.28515625" style="797"/>
    <col min="520" max="520" width="13.28515625" style="797" customWidth="1"/>
    <col min="521" max="768" width="10.28515625" style="797"/>
    <col min="769" max="769" width="5.140625" style="797" customWidth="1"/>
    <col min="770" max="770" width="45" style="797" customWidth="1"/>
    <col min="771" max="771" width="25.85546875" style="797" customWidth="1"/>
    <col min="772" max="772" width="25" style="797" customWidth="1"/>
    <col min="773" max="773" width="25.42578125" style="797" customWidth="1"/>
    <col min="774" max="775" width="10.28515625" style="797"/>
    <col min="776" max="776" width="13.28515625" style="797" customWidth="1"/>
    <col min="777" max="1024" width="10.28515625" style="797"/>
    <col min="1025" max="1025" width="5.140625" style="797" customWidth="1"/>
    <col min="1026" max="1026" width="45" style="797" customWidth="1"/>
    <col min="1027" max="1027" width="25.85546875" style="797" customWidth="1"/>
    <col min="1028" max="1028" width="25" style="797" customWidth="1"/>
    <col min="1029" max="1029" width="25.42578125" style="797" customWidth="1"/>
    <col min="1030" max="1031" width="10.28515625" style="797"/>
    <col min="1032" max="1032" width="13.28515625" style="797" customWidth="1"/>
    <col min="1033" max="1280" width="10.28515625" style="797"/>
    <col min="1281" max="1281" width="5.140625" style="797" customWidth="1"/>
    <col min="1282" max="1282" width="45" style="797" customWidth="1"/>
    <col min="1283" max="1283" width="25.85546875" style="797" customWidth="1"/>
    <col min="1284" max="1284" width="25" style="797" customWidth="1"/>
    <col min="1285" max="1285" width="25.42578125" style="797" customWidth="1"/>
    <col min="1286" max="1287" width="10.28515625" style="797"/>
    <col min="1288" max="1288" width="13.28515625" style="797" customWidth="1"/>
    <col min="1289" max="1536" width="10.28515625" style="797"/>
    <col min="1537" max="1537" width="5.140625" style="797" customWidth="1"/>
    <col min="1538" max="1538" width="45" style="797" customWidth="1"/>
    <col min="1539" max="1539" width="25.85546875" style="797" customWidth="1"/>
    <col min="1540" max="1540" width="25" style="797" customWidth="1"/>
    <col min="1541" max="1541" width="25.42578125" style="797" customWidth="1"/>
    <col min="1542" max="1543" width="10.28515625" style="797"/>
    <col min="1544" max="1544" width="13.28515625" style="797" customWidth="1"/>
    <col min="1545" max="1792" width="10.28515625" style="797"/>
    <col min="1793" max="1793" width="5.140625" style="797" customWidth="1"/>
    <col min="1794" max="1794" width="45" style="797" customWidth="1"/>
    <col min="1795" max="1795" width="25.85546875" style="797" customWidth="1"/>
    <col min="1796" max="1796" width="25" style="797" customWidth="1"/>
    <col min="1797" max="1797" width="25.42578125" style="797" customWidth="1"/>
    <col min="1798" max="1799" width="10.28515625" style="797"/>
    <col min="1800" max="1800" width="13.28515625" style="797" customWidth="1"/>
    <col min="1801" max="2048" width="10.28515625" style="797"/>
    <col min="2049" max="2049" width="5.140625" style="797" customWidth="1"/>
    <col min="2050" max="2050" width="45" style="797" customWidth="1"/>
    <col min="2051" max="2051" width="25.85546875" style="797" customWidth="1"/>
    <col min="2052" max="2052" width="25" style="797" customWidth="1"/>
    <col min="2053" max="2053" width="25.42578125" style="797" customWidth="1"/>
    <col min="2054" max="2055" width="10.28515625" style="797"/>
    <col min="2056" max="2056" width="13.28515625" style="797" customWidth="1"/>
    <col min="2057" max="2304" width="10.28515625" style="797"/>
    <col min="2305" max="2305" width="5.140625" style="797" customWidth="1"/>
    <col min="2306" max="2306" width="45" style="797" customWidth="1"/>
    <col min="2307" max="2307" width="25.85546875" style="797" customWidth="1"/>
    <col min="2308" max="2308" width="25" style="797" customWidth="1"/>
    <col min="2309" max="2309" width="25.42578125" style="797" customWidth="1"/>
    <col min="2310" max="2311" width="10.28515625" style="797"/>
    <col min="2312" max="2312" width="13.28515625" style="797" customWidth="1"/>
    <col min="2313" max="2560" width="10.28515625" style="797"/>
    <col min="2561" max="2561" width="5.140625" style="797" customWidth="1"/>
    <col min="2562" max="2562" width="45" style="797" customWidth="1"/>
    <col min="2563" max="2563" width="25.85546875" style="797" customWidth="1"/>
    <col min="2564" max="2564" width="25" style="797" customWidth="1"/>
    <col min="2565" max="2565" width="25.42578125" style="797" customWidth="1"/>
    <col min="2566" max="2567" width="10.28515625" style="797"/>
    <col min="2568" max="2568" width="13.28515625" style="797" customWidth="1"/>
    <col min="2569" max="2816" width="10.28515625" style="797"/>
    <col min="2817" max="2817" width="5.140625" style="797" customWidth="1"/>
    <col min="2818" max="2818" width="45" style="797" customWidth="1"/>
    <col min="2819" max="2819" width="25.85546875" style="797" customWidth="1"/>
    <col min="2820" max="2820" width="25" style="797" customWidth="1"/>
    <col min="2821" max="2821" width="25.42578125" style="797" customWidth="1"/>
    <col min="2822" max="2823" width="10.28515625" style="797"/>
    <col min="2824" max="2824" width="13.28515625" style="797" customWidth="1"/>
    <col min="2825" max="3072" width="10.28515625" style="797"/>
    <col min="3073" max="3073" width="5.140625" style="797" customWidth="1"/>
    <col min="3074" max="3074" width="45" style="797" customWidth="1"/>
    <col min="3075" max="3075" width="25.85546875" style="797" customWidth="1"/>
    <col min="3076" max="3076" width="25" style="797" customWidth="1"/>
    <col min="3077" max="3077" width="25.42578125" style="797" customWidth="1"/>
    <col min="3078" max="3079" width="10.28515625" style="797"/>
    <col min="3080" max="3080" width="13.28515625" style="797" customWidth="1"/>
    <col min="3081" max="3328" width="10.28515625" style="797"/>
    <col min="3329" max="3329" width="5.140625" style="797" customWidth="1"/>
    <col min="3330" max="3330" width="45" style="797" customWidth="1"/>
    <col min="3331" max="3331" width="25.85546875" style="797" customWidth="1"/>
    <col min="3332" max="3332" width="25" style="797" customWidth="1"/>
    <col min="3333" max="3333" width="25.42578125" style="797" customWidth="1"/>
    <col min="3334" max="3335" width="10.28515625" style="797"/>
    <col min="3336" max="3336" width="13.28515625" style="797" customWidth="1"/>
    <col min="3337" max="3584" width="10.28515625" style="797"/>
    <col min="3585" max="3585" width="5.140625" style="797" customWidth="1"/>
    <col min="3586" max="3586" width="45" style="797" customWidth="1"/>
    <col min="3587" max="3587" width="25.85546875" style="797" customWidth="1"/>
    <col min="3588" max="3588" width="25" style="797" customWidth="1"/>
    <col min="3589" max="3589" width="25.42578125" style="797" customWidth="1"/>
    <col min="3590" max="3591" width="10.28515625" style="797"/>
    <col min="3592" max="3592" width="13.28515625" style="797" customWidth="1"/>
    <col min="3593" max="3840" width="10.28515625" style="797"/>
    <col min="3841" max="3841" width="5.140625" style="797" customWidth="1"/>
    <col min="3842" max="3842" width="45" style="797" customWidth="1"/>
    <col min="3843" max="3843" width="25.85546875" style="797" customWidth="1"/>
    <col min="3844" max="3844" width="25" style="797" customWidth="1"/>
    <col min="3845" max="3845" width="25.42578125" style="797" customWidth="1"/>
    <col min="3846" max="3847" width="10.28515625" style="797"/>
    <col min="3848" max="3848" width="13.28515625" style="797" customWidth="1"/>
    <col min="3849" max="4096" width="10.28515625" style="797"/>
    <col min="4097" max="4097" width="5.140625" style="797" customWidth="1"/>
    <col min="4098" max="4098" width="45" style="797" customWidth="1"/>
    <col min="4099" max="4099" width="25.85546875" style="797" customWidth="1"/>
    <col min="4100" max="4100" width="25" style="797" customWidth="1"/>
    <col min="4101" max="4101" width="25.42578125" style="797" customWidth="1"/>
    <col min="4102" max="4103" width="10.28515625" style="797"/>
    <col min="4104" max="4104" width="13.28515625" style="797" customWidth="1"/>
    <col min="4105" max="4352" width="10.28515625" style="797"/>
    <col min="4353" max="4353" width="5.140625" style="797" customWidth="1"/>
    <col min="4354" max="4354" width="45" style="797" customWidth="1"/>
    <col min="4355" max="4355" width="25.85546875" style="797" customWidth="1"/>
    <col min="4356" max="4356" width="25" style="797" customWidth="1"/>
    <col min="4357" max="4357" width="25.42578125" style="797" customWidth="1"/>
    <col min="4358" max="4359" width="10.28515625" style="797"/>
    <col min="4360" max="4360" width="13.28515625" style="797" customWidth="1"/>
    <col min="4361" max="4608" width="10.28515625" style="797"/>
    <col min="4609" max="4609" width="5.140625" style="797" customWidth="1"/>
    <col min="4610" max="4610" width="45" style="797" customWidth="1"/>
    <col min="4611" max="4611" width="25.85546875" style="797" customWidth="1"/>
    <col min="4612" max="4612" width="25" style="797" customWidth="1"/>
    <col min="4613" max="4613" width="25.42578125" style="797" customWidth="1"/>
    <col min="4614" max="4615" width="10.28515625" style="797"/>
    <col min="4616" max="4616" width="13.28515625" style="797" customWidth="1"/>
    <col min="4617" max="4864" width="10.28515625" style="797"/>
    <col min="4865" max="4865" width="5.140625" style="797" customWidth="1"/>
    <col min="4866" max="4866" width="45" style="797" customWidth="1"/>
    <col min="4867" max="4867" width="25.85546875" style="797" customWidth="1"/>
    <col min="4868" max="4868" width="25" style="797" customWidth="1"/>
    <col min="4869" max="4869" width="25.42578125" style="797" customWidth="1"/>
    <col min="4870" max="4871" width="10.28515625" style="797"/>
    <col min="4872" max="4872" width="13.28515625" style="797" customWidth="1"/>
    <col min="4873" max="5120" width="10.28515625" style="797"/>
    <col min="5121" max="5121" width="5.140625" style="797" customWidth="1"/>
    <col min="5122" max="5122" width="45" style="797" customWidth="1"/>
    <col min="5123" max="5123" width="25.85546875" style="797" customWidth="1"/>
    <col min="5124" max="5124" width="25" style="797" customWidth="1"/>
    <col min="5125" max="5125" width="25.42578125" style="797" customWidth="1"/>
    <col min="5126" max="5127" width="10.28515625" style="797"/>
    <col min="5128" max="5128" width="13.28515625" style="797" customWidth="1"/>
    <col min="5129" max="5376" width="10.28515625" style="797"/>
    <col min="5377" max="5377" width="5.140625" style="797" customWidth="1"/>
    <col min="5378" max="5378" width="45" style="797" customWidth="1"/>
    <col min="5379" max="5379" width="25.85546875" style="797" customWidth="1"/>
    <col min="5380" max="5380" width="25" style="797" customWidth="1"/>
    <col min="5381" max="5381" width="25.42578125" style="797" customWidth="1"/>
    <col min="5382" max="5383" width="10.28515625" style="797"/>
    <col min="5384" max="5384" width="13.28515625" style="797" customWidth="1"/>
    <col min="5385" max="5632" width="10.28515625" style="797"/>
    <col min="5633" max="5633" width="5.140625" style="797" customWidth="1"/>
    <col min="5634" max="5634" width="45" style="797" customWidth="1"/>
    <col min="5635" max="5635" width="25.85546875" style="797" customWidth="1"/>
    <col min="5636" max="5636" width="25" style="797" customWidth="1"/>
    <col min="5637" max="5637" width="25.42578125" style="797" customWidth="1"/>
    <col min="5638" max="5639" width="10.28515625" style="797"/>
    <col min="5640" max="5640" width="13.28515625" style="797" customWidth="1"/>
    <col min="5641" max="5888" width="10.28515625" style="797"/>
    <col min="5889" max="5889" width="5.140625" style="797" customWidth="1"/>
    <col min="5890" max="5890" width="45" style="797" customWidth="1"/>
    <col min="5891" max="5891" width="25.85546875" style="797" customWidth="1"/>
    <col min="5892" max="5892" width="25" style="797" customWidth="1"/>
    <col min="5893" max="5893" width="25.42578125" style="797" customWidth="1"/>
    <col min="5894" max="5895" width="10.28515625" style="797"/>
    <col min="5896" max="5896" width="13.28515625" style="797" customWidth="1"/>
    <col min="5897" max="6144" width="10.28515625" style="797"/>
    <col min="6145" max="6145" width="5.140625" style="797" customWidth="1"/>
    <col min="6146" max="6146" width="45" style="797" customWidth="1"/>
    <col min="6147" max="6147" width="25.85546875" style="797" customWidth="1"/>
    <col min="6148" max="6148" width="25" style="797" customWidth="1"/>
    <col min="6149" max="6149" width="25.42578125" style="797" customWidth="1"/>
    <col min="6150" max="6151" width="10.28515625" style="797"/>
    <col min="6152" max="6152" width="13.28515625" style="797" customWidth="1"/>
    <col min="6153" max="6400" width="10.28515625" style="797"/>
    <col min="6401" max="6401" width="5.140625" style="797" customWidth="1"/>
    <col min="6402" max="6402" width="45" style="797" customWidth="1"/>
    <col min="6403" max="6403" width="25.85546875" style="797" customWidth="1"/>
    <col min="6404" max="6404" width="25" style="797" customWidth="1"/>
    <col min="6405" max="6405" width="25.42578125" style="797" customWidth="1"/>
    <col min="6406" max="6407" width="10.28515625" style="797"/>
    <col min="6408" max="6408" width="13.28515625" style="797" customWidth="1"/>
    <col min="6409" max="6656" width="10.28515625" style="797"/>
    <col min="6657" max="6657" width="5.140625" style="797" customWidth="1"/>
    <col min="6658" max="6658" width="45" style="797" customWidth="1"/>
    <col min="6659" max="6659" width="25.85546875" style="797" customWidth="1"/>
    <col min="6660" max="6660" width="25" style="797" customWidth="1"/>
    <col min="6661" max="6661" width="25.42578125" style="797" customWidth="1"/>
    <col min="6662" max="6663" width="10.28515625" style="797"/>
    <col min="6664" max="6664" width="13.28515625" style="797" customWidth="1"/>
    <col min="6665" max="6912" width="10.28515625" style="797"/>
    <col min="6913" max="6913" width="5.140625" style="797" customWidth="1"/>
    <col min="6914" max="6914" width="45" style="797" customWidth="1"/>
    <col min="6915" max="6915" width="25.85546875" style="797" customWidth="1"/>
    <col min="6916" max="6916" width="25" style="797" customWidth="1"/>
    <col min="6917" max="6917" width="25.42578125" style="797" customWidth="1"/>
    <col min="6918" max="6919" width="10.28515625" style="797"/>
    <col min="6920" max="6920" width="13.28515625" style="797" customWidth="1"/>
    <col min="6921" max="7168" width="10.28515625" style="797"/>
    <col min="7169" max="7169" width="5.140625" style="797" customWidth="1"/>
    <col min="7170" max="7170" width="45" style="797" customWidth="1"/>
    <col min="7171" max="7171" width="25.85546875" style="797" customWidth="1"/>
    <col min="7172" max="7172" width="25" style="797" customWidth="1"/>
    <col min="7173" max="7173" width="25.42578125" style="797" customWidth="1"/>
    <col min="7174" max="7175" width="10.28515625" style="797"/>
    <col min="7176" max="7176" width="13.28515625" style="797" customWidth="1"/>
    <col min="7177" max="7424" width="10.28515625" style="797"/>
    <col min="7425" max="7425" width="5.140625" style="797" customWidth="1"/>
    <col min="7426" max="7426" width="45" style="797" customWidth="1"/>
    <col min="7427" max="7427" width="25.85546875" style="797" customWidth="1"/>
    <col min="7428" max="7428" width="25" style="797" customWidth="1"/>
    <col min="7429" max="7429" width="25.42578125" style="797" customWidth="1"/>
    <col min="7430" max="7431" width="10.28515625" style="797"/>
    <col min="7432" max="7432" width="13.28515625" style="797" customWidth="1"/>
    <col min="7433" max="7680" width="10.28515625" style="797"/>
    <col min="7681" max="7681" width="5.140625" style="797" customWidth="1"/>
    <col min="7682" max="7682" width="45" style="797" customWidth="1"/>
    <col min="7683" max="7683" width="25.85546875" style="797" customWidth="1"/>
    <col min="7684" max="7684" width="25" style="797" customWidth="1"/>
    <col min="7685" max="7685" width="25.42578125" style="797" customWidth="1"/>
    <col min="7686" max="7687" width="10.28515625" style="797"/>
    <col min="7688" max="7688" width="13.28515625" style="797" customWidth="1"/>
    <col min="7689" max="7936" width="10.28515625" style="797"/>
    <col min="7937" max="7937" width="5.140625" style="797" customWidth="1"/>
    <col min="7938" max="7938" width="45" style="797" customWidth="1"/>
    <col min="7939" max="7939" width="25.85546875" style="797" customWidth="1"/>
    <col min="7940" max="7940" width="25" style="797" customWidth="1"/>
    <col min="7941" max="7941" width="25.42578125" style="797" customWidth="1"/>
    <col min="7942" max="7943" width="10.28515625" style="797"/>
    <col min="7944" max="7944" width="13.28515625" style="797" customWidth="1"/>
    <col min="7945" max="8192" width="10.28515625" style="797"/>
    <col min="8193" max="8193" width="5.140625" style="797" customWidth="1"/>
    <col min="8194" max="8194" width="45" style="797" customWidth="1"/>
    <col min="8195" max="8195" width="25.85546875" style="797" customWidth="1"/>
    <col min="8196" max="8196" width="25" style="797" customWidth="1"/>
    <col min="8197" max="8197" width="25.42578125" style="797" customWidth="1"/>
    <col min="8198" max="8199" width="10.28515625" style="797"/>
    <col min="8200" max="8200" width="13.28515625" style="797" customWidth="1"/>
    <col min="8201" max="8448" width="10.28515625" style="797"/>
    <col min="8449" max="8449" width="5.140625" style="797" customWidth="1"/>
    <col min="8450" max="8450" width="45" style="797" customWidth="1"/>
    <col min="8451" max="8451" width="25.85546875" style="797" customWidth="1"/>
    <col min="8452" max="8452" width="25" style="797" customWidth="1"/>
    <col min="8453" max="8453" width="25.42578125" style="797" customWidth="1"/>
    <col min="8454" max="8455" width="10.28515625" style="797"/>
    <col min="8456" max="8456" width="13.28515625" style="797" customWidth="1"/>
    <col min="8457" max="8704" width="10.28515625" style="797"/>
    <col min="8705" max="8705" width="5.140625" style="797" customWidth="1"/>
    <col min="8706" max="8706" width="45" style="797" customWidth="1"/>
    <col min="8707" max="8707" width="25.85546875" style="797" customWidth="1"/>
    <col min="8708" max="8708" width="25" style="797" customWidth="1"/>
    <col min="8709" max="8709" width="25.42578125" style="797" customWidth="1"/>
    <col min="8710" max="8711" width="10.28515625" style="797"/>
    <col min="8712" max="8712" width="13.28515625" style="797" customWidth="1"/>
    <col min="8713" max="8960" width="10.28515625" style="797"/>
    <col min="8961" max="8961" width="5.140625" style="797" customWidth="1"/>
    <col min="8962" max="8962" width="45" style="797" customWidth="1"/>
    <col min="8963" max="8963" width="25.85546875" style="797" customWidth="1"/>
    <col min="8964" max="8964" width="25" style="797" customWidth="1"/>
    <col min="8965" max="8965" width="25.42578125" style="797" customWidth="1"/>
    <col min="8966" max="8967" width="10.28515625" style="797"/>
    <col min="8968" max="8968" width="13.28515625" style="797" customWidth="1"/>
    <col min="8969" max="9216" width="10.28515625" style="797"/>
    <col min="9217" max="9217" width="5.140625" style="797" customWidth="1"/>
    <col min="9218" max="9218" width="45" style="797" customWidth="1"/>
    <col min="9219" max="9219" width="25.85546875" style="797" customWidth="1"/>
    <col min="9220" max="9220" width="25" style="797" customWidth="1"/>
    <col min="9221" max="9221" width="25.42578125" style="797" customWidth="1"/>
    <col min="9222" max="9223" width="10.28515625" style="797"/>
    <col min="9224" max="9224" width="13.28515625" style="797" customWidth="1"/>
    <col min="9225" max="9472" width="10.28515625" style="797"/>
    <col min="9473" max="9473" width="5.140625" style="797" customWidth="1"/>
    <col min="9474" max="9474" width="45" style="797" customWidth="1"/>
    <col min="9475" max="9475" width="25.85546875" style="797" customWidth="1"/>
    <col min="9476" max="9476" width="25" style="797" customWidth="1"/>
    <col min="9477" max="9477" width="25.42578125" style="797" customWidth="1"/>
    <col min="9478" max="9479" width="10.28515625" style="797"/>
    <col min="9480" max="9480" width="13.28515625" style="797" customWidth="1"/>
    <col min="9481" max="9728" width="10.28515625" style="797"/>
    <col min="9729" max="9729" width="5.140625" style="797" customWidth="1"/>
    <col min="9730" max="9730" width="45" style="797" customWidth="1"/>
    <col min="9731" max="9731" width="25.85546875" style="797" customWidth="1"/>
    <col min="9732" max="9732" width="25" style="797" customWidth="1"/>
    <col min="9733" max="9733" width="25.42578125" style="797" customWidth="1"/>
    <col min="9734" max="9735" width="10.28515625" style="797"/>
    <col min="9736" max="9736" width="13.28515625" style="797" customWidth="1"/>
    <col min="9737" max="9984" width="10.28515625" style="797"/>
    <col min="9985" max="9985" width="5.140625" style="797" customWidth="1"/>
    <col min="9986" max="9986" width="45" style="797" customWidth="1"/>
    <col min="9987" max="9987" width="25.85546875" style="797" customWidth="1"/>
    <col min="9988" max="9988" width="25" style="797" customWidth="1"/>
    <col min="9989" max="9989" width="25.42578125" style="797" customWidth="1"/>
    <col min="9990" max="9991" width="10.28515625" style="797"/>
    <col min="9992" max="9992" width="13.28515625" style="797" customWidth="1"/>
    <col min="9993" max="10240" width="10.28515625" style="797"/>
    <col min="10241" max="10241" width="5.140625" style="797" customWidth="1"/>
    <col min="10242" max="10242" width="45" style="797" customWidth="1"/>
    <col min="10243" max="10243" width="25.85546875" style="797" customWidth="1"/>
    <col min="10244" max="10244" width="25" style="797" customWidth="1"/>
    <col min="10245" max="10245" width="25.42578125" style="797" customWidth="1"/>
    <col min="10246" max="10247" width="10.28515625" style="797"/>
    <col min="10248" max="10248" width="13.28515625" style="797" customWidth="1"/>
    <col min="10249" max="10496" width="10.28515625" style="797"/>
    <col min="10497" max="10497" width="5.140625" style="797" customWidth="1"/>
    <col min="10498" max="10498" width="45" style="797" customWidth="1"/>
    <col min="10499" max="10499" width="25.85546875" style="797" customWidth="1"/>
    <col min="10500" max="10500" width="25" style="797" customWidth="1"/>
    <col min="10501" max="10501" width="25.42578125" style="797" customWidth="1"/>
    <col min="10502" max="10503" width="10.28515625" style="797"/>
    <col min="10504" max="10504" width="13.28515625" style="797" customWidth="1"/>
    <col min="10505" max="10752" width="10.28515625" style="797"/>
    <col min="10753" max="10753" width="5.140625" style="797" customWidth="1"/>
    <col min="10754" max="10754" width="45" style="797" customWidth="1"/>
    <col min="10755" max="10755" width="25.85546875" style="797" customWidth="1"/>
    <col min="10756" max="10756" width="25" style="797" customWidth="1"/>
    <col min="10757" max="10757" width="25.42578125" style="797" customWidth="1"/>
    <col min="10758" max="10759" width="10.28515625" style="797"/>
    <col min="10760" max="10760" width="13.28515625" style="797" customWidth="1"/>
    <col min="10761" max="11008" width="10.28515625" style="797"/>
    <col min="11009" max="11009" width="5.140625" style="797" customWidth="1"/>
    <col min="11010" max="11010" width="45" style="797" customWidth="1"/>
    <col min="11011" max="11011" width="25.85546875" style="797" customWidth="1"/>
    <col min="11012" max="11012" width="25" style="797" customWidth="1"/>
    <col min="11013" max="11013" width="25.42578125" style="797" customWidth="1"/>
    <col min="11014" max="11015" width="10.28515625" style="797"/>
    <col min="11016" max="11016" width="13.28515625" style="797" customWidth="1"/>
    <col min="11017" max="11264" width="10.28515625" style="797"/>
    <col min="11265" max="11265" width="5.140625" style="797" customWidth="1"/>
    <col min="11266" max="11266" width="45" style="797" customWidth="1"/>
    <col min="11267" max="11267" width="25.85546875" style="797" customWidth="1"/>
    <col min="11268" max="11268" width="25" style="797" customWidth="1"/>
    <col min="11269" max="11269" width="25.42578125" style="797" customWidth="1"/>
    <col min="11270" max="11271" width="10.28515625" style="797"/>
    <col min="11272" max="11272" width="13.28515625" style="797" customWidth="1"/>
    <col min="11273" max="11520" width="10.28515625" style="797"/>
    <col min="11521" max="11521" width="5.140625" style="797" customWidth="1"/>
    <col min="11522" max="11522" width="45" style="797" customWidth="1"/>
    <col min="11523" max="11523" width="25.85546875" style="797" customWidth="1"/>
    <col min="11524" max="11524" width="25" style="797" customWidth="1"/>
    <col min="11525" max="11525" width="25.42578125" style="797" customWidth="1"/>
    <col min="11526" max="11527" width="10.28515625" style="797"/>
    <col min="11528" max="11528" width="13.28515625" style="797" customWidth="1"/>
    <col min="11529" max="11776" width="10.28515625" style="797"/>
    <col min="11777" max="11777" width="5.140625" style="797" customWidth="1"/>
    <col min="11778" max="11778" width="45" style="797" customWidth="1"/>
    <col min="11779" max="11779" width="25.85546875" style="797" customWidth="1"/>
    <col min="11780" max="11780" width="25" style="797" customWidth="1"/>
    <col min="11781" max="11781" width="25.42578125" style="797" customWidth="1"/>
    <col min="11782" max="11783" width="10.28515625" style="797"/>
    <col min="11784" max="11784" width="13.28515625" style="797" customWidth="1"/>
    <col min="11785" max="12032" width="10.28515625" style="797"/>
    <col min="12033" max="12033" width="5.140625" style="797" customWidth="1"/>
    <col min="12034" max="12034" width="45" style="797" customWidth="1"/>
    <col min="12035" max="12035" width="25.85546875" style="797" customWidth="1"/>
    <col min="12036" max="12036" width="25" style="797" customWidth="1"/>
    <col min="12037" max="12037" width="25.42578125" style="797" customWidth="1"/>
    <col min="12038" max="12039" width="10.28515625" style="797"/>
    <col min="12040" max="12040" width="13.28515625" style="797" customWidth="1"/>
    <col min="12041" max="12288" width="10.28515625" style="797"/>
    <col min="12289" max="12289" width="5.140625" style="797" customWidth="1"/>
    <col min="12290" max="12290" width="45" style="797" customWidth="1"/>
    <col min="12291" max="12291" width="25.85546875" style="797" customWidth="1"/>
    <col min="12292" max="12292" width="25" style="797" customWidth="1"/>
    <col min="12293" max="12293" width="25.42578125" style="797" customWidth="1"/>
    <col min="12294" max="12295" width="10.28515625" style="797"/>
    <col min="12296" max="12296" width="13.28515625" style="797" customWidth="1"/>
    <col min="12297" max="12544" width="10.28515625" style="797"/>
    <col min="12545" max="12545" width="5.140625" style="797" customWidth="1"/>
    <col min="12546" max="12546" width="45" style="797" customWidth="1"/>
    <col min="12547" max="12547" width="25.85546875" style="797" customWidth="1"/>
    <col min="12548" max="12548" width="25" style="797" customWidth="1"/>
    <col min="12549" max="12549" width="25.42578125" style="797" customWidth="1"/>
    <col min="12550" max="12551" width="10.28515625" style="797"/>
    <col min="12552" max="12552" width="13.28515625" style="797" customWidth="1"/>
    <col min="12553" max="12800" width="10.28515625" style="797"/>
    <col min="12801" max="12801" width="5.140625" style="797" customWidth="1"/>
    <col min="12802" max="12802" width="45" style="797" customWidth="1"/>
    <col min="12803" max="12803" width="25.85546875" style="797" customWidth="1"/>
    <col min="12804" max="12804" width="25" style="797" customWidth="1"/>
    <col min="12805" max="12805" width="25.42578125" style="797" customWidth="1"/>
    <col min="12806" max="12807" width="10.28515625" style="797"/>
    <col min="12808" max="12808" width="13.28515625" style="797" customWidth="1"/>
    <col min="12809" max="13056" width="10.28515625" style="797"/>
    <col min="13057" max="13057" width="5.140625" style="797" customWidth="1"/>
    <col min="13058" max="13058" width="45" style="797" customWidth="1"/>
    <col min="13059" max="13059" width="25.85546875" style="797" customWidth="1"/>
    <col min="13060" max="13060" width="25" style="797" customWidth="1"/>
    <col min="13061" max="13061" width="25.42578125" style="797" customWidth="1"/>
    <col min="13062" max="13063" width="10.28515625" style="797"/>
    <col min="13064" max="13064" width="13.28515625" style="797" customWidth="1"/>
    <col min="13065" max="13312" width="10.28515625" style="797"/>
    <col min="13313" max="13313" width="5.140625" style="797" customWidth="1"/>
    <col min="13314" max="13314" width="45" style="797" customWidth="1"/>
    <col min="13315" max="13315" width="25.85546875" style="797" customWidth="1"/>
    <col min="13316" max="13316" width="25" style="797" customWidth="1"/>
    <col min="13317" max="13317" width="25.42578125" style="797" customWidth="1"/>
    <col min="13318" max="13319" width="10.28515625" style="797"/>
    <col min="13320" max="13320" width="13.28515625" style="797" customWidth="1"/>
    <col min="13321" max="13568" width="10.28515625" style="797"/>
    <col min="13569" max="13569" width="5.140625" style="797" customWidth="1"/>
    <col min="13570" max="13570" width="45" style="797" customWidth="1"/>
    <col min="13571" max="13571" width="25.85546875" style="797" customWidth="1"/>
    <col min="13572" max="13572" width="25" style="797" customWidth="1"/>
    <col min="13573" max="13573" width="25.42578125" style="797" customWidth="1"/>
    <col min="13574" max="13575" width="10.28515625" style="797"/>
    <col min="13576" max="13576" width="13.28515625" style="797" customWidth="1"/>
    <col min="13577" max="13824" width="10.28515625" style="797"/>
    <col min="13825" max="13825" width="5.140625" style="797" customWidth="1"/>
    <col min="13826" max="13826" width="45" style="797" customWidth="1"/>
    <col min="13827" max="13827" width="25.85546875" style="797" customWidth="1"/>
    <col min="13828" max="13828" width="25" style="797" customWidth="1"/>
    <col min="13829" max="13829" width="25.42578125" style="797" customWidth="1"/>
    <col min="13830" max="13831" width="10.28515625" style="797"/>
    <col min="13832" max="13832" width="13.28515625" style="797" customWidth="1"/>
    <col min="13833" max="14080" width="10.28515625" style="797"/>
    <col min="14081" max="14081" width="5.140625" style="797" customWidth="1"/>
    <col min="14082" max="14082" width="45" style="797" customWidth="1"/>
    <col min="14083" max="14083" width="25.85546875" style="797" customWidth="1"/>
    <col min="14084" max="14084" width="25" style="797" customWidth="1"/>
    <col min="14085" max="14085" width="25.42578125" style="797" customWidth="1"/>
    <col min="14086" max="14087" width="10.28515625" style="797"/>
    <col min="14088" max="14088" width="13.28515625" style="797" customWidth="1"/>
    <col min="14089" max="14336" width="10.28515625" style="797"/>
    <col min="14337" max="14337" width="5.140625" style="797" customWidth="1"/>
    <col min="14338" max="14338" width="45" style="797" customWidth="1"/>
    <col min="14339" max="14339" width="25.85546875" style="797" customWidth="1"/>
    <col min="14340" max="14340" width="25" style="797" customWidth="1"/>
    <col min="14341" max="14341" width="25.42578125" style="797" customWidth="1"/>
    <col min="14342" max="14343" width="10.28515625" style="797"/>
    <col min="14344" max="14344" width="13.28515625" style="797" customWidth="1"/>
    <col min="14345" max="14592" width="10.28515625" style="797"/>
    <col min="14593" max="14593" width="5.140625" style="797" customWidth="1"/>
    <col min="14594" max="14594" width="45" style="797" customWidth="1"/>
    <col min="14595" max="14595" width="25.85546875" style="797" customWidth="1"/>
    <col min="14596" max="14596" width="25" style="797" customWidth="1"/>
    <col min="14597" max="14597" width="25.42578125" style="797" customWidth="1"/>
    <col min="14598" max="14599" width="10.28515625" style="797"/>
    <col min="14600" max="14600" width="13.28515625" style="797" customWidth="1"/>
    <col min="14601" max="14848" width="10.28515625" style="797"/>
    <col min="14849" max="14849" width="5.140625" style="797" customWidth="1"/>
    <col min="14850" max="14850" width="45" style="797" customWidth="1"/>
    <col min="14851" max="14851" width="25.85546875" style="797" customWidth="1"/>
    <col min="14852" max="14852" width="25" style="797" customWidth="1"/>
    <col min="14853" max="14853" width="25.42578125" style="797" customWidth="1"/>
    <col min="14854" max="14855" width="10.28515625" style="797"/>
    <col min="14856" max="14856" width="13.28515625" style="797" customWidth="1"/>
    <col min="14857" max="15104" width="10.28515625" style="797"/>
    <col min="15105" max="15105" width="5.140625" style="797" customWidth="1"/>
    <col min="15106" max="15106" width="45" style="797" customWidth="1"/>
    <col min="15107" max="15107" width="25.85546875" style="797" customWidth="1"/>
    <col min="15108" max="15108" width="25" style="797" customWidth="1"/>
    <col min="15109" max="15109" width="25.42578125" style="797" customWidth="1"/>
    <col min="15110" max="15111" width="10.28515625" style="797"/>
    <col min="15112" max="15112" width="13.28515625" style="797" customWidth="1"/>
    <col min="15113" max="15360" width="10.28515625" style="797"/>
    <col min="15361" max="15361" width="5.140625" style="797" customWidth="1"/>
    <col min="15362" max="15362" width="45" style="797" customWidth="1"/>
    <col min="15363" max="15363" width="25.85546875" style="797" customWidth="1"/>
    <col min="15364" max="15364" width="25" style="797" customWidth="1"/>
    <col min="15365" max="15365" width="25.42578125" style="797" customWidth="1"/>
    <col min="15366" max="15367" width="10.28515625" style="797"/>
    <col min="15368" max="15368" width="13.28515625" style="797" customWidth="1"/>
    <col min="15369" max="15616" width="10.28515625" style="797"/>
    <col min="15617" max="15617" width="5.140625" style="797" customWidth="1"/>
    <col min="15618" max="15618" width="45" style="797" customWidth="1"/>
    <col min="15619" max="15619" width="25.85546875" style="797" customWidth="1"/>
    <col min="15620" max="15620" width="25" style="797" customWidth="1"/>
    <col min="15621" max="15621" width="25.42578125" style="797" customWidth="1"/>
    <col min="15622" max="15623" width="10.28515625" style="797"/>
    <col min="15624" max="15624" width="13.28515625" style="797" customWidth="1"/>
    <col min="15625" max="15872" width="10.28515625" style="797"/>
    <col min="15873" max="15873" width="5.140625" style="797" customWidth="1"/>
    <col min="15874" max="15874" width="45" style="797" customWidth="1"/>
    <col min="15875" max="15875" width="25.85546875" style="797" customWidth="1"/>
    <col min="15876" max="15876" width="25" style="797" customWidth="1"/>
    <col min="15877" max="15877" width="25.42578125" style="797" customWidth="1"/>
    <col min="15878" max="15879" width="10.28515625" style="797"/>
    <col min="15880" max="15880" width="13.28515625" style="797" customWidth="1"/>
    <col min="15881" max="16128" width="10.28515625" style="797"/>
    <col min="16129" max="16129" width="5.140625" style="797" customWidth="1"/>
    <col min="16130" max="16130" width="45" style="797" customWidth="1"/>
    <col min="16131" max="16131" width="25.85546875" style="797" customWidth="1"/>
    <col min="16132" max="16132" width="25" style="797" customWidth="1"/>
    <col min="16133" max="16133" width="25.42578125" style="797" customWidth="1"/>
    <col min="16134" max="16135" width="10.28515625" style="797"/>
    <col min="16136" max="16136" width="13.28515625" style="797" customWidth="1"/>
    <col min="16137" max="16384" width="10.28515625" style="797"/>
  </cols>
  <sheetData>
    <row r="1" spans="1:6" ht="18" customHeight="1" x14ac:dyDescent="0.25">
      <c r="A1" s="2118"/>
      <c r="B1" s="2119"/>
      <c r="C1" s="2120" t="s">
        <v>5900</v>
      </c>
      <c r="D1" s="2120"/>
      <c r="E1" s="2120"/>
      <c r="F1" s="796"/>
    </row>
    <row r="2" spans="1:6" ht="15.75" x14ac:dyDescent="0.25">
      <c r="A2" s="2121" t="s">
        <v>9456</v>
      </c>
      <c r="B2" s="2121"/>
      <c r="C2" s="2121"/>
      <c r="D2" s="2121"/>
      <c r="E2" s="2121"/>
      <c r="F2" s="796"/>
    </row>
    <row r="3" spans="1:6" ht="15.75" x14ac:dyDescent="0.25">
      <c r="A3" s="2122" t="s">
        <v>5902</v>
      </c>
      <c r="B3" s="2122"/>
      <c r="C3" s="2122"/>
      <c r="D3" s="2122"/>
      <c r="E3" s="2122"/>
      <c r="F3" s="796"/>
    </row>
    <row r="4" spans="1:6" ht="15.75" x14ac:dyDescent="0.25">
      <c r="A4" s="798"/>
      <c r="B4" s="799"/>
      <c r="C4" s="798"/>
      <c r="D4" s="800"/>
      <c r="E4" s="798"/>
      <c r="F4" s="796"/>
    </row>
    <row r="5" spans="1:6" ht="86.25" customHeight="1" x14ac:dyDescent="0.25">
      <c r="A5" s="2117" t="s">
        <v>5903</v>
      </c>
      <c r="B5" s="2117"/>
      <c r="C5" s="2123" t="s">
        <v>5904</v>
      </c>
      <c r="D5" s="2123"/>
      <c r="E5" s="2123"/>
      <c r="F5" s="796"/>
    </row>
    <row r="6" spans="1:6" ht="20.25" customHeight="1" x14ac:dyDescent="0.25">
      <c r="A6" s="2116" t="s">
        <v>5789</v>
      </c>
      <c r="B6" s="2116"/>
      <c r="C6" s="2117" t="s">
        <v>5905</v>
      </c>
      <c r="D6" s="2117"/>
      <c r="E6" s="2117"/>
      <c r="F6" s="796"/>
    </row>
    <row r="7" spans="1:6" ht="19.5" customHeight="1" x14ac:dyDescent="0.25">
      <c r="A7" s="2116" t="s">
        <v>5791</v>
      </c>
      <c r="B7" s="2116"/>
      <c r="C7" s="2116"/>
      <c r="D7" s="2116"/>
      <c r="E7" s="2116"/>
      <c r="F7" s="796"/>
    </row>
    <row r="8" spans="1:6" ht="25.35" customHeight="1" x14ac:dyDescent="0.25">
      <c r="A8" s="2117" t="s">
        <v>5792</v>
      </c>
      <c r="B8" s="2117"/>
      <c r="C8" s="2117" t="s">
        <v>5906</v>
      </c>
      <c r="D8" s="2117"/>
      <c r="E8" s="2117"/>
      <c r="F8" s="796"/>
    </row>
    <row r="9" spans="1:6" ht="21" customHeight="1" x14ac:dyDescent="0.25">
      <c r="A9" s="2124" t="s">
        <v>5936</v>
      </c>
      <c r="B9" s="2124"/>
      <c r="C9" s="2124"/>
      <c r="D9" s="2124"/>
      <c r="E9" s="2124"/>
      <c r="F9" s="796"/>
    </row>
    <row r="10" spans="1:6" ht="40.15" customHeight="1" x14ac:dyDescent="0.25">
      <c r="A10" s="2111" t="s">
        <v>287</v>
      </c>
      <c r="B10" s="2111" t="s">
        <v>5908</v>
      </c>
      <c r="C10" s="2111" t="s">
        <v>145</v>
      </c>
      <c r="D10" s="2112" t="s">
        <v>289</v>
      </c>
      <c r="E10" s="2113"/>
      <c r="F10" s="796"/>
    </row>
    <row r="11" spans="1:6" ht="69.599999999999994" customHeight="1" x14ac:dyDescent="0.25">
      <c r="A11" s="2111"/>
      <c r="B11" s="2111"/>
      <c r="C11" s="2111"/>
      <c r="D11" s="1309" t="s">
        <v>5909</v>
      </c>
      <c r="E11" s="1310" t="s">
        <v>5910</v>
      </c>
      <c r="F11" s="796"/>
    </row>
    <row r="12" spans="1:6" ht="15.75" x14ac:dyDescent="0.25">
      <c r="A12" s="1311" t="s">
        <v>185</v>
      </c>
      <c r="B12" s="1312" t="s">
        <v>186</v>
      </c>
      <c r="C12" s="1312" t="s">
        <v>187</v>
      </c>
      <c r="D12" s="1313">
        <v>4</v>
      </c>
      <c r="E12" s="1314">
        <v>5</v>
      </c>
      <c r="F12" s="796"/>
    </row>
    <row r="13" spans="1:6" ht="15.75" x14ac:dyDescent="0.25">
      <c r="A13" s="1315" t="s">
        <v>185</v>
      </c>
      <c r="B13" s="1316" t="s">
        <v>116</v>
      </c>
      <c r="C13" s="1324"/>
      <c r="D13" s="1317"/>
      <c r="E13" s="1317"/>
      <c r="F13" s="796"/>
    </row>
    <row r="14" spans="1:6" ht="20.25" customHeight="1" x14ac:dyDescent="0.25">
      <c r="A14" s="1318" t="s">
        <v>571</v>
      </c>
      <c r="B14" s="1319" t="s">
        <v>124</v>
      </c>
      <c r="C14" s="1318" t="s">
        <v>1</v>
      </c>
      <c r="D14" s="1320">
        <f>'[88]ЛСР 12-01-01'!L26/1000</f>
        <v>111.35</v>
      </c>
      <c r="E14" s="1321"/>
      <c r="F14" s="796"/>
    </row>
    <row r="15" spans="1:6" ht="15.75" x14ac:dyDescent="0.25">
      <c r="A15" s="1318" t="s">
        <v>576</v>
      </c>
      <c r="B15" s="1319" t="s">
        <v>125</v>
      </c>
      <c r="C15" s="1318" t="s">
        <v>117</v>
      </c>
      <c r="D15" s="1320">
        <f>'[88]ЛСР 12-01-02'!I73/1000</f>
        <v>865.22</v>
      </c>
      <c r="E15" s="1321"/>
      <c r="F15" s="796"/>
    </row>
    <row r="16" spans="1:6" ht="18.399999999999999" customHeight="1" x14ac:dyDescent="0.25">
      <c r="A16" s="1318" t="s">
        <v>577</v>
      </c>
      <c r="B16" s="1319" t="s">
        <v>127</v>
      </c>
      <c r="C16" s="1318" t="s">
        <v>126</v>
      </c>
      <c r="D16" s="1320">
        <f>'[88]ЛСР 12-01-03'!G53/1000</f>
        <v>87.5</v>
      </c>
      <c r="E16" s="1321"/>
      <c r="F16" s="796"/>
    </row>
    <row r="17" spans="1:8" ht="47.1" customHeight="1" x14ac:dyDescent="0.25">
      <c r="A17" s="1318" t="s">
        <v>578</v>
      </c>
      <c r="B17" s="1319" t="s">
        <v>5911</v>
      </c>
      <c r="C17" s="1318" t="s">
        <v>128</v>
      </c>
      <c r="D17" s="1320">
        <f>'[88]ЛСР 12-01-04'!J47/1000</f>
        <v>44.84</v>
      </c>
      <c r="E17" s="1321"/>
      <c r="F17" s="796"/>
    </row>
    <row r="18" spans="1:8" ht="18.95" customHeight="1" x14ac:dyDescent="0.25">
      <c r="A18" s="1318" t="s">
        <v>580</v>
      </c>
      <c r="B18" s="1319" t="s">
        <v>131</v>
      </c>
      <c r="C18" s="1318" t="s">
        <v>130</v>
      </c>
      <c r="D18" s="1320">
        <f>77632.1/1000</f>
        <v>77.63</v>
      </c>
      <c r="E18" s="1321"/>
      <c r="F18" s="796"/>
    </row>
    <row r="19" spans="1:8" ht="17.649999999999999" customHeight="1" x14ac:dyDescent="0.25">
      <c r="A19" s="1318" t="s">
        <v>5912</v>
      </c>
      <c r="B19" s="1319" t="s">
        <v>133</v>
      </c>
      <c r="C19" s="1318" t="s">
        <v>132</v>
      </c>
      <c r="D19" s="1320">
        <f>'[89]ЛСР 12-01-06'!G93/1000</f>
        <v>111.74</v>
      </c>
      <c r="E19" s="1321"/>
      <c r="F19" s="796"/>
    </row>
    <row r="20" spans="1:8" ht="27.95" customHeight="1" x14ac:dyDescent="0.25">
      <c r="A20" s="1322"/>
      <c r="B20" s="1323" t="s">
        <v>5915</v>
      </c>
      <c r="C20" s="1324" t="s">
        <v>143</v>
      </c>
      <c r="D20" s="1317">
        <f>SUM(D14:D19)</f>
        <v>1298.28</v>
      </c>
      <c r="E20" s="1325"/>
      <c r="F20" s="796"/>
    </row>
    <row r="21" spans="1:8" ht="15.75" x14ac:dyDescent="0.25">
      <c r="A21" s="1315" t="s">
        <v>5917</v>
      </c>
      <c r="B21" s="1316" t="s">
        <v>5918</v>
      </c>
      <c r="C21" s="1324"/>
      <c r="D21" s="1317"/>
      <c r="E21" s="1317"/>
      <c r="F21" s="796"/>
    </row>
    <row r="22" spans="1:8" ht="20.25" customHeight="1" x14ac:dyDescent="0.25">
      <c r="A22" s="1352" t="s">
        <v>583</v>
      </c>
      <c r="B22" s="1345" t="s">
        <v>9457</v>
      </c>
      <c r="C22" s="1318" t="s">
        <v>2</v>
      </c>
      <c r="D22" s="1320"/>
      <c r="E22" s="1353">
        <f>'[89]ЛСР 12-02-01'!I944/1000</f>
        <v>1986.95</v>
      </c>
      <c r="F22" s="796"/>
    </row>
    <row r="23" spans="1:8" ht="20.25" customHeight="1" x14ac:dyDescent="0.2">
      <c r="A23" s="1352" t="s">
        <v>584</v>
      </c>
      <c r="B23" s="1345" t="s">
        <v>9458</v>
      </c>
      <c r="C23" s="1336" t="s">
        <v>9236</v>
      </c>
      <c r="D23" s="1320"/>
      <c r="E23" s="1353">
        <v>37.11</v>
      </c>
      <c r="F23" s="1353"/>
    </row>
    <row r="24" spans="1:8" ht="15.75" x14ac:dyDescent="0.25">
      <c r="A24" s="1345"/>
      <c r="B24" s="1323" t="s">
        <v>5921</v>
      </c>
      <c r="C24" s="1346"/>
      <c r="D24" s="1320"/>
      <c r="E24" s="1325">
        <f>E22+E23</f>
        <v>2024.06</v>
      </c>
      <c r="F24" s="796"/>
    </row>
    <row r="25" spans="1:8" ht="15.75" x14ac:dyDescent="0.25">
      <c r="A25" s="1315" t="s">
        <v>5922</v>
      </c>
      <c r="B25" s="1316" t="s">
        <v>5923</v>
      </c>
      <c r="C25" s="1346"/>
      <c r="D25" s="1320"/>
      <c r="E25" s="1321"/>
      <c r="F25" s="796"/>
    </row>
    <row r="26" spans="1:8" ht="15.75" customHeight="1" x14ac:dyDescent="0.25">
      <c r="A26" s="1352" t="s">
        <v>5924</v>
      </c>
      <c r="B26" s="1345" t="s">
        <v>9459</v>
      </c>
      <c r="C26" s="1318" t="s">
        <v>120</v>
      </c>
      <c r="D26" s="1320"/>
      <c r="E26" s="1353">
        <f>'[89]ЛСР 12-03-01'!I766/1000</f>
        <v>2347.2399999999998</v>
      </c>
      <c r="F26" s="796"/>
    </row>
    <row r="27" spans="1:8" ht="15.75" customHeight="1" x14ac:dyDescent="0.25">
      <c r="A27" s="1352" t="s">
        <v>9460</v>
      </c>
      <c r="B27" s="1345" t="s">
        <v>9461</v>
      </c>
      <c r="C27" s="1318" t="s">
        <v>9462</v>
      </c>
      <c r="D27" s="1320"/>
      <c r="E27" s="1353">
        <v>35.01</v>
      </c>
      <c r="F27" s="796"/>
    </row>
    <row r="28" spans="1:8" ht="22.5" customHeight="1" x14ac:dyDescent="0.25">
      <c r="A28" s="1345"/>
      <c r="B28" s="1323" t="s">
        <v>5925</v>
      </c>
      <c r="C28" s="1346"/>
      <c r="D28" s="1320"/>
      <c r="E28" s="1325">
        <f>E26+E27</f>
        <v>2382.25</v>
      </c>
      <c r="F28" s="796"/>
      <c r="H28" s="1354"/>
    </row>
    <row r="29" spans="1:8" ht="22.5" customHeight="1" x14ac:dyDescent="0.25">
      <c r="A29" s="1312"/>
      <c r="B29" s="1347" t="s">
        <v>5926</v>
      </c>
      <c r="C29" s="1348"/>
      <c r="D29" s="1349">
        <f>D20</f>
        <v>1298.28</v>
      </c>
      <c r="E29" s="1350">
        <f>E24+E28</f>
        <v>4406.3100000000004</v>
      </c>
      <c r="F29" s="796"/>
    </row>
    <row r="30" spans="1:8" ht="18.95" customHeight="1" x14ac:dyDescent="0.25">
      <c r="A30" s="1351"/>
      <c r="B30" s="1347" t="s">
        <v>5807</v>
      </c>
      <c r="C30" s="1348"/>
      <c r="D30" s="2114">
        <f>D29+E29</f>
        <v>5704.59</v>
      </c>
      <c r="E30" s="2115"/>
      <c r="F30" s="796"/>
    </row>
    <row r="31" spans="1:8" ht="15.75" x14ac:dyDescent="0.25">
      <c r="A31" s="801"/>
      <c r="B31" s="801"/>
      <c r="C31" s="801"/>
      <c r="D31" s="802"/>
      <c r="E31" s="801"/>
      <c r="F31" s="796"/>
    </row>
    <row r="32" spans="1:8" ht="15.75" x14ac:dyDescent="0.25">
      <c r="A32" s="801"/>
      <c r="B32" s="801"/>
      <c r="C32" s="801"/>
      <c r="D32" s="802"/>
      <c r="E32" s="801"/>
      <c r="F32" s="796"/>
    </row>
    <row r="33" spans="1:6" ht="15.75" x14ac:dyDescent="0.25">
      <c r="A33" s="801"/>
      <c r="B33" s="803" t="s">
        <v>5927</v>
      </c>
      <c r="C33" s="803"/>
      <c r="D33" s="803"/>
      <c r="E33" s="803"/>
      <c r="F33" s="796"/>
    </row>
    <row r="34" spans="1:6" ht="15.6" customHeight="1" x14ac:dyDescent="0.25">
      <c r="A34" s="801"/>
      <c r="B34" s="2109" t="s">
        <v>5928</v>
      </c>
      <c r="C34" s="2109"/>
      <c r="D34" s="804" t="s">
        <v>5929</v>
      </c>
      <c r="E34" s="803"/>
      <c r="F34" s="796"/>
    </row>
    <row r="35" spans="1:6" ht="15.75" x14ac:dyDescent="0.25">
      <c r="A35" s="801"/>
      <c r="B35" s="805"/>
      <c r="C35" s="805"/>
      <c r="D35" s="806" t="s">
        <v>5930</v>
      </c>
      <c r="E35" s="806"/>
      <c r="F35" s="796"/>
    </row>
    <row r="36" spans="1:6" ht="15.75" x14ac:dyDescent="0.25">
      <c r="A36" s="801"/>
      <c r="B36" s="805" t="s">
        <v>5931</v>
      </c>
      <c r="C36" s="805"/>
      <c r="D36" s="806"/>
      <c r="E36" s="806"/>
      <c r="F36" s="796"/>
    </row>
    <row r="37" spans="1:6" ht="15.75" x14ac:dyDescent="0.25">
      <c r="A37" s="801"/>
      <c r="B37" s="803"/>
      <c r="C37" s="803"/>
      <c r="D37" s="803"/>
      <c r="E37" s="803"/>
      <c r="F37" s="796"/>
    </row>
    <row r="38" spans="1:6" ht="15.75" x14ac:dyDescent="0.25">
      <c r="A38" s="801"/>
      <c r="B38" s="803"/>
      <c r="C38" s="803"/>
      <c r="D38" s="803"/>
      <c r="E38" s="803"/>
      <c r="F38" s="796"/>
    </row>
    <row r="39" spans="1:6" ht="15.75" x14ac:dyDescent="0.25">
      <c r="A39" s="801"/>
      <c r="B39" s="803" t="s">
        <v>5810</v>
      </c>
      <c r="C39" s="803"/>
      <c r="D39" s="803" t="s">
        <v>5932</v>
      </c>
      <c r="E39" s="803"/>
      <c r="F39" s="796"/>
    </row>
    <row r="40" spans="1:6" ht="15.75" x14ac:dyDescent="0.25">
      <c r="A40" s="801"/>
      <c r="B40" s="803"/>
      <c r="C40" s="803"/>
      <c r="D40" s="803"/>
      <c r="E40" s="803"/>
      <c r="F40" s="796"/>
    </row>
    <row r="41" spans="1:6" ht="15.75" x14ac:dyDescent="0.25">
      <c r="A41" s="801"/>
      <c r="B41" s="803"/>
      <c r="C41" s="803"/>
      <c r="D41" s="803"/>
      <c r="E41" s="803"/>
      <c r="F41" s="796"/>
    </row>
    <row r="42" spans="1:6" ht="15.75" x14ac:dyDescent="0.25">
      <c r="A42" s="801"/>
      <c r="B42" s="803" t="s">
        <v>562</v>
      </c>
      <c r="C42" s="803"/>
      <c r="D42" s="803"/>
      <c r="E42" s="803"/>
      <c r="F42" s="796"/>
    </row>
    <row r="43" spans="1:6" ht="31.5" x14ac:dyDescent="0.25">
      <c r="A43" s="801"/>
      <c r="B43" s="1304" t="s">
        <v>5933</v>
      </c>
      <c r="C43" s="1304"/>
      <c r="D43" s="804" t="s">
        <v>5934</v>
      </c>
      <c r="E43" s="803"/>
      <c r="F43" s="796"/>
    </row>
    <row r="44" spans="1:6" ht="38.450000000000003" customHeight="1" x14ac:dyDescent="0.25">
      <c r="A44" s="801"/>
      <c r="B44" s="805"/>
      <c r="C44" s="805"/>
      <c r="D44" s="807" t="s">
        <v>5935</v>
      </c>
      <c r="E44" s="807"/>
      <c r="F44" s="796"/>
    </row>
    <row r="45" spans="1:6" ht="15.75" x14ac:dyDescent="0.25">
      <c r="A45" s="801"/>
      <c r="B45" s="805" t="s">
        <v>5931</v>
      </c>
      <c r="C45" s="805"/>
      <c r="D45" s="805"/>
      <c r="E45" s="805"/>
      <c r="F45" s="796"/>
    </row>
    <row r="46" spans="1:6" ht="15.75" x14ac:dyDescent="0.25">
      <c r="A46" s="801"/>
      <c r="B46" s="803"/>
      <c r="C46" s="803"/>
      <c r="D46" s="803"/>
      <c r="E46" s="803"/>
      <c r="F46" s="796"/>
    </row>
    <row r="47" spans="1:6" ht="15.75" x14ac:dyDescent="0.25">
      <c r="A47" s="801"/>
      <c r="B47" s="801"/>
      <c r="C47" s="801"/>
      <c r="D47" s="802"/>
      <c r="E47" s="801"/>
      <c r="F47" s="796"/>
    </row>
    <row r="48" spans="1:6" ht="15.75" x14ac:dyDescent="0.25">
      <c r="A48" s="801"/>
      <c r="B48" s="801"/>
      <c r="C48" s="801"/>
      <c r="D48" s="802"/>
      <c r="E48" s="801"/>
      <c r="F48" s="796"/>
    </row>
    <row r="49" spans="1:6" ht="15.75" x14ac:dyDescent="0.25">
      <c r="A49" s="801"/>
      <c r="B49" s="801"/>
      <c r="C49" s="801"/>
      <c r="D49" s="802"/>
      <c r="E49" s="801"/>
      <c r="F49" s="796"/>
    </row>
    <row r="50" spans="1:6" ht="15.75" x14ac:dyDescent="0.25">
      <c r="A50" s="801"/>
      <c r="B50" s="801"/>
      <c r="C50" s="801"/>
      <c r="D50" s="802"/>
      <c r="E50" s="801"/>
      <c r="F50" s="796"/>
    </row>
    <row r="51" spans="1:6" ht="15.75" x14ac:dyDescent="0.25">
      <c r="A51" s="801"/>
      <c r="B51" s="801"/>
      <c r="C51" s="801"/>
      <c r="D51" s="802"/>
      <c r="E51" s="801"/>
      <c r="F51" s="796"/>
    </row>
  </sheetData>
  <mergeCells count="19">
    <mergeCell ref="A1:B1"/>
    <mergeCell ref="C1:E1"/>
    <mergeCell ref="A2:E2"/>
    <mergeCell ref="A3:E3"/>
    <mergeCell ref="A5:B5"/>
    <mergeCell ref="C5:E5"/>
    <mergeCell ref="A6:B6"/>
    <mergeCell ref="C6:E6"/>
    <mergeCell ref="A7:B7"/>
    <mergeCell ref="C7:E7"/>
    <mergeCell ref="A8:B8"/>
    <mergeCell ref="C8:E8"/>
    <mergeCell ref="B34:C34"/>
    <mergeCell ref="A9:E9"/>
    <mergeCell ref="A10:A11"/>
    <mergeCell ref="B10:B11"/>
    <mergeCell ref="C10:C11"/>
    <mergeCell ref="D10:E10"/>
    <mergeCell ref="D30:E30"/>
  </mergeCells>
  <printOptions horizontalCentered="1"/>
  <pageMargins left="0.39370078740157483" right="0.39370078740157483" top="0.59055118110236227" bottom="0.82677165354330717" header="0.51181102362204722" footer="0.59055118110236227"/>
  <pageSetup paperSize="9" scale="60" firstPageNumber="0" orientation="portrait" horizontalDpi="300" verticalDpi="300" r:id="rId1"/>
  <headerFooter alignWithMargins="0">
    <oddFooter>&amp;C&amp;"Arial,Обычный"Страница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0"/>
  <sheetViews>
    <sheetView topLeftCell="A7" workbookViewId="0">
      <selection activeCell="E25" sqref="E25"/>
    </sheetView>
  </sheetViews>
  <sheetFormatPr defaultColWidth="8.140625" defaultRowHeight="15" x14ac:dyDescent="0.25"/>
  <cols>
    <col min="1" max="1" width="8.140625" style="1305"/>
    <col min="2" max="2" width="40.7109375" style="1305" customWidth="1"/>
    <col min="3" max="3" width="22.7109375" style="1305" customWidth="1"/>
    <col min="4" max="4" width="21.85546875" style="1305" customWidth="1"/>
    <col min="5" max="5" width="22" style="1305" customWidth="1"/>
    <col min="6" max="8" width="8.140625" style="1305"/>
    <col min="9" max="9" width="26.7109375" style="1305" customWidth="1"/>
    <col min="10" max="16384" width="8.140625" style="1305"/>
  </cols>
  <sheetData>
    <row r="1" spans="1:9" ht="15.75" x14ac:dyDescent="0.25">
      <c r="A1" s="2131"/>
      <c r="B1" s="2132"/>
      <c r="C1" s="2133" t="s">
        <v>5900</v>
      </c>
      <c r="D1" s="2133"/>
      <c r="E1" s="2133"/>
    </row>
    <row r="2" spans="1:9" ht="15.75" x14ac:dyDescent="0.25">
      <c r="A2" s="2134" t="s">
        <v>5901</v>
      </c>
      <c r="B2" s="2134"/>
      <c r="C2" s="2134"/>
      <c r="D2" s="2134"/>
      <c r="E2" s="2134"/>
    </row>
    <row r="3" spans="1:9" ht="15.75" x14ac:dyDescent="0.25">
      <c r="A3" s="2135" t="s">
        <v>6385</v>
      </c>
      <c r="B3" s="2135"/>
      <c r="C3" s="2135"/>
      <c r="D3" s="2135"/>
      <c r="E3" s="2135"/>
    </row>
    <row r="4" spans="1:9" ht="15.75" x14ac:dyDescent="0.25">
      <c r="A4" s="819"/>
      <c r="B4" s="820"/>
      <c r="C4" s="819"/>
      <c r="D4" s="821"/>
      <c r="E4" s="819"/>
    </row>
    <row r="5" spans="1:9" ht="45.95" customHeight="1" x14ac:dyDescent="0.25">
      <c r="A5" s="2130" t="s">
        <v>5903</v>
      </c>
      <c r="B5" s="2130"/>
      <c r="C5" s="2136" t="s">
        <v>5904</v>
      </c>
      <c r="D5" s="2136"/>
      <c r="E5" s="2136"/>
    </row>
    <row r="6" spans="1:9" ht="15.75" customHeight="1" x14ac:dyDescent="0.25">
      <c r="A6" s="2129" t="s">
        <v>5789</v>
      </c>
      <c r="B6" s="2129"/>
      <c r="C6" s="2130" t="s">
        <v>5905</v>
      </c>
      <c r="D6" s="2130"/>
      <c r="E6" s="2130"/>
    </row>
    <row r="7" spans="1:9" ht="15.75" x14ac:dyDescent="0.25">
      <c r="A7" s="2129" t="s">
        <v>5791</v>
      </c>
      <c r="B7" s="2129"/>
      <c r="C7" s="2129"/>
      <c r="D7" s="2129"/>
      <c r="E7" s="2129"/>
    </row>
    <row r="8" spans="1:9" ht="15.75" customHeight="1" x14ac:dyDescent="0.25">
      <c r="A8" s="2130" t="s">
        <v>5792</v>
      </c>
      <c r="B8" s="2130"/>
      <c r="C8" s="2130" t="s">
        <v>5906</v>
      </c>
      <c r="D8" s="2130"/>
      <c r="E8" s="2130"/>
    </row>
    <row r="9" spans="1:9" ht="15.75" x14ac:dyDescent="0.25">
      <c r="A9" s="2125" t="s">
        <v>6386</v>
      </c>
      <c r="B9" s="2125"/>
      <c r="C9" s="2125"/>
      <c r="D9" s="2125"/>
      <c r="E9" s="2125"/>
    </row>
    <row r="10" spans="1:9" ht="15.75" x14ac:dyDescent="0.25">
      <c r="A10" s="2126" t="s">
        <v>287</v>
      </c>
      <c r="B10" s="2126" t="s">
        <v>5908</v>
      </c>
      <c r="C10" s="2126" t="s">
        <v>145</v>
      </c>
      <c r="D10" s="2127" t="s">
        <v>289</v>
      </c>
      <c r="E10" s="2128"/>
    </row>
    <row r="11" spans="1:9" ht="31.5" x14ac:dyDescent="0.25">
      <c r="A11" s="2126"/>
      <c r="B11" s="2126"/>
      <c r="C11" s="2126"/>
      <c r="D11" s="1355" t="s">
        <v>5909</v>
      </c>
      <c r="E11" s="1356" t="s">
        <v>5910</v>
      </c>
    </row>
    <row r="12" spans="1:9" ht="15.75" x14ac:dyDescent="0.25">
      <c r="A12" s="1357" t="s">
        <v>185</v>
      </c>
      <c r="B12" s="1358" t="s">
        <v>186</v>
      </c>
      <c r="C12" s="1358" t="s">
        <v>187</v>
      </c>
      <c r="D12" s="1359">
        <v>4</v>
      </c>
      <c r="E12" s="1360">
        <v>5</v>
      </c>
    </row>
    <row r="13" spans="1:9" ht="32.25" customHeight="1" x14ac:dyDescent="0.25">
      <c r="A13" s="1361" t="s">
        <v>185</v>
      </c>
      <c r="B13" s="1362" t="s">
        <v>116</v>
      </c>
      <c r="C13" s="1363"/>
      <c r="D13" s="1363"/>
      <c r="E13" s="1363"/>
      <c r="I13" s="822" t="s">
        <v>6387</v>
      </c>
    </row>
    <row r="14" spans="1:9" ht="33.75" customHeight="1" x14ac:dyDescent="0.25">
      <c r="A14" s="1364" t="s">
        <v>571</v>
      </c>
      <c r="B14" s="1365" t="s">
        <v>124</v>
      </c>
      <c r="C14" s="1364" t="s">
        <v>1</v>
      </c>
      <c r="D14" s="1366">
        <f>'[88]ЛСР 12-01-01'!L25/1000</f>
        <v>140.97</v>
      </c>
      <c r="E14" s="1367"/>
      <c r="I14" s="1368">
        <f>'[88]ЛСР 12-01-01'!L25</f>
        <v>140971.87</v>
      </c>
    </row>
    <row r="15" spans="1:9" ht="33" customHeight="1" x14ac:dyDescent="0.25">
      <c r="A15" s="1364" t="s">
        <v>576</v>
      </c>
      <c r="B15" s="1365" t="s">
        <v>125</v>
      </c>
      <c r="C15" s="1364" t="s">
        <v>117</v>
      </c>
      <c r="D15" s="1366">
        <f>'[88]ЛСР 12-01-02'!I72/1000</f>
        <v>1095.5</v>
      </c>
      <c r="E15" s="1367"/>
      <c r="I15" s="1368">
        <f>'[88]ЛСР 12-01-02'!I72</f>
        <v>1095497.68</v>
      </c>
    </row>
    <row r="16" spans="1:9" ht="28.5" customHeight="1" x14ac:dyDescent="0.25">
      <c r="A16" s="1364" t="s">
        <v>577</v>
      </c>
      <c r="B16" s="1365" t="s">
        <v>127</v>
      </c>
      <c r="C16" s="1364" t="s">
        <v>126</v>
      </c>
      <c r="D16" s="1366">
        <f>'[88]ЛСР 12-01-03'!G52/1000</f>
        <v>110.79</v>
      </c>
      <c r="E16" s="1367"/>
      <c r="I16" s="1368">
        <f>'[88]ЛСР 12-01-03'!G52</f>
        <v>110791.67</v>
      </c>
    </row>
    <row r="17" spans="1:9" ht="41.25" customHeight="1" x14ac:dyDescent="0.25">
      <c r="A17" s="1364" t="s">
        <v>578</v>
      </c>
      <c r="B17" s="1365" t="s">
        <v>5911</v>
      </c>
      <c r="C17" s="1364" t="s">
        <v>128</v>
      </c>
      <c r="D17" s="1366">
        <f>I17/1000</f>
        <v>56.78</v>
      </c>
      <c r="E17" s="1367"/>
      <c r="I17" s="1368">
        <f>'[88]ЛСР 12-01-04'!J46</f>
        <v>56775.19</v>
      </c>
    </row>
    <row r="18" spans="1:9" ht="25.5" customHeight="1" x14ac:dyDescent="0.25">
      <c r="A18" s="1364" t="s">
        <v>580</v>
      </c>
      <c r="B18" s="1365" t="s">
        <v>131</v>
      </c>
      <c r="C18" s="1364" t="s">
        <v>130</v>
      </c>
      <c r="D18" s="1366">
        <f>I18/1000</f>
        <v>98.29</v>
      </c>
      <c r="E18" s="1367"/>
      <c r="I18" s="1368">
        <f>'[88]ЛСР 12-01-05'!J43</f>
        <v>98293.65</v>
      </c>
    </row>
    <row r="19" spans="1:9" ht="42" customHeight="1" x14ac:dyDescent="0.25">
      <c r="A19" s="1364" t="s">
        <v>5912</v>
      </c>
      <c r="B19" s="1365" t="s">
        <v>133</v>
      </c>
      <c r="C19" s="1364" t="s">
        <v>132</v>
      </c>
      <c r="D19" s="1366">
        <f>'[89]ЛСР 12-01-06'!G92/1000</f>
        <v>141.47</v>
      </c>
      <c r="E19" s="1367"/>
      <c r="I19" s="1368">
        <f>D19*1000</f>
        <v>141470</v>
      </c>
    </row>
    <row r="20" spans="1:9" ht="28.5" customHeight="1" x14ac:dyDescent="0.25">
      <c r="A20" s="1369"/>
      <c r="B20" s="1370" t="s">
        <v>5915</v>
      </c>
      <c r="C20" s="1371" t="s">
        <v>143</v>
      </c>
      <c r="D20" s="1363">
        <f>SUM(D14:D19)</f>
        <v>1643.8</v>
      </c>
      <c r="E20" s="1372"/>
      <c r="I20" s="1368">
        <f>SUM(I14:I19)</f>
        <v>1643800.06</v>
      </c>
    </row>
  </sheetData>
  <mergeCells count="17">
    <mergeCell ref="A1:B1"/>
    <mergeCell ref="C1:E1"/>
    <mergeCell ref="A2:E2"/>
    <mergeCell ref="A3:E3"/>
    <mergeCell ref="A5:B5"/>
    <mergeCell ref="C5:E5"/>
    <mergeCell ref="A6:B6"/>
    <mergeCell ref="C6:E6"/>
    <mergeCell ref="A7:B7"/>
    <mergeCell ref="C7:E7"/>
    <mergeCell ref="A8:B8"/>
    <mergeCell ref="C8:E8"/>
    <mergeCell ref="A9:E9"/>
    <mergeCell ref="A10:A11"/>
    <mergeCell ref="B10:B11"/>
    <mergeCell ref="C10:C11"/>
    <mergeCell ref="D10:E10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4"/>
  <dimension ref="A1:L27"/>
  <sheetViews>
    <sheetView zoomScale="80" zoomScaleNormal="80" workbookViewId="0">
      <selection sqref="A1:L1"/>
    </sheetView>
  </sheetViews>
  <sheetFormatPr defaultRowHeight="15" x14ac:dyDescent="0.25"/>
  <cols>
    <col min="1" max="1" width="9.140625" style="775"/>
    <col min="2" max="2" width="44.28515625" style="775" customWidth="1"/>
    <col min="3" max="3" width="12" style="775" customWidth="1"/>
    <col min="4" max="4" width="9.140625" style="775"/>
    <col min="5" max="5" width="22.140625" style="775" customWidth="1"/>
    <col min="6" max="6" width="12.5703125" style="775" customWidth="1"/>
    <col min="7" max="10" width="9.140625" style="775"/>
    <col min="11" max="11" width="17" style="775" customWidth="1"/>
    <col min="12" max="12" width="29.140625" style="775" customWidth="1"/>
    <col min="13" max="16384" width="9.140625" style="775"/>
  </cols>
  <sheetData>
    <row r="1" spans="1:12" x14ac:dyDescent="0.25">
      <c r="A1" s="2141" t="s">
        <v>1</v>
      </c>
      <c r="B1" s="2141"/>
      <c r="C1" s="2141"/>
      <c r="D1" s="2141"/>
      <c r="E1" s="2141"/>
      <c r="F1" s="2141"/>
      <c r="G1" s="2141"/>
      <c r="H1" s="2141"/>
      <c r="I1" s="2141"/>
      <c r="J1" s="2141"/>
      <c r="K1" s="2141"/>
      <c r="L1" s="2141"/>
    </row>
    <row r="2" spans="1:12" x14ac:dyDescent="0.25">
      <c r="A2" s="2141" t="s">
        <v>5937</v>
      </c>
      <c r="B2" s="2141"/>
      <c r="C2" s="2141"/>
      <c r="D2" s="2141"/>
      <c r="E2" s="2141"/>
      <c r="F2" s="2141"/>
      <c r="G2" s="2141"/>
      <c r="H2" s="2141"/>
      <c r="I2" s="2141"/>
      <c r="J2" s="2141"/>
      <c r="K2" s="2141"/>
      <c r="L2" s="2141"/>
    </row>
    <row r="3" spans="1:12" ht="62.25" customHeight="1" x14ac:dyDescent="0.25">
      <c r="A3" s="2142" t="s">
        <v>9463</v>
      </c>
      <c r="B3" s="2142"/>
      <c r="C3" s="2142"/>
      <c r="D3" s="2142"/>
      <c r="E3" s="2142"/>
      <c r="F3" s="2142"/>
      <c r="G3" s="2142"/>
      <c r="H3" s="2142"/>
      <c r="I3" s="2142"/>
      <c r="J3" s="2142"/>
      <c r="K3" s="2142"/>
      <c r="L3" s="2142"/>
    </row>
    <row r="4" spans="1:12" x14ac:dyDescent="0.25">
      <c r="A4" s="2137" t="s">
        <v>5938</v>
      </c>
      <c r="B4" s="2138"/>
      <c r="C4" s="2139" t="s">
        <v>5887</v>
      </c>
      <c r="D4" s="2140"/>
      <c r="E4" s="2140"/>
      <c r="F4" s="2140"/>
      <c r="G4" s="2140"/>
      <c r="H4" s="2140"/>
      <c r="I4" s="2140"/>
      <c r="J4" s="2140"/>
      <c r="K4" s="2140"/>
      <c r="L4" s="2140"/>
    </row>
    <row r="5" spans="1:12" x14ac:dyDescent="0.25">
      <c r="A5" s="2137" t="s">
        <v>5939</v>
      </c>
      <c r="B5" s="2138"/>
      <c r="C5" s="2139" t="s">
        <v>5889</v>
      </c>
      <c r="D5" s="2140"/>
      <c r="E5" s="2140"/>
      <c r="F5" s="2140"/>
      <c r="G5" s="2140"/>
      <c r="H5" s="2140"/>
      <c r="I5" s="2140"/>
      <c r="J5" s="2140"/>
      <c r="K5" s="2140"/>
      <c r="L5" s="2140"/>
    </row>
    <row r="6" spans="1:12" ht="15" customHeight="1" x14ac:dyDescent="0.25">
      <c r="A6" s="2137" t="s">
        <v>5940</v>
      </c>
      <c r="B6" s="2138"/>
      <c r="C6" s="2139" t="s">
        <v>5918</v>
      </c>
      <c r="D6" s="2140"/>
      <c r="E6" s="2140"/>
      <c r="F6" s="2140"/>
      <c r="G6" s="2140"/>
      <c r="H6" s="2140"/>
      <c r="I6" s="2140"/>
      <c r="J6" s="2140"/>
      <c r="K6" s="2140"/>
      <c r="L6" s="2140"/>
    </row>
    <row r="7" spans="1:12" x14ac:dyDescent="0.25">
      <c r="A7" s="823" t="s">
        <v>5941</v>
      </c>
      <c r="B7" s="824"/>
      <c r="C7" s="824"/>
      <c r="D7" s="825"/>
      <c r="E7" s="824"/>
      <c r="F7" s="824"/>
      <c r="G7" s="824"/>
      <c r="H7" s="825"/>
      <c r="I7" s="825"/>
      <c r="J7" s="825"/>
      <c r="K7" s="825"/>
      <c r="L7" s="826"/>
    </row>
    <row r="8" spans="1:12" x14ac:dyDescent="0.25">
      <c r="A8" s="2143" t="s">
        <v>5794</v>
      </c>
      <c r="B8" s="2143" t="s">
        <v>5851</v>
      </c>
      <c r="C8" s="2143" t="s">
        <v>177</v>
      </c>
      <c r="D8" s="2143" t="s">
        <v>7</v>
      </c>
      <c r="E8" s="2143" t="s">
        <v>566</v>
      </c>
      <c r="F8" s="2143" t="s">
        <v>5942</v>
      </c>
      <c r="G8" s="2143"/>
      <c r="H8" s="2143"/>
      <c r="I8" s="2143"/>
      <c r="J8" s="2143"/>
      <c r="K8" s="2143"/>
      <c r="L8" s="2144" t="s">
        <v>5943</v>
      </c>
    </row>
    <row r="9" spans="1:12" ht="27.95" customHeight="1" x14ac:dyDescent="0.25">
      <c r="A9" s="2143"/>
      <c r="B9" s="2143"/>
      <c r="C9" s="2143"/>
      <c r="D9" s="2143"/>
      <c r="E9" s="2143"/>
      <c r="F9" s="827" t="s">
        <v>5944</v>
      </c>
      <c r="G9" s="827" t="s">
        <v>5945</v>
      </c>
      <c r="H9" s="827" t="s">
        <v>5945</v>
      </c>
      <c r="I9" s="827" t="s">
        <v>5945</v>
      </c>
      <c r="J9" s="827" t="s">
        <v>5945</v>
      </c>
      <c r="K9" s="827" t="s">
        <v>5946</v>
      </c>
      <c r="L9" s="2145"/>
    </row>
    <row r="10" spans="1:12" x14ac:dyDescent="0.25">
      <c r="A10" s="2154" t="s">
        <v>5947</v>
      </c>
      <c r="B10" s="2155"/>
      <c r="C10" s="2155"/>
      <c r="D10" s="2155"/>
      <c r="E10" s="2155"/>
      <c r="F10" s="2155"/>
      <c r="G10" s="2155"/>
      <c r="H10" s="2155"/>
      <c r="I10" s="2155"/>
      <c r="J10" s="2155"/>
      <c r="K10" s="2155"/>
      <c r="L10" s="2156"/>
    </row>
    <row r="11" spans="1:12" ht="81" customHeight="1" x14ac:dyDescent="0.25">
      <c r="A11" s="828">
        <v>1</v>
      </c>
      <c r="B11" s="829" t="s">
        <v>5948</v>
      </c>
      <c r="C11" s="829" t="s">
        <v>283</v>
      </c>
      <c r="D11" s="830">
        <v>12.7</v>
      </c>
      <c r="E11" s="827" t="s">
        <v>5949</v>
      </c>
      <c r="F11" s="831">
        <v>2432</v>
      </c>
      <c r="G11" s="829">
        <v>1.2</v>
      </c>
      <c r="H11" s="829">
        <v>1.55</v>
      </c>
      <c r="I11" s="829"/>
      <c r="J11" s="829"/>
      <c r="K11" s="832">
        <f>D11</f>
        <v>12.7</v>
      </c>
      <c r="L11" s="833">
        <f>F11*K11*G11*H11</f>
        <v>57448.7</v>
      </c>
    </row>
    <row r="12" spans="1:12" ht="21" customHeight="1" x14ac:dyDescent="0.25">
      <c r="A12" s="834"/>
      <c r="B12" s="2157" t="s">
        <v>5950</v>
      </c>
      <c r="C12" s="2158"/>
      <c r="D12" s="2158"/>
      <c r="E12" s="2158"/>
      <c r="F12" s="2158"/>
      <c r="G12" s="2158"/>
      <c r="H12" s="2158"/>
      <c r="I12" s="2158"/>
      <c r="J12" s="2158"/>
      <c r="K12" s="2159"/>
      <c r="L12" s="835">
        <f>SUM(L11:L11)</f>
        <v>57448.7</v>
      </c>
    </row>
    <row r="13" spans="1:12" ht="27" customHeight="1" x14ac:dyDescent="0.25">
      <c r="A13" s="834">
        <v>2</v>
      </c>
      <c r="B13" s="836" t="s">
        <v>5951</v>
      </c>
      <c r="C13" s="829" t="s">
        <v>5952</v>
      </c>
      <c r="D13" s="829"/>
      <c r="E13" s="837" t="s">
        <v>5953</v>
      </c>
      <c r="F13" s="838">
        <f>L12</f>
        <v>57448.7</v>
      </c>
      <c r="G13" s="839"/>
      <c r="H13" s="840"/>
      <c r="I13" s="829"/>
      <c r="J13" s="829">
        <v>1</v>
      </c>
      <c r="K13" s="841">
        <v>0.4</v>
      </c>
      <c r="L13" s="833">
        <f>F13*J13*K13</f>
        <v>22979.48</v>
      </c>
    </row>
    <row r="14" spans="1:12" ht="21" customHeight="1" x14ac:dyDescent="0.25">
      <c r="A14" s="834"/>
      <c r="B14" s="2160" t="s">
        <v>5954</v>
      </c>
      <c r="C14" s="2161"/>
      <c r="D14" s="2161"/>
      <c r="E14" s="2161"/>
      <c r="F14" s="2161"/>
      <c r="G14" s="2161"/>
      <c r="H14" s="2161"/>
      <c r="I14" s="2161"/>
      <c r="J14" s="2161"/>
      <c r="K14" s="2162"/>
      <c r="L14" s="835">
        <f>SUM(L12:L12)+L13</f>
        <v>80428.179999999993</v>
      </c>
    </row>
    <row r="15" spans="1:12" x14ac:dyDescent="0.25">
      <c r="A15" s="2154" t="s">
        <v>5955</v>
      </c>
      <c r="B15" s="2155"/>
      <c r="C15" s="2155"/>
      <c r="D15" s="2155"/>
      <c r="E15" s="2155"/>
      <c r="F15" s="2155"/>
      <c r="G15" s="2155"/>
      <c r="H15" s="2155"/>
      <c r="I15" s="2155"/>
      <c r="J15" s="2155"/>
      <c r="K15" s="2155"/>
      <c r="L15" s="2156"/>
    </row>
    <row r="16" spans="1:12" ht="75" customHeight="1" x14ac:dyDescent="0.25">
      <c r="A16" s="828">
        <v>3</v>
      </c>
      <c r="B16" s="829" t="s">
        <v>5956</v>
      </c>
      <c r="C16" s="829" t="s">
        <v>283</v>
      </c>
      <c r="D16" s="830">
        <f>D11</f>
        <v>12.7</v>
      </c>
      <c r="E16" s="827" t="s">
        <v>5957</v>
      </c>
      <c r="F16" s="831">
        <v>589</v>
      </c>
      <c r="G16" s="829">
        <v>1.2</v>
      </c>
      <c r="H16" s="829">
        <v>1.55</v>
      </c>
      <c r="I16" s="829"/>
      <c r="J16" s="829"/>
      <c r="K16" s="832">
        <f>D16</f>
        <v>12.7</v>
      </c>
      <c r="L16" s="833">
        <f>F16*G16*K16*H16</f>
        <v>13913.36</v>
      </c>
    </row>
    <row r="17" spans="1:12" ht="21" customHeight="1" x14ac:dyDescent="0.25">
      <c r="A17" s="834"/>
      <c r="B17" s="842" t="s">
        <v>5958</v>
      </c>
      <c r="C17" s="843"/>
      <c r="D17" s="827"/>
      <c r="E17" s="844"/>
      <c r="F17" s="827"/>
      <c r="G17" s="827"/>
      <c r="H17" s="827"/>
      <c r="I17" s="827"/>
      <c r="J17" s="827"/>
      <c r="K17" s="827"/>
      <c r="L17" s="835">
        <f>SUM(L16:L16)</f>
        <v>13913.36</v>
      </c>
    </row>
    <row r="18" spans="1:12" ht="15.75" customHeight="1" x14ac:dyDescent="0.25">
      <c r="A18" s="834"/>
      <c r="B18" s="2157" t="s">
        <v>5959</v>
      </c>
      <c r="C18" s="2158"/>
      <c r="D18" s="2158"/>
      <c r="E18" s="2158"/>
      <c r="F18" s="2158"/>
      <c r="G18" s="2158"/>
      <c r="H18" s="2158"/>
      <c r="I18" s="2158"/>
      <c r="J18" s="2158"/>
      <c r="K18" s="2159"/>
      <c r="L18" s="835">
        <f>L17</f>
        <v>13913.36</v>
      </c>
    </row>
    <row r="19" spans="1:12" x14ac:dyDescent="0.25">
      <c r="A19" s="2154" t="s">
        <v>5960</v>
      </c>
      <c r="B19" s="2155"/>
      <c r="C19" s="2155"/>
      <c r="D19" s="2155"/>
      <c r="E19" s="2155"/>
      <c r="F19" s="2155"/>
      <c r="G19" s="2155"/>
      <c r="H19" s="2155"/>
      <c r="I19" s="2155"/>
      <c r="J19" s="2155"/>
      <c r="K19" s="2155"/>
      <c r="L19" s="2156"/>
    </row>
    <row r="20" spans="1:12" ht="31.7" customHeight="1" x14ac:dyDescent="0.25">
      <c r="A20" s="834">
        <v>4</v>
      </c>
      <c r="B20" s="827" t="s">
        <v>5961</v>
      </c>
      <c r="C20" s="827" t="s">
        <v>5962</v>
      </c>
      <c r="D20" s="845">
        <v>8.7499999999999994E-2</v>
      </c>
      <c r="E20" s="827" t="s">
        <v>5963</v>
      </c>
      <c r="F20" s="831">
        <f>L14</f>
        <v>80428.179999999993</v>
      </c>
      <c r="G20" s="846"/>
      <c r="H20" s="827"/>
      <c r="I20" s="827"/>
      <c r="J20" s="827"/>
      <c r="K20" s="847">
        <f>D20</f>
        <v>8.7999999999999995E-2</v>
      </c>
      <c r="L20" s="848">
        <f>F20*K20</f>
        <v>7077.68</v>
      </c>
    </row>
    <row r="21" spans="1:12" ht="33.75" customHeight="1" x14ac:dyDescent="0.25">
      <c r="A21" s="834">
        <v>5</v>
      </c>
      <c r="B21" s="827" t="s">
        <v>5964</v>
      </c>
      <c r="C21" s="827" t="s">
        <v>5962</v>
      </c>
      <c r="D21" s="847">
        <v>0.39200000000000002</v>
      </c>
      <c r="E21" s="827" t="s">
        <v>5965</v>
      </c>
      <c r="F21" s="849">
        <f>F20+L20</f>
        <v>87505.86</v>
      </c>
      <c r="G21" s="850"/>
      <c r="H21" s="851"/>
      <c r="I21" s="851"/>
      <c r="J21" s="851"/>
      <c r="K21" s="847">
        <f>D21</f>
        <v>0.39200000000000002</v>
      </c>
      <c r="L21" s="848">
        <f>F21*K21</f>
        <v>34302.300000000003</v>
      </c>
    </row>
    <row r="22" spans="1:12" ht="21" customHeight="1" x14ac:dyDescent="0.25">
      <c r="A22" s="834">
        <v>6</v>
      </c>
      <c r="B22" s="827" t="s">
        <v>5966</v>
      </c>
      <c r="C22" s="827" t="s">
        <v>5962</v>
      </c>
      <c r="D22" s="847">
        <v>0.06</v>
      </c>
      <c r="E22" s="852" t="s">
        <v>5967</v>
      </c>
      <c r="F22" s="831">
        <f>F21</f>
        <v>87505.86</v>
      </c>
      <c r="G22" s="853"/>
      <c r="H22" s="827"/>
      <c r="I22" s="827"/>
      <c r="J22" s="827"/>
      <c r="K22" s="847">
        <f>D22</f>
        <v>0.06</v>
      </c>
      <c r="L22" s="848">
        <f>F22*K22</f>
        <v>5250.35</v>
      </c>
    </row>
    <row r="23" spans="1:12" ht="16.5" customHeight="1" x14ac:dyDescent="0.25">
      <c r="A23" s="851"/>
      <c r="B23" s="842" t="s">
        <v>5968</v>
      </c>
      <c r="C23" s="827"/>
      <c r="D23" s="854"/>
      <c r="E23" s="855"/>
      <c r="F23" s="856"/>
      <c r="G23" s="856"/>
      <c r="H23" s="856"/>
      <c r="I23" s="856"/>
      <c r="J23" s="856"/>
      <c r="K23" s="854"/>
      <c r="L23" s="857">
        <f>SUM(L20:L22)</f>
        <v>46630.33</v>
      </c>
    </row>
    <row r="24" spans="1:12" ht="16.5" customHeight="1" x14ac:dyDescent="0.25">
      <c r="A24" s="834"/>
      <c r="B24" s="842" t="s">
        <v>5969</v>
      </c>
      <c r="C24" s="827"/>
      <c r="D24" s="827"/>
      <c r="E24" s="844"/>
      <c r="F24" s="827"/>
      <c r="G24" s="827"/>
      <c r="H24" s="827"/>
      <c r="I24" s="827"/>
      <c r="J24" s="827"/>
      <c r="K24" s="857"/>
      <c r="L24" s="857">
        <f>L23+L18+L14</f>
        <v>140971.87</v>
      </c>
    </row>
    <row r="25" spans="1:12" x14ac:dyDescent="0.25">
      <c r="A25" s="858"/>
      <c r="B25" s="2146" t="s">
        <v>9464</v>
      </c>
      <c r="C25" s="2147"/>
      <c r="D25" s="2147"/>
      <c r="E25" s="2147"/>
      <c r="F25" s="2147"/>
      <c r="G25" s="2147"/>
      <c r="H25" s="2147"/>
      <c r="I25" s="2147"/>
      <c r="J25" s="2148"/>
      <c r="K25" s="859"/>
      <c r="L25" s="860">
        <f>SUM(L24:L24)</f>
        <v>140971.87</v>
      </c>
    </row>
    <row r="26" spans="1:12" ht="70.7" customHeight="1" x14ac:dyDescent="0.25">
      <c r="A26" s="861"/>
      <c r="B26" s="862" t="s">
        <v>5971</v>
      </c>
      <c r="C26" s="2149" t="s">
        <v>5972</v>
      </c>
      <c r="D26" s="2150"/>
      <c r="E26" s="2150"/>
      <c r="F26" s="2150"/>
      <c r="G26" s="2150"/>
      <c r="H26" s="2150"/>
      <c r="I26" s="2150"/>
      <c r="J26" s="2151"/>
      <c r="K26" s="861">
        <v>1.266</v>
      </c>
      <c r="L26" s="863">
        <f>L25/K26</f>
        <v>111352.19</v>
      </c>
    </row>
    <row r="27" spans="1:12" ht="45.2" customHeight="1" x14ac:dyDescent="0.25">
      <c r="A27" s="864"/>
      <c r="B27" s="865" t="s">
        <v>5973</v>
      </c>
      <c r="C27" s="2152" t="s">
        <v>5974</v>
      </c>
      <c r="D27" s="2152"/>
      <c r="E27" s="2152"/>
      <c r="F27" s="2152"/>
      <c r="G27" s="2152"/>
      <c r="H27" s="2152"/>
      <c r="I27" s="2152"/>
      <c r="J27" s="2153"/>
      <c r="K27" s="866">
        <v>4.66</v>
      </c>
      <c r="L27" s="867">
        <f>L25*K27</f>
        <v>656928.91</v>
      </c>
    </row>
  </sheetData>
  <mergeCells count="25">
    <mergeCell ref="B25:J25"/>
    <mergeCell ref="C26:J26"/>
    <mergeCell ref="C27:J27"/>
    <mergeCell ref="A10:L10"/>
    <mergeCell ref="B12:K12"/>
    <mergeCell ref="B14:K14"/>
    <mergeCell ref="A15:L15"/>
    <mergeCell ref="B18:K18"/>
    <mergeCell ref="A19:L19"/>
    <mergeCell ref="A6:B6"/>
    <mergeCell ref="C6:L6"/>
    <mergeCell ref="A8:A9"/>
    <mergeCell ref="B8:B9"/>
    <mergeCell ref="C8:C9"/>
    <mergeCell ref="D8:D9"/>
    <mergeCell ref="E8:E9"/>
    <mergeCell ref="F8:K8"/>
    <mergeCell ref="L8:L9"/>
    <mergeCell ref="A5:B5"/>
    <mergeCell ref="C5:L5"/>
    <mergeCell ref="A1:L1"/>
    <mergeCell ref="A2:L2"/>
    <mergeCell ref="A3:L3"/>
    <mergeCell ref="A4:B4"/>
    <mergeCell ref="C4:L4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5">
    <tabColor theme="0"/>
  </sheetPr>
  <dimension ref="A1:M82"/>
  <sheetViews>
    <sheetView topLeftCell="A57" zoomScale="112" zoomScaleNormal="112" workbookViewId="0">
      <selection activeCell="I71" sqref="I71"/>
    </sheetView>
  </sheetViews>
  <sheetFormatPr defaultColWidth="9.140625" defaultRowHeight="12.75" x14ac:dyDescent="0.2"/>
  <cols>
    <col min="1" max="1" width="4.5703125" style="297" customWidth="1"/>
    <col min="2" max="2" width="37.28515625" style="271" customWidth="1"/>
    <col min="3" max="3" width="10.42578125" style="271" customWidth="1"/>
    <col min="4" max="4" width="9.85546875" style="297" customWidth="1"/>
    <col min="5" max="5" width="24.85546875" style="271" customWidth="1"/>
    <col min="6" max="6" width="13.140625" style="271" customWidth="1"/>
    <col min="7" max="8" width="8.7109375" style="271" customWidth="1"/>
    <col min="9" max="9" width="15.7109375" style="271" customWidth="1"/>
    <col min="10" max="10" width="13.85546875" style="275" customWidth="1"/>
    <col min="11" max="11" width="11.140625" style="271" customWidth="1"/>
    <col min="12" max="253" width="9.140625" style="271"/>
    <col min="254" max="254" width="4.5703125" style="271" customWidth="1"/>
    <col min="255" max="255" width="37.28515625" style="271" customWidth="1"/>
    <col min="256" max="256" width="10.42578125" style="271" customWidth="1"/>
    <col min="257" max="257" width="13.7109375" style="271" customWidth="1"/>
    <col min="258" max="258" width="24.5703125" style="271" customWidth="1"/>
    <col min="259" max="259" width="10" style="271" customWidth="1"/>
    <col min="260" max="264" width="8.7109375" style="271" customWidth="1"/>
    <col min="265" max="265" width="15.7109375" style="271" customWidth="1"/>
    <col min="266" max="266" width="33.7109375" style="271" customWidth="1"/>
    <col min="267" max="267" width="11.140625" style="271" customWidth="1"/>
    <col min="268" max="509" width="9.140625" style="271"/>
    <col min="510" max="510" width="4.5703125" style="271" customWidth="1"/>
    <col min="511" max="511" width="37.28515625" style="271" customWidth="1"/>
    <col min="512" max="512" width="10.42578125" style="271" customWidth="1"/>
    <col min="513" max="513" width="13.7109375" style="271" customWidth="1"/>
    <col min="514" max="514" width="24.5703125" style="271" customWidth="1"/>
    <col min="515" max="515" width="10" style="271" customWidth="1"/>
    <col min="516" max="520" width="8.7109375" style="271" customWidth="1"/>
    <col min="521" max="521" width="15.7109375" style="271" customWidth="1"/>
    <col min="522" max="522" width="33.7109375" style="271" customWidth="1"/>
    <col min="523" max="523" width="11.140625" style="271" customWidth="1"/>
    <col min="524" max="765" width="9.140625" style="271"/>
    <col min="766" max="766" width="4.5703125" style="271" customWidth="1"/>
    <col min="767" max="767" width="37.28515625" style="271" customWidth="1"/>
    <col min="768" max="768" width="10.42578125" style="271" customWidth="1"/>
    <col min="769" max="769" width="13.7109375" style="271" customWidth="1"/>
    <col min="770" max="770" width="24.5703125" style="271" customWidth="1"/>
    <col min="771" max="771" width="10" style="271" customWidth="1"/>
    <col min="772" max="776" width="8.7109375" style="271" customWidth="1"/>
    <col min="777" max="777" width="15.7109375" style="271" customWidth="1"/>
    <col min="778" max="778" width="33.7109375" style="271" customWidth="1"/>
    <col min="779" max="779" width="11.140625" style="271" customWidth="1"/>
    <col min="780" max="1021" width="9.140625" style="271"/>
    <col min="1022" max="1022" width="4.5703125" style="271" customWidth="1"/>
    <col min="1023" max="1023" width="37.28515625" style="271" customWidth="1"/>
    <col min="1024" max="1024" width="10.42578125" style="271" customWidth="1"/>
    <col min="1025" max="1025" width="13.7109375" style="271" customWidth="1"/>
    <col min="1026" max="1026" width="24.5703125" style="271" customWidth="1"/>
    <col min="1027" max="1027" width="10" style="271" customWidth="1"/>
    <col min="1028" max="1032" width="8.7109375" style="271" customWidth="1"/>
    <col min="1033" max="1033" width="15.7109375" style="271" customWidth="1"/>
    <col min="1034" max="1034" width="33.7109375" style="271" customWidth="1"/>
    <col min="1035" max="1035" width="11.140625" style="271" customWidth="1"/>
    <col min="1036" max="1277" width="9.140625" style="271"/>
    <col min="1278" max="1278" width="4.5703125" style="271" customWidth="1"/>
    <col min="1279" max="1279" width="37.28515625" style="271" customWidth="1"/>
    <col min="1280" max="1280" width="10.42578125" style="271" customWidth="1"/>
    <col min="1281" max="1281" width="13.7109375" style="271" customWidth="1"/>
    <col min="1282" max="1282" width="24.5703125" style="271" customWidth="1"/>
    <col min="1283" max="1283" width="10" style="271" customWidth="1"/>
    <col min="1284" max="1288" width="8.7109375" style="271" customWidth="1"/>
    <col min="1289" max="1289" width="15.7109375" style="271" customWidth="1"/>
    <col min="1290" max="1290" width="33.7109375" style="271" customWidth="1"/>
    <col min="1291" max="1291" width="11.140625" style="271" customWidth="1"/>
    <col min="1292" max="1533" width="9.140625" style="271"/>
    <col min="1534" max="1534" width="4.5703125" style="271" customWidth="1"/>
    <col min="1535" max="1535" width="37.28515625" style="271" customWidth="1"/>
    <col min="1536" max="1536" width="10.42578125" style="271" customWidth="1"/>
    <col min="1537" max="1537" width="13.7109375" style="271" customWidth="1"/>
    <col min="1538" max="1538" width="24.5703125" style="271" customWidth="1"/>
    <col min="1539" max="1539" width="10" style="271" customWidth="1"/>
    <col min="1540" max="1544" width="8.7109375" style="271" customWidth="1"/>
    <col min="1545" max="1545" width="15.7109375" style="271" customWidth="1"/>
    <col min="1546" max="1546" width="33.7109375" style="271" customWidth="1"/>
    <col min="1547" max="1547" width="11.140625" style="271" customWidth="1"/>
    <col min="1548" max="1789" width="9.140625" style="271"/>
    <col min="1790" max="1790" width="4.5703125" style="271" customWidth="1"/>
    <col min="1791" max="1791" width="37.28515625" style="271" customWidth="1"/>
    <col min="1792" max="1792" width="10.42578125" style="271" customWidth="1"/>
    <col min="1793" max="1793" width="13.7109375" style="271" customWidth="1"/>
    <col min="1794" max="1794" width="24.5703125" style="271" customWidth="1"/>
    <col min="1795" max="1795" width="10" style="271" customWidth="1"/>
    <col min="1796" max="1800" width="8.7109375" style="271" customWidth="1"/>
    <col min="1801" max="1801" width="15.7109375" style="271" customWidth="1"/>
    <col min="1802" max="1802" width="33.7109375" style="271" customWidth="1"/>
    <col min="1803" max="1803" width="11.140625" style="271" customWidth="1"/>
    <col min="1804" max="2045" width="9.140625" style="271"/>
    <col min="2046" max="2046" width="4.5703125" style="271" customWidth="1"/>
    <col min="2047" max="2047" width="37.28515625" style="271" customWidth="1"/>
    <col min="2048" max="2048" width="10.42578125" style="271" customWidth="1"/>
    <col min="2049" max="2049" width="13.7109375" style="271" customWidth="1"/>
    <col min="2050" max="2050" width="24.5703125" style="271" customWidth="1"/>
    <col min="2051" max="2051" width="10" style="271" customWidth="1"/>
    <col min="2052" max="2056" width="8.7109375" style="271" customWidth="1"/>
    <col min="2057" max="2057" width="15.7109375" style="271" customWidth="1"/>
    <col min="2058" max="2058" width="33.7109375" style="271" customWidth="1"/>
    <col min="2059" max="2059" width="11.140625" style="271" customWidth="1"/>
    <col min="2060" max="2301" width="9.140625" style="271"/>
    <col min="2302" max="2302" width="4.5703125" style="271" customWidth="1"/>
    <col min="2303" max="2303" width="37.28515625" style="271" customWidth="1"/>
    <col min="2304" max="2304" width="10.42578125" style="271" customWidth="1"/>
    <col min="2305" max="2305" width="13.7109375" style="271" customWidth="1"/>
    <col min="2306" max="2306" width="24.5703125" style="271" customWidth="1"/>
    <col min="2307" max="2307" width="10" style="271" customWidth="1"/>
    <col min="2308" max="2312" width="8.7109375" style="271" customWidth="1"/>
    <col min="2313" max="2313" width="15.7109375" style="271" customWidth="1"/>
    <col min="2314" max="2314" width="33.7109375" style="271" customWidth="1"/>
    <col min="2315" max="2315" width="11.140625" style="271" customWidth="1"/>
    <col min="2316" max="2557" width="9.140625" style="271"/>
    <col min="2558" max="2558" width="4.5703125" style="271" customWidth="1"/>
    <col min="2559" max="2559" width="37.28515625" style="271" customWidth="1"/>
    <col min="2560" max="2560" width="10.42578125" style="271" customWidth="1"/>
    <col min="2561" max="2561" width="13.7109375" style="271" customWidth="1"/>
    <col min="2562" max="2562" width="24.5703125" style="271" customWidth="1"/>
    <col min="2563" max="2563" width="10" style="271" customWidth="1"/>
    <col min="2564" max="2568" width="8.7109375" style="271" customWidth="1"/>
    <col min="2569" max="2569" width="15.7109375" style="271" customWidth="1"/>
    <col min="2570" max="2570" width="33.7109375" style="271" customWidth="1"/>
    <col min="2571" max="2571" width="11.140625" style="271" customWidth="1"/>
    <col min="2572" max="2813" width="9.140625" style="271"/>
    <col min="2814" max="2814" width="4.5703125" style="271" customWidth="1"/>
    <col min="2815" max="2815" width="37.28515625" style="271" customWidth="1"/>
    <col min="2816" max="2816" width="10.42578125" style="271" customWidth="1"/>
    <col min="2817" max="2817" width="13.7109375" style="271" customWidth="1"/>
    <col min="2818" max="2818" width="24.5703125" style="271" customWidth="1"/>
    <col min="2819" max="2819" width="10" style="271" customWidth="1"/>
    <col min="2820" max="2824" width="8.7109375" style="271" customWidth="1"/>
    <col min="2825" max="2825" width="15.7109375" style="271" customWidth="1"/>
    <col min="2826" max="2826" width="33.7109375" style="271" customWidth="1"/>
    <col min="2827" max="2827" width="11.140625" style="271" customWidth="1"/>
    <col min="2828" max="3069" width="9.140625" style="271"/>
    <col min="3070" max="3070" width="4.5703125" style="271" customWidth="1"/>
    <col min="3071" max="3071" width="37.28515625" style="271" customWidth="1"/>
    <col min="3072" max="3072" width="10.42578125" style="271" customWidth="1"/>
    <col min="3073" max="3073" width="13.7109375" style="271" customWidth="1"/>
    <col min="3074" max="3074" width="24.5703125" style="271" customWidth="1"/>
    <col min="3075" max="3075" width="10" style="271" customWidth="1"/>
    <col min="3076" max="3080" width="8.7109375" style="271" customWidth="1"/>
    <col min="3081" max="3081" width="15.7109375" style="271" customWidth="1"/>
    <col min="3082" max="3082" width="33.7109375" style="271" customWidth="1"/>
    <col min="3083" max="3083" width="11.140625" style="271" customWidth="1"/>
    <col min="3084" max="3325" width="9.140625" style="271"/>
    <col min="3326" max="3326" width="4.5703125" style="271" customWidth="1"/>
    <col min="3327" max="3327" width="37.28515625" style="271" customWidth="1"/>
    <col min="3328" max="3328" width="10.42578125" style="271" customWidth="1"/>
    <col min="3329" max="3329" width="13.7109375" style="271" customWidth="1"/>
    <col min="3330" max="3330" width="24.5703125" style="271" customWidth="1"/>
    <col min="3331" max="3331" width="10" style="271" customWidth="1"/>
    <col min="3332" max="3336" width="8.7109375" style="271" customWidth="1"/>
    <col min="3337" max="3337" width="15.7109375" style="271" customWidth="1"/>
    <col min="3338" max="3338" width="33.7109375" style="271" customWidth="1"/>
    <col min="3339" max="3339" width="11.140625" style="271" customWidth="1"/>
    <col min="3340" max="3581" width="9.140625" style="271"/>
    <col min="3582" max="3582" width="4.5703125" style="271" customWidth="1"/>
    <col min="3583" max="3583" width="37.28515625" style="271" customWidth="1"/>
    <col min="3584" max="3584" width="10.42578125" style="271" customWidth="1"/>
    <col min="3585" max="3585" width="13.7109375" style="271" customWidth="1"/>
    <col min="3586" max="3586" width="24.5703125" style="271" customWidth="1"/>
    <col min="3587" max="3587" width="10" style="271" customWidth="1"/>
    <col min="3588" max="3592" width="8.7109375" style="271" customWidth="1"/>
    <col min="3593" max="3593" width="15.7109375" style="271" customWidth="1"/>
    <col min="3594" max="3594" width="33.7109375" style="271" customWidth="1"/>
    <col min="3595" max="3595" width="11.140625" style="271" customWidth="1"/>
    <col min="3596" max="3837" width="9.140625" style="271"/>
    <col min="3838" max="3838" width="4.5703125" style="271" customWidth="1"/>
    <col min="3839" max="3839" width="37.28515625" style="271" customWidth="1"/>
    <col min="3840" max="3840" width="10.42578125" style="271" customWidth="1"/>
    <col min="3841" max="3841" width="13.7109375" style="271" customWidth="1"/>
    <col min="3842" max="3842" width="24.5703125" style="271" customWidth="1"/>
    <col min="3843" max="3843" width="10" style="271" customWidth="1"/>
    <col min="3844" max="3848" width="8.7109375" style="271" customWidth="1"/>
    <col min="3849" max="3849" width="15.7109375" style="271" customWidth="1"/>
    <col min="3850" max="3850" width="33.7109375" style="271" customWidth="1"/>
    <col min="3851" max="3851" width="11.140625" style="271" customWidth="1"/>
    <col min="3852" max="4093" width="9.140625" style="271"/>
    <col min="4094" max="4094" width="4.5703125" style="271" customWidth="1"/>
    <col min="4095" max="4095" width="37.28515625" style="271" customWidth="1"/>
    <col min="4096" max="4096" width="10.42578125" style="271" customWidth="1"/>
    <col min="4097" max="4097" width="13.7109375" style="271" customWidth="1"/>
    <col min="4098" max="4098" width="24.5703125" style="271" customWidth="1"/>
    <col min="4099" max="4099" width="10" style="271" customWidth="1"/>
    <col min="4100" max="4104" width="8.7109375" style="271" customWidth="1"/>
    <col min="4105" max="4105" width="15.7109375" style="271" customWidth="1"/>
    <col min="4106" max="4106" width="33.7109375" style="271" customWidth="1"/>
    <col min="4107" max="4107" width="11.140625" style="271" customWidth="1"/>
    <col min="4108" max="4349" width="9.140625" style="271"/>
    <col min="4350" max="4350" width="4.5703125" style="271" customWidth="1"/>
    <col min="4351" max="4351" width="37.28515625" style="271" customWidth="1"/>
    <col min="4352" max="4352" width="10.42578125" style="271" customWidth="1"/>
    <col min="4353" max="4353" width="13.7109375" style="271" customWidth="1"/>
    <col min="4354" max="4354" width="24.5703125" style="271" customWidth="1"/>
    <col min="4355" max="4355" width="10" style="271" customWidth="1"/>
    <col min="4356" max="4360" width="8.7109375" style="271" customWidth="1"/>
    <col min="4361" max="4361" width="15.7109375" style="271" customWidth="1"/>
    <col min="4362" max="4362" width="33.7109375" style="271" customWidth="1"/>
    <col min="4363" max="4363" width="11.140625" style="271" customWidth="1"/>
    <col min="4364" max="4605" width="9.140625" style="271"/>
    <col min="4606" max="4606" width="4.5703125" style="271" customWidth="1"/>
    <col min="4607" max="4607" width="37.28515625" style="271" customWidth="1"/>
    <col min="4608" max="4608" width="10.42578125" style="271" customWidth="1"/>
    <col min="4609" max="4609" width="13.7109375" style="271" customWidth="1"/>
    <col min="4610" max="4610" width="24.5703125" style="271" customWidth="1"/>
    <col min="4611" max="4611" width="10" style="271" customWidth="1"/>
    <col min="4612" max="4616" width="8.7109375" style="271" customWidth="1"/>
    <col min="4617" max="4617" width="15.7109375" style="271" customWidth="1"/>
    <col min="4618" max="4618" width="33.7109375" style="271" customWidth="1"/>
    <col min="4619" max="4619" width="11.140625" style="271" customWidth="1"/>
    <col min="4620" max="4861" width="9.140625" style="271"/>
    <col min="4862" max="4862" width="4.5703125" style="271" customWidth="1"/>
    <col min="4863" max="4863" width="37.28515625" style="271" customWidth="1"/>
    <col min="4864" max="4864" width="10.42578125" style="271" customWidth="1"/>
    <col min="4865" max="4865" width="13.7109375" style="271" customWidth="1"/>
    <col min="4866" max="4866" width="24.5703125" style="271" customWidth="1"/>
    <col min="4867" max="4867" width="10" style="271" customWidth="1"/>
    <col min="4868" max="4872" width="8.7109375" style="271" customWidth="1"/>
    <col min="4873" max="4873" width="15.7109375" style="271" customWidth="1"/>
    <col min="4874" max="4874" width="33.7109375" style="271" customWidth="1"/>
    <col min="4875" max="4875" width="11.140625" style="271" customWidth="1"/>
    <col min="4876" max="5117" width="9.140625" style="271"/>
    <col min="5118" max="5118" width="4.5703125" style="271" customWidth="1"/>
    <col min="5119" max="5119" width="37.28515625" style="271" customWidth="1"/>
    <col min="5120" max="5120" width="10.42578125" style="271" customWidth="1"/>
    <col min="5121" max="5121" width="13.7109375" style="271" customWidth="1"/>
    <col min="5122" max="5122" width="24.5703125" style="271" customWidth="1"/>
    <col min="5123" max="5123" width="10" style="271" customWidth="1"/>
    <col min="5124" max="5128" width="8.7109375" style="271" customWidth="1"/>
    <col min="5129" max="5129" width="15.7109375" style="271" customWidth="1"/>
    <col min="5130" max="5130" width="33.7109375" style="271" customWidth="1"/>
    <col min="5131" max="5131" width="11.140625" style="271" customWidth="1"/>
    <col min="5132" max="5373" width="9.140625" style="271"/>
    <col min="5374" max="5374" width="4.5703125" style="271" customWidth="1"/>
    <col min="5375" max="5375" width="37.28515625" style="271" customWidth="1"/>
    <col min="5376" max="5376" width="10.42578125" style="271" customWidth="1"/>
    <col min="5377" max="5377" width="13.7109375" style="271" customWidth="1"/>
    <col min="5378" max="5378" width="24.5703125" style="271" customWidth="1"/>
    <col min="5379" max="5379" width="10" style="271" customWidth="1"/>
    <col min="5380" max="5384" width="8.7109375" style="271" customWidth="1"/>
    <col min="5385" max="5385" width="15.7109375" style="271" customWidth="1"/>
    <col min="5386" max="5386" width="33.7109375" style="271" customWidth="1"/>
    <col min="5387" max="5387" width="11.140625" style="271" customWidth="1"/>
    <col min="5388" max="5629" width="9.140625" style="271"/>
    <col min="5630" max="5630" width="4.5703125" style="271" customWidth="1"/>
    <col min="5631" max="5631" width="37.28515625" style="271" customWidth="1"/>
    <col min="5632" max="5632" width="10.42578125" style="271" customWidth="1"/>
    <col min="5633" max="5633" width="13.7109375" style="271" customWidth="1"/>
    <col min="5634" max="5634" width="24.5703125" style="271" customWidth="1"/>
    <col min="5635" max="5635" width="10" style="271" customWidth="1"/>
    <col min="5636" max="5640" width="8.7109375" style="271" customWidth="1"/>
    <col min="5641" max="5641" width="15.7109375" style="271" customWidth="1"/>
    <col min="5642" max="5642" width="33.7109375" style="271" customWidth="1"/>
    <col min="5643" max="5643" width="11.140625" style="271" customWidth="1"/>
    <col min="5644" max="5885" width="9.140625" style="271"/>
    <col min="5886" max="5886" width="4.5703125" style="271" customWidth="1"/>
    <col min="5887" max="5887" width="37.28515625" style="271" customWidth="1"/>
    <col min="5888" max="5888" width="10.42578125" style="271" customWidth="1"/>
    <col min="5889" max="5889" width="13.7109375" style="271" customWidth="1"/>
    <col min="5890" max="5890" width="24.5703125" style="271" customWidth="1"/>
    <col min="5891" max="5891" width="10" style="271" customWidth="1"/>
    <col min="5892" max="5896" width="8.7109375" style="271" customWidth="1"/>
    <col min="5897" max="5897" width="15.7109375" style="271" customWidth="1"/>
    <col min="5898" max="5898" width="33.7109375" style="271" customWidth="1"/>
    <col min="5899" max="5899" width="11.140625" style="271" customWidth="1"/>
    <col min="5900" max="6141" width="9.140625" style="271"/>
    <col min="6142" max="6142" width="4.5703125" style="271" customWidth="1"/>
    <col min="6143" max="6143" width="37.28515625" style="271" customWidth="1"/>
    <col min="6144" max="6144" width="10.42578125" style="271" customWidth="1"/>
    <col min="6145" max="6145" width="13.7109375" style="271" customWidth="1"/>
    <col min="6146" max="6146" width="24.5703125" style="271" customWidth="1"/>
    <col min="6147" max="6147" width="10" style="271" customWidth="1"/>
    <col min="6148" max="6152" width="8.7109375" style="271" customWidth="1"/>
    <col min="6153" max="6153" width="15.7109375" style="271" customWidth="1"/>
    <col min="6154" max="6154" width="33.7109375" style="271" customWidth="1"/>
    <col min="6155" max="6155" width="11.140625" style="271" customWidth="1"/>
    <col min="6156" max="6397" width="9.140625" style="271"/>
    <col min="6398" max="6398" width="4.5703125" style="271" customWidth="1"/>
    <col min="6399" max="6399" width="37.28515625" style="271" customWidth="1"/>
    <col min="6400" max="6400" width="10.42578125" style="271" customWidth="1"/>
    <col min="6401" max="6401" width="13.7109375" style="271" customWidth="1"/>
    <col min="6402" max="6402" width="24.5703125" style="271" customWidth="1"/>
    <col min="6403" max="6403" width="10" style="271" customWidth="1"/>
    <col min="6404" max="6408" width="8.7109375" style="271" customWidth="1"/>
    <col min="6409" max="6409" width="15.7109375" style="271" customWidth="1"/>
    <col min="6410" max="6410" width="33.7109375" style="271" customWidth="1"/>
    <col min="6411" max="6411" width="11.140625" style="271" customWidth="1"/>
    <col min="6412" max="6653" width="9.140625" style="271"/>
    <col min="6654" max="6654" width="4.5703125" style="271" customWidth="1"/>
    <col min="6655" max="6655" width="37.28515625" style="271" customWidth="1"/>
    <col min="6656" max="6656" width="10.42578125" style="271" customWidth="1"/>
    <col min="6657" max="6657" width="13.7109375" style="271" customWidth="1"/>
    <col min="6658" max="6658" width="24.5703125" style="271" customWidth="1"/>
    <col min="6659" max="6659" width="10" style="271" customWidth="1"/>
    <col min="6660" max="6664" width="8.7109375" style="271" customWidth="1"/>
    <col min="6665" max="6665" width="15.7109375" style="271" customWidth="1"/>
    <col min="6666" max="6666" width="33.7109375" style="271" customWidth="1"/>
    <col min="6667" max="6667" width="11.140625" style="271" customWidth="1"/>
    <col min="6668" max="6909" width="9.140625" style="271"/>
    <col min="6910" max="6910" width="4.5703125" style="271" customWidth="1"/>
    <col min="6911" max="6911" width="37.28515625" style="271" customWidth="1"/>
    <col min="6912" max="6912" width="10.42578125" style="271" customWidth="1"/>
    <col min="6913" max="6913" width="13.7109375" style="271" customWidth="1"/>
    <col min="6914" max="6914" width="24.5703125" style="271" customWidth="1"/>
    <col min="6915" max="6915" width="10" style="271" customWidth="1"/>
    <col min="6916" max="6920" width="8.7109375" style="271" customWidth="1"/>
    <col min="6921" max="6921" width="15.7109375" style="271" customWidth="1"/>
    <col min="6922" max="6922" width="33.7109375" style="271" customWidth="1"/>
    <col min="6923" max="6923" width="11.140625" style="271" customWidth="1"/>
    <col min="6924" max="7165" width="9.140625" style="271"/>
    <col min="7166" max="7166" width="4.5703125" style="271" customWidth="1"/>
    <col min="7167" max="7167" width="37.28515625" style="271" customWidth="1"/>
    <col min="7168" max="7168" width="10.42578125" style="271" customWidth="1"/>
    <col min="7169" max="7169" width="13.7109375" style="271" customWidth="1"/>
    <col min="7170" max="7170" width="24.5703125" style="271" customWidth="1"/>
    <col min="7171" max="7171" width="10" style="271" customWidth="1"/>
    <col min="7172" max="7176" width="8.7109375" style="271" customWidth="1"/>
    <col min="7177" max="7177" width="15.7109375" style="271" customWidth="1"/>
    <col min="7178" max="7178" width="33.7109375" style="271" customWidth="1"/>
    <col min="7179" max="7179" width="11.140625" style="271" customWidth="1"/>
    <col min="7180" max="7421" width="9.140625" style="271"/>
    <col min="7422" max="7422" width="4.5703125" style="271" customWidth="1"/>
    <col min="7423" max="7423" width="37.28515625" style="271" customWidth="1"/>
    <col min="7424" max="7424" width="10.42578125" style="271" customWidth="1"/>
    <col min="7425" max="7425" width="13.7109375" style="271" customWidth="1"/>
    <col min="7426" max="7426" width="24.5703125" style="271" customWidth="1"/>
    <col min="7427" max="7427" width="10" style="271" customWidth="1"/>
    <col min="7428" max="7432" width="8.7109375" style="271" customWidth="1"/>
    <col min="7433" max="7433" width="15.7109375" style="271" customWidth="1"/>
    <col min="7434" max="7434" width="33.7109375" style="271" customWidth="1"/>
    <col min="7435" max="7435" width="11.140625" style="271" customWidth="1"/>
    <col min="7436" max="7677" width="9.140625" style="271"/>
    <col min="7678" max="7678" width="4.5703125" style="271" customWidth="1"/>
    <col min="7679" max="7679" width="37.28515625" style="271" customWidth="1"/>
    <col min="7680" max="7680" width="10.42578125" style="271" customWidth="1"/>
    <col min="7681" max="7681" width="13.7109375" style="271" customWidth="1"/>
    <col min="7682" max="7682" width="24.5703125" style="271" customWidth="1"/>
    <col min="7683" max="7683" width="10" style="271" customWidth="1"/>
    <col min="7684" max="7688" width="8.7109375" style="271" customWidth="1"/>
    <col min="7689" max="7689" width="15.7109375" style="271" customWidth="1"/>
    <col min="7690" max="7690" width="33.7109375" style="271" customWidth="1"/>
    <col min="7691" max="7691" width="11.140625" style="271" customWidth="1"/>
    <col min="7692" max="7933" width="9.140625" style="271"/>
    <col min="7934" max="7934" width="4.5703125" style="271" customWidth="1"/>
    <col min="7935" max="7935" width="37.28515625" style="271" customWidth="1"/>
    <col min="7936" max="7936" width="10.42578125" style="271" customWidth="1"/>
    <col min="7937" max="7937" width="13.7109375" style="271" customWidth="1"/>
    <col min="7938" max="7938" width="24.5703125" style="271" customWidth="1"/>
    <col min="7939" max="7939" width="10" style="271" customWidth="1"/>
    <col min="7940" max="7944" width="8.7109375" style="271" customWidth="1"/>
    <col min="7945" max="7945" width="15.7109375" style="271" customWidth="1"/>
    <col min="7946" max="7946" width="33.7109375" style="271" customWidth="1"/>
    <col min="7947" max="7947" width="11.140625" style="271" customWidth="1"/>
    <col min="7948" max="8189" width="9.140625" style="271"/>
    <col min="8190" max="8190" width="4.5703125" style="271" customWidth="1"/>
    <col min="8191" max="8191" width="37.28515625" style="271" customWidth="1"/>
    <col min="8192" max="8192" width="10.42578125" style="271" customWidth="1"/>
    <col min="8193" max="8193" width="13.7109375" style="271" customWidth="1"/>
    <col min="8194" max="8194" width="24.5703125" style="271" customWidth="1"/>
    <col min="8195" max="8195" width="10" style="271" customWidth="1"/>
    <col min="8196" max="8200" width="8.7109375" style="271" customWidth="1"/>
    <col min="8201" max="8201" width="15.7109375" style="271" customWidth="1"/>
    <col min="8202" max="8202" width="33.7109375" style="271" customWidth="1"/>
    <col min="8203" max="8203" width="11.140625" style="271" customWidth="1"/>
    <col min="8204" max="8445" width="9.140625" style="271"/>
    <col min="8446" max="8446" width="4.5703125" style="271" customWidth="1"/>
    <col min="8447" max="8447" width="37.28515625" style="271" customWidth="1"/>
    <col min="8448" max="8448" width="10.42578125" style="271" customWidth="1"/>
    <col min="8449" max="8449" width="13.7109375" style="271" customWidth="1"/>
    <col min="8450" max="8450" width="24.5703125" style="271" customWidth="1"/>
    <col min="8451" max="8451" width="10" style="271" customWidth="1"/>
    <col min="8452" max="8456" width="8.7109375" style="271" customWidth="1"/>
    <col min="8457" max="8457" width="15.7109375" style="271" customWidth="1"/>
    <col min="8458" max="8458" width="33.7109375" style="271" customWidth="1"/>
    <col min="8459" max="8459" width="11.140625" style="271" customWidth="1"/>
    <col min="8460" max="8701" width="9.140625" style="271"/>
    <col min="8702" max="8702" width="4.5703125" style="271" customWidth="1"/>
    <col min="8703" max="8703" width="37.28515625" style="271" customWidth="1"/>
    <col min="8704" max="8704" width="10.42578125" style="271" customWidth="1"/>
    <col min="8705" max="8705" width="13.7109375" style="271" customWidth="1"/>
    <col min="8706" max="8706" width="24.5703125" style="271" customWidth="1"/>
    <col min="8707" max="8707" width="10" style="271" customWidth="1"/>
    <col min="8708" max="8712" width="8.7109375" style="271" customWidth="1"/>
    <col min="8713" max="8713" width="15.7109375" style="271" customWidth="1"/>
    <col min="8714" max="8714" width="33.7109375" style="271" customWidth="1"/>
    <col min="8715" max="8715" width="11.140625" style="271" customWidth="1"/>
    <col min="8716" max="8957" width="9.140625" style="271"/>
    <col min="8958" max="8958" width="4.5703125" style="271" customWidth="1"/>
    <col min="8959" max="8959" width="37.28515625" style="271" customWidth="1"/>
    <col min="8960" max="8960" width="10.42578125" style="271" customWidth="1"/>
    <col min="8961" max="8961" width="13.7109375" style="271" customWidth="1"/>
    <col min="8962" max="8962" width="24.5703125" style="271" customWidth="1"/>
    <col min="8963" max="8963" width="10" style="271" customWidth="1"/>
    <col min="8964" max="8968" width="8.7109375" style="271" customWidth="1"/>
    <col min="8969" max="8969" width="15.7109375" style="271" customWidth="1"/>
    <col min="8970" max="8970" width="33.7109375" style="271" customWidth="1"/>
    <col min="8971" max="8971" width="11.140625" style="271" customWidth="1"/>
    <col min="8972" max="9213" width="9.140625" style="271"/>
    <col min="9214" max="9214" width="4.5703125" style="271" customWidth="1"/>
    <col min="9215" max="9215" width="37.28515625" style="271" customWidth="1"/>
    <col min="9216" max="9216" width="10.42578125" style="271" customWidth="1"/>
    <col min="9217" max="9217" width="13.7109375" style="271" customWidth="1"/>
    <col min="9218" max="9218" width="24.5703125" style="271" customWidth="1"/>
    <col min="9219" max="9219" width="10" style="271" customWidth="1"/>
    <col min="9220" max="9224" width="8.7109375" style="271" customWidth="1"/>
    <col min="9225" max="9225" width="15.7109375" style="271" customWidth="1"/>
    <col min="9226" max="9226" width="33.7109375" style="271" customWidth="1"/>
    <col min="9227" max="9227" width="11.140625" style="271" customWidth="1"/>
    <col min="9228" max="9469" width="9.140625" style="271"/>
    <col min="9470" max="9470" width="4.5703125" style="271" customWidth="1"/>
    <col min="9471" max="9471" width="37.28515625" style="271" customWidth="1"/>
    <col min="9472" max="9472" width="10.42578125" style="271" customWidth="1"/>
    <col min="9473" max="9473" width="13.7109375" style="271" customWidth="1"/>
    <col min="9474" max="9474" width="24.5703125" style="271" customWidth="1"/>
    <col min="9475" max="9475" width="10" style="271" customWidth="1"/>
    <col min="9476" max="9480" width="8.7109375" style="271" customWidth="1"/>
    <col min="9481" max="9481" width="15.7109375" style="271" customWidth="1"/>
    <col min="9482" max="9482" width="33.7109375" style="271" customWidth="1"/>
    <col min="9483" max="9483" width="11.140625" style="271" customWidth="1"/>
    <col min="9484" max="9725" width="9.140625" style="271"/>
    <col min="9726" max="9726" width="4.5703125" style="271" customWidth="1"/>
    <col min="9727" max="9727" width="37.28515625" style="271" customWidth="1"/>
    <col min="9728" max="9728" width="10.42578125" style="271" customWidth="1"/>
    <col min="9729" max="9729" width="13.7109375" style="271" customWidth="1"/>
    <col min="9730" max="9730" width="24.5703125" style="271" customWidth="1"/>
    <col min="9731" max="9731" width="10" style="271" customWidth="1"/>
    <col min="9732" max="9736" width="8.7109375" style="271" customWidth="1"/>
    <col min="9737" max="9737" width="15.7109375" style="271" customWidth="1"/>
    <col min="9738" max="9738" width="33.7109375" style="271" customWidth="1"/>
    <col min="9739" max="9739" width="11.140625" style="271" customWidth="1"/>
    <col min="9740" max="9981" width="9.140625" style="271"/>
    <col min="9982" max="9982" width="4.5703125" style="271" customWidth="1"/>
    <col min="9983" max="9983" width="37.28515625" style="271" customWidth="1"/>
    <col min="9984" max="9984" width="10.42578125" style="271" customWidth="1"/>
    <col min="9985" max="9985" width="13.7109375" style="271" customWidth="1"/>
    <col min="9986" max="9986" width="24.5703125" style="271" customWidth="1"/>
    <col min="9987" max="9987" width="10" style="271" customWidth="1"/>
    <col min="9988" max="9992" width="8.7109375" style="271" customWidth="1"/>
    <col min="9993" max="9993" width="15.7109375" style="271" customWidth="1"/>
    <col min="9994" max="9994" width="33.7109375" style="271" customWidth="1"/>
    <col min="9995" max="9995" width="11.140625" style="271" customWidth="1"/>
    <col min="9996" max="10237" width="9.140625" style="271"/>
    <col min="10238" max="10238" width="4.5703125" style="271" customWidth="1"/>
    <col min="10239" max="10239" width="37.28515625" style="271" customWidth="1"/>
    <col min="10240" max="10240" width="10.42578125" style="271" customWidth="1"/>
    <col min="10241" max="10241" width="13.7109375" style="271" customWidth="1"/>
    <col min="10242" max="10242" width="24.5703125" style="271" customWidth="1"/>
    <col min="10243" max="10243" width="10" style="271" customWidth="1"/>
    <col min="10244" max="10248" width="8.7109375" style="271" customWidth="1"/>
    <col min="10249" max="10249" width="15.7109375" style="271" customWidth="1"/>
    <col min="10250" max="10250" width="33.7109375" style="271" customWidth="1"/>
    <col min="10251" max="10251" width="11.140625" style="271" customWidth="1"/>
    <col min="10252" max="10493" width="9.140625" style="271"/>
    <col min="10494" max="10494" width="4.5703125" style="271" customWidth="1"/>
    <col min="10495" max="10495" width="37.28515625" style="271" customWidth="1"/>
    <col min="10496" max="10496" width="10.42578125" style="271" customWidth="1"/>
    <col min="10497" max="10497" width="13.7109375" style="271" customWidth="1"/>
    <col min="10498" max="10498" width="24.5703125" style="271" customWidth="1"/>
    <col min="10499" max="10499" width="10" style="271" customWidth="1"/>
    <col min="10500" max="10504" width="8.7109375" style="271" customWidth="1"/>
    <col min="10505" max="10505" width="15.7109375" style="271" customWidth="1"/>
    <col min="10506" max="10506" width="33.7109375" style="271" customWidth="1"/>
    <col min="10507" max="10507" width="11.140625" style="271" customWidth="1"/>
    <col min="10508" max="10749" width="9.140625" style="271"/>
    <col min="10750" max="10750" width="4.5703125" style="271" customWidth="1"/>
    <col min="10751" max="10751" width="37.28515625" style="271" customWidth="1"/>
    <col min="10752" max="10752" width="10.42578125" style="271" customWidth="1"/>
    <col min="10753" max="10753" width="13.7109375" style="271" customWidth="1"/>
    <col min="10754" max="10754" width="24.5703125" style="271" customWidth="1"/>
    <col min="10755" max="10755" width="10" style="271" customWidth="1"/>
    <col min="10756" max="10760" width="8.7109375" style="271" customWidth="1"/>
    <col min="10761" max="10761" width="15.7109375" style="271" customWidth="1"/>
    <col min="10762" max="10762" width="33.7109375" style="271" customWidth="1"/>
    <col min="10763" max="10763" width="11.140625" style="271" customWidth="1"/>
    <col min="10764" max="11005" width="9.140625" style="271"/>
    <col min="11006" max="11006" width="4.5703125" style="271" customWidth="1"/>
    <col min="11007" max="11007" width="37.28515625" style="271" customWidth="1"/>
    <col min="11008" max="11008" width="10.42578125" style="271" customWidth="1"/>
    <col min="11009" max="11009" width="13.7109375" style="271" customWidth="1"/>
    <col min="11010" max="11010" width="24.5703125" style="271" customWidth="1"/>
    <col min="11011" max="11011" width="10" style="271" customWidth="1"/>
    <col min="11012" max="11016" width="8.7109375" style="271" customWidth="1"/>
    <col min="11017" max="11017" width="15.7109375" style="271" customWidth="1"/>
    <col min="11018" max="11018" width="33.7109375" style="271" customWidth="1"/>
    <col min="11019" max="11019" width="11.140625" style="271" customWidth="1"/>
    <col min="11020" max="11261" width="9.140625" style="271"/>
    <col min="11262" max="11262" width="4.5703125" style="271" customWidth="1"/>
    <col min="11263" max="11263" width="37.28515625" style="271" customWidth="1"/>
    <col min="11264" max="11264" width="10.42578125" style="271" customWidth="1"/>
    <col min="11265" max="11265" width="13.7109375" style="271" customWidth="1"/>
    <col min="11266" max="11266" width="24.5703125" style="271" customWidth="1"/>
    <col min="11267" max="11267" width="10" style="271" customWidth="1"/>
    <col min="11268" max="11272" width="8.7109375" style="271" customWidth="1"/>
    <col min="11273" max="11273" width="15.7109375" style="271" customWidth="1"/>
    <col min="11274" max="11274" width="33.7109375" style="271" customWidth="1"/>
    <col min="11275" max="11275" width="11.140625" style="271" customWidth="1"/>
    <col min="11276" max="11517" width="9.140625" style="271"/>
    <col min="11518" max="11518" width="4.5703125" style="271" customWidth="1"/>
    <col min="11519" max="11519" width="37.28515625" style="271" customWidth="1"/>
    <col min="11520" max="11520" width="10.42578125" style="271" customWidth="1"/>
    <col min="11521" max="11521" width="13.7109375" style="271" customWidth="1"/>
    <col min="11522" max="11522" width="24.5703125" style="271" customWidth="1"/>
    <col min="11523" max="11523" width="10" style="271" customWidth="1"/>
    <col min="11524" max="11528" width="8.7109375" style="271" customWidth="1"/>
    <col min="11529" max="11529" width="15.7109375" style="271" customWidth="1"/>
    <col min="11530" max="11530" width="33.7109375" style="271" customWidth="1"/>
    <col min="11531" max="11531" width="11.140625" style="271" customWidth="1"/>
    <col min="11532" max="11773" width="9.140625" style="271"/>
    <col min="11774" max="11774" width="4.5703125" style="271" customWidth="1"/>
    <col min="11775" max="11775" width="37.28515625" style="271" customWidth="1"/>
    <col min="11776" max="11776" width="10.42578125" style="271" customWidth="1"/>
    <col min="11777" max="11777" width="13.7109375" style="271" customWidth="1"/>
    <col min="11778" max="11778" width="24.5703125" style="271" customWidth="1"/>
    <col min="11779" max="11779" width="10" style="271" customWidth="1"/>
    <col min="11780" max="11784" width="8.7109375" style="271" customWidth="1"/>
    <col min="11785" max="11785" width="15.7109375" style="271" customWidth="1"/>
    <col min="11786" max="11786" width="33.7109375" style="271" customWidth="1"/>
    <col min="11787" max="11787" width="11.140625" style="271" customWidth="1"/>
    <col min="11788" max="12029" width="9.140625" style="271"/>
    <col min="12030" max="12030" width="4.5703125" style="271" customWidth="1"/>
    <col min="12031" max="12031" width="37.28515625" style="271" customWidth="1"/>
    <col min="12032" max="12032" width="10.42578125" style="271" customWidth="1"/>
    <col min="12033" max="12033" width="13.7109375" style="271" customWidth="1"/>
    <col min="12034" max="12034" width="24.5703125" style="271" customWidth="1"/>
    <col min="12035" max="12035" width="10" style="271" customWidth="1"/>
    <col min="12036" max="12040" width="8.7109375" style="271" customWidth="1"/>
    <col min="12041" max="12041" width="15.7109375" style="271" customWidth="1"/>
    <col min="12042" max="12042" width="33.7109375" style="271" customWidth="1"/>
    <col min="12043" max="12043" width="11.140625" style="271" customWidth="1"/>
    <col min="12044" max="12285" width="9.140625" style="271"/>
    <col min="12286" max="12286" width="4.5703125" style="271" customWidth="1"/>
    <col min="12287" max="12287" width="37.28515625" style="271" customWidth="1"/>
    <col min="12288" max="12288" width="10.42578125" style="271" customWidth="1"/>
    <col min="12289" max="12289" width="13.7109375" style="271" customWidth="1"/>
    <col min="12290" max="12290" width="24.5703125" style="271" customWidth="1"/>
    <col min="12291" max="12291" width="10" style="271" customWidth="1"/>
    <col min="12292" max="12296" width="8.7109375" style="271" customWidth="1"/>
    <col min="12297" max="12297" width="15.7109375" style="271" customWidth="1"/>
    <col min="12298" max="12298" width="33.7109375" style="271" customWidth="1"/>
    <col min="12299" max="12299" width="11.140625" style="271" customWidth="1"/>
    <col min="12300" max="12541" width="9.140625" style="271"/>
    <col min="12542" max="12542" width="4.5703125" style="271" customWidth="1"/>
    <col min="12543" max="12543" width="37.28515625" style="271" customWidth="1"/>
    <col min="12544" max="12544" width="10.42578125" style="271" customWidth="1"/>
    <col min="12545" max="12545" width="13.7109375" style="271" customWidth="1"/>
    <col min="12546" max="12546" width="24.5703125" style="271" customWidth="1"/>
    <col min="12547" max="12547" width="10" style="271" customWidth="1"/>
    <col min="12548" max="12552" width="8.7109375" style="271" customWidth="1"/>
    <col min="12553" max="12553" width="15.7109375" style="271" customWidth="1"/>
    <col min="12554" max="12554" width="33.7109375" style="271" customWidth="1"/>
    <col min="12555" max="12555" width="11.140625" style="271" customWidth="1"/>
    <col min="12556" max="12797" width="9.140625" style="271"/>
    <col min="12798" max="12798" width="4.5703125" style="271" customWidth="1"/>
    <col min="12799" max="12799" width="37.28515625" style="271" customWidth="1"/>
    <col min="12800" max="12800" width="10.42578125" style="271" customWidth="1"/>
    <col min="12801" max="12801" width="13.7109375" style="271" customWidth="1"/>
    <col min="12802" max="12802" width="24.5703125" style="271" customWidth="1"/>
    <col min="12803" max="12803" width="10" style="271" customWidth="1"/>
    <col min="12804" max="12808" width="8.7109375" style="271" customWidth="1"/>
    <col min="12809" max="12809" width="15.7109375" style="271" customWidth="1"/>
    <col min="12810" max="12810" width="33.7109375" style="271" customWidth="1"/>
    <col min="12811" max="12811" width="11.140625" style="271" customWidth="1"/>
    <col min="12812" max="13053" width="9.140625" style="271"/>
    <col min="13054" max="13054" width="4.5703125" style="271" customWidth="1"/>
    <col min="13055" max="13055" width="37.28515625" style="271" customWidth="1"/>
    <col min="13056" max="13056" width="10.42578125" style="271" customWidth="1"/>
    <col min="13057" max="13057" width="13.7109375" style="271" customWidth="1"/>
    <col min="13058" max="13058" width="24.5703125" style="271" customWidth="1"/>
    <col min="13059" max="13059" width="10" style="271" customWidth="1"/>
    <col min="13060" max="13064" width="8.7109375" style="271" customWidth="1"/>
    <col min="13065" max="13065" width="15.7109375" style="271" customWidth="1"/>
    <col min="13066" max="13066" width="33.7109375" style="271" customWidth="1"/>
    <col min="13067" max="13067" width="11.140625" style="271" customWidth="1"/>
    <col min="13068" max="13309" width="9.140625" style="271"/>
    <col min="13310" max="13310" width="4.5703125" style="271" customWidth="1"/>
    <col min="13311" max="13311" width="37.28515625" style="271" customWidth="1"/>
    <col min="13312" max="13312" width="10.42578125" style="271" customWidth="1"/>
    <col min="13313" max="13313" width="13.7109375" style="271" customWidth="1"/>
    <col min="13314" max="13314" width="24.5703125" style="271" customWidth="1"/>
    <col min="13315" max="13315" width="10" style="271" customWidth="1"/>
    <col min="13316" max="13320" width="8.7109375" style="271" customWidth="1"/>
    <col min="13321" max="13321" width="15.7109375" style="271" customWidth="1"/>
    <col min="13322" max="13322" width="33.7109375" style="271" customWidth="1"/>
    <col min="13323" max="13323" width="11.140625" style="271" customWidth="1"/>
    <col min="13324" max="13565" width="9.140625" style="271"/>
    <col min="13566" max="13566" width="4.5703125" style="271" customWidth="1"/>
    <col min="13567" max="13567" width="37.28515625" style="271" customWidth="1"/>
    <col min="13568" max="13568" width="10.42578125" style="271" customWidth="1"/>
    <col min="13569" max="13569" width="13.7109375" style="271" customWidth="1"/>
    <col min="13570" max="13570" width="24.5703125" style="271" customWidth="1"/>
    <col min="13571" max="13571" width="10" style="271" customWidth="1"/>
    <col min="13572" max="13576" width="8.7109375" style="271" customWidth="1"/>
    <col min="13577" max="13577" width="15.7109375" style="271" customWidth="1"/>
    <col min="13578" max="13578" width="33.7109375" style="271" customWidth="1"/>
    <col min="13579" max="13579" width="11.140625" style="271" customWidth="1"/>
    <col min="13580" max="13821" width="9.140625" style="271"/>
    <col min="13822" max="13822" width="4.5703125" style="271" customWidth="1"/>
    <col min="13823" max="13823" width="37.28515625" style="271" customWidth="1"/>
    <col min="13824" max="13824" width="10.42578125" style="271" customWidth="1"/>
    <col min="13825" max="13825" width="13.7109375" style="271" customWidth="1"/>
    <col min="13826" max="13826" width="24.5703125" style="271" customWidth="1"/>
    <col min="13827" max="13827" width="10" style="271" customWidth="1"/>
    <col min="13828" max="13832" width="8.7109375" style="271" customWidth="1"/>
    <col min="13833" max="13833" width="15.7109375" style="271" customWidth="1"/>
    <col min="13834" max="13834" width="33.7109375" style="271" customWidth="1"/>
    <col min="13835" max="13835" width="11.140625" style="271" customWidth="1"/>
    <col min="13836" max="14077" width="9.140625" style="271"/>
    <col min="14078" max="14078" width="4.5703125" style="271" customWidth="1"/>
    <col min="14079" max="14079" width="37.28515625" style="271" customWidth="1"/>
    <col min="14080" max="14080" width="10.42578125" style="271" customWidth="1"/>
    <col min="14081" max="14081" width="13.7109375" style="271" customWidth="1"/>
    <col min="14082" max="14082" width="24.5703125" style="271" customWidth="1"/>
    <col min="14083" max="14083" width="10" style="271" customWidth="1"/>
    <col min="14084" max="14088" width="8.7109375" style="271" customWidth="1"/>
    <col min="14089" max="14089" width="15.7109375" style="271" customWidth="1"/>
    <col min="14090" max="14090" width="33.7109375" style="271" customWidth="1"/>
    <col min="14091" max="14091" width="11.140625" style="271" customWidth="1"/>
    <col min="14092" max="14333" width="9.140625" style="271"/>
    <col min="14334" max="14334" width="4.5703125" style="271" customWidth="1"/>
    <col min="14335" max="14335" width="37.28515625" style="271" customWidth="1"/>
    <col min="14336" max="14336" width="10.42578125" style="271" customWidth="1"/>
    <col min="14337" max="14337" width="13.7109375" style="271" customWidth="1"/>
    <col min="14338" max="14338" width="24.5703125" style="271" customWidth="1"/>
    <col min="14339" max="14339" width="10" style="271" customWidth="1"/>
    <col min="14340" max="14344" width="8.7109375" style="271" customWidth="1"/>
    <col min="14345" max="14345" width="15.7109375" style="271" customWidth="1"/>
    <col min="14346" max="14346" width="33.7109375" style="271" customWidth="1"/>
    <col min="14347" max="14347" width="11.140625" style="271" customWidth="1"/>
    <col min="14348" max="14589" width="9.140625" style="271"/>
    <col min="14590" max="14590" width="4.5703125" style="271" customWidth="1"/>
    <col min="14591" max="14591" width="37.28515625" style="271" customWidth="1"/>
    <col min="14592" max="14592" width="10.42578125" style="271" customWidth="1"/>
    <col min="14593" max="14593" width="13.7109375" style="271" customWidth="1"/>
    <col min="14594" max="14594" width="24.5703125" style="271" customWidth="1"/>
    <col min="14595" max="14595" width="10" style="271" customWidth="1"/>
    <col min="14596" max="14600" width="8.7109375" style="271" customWidth="1"/>
    <col min="14601" max="14601" width="15.7109375" style="271" customWidth="1"/>
    <col min="14602" max="14602" width="33.7109375" style="271" customWidth="1"/>
    <col min="14603" max="14603" width="11.140625" style="271" customWidth="1"/>
    <col min="14604" max="14845" width="9.140625" style="271"/>
    <col min="14846" max="14846" width="4.5703125" style="271" customWidth="1"/>
    <col min="14847" max="14847" width="37.28515625" style="271" customWidth="1"/>
    <col min="14848" max="14848" width="10.42578125" style="271" customWidth="1"/>
    <col min="14849" max="14849" width="13.7109375" style="271" customWidth="1"/>
    <col min="14850" max="14850" width="24.5703125" style="271" customWidth="1"/>
    <col min="14851" max="14851" width="10" style="271" customWidth="1"/>
    <col min="14852" max="14856" width="8.7109375" style="271" customWidth="1"/>
    <col min="14857" max="14857" width="15.7109375" style="271" customWidth="1"/>
    <col min="14858" max="14858" width="33.7109375" style="271" customWidth="1"/>
    <col min="14859" max="14859" width="11.140625" style="271" customWidth="1"/>
    <col min="14860" max="15101" width="9.140625" style="271"/>
    <col min="15102" max="15102" width="4.5703125" style="271" customWidth="1"/>
    <col min="15103" max="15103" width="37.28515625" style="271" customWidth="1"/>
    <col min="15104" max="15104" width="10.42578125" style="271" customWidth="1"/>
    <col min="15105" max="15105" width="13.7109375" style="271" customWidth="1"/>
    <col min="15106" max="15106" width="24.5703125" style="271" customWidth="1"/>
    <col min="15107" max="15107" width="10" style="271" customWidth="1"/>
    <col min="15108" max="15112" width="8.7109375" style="271" customWidth="1"/>
    <col min="15113" max="15113" width="15.7109375" style="271" customWidth="1"/>
    <col min="15114" max="15114" width="33.7109375" style="271" customWidth="1"/>
    <col min="15115" max="15115" width="11.140625" style="271" customWidth="1"/>
    <col min="15116" max="15357" width="9.140625" style="271"/>
    <col min="15358" max="15358" width="4.5703125" style="271" customWidth="1"/>
    <col min="15359" max="15359" width="37.28515625" style="271" customWidth="1"/>
    <col min="15360" max="15360" width="10.42578125" style="271" customWidth="1"/>
    <col min="15361" max="15361" width="13.7109375" style="271" customWidth="1"/>
    <col min="15362" max="15362" width="24.5703125" style="271" customWidth="1"/>
    <col min="15363" max="15363" width="10" style="271" customWidth="1"/>
    <col min="15364" max="15368" width="8.7109375" style="271" customWidth="1"/>
    <col min="15369" max="15369" width="15.7109375" style="271" customWidth="1"/>
    <col min="15370" max="15370" width="33.7109375" style="271" customWidth="1"/>
    <col min="15371" max="15371" width="11.140625" style="271" customWidth="1"/>
    <col min="15372" max="15613" width="9.140625" style="271"/>
    <col min="15614" max="15614" width="4.5703125" style="271" customWidth="1"/>
    <col min="15615" max="15615" width="37.28515625" style="271" customWidth="1"/>
    <col min="15616" max="15616" width="10.42578125" style="271" customWidth="1"/>
    <col min="15617" max="15617" width="13.7109375" style="271" customWidth="1"/>
    <col min="15618" max="15618" width="24.5703125" style="271" customWidth="1"/>
    <col min="15619" max="15619" width="10" style="271" customWidth="1"/>
    <col min="15620" max="15624" width="8.7109375" style="271" customWidth="1"/>
    <col min="15625" max="15625" width="15.7109375" style="271" customWidth="1"/>
    <col min="15626" max="15626" width="33.7109375" style="271" customWidth="1"/>
    <col min="15627" max="15627" width="11.140625" style="271" customWidth="1"/>
    <col min="15628" max="15869" width="9.140625" style="271"/>
    <col min="15870" max="15870" width="4.5703125" style="271" customWidth="1"/>
    <col min="15871" max="15871" width="37.28515625" style="271" customWidth="1"/>
    <col min="15872" max="15872" width="10.42578125" style="271" customWidth="1"/>
    <col min="15873" max="15873" width="13.7109375" style="271" customWidth="1"/>
    <col min="15874" max="15874" width="24.5703125" style="271" customWidth="1"/>
    <col min="15875" max="15875" width="10" style="271" customWidth="1"/>
    <col min="15876" max="15880" width="8.7109375" style="271" customWidth="1"/>
    <col min="15881" max="15881" width="15.7109375" style="271" customWidth="1"/>
    <col min="15882" max="15882" width="33.7109375" style="271" customWidth="1"/>
    <col min="15883" max="15883" width="11.140625" style="271" customWidth="1"/>
    <col min="15884" max="16125" width="9.140625" style="271"/>
    <col min="16126" max="16126" width="4.5703125" style="271" customWidth="1"/>
    <col min="16127" max="16127" width="37.28515625" style="271" customWidth="1"/>
    <col min="16128" max="16128" width="10.42578125" style="271" customWidth="1"/>
    <col min="16129" max="16129" width="13.7109375" style="271" customWidth="1"/>
    <col min="16130" max="16130" width="24.5703125" style="271" customWidth="1"/>
    <col min="16131" max="16131" width="10" style="271" customWidth="1"/>
    <col min="16132" max="16136" width="8.7109375" style="271" customWidth="1"/>
    <col min="16137" max="16137" width="15.7109375" style="271" customWidth="1"/>
    <col min="16138" max="16138" width="33.7109375" style="271" customWidth="1"/>
    <col min="16139" max="16139" width="11.140625" style="271" customWidth="1"/>
    <col min="16140" max="16384" width="9.140625" style="271"/>
  </cols>
  <sheetData>
    <row r="1" spans="1:10" ht="14.25" x14ac:dyDescent="0.2">
      <c r="A1" s="2163" t="s">
        <v>117</v>
      </c>
      <c r="B1" s="2163"/>
      <c r="C1" s="2163"/>
      <c r="D1" s="2163"/>
      <c r="E1" s="2163"/>
      <c r="F1" s="2163"/>
      <c r="G1" s="2163"/>
      <c r="H1" s="2163"/>
      <c r="I1" s="2163"/>
      <c r="J1" s="270"/>
    </row>
    <row r="2" spans="1:10" x14ac:dyDescent="0.2">
      <c r="A2" s="2164" t="s">
        <v>5975</v>
      </c>
      <c r="B2" s="2164"/>
      <c r="C2" s="2164"/>
      <c r="D2" s="2164"/>
      <c r="E2" s="2164"/>
      <c r="F2" s="2164"/>
      <c r="G2" s="2164"/>
      <c r="H2" s="2164"/>
      <c r="I2" s="2164"/>
      <c r="J2" s="270"/>
    </row>
    <row r="3" spans="1:10" ht="7.9" customHeight="1" x14ac:dyDescent="0.2">
      <c r="A3" s="2165"/>
      <c r="B3" s="2165"/>
      <c r="C3" s="2165"/>
      <c r="D3" s="2165"/>
      <c r="E3" s="2165"/>
      <c r="F3" s="2165"/>
      <c r="G3" s="2165"/>
      <c r="H3" s="2165"/>
      <c r="I3" s="2165"/>
      <c r="J3" s="270"/>
    </row>
    <row r="4" spans="1:10" ht="13.15" hidden="1" customHeight="1" x14ac:dyDescent="0.2">
      <c r="A4" s="272"/>
      <c r="B4" s="273"/>
      <c r="C4" s="273"/>
      <c r="D4" s="274"/>
      <c r="E4" s="273"/>
      <c r="F4" s="273"/>
      <c r="G4" s="273"/>
      <c r="H4" s="273"/>
      <c r="I4" s="273"/>
      <c r="J4" s="270"/>
    </row>
    <row r="5" spans="1:10" ht="52.35" customHeight="1" x14ac:dyDescent="0.2">
      <c r="A5" s="2166" t="s">
        <v>5904</v>
      </c>
      <c r="B5" s="2167"/>
      <c r="C5" s="2167"/>
      <c r="D5" s="2167"/>
      <c r="E5" s="2167"/>
      <c r="F5" s="2167"/>
      <c r="G5" s="2167"/>
      <c r="H5" s="2167"/>
      <c r="I5" s="2167"/>
      <c r="J5" s="270"/>
    </row>
    <row r="6" spans="1:10" ht="13.15" customHeight="1" x14ac:dyDescent="0.25">
      <c r="A6" s="2137" t="s">
        <v>5938</v>
      </c>
      <c r="B6" s="2138"/>
      <c r="C6" s="2168" t="s">
        <v>5887</v>
      </c>
      <c r="D6" s="2168"/>
      <c r="E6" s="2168"/>
      <c r="F6" s="2168"/>
      <c r="G6" s="2168"/>
      <c r="H6" s="2168"/>
      <c r="I6" s="2168"/>
    </row>
    <row r="7" spans="1:10" ht="13.15" customHeight="1" x14ac:dyDescent="0.25">
      <c r="A7" s="2137" t="s">
        <v>5939</v>
      </c>
      <c r="B7" s="2138"/>
      <c r="C7" s="2174" t="s">
        <v>5889</v>
      </c>
      <c r="D7" s="2174"/>
      <c r="E7" s="2174"/>
      <c r="F7" s="2174"/>
      <c r="G7" s="2174"/>
      <c r="H7" s="2174"/>
      <c r="I7" s="2174"/>
      <c r="J7" s="270"/>
    </row>
    <row r="8" spans="1:10" x14ac:dyDescent="0.2">
      <c r="A8" s="868" t="s">
        <v>5976</v>
      </c>
      <c r="B8" s="869"/>
      <c r="C8" s="869"/>
      <c r="D8" s="870"/>
      <c r="E8" s="869"/>
      <c r="F8" s="869"/>
      <c r="G8" s="869"/>
      <c r="H8" s="869"/>
      <c r="I8" s="871"/>
      <c r="J8" s="270"/>
    </row>
    <row r="9" spans="1:10" ht="13.15" customHeight="1" x14ac:dyDescent="0.2">
      <c r="A9" s="2175" t="s">
        <v>5794</v>
      </c>
      <c r="B9" s="2175" t="s">
        <v>176</v>
      </c>
      <c r="C9" s="2175" t="s">
        <v>5977</v>
      </c>
      <c r="D9" s="2175" t="s">
        <v>7</v>
      </c>
      <c r="E9" s="2175" t="s">
        <v>566</v>
      </c>
      <c r="F9" s="2175" t="s">
        <v>5942</v>
      </c>
      <c r="G9" s="2175"/>
      <c r="H9" s="2175"/>
      <c r="I9" s="2175" t="s">
        <v>5978</v>
      </c>
    </row>
    <row r="10" spans="1:10" x14ac:dyDescent="0.2">
      <c r="A10" s="2176"/>
      <c r="B10" s="2176"/>
      <c r="C10" s="2176"/>
      <c r="D10" s="2176"/>
      <c r="E10" s="2176"/>
      <c r="F10" s="872" t="s">
        <v>5944</v>
      </c>
      <c r="G10" s="872" t="s">
        <v>5979</v>
      </c>
      <c r="H10" s="872" t="s">
        <v>5980</v>
      </c>
      <c r="I10" s="2176"/>
    </row>
    <row r="11" spans="1:10" x14ac:dyDescent="0.2">
      <c r="A11" s="827">
        <v>1</v>
      </c>
      <c r="B11" s="827">
        <v>2</v>
      </c>
      <c r="C11" s="827">
        <v>3</v>
      </c>
      <c r="D11" s="827">
        <v>4</v>
      </c>
      <c r="E11" s="827">
        <v>5</v>
      </c>
      <c r="F11" s="827">
        <v>6</v>
      </c>
      <c r="G11" s="827">
        <v>7</v>
      </c>
      <c r="H11" s="827">
        <v>8</v>
      </c>
      <c r="I11" s="827">
        <v>12</v>
      </c>
    </row>
    <row r="12" spans="1:10" ht="15.75" x14ac:dyDescent="0.25">
      <c r="A12" s="2180" t="s">
        <v>5947</v>
      </c>
      <c r="B12" s="2181"/>
      <c r="C12" s="2181"/>
      <c r="D12" s="2181"/>
      <c r="E12" s="2181"/>
      <c r="F12" s="2181"/>
      <c r="G12" s="2181"/>
      <c r="H12" s="2181"/>
      <c r="I12" s="2182"/>
    </row>
    <row r="13" spans="1:10" ht="38.25" x14ac:dyDescent="0.2">
      <c r="A13" s="828">
        <v>1</v>
      </c>
      <c r="B13" s="873" t="s">
        <v>9465</v>
      </c>
      <c r="C13" s="829" t="s">
        <v>5981</v>
      </c>
      <c r="D13" s="829">
        <v>2</v>
      </c>
      <c r="E13" s="836" t="s">
        <v>5982</v>
      </c>
      <c r="F13" s="874">
        <v>27</v>
      </c>
      <c r="G13" s="875"/>
      <c r="H13" s="828"/>
      <c r="I13" s="874">
        <f>D13*F13</f>
        <v>54</v>
      </c>
    </row>
    <row r="14" spans="1:10" ht="89.25" x14ac:dyDescent="0.2">
      <c r="A14" s="828">
        <v>2</v>
      </c>
      <c r="B14" s="873" t="s">
        <v>5983</v>
      </c>
      <c r="C14" s="829" t="s">
        <v>5981</v>
      </c>
      <c r="D14" s="829">
        <v>2</v>
      </c>
      <c r="E14" s="836" t="s">
        <v>5984</v>
      </c>
      <c r="F14" s="874">
        <v>20.3</v>
      </c>
      <c r="G14" s="875"/>
      <c r="H14" s="828"/>
      <c r="I14" s="874">
        <f>D14*F14</f>
        <v>40.6</v>
      </c>
    </row>
    <row r="15" spans="1:10" ht="25.5" x14ac:dyDescent="0.2">
      <c r="A15" s="828">
        <v>3</v>
      </c>
      <c r="B15" s="873" t="s">
        <v>9466</v>
      </c>
      <c r="C15" s="829" t="s">
        <v>5985</v>
      </c>
      <c r="D15" s="829">
        <v>7</v>
      </c>
      <c r="E15" s="836" t="s">
        <v>5986</v>
      </c>
      <c r="F15" s="874">
        <v>10.199999999999999</v>
      </c>
      <c r="G15" s="875"/>
      <c r="H15" s="828"/>
      <c r="I15" s="874">
        <f>D15*F15</f>
        <v>71.400000000000006</v>
      </c>
    </row>
    <row r="16" spans="1:10" ht="51" x14ac:dyDescent="0.2">
      <c r="A16" s="828">
        <v>4</v>
      </c>
      <c r="B16" s="873" t="s">
        <v>5987</v>
      </c>
      <c r="C16" s="829" t="s">
        <v>5988</v>
      </c>
      <c r="D16" s="829">
        <v>8</v>
      </c>
      <c r="E16" s="836" t="s">
        <v>5989</v>
      </c>
      <c r="F16" s="874">
        <v>8.5</v>
      </c>
      <c r="G16" s="875">
        <v>0.5</v>
      </c>
      <c r="H16" s="828"/>
      <c r="I16" s="874">
        <f>D16*F16*G16</f>
        <v>34</v>
      </c>
      <c r="J16" s="271"/>
    </row>
    <row r="17" spans="1:10" ht="63.75" x14ac:dyDescent="0.2">
      <c r="A17" s="828">
        <v>5</v>
      </c>
      <c r="B17" s="873" t="s">
        <v>5990</v>
      </c>
      <c r="C17" s="829" t="s">
        <v>5988</v>
      </c>
      <c r="D17" s="829">
        <v>8</v>
      </c>
      <c r="E17" s="836" t="s">
        <v>5991</v>
      </c>
      <c r="F17" s="874">
        <v>9.6</v>
      </c>
      <c r="G17" s="875">
        <v>0.5</v>
      </c>
      <c r="H17" s="828"/>
      <c r="I17" s="874">
        <f>D17*F17*G17</f>
        <v>38.4</v>
      </c>
      <c r="J17" s="271"/>
    </row>
    <row r="18" spans="1:10" ht="63.75" x14ac:dyDescent="0.2">
      <c r="A18" s="828">
        <v>5</v>
      </c>
      <c r="B18" s="873" t="s">
        <v>5992</v>
      </c>
      <c r="C18" s="829" t="s">
        <v>5988</v>
      </c>
      <c r="D18" s="829">
        <v>5</v>
      </c>
      <c r="E18" s="836" t="s">
        <v>5993</v>
      </c>
      <c r="F18" s="874">
        <v>14.4</v>
      </c>
      <c r="G18" s="875">
        <v>0.5</v>
      </c>
      <c r="H18" s="828"/>
      <c r="I18" s="874">
        <f>D18*F18*G18</f>
        <v>36</v>
      </c>
      <c r="J18" s="271"/>
    </row>
    <row r="19" spans="1:10" ht="51" x14ac:dyDescent="0.2">
      <c r="A19" s="828">
        <v>6</v>
      </c>
      <c r="B19" s="873" t="s">
        <v>5994</v>
      </c>
      <c r="C19" s="829" t="s">
        <v>5988</v>
      </c>
      <c r="D19" s="829">
        <v>13</v>
      </c>
      <c r="E19" s="836" t="s">
        <v>5995</v>
      </c>
      <c r="F19" s="874">
        <v>8.5</v>
      </c>
      <c r="G19" s="875"/>
      <c r="H19" s="828"/>
      <c r="I19" s="874">
        <f>D19*F19</f>
        <v>110.5</v>
      </c>
      <c r="J19" s="271"/>
    </row>
    <row r="20" spans="1:10" ht="51" x14ac:dyDescent="0.2">
      <c r="A20" s="828">
        <v>7</v>
      </c>
      <c r="B20" s="873" t="s">
        <v>5996</v>
      </c>
      <c r="C20" s="829" t="s">
        <v>5988</v>
      </c>
      <c r="D20" s="829">
        <v>8</v>
      </c>
      <c r="E20" s="836" t="s">
        <v>5997</v>
      </c>
      <c r="F20" s="874">
        <v>9.6</v>
      </c>
      <c r="G20" s="875"/>
      <c r="H20" s="828"/>
      <c r="I20" s="874">
        <f>D20*F20</f>
        <v>76.8</v>
      </c>
      <c r="J20" s="271"/>
    </row>
    <row r="21" spans="1:10" ht="51" x14ac:dyDescent="0.2">
      <c r="A21" s="828">
        <v>7</v>
      </c>
      <c r="B21" s="873" t="s">
        <v>5998</v>
      </c>
      <c r="C21" s="829" t="s">
        <v>5988</v>
      </c>
      <c r="D21" s="829">
        <v>5</v>
      </c>
      <c r="E21" s="836" t="s">
        <v>5999</v>
      </c>
      <c r="F21" s="874">
        <v>14.4</v>
      </c>
      <c r="G21" s="875"/>
      <c r="H21" s="828"/>
      <c r="I21" s="874">
        <f>D21*F21</f>
        <v>72</v>
      </c>
      <c r="J21" s="271"/>
    </row>
    <row r="22" spans="1:10" ht="51" x14ac:dyDescent="0.2">
      <c r="A22" s="828">
        <v>8</v>
      </c>
      <c r="B22" s="873" t="s">
        <v>6000</v>
      </c>
      <c r="C22" s="829" t="s">
        <v>6001</v>
      </c>
      <c r="D22" s="829">
        <v>139</v>
      </c>
      <c r="E22" s="836" t="s">
        <v>6002</v>
      </c>
      <c r="F22" s="876">
        <v>245.8</v>
      </c>
      <c r="G22" s="874"/>
      <c r="H22" s="874">
        <v>0.9</v>
      </c>
      <c r="I22" s="877">
        <f>F22*D22*H22</f>
        <v>30749.58</v>
      </c>
      <c r="J22" s="271"/>
    </row>
    <row r="23" spans="1:10" ht="38.25" x14ac:dyDescent="0.2">
      <c r="A23" s="828">
        <v>9</v>
      </c>
      <c r="B23" s="878" t="s">
        <v>6003</v>
      </c>
      <c r="C23" s="829" t="s">
        <v>6001</v>
      </c>
      <c r="D23" s="879">
        <v>70.45</v>
      </c>
      <c r="E23" s="880" t="s">
        <v>6004</v>
      </c>
      <c r="F23" s="881">
        <v>2.1</v>
      </c>
      <c r="G23" s="881">
        <v>0.6</v>
      </c>
      <c r="H23" s="881"/>
      <c r="I23" s="874">
        <f>D23*F23*G23</f>
        <v>88.77</v>
      </c>
      <c r="J23" s="271"/>
    </row>
    <row r="24" spans="1:10" ht="25.5" x14ac:dyDescent="0.2">
      <c r="A24" s="882">
        <v>10</v>
      </c>
      <c r="B24" s="883" t="s">
        <v>6005</v>
      </c>
      <c r="C24" s="884" t="s">
        <v>6006</v>
      </c>
      <c r="D24" s="885">
        <v>7.2</v>
      </c>
      <c r="E24" s="886" t="s">
        <v>6007</v>
      </c>
      <c r="F24" s="881">
        <v>98.3</v>
      </c>
      <c r="G24" s="881">
        <v>0.75</v>
      </c>
      <c r="H24" s="881"/>
      <c r="I24" s="874">
        <f>D24*F24*G24</f>
        <v>530.82000000000005</v>
      </c>
      <c r="J24" s="271"/>
    </row>
    <row r="25" spans="1:10" ht="25.5" x14ac:dyDescent="0.2">
      <c r="A25" s="882">
        <v>11</v>
      </c>
      <c r="B25" s="883" t="s">
        <v>6008</v>
      </c>
      <c r="C25" s="884" t="s">
        <v>6006</v>
      </c>
      <c r="D25" s="887">
        <v>4</v>
      </c>
      <c r="E25" s="886" t="s">
        <v>6009</v>
      </c>
      <c r="F25" s="881">
        <v>134</v>
      </c>
      <c r="G25" s="881">
        <v>0.75</v>
      </c>
      <c r="H25" s="881"/>
      <c r="I25" s="874">
        <f>D25*F25*G25</f>
        <v>402</v>
      </c>
      <c r="J25" s="271"/>
    </row>
    <row r="26" spans="1:10" s="277" customFormat="1" ht="38.25" x14ac:dyDescent="0.2">
      <c r="A26" s="888" t="s">
        <v>196</v>
      </c>
      <c r="B26" s="889" t="s">
        <v>6010</v>
      </c>
      <c r="C26" s="890" t="s">
        <v>6011</v>
      </c>
      <c r="D26" s="890">
        <v>18</v>
      </c>
      <c r="E26" s="889" t="s">
        <v>6012</v>
      </c>
      <c r="F26" s="891">
        <v>60.2</v>
      </c>
      <c r="G26" s="892"/>
      <c r="H26" s="893"/>
      <c r="I26" s="893">
        <f t="shared" ref="I26:I31" si="0">D26*F26</f>
        <v>1083.5999999999999</v>
      </c>
    </row>
    <row r="27" spans="1:10" s="277" customFormat="1" ht="76.5" x14ac:dyDescent="0.2">
      <c r="A27" s="888" t="s">
        <v>197</v>
      </c>
      <c r="B27" s="889" t="s">
        <v>6013</v>
      </c>
      <c r="C27" s="890" t="s">
        <v>6011</v>
      </c>
      <c r="D27" s="890">
        <v>2</v>
      </c>
      <c r="E27" s="889" t="s">
        <v>6014</v>
      </c>
      <c r="F27" s="891">
        <v>487</v>
      </c>
      <c r="G27" s="894"/>
      <c r="H27" s="893"/>
      <c r="I27" s="893">
        <f t="shared" si="0"/>
        <v>974</v>
      </c>
    </row>
    <row r="28" spans="1:10" s="277" customFormat="1" ht="76.5" x14ac:dyDescent="0.2">
      <c r="A28" s="888" t="s">
        <v>198</v>
      </c>
      <c r="B28" s="889" t="s">
        <v>6015</v>
      </c>
      <c r="C28" s="890" t="s">
        <v>6011</v>
      </c>
      <c r="D28" s="890">
        <v>2</v>
      </c>
      <c r="E28" s="889" t="s">
        <v>6016</v>
      </c>
      <c r="F28" s="891">
        <v>1022</v>
      </c>
      <c r="G28" s="894"/>
      <c r="H28" s="893"/>
      <c r="I28" s="893">
        <f t="shared" si="0"/>
        <v>2044</v>
      </c>
    </row>
    <row r="29" spans="1:10" s="277" customFormat="1" ht="51" x14ac:dyDescent="0.2">
      <c r="A29" s="888" t="s">
        <v>199</v>
      </c>
      <c r="B29" s="889" t="s">
        <v>6017</v>
      </c>
      <c r="C29" s="890" t="s">
        <v>6011</v>
      </c>
      <c r="D29" s="890">
        <v>5</v>
      </c>
      <c r="E29" s="889" t="s">
        <v>9467</v>
      </c>
      <c r="F29" s="891">
        <v>561</v>
      </c>
      <c r="G29" s="894"/>
      <c r="H29" s="893"/>
      <c r="I29" s="893">
        <f t="shared" si="0"/>
        <v>2805</v>
      </c>
    </row>
    <row r="30" spans="1:10" s="277" customFormat="1" ht="51" x14ac:dyDescent="0.2">
      <c r="A30" s="888" t="s">
        <v>200</v>
      </c>
      <c r="B30" s="895" t="s">
        <v>6018</v>
      </c>
      <c r="C30" s="890" t="s">
        <v>6019</v>
      </c>
      <c r="D30" s="890">
        <v>1.6</v>
      </c>
      <c r="E30" s="889" t="s">
        <v>6020</v>
      </c>
      <c r="F30" s="891">
        <v>6.2</v>
      </c>
      <c r="G30" s="894"/>
      <c r="H30" s="893"/>
      <c r="I30" s="893">
        <f t="shared" si="0"/>
        <v>9.92</v>
      </c>
    </row>
    <row r="31" spans="1:10" s="277" customFormat="1" ht="78" customHeight="1" x14ac:dyDescent="0.2">
      <c r="A31" s="888" t="s">
        <v>425</v>
      </c>
      <c r="B31" s="896" t="s">
        <v>6021</v>
      </c>
      <c r="C31" s="890" t="s">
        <v>6019</v>
      </c>
      <c r="D31" s="890">
        <v>1.6</v>
      </c>
      <c r="E31" s="889" t="s">
        <v>6022</v>
      </c>
      <c r="F31" s="891">
        <v>160.19999999999999</v>
      </c>
      <c r="G31" s="894"/>
      <c r="H31" s="893"/>
      <c r="I31" s="893">
        <f t="shared" si="0"/>
        <v>256.32</v>
      </c>
    </row>
    <row r="32" spans="1:10" x14ac:dyDescent="0.2">
      <c r="A32" s="897"/>
      <c r="B32" s="898" t="s">
        <v>6023</v>
      </c>
      <c r="C32" s="898"/>
      <c r="D32" s="899"/>
      <c r="E32" s="897"/>
      <c r="F32" s="900"/>
      <c r="G32" s="897"/>
      <c r="H32" s="900"/>
      <c r="I32" s="901">
        <f>I13+I14+I15+I16+I17+I18+I19+I20+I21+I22+I23+I24+I25+I26+I27+I28+I29+I30+I31</f>
        <v>39477.71</v>
      </c>
    </row>
    <row r="33" spans="1:13" ht="25.5" x14ac:dyDescent="0.2">
      <c r="A33" s="902">
        <v>18</v>
      </c>
      <c r="B33" s="873" t="s">
        <v>6024</v>
      </c>
      <c r="C33" s="903"/>
      <c r="D33" s="904"/>
      <c r="E33" s="881" t="s">
        <v>6025</v>
      </c>
      <c r="F33" s="905">
        <v>0.2</v>
      </c>
      <c r="G33" s="906"/>
      <c r="H33" s="906"/>
      <c r="I33" s="904">
        <f>I32*F33</f>
        <v>7895.54</v>
      </c>
    </row>
    <row r="34" spans="1:13" ht="38.25" x14ac:dyDescent="0.2">
      <c r="A34" s="902">
        <v>19</v>
      </c>
      <c r="B34" s="873" t="s">
        <v>6026</v>
      </c>
      <c r="C34" s="903"/>
      <c r="D34" s="904"/>
      <c r="E34" s="881" t="s">
        <v>6027</v>
      </c>
      <c r="F34" s="905">
        <v>0.4</v>
      </c>
      <c r="G34" s="906"/>
      <c r="H34" s="906"/>
      <c r="I34" s="904">
        <f>(I32+I33)*F34</f>
        <v>18949.3</v>
      </c>
    </row>
    <row r="35" spans="1:13" ht="25.5" hidden="1" x14ac:dyDescent="0.2">
      <c r="A35" s="828"/>
      <c r="B35" s="907" t="s">
        <v>5951</v>
      </c>
      <c r="C35" s="898"/>
      <c r="D35" s="908">
        <f>I32+I34</f>
        <v>58427.01</v>
      </c>
      <c r="E35" s="875" t="s">
        <v>6028</v>
      </c>
      <c r="F35" s="905">
        <v>0</v>
      </c>
      <c r="G35" s="900">
        <v>0.5</v>
      </c>
      <c r="H35" s="900"/>
      <c r="I35" s="908">
        <f>D35*F35*G35</f>
        <v>0</v>
      </c>
    </row>
    <row r="36" spans="1:13" x14ac:dyDescent="0.2">
      <c r="A36" s="897"/>
      <c r="B36" s="898" t="s">
        <v>6029</v>
      </c>
      <c r="C36" s="898"/>
      <c r="D36" s="899"/>
      <c r="E36" s="897"/>
      <c r="F36" s="909"/>
      <c r="G36" s="897"/>
      <c r="H36" s="881"/>
      <c r="I36" s="901">
        <f>I32+I33+I34</f>
        <v>66322.55</v>
      </c>
    </row>
    <row r="37" spans="1:13" ht="15.75" x14ac:dyDescent="0.25">
      <c r="A37" s="2171" t="s">
        <v>6030</v>
      </c>
      <c r="B37" s="2172"/>
      <c r="C37" s="2172"/>
      <c r="D37" s="2172"/>
      <c r="E37" s="2172"/>
      <c r="F37" s="2172"/>
      <c r="G37" s="2172"/>
      <c r="H37" s="2172"/>
      <c r="I37" s="2173"/>
    </row>
    <row r="38" spans="1:13" ht="51" x14ac:dyDescent="0.2">
      <c r="A38" s="910">
        <v>20</v>
      </c>
      <c r="B38" s="836" t="s">
        <v>6031</v>
      </c>
      <c r="C38" s="875" t="s">
        <v>6032</v>
      </c>
      <c r="D38" s="875">
        <v>24</v>
      </c>
      <c r="E38" s="911" t="s">
        <v>6033</v>
      </c>
      <c r="F38" s="912">
        <v>5.6</v>
      </c>
      <c r="G38" s="829"/>
      <c r="H38" s="829"/>
      <c r="I38" s="874">
        <f>D38*F38</f>
        <v>134.4</v>
      </c>
    </row>
    <row r="39" spans="1:13" x14ac:dyDescent="0.2">
      <c r="A39" s="910">
        <v>21</v>
      </c>
      <c r="B39" s="836" t="s">
        <v>6034</v>
      </c>
      <c r="C39" s="875" t="s">
        <v>6032</v>
      </c>
      <c r="D39" s="875">
        <v>35</v>
      </c>
      <c r="E39" s="911" t="s">
        <v>6035</v>
      </c>
      <c r="F39" s="912">
        <v>1.9</v>
      </c>
      <c r="G39" s="829"/>
      <c r="H39" s="829"/>
      <c r="I39" s="874">
        <f t="shared" ref="I39:I40" si="1">D39*F39</f>
        <v>66.5</v>
      </c>
    </row>
    <row r="40" spans="1:13" x14ac:dyDescent="0.2">
      <c r="A40" s="910">
        <v>22</v>
      </c>
      <c r="B40" s="836" t="s">
        <v>6036</v>
      </c>
      <c r="C40" s="875" t="s">
        <v>6032</v>
      </c>
      <c r="D40" s="875">
        <v>7</v>
      </c>
      <c r="E40" s="911" t="s">
        <v>6037</v>
      </c>
      <c r="F40" s="912">
        <v>2.9</v>
      </c>
      <c r="G40" s="829"/>
      <c r="H40" s="829"/>
      <c r="I40" s="874">
        <f t="shared" si="1"/>
        <v>20.3</v>
      </c>
    </row>
    <row r="41" spans="1:13" ht="25.5" x14ac:dyDescent="0.2">
      <c r="A41" s="910">
        <v>23</v>
      </c>
      <c r="B41" s="836" t="s">
        <v>6038</v>
      </c>
      <c r="C41" s="875" t="s">
        <v>6032</v>
      </c>
      <c r="D41" s="875">
        <v>19</v>
      </c>
      <c r="E41" s="911" t="s">
        <v>6039</v>
      </c>
      <c r="F41" s="913">
        <v>13.3</v>
      </c>
      <c r="G41" s="911"/>
      <c r="H41" s="911"/>
      <c r="I41" s="874">
        <f>D41*F41</f>
        <v>252.7</v>
      </c>
    </row>
    <row r="42" spans="1:13" ht="25.5" x14ac:dyDescent="0.2">
      <c r="A42" s="910">
        <v>24</v>
      </c>
      <c r="B42" s="836" t="s">
        <v>6040</v>
      </c>
      <c r="C42" s="875" t="s">
        <v>6032</v>
      </c>
      <c r="D42" s="875">
        <v>19</v>
      </c>
      <c r="E42" s="911" t="s">
        <v>6041</v>
      </c>
      <c r="F42" s="913">
        <v>11.3</v>
      </c>
      <c r="G42" s="911"/>
      <c r="H42" s="911"/>
      <c r="I42" s="874">
        <f>D42*F42</f>
        <v>214.7</v>
      </c>
    </row>
    <row r="43" spans="1:13" ht="25.5" x14ac:dyDescent="0.2">
      <c r="A43" s="910">
        <v>25</v>
      </c>
      <c r="B43" s="836" t="s">
        <v>6042</v>
      </c>
      <c r="C43" s="875" t="s">
        <v>6043</v>
      </c>
      <c r="D43" s="875">
        <v>12</v>
      </c>
      <c r="E43" s="911" t="s">
        <v>6044</v>
      </c>
      <c r="F43" s="913">
        <v>25.4</v>
      </c>
      <c r="G43" s="829"/>
      <c r="H43" s="829"/>
      <c r="I43" s="874">
        <f>D43*F43</f>
        <v>304.8</v>
      </c>
    </row>
    <row r="44" spans="1:13" x14ac:dyDescent="0.2">
      <c r="A44" s="910">
        <v>26</v>
      </c>
      <c r="B44" s="836" t="s">
        <v>6045</v>
      </c>
      <c r="C44" s="875" t="s">
        <v>6046</v>
      </c>
      <c r="D44" s="875">
        <v>3</v>
      </c>
      <c r="E44" s="911" t="s">
        <v>6047</v>
      </c>
      <c r="F44" s="913">
        <v>67.3</v>
      </c>
      <c r="G44" s="829"/>
      <c r="H44" s="829"/>
      <c r="I44" s="874">
        <f>D44*F44</f>
        <v>201.9</v>
      </c>
    </row>
    <row r="45" spans="1:13" x14ac:dyDescent="0.2">
      <c r="A45" s="914"/>
      <c r="B45" s="898" t="s">
        <v>6048</v>
      </c>
      <c r="C45" s="898"/>
      <c r="D45" s="899"/>
      <c r="E45" s="881"/>
      <c r="F45" s="881"/>
      <c r="G45" s="881"/>
      <c r="H45" s="881"/>
      <c r="I45" s="901">
        <f>I38+I39+I40+I41+I42+I43+I44</f>
        <v>1195.3</v>
      </c>
      <c r="J45" s="279"/>
      <c r="K45" s="280"/>
      <c r="M45" s="280"/>
    </row>
    <row r="46" spans="1:13" ht="15.75" x14ac:dyDescent="0.25">
      <c r="A46" s="2171" t="s">
        <v>6049</v>
      </c>
      <c r="B46" s="2172"/>
      <c r="C46" s="2172"/>
      <c r="D46" s="2172"/>
      <c r="E46" s="2172"/>
      <c r="F46" s="2172"/>
      <c r="G46" s="2172"/>
      <c r="H46" s="2172"/>
      <c r="I46" s="2173"/>
      <c r="K46" s="280"/>
      <c r="M46" s="280"/>
    </row>
    <row r="47" spans="1:13" ht="38.25" x14ac:dyDescent="0.2">
      <c r="A47" s="910">
        <v>27</v>
      </c>
      <c r="B47" s="873" t="s">
        <v>9465</v>
      </c>
      <c r="C47" s="829" t="s">
        <v>5981</v>
      </c>
      <c r="D47" s="829">
        <f>D13</f>
        <v>2</v>
      </c>
      <c r="E47" s="836" t="s">
        <v>5982</v>
      </c>
      <c r="F47" s="874">
        <v>18.5</v>
      </c>
      <c r="G47" s="875"/>
      <c r="H47" s="828"/>
      <c r="I47" s="874">
        <f>D47*F47</f>
        <v>37</v>
      </c>
      <c r="K47" s="280"/>
      <c r="M47" s="280"/>
    </row>
    <row r="48" spans="1:13" ht="81" customHeight="1" x14ac:dyDescent="0.2">
      <c r="A48" s="910">
        <v>28</v>
      </c>
      <c r="B48" s="915" t="s">
        <v>6050</v>
      </c>
      <c r="C48" s="829" t="s">
        <v>5981</v>
      </c>
      <c r="D48" s="829">
        <v>2</v>
      </c>
      <c r="E48" s="836" t="s">
        <v>5984</v>
      </c>
      <c r="F48" s="874">
        <v>2.1</v>
      </c>
      <c r="G48" s="875"/>
      <c r="H48" s="828"/>
      <c r="I48" s="874">
        <f>D48*F48</f>
        <v>4.2</v>
      </c>
      <c r="K48" s="280"/>
      <c r="M48" s="280"/>
    </row>
    <row r="49" spans="1:13" ht="25.5" x14ac:dyDescent="0.2">
      <c r="A49" s="910">
        <v>29</v>
      </c>
      <c r="B49" s="873" t="s">
        <v>9466</v>
      </c>
      <c r="C49" s="829" t="s">
        <v>5985</v>
      </c>
      <c r="D49" s="829">
        <v>7</v>
      </c>
      <c r="E49" s="836" t="s">
        <v>5986</v>
      </c>
      <c r="F49" s="874">
        <v>6.5</v>
      </c>
      <c r="G49" s="875"/>
      <c r="H49" s="828"/>
      <c r="I49" s="874">
        <f>D49*F49</f>
        <v>45.5</v>
      </c>
      <c r="K49" s="280"/>
      <c r="M49" s="280"/>
    </row>
    <row r="50" spans="1:13" ht="51" x14ac:dyDescent="0.2">
      <c r="A50" s="910">
        <v>30</v>
      </c>
      <c r="B50" s="836" t="s">
        <v>9468</v>
      </c>
      <c r="C50" s="829" t="s">
        <v>6051</v>
      </c>
      <c r="D50" s="916">
        <v>70.45</v>
      </c>
      <c r="E50" s="911" t="s">
        <v>6052</v>
      </c>
      <c r="F50" s="913">
        <v>9.3000000000000007</v>
      </c>
      <c r="G50" s="836"/>
      <c r="H50" s="836"/>
      <c r="I50" s="917">
        <f t="shared" ref="I50:I57" si="2">D50*F50</f>
        <v>655.19000000000005</v>
      </c>
      <c r="J50" s="2169"/>
      <c r="K50" s="280"/>
      <c r="M50" s="280"/>
    </row>
    <row r="51" spans="1:13" ht="51" x14ac:dyDescent="0.2">
      <c r="A51" s="910">
        <v>31</v>
      </c>
      <c r="B51" s="836" t="s">
        <v>9469</v>
      </c>
      <c r="C51" s="829" t="s">
        <v>6051</v>
      </c>
      <c r="D51" s="916">
        <v>79.75</v>
      </c>
      <c r="E51" s="911" t="s">
        <v>6052</v>
      </c>
      <c r="F51" s="913">
        <v>8.1999999999999993</v>
      </c>
      <c r="G51" s="836"/>
      <c r="H51" s="836"/>
      <c r="I51" s="917">
        <f>D51*F51</f>
        <v>653.95000000000005</v>
      </c>
      <c r="J51" s="2169"/>
      <c r="K51" s="280"/>
      <c r="M51" s="280"/>
    </row>
    <row r="52" spans="1:13" ht="42" customHeight="1" x14ac:dyDescent="0.2">
      <c r="A52" s="910">
        <v>32</v>
      </c>
      <c r="B52" s="918" t="s">
        <v>6053</v>
      </c>
      <c r="C52" s="829" t="s">
        <v>6054</v>
      </c>
      <c r="D52" s="830">
        <v>4</v>
      </c>
      <c r="E52" s="911" t="s">
        <v>6055</v>
      </c>
      <c r="F52" s="913">
        <v>94.7</v>
      </c>
      <c r="G52" s="836"/>
      <c r="H52" s="836"/>
      <c r="I52" s="917">
        <f>D52*F52</f>
        <v>378.8</v>
      </c>
      <c r="J52" s="283"/>
      <c r="K52" s="280"/>
      <c r="M52" s="280"/>
    </row>
    <row r="53" spans="1:13" ht="38.25" customHeight="1" x14ac:dyDescent="0.2">
      <c r="A53" s="910">
        <v>33</v>
      </c>
      <c r="B53" s="896" t="s">
        <v>6056</v>
      </c>
      <c r="C53" s="829" t="s">
        <v>6054</v>
      </c>
      <c r="D53" s="830">
        <v>5</v>
      </c>
      <c r="E53" s="911" t="s">
        <v>9470</v>
      </c>
      <c r="F53" s="913">
        <v>94.7</v>
      </c>
      <c r="G53" s="829">
        <v>0.95</v>
      </c>
      <c r="H53" s="836"/>
      <c r="I53" s="917">
        <f>D53*F53*G53</f>
        <v>449.83</v>
      </c>
      <c r="J53" s="283"/>
      <c r="K53" s="280"/>
      <c r="M53" s="280"/>
    </row>
    <row r="54" spans="1:13" ht="51" x14ac:dyDescent="0.2">
      <c r="A54" s="910">
        <v>34</v>
      </c>
      <c r="B54" s="836" t="s">
        <v>6057</v>
      </c>
      <c r="C54" s="829" t="s">
        <v>6058</v>
      </c>
      <c r="D54" s="917">
        <f>I38+I39+I40+I42</f>
        <v>435.9</v>
      </c>
      <c r="E54" s="911" t="s">
        <v>6059</v>
      </c>
      <c r="F54" s="919">
        <v>0.15</v>
      </c>
      <c r="G54" s="920"/>
      <c r="H54" s="920"/>
      <c r="I54" s="917">
        <f t="shared" si="2"/>
        <v>65.39</v>
      </c>
      <c r="J54" s="284"/>
    </row>
    <row r="55" spans="1:13" ht="51" x14ac:dyDescent="0.2">
      <c r="A55" s="910">
        <v>35</v>
      </c>
      <c r="B55" s="921" t="s">
        <v>6060</v>
      </c>
      <c r="C55" s="829" t="s">
        <v>6058</v>
      </c>
      <c r="D55" s="917">
        <f>I43</f>
        <v>304.8</v>
      </c>
      <c r="E55" s="911" t="s">
        <v>6061</v>
      </c>
      <c r="F55" s="919">
        <v>0.15</v>
      </c>
      <c r="G55" s="920"/>
      <c r="H55" s="920"/>
      <c r="I55" s="917">
        <f>D55*F55</f>
        <v>45.72</v>
      </c>
      <c r="J55" s="284"/>
    </row>
    <row r="56" spans="1:13" ht="51" x14ac:dyDescent="0.2">
      <c r="A56" s="910">
        <v>36</v>
      </c>
      <c r="B56" s="836" t="s">
        <v>6062</v>
      </c>
      <c r="C56" s="829" t="s">
        <v>6058</v>
      </c>
      <c r="D56" s="917">
        <f>I44</f>
        <v>201.9</v>
      </c>
      <c r="E56" s="836" t="s">
        <v>6063</v>
      </c>
      <c r="F56" s="922">
        <v>0.15</v>
      </c>
      <c r="G56" s="920"/>
      <c r="H56" s="920"/>
      <c r="I56" s="917">
        <f>D56*F56</f>
        <v>30.29</v>
      </c>
      <c r="J56" s="284"/>
    </row>
    <row r="57" spans="1:13" ht="51" x14ac:dyDescent="0.25">
      <c r="A57" s="910">
        <v>37</v>
      </c>
      <c r="B57" s="923" t="s">
        <v>9471</v>
      </c>
      <c r="C57" s="924" t="s">
        <v>6064</v>
      </c>
      <c r="D57" s="925">
        <v>50</v>
      </c>
      <c r="E57" s="926" t="s">
        <v>6065</v>
      </c>
      <c r="F57" s="927">
        <v>9</v>
      </c>
      <c r="G57" s="928"/>
      <c r="H57" s="929"/>
      <c r="I57" s="927">
        <f t="shared" si="2"/>
        <v>450</v>
      </c>
      <c r="J57" s="2170"/>
    </row>
    <row r="58" spans="1:13" ht="51" x14ac:dyDescent="0.25">
      <c r="A58" s="910">
        <v>38</v>
      </c>
      <c r="B58" s="923" t="s">
        <v>9472</v>
      </c>
      <c r="C58" s="924" t="s">
        <v>6066</v>
      </c>
      <c r="D58" s="925">
        <v>50</v>
      </c>
      <c r="E58" s="926" t="s">
        <v>6067</v>
      </c>
      <c r="F58" s="927">
        <v>3.6</v>
      </c>
      <c r="G58" s="928"/>
      <c r="H58" s="929"/>
      <c r="I58" s="927">
        <f>D58*F58</f>
        <v>180</v>
      </c>
      <c r="J58" s="2170"/>
    </row>
    <row r="59" spans="1:13" ht="51" x14ac:dyDescent="0.2">
      <c r="A59" s="910">
        <v>39</v>
      </c>
      <c r="B59" s="836" t="s">
        <v>9473</v>
      </c>
      <c r="C59" s="829" t="s">
        <v>6068</v>
      </c>
      <c r="D59" s="930">
        <v>1</v>
      </c>
      <c r="E59" s="836" t="s">
        <v>6069</v>
      </c>
      <c r="F59" s="931">
        <v>500</v>
      </c>
      <c r="G59" s="877">
        <v>1.25</v>
      </c>
      <c r="H59" s="920"/>
      <c r="I59" s="917">
        <f>D59*F59*G59</f>
        <v>625</v>
      </c>
      <c r="J59" s="284"/>
    </row>
    <row r="60" spans="1:13" ht="51" x14ac:dyDescent="0.2">
      <c r="A60" s="910">
        <v>40</v>
      </c>
      <c r="B60" s="836" t="s">
        <v>9474</v>
      </c>
      <c r="C60" s="829" t="s">
        <v>6070</v>
      </c>
      <c r="D60" s="917">
        <f>I47+I48+I49+I50+I51+I52+I53+I54+I55+I56+I57+I58</f>
        <v>2995.87</v>
      </c>
      <c r="E60" s="836" t="s">
        <v>6071</v>
      </c>
      <c r="F60" s="919">
        <v>0.21</v>
      </c>
      <c r="G60" s="913">
        <v>1.5</v>
      </c>
      <c r="H60" s="913"/>
      <c r="I60" s="917">
        <f>D60*F60*G60</f>
        <v>943.7</v>
      </c>
      <c r="J60" s="284"/>
    </row>
    <row r="61" spans="1:13" x14ac:dyDescent="0.2">
      <c r="A61" s="932"/>
      <c r="B61" s="898" t="s">
        <v>5959</v>
      </c>
      <c r="C61" s="829"/>
      <c r="D61" s="840"/>
      <c r="E61" s="874"/>
      <c r="F61" s="877"/>
      <c r="G61" s="920"/>
      <c r="H61" s="920"/>
      <c r="I61" s="933">
        <f>D60+I59+I60</f>
        <v>4564.57</v>
      </c>
      <c r="J61" s="284"/>
    </row>
    <row r="62" spans="1:13" ht="15.75" x14ac:dyDescent="0.25">
      <c r="A62" s="2171" t="s">
        <v>6072</v>
      </c>
      <c r="B62" s="2172"/>
      <c r="C62" s="2172"/>
      <c r="D62" s="2172"/>
      <c r="E62" s="2172"/>
      <c r="F62" s="2172"/>
      <c r="G62" s="2172"/>
      <c r="H62" s="2172"/>
      <c r="I62" s="2173"/>
      <c r="J62" s="284"/>
    </row>
    <row r="63" spans="1:13" ht="25.5" hidden="1" x14ac:dyDescent="0.2">
      <c r="A63" s="910">
        <v>62</v>
      </c>
      <c r="B63" s="836" t="s">
        <v>6073</v>
      </c>
      <c r="C63" s="829"/>
      <c r="D63" s="916">
        <f>I36+I45+I61</f>
        <v>72082.42</v>
      </c>
      <c r="E63" s="934" t="s">
        <v>6074</v>
      </c>
      <c r="F63" s="919">
        <v>0</v>
      </c>
      <c r="G63" s="913"/>
      <c r="H63" s="935"/>
      <c r="I63" s="917">
        <f t="shared" ref="I63:I69" si="3">D63*F63</f>
        <v>0</v>
      </c>
      <c r="J63" s="284"/>
    </row>
    <row r="64" spans="1:13" ht="38.25" x14ac:dyDescent="0.2">
      <c r="A64" s="910">
        <v>41</v>
      </c>
      <c r="B64" s="836" t="s">
        <v>6075</v>
      </c>
      <c r="C64" s="829"/>
      <c r="D64" s="917">
        <f>I36</f>
        <v>66322.55</v>
      </c>
      <c r="E64" s="934" t="s">
        <v>6076</v>
      </c>
      <c r="F64" s="936">
        <v>8.7499999999999994E-2</v>
      </c>
      <c r="G64" s="913"/>
      <c r="H64" s="935"/>
      <c r="I64" s="917">
        <f>D64*F64</f>
        <v>5803.22</v>
      </c>
    </row>
    <row r="65" spans="1:10" ht="25.5" x14ac:dyDescent="0.2">
      <c r="A65" s="910">
        <v>42</v>
      </c>
      <c r="B65" s="937" t="s">
        <v>6077</v>
      </c>
      <c r="C65" s="829"/>
      <c r="D65" s="917">
        <f>D64+I64</f>
        <v>72125.77</v>
      </c>
      <c r="E65" s="934" t="s">
        <v>6078</v>
      </c>
      <c r="F65" s="936">
        <v>0.19600000000000001</v>
      </c>
      <c r="G65" s="913"/>
      <c r="H65" s="935"/>
      <c r="I65" s="917">
        <f>D65*F65</f>
        <v>14136.65</v>
      </c>
    </row>
    <row r="66" spans="1:10" ht="25.5" x14ac:dyDescent="0.2">
      <c r="A66" s="910">
        <v>43</v>
      </c>
      <c r="B66" s="836" t="s">
        <v>6079</v>
      </c>
      <c r="C66" s="829"/>
      <c r="D66" s="917">
        <f>D64+I64</f>
        <v>72125.77</v>
      </c>
      <c r="E66" s="938" t="s">
        <v>6080</v>
      </c>
      <c r="F66" s="919">
        <v>0.06</v>
      </c>
      <c r="G66" s="913"/>
      <c r="H66" s="935"/>
      <c r="I66" s="917">
        <f>D66*F66</f>
        <v>4327.55</v>
      </c>
    </row>
    <row r="67" spans="1:10" ht="25.5" hidden="1" x14ac:dyDescent="0.2">
      <c r="A67" s="910">
        <v>64</v>
      </c>
      <c r="B67" s="836" t="s">
        <v>6081</v>
      </c>
      <c r="C67" s="829"/>
      <c r="D67" s="916">
        <f>I32+I45+I61+I63</f>
        <v>45237.58</v>
      </c>
      <c r="E67" s="934" t="s">
        <v>6082</v>
      </c>
      <c r="F67" s="919">
        <v>0</v>
      </c>
      <c r="G67" s="913"/>
      <c r="H67" s="935"/>
      <c r="I67" s="917">
        <f t="shared" si="3"/>
        <v>0</v>
      </c>
    </row>
    <row r="68" spans="1:10" hidden="1" x14ac:dyDescent="0.2">
      <c r="A68" s="910">
        <v>73</v>
      </c>
      <c r="B68" s="836" t="s">
        <v>6083</v>
      </c>
      <c r="C68" s="829"/>
      <c r="D68" s="916">
        <f>I36+I45+I61+I63+I64+I65+I66+I67</f>
        <v>96349.84</v>
      </c>
      <c r="E68" s="934" t="s">
        <v>6084</v>
      </c>
      <c r="F68" s="919">
        <v>0</v>
      </c>
      <c r="G68" s="913"/>
      <c r="H68" s="935"/>
      <c r="I68" s="917">
        <f t="shared" si="3"/>
        <v>0</v>
      </c>
    </row>
    <row r="69" spans="1:10" s="286" customFormat="1" hidden="1" x14ac:dyDescent="0.2">
      <c r="A69" s="910">
        <v>74</v>
      </c>
      <c r="B69" s="836" t="s">
        <v>6085</v>
      </c>
      <c r="C69" s="829"/>
      <c r="D69" s="916">
        <f>I36+I45+I61+I64+I65+I66+I67+I68+I63</f>
        <v>96349.84</v>
      </c>
      <c r="E69" s="934" t="s">
        <v>6086</v>
      </c>
      <c r="F69" s="919">
        <v>0</v>
      </c>
      <c r="G69" s="913"/>
      <c r="H69" s="935"/>
      <c r="I69" s="917">
        <f t="shared" si="3"/>
        <v>0</v>
      </c>
      <c r="J69" s="284"/>
    </row>
    <row r="70" spans="1:10" x14ac:dyDescent="0.2">
      <c r="A70" s="914"/>
      <c r="B70" s="939" t="s">
        <v>6087</v>
      </c>
      <c r="C70" s="910"/>
      <c r="D70" s="940"/>
      <c r="E70" s="941"/>
      <c r="F70" s="942"/>
      <c r="G70" s="943"/>
      <c r="H70" s="944"/>
      <c r="I70" s="933">
        <f>I64+I65+I66</f>
        <v>24267.42</v>
      </c>
      <c r="J70" s="287"/>
    </row>
    <row r="71" spans="1:10" x14ac:dyDescent="0.2">
      <c r="A71" s="945"/>
      <c r="B71" s="946" t="s">
        <v>6088</v>
      </c>
      <c r="C71" s="946"/>
      <c r="D71" s="947"/>
      <c r="E71" s="948"/>
      <c r="F71" s="948"/>
      <c r="G71" s="948"/>
      <c r="H71" s="948"/>
      <c r="I71" s="933">
        <f>I36+I45+I61+I70</f>
        <v>96349.84</v>
      </c>
    </row>
    <row r="72" spans="1:10" ht="38.1" customHeight="1" x14ac:dyDescent="0.2">
      <c r="A72" s="949"/>
      <c r="B72" s="950" t="s">
        <v>5970</v>
      </c>
      <c r="C72" s="2177" t="s">
        <v>6089</v>
      </c>
      <c r="D72" s="2178"/>
      <c r="E72" s="2178"/>
      <c r="F72" s="2178"/>
      <c r="G72" s="2179"/>
      <c r="H72" s="951">
        <v>11.37</v>
      </c>
      <c r="I72" s="952">
        <f>I71*H72</f>
        <v>1095497.68</v>
      </c>
    </row>
    <row r="73" spans="1:10" ht="35.450000000000003" customHeight="1" x14ac:dyDescent="0.2">
      <c r="A73" s="949"/>
      <c r="B73" s="862" t="s">
        <v>6090</v>
      </c>
      <c r="C73" s="2177" t="s">
        <v>6091</v>
      </c>
      <c r="D73" s="2178"/>
      <c r="E73" s="2178"/>
      <c r="F73" s="2178"/>
      <c r="G73" s="2179"/>
      <c r="H73" s="951">
        <v>8.98</v>
      </c>
      <c r="I73" s="952">
        <f>I71*H73</f>
        <v>865221.56</v>
      </c>
    </row>
    <row r="74" spans="1:10" ht="32.1" customHeight="1" x14ac:dyDescent="0.2">
      <c r="A74" s="953"/>
      <c r="B74" s="954" t="s">
        <v>9475</v>
      </c>
      <c r="C74" s="2177" t="s">
        <v>6092</v>
      </c>
      <c r="D74" s="2178"/>
      <c r="E74" s="2178"/>
      <c r="F74" s="2178"/>
      <c r="G74" s="2179"/>
      <c r="H74" s="951">
        <v>52.94</v>
      </c>
      <c r="I74" s="955">
        <f>I71*H74</f>
        <v>5100760.53</v>
      </c>
    </row>
    <row r="75" spans="1:10" x14ac:dyDescent="0.2">
      <c r="B75" s="956"/>
      <c r="C75" s="957"/>
      <c r="D75" s="958"/>
      <c r="E75" s="956"/>
      <c r="F75" s="956"/>
      <c r="G75" s="956"/>
      <c r="H75" s="956"/>
      <c r="I75" s="959"/>
      <c r="J75" s="271"/>
    </row>
    <row r="76" spans="1:10" x14ac:dyDescent="0.2">
      <c r="B76" s="960" t="s">
        <v>5844</v>
      </c>
      <c r="E76" s="961"/>
      <c r="F76" s="961"/>
      <c r="G76" s="961"/>
      <c r="H76" s="961"/>
      <c r="I76" s="961"/>
      <c r="J76" s="271"/>
    </row>
    <row r="77" spans="1:10" x14ac:dyDescent="0.2">
      <c r="A77" s="293"/>
      <c r="B77" s="294"/>
      <c r="C77" s="294"/>
      <c r="D77" s="294"/>
      <c r="E77" s="294"/>
      <c r="F77" s="294"/>
      <c r="G77" s="294"/>
      <c r="H77" s="294"/>
      <c r="I77" s="295"/>
      <c r="J77" s="271"/>
    </row>
    <row r="78" spans="1:10" x14ac:dyDescent="0.2">
      <c r="A78" s="293"/>
      <c r="B78" s="294"/>
      <c r="C78" s="294"/>
      <c r="D78" s="293"/>
      <c r="E78" s="294"/>
      <c r="F78" s="294"/>
      <c r="G78" s="294"/>
      <c r="H78" s="294"/>
      <c r="I78" s="295"/>
      <c r="J78" s="271"/>
    </row>
    <row r="79" spans="1:10" x14ac:dyDescent="0.2">
      <c r="A79" s="293"/>
      <c r="B79" s="294"/>
      <c r="C79" s="294"/>
      <c r="D79" s="293"/>
      <c r="E79" s="294"/>
      <c r="F79" s="294"/>
      <c r="G79" s="294"/>
      <c r="H79" s="294"/>
      <c r="I79" s="294"/>
      <c r="J79" s="296"/>
    </row>
    <row r="80" spans="1:10" x14ac:dyDescent="0.2">
      <c r="J80" s="271"/>
    </row>
    <row r="81" spans="9:10" x14ac:dyDescent="0.2">
      <c r="I81" s="296"/>
      <c r="J81" s="271"/>
    </row>
    <row r="82" spans="9:10" x14ac:dyDescent="0.2">
      <c r="I82" s="296"/>
      <c r="J82" s="271"/>
    </row>
  </sheetData>
  <mergeCells count="24">
    <mergeCell ref="C72:G72"/>
    <mergeCell ref="C73:G73"/>
    <mergeCell ref="C74:G74"/>
    <mergeCell ref="A12:I12"/>
    <mergeCell ref="A37:I37"/>
    <mergeCell ref="A46:I46"/>
    <mergeCell ref="J50:J51"/>
    <mergeCell ref="J57:J58"/>
    <mergeCell ref="A62:I62"/>
    <mergeCell ref="A7:B7"/>
    <mergeCell ref="C7:I7"/>
    <mergeCell ref="A9:A10"/>
    <mergeCell ref="B9:B10"/>
    <mergeCell ref="C9:C10"/>
    <mergeCell ref="D9:D10"/>
    <mergeCell ref="E9:E10"/>
    <mergeCell ref="F9:H9"/>
    <mergeCell ref="I9:I10"/>
    <mergeCell ref="A1:I1"/>
    <mergeCell ref="A2:I2"/>
    <mergeCell ref="A3:I3"/>
    <mergeCell ref="A5:I5"/>
    <mergeCell ref="A6:B6"/>
    <mergeCell ref="C6:I6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6"/>
  <dimension ref="A1:M55"/>
  <sheetViews>
    <sheetView topLeftCell="A45" zoomScale="118" zoomScaleNormal="118" workbookViewId="0">
      <selection activeCell="G52" sqref="G52"/>
    </sheetView>
  </sheetViews>
  <sheetFormatPr defaultColWidth="9.140625" defaultRowHeight="15" x14ac:dyDescent="0.25"/>
  <cols>
    <col min="1" max="1" width="4.5703125" style="775" customWidth="1"/>
    <col min="2" max="2" width="37.28515625" style="775" customWidth="1"/>
    <col min="3" max="3" width="10.42578125" style="775" customWidth="1"/>
    <col min="4" max="4" width="8.85546875" style="775" customWidth="1"/>
    <col min="5" max="5" width="24.85546875" style="775" customWidth="1"/>
    <col min="6" max="6" width="13.140625" style="775" customWidth="1"/>
    <col min="7" max="7" width="11.7109375" style="775" customWidth="1"/>
    <col min="8" max="11" width="8.7109375" style="775" customWidth="1"/>
    <col min="12" max="12" width="15.7109375" style="775" customWidth="1"/>
    <col min="13" max="13" width="33.7109375" style="775" customWidth="1"/>
    <col min="14" max="14" width="11.140625" style="775" customWidth="1"/>
    <col min="15" max="256" width="9.140625" style="775"/>
    <col min="257" max="257" width="4.5703125" style="775" customWidth="1"/>
    <col min="258" max="258" width="37.28515625" style="775" customWidth="1"/>
    <col min="259" max="259" width="10.42578125" style="775" customWidth="1"/>
    <col min="260" max="260" width="13.7109375" style="775" customWidth="1"/>
    <col min="261" max="261" width="24.5703125" style="775" customWidth="1"/>
    <col min="262" max="262" width="10" style="775" customWidth="1"/>
    <col min="263" max="267" width="8.7109375" style="775" customWidth="1"/>
    <col min="268" max="268" width="15.7109375" style="775" customWidth="1"/>
    <col min="269" max="269" width="33.7109375" style="775" customWidth="1"/>
    <col min="270" max="270" width="11.140625" style="775" customWidth="1"/>
    <col min="271" max="512" width="9.140625" style="775"/>
    <col min="513" max="513" width="4.5703125" style="775" customWidth="1"/>
    <col min="514" max="514" width="37.28515625" style="775" customWidth="1"/>
    <col min="515" max="515" width="10.42578125" style="775" customWidth="1"/>
    <col min="516" max="516" width="13.7109375" style="775" customWidth="1"/>
    <col min="517" max="517" width="24.5703125" style="775" customWidth="1"/>
    <col min="518" max="518" width="10" style="775" customWidth="1"/>
    <col min="519" max="523" width="8.7109375" style="775" customWidth="1"/>
    <col min="524" max="524" width="15.7109375" style="775" customWidth="1"/>
    <col min="525" max="525" width="33.7109375" style="775" customWidth="1"/>
    <col min="526" max="526" width="11.140625" style="775" customWidth="1"/>
    <col min="527" max="768" width="9.140625" style="775"/>
    <col min="769" max="769" width="4.5703125" style="775" customWidth="1"/>
    <col min="770" max="770" width="37.28515625" style="775" customWidth="1"/>
    <col min="771" max="771" width="10.42578125" style="775" customWidth="1"/>
    <col min="772" max="772" width="13.7109375" style="775" customWidth="1"/>
    <col min="773" max="773" width="24.5703125" style="775" customWidth="1"/>
    <col min="774" max="774" width="10" style="775" customWidth="1"/>
    <col min="775" max="779" width="8.7109375" style="775" customWidth="1"/>
    <col min="780" max="780" width="15.7109375" style="775" customWidth="1"/>
    <col min="781" max="781" width="33.7109375" style="775" customWidth="1"/>
    <col min="782" max="782" width="11.140625" style="775" customWidth="1"/>
    <col min="783" max="1024" width="9.140625" style="775"/>
    <col min="1025" max="1025" width="4.5703125" style="775" customWidth="1"/>
    <col min="1026" max="1026" width="37.28515625" style="775" customWidth="1"/>
    <col min="1027" max="1027" width="10.42578125" style="775" customWidth="1"/>
    <col min="1028" max="1028" width="13.7109375" style="775" customWidth="1"/>
    <col min="1029" max="1029" width="24.5703125" style="775" customWidth="1"/>
    <col min="1030" max="1030" width="10" style="775" customWidth="1"/>
    <col min="1031" max="1035" width="8.7109375" style="775" customWidth="1"/>
    <col min="1036" max="1036" width="15.7109375" style="775" customWidth="1"/>
    <col min="1037" max="1037" width="33.7109375" style="775" customWidth="1"/>
    <col min="1038" max="1038" width="11.140625" style="775" customWidth="1"/>
    <col min="1039" max="1280" width="9.140625" style="775"/>
    <col min="1281" max="1281" width="4.5703125" style="775" customWidth="1"/>
    <col min="1282" max="1282" width="37.28515625" style="775" customWidth="1"/>
    <col min="1283" max="1283" width="10.42578125" style="775" customWidth="1"/>
    <col min="1284" max="1284" width="13.7109375" style="775" customWidth="1"/>
    <col min="1285" max="1285" width="24.5703125" style="775" customWidth="1"/>
    <col min="1286" max="1286" width="10" style="775" customWidth="1"/>
    <col min="1287" max="1291" width="8.7109375" style="775" customWidth="1"/>
    <col min="1292" max="1292" width="15.7109375" style="775" customWidth="1"/>
    <col min="1293" max="1293" width="33.7109375" style="775" customWidth="1"/>
    <col min="1294" max="1294" width="11.140625" style="775" customWidth="1"/>
    <col min="1295" max="1536" width="9.140625" style="775"/>
    <col min="1537" max="1537" width="4.5703125" style="775" customWidth="1"/>
    <col min="1538" max="1538" width="37.28515625" style="775" customWidth="1"/>
    <col min="1539" max="1539" width="10.42578125" style="775" customWidth="1"/>
    <col min="1540" max="1540" width="13.7109375" style="775" customWidth="1"/>
    <col min="1541" max="1541" width="24.5703125" style="775" customWidth="1"/>
    <col min="1542" max="1542" width="10" style="775" customWidth="1"/>
    <col min="1543" max="1547" width="8.7109375" style="775" customWidth="1"/>
    <col min="1548" max="1548" width="15.7109375" style="775" customWidth="1"/>
    <col min="1549" max="1549" width="33.7109375" style="775" customWidth="1"/>
    <col min="1550" max="1550" width="11.140625" style="775" customWidth="1"/>
    <col min="1551" max="1792" width="9.140625" style="775"/>
    <col min="1793" max="1793" width="4.5703125" style="775" customWidth="1"/>
    <col min="1794" max="1794" width="37.28515625" style="775" customWidth="1"/>
    <col min="1795" max="1795" width="10.42578125" style="775" customWidth="1"/>
    <col min="1796" max="1796" width="13.7109375" style="775" customWidth="1"/>
    <col min="1797" max="1797" width="24.5703125" style="775" customWidth="1"/>
    <col min="1798" max="1798" width="10" style="775" customWidth="1"/>
    <col min="1799" max="1803" width="8.7109375" style="775" customWidth="1"/>
    <col min="1804" max="1804" width="15.7109375" style="775" customWidth="1"/>
    <col min="1805" max="1805" width="33.7109375" style="775" customWidth="1"/>
    <col min="1806" max="1806" width="11.140625" style="775" customWidth="1"/>
    <col min="1807" max="2048" width="9.140625" style="775"/>
    <col min="2049" max="2049" width="4.5703125" style="775" customWidth="1"/>
    <col min="2050" max="2050" width="37.28515625" style="775" customWidth="1"/>
    <col min="2051" max="2051" width="10.42578125" style="775" customWidth="1"/>
    <col min="2052" max="2052" width="13.7109375" style="775" customWidth="1"/>
    <col min="2053" max="2053" width="24.5703125" style="775" customWidth="1"/>
    <col min="2054" max="2054" width="10" style="775" customWidth="1"/>
    <col min="2055" max="2059" width="8.7109375" style="775" customWidth="1"/>
    <col min="2060" max="2060" width="15.7109375" style="775" customWidth="1"/>
    <col min="2061" max="2061" width="33.7109375" style="775" customWidth="1"/>
    <col min="2062" max="2062" width="11.140625" style="775" customWidth="1"/>
    <col min="2063" max="2304" width="9.140625" style="775"/>
    <col min="2305" max="2305" width="4.5703125" style="775" customWidth="1"/>
    <col min="2306" max="2306" width="37.28515625" style="775" customWidth="1"/>
    <col min="2307" max="2307" width="10.42578125" style="775" customWidth="1"/>
    <col min="2308" max="2308" width="13.7109375" style="775" customWidth="1"/>
    <col min="2309" max="2309" width="24.5703125" style="775" customWidth="1"/>
    <col min="2310" max="2310" width="10" style="775" customWidth="1"/>
    <col min="2311" max="2315" width="8.7109375" style="775" customWidth="1"/>
    <col min="2316" max="2316" width="15.7109375" style="775" customWidth="1"/>
    <col min="2317" max="2317" width="33.7109375" style="775" customWidth="1"/>
    <col min="2318" max="2318" width="11.140625" style="775" customWidth="1"/>
    <col min="2319" max="2560" width="9.140625" style="775"/>
    <col min="2561" max="2561" width="4.5703125" style="775" customWidth="1"/>
    <col min="2562" max="2562" width="37.28515625" style="775" customWidth="1"/>
    <col min="2563" max="2563" width="10.42578125" style="775" customWidth="1"/>
    <col min="2564" max="2564" width="13.7109375" style="775" customWidth="1"/>
    <col min="2565" max="2565" width="24.5703125" style="775" customWidth="1"/>
    <col min="2566" max="2566" width="10" style="775" customWidth="1"/>
    <col min="2567" max="2571" width="8.7109375" style="775" customWidth="1"/>
    <col min="2572" max="2572" width="15.7109375" style="775" customWidth="1"/>
    <col min="2573" max="2573" width="33.7109375" style="775" customWidth="1"/>
    <col min="2574" max="2574" width="11.140625" style="775" customWidth="1"/>
    <col min="2575" max="2816" width="9.140625" style="775"/>
    <col min="2817" max="2817" width="4.5703125" style="775" customWidth="1"/>
    <col min="2818" max="2818" width="37.28515625" style="775" customWidth="1"/>
    <col min="2819" max="2819" width="10.42578125" style="775" customWidth="1"/>
    <col min="2820" max="2820" width="13.7109375" style="775" customWidth="1"/>
    <col min="2821" max="2821" width="24.5703125" style="775" customWidth="1"/>
    <col min="2822" max="2822" width="10" style="775" customWidth="1"/>
    <col min="2823" max="2827" width="8.7109375" style="775" customWidth="1"/>
    <col min="2828" max="2828" width="15.7109375" style="775" customWidth="1"/>
    <col min="2829" max="2829" width="33.7109375" style="775" customWidth="1"/>
    <col min="2830" max="2830" width="11.140625" style="775" customWidth="1"/>
    <col min="2831" max="3072" width="9.140625" style="775"/>
    <col min="3073" max="3073" width="4.5703125" style="775" customWidth="1"/>
    <col min="3074" max="3074" width="37.28515625" style="775" customWidth="1"/>
    <col min="3075" max="3075" width="10.42578125" style="775" customWidth="1"/>
    <col min="3076" max="3076" width="13.7109375" style="775" customWidth="1"/>
    <col min="3077" max="3077" width="24.5703125" style="775" customWidth="1"/>
    <col min="3078" max="3078" width="10" style="775" customWidth="1"/>
    <col min="3079" max="3083" width="8.7109375" style="775" customWidth="1"/>
    <col min="3084" max="3084" width="15.7109375" style="775" customWidth="1"/>
    <col min="3085" max="3085" width="33.7109375" style="775" customWidth="1"/>
    <col min="3086" max="3086" width="11.140625" style="775" customWidth="1"/>
    <col min="3087" max="3328" width="9.140625" style="775"/>
    <col min="3329" max="3329" width="4.5703125" style="775" customWidth="1"/>
    <col min="3330" max="3330" width="37.28515625" style="775" customWidth="1"/>
    <col min="3331" max="3331" width="10.42578125" style="775" customWidth="1"/>
    <col min="3332" max="3332" width="13.7109375" style="775" customWidth="1"/>
    <col min="3333" max="3333" width="24.5703125" style="775" customWidth="1"/>
    <col min="3334" max="3334" width="10" style="775" customWidth="1"/>
    <col min="3335" max="3339" width="8.7109375" style="775" customWidth="1"/>
    <col min="3340" max="3340" width="15.7109375" style="775" customWidth="1"/>
    <col min="3341" max="3341" width="33.7109375" style="775" customWidth="1"/>
    <col min="3342" max="3342" width="11.140625" style="775" customWidth="1"/>
    <col min="3343" max="3584" width="9.140625" style="775"/>
    <col min="3585" max="3585" width="4.5703125" style="775" customWidth="1"/>
    <col min="3586" max="3586" width="37.28515625" style="775" customWidth="1"/>
    <col min="3587" max="3587" width="10.42578125" style="775" customWidth="1"/>
    <col min="3588" max="3588" width="13.7109375" style="775" customWidth="1"/>
    <col min="3589" max="3589" width="24.5703125" style="775" customWidth="1"/>
    <col min="3590" max="3590" width="10" style="775" customWidth="1"/>
    <col min="3591" max="3595" width="8.7109375" style="775" customWidth="1"/>
    <col min="3596" max="3596" width="15.7109375" style="775" customWidth="1"/>
    <col min="3597" max="3597" width="33.7109375" style="775" customWidth="1"/>
    <col min="3598" max="3598" width="11.140625" style="775" customWidth="1"/>
    <col min="3599" max="3840" width="9.140625" style="775"/>
    <col min="3841" max="3841" width="4.5703125" style="775" customWidth="1"/>
    <col min="3842" max="3842" width="37.28515625" style="775" customWidth="1"/>
    <col min="3843" max="3843" width="10.42578125" style="775" customWidth="1"/>
    <col min="3844" max="3844" width="13.7109375" style="775" customWidth="1"/>
    <col min="3845" max="3845" width="24.5703125" style="775" customWidth="1"/>
    <col min="3846" max="3846" width="10" style="775" customWidth="1"/>
    <col min="3847" max="3851" width="8.7109375" style="775" customWidth="1"/>
    <col min="3852" max="3852" width="15.7109375" style="775" customWidth="1"/>
    <col min="3853" max="3853" width="33.7109375" style="775" customWidth="1"/>
    <col min="3854" max="3854" width="11.140625" style="775" customWidth="1"/>
    <col min="3855" max="4096" width="9.140625" style="775"/>
    <col min="4097" max="4097" width="4.5703125" style="775" customWidth="1"/>
    <col min="4098" max="4098" width="37.28515625" style="775" customWidth="1"/>
    <col min="4099" max="4099" width="10.42578125" style="775" customWidth="1"/>
    <col min="4100" max="4100" width="13.7109375" style="775" customWidth="1"/>
    <col min="4101" max="4101" width="24.5703125" style="775" customWidth="1"/>
    <col min="4102" max="4102" width="10" style="775" customWidth="1"/>
    <col min="4103" max="4107" width="8.7109375" style="775" customWidth="1"/>
    <col min="4108" max="4108" width="15.7109375" style="775" customWidth="1"/>
    <col min="4109" max="4109" width="33.7109375" style="775" customWidth="1"/>
    <col min="4110" max="4110" width="11.140625" style="775" customWidth="1"/>
    <col min="4111" max="4352" width="9.140625" style="775"/>
    <col min="4353" max="4353" width="4.5703125" style="775" customWidth="1"/>
    <col min="4354" max="4354" width="37.28515625" style="775" customWidth="1"/>
    <col min="4355" max="4355" width="10.42578125" style="775" customWidth="1"/>
    <col min="4356" max="4356" width="13.7109375" style="775" customWidth="1"/>
    <col min="4357" max="4357" width="24.5703125" style="775" customWidth="1"/>
    <col min="4358" max="4358" width="10" style="775" customWidth="1"/>
    <col min="4359" max="4363" width="8.7109375" style="775" customWidth="1"/>
    <col min="4364" max="4364" width="15.7109375" style="775" customWidth="1"/>
    <col min="4365" max="4365" width="33.7109375" style="775" customWidth="1"/>
    <col min="4366" max="4366" width="11.140625" style="775" customWidth="1"/>
    <col min="4367" max="4608" width="9.140625" style="775"/>
    <col min="4609" max="4609" width="4.5703125" style="775" customWidth="1"/>
    <col min="4610" max="4610" width="37.28515625" style="775" customWidth="1"/>
    <col min="4611" max="4611" width="10.42578125" style="775" customWidth="1"/>
    <col min="4612" max="4612" width="13.7109375" style="775" customWidth="1"/>
    <col min="4613" max="4613" width="24.5703125" style="775" customWidth="1"/>
    <col min="4614" max="4614" width="10" style="775" customWidth="1"/>
    <col min="4615" max="4619" width="8.7109375" style="775" customWidth="1"/>
    <col min="4620" max="4620" width="15.7109375" style="775" customWidth="1"/>
    <col min="4621" max="4621" width="33.7109375" style="775" customWidth="1"/>
    <col min="4622" max="4622" width="11.140625" style="775" customWidth="1"/>
    <col min="4623" max="4864" width="9.140625" style="775"/>
    <col min="4865" max="4865" width="4.5703125" style="775" customWidth="1"/>
    <col min="4866" max="4866" width="37.28515625" style="775" customWidth="1"/>
    <col min="4867" max="4867" width="10.42578125" style="775" customWidth="1"/>
    <col min="4868" max="4868" width="13.7109375" style="775" customWidth="1"/>
    <col min="4869" max="4869" width="24.5703125" style="775" customWidth="1"/>
    <col min="4870" max="4870" width="10" style="775" customWidth="1"/>
    <col min="4871" max="4875" width="8.7109375" style="775" customWidth="1"/>
    <col min="4876" max="4876" width="15.7109375" style="775" customWidth="1"/>
    <col min="4877" max="4877" width="33.7109375" style="775" customWidth="1"/>
    <col min="4878" max="4878" width="11.140625" style="775" customWidth="1"/>
    <col min="4879" max="5120" width="9.140625" style="775"/>
    <col min="5121" max="5121" width="4.5703125" style="775" customWidth="1"/>
    <col min="5122" max="5122" width="37.28515625" style="775" customWidth="1"/>
    <col min="5123" max="5123" width="10.42578125" style="775" customWidth="1"/>
    <col min="5124" max="5124" width="13.7109375" style="775" customWidth="1"/>
    <col min="5125" max="5125" width="24.5703125" style="775" customWidth="1"/>
    <col min="5126" max="5126" width="10" style="775" customWidth="1"/>
    <col min="5127" max="5131" width="8.7109375" style="775" customWidth="1"/>
    <col min="5132" max="5132" width="15.7109375" style="775" customWidth="1"/>
    <col min="5133" max="5133" width="33.7109375" style="775" customWidth="1"/>
    <col min="5134" max="5134" width="11.140625" style="775" customWidth="1"/>
    <col min="5135" max="5376" width="9.140625" style="775"/>
    <col min="5377" max="5377" width="4.5703125" style="775" customWidth="1"/>
    <col min="5378" max="5378" width="37.28515625" style="775" customWidth="1"/>
    <col min="5379" max="5379" width="10.42578125" style="775" customWidth="1"/>
    <col min="5380" max="5380" width="13.7109375" style="775" customWidth="1"/>
    <col min="5381" max="5381" width="24.5703125" style="775" customWidth="1"/>
    <col min="5382" max="5382" width="10" style="775" customWidth="1"/>
    <col min="5383" max="5387" width="8.7109375" style="775" customWidth="1"/>
    <col min="5388" max="5388" width="15.7109375" style="775" customWidth="1"/>
    <col min="5389" max="5389" width="33.7109375" style="775" customWidth="1"/>
    <col min="5390" max="5390" width="11.140625" style="775" customWidth="1"/>
    <col min="5391" max="5632" width="9.140625" style="775"/>
    <col min="5633" max="5633" width="4.5703125" style="775" customWidth="1"/>
    <col min="5634" max="5634" width="37.28515625" style="775" customWidth="1"/>
    <col min="5635" max="5635" width="10.42578125" style="775" customWidth="1"/>
    <col min="5636" max="5636" width="13.7109375" style="775" customWidth="1"/>
    <col min="5637" max="5637" width="24.5703125" style="775" customWidth="1"/>
    <col min="5638" max="5638" width="10" style="775" customWidth="1"/>
    <col min="5639" max="5643" width="8.7109375" style="775" customWidth="1"/>
    <col min="5644" max="5644" width="15.7109375" style="775" customWidth="1"/>
    <col min="5645" max="5645" width="33.7109375" style="775" customWidth="1"/>
    <col min="5646" max="5646" width="11.140625" style="775" customWidth="1"/>
    <col min="5647" max="5888" width="9.140625" style="775"/>
    <col min="5889" max="5889" width="4.5703125" style="775" customWidth="1"/>
    <col min="5890" max="5890" width="37.28515625" style="775" customWidth="1"/>
    <col min="5891" max="5891" width="10.42578125" style="775" customWidth="1"/>
    <col min="5892" max="5892" width="13.7109375" style="775" customWidth="1"/>
    <col min="5893" max="5893" width="24.5703125" style="775" customWidth="1"/>
    <col min="5894" max="5894" width="10" style="775" customWidth="1"/>
    <col min="5895" max="5899" width="8.7109375" style="775" customWidth="1"/>
    <col min="5900" max="5900" width="15.7109375" style="775" customWidth="1"/>
    <col min="5901" max="5901" width="33.7109375" style="775" customWidth="1"/>
    <col min="5902" max="5902" width="11.140625" style="775" customWidth="1"/>
    <col min="5903" max="6144" width="9.140625" style="775"/>
    <col min="6145" max="6145" width="4.5703125" style="775" customWidth="1"/>
    <col min="6146" max="6146" width="37.28515625" style="775" customWidth="1"/>
    <col min="6147" max="6147" width="10.42578125" style="775" customWidth="1"/>
    <col min="6148" max="6148" width="13.7109375" style="775" customWidth="1"/>
    <col min="6149" max="6149" width="24.5703125" style="775" customWidth="1"/>
    <col min="6150" max="6150" width="10" style="775" customWidth="1"/>
    <col min="6151" max="6155" width="8.7109375" style="775" customWidth="1"/>
    <col min="6156" max="6156" width="15.7109375" style="775" customWidth="1"/>
    <col min="6157" max="6157" width="33.7109375" style="775" customWidth="1"/>
    <col min="6158" max="6158" width="11.140625" style="775" customWidth="1"/>
    <col min="6159" max="6400" width="9.140625" style="775"/>
    <col min="6401" max="6401" width="4.5703125" style="775" customWidth="1"/>
    <col min="6402" max="6402" width="37.28515625" style="775" customWidth="1"/>
    <col min="6403" max="6403" width="10.42578125" style="775" customWidth="1"/>
    <col min="6404" max="6404" width="13.7109375" style="775" customWidth="1"/>
    <col min="6405" max="6405" width="24.5703125" style="775" customWidth="1"/>
    <col min="6406" max="6406" width="10" style="775" customWidth="1"/>
    <col min="6407" max="6411" width="8.7109375" style="775" customWidth="1"/>
    <col min="6412" max="6412" width="15.7109375" style="775" customWidth="1"/>
    <col min="6413" max="6413" width="33.7109375" style="775" customWidth="1"/>
    <col min="6414" max="6414" width="11.140625" style="775" customWidth="1"/>
    <col min="6415" max="6656" width="9.140625" style="775"/>
    <col min="6657" max="6657" width="4.5703125" style="775" customWidth="1"/>
    <col min="6658" max="6658" width="37.28515625" style="775" customWidth="1"/>
    <col min="6659" max="6659" width="10.42578125" style="775" customWidth="1"/>
    <col min="6660" max="6660" width="13.7109375" style="775" customWidth="1"/>
    <col min="6661" max="6661" width="24.5703125" style="775" customWidth="1"/>
    <col min="6662" max="6662" width="10" style="775" customWidth="1"/>
    <col min="6663" max="6667" width="8.7109375" style="775" customWidth="1"/>
    <col min="6668" max="6668" width="15.7109375" style="775" customWidth="1"/>
    <col min="6669" max="6669" width="33.7109375" style="775" customWidth="1"/>
    <col min="6670" max="6670" width="11.140625" style="775" customWidth="1"/>
    <col min="6671" max="6912" width="9.140625" style="775"/>
    <col min="6913" max="6913" width="4.5703125" style="775" customWidth="1"/>
    <col min="6914" max="6914" width="37.28515625" style="775" customWidth="1"/>
    <col min="6915" max="6915" width="10.42578125" style="775" customWidth="1"/>
    <col min="6916" max="6916" width="13.7109375" style="775" customWidth="1"/>
    <col min="6917" max="6917" width="24.5703125" style="775" customWidth="1"/>
    <col min="6918" max="6918" width="10" style="775" customWidth="1"/>
    <col min="6919" max="6923" width="8.7109375" style="775" customWidth="1"/>
    <col min="6924" max="6924" width="15.7109375" style="775" customWidth="1"/>
    <col min="6925" max="6925" width="33.7109375" style="775" customWidth="1"/>
    <col min="6926" max="6926" width="11.140625" style="775" customWidth="1"/>
    <col min="6927" max="7168" width="9.140625" style="775"/>
    <col min="7169" max="7169" width="4.5703125" style="775" customWidth="1"/>
    <col min="7170" max="7170" width="37.28515625" style="775" customWidth="1"/>
    <col min="7171" max="7171" width="10.42578125" style="775" customWidth="1"/>
    <col min="7172" max="7172" width="13.7109375" style="775" customWidth="1"/>
    <col min="7173" max="7173" width="24.5703125" style="775" customWidth="1"/>
    <col min="7174" max="7174" width="10" style="775" customWidth="1"/>
    <col min="7175" max="7179" width="8.7109375" style="775" customWidth="1"/>
    <col min="7180" max="7180" width="15.7109375" style="775" customWidth="1"/>
    <col min="7181" max="7181" width="33.7109375" style="775" customWidth="1"/>
    <col min="7182" max="7182" width="11.140625" style="775" customWidth="1"/>
    <col min="7183" max="7424" width="9.140625" style="775"/>
    <col min="7425" max="7425" width="4.5703125" style="775" customWidth="1"/>
    <col min="7426" max="7426" width="37.28515625" style="775" customWidth="1"/>
    <col min="7427" max="7427" width="10.42578125" style="775" customWidth="1"/>
    <col min="7428" max="7428" width="13.7109375" style="775" customWidth="1"/>
    <col min="7429" max="7429" width="24.5703125" style="775" customWidth="1"/>
    <col min="7430" max="7430" width="10" style="775" customWidth="1"/>
    <col min="7431" max="7435" width="8.7109375" style="775" customWidth="1"/>
    <col min="7436" max="7436" width="15.7109375" style="775" customWidth="1"/>
    <col min="7437" max="7437" width="33.7109375" style="775" customWidth="1"/>
    <col min="7438" max="7438" width="11.140625" style="775" customWidth="1"/>
    <col min="7439" max="7680" width="9.140625" style="775"/>
    <col min="7681" max="7681" width="4.5703125" style="775" customWidth="1"/>
    <col min="7682" max="7682" width="37.28515625" style="775" customWidth="1"/>
    <col min="7683" max="7683" width="10.42578125" style="775" customWidth="1"/>
    <col min="7684" max="7684" width="13.7109375" style="775" customWidth="1"/>
    <col min="7685" max="7685" width="24.5703125" style="775" customWidth="1"/>
    <col min="7686" max="7686" width="10" style="775" customWidth="1"/>
    <col min="7687" max="7691" width="8.7109375" style="775" customWidth="1"/>
    <col min="7692" max="7692" width="15.7109375" style="775" customWidth="1"/>
    <col min="7693" max="7693" width="33.7109375" style="775" customWidth="1"/>
    <col min="7694" max="7694" width="11.140625" style="775" customWidth="1"/>
    <col min="7695" max="7936" width="9.140625" style="775"/>
    <col min="7937" max="7937" width="4.5703125" style="775" customWidth="1"/>
    <col min="7938" max="7938" width="37.28515625" style="775" customWidth="1"/>
    <col min="7939" max="7939" width="10.42578125" style="775" customWidth="1"/>
    <col min="7940" max="7940" width="13.7109375" style="775" customWidth="1"/>
    <col min="7941" max="7941" width="24.5703125" style="775" customWidth="1"/>
    <col min="7942" max="7942" width="10" style="775" customWidth="1"/>
    <col min="7943" max="7947" width="8.7109375" style="775" customWidth="1"/>
    <col min="7948" max="7948" width="15.7109375" style="775" customWidth="1"/>
    <col min="7949" max="7949" width="33.7109375" style="775" customWidth="1"/>
    <col min="7950" max="7950" width="11.140625" style="775" customWidth="1"/>
    <col min="7951" max="8192" width="9.140625" style="775"/>
    <col min="8193" max="8193" width="4.5703125" style="775" customWidth="1"/>
    <col min="8194" max="8194" width="37.28515625" style="775" customWidth="1"/>
    <col min="8195" max="8195" width="10.42578125" style="775" customWidth="1"/>
    <col min="8196" max="8196" width="13.7109375" style="775" customWidth="1"/>
    <col min="8197" max="8197" width="24.5703125" style="775" customWidth="1"/>
    <col min="8198" max="8198" width="10" style="775" customWidth="1"/>
    <col min="8199" max="8203" width="8.7109375" style="775" customWidth="1"/>
    <col min="8204" max="8204" width="15.7109375" style="775" customWidth="1"/>
    <col min="8205" max="8205" width="33.7109375" style="775" customWidth="1"/>
    <col min="8206" max="8206" width="11.140625" style="775" customWidth="1"/>
    <col min="8207" max="8448" width="9.140625" style="775"/>
    <col min="8449" max="8449" width="4.5703125" style="775" customWidth="1"/>
    <col min="8450" max="8450" width="37.28515625" style="775" customWidth="1"/>
    <col min="8451" max="8451" width="10.42578125" style="775" customWidth="1"/>
    <col min="8452" max="8452" width="13.7109375" style="775" customWidth="1"/>
    <col min="8453" max="8453" width="24.5703125" style="775" customWidth="1"/>
    <col min="8454" max="8454" width="10" style="775" customWidth="1"/>
    <col min="8455" max="8459" width="8.7109375" style="775" customWidth="1"/>
    <col min="8460" max="8460" width="15.7109375" style="775" customWidth="1"/>
    <col min="8461" max="8461" width="33.7109375" style="775" customWidth="1"/>
    <col min="8462" max="8462" width="11.140625" style="775" customWidth="1"/>
    <col min="8463" max="8704" width="9.140625" style="775"/>
    <col min="8705" max="8705" width="4.5703125" style="775" customWidth="1"/>
    <col min="8706" max="8706" width="37.28515625" style="775" customWidth="1"/>
    <col min="8707" max="8707" width="10.42578125" style="775" customWidth="1"/>
    <col min="8708" max="8708" width="13.7109375" style="775" customWidth="1"/>
    <col min="8709" max="8709" width="24.5703125" style="775" customWidth="1"/>
    <col min="8710" max="8710" width="10" style="775" customWidth="1"/>
    <col min="8711" max="8715" width="8.7109375" style="775" customWidth="1"/>
    <col min="8716" max="8716" width="15.7109375" style="775" customWidth="1"/>
    <col min="8717" max="8717" width="33.7109375" style="775" customWidth="1"/>
    <col min="8718" max="8718" width="11.140625" style="775" customWidth="1"/>
    <col min="8719" max="8960" width="9.140625" style="775"/>
    <col min="8961" max="8961" width="4.5703125" style="775" customWidth="1"/>
    <col min="8962" max="8962" width="37.28515625" style="775" customWidth="1"/>
    <col min="8963" max="8963" width="10.42578125" style="775" customWidth="1"/>
    <col min="8964" max="8964" width="13.7109375" style="775" customWidth="1"/>
    <col min="8965" max="8965" width="24.5703125" style="775" customWidth="1"/>
    <col min="8966" max="8966" width="10" style="775" customWidth="1"/>
    <col min="8967" max="8971" width="8.7109375" style="775" customWidth="1"/>
    <col min="8972" max="8972" width="15.7109375" style="775" customWidth="1"/>
    <col min="8973" max="8973" width="33.7109375" style="775" customWidth="1"/>
    <col min="8974" max="8974" width="11.140625" style="775" customWidth="1"/>
    <col min="8975" max="9216" width="9.140625" style="775"/>
    <col min="9217" max="9217" width="4.5703125" style="775" customWidth="1"/>
    <col min="9218" max="9218" width="37.28515625" style="775" customWidth="1"/>
    <col min="9219" max="9219" width="10.42578125" style="775" customWidth="1"/>
    <col min="9220" max="9220" width="13.7109375" style="775" customWidth="1"/>
    <col min="9221" max="9221" width="24.5703125" style="775" customWidth="1"/>
    <col min="9222" max="9222" width="10" style="775" customWidth="1"/>
    <col min="9223" max="9227" width="8.7109375" style="775" customWidth="1"/>
    <col min="9228" max="9228" width="15.7109375" style="775" customWidth="1"/>
    <col min="9229" max="9229" width="33.7109375" style="775" customWidth="1"/>
    <col min="9230" max="9230" width="11.140625" style="775" customWidth="1"/>
    <col min="9231" max="9472" width="9.140625" style="775"/>
    <col min="9473" max="9473" width="4.5703125" style="775" customWidth="1"/>
    <col min="9474" max="9474" width="37.28515625" style="775" customWidth="1"/>
    <col min="9475" max="9475" width="10.42578125" style="775" customWidth="1"/>
    <col min="9476" max="9476" width="13.7109375" style="775" customWidth="1"/>
    <col min="9477" max="9477" width="24.5703125" style="775" customWidth="1"/>
    <col min="9478" max="9478" width="10" style="775" customWidth="1"/>
    <col min="9479" max="9483" width="8.7109375" style="775" customWidth="1"/>
    <col min="9484" max="9484" width="15.7109375" style="775" customWidth="1"/>
    <col min="9485" max="9485" width="33.7109375" style="775" customWidth="1"/>
    <col min="9486" max="9486" width="11.140625" style="775" customWidth="1"/>
    <col min="9487" max="9728" width="9.140625" style="775"/>
    <col min="9729" max="9729" width="4.5703125" style="775" customWidth="1"/>
    <col min="9730" max="9730" width="37.28515625" style="775" customWidth="1"/>
    <col min="9731" max="9731" width="10.42578125" style="775" customWidth="1"/>
    <col min="9732" max="9732" width="13.7109375" style="775" customWidth="1"/>
    <col min="9733" max="9733" width="24.5703125" style="775" customWidth="1"/>
    <col min="9734" max="9734" width="10" style="775" customWidth="1"/>
    <col min="9735" max="9739" width="8.7109375" style="775" customWidth="1"/>
    <col min="9740" max="9740" width="15.7109375" style="775" customWidth="1"/>
    <col min="9741" max="9741" width="33.7109375" style="775" customWidth="1"/>
    <col min="9742" max="9742" width="11.140625" style="775" customWidth="1"/>
    <col min="9743" max="9984" width="9.140625" style="775"/>
    <col min="9985" max="9985" width="4.5703125" style="775" customWidth="1"/>
    <col min="9986" max="9986" width="37.28515625" style="775" customWidth="1"/>
    <col min="9987" max="9987" width="10.42578125" style="775" customWidth="1"/>
    <col min="9988" max="9988" width="13.7109375" style="775" customWidth="1"/>
    <col min="9989" max="9989" width="24.5703125" style="775" customWidth="1"/>
    <col min="9990" max="9990" width="10" style="775" customWidth="1"/>
    <col min="9991" max="9995" width="8.7109375" style="775" customWidth="1"/>
    <col min="9996" max="9996" width="15.7109375" style="775" customWidth="1"/>
    <col min="9997" max="9997" width="33.7109375" style="775" customWidth="1"/>
    <col min="9998" max="9998" width="11.140625" style="775" customWidth="1"/>
    <col min="9999" max="10240" width="9.140625" style="775"/>
    <col min="10241" max="10241" width="4.5703125" style="775" customWidth="1"/>
    <col min="10242" max="10242" width="37.28515625" style="775" customWidth="1"/>
    <col min="10243" max="10243" width="10.42578125" style="775" customWidth="1"/>
    <col min="10244" max="10244" width="13.7109375" style="775" customWidth="1"/>
    <col min="10245" max="10245" width="24.5703125" style="775" customWidth="1"/>
    <col min="10246" max="10246" width="10" style="775" customWidth="1"/>
    <col min="10247" max="10251" width="8.7109375" style="775" customWidth="1"/>
    <col min="10252" max="10252" width="15.7109375" style="775" customWidth="1"/>
    <col min="10253" max="10253" width="33.7109375" style="775" customWidth="1"/>
    <col min="10254" max="10254" width="11.140625" style="775" customWidth="1"/>
    <col min="10255" max="10496" width="9.140625" style="775"/>
    <col min="10497" max="10497" width="4.5703125" style="775" customWidth="1"/>
    <col min="10498" max="10498" width="37.28515625" style="775" customWidth="1"/>
    <col min="10499" max="10499" width="10.42578125" style="775" customWidth="1"/>
    <col min="10500" max="10500" width="13.7109375" style="775" customWidth="1"/>
    <col min="10501" max="10501" width="24.5703125" style="775" customWidth="1"/>
    <col min="10502" max="10502" width="10" style="775" customWidth="1"/>
    <col min="10503" max="10507" width="8.7109375" style="775" customWidth="1"/>
    <col min="10508" max="10508" width="15.7109375" style="775" customWidth="1"/>
    <col min="10509" max="10509" width="33.7109375" style="775" customWidth="1"/>
    <col min="10510" max="10510" width="11.140625" style="775" customWidth="1"/>
    <col min="10511" max="10752" width="9.140625" style="775"/>
    <col min="10753" max="10753" width="4.5703125" style="775" customWidth="1"/>
    <col min="10754" max="10754" width="37.28515625" style="775" customWidth="1"/>
    <col min="10755" max="10755" width="10.42578125" style="775" customWidth="1"/>
    <col min="10756" max="10756" width="13.7109375" style="775" customWidth="1"/>
    <col min="10757" max="10757" width="24.5703125" style="775" customWidth="1"/>
    <col min="10758" max="10758" width="10" style="775" customWidth="1"/>
    <col min="10759" max="10763" width="8.7109375" style="775" customWidth="1"/>
    <col min="10764" max="10764" width="15.7109375" style="775" customWidth="1"/>
    <col min="10765" max="10765" width="33.7109375" style="775" customWidth="1"/>
    <col min="10766" max="10766" width="11.140625" style="775" customWidth="1"/>
    <col min="10767" max="11008" width="9.140625" style="775"/>
    <col min="11009" max="11009" width="4.5703125" style="775" customWidth="1"/>
    <col min="11010" max="11010" width="37.28515625" style="775" customWidth="1"/>
    <col min="11011" max="11011" width="10.42578125" style="775" customWidth="1"/>
    <col min="11012" max="11012" width="13.7109375" style="775" customWidth="1"/>
    <col min="11013" max="11013" width="24.5703125" style="775" customWidth="1"/>
    <col min="11014" max="11014" width="10" style="775" customWidth="1"/>
    <col min="11015" max="11019" width="8.7109375" style="775" customWidth="1"/>
    <col min="11020" max="11020" width="15.7109375" style="775" customWidth="1"/>
    <col min="11021" max="11021" width="33.7109375" style="775" customWidth="1"/>
    <col min="11022" max="11022" width="11.140625" style="775" customWidth="1"/>
    <col min="11023" max="11264" width="9.140625" style="775"/>
    <col min="11265" max="11265" width="4.5703125" style="775" customWidth="1"/>
    <col min="11266" max="11266" width="37.28515625" style="775" customWidth="1"/>
    <col min="11267" max="11267" width="10.42578125" style="775" customWidth="1"/>
    <col min="11268" max="11268" width="13.7109375" style="775" customWidth="1"/>
    <col min="11269" max="11269" width="24.5703125" style="775" customWidth="1"/>
    <col min="11270" max="11270" width="10" style="775" customWidth="1"/>
    <col min="11271" max="11275" width="8.7109375" style="775" customWidth="1"/>
    <col min="11276" max="11276" width="15.7109375" style="775" customWidth="1"/>
    <col min="11277" max="11277" width="33.7109375" style="775" customWidth="1"/>
    <col min="11278" max="11278" width="11.140625" style="775" customWidth="1"/>
    <col min="11279" max="11520" width="9.140625" style="775"/>
    <col min="11521" max="11521" width="4.5703125" style="775" customWidth="1"/>
    <col min="11522" max="11522" width="37.28515625" style="775" customWidth="1"/>
    <col min="11523" max="11523" width="10.42578125" style="775" customWidth="1"/>
    <col min="11524" max="11524" width="13.7109375" style="775" customWidth="1"/>
    <col min="11525" max="11525" width="24.5703125" style="775" customWidth="1"/>
    <col min="11526" max="11526" width="10" style="775" customWidth="1"/>
    <col min="11527" max="11531" width="8.7109375" style="775" customWidth="1"/>
    <col min="11532" max="11532" width="15.7109375" style="775" customWidth="1"/>
    <col min="11533" max="11533" width="33.7109375" style="775" customWidth="1"/>
    <col min="11534" max="11534" width="11.140625" style="775" customWidth="1"/>
    <col min="11535" max="11776" width="9.140625" style="775"/>
    <col min="11777" max="11777" width="4.5703125" style="775" customWidth="1"/>
    <col min="11778" max="11778" width="37.28515625" style="775" customWidth="1"/>
    <col min="11779" max="11779" width="10.42578125" style="775" customWidth="1"/>
    <col min="11780" max="11780" width="13.7109375" style="775" customWidth="1"/>
    <col min="11781" max="11781" width="24.5703125" style="775" customWidth="1"/>
    <col min="11782" max="11782" width="10" style="775" customWidth="1"/>
    <col min="11783" max="11787" width="8.7109375" style="775" customWidth="1"/>
    <col min="11788" max="11788" width="15.7109375" style="775" customWidth="1"/>
    <col min="11789" max="11789" width="33.7109375" style="775" customWidth="1"/>
    <col min="11790" max="11790" width="11.140625" style="775" customWidth="1"/>
    <col min="11791" max="12032" width="9.140625" style="775"/>
    <col min="12033" max="12033" width="4.5703125" style="775" customWidth="1"/>
    <col min="12034" max="12034" width="37.28515625" style="775" customWidth="1"/>
    <col min="12035" max="12035" width="10.42578125" style="775" customWidth="1"/>
    <col min="12036" max="12036" width="13.7109375" style="775" customWidth="1"/>
    <col min="12037" max="12037" width="24.5703125" style="775" customWidth="1"/>
    <col min="12038" max="12038" width="10" style="775" customWidth="1"/>
    <col min="12039" max="12043" width="8.7109375" style="775" customWidth="1"/>
    <col min="12044" max="12044" width="15.7109375" style="775" customWidth="1"/>
    <col min="12045" max="12045" width="33.7109375" style="775" customWidth="1"/>
    <col min="12046" max="12046" width="11.140625" style="775" customWidth="1"/>
    <col min="12047" max="12288" width="9.140625" style="775"/>
    <col min="12289" max="12289" width="4.5703125" style="775" customWidth="1"/>
    <col min="12290" max="12290" width="37.28515625" style="775" customWidth="1"/>
    <col min="12291" max="12291" width="10.42578125" style="775" customWidth="1"/>
    <col min="12292" max="12292" width="13.7109375" style="775" customWidth="1"/>
    <col min="12293" max="12293" width="24.5703125" style="775" customWidth="1"/>
    <col min="12294" max="12294" width="10" style="775" customWidth="1"/>
    <col min="12295" max="12299" width="8.7109375" style="775" customWidth="1"/>
    <col min="12300" max="12300" width="15.7109375" style="775" customWidth="1"/>
    <col min="12301" max="12301" width="33.7109375" style="775" customWidth="1"/>
    <col min="12302" max="12302" width="11.140625" style="775" customWidth="1"/>
    <col min="12303" max="12544" width="9.140625" style="775"/>
    <col min="12545" max="12545" width="4.5703125" style="775" customWidth="1"/>
    <col min="12546" max="12546" width="37.28515625" style="775" customWidth="1"/>
    <col min="12547" max="12547" width="10.42578125" style="775" customWidth="1"/>
    <col min="12548" max="12548" width="13.7109375" style="775" customWidth="1"/>
    <col min="12549" max="12549" width="24.5703125" style="775" customWidth="1"/>
    <col min="12550" max="12550" width="10" style="775" customWidth="1"/>
    <col min="12551" max="12555" width="8.7109375" style="775" customWidth="1"/>
    <col min="12556" max="12556" width="15.7109375" style="775" customWidth="1"/>
    <col min="12557" max="12557" width="33.7109375" style="775" customWidth="1"/>
    <col min="12558" max="12558" width="11.140625" style="775" customWidth="1"/>
    <col min="12559" max="12800" width="9.140625" style="775"/>
    <col min="12801" max="12801" width="4.5703125" style="775" customWidth="1"/>
    <col min="12802" max="12802" width="37.28515625" style="775" customWidth="1"/>
    <col min="12803" max="12803" width="10.42578125" style="775" customWidth="1"/>
    <col min="12804" max="12804" width="13.7109375" style="775" customWidth="1"/>
    <col min="12805" max="12805" width="24.5703125" style="775" customWidth="1"/>
    <col min="12806" max="12806" width="10" style="775" customWidth="1"/>
    <col min="12807" max="12811" width="8.7109375" style="775" customWidth="1"/>
    <col min="12812" max="12812" width="15.7109375" style="775" customWidth="1"/>
    <col min="12813" max="12813" width="33.7109375" style="775" customWidth="1"/>
    <col min="12814" max="12814" width="11.140625" style="775" customWidth="1"/>
    <col min="12815" max="13056" width="9.140625" style="775"/>
    <col min="13057" max="13057" width="4.5703125" style="775" customWidth="1"/>
    <col min="13058" max="13058" width="37.28515625" style="775" customWidth="1"/>
    <col min="13059" max="13059" width="10.42578125" style="775" customWidth="1"/>
    <col min="13060" max="13060" width="13.7109375" style="775" customWidth="1"/>
    <col min="13061" max="13061" width="24.5703125" style="775" customWidth="1"/>
    <col min="13062" max="13062" width="10" style="775" customWidth="1"/>
    <col min="13063" max="13067" width="8.7109375" style="775" customWidth="1"/>
    <col min="13068" max="13068" width="15.7109375" style="775" customWidth="1"/>
    <col min="13069" max="13069" width="33.7109375" style="775" customWidth="1"/>
    <col min="13070" max="13070" width="11.140625" style="775" customWidth="1"/>
    <col min="13071" max="13312" width="9.140625" style="775"/>
    <col min="13313" max="13313" width="4.5703125" style="775" customWidth="1"/>
    <col min="13314" max="13314" width="37.28515625" style="775" customWidth="1"/>
    <col min="13315" max="13315" width="10.42578125" style="775" customWidth="1"/>
    <col min="13316" max="13316" width="13.7109375" style="775" customWidth="1"/>
    <col min="13317" max="13317" width="24.5703125" style="775" customWidth="1"/>
    <col min="13318" max="13318" width="10" style="775" customWidth="1"/>
    <col min="13319" max="13323" width="8.7109375" style="775" customWidth="1"/>
    <col min="13324" max="13324" width="15.7109375" style="775" customWidth="1"/>
    <col min="13325" max="13325" width="33.7109375" style="775" customWidth="1"/>
    <col min="13326" max="13326" width="11.140625" style="775" customWidth="1"/>
    <col min="13327" max="13568" width="9.140625" style="775"/>
    <col min="13569" max="13569" width="4.5703125" style="775" customWidth="1"/>
    <col min="13570" max="13570" width="37.28515625" style="775" customWidth="1"/>
    <col min="13571" max="13571" width="10.42578125" style="775" customWidth="1"/>
    <col min="13572" max="13572" width="13.7109375" style="775" customWidth="1"/>
    <col min="13573" max="13573" width="24.5703125" style="775" customWidth="1"/>
    <col min="13574" max="13574" width="10" style="775" customWidth="1"/>
    <col min="13575" max="13579" width="8.7109375" style="775" customWidth="1"/>
    <col min="13580" max="13580" width="15.7109375" style="775" customWidth="1"/>
    <col min="13581" max="13581" width="33.7109375" style="775" customWidth="1"/>
    <col min="13582" max="13582" width="11.140625" style="775" customWidth="1"/>
    <col min="13583" max="13824" width="9.140625" style="775"/>
    <col min="13825" max="13825" width="4.5703125" style="775" customWidth="1"/>
    <col min="13826" max="13826" width="37.28515625" style="775" customWidth="1"/>
    <col min="13827" max="13827" width="10.42578125" style="775" customWidth="1"/>
    <col min="13828" max="13828" width="13.7109375" style="775" customWidth="1"/>
    <col min="13829" max="13829" width="24.5703125" style="775" customWidth="1"/>
    <col min="13830" max="13830" width="10" style="775" customWidth="1"/>
    <col min="13831" max="13835" width="8.7109375" style="775" customWidth="1"/>
    <col min="13836" max="13836" width="15.7109375" style="775" customWidth="1"/>
    <col min="13837" max="13837" width="33.7109375" style="775" customWidth="1"/>
    <col min="13838" max="13838" width="11.140625" style="775" customWidth="1"/>
    <col min="13839" max="14080" width="9.140625" style="775"/>
    <col min="14081" max="14081" width="4.5703125" style="775" customWidth="1"/>
    <col min="14082" max="14082" width="37.28515625" style="775" customWidth="1"/>
    <col min="14083" max="14083" width="10.42578125" style="775" customWidth="1"/>
    <col min="14084" max="14084" width="13.7109375" style="775" customWidth="1"/>
    <col min="14085" max="14085" width="24.5703125" style="775" customWidth="1"/>
    <col min="14086" max="14086" width="10" style="775" customWidth="1"/>
    <col min="14087" max="14091" width="8.7109375" style="775" customWidth="1"/>
    <col min="14092" max="14092" width="15.7109375" style="775" customWidth="1"/>
    <col min="14093" max="14093" width="33.7109375" style="775" customWidth="1"/>
    <col min="14094" max="14094" width="11.140625" style="775" customWidth="1"/>
    <col min="14095" max="14336" width="9.140625" style="775"/>
    <col min="14337" max="14337" width="4.5703125" style="775" customWidth="1"/>
    <col min="14338" max="14338" width="37.28515625" style="775" customWidth="1"/>
    <col min="14339" max="14339" width="10.42578125" style="775" customWidth="1"/>
    <col min="14340" max="14340" width="13.7109375" style="775" customWidth="1"/>
    <col min="14341" max="14341" width="24.5703125" style="775" customWidth="1"/>
    <col min="14342" max="14342" width="10" style="775" customWidth="1"/>
    <col min="14343" max="14347" width="8.7109375" style="775" customWidth="1"/>
    <col min="14348" max="14348" width="15.7109375" style="775" customWidth="1"/>
    <col min="14349" max="14349" width="33.7109375" style="775" customWidth="1"/>
    <col min="14350" max="14350" width="11.140625" style="775" customWidth="1"/>
    <col min="14351" max="14592" width="9.140625" style="775"/>
    <col min="14593" max="14593" width="4.5703125" style="775" customWidth="1"/>
    <col min="14594" max="14594" width="37.28515625" style="775" customWidth="1"/>
    <col min="14595" max="14595" width="10.42578125" style="775" customWidth="1"/>
    <col min="14596" max="14596" width="13.7109375" style="775" customWidth="1"/>
    <col min="14597" max="14597" width="24.5703125" style="775" customWidth="1"/>
    <col min="14598" max="14598" width="10" style="775" customWidth="1"/>
    <col min="14599" max="14603" width="8.7109375" style="775" customWidth="1"/>
    <col min="14604" max="14604" width="15.7109375" style="775" customWidth="1"/>
    <col min="14605" max="14605" width="33.7109375" style="775" customWidth="1"/>
    <col min="14606" max="14606" width="11.140625" style="775" customWidth="1"/>
    <col min="14607" max="14848" width="9.140625" style="775"/>
    <col min="14849" max="14849" width="4.5703125" style="775" customWidth="1"/>
    <col min="14850" max="14850" width="37.28515625" style="775" customWidth="1"/>
    <col min="14851" max="14851" width="10.42578125" style="775" customWidth="1"/>
    <col min="14852" max="14852" width="13.7109375" style="775" customWidth="1"/>
    <col min="14853" max="14853" width="24.5703125" style="775" customWidth="1"/>
    <col min="14854" max="14854" width="10" style="775" customWidth="1"/>
    <col min="14855" max="14859" width="8.7109375" style="775" customWidth="1"/>
    <col min="14860" max="14860" width="15.7109375" style="775" customWidth="1"/>
    <col min="14861" max="14861" width="33.7109375" style="775" customWidth="1"/>
    <col min="14862" max="14862" width="11.140625" style="775" customWidth="1"/>
    <col min="14863" max="15104" width="9.140625" style="775"/>
    <col min="15105" max="15105" width="4.5703125" style="775" customWidth="1"/>
    <col min="15106" max="15106" width="37.28515625" style="775" customWidth="1"/>
    <col min="15107" max="15107" width="10.42578125" style="775" customWidth="1"/>
    <col min="15108" max="15108" width="13.7109375" style="775" customWidth="1"/>
    <col min="15109" max="15109" width="24.5703125" style="775" customWidth="1"/>
    <col min="15110" max="15110" width="10" style="775" customWidth="1"/>
    <col min="15111" max="15115" width="8.7109375" style="775" customWidth="1"/>
    <col min="15116" max="15116" width="15.7109375" style="775" customWidth="1"/>
    <col min="15117" max="15117" width="33.7109375" style="775" customWidth="1"/>
    <col min="15118" max="15118" width="11.140625" style="775" customWidth="1"/>
    <col min="15119" max="15360" width="9.140625" style="775"/>
    <col min="15361" max="15361" width="4.5703125" style="775" customWidth="1"/>
    <col min="15362" max="15362" width="37.28515625" style="775" customWidth="1"/>
    <col min="15363" max="15363" width="10.42578125" style="775" customWidth="1"/>
    <col min="15364" max="15364" width="13.7109375" style="775" customWidth="1"/>
    <col min="15365" max="15365" width="24.5703125" style="775" customWidth="1"/>
    <col min="15366" max="15366" width="10" style="775" customWidth="1"/>
    <col min="15367" max="15371" width="8.7109375" style="775" customWidth="1"/>
    <col min="15372" max="15372" width="15.7109375" style="775" customWidth="1"/>
    <col min="15373" max="15373" width="33.7109375" style="775" customWidth="1"/>
    <col min="15374" max="15374" width="11.140625" style="775" customWidth="1"/>
    <col min="15375" max="15616" width="9.140625" style="775"/>
    <col min="15617" max="15617" width="4.5703125" style="775" customWidth="1"/>
    <col min="15618" max="15618" width="37.28515625" style="775" customWidth="1"/>
    <col min="15619" max="15619" width="10.42578125" style="775" customWidth="1"/>
    <col min="15620" max="15620" width="13.7109375" style="775" customWidth="1"/>
    <col min="15621" max="15621" width="24.5703125" style="775" customWidth="1"/>
    <col min="15622" max="15622" width="10" style="775" customWidth="1"/>
    <col min="15623" max="15627" width="8.7109375" style="775" customWidth="1"/>
    <col min="15628" max="15628" width="15.7109375" style="775" customWidth="1"/>
    <col min="15629" max="15629" width="33.7109375" style="775" customWidth="1"/>
    <col min="15630" max="15630" width="11.140625" style="775" customWidth="1"/>
    <col min="15631" max="15872" width="9.140625" style="775"/>
    <col min="15873" max="15873" width="4.5703125" style="775" customWidth="1"/>
    <col min="15874" max="15874" width="37.28515625" style="775" customWidth="1"/>
    <col min="15875" max="15875" width="10.42578125" style="775" customWidth="1"/>
    <col min="15876" max="15876" width="13.7109375" style="775" customWidth="1"/>
    <col min="15877" max="15877" width="24.5703125" style="775" customWidth="1"/>
    <col min="15878" max="15878" width="10" style="775" customWidth="1"/>
    <col min="15879" max="15883" width="8.7109375" style="775" customWidth="1"/>
    <col min="15884" max="15884" width="15.7109375" style="775" customWidth="1"/>
    <col min="15885" max="15885" width="33.7109375" style="775" customWidth="1"/>
    <col min="15886" max="15886" width="11.140625" style="775" customWidth="1"/>
    <col min="15887" max="16128" width="9.140625" style="775"/>
    <col min="16129" max="16129" width="4.5703125" style="775" customWidth="1"/>
    <col min="16130" max="16130" width="37.28515625" style="775" customWidth="1"/>
    <col min="16131" max="16131" width="10.42578125" style="775" customWidth="1"/>
    <col min="16132" max="16132" width="13.7109375" style="775" customWidth="1"/>
    <col min="16133" max="16133" width="24.5703125" style="775" customWidth="1"/>
    <col min="16134" max="16134" width="10" style="775" customWidth="1"/>
    <col min="16135" max="16139" width="8.7109375" style="775" customWidth="1"/>
    <col min="16140" max="16140" width="15.7109375" style="775" customWidth="1"/>
    <col min="16141" max="16141" width="33.7109375" style="775" customWidth="1"/>
    <col min="16142" max="16142" width="11.140625" style="775" customWidth="1"/>
    <col min="16143" max="16384" width="9.140625" style="775"/>
  </cols>
  <sheetData>
    <row r="1" spans="1:13" s="271" customFormat="1" ht="14.25" x14ac:dyDescent="0.2">
      <c r="A1" s="2163" t="s">
        <v>126</v>
      </c>
      <c r="B1" s="2163"/>
      <c r="C1" s="2163"/>
      <c r="D1" s="2163"/>
      <c r="E1" s="2163"/>
      <c r="F1" s="2163"/>
      <c r="G1" s="2163"/>
      <c r="H1" s="298"/>
      <c r="I1" s="298"/>
      <c r="J1" s="298"/>
      <c r="K1" s="298"/>
      <c r="L1" s="298"/>
      <c r="M1" s="270"/>
    </row>
    <row r="2" spans="1:13" s="271" customFormat="1" ht="12.75" x14ac:dyDescent="0.2">
      <c r="A2" s="2164" t="s">
        <v>6093</v>
      </c>
      <c r="B2" s="2164"/>
      <c r="C2" s="2164"/>
      <c r="D2" s="2164"/>
      <c r="E2" s="2164"/>
      <c r="F2" s="2164"/>
      <c r="G2" s="2164"/>
      <c r="H2" s="299"/>
      <c r="I2" s="299"/>
      <c r="J2" s="299"/>
      <c r="K2" s="299"/>
      <c r="L2" s="299"/>
      <c r="M2" s="270"/>
    </row>
    <row r="3" spans="1:13" s="271" customFormat="1" ht="7.9" customHeight="1" x14ac:dyDescent="0.2">
      <c r="A3" s="962"/>
      <c r="B3" s="962"/>
      <c r="C3" s="962"/>
      <c r="D3" s="962"/>
      <c r="E3" s="962"/>
      <c r="F3" s="962"/>
      <c r="G3" s="962"/>
      <c r="H3" s="962"/>
      <c r="I3" s="962"/>
      <c r="J3" s="962"/>
      <c r="K3" s="962"/>
      <c r="L3" s="962"/>
      <c r="M3" s="270"/>
    </row>
    <row r="4" spans="1:13" s="271" customFormat="1" ht="13.15" hidden="1" customHeight="1" x14ac:dyDescent="0.2">
      <c r="A4" s="272"/>
      <c r="B4" s="273"/>
      <c r="C4" s="273"/>
      <c r="D4" s="274"/>
      <c r="E4" s="273"/>
      <c r="F4" s="273"/>
      <c r="G4" s="273"/>
      <c r="H4" s="963"/>
      <c r="I4" s="963"/>
      <c r="J4" s="963"/>
      <c r="K4" s="963"/>
      <c r="L4" s="963"/>
      <c r="M4" s="270"/>
    </row>
    <row r="5" spans="1:13" s="271" customFormat="1" ht="48.95" customHeight="1" x14ac:dyDescent="0.2">
      <c r="A5" s="2166" t="s">
        <v>5904</v>
      </c>
      <c r="B5" s="2166"/>
      <c r="C5" s="2166"/>
      <c r="D5" s="2166"/>
      <c r="E5" s="2166"/>
      <c r="F5" s="2166"/>
      <c r="G5" s="2166"/>
      <c r="H5" s="300"/>
      <c r="I5" s="300"/>
      <c r="J5" s="300"/>
      <c r="K5" s="300"/>
      <c r="L5" s="300"/>
      <c r="M5" s="270"/>
    </row>
    <row r="6" spans="1:13" s="271" customFormat="1" ht="13.15" customHeight="1" x14ac:dyDescent="0.25">
      <c r="A6" s="2137" t="s">
        <v>5938</v>
      </c>
      <c r="B6" s="2138"/>
      <c r="C6" s="2168" t="s">
        <v>5887</v>
      </c>
      <c r="D6" s="2168"/>
      <c r="E6" s="2168"/>
      <c r="F6" s="2168"/>
      <c r="G6" s="2168"/>
      <c r="H6" s="964"/>
      <c r="I6" s="964"/>
      <c r="J6" s="964"/>
      <c r="K6" s="964"/>
      <c r="L6" s="273"/>
      <c r="M6" s="275"/>
    </row>
    <row r="7" spans="1:13" s="271" customFormat="1" ht="13.15" customHeight="1" x14ac:dyDescent="0.25">
      <c r="A7" s="2137" t="s">
        <v>5939</v>
      </c>
      <c r="B7" s="2138"/>
      <c r="C7" s="2186" t="s">
        <v>5889</v>
      </c>
      <c r="D7" s="2186"/>
      <c r="E7" s="2186"/>
      <c r="F7" s="2186"/>
      <c r="G7" s="2186"/>
      <c r="H7" s="964"/>
      <c r="I7" s="964"/>
      <c r="J7" s="964"/>
      <c r="K7" s="964"/>
      <c r="L7" s="965"/>
      <c r="M7" s="270"/>
    </row>
    <row r="8" spans="1:13" s="277" customFormat="1" ht="32.25" customHeight="1" x14ac:dyDescent="0.2">
      <c r="A8" s="966" t="s">
        <v>287</v>
      </c>
      <c r="B8" s="966" t="s">
        <v>176</v>
      </c>
      <c r="C8" s="966" t="s">
        <v>6094</v>
      </c>
      <c r="D8" s="966" t="s">
        <v>6095</v>
      </c>
      <c r="E8" s="966" t="s">
        <v>566</v>
      </c>
      <c r="F8" s="966" t="s">
        <v>567</v>
      </c>
      <c r="G8" s="966" t="s">
        <v>568</v>
      </c>
    </row>
    <row r="9" spans="1:13" s="277" customFormat="1" ht="14.45" customHeight="1" x14ac:dyDescent="0.2">
      <c r="A9" s="301"/>
      <c r="B9" s="301"/>
      <c r="C9" s="301"/>
      <c r="D9" s="301"/>
      <c r="E9" s="302" t="s">
        <v>570</v>
      </c>
      <c r="F9" s="301"/>
      <c r="G9" s="301"/>
    </row>
    <row r="10" spans="1:13" s="277" customFormat="1" ht="76.5" x14ac:dyDescent="0.2">
      <c r="A10" s="967" t="s">
        <v>185</v>
      </c>
      <c r="B10" s="968" t="s">
        <v>9476</v>
      </c>
      <c r="C10" s="968" t="s">
        <v>6096</v>
      </c>
      <c r="D10" s="968">
        <v>45</v>
      </c>
      <c r="E10" s="968" t="s">
        <v>6097</v>
      </c>
      <c r="F10" s="968" t="s">
        <v>9477</v>
      </c>
      <c r="G10" s="969">
        <f>ROUND(22  * 45 * 1.1 * 1.1*1.1*1.21,2)</f>
        <v>1594.4</v>
      </c>
    </row>
    <row r="11" spans="1:13" s="277" customFormat="1" ht="16.149999999999999" customHeight="1" x14ac:dyDescent="0.2">
      <c r="A11" s="970" t="s">
        <v>143</v>
      </c>
      <c r="B11" s="971" t="s">
        <v>572</v>
      </c>
      <c r="C11" s="971"/>
      <c r="D11" s="971"/>
      <c r="E11" s="971"/>
      <c r="F11" s="971"/>
      <c r="G11" s="972"/>
    </row>
    <row r="12" spans="1:13" s="277" customFormat="1" ht="38.25" x14ac:dyDescent="0.2">
      <c r="A12" s="303" t="s">
        <v>143</v>
      </c>
      <c r="B12" s="304" t="s">
        <v>6098</v>
      </c>
      <c r="C12" s="304"/>
      <c r="D12" s="304"/>
      <c r="E12" s="304" t="s">
        <v>6099</v>
      </c>
      <c r="F12" s="304"/>
      <c r="G12" s="305"/>
    </row>
    <row r="13" spans="1:13" s="277" customFormat="1" ht="25.5" x14ac:dyDescent="0.2">
      <c r="A13" s="303" t="s">
        <v>143</v>
      </c>
      <c r="B13" s="304" t="s">
        <v>6100</v>
      </c>
      <c r="C13" s="304"/>
      <c r="D13" s="304"/>
      <c r="E13" s="304" t="s">
        <v>6101</v>
      </c>
      <c r="F13" s="304"/>
      <c r="G13" s="305"/>
    </row>
    <row r="14" spans="1:13" s="277" customFormat="1" ht="38.25" x14ac:dyDescent="0.2">
      <c r="A14" s="303" t="s">
        <v>143</v>
      </c>
      <c r="B14" s="304" t="s">
        <v>6102</v>
      </c>
      <c r="C14" s="304"/>
      <c r="D14" s="304"/>
      <c r="E14" s="304" t="s">
        <v>6103</v>
      </c>
      <c r="F14" s="304"/>
      <c r="G14" s="305"/>
    </row>
    <row r="15" spans="1:13" s="277" customFormat="1" ht="51" x14ac:dyDescent="0.2">
      <c r="A15" s="306" t="s">
        <v>143</v>
      </c>
      <c r="B15" s="307" t="s">
        <v>6104</v>
      </c>
      <c r="C15" s="307"/>
      <c r="D15" s="307"/>
      <c r="E15" s="307" t="s">
        <v>6105</v>
      </c>
      <c r="F15" s="307"/>
      <c r="G15" s="308"/>
    </row>
    <row r="16" spans="1:13" s="277" customFormat="1" ht="51" x14ac:dyDescent="0.2">
      <c r="A16" s="309" t="s">
        <v>186</v>
      </c>
      <c r="B16" s="310" t="s">
        <v>6106</v>
      </c>
      <c r="C16" s="310" t="s">
        <v>6096</v>
      </c>
      <c r="D16" s="310">
        <v>3</v>
      </c>
      <c r="E16" s="310" t="s">
        <v>6107</v>
      </c>
      <c r="F16" s="310" t="s">
        <v>9478</v>
      </c>
      <c r="G16" s="311">
        <f>ROUND(9.5* 3 *1.1*1.21 * 1.1*1.15,2)</f>
        <v>47.99</v>
      </c>
    </row>
    <row r="17" spans="1:7" s="277" customFormat="1" ht="12.75" x14ac:dyDescent="0.2">
      <c r="A17" s="970" t="s">
        <v>143</v>
      </c>
      <c r="B17" s="971" t="s">
        <v>572</v>
      </c>
      <c r="C17" s="971"/>
      <c r="D17" s="971"/>
      <c r="E17" s="971"/>
      <c r="F17" s="971"/>
      <c r="G17" s="972"/>
    </row>
    <row r="18" spans="1:7" s="277" customFormat="1" ht="38.25" x14ac:dyDescent="0.2">
      <c r="A18" s="303" t="s">
        <v>143</v>
      </c>
      <c r="B18" s="312" t="s">
        <v>6108</v>
      </c>
      <c r="C18" s="304"/>
      <c r="D18" s="304"/>
      <c r="E18" s="304" t="s">
        <v>6109</v>
      </c>
      <c r="F18" s="304"/>
      <c r="G18" s="305"/>
    </row>
    <row r="19" spans="1:7" s="277" customFormat="1" ht="38.25" x14ac:dyDescent="0.2">
      <c r="A19" s="303" t="s">
        <v>143</v>
      </c>
      <c r="B19" s="304" t="s">
        <v>6102</v>
      </c>
      <c r="C19" s="304"/>
      <c r="D19" s="304"/>
      <c r="E19" s="304" t="s">
        <v>6110</v>
      </c>
      <c r="F19" s="304"/>
      <c r="G19" s="305"/>
    </row>
    <row r="20" spans="1:7" s="277" customFormat="1" ht="51" x14ac:dyDescent="0.2">
      <c r="A20" s="313" t="s">
        <v>143</v>
      </c>
      <c r="B20" s="314" t="s">
        <v>6104</v>
      </c>
      <c r="C20" s="314"/>
      <c r="D20" s="314"/>
      <c r="E20" s="314" t="s">
        <v>6111</v>
      </c>
      <c r="F20" s="314"/>
      <c r="G20" s="315"/>
    </row>
    <row r="21" spans="1:7" s="277" customFormat="1" ht="38.25" x14ac:dyDescent="0.2">
      <c r="A21" s="313" t="s">
        <v>143</v>
      </c>
      <c r="B21" s="282" t="s">
        <v>6112</v>
      </c>
      <c r="C21" s="314"/>
      <c r="D21" s="314"/>
      <c r="E21" s="314" t="s">
        <v>6113</v>
      </c>
      <c r="F21" s="314"/>
      <c r="G21" s="315"/>
    </row>
    <row r="22" spans="1:7" s="277" customFormat="1" ht="63.75" x14ac:dyDescent="0.2">
      <c r="A22" s="313" t="s">
        <v>143</v>
      </c>
      <c r="B22" s="316" t="s">
        <v>9479</v>
      </c>
      <c r="C22" s="314" t="s">
        <v>6096</v>
      </c>
      <c r="D22" s="314">
        <v>1</v>
      </c>
      <c r="E22" s="314" t="s">
        <v>6114</v>
      </c>
      <c r="F22" s="314" t="s">
        <v>6115</v>
      </c>
      <c r="G22" s="315">
        <f>17*1*1.21</f>
        <v>20.57</v>
      </c>
    </row>
    <row r="23" spans="1:7" s="277" customFormat="1" ht="38.25" x14ac:dyDescent="0.2">
      <c r="A23" s="313" t="s">
        <v>143</v>
      </c>
      <c r="B23" s="316" t="s">
        <v>6102</v>
      </c>
      <c r="C23" s="314"/>
      <c r="D23" s="314"/>
      <c r="E23" s="314" t="s">
        <v>6116</v>
      </c>
      <c r="F23" s="314"/>
      <c r="G23" s="315"/>
    </row>
    <row r="24" spans="1:7" s="277" customFormat="1" ht="13.15" customHeight="1" x14ac:dyDescent="0.2">
      <c r="A24" s="317" t="s">
        <v>187</v>
      </c>
      <c r="B24" s="318" t="s">
        <v>579</v>
      </c>
      <c r="C24" s="314"/>
      <c r="D24" s="314"/>
      <c r="E24" s="314"/>
      <c r="F24" s="314"/>
      <c r="G24" s="315">
        <f>G10+G16+G22</f>
        <v>1662.96</v>
      </c>
    </row>
    <row r="25" spans="1:7" s="277" customFormat="1" ht="63.75" x14ac:dyDescent="0.2">
      <c r="A25" s="319" t="s">
        <v>188</v>
      </c>
      <c r="B25" s="318" t="s">
        <v>6117</v>
      </c>
      <c r="C25" s="318"/>
      <c r="D25" s="318"/>
      <c r="E25" s="318" t="s">
        <v>6118</v>
      </c>
      <c r="F25" s="318" t="s">
        <v>6119</v>
      </c>
      <c r="G25" s="320">
        <f>G24*0.2</f>
        <v>332.59</v>
      </c>
    </row>
    <row r="26" spans="1:7" s="277" customFormat="1" ht="76.5" x14ac:dyDescent="0.2">
      <c r="A26" s="319" t="s">
        <v>189</v>
      </c>
      <c r="B26" s="318" t="s">
        <v>6120</v>
      </c>
      <c r="C26" s="318"/>
      <c r="D26" s="318"/>
      <c r="E26" s="318" t="s">
        <v>6121</v>
      </c>
      <c r="F26" s="318" t="s">
        <v>6122</v>
      </c>
      <c r="G26" s="320">
        <f>(G24+G25)*0.4</f>
        <v>798.22</v>
      </c>
    </row>
    <row r="27" spans="1:7" s="324" customFormat="1" ht="12.75" x14ac:dyDescent="0.2">
      <c r="A27" s="321" t="s">
        <v>190</v>
      </c>
      <c r="B27" s="322" t="s">
        <v>581</v>
      </c>
      <c r="C27" s="322"/>
      <c r="D27" s="322"/>
      <c r="E27" s="322"/>
      <c r="F27" s="322"/>
      <c r="G27" s="323">
        <f>G24+G25+G26</f>
        <v>2793.77</v>
      </c>
    </row>
    <row r="28" spans="1:7" s="277" customFormat="1" ht="13.15" customHeight="1" x14ac:dyDescent="0.2">
      <c r="A28" s="325"/>
      <c r="B28" s="318"/>
      <c r="C28" s="318"/>
      <c r="D28" s="318"/>
      <c r="E28" s="322" t="s">
        <v>582</v>
      </c>
      <c r="F28" s="318"/>
      <c r="G28" s="320"/>
    </row>
    <row r="29" spans="1:7" s="277" customFormat="1" ht="51.75" customHeight="1" x14ac:dyDescent="0.2">
      <c r="A29" s="967" t="s">
        <v>191</v>
      </c>
      <c r="B29" s="968" t="s">
        <v>6123</v>
      </c>
      <c r="C29" s="968" t="s">
        <v>6124</v>
      </c>
      <c r="D29" s="968">
        <v>90</v>
      </c>
      <c r="E29" s="968" t="s">
        <v>6125</v>
      </c>
      <c r="F29" s="968" t="s">
        <v>6126</v>
      </c>
      <c r="G29" s="969">
        <f>D29*13*1.21*1.5</f>
        <v>2123.5500000000002</v>
      </c>
    </row>
    <row r="30" spans="1:7" s="277" customFormat="1" ht="16.149999999999999" customHeight="1" x14ac:dyDescent="0.2">
      <c r="A30" s="970" t="s">
        <v>143</v>
      </c>
      <c r="B30" s="971" t="s">
        <v>572</v>
      </c>
      <c r="C30" s="971"/>
      <c r="D30" s="971"/>
      <c r="E30" s="971"/>
      <c r="F30" s="971"/>
      <c r="G30" s="972"/>
    </row>
    <row r="31" spans="1:7" s="277" customFormat="1" ht="27.95" customHeight="1" x14ac:dyDescent="0.2">
      <c r="A31" s="303" t="s">
        <v>143</v>
      </c>
      <c r="B31" s="304" t="s">
        <v>6127</v>
      </c>
      <c r="C31" s="304"/>
      <c r="D31" s="304"/>
      <c r="E31" s="304" t="s">
        <v>6128</v>
      </c>
      <c r="F31" s="304"/>
      <c r="G31" s="305"/>
    </row>
    <row r="32" spans="1:7" s="277" customFormat="1" ht="39.6" customHeight="1" x14ac:dyDescent="0.2">
      <c r="A32" s="313" t="s">
        <v>143</v>
      </c>
      <c r="B32" s="314" t="s">
        <v>6102</v>
      </c>
      <c r="C32" s="314"/>
      <c r="D32" s="314"/>
      <c r="E32" s="314" t="s">
        <v>6110</v>
      </c>
      <c r="F32" s="314"/>
      <c r="G32" s="315"/>
    </row>
    <row r="33" spans="1:7" s="277" customFormat="1" ht="67.7" customHeight="1" x14ac:dyDescent="0.2">
      <c r="A33" s="326" t="s">
        <v>192</v>
      </c>
      <c r="B33" s="307" t="s">
        <v>6129</v>
      </c>
      <c r="C33" s="307" t="s">
        <v>6130</v>
      </c>
      <c r="D33" s="327">
        <f>G16</f>
        <v>47.99</v>
      </c>
      <c r="E33" s="307" t="s">
        <v>6131</v>
      </c>
      <c r="F33" s="328">
        <v>0.3</v>
      </c>
      <c r="G33" s="308">
        <f>D33*0.3*1.5*1.21</f>
        <v>26.13</v>
      </c>
    </row>
    <row r="34" spans="1:7" s="277" customFormat="1" ht="16.149999999999999" customHeight="1" x14ac:dyDescent="0.2">
      <c r="A34" s="970" t="s">
        <v>143</v>
      </c>
      <c r="B34" s="971" t="s">
        <v>572</v>
      </c>
      <c r="C34" s="971"/>
      <c r="D34" s="971"/>
      <c r="E34" s="971"/>
      <c r="F34" s="971"/>
      <c r="G34" s="972"/>
    </row>
    <row r="35" spans="1:7" s="277" customFormat="1" ht="27.95" customHeight="1" x14ac:dyDescent="0.2">
      <c r="A35" s="303" t="s">
        <v>143</v>
      </c>
      <c r="B35" s="304" t="s">
        <v>6127</v>
      </c>
      <c r="C35" s="304"/>
      <c r="D35" s="304"/>
      <c r="E35" s="304" t="s">
        <v>6128</v>
      </c>
      <c r="F35" s="304"/>
      <c r="G35" s="305"/>
    </row>
    <row r="36" spans="1:7" s="277" customFormat="1" ht="39.6" customHeight="1" x14ac:dyDescent="0.2">
      <c r="A36" s="303" t="s">
        <v>143</v>
      </c>
      <c r="B36" s="304" t="s">
        <v>6102</v>
      </c>
      <c r="C36" s="304"/>
      <c r="D36" s="304"/>
      <c r="E36" s="304" t="s">
        <v>6110</v>
      </c>
      <c r="F36" s="304"/>
      <c r="G36" s="305"/>
    </row>
    <row r="37" spans="1:7" s="277" customFormat="1" ht="12.75" x14ac:dyDescent="0.2">
      <c r="A37" s="319" t="s">
        <v>193</v>
      </c>
      <c r="B37" s="318" t="s">
        <v>6132</v>
      </c>
      <c r="C37" s="318"/>
      <c r="D37" s="318"/>
      <c r="E37" s="318"/>
      <c r="F37" s="318"/>
      <c r="G37" s="323">
        <f>G29+G33</f>
        <v>2149.6799999999998</v>
      </c>
    </row>
    <row r="38" spans="1:7" s="277" customFormat="1" ht="38.25" x14ac:dyDescent="0.2">
      <c r="A38" s="326" t="s">
        <v>194</v>
      </c>
      <c r="B38" s="307" t="s">
        <v>6133</v>
      </c>
      <c r="C38" s="307" t="s">
        <v>6134</v>
      </c>
      <c r="D38" s="307">
        <v>1</v>
      </c>
      <c r="E38" s="307" t="s">
        <v>6135</v>
      </c>
      <c r="F38" s="307" t="s">
        <v>6136</v>
      </c>
      <c r="G38" s="308">
        <f>ROUND(200  * 1 * 1.21,5)</f>
        <v>242</v>
      </c>
    </row>
    <row r="39" spans="1:7" s="277" customFormat="1" ht="16.149999999999999" customHeight="1" x14ac:dyDescent="0.2">
      <c r="A39" s="970" t="s">
        <v>143</v>
      </c>
      <c r="B39" s="971" t="s">
        <v>572</v>
      </c>
      <c r="C39" s="971"/>
      <c r="D39" s="971"/>
      <c r="E39" s="971"/>
      <c r="F39" s="971"/>
      <c r="G39" s="972"/>
    </row>
    <row r="40" spans="1:7" s="277" customFormat="1" ht="39.6" customHeight="1" x14ac:dyDescent="0.2">
      <c r="A40" s="303" t="s">
        <v>143</v>
      </c>
      <c r="B40" s="304" t="s">
        <v>6102</v>
      </c>
      <c r="C40" s="304"/>
      <c r="D40" s="304"/>
      <c r="E40" s="304" t="s">
        <v>6116</v>
      </c>
      <c r="F40" s="304"/>
      <c r="G40" s="305"/>
    </row>
    <row r="41" spans="1:7" s="277" customFormat="1" ht="89.25" x14ac:dyDescent="0.2">
      <c r="A41" s="317" t="s">
        <v>195</v>
      </c>
      <c r="B41" s="314" t="s">
        <v>6137</v>
      </c>
      <c r="C41" s="314"/>
      <c r="D41" s="314"/>
      <c r="E41" s="314" t="s">
        <v>6138</v>
      </c>
      <c r="F41" s="314" t="s">
        <v>6139</v>
      </c>
      <c r="G41" s="315">
        <f>(1000+(G37)*0.1)*1.21*1.2</f>
        <v>1764.13</v>
      </c>
    </row>
    <row r="42" spans="1:7" s="324" customFormat="1" ht="12.75" x14ac:dyDescent="0.2">
      <c r="A42" s="319" t="s">
        <v>196</v>
      </c>
      <c r="B42" s="322" t="s">
        <v>6140</v>
      </c>
      <c r="C42" s="322"/>
      <c r="D42" s="322"/>
      <c r="E42" s="322"/>
      <c r="F42" s="322"/>
      <c r="G42" s="323">
        <f>G37+G38+G41</f>
        <v>4155.8100000000004</v>
      </c>
    </row>
    <row r="43" spans="1:7" s="277" customFormat="1" ht="13.15" customHeight="1" x14ac:dyDescent="0.2">
      <c r="A43" s="325"/>
      <c r="B43" s="318"/>
      <c r="C43" s="318"/>
      <c r="D43" s="318"/>
      <c r="E43" s="322" t="s">
        <v>6141</v>
      </c>
      <c r="F43" s="318"/>
      <c r="G43" s="320"/>
    </row>
    <row r="44" spans="1:7" s="277" customFormat="1" ht="51" x14ac:dyDescent="0.2">
      <c r="A44" s="319" t="s">
        <v>197</v>
      </c>
      <c r="B44" s="318" t="s">
        <v>6142</v>
      </c>
      <c r="C44" s="318"/>
      <c r="D44" s="318"/>
      <c r="E44" s="318" t="s">
        <v>6143</v>
      </c>
      <c r="F44" s="318" t="s">
        <v>6144</v>
      </c>
      <c r="G44" s="320">
        <f>G27*0.11*1.25</f>
        <v>384.14</v>
      </c>
    </row>
    <row r="45" spans="1:7" s="277" customFormat="1" ht="51" x14ac:dyDescent="0.2">
      <c r="A45" s="319" t="s">
        <v>198</v>
      </c>
      <c r="B45" s="318" t="s">
        <v>6145</v>
      </c>
      <c r="C45" s="318"/>
      <c r="D45" s="318"/>
      <c r="E45" s="318" t="s">
        <v>6146</v>
      </c>
      <c r="F45" s="318" t="s">
        <v>6147</v>
      </c>
      <c r="G45" s="320">
        <f>(G27+G44)*14%*1.4</f>
        <v>622.87</v>
      </c>
    </row>
    <row r="46" spans="1:7" s="277" customFormat="1" ht="38.25" x14ac:dyDescent="0.2">
      <c r="A46" s="319" t="s">
        <v>199</v>
      </c>
      <c r="B46" s="318" t="s">
        <v>6148</v>
      </c>
      <c r="C46" s="318"/>
      <c r="D46" s="318"/>
      <c r="E46" s="318" t="s">
        <v>6149</v>
      </c>
      <c r="F46" s="318" t="s">
        <v>6150</v>
      </c>
      <c r="G46" s="320">
        <f>(G27+G44)*0.06*2</f>
        <v>381.35</v>
      </c>
    </row>
    <row r="47" spans="1:7" s="277" customFormat="1" ht="38.25" x14ac:dyDescent="0.2">
      <c r="A47" s="319" t="s">
        <v>200</v>
      </c>
      <c r="B47" s="318" t="s">
        <v>6151</v>
      </c>
      <c r="C47" s="318"/>
      <c r="D47" s="318"/>
      <c r="E47" s="318" t="s">
        <v>6149</v>
      </c>
      <c r="F47" s="318" t="s">
        <v>6152</v>
      </c>
      <c r="G47" s="320">
        <f>(G27+G44)*0.05*2</f>
        <v>317.79000000000002</v>
      </c>
    </row>
    <row r="48" spans="1:7" s="277" customFormat="1" ht="39.6" customHeight="1" x14ac:dyDescent="0.2">
      <c r="A48" s="319" t="s">
        <v>425</v>
      </c>
      <c r="B48" s="318" t="s">
        <v>6153</v>
      </c>
      <c r="C48" s="318"/>
      <c r="D48" s="318"/>
      <c r="E48" s="318" t="s">
        <v>6154</v>
      </c>
      <c r="F48" s="318" t="s">
        <v>6155</v>
      </c>
      <c r="G48" s="320">
        <f>(G27+G42+G44)*0.05</f>
        <v>366.69</v>
      </c>
    </row>
    <row r="49" spans="1:7" s="324" customFormat="1" ht="12.75" x14ac:dyDescent="0.2">
      <c r="A49" s="319" t="s">
        <v>430</v>
      </c>
      <c r="B49" s="322" t="s">
        <v>6156</v>
      </c>
      <c r="C49" s="322"/>
      <c r="D49" s="322"/>
      <c r="E49" s="322"/>
      <c r="F49" s="322"/>
      <c r="G49" s="323">
        <f>G44+G45+G46+G47+G48</f>
        <v>2072.84</v>
      </c>
    </row>
    <row r="50" spans="1:7" s="324" customFormat="1" ht="13.15" customHeight="1" x14ac:dyDescent="0.2">
      <c r="A50" s="319" t="s">
        <v>436</v>
      </c>
      <c r="B50" s="318" t="s">
        <v>9480</v>
      </c>
      <c r="C50" s="322"/>
      <c r="D50" s="322"/>
      <c r="E50" s="322"/>
      <c r="F50" s="322"/>
      <c r="G50" s="323">
        <f>G27+G42+G49</f>
        <v>9022.42</v>
      </c>
    </row>
    <row r="51" spans="1:7" s="324" customFormat="1" ht="13.15" customHeight="1" x14ac:dyDescent="0.2">
      <c r="A51" s="317" t="s">
        <v>733</v>
      </c>
      <c r="B51" s="314" t="s">
        <v>6157</v>
      </c>
      <c r="C51" s="314"/>
      <c r="D51" s="314"/>
      <c r="E51" s="314" t="s">
        <v>6158</v>
      </c>
      <c r="F51" s="314"/>
      <c r="G51" s="329">
        <f>G50*1.08</f>
        <v>9744.2099999999991</v>
      </c>
    </row>
    <row r="52" spans="1:7" s="324" customFormat="1" ht="30.2" customHeight="1" x14ac:dyDescent="0.2">
      <c r="A52" s="317" t="s">
        <v>736</v>
      </c>
      <c r="B52" s="973" t="s">
        <v>5970</v>
      </c>
      <c r="C52" s="2183" t="s">
        <v>6089</v>
      </c>
      <c r="D52" s="2184"/>
      <c r="E52" s="2185"/>
      <c r="F52" s="974">
        <v>11.37</v>
      </c>
      <c r="G52" s="975">
        <f>G51*F52</f>
        <v>110791.67</v>
      </c>
    </row>
    <row r="53" spans="1:7" s="324" customFormat="1" ht="34.700000000000003" customHeight="1" x14ac:dyDescent="0.2">
      <c r="A53" s="317" t="s">
        <v>1067</v>
      </c>
      <c r="B53" s="973" t="s">
        <v>9481</v>
      </c>
      <c r="C53" s="2183" t="s">
        <v>6091</v>
      </c>
      <c r="D53" s="2184"/>
      <c r="E53" s="2185"/>
      <c r="F53" s="974">
        <v>8.98</v>
      </c>
      <c r="G53" s="975">
        <f>G51*F53</f>
        <v>87503.01</v>
      </c>
    </row>
    <row r="54" spans="1:7" s="324" customFormat="1" ht="35.450000000000003" customHeight="1" x14ac:dyDescent="0.2">
      <c r="A54" s="317" t="s">
        <v>912</v>
      </c>
      <c r="B54" s="976" t="s">
        <v>9475</v>
      </c>
      <c r="C54" s="2183" t="s">
        <v>6092</v>
      </c>
      <c r="D54" s="2184"/>
      <c r="E54" s="2185"/>
      <c r="F54" s="974">
        <v>52.94</v>
      </c>
      <c r="G54" s="975">
        <f>G51*F54</f>
        <v>515858.48</v>
      </c>
    </row>
    <row r="55" spans="1:7" s="330" customFormat="1" x14ac:dyDescent="0.25">
      <c r="G55" s="977"/>
    </row>
  </sheetData>
  <mergeCells count="10">
    <mergeCell ref="C52:E52"/>
    <mergeCell ref="C53:E53"/>
    <mergeCell ref="C54:E54"/>
    <mergeCell ref="A1:G1"/>
    <mergeCell ref="A2:G2"/>
    <mergeCell ref="A5:G5"/>
    <mergeCell ref="A6:B6"/>
    <mergeCell ref="C6:G6"/>
    <mergeCell ref="A7:B7"/>
    <mergeCell ref="C7:G7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7"/>
  <dimension ref="A1:J50"/>
  <sheetViews>
    <sheetView zoomScaleNormal="100" workbookViewId="0">
      <selection sqref="A1:J1"/>
    </sheetView>
  </sheetViews>
  <sheetFormatPr defaultColWidth="9.140625" defaultRowHeight="15" x14ac:dyDescent="0.25"/>
  <cols>
    <col min="1" max="1" width="4.5703125" style="775" customWidth="1"/>
    <col min="2" max="2" width="38.42578125" style="775" customWidth="1"/>
    <col min="3" max="3" width="13.42578125" style="775" customWidth="1"/>
    <col min="4" max="4" width="16.7109375" style="775" customWidth="1"/>
    <col min="5" max="5" width="22" style="775" customWidth="1"/>
    <col min="6" max="6" width="10.5703125" style="775" customWidth="1"/>
    <col min="7" max="7" width="7.5703125" style="775" customWidth="1"/>
    <col min="8" max="8" width="8.7109375" style="775" customWidth="1"/>
    <col min="9" max="9" width="8.28515625" style="775" customWidth="1"/>
    <col min="10" max="10" width="19" style="775" customWidth="1"/>
    <col min="11" max="16384" width="9.140625" style="775"/>
  </cols>
  <sheetData>
    <row r="1" spans="1:10" x14ac:dyDescent="0.25">
      <c r="A1" s="2163" t="s">
        <v>128</v>
      </c>
      <c r="B1" s="2163"/>
      <c r="C1" s="2163"/>
      <c r="D1" s="2163"/>
      <c r="E1" s="2163"/>
      <c r="F1" s="2163"/>
      <c r="G1" s="2163"/>
      <c r="H1" s="2163"/>
      <c r="I1" s="2163"/>
      <c r="J1" s="2163"/>
    </row>
    <row r="2" spans="1:10" ht="15" customHeight="1" x14ac:dyDescent="0.25">
      <c r="A2" s="2187" t="s">
        <v>6159</v>
      </c>
      <c r="B2" s="2187"/>
      <c r="C2" s="2187"/>
      <c r="D2" s="2187"/>
      <c r="E2" s="2187"/>
      <c r="F2" s="2187"/>
      <c r="G2" s="2187"/>
      <c r="H2" s="2187"/>
      <c r="I2" s="2187"/>
      <c r="J2" s="2187"/>
    </row>
    <row r="3" spans="1:10" ht="51" customHeight="1" x14ac:dyDescent="0.25">
      <c r="A3" s="2142" t="s">
        <v>5904</v>
      </c>
      <c r="B3" s="2142"/>
      <c r="C3" s="2142"/>
      <c r="D3" s="2142"/>
      <c r="E3" s="2142"/>
      <c r="F3" s="2142"/>
      <c r="G3" s="2142"/>
      <c r="H3" s="2142"/>
      <c r="I3" s="2142"/>
      <c r="J3" s="2142"/>
    </row>
    <row r="4" spans="1:10" ht="15" customHeight="1" x14ac:dyDescent="0.25">
      <c r="A4" s="2137" t="s">
        <v>5938</v>
      </c>
      <c r="B4" s="2138"/>
      <c r="C4" s="2139" t="s">
        <v>5887</v>
      </c>
      <c r="D4" s="2140"/>
      <c r="E4" s="2140"/>
      <c r="F4" s="2140"/>
      <c r="G4" s="2140"/>
      <c r="H4" s="2140"/>
      <c r="I4" s="2140"/>
      <c r="J4" s="2140"/>
    </row>
    <row r="5" spans="1:10" ht="15" customHeight="1" x14ac:dyDescent="0.25">
      <c r="A5" s="2137" t="s">
        <v>5939</v>
      </c>
      <c r="B5" s="2138"/>
      <c r="C5" s="2139" t="s">
        <v>5889</v>
      </c>
      <c r="D5" s="2140"/>
      <c r="E5" s="2140"/>
      <c r="F5" s="2140"/>
      <c r="G5" s="2140"/>
      <c r="H5" s="2140"/>
      <c r="I5" s="2140"/>
      <c r="J5" s="2140"/>
    </row>
    <row r="6" spans="1:10" x14ac:dyDescent="0.25">
      <c r="A6" s="2188" t="s">
        <v>6160</v>
      </c>
      <c r="B6" s="2189"/>
      <c r="C6" s="2189"/>
      <c r="D6" s="2189"/>
      <c r="E6" s="2189"/>
      <c r="F6" s="2189"/>
      <c r="G6" s="2189"/>
      <c r="H6" s="2189"/>
      <c r="I6" s="2189"/>
      <c r="J6" s="2190"/>
    </row>
    <row r="7" spans="1:10" x14ac:dyDescent="0.25">
      <c r="A7" s="2144" t="s">
        <v>8</v>
      </c>
      <c r="B7" s="2144" t="s">
        <v>5851</v>
      </c>
      <c r="C7" s="2144" t="s">
        <v>177</v>
      </c>
      <c r="D7" s="2144" t="s">
        <v>7</v>
      </c>
      <c r="E7" s="2144" t="s">
        <v>566</v>
      </c>
      <c r="F7" s="2191" t="s">
        <v>5942</v>
      </c>
      <c r="G7" s="2192"/>
      <c r="H7" s="2192"/>
      <c r="I7" s="2193"/>
      <c r="J7" s="2144" t="s">
        <v>5943</v>
      </c>
    </row>
    <row r="8" spans="1:10" x14ac:dyDescent="0.25">
      <c r="A8" s="2145"/>
      <c r="B8" s="2145"/>
      <c r="C8" s="2145"/>
      <c r="D8" s="2145"/>
      <c r="E8" s="2145"/>
      <c r="F8" s="776" t="s">
        <v>5944</v>
      </c>
      <c r="G8" s="776" t="s">
        <v>6161</v>
      </c>
      <c r="H8" s="776" t="s">
        <v>6161</v>
      </c>
      <c r="I8" s="776" t="s">
        <v>5946</v>
      </c>
      <c r="J8" s="2145"/>
    </row>
    <row r="9" spans="1:10" x14ac:dyDescent="0.25">
      <c r="A9" s="776">
        <v>1</v>
      </c>
      <c r="B9" s="776">
        <v>2</v>
      </c>
      <c r="C9" s="776">
        <v>3</v>
      </c>
      <c r="D9" s="776">
        <v>4</v>
      </c>
      <c r="E9" s="776">
        <v>5</v>
      </c>
      <c r="F9" s="2191">
        <v>6</v>
      </c>
      <c r="G9" s="2192"/>
      <c r="H9" s="2192"/>
      <c r="I9" s="2193"/>
      <c r="J9" s="776">
        <v>7</v>
      </c>
    </row>
    <row r="10" spans="1:10" x14ac:dyDescent="0.25">
      <c r="A10" s="2195" t="s">
        <v>5947</v>
      </c>
      <c r="B10" s="2196"/>
      <c r="C10" s="2196"/>
      <c r="D10" s="2196"/>
      <c r="E10" s="2196"/>
      <c r="F10" s="2196"/>
      <c r="G10" s="2196"/>
      <c r="H10" s="2196"/>
      <c r="I10" s="2196"/>
      <c r="J10" s="2197"/>
    </row>
    <row r="11" spans="1:10" ht="25.5" x14ac:dyDescent="0.25">
      <c r="A11" s="278">
        <v>1</v>
      </c>
      <c r="B11" s="276" t="s">
        <v>6162</v>
      </c>
      <c r="C11" s="776" t="s">
        <v>6163</v>
      </c>
      <c r="D11" s="776">
        <v>0.5</v>
      </c>
      <c r="E11" s="776" t="s">
        <v>6164</v>
      </c>
      <c r="F11" s="776">
        <v>42</v>
      </c>
      <c r="G11" s="776"/>
      <c r="H11" s="776"/>
      <c r="I11" s="776">
        <f t="shared" ref="I11:I16" si="0">D11</f>
        <v>0.5</v>
      </c>
      <c r="J11" s="331">
        <f>I11*F11</f>
        <v>21</v>
      </c>
    </row>
    <row r="12" spans="1:10" ht="51" x14ac:dyDescent="0.25">
      <c r="A12" s="278">
        <v>2</v>
      </c>
      <c r="B12" s="276" t="s">
        <v>6165</v>
      </c>
      <c r="C12" s="776" t="s">
        <v>6166</v>
      </c>
      <c r="D12" s="776">
        <v>1</v>
      </c>
      <c r="E12" s="776" t="s">
        <v>6167</v>
      </c>
      <c r="F12" s="776">
        <v>186</v>
      </c>
      <c r="G12" s="776"/>
      <c r="H12" s="776"/>
      <c r="I12" s="776">
        <f t="shared" si="0"/>
        <v>1</v>
      </c>
      <c r="J12" s="331">
        <f>I12*F12</f>
        <v>186</v>
      </c>
    </row>
    <row r="13" spans="1:10" ht="25.5" x14ac:dyDescent="0.25">
      <c r="A13" s="278">
        <v>3</v>
      </c>
      <c r="B13" s="276" t="s">
        <v>6168</v>
      </c>
      <c r="C13" s="776" t="s">
        <v>6169</v>
      </c>
      <c r="D13" s="776">
        <v>1</v>
      </c>
      <c r="E13" s="776" t="s">
        <v>6170</v>
      </c>
      <c r="F13" s="776">
        <v>78</v>
      </c>
      <c r="G13" s="776"/>
      <c r="H13" s="776"/>
      <c r="I13" s="776">
        <f t="shared" si="0"/>
        <v>1</v>
      </c>
      <c r="J13" s="331">
        <f t="shared" ref="J13:J16" si="1">I13*F13</f>
        <v>78</v>
      </c>
    </row>
    <row r="14" spans="1:10" ht="25.5" x14ac:dyDescent="0.25">
      <c r="A14" s="278">
        <v>4</v>
      </c>
      <c r="B14" s="276" t="s">
        <v>6171</v>
      </c>
      <c r="C14" s="776" t="s">
        <v>6172</v>
      </c>
      <c r="D14" s="776">
        <v>2</v>
      </c>
      <c r="E14" s="776" t="s">
        <v>6173</v>
      </c>
      <c r="F14" s="776">
        <v>38</v>
      </c>
      <c r="G14" s="776"/>
      <c r="H14" s="776"/>
      <c r="I14" s="776">
        <f t="shared" si="0"/>
        <v>2</v>
      </c>
      <c r="J14" s="331">
        <f t="shared" si="1"/>
        <v>76</v>
      </c>
    </row>
    <row r="15" spans="1:10" x14ac:dyDescent="0.25">
      <c r="A15" s="278">
        <v>5</v>
      </c>
      <c r="B15" s="276" t="s">
        <v>6174</v>
      </c>
      <c r="C15" s="776" t="s">
        <v>6175</v>
      </c>
      <c r="D15" s="776">
        <v>2</v>
      </c>
      <c r="E15" s="776" t="s">
        <v>6176</v>
      </c>
      <c r="F15" s="776">
        <v>19</v>
      </c>
      <c r="G15" s="776"/>
      <c r="H15" s="776"/>
      <c r="I15" s="776">
        <f t="shared" si="0"/>
        <v>2</v>
      </c>
      <c r="J15" s="331">
        <f t="shared" si="1"/>
        <v>38</v>
      </c>
    </row>
    <row r="16" spans="1:10" x14ac:dyDescent="0.25">
      <c r="A16" s="278">
        <v>6</v>
      </c>
      <c r="B16" s="276" t="s">
        <v>6177</v>
      </c>
      <c r="C16" s="776" t="s">
        <v>6178</v>
      </c>
      <c r="D16" s="776">
        <v>5</v>
      </c>
      <c r="E16" s="332" t="s">
        <v>6179</v>
      </c>
      <c r="F16" s="776">
        <v>7</v>
      </c>
      <c r="G16" s="776"/>
      <c r="H16" s="776"/>
      <c r="I16" s="776">
        <f t="shared" si="0"/>
        <v>5</v>
      </c>
      <c r="J16" s="331">
        <f t="shared" si="1"/>
        <v>35</v>
      </c>
    </row>
    <row r="17" spans="1:10" ht="25.5" x14ac:dyDescent="0.25">
      <c r="A17" s="278"/>
      <c r="B17" s="278" t="s">
        <v>6180</v>
      </c>
      <c r="C17" s="778"/>
      <c r="D17" s="778"/>
      <c r="E17" s="777"/>
      <c r="F17" s="777"/>
      <c r="G17" s="777">
        <v>1.2</v>
      </c>
      <c r="H17" s="777">
        <v>1.4</v>
      </c>
      <c r="I17" s="777"/>
      <c r="J17" s="333">
        <f>SUM(J11:J16)*G17*H17</f>
        <v>729.12</v>
      </c>
    </row>
    <row r="18" spans="1:10" x14ac:dyDescent="0.25">
      <c r="A18" s="2195" t="s">
        <v>5955</v>
      </c>
      <c r="B18" s="2196"/>
      <c r="C18" s="2196"/>
      <c r="D18" s="2196"/>
      <c r="E18" s="2196"/>
      <c r="F18" s="2196"/>
      <c r="G18" s="2196"/>
      <c r="H18" s="2196"/>
      <c r="I18" s="2196"/>
      <c r="J18" s="2197"/>
    </row>
    <row r="19" spans="1:10" ht="25.5" x14ac:dyDescent="0.25">
      <c r="A19" s="278">
        <v>7</v>
      </c>
      <c r="B19" s="276" t="str">
        <f>B11</f>
        <v>Рекогносцировочное обследование реки, категория сложности III</v>
      </c>
      <c r="C19" s="776" t="str">
        <f>C11</f>
        <v>1км реки</v>
      </c>
      <c r="D19" s="776">
        <f>D11</f>
        <v>0.5</v>
      </c>
      <c r="E19" s="776" t="s">
        <v>6164</v>
      </c>
      <c r="F19" s="776">
        <v>14</v>
      </c>
      <c r="G19" s="776"/>
      <c r="H19" s="776"/>
      <c r="I19" s="776">
        <f>I11</f>
        <v>0.5</v>
      </c>
      <c r="J19" s="331">
        <f>I19*F19</f>
        <v>7</v>
      </c>
    </row>
    <row r="20" spans="1:10" ht="25.5" x14ac:dyDescent="0.25">
      <c r="A20" s="278">
        <v>8</v>
      </c>
      <c r="B20" s="276" t="s">
        <v>6181</v>
      </c>
      <c r="C20" s="776" t="s">
        <v>6169</v>
      </c>
      <c r="D20" s="776">
        <f>D13</f>
        <v>1</v>
      </c>
      <c r="E20" s="776" t="s">
        <v>6170</v>
      </c>
      <c r="F20" s="776">
        <v>17</v>
      </c>
      <c r="G20" s="776"/>
      <c r="H20" s="776"/>
      <c r="I20" s="776">
        <f t="shared" ref="I20:I36" si="2">D20</f>
        <v>1</v>
      </c>
      <c r="J20" s="331">
        <f t="shared" ref="J20:J28" si="3">I20*F20</f>
        <v>17</v>
      </c>
    </row>
    <row r="21" spans="1:10" ht="38.25" x14ac:dyDescent="0.25">
      <c r="A21" s="278">
        <v>9</v>
      </c>
      <c r="B21" s="276" t="s">
        <v>6182</v>
      </c>
      <c r="C21" s="776" t="s">
        <v>6183</v>
      </c>
      <c r="D21" s="776">
        <v>1</v>
      </c>
      <c r="E21" s="776" t="s">
        <v>6184</v>
      </c>
      <c r="F21" s="776">
        <v>105</v>
      </c>
      <c r="G21" s="776"/>
      <c r="H21" s="776"/>
      <c r="I21" s="776">
        <f t="shared" si="2"/>
        <v>1</v>
      </c>
      <c r="J21" s="331">
        <f t="shared" si="3"/>
        <v>105</v>
      </c>
    </row>
    <row r="22" spans="1:10" ht="38.25" x14ac:dyDescent="0.25">
      <c r="A22" s="278">
        <v>10</v>
      </c>
      <c r="B22" s="276" t="s">
        <v>6185</v>
      </c>
      <c r="C22" s="776" t="s">
        <v>6186</v>
      </c>
      <c r="D22" s="776">
        <v>1</v>
      </c>
      <c r="E22" s="776" t="s">
        <v>6187</v>
      </c>
      <c r="F22" s="776">
        <v>61</v>
      </c>
      <c r="G22" s="776"/>
      <c r="H22" s="776"/>
      <c r="I22" s="776">
        <f t="shared" si="2"/>
        <v>1</v>
      </c>
      <c r="J22" s="331">
        <f t="shared" si="3"/>
        <v>61</v>
      </c>
    </row>
    <row r="23" spans="1:10" ht="15.75" x14ac:dyDescent="0.25">
      <c r="A23" s="278">
        <v>11</v>
      </c>
      <c r="B23" s="276" t="s">
        <v>6188</v>
      </c>
      <c r="C23" s="776" t="s">
        <v>6189</v>
      </c>
      <c r="D23" s="776">
        <v>10</v>
      </c>
      <c r="E23" s="776" t="s">
        <v>6190</v>
      </c>
      <c r="F23" s="776">
        <v>6</v>
      </c>
      <c r="G23" s="776"/>
      <c r="H23" s="776"/>
      <c r="I23" s="776">
        <f t="shared" si="2"/>
        <v>10</v>
      </c>
      <c r="J23" s="331">
        <f t="shared" si="3"/>
        <v>60</v>
      </c>
    </row>
    <row r="24" spans="1:10" x14ac:dyDescent="0.25">
      <c r="A24" s="278">
        <v>12</v>
      </c>
      <c r="B24" s="276" t="s">
        <v>6191</v>
      </c>
      <c r="C24" s="776" t="s">
        <v>6192</v>
      </c>
      <c r="D24" s="776">
        <v>1</v>
      </c>
      <c r="E24" s="776" t="s">
        <v>6193</v>
      </c>
      <c r="F24" s="776">
        <v>217</v>
      </c>
      <c r="G24" s="776"/>
      <c r="H24" s="776"/>
      <c r="I24" s="776">
        <f t="shared" si="2"/>
        <v>1</v>
      </c>
      <c r="J24" s="331">
        <f t="shared" si="3"/>
        <v>217</v>
      </c>
    </row>
    <row r="25" spans="1:10" ht="38.25" x14ac:dyDescent="0.25">
      <c r="A25" s="278">
        <v>13</v>
      </c>
      <c r="B25" s="276" t="s">
        <v>6194</v>
      </c>
      <c r="C25" s="776" t="s">
        <v>6183</v>
      </c>
      <c r="D25" s="776">
        <v>1</v>
      </c>
      <c r="E25" s="776" t="s">
        <v>6195</v>
      </c>
      <c r="F25" s="776">
        <v>108</v>
      </c>
      <c r="G25" s="776"/>
      <c r="H25" s="776"/>
      <c r="I25" s="776">
        <f t="shared" si="2"/>
        <v>1</v>
      </c>
      <c r="J25" s="331">
        <f t="shared" si="3"/>
        <v>108</v>
      </c>
    </row>
    <row r="26" spans="1:10" ht="38.25" x14ac:dyDescent="0.25">
      <c r="A26" s="278">
        <v>14</v>
      </c>
      <c r="B26" s="276" t="s">
        <v>6196</v>
      </c>
      <c r="C26" s="776" t="s">
        <v>6183</v>
      </c>
      <c r="D26" s="776">
        <v>1</v>
      </c>
      <c r="E26" s="776" t="s">
        <v>6197</v>
      </c>
      <c r="F26" s="776">
        <v>217</v>
      </c>
      <c r="G26" s="776"/>
      <c r="H26" s="776"/>
      <c r="I26" s="776">
        <f t="shared" si="2"/>
        <v>1</v>
      </c>
      <c r="J26" s="331">
        <f t="shared" si="3"/>
        <v>217</v>
      </c>
    </row>
    <row r="27" spans="1:10" ht="51" x14ac:dyDescent="0.25">
      <c r="A27" s="278">
        <v>15</v>
      </c>
      <c r="B27" s="276" t="s">
        <v>6198</v>
      </c>
      <c r="C27" s="776" t="s">
        <v>6192</v>
      </c>
      <c r="D27" s="776">
        <v>1</v>
      </c>
      <c r="E27" s="776" t="s">
        <v>6199</v>
      </c>
      <c r="F27" s="776">
        <v>45</v>
      </c>
      <c r="G27" s="776"/>
      <c r="H27" s="776"/>
      <c r="I27" s="776">
        <f t="shared" si="2"/>
        <v>1</v>
      </c>
      <c r="J27" s="331">
        <f t="shared" si="3"/>
        <v>45</v>
      </c>
    </row>
    <row r="28" spans="1:10" ht="63.75" x14ac:dyDescent="0.25">
      <c r="A28" s="278">
        <v>16</v>
      </c>
      <c r="B28" s="276" t="s">
        <v>6200</v>
      </c>
      <c r="C28" s="776" t="s">
        <v>6192</v>
      </c>
      <c r="D28" s="776">
        <v>1</v>
      </c>
      <c r="E28" s="776" t="s">
        <v>6201</v>
      </c>
      <c r="F28" s="776">
        <v>76</v>
      </c>
      <c r="G28" s="776"/>
      <c r="H28" s="776"/>
      <c r="I28" s="776">
        <f t="shared" si="2"/>
        <v>1</v>
      </c>
      <c r="J28" s="331">
        <f t="shared" si="3"/>
        <v>76</v>
      </c>
    </row>
    <row r="29" spans="1:10" ht="38.25" x14ac:dyDescent="0.25">
      <c r="A29" s="278">
        <v>17</v>
      </c>
      <c r="B29" s="276" t="s">
        <v>6202</v>
      </c>
      <c r="C29" s="776" t="s">
        <v>6192</v>
      </c>
      <c r="D29" s="776">
        <v>1</v>
      </c>
      <c r="E29" s="776" t="s">
        <v>6203</v>
      </c>
      <c r="F29" s="776">
        <v>34</v>
      </c>
      <c r="G29" s="776"/>
      <c r="H29" s="776"/>
      <c r="I29" s="776">
        <f t="shared" si="2"/>
        <v>1</v>
      </c>
      <c r="J29" s="331">
        <f>I29*F29</f>
        <v>34</v>
      </c>
    </row>
    <row r="30" spans="1:10" ht="38.25" x14ac:dyDescent="0.25">
      <c r="A30" s="278">
        <v>18</v>
      </c>
      <c r="B30" s="276" t="s">
        <v>6204</v>
      </c>
      <c r="C30" s="776" t="s">
        <v>6192</v>
      </c>
      <c r="D30" s="776">
        <v>1</v>
      </c>
      <c r="E30" s="776" t="s">
        <v>6205</v>
      </c>
      <c r="F30" s="776">
        <v>26</v>
      </c>
      <c r="G30" s="776"/>
      <c r="H30" s="776"/>
      <c r="I30" s="776">
        <f t="shared" si="2"/>
        <v>1</v>
      </c>
      <c r="J30" s="331">
        <f t="shared" ref="J30:J32" si="4">I30*F30</f>
        <v>26</v>
      </c>
    </row>
    <row r="31" spans="1:10" x14ac:dyDescent="0.25">
      <c r="A31" s="278">
        <v>19</v>
      </c>
      <c r="B31" s="276" t="s">
        <v>6206</v>
      </c>
      <c r="C31" s="776" t="s">
        <v>6207</v>
      </c>
      <c r="D31" s="776">
        <v>3</v>
      </c>
      <c r="E31" s="776" t="s">
        <v>6208</v>
      </c>
      <c r="F31" s="776">
        <v>3.8</v>
      </c>
      <c r="G31" s="776"/>
      <c r="H31" s="776"/>
      <c r="I31" s="776">
        <f t="shared" si="2"/>
        <v>3</v>
      </c>
      <c r="J31" s="331">
        <f>I31*F31</f>
        <v>11.4</v>
      </c>
    </row>
    <row r="32" spans="1:10" ht="25.5" x14ac:dyDescent="0.25">
      <c r="A32" s="278">
        <v>20</v>
      </c>
      <c r="B32" s="276" t="s">
        <v>6209</v>
      </c>
      <c r="C32" s="776" t="s">
        <v>6210</v>
      </c>
      <c r="D32" s="776">
        <v>2</v>
      </c>
      <c r="E32" s="776" t="s">
        <v>6211</v>
      </c>
      <c r="F32" s="776">
        <v>68</v>
      </c>
      <c r="G32" s="776"/>
      <c r="H32" s="776"/>
      <c r="I32" s="776">
        <f t="shared" si="2"/>
        <v>2</v>
      </c>
      <c r="J32" s="331">
        <f t="shared" si="4"/>
        <v>136</v>
      </c>
    </row>
    <row r="33" spans="1:10" ht="63.75" x14ac:dyDescent="0.25">
      <c r="A33" s="278">
        <v>21</v>
      </c>
      <c r="B33" s="276" t="s">
        <v>6212</v>
      </c>
      <c r="C33" s="776" t="s">
        <v>6213</v>
      </c>
      <c r="D33" s="776">
        <v>1</v>
      </c>
      <c r="E33" s="776" t="s">
        <v>6214</v>
      </c>
      <c r="F33" s="776">
        <v>90</v>
      </c>
      <c r="G33" s="776"/>
      <c r="H33" s="776"/>
      <c r="I33" s="776">
        <f t="shared" si="2"/>
        <v>1</v>
      </c>
      <c r="J33" s="331">
        <f>I33*F33</f>
        <v>90</v>
      </c>
    </row>
    <row r="34" spans="1:10" x14ac:dyDescent="0.25">
      <c r="A34" s="278">
        <v>22</v>
      </c>
      <c r="B34" s="276" t="s">
        <v>6215</v>
      </c>
      <c r="C34" s="776" t="s">
        <v>6192</v>
      </c>
      <c r="D34" s="776">
        <v>1</v>
      </c>
      <c r="E34" s="776" t="s">
        <v>6216</v>
      </c>
      <c r="F34" s="776">
        <v>116</v>
      </c>
      <c r="G34" s="776"/>
      <c r="H34" s="776"/>
      <c r="I34" s="776">
        <f t="shared" si="2"/>
        <v>1</v>
      </c>
      <c r="J34" s="331">
        <f>I34*F34</f>
        <v>116</v>
      </c>
    </row>
    <row r="35" spans="1:10" x14ac:dyDescent="0.25">
      <c r="A35" s="278">
        <v>23</v>
      </c>
      <c r="B35" s="276" t="s">
        <v>6217</v>
      </c>
      <c r="C35" s="776" t="s">
        <v>6192</v>
      </c>
      <c r="D35" s="776">
        <v>1</v>
      </c>
      <c r="E35" s="776" t="s">
        <v>6218</v>
      </c>
      <c r="F35" s="776">
        <v>49</v>
      </c>
      <c r="G35" s="776"/>
      <c r="H35" s="776"/>
      <c r="I35" s="776">
        <f t="shared" si="2"/>
        <v>1</v>
      </c>
      <c r="J35" s="331">
        <f>I35*F35</f>
        <v>49</v>
      </c>
    </row>
    <row r="36" spans="1:10" ht="38.25" x14ac:dyDescent="0.25">
      <c r="A36" s="278">
        <v>24</v>
      </c>
      <c r="B36" s="276" t="s">
        <v>6219</v>
      </c>
      <c r="C36" s="776" t="s">
        <v>6220</v>
      </c>
      <c r="D36" s="776">
        <v>1</v>
      </c>
      <c r="E36" s="776" t="s">
        <v>6221</v>
      </c>
      <c r="F36" s="776">
        <v>201</v>
      </c>
      <c r="G36" s="776"/>
      <c r="H36" s="776"/>
      <c r="I36" s="776">
        <f t="shared" si="2"/>
        <v>1</v>
      </c>
      <c r="J36" s="331">
        <f>I36*F36</f>
        <v>201</v>
      </c>
    </row>
    <row r="37" spans="1:10" ht="25.5" x14ac:dyDescent="0.25">
      <c r="A37" s="278">
        <v>25</v>
      </c>
      <c r="B37" s="276" t="s">
        <v>6222</v>
      </c>
      <c r="C37" s="776" t="s">
        <v>6134</v>
      </c>
      <c r="D37" s="331">
        <f>SUM(J19:J36)</f>
        <v>1576.4</v>
      </c>
      <c r="E37" s="332" t="s">
        <v>6223</v>
      </c>
      <c r="F37" s="776">
        <v>450</v>
      </c>
      <c r="G37" s="776"/>
      <c r="H37" s="776"/>
      <c r="I37" s="776">
        <v>1</v>
      </c>
      <c r="J37" s="331">
        <f>I37*F37</f>
        <v>450</v>
      </c>
    </row>
    <row r="38" spans="1:10" ht="25.5" x14ac:dyDescent="0.25">
      <c r="A38" s="278">
        <v>26</v>
      </c>
      <c r="B38" s="276" t="s">
        <v>6224</v>
      </c>
      <c r="C38" s="776" t="s">
        <v>6070</v>
      </c>
      <c r="D38" s="331">
        <f>SUM(J19:J37)</f>
        <v>2026.4</v>
      </c>
      <c r="E38" s="332" t="s">
        <v>6225</v>
      </c>
      <c r="F38" s="334">
        <v>0.75</v>
      </c>
      <c r="G38" s="776">
        <v>1.25</v>
      </c>
      <c r="H38" s="776"/>
      <c r="I38" s="776">
        <v>1</v>
      </c>
      <c r="J38" s="335">
        <f>SUM(J19:J37)*F38*G38</f>
        <v>1899.75</v>
      </c>
    </row>
    <row r="39" spans="1:10" x14ac:dyDescent="0.25">
      <c r="A39" s="776"/>
      <c r="B39" s="278" t="s">
        <v>5958</v>
      </c>
      <c r="C39" s="278"/>
      <c r="D39" s="278"/>
      <c r="E39" s="776"/>
      <c r="F39" s="776"/>
      <c r="G39" s="776"/>
      <c r="H39" s="776"/>
      <c r="I39" s="776"/>
      <c r="J39" s="336">
        <f>SUM(J19:J38)</f>
        <v>3926.15</v>
      </c>
    </row>
    <row r="40" spans="1:10" x14ac:dyDescent="0.25">
      <c r="A40" s="2195" t="s">
        <v>5960</v>
      </c>
      <c r="B40" s="2196"/>
      <c r="C40" s="2196"/>
      <c r="D40" s="2196"/>
      <c r="E40" s="2196"/>
      <c r="F40" s="2196"/>
      <c r="G40" s="2196"/>
      <c r="H40" s="2196"/>
      <c r="I40" s="2196"/>
      <c r="J40" s="2197"/>
    </row>
    <row r="41" spans="1:10" ht="25.5" x14ac:dyDescent="0.25">
      <c r="A41" s="278">
        <v>22</v>
      </c>
      <c r="B41" s="263" t="s">
        <v>6226</v>
      </c>
      <c r="C41" s="776" t="s">
        <v>5962</v>
      </c>
      <c r="D41" s="264">
        <v>8.7499999999999994E-2</v>
      </c>
      <c r="E41" s="776" t="s">
        <v>6227</v>
      </c>
      <c r="F41" s="261">
        <f>J17</f>
        <v>729.12</v>
      </c>
      <c r="G41" s="265"/>
      <c r="H41" s="776"/>
      <c r="I41" s="264">
        <f t="shared" ref="I41:I43" si="5">D41</f>
        <v>8.7499999999999994E-2</v>
      </c>
      <c r="J41" s="331">
        <f>F41*I41</f>
        <v>63.8</v>
      </c>
    </row>
    <row r="42" spans="1:10" x14ac:dyDescent="0.25">
      <c r="A42" s="278">
        <v>23</v>
      </c>
      <c r="B42" s="285" t="s">
        <v>6228</v>
      </c>
      <c r="C42" s="776" t="s">
        <v>5962</v>
      </c>
      <c r="D42" s="266">
        <v>0.19600000000000001</v>
      </c>
      <c r="E42" s="776" t="s">
        <v>6229</v>
      </c>
      <c r="F42" s="261">
        <f>F41+J41</f>
        <v>792.92</v>
      </c>
      <c r="G42" s="265"/>
      <c r="H42" s="776"/>
      <c r="I42" s="266">
        <f t="shared" si="5"/>
        <v>0.19600000000000001</v>
      </c>
      <c r="J42" s="331">
        <f>F42*I42</f>
        <v>155.41</v>
      </c>
    </row>
    <row r="43" spans="1:10" x14ac:dyDescent="0.25">
      <c r="A43" s="278">
        <v>24</v>
      </c>
      <c r="B43" s="276" t="s">
        <v>6230</v>
      </c>
      <c r="C43" s="776" t="s">
        <v>5962</v>
      </c>
      <c r="D43" s="268">
        <v>0.06</v>
      </c>
      <c r="E43" s="776" t="s">
        <v>6231</v>
      </c>
      <c r="F43" s="261">
        <f>F41+J41</f>
        <v>792.92</v>
      </c>
      <c r="G43" s="267">
        <v>2.5</v>
      </c>
      <c r="H43" s="776"/>
      <c r="I43" s="268">
        <f t="shared" si="5"/>
        <v>0.06</v>
      </c>
      <c r="J43" s="331">
        <f>F43*I43*G43</f>
        <v>118.94</v>
      </c>
    </row>
    <row r="44" spans="1:10" x14ac:dyDescent="0.25">
      <c r="A44" s="278"/>
      <c r="B44" s="278" t="s">
        <v>5968</v>
      </c>
      <c r="C44" s="776"/>
      <c r="D44" s="978"/>
      <c r="E44" s="281"/>
      <c r="F44" s="337"/>
      <c r="G44" s="337"/>
      <c r="H44" s="337"/>
      <c r="I44" s="268"/>
      <c r="J44" s="333">
        <f>SUM(J41:J43)</f>
        <v>338.15</v>
      </c>
    </row>
    <row r="45" spans="1:10" x14ac:dyDescent="0.25">
      <c r="A45" s="776"/>
      <c r="B45" s="262" t="s">
        <v>6232</v>
      </c>
      <c r="C45" s="278"/>
      <c r="D45" s="278"/>
      <c r="E45" s="776"/>
      <c r="F45" s="776"/>
      <c r="G45" s="776"/>
      <c r="H45" s="776"/>
      <c r="I45" s="338"/>
      <c r="J45" s="333">
        <f>J17+J39+J44</f>
        <v>4993.42</v>
      </c>
    </row>
    <row r="46" spans="1:10" ht="35.450000000000003" customHeight="1" x14ac:dyDescent="0.25">
      <c r="A46" s="288"/>
      <c r="B46" s="269" t="s">
        <v>5970</v>
      </c>
      <c r="C46" s="2198" t="s">
        <v>6089</v>
      </c>
      <c r="D46" s="2198"/>
      <c r="E46" s="2198"/>
      <c r="F46" s="2198"/>
      <c r="G46" s="2198"/>
      <c r="H46" s="2198"/>
      <c r="I46" s="289">
        <v>11.37</v>
      </c>
      <c r="J46" s="339">
        <f>J45*I46</f>
        <v>56775.19</v>
      </c>
    </row>
    <row r="47" spans="1:10" ht="32.1" customHeight="1" x14ac:dyDescent="0.25">
      <c r="A47" s="288"/>
      <c r="B47" s="979" t="s">
        <v>6090</v>
      </c>
      <c r="C47" s="2198" t="s">
        <v>6091</v>
      </c>
      <c r="D47" s="2198"/>
      <c r="E47" s="2198"/>
      <c r="F47" s="2198"/>
      <c r="G47" s="2198"/>
      <c r="H47" s="2198"/>
      <c r="I47" s="289">
        <v>8.98</v>
      </c>
      <c r="J47" s="339">
        <f>J45*I47</f>
        <v>44840.91</v>
      </c>
    </row>
    <row r="48" spans="1:10" ht="32.85" customHeight="1" x14ac:dyDescent="0.25">
      <c r="A48" s="290"/>
      <c r="B48" s="291" t="s">
        <v>5973</v>
      </c>
      <c r="C48" s="2194" t="s">
        <v>6092</v>
      </c>
      <c r="D48" s="2194"/>
      <c r="E48" s="2194"/>
      <c r="F48" s="2194"/>
      <c r="G48" s="2194"/>
      <c r="H48" s="2194"/>
      <c r="I48" s="292">
        <v>52.94</v>
      </c>
      <c r="J48" s="339">
        <f>J45*I48</f>
        <v>264351.65000000002</v>
      </c>
    </row>
    <row r="49" spans="1:10" x14ac:dyDescent="0.25">
      <c r="A49" s="340"/>
      <c r="B49" s="340"/>
      <c r="C49" s="340"/>
      <c r="D49" s="340"/>
      <c r="E49" s="340"/>
      <c r="F49" s="340"/>
      <c r="G49" s="340"/>
      <c r="H49" s="340"/>
      <c r="I49" s="340"/>
      <c r="J49" s="341"/>
    </row>
    <row r="50" spans="1:10" x14ac:dyDescent="0.25">
      <c r="A50" s="340"/>
      <c r="B50" s="342" t="s">
        <v>9482</v>
      </c>
      <c r="C50" s="342"/>
      <c r="D50" s="343"/>
      <c r="E50" s="343"/>
      <c r="F50" s="343"/>
      <c r="G50" s="343"/>
      <c r="H50" s="343"/>
      <c r="I50" s="343"/>
      <c r="J50" s="344"/>
    </row>
  </sheetData>
  <mergeCells count="22">
    <mergeCell ref="C48:H48"/>
    <mergeCell ref="F9:I9"/>
    <mergeCell ref="A10:J10"/>
    <mergeCell ref="A18:J18"/>
    <mergeCell ref="A40:J40"/>
    <mergeCell ref="C46:H46"/>
    <mergeCell ref="C47:H47"/>
    <mergeCell ref="A6:J6"/>
    <mergeCell ref="A7:A8"/>
    <mergeCell ref="B7:B8"/>
    <mergeCell ref="C7:C8"/>
    <mergeCell ref="D7:D8"/>
    <mergeCell ref="E7:E8"/>
    <mergeCell ref="F7:I7"/>
    <mergeCell ref="J7:J8"/>
    <mergeCell ref="A5:B5"/>
    <mergeCell ref="C5:J5"/>
    <mergeCell ref="A1:J1"/>
    <mergeCell ref="A2:J2"/>
    <mergeCell ref="A3:J3"/>
    <mergeCell ref="A4:B4"/>
    <mergeCell ref="C4:J4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8"/>
  <dimension ref="A1:O49"/>
  <sheetViews>
    <sheetView topLeftCell="A35" zoomScale="88" zoomScaleNormal="88" workbookViewId="0">
      <selection activeCell="I43" sqref="I43:I45"/>
    </sheetView>
  </sheetViews>
  <sheetFormatPr defaultRowHeight="15" x14ac:dyDescent="0.25"/>
  <cols>
    <col min="1" max="1" width="9.140625" style="980"/>
    <col min="2" max="2" width="39.85546875" style="980" customWidth="1"/>
    <col min="3" max="3" width="19.140625" style="980" customWidth="1"/>
    <col min="4" max="4" width="11" style="980" customWidth="1"/>
    <col min="5" max="8" width="9.140625" style="980"/>
    <col min="9" max="9" width="11.5703125" style="980" customWidth="1"/>
    <col min="10" max="10" width="18.42578125" style="980" customWidth="1"/>
    <col min="11" max="257" width="9.140625" style="980"/>
    <col min="258" max="258" width="39.85546875" style="980" customWidth="1"/>
    <col min="259" max="259" width="19.140625" style="980" customWidth="1"/>
    <col min="260" max="260" width="11" style="980" customWidth="1"/>
    <col min="261" max="264" width="9.140625" style="980"/>
    <col min="265" max="265" width="11.5703125" style="980" customWidth="1"/>
    <col min="266" max="266" width="18.42578125" style="980" customWidth="1"/>
    <col min="267" max="513" width="9.140625" style="980"/>
    <col min="514" max="514" width="39.85546875" style="980" customWidth="1"/>
    <col min="515" max="515" width="19.140625" style="980" customWidth="1"/>
    <col min="516" max="516" width="11" style="980" customWidth="1"/>
    <col min="517" max="520" width="9.140625" style="980"/>
    <col min="521" max="521" width="11.5703125" style="980" customWidth="1"/>
    <col min="522" max="522" width="18.42578125" style="980" customWidth="1"/>
    <col min="523" max="769" width="9.140625" style="980"/>
    <col min="770" max="770" width="39.85546875" style="980" customWidth="1"/>
    <col min="771" max="771" width="19.140625" style="980" customWidth="1"/>
    <col min="772" max="772" width="11" style="980" customWidth="1"/>
    <col min="773" max="776" width="9.140625" style="980"/>
    <col min="777" max="777" width="11.5703125" style="980" customWidth="1"/>
    <col min="778" max="778" width="18.42578125" style="980" customWidth="1"/>
    <col min="779" max="1025" width="9.140625" style="980"/>
    <col min="1026" max="1026" width="39.85546875" style="980" customWidth="1"/>
    <col min="1027" max="1027" width="19.140625" style="980" customWidth="1"/>
    <col min="1028" max="1028" width="11" style="980" customWidth="1"/>
    <col min="1029" max="1032" width="9.140625" style="980"/>
    <col min="1033" max="1033" width="11.5703125" style="980" customWidth="1"/>
    <col min="1034" max="1034" width="18.42578125" style="980" customWidth="1"/>
    <col min="1035" max="1281" width="9.140625" style="980"/>
    <col min="1282" max="1282" width="39.85546875" style="980" customWidth="1"/>
    <col min="1283" max="1283" width="19.140625" style="980" customWidth="1"/>
    <col min="1284" max="1284" width="11" style="980" customWidth="1"/>
    <col min="1285" max="1288" width="9.140625" style="980"/>
    <col min="1289" max="1289" width="11.5703125" style="980" customWidth="1"/>
    <col min="1290" max="1290" width="18.42578125" style="980" customWidth="1"/>
    <col min="1291" max="1537" width="9.140625" style="980"/>
    <col min="1538" max="1538" width="39.85546875" style="980" customWidth="1"/>
    <col min="1539" max="1539" width="19.140625" style="980" customWidth="1"/>
    <col min="1540" max="1540" width="11" style="980" customWidth="1"/>
    <col min="1541" max="1544" width="9.140625" style="980"/>
    <col min="1545" max="1545" width="11.5703125" style="980" customWidth="1"/>
    <col min="1546" max="1546" width="18.42578125" style="980" customWidth="1"/>
    <col min="1547" max="1793" width="9.140625" style="980"/>
    <col min="1794" max="1794" width="39.85546875" style="980" customWidth="1"/>
    <col min="1795" max="1795" width="19.140625" style="980" customWidth="1"/>
    <col min="1796" max="1796" width="11" style="980" customWidth="1"/>
    <col min="1797" max="1800" width="9.140625" style="980"/>
    <col min="1801" max="1801" width="11.5703125" style="980" customWidth="1"/>
    <col min="1802" max="1802" width="18.42578125" style="980" customWidth="1"/>
    <col min="1803" max="2049" width="9.140625" style="980"/>
    <col min="2050" max="2050" width="39.85546875" style="980" customWidth="1"/>
    <col min="2051" max="2051" width="19.140625" style="980" customWidth="1"/>
    <col min="2052" max="2052" width="11" style="980" customWidth="1"/>
    <col min="2053" max="2056" width="9.140625" style="980"/>
    <col min="2057" max="2057" width="11.5703125" style="980" customWidth="1"/>
    <col min="2058" max="2058" width="18.42578125" style="980" customWidth="1"/>
    <col min="2059" max="2305" width="9.140625" style="980"/>
    <col min="2306" max="2306" width="39.85546875" style="980" customWidth="1"/>
    <col min="2307" max="2307" width="19.140625" style="980" customWidth="1"/>
    <col min="2308" max="2308" width="11" style="980" customWidth="1"/>
    <col min="2309" max="2312" width="9.140625" style="980"/>
    <col min="2313" max="2313" width="11.5703125" style="980" customWidth="1"/>
    <col min="2314" max="2314" width="18.42578125" style="980" customWidth="1"/>
    <col min="2315" max="2561" width="9.140625" style="980"/>
    <col min="2562" max="2562" width="39.85546875" style="980" customWidth="1"/>
    <col min="2563" max="2563" width="19.140625" style="980" customWidth="1"/>
    <col min="2564" max="2564" width="11" style="980" customWidth="1"/>
    <col min="2565" max="2568" width="9.140625" style="980"/>
    <col min="2569" max="2569" width="11.5703125" style="980" customWidth="1"/>
    <col min="2570" max="2570" width="18.42578125" style="980" customWidth="1"/>
    <col min="2571" max="2817" width="9.140625" style="980"/>
    <col min="2818" max="2818" width="39.85546875" style="980" customWidth="1"/>
    <col min="2819" max="2819" width="19.140625" style="980" customWidth="1"/>
    <col min="2820" max="2820" width="11" style="980" customWidth="1"/>
    <col min="2821" max="2824" width="9.140625" style="980"/>
    <col min="2825" max="2825" width="11.5703125" style="980" customWidth="1"/>
    <col min="2826" max="2826" width="18.42578125" style="980" customWidth="1"/>
    <col min="2827" max="3073" width="9.140625" style="980"/>
    <col min="3074" max="3074" width="39.85546875" style="980" customWidth="1"/>
    <col min="3075" max="3075" width="19.140625" style="980" customWidth="1"/>
    <col min="3076" max="3076" width="11" style="980" customWidth="1"/>
    <col min="3077" max="3080" width="9.140625" style="980"/>
    <col min="3081" max="3081" width="11.5703125" style="980" customWidth="1"/>
    <col min="3082" max="3082" width="18.42578125" style="980" customWidth="1"/>
    <col min="3083" max="3329" width="9.140625" style="980"/>
    <col min="3330" max="3330" width="39.85546875" style="980" customWidth="1"/>
    <col min="3331" max="3331" width="19.140625" style="980" customWidth="1"/>
    <col min="3332" max="3332" width="11" style="980" customWidth="1"/>
    <col min="3333" max="3336" width="9.140625" style="980"/>
    <col min="3337" max="3337" width="11.5703125" style="980" customWidth="1"/>
    <col min="3338" max="3338" width="18.42578125" style="980" customWidth="1"/>
    <col min="3339" max="3585" width="9.140625" style="980"/>
    <col min="3586" max="3586" width="39.85546875" style="980" customWidth="1"/>
    <col min="3587" max="3587" width="19.140625" style="980" customWidth="1"/>
    <col min="3588" max="3588" width="11" style="980" customWidth="1"/>
    <col min="3589" max="3592" width="9.140625" style="980"/>
    <col min="3593" max="3593" width="11.5703125" style="980" customWidth="1"/>
    <col min="3594" max="3594" width="18.42578125" style="980" customWidth="1"/>
    <col min="3595" max="3841" width="9.140625" style="980"/>
    <col min="3842" max="3842" width="39.85546875" style="980" customWidth="1"/>
    <col min="3843" max="3843" width="19.140625" style="980" customWidth="1"/>
    <col min="3844" max="3844" width="11" style="980" customWidth="1"/>
    <col min="3845" max="3848" width="9.140625" style="980"/>
    <col min="3849" max="3849" width="11.5703125" style="980" customWidth="1"/>
    <col min="3850" max="3850" width="18.42578125" style="980" customWidth="1"/>
    <col min="3851" max="4097" width="9.140625" style="980"/>
    <col min="4098" max="4098" width="39.85546875" style="980" customWidth="1"/>
    <col min="4099" max="4099" width="19.140625" style="980" customWidth="1"/>
    <col min="4100" max="4100" width="11" style="980" customWidth="1"/>
    <col min="4101" max="4104" width="9.140625" style="980"/>
    <col min="4105" max="4105" width="11.5703125" style="980" customWidth="1"/>
    <col min="4106" max="4106" width="18.42578125" style="980" customWidth="1"/>
    <col min="4107" max="4353" width="9.140625" style="980"/>
    <col min="4354" max="4354" width="39.85546875" style="980" customWidth="1"/>
    <col min="4355" max="4355" width="19.140625" style="980" customWidth="1"/>
    <col min="4356" max="4356" width="11" style="980" customWidth="1"/>
    <col min="4357" max="4360" width="9.140625" style="980"/>
    <col min="4361" max="4361" width="11.5703125" style="980" customWidth="1"/>
    <col min="4362" max="4362" width="18.42578125" style="980" customWidth="1"/>
    <col min="4363" max="4609" width="9.140625" style="980"/>
    <col min="4610" max="4610" width="39.85546875" style="980" customWidth="1"/>
    <col min="4611" max="4611" width="19.140625" style="980" customWidth="1"/>
    <col min="4612" max="4612" width="11" style="980" customWidth="1"/>
    <col min="4613" max="4616" width="9.140625" style="980"/>
    <col min="4617" max="4617" width="11.5703125" style="980" customWidth="1"/>
    <col min="4618" max="4618" width="18.42578125" style="980" customWidth="1"/>
    <col min="4619" max="4865" width="9.140625" style="980"/>
    <col min="4866" max="4866" width="39.85546875" style="980" customWidth="1"/>
    <col min="4867" max="4867" width="19.140625" style="980" customWidth="1"/>
    <col min="4868" max="4868" width="11" style="980" customWidth="1"/>
    <col min="4869" max="4872" width="9.140625" style="980"/>
    <col min="4873" max="4873" width="11.5703125" style="980" customWidth="1"/>
    <col min="4874" max="4874" width="18.42578125" style="980" customWidth="1"/>
    <col min="4875" max="5121" width="9.140625" style="980"/>
    <col min="5122" max="5122" width="39.85546875" style="980" customWidth="1"/>
    <col min="5123" max="5123" width="19.140625" style="980" customWidth="1"/>
    <col min="5124" max="5124" width="11" style="980" customWidth="1"/>
    <col min="5125" max="5128" width="9.140625" style="980"/>
    <col min="5129" max="5129" width="11.5703125" style="980" customWidth="1"/>
    <col min="5130" max="5130" width="18.42578125" style="980" customWidth="1"/>
    <col min="5131" max="5377" width="9.140625" style="980"/>
    <col min="5378" max="5378" width="39.85546875" style="980" customWidth="1"/>
    <col min="5379" max="5379" width="19.140625" style="980" customWidth="1"/>
    <col min="5380" max="5380" width="11" style="980" customWidth="1"/>
    <col min="5381" max="5384" width="9.140625" style="980"/>
    <col min="5385" max="5385" width="11.5703125" style="980" customWidth="1"/>
    <col min="5386" max="5386" width="18.42578125" style="980" customWidth="1"/>
    <col min="5387" max="5633" width="9.140625" style="980"/>
    <col min="5634" max="5634" width="39.85546875" style="980" customWidth="1"/>
    <col min="5635" max="5635" width="19.140625" style="980" customWidth="1"/>
    <col min="5636" max="5636" width="11" style="980" customWidth="1"/>
    <col min="5637" max="5640" width="9.140625" style="980"/>
    <col min="5641" max="5641" width="11.5703125" style="980" customWidth="1"/>
    <col min="5642" max="5642" width="18.42578125" style="980" customWidth="1"/>
    <col min="5643" max="5889" width="9.140625" style="980"/>
    <col min="5890" max="5890" width="39.85546875" style="980" customWidth="1"/>
    <col min="5891" max="5891" width="19.140625" style="980" customWidth="1"/>
    <col min="5892" max="5892" width="11" style="980" customWidth="1"/>
    <col min="5893" max="5896" width="9.140625" style="980"/>
    <col min="5897" max="5897" width="11.5703125" style="980" customWidth="1"/>
    <col min="5898" max="5898" width="18.42578125" style="980" customWidth="1"/>
    <col min="5899" max="6145" width="9.140625" style="980"/>
    <col min="6146" max="6146" width="39.85546875" style="980" customWidth="1"/>
    <col min="6147" max="6147" width="19.140625" style="980" customWidth="1"/>
    <col min="6148" max="6148" width="11" style="980" customWidth="1"/>
    <col min="6149" max="6152" width="9.140625" style="980"/>
    <col min="6153" max="6153" width="11.5703125" style="980" customWidth="1"/>
    <col min="6154" max="6154" width="18.42578125" style="980" customWidth="1"/>
    <col min="6155" max="6401" width="9.140625" style="980"/>
    <col min="6402" max="6402" width="39.85546875" style="980" customWidth="1"/>
    <col min="6403" max="6403" width="19.140625" style="980" customWidth="1"/>
    <col min="6404" max="6404" width="11" style="980" customWidth="1"/>
    <col min="6405" max="6408" width="9.140625" style="980"/>
    <col min="6409" max="6409" width="11.5703125" style="980" customWidth="1"/>
    <col min="6410" max="6410" width="18.42578125" style="980" customWidth="1"/>
    <col min="6411" max="6657" width="9.140625" style="980"/>
    <col min="6658" max="6658" width="39.85546875" style="980" customWidth="1"/>
    <col min="6659" max="6659" width="19.140625" style="980" customWidth="1"/>
    <col min="6660" max="6660" width="11" style="980" customWidth="1"/>
    <col min="6661" max="6664" width="9.140625" style="980"/>
    <col min="6665" max="6665" width="11.5703125" style="980" customWidth="1"/>
    <col min="6666" max="6666" width="18.42578125" style="980" customWidth="1"/>
    <col min="6667" max="6913" width="9.140625" style="980"/>
    <col min="6914" max="6914" width="39.85546875" style="980" customWidth="1"/>
    <col min="6915" max="6915" width="19.140625" style="980" customWidth="1"/>
    <col min="6916" max="6916" width="11" style="980" customWidth="1"/>
    <col min="6917" max="6920" width="9.140625" style="980"/>
    <col min="6921" max="6921" width="11.5703125" style="980" customWidth="1"/>
    <col min="6922" max="6922" width="18.42578125" style="980" customWidth="1"/>
    <col min="6923" max="7169" width="9.140625" style="980"/>
    <col min="7170" max="7170" width="39.85546875" style="980" customWidth="1"/>
    <col min="7171" max="7171" width="19.140625" style="980" customWidth="1"/>
    <col min="7172" max="7172" width="11" style="980" customWidth="1"/>
    <col min="7173" max="7176" width="9.140625" style="980"/>
    <col min="7177" max="7177" width="11.5703125" style="980" customWidth="1"/>
    <col min="7178" max="7178" width="18.42578125" style="980" customWidth="1"/>
    <col min="7179" max="7425" width="9.140625" style="980"/>
    <col min="7426" max="7426" width="39.85546875" style="980" customWidth="1"/>
    <col min="7427" max="7427" width="19.140625" style="980" customWidth="1"/>
    <col min="7428" max="7428" width="11" style="980" customWidth="1"/>
    <col min="7429" max="7432" width="9.140625" style="980"/>
    <col min="7433" max="7433" width="11.5703125" style="980" customWidth="1"/>
    <col min="7434" max="7434" width="18.42578125" style="980" customWidth="1"/>
    <col min="7435" max="7681" width="9.140625" style="980"/>
    <col min="7682" max="7682" width="39.85546875" style="980" customWidth="1"/>
    <col min="7683" max="7683" width="19.140625" style="980" customWidth="1"/>
    <col min="7684" max="7684" width="11" style="980" customWidth="1"/>
    <col min="7685" max="7688" width="9.140625" style="980"/>
    <col min="7689" max="7689" width="11.5703125" style="980" customWidth="1"/>
    <col min="7690" max="7690" width="18.42578125" style="980" customWidth="1"/>
    <col min="7691" max="7937" width="9.140625" style="980"/>
    <col min="7938" max="7938" width="39.85546875" style="980" customWidth="1"/>
    <col min="7939" max="7939" width="19.140625" style="980" customWidth="1"/>
    <col min="7940" max="7940" width="11" style="980" customWidth="1"/>
    <col min="7941" max="7944" width="9.140625" style="980"/>
    <col min="7945" max="7945" width="11.5703125" style="980" customWidth="1"/>
    <col min="7946" max="7946" width="18.42578125" style="980" customWidth="1"/>
    <col min="7947" max="8193" width="9.140625" style="980"/>
    <col min="8194" max="8194" width="39.85546875" style="980" customWidth="1"/>
    <col min="8195" max="8195" width="19.140625" style="980" customWidth="1"/>
    <col min="8196" max="8196" width="11" style="980" customWidth="1"/>
    <col min="8197" max="8200" width="9.140625" style="980"/>
    <col min="8201" max="8201" width="11.5703125" style="980" customWidth="1"/>
    <col min="8202" max="8202" width="18.42578125" style="980" customWidth="1"/>
    <col min="8203" max="8449" width="9.140625" style="980"/>
    <col min="8450" max="8450" width="39.85546875" style="980" customWidth="1"/>
    <col min="8451" max="8451" width="19.140625" style="980" customWidth="1"/>
    <col min="8452" max="8452" width="11" style="980" customWidth="1"/>
    <col min="8453" max="8456" width="9.140625" style="980"/>
    <col min="8457" max="8457" width="11.5703125" style="980" customWidth="1"/>
    <col min="8458" max="8458" width="18.42578125" style="980" customWidth="1"/>
    <col min="8459" max="8705" width="9.140625" style="980"/>
    <col min="8706" max="8706" width="39.85546875" style="980" customWidth="1"/>
    <col min="8707" max="8707" width="19.140625" style="980" customWidth="1"/>
    <col min="8708" max="8708" width="11" style="980" customWidth="1"/>
    <col min="8709" max="8712" width="9.140625" style="980"/>
    <col min="8713" max="8713" width="11.5703125" style="980" customWidth="1"/>
    <col min="8714" max="8714" width="18.42578125" style="980" customWidth="1"/>
    <col min="8715" max="8961" width="9.140625" style="980"/>
    <col min="8962" max="8962" width="39.85546875" style="980" customWidth="1"/>
    <col min="8963" max="8963" width="19.140625" style="980" customWidth="1"/>
    <col min="8964" max="8964" width="11" style="980" customWidth="1"/>
    <col min="8965" max="8968" width="9.140625" style="980"/>
    <col min="8969" max="8969" width="11.5703125" style="980" customWidth="1"/>
    <col min="8970" max="8970" width="18.42578125" style="980" customWidth="1"/>
    <col min="8971" max="9217" width="9.140625" style="980"/>
    <col min="9218" max="9218" width="39.85546875" style="980" customWidth="1"/>
    <col min="9219" max="9219" width="19.140625" style="980" customWidth="1"/>
    <col min="9220" max="9220" width="11" style="980" customWidth="1"/>
    <col min="9221" max="9224" width="9.140625" style="980"/>
    <col min="9225" max="9225" width="11.5703125" style="980" customWidth="1"/>
    <col min="9226" max="9226" width="18.42578125" style="980" customWidth="1"/>
    <col min="9227" max="9473" width="9.140625" style="980"/>
    <col min="9474" max="9474" width="39.85546875" style="980" customWidth="1"/>
    <col min="9475" max="9475" width="19.140625" style="980" customWidth="1"/>
    <col min="9476" max="9476" width="11" style="980" customWidth="1"/>
    <col min="9477" max="9480" width="9.140625" style="980"/>
    <col min="9481" max="9481" width="11.5703125" style="980" customWidth="1"/>
    <col min="9482" max="9482" width="18.42578125" style="980" customWidth="1"/>
    <col min="9483" max="9729" width="9.140625" style="980"/>
    <col min="9730" max="9730" width="39.85546875" style="980" customWidth="1"/>
    <col min="9731" max="9731" width="19.140625" style="980" customWidth="1"/>
    <col min="9732" max="9732" width="11" style="980" customWidth="1"/>
    <col min="9733" max="9736" width="9.140625" style="980"/>
    <col min="9737" max="9737" width="11.5703125" style="980" customWidth="1"/>
    <col min="9738" max="9738" width="18.42578125" style="980" customWidth="1"/>
    <col min="9739" max="9985" width="9.140625" style="980"/>
    <col min="9986" max="9986" width="39.85546875" style="980" customWidth="1"/>
    <col min="9987" max="9987" width="19.140625" style="980" customWidth="1"/>
    <col min="9988" max="9988" width="11" style="980" customWidth="1"/>
    <col min="9989" max="9992" width="9.140625" style="980"/>
    <col min="9993" max="9993" width="11.5703125" style="980" customWidth="1"/>
    <col min="9994" max="9994" width="18.42578125" style="980" customWidth="1"/>
    <col min="9995" max="10241" width="9.140625" style="980"/>
    <col min="10242" max="10242" width="39.85546875" style="980" customWidth="1"/>
    <col min="10243" max="10243" width="19.140625" style="980" customWidth="1"/>
    <col min="10244" max="10244" width="11" style="980" customWidth="1"/>
    <col min="10245" max="10248" width="9.140625" style="980"/>
    <col min="10249" max="10249" width="11.5703125" style="980" customWidth="1"/>
    <col min="10250" max="10250" width="18.42578125" style="980" customWidth="1"/>
    <col min="10251" max="10497" width="9.140625" style="980"/>
    <col min="10498" max="10498" width="39.85546875" style="980" customWidth="1"/>
    <col min="10499" max="10499" width="19.140625" style="980" customWidth="1"/>
    <col min="10500" max="10500" width="11" style="980" customWidth="1"/>
    <col min="10501" max="10504" width="9.140625" style="980"/>
    <col min="10505" max="10505" width="11.5703125" style="980" customWidth="1"/>
    <col min="10506" max="10506" width="18.42578125" style="980" customWidth="1"/>
    <col min="10507" max="10753" width="9.140625" style="980"/>
    <col min="10754" max="10754" width="39.85546875" style="980" customWidth="1"/>
    <col min="10755" max="10755" width="19.140625" style="980" customWidth="1"/>
    <col min="10756" max="10756" width="11" style="980" customWidth="1"/>
    <col min="10757" max="10760" width="9.140625" style="980"/>
    <col min="10761" max="10761" width="11.5703125" style="980" customWidth="1"/>
    <col min="10762" max="10762" width="18.42578125" style="980" customWidth="1"/>
    <col min="10763" max="11009" width="9.140625" style="980"/>
    <col min="11010" max="11010" width="39.85546875" style="980" customWidth="1"/>
    <col min="11011" max="11011" width="19.140625" style="980" customWidth="1"/>
    <col min="11012" max="11012" width="11" style="980" customWidth="1"/>
    <col min="11013" max="11016" width="9.140625" style="980"/>
    <col min="11017" max="11017" width="11.5703125" style="980" customWidth="1"/>
    <col min="11018" max="11018" width="18.42578125" style="980" customWidth="1"/>
    <col min="11019" max="11265" width="9.140625" style="980"/>
    <col min="11266" max="11266" width="39.85546875" style="980" customWidth="1"/>
    <col min="11267" max="11267" width="19.140625" style="980" customWidth="1"/>
    <col min="11268" max="11268" width="11" style="980" customWidth="1"/>
    <col min="11269" max="11272" width="9.140625" style="980"/>
    <col min="11273" max="11273" width="11.5703125" style="980" customWidth="1"/>
    <col min="11274" max="11274" width="18.42578125" style="980" customWidth="1"/>
    <col min="11275" max="11521" width="9.140625" style="980"/>
    <col min="11522" max="11522" width="39.85546875" style="980" customWidth="1"/>
    <col min="11523" max="11523" width="19.140625" style="980" customWidth="1"/>
    <col min="11524" max="11524" width="11" style="980" customWidth="1"/>
    <col min="11525" max="11528" width="9.140625" style="980"/>
    <col min="11529" max="11529" width="11.5703125" style="980" customWidth="1"/>
    <col min="11530" max="11530" width="18.42578125" style="980" customWidth="1"/>
    <col min="11531" max="11777" width="9.140625" style="980"/>
    <col min="11778" max="11778" width="39.85546875" style="980" customWidth="1"/>
    <col min="11779" max="11779" width="19.140625" style="980" customWidth="1"/>
    <col min="11780" max="11780" width="11" style="980" customWidth="1"/>
    <col min="11781" max="11784" width="9.140625" style="980"/>
    <col min="11785" max="11785" width="11.5703125" style="980" customWidth="1"/>
    <col min="11786" max="11786" width="18.42578125" style="980" customWidth="1"/>
    <col min="11787" max="12033" width="9.140625" style="980"/>
    <col min="12034" max="12034" width="39.85546875" style="980" customWidth="1"/>
    <col min="12035" max="12035" width="19.140625" style="980" customWidth="1"/>
    <col min="12036" max="12036" width="11" style="980" customWidth="1"/>
    <col min="12037" max="12040" width="9.140625" style="980"/>
    <col min="12041" max="12041" width="11.5703125" style="980" customWidth="1"/>
    <col min="12042" max="12042" width="18.42578125" style="980" customWidth="1"/>
    <col min="12043" max="12289" width="9.140625" style="980"/>
    <col min="12290" max="12290" width="39.85546875" style="980" customWidth="1"/>
    <col min="12291" max="12291" width="19.140625" style="980" customWidth="1"/>
    <col min="12292" max="12292" width="11" style="980" customWidth="1"/>
    <col min="12293" max="12296" width="9.140625" style="980"/>
    <col min="12297" max="12297" width="11.5703125" style="980" customWidth="1"/>
    <col min="12298" max="12298" width="18.42578125" style="980" customWidth="1"/>
    <col min="12299" max="12545" width="9.140625" style="980"/>
    <col min="12546" max="12546" width="39.85546875" style="980" customWidth="1"/>
    <col min="12547" max="12547" width="19.140625" style="980" customWidth="1"/>
    <col min="12548" max="12548" width="11" style="980" customWidth="1"/>
    <col min="12549" max="12552" width="9.140625" style="980"/>
    <col min="12553" max="12553" width="11.5703125" style="980" customWidth="1"/>
    <col min="12554" max="12554" width="18.42578125" style="980" customWidth="1"/>
    <col min="12555" max="12801" width="9.140625" style="980"/>
    <col min="12802" max="12802" width="39.85546875" style="980" customWidth="1"/>
    <col min="12803" max="12803" width="19.140625" style="980" customWidth="1"/>
    <col min="12804" max="12804" width="11" style="980" customWidth="1"/>
    <col min="12805" max="12808" width="9.140625" style="980"/>
    <col min="12809" max="12809" width="11.5703125" style="980" customWidth="1"/>
    <col min="12810" max="12810" width="18.42578125" style="980" customWidth="1"/>
    <col min="12811" max="13057" width="9.140625" style="980"/>
    <col min="13058" max="13058" width="39.85546875" style="980" customWidth="1"/>
    <col min="13059" max="13059" width="19.140625" style="980" customWidth="1"/>
    <col min="13060" max="13060" width="11" style="980" customWidth="1"/>
    <col min="13061" max="13064" width="9.140625" style="980"/>
    <col min="13065" max="13065" width="11.5703125" style="980" customWidth="1"/>
    <col min="13066" max="13066" width="18.42578125" style="980" customWidth="1"/>
    <col min="13067" max="13313" width="9.140625" style="980"/>
    <col min="13314" max="13314" width="39.85546875" style="980" customWidth="1"/>
    <col min="13315" max="13315" width="19.140625" style="980" customWidth="1"/>
    <col min="13316" max="13316" width="11" style="980" customWidth="1"/>
    <col min="13317" max="13320" width="9.140625" style="980"/>
    <col min="13321" max="13321" width="11.5703125" style="980" customWidth="1"/>
    <col min="13322" max="13322" width="18.42578125" style="980" customWidth="1"/>
    <col min="13323" max="13569" width="9.140625" style="980"/>
    <col min="13570" max="13570" width="39.85546875" style="980" customWidth="1"/>
    <col min="13571" max="13571" width="19.140625" style="980" customWidth="1"/>
    <col min="13572" max="13572" width="11" style="980" customWidth="1"/>
    <col min="13573" max="13576" width="9.140625" style="980"/>
    <col min="13577" max="13577" width="11.5703125" style="980" customWidth="1"/>
    <col min="13578" max="13578" width="18.42578125" style="980" customWidth="1"/>
    <col min="13579" max="13825" width="9.140625" style="980"/>
    <col min="13826" max="13826" width="39.85546875" style="980" customWidth="1"/>
    <col min="13827" max="13827" width="19.140625" style="980" customWidth="1"/>
    <col min="13828" max="13828" width="11" style="980" customWidth="1"/>
    <col min="13829" max="13832" width="9.140625" style="980"/>
    <col min="13833" max="13833" width="11.5703125" style="980" customWidth="1"/>
    <col min="13834" max="13834" width="18.42578125" style="980" customWidth="1"/>
    <col min="13835" max="14081" width="9.140625" style="980"/>
    <col min="14082" max="14082" width="39.85546875" style="980" customWidth="1"/>
    <col min="14083" max="14083" width="19.140625" style="980" customWidth="1"/>
    <col min="14084" max="14084" width="11" style="980" customWidth="1"/>
    <col min="14085" max="14088" width="9.140625" style="980"/>
    <col min="14089" max="14089" width="11.5703125" style="980" customWidth="1"/>
    <col min="14090" max="14090" width="18.42578125" style="980" customWidth="1"/>
    <col min="14091" max="14337" width="9.140625" style="980"/>
    <col min="14338" max="14338" width="39.85546875" style="980" customWidth="1"/>
    <col min="14339" max="14339" width="19.140625" style="980" customWidth="1"/>
    <col min="14340" max="14340" width="11" style="980" customWidth="1"/>
    <col min="14341" max="14344" width="9.140625" style="980"/>
    <col min="14345" max="14345" width="11.5703125" style="980" customWidth="1"/>
    <col min="14346" max="14346" width="18.42578125" style="980" customWidth="1"/>
    <col min="14347" max="14593" width="9.140625" style="980"/>
    <col min="14594" max="14594" width="39.85546875" style="980" customWidth="1"/>
    <col min="14595" max="14595" width="19.140625" style="980" customWidth="1"/>
    <col min="14596" max="14596" width="11" style="980" customWidth="1"/>
    <col min="14597" max="14600" width="9.140625" style="980"/>
    <col min="14601" max="14601" width="11.5703125" style="980" customWidth="1"/>
    <col min="14602" max="14602" width="18.42578125" style="980" customWidth="1"/>
    <col min="14603" max="14849" width="9.140625" style="980"/>
    <col min="14850" max="14850" width="39.85546875" style="980" customWidth="1"/>
    <col min="14851" max="14851" width="19.140625" style="980" customWidth="1"/>
    <col min="14852" max="14852" width="11" style="980" customWidth="1"/>
    <col min="14853" max="14856" width="9.140625" style="980"/>
    <col min="14857" max="14857" width="11.5703125" style="980" customWidth="1"/>
    <col min="14858" max="14858" width="18.42578125" style="980" customWidth="1"/>
    <col min="14859" max="15105" width="9.140625" style="980"/>
    <col min="15106" max="15106" width="39.85546875" style="980" customWidth="1"/>
    <col min="15107" max="15107" width="19.140625" style="980" customWidth="1"/>
    <col min="15108" max="15108" width="11" style="980" customWidth="1"/>
    <col min="15109" max="15112" width="9.140625" style="980"/>
    <col min="15113" max="15113" width="11.5703125" style="980" customWidth="1"/>
    <col min="15114" max="15114" width="18.42578125" style="980" customWidth="1"/>
    <col min="15115" max="15361" width="9.140625" style="980"/>
    <col min="15362" max="15362" width="39.85546875" style="980" customWidth="1"/>
    <col min="15363" max="15363" width="19.140625" style="980" customWidth="1"/>
    <col min="15364" max="15364" width="11" style="980" customWidth="1"/>
    <col min="15365" max="15368" width="9.140625" style="980"/>
    <col min="15369" max="15369" width="11.5703125" style="980" customWidth="1"/>
    <col min="15370" max="15370" width="18.42578125" style="980" customWidth="1"/>
    <col min="15371" max="15617" width="9.140625" style="980"/>
    <col min="15618" max="15618" width="39.85546875" style="980" customWidth="1"/>
    <col min="15619" max="15619" width="19.140625" style="980" customWidth="1"/>
    <col min="15620" max="15620" width="11" style="980" customWidth="1"/>
    <col min="15621" max="15624" width="9.140625" style="980"/>
    <col min="15625" max="15625" width="11.5703125" style="980" customWidth="1"/>
    <col min="15626" max="15626" width="18.42578125" style="980" customWidth="1"/>
    <col min="15627" max="15873" width="9.140625" style="980"/>
    <col min="15874" max="15874" width="39.85546875" style="980" customWidth="1"/>
    <col min="15875" max="15875" width="19.140625" style="980" customWidth="1"/>
    <col min="15876" max="15876" width="11" style="980" customWidth="1"/>
    <col min="15877" max="15880" width="9.140625" style="980"/>
    <col min="15881" max="15881" width="11.5703125" style="980" customWidth="1"/>
    <col min="15882" max="15882" width="18.42578125" style="980" customWidth="1"/>
    <col min="15883" max="16129" width="9.140625" style="980"/>
    <col min="16130" max="16130" width="39.85546875" style="980" customWidth="1"/>
    <col min="16131" max="16131" width="19.140625" style="980" customWidth="1"/>
    <col min="16132" max="16132" width="11" style="980" customWidth="1"/>
    <col min="16133" max="16136" width="9.140625" style="980"/>
    <col min="16137" max="16137" width="11.5703125" style="980" customWidth="1"/>
    <col min="16138" max="16138" width="18.42578125" style="980" customWidth="1"/>
    <col min="16139" max="16384" width="9.140625" style="980"/>
  </cols>
  <sheetData>
    <row r="1" spans="1:11" ht="13.7" customHeight="1" x14ac:dyDescent="0.25">
      <c r="I1" s="2199"/>
      <c r="J1" s="2199"/>
    </row>
    <row r="2" spans="1:11" hidden="1" x14ac:dyDescent="0.25"/>
    <row r="3" spans="1:11" x14ac:dyDescent="0.25">
      <c r="A3" s="2200" t="s">
        <v>130</v>
      </c>
      <c r="B3" s="2200"/>
      <c r="C3" s="2200"/>
      <c r="D3" s="2200"/>
      <c r="E3" s="2200"/>
      <c r="F3" s="2200"/>
      <c r="G3" s="2200"/>
      <c r="H3" s="2200"/>
      <c r="I3" s="2200"/>
      <c r="J3" s="2200"/>
    </row>
    <row r="4" spans="1:11" ht="14.25" customHeight="1" x14ac:dyDescent="0.25">
      <c r="A4" s="2201" t="s">
        <v>6233</v>
      </c>
      <c r="B4" s="2200"/>
      <c r="C4" s="2200"/>
      <c r="D4" s="2200"/>
      <c r="E4" s="2200"/>
      <c r="F4" s="2200"/>
      <c r="G4" s="2200"/>
      <c r="H4" s="2200"/>
      <c r="I4" s="2200"/>
      <c r="J4" s="2200"/>
    </row>
    <row r="5" spans="1:11" ht="48" customHeight="1" x14ac:dyDescent="0.25">
      <c r="A5" s="2202" t="s">
        <v>5904</v>
      </c>
      <c r="B5" s="2202"/>
      <c r="C5" s="2202"/>
      <c r="D5" s="2202"/>
      <c r="E5" s="2202"/>
      <c r="F5" s="2202"/>
      <c r="G5" s="2202"/>
      <c r="H5" s="2202"/>
      <c r="I5" s="2202"/>
      <c r="J5" s="2202"/>
    </row>
    <row r="6" spans="1:11" x14ac:dyDescent="0.25">
      <c r="A6" s="2137" t="s">
        <v>5938</v>
      </c>
      <c r="B6" s="2138"/>
      <c r="C6" s="2139" t="s">
        <v>5887</v>
      </c>
      <c r="D6" s="2140"/>
      <c r="E6" s="2140"/>
      <c r="F6" s="2140"/>
      <c r="G6" s="2140"/>
      <c r="H6" s="2140"/>
      <c r="I6" s="2140"/>
      <c r="J6" s="2140"/>
      <c r="K6" s="2206"/>
    </row>
    <row r="7" spans="1:11" x14ac:dyDescent="0.25">
      <c r="A7" s="2137" t="s">
        <v>5939</v>
      </c>
      <c r="B7" s="2138"/>
      <c r="C7" s="2139" t="s">
        <v>5889</v>
      </c>
      <c r="D7" s="2140"/>
      <c r="E7" s="2140"/>
      <c r="F7" s="2140"/>
      <c r="G7" s="2140"/>
      <c r="H7" s="2140"/>
      <c r="I7" s="2140"/>
      <c r="J7" s="2140"/>
      <c r="K7" s="2206"/>
    </row>
    <row r="8" spans="1:11" ht="25.5" x14ac:dyDescent="0.25">
      <c r="A8" s="981" t="s">
        <v>287</v>
      </c>
      <c r="B8" s="981" t="s">
        <v>6234</v>
      </c>
      <c r="C8" s="981" t="s">
        <v>6235</v>
      </c>
      <c r="D8" s="981" t="s">
        <v>6236</v>
      </c>
      <c r="E8" s="981" t="s">
        <v>6237</v>
      </c>
      <c r="F8" s="981" t="s">
        <v>6238</v>
      </c>
      <c r="G8" s="981" t="s">
        <v>6239</v>
      </c>
      <c r="H8" s="981" t="s">
        <v>6239</v>
      </c>
      <c r="I8" s="981" t="s">
        <v>6239</v>
      </c>
      <c r="J8" s="981" t="s">
        <v>6240</v>
      </c>
    </row>
    <row r="9" spans="1:11" ht="0.6" customHeight="1" x14ac:dyDescent="0.25">
      <c r="A9" s="2207" t="s">
        <v>6233</v>
      </c>
      <c r="B9" s="2207"/>
      <c r="C9" s="2207"/>
      <c r="D9" s="2207"/>
      <c r="E9" s="2207"/>
      <c r="F9" s="2207"/>
      <c r="G9" s="2207"/>
      <c r="H9" s="2207"/>
      <c r="I9" s="2207"/>
      <c r="J9" s="2207"/>
    </row>
    <row r="10" spans="1:11" ht="15" hidden="1" customHeight="1" x14ac:dyDescent="0.25">
      <c r="A10" s="2207" t="s">
        <v>6241</v>
      </c>
      <c r="B10" s="2207"/>
      <c r="C10" s="2207"/>
      <c r="D10" s="2207"/>
      <c r="E10" s="2207"/>
      <c r="F10" s="2207"/>
      <c r="G10" s="2207"/>
      <c r="H10" s="2207"/>
      <c r="I10" s="2207"/>
      <c r="J10" s="2207"/>
    </row>
    <row r="11" spans="1:11" x14ac:dyDescent="0.25">
      <c r="A11" s="2208" t="s">
        <v>6233</v>
      </c>
      <c r="B11" s="2208"/>
      <c r="C11" s="2208"/>
      <c r="D11" s="2208"/>
      <c r="E11" s="2208"/>
      <c r="F11" s="2208"/>
      <c r="G11" s="2208"/>
      <c r="H11" s="2208"/>
      <c r="I11" s="2208"/>
      <c r="J11" s="2208"/>
    </row>
    <row r="12" spans="1:11" ht="24.75" customHeight="1" x14ac:dyDescent="0.25">
      <c r="A12" s="2208" t="s">
        <v>6241</v>
      </c>
      <c r="B12" s="2208"/>
      <c r="C12" s="2208"/>
      <c r="D12" s="2208"/>
      <c r="E12" s="2208"/>
      <c r="F12" s="2208"/>
      <c r="G12" s="2208"/>
      <c r="H12" s="2208"/>
      <c r="I12" s="2208"/>
      <c r="J12" s="2208"/>
    </row>
    <row r="13" spans="1:11" x14ac:dyDescent="0.25">
      <c r="A13" s="982"/>
      <c r="B13" s="2209" t="s">
        <v>6242</v>
      </c>
      <c r="C13" s="2210"/>
      <c r="D13" s="2210"/>
      <c r="E13" s="2210"/>
      <c r="F13" s="2210"/>
      <c r="G13" s="2210"/>
      <c r="H13" s="2210"/>
      <c r="I13" s="2210"/>
      <c r="J13" s="2211"/>
    </row>
    <row r="14" spans="1:11" ht="33.6" customHeight="1" x14ac:dyDescent="0.25">
      <c r="A14" s="983">
        <v>1</v>
      </c>
      <c r="B14" s="984" t="s">
        <v>6243</v>
      </c>
      <c r="C14" s="983" t="s">
        <v>6244</v>
      </c>
      <c r="D14" s="983" t="s">
        <v>5981</v>
      </c>
      <c r="E14" s="985">
        <v>1</v>
      </c>
      <c r="F14" s="986">
        <v>42</v>
      </c>
      <c r="G14" s="985">
        <v>1</v>
      </c>
      <c r="H14" s="985">
        <v>1</v>
      </c>
      <c r="I14" s="985">
        <v>1</v>
      </c>
      <c r="J14" s="987">
        <f>E14*F14*G14*H14*I14</f>
        <v>42</v>
      </c>
      <c r="K14" s="988"/>
    </row>
    <row r="15" spans="1:11" ht="33.6" customHeight="1" x14ac:dyDescent="0.25">
      <c r="A15" s="983">
        <v>2</v>
      </c>
      <c r="B15" s="984" t="s">
        <v>6245</v>
      </c>
      <c r="C15" s="983" t="s">
        <v>6246</v>
      </c>
      <c r="D15" s="983" t="s">
        <v>5981</v>
      </c>
      <c r="E15" s="985">
        <v>1</v>
      </c>
      <c r="F15" s="986">
        <v>24</v>
      </c>
      <c r="G15" s="985">
        <v>1</v>
      </c>
      <c r="H15" s="985">
        <v>1</v>
      </c>
      <c r="I15" s="985">
        <v>1</v>
      </c>
      <c r="J15" s="987">
        <f>E15*F15*G15*H15*I15</f>
        <v>24</v>
      </c>
      <c r="K15" s="988"/>
    </row>
    <row r="16" spans="1:11" x14ac:dyDescent="0.25">
      <c r="A16" s="986">
        <v>3</v>
      </c>
      <c r="B16" s="989" t="s">
        <v>6177</v>
      </c>
      <c r="C16" s="986" t="s">
        <v>6247</v>
      </c>
      <c r="D16" s="986" t="s">
        <v>6178</v>
      </c>
      <c r="E16" s="986">
        <v>10</v>
      </c>
      <c r="F16" s="986">
        <v>7</v>
      </c>
      <c r="G16" s="985">
        <v>1</v>
      </c>
      <c r="H16" s="985">
        <v>1</v>
      </c>
      <c r="I16" s="985">
        <v>1</v>
      </c>
      <c r="J16" s="987">
        <f t="shared" ref="J16" si="0">E16*F16*G16*H16*I16</f>
        <v>70</v>
      </c>
    </row>
    <row r="17" spans="1:14" x14ac:dyDescent="0.25">
      <c r="A17" s="2212" t="s">
        <v>6248</v>
      </c>
      <c r="B17" s="2213"/>
      <c r="C17" s="2213"/>
      <c r="D17" s="2213"/>
      <c r="E17" s="2213"/>
      <c r="F17" s="2213"/>
      <c r="G17" s="2214"/>
      <c r="H17" s="990"/>
      <c r="I17" s="990"/>
      <c r="J17" s="991">
        <f>SUM(J14:J16)*1.2*1.4</f>
        <v>228.48</v>
      </c>
    </row>
    <row r="18" spans="1:14" x14ac:dyDescent="0.25">
      <c r="A18" s="992"/>
      <c r="B18" s="2209" t="s">
        <v>6249</v>
      </c>
      <c r="C18" s="2210"/>
      <c r="D18" s="2210"/>
      <c r="E18" s="2210"/>
      <c r="F18" s="2210"/>
      <c r="G18" s="2210"/>
      <c r="H18" s="2210"/>
      <c r="I18" s="2210"/>
      <c r="J18" s="2211"/>
    </row>
    <row r="19" spans="1:14" ht="33.75" customHeight="1" x14ac:dyDescent="0.25">
      <c r="A19" s="985">
        <v>4</v>
      </c>
      <c r="B19" s="993" t="s">
        <v>6250</v>
      </c>
      <c r="C19" s="2203" t="s">
        <v>6251</v>
      </c>
      <c r="D19" s="2204"/>
      <c r="E19" s="2205"/>
      <c r="F19" s="994">
        <f>J17</f>
        <v>228.48</v>
      </c>
      <c r="G19" s="985">
        <v>8.7499999999999994E-2</v>
      </c>
      <c r="H19" s="985">
        <v>1</v>
      </c>
      <c r="I19" s="985">
        <v>1</v>
      </c>
      <c r="J19" s="995">
        <f>F19*G19</f>
        <v>20</v>
      </c>
    </row>
    <row r="20" spans="1:14" ht="36" customHeight="1" x14ac:dyDescent="0.25">
      <c r="A20" s="985">
        <v>5</v>
      </c>
      <c r="B20" s="993" t="s">
        <v>6252</v>
      </c>
      <c r="C20" s="2203" t="s">
        <v>6253</v>
      </c>
      <c r="D20" s="2204"/>
      <c r="E20" s="2205"/>
      <c r="F20" s="995">
        <f>J17+J19</f>
        <v>248.5</v>
      </c>
      <c r="G20" s="985">
        <v>0.06</v>
      </c>
      <c r="H20" s="985">
        <v>2.5</v>
      </c>
      <c r="I20" s="985">
        <v>1</v>
      </c>
      <c r="J20" s="995">
        <f>F20*G20*H20*I20</f>
        <v>37.299999999999997</v>
      </c>
    </row>
    <row r="21" spans="1:14" ht="37.5" customHeight="1" x14ac:dyDescent="0.25">
      <c r="A21" s="985">
        <v>6</v>
      </c>
      <c r="B21" s="993" t="s">
        <v>6254</v>
      </c>
      <c r="C21" s="2203" t="s">
        <v>6255</v>
      </c>
      <c r="D21" s="2204"/>
      <c r="E21" s="2205"/>
      <c r="F21" s="995">
        <f>F20</f>
        <v>248.5</v>
      </c>
      <c r="G21" s="985">
        <v>0.36399999999999999</v>
      </c>
      <c r="H21" s="985">
        <v>1</v>
      </c>
      <c r="I21" s="985">
        <v>1</v>
      </c>
      <c r="J21" s="995">
        <f>F21*G21*H21*I21</f>
        <v>90.5</v>
      </c>
    </row>
    <row r="22" spans="1:14" x14ac:dyDescent="0.25">
      <c r="A22" s="2212" t="s">
        <v>6256</v>
      </c>
      <c r="B22" s="2213"/>
      <c r="C22" s="2213"/>
      <c r="D22" s="2213"/>
      <c r="E22" s="2213"/>
      <c r="F22" s="2213"/>
      <c r="G22" s="2214"/>
      <c r="H22" s="990"/>
      <c r="I22" s="990"/>
      <c r="J22" s="996">
        <f>J19+J20+J21</f>
        <v>148</v>
      </c>
    </row>
    <row r="23" spans="1:14" x14ac:dyDescent="0.25">
      <c r="A23" s="992"/>
      <c r="B23" s="2209" t="s">
        <v>6257</v>
      </c>
      <c r="C23" s="2210"/>
      <c r="D23" s="2210"/>
      <c r="E23" s="2210"/>
      <c r="F23" s="2210"/>
      <c r="G23" s="2210"/>
      <c r="H23" s="2210"/>
      <c r="I23" s="2210"/>
      <c r="J23" s="2211"/>
    </row>
    <row r="24" spans="1:14" ht="38.450000000000003" customHeight="1" x14ac:dyDescent="0.25">
      <c r="A24" s="985">
        <v>7</v>
      </c>
      <c r="B24" s="993" t="s">
        <v>6243</v>
      </c>
      <c r="C24" s="986" t="s">
        <v>6258</v>
      </c>
      <c r="D24" s="986" t="s">
        <v>6259</v>
      </c>
      <c r="E24" s="986">
        <f>E14</f>
        <v>1</v>
      </c>
      <c r="F24" s="986">
        <v>14</v>
      </c>
      <c r="G24" s="985">
        <v>1</v>
      </c>
      <c r="H24" s="985">
        <v>1</v>
      </c>
      <c r="I24" s="985">
        <v>1</v>
      </c>
      <c r="J24" s="985">
        <f>E24*F24*G24</f>
        <v>14</v>
      </c>
    </row>
    <row r="25" spans="1:14" ht="38.450000000000003" customHeight="1" x14ac:dyDescent="0.25">
      <c r="A25" s="985">
        <v>8</v>
      </c>
      <c r="B25" s="997" t="s">
        <v>6245</v>
      </c>
      <c r="C25" s="986" t="s">
        <v>6246</v>
      </c>
      <c r="D25" s="986" t="s">
        <v>6259</v>
      </c>
      <c r="E25" s="986">
        <f>E15</f>
        <v>1</v>
      </c>
      <c r="F25" s="986">
        <v>8</v>
      </c>
      <c r="G25" s="985">
        <v>1</v>
      </c>
      <c r="H25" s="985">
        <v>1</v>
      </c>
      <c r="I25" s="985">
        <v>1</v>
      </c>
      <c r="J25" s="985">
        <f>E25*F25*G25</f>
        <v>8</v>
      </c>
    </row>
    <row r="26" spans="1:14" ht="25.5" x14ac:dyDescent="0.25">
      <c r="A26" s="985">
        <v>9</v>
      </c>
      <c r="B26" s="993" t="s">
        <v>6260</v>
      </c>
      <c r="C26" s="986" t="s">
        <v>6261</v>
      </c>
      <c r="D26" s="985" t="s">
        <v>6220</v>
      </c>
      <c r="E26" s="986">
        <v>1</v>
      </c>
      <c r="F26" s="986">
        <v>262</v>
      </c>
      <c r="G26" s="985">
        <v>1</v>
      </c>
      <c r="H26" s="985">
        <v>1</v>
      </c>
      <c r="I26" s="985">
        <v>1</v>
      </c>
      <c r="J26" s="985">
        <f>PRODUCT(E26:I26)</f>
        <v>262</v>
      </c>
    </row>
    <row r="27" spans="1:14" ht="34.5" customHeight="1" x14ac:dyDescent="0.25">
      <c r="A27" s="985">
        <v>10</v>
      </c>
      <c r="B27" s="993" t="s">
        <v>6262</v>
      </c>
      <c r="C27" s="986" t="s">
        <v>6263</v>
      </c>
      <c r="D27" s="986" t="s">
        <v>6192</v>
      </c>
      <c r="E27" s="986">
        <v>7</v>
      </c>
      <c r="F27" s="986">
        <v>34</v>
      </c>
      <c r="G27" s="985">
        <v>1</v>
      </c>
      <c r="H27" s="985">
        <v>1</v>
      </c>
      <c r="I27" s="985">
        <v>1</v>
      </c>
      <c r="J27" s="985">
        <f>PRODUCT(E27:G27)</f>
        <v>238</v>
      </c>
    </row>
    <row r="28" spans="1:14" ht="15.75" x14ac:dyDescent="0.25">
      <c r="A28" s="985">
        <v>11</v>
      </c>
      <c r="B28" s="993" t="s">
        <v>6264</v>
      </c>
      <c r="C28" s="986" t="s">
        <v>6263</v>
      </c>
      <c r="D28" s="986" t="s">
        <v>6192</v>
      </c>
      <c r="E28" s="986">
        <v>7</v>
      </c>
      <c r="F28" s="986">
        <v>34</v>
      </c>
      <c r="G28" s="985">
        <v>1</v>
      </c>
      <c r="H28" s="985">
        <v>1</v>
      </c>
      <c r="I28" s="985">
        <v>1</v>
      </c>
      <c r="J28" s="985">
        <f>PRODUCT(E28:G28)</f>
        <v>238</v>
      </c>
      <c r="N28" s="998"/>
    </row>
    <row r="29" spans="1:14" ht="47.25" customHeight="1" x14ac:dyDescent="0.25">
      <c r="A29" s="985">
        <v>12</v>
      </c>
      <c r="B29" s="993" t="s">
        <v>6265</v>
      </c>
      <c r="C29" s="986" t="s">
        <v>6263</v>
      </c>
      <c r="D29" s="986" t="s">
        <v>6192</v>
      </c>
      <c r="E29" s="986">
        <v>7</v>
      </c>
      <c r="F29" s="986">
        <v>34</v>
      </c>
      <c r="G29" s="985">
        <v>1</v>
      </c>
      <c r="H29" s="985">
        <v>1</v>
      </c>
      <c r="I29" s="985">
        <v>1</v>
      </c>
      <c r="J29" s="985">
        <f>PRODUCT(E29:G29)</f>
        <v>238</v>
      </c>
      <c r="N29" s="999"/>
    </row>
    <row r="30" spans="1:14" ht="42.75" customHeight="1" x14ac:dyDescent="0.25">
      <c r="A30" s="985">
        <v>13</v>
      </c>
      <c r="B30" s="993" t="s">
        <v>6266</v>
      </c>
      <c r="C30" s="986" t="s">
        <v>6267</v>
      </c>
      <c r="D30" s="986" t="s">
        <v>6175</v>
      </c>
      <c r="E30" s="986">
        <v>12</v>
      </c>
      <c r="F30" s="986">
        <v>7</v>
      </c>
      <c r="G30" s="985">
        <v>1</v>
      </c>
      <c r="H30" s="985">
        <v>1</v>
      </c>
      <c r="I30" s="985">
        <v>1</v>
      </c>
      <c r="J30" s="985">
        <f t="shared" ref="J30:J33" si="1">PRODUCT(E30:G30)</f>
        <v>84</v>
      </c>
    </row>
    <row r="31" spans="1:14" ht="60.75" customHeight="1" x14ac:dyDescent="0.25">
      <c r="A31" s="985">
        <v>14</v>
      </c>
      <c r="B31" s="993" t="s">
        <v>6268</v>
      </c>
      <c r="C31" s="986" t="s">
        <v>6263</v>
      </c>
      <c r="D31" s="986" t="s">
        <v>6192</v>
      </c>
      <c r="E31" s="986">
        <v>7</v>
      </c>
      <c r="F31" s="986">
        <v>34</v>
      </c>
      <c r="G31" s="985">
        <v>1</v>
      </c>
      <c r="H31" s="985">
        <v>1</v>
      </c>
      <c r="I31" s="985">
        <v>1</v>
      </c>
      <c r="J31" s="985">
        <f t="shared" si="1"/>
        <v>238</v>
      </c>
    </row>
    <row r="32" spans="1:14" ht="60.75" customHeight="1" x14ac:dyDescent="0.25">
      <c r="A32" s="985">
        <v>15</v>
      </c>
      <c r="B32" s="993" t="s">
        <v>6269</v>
      </c>
      <c r="C32" s="986" t="s">
        <v>6263</v>
      </c>
      <c r="D32" s="986" t="s">
        <v>6192</v>
      </c>
      <c r="E32" s="986">
        <v>17</v>
      </c>
      <c r="F32" s="986">
        <v>34</v>
      </c>
      <c r="G32" s="985">
        <v>1</v>
      </c>
      <c r="H32" s="985">
        <v>1</v>
      </c>
      <c r="I32" s="985">
        <v>1</v>
      </c>
      <c r="J32" s="1000">
        <f>PRODUCT(E32,F32,G32,H32,I32)</f>
        <v>578</v>
      </c>
    </row>
    <row r="33" spans="1:15" ht="72.95" customHeight="1" x14ac:dyDescent="0.25">
      <c r="A33" s="985">
        <v>16</v>
      </c>
      <c r="B33" s="993" t="s">
        <v>6270</v>
      </c>
      <c r="C33" s="986" t="s">
        <v>6263</v>
      </c>
      <c r="D33" s="986" t="s">
        <v>6192</v>
      </c>
      <c r="E33" s="986">
        <v>7</v>
      </c>
      <c r="F33" s="986">
        <v>34</v>
      </c>
      <c r="G33" s="985">
        <v>1</v>
      </c>
      <c r="H33" s="985">
        <v>1</v>
      </c>
      <c r="I33" s="985">
        <v>1</v>
      </c>
      <c r="J33" s="985">
        <f t="shared" si="1"/>
        <v>238</v>
      </c>
      <c r="O33" s="999"/>
    </row>
    <row r="34" spans="1:15" ht="72.95" customHeight="1" x14ac:dyDescent="0.25">
      <c r="A34" s="985">
        <v>17</v>
      </c>
      <c r="B34" s="993" t="s">
        <v>6271</v>
      </c>
      <c r="C34" s="986" t="s">
        <v>6263</v>
      </c>
      <c r="D34" s="986" t="s">
        <v>6192</v>
      </c>
      <c r="E34" s="986">
        <v>17</v>
      </c>
      <c r="F34" s="986">
        <v>34</v>
      </c>
      <c r="G34" s="985">
        <v>1</v>
      </c>
      <c r="H34" s="985">
        <v>1</v>
      </c>
      <c r="I34" s="985">
        <v>1</v>
      </c>
      <c r="J34" s="1000">
        <f>PRODUCT(E34,F34,G34,H34,I34)</f>
        <v>578</v>
      </c>
      <c r="O34" s="999"/>
    </row>
    <row r="35" spans="1:15" ht="57" customHeight="1" x14ac:dyDescent="0.25">
      <c r="A35" s="985">
        <v>18</v>
      </c>
      <c r="B35" s="1001" t="s">
        <v>6272</v>
      </c>
      <c r="C35" s="983" t="s">
        <v>6273</v>
      </c>
      <c r="D35" s="1002" t="s">
        <v>6192</v>
      </c>
      <c r="E35" s="983">
        <v>17</v>
      </c>
      <c r="F35" s="983">
        <v>64</v>
      </c>
      <c r="G35" s="1002">
        <v>1</v>
      </c>
      <c r="H35" s="985">
        <v>1</v>
      </c>
      <c r="I35" s="985">
        <v>1</v>
      </c>
      <c r="J35" s="1002">
        <f>PRODUCT(E35,F35,G35)</f>
        <v>1088</v>
      </c>
    </row>
    <row r="36" spans="1:15" ht="58.7" customHeight="1" x14ac:dyDescent="0.25">
      <c r="A36" s="985">
        <v>19</v>
      </c>
      <c r="B36" s="993" t="s">
        <v>6274</v>
      </c>
      <c r="C36" s="986" t="s">
        <v>6261</v>
      </c>
      <c r="D36" s="985" t="s">
        <v>6220</v>
      </c>
      <c r="E36" s="986">
        <v>1</v>
      </c>
      <c r="F36" s="985">
        <v>262</v>
      </c>
      <c r="G36" s="985">
        <v>1</v>
      </c>
      <c r="H36" s="985">
        <v>1</v>
      </c>
      <c r="I36" s="985">
        <v>1</v>
      </c>
      <c r="J36" s="985">
        <f>E36*F36*G36</f>
        <v>262</v>
      </c>
    </row>
    <row r="37" spans="1:15" ht="58.7" customHeight="1" x14ac:dyDescent="0.25">
      <c r="A37" s="985">
        <v>20</v>
      </c>
      <c r="B37" s="993" t="s">
        <v>6275</v>
      </c>
      <c r="C37" s="986" t="s">
        <v>6276</v>
      </c>
      <c r="D37" s="985" t="s">
        <v>6277</v>
      </c>
      <c r="E37" s="986">
        <v>5</v>
      </c>
      <c r="F37" s="985">
        <v>108</v>
      </c>
      <c r="G37" s="985">
        <v>1</v>
      </c>
      <c r="H37" s="985">
        <v>1</v>
      </c>
      <c r="I37" s="985">
        <v>1</v>
      </c>
      <c r="J37" s="985">
        <f>E37*F37*G37</f>
        <v>540</v>
      </c>
    </row>
    <row r="38" spans="1:15" x14ac:dyDescent="0.25">
      <c r="A38" s="2215" t="s">
        <v>6278</v>
      </c>
      <c r="B38" s="2216"/>
      <c r="C38" s="2216"/>
      <c r="D38" s="2216"/>
      <c r="E38" s="2216"/>
      <c r="F38" s="2217"/>
      <c r="G38" s="1003"/>
      <c r="H38" s="1003"/>
      <c r="I38" s="1003"/>
      <c r="J38" s="1004">
        <f>SUM(J24:J36)</f>
        <v>4064</v>
      </c>
    </row>
    <row r="39" spans="1:15" ht="37.5" customHeight="1" x14ac:dyDescent="0.25">
      <c r="A39" s="985">
        <v>21</v>
      </c>
      <c r="B39" s="993" t="s">
        <v>6279</v>
      </c>
      <c r="C39" s="985" t="s">
        <v>6280</v>
      </c>
      <c r="D39" s="985" t="s">
        <v>6134</v>
      </c>
      <c r="E39" s="985">
        <v>1</v>
      </c>
      <c r="F39" s="985">
        <v>800</v>
      </c>
      <c r="G39" s="985">
        <v>1</v>
      </c>
      <c r="H39" s="985">
        <v>1</v>
      </c>
      <c r="I39" s="985">
        <v>1</v>
      </c>
      <c r="J39" s="985">
        <f>E39*F39*G39*H39</f>
        <v>800</v>
      </c>
    </row>
    <row r="40" spans="1:15" ht="50.25" customHeight="1" x14ac:dyDescent="0.25">
      <c r="A40" s="986">
        <v>22</v>
      </c>
      <c r="B40" s="993" t="s">
        <v>6281</v>
      </c>
      <c r="C40" s="985" t="s">
        <v>6282</v>
      </c>
      <c r="D40" s="986" t="s">
        <v>6283</v>
      </c>
      <c r="E40" s="985">
        <v>1</v>
      </c>
      <c r="F40" s="1005">
        <v>0.7</v>
      </c>
      <c r="G40" s="985">
        <v>1</v>
      </c>
      <c r="H40" s="985">
        <v>1</v>
      </c>
      <c r="I40" s="985">
        <v>1</v>
      </c>
      <c r="J40" s="1006">
        <f>(J38+J39)*F40*G40*H40</f>
        <v>3405</v>
      </c>
    </row>
    <row r="41" spans="1:15" x14ac:dyDescent="0.25">
      <c r="A41" s="2218" t="s">
        <v>6284</v>
      </c>
      <c r="B41" s="2219"/>
      <c r="C41" s="2219"/>
      <c r="D41" s="2219"/>
      <c r="E41" s="2219"/>
      <c r="F41" s="2219"/>
      <c r="G41" s="2220"/>
      <c r="H41" s="1007"/>
      <c r="I41" s="1007"/>
      <c r="J41" s="996">
        <f>J40+J39+J38</f>
        <v>8269</v>
      </c>
    </row>
    <row r="42" spans="1:15" x14ac:dyDescent="0.25">
      <c r="A42" s="2221" t="s">
        <v>9483</v>
      </c>
      <c r="B42" s="2221"/>
      <c r="C42" s="2221"/>
      <c r="D42" s="2221"/>
      <c r="E42" s="2221"/>
      <c r="F42" s="2221"/>
      <c r="G42" s="2221"/>
      <c r="H42" s="1008"/>
      <c r="I42" s="1008"/>
      <c r="J42" s="996">
        <f>J41+J17+J22</f>
        <v>8645</v>
      </c>
    </row>
    <row r="43" spans="1:15" ht="41.25" customHeight="1" x14ac:dyDescent="0.25">
      <c r="A43" s="288"/>
      <c r="B43" s="269" t="s">
        <v>5970</v>
      </c>
      <c r="C43" s="2198" t="s">
        <v>6089</v>
      </c>
      <c r="D43" s="2198"/>
      <c r="E43" s="2198"/>
      <c r="F43" s="2198"/>
      <c r="G43" s="2198"/>
      <c r="H43" s="2198"/>
      <c r="I43" s="289">
        <v>11.37</v>
      </c>
      <c r="J43" s="339">
        <f>J42*I43</f>
        <v>98293.65</v>
      </c>
    </row>
    <row r="44" spans="1:15" ht="38.1" customHeight="1" x14ac:dyDescent="0.25">
      <c r="A44" s="288"/>
      <c r="B44" s="979" t="s">
        <v>6090</v>
      </c>
      <c r="C44" s="2198" t="s">
        <v>6091</v>
      </c>
      <c r="D44" s="2198"/>
      <c r="E44" s="2198"/>
      <c r="F44" s="2198"/>
      <c r="G44" s="2198"/>
      <c r="H44" s="2198"/>
      <c r="I44" s="289">
        <v>8.98</v>
      </c>
      <c r="J44" s="339">
        <f>J42*I44</f>
        <v>77632.100000000006</v>
      </c>
    </row>
    <row r="45" spans="1:15" ht="41.85" customHeight="1" x14ac:dyDescent="0.25">
      <c r="A45" s="290"/>
      <c r="B45" s="291" t="s">
        <v>5973</v>
      </c>
      <c r="C45" s="2194" t="s">
        <v>6092</v>
      </c>
      <c r="D45" s="2194"/>
      <c r="E45" s="2194"/>
      <c r="F45" s="2194"/>
      <c r="G45" s="2194"/>
      <c r="H45" s="2194"/>
      <c r="I45" s="292">
        <v>52.94</v>
      </c>
      <c r="J45" s="339">
        <f>J42*I45</f>
        <v>457666.3</v>
      </c>
    </row>
    <row r="46" spans="1:15" x14ac:dyDescent="0.25">
      <c r="K46" s="345"/>
    </row>
    <row r="47" spans="1:15" s="346" customFormat="1" ht="27" customHeight="1" x14ac:dyDescent="0.2">
      <c r="B47" s="347"/>
      <c r="C47" s="347"/>
      <c r="D47" s="347"/>
      <c r="E47" s="347"/>
      <c r="F47" s="348"/>
    </row>
    <row r="48" spans="1:15" s="352" customFormat="1" x14ac:dyDescent="0.2">
      <c r="A48" s="349"/>
      <c r="B48" s="350"/>
      <c r="C48" s="351"/>
      <c r="F48" s="353"/>
    </row>
    <row r="49" spans="2:6" s="352" customFormat="1" x14ac:dyDescent="0.2">
      <c r="B49" s="350"/>
      <c r="F49" s="353"/>
    </row>
  </sheetData>
  <mergeCells count="27">
    <mergeCell ref="C43:H43"/>
    <mergeCell ref="C44:H44"/>
    <mergeCell ref="C45:H45"/>
    <mergeCell ref="C21:E21"/>
    <mergeCell ref="A22:G22"/>
    <mergeCell ref="B23:J23"/>
    <mergeCell ref="A38:F38"/>
    <mergeCell ref="A41:G41"/>
    <mergeCell ref="A42:G42"/>
    <mergeCell ref="C20:E20"/>
    <mergeCell ref="K6:K7"/>
    <mergeCell ref="A7:B7"/>
    <mergeCell ref="C7:J7"/>
    <mergeCell ref="A9:J9"/>
    <mergeCell ref="A10:J10"/>
    <mergeCell ref="A11:J11"/>
    <mergeCell ref="A12:J12"/>
    <mergeCell ref="B13:J13"/>
    <mergeCell ref="A17:G17"/>
    <mergeCell ref="B18:J18"/>
    <mergeCell ref="C19:E19"/>
    <mergeCell ref="I1:J1"/>
    <mergeCell ref="A3:J3"/>
    <mergeCell ref="A4:J4"/>
    <mergeCell ref="A5:J5"/>
    <mergeCell ref="A6:B6"/>
    <mergeCell ref="C6:J6"/>
  </mergeCells>
  <pageMargins left="0.51181102362204722" right="0.51181102362204722" top="0.74803149606299213" bottom="0.74803149606299213" header="0.31496062992125984" footer="0.31496062992125984"/>
  <pageSetup paperSize="9" scale="6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94"/>
  <sheetViews>
    <sheetView topLeftCell="A79" zoomScale="85" zoomScaleNormal="85" zoomScaleSheetLayoutView="100" workbookViewId="0">
      <selection sqref="A1:G1"/>
    </sheetView>
  </sheetViews>
  <sheetFormatPr defaultColWidth="9.140625" defaultRowHeight="12.75" x14ac:dyDescent="0.2"/>
  <cols>
    <col min="1" max="1" width="12" style="379" customWidth="1"/>
    <col min="2" max="2" width="59.28515625" style="354" customWidth="1"/>
    <col min="3" max="3" width="19.42578125" style="354" customWidth="1"/>
    <col min="4" max="4" width="29.85546875" style="354" customWidth="1"/>
    <col min="5" max="5" width="15.7109375" style="354" customWidth="1"/>
    <col min="6" max="6" width="16.140625" style="354" customWidth="1"/>
    <col min="7" max="7" width="23" style="354" customWidth="1"/>
    <col min="8" max="8" width="16.85546875" style="354" customWidth="1"/>
    <col min="9" max="9" width="37.140625" style="354" customWidth="1"/>
    <col min="10" max="16384" width="9.140625" style="354"/>
  </cols>
  <sheetData>
    <row r="1" spans="1:7" ht="24.2" customHeight="1" x14ac:dyDescent="0.25">
      <c r="A1" s="2294" t="s">
        <v>132</v>
      </c>
      <c r="B1" s="2294"/>
      <c r="C1" s="2294"/>
      <c r="D1" s="2294"/>
      <c r="E1" s="2294"/>
      <c r="F1" s="2294"/>
      <c r="G1" s="2294"/>
    </row>
    <row r="2" spans="1:7" ht="22.5" customHeight="1" x14ac:dyDescent="0.25">
      <c r="A2" s="2295" t="s">
        <v>6285</v>
      </c>
      <c r="B2" s="2295"/>
      <c r="C2" s="2295"/>
      <c r="D2" s="2295"/>
      <c r="E2" s="2295"/>
      <c r="F2" s="2295"/>
      <c r="G2" s="2295"/>
    </row>
    <row r="3" spans="1:7" ht="8.65" customHeight="1" x14ac:dyDescent="0.25">
      <c r="A3" s="1009"/>
      <c r="B3" s="1010"/>
      <c r="C3" s="1011"/>
      <c r="D3" s="1012"/>
      <c r="E3" s="1013"/>
      <c r="F3" s="1010"/>
      <c r="G3" s="1014"/>
    </row>
    <row r="4" spans="1:7" ht="0.6" customHeight="1" x14ac:dyDescent="0.25">
      <c r="A4" s="2296" t="s">
        <v>5904</v>
      </c>
      <c r="B4" s="2296"/>
      <c r="C4" s="2296"/>
      <c r="D4" s="2296"/>
      <c r="E4" s="2296"/>
      <c r="F4" s="2296"/>
      <c r="G4" s="2296"/>
    </row>
    <row r="5" spans="1:7" ht="15" x14ac:dyDescent="0.25">
      <c r="A5" s="2137" t="s">
        <v>5938</v>
      </c>
      <c r="B5" s="2138"/>
      <c r="C5" s="2139" t="s">
        <v>5887</v>
      </c>
      <c r="D5" s="2140"/>
      <c r="E5" s="2140"/>
      <c r="F5" s="2140"/>
      <c r="G5" s="2140"/>
    </row>
    <row r="6" spans="1:7" ht="15" x14ac:dyDescent="0.25">
      <c r="A6" s="2137" t="s">
        <v>5939</v>
      </c>
      <c r="B6" s="2138"/>
      <c r="C6" s="2139" t="s">
        <v>5889</v>
      </c>
      <c r="D6" s="2140"/>
      <c r="E6" s="2140"/>
      <c r="F6" s="2140"/>
      <c r="G6" s="2140"/>
    </row>
    <row r="7" spans="1:7" x14ac:dyDescent="0.2">
      <c r="A7" s="355"/>
      <c r="C7" s="356"/>
      <c r="D7" s="357"/>
      <c r="E7" s="358"/>
      <c r="G7" s="359"/>
    </row>
    <row r="8" spans="1:7" ht="51.75" customHeight="1" x14ac:dyDescent="0.2">
      <c r="A8" s="2276" t="s">
        <v>9484</v>
      </c>
      <c r="B8" s="2277"/>
      <c r="C8" s="1373"/>
      <c r="D8" s="2262" t="s">
        <v>5904</v>
      </c>
      <c r="E8" s="2262"/>
      <c r="F8" s="2262"/>
      <c r="G8" s="2263"/>
    </row>
    <row r="9" spans="1:7" ht="21.75" customHeight="1" x14ac:dyDescent="0.2">
      <c r="A9" s="1015"/>
      <c r="B9" s="1015"/>
      <c r="C9" s="1015"/>
      <c r="D9" s="2278"/>
      <c r="E9" s="2278"/>
      <c r="F9" s="2278"/>
      <c r="G9" s="2278"/>
    </row>
    <row r="10" spans="1:7" x14ac:dyDescent="0.2">
      <c r="A10" s="1374" t="s">
        <v>9485</v>
      </c>
      <c r="B10" s="1373"/>
      <c r="C10" s="1375"/>
      <c r="D10" s="2279" t="s">
        <v>9486</v>
      </c>
      <c r="E10" s="2280"/>
      <c r="F10" s="2280"/>
      <c r="G10" s="2281"/>
    </row>
    <row r="11" spans="1:7" x14ac:dyDescent="0.2">
      <c r="A11" s="355"/>
      <c r="D11" s="360"/>
      <c r="E11" s="360"/>
      <c r="F11" s="360"/>
      <c r="G11" s="360"/>
    </row>
    <row r="12" spans="1:7" ht="12.75" customHeight="1" x14ac:dyDescent="0.2">
      <c r="A12" s="2282" t="s">
        <v>9487</v>
      </c>
      <c r="B12" s="2283"/>
      <c r="C12" s="2284"/>
      <c r="D12" s="2288"/>
      <c r="E12" s="2289"/>
      <c r="F12" s="2289"/>
      <c r="G12" s="2290"/>
    </row>
    <row r="13" spans="1:7" x14ac:dyDescent="0.2">
      <c r="A13" s="2285"/>
      <c r="B13" s="2286"/>
      <c r="C13" s="2287"/>
      <c r="D13" s="2291"/>
      <c r="E13" s="2292"/>
      <c r="F13" s="2292"/>
      <c r="G13" s="2293"/>
    </row>
    <row r="14" spans="1:7" ht="26.25" customHeight="1" x14ac:dyDescent="0.2">
      <c r="A14" s="1374" t="s">
        <v>5849</v>
      </c>
      <c r="B14" s="1373"/>
      <c r="C14" s="1375" t="s">
        <v>9488</v>
      </c>
      <c r="D14" s="2261" t="s">
        <v>5889</v>
      </c>
      <c r="E14" s="2262"/>
      <c r="F14" s="2262"/>
      <c r="G14" s="2263"/>
    </row>
    <row r="15" spans="1:7" ht="51.75" customHeight="1" x14ac:dyDescent="0.2">
      <c r="A15" s="1376"/>
      <c r="B15" s="2264" t="s">
        <v>6286</v>
      </c>
      <c r="C15" s="2264"/>
      <c r="D15" s="2264"/>
      <c r="E15" s="2264"/>
      <c r="F15" s="2264"/>
      <c r="G15" s="2265"/>
    </row>
    <row r="16" spans="1:7" ht="35.65" customHeight="1" thickBot="1" x14ac:dyDescent="0.25">
      <c r="A16" s="361" t="s">
        <v>8</v>
      </c>
      <c r="B16" s="362" t="s">
        <v>6287</v>
      </c>
      <c r="C16" s="362" t="s">
        <v>6236</v>
      </c>
      <c r="D16" s="362" t="s">
        <v>6288</v>
      </c>
      <c r="E16" s="362" t="s">
        <v>6289</v>
      </c>
      <c r="F16" s="362" t="s">
        <v>6290</v>
      </c>
      <c r="G16" s="363" t="s">
        <v>9489</v>
      </c>
    </row>
    <row r="17" spans="1:14" ht="19.7" customHeight="1" x14ac:dyDescent="0.2">
      <c r="A17" s="2266" t="s">
        <v>6291</v>
      </c>
      <c r="B17" s="2267"/>
      <c r="C17" s="2267"/>
      <c r="D17" s="2267"/>
      <c r="E17" s="2267"/>
      <c r="F17" s="2267"/>
      <c r="G17" s="2268"/>
      <c r="I17" s="1016"/>
    </row>
    <row r="18" spans="1:14" ht="88.5" customHeight="1" x14ac:dyDescent="0.2">
      <c r="A18" s="1275">
        <v>1.1000000000000001</v>
      </c>
      <c r="B18" s="1276" t="s">
        <v>9490</v>
      </c>
      <c r="C18" s="1276" t="s">
        <v>9491</v>
      </c>
      <c r="D18" s="1377" t="s">
        <v>9492</v>
      </c>
      <c r="E18" s="1276">
        <v>5.34</v>
      </c>
      <c r="F18" s="1277">
        <v>18.3</v>
      </c>
      <c r="G18" s="1278">
        <f>E18*F18*1.1</f>
        <v>107.49</v>
      </c>
      <c r="I18" s="1017"/>
      <c r="J18" s="2256"/>
      <c r="K18" s="2256"/>
      <c r="L18" s="2256"/>
      <c r="M18" s="2256"/>
      <c r="N18" s="2256"/>
    </row>
    <row r="19" spans="1:14" ht="25.5" x14ac:dyDescent="0.2">
      <c r="A19" s="1275">
        <v>1.2</v>
      </c>
      <c r="B19" s="1276" t="s">
        <v>9493</v>
      </c>
      <c r="C19" s="365" t="s">
        <v>6046</v>
      </c>
      <c r="D19" s="1378" t="s">
        <v>9494</v>
      </c>
      <c r="E19" s="1279">
        <v>3</v>
      </c>
      <c r="F19" s="366">
        <v>6.9</v>
      </c>
      <c r="G19" s="1278">
        <f>E19*F19</f>
        <v>20.7</v>
      </c>
      <c r="H19" s="1379"/>
      <c r="I19" s="1017"/>
      <c r="J19" s="2256"/>
      <c r="K19" s="2256"/>
      <c r="L19" s="2256"/>
      <c r="M19" s="2256"/>
      <c r="N19" s="2256"/>
    </row>
    <row r="20" spans="1:14" ht="276" customHeight="1" x14ac:dyDescent="0.2">
      <c r="A20" s="1275">
        <v>1.3</v>
      </c>
      <c r="B20" s="1276" t="s">
        <v>9495</v>
      </c>
      <c r="C20" s="365" t="s">
        <v>6292</v>
      </c>
      <c r="D20" s="1019" t="s">
        <v>9496</v>
      </c>
      <c r="E20" s="1279">
        <v>4</v>
      </c>
      <c r="F20" s="366">
        <v>6.9</v>
      </c>
      <c r="G20" s="1278">
        <f>E20*F20</f>
        <v>27.6</v>
      </c>
      <c r="I20" s="1016"/>
      <c r="J20" s="2256"/>
      <c r="K20" s="2256"/>
      <c r="L20" s="2256"/>
      <c r="M20" s="2256"/>
      <c r="N20" s="2256"/>
    </row>
    <row r="21" spans="1:14" ht="26.25" customHeight="1" x14ac:dyDescent="0.2">
      <c r="A21" s="1275">
        <v>1.4</v>
      </c>
      <c r="B21" s="1276" t="s">
        <v>6293</v>
      </c>
      <c r="C21" s="365" t="s">
        <v>6292</v>
      </c>
      <c r="D21" s="1380" t="s">
        <v>9497</v>
      </c>
      <c r="E21" s="1279">
        <v>8</v>
      </c>
      <c r="F21" s="366">
        <v>37.700000000000003</v>
      </c>
      <c r="G21" s="1278">
        <f>E21*F21*0.9</f>
        <v>271.44</v>
      </c>
    </row>
    <row r="22" spans="1:14" ht="27" customHeight="1" x14ac:dyDescent="0.2">
      <c r="A22" s="1275">
        <v>1.5</v>
      </c>
      <c r="B22" s="1276" t="s">
        <v>6295</v>
      </c>
      <c r="C22" s="365" t="s">
        <v>6292</v>
      </c>
      <c r="D22" s="1378" t="s">
        <v>6296</v>
      </c>
      <c r="E22" s="365">
        <v>2</v>
      </c>
      <c r="F22" s="366">
        <v>4.5999999999999996</v>
      </c>
      <c r="G22" s="1278">
        <f>E22*F22*0.5</f>
        <v>4.5999999999999996</v>
      </c>
      <c r="I22" s="1020"/>
    </row>
    <row r="23" spans="1:14" ht="27" hidden="1" customHeight="1" x14ac:dyDescent="0.2">
      <c r="A23" s="1280">
        <v>1.6</v>
      </c>
      <c r="B23" s="1281" t="s">
        <v>9498</v>
      </c>
      <c r="C23" s="1021" t="s">
        <v>6292</v>
      </c>
      <c r="D23" s="1022" t="s">
        <v>6294</v>
      </c>
      <c r="E23" s="1021">
        <v>0</v>
      </c>
      <c r="F23" s="1023">
        <v>37.700000000000003</v>
      </c>
      <c r="G23" s="1023">
        <f>E23*F23</f>
        <v>0</v>
      </c>
    </row>
    <row r="24" spans="1:14" ht="27" customHeight="1" x14ac:dyDescent="0.2">
      <c r="A24" s="1275">
        <v>1.7</v>
      </c>
      <c r="B24" s="1276" t="s">
        <v>6297</v>
      </c>
      <c r="C24" s="1024" t="s">
        <v>6298</v>
      </c>
      <c r="D24" s="1381" t="s">
        <v>6299</v>
      </c>
      <c r="E24" s="365">
        <v>60</v>
      </c>
      <c r="F24" s="366">
        <v>49.2</v>
      </c>
      <c r="G24" s="1023">
        <f>E24*F24</f>
        <v>2952</v>
      </c>
    </row>
    <row r="25" spans="1:14" ht="18.399999999999999" customHeight="1" x14ac:dyDescent="0.2">
      <c r="A25" s="1275">
        <v>1.8</v>
      </c>
      <c r="B25" s="1276" t="s">
        <v>9499</v>
      </c>
      <c r="C25" s="1306" t="s">
        <v>9500</v>
      </c>
      <c r="D25" s="1025" t="s">
        <v>9501</v>
      </c>
      <c r="E25" s="365">
        <v>0.5</v>
      </c>
      <c r="F25" s="366">
        <v>535</v>
      </c>
      <c r="G25" s="1023">
        <f>E25*F25</f>
        <v>267.5</v>
      </c>
      <c r="H25" s="1018"/>
    </row>
    <row r="26" spans="1:14" ht="18.95" customHeight="1" x14ac:dyDescent="0.2">
      <c r="A26" s="2269" t="s">
        <v>9502</v>
      </c>
      <c r="B26" s="2270"/>
      <c r="C26" s="2270"/>
      <c r="D26" s="2270"/>
      <c r="E26" s="2270"/>
      <c r="F26" s="2271"/>
      <c r="G26" s="1282">
        <f>SUM(G18:G25)*1.2*1.4</f>
        <v>6134.23</v>
      </c>
    </row>
    <row r="27" spans="1:14" ht="25.5" x14ac:dyDescent="0.2">
      <c r="A27" s="369" t="s">
        <v>6300</v>
      </c>
      <c r="B27" s="370" t="s">
        <v>6301</v>
      </c>
      <c r="C27" s="370"/>
      <c r="D27" s="370" t="s">
        <v>6302</v>
      </c>
      <c r="E27" s="370"/>
      <c r="F27" s="371"/>
      <c r="G27" s="372">
        <f>G26*1</f>
        <v>6134.23</v>
      </c>
    </row>
    <row r="28" spans="1:14" ht="21.6" customHeight="1" x14ac:dyDescent="0.2">
      <c r="A28" s="1026">
        <v>1.9</v>
      </c>
      <c r="B28" s="1276" t="s">
        <v>6303</v>
      </c>
      <c r="C28" s="367" t="s">
        <v>322</v>
      </c>
      <c r="D28" s="1276" t="s">
        <v>6304</v>
      </c>
      <c r="E28" s="373">
        <v>8.7499999999999994E-2</v>
      </c>
      <c r="F28" s="1277">
        <f>G26</f>
        <v>6134.23</v>
      </c>
      <c r="G28" s="368">
        <f>F28*E28</f>
        <v>536.75</v>
      </c>
    </row>
    <row r="29" spans="1:14" ht="25.5" x14ac:dyDescent="0.2">
      <c r="A29" s="1027">
        <v>1.1000000000000001</v>
      </c>
      <c r="B29" s="1276" t="s">
        <v>9503</v>
      </c>
      <c r="C29" s="1276" t="s">
        <v>322</v>
      </c>
      <c r="D29" s="1276" t="s">
        <v>6305</v>
      </c>
      <c r="E29" s="1276">
        <v>0.19600000000000001</v>
      </c>
      <c r="F29" s="1277">
        <f>G28+F28</f>
        <v>6670.98</v>
      </c>
      <c r="G29" s="1283">
        <f>F29*E29</f>
        <v>1307.51</v>
      </c>
    </row>
    <row r="30" spans="1:14" ht="27" customHeight="1" x14ac:dyDescent="0.2">
      <c r="A30" s="1028">
        <v>1.1100000000000001</v>
      </c>
      <c r="B30" s="1276" t="s">
        <v>5966</v>
      </c>
      <c r="C30" s="365" t="s">
        <v>9504</v>
      </c>
      <c r="D30" s="1307" t="s">
        <v>9505</v>
      </c>
      <c r="E30" s="1029">
        <f>F29</f>
        <v>6671</v>
      </c>
      <c r="F30" s="1277"/>
      <c r="G30" s="368">
        <f>E30*6%</f>
        <v>400.26</v>
      </c>
    </row>
    <row r="31" spans="1:14" ht="19.7" customHeight="1" x14ac:dyDescent="0.2">
      <c r="A31" s="2227" t="s">
        <v>6306</v>
      </c>
      <c r="B31" s="2243"/>
      <c r="C31" s="2228"/>
      <c r="D31" s="2243"/>
      <c r="E31" s="2243"/>
      <c r="F31" s="2244"/>
      <c r="G31" s="1284">
        <f>G26+G28+G29+G30</f>
        <v>8378.75</v>
      </c>
    </row>
    <row r="32" spans="1:14" hidden="1" x14ac:dyDescent="0.2">
      <c r="A32" s="1285" t="s">
        <v>6307</v>
      </c>
      <c r="B32" s="2272" t="s">
        <v>6308</v>
      </c>
      <c r="C32" s="2273"/>
      <c r="D32" s="1276" t="s">
        <v>9506</v>
      </c>
      <c r="E32" s="1276"/>
      <c r="F32" s="1276"/>
      <c r="G32" s="1283">
        <f>G31*1</f>
        <v>8378.75</v>
      </c>
    </row>
    <row r="33" spans="1:11" ht="21" customHeight="1" x14ac:dyDescent="0.2">
      <c r="A33" s="2274" t="s">
        <v>6309</v>
      </c>
      <c r="B33" s="2275"/>
      <c r="C33" s="2275"/>
      <c r="D33" s="2275"/>
      <c r="E33" s="2275"/>
      <c r="F33" s="2275"/>
      <c r="G33" s="374">
        <f>G32</f>
        <v>8378.75</v>
      </c>
    </row>
    <row r="34" spans="1:11" ht="17.649999999999999" customHeight="1" x14ac:dyDescent="0.2">
      <c r="A34" s="2245" t="s">
        <v>6030</v>
      </c>
      <c r="B34" s="2246"/>
      <c r="C34" s="2246"/>
      <c r="D34" s="2246"/>
      <c r="E34" s="2246"/>
      <c r="F34" s="2246"/>
      <c r="G34" s="2247"/>
    </row>
    <row r="35" spans="1:11" ht="22.7" customHeight="1" x14ac:dyDescent="0.2">
      <c r="A35" s="1286"/>
      <c r="B35" s="2252" t="s">
        <v>6310</v>
      </c>
      <c r="C35" s="2250"/>
      <c r="D35" s="2251"/>
      <c r="E35" s="2258"/>
      <c r="F35" s="2259"/>
      <c r="G35" s="2260"/>
    </row>
    <row r="36" spans="1:11" ht="19.7" customHeight="1" x14ac:dyDescent="0.2">
      <c r="A36" s="1275">
        <v>2.1</v>
      </c>
      <c r="B36" s="1276" t="s">
        <v>6311</v>
      </c>
      <c r="C36" s="1276" t="s">
        <v>6312</v>
      </c>
      <c r="D36" s="1276" t="s">
        <v>6313</v>
      </c>
      <c r="E36" s="1276">
        <v>2</v>
      </c>
      <c r="F36" s="1277">
        <v>2</v>
      </c>
      <c r="G36" s="1283">
        <f t="shared" ref="G36:G45" si="0">E36*F36</f>
        <v>4</v>
      </c>
    </row>
    <row r="37" spans="1:11" ht="18.399999999999999" customHeight="1" x14ac:dyDescent="0.2">
      <c r="A37" s="1275">
        <v>2.2000000000000002</v>
      </c>
      <c r="B37" s="1276" t="s">
        <v>6314</v>
      </c>
      <c r="C37" s="1276" t="s">
        <v>6312</v>
      </c>
      <c r="D37" s="1276" t="s">
        <v>6315</v>
      </c>
      <c r="E37" s="1276">
        <v>2</v>
      </c>
      <c r="F37" s="1277">
        <v>8.6</v>
      </c>
      <c r="G37" s="1283">
        <f t="shared" si="0"/>
        <v>17.2</v>
      </c>
    </row>
    <row r="38" spans="1:11" ht="21" customHeight="1" x14ac:dyDescent="0.2">
      <c r="A38" s="1275">
        <v>2.2999999999999998</v>
      </c>
      <c r="B38" s="1279" t="s">
        <v>6316</v>
      </c>
      <c r="C38" s="1279" t="s">
        <v>6312</v>
      </c>
      <c r="D38" s="1279" t="s">
        <v>6317</v>
      </c>
      <c r="E38" s="1279">
        <v>0</v>
      </c>
      <c r="F38" s="1287">
        <v>8.9</v>
      </c>
      <c r="G38" s="1278">
        <f t="shared" si="0"/>
        <v>0</v>
      </c>
    </row>
    <row r="39" spans="1:11" ht="19.7" customHeight="1" x14ac:dyDescent="0.2">
      <c r="A39" s="1275">
        <v>2.4</v>
      </c>
      <c r="B39" s="1279" t="s">
        <v>6318</v>
      </c>
      <c r="C39" s="1279" t="s">
        <v>6312</v>
      </c>
      <c r="D39" s="1279" t="s">
        <v>6319</v>
      </c>
      <c r="E39" s="1279">
        <v>0</v>
      </c>
      <c r="F39" s="1287">
        <v>49.4</v>
      </c>
      <c r="G39" s="1278">
        <f t="shared" si="0"/>
        <v>0</v>
      </c>
    </row>
    <row r="40" spans="1:11" ht="15" customHeight="1" x14ac:dyDescent="0.2">
      <c r="A40" s="1275">
        <v>2.5</v>
      </c>
      <c r="B40" s="1279" t="s">
        <v>6320</v>
      </c>
      <c r="C40" s="1279" t="s">
        <v>6312</v>
      </c>
      <c r="D40" s="1279" t="s">
        <v>6319</v>
      </c>
      <c r="E40" s="1279">
        <v>0</v>
      </c>
      <c r="F40" s="1287">
        <v>8</v>
      </c>
      <c r="G40" s="1278">
        <f t="shared" si="0"/>
        <v>0</v>
      </c>
    </row>
    <row r="41" spans="1:11" ht="18.95" customHeight="1" x14ac:dyDescent="0.2">
      <c r="A41" s="1275">
        <v>2.6</v>
      </c>
      <c r="B41" s="1279" t="s">
        <v>6321</v>
      </c>
      <c r="C41" s="1279" t="s">
        <v>6312</v>
      </c>
      <c r="D41" s="1279" t="s">
        <v>6322</v>
      </c>
      <c r="E41" s="1279">
        <v>0</v>
      </c>
      <c r="F41" s="1287">
        <v>14.4</v>
      </c>
      <c r="G41" s="1278">
        <f t="shared" si="0"/>
        <v>0</v>
      </c>
    </row>
    <row r="42" spans="1:11" ht="18.95" customHeight="1" x14ac:dyDescent="0.2">
      <c r="A42" s="1275">
        <v>2.7</v>
      </c>
      <c r="B42" s="1279" t="s">
        <v>6323</v>
      </c>
      <c r="C42" s="1279" t="s">
        <v>6312</v>
      </c>
      <c r="D42" s="1279" t="s">
        <v>6324</v>
      </c>
      <c r="E42" s="1279">
        <v>0</v>
      </c>
      <c r="F42" s="1287">
        <v>5.3</v>
      </c>
      <c r="G42" s="1278">
        <f t="shared" si="0"/>
        <v>0</v>
      </c>
    </row>
    <row r="43" spans="1:11" ht="18.95" customHeight="1" x14ac:dyDescent="0.2">
      <c r="A43" s="1275">
        <v>2.8</v>
      </c>
      <c r="B43" s="1279" t="s">
        <v>6325</v>
      </c>
      <c r="C43" s="1279" t="s">
        <v>6312</v>
      </c>
      <c r="D43" s="1279" t="s">
        <v>6326</v>
      </c>
      <c r="E43" s="1279">
        <v>0</v>
      </c>
      <c r="F43" s="1287">
        <v>8.9</v>
      </c>
      <c r="G43" s="1278">
        <f t="shared" si="0"/>
        <v>0</v>
      </c>
    </row>
    <row r="44" spans="1:11" ht="18.95" customHeight="1" x14ac:dyDescent="0.2">
      <c r="A44" s="1275">
        <v>2.9</v>
      </c>
      <c r="B44" s="1279" t="s">
        <v>6327</v>
      </c>
      <c r="C44" s="1279" t="s">
        <v>6312</v>
      </c>
      <c r="D44" s="1279" t="s">
        <v>6328</v>
      </c>
      <c r="E44" s="1279">
        <v>0</v>
      </c>
      <c r="F44" s="1287">
        <v>13.8</v>
      </c>
      <c r="G44" s="1278">
        <f t="shared" si="0"/>
        <v>0</v>
      </c>
    </row>
    <row r="45" spans="1:11" ht="29.1" customHeight="1" x14ac:dyDescent="0.2">
      <c r="A45" s="1288">
        <v>2.1</v>
      </c>
      <c r="B45" s="1276" t="s">
        <v>6329</v>
      </c>
      <c r="C45" s="1276" t="s">
        <v>6312</v>
      </c>
      <c r="D45" s="1276" t="s">
        <v>6330</v>
      </c>
      <c r="E45" s="1276">
        <f>E36</f>
        <v>2</v>
      </c>
      <c r="F45" s="1277">
        <v>7.1</v>
      </c>
      <c r="G45" s="1283">
        <f t="shared" si="0"/>
        <v>14.2</v>
      </c>
    </row>
    <row r="46" spans="1:11" ht="19.5" customHeight="1" x14ac:dyDescent="0.2">
      <c r="A46" s="1285"/>
      <c r="B46" s="2252" t="s">
        <v>6331</v>
      </c>
      <c r="C46" s="2250"/>
      <c r="D46" s="2251"/>
      <c r="E46" s="2253"/>
      <c r="F46" s="2254"/>
      <c r="G46" s="2255"/>
    </row>
    <row r="47" spans="1:11" ht="42.75" customHeight="1" x14ac:dyDescent="0.2">
      <c r="A47" s="1275">
        <v>2.11</v>
      </c>
      <c r="B47" s="1276" t="s">
        <v>10138</v>
      </c>
      <c r="C47" s="1276" t="s">
        <v>6332</v>
      </c>
      <c r="D47" s="1279" t="s">
        <v>6333</v>
      </c>
      <c r="E47" s="1279">
        <v>18</v>
      </c>
      <c r="F47" s="1277">
        <f>7*7.8</f>
        <v>54.6</v>
      </c>
      <c r="G47" s="1283">
        <f>E47*F47</f>
        <v>982.8</v>
      </c>
      <c r="H47" s="1030"/>
      <c r="J47" s="1031"/>
      <c r="K47" s="1031"/>
    </row>
    <row r="48" spans="1:11" ht="42.75" customHeight="1" x14ac:dyDescent="0.2">
      <c r="A48" s="1275"/>
      <c r="B48" s="1276" t="s">
        <v>9507</v>
      </c>
      <c r="C48" s="1276" t="s">
        <v>6312</v>
      </c>
      <c r="D48" s="1279" t="s">
        <v>9508</v>
      </c>
      <c r="E48" s="1289" t="s">
        <v>187</v>
      </c>
      <c r="F48" s="1277">
        <v>23</v>
      </c>
      <c r="G48" s="1283">
        <f>E48*F48</f>
        <v>69</v>
      </c>
      <c r="I48" s="1016"/>
      <c r="J48" s="1031"/>
    </row>
    <row r="49" spans="1:15" ht="18.95" customHeight="1" x14ac:dyDescent="0.2">
      <c r="A49" s="1275">
        <v>2.12</v>
      </c>
      <c r="B49" s="1276" t="s">
        <v>6334</v>
      </c>
      <c r="C49" s="1276" t="s">
        <v>6312</v>
      </c>
      <c r="D49" s="1276" t="s">
        <v>6335</v>
      </c>
      <c r="E49" s="1276">
        <v>2</v>
      </c>
      <c r="F49" s="1277">
        <v>19.7</v>
      </c>
      <c r="G49" s="1283">
        <f>E49*F49</f>
        <v>39.4</v>
      </c>
      <c r="H49" s="1018"/>
      <c r="I49" s="1017"/>
      <c r="J49" s="2256"/>
      <c r="K49" s="2256"/>
      <c r="L49" s="2256"/>
      <c r="M49" s="2256"/>
      <c r="N49" s="2256"/>
    </row>
    <row r="50" spans="1:15" ht="161.25" customHeight="1" x14ac:dyDescent="0.2">
      <c r="A50" s="1275">
        <v>2.13</v>
      </c>
      <c r="B50" s="1276" t="s">
        <v>6336</v>
      </c>
      <c r="C50" s="1276" t="s">
        <v>6312</v>
      </c>
      <c r="D50" s="1276" t="s">
        <v>6337</v>
      </c>
      <c r="E50" s="1276">
        <v>2</v>
      </c>
      <c r="F50" s="1290">
        <v>95.8</v>
      </c>
      <c r="G50" s="1283">
        <f>E50*F50</f>
        <v>191.6</v>
      </c>
      <c r="H50" s="1018"/>
      <c r="I50" s="1017"/>
      <c r="J50" s="2256"/>
      <c r="K50" s="2256"/>
      <c r="L50" s="2256"/>
      <c r="M50" s="2256"/>
      <c r="N50" s="2256"/>
    </row>
    <row r="51" spans="1:15" ht="63.95" customHeight="1" x14ac:dyDescent="0.2">
      <c r="A51" s="1275"/>
      <c r="B51" s="1307" t="s">
        <v>9509</v>
      </c>
      <c r="C51" s="1276" t="s">
        <v>9510</v>
      </c>
      <c r="D51" s="1279" t="s">
        <v>9511</v>
      </c>
      <c r="E51" s="1307">
        <v>2</v>
      </c>
      <c r="F51" s="366">
        <v>148</v>
      </c>
      <c r="G51" s="1291">
        <f>E51*F51</f>
        <v>296</v>
      </c>
      <c r="H51" s="1018"/>
      <c r="I51" s="1017"/>
      <c r="J51" s="1032"/>
      <c r="K51" s="1308"/>
      <c r="L51" s="1308"/>
      <c r="M51" s="1308"/>
      <c r="N51" s="1308"/>
      <c r="O51" s="1031"/>
    </row>
    <row r="52" spans="1:15" ht="18" customHeight="1" x14ac:dyDescent="0.2">
      <c r="A52" s="1288"/>
      <c r="B52" s="2252" t="s">
        <v>9512</v>
      </c>
      <c r="C52" s="2250"/>
      <c r="D52" s="2251"/>
      <c r="E52" s="2253"/>
      <c r="F52" s="2257"/>
      <c r="G52" s="2255"/>
      <c r="I52" s="1016"/>
    </row>
    <row r="53" spans="1:15" ht="15" customHeight="1" x14ac:dyDescent="0.2">
      <c r="A53" s="1280">
        <v>2.14</v>
      </c>
      <c r="B53" s="1279" t="s">
        <v>6338</v>
      </c>
      <c r="C53" s="1279" t="s">
        <v>6312</v>
      </c>
      <c r="D53" s="1279" t="s">
        <v>6339</v>
      </c>
      <c r="E53" s="1279">
        <v>0</v>
      </c>
      <c r="F53" s="1287">
        <v>14</v>
      </c>
      <c r="G53" s="1278">
        <f t="shared" ref="G53:G70" si="1">E53*F53</f>
        <v>0</v>
      </c>
      <c r="I53" s="2241"/>
      <c r="J53" s="2241"/>
      <c r="K53" s="2241"/>
      <c r="L53" s="2241"/>
      <c r="M53" s="2241"/>
      <c r="N53" s="2241"/>
    </row>
    <row r="54" spans="1:15" ht="18.95" customHeight="1" x14ac:dyDescent="0.2">
      <c r="A54" s="1280">
        <v>2.15</v>
      </c>
      <c r="B54" s="1279" t="s">
        <v>6340</v>
      </c>
      <c r="C54" s="1279" t="s">
        <v>6312</v>
      </c>
      <c r="D54" s="1279" t="s">
        <v>6341</v>
      </c>
      <c r="E54" s="1279">
        <v>0</v>
      </c>
      <c r="F54" s="1287">
        <v>3.5</v>
      </c>
      <c r="G54" s="1278">
        <f t="shared" si="1"/>
        <v>0</v>
      </c>
      <c r="I54" s="2241"/>
      <c r="J54" s="2241"/>
      <c r="K54" s="2241"/>
      <c r="L54" s="2241"/>
      <c r="M54" s="2241"/>
      <c r="N54" s="2241"/>
    </row>
    <row r="55" spans="1:15" ht="20.25" customHeight="1" x14ac:dyDescent="0.2">
      <c r="A55" s="1280">
        <v>2.16</v>
      </c>
      <c r="B55" s="1279" t="s">
        <v>6342</v>
      </c>
      <c r="C55" s="1279" t="s">
        <v>6312</v>
      </c>
      <c r="D55" s="1279" t="s">
        <v>6343</v>
      </c>
      <c r="E55" s="1279">
        <v>0</v>
      </c>
      <c r="F55" s="1287">
        <v>19.899999999999999</v>
      </c>
      <c r="G55" s="1278">
        <f t="shared" si="1"/>
        <v>0</v>
      </c>
      <c r="I55" s="2241"/>
      <c r="J55" s="2241"/>
      <c r="K55" s="2241"/>
      <c r="L55" s="2241"/>
      <c r="M55" s="2241"/>
      <c r="N55" s="2241"/>
    </row>
    <row r="56" spans="1:15" ht="16.5" customHeight="1" x14ac:dyDescent="0.2">
      <c r="A56" s="1280">
        <v>2.17</v>
      </c>
      <c r="B56" s="1279" t="s">
        <v>6344</v>
      </c>
      <c r="C56" s="1279" t="s">
        <v>6312</v>
      </c>
      <c r="D56" s="1279" t="s">
        <v>6345</v>
      </c>
      <c r="E56" s="1279">
        <v>0</v>
      </c>
      <c r="F56" s="1287">
        <v>5.0999999999999996</v>
      </c>
      <c r="G56" s="1278">
        <f t="shared" si="1"/>
        <v>0</v>
      </c>
      <c r="I56" s="2241"/>
      <c r="J56" s="2241"/>
      <c r="K56" s="2241"/>
      <c r="L56" s="2241"/>
      <c r="M56" s="2241"/>
      <c r="N56" s="2241"/>
    </row>
    <row r="57" spans="1:15" ht="17.25" customHeight="1" x14ac:dyDescent="0.2">
      <c r="A57" s="1280">
        <v>2.1800000000000002</v>
      </c>
      <c r="B57" s="1279" t="s">
        <v>6346</v>
      </c>
      <c r="C57" s="1279" t="s">
        <v>6312</v>
      </c>
      <c r="D57" s="1279" t="s">
        <v>6347</v>
      </c>
      <c r="E57" s="1279">
        <v>0</v>
      </c>
      <c r="F57" s="1287">
        <v>6.1</v>
      </c>
      <c r="G57" s="1278">
        <f t="shared" si="1"/>
        <v>0</v>
      </c>
      <c r="I57" s="2241"/>
      <c r="J57" s="2241"/>
      <c r="K57" s="2241"/>
      <c r="L57" s="2241"/>
      <c r="M57" s="2241"/>
      <c r="N57" s="2241"/>
    </row>
    <row r="58" spans="1:15" ht="17.25" customHeight="1" x14ac:dyDescent="0.2">
      <c r="A58" s="1280">
        <v>2.19</v>
      </c>
      <c r="B58" s="1279" t="s">
        <v>6348</v>
      </c>
      <c r="C58" s="1279" t="s">
        <v>6312</v>
      </c>
      <c r="D58" s="1279" t="s">
        <v>6349</v>
      </c>
      <c r="E58" s="1279">
        <v>0</v>
      </c>
      <c r="F58" s="1287">
        <v>4.8</v>
      </c>
      <c r="G58" s="1278">
        <f t="shared" si="1"/>
        <v>0</v>
      </c>
      <c r="I58" s="2241"/>
      <c r="J58" s="2241"/>
      <c r="K58" s="2241"/>
      <c r="L58" s="2241"/>
      <c r="M58" s="2241"/>
      <c r="N58" s="2241"/>
    </row>
    <row r="59" spans="1:15" ht="15" customHeight="1" x14ac:dyDescent="0.2">
      <c r="A59" s="1280">
        <v>2.2000000000000002</v>
      </c>
      <c r="B59" s="1279" t="s">
        <v>6350</v>
      </c>
      <c r="C59" s="1279" t="s">
        <v>6312</v>
      </c>
      <c r="D59" s="1279" t="s">
        <v>6351</v>
      </c>
      <c r="E59" s="1279">
        <v>0</v>
      </c>
      <c r="F59" s="1287">
        <v>9.6</v>
      </c>
      <c r="G59" s="1278">
        <f t="shared" si="1"/>
        <v>0</v>
      </c>
      <c r="I59" s="2241"/>
      <c r="J59" s="2241"/>
      <c r="K59" s="2241"/>
      <c r="L59" s="2241"/>
      <c r="M59" s="2241"/>
      <c r="N59" s="2241"/>
    </row>
    <row r="60" spans="1:15" ht="14.25" customHeight="1" x14ac:dyDescent="0.2">
      <c r="A60" s="1280">
        <v>2.21</v>
      </c>
      <c r="B60" s="1279" t="s">
        <v>6352</v>
      </c>
      <c r="C60" s="1279" t="s">
        <v>6312</v>
      </c>
      <c r="D60" s="1279" t="s">
        <v>6353</v>
      </c>
      <c r="E60" s="1279">
        <v>0</v>
      </c>
      <c r="F60" s="1287">
        <v>10.8</v>
      </c>
      <c r="G60" s="1278">
        <f t="shared" si="1"/>
        <v>0</v>
      </c>
      <c r="I60" s="2241"/>
      <c r="J60" s="2241"/>
      <c r="K60" s="2241"/>
      <c r="L60" s="2241"/>
      <c r="M60" s="2241"/>
      <c r="N60" s="2241"/>
    </row>
    <row r="61" spans="1:15" ht="14.25" customHeight="1" x14ac:dyDescent="0.2">
      <c r="A61" s="1280">
        <v>2.2200000000000002</v>
      </c>
      <c r="B61" s="1279" t="s">
        <v>6354</v>
      </c>
      <c r="C61" s="1279" t="s">
        <v>6312</v>
      </c>
      <c r="D61" s="1279" t="s">
        <v>6355</v>
      </c>
      <c r="E61" s="1279">
        <v>0</v>
      </c>
      <c r="F61" s="1287">
        <v>8.6999999999999993</v>
      </c>
      <c r="G61" s="1278">
        <f t="shared" si="1"/>
        <v>0</v>
      </c>
      <c r="I61" s="2241"/>
      <c r="J61" s="2241"/>
      <c r="K61" s="2241"/>
      <c r="L61" s="2241"/>
      <c r="M61" s="2241"/>
      <c r="N61" s="2241"/>
    </row>
    <row r="62" spans="1:15" ht="18" customHeight="1" x14ac:dyDescent="0.2">
      <c r="A62" s="1280">
        <v>2.23</v>
      </c>
      <c r="B62" s="1279" t="s">
        <v>6356</v>
      </c>
      <c r="C62" s="1279" t="s">
        <v>6312</v>
      </c>
      <c r="D62" s="1279" t="s">
        <v>6357</v>
      </c>
      <c r="E62" s="1279">
        <v>0</v>
      </c>
      <c r="F62" s="1287">
        <v>12.2</v>
      </c>
      <c r="G62" s="1278">
        <f t="shared" si="1"/>
        <v>0</v>
      </c>
      <c r="I62" s="2241"/>
      <c r="J62" s="2241"/>
      <c r="K62" s="2241"/>
      <c r="L62" s="2241"/>
      <c r="M62" s="2241"/>
      <c r="N62" s="2241"/>
    </row>
    <row r="63" spans="1:15" ht="15" customHeight="1" x14ac:dyDescent="0.2">
      <c r="A63" s="1280">
        <v>2.2400000000000002</v>
      </c>
      <c r="B63" s="1279" t="s">
        <v>6358</v>
      </c>
      <c r="C63" s="1279" t="s">
        <v>6312</v>
      </c>
      <c r="D63" s="1279" t="s">
        <v>6359</v>
      </c>
      <c r="E63" s="1279">
        <v>0</v>
      </c>
      <c r="F63" s="1287">
        <v>15.7</v>
      </c>
      <c r="G63" s="1278">
        <f t="shared" si="1"/>
        <v>0</v>
      </c>
      <c r="I63" s="2241"/>
      <c r="J63" s="2241"/>
      <c r="K63" s="2241"/>
      <c r="L63" s="2241"/>
      <c r="M63" s="2241"/>
      <c r="N63" s="2241"/>
    </row>
    <row r="64" spans="1:15" ht="15" customHeight="1" x14ac:dyDescent="0.2">
      <c r="A64" s="1280">
        <v>2.25</v>
      </c>
      <c r="B64" s="1279" t="s">
        <v>6360</v>
      </c>
      <c r="C64" s="1279" t="s">
        <v>6312</v>
      </c>
      <c r="D64" s="1279" t="s">
        <v>6361</v>
      </c>
      <c r="E64" s="1279">
        <v>0</v>
      </c>
      <c r="F64" s="1287">
        <v>8.1</v>
      </c>
      <c r="G64" s="1278">
        <f t="shared" si="1"/>
        <v>0</v>
      </c>
      <c r="I64" s="2241"/>
      <c r="J64" s="2241"/>
      <c r="K64" s="2241"/>
      <c r="L64" s="2241"/>
      <c r="M64" s="2241"/>
      <c r="N64" s="2241"/>
    </row>
    <row r="65" spans="1:14" ht="17.25" customHeight="1" x14ac:dyDescent="0.2">
      <c r="A65" s="1280">
        <v>2.2599999999999998</v>
      </c>
      <c r="B65" s="1279" t="s">
        <v>6362</v>
      </c>
      <c r="C65" s="1279" t="s">
        <v>6312</v>
      </c>
      <c r="D65" s="1279" t="s">
        <v>6363</v>
      </c>
      <c r="E65" s="1279">
        <v>0</v>
      </c>
      <c r="F65" s="1287">
        <v>4.8</v>
      </c>
      <c r="G65" s="1278">
        <f t="shared" si="1"/>
        <v>0</v>
      </c>
      <c r="I65" s="2241"/>
      <c r="J65" s="2241"/>
      <c r="K65" s="2241"/>
      <c r="L65" s="2241"/>
      <c r="M65" s="2241"/>
      <c r="N65" s="2241"/>
    </row>
    <row r="66" spans="1:14" ht="16.5" customHeight="1" x14ac:dyDescent="0.2">
      <c r="A66" s="1280">
        <v>2.27</v>
      </c>
      <c r="B66" s="1279" t="s">
        <v>6364</v>
      </c>
      <c r="C66" s="1279" t="s">
        <v>6312</v>
      </c>
      <c r="D66" s="1279" t="s">
        <v>6365</v>
      </c>
      <c r="E66" s="1279">
        <v>0</v>
      </c>
      <c r="F66" s="1287">
        <v>7.4</v>
      </c>
      <c r="G66" s="1278">
        <f t="shared" si="1"/>
        <v>0</v>
      </c>
      <c r="I66" s="2241"/>
      <c r="J66" s="2241"/>
      <c r="K66" s="2241"/>
      <c r="L66" s="2241"/>
      <c r="M66" s="2241"/>
      <c r="N66" s="2241"/>
    </row>
    <row r="67" spans="1:14" ht="15.75" customHeight="1" x14ac:dyDescent="0.2">
      <c r="A67" s="1280">
        <v>2.2799999999999998</v>
      </c>
      <c r="B67" s="1279" t="s">
        <v>6366</v>
      </c>
      <c r="C67" s="1279" t="s">
        <v>6312</v>
      </c>
      <c r="D67" s="1279" t="s">
        <v>6367</v>
      </c>
      <c r="E67" s="1279">
        <v>0</v>
      </c>
      <c r="F67" s="1287">
        <v>4.5</v>
      </c>
      <c r="G67" s="1278">
        <f t="shared" si="1"/>
        <v>0</v>
      </c>
      <c r="I67" s="2241"/>
      <c r="J67" s="2241"/>
      <c r="K67" s="2241"/>
      <c r="L67" s="2241"/>
      <c r="M67" s="2241"/>
      <c r="N67" s="2241"/>
    </row>
    <row r="68" spans="1:14" ht="14.25" customHeight="1" x14ac:dyDescent="0.2">
      <c r="A68" s="1280">
        <v>2.29</v>
      </c>
      <c r="B68" s="1279" t="s">
        <v>6368</v>
      </c>
      <c r="C68" s="1279" t="s">
        <v>6312</v>
      </c>
      <c r="D68" s="1279" t="s">
        <v>6369</v>
      </c>
      <c r="E68" s="1279">
        <v>0</v>
      </c>
      <c r="F68" s="1287">
        <v>25.6</v>
      </c>
      <c r="G68" s="1278">
        <f t="shared" si="1"/>
        <v>0</v>
      </c>
      <c r="I68" s="2241"/>
      <c r="J68" s="2241"/>
      <c r="K68" s="2241"/>
      <c r="L68" s="2241"/>
      <c r="M68" s="2241"/>
      <c r="N68" s="2241"/>
    </row>
    <row r="69" spans="1:14" ht="16.5" customHeight="1" x14ac:dyDescent="0.2">
      <c r="A69" s="1288">
        <v>2.2999999999999998</v>
      </c>
      <c r="B69" s="1276" t="s">
        <v>6370</v>
      </c>
      <c r="C69" s="1276" t="s">
        <v>6312</v>
      </c>
      <c r="D69" s="1276" t="s">
        <v>6371</v>
      </c>
      <c r="E69" s="1279">
        <f>E22</f>
        <v>2</v>
      </c>
      <c r="F69" s="1277">
        <v>4.5999999999999996</v>
      </c>
      <c r="G69" s="1283">
        <f t="shared" si="1"/>
        <v>9.1999999999999993</v>
      </c>
    </row>
    <row r="70" spans="1:14" ht="17.25" customHeight="1" x14ac:dyDescent="0.2">
      <c r="A70" s="375">
        <v>2.31</v>
      </c>
      <c r="B70" s="1276" t="s">
        <v>6372</v>
      </c>
      <c r="C70" s="1276" t="s">
        <v>6312</v>
      </c>
      <c r="D70" s="1276" t="s">
        <v>6373</v>
      </c>
      <c r="E70" s="1279">
        <f>E22</f>
        <v>2</v>
      </c>
      <c r="F70" s="1277">
        <v>14</v>
      </c>
      <c r="G70" s="1283">
        <f t="shared" si="1"/>
        <v>28</v>
      </c>
      <c r="I70" s="1016"/>
      <c r="J70" s="1016"/>
      <c r="K70" s="1016"/>
      <c r="L70" s="1016"/>
      <c r="M70" s="1016"/>
      <c r="N70" s="1016"/>
    </row>
    <row r="71" spans="1:14" ht="24.75" customHeight="1" x14ac:dyDescent="0.2">
      <c r="A71" s="2242" t="s">
        <v>6374</v>
      </c>
      <c r="B71" s="2243"/>
      <c r="C71" s="2228"/>
      <c r="D71" s="2243"/>
      <c r="E71" s="2243"/>
      <c r="F71" s="2244"/>
      <c r="G71" s="1292">
        <f>G36+G37+G38+G39+G40+G41+G42+G43+G44+G45+G47+G49+G50+G53+G54+G55+G56+G57+G58+G59+G60+G61+G62+G63+G64+G65+G66+G67+G68+G69+G70</f>
        <v>1286.4000000000001</v>
      </c>
      <c r="I71" s="1016"/>
      <c r="J71" s="1016"/>
      <c r="K71" s="1016"/>
      <c r="L71" s="1016"/>
      <c r="M71" s="1016"/>
      <c r="N71" s="1016"/>
    </row>
    <row r="72" spans="1:14" x14ac:dyDescent="0.2">
      <c r="A72" s="2245" t="s">
        <v>6049</v>
      </c>
      <c r="B72" s="2246"/>
      <c r="C72" s="2246"/>
      <c r="D72" s="2246"/>
      <c r="E72" s="2246"/>
      <c r="F72" s="2246"/>
      <c r="G72" s="2247"/>
      <c r="I72" s="1016"/>
      <c r="J72" s="1016"/>
      <c r="K72" s="1016"/>
      <c r="L72" s="1016"/>
      <c r="M72" s="1016"/>
      <c r="N72" s="1016"/>
    </row>
    <row r="73" spans="1:14" x14ac:dyDescent="0.2">
      <c r="A73" s="1275">
        <v>3.1</v>
      </c>
      <c r="B73" s="1276" t="s">
        <v>6375</v>
      </c>
      <c r="C73" s="1276" t="s">
        <v>6376</v>
      </c>
      <c r="D73" s="1279" t="s">
        <v>9513</v>
      </c>
      <c r="E73" s="1279">
        <v>1</v>
      </c>
      <c r="F73" s="1279">
        <v>200</v>
      </c>
      <c r="G73" s="1293">
        <f>1.25*F73</f>
        <v>250</v>
      </c>
      <c r="I73" s="1016"/>
      <c r="J73" s="1016"/>
      <c r="K73" s="1016"/>
      <c r="L73" s="1016"/>
      <c r="M73" s="1016"/>
      <c r="N73" s="1016"/>
    </row>
    <row r="74" spans="1:14" ht="87" customHeight="1" x14ac:dyDescent="0.2">
      <c r="A74" s="1275">
        <v>3.2</v>
      </c>
      <c r="B74" s="1276" t="s">
        <v>9514</v>
      </c>
      <c r="C74" s="1276" t="s">
        <v>519</v>
      </c>
      <c r="D74" s="1276" t="s">
        <v>9515</v>
      </c>
      <c r="E74" s="1276">
        <f>E18</f>
        <v>5.34</v>
      </c>
      <c r="F74" s="1294">
        <v>13.5</v>
      </c>
      <c r="G74" s="1295">
        <f>E74*F74*1.1</f>
        <v>79.3</v>
      </c>
      <c r="I74" s="1017"/>
      <c r="J74" s="2248"/>
      <c r="K74" s="2248"/>
      <c r="L74" s="2248"/>
      <c r="M74" s="2248"/>
      <c r="N74" s="2248"/>
    </row>
    <row r="75" spans="1:14" ht="31.7" customHeight="1" x14ac:dyDescent="0.2">
      <c r="A75" s="1275">
        <v>3.3</v>
      </c>
      <c r="B75" s="1276" t="s">
        <v>9516</v>
      </c>
      <c r="C75" s="1276" t="s">
        <v>6298</v>
      </c>
      <c r="D75" s="1382" t="s">
        <v>6299</v>
      </c>
      <c r="E75" s="1276">
        <v>60</v>
      </c>
      <c r="F75" s="364">
        <v>14.8</v>
      </c>
      <c r="G75" s="1283">
        <f>E75*F75*1.3</f>
        <v>1154.4000000000001</v>
      </c>
    </row>
    <row r="76" spans="1:14" ht="21" customHeight="1" x14ac:dyDescent="0.2">
      <c r="A76" s="1275">
        <v>3.4</v>
      </c>
      <c r="B76" s="1276" t="s">
        <v>9517</v>
      </c>
      <c r="C76" s="1276" t="s">
        <v>9500</v>
      </c>
      <c r="D76" s="1276" t="s">
        <v>9518</v>
      </c>
      <c r="E76" s="1276">
        <f>E25</f>
        <v>0.5</v>
      </c>
      <c r="F76" s="1294">
        <v>161</v>
      </c>
      <c r="G76" s="1295">
        <f>E76*F76</f>
        <v>80.5</v>
      </c>
    </row>
    <row r="77" spans="1:14" ht="47.25" customHeight="1" x14ac:dyDescent="0.2">
      <c r="A77" s="1275">
        <v>3.5</v>
      </c>
      <c r="B77" s="1276" t="s">
        <v>9519</v>
      </c>
      <c r="C77" s="1296">
        <v>0.2</v>
      </c>
      <c r="D77" s="1276" t="s">
        <v>6377</v>
      </c>
      <c r="E77" s="1277">
        <f>G71</f>
        <v>1286.4000000000001</v>
      </c>
      <c r="F77" s="1294">
        <v>0.2</v>
      </c>
      <c r="G77" s="1297">
        <f>E77*F77</f>
        <v>257.27999999999997</v>
      </c>
    </row>
    <row r="78" spans="1:14" ht="15" customHeight="1" x14ac:dyDescent="0.2">
      <c r="A78" s="2249" t="s">
        <v>6378</v>
      </c>
      <c r="B78" s="2250"/>
      <c r="C78" s="2250"/>
      <c r="D78" s="2250"/>
      <c r="E78" s="2250"/>
      <c r="F78" s="2251"/>
      <c r="G78" s="1298">
        <f>SUM(G73:G77)</f>
        <v>1821.48</v>
      </c>
    </row>
    <row r="79" spans="1:14" ht="56.25" customHeight="1" x14ac:dyDescent="0.2">
      <c r="A79" s="1275">
        <v>3.6</v>
      </c>
      <c r="B79" s="1276" t="s">
        <v>6379</v>
      </c>
      <c r="C79" s="1276" t="s">
        <v>6070</v>
      </c>
      <c r="D79" s="1276" t="s">
        <v>6380</v>
      </c>
      <c r="E79" s="1276">
        <v>1</v>
      </c>
      <c r="F79" s="1294">
        <f>G73+G74+G77</f>
        <v>586.58000000000004</v>
      </c>
      <c r="G79" s="1295">
        <f>F79*18%</f>
        <v>105.58</v>
      </c>
      <c r="J79" s="2241"/>
      <c r="K79" s="2241"/>
      <c r="L79" s="2241"/>
      <c r="M79" s="2241"/>
      <c r="N79" s="2241"/>
    </row>
    <row r="80" spans="1:14" x14ac:dyDescent="0.2">
      <c r="A80" s="2227" t="s">
        <v>6381</v>
      </c>
      <c r="B80" s="2228"/>
      <c r="C80" s="2228"/>
      <c r="D80" s="2228"/>
      <c r="E80" s="2228"/>
      <c r="F80" s="2229"/>
      <c r="G80" s="1299">
        <f>G78+G79</f>
        <v>1927.06</v>
      </c>
    </row>
    <row r="81" spans="1:14" ht="21.6" customHeight="1" x14ac:dyDescent="0.2">
      <c r="A81" s="2230" t="s">
        <v>9520</v>
      </c>
      <c r="B81" s="2231"/>
      <c r="C81" s="2231"/>
      <c r="D81" s="2231"/>
      <c r="E81" s="2231"/>
      <c r="F81" s="2232"/>
      <c r="G81" s="376">
        <f>(G33+G71+G80)</f>
        <v>11592.21</v>
      </c>
    </row>
    <row r="82" spans="1:14" ht="22.7" customHeight="1" x14ac:dyDescent="0.2">
      <c r="A82" s="2233" t="s">
        <v>6382</v>
      </c>
      <c r="B82" s="2234"/>
      <c r="C82" s="2234"/>
      <c r="D82" s="2234"/>
      <c r="E82" s="2234"/>
      <c r="F82" s="2234"/>
      <c r="G82" s="2235"/>
    </row>
    <row r="83" spans="1:14" x14ac:dyDescent="0.2">
      <c r="A83" s="1033">
        <v>4.0999999999999996</v>
      </c>
      <c r="B83" s="365" t="s">
        <v>9521</v>
      </c>
      <c r="C83" s="1383" t="s">
        <v>6312</v>
      </c>
      <c r="D83" s="2236" t="s">
        <v>9522</v>
      </c>
      <c r="E83" s="365">
        <v>4</v>
      </c>
      <c r="F83" s="365">
        <v>1211</v>
      </c>
      <c r="G83" s="1034">
        <f>F83*E83</f>
        <v>4844</v>
      </c>
      <c r="H83" s="1035"/>
      <c r="J83" s="1031"/>
    </row>
    <row r="84" spans="1:14" x14ac:dyDescent="0.2">
      <c r="A84" s="1033">
        <v>4.2</v>
      </c>
      <c r="B84" s="365" t="s">
        <v>9523</v>
      </c>
      <c r="C84" s="1383" t="s">
        <v>6312</v>
      </c>
      <c r="D84" s="2237"/>
      <c r="E84" s="1383">
        <v>4</v>
      </c>
      <c r="F84" s="365">
        <v>910</v>
      </c>
      <c r="G84" s="1034">
        <f>F84*E84</f>
        <v>3640</v>
      </c>
      <c r="H84" s="1035"/>
      <c r="J84" s="1031"/>
    </row>
    <row r="85" spans="1:14" ht="25.5" x14ac:dyDescent="0.2">
      <c r="A85" s="1033">
        <v>4.3</v>
      </c>
      <c r="B85" s="365" t="s">
        <v>9524</v>
      </c>
      <c r="C85" s="1383" t="s">
        <v>9525</v>
      </c>
      <c r="D85" s="2237"/>
      <c r="E85" s="1383">
        <v>1</v>
      </c>
      <c r="F85" s="365">
        <v>617.01</v>
      </c>
      <c r="G85" s="1034">
        <f>F85*E85</f>
        <v>617.01</v>
      </c>
      <c r="H85" s="1035"/>
      <c r="J85" s="2239"/>
      <c r="K85" s="2239"/>
      <c r="L85" s="2239"/>
      <c r="M85" s="2239"/>
      <c r="N85" s="2239"/>
    </row>
    <row r="86" spans="1:14" ht="72.95" hidden="1" customHeight="1" x14ac:dyDescent="0.2">
      <c r="A86" s="1033">
        <v>4.4000000000000004</v>
      </c>
      <c r="B86" s="1036" t="s">
        <v>9509</v>
      </c>
      <c r="C86" s="1384" t="s">
        <v>6312</v>
      </c>
      <c r="D86" s="2237"/>
      <c r="E86" s="1384">
        <f>E23</f>
        <v>0</v>
      </c>
      <c r="F86" s="1036">
        <v>1102.6300000000001</v>
      </c>
      <c r="G86" s="1037">
        <f>F86*E86</f>
        <v>0</v>
      </c>
      <c r="H86" s="1018"/>
      <c r="J86" s="1031"/>
    </row>
    <row r="87" spans="1:14" ht="21.75" hidden="1" customHeight="1" x14ac:dyDescent="0.2">
      <c r="A87" s="1033">
        <v>4.5</v>
      </c>
      <c r="B87" s="1038" t="s">
        <v>9526</v>
      </c>
      <c r="C87" s="1385" t="s">
        <v>9527</v>
      </c>
      <c r="D87" s="2238"/>
      <c r="E87" s="1385">
        <v>0</v>
      </c>
      <c r="F87" s="365">
        <v>743.26</v>
      </c>
      <c r="G87" s="1039">
        <f>F87*E87</f>
        <v>0</v>
      </c>
      <c r="I87" s="1016"/>
      <c r="J87" s="2240"/>
      <c r="K87" s="2240"/>
      <c r="L87" s="2240"/>
      <c r="M87" s="2240"/>
      <c r="N87" s="2240"/>
    </row>
    <row r="88" spans="1:14" ht="45" customHeight="1" x14ac:dyDescent="0.2">
      <c r="A88" s="365">
        <v>4.5999999999999996</v>
      </c>
      <c r="B88" s="1386" t="s">
        <v>6383</v>
      </c>
      <c r="C88" s="365" t="s">
        <v>6384</v>
      </c>
      <c r="D88" s="377" t="s">
        <v>9528</v>
      </c>
      <c r="E88" s="365">
        <v>1</v>
      </c>
      <c r="F88" s="378"/>
      <c r="G88" s="1034">
        <v>35928.67</v>
      </c>
    </row>
    <row r="89" spans="1:14" ht="21.75" customHeight="1" x14ac:dyDescent="0.2">
      <c r="A89" s="2222" t="s">
        <v>9529</v>
      </c>
      <c r="B89" s="2222"/>
      <c r="C89" s="2222"/>
      <c r="D89" s="2222"/>
      <c r="E89" s="2222"/>
      <c r="F89" s="2223"/>
      <c r="G89" s="1040">
        <f>SUM(G83:G88)</f>
        <v>45029.68</v>
      </c>
    </row>
    <row r="90" spans="1:14" ht="21.75" customHeight="1" x14ac:dyDescent="0.2">
      <c r="A90" s="1387"/>
      <c r="B90" s="1388" t="s">
        <v>9530</v>
      </c>
      <c r="C90" s="1389"/>
      <c r="D90" s="1389"/>
      <c r="E90" s="1389"/>
      <c r="F90" s="1390" t="s">
        <v>9531</v>
      </c>
      <c r="G90" s="1391">
        <f>G89/52.94</f>
        <v>850.58</v>
      </c>
    </row>
    <row r="91" spans="1:14" ht="18.95" customHeight="1" x14ac:dyDescent="0.2">
      <c r="A91" s="1041"/>
      <c r="B91" s="1392" t="s">
        <v>9532</v>
      </c>
      <c r="C91" s="1383"/>
      <c r="D91" s="1383"/>
      <c r="E91" s="1393"/>
      <c r="F91" s="1394"/>
      <c r="G91" s="1042">
        <f>G81+G90</f>
        <v>12442.79</v>
      </c>
    </row>
    <row r="92" spans="1:14" ht="53.25" customHeight="1" x14ac:dyDescent="0.2">
      <c r="A92" s="1043"/>
      <c r="B92" s="269" t="s">
        <v>5970</v>
      </c>
      <c r="C92" s="2224" t="s">
        <v>6089</v>
      </c>
      <c r="D92" s="2225"/>
      <c r="E92" s="2226"/>
      <c r="F92" s="289">
        <v>11.37</v>
      </c>
      <c r="G92" s="1395">
        <f>F92*G91</f>
        <v>141474.51999999999</v>
      </c>
    </row>
    <row r="93" spans="1:14" ht="40.700000000000003" customHeight="1" x14ac:dyDescent="0.2">
      <c r="A93" s="1043"/>
      <c r="B93" s="979" t="s">
        <v>6090</v>
      </c>
      <c r="C93" s="2224" t="s">
        <v>6091</v>
      </c>
      <c r="D93" s="2225"/>
      <c r="E93" s="2226"/>
      <c r="F93" s="289">
        <v>8.98</v>
      </c>
      <c r="G93" s="1396">
        <f>G91*F93</f>
        <v>111736.25</v>
      </c>
    </row>
    <row r="94" spans="1:14" ht="41.85" customHeight="1" x14ac:dyDescent="0.2">
      <c r="A94" s="1043"/>
      <c r="B94" s="291" t="s">
        <v>5973</v>
      </c>
      <c r="C94" s="2224" t="s">
        <v>6092</v>
      </c>
      <c r="D94" s="2225"/>
      <c r="E94" s="2226"/>
      <c r="F94" s="292">
        <v>52.94</v>
      </c>
      <c r="G94" s="1396">
        <f>G91*F94</f>
        <v>658721.30000000005</v>
      </c>
    </row>
  </sheetData>
  <mergeCells count="48">
    <mergeCell ref="A6:B6"/>
    <mergeCell ref="C6:G6"/>
    <mergeCell ref="A1:G1"/>
    <mergeCell ref="A2:G2"/>
    <mergeCell ref="A4:G4"/>
    <mergeCell ref="A5:B5"/>
    <mergeCell ref="C5:G5"/>
    <mergeCell ref="J18:N18"/>
    <mergeCell ref="J19:N19"/>
    <mergeCell ref="J20:N20"/>
    <mergeCell ref="A8:B8"/>
    <mergeCell ref="D8:G8"/>
    <mergeCell ref="D9:G9"/>
    <mergeCell ref="D10:G10"/>
    <mergeCell ref="A12:C13"/>
    <mergeCell ref="D12:G13"/>
    <mergeCell ref="B35:D35"/>
    <mergeCell ref="E35:G35"/>
    <mergeCell ref="D14:G14"/>
    <mergeCell ref="B15:G15"/>
    <mergeCell ref="A17:G17"/>
    <mergeCell ref="A26:F26"/>
    <mergeCell ref="A31:F31"/>
    <mergeCell ref="B32:C32"/>
    <mergeCell ref="A33:F33"/>
    <mergeCell ref="A34:G34"/>
    <mergeCell ref="B46:D46"/>
    <mergeCell ref="E46:G46"/>
    <mergeCell ref="J49:N49"/>
    <mergeCell ref="J50:N50"/>
    <mergeCell ref="B52:D52"/>
    <mergeCell ref="E52:G52"/>
    <mergeCell ref="J85:N85"/>
    <mergeCell ref="J87:N87"/>
    <mergeCell ref="I53:N68"/>
    <mergeCell ref="A71:F71"/>
    <mergeCell ref="A72:G72"/>
    <mergeCell ref="J74:N74"/>
    <mergeCell ref="A78:F78"/>
    <mergeCell ref="J79:N79"/>
    <mergeCell ref="A89:F89"/>
    <mergeCell ref="C92:E92"/>
    <mergeCell ref="C93:E93"/>
    <mergeCell ref="C94:E94"/>
    <mergeCell ref="A80:F80"/>
    <mergeCell ref="A81:F81"/>
    <mergeCell ref="A82:G82"/>
    <mergeCell ref="D83:D8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35" fitToHeight="0" orientation="portrait" horizontalDpi="1200" r:id="rId1"/>
  <headerFooter>
    <oddFooter>&amp;Rстр. &amp;P из &amp;N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953"/>
  <sheetViews>
    <sheetView topLeftCell="A935" workbookViewId="0">
      <selection sqref="A1:C1"/>
    </sheetView>
  </sheetViews>
  <sheetFormatPr defaultColWidth="10.28515625" defaultRowHeight="12.75" x14ac:dyDescent="0.2"/>
  <cols>
    <col min="1" max="1" width="3.28515625" style="1046" customWidth="1"/>
    <col min="2" max="2" width="9.5703125" style="1046" customWidth="1"/>
    <col min="3" max="3" width="13.85546875" style="1046" customWidth="1"/>
    <col min="4" max="4" width="3.85546875" style="1046" customWidth="1"/>
    <col min="5" max="7" width="8.28515625" style="1046" customWidth="1"/>
    <col min="8" max="8" width="17.5703125" style="1046" customWidth="1"/>
    <col min="9" max="9" width="13.140625" style="1046" customWidth="1"/>
    <col min="10" max="10" width="17.5703125" style="354" customWidth="1"/>
    <col min="11" max="256" width="10.28515625" style="354"/>
    <col min="257" max="257" width="3.28515625" style="354" customWidth="1"/>
    <col min="258" max="258" width="9.5703125" style="354" customWidth="1"/>
    <col min="259" max="259" width="13.85546875" style="354" customWidth="1"/>
    <col min="260" max="260" width="3.85546875" style="354" customWidth="1"/>
    <col min="261" max="263" width="8.28515625" style="354" customWidth="1"/>
    <col min="264" max="264" width="17.5703125" style="354" customWidth="1"/>
    <col min="265" max="265" width="13.140625" style="354" customWidth="1"/>
    <col min="266" max="266" width="17.5703125" style="354" customWidth="1"/>
    <col min="267" max="512" width="10.28515625" style="354"/>
    <col min="513" max="513" width="3.28515625" style="354" customWidth="1"/>
    <col min="514" max="514" width="9.5703125" style="354" customWidth="1"/>
    <col min="515" max="515" width="13.85546875" style="354" customWidth="1"/>
    <col min="516" max="516" width="3.85546875" style="354" customWidth="1"/>
    <col min="517" max="519" width="8.28515625" style="354" customWidth="1"/>
    <col min="520" max="520" width="17.5703125" style="354" customWidth="1"/>
    <col min="521" max="521" width="13.140625" style="354" customWidth="1"/>
    <col min="522" max="522" width="17.5703125" style="354" customWidth="1"/>
    <col min="523" max="768" width="10.28515625" style="354"/>
    <col min="769" max="769" width="3.28515625" style="354" customWidth="1"/>
    <col min="770" max="770" width="9.5703125" style="354" customWidth="1"/>
    <col min="771" max="771" width="13.85546875" style="354" customWidth="1"/>
    <col min="772" max="772" width="3.85546875" style="354" customWidth="1"/>
    <col min="773" max="775" width="8.28515625" style="354" customWidth="1"/>
    <col min="776" max="776" width="17.5703125" style="354" customWidth="1"/>
    <col min="777" max="777" width="13.140625" style="354" customWidth="1"/>
    <col min="778" max="778" width="17.5703125" style="354" customWidth="1"/>
    <col min="779" max="1024" width="10.28515625" style="354"/>
    <col min="1025" max="1025" width="3.28515625" style="354" customWidth="1"/>
    <col min="1026" max="1026" width="9.5703125" style="354" customWidth="1"/>
    <col min="1027" max="1027" width="13.85546875" style="354" customWidth="1"/>
    <col min="1028" max="1028" width="3.85546875" style="354" customWidth="1"/>
    <col min="1029" max="1031" width="8.28515625" style="354" customWidth="1"/>
    <col min="1032" max="1032" width="17.5703125" style="354" customWidth="1"/>
    <col min="1033" max="1033" width="13.140625" style="354" customWidth="1"/>
    <col min="1034" max="1034" width="17.5703125" style="354" customWidth="1"/>
    <col min="1035" max="1280" width="10.28515625" style="354"/>
    <col min="1281" max="1281" width="3.28515625" style="354" customWidth="1"/>
    <col min="1282" max="1282" width="9.5703125" style="354" customWidth="1"/>
    <col min="1283" max="1283" width="13.85546875" style="354" customWidth="1"/>
    <col min="1284" max="1284" width="3.85546875" style="354" customWidth="1"/>
    <col min="1285" max="1287" width="8.28515625" style="354" customWidth="1"/>
    <col min="1288" max="1288" width="17.5703125" style="354" customWidth="1"/>
    <col min="1289" max="1289" width="13.140625" style="354" customWidth="1"/>
    <col min="1290" max="1290" width="17.5703125" style="354" customWidth="1"/>
    <col min="1291" max="1536" width="10.28515625" style="354"/>
    <col min="1537" max="1537" width="3.28515625" style="354" customWidth="1"/>
    <col min="1538" max="1538" width="9.5703125" style="354" customWidth="1"/>
    <col min="1539" max="1539" width="13.85546875" style="354" customWidth="1"/>
    <col min="1540" max="1540" width="3.85546875" style="354" customWidth="1"/>
    <col min="1541" max="1543" width="8.28515625" style="354" customWidth="1"/>
    <col min="1544" max="1544" width="17.5703125" style="354" customWidth="1"/>
    <col min="1545" max="1545" width="13.140625" style="354" customWidth="1"/>
    <col min="1546" max="1546" width="17.5703125" style="354" customWidth="1"/>
    <col min="1547" max="1792" width="10.28515625" style="354"/>
    <col min="1793" max="1793" width="3.28515625" style="354" customWidth="1"/>
    <col min="1794" max="1794" width="9.5703125" style="354" customWidth="1"/>
    <col min="1795" max="1795" width="13.85546875" style="354" customWidth="1"/>
    <col min="1796" max="1796" width="3.85546875" style="354" customWidth="1"/>
    <col min="1797" max="1799" width="8.28515625" style="354" customWidth="1"/>
    <col min="1800" max="1800" width="17.5703125" style="354" customWidth="1"/>
    <col min="1801" max="1801" width="13.140625" style="354" customWidth="1"/>
    <col min="1802" max="1802" width="17.5703125" style="354" customWidth="1"/>
    <col min="1803" max="2048" width="10.28515625" style="354"/>
    <col min="2049" max="2049" width="3.28515625" style="354" customWidth="1"/>
    <col min="2050" max="2050" width="9.5703125" style="354" customWidth="1"/>
    <col min="2051" max="2051" width="13.85546875" style="354" customWidth="1"/>
    <col min="2052" max="2052" width="3.85546875" style="354" customWidth="1"/>
    <col min="2053" max="2055" width="8.28515625" style="354" customWidth="1"/>
    <col min="2056" max="2056" width="17.5703125" style="354" customWidth="1"/>
    <col min="2057" max="2057" width="13.140625" style="354" customWidth="1"/>
    <col min="2058" max="2058" width="17.5703125" style="354" customWidth="1"/>
    <col min="2059" max="2304" width="10.28515625" style="354"/>
    <col min="2305" max="2305" width="3.28515625" style="354" customWidth="1"/>
    <col min="2306" max="2306" width="9.5703125" style="354" customWidth="1"/>
    <col min="2307" max="2307" width="13.85546875" style="354" customWidth="1"/>
    <col min="2308" max="2308" width="3.85546875" style="354" customWidth="1"/>
    <col min="2309" max="2311" width="8.28515625" style="354" customWidth="1"/>
    <col min="2312" max="2312" width="17.5703125" style="354" customWidth="1"/>
    <col min="2313" max="2313" width="13.140625" style="354" customWidth="1"/>
    <col min="2314" max="2314" width="17.5703125" style="354" customWidth="1"/>
    <col min="2315" max="2560" width="10.28515625" style="354"/>
    <col min="2561" max="2561" width="3.28515625" style="354" customWidth="1"/>
    <col min="2562" max="2562" width="9.5703125" style="354" customWidth="1"/>
    <col min="2563" max="2563" width="13.85546875" style="354" customWidth="1"/>
    <col min="2564" max="2564" width="3.85546875" style="354" customWidth="1"/>
    <col min="2565" max="2567" width="8.28515625" style="354" customWidth="1"/>
    <col min="2568" max="2568" width="17.5703125" style="354" customWidth="1"/>
    <col min="2569" max="2569" width="13.140625" style="354" customWidth="1"/>
    <col min="2570" max="2570" width="17.5703125" style="354" customWidth="1"/>
    <col min="2571" max="2816" width="10.28515625" style="354"/>
    <col min="2817" max="2817" width="3.28515625" style="354" customWidth="1"/>
    <col min="2818" max="2818" width="9.5703125" style="354" customWidth="1"/>
    <col min="2819" max="2819" width="13.85546875" style="354" customWidth="1"/>
    <col min="2820" max="2820" width="3.85546875" style="354" customWidth="1"/>
    <col min="2821" max="2823" width="8.28515625" style="354" customWidth="1"/>
    <col min="2824" max="2824" width="17.5703125" style="354" customWidth="1"/>
    <col min="2825" max="2825" width="13.140625" style="354" customWidth="1"/>
    <col min="2826" max="2826" width="17.5703125" style="354" customWidth="1"/>
    <col min="2827" max="3072" width="10.28515625" style="354"/>
    <col min="3073" max="3073" width="3.28515625" style="354" customWidth="1"/>
    <col min="3074" max="3074" width="9.5703125" style="354" customWidth="1"/>
    <col min="3075" max="3075" width="13.85546875" style="354" customWidth="1"/>
    <col min="3076" max="3076" width="3.85546875" style="354" customWidth="1"/>
    <col min="3077" max="3079" width="8.28515625" style="354" customWidth="1"/>
    <col min="3080" max="3080" width="17.5703125" style="354" customWidth="1"/>
    <col min="3081" max="3081" width="13.140625" style="354" customWidth="1"/>
    <col min="3082" max="3082" width="17.5703125" style="354" customWidth="1"/>
    <col min="3083" max="3328" width="10.28515625" style="354"/>
    <col min="3329" max="3329" width="3.28515625" style="354" customWidth="1"/>
    <col min="3330" max="3330" width="9.5703125" style="354" customWidth="1"/>
    <col min="3331" max="3331" width="13.85546875" style="354" customWidth="1"/>
    <col min="3332" max="3332" width="3.85546875" style="354" customWidth="1"/>
    <col min="3333" max="3335" width="8.28515625" style="354" customWidth="1"/>
    <col min="3336" max="3336" width="17.5703125" style="354" customWidth="1"/>
    <col min="3337" max="3337" width="13.140625" style="354" customWidth="1"/>
    <col min="3338" max="3338" width="17.5703125" style="354" customWidth="1"/>
    <col min="3339" max="3584" width="10.28515625" style="354"/>
    <col min="3585" max="3585" width="3.28515625" style="354" customWidth="1"/>
    <col min="3586" max="3586" width="9.5703125" style="354" customWidth="1"/>
    <col min="3587" max="3587" width="13.85546875" style="354" customWidth="1"/>
    <col min="3588" max="3588" width="3.85546875" style="354" customWidth="1"/>
    <col min="3589" max="3591" width="8.28515625" style="354" customWidth="1"/>
    <col min="3592" max="3592" width="17.5703125" style="354" customWidth="1"/>
    <col min="3593" max="3593" width="13.140625" style="354" customWidth="1"/>
    <col min="3594" max="3594" width="17.5703125" style="354" customWidth="1"/>
    <col min="3595" max="3840" width="10.28515625" style="354"/>
    <col min="3841" max="3841" width="3.28515625" style="354" customWidth="1"/>
    <col min="3842" max="3842" width="9.5703125" style="354" customWidth="1"/>
    <col min="3843" max="3843" width="13.85546875" style="354" customWidth="1"/>
    <col min="3844" max="3844" width="3.85546875" style="354" customWidth="1"/>
    <col min="3845" max="3847" width="8.28515625" style="354" customWidth="1"/>
    <col min="3848" max="3848" width="17.5703125" style="354" customWidth="1"/>
    <col min="3849" max="3849" width="13.140625" style="354" customWidth="1"/>
    <col min="3850" max="3850" width="17.5703125" style="354" customWidth="1"/>
    <col min="3851" max="4096" width="10.28515625" style="354"/>
    <col min="4097" max="4097" width="3.28515625" style="354" customWidth="1"/>
    <col min="4098" max="4098" width="9.5703125" style="354" customWidth="1"/>
    <col min="4099" max="4099" width="13.85546875" style="354" customWidth="1"/>
    <col min="4100" max="4100" width="3.85546875" style="354" customWidth="1"/>
    <col min="4101" max="4103" width="8.28515625" style="354" customWidth="1"/>
    <col min="4104" max="4104" width="17.5703125" style="354" customWidth="1"/>
    <col min="4105" max="4105" width="13.140625" style="354" customWidth="1"/>
    <col min="4106" max="4106" width="17.5703125" style="354" customWidth="1"/>
    <col min="4107" max="4352" width="10.28515625" style="354"/>
    <col min="4353" max="4353" width="3.28515625" style="354" customWidth="1"/>
    <col min="4354" max="4354" width="9.5703125" style="354" customWidth="1"/>
    <col min="4355" max="4355" width="13.85546875" style="354" customWidth="1"/>
    <col min="4356" max="4356" width="3.85546875" style="354" customWidth="1"/>
    <col min="4357" max="4359" width="8.28515625" style="354" customWidth="1"/>
    <col min="4360" max="4360" width="17.5703125" style="354" customWidth="1"/>
    <col min="4361" max="4361" width="13.140625" style="354" customWidth="1"/>
    <col min="4362" max="4362" width="17.5703125" style="354" customWidth="1"/>
    <col min="4363" max="4608" width="10.28515625" style="354"/>
    <col min="4609" max="4609" width="3.28515625" style="354" customWidth="1"/>
    <col min="4610" max="4610" width="9.5703125" style="354" customWidth="1"/>
    <col min="4611" max="4611" width="13.85546875" style="354" customWidth="1"/>
    <col min="4612" max="4612" width="3.85546875" style="354" customWidth="1"/>
    <col min="4613" max="4615" width="8.28515625" style="354" customWidth="1"/>
    <col min="4616" max="4616" width="17.5703125" style="354" customWidth="1"/>
    <col min="4617" max="4617" width="13.140625" style="354" customWidth="1"/>
    <col min="4618" max="4618" width="17.5703125" style="354" customWidth="1"/>
    <col min="4619" max="4864" width="10.28515625" style="354"/>
    <col min="4865" max="4865" width="3.28515625" style="354" customWidth="1"/>
    <col min="4866" max="4866" width="9.5703125" style="354" customWidth="1"/>
    <col min="4867" max="4867" width="13.85546875" style="354" customWidth="1"/>
    <col min="4868" max="4868" width="3.85546875" style="354" customWidth="1"/>
    <col min="4869" max="4871" width="8.28515625" style="354" customWidth="1"/>
    <col min="4872" max="4872" width="17.5703125" style="354" customWidth="1"/>
    <col min="4873" max="4873" width="13.140625" style="354" customWidth="1"/>
    <col min="4874" max="4874" width="17.5703125" style="354" customWidth="1"/>
    <col min="4875" max="5120" width="10.28515625" style="354"/>
    <col min="5121" max="5121" width="3.28515625" style="354" customWidth="1"/>
    <col min="5122" max="5122" width="9.5703125" style="354" customWidth="1"/>
    <col min="5123" max="5123" width="13.85546875" style="354" customWidth="1"/>
    <col min="5124" max="5124" width="3.85546875" style="354" customWidth="1"/>
    <col min="5125" max="5127" width="8.28515625" style="354" customWidth="1"/>
    <col min="5128" max="5128" width="17.5703125" style="354" customWidth="1"/>
    <col min="5129" max="5129" width="13.140625" style="354" customWidth="1"/>
    <col min="5130" max="5130" width="17.5703125" style="354" customWidth="1"/>
    <col min="5131" max="5376" width="10.28515625" style="354"/>
    <col min="5377" max="5377" width="3.28515625" style="354" customWidth="1"/>
    <col min="5378" max="5378" width="9.5703125" style="354" customWidth="1"/>
    <col min="5379" max="5379" width="13.85546875" style="354" customWidth="1"/>
    <col min="5380" max="5380" width="3.85546875" style="354" customWidth="1"/>
    <col min="5381" max="5383" width="8.28515625" style="354" customWidth="1"/>
    <col min="5384" max="5384" width="17.5703125" style="354" customWidth="1"/>
    <col min="5385" max="5385" width="13.140625" style="354" customWidth="1"/>
    <col min="5386" max="5386" width="17.5703125" style="354" customWidth="1"/>
    <col min="5387" max="5632" width="10.28515625" style="354"/>
    <col min="5633" max="5633" width="3.28515625" style="354" customWidth="1"/>
    <col min="5634" max="5634" width="9.5703125" style="354" customWidth="1"/>
    <col min="5635" max="5635" width="13.85546875" style="354" customWidth="1"/>
    <col min="5636" max="5636" width="3.85546875" style="354" customWidth="1"/>
    <col min="5637" max="5639" width="8.28515625" style="354" customWidth="1"/>
    <col min="5640" max="5640" width="17.5703125" style="354" customWidth="1"/>
    <col min="5641" max="5641" width="13.140625" style="354" customWidth="1"/>
    <col min="5642" max="5642" width="17.5703125" style="354" customWidth="1"/>
    <col min="5643" max="5888" width="10.28515625" style="354"/>
    <col min="5889" max="5889" width="3.28515625" style="354" customWidth="1"/>
    <col min="5890" max="5890" width="9.5703125" style="354" customWidth="1"/>
    <col min="5891" max="5891" width="13.85546875" style="354" customWidth="1"/>
    <col min="5892" max="5892" width="3.85546875" style="354" customWidth="1"/>
    <col min="5893" max="5895" width="8.28515625" style="354" customWidth="1"/>
    <col min="5896" max="5896" width="17.5703125" style="354" customWidth="1"/>
    <col min="5897" max="5897" width="13.140625" style="354" customWidth="1"/>
    <col min="5898" max="5898" width="17.5703125" style="354" customWidth="1"/>
    <col min="5899" max="6144" width="10.28515625" style="354"/>
    <col min="6145" max="6145" width="3.28515625" style="354" customWidth="1"/>
    <col min="6146" max="6146" width="9.5703125" style="354" customWidth="1"/>
    <col min="6147" max="6147" width="13.85546875" style="354" customWidth="1"/>
    <col min="6148" max="6148" width="3.85546875" style="354" customWidth="1"/>
    <col min="6149" max="6151" width="8.28515625" style="354" customWidth="1"/>
    <col min="6152" max="6152" width="17.5703125" style="354" customWidth="1"/>
    <col min="6153" max="6153" width="13.140625" style="354" customWidth="1"/>
    <col min="6154" max="6154" width="17.5703125" style="354" customWidth="1"/>
    <col min="6155" max="6400" width="10.28515625" style="354"/>
    <col min="6401" max="6401" width="3.28515625" style="354" customWidth="1"/>
    <col min="6402" max="6402" width="9.5703125" style="354" customWidth="1"/>
    <col min="6403" max="6403" width="13.85546875" style="354" customWidth="1"/>
    <col min="6404" max="6404" width="3.85546875" style="354" customWidth="1"/>
    <col min="6405" max="6407" width="8.28515625" style="354" customWidth="1"/>
    <col min="6408" max="6408" width="17.5703125" style="354" customWidth="1"/>
    <col min="6409" max="6409" width="13.140625" style="354" customWidth="1"/>
    <col min="6410" max="6410" width="17.5703125" style="354" customWidth="1"/>
    <col min="6411" max="6656" width="10.28515625" style="354"/>
    <col min="6657" max="6657" width="3.28515625" style="354" customWidth="1"/>
    <col min="6658" max="6658" width="9.5703125" style="354" customWidth="1"/>
    <col min="6659" max="6659" width="13.85546875" style="354" customWidth="1"/>
    <col min="6660" max="6660" width="3.85546875" style="354" customWidth="1"/>
    <col min="6661" max="6663" width="8.28515625" style="354" customWidth="1"/>
    <col min="6664" max="6664" width="17.5703125" style="354" customWidth="1"/>
    <col min="6665" max="6665" width="13.140625" style="354" customWidth="1"/>
    <col min="6666" max="6666" width="17.5703125" style="354" customWidth="1"/>
    <col min="6667" max="6912" width="10.28515625" style="354"/>
    <col min="6913" max="6913" width="3.28515625" style="354" customWidth="1"/>
    <col min="6914" max="6914" width="9.5703125" style="354" customWidth="1"/>
    <col min="6915" max="6915" width="13.85546875" style="354" customWidth="1"/>
    <col min="6916" max="6916" width="3.85546875" style="354" customWidth="1"/>
    <col min="6917" max="6919" width="8.28515625" style="354" customWidth="1"/>
    <col min="6920" max="6920" width="17.5703125" style="354" customWidth="1"/>
    <col min="6921" max="6921" width="13.140625" style="354" customWidth="1"/>
    <col min="6922" max="6922" width="17.5703125" style="354" customWidth="1"/>
    <col min="6923" max="7168" width="10.28515625" style="354"/>
    <col min="7169" max="7169" width="3.28515625" style="354" customWidth="1"/>
    <col min="7170" max="7170" width="9.5703125" style="354" customWidth="1"/>
    <col min="7171" max="7171" width="13.85546875" style="354" customWidth="1"/>
    <col min="7172" max="7172" width="3.85546875" style="354" customWidth="1"/>
    <col min="7173" max="7175" width="8.28515625" style="354" customWidth="1"/>
    <col min="7176" max="7176" width="17.5703125" style="354" customWidth="1"/>
    <col min="7177" max="7177" width="13.140625" style="354" customWidth="1"/>
    <col min="7178" max="7178" width="17.5703125" style="354" customWidth="1"/>
    <col min="7179" max="7424" width="10.28515625" style="354"/>
    <col min="7425" max="7425" width="3.28515625" style="354" customWidth="1"/>
    <col min="7426" max="7426" width="9.5703125" style="354" customWidth="1"/>
    <col min="7427" max="7427" width="13.85546875" style="354" customWidth="1"/>
    <col min="7428" max="7428" width="3.85546875" style="354" customWidth="1"/>
    <col min="7429" max="7431" width="8.28515625" style="354" customWidth="1"/>
    <col min="7432" max="7432" width="17.5703125" style="354" customWidth="1"/>
    <col min="7433" max="7433" width="13.140625" style="354" customWidth="1"/>
    <col min="7434" max="7434" width="17.5703125" style="354" customWidth="1"/>
    <col min="7435" max="7680" width="10.28515625" style="354"/>
    <col min="7681" max="7681" width="3.28515625" style="354" customWidth="1"/>
    <col min="7682" max="7682" width="9.5703125" style="354" customWidth="1"/>
    <col min="7683" max="7683" width="13.85546875" style="354" customWidth="1"/>
    <col min="7684" max="7684" width="3.85546875" style="354" customWidth="1"/>
    <col min="7685" max="7687" width="8.28515625" style="354" customWidth="1"/>
    <col min="7688" max="7688" width="17.5703125" style="354" customWidth="1"/>
    <col min="7689" max="7689" width="13.140625" style="354" customWidth="1"/>
    <col min="7690" max="7690" width="17.5703125" style="354" customWidth="1"/>
    <col min="7691" max="7936" width="10.28515625" style="354"/>
    <col min="7937" max="7937" width="3.28515625" style="354" customWidth="1"/>
    <col min="7938" max="7938" width="9.5703125" style="354" customWidth="1"/>
    <col min="7939" max="7939" width="13.85546875" style="354" customWidth="1"/>
    <col min="7940" max="7940" width="3.85546875" style="354" customWidth="1"/>
    <col min="7941" max="7943" width="8.28515625" style="354" customWidth="1"/>
    <col min="7944" max="7944" width="17.5703125" style="354" customWidth="1"/>
    <col min="7945" max="7945" width="13.140625" style="354" customWidth="1"/>
    <col min="7946" max="7946" width="17.5703125" style="354" customWidth="1"/>
    <col min="7947" max="8192" width="10.28515625" style="354"/>
    <col min="8193" max="8193" width="3.28515625" style="354" customWidth="1"/>
    <col min="8194" max="8194" width="9.5703125" style="354" customWidth="1"/>
    <col min="8195" max="8195" width="13.85546875" style="354" customWidth="1"/>
    <col min="8196" max="8196" width="3.85546875" style="354" customWidth="1"/>
    <col min="8197" max="8199" width="8.28515625" style="354" customWidth="1"/>
    <col min="8200" max="8200" width="17.5703125" style="354" customWidth="1"/>
    <col min="8201" max="8201" width="13.140625" style="354" customWidth="1"/>
    <col min="8202" max="8202" width="17.5703125" style="354" customWidth="1"/>
    <col min="8203" max="8448" width="10.28515625" style="354"/>
    <col min="8449" max="8449" width="3.28515625" style="354" customWidth="1"/>
    <col min="8450" max="8450" width="9.5703125" style="354" customWidth="1"/>
    <col min="8451" max="8451" width="13.85546875" style="354" customWidth="1"/>
    <col min="8452" max="8452" width="3.85546875" style="354" customWidth="1"/>
    <col min="8453" max="8455" width="8.28515625" style="354" customWidth="1"/>
    <col min="8456" max="8456" width="17.5703125" style="354" customWidth="1"/>
    <col min="8457" max="8457" width="13.140625" style="354" customWidth="1"/>
    <col min="8458" max="8458" width="17.5703125" style="354" customWidth="1"/>
    <col min="8459" max="8704" width="10.28515625" style="354"/>
    <col min="8705" max="8705" width="3.28515625" style="354" customWidth="1"/>
    <col min="8706" max="8706" width="9.5703125" style="354" customWidth="1"/>
    <col min="8707" max="8707" width="13.85546875" style="354" customWidth="1"/>
    <col min="8708" max="8708" width="3.85546875" style="354" customWidth="1"/>
    <col min="8709" max="8711" width="8.28515625" style="354" customWidth="1"/>
    <col min="8712" max="8712" width="17.5703125" style="354" customWidth="1"/>
    <col min="8713" max="8713" width="13.140625" style="354" customWidth="1"/>
    <col min="8714" max="8714" width="17.5703125" style="354" customWidth="1"/>
    <col min="8715" max="8960" width="10.28515625" style="354"/>
    <col min="8961" max="8961" width="3.28515625" style="354" customWidth="1"/>
    <col min="8962" max="8962" width="9.5703125" style="354" customWidth="1"/>
    <col min="8963" max="8963" width="13.85546875" style="354" customWidth="1"/>
    <col min="8964" max="8964" width="3.85546875" style="354" customWidth="1"/>
    <col min="8965" max="8967" width="8.28515625" style="354" customWidth="1"/>
    <col min="8968" max="8968" width="17.5703125" style="354" customWidth="1"/>
    <col min="8969" max="8969" width="13.140625" style="354" customWidth="1"/>
    <col min="8970" max="8970" width="17.5703125" style="354" customWidth="1"/>
    <col min="8971" max="9216" width="10.28515625" style="354"/>
    <col min="9217" max="9217" width="3.28515625" style="354" customWidth="1"/>
    <col min="9218" max="9218" width="9.5703125" style="354" customWidth="1"/>
    <col min="9219" max="9219" width="13.85546875" style="354" customWidth="1"/>
    <col min="9220" max="9220" width="3.85546875" style="354" customWidth="1"/>
    <col min="9221" max="9223" width="8.28515625" style="354" customWidth="1"/>
    <col min="9224" max="9224" width="17.5703125" style="354" customWidth="1"/>
    <col min="9225" max="9225" width="13.140625" style="354" customWidth="1"/>
    <col min="9226" max="9226" width="17.5703125" style="354" customWidth="1"/>
    <col min="9227" max="9472" width="10.28515625" style="354"/>
    <col min="9473" max="9473" width="3.28515625" style="354" customWidth="1"/>
    <col min="9474" max="9474" width="9.5703125" style="354" customWidth="1"/>
    <col min="9475" max="9475" width="13.85546875" style="354" customWidth="1"/>
    <col min="9476" max="9476" width="3.85546875" style="354" customWidth="1"/>
    <col min="9477" max="9479" width="8.28515625" style="354" customWidth="1"/>
    <col min="9480" max="9480" width="17.5703125" style="354" customWidth="1"/>
    <col min="9481" max="9481" width="13.140625" style="354" customWidth="1"/>
    <col min="9482" max="9482" width="17.5703125" style="354" customWidth="1"/>
    <col min="9483" max="9728" width="10.28515625" style="354"/>
    <col min="9729" max="9729" width="3.28515625" style="354" customWidth="1"/>
    <col min="9730" max="9730" width="9.5703125" style="354" customWidth="1"/>
    <col min="9731" max="9731" width="13.85546875" style="354" customWidth="1"/>
    <col min="9732" max="9732" width="3.85546875" style="354" customWidth="1"/>
    <col min="9733" max="9735" width="8.28515625" style="354" customWidth="1"/>
    <col min="9736" max="9736" width="17.5703125" style="354" customWidth="1"/>
    <col min="9737" max="9737" width="13.140625" style="354" customWidth="1"/>
    <col min="9738" max="9738" width="17.5703125" style="354" customWidth="1"/>
    <col min="9739" max="9984" width="10.28515625" style="354"/>
    <col min="9985" max="9985" width="3.28515625" style="354" customWidth="1"/>
    <col min="9986" max="9986" width="9.5703125" style="354" customWidth="1"/>
    <col min="9987" max="9987" width="13.85546875" style="354" customWidth="1"/>
    <col min="9988" max="9988" width="3.85546875" style="354" customWidth="1"/>
    <col min="9989" max="9991" width="8.28515625" style="354" customWidth="1"/>
    <col min="9992" max="9992" width="17.5703125" style="354" customWidth="1"/>
    <col min="9993" max="9993" width="13.140625" style="354" customWidth="1"/>
    <col min="9994" max="9994" width="17.5703125" style="354" customWidth="1"/>
    <col min="9995" max="10240" width="10.28515625" style="354"/>
    <col min="10241" max="10241" width="3.28515625" style="354" customWidth="1"/>
    <col min="10242" max="10242" width="9.5703125" style="354" customWidth="1"/>
    <col min="10243" max="10243" width="13.85546875" style="354" customWidth="1"/>
    <col min="10244" max="10244" width="3.85546875" style="354" customWidth="1"/>
    <col min="10245" max="10247" width="8.28515625" style="354" customWidth="1"/>
    <col min="10248" max="10248" width="17.5703125" style="354" customWidth="1"/>
    <col min="10249" max="10249" width="13.140625" style="354" customWidth="1"/>
    <col min="10250" max="10250" width="17.5703125" style="354" customWidth="1"/>
    <col min="10251" max="10496" width="10.28515625" style="354"/>
    <col min="10497" max="10497" width="3.28515625" style="354" customWidth="1"/>
    <col min="10498" max="10498" width="9.5703125" style="354" customWidth="1"/>
    <col min="10499" max="10499" width="13.85546875" style="354" customWidth="1"/>
    <col min="10500" max="10500" width="3.85546875" style="354" customWidth="1"/>
    <col min="10501" max="10503" width="8.28515625" style="354" customWidth="1"/>
    <col min="10504" max="10504" width="17.5703125" style="354" customWidth="1"/>
    <col min="10505" max="10505" width="13.140625" style="354" customWidth="1"/>
    <col min="10506" max="10506" width="17.5703125" style="354" customWidth="1"/>
    <col min="10507" max="10752" width="10.28515625" style="354"/>
    <col min="10753" max="10753" width="3.28515625" style="354" customWidth="1"/>
    <col min="10754" max="10754" width="9.5703125" style="354" customWidth="1"/>
    <col min="10755" max="10755" width="13.85546875" style="354" customWidth="1"/>
    <col min="10756" max="10756" width="3.85546875" style="354" customWidth="1"/>
    <col min="10757" max="10759" width="8.28515625" style="354" customWidth="1"/>
    <col min="10760" max="10760" width="17.5703125" style="354" customWidth="1"/>
    <col min="10761" max="10761" width="13.140625" style="354" customWidth="1"/>
    <col min="10762" max="10762" width="17.5703125" style="354" customWidth="1"/>
    <col min="10763" max="11008" width="10.28515625" style="354"/>
    <col min="11009" max="11009" width="3.28515625" style="354" customWidth="1"/>
    <col min="11010" max="11010" width="9.5703125" style="354" customWidth="1"/>
    <col min="11011" max="11011" width="13.85546875" style="354" customWidth="1"/>
    <col min="11012" max="11012" width="3.85546875" style="354" customWidth="1"/>
    <col min="11013" max="11015" width="8.28515625" style="354" customWidth="1"/>
    <col min="11016" max="11016" width="17.5703125" style="354" customWidth="1"/>
    <col min="11017" max="11017" width="13.140625" style="354" customWidth="1"/>
    <col min="11018" max="11018" width="17.5703125" style="354" customWidth="1"/>
    <col min="11019" max="11264" width="10.28515625" style="354"/>
    <col min="11265" max="11265" width="3.28515625" style="354" customWidth="1"/>
    <col min="11266" max="11266" width="9.5703125" style="354" customWidth="1"/>
    <col min="11267" max="11267" width="13.85546875" style="354" customWidth="1"/>
    <col min="11268" max="11268" width="3.85546875" style="354" customWidth="1"/>
    <col min="11269" max="11271" width="8.28515625" style="354" customWidth="1"/>
    <col min="11272" max="11272" width="17.5703125" style="354" customWidth="1"/>
    <col min="11273" max="11273" width="13.140625" style="354" customWidth="1"/>
    <col min="11274" max="11274" width="17.5703125" style="354" customWidth="1"/>
    <col min="11275" max="11520" width="10.28515625" style="354"/>
    <col min="11521" max="11521" width="3.28515625" style="354" customWidth="1"/>
    <col min="11522" max="11522" width="9.5703125" style="354" customWidth="1"/>
    <col min="11523" max="11523" width="13.85546875" style="354" customWidth="1"/>
    <col min="11524" max="11524" width="3.85546875" style="354" customWidth="1"/>
    <col min="11525" max="11527" width="8.28515625" style="354" customWidth="1"/>
    <col min="11528" max="11528" width="17.5703125" style="354" customWidth="1"/>
    <col min="11529" max="11529" width="13.140625" style="354" customWidth="1"/>
    <col min="11530" max="11530" width="17.5703125" style="354" customWidth="1"/>
    <col min="11531" max="11776" width="10.28515625" style="354"/>
    <col min="11777" max="11777" width="3.28515625" style="354" customWidth="1"/>
    <col min="11778" max="11778" width="9.5703125" style="354" customWidth="1"/>
    <col min="11779" max="11779" width="13.85546875" style="354" customWidth="1"/>
    <col min="11780" max="11780" width="3.85546875" style="354" customWidth="1"/>
    <col min="11781" max="11783" width="8.28515625" style="354" customWidth="1"/>
    <col min="11784" max="11784" width="17.5703125" style="354" customWidth="1"/>
    <col min="11785" max="11785" width="13.140625" style="354" customWidth="1"/>
    <col min="11786" max="11786" width="17.5703125" style="354" customWidth="1"/>
    <col min="11787" max="12032" width="10.28515625" style="354"/>
    <col min="12033" max="12033" width="3.28515625" style="354" customWidth="1"/>
    <col min="12034" max="12034" width="9.5703125" style="354" customWidth="1"/>
    <col min="12035" max="12035" width="13.85546875" style="354" customWidth="1"/>
    <col min="12036" max="12036" width="3.85546875" style="354" customWidth="1"/>
    <col min="12037" max="12039" width="8.28515625" style="354" customWidth="1"/>
    <col min="12040" max="12040" width="17.5703125" style="354" customWidth="1"/>
    <col min="12041" max="12041" width="13.140625" style="354" customWidth="1"/>
    <col min="12042" max="12042" width="17.5703125" style="354" customWidth="1"/>
    <col min="12043" max="12288" width="10.28515625" style="354"/>
    <col min="12289" max="12289" width="3.28515625" style="354" customWidth="1"/>
    <col min="12290" max="12290" width="9.5703125" style="354" customWidth="1"/>
    <col min="12291" max="12291" width="13.85546875" style="354" customWidth="1"/>
    <col min="12292" max="12292" width="3.85546875" style="354" customWidth="1"/>
    <col min="12293" max="12295" width="8.28515625" style="354" customWidth="1"/>
    <col min="12296" max="12296" width="17.5703125" style="354" customWidth="1"/>
    <col min="12297" max="12297" width="13.140625" style="354" customWidth="1"/>
    <col min="12298" max="12298" width="17.5703125" style="354" customWidth="1"/>
    <col min="12299" max="12544" width="10.28515625" style="354"/>
    <col min="12545" max="12545" width="3.28515625" style="354" customWidth="1"/>
    <col min="12546" max="12546" width="9.5703125" style="354" customWidth="1"/>
    <col min="12547" max="12547" width="13.85546875" style="354" customWidth="1"/>
    <col min="12548" max="12548" width="3.85546875" style="354" customWidth="1"/>
    <col min="12549" max="12551" width="8.28515625" style="354" customWidth="1"/>
    <col min="12552" max="12552" width="17.5703125" style="354" customWidth="1"/>
    <col min="12553" max="12553" width="13.140625" style="354" customWidth="1"/>
    <col min="12554" max="12554" width="17.5703125" style="354" customWidth="1"/>
    <col min="12555" max="12800" width="10.28515625" style="354"/>
    <col min="12801" max="12801" width="3.28515625" style="354" customWidth="1"/>
    <col min="12802" max="12802" width="9.5703125" style="354" customWidth="1"/>
    <col min="12803" max="12803" width="13.85546875" style="354" customWidth="1"/>
    <col min="12804" max="12804" width="3.85546875" style="354" customWidth="1"/>
    <col min="12805" max="12807" width="8.28515625" style="354" customWidth="1"/>
    <col min="12808" max="12808" width="17.5703125" style="354" customWidth="1"/>
    <col min="12809" max="12809" width="13.140625" style="354" customWidth="1"/>
    <col min="12810" max="12810" width="17.5703125" style="354" customWidth="1"/>
    <col min="12811" max="13056" width="10.28515625" style="354"/>
    <col min="13057" max="13057" width="3.28515625" style="354" customWidth="1"/>
    <col min="13058" max="13058" width="9.5703125" style="354" customWidth="1"/>
    <col min="13059" max="13059" width="13.85546875" style="354" customWidth="1"/>
    <col min="13060" max="13060" width="3.85546875" style="354" customWidth="1"/>
    <col min="13061" max="13063" width="8.28515625" style="354" customWidth="1"/>
    <col min="13064" max="13064" width="17.5703125" style="354" customWidth="1"/>
    <col min="13065" max="13065" width="13.140625" style="354" customWidth="1"/>
    <col min="13066" max="13066" width="17.5703125" style="354" customWidth="1"/>
    <col min="13067" max="13312" width="10.28515625" style="354"/>
    <col min="13313" max="13313" width="3.28515625" style="354" customWidth="1"/>
    <col min="13314" max="13314" width="9.5703125" style="354" customWidth="1"/>
    <col min="13315" max="13315" width="13.85546875" style="354" customWidth="1"/>
    <col min="13316" max="13316" width="3.85546875" style="354" customWidth="1"/>
    <col min="13317" max="13319" width="8.28515625" style="354" customWidth="1"/>
    <col min="13320" max="13320" width="17.5703125" style="354" customWidth="1"/>
    <col min="13321" max="13321" width="13.140625" style="354" customWidth="1"/>
    <col min="13322" max="13322" width="17.5703125" style="354" customWidth="1"/>
    <col min="13323" max="13568" width="10.28515625" style="354"/>
    <col min="13569" max="13569" width="3.28515625" style="354" customWidth="1"/>
    <col min="13570" max="13570" width="9.5703125" style="354" customWidth="1"/>
    <col min="13571" max="13571" width="13.85546875" style="354" customWidth="1"/>
    <col min="13572" max="13572" width="3.85546875" style="354" customWidth="1"/>
    <col min="13573" max="13575" width="8.28515625" style="354" customWidth="1"/>
    <col min="13576" max="13576" width="17.5703125" style="354" customWidth="1"/>
    <col min="13577" max="13577" width="13.140625" style="354" customWidth="1"/>
    <col min="13578" max="13578" width="17.5703125" style="354" customWidth="1"/>
    <col min="13579" max="13824" width="10.28515625" style="354"/>
    <col min="13825" max="13825" width="3.28515625" style="354" customWidth="1"/>
    <col min="13826" max="13826" width="9.5703125" style="354" customWidth="1"/>
    <col min="13827" max="13827" width="13.85546875" style="354" customWidth="1"/>
    <col min="13828" max="13828" width="3.85546875" style="354" customWidth="1"/>
    <col min="13829" max="13831" width="8.28515625" style="354" customWidth="1"/>
    <col min="13832" max="13832" width="17.5703125" style="354" customWidth="1"/>
    <col min="13833" max="13833" width="13.140625" style="354" customWidth="1"/>
    <col min="13834" max="13834" width="17.5703125" style="354" customWidth="1"/>
    <col min="13835" max="14080" width="10.28515625" style="354"/>
    <col min="14081" max="14081" width="3.28515625" style="354" customWidth="1"/>
    <col min="14082" max="14082" width="9.5703125" style="354" customWidth="1"/>
    <col min="14083" max="14083" width="13.85546875" style="354" customWidth="1"/>
    <col min="14084" max="14084" width="3.85546875" style="354" customWidth="1"/>
    <col min="14085" max="14087" width="8.28515625" style="354" customWidth="1"/>
    <col min="14088" max="14088" width="17.5703125" style="354" customWidth="1"/>
    <col min="14089" max="14089" width="13.140625" style="354" customWidth="1"/>
    <col min="14090" max="14090" width="17.5703125" style="354" customWidth="1"/>
    <col min="14091" max="14336" width="10.28515625" style="354"/>
    <col min="14337" max="14337" width="3.28515625" style="354" customWidth="1"/>
    <col min="14338" max="14338" width="9.5703125" style="354" customWidth="1"/>
    <col min="14339" max="14339" width="13.85546875" style="354" customWidth="1"/>
    <col min="14340" max="14340" width="3.85546875" style="354" customWidth="1"/>
    <col min="14341" max="14343" width="8.28515625" style="354" customWidth="1"/>
    <col min="14344" max="14344" width="17.5703125" style="354" customWidth="1"/>
    <col min="14345" max="14345" width="13.140625" style="354" customWidth="1"/>
    <col min="14346" max="14346" width="17.5703125" style="354" customWidth="1"/>
    <col min="14347" max="14592" width="10.28515625" style="354"/>
    <col min="14593" max="14593" width="3.28515625" style="354" customWidth="1"/>
    <col min="14594" max="14594" width="9.5703125" style="354" customWidth="1"/>
    <col min="14595" max="14595" width="13.85546875" style="354" customWidth="1"/>
    <col min="14596" max="14596" width="3.85546875" style="354" customWidth="1"/>
    <col min="14597" max="14599" width="8.28515625" style="354" customWidth="1"/>
    <col min="14600" max="14600" width="17.5703125" style="354" customWidth="1"/>
    <col min="14601" max="14601" width="13.140625" style="354" customWidth="1"/>
    <col min="14602" max="14602" width="17.5703125" style="354" customWidth="1"/>
    <col min="14603" max="14848" width="10.28515625" style="354"/>
    <col min="14849" max="14849" width="3.28515625" style="354" customWidth="1"/>
    <col min="14850" max="14850" width="9.5703125" style="354" customWidth="1"/>
    <col min="14851" max="14851" width="13.85546875" style="354" customWidth="1"/>
    <col min="14852" max="14852" width="3.85546875" style="354" customWidth="1"/>
    <col min="14853" max="14855" width="8.28515625" style="354" customWidth="1"/>
    <col min="14856" max="14856" width="17.5703125" style="354" customWidth="1"/>
    <col min="14857" max="14857" width="13.140625" style="354" customWidth="1"/>
    <col min="14858" max="14858" width="17.5703125" style="354" customWidth="1"/>
    <col min="14859" max="15104" width="10.28515625" style="354"/>
    <col min="15105" max="15105" width="3.28515625" style="354" customWidth="1"/>
    <col min="15106" max="15106" width="9.5703125" style="354" customWidth="1"/>
    <col min="15107" max="15107" width="13.85546875" style="354" customWidth="1"/>
    <col min="15108" max="15108" width="3.85546875" style="354" customWidth="1"/>
    <col min="15109" max="15111" width="8.28515625" style="354" customWidth="1"/>
    <col min="15112" max="15112" width="17.5703125" style="354" customWidth="1"/>
    <col min="15113" max="15113" width="13.140625" style="354" customWidth="1"/>
    <col min="15114" max="15114" width="17.5703125" style="354" customWidth="1"/>
    <col min="15115" max="15360" width="10.28515625" style="354"/>
    <col min="15361" max="15361" width="3.28515625" style="354" customWidth="1"/>
    <col min="15362" max="15362" width="9.5703125" style="354" customWidth="1"/>
    <col min="15363" max="15363" width="13.85546875" style="354" customWidth="1"/>
    <col min="15364" max="15364" width="3.85546875" style="354" customWidth="1"/>
    <col min="15365" max="15367" width="8.28515625" style="354" customWidth="1"/>
    <col min="15368" max="15368" width="17.5703125" style="354" customWidth="1"/>
    <col min="15369" max="15369" width="13.140625" style="354" customWidth="1"/>
    <col min="15370" max="15370" width="17.5703125" style="354" customWidth="1"/>
    <col min="15371" max="15616" width="10.28515625" style="354"/>
    <col min="15617" max="15617" width="3.28515625" style="354" customWidth="1"/>
    <col min="15618" max="15618" width="9.5703125" style="354" customWidth="1"/>
    <col min="15619" max="15619" width="13.85546875" style="354" customWidth="1"/>
    <col min="15620" max="15620" width="3.85546875" style="354" customWidth="1"/>
    <col min="15621" max="15623" width="8.28515625" style="354" customWidth="1"/>
    <col min="15624" max="15624" width="17.5703125" style="354" customWidth="1"/>
    <col min="15625" max="15625" width="13.140625" style="354" customWidth="1"/>
    <col min="15626" max="15626" width="17.5703125" style="354" customWidth="1"/>
    <col min="15627" max="15872" width="10.28515625" style="354"/>
    <col min="15873" max="15873" width="3.28515625" style="354" customWidth="1"/>
    <col min="15874" max="15874" width="9.5703125" style="354" customWidth="1"/>
    <col min="15875" max="15875" width="13.85546875" style="354" customWidth="1"/>
    <col min="15876" max="15876" width="3.85546875" style="354" customWidth="1"/>
    <col min="15877" max="15879" width="8.28515625" style="354" customWidth="1"/>
    <col min="15880" max="15880" width="17.5703125" style="354" customWidth="1"/>
    <col min="15881" max="15881" width="13.140625" style="354" customWidth="1"/>
    <col min="15882" max="15882" width="17.5703125" style="354" customWidth="1"/>
    <col min="15883" max="16128" width="10.28515625" style="354"/>
    <col min="16129" max="16129" width="3.28515625" style="354" customWidth="1"/>
    <col min="16130" max="16130" width="9.5703125" style="354" customWidth="1"/>
    <col min="16131" max="16131" width="13.85546875" style="354" customWidth="1"/>
    <col min="16132" max="16132" width="3.85546875" style="354" customWidth="1"/>
    <col min="16133" max="16135" width="8.28515625" style="354" customWidth="1"/>
    <col min="16136" max="16136" width="17.5703125" style="354" customWidth="1"/>
    <col min="16137" max="16137" width="13.140625" style="354" customWidth="1"/>
    <col min="16138" max="16138" width="17.5703125" style="354" customWidth="1"/>
    <col min="16139" max="16384" width="10.28515625" style="354"/>
  </cols>
  <sheetData>
    <row r="1" spans="1:9" ht="28.15" customHeight="1" x14ac:dyDescent="0.2">
      <c r="A1" s="2297" t="s">
        <v>9657</v>
      </c>
      <c r="B1" s="2297"/>
      <c r="C1" s="2297"/>
      <c r="D1" s="2298" t="s">
        <v>560</v>
      </c>
      <c r="E1" s="2298"/>
      <c r="F1" s="2298"/>
      <c r="G1" s="2298"/>
      <c r="H1" s="2298"/>
      <c r="I1" s="2298"/>
    </row>
    <row r="2" spans="1:9" x14ac:dyDescent="0.2">
      <c r="A2" s="1044"/>
      <c r="B2" s="1044"/>
      <c r="C2" s="1044"/>
      <c r="D2" s="1045"/>
      <c r="E2" s="1045"/>
      <c r="F2" s="1045"/>
      <c r="G2" s="1045"/>
      <c r="H2" s="1045"/>
      <c r="I2" s="1045"/>
    </row>
    <row r="3" spans="1:9" ht="13.15" customHeight="1" x14ac:dyDescent="0.2">
      <c r="A3" s="2299" t="s">
        <v>9533</v>
      </c>
      <c r="B3" s="2299"/>
      <c r="C3" s="2299"/>
      <c r="D3" s="2299"/>
      <c r="E3" s="2299"/>
      <c r="F3" s="2299"/>
      <c r="G3" s="2299"/>
      <c r="H3" s="2299"/>
      <c r="I3" s="2299"/>
    </row>
    <row r="4" spans="1:9" x14ac:dyDescent="0.2">
      <c r="A4" s="2239" t="s">
        <v>7135</v>
      </c>
      <c r="B4" s="2239"/>
      <c r="C4" s="2239"/>
      <c r="D4" s="2239"/>
      <c r="E4" s="2239"/>
      <c r="F4" s="2239"/>
      <c r="G4" s="2239"/>
      <c r="H4" s="2239"/>
      <c r="I4" s="2239"/>
    </row>
    <row r="5" spans="1:9" ht="3.75" customHeight="1" x14ac:dyDescent="0.2">
      <c r="D5" s="1044"/>
      <c r="E5" s="1044"/>
      <c r="F5" s="1044"/>
      <c r="G5" s="1044"/>
    </row>
    <row r="6" spans="1:9" ht="66" customHeight="1" x14ac:dyDescent="0.2">
      <c r="A6" s="2300" t="s">
        <v>5846</v>
      </c>
      <c r="B6" s="2300"/>
      <c r="C6" s="2300"/>
      <c r="D6" s="2301" t="s">
        <v>9534</v>
      </c>
      <c r="E6" s="2301"/>
      <c r="F6" s="2301"/>
      <c r="G6" s="2301"/>
      <c r="H6" s="2301"/>
      <c r="I6" s="2301"/>
    </row>
    <row r="7" spans="1:9" ht="3.95" customHeight="1" x14ac:dyDescent="0.2">
      <c r="A7" s="1047"/>
      <c r="B7" s="1047"/>
      <c r="C7" s="1047"/>
      <c r="D7" s="354"/>
      <c r="E7" s="354"/>
      <c r="F7" s="354"/>
      <c r="G7" s="354"/>
      <c r="H7" s="354"/>
      <c r="I7" s="354"/>
    </row>
    <row r="8" spans="1:9" ht="41.25" customHeight="1" x14ac:dyDescent="0.2">
      <c r="A8" s="2300" t="s">
        <v>5848</v>
      </c>
      <c r="B8" s="2300"/>
      <c r="C8" s="2300"/>
      <c r="D8" s="2300" t="s">
        <v>563</v>
      </c>
      <c r="E8" s="2300"/>
      <c r="F8" s="2300"/>
      <c r="G8" s="2300"/>
      <c r="H8" s="2300"/>
      <c r="I8" s="2300"/>
    </row>
    <row r="9" spans="1:9" ht="3.95" customHeight="1" x14ac:dyDescent="0.2">
      <c r="A9" s="354"/>
      <c r="B9" s="354"/>
      <c r="C9" s="354"/>
      <c r="D9" s="354"/>
      <c r="E9" s="354"/>
      <c r="F9" s="354"/>
      <c r="G9" s="354"/>
      <c r="H9" s="354"/>
      <c r="I9" s="354"/>
    </row>
    <row r="10" spans="1:9" ht="30" customHeight="1" x14ac:dyDescent="0.2">
      <c r="A10" s="2300" t="s">
        <v>5849</v>
      </c>
      <c r="B10" s="2300"/>
      <c r="C10" s="2300"/>
      <c r="D10" s="2300" t="s">
        <v>5654</v>
      </c>
      <c r="E10" s="2300"/>
      <c r="F10" s="2300"/>
      <c r="G10" s="2300"/>
      <c r="H10" s="2300"/>
      <c r="I10" s="2300"/>
    </row>
    <row r="11" spans="1:9" ht="3.75" customHeight="1" x14ac:dyDescent="0.2">
      <c r="A11" s="1047"/>
      <c r="B11" s="1047"/>
      <c r="C11" s="1047"/>
      <c r="D11" s="1048"/>
      <c r="E11" s="1048"/>
      <c r="F11" s="1048"/>
      <c r="G11" s="1048"/>
      <c r="H11" s="1047"/>
      <c r="I11" s="1047"/>
    </row>
    <row r="12" spans="1:9" ht="12.75" customHeight="1" x14ac:dyDescent="0.2">
      <c r="A12" s="2316" t="s">
        <v>9535</v>
      </c>
      <c r="B12" s="2316"/>
      <c r="C12" s="2316"/>
      <c r="D12" s="2316"/>
      <c r="E12" s="2316"/>
      <c r="F12" s="2316"/>
      <c r="G12" s="2316"/>
      <c r="H12" s="2316"/>
      <c r="I12" s="2316"/>
    </row>
    <row r="13" spans="1:9" ht="100.5" customHeight="1" x14ac:dyDescent="0.2">
      <c r="A13" s="1190" t="s">
        <v>287</v>
      </c>
      <c r="B13" s="2317" t="s">
        <v>5851</v>
      </c>
      <c r="C13" s="2318"/>
      <c r="D13" s="2317" t="s">
        <v>5852</v>
      </c>
      <c r="E13" s="2319"/>
      <c r="F13" s="2319"/>
      <c r="G13" s="2318"/>
      <c r="H13" s="1191" t="s">
        <v>5853</v>
      </c>
      <c r="I13" s="1190" t="s">
        <v>568</v>
      </c>
    </row>
    <row r="14" spans="1:9" x14ac:dyDescent="0.2">
      <c r="A14" s="1192" t="s">
        <v>185</v>
      </c>
      <c r="B14" s="2308">
        <v>2</v>
      </c>
      <c r="C14" s="2309"/>
      <c r="D14" s="2308">
        <v>3</v>
      </c>
      <c r="E14" s="2310"/>
      <c r="F14" s="2310"/>
      <c r="G14" s="2309"/>
      <c r="H14" s="1193">
        <v>4</v>
      </c>
      <c r="I14" s="1193">
        <v>5</v>
      </c>
    </row>
    <row r="15" spans="1:9" ht="132.6" customHeight="1" x14ac:dyDescent="0.2">
      <c r="A15" s="1182" t="s">
        <v>185</v>
      </c>
      <c r="B15" s="2311" t="s">
        <v>7136</v>
      </c>
      <c r="C15" s="2312"/>
      <c r="D15" s="2313" t="s">
        <v>7137</v>
      </c>
      <c r="E15" s="2314"/>
      <c r="F15" s="2314"/>
      <c r="G15" s="2315"/>
      <c r="H15" s="1179" t="s">
        <v>9658</v>
      </c>
      <c r="I15" s="1181">
        <f>ROUND((94400  + 16  * (0.4 * 3200 + 0.6 * 10840)) * 1 * 0.4 * 1.011,0)</f>
        <v>88541</v>
      </c>
    </row>
    <row r="16" spans="1:9" ht="15.75" customHeight="1" x14ac:dyDescent="0.2">
      <c r="A16" s="1185" t="s">
        <v>143</v>
      </c>
      <c r="B16" s="2305"/>
      <c r="C16" s="2306"/>
      <c r="D16" s="2305" t="s">
        <v>572</v>
      </c>
      <c r="E16" s="2307"/>
      <c r="F16" s="2307"/>
      <c r="G16" s="2306"/>
      <c r="H16" s="1057"/>
      <c r="I16" s="1058"/>
    </row>
    <row r="17" spans="1:9" ht="25.5" customHeight="1" x14ac:dyDescent="0.2">
      <c r="A17" s="1185" t="s">
        <v>143</v>
      </c>
      <c r="B17" s="2302"/>
      <c r="C17" s="2303"/>
      <c r="D17" s="2302" t="s">
        <v>7138</v>
      </c>
      <c r="E17" s="2304"/>
      <c r="F17" s="2304"/>
      <c r="G17" s="2303"/>
      <c r="H17" s="1184"/>
      <c r="I17" s="1060"/>
    </row>
    <row r="18" spans="1:9" ht="89.25" customHeight="1" x14ac:dyDescent="0.2">
      <c r="A18" s="1185" t="s">
        <v>143</v>
      </c>
      <c r="B18" s="2302"/>
      <c r="C18" s="2303"/>
      <c r="D18" s="2302" t="s">
        <v>9659</v>
      </c>
      <c r="E18" s="2304"/>
      <c r="F18" s="2304"/>
      <c r="G18" s="2303"/>
      <c r="H18" s="1184"/>
      <c r="I18" s="1060"/>
    </row>
    <row r="19" spans="1:9" ht="54" customHeight="1" x14ac:dyDescent="0.2">
      <c r="A19" s="1185" t="s">
        <v>143</v>
      </c>
      <c r="B19" s="2305"/>
      <c r="C19" s="2306"/>
      <c r="D19" s="2305" t="s">
        <v>9660</v>
      </c>
      <c r="E19" s="2307"/>
      <c r="F19" s="2307"/>
      <c r="G19" s="2306"/>
      <c r="H19" s="1057"/>
      <c r="I19" s="1058"/>
    </row>
    <row r="20" spans="1:9" ht="25.5" customHeight="1" x14ac:dyDescent="0.2">
      <c r="A20" s="1185" t="s">
        <v>143</v>
      </c>
      <c r="B20" s="2302"/>
      <c r="C20" s="2303"/>
      <c r="D20" s="2323" t="s">
        <v>7139</v>
      </c>
      <c r="E20" s="2324"/>
      <c r="F20" s="2324"/>
      <c r="G20" s="2325"/>
      <c r="H20" s="1184"/>
      <c r="I20" s="1060"/>
    </row>
    <row r="21" spans="1:9" ht="25.5" customHeight="1" x14ac:dyDescent="0.2">
      <c r="A21" s="1185" t="s">
        <v>143</v>
      </c>
      <c r="B21" s="2302"/>
      <c r="C21" s="2303"/>
      <c r="D21" s="2323" t="s">
        <v>7140</v>
      </c>
      <c r="E21" s="2324"/>
      <c r="F21" s="2324"/>
      <c r="G21" s="2325"/>
      <c r="H21" s="1184"/>
      <c r="I21" s="1060"/>
    </row>
    <row r="22" spans="1:9" ht="12.75" customHeight="1" x14ac:dyDescent="0.2">
      <c r="A22" s="1185" t="s">
        <v>143</v>
      </c>
      <c r="B22" s="2302"/>
      <c r="C22" s="2303"/>
      <c r="D22" s="2302" t="s">
        <v>9661</v>
      </c>
      <c r="E22" s="2304"/>
      <c r="F22" s="2304"/>
      <c r="G22" s="2303"/>
      <c r="H22" s="1184"/>
      <c r="I22" s="1060"/>
    </row>
    <row r="23" spans="1:9" ht="12.75" customHeight="1" x14ac:dyDescent="0.2">
      <c r="A23" s="1185" t="s">
        <v>143</v>
      </c>
      <c r="B23" s="2302"/>
      <c r="C23" s="2303"/>
      <c r="D23" s="2302" t="s">
        <v>9662</v>
      </c>
      <c r="E23" s="2304"/>
      <c r="F23" s="2304"/>
      <c r="G23" s="2303"/>
      <c r="H23" s="1184"/>
      <c r="I23" s="1060"/>
    </row>
    <row r="24" spans="1:9" ht="12.75" customHeight="1" x14ac:dyDescent="0.2">
      <c r="A24" s="1185" t="s">
        <v>143</v>
      </c>
      <c r="B24" s="2302"/>
      <c r="C24" s="2303"/>
      <c r="D24" s="2302" t="s">
        <v>9663</v>
      </c>
      <c r="E24" s="2304"/>
      <c r="F24" s="2304"/>
      <c r="G24" s="2303"/>
      <c r="H24" s="1184"/>
      <c r="I24" s="1060"/>
    </row>
    <row r="25" spans="1:9" ht="12.75" customHeight="1" x14ac:dyDescent="0.2">
      <c r="A25" s="1185" t="s">
        <v>143</v>
      </c>
      <c r="B25" s="2302"/>
      <c r="C25" s="2303"/>
      <c r="D25" s="2302" t="s">
        <v>7141</v>
      </c>
      <c r="E25" s="2304"/>
      <c r="F25" s="2304"/>
      <c r="G25" s="2303"/>
      <c r="H25" s="1184"/>
      <c r="I25" s="1060"/>
    </row>
    <row r="26" spans="1:9" ht="12.75" customHeight="1" x14ac:dyDescent="0.2">
      <c r="A26" s="1185" t="s">
        <v>143</v>
      </c>
      <c r="B26" s="2302"/>
      <c r="C26" s="2303"/>
      <c r="D26" s="2302" t="s">
        <v>7142</v>
      </c>
      <c r="E26" s="2304"/>
      <c r="F26" s="2304"/>
      <c r="G26" s="2303"/>
      <c r="H26" s="1184"/>
      <c r="I26" s="1060"/>
    </row>
    <row r="27" spans="1:9" ht="12.75" customHeight="1" x14ac:dyDescent="0.2">
      <c r="A27" s="1183" t="s">
        <v>143</v>
      </c>
      <c r="B27" s="2320"/>
      <c r="C27" s="2321"/>
      <c r="D27" s="2320" t="s">
        <v>7143</v>
      </c>
      <c r="E27" s="2322"/>
      <c r="F27" s="2322"/>
      <c r="G27" s="2321"/>
      <c r="H27" s="1180"/>
      <c r="I27" s="1063"/>
    </row>
    <row r="28" spans="1:9" ht="132.6" customHeight="1" x14ac:dyDescent="0.2">
      <c r="A28" s="1182" t="s">
        <v>186</v>
      </c>
      <c r="B28" s="2311" t="s">
        <v>7136</v>
      </c>
      <c r="C28" s="2312"/>
      <c r="D28" s="2313" t="s">
        <v>7144</v>
      </c>
      <c r="E28" s="2314"/>
      <c r="F28" s="2314"/>
      <c r="G28" s="2315"/>
      <c r="H28" s="1179" t="s">
        <v>9664</v>
      </c>
      <c r="I28" s="1181">
        <f>ROUND((94400  + 16  * (0.4 * 3200 + 0.6 * 8858)) * 1 * 0.4 * 1.011,0)</f>
        <v>80846</v>
      </c>
    </row>
    <row r="29" spans="1:9" ht="15.75" customHeight="1" x14ac:dyDescent="0.2">
      <c r="A29" s="1185" t="s">
        <v>143</v>
      </c>
      <c r="B29" s="2305"/>
      <c r="C29" s="2306"/>
      <c r="D29" s="2305" t="s">
        <v>572</v>
      </c>
      <c r="E29" s="2307"/>
      <c r="F29" s="2307"/>
      <c r="G29" s="2306"/>
      <c r="H29" s="1057"/>
      <c r="I29" s="1058"/>
    </row>
    <row r="30" spans="1:9" ht="25.5" customHeight="1" x14ac:dyDescent="0.2">
      <c r="A30" s="1185" t="s">
        <v>143</v>
      </c>
      <c r="B30" s="2302"/>
      <c r="C30" s="2303"/>
      <c r="D30" s="2302" t="s">
        <v>7138</v>
      </c>
      <c r="E30" s="2304"/>
      <c r="F30" s="2304"/>
      <c r="G30" s="2303"/>
      <c r="H30" s="1184"/>
      <c r="I30" s="1060"/>
    </row>
    <row r="31" spans="1:9" ht="89.25" customHeight="1" x14ac:dyDescent="0.2">
      <c r="A31" s="1185" t="s">
        <v>143</v>
      </c>
      <c r="B31" s="2302"/>
      <c r="C31" s="2303"/>
      <c r="D31" s="2302" t="s">
        <v>9659</v>
      </c>
      <c r="E31" s="2304"/>
      <c r="F31" s="2304"/>
      <c r="G31" s="2303"/>
      <c r="H31" s="1184"/>
      <c r="I31" s="1060"/>
    </row>
    <row r="32" spans="1:9" ht="54" customHeight="1" x14ac:dyDescent="0.2">
      <c r="A32" s="1185" t="s">
        <v>143</v>
      </c>
      <c r="B32" s="2305"/>
      <c r="C32" s="2306"/>
      <c r="D32" s="2305" t="s">
        <v>9660</v>
      </c>
      <c r="E32" s="2307"/>
      <c r="F32" s="2307"/>
      <c r="G32" s="2306"/>
      <c r="H32" s="1057"/>
      <c r="I32" s="1058"/>
    </row>
    <row r="33" spans="1:9" ht="25.5" customHeight="1" x14ac:dyDescent="0.2">
      <c r="A33" s="1185" t="s">
        <v>143</v>
      </c>
      <c r="B33" s="2302"/>
      <c r="C33" s="2303"/>
      <c r="D33" s="2323" t="s">
        <v>7145</v>
      </c>
      <c r="E33" s="2324"/>
      <c r="F33" s="2324"/>
      <c r="G33" s="2325"/>
      <c r="H33" s="1184"/>
      <c r="I33" s="1060"/>
    </row>
    <row r="34" spans="1:9" ht="25.5" customHeight="1" x14ac:dyDescent="0.2">
      <c r="A34" s="1185" t="s">
        <v>143</v>
      </c>
      <c r="B34" s="2302"/>
      <c r="C34" s="2303"/>
      <c r="D34" s="2323" t="s">
        <v>7146</v>
      </c>
      <c r="E34" s="2324"/>
      <c r="F34" s="2324"/>
      <c r="G34" s="2325"/>
      <c r="H34" s="1184"/>
      <c r="I34" s="1060"/>
    </row>
    <row r="35" spans="1:9" ht="12.75" customHeight="1" x14ac:dyDescent="0.2">
      <c r="A35" s="1185" t="s">
        <v>143</v>
      </c>
      <c r="B35" s="2302"/>
      <c r="C35" s="2303"/>
      <c r="D35" s="2302" t="s">
        <v>9665</v>
      </c>
      <c r="E35" s="2304"/>
      <c r="F35" s="2304"/>
      <c r="G35" s="2303"/>
      <c r="H35" s="1184"/>
      <c r="I35" s="1060"/>
    </row>
    <row r="36" spans="1:9" ht="12.75" customHeight="1" x14ac:dyDescent="0.2">
      <c r="A36" s="1185" t="s">
        <v>143</v>
      </c>
      <c r="B36" s="2302"/>
      <c r="C36" s="2303"/>
      <c r="D36" s="2302" t="s">
        <v>9666</v>
      </c>
      <c r="E36" s="2304"/>
      <c r="F36" s="2304"/>
      <c r="G36" s="2303"/>
      <c r="H36" s="1184"/>
      <c r="I36" s="1060"/>
    </row>
    <row r="37" spans="1:9" ht="12.75" customHeight="1" x14ac:dyDescent="0.2">
      <c r="A37" s="1185" t="s">
        <v>143</v>
      </c>
      <c r="B37" s="2302"/>
      <c r="C37" s="2303"/>
      <c r="D37" s="2302" t="s">
        <v>9667</v>
      </c>
      <c r="E37" s="2304"/>
      <c r="F37" s="2304"/>
      <c r="G37" s="2303"/>
      <c r="H37" s="1184"/>
      <c r="I37" s="1060"/>
    </row>
    <row r="38" spans="1:9" ht="12.75" customHeight="1" x14ac:dyDescent="0.2">
      <c r="A38" s="1185" t="s">
        <v>143</v>
      </c>
      <c r="B38" s="2302"/>
      <c r="C38" s="2303"/>
      <c r="D38" s="2302" t="s">
        <v>7147</v>
      </c>
      <c r="E38" s="2304"/>
      <c r="F38" s="2304"/>
      <c r="G38" s="2303"/>
      <c r="H38" s="1184"/>
      <c r="I38" s="1060"/>
    </row>
    <row r="39" spans="1:9" ht="12.75" customHeight="1" x14ac:dyDescent="0.2">
      <c r="A39" s="1185" t="s">
        <v>143</v>
      </c>
      <c r="B39" s="2302"/>
      <c r="C39" s="2303"/>
      <c r="D39" s="2302" t="s">
        <v>7148</v>
      </c>
      <c r="E39" s="2304"/>
      <c r="F39" s="2304"/>
      <c r="G39" s="2303"/>
      <c r="H39" s="1184"/>
      <c r="I39" s="1060"/>
    </row>
    <row r="40" spans="1:9" ht="12.75" customHeight="1" x14ac:dyDescent="0.2">
      <c r="A40" s="1183" t="s">
        <v>143</v>
      </c>
      <c r="B40" s="2320"/>
      <c r="C40" s="2321"/>
      <c r="D40" s="2320" t="s">
        <v>7149</v>
      </c>
      <c r="E40" s="2322"/>
      <c r="F40" s="2322"/>
      <c r="G40" s="2321"/>
      <c r="H40" s="1180"/>
      <c r="I40" s="1063"/>
    </row>
    <row r="41" spans="1:9" ht="132.6" customHeight="1" x14ac:dyDescent="0.2">
      <c r="A41" s="1182" t="s">
        <v>187</v>
      </c>
      <c r="B41" s="2311" t="s">
        <v>7136</v>
      </c>
      <c r="C41" s="2312"/>
      <c r="D41" s="2313" t="s">
        <v>7150</v>
      </c>
      <c r="E41" s="2314"/>
      <c r="F41" s="2314"/>
      <c r="G41" s="2315"/>
      <c r="H41" s="1179" t="s">
        <v>9668</v>
      </c>
      <c r="I41" s="1181">
        <f>ROUND((94400  + 16  * (0.4 * 3200 + 0.6 * 7844)) * 1 * 0.4 * 1.011,0)</f>
        <v>76910</v>
      </c>
    </row>
    <row r="42" spans="1:9" ht="15.75" customHeight="1" x14ac:dyDescent="0.2">
      <c r="A42" s="1185" t="s">
        <v>143</v>
      </c>
      <c r="B42" s="2305"/>
      <c r="C42" s="2306"/>
      <c r="D42" s="2305" t="s">
        <v>572</v>
      </c>
      <c r="E42" s="2307"/>
      <c r="F42" s="2307"/>
      <c r="G42" s="2306"/>
      <c r="H42" s="1057"/>
      <c r="I42" s="1058"/>
    </row>
    <row r="43" spans="1:9" ht="25.5" customHeight="1" x14ac:dyDescent="0.2">
      <c r="A43" s="1185" t="s">
        <v>143</v>
      </c>
      <c r="B43" s="2302"/>
      <c r="C43" s="2303"/>
      <c r="D43" s="2302" t="s">
        <v>7138</v>
      </c>
      <c r="E43" s="2304"/>
      <c r="F43" s="2304"/>
      <c r="G43" s="2303"/>
      <c r="H43" s="1184"/>
      <c r="I43" s="1060"/>
    </row>
    <row r="44" spans="1:9" ht="89.25" customHeight="1" x14ac:dyDescent="0.2">
      <c r="A44" s="1185" t="s">
        <v>143</v>
      </c>
      <c r="B44" s="2302"/>
      <c r="C44" s="2303"/>
      <c r="D44" s="2302" t="s">
        <v>9659</v>
      </c>
      <c r="E44" s="2304"/>
      <c r="F44" s="2304"/>
      <c r="G44" s="2303"/>
      <c r="H44" s="1184"/>
      <c r="I44" s="1060"/>
    </row>
    <row r="45" spans="1:9" ht="54" customHeight="1" x14ac:dyDescent="0.2">
      <c r="A45" s="1185" t="s">
        <v>143</v>
      </c>
      <c r="B45" s="2305"/>
      <c r="C45" s="2306"/>
      <c r="D45" s="2305" t="s">
        <v>9660</v>
      </c>
      <c r="E45" s="2307"/>
      <c r="F45" s="2307"/>
      <c r="G45" s="2306"/>
      <c r="H45" s="1057"/>
      <c r="I45" s="1058"/>
    </row>
    <row r="46" spans="1:9" ht="25.5" customHeight="1" x14ac:dyDescent="0.2">
      <c r="A46" s="1185" t="s">
        <v>143</v>
      </c>
      <c r="B46" s="2302"/>
      <c r="C46" s="2303"/>
      <c r="D46" s="2323" t="s">
        <v>7151</v>
      </c>
      <c r="E46" s="2324"/>
      <c r="F46" s="2324"/>
      <c r="G46" s="2325"/>
      <c r="H46" s="1184"/>
      <c r="I46" s="1060"/>
    </row>
    <row r="47" spans="1:9" ht="25.5" customHeight="1" x14ac:dyDescent="0.2">
      <c r="A47" s="1185" t="s">
        <v>143</v>
      </c>
      <c r="B47" s="2302"/>
      <c r="C47" s="2303"/>
      <c r="D47" s="2323" t="s">
        <v>7152</v>
      </c>
      <c r="E47" s="2324"/>
      <c r="F47" s="2324"/>
      <c r="G47" s="2325"/>
      <c r="H47" s="1184"/>
      <c r="I47" s="1060"/>
    </row>
    <row r="48" spans="1:9" ht="12.75" customHeight="1" x14ac:dyDescent="0.2">
      <c r="A48" s="1185" t="s">
        <v>143</v>
      </c>
      <c r="B48" s="2302"/>
      <c r="C48" s="2303"/>
      <c r="D48" s="2302" t="s">
        <v>9669</v>
      </c>
      <c r="E48" s="2304"/>
      <c r="F48" s="2304"/>
      <c r="G48" s="2303"/>
      <c r="H48" s="1184"/>
      <c r="I48" s="1060"/>
    </row>
    <row r="49" spans="1:9" ht="12.75" customHeight="1" x14ac:dyDescent="0.2">
      <c r="A49" s="1185" t="s">
        <v>143</v>
      </c>
      <c r="B49" s="2302"/>
      <c r="C49" s="2303"/>
      <c r="D49" s="2302" t="s">
        <v>9670</v>
      </c>
      <c r="E49" s="2304"/>
      <c r="F49" s="2304"/>
      <c r="G49" s="2303"/>
      <c r="H49" s="1184"/>
      <c r="I49" s="1060"/>
    </row>
    <row r="50" spans="1:9" ht="12.75" customHeight="1" x14ac:dyDescent="0.2">
      <c r="A50" s="1185" t="s">
        <v>143</v>
      </c>
      <c r="B50" s="2302"/>
      <c r="C50" s="2303"/>
      <c r="D50" s="2302" t="s">
        <v>9671</v>
      </c>
      <c r="E50" s="2304"/>
      <c r="F50" s="2304"/>
      <c r="G50" s="2303"/>
      <c r="H50" s="1184"/>
      <c r="I50" s="1060"/>
    </row>
    <row r="51" spans="1:9" ht="12.75" customHeight="1" x14ac:dyDescent="0.2">
      <c r="A51" s="1185" t="s">
        <v>143</v>
      </c>
      <c r="B51" s="2302"/>
      <c r="C51" s="2303"/>
      <c r="D51" s="2302" t="s">
        <v>7153</v>
      </c>
      <c r="E51" s="2304"/>
      <c r="F51" s="2304"/>
      <c r="G51" s="2303"/>
      <c r="H51" s="1184"/>
      <c r="I51" s="1060"/>
    </row>
    <row r="52" spans="1:9" ht="12.75" customHeight="1" x14ac:dyDescent="0.2">
      <c r="A52" s="1185" t="s">
        <v>143</v>
      </c>
      <c r="B52" s="2302"/>
      <c r="C52" s="2303"/>
      <c r="D52" s="2302" t="s">
        <v>7154</v>
      </c>
      <c r="E52" s="2304"/>
      <c r="F52" s="2304"/>
      <c r="G52" s="2303"/>
      <c r="H52" s="1184"/>
      <c r="I52" s="1060"/>
    </row>
    <row r="53" spans="1:9" ht="12.75" customHeight="1" x14ac:dyDescent="0.2">
      <c r="A53" s="1183" t="s">
        <v>143</v>
      </c>
      <c r="B53" s="2320"/>
      <c r="C53" s="2321"/>
      <c r="D53" s="2320" t="s">
        <v>7155</v>
      </c>
      <c r="E53" s="2322"/>
      <c r="F53" s="2322"/>
      <c r="G53" s="2321"/>
      <c r="H53" s="1180"/>
      <c r="I53" s="1063"/>
    </row>
    <row r="54" spans="1:9" ht="94.5" customHeight="1" x14ac:dyDescent="0.2">
      <c r="A54" s="1182" t="s">
        <v>188</v>
      </c>
      <c r="B54" s="2311" t="s">
        <v>7156</v>
      </c>
      <c r="C54" s="2312"/>
      <c r="D54" s="2313" t="s">
        <v>7157</v>
      </c>
      <c r="E54" s="2314"/>
      <c r="F54" s="2314"/>
      <c r="G54" s="2315"/>
      <c r="H54" s="1179" t="s">
        <v>9672</v>
      </c>
      <c r="I54" s="1181">
        <f>ROUND(419100  * 1 * 0.4 * 0.5 * 1.016,0)</f>
        <v>85161</v>
      </c>
    </row>
    <row r="55" spans="1:9" ht="15.75" customHeight="1" x14ac:dyDescent="0.2">
      <c r="A55" s="1185" t="s">
        <v>143</v>
      </c>
      <c r="B55" s="2305"/>
      <c r="C55" s="2306"/>
      <c r="D55" s="2305" t="s">
        <v>572</v>
      </c>
      <c r="E55" s="2307"/>
      <c r="F55" s="2307"/>
      <c r="G55" s="2306"/>
      <c r="H55" s="1057"/>
      <c r="I55" s="1058"/>
    </row>
    <row r="56" spans="1:9" ht="25.5" customHeight="1" x14ac:dyDescent="0.2">
      <c r="A56" s="1185" t="s">
        <v>143</v>
      </c>
      <c r="B56" s="2302"/>
      <c r="C56" s="2303"/>
      <c r="D56" s="2302" t="s">
        <v>7138</v>
      </c>
      <c r="E56" s="2304"/>
      <c r="F56" s="2304"/>
      <c r="G56" s="2303"/>
      <c r="H56" s="1184"/>
      <c r="I56" s="1060"/>
    </row>
    <row r="57" spans="1:9" ht="25.5" customHeight="1" x14ac:dyDescent="0.2">
      <c r="A57" s="1185" t="s">
        <v>143</v>
      </c>
      <c r="B57" s="2302"/>
      <c r="C57" s="2303"/>
      <c r="D57" s="2302" t="s">
        <v>9673</v>
      </c>
      <c r="E57" s="2304"/>
      <c r="F57" s="2304"/>
      <c r="G57" s="2303"/>
      <c r="H57" s="1184"/>
      <c r="I57" s="1060"/>
    </row>
    <row r="58" spans="1:9" ht="89.25" customHeight="1" x14ac:dyDescent="0.2">
      <c r="A58" s="1185" t="s">
        <v>143</v>
      </c>
      <c r="B58" s="2302"/>
      <c r="C58" s="2303"/>
      <c r="D58" s="2302" t="s">
        <v>9674</v>
      </c>
      <c r="E58" s="2304"/>
      <c r="F58" s="2304"/>
      <c r="G58" s="2303"/>
      <c r="H58" s="1184"/>
      <c r="I58" s="1060"/>
    </row>
    <row r="59" spans="1:9" ht="54" customHeight="1" x14ac:dyDescent="0.2">
      <c r="A59" s="1185" t="s">
        <v>143</v>
      </c>
      <c r="B59" s="2305"/>
      <c r="C59" s="2306"/>
      <c r="D59" s="2305" t="s">
        <v>9675</v>
      </c>
      <c r="E59" s="2307"/>
      <c r="F59" s="2307"/>
      <c r="G59" s="2306"/>
      <c r="H59" s="1057"/>
      <c r="I59" s="1058"/>
    </row>
    <row r="60" spans="1:9" ht="12.75" customHeight="1" x14ac:dyDescent="0.2">
      <c r="A60" s="1185" t="s">
        <v>143</v>
      </c>
      <c r="B60" s="2302"/>
      <c r="C60" s="2303"/>
      <c r="D60" s="2302" t="s">
        <v>9676</v>
      </c>
      <c r="E60" s="2304"/>
      <c r="F60" s="2304"/>
      <c r="G60" s="2303"/>
      <c r="H60" s="1184"/>
      <c r="I60" s="1060"/>
    </row>
    <row r="61" spans="1:9" ht="25.5" customHeight="1" x14ac:dyDescent="0.2">
      <c r="A61" s="1185" t="s">
        <v>143</v>
      </c>
      <c r="B61" s="2302"/>
      <c r="C61" s="2303"/>
      <c r="D61" s="2302" t="s">
        <v>9677</v>
      </c>
      <c r="E61" s="2304"/>
      <c r="F61" s="2304"/>
      <c r="G61" s="2303"/>
      <c r="H61" s="1184"/>
      <c r="I61" s="1060"/>
    </row>
    <row r="62" spans="1:9" ht="25.5" customHeight="1" x14ac:dyDescent="0.2">
      <c r="A62" s="1185" t="s">
        <v>143</v>
      </c>
      <c r="B62" s="2302"/>
      <c r="C62" s="2303"/>
      <c r="D62" s="2302" t="s">
        <v>9678</v>
      </c>
      <c r="E62" s="2304"/>
      <c r="F62" s="2304"/>
      <c r="G62" s="2303"/>
      <c r="H62" s="1184"/>
      <c r="I62" s="1060"/>
    </row>
    <row r="63" spans="1:9" ht="12.75" customHeight="1" x14ac:dyDescent="0.2">
      <c r="A63" s="1185" t="s">
        <v>143</v>
      </c>
      <c r="B63" s="2302"/>
      <c r="C63" s="2303"/>
      <c r="D63" s="2302" t="s">
        <v>9679</v>
      </c>
      <c r="E63" s="2304"/>
      <c r="F63" s="2304"/>
      <c r="G63" s="2303"/>
      <c r="H63" s="1184"/>
      <c r="I63" s="1060"/>
    </row>
    <row r="64" spans="1:9" ht="25.5" customHeight="1" x14ac:dyDescent="0.2">
      <c r="A64" s="1185" t="s">
        <v>143</v>
      </c>
      <c r="B64" s="2302"/>
      <c r="C64" s="2303"/>
      <c r="D64" s="2302" t="s">
        <v>9680</v>
      </c>
      <c r="E64" s="2304"/>
      <c r="F64" s="2304"/>
      <c r="G64" s="2303"/>
      <c r="H64" s="1184"/>
      <c r="I64" s="1060"/>
    </row>
    <row r="65" spans="1:9" ht="12.75" customHeight="1" x14ac:dyDescent="0.2">
      <c r="A65" s="1185" t="s">
        <v>143</v>
      </c>
      <c r="B65" s="2302"/>
      <c r="C65" s="2303"/>
      <c r="D65" s="2302" t="s">
        <v>9681</v>
      </c>
      <c r="E65" s="2304"/>
      <c r="F65" s="2304"/>
      <c r="G65" s="2303"/>
      <c r="H65" s="1184"/>
      <c r="I65" s="1060"/>
    </row>
    <row r="66" spans="1:9" ht="12.75" customHeight="1" x14ac:dyDescent="0.2">
      <c r="A66" s="1185" t="s">
        <v>143</v>
      </c>
      <c r="B66" s="2302"/>
      <c r="C66" s="2303"/>
      <c r="D66" s="2302" t="s">
        <v>9682</v>
      </c>
      <c r="E66" s="2304"/>
      <c r="F66" s="2304"/>
      <c r="G66" s="2303"/>
      <c r="H66" s="1184"/>
      <c r="I66" s="1060"/>
    </row>
    <row r="67" spans="1:9" ht="12.75" customHeight="1" x14ac:dyDescent="0.2">
      <c r="A67" s="1183" t="s">
        <v>143</v>
      </c>
      <c r="B67" s="2320"/>
      <c r="C67" s="2321"/>
      <c r="D67" s="2320" t="s">
        <v>9683</v>
      </c>
      <c r="E67" s="2322"/>
      <c r="F67" s="2322"/>
      <c r="G67" s="2321"/>
      <c r="H67" s="1180"/>
      <c r="I67" s="1063"/>
    </row>
    <row r="68" spans="1:9" ht="107.25" customHeight="1" x14ac:dyDescent="0.2">
      <c r="A68" s="1182" t="s">
        <v>189</v>
      </c>
      <c r="B68" s="2311" t="s">
        <v>7159</v>
      </c>
      <c r="C68" s="2312"/>
      <c r="D68" s="2313" t="s">
        <v>7160</v>
      </c>
      <c r="E68" s="2314"/>
      <c r="F68" s="2314"/>
      <c r="G68" s="2315"/>
      <c r="H68" s="1179" t="s">
        <v>7161</v>
      </c>
      <c r="I68" s="1181">
        <f>ROUND(334880  * 2 * 0.29 * 0.75 * 1.0624,0)</f>
        <v>154763</v>
      </c>
    </row>
    <row r="69" spans="1:9" ht="15.75" customHeight="1" x14ac:dyDescent="0.2">
      <c r="A69" s="1185" t="s">
        <v>143</v>
      </c>
      <c r="B69" s="2305"/>
      <c r="C69" s="2306"/>
      <c r="D69" s="2305" t="s">
        <v>572</v>
      </c>
      <c r="E69" s="2307"/>
      <c r="F69" s="2307"/>
      <c r="G69" s="2306"/>
      <c r="H69" s="1057"/>
      <c r="I69" s="1058"/>
    </row>
    <row r="70" spans="1:9" ht="25.5" customHeight="1" x14ac:dyDescent="0.2">
      <c r="A70" s="1185" t="s">
        <v>143</v>
      </c>
      <c r="B70" s="2302"/>
      <c r="C70" s="2303"/>
      <c r="D70" s="2302" t="s">
        <v>7162</v>
      </c>
      <c r="E70" s="2304"/>
      <c r="F70" s="2304"/>
      <c r="G70" s="2303"/>
      <c r="H70" s="1184"/>
      <c r="I70" s="1060"/>
    </row>
    <row r="71" spans="1:9" ht="38.25" customHeight="1" x14ac:dyDescent="0.2">
      <c r="A71" s="1185" t="s">
        <v>143</v>
      </c>
      <c r="B71" s="2302"/>
      <c r="C71" s="2303"/>
      <c r="D71" s="2302" t="s">
        <v>7163</v>
      </c>
      <c r="E71" s="2304"/>
      <c r="F71" s="2304"/>
      <c r="G71" s="2303"/>
      <c r="H71" s="1184"/>
      <c r="I71" s="1060"/>
    </row>
    <row r="72" spans="1:9" ht="114.75" customHeight="1" x14ac:dyDescent="0.2">
      <c r="A72" s="1185" t="s">
        <v>143</v>
      </c>
      <c r="B72" s="2302"/>
      <c r="C72" s="2303"/>
      <c r="D72" s="2302" t="s">
        <v>7164</v>
      </c>
      <c r="E72" s="2304"/>
      <c r="F72" s="2304"/>
      <c r="G72" s="2303"/>
      <c r="H72" s="1184"/>
      <c r="I72" s="1060"/>
    </row>
    <row r="73" spans="1:9" ht="54" customHeight="1" x14ac:dyDescent="0.2">
      <c r="A73" s="1185" t="s">
        <v>143</v>
      </c>
      <c r="B73" s="2305"/>
      <c r="C73" s="2306"/>
      <c r="D73" s="2305" t="s">
        <v>7165</v>
      </c>
      <c r="E73" s="2307"/>
      <c r="F73" s="2307"/>
      <c r="G73" s="2306"/>
      <c r="H73" s="1057"/>
      <c r="I73" s="1058"/>
    </row>
    <row r="74" spans="1:9" ht="25.5" customHeight="1" x14ac:dyDescent="0.2">
      <c r="A74" s="1185" t="s">
        <v>143</v>
      </c>
      <c r="B74" s="2302"/>
      <c r="C74" s="2303"/>
      <c r="D74" s="2302" t="s">
        <v>7166</v>
      </c>
      <c r="E74" s="2304"/>
      <c r="F74" s="2304"/>
      <c r="G74" s="2303"/>
      <c r="H74" s="1184"/>
      <c r="I74" s="1060"/>
    </row>
    <row r="75" spans="1:9" ht="25.5" customHeight="1" x14ac:dyDescent="0.2">
      <c r="A75" s="1185" t="s">
        <v>143</v>
      </c>
      <c r="B75" s="2302"/>
      <c r="C75" s="2303"/>
      <c r="D75" s="2302" t="s">
        <v>7167</v>
      </c>
      <c r="E75" s="2304"/>
      <c r="F75" s="2304"/>
      <c r="G75" s="2303"/>
      <c r="H75" s="1184"/>
      <c r="I75" s="1060"/>
    </row>
    <row r="76" spans="1:9" ht="25.5" customHeight="1" x14ac:dyDescent="0.2">
      <c r="A76" s="1185" t="s">
        <v>143</v>
      </c>
      <c r="B76" s="2302"/>
      <c r="C76" s="2303"/>
      <c r="D76" s="2302" t="s">
        <v>7168</v>
      </c>
      <c r="E76" s="2304"/>
      <c r="F76" s="2304"/>
      <c r="G76" s="2303"/>
      <c r="H76" s="1184"/>
      <c r="I76" s="1060"/>
    </row>
    <row r="77" spans="1:9" ht="25.5" customHeight="1" x14ac:dyDescent="0.2">
      <c r="A77" s="1185" t="s">
        <v>143</v>
      </c>
      <c r="B77" s="2302"/>
      <c r="C77" s="2303"/>
      <c r="D77" s="2302" t="s">
        <v>7169</v>
      </c>
      <c r="E77" s="2304"/>
      <c r="F77" s="2304"/>
      <c r="G77" s="2303"/>
      <c r="H77" s="1184"/>
      <c r="I77" s="1060"/>
    </row>
    <row r="78" spans="1:9" ht="25.5" customHeight="1" x14ac:dyDescent="0.2">
      <c r="A78" s="1185" t="s">
        <v>143</v>
      </c>
      <c r="B78" s="2302"/>
      <c r="C78" s="2303"/>
      <c r="D78" s="2302" t="s">
        <v>7170</v>
      </c>
      <c r="E78" s="2304"/>
      <c r="F78" s="2304"/>
      <c r="G78" s="2303"/>
      <c r="H78" s="1184"/>
      <c r="I78" s="1060"/>
    </row>
    <row r="79" spans="1:9" ht="12.75" customHeight="1" x14ac:dyDescent="0.2">
      <c r="A79" s="1185" t="s">
        <v>143</v>
      </c>
      <c r="B79" s="2302"/>
      <c r="C79" s="2303"/>
      <c r="D79" s="2302" t="s">
        <v>7171</v>
      </c>
      <c r="E79" s="2304"/>
      <c r="F79" s="2304"/>
      <c r="G79" s="2303"/>
      <c r="H79" s="1184"/>
      <c r="I79" s="1060"/>
    </row>
    <row r="80" spans="1:9" ht="25.5" customHeight="1" x14ac:dyDescent="0.2">
      <c r="A80" s="1185" t="s">
        <v>143</v>
      </c>
      <c r="B80" s="2302"/>
      <c r="C80" s="2303"/>
      <c r="D80" s="2302" t="s">
        <v>7172</v>
      </c>
      <c r="E80" s="2304"/>
      <c r="F80" s="2304"/>
      <c r="G80" s="2303"/>
      <c r="H80" s="1184"/>
      <c r="I80" s="1060"/>
    </row>
    <row r="81" spans="1:9" ht="12.75" customHeight="1" x14ac:dyDescent="0.2">
      <c r="A81" s="1185" t="s">
        <v>143</v>
      </c>
      <c r="B81" s="2302"/>
      <c r="C81" s="2303"/>
      <c r="D81" s="2302" t="s">
        <v>7173</v>
      </c>
      <c r="E81" s="2304"/>
      <c r="F81" s="2304"/>
      <c r="G81" s="2303"/>
      <c r="H81" s="1184"/>
      <c r="I81" s="1060"/>
    </row>
    <row r="82" spans="1:9" ht="12.75" customHeight="1" x14ac:dyDescent="0.2">
      <c r="A82" s="1185" t="s">
        <v>143</v>
      </c>
      <c r="B82" s="2302"/>
      <c r="C82" s="2303"/>
      <c r="D82" s="2302" t="s">
        <v>7174</v>
      </c>
      <c r="E82" s="2304"/>
      <c r="F82" s="2304"/>
      <c r="G82" s="2303"/>
      <c r="H82" s="1184"/>
      <c r="I82" s="1060"/>
    </row>
    <row r="83" spans="1:9" ht="12.75" customHeight="1" x14ac:dyDescent="0.2">
      <c r="A83" s="1183" t="s">
        <v>143</v>
      </c>
      <c r="B83" s="2320"/>
      <c r="C83" s="2321"/>
      <c r="D83" s="2320" t="s">
        <v>7175</v>
      </c>
      <c r="E83" s="2322"/>
      <c r="F83" s="2322"/>
      <c r="G83" s="2321"/>
      <c r="H83" s="1180"/>
      <c r="I83" s="1063"/>
    </row>
    <row r="84" spans="1:9" ht="132.6" customHeight="1" x14ac:dyDescent="0.2">
      <c r="A84" s="1182" t="s">
        <v>190</v>
      </c>
      <c r="B84" s="2311" t="s">
        <v>7176</v>
      </c>
      <c r="C84" s="2312"/>
      <c r="D84" s="2313" t="s">
        <v>7177</v>
      </c>
      <c r="E84" s="2314"/>
      <c r="F84" s="2314"/>
      <c r="G84" s="2315"/>
      <c r="H84" s="1179" t="s">
        <v>9684</v>
      </c>
      <c r="I84" s="1181">
        <f>ROUND(100000  * 1 * 0.4 * 1.6 * 1.054,0)</f>
        <v>67456</v>
      </c>
    </row>
    <row r="85" spans="1:9" ht="15.75" customHeight="1" x14ac:dyDescent="0.2">
      <c r="A85" s="1185" t="s">
        <v>143</v>
      </c>
      <c r="B85" s="2305"/>
      <c r="C85" s="2306"/>
      <c r="D85" s="2305" t="s">
        <v>572</v>
      </c>
      <c r="E85" s="2307"/>
      <c r="F85" s="2307"/>
      <c r="G85" s="2306"/>
      <c r="H85" s="1057"/>
      <c r="I85" s="1058"/>
    </row>
    <row r="86" spans="1:9" ht="25.5" customHeight="1" x14ac:dyDescent="0.2">
      <c r="A86" s="1185" t="s">
        <v>143</v>
      </c>
      <c r="B86" s="2302"/>
      <c r="C86" s="2303"/>
      <c r="D86" s="2302" t="s">
        <v>7138</v>
      </c>
      <c r="E86" s="2304"/>
      <c r="F86" s="2304"/>
      <c r="G86" s="2303"/>
      <c r="H86" s="1184"/>
      <c r="I86" s="1060"/>
    </row>
    <row r="87" spans="1:9" ht="153" customHeight="1" x14ac:dyDescent="0.2">
      <c r="A87" s="1185" t="s">
        <v>143</v>
      </c>
      <c r="B87" s="2302"/>
      <c r="C87" s="2303"/>
      <c r="D87" s="2302" t="s">
        <v>9685</v>
      </c>
      <c r="E87" s="2304"/>
      <c r="F87" s="2304"/>
      <c r="G87" s="2303"/>
      <c r="H87" s="1184"/>
      <c r="I87" s="1060"/>
    </row>
    <row r="88" spans="1:9" ht="89.25" customHeight="1" x14ac:dyDescent="0.2">
      <c r="A88" s="1185" t="s">
        <v>143</v>
      </c>
      <c r="B88" s="2302"/>
      <c r="C88" s="2303"/>
      <c r="D88" s="2302" t="s">
        <v>9686</v>
      </c>
      <c r="E88" s="2304"/>
      <c r="F88" s="2304"/>
      <c r="G88" s="2303"/>
      <c r="H88" s="1184"/>
      <c r="I88" s="1060"/>
    </row>
    <row r="89" spans="1:9" ht="79.5" customHeight="1" x14ac:dyDescent="0.2">
      <c r="A89" s="1185" t="s">
        <v>143</v>
      </c>
      <c r="B89" s="2305"/>
      <c r="C89" s="2306"/>
      <c r="D89" s="2305" t="s">
        <v>9687</v>
      </c>
      <c r="E89" s="2307"/>
      <c r="F89" s="2307"/>
      <c r="G89" s="2306"/>
      <c r="H89" s="1057"/>
      <c r="I89" s="1058"/>
    </row>
    <row r="90" spans="1:9" ht="12.75" customHeight="1" x14ac:dyDescent="0.2">
      <c r="A90" s="1185" t="s">
        <v>143</v>
      </c>
      <c r="B90" s="2302"/>
      <c r="C90" s="2303"/>
      <c r="D90" s="2302" t="s">
        <v>9688</v>
      </c>
      <c r="E90" s="2304"/>
      <c r="F90" s="2304"/>
      <c r="G90" s="2303"/>
      <c r="H90" s="1184"/>
      <c r="I90" s="1060"/>
    </row>
    <row r="91" spans="1:9" ht="12.75" customHeight="1" x14ac:dyDescent="0.2">
      <c r="A91" s="1185" t="s">
        <v>143</v>
      </c>
      <c r="B91" s="2302"/>
      <c r="C91" s="2303"/>
      <c r="D91" s="2302" t="s">
        <v>9689</v>
      </c>
      <c r="E91" s="2304"/>
      <c r="F91" s="2304"/>
      <c r="G91" s="2303"/>
      <c r="H91" s="1184"/>
      <c r="I91" s="1060"/>
    </row>
    <row r="92" spans="1:9" ht="38.25" customHeight="1" x14ac:dyDescent="0.2">
      <c r="A92" s="1185" t="s">
        <v>143</v>
      </c>
      <c r="B92" s="2302"/>
      <c r="C92" s="2303"/>
      <c r="D92" s="2302" t="s">
        <v>9690</v>
      </c>
      <c r="E92" s="2304"/>
      <c r="F92" s="2304"/>
      <c r="G92" s="2303"/>
      <c r="H92" s="1184"/>
      <c r="I92" s="1060"/>
    </row>
    <row r="93" spans="1:9" ht="38.25" customHeight="1" x14ac:dyDescent="0.2">
      <c r="A93" s="1185" t="s">
        <v>143</v>
      </c>
      <c r="B93" s="2302"/>
      <c r="C93" s="2303"/>
      <c r="D93" s="2302" t="s">
        <v>9691</v>
      </c>
      <c r="E93" s="2304"/>
      <c r="F93" s="2304"/>
      <c r="G93" s="2303"/>
      <c r="H93" s="1184"/>
      <c r="I93" s="1060"/>
    </row>
    <row r="94" spans="1:9" ht="25.5" customHeight="1" x14ac:dyDescent="0.2">
      <c r="A94" s="1185" t="s">
        <v>143</v>
      </c>
      <c r="B94" s="2302"/>
      <c r="C94" s="2303"/>
      <c r="D94" s="2302" t="s">
        <v>9692</v>
      </c>
      <c r="E94" s="2304"/>
      <c r="F94" s="2304"/>
      <c r="G94" s="2303"/>
      <c r="H94" s="1184"/>
      <c r="I94" s="1060"/>
    </row>
    <row r="95" spans="1:9" ht="38.25" customHeight="1" x14ac:dyDescent="0.2">
      <c r="A95" s="1185" t="s">
        <v>143</v>
      </c>
      <c r="B95" s="2302"/>
      <c r="C95" s="2303"/>
      <c r="D95" s="2302" t="s">
        <v>9693</v>
      </c>
      <c r="E95" s="2304"/>
      <c r="F95" s="2304"/>
      <c r="G95" s="2303"/>
      <c r="H95" s="1184"/>
      <c r="I95" s="1060"/>
    </row>
    <row r="96" spans="1:9" ht="25.5" customHeight="1" x14ac:dyDescent="0.2">
      <c r="A96" s="1185" t="s">
        <v>143</v>
      </c>
      <c r="B96" s="2302"/>
      <c r="C96" s="2303"/>
      <c r="D96" s="2302" t="s">
        <v>9694</v>
      </c>
      <c r="E96" s="2304"/>
      <c r="F96" s="2304"/>
      <c r="G96" s="2303"/>
      <c r="H96" s="1184"/>
      <c r="I96" s="1060"/>
    </row>
    <row r="97" spans="1:9" ht="38.25" customHeight="1" x14ac:dyDescent="0.2">
      <c r="A97" s="1185" t="s">
        <v>143</v>
      </c>
      <c r="B97" s="2302"/>
      <c r="C97" s="2303"/>
      <c r="D97" s="2302" t="s">
        <v>9695</v>
      </c>
      <c r="E97" s="2304"/>
      <c r="F97" s="2304"/>
      <c r="G97" s="2303"/>
      <c r="H97" s="1184"/>
      <c r="I97" s="1060"/>
    </row>
    <row r="98" spans="1:9" ht="25.5" customHeight="1" x14ac:dyDescent="0.2">
      <c r="A98" s="1185" t="s">
        <v>143</v>
      </c>
      <c r="B98" s="2302"/>
      <c r="C98" s="2303"/>
      <c r="D98" s="2302" t="s">
        <v>9696</v>
      </c>
      <c r="E98" s="2304"/>
      <c r="F98" s="2304"/>
      <c r="G98" s="2303"/>
      <c r="H98" s="1184"/>
      <c r="I98" s="1060"/>
    </row>
    <row r="99" spans="1:9" ht="38.25" customHeight="1" x14ac:dyDescent="0.2">
      <c r="A99" s="1185" t="s">
        <v>143</v>
      </c>
      <c r="B99" s="2302"/>
      <c r="C99" s="2303"/>
      <c r="D99" s="2302" t="s">
        <v>9697</v>
      </c>
      <c r="E99" s="2304"/>
      <c r="F99" s="2304"/>
      <c r="G99" s="2303"/>
      <c r="H99" s="1184"/>
      <c r="I99" s="1060"/>
    </row>
    <row r="100" spans="1:9" ht="38.25" customHeight="1" x14ac:dyDescent="0.2">
      <c r="A100" s="1185" t="s">
        <v>143</v>
      </c>
      <c r="B100" s="2302"/>
      <c r="C100" s="2303"/>
      <c r="D100" s="2302" t="s">
        <v>9698</v>
      </c>
      <c r="E100" s="2304"/>
      <c r="F100" s="2304"/>
      <c r="G100" s="2303"/>
      <c r="H100" s="1184"/>
      <c r="I100" s="1060"/>
    </row>
    <row r="101" spans="1:9" ht="25.5" customHeight="1" x14ac:dyDescent="0.2">
      <c r="A101" s="1185" t="s">
        <v>143</v>
      </c>
      <c r="B101" s="2302"/>
      <c r="C101" s="2303"/>
      <c r="D101" s="2302" t="s">
        <v>9699</v>
      </c>
      <c r="E101" s="2304"/>
      <c r="F101" s="2304"/>
      <c r="G101" s="2303"/>
      <c r="H101" s="1184"/>
      <c r="I101" s="1060"/>
    </row>
    <row r="102" spans="1:9" ht="12.75" customHeight="1" x14ac:dyDescent="0.2">
      <c r="A102" s="1185" t="s">
        <v>143</v>
      </c>
      <c r="B102" s="2302"/>
      <c r="C102" s="2303"/>
      <c r="D102" s="2302" t="s">
        <v>9700</v>
      </c>
      <c r="E102" s="2304"/>
      <c r="F102" s="2304"/>
      <c r="G102" s="2303"/>
      <c r="H102" s="1184"/>
      <c r="I102" s="1060"/>
    </row>
    <row r="103" spans="1:9" ht="25.5" customHeight="1" x14ac:dyDescent="0.2">
      <c r="A103" s="1185" t="s">
        <v>143</v>
      </c>
      <c r="B103" s="2302"/>
      <c r="C103" s="2303"/>
      <c r="D103" s="2302" t="s">
        <v>9701</v>
      </c>
      <c r="E103" s="2304"/>
      <c r="F103" s="2304"/>
      <c r="G103" s="2303"/>
      <c r="H103" s="1184"/>
      <c r="I103" s="1060"/>
    </row>
    <row r="104" spans="1:9" ht="25.5" customHeight="1" x14ac:dyDescent="0.2">
      <c r="A104" s="1185" t="s">
        <v>143</v>
      </c>
      <c r="B104" s="2302"/>
      <c r="C104" s="2303"/>
      <c r="D104" s="2302" t="s">
        <v>9702</v>
      </c>
      <c r="E104" s="2304"/>
      <c r="F104" s="2304"/>
      <c r="G104" s="2303"/>
      <c r="H104" s="1184"/>
      <c r="I104" s="1060"/>
    </row>
    <row r="105" spans="1:9" ht="12.75" customHeight="1" x14ac:dyDescent="0.2">
      <c r="A105" s="1183" t="s">
        <v>143</v>
      </c>
      <c r="B105" s="2320"/>
      <c r="C105" s="2321"/>
      <c r="D105" s="2320" t="s">
        <v>9703</v>
      </c>
      <c r="E105" s="2322"/>
      <c r="F105" s="2322"/>
      <c r="G105" s="2321"/>
      <c r="H105" s="1180"/>
      <c r="I105" s="1063"/>
    </row>
    <row r="106" spans="1:9" ht="94.5" customHeight="1" x14ac:dyDescent="0.2">
      <c r="A106" s="1182" t="s">
        <v>191</v>
      </c>
      <c r="B106" s="2311" t="s">
        <v>7178</v>
      </c>
      <c r="C106" s="2312"/>
      <c r="D106" s="2313" t="s">
        <v>7179</v>
      </c>
      <c r="E106" s="2314"/>
      <c r="F106" s="2314"/>
      <c r="G106" s="2315"/>
      <c r="H106" s="1179" t="s">
        <v>7180</v>
      </c>
      <c r="I106" s="1181">
        <f>ROUND((530710  + 158  * 200.6) * 1 * 0.4 * 0.35 * 1.06,0)</f>
        <v>83461</v>
      </c>
    </row>
    <row r="107" spans="1:9" ht="15.75" customHeight="1" x14ac:dyDescent="0.2">
      <c r="A107" s="1185" t="s">
        <v>143</v>
      </c>
      <c r="B107" s="2305"/>
      <c r="C107" s="2306"/>
      <c r="D107" s="2305" t="s">
        <v>572</v>
      </c>
      <c r="E107" s="2307"/>
      <c r="F107" s="2307"/>
      <c r="G107" s="2306"/>
      <c r="H107" s="1057"/>
      <c r="I107" s="1058"/>
    </row>
    <row r="108" spans="1:9" ht="25.5" customHeight="1" x14ac:dyDescent="0.2">
      <c r="A108" s="1185" t="s">
        <v>143</v>
      </c>
      <c r="B108" s="2302"/>
      <c r="C108" s="2303"/>
      <c r="D108" s="2302" t="s">
        <v>7138</v>
      </c>
      <c r="E108" s="2304"/>
      <c r="F108" s="2304"/>
      <c r="G108" s="2303"/>
      <c r="H108" s="1184"/>
      <c r="I108" s="1060"/>
    </row>
    <row r="109" spans="1:9" ht="25.5" customHeight="1" x14ac:dyDescent="0.2">
      <c r="A109" s="1185" t="s">
        <v>143</v>
      </c>
      <c r="B109" s="2302"/>
      <c r="C109" s="2303"/>
      <c r="D109" s="2302" t="s">
        <v>7181</v>
      </c>
      <c r="E109" s="2304"/>
      <c r="F109" s="2304"/>
      <c r="G109" s="2303"/>
      <c r="H109" s="1184"/>
      <c r="I109" s="1060"/>
    </row>
    <row r="110" spans="1:9" ht="89.25" customHeight="1" x14ac:dyDescent="0.2">
      <c r="A110" s="1185" t="s">
        <v>143</v>
      </c>
      <c r="B110" s="2302"/>
      <c r="C110" s="2303"/>
      <c r="D110" s="2302" t="s">
        <v>7182</v>
      </c>
      <c r="E110" s="2304"/>
      <c r="F110" s="2304"/>
      <c r="G110" s="2303"/>
      <c r="H110" s="1184"/>
      <c r="I110" s="1060"/>
    </row>
    <row r="111" spans="1:9" ht="79.5" customHeight="1" x14ac:dyDescent="0.2">
      <c r="A111" s="1185" t="s">
        <v>143</v>
      </c>
      <c r="B111" s="2305"/>
      <c r="C111" s="2306"/>
      <c r="D111" s="2305" t="s">
        <v>7183</v>
      </c>
      <c r="E111" s="2307"/>
      <c r="F111" s="2307"/>
      <c r="G111" s="2306"/>
      <c r="H111" s="1057"/>
      <c r="I111" s="1058"/>
    </row>
    <row r="112" spans="1:9" ht="12.75" customHeight="1" x14ac:dyDescent="0.2">
      <c r="A112" s="1185" t="s">
        <v>143</v>
      </c>
      <c r="B112" s="2302"/>
      <c r="C112" s="2303"/>
      <c r="D112" s="2302" t="s">
        <v>7184</v>
      </c>
      <c r="E112" s="2304"/>
      <c r="F112" s="2304"/>
      <c r="G112" s="2303"/>
      <c r="H112" s="1184"/>
      <c r="I112" s="1060"/>
    </row>
    <row r="113" spans="1:9" ht="25.5" customHeight="1" x14ac:dyDescent="0.2">
      <c r="A113" s="1185" t="s">
        <v>143</v>
      </c>
      <c r="B113" s="2302"/>
      <c r="C113" s="2303"/>
      <c r="D113" s="2302" t="s">
        <v>7185</v>
      </c>
      <c r="E113" s="2304"/>
      <c r="F113" s="2304"/>
      <c r="G113" s="2303"/>
      <c r="H113" s="1184"/>
      <c r="I113" s="1060"/>
    </row>
    <row r="114" spans="1:9" ht="12.75" customHeight="1" x14ac:dyDescent="0.2">
      <c r="A114" s="1185" t="s">
        <v>143</v>
      </c>
      <c r="B114" s="2302"/>
      <c r="C114" s="2303"/>
      <c r="D114" s="2302" t="s">
        <v>7186</v>
      </c>
      <c r="E114" s="2304"/>
      <c r="F114" s="2304"/>
      <c r="G114" s="2303"/>
      <c r="H114" s="1184"/>
      <c r="I114" s="1060"/>
    </row>
    <row r="115" spans="1:9" ht="25.5" customHeight="1" x14ac:dyDescent="0.2">
      <c r="A115" s="1185" t="s">
        <v>143</v>
      </c>
      <c r="B115" s="2302"/>
      <c r="C115" s="2303"/>
      <c r="D115" s="2302" t="s">
        <v>7187</v>
      </c>
      <c r="E115" s="2304"/>
      <c r="F115" s="2304"/>
      <c r="G115" s="2303"/>
      <c r="H115" s="1184"/>
      <c r="I115" s="1060"/>
    </row>
    <row r="116" spans="1:9" ht="12.75" customHeight="1" x14ac:dyDescent="0.2">
      <c r="A116" s="1185" t="s">
        <v>143</v>
      </c>
      <c r="B116" s="2302"/>
      <c r="C116" s="2303"/>
      <c r="D116" s="2302" t="s">
        <v>7188</v>
      </c>
      <c r="E116" s="2304"/>
      <c r="F116" s="2304"/>
      <c r="G116" s="2303"/>
      <c r="H116" s="1184"/>
      <c r="I116" s="1060"/>
    </row>
    <row r="117" spans="1:9" ht="25.5" customHeight="1" x14ac:dyDescent="0.2">
      <c r="A117" s="1185" t="s">
        <v>143</v>
      </c>
      <c r="B117" s="2302"/>
      <c r="C117" s="2303"/>
      <c r="D117" s="2302" t="s">
        <v>7189</v>
      </c>
      <c r="E117" s="2304"/>
      <c r="F117" s="2304"/>
      <c r="G117" s="2303"/>
      <c r="H117" s="1184"/>
      <c r="I117" s="1060"/>
    </row>
    <row r="118" spans="1:9" ht="25.5" customHeight="1" x14ac:dyDescent="0.2">
      <c r="A118" s="1185" t="s">
        <v>143</v>
      </c>
      <c r="B118" s="2302"/>
      <c r="C118" s="2303"/>
      <c r="D118" s="2302" t="s">
        <v>7190</v>
      </c>
      <c r="E118" s="2304"/>
      <c r="F118" s="2304"/>
      <c r="G118" s="2303"/>
      <c r="H118" s="1184"/>
      <c r="I118" s="1060"/>
    </row>
    <row r="119" spans="1:9" ht="25.5" customHeight="1" x14ac:dyDescent="0.2">
      <c r="A119" s="1185" t="s">
        <v>143</v>
      </c>
      <c r="B119" s="2302"/>
      <c r="C119" s="2303"/>
      <c r="D119" s="2302" t="s">
        <v>7191</v>
      </c>
      <c r="E119" s="2304"/>
      <c r="F119" s="2304"/>
      <c r="G119" s="2303"/>
      <c r="H119" s="1184"/>
      <c r="I119" s="1060"/>
    </row>
    <row r="120" spans="1:9" ht="25.5" customHeight="1" x14ac:dyDescent="0.2">
      <c r="A120" s="1185" t="s">
        <v>143</v>
      </c>
      <c r="B120" s="2302"/>
      <c r="C120" s="2303"/>
      <c r="D120" s="2302" t="s">
        <v>7192</v>
      </c>
      <c r="E120" s="2304"/>
      <c r="F120" s="2304"/>
      <c r="G120" s="2303"/>
      <c r="H120" s="1184"/>
      <c r="I120" s="1060"/>
    </row>
    <row r="121" spans="1:9" ht="25.5" customHeight="1" x14ac:dyDescent="0.2">
      <c r="A121" s="1185" t="s">
        <v>143</v>
      </c>
      <c r="B121" s="2302"/>
      <c r="C121" s="2303"/>
      <c r="D121" s="2302" t="s">
        <v>7193</v>
      </c>
      <c r="E121" s="2304"/>
      <c r="F121" s="2304"/>
      <c r="G121" s="2303"/>
      <c r="H121" s="1184"/>
      <c r="I121" s="1060"/>
    </row>
    <row r="122" spans="1:9" ht="25.5" customHeight="1" x14ac:dyDescent="0.2">
      <c r="A122" s="1185" t="s">
        <v>143</v>
      </c>
      <c r="B122" s="2302"/>
      <c r="C122" s="2303"/>
      <c r="D122" s="2302" t="s">
        <v>7194</v>
      </c>
      <c r="E122" s="2304"/>
      <c r="F122" s="2304"/>
      <c r="G122" s="2303"/>
      <c r="H122" s="1184"/>
      <c r="I122" s="1060"/>
    </row>
    <row r="123" spans="1:9" ht="12.75" customHeight="1" x14ac:dyDescent="0.2">
      <c r="A123" s="1185" t="s">
        <v>143</v>
      </c>
      <c r="B123" s="2302"/>
      <c r="C123" s="2303"/>
      <c r="D123" s="2302" t="s">
        <v>7195</v>
      </c>
      <c r="E123" s="2304"/>
      <c r="F123" s="2304"/>
      <c r="G123" s="2303"/>
      <c r="H123" s="1184"/>
      <c r="I123" s="1060"/>
    </row>
    <row r="124" spans="1:9" ht="25.5" customHeight="1" x14ac:dyDescent="0.2">
      <c r="A124" s="1185" t="s">
        <v>143</v>
      </c>
      <c r="B124" s="2302"/>
      <c r="C124" s="2303"/>
      <c r="D124" s="2302" t="s">
        <v>7196</v>
      </c>
      <c r="E124" s="2304"/>
      <c r="F124" s="2304"/>
      <c r="G124" s="2303"/>
      <c r="H124" s="1184"/>
      <c r="I124" s="1060"/>
    </row>
    <row r="125" spans="1:9" ht="25.5" customHeight="1" x14ac:dyDescent="0.2">
      <c r="A125" s="1185" t="s">
        <v>143</v>
      </c>
      <c r="B125" s="2302"/>
      <c r="C125" s="2303"/>
      <c r="D125" s="2302" t="s">
        <v>7197</v>
      </c>
      <c r="E125" s="2304"/>
      <c r="F125" s="2304"/>
      <c r="G125" s="2303"/>
      <c r="H125" s="1184"/>
      <c r="I125" s="1060"/>
    </row>
    <row r="126" spans="1:9" ht="12.75" customHeight="1" x14ac:dyDescent="0.2">
      <c r="A126" s="1183" t="s">
        <v>143</v>
      </c>
      <c r="B126" s="2320"/>
      <c r="C126" s="2321"/>
      <c r="D126" s="2320" t="s">
        <v>7198</v>
      </c>
      <c r="E126" s="2322"/>
      <c r="F126" s="2322"/>
      <c r="G126" s="2321"/>
      <c r="H126" s="1180"/>
      <c r="I126" s="1063"/>
    </row>
    <row r="127" spans="1:9" ht="145.35" customHeight="1" x14ac:dyDescent="0.2">
      <c r="A127" s="2326" t="s">
        <v>192</v>
      </c>
      <c r="B127" s="2311" t="s">
        <v>7199</v>
      </c>
      <c r="C127" s="2312"/>
      <c r="D127" s="2313" t="s">
        <v>7200</v>
      </c>
      <c r="E127" s="2314"/>
      <c r="F127" s="2314"/>
      <c r="G127" s="2315"/>
      <c r="H127" s="2328" t="s">
        <v>7201</v>
      </c>
      <c r="I127" s="2330">
        <f>ROUND((28730  + 24  * (0.4 * 160 + 0.6 * 108.24)) * 1 * 0.4 * 0.22 * 1.115,0)</f>
        <v>3123</v>
      </c>
    </row>
    <row r="128" spans="1:9" ht="12.75" customHeight="1" x14ac:dyDescent="0.2">
      <c r="A128" s="2327"/>
      <c r="B128" s="2305"/>
      <c r="C128" s="2306"/>
      <c r="D128" s="2302"/>
      <c r="E128" s="2304"/>
      <c r="F128" s="2304"/>
      <c r="G128" s="2303"/>
      <c r="H128" s="2329"/>
      <c r="I128" s="2331"/>
    </row>
    <row r="129" spans="1:9" ht="15.75" customHeight="1" x14ac:dyDescent="0.2">
      <c r="A129" s="1185" t="s">
        <v>143</v>
      </c>
      <c r="B129" s="2305"/>
      <c r="C129" s="2306"/>
      <c r="D129" s="2305" t="s">
        <v>572</v>
      </c>
      <c r="E129" s="2307"/>
      <c r="F129" s="2307"/>
      <c r="G129" s="2306"/>
      <c r="H129" s="1057"/>
      <c r="I129" s="1058"/>
    </row>
    <row r="130" spans="1:9" ht="25.5" customHeight="1" x14ac:dyDescent="0.2">
      <c r="A130" s="1185" t="s">
        <v>143</v>
      </c>
      <c r="B130" s="2302"/>
      <c r="C130" s="2303"/>
      <c r="D130" s="2302" t="s">
        <v>7138</v>
      </c>
      <c r="E130" s="2304"/>
      <c r="F130" s="2304"/>
      <c r="G130" s="2303"/>
      <c r="H130" s="1184"/>
      <c r="I130" s="1060"/>
    </row>
    <row r="131" spans="1:9" ht="51" customHeight="1" x14ac:dyDescent="0.2">
      <c r="A131" s="1185" t="s">
        <v>143</v>
      </c>
      <c r="B131" s="2302"/>
      <c r="C131" s="2303"/>
      <c r="D131" s="2302" t="s">
        <v>7202</v>
      </c>
      <c r="E131" s="2304"/>
      <c r="F131" s="2304"/>
      <c r="G131" s="2303"/>
      <c r="H131" s="1184"/>
      <c r="I131" s="1060"/>
    </row>
    <row r="132" spans="1:9" ht="89.25" customHeight="1" x14ac:dyDescent="0.2">
      <c r="A132" s="1185" t="s">
        <v>143</v>
      </c>
      <c r="B132" s="2302"/>
      <c r="C132" s="2303"/>
      <c r="D132" s="2302" t="s">
        <v>7203</v>
      </c>
      <c r="E132" s="2304"/>
      <c r="F132" s="2304"/>
      <c r="G132" s="2303"/>
      <c r="H132" s="1184"/>
      <c r="I132" s="1060"/>
    </row>
    <row r="133" spans="1:9" ht="105" customHeight="1" x14ac:dyDescent="0.2">
      <c r="A133" s="1185" t="s">
        <v>143</v>
      </c>
      <c r="B133" s="2305"/>
      <c r="C133" s="2306"/>
      <c r="D133" s="2305" t="s">
        <v>7204</v>
      </c>
      <c r="E133" s="2307"/>
      <c r="F133" s="2307"/>
      <c r="G133" s="2306"/>
      <c r="H133" s="1057"/>
      <c r="I133" s="1058"/>
    </row>
    <row r="134" spans="1:9" ht="12.75" customHeight="1" x14ac:dyDescent="0.2">
      <c r="A134" s="1185" t="s">
        <v>143</v>
      </c>
      <c r="B134" s="2302"/>
      <c r="C134" s="2303"/>
      <c r="D134" s="2323" t="s">
        <v>7205</v>
      </c>
      <c r="E134" s="2324"/>
      <c r="F134" s="2324"/>
      <c r="G134" s="2325"/>
      <c r="H134" s="1184"/>
      <c r="I134" s="1060"/>
    </row>
    <row r="135" spans="1:9" ht="25.5" customHeight="1" x14ac:dyDescent="0.2">
      <c r="A135" s="1185" t="s">
        <v>143</v>
      </c>
      <c r="B135" s="2302"/>
      <c r="C135" s="2303"/>
      <c r="D135" s="2323" t="s">
        <v>7206</v>
      </c>
      <c r="E135" s="2324"/>
      <c r="F135" s="2324"/>
      <c r="G135" s="2325"/>
      <c r="H135" s="1184"/>
      <c r="I135" s="1060"/>
    </row>
    <row r="136" spans="1:9" ht="12.75" customHeight="1" x14ac:dyDescent="0.2">
      <c r="A136" s="1185" t="s">
        <v>143</v>
      </c>
      <c r="B136" s="2302"/>
      <c r="C136" s="2303"/>
      <c r="D136" s="2323" t="s">
        <v>7207</v>
      </c>
      <c r="E136" s="2324"/>
      <c r="F136" s="2324"/>
      <c r="G136" s="2325"/>
      <c r="H136" s="1184"/>
      <c r="I136" s="1060"/>
    </row>
    <row r="137" spans="1:9" ht="25.5" customHeight="1" x14ac:dyDescent="0.2">
      <c r="A137" s="1185" t="s">
        <v>143</v>
      </c>
      <c r="B137" s="2302"/>
      <c r="C137" s="2303"/>
      <c r="D137" s="2323" t="s">
        <v>7208</v>
      </c>
      <c r="E137" s="2324"/>
      <c r="F137" s="2324"/>
      <c r="G137" s="2325"/>
      <c r="H137" s="1184"/>
      <c r="I137" s="1060"/>
    </row>
    <row r="138" spans="1:9" ht="12.75" customHeight="1" x14ac:dyDescent="0.2">
      <c r="A138" s="1185" t="s">
        <v>143</v>
      </c>
      <c r="B138" s="2302"/>
      <c r="C138" s="2303"/>
      <c r="D138" s="2302" t="s">
        <v>7188</v>
      </c>
      <c r="E138" s="2304"/>
      <c r="F138" s="2304"/>
      <c r="G138" s="2303"/>
      <c r="H138" s="1184"/>
      <c r="I138" s="1060"/>
    </row>
    <row r="139" spans="1:9" ht="25.5" customHeight="1" x14ac:dyDescent="0.2">
      <c r="A139" s="1185" t="s">
        <v>143</v>
      </c>
      <c r="B139" s="2302"/>
      <c r="C139" s="2303"/>
      <c r="D139" s="2323" t="s">
        <v>7209</v>
      </c>
      <c r="E139" s="2324"/>
      <c r="F139" s="2324"/>
      <c r="G139" s="2325"/>
      <c r="H139" s="1184"/>
      <c r="I139" s="1060"/>
    </row>
    <row r="140" spans="1:9" ht="25.5" customHeight="1" x14ac:dyDescent="0.2">
      <c r="A140" s="1185" t="s">
        <v>143</v>
      </c>
      <c r="B140" s="2302"/>
      <c r="C140" s="2303"/>
      <c r="D140" s="2323" t="s">
        <v>7210</v>
      </c>
      <c r="E140" s="2324"/>
      <c r="F140" s="2324"/>
      <c r="G140" s="2325"/>
      <c r="H140" s="1184"/>
      <c r="I140" s="1060"/>
    </row>
    <row r="141" spans="1:9" ht="25.5" customHeight="1" x14ac:dyDescent="0.2">
      <c r="A141" s="1185" t="s">
        <v>143</v>
      </c>
      <c r="B141" s="2302"/>
      <c r="C141" s="2303"/>
      <c r="D141" s="2323" t="s">
        <v>7211</v>
      </c>
      <c r="E141" s="2324"/>
      <c r="F141" s="2324"/>
      <c r="G141" s="2325"/>
      <c r="H141" s="1184"/>
      <c r="I141" s="1060"/>
    </row>
    <row r="142" spans="1:9" ht="25.5" customHeight="1" x14ac:dyDescent="0.2">
      <c r="A142" s="1185" t="s">
        <v>143</v>
      </c>
      <c r="B142" s="2302"/>
      <c r="C142" s="2303"/>
      <c r="D142" s="2323" t="s">
        <v>7212</v>
      </c>
      <c r="E142" s="2324"/>
      <c r="F142" s="2324"/>
      <c r="G142" s="2325"/>
      <c r="H142" s="1184"/>
      <c r="I142" s="1060"/>
    </row>
    <row r="143" spans="1:9" ht="25.5" customHeight="1" x14ac:dyDescent="0.2">
      <c r="A143" s="1185" t="s">
        <v>143</v>
      </c>
      <c r="B143" s="2302"/>
      <c r="C143" s="2303"/>
      <c r="D143" s="2323" t="s">
        <v>7213</v>
      </c>
      <c r="E143" s="2324"/>
      <c r="F143" s="2324"/>
      <c r="G143" s="2325"/>
      <c r="H143" s="1184"/>
      <c r="I143" s="1060"/>
    </row>
    <row r="144" spans="1:9" ht="25.5" customHeight="1" x14ac:dyDescent="0.2">
      <c r="A144" s="1185" t="s">
        <v>143</v>
      </c>
      <c r="B144" s="2302"/>
      <c r="C144" s="2303"/>
      <c r="D144" s="2323" t="s">
        <v>7214</v>
      </c>
      <c r="E144" s="2324"/>
      <c r="F144" s="2324"/>
      <c r="G144" s="2325"/>
      <c r="H144" s="1184"/>
      <c r="I144" s="1060"/>
    </row>
    <row r="145" spans="1:9" ht="25.5" customHeight="1" x14ac:dyDescent="0.2">
      <c r="A145" s="1185" t="s">
        <v>143</v>
      </c>
      <c r="B145" s="2302"/>
      <c r="C145" s="2303"/>
      <c r="D145" s="2323" t="s">
        <v>7215</v>
      </c>
      <c r="E145" s="2324"/>
      <c r="F145" s="2324"/>
      <c r="G145" s="2325"/>
      <c r="H145" s="1184"/>
      <c r="I145" s="1060"/>
    </row>
    <row r="146" spans="1:9" ht="12.75" customHeight="1" x14ac:dyDescent="0.2">
      <c r="A146" s="1185" t="s">
        <v>143</v>
      </c>
      <c r="B146" s="2302"/>
      <c r="C146" s="2303"/>
      <c r="D146" s="2323" t="s">
        <v>7216</v>
      </c>
      <c r="E146" s="2324"/>
      <c r="F146" s="2324"/>
      <c r="G146" s="2325"/>
      <c r="H146" s="1184"/>
      <c r="I146" s="1060"/>
    </row>
    <row r="147" spans="1:9" ht="25.5" customHeight="1" x14ac:dyDescent="0.2">
      <c r="A147" s="1185" t="s">
        <v>143</v>
      </c>
      <c r="B147" s="2302"/>
      <c r="C147" s="2303"/>
      <c r="D147" s="2323" t="s">
        <v>7217</v>
      </c>
      <c r="E147" s="2324"/>
      <c r="F147" s="2324"/>
      <c r="G147" s="2325"/>
      <c r="H147" s="1184"/>
      <c r="I147" s="1060"/>
    </row>
    <row r="148" spans="1:9" ht="25.5" customHeight="1" x14ac:dyDescent="0.2">
      <c r="A148" s="1185" t="s">
        <v>143</v>
      </c>
      <c r="B148" s="2302"/>
      <c r="C148" s="2303"/>
      <c r="D148" s="2323" t="s">
        <v>7218</v>
      </c>
      <c r="E148" s="2324"/>
      <c r="F148" s="2324"/>
      <c r="G148" s="2325"/>
      <c r="H148" s="1184"/>
      <c r="I148" s="1060"/>
    </row>
    <row r="149" spans="1:9" ht="25.5" customHeight="1" x14ac:dyDescent="0.2">
      <c r="A149" s="1185" t="s">
        <v>143</v>
      </c>
      <c r="B149" s="2302"/>
      <c r="C149" s="2303"/>
      <c r="D149" s="2323" t="s">
        <v>7219</v>
      </c>
      <c r="E149" s="2324"/>
      <c r="F149" s="2324"/>
      <c r="G149" s="2325"/>
      <c r="H149" s="1184"/>
      <c r="I149" s="1060"/>
    </row>
    <row r="150" spans="1:9" ht="25.5" customHeight="1" x14ac:dyDescent="0.2">
      <c r="A150" s="1185" t="s">
        <v>143</v>
      </c>
      <c r="B150" s="2302"/>
      <c r="C150" s="2303"/>
      <c r="D150" s="2302" t="s">
        <v>7220</v>
      </c>
      <c r="E150" s="2304"/>
      <c r="F150" s="2304"/>
      <c r="G150" s="2303"/>
      <c r="H150" s="1184"/>
      <c r="I150" s="1060"/>
    </row>
    <row r="151" spans="1:9" ht="12.75" customHeight="1" x14ac:dyDescent="0.2">
      <c r="A151" s="1183" t="s">
        <v>143</v>
      </c>
      <c r="B151" s="2320"/>
      <c r="C151" s="2321"/>
      <c r="D151" s="2332" t="s">
        <v>7221</v>
      </c>
      <c r="E151" s="2333"/>
      <c r="F151" s="2333"/>
      <c r="G151" s="2334"/>
      <c r="H151" s="1180"/>
      <c r="I151" s="1063"/>
    </row>
    <row r="152" spans="1:9" ht="94.5" customHeight="1" x14ac:dyDescent="0.2">
      <c r="A152" s="1182" t="s">
        <v>193</v>
      </c>
      <c r="B152" s="2311" t="s">
        <v>7222</v>
      </c>
      <c r="C152" s="2312"/>
      <c r="D152" s="2313" t="s">
        <v>7223</v>
      </c>
      <c r="E152" s="2314"/>
      <c r="F152" s="2314"/>
      <c r="G152" s="2315"/>
      <c r="H152" s="1179" t="s">
        <v>7224</v>
      </c>
      <c r="I152" s="1181">
        <f>ROUND((33000  + 5500  * 11) * 1 * 0.4 * 0.35 * 1.126,0)</f>
        <v>14739</v>
      </c>
    </row>
    <row r="153" spans="1:9" ht="15.75" customHeight="1" x14ac:dyDescent="0.2">
      <c r="A153" s="1185" t="s">
        <v>143</v>
      </c>
      <c r="B153" s="2305"/>
      <c r="C153" s="2306"/>
      <c r="D153" s="2305" t="s">
        <v>572</v>
      </c>
      <c r="E153" s="2307"/>
      <c r="F153" s="2307"/>
      <c r="G153" s="2306"/>
      <c r="H153" s="1057"/>
      <c r="I153" s="1058"/>
    </row>
    <row r="154" spans="1:9" ht="25.5" customHeight="1" x14ac:dyDescent="0.2">
      <c r="A154" s="1185" t="s">
        <v>143</v>
      </c>
      <c r="B154" s="2302"/>
      <c r="C154" s="2303"/>
      <c r="D154" s="2302" t="s">
        <v>7138</v>
      </c>
      <c r="E154" s="2304"/>
      <c r="F154" s="2304"/>
      <c r="G154" s="2303"/>
      <c r="H154" s="1184"/>
      <c r="I154" s="1060"/>
    </row>
    <row r="155" spans="1:9" ht="25.5" customHeight="1" x14ac:dyDescent="0.2">
      <c r="A155" s="1185" t="s">
        <v>143</v>
      </c>
      <c r="B155" s="2302"/>
      <c r="C155" s="2303"/>
      <c r="D155" s="2302" t="s">
        <v>7181</v>
      </c>
      <c r="E155" s="2304"/>
      <c r="F155" s="2304"/>
      <c r="G155" s="2303"/>
      <c r="H155" s="1184"/>
      <c r="I155" s="1060"/>
    </row>
    <row r="156" spans="1:9" ht="89.25" customHeight="1" x14ac:dyDescent="0.2">
      <c r="A156" s="1185" t="s">
        <v>143</v>
      </c>
      <c r="B156" s="2302"/>
      <c r="C156" s="2303"/>
      <c r="D156" s="2302" t="s">
        <v>7225</v>
      </c>
      <c r="E156" s="2304"/>
      <c r="F156" s="2304"/>
      <c r="G156" s="2303"/>
      <c r="H156" s="1184"/>
      <c r="I156" s="1060"/>
    </row>
    <row r="157" spans="1:9" ht="92.25" customHeight="1" x14ac:dyDescent="0.2">
      <c r="A157" s="1185" t="s">
        <v>143</v>
      </c>
      <c r="B157" s="2305"/>
      <c r="C157" s="2306"/>
      <c r="D157" s="2305" t="s">
        <v>7226</v>
      </c>
      <c r="E157" s="2307"/>
      <c r="F157" s="2307"/>
      <c r="G157" s="2306"/>
      <c r="H157" s="1057"/>
      <c r="I157" s="1058"/>
    </row>
    <row r="158" spans="1:9" ht="12.75" customHeight="1" x14ac:dyDescent="0.2">
      <c r="A158" s="1185" t="s">
        <v>143</v>
      </c>
      <c r="B158" s="2302"/>
      <c r="C158" s="2303"/>
      <c r="D158" s="2302" t="s">
        <v>7227</v>
      </c>
      <c r="E158" s="2304"/>
      <c r="F158" s="2304"/>
      <c r="G158" s="2303"/>
      <c r="H158" s="1184"/>
      <c r="I158" s="1060"/>
    </row>
    <row r="159" spans="1:9" ht="25.5" customHeight="1" x14ac:dyDescent="0.2">
      <c r="A159" s="1185" t="s">
        <v>143</v>
      </c>
      <c r="B159" s="2302"/>
      <c r="C159" s="2303"/>
      <c r="D159" s="2302" t="s">
        <v>7228</v>
      </c>
      <c r="E159" s="2304"/>
      <c r="F159" s="2304"/>
      <c r="G159" s="2303"/>
      <c r="H159" s="1184"/>
      <c r="I159" s="1060"/>
    </row>
    <row r="160" spans="1:9" ht="12.75" customHeight="1" x14ac:dyDescent="0.2">
      <c r="A160" s="1185" t="s">
        <v>143</v>
      </c>
      <c r="B160" s="2302"/>
      <c r="C160" s="2303"/>
      <c r="D160" s="2302" t="s">
        <v>7229</v>
      </c>
      <c r="E160" s="2304"/>
      <c r="F160" s="2304"/>
      <c r="G160" s="2303"/>
      <c r="H160" s="1184"/>
      <c r="I160" s="1060"/>
    </row>
    <row r="161" spans="1:9" ht="25.5" customHeight="1" x14ac:dyDescent="0.2">
      <c r="A161" s="1185" t="s">
        <v>143</v>
      </c>
      <c r="B161" s="2302"/>
      <c r="C161" s="2303"/>
      <c r="D161" s="2302" t="s">
        <v>7230</v>
      </c>
      <c r="E161" s="2304"/>
      <c r="F161" s="2304"/>
      <c r="G161" s="2303"/>
      <c r="H161" s="1184"/>
      <c r="I161" s="1060"/>
    </row>
    <row r="162" spans="1:9" ht="25.5" customHeight="1" x14ac:dyDescent="0.2">
      <c r="A162" s="1185" t="s">
        <v>143</v>
      </c>
      <c r="B162" s="2302"/>
      <c r="C162" s="2303"/>
      <c r="D162" s="2302" t="s">
        <v>7231</v>
      </c>
      <c r="E162" s="2304"/>
      <c r="F162" s="2304"/>
      <c r="G162" s="2303"/>
      <c r="H162" s="1184"/>
      <c r="I162" s="1060"/>
    </row>
    <row r="163" spans="1:9" ht="38.25" customHeight="1" x14ac:dyDescent="0.2">
      <c r="A163" s="1185" t="s">
        <v>143</v>
      </c>
      <c r="B163" s="2302"/>
      <c r="C163" s="2303"/>
      <c r="D163" s="2302" t="s">
        <v>7232</v>
      </c>
      <c r="E163" s="2304"/>
      <c r="F163" s="2304"/>
      <c r="G163" s="2303"/>
      <c r="H163" s="1184"/>
      <c r="I163" s="1060"/>
    </row>
    <row r="164" spans="1:9" ht="25.5" customHeight="1" x14ac:dyDescent="0.2">
      <c r="A164" s="1185" t="s">
        <v>143</v>
      </c>
      <c r="B164" s="2302"/>
      <c r="C164" s="2303"/>
      <c r="D164" s="2302" t="s">
        <v>7233</v>
      </c>
      <c r="E164" s="2304"/>
      <c r="F164" s="2304"/>
      <c r="G164" s="2303"/>
      <c r="H164" s="1184"/>
      <c r="I164" s="1060"/>
    </row>
    <row r="165" spans="1:9" ht="38.25" customHeight="1" x14ac:dyDescent="0.2">
      <c r="A165" s="1185" t="s">
        <v>143</v>
      </c>
      <c r="B165" s="2302"/>
      <c r="C165" s="2303"/>
      <c r="D165" s="2302" t="s">
        <v>7234</v>
      </c>
      <c r="E165" s="2304"/>
      <c r="F165" s="2304"/>
      <c r="G165" s="2303"/>
      <c r="H165" s="1184"/>
      <c r="I165" s="1060"/>
    </row>
    <row r="166" spans="1:9" ht="25.5" customHeight="1" x14ac:dyDescent="0.2">
      <c r="A166" s="1185" t="s">
        <v>143</v>
      </c>
      <c r="B166" s="2302"/>
      <c r="C166" s="2303"/>
      <c r="D166" s="2302" t="s">
        <v>7235</v>
      </c>
      <c r="E166" s="2304"/>
      <c r="F166" s="2304"/>
      <c r="G166" s="2303"/>
      <c r="H166" s="1184"/>
      <c r="I166" s="1060"/>
    </row>
    <row r="167" spans="1:9" ht="25.5" customHeight="1" x14ac:dyDescent="0.2">
      <c r="A167" s="1185" t="s">
        <v>143</v>
      </c>
      <c r="B167" s="2302"/>
      <c r="C167" s="2303"/>
      <c r="D167" s="2302" t="s">
        <v>7236</v>
      </c>
      <c r="E167" s="2304"/>
      <c r="F167" s="2304"/>
      <c r="G167" s="2303"/>
      <c r="H167" s="1184"/>
      <c r="I167" s="1060"/>
    </row>
    <row r="168" spans="1:9" ht="12.75" customHeight="1" x14ac:dyDescent="0.2">
      <c r="A168" s="1185" t="s">
        <v>143</v>
      </c>
      <c r="B168" s="2302"/>
      <c r="C168" s="2303"/>
      <c r="D168" s="2302" t="s">
        <v>7237</v>
      </c>
      <c r="E168" s="2304"/>
      <c r="F168" s="2304"/>
      <c r="G168" s="2303"/>
      <c r="H168" s="1184"/>
      <c r="I168" s="1060"/>
    </row>
    <row r="169" spans="1:9" ht="25.5" customHeight="1" x14ac:dyDescent="0.2">
      <c r="A169" s="1185" t="s">
        <v>143</v>
      </c>
      <c r="B169" s="2302"/>
      <c r="C169" s="2303"/>
      <c r="D169" s="2302" t="s">
        <v>7238</v>
      </c>
      <c r="E169" s="2304"/>
      <c r="F169" s="2304"/>
      <c r="G169" s="2303"/>
      <c r="H169" s="1184"/>
      <c r="I169" s="1060"/>
    </row>
    <row r="170" spans="1:9" ht="25.5" customHeight="1" x14ac:dyDescent="0.2">
      <c r="A170" s="1185" t="s">
        <v>143</v>
      </c>
      <c r="B170" s="2302"/>
      <c r="C170" s="2303"/>
      <c r="D170" s="2302" t="s">
        <v>7239</v>
      </c>
      <c r="E170" s="2304"/>
      <c r="F170" s="2304"/>
      <c r="G170" s="2303"/>
      <c r="H170" s="1184"/>
      <c r="I170" s="1060"/>
    </row>
    <row r="171" spans="1:9" ht="25.5" customHeight="1" x14ac:dyDescent="0.2">
      <c r="A171" s="1185" t="s">
        <v>143</v>
      </c>
      <c r="B171" s="2302"/>
      <c r="C171" s="2303"/>
      <c r="D171" s="2302" t="s">
        <v>7240</v>
      </c>
      <c r="E171" s="2304"/>
      <c r="F171" s="2304"/>
      <c r="G171" s="2303"/>
      <c r="H171" s="1184"/>
      <c r="I171" s="1060"/>
    </row>
    <row r="172" spans="1:9" ht="12.75" customHeight="1" x14ac:dyDescent="0.2">
      <c r="A172" s="1183" t="s">
        <v>143</v>
      </c>
      <c r="B172" s="2320"/>
      <c r="C172" s="2321"/>
      <c r="D172" s="2320" t="s">
        <v>7241</v>
      </c>
      <c r="E172" s="2322"/>
      <c r="F172" s="2322"/>
      <c r="G172" s="2321"/>
      <c r="H172" s="1180"/>
      <c r="I172" s="1063"/>
    </row>
    <row r="173" spans="1:9" ht="119.85" customHeight="1" x14ac:dyDescent="0.2">
      <c r="A173" s="1182" t="s">
        <v>194</v>
      </c>
      <c r="B173" s="2311" t="s">
        <v>7242</v>
      </c>
      <c r="C173" s="2312"/>
      <c r="D173" s="2313" t="s">
        <v>7243</v>
      </c>
      <c r="E173" s="2314"/>
      <c r="F173" s="2314"/>
      <c r="G173" s="2315"/>
      <c r="H173" s="1179" t="s">
        <v>7244</v>
      </c>
      <c r="I173" s="1181">
        <f>ROUND((35000  + 190  * (0.4 * 250 + 0.6 * 250 / 2)) * 1 * 0.4 * 0.7 * 1.038,0)</f>
        <v>19836</v>
      </c>
    </row>
    <row r="174" spans="1:9" ht="15.75" customHeight="1" x14ac:dyDescent="0.2">
      <c r="A174" s="1185" t="s">
        <v>143</v>
      </c>
      <c r="B174" s="2305"/>
      <c r="C174" s="2306"/>
      <c r="D174" s="2305" t="s">
        <v>572</v>
      </c>
      <c r="E174" s="2307"/>
      <c r="F174" s="2307"/>
      <c r="G174" s="2306"/>
      <c r="H174" s="1057"/>
      <c r="I174" s="1058"/>
    </row>
    <row r="175" spans="1:9" ht="25.5" customHeight="1" x14ac:dyDescent="0.2">
      <c r="A175" s="1185" t="s">
        <v>143</v>
      </c>
      <c r="B175" s="2302"/>
      <c r="C175" s="2303"/>
      <c r="D175" s="2302" t="s">
        <v>7138</v>
      </c>
      <c r="E175" s="2304"/>
      <c r="F175" s="2304"/>
      <c r="G175" s="2303"/>
      <c r="H175" s="1184"/>
      <c r="I175" s="1060"/>
    </row>
    <row r="176" spans="1:9" ht="76.7" customHeight="1" x14ac:dyDescent="0.2">
      <c r="A176" s="1185" t="s">
        <v>143</v>
      </c>
      <c r="B176" s="2302"/>
      <c r="C176" s="2303"/>
      <c r="D176" s="2302" t="s">
        <v>7245</v>
      </c>
      <c r="E176" s="2304"/>
      <c r="F176" s="2304"/>
      <c r="G176" s="2303"/>
      <c r="H176" s="1184"/>
      <c r="I176" s="1060"/>
    </row>
    <row r="177" spans="1:9" ht="89.25" customHeight="1" x14ac:dyDescent="0.2">
      <c r="A177" s="1185" t="s">
        <v>143</v>
      </c>
      <c r="B177" s="2302"/>
      <c r="C177" s="2303"/>
      <c r="D177" s="2302" t="s">
        <v>7246</v>
      </c>
      <c r="E177" s="2304"/>
      <c r="F177" s="2304"/>
      <c r="G177" s="2303"/>
      <c r="H177" s="1184"/>
      <c r="I177" s="1060"/>
    </row>
    <row r="178" spans="1:9" ht="79.5" customHeight="1" x14ac:dyDescent="0.2">
      <c r="A178" s="1185" t="s">
        <v>143</v>
      </c>
      <c r="B178" s="2305"/>
      <c r="C178" s="2306"/>
      <c r="D178" s="2305" t="s">
        <v>7247</v>
      </c>
      <c r="E178" s="2307"/>
      <c r="F178" s="2307"/>
      <c r="G178" s="2306"/>
      <c r="H178" s="1057"/>
      <c r="I178" s="1058"/>
    </row>
    <row r="179" spans="1:9" ht="12.75" customHeight="1" x14ac:dyDescent="0.2">
      <c r="A179" s="1185" t="s">
        <v>143</v>
      </c>
      <c r="B179" s="2302"/>
      <c r="C179" s="2303"/>
      <c r="D179" s="2302" t="s">
        <v>7248</v>
      </c>
      <c r="E179" s="2304"/>
      <c r="F179" s="2304"/>
      <c r="G179" s="2303"/>
      <c r="H179" s="1184"/>
      <c r="I179" s="1060"/>
    </row>
    <row r="180" spans="1:9" ht="25.5" customHeight="1" x14ac:dyDescent="0.2">
      <c r="A180" s="1185" t="s">
        <v>143</v>
      </c>
      <c r="B180" s="2302"/>
      <c r="C180" s="2303"/>
      <c r="D180" s="2302" t="s">
        <v>7249</v>
      </c>
      <c r="E180" s="2304"/>
      <c r="F180" s="2304"/>
      <c r="G180" s="2303"/>
      <c r="H180" s="1184"/>
      <c r="I180" s="1060"/>
    </row>
    <row r="181" spans="1:9" ht="12.75" customHeight="1" x14ac:dyDescent="0.2">
      <c r="A181" s="1185" t="s">
        <v>143</v>
      </c>
      <c r="B181" s="2302"/>
      <c r="C181" s="2303"/>
      <c r="D181" s="2302" t="s">
        <v>7250</v>
      </c>
      <c r="E181" s="2304"/>
      <c r="F181" s="2304"/>
      <c r="G181" s="2303"/>
      <c r="H181" s="1184"/>
      <c r="I181" s="1060"/>
    </row>
    <row r="182" spans="1:9" ht="25.5" customHeight="1" x14ac:dyDescent="0.2">
      <c r="A182" s="1185" t="s">
        <v>143</v>
      </c>
      <c r="B182" s="2302"/>
      <c r="C182" s="2303"/>
      <c r="D182" s="2302" t="s">
        <v>7251</v>
      </c>
      <c r="E182" s="2304"/>
      <c r="F182" s="2304"/>
      <c r="G182" s="2303"/>
      <c r="H182" s="1184"/>
      <c r="I182" s="1060"/>
    </row>
    <row r="183" spans="1:9" ht="25.5" customHeight="1" x14ac:dyDescent="0.2">
      <c r="A183" s="1185" t="s">
        <v>143</v>
      </c>
      <c r="B183" s="2302"/>
      <c r="C183" s="2303"/>
      <c r="D183" s="2302" t="s">
        <v>7252</v>
      </c>
      <c r="E183" s="2304"/>
      <c r="F183" s="2304"/>
      <c r="G183" s="2303"/>
      <c r="H183" s="1184"/>
      <c r="I183" s="1060"/>
    </row>
    <row r="184" spans="1:9" ht="25.5" customHeight="1" x14ac:dyDescent="0.2">
      <c r="A184" s="1185" t="s">
        <v>143</v>
      </c>
      <c r="B184" s="2302"/>
      <c r="C184" s="2303"/>
      <c r="D184" s="2302" t="s">
        <v>7253</v>
      </c>
      <c r="E184" s="2304"/>
      <c r="F184" s="2304"/>
      <c r="G184" s="2303"/>
      <c r="H184" s="1184"/>
      <c r="I184" s="1060"/>
    </row>
    <row r="185" spans="1:9" ht="25.5" customHeight="1" x14ac:dyDescent="0.2">
      <c r="A185" s="1185" t="s">
        <v>143</v>
      </c>
      <c r="B185" s="2302"/>
      <c r="C185" s="2303"/>
      <c r="D185" s="2302" t="s">
        <v>7254</v>
      </c>
      <c r="E185" s="2304"/>
      <c r="F185" s="2304"/>
      <c r="G185" s="2303"/>
      <c r="H185" s="1184"/>
      <c r="I185" s="1060"/>
    </row>
    <row r="186" spans="1:9" ht="25.5" customHeight="1" x14ac:dyDescent="0.2">
      <c r="A186" s="1185" t="s">
        <v>143</v>
      </c>
      <c r="B186" s="2302"/>
      <c r="C186" s="2303"/>
      <c r="D186" s="2302" t="s">
        <v>7255</v>
      </c>
      <c r="E186" s="2304"/>
      <c r="F186" s="2304"/>
      <c r="G186" s="2303"/>
      <c r="H186" s="1184"/>
      <c r="I186" s="1060"/>
    </row>
    <row r="187" spans="1:9" ht="25.5" customHeight="1" x14ac:dyDescent="0.2">
      <c r="A187" s="1185" t="s">
        <v>143</v>
      </c>
      <c r="B187" s="2302"/>
      <c r="C187" s="2303"/>
      <c r="D187" s="2302" t="s">
        <v>7256</v>
      </c>
      <c r="E187" s="2304"/>
      <c r="F187" s="2304"/>
      <c r="G187" s="2303"/>
      <c r="H187" s="1184"/>
      <c r="I187" s="1060"/>
    </row>
    <row r="188" spans="1:9" ht="25.5" customHeight="1" x14ac:dyDescent="0.2">
      <c r="A188" s="1185" t="s">
        <v>143</v>
      </c>
      <c r="B188" s="2302"/>
      <c r="C188" s="2303"/>
      <c r="D188" s="2302" t="s">
        <v>7257</v>
      </c>
      <c r="E188" s="2304"/>
      <c r="F188" s="2304"/>
      <c r="G188" s="2303"/>
      <c r="H188" s="1184"/>
      <c r="I188" s="1060"/>
    </row>
    <row r="189" spans="1:9" ht="12.75" customHeight="1" x14ac:dyDescent="0.2">
      <c r="A189" s="1185" t="s">
        <v>143</v>
      </c>
      <c r="B189" s="2302"/>
      <c r="C189" s="2303"/>
      <c r="D189" s="2302" t="s">
        <v>7258</v>
      </c>
      <c r="E189" s="2304"/>
      <c r="F189" s="2304"/>
      <c r="G189" s="2303"/>
      <c r="H189" s="1184"/>
      <c r="I189" s="1060"/>
    </row>
    <row r="190" spans="1:9" ht="25.5" customHeight="1" x14ac:dyDescent="0.2">
      <c r="A190" s="1185" t="s">
        <v>143</v>
      </c>
      <c r="B190" s="2302"/>
      <c r="C190" s="2303"/>
      <c r="D190" s="2302" t="s">
        <v>7259</v>
      </c>
      <c r="E190" s="2304"/>
      <c r="F190" s="2304"/>
      <c r="G190" s="2303"/>
      <c r="H190" s="1184"/>
      <c r="I190" s="1060"/>
    </row>
    <row r="191" spans="1:9" ht="25.5" customHeight="1" x14ac:dyDescent="0.2">
      <c r="A191" s="1185" t="s">
        <v>143</v>
      </c>
      <c r="B191" s="2302"/>
      <c r="C191" s="2303"/>
      <c r="D191" s="2302" t="s">
        <v>7260</v>
      </c>
      <c r="E191" s="2304"/>
      <c r="F191" s="2304"/>
      <c r="G191" s="2303"/>
      <c r="H191" s="1184"/>
      <c r="I191" s="1060"/>
    </row>
    <row r="192" spans="1:9" ht="25.5" customHeight="1" x14ac:dyDescent="0.2">
      <c r="A192" s="1185" t="s">
        <v>143</v>
      </c>
      <c r="B192" s="2302"/>
      <c r="C192" s="2303"/>
      <c r="D192" s="2302" t="s">
        <v>7261</v>
      </c>
      <c r="E192" s="2304"/>
      <c r="F192" s="2304"/>
      <c r="G192" s="2303"/>
      <c r="H192" s="1184"/>
      <c r="I192" s="1060"/>
    </row>
    <row r="193" spans="1:9" ht="12.75" customHeight="1" x14ac:dyDescent="0.2">
      <c r="A193" s="1183" t="s">
        <v>143</v>
      </c>
      <c r="B193" s="2320"/>
      <c r="C193" s="2321"/>
      <c r="D193" s="2320" t="s">
        <v>7262</v>
      </c>
      <c r="E193" s="2322"/>
      <c r="F193" s="2322"/>
      <c r="G193" s="2321"/>
      <c r="H193" s="1180"/>
      <c r="I193" s="1063"/>
    </row>
    <row r="194" spans="1:9" ht="158.1" customHeight="1" x14ac:dyDescent="0.2">
      <c r="A194" s="1182" t="s">
        <v>195</v>
      </c>
      <c r="B194" s="2311" t="s">
        <v>7263</v>
      </c>
      <c r="C194" s="2312"/>
      <c r="D194" s="2313" t="s">
        <v>7264</v>
      </c>
      <c r="E194" s="2314"/>
      <c r="F194" s="2314"/>
      <c r="G194" s="2315"/>
      <c r="H194" s="1179" t="s">
        <v>7265</v>
      </c>
      <c r="I194" s="1181">
        <f>ROUND((28730  + 24  * (0.4 * 160 + 0.6 * 160 / 2)) * 1 * 0.4 * 1.4 * 0.22 * 0.7 * 1.0142,0)</f>
        <v>2748</v>
      </c>
    </row>
    <row r="195" spans="1:9" ht="15.75" customHeight="1" x14ac:dyDescent="0.2">
      <c r="A195" s="1185" t="s">
        <v>143</v>
      </c>
      <c r="B195" s="2305"/>
      <c r="C195" s="2306"/>
      <c r="D195" s="2305" t="s">
        <v>572</v>
      </c>
      <c r="E195" s="2307"/>
      <c r="F195" s="2307"/>
      <c r="G195" s="2306"/>
      <c r="H195" s="1057"/>
      <c r="I195" s="1058"/>
    </row>
    <row r="196" spans="1:9" ht="25.5" customHeight="1" x14ac:dyDescent="0.2">
      <c r="A196" s="1185" t="s">
        <v>143</v>
      </c>
      <c r="B196" s="2302"/>
      <c r="C196" s="2303"/>
      <c r="D196" s="2302" t="s">
        <v>7138</v>
      </c>
      <c r="E196" s="2304"/>
      <c r="F196" s="2304"/>
      <c r="G196" s="2303"/>
      <c r="H196" s="1184"/>
      <c r="I196" s="1060"/>
    </row>
    <row r="197" spans="1:9" ht="153" customHeight="1" x14ac:dyDescent="0.2">
      <c r="A197" s="1185" t="s">
        <v>143</v>
      </c>
      <c r="B197" s="2302"/>
      <c r="C197" s="2303"/>
      <c r="D197" s="2302" t="s">
        <v>7266</v>
      </c>
      <c r="E197" s="2304"/>
      <c r="F197" s="2304"/>
      <c r="G197" s="2303"/>
      <c r="H197" s="1184"/>
      <c r="I197" s="1060"/>
    </row>
    <row r="198" spans="1:9" ht="51" customHeight="1" x14ac:dyDescent="0.2">
      <c r="A198" s="1185" t="s">
        <v>143</v>
      </c>
      <c r="B198" s="2302"/>
      <c r="C198" s="2303"/>
      <c r="D198" s="2302" t="s">
        <v>7267</v>
      </c>
      <c r="E198" s="2304"/>
      <c r="F198" s="2304"/>
      <c r="G198" s="2303"/>
      <c r="H198" s="1184"/>
      <c r="I198" s="1060"/>
    </row>
    <row r="199" spans="1:9" ht="76.7" customHeight="1" x14ac:dyDescent="0.2">
      <c r="A199" s="1185" t="s">
        <v>143</v>
      </c>
      <c r="B199" s="2302"/>
      <c r="C199" s="2303"/>
      <c r="D199" s="2302" t="s">
        <v>7268</v>
      </c>
      <c r="E199" s="2304"/>
      <c r="F199" s="2304"/>
      <c r="G199" s="2303"/>
      <c r="H199" s="1184"/>
      <c r="I199" s="1060"/>
    </row>
    <row r="200" spans="1:9" ht="89.25" customHeight="1" x14ac:dyDescent="0.2">
      <c r="A200" s="1185" t="s">
        <v>143</v>
      </c>
      <c r="B200" s="2302"/>
      <c r="C200" s="2303"/>
      <c r="D200" s="2302" t="s">
        <v>7269</v>
      </c>
      <c r="E200" s="2304"/>
      <c r="F200" s="2304"/>
      <c r="G200" s="2303"/>
      <c r="H200" s="1184"/>
      <c r="I200" s="1060"/>
    </row>
    <row r="201" spans="1:9" ht="79.5" customHeight="1" x14ac:dyDescent="0.2">
      <c r="A201" s="1185" t="s">
        <v>143</v>
      </c>
      <c r="B201" s="2305"/>
      <c r="C201" s="2306"/>
      <c r="D201" s="2305" t="s">
        <v>7270</v>
      </c>
      <c r="E201" s="2307"/>
      <c r="F201" s="2307"/>
      <c r="G201" s="2306"/>
      <c r="H201" s="1057"/>
      <c r="I201" s="1058"/>
    </row>
    <row r="202" spans="1:9" ht="12.75" customHeight="1" x14ac:dyDescent="0.2">
      <c r="A202" s="1185" t="s">
        <v>143</v>
      </c>
      <c r="B202" s="2302"/>
      <c r="C202" s="2303"/>
      <c r="D202" s="2323" t="s">
        <v>7271</v>
      </c>
      <c r="E202" s="2324"/>
      <c r="F202" s="2324"/>
      <c r="G202" s="2325"/>
      <c r="H202" s="1184"/>
      <c r="I202" s="1060"/>
    </row>
    <row r="203" spans="1:9" ht="25.5" customHeight="1" x14ac:dyDescent="0.2">
      <c r="A203" s="1185" t="s">
        <v>143</v>
      </c>
      <c r="B203" s="2302"/>
      <c r="C203" s="2303"/>
      <c r="D203" s="2323" t="s">
        <v>7272</v>
      </c>
      <c r="E203" s="2324"/>
      <c r="F203" s="2324"/>
      <c r="G203" s="2325"/>
      <c r="H203" s="1184"/>
      <c r="I203" s="1060"/>
    </row>
    <row r="204" spans="1:9" ht="12.75" customHeight="1" x14ac:dyDescent="0.2">
      <c r="A204" s="1185" t="s">
        <v>143</v>
      </c>
      <c r="B204" s="2302"/>
      <c r="C204" s="2303"/>
      <c r="D204" s="2323" t="s">
        <v>7273</v>
      </c>
      <c r="E204" s="2324"/>
      <c r="F204" s="2324"/>
      <c r="G204" s="2325"/>
      <c r="H204" s="1184"/>
      <c r="I204" s="1060"/>
    </row>
    <row r="205" spans="1:9" ht="25.5" customHeight="1" x14ac:dyDescent="0.2">
      <c r="A205" s="1185" t="s">
        <v>143</v>
      </c>
      <c r="B205" s="2302"/>
      <c r="C205" s="2303"/>
      <c r="D205" s="2323" t="s">
        <v>7274</v>
      </c>
      <c r="E205" s="2324"/>
      <c r="F205" s="2324"/>
      <c r="G205" s="2325"/>
      <c r="H205" s="1184"/>
      <c r="I205" s="1060"/>
    </row>
    <row r="206" spans="1:9" ht="25.5" customHeight="1" x14ac:dyDescent="0.2">
      <c r="A206" s="1185" t="s">
        <v>143</v>
      </c>
      <c r="B206" s="2302"/>
      <c r="C206" s="2303"/>
      <c r="D206" s="2323" t="s">
        <v>7275</v>
      </c>
      <c r="E206" s="2324"/>
      <c r="F206" s="2324"/>
      <c r="G206" s="2325"/>
      <c r="H206" s="1184"/>
      <c r="I206" s="1060"/>
    </row>
    <row r="207" spans="1:9" ht="25.5" customHeight="1" x14ac:dyDescent="0.2">
      <c r="A207" s="1185" t="s">
        <v>143</v>
      </c>
      <c r="B207" s="2302"/>
      <c r="C207" s="2303"/>
      <c r="D207" s="2323" t="s">
        <v>7276</v>
      </c>
      <c r="E207" s="2324"/>
      <c r="F207" s="2324"/>
      <c r="G207" s="2325"/>
      <c r="H207" s="1184"/>
      <c r="I207" s="1060"/>
    </row>
    <row r="208" spans="1:9" ht="12.75" customHeight="1" x14ac:dyDescent="0.2">
      <c r="A208" s="1185" t="s">
        <v>143</v>
      </c>
      <c r="B208" s="2302"/>
      <c r="C208" s="2303"/>
      <c r="D208" s="2323" t="s">
        <v>7277</v>
      </c>
      <c r="E208" s="2324"/>
      <c r="F208" s="2324"/>
      <c r="G208" s="2325"/>
      <c r="H208" s="1184"/>
      <c r="I208" s="1060"/>
    </row>
    <row r="209" spans="1:9" ht="12.75" customHeight="1" x14ac:dyDescent="0.2">
      <c r="A209" s="1185" t="s">
        <v>143</v>
      </c>
      <c r="B209" s="2302"/>
      <c r="C209" s="2303"/>
      <c r="D209" s="2323" t="s">
        <v>7278</v>
      </c>
      <c r="E209" s="2324"/>
      <c r="F209" s="2324"/>
      <c r="G209" s="2325"/>
      <c r="H209" s="1184"/>
      <c r="I209" s="1060"/>
    </row>
    <row r="210" spans="1:9" ht="25.5" customHeight="1" x14ac:dyDescent="0.2">
      <c r="A210" s="1185" t="s">
        <v>143</v>
      </c>
      <c r="B210" s="2302"/>
      <c r="C210" s="2303"/>
      <c r="D210" s="2323" t="s">
        <v>7279</v>
      </c>
      <c r="E210" s="2324"/>
      <c r="F210" s="2324"/>
      <c r="G210" s="2325"/>
      <c r="H210" s="1184"/>
      <c r="I210" s="1060"/>
    </row>
    <row r="211" spans="1:9" ht="25.5" customHeight="1" x14ac:dyDescent="0.2">
      <c r="A211" s="1185" t="s">
        <v>143</v>
      </c>
      <c r="B211" s="2302"/>
      <c r="C211" s="2303"/>
      <c r="D211" s="2323" t="s">
        <v>7280</v>
      </c>
      <c r="E211" s="2324"/>
      <c r="F211" s="2324"/>
      <c r="G211" s="2325"/>
      <c r="H211" s="1184"/>
      <c r="I211" s="1060"/>
    </row>
    <row r="212" spans="1:9" ht="12.75" customHeight="1" x14ac:dyDescent="0.2">
      <c r="A212" s="1185" t="s">
        <v>143</v>
      </c>
      <c r="B212" s="2302"/>
      <c r="C212" s="2303"/>
      <c r="D212" s="2323" t="s">
        <v>7281</v>
      </c>
      <c r="E212" s="2324"/>
      <c r="F212" s="2324"/>
      <c r="G212" s="2325"/>
      <c r="H212" s="1184"/>
      <c r="I212" s="1060"/>
    </row>
    <row r="213" spans="1:9" ht="25.5" customHeight="1" x14ac:dyDescent="0.2">
      <c r="A213" s="1185" t="s">
        <v>143</v>
      </c>
      <c r="B213" s="2302"/>
      <c r="C213" s="2303"/>
      <c r="D213" s="2323" t="s">
        <v>7282</v>
      </c>
      <c r="E213" s="2324"/>
      <c r="F213" s="2324"/>
      <c r="G213" s="2325"/>
      <c r="H213" s="1184"/>
      <c r="I213" s="1060"/>
    </row>
    <row r="214" spans="1:9" ht="12.75" customHeight="1" x14ac:dyDescent="0.2">
      <c r="A214" s="1185" t="s">
        <v>143</v>
      </c>
      <c r="B214" s="2302"/>
      <c r="C214" s="2303"/>
      <c r="D214" s="2323" t="s">
        <v>7283</v>
      </c>
      <c r="E214" s="2324"/>
      <c r="F214" s="2324"/>
      <c r="G214" s="2325"/>
      <c r="H214" s="1184"/>
      <c r="I214" s="1060"/>
    </row>
    <row r="215" spans="1:9" ht="25.5" customHeight="1" x14ac:dyDescent="0.2">
      <c r="A215" s="1185" t="s">
        <v>143</v>
      </c>
      <c r="B215" s="2302"/>
      <c r="C215" s="2303"/>
      <c r="D215" s="2323" t="s">
        <v>7284</v>
      </c>
      <c r="E215" s="2324"/>
      <c r="F215" s="2324"/>
      <c r="G215" s="2325"/>
      <c r="H215" s="1184"/>
      <c r="I215" s="1060"/>
    </row>
    <row r="216" spans="1:9" ht="25.5" customHeight="1" x14ac:dyDescent="0.2">
      <c r="A216" s="1185" t="s">
        <v>143</v>
      </c>
      <c r="B216" s="2302"/>
      <c r="C216" s="2303"/>
      <c r="D216" s="2323" t="s">
        <v>7285</v>
      </c>
      <c r="E216" s="2324"/>
      <c r="F216" s="2324"/>
      <c r="G216" s="2325"/>
      <c r="H216" s="1184"/>
      <c r="I216" s="1060"/>
    </row>
    <row r="217" spans="1:9" ht="25.5" customHeight="1" x14ac:dyDescent="0.2">
      <c r="A217" s="1185" t="s">
        <v>143</v>
      </c>
      <c r="B217" s="2302"/>
      <c r="C217" s="2303"/>
      <c r="D217" s="2323" t="s">
        <v>7286</v>
      </c>
      <c r="E217" s="2324"/>
      <c r="F217" s="2324"/>
      <c r="G217" s="2325"/>
      <c r="H217" s="1184"/>
      <c r="I217" s="1060"/>
    </row>
    <row r="218" spans="1:9" ht="25.5" customHeight="1" x14ac:dyDescent="0.2">
      <c r="A218" s="1185" t="s">
        <v>143</v>
      </c>
      <c r="B218" s="2302"/>
      <c r="C218" s="2303"/>
      <c r="D218" s="2302" t="s">
        <v>7287</v>
      </c>
      <c r="E218" s="2304"/>
      <c r="F218" s="2304"/>
      <c r="G218" s="2303"/>
      <c r="H218" s="1184"/>
      <c r="I218" s="1060"/>
    </row>
    <row r="219" spans="1:9" ht="12.75" customHeight="1" x14ac:dyDescent="0.2">
      <c r="A219" s="1183" t="s">
        <v>143</v>
      </c>
      <c r="B219" s="2320"/>
      <c r="C219" s="2321"/>
      <c r="D219" s="2332" t="s">
        <v>7288</v>
      </c>
      <c r="E219" s="2333"/>
      <c r="F219" s="2333"/>
      <c r="G219" s="2334"/>
      <c r="H219" s="1180"/>
      <c r="I219" s="1063"/>
    </row>
    <row r="220" spans="1:9" ht="196.35" customHeight="1" x14ac:dyDescent="0.2">
      <c r="A220" s="1182" t="s">
        <v>196</v>
      </c>
      <c r="B220" s="2311" t="s">
        <v>7289</v>
      </c>
      <c r="C220" s="2312"/>
      <c r="D220" s="2313" t="s">
        <v>7290</v>
      </c>
      <c r="E220" s="2314"/>
      <c r="F220" s="2314"/>
      <c r="G220" s="2315"/>
      <c r="H220" s="1179" t="s">
        <v>9704</v>
      </c>
      <c r="I220" s="1181">
        <f>ROUND((160512  + 321480  * 0.327) * 1 * 0.3 * 0.824,0)</f>
        <v>65665</v>
      </c>
    </row>
    <row r="221" spans="1:9" ht="15.75" customHeight="1" x14ac:dyDescent="0.2">
      <c r="A221" s="1185" t="s">
        <v>143</v>
      </c>
      <c r="B221" s="2305"/>
      <c r="C221" s="2306"/>
      <c r="D221" s="2305" t="s">
        <v>572</v>
      </c>
      <c r="E221" s="2307"/>
      <c r="F221" s="2307"/>
      <c r="G221" s="2306"/>
      <c r="H221" s="1057"/>
      <c r="I221" s="1058"/>
    </row>
    <row r="222" spans="1:9" ht="25.5" customHeight="1" x14ac:dyDescent="0.2">
      <c r="A222" s="1185" t="s">
        <v>143</v>
      </c>
      <c r="B222" s="2302"/>
      <c r="C222" s="2303"/>
      <c r="D222" s="2302" t="s">
        <v>7291</v>
      </c>
      <c r="E222" s="2304"/>
      <c r="F222" s="2304"/>
      <c r="G222" s="2303"/>
      <c r="H222" s="1184"/>
      <c r="I222" s="1060"/>
    </row>
    <row r="223" spans="1:9" ht="89.25" customHeight="1" x14ac:dyDescent="0.2">
      <c r="A223" s="1185" t="s">
        <v>143</v>
      </c>
      <c r="B223" s="2302"/>
      <c r="C223" s="2303"/>
      <c r="D223" s="2302" t="s">
        <v>9705</v>
      </c>
      <c r="E223" s="2304"/>
      <c r="F223" s="2304"/>
      <c r="G223" s="2303"/>
      <c r="H223" s="1184"/>
      <c r="I223" s="1060"/>
    </row>
    <row r="224" spans="1:9" ht="41.25" customHeight="1" x14ac:dyDescent="0.2">
      <c r="A224" s="1185" t="s">
        <v>143</v>
      </c>
      <c r="B224" s="2305"/>
      <c r="C224" s="2306"/>
      <c r="D224" s="2305" t="s">
        <v>9706</v>
      </c>
      <c r="E224" s="2307"/>
      <c r="F224" s="2307"/>
      <c r="G224" s="2306"/>
      <c r="H224" s="1057"/>
      <c r="I224" s="1058"/>
    </row>
    <row r="225" spans="1:9" ht="12.75" customHeight="1" x14ac:dyDescent="0.2">
      <c r="A225" s="1185" t="s">
        <v>143</v>
      </c>
      <c r="B225" s="2302"/>
      <c r="C225" s="2303"/>
      <c r="D225" s="2302" t="s">
        <v>7293</v>
      </c>
      <c r="E225" s="2304"/>
      <c r="F225" s="2304"/>
      <c r="G225" s="2303"/>
      <c r="H225" s="1184"/>
      <c r="I225" s="1060"/>
    </row>
    <row r="226" spans="1:9" ht="25.5" customHeight="1" x14ac:dyDescent="0.2">
      <c r="A226" s="1185" t="s">
        <v>143</v>
      </c>
      <c r="B226" s="2302"/>
      <c r="C226" s="2303"/>
      <c r="D226" s="2302" t="s">
        <v>7294</v>
      </c>
      <c r="E226" s="2304"/>
      <c r="F226" s="2304"/>
      <c r="G226" s="2303"/>
      <c r="H226" s="1184"/>
      <c r="I226" s="1060"/>
    </row>
    <row r="227" spans="1:9" ht="25.5" customHeight="1" x14ac:dyDescent="0.2">
      <c r="A227" s="1185" t="s">
        <v>143</v>
      </c>
      <c r="B227" s="2302"/>
      <c r="C227" s="2303"/>
      <c r="D227" s="2302" t="s">
        <v>9707</v>
      </c>
      <c r="E227" s="2304"/>
      <c r="F227" s="2304"/>
      <c r="G227" s="2303"/>
      <c r="H227" s="1184"/>
      <c r="I227" s="1060"/>
    </row>
    <row r="228" spans="1:9" ht="25.5" customHeight="1" x14ac:dyDescent="0.2">
      <c r="A228" s="1185" t="s">
        <v>143</v>
      </c>
      <c r="B228" s="2302"/>
      <c r="C228" s="2303"/>
      <c r="D228" s="2302" t="s">
        <v>9708</v>
      </c>
      <c r="E228" s="2304"/>
      <c r="F228" s="2304"/>
      <c r="G228" s="2303"/>
      <c r="H228" s="1184"/>
      <c r="I228" s="1060"/>
    </row>
    <row r="229" spans="1:9" ht="25.5" customHeight="1" x14ac:dyDescent="0.2">
      <c r="A229" s="1185" t="s">
        <v>143</v>
      </c>
      <c r="B229" s="2302"/>
      <c r="C229" s="2303"/>
      <c r="D229" s="2302" t="s">
        <v>9709</v>
      </c>
      <c r="E229" s="2304"/>
      <c r="F229" s="2304"/>
      <c r="G229" s="2303"/>
      <c r="H229" s="1184"/>
      <c r="I229" s="1060"/>
    </row>
    <row r="230" spans="1:9" ht="25.5" customHeight="1" x14ac:dyDescent="0.2">
      <c r="A230" s="1185" t="s">
        <v>143</v>
      </c>
      <c r="B230" s="2302"/>
      <c r="C230" s="2303"/>
      <c r="D230" s="2302" t="s">
        <v>9710</v>
      </c>
      <c r="E230" s="2304"/>
      <c r="F230" s="2304"/>
      <c r="G230" s="2303"/>
      <c r="H230" s="1184"/>
      <c r="I230" s="1060"/>
    </row>
    <row r="231" spans="1:9" ht="25.5" customHeight="1" x14ac:dyDescent="0.2">
      <c r="A231" s="1185" t="s">
        <v>143</v>
      </c>
      <c r="B231" s="2302"/>
      <c r="C231" s="2303"/>
      <c r="D231" s="2302" t="s">
        <v>9711</v>
      </c>
      <c r="E231" s="2304"/>
      <c r="F231" s="2304"/>
      <c r="G231" s="2303"/>
      <c r="H231" s="1184"/>
      <c r="I231" s="1060"/>
    </row>
    <row r="232" spans="1:9" ht="25.5" customHeight="1" x14ac:dyDescent="0.2">
      <c r="A232" s="1185" t="s">
        <v>143</v>
      </c>
      <c r="B232" s="2302"/>
      <c r="C232" s="2303"/>
      <c r="D232" s="2302" t="s">
        <v>9712</v>
      </c>
      <c r="E232" s="2304"/>
      <c r="F232" s="2304"/>
      <c r="G232" s="2303"/>
      <c r="H232" s="1184"/>
      <c r="I232" s="1060"/>
    </row>
    <row r="233" spans="1:9" ht="12.75" customHeight="1" x14ac:dyDescent="0.2">
      <c r="A233" s="1183" t="s">
        <v>143</v>
      </c>
      <c r="B233" s="2320"/>
      <c r="C233" s="2321"/>
      <c r="D233" s="2320" t="s">
        <v>9713</v>
      </c>
      <c r="E233" s="2322"/>
      <c r="F233" s="2322"/>
      <c r="G233" s="2321"/>
      <c r="H233" s="1180"/>
      <c r="I233" s="1063"/>
    </row>
    <row r="234" spans="1:9" ht="170.85" customHeight="1" x14ac:dyDescent="0.2">
      <c r="A234" s="2326" t="s">
        <v>197</v>
      </c>
      <c r="B234" s="2311" t="s">
        <v>7295</v>
      </c>
      <c r="C234" s="2312"/>
      <c r="D234" s="2313" t="s">
        <v>7296</v>
      </c>
      <c r="E234" s="2314"/>
      <c r="F234" s="2314"/>
      <c r="G234" s="2315"/>
      <c r="H234" s="2328" t="s">
        <v>7297</v>
      </c>
      <c r="I234" s="2330">
        <f>ROUND((67100  + 660  * 52.95) * 1 * 0.23 * 0.85 * 0.9 * 1.096,0)</f>
        <v>19679</v>
      </c>
    </row>
    <row r="235" spans="1:9" ht="12.75" customHeight="1" x14ac:dyDescent="0.2">
      <c r="A235" s="2327"/>
      <c r="B235" s="2305"/>
      <c r="C235" s="2306"/>
      <c r="D235" s="2302"/>
      <c r="E235" s="2304"/>
      <c r="F235" s="2304"/>
      <c r="G235" s="2303"/>
      <c r="H235" s="2329"/>
      <c r="I235" s="2331"/>
    </row>
    <row r="236" spans="1:9" ht="15.75" customHeight="1" x14ac:dyDescent="0.2">
      <c r="A236" s="1185" t="s">
        <v>143</v>
      </c>
      <c r="B236" s="2305"/>
      <c r="C236" s="2306"/>
      <c r="D236" s="2305" t="s">
        <v>572</v>
      </c>
      <c r="E236" s="2307"/>
      <c r="F236" s="2307"/>
      <c r="G236" s="2306"/>
      <c r="H236" s="1057"/>
      <c r="I236" s="1058"/>
    </row>
    <row r="237" spans="1:9" ht="25.5" customHeight="1" x14ac:dyDescent="0.2">
      <c r="A237" s="1185" t="s">
        <v>143</v>
      </c>
      <c r="B237" s="2302"/>
      <c r="C237" s="2303"/>
      <c r="D237" s="2302" t="s">
        <v>7298</v>
      </c>
      <c r="E237" s="2304"/>
      <c r="F237" s="2304"/>
      <c r="G237" s="2303"/>
      <c r="H237" s="1184"/>
      <c r="I237" s="1060"/>
    </row>
    <row r="238" spans="1:9" ht="51" customHeight="1" x14ac:dyDescent="0.2">
      <c r="A238" s="1185" t="s">
        <v>143</v>
      </c>
      <c r="B238" s="2302"/>
      <c r="C238" s="2303"/>
      <c r="D238" s="2302" t="s">
        <v>7299</v>
      </c>
      <c r="E238" s="2304"/>
      <c r="F238" s="2304"/>
      <c r="G238" s="2303"/>
      <c r="H238" s="1184"/>
      <c r="I238" s="1060"/>
    </row>
    <row r="239" spans="1:9" ht="165.75" customHeight="1" x14ac:dyDescent="0.2">
      <c r="A239" s="1185" t="s">
        <v>143</v>
      </c>
      <c r="B239" s="2302"/>
      <c r="C239" s="2303"/>
      <c r="D239" s="2302" t="s">
        <v>7300</v>
      </c>
      <c r="E239" s="2304"/>
      <c r="F239" s="2304"/>
      <c r="G239" s="2303"/>
      <c r="H239" s="1184"/>
      <c r="I239" s="1060"/>
    </row>
    <row r="240" spans="1:9" ht="89.25" customHeight="1" x14ac:dyDescent="0.2">
      <c r="A240" s="1185" t="s">
        <v>143</v>
      </c>
      <c r="B240" s="2302"/>
      <c r="C240" s="2303"/>
      <c r="D240" s="2302" t="s">
        <v>7301</v>
      </c>
      <c r="E240" s="2304"/>
      <c r="F240" s="2304"/>
      <c r="G240" s="2303"/>
      <c r="H240" s="1184"/>
      <c r="I240" s="1060"/>
    </row>
    <row r="241" spans="1:9" ht="41.25" customHeight="1" x14ac:dyDescent="0.2">
      <c r="A241" s="1185" t="s">
        <v>143</v>
      </c>
      <c r="B241" s="2305"/>
      <c r="C241" s="2306"/>
      <c r="D241" s="2305" t="s">
        <v>7302</v>
      </c>
      <c r="E241" s="2307"/>
      <c r="F241" s="2307"/>
      <c r="G241" s="2306"/>
      <c r="H241" s="1057"/>
      <c r="I241" s="1058"/>
    </row>
    <row r="242" spans="1:9" ht="25.5" customHeight="1" x14ac:dyDescent="0.2">
      <c r="A242" s="1185" t="s">
        <v>143</v>
      </c>
      <c r="B242" s="2302"/>
      <c r="C242" s="2303"/>
      <c r="D242" s="2302" t="s">
        <v>7303</v>
      </c>
      <c r="E242" s="2304"/>
      <c r="F242" s="2304"/>
      <c r="G242" s="2303"/>
      <c r="H242" s="1184"/>
      <c r="I242" s="1060"/>
    </row>
    <row r="243" spans="1:9" ht="25.5" customHeight="1" x14ac:dyDescent="0.2">
      <c r="A243" s="1185" t="s">
        <v>143</v>
      </c>
      <c r="B243" s="2302"/>
      <c r="C243" s="2303"/>
      <c r="D243" s="2302" t="s">
        <v>7304</v>
      </c>
      <c r="E243" s="2304"/>
      <c r="F243" s="2304"/>
      <c r="G243" s="2303"/>
      <c r="H243" s="1184"/>
      <c r="I243" s="1060"/>
    </row>
    <row r="244" spans="1:9" ht="25.5" customHeight="1" x14ac:dyDescent="0.2">
      <c r="A244" s="1185" t="s">
        <v>143</v>
      </c>
      <c r="B244" s="2302"/>
      <c r="C244" s="2303"/>
      <c r="D244" s="2302" t="s">
        <v>7305</v>
      </c>
      <c r="E244" s="2304"/>
      <c r="F244" s="2304"/>
      <c r="G244" s="2303"/>
      <c r="H244" s="1184"/>
      <c r="I244" s="1060"/>
    </row>
    <row r="245" spans="1:9" ht="12.75" customHeight="1" x14ac:dyDescent="0.2">
      <c r="A245" s="1185" t="s">
        <v>143</v>
      </c>
      <c r="B245" s="2302"/>
      <c r="C245" s="2303"/>
      <c r="D245" s="2302" t="s">
        <v>7306</v>
      </c>
      <c r="E245" s="2304"/>
      <c r="F245" s="2304"/>
      <c r="G245" s="2303"/>
      <c r="H245" s="1184"/>
      <c r="I245" s="1060"/>
    </row>
    <row r="246" spans="1:9" ht="12.75" customHeight="1" x14ac:dyDescent="0.2">
      <c r="A246" s="1185" t="s">
        <v>143</v>
      </c>
      <c r="B246" s="2302"/>
      <c r="C246" s="2303"/>
      <c r="D246" s="2302" t="s">
        <v>7307</v>
      </c>
      <c r="E246" s="2304"/>
      <c r="F246" s="2304"/>
      <c r="G246" s="2303"/>
      <c r="H246" s="1184"/>
      <c r="I246" s="1060"/>
    </row>
    <row r="247" spans="1:9" ht="25.5" customHeight="1" x14ac:dyDescent="0.2">
      <c r="A247" s="1183" t="s">
        <v>143</v>
      </c>
      <c r="B247" s="2320"/>
      <c r="C247" s="2321"/>
      <c r="D247" s="2320" t="s">
        <v>7308</v>
      </c>
      <c r="E247" s="2322"/>
      <c r="F247" s="2322"/>
      <c r="G247" s="2321"/>
      <c r="H247" s="1180"/>
      <c r="I247" s="1063"/>
    </row>
    <row r="248" spans="1:9" ht="170.85" customHeight="1" x14ac:dyDescent="0.2">
      <c r="A248" s="2326" t="s">
        <v>198</v>
      </c>
      <c r="B248" s="2311" t="s">
        <v>7309</v>
      </c>
      <c r="C248" s="2312"/>
      <c r="D248" s="2313" t="s">
        <v>7310</v>
      </c>
      <c r="E248" s="2314"/>
      <c r="F248" s="2314"/>
      <c r="G248" s="2315"/>
      <c r="H248" s="2328" t="s">
        <v>7311</v>
      </c>
      <c r="I248" s="2330">
        <f>ROUND((67100  + 660  * 46.7) * 1 * 0.23 * 0.85 * 0.9 * 1.096,0)</f>
        <v>18883</v>
      </c>
    </row>
    <row r="249" spans="1:9" ht="12.75" customHeight="1" x14ac:dyDescent="0.2">
      <c r="A249" s="2327"/>
      <c r="B249" s="2305"/>
      <c r="C249" s="2306"/>
      <c r="D249" s="2302"/>
      <c r="E249" s="2304"/>
      <c r="F249" s="2304"/>
      <c r="G249" s="2303"/>
      <c r="H249" s="2329"/>
      <c r="I249" s="2331"/>
    </row>
    <row r="250" spans="1:9" ht="15.75" customHeight="1" x14ac:dyDescent="0.2">
      <c r="A250" s="1185" t="s">
        <v>143</v>
      </c>
      <c r="B250" s="2305"/>
      <c r="C250" s="2306"/>
      <c r="D250" s="2305" t="s">
        <v>572</v>
      </c>
      <c r="E250" s="2307"/>
      <c r="F250" s="2307"/>
      <c r="G250" s="2306"/>
      <c r="H250" s="1057"/>
      <c r="I250" s="1058"/>
    </row>
    <row r="251" spans="1:9" ht="25.5" customHeight="1" x14ac:dyDescent="0.2">
      <c r="A251" s="1185" t="s">
        <v>143</v>
      </c>
      <c r="B251" s="2302"/>
      <c r="C251" s="2303"/>
      <c r="D251" s="2302" t="s">
        <v>7298</v>
      </c>
      <c r="E251" s="2304"/>
      <c r="F251" s="2304"/>
      <c r="G251" s="2303"/>
      <c r="H251" s="1184"/>
      <c r="I251" s="1060"/>
    </row>
    <row r="252" spans="1:9" ht="51" customHeight="1" x14ac:dyDescent="0.2">
      <c r="A252" s="1185" t="s">
        <v>143</v>
      </c>
      <c r="B252" s="2302"/>
      <c r="C252" s="2303"/>
      <c r="D252" s="2302" t="s">
        <v>7299</v>
      </c>
      <c r="E252" s="2304"/>
      <c r="F252" s="2304"/>
      <c r="G252" s="2303"/>
      <c r="H252" s="1184"/>
      <c r="I252" s="1060"/>
    </row>
    <row r="253" spans="1:9" ht="165.75" customHeight="1" x14ac:dyDescent="0.2">
      <c r="A253" s="1185" t="s">
        <v>143</v>
      </c>
      <c r="B253" s="2302"/>
      <c r="C253" s="2303"/>
      <c r="D253" s="2302" t="s">
        <v>7312</v>
      </c>
      <c r="E253" s="2304"/>
      <c r="F253" s="2304"/>
      <c r="G253" s="2303"/>
      <c r="H253" s="1184"/>
      <c r="I253" s="1060"/>
    </row>
    <row r="254" spans="1:9" ht="89.25" customHeight="1" x14ac:dyDescent="0.2">
      <c r="A254" s="1185" t="s">
        <v>143</v>
      </c>
      <c r="B254" s="2302"/>
      <c r="C254" s="2303"/>
      <c r="D254" s="2302" t="s">
        <v>7301</v>
      </c>
      <c r="E254" s="2304"/>
      <c r="F254" s="2304"/>
      <c r="G254" s="2303"/>
      <c r="H254" s="1184"/>
      <c r="I254" s="1060"/>
    </row>
    <row r="255" spans="1:9" ht="41.25" customHeight="1" x14ac:dyDescent="0.2">
      <c r="A255" s="1185" t="s">
        <v>143</v>
      </c>
      <c r="B255" s="2305"/>
      <c r="C255" s="2306"/>
      <c r="D255" s="2305" t="s">
        <v>7302</v>
      </c>
      <c r="E255" s="2307"/>
      <c r="F255" s="2307"/>
      <c r="G255" s="2306"/>
      <c r="H255" s="1057"/>
      <c r="I255" s="1058"/>
    </row>
    <row r="256" spans="1:9" ht="25.5" customHeight="1" x14ac:dyDescent="0.2">
      <c r="A256" s="1185" t="s">
        <v>143</v>
      </c>
      <c r="B256" s="2302"/>
      <c r="C256" s="2303"/>
      <c r="D256" s="2302" t="s">
        <v>7313</v>
      </c>
      <c r="E256" s="2304"/>
      <c r="F256" s="2304"/>
      <c r="G256" s="2303"/>
      <c r="H256" s="1184"/>
      <c r="I256" s="1060"/>
    </row>
    <row r="257" spans="1:9" ht="25.5" customHeight="1" x14ac:dyDescent="0.2">
      <c r="A257" s="1185" t="s">
        <v>143</v>
      </c>
      <c r="B257" s="2302"/>
      <c r="C257" s="2303"/>
      <c r="D257" s="2302" t="s">
        <v>7314</v>
      </c>
      <c r="E257" s="2304"/>
      <c r="F257" s="2304"/>
      <c r="G257" s="2303"/>
      <c r="H257" s="1184"/>
      <c r="I257" s="1060"/>
    </row>
    <row r="258" spans="1:9" ht="25.5" customHeight="1" x14ac:dyDescent="0.2">
      <c r="A258" s="1185" t="s">
        <v>143</v>
      </c>
      <c r="B258" s="2302"/>
      <c r="C258" s="2303"/>
      <c r="D258" s="2302" t="s">
        <v>7315</v>
      </c>
      <c r="E258" s="2304"/>
      <c r="F258" s="2304"/>
      <c r="G258" s="2303"/>
      <c r="H258" s="1184"/>
      <c r="I258" s="1060"/>
    </row>
    <row r="259" spans="1:9" ht="12.75" customHeight="1" x14ac:dyDescent="0.2">
      <c r="A259" s="1185" t="s">
        <v>143</v>
      </c>
      <c r="B259" s="2302"/>
      <c r="C259" s="2303"/>
      <c r="D259" s="2302" t="s">
        <v>7316</v>
      </c>
      <c r="E259" s="2304"/>
      <c r="F259" s="2304"/>
      <c r="G259" s="2303"/>
      <c r="H259" s="1184"/>
      <c r="I259" s="1060"/>
    </row>
    <row r="260" spans="1:9" ht="12.75" customHeight="1" x14ac:dyDescent="0.2">
      <c r="A260" s="1185" t="s">
        <v>143</v>
      </c>
      <c r="B260" s="2302"/>
      <c r="C260" s="2303"/>
      <c r="D260" s="2302" t="s">
        <v>7317</v>
      </c>
      <c r="E260" s="2304"/>
      <c r="F260" s="2304"/>
      <c r="G260" s="2303"/>
      <c r="H260" s="1184"/>
      <c r="I260" s="1060"/>
    </row>
    <row r="261" spans="1:9" ht="25.5" customHeight="1" x14ac:dyDescent="0.2">
      <c r="A261" s="1183" t="s">
        <v>143</v>
      </c>
      <c r="B261" s="2320"/>
      <c r="C261" s="2321"/>
      <c r="D261" s="2320" t="s">
        <v>7318</v>
      </c>
      <c r="E261" s="2322"/>
      <c r="F261" s="2322"/>
      <c r="G261" s="2321"/>
      <c r="H261" s="1180"/>
      <c r="I261" s="1063"/>
    </row>
    <row r="262" spans="1:9" ht="119.85" customHeight="1" x14ac:dyDescent="0.2">
      <c r="A262" s="1182" t="s">
        <v>199</v>
      </c>
      <c r="B262" s="2311" t="s">
        <v>7319</v>
      </c>
      <c r="C262" s="2312"/>
      <c r="D262" s="2313" t="s">
        <v>7320</v>
      </c>
      <c r="E262" s="2314"/>
      <c r="F262" s="2314"/>
      <c r="G262" s="2315"/>
      <c r="H262" s="1179" t="s">
        <v>9714</v>
      </c>
      <c r="I262" s="1181">
        <f>ROUND((12000  + 136  * 500) * 1 * 0.5,0)</f>
        <v>40000</v>
      </c>
    </row>
    <row r="263" spans="1:9" ht="15.75" customHeight="1" x14ac:dyDescent="0.2">
      <c r="A263" s="1185" t="s">
        <v>143</v>
      </c>
      <c r="B263" s="2305"/>
      <c r="C263" s="2306"/>
      <c r="D263" s="2305" t="s">
        <v>572</v>
      </c>
      <c r="E263" s="2307"/>
      <c r="F263" s="2307"/>
      <c r="G263" s="2306"/>
      <c r="H263" s="1057"/>
      <c r="I263" s="1058"/>
    </row>
    <row r="264" spans="1:9" ht="25.5" customHeight="1" x14ac:dyDescent="0.2">
      <c r="A264" s="1185" t="s">
        <v>143</v>
      </c>
      <c r="B264" s="2302"/>
      <c r="C264" s="2303"/>
      <c r="D264" s="2302" t="s">
        <v>7321</v>
      </c>
      <c r="E264" s="2304"/>
      <c r="F264" s="2304"/>
      <c r="G264" s="2303"/>
      <c r="H264" s="1184"/>
      <c r="I264" s="1060"/>
    </row>
    <row r="265" spans="1:9" ht="66.75" customHeight="1" x14ac:dyDescent="0.2">
      <c r="A265" s="1185" t="s">
        <v>143</v>
      </c>
      <c r="B265" s="2305"/>
      <c r="C265" s="2306"/>
      <c r="D265" s="2305" t="s">
        <v>9715</v>
      </c>
      <c r="E265" s="2307"/>
      <c r="F265" s="2307"/>
      <c r="G265" s="2306"/>
      <c r="H265" s="1057"/>
      <c r="I265" s="1058"/>
    </row>
    <row r="266" spans="1:9" ht="12.75" customHeight="1" x14ac:dyDescent="0.2">
      <c r="A266" s="1185" t="s">
        <v>143</v>
      </c>
      <c r="B266" s="2302"/>
      <c r="C266" s="2303"/>
      <c r="D266" s="2302" t="s">
        <v>7323</v>
      </c>
      <c r="E266" s="2304"/>
      <c r="F266" s="2304"/>
      <c r="G266" s="2303"/>
      <c r="H266" s="1184"/>
      <c r="I266" s="1060"/>
    </row>
    <row r="267" spans="1:9" ht="12.75" customHeight="1" x14ac:dyDescent="0.2">
      <c r="A267" s="1185" t="s">
        <v>143</v>
      </c>
      <c r="B267" s="2302"/>
      <c r="C267" s="2303"/>
      <c r="D267" s="2302" t="s">
        <v>7324</v>
      </c>
      <c r="E267" s="2304"/>
      <c r="F267" s="2304"/>
      <c r="G267" s="2303"/>
      <c r="H267" s="1184"/>
      <c r="I267" s="1060"/>
    </row>
    <row r="268" spans="1:9" ht="25.5" customHeight="1" x14ac:dyDescent="0.2">
      <c r="A268" s="1185" t="s">
        <v>143</v>
      </c>
      <c r="B268" s="2302"/>
      <c r="C268" s="2303"/>
      <c r="D268" s="2302" t="s">
        <v>9716</v>
      </c>
      <c r="E268" s="2304"/>
      <c r="F268" s="2304"/>
      <c r="G268" s="2303"/>
      <c r="H268" s="1184"/>
      <c r="I268" s="1060"/>
    </row>
    <row r="269" spans="1:9" ht="25.5" customHeight="1" x14ac:dyDescent="0.2">
      <c r="A269" s="1185" t="s">
        <v>143</v>
      </c>
      <c r="B269" s="2302"/>
      <c r="C269" s="2303"/>
      <c r="D269" s="2323" t="s">
        <v>9717</v>
      </c>
      <c r="E269" s="2324"/>
      <c r="F269" s="2324"/>
      <c r="G269" s="2325"/>
      <c r="H269" s="1184"/>
      <c r="I269" s="1060"/>
    </row>
    <row r="270" spans="1:9" ht="25.5" customHeight="1" x14ac:dyDescent="0.2">
      <c r="A270" s="1185" t="s">
        <v>143</v>
      </c>
      <c r="B270" s="2302"/>
      <c r="C270" s="2303"/>
      <c r="D270" s="2323" t="s">
        <v>9718</v>
      </c>
      <c r="E270" s="2324"/>
      <c r="F270" s="2324"/>
      <c r="G270" s="2325"/>
      <c r="H270" s="1184"/>
      <c r="I270" s="1060"/>
    </row>
    <row r="271" spans="1:9" ht="25.5" customHeight="1" x14ac:dyDescent="0.2">
      <c r="A271" s="1185" t="s">
        <v>143</v>
      </c>
      <c r="B271" s="2302"/>
      <c r="C271" s="2303"/>
      <c r="D271" s="2323" t="s">
        <v>9719</v>
      </c>
      <c r="E271" s="2324"/>
      <c r="F271" s="2324"/>
      <c r="G271" s="2325"/>
      <c r="H271" s="1184"/>
      <c r="I271" s="1060"/>
    </row>
    <row r="272" spans="1:9" ht="12.75" customHeight="1" x14ac:dyDescent="0.2">
      <c r="A272" s="1185" t="s">
        <v>143</v>
      </c>
      <c r="B272" s="2302"/>
      <c r="C272" s="2303"/>
      <c r="D272" s="2323" t="s">
        <v>9720</v>
      </c>
      <c r="E272" s="2324"/>
      <c r="F272" s="2324"/>
      <c r="G272" s="2325"/>
      <c r="H272" s="1184"/>
      <c r="I272" s="1060"/>
    </row>
    <row r="273" spans="1:9" ht="12.75" customHeight="1" x14ac:dyDescent="0.2">
      <c r="A273" s="1185" t="s">
        <v>143</v>
      </c>
      <c r="B273" s="2302"/>
      <c r="C273" s="2303"/>
      <c r="D273" s="2302" t="s">
        <v>9721</v>
      </c>
      <c r="E273" s="2304"/>
      <c r="F273" s="2304"/>
      <c r="G273" s="2303"/>
      <c r="H273" s="1184"/>
      <c r="I273" s="1060"/>
    </row>
    <row r="274" spans="1:9" ht="25.5" customHeight="1" x14ac:dyDescent="0.2">
      <c r="A274" s="1185" t="s">
        <v>143</v>
      </c>
      <c r="B274" s="2302"/>
      <c r="C274" s="2303"/>
      <c r="D274" s="2323" t="s">
        <v>9722</v>
      </c>
      <c r="E274" s="2324"/>
      <c r="F274" s="2324"/>
      <c r="G274" s="2325"/>
      <c r="H274" s="1184"/>
      <c r="I274" s="1060"/>
    </row>
    <row r="275" spans="1:9" ht="25.5" customHeight="1" x14ac:dyDescent="0.2">
      <c r="A275" s="1185" t="s">
        <v>143</v>
      </c>
      <c r="B275" s="2302"/>
      <c r="C275" s="2303"/>
      <c r="D275" s="2323" t="s">
        <v>9723</v>
      </c>
      <c r="E275" s="2324"/>
      <c r="F275" s="2324"/>
      <c r="G275" s="2325"/>
      <c r="H275" s="1184"/>
      <c r="I275" s="1060"/>
    </row>
    <row r="276" spans="1:9" ht="25.5" customHeight="1" x14ac:dyDescent="0.2">
      <c r="A276" s="1185" t="s">
        <v>143</v>
      </c>
      <c r="B276" s="2302"/>
      <c r="C276" s="2303"/>
      <c r="D276" s="2302" t="s">
        <v>9724</v>
      </c>
      <c r="E276" s="2304"/>
      <c r="F276" s="2304"/>
      <c r="G276" s="2303"/>
      <c r="H276" s="1184"/>
      <c r="I276" s="1060"/>
    </row>
    <row r="277" spans="1:9" ht="12.75" customHeight="1" x14ac:dyDescent="0.2">
      <c r="A277" s="1185" t="s">
        <v>143</v>
      </c>
      <c r="B277" s="2302"/>
      <c r="C277" s="2303"/>
      <c r="D277" s="2302" t="s">
        <v>7326</v>
      </c>
      <c r="E277" s="2304"/>
      <c r="F277" s="2304"/>
      <c r="G277" s="2303"/>
      <c r="H277" s="1184"/>
      <c r="I277" s="1060"/>
    </row>
    <row r="278" spans="1:9" ht="25.5" customHeight="1" x14ac:dyDescent="0.2">
      <c r="A278" s="1185" t="s">
        <v>143</v>
      </c>
      <c r="B278" s="2302"/>
      <c r="C278" s="2303"/>
      <c r="D278" s="2302" t="s">
        <v>7327</v>
      </c>
      <c r="E278" s="2304"/>
      <c r="F278" s="2304"/>
      <c r="G278" s="2303"/>
      <c r="H278" s="1184"/>
      <c r="I278" s="1060"/>
    </row>
    <row r="279" spans="1:9" ht="25.5" customHeight="1" x14ac:dyDescent="0.2">
      <c r="A279" s="1185" t="s">
        <v>143</v>
      </c>
      <c r="B279" s="2302"/>
      <c r="C279" s="2303"/>
      <c r="D279" s="2302" t="s">
        <v>7328</v>
      </c>
      <c r="E279" s="2304"/>
      <c r="F279" s="2304"/>
      <c r="G279" s="2303"/>
      <c r="H279" s="1184"/>
      <c r="I279" s="1060"/>
    </row>
    <row r="280" spans="1:9" ht="25.5" customHeight="1" x14ac:dyDescent="0.2">
      <c r="A280" s="1185" t="s">
        <v>143</v>
      </c>
      <c r="B280" s="2302"/>
      <c r="C280" s="2303"/>
      <c r="D280" s="2302" t="s">
        <v>7329</v>
      </c>
      <c r="E280" s="2304"/>
      <c r="F280" s="2304"/>
      <c r="G280" s="2303"/>
      <c r="H280" s="1184"/>
      <c r="I280" s="1060"/>
    </row>
    <row r="281" spans="1:9" ht="12.75" customHeight="1" x14ac:dyDescent="0.2">
      <c r="A281" s="1183" t="s">
        <v>143</v>
      </c>
      <c r="B281" s="2320"/>
      <c r="C281" s="2321"/>
      <c r="D281" s="2320" t="s">
        <v>7330</v>
      </c>
      <c r="E281" s="2322"/>
      <c r="F281" s="2322"/>
      <c r="G281" s="2321"/>
      <c r="H281" s="1180"/>
      <c r="I281" s="1063"/>
    </row>
    <row r="282" spans="1:9" ht="81.599999999999994" customHeight="1" x14ac:dyDescent="0.2">
      <c r="A282" s="1182" t="s">
        <v>200</v>
      </c>
      <c r="B282" s="2311" t="s">
        <v>7331</v>
      </c>
      <c r="C282" s="2312"/>
      <c r="D282" s="2313" t="s">
        <v>7332</v>
      </c>
      <c r="E282" s="2314"/>
      <c r="F282" s="2314"/>
      <c r="G282" s="2315"/>
      <c r="H282" s="1179" t="s">
        <v>7333</v>
      </c>
      <c r="I282" s="1181">
        <f>ROUND(11800  * 1 * 0.5 * 1.2 * 1.1 * 1.022,0)</f>
        <v>7959</v>
      </c>
    </row>
    <row r="283" spans="1:9" ht="15.75" customHeight="1" x14ac:dyDescent="0.2">
      <c r="A283" s="1185" t="s">
        <v>143</v>
      </c>
      <c r="B283" s="2305"/>
      <c r="C283" s="2306"/>
      <c r="D283" s="2305" t="s">
        <v>572</v>
      </c>
      <c r="E283" s="2307"/>
      <c r="F283" s="2307"/>
      <c r="G283" s="2306"/>
      <c r="H283" s="1057"/>
      <c r="I283" s="1058"/>
    </row>
    <row r="284" spans="1:9" ht="25.5" customHeight="1" x14ac:dyDescent="0.2">
      <c r="A284" s="1185" t="s">
        <v>143</v>
      </c>
      <c r="B284" s="2302"/>
      <c r="C284" s="2303"/>
      <c r="D284" s="2302" t="s">
        <v>7321</v>
      </c>
      <c r="E284" s="2304"/>
      <c r="F284" s="2304"/>
      <c r="G284" s="2303"/>
      <c r="H284" s="1184"/>
      <c r="I284" s="1060"/>
    </row>
    <row r="285" spans="1:9" ht="153" customHeight="1" x14ac:dyDescent="0.2">
      <c r="A285" s="1185" t="s">
        <v>143</v>
      </c>
      <c r="B285" s="2302"/>
      <c r="C285" s="2303"/>
      <c r="D285" s="2302" t="s">
        <v>7334</v>
      </c>
      <c r="E285" s="2304"/>
      <c r="F285" s="2304"/>
      <c r="G285" s="2303"/>
      <c r="H285" s="1184"/>
      <c r="I285" s="1060"/>
    </row>
    <row r="286" spans="1:9" ht="153" customHeight="1" x14ac:dyDescent="0.2">
      <c r="A286" s="1185" t="s">
        <v>143</v>
      </c>
      <c r="B286" s="2302"/>
      <c r="C286" s="2303"/>
      <c r="D286" s="2302" t="s">
        <v>7335</v>
      </c>
      <c r="E286" s="2304"/>
      <c r="F286" s="2304"/>
      <c r="G286" s="2303"/>
      <c r="H286" s="1184"/>
      <c r="I286" s="1060"/>
    </row>
    <row r="287" spans="1:9" ht="89.25" customHeight="1" x14ac:dyDescent="0.2">
      <c r="A287" s="1185" t="s">
        <v>143</v>
      </c>
      <c r="B287" s="2302"/>
      <c r="C287" s="2303"/>
      <c r="D287" s="2302" t="s">
        <v>7336</v>
      </c>
      <c r="E287" s="2304"/>
      <c r="F287" s="2304"/>
      <c r="G287" s="2303"/>
      <c r="H287" s="1184"/>
      <c r="I287" s="1060"/>
    </row>
    <row r="288" spans="1:9" ht="66.75" customHeight="1" x14ac:dyDescent="0.2">
      <c r="A288" s="1185" t="s">
        <v>143</v>
      </c>
      <c r="B288" s="2305"/>
      <c r="C288" s="2306"/>
      <c r="D288" s="2305" t="s">
        <v>7337</v>
      </c>
      <c r="E288" s="2307"/>
      <c r="F288" s="2307"/>
      <c r="G288" s="2306"/>
      <c r="H288" s="1057"/>
      <c r="I288" s="1058"/>
    </row>
    <row r="289" spans="1:9" ht="12.75" customHeight="1" x14ac:dyDescent="0.2">
      <c r="A289" s="1185" t="s">
        <v>143</v>
      </c>
      <c r="B289" s="2302"/>
      <c r="C289" s="2303"/>
      <c r="D289" s="2302" t="s">
        <v>7338</v>
      </c>
      <c r="E289" s="2304"/>
      <c r="F289" s="2304"/>
      <c r="G289" s="2303"/>
      <c r="H289" s="1184"/>
      <c r="I289" s="1060"/>
    </row>
    <row r="290" spans="1:9" ht="25.5" customHeight="1" x14ac:dyDescent="0.2">
      <c r="A290" s="1185" t="s">
        <v>143</v>
      </c>
      <c r="B290" s="2302"/>
      <c r="C290" s="2303"/>
      <c r="D290" s="2302" t="s">
        <v>7339</v>
      </c>
      <c r="E290" s="2304"/>
      <c r="F290" s="2304"/>
      <c r="G290" s="2303"/>
      <c r="H290" s="1184"/>
      <c r="I290" s="1060"/>
    </row>
    <row r="291" spans="1:9" ht="12.75" customHeight="1" x14ac:dyDescent="0.2">
      <c r="A291" s="1185" t="s">
        <v>143</v>
      </c>
      <c r="B291" s="2302"/>
      <c r="C291" s="2303"/>
      <c r="D291" s="2302" t="s">
        <v>7340</v>
      </c>
      <c r="E291" s="2304"/>
      <c r="F291" s="2304"/>
      <c r="G291" s="2303"/>
      <c r="H291" s="1184"/>
      <c r="I291" s="1060"/>
    </row>
    <row r="292" spans="1:9" ht="25.5" customHeight="1" x14ac:dyDescent="0.2">
      <c r="A292" s="1185" t="s">
        <v>143</v>
      </c>
      <c r="B292" s="2302"/>
      <c r="C292" s="2303"/>
      <c r="D292" s="2302" t="s">
        <v>7341</v>
      </c>
      <c r="E292" s="2304"/>
      <c r="F292" s="2304"/>
      <c r="G292" s="2303"/>
      <c r="H292" s="1184"/>
      <c r="I292" s="1060"/>
    </row>
    <row r="293" spans="1:9" ht="25.5" customHeight="1" x14ac:dyDescent="0.2">
      <c r="A293" s="1185" t="s">
        <v>143</v>
      </c>
      <c r="B293" s="2302"/>
      <c r="C293" s="2303"/>
      <c r="D293" s="2302" t="s">
        <v>7342</v>
      </c>
      <c r="E293" s="2304"/>
      <c r="F293" s="2304"/>
      <c r="G293" s="2303"/>
      <c r="H293" s="1184"/>
      <c r="I293" s="1060"/>
    </row>
    <row r="294" spans="1:9" ht="25.5" customHeight="1" x14ac:dyDescent="0.2">
      <c r="A294" s="1185" t="s">
        <v>143</v>
      </c>
      <c r="B294" s="2302"/>
      <c r="C294" s="2303"/>
      <c r="D294" s="2302" t="s">
        <v>7343</v>
      </c>
      <c r="E294" s="2304"/>
      <c r="F294" s="2304"/>
      <c r="G294" s="2303"/>
      <c r="H294" s="1184"/>
      <c r="I294" s="1060"/>
    </row>
    <row r="295" spans="1:9" ht="25.5" customHeight="1" x14ac:dyDescent="0.2">
      <c r="A295" s="1185" t="s">
        <v>143</v>
      </c>
      <c r="B295" s="2302"/>
      <c r="C295" s="2303"/>
      <c r="D295" s="2302" t="s">
        <v>7344</v>
      </c>
      <c r="E295" s="2304"/>
      <c r="F295" s="2304"/>
      <c r="G295" s="2303"/>
      <c r="H295" s="1184"/>
      <c r="I295" s="1060"/>
    </row>
    <row r="296" spans="1:9" ht="25.5" customHeight="1" x14ac:dyDescent="0.2">
      <c r="A296" s="1185" t="s">
        <v>143</v>
      </c>
      <c r="B296" s="2302"/>
      <c r="C296" s="2303"/>
      <c r="D296" s="2302" t="s">
        <v>7345</v>
      </c>
      <c r="E296" s="2304"/>
      <c r="F296" s="2304"/>
      <c r="G296" s="2303"/>
      <c r="H296" s="1184"/>
      <c r="I296" s="1060"/>
    </row>
    <row r="297" spans="1:9" ht="25.5" customHeight="1" x14ac:dyDescent="0.2">
      <c r="A297" s="1185" t="s">
        <v>143</v>
      </c>
      <c r="B297" s="2302"/>
      <c r="C297" s="2303"/>
      <c r="D297" s="2302" t="s">
        <v>7346</v>
      </c>
      <c r="E297" s="2304"/>
      <c r="F297" s="2304"/>
      <c r="G297" s="2303"/>
      <c r="H297" s="1184"/>
      <c r="I297" s="1060"/>
    </row>
    <row r="298" spans="1:9" ht="12.75" customHeight="1" x14ac:dyDescent="0.2">
      <c r="A298" s="1185" t="s">
        <v>143</v>
      </c>
      <c r="B298" s="2302"/>
      <c r="C298" s="2303"/>
      <c r="D298" s="2302" t="s">
        <v>7347</v>
      </c>
      <c r="E298" s="2304"/>
      <c r="F298" s="2304"/>
      <c r="G298" s="2303"/>
      <c r="H298" s="1184"/>
      <c r="I298" s="1060"/>
    </row>
    <row r="299" spans="1:9" ht="12.75" customHeight="1" x14ac:dyDescent="0.2">
      <c r="A299" s="1185" t="s">
        <v>143</v>
      </c>
      <c r="B299" s="2302"/>
      <c r="C299" s="2303"/>
      <c r="D299" s="2302" t="s">
        <v>7348</v>
      </c>
      <c r="E299" s="2304"/>
      <c r="F299" s="2304"/>
      <c r="G299" s="2303"/>
      <c r="H299" s="1184"/>
      <c r="I299" s="1060"/>
    </row>
    <row r="300" spans="1:9" ht="25.5" customHeight="1" x14ac:dyDescent="0.2">
      <c r="A300" s="1185" t="s">
        <v>143</v>
      </c>
      <c r="B300" s="2302"/>
      <c r="C300" s="2303"/>
      <c r="D300" s="2302" t="s">
        <v>7349</v>
      </c>
      <c r="E300" s="2304"/>
      <c r="F300" s="2304"/>
      <c r="G300" s="2303"/>
      <c r="H300" s="1184"/>
      <c r="I300" s="1060"/>
    </row>
    <row r="301" spans="1:9" ht="12.75" customHeight="1" x14ac:dyDescent="0.2">
      <c r="A301" s="1185" t="s">
        <v>143</v>
      </c>
      <c r="B301" s="2302"/>
      <c r="C301" s="2303"/>
      <c r="D301" s="2302" t="s">
        <v>7350</v>
      </c>
      <c r="E301" s="2304"/>
      <c r="F301" s="2304"/>
      <c r="G301" s="2303"/>
      <c r="H301" s="1184"/>
      <c r="I301" s="1060"/>
    </row>
    <row r="302" spans="1:9" ht="25.5" customHeight="1" x14ac:dyDescent="0.2">
      <c r="A302" s="1185" t="s">
        <v>143</v>
      </c>
      <c r="B302" s="2302"/>
      <c r="C302" s="2303"/>
      <c r="D302" s="2302" t="s">
        <v>7351</v>
      </c>
      <c r="E302" s="2304"/>
      <c r="F302" s="2304"/>
      <c r="G302" s="2303"/>
      <c r="H302" s="1184"/>
      <c r="I302" s="1060"/>
    </row>
    <row r="303" spans="1:9" ht="25.5" customHeight="1" x14ac:dyDescent="0.2">
      <c r="A303" s="1185" t="s">
        <v>143</v>
      </c>
      <c r="B303" s="2302"/>
      <c r="C303" s="2303"/>
      <c r="D303" s="2302" t="s">
        <v>7352</v>
      </c>
      <c r="E303" s="2304"/>
      <c r="F303" s="2304"/>
      <c r="G303" s="2303"/>
      <c r="H303" s="1184"/>
      <c r="I303" s="1060"/>
    </row>
    <row r="304" spans="1:9" ht="12.75" customHeight="1" x14ac:dyDescent="0.2">
      <c r="A304" s="1185" t="s">
        <v>143</v>
      </c>
      <c r="B304" s="2302"/>
      <c r="C304" s="2303"/>
      <c r="D304" s="2302" t="s">
        <v>7353</v>
      </c>
      <c r="E304" s="2304"/>
      <c r="F304" s="2304"/>
      <c r="G304" s="2303"/>
      <c r="H304" s="1184"/>
      <c r="I304" s="1060"/>
    </row>
    <row r="305" spans="1:9" ht="38.25" customHeight="1" x14ac:dyDescent="0.2">
      <c r="A305" s="1185" t="s">
        <v>143</v>
      </c>
      <c r="B305" s="2302"/>
      <c r="C305" s="2303"/>
      <c r="D305" s="2302" t="s">
        <v>7354</v>
      </c>
      <c r="E305" s="2304"/>
      <c r="F305" s="2304"/>
      <c r="G305" s="2303"/>
      <c r="H305" s="1184"/>
      <c r="I305" s="1060"/>
    </row>
    <row r="306" spans="1:9" ht="12.75" customHeight="1" x14ac:dyDescent="0.2">
      <c r="A306" s="1183" t="s">
        <v>143</v>
      </c>
      <c r="B306" s="2320"/>
      <c r="C306" s="2321"/>
      <c r="D306" s="2320" t="s">
        <v>7355</v>
      </c>
      <c r="E306" s="2322"/>
      <c r="F306" s="2322"/>
      <c r="G306" s="2321"/>
      <c r="H306" s="1180"/>
      <c r="I306" s="1063"/>
    </row>
    <row r="307" spans="1:9" ht="119.85" customHeight="1" x14ac:dyDescent="0.2">
      <c r="A307" s="1182" t="s">
        <v>425</v>
      </c>
      <c r="B307" s="2311" t="s">
        <v>7356</v>
      </c>
      <c r="C307" s="2312"/>
      <c r="D307" s="2313" t="s">
        <v>7357</v>
      </c>
      <c r="E307" s="2314"/>
      <c r="F307" s="2314"/>
      <c r="G307" s="2315"/>
      <c r="H307" s="1179" t="s">
        <v>9725</v>
      </c>
      <c r="I307" s="1181">
        <f>ROUND((12000  + 136  * 542.5) * 1 * 0.5 * 1.1 * 0.902,0)</f>
        <v>42555</v>
      </c>
    </row>
    <row r="308" spans="1:9" ht="15.75" customHeight="1" x14ac:dyDescent="0.2">
      <c r="A308" s="1185" t="s">
        <v>143</v>
      </c>
      <c r="B308" s="2305"/>
      <c r="C308" s="2306"/>
      <c r="D308" s="2305" t="s">
        <v>572</v>
      </c>
      <c r="E308" s="2307"/>
      <c r="F308" s="2307"/>
      <c r="G308" s="2306"/>
      <c r="H308" s="1057"/>
      <c r="I308" s="1058"/>
    </row>
    <row r="309" spans="1:9" ht="25.5" customHeight="1" x14ac:dyDescent="0.2">
      <c r="A309" s="1185" t="s">
        <v>143</v>
      </c>
      <c r="B309" s="2302"/>
      <c r="C309" s="2303"/>
      <c r="D309" s="2302" t="s">
        <v>7321</v>
      </c>
      <c r="E309" s="2304"/>
      <c r="F309" s="2304"/>
      <c r="G309" s="2303"/>
      <c r="H309" s="1184"/>
      <c r="I309" s="1060"/>
    </row>
    <row r="310" spans="1:9" ht="153" customHeight="1" x14ac:dyDescent="0.2">
      <c r="A310" s="1185" t="s">
        <v>143</v>
      </c>
      <c r="B310" s="2302"/>
      <c r="C310" s="2303"/>
      <c r="D310" s="2302" t="s">
        <v>7358</v>
      </c>
      <c r="E310" s="2304"/>
      <c r="F310" s="2304"/>
      <c r="G310" s="2303"/>
      <c r="H310" s="1184"/>
      <c r="I310" s="1060"/>
    </row>
    <row r="311" spans="1:9" ht="89.25" customHeight="1" x14ac:dyDescent="0.2">
      <c r="A311" s="1185" t="s">
        <v>143</v>
      </c>
      <c r="B311" s="2302"/>
      <c r="C311" s="2303"/>
      <c r="D311" s="2302" t="s">
        <v>9726</v>
      </c>
      <c r="E311" s="2304"/>
      <c r="F311" s="2304"/>
      <c r="G311" s="2303"/>
      <c r="H311" s="1184"/>
      <c r="I311" s="1060"/>
    </row>
    <row r="312" spans="1:9" ht="66.75" customHeight="1" x14ac:dyDescent="0.2">
      <c r="A312" s="1185" t="s">
        <v>143</v>
      </c>
      <c r="B312" s="2305"/>
      <c r="C312" s="2306"/>
      <c r="D312" s="2305" t="s">
        <v>9727</v>
      </c>
      <c r="E312" s="2307"/>
      <c r="F312" s="2307"/>
      <c r="G312" s="2306"/>
      <c r="H312" s="1057"/>
      <c r="I312" s="1058"/>
    </row>
    <row r="313" spans="1:9" ht="12.75" customHeight="1" x14ac:dyDescent="0.2">
      <c r="A313" s="1185" t="s">
        <v>143</v>
      </c>
      <c r="B313" s="2302"/>
      <c r="C313" s="2303"/>
      <c r="D313" s="2302" t="s">
        <v>7361</v>
      </c>
      <c r="E313" s="2304"/>
      <c r="F313" s="2304"/>
      <c r="G313" s="2303"/>
      <c r="H313" s="1184"/>
      <c r="I313" s="1060"/>
    </row>
    <row r="314" spans="1:9" ht="12.75" customHeight="1" x14ac:dyDescent="0.2">
      <c r="A314" s="1185" t="s">
        <v>143</v>
      </c>
      <c r="B314" s="2302"/>
      <c r="C314" s="2303"/>
      <c r="D314" s="2302" t="s">
        <v>7362</v>
      </c>
      <c r="E314" s="2304"/>
      <c r="F314" s="2304"/>
      <c r="G314" s="2303"/>
      <c r="H314" s="1184"/>
      <c r="I314" s="1060"/>
    </row>
    <row r="315" spans="1:9" ht="25.5" customHeight="1" x14ac:dyDescent="0.2">
      <c r="A315" s="1185" t="s">
        <v>143</v>
      </c>
      <c r="B315" s="2302"/>
      <c r="C315" s="2303"/>
      <c r="D315" s="2302" t="s">
        <v>7325</v>
      </c>
      <c r="E315" s="2304"/>
      <c r="F315" s="2304"/>
      <c r="G315" s="2303"/>
      <c r="H315" s="1184"/>
      <c r="I315" s="1060"/>
    </row>
    <row r="316" spans="1:9" ht="25.5" customHeight="1" x14ac:dyDescent="0.2">
      <c r="A316" s="1185" t="s">
        <v>143</v>
      </c>
      <c r="B316" s="2302"/>
      <c r="C316" s="2303"/>
      <c r="D316" s="2323" t="s">
        <v>9728</v>
      </c>
      <c r="E316" s="2324"/>
      <c r="F316" s="2324"/>
      <c r="G316" s="2325"/>
      <c r="H316" s="1184"/>
      <c r="I316" s="1060"/>
    </row>
    <row r="317" spans="1:9" ht="25.5" customHeight="1" x14ac:dyDescent="0.2">
      <c r="A317" s="1185" t="s">
        <v>143</v>
      </c>
      <c r="B317" s="2302"/>
      <c r="C317" s="2303"/>
      <c r="D317" s="2323" t="s">
        <v>9729</v>
      </c>
      <c r="E317" s="2324"/>
      <c r="F317" s="2324"/>
      <c r="G317" s="2325"/>
      <c r="H317" s="1184"/>
      <c r="I317" s="1060"/>
    </row>
    <row r="318" spans="1:9" ht="25.5" customHeight="1" x14ac:dyDescent="0.2">
      <c r="A318" s="1185" t="s">
        <v>143</v>
      </c>
      <c r="B318" s="2302"/>
      <c r="C318" s="2303"/>
      <c r="D318" s="2323" t="s">
        <v>9730</v>
      </c>
      <c r="E318" s="2324"/>
      <c r="F318" s="2324"/>
      <c r="G318" s="2325"/>
      <c r="H318" s="1184"/>
      <c r="I318" s="1060"/>
    </row>
    <row r="319" spans="1:9" ht="25.5" customHeight="1" x14ac:dyDescent="0.2">
      <c r="A319" s="1185" t="s">
        <v>143</v>
      </c>
      <c r="B319" s="2302"/>
      <c r="C319" s="2303"/>
      <c r="D319" s="2323" t="s">
        <v>9731</v>
      </c>
      <c r="E319" s="2324"/>
      <c r="F319" s="2324"/>
      <c r="G319" s="2325"/>
      <c r="H319" s="1184"/>
      <c r="I319" s="1060"/>
    </row>
    <row r="320" spans="1:9" ht="12.75" customHeight="1" x14ac:dyDescent="0.2">
      <c r="A320" s="1185" t="s">
        <v>143</v>
      </c>
      <c r="B320" s="2302"/>
      <c r="C320" s="2303"/>
      <c r="D320" s="2302" t="s">
        <v>9732</v>
      </c>
      <c r="E320" s="2304"/>
      <c r="F320" s="2304"/>
      <c r="G320" s="2303"/>
      <c r="H320" s="1184"/>
      <c r="I320" s="1060"/>
    </row>
    <row r="321" spans="1:9" ht="25.5" customHeight="1" x14ac:dyDescent="0.2">
      <c r="A321" s="1185" t="s">
        <v>143</v>
      </c>
      <c r="B321" s="2302"/>
      <c r="C321" s="2303"/>
      <c r="D321" s="2302" t="s">
        <v>9733</v>
      </c>
      <c r="E321" s="2304"/>
      <c r="F321" s="2304"/>
      <c r="G321" s="2303"/>
      <c r="H321" s="1184"/>
      <c r="I321" s="1060"/>
    </row>
    <row r="322" spans="1:9" ht="25.5" customHeight="1" x14ac:dyDescent="0.2">
      <c r="A322" s="1185" t="s">
        <v>143</v>
      </c>
      <c r="B322" s="2302"/>
      <c r="C322" s="2303"/>
      <c r="D322" s="2302" t="s">
        <v>9734</v>
      </c>
      <c r="E322" s="2304"/>
      <c r="F322" s="2304"/>
      <c r="G322" s="2303"/>
      <c r="H322" s="1184"/>
      <c r="I322" s="1060"/>
    </row>
    <row r="323" spans="1:9" ht="12.75" customHeight="1" x14ac:dyDescent="0.2">
      <c r="A323" s="1183" t="s">
        <v>143</v>
      </c>
      <c r="B323" s="2320"/>
      <c r="C323" s="2321"/>
      <c r="D323" s="2320" t="s">
        <v>9735</v>
      </c>
      <c r="E323" s="2322"/>
      <c r="F323" s="2322"/>
      <c r="G323" s="2321"/>
      <c r="H323" s="1180"/>
      <c r="I323" s="1063"/>
    </row>
    <row r="324" spans="1:9" ht="94.5" customHeight="1" x14ac:dyDescent="0.2">
      <c r="A324" s="1182" t="s">
        <v>430</v>
      </c>
      <c r="B324" s="2311" t="s">
        <v>7363</v>
      </c>
      <c r="C324" s="2312"/>
      <c r="D324" s="2313" t="s">
        <v>7364</v>
      </c>
      <c r="E324" s="2314"/>
      <c r="F324" s="2314"/>
      <c r="G324" s="2315"/>
      <c r="H324" s="1179" t="s">
        <v>7365</v>
      </c>
      <c r="I324" s="1181">
        <f>ROUND(30000  * 1 * 0.5 * 2 * 1.1 * 1.026,0)</f>
        <v>33858</v>
      </c>
    </row>
    <row r="325" spans="1:9" ht="15.75" customHeight="1" x14ac:dyDescent="0.2">
      <c r="A325" s="1185" t="s">
        <v>143</v>
      </c>
      <c r="B325" s="2305"/>
      <c r="C325" s="2306"/>
      <c r="D325" s="2305" t="s">
        <v>572</v>
      </c>
      <c r="E325" s="2307"/>
      <c r="F325" s="2307"/>
      <c r="G325" s="2306"/>
      <c r="H325" s="1057"/>
      <c r="I325" s="1058"/>
    </row>
    <row r="326" spans="1:9" ht="25.5" customHeight="1" x14ac:dyDescent="0.2">
      <c r="A326" s="1185" t="s">
        <v>143</v>
      </c>
      <c r="B326" s="2302"/>
      <c r="C326" s="2303"/>
      <c r="D326" s="2302" t="s">
        <v>7321</v>
      </c>
      <c r="E326" s="2304"/>
      <c r="F326" s="2304"/>
      <c r="G326" s="2303"/>
      <c r="H326" s="1184"/>
      <c r="I326" s="1060"/>
    </row>
    <row r="327" spans="1:9" ht="153" customHeight="1" x14ac:dyDescent="0.2">
      <c r="A327" s="1185" t="s">
        <v>143</v>
      </c>
      <c r="B327" s="2302"/>
      <c r="C327" s="2303"/>
      <c r="D327" s="2302" t="s">
        <v>7366</v>
      </c>
      <c r="E327" s="2304"/>
      <c r="F327" s="2304"/>
      <c r="G327" s="2303"/>
      <c r="H327" s="1184"/>
      <c r="I327" s="1060"/>
    </row>
    <row r="328" spans="1:9" ht="153" customHeight="1" x14ac:dyDescent="0.2">
      <c r="A328" s="1185" t="s">
        <v>143</v>
      </c>
      <c r="B328" s="2302"/>
      <c r="C328" s="2303"/>
      <c r="D328" s="2302" t="s">
        <v>7335</v>
      </c>
      <c r="E328" s="2304"/>
      <c r="F328" s="2304"/>
      <c r="G328" s="2303"/>
      <c r="H328" s="1184"/>
      <c r="I328" s="1060"/>
    </row>
    <row r="329" spans="1:9" ht="89.25" customHeight="1" x14ac:dyDescent="0.2">
      <c r="A329" s="1185" t="s">
        <v>143</v>
      </c>
      <c r="B329" s="2302"/>
      <c r="C329" s="2303"/>
      <c r="D329" s="2302" t="s">
        <v>7367</v>
      </c>
      <c r="E329" s="2304"/>
      <c r="F329" s="2304"/>
      <c r="G329" s="2303"/>
      <c r="H329" s="1184"/>
      <c r="I329" s="1060"/>
    </row>
    <row r="330" spans="1:9" ht="79.5" customHeight="1" x14ac:dyDescent="0.2">
      <c r="A330" s="1185" t="s">
        <v>143</v>
      </c>
      <c r="B330" s="2305"/>
      <c r="C330" s="2306"/>
      <c r="D330" s="2305" t="s">
        <v>7368</v>
      </c>
      <c r="E330" s="2307"/>
      <c r="F330" s="2307"/>
      <c r="G330" s="2306"/>
      <c r="H330" s="1057"/>
      <c r="I330" s="1058"/>
    </row>
    <row r="331" spans="1:9" ht="12.75" customHeight="1" x14ac:dyDescent="0.2">
      <c r="A331" s="1185" t="s">
        <v>143</v>
      </c>
      <c r="B331" s="2302"/>
      <c r="C331" s="2303"/>
      <c r="D331" s="2302" t="s">
        <v>7369</v>
      </c>
      <c r="E331" s="2304"/>
      <c r="F331" s="2304"/>
      <c r="G331" s="2303"/>
      <c r="H331" s="1184"/>
      <c r="I331" s="1060"/>
    </row>
    <row r="332" spans="1:9" ht="25.5" customHeight="1" x14ac:dyDescent="0.2">
      <c r="A332" s="1185" t="s">
        <v>143</v>
      </c>
      <c r="B332" s="2302"/>
      <c r="C332" s="2303"/>
      <c r="D332" s="2302" t="s">
        <v>7370</v>
      </c>
      <c r="E332" s="2304"/>
      <c r="F332" s="2304"/>
      <c r="G332" s="2303"/>
      <c r="H332" s="1184"/>
      <c r="I332" s="1060"/>
    </row>
    <row r="333" spans="1:9" ht="12.75" customHeight="1" x14ac:dyDescent="0.2">
      <c r="A333" s="1185" t="s">
        <v>143</v>
      </c>
      <c r="B333" s="2302"/>
      <c r="C333" s="2303"/>
      <c r="D333" s="2302" t="s">
        <v>7371</v>
      </c>
      <c r="E333" s="2304"/>
      <c r="F333" s="2304"/>
      <c r="G333" s="2303"/>
      <c r="H333" s="1184"/>
      <c r="I333" s="1060"/>
    </row>
    <row r="334" spans="1:9" ht="25.5" customHeight="1" x14ac:dyDescent="0.2">
      <c r="A334" s="1185" t="s">
        <v>143</v>
      </c>
      <c r="B334" s="2302"/>
      <c r="C334" s="2303"/>
      <c r="D334" s="2302" t="s">
        <v>7372</v>
      </c>
      <c r="E334" s="2304"/>
      <c r="F334" s="2304"/>
      <c r="G334" s="2303"/>
      <c r="H334" s="1184"/>
      <c r="I334" s="1060"/>
    </row>
    <row r="335" spans="1:9" ht="25.5" customHeight="1" x14ac:dyDescent="0.2">
      <c r="A335" s="1185" t="s">
        <v>143</v>
      </c>
      <c r="B335" s="2302"/>
      <c r="C335" s="2303"/>
      <c r="D335" s="2323" t="s">
        <v>7373</v>
      </c>
      <c r="E335" s="2324"/>
      <c r="F335" s="2324"/>
      <c r="G335" s="2325"/>
      <c r="H335" s="1184"/>
      <c r="I335" s="1060"/>
    </row>
    <row r="336" spans="1:9" ht="25.5" customHeight="1" x14ac:dyDescent="0.2">
      <c r="A336" s="1185" t="s">
        <v>143</v>
      </c>
      <c r="B336" s="2302"/>
      <c r="C336" s="2303"/>
      <c r="D336" s="2302" t="s">
        <v>7374</v>
      </c>
      <c r="E336" s="2304"/>
      <c r="F336" s="2304"/>
      <c r="G336" s="2303"/>
      <c r="H336" s="1184"/>
      <c r="I336" s="1060"/>
    </row>
    <row r="337" spans="1:9" ht="25.5" customHeight="1" x14ac:dyDescent="0.2">
      <c r="A337" s="1185" t="s">
        <v>143</v>
      </c>
      <c r="B337" s="2302"/>
      <c r="C337" s="2303"/>
      <c r="D337" s="2302" t="s">
        <v>7375</v>
      </c>
      <c r="E337" s="2304"/>
      <c r="F337" s="2304"/>
      <c r="G337" s="2303"/>
      <c r="H337" s="1184"/>
      <c r="I337" s="1060"/>
    </row>
    <row r="338" spans="1:9" ht="25.5" customHeight="1" x14ac:dyDescent="0.2">
      <c r="A338" s="1185" t="s">
        <v>143</v>
      </c>
      <c r="B338" s="2302"/>
      <c r="C338" s="2303"/>
      <c r="D338" s="2302" t="s">
        <v>7376</v>
      </c>
      <c r="E338" s="2304"/>
      <c r="F338" s="2304"/>
      <c r="G338" s="2303"/>
      <c r="H338" s="1184"/>
      <c r="I338" s="1060"/>
    </row>
    <row r="339" spans="1:9" ht="25.5" customHeight="1" x14ac:dyDescent="0.2">
      <c r="A339" s="1185" t="s">
        <v>143</v>
      </c>
      <c r="B339" s="2302"/>
      <c r="C339" s="2303"/>
      <c r="D339" s="2302" t="s">
        <v>7377</v>
      </c>
      <c r="E339" s="2304"/>
      <c r="F339" s="2304"/>
      <c r="G339" s="2303"/>
      <c r="H339" s="1184"/>
      <c r="I339" s="1060"/>
    </row>
    <row r="340" spans="1:9" ht="25.5" customHeight="1" x14ac:dyDescent="0.2">
      <c r="A340" s="1185" t="s">
        <v>143</v>
      </c>
      <c r="B340" s="2302"/>
      <c r="C340" s="2303"/>
      <c r="D340" s="2302" t="s">
        <v>7378</v>
      </c>
      <c r="E340" s="2304"/>
      <c r="F340" s="2304"/>
      <c r="G340" s="2303"/>
      <c r="H340" s="1184"/>
      <c r="I340" s="1060"/>
    </row>
    <row r="341" spans="1:9" ht="25.5" customHeight="1" x14ac:dyDescent="0.2">
      <c r="A341" s="1185" t="s">
        <v>143</v>
      </c>
      <c r="B341" s="2302"/>
      <c r="C341" s="2303"/>
      <c r="D341" s="2302" t="s">
        <v>7379</v>
      </c>
      <c r="E341" s="2304"/>
      <c r="F341" s="2304"/>
      <c r="G341" s="2303"/>
      <c r="H341" s="1184"/>
      <c r="I341" s="1060"/>
    </row>
    <row r="342" spans="1:9" ht="25.5" customHeight="1" x14ac:dyDescent="0.2">
      <c r="A342" s="1185" t="s">
        <v>143</v>
      </c>
      <c r="B342" s="2302"/>
      <c r="C342" s="2303"/>
      <c r="D342" s="2302" t="s">
        <v>7380</v>
      </c>
      <c r="E342" s="2304"/>
      <c r="F342" s="2304"/>
      <c r="G342" s="2303"/>
      <c r="H342" s="1184"/>
      <c r="I342" s="1060"/>
    </row>
    <row r="343" spans="1:9" ht="12.75" customHeight="1" x14ac:dyDescent="0.2">
      <c r="A343" s="1185" t="s">
        <v>143</v>
      </c>
      <c r="B343" s="2302"/>
      <c r="C343" s="2303"/>
      <c r="D343" s="2302" t="s">
        <v>7381</v>
      </c>
      <c r="E343" s="2304"/>
      <c r="F343" s="2304"/>
      <c r="G343" s="2303"/>
      <c r="H343" s="1184"/>
      <c r="I343" s="1060"/>
    </row>
    <row r="344" spans="1:9" ht="25.5" customHeight="1" x14ac:dyDescent="0.2">
      <c r="A344" s="1185" t="s">
        <v>143</v>
      </c>
      <c r="B344" s="2302"/>
      <c r="C344" s="2303"/>
      <c r="D344" s="2302" t="s">
        <v>7382</v>
      </c>
      <c r="E344" s="2304"/>
      <c r="F344" s="2304"/>
      <c r="G344" s="2303"/>
      <c r="H344" s="1184"/>
      <c r="I344" s="1060"/>
    </row>
    <row r="345" spans="1:9" ht="25.5" customHeight="1" x14ac:dyDescent="0.2">
      <c r="A345" s="1185" t="s">
        <v>143</v>
      </c>
      <c r="B345" s="2302"/>
      <c r="C345" s="2303"/>
      <c r="D345" s="2302" t="s">
        <v>7383</v>
      </c>
      <c r="E345" s="2304"/>
      <c r="F345" s="2304"/>
      <c r="G345" s="2303"/>
      <c r="H345" s="1184"/>
      <c r="I345" s="1060"/>
    </row>
    <row r="346" spans="1:9" ht="25.5" customHeight="1" x14ac:dyDescent="0.2">
      <c r="A346" s="1185" t="s">
        <v>143</v>
      </c>
      <c r="B346" s="2302"/>
      <c r="C346" s="2303"/>
      <c r="D346" s="2302" t="s">
        <v>7384</v>
      </c>
      <c r="E346" s="2304"/>
      <c r="F346" s="2304"/>
      <c r="G346" s="2303"/>
      <c r="H346" s="1184"/>
      <c r="I346" s="1060"/>
    </row>
    <row r="347" spans="1:9" ht="38.25" customHeight="1" x14ac:dyDescent="0.2">
      <c r="A347" s="1185" t="s">
        <v>143</v>
      </c>
      <c r="B347" s="2302"/>
      <c r="C347" s="2303"/>
      <c r="D347" s="2302" t="s">
        <v>7385</v>
      </c>
      <c r="E347" s="2304"/>
      <c r="F347" s="2304"/>
      <c r="G347" s="2303"/>
      <c r="H347" s="1184"/>
      <c r="I347" s="1060"/>
    </row>
    <row r="348" spans="1:9" ht="12.75" customHeight="1" x14ac:dyDescent="0.2">
      <c r="A348" s="1183" t="s">
        <v>143</v>
      </c>
      <c r="B348" s="2320"/>
      <c r="C348" s="2321"/>
      <c r="D348" s="2320" t="s">
        <v>7386</v>
      </c>
      <c r="E348" s="2322"/>
      <c r="F348" s="2322"/>
      <c r="G348" s="2321"/>
      <c r="H348" s="1180"/>
      <c r="I348" s="1063"/>
    </row>
    <row r="349" spans="1:9" ht="81.599999999999994" customHeight="1" x14ac:dyDescent="0.2">
      <c r="A349" s="1182" t="s">
        <v>436</v>
      </c>
      <c r="B349" s="2311" t="s">
        <v>7387</v>
      </c>
      <c r="C349" s="2312"/>
      <c r="D349" s="2313" t="s">
        <v>7388</v>
      </c>
      <c r="E349" s="2314"/>
      <c r="F349" s="2314"/>
      <c r="G349" s="2315"/>
      <c r="H349" s="1179" t="s">
        <v>7389</v>
      </c>
      <c r="I349" s="1181">
        <f>ROUND(77500  * 1 * 0.5 * 0.4 * 1.1 * 1.122,0)</f>
        <v>19130</v>
      </c>
    </row>
    <row r="350" spans="1:9" ht="15.75" customHeight="1" x14ac:dyDescent="0.2">
      <c r="A350" s="1185" t="s">
        <v>143</v>
      </c>
      <c r="B350" s="2305"/>
      <c r="C350" s="2306"/>
      <c r="D350" s="2305" t="s">
        <v>572</v>
      </c>
      <c r="E350" s="2307"/>
      <c r="F350" s="2307"/>
      <c r="G350" s="2306"/>
      <c r="H350" s="1057"/>
      <c r="I350" s="1058"/>
    </row>
    <row r="351" spans="1:9" ht="25.5" customHeight="1" x14ac:dyDescent="0.2">
      <c r="A351" s="1185" t="s">
        <v>143</v>
      </c>
      <c r="B351" s="2302"/>
      <c r="C351" s="2303"/>
      <c r="D351" s="2302" t="s">
        <v>7321</v>
      </c>
      <c r="E351" s="2304"/>
      <c r="F351" s="2304"/>
      <c r="G351" s="2303"/>
      <c r="H351" s="1184"/>
      <c r="I351" s="1060"/>
    </row>
    <row r="352" spans="1:9" ht="76.7" customHeight="1" x14ac:dyDescent="0.2">
      <c r="A352" s="1185" t="s">
        <v>143</v>
      </c>
      <c r="B352" s="2302"/>
      <c r="C352" s="2303"/>
      <c r="D352" s="2302" t="s">
        <v>7390</v>
      </c>
      <c r="E352" s="2304"/>
      <c r="F352" s="2304"/>
      <c r="G352" s="2303"/>
      <c r="H352" s="1184"/>
      <c r="I352" s="1060"/>
    </row>
    <row r="353" spans="1:9" ht="153" customHeight="1" x14ac:dyDescent="0.2">
      <c r="A353" s="1185" t="s">
        <v>143</v>
      </c>
      <c r="B353" s="2302"/>
      <c r="C353" s="2303"/>
      <c r="D353" s="2302" t="s">
        <v>7335</v>
      </c>
      <c r="E353" s="2304"/>
      <c r="F353" s="2304"/>
      <c r="G353" s="2303"/>
      <c r="H353" s="1184"/>
      <c r="I353" s="1060"/>
    </row>
    <row r="354" spans="1:9" ht="89.25" customHeight="1" x14ac:dyDescent="0.2">
      <c r="A354" s="1185" t="s">
        <v>143</v>
      </c>
      <c r="B354" s="2302"/>
      <c r="C354" s="2303"/>
      <c r="D354" s="2302" t="s">
        <v>7391</v>
      </c>
      <c r="E354" s="2304"/>
      <c r="F354" s="2304"/>
      <c r="G354" s="2303"/>
      <c r="H354" s="1184"/>
      <c r="I354" s="1060"/>
    </row>
    <row r="355" spans="1:9" ht="105" customHeight="1" x14ac:dyDescent="0.2">
      <c r="A355" s="1185" t="s">
        <v>143</v>
      </c>
      <c r="B355" s="2305"/>
      <c r="C355" s="2306"/>
      <c r="D355" s="2305" t="s">
        <v>7392</v>
      </c>
      <c r="E355" s="2307"/>
      <c r="F355" s="2307"/>
      <c r="G355" s="2306"/>
      <c r="H355" s="1057"/>
      <c r="I355" s="1058"/>
    </row>
    <row r="356" spans="1:9" ht="12.75" customHeight="1" x14ac:dyDescent="0.2">
      <c r="A356" s="1185" t="s">
        <v>143</v>
      </c>
      <c r="B356" s="2302"/>
      <c r="C356" s="2303"/>
      <c r="D356" s="2302" t="s">
        <v>7393</v>
      </c>
      <c r="E356" s="2304"/>
      <c r="F356" s="2304"/>
      <c r="G356" s="2303"/>
      <c r="H356" s="1184"/>
      <c r="I356" s="1060"/>
    </row>
    <row r="357" spans="1:9" ht="25.5" customHeight="1" x14ac:dyDescent="0.2">
      <c r="A357" s="1185" t="s">
        <v>143</v>
      </c>
      <c r="B357" s="2302"/>
      <c r="C357" s="2303"/>
      <c r="D357" s="2302" t="s">
        <v>7394</v>
      </c>
      <c r="E357" s="2304"/>
      <c r="F357" s="2304"/>
      <c r="G357" s="2303"/>
      <c r="H357" s="1184"/>
      <c r="I357" s="1060"/>
    </row>
    <row r="358" spans="1:9" ht="12.75" customHeight="1" x14ac:dyDescent="0.2">
      <c r="A358" s="1185" t="s">
        <v>143</v>
      </c>
      <c r="B358" s="2302"/>
      <c r="C358" s="2303"/>
      <c r="D358" s="2302" t="s">
        <v>7395</v>
      </c>
      <c r="E358" s="2304"/>
      <c r="F358" s="2304"/>
      <c r="G358" s="2303"/>
      <c r="H358" s="1184"/>
      <c r="I358" s="1060"/>
    </row>
    <row r="359" spans="1:9" ht="25.5" customHeight="1" x14ac:dyDescent="0.2">
      <c r="A359" s="1185" t="s">
        <v>143</v>
      </c>
      <c r="B359" s="2302"/>
      <c r="C359" s="2303"/>
      <c r="D359" s="2302" t="s">
        <v>7396</v>
      </c>
      <c r="E359" s="2304"/>
      <c r="F359" s="2304"/>
      <c r="G359" s="2303"/>
      <c r="H359" s="1184"/>
      <c r="I359" s="1060"/>
    </row>
    <row r="360" spans="1:9" ht="12.75" customHeight="1" x14ac:dyDescent="0.2">
      <c r="A360" s="1185" t="s">
        <v>143</v>
      </c>
      <c r="B360" s="2302"/>
      <c r="C360" s="2303"/>
      <c r="D360" s="2302" t="s">
        <v>7397</v>
      </c>
      <c r="E360" s="2304"/>
      <c r="F360" s="2304"/>
      <c r="G360" s="2303"/>
      <c r="H360" s="1184"/>
      <c r="I360" s="1060"/>
    </row>
    <row r="361" spans="1:9" ht="25.5" customHeight="1" x14ac:dyDescent="0.2">
      <c r="A361" s="1185" t="s">
        <v>143</v>
      </c>
      <c r="B361" s="2302"/>
      <c r="C361" s="2303"/>
      <c r="D361" s="2302" t="s">
        <v>7398</v>
      </c>
      <c r="E361" s="2304"/>
      <c r="F361" s="2304"/>
      <c r="G361" s="2303"/>
      <c r="H361" s="1184"/>
      <c r="I361" s="1060"/>
    </row>
    <row r="362" spans="1:9" ht="25.5" customHeight="1" x14ac:dyDescent="0.2">
      <c r="A362" s="1185" t="s">
        <v>143</v>
      </c>
      <c r="B362" s="2302"/>
      <c r="C362" s="2303"/>
      <c r="D362" s="2302" t="s">
        <v>7399</v>
      </c>
      <c r="E362" s="2304"/>
      <c r="F362" s="2304"/>
      <c r="G362" s="2303"/>
      <c r="H362" s="1184"/>
      <c r="I362" s="1060"/>
    </row>
    <row r="363" spans="1:9" ht="25.5" customHeight="1" x14ac:dyDescent="0.2">
      <c r="A363" s="1185" t="s">
        <v>143</v>
      </c>
      <c r="B363" s="2302"/>
      <c r="C363" s="2303"/>
      <c r="D363" s="2302" t="s">
        <v>7400</v>
      </c>
      <c r="E363" s="2304"/>
      <c r="F363" s="2304"/>
      <c r="G363" s="2303"/>
      <c r="H363" s="1184"/>
      <c r="I363" s="1060"/>
    </row>
    <row r="364" spans="1:9" ht="25.5" customHeight="1" x14ac:dyDescent="0.2">
      <c r="A364" s="1185" t="s">
        <v>143</v>
      </c>
      <c r="B364" s="2302"/>
      <c r="C364" s="2303"/>
      <c r="D364" s="2302" t="s">
        <v>7401</v>
      </c>
      <c r="E364" s="2304"/>
      <c r="F364" s="2304"/>
      <c r="G364" s="2303"/>
      <c r="H364" s="1184"/>
      <c r="I364" s="1060"/>
    </row>
    <row r="365" spans="1:9" ht="25.5" customHeight="1" x14ac:dyDescent="0.2">
      <c r="A365" s="1185" t="s">
        <v>143</v>
      </c>
      <c r="B365" s="2302"/>
      <c r="C365" s="2303"/>
      <c r="D365" s="2302" t="s">
        <v>7402</v>
      </c>
      <c r="E365" s="2304"/>
      <c r="F365" s="2304"/>
      <c r="G365" s="2303"/>
      <c r="H365" s="1184"/>
      <c r="I365" s="1060"/>
    </row>
    <row r="366" spans="1:9" ht="25.5" customHeight="1" x14ac:dyDescent="0.2">
      <c r="A366" s="1185" t="s">
        <v>143</v>
      </c>
      <c r="B366" s="2302"/>
      <c r="C366" s="2303"/>
      <c r="D366" s="2302" t="s">
        <v>7403</v>
      </c>
      <c r="E366" s="2304"/>
      <c r="F366" s="2304"/>
      <c r="G366" s="2303"/>
      <c r="H366" s="1184"/>
      <c r="I366" s="1060"/>
    </row>
    <row r="367" spans="1:9" ht="25.5" customHeight="1" x14ac:dyDescent="0.2">
      <c r="A367" s="1185" t="s">
        <v>143</v>
      </c>
      <c r="B367" s="2302"/>
      <c r="C367" s="2303"/>
      <c r="D367" s="2302" t="s">
        <v>7404</v>
      </c>
      <c r="E367" s="2304"/>
      <c r="F367" s="2304"/>
      <c r="G367" s="2303"/>
      <c r="H367" s="1184"/>
      <c r="I367" s="1060"/>
    </row>
    <row r="368" spans="1:9" ht="12.75" customHeight="1" x14ac:dyDescent="0.2">
      <c r="A368" s="1185" t="s">
        <v>143</v>
      </c>
      <c r="B368" s="2302"/>
      <c r="C368" s="2303"/>
      <c r="D368" s="2302" t="s">
        <v>7405</v>
      </c>
      <c r="E368" s="2304"/>
      <c r="F368" s="2304"/>
      <c r="G368" s="2303"/>
      <c r="H368" s="1184"/>
      <c r="I368" s="1060"/>
    </row>
    <row r="369" spans="1:9" ht="25.5" customHeight="1" x14ac:dyDescent="0.2">
      <c r="A369" s="1185" t="s">
        <v>143</v>
      </c>
      <c r="B369" s="2302"/>
      <c r="C369" s="2303"/>
      <c r="D369" s="2302" t="s">
        <v>7406</v>
      </c>
      <c r="E369" s="2304"/>
      <c r="F369" s="2304"/>
      <c r="G369" s="2303"/>
      <c r="H369" s="1184"/>
      <c r="I369" s="1060"/>
    </row>
    <row r="370" spans="1:9" ht="25.5" customHeight="1" x14ac:dyDescent="0.2">
      <c r="A370" s="1185" t="s">
        <v>143</v>
      </c>
      <c r="B370" s="2302"/>
      <c r="C370" s="2303"/>
      <c r="D370" s="2302" t="s">
        <v>7407</v>
      </c>
      <c r="E370" s="2304"/>
      <c r="F370" s="2304"/>
      <c r="G370" s="2303"/>
      <c r="H370" s="1184"/>
      <c r="I370" s="1060"/>
    </row>
    <row r="371" spans="1:9" ht="25.5" customHeight="1" x14ac:dyDescent="0.2">
      <c r="A371" s="1185" t="s">
        <v>143</v>
      </c>
      <c r="B371" s="2302"/>
      <c r="C371" s="2303"/>
      <c r="D371" s="2302" t="s">
        <v>7408</v>
      </c>
      <c r="E371" s="2304"/>
      <c r="F371" s="2304"/>
      <c r="G371" s="2303"/>
      <c r="H371" s="1184"/>
      <c r="I371" s="1060"/>
    </row>
    <row r="372" spans="1:9" ht="38.25" customHeight="1" x14ac:dyDescent="0.2">
      <c r="A372" s="1185" t="s">
        <v>143</v>
      </c>
      <c r="B372" s="2302"/>
      <c r="C372" s="2303"/>
      <c r="D372" s="2302" t="s">
        <v>7409</v>
      </c>
      <c r="E372" s="2304"/>
      <c r="F372" s="2304"/>
      <c r="G372" s="2303"/>
      <c r="H372" s="1184"/>
      <c r="I372" s="1060"/>
    </row>
    <row r="373" spans="1:9" ht="12.75" customHeight="1" x14ac:dyDescent="0.2">
      <c r="A373" s="1183" t="s">
        <v>143</v>
      </c>
      <c r="B373" s="2320"/>
      <c r="C373" s="2321"/>
      <c r="D373" s="2320" t="s">
        <v>7410</v>
      </c>
      <c r="E373" s="2322"/>
      <c r="F373" s="2322"/>
      <c r="G373" s="2321"/>
      <c r="H373" s="1180"/>
      <c r="I373" s="1063"/>
    </row>
    <row r="374" spans="1:9" ht="158.1" customHeight="1" x14ac:dyDescent="0.2">
      <c r="A374" s="2326" t="s">
        <v>733</v>
      </c>
      <c r="B374" s="2311" t="s">
        <v>7411</v>
      </c>
      <c r="C374" s="2312"/>
      <c r="D374" s="2313" t="s">
        <v>7412</v>
      </c>
      <c r="E374" s="2314"/>
      <c r="F374" s="2314"/>
      <c r="G374" s="2315"/>
      <c r="H374" s="2328" t="s">
        <v>7413</v>
      </c>
      <c r="I374" s="2330">
        <f>ROUND((33000  + 128  * 298) * 1 * 0.5 * 1.1 * 1.152,0)</f>
        <v>45077</v>
      </c>
    </row>
    <row r="375" spans="1:9" ht="12.75" customHeight="1" x14ac:dyDescent="0.2">
      <c r="A375" s="2327"/>
      <c r="B375" s="2305"/>
      <c r="C375" s="2306"/>
      <c r="D375" s="2302"/>
      <c r="E375" s="2304"/>
      <c r="F375" s="2304"/>
      <c r="G375" s="2303"/>
      <c r="H375" s="2329"/>
      <c r="I375" s="2331"/>
    </row>
    <row r="376" spans="1:9" ht="15.75" customHeight="1" x14ac:dyDescent="0.2">
      <c r="A376" s="1185" t="s">
        <v>143</v>
      </c>
      <c r="B376" s="2305"/>
      <c r="C376" s="2306"/>
      <c r="D376" s="2305" t="s">
        <v>572</v>
      </c>
      <c r="E376" s="2307"/>
      <c r="F376" s="2307"/>
      <c r="G376" s="2306"/>
      <c r="H376" s="1057"/>
      <c r="I376" s="1058"/>
    </row>
    <row r="377" spans="1:9" ht="25.5" customHeight="1" x14ac:dyDescent="0.2">
      <c r="A377" s="1185" t="s">
        <v>143</v>
      </c>
      <c r="B377" s="2302"/>
      <c r="C377" s="2303"/>
      <c r="D377" s="2302" t="s">
        <v>7321</v>
      </c>
      <c r="E377" s="2304"/>
      <c r="F377" s="2304"/>
      <c r="G377" s="2303"/>
      <c r="H377" s="1184"/>
      <c r="I377" s="1060"/>
    </row>
    <row r="378" spans="1:9" ht="153" customHeight="1" x14ac:dyDescent="0.2">
      <c r="A378" s="1185" t="s">
        <v>143</v>
      </c>
      <c r="B378" s="2302"/>
      <c r="C378" s="2303"/>
      <c r="D378" s="2302" t="s">
        <v>7414</v>
      </c>
      <c r="E378" s="2304"/>
      <c r="F378" s="2304"/>
      <c r="G378" s="2303"/>
      <c r="H378" s="1184"/>
      <c r="I378" s="1060"/>
    </row>
    <row r="379" spans="1:9" ht="89.25" customHeight="1" x14ac:dyDescent="0.2">
      <c r="A379" s="1185" t="s">
        <v>143</v>
      </c>
      <c r="B379" s="2302"/>
      <c r="C379" s="2303"/>
      <c r="D379" s="2302" t="s">
        <v>7415</v>
      </c>
      <c r="E379" s="2304"/>
      <c r="F379" s="2304"/>
      <c r="G379" s="2303"/>
      <c r="H379" s="1184"/>
      <c r="I379" s="1060"/>
    </row>
    <row r="380" spans="1:9" ht="92.25" customHeight="1" x14ac:dyDescent="0.2">
      <c r="A380" s="1185" t="s">
        <v>143</v>
      </c>
      <c r="B380" s="2305"/>
      <c r="C380" s="2306"/>
      <c r="D380" s="2305" t="s">
        <v>7322</v>
      </c>
      <c r="E380" s="2307"/>
      <c r="F380" s="2307"/>
      <c r="G380" s="2306"/>
      <c r="H380" s="1057"/>
      <c r="I380" s="1058"/>
    </row>
    <row r="381" spans="1:9" ht="12.75" customHeight="1" x14ac:dyDescent="0.2">
      <c r="A381" s="1185" t="s">
        <v>143</v>
      </c>
      <c r="B381" s="2302"/>
      <c r="C381" s="2303"/>
      <c r="D381" s="2302" t="s">
        <v>7416</v>
      </c>
      <c r="E381" s="2304"/>
      <c r="F381" s="2304"/>
      <c r="G381" s="2303"/>
      <c r="H381" s="1184"/>
      <c r="I381" s="1060"/>
    </row>
    <row r="382" spans="1:9" ht="12.75" customHeight="1" x14ac:dyDescent="0.2">
      <c r="A382" s="1185" t="s">
        <v>143</v>
      </c>
      <c r="B382" s="2302"/>
      <c r="C382" s="2303"/>
      <c r="D382" s="2302" t="s">
        <v>7417</v>
      </c>
      <c r="E382" s="2304"/>
      <c r="F382" s="2304"/>
      <c r="G382" s="2303"/>
      <c r="H382" s="1184"/>
      <c r="I382" s="1060"/>
    </row>
    <row r="383" spans="1:9" ht="25.5" customHeight="1" x14ac:dyDescent="0.2">
      <c r="A383" s="1185" t="s">
        <v>143</v>
      </c>
      <c r="B383" s="2302"/>
      <c r="C383" s="2303"/>
      <c r="D383" s="2302" t="s">
        <v>7325</v>
      </c>
      <c r="E383" s="2304"/>
      <c r="F383" s="2304"/>
      <c r="G383" s="2303"/>
      <c r="H383" s="1184"/>
      <c r="I383" s="1060"/>
    </row>
    <row r="384" spans="1:9" ht="25.5" customHeight="1" x14ac:dyDescent="0.2">
      <c r="A384" s="1185" t="s">
        <v>143</v>
      </c>
      <c r="B384" s="2302"/>
      <c r="C384" s="2303"/>
      <c r="D384" s="2323" t="s">
        <v>7418</v>
      </c>
      <c r="E384" s="2324"/>
      <c r="F384" s="2324"/>
      <c r="G384" s="2325"/>
      <c r="H384" s="1184"/>
      <c r="I384" s="1060"/>
    </row>
    <row r="385" spans="1:9" ht="25.5" customHeight="1" x14ac:dyDescent="0.2">
      <c r="A385" s="1185" t="s">
        <v>143</v>
      </c>
      <c r="B385" s="2302"/>
      <c r="C385" s="2303"/>
      <c r="D385" s="2323" t="s">
        <v>7419</v>
      </c>
      <c r="E385" s="2324"/>
      <c r="F385" s="2324"/>
      <c r="G385" s="2325"/>
      <c r="H385" s="1184"/>
      <c r="I385" s="1060"/>
    </row>
    <row r="386" spans="1:9" ht="25.5" customHeight="1" x14ac:dyDescent="0.2">
      <c r="A386" s="1185" t="s">
        <v>143</v>
      </c>
      <c r="B386" s="2302"/>
      <c r="C386" s="2303"/>
      <c r="D386" s="2323" t="s">
        <v>7420</v>
      </c>
      <c r="E386" s="2324"/>
      <c r="F386" s="2324"/>
      <c r="G386" s="2325"/>
      <c r="H386" s="1184"/>
      <c r="I386" s="1060"/>
    </row>
    <row r="387" spans="1:9" ht="25.5" customHeight="1" x14ac:dyDescent="0.2">
      <c r="A387" s="1185" t="s">
        <v>143</v>
      </c>
      <c r="B387" s="2302"/>
      <c r="C387" s="2303"/>
      <c r="D387" s="2323" t="s">
        <v>7421</v>
      </c>
      <c r="E387" s="2324"/>
      <c r="F387" s="2324"/>
      <c r="G387" s="2325"/>
      <c r="H387" s="1184"/>
      <c r="I387" s="1060"/>
    </row>
    <row r="388" spans="1:9" ht="25.5" customHeight="1" x14ac:dyDescent="0.2">
      <c r="A388" s="1185" t="s">
        <v>143</v>
      </c>
      <c r="B388" s="2302"/>
      <c r="C388" s="2303"/>
      <c r="D388" s="2302" t="s">
        <v>7422</v>
      </c>
      <c r="E388" s="2304"/>
      <c r="F388" s="2304"/>
      <c r="G388" s="2303"/>
      <c r="H388" s="1184"/>
      <c r="I388" s="1060"/>
    </row>
    <row r="389" spans="1:9" ht="25.5" customHeight="1" x14ac:dyDescent="0.2">
      <c r="A389" s="1185" t="s">
        <v>143</v>
      </c>
      <c r="B389" s="2302"/>
      <c r="C389" s="2303"/>
      <c r="D389" s="2323" t="s">
        <v>7423</v>
      </c>
      <c r="E389" s="2324"/>
      <c r="F389" s="2324"/>
      <c r="G389" s="2325"/>
      <c r="H389" s="1184"/>
      <c r="I389" s="1060"/>
    </row>
    <row r="390" spans="1:9" ht="25.5" customHeight="1" x14ac:dyDescent="0.2">
      <c r="A390" s="1185" t="s">
        <v>143</v>
      </c>
      <c r="B390" s="2302"/>
      <c r="C390" s="2303"/>
      <c r="D390" s="2323" t="s">
        <v>7424</v>
      </c>
      <c r="E390" s="2324"/>
      <c r="F390" s="2324"/>
      <c r="G390" s="2325"/>
      <c r="H390" s="1184"/>
      <c r="I390" s="1060"/>
    </row>
    <row r="391" spans="1:9" ht="25.5" customHeight="1" x14ac:dyDescent="0.2">
      <c r="A391" s="1185" t="s">
        <v>143</v>
      </c>
      <c r="B391" s="2302"/>
      <c r="C391" s="2303"/>
      <c r="D391" s="2302" t="s">
        <v>7425</v>
      </c>
      <c r="E391" s="2304"/>
      <c r="F391" s="2304"/>
      <c r="G391" s="2303"/>
      <c r="H391" s="1184"/>
      <c r="I391" s="1060"/>
    </row>
    <row r="392" spans="1:9" ht="12.75" customHeight="1" x14ac:dyDescent="0.2">
      <c r="A392" s="1185" t="s">
        <v>143</v>
      </c>
      <c r="B392" s="2302"/>
      <c r="C392" s="2303"/>
      <c r="D392" s="2302" t="s">
        <v>7426</v>
      </c>
      <c r="E392" s="2304"/>
      <c r="F392" s="2304"/>
      <c r="G392" s="2303"/>
      <c r="H392" s="1184"/>
      <c r="I392" s="1060"/>
    </row>
    <row r="393" spans="1:9" ht="25.5" customHeight="1" x14ac:dyDescent="0.2">
      <c r="A393" s="1185" t="s">
        <v>143</v>
      </c>
      <c r="B393" s="2302"/>
      <c r="C393" s="2303"/>
      <c r="D393" s="2302" t="s">
        <v>7427</v>
      </c>
      <c r="E393" s="2304"/>
      <c r="F393" s="2304"/>
      <c r="G393" s="2303"/>
      <c r="H393" s="1184"/>
      <c r="I393" s="1060"/>
    </row>
    <row r="394" spans="1:9" ht="25.5" customHeight="1" x14ac:dyDescent="0.2">
      <c r="A394" s="1185" t="s">
        <v>143</v>
      </c>
      <c r="B394" s="2302"/>
      <c r="C394" s="2303"/>
      <c r="D394" s="2302" t="s">
        <v>7428</v>
      </c>
      <c r="E394" s="2304"/>
      <c r="F394" s="2304"/>
      <c r="G394" s="2303"/>
      <c r="H394" s="1184"/>
      <c r="I394" s="1060"/>
    </row>
    <row r="395" spans="1:9" ht="25.5" customHeight="1" x14ac:dyDescent="0.2">
      <c r="A395" s="1185" t="s">
        <v>143</v>
      </c>
      <c r="B395" s="2302"/>
      <c r="C395" s="2303"/>
      <c r="D395" s="2302" t="s">
        <v>7429</v>
      </c>
      <c r="E395" s="2304"/>
      <c r="F395" s="2304"/>
      <c r="G395" s="2303"/>
      <c r="H395" s="1184"/>
      <c r="I395" s="1060"/>
    </row>
    <row r="396" spans="1:9" ht="12.75" customHeight="1" x14ac:dyDescent="0.2">
      <c r="A396" s="1183" t="s">
        <v>143</v>
      </c>
      <c r="B396" s="2320"/>
      <c r="C396" s="2321"/>
      <c r="D396" s="2320" t="s">
        <v>7430</v>
      </c>
      <c r="E396" s="2322"/>
      <c r="F396" s="2322"/>
      <c r="G396" s="2321"/>
      <c r="H396" s="1180"/>
      <c r="I396" s="1063"/>
    </row>
    <row r="397" spans="1:9" ht="132.6" customHeight="1" x14ac:dyDescent="0.2">
      <c r="A397" s="1182" t="s">
        <v>736</v>
      </c>
      <c r="B397" s="2311" t="s">
        <v>7431</v>
      </c>
      <c r="C397" s="2312"/>
      <c r="D397" s="2313" t="s">
        <v>7432</v>
      </c>
      <c r="E397" s="2314"/>
      <c r="F397" s="2314"/>
      <c r="G397" s="2315"/>
      <c r="H397" s="1179" t="s">
        <v>7433</v>
      </c>
      <c r="I397" s="1181">
        <f>ROUND((33000  + 128  * 161) * 1 * 0.5 * 1.1 * 1.112,0)</f>
        <v>32787</v>
      </c>
    </row>
    <row r="398" spans="1:9" ht="15.75" customHeight="1" x14ac:dyDescent="0.2">
      <c r="A398" s="1185" t="s">
        <v>143</v>
      </c>
      <c r="B398" s="2305"/>
      <c r="C398" s="2306"/>
      <c r="D398" s="2305" t="s">
        <v>572</v>
      </c>
      <c r="E398" s="2307"/>
      <c r="F398" s="2307"/>
      <c r="G398" s="2306"/>
      <c r="H398" s="1057"/>
      <c r="I398" s="1058"/>
    </row>
    <row r="399" spans="1:9" ht="25.5" customHeight="1" x14ac:dyDescent="0.2">
      <c r="A399" s="1185" t="s">
        <v>143</v>
      </c>
      <c r="B399" s="2302"/>
      <c r="C399" s="2303"/>
      <c r="D399" s="2302" t="s">
        <v>7321</v>
      </c>
      <c r="E399" s="2304"/>
      <c r="F399" s="2304"/>
      <c r="G399" s="2303"/>
      <c r="H399" s="1184"/>
      <c r="I399" s="1060"/>
    </row>
    <row r="400" spans="1:9" ht="153" customHeight="1" x14ac:dyDescent="0.2">
      <c r="A400" s="1185" t="s">
        <v>143</v>
      </c>
      <c r="B400" s="2302"/>
      <c r="C400" s="2303"/>
      <c r="D400" s="2302" t="s">
        <v>7414</v>
      </c>
      <c r="E400" s="2304"/>
      <c r="F400" s="2304"/>
      <c r="G400" s="2303"/>
      <c r="H400" s="1184"/>
      <c r="I400" s="1060"/>
    </row>
    <row r="401" spans="1:9" ht="89.25" customHeight="1" x14ac:dyDescent="0.2">
      <c r="A401" s="1185" t="s">
        <v>143</v>
      </c>
      <c r="B401" s="2302"/>
      <c r="C401" s="2303"/>
      <c r="D401" s="2302" t="s">
        <v>7434</v>
      </c>
      <c r="E401" s="2304"/>
      <c r="F401" s="2304"/>
      <c r="G401" s="2303"/>
      <c r="H401" s="1184"/>
      <c r="I401" s="1060"/>
    </row>
    <row r="402" spans="1:9" ht="79.5" customHeight="1" x14ac:dyDescent="0.2">
      <c r="A402" s="1185" t="s">
        <v>143</v>
      </c>
      <c r="B402" s="2305"/>
      <c r="C402" s="2306"/>
      <c r="D402" s="2305" t="s">
        <v>7435</v>
      </c>
      <c r="E402" s="2307"/>
      <c r="F402" s="2307"/>
      <c r="G402" s="2306"/>
      <c r="H402" s="1057"/>
      <c r="I402" s="1058"/>
    </row>
    <row r="403" spans="1:9" ht="12.75" customHeight="1" x14ac:dyDescent="0.2">
      <c r="A403" s="1185" t="s">
        <v>143</v>
      </c>
      <c r="B403" s="2302"/>
      <c r="C403" s="2303"/>
      <c r="D403" s="2302" t="s">
        <v>7436</v>
      </c>
      <c r="E403" s="2304"/>
      <c r="F403" s="2304"/>
      <c r="G403" s="2303"/>
      <c r="H403" s="1184"/>
      <c r="I403" s="1060"/>
    </row>
    <row r="404" spans="1:9" ht="12.75" customHeight="1" x14ac:dyDescent="0.2">
      <c r="A404" s="1185" t="s">
        <v>143</v>
      </c>
      <c r="B404" s="2302"/>
      <c r="C404" s="2303"/>
      <c r="D404" s="2302" t="s">
        <v>7437</v>
      </c>
      <c r="E404" s="2304"/>
      <c r="F404" s="2304"/>
      <c r="G404" s="2303"/>
      <c r="H404" s="1184"/>
      <c r="I404" s="1060"/>
    </row>
    <row r="405" spans="1:9" ht="25.5" customHeight="1" x14ac:dyDescent="0.2">
      <c r="A405" s="1185" t="s">
        <v>143</v>
      </c>
      <c r="B405" s="2302"/>
      <c r="C405" s="2303"/>
      <c r="D405" s="2302" t="s">
        <v>7325</v>
      </c>
      <c r="E405" s="2304"/>
      <c r="F405" s="2304"/>
      <c r="G405" s="2303"/>
      <c r="H405" s="1184"/>
      <c r="I405" s="1060"/>
    </row>
    <row r="406" spans="1:9" ht="25.5" customHeight="1" x14ac:dyDescent="0.2">
      <c r="A406" s="1185" t="s">
        <v>143</v>
      </c>
      <c r="B406" s="2302"/>
      <c r="C406" s="2303"/>
      <c r="D406" s="2323" t="s">
        <v>7438</v>
      </c>
      <c r="E406" s="2324"/>
      <c r="F406" s="2324"/>
      <c r="G406" s="2325"/>
      <c r="H406" s="1184"/>
      <c r="I406" s="1060"/>
    </row>
    <row r="407" spans="1:9" ht="25.5" customHeight="1" x14ac:dyDescent="0.2">
      <c r="A407" s="1185" t="s">
        <v>143</v>
      </c>
      <c r="B407" s="2302"/>
      <c r="C407" s="2303"/>
      <c r="D407" s="2323" t="s">
        <v>7439</v>
      </c>
      <c r="E407" s="2324"/>
      <c r="F407" s="2324"/>
      <c r="G407" s="2325"/>
      <c r="H407" s="1184"/>
      <c r="I407" s="1060"/>
    </row>
    <row r="408" spans="1:9" ht="25.5" customHeight="1" x14ac:dyDescent="0.2">
      <c r="A408" s="1185" t="s">
        <v>143</v>
      </c>
      <c r="B408" s="2302"/>
      <c r="C408" s="2303"/>
      <c r="D408" s="2323" t="s">
        <v>7440</v>
      </c>
      <c r="E408" s="2324"/>
      <c r="F408" s="2324"/>
      <c r="G408" s="2325"/>
      <c r="H408" s="1184"/>
      <c r="I408" s="1060"/>
    </row>
    <row r="409" spans="1:9" ht="12.75" customHeight="1" x14ac:dyDescent="0.2">
      <c r="A409" s="1185" t="s">
        <v>143</v>
      </c>
      <c r="B409" s="2302"/>
      <c r="C409" s="2303"/>
      <c r="D409" s="2323" t="s">
        <v>7441</v>
      </c>
      <c r="E409" s="2324"/>
      <c r="F409" s="2324"/>
      <c r="G409" s="2325"/>
      <c r="H409" s="1184"/>
      <c r="I409" s="1060"/>
    </row>
    <row r="410" spans="1:9" ht="25.5" customHeight="1" x14ac:dyDescent="0.2">
      <c r="A410" s="1185" t="s">
        <v>143</v>
      </c>
      <c r="B410" s="2302"/>
      <c r="C410" s="2303"/>
      <c r="D410" s="2302" t="s">
        <v>7442</v>
      </c>
      <c r="E410" s="2304"/>
      <c r="F410" s="2304"/>
      <c r="G410" s="2303"/>
      <c r="H410" s="1184"/>
      <c r="I410" s="1060"/>
    </row>
    <row r="411" spans="1:9" ht="25.5" customHeight="1" x14ac:dyDescent="0.2">
      <c r="A411" s="1185" t="s">
        <v>143</v>
      </c>
      <c r="B411" s="2302"/>
      <c r="C411" s="2303"/>
      <c r="D411" s="2323" t="s">
        <v>7443</v>
      </c>
      <c r="E411" s="2324"/>
      <c r="F411" s="2324"/>
      <c r="G411" s="2325"/>
      <c r="H411" s="1184"/>
      <c r="I411" s="1060"/>
    </row>
    <row r="412" spans="1:9" ht="25.5" customHeight="1" x14ac:dyDescent="0.2">
      <c r="A412" s="1185" t="s">
        <v>143</v>
      </c>
      <c r="B412" s="2302"/>
      <c r="C412" s="2303"/>
      <c r="D412" s="2323" t="s">
        <v>7444</v>
      </c>
      <c r="E412" s="2324"/>
      <c r="F412" s="2324"/>
      <c r="G412" s="2325"/>
      <c r="H412" s="1184"/>
      <c r="I412" s="1060"/>
    </row>
    <row r="413" spans="1:9" ht="25.5" customHeight="1" x14ac:dyDescent="0.2">
      <c r="A413" s="1185" t="s">
        <v>143</v>
      </c>
      <c r="B413" s="2302"/>
      <c r="C413" s="2303"/>
      <c r="D413" s="2302" t="s">
        <v>7445</v>
      </c>
      <c r="E413" s="2304"/>
      <c r="F413" s="2304"/>
      <c r="G413" s="2303"/>
      <c r="H413" s="1184"/>
      <c r="I413" s="1060"/>
    </row>
    <row r="414" spans="1:9" ht="12.75" customHeight="1" x14ac:dyDescent="0.2">
      <c r="A414" s="1185" t="s">
        <v>143</v>
      </c>
      <c r="B414" s="2302"/>
      <c r="C414" s="2303"/>
      <c r="D414" s="2302" t="s">
        <v>7446</v>
      </c>
      <c r="E414" s="2304"/>
      <c r="F414" s="2304"/>
      <c r="G414" s="2303"/>
      <c r="H414" s="1184"/>
      <c r="I414" s="1060"/>
    </row>
    <row r="415" spans="1:9" ht="25.5" customHeight="1" x14ac:dyDescent="0.2">
      <c r="A415" s="1185" t="s">
        <v>143</v>
      </c>
      <c r="B415" s="2302"/>
      <c r="C415" s="2303"/>
      <c r="D415" s="2302" t="s">
        <v>7447</v>
      </c>
      <c r="E415" s="2304"/>
      <c r="F415" s="2304"/>
      <c r="G415" s="2303"/>
      <c r="H415" s="1184"/>
      <c r="I415" s="1060"/>
    </row>
    <row r="416" spans="1:9" ht="25.5" customHeight="1" x14ac:dyDescent="0.2">
      <c r="A416" s="1185" t="s">
        <v>143</v>
      </c>
      <c r="B416" s="2302"/>
      <c r="C416" s="2303"/>
      <c r="D416" s="2302" t="s">
        <v>7448</v>
      </c>
      <c r="E416" s="2304"/>
      <c r="F416" s="2304"/>
      <c r="G416" s="2303"/>
      <c r="H416" s="1184"/>
      <c r="I416" s="1060"/>
    </row>
    <row r="417" spans="1:9" ht="25.5" customHeight="1" x14ac:dyDescent="0.2">
      <c r="A417" s="1185" t="s">
        <v>143</v>
      </c>
      <c r="B417" s="2302"/>
      <c r="C417" s="2303"/>
      <c r="D417" s="2302" t="s">
        <v>7449</v>
      </c>
      <c r="E417" s="2304"/>
      <c r="F417" s="2304"/>
      <c r="G417" s="2303"/>
      <c r="H417" s="1184"/>
      <c r="I417" s="1060"/>
    </row>
    <row r="418" spans="1:9" ht="12.75" customHeight="1" x14ac:dyDescent="0.2">
      <c r="A418" s="1183" t="s">
        <v>143</v>
      </c>
      <c r="B418" s="2320"/>
      <c r="C418" s="2321"/>
      <c r="D418" s="2320" t="s">
        <v>7450</v>
      </c>
      <c r="E418" s="2322"/>
      <c r="F418" s="2322"/>
      <c r="G418" s="2321"/>
      <c r="H418" s="1180"/>
      <c r="I418" s="1063"/>
    </row>
    <row r="419" spans="1:9" ht="145.35" customHeight="1" x14ac:dyDescent="0.2">
      <c r="A419" s="1182" t="s">
        <v>1067</v>
      </c>
      <c r="B419" s="2311" t="s">
        <v>7451</v>
      </c>
      <c r="C419" s="2312"/>
      <c r="D419" s="2313" t="s">
        <v>7452</v>
      </c>
      <c r="E419" s="2314"/>
      <c r="F419" s="2314"/>
      <c r="G419" s="2315"/>
      <c r="H419" s="1179" t="s">
        <v>7453</v>
      </c>
      <c r="I419" s="1181">
        <f>ROUND((55040  + 213  * 132.5) * 1 * 0.5 * 1.1 * 1.112,0)</f>
        <v>50923</v>
      </c>
    </row>
    <row r="420" spans="1:9" ht="15.75" customHeight="1" x14ac:dyDescent="0.2">
      <c r="A420" s="1185" t="s">
        <v>143</v>
      </c>
      <c r="B420" s="2305"/>
      <c r="C420" s="2306"/>
      <c r="D420" s="2305" t="s">
        <v>572</v>
      </c>
      <c r="E420" s="2307"/>
      <c r="F420" s="2307"/>
      <c r="G420" s="2306"/>
      <c r="H420" s="1057"/>
      <c r="I420" s="1058"/>
    </row>
    <row r="421" spans="1:9" ht="25.5" customHeight="1" x14ac:dyDescent="0.2">
      <c r="A421" s="1185" t="s">
        <v>143</v>
      </c>
      <c r="B421" s="2302"/>
      <c r="C421" s="2303"/>
      <c r="D421" s="2302" t="s">
        <v>7321</v>
      </c>
      <c r="E421" s="2304"/>
      <c r="F421" s="2304"/>
      <c r="G421" s="2303"/>
      <c r="H421" s="1184"/>
      <c r="I421" s="1060"/>
    </row>
    <row r="422" spans="1:9" ht="153" customHeight="1" x14ac:dyDescent="0.2">
      <c r="A422" s="1185" t="s">
        <v>143</v>
      </c>
      <c r="B422" s="2302"/>
      <c r="C422" s="2303"/>
      <c r="D422" s="2302" t="s">
        <v>7414</v>
      </c>
      <c r="E422" s="2304"/>
      <c r="F422" s="2304"/>
      <c r="G422" s="2303"/>
      <c r="H422" s="1184"/>
      <c r="I422" s="1060"/>
    </row>
    <row r="423" spans="1:9" ht="89.25" customHeight="1" x14ac:dyDescent="0.2">
      <c r="A423" s="1185" t="s">
        <v>143</v>
      </c>
      <c r="B423" s="2302"/>
      <c r="C423" s="2303"/>
      <c r="D423" s="2302" t="s">
        <v>7434</v>
      </c>
      <c r="E423" s="2304"/>
      <c r="F423" s="2304"/>
      <c r="G423" s="2303"/>
      <c r="H423" s="1184"/>
      <c r="I423" s="1060"/>
    </row>
    <row r="424" spans="1:9" ht="79.5" customHeight="1" x14ac:dyDescent="0.2">
      <c r="A424" s="1185" t="s">
        <v>143</v>
      </c>
      <c r="B424" s="2305"/>
      <c r="C424" s="2306"/>
      <c r="D424" s="2305" t="s">
        <v>7435</v>
      </c>
      <c r="E424" s="2307"/>
      <c r="F424" s="2307"/>
      <c r="G424" s="2306"/>
      <c r="H424" s="1057"/>
      <c r="I424" s="1058"/>
    </row>
    <row r="425" spans="1:9" ht="12.75" customHeight="1" x14ac:dyDescent="0.2">
      <c r="A425" s="1185" t="s">
        <v>143</v>
      </c>
      <c r="B425" s="2302"/>
      <c r="C425" s="2303"/>
      <c r="D425" s="2302" t="s">
        <v>7454</v>
      </c>
      <c r="E425" s="2304"/>
      <c r="F425" s="2304"/>
      <c r="G425" s="2303"/>
      <c r="H425" s="1184"/>
      <c r="I425" s="1060"/>
    </row>
    <row r="426" spans="1:9" ht="12.75" customHeight="1" x14ac:dyDescent="0.2">
      <c r="A426" s="1185" t="s">
        <v>143</v>
      </c>
      <c r="B426" s="2302"/>
      <c r="C426" s="2303"/>
      <c r="D426" s="2302" t="s">
        <v>7455</v>
      </c>
      <c r="E426" s="2304"/>
      <c r="F426" s="2304"/>
      <c r="G426" s="2303"/>
      <c r="H426" s="1184"/>
      <c r="I426" s="1060"/>
    </row>
    <row r="427" spans="1:9" ht="25.5" customHeight="1" x14ac:dyDescent="0.2">
      <c r="A427" s="1185" t="s">
        <v>143</v>
      </c>
      <c r="B427" s="2302"/>
      <c r="C427" s="2303"/>
      <c r="D427" s="2302" t="s">
        <v>7325</v>
      </c>
      <c r="E427" s="2304"/>
      <c r="F427" s="2304"/>
      <c r="G427" s="2303"/>
      <c r="H427" s="1184"/>
      <c r="I427" s="1060"/>
    </row>
    <row r="428" spans="1:9" ht="25.5" customHeight="1" x14ac:dyDescent="0.2">
      <c r="A428" s="1185" t="s">
        <v>143</v>
      </c>
      <c r="B428" s="2302"/>
      <c r="C428" s="2303"/>
      <c r="D428" s="2323" t="s">
        <v>7456</v>
      </c>
      <c r="E428" s="2324"/>
      <c r="F428" s="2324"/>
      <c r="G428" s="2325"/>
      <c r="H428" s="1184"/>
      <c r="I428" s="1060"/>
    </row>
    <row r="429" spans="1:9" ht="25.5" customHeight="1" x14ac:dyDescent="0.2">
      <c r="A429" s="1185" t="s">
        <v>143</v>
      </c>
      <c r="B429" s="2302"/>
      <c r="C429" s="2303"/>
      <c r="D429" s="2323" t="s">
        <v>7457</v>
      </c>
      <c r="E429" s="2324"/>
      <c r="F429" s="2324"/>
      <c r="G429" s="2325"/>
      <c r="H429" s="1184"/>
      <c r="I429" s="1060"/>
    </row>
    <row r="430" spans="1:9" ht="25.5" customHeight="1" x14ac:dyDescent="0.2">
      <c r="A430" s="1185" t="s">
        <v>143</v>
      </c>
      <c r="B430" s="2302"/>
      <c r="C430" s="2303"/>
      <c r="D430" s="2323" t="s">
        <v>7458</v>
      </c>
      <c r="E430" s="2324"/>
      <c r="F430" s="2324"/>
      <c r="G430" s="2325"/>
      <c r="H430" s="1184"/>
      <c r="I430" s="1060"/>
    </row>
    <row r="431" spans="1:9" ht="25.5" customHeight="1" x14ac:dyDescent="0.2">
      <c r="A431" s="1185" t="s">
        <v>143</v>
      </c>
      <c r="B431" s="2302"/>
      <c r="C431" s="2303"/>
      <c r="D431" s="2323" t="s">
        <v>7459</v>
      </c>
      <c r="E431" s="2324"/>
      <c r="F431" s="2324"/>
      <c r="G431" s="2325"/>
      <c r="H431" s="1184"/>
      <c r="I431" s="1060"/>
    </row>
    <row r="432" spans="1:9" ht="25.5" customHeight="1" x14ac:dyDescent="0.2">
      <c r="A432" s="1185" t="s">
        <v>143</v>
      </c>
      <c r="B432" s="2302"/>
      <c r="C432" s="2303"/>
      <c r="D432" s="2302" t="s">
        <v>7460</v>
      </c>
      <c r="E432" s="2304"/>
      <c r="F432" s="2304"/>
      <c r="G432" s="2303"/>
      <c r="H432" s="1184"/>
      <c r="I432" s="1060"/>
    </row>
    <row r="433" spans="1:9" ht="25.5" customHeight="1" x14ac:dyDescent="0.2">
      <c r="A433" s="1185" t="s">
        <v>143</v>
      </c>
      <c r="B433" s="2302"/>
      <c r="C433" s="2303"/>
      <c r="D433" s="2323" t="s">
        <v>7461</v>
      </c>
      <c r="E433" s="2324"/>
      <c r="F433" s="2324"/>
      <c r="G433" s="2325"/>
      <c r="H433" s="1184"/>
      <c r="I433" s="1060"/>
    </row>
    <row r="434" spans="1:9" ht="25.5" customHeight="1" x14ac:dyDescent="0.2">
      <c r="A434" s="1185" t="s">
        <v>143</v>
      </c>
      <c r="B434" s="2302"/>
      <c r="C434" s="2303"/>
      <c r="D434" s="2323" t="s">
        <v>7462</v>
      </c>
      <c r="E434" s="2324"/>
      <c r="F434" s="2324"/>
      <c r="G434" s="2325"/>
      <c r="H434" s="1184"/>
      <c r="I434" s="1060"/>
    </row>
    <row r="435" spans="1:9" ht="25.5" customHeight="1" x14ac:dyDescent="0.2">
      <c r="A435" s="1185" t="s">
        <v>143</v>
      </c>
      <c r="B435" s="2302"/>
      <c r="C435" s="2303"/>
      <c r="D435" s="2302" t="s">
        <v>7463</v>
      </c>
      <c r="E435" s="2304"/>
      <c r="F435" s="2304"/>
      <c r="G435" s="2303"/>
      <c r="H435" s="1184"/>
      <c r="I435" s="1060"/>
    </row>
    <row r="436" spans="1:9" ht="12.75" customHeight="1" x14ac:dyDescent="0.2">
      <c r="A436" s="1185" t="s">
        <v>143</v>
      </c>
      <c r="B436" s="2302"/>
      <c r="C436" s="2303"/>
      <c r="D436" s="2302" t="s">
        <v>7464</v>
      </c>
      <c r="E436" s="2304"/>
      <c r="F436" s="2304"/>
      <c r="G436" s="2303"/>
      <c r="H436" s="1184"/>
      <c r="I436" s="1060"/>
    </row>
    <row r="437" spans="1:9" ht="25.5" customHeight="1" x14ac:dyDescent="0.2">
      <c r="A437" s="1185" t="s">
        <v>143</v>
      </c>
      <c r="B437" s="2302"/>
      <c r="C437" s="2303"/>
      <c r="D437" s="2302" t="s">
        <v>7465</v>
      </c>
      <c r="E437" s="2304"/>
      <c r="F437" s="2304"/>
      <c r="G437" s="2303"/>
      <c r="H437" s="1184"/>
      <c r="I437" s="1060"/>
    </row>
    <row r="438" spans="1:9" ht="25.5" customHeight="1" x14ac:dyDescent="0.2">
      <c r="A438" s="1185" t="s">
        <v>143</v>
      </c>
      <c r="B438" s="2302"/>
      <c r="C438" s="2303"/>
      <c r="D438" s="2302" t="s">
        <v>7466</v>
      </c>
      <c r="E438" s="2304"/>
      <c r="F438" s="2304"/>
      <c r="G438" s="2303"/>
      <c r="H438" s="1184"/>
      <c r="I438" s="1060"/>
    </row>
    <row r="439" spans="1:9" ht="25.5" customHeight="1" x14ac:dyDescent="0.2">
      <c r="A439" s="1185" t="s">
        <v>143</v>
      </c>
      <c r="B439" s="2302"/>
      <c r="C439" s="2303"/>
      <c r="D439" s="2302" t="s">
        <v>7467</v>
      </c>
      <c r="E439" s="2304"/>
      <c r="F439" s="2304"/>
      <c r="G439" s="2303"/>
      <c r="H439" s="1184"/>
      <c r="I439" s="1060"/>
    </row>
    <row r="440" spans="1:9" ht="12.75" customHeight="1" x14ac:dyDescent="0.2">
      <c r="A440" s="1183" t="s">
        <v>143</v>
      </c>
      <c r="B440" s="2320"/>
      <c r="C440" s="2321"/>
      <c r="D440" s="2320" t="s">
        <v>7468</v>
      </c>
      <c r="E440" s="2322"/>
      <c r="F440" s="2322"/>
      <c r="G440" s="2321"/>
      <c r="H440" s="1180"/>
      <c r="I440" s="1063"/>
    </row>
    <row r="441" spans="1:9" ht="158.1" customHeight="1" x14ac:dyDescent="0.2">
      <c r="A441" s="1182" t="s">
        <v>912</v>
      </c>
      <c r="B441" s="2311" t="s">
        <v>7469</v>
      </c>
      <c r="C441" s="2312"/>
      <c r="D441" s="2313" t="s">
        <v>7470</v>
      </c>
      <c r="E441" s="2314"/>
      <c r="F441" s="2314"/>
      <c r="G441" s="2315"/>
      <c r="H441" s="1179" t="s">
        <v>7471</v>
      </c>
      <c r="I441" s="1181">
        <f>ROUND((76400  + 310  * 521) * 1 * 0.5 * 1.1 * 1.112,0)</f>
        <v>145506</v>
      </c>
    </row>
    <row r="442" spans="1:9" ht="15.75" customHeight="1" x14ac:dyDescent="0.2">
      <c r="A442" s="1185" t="s">
        <v>143</v>
      </c>
      <c r="B442" s="2305"/>
      <c r="C442" s="2306"/>
      <c r="D442" s="2305" t="s">
        <v>572</v>
      </c>
      <c r="E442" s="2307"/>
      <c r="F442" s="2307"/>
      <c r="G442" s="2306"/>
      <c r="H442" s="1057"/>
      <c r="I442" s="1058"/>
    </row>
    <row r="443" spans="1:9" ht="25.5" customHeight="1" x14ac:dyDescent="0.2">
      <c r="A443" s="1185" t="s">
        <v>143</v>
      </c>
      <c r="B443" s="2302"/>
      <c r="C443" s="2303"/>
      <c r="D443" s="2302" t="s">
        <v>7321</v>
      </c>
      <c r="E443" s="2304"/>
      <c r="F443" s="2304"/>
      <c r="G443" s="2303"/>
      <c r="H443" s="1184"/>
      <c r="I443" s="1060"/>
    </row>
    <row r="444" spans="1:9" ht="153" customHeight="1" x14ac:dyDescent="0.2">
      <c r="A444" s="1185" t="s">
        <v>143</v>
      </c>
      <c r="B444" s="2302"/>
      <c r="C444" s="2303"/>
      <c r="D444" s="2302" t="s">
        <v>7414</v>
      </c>
      <c r="E444" s="2304"/>
      <c r="F444" s="2304"/>
      <c r="G444" s="2303"/>
      <c r="H444" s="1184"/>
      <c r="I444" s="1060"/>
    </row>
    <row r="445" spans="1:9" ht="89.25" customHeight="1" x14ac:dyDescent="0.2">
      <c r="A445" s="1185" t="s">
        <v>143</v>
      </c>
      <c r="B445" s="2302"/>
      <c r="C445" s="2303"/>
      <c r="D445" s="2302" t="s">
        <v>7434</v>
      </c>
      <c r="E445" s="2304"/>
      <c r="F445" s="2304"/>
      <c r="G445" s="2303"/>
      <c r="H445" s="1184"/>
      <c r="I445" s="1060"/>
    </row>
    <row r="446" spans="1:9" ht="79.5" customHeight="1" x14ac:dyDescent="0.2">
      <c r="A446" s="1185" t="s">
        <v>143</v>
      </c>
      <c r="B446" s="2305"/>
      <c r="C446" s="2306"/>
      <c r="D446" s="2305" t="s">
        <v>7435</v>
      </c>
      <c r="E446" s="2307"/>
      <c r="F446" s="2307"/>
      <c r="G446" s="2306"/>
      <c r="H446" s="1057"/>
      <c r="I446" s="1058"/>
    </row>
    <row r="447" spans="1:9" ht="12.75" customHeight="1" x14ac:dyDescent="0.2">
      <c r="A447" s="1185" t="s">
        <v>143</v>
      </c>
      <c r="B447" s="2302"/>
      <c r="C447" s="2303"/>
      <c r="D447" s="2302" t="s">
        <v>7472</v>
      </c>
      <c r="E447" s="2304"/>
      <c r="F447" s="2304"/>
      <c r="G447" s="2303"/>
      <c r="H447" s="1184"/>
      <c r="I447" s="1060"/>
    </row>
    <row r="448" spans="1:9" ht="12.75" customHeight="1" x14ac:dyDescent="0.2">
      <c r="A448" s="1185" t="s">
        <v>143</v>
      </c>
      <c r="B448" s="2302"/>
      <c r="C448" s="2303"/>
      <c r="D448" s="2302" t="s">
        <v>7473</v>
      </c>
      <c r="E448" s="2304"/>
      <c r="F448" s="2304"/>
      <c r="G448" s="2303"/>
      <c r="H448" s="1184"/>
      <c r="I448" s="1060"/>
    </row>
    <row r="449" spans="1:9" ht="25.5" customHeight="1" x14ac:dyDescent="0.2">
      <c r="A449" s="1185" t="s">
        <v>143</v>
      </c>
      <c r="B449" s="2302"/>
      <c r="C449" s="2303"/>
      <c r="D449" s="2302" t="s">
        <v>7325</v>
      </c>
      <c r="E449" s="2304"/>
      <c r="F449" s="2304"/>
      <c r="G449" s="2303"/>
      <c r="H449" s="1184"/>
      <c r="I449" s="1060"/>
    </row>
    <row r="450" spans="1:9" ht="25.5" customHeight="1" x14ac:dyDescent="0.2">
      <c r="A450" s="1185" t="s">
        <v>143</v>
      </c>
      <c r="B450" s="2302"/>
      <c r="C450" s="2303"/>
      <c r="D450" s="2323" t="s">
        <v>7474</v>
      </c>
      <c r="E450" s="2324"/>
      <c r="F450" s="2324"/>
      <c r="G450" s="2325"/>
      <c r="H450" s="1184"/>
      <c r="I450" s="1060"/>
    </row>
    <row r="451" spans="1:9" ht="25.5" customHeight="1" x14ac:dyDescent="0.2">
      <c r="A451" s="1185" t="s">
        <v>143</v>
      </c>
      <c r="B451" s="2302"/>
      <c r="C451" s="2303"/>
      <c r="D451" s="2323" t="s">
        <v>7475</v>
      </c>
      <c r="E451" s="2324"/>
      <c r="F451" s="2324"/>
      <c r="G451" s="2325"/>
      <c r="H451" s="1184"/>
      <c r="I451" s="1060"/>
    </row>
    <row r="452" spans="1:9" ht="25.5" customHeight="1" x14ac:dyDescent="0.2">
      <c r="A452" s="1185" t="s">
        <v>143</v>
      </c>
      <c r="B452" s="2302"/>
      <c r="C452" s="2303"/>
      <c r="D452" s="2323" t="s">
        <v>7476</v>
      </c>
      <c r="E452" s="2324"/>
      <c r="F452" s="2324"/>
      <c r="G452" s="2325"/>
      <c r="H452" s="1184"/>
      <c r="I452" s="1060"/>
    </row>
    <row r="453" spans="1:9" ht="25.5" customHeight="1" x14ac:dyDescent="0.2">
      <c r="A453" s="1185" t="s">
        <v>143</v>
      </c>
      <c r="B453" s="2302"/>
      <c r="C453" s="2303"/>
      <c r="D453" s="2323" t="s">
        <v>7477</v>
      </c>
      <c r="E453" s="2324"/>
      <c r="F453" s="2324"/>
      <c r="G453" s="2325"/>
      <c r="H453" s="1184"/>
      <c r="I453" s="1060"/>
    </row>
    <row r="454" spans="1:9" ht="25.5" customHeight="1" x14ac:dyDescent="0.2">
      <c r="A454" s="1185" t="s">
        <v>143</v>
      </c>
      <c r="B454" s="2302"/>
      <c r="C454" s="2303"/>
      <c r="D454" s="2302" t="s">
        <v>7478</v>
      </c>
      <c r="E454" s="2304"/>
      <c r="F454" s="2304"/>
      <c r="G454" s="2303"/>
      <c r="H454" s="1184"/>
      <c r="I454" s="1060"/>
    </row>
    <row r="455" spans="1:9" ht="25.5" customHeight="1" x14ac:dyDescent="0.2">
      <c r="A455" s="1185" t="s">
        <v>143</v>
      </c>
      <c r="B455" s="2302"/>
      <c r="C455" s="2303"/>
      <c r="D455" s="2323" t="s">
        <v>7479</v>
      </c>
      <c r="E455" s="2324"/>
      <c r="F455" s="2324"/>
      <c r="G455" s="2325"/>
      <c r="H455" s="1184"/>
      <c r="I455" s="1060"/>
    </row>
    <row r="456" spans="1:9" ht="25.5" customHeight="1" x14ac:dyDescent="0.2">
      <c r="A456" s="1185" t="s">
        <v>143</v>
      </c>
      <c r="B456" s="2302"/>
      <c r="C456" s="2303"/>
      <c r="D456" s="2323" t="s">
        <v>7480</v>
      </c>
      <c r="E456" s="2324"/>
      <c r="F456" s="2324"/>
      <c r="G456" s="2325"/>
      <c r="H456" s="1184"/>
      <c r="I456" s="1060"/>
    </row>
    <row r="457" spans="1:9" ht="25.5" customHeight="1" x14ac:dyDescent="0.2">
      <c r="A457" s="1185" t="s">
        <v>143</v>
      </c>
      <c r="B457" s="2302"/>
      <c r="C457" s="2303"/>
      <c r="D457" s="2302" t="s">
        <v>7481</v>
      </c>
      <c r="E457" s="2304"/>
      <c r="F457" s="2304"/>
      <c r="G457" s="2303"/>
      <c r="H457" s="1184"/>
      <c r="I457" s="1060"/>
    </row>
    <row r="458" spans="1:9" ht="12.75" customHeight="1" x14ac:dyDescent="0.2">
      <c r="A458" s="1185" t="s">
        <v>143</v>
      </c>
      <c r="B458" s="2302"/>
      <c r="C458" s="2303"/>
      <c r="D458" s="2302" t="s">
        <v>7482</v>
      </c>
      <c r="E458" s="2304"/>
      <c r="F458" s="2304"/>
      <c r="G458" s="2303"/>
      <c r="H458" s="1184"/>
      <c r="I458" s="1060"/>
    </row>
    <row r="459" spans="1:9" ht="25.5" customHeight="1" x14ac:dyDescent="0.2">
      <c r="A459" s="1185" t="s">
        <v>143</v>
      </c>
      <c r="B459" s="2302"/>
      <c r="C459" s="2303"/>
      <c r="D459" s="2302" t="s">
        <v>7483</v>
      </c>
      <c r="E459" s="2304"/>
      <c r="F459" s="2304"/>
      <c r="G459" s="2303"/>
      <c r="H459" s="1184"/>
      <c r="I459" s="1060"/>
    </row>
    <row r="460" spans="1:9" ht="25.5" customHeight="1" x14ac:dyDescent="0.2">
      <c r="A460" s="1185" t="s">
        <v>143</v>
      </c>
      <c r="B460" s="2302"/>
      <c r="C460" s="2303"/>
      <c r="D460" s="2302" t="s">
        <v>7484</v>
      </c>
      <c r="E460" s="2304"/>
      <c r="F460" s="2304"/>
      <c r="G460" s="2303"/>
      <c r="H460" s="1184"/>
      <c r="I460" s="1060"/>
    </row>
    <row r="461" spans="1:9" ht="25.5" customHeight="1" x14ac:dyDescent="0.2">
      <c r="A461" s="1185" t="s">
        <v>143</v>
      </c>
      <c r="B461" s="2302"/>
      <c r="C461" s="2303"/>
      <c r="D461" s="2302" t="s">
        <v>7485</v>
      </c>
      <c r="E461" s="2304"/>
      <c r="F461" s="2304"/>
      <c r="G461" s="2303"/>
      <c r="H461" s="1184"/>
      <c r="I461" s="1060"/>
    </row>
    <row r="462" spans="1:9" ht="12.75" customHeight="1" x14ac:dyDescent="0.2">
      <c r="A462" s="1183" t="s">
        <v>143</v>
      </c>
      <c r="B462" s="2320"/>
      <c r="C462" s="2321"/>
      <c r="D462" s="2320" t="s">
        <v>7486</v>
      </c>
      <c r="E462" s="2322"/>
      <c r="F462" s="2322"/>
      <c r="G462" s="2321"/>
      <c r="H462" s="1180"/>
      <c r="I462" s="1063"/>
    </row>
    <row r="463" spans="1:9" ht="158.1" customHeight="1" x14ac:dyDescent="0.2">
      <c r="A463" s="1182" t="s">
        <v>757</v>
      </c>
      <c r="B463" s="2311" t="s">
        <v>7487</v>
      </c>
      <c r="C463" s="2312"/>
      <c r="D463" s="2313" t="s">
        <v>7488</v>
      </c>
      <c r="E463" s="2314"/>
      <c r="F463" s="2314"/>
      <c r="G463" s="2315"/>
      <c r="H463" s="1179" t="s">
        <v>7489</v>
      </c>
      <c r="I463" s="1181">
        <f>ROUND((147380  + 242530  * (0.4 * 0.25 + 0.6 * 0.25 / 2)) * 1 * 0.6 * 0.2 * 0.7 * 1.126,0)</f>
        <v>17954</v>
      </c>
    </row>
    <row r="464" spans="1:9" ht="15.75" customHeight="1" x14ac:dyDescent="0.2">
      <c r="A464" s="1185" t="s">
        <v>143</v>
      </c>
      <c r="B464" s="2305"/>
      <c r="C464" s="2306"/>
      <c r="D464" s="2305" t="s">
        <v>572</v>
      </c>
      <c r="E464" s="2307"/>
      <c r="F464" s="2307"/>
      <c r="G464" s="2306"/>
      <c r="H464" s="1057"/>
      <c r="I464" s="1058"/>
    </row>
    <row r="465" spans="1:9" ht="25.5" customHeight="1" x14ac:dyDescent="0.2">
      <c r="A465" s="1185" t="s">
        <v>143</v>
      </c>
      <c r="B465" s="2302"/>
      <c r="C465" s="2303"/>
      <c r="D465" s="2302" t="s">
        <v>7490</v>
      </c>
      <c r="E465" s="2304"/>
      <c r="F465" s="2304"/>
      <c r="G465" s="2303"/>
      <c r="H465" s="1184"/>
      <c r="I465" s="1060"/>
    </row>
    <row r="466" spans="1:9" ht="114.75" customHeight="1" x14ac:dyDescent="0.2">
      <c r="A466" s="1185" t="s">
        <v>143</v>
      </c>
      <c r="B466" s="2302"/>
      <c r="C466" s="2303"/>
      <c r="D466" s="2302" t="s">
        <v>7491</v>
      </c>
      <c r="E466" s="2304"/>
      <c r="F466" s="2304"/>
      <c r="G466" s="2303"/>
      <c r="H466" s="1184"/>
      <c r="I466" s="1060"/>
    </row>
    <row r="467" spans="1:9" ht="76.7" customHeight="1" x14ac:dyDescent="0.2">
      <c r="A467" s="1185" t="s">
        <v>143</v>
      </c>
      <c r="B467" s="2302"/>
      <c r="C467" s="2303"/>
      <c r="D467" s="2302" t="s">
        <v>7492</v>
      </c>
      <c r="E467" s="2304"/>
      <c r="F467" s="2304"/>
      <c r="G467" s="2303"/>
      <c r="H467" s="1184"/>
      <c r="I467" s="1060"/>
    </row>
    <row r="468" spans="1:9" ht="89.25" customHeight="1" x14ac:dyDescent="0.2">
      <c r="A468" s="1185" t="s">
        <v>143</v>
      </c>
      <c r="B468" s="2302"/>
      <c r="C468" s="2303"/>
      <c r="D468" s="2302" t="s">
        <v>7493</v>
      </c>
      <c r="E468" s="2304"/>
      <c r="F468" s="2304"/>
      <c r="G468" s="2303"/>
      <c r="H468" s="1184"/>
      <c r="I468" s="1060"/>
    </row>
    <row r="469" spans="1:9" ht="92.25" customHeight="1" x14ac:dyDescent="0.2">
      <c r="A469" s="1185" t="s">
        <v>143</v>
      </c>
      <c r="B469" s="2305"/>
      <c r="C469" s="2306"/>
      <c r="D469" s="2305" t="s">
        <v>7494</v>
      </c>
      <c r="E469" s="2307"/>
      <c r="F469" s="2307"/>
      <c r="G469" s="2306"/>
      <c r="H469" s="1057"/>
      <c r="I469" s="1058"/>
    </row>
    <row r="470" spans="1:9" ht="12.75" customHeight="1" x14ac:dyDescent="0.2">
      <c r="A470" s="1185" t="s">
        <v>143</v>
      </c>
      <c r="B470" s="2302"/>
      <c r="C470" s="2303"/>
      <c r="D470" s="2302" t="s">
        <v>7495</v>
      </c>
      <c r="E470" s="2304"/>
      <c r="F470" s="2304"/>
      <c r="G470" s="2303"/>
      <c r="H470" s="1184"/>
      <c r="I470" s="1060"/>
    </row>
    <row r="471" spans="1:9" ht="25.5" customHeight="1" x14ac:dyDescent="0.2">
      <c r="A471" s="1185" t="s">
        <v>143</v>
      </c>
      <c r="B471" s="2302"/>
      <c r="C471" s="2303"/>
      <c r="D471" s="2302" t="s">
        <v>7496</v>
      </c>
      <c r="E471" s="2304"/>
      <c r="F471" s="2304"/>
      <c r="G471" s="2303"/>
      <c r="H471" s="1184"/>
      <c r="I471" s="1060"/>
    </row>
    <row r="472" spans="1:9" ht="12.75" customHeight="1" x14ac:dyDescent="0.2">
      <c r="A472" s="1185" t="s">
        <v>143</v>
      </c>
      <c r="B472" s="2302"/>
      <c r="C472" s="2303"/>
      <c r="D472" s="2302" t="s">
        <v>7497</v>
      </c>
      <c r="E472" s="2304"/>
      <c r="F472" s="2304"/>
      <c r="G472" s="2303"/>
      <c r="H472" s="1184"/>
      <c r="I472" s="1060"/>
    </row>
    <row r="473" spans="1:9" ht="25.5" customHeight="1" x14ac:dyDescent="0.2">
      <c r="A473" s="1185" t="s">
        <v>143</v>
      </c>
      <c r="B473" s="2302"/>
      <c r="C473" s="2303"/>
      <c r="D473" s="2302" t="s">
        <v>7498</v>
      </c>
      <c r="E473" s="2304"/>
      <c r="F473" s="2304"/>
      <c r="G473" s="2303"/>
      <c r="H473" s="1184"/>
      <c r="I473" s="1060"/>
    </row>
    <row r="474" spans="1:9" ht="12.75" customHeight="1" x14ac:dyDescent="0.2">
      <c r="A474" s="1185" t="s">
        <v>143</v>
      </c>
      <c r="B474" s="2302"/>
      <c r="C474" s="2303"/>
      <c r="D474" s="2302" t="s">
        <v>7397</v>
      </c>
      <c r="E474" s="2304"/>
      <c r="F474" s="2304"/>
      <c r="G474" s="2303"/>
      <c r="H474" s="1184"/>
      <c r="I474" s="1060"/>
    </row>
    <row r="475" spans="1:9" ht="25.5" customHeight="1" x14ac:dyDescent="0.2">
      <c r="A475" s="1185" t="s">
        <v>143</v>
      </c>
      <c r="B475" s="2302"/>
      <c r="C475" s="2303"/>
      <c r="D475" s="2302" t="s">
        <v>7499</v>
      </c>
      <c r="E475" s="2304"/>
      <c r="F475" s="2304"/>
      <c r="G475" s="2303"/>
      <c r="H475" s="1184"/>
      <c r="I475" s="1060"/>
    </row>
    <row r="476" spans="1:9" ht="25.5" customHeight="1" x14ac:dyDescent="0.2">
      <c r="A476" s="1185" t="s">
        <v>143</v>
      </c>
      <c r="B476" s="2302"/>
      <c r="C476" s="2303"/>
      <c r="D476" s="2302" t="s">
        <v>7500</v>
      </c>
      <c r="E476" s="2304"/>
      <c r="F476" s="2304"/>
      <c r="G476" s="2303"/>
      <c r="H476" s="1184"/>
      <c r="I476" s="1060"/>
    </row>
    <row r="477" spans="1:9" ht="25.5" customHeight="1" x14ac:dyDescent="0.2">
      <c r="A477" s="1185" t="s">
        <v>143</v>
      </c>
      <c r="B477" s="2302"/>
      <c r="C477" s="2303"/>
      <c r="D477" s="2302" t="s">
        <v>7501</v>
      </c>
      <c r="E477" s="2304"/>
      <c r="F477" s="2304"/>
      <c r="G477" s="2303"/>
      <c r="H477" s="1184"/>
      <c r="I477" s="1060"/>
    </row>
    <row r="478" spans="1:9" ht="25.5" customHeight="1" x14ac:dyDescent="0.2">
      <c r="A478" s="1185" t="s">
        <v>143</v>
      </c>
      <c r="B478" s="2302"/>
      <c r="C478" s="2303"/>
      <c r="D478" s="2302" t="s">
        <v>7502</v>
      </c>
      <c r="E478" s="2304"/>
      <c r="F478" s="2304"/>
      <c r="G478" s="2303"/>
      <c r="H478" s="1184"/>
      <c r="I478" s="1060"/>
    </row>
    <row r="479" spans="1:9" ht="25.5" customHeight="1" x14ac:dyDescent="0.2">
      <c r="A479" s="1185" t="s">
        <v>143</v>
      </c>
      <c r="B479" s="2302"/>
      <c r="C479" s="2303"/>
      <c r="D479" s="2302" t="s">
        <v>7503</v>
      </c>
      <c r="E479" s="2304"/>
      <c r="F479" s="2304"/>
      <c r="G479" s="2303"/>
      <c r="H479" s="1184"/>
      <c r="I479" s="1060"/>
    </row>
    <row r="480" spans="1:9" ht="25.5" customHeight="1" x14ac:dyDescent="0.2">
      <c r="A480" s="1185" t="s">
        <v>143</v>
      </c>
      <c r="B480" s="2302"/>
      <c r="C480" s="2303"/>
      <c r="D480" s="2302" t="s">
        <v>7504</v>
      </c>
      <c r="E480" s="2304"/>
      <c r="F480" s="2304"/>
      <c r="G480" s="2303"/>
      <c r="H480" s="1184"/>
      <c r="I480" s="1060"/>
    </row>
    <row r="481" spans="1:9" ht="12.75" customHeight="1" x14ac:dyDescent="0.2">
      <c r="A481" s="1185" t="s">
        <v>143</v>
      </c>
      <c r="B481" s="2302"/>
      <c r="C481" s="2303"/>
      <c r="D481" s="2302" t="s">
        <v>7505</v>
      </c>
      <c r="E481" s="2304"/>
      <c r="F481" s="2304"/>
      <c r="G481" s="2303"/>
      <c r="H481" s="1184"/>
      <c r="I481" s="1060"/>
    </row>
    <row r="482" spans="1:9" ht="25.5" customHeight="1" x14ac:dyDescent="0.2">
      <c r="A482" s="1185" t="s">
        <v>143</v>
      </c>
      <c r="B482" s="2302"/>
      <c r="C482" s="2303"/>
      <c r="D482" s="2302" t="s">
        <v>7506</v>
      </c>
      <c r="E482" s="2304"/>
      <c r="F482" s="2304"/>
      <c r="G482" s="2303"/>
      <c r="H482" s="1184"/>
      <c r="I482" s="1060"/>
    </row>
    <row r="483" spans="1:9" ht="25.5" customHeight="1" x14ac:dyDescent="0.2">
      <c r="A483" s="1185" t="s">
        <v>143</v>
      </c>
      <c r="B483" s="2302"/>
      <c r="C483" s="2303"/>
      <c r="D483" s="2302" t="s">
        <v>7507</v>
      </c>
      <c r="E483" s="2304"/>
      <c r="F483" s="2304"/>
      <c r="G483" s="2303"/>
      <c r="H483" s="1184"/>
      <c r="I483" s="1060"/>
    </row>
    <row r="484" spans="1:9" ht="25.5" customHeight="1" x14ac:dyDescent="0.2">
      <c r="A484" s="1185" t="s">
        <v>143</v>
      </c>
      <c r="B484" s="2302"/>
      <c r="C484" s="2303"/>
      <c r="D484" s="2302" t="s">
        <v>7508</v>
      </c>
      <c r="E484" s="2304"/>
      <c r="F484" s="2304"/>
      <c r="G484" s="2303"/>
      <c r="H484" s="1184"/>
      <c r="I484" s="1060"/>
    </row>
    <row r="485" spans="1:9" ht="38.25" customHeight="1" x14ac:dyDescent="0.2">
      <c r="A485" s="1185" t="s">
        <v>143</v>
      </c>
      <c r="B485" s="2302"/>
      <c r="C485" s="2303"/>
      <c r="D485" s="2302" t="s">
        <v>7509</v>
      </c>
      <c r="E485" s="2304"/>
      <c r="F485" s="2304"/>
      <c r="G485" s="2303"/>
      <c r="H485" s="1184"/>
      <c r="I485" s="1060"/>
    </row>
    <row r="486" spans="1:9" ht="12.75" customHeight="1" x14ac:dyDescent="0.2">
      <c r="A486" s="1183" t="s">
        <v>143</v>
      </c>
      <c r="B486" s="2320"/>
      <c r="C486" s="2321"/>
      <c r="D486" s="2320" t="s">
        <v>7510</v>
      </c>
      <c r="E486" s="2322"/>
      <c r="F486" s="2322"/>
      <c r="G486" s="2321"/>
      <c r="H486" s="1180"/>
      <c r="I486" s="1063"/>
    </row>
    <row r="487" spans="1:9" ht="158.1" customHeight="1" x14ac:dyDescent="0.2">
      <c r="A487" s="1182" t="s">
        <v>1079</v>
      </c>
      <c r="B487" s="2311" t="s">
        <v>7511</v>
      </c>
      <c r="C487" s="2312"/>
      <c r="D487" s="2313" t="s">
        <v>7512</v>
      </c>
      <c r="E487" s="2314"/>
      <c r="F487" s="2314"/>
      <c r="G487" s="2315"/>
      <c r="H487" s="1179" t="s">
        <v>7489</v>
      </c>
      <c r="I487" s="1181">
        <f>ROUND((147380  + 242530  * (0.4 * 0.25 + 0.6 * 0.25 / 2)) * 1 * 0.6 * 0.2 * 0.7 * 1.126,0)</f>
        <v>17954</v>
      </c>
    </row>
    <row r="488" spans="1:9" ht="15.75" customHeight="1" x14ac:dyDescent="0.2">
      <c r="A488" s="1185" t="s">
        <v>143</v>
      </c>
      <c r="B488" s="2305"/>
      <c r="C488" s="2306"/>
      <c r="D488" s="2305" t="s">
        <v>572</v>
      </c>
      <c r="E488" s="2307"/>
      <c r="F488" s="2307"/>
      <c r="G488" s="2306"/>
      <c r="H488" s="1057"/>
      <c r="I488" s="1058"/>
    </row>
    <row r="489" spans="1:9" ht="25.5" customHeight="1" x14ac:dyDescent="0.2">
      <c r="A489" s="1185" t="s">
        <v>143</v>
      </c>
      <c r="B489" s="2302"/>
      <c r="C489" s="2303"/>
      <c r="D489" s="2302" t="s">
        <v>7490</v>
      </c>
      <c r="E489" s="2304"/>
      <c r="F489" s="2304"/>
      <c r="G489" s="2303"/>
      <c r="H489" s="1184"/>
      <c r="I489" s="1060"/>
    </row>
    <row r="490" spans="1:9" ht="114.75" customHeight="1" x14ac:dyDescent="0.2">
      <c r="A490" s="1185" t="s">
        <v>143</v>
      </c>
      <c r="B490" s="2302"/>
      <c r="C490" s="2303"/>
      <c r="D490" s="2302" t="s">
        <v>7491</v>
      </c>
      <c r="E490" s="2304"/>
      <c r="F490" s="2304"/>
      <c r="G490" s="2303"/>
      <c r="H490" s="1184"/>
      <c r="I490" s="1060"/>
    </row>
    <row r="491" spans="1:9" ht="76.7" customHeight="1" x14ac:dyDescent="0.2">
      <c r="A491" s="1185" t="s">
        <v>143</v>
      </c>
      <c r="B491" s="2302"/>
      <c r="C491" s="2303"/>
      <c r="D491" s="2302" t="s">
        <v>7492</v>
      </c>
      <c r="E491" s="2304"/>
      <c r="F491" s="2304"/>
      <c r="G491" s="2303"/>
      <c r="H491" s="1184"/>
      <c r="I491" s="1060"/>
    </row>
    <row r="492" spans="1:9" ht="89.25" customHeight="1" x14ac:dyDescent="0.2">
      <c r="A492" s="1185" t="s">
        <v>143</v>
      </c>
      <c r="B492" s="2302"/>
      <c r="C492" s="2303"/>
      <c r="D492" s="2302" t="s">
        <v>7493</v>
      </c>
      <c r="E492" s="2304"/>
      <c r="F492" s="2304"/>
      <c r="G492" s="2303"/>
      <c r="H492" s="1184"/>
      <c r="I492" s="1060"/>
    </row>
    <row r="493" spans="1:9" ht="92.25" customHeight="1" x14ac:dyDescent="0.2">
      <c r="A493" s="1185" t="s">
        <v>143</v>
      </c>
      <c r="B493" s="2305"/>
      <c r="C493" s="2306"/>
      <c r="D493" s="2305" t="s">
        <v>7494</v>
      </c>
      <c r="E493" s="2307"/>
      <c r="F493" s="2307"/>
      <c r="G493" s="2306"/>
      <c r="H493" s="1057"/>
      <c r="I493" s="1058"/>
    </row>
    <row r="494" spans="1:9" ht="12.75" customHeight="1" x14ac:dyDescent="0.2">
      <c r="A494" s="1185" t="s">
        <v>143</v>
      </c>
      <c r="B494" s="2302"/>
      <c r="C494" s="2303"/>
      <c r="D494" s="2302" t="s">
        <v>7495</v>
      </c>
      <c r="E494" s="2304"/>
      <c r="F494" s="2304"/>
      <c r="G494" s="2303"/>
      <c r="H494" s="1184"/>
      <c r="I494" s="1060"/>
    </row>
    <row r="495" spans="1:9" ht="25.5" customHeight="1" x14ac:dyDescent="0.2">
      <c r="A495" s="1185" t="s">
        <v>143</v>
      </c>
      <c r="B495" s="2302"/>
      <c r="C495" s="2303"/>
      <c r="D495" s="2302" t="s">
        <v>7496</v>
      </c>
      <c r="E495" s="2304"/>
      <c r="F495" s="2304"/>
      <c r="G495" s="2303"/>
      <c r="H495" s="1184"/>
      <c r="I495" s="1060"/>
    </row>
    <row r="496" spans="1:9" ht="12.75" customHeight="1" x14ac:dyDescent="0.2">
      <c r="A496" s="1185" t="s">
        <v>143</v>
      </c>
      <c r="B496" s="2302"/>
      <c r="C496" s="2303"/>
      <c r="D496" s="2302" t="s">
        <v>7497</v>
      </c>
      <c r="E496" s="2304"/>
      <c r="F496" s="2304"/>
      <c r="G496" s="2303"/>
      <c r="H496" s="1184"/>
      <c r="I496" s="1060"/>
    </row>
    <row r="497" spans="1:9" ht="25.5" customHeight="1" x14ac:dyDescent="0.2">
      <c r="A497" s="1185" t="s">
        <v>143</v>
      </c>
      <c r="B497" s="2302"/>
      <c r="C497" s="2303"/>
      <c r="D497" s="2302" t="s">
        <v>7498</v>
      </c>
      <c r="E497" s="2304"/>
      <c r="F497" s="2304"/>
      <c r="G497" s="2303"/>
      <c r="H497" s="1184"/>
      <c r="I497" s="1060"/>
    </row>
    <row r="498" spans="1:9" ht="12.75" customHeight="1" x14ac:dyDescent="0.2">
      <c r="A498" s="1185" t="s">
        <v>143</v>
      </c>
      <c r="B498" s="2302"/>
      <c r="C498" s="2303"/>
      <c r="D498" s="2302" t="s">
        <v>7397</v>
      </c>
      <c r="E498" s="2304"/>
      <c r="F498" s="2304"/>
      <c r="G498" s="2303"/>
      <c r="H498" s="1184"/>
      <c r="I498" s="1060"/>
    </row>
    <row r="499" spans="1:9" ht="25.5" customHeight="1" x14ac:dyDescent="0.2">
      <c r="A499" s="1185" t="s">
        <v>143</v>
      </c>
      <c r="B499" s="2302"/>
      <c r="C499" s="2303"/>
      <c r="D499" s="2302" t="s">
        <v>7499</v>
      </c>
      <c r="E499" s="2304"/>
      <c r="F499" s="2304"/>
      <c r="G499" s="2303"/>
      <c r="H499" s="1184"/>
      <c r="I499" s="1060"/>
    </row>
    <row r="500" spans="1:9" ht="25.5" customHeight="1" x14ac:dyDescent="0.2">
      <c r="A500" s="1185" t="s">
        <v>143</v>
      </c>
      <c r="B500" s="2302"/>
      <c r="C500" s="2303"/>
      <c r="D500" s="2302" t="s">
        <v>7500</v>
      </c>
      <c r="E500" s="2304"/>
      <c r="F500" s="2304"/>
      <c r="G500" s="2303"/>
      <c r="H500" s="1184"/>
      <c r="I500" s="1060"/>
    </row>
    <row r="501" spans="1:9" ht="25.5" customHeight="1" x14ac:dyDescent="0.2">
      <c r="A501" s="1185" t="s">
        <v>143</v>
      </c>
      <c r="B501" s="2302"/>
      <c r="C501" s="2303"/>
      <c r="D501" s="2302" t="s">
        <v>7501</v>
      </c>
      <c r="E501" s="2304"/>
      <c r="F501" s="2304"/>
      <c r="G501" s="2303"/>
      <c r="H501" s="1184"/>
      <c r="I501" s="1060"/>
    </row>
    <row r="502" spans="1:9" ht="25.5" customHeight="1" x14ac:dyDescent="0.2">
      <c r="A502" s="1185" t="s">
        <v>143</v>
      </c>
      <c r="B502" s="2302"/>
      <c r="C502" s="2303"/>
      <c r="D502" s="2302" t="s">
        <v>7502</v>
      </c>
      <c r="E502" s="2304"/>
      <c r="F502" s="2304"/>
      <c r="G502" s="2303"/>
      <c r="H502" s="1184"/>
      <c r="I502" s="1060"/>
    </row>
    <row r="503" spans="1:9" ht="25.5" customHeight="1" x14ac:dyDescent="0.2">
      <c r="A503" s="1185" t="s">
        <v>143</v>
      </c>
      <c r="B503" s="2302"/>
      <c r="C503" s="2303"/>
      <c r="D503" s="2302" t="s">
        <v>7503</v>
      </c>
      <c r="E503" s="2304"/>
      <c r="F503" s="2304"/>
      <c r="G503" s="2303"/>
      <c r="H503" s="1184"/>
      <c r="I503" s="1060"/>
    </row>
    <row r="504" spans="1:9" ht="25.5" customHeight="1" x14ac:dyDescent="0.2">
      <c r="A504" s="1185" t="s">
        <v>143</v>
      </c>
      <c r="B504" s="2302"/>
      <c r="C504" s="2303"/>
      <c r="D504" s="2302" t="s">
        <v>7504</v>
      </c>
      <c r="E504" s="2304"/>
      <c r="F504" s="2304"/>
      <c r="G504" s="2303"/>
      <c r="H504" s="1184"/>
      <c r="I504" s="1060"/>
    </row>
    <row r="505" spans="1:9" ht="12.75" customHeight="1" x14ac:dyDescent="0.2">
      <c r="A505" s="1185" t="s">
        <v>143</v>
      </c>
      <c r="B505" s="2302"/>
      <c r="C505" s="2303"/>
      <c r="D505" s="2302" t="s">
        <v>7505</v>
      </c>
      <c r="E505" s="2304"/>
      <c r="F505" s="2304"/>
      <c r="G505" s="2303"/>
      <c r="H505" s="1184"/>
      <c r="I505" s="1060"/>
    </row>
    <row r="506" spans="1:9" ht="25.5" customHeight="1" x14ac:dyDescent="0.2">
      <c r="A506" s="1185" t="s">
        <v>143</v>
      </c>
      <c r="B506" s="2302"/>
      <c r="C506" s="2303"/>
      <c r="D506" s="2302" t="s">
        <v>7506</v>
      </c>
      <c r="E506" s="2304"/>
      <c r="F506" s="2304"/>
      <c r="G506" s="2303"/>
      <c r="H506" s="1184"/>
      <c r="I506" s="1060"/>
    </row>
    <row r="507" spans="1:9" ht="25.5" customHeight="1" x14ac:dyDescent="0.2">
      <c r="A507" s="1185" t="s">
        <v>143</v>
      </c>
      <c r="B507" s="2302"/>
      <c r="C507" s="2303"/>
      <c r="D507" s="2302" t="s">
        <v>7507</v>
      </c>
      <c r="E507" s="2304"/>
      <c r="F507" s="2304"/>
      <c r="G507" s="2303"/>
      <c r="H507" s="1184"/>
      <c r="I507" s="1060"/>
    </row>
    <row r="508" spans="1:9" ht="25.5" customHeight="1" x14ac:dyDescent="0.2">
      <c r="A508" s="1185" t="s">
        <v>143</v>
      </c>
      <c r="B508" s="2302"/>
      <c r="C508" s="2303"/>
      <c r="D508" s="2302" t="s">
        <v>7508</v>
      </c>
      <c r="E508" s="2304"/>
      <c r="F508" s="2304"/>
      <c r="G508" s="2303"/>
      <c r="H508" s="1184"/>
      <c r="I508" s="1060"/>
    </row>
    <row r="509" spans="1:9" ht="38.25" customHeight="1" x14ac:dyDescent="0.2">
      <c r="A509" s="1185" t="s">
        <v>143</v>
      </c>
      <c r="B509" s="2302"/>
      <c r="C509" s="2303"/>
      <c r="D509" s="2302" t="s">
        <v>7509</v>
      </c>
      <c r="E509" s="2304"/>
      <c r="F509" s="2304"/>
      <c r="G509" s="2303"/>
      <c r="H509" s="1184"/>
      <c r="I509" s="1060"/>
    </row>
    <row r="510" spans="1:9" ht="12.75" customHeight="1" x14ac:dyDescent="0.2">
      <c r="A510" s="1183" t="s">
        <v>143</v>
      </c>
      <c r="B510" s="2320"/>
      <c r="C510" s="2321"/>
      <c r="D510" s="2320" t="s">
        <v>7510</v>
      </c>
      <c r="E510" s="2322"/>
      <c r="F510" s="2322"/>
      <c r="G510" s="2321"/>
      <c r="H510" s="1180"/>
      <c r="I510" s="1063"/>
    </row>
    <row r="511" spans="1:9" ht="145.35" customHeight="1" x14ac:dyDescent="0.2">
      <c r="A511" s="1182" t="s">
        <v>759</v>
      </c>
      <c r="B511" s="2311" t="s">
        <v>7513</v>
      </c>
      <c r="C511" s="2312"/>
      <c r="D511" s="2313" t="s">
        <v>7514</v>
      </c>
      <c r="E511" s="2314"/>
      <c r="F511" s="2314"/>
      <c r="G511" s="2315"/>
      <c r="H511" s="1179" t="s">
        <v>7515</v>
      </c>
      <c r="I511" s="1181">
        <f>ROUND((33000  + 128  * 100) * 1 * 0.5 * 0.7 * 0.7 * 1.1 * 1.109,0)</f>
        <v>13688</v>
      </c>
    </row>
    <row r="512" spans="1:9" ht="15.75" customHeight="1" x14ac:dyDescent="0.2">
      <c r="A512" s="1185" t="s">
        <v>143</v>
      </c>
      <c r="B512" s="2305"/>
      <c r="C512" s="2306"/>
      <c r="D512" s="2305" t="s">
        <v>572</v>
      </c>
      <c r="E512" s="2307"/>
      <c r="F512" s="2307"/>
      <c r="G512" s="2306"/>
      <c r="H512" s="1057"/>
      <c r="I512" s="1058"/>
    </row>
    <row r="513" spans="1:9" ht="25.5" customHeight="1" x14ac:dyDescent="0.2">
      <c r="A513" s="1185" t="s">
        <v>143</v>
      </c>
      <c r="B513" s="2302"/>
      <c r="C513" s="2303"/>
      <c r="D513" s="2302" t="s">
        <v>7321</v>
      </c>
      <c r="E513" s="2304"/>
      <c r="F513" s="2304"/>
      <c r="G513" s="2303"/>
      <c r="H513" s="1184"/>
      <c r="I513" s="1060"/>
    </row>
    <row r="514" spans="1:9" ht="25.5" customHeight="1" x14ac:dyDescent="0.2">
      <c r="A514" s="1185" t="s">
        <v>143</v>
      </c>
      <c r="B514" s="2302"/>
      <c r="C514" s="2303"/>
      <c r="D514" s="2302" t="s">
        <v>7516</v>
      </c>
      <c r="E514" s="2304"/>
      <c r="F514" s="2304"/>
      <c r="G514" s="2303"/>
      <c r="H514" s="1184"/>
      <c r="I514" s="1060"/>
    </row>
    <row r="515" spans="1:9" ht="51" customHeight="1" x14ac:dyDescent="0.2">
      <c r="A515" s="1185" t="s">
        <v>143</v>
      </c>
      <c r="B515" s="2302"/>
      <c r="C515" s="2303"/>
      <c r="D515" s="2302" t="s">
        <v>7517</v>
      </c>
      <c r="E515" s="2304"/>
      <c r="F515" s="2304"/>
      <c r="G515" s="2303"/>
      <c r="H515" s="1184"/>
      <c r="I515" s="1060"/>
    </row>
    <row r="516" spans="1:9" ht="153" customHeight="1" x14ac:dyDescent="0.2">
      <c r="A516" s="1185" t="s">
        <v>143</v>
      </c>
      <c r="B516" s="2302"/>
      <c r="C516" s="2303"/>
      <c r="D516" s="2302" t="s">
        <v>7518</v>
      </c>
      <c r="E516" s="2304"/>
      <c r="F516" s="2304"/>
      <c r="G516" s="2303"/>
      <c r="H516" s="1184"/>
      <c r="I516" s="1060"/>
    </row>
    <row r="517" spans="1:9" ht="89.25" customHeight="1" x14ac:dyDescent="0.2">
      <c r="A517" s="1185" t="s">
        <v>143</v>
      </c>
      <c r="B517" s="2302"/>
      <c r="C517" s="2303"/>
      <c r="D517" s="2302" t="s">
        <v>7519</v>
      </c>
      <c r="E517" s="2304"/>
      <c r="F517" s="2304"/>
      <c r="G517" s="2303"/>
      <c r="H517" s="1184"/>
      <c r="I517" s="1060"/>
    </row>
    <row r="518" spans="1:9" ht="79.5" customHeight="1" x14ac:dyDescent="0.2">
      <c r="A518" s="1185" t="s">
        <v>143</v>
      </c>
      <c r="B518" s="2305"/>
      <c r="C518" s="2306"/>
      <c r="D518" s="2305" t="s">
        <v>7520</v>
      </c>
      <c r="E518" s="2307"/>
      <c r="F518" s="2307"/>
      <c r="G518" s="2306"/>
      <c r="H518" s="1057"/>
      <c r="I518" s="1058"/>
    </row>
    <row r="519" spans="1:9" ht="12.75" customHeight="1" x14ac:dyDescent="0.2">
      <c r="A519" s="1185" t="s">
        <v>143</v>
      </c>
      <c r="B519" s="2302"/>
      <c r="C519" s="2303"/>
      <c r="D519" s="2302" t="s">
        <v>7521</v>
      </c>
      <c r="E519" s="2304"/>
      <c r="F519" s="2304"/>
      <c r="G519" s="2303"/>
      <c r="H519" s="1184"/>
      <c r="I519" s="1060"/>
    </row>
    <row r="520" spans="1:9" ht="12.75" customHeight="1" x14ac:dyDescent="0.2">
      <c r="A520" s="1185" t="s">
        <v>143</v>
      </c>
      <c r="B520" s="2302"/>
      <c r="C520" s="2303"/>
      <c r="D520" s="2302" t="s">
        <v>7522</v>
      </c>
      <c r="E520" s="2304"/>
      <c r="F520" s="2304"/>
      <c r="G520" s="2303"/>
      <c r="H520" s="1184"/>
      <c r="I520" s="1060"/>
    </row>
    <row r="521" spans="1:9" ht="25.5" customHeight="1" x14ac:dyDescent="0.2">
      <c r="A521" s="1185" t="s">
        <v>143</v>
      </c>
      <c r="B521" s="2302"/>
      <c r="C521" s="2303"/>
      <c r="D521" s="2323" t="s">
        <v>7523</v>
      </c>
      <c r="E521" s="2324"/>
      <c r="F521" s="2324"/>
      <c r="G521" s="2325"/>
      <c r="H521" s="1184"/>
      <c r="I521" s="1060"/>
    </row>
    <row r="522" spans="1:9" ht="25.5" customHeight="1" x14ac:dyDescent="0.2">
      <c r="A522" s="1185" t="s">
        <v>143</v>
      </c>
      <c r="B522" s="2302"/>
      <c r="C522" s="2303"/>
      <c r="D522" s="2323" t="s">
        <v>7524</v>
      </c>
      <c r="E522" s="2324"/>
      <c r="F522" s="2324"/>
      <c r="G522" s="2325"/>
      <c r="H522" s="1184"/>
      <c r="I522" s="1060"/>
    </row>
    <row r="523" spans="1:9" ht="25.5" customHeight="1" x14ac:dyDescent="0.2">
      <c r="A523" s="1185" t="s">
        <v>143</v>
      </c>
      <c r="B523" s="2302"/>
      <c r="C523" s="2303"/>
      <c r="D523" s="2323" t="s">
        <v>7525</v>
      </c>
      <c r="E523" s="2324"/>
      <c r="F523" s="2324"/>
      <c r="G523" s="2325"/>
      <c r="H523" s="1184"/>
      <c r="I523" s="1060"/>
    </row>
    <row r="524" spans="1:9" ht="25.5" customHeight="1" x14ac:dyDescent="0.2">
      <c r="A524" s="1185" t="s">
        <v>143</v>
      </c>
      <c r="B524" s="2302"/>
      <c r="C524" s="2303"/>
      <c r="D524" s="2323" t="s">
        <v>7526</v>
      </c>
      <c r="E524" s="2324"/>
      <c r="F524" s="2324"/>
      <c r="G524" s="2325"/>
      <c r="H524" s="1184"/>
      <c r="I524" s="1060"/>
    </row>
    <row r="525" spans="1:9" ht="12.75" customHeight="1" x14ac:dyDescent="0.2">
      <c r="A525" s="1185" t="s">
        <v>143</v>
      </c>
      <c r="B525" s="2302"/>
      <c r="C525" s="2303"/>
      <c r="D525" s="2323" t="s">
        <v>7527</v>
      </c>
      <c r="E525" s="2324"/>
      <c r="F525" s="2324"/>
      <c r="G525" s="2325"/>
      <c r="H525" s="1184"/>
      <c r="I525" s="1060"/>
    </row>
    <row r="526" spans="1:9" ht="25.5" customHeight="1" x14ac:dyDescent="0.2">
      <c r="A526" s="1185" t="s">
        <v>143</v>
      </c>
      <c r="B526" s="2302"/>
      <c r="C526" s="2303"/>
      <c r="D526" s="2302" t="s">
        <v>7528</v>
      </c>
      <c r="E526" s="2304"/>
      <c r="F526" s="2304"/>
      <c r="G526" s="2303"/>
      <c r="H526" s="1184"/>
      <c r="I526" s="1060"/>
    </row>
    <row r="527" spans="1:9" ht="25.5" customHeight="1" x14ac:dyDescent="0.2">
      <c r="A527" s="1185" t="s">
        <v>143</v>
      </c>
      <c r="B527" s="2302"/>
      <c r="C527" s="2303"/>
      <c r="D527" s="2323" t="s">
        <v>7529</v>
      </c>
      <c r="E527" s="2324"/>
      <c r="F527" s="2324"/>
      <c r="G527" s="2325"/>
      <c r="H527" s="1184"/>
      <c r="I527" s="1060"/>
    </row>
    <row r="528" spans="1:9" ht="25.5" customHeight="1" x14ac:dyDescent="0.2">
      <c r="A528" s="1185" t="s">
        <v>143</v>
      </c>
      <c r="B528" s="2302"/>
      <c r="C528" s="2303"/>
      <c r="D528" s="2323" t="s">
        <v>7530</v>
      </c>
      <c r="E528" s="2324"/>
      <c r="F528" s="2324"/>
      <c r="G528" s="2325"/>
      <c r="H528" s="1184"/>
      <c r="I528" s="1060"/>
    </row>
    <row r="529" spans="1:9" ht="25.5" customHeight="1" x14ac:dyDescent="0.2">
      <c r="A529" s="1185" t="s">
        <v>143</v>
      </c>
      <c r="B529" s="2302"/>
      <c r="C529" s="2303"/>
      <c r="D529" s="2302" t="s">
        <v>7531</v>
      </c>
      <c r="E529" s="2304"/>
      <c r="F529" s="2304"/>
      <c r="G529" s="2303"/>
      <c r="H529" s="1184"/>
      <c r="I529" s="1060"/>
    </row>
    <row r="530" spans="1:9" ht="12.75" customHeight="1" x14ac:dyDescent="0.2">
      <c r="A530" s="1185" t="s">
        <v>143</v>
      </c>
      <c r="B530" s="2302"/>
      <c r="C530" s="2303"/>
      <c r="D530" s="2302" t="s">
        <v>7532</v>
      </c>
      <c r="E530" s="2304"/>
      <c r="F530" s="2304"/>
      <c r="G530" s="2303"/>
      <c r="H530" s="1184"/>
      <c r="I530" s="1060"/>
    </row>
    <row r="531" spans="1:9" ht="25.5" customHeight="1" x14ac:dyDescent="0.2">
      <c r="A531" s="1185" t="s">
        <v>143</v>
      </c>
      <c r="B531" s="2302"/>
      <c r="C531" s="2303"/>
      <c r="D531" s="2302" t="s">
        <v>7533</v>
      </c>
      <c r="E531" s="2304"/>
      <c r="F531" s="2304"/>
      <c r="G531" s="2303"/>
      <c r="H531" s="1184"/>
      <c r="I531" s="1060"/>
    </row>
    <row r="532" spans="1:9" ht="25.5" customHeight="1" x14ac:dyDescent="0.2">
      <c r="A532" s="1185" t="s">
        <v>143</v>
      </c>
      <c r="B532" s="2302"/>
      <c r="C532" s="2303"/>
      <c r="D532" s="2302" t="s">
        <v>7534</v>
      </c>
      <c r="E532" s="2304"/>
      <c r="F532" s="2304"/>
      <c r="G532" s="2303"/>
      <c r="H532" s="1184"/>
      <c r="I532" s="1060"/>
    </row>
    <row r="533" spans="1:9" ht="25.5" customHeight="1" x14ac:dyDescent="0.2">
      <c r="A533" s="1185" t="s">
        <v>143</v>
      </c>
      <c r="B533" s="2302"/>
      <c r="C533" s="2303"/>
      <c r="D533" s="2302" t="s">
        <v>7535</v>
      </c>
      <c r="E533" s="2304"/>
      <c r="F533" s="2304"/>
      <c r="G533" s="2303"/>
      <c r="H533" s="1184"/>
      <c r="I533" s="1060"/>
    </row>
    <row r="534" spans="1:9" ht="12.75" customHeight="1" x14ac:dyDescent="0.2">
      <c r="A534" s="1183" t="s">
        <v>143</v>
      </c>
      <c r="B534" s="2320"/>
      <c r="C534" s="2321"/>
      <c r="D534" s="2320" t="s">
        <v>7536</v>
      </c>
      <c r="E534" s="2322"/>
      <c r="F534" s="2322"/>
      <c r="G534" s="2321"/>
      <c r="H534" s="1180"/>
      <c r="I534" s="1063"/>
    </row>
    <row r="535" spans="1:9" ht="119.85" customHeight="1" x14ac:dyDescent="0.2">
      <c r="A535" s="2326" t="s">
        <v>917</v>
      </c>
      <c r="B535" s="2311" t="s">
        <v>7537</v>
      </c>
      <c r="C535" s="2312"/>
      <c r="D535" s="2313" t="s">
        <v>7538</v>
      </c>
      <c r="E535" s="2314"/>
      <c r="F535" s="2314"/>
      <c r="G535" s="2315"/>
      <c r="H535" s="2328" t="s">
        <v>7539</v>
      </c>
      <c r="I535" s="2330">
        <f>ROUND((424770  + 27280  * 2.592) * 1 * 0.6 * 0.3 * 1.5 * 1.126,0)</f>
        <v>150636</v>
      </c>
    </row>
    <row r="536" spans="1:9" ht="12.75" customHeight="1" x14ac:dyDescent="0.2">
      <c r="A536" s="2327"/>
      <c r="B536" s="2305"/>
      <c r="C536" s="2306"/>
      <c r="D536" s="2302"/>
      <c r="E536" s="2304"/>
      <c r="F536" s="2304"/>
      <c r="G536" s="2303"/>
      <c r="H536" s="2329"/>
      <c r="I536" s="2331"/>
    </row>
    <row r="537" spans="1:9" ht="15.75" customHeight="1" x14ac:dyDescent="0.2">
      <c r="A537" s="1185" t="s">
        <v>143</v>
      </c>
      <c r="B537" s="2305"/>
      <c r="C537" s="2306"/>
      <c r="D537" s="2305" t="s">
        <v>572</v>
      </c>
      <c r="E537" s="2307"/>
      <c r="F537" s="2307"/>
      <c r="G537" s="2306"/>
      <c r="H537" s="1057"/>
      <c r="I537" s="1058"/>
    </row>
    <row r="538" spans="1:9" ht="25.5" customHeight="1" x14ac:dyDescent="0.2">
      <c r="A538" s="1185" t="s">
        <v>143</v>
      </c>
      <c r="B538" s="2302"/>
      <c r="C538" s="2303"/>
      <c r="D538" s="2302" t="s">
        <v>7490</v>
      </c>
      <c r="E538" s="2304"/>
      <c r="F538" s="2304"/>
      <c r="G538" s="2303"/>
      <c r="H538" s="1184"/>
      <c r="I538" s="1060"/>
    </row>
    <row r="539" spans="1:9" ht="114.75" customHeight="1" x14ac:dyDescent="0.2">
      <c r="A539" s="1185" t="s">
        <v>143</v>
      </c>
      <c r="B539" s="2302"/>
      <c r="C539" s="2303"/>
      <c r="D539" s="2302" t="s">
        <v>7540</v>
      </c>
      <c r="E539" s="2304"/>
      <c r="F539" s="2304"/>
      <c r="G539" s="2303"/>
      <c r="H539" s="1184"/>
      <c r="I539" s="1060"/>
    </row>
    <row r="540" spans="1:9" ht="89.25" customHeight="1" x14ac:dyDescent="0.2">
      <c r="A540" s="1185" t="s">
        <v>143</v>
      </c>
      <c r="B540" s="2302"/>
      <c r="C540" s="2303"/>
      <c r="D540" s="2302" t="s">
        <v>7541</v>
      </c>
      <c r="E540" s="2304"/>
      <c r="F540" s="2304"/>
      <c r="G540" s="2303"/>
      <c r="H540" s="1184"/>
      <c r="I540" s="1060"/>
    </row>
    <row r="541" spans="1:9" ht="89.25" customHeight="1" x14ac:dyDescent="0.2">
      <c r="A541" s="1185" t="s">
        <v>143</v>
      </c>
      <c r="B541" s="2302"/>
      <c r="C541" s="2303"/>
      <c r="D541" s="2302" t="s">
        <v>7493</v>
      </c>
      <c r="E541" s="2304"/>
      <c r="F541" s="2304"/>
      <c r="G541" s="2303"/>
      <c r="H541" s="1184"/>
      <c r="I541" s="1060"/>
    </row>
    <row r="542" spans="1:9" ht="92.25" customHeight="1" x14ac:dyDescent="0.2">
      <c r="A542" s="1185" t="s">
        <v>143</v>
      </c>
      <c r="B542" s="2305"/>
      <c r="C542" s="2306"/>
      <c r="D542" s="2305" t="s">
        <v>7494</v>
      </c>
      <c r="E542" s="2307"/>
      <c r="F542" s="2307"/>
      <c r="G542" s="2306"/>
      <c r="H542" s="1057"/>
      <c r="I542" s="1058"/>
    </row>
    <row r="543" spans="1:9" ht="12.75" customHeight="1" x14ac:dyDescent="0.2">
      <c r="A543" s="1185" t="s">
        <v>143</v>
      </c>
      <c r="B543" s="2302"/>
      <c r="C543" s="2303"/>
      <c r="D543" s="2302" t="s">
        <v>7542</v>
      </c>
      <c r="E543" s="2304"/>
      <c r="F543" s="2304"/>
      <c r="G543" s="2303"/>
      <c r="H543" s="1184"/>
      <c r="I543" s="1060"/>
    </row>
    <row r="544" spans="1:9" ht="25.5" customHeight="1" x14ac:dyDescent="0.2">
      <c r="A544" s="1185" t="s">
        <v>143</v>
      </c>
      <c r="B544" s="2302"/>
      <c r="C544" s="2303"/>
      <c r="D544" s="2302" t="s">
        <v>7543</v>
      </c>
      <c r="E544" s="2304"/>
      <c r="F544" s="2304"/>
      <c r="G544" s="2303"/>
      <c r="H544" s="1184"/>
      <c r="I544" s="1060"/>
    </row>
    <row r="545" spans="1:9" ht="12.75" customHeight="1" x14ac:dyDescent="0.2">
      <c r="A545" s="1185" t="s">
        <v>143</v>
      </c>
      <c r="B545" s="2302"/>
      <c r="C545" s="2303"/>
      <c r="D545" s="2302" t="s">
        <v>7544</v>
      </c>
      <c r="E545" s="2304"/>
      <c r="F545" s="2304"/>
      <c r="G545" s="2303"/>
      <c r="H545" s="1184"/>
      <c r="I545" s="1060"/>
    </row>
    <row r="546" spans="1:9" ht="25.5" customHeight="1" x14ac:dyDescent="0.2">
      <c r="A546" s="1185" t="s">
        <v>143</v>
      </c>
      <c r="B546" s="2302"/>
      <c r="C546" s="2303"/>
      <c r="D546" s="2302" t="s">
        <v>7545</v>
      </c>
      <c r="E546" s="2304"/>
      <c r="F546" s="2304"/>
      <c r="G546" s="2303"/>
      <c r="H546" s="1184"/>
      <c r="I546" s="1060"/>
    </row>
    <row r="547" spans="1:9" ht="12.75" customHeight="1" x14ac:dyDescent="0.2">
      <c r="A547" s="1185" t="s">
        <v>143</v>
      </c>
      <c r="B547" s="2302"/>
      <c r="C547" s="2303"/>
      <c r="D547" s="2302" t="s">
        <v>7397</v>
      </c>
      <c r="E547" s="2304"/>
      <c r="F547" s="2304"/>
      <c r="G547" s="2303"/>
      <c r="H547" s="1184"/>
      <c r="I547" s="1060"/>
    </row>
    <row r="548" spans="1:9" ht="25.5" customHeight="1" x14ac:dyDescent="0.2">
      <c r="A548" s="1185" t="s">
        <v>143</v>
      </c>
      <c r="B548" s="2302"/>
      <c r="C548" s="2303"/>
      <c r="D548" s="2302" t="s">
        <v>7546</v>
      </c>
      <c r="E548" s="2304"/>
      <c r="F548" s="2304"/>
      <c r="G548" s="2303"/>
      <c r="H548" s="1184"/>
      <c r="I548" s="1060"/>
    </row>
    <row r="549" spans="1:9" ht="25.5" customHeight="1" x14ac:dyDescent="0.2">
      <c r="A549" s="1185" t="s">
        <v>143</v>
      </c>
      <c r="B549" s="2302"/>
      <c r="C549" s="2303"/>
      <c r="D549" s="2302" t="s">
        <v>7547</v>
      </c>
      <c r="E549" s="2304"/>
      <c r="F549" s="2304"/>
      <c r="G549" s="2303"/>
      <c r="H549" s="1184"/>
      <c r="I549" s="1060"/>
    </row>
    <row r="550" spans="1:9" ht="25.5" customHeight="1" x14ac:dyDescent="0.2">
      <c r="A550" s="1185" t="s">
        <v>143</v>
      </c>
      <c r="B550" s="2302"/>
      <c r="C550" s="2303"/>
      <c r="D550" s="2302" t="s">
        <v>7548</v>
      </c>
      <c r="E550" s="2304"/>
      <c r="F550" s="2304"/>
      <c r="G550" s="2303"/>
      <c r="H550" s="1184"/>
      <c r="I550" s="1060"/>
    </row>
    <row r="551" spans="1:9" ht="25.5" customHeight="1" x14ac:dyDescent="0.2">
      <c r="A551" s="1185" t="s">
        <v>143</v>
      </c>
      <c r="B551" s="2302"/>
      <c r="C551" s="2303"/>
      <c r="D551" s="2302" t="s">
        <v>7549</v>
      </c>
      <c r="E551" s="2304"/>
      <c r="F551" s="2304"/>
      <c r="G551" s="2303"/>
      <c r="H551" s="1184"/>
      <c r="I551" s="1060"/>
    </row>
    <row r="552" spans="1:9" ht="25.5" customHeight="1" x14ac:dyDescent="0.2">
      <c r="A552" s="1185" t="s">
        <v>143</v>
      </c>
      <c r="B552" s="2302"/>
      <c r="C552" s="2303"/>
      <c r="D552" s="2302" t="s">
        <v>7550</v>
      </c>
      <c r="E552" s="2304"/>
      <c r="F552" s="2304"/>
      <c r="G552" s="2303"/>
      <c r="H552" s="1184"/>
      <c r="I552" s="1060"/>
    </row>
    <row r="553" spans="1:9" ht="25.5" customHeight="1" x14ac:dyDescent="0.2">
      <c r="A553" s="1185" t="s">
        <v>143</v>
      </c>
      <c r="B553" s="2302"/>
      <c r="C553" s="2303"/>
      <c r="D553" s="2302" t="s">
        <v>7551</v>
      </c>
      <c r="E553" s="2304"/>
      <c r="F553" s="2304"/>
      <c r="G553" s="2303"/>
      <c r="H553" s="1184"/>
      <c r="I553" s="1060"/>
    </row>
    <row r="554" spans="1:9" ht="12.75" customHeight="1" x14ac:dyDescent="0.2">
      <c r="A554" s="1185" t="s">
        <v>143</v>
      </c>
      <c r="B554" s="2302"/>
      <c r="C554" s="2303"/>
      <c r="D554" s="2302" t="s">
        <v>7552</v>
      </c>
      <c r="E554" s="2304"/>
      <c r="F554" s="2304"/>
      <c r="G554" s="2303"/>
      <c r="H554" s="1184"/>
      <c r="I554" s="1060"/>
    </row>
    <row r="555" spans="1:9" ht="25.5" customHeight="1" x14ac:dyDescent="0.2">
      <c r="A555" s="1185" t="s">
        <v>143</v>
      </c>
      <c r="B555" s="2302"/>
      <c r="C555" s="2303"/>
      <c r="D555" s="2302" t="s">
        <v>7553</v>
      </c>
      <c r="E555" s="2304"/>
      <c r="F555" s="2304"/>
      <c r="G555" s="2303"/>
      <c r="H555" s="1184"/>
      <c r="I555" s="1060"/>
    </row>
    <row r="556" spans="1:9" ht="25.5" customHeight="1" x14ac:dyDescent="0.2">
      <c r="A556" s="1185" t="s">
        <v>143</v>
      </c>
      <c r="B556" s="2302"/>
      <c r="C556" s="2303"/>
      <c r="D556" s="2302" t="s">
        <v>7554</v>
      </c>
      <c r="E556" s="2304"/>
      <c r="F556" s="2304"/>
      <c r="G556" s="2303"/>
      <c r="H556" s="1184"/>
      <c r="I556" s="1060"/>
    </row>
    <row r="557" spans="1:9" ht="25.5" customHeight="1" x14ac:dyDescent="0.2">
      <c r="A557" s="1185" t="s">
        <v>143</v>
      </c>
      <c r="B557" s="2302"/>
      <c r="C557" s="2303"/>
      <c r="D557" s="2302" t="s">
        <v>7555</v>
      </c>
      <c r="E557" s="2304"/>
      <c r="F557" s="2304"/>
      <c r="G557" s="2303"/>
      <c r="H557" s="1184"/>
      <c r="I557" s="1060"/>
    </row>
    <row r="558" spans="1:9" ht="38.25" customHeight="1" x14ac:dyDescent="0.2">
      <c r="A558" s="1185" t="s">
        <v>143</v>
      </c>
      <c r="B558" s="2302"/>
      <c r="C558" s="2303"/>
      <c r="D558" s="2302" t="s">
        <v>7556</v>
      </c>
      <c r="E558" s="2304"/>
      <c r="F558" s="2304"/>
      <c r="G558" s="2303"/>
      <c r="H558" s="1184"/>
      <c r="I558" s="1060"/>
    </row>
    <row r="559" spans="1:9" ht="12.75" customHeight="1" x14ac:dyDescent="0.2">
      <c r="A559" s="1183" t="s">
        <v>143</v>
      </c>
      <c r="B559" s="2320"/>
      <c r="C559" s="2321"/>
      <c r="D559" s="2320" t="s">
        <v>7557</v>
      </c>
      <c r="E559" s="2322"/>
      <c r="F559" s="2322"/>
      <c r="G559" s="2321"/>
      <c r="H559" s="1180"/>
      <c r="I559" s="1063"/>
    </row>
    <row r="560" spans="1:9" ht="107.25" customHeight="1" x14ac:dyDescent="0.2">
      <c r="A560" s="1182" t="s">
        <v>761</v>
      </c>
      <c r="B560" s="2311" t="s">
        <v>7558</v>
      </c>
      <c r="C560" s="2312"/>
      <c r="D560" s="2313" t="s">
        <v>7559</v>
      </c>
      <c r="E560" s="2314"/>
      <c r="F560" s="2314"/>
      <c r="G560" s="2315"/>
      <c r="H560" s="1179" t="s">
        <v>7560</v>
      </c>
      <c r="I560" s="1181">
        <f>ROUND((72890  + 28950  * 1.77) * 1 * 0.6 * 1.108,0)</f>
        <v>82523</v>
      </c>
    </row>
    <row r="561" spans="1:9" ht="15.75" customHeight="1" x14ac:dyDescent="0.2">
      <c r="A561" s="1185" t="s">
        <v>143</v>
      </c>
      <c r="B561" s="2305"/>
      <c r="C561" s="2306"/>
      <c r="D561" s="2305" t="s">
        <v>572</v>
      </c>
      <c r="E561" s="2307"/>
      <c r="F561" s="2307"/>
      <c r="G561" s="2306"/>
      <c r="H561" s="1057"/>
      <c r="I561" s="1058"/>
    </row>
    <row r="562" spans="1:9" ht="25.5" customHeight="1" x14ac:dyDescent="0.2">
      <c r="A562" s="1185" t="s">
        <v>143</v>
      </c>
      <c r="B562" s="2302"/>
      <c r="C562" s="2303"/>
      <c r="D562" s="2302" t="s">
        <v>7490</v>
      </c>
      <c r="E562" s="2304"/>
      <c r="F562" s="2304"/>
      <c r="G562" s="2303"/>
      <c r="H562" s="1184"/>
      <c r="I562" s="1060"/>
    </row>
    <row r="563" spans="1:9" ht="89.25" customHeight="1" x14ac:dyDescent="0.2">
      <c r="A563" s="1185" t="s">
        <v>143</v>
      </c>
      <c r="B563" s="2302"/>
      <c r="C563" s="2303"/>
      <c r="D563" s="2302" t="s">
        <v>7292</v>
      </c>
      <c r="E563" s="2304"/>
      <c r="F563" s="2304"/>
      <c r="G563" s="2303"/>
      <c r="H563" s="1184"/>
      <c r="I563" s="1060"/>
    </row>
    <row r="564" spans="1:9" ht="127.5" customHeight="1" x14ac:dyDescent="0.2">
      <c r="A564" s="1185" t="s">
        <v>143</v>
      </c>
      <c r="B564" s="2302"/>
      <c r="C564" s="2303"/>
      <c r="D564" s="2302" t="s">
        <v>7561</v>
      </c>
      <c r="E564" s="2304"/>
      <c r="F564" s="2304"/>
      <c r="G564" s="2303"/>
      <c r="H564" s="1184"/>
      <c r="I564" s="1060"/>
    </row>
    <row r="565" spans="1:9" ht="66.75" customHeight="1" x14ac:dyDescent="0.2">
      <c r="A565" s="1185" t="s">
        <v>143</v>
      </c>
      <c r="B565" s="2305"/>
      <c r="C565" s="2306"/>
      <c r="D565" s="2305" t="s">
        <v>7562</v>
      </c>
      <c r="E565" s="2307"/>
      <c r="F565" s="2307"/>
      <c r="G565" s="2306"/>
      <c r="H565" s="1057"/>
      <c r="I565" s="1058"/>
    </row>
    <row r="566" spans="1:9" ht="12.75" customHeight="1" x14ac:dyDescent="0.2">
      <c r="A566" s="1185" t="s">
        <v>143</v>
      </c>
      <c r="B566" s="2302"/>
      <c r="C566" s="2303"/>
      <c r="D566" s="2302" t="s">
        <v>7563</v>
      </c>
      <c r="E566" s="2304"/>
      <c r="F566" s="2304"/>
      <c r="G566" s="2303"/>
      <c r="H566" s="1184"/>
      <c r="I566" s="1060"/>
    </row>
    <row r="567" spans="1:9" ht="25.5" customHeight="1" x14ac:dyDescent="0.2">
      <c r="A567" s="1185" t="s">
        <v>143</v>
      </c>
      <c r="B567" s="2302"/>
      <c r="C567" s="2303"/>
      <c r="D567" s="2302" t="s">
        <v>7564</v>
      </c>
      <c r="E567" s="2304"/>
      <c r="F567" s="2304"/>
      <c r="G567" s="2303"/>
      <c r="H567" s="1184"/>
      <c r="I567" s="1060"/>
    </row>
    <row r="568" spans="1:9" ht="12.75" customHeight="1" x14ac:dyDescent="0.2">
      <c r="A568" s="1185" t="s">
        <v>143</v>
      </c>
      <c r="B568" s="2302"/>
      <c r="C568" s="2303"/>
      <c r="D568" s="2302" t="s">
        <v>7565</v>
      </c>
      <c r="E568" s="2304"/>
      <c r="F568" s="2304"/>
      <c r="G568" s="2303"/>
      <c r="H568" s="1184"/>
      <c r="I568" s="1060"/>
    </row>
    <row r="569" spans="1:9" ht="25.5" customHeight="1" x14ac:dyDescent="0.2">
      <c r="A569" s="1185" t="s">
        <v>143</v>
      </c>
      <c r="B569" s="2302"/>
      <c r="C569" s="2303"/>
      <c r="D569" s="2302" t="s">
        <v>7566</v>
      </c>
      <c r="E569" s="2304"/>
      <c r="F569" s="2304"/>
      <c r="G569" s="2303"/>
      <c r="H569" s="1184"/>
      <c r="I569" s="1060"/>
    </row>
    <row r="570" spans="1:9" ht="25.5" customHeight="1" x14ac:dyDescent="0.2">
      <c r="A570" s="1185" t="s">
        <v>143</v>
      </c>
      <c r="B570" s="2302"/>
      <c r="C570" s="2303"/>
      <c r="D570" s="2302" t="s">
        <v>7567</v>
      </c>
      <c r="E570" s="2304"/>
      <c r="F570" s="2304"/>
      <c r="G570" s="2303"/>
      <c r="H570" s="1184"/>
      <c r="I570" s="1060"/>
    </row>
    <row r="571" spans="1:9" ht="25.5" customHeight="1" x14ac:dyDescent="0.2">
      <c r="A571" s="1185" t="s">
        <v>143</v>
      </c>
      <c r="B571" s="2302"/>
      <c r="C571" s="2303"/>
      <c r="D571" s="2302" t="s">
        <v>7568</v>
      </c>
      <c r="E571" s="2304"/>
      <c r="F571" s="2304"/>
      <c r="G571" s="2303"/>
      <c r="H571" s="1184"/>
      <c r="I571" s="1060"/>
    </row>
    <row r="572" spans="1:9" ht="25.5" customHeight="1" x14ac:dyDescent="0.2">
      <c r="A572" s="1185" t="s">
        <v>143</v>
      </c>
      <c r="B572" s="2302"/>
      <c r="C572" s="2303"/>
      <c r="D572" s="2302" t="s">
        <v>7569</v>
      </c>
      <c r="E572" s="2304"/>
      <c r="F572" s="2304"/>
      <c r="G572" s="2303"/>
      <c r="H572" s="1184"/>
      <c r="I572" s="1060"/>
    </row>
    <row r="573" spans="1:9" ht="25.5" customHeight="1" x14ac:dyDescent="0.2">
      <c r="A573" s="1185" t="s">
        <v>143</v>
      </c>
      <c r="B573" s="2302"/>
      <c r="C573" s="2303"/>
      <c r="D573" s="2302" t="s">
        <v>7570</v>
      </c>
      <c r="E573" s="2304"/>
      <c r="F573" s="2304"/>
      <c r="G573" s="2303"/>
      <c r="H573" s="1184"/>
      <c r="I573" s="1060"/>
    </row>
    <row r="574" spans="1:9" ht="25.5" customHeight="1" x14ac:dyDescent="0.2">
      <c r="A574" s="1185" t="s">
        <v>143</v>
      </c>
      <c r="B574" s="2302"/>
      <c r="C574" s="2303"/>
      <c r="D574" s="2302" t="s">
        <v>7571</v>
      </c>
      <c r="E574" s="2304"/>
      <c r="F574" s="2304"/>
      <c r="G574" s="2303"/>
      <c r="H574" s="1184"/>
      <c r="I574" s="1060"/>
    </row>
    <row r="575" spans="1:9" ht="25.5" customHeight="1" x14ac:dyDescent="0.2">
      <c r="A575" s="1185" t="s">
        <v>143</v>
      </c>
      <c r="B575" s="2302"/>
      <c r="C575" s="2303"/>
      <c r="D575" s="2302" t="s">
        <v>7572</v>
      </c>
      <c r="E575" s="2304"/>
      <c r="F575" s="2304"/>
      <c r="G575" s="2303"/>
      <c r="H575" s="1184"/>
      <c r="I575" s="1060"/>
    </row>
    <row r="576" spans="1:9" ht="25.5" customHeight="1" x14ac:dyDescent="0.2">
      <c r="A576" s="1185" t="s">
        <v>143</v>
      </c>
      <c r="B576" s="2302"/>
      <c r="C576" s="2303"/>
      <c r="D576" s="2302" t="s">
        <v>7573</v>
      </c>
      <c r="E576" s="2304"/>
      <c r="F576" s="2304"/>
      <c r="G576" s="2303"/>
      <c r="H576" s="1184"/>
      <c r="I576" s="1060"/>
    </row>
    <row r="577" spans="1:9" ht="12.75" customHeight="1" x14ac:dyDescent="0.2">
      <c r="A577" s="1185" t="s">
        <v>143</v>
      </c>
      <c r="B577" s="2302"/>
      <c r="C577" s="2303"/>
      <c r="D577" s="2302" t="s">
        <v>7574</v>
      </c>
      <c r="E577" s="2304"/>
      <c r="F577" s="2304"/>
      <c r="G577" s="2303"/>
      <c r="H577" s="1184"/>
      <c r="I577" s="1060"/>
    </row>
    <row r="578" spans="1:9" ht="25.5" customHeight="1" x14ac:dyDescent="0.2">
      <c r="A578" s="1185" t="s">
        <v>143</v>
      </c>
      <c r="B578" s="2302"/>
      <c r="C578" s="2303"/>
      <c r="D578" s="2302" t="s">
        <v>7575</v>
      </c>
      <c r="E578" s="2304"/>
      <c r="F578" s="2304"/>
      <c r="G578" s="2303"/>
      <c r="H578" s="1184"/>
      <c r="I578" s="1060"/>
    </row>
    <row r="579" spans="1:9" ht="25.5" customHeight="1" x14ac:dyDescent="0.2">
      <c r="A579" s="1185" t="s">
        <v>143</v>
      </c>
      <c r="B579" s="2302"/>
      <c r="C579" s="2303"/>
      <c r="D579" s="2302" t="s">
        <v>7576</v>
      </c>
      <c r="E579" s="2304"/>
      <c r="F579" s="2304"/>
      <c r="G579" s="2303"/>
      <c r="H579" s="1184"/>
      <c r="I579" s="1060"/>
    </row>
    <row r="580" spans="1:9" ht="25.5" customHeight="1" x14ac:dyDescent="0.2">
      <c r="A580" s="1185" t="s">
        <v>143</v>
      </c>
      <c r="B580" s="2302"/>
      <c r="C580" s="2303"/>
      <c r="D580" s="2302" t="s">
        <v>7577</v>
      </c>
      <c r="E580" s="2304"/>
      <c r="F580" s="2304"/>
      <c r="G580" s="2303"/>
      <c r="H580" s="1184"/>
      <c r="I580" s="1060"/>
    </row>
    <row r="581" spans="1:9" ht="38.25" customHeight="1" x14ac:dyDescent="0.2">
      <c r="A581" s="1185" t="s">
        <v>143</v>
      </c>
      <c r="B581" s="2302"/>
      <c r="C581" s="2303"/>
      <c r="D581" s="2302" t="s">
        <v>7578</v>
      </c>
      <c r="E581" s="2304"/>
      <c r="F581" s="2304"/>
      <c r="G581" s="2303"/>
      <c r="H581" s="1184"/>
      <c r="I581" s="1060"/>
    </row>
    <row r="582" spans="1:9" ht="12.75" customHeight="1" x14ac:dyDescent="0.2">
      <c r="A582" s="1183" t="s">
        <v>143</v>
      </c>
      <c r="B582" s="2320"/>
      <c r="C582" s="2321"/>
      <c r="D582" s="2320" t="s">
        <v>7579</v>
      </c>
      <c r="E582" s="2322"/>
      <c r="F582" s="2322"/>
      <c r="G582" s="2321"/>
      <c r="H582" s="1180"/>
      <c r="I582" s="1063"/>
    </row>
    <row r="583" spans="1:9" ht="132.6" customHeight="1" x14ac:dyDescent="0.2">
      <c r="A583" s="1182" t="s">
        <v>762</v>
      </c>
      <c r="B583" s="2311" t="s">
        <v>7580</v>
      </c>
      <c r="C583" s="2312"/>
      <c r="D583" s="2313" t="s">
        <v>7581</v>
      </c>
      <c r="E583" s="2314"/>
      <c r="F583" s="2314"/>
      <c r="G583" s="2315"/>
      <c r="H583" s="1179" t="s">
        <v>9736</v>
      </c>
      <c r="I583" s="1181">
        <f>ROUND((76400  + 310  * 100) * 1 * 0.5 * 0.944,0)</f>
        <v>50693</v>
      </c>
    </row>
    <row r="584" spans="1:9" ht="15.75" customHeight="1" x14ac:dyDescent="0.2">
      <c r="A584" s="1185" t="s">
        <v>143</v>
      </c>
      <c r="B584" s="2305"/>
      <c r="C584" s="2306"/>
      <c r="D584" s="2305" t="s">
        <v>572</v>
      </c>
      <c r="E584" s="2307"/>
      <c r="F584" s="2307"/>
      <c r="G584" s="2306"/>
      <c r="H584" s="1057"/>
      <c r="I584" s="1058"/>
    </row>
    <row r="585" spans="1:9" ht="25.5" customHeight="1" x14ac:dyDescent="0.2">
      <c r="A585" s="1185" t="s">
        <v>143</v>
      </c>
      <c r="B585" s="2302"/>
      <c r="C585" s="2303"/>
      <c r="D585" s="2302" t="s">
        <v>7321</v>
      </c>
      <c r="E585" s="2304"/>
      <c r="F585" s="2304"/>
      <c r="G585" s="2303"/>
      <c r="H585" s="1184"/>
      <c r="I585" s="1060"/>
    </row>
    <row r="586" spans="1:9" ht="89.25" customHeight="1" x14ac:dyDescent="0.2">
      <c r="A586" s="1185" t="s">
        <v>143</v>
      </c>
      <c r="B586" s="2302"/>
      <c r="C586" s="2303"/>
      <c r="D586" s="2302" t="s">
        <v>9737</v>
      </c>
      <c r="E586" s="2304"/>
      <c r="F586" s="2304"/>
      <c r="G586" s="2303"/>
      <c r="H586" s="1184"/>
      <c r="I586" s="1060"/>
    </row>
    <row r="587" spans="1:9" ht="54" customHeight="1" x14ac:dyDescent="0.2">
      <c r="A587" s="1185" t="s">
        <v>143</v>
      </c>
      <c r="B587" s="2305"/>
      <c r="C587" s="2306"/>
      <c r="D587" s="2305" t="s">
        <v>9738</v>
      </c>
      <c r="E587" s="2307"/>
      <c r="F587" s="2307"/>
      <c r="G587" s="2306"/>
      <c r="H587" s="1057"/>
      <c r="I587" s="1058"/>
    </row>
    <row r="588" spans="1:9" ht="12.75" customHeight="1" x14ac:dyDescent="0.2">
      <c r="A588" s="1185" t="s">
        <v>143</v>
      </c>
      <c r="B588" s="2302"/>
      <c r="C588" s="2303"/>
      <c r="D588" s="2302" t="s">
        <v>9739</v>
      </c>
      <c r="E588" s="2304"/>
      <c r="F588" s="2304"/>
      <c r="G588" s="2303"/>
      <c r="H588" s="1184"/>
      <c r="I588" s="1060"/>
    </row>
    <row r="589" spans="1:9" ht="12.75" customHeight="1" x14ac:dyDescent="0.2">
      <c r="A589" s="1185" t="s">
        <v>143</v>
      </c>
      <c r="B589" s="2302"/>
      <c r="C589" s="2303"/>
      <c r="D589" s="2302" t="s">
        <v>9740</v>
      </c>
      <c r="E589" s="2304"/>
      <c r="F589" s="2304"/>
      <c r="G589" s="2303"/>
      <c r="H589" s="1184"/>
      <c r="I589" s="1060"/>
    </row>
    <row r="590" spans="1:9" ht="25.5" customHeight="1" x14ac:dyDescent="0.2">
      <c r="A590" s="1185" t="s">
        <v>143</v>
      </c>
      <c r="B590" s="2302"/>
      <c r="C590" s="2303"/>
      <c r="D590" s="2302" t="s">
        <v>7325</v>
      </c>
      <c r="E590" s="2304"/>
      <c r="F590" s="2304"/>
      <c r="G590" s="2303"/>
      <c r="H590" s="1184"/>
      <c r="I590" s="1060"/>
    </row>
    <row r="591" spans="1:9" ht="25.5" customHeight="1" x14ac:dyDescent="0.2">
      <c r="A591" s="1185" t="s">
        <v>143</v>
      </c>
      <c r="B591" s="2302"/>
      <c r="C591" s="2303"/>
      <c r="D591" s="2323" t="s">
        <v>9741</v>
      </c>
      <c r="E591" s="2324"/>
      <c r="F591" s="2324"/>
      <c r="G591" s="2325"/>
      <c r="H591" s="1184"/>
      <c r="I591" s="1060"/>
    </row>
    <row r="592" spans="1:9" ht="25.5" customHeight="1" x14ac:dyDescent="0.2">
      <c r="A592" s="1185" t="s">
        <v>143</v>
      </c>
      <c r="B592" s="2302"/>
      <c r="C592" s="2303"/>
      <c r="D592" s="2323" t="s">
        <v>9742</v>
      </c>
      <c r="E592" s="2324"/>
      <c r="F592" s="2324"/>
      <c r="G592" s="2325"/>
      <c r="H592" s="1184"/>
      <c r="I592" s="1060"/>
    </row>
    <row r="593" spans="1:9" ht="25.5" customHeight="1" x14ac:dyDescent="0.2">
      <c r="A593" s="1185" t="s">
        <v>143</v>
      </c>
      <c r="B593" s="2302"/>
      <c r="C593" s="2303"/>
      <c r="D593" s="2323" t="s">
        <v>9743</v>
      </c>
      <c r="E593" s="2324"/>
      <c r="F593" s="2324"/>
      <c r="G593" s="2325"/>
      <c r="H593" s="1184"/>
      <c r="I593" s="1060"/>
    </row>
    <row r="594" spans="1:9" ht="25.5" customHeight="1" x14ac:dyDescent="0.2">
      <c r="A594" s="1185" t="s">
        <v>143</v>
      </c>
      <c r="B594" s="2302"/>
      <c r="C594" s="2303"/>
      <c r="D594" s="2302" t="s">
        <v>9744</v>
      </c>
      <c r="E594" s="2304"/>
      <c r="F594" s="2304"/>
      <c r="G594" s="2303"/>
      <c r="H594" s="1184"/>
      <c r="I594" s="1060"/>
    </row>
    <row r="595" spans="1:9" ht="12.75" customHeight="1" x14ac:dyDescent="0.2">
      <c r="A595" s="1185" t="s">
        <v>143</v>
      </c>
      <c r="B595" s="2302"/>
      <c r="C595" s="2303"/>
      <c r="D595" s="2302" t="s">
        <v>9745</v>
      </c>
      <c r="E595" s="2304"/>
      <c r="F595" s="2304"/>
      <c r="G595" s="2303"/>
      <c r="H595" s="1184"/>
      <c r="I595" s="1060"/>
    </row>
    <row r="596" spans="1:9" ht="25.5" customHeight="1" x14ac:dyDescent="0.2">
      <c r="A596" s="1185" t="s">
        <v>143</v>
      </c>
      <c r="B596" s="2302"/>
      <c r="C596" s="2303"/>
      <c r="D596" s="2302" t="s">
        <v>9746</v>
      </c>
      <c r="E596" s="2304"/>
      <c r="F596" s="2304"/>
      <c r="G596" s="2303"/>
      <c r="H596" s="1184"/>
      <c r="I596" s="1060"/>
    </row>
    <row r="597" spans="1:9" ht="25.5" customHeight="1" x14ac:dyDescent="0.2">
      <c r="A597" s="1185" t="s">
        <v>143</v>
      </c>
      <c r="B597" s="2302"/>
      <c r="C597" s="2303"/>
      <c r="D597" s="2302" t="s">
        <v>9747</v>
      </c>
      <c r="E597" s="2304"/>
      <c r="F597" s="2304"/>
      <c r="G597" s="2303"/>
      <c r="H597" s="1184"/>
      <c r="I597" s="1060"/>
    </row>
    <row r="598" spans="1:9" ht="12.75" customHeight="1" x14ac:dyDescent="0.2">
      <c r="A598" s="1183" t="s">
        <v>143</v>
      </c>
      <c r="B598" s="2320"/>
      <c r="C598" s="2321"/>
      <c r="D598" s="2320" t="s">
        <v>9748</v>
      </c>
      <c r="E598" s="2322"/>
      <c r="F598" s="2322"/>
      <c r="G598" s="2321"/>
      <c r="H598" s="1180"/>
      <c r="I598" s="1063"/>
    </row>
    <row r="599" spans="1:9" ht="94.5" customHeight="1" x14ac:dyDescent="0.2">
      <c r="A599" s="1182" t="s">
        <v>763</v>
      </c>
      <c r="B599" s="2311" t="s">
        <v>7582</v>
      </c>
      <c r="C599" s="2312"/>
      <c r="D599" s="2313" t="s">
        <v>7583</v>
      </c>
      <c r="E599" s="2314"/>
      <c r="F599" s="2314"/>
      <c r="G599" s="2315"/>
      <c r="H599" s="1179" t="s">
        <v>9749</v>
      </c>
      <c r="I599" s="1181">
        <f>ROUND((4600  + 166  * (0.4 * 1000 + 0.6 * 540)) * 1 * 0.6 * 1.08,0)</f>
        <v>80860</v>
      </c>
    </row>
    <row r="600" spans="1:9" ht="15.75" customHeight="1" x14ac:dyDescent="0.2">
      <c r="A600" s="1185" t="s">
        <v>143</v>
      </c>
      <c r="B600" s="2305"/>
      <c r="C600" s="2306"/>
      <c r="D600" s="2305" t="s">
        <v>572</v>
      </c>
      <c r="E600" s="2307"/>
      <c r="F600" s="2307"/>
      <c r="G600" s="2306"/>
      <c r="H600" s="1057"/>
      <c r="I600" s="1058"/>
    </row>
    <row r="601" spans="1:9" ht="25.5" customHeight="1" x14ac:dyDescent="0.2">
      <c r="A601" s="1185" t="s">
        <v>143</v>
      </c>
      <c r="B601" s="2302"/>
      <c r="C601" s="2303"/>
      <c r="D601" s="2302" t="s">
        <v>7490</v>
      </c>
      <c r="E601" s="2304"/>
      <c r="F601" s="2304"/>
      <c r="G601" s="2303"/>
      <c r="H601" s="1184"/>
      <c r="I601" s="1060"/>
    </row>
    <row r="602" spans="1:9" ht="89.25" customHeight="1" x14ac:dyDescent="0.2">
      <c r="A602" s="1185" t="s">
        <v>143</v>
      </c>
      <c r="B602" s="2302"/>
      <c r="C602" s="2303"/>
      <c r="D602" s="2302" t="s">
        <v>7910</v>
      </c>
      <c r="E602" s="2304"/>
      <c r="F602" s="2304"/>
      <c r="G602" s="2303"/>
      <c r="H602" s="1184"/>
      <c r="I602" s="1060"/>
    </row>
    <row r="603" spans="1:9" ht="41.25" customHeight="1" x14ac:dyDescent="0.2">
      <c r="A603" s="1185" t="s">
        <v>143</v>
      </c>
      <c r="B603" s="2305"/>
      <c r="C603" s="2306"/>
      <c r="D603" s="2305" t="s">
        <v>9750</v>
      </c>
      <c r="E603" s="2307"/>
      <c r="F603" s="2307"/>
      <c r="G603" s="2306"/>
      <c r="H603" s="1057"/>
      <c r="I603" s="1058"/>
    </row>
    <row r="604" spans="1:9" ht="25.5" customHeight="1" x14ac:dyDescent="0.2">
      <c r="A604" s="1185" t="s">
        <v>143</v>
      </c>
      <c r="B604" s="2302"/>
      <c r="C604" s="2303"/>
      <c r="D604" s="2302" t="s">
        <v>7871</v>
      </c>
      <c r="E604" s="2304"/>
      <c r="F604" s="2304"/>
      <c r="G604" s="2303"/>
      <c r="H604" s="1184"/>
      <c r="I604" s="1060"/>
    </row>
    <row r="605" spans="1:9" ht="25.5" customHeight="1" x14ac:dyDescent="0.2">
      <c r="A605" s="1185" t="s">
        <v>143</v>
      </c>
      <c r="B605" s="2302"/>
      <c r="C605" s="2303"/>
      <c r="D605" s="2302" t="s">
        <v>9751</v>
      </c>
      <c r="E605" s="2304"/>
      <c r="F605" s="2304"/>
      <c r="G605" s="2303"/>
      <c r="H605" s="1184"/>
      <c r="I605" s="1060"/>
    </row>
    <row r="606" spans="1:9" ht="25.5" customHeight="1" x14ac:dyDescent="0.2">
      <c r="A606" s="1185" t="s">
        <v>143</v>
      </c>
      <c r="B606" s="2302"/>
      <c r="C606" s="2303"/>
      <c r="D606" s="2302" t="s">
        <v>9752</v>
      </c>
      <c r="E606" s="2304"/>
      <c r="F606" s="2304"/>
      <c r="G606" s="2303"/>
      <c r="H606" s="1184"/>
      <c r="I606" s="1060"/>
    </row>
    <row r="607" spans="1:9" ht="12.75" customHeight="1" x14ac:dyDescent="0.2">
      <c r="A607" s="1185" t="s">
        <v>143</v>
      </c>
      <c r="B607" s="2302"/>
      <c r="C607" s="2303"/>
      <c r="D607" s="2302" t="s">
        <v>9753</v>
      </c>
      <c r="E607" s="2304"/>
      <c r="F607" s="2304"/>
      <c r="G607" s="2303"/>
      <c r="H607" s="1184"/>
      <c r="I607" s="1060"/>
    </row>
    <row r="608" spans="1:9" ht="25.5" customHeight="1" x14ac:dyDescent="0.2">
      <c r="A608" s="1185" t="s">
        <v>143</v>
      </c>
      <c r="B608" s="2302"/>
      <c r="C608" s="2303"/>
      <c r="D608" s="2302" t="s">
        <v>9754</v>
      </c>
      <c r="E608" s="2304"/>
      <c r="F608" s="2304"/>
      <c r="G608" s="2303"/>
      <c r="H608" s="1184"/>
      <c r="I608" s="1060"/>
    </row>
    <row r="609" spans="1:9" ht="25.5" customHeight="1" x14ac:dyDescent="0.2">
      <c r="A609" s="1185" t="s">
        <v>143</v>
      </c>
      <c r="B609" s="2302"/>
      <c r="C609" s="2303"/>
      <c r="D609" s="2302" t="s">
        <v>9755</v>
      </c>
      <c r="E609" s="2304"/>
      <c r="F609" s="2304"/>
      <c r="G609" s="2303"/>
      <c r="H609" s="1184"/>
      <c r="I609" s="1060"/>
    </row>
    <row r="610" spans="1:9" ht="12.75" customHeight="1" x14ac:dyDescent="0.2">
      <c r="A610" s="1183" t="s">
        <v>143</v>
      </c>
      <c r="B610" s="2320"/>
      <c r="C610" s="2321"/>
      <c r="D610" s="2320" t="s">
        <v>9756</v>
      </c>
      <c r="E610" s="2322"/>
      <c r="F610" s="2322"/>
      <c r="G610" s="2321"/>
      <c r="H610" s="1180"/>
      <c r="I610" s="1063"/>
    </row>
    <row r="611" spans="1:9" ht="119.85" customHeight="1" x14ac:dyDescent="0.2">
      <c r="A611" s="2326" t="s">
        <v>922</v>
      </c>
      <c r="B611" s="2311" t="s">
        <v>7584</v>
      </c>
      <c r="C611" s="2312"/>
      <c r="D611" s="2313" t="s">
        <v>7585</v>
      </c>
      <c r="E611" s="2314"/>
      <c r="F611" s="2314"/>
      <c r="G611" s="2315"/>
      <c r="H611" s="2328" t="s">
        <v>9757</v>
      </c>
      <c r="I611" s="2330">
        <f>ROUND((55500  + 83  * (0.4 * 500 + 0.6 * 1833)) * 1 * 0.5 * 1.002,0)</f>
        <v>81855</v>
      </c>
    </row>
    <row r="612" spans="1:9" ht="12.75" customHeight="1" x14ac:dyDescent="0.2">
      <c r="A612" s="2327"/>
      <c r="B612" s="2305"/>
      <c r="C612" s="2306"/>
      <c r="D612" s="2302"/>
      <c r="E612" s="2304"/>
      <c r="F612" s="2304"/>
      <c r="G612" s="2303"/>
      <c r="H612" s="2329"/>
      <c r="I612" s="2331"/>
    </row>
    <row r="613" spans="1:9" ht="15.75" customHeight="1" x14ac:dyDescent="0.2">
      <c r="A613" s="1185" t="s">
        <v>143</v>
      </c>
      <c r="B613" s="2305"/>
      <c r="C613" s="2306"/>
      <c r="D613" s="2305" t="s">
        <v>572</v>
      </c>
      <c r="E613" s="2307"/>
      <c r="F613" s="2307"/>
      <c r="G613" s="2306"/>
      <c r="H613" s="1057"/>
      <c r="I613" s="1058"/>
    </row>
    <row r="614" spans="1:9" ht="25.5" customHeight="1" x14ac:dyDescent="0.2">
      <c r="A614" s="1185" t="s">
        <v>143</v>
      </c>
      <c r="B614" s="2302"/>
      <c r="C614" s="2303"/>
      <c r="D614" s="2302" t="s">
        <v>7321</v>
      </c>
      <c r="E614" s="2304"/>
      <c r="F614" s="2304"/>
      <c r="G614" s="2303"/>
      <c r="H614" s="1184"/>
      <c r="I614" s="1060"/>
    </row>
    <row r="615" spans="1:9" ht="89.25" customHeight="1" x14ac:dyDescent="0.2">
      <c r="A615" s="1185" t="s">
        <v>143</v>
      </c>
      <c r="B615" s="2302"/>
      <c r="C615" s="2303"/>
      <c r="D615" s="2302" t="s">
        <v>9758</v>
      </c>
      <c r="E615" s="2304"/>
      <c r="F615" s="2304"/>
      <c r="G615" s="2303"/>
      <c r="H615" s="1184"/>
      <c r="I615" s="1060"/>
    </row>
    <row r="616" spans="1:9" ht="66.75" customHeight="1" x14ac:dyDescent="0.2">
      <c r="A616" s="1185" t="s">
        <v>143</v>
      </c>
      <c r="B616" s="2305"/>
      <c r="C616" s="2306"/>
      <c r="D616" s="2305" t="s">
        <v>9759</v>
      </c>
      <c r="E616" s="2307"/>
      <c r="F616" s="2307"/>
      <c r="G616" s="2306"/>
      <c r="H616" s="1057"/>
      <c r="I616" s="1058"/>
    </row>
    <row r="617" spans="1:9" ht="12.75" customHeight="1" x14ac:dyDescent="0.2">
      <c r="A617" s="1185" t="s">
        <v>143</v>
      </c>
      <c r="B617" s="2302"/>
      <c r="C617" s="2303"/>
      <c r="D617" s="2302" t="s">
        <v>7587</v>
      </c>
      <c r="E617" s="2304"/>
      <c r="F617" s="2304"/>
      <c r="G617" s="2303"/>
      <c r="H617" s="1184"/>
      <c r="I617" s="1060"/>
    </row>
    <row r="618" spans="1:9" ht="25.5" customHeight="1" x14ac:dyDescent="0.2">
      <c r="A618" s="1185" t="s">
        <v>143</v>
      </c>
      <c r="B618" s="2302"/>
      <c r="C618" s="2303"/>
      <c r="D618" s="2302" t="s">
        <v>9760</v>
      </c>
      <c r="E618" s="2304"/>
      <c r="F618" s="2304"/>
      <c r="G618" s="2303"/>
      <c r="H618" s="1184"/>
      <c r="I618" s="1060"/>
    </row>
    <row r="619" spans="1:9" ht="25.5" customHeight="1" x14ac:dyDescent="0.2">
      <c r="A619" s="1185" t="s">
        <v>143</v>
      </c>
      <c r="B619" s="2302"/>
      <c r="C619" s="2303"/>
      <c r="D619" s="2323" t="s">
        <v>9761</v>
      </c>
      <c r="E619" s="2324"/>
      <c r="F619" s="2324"/>
      <c r="G619" s="2325"/>
      <c r="H619" s="1184"/>
      <c r="I619" s="1060"/>
    </row>
    <row r="620" spans="1:9" ht="25.5" customHeight="1" x14ac:dyDescent="0.2">
      <c r="A620" s="1185" t="s">
        <v>143</v>
      </c>
      <c r="B620" s="2302"/>
      <c r="C620" s="2303"/>
      <c r="D620" s="2323" t="s">
        <v>9762</v>
      </c>
      <c r="E620" s="2324"/>
      <c r="F620" s="2324"/>
      <c r="G620" s="2325"/>
      <c r="H620" s="1184"/>
      <c r="I620" s="1060"/>
    </row>
    <row r="621" spans="1:9" ht="25.5" customHeight="1" x14ac:dyDescent="0.2">
      <c r="A621" s="1185" t="s">
        <v>143</v>
      </c>
      <c r="B621" s="2302"/>
      <c r="C621" s="2303"/>
      <c r="D621" s="2323" t="s">
        <v>9763</v>
      </c>
      <c r="E621" s="2324"/>
      <c r="F621" s="2324"/>
      <c r="G621" s="2325"/>
      <c r="H621" s="1184"/>
      <c r="I621" s="1060"/>
    </row>
    <row r="622" spans="1:9" ht="25.5" customHeight="1" x14ac:dyDescent="0.2">
      <c r="A622" s="1185" t="s">
        <v>143</v>
      </c>
      <c r="B622" s="2302"/>
      <c r="C622" s="2303"/>
      <c r="D622" s="2323" t="s">
        <v>9764</v>
      </c>
      <c r="E622" s="2324"/>
      <c r="F622" s="2324"/>
      <c r="G622" s="2325"/>
      <c r="H622" s="1184"/>
      <c r="I622" s="1060"/>
    </row>
    <row r="623" spans="1:9" ht="25.5" customHeight="1" x14ac:dyDescent="0.2">
      <c r="A623" s="1185" t="s">
        <v>143</v>
      </c>
      <c r="B623" s="2302"/>
      <c r="C623" s="2303"/>
      <c r="D623" s="2302" t="s">
        <v>9765</v>
      </c>
      <c r="E623" s="2304"/>
      <c r="F623" s="2304"/>
      <c r="G623" s="2303"/>
      <c r="H623" s="1184"/>
      <c r="I623" s="1060"/>
    </row>
    <row r="624" spans="1:9" ht="12.75" customHeight="1" x14ac:dyDescent="0.2">
      <c r="A624" s="1185" t="s">
        <v>143</v>
      </c>
      <c r="B624" s="2302"/>
      <c r="C624" s="2303"/>
      <c r="D624" s="2302" t="s">
        <v>9766</v>
      </c>
      <c r="E624" s="2304"/>
      <c r="F624" s="2304"/>
      <c r="G624" s="2303"/>
      <c r="H624" s="1184"/>
      <c r="I624" s="1060"/>
    </row>
    <row r="625" spans="1:9" ht="25.5" customHeight="1" x14ac:dyDescent="0.2">
      <c r="A625" s="1185" t="s">
        <v>143</v>
      </c>
      <c r="B625" s="2302"/>
      <c r="C625" s="2303"/>
      <c r="D625" s="2302" t="s">
        <v>9767</v>
      </c>
      <c r="E625" s="2304"/>
      <c r="F625" s="2304"/>
      <c r="G625" s="2303"/>
      <c r="H625" s="1184"/>
      <c r="I625" s="1060"/>
    </row>
    <row r="626" spans="1:9" ht="25.5" customHeight="1" x14ac:dyDescent="0.2">
      <c r="A626" s="1185" t="s">
        <v>143</v>
      </c>
      <c r="B626" s="2302"/>
      <c r="C626" s="2303"/>
      <c r="D626" s="2302" t="s">
        <v>9768</v>
      </c>
      <c r="E626" s="2304"/>
      <c r="F626" s="2304"/>
      <c r="G626" s="2303"/>
      <c r="H626" s="1184"/>
      <c r="I626" s="1060"/>
    </row>
    <row r="627" spans="1:9" ht="12.75" customHeight="1" x14ac:dyDescent="0.2">
      <c r="A627" s="1183" t="s">
        <v>143</v>
      </c>
      <c r="B627" s="2320"/>
      <c r="C627" s="2321"/>
      <c r="D627" s="2320" t="s">
        <v>9769</v>
      </c>
      <c r="E627" s="2322"/>
      <c r="F627" s="2322"/>
      <c r="G627" s="2321"/>
      <c r="H627" s="1180"/>
      <c r="I627" s="1063"/>
    </row>
    <row r="628" spans="1:9" ht="107.25" customHeight="1" x14ac:dyDescent="0.2">
      <c r="A628" s="1182" t="s">
        <v>765</v>
      </c>
      <c r="B628" s="2311" t="s">
        <v>7588</v>
      </c>
      <c r="C628" s="2312"/>
      <c r="D628" s="2313" t="s">
        <v>7589</v>
      </c>
      <c r="E628" s="2314"/>
      <c r="F628" s="2314"/>
      <c r="G628" s="2315"/>
      <c r="H628" s="1179" t="s">
        <v>9770</v>
      </c>
      <c r="I628" s="1181">
        <f>ROUND((7763  + 42  * 103) * 1 * 0.4 * 0.825,0)</f>
        <v>3989</v>
      </c>
    </row>
    <row r="629" spans="1:9" ht="15.75" customHeight="1" x14ac:dyDescent="0.2">
      <c r="A629" s="1185" t="s">
        <v>143</v>
      </c>
      <c r="B629" s="2305"/>
      <c r="C629" s="2306"/>
      <c r="D629" s="2305" t="s">
        <v>572</v>
      </c>
      <c r="E629" s="2307"/>
      <c r="F629" s="2307"/>
      <c r="G629" s="2306"/>
      <c r="H629" s="1057"/>
      <c r="I629" s="1058"/>
    </row>
    <row r="630" spans="1:9" ht="25.5" customHeight="1" x14ac:dyDescent="0.2">
      <c r="A630" s="1185" t="s">
        <v>143</v>
      </c>
      <c r="B630" s="2302"/>
      <c r="C630" s="2303"/>
      <c r="D630" s="2302" t="s">
        <v>7138</v>
      </c>
      <c r="E630" s="2304"/>
      <c r="F630" s="2304"/>
      <c r="G630" s="2303"/>
      <c r="H630" s="1184"/>
      <c r="I630" s="1060"/>
    </row>
    <row r="631" spans="1:9" ht="41.25" customHeight="1" x14ac:dyDescent="0.2">
      <c r="A631" s="1185" t="s">
        <v>143</v>
      </c>
      <c r="B631" s="2305"/>
      <c r="C631" s="2306"/>
      <c r="D631" s="2305" t="s">
        <v>9771</v>
      </c>
      <c r="E631" s="2307"/>
      <c r="F631" s="2307"/>
      <c r="G631" s="2306"/>
      <c r="H631" s="1057"/>
      <c r="I631" s="1058"/>
    </row>
    <row r="632" spans="1:9" ht="25.5" customHeight="1" x14ac:dyDescent="0.2">
      <c r="A632" s="1185" t="s">
        <v>143</v>
      </c>
      <c r="B632" s="2302"/>
      <c r="C632" s="2303"/>
      <c r="D632" s="2323" t="s">
        <v>9772</v>
      </c>
      <c r="E632" s="2324"/>
      <c r="F632" s="2324"/>
      <c r="G632" s="2325"/>
      <c r="H632" s="1184"/>
      <c r="I632" s="1060"/>
    </row>
    <row r="633" spans="1:9" ht="25.5" customHeight="1" x14ac:dyDescent="0.2">
      <c r="A633" s="1185" t="s">
        <v>143</v>
      </c>
      <c r="B633" s="2302"/>
      <c r="C633" s="2303"/>
      <c r="D633" s="2323" t="s">
        <v>9773</v>
      </c>
      <c r="E633" s="2324"/>
      <c r="F633" s="2324"/>
      <c r="G633" s="2325"/>
      <c r="H633" s="1184"/>
      <c r="I633" s="1060"/>
    </row>
    <row r="634" spans="1:9" ht="25.5" customHeight="1" x14ac:dyDescent="0.2">
      <c r="A634" s="1185" t="s">
        <v>143</v>
      </c>
      <c r="B634" s="2302"/>
      <c r="C634" s="2303"/>
      <c r="D634" s="2323" t="s">
        <v>9774</v>
      </c>
      <c r="E634" s="2324"/>
      <c r="F634" s="2324"/>
      <c r="G634" s="2325"/>
      <c r="H634" s="1184"/>
      <c r="I634" s="1060"/>
    </row>
    <row r="635" spans="1:9" ht="12.75" customHeight="1" x14ac:dyDescent="0.2">
      <c r="A635" s="1185" t="s">
        <v>143</v>
      </c>
      <c r="B635" s="2302"/>
      <c r="C635" s="2303"/>
      <c r="D635" s="2302" t="s">
        <v>9775</v>
      </c>
      <c r="E635" s="2304"/>
      <c r="F635" s="2304"/>
      <c r="G635" s="2303"/>
      <c r="H635" s="1184"/>
      <c r="I635" s="1060"/>
    </row>
    <row r="636" spans="1:9" ht="25.5" customHeight="1" x14ac:dyDescent="0.2">
      <c r="A636" s="1185" t="s">
        <v>143</v>
      </c>
      <c r="B636" s="2302"/>
      <c r="C636" s="2303"/>
      <c r="D636" s="2323" t="s">
        <v>9776</v>
      </c>
      <c r="E636" s="2324"/>
      <c r="F636" s="2324"/>
      <c r="G636" s="2325"/>
      <c r="H636" s="1184"/>
      <c r="I636" s="1060"/>
    </row>
    <row r="637" spans="1:9" ht="12.75" customHeight="1" x14ac:dyDescent="0.2">
      <c r="A637" s="1185" t="s">
        <v>143</v>
      </c>
      <c r="B637" s="2302"/>
      <c r="C637" s="2303"/>
      <c r="D637" s="2302" t="s">
        <v>9777</v>
      </c>
      <c r="E637" s="2304"/>
      <c r="F637" s="2304"/>
      <c r="G637" s="2303"/>
      <c r="H637" s="1184"/>
      <c r="I637" s="1060"/>
    </row>
    <row r="638" spans="1:9" ht="25.5" customHeight="1" x14ac:dyDescent="0.2">
      <c r="A638" s="1185" t="s">
        <v>143</v>
      </c>
      <c r="B638" s="2302"/>
      <c r="C638" s="2303"/>
      <c r="D638" s="2302" t="s">
        <v>9778</v>
      </c>
      <c r="E638" s="2304"/>
      <c r="F638" s="2304"/>
      <c r="G638" s="2303"/>
      <c r="H638" s="1184"/>
      <c r="I638" s="1060"/>
    </row>
    <row r="639" spans="1:9" ht="25.5" customHeight="1" x14ac:dyDescent="0.2">
      <c r="A639" s="1185" t="s">
        <v>143</v>
      </c>
      <c r="B639" s="2302"/>
      <c r="C639" s="2303"/>
      <c r="D639" s="2302" t="s">
        <v>9779</v>
      </c>
      <c r="E639" s="2304"/>
      <c r="F639" s="2304"/>
      <c r="G639" s="2303"/>
      <c r="H639" s="1184"/>
      <c r="I639" s="1060"/>
    </row>
    <row r="640" spans="1:9" ht="12.75" customHeight="1" x14ac:dyDescent="0.2">
      <c r="A640" s="1183" t="s">
        <v>143</v>
      </c>
      <c r="B640" s="2320"/>
      <c r="C640" s="2321"/>
      <c r="D640" s="2320" t="s">
        <v>9780</v>
      </c>
      <c r="E640" s="2322"/>
      <c r="F640" s="2322"/>
      <c r="G640" s="2321"/>
      <c r="H640" s="1180"/>
      <c r="I640" s="1063"/>
    </row>
    <row r="641" spans="1:9" ht="119.85" customHeight="1" x14ac:dyDescent="0.2">
      <c r="A641" s="1182" t="s">
        <v>505</v>
      </c>
      <c r="B641" s="2311" t="s">
        <v>7590</v>
      </c>
      <c r="C641" s="2312"/>
      <c r="D641" s="2313" t="s">
        <v>7591</v>
      </c>
      <c r="E641" s="2314"/>
      <c r="F641" s="2314"/>
      <c r="G641" s="2315"/>
      <c r="H641" s="1179" t="s">
        <v>7592</v>
      </c>
      <c r="I641" s="1181">
        <f>ROUND((47800  + 180  * (0.4 * 100 + 0.6 * 100 / 2)) * 1 * 0.5 * 0.72 * 1.14,0)</f>
        <v>24788</v>
      </c>
    </row>
    <row r="642" spans="1:9" ht="15.75" customHeight="1" x14ac:dyDescent="0.2">
      <c r="A642" s="1185" t="s">
        <v>143</v>
      </c>
      <c r="B642" s="2305"/>
      <c r="C642" s="2306"/>
      <c r="D642" s="2305" t="s">
        <v>572</v>
      </c>
      <c r="E642" s="2307"/>
      <c r="F642" s="2307"/>
      <c r="G642" s="2306"/>
      <c r="H642" s="1057"/>
      <c r="I642" s="1058"/>
    </row>
    <row r="643" spans="1:9" ht="25.5" customHeight="1" x14ac:dyDescent="0.2">
      <c r="A643" s="1185" t="s">
        <v>143</v>
      </c>
      <c r="B643" s="2302"/>
      <c r="C643" s="2303"/>
      <c r="D643" s="2302" t="s">
        <v>7321</v>
      </c>
      <c r="E643" s="2304"/>
      <c r="F643" s="2304"/>
      <c r="G643" s="2303"/>
      <c r="H643" s="1184"/>
      <c r="I643" s="1060"/>
    </row>
    <row r="644" spans="1:9" ht="76.7" customHeight="1" x14ac:dyDescent="0.2">
      <c r="A644" s="1185" t="s">
        <v>143</v>
      </c>
      <c r="B644" s="2302"/>
      <c r="C644" s="2303"/>
      <c r="D644" s="2302" t="s">
        <v>7593</v>
      </c>
      <c r="E644" s="2304"/>
      <c r="F644" s="2304"/>
      <c r="G644" s="2303"/>
      <c r="H644" s="1184"/>
      <c r="I644" s="1060"/>
    </row>
    <row r="645" spans="1:9" ht="89.25" customHeight="1" x14ac:dyDescent="0.2">
      <c r="A645" s="1185" t="s">
        <v>143</v>
      </c>
      <c r="B645" s="2302"/>
      <c r="C645" s="2303"/>
      <c r="D645" s="2302" t="s">
        <v>7359</v>
      </c>
      <c r="E645" s="2304"/>
      <c r="F645" s="2304"/>
      <c r="G645" s="2303"/>
      <c r="H645" s="1184"/>
      <c r="I645" s="1060"/>
    </row>
    <row r="646" spans="1:9" ht="92.25" customHeight="1" x14ac:dyDescent="0.2">
      <c r="A646" s="1185" t="s">
        <v>143</v>
      </c>
      <c r="B646" s="2305"/>
      <c r="C646" s="2306"/>
      <c r="D646" s="2305" t="s">
        <v>7360</v>
      </c>
      <c r="E646" s="2307"/>
      <c r="F646" s="2307"/>
      <c r="G646" s="2306"/>
      <c r="H646" s="1057"/>
      <c r="I646" s="1058"/>
    </row>
    <row r="647" spans="1:9" ht="12.75" customHeight="1" x14ac:dyDescent="0.2">
      <c r="A647" s="1185" t="s">
        <v>143</v>
      </c>
      <c r="B647" s="2302"/>
      <c r="C647" s="2303"/>
      <c r="D647" s="2302" t="s">
        <v>7594</v>
      </c>
      <c r="E647" s="2304"/>
      <c r="F647" s="2304"/>
      <c r="G647" s="2303"/>
      <c r="H647" s="1184"/>
      <c r="I647" s="1060"/>
    </row>
    <row r="648" spans="1:9" ht="12.75" customHeight="1" x14ac:dyDescent="0.2">
      <c r="A648" s="1185" t="s">
        <v>143</v>
      </c>
      <c r="B648" s="2302"/>
      <c r="C648" s="2303"/>
      <c r="D648" s="2302" t="s">
        <v>7595</v>
      </c>
      <c r="E648" s="2304"/>
      <c r="F648" s="2304"/>
      <c r="G648" s="2303"/>
      <c r="H648" s="1184"/>
      <c r="I648" s="1060"/>
    </row>
    <row r="649" spans="1:9" ht="25.5" customHeight="1" x14ac:dyDescent="0.2">
      <c r="A649" s="1185" t="s">
        <v>143</v>
      </c>
      <c r="B649" s="2302"/>
      <c r="C649" s="2303"/>
      <c r="D649" s="2302" t="s">
        <v>7325</v>
      </c>
      <c r="E649" s="2304"/>
      <c r="F649" s="2304"/>
      <c r="G649" s="2303"/>
      <c r="H649" s="1184"/>
      <c r="I649" s="1060"/>
    </row>
    <row r="650" spans="1:9" ht="25.5" customHeight="1" x14ac:dyDescent="0.2">
      <c r="A650" s="1185" t="s">
        <v>143</v>
      </c>
      <c r="B650" s="2302"/>
      <c r="C650" s="2303"/>
      <c r="D650" s="2323" t="s">
        <v>7596</v>
      </c>
      <c r="E650" s="2324"/>
      <c r="F650" s="2324"/>
      <c r="G650" s="2325"/>
      <c r="H650" s="1184"/>
      <c r="I650" s="1060"/>
    </row>
    <row r="651" spans="1:9" ht="25.5" customHeight="1" x14ac:dyDescent="0.2">
      <c r="A651" s="1185" t="s">
        <v>143</v>
      </c>
      <c r="B651" s="2302"/>
      <c r="C651" s="2303"/>
      <c r="D651" s="2323" t="s">
        <v>7597</v>
      </c>
      <c r="E651" s="2324"/>
      <c r="F651" s="2324"/>
      <c r="G651" s="2325"/>
      <c r="H651" s="1184"/>
      <c r="I651" s="1060"/>
    </row>
    <row r="652" spans="1:9" ht="25.5" customHeight="1" x14ac:dyDescent="0.2">
      <c r="A652" s="1185" t="s">
        <v>143</v>
      </c>
      <c r="B652" s="2302"/>
      <c r="C652" s="2303"/>
      <c r="D652" s="2323" t="s">
        <v>7598</v>
      </c>
      <c r="E652" s="2324"/>
      <c r="F652" s="2324"/>
      <c r="G652" s="2325"/>
      <c r="H652" s="1184"/>
      <c r="I652" s="1060"/>
    </row>
    <row r="653" spans="1:9" ht="25.5" customHeight="1" x14ac:dyDescent="0.2">
      <c r="A653" s="1185" t="s">
        <v>143</v>
      </c>
      <c r="B653" s="2302"/>
      <c r="C653" s="2303"/>
      <c r="D653" s="2323" t="s">
        <v>7599</v>
      </c>
      <c r="E653" s="2324"/>
      <c r="F653" s="2324"/>
      <c r="G653" s="2325"/>
      <c r="H653" s="1184"/>
      <c r="I653" s="1060"/>
    </row>
    <row r="654" spans="1:9" ht="25.5" customHeight="1" x14ac:dyDescent="0.2">
      <c r="A654" s="1185" t="s">
        <v>143</v>
      </c>
      <c r="B654" s="2302"/>
      <c r="C654" s="2303"/>
      <c r="D654" s="2302" t="s">
        <v>7600</v>
      </c>
      <c r="E654" s="2304"/>
      <c r="F654" s="2304"/>
      <c r="G654" s="2303"/>
      <c r="H654" s="1184"/>
      <c r="I654" s="1060"/>
    </row>
    <row r="655" spans="1:9" ht="25.5" customHeight="1" x14ac:dyDescent="0.2">
      <c r="A655" s="1185" t="s">
        <v>143</v>
      </c>
      <c r="B655" s="2302"/>
      <c r="C655" s="2303"/>
      <c r="D655" s="2323" t="s">
        <v>7601</v>
      </c>
      <c r="E655" s="2324"/>
      <c r="F655" s="2324"/>
      <c r="G655" s="2325"/>
      <c r="H655" s="1184"/>
      <c r="I655" s="1060"/>
    </row>
    <row r="656" spans="1:9" ht="25.5" customHeight="1" x14ac:dyDescent="0.2">
      <c r="A656" s="1185" t="s">
        <v>143</v>
      </c>
      <c r="B656" s="2302"/>
      <c r="C656" s="2303"/>
      <c r="D656" s="2323" t="s">
        <v>7602</v>
      </c>
      <c r="E656" s="2324"/>
      <c r="F656" s="2324"/>
      <c r="G656" s="2325"/>
      <c r="H656" s="1184"/>
      <c r="I656" s="1060"/>
    </row>
    <row r="657" spans="1:9" ht="25.5" customHeight="1" x14ac:dyDescent="0.2">
      <c r="A657" s="1185" t="s">
        <v>143</v>
      </c>
      <c r="B657" s="2302"/>
      <c r="C657" s="2303"/>
      <c r="D657" s="2302" t="s">
        <v>7603</v>
      </c>
      <c r="E657" s="2304"/>
      <c r="F657" s="2304"/>
      <c r="G657" s="2303"/>
      <c r="H657" s="1184"/>
      <c r="I657" s="1060"/>
    </row>
    <row r="658" spans="1:9" ht="12.75" customHeight="1" x14ac:dyDescent="0.2">
      <c r="A658" s="1185" t="s">
        <v>143</v>
      </c>
      <c r="B658" s="2302"/>
      <c r="C658" s="2303"/>
      <c r="D658" s="2302" t="s">
        <v>7604</v>
      </c>
      <c r="E658" s="2304"/>
      <c r="F658" s="2304"/>
      <c r="G658" s="2303"/>
      <c r="H658" s="1184"/>
      <c r="I658" s="1060"/>
    </row>
    <row r="659" spans="1:9" ht="25.5" customHeight="1" x14ac:dyDescent="0.2">
      <c r="A659" s="1185" t="s">
        <v>143</v>
      </c>
      <c r="B659" s="2302"/>
      <c r="C659" s="2303"/>
      <c r="D659" s="2302" t="s">
        <v>7605</v>
      </c>
      <c r="E659" s="2304"/>
      <c r="F659" s="2304"/>
      <c r="G659" s="2303"/>
      <c r="H659" s="1184"/>
      <c r="I659" s="1060"/>
    </row>
    <row r="660" spans="1:9" ht="25.5" customHeight="1" x14ac:dyDescent="0.2">
      <c r="A660" s="1185" t="s">
        <v>143</v>
      </c>
      <c r="B660" s="2302"/>
      <c r="C660" s="2303"/>
      <c r="D660" s="2302" t="s">
        <v>7606</v>
      </c>
      <c r="E660" s="2304"/>
      <c r="F660" s="2304"/>
      <c r="G660" s="2303"/>
      <c r="H660" s="1184"/>
      <c r="I660" s="1060"/>
    </row>
    <row r="661" spans="1:9" ht="25.5" customHeight="1" x14ac:dyDescent="0.2">
      <c r="A661" s="1185" t="s">
        <v>143</v>
      </c>
      <c r="B661" s="2302"/>
      <c r="C661" s="2303"/>
      <c r="D661" s="2302" t="s">
        <v>7607</v>
      </c>
      <c r="E661" s="2304"/>
      <c r="F661" s="2304"/>
      <c r="G661" s="2303"/>
      <c r="H661" s="1184"/>
      <c r="I661" s="1060"/>
    </row>
    <row r="662" spans="1:9" ht="12.75" customHeight="1" x14ac:dyDescent="0.2">
      <c r="A662" s="1183" t="s">
        <v>143</v>
      </c>
      <c r="B662" s="2320"/>
      <c r="C662" s="2321"/>
      <c r="D662" s="2320" t="s">
        <v>7608</v>
      </c>
      <c r="E662" s="2322"/>
      <c r="F662" s="2322"/>
      <c r="G662" s="2321"/>
      <c r="H662" s="1180"/>
      <c r="I662" s="1063"/>
    </row>
    <row r="663" spans="1:9" ht="170.85" customHeight="1" x14ac:dyDescent="0.2">
      <c r="A663" s="1182" t="s">
        <v>767</v>
      </c>
      <c r="B663" s="2311" t="s">
        <v>7609</v>
      </c>
      <c r="C663" s="2312"/>
      <c r="D663" s="2313" t="s">
        <v>7610</v>
      </c>
      <c r="E663" s="2314"/>
      <c r="F663" s="2314"/>
      <c r="G663" s="2315"/>
      <c r="H663" s="1179" t="s">
        <v>7611</v>
      </c>
      <c r="I663" s="1181">
        <f>ROUND(47260  * 1 * 0.5 * 0.5 * 0.7,0)</f>
        <v>8271</v>
      </c>
    </row>
    <row r="664" spans="1:9" ht="15.75" customHeight="1" x14ac:dyDescent="0.2">
      <c r="A664" s="1185" t="s">
        <v>143</v>
      </c>
      <c r="B664" s="2305"/>
      <c r="C664" s="2306"/>
      <c r="D664" s="2305" t="s">
        <v>572</v>
      </c>
      <c r="E664" s="2307"/>
      <c r="F664" s="2307"/>
      <c r="G664" s="2306"/>
      <c r="H664" s="1057"/>
      <c r="I664" s="1058"/>
    </row>
    <row r="665" spans="1:9" ht="25.5" customHeight="1" x14ac:dyDescent="0.2">
      <c r="A665" s="1185" t="s">
        <v>143</v>
      </c>
      <c r="B665" s="2302"/>
      <c r="C665" s="2303"/>
      <c r="D665" s="2302" t="s">
        <v>7321</v>
      </c>
      <c r="E665" s="2304"/>
      <c r="F665" s="2304"/>
      <c r="G665" s="2303"/>
      <c r="H665" s="1184"/>
      <c r="I665" s="1060"/>
    </row>
    <row r="666" spans="1:9" ht="153" customHeight="1" x14ac:dyDescent="0.2">
      <c r="A666" s="1185" t="s">
        <v>143</v>
      </c>
      <c r="B666" s="2302"/>
      <c r="C666" s="2303"/>
      <c r="D666" s="2302" t="s">
        <v>7612</v>
      </c>
      <c r="E666" s="2304"/>
      <c r="F666" s="2304"/>
      <c r="G666" s="2303"/>
      <c r="H666" s="1184"/>
      <c r="I666" s="1060"/>
    </row>
    <row r="667" spans="1:9" ht="140.25" customHeight="1" x14ac:dyDescent="0.2">
      <c r="A667" s="1185" t="s">
        <v>143</v>
      </c>
      <c r="B667" s="2302"/>
      <c r="C667" s="2303"/>
      <c r="D667" s="2302" t="s">
        <v>7613</v>
      </c>
      <c r="E667" s="2304"/>
      <c r="F667" s="2304"/>
      <c r="G667" s="2303"/>
      <c r="H667" s="1184"/>
      <c r="I667" s="1060"/>
    </row>
    <row r="668" spans="1:9" ht="66.75" customHeight="1" x14ac:dyDescent="0.2">
      <c r="A668" s="1185" t="s">
        <v>143</v>
      </c>
      <c r="B668" s="2305"/>
      <c r="C668" s="2306"/>
      <c r="D668" s="2305" t="s">
        <v>7614</v>
      </c>
      <c r="E668" s="2307"/>
      <c r="F668" s="2307"/>
      <c r="G668" s="2306"/>
      <c r="H668" s="1057"/>
      <c r="I668" s="1058"/>
    </row>
    <row r="669" spans="1:9" ht="12.75" customHeight="1" x14ac:dyDescent="0.2">
      <c r="A669" s="1185" t="s">
        <v>143</v>
      </c>
      <c r="B669" s="2302"/>
      <c r="C669" s="2303"/>
      <c r="D669" s="2302" t="s">
        <v>7615</v>
      </c>
      <c r="E669" s="2304"/>
      <c r="F669" s="2304"/>
      <c r="G669" s="2303"/>
      <c r="H669" s="1184"/>
      <c r="I669" s="1060"/>
    </row>
    <row r="670" spans="1:9" ht="25.5" customHeight="1" x14ac:dyDescent="0.2">
      <c r="A670" s="1185" t="s">
        <v>143</v>
      </c>
      <c r="B670" s="2302"/>
      <c r="C670" s="2303"/>
      <c r="D670" s="2302" t="s">
        <v>7616</v>
      </c>
      <c r="E670" s="2304"/>
      <c r="F670" s="2304"/>
      <c r="G670" s="2303"/>
      <c r="H670" s="1184"/>
      <c r="I670" s="1060"/>
    </row>
    <row r="671" spans="1:9" ht="12.75" customHeight="1" x14ac:dyDescent="0.2">
      <c r="A671" s="1185" t="s">
        <v>143</v>
      </c>
      <c r="B671" s="2302"/>
      <c r="C671" s="2303"/>
      <c r="D671" s="2302" t="s">
        <v>7617</v>
      </c>
      <c r="E671" s="2304"/>
      <c r="F671" s="2304"/>
      <c r="G671" s="2303"/>
      <c r="H671" s="1184"/>
      <c r="I671" s="1060"/>
    </row>
    <row r="672" spans="1:9" ht="12.75" customHeight="1" x14ac:dyDescent="0.2">
      <c r="A672" s="1185" t="s">
        <v>143</v>
      </c>
      <c r="B672" s="2302"/>
      <c r="C672" s="2303"/>
      <c r="D672" s="2302" t="s">
        <v>7618</v>
      </c>
      <c r="E672" s="2304"/>
      <c r="F672" s="2304"/>
      <c r="G672" s="2303"/>
      <c r="H672" s="1184"/>
      <c r="I672" s="1060"/>
    </row>
    <row r="673" spans="1:9" ht="25.5" customHeight="1" x14ac:dyDescent="0.2">
      <c r="A673" s="1185" t="s">
        <v>143</v>
      </c>
      <c r="B673" s="2302"/>
      <c r="C673" s="2303"/>
      <c r="D673" s="2302" t="s">
        <v>7619</v>
      </c>
      <c r="E673" s="2304"/>
      <c r="F673" s="2304"/>
      <c r="G673" s="2303"/>
      <c r="H673" s="1184"/>
      <c r="I673" s="1060"/>
    </row>
    <row r="674" spans="1:9" ht="25.5" customHeight="1" x14ac:dyDescent="0.2">
      <c r="A674" s="1185" t="s">
        <v>143</v>
      </c>
      <c r="B674" s="2302"/>
      <c r="C674" s="2303"/>
      <c r="D674" s="2302" t="s">
        <v>7620</v>
      </c>
      <c r="E674" s="2304"/>
      <c r="F674" s="2304"/>
      <c r="G674" s="2303"/>
      <c r="H674" s="1184"/>
      <c r="I674" s="1060"/>
    </row>
    <row r="675" spans="1:9" ht="25.5" customHeight="1" x14ac:dyDescent="0.2">
      <c r="A675" s="1185" t="s">
        <v>143</v>
      </c>
      <c r="B675" s="2302"/>
      <c r="C675" s="2303"/>
      <c r="D675" s="2302" t="s">
        <v>7621</v>
      </c>
      <c r="E675" s="2304"/>
      <c r="F675" s="2304"/>
      <c r="G675" s="2303"/>
      <c r="H675" s="1184"/>
      <c r="I675" s="1060"/>
    </row>
    <row r="676" spans="1:9" ht="25.5" customHeight="1" x14ac:dyDescent="0.2">
      <c r="A676" s="1185" t="s">
        <v>143</v>
      </c>
      <c r="B676" s="2302"/>
      <c r="C676" s="2303"/>
      <c r="D676" s="2302" t="s">
        <v>7622</v>
      </c>
      <c r="E676" s="2304"/>
      <c r="F676" s="2304"/>
      <c r="G676" s="2303"/>
      <c r="H676" s="1184"/>
      <c r="I676" s="1060"/>
    </row>
    <row r="677" spans="1:9" ht="25.5" customHeight="1" x14ac:dyDescent="0.2">
      <c r="A677" s="1185" t="s">
        <v>143</v>
      </c>
      <c r="B677" s="2302"/>
      <c r="C677" s="2303"/>
      <c r="D677" s="2302" t="s">
        <v>7623</v>
      </c>
      <c r="E677" s="2304"/>
      <c r="F677" s="2304"/>
      <c r="G677" s="2303"/>
      <c r="H677" s="1184"/>
      <c r="I677" s="1060"/>
    </row>
    <row r="678" spans="1:9" ht="12.75" customHeight="1" x14ac:dyDescent="0.2">
      <c r="A678" s="1185" t="s">
        <v>143</v>
      </c>
      <c r="B678" s="2302"/>
      <c r="C678" s="2303"/>
      <c r="D678" s="2302" t="s">
        <v>7624</v>
      </c>
      <c r="E678" s="2304"/>
      <c r="F678" s="2304"/>
      <c r="G678" s="2303"/>
      <c r="H678" s="1184"/>
      <c r="I678" s="1060"/>
    </row>
    <row r="679" spans="1:9" ht="12.75" customHeight="1" x14ac:dyDescent="0.2">
      <c r="A679" s="1185" t="s">
        <v>143</v>
      </c>
      <c r="B679" s="2302"/>
      <c r="C679" s="2303"/>
      <c r="D679" s="2302" t="s">
        <v>7625</v>
      </c>
      <c r="E679" s="2304"/>
      <c r="F679" s="2304"/>
      <c r="G679" s="2303"/>
      <c r="H679" s="1184"/>
      <c r="I679" s="1060"/>
    </row>
    <row r="680" spans="1:9" ht="25.5" customHeight="1" x14ac:dyDescent="0.2">
      <c r="A680" s="1185" t="s">
        <v>143</v>
      </c>
      <c r="B680" s="2302"/>
      <c r="C680" s="2303"/>
      <c r="D680" s="2302" t="s">
        <v>7626</v>
      </c>
      <c r="E680" s="2304"/>
      <c r="F680" s="2304"/>
      <c r="G680" s="2303"/>
      <c r="H680" s="1184"/>
      <c r="I680" s="1060"/>
    </row>
    <row r="681" spans="1:9" ht="12.75" customHeight="1" x14ac:dyDescent="0.2">
      <c r="A681" s="1185" t="s">
        <v>143</v>
      </c>
      <c r="B681" s="2302"/>
      <c r="C681" s="2303"/>
      <c r="D681" s="2302" t="s">
        <v>7627</v>
      </c>
      <c r="E681" s="2304"/>
      <c r="F681" s="2304"/>
      <c r="G681" s="2303"/>
      <c r="H681" s="1184"/>
      <c r="I681" s="1060"/>
    </row>
    <row r="682" spans="1:9" ht="25.5" customHeight="1" x14ac:dyDescent="0.2">
      <c r="A682" s="1185" t="s">
        <v>143</v>
      </c>
      <c r="B682" s="2302"/>
      <c r="C682" s="2303"/>
      <c r="D682" s="2302" t="s">
        <v>7628</v>
      </c>
      <c r="E682" s="2304"/>
      <c r="F682" s="2304"/>
      <c r="G682" s="2303"/>
      <c r="H682" s="1184"/>
      <c r="I682" s="1060"/>
    </row>
    <row r="683" spans="1:9" ht="25.5" customHeight="1" x14ac:dyDescent="0.2">
      <c r="A683" s="1185" t="s">
        <v>143</v>
      </c>
      <c r="B683" s="2302"/>
      <c r="C683" s="2303"/>
      <c r="D683" s="2302" t="s">
        <v>7629</v>
      </c>
      <c r="E683" s="2304"/>
      <c r="F683" s="2304"/>
      <c r="G683" s="2303"/>
      <c r="H683" s="1184"/>
      <c r="I683" s="1060"/>
    </row>
    <row r="684" spans="1:9" ht="12.75" customHeight="1" x14ac:dyDescent="0.2">
      <c r="A684" s="1185" t="s">
        <v>143</v>
      </c>
      <c r="B684" s="2302"/>
      <c r="C684" s="2303"/>
      <c r="D684" s="2302" t="s">
        <v>7630</v>
      </c>
      <c r="E684" s="2304"/>
      <c r="F684" s="2304"/>
      <c r="G684" s="2303"/>
      <c r="H684" s="1184"/>
      <c r="I684" s="1060"/>
    </row>
    <row r="685" spans="1:9" ht="38.25" customHeight="1" x14ac:dyDescent="0.2">
      <c r="A685" s="1185" t="s">
        <v>143</v>
      </c>
      <c r="B685" s="2302"/>
      <c r="C685" s="2303"/>
      <c r="D685" s="2302" t="s">
        <v>7631</v>
      </c>
      <c r="E685" s="2304"/>
      <c r="F685" s="2304"/>
      <c r="G685" s="2303"/>
      <c r="H685" s="1184"/>
      <c r="I685" s="1060"/>
    </row>
    <row r="686" spans="1:9" ht="12.75" customHeight="1" x14ac:dyDescent="0.2">
      <c r="A686" s="1183" t="s">
        <v>143</v>
      </c>
      <c r="B686" s="2320"/>
      <c r="C686" s="2321"/>
      <c r="D686" s="2320" t="s">
        <v>7632</v>
      </c>
      <c r="E686" s="2322"/>
      <c r="F686" s="2322"/>
      <c r="G686" s="2321"/>
      <c r="H686" s="1180"/>
      <c r="I686" s="1063"/>
    </row>
    <row r="687" spans="1:9" ht="107.25" customHeight="1" x14ac:dyDescent="0.2">
      <c r="A687" s="1182" t="s">
        <v>768</v>
      </c>
      <c r="B687" s="2311" t="s">
        <v>7633</v>
      </c>
      <c r="C687" s="2312"/>
      <c r="D687" s="2313" t="s">
        <v>7634</v>
      </c>
      <c r="E687" s="2314"/>
      <c r="F687" s="2314"/>
      <c r="G687" s="2315"/>
      <c r="H687" s="1179" t="s">
        <v>9781</v>
      </c>
      <c r="I687" s="1181">
        <f>ROUND((12265  + 37  * 3068) * 1 * 0.4,0)</f>
        <v>50312</v>
      </c>
    </row>
    <row r="688" spans="1:9" ht="15.75" customHeight="1" x14ac:dyDescent="0.2">
      <c r="A688" s="1185" t="s">
        <v>143</v>
      </c>
      <c r="B688" s="2305"/>
      <c r="C688" s="2306"/>
      <c r="D688" s="2305" t="s">
        <v>572</v>
      </c>
      <c r="E688" s="2307"/>
      <c r="F688" s="2307"/>
      <c r="G688" s="2306"/>
      <c r="H688" s="1057"/>
      <c r="I688" s="1058"/>
    </row>
    <row r="689" spans="1:9" ht="25.5" customHeight="1" x14ac:dyDescent="0.2">
      <c r="A689" s="1185" t="s">
        <v>143</v>
      </c>
      <c r="B689" s="2302"/>
      <c r="C689" s="2303"/>
      <c r="D689" s="2302" t="s">
        <v>7138</v>
      </c>
      <c r="E689" s="2304"/>
      <c r="F689" s="2304"/>
      <c r="G689" s="2303"/>
      <c r="H689" s="1184"/>
      <c r="I689" s="1060"/>
    </row>
    <row r="690" spans="1:9" ht="66.75" customHeight="1" x14ac:dyDescent="0.2">
      <c r="A690" s="1185" t="s">
        <v>143</v>
      </c>
      <c r="B690" s="2305"/>
      <c r="C690" s="2306"/>
      <c r="D690" s="2305" t="s">
        <v>9715</v>
      </c>
      <c r="E690" s="2307"/>
      <c r="F690" s="2307"/>
      <c r="G690" s="2306"/>
      <c r="H690" s="1057"/>
      <c r="I690" s="1058"/>
    </row>
    <row r="691" spans="1:9" ht="12.75" customHeight="1" x14ac:dyDescent="0.2">
      <c r="A691" s="1185" t="s">
        <v>143</v>
      </c>
      <c r="B691" s="2302"/>
      <c r="C691" s="2303"/>
      <c r="D691" s="2302" t="s">
        <v>7635</v>
      </c>
      <c r="E691" s="2304"/>
      <c r="F691" s="2304"/>
      <c r="G691" s="2303"/>
      <c r="H691" s="1184"/>
      <c r="I691" s="1060"/>
    </row>
    <row r="692" spans="1:9" ht="12.75" customHeight="1" x14ac:dyDescent="0.2">
      <c r="A692" s="1185" t="s">
        <v>143</v>
      </c>
      <c r="B692" s="2302"/>
      <c r="C692" s="2303"/>
      <c r="D692" s="2302" t="s">
        <v>7636</v>
      </c>
      <c r="E692" s="2304"/>
      <c r="F692" s="2304"/>
      <c r="G692" s="2303"/>
      <c r="H692" s="1184"/>
      <c r="I692" s="1060"/>
    </row>
    <row r="693" spans="1:9" ht="25.5" customHeight="1" x14ac:dyDescent="0.2">
      <c r="A693" s="1185" t="s">
        <v>143</v>
      </c>
      <c r="B693" s="2302"/>
      <c r="C693" s="2303"/>
      <c r="D693" s="2302" t="s">
        <v>9782</v>
      </c>
      <c r="E693" s="2304"/>
      <c r="F693" s="2304"/>
      <c r="G693" s="2303"/>
      <c r="H693" s="1184"/>
      <c r="I693" s="1060"/>
    </row>
    <row r="694" spans="1:9" ht="25.5" customHeight="1" x14ac:dyDescent="0.2">
      <c r="A694" s="1185" t="s">
        <v>143</v>
      </c>
      <c r="B694" s="2302"/>
      <c r="C694" s="2303"/>
      <c r="D694" s="2323" t="s">
        <v>9783</v>
      </c>
      <c r="E694" s="2324"/>
      <c r="F694" s="2324"/>
      <c r="G694" s="2325"/>
      <c r="H694" s="1184"/>
      <c r="I694" s="1060"/>
    </row>
    <row r="695" spans="1:9" ht="25.5" customHeight="1" x14ac:dyDescent="0.2">
      <c r="A695" s="1185" t="s">
        <v>143</v>
      </c>
      <c r="B695" s="2302"/>
      <c r="C695" s="2303"/>
      <c r="D695" s="2323" t="s">
        <v>9784</v>
      </c>
      <c r="E695" s="2324"/>
      <c r="F695" s="2324"/>
      <c r="G695" s="2325"/>
      <c r="H695" s="1184"/>
      <c r="I695" s="1060"/>
    </row>
    <row r="696" spans="1:9" ht="25.5" customHeight="1" x14ac:dyDescent="0.2">
      <c r="A696" s="1185" t="s">
        <v>143</v>
      </c>
      <c r="B696" s="2302"/>
      <c r="C696" s="2303"/>
      <c r="D696" s="2323" t="s">
        <v>9785</v>
      </c>
      <c r="E696" s="2324"/>
      <c r="F696" s="2324"/>
      <c r="G696" s="2325"/>
      <c r="H696" s="1184"/>
      <c r="I696" s="1060"/>
    </row>
    <row r="697" spans="1:9" ht="12.75" customHeight="1" x14ac:dyDescent="0.2">
      <c r="A697" s="1185" t="s">
        <v>143</v>
      </c>
      <c r="B697" s="2302"/>
      <c r="C697" s="2303"/>
      <c r="D697" s="2323" t="s">
        <v>9786</v>
      </c>
      <c r="E697" s="2324"/>
      <c r="F697" s="2324"/>
      <c r="G697" s="2325"/>
      <c r="H697" s="1184"/>
      <c r="I697" s="1060"/>
    </row>
    <row r="698" spans="1:9" ht="12.75" customHeight="1" x14ac:dyDescent="0.2">
      <c r="A698" s="1185" t="s">
        <v>143</v>
      </c>
      <c r="B698" s="2302"/>
      <c r="C698" s="2303"/>
      <c r="D698" s="2302" t="s">
        <v>9787</v>
      </c>
      <c r="E698" s="2304"/>
      <c r="F698" s="2304"/>
      <c r="G698" s="2303"/>
      <c r="H698" s="1184"/>
      <c r="I698" s="1060"/>
    </row>
    <row r="699" spans="1:9" ht="25.5" customHeight="1" x14ac:dyDescent="0.2">
      <c r="A699" s="1185" t="s">
        <v>143</v>
      </c>
      <c r="B699" s="2302"/>
      <c r="C699" s="2303"/>
      <c r="D699" s="2323" t="s">
        <v>9788</v>
      </c>
      <c r="E699" s="2324"/>
      <c r="F699" s="2324"/>
      <c r="G699" s="2325"/>
      <c r="H699" s="1184"/>
      <c r="I699" s="1060"/>
    </row>
    <row r="700" spans="1:9" ht="25.5" customHeight="1" x14ac:dyDescent="0.2">
      <c r="A700" s="1185" t="s">
        <v>143</v>
      </c>
      <c r="B700" s="2302"/>
      <c r="C700" s="2303"/>
      <c r="D700" s="2323" t="s">
        <v>9789</v>
      </c>
      <c r="E700" s="2324"/>
      <c r="F700" s="2324"/>
      <c r="G700" s="2325"/>
      <c r="H700" s="1184"/>
      <c r="I700" s="1060"/>
    </row>
    <row r="701" spans="1:9" ht="25.5" customHeight="1" x14ac:dyDescent="0.2">
      <c r="A701" s="1185" t="s">
        <v>143</v>
      </c>
      <c r="B701" s="2302"/>
      <c r="C701" s="2303"/>
      <c r="D701" s="2302" t="s">
        <v>9790</v>
      </c>
      <c r="E701" s="2304"/>
      <c r="F701" s="2304"/>
      <c r="G701" s="2303"/>
      <c r="H701" s="1184"/>
      <c r="I701" s="1060"/>
    </row>
    <row r="702" spans="1:9" ht="12.75" customHeight="1" x14ac:dyDescent="0.2">
      <c r="A702" s="1185" t="s">
        <v>143</v>
      </c>
      <c r="B702" s="2302"/>
      <c r="C702" s="2303"/>
      <c r="D702" s="2302" t="s">
        <v>7637</v>
      </c>
      <c r="E702" s="2304"/>
      <c r="F702" s="2304"/>
      <c r="G702" s="2303"/>
      <c r="H702" s="1184"/>
      <c r="I702" s="1060"/>
    </row>
    <row r="703" spans="1:9" ht="25.5" customHeight="1" x14ac:dyDescent="0.2">
      <c r="A703" s="1185" t="s">
        <v>143</v>
      </c>
      <c r="B703" s="2302"/>
      <c r="C703" s="2303"/>
      <c r="D703" s="2302" t="s">
        <v>7638</v>
      </c>
      <c r="E703" s="2304"/>
      <c r="F703" s="2304"/>
      <c r="G703" s="2303"/>
      <c r="H703" s="1184"/>
      <c r="I703" s="1060"/>
    </row>
    <row r="704" spans="1:9" ht="25.5" customHeight="1" x14ac:dyDescent="0.2">
      <c r="A704" s="1185" t="s">
        <v>143</v>
      </c>
      <c r="B704" s="2302"/>
      <c r="C704" s="2303"/>
      <c r="D704" s="2302" t="s">
        <v>7639</v>
      </c>
      <c r="E704" s="2304"/>
      <c r="F704" s="2304"/>
      <c r="G704" s="2303"/>
      <c r="H704" s="1184"/>
      <c r="I704" s="1060"/>
    </row>
    <row r="705" spans="1:9" ht="25.5" customHeight="1" x14ac:dyDescent="0.2">
      <c r="A705" s="1185" t="s">
        <v>143</v>
      </c>
      <c r="B705" s="2302"/>
      <c r="C705" s="2303"/>
      <c r="D705" s="2302" t="s">
        <v>7640</v>
      </c>
      <c r="E705" s="2304"/>
      <c r="F705" s="2304"/>
      <c r="G705" s="2303"/>
      <c r="H705" s="1184"/>
      <c r="I705" s="1060"/>
    </row>
    <row r="706" spans="1:9" ht="12.75" customHeight="1" x14ac:dyDescent="0.2">
      <c r="A706" s="1183" t="s">
        <v>143</v>
      </c>
      <c r="B706" s="2320"/>
      <c r="C706" s="2321"/>
      <c r="D706" s="2320" t="s">
        <v>7641</v>
      </c>
      <c r="E706" s="2322"/>
      <c r="F706" s="2322"/>
      <c r="G706" s="2321"/>
      <c r="H706" s="1180"/>
      <c r="I706" s="1063"/>
    </row>
    <row r="707" spans="1:9" ht="158.1" customHeight="1" x14ac:dyDescent="0.2">
      <c r="A707" s="1182" t="s">
        <v>769</v>
      </c>
      <c r="B707" s="2311" t="s">
        <v>7642</v>
      </c>
      <c r="C707" s="2312"/>
      <c r="D707" s="2313" t="s">
        <v>7643</v>
      </c>
      <c r="E707" s="2314"/>
      <c r="F707" s="2314"/>
      <c r="G707" s="2315"/>
      <c r="H707" s="1179" t="s">
        <v>9791</v>
      </c>
      <c r="I707" s="1181">
        <f>ROUND((84970  + 10  * 3839) * 1 * 0.4,0)</f>
        <v>49344</v>
      </c>
    </row>
    <row r="708" spans="1:9" ht="15.75" customHeight="1" x14ac:dyDescent="0.2">
      <c r="A708" s="1185" t="s">
        <v>143</v>
      </c>
      <c r="B708" s="2305"/>
      <c r="C708" s="2306"/>
      <c r="D708" s="2305" t="s">
        <v>572</v>
      </c>
      <c r="E708" s="2307"/>
      <c r="F708" s="2307"/>
      <c r="G708" s="2306"/>
      <c r="H708" s="1057"/>
      <c r="I708" s="1058"/>
    </row>
    <row r="709" spans="1:9" ht="25.5" customHeight="1" x14ac:dyDescent="0.2">
      <c r="A709" s="1185" t="s">
        <v>143</v>
      </c>
      <c r="B709" s="2302"/>
      <c r="C709" s="2303"/>
      <c r="D709" s="2302" t="s">
        <v>7138</v>
      </c>
      <c r="E709" s="2304"/>
      <c r="F709" s="2304"/>
      <c r="G709" s="2303"/>
      <c r="H709" s="1184"/>
      <c r="I709" s="1060"/>
    </row>
    <row r="710" spans="1:9" ht="66.75" customHeight="1" x14ac:dyDescent="0.2">
      <c r="A710" s="1185" t="s">
        <v>143</v>
      </c>
      <c r="B710" s="2305"/>
      <c r="C710" s="2306"/>
      <c r="D710" s="2305" t="s">
        <v>9715</v>
      </c>
      <c r="E710" s="2307"/>
      <c r="F710" s="2307"/>
      <c r="G710" s="2306"/>
      <c r="H710" s="1057"/>
      <c r="I710" s="1058"/>
    </row>
    <row r="711" spans="1:9" ht="12.75" customHeight="1" x14ac:dyDescent="0.2">
      <c r="A711" s="1185" t="s">
        <v>143</v>
      </c>
      <c r="B711" s="2302"/>
      <c r="C711" s="2303"/>
      <c r="D711" s="2302" t="s">
        <v>7644</v>
      </c>
      <c r="E711" s="2304"/>
      <c r="F711" s="2304"/>
      <c r="G711" s="2303"/>
      <c r="H711" s="1184"/>
      <c r="I711" s="1060"/>
    </row>
    <row r="712" spans="1:9" ht="12.75" customHeight="1" x14ac:dyDescent="0.2">
      <c r="A712" s="1185" t="s">
        <v>143</v>
      </c>
      <c r="B712" s="2302"/>
      <c r="C712" s="2303"/>
      <c r="D712" s="2302" t="s">
        <v>7645</v>
      </c>
      <c r="E712" s="2304"/>
      <c r="F712" s="2304"/>
      <c r="G712" s="2303"/>
      <c r="H712" s="1184"/>
      <c r="I712" s="1060"/>
    </row>
    <row r="713" spans="1:9" ht="25.5" customHeight="1" x14ac:dyDescent="0.2">
      <c r="A713" s="1185" t="s">
        <v>143</v>
      </c>
      <c r="B713" s="2302"/>
      <c r="C713" s="2303"/>
      <c r="D713" s="2302" t="s">
        <v>9792</v>
      </c>
      <c r="E713" s="2304"/>
      <c r="F713" s="2304"/>
      <c r="G713" s="2303"/>
      <c r="H713" s="1184"/>
      <c r="I713" s="1060"/>
    </row>
    <row r="714" spans="1:9" ht="25.5" customHeight="1" x14ac:dyDescent="0.2">
      <c r="A714" s="1185" t="s">
        <v>143</v>
      </c>
      <c r="B714" s="2302"/>
      <c r="C714" s="2303"/>
      <c r="D714" s="2323" t="s">
        <v>9793</v>
      </c>
      <c r="E714" s="2324"/>
      <c r="F714" s="2324"/>
      <c r="G714" s="2325"/>
      <c r="H714" s="1184"/>
      <c r="I714" s="1060"/>
    </row>
    <row r="715" spans="1:9" ht="25.5" customHeight="1" x14ac:dyDescent="0.2">
      <c r="A715" s="1185" t="s">
        <v>143</v>
      </c>
      <c r="B715" s="2302"/>
      <c r="C715" s="2303"/>
      <c r="D715" s="2323" t="s">
        <v>9794</v>
      </c>
      <c r="E715" s="2324"/>
      <c r="F715" s="2324"/>
      <c r="G715" s="2325"/>
      <c r="H715" s="1184"/>
      <c r="I715" s="1060"/>
    </row>
    <row r="716" spans="1:9" ht="25.5" customHeight="1" x14ac:dyDescent="0.2">
      <c r="A716" s="1185" t="s">
        <v>143</v>
      </c>
      <c r="B716" s="2302"/>
      <c r="C716" s="2303"/>
      <c r="D716" s="2323" t="s">
        <v>9795</v>
      </c>
      <c r="E716" s="2324"/>
      <c r="F716" s="2324"/>
      <c r="G716" s="2325"/>
      <c r="H716" s="1184"/>
      <c r="I716" s="1060"/>
    </row>
    <row r="717" spans="1:9" ht="12.75" customHeight="1" x14ac:dyDescent="0.2">
      <c r="A717" s="1185" t="s">
        <v>143</v>
      </c>
      <c r="B717" s="2302"/>
      <c r="C717" s="2303"/>
      <c r="D717" s="2323" t="s">
        <v>9796</v>
      </c>
      <c r="E717" s="2324"/>
      <c r="F717" s="2324"/>
      <c r="G717" s="2325"/>
      <c r="H717" s="1184"/>
      <c r="I717" s="1060"/>
    </row>
    <row r="718" spans="1:9" ht="12.75" customHeight="1" x14ac:dyDescent="0.2">
      <c r="A718" s="1185" t="s">
        <v>143</v>
      </c>
      <c r="B718" s="2302"/>
      <c r="C718" s="2303"/>
      <c r="D718" s="2302" t="s">
        <v>9797</v>
      </c>
      <c r="E718" s="2304"/>
      <c r="F718" s="2304"/>
      <c r="G718" s="2303"/>
      <c r="H718" s="1184"/>
      <c r="I718" s="1060"/>
    </row>
    <row r="719" spans="1:9" ht="25.5" customHeight="1" x14ac:dyDescent="0.2">
      <c r="A719" s="1185" t="s">
        <v>143</v>
      </c>
      <c r="B719" s="2302"/>
      <c r="C719" s="2303"/>
      <c r="D719" s="2323" t="s">
        <v>9798</v>
      </c>
      <c r="E719" s="2324"/>
      <c r="F719" s="2324"/>
      <c r="G719" s="2325"/>
      <c r="H719" s="1184"/>
      <c r="I719" s="1060"/>
    </row>
    <row r="720" spans="1:9" ht="25.5" customHeight="1" x14ac:dyDescent="0.2">
      <c r="A720" s="1185" t="s">
        <v>143</v>
      </c>
      <c r="B720" s="2302"/>
      <c r="C720" s="2303"/>
      <c r="D720" s="2323" t="s">
        <v>9799</v>
      </c>
      <c r="E720" s="2324"/>
      <c r="F720" s="2324"/>
      <c r="G720" s="2325"/>
      <c r="H720" s="1184"/>
      <c r="I720" s="1060"/>
    </row>
    <row r="721" spans="1:9" ht="25.5" customHeight="1" x14ac:dyDescent="0.2">
      <c r="A721" s="1185" t="s">
        <v>143</v>
      </c>
      <c r="B721" s="2302"/>
      <c r="C721" s="2303"/>
      <c r="D721" s="2302" t="s">
        <v>9800</v>
      </c>
      <c r="E721" s="2304"/>
      <c r="F721" s="2304"/>
      <c r="G721" s="2303"/>
      <c r="H721" s="1184"/>
      <c r="I721" s="1060"/>
    </row>
    <row r="722" spans="1:9" ht="12.75" customHeight="1" x14ac:dyDescent="0.2">
      <c r="A722" s="1185" t="s">
        <v>143</v>
      </c>
      <c r="B722" s="2302"/>
      <c r="C722" s="2303"/>
      <c r="D722" s="2302" t="s">
        <v>7646</v>
      </c>
      <c r="E722" s="2304"/>
      <c r="F722" s="2304"/>
      <c r="G722" s="2303"/>
      <c r="H722" s="1184"/>
      <c r="I722" s="1060"/>
    </row>
    <row r="723" spans="1:9" ht="25.5" customHeight="1" x14ac:dyDescent="0.2">
      <c r="A723" s="1185" t="s">
        <v>143</v>
      </c>
      <c r="B723" s="2302"/>
      <c r="C723" s="2303"/>
      <c r="D723" s="2302" t="s">
        <v>7647</v>
      </c>
      <c r="E723" s="2304"/>
      <c r="F723" s="2304"/>
      <c r="G723" s="2303"/>
      <c r="H723" s="1184"/>
      <c r="I723" s="1060"/>
    </row>
    <row r="724" spans="1:9" ht="25.5" customHeight="1" x14ac:dyDescent="0.2">
      <c r="A724" s="1185" t="s">
        <v>143</v>
      </c>
      <c r="B724" s="2302"/>
      <c r="C724" s="2303"/>
      <c r="D724" s="2302" t="s">
        <v>7648</v>
      </c>
      <c r="E724" s="2304"/>
      <c r="F724" s="2304"/>
      <c r="G724" s="2303"/>
      <c r="H724" s="1184"/>
      <c r="I724" s="1060"/>
    </row>
    <row r="725" spans="1:9" ht="25.5" customHeight="1" x14ac:dyDescent="0.2">
      <c r="A725" s="1185" t="s">
        <v>143</v>
      </c>
      <c r="B725" s="2302"/>
      <c r="C725" s="2303"/>
      <c r="D725" s="2302" t="s">
        <v>7649</v>
      </c>
      <c r="E725" s="2304"/>
      <c r="F725" s="2304"/>
      <c r="G725" s="2303"/>
      <c r="H725" s="1184"/>
      <c r="I725" s="1060"/>
    </row>
    <row r="726" spans="1:9" ht="12.75" customHeight="1" x14ac:dyDescent="0.2">
      <c r="A726" s="1183" t="s">
        <v>143</v>
      </c>
      <c r="B726" s="2320"/>
      <c r="C726" s="2321"/>
      <c r="D726" s="2320" t="s">
        <v>7650</v>
      </c>
      <c r="E726" s="2322"/>
      <c r="F726" s="2322"/>
      <c r="G726" s="2321"/>
      <c r="H726" s="1180"/>
      <c r="I726" s="1063"/>
    </row>
    <row r="727" spans="1:9" ht="119.85" customHeight="1" x14ac:dyDescent="0.2">
      <c r="A727" s="1182" t="s">
        <v>770</v>
      </c>
      <c r="B727" s="2311" t="s">
        <v>7651</v>
      </c>
      <c r="C727" s="2312"/>
      <c r="D727" s="2313" t="s">
        <v>7652</v>
      </c>
      <c r="E727" s="2314"/>
      <c r="F727" s="2314"/>
      <c r="G727" s="2315"/>
      <c r="H727" s="1179" t="s">
        <v>9801</v>
      </c>
      <c r="I727" s="1181">
        <f>ROUND((46000  + 69  * 1028) * 1 * 0.4,0)</f>
        <v>46773</v>
      </c>
    </row>
    <row r="728" spans="1:9" ht="15.75" customHeight="1" x14ac:dyDescent="0.2">
      <c r="A728" s="1185" t="s">
        <v>143</v>
      </c>
      <c r="B728" s="2305"/>
      <c r="C728" s="2306"/>
      <c r="D728" s="2305" t="s">
        <v>572</v>
      </c>
      <c r="E728" s="2307"/>
      <c r="F728" s="2307"/>
      <c r="G728" s="2306"/>
      <c r="H728" s="1057"/>
      <c r="I728" s="1058"/>
    </row>
    <row r="729" spans="1:9" ht="25.5" customHeight="1" x14ac:dyDescent="0.2">
      <c r="A729" s="1185" t="s">
        <v>143</v>
      </c>
      <c r="B729" s="2302"/>
      <c r="C729" s="2303"/>
      <c r="D729" s="2302" t="s">
        <v>7138</v>
      </c>
      <c r="E729" s="2304"/>
      <c r="F729" s="2304"/>
      <c r="G729" s="2303"/>
      <c r="H729" s="1184"/>
      <c r="I729" s="1060"/>
    </row>
    <row r="730" spans="1:9" ht="66.75" customHeight="1" x14ac:dyDescent="0.2">
      <c r="A730" s="1185" t="s">
        <v>143</v>
      </c>
      <c r="B730" s="2305"/>
      <c r="C730" s="2306"/>
      <c r="D730" s="2305" t="s">
        <v>9715</v>
      </c>
      <c r="E730" s="2307"/>
      <c r="F730" s="2307"/>
      <c r="G730" s="2306"/>
      <c r="H730" s="1057"/>
      <c r="I730" s="1058"/>
    </row>
    <row r="731" spans="1:9" ht="12.75" customHeight="1" x14ac:dyDescent="0.2">
      <c r="A731" s="1185" t="s">
        <v>143</v>
      </c>
      <c r="B731" s="2302"/>
      <c r="C731" s="2303"/>
      <c r="D731" s="2302" t="s">
        <v>7653</v>
      </c>
      <c r="E731" s="2304"/>
      <c r="F731" s="2304"/>
      <c r="G731" s="2303"/>
      <c r="H731" s="1184"/>
      <c r="I731" s="1060"/>
    </row>
    <row r="732" spans="1:9" ht="12.75" customHeight="1" x14ac:dyDescent="0.2">
      <c r="A732" s="1185" t="s">
        <v>143</v>
      </c>
      <c r="B732" s="2302"/>
      <c r="C732" s="2303"/>
      <c r="D732" s="2302" t="s">
        <v>7654</v>
      </c>
      <c r="E732" s="2304"/>
      <c r="F732" s="2304"/>
      <c r="G732" s="2303"/>
      <c r="H732" s="1184"/>
      <c r="I732" s="1060"/>
    </row>
    <row r="733" spans="1:9" ht="25.5" customHeight="1" x14ac:dyDescent="0.2">
      <c r="A733" s="1185" t="s">
        <v>143</v>
      </c>
      <c r="B733" s="2302"/>
      <c r="C733" s="2303"/>
      <c r="D733" s="2302" t="s">
        <v>9802</v>
      </c>
      <c r="E733" s="2304"/>
      <c r="F733" s="2304"/>
      <c r="G733" s="2303"/>
      <c r="H733" s="1184"/>
      <c r="I733" s="1060"/>
    </row>
    <row r="734" spans="1:9" ht="25.5" customHeight="1" x14ac:dyDescent="0.2">
      <c r="A734" s="1185" t="s">
        <v>143</v>
      </c>
      <c r="B734" s="2302"/>
      <c r="C734" s="2303"/>
      <c r="D734" s="2323" t="s">
        <v>9803</v>
      </c>
      <c r="E734" s="2324"/>
      <c r="F734" s="2324"/>
      <c r="G734" s="2325"/>
      <c r="H734" s="1184"/>
      <c r="I734" s="1060"/>
    </row>
    <row r="735" spans="1:9" ht="25.5" customHeight="1" x14ac:dyDescent="0.2">
      <c r="A735" s="1185" t="s">
        <v>143</v>
      </c>
      <c r="B735" s="2302"/>
      <c r="C735" s="2303"/>
      <c r="D735" s="2323" t="s">
        <v>9804</v>
      </c>
      <c r="E735" s="2324"/>
      <c r="F735" s="2324"/>
      <c r="G735" s="2325"/>
      <c r="H735" s="1184"/>
      <c r="I735" s="1060"/>
    </row>
    <row r="736" spans="1:9" ht="25.5" customHeight="1" x14ac:dyDescent="0.2">
      <c r="A736" s="1185" t="s">
        <v>143</v>
      </c>
      <c r="B736" s="2302"/>
      <c r="C736" s="2303"/>
      <c r="D736" s="2323" t="s">
        <v>9805</v>
      </c>
      <c r="E736" s="2324"/>
      <c r="F736" s="2324"/>
      <c r="G736" s="2325"/>
      <c r="H736" s="1184"/>
      <c r="I736" s="1060"/>
    </row>
    <row r="737" spans="1:9" ht="12.75" customHeight="1" x14ac:dyDescent="0.2">
      <c r="A737" s="1185" t="s">
        <v>143</v>
      </c>
      <c r="B737" s="2302"/>
      <c r="C737" s="2303"/>
      <c r="D737" s="2323" t="s">
        <v>9806</v>
      </c>
      <c r="E737" s="2324"/>
      <c r="F737" s="2324"/>
      <c r="G737" s="2325"/>
      <c r="H737" s="1184"/>
      <c r="I737" s="1060"/>
    </row>
    <row r="738" spans="1:9" ht="12.75" customHeight="1" x14ac:dyDescent="0.2">
      <c r="A738" s="1185" t="s">
        <v>143</v>
      </c>
      <c r="B738" s="2302"/>
      <c r="C738" s="2303"/>
      <c r="D738" s="2302" t="s">
        <v>9807</v>
      </c>
      <c r="E738" s="2304"/>
      <c r="F738" s="2304"/>
      <c r="G738" s="2303"/>
      <c r="H738" s="1184"/>
      <c r="I738" s="1060"/>
    </row>
    <row r="739" spans="1:9" ht="25.5" customHeight="1" x14ac:dyDescent="0.2">
      <c r="A739" s="1185" t="s">
        <v>143</v>
      </c>
      <c r="B739" s="2302"/>
      <c r="C739" s="2303"/>
      <c r="D739" s="2323" t="s">
        <v>9808</v>
      </c>
      <c r="E739" s="2324"/>
      <c r="F739" s="2324"/>
      <c r="G739" s="2325"/>
      <c r="H739" s="1184"/>
      <c r="I739" s="1060"/>
    </row>
    <row r="740" spans="1:9" ht="25.5" customHeight="1" x14ac:dyDescent="0.2">
      <c r="A740" s="1185" t="s">
        <v>143</v>
      </c>
      <c r="B740" s="2302"/>
      <c r="C740" s="2303"/>
      <c r="D740" s="2323" t="s">
        <v>9809</v>
      </c>
      <c r="E740" s="2324"/>
      <c r="F740" s="2324"/>
      <c r="G740" s="2325"/>
      <c r="H740" s="1184"/>
      <c r="I740" s="1060"/>
    </row>
    <row r="741" spans="1:9" ht="25.5" customHeight="1" x14ac:dyDescent="0.2">
      <c r="A741" s="1185" t="s">
        <v>143</v>
      </c>
      <c r="B741" s="2302"/>
      <c r="C741" s="2303"/>
      <c r="D741" s="2302" t="s">
        <v>9810</v>
      </c>
      <c r="E741" s="2304"/>
      <c r="F741" s="2304"/>
      <c r="G741" s="2303"/>
      <c r="H741" s="1184"/>
      <c r="I741" s="1060"/>
    </row>
    <row r="742" spans="1:9" ht="12.75" customHeight="1" x14ac:dyDescent="0.2">
      <c r="A742" s="1185" t="s">
        <v>143</v>
      </c>
      <c r="B742" s="2302"/>
      <c r="C742" s="2303"/>
      <c r="D742" s="2302" t="s">
        <v>7655</v>
      </c>
      <c r="E742" s="2304"/>
      <c r="F742" s="2304"/>
      <c r="G742" s="2303"/>
      <c r="H742" s="1184"/>
      <c r="I742" s="1060"/>
    </row>
    <row r="743" spans="1:9" ht="25.5" customHeight="1" x14ac:dyDescent="0.2">
      <c r="A743" s="1185" t="s">
        <v>143</v>
      </c>
      <c r="B743" s="2302"/>
      <c r="C743" s="2303"/>
      <c r="D743" s="2302" t="s">
        <v>7656</v>
      </c>
      <c r="E743" s="2304"/>
      <c r="F743" s="2304"/>
      <c r="G743" s="2303"/>
      <c r="H743" s="1184"/>
      <c r="I743" s="1060"/>
    </row>
    <row r="744" spans="1:9" ht="25.5" customHeight="1" x14ac:dyDescent="0.2">
      <c r="A744" s="1185" t="s">
        <v>143</v>
      </c>
      <c r="B744" s="2302"/>
      <c r="C744" s="2303"/>
      <c r="D744" s="2302" t="s">
        <v>7657</v>
      </c>
      <c r="E744" s="2304"/>
      <c r="F744" s="2304"/>
      <c r="G744" s="2303"/>
      <c r="H744" s="1184"/>
      <c r="I744" s="1060"/>
    </row>
    <row r="745" spans="1:9" ht="25.5" customHeight="1" x14ac:dyDescent="0.2">
      <c r="A745" s="1185" t="s">
        <v>143</v>
      </c>
      <c r="B745" s="2302"/>
      <c r="C745" s="2303"/>
      <c r="D745" s="2302" t="s">
        <v>7658</v>
      </c>
      <c r="E745" s="2304"/>
      <c r="F745" s="2304"/>
      <c r="G745" s="2303"/>
      <c r="H745" s="1184"/>
      <c r="I745" s="1060"/>
    </row>
    <row r="746" spans="1:9" ht="12.75" customHeight="1" x14ac:dyDescent="0.2">
      <c r="A746" s="1183" t="s">
        <v>143</v>
      </c>
      <c r="B746" s="2320"/>
      <c r="C746" s="2321"/>
      <c r="D746" s="2320" t="s">
        <v>7659</v>
      </c>
      <c r="E746" s="2322"/>
      <c r="F746" s="2322"/>
      <c r="G746" s="2321"/>
      <c r="H746" s="1180"/>
      <c r="I746" s="1063"/>
    </row>
    <row r="747" spans="1:9" ht="119.85" customHeight="1" x14ac:dyDescent="0.2">
      <c r="A747" s="1182" t="s">
        <v>771</v>
      </c>
      <c r="B747" s="2311" t="s">
        <v>7660</v>
      </c>
      <c r="C747" s="2312"/>
      <c r="D747" s="2313" t="s">
        <v>7661</v>
      </c>
      <c r="E747" s="2314"/>
      <c r="F747" s="2314"/>
      <c r="G747" s="2315"/>
      <c r="H747" s="1179" t="s">
        <v>9811</v>
      </c>
      <c r="I747" s="1181">
        <f>ROUND((750  + 137  * 128) * 1 * 0.4,0)</f>
        <v>7314</v>
      </c>
    </row>
    <row r="748" spans="1:9" ht="15.75" customHeight="1" x14ac:dyDescent="0.2">
      <c r="A748" s="1185" t="s">
        <v>143</v>
      </c>
      <c r="B748" s="2305"/>
      <c r="C748" s="2306"/>
      <c r="D748" s="2305" t="s">
        <v>572</v>
      </c>
      <c r="E748" s="2307"/>
      <c r="F748" s="2307"/>
      <c r="G748" s="2306"/>
      <c r="H748" s="1057"/>
      <c r="I748" s="1058"/>
    </row>
    <row r="749" spans="1:9" ht="25.5" customHeight="1" x14ac:dyDescent="0.2">
      <c r="A749" s="1185" t="s">
        <v>143</v>
      </c>
      <c r="B749" s="2302"/>
      <c r="C749" s="2303"/>
      <c r="D749" s="2302" t="s">
        <v>7138</v>
      </c>
      <c r="E749" s="2304"/>
      <c r="F749" s="2304"/>
      <c r="G749" s="2303"/>
      <c r="H749" s="1184"/>
      <c r="I749" s="1060"/>
    </row>
    <row r="750" spans="1:9" ht="66.75" customHeight="1" x14ac:dyDescent="0.2">
      <c r="A750" s="1185" t="s">
        <v>143</v>
      </c>
      <c r="B750" s="2305"/>
      <c r="C750" s="2306"/>
      <c r="D750" s="2305" t="s">
        <v>9715</v>
      </c>
      <c r="E750" s="2307"/>
      <c r="F750" s="2307"/>
      <c r="G750" s="2306"/>
      <c r="H750" s="1057"/>
      <c r="I750" s="1058"/>
    </row>
    <row r="751" spans="1:9" ht="12.75" customHeight="1" x14ac:dyDescent="0.2">
      <c r="A751" s="1185" t="s">
        <v>143</v>
      </c>
      <c r="B751" s="2302"/>
      <c r="C751" s="2303"/>
      <c r="D751" s="2302" t="s">
        <v>7662</v>
      </c>
      <c r="E751" s="2304"/>
      <c r="F751" s="2304"/>
      <c r="G751" s="2303"/>
      <c r="H751" s="1184"/>
      <c r="I751" s="1060"/>
    </row>
    <row r="752" spans="1:9" ht="12.75" customHeight="1" x14ac:dyDescent="0.2">
      <c r="A752" s="1185" t="s">
        <v>143</v>
      </c>
      <c r="B752" s="2302"/>
      <c r="C752" s="2303"/>
      <c r="D752" s="2302" t="s">
        <v>7663</v>
      </c>
      <c r="E752" s="2304"/>
      <c r="F752" s="2304"/>
      <c r="G752" s="2303"/>
      <c r="H752" s="1184"/>
      <c r="I752" s="1060"/>
    </row>
    <row r="753" spans="1:9" ht="25.5" customHeight="1" x14ac:dyDescent="0.2">
      <c r="A753" s="1185" t="s">
        <v>143</v>
      </c>
      <c r="B753" s="2302"/>
      <c r="C753" s="2303"/>
      <c r="D753" s="2302" t="s">
        <v>9812</v>
      </c>
      <c r="E753" s="2304"/>
      <c r="F753" s="2304"/>
      <c r="G753" s="2303"/>
      <c r="H753" s="1184"/>
      <c r="I753" s="1060"/>
    </row>
    <row r="754" spans="1:9" ht="12.75" customHeight="1" x14ac:dyDescent="0.2">
      <c r="A754" s="1185" t="s">
        <v>143</v>
      </c>
      <c r="B754" s="2302"/>
      <c r="C754" s="2303"/>
      <c r="D754" s="2323" t="s">
        <v>9813</v>
      </c>
      <c r="E754" s="2324"/>
      <c r="F754" s="2324"/>
      <c r="G754" s="2325"/>
      <c r="H754" s="1184"/>
      <c r="I754" s="1060"/>
    </row>
    <row r="755" spans="1:9" ht="25.5" customHeight="1" x14ac:dyDescent="0.2">
      <c r="A755" s="1185" t="s">
        <v>143</v>
      </c>
      <c r="B755" s="2302"/>
      <c r="C755" s="2303"/>
      <c r="D755" s="2323" t="s">
        <v>9814</v>
      </c>
      <c r="E755" s="2324"/>
      <c r="F755" s="2324"/>
      <c r="G755" s="2325"/>
      <c r="H755" s="1184"/>
      <c r="I755" s="1060"/>
    </row>
    <row r="756" spans="1:9" ht="25.5" customHeight="1" x14ac:dyDescent="0.2">
      <c r="A756" s="1185" t="s">
        <v>143</v>
      </c>
      <c r="B756" s="2302"/>
      <c r="C756" s="2303"/>
      <c r="D756" s="2323" t="s">
        <v>9815</v>
      </c>
      <c r="E756" s="2324"/>
      <c r="F756" s="2324"/>
      <c r="G756" s="2325"/>
      <c r="H756" s="1184"/>
      <c r="I756" s="1060"/>
    </row>
    <row r="757" spans="1:9" ht="12.75" customHeight="1" x14ac:dyDescent="0.2">
      <c r="A757" s="1185" t="s">
        <v>143</v>
      </c>
      <c r="B757" s="2302"/>
      <c r="C757" s="2303"/>
      <c r="D757" s="2323" t="s">
        <v>9816</v>
      </c>
      <c r="E757" s="2324"/>
      <c r="F757" s="2324"/>
      <c r="G757" s="2325"/>
      <c r="H757" s="1184"/>
      <c r="I757" s="1060"/>
    </row>
    <row r="758" spans="1:9" ht="12.75" customHeight="1" x14ac:dyDescent="0.2">
      <c r="A758" s="1185" t="s">
        <v>143</v>
      </c>
      <c r="B758" s="2302"/>
      <c r="C758" s="2303"/>
      <c r="D758" s="2302" t="s">
        <v>9817</v>
      </c>
      <c r="E758" s="2304"/>
      <c r="F758" s="2304"/>
      <c r="G758" s="2303"/>
      <c r="H758" s="1184"/>
      <c r="I758" s="1060"/>
    </row>
    <row r="759" spans="1:9" ht="25.5" customHeight="1" x14ac:dyDescent="0.2">
      <c r="A759" s="1185" t="s">
        <v>143</v>
      </c>
      <c r="B759" s="2302"/>
      <c r="C759" s="2303"/>
      <c r="D759" s="2323" t="s">
        <v>9818</v>
      </c>
      <c r="E759" s="2324"/>
      <c r="F759" s="2324"/>
      <c r="G759" s="2325"/>
      <c r="H759" s="1184"/>
      <c r="I759" s="1060"/>
    </row>
    <row r="760" spans="1:9" ht="25.5" customHeight="1" x14ac:dyDescent="0.2">
      <c r="A760" s="1185" t="s">
        <v>143</v>
      </c>
      <c r="B760" s="2302"/>
      <c r="C760" s="2303"/>
      <c r="D760" s="2323" t="s">
        <v>9819</v>
      </c>
      <c r="E760" s="2324"/>
      <c r="F760" s="2324"/>
      <c r="G760" s="2325"/>
      <c r="H760" s="1184"/>
      <c r="I760" s="1060"/>
    </row>
    <row r="761" spans="1:9" ht="25.5" customHeight="1" x14ac:dyDescent="0.2">
      <c r="A761" s="1185" t="s">
        <v>143</v>
      </c>
      <c r="B761" s="2302"/>
      <c r="C761" s="2303"/>
      <c r="D761" s="2302" t="s">
        <v>9820</v>
      </c>
      <c r="E761" s="2304"/>
      <c r="F761" s="2304"/>
      <c r="G761" s="2303"/>
      <c r="H761" s="1184"/>
      <c r="I761" s="1060"/>
    </row>
    <row r="762" spans="1:9" ht="12.75" customHeight="1" x14ac:dyDescent="0.2">
      <c r="A762" s="1185" t="s">
        <v>143</v>
      </c>
      <c r="B762" s="2302"/>
      <c r="C762" s="2303"/>
      <c r="D762" s="2302" t="s">
        <v>7664</v>
      </c>
      <c r="E762" s="2304"/>
      <c r="F762" s="2304"/>
      <c r="G762" s="2303"/>
      <c r="H762" s="1184"/>
      <c r="I762" s="1060"/>
    </row>
    <row r="763" spans="1:9" ht="25.5" customHeight="1" x14ac:dyDescent="0.2">
      <c r="A763" s="1185" t="s">
        <v>143</v>
      </c>
      <c r="B763" s="2302"/>
      <c r="C763" s="2303"/>
      <c r="D763" s="2302" t="s">
        <v>7665</v>
      </c>
      <c r="E763" s="2304"/>
      <c r="F763" s="2304"/>
      <c r="G763" s="2303"/>
      <c r="H763" s="1184"/>
      <c r="I763" s="1060"/>
    </row>
    <row r="764" spans="1:9" ht="25.5" customHeight="1" x14ac:dyDescent="0.2">
      <c r="A764" s="1185" t="s">
        <v>143</v>
      </c>
      <c r="B764" s="2302"/>
      <c r="C764" s="2303"/>
      <c r="D764" s="2302" t="s">
        <v>7666</v>
      </c>
      <c r="E764" s="2304"/>
      <c r="F764" s="2304"/>
      <c r="G764" s="2303"/>
      <c r="H764" s="1184"/>
      <c r="I764" s="1060"/>
    </row>
    <row r="765" spans="1:9" ht="25.5" customHeight="1" x14ac:dyDescent="0.2">
      <c r="A765" s="1185" t="s">
        <v>143</v>
      </c>
      <c r="B765" s="2302"/>
      <c r="C765" s="2303"/>
      <c r="D765" s="2302" t="s">
        <v>7667</v>
      </c>
      <c r="E765" s="2304"/>
      <c r="F765" s="2304"/>
      <c r="G765" s="2303"/>
      <c r="H765" s="1184"/>
      <c r="I765" s="1060"/>
    </row>
    <row r="766" spans="1:9" ht="12.75" customHeight="1" x14ac:dyDescent="0.2">
      <c r="A766" s="1183" t="s">
        <v>143</v>
      </c>
      <c r="B766" s="2320"/>
      <c r="C766" s="2321"/>
      <c r="D766" s="2320" t="s">
        <v>7668</v>
      </c>
      <c r="E766" s="2322"/>
      <c r="F766" s="2322"/>
      <c r="G766" s="2321"/>
      <c r="H766" s="1180"/>
      <c r="I766" s="1063"/>
    </row>
    <row r="767" spans="1:9" ht="107.25" customHeight="1" x14ac:dyDescent="0.2">
      <c r="A767" s="1182" t="s">
        <v>772</v>
      </c>
      <c r="B767" s="2311" t="s">
        <v>7669</v>
      </c>
      <c r="C767" s="2312"/>
      <c r="D767" s="2313" t="s">
        <v>7670</v>
      </c>
      <c r="E767" s="2314"/>
      <c r="F767" s="2314"/>
      <c r="G767" s="2315"/>
      <c r="H767" s="1179" t="s">
        <v>9821</v>
      </c>
      <c r="I767" s="1181">
        <f>ROUND((41000  + 20  * (0.4 * 3000 + 0.6 * 5750)) * 1 * 0.4 * 1.2,0)</f>
        <v>64320</v>
      </c>
    </row>
    <row r="768" spans="1:9" ht="15.75" customHeight="1" x14ac:dyDescent="0.2">
      <c r="A768" s="1185" t="s">
        <v>143</v>
      </c>
      <c r="B768" s="2305"/>
      <c r="C768" s="2306"/>
      <c r="D768" s="2305" t="s">
        <v>572</v>
      </c>
      <c r="E768" s="2307"/>
      <c r="F768" s="2307"/>
      <c r="G768" s="2306"/>
      <c r="H768" s="1057"/>
      <c r="I768" s="1058"/>
    </row>
    <row r="769" spans="1:9" ht="25.5" customHeight="1" x14ac:dyDescent="0.2">
      <c r="A769" s="1185" t="s">
        <v>143</v>
      </c>
      <c r="B769" s="2302"/>
      <c r="C769" s="2303"/>
      <c r="D769" s="2302" t="s">
        <v>7138</v>
      </c>
      <c r="E769" s="2304"/>
      <c r="F769" s="2304"/>
      <c r="G769" s="2303"/>
      <c r="H769" s="1184"/>
      <c r="I769" s="1060"/>
    </row>
    <row r="770" spans="1:9" ht="127.5" customHeight="1" x14ac:dyDescent="0.2">
      <c r="A770" s="1185" t="s">
        <v>143</v>
      </c>
      <c r="B770" s="2302"/>
      <c r="C770" s="2303"/>
      <c r="D770" s="2302" t="s">
        <v>7671</v>
      </c>
      <c r="E770" s="2304"/>
      <c r="F770" s="2304"/>
      <c r="G770" s="2303"/>
      <c r="H770" s="1184"/>
      <c r="I770" s="1060"/>
    </row>
    <row r="771" spans="1:9" ht="66.75" customHeight="1" x14ac:dyDescent="0.2">
      <c r="A771" s="1185" t="s">
        <v>143</v>
      </c>
      <c r="B771" s="2305"/>
      <c r="C771" s="2306"/>
      <c r="D771" s="2305" t="s">
        <v>9715</v>
      </c>
      <c r="E771" s="2307"/>
      <c r="F771" s="2307"/>
      <c r="G771" s="2306"/>
      <c r="H771" s="1057"/>
      <c r="I771" s="1058"/>
    </row>
    <row r="772" spans="1:9" ht="12.75" customHeight="1" x14ac:dyDescent="0.2">
      <c r="A772" s="1185" t="s">
        <v>143</v>
      </c>
      <c r="B772" s="2302"/>
      <c r="C772" s="2303"/>
      <c r="D772" s="2302" t="s">
        <v>7672</v>
      </c>
      <c r="E772" s="2304"/>
      <c r="F772" s="2304"/>
      <c r="G772" s="2303"/>
      <c r="H772" s="1184"/>
      <c r="I772" s="1060"/>
    </row>
    <row r="773" spans="1:9" ht="12.75" customHeight="1" x14ac:dyDescent="0.2">
      <c r="A773" s="1185" t="s">
        <v>143</v>
      </c>
      <c r="B773" s="2302"/>
      <c r="C773" s="2303"/>
      <c r="D773" s="2302" t="s">
        <v>7673</v>
      </c>
      <c r="E773" s="2304"/>
      <c r="F773" s="2304"/>
      <c r="G773" s="2303"/>
      <c r="H773" s="1184"/>
      <c r="I773" s="1060"/>
    </row>
    <row r="774" spans="1:9" ht="25.5" customHeight="1" x14ac:dyDescent="0.2">
      <c r="A774" s="1185" t="s">
        <v>143</v>
      </c>
      <c r="B774" s="2302"/>
      <c r="C774" s="2303"/>
      <c r="D774" s="2302" t="s">
        <v>9822</v>
      </c>
      <c r="E774" s="2304"/>
      <c r="F774" s="2304"/>
      <c r="G774" s="2303"/>
      <c r="H774" s="1184"/>
      <c r="I774" s="1060"/>
    </row>
    <row r="775" spans="1:9" ht="25.5" customHeight="1" x14ac:dyDescent="0.2">
      <c r="A775" s="1185" t="s">
        <v>143</v>
      </c>
      <c r="B775" s="2302"/>
      <c r="C775" s="2303"/>
      <c r="D775" s="2323" t="s">
        <v>9823</v>
      </c>
      <c r="E775" s="2324"/>
      <c r="F775" s="2324"/>
      <c r="G775" s="2325"/>
      <c r="H775" s="1184"/>
      <c r="I775" s="1060"/>
    </row>
    <row r="776" spans="1:9" ht="25.5" customHeight="1" x14ac:dyDescent="0.2">
      <c r="A776" s="1185" t="s">
        <v>143</v>
      </c>
      <c r="B776" s="2302"/>
      <c r="C776" s="2303"/>
      <c r="D776" s="2323" t="s">
        <v>9824</v>
      </c>
      <c r="E776" s="2324"/>
      <c r="F776" s="2324"/>
      <c r="G776" s="2325"/>
      <c r="H776" s="1184"/>
      <c r="I776" s="1060"/>
    </row>
    <row r="777" spans="1:9" ht="25.5" customHeight="1" x14ac:dyDescent="0.2">
      <c r="A777" s="1185" t="s">
        <v>143</v>
      </c>
      <c r="B777" s="2302"/>
      <c r="C777" s="2303"/>
      <c r="D777" s="2323" t="s">
        <v>9825</v>
      </c>
      <c r="E777" s="2324"/>
      <c r="F777" s="2324"/>
      <c r="G777" s="2325"/>
      <c r="H777" s="1184"/>
      <c r="I777" s="1060"/>
    </row>
    <row r="778" spans="1:9" ht="12.75" customHeight="1" x14ac:dyDescent="0.2">
      <c r="A778" s="1185" t="s">
        <v>143</v>
      </c>
      <c r="B778" s="2302"/>
      <c r="C778" s="2303"/>
      <c r="D778" s="2323" t="s">
        <v>9826</v>
      </c>
      <c r="E778" s="2324"/>
      <c r="F778" s="2324"/>
      <c r="G778" s="2325"/>
      <c r="H778" s="1184"/>
      <c r="I778" s="1060"/>
    </row>
    <row r="779" spans="1:9" ht="12.75" customHeight="1" x14ac:dyDescent="0.2">
      <c r="A779" s="1185" t="s">
        <v>143</v>
      </c>
      <c r="B779" s="2302"/>
      <c r="C779" s="2303"/>
      <c r="D779" s="2302" t="s">
        <v>9827</v>
      </c>
      <c r="E779" s="2304"/>
      <c r="F779" s="2304"/>
      <c r="G779" s="2303"/>
      <c r="H779" s="1184"/>
      <c r="I779" s="1060"/>
    </row>
    <row r="780" spans="1:9" ht="25.5" customHeight="1" x14ac:dyDescent="0.2">
      <c r="A780" s="1185" t="s">
        <v>143</v>
      </c>
      <c r="B780" s="2302"/>
      <c r="C780" s="2303"/>
      <c r="D780" s="2323" t="s">
        <v>9828</v>
      </c>
      <c r="E780" s="2324"/>
      <c r="F780" s="2324"/>
      <c r="G780" s="2325"/>
      <c r="H780" s="1184"/>
      <c r="I780" s="1060"/>
    </row>
    <row r="781" spans="1:9" ht="25.5" customHeight="1" x14ac:dyDescent="0.2">
      <c r="A781" s="1185" t="s">
        <v>143</v>
      </c>
      <c r="B781" s="2302"/>
      <c r="C781" s="2303"/>
      <c r="D781" s="2323" t="s">
        <v>9829</v>
      </c>
      <c r="E781" s="2324"/>
      <c r="F781" s="2324"/>
      <c r="G781" s="2325"/>
      <c r="H781" s="1184"/>
      <c r="I781" s="1060"/>
    </row>
    <row r="782" spans="1:9" ht="25.5" customHeight="1" x14ac:dyDescent="0.2">
      <c r="A782" s="1185" t="s">
        <v>143</v>
      </c>
      <c r="B782" s="2302"/>
      <c r="C782" s="2303"/>
      <c r="D782" s="2302" t="s">
        <v>7674</v>
      </c>
      <c r="E782" s="2304"/>
      <c r="F782" s="2304"/>
      <c r="G782" s="2303"/>
      <c r="H782" s="1184"/>
      <c r="I782" s="1060"/>
    </row>
    <row r="783" spans="1:9" ht="12.75" customHeight="1" x14ac:dyDescent="0.2">
      <c r="A783" s="1185" t="s">
        <v>143</v>
      </c>
      <c r="B783" s="2302"/>
      <c r="C783" s="2303"/>
      <c r="D783" s="2302" t="s">
        <v>7675</v>
      </c>
      <c r="E783" s="2304"/>
      <c r="F783" s="2304"/>
      <c r="G783" s="2303"/>
      <c r="H783" s="1184"/>
      <c r="I783" s="1060"/>
    </row>
    <row r="784" spans="1:9" ht="25.5" customHeight="1" x14ac:dyDescent="0.2">
      <c r="A784" s="1185" t="s">
        <v>143</v>
      </c>
      <c r="B784" s="2302"/>
      <c r="C784" s="2303"/>
      <c r="D784" s="2302" t="s">
        <v>7676</v>
      </c>
      <c r="E784" s="2304"/>
      <c r="F784" s="2304"/>
      <c r="G784" s="2303"/>
      <c r="H784" s="1184"/>
      <c r="I784" s="1060"/>
    </row>
    <row r="785" spans="1:9" ht="25.5" customHeight="1" x14ac:dyDescent="0.2">
      <c r="A785" s="1185" t="s">
        <v>143</v>
      </c>
      <c r="B785" s="2302"/>
      <c r="C785" s="2303"/>
      <c r="D785" s="2302" t="s">
        <v>7677</v>
      </c>
      <c r="E785" s="2304"/>
      <c r="F785" s="2304"/>
      <c r="G785" s="2303"/>
      <c r="H785" s="1184"/>
      <c r="I785" s="1060"/>
    </row>
    <row r="786" spans="1:9" ht="25.5" customHeight="1" x14ac:dyDescent="0.2">
      <c r="A786" s="1185" t="s">
        <v>143</v>
      </c>
      <c r="B786" s="2302"/>
      <c r="C786" s="2303"/>
      <c r="D786" s="2302" t="s">
        <v>7678</v>
      </c>
      <c r="E786" s="2304"/>
      <c r="F786" s="2304"/>
      <c r="G786" s="2303"/>
      <c r="H786" s="1184"/>
      <c r="I786" s="1060"/>
    </row>
    <row r="787" spans="1:9" ht="12.75" customHeight="1" x14ac:dyDescent="0.2">
      <c r="A787" s="1183" t="s">
        <v>143</v>
      </c>
      <c r="B787" s="2320"/>
      <c r="C787" s="2321"/>
      <c r="D787" s="2320" t="s">
        <v>7679</v>
      </c>
      <c r="E787" s="2322"/>
      <c r="F787" s="2322"/>
      <c r="G787" s="2321"/>
      <c r="H787" s="1180"/>
      <c r="I787" s="1063"/>
    </row>
    <row r="788" spans="1:9" ht="94.5" customHeight="1" x14ac:dyDescent="0.2">
      <c r="A788" s="1182" t="s">
        <v>677</v>
      </c>
      <c r="B788" s="2311" t="s">
        <v>7680</v>
      </c>
      <c r="C788" s="2312"/>
      <c r="D788" s="2313" t="s">
        <v>7681</v>
      </c>
      <c r="E788" s="2314"/>
      <c r="F788" s="2314"/>
      <c r="G788" s="2315"/>
      <c r="H788" s="1179" t="s">
        <v>9830</v>
      </c>
      <c r="I788" s="1181">
        <f>ROUND((21000  + 62  * 756) * 1 * 0.4,0)</f>
        <v>27149</v>
      </c>
    </row>
    <row r="789" spans="1:9" ht="15.75" customHeight="1" x14ac:dyDescent="0.2">
      <c r="A789" s="1185" t="s">
        <v>143</v>
      </c>
      <c r="B789" s="2305"/>
      <c r="C789" s="2306"/>
      <c r="D789" s="2305" t="s">
        <v>572</v>
      </c>
      <c r="E789" s="2307"/>
      <c r="F789" s="2307"/>
      <c r="G789" s="2306"/>
      <c r="H789" s="1057"/>
      <c r="I789" s="1058"/>
    </row>
    <row r="790" spans="1:9" ht="25.5" customHeight="1" x14ac:dyDescent="0.2">
      <c r="A790" s="1185" t="s">
        <v>143</v>
      </c>
      <c r="B790" s="2302"/>
      <c r="C790" s="2303"/>
      <c r="D790" s="2302" t="s">
        <v>7138</v>
      </c>
      <c r="E790" s="2304"/>
      <c r="F790" s="2304"/>
      <c r="G790" s="2303"/>
      <c r="H790" s="1184"/>
      <c r="I790" s="1060"/>
    </row>
    <row r="791" spans="1:9" ht="66.75" customHeight="1" x14ac:dyDescent="0.2">
      <c r="A791" s="1185" t="s">
        <v>143</v>
      </c>
      <c r="B791" s="2305"/>
      <c r="C791" s="2306"/>
      <c r="D791" s="2305" t="s">
        <v>9715</v>
      </c>
      <c r="E791" s="2307"/>
      <c r="F791" s="2307"/>
      <c r="G791" s="2306"/>
      <c r="H791" s="1057"/>
      <c r="I791" s="1058"/>
    </row>
    <row r="792" spans="1:9" ht="12.75" customHeight="1" x14ac:dyDescent="0.2">
      <c r="A792" s="1185" t="s">
        <v>143</v>
      </c>
      <c r="B792" s="2302"/>
      <c r="C792" s="2303"/>
      <c r="D792" s="2302" t="s">
        <v>7682</v>
      </c>
      <c r="E792" s="2304"/>
      <c r="F792" s="2304"/>
      <c r="G792" s="2303"/>
      <c r="H792" s="1184"/>
      <c r="I792" s="1060"/>
    </row>
    <row r="793" spans="1:9" ht="12.75" customHeight="1" x14ac:dyDescent="0.2">
      <c r="A793" s="1185" t="s">
        <v>143</v>
      </c>
      <c r="B793" s="2302"/>
      <c r="C793" s="2303"/>
      <c r="D793" s="2302" t="s">
        <v>7683</v>
      </c>
      <c r="E793" s="2304"/>
      <c r="F793" s="2304"/>
      <c r="G793" s="2303"/>
      <c r="H793" s="1184"/>
      <c r="I793" s="1060"/>
    </row>
    <row r="794" spans="1:9" ht="25.5" customHeight="1" x14ac:dyDescent="0.2">
      <c r="A794" s="1185" t="s">
        <v>143</v>
      </c>
      <c r="B794" s="2302"/>
      <c r="C794" s="2303"/>
      <c r="D794" s="2302" t="s">
        <v>9831</v>
      </c>
      <c r="E794" s="2304"/>
      <c r="F794" s="2304"/>
      <c r="G794" s="2303"/>
      <c r="H794" s="1184"/>
      <c r="I794" s="1060"/>
    </row>
    <row r="795" spans="1:9" ht="25.5" customHeight="1" x14ac:dyDescent="0.2">
      <c r="A795" s="1185" t="s">
        <v>143</v>
      </c>
      <c r="B795" s="2302"/>
      <c r="C795" s="2303"/>
      <c r="D795" s="2323" t="s">
        <v>9832</v>
      </c>
      <c r="E795" s="2324"/>
      <c r="F795" s="2324"/>
      <c r="G795" s="2325"/>
      <c r="H795" s="1184"/>
      <c r="I795" s="1060"/>
    </row>
    <row r="796" spans="1:9" ht="25.5" customHeight="1" x14ac:dyDescent="0.2">
      <c r="A796" s="1185" t="s">
        <v>143</v>
      </c>
      <c r="B796" s="2302"/>
      <c r="C796" s="2303"/>
      <c r="D796" s="2323" t="s">
        <v>9833</v>
      </c>
      <c r="E796" s="2324"/>
      <c r="F796" s="2324"/>
      <c r="G796" s="2325"/>
      <c r="H796" s="1184"/>
      <c r="I796" s="1060"/>
    </row>
    <row r="797" spans="1:9" ht="25.5" customHeight="1" x14ac:dyDescent="0.2">
      <c r="A797" s="1185" t="s">
        <v>143</v>
      </c>
      <c r="B797" s="2302"/>
      <c r="C797" s="2303"/>
      <c r="D797" s="2323" t="s">
        <v>9834</v>
      </c>
      <c r="E797" s="2324"/>
      <c r="F797" s="2324"/>
      <c r="G797" s="2325"/>
      <c r="H797" s="1184"/>
      <c r="I797" s="1060"/>
    </row>
    <row r="798" spans="1:9" ht="12.75" customHeight="1" x14ac:dyDescent="0.2">
      <c r="A798" s="1185" t="s">
        <v>143</v>
      </c>
      <c r="B798" s="2302"/>
      <c r="C798" s="2303"/>
      <c r="D798" s="2323" t="s">
        <v>9835</v>
      </c>
      <c r="E798" s="2324"/>
      <c r="F798" s="2324"/>
      <c r="G798" s="2325"/>
      <c r="H798" s="1184"/>
      <c r="I798" s="1060"/>
    </row>
    <row r="799" spans="1:9" ht="12.75" customHeight="1" x14ac:dyDescent="0.2">
      <c r="A799" s="1185" t="s">
        <v>143</v>
      </c>
      <c r="B799" s="2302"/>
      <c r="C799" s="2303"/>
      <c r="D799" s="2302" t="s">
        <v>9836</v>
      </c>
      <c r="E799" s="2304"/>
      <c r="F799" s="2304"/>
      <c r="G799" s="2303"/>
      <c r="H799" s="1184"/>
      <c r="I799" s="1060"/>
    </row>
    <row r="800" spans="1:9" ht="25.5" customHeight="1" x14ac:dyDescent="0.2">
      <c r="A800" s="1185" t="s">
        <v>143</v>
      </c>
      <c r="B800" s="2302"/>
      <c r="C800" s="2303"/>
      <c r="D800" s="2323" t="s">
        <v>9837</v>
      </c>
      <c r="E800" s="2324"/>
      <c r="F800" s="2324"/>
      <c r="G800" s="2325"/>
      <c r="H800" s="1184"/>
      <c r="I800" s="1060"/>
    </row>
    <row r="801" spans="1:9" ht="25.5" customHeight="1" x14ac:dyDescent="0.2">
      <c r="A801" s="1185" t="s">
        <v>143</v>
      </c>
      <c r="B801" s="2302"/>
      <c r="C801" s="2303"/>
      <c r="D801" s="2323" t="s">
        <v>9838</v>
      </c>
      <c r="E801" s="2324"/>
      <c r="F801" s="2324"/>
      <c r="G801" s="2325"/>
      <c r="H801" s="1184"/>
      <c r="I801" s="1060"/>
    </row>
    <row r="802" spans="1:9" ht="25.5" customHeight="1" x14ac:dyDescent="0.2">
      <c r="A802" s="1185" t="s">
        <v>143</v>
      </c>
      <c r="B802" s="2302"/>
      <c r="C802" s="2303"/>
      <c r="D802" s="2302" t="s">
        <v>7684</v>
      </c>
      <c r="E802" s="2304"/>
      <c r="F802" s="2304"/>
      <c r="G802" s="2303"/>
      <c r="H802" s="1184"/>
      <c r="I802" s="1060"/>
    </row>
    <row r="803" spans="1:9" ht="12.75" customHeight="1" x14ac:dyDescent="0.2">
      <c r="A803" s="1185" t="s">
        <v>143</v>
      </c>
      <c r="B803" s="2302"/>
      <c r="C803" s="2303"/>
      <c r="D803" s="2302" t="s">
        <v>7685</v>
      </c>
      <c r="E803" s="2304"/>
      <c r="F803" s="2304"/>
      <c r="G803" s="2303"/>
      <c r="H803" s="1184"/>
      <c r="I803" s="1060"/>
    </row>
    <row r="804" spans="1:9" ht="25.5" customHeight="1" x14ac:dyDescent="0.2">
      <c r="A804" s="1185" t="s">
        <v>143</v>
      </c>
      <c r="B804" s="2302"/>
      <c r="C804" s="2303"/>
      <c r="D804" s="2302" t="s">
        <v>7686</v>
      </c>
      <c r="E804" s="2304"/>
      <c r="F804" s="2304"/>
      <c r="G804" s="2303"/>
      <c r="H804" s="1184"/>
      <c r="I804" s="1060"/>
    </row>
    <row r="805" spans="1:9" ht="25.5" customHeight="1" x14ac:dyDescent="0.2">
      <c r="A805" s="1185" t="s">
        <v>143</v>
      </c>
      <c r="B805" s="2302"/>
      <c r="C805" s="2303"/>
      <c r="D805" s="2302" t="s">
        <v>7687</v>
      </c>
      <c r="E805" s="2304"/>
      <c r="F805" s="2304"/>
      <c r="G805" s="2303"/>
      <c r="H805" s="1184"/>
      <c r="I805" s="1060"/>
    </row>
    <row r="806" spans="1:9" ht="25.5" customHeight="1" x14ac:dyDescent="0.2">
      <c r="A806" s="1185" t="s">
        <v>143</v>
      </c>
      <c r="B806" s="2302"/>
      <c r="C806" s="2303"/>
      <c r="D806" s="2302" t="s">
        <v>7688</v>
      </c>
      <c r="E806" s="2304"/>
      <c r="F806" s="2304"/>
      <c r="G806" s="2303"/>
      <c r="H806" s="1184"/>
      <c r="I806" s="1060"/>
    </row>
    <row r="807" spans="1:9" ht="12.75" customHeight="1" x14ac:dyDescent="0.2">
      <c r="A807" s="1183" t="s">
        <v>143</v>
      </c>
      <c r="B807" s="2320"/>
      <c r="C807" s="2321"/>
      <c r="D807" s="2320" t="s">
        <v>7689</v>
      </c>
      <c r="E807" s="2322"/>
      <c r="F807" s="2322"/>
      <c r="G807" s="2321"/>
      <c r="H807" s="1180"/>
      <c r="I807" s="1063"/>
    </row>
    <row r="808" spans="1:9" ht="107.25" customHeight="1" x14ac:dyDescent="0.2">
      <c r="A808" s="1182" t="s">
        <v>326</v>
      </c>
      <c r="B808" s="2335" t="s">
        <v>7690</v>
      </c>
      <c r="C808" s="2336"/>
      <c r="D808" s="2313" t="s">
        <v>7691</v>
      </c>
      <c r="E808" s="2314"/>
      <c r="F808" s="2314"/>
      <c r="G808" s="2315"/>
      <c r="H808" s="1179" t="s">
        <v>9839</v>
      </c>
      <c r="I808" s="1181">
        <f>ROUND((36610  + 4570  * 2) * 1 * 0.4,0)</f>
        <v>18300</v>
      </c>
    </row>
    <row r="809" spans="1:9" ht="15.75" customHeight="1" x14ac:dyDescent="0.2">
      <c r="A809" s="1185" t="s">
        <v>143</v>
      </c>
      <c r="B809" s="2305"/>
      <c r="C809" s="2306"/>
      <c r="D809" s="2305" t="s">
        <v>572</v>
      </c>
      <c r="E809" s="2307"/>
      <c r="F809" s="2307"/>
      <c r="G809" s="2306"/>
      <c r="H809" s="1057"/>
      <c r="I809" s="1058"/>
    </row>
    <row r="810" spans="1:9" ht="25.5" customHeight="1" x14ac:dyDescent="0.2">
      <c r="A810" s="1185" t="s">
        <v>143</v>
      </c>
      <c r="B810" s="2302"/>
      <c r="C810" s="2303"/>
      <c r="D810" s="2302" t="s">
        <v>7138</v>
      </c>
      <c r="E810" s="2304"/>
      <c r="F810" s="2304"/>
      <c r="G810" s="2303"/>
      <c r="H810" s="1184"/>
      <c r="I810" s="1060"/>
    </row>
    <row r="811" spans="1:9" ht="66.75" customHeight="1" x14ac:dyDescent="0.2">
      <c r="A811" s="1185" t="s">
        <v>143</v>
      </c>
      <c r="B811" s="2305"/>
      <c r="C811" s="2306"/>
      <c r="D811" s="2305" t="s">
        <v>7741</v>
      </c>
      <c r="E811" s="2307"/>
      <c r="F811" s="2307"/>
      <c r="G811" s="2306"/>
      <c r="H811" s="1057"/>
      <c r="I811" s="1058"/>
    </row>
    <row r="812" spans="1:9" ht="12.75" customHeight="1" x14ac:dyDescent="0.2">
      <c r="A812" s="1185" t="s">
        <v>143</v>
      </c>
      <c r="B812" s="2302"/>
      <c r="C812" s="2303"/>
      <c r="D812" s="2302" t="s">
        <v>7692</v>
      </c>
      <c r="E812" s="2304"/>
      <c r="F812" s="2304"/>
      <c r="G812" s="2303"/>
      <c r="H812" s="1184"/>
      <c r="I812" s="1060"/>
    </row>
    <row r="813" spans="1:9" ht="25.5" customHeight="1" x14ac:dyDescent="0.2">
      <c r="A813" s="1185" t="s">
        <v>143</v>
      </c>
      <c r="B813" s="2302"/>
      <c r="C813" s="2303"/>
      <c r="D813" s="2302" t="s">
        <v>7693</v>
      </c>
      <c r="E813" s="2304"/>
      <c r="F813" s="2304"/>
      <c r="G813" s="2303"/>
      <c r="H813" s="1184"/>
      <c r="I813" s="1060"/>
    </row>
    <row r="814" spans="1:9" ht="12.75" customHeight="1" x14ac:dyDescent="0.2">
      <c r="A814" s="1185" t="s">
        <v>143</v>
      </c>
      <c r="B814" s="2302"/>
      <c r="C814" s="2303"/>
      <c r="D814" s="2302" t="s">
        <v>7694</v>
      </c>
      <c r="E814" s="2304"/>
      <c r="F814" s="2304"/>
      <c r="G814" s="2303"/>
      <c r="H814" s="1184"/>
      <c r="I814" s="1060"/>
    </row>
    <row r="815" spans="1:9" ht="12.75" customHeight="1" x14ac:dyDescent="0.2">
      <c r="A815" s="1185" t="s">
        <v>143</v>
      </c>
      <c r="B815" s="2302"/>
      <c r="C815" s="2303"/>
      <c r="D815" s="2302" t="s">
        <v>7695</v>
      </c>
      <c r="E815" s="2304"/>
      <c r="F815" s="2304"/>
      <c r="G815" s="2303"/>
      <c r="H815" s="1184"/>
      <c r="I815" s="1060"/>
    </row>
    <row r="816" spans="1:9" ht="25.5" customHeight="1" x14ac:dyDescent="0.2">
      <c r="A816" s="1185" t="s">
        <v>143</v>
      </c>
      <c r="B816" s="2302"/>
      <c r="C816" s="2303"/>
      <c r="D816" s="2302" t="s">
        <v>9840</v>
      </c>
      <c r="E816" s="2304"/>
      <c r="F816" s="2304"/>
      <c r="G816" s="2303"/>
      <c r="H816" s="1184"/>
      <c r="I816" s="1060"/>
    </row>
    <row r="817" spans="1:9" ht="12.75" customHeight="1" x14ac:dyDescent="0.2">
      <c r="A817" s="1185" t="s">
        <v>143</v>
      </c>
      <c r="B817" s="2302"/>
      <c r="C817" s="2303"/>
      <c r="D817" s="2302" t="s">
        <v>9841</v>
      </c>
      <c r="E817" s="2304"/>
      <c r="F817" s="2304"/>
      <c r="G817" s="2303"/>
      <c r="H817" s="1184"/>
      <c r="I817" s="1060"/>
    </row>
    <row r="818" spans="1:9" ht="12.75" customHeight="1" x14ac:dyDescent="0.2">
      <c r="A818" s="1185" t="s">
        <v>143</v>
      </c>
      <c r="B818" s="2302"/>
      <c r="C818" s="2303"/>
      <c r="D818" s="2302" t="s">
        <v>9842</v>
      </c>
      <c r="E818" s="2304"/>
      <c r="F818" s="2304"/>
      <c r="G818" s="2303"/>
      <c r="H818" s="1184"/>
      <c r="I818" s="1060"/>
    </row>
    <row r="819" spans="1:9" ht="12.75" customHeight="1" x14ac:dyDescent="0.2">
      <c r="A819" s="1185" t="s">
        <v>143</v>
      </c>
      <c r="B819" s="2302"/>
      <c r="C819" s="2303"/>
      <c r="D819" s="2302" t="s">
        <v>9843</v>
      </c>
      <c r="E819" s="2304"/>
      <c r="F819" s="2304"/>
      <c r="G819" s="2303"/>
      <c r="H819" s="1184"/>
      <c r="I819" s="1060"/>
    </row>
    <row r="820" spans="1:9" ht="25.5" customHeight="1" x14ac:dyDescent="0.2">
      <c r="A820" s="1185" t="s">
        <v>143</v>
      </c>
      <c r="B820" s="2302"/>
      <c r="C820" s="2303"/>
      <c r="D820" s="2302" t="s">
        <v>9844</v>
      </c>
      <c r="E820" s="2304"/>
      <c r="F820" s="2304"/>
      <c r="G820" s="2303"/>
      <c r="H820" s="1184"/>
      <c r="I820" s="1060"/>
    </row>
    <row r="821" spans="1:9" ht="12.75" customHeight="1" x14ac:dyDescent="0.2">
      <c r="A821" s="1185" t="s">
        <v>143</v>
      </c>
      <c r="B821" s="2302"/>
      <c r="C821" s="2303"/>
      <c r="D821" s="2302" t="s">
        <v>9845</v>
      </c>
      <c r="E821" s="2304"/>
      <c r="F821" s="2304"/>
      <c r="G821" s="2303"/>
      <c r="H821" s="1184"/>
      <c r="I821" s="1060"/>
    </row>
    <row r="822" spans="1:9" ht="12.75" customHeight="1" x14ac:dyDescent="0.2">
      <c r="A822" s="1185" t="s">
        <v>143</v>
      </c>
      <c r="B822" s="2302"/>
      <c r="C822" s="2303"/>
      <c r="D822" s="2302" t="s">
        <v>9846</v>
      </c>
      <c r="E822" s="2304"/>
      <c r="F822" s="2304"/>
      <c r="G822" s="2303"/>
      <c r="H822" s="1184"/>
      <c r="I822" s="1060"/>
    </row>
    <row r="823" spans="1:9" ht="25.5" customHeight="1" x14ac:dyDescent="0.2">
      <c r="A823" s="1185" t="s">
        <v>143</v>
      </c>
      <c r="B823" s="2302"/>
      <c r="C823" s="2303"/>
      <c r="D823" s="2302" t="s">
        <v>9847</v>
      </c>
      <c r="E823" s="2304"/>
      <c r="F823" s="2304"/>
      <c r="G823" s="2303"/>
      <c r="H823" s="1184"/>
      <c r="I823" s="1060"/>
    </row>
    <row r="824" spans="1:9" ht="12.75" customHeight="1" x14ac:dyDescent="0.2">
      <c r="A824" s="1185" t="s">
        <v>143</v>
      </c>
      <c r="B824" s="2302"/>
      <c r="C824" s="2303"/>
      <c r="D824" s="2302" t="s">
        <v>7696</v>
      </c>
      <c r="E824" s="2304"/>
      <c r="F824" s="2304"/>
      <c r="G824" s="2303"/>
      <c r="H824" s="1184"/>
      <c r="I824" s="1060"/>
    </row>
    <row r="825" spans="1:9" ht="25.5" customHeight="1" x14ac:dyDescent="0.2">
      <c r="A825" s="1185" t="s">
        <v>143</v>
      </c>
      <c r="B825" s="2302"/>
      <c r="C825" s="2303"/>
      <c r="D825" s="2302" t="s">
        <v>7697</v>
      </c>
      <c r="E825" s="2304"/>
      <c r="F825" s="2304"/>
      <c r="G825" s="2303"/>
      <c r="H825" s="1184"/>
      <c r="I825" s="1060"/>
    </row>
    <row r="826" spans="1:9" ht="25.5" customHeight="1" x14ac:dyDescent="0.2">
      <c r="A826" s="1185" t="s">
        <v>143</v>
      </c>
      <c r="B826" s="2302"/>
      <c r="C826" s="2303"/>
      <c r="D826" s="2302" t="s">
        <v>7698</v>
      </c>
      <c r="E826" s="2304"/>
      <c r="F826" s="2304"/>
      <c r="G826" s="2303"/>
      <c r="H826" s="1184"/>
      <c r="I826" s="1060"/>
    </row>
    <row r="827" spans="1:9" ht="25.5" customHeight="1" x14ac:dyDescent="0.2">
      <c r="A827" s="1185" t="s">
        <v>143</v>
      </c>
      <c r="B827" s="2302"/>
      <c r="C827" s="2303"/>
      <c r="D827" s="2302" t="s">
        <v>7699</v>
      </c>
      <c r="E827" s="2304"/>
      <c r="F827" s="2304"/>
      <c r="G827" s="2303"/>
      <c r="H827" s="1184"/>
      <c r="I827" s="1060"/>
    </row>
    <row r="828" spans="1:9" ht="12.75" customHeight="1" x14ac:dyDescent="0.2">
      <c r="A828" s="1183" t="s">
        <v>143</v>
      </c>
      <c r="B828" s="2320"/>
      <c r="C828" s="2321"/>
      <c r="D828" s="2320" t="s">
        <v>7700</v>
      </c>
      <c r="E828" s="2322"/>
      <c r="F828" s="2322"/>
      <c r="G828" s="2321"/>
      <c r="H828" s="1180"/>
      <c r="I828" s="1063"/>
    </row>
    <row r="829" spans="1:9" ht="119.85" customHeight="1" x14ac:dyDescent="0.2">
      <c r="A829" s="1182" t="s">
        <v>774</v>
      </c>
      <c r="B829" s="2335" t="s">
        <v>7701</v>
      </c>
      <c r="C829" s="2336"/>
      <c r="D829" s="2313" t="s">
        <v>7702</v>
      </c>
      <c r="E829" s="2314"/>
      <c r="F829" s="2314"/>
      <c r="G829" s="2315"/>
      <c r="H829" s="1179" t="s">
        <v>9848</v>
      </c>
      <c r="I829" s="1181">
        <f>ROUND((36610  + 4570  * (0.4 * 12 + 0.6 * 76)) * 1 * 0.4 * 1.1 * 0.64,0)</f>
        <v>75170</v>
      </c>
    </row>
    <row r="830" spans="1:9" ht="15.75" customHeight="1" x14ac:dyDescent="0.2">
      <c r="A830" s="1185" t="s">
        <v>143</v>
      </c>
      <c r="B830" s="2305"/>
      <c r="C830" s="2306"/>
      <c r="D830" s="2305" t="s">
        <v>572</v>
      </c>
      <c r="E830" s="2307"/>
      <c r="F830" s="2307"/>
      <c r="G830" s="2306"/>
      <c r="H830" s="1057"/>
      <c r="I830" s="1058"/>
    </row>
    <row r="831" spans="1:9" ht="25.5" customHeight="1" x14ac:dyDescent="0.2">
      <c r="A831" s="1185" t="s">
        <v>143</v>
      </c>
      <c r="B831" s="2302"/>
      <c r="C831" s="2303"/>
      <c r="D831" s="2302" t="s">
        <v>7138</v>
      </c>
      <c r="E831" s="2304"/>
      <c r="F831" s="2304"/>
      <c r="G831" s="2303"/>
      <c r="H831" s="1184"/>
      <c r="I831" s="1060"/>
    </row>
    <row r="832" spans="1:9" ht="102" customHeight="1" x14ac:dyDescent="0.2">
      <c r="A832" s="1185" t="s">
        <v>143</v>
      </c>
      <c r="B832" s="2302"/>
      <c r="C832" s="2303"/>
      <c r="D832" s="2302" t="s">
        <v>7703</v>
      </c>
      <c r="E832" s="2304"/>
      <c r="F832" s="2304"/>
      <c r="G832" s="2303"/>
      <c r="H832" s="1184"/>
      <c r="I832" s="1060"/>
    </row>
    <row r="833" spans="1:9" ht="41.25" customHeight="1" x14ac:dyDescent="0.2">
      <c r="A833" s="1185" t="s">
        <v>143</v>
      </c>
      <c r="B833" s="2305"/>
      <c r="C833" s="2306"/>
      <c r="D833" s="2305" t="s">
        <v>9849</v>
      </c>
      <c r="E833" s="2307"/>
      <c r="F833" s="2307"/>
      <c r="G833" s="2306"/>
      <c r="H833" s="1057"/>
      <c r="I833" s="1058"/>
    </row>
    <row r="834" spans="1:9" ht="12.75" customHeight="1" x14ac:dyDescent="0.2">
      <c r="A834" s="1185" t="s">
        <v>143</v>
      </c>
      <c r="B834" s="2302"/>
      <c r="C834" s="2303"/>
      <c r="D834" s="2302" t="s">
        <v>7704</v>
      </c>
      <c r="E834" s="2304"/>
      <c r="F834" s="2304"/>
      <c r="G834" s="2303"/>
      <c r="H834" s="1184"/>
      <c r="I834" s="1060"/>
    </row>
    <row r="835" spans="1:9" ht="25.5" customHeight="1" x14ac:dyDescent="0.2">
      <c r="A835" s="1185" t="s">
        <v>143</v>
      </c>
      <c r="B835" s="2302"/>
      <c r="C835" s="2303"/>
      <c r="D835" s="2302" t="s">
        <v>9850</v>
      </c>
      <c r="E835" s="2304"/>
      <c r="F835" s="2304"/>
      <c r="G835" s="2303"/>
      <c r="H835" s="1184"/>
      <c r="I835" s="1060"/>
    </row>
    <row r="836" spans="1:9" ht="12.75" customHeight="1" x14ac:dyDescent="0.2">
      <c r="A836" s="1185" t="s">
        <v>143</v>
      </c>
      <c r="B836" s="2302"/>
      <c r="C836" s="2303"/>
      <c r="D836" s="2302" t="s">
        <v>9851</v>
      </c>
      <c r="E836" s="2304"/>
      <c r="F836" s="2304"/>
      <c r="G836" s="2303"/>
      <c r="H836" s="1184"/>
      <c r="I836" s="1060"/>
    </row>
    <row r="837" spans="1:9" ht="12.75" customHeight="1" x14ac:dyDescent="0.2">
      <c r="A837" s="1185" t="s">
        <v>143</v>
      </c>
      <c r="B837" s="2302"/>
      <c r="C837" s="2303"/>
      <c r="D837" s="2302" t="s">
        <v>9852</v>
      </c>
      <c r="E837" s="2304"/>
      <c r="F837" s="2304"/>
      <c r="G837" s="2303"/>
      <c r="H837" s="1184"/>
      <c r="I837" s="1060"/>
    </row>
    <row r="838" spans="1:9" ht="25.5" customHeight="1" x14ac:dyDescent="0.2">
      <c r="A838" s="1185" t="s">
        <v>143</v>
      </c>
      <c r="B838" s="2302"/>
      <c r="C838" s="2303"/>
      <c r="D838" s="2302" t="s">
        <v>9853</v>
      </c>
      <c r="E838" s="2304"/>
      <c r="F838" s="2304"/>
      <c r="G838" s="2303"/>
      <c r="H838" s="1184"/>
      <c r="I838" s="1060"/>
    </row>
    <row r="839" spans="1:9" ht="12.75" customHeight="1" x14ac:dyDescent="0.2">
      <c r="A839" s="1185" t="s">
        <v>143</v>
      </c>
      <c r="B839" s="2302"/>
      <c r="C839" s="2303"/>
      <c r="D839" s="2302" t="s">
        <v>9854</v>
      </c>
      <c r="E839" s="2304"/>
      <c r="F839" s="2304"/>
      <c r="G839" s="2303"/>
      <c r="H839" s="1184"/>
      <c r="I839" s="1060"/>
    </row>
    <row r="840" spans="1:9" ht="25.5" customHeight="1" x14ac:dyDescent="0.2">
      <c r="A840" s="1185" t="s">
        <v>143</v>
      </c>
      <c r="B840" s="2302"/>
      <c r="C840" s="2303"/>
      <c r="D840" s="2302" t="s">
        <v>9855</v>
      </c>
      <c r="E840" s="2304"/>
      <c r="F840" s="2304"/>
      <c r="G840" s="2303"/>
      <c r="H840" s="1184"/>
      <c r="I840" s="1060"/>
    </row>
    <row r="841" spans="1:9" ht="25.5" customHeight="1" x14ac:dyDescent="0.2">
      <c r="A841" s="1185" t="s">
        <v>143</v>
      </c>
      <c r="B841" s="2302"/>
      <c r="C841" s="2303"/>
      <c r="D841" s="2302" t="s">
        <v>9856</v>
      </c>
      <c r="E841" s="2304"/>
      <c r="F841" s="2304"/>
      <c r="G841" s="2303"/>
      <c r="H841" s="1184"/>
      <c r="I841" s="1060"/>
    </row>
    <row r="842" spans="1:9" ht="12.75" customHeight="1" x14ac:dyDescent="0.2">
      <c r="A842" s="1183" t="s">
        <v>143</v>
      </c>
      <c r="B842" s="2320"/>
      <c r="C842" s="2321"/>
      <c r="D842" s="2320" t="s">
        <v>9857</v>
      </c>
      <c r="E842" s="2322"/>
      <c r="F842" s="2322"/>
      <c r="G842" s="2321"/>
      <c r="H842" s="1180"/>
      <c r="I842" s="1063"/>
    </row>
    <row r="843" spans="1:9" ht="94.5" customHeight="1" x14ac:dyDescent="0.2">
      <c r="A843" s="1182" t="s">
        <v>775</v>
      </c>
      <c r="B843" s="2311" t="s">
        <v>7705</v>
      </c>
      <c r="C843" s="2312"/>
      <c r="D843" s="2313" t="s">
        <v>7706</v>
      </c>
      <c r="E843" s="2314"/>
      <c r="F843" s="2314"/>
      <c r="G843" s="2315"/>
      <c r="H843" s="1179" t="s">
        <v>9858</v>
      </c>
      <c r="I843" s="1181">
        <f>ROUND(85450  * 1 * 0.4 * 0.5 * 0.99,0)</f>
        <v>16919</v>
      </c>
    </row>
    <row r="844" spans="1:9" ht="15.75" customHeight="1" x14ac:dyDescent="0.2">
      <c r="A844" s="1185" t="s">
        <v>143</v>
      </c>
      <c r="B844" s="2305"/>
      <c r="C844" s="2306"/>
      <c r="D844" s="2305" t="s">
        <v>572</v>
      </c>
      <c r="E844" s="2307"/>
      <c r="F844" s="2307"/>
      <c r="G844" s="2306"/>
      <c r="H844" s="1057"/>
      <c r="I844" s="1058"/>
    </row>
    <row r="845" spans="1:9" ht="25.5" customHeight="1" x14ac:dyDescent="0.2">
      <c r="A845" s="1185" t="s">
        <v>143</v>
      </c>
      <c r="B845" s="2302"/>
      <c r="C845" s="2303"/>
      <c r="D845" s="2302" t="s">
        <v>7138</v>
      </c>
      <c r="E845" s="2304"/>
      <c r="F845" s="2304"/>
      <c r="G845" s="2303"/>
      <c r="H845" s="1184"/>
      <c r="I845" s="1060"/>
    </row>
    <row r="846" spans="1:9" ht="25.5" customHeight="1" x14ac:dyDescent="0.2">
      <c r="A846" s="1185" t="s">
        <v>143</v>
      </c>
      <c r="B846" s="2302"/>
      <c r="C846" s="2303"/>
      <c r="D846" s="2302" t="s">
        <v>7707</v>
      </c>
      <c r="E846" s="2304"/>
      <c r="F846" s="2304"/>
      <c r="G846" s="2303"/>
      <c r="H846" s="1184"/>
      <c r="I846" s="1060"/>
    </row>
    <row r="847" spans="1:9" ht="66.75" customHeight="1" x14ac:dyDescent="0.2">
      <c r="A847" s="1185" t="s">
        <v>143</v>
      </c>
      <c r="B847" s="2305"/>
      <c r="C847" s="2306"/>
      <c r="D847" s="2305" t="s">
        <v>9859</v>
      </c>
      <c r="E847" s="2307"/>
      <c r="F847" s="2307"/>
      <c r="G847" s="2306"/>
      <c r="H847" s="1057"/>
      <c r="I847" s="1058"/>
    </row>
    <row r="848" spans="1:9" ht="12.75" customHeight="1" x14ac:dyDescent="0.2">
      <c r="A848" s="1185" t="s">
        <v>143</v>
      </c>
      <c r="B848" s="2302"/>
      <c r="C848" s="2303"/>
      <c r="D848" s="2302" t="s">
        <v>7708</v>
      </c>
      <c r="E848" s="2304"/>
      <c r="F848" s="2304"/>
      <c r="G848" s="2303"/>
      <c r="H848" s="1184"/>
      <c r="I848" s="1060"/>
    </row>
    <row r="849" spans="1:9" ht="25.5" customHeight="1" x14ac:dyDescent="0.2">
      <c r="A849" s="1185" t="s">
        <v>143</v>
      </c>
      <c r="B849" s="2302"/>
      <c r="C849" s="2303"/>
      <c r="D849" s="2302" t="s">
        <v>7709</v>
      </c>
      <c r="E849" s="2304"/>
      <c r="F849" s="2304"/>
      <c r="G849" s="2303"/>
      <c r="H849" s="1184"/>
      <c r="I849" s="1060"/>
    </row>
    <row r="850" spans="1:9" ht="12.75" customHeight="1" x14ac:dyDescent="0.2">
      <c r="A850" s="1185" t="s">
        <v>143</v>
      </c>
      <c r="B850" s="2302"/>
      <c r="C850" s="2303"/>
      <c r="D850" s="2302" t="s">
        <v>7710</v>
      </c>
      <c r="E850" s="2304"/>
      <c r="F850" s="2304"/>
      <c r="G850" s="2303"/>
      <c r="H850" s="1184"/>
      <c r="I850" s="1060"/>
    </row>
    <row r="851" spans="1:9" ht="12.75" customHeight="1" x14ac:dyDescent="0.2">
      <c r="A851" s="1185" t="s">
        <v>143</v>
      </c>
      <c r="B851" s="2302"/>
      <c r="C851" s="2303"/>
      <c r="D851" s="2302" t="s">
        <v>7711</v>
      </c>
      <c r="E851" s="2304"/>
      <c r="F851" s="2304"/>
      <c r="G851" s="2303"/>
      <c r="H851" s="1184"/>
      <c r="I851" s="1060"/>
    </row>
    <row r="852" spans="1:9" ht="25.5" customHeight="1" x14ac:dyDescent="0.2">
      <c r="A852" s="1185" t="s">
        <v>143</v>
      </c>
      <c r="B852" s="2302"/>
      <c r="C852" s="2303"/>
      <c r="D852" s="2302" t="s">
        <v>9860</v>
      </c>
      <c r="E852" s="2304"/>
      <c r="F852" s="2304"/>
      <c r="G852" s="2303"/>
      <c r="H852" s="1184"/>
      <c r="I852" s="1060"/>
    </row>
    <row r="853" spans="1:9" ht="12.75" customHeight="1" x14ac:dyDescent="0.2">
      <c r="A853" s="1185" t="s">
        <v>143</v>
      </c>
      <c r="B853" s="2302"/>
      <c r="C853" s="2303"/>
      <c r="D853" s="2302" t="s">
        <v>9861</v>
      </c>
      <c r="E853" s="2304"/>
      <c r="F853" s="2304"/>
      <c r="G853" s="2303"/>
      <c r="H853" s="1184"/>
      <c r="I853" s="1060"/>
    </row>
    <row r="854" spans="1:9" ht="12.75" customHeight="1" x14ac:dyDescent="0.2">
      <c r="A854" s="1185" t="s">
        <v>143</v>
      </c>
      <c r="B854" s="2302"/>
      <c r="C854" s="2303"/>
      <c r="D854" s="2302" t="s">
        <v>9862</v>
      </c>
      <c r="E854" s="2304"/>
      <c r="F854" s="2304"/>
      <c r="G854" s="2303"/>
      <c r="H854" s="1184"/>
      <c r="I854" s="1060"/>
    </row>
    <row r="855" spans="1:9" ht="12.75" customHeight="1" x14ac:dyDescent="0.2">
      <c r="A855" s="1185" t="s">
        <v>143</v>
      </c>
      <c r="B855" s="2302"/>
      <c r="C855" s="2303"/>
      <c r="D855" s="2302" t="s">
        <v>9863</v>
      </c>
      <c r="E855" s="2304"/>
      <c r="F855" s="2304"/>
      <c r="G855" s="2303"/>
      <c r="H855" s="1184"/>
      <c r="I855" s="1060"/>
    </row>
    <row r="856" spans="1:9" ht="25.5" customHeight="1" x14ac:dyDescent="0.2">
      <c r="A856" s="1185" t="s">
        <v>143</v>
      </c>
      <c r="B856" s="2302"/>
      <c r="C856" s="2303"/>
      <c r="D856" s="2302" t="s">
        <v>9864</v>
      </c>
      <c r="E856" s="2304"/>
      <c r="F856" s="2304"/>
      <c r="G856" s="2303"/>
      <c r="H856" s="1184"/>
      <c r="I856" s="1060"/>
    </row>
    <row r="857" spans="1:9" ht="12.75" customHeight="1" x14ac:dyDescent="0.2">
      <c r="A857" s="1185" t="s">
        <v>143</v>
      </c>
      <c r="B857" s="2302"/>
      <c r="C857" s="2303"/>
      <c r="D857" s="2302" t="s">
        <v>9865</v>
      </c>
      <c r="E857" s="2304"/>
      <c r="F857" s="2304"/>
      <c r="G857" s="2303"/>
      <c r="H857" s="1184"/>
      <c r="I857" s="1060"/>
    </row>
    <row r="858" spans="1:9" ht="12.75" customHeight="1" x14ac:dyDescent="0.2">
      <c r="A858" s="1185" t="s">
        <v>143</v>
      </c>
      <c r="B858" s="2302"/>
      <c r="C858" s="2303"/>
      <c r="D858" s="2302" t="s">
        <v>9866</v>
      </c>
      <c r="E858" s="2304"/>
      <c r="F858" s="2304"/>
      <c r="G858" s="2303"/>
      <c r="H858" s="1184"/>
      <c r="I858" s="1060"/>
    </row>
    <row r="859" spans="1:9" ht="25.5" customHeight="1" x14ac:dyDescent="0.2">
      <c r="A859" s="1185" t="s">
        <v>143</v>
      </c>
      <c r="B859" s="2302"/>
      <c r="C859" s="2303"/>
      <c r="D859" s="2302" t="s">
        <v>9867</v>
      </c>
      <c r="E859" s="2304"/>
      <c r="F859" s="2304"/>
      <c r="G859" s="2303"/>
      <c r="H859" s="1184"/>
      <c r="I859" s="1060"/>
    </row>
    <row r="860" spans="1:9" ht="12.75" customHeight="1" x14ac:dyDescent="0.2">
      <c r="A860" s="1185" t="s">
        <v>143</v>
      </c>
      <c r="B860" s="2302"/>
      <c r="C860" s="2303"/>
      <c r="D860" s="2302" t="s">
        <v>7712</v>
      </c>
      <c r="E860" s="2304"/>
      <c r="F860" s="2304"/>
      <c r="G860" s="2303"/>
      <c r="H860" s="1184"/>
      <c r="I860" s="1060"/>
    </row>
    <row r="861" spans="1:9" ht="25.5" customHeight="1" x14ac:dyDescent="0.2">
      <c r="A861" s="1185" t="s">
        <v>143</v>
      </c>
      <c r="B861" s="2302"/>
      <c r="C861" s="2303"/>
      <c r="D861" s="2302" t="s">
        <v>7713</v>
      </c>
      <c r="E861" s="2304"/>
      <c r="F861" s="2304"/>
      <c r="G861" s="2303"/>
      <c r="H861" s="1184"/>
      <c r="I861" s="1060"/>
    </row>
    <row r="862" spans="1:9" ht="25.5" customHeight="1" x14ac:dyDescent="0.2">
      <c r="A862" s="1185" t="s">
        <v>143</v>
      </c>
      <c r="B862" s="2302"/>
      <c r="C862" s="2303"/>
      <c r="D862" s="2302" t="s">
        <v>7714</v>
      </c>
      <c r="E862" s="2304"/>
      <c r="F862" s="2304"/>
      <c r="G862" s="2303"/>
      <c r="H862" s="1184"/>
      <c r="I862" s="1060"/>
    </row>
    <row r="863" spans="1:9" ht="12.75" customHeight="1" x14ac:dyDescent="0.2">
      <c r="A863" s="1183" t="s">
        <v>143</v>
      </c>
      <c r="B863" s="2320"/>
      <c r="C863" s="2321"/>
      <c r="D863" s="2320" t="s">
        <v>7715</v>
      </c>
      <c r="E863" s="2322"/>
      <c r="F863" s="2322"/>
      <c r="G863" s="2321"/>
      <c r="H863" s="1180"/>
      <c r="I863" s="1063"/>
    </row>
    <row r="864" spans="1:9" ht="107.25" customHeight="1" x14ac:dyDescent="0.2">
      <c r="A864" s="1182" t="s">
        <v>776</v>
      </c>
      <c r="B864" s="2311" t="s">
        <v>7716</v>
      </c>
      <c r="C864" s="2312"/>
      <c r="D864" s="2313" t="s">
        <v>7717</v>
      </c>
      <c r="E864" s="2314"/>
      <c r="F864" s="2314"/>
      <c r="G864" s="2315"/>
      <c r="H864" s="1179" t="s">
        <v>9868</v>
      </c>
      <c r="I864" s="1181">
        <f>ROUND((36610  + 4570  * 3) * 1 * 0.5,0)</f>
        <v>25160</v>
      </c>
    </row>
    <row r="865" spans="1:9" ht="15.75" customHeight="1" x14ac:dyDescent="0.2">
      <c r="A865" s="1185" t="s">
        <v>143</v>
      </c>
      <c r="B865" s="2305"/>
      <c r="C865" s="2306"/>
      <c r="D865" s="2305" t="s">
        <v>572</v>
      </c>
      <c r="E865" s="2307"/>
      <c r="F865" s="2307"/>
      <c r="G865" s="2306"/>
      <c r="H865" s="1057"/>
      <c r="I865" s="1058"/>
    </row>
    <row r="866" spans="1:9" ht="25.5" customHeight="1" x14ac:dyDescent="0.2">
      <c r="A866" s="1185" t="s">
        <v>143</v>
      </c>
      <c r="B866" s="2302"/>
      <c r="C866" s="2303"/>
      <c r="D866" s="2302" t="s">
        <v>7321</v>
      </c>
      <c r="E866" s="2304"/>
      <c r="F866" s="2304"/>
      <c r="G866" s="2303"/>
      <c r="H866" s="1184"/>
      <c r="I866" s="1060"/>
    </row>
    <row r="867" spans="1:9" ht="66.75" customHeight="1" x14ac:dyDescent="0.2">
      <c r="A867" s="1185" t="s">
        <v>143</v>
      </c>
      <c r="B867" s="2305"/>
      <c r="C867" s="2306"/>
      <c r="D867" s="2305" t="s">
        <v>7741</v>
      </c>
      <c r="E867" s="2307"/>
      <c r="F867" s="2307"/>
      <c r="G867" s="2306"/>
      <c r="H867" s="1057"/>
      <c r="I867" s="1058"/>
    </row>
    <row r="868" spans="1:9" ht="12.75" customHeight="1" x14ac:dyDescent="0.2">
      <c r="A868" s="1185" t="s">
        <v>143</v>
      </c>
      <c r="B868" s="2302"/>
      <c r="C868" s="2303"/>
      <c r="D868" s="2302" t="s">
        <v>7718</v>
      </c>
      <c r="E868" s="2304"/>
      <c r="F868" s="2304"/>
      <c r="G868" s="2303"/>
      <c r="H868" s="1184"/>
      <c r="I868" s="1060"/>
    </row>
    <row r="869" spans="1:9" ht="25.5" customHeight="1" x14ac:dyDescent="0.2">
      <c r="A869" s="1185" t="s">
        <v>143</v>
      </c>
      <c r="B869" s="2302"/>
      <c r="C869" s="2303"/>
      <c r="D869" s="2302" t="s">
        <v>7719</v>
      </c>
      <c r="E869" s="2304"/>
      <c r="F869" s="2304"/>
      <c r="G869" s="2303"/>
      <c r="H869" s="1184"/>
      <c r="I869" s="1060"/>
    </row>
    <row r="870" spans="1:9" ht="12.75" customHeight="1" x14ac:dyDescent="0.2">
      <c r="A870" s="1185" t="s">
        <v>143</v>
      </c>
      <c r="B870" s="2302"/>
      <c r="C870" s="2303"/>
      <c r="D870" s="2302" t="s">
        <v>7720</v>
      </c>
      <c r="E870" s="2304"/>
      <c r="F870" s="2304"/>
      <c r="G870" s="2303"/>
      <c r="H870" s="1184"/>
      <c r="I870" s="1060"/>
    </row>
    <row r="871" spans="1:9" ht="12.75" customHeight="1" x14ac:dyDescent="0.2">
      <c r="A871" s="1185" t="s">
        <v>143</v>
      </c>
      <c r="B871" s="2302"/>
      <c r="C871" s="2303"/>
      <c r="D871" s="2302" t="s">
        <v>7721</v>
      </c>
      <c r="E871" s="2304"/>
      <c r="F871" s="2304"/>
      <c r="G871" s="2303"/>
      <c r="H871" s="1184"/>
      <c r="I871" s="1060"/>
    </row>
    <row r="872" spans="1:9" ht="25.5" customHeight="1" x14ac:dyDescent="0.2">
      <c r="A872" s="1185" t="s">
        <v>143</v>
      </c>
      <c r="B872" s="2302"/>
      <c r="C872" s="2303"/>
      <c r="D872" s="2302" t="s">
        <v>9869</v>
      </c>
      <c r="E872" s="2304"/>
      <c r="F872" s="2304"/>
      <c r="G872" s="2303"/>
      <c r="H872" s="1184"/>
      <c r="I872" s="1060"/>
    </row>
    <row r="873" spans="1:9" ht="12.75" customHeight="1" x14ac:dyDescent="0.2">
      <c r="A873" s="1185" t="s">
        <v>143</v>
      </c>
      <c r="B873" s="2302"/>
      <c r="C873" s="2303"/>
      <c r="D873" s="2302" t="s">
        <v>9870</v>
      </c>
      <c r="E873" s="2304"/>
      <c r="F873" s="2304"/>
      <c r="G873" s="2303"/>
      <c r="H873" s="1184"/>
      <c r="I873" s="1060"/>
    </row>
    <row r="874" spans="1:9" ht="12.75" customHeight="1" x14ac:dyDescent="0.2">
      <c r="A874" s="1185" t="s">
        <v>143</v>
      </c>
      <c r="B874" s="2302"/>
      <c r="C874" s="2303"/>
      <c r="D874" s="2302" t="s">
        <v>9871</v>
      </c>
      <c r="E874" s="2304"/>
      <c r="F874" s="2304"/>
      <c r="G874" s="2303"/>
      <c r="H874" s="1184"/>
      <c r="I874" s="1060"/>
    </row>
    <row r="875" spans="1:9" ht="12.75" customHeight="1" x14ac:dyDescent="0.2">
      <c r="A875" s="1185" t="s">
        <v>143</v>
      </c>
      <c r="B875" s="2302"/>
      <c r="C875" s="2303"/>
      <c r="D875" s="2302" t="s">
        <v>9872</v>
      </c>
      <c r="E875" s="2304"/>
      <c r="F875" s="2304"/>
      <c r="G875" s="2303"/>
      <c r="H875" s="1184"/>
      <c r="I875" s="1060"/>
    </row>
    <row r="876" spans="1:9" ht="25.5" customHeight="1" x14ac:dyDescent="0.2">
      <c r="A876" s="1185" t="s">
        <v>143</v>
      </c>
      <c r="B876" s="2302"/>
      <c r="C876" s="2303"/>
      <c r="D876" s="2302" t="s">
        <v>9873</v>
      </c>
      <c r="E876" s="2304"/>
      <c r="F876" s="2304"/>
      <c r="G876" s="2303"/>
      <c r="H876" s="1184"/>
      <c r="I876" s="1060"/>
    </row>
    <row r="877" spans="1:9" ht="12.75" customHeight="1" x14ac:dyDescent="0.2">
      <c r="A877" s="1185" t="s">
        <v>143</v>
      </c>
      <c r="B877" s="2302"/>
      <c r="C877" s="2303"/>
      <c r="D877" s="2302" t="s">
        <v>9874</v>
      </c>
      <c r="E877" s="2304"/>
      <c r="F877" s="2304"/>
      <c r="G877" s="2303"/>
      <c r="H877" s="1184"/>
      <c r="I877" s="1060"/>
    </row>
    <row r="878" spans="1:9" ht="12.75" customHeight="1" x14ac:dyDescent="0.2">
      <c r="A878" s="1185" t="s">
        <v>143</v>
      </c>
      <c r="B878" s="2302"/>
      <c r="C878" s="2303"/>
      <c r="D878" s="2302" t="s">
        <v>9875</v>
      </c>
      <c r="E878" s="2304"/>
      <c r="F878" s="2304"/>
      <c r="G878" s="2303"/>
      <c r="H878" s="1184"/>
      <c r="I878" s="1060"/>
    </row>
    <row r="879" spans="1:9" ht="25.5" customHeight="1" x14ac:dyDescent="0.2">
      <c r="A879" s="1185" t="s">
        <v>143</v>
      </c>
      <c r="B879" s="2302"/>
      <c r="C879" s="2303"/>
      <c r="D879" s="2302" t="s">
        <v>9876</v>
      </c>
      <c r="E879" s="2304"/>
      <c r="F879" s="2304"/>
      <c r="G879" s="2303"/>
      <c r="H879" s="1184"/>
      <c r="I879" s="1060"/>
    </row>
    <row r="880" spans="1:9" ht="12.75" customHeight="1" x14ac:dyDescent="0.2">
      <c r="A880" s="1185" t="s">
        <v>143</v>
      </c>
      <c r="B880" s="2302"/>
      <c r="C880" s="2303"/>
      <c r="D880" s="2302" t="s">
        <v>7722</v>
      </c>
      <c r="E880" s="2304"/>
      <c r="F880" s="2304"/>
      <c r="G880" s="2303"/>
      <c r="H880" s="1184"/>
      <c r="I880" s="1060"/>
    </row>
    <row r="881" spans="1:9" ht="25.5" customHeight="1" x14ac:dyDescent="0.2">
      <c r="A881" s="1185" t="s">
        <v>143</v>
      </c>
      <c r="B881" s="2302"/>
      <c r="C881" s="2303"/>
      <c r="D881" s="2302" t="s">
        <v>7723</v>
      </c>
      <c r="E881" s="2304"/>
      <c r="F881" s="2304"/>
      <c r="G881" s="2303"/>
      <c r="H881" s="1184"/>
      <c r="I881" s="1060"/>
    </row>
    <row r="882" spans="1:9" ht="25.5" customHeight="1" x14ac:dyDescent="0.2">
      <c r="A882" s="1185" t="s">
        <v>143</v>
      </c>
      <c r="B882" s="2302"/>
      <c r="C882" s="2303"/>
      <c r="D882" s="2302" t="s">
        <v>7724</v>
      </c>
      <c r="E882" s="2304"/>
      <c r="F882" s="2304"/>
      <c r="G882" s="2303"/>
      <c r="H882" s="1184"/>
      <c r="I882" s="1060"/>
    </row>
    <row r="883" spans="1:9" ht="25.5" customHeight="1" x14ac:dyDescent="0.2">
      <c r="A883" s="1185" t="s">
        <v>143</v>
      </c>
      <c r="B883" s="2302"/>
      <c r="C883" s="2303"/>
      <c r="D883" s="2302" t="s">
        <v>7725</v>
      </c>
      <c r="E883" s="2304"/>
      <c r="F883" s="2304"/>
      <c r="G883" s="2303"/>
      <c r="H883" s="1184"/>
      <c r="I883" s="1060"/>
    </row>
    <row r="884" spans="1:9" ht="12.75" customHeight="1" x14ac:dyDescent="0.2">
      <c r="A884" s="1183" t="s">
        <v>143</v>
      </c>
      <c r="B884" s="2320"/>
      <c r="C884" s="2321"/>
      <c r="D884" s="2320" t="s">
        <v>7726</v>
      </c>
      <c r="E884" s="2322"/>
      <c r="F884" s="2322"/>
      <c r="G884" s="2321"/>
      <c r="H884" s="1180"/>
      <c r="I884" s="1063"/>
    </row>
    <row r="885" spans="1:9" ht="119.85" customHeight="1" x14ac:dyDescent="0.2">
      <c r="A885" s="1182" t="s">
        <v>931</v>
      </c>
      <c r="B885" s="2311" t="s">
        <v>7727</v>
      </c>
      <c r="C885" s="2312"/>
      <c r="D885" s="2313" t="s">
        <v>7728</v>
      </c>
      <c r="E885" s="2314"/>
      <c r="F885" s="2314"/>
      <c r="G885" s="2315"/>
      <c r="H885" s="1179" t="s">
        <v>9877</v>
      </c>
      <c r="I885" s="1181">
        <f>ROUND((36610  + 4570  * 12) * 1 * 0.5,0)</f>
        <v>45725</v>
      </c>
    </row>
    <row r="886" spans="1:9" ht="15.75" customHeight="1" x14ac:dyDescent="0.2">
      <c r="A886" s="1185" t="s">
        <v>143</v>
      </c>
      <c r="B886" s="2305"/>
      <c r="C886" s="2306"/>
      <c r="D886" s="2305" t="s">
        <v>572</v>
      </c>
      <c r="E886" s="2307"/>
      <c r="F886" s="2307"/>
      <c r="G886" s="2306"/>
      <c r="H886" s="1057"/>
      <c r="I886" s="1058"/>
    </row>
    <row r="887" spans="1:9" ht="25.5" customHeight="1" x14ac:dyDescent="0.2">
      <c r="A887" s="1185" t="s">
        <v>143</v>
      </c>
      <c r="B887" s="2302"/>
      <c r="C887" s="2303"/>
      <c r="D887" s="2302" t="s">
        <v>7321</v>
      </c>
      <c r="E887" s="2304"/>
      <c r="F887" s="2304"/>
      <c r="G887" s="2303"/>
      <c r="H887" s="1184"/>
      <c r="I887" s="1060"/>
    </row>
    <row r="888" spans="1:9" ht="66.75" customHeight="1" x14ac:dyDescent="0.2">
      <c r="A888" s="1185" t="s">
        <v>143</v>
      </c>
      <c r="B888" s="2305"/>
      <c r="C888" s="2306"/>
      <c r="D888" s="2305" t="s">
        <v>7741</v>
      </c>
      <c r="E888" s="2307"/>
      <c r="F888" s="2307"/>
      <c r="G888" s="2306"/>
      <c r="H888" s="1057"/>
      <c r="I888" s="1058"/>
    </row>
    <row r="889" spans="1:9" ht="12.75" customHeight="1" x14ac:dyDescent="0.2">
      <c r="A889" s="1185" t="s">
        <v>143</v>
      </c>
      <c r="B889" s="2302"/>
      <c r="C889" s="2303"/>
      <c r="D889" s="2302" t="s">
        <v>7729</v>
      </c>
      <c r="E889" s="2304"/>
      <c r="F889" s="2304"/>
      <c r="G889" s="2303"/>
      <c r="H889" s="1184"/>
      <c r="I889" s="1060"/>
    </row>
    <row r="890" spans="1:9" ht="25.5" customHeight="1" x14ac:dyDescent="0.2">
      <c r="A890" s="1185" t="s">
        <v>143</v>
      </c>
      <c r="B890" s="2302"/>
      <c r="C890" s="2303"/>
      <c r="D890" s="2302" t="s">
        <v>7730</v>
      </c>
      <c r="E890" s="2304"/>
      <c r="F890" s="2304"/>
      <c r="G890" s="2303"/>
      <c r="H890" s="1184"/>
      <c r="I890" s="1060"/>
    </row>
    <row r="891" spans="1:9" ht="12.75" customHeight="1" x14ac:dyDescent="0.2">
      <c r="A891" s="1185" t="s">
        <v>143</v>
      </c>
      <c r="B891" s="2302"/>
      <c r="C891" s="2303"/>
      <c r="D891" s="2302" t="s">
        <v>7731</v>
      </c>
      <c r="E891" s="2304"/>
      <c r="F891" s="2304"/>
      <c r="G891" s="2303"/>
      <c r="H891" s="1184"/>
      <c r="I891" s="1060"/>
    </row>
    <row r="892" spans="1:9" ht="12.75" customHeight="1" x14ac:dyDescent="0.2">
      <c r="A892" s="1185" t="s">
        <v>143</v>
      </c>
      <c r="B892" s="2302"/>
      <c r="C892" s="2303"/>
      <c r="D892" s="2302" t="s">
        <v>7732</v>
      </c>
      <c r="E892" s="2304"/>
      <c r="F892" s="2304"/>
      <c r="G892" s="2303"/>
      <c r="H892" s="1184"/>
      <c r="I892" s="1060"/>
    </row>
    <row r="893" spans="1:9" ht="25.5" customHeight="1" x14ac:dyDescent="0.2">
      <c r="A893" s="1185" t="s">
        <v>143</v>
      </c>
      <c r="B893" s="2302"/>
      <c r="C893" s="2303"/>
      <c r="D893" s="2302" t="s">
        <v>9878</v>
      </c>
      <c r="E893" s="2304"/>
      <c r="F893" s="2304"/>
      <c r="G893" s="2303"/>
      <c r="H893" s="1184"/>
      <c r="I893" s="1060"/>
    </row>
    <row r="894" spans="1:9" ht="12.75" customHeight="1" x14ac:dyDescent="0.2">
      <c r="A894" s="1185" t="s">
        <v>143</v>
      </c>
      <c r="B894" s="2302"/>
      <c r="C894" s="2303"/>
      <c r="D894" s="2302" t="s">
        <v>9879</v>
      </c>
      <c r="E894" s="2304"/>
      <c r="F894" s="2304"/>
      <c r="G894" s="2303"/>
      <c r="H894" s="1184"/>
      <c r="I894" s="1060"/>
    </row>
    <row r="895" spans="1:9" ht="12.75" customHeight="1" x14ac:dyDescent="0.2">
      <c r="A895" s="1185" t="s">
        <v>143</v>
      </c>
      <c r="B895" s="2302"/>
      <c r="C895" s="2303"/>
      <c r="D895" s="2302" t="s">
        <v>9880</v>
      </c>
      <c r="E895" s="2304"/>
      <c r="F895" s="2304"/>
      <c r="G895" s="2303"/>
      <c r="H895" s="1184"/>
      <c r="I895" s="1060"/>
    </row>
    <row r="896" spans="1:9" ht="12.75" customHeight="1" x14ac:dyDescent="0.2">
      <c r="A896" s="1185" t="s">
        <v>143</v>
      </c>
      <c r="B896" s="2302"/>
      <c r="C896" s="2303"/>
      <c r="D896" s="2302" t="s">
        <v>9881</v>
      </c>
      <c r="E896" s="2304"/>
      <c r="F896" s="2304"/>
      <c r="G896" s="2303"/>
      <c r="H896" s="1184"/>
      <c r="I896" s="1060"/>
    </row>
    <row r="897" spans="1:9" ht="25.5" customHeight="1" x14ac:dyDescent="0.2">
      <c r="A897" s="1185" t="s">
        <v>143</v>
      </c>
      <c r="B897" s="2302"/>
      <c r="C897" s="2303"/>
      <c r="D897" s="2302" t="s">
        <v>9882</v>
      </c>
      <c r="E897" s="2304"/>
      <c r="F897" s="2304"/>
      <c r="G897" s="2303"/>
      <c r="H897" s="1184"/>
      <c r="I897" s="1060"/>
    </row>
    <row r="898" spans="1:9" ht="12.75" customHeight="1" x14ac:dyDescent="0.2">
      <c r="A898" s="1185" t="s">
        <v>143</v>
      </c>
      <c r="B898" s="2302"/>
      <c r="C898" s="2303"/>
      <c r="D898" s="2302" t="s">
        <v>9883</v>
      </c>
      <c r="E898" s="2304"/>
      <c r="F898" s="2304"/>
      <c r="G898" s="2303"/>
      <c r="H898" s="1184"/>
      <c r="I898" s="1060"/>
    </row>
    <row r="899" spans="1:9" ht="12.75" customHeight="1" x14ac:dyDescent="0.2">
      <c r="A899" s="1185" t="s">
        <v>143</v>
      </c>
      <c r="B899" s="2302"/>
      <c r="C899" s="2303"/>
      <c r="D899" s="2302" t="s">
        <v>9884</v>
      </c>
      <c r="E899" s="2304"/>
      <c r="F899" s="2304"/>
      <c r="G899" s="2303"/>
      <c r="H899" s="1184"/>
      <c r="I899" s="1060"/>
    </row>
    <row r="900" spans="1:9" ht="25.5" customHeight="1" x14ac:dyDescent="0.2">
      <c r="A900" s="1185" t="s">
        <v>143</v>
      </c>
      <c r="B900" s="2302"/>
      <c r="C900" s="2303"/>
      <c r="D900" s="2302" t="s">
        <v>9885</v>
      </c>
      <c r="E900" s="2304"/>
      <c r="F900" s="2304"/>
      <c r="G900" s="2303"/>
      <c r="H900" s="1184"/>
      <c r="I900" s="1060"/>
    </row>
    <row r="901" spans="1:9" ht="12.75" customHeight="1" x14ac:dyDescent="0.2">
      <c r="A901" s="1185" t="s">
        <v>143</v>
      </c>
      <c r="B901" s="2302"/>
      <c r="C901" s="2303"/>
      <c r="D901" s="2302" t="s">
        <v>7733</v>
      </c>
      <c r="E901" s="2304"/>
      <c r="F901" s="2304"/>
      <c r="G901" s="2303"/>
      <c r="H901" s="1184"/>
      <c r="I901" s="1060"/>
    </row>
    <row r="902" spans="1:9" ht="25.5" customHeight="1" x14ac:dyDescent="0.2">
      <c r="A902" s="1185" t="s">
        <v>143</v>
      </c>
      <c r="B902" s="2302"/>
      <c r="C902" s="2303"/>
      <c r="D902" s="2302" t="s">
        <v>7734</v>
      </c>
      <c r="E902" s="2304"/>
      <c r="F902" s="2304"/>
      <c r="G902" s="2303"/>
      <c r="H902" s="1184"/>
      <c r="I902" s="1060"/>
    </row>
    <row r="903" spans="1:9" ht="25.5" customHeight="1" x14ac:dyDescent="0.2">
      <c r="A903" s="1185" t="s">
        <v>143</v>
      </c>
      <c r="B903" s="2302"/>
      <c r="C903" s="2303"/>
      <c r="D903" s="2302" t="s">
        <v>7735</v>
      </c>
      <c r="E903" s="2304"/>
      <c r="F903" s="2304"/>
      <c r="G903" s="2303"/>
      <c r="H903" s="1184"/>
      <c r="I903" s="1060"/>
    </row>
    <row r="904" spans="1:9" ht="25.5" customHeight="1" x14ac:dyDescent="0.2">
      <c r="A904" s="1185" t="s">
        <v>143</v>
      </c>
      <c r="B904" s="2302"/>
      <c r="C904" s="2303"/>
      <c r="D904" s="2302" t="s">
        <v>7736</v>
      </c>
      <c r="E904" s="2304"/>
      <c r="F904" s="2304"/>
      <c r="G904" s="2303"/>
      <c r="H904" s="1184"/>
      <c r="I904" s="1060"/>
    </row>
    <row r="905" spans="1:9" ht="12.75" customHeight="1" x14ac:dyDescent="0.2">
      <c r="A905" s="1183" t="s">
        <v>143</v>
      </c>
      <c r="B905" s="2320"/>
      <c r="C905" s="2321"/>
      <c r="D905" s="2320" t="s">
        <v>7737</v>
      </c>
      <c r="E905" s="2322"/>
      <c r="F905" s="2322"/>
      <c r="G905" s="2321"/>
      <c r="H905" s="1180"/>
      <c r="I905" s="1063"/>
    </row>
    <row r="906" spans="1:9" ht="94.5" customHeight="1" x14ac:dyDescent="0.2">
      <c r="A906" s="1182" t="s">
        <v>465</v>
      </c>
      <c r="B906" s="2311" t="s">
        <v>7738</v>
      </c>
      <c r="C906" s="2312"/>
      <c r="D906" s="2313" t="s">
        <v>7739</v>
      </c>
      <c r="E906" s="2314"/>
      <c r="F906" s="2314"/>
      <c r="G906" s="2315"/>
      <c r="H906" s="1179" t="s">
        <v>9886</v>
      </c>
      <c r="I906" s="1181">
        <f>ROUND(2400  * 1 * 0.5 * 1.2 * 0.47,0)</f>
        <v>677</v>
      </c>
    </row>
    <row r="907" spans="1:9" ht="15.75" customHeight="1" x14ac:dyDescent="0.2">
      <c r="A907" s="1185" t="s">
        <v>143</v>
      </c>
      <c r="B907" s="2305"/>
      <c r="C907" s="2306"/>
      <c r="D907" s="2305" t="s">
        <v>572</v>
      </c>
      <c r="E907" s="2307"/>
      <c r="F907" s="2307"/>
      <c r="G907" s="2306"/>
      <c r="H907" s="1057"/>
      <c r="I907" s="1058"/>
    </row>
    <row r="908" spans="1:9" ht="25.5" customHeight="1" x14ac:dyDescent="0.2">
      <c r="A908" s="1185" t="s">
        <v>143</v>
      </c>
      <c r="B908" s="2302"/>
      <c r="C908" s="2303"/>
      <c r="D908" s="2302" t="s">
        <v>7321</v>
      </c>
      <c r="E908" s="2304"/>
      <c r="F908" s="2304"/>
      <c r="G908" s="2303"/>
      <c r="H908" s="1184"/>
      <c r="I908" s="1060"/>
    </row>
    <row r="909" spans="1:9" ht="153" customHeight="1" x14ac:dyDescent="0.2">
      <c r="A909" s="1185" t="s">
        <v>143</v>
      </c>
      <c r="B909" s="2302"/>
      <c r="C909" s="2303"/>
      <c r="D909" s="2302" t="s">
        <v>7334</v>
      </c>
      <c r="E909" s="2304"/>
      <c r="F909" s="2304"/>
      <c r="G909" s="2303"/>
      <c r="H909" s="1184"/>
      <c r="I909" s="1060"/>
    </row>
    <row r="910" spans="1:9" ht="41.25" customHeight="1" x14ac:dyDescent="0.2">
      <c r="A910" s="1185" t="s">
        <v>143</v>
      </c>
      <c r="B910" s="2305"/>
      <c r="C910" s="2306"/>
      <c r="D910" s="2305" t="s">
        <v>9887</v>
      </c>
      <c r="E910" s="2307"/>
      <c r="F910" s="2307"/>
      <c r="G910" s="2306"/>
      <c r="H910" s="1057"/>
      <c r="I910" s="1058"/>
    </row>
    <row r="911" spans="1:9" ht="25.5" customHeight="1" x14ac:dyDescent="0.2">
      <c r="A911" s="1185" t="s">
        <v>143</v>
      </c>
      <c r="B911" s="2302"/>
      <c r="C911" s="2303"/>
      <c r="D911" s="2302" t="s">
        <v>9888</v>
      </c>
      <c r="E911" s="2304"/>
      <c r="F911" s="2304"/>
      <c r="G911" s="2303"/>
      <c r="H911" s="1184"/>
      <c r="I911" s="1060"/>
    </row>
    <row r="912" spans="1:9" ht="12.75" customHeight="1" x14ac:dyDescent="0.2">
      <c r="A912" s="1185" t="s">
        <v>143</v>
      </c>
      <c r="B912" s="2302"/>
      <c r="C912" s="2303"/>
      <c r="D912" s="2302" t="s">
        <v>9889</v>
      </c>
      <c r="E912" s="2304"/>
      <c r="F912" s="2304"/>
      <c r="G912" s="2303"/>
      <c r="H912" s="1184"/>
      <c r="I912" s="1060"/>
    </row>
    <row r="913" spans="1:9" ht="25.5" customHeight="1" x14ac:dyDescent="0.2">
      <c r="A913" s="1185" t="s">
        <v>143</v>
      </c>
      <c r="B913" s="2302"/>
      <c r="C913" s="2303"/>
      <c r="D913" s="2302" t="s">
        <v>9890</v>
      </c>
      <c r="E913" s="2304"/>
      <c r="F913" s="2304"/>
      <c r="G913" s="2303"/>
      <c r="H913" s="1184"/>
      <c r="I913" s="1060"/>
    </row>
    <row r="914" spans="1:9" ht="12.75" customHeight="1" x14ac:dyDescent="0.2">
      <c r="A914" s="1185" t="s">
        <v>143</v>
      </c>
      <c r="B914" s="2302"/>
      <c r="C914" s="2303"/>
      <c r="D914" s="2302" t="s">
        <v>9891</v>
      </c>
      <c r="E914" s="2304"/>
      <c r="F914" s="2304"/>
      <c r="G914" s="2303"/>
      <c r="H914" s="1184"/>
      <c r="I914" s="1060"/>
    </row>
    <row r="915" spans="1:9" ht="25.5" customHeight="1" x14ac:dyDescent="0.2">
      <c r="A915" s="1185" t="s">
        <v>143</v>
      </c>
      <c r="B915" s="2302"/>
      <c r="C915" s="2303"/>
      <c r="D915" s="2302" t="s">
        <v>9892</v>
      </c>
      <c r="E915" s="2304"/>
      <c r="F915" s="2304"/>
      <c r="G915" s="2303"/>
      <c r="H915" s="1184"/>
      <c r="I915" s="1060"/>
    </row>
    <row r="916" spans="1:9" ht="12.75" customHeight="1" x14ac:dyDescent="0.2">
      <c r="A916" s="1185" t="s">
        <v>143</v>
      </c>
      <c r="B916" s="2302"/>
      <c r="C916" s="2303"/>
      <c r="D916" s="2302" t="s">
        <v>9893</v>
      </c>
      <c r="E916" s="2304"/>
      <c r="F916" s="2304"/>
      <c r="G916" s="2303"/>
      <c r="H916" s="1184"/>
      <c r="I916" s="1060"/>
    </row>
    <row r="917" spans="1:9" ht="12.75" customHeight="1" x14ac:dyDescent="0.2">
      <c r="A917" s="1185" t="s">
        <v>143</v>
      </c>
      <c r="B917" s="2302"/>
      <c r="C917" s="2303"/>
      <c r="D917" s="2302" t="s">
        <v>9894</v>
      </c>
      <c r="E917" s="2304"/>
      <c r="F917" s="2304"/>
      <c r="G917" s="2303"/>
      <c r="H917" s="1184"/>
      <c r="I917" s="1060"/>
    </row>
    <row r="918" spans="1:9" ht="12.75" customHeight="1" x14ac:dyDescent="0.2">
      <c r="A918" s="1183" t="s">
        <v>143</v>
      </c>
      <c r="B918" s="2320"/>
      <c r="C918" s="2321"/>
      <c r="D918" s="2320" t="s">
        <v>9895</v>
      </c>
      <c r="E918" s="2322"/>
      <c r="F918" s="2322"/>
      <c r="G918" s="2321"/>
      <c r="H918" s="1180"/>
      <c r="I918" s="1063"/>
    </row>
    <row r="919" spans="1:9" ht="107.25" customHeight="1" x14ac:dyDescent="0.2">
      <c r="A919" s="1182" t="s">
        <v>782</v>
      </c>
      <c r="B919" s="2311" t="s">
        <v>7742</v>
      </c>
      <c r="C919" s="2312"/>
      <c r="D919" s="2313" t="s">
        <v>7743</v>
      </c>
      <c r="E919" s="2314"/>
      <c r="F919" s="2314"/>
      <c r="G919" s="2315"/>
      <c r="H919" s="1179" t="s">
        <v>7744</v>
      </c>
      <c r="I919" s="1181">
        <f>ROUND((34200  + 790  * 31) * 1 * 0.5,0)</f>
        <v>29345</v>
      </c>
    </row>
    <row r="920" spans="1:9" ht="15.75" customHeight="1" x14ac:dyDescent="0.2">
      <c r="A920" s="1185" t="s">
        <v>143</v>
      </c>
      <c r="B920" s="2305"/>
      <c r="C920" s="2306"/>
      <c r="D920" s="2305" t="s">
        <v>572</v>
      </c>
      <c r="E920" s="2307"/>
      <c r="F920" s="2307"/>
      <c r="G920" s="2306"/>
      <c r="H920" s="1057"/>
      <c r="I920" s="1058"/>
    </row>
    <row r="921" spans="1:9" ht="25.5" customHeight="1" x14ac:dyDescent="0.2">
      <c r="A921" s="1185" t="s">
        <v>143</v>
      </c>
      <c r="B921" s="2302"/>
      <c r="C921" s="2303"/>
      <c r="D921" s="2302" t="s">
        <v>7321</v>
      </c>
      <c r="E921" s="2304"/>
      <c r="F921" s="2304"/>
      <c r="G921" s="2303"/>
      <c r="H921" s="1184"/>
      <c r="I921" s="1060"/>
    </row>
    <row r="922" spans="1:9" ht="66.75" customHeight="1" x14ac:dyDescent="0.2">
      <c r="A922" s="1185" t="s">
        <v>143</v>
      </c>
      <c r="B922" s="2305"/>
      <c r="C922" s="2306"/>
      <c r="D922" s="2305" t="s">
        <v>7745</v>
      </c>
      <c r="E922" s="2307"/>
      <c r="F922" s="2307"/>
      <c r="G922" s="2306"/>
      <c r="H922" s="1057"/>
      <c r="I922" s="1058"/>
    </row>
    <row r="923" spans="1:9" ht="12.75" customHeight="1" x14ac:dyDescent="0.2">
      <c r="A923" s="1185" t="s">
        <v>143</v>
      </c>
      <c r="B923" s="2302"/>
      <c r="C923" s="2303"/>
      <c r="D923" s="2302" t="s">
        <v>7746</v>
      </c>
      <c r="E923" s="2304"/>
      <c r="F923" s="2304"/>
      <c r="G923" s="2303"/>
      <c r="H923" s="1184"/>
      <c r="I923" s="1060"/>
    </row>
    <row r="924" spans="1:9" ht="12.75" customHeight="1" x14ac:dyDescent="0.2">
      <c r="A924" s="1185" t="s">
        <v>143</v>
      </c>
      <c r="B924" s="2302"/>
      <c r="C924" s="2303"/>
      <c r="D924" s="2302" t="s">
        <v>7747</v>
      </c>
      <c r="E924" s="2304"/>
      <c r="F924" s="2304"/>
      <c r="G924" s="2303"/>
      <c r="H924" s="1184"/>
      <c r="I924" s="1060"/>
    </row>
    <row r="925" spans="1:9" ht="25.5" customHeight="1" x14ac:dyDescent="0.2">
      <c r="A925" s="1185" t="s">
        <v>143</v>
      </c>
      <c r="B925" s="2302"/>
      <c r="C925" s="2303"/>
      <c r="D925" s="2302" t="s">
        <v>7748</v>
      </c>
      <c r="E925" s="2304"/>
      <c r="F925" s="2304"/>
      <c r="G925" s="2303"/>
      <c r="H925" s="1184"/>
      <c r="I925" s="1060"/>
    </row>
    <row r="926" spans="1:9" ht="25.5" customHeight="1" x14ac:dyDescent="0.2">
      <c r="A926" s="1185" t="s">
        <v>143</v>
      </c>
      <c r="B926" s="2302"/>
      <c r="C926" s="2303"/>
      <c r="D926" s="2302" t="s">
        <v>7749</v>
      </c>
      <c r="E926" s="2304"/>
      <c r="F926" s="2304"/>
      <c r="G926" s="2303"/>
      <c r="H926" s="1184"/>
      <c r="I926" s="1060"/>
    </row>
    <row r="927" spans="1:9" ht="25.5" customHeight="1" x14ac:dyDescent="0.2">
      <c r="A927" s="1185" t="s">
        <v>143</v>
      </c>
      <c r="B927" s="2302"/>
      <c r="C927" s="2303"/>
      <c r="D927" s="2302" t="s">
        <v>7750</v>
      </c>
      <c r="E927" s="2304"/>
      <c r="F927" s="2304"/>
      <c r="G927" s="2303"/>
      <c r="H927" s="1184"/>
      <c r="I927" s="1060"/>
    </row>
    <row r="928" spans="1:9" ht="12.75" customHeight="1" x14ac:dyDescent="0.2">
      <c r="A928" s="1185" t="s">
        <v>143</v>
      </c>
      <c r="B928" s="2302"/>
      <c r="C928" s="2303"/>
      <c r="D928" s="2302" t="s">
        <v>7751</v>
      </c>
      <c r="E928" s="2304"/>
      <c r="F928" s="2304"/>
      <c r="G928" s="2303"/>
      <c r="H928" s="1184"/>
      <c r="I928" s="1060"/>
    </row>
    <row r="929" spans="1:9" ht="12.75" customHeight="1" x14ac:dyDescent="0.2">
      <c r="A929" s="1185" t="s">
        <v>143</v>
      </c>
      <c r="B929" s="2302"/>
      <c r="C929" s="2303"/>
      <c r="D929" s="2302" t="s">
        <v>7752</v>
      </c>
      <c r="E929" s="2304"/>
      <c r="F929" s="2304"/>
      <c r="G929" s="2303"/>
      <c r="H929" s="1184"/>
      <c r="I929" s="1060"/>
    </row>
    <row r="930" spans="1:9" ht="12.75" customHeight="1" x14ac:dyDescent="0.2">
      <c r="A930" s="1185" t="s">
        <v>143</v>
      </c>
      <c r="B930" s="2302"/>
      <c r="C930" s="2303"/>
      <c r="D930" s="2302" t="s">
        <v>7753</v>
      </c>
      <c r="E930" s="2304"/>
      <c r="F930" s="2304"/>
      <c r="G930" s="2303"/>
      <c r="H930" s="1184"/>
      <c r="I930" s="1060"/>
    </row>
    <row r="931" spans="1:9" ht="25.5" customHeight="1" x14ac:dyDescent="0.2">
      <c r="A931" s="1185" t="s">
        <v>143</v>
      </c>
      <c r="B931" s="2302"/>
      <c r="C931" s="2303"/>
      <c r="D931" s="2302" t="s">
        <v>7754</v>
      </c>
      <c r="E931" s="2304"/>
      <c r="F931" s="2304"/>
      <c r="G931" s="2303"/>
      <c r="H931" s="1184"/>
      <c r="I931" s="1060"/>
    </row>
    <row r="932" spans="1:9" ht="25.5" customHeight="1" x14ac:dyDescent="0.2">
      <c r="A932" s="1185" t="s">
        <v>143</v>
      </c>
      <c r="B932" s="2302"/>
      <c r="C932" s="2303"/>
      <c r="D932" s="2302" t="s">
        <v>7755</v>
      </c>
      <c r="E932" s="2304"/>
      <c r="F932" s="2304"/>
      <c r="G932" s="2303"/>
      <c r="H932" s="1184"/>
      <c r="I932" s="1060"/>
    </row>
    <row r="933" spans="1:9" ht="25.5" customHeight="1" x14ac:dyDescent="0.2">
      <c r="A933" s="1185" t="s">
        <v>143</v>
      </c>
      <c r="B933" s="2302"/>
      <c r="C933" s="2303"/>
      <c r="D933" s="2302" t="s">
        <v>7756</v>
      </c>
      <c r="E933" s="2304"/>
      <c r="F933" s="2304"/>
      <c r="G933" s="2303"/>
      <c r="H933" s="1184"/>
      <c r="I933" s="1060"/>
    </row>
    <row r="934" spans="1:9" ht="12.75" customHeight="1" x14ac:dyDescent="0.2">
      <c r="A934" s="1185" t="s">
        <v>143</v>
      </c>
      <c r="B934" s="2302"/>
      <c r="C934" s="2303"/>
      <c r="D934" s="2302" t="s">
        <v>7757</v>
      </c>
      <c r="E934" s="2304"/>
      <c r="F934" s="2304"/>
      <c r="G934" s="2303"/>
      <c r="H934" s="1184"/>
      <c r="I934" s="1060"/>
    </row>
    <row r="935" spans="1:9" ht="25.5" customHeight="1" x14ac:dyDescent="0.2">
      <c r="A935" s="1185" t="s">
        <v>143</v>
      </c>
      <c r="B935" s="2302"/>
      <c r="C935" s="2303"/>
      <c r="D935" s="2302" t="s">
        <v>7758</v>
      </c>
      <c r="E935" s="2304"/>
      <c r="F935" s="2304"/>
      <c r="G935" s="2303"/>
      <c r="H935" s="1184"/>
      <c r="I935" s="1060"/>
    </row>
    <row r="936" spans="1:9" ht="25.5" customHeight="1" x14ac:dyDescent="0.2">
      <c r="A936" s="1185" t="s">
        <v>143</v>
      </c>
      <c r="B936" s="2302"/>
      <c r="C936" s="2303"/>
      <c r="D936" s="2302" t="s">
        <v>7759</v>
      </c>
      <c r="E936" s="2304"/>
      <c r="F936" s="2304"/>
      <c r="G936" s="2303"/>
      <c r="H936" s="1184"/>
      <c r="I936" s="1060"/>
    </row>
    <row r="937" spans="1:9" ht="25.5" customHeight="1" x14ac:dyDescent="0.2">
      <c r="A937" s="1185" t="s">
        <v>143</v>
      </c>
      <c r="B937" s="2302"/>
      <c r="C937" s="2303"/>
      <c r="D937" s="2302" t="s">
        <v>7760</v>
      </c>
      <c r="E937" s="2304"/>
      <c r="F937" s="2304"/>
      <c r="G937" s="2303"/>
      <c r="H937" s="1184"/>
      <c r="I937" s="1060"/>
    </row>
    <row r="938" spans="1:9" ht="12.75" customHeight="1" x14ac:dyDescent="0.2">
      <c r="A938" s="1183" t="s">
        <v>143</v>
      </c>
      <c r="B938" s="2320"/>
      <c r="C938" s="2321"/>
      <c r="D938" s="2320" t="s">
        <v>7761</v>
      </c>
      <c r="E938" s="2322"/>
      <c r="F938" s="2322"/>
      <c r="G938" s="2321"/>
      <c r="H938" s="1180"/>
      <c r="I938" s="1063"/>
    </row>
    <row r="939" spans="1:9" ht="12.75" customHeight="1" x14ac:dyDescent="0.2">
      <c r="A939" s="1064" t="s">
        <v>501</v>
      </c>
      <c r="B939" s="2348" t="s">
        <v>588</v>
      </c>
      <c r="C939" s="2349"/>
      <c r="D939" s="2348"/>
      <c r="E939" s="2350"/>
      <c r="F939" s="2350"/>
      <c r="G939" s="2349"/>
      <c r="H939" s="1065"/>
      <c r="I939" s="1066">
        <f>ROUND((SUM($I$15:$I$919)),0)</f>
        <v>2189325</v>
      </c>
    </row>
    <row r="940" spans="1:9" ht="140.25" customHeight="1" x14ac:dyDescent="0.2">
      <c r="A940" s="2326" t="s">
        <v>784</v>
      </c>
      <c r="B940" s="2313" t="s">
        <v>7762</v>
      </c>
      <c r="C940" s="2315"/>
      <c r="D940" s="2313" t="s">
        <v>7763</v>
      </c>
      <c r="E940" s="2314"/>
      <c r="F940" s="2314"/>
      <c r="G940" s="2315"/>
      <c r="H940" s="2328" t="s">
        <v>7766</v>
      </c>
      <c r="I940" s="2330">
        <f>ROUND(($I$939) * 0.04 * 1,0)</f>
        <v>87573</v>
      </c>
    </row>
    <row r="941" spans="1:9" ht="12.75" customHeight="1" x14ac:dyDescent="0.2">
      <c r="A941" s="2351"/>
      <c r="B941" s="2320"/>
      <c r="C941" s="2321"/>
      <c r="D941" s="2320"/>
      <c r="E941" s="2322"/>
      <c r="F941" s="2322"/>
      <c r="G941" s="2321"/>
      <c r="H941" s="2345"/>
      <c r="I941" s="2346"/>
    </row>
    <row r="942" spans="1:9" ht="76.7" customHeight="1" x14ac:dyDescent="0.2">
      <c r="A942" s="1064" t="s">
        <v>1679</v>
      </c>
      <c r="B942" s="2342" t="s">
        <v>7764</v>
      </c>
      <c r="C942" s="2343"/>
      <c r="D942" s="2342" t="s">
        <v>7765</v>
      </c>
      <c r="E942" s="2347"/>
      <c r="F942" s="2347"/>
      <c r="G942" s="2343"/>
      <c r="H942" s="1186" t="s">
        <v>7766</v>
      </c>
      <c r="I942" s="1068">
        <f>ROUND(($I$939) * 0.04 * 1,0)</f>
        <v>87573</v>
      </c>
    </row>
    <row r="943" spans="1:9" ht="12.75" customHeight="1" x14ac:dyDescent="0.2">
      <c r="A943" s="1064" t="s">
        <v>786</v>
      </c>
      <c r="B943" s="2348" t="s">
        <v>592</v>
      </c>
      <c r="C943" s="2349"/>
      <c r="D943" s="2348"/>
      <c r="E943" s="2350"/>
      <c r="F943" s="2350"/>
      <c r="G943" s="2349"/>
      <c r="H943" s="1065" t="s">
        <v>7767</v>
      </c>
      <c r="I943" s="1066">
        <f>ROUND((SUM($I$939:$I$942)),0)</f>
        <v>2364471</v>
      </c>
    </row>
    <row r="944" spans="1:9" ht="109.35" customHeight="1" x14ac:dyDescent="0.2">
      <c r="A944" s="1064" t="s">
        <v>143</v>
      </c>
      <c r="B944" s="2339" t="s">
        <v>9896</v>
      </c>
      <c r="C944" s="2340"/>
      <c r="D944" s="2339" t="s">
        <v>9897</v>
      </c>
      <c r="E944" s="2341"/>
      <c r="F944" s="2341"/>
      <c r="G944" s="2340"/>
      <c r="H944" s="1069" t="s">
        <v>9898</v>
      </c>
      <c r="I944" s="1070">
        <f>I943/1.19</f>
        <v>1986950</v>
      </c>
    </row>
    <row r="945" spans="1:9" ht="60.95" customHeight="1" x14ac:dyDescent="0.2">
      <c r="A945" s="1071"/>
      <c r="B945" s="2342" t="s">
        <v>9538</v>
      </c>
      <c r="C945" s="2343"/>
      <c r="D945" s="2344" t="s">
        <v>5974</v>
      </c>
      <c r="E945" s="2344"/>
      <c r="F945" s="2344"/>
      <c r="G945" s="2344"/>
      <c r="H945" s="1069" t="s">
        <v>6389</v>
      </c>
      <c r="I945" s="1070">
        <f>I943*4.59</f>
        <v>10852922</v>
      </c>
    </row>
    <row r="946" spans="1:9" ht="38.25" hidden="1" customHeight="1" x14ac:dyDescent="0.2">
      <c r="A946" s="1072"/>
      <c r="B946" s="1073"/>
      <c r="C946" s="1073"/>
      <c r="D946" s="1073"/>
      <c r="E946" s="1073"/>
      <c r="F946" s="1073"/>
      <c r="G946" s="1073"/>
      <c r="H946" s="1073"/>
      <c r="I946" s="1074"/>
    </row>
    <row r="947" spans="1:9" ht="12.75" customHeight="1" x14ac:dyDescent="0.2">
      <c r="A947" s="1075"/>
      <c r="B947" s="1075"/>
      <c r="C947" s="1075"/>
      <c r="D947" s="1075"/>
      <c r="E947" s="1075"/>
      <c r="F947" s="1075"/>
      <c r="G947" s="1075"/>
      <c r="H947" s="1075"/>
      <c r="I947" s="1075"/>
    </row>
    <row r="948" spans="1:9" s="1076" customFormat="1" ht="24.95" hidden="1" customHeight="1" x14ac:dyDescent="0.2">
      <c r="A948" s="2304" t="s">
        <v>593</v>
      </c>
      <c r="B948" s="2304"/>
      <c r="C948" s="2304"/>
      <c r="D948" s="2304" t="e">
        <f ca="1">convertNumToStr($I$943,1,0)</f>
        <v>#NAME?</v>
      </c>
      <c r="E948" s="2304"/>
      <c r="F948" s="2304"/>
      <c r="G948" s="2304"/>
      <c r="H948" s="2304"/>
      <c r="I948" s="2304"/>
    </row>
    <row r="949" spans="1:9" ht="12.75" customHeight="1" x14ac:dyDescent="0.2">
      <c r="A949" s="1176"/>
      <c r="B949" s="1176"/>
      <c r="C949" s="1176"/>
      <c r="D949" s="1178"/>
      <c r="E949" s="1176"/>
      <c r="F949" s="1176"/>
      <c r="G949" s="1176"/>
      <c r="H949" s="1176"/>
      <c r="I949" s="1176"/>
    </row>
    <row r="950" spans="1:9" x14ac:dyDescent="0.2">
      <c r="A950" s="2337" t="s">
        <v>149</v>
      </c>
      <c r="B950" s="2337"/>
      <c r="C950" s="2337"/>
      <c r="D950" s="2337"/>
      <c r="E950" s="2337"/>
      <c r="F950" s="2337"/>
      <c r="G950" s="2337"/>
      <c r="H950" s="2337"/>
      <c r="I950" s="2337"/>
    </row>
    <row r="951" spans="1:9" x14ac:dyDescent="0.2">
      <c r="A951" s="2337"/>
      <c r="B951" s="2337"/>
      <c r="C951" s="2337"/>
      <c r="D951" s="2337"/>
      <c r="E951" s="2337"/>
      <c r="F951" s="2337"/>
      <c r="G951" s="2337"/>
      <c r="H951" s="2337"/>
      <c r="I951" s="2337"/>
    </row>
    <row r="952" spans="1:9" s="1046" customFormat="1" ht="12.75" customHeight="1" x14ac:dyDescent="0.2">
      <c r="A952" s="2337" t="s">
        <v>7768</v>
      </c>
      <c r="B952" s="2337"/>
      <c r="C952" s="2337"/>
      <c r="D952" s="2337"/>
      <c r="E952" s="2337"/>
      <c r="F952" s="2337"/>
      <c r="G952" s="2337"/>
      <c r="H952" s="2337"/>
      <c r="I952" s="2337"/>
    </row>
    <row r="953" spans="1:9" s="1177" customFormat="1" ht="12.75" customHeight="1" x14ac:dyDescent="0.2">
      <c r="A953" s="2338"/>
      <c r="B953" s="2338"/>
      <c r="C953" s="2338"/>
      <c r="D953" s="2338"/>
      <c r="E953" s="2338"/>
      <c r="F953" s="2338"/>
      <c r="G953" s="2338"/>
      <c r="H953" s="2338"/>
      <c r="I953" s="2338"/>
    </row>
  </sheetData>
  <mergeCells count="1890">
    <mergeCell ref="A950:I950"/>
    <mergeCell ref="A951:I951"/>
    <mergeCell ref="A952:I952"/>
    <mergeCell ref="A953:I953"/>
    <mergeCell ref="B944:C944"/>
    <mergeCell ref="D944:G944"/>
    <mergeCell ref="B945:C945"/>
    <mergeCell ref="D945:G945"/>
    <mergeCell ref="A948:C948"/>
    <mergeCell ref="D948:I948"/>
    <mergeCell ref="H940:H941"/>
    <mergeCell ref="I940:I941"/>
    <mergeCell ref="B942:C942"/>
    <mergeCell ref="D942:G942"/>
    <mergeCell ref="B943:C943"/>
    <mergeCell ref="D943:G943"/>
    <mergeCell ref="B938:C938"/>
    <mergeCell ref="D938:G938"/>
    <mergeCell ref="B939:C939"/>
    <mergeCell ref="D939:G939"/>
    <mergeCell ref="A940:A941"/>
    <mergeCell ref="B940:C941"/>
    <mergeCell ref="D940:G941"/>
    <mergeCell ref="B935:C935"/>
    <mergeCell ref="D935:G935"/>
    <mergeCell ref="B936:C936"/>
    <mergeCell ref="D936:G936"/>
    <mergeCell ref="B937:C937"/>
    <mergeCell ref="D937:G937"/>
    <mergeCell ref="B932:C932"/>
    <mergeCell ref="D932:G932"/>
    <mergeCell ref="B933:C933"/>
    <mergeCell ref="D933:G933"/>
    <mergeCell ref="B934:C934"/>
    <mergeCell ref="D934:G934"/>
    <mergeCell ref="B929:C929"/>
    <mergeCell ref="D929:G929"/>
    <mergeCell ref="B930:C930"/>
    <mergeCell ref="D930:G930"/>
    <mergeCell ref="B931:C931"/>
    <mergeCell ref="D931:G931"/>
    <mergeCell ref="B926:C926"/>
    <mergeCell ref="D926:G926"/>
    <mergeCell ref="B927:C927"/>
    <mergeCell ref="D927:G927"/>
    <mergeCell ref="B928:C928"/>
    <mergeCell ref="D928:G928"/>
    <mergeCell ref="B923:C923"/>
    <mergeCell ref="D923:G923"/>
    <mergeCell ref="B924:C924"/>
    <mergeCell ref="D924:G924"/>
    <mergeCell ref="B925:C925"/>
    <mergeCell ref="D925:G925"/>
    <mergeCell ref="B920:C920"/>
    <mergeCell ref="D920:G920"/>
    <mergeCell ref="B921:C921"/>
    <mergeCell ref="D921:G921"/>
    <mergeCell ref="B922:C922"/>
    <mergeCell ref="D922:G922"/>
    <mergeCell ref="B917:C917"/>
    <mergeCell ref="D917:G917"/>
    <mergeCell ref="B918:C918"/>
    <mergeCell ref="D918:G918"/>
    <mergeCell ref="B919:C919"/>
    <mergeCell ref="D919:G919"/>
    <mergeCell ref="B914:C914"/>
    <mergeCell ref="D914:G914"/>
    <mergeCell ref="B915:C915"/>
    <mergeCell ref="D915:G915"/>
    <mergeCell ref="B916:C916"/>
    <mergeCell ref="D916:G916"/>
    <mergeCell ref="B911:C911"/>
    <mergeCell ref="D911:G911"/>
    <mergeCell ref="B912:C912"/>
    <mergeCell ref="D912:G912"/>
    <mergeCell ref="B913:C913"/>
    <mergeCell ref="D913:G913"/>
    <mergeCell ref="B908:C908"/>
    <mergeCell ref="D908:G908"/>
    <mergeCell ref="B909:C909"/>
    <mergeCell ref="D909:G909"/>
    <mergeCell ref="B910:C910"/>
    <mergeCell ref="D910:G910"/>
    <mergeCell ref="B905:C905"/>
    <mergeCell ref="D905:G905"/>
    <mergeCell ref="B906:C906"/>
    <mergeCell ref="D906:G906"/>
    <mergeCell ref="B907:C907"/>
    <mergeCell ref="D907:G907"/>
    <mergeCell ref="B902:C902"/>
    <mergeCell ref="D902:G902"/>
    <mergeCell ref="B903:C903"/>
    <mergeCell ref="D903:G903"/>
    <mergeCell ref="B904:C904"/>
    <mergeCell ref="D904:G904"/>
    <mergeCell ref="B899:C899"/>
    <mergeCell ref="D899:G899"/>
    <mergeCell ref="B900:C900"/>
    <mergeCell ref="D900:G900"/>
    <mergeCell ref="B901:C901"/>
    <mergeCell ref="D901:G901"/>
    <mergeCell ref="B896:C896"/>
    <mergeCell ref="D896:G896"/>
    <mergeCell ref="B897:C897"/>
    <mergeCell ref="D897:G897"/>
    <mergeCell ref="B898:C898"/>
    <mergeCell ref="D898:G898"/>
    <mergeCell ref="B893:C893"/>
    <mergeCell ref="D893:G893"/>
    <mergeCell ref="B894:C894"/>
    <mergeCell ref="D894:G894"/>
    <mergeCell ref="B895:C895"/>
    <mergeCell ref="D895:G895"/>
    <mergeCell ref="B890:C890"/>
    <mergeCell ref="D890:G890"/>
    <mergeCell ref="B891:C891"/>
    <mergeCell ref="D891:G891"/>
    <mergeCell ref="B892:C892"/>
    <mergeCell ref="D892:G892"/>
    <mergeCell ref="B887:C887"/>
    <mergeCell ref="D887:G887"/>
    <mergeCell ref="B888:C888"/>
    <mergeCell ref="D888:G888"/>
    <mergeCell ref="B889:C889"/>
    <mergeCell ref="D889:G889"/>
    <mergeCell ref="B884:C884"/>
    <mergeCell ref="D884:G884"/>
    <mergeCell ref="B885:C885"/>
    <mergeCell ref="D885:G885"/>
    <mergeCell ref="B886:C886"/>
    <mergeCell ref="D886:G886"/>
    <mergeCell ref="B881:C881"/>
    <mergeCell ref="D881:G881"/>
    <mergeCell ref="B882:C882"/>
    <mergeCell ref="D882:G882"/>
    <mergeCell ref="B883:C883"/>
    <mergeCell ref="D883:G883"/>
    <mergeCell ref="B878:C878"/>
    <mergeCell ref="D878:G878"/>
    <mergeCell ref="B879:C879"/>
    <mergeCell ref="D879:G879"/>
    <mergeCell ref="B880:C880"/>
    <mergeCell ref="D880:G880"/>
    <mergeCell ref="B875:C875"/>
    <mergeCell ref="D875:G875"/>
    <mergeCell ref="B876:C876"/>
    <mergeCell ref="D876:G876"/>
    <mergeCell ref="B877:C877"/>
    <mergeCell ref="D877:G877"/>
    <mergeCell ref="B872:C872"/>
    <mergeCell ref="D872:G872"/>
    <mergeCell ref="B873:C873"/>
    <mergeCell ref="D873:G873"/>
    <mergeCell ref="B874:C874"/>
    <mergeCell ref="D874:G874"/>
    <mergeCell ref="B869:C869"/>
    <mergeCell ref="D869:G869"/>
    <mergeCell ref="B870:C870"/>
    <mergeCell ref="D870:G870"/>
    <mergeCell ref="B871:C871"/>
    <mergeCell ref="D871:G871"/>
    <mergeCell ref="B866:C866"/>
    <mergeCell ref="D866:G866"/>
    <mergeCell ref="B867:C867"/>
    <mergeCell ref="D867:G867"/>
    <mergeCell ref="B868:C868"/>
    <mergeCell ref="D868:G868"/>
    <mergeCell ref="B863:C863"/>
    <mergeCell ref="D863:G863"/>
    <mergeCell ref="B864:C864"/>
    <mergeCell ref="D864:G864"/>
    <mergeCell ref="B865:C865"/>
    <mergeCell ref="D865:G865"/>
    <mergeCell ref="B860:C860"/>
    <mergeCell ref="D860:G860"/>
    <mergeCell ref="B861:C861"/>
    <mergeCell ref="D861:G861"/>
    <mergeCell ref="B862:C862"/>
    <mergeCell ref="D862:G862"/>
    <mergeCell ref="B857:C857"/>
    <mergeCell ref="D857:G857"/>
    <mergeCell ref="B858:C858"/>
    <mergeCell ref="D858:G858"/>
    <mergeCell ref="B859:C859"/>
    <mergeCell ref="D859:G859"/>
    <mergeCell ref="B854:C854"/>
    <mergeCell ref="D854:G854"/>
    <mergeCell ref="B855:C855"/>
    <mergeCell ref="D855:G855"/>
    <mergeCell ref="B856:C856"/>
    <mergeCell ref="D856:G856"/>
    <mergeCell ref="B851:C851"/>
    <mergeCell ref="D851:G851"/>
    <mergeCell ref="B852:C852"/>
    <mergeCell ref="D852:G852"/>
    <mergeCell ref="B853:C853"/>
    <mergeCell ref="D853:G853"/>
    <mergeCell ref="B848:C848"/>
    <mergeCell ref="D848:G848"/>
    <mergeCell ref="B849:C849"/>
    <mergeCell ref="D849:G849"/>
    <mergeCell ref="B850:C850"/>
    <mergeCell ref="D850:G850"/>
    <mergeCell ref="B845:C845"/>
    <mergeCell ref="D845:G845"/>
    <mergeCell ref="B846:C846"/>
    <mergeCell ref="D846:G846"/>
    <mergeCell ref="B847:C847"/>
    <mergeCell ref="D847:G847"/>
    <mergeCell ref="B842:C842"/>
    <mergeCell ref="D842:G842"/>
    <mergeCell ref="B843:C843"/>
    <mergeCell ref="D843:G843"/>
    <mergeCell ref="B844:C844"/>
    <mergeCell ref="D844:G844"/>
    <mergeCell ref="B839:C839"/>
    <mergeCell ref="D839:G839"/>
    <mergeCell ref="B840:C840"/>
    <mergeCell ref="D840:G840"/>
    <mergeCell ref="B841:C841"/>
    <mergeCell ref="D841:G841"/>
    <mergeCell ref="B836:C836"/>
    <mergeCell ref="D836:G836"/>
    <mergeCell ref="B837:C837"/>
    <mergeCell ref="D837:G837"/>
    <mergeCell ref="B838:C838"/>
    <mergeCell ref="D838:G838"/>
    <mergeCell ref="B833:C833"/>
    <mergeCell ref="D833:G833"/>
    <mergeCell ref="B834:C834"/>
    <mergeCell ref="D834:G834"/>
    <mergeCell ref="B835:C835"/>
    <mergeCell ref="D835:G835"/>
    <mergeCell ref="B830:C830"/>
    <mergeCell ref="D830:G830"/>
    <mergeCell ref="B831:C831"/>
    <mergeCell ref="D831:G831"/>
    <mergeCell ref="B832:C832"/>
    <mergeCell ref="D832:G832"/>
    <mergeCell ref="B827:C827"/>
    <mergeCell ref="D827:G827"/>
    <mergeCell ref="B828:C828"/>
    <mergeCell ref="D828:G828"/>
    <mergeCell ref="B829:C829"/>
    <mergeCell ref="D829:G829"/>
    <mergeCell ref="B824:C824"/>
    <mergeCell ref="D824:G824"/>
    <mergeCell ref="B825:C825"/>
    <mergeCell ref="D825:G825"/>
    <mergeCell ref="B826:C826"/>
    <mergeCell ref="D826:G826"/>
    <mergeCell ref="B821:C821"/>
    <mergeCell ref="D821:G821"/>
    <mergeCell ref="B822:C822"/>
    <mergeCell ref="D822:G822"/>
    <mergeCell ref="B823:C823"/>
    <mergeCell ref="D823:G823"/>
    <mergeCell ref="B818:C818"/>
    <mergeCell ref="D818:G818"/>
    <mergeCell ref="B819:C819"/>
    <mergeCell ref="D819:G819"/>
    <mergeCell ref="B820:C820"/>
    <mergeCell ref="D820:G820"/>
    <mergeCell ref="B815:C815"/>
    <mergeCell ref="D815:G815"/>
    <mergeCell ref="B816:C816"/>
    <mergeCell ref="D816:G816"/>
    <mergeCell ref="B817:C817"/>
    <mergeCell ref="D817:G817"/>
    <mergeCell ref="B812:C812"/>
    <mergeCell ref="D812:G812"/>
    <mergeCell ref="B813:C813"/>
    <mergeCell ref="D813:G813"/>
    <mergeCell ref="B814:C814"/>
    <mergeCell ref="D814:G814"/>
    <mergeCell ref="B809:C809"/>
    <mergeCell ref="D809:G809"/>
    <mergeCell ref="B810:C810"/>
    <mergeCell ref="D810:G810"/>
    <mergeCell ref="B811:C811"/>
    <mergeCell ref="D811:G811"/>
    <mergeCell ref="B806:C806"/>
    <mergeCell ref="D806:G806"/>
    <mergeCell ref="B807:C807"/>
    <mergeCell ref="D807:G807"/>
    <mergeCell ref="B808:C808"/>
    <mergeCell ref="D808:G808"/>
    <mergeCell ref="B803:C803"/>
    <mergeCell ref="D803:G803"/>
    <mergeCell ref="B804:C804"/>
    <mergeCell ref="D804:G804"/>
    <mergeCell ref="B805:C805"/>
    <mergeCell ref="D805:G805"/>
    <mergeCell ref="B800:C800"/>
    <mergeCell ref="D800:G800"/>
    <mergeCell ref="B801:C801"/>
    <mergeCell ref="D801:G801"/>
    <mergeCell ref="B802:C802"/>
    <mergeCell ref="D802:G802"/>
    <mergeCell ref="B797:C797"/>
    <mergeCell ref="D797:G797"/>
    <mergeCell ref="B798:C798"/>
    <mergeCell ref="D798:G798"/>
    <mergeCell ref="B799:C799"/>
    <mergeCell ref="D799:G799"/>
    <mergeCell ref="B794:C794"/>
    <mergeCell ref="D794:G794"/>
    <mergeCell ref="B795:C795"/>
    <mergeCell ref="D795:G795"/>
    <mergeCell ref="B796:C796"/>
    <mergeCell ref="D796:G796"/>
    <mergeCell ref="B791:C791"/>
    <mergeCell ref="D791:G791"/>
    <mergeCell ref="B792:C792"/>
    <mergeCell ref="D792:G792"/>
    <mergeCell ref="B793:C793"/>
    <mergeCell ref="D793:G793"/>
    <mergeCell ref="B788:C788"/>
    <mergeCell ref="D788:G788"/>
    <mergeCell ref="B789:C789"/>
    <mergeCell ref="D789:G789"/>
    <mergeCell ref="B790:C790"/>
    <mergeCell ref="D790:G790"/>
    <mergeCell ref="B785:C785"/>
    <mergeCell ref="D785:G785"/>
    <mergeCell ref="B786:C786"/>
    <mergeCell ref="D786:G786"/>
    <mergeCell ref="B787:C787"/>
    <mergeCell ref="D787:G787"/>
    <mergeCell ref="B782:C782"/>
    <mergeCell ref="D782:G782"/>
    <mergeCell ref="B783:C783"/>
    <mergeCell ref="D783:G783"/>
    <mergeCell ref="B784:C784"/>
    <mergeCell ref="D784:G784"/>
    <mergeCell ref="B779:C779"/>
    <mergeCell ref="D779:G779"/>
    <mergeCell ref="B780:C780"/>
    <mergeCell ref="D780:G780"/>
    <mergeCell ref="B781:C781"/>
    <mergeCell ref="D781:G781"/>
    <mergeCell ref="B776:C776"/>
    <mergeCell ref="D776:G776"/>
    <mergeCell ref="B777:C777"/>
    <mergeCell ref="D777:G777"/>
    <mergeCell ref="B778:C778"/>
    <mergeCell ref="D778:G778"/>
    <mergeCell ref="B773:C773"/>
    <mergeCell ref="D773:G773"/>
    <mergeCell ref="B774:C774"/>
    <mergeCell ref="D774:G774"/>
    <mergeCell ref="B775:C775"/>
    <mergeCell ref="D775:G775"/>
    <mergeCell ref="B770:C770"/>
    <mergeCell ref="D770:G770"/>
    <mergeCell ref="B771:C771"/>
    <mergeCell ref="D771:G771"/>
    <mergeCell ref="B772:C772"/>
    <mergeCell ref="D772:G772"/>
    <mergeCell ref="B767:C767"/>
    <mergeCell ref="D767:G767"/>
    <mergeCell ref="B768:C768"/>
    <mergeCell ref="D768:G768"/>
    <mergeCell ref="B769:C769"/>
    <mergeCell ref="D769:G769"/>
    <mergeCell ref="B764:C764"/>
    <mergeCell ref="D764:G764"/>
    <mergeCell ref="B765:C765"/>
    <mergeCell ref="D765:G765"/>
    <mergeCell ref="B766:C766"/>
    <mergeCell ref="D766:G766"/>
    <mergeCell ref="B761:C761"/>
    <mergeCell ref="D761:G761"/>
    <mergeCell ref="B762:C762"/>
    <mergeCell ref="D762:G762"/>
    <mergeCell ref="B763:C763"/>
    <mergeCell ref="D763:G763"/>
    <mergeCell ref="B758:C758"/>
    <mergeCell ref="D758:G758"/>
    <mergeCell ref="B759:C759"/>
    <mergeCell ref="D759:G759"/>
    <mergeCell ref="B760:C760"/>
    <mergeCell ref="D760:G760"/>
    <mergeCell ref="B755:C755"/>
    <mergeCell ref="D755:G755"/>
    <mergeCell ref="B756:C756"/>
    <mergeCell ref="D756:G756"/>
    <mergeCell ref="B757:C757"/>
    <mergeCell ref="D757:G757"/>
    <mergeCell ref="B752:C752"/>
    <mergeCell ref="D752:G752"/>
    <mergeCell ref="B753:C753"/>
    <mergeCell ref="D753:G753"/>
    <mergeCell ref="B754:C754"/>
    <mergeCell ref="D754:G754"/>
    <mergeCell ref="B749:C749"/>
    <mergeCell ref="D749:G749"/>
    <mergeCell ref="B750:C750"/>
    <mergeCell ref="D750:G750"/>
    <mergeCell ref="B751:C751"/>
    <mergeCell ref="D751:G751"/>
    <mergeCell ref="B746:C746"/>
    <mergeCell ref="D746:G746"/>
    <mergeCell ref="B747:C747"/>
    <mergeCell ref="D747:G747"/>
    <mergeCell ref="B748:C748"/>
    <mergeCell ref="D748:G748"/>
    <mergeCell ref="B743:C743"/>
    <mergeCell ref="D743:G743"/>
    <mergeCell ref="B744:C744"/>
    <mergeCell ref="D744:G744"/>
    <mergeCell ref="B745:C745"/>
    <mergeCell ref="D745:G745"/>
    <mergeCell ref="B740:C740"/>
    <mergeCell ref="D740:G740"/>
    <mergeCell ref="B741:C741"/>
    <mergeCell ref="D741:G741"/>
    <mergeCell ref="B742:C742"/>
    <mergeCell ref="D742:G742"/>
    <mergeCell ref="B737:C737"/>
    <mergeCell ref="D737:G737"/>
    <mergeCell ref="B738:C738"/>
    <mergeCell ref="D738:G738"/>
    <mergeCell ref="B739:C739"/>
    <mergeCell ref="D739:G739"/>
    <mergeCell ref="B734:C734"/>
    <mergeCell ref="D734:G734"/>
    <mergeCell ref="B735:C735"/>
    <mergeCell ref="D735:G735"/>
    <mergeCell ref="B736:C736"/>
    <mergeCell ref="D736:G736"/>
    <mergeCell ref="B731:C731"/>
    <mergeCell ref="D731:G731"/>
    <mergeCell ref="B732:C732"/>
    <mergeCell ref="D732:G732"/>
    <mergeCell ref="B733:C733"/>
    <mergeCell ref="D733:G733"/>
    <mergeCell ref="B728:C728"/>
    <mergeCell ref="D728:G728"/>
    <mergeCell ref="B729:C729"/>
    <mergeCell ref="D729:G729"/>
    <mergeCell ref="B730:C730"/>
    <mergeCell ref="D730:G730"/>
    <mergeCell ref="B725:C725"/>
    <mergeCell ref="D725:G725"/>
    <mergeCell ref="B726:C726"/>
    <mergeCell ref="D726:G726"/>
    <mergeCell ref="B727:C727"/>
    <mergeCell ref="D727:G727"/>
    <mergeCell ref="B722:C722"/>
    <mergeCell ref="D722:G722"/>
    <mergeCell ref="B723:C723"/>
    <mergeCell ref="D723:G723"/>
    <mergeCell ref="B724:C724"/>
    <mergeCell ref="D724:G724"/>
    <mergeCell ref="B719:C719"/>
    <mergeCell ref="D719:G719"/>
    <mergeCell ref="B720:C720"/>
    <mergeCell ref="D720:G720"/>
    <mergeCell ref="B721:C721"/>
    <mergeCell ref="D721:G721"/>
    <mergeCell ref="B716:C716"/>
    <mergeCell ref="D716:G716"/>
    <mergeCell ref="B717:C717"/>
    <mergeCell ref="D717:G717"/>
    <mergeCell ref="B718:C718"/>
    <mergeCell ref="D718:G718"/>
    <mergeCell ref="B713:C713"/>
    <mergeCell ref="D713:G713"/>
    <mergeCell ref="B714:C714"/>
    <mergeCell ref="D714:G714"/>
    <mergeCell ref="B715:C715"/>
    <mergeCell ref="D715:G715"/>
    <mergeCell ref="B710:C710"/>
    <mergeCell ref="D710:G710"/>
    <mergeCell ref="B711:C711"/>
    <mergeCell ref="D711:G711"/>
    <mergeCell ref="B712:C712"/>
    <mergeCell ref="D712:G712"/>
    <mergeCell ref="B707:C707"/>
    <mergeCell ref="D707:G707"/>
    <mergeCell ref="B708:C708"/>
    <mergeCell ref="D708:G708"/>
    <mergeCell ref="B709:C709"/>
    <mergeCell ref="D709:G709"/>
    <mergeCell ref="B704:C704"/>
    <mergeCell ref="D704:G704"/>
    <mergeCell ref="B705:C705"/>
    <mergeCell ref="D705:G705"/>
    <mergeCell ref="B706:C706"/>
    <mergeCell ref="D706:G706"/>
    <mergeCell ref="B701:C701"/>
    <mergeCell ref="D701:G701"/>
    <mergeCell ref="B702:C702"/>
    <mergeCell ref="D702:G702"/>
    <mergeCell ref="B703:C703"/>
    <mergeCell ref="D703:G703"/>
    <mergeCell ref="B698:C698"/>
    <mergeCell ref="D698:G698"/>
    <mergeCell ref="B699:C699"/>
    <mergeCell ref="D699:G699"/>
    <mergeCell ref="B700:C700"/>
    <mergeCell ref="D700:G700"/>
    <mergeCell ref="B695:C695"/>
    <mergeCell ref="D695:G695"/>
    <mergeCell ref="B696:C696"/>
    <mergeCell ref="D696:G696"/>
    <mergeCell ref="B697:C697"/>
    <mergeCell ref="D697:G697"/>
    <mergeCell ref="B692:C692"/>
    <mergeCell ref="D692:G692"/>
    <mergeCell ref="B693:C693"/>
    <mergeCell ref="D693:G693"/>
    <mergeCell ref="B694:C694"/>
    <mergeCell ref="D694:G694"/>
    <mergeCell ref="B689:C689"/>
    <mergeCell ref="D689:G689"/>
    <mergeCell ref="B690:C690"/>
    <mergeCell ref="D690:G690"/>
    <mergeCell ref="B691:C691"/>
    <mergeCell ref="D691:G691"/>
    <mergeCell ref="B686:C686"/>
    <mergeCell ref="D686:G686"/>
    <mergeCell ref="B687:C687"/>
    <mergeCell ref="D687:G687"/>
    <mergeCell ref="B688:C688"/>
    <mergeCell ref="D688:G688"/>
    <mergeCell ref="B683:C683"/>
    <mergeCell ref="D683:G683"/>
    <mergeCell ref="B684:C684"/>
    <mergeCell ref="D684:G684"/>
    <mergeCell ref="B685:C685"/>
    <mergeCell ref="D685:G685"/>
    <mergeCell ref="B680:C680"/>
    <mergeCell ref="D680:G680"/>
    <mergeCell ref="B681:C681"/>
    <mergeCell ref="D681:G681"/>
    <mergeCell ref="B682:C682"/>
    <mergeCell ref="D682:G682"/>
    <mergeCell ref="B677:C677"/>
    <mergeCell ref="D677:G677"/>
    <mergeCell ref="B678:C678"/>
    <mergeCell ref="D678:G678"/>
    <mergeCell ref="B679:C679"/>
    <mergeCell ref="D679:G679"/>
    <mergeCell ref="B674:C674"/>
    <mergeCell ref="D674:G674"/>
    <mergeCell ref="B675:C675"/>
    <mergeCell ref="D675:G675"/>
    <mergeCell ref="B676:C676"/>
    <mergeCell ref="D676:G676"/>
    <mergeCell ref="B671:C671"/>
    <mergeCell ref="D671:G671"/>
    <mergeCell ref="B672:C672"/>
    <mergeCell ref="D672:G672"/>
    <mergeCell ref="B673:C673"/>
    <mergeCell ref="D673:G673"/>
    <mergeCell ref="B668:C668"/>
    <mergeCell ref="D668:G668"/>
    <mergeCell ref="B669:C669"/>
    <mergeCell ref="D669:G669"/>
    <mergeCell ref="B670:C670"/>
    <mergeCell ref="D670:G670"/>
    <mergeCell ref="B665:C665"/>
    <mergeCell ref="D665:G665"/>
    <mergeCell ref="B666:C666"/>
    <mergeCell ref="D666:G666"/>
    <mergeCell ref="B667:C667"/>
    <mergeCell ref="D667:G667"/>
    <mergeCell ref="B662:C662"/>
    <mergeCell ref="D662:G662"/>
    <mergeCell ref="B663:C663"/>
    <mergeCell ref="D663:G663"/>
    <mergeCell ref="B664:C664"/>
    <mergeCell ref="D664:G664"/>
    <mergeCell ref="B659:C659"/>
    <mergeCell ref="D659:G659"/>
    <mergeCell ref="B660:C660"/>
    <mergeCell ref="D660:G660"/>
    <mergeCell ref="B661:C661"/>
    <mergeCell ref="D661:G661"/>
    <mergeCell ref="B656:C656"/>
    <mergeCell ref="D656:G656"/>
    <mergeCell ref="B657:C657"/>
    <mergeCell ref="D657:G657"/>
    <mergeCell ref="B658:C658"/>
    <mergeCell ref="D658:G658"/>
    <mergeCell ref="B653:C653"/>
    <mergeCell ref="D653:G653"/>
    <mergeCell ref="B654:C654"/>
    <mergeCell ref="D654:G654"/>
    <mergeCell ref="B655:C655"/>
    <mergeCell ref="D655:G655"/>
    <mergeCell ref="B650:C650"/>
    <mergeCell ref="D650:G650"/>
    <mergeCell ref="B651:C651"/>
    <mergeCell ref="D651:G651"/>
    <mergeCell ref="B652:C652"/>
    <mergeCell ref="D652:G652"/>
    <mergeCell ref="B647:C647"/>
    <mergeCell ref="D647:G647"/>
    <mergeCell ref="B648:C648"/>
    <mergeCell ref="D648:G648"/>
    <mergeCell ref="B649:C649"/>
    <mergeCell ref="D649:G649"/>
    <mergeCell ref="B644:C644"/>
    <mergeCell ref="D644:G644"/>
    <mergeCell ref="B645:C645"/>
    <mergeCell ref="D645:G645"/>
    <mergeCell ref="B646:C646"/>
    <mergeCell ref="D646:G646"/>
    <mergeCell ref="B641:C641"/>
    <mergeCell ref="D641:G641"/>
    <mergeCell ref="B642:C642"/>
    <mergeCell ref="D642:G642"/>
    <mergeCell ref="B643:C643"/>
    <mergeCell ref="D643:G643"/>
    <mergeCell ref="B638:C638"/>
    <mergeCell ref="D638:G638"/>
    <mergeCell ref="B639:C639"/>
    <mergeCell ref="D639:G639"/>
    <mergeCell ref="B640:C640"/>
    <mergeCell ref="D640:G640"/>
    <mergeCell ref="B635:C635"/>
    <mergeCell ref="D635:G635"/>
    <mergeCell ref="B636:C636"/>
    <mergeCell ref="D636:G636"/>
    <mergeCell ref="B637:C637"/>
    <mergeCell ref="D637:G637"/>
    <mergeCell ref="B632:C632"/>
    <mergeCell ref="D632:G632"/>
    <mergeCell ref="B633:C633"/>
    <mergeCell ref="D633:G633"/>
    <mergeCell ref="B634:C634"/>
    <mergeCell ref="D634:G634"/>
    <mergeCell ref="B629:C629"/>
    <mergeCell ref="D629:G629"/>
    <mergeCell ref="B630:C630"/>
    <mergeCell ref="D630:G630"/>
    <mergeCell ref="B631:C631"/>
    <mergeCell ref="D631:G631"/>
    <mergeCell ref="B626:C626"/>
    <mergeCell ref="D626:G626"/>
    <mergeCell ref="B627:C627"/>
    <mergeCell ref="D627:G627"/>
    <mergeCell ref="B628:C628"/>
    <mergeCell ref="D628:G628"/>
    <mergeCell ref="B623:C623"/>
    <mergeCell ref="D623:G623"/>
    <mergeCell ref="B624:C624"/>
    <mergeCell ref="D624:G624"/>
    <mergeCell ref="B625:C625"/>
    <mergeCell ref="D625:G625"/>
    <mergeCell ref="B620:C620"/>
    <mergeCell ref="D620:G620"/>
    <mergeCell ref="B621:C621"/>
    <mergeCell ref="D621:G621"/>
    <mergeCell ref="B622:C622"/>
    <mergeCell ref="D622:G622"/>
    <mergeCell ref="B617:C617"/>
    <mergeCell ref="D617:G617"/>
    <mergeCell ref="B618:C618"/>
    <mergeCell ref="D618:G618"/>
    <mergeCell ref="B619:C619"/>
    <mergeCell ref="D619:G619"/>
    <mergeCell ref="B614:C614"/>
    <mergeCell ref="D614:G614"/>
    <mergeCell ref="B615:C615"/>
    <mergeCell ref="D615:G615"/>
    <mergeCell ref="B616:C616"/>
    <mergeCell ref="D616:G616"/>
    <mergeCell ref="A611:A612"/>
    <mergeCell ref="B611:C612"/>
    <mergeCell ref="D611:G612"/>
    <mergeCell ref="H611:H612"/>
    <mergeCell ref="I611:I612"/>
    <mergeCell ref="B613:C613"/>
    <mergeCell ref="D613:G613"/>
    <mergeCell ref="B608:C608"/>
    <mergeCell ref="D608:G608"/>
    <mergeCell ref="B609:C609"/>
    <mergeCell ref="D609:G609"/>
    <mergeCell ref="B610:C610"/>
    <mergeCell ref="D610:G610"/>
    <mergeCell ref="B605:C605"/>
    <mergeCell ref="D605:G605"/>
    <mergeCell ref="B606:C606"/>
    <mergeCell ref="D606:G606"/>
    <mergeCell ref="B607:C607"/>
    <mergeCell ref="D607:G607"/>
    <mergeCell ref="B602:C602"/>
    <mergeCell ref="D602:G602"/>
    <mergeCell ref="B603:C603"/>
    <mergeCell ref="D603:G603"/>
    <mergeCell ref="B604:C604"/>
    <mergeCell ref="D604:G604"/>
    <mergeCell ref="B599:C599"/>
    <mergeCell ref="D599:G599"/>
    <mergeCell ref="B600:C600"/>
    <mergeCell ref="D600:G600"/>
    <mergeCell ref="B601:C601"/>
    <mergeCell ref="D601:G601"/>
    <mergeCell ref="B596:C596"/>
    <mergeCell ref="D596:G596"/>
    <mergeCell ref="B597:C597"/>
    <mergeCell ref="D597:G597"/>
    <mergeCell ref="B598:C598"/>
    <mergeCell ref="D598:G598"/>
    <mergeCell ref="B593:C593"/>
    <mergeCell ref="D593:G593"/>
    <mergeCell ref="B594:C594"/>
    <mergeCell ref="D594:G594"/>
    <mergeCell ref="B595:C595"/>
    <mergeCell ref="D595:G595"/>
    <mergeCell ref="B590:C590"/>
    <mergeCell ref="D590:G590"/>
    <mergeCell ref="B591:C591"/>
    <mergeCell ref="D591:G591"/>
    <mergeCell ref="B592:C592"/>
    <mergeCell ref="D592:G592"/>
    <mergeCell ref="B587:C587"/>
    <mergeCell ref="D587:G587"/>
    <mergeCell ref="B588:C588"/>
    <mergeCell ref="D588:G588"/>
    <mergeCell ref="B589:C589"/>
    <mergeCell ref="D589:G589"/>
    <mergeCell ref="B584:C584"/>
    <mergeCell ref="D584:G584"/>
    <mergeCell ref="B585:C585"/>
    <mergeCell ref="D585:G585"/>
    <mergeCell ref="B586:C586"/>
    <mergeCell ref="D586:G586"/>
    <mergeCell ref="B581:C581"/>
    <mergeCell ref="D581:G581"/>
    <mergeCell ref="B582:C582"/>
    <mergeCell ref="D582:G582"/>
    <mergeCell ref="B583:C583"/>
    <mergeCell ref="D583:G583"/>
    <mergeCell ref="B578:C578"/>
    <mergeCell ref="D578:G578"/>
    <mergeCell ref="B579:C579"/>
    <mergeCell ref="D579:G579"/>
    <mergeCell ref="B580:C580"/>
    <mergeCell ref="D580:G580"/>
    <mergeCell ref="B575:C575"/>
    <mergeCell ref="D575:G575"/>
    <mergeCell ref="B576:C576"/>
    <mergeCell ref="D576:G576"/>
    <mergeCell ref="B577:C577"/>
    <mergeCell ref="D577:G577"/>
    <mergeCell ref="B572:C572"/>
    <mergeCell ref="D572:G572"/>
    <mergeCell ref="B573:C573"/>
    <mergeCell ref="D573:G573"/>
    <mergeCell ref="B574:C574"/>
    <mergeCell ref="D574:G574"/>
    <mergeCell ref="B569:C569"/>
    <mergeCell ref="D569:G569"/>
    <mergeCell ref="B570:C570"/>
    <mergeCell ref="D570:G570"/>
    <mergeCell ref="B571:C571"/>
    <mergeCell ref="D571:G571"/>
    <mergeCell ref="B566:C566"/>
    <mergeCell ref="D566:G566"/>
    <mergeCell ref="B567:C567"/>
    <mergeCell ref="D567:G567"/>
    <mergeCell ref="B568:C568"/>
    <mergeCell ref="D568:G568"/>
    <mergeCell ref="B563:C563"/>
    <mergeCell ref="D563:G563"/>
    <mergeCell ref="B564:C564"/>
    <mergeCell ref="D564:G564"/>
    <mergeCell ref="B565:C565"/>
    <mergeCell ref="D565:G565"/>
    <mergeCell ref="B560:C560"/>
    <mergeCell ref="D560:G560"/>
    <mergeCell ref="B561:C561"/>
    <mergeCell ref="D561:G561"/>
    <mergeCell ref="B562:C562"/>
    <mergeCell ref="D562:G562"/>
    <mergeCell ref="B557:C557"/>
    <mergeCell ref="D557:G557"/>
    <mergeCell ref="B558:C558"/>
    <mergeCell ref="D558:G558"/>
    <mergeCell ref="B559:C559"/>
    <mergeCell ref="D559:G559"/>
    <mergeCell ref="B554:C554"/>
    <mergeCell ref="D554:G554"/>
    <mergeCell ref="B555:C555"/>
    <mergeCell ref="D555:G555"/>
    <mergeCell ref="B556:C556"/>
    <mergeCell ref="D556:G556"/>
    <mergeCell ref="B551:C551"/>
    <mergeCell ref="D551:G551"/>
    <mergeCell ref="B552:C552"/>
    <mergeCell ref="D552:G552"/>
    <mergeCell ref="B553:C553"/>
    <mergeCell ref="D553:G553"/>
    <mergeCell ref="B548:C548"/>
    <mergeCell ref="D548:G548"/>
    <mergeCell ref="B549:C549"/>
    <mergeCell ref="D549:G549"/>
    <mergeCell ref="B550:C550"/>
    <mergeCell ref="D550:G550"/>
    <mergeCell ref="B545:C545"/>
    <mergeCell ref="D545:G545"/>
    <mergeCell ref="B546:C546"/>
    <mergeCell ref="D546:G546"/>
    <mergeCell ref="B547:C547"/>
    <mergeCell ref="D547:G547"/>
    <mergeCell ref="B542:C542"/>
    <mergeCell ref="D542:G542"/>
    <mergeCell ref="B543:C543"/>
    <mergeCell ref="D543:G543"/>
    <mergeCell ref="B544:C544"/>
    <mergeCell ref="D544:G544"/>
    <mergeCell ref="B539:C539"/>
    <mergeCell ref="D539:G539"/>
    <mergeCell ref="B540:C540"/>
    <mergeCell ref="D540:G540"/>
    <mergeCell ref="B541:C541"/>
    <mergeCell ref="D541:G541"/>
    <mergeCell ref="H535:H536"/>
    <mergeCell ref="I535:I536"/>
    <mergeCell ref="B537:C537"/>
    <mergeCell ref="D537:G537"/>
    <mergeCell ref="B538:C538"/>
    <mergeCell ref="D538:G538"/>
    <mergeCell ref="B533:C533"/>
    <mergeCell ref="D533:G533"/>
    <mergeCell ref="B534:C534"/>
    <mergeCell ref="D534:G534"/>
    <mergeCell ref="A535:A536"/>
    <mergeCell ref="B535:C536"/>
    <mergeCell ref="D535:G536"/>
    <mergeCell ref="B530:C530"/>
    <mergeCell ref="D530:G530"/>
    <mergeCell ref="B531:C531"/>
    <mergeCell ref="D531:G531"/>
    <mergeCell ref="B532:C532"/>
    <mergeCell ref="D532:G532"/>
    <mergeCell ref="B527:C527"/>
    <mergeCell ref="D527:G527"/>
    <mergeCell ref="B528:C528"/>
    <mergeCell ref="D528:G528"/>
    <mergeCell ref="B529:C529"/>
    <mergeCell ref="D529:G529"/>
    <mergeCell ref="B524:C524"/>
    <mergeCell ref="D524:G524"/>
    <mergeCell ref="B525:C525"/>
    <mergeCell ref="D525:G525"/>
    <mergeCell ref="B526:C526"/>
    <mergeCell ref="D526:G526"/>
    <mergeCell ref="B521:C521"/>
    <mergeCell ref="D521:G521"/>
    <mergeCell ref="B522:C522"/>
    <mergeCell ref="D522:G522"/>
    <mergeCell ref="B523:C523"/>
    <mergeCell ref="D523:G523"/>
    <mergeCell ref="B518:C518"/>
    <mergeCell ref="D518:G518"/>
    <mergeCell ref="B519:C519"/>
    <mergeCell ref="D519:G519"/>
    <mergeCell ref="B520:C520"/>
    <mergeCell ref="D520:G520"/>
    <mergeCell ref="B515:C515"/>
    <mergeCell ref="D515:G515"/>
    <mergeCell ref="B516:C516"/>
    <mergeCell ref="D516:G516"/>
    <mergeCell ref="B517:C517"/>
    <mergeCell ref="D517:G517"/>
    <mergeCell ref="B512:C512"/>
    <mergeCell ref="D512:G512"/>
    <mergeCell ref="B513:C513"/>
    <mergeCell ref="D513:G513"/>
    <mergeCell ref="B514:C514"/>
    <mergeCell ref="D514:G514"/>
    <mergeCell ref="B509:C509"/>
    <mergeCell ref="D509:G509"/>
    <mergeCell ref="B510:C510"/>
    <mergeCell ref="D510:G510"/>
    <mergeCell ref="B511:C511"/>
    <mergeCell ref="D511:G511"/>
    <mergeCell ref="B506:C506"/>
    <mergeCell ref="D506:G506"/>
    <mergeCell ref="B507:C507"/>
    <mergeCell ref="D507:G507"/>
    <mergeCell ref="B508:C508"/>
    <mergeCell ref="D508:G508"/>
    <mergeCell ref="B503:C503"/>
    <mergeCell ref="D503:G503"/>
    <mergeCell ref="B504:C504"/>
    <mergeCell ref="D504:G504"/>
    <mergeCell ref="B505:C505"/>
    <mergeCell ref="D505:G505"/>
    <mergeCell ref="B500:C500"/>
    <mergeCell ref="D500:G500"/>
    <mergeCell ref="B501:C501"/>
    <mergeCell ref="D501:G501"/>
    <mergeCell ref="B502:C502"/>
    <mergeCell ref="D502:G502"/>
    <mergeCell ref="B497:C497"/>
    <mergeCell ref="D497:G497"/>
    <mergeCell ref="B498:C498"/>
    <mergeCell ref="D498:G498"/>
    <mergeCell ref="B499:C499"/>
    <mergeCell ref="D499:G499"/>
    <mergeCell ref="B494:C494"/>
    <mergeCell ref="D494:G494"/>
    <mergeCell ref="B495:C495"/>
    <mergeCell ref="D495:G495"/>
    <mergeCell ref="B496:C496"/>
    <mergeCell ref="D496:G496"/>
    <mergeCell ref="B491:C491"/>
    <mergeCell ref="D491:G491"/>
    <mergeCell ref="B492:C492"/>
    <mergeCell ref="D492:G492"/>
    <mergeCell ref="B493:C493"/>
    <mergeCell ref="D493:G493"/>
    <mergeCell ref="B488:C488"/>
    <mergeCell ref="D488:G488"/>
    <mergeCell ref="B489:C489"/>
    <mergeCell ref="D489:G489"/>
    <mergeCell ref="B490:C490"/>
    <mergeCell ref="D490:G490"/>
    <mergeCell ref="B485:C485"/>
    <mergeCell ref="D485:G485"/>
    <mergeCell ref="B486:C486"/>
    <mergeCell ref="D486:G486"/>
    <mergeCell ref="B487:C487"/>
    <mergeCell ref="D487:G487"/>
    <mergeCell ref="B482:C482"/>
    <mergeCell ref="D482:G482"/>
    <mergeCell ref="B483:C483"/>
    <mergeCell ref="D483:G483"/>
    <mergeCell ref="B484:C484"/>
    <mergeCell ref="D484:G484"/>
    <mergeCell ref="B479:C479"/>
    <mergeCell ref="D479:G479"/>
    <mergeCell ref="B480:C480"/>
    <mergeCell ref="D480:G480"/>
    <mergeCell ref="B481:C481"/>
    <mergeCell ref="D481:G481"/>
    <mergeCell ref="B476:C476"/>
    <mergeCell ref="D476:G476"/>
    <mergeCell ref="B477:C477"/>
    <mergeCell ref="D477:G477"/>
    <mergeCell ref="B478:C478"/>
    <mergeCell ref="D478:G478"/>
    <mergeCell ref="B473:C473"/>
    <mergeCell ref="D473:G473"/>
    <mergeCell ref="B474:C474"/>
    <mergeCell ref="D474:G474"/>
    <mergeCell ref="B475:C475"/>
    <mergeCell ref="D475:G475"/>
    <mergeCell ref="B470:C470"/>
    <mergeCell ref="D470:G470"/>
    <mergeCell ref="B471:C471"/>
    <mergeCell ref="D471:G471"/>
    <mergeCell ref="B472:C472"/>
    <mergeCell ref="D472:G472"/>
    <mergeCell ref="B467:C467"/>
    <mergeCell ref="D467:G467"/>
    <mergeCell ref="B468:C468"/>
    <mergeCell ref="D468:G468"/>
    <mergeCell ref="B469:C469"/>
    <mergeCell ref="D469:G469"/>
    <mergeCell ref="B464:C464"/>
    <mergeCell ref="D464:G464"/>
    <mergeCell ref="B465:C465"/>
    <mergeCell ref="D465:G465"/>
    <mergeCell ref="B466:C466"/>
    <mergeCell ref="D466:G466"/>
    <mergeCell ref="B461:C461"/>
    <mergeCell ref="D461:G461"/>
    <mergeCell ref="B462:C462"/>
    <mergeCell ref="D462:G462"/>
    <mergeCell ref="B463:C463"/>
    <mergeCell ref="D463:G463"/>
    <mergeCell ref="B458:C458"/>
    <mergeCell ref="D458:G458"/>
    <mergeCell ref="B459:C459"/>
    <mergeCell ref="D459:G459"/>
    <mergeCell ref="B460:C460"/>
    <mergeCell ref="D460:G460"/>
    <mergeCell ref="B455:C455"/>
    <mergeCell ref="D455:G455"/>
    <mergeCell ref="B456:C456"/>
    <mergeCell ref="D456:G456"/>
    <mergeCell ref="B457:C457"/>
    <mergeCell ref="D457:G457"/>
    <mergeCell ref="B452:C452"/>
    <mergeCell ref="D452:G452"/>
    <mergeCell ref="B453:C453"/>
    <mergeCell ref="D453:G453"/>
    <mergeCell ref="B454:C454"/>
    <mergeCell ref="D454:G454"/>
    <mergeCell ref="B449:C449"/>
    <mergeCell ref="D449:G449"/>
    <mergeCell ref="B450:C450"/>
    <mergeCell ref="D450:G450"/>
    <mergeCell ref="B451:C451"/>
    <mergeCell ref="D451:G451"/>
    <mergeCell ref="B446:C446"/>
    <mergeCell ref="D446:G446"/>
    <mergeCell ref="B447:C447"/>
    <mergeCell ref="D447:G447"/>
    <mergeCell ref="B448:C448"/>
    <mergeCell ref="D448:G448"/>
    <mergeCell ref="B443:C443"/>
    <mergeCell ref="D443:G443"/>
    <mergeCell ref="B444:C444"/>
    <mergeCell ref="D444:G444"/>
    <mergeCell ref="B445:C445"/>
    <mergeCell ref="D445:G445"/>
    <mergeCell ref="B440:C440"/>
    <mergeCell ref="D440:G440"/>
    <mergeCell ref="B441:C441"/>
    <mergeCell ref="D441:G441"/>
    <mergeCell ref="B442:C442"/>
    <mergeCell ref="D442:G442"/>
    <mergeCell ref="B437:C437"/>
    <mergeCell ref="D437:G437"/>
    <mergeCell ref="B438:C438"/>
    <mergeCell ref="D438:G438"/>
    <mergeCell ref="B439:C439"/>
    <mergeCell ref="D439:G439"/>
    <mergeCell ref="B434:C434"/>
    <mergeCell ref="D434:G434"/>
    <mergeCell ref="B435:C435"/>
    <mergeCell ref="D435:G435"/>
    <mergeCell ref="B436:C436"/>
    <mergeCell ref="D436:G436"/>
    <mergeCell ref="B431:C431"/>
    <mergeCell ref="D431:G431"/>
    <mergeCell ref="B432:C432"/>
    <mergeCell ref="D432:G432"/>
    <mergeCell ref="B433:C433"/>
    <mergeCell ref="D433:G433"/>
    <mergeCell ref="B428:C428"/>
    <mergeCell ref="D428:G428"/>
    <mergeCell ref="B429:C429"/>
    <mergeCell ref="D429:G429"/>
    <mergeCell ref="B430:C430"/>
    <mergeCell ref="D430:G430"/>
    <mergeCell ref="B425:C425"/>
    <mergeCell ref="D425:G425"/>
    <mergeCell ref="B426:C426"/>
    <mergeCell ref="D426:G426"/>
    <mergeCell ref="B427:C427"/>
    <mergeCell ref="D427:G427"/>
    <mergeCell ref="B422:C422"/>
    <mergeCell ref="D422:G422"/>
    <mergeCell ref="B423:C423"/>
    <mergeCell ref="D423:G423"/>
    <mergeCell ref="B424:C424"/>
    <mergeCell ref="D424:G424"/>
    <mergeCell ref="B419:C419"/>
    <mergeCell ref="D419:G419"/>
    <mergeCell ref="B420:C420"/>
    <mergeCell ref="D420:G420"/>
    <mergeCell ref="B421:C421"/>
    <mergeCell ref="D421:G421"/>
    <mergeCell ref="B416:C416"/>
    <mergeCell ref="D416:G416"/>
    <mergeCell ref="B417:C417"/>
    <mergeCell ref="D417:G417"/>
    <mergeCell ref="B418:C418"/>
    <mergeCell ref="D418:G418"/>
    <mergeCell ref="B413:C413"/>
    <mergeCell ref="D413:G413"/>
    <mergeCell ref="B414:C414"/>
    <mergeCell ref="D414:G414"/>
    <mergeCell ref="B415:C415"/>
    <mergeCell ref="D415:G415"/>
    <mergeCell ref="B410:C410"/>
    <mergeCell ref="D410:G410"/>
    <mergeCell ref="B411:C411"/>
    <mergeCell ref="D411:G411"/>
    <mergeCell ref="B412:C412"/>
    <mergeCell ref="D412:G412"/>
    <mergeCell ref="B407:C407"/>
    <mergeCell ref="D407:G407"/>
    <mergeCell ref="B408:C408"/>
    <mergeCell ref="D408:G408"/>
    <mergeCell ref="B409:C409"/>
    <mergeCell ref="D409:G409"/>
    <mergeCell ref="B404:C404"/>
    <mergeCell ref="D404:G404"/>
    <mergeCell ref="B405:C405"/>
    <mergeCell ref="D405:G405"/>
    <mergeCell ref="B406:C406"/>
    <mergeCell ref="D406:G406"/>
    <mergeCell ref="B401:C401"/>
    <mergeCell ref="D401:G401"/>
    <mergeCell ref="B402:C402"/>
    <mergeCell ref="D402:G402"/>
    <mergeCell ref="B403:C403"/>
    <mergeCell ref="D403:G403"/>
    <mergeCell ref="B398:C398"/>
    <mergeCell ref="D398:G398"/>
    <mergeCell ref="B399:C399"/>
    <mergeCell ref="D399:G399"/>
    <mergeCell ref="B400:C400"/>
    <mergeCell ref="D400:G400"/>
    <mergeCell ref="B395:C395"/>
    <mergeCell ref="D395:G395"/>
    <mergeCell ref="B396:C396"/>
    <mergeCell ref="D396:G396"/>
    <mergeCell ref="B397:C397"/>
    <mergeCell ref="D397:G397"/>
    <mergeCell ref="B392:C392"/>
    <mergeCell ref="D392:G392"/>
    <mergeCell ref="B393:C393"/>
    <mergeCell ref="D393:G393"/>
    <mergeCell ref="B394:C394"/>
    <mergeCell ref="D394:G394"/>
    <mergeCell ref="B389:C389"/>
    <mergeCell ref="D389:G389"/>
    <mergeCell ref="B390:C390"/>
    <mergeCell ref="D390:G390"/>
    <mergeCell ref="B391:C391"/>
    <mergeCell ref="D391:G391"/>
    <mergeCell ref="B386:C386"/>
    <mergeCell ref="D386:G386"/>
    <mergeCell ref="B387:C387"/>
    <mergeCell ref="D387:G387"/>
    <mergeCell ref="B388:C388"/>
    <mergeCell ref="D388:G388"/>
    <mergeCell ref="B383:C383"/>
    <mergeCell ref="D383:G383"/>
    <mergeCell ref="B384:C384"/>
    <mergeCell ref="D384:G384"/>
    <mergeCell ref="B385:C385"/>
    <mergeCell ref="D385:G385"/>
    <mergeCell ref="B380:C380"/>
    <mergeCell ref="D380:G380"/>
    <mergeCell ref="B381:C381"/>
    <mergeCell ref="D381:G381"/>
    <mergeCell ref="B382:C382"/>
    <mergeCell ref="D382:G382"/>
    <mergeCell ref="B377:C377"/>
    <mergeCell ref="D377:G377"/>
    <mergeCell ref="B378:C378"/>
    <mergeCell ref="D378:G378"/>
    <mergeCell ref="B379:C379"/>
    <mergeCell ref="D379:G379"/>
    <mergeCell ref="A374:A375"/>
    <mergeCell ref="B374:C375"/>
    <mergeCell ref="D374:G375"/>
    <mergeCell ref="H374:H375"/>
    <mergeCell ref="I374:I375"/>
    <mergeCell ref="B376:C376"/>
    <mergeCell ref="D376:G376"/>
    <mergeCell ref="B371:C371"/>
    <mergeCell ref="D371:G371"/>
    <mergeCell ref="B372:C372"/>
    <mergeCell ref="D372:G372"/>
    <mergeCell ref="B373:C373"/>
    <mergeCell ref="D373:G373"/>
    <mergeCell ref="B368:C368"/>
    <mergeCell ref="D368:G368"/>
    <mergeCell ref="B369:C369"/>
    <mergeCell ref="D369:G369"/>
    <mergeCell ref="B370:C370"/>
    <mergeCell ref="D370:G370"/>
    <mergeCell ref="B365:C365"/>
    <mergeCell ref="D365:G365"/>
    <mergeCell ref="B366:C366"/>
    <mergeCell ref="D366:G366"/>
    <mergeCell ref="B367:C367"/>
    <mergeCell ref="D367:G367"/>
    <mergeCell ref="B362:C362"/>
    <mergeCell ref="D362:G362"/>
    <mergeCell ref="B363:C363"/>
    <mergeCell ref="D363:G363"/>
    <mergeCell ref="B364:C364"/>
    <mergeCell ref="D364:G364"/>
    <mergeCell ref="B359:C359"/>
    <mergeCell ref="D359:G359"/>
    <mergeCell ref="B360:C360"/>
    <mergeCell ref="D360:G360"/>
    <mergeCell ref="B361:C361"/>
    <mergeCell ref="D361:G361"/>
    <mergeCell ref="B356:C356"/>
    <mergeCell ref="D356:G356"/>
    <mergeCell ref="B357:C357"/>
    <mergeCell ref="D357:G357"/>
    <mergeCell ref="B358:C358"/>
    <mergeCell ref="D358:G358"/>
    <mergeCell ref="B353:C353"/>
    <mergeCell ref="D353:G353"/>
    <mergeCell ref="B354:C354"/>
    <mergeCell ref="D354:G354"/>
    <mergeCell ref="B355:C355"/>
    <mergeCell ref="D355:G355"/>
    <mergeCell ref="B350:C350"/>
    <mergeCell ref="D350:G350"/>
    <mergeCell ref="B351:C351"/>
    <mergeCell ref="D351:G351"/>
    <mergeCell ref="B352:C352"/>
    <mergeCell ref="D352:G352"/>
    <mergeCell ref="B347:C347"/>
    <mergeCell ref="D347:G347"/>
    <mergeCell ref="B348:C348"/>
    <mergeCell ref="D348:G348"/>
    <mergeCell ref="B349:C349"/>
    <mergeCell ref="D349:G349"/>
    <mergeCell ref="B344:C344"/>
    <mergeCell ref="D344:G344"/>
    <mergeCell ref="B345:C345"/>
    <mergeCell ref="D345:G345"/>
    <mergeCell ref="B346:C346"/>
    <mergeCell ref="D346:G346"/>
    <mergeCell ref="B341:C341"/>
    <mergeCell ref="D341:G341"/>
    <mergeCell ref="B342:C342"/>
    <mergeCell ref="D342:G342"/>
    <mergeCell ref="B343:C343"/>
    <mergeCell ref="D343:G343"/>
    <mergeCell ref="B338:C338"/>
    <mergeCell ref="D338:G338"/>
    <mergeCell ref="B339:C339"/>
    <mergeCell ref="D339:G339"/>
    <mergeCell ref="B340:C340"/>
    <mergeCell ref="D340:G340"/>
    <mergeCell ref="B335:C335"/>
    <mergeCell ref="D335:G335"/>
    <mergeCell ref="B336:C336"/>
    <mergeCell ref="D336:G336"/>
    <mergeCell ref="B337:C337"/>
    <mergeCell ref="D337:G337"/>
    <mergeCell ref="B332:C332"/>
    <mergeCell ref="D332:G332"/>
    <mergeCell ref="B333:C333"/>
    <mergeCell ref="D333:G333"/>
    <mergeCell ref="B334:C334"/>
    <mergeCell ref="D334:G334"/>
    <mergeCell ref="B329:C329"/>
    <mergeCell ref="D329:G329"/>
    <mergeCell ref="B330:C330"/>
    <mergeCell ref="D330:G330"/>
    <mergeCell ref="B331:C331"/>
    <mergeCell ref="D331:G331"/>
    <mergeCell ref="B326:C326"/>
    <mergeCell ref="D326:G326"/>
    <mergeCell ref="B327:C327"/>
    <mergeCell ref="D327:G327"/>
    <mergeCell ref="B328:C328"/>
    <mergeCell ref="D328:G328"/>
    <mergeCell ref="B323:C323"/>
    <mergeCell ref="D323:G323"/>
    <mergeCell ref="B324:C324"/>
    <mergeCell ref="D324:G324"/>
    <mergeCell ref="B325:C325"/>
    <mergeCell ref="D325:G325"/>
    <mergeCell ref="B320:C320"/>
    <mergeCell ref="D320:G320"/>
    <mergeCell ref="B321:C321"/>
    <mergeCell ref="D321:G321"/>
    <mergeCell ref="B322:C322"/>
    <mergeCell ref="D322:G322"/>
    <mergeCell ref="B317:C317"/>
    <mergeCell ref="D317:G317"/>
    <mergeCell ref="B318:C318"/>
    <mergeCell ref="D318:G318"/>
    <mergeCell ref="B319:C319"/>
    <mergeCell ref="D319:G319"/>
    <mergeCell ref="B314:C314"/>
    <mergeCell ref="D314:G314"/>
    <mergeCell ref="B315:C315"/>
    <mergeCell ref="D315:G315"/>
    <mergeCell ref="B316:C316"/>
    <mergeCell ref="D316:G316"/>
    <mergeCell ref="B311:C311"/>
    <mergeCell ref="D311:G311"/>
    <mergeCell ref="B312:C312"/>
    <mergeCell ref="D312:G312"/>
    <mergeCell ref="B313:C313"/>
    <mergeCell ref="D313:G313"/>
    <mergeCell ref="B308:C308"/>
    <mergeCell ref="D308:G308"/>
    <mergeCell ref="B309:C309"/>
    <mergeCell ref="D309:G309"/>
    <mergeCell ref="B310:C310"/>
    <mergeCell ref="D310:G310"/>
    <mergeCell ref="B305:C305"/>
    <mergeCell ref="D305:G305"/>
    <mergeCell ref="B306:C306"/>
    <mergeCell ref="D306:G306"/>
    <mergeCell ref="B307:C307"/>
    <mergeCell ref="D307:G307"/>
    <mergeCell ref="B302:C302"/>
    <mergeCell ref="D302:G302"/>
    <mergeCell ref="B303:C303"/>
    <mergeCell ref="D303:G303"/>
    <mergeCell ref="B304:C304"/>
    <mergeCell ref="D304:G304"/>
    <mergeCell ref="B299:C299"/>
    <mergeCell ref="D299:G299"/>
    <mergeCell ref="B300:C300"/>
    <mergeCell ref="D300:G300"/>
    <mergeCell ref="B301:C301"/>
    <mergeCell ref="D301:G301"/>
    <mergeCell ref="B296:C296"/>
    <mergeCell ref="D296:G296"/>
    <mergeCell ref="B297:C297"/>
    <mergeCell ref="D297:G297"/>
    <mergeCell ref="B298:C298"/>
    <mergeCell ref="D298:G298"/>
    <mergeCell ref="B293:C293"/>
    <mergeCell ref="D293:G293"/>
    <mergeCell ref="B294:C294"/>
    <mergeCell ref="D294:G294"/>
    <mergeCell ref="B295:C295"/>
    <mergeCell ref="D295:G295"/>
    <mergeCell ref="B290:C290"/>
    <mergeCell ref="D290:G290"/>
    <mergeCell ref="B291:C291"/>
    <mergeCell ref="D291:G291"/>
    <mergeCell ref="B292:C292"/>
    <mergeCell ref="D292:G292"/>
    <mergeCell ref="B287:C287"/>
    <mergeCell ref="D287:G287"/>
    <mergeCell ref="B288:C288"/>
    <mergeCell ref="D288:G288"/>
    <mergeCell ref="B289:C289"/>
    <mergeCell ref="D289:G289"/>
    <mergeCell ref="B284:C284"/>
    <mergeCell ref="D284:G284"/>
    <mergeCell ref="B285:C285"/>
    <mergeCell ref="D285:G285"/>
    <mergeCell ref="B286:C286"/>
    <mergeCell ref="D286:G286"/>
    <mergeCell ref="B281:C281"/>
    <mergeCell ref="D281:G281"/>
    <mergeCell ref="B282:C282"/>
    <mergeCell ref="D282:G282"/>
    <mergeCell ref="B283:C283"/>
    <mergeCell ref="D283:G283"/>
    <mergeCell ref="B278:C278"/>
    <mergeCell ref="D278:G278"/>
    <mergeCell ref="B279:C279"/>
    <mergeCell ref="D279:G279"/>
    <mergeCell ref="B280:C280"/>
    <mergeCell ref="D280:G280"/>
    <mergeCell ref="B275:C275"/>
    <mergeCell ref="D275:G275"/>
    <mergeCell ref="B276:C276"/>
    <mergeCell ref="D276:G276"/>
    <mergeCell ref="B277:C277"/>
    <mergeCell ref="D277:G277"/>
    <mergeCell ref="B272:C272"/>
    <mergeCell ref="D272:G272"/>
    <mergeCell ref="B273:C273"/>
    <mergeCell ref="D273:G273"/>
    <mergeCell ref="B274:C274"/>
    <mergeCell ref="D274:G274"/>
    <mergeCell ref="B269:C269"/>
    <mergeCell ref="D269:G269"/>
    <mergeCell ref="B270:C270"/>
    <mergeCell ref="D270:G270"/>
    <mergeCell ref="B271:C271"/>
    <mergeCell ref="D271:G271"/>
    <mergeCell ref="B266:C266"/>
    <mergeCell ref="D266:G266"/>
    <mergeCell ref="B267:C267"/>
    <mergeCell ref="D267:G267"/>
    <mergeCell ref="B268:C268"/>
    <mergeCell ref="D268:G268"/>
    <mergeCell ref="B263:C263"/>
    <mergeCell ref="D263:G263"/>
    <mergeCell ref="B264:C264"/>
    <mergeCell ref="D264:G264"/>
    <mergeCell ref="B265:C265"/>
    <mergeCell ref="D265:G265"/>
    <mergeCell ref="B260:C260"/>
    <mergeCell ref="D260:G260"/>
    <mergeCell ref="B261:C261"/>
    <mergeCell ref="D261:G261"/>
    <mergeCell ref="B262:C262"/>
    <mergeCell ref="D262:G262"/>
    <mergeCell ref="B257:C257"/>
    <mergeCell ref="D257:G257"/>
    <mergeCell ref="B258:C258"/>
    <mergeCell ref="D258:G258"/>
    <mergeCell ref="B259:C259"/>
    <mergeCell ref="D259:G259"/>
    <mergeCell ref="B254:C254"/>
    <mergeCell ref="D254:G254"/>
    <mergeCell ref="B255:C255"/>
    <mergeCell ref="D255:G255"/>
    <mergeCell ref="B256:C256"/>
    <mergeCell ref="D256:G256"/>
    <mergeCell ref="B251:C251"/>
    <mergeCell ref="D251:G251"/>
    <mergeCell ref="B252:C252"/>
    <mergeCell ref="D252:G252"/>
    <mergeCell ref="B253:C253"/>
    <mergeCell ref="D253:G253"/>
    <mergeCell ref="A248:A249"/>
    <mergeCell ref="B248:C249"/>
    <mergeCell ref="D248:G249"/>
    <mergeCell ref="H248:H249"/>
    <mergeCell ref="I248:I249"/>
    <mergeCell ref="B250:C250"/>
    <mergeCell ref="D250:G250"/>
    <mergeCell ref="B245:C245"/>
    <mergeCell ref="D245:G245"/>
    <mergeCell ref="B246:C246"/>
    <mergeCell ref="D246:G246"/>
    <mergeCell ref="B247:C247"/>
    <mergeCell ref="D247:G247"/>
    <mergeCell ref="B242:C242"/>
    <mergeCell ref="D242:G242"/>
    <mergeCell ref="B243:C243"/>
    <mergeCell ref="D243:G243"/>
    <mergeCell ref="B244:C244"/>
    <mergeCell ref="D244:G244"/>
    <mergeCell ref="B239:C239"/>
    <mergeCell ref="D239:G239"/>
    <mergeCell ref="B240:C240"/>
    <mergeCell ref="D240:G240"/>
    <mergeCell ref="B241:C241"/>
    <mergeCell ref="D241:G241"/>
    <mergeCell ref="I234:I235"/>
    <mergeCell ref="B236:C236"/>
    <mergeCell ref="D236:G236"/>
    <mergeCell ref="B237:C237"/>
    <mergeCell ref="D237:G237"/>
    <mergeCell ref="B238:C238"/>
    <mergeCell ref="D238:G238"/>
    <mergeCell ref="B233:C233"/>
    <mergeCell ref="D233:G233"/>
    <mergeCell ref="A234:A235"/>
    <mergeCell ref="B234:C235"/>
    <mergeCell ref="D234:G235"/>
    <mergeCell ref="H234:H235"/>
    <mergeCell ref="B230:C230"/>
    <mergeCell ref="D230:G230"/>
    <mergeCell ref="B231:C231"/>
    <mergeCell ref="D231:G231"/>
    <mergeCell ref="B232:C232"/>
    <mergeCell ref="D232:G232"/>
    <mergeCell ref="B227:C227"/>
    <mergeCell ref="D227:G227"/>
    <mergeCell ref="B228:C228"/>
    <mergeCell ref="D228:G228"/>
    <mergeCell ref="B229:C229"/>
    <mergeCell ref="D229:G229"/>
    <mergeCell ref="B224:C224"/>
    <mergeCell ref="D224:G224"/>
    <mergeCell ref="B225:C225"/>
    <mergeCell ref="D225:G225"/>
    <mergeCell ref="B226:C226"/>
    <mergeCell ref="D226:G226"/>
    <mergeCell ref="B221:C221"/>
    <mergeCell ref="D221:G221"/>
    <mergeCell ref="B222:C222"/>
    <mergeCell ref="D222:G222"/>
    <mergeCell ref="B223:C223"/>
    <mergeCell ref="D223:G223"/>
    <mergeCell ref="B218:C218"/>
    <mergeCell ref="D218:G218"/>
    <mergeCell ref="B219:C219"/>
    <mergeCell ref="D219:G219"/>
    <mergeCell ref="B220:C220"/>
    <mergeCell ref="D220:G220"/>
    <mergeCell ref="B215:C215"/>
    <mergeCell ref="D215:G215"/>
    <mergeCell ref="B216:C216"/>
    <mergeCell ref="D216:G216"/>
    <mergeCell ref="B217:C217"/>
    <mergeCell ref="D217:G217"/>
    <mergeCell ref="B212:C212"/>
    <mergeCell ref="D212:G212"/>
    <mergeCell ref="B213:C213"/>
    <mergeCell ref="D213:G213"/>
    <mergeCell ref="B214:C214"/>
    <mergeCell ref="D214:G214"/>
    <mergeCell ref="B209:C209"/>
    <mergeCell ref="D209:G209"/>
    <mergeCell ref="B210:C210"/>
    <mergeCell ref="D210:G210"/>
    <mergeCell ref="B211:C211"/>
    <mergeCell ref="D211:G211"/>
    <mergeCell ref="B206:C206"/>
    <mergeCell ref="D206:G206"/>
    <mergeCell ref="B207:C207"/>
    <mergeCell ref="D207:G207"/>
    <mergeCell ref="B208:C208"/>
    <mergeCell ref="D208:G208"/>
    <mergeCell ref="B203:C203"/>
    <mergeCell ref="D203:G203"/>
    <mergeCell ref="B204:C204"/>
    <mergeCell ref="D204:G204"/>
    <mergeCell ref="B205:C205"/>
    <mergeCell ref="D205:G205"/>
    <mergeCell ref="B200:C200"/>
    <mergeCell ref="D200:G200"/>
    <mergeCell ref="B201:C201"/>
    <mergeCell ref="D201:G201"/>
    <mergeCell ref="B202:C202"/>
    <mergeCell ref="D202:G202"/>
    <mergeCell ref="B197:C197"/>
    <mergeCell ref="D197:G197"/>
    <mergeCell ref="B198:C198"/>
    <mergeCell ref="D198:G198"/>
    <mergeCell ref="B199:C199"/>
    <mergeCell ref="D199:G199"/>
    <mergeCell ref="B194:C194"/>
    <mergeCell ref="D194:G194"/>
    <mergeCell ref="B195:C195"/>
    <mergeCell ref="D195:G195"/>
    <mergeCell ref="B196:C196"/>
    <mergeCell ref="D196:G196"/>
    <mergeCell ref="B191:C191"/>
    <mergeCell ref="D191:G191"/>
    <mergeCell ref="B192:C192"/>
    <mergeCell ref="D192:G192"/>
    <mergeCell ref="B193:C193"/>
    <mergeCell ref="D193:G193"/>
    <mergeCell ref="B188:C188"/>
    <mergeCell ref="D188:G188"/>
    <mergeCell ref="B189:C189"/>
    <mergeCell ref="D189:G189"/>
    <mergeCell ref="B190:C190"/>
    <mergeCell ref="D190:G190"/>
    <mergeCell ref="B185:C185"/>
    <mergeCell ref="D185:G185"/>
    <mergeCell ref="B186:C186"/>
    <mergeCell ref="D186:G186"/>
    <mergeCell ref="B187:C187"/>
    <mergeCell ref="D187:G187"/>
    <mergeCell ref="B182:C182"/>
    <mergeCell ref="D182:G182"/>
    <mergeCell ref="B183:C183"/>
    <mergeCell ref="D183:G183"/>
    <mergeCell ref="B184:C184"/>
    <mergeCell ref="D184:G184"/>
    <mergeCell ref="B179:C179"/>
    <mergeCell ref="D179:G179"/>
    <mergeCell ref="B180:C180"/>
    <mergeCell ref="D180:G180"/>
    <mergeCell ref="B181:C181"/>
    <mergeCell ref="D181:G181"/>
    <mergeCell ref="B176:C176"/>
    <mergeCell ref="D176:G176"/>
    <mergeCell ref="B177:C177"/>
    <mergeCell ref="D177:G177"/>
    <mergeCell ref="B178:C178"/>
    <mergeCell ref="D178:G178"/>
    <mergeCell ref="B173:C173"/>
    <mergeCell ref="D173:G173"/>
    <mergeCell ref="B174:C174"/>
    <mergeCell ref="D174:G174"/>
    <mergeCell ref="B175:C175"/>
    <mergeCell ref="D175:G175"/>
    <mergeCell ref="B170:C170"/>
    <mergeCell ref="D170:G170"/>
    <mergeCell ref="B171:C171"/>
    <mergeCell ref="D171:G171"/>
    <mergeCell ref="B172:C172"/>
    <mergeCell ref="D172:G172"/>
    <mergeCell ref="B167:C167"/>
    <mergeCell ref="D167:G167"/>
    <mergeCell ref="B168:C168"/>
    <mergeCell ref="D168:G168"/>
    <mergeCell ref="B169:C169"/>
    <mergeCell ref="D169:G169"/>
    <mergeCell ref="B164:C164"/>
    <mergeCell ref="D164:G164"/>
    <mergeCell ref="B165:C165"/>
    <mergeCell ref="D165:G165"/>
    <mergeCell ref="B166:C166"/>
    <mergeCell ref="D166:G166"/>
    <mergeCell ref="B161:C161"/>
    <mergeCell ref="D161:G161"/>
    <mergeCell ref="B162:C162"/>
    <mergeCell ref="D162:G162"/>
    <mergeCell ref="B163:C163"/>
    <mergeCell ref="D163:G163"/>
    <mergeCell ref="B158:C158"/>
    <mergeCell ref="D158:G158"/>
    <mergeCell ref="B159:C159"/>
    <mergeCell ref="D159:G159"/>
    <mergeCell ref="B160:C160"/>
    <mergeCell ref="D160:G160"/>
    <mergeCell ref="B155:C155"/>
    <mergeCell ref="D155:G155"/>
    <mergeCell ref="B156:C156"/>
    <mergeCell ref="D156:G156"/>
    <mergeCell ref="B157:C157"/>
    <mergeCell ref="D157:G157"/>
    <mergeCell ref="B152:C152"/>
    <mergeCell ref="D152:G152"/>
    <mergeCell ref="B153:C153"/>
    <mergeCell ref="D153:G153"/>
    <mergeCell ref="B154:C154"/>
    <mergeCell ref="D154:G154"/>
    <mergeCell ref="B149:C149"/>
    <mergeCell ref="D149:G149"/>
    <mergeCell ref="B150:C150"/>
    <mergeCell ref="D150:G150"/>
    <mergeCell ref="B151:C151"/>
    <mergeCell ref="D151:G151"/>
    <mergeCell ref="B146:C146"/>
    <mergeCell ref="D146:G146"/>
    <mergeCell ref="B147:C147"/>
    <mergeCell ref="D147:G147"/>
    <mergeCell ref="B148:C148"/>
    <mergeCell ref="D148:G148"/>
    <mergeCell ref="B143:C143"/>
    <mergeCell ref="D143:G143"/>
    <mergeCell ref="B144:C144"/>
    <mergeCell ref="D144:G144"/>
    <mergeCell ref="B145:C145"/>
    <mergeCell ref="D145:G145"/>
    <mergeCell ref="B140:C140"/>
    <mergeCell ref="D140:G140"/>
    <mergeCell ref="B141:C141"/>
    <mergeCell ref="D141:G141"/>
    <mergeCell ref="B142:C142"/>
    <mergeCell ref="D142:G142"/>
    <mergeCell ref="B137:C137"/>
    <mergeCell ref="D137:G137"/>
    <mergeCell ref="B138:C138"/>
    <mergeCell ref="D138:G138"/>
    <mergeCell ref="B139:C139"/>
    <mergeCell ref="D139:G139"/>
    <mergeCell ref="B134:C134"/>
    <mergeCell ref="D134:G134"/>
    <mergeCell ref="B135:C135"/>
    <mergeCell ref="D135:G135"/>
    <mergeCell ref="B136:C136"/>
    <mergeCell ref="D136:G136"/>
    <mergeCell ref="B131:C131"/>
    <mergeCell ref="D131:G131"/>
    <mergeCell ref="B132:C132"/>
    <mergeCell ref="D132:G132"/>
    <mergeCell ref="B133:C133"/>
    <mergeCell ref="D133:G133"/>
    <mergeCell ref="H127:H128"/>
    <mergeCell ref="I127:I128"/>
    <mergeCell ref="B129:C129"/>
    <mergeCell ref="D129:G129"/>
    <mergeCell ref="B130:C130"/>
    <mergeCell ref="D130:G130"/>
    <mergeCell ref="B125:C125"/>
    <mergeCell ref="D125:G125"/>
    <mergeCell ref="B126:C126"/>
    <mergeCell ref="D126:G126"/>
    <mergeCell ref="A127:A128"/>
    <mergeCell ref="B127:C128"/>
    <mergeCell ref="D127:G128"/>
    <mergeCell ref="B122:C122"/>
    <mergeCell ref="D122:G122"/>
    <mergeCell ref="B123:C123"/>
    <mergeCell ref="D123:G123"/>
    <mergeCell ref="B124:C124"/>
    <mergeCell ref="D124:G124"/>
    <mergeCell ref="B119:C119"/>
    <mergeCell ref="D119:G119"/>
    <mergeCell ref="B120:C120"/>
    <mergeCell ref="D120:G120"/>
    <mergeCell ref="B121:C121"/>
    <mergeCell ref="D121:G121"/>
    <mergeCell ref="B116:C116"/>
    <mergeCell ref="D116:G116"/>
    <mergeCell ref="B117:C117"/>
    <mergeCell ref="D117:G117"/>
    <mergeCell ref="B118:C118"/>
    <mergeCell ref="D118:G118"/>
    <mergeCell ref="B113:C113"/>
    <mergeCell ref="D113:G113"/>
    <mergeCell ref="B114:C114"/>
    <mergeCell ref="D114:G114"/>
    <mergeCell ref="B115:C115"/>
    <mergeCell ref="D115:G115"/>
    <mergeCell ref="B110:C110"/>
    <mergeCell ref="D110:G110"/>
    <mergeCell ref="B111:C111"/>
    <mergeCell ref="D111:G111"/>
    <mergeCell ref="B112:C112"/>
    <mergeCell ref="D112:G112"/>
    <mergeCell ref="B107:C107"/>
    <mergeCell ref="D107:G107"/>
    <mergeCell ref="B108:C108"/>
    <mergeCell ref="D108:G108"/>
    <mergeCell ref="B109:C109"/>
    <mergeCell ref="D109:G109"/>
    <mergeCell ref="B104:C104"/>
    <mergeCell ref="D104:G104"/>
    <mergeCell ref="B105:C105"/>
    <mergeCell ref="D105:G105"/>
    <mergeCell ref="B106:C106"/>
    <mergeCell ref="D106:G106"/>
    <mergeCell ref="B101:C101"/>
    <mergeCell ref="D101:G101"/>
    <mergeCell ref="B102:C102"/>
    <mergeCell ref="D102:G102"/>
    <mergeCell ref="B103:C103"/>
    <mergeCell ref="D103:G103"/>
    <mergeCell ref="B98:C98"/>
    <mergeCell ref="D98:G98"/>
    <mergeCell ref="B99:C99"/>
    <mergeCell ref="D99:G99"/>
    <mergeCell ref="B100:C100"/>
    <mergeCell ref="D100:G100"/>
    <mergeCell ref="B95:C95"/>
    <mergeCell ref="D95:G95"/>
    <mergeCell ref="B96:C96"/>
    <mergeCell ref="D96:G96"/>
    <mergeCell ref="B97:C97"/>
    <mergeCell ref="D97:G97"/>
    <mergeCell ref="B92:C92"/>
    <mergeCell ref="D92:G92"/>
    <mergeCell ref="B93:C93"/>
    <mergeCell ref="D93:G93"/>
    <mergeCell ref="B94:C94"/>
    <mergeCell ref="D94:G94"/>
    <mergeCell ref="B89:C89"/>
    <mergeCell ref="D89:G89"/>
    <mergeCell ref="B90:C90"/>
    <mergeCell ref="D90:G90"/>
    <mergeCell ref="B91:C91"/>
    <mergeCell ref="D91:G91"/>
    <mergeCell ref="B86:C86"/>
    <mergeCell ref="D86:G86"/>
    <mergeCell ref="B87:C87"/>
    <mergeCell ref="D87:G87"/>
    <mergeCell ref="B88:C88"/>
    <mergeCell ref="D88:G88"/>
    <mergeCell ref="B83:C83"/>
    <mergeCell ref="D83:G83"/>
    <mergeCell ref="B84:C84"/>
    <mergeCell ref="D84:G84"/>
    <mergeCell ref="B85:C85"/>
    <mergeCell ref="D85:G85"/>
    <mergeCell ref="B80:C80"/>
    <mergeCell ref="D80:G80"/>
    <mergeCell ref="B81:C81"/>
    <mergeCell ref="D81:G81"/>
    <mergeCell ref="B82:C82"/>
    <mergeCell ref="D82:G82"/>
    <mergeCell ref="B77:C77"/>
    <mergeCell ref="D77:G77"/>
    <mergeCell ref="B78:C78"/>
    <mergeCell ref="D78:G78"/>
    <mergeCell ref="B79:C79"/>
    <mergeCell ref="D79:G79"/>
    <mergeCell ref="B74:C74"/>
    <mergeCell ref="D74:G74"/>
    <mergeCell ref="B75:C75"/>
    <mergeCell ref="D75:G75"/>
    <mergeCell ref="B76:C76"/>
    <mergeCell ref="D76:G76"/>
    <mergeCell ref="B71:C71"/>
    <mergeCell ref="D71:G71"/>
    <mergeCell ref="B72:C72"/>
    <mergeCell ref="D72:G72"/>
    <mergeCell ref="B73:C73"/>
    <mergeCell ref="D73:G73"/>
    <mergeCell ref="B68:C68"/>
    <mergeCell ref="D68:G68"/>
    <mergeCell ref="B69:C69"/>
    <mergeCell ref="D69:G69"/>
    <mergeCell ref="B70:C70"/>
    <mergeCell ref="D70:G70"/>
    <mergeCell ref="B65:C65"/>
    <mergeCell ref="D65:G65"/>
    <mergeCell ref="B66:C66"/>
    <mergeCell ref="D66:G66"/>
    <mergeCell ref="B67:C67"/>
    <mergeCell ref="D67:G67"/>
    <mergeCell ref="B62:C62"/>
    <mergeCell ref="D62:G62"/>
    <mergeCell ref="B63:C63"/>
    <mergeCell ref="D63:G63"/>
    <mergeCell ref="B64:C64"/>
    <mergeCell ref="D64:G64"/>
    <mergeCell ref="B59:C59"/>
    <mergeCell ref="D59:G59"/>
    <mergeCell ref="B60:C60"/>
    <mergeCell ref="D60:G60"/>
    <mergeCell ref="B61:C61"/>
    <mergeCell ref="D61:G61"/>
    <mergeCell ref="B56:C56"/>
    <mergeCell ref="D56:G56"/>
    <mergeCell ref="B57:C57"/>
    <mergeCell ref="D57:G57"/>
    <mergeCell ref="B58:C58"/>
    <mergeCell ref="D58:G58"/>
    <mergeCell ref="B53:C53"/>
    <mergeCell ref="D53:G53"/>
    <mergeCell ref="B54:C54"/>
    <mergeCell ref="D54:G54"/>
    <mergeCell ref="B55:C55"/>
    <mergeCell ref="D55:G55"/>
    <mergeCell ref="B50:C50"/>
    <mergeCell ref="D50:G50"/>
    <mergeCell ref="B51:C51"/>
    <mergeCell ref="D51:G51"/>
    <mergeCell ref="B52:C52"/>
    <mergeCell ref="D52:G52"/>
    <mergeCell ref="B47:C47"/>
    <mergeCell ref="D47:G47"/>
    <mergeCell ref="B48:C48"/>
    <mergeCell ref="D48:G48"/>
    <mergeCell ref="B49:C49"/>
    <mergeCell ref="D49:G49"/>
    <mergeCell ref="B44:C44"/>
    <mergeCell ref="D44:G44"/>
    <mergeCell ref="B45:C45"/>
    <mergeCell ref="D45:G45"/>
    <mergeCell ref="B46:C46"/>
    <mergeCell ref="D46:G46"/>
    <mergeCell ref="B41:C41"/>
    <mergeCell ref="D41:G41"/>
    <mergeCell ref="B42:C42"/>
    <mergeCell ref="D42:G42"/>
    <mergeCell ref="B43:C43"/>
    <mergeCell ref="D43:G43"/>
    <mergeCell ref="B38:C38"/>
    <mergeCell ref="D38:G38"/>
    <mergeCell ref="B39:C39"/>
    <mergeCell ref="D39:G39"/>
    <mergeCell ref="B40:C40"/>
    <mergeCell ref="D40:G40"/>
    <mergeCell ref="B35:C35"/>
    <mergeCell ref="D35:G35"/>
    <mergeCell ref="B36:C36"/>
    <mergeCell ref="D36:G36"/>
    <mergeCell ref="B37:C37"/>
    <mergeCell ref="D37:G37"/>
    <mergeCell ref="B32:C32"/>
    <mergeCell ref="D32:G32"/>
    <mergeCell ref="B33:C33"/>
    <mergeCell ref="D33:G33"/>
    <mergeCell ref="B34:C34"/>
    <mergeCell ref="D34:G34"/>
    <mergeCell ref="B29:C29"/>
    <mergeCell ref="D29:G29"/>
    <mergeCell ref="B30:C30"/>
    <mergeCell ref="D30:G30"/>
    <mergeCell ref="B31:C31"/>
    <mergeCell ref="D31:G31"/>
    <mergeCell ref="B26:C26"/>
    <mergeCell ref="D26:G26"/>
    <mergeCell ref="B27:C27"/>
    <mergeCell ref="D27:G27"/>
    <mergeCell ref="B28:C28"/>
    <mergeCell ref="D28:G28"/>
    <mergeCell ref="B23:C23"/>
    <mergeCell ref="D23:G23"/>
    <mergeCell ref="B24:C24"/>
    <mergeCell ref="D24:G24"/>
    <mergeCell ref="B25:C25"/>
    <mergeCell ref="D25:G25"/>
    <mergeCell ref="B20:C20"/>
    <mergeCell ref="D20:G20"/>
    <mergeCell ref="B21:C21"/>
    <mergeCell ref="D21:G21"/>
    <mergeCell ref="B22:C22"/>
    <mergeCell ref="D22:G22"/>
    <mergeCell ref="A1:C1"/>
    <mergeCell ref="D1:I1"/>
    <mergeCell ref="A3:I3"/>
    <mergeCell ref="A4:I4"/>
    <mergeCell ref="A6:C6"/>
    <mergeCell ref="D6:I6"/>
    <mergeCell ref="B17:C17"/>
    <mergeCell ref="D17:G17"/>
    <mergeCell ref="B18:C18"/>
    <mergeCell ref="D18:G18"/>
    <mergeCell ref="B19:C19"/>
    <mergeCell ref="D19:G19"/>
    <mergeCell ref="B14:C14"/>
    <mergeCell ref="D14:G14"/>
    <mergeCell ref="B15:C15"/>
    <mergeCell ref="D15:G15"/>
    <mergeCell ref="B16:C16"/>
    <mergeCell ref="D16:G16"/>
    <mergeCell ref="A8:C8"/>
    <mergeCell ref="D8:I8"/>
    <mergeCell ref="A10:C10"/>
    <mergeCell ref="D10:I10"/>
    <mergeCell ref="A12:I12"/>
    <mergeCell ref="B13:C13"/>
    <mergeCell ref="D13:G13"/>
  </mergeCells>
  <pageMargins left="0.39370078740157477" right="0.39370078740157477" top="0.74803149606299213" bottom="0.74803149606299213" header="0.31496062992125984" footer="0.31496062992125984"/>
  <pageSetup paperSize="9" orientation="portrait" useFirstPageNumber="1" horizontalDpi="300" verticalDpi="300" r:id="rId1"/>
  <headerFooter alignWithMargins="0">
    <oddFooter>&amp;CСтраница &amp;P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774"/>
  <sheetViews>
    <sheetView topLeftCell="A752" workbookViewId="0">
      <selection sqref="A1:C1"/>
    </sheetView>
  </sheetViews>
  <sheetFormatPr defaultColWidth="10.28515625" defaultRowHeight="12.75" x14ac:dyDescent="0.2"/>
  <cols>
    <col min="1" max="1" width="3.28515625" style="1046" customWidth="1"/>
    <col min="2" max="2" width="9.5703125" style="1046" customWidth="1"/>
    <col min="3" max="3" width="13.85546875" style="1046" customWidth="1"/>
    <col min="4" max="4" width="3.85546875" style="1046" customWidth="1"/>
    <col min="5" max="7" width="8.28515625" style="1046" customWidth="1"/>
    <col min="8" max="8" width="17.5703125" style="1046" customWidth="1"/>
    <col min="9" max="9" width="13.140625" style="1046" customWidth="1"/>
    <col min="10" max="10" width="17.5703125" style="354" customWidth="1"/>
    <col min="11" max="256" width="10.28515625" style="354"/>
    <col min="257" max="257" width="3.28515625" style="354" customWidth="1"/>
    <col min="258" max="258" width="9.5703125" style="354" customWidth="1"/>
    <col min="259" max="259" width="13.85546875" style="354" customWidth="1"/>
    <col min="260" max="260" width="3.85546875" style="354" customWidth="1"/>
    <col min="261" max="263" width="8.28515625" style="354" customWidth="1"/>
    <col min="264" max="264" width="17.5703125" style="354" customWidth="1"/>
    <col min="265" max="265" width="13.140625" style="354" customWidth="1"/>
    <col min="266" max="266" width="17.5703125" style="354" customWidth="1"/>
    <col min="267" max="512" width="10.28515625" style="354"/>
    <col min="513" max="513" width="3.28515625" style="354" customWidth="1"/>
    <col min="514" max="514" width="9.5703125" style="354" customWidth="1"/>
    <col min="515" max="515" width="13.85546875" style="354" customWidth="1"/>
    <col min="516" max="516" width="3.85546875" style="354" customWidth="1"/>
    <col min="517" max="519" width="8.28515625" style="354" customWidth="1"/>
    <col min="520" max="520" width="17.5703125" style="354" customWidth="1"/>
    <col min="521" max="521" width="13.140625" style="354" customWidth="1"/>
    <col min="522" max="522" width="17.5703125" style="354" customWidth="1"/>
    <col min="523" max="768" width="10.28515625" style="354"/>
    <col min="769" max="769" width="3.28515625" style="354" customWidth="1"/>
    <col min="770" max="770" width="9.5703125" style="354" customWidth="1"/>
    <col min="771" max="771" width="13.85546875" style="354" customWidth="1"/>
    <col min="772" max="772" width="3.85546875" style="354" customWidth="1"/>
    <col min="773" max="775" width="8.28515625" style="354" customWidth="1"/>
    <col min="776" max="776" width="17.5703125" style="354" customWidth="1"/>
    <col min="777" max="777" width="13.140625" style="354" customWidth="1"/>
    <col min="778" max="778" width="17.5703125" style="354" customWidth="1"/>
    <col min="779" max="1024" width="10.28515625" style="354"/>
    <col min="1025" max="1025" width="3.28515625" style="354" customWidth="1"/>
    <col min="1026" max="1026" width="9.5703125" style="354" customWidth="1"/>
    <col min="1027" max="1027" width="13.85546875" style="354" customWidth="1"/>
    <col min="1028" max="1028" width="3.85546875" style="354" customWidth="1"/>
    <col min="1029" max="1031" width="8.28515625" style="354" customWidth="1"/>
    <col min="1032" max="1032" width="17.5703125" style="354" customWidth="1"/>
    <col min="1033" max="1033" width="13.140625" style="354" customWidth="1"/>
    <col min="1034" max="1034" width="17.5703125" style="354" customWidth="1"/>
    <col min="1035" max="1280" width="10.28515625" style="354"/>
    <col min="1281" max="1281" width="3.28515625" style="354" customWidth="1"/>
    <col min="1282" max="1282" width="9.5703125" style="354" customWidth="1"/>
    <col min="1283" max="1283" width="13.85546875" style="354" customWidth="1"/>
    <col min="1284" max="1284" width="3.85546875" style="354" customWidth="1"/>
    <col min="1285" max="1287" width="8.28515625" style="354" customWidth="1"/>
    <col min="1288" max="1288" width="17.5703125" style="354" customWidth="1"/>
    <col min="1289" max="1289" width="13.140625" style="354" customWidth="1"/>
    <col min="1290" max="1290" width="17.5703125" style="354" customWidth="1"/>
    <col min="1291" max="1536" width="10.28515625" style="354"/>
    <col min="1537" max="1537" width="3.28515625" style="354" customWidth="1"/>
    <col min="1538" max="1538" width="9.5703125" style="354" customWidth="1"/>
    <col min="1539" max="1539" width="13.85546875" style="354" customWidth="1"/>
    <col min="1540" max="1540" width="3.85546875" style="354" customWidth="1"/>
    <col min="1541" max="1543" width="8.28515625" style="354" customWidth="1"/>
    <col min="1544" max="1544" width="17.5703125" style="354" customWidth="1"/>
    <col min="1545" max="1545" width="13.140625" style="354" customWidth="1"/>
    <col min="1546" max="1546" width="17.5703125" style="354" customWidth="1"/>
    <col min="1547" max="1792" width="10.28515625" style="354"/>
    <col min="1793" max="1793" width="3.28515625" style="354" customWidth="1"/>
    <col min="1794" max="1794" width="9.5703125" style="354" customWidth="1"/>
    <col min="1795" max="1795" width="13.85546875" style="354" customWidth="1"/>
    <col min="1796" max="1796" width="3.85546875" style="354" customWidth="1"/>
    <col min="1797" max="1799" width="8.28515625" style="354" customWidth="1"/>
    <col min="1800" max="1800" width="17.5703125" style="354" customWidth="1"/>
    <col min="1801" max="1801" width="13.140625" style="354" customWidth="1"/>
    <col min="1802" max="1802" width="17.5703125" style="354" customWidth="1"/>
    <col min="1803" max="2048" width="10.28515625" style="354"/>
    <col min="2049" max="2049" width="3.28515625" style="354" customWidth="1"/>
    <col min="2050" max="2050" width="9.5703125" style="354" customWidth="1"/>
    <col min="2051" max="2051" width="13.85546875" style="354" customWidth="1"/>
    <col min="2052" max="2052" width="3.85546875" style="354" customWidth="1"/>
    <col min="2053" max="2055" width="8.28515625" style="354" customWidth="1"/>
    <col min="2056" max="2056" width="17.5703125" style="354" customWidth="1"/>
    <col min="2057" max="2057" width="13.140625" style="354" customWidth="1"/>
    <col min="2058" max="2058" width="17.5703125" style="354" customWidth="1"/>
    <col min="2059" max="2304" width="10.28515625" style="354"/>
    <col min="2305" max="2305" width="3.28515625" style="354" customWidth="1"/>
    <col min="2306" max="2306" width="9.5703125" style="354" customWidth="1"/>
    <col min="2307" max="2307" width="13.85546875" style="354" customWidth="1"/>
    <col min="2308" max="2308" width="3.85546875" style="354" customWidth="1"/>
    <col min="2309" max="2311" width="8.28515625" style="354" customWidth="1"/>
    <col min="2312" max="2312" width="17.5703125" style="354" customWidth="1"/>
    <col min="2313" max="2313" width="13.140625" style="354" customWidth="1"/>
    <col min="2314" max="2314" width="17.5703125" style="354" customWidth="1"/>
    <col min="2315" max="2560" width="10.28515625" style="354"/>
    <col min="2561" max="2561" width="3.28515625" style="354" customWidth="1"/>
    <col min="2562" max="2562" width="9.5703125" style="354" customWidth="1"/>
    <col min="2563" max="2563" width="13.85546875" style="354" customWidth="1"/>
    <col min="2564" max="2564" width="3.85546875" style="354" customWidth="1"/>
    <col min="2565" max="2567" width="8.28515625" style="354" customWidth="1"/>
    <col min="2568" max="2568" width="17.5703125" style="354" customWidth="1"/>
    <col min="2569" max="2569" width="13.140625" style="354" customWidth="1"/>
    <col min="2570" max="2570" width="17.5703125" style="354" customWidth="1"/>
    <col min="2571" max="2816" width="10.28515625" style="354"/>
    <col min="2817" max="2817" width="3.28515625" style="354" customWidth="1"/>
    <col min="2818" max="2818" width="9.5703125" style="354" customWidth="1"/>
    <col min="2819" max="2819" width="13.85546875" style="354" customWidth="1"/>
    <col min="2820" max="2820" width="3.85546875" style="354" customWidth="1"/>
    <col min="2821" max="2823" width="8.28515625" style="354" customWidth="1"/>
    <col min="2824" max="2824" width="17.5703125" style="354" customWidth="1"/>
    <col min="2825" max="2825" width="13.140625" style="354" customWidth="1"/>
    <col min="2826" max="2826" width="17.5703125" style="354" customWidth="1"/>
    <col min="2827" max="3072" width="10.28515625" style="354"/>
    <col min="3073" max="3073" width="3.28515625" style="354" customWidth="1"/>
    <col min="3074" max="3074" width="9.5703125" style="354" customWidth="1"/>
    <col min="3075" max="3075" width="13.85546875" style="354" customWidth="1"/>
    <col min="3076" max="3076" width="3.85546875" style="354" customWidth="1"/>
    <col min="3077" max="3079" width="8.28515625" style="354" customWidth="1"/>
    <col min="3080" max="3080" width="17.5703125" style="354" customWidth="1"/>
    <col min="3081" max="3081" width="13.140625" style="354" customWidth="1"/>
    <col min="3082" max="3082" width="17.5703125" style="354" customWidth="1"/>
    <col min="3083" max="3328" width="10.28515625" style="354"/>
    <col min="3329" max="3329" width="3.28515625" style="354" customWidth="1"/>
    <col min="3330" max="3330" width="9.5703125" style="354" customWidth="1"/>
    <col min="3331" max="3331" width="13.85546875" style="354" customWidth="1"/>
    <col min="3332" max="3332" width="3.85546875" style="354" customWidth="1"/>
    <col min="3333" max="3335" width="8.28515625" style="354" customWidth="1"/>
    <col min="3336" max="3336" width="17.5703125" style="354" customWidth="1"/>
    <col min="3337" max="3337" width="13.140625" style="354" customWidth="1"/>
    <col min="3338" max="3338" width="17.5703125" style="354" customWidth="1"/>
    <col min="3339" max="3584" width="10.28515625" style="354"/>
    <col min="3585" max="3585" width="3.28515625" style="354" customWidth="1"/>
    <col min="3586" max="3586" width="9.5703125" style="354" customWidth="1"/>
    <col min="3587" max="3587" width="13.85546875" style="354" customWidth="1"/>
    <col min="3588" max="3588" width="3.85546875" style="354" customWidth="1"/>
    <col min="3589" max="3591" width="8.28515625" style="354" customWidth="1"/>
    <col min="3592" max="3592" width="17.5703125" style="354" customWidth="1"/>
    <col min="3593" max="3593" width="13.140625" style="354" customWidth="1"/>
    <col min="3594" max="3594" width="17.5703125" style="354" customWidth="1"/>
    <col min="3595" max="3840" width="10.28515625" style="354"/>
    <col min="3841" max="3841" width="3.28515625" style="354" customWidth="1"/>
    <col min="3842" max="3842" width="9.5703125" style="354" customWidth="1"/>
    <col min="3843" max="3843" width="13.85546875" style="354" customWidth="1"/>
    <col min="3844" max="3844" width="3.85546875" style="354" customWidth="1"/>
    <col min="3845" max="3847" width="8.28515625" style="354" customWidth="1"/>
    <col min="3848" max="3848" width="17.5703125" style="354" customWidth="1"/>
    <col min="3849" max="3849" width="13.140625" style="354" customWidth="1"/>
    <col min="3850" max="3850" width="17.5703125" style="354" customWidth="1"/>
    <col min="3851" max="4096" width="10.28515625" style="354"/>
    <col min="4097" max="4097" width="3.28515625" style="354" customWidth="1"/>
    <col min="4098" max="4098" width="9.5703125" style="354" customWidth="1"/>
    <col min="4099" max="4099" width="13.85546875" style="354" customWidth="1"/>
    <col min="4100" max="4100" width="3.85546875" style="354" customWidth="1"/>
    <col min="4101" max="4103" width="8.28515625" style="354" customWidth="1"/>
    <col min="4104" max="4104" width="17.5703125" style="354" customWidth="1"/>
    <col min="4105" max="4105" width="13.140625" style="354" customWidth="1"/>
    <col min="4106" max="4106" width="17.5703125" style="354" customWidth="1"/>
    <col min="4107" max="4352" width="10.28515625" style="354"/>
    <col min="4353" max="4353" width="3.28515625" style="354" customWidth="1"/>
    <col min="4354" max="4354" width="9.5703125" style="354" customWidth="1"/>
    <col min="4355" max="4355" width="13.85546875" style="354" customWidth="1"/>
    <col min="4356" max="4356" width="3.85546875" style="354" customWidth="1"/>
    <col min="4357" max="4359" width="8.28515625" style="354" customWidth="1"/>
    <col min="4360" max="4360" width="17.5703125" style="354" customWidth="1"/>
    <col min="4361" max="4361" width="13.140625" style="354" customWidth="1"/>
    <col min="4362" max="4362" width="17.5703125" style="354" customWidth="1"/>
    <col min="4363" max="4608" width="10.28515625" style="354"/>
    <col min="4609" max="4609" width="3.28515625" style="354" customWidth="1"/>
    <col min="4610" max="4610" width="9.5703125" style="354" customWidth="1"/>
    <col min="4611" max="4611" width="13.85546875" style="354" customWidth="1"/>
    <col min="4612" max="4612" width="3.85546875" style="354" customWidth="1"/>
    <col min="4613" max="4615" width="8.28515625" style="354" customWidth="1"/>
    <col min="4616" max="4616" width="17.5703125" style="354" customWidth="1"/>
    <col min="4617" max="4617" width="13.140625" style="354" customWidth="1"/>
    <col min="4618" max="4618" width="17.5703125" style="354" customWidth="1"/>
    <col min="4619" max="4864" width="10.28515625" style="354"/>
    <col min="4865" max="4865" width="3.28515625" style="354" customWidth="1"/>
    <col min="4866" max="4866" width="9.5703125" style="354" customWidth="1"/>
    <col min="4867" max="4867" width="13.85546875" style="354" customWidth="1"/>
    <col min="4868" max="4868" width="3.85546875" style="354" customWidth="1"/>
    <col min="4869" max="4871" width="8.28515625" style="354" customWidth="1"/>
    <col min="4872" max="4872" width="17.5703125" style="354" customWidth="1"/>
    <col min="4873" max="4873" width="13.140625" style="354" customWidth="1"/>
    <col min="4874" max="4874" width="17.5703125" style="354" customWidth="1"/>
    <col min="4875" max="5120" width="10.28515625" style="354"/>
    <col min="5121" max="5121" width="3.28515625" style="354" customWidth="1"/>
    <col min="5122" max="5122" width="9.5703125" style="354" customWidth="1"/>
    <col min="5123" max="5123" width="13.85546875" style="354" customWidth="1"/>
    <col min="5124" max="5124" width="3.85546875" style="354" customWidth="1"/>
    <col min="5125" max="5127" width="8.28515625" style="354" customWidth="1"/>
    <col min="5128" max="5128" width="17.5703125" style="354" customWidth="1"/>
    <col min="5129" max="5129" width="13.140625" style="354" customWidth="1"/>
    <col min="5130" max="5130" width="17.5703125" style="354" customWidth="1"/>
    <col min="5131" max="5376" width="10.28515625" style="354"/>
    <col min="5377" max="5377" width="3.28515625" style="354" customWidth="1"/>
    <col min="5378" max="5378" width="9.5703125" style="354" customWidth="1"/>
    <col min="5379" max="5379" width="13.85546875" style="354" customWidth="1"/>
    <col min="5380" max="5380" width="3.85546875" style="354" customWidth="1"/>
    <col min="5381" max="5383" width="8.28515625" style="354" customWidth="1"/>
    <col min="5384" max="5384" width="17.5703125" style="354" customWidth="1"/>
    <col min="5385" max="5385" width="13.140625" style="354" customWidth="1"/>
    <col min="5386" max="5386" width="17.5703125" style="354" customWidth="1"/>
    <col min="5387" max="5632" width="10.28515625" style="354"/>
    <col min="5633" max="5633" width="3.28515625" style="354" customWidth="1"/>
    <col min="5634" max="5634" width="9.5703125" style="354" customWidth="1"/>
    <col min="5635" max="5635" width="13.85546875" style="354" customWidth="1"/>
    <col min="5636" max="5636" width="3.85546875" style="354" customWidth="1"/>
    <col min="5637" max="5639" width="8.28515625" style="354" customWidth="1"/>
    <col min="5640" max="5640" width="17.5703125" style="354" customWidth="1"/>
    <col min="5641" max="5641" width="13.140625" style="354" customWidth="1"/>
    <col min="5642" max="5642" width="17.5703125" style="354" customWidth="1"/>
    <col min="5643" max="5888" width="10.28515625" style="354"/>
    <col min="5889" max="5889" width="3.28515625" style="354" customWidth="1"/>
    <col min="5890" max="5890" width="9.5703125" style="354" customWidth="1"/>
    <col min="5891" max="5891" width="13.85546875" style="354" customWidth="1"/>
    <col min="5892" max="5892" width="3.85546875" style="354" customWidth="1"/>
    <col min="5893" max="5895" width="8.28515625" style="354" customWidth="1"/>
    <col min="5896" max="5896" width="17.5703125" style="354" customWidth="1"/>
    <col min="5897" max="5897" width="13.140625" style="354" customWidth="1"/>
    <col min="5898" max="5898" width="17.5703125" style="354" customWidth="1"/>
    <col min="5899" max="6144" width="10.28515625" style="354"/>
    <col min="6145" max="6145" width="3.28515625" style="354" customWidth="1"/>
    <col min="6146" max="6146" width="9.5703125" style="354" customWidth="1"/>
    <col min="6147" max="6147" width="13.85546875" style="354" customWidth="1"/>
    <col min="6148" max="6148" width="3.85546875" style="354" customWidth="1"/>
    <col min="6149" max="6151" width="8.28515625" style="354" customWidth="1"/>
    <col min="6152" max="6152" width="17.5703125" style="354" customWidth="1"/>
    <col min="6153" max="6153" width="13.140625" style="354" customWidth="1"/>
    <col min="6154" max="6154" width="17.5703125" style="354" customWidth="1"/>
    <col min="6155" max="6400" width="10.28515625" style="354"/>
    <col min="6401" max="6401" width="3.28515625" style="354" customWidth="1"/>
    <col min="6402" max="6402" width="9.5703125" style="354" customWidth="1"/>
    <col min="6403" max="6403" width="13.85546875" style="354" customWidth="1"/>
    <col min="6404" max="6404" width="3.85546875" style="354" customWidth="1"/>
    <col min="6405" max="6407" width="8.28515625" style="354" customWidth="1"/>
    <col min="6408" max="6408" width="17.5703125" style="354" customWidth="1"/>
    <col min="6409" max="6409" width="13.140625" style="354" customWidth="1"/>
    <col min="6410" max="6410" width="17.5703125" style="354" customWidth="1"/>
    <col min="6411" max="6656" width="10.28515625" style="354"/>
    <col min="6657" max="6657" width="3.28515625" style="354" customWidth="1"/>
    <col min="6658" max="6658" width="9.5703125" style="354" customWidth="1"/>
    <col min="6659" max="6659" width="13.85546875" style="354" customWidth="1"/>
    <col min="6660" max="6660" width="3.85546875" style="354" customWidth="1"/>
    <col min="6661" max="6663" width="8.28515625" style="354" customWidth="1"/>
    <col min="6664" max="6664" width="17.5703125" style="354" customWidth="1"/>
    <col min="6665" max="6665" width="13.140625" style="354" customWidth="1"/>
    <col min="6666" max="6666" width="17.5703125" style="354" customWidth="1"/>
    <col min="6667" max="6912" width="10.28515625" style="354"/>
    <col min="6913" max="6913" width="3.28515625" style="354" customWidth="1"/>
    <col min="6914" max="6914" width="9.5703125" style="354" customWidth="1"/>
    <col min="6915" max="6915" width="13.85546875" style="354" customWidth="1"/>
    <col min="6916" max="6916" width="3.85546875" style="354" customWidth="1"/>
    <col min="6917" max="6919" width="8.28515625" style="354" customWidth="1"/>
    <col min="6920" max="6920" width="17.5703125" style="354" customWidth="1"/>
    <col min="6921" max="6921" width="13.140625" style="354" customWidth="1"/>
    <col min="6922" max="6922" width="17.5703125" style="354" customWidth="1"/>
    <col min="6923" max="7168" width="10.28515625" style="354"/>
    <col min="7169" max="7169" width="3.28515625" style="354" customWidth="1"/>
    <col min="7170" max="7170" width="9.5703125" style="354" customWidth="1"/>
    <col min="7171" max="7171" width="13.85546875" style="354" customWidth="1"/>
    <col min="7172" max="7172" width="3.85546875" style="354" customWidth="1"/>
    <col min="7173" max="7175" width="8.28515625" style="354" customWidth="1"/>
    <col min="7176" max="7176" width="17.5703125" style="354" customWidth="1"/>
    <col min="7177" max="7177" width="13.140625" style="354" customWidth="1"/>
    <col min="7178" max="7178" width="17.5703125" style="354" customWidth="1"/>
    <col min="7179" max="7424" width="10.28515625" style="354"/>
    <col min="7425" max="7425" width="3.28515625" style="354" customWidth="1"/>
    <col min="7426" max="7426" width="9.5703125" style="354" customWidth="1"/>
    <col min="7427" max="7427" width="13.85546875" style="354" customWidth="1"/>
    <col min="7428" max="7428" width="3.85546875" style="354" customWidth="1"/>
    <col min="7429" max="7431" width="8.28515625" style="354" customWidth="1"/>
    <col min="7432" max="7432" width="17.5703125" style="354" customWidth="1"/>
    <col min="7433" max="7433" width="13.140625" style="354" customWidth="1"/>
    <col min="7434" max="7434" width="17.5703125" style="354" customWidth="1"/>
    <col min="7435" max="7680" width="10.28515625" style="354"/>
    <col min="7681" max="7681" width="3.28515625" style="354" customWidth="1"/>
    <col min="7682" max="7682" width="9.5703125" style="354" customWidth="1"/>
    <col min="7683" max="7683" width="13.85546875" style="354" customWidth="1"/>
    <col min="7684" max="7684" width="3.85546875" style="354" customWidth="1"/>
    <col min="7685" max="7687" width="8.28515625" style="354" customWidth="1"/>
    <col min="7688" max="7688" width="17.5703125" style="354" customWidth="1"/>
    <col min="7689" max="7689" width="13.140625" style="354" customWidth="1"/>
    <col min="7690" max="7690" width="17.5703125" style="354" customWidth="1"/>
    <col min="7691" max="7936" width="10.28515625" style="354"/>
    <col min="7937" max="7937" width="3.28515625" style="354" customWidth="1"/>
    <col min="7938" max="7938" width="9.5703125" style="354" customWidth="1"/>
    <col min="7939" max="7939" width="13.85546875" style="354" customWidth="1"/>
    <col min="7940" max="7940" width="3.85546875" style="354" customWidth="1"/>
    <col min="7941" max="7943" width="8.28515625" style="354" customWidth="1"/>
    <col min="7944" max="7944" width="17.5703125" style="354" customWidth="1"/>
    <col min="7945" max="7945" width="13.140625" style="354" customWidth="1"/>
    <col min="7946" max="7946" width="17.5703125" style="354" customWidth="1"/>
    <col min="7947" max="8192" width="10.28515625" style="354"/>
    <col min="8193" max="8193" width="3.28515625" style="354" customWidth="1"/>
    <col min="8194" max="8194" width="9.5703125" style="354" customWidth="1"/>
    <col min="8195" max="8195" width="13.85546875" style="354" customWidth="1"/>
    <col min="8196" max="8196" width="3.85546875" style="354" customWidth="1"/>
    <col min="8197" max="8199" width="8.28515625" style="354" customWidth="1"/>
    <col min="8200" max="8200" width="17.5703125" style="354" customWidth="1"/>
    <col min="8201" max="8201" width="13.140625" style="354" customWidth="1"/>
    <col min="8202" max="8202" width="17.5703125" style="354" customWidth="1"/>
    <col min="8203" max="8448" width="10.28515625" style="354"/>
    <col min="8449" max="8449" width="3.28515625" style="354" customWidth="1"/>
    <col min="8450" max="8450" width="9.5703125" style="354" customWidth="1"/>
    <col min="8451" max="8451" width="13.85546875" style="354" customWidth="1"/>
    <col min="8452" max="8452" width="3.85546875" style="354" customWidth="1"/>
    <col min="8453" max="8455" width="8.28515625" style="354" customWidth="1"/>
    <col min="8456" max="8456" width="17.5703125" style="354" customWidth="1"/>
    <col min="8457" max="8457" width="13.140625" style="354" customWidth="1"/>
    <col min="8458" max="8458" width="17.5703125" style="354" customWidth="1"/>
    <col min="8459" max="8704" width="10.28515625" style="354"/>
    <col min="8705" max="8705" width="3.28515625" style="354" customWidth="1"/>
    <col min="8706" max="8706" width="9.5703125" style="354" customWidth="1"/>
    <col min="8707" max="8707" width="13.85546875" style="354" customWidth="1"/>
    <col min="8708" max="8708" width="3.85546875" style="354" customWidth="1"/>
    <col min="8709" max="8711" width="8.28515625" style="354" customWidth="1"/>
    <col min="8712" max="8712" width="17.5703125" style="354" customWidth="1"/>
    <col min="8713" max="8713" width="13.140625" style="354" customWidth="1"/>
    <col min="8714" max="8714" width="17.5703125" style="354" customWidth="1"/>
    <col min="8715" max="8960" width="10.28515625" style="354"/>
    <col min="8961" max="8961" width="3.28515625" style="354" customWidth="1"/>
    <col min="8962" max="8962" width="9.5703125" style="354" customWidth="1"/>
    <col min="8963" max="8963" width="13.85546875" style="354" customWidth="1"/>
    <col min="8964" max="8964" width="3.85546875" style="354" customWidth="1"/>
    <col min="8965" max="8967" width="8.28515625" style="354" customWidth="1"/>
    <col min="8968" max="8968" width="17.5703125" style="354" customWidth="1"/>
    <col min="8969" max="8969" width="13.140625" style="354" customWidth="1"/>
    <col min="8970" max="8970" width="17.5703125" style="354" customWidth="1"/>
    <col min="8971" max="9216" width="10.28515625" style="354"/>
    <col min="9217" max="9217" width="3.28515625" style="354" customWidth="1"/>
    <col min="9218" max="9218" width="9.5703125" style="354" customWidth="1"/>
    <col min="9219" max="9219" width="13.85546875" style="354" customWidth="1"/>
    <col min="9220" max="9220" width="3.85546875" style="354" customWidth="1"/>
    <col min="9221" max="9223" width="8.28515625" style="354" customWidth="1"/>
    <col min="9224" max="9224" width="17.5703125" style="354" customWidth="1"/>
    <col min="9225" max="9225" width="13.140625" style="354" customWidth="1"/>
    <col min="9226" max="9226" width="17.5703125" style="354" customWidth="1"/>
    <col min="9227" max="9472" width="10.28515625" style="354"/>
    <col min="9473" max="9473" width="3.28515625" style="354" customWidth="1"/>
    <col min="9474" max="9474" width="9.5703125" style="354" customWidth="1"/>
    <col min="9475" max="9475" width="13.85546875" style="354" customWidth="1"/>
    <col min="9476" max="9476" width="3.85546875" style="354" customWidth="1"/>
    <col min="9477" max="9479" width="8.28515625" style="354" customWidth="1"/>
    <col min="9480" max="9480" width="17.5703125" style="354" customWidth="1"/>
    <col min="9481" max="9481" width="13.140625" style="354" customWidth="1"/>
    <col min="9482" max="9482" width="17.5703125" style="354" customWidth="1"/>
    <col min="9483" max="9728" width="10.28515625" style="354"/>
    <col min="9729" max="9729" width="3.28515625" style="354" customWidth="1"/>
    <col min="9730" max="9730" width="9.5703125" style="354" customWidth="1"/>
    <col min="9731" max="9731" width="13.85546875" style="354" customWidth="1"/>
    <col min="9732" max="9732" width="3.85546875" style="354" customWidth="1"/>
    <col min="9733" max="9735" width="8.28515625" style="354" customWidth="1"/>
    <col min="9736" max="9736" width="17.5703125" style="354" customWidth="1"/>
    <col min="9737" max="9737" width="13.140625" style="354" customWidth="1"/>
    <col min="9738" max="9738" width="17.5703125" style="354" customWidth="1"/>
    <col min="9739" max="9984" width="10.28515625" style="354"/>
    <col min="9985" max="9985" width="3.28515625" style="354" customWidth="1"/>
    <col min="9986" max="9986" width="9.5703125" style="354" customWidth="1"/>
    <col min="9987" max="9987" width="13.85546875" style="354" customWidth="1"/>
    <col min="9988" max="9988" width="3.85546875" style="354" customWidth="1"/>
    <col min="9989" max="9991" width="8.28515625" style="354" customWidth="1"/>
    <col min="9992" max="9992" width="17.5703125" style="354" customWidth="1"/>
    <col min="9993" max="9993" width="13.140625" style="354" customWidth="1"/>
    <col min="9994" max="9994" width="17.5703125" style="354" customWidth="1"/>
    <col min="9995" max="10240" width="10.28515625" style="354"/>
    <col min="10241" max="10241" width="3.28515625" style="354" customWidth="1"/>
    <col min="10242" max="10242" width="9.5703125" style="354" customWidth="1"/>
    <col min="10243" max="10243" width="13.85546875" style="354" customWidth="1"/>
    <col min="10244" max="10244" width="3.85546875" style="354" customWidth="1"/>
    <col min="10245" max="10247" width="8.28515625" style="354" customWidth="1"/>
    <col min="10248" max="10248" width="17.5703125" style="354" customWidth="1"/>
    <col min="10249" max="10249" width="13.140625" style="354" customWidth="1"/>
    <col min="10250" max="10250" width="17.5703125" style="354" customWidth="1"/>
    <col min="10251" max="10496" width="10.28515625" style="354"/>
    <col min="10497" max="10497" width="3.28515625" style="354" customWidth="1"/>
    <col min="10498" max="10498" width="9.5703125" style="354" customWidth="1"/>
    <col min="10499" max="10499" width="13.85546875" style="354" customWidth="1"/>
    <col min="10500" max="10500" width="3.85546875" style="354" customWidth="1"/>
    <col min="10501" max="10503" width="8.28515625" style="354" customWidth="1"/>
    <col min="10504" max="10504" width="17.5703125" style="354" customWidth="1"/>
    <col min="10505" max="10505" width="13.140625" style="354" customWidth="1"/>
    <col min="10506" max="10506" width="17.5703125" style="354" customWidth="1"/>
    <col min="10507" max="10752" width="10.28515625" style="354"/>
    <col min="10753" max="10753" width="3.28515625" style="354" customWidth="1"/>
    <col min="10754" max="10754" width="9.5703125" style="354" customWidth="1"/>
    <col min="10755" max="10755" width="13.85546875" style="354" customWidth="1"/>
    <col min="10756" max="10756" width="3.85546875" style="354" customWidth="1"/>
    <col min="10757" max="10759" width="8.28515625" style="354" customWidth="1"/>
    <col min="10760" max="10760" width="17.5703125" style="354" customWidth="1"/>
    <col min="10761" max="10761" width="13.140625" style="354" customWidth="1"/>
    <col min="10762" max="10762" width="17.5703125" style="354" customWidth="1"/>
    <col min="10763" max="11008" width="10.28515625" style="354"/>
    <col min="11009" max="11009" width="3.28515625" style="354" customWidth="1"/>
    <col min="11010" max="11010" width="9.5703125" style="354" customWidth="1"/>
    <col min="11011" max="11011" width="13.85546875" style="354" customWidth="1"/>
    <col min="11012" max="11012" width="3.85546875" style="354" customWidth="1"/>
    <col min="11013" max="11015" width="8.28515625" style="354" customWidth="1"/>
    <col min="11016" max="11016" width="17.5703125" style="354" customWidth="1"/>
    <col min="11017" max="11017" width="13.140625" style="354" customWidth="1"/>
    <col min="11018" max="11018" width="17.5703125" style="354" customWidth="1"/>
    <col min="11019" max="11264" width="10.28515625" style="354"/>
    <col min="11265" max="11265" width="3.28515625" style="354" customWidth="1"/>
    <col min="11266" max="11266" width="9.5703125" style="354" customWidth="1"/>
    <col min="11267" max="11267" width="13.85546875" style="354" customWidth="1"/>
    <col min="11268" max="11268" width="3.85546875" style="354" customWidth="1"/>
    <col min="11269" max="11271" width="8.28515625" style="354" customWidth="1"/>
    <col min="11272" max="11272" width="17.5703125" style="354" customWidth="1"/>
    <col min="11273" max="11273" width="13.140625" style="354" customWidth="1"/>
    <col min="11274" max="11274" width="17.5703125" style="354" customWidth="1"/>
    <col min="11275" max="11520" width="10.28515625" style="354"/>
    <col min="11521" max="11521" width="3.28515625" style="354" customWidth="1"/>
    <col min="11522" max="11522" width="9.5703125" style="354" customWidth="1"/>
    <col min="11523" max="11523" width="13.85546875" style="354" customWidth="1"/>
    <col min="11524" max="11524" width="3.85546875" style="354" customWidth="1"/>
    <col min="11525" max="11527" width="8.28515625" style="354" customWidth="1"/>
    <col min="11528" max="11528" width="17.5703125" style="354" customWidth="1"/>
    <col min="11529" max="11529" width="13.140625" style="354" customWidth="1"/>
    <col min="11530" max="11530" width="17.5703125" style="354" customWidth="1"/>
    <col min="11531" max="11776" width="10.28515625" style="354"/>
    <col min="11777" max="11777" width="3.28515625" style="354" customWidth="1"/>
    <col min="11778" max="11778" width="9.5703125" style="354" customWidth="1"/>
    <col min="11779" max="11779" width="13.85546875" style="354" customWidth="1"/>
    <col min="11780" max="11780" width="3.85546875" style="354" customWidth="1"/>
    <col min="11781" max="11783" width="8.28515625" style="354" customWidth="1"/>
    <col min="11784" max="11784" width="17.5703125" style="354" customWidth="1"/>
    <col min="11785" max="11785" width="13.140625" style="354" customWidth="1"/>
    <col min="11786" max="11786" width="17.5703125" style="354" customWidth="1"/>
    <col min="11787" max="12032" width="10.28515625" style="354"/>
    <col min="12033" max="12033" width="3.28515625" style="354" customWidth="1"/>
    <col min="12034" max="12034" width="9.5703125" style="354" customWidth="1"/>
    <col min="12035" max="12035" width="13.85546875" style="354" customWidth="1"/>
    <col min="12036" max="12036" width="3.85546875" style="354" customWidth="1"/>
    <col min="12037" max="12039" width="8.28515625" style="354" customWidth="1"/>
    <col min="12040" max="12040" width="17.5703125" style="354" customWidth="1"/>
    <col min="12041" max="12041" width="13.140625" style="354" customWidth="1"/>
    <col min="12042" max="12042" width="17.5703125" style="354" customWidth="1"/>
    <col min="12043" max="12288" width="10.28515625" style="354"/>
    <col min="12289" max="12289" width="3.28515625" style="354" customWidth="1"/>
    <col min="12290" max="12290" width="9.5703125" style="354" customWidth="1"/>
    <col min="12291" max="12291" width="13.85546875" style="354" customWidth="1"/>
    <col min="12292" max="12292" width="3.85546875" style="354" customWidth="1"/>
    <col min="12293" max="12295" width="8.28515625" style="354" customWidth="1"/>
    <col min="12296" max="12296" width="17.5703125" style="354" customWidth="1"/>
    <col min="12297" max="12297" width="13.140625" style="354" customWidth="1"/>
    <col min="12298" max="12298" width="17.5703125" style="354" customWidth="1"/>
    <col min="12299" max="12544" width="10.28515625" style="354"/>
    <col min="12545" max="12545" width="3.28515625" style="354" customWidth="1"/>
    <col min="12546" max="12546" width="9.5703125" style="354" customWidth="1"/>
    <col min="12547" max="12547" width="13.85546875" style="354" customWidth="1"/>
    <col min="12548" max="12548" width="3.85546875" style="354" customWidth="1"/>
    <col min="12549" max="12551" width="8.28515625" style="354" customWidth="1"/>
    <col min="12552" max="12552" width="17.5703125" style="354" customWidth="1"/>
    <col min="12553" max="12553" width="13.140625" style="354" customWidth="1"/>
    <col min="12554" max="12554" width="17.5703125" style="354" customWidth="1"/>
    <col min="12555" max="12800" width="10.28515625" style="354"/>
    <col min="12801" max="12801" width="3.28515625" style="354" customWidth="1"/>
    <col min="12802" max="12802" width="9.5703125" style="354" customWidth="1"/>
    <col min="12803" max="12803" width="13.85546875" style="354" customWidth="1"/>
    <col min="12804" max="12804" width="3.85546875" style="354" customWidth="1"/>
    <col min="12805" max="12807" width="8.28515625" style="354" customWidth="1"/>
    <col min="12808" max="12808" width="17.5703125" style="354" customWidth="1"/>
    <col min="12809" max="12809" width="13.140625" style="354" customWidth="1"/>
    <col min="12810" max="12810" width="17.5703125" style="354" customWidth="1"/>
    <col min="12811" max="13056" width="10.28515625" style="354"/>
    <col min="13057" max="13057" width="3.28515625" style="354" customWidth="1"/>
    <col min="13058" max="13058" width="9.5703125" style="354" customWidth="1"/>
    <col min="13059" max="13059" width="13.85546875" style="354" customWidth="1"/>
    <col min="13060" max="13060" width="3.85546875" style="354" customWidth="1"/>
    <col min="13061" max="13063" width="8.28515625" style="354" customWidth="1"/>
    <col min="13064" max="13064" width="17.5703125" style="354" customWidth="1"/>
    <col min="13065" max="13065" width="13.140625" style="354" customWidth="1"/>
    <col min="13066" max="13066" width="17.5703125" style="354" customWidth="1"/>
    <col min="13067" max="13312" width="10.28515625" style="354"/>
    <col min="13313" max="13313" width="3.28515625" style="354" customWidth="1"/>
    <col min="13314" max="13314" width="9.5703125" style="354" customWidth="1"/>
    <col min="13315" max="13315" width="13.85546875" style="354" customWidth="1"/>
    <col min="13316" max="13316" width="3.85546875" style="354" customWidth="1"/>
    <col min="13317" max="13319" width="8.28515625" style="354" customWidth="1"/>
    <col min="13320" max="13320" width="17.5703125" style="354" customWidth="1"/>
    <col min="13321" max="13321" width="13.140625" style="354" customWidth="1"/>
    <col min="13322" max="13322" width="17.5703125" style="354" customWidth="1"/>
    <col min="13323" max="13568" width="10.28515625" style="354"/>
    <col min="13569" max="13569" width="3.28515625" style="354" customWidth="1"/>
    <col min="13570" max="13570" width="9.5703125" style="354" customWidth="1"/>
    <col min="13571" max="13571" width="13.85546875" style="354" customWidth="1"/>
    <col min="13572" max="13572" width="3.85546875" style="354" customWidth="1"/>
    <col min="13573" max="13575" width="8.28515625" style="354" customWidth="1"/>
    <col min="13576" max="13576" width="17.5703125" style="354" customWidth="1"/>
    <col min="13577" max="13577" width="13.140625" style="354" customWidth="1"/>
    <col min="13578" max="13578" width="17.5703125" style="354" customWidth="1"/>
    <col min="13579" max="13824" width="10.28515625" style="354"/>
    <col min="13825" max="13825" width="3.28515625" style="354" customWidth="1"/>
    <col min="13826" max="13826" width="9.5703125" style="354" customWidth="1"/>
    <col min="13827" max="13827" width="13.85546875" style="354" customWidth="1"/>
    <col min="13828" max="13828" width="3.85546875" style="354" customWidth="1"/>
    <col min="13829" max="13831" width="8.28515625" style="354" customWidth="1"/>
    <col min="13832" max="13832" width="17.5703125" style="354" customWidth="1"/>
    <col min="13833" max="13833" width="13.140625" style="354" customWidth="1"/>
    <col min="13834" max="13834" width="17.5703125" style="354" customWidth="1"/>
    <col min="13835" max="14080" width="10.28515625" style="354"/>
    <col min="14081" max="14081" width="3.28515625" style="354" customWidth="1"/>
    <col min="14082" max="14082" width="9.5703125" style="354" customWidth="1"/>
    <col min="14083" max="14083" width="13.85546875" style="354" customWidth="1"/>
    <col min="14084" max="14084" width="3.85546875" style="354" customWidth="1"/>
    <col min="14085" max="14087" width="8.28515625" style="354" customWidth="1"/>
    <col min="14088" max="14088" width="17.5703125" style="354" customWidth="1"/>
    <col min="14089" max="14089" width="13.140625" style="354" customWidth="1"/>
    <col min="14090" max="14090" width="17.5703125" style="354" customWidth="1"/>
    <col min="14091" max="14336" width="10.28515625" style="354"/>
    <col min="14337" max="14337" width="3.28515625" style="354" customWidth="1"/>
    <col min="14338" max="14338" width="9.5703125" style="354" customWidth="1"/>
    <col min="14339" max="14339" width="13.85546875" style="354" customWidth="1"/>
    <col min="14340" max="14340" width="3.85546875" style="354" customWidth="1"/>
    <col min="14341" max="14343" width="8.28515625" style="354" customWidth="1"/>
    <col min="14344" max="14344" width="17.5703125" style="354" customWidth="1"/>
    <col min="14345" max="14345" width="13.140625" style="354" customWidth="1"/>
    <col min="14346" max="14346" width="17.5703125" style="354" customWidth="1"/>
    <col min="14347" max="14592" width="10.28515625" style="354"/>
    <col min="14593" max="14593" width="3.28515625" style="354" customWidth="1"/>
    <col min="14594" max="14594" width="9.5703125" style="354" customWidth="1"/>
    <col min="14595" max="14595" width="13.85546875" style="354" customWidth="1"/>
    <col min="14596" max="14596" width="3.85546875" style="354" customWidth="1"/>
    <col min="14597" max="14599" width="8.28515625" style="354" customWidth="1"/>
    <col min="14600" max="14600" width="17.5703125" style="354" customWidth="1"/>
    <col min="14601" max="14601" width="13.140625" style="354" customWidth="1"/>
    <col min="14602" max="14602" width="17.5703125" style="354" customWidth="1"/>
    <col min="14603" max="14848" width="10.28515625" style="354"/>
    <col min="14849" max="14849" width="3.28515625" style="354" customWidth="1"/>
    <col min="14850" max="14850" width="9.5703125" style="354" customWidth="1"/>
    <col min="14851" max="14851" width="13.85546875" style="354" customWidth="1"/>
    <col min="14852" max="14852" width="3.85546875" style="354" customWidth="1"/>
    <col min="14853" max="14855" width="8.28515625" style="354" customWidth="1"/>
    <col min="14856" max="14856" width="17.5703125" style="354" customWidth="1"/>
    <col min="14857" max="14857" width="13.140625" style="354" customWidth="1"/>
    <col min="14858" max="14858" width="17.5703125" style="354" customWidth="1"/>
    <col min="14859" max="15104" width="10.28515625" style="354"/>
    <col min="15105" max="15105" width="3.28515625" style="354" customWidth="1"/>
    <col min="15106" max="15106" width="9.5703125" style="354" customWidth="1"/>
    <col min="15107" max="15107" width="13.85546875" style="354" customWidth="1"/>
    <col min="15108" max="15108" width="3.85546875" style="354" customWidth="1"/>
    <col min="15109" max="15111" width="8.28515625" style="354" customWidth="1"/>
    <col min="15112" max="15112" width="17.5703125" style="354" customWidth="1"/>
    <col min="15113" max="15113" width="13.140625" style="354" customWidth="1"/>
    <col min="15114" max="15114" width="17.5703125" style="354" customWidth="1"/>
    <col min="15115" max="15360" width="10.28515625" style="354"/>
    <col min="15361" max="15361" width="3.28515625" style="354" customWidth="1"/>
    <col min="15362" max="15362" width="9.5703125" style="354" customWidth="1"/>
    <col min="15363" max="15363" width="13.85546875" style="354" customWidth="1"/>
    <col min="15364" max="15364" width="3.85546875" style="354" customWidth="1"/>
    <col min="15365" max="15367" width="8.28515625" style="354" customWidth="1"/>
    <col min="15368" max="15368" width="17.5703125" style="354" customWidth="1"/>
    <col min="15369" max="15369" width="13.140625" style="354" customWidth="1"/>
    <col min="15370" max="15370" width="17.5703125" style="354" customWidth="1"/>
    <col min="15371" max="15616" width="10.28515625" style="354"/>
    <col min="15617" max="15617" width="3.28515625" style="354" customWidth="1"/>
    <col min="15618" max="15618" width="9.5703125" style="354" customWidth="1"/>
    <col min="15619" max="15619" width="13.85546875" style="354" customWidth="1"/>
    <col min="15620" max="15620" width="3.85546875" style="354" customWidth="1"/>
    <col min="15621" max="15623" width="8.28515625" style="354" customWidth="1"/>
    <col min="15624" max="15624" width="17.5703125" style="354" customWidth="1"/>
    <col min="15625" max="15625" width="13.140625" style="354" customWidth="1"/>
    <col min="15626" max="15626" width="17.5703125" style="354" customWidth="1"/>
    <col min="15627" max="15872" width="10.28515625" style="354"/>
    <col min="15873" max="15873" width="3.28515625" style="354" customWidth="1"/>
    <col min="15874" max="15874" width="9.5703125" style="354" customWidth="1"/>
    <col min="15875" max="15875" width="13.85546875" style="354" customWidth="1"/>
    <col min="15876" max="15876" width="3.85546875" style="354" customWidth="1"/>
    <col min="15877" max="15879" width="8.28515625" style="354" customWidth="1"/>
    <col min="15880" max="15880" width="17.5703125" style="354" customWidth="1"/>
    <col min="15881" max="15881" width="13.140625" style="354" customWidth="1"/>
    <col min="15882" max="15882" width="17.5703125" style="354" customWidth="1"/>
    <col min="15883" max="16128" width="10.28515625" style="354"/>
    <col min="16129" max="16129" width="3.28515625" style="354" customWidth="1"/>
    <col min="16130" max="16130" width="9.5703125" style="354" customWidth="1"/>
    <col min="16131" max="16131" width="13.85546875" style="354" customWidth="1"/>
    <col min="16132" max="16132" width="3.85546875" style="354" customWidth="1"/>
    <col min="16133" max="16135" width="8.28515625" style="354" customWidth="1"/>
    <col min="16136" max="16136" width="17.5703125" style="354" customWidth="1"/>
    <col min="16137" max="16137" width="13.140625" style="354" customWidth="1"/>
    <col min="16138" max="16138" width="17.5703125" style="354" customWidth="1"/>
    <col min="16139" max="16384" width="10.28515625" style="354"/>
  </cols>
  <sheetData>
    <row r="1" spans="1:9" ht="17.649999999999999" customHeight="1" x14ac:dyDescent="0.2">
      <c r="A1" s="2297" t="s">
        <v>9657</v>
      </c>
      <c r="B1" s="2297"/>
      <c r="C1" s="2297"/>
      <c r="D1" s="2298" t="s">
        <v>560</v>
      </c>
      <c r="E1" s="2298"/>
      <c r="F1" s="2298"/>
      <c r="G1" s="2298"/>
      <c r="H1" s="2298"/>
      <c r="I1" s="2298"/>
    </row>
    <row r="2" spans="1:9" x14ac:dyDescent="0.2">
      <c r="A2" s="1044"/>
      <c r="B2" s="1044"/>
      <c r="C2" s="1044"/>
      <c r="D2" s="1045"/>
      <c r="E2" s="1045"/>
      <c r="F2" s="1045"/>
      <c r="G2" s="1045"/>
      <c r="H2" s="1045"/>
      <c r="I2" s="1045"/>
    </row>
    <row r="3" spans="1:9" ht="13.15" customHeight="1" x14ac:dyDescent="0.2">
      <c r="A3" s="2299" t="s">
        <v>9539</v>
      </c>
      <c r="B3" s="2299"/>
      <c r="C3" s="2299"/>
      <c r="D3" s="2299"/>
      <c r="E3" s="2299"/>
      <c r="F3" s="2299"/>
      <c r="G3" s="2299"/>
      <c r="H3" s="2299"/>
      <c r="I3" s="2299"/>
    </row>
    <row r="4" spans="1:9" x14ac:dyDescent="0.2">
      <c r="A4" s="2239" t="s">
        <v>7135</v>
      </c>
      <c r="B4" s="2239"/>
      <c r="C4" s="2239"/>
      <c r="D4" s="2239"/>
      <c r="E4" s="2239"/>
      <c r="F4" s="2239"/>
      <c r="G4" s="2239"/>
      <c r="H4" s="2239"/>
      <c r="I4" s="2239"/>
    </row>
    <row r="5" spans="1:9" ht="3.75" customHeight="1" x14ac:dyDescent="0.2">
      <c r="D5" s="1044"/>
      <c r="E5" s="1044"/>
      <c r="F5" s="1044"/>
      <c r="G5" s="1044"/>
    </row>
    <row r="6" spans="1:9" ht="66" customHeight="1" x14ac:dyDescent="0.2">
      <c r="A6" s="2300" t="s">
        <v>5846</v>
      </c>
      <c r="B6" s="2300"/>
      <c r="C6" s="2300"/>
      <c r="D6" s="2301" t="s">
        <v>9540</v>
      </c>
      <c r="E6" s="2301"/>
      <c r="F6" s="2301"/>
      <c r="G6" s="2301"/>
      <c r="H6" s="2301"/>
      <c r="I6" s="2301"/>
    </row>
    <row r="7" spans="1:9" ht="3.95" customHeight="1" x14ac:dyDescent="0.2">
      <c r="A7" s="1047"/>
      <c r="B7" s="1047"/>
      <c r="C7" s="1047"/>
      <c r="D7" s="354"/>
      <c r="E7" s="354"/>
      <c r="F7" s="354"/>
      <c r="G7" s="354"/>
      <c r="H7" s="354"/>
      <c r="I7" s="354"/>
    </row>
    <row r="8" spans="1:9" ht="41.25" customHeight="1" x14ac:dyDescent="0.2">
      <c r="A8" s="2300" t="s">
        <v>5848</v>
      </c>
      <c r="B8" s="2300"/>
      <c r="C8" s="2300"/>
      <c r="D8" s="2300" t="s">
        <v>563</v>
      </c>
      <c r="E8" s="2300"/>
      <c r="F8" s="2300"/>
      <c r="G8" s="2300"/>
      <c r="H8" s="2300"/>
      <c r="I8" s="2300"/>
    </row>
    <row r="9" spans="1:9" ht="3.95" customHeight="1" x14ac:dyDescent="0.2">
      <c r="A9" s="354"/>
      <c r="B9" s="354"/>
      <c r="C9" s="354"/>
      <c r="D9" s="354"/>
      <c r="E9" s="354"/>
      <c r="F9" s="354"/>
      <c r="G9" s="354"/>
      <c r="H9" s="354"/>
      <c r="I9" s="354"/>
    </row>
    <row r="10" spans="1:9" ht="30" customHeight="1" x14ac:dyDescent="0.2">
      <c r="A10" s="2300" t="s">
        <v>5849</v>
      </c>
      <c r="B10" s="2300"/>
      <c r="C10" s="2300"/>
      <c r="D10" s="2300" t="s">
        <v>5654</v>
      </c>
      <c r="E10" s="2300"/>
      <c r="F10" s="2300"/>
      <c r="G10" s="2300"/>
      <c r="H10" s="2300"/>
      <c r="I10" s="2300"/>
    </row>
    <row r="11" spans="1:9" ht="3.75" customHeight="1" x14ac:dyDescent="0.2">
      <c r="A11" s="1047"/>
      <c r="B11" s="1047"/>
      <c r="C11" s="1047"/>
      <c r="D11" s="1048"/>
      <c r="E11" s="1048"/>
      <c r="F11" s="1048"/>
      <c r="G11" s="1048"/>
      <c r="H11" s="1047"/>
      <c r="I11" s="1047"/>
    </row>
    <row r="12" spans="1:9" ht="15.75" customHeight="1" x14ac:dyDescent="0.2">
      <c r="A12" s="2316" t="s">
        <v>9535</v>
      </c>
      <c r="B12" s="2316"/>
      <c r="C12" s="2316"/>
      <c r="D12" s="2316"/>
      <c r="E12" s="2316"/>
      <c r="F12" s="2316"/>
      <c r="G12" s="2316"/>
      <c r="H12" s="2316"/>
      <c r="I12" s="2316"/>
    </row>
    <row r="13" spans="1:9" ht="100.5" customHeight="1" x14ac:dyDescent="0.2">
      <c r="A13" s="1190" t="s">
        <v>287</v>
      </c>
      <c r="B13" s="2317" t="s">
        <v>5851</v>
      </c>
      <c r="C13" s="2318"/>
      <c r="D13" s="2317" t="s">
        <v>5852</v>
      </c>
      <c r="E13" s="2319"/>
      <c r="F13" s="2319"/>
      <c r="G13" s="2318"/>
      <c r="H13" s="1191" t="s">
        <v>5853</v>
      </c>
      <c r="I13" s="1190" t="s">
        <v>568</v>
      </c>
    </row>
    <row r="14" spans="1:9" x14ac:dyDescent="0.2">
      <c r="A14" s="1192" t="s">
        <v>185</v>
      </c>
      <c r="B14" s="2308">
        <v>2</v>
      </c>
      <c r="C14" s="2309"/>
      <c r="D14" s="2308">
        <v>3</v>
      </c>
      <c r="E14" s="2310"/>
      <c r="F14" s="2310"/>
      <c r="G14" s="2309"/>
      <c r="H14" s="1193">
        <v>4</v>
      </c>
      <c r="I14" s="1193">
        <v>5</v>
      </c>
    </row>
    <row r="15" spans="1:9" ht="132.6" customHeight="1" x14ac:dyDescent="0.2">
      <c r="A15" s="1182" t="s">
        <v>185</v>
      </c>
      <c r="B15" s="2311" t="s">
        <v>7136</v>
      </c>
      <c r="C15" s="2312"/>
      <c r="D15" s="2313" t="s">
        <v>7137</v>
      </c>
      <c r="E15" s="2314"/>
      <c r="F15" s="2314"/>
      <c r="G15" s="2315"/>
      <c r="H15" s="1179" t="s">
        <v>9899</v>
      </c>
      <c r="I15" s="1181">
        <f>ROUND((94400  + 16  * (0.4 * 3200 + 0.6 * 10840)) * 1 * 0.6 * 0.99,0)</f>
        <v>130053</v>
      </c>
    </row>
    <row r="16" spans="1:9" ht="15.75" customHeight="1" x14ac:dyDescent="0.2">
      <c r="A16" s="1185" t="s">
        <v>143</v>
      </c>
      <c r="B16" s="2305"/>
      <c r="C16" s="2306"/>
      <c r="D16" s="2305" t="s">
        <v>572</v>
      </c>
      <c r="E16" s="2307"/>
      <c r="F16" s="2307"/>
      <c r="G16" s="2306"/>
      <c r="H16" s="1057"/>
      <c r="I16" s="1058"/>
    </row>
    <row r="17" spans="1:9" ht="25.5" customHeight="1" x14ac:dyDescent="0.2">
      <c r="A17" s="1185" t="s">
        <v>143</v>
      </c>
      <c r="B17" s="2302"/>
      <c r="C17" s="2303"/>
      <c r="D17" s="2302" t="s">
        <v>7769</v>
      </c>
      <c r="E17" s="2304"/>
      <c r="F17" s="2304"/>
      <c r="G17" s="2303"/>
      <c r="H17" s="1184"/>
      <c r="I17" s="1060"/>
    </row>
    <row r="18" spans="1:9" ht="89.25" customHeight="1" x14ac:dyDescent="0.2">
      <c r="A18" s="1185" t="s">
        <v>143</v>
      </c>
      <c r="B18" s="2302"/>
      <c r="C18" s="2303"/>
      <c r="D18" s="2302" t="s">
        <v>9900</v>
      </c>
      <c r="E18" s="2304"/>
      <c r="F18" s="2304"/>
      <c r="G18" s="2303"/>
      <c r="H18" s="1184"/>
      <c r="I18" s="1060"/>
    </row>
    <row r="19" spans="1:9" ht="41.25" customHeight="1" x14ac:dyDescent="0.2">
      <c r="A19" s="1185" t="s">
        <v>143</v>
      </c>
      <c r="B19" s="2305"/>
      <c r="C19" s="2306"/>
      <c r="D19" s="2305" t="s">
        <v>9901</v>
      </c>
      <c r="E19" s="2307"/>
      <c r="F19" s="2307"/>
      <c r="G19" s="2306"/>
      <c r="H19" s="1057"/>
      <c r="I19" s="1058"/>
    </row>
    <row r="20" spans="1:9" ht="12.75" customHeight="1" x14ac:dyDescent="0.2">
      <c r="A20" s="1185" t="s">
        <v>143</v>
      </c>
      <c r="B20" s="2302"/>
      <c r="C20" s="2303"/>
      <c r="D20" s="2302" t="s">
        <v>7770</v>
      </c>
      <c r="E20" s="2304"/>
      <c r="F20" s="2304"/>
      <c r="G20" s="2303"/>
      <c r="H20" s="1184"/>
      <c r="I20" s="1060"/>
    </row>
    <row r="21" spans="1:9" ht="25.5" customHeight="1" x14ac:dyDescent="0.2">
      <c r="A21" s="1185" t="s">
        <v>143</v>
      </c>
      <c r="B21" s="2302"/>
      <c r="C21" s="2303"/>
      <c r="D21" s="2302" t="s">
        <v>7771</v>
      </c>
      <c r="E21" s="2304"/>
      <c r="F21" s="2304"/>
      <c r="G21" s="2303"/>
      <c r="H21" s="1184"/>
      <c r="I21" s="1060"/>
    </row>
    <row r="22" spans="1:9" ht="25.5" customHeight="1" x14ac:dyDescent="0.2">
      <c r="A22" s="1185" t="s">
        <v>143</v>
      </c>
      <c r="B22" s="2302"/>
      <c r="C22" s="2303"/>
      <c r="D22" s="2302" t="s">
        <v>7772</v>
      </c>
      <c r="E22" s="2304"/>
      <c r="F22" s="2304"/>
      <c r="G22" s="2303"/>
      <c r="H22" s="1184"/>
      <c r="I22" s="1060"/>
    </row>
    <row r="23" spans="1:9" ht="12.75" customHeight="1" x14ac:dyDescent="0.2">
      <c r="A23" s="1183" t="s">
        <v>143</v>
      </c>
      <c r="B23" s="2320"/>
      <c r="C23" s="2321"/>
      <c r="D23" s="2320" t="s">
        <v>9902</v>
      </c>
      <c r="E23" s="2322"/>
      <c r="F23" s="2322"/>
      <c r="G23" s="2321"/>
      <c r="H23" s="1180"/>
      <c r="I23" s="1063"/>
    </row>
    <row r="24" spans="1:9" ht="132.6" customHeight="1" x14ac:dyDescent="0.2">
      <c r="A24" s="1182" t="s">
        <v>186</v>
      </c>
      <c r="B24" s="2311" t="s">
        <v>7136</v>
      </c>
      <c r="C24" s="2312"/>
      <c r="D24" s="2313" t="s">
        <v>7144</v>
      </c>
      <c r="E24" s="2314"/>
      <c r="F24" s="2314"/>
      <c r="G24" s="2315"/>
      <c r="H24" s="1179" t="s">
        <v>9903</v>
      </c>
      <c r="I24" s="1181">
        <f>ROUND((94400  + 16  * (0.4 * 3200 + 0.6 * 8858)) * 1 * 0.6 * 0.99,0)</f>
        <v>118751</v>
      </c>
    </row>
    <row r="25" spans="1:9" ht="15.75" customHeight="1" x14ac:dyDescent="0.2">
      <c r="A25" s="1185" t="s">
        <v>143</v>
      </c>
      <c r="B25" s="2305"/>
      <c r="C25" s="2306"/>
      <c r="D25" s="2305" t="s">
        <v>572</v>
      </c>
      <c r="E25" s="2307"/>
      <c r="F25" s="2307"/>
      <c r="G25" s="2306"/>
      <c r="H25" s="1057"/>
      <c r="I25" s="1058"/>
    </row>
    <row r="26" spans="1:9" ht="25.5" customHeight="1" x14ac:dyDescent="0.2">
      <c r="A26" s="1185" t="s">
        <v>143</v>
      </c>
      <c r="B26" s="2302"/>
      <c r="C26" s="2303"/>
      <c r="D26" s="2302" t="s">
        <v>7769</v>
      </c>
      <c r="E26" s="2304"/>
      <c r="F26" s="2304"/>
      <c r="G26" s="2303"/>
      <c r="H26" s="1184"/>
      <c r="I26" s="1060"/>
    </row>
    <row r="27" spans="1:9" ht="89.25" customHeight="1" x14ac:dyDescent="0.2">
      <c r="A27" s="1185" t="s">
        <v>143</v>
      </c>
      <c r="B27" s="2302"/>
      <c r="C27" s="2303"/>
      <c r="D27" s="2302" t="s">
        <v>9900</v>
      </c>
      <c r="E27" s="2304"/>
      <c r="F27" s="2304"/>
      <c r="G27" s="2303"/>
      <c r="H27" s="1184"/>
      <c r="I27" s="1060"/>
    </row>
    <row r="28" spans="1:9" ht="41.25" customHeight="1" x14ac:dyDescent="0.2">
      <c r="A28" s="1185" t="s">
        <v>143</v>
      </c>
      <c r="B28" s="2305"/>
      <c r="C28" s="2306"/>
      <c r="D28" s="2305" t="s">
        <v>9901</v>
      </c>
      <c r="E28" s="2307"/>
      <c r="F28" s="2307"/>
      <c r="G28" s="2306"/>
      <c r="H28" s="1057"/>
      <c r="I28" s="1058"/>
    </row>
    <row r="29" spans="1:9" ht="12.75" customHeight="1" x14ac:dyDescent="0.2">
      <c r="A29" s="1185" t="s">
        <v>143</v>
      </c>
      <c r="B29" s="2302"/>
      <c r="C29" s="2303"/>
      <c r="D29" s="2302" t="s">
        <v>7773</v>
      </c>
      <c r="E29" s="2304"/>
      <c r="F29" s="2304"/>
      <c r="G29" s="2303"/>
      <c r="H29" s="1184"/>
      <c r="I29" s="1060"/>
    </row>
    <row r="30" spans="1:9" ht="25.5" customHeight="1" x14ac:dyDescent="0.2">
      <c r="A30" s="1185" t="s">
        <v>143</v>
      </c>
      <c r="B30" s="2302"/>
      <c r="C30" s="2303"/>
      <c r="D30" s="2302" t="s">
        <v>7774</v>
      </c>
      <c r="E30" s="2304"/>
      <c r="F30" s="2304"/>
      <c r="G30" s="2303"/>
      <c r="H30" s="1184"/>
      <c r="I30" s="1060"/>
    </row>
    <row r="31" spans="1:9" ht="25.5" customHeight="1" x14ac:dyDescent="0.2">
      <c r="A31" s="1185" t="s">
        <v>143</v>
      </c>
      <c r="B31" s="2302"/>
      <c r="C31" s="2303"/>
      <c r="D31" s="2302" t="s">
        <v>7775</v>
      </c>
      <c r="E31" s="2304"/>
      <c r="F31" s="2304"/>
      <c r="G31" s="2303"/>
      <c r="H31" s="1184"/>
      <c r="I31" s="1060"/>
    </row>
    <row r="32" spans="1:9" ht="12.75" customHeight="1" x14ac:dyDescent="0.2">
      <c r="A32" s="1183" t="s">
        <v>143</v>
      </c>
      <c r="B32" s="2320"/>
      <c r="C32" s="2321"/>
      <c r="D32" s="2320" t="s">
        <v>9904</v>
      </c>
      <c r="E32" s="2322"/>
      <c r="F32" s="2322"/>
      <c r="G32" s="2321"/>
      <c r="H32" s="1180"/>
      <c r="I32" s="1063"/>
    </row>
    <row r="33" spans="1:9" ht="132.6" customHeight="1" x14ac:dyDescent="0.2">
      <c r="A33" s="1182" t="s">
        <v>187</v>
      </c>
      <c r="B33" s="2311" t="s">
        <v>7136</v>
      </c>
      <c r="C33" s="2312"/>
      <c r="D33" s="2313" t="s">
        <v>7150</v>
      </c>
      <c r="E33" s="2314"/>
      <c r="F33" s="2314"/>
      <c r="G33" s="2315"/>
      <c r="H33" s="1179" t="s">
        <v>9905</v>
      </c>
      <c r="I33" s="1181">
        <f>ROUND((94400  + 16  * (0.4 * 3200 + 0.6 * 7844)) * 1 * 0.6 * 1.17,0)</f>
        <v>133508</v>
      </c>
    </row>
    <row r="34" spans="1:9" ht="15.75" customHeight="1" x14ac:dyDescent="0.2">
      <c r="A34" s="1185" t="s">
        <v>143</v>
      </c>
      <c r="B34" s="2305"/>
      <c r="C34" s="2306"/>
      <c r="D34" s="2305" t="s">
        <v>572</v>
      </c>
      <c r="E34" s="2307"/>
      <c r="F34" s="2307"/>
      <c r="G34" s="2306"/>
      <c r="H34" s="1057"/>
      <c r="I34" s="1058"/>
    </row>
    <row r="35" spans="1:9" ht="25.5" customHeight="1" x14ac:dyDescent="0.2">
      <c r="A35" s="1185" t="s">
        <v>143</v>
      </c>
      <c r="B35" s="2302"/>
      <c r="C35" s="2303"/>
      <c r="D35" s="2302" t="s">
        <v>7769</v>
      </c>
      <c r="E35" s="2304"/>
      <c r="F35" s="2304"/>
      <c r="G35" s="2303"/>
      <c r="H35" s="1184"/>
      <c r="I35" s="1060"/>
    </row>
    <row r="36" spans="1:9" ht="89.25" customHeight="1" x14ac:dyDescent="0.2">
      <c r="A36" s="1185" t="s">
        <v>143</v>
      </c>
      <c r="B36" s="2302"/>
      <c r="C36" s="2303"/>
      <c r="D36" s="2302" t="s">
        <v>9906</v>
      </c>
      <c r="E36" s="2304"/>
      <c r="F36" s="2304"/>
      <c r="G36" s="2303"/>
      <c r="H36" s="1184"/>
      <c r="I36" s="1060"/>
    </row>
    <row r="37" spans="1:9" ht="41.25" customHeight="1" x14ac:dyDescent="0.2">
      <c r="A37" s="1185" t="s">
        <v>143</v>
      </c>
      <c r="B37" s="2305"/>
      <c r="C37" s="2306"/>
      <c r="D37" s="2305" t="s">
        <v>9907</v>
      </c>
      <c r="E37" s="2307"/>
      <c r="F37" s="2307"/>
      <c r="G37" s="2306"/>
      <c r="H37" s="1057"/>
      <c r="I37" s="1058"/>
    </row>
    <row r="38" spans="1:9" ht="12.75" customHeight="1" x14ac:dyDescent="0.2">
      <c r="A38" s="1185" t="s">
        <v>143</v>
      </c>
      <c r="B38" s="2302"/>
      <c r="C38" s="2303"/>
      <c r="D38" s="2302" t="s">
        <v>7776</v>
      </c>
      <c r="E38" s="2304"/>
      <c r="F38" s="2304"/>
      <c r="G38" s="2303"/>
      <c r="H38" s="1184"/>
      <c r="I38" s="1060"/>
    </row>
    <row r="39" spans="1:9" ht="25.5" customHeight="1" x14ac:dyDescent="0.2">
      <c r="A39" s="1185" t="s">
        <v>143</v>
      </c>
      <c r="B39" s="2302"/>
      <c r="C39" s="2303"/>
      <c r="D39" s="2302" t="s">
        <v>7777</v>
      </c>
      <c r="E39" s="2304"/>
      <c r="F39" s="2304"/>
      <c r="G39" s="2303"/>
      <c r="H39" s="1184"/>
      <c r="I39" s="1060"/>
    </row>
    <row r="40" spans="1:9" ht="25.5" customHeight="1" x14ac:dyDescent="0.2">
      <c r="A40" s="1185" t="s">
        <v>143</v>
      </c>
      <c r="B40" s="2302"/>
      <c r="C40" s="2303"/>
      <c r="D40" s="2302" t="s">
        <v>7778</v>
      </c>
      <c r="E40" s="2304"/>
      <c r="F40" s="2304"/>
      <c r="G40" s="2303"/>
      <c r="H40" s="1184"/>
      <c r="I40" s="1060"/>
    </row>
    <row r="41" spans="1:9" ht="25.5" customHeight="1" x14ac:dyDescent="0.2">
      <c r="A41" s="1185" t="s">
        <v>143</v>
      </c>
      <c r="B41" s="2302"/>
      <c r="C41" s="2303"/>
      <c r="D41" s="2302" t="s">
        <v>7779</v>
      </c>
      <c r="E41" s="2304"/>
      <c r="F41" s="2304"/>
      <c r="G41" s="2303"/>
      <c r="H41" s="1184"/>
      <c r="I41" s="1060"/>
    </row>
    <row r="42" spans="1:9" ht="12.75" customHeight="1" x14ac:dyDescent="0.2">
      <c r="A42" s="1183" t="s">
        <v>143</v>
      </c>
      <c r="B42" s="2320"/>
      <c r="C42" s="2321"/>
      <c r="D42" s="2320" t="s">
        <v>9908</v>
      </c>
      <c r="E42" s="2322"/>
      <c r="F42" s="2322"/>
      <c r="G42" s="2321"/>
      <c r="H42" s="1180"/>
      <c r="I42" s="1063"/>
    </row>
    <row r="43" spans="1:9" ht="94.5" customHeight="1" x14ac:dyDescent="0.2">
      <c r="A43" s="1182" t="s">
        <v>188</v>
      </c>
      <c r="B43" s="2311" t="s">
        <v>7156</v>
      </c>
      <c r="C43" s="2312"/>
      <c r="D43" s="2313" t="s">
        <v>7157</v>
      </c>
      <c r="E43" s="2314"/>
      <c r="F43" s="2314"/>
      <c r="G43" s="2315"/>
      <c r="H43" s="1179" t="s">
        <v>9909</v>
      </c>
      <c r="I43" s="1181">
        <f>ROUND(419100  * 1 * 0.6 * 0.5 * 1.124,0)</f>
        <v>141321</v>
      </c>
    </row>
    <row r="44" spans="1:9" ht="15.75" customHeight="1" x14ac:dyDescent="0.2">
      <c r="A44" s="1185" t="s">
        <v>143</v>
      </c>
      <c r="B44" s="2305"/>
      <c r="C44" s="2306"/>
      <c r="D44" s="2305" t="s">
        <v>572</v>
      </c>
      <c r="E44" s="2307"/>
      <c r="F44" s="2307"/>
      <c r="G44" s="2306"/>
      <c r="H44" s="1057"/>
      <c r="I44" s="1058"/>
    </row>
    <row r="45" spans="1:9" ht="25.5" customHeight="1" x14ac:dyDescent="0.2">
      <c r="A45" s="1185" t="s">
        <v>143</v>
      </c>
      <c r="B45" s="2302"/>
      <c r="C45" s="2303"/>
      <c r="D45" s="2302" t="s">
        <v>7769</v>
      </c>
      <c r="E45" s="2304"/>
      <c r="F45" s="2304"/>
      <c r="G45" s="2303"/>
      <c r="H45" s="1184"/>
      <c r="I45" s="1060"/>
    </row>
    <row r="46" spans="1:9" ht="25.5" customHeight="1" x14ac:dyDescent="0.2">
      <c r="A46" s="1185" t="s">
        <v>143</v>
      </c>
      <c r="B46" s="2302"/>
      <c r="C46" s="2303"/>
      <c r="D46" s="2302" t="s">
        <v>9673</v>
      </c>
      <c r="E46" s="2304"/>
      <c r="F46" s="2304"/>
      <c r="G46" s="2303"/>
      <c r="H46" s="1184"/>
      <c r="I46" s="1060"/>
    </row>
    <row r="47" spans="1:9" ht="89.25" customHeight="1" x14ac:dyDescent="0.2">
      <c r="A47" s="1185" t="s">
        <v>143</v>
      </c>
      <c r="B47" s="2302"/>
      <c r="C47" s="2303"/>
      <c r="D47" s="2302" t="s">
        <v>7158</v>
      </c>
      <c r="E47" s="2304"/>
      <c r="F47" s="2304"/>
      <c r="G47" s="2303"/>
      <c r="H47" s="1184"/>
      <c r="I47" s="1060"/>
    </row>
    <row r="48" spans="1:9" ht="54" customHeight="1" x14ac:dyDescent="0.2">
      <c r="A48" s="1185" t="s">
        <v>143</v>
      </c>
      <c r="B48" s="2305"/>
      <c r="C48" s="2306"/>
      <c r="D48" s="2305" t="s">
        <v>7780</v>
      </c>
      <c r="E48" s="2307"/>
      <c r="F48" s="2307"/>
      <c r="G48" s="2306"/>
      <c r="H48" s="1057"/>
      <c r="I48" s="1058"/>
    </row>
    <row r="49" spans="1:9" ht="12.75" customHeight="1" x14ac:dyDescent="0.2">
      <c r="A49" s="1185" t="s">
        <v>143</v>
      </c>
      <c r="B49" s="2302"/>
      <c r="C49" s="2303"/>
      <c r="D49" s="2302" t="s">
        <v>9910</v>
      </c>
      <c r="E49" s="2304"/>
      <c r="F49" s="2304"/>
      <c r="G49" s="2303"/>
      <c r="H49" s="1184"/>
      <c r="I49" s="1060"/>
    </row>
    <row r="50" spans="1:9" ht="25.5" customHeight="1" x14ac:dyDescent="0.2">
      <c r="A50" s="1185" t="s">
        <v>143</v>
      </c>
      <c r="B50" s="2302"/>
      <c r="C50" s="2303"/>
      <c r="D50" s="2302" t="s">
        <v>9911</v>
      </c>
      <c r="E50" s="2304"/>
      <c r="F50" s="2304"/>
      <c r="G50" s="2303"/>
      <c r="H50" s="1184"/>
      <c r="I50" s="1060"/>
    </row>
    <row r="51" spans="1:9" ht="25.5" customHeight="1" x14ac:dyDescent="0.2">
      <c r="A51" s="1185" t="s">
        <v>143</v>
      </c>
      <c r="B51" s="2302"/>
      <c r="C51" s="2303"/>
      <c r="D51" s="2302" t="s">
        <v>9912</v>
      </c>
      <c r="E51" s="2304"/>
      <c r="F51" s="2304"/>
      <c r="G51" s="2303"/>
      <c r="H51" s="1184"/>
      <c r="I51" s="1060"/>
    </row>
    <row r="52" spans="1:9" ht="25.5" customHeight="1" x14ac:dyDescent="0.2">
      <c r="A52" s="1185" t="s">
        <v>143</v>
      </c>
      <c r="B52" s="2302"/>
      <c r="C52" s="2303"/>
      <c r="D52" s="2302" t="s">
        <v>9913</v>
      </c>
      <c r="E52" s="2304"/>
      <c r="F52" s="2304"/>
      <c r="G52" s="2303"/>
      <c r="H52" s="1184"/>
      <c r="I52" s="1060"/>
    </row>
    <row r="53" spans="1:9" ht="25.5" customHeight="1" x14ac:dyDescent="0.2">
      <c r="A53" s="1185" t="s">
        <v>143</v>
      </c>
      <c r="B53" s="2302"/>
      <c r="C53" s="2303"/>
      <c r="D53" s="2302" t="s">
        <v>9914</v>
      </c>
      <c r="E53" s="2304"/>
      <c r="F53" s="2304"/>
      <c r="G53" s="2303"/>
      <c r="H53" s="1184"/>
      <c r="I53" s="1060"/>
    </row>
    <row r="54" spans="1:9" ht="12.75" customHeight="1" x14ac:dyDescent="0.2">
      <c r="A54" s="1185" t="s">
        <v>143</v>
      </c>
      <c r="B54" s="2302"/>
      <c r="C54" s="2303"/>
      <c r="D54" s="2302" t="s">
        <v>9915</v>
      </c>
      <c r="E54" s="2304"/>
      <c r="F54" s="2304"/>
      <c r="G54" s="2303"/>
      <c r="H54" s="1184"/>
      <c r="I54" s="1060"/>
    </row>
    <row r="55" spans="1:9" ht="25.5" customHeight="1" x14ac:dyDescent="0.2">
      <c r="A55" s="1185" t="s">
        <v>143</v>
      </c>
      <c r="B55" s="2302"/>
      <c r="C55" s="2303"/>
      <c r="D55" s="2302" t="s">
        <v>9916</v>
      </c>
      <c r="E55" s="2304"/>
      <c r="F55" s="2304"/>
      <c r="G55" s="2303"/>
      <c r="H55" s="1184"/>
      <c r="I55" s="1060"/>
    </row>
    <row r="56" spans="1:9" ht="12.75" customHeight="1" x14ac:dyDescent="0.2">
      <c r="A56" s="1185" t="s">
        <v>143</v>
      </c>
      <c r="B56" s="2302"/>
      <c r="C56" s="2303"/>
      <c r="D56" s="2302" t="s">
        <v>9917</v>
      </c>
      <c r="E56" s="2304"/>
      <c r="F56" s="2304"/>
      <c r="G56" s="2303"/>
      <c r="H56" s="1184"/>
      <c r="I56" s="1060"/>
    </row>
    <row r="57" spans="1:9" ht="12.75" customHeight="1" x14ac:dyDescent="0.2">
      <c r="A57" s="1183" t="s">
        <v>143</v>
      </c>
      <c r="B57" s="2320"/>
      <c r="C57" s="2321"/>
      <c r="D57" s="2320" t="s">
        <v>9918</v>
      </c>
      <c r="E57" s="2322"/>
      <c r="F57" s="2322"/>
      <c r="G57" s="2321"/>
      <c r="H57" s="1180"/>
      <c r="I57" s="1063"/>
    </row>
    <row r="58" spans="1:9" ht="107.25" customHeight="1" x14ac:dyDescent="0.2">
      <c r="A58" s="1182" t="s">
        <v>189</v>
      </c>
      <c r="B58" s="2311" t="s">
        <v>7159</v>
      </c>
      <c r="C58" s="2312"/>
      <c r="D58" s="2313" t="s">
        <v>7160</v>
      </c>
      <c r="E58" s="2314"/>
      <c r="F58" s="2314"/>
      <c r="G58" s="2315"/>
      <c r="H58" s="1179" t="s">
        <v>9919</v>
      </c>
      <c r="I58" s="1181">
        <f>ROUND(334880  * 2 * 0.61 * 0.75 * 0.808,0)</f>
        <v>247583</v>
      </c>
    </row>
    <row r="59" spans="1:9" ht="15.75" customHeight="1" x14ac:dyDescent="0.2">
      <c r="A59" s="1185" t="s">
        <v>143</v>
      </c>
      <c r="B59" s="2305"/>
      <c r="C59" s="2306"/>
      <c r="D59" s="2305" t="s">
        <v>572</v>
      </c>
      <c r="E59" s="2307"/>
      <c r="F59" s="2307"/>
      <c r="G59" s="2306"/>
      <c r="H59" s="1057"/>
      <c r="I59" s="1058"/>
    </row>
    <row r="60" spans="1:9" ht="25.5" customHeight="1" x14ac:dyDescent="0.2">
      <c r="A60" s="1185" t="s">
        <v>143</v>
      </c>
      <c r="B60" s="2302"/>
      <c r="C60" s="2303"/>
      <c r="D60" s="2302" t="s">
        <v>7781</v>
      </c>
      <c r="E60" s="2304"/>
      <c r="F60" s="2304"/>
      <c r="G60" s="2303"/>
      <c r="H60" s="1184"/>
      <c r="I60" s="1060"/>
    </row>
    <row r="61" spans="1:9" ht="38.25" customHeight="1" x14ac:dyDescent="0.2">
      <c r="A61" s="1185" t="s">
        <v>143</v>
      </c>
      <c r="B61" s="2302"/>
      <c r="C61" s="2303"/>
      <c r="D61" s="2302" t="s">
        <v>7163</v>
      </c>
      <c r="E61" s="2304"/>
      <c r="F61" s="2304"/>
      <c r="G61" s="2303"/>
      <c r="H61" s="1184"/>
      <c r="I61" s="1060"/>
    </row>
    <row r="62" spans="1:9" ht="114.75" customHeight="1" x14ac:dyDescent="0.2">
      <c r="A62" s="1185" t="s">
        <v>143</v>
      </c>
      <c r="B62" s="2302"/>
      <c r="C62" s="2303"/>
      <c r="D62" s="2302" t="s">
        <v>9920</v>
      </c>
      <c r="E62" s="2304"/>
      <c r="F62" s="2304"/>
      <c r="G62" s="2303"/>
      <c r="H62" s="1184"/>
      <c r="I62" s="1060"/>
    </row>
    <row r="63" spans="1:9" ht="41.25" customHeight="1" x14ac:dyDescent="0.2">
      <c r="A63" s="1185" t="s">
        <v>143</v>
      </c>
      <c r="B63" s="2305"/>
      <c r="C63" s="2306"/>
      <c r="D63" s="2305" t="s">
        <v>9921</v>
      </c>
      <c r="E63" s="2307"/>
      <c r="F63" s="2307"/>
      <c r="G63" s="2306"/>
      <c r="H63" s="1057"/>
      <c r="I63" s="1058"/>
    </row>
    <row r="64" spans="1:9" ht="25.5" customHeight="1" x14ac:dyDescent="0.2">
      <c r="A64" s="1185" t="s">
        <v>143</v>
      </c>
      <c r="B64" s="2302"/>
      <c r="C64" s="2303"/>
      <c r="D64" s="2302" t="s">
        <v>9922</v>
      </c>
      <c r="E64" s="2304"/>
      <c r="F64" s="2304"/>
      <c r="G64" s="2303"/>
      <c r="H64" s="1184"/>
      <c r="I64" s="1060"/>
    </row>
    <row r="65" spans="1:9" ht="25.5" customHeight="1" x14ac:dyDescent="0.2">
      <c r="A65" s="1185" t="s">
        <v>143</v>
      </c>
      <c r="B65" s="2302"/>
      <c r="C65" s="2303"/>
      <c r="D65" s="2302" t="s">
        <v>9923</v>
      </c>
      <c r="E65" s="2304"/>
      <c r="F65" s="2304"/>
      <c r="G65" s="2303"/>
      <c r="H65" s="1184"/>
      <c r="I65" s="1060"/>
    </row>
    <row r="66" spans="1:9" ht="25.5" customHeight="1" x14ac:dyDescent="0.2">
      <c r="A66" s="1185" t="s">
        <v>143</v>
      </c>
      <c r="B66" s="2302"/>
      <c r="C66" s="2303"/>
      <c r="D66" s="2302" t="s">
        <v>9924</v>
      </c>
      <c r="E66" s="2304"/>
      <c r="F66" s="2304"/>
      <c r="G66" s="2303"/>
      <c r="H66" s="1184"/>
      <c r="I66" s="1060"/>
    </row>
    <row r="67" spans="1:9" ht="12.75" customHeight="1" x14ac:dyDescent="0.2">
      <c r="A67" s="1185" t="s">
        <v>143</v>
      </c>
      <c r="B67" s="2302"/>
      <c r="C67" s="2303"/>
      <c r="D67" s="2302" t="s">
        <v>9925</v>
      </c>
      <c r="E67" s="2304"/>
      <c r="F67" s="2304"/>
      <c r="G67" s="2303"/>
      <c r="H67" s="1184"/>
      <c r="I67" s="1060"/>
    </row>
    <row r="68" spans="1:9" ht="12.75" customHeight="1" x14ac:dyDescent="0.2">
      <c r="A68" s="1183" t="s">
        <v>143</v>
      </c>
      <c r="B68" s="2320"/>
      <c r="C68" s="2321"/>
      <c r="D68" s="2320" t="s">
        <v>9926</v>
      </c>
      <c r="E68" s="2322"/>
      <c r="F68" s="2322"/>
      <c r="G68" s="2321"/>
      <c r="H68" s="1180"/>
      <c r="I68" s="1063"/>
    </row>
    <row r="69" spans="1:9" ht="132.6" customHeight="1" x14ac:dyDescent="0.2">
      <c r="A69" s="1182" t="s">
        <v>190</v>
      </c>
      <c r="B69" s="2311" t="s">
        <v>7176</v>
      </c>
      <c r="C69" s="2312"/>
      <c r="D69" s="2313" t="s">
        <v>7177</v>
      </c>
      <c r="E69" s="2314"/>
      <c r="F69" s="2314"/>
      <c r="G69" s="2315"/>
      <c r="H69" s="1179" t="s">
        <v>9927</v>
      </c>
      <c r="I69" s="1181">
        <f>ROUND(100000  * 1 * 0.6 * 1.6 * 0.788,0)</f>
        <v>75648</v>
      </c>
    </row>
    <row r="70" spans="1:9" ht="15.75" customHeight="1" x14ac:dyDescent="0.2">
      <c r="A70" s="1185" t="s">
        <v>143</v>
      </c>
      <c r="B70" s="2305"/>
      <c r="C70" s="2306"/>
      <c r="D70" s="2305" t="s">
        <v>572</v>
      </c>
      <c r="E70" s="2307"/>
      <c r="F70" s="2307"/>
      <c r="G70" s="2306"/>
      <c r="H70" s="1057"/>
      <c r="I70" s="1058"/>
    </row>
    <row r="71" spans="1:9" ht="25.5" customHeight="1" x14ac:dyDescent="0.2">
      <c r="A71" s="1185" t="s">
        <v>143</v>
      </c>
      <c r="B71" s="2302"/>
      <c r="C71" s="2303"/>
      <c r="D71" s="2302" t="s">
        <v>7769</v>
      </c>
      <c r="E71" s="2304"/>
      <c r="F71" s="2304"/>
      <c r="G71" s="2303"/>
      <c r="H71" s="1184"/>
      <c r="I71" s="1060"/>
    </row>
    <row r="72" spans="1:9" ht="153" customHeight="1" x14ac:dyDescent="0.2">
      <c r="A72" s="1185" t="s">
        <v>143</v>
      </c>
      <c r="B72" s="2302"/>
      <c r="C72" s="2303"/>
      <c r="D72" s="2302" t="s">
        <v>9685</v>
      </c>
      <c r="E72" s="2304"/>
      <c r="F72" s="2304"/>
      <c r="G72" s="2303"/>
      <c r="H72" s="1184"/>
      <c r="I72" s="1060"/>
    </row>
    <row r="73" spans="1:9" ht="89.25" customHeight="1" x14ac:dyDescent="0.2">
      <c r="A73" s="1185" t="s">
        <v>143</v>
      </c>
      <c r="B73" s="2302"/>
      <c r="C73" s="2303"/>
      <c r="D73" s="2302" t="s">
        <v>9928</v>
      </c>
      <c r="E73" s="2304"/>
      <c r="F73" s="2304"/>
      <c r="G73" s="2303"/>
      <c r="H73" s="1184"/>
      <c r="I73" s="1060"/>
    </row>
    <row r="74" spans="1:9" ht="66.75" customHeight="1" x14ac:dyDescent="0.2">
      <c r="A74" s="1185" t="s">
        <v>143</v>
      </c>
      <c r="B74" s="2305"/>
      <c r="C74" s="2306"/>
      <c r="D74" s="2305" t="s">
        <v>9929</v>
      </c>
      <c r="E74" s="2307"/>
      <c r="F74" s="2307"/>
      <c r="G74" s="2306"/>
      <c r="H74" s="1057"/>
      <c r="I74" s="1058"/>
    </row>
    <row r="75" spans="1:9" ht="12.75" customHeight="1" x14ac:dyDescent="0.2">
      <c r="A75" s="1185" t="s">
        <v>143</v>
      </c>
      <c r="B75" s="2302"/>
      <c r="C75" s="2303"/>
      <c r="D75" s="2302" t="s">
        <v>9930</v>
      </c>
      <c r="E75" s="2304"/>
      <c r="F75" s="2304"/>
      <c r="G75" s="2303"/>
      <c r="H75" s="1184"/>
      <c r="I75" s="1060"/>
    </row>
    <row r="76" spans="1:9" ht="38.25" customHeight="1" x14ac:dyDescent="0.2">
      <c r="A76" s="1185" t="s">
        <v>143</v>
      </c>
      <c r="B76" s="2302"/>
      <c r="C76" s="2303"/>
      <c r="D76" s="2302" t="s">
        <v>9931</v>
      </c>
      <c r="E76" s="2304"/>
      <c r="F76" s="2304"/>
      <c r="G76" s="2303"/>
      <c r="H76" s="1184"/>
      <c r="I76" s="1060"/>
    </row>
    <row r="77" spans="1:9" ht="38.25" customHeight="1" x14ac:dyDescent="0.2">
      <c r="A77" s="1185" t="s">
        <v>143</v>
      </c>
      <c r="B77" s="2302"/>
      <c r="C77" s="2303"/>
      <c r="D77" s="2302" t="s">
        <v>9932</v>
      </c>
      <c r="E77" s="2304"/>
      <c r="F77" s="2304"/>
      <c r="G77" s="2303"/>
      <c r="H77" s="1184"/>
      <c r="I77" s="1060"/>
    </row>
    <row r="78" spans="1:9" ht="38.25" customHeight="1" x14ac:dyDescent="0.2">
      <c r="A78" s="1185" t="s">
        <v>143</v>
      </c>
      <c r="B78" s="2302"/>
      <c r="C78" s="2303"/>
      <c r="D78" s="2302" t="s">
        <v>9933</v>
      </c>
      <c r="E78" s="2304"/>
      <c r="F78" s="2304"/>
      <c r="G78" s="2303"/>
      <c r="H78" s="1184"/>
      <c r="I78" s="1060"/>
    </row>
    <row r="79" spans="1:9" ht="38.25" customHeight="1" x14ac:dyDescent="0.2">
      <c r="A79" s="1185" t="s">
        <v>143</v>
      </c>
      <c r="B79" s="2302"/>
      <c r="C79" s="2303"/>
      <c r="D79" s="2302" t="s">
        <v>9934</v>
      </c>
      <c r="E79" s="2304"/>
      <c r="F79" s="2304"/>
      <c r="G79" s="2303"/>
      <c r="H79" s="1184"/>
      <c r="I79" s="1060"/>
    </row>
    <row r="80" spans="1:9" ht="38.25" customHeight="1" x14ac:dyDescent="0.2">
      <c r="A80" s="1185" t="s">
        <v>143</v>
      </c>
      <c r="B80" s="2302"/>
      <c r="C80" s="2303"/>
      <c r="D80" s="2302" t="s">
        <v>9935</v>
      </c>
      <c r="E80" s="2304"/>
      <c r="F80" s="2304"/>
      <c r="G80" s="2303"/>
      <c r="H80" s="1184"/>
      <c r="I80" s="1060"/>
    </row>
    <row r="81" spans="1:9" ht="25.5" customHeight="1" x14ac:dyDescent="0.2">
      <c r="A81" s="1185" t="s">
        <v>143</v>
      </c>
      <c r="B81" s="2302"/>
      <c r="C81" s="2303"/>
      <c r="D81" s="2302" t="s">
        <v>9936</v>
      </c>
      <c r="E81" s="2304"/>
      <c r="F81" s="2304"/>
      <c r="G81" s="2303"/>
      <c r="H81" s="1184"/>
      <c r="I81" s="1060"/>
    </row>
    <row r="82" spans="1:9" ht="12.75" customHeight="1" x14ac:dyDescent="0.2">
      <c r="A82" s="1183" t="s">
        <v>143</v>
      </c>
      <c r="B82" s="2320"/>
      <c r="C82" s="2321"/>
      <c r="D82" s="2320" t="s">
        <v>9937</v>
      </c>
      <c r="E82" s="2322"/>
      <c r="F82" s="2322"/>
      <c r="G82" s="2321"/>
      <c r="H82" s="1180"/>
      <c r="I82" s="1063"/>
    </row>
    <row r="83" spans="1:9" ht="94.5" customHeight="1" x14ac:dyDescent="0.2">
      <c r="A83" s="1182" t="s">
        <v>191</v>
      </c>
      <c r="B83" s="2311" t="s">
        <v>7178</v>
      </c>
      <c r="C83" s="2312"/>
      <c r="D83" s="2313" t="s">
        <v>7179</v>
      </c>
      <c r="E83" s="2314"/>
      <c r="F83" s="2314"/>
      <c r="G83" s="2315"/>
      <c r="H83" s="1179" t="s">
        <v>7782</v>
      </c>
      <c r="I83" s="1181">
        <f>ROUND((530710  + 158  * 200.6) * 1 * 0.6 * 0.35 * 1.122,0)</f>
        <v>132514</v>
      </c>
    </row>
    <row r="84" spans="1:9" ht="15.75" customHeight="1" x14ac:dyDescent="0.2">
      <c r="A84" s="1185" t="s">
        <v>143</v>
      </c>
      <c r="B84" s="2305"/>
      <c r="C84" s="2306"/>
      <c r="D84" s="2305" t="s">
        <v>572</v>
      </c>
      <c r="E84" s="2307"/>
      <c r="F84" s="2307"/>
      <c r="G84" s="2306"/>
      <c r="H84" s="1057"/>
      <c r="I84" s="1058"/>
    </row>
    <row r="85" spans="1:9" ht="25.5" customHeight="1" x14ac:dyDescent="0.2">
      <c r="A85" s="1185" t="s">
        <v>143</v>
      </c>
      <c r="B85" s="2302"/>
      <c r="C85" s="2303"/>
      <c r="D85" s="2302" t="s">
        <v>7769</v>
      </c>
      <c r="E85" s="2304"/>
      <c r="F85" s="2304"/>
      <c r="G85" s="2303"/>
      <c r="H85" s="1184"/>
      <c r="I85" s="1060"/>
    </row>
    <row r="86" spans="1:9" ht="25.5" customHeight="1" x14ac:dyDescent="0.2">
      <c r="A86" s="1185" t="s">
        <v>143</v>
      </c>
      <c r="B86" s="2302"/>
      <c r="C86" s="2303"/>
      <c r="D86" s="2302" t="s">
        <v>7181</v>
      </c>
      <c r="E86" s="2304"/>
      <c r="F86" s="2304"/>
      <c r="G86" s="2303"/>
      <c r="H86" s="1184"/>
      <c r="I86" s="1060"/>
    </row>
    <row r="87" spans="1:9" ht="89.25" customHeight="1" x14ac:dyDescent="0.2">
      <c r="A87" s="1185" t="s">
        <v>143</v>
      </c>
      <c r="B87" s="2302"/>
      <c r="C87" s="2303"/>
      <c r="D87" s="2302" t="s">
        <v>7783</v>
      </c>
      <c r="E87" s="2304"/>
      <c r="F87" s="2304"/>
      <c r="G87" s="2303"/>
      <c r="H87" s="1184"/>
      <c r="I87" s="1060"/>
    </row>
    <row r="88" spans="1:9" ht="92.25" customHeight="1" x14ac:dyDescent="0.2">
      <c r="A88" s="1185" t="s">
        <v>143</v>
      </c>
      <c r="B88" s="2305"/>
      <c r="C88" s="2306"/>
      <c r="D88" s="2305" t="s">
        <v>7784</v>
      </c>
      <c r="E88" s="2307"/>
      <c r="F88" s="2307"/>
      <c r="G88" s="2306"/>
      <c r="H88" s="1057"/>
      <c r="I88" s="1058"/>
    </row>
    <row r="89" spans="1:9" ht="25.5" customHeight="1" x14ac:dyDescent="0.2">
      <c r="A89" s="1185" t="s">
        <v>143</v>
      </c>
      <c r="B89" s="2302"/>
      <c r="C89" s="2303"/>
      <c r="D89" s="2302" t="s">
        <v>7785</v>
      </c>
      <c r="E89" s="2304"/>
      <c r="F89" s="2304"/>
      <c r="G89" s="2303"/>
      <c r="H89" s="1184"/>
      <c r="I89" s="1060"/>
    </row>
    <row r="90" spans="1:9" ht="12.75" customHeight="1" x14ac:dyDescent="0.2">
      <c r="A90" s="1185" t="s">
        <v>143</v>
      </c>
      <c r="B90" s="2302"/>
      <c r="C90" s="2303"/>
      <c r="D90" s="2302" t="s">
        <v>7786</v>
      </c>
      <c r="E90" s="2304"/>
      <c r="F90" s="2304"/>
      <c r="G90" s="2303"/>
      <c r="H90" s="1184"/>
      <c r="I90" s="1060"/>
    </row>
    <row r="91" spans="1:9" ht="25.5" customHeight="1" x14ac:dyDescent="0.2">
      <c r="A91" s="1185" t="s">
        <v>143</v>
      </c>
      <c r="B91" s="2302"/>
      <c r="C91" s="2303"/>
      <c r="D91" s="2302" t="s">
        <v>7787</v>
      </c>
      <c r="E91" s="2304"/>
      <c r="F91" s="2304"/>
      <c r="G91" s="2303"/>
      <c r="H91" s="1184"/>
      <c r="I91" s="1060"/>
    </row>
    <row r="92" spans="1:9" ht="12.75" customHeight="1" x14ac:dyDescent="0.2">
      <c r="A92" s="1185" t="s">
        <v>143</v>
      </c>
      <c r="B92" s="2302"/>
      <c r="C92" s="2303"/>
      <c r="D92" s="2302" t="s">
        <v>7788</v>
      </c>
      <c r="E92" s="2304"/>
      <c r="F92" s="2304"/>
      <c r="G92" s="2303"/>
      <c r="H92" s="1184"/>
      <c r="I92" s="1060"/>
    </row>
    <row r="93" spans="1:9" ht="25.5" customHeight="1" x14ac:dyDescent="0.2">
      <c r="A93" s="1185" t="s">
        <v>143</v>
      </c>
      <c r="B93" s="2302"/>
      <c r="C93" s="2303"/>
      <c r="D93" s="2302" t="s">
        <v>7789</v>
      </c>
      <c r="E93" s="2304"/>
      <c r="F93" s="2304"/>
      <c r="G93" s="2303"/>
      <c r="H93" s="1184"/>
      <c r="I93" s="1060"/>
    </row>
    <row r="94" spans="1:9" ht="25.5" customHeight="1" x14ac:dyDescent="0.2">
      <c r="A94" s="1185" t="s">
        <v>143</v>
      </c>
      <c r="B94" s="2302"/>
      <c r="C94" s="2303"/>
      <c r="D94" s="2302" t="s">
        <v>7790</v>
      </c>
      <c r="E94" s="2304"/>
      <c r="F94" s="2304"/>
      <c r="G94" s="2303"/>
      <c r="H94" s="1184"/>
      <c r="I94" s="1060"/>
    </row>
    <row r="95" spans="1:9" ht="25.5" customHeight="1" x14ac:dyDescent="0.2">
      <c r="A95" s="1185" t="s">
        <v>143</v>
      </c>
      <c r="B95" s="2302"/>
      <c r="C95" s="2303"/>
      <c r="D95" s="2302" t="s">
        <v>7791</v>
      </c>
      <c r="E95" s="2304"/>
      <c r="F95" s="2304"/>
      <c r="G95" s="2303"/>
      <c r="H95" s="1184"/>
      <c r="I95" s="1060"/>
    </row>
    <row r="96" spans="1:9" ht="25.5" customHeight="1" x14ac:dyDescent="0.2">
      <c r="A96" s="1185" t="s">
        <v>143</v>
      </c>
      <c r="B96" s="2302"/>
      <c r="C96" s="2303"/>
      <c r="D96" s="2302" t="s">
        <v>7792</v>
      </c>
      <c r="E96" s="2304"/>
      <c r="F96" s="2304"/>
      <c r="G96" s="2303"/>
      <c r="H96" s="1184"/>
      <c r="I96" s="1060"/>
    </row>
    <row r="97" spans="1:9" ht="25.5" customHeight="1" x14ac:dyDescent="0.2">
      <c r="A97" s="1185" t="s">
        <v>143</v>
      </c>
      <c r="B97" s="2302"/>
      <c r="C97" s="2303"/>
      <c r="D97" s="2302" t="s">
        <v>7793</v>
      </c>
      <c r="E97" s="2304"/>
      <c r="F97" s="2304"/>
      <c r="G97" s="2303"/>
      <c r="H97" s="1184"/>
      <c r="I97" s="1060"/>
    </row>
    <row r="98" spans="1:9" ht="25.5" customHeight="1" x14ac:dyDescent="0.2">
      <c r="A98" s="1185" t="s">
        <v>143</v>
      </c>
      <c r="B98" s="2302"/>
      <c r="C98" s="2303"/>
      <c r="D98" s="2302" t="s">
        <v>7794</v>
      </c>
      <c r="E98" s="2304"/>
      <c r="F98" s="2304"/>
      <c r="G98" s="2303"/>
      <c r="H98" s="1184"/>
      <c r="I98" s="1060"/>
    </row>
    <row r="99" spans="1:9" ht="25.5" customHeight="1" x14ac:dyDescent="0.2">
      <c r="A99" s="1185" t="s">
        <v>143</v>
      </c>
      <c r="B99" s="2302"/>
      <c r="C99" s="2303"/>
      <c r="D99" s="2302" t="s">
        <v>7795</v>
      </c>
      <c r="E99" s="2304"/>
      <c r="F99" s="2304"/>
      <c r="G99" s="2303"/>
      <c r="H99" s="1184"/>
      <c r="I99" s="1060"/>
    </row>
    <row r="100" spans="1:9" ht="25.5" customHeight="1" x14ac:dyDescent="0.2">
      <c r="A100" s="1185" t="s">
        <v>143</v>
      </c>
      <c r="B100" s="2302"/>
      <c r="C100" s="2303"/>
      <c r="D100" s="2302" t="s">
        <v>7796</v>
      </c>
      <c r="E100" s="2304"/>
      <c r="F100" s="2304"/>
      <c r="G100" s="2303"/>
      <c r="H100" s="1184"/>
      <c r="I100" s="1060"/>
    </row>
    <row r="101" spans="1:9" ht="25.5" customHeight="1" x14ac:dyDescent="0.2">
      <c r="A101" s="1185" t="s">
        <v>143</v>
      </c>
      <c r="B101" s="2302"/>
      <c r="C101" s="2303"/>
      <c r="D101" s="2302" t="s">
        <v>7797</v>
      </c>
      <c r="E101" s="2304"/>
      <c r="F101" s="2304"/>
      <c r="G101" s="2303"/>
      <c r="H101" s="1184"/>
      <c r="I101" s="1060"/>
    </row>
    <row r="102" spans="1:9" ht="12.75" customHeight="1" x14ac:dyDescent="0.2">
      <c r="A102" s="1183" t="s">
        <v>143</v>
      </c>
      <c r="B102" s="2320"/>
      <c r="C102" s="2321"/>
      <c r="D102" s="2320" t="s">
        <v>7798</v>
      </c>
      <c r="E102" s="2322"/>
      <c r="F102" s="2322"/>
      <c r="G102" s="2321"/>
      <c r="H102" s="1180"/>
      <c r="I102" s="1063"/>
    </row>
    <row r="103" spans="1:9" ht="158.1" customHeight="1" x14ac:dyDescent="0.2">
      <c r="A103" s="1182" t="s">
        <v>192</v>
      </c>
      <c r="B103" s="2311" t="s">
        <v>7199</v>
      </c>
      <c r="C103" s="2312"/>
      <c r="D103" s="2313" t="s">
        <v>7200</v>
      </c>
      <c r="E103" s="2314"/>
      <c r="F103" s="2314"/>
      <c r="G103" s="2315"/>
      <c r="H103" s="1179" t="s">
        <v>7799</v>
      </c>
      <c r="I103" s="1181">
        <f>ROUND((28730  + 24  * (0.4 * 160 + 0.6 * 108.24)) * 1 * 0.6 * 0.22 * 1.1378,0)</f>
        <v>4780</v>
      </c>
    </row>
    <row r="104" spans="1:9" ht="15.75" customHeight="1" x14ac:dyDescent="0.2">
      <c r="A104" s="1185" t="s">
        <v>143</v>
      </c>
      <c r="B104" s="2305"/>
      <c r="C104" s="2306"/>
      <c r="D104" s="2305" t="s">
        <v>572</v>
      </c>
      <c r="E104" s="2307"/>
      <c r="F104" s="2307"/>
      <c r="G104" s="2306"/>
      <c r="H104" s="1057"/>
      <c r="I104" s="1058"/>
    </row>
    <row r="105" spans="1:9" ht="25.5" customHeight="1" x14ac:dyDescent="0.2">
      <c r="A105" s="1185" t="s">
        <v>143</v>
      </c>
      <c r="B105" s="2302"/>
      <c r="C105" s="2303"/>
      <c r="D105" s="2302" t="s">
        <v>7769</v>
      </c>
      <c r="E105" s="2304"/>
      <c r="F105" s="2304"/>
      <c r="G105" s="2303"/>
      <c r="H105" s="1184"/>
      <c r="I105" s="1060"/>
    </row>
    <row r="106" spans="1:9" ht="51" customHeight="1" x14ac:dyDescent="0.2">
      <c r="A106" s="1185" t="s">
        <v>143</v>
      </c>
      <c r="B106" s="2302"/>
      <c r="C106" s="2303"/>
      <c r="D106" s="2302" t="s">
        <v>7202</v>
      </c>
      <c r="E106" s="2304"/>
      <c r="F106" s="2304"/>
      <c r="G106" s="2303"/>
      <c r="H106" s="1184"/>
      <c r="I106" s="1060"/>
    </row>
    <row r="107" spans="1:9" ht="89.25" customHeight="1" x14ac:dyDescent="0.2">
      <c r="A107" s="1185" t="s">
        <v>143</v>
      </c>
      <c r="B107" s="2302"/>
      <c r="C107" s="2303"/>
      <c r="D107" s="2302" t="s">
        <v>7783</v>
      </c>
      <c r="E107" s="2304"/>
      <c r="F107" s="2304"/>
      <c r="G107" s="2303"/>
      <c r="H107" s="1184"/>
      <c r="I107" s="1060"/>
    </row>
    <row r="108" spans="1:9" ht="92.25" customHeight="1" x14ac:dyDescent="0.2">
      <c r="A108" s="1185" t="s">
        <v>143</v>
      </c>
      <c r="B108" s="2305"/>
      <c r="C108" s="2306"/>
      <c r="D108" s="2305" t="s">
        <v>7800</v>
      </c>
      <c r="E108" s="2307"/>
      <c r="F108" s="2307"/>
      <c r="G108" s="2306"/>
      <c r="H108" s="1057"/>
      <c r="I108" s="1058"/>
    </row>
    <row r="109" spans="1:9" ht="25.5" customHeight="1" x14ac:dyDescent="0.2">
      <c r="A109" s="1185" t="s">
        <v>143</v>
      </c>
      <c r="B109" s="2302"/>
      <c r="C109" s="2303"/>
      <c r="D109" s="2323" t="s">
        <v>7801</v>
      </c>
      <c r="E109" s="2324"/>
      <c r="F109" s="2324"/>
      <c r="G109" s="2325"/>
      <c r="H109" s="1184"/>
      <c r="I109" s="1060"/>
    </row>
    <row r="110" spans="1:9" ht="12.75" customHeight="1" x14ac:dyDescent="0.2">
      <c r="A110" s="1185" t="s">
        <v>143</v>
      </c>
      <c r="B110" s="2302"/>
      <c r="C110" s="2303"/>
      <c r="D110" s="2323" t="s">
        <v>7802</v>
      </c>
      <c r="E110" s="2324"/>
      <c r="F110" s="2324"/>
      <c r="G110" s="2325"/>
      <c r="H110" s="1184"/>
      <c r="I110" s="1060"/>
    </row>
    <row r="111" spans="1:9" ht="25.5" customHeight="1" x14ac:dyDescent="0.2">
      <c r="A111" s="1185" t="s">
        <v>143</v>
      </c>
      <c r="B111" s="2302"/>
      <c r="C111" s="2303"/>
      <c r="D111" s="2323" t="s">
        <v>7803</v>
      </c>
      <c r="E111" s="2324"/>
      <c r="F111" s="2324"/>
      <c r="G111" s="2325"/>
      <c r="H111" s="1184"/>
      <c r="I111" s="1060"/>
    </row>
    <row r="112" spans="1:9" ht="12.75" customHeight="1" x14ac:dyDescent="0.2">
      <c r="A112" s="1185" t="s">
        <v>143</v>
      </c>
      <c r="B112" s="2302"/>
      <c r="C112" s="2303"/>
      <c r="D112" s="2302" t="s">
        <v>7788</v>
      </c>
      <c r="E112" s="2304"/>
      <c r="F112" s="2304"/>
      <c r="G112" s="2303"/>
      <c r="H112" s="1184"/>
      <c r="I112" s="1060"/>
    </row>
    <row r="113" spans="1:9" ht="25.5" customHeight="1" x14ac:dyDescent="0.2">
      <c r="A113" s="1185" t="s">
        <v>143</v>
      </c>
      <c r="B113" s="2302"/>
      <c r="C113" s="2303"/>
      <c r="D113" s="2323" t="s">
        <v>7804</v>
      </c>
      <c r="E113" s="2324"/>
      <c r="F113" s="2324"/>
      <c r="G113" s="2325"/>
      <c r="H113" s="1184"/>
      <c r="I113" s="1060"/>
    </row>
    <row r="114" spans="1:9" ht="25.5" customHeight="1" x14ac:dyDescent="0.2">
      <c r="A114" s="1185" t="s">
        <v>143</v>
      </c>
      <c r="B114" s="2302"/>
      <c r="C114" s="2303"/>
      <c r="D114" s="2323" t="s">
        <v>7805</v>
      </c>
      <c r="E114" s="2324"/>
      <c r="F114" s="2324"/>
      <c r="G114" s="2325"/>
      <c r="H114" s="1184"/>
      <c r="I114" s="1060"/>
    </row>
    <row r="115" spans="1:9" ht="25.5" customHeight="1" x14ac:dyDescent="0.2">
      <c r="A115" s="1185" t="s">
        <v>143</v>
      </c>
      <c r="B115" s="2302"/>
      <c r="C115" s="2303"/>
      <c r="D115" s="2323" t="s">
        <v>7806</v>
      </c>
      <c r="E115" s="2324"/>
      <c r="F115" s="2324"/>
      <c r="G115" s="2325"/>
      <c r="H115" s="1184"/>
      <c r="I115" s="1060"/>
    </row>
    <row r="116" spans="1:9" ht="25.5" customHeight="1" x14ac:dyDescent="0.2">
      <c r="A116" s="1185" t="s">
        <v>143</v>
      </c>
      <c r="B116" s="2302"/>
      <c r="C116" s="2303"/>
      <c r="D116" s="2323" t="s">
        <v>7807</v>
      </c>
      <c r="E116" s="2324"/>
      <c r="F116" s="2324"/>
      <c r="G116" s="2325"/>
      <c r="H116" s="1184"/>
      <c r="I116" s="1060"/>
    </row>
    <row r="117" spans="1:9" ht="25.5" customHeight="1" x14ac:dyDescent="0.2">
      <c r="A117" s="1185" t="s">
        <v>143</v>
      </c>
      <c r="B117" s="2302"/>
      <c r="C117" s="2303"/>
      <c r="D117" s="2323" t="s">
        <v>7808</v>
      </c>
      <c r="E117" s="2324"/>
      <c r="F117" s="2324"/>
      <c r="G117" s="2325"/>
      <c r="H117" s="1184"/>
      <c r="I117" s="1060"/>
    </row>
    <row r="118" spans="1:9" ht="25.5" customHeight="1" x14ac:dyDescent="0.2">
      <c r="A118" s="1185" t="s">
        <v>143</v>
      </c>
      <c r="B118" s="2302"/>
      <c r="C118" s="2303"/>
      <c r="D118" s="2302" t="s">
        <v>7809</v>
      </c>
      <c r="E118" s="2304"/>
      <c r="F118" s="2304"/>
      <c r="G118" s="2303"/>
      <c r="H118" s="1184"/>
      <c r="I118" s="1060"/>
    </row>
    <row r="119" spans="1:9" ht="25.5" customHeight="1" x14ac:dyDescent="0.2">
      <c r="A119" s="1185" t="s">
        <v>143</v>
      </c>
      <c r="B119" s="2302"/>
      <c r="C119" s="2303"/>
      <c r="D119" s="2323" t="s">
        <v>7810</v>
      </c>
      <c r="E119" s="2324"/>
      <c r="F119" s="2324"/>
      <c r="G119" s="2325"/>
      <c r="H119" s="1184"/>
      <c r="I119" s="1060"/>
    </row>
    <row r="120" spans="1:9" ht="12.75" customHeight="1" x14ac:dyDescent="0.2">
      <c r="A120" s="1185" t="s">
        <v>143</v>
      </c>
      <c r="B120" s="2302"/>
      <c r="C120" s="2303"/>
      <c r="D120" s="2323" t="s">
        <v>7811</v>
      </c>
      <c r="E120" s="2324"/>
      <c r="F120" s="2324"/>
      <c r="G120" s="2325"/>
      <c r="H120" s="1184"/>
      <c r="I120" s="1060"/>
    </row>
    <row r="121" spans="1:9" ht="25.5" customHeight="1" x14ac:dyDescent="0.2">
      <c r="A121" s="1185" t="s">
        <v>143</v>
      </c>
      <c r="B121" s="2302"/>
      <c r="C121" s="2303"/>
      <c r="D121" s="2323" t="s">
        <v>7812</v>
      </c>
      <c r="E121" s="2324"/>
      <c r="F121" s="2324"/>
      <c r="G121" s="2325"/>
      <c r="H121" s="1184"/>
      <c r="I121" s="1060"/>
    </row>
    <row r="122" spans="1:9" ht="25.5" customHeight="1" x14ac:dyDescent="0.2">
      <c r="A122" s="1185" t="s">
        <v>143</v>
      </c>
      <c r="B122" s="2302"/>
      <c r="C122" s="2303"/>
      <c r="D122" s="2323" t="s">
        <v>7813</v>
      </c>
      <c r="E122" s="2324"/>
      <c r="F122" s="2324"/>
      <c r="G122" s="2325"/>
      <c r="H122" s="1184"/>
      <c r="I122" s="1060"/>
    </row>
    <row r="123" spans="1:9" ht="25.5" customHeight="1" x14ac:dyDescent="0.2">
      <c r="A123" s="1185" t="s">
        <v>143</v>
      </c>
      <c r="B123" s="2302"/>
      <c r="C123" s="2303"/>
      <c r="D123" s="2323" t="s">
        <v>7814</v>
      </c>
      <c r="E123" s="2324"/>
      <c r="F123" s="2324"/>
      <c r="G123" s="2325"/>
      <c r="H123" s="1184"/>
      <c r="I123" s="1060"/>
    </row>
    <row r="124" spans="1:9" ht="25.5" customHeight="1" x14ac:dyDescent="0.2">
      <c r="A124" s="1185" t="s">
        <v>143</v>
      </c>
      <c r="B124" s="2302"/>
      <c r="C124" s="2303"/>
      <c r="D124" s="2323" t="s">
        <v>7815</v>
      </c>
      <c r="E124" s="2324"/>
      <c r="F124" s="2324"/>
      <c r="G124" s="2325"/>
      <c r="H124" s="1184"/>
      <c r="I124" s="1060"/>
    </row>
    <row r="125" spans="1:9" ht="12.75" customHeight="1" x14ac:dyDescent="0.2">
      <c r="A125" s="1183" t="s">
        <v>143</v>
      </c>
      <c r="B125" s="2320"/>
      <c r="C125" s="2321"/>
      <c r="D125" s="2332" t="s">
        <v>7816</v>
      </c>
      <c r="E125" s="2333"/>
      <c r="F125" s="2333"/>
      <c r="G125" s="2334"/>
      <c r="H125" s="1180"/>
      <c r="I125" s="1063"/>
    </row>
    <row r="126" spans="1:9" ht="94.5" customHeight="1" x14ac:dyDescent="0.2">
      <c r="A126" s="1182" t="s">
        <v>193</v>
      </c>
      <c r="B126" s="2311" t="s">
        <v>7222</v>
      </c>
      <c r="C126" s="2312"/>
      <c r="D126" s="2313" t="s">
        <v>7223</v>
      </c>
      <c r="E126" s="2314"/>
      <c r="F126" s="2314"/>
      <c r="G126" s="2315"/>
      <c r="H126" s="1179" t="s">
        <v>7817</v>
      </c>
      <c r="I126" s="1181">
        <f>ROUND((33000  + 5500  * 11) * 1 * 0.6 * 0.35 * 1.164,0)</f>
        <v>22855</v>
      </c>
    </row>
    <row r="127" spans="1:9" ht="15.75" customHeight="1" x14ac:dyDescent="0.2">
      <c r="A127" s="1185" t="s">
        <v>143</v>
      </c>
      <c r="B127" s="2305"/>
      <c r="C127" s="2306"/>
      <c r="D127" s="2305" t="s">
        <v>572</v>
      </c>
      <c r="E127" s="2307"/>
      <c r="F127" s="2307"/>
      <c r="G127" s="2306"/>
      <c r="H127" s="1057"/>
      <c r="I127" s="1058"/>
    </row>
    <row r="128" spans="1:9" ht="25.5" customHeight="1" x14ac:dyDescent="0.2">
      <c r="A128" s="1185" t="s">
        <v>143</v>
      </c>
      <c r="B128" s="2302"/>
      <c r="C128" s="2303"/>
      <c r="D128" s="2302" t="s">
        <v>7769</v>
      </c>
      <c r="E128" s="2304"/>
      <c r="F128" s="2304"/>
      <c r="G128" s="2303"/>
      <c r="H128" s="1184"/>
      <c r="I128" s="1060"/>
    </row>
    <row r="129" spans="1:9" ht="25.5" customHeight="1" x14ac:dyDescent="0.2">
      <c r="A129" s="1185" t="s">
        <v>143</v>
      </c>
      <c r="B129" s="2302"/>
      <c r="C129" s="2303"/>
      <c r="D129" s="2302" t="s">
        <v>7181</v>
      </c>
      <c r="E129" s="2304"/>
      <c r="F129" s="2304"/>
      <c r="G129" s="2303"/>
      <c r="H129" s="1184"/>
      <c r="I129" s="1060"/>
    </row>
    <row r="130" spans="1:9" ht="89.25" customHeight="1" x14ac:dyDescent="0.2">
      <c r="A130" s="1185" t="s">
        <v>143</v>
      </c>
      <c r="B130" s="2302"/>
      <c r="C130" s="2303"/>
      <c r="D130" s="2302" t="s">
        <v>7225</v>
      </c>
      <c r="E130" s="2304"/>
      <c r="F130" s="2304"/>
      <c r="G130" s="2303"/>
      <c r="H130" s="1184"/>
      <c r="I130" s="1060"/>
    </row>
    <row r="131" spans="1:9" ht="79.5" customHeight="1" x14ac:dyDescent="0.2">
      <c r="A131" s="1185" t="s">
        <v>143</v>
      </c>
      <c r="B131" s="2305"/>
      <c r="C131" s="2306"/>
      <c r="D131" s="2305" t="s">
        <v>7818</v>
      </c>
      <c r="E131" s="2307"/>
      <c r="F131" s="2307"/>
      <c r="G131" s="2306"/>
      <c r="H131" s="1057"/>
      <c r="I131" s="1058"/>
    </row>
    <row r="132" spans="1:9" ht="12.75" customHeight="1" x14ac:dyDescent="0.2">
      <c r="A132" s="1185" t="s">
        <v>143</v>
      </c>
      <c r="B132" s="2302"/>
      <c r="C132" s="2303"/>
      <c r="D132" s="2302" t="s">
        <v>7819</v>
      </c>
      <c r="E132" s="2304"/>
      <c r="F132" s="2304"/>
      <c r="G132" s="2303"/>
      <c r="H132" s="1184"/>
      <c r="I132" s="1060"/>
    </row>
    <row r="133" spans="1:9" ht="25.5" customHeight="1" x14ac:dyDescent="0.2">
      <c r="A133" s="1185" t="s">
        <v>143</v>
      </c>
      <c r="B133" s="2302"/>
      <c r="C133" s="2303"/>
      <c r="D133" s="2302" t="s">
        <v>7820</v>
      </c>
      <c r="E133" s="2304"/>
      <c r="F133" s="2304"/>
      <c r="G133" s="2303"/>
      <c r="H133" s="1184"/>
      <c r="I133" s="1060"/>
    </row>
    <row r="134" spans="1:9" ht="12.75" customHeight="1" x14ac:dyDescent="0.2">
      <c r="A134" s="1185" t="s">
        <v>143</v>
      </c>
      <c r="B134" s="2302"/>
      <c r="C134" s="2303"/>
      <c r="D134" s="2302" t="s">
        <v>7821</v>
      </c>
      <c r="E134" s="2304"/>
      <c r="F134" s="2304"/>
      <c r="G134" s="2303"/>
      <c r="H134" s="1184"/>
      <c r="I134" s="1060"/>
    </row>
    <row r="135" spans="1:9" ht="25.5" customHeight="1" x14ac:dyDescent="0.2">
      <c r="A135" s="1185" t="s">
        <v>143</v>
      </c>
      <c r="B135" s="2302"/>
      <c r="C135" s="2303"/>
      <c r="D135" s="2302" t="s">
        <v>7822</v>
      </c>
      <c r="E135" s="2304"/>
      <c r="F135" s="2304"/>
      <c r="G135" s="2303"/>
      <c r="H135" s="1184"/>
      <c r="I135" s="1060"/>
    </row>
    <row r="136" spans="1:9" ht="25.5" customHeight="1" x14ac:dyDescent="0.2">
      <c r="A136" s="1185" t="s">
        <v>143</v>
      </c>
      <c r="B136" s="2302"/>
      <c r="C136" s="2303"/>
      <c r="D136" s="2302" t="s">
        <v>7823</v>
      </c>
      <c r="E136" s="2304"/>
      <c r="F136" s="2304"/>
      <c r="G136" s="2303"/>
      <c r="H136" s="1184"/>
      <c r="I136" s="1060"/>
    </row>
    <row r="137" spans="1:9" ht="38.25" customHeight="1" x14ac:dyDescent="0.2">
      <c r="A137" s="1185" t="s">
        <v>143</v>
      </c>
      <c r="B137" s="2302"/>
      <c r="C137" s="2303"/>
      <c r="D137" s="2302" t="s">
        <v>7824</v>
      </c>
      <c r="E137" s="2304"/>
      <c r="F137" s="2304"/>
      <c r="G137" s="2303"/>
      <c r="H137" s="1184"/>
      <c r="I137" s="1060"/>
    </row>
    <row r="138" spans="1:9" ht="25.5" customHeight="1" x14ac:dyDescent="0.2">
      <c r="A138" s="1185" t="s">
        <v>143</v>
      </c>
      <c r="B138" s="2302"/>
      <c r="C138" s="2303"/>
      <c r="D138" s="2302" t="s">
        <v>7825</v>
      </c>
      <c r="E138" s="2304"/>
      <c r="F138" s="2304"/>
      <c r="G138" s="2303"/>
      <c r="H138" s="1184"/>
      <c r="I138" s="1060"/>
    </row>
    <row r="139" spans="1:9" ht="38.25" customHeight="1" x14ac:dyDescent="0.2">
      <c r="A139" s="1185" t="s">
        <v>143</v>
      </c>
      <c r="B139" s="2302"/>
      <c r="C139" s="2303"/>
      <c r="D139" s="2302" t="s">
        <v>7826</v>
      </c>
      <c r="E139" s="2304"/>
      <c r="F139" s="2304"/>
      <c r="G139" s="2303"/>
      <c r="H139" s="1184"/>
      <c r="I139" s="1060"/>
    </row>
    <row r="140" spans="1:9" ht="25.5" customHeight="1" x14ac:dyDescent="0.2">
      <c r="A140" s="1185" t="s">
        <v>143</v>
      </c>
      <c r="B140" s="2302"/>
      <c r="C140" s="2303"/>
      <c r="D140" s="2302" t="s">
        <v>7827</v>
      </c>
      <c r="E140" s="2304"/>
      <c r="F140" s="2304"/>
      <c r="G140" s="2303"/>
      <c r="H140" s="1184"/>
      <c r="I140" s="1060"/>
    </row>
    <row r="141" spans="1:9" ht="25.5" customHeight="1" x14ac:dyDescent="0.2">
      <c r="A141" s="1185" t="s">
        <v>143</v>
      </c>
      <c r="B141" s="2302"/>
      <c r="C141" s="2303"/>
      <c r="D141" s="2302" t="s">
        <v>7828</v>
      </c>
      <c r="E141" s="2304"/>
      <c r="F141" s="2304"/>
      <c r="G141" s="2303"/>
      <c r="H141" s="1184"/>
      <c r="I141" s="1060"/>
    </row>
    <row r="142" spans="1:9" ht="25.5" customHeight="1" x14ac:dyDescent="0.2">
      <c r="A142" s="1185" t="s">
        <v>143</v>
      </c>
      <c r="B142" s="2302"/>
      <c r="C142" s="2303"/>
      <c r="D142" s="2302" t="s">
        <v>7829</v>
      </c>
      <c r="E142" s="2304"/>
      <c r="F142" s="2304"/>
      <c r="G142" s="2303"/>
      <c r="H142" s="1184"/>
      <c r="I142" s="1060"/>
    </row>
    <row r="143" spans="1:9" ht="12.75" customHeight="1" x14ac:dyDescent="0.2">
      <c r="A143" s="1183" t="s">
        <v>143</v>
      </c>
      <c r="B143" s="2320"/>
      <c r="C143" s="2321"/>
      <c r="D143" s="2320" t="s">
        <v>7830</v>
      </c>
      <c r="E143" s="2322"/>
      <c r="F143" s="2322"/>
      <c r="G143" s="2321"/>
      <c r="H143" s="1180"/>
      <c r="I143" s="1063"/>
    </row>
    <row r="144" spans="1:9" ht="119.85" customHeight="1" x14ac:dyDescent="0.2">
      <c r="A144" s="1182" t="s">
        <v>194</v>
      </c>
      <c r="B144" s="2311" t="s">
        <v>7242</v>
      </c>
      <c r="C144" s="2312"/>
      <c r="D144" s="2313" t="s">
        <v>7243</v>
      </c>
      <c r="E144" s="2314"/>
      <c r="F144" s="2314"/>
      <c r="G144" s="2315"/>
      <c r="H144" s="1179" t="s">
        <v>7831</v>
      </c>
      <c r="I144" s="1181">
        <f>ROUND((35000  + 190  * (0.4 * 250 + 0.6 * 250 / 2)) * 1 * 0.6 * 0.7 * 1.164,0)</f>
        <v>33366</v>
      </c>
    </row>
    <row r="145" spans="1:9" ht="15.75" customHeight="1" x14ac:dyDescent="0.2">
      <c r="A145" s="1185" t="s">
        <v>143</v>
      </c>
      <c r="B145" s="2305"/>
      <c r="C145" s="2306"/>
      <c r="D145" s="2305" t="s">
        <v>572</v>
      </c>
      <c r="E145" s="2307"/>
      <c r="F145" s="2307"/>
      <c r="G145" s="2306"/>
      <c r="H145" s="1057"/>
      <c r="I145" s="1058"/>
    </row>
    <row r="146" spans="1:9" ht="25.5" customHeight="1" x14ac:dyDescent="0.2">
      <c r="A146" s="1185" t="s">
        <v>143</v>
      </c>
      <c r="B146" s="2302"/>
      <c r="C146" s="2303"/>
      <c r="D146" s="2302" t="s">
        <v>7769</v>
      </c>
      <c r="E146" s="2304"/>
      <c r="F146" s="2304"/>
      <c r="G146" s="2303"/>
      <c r="H146" s="1184"/>
      <c r="I146" s="1060"/>
    </row>
    <row r="147" spans="1:9" ht="76.7" customHeight="1" x14ac:dyDescent="0.2">
      <c r="A147" s="1185" t="s">
        <v>143</v>
      </c>
      <c r="B147" s="2302"/>
      <c r="C147" s="2303"/>
      <c r="D147" s="2302" t="s">
        <v>7245</v>
      </c>
      <c r="E147" s="2304"/>
      <c r="F147" s="2304"/>
      <c r="G147" s="2303"/>
      <c r="H147" s="1184"/>
      <c r="I147" s="1060"/>
    </row>
    <row r="148" spans="1:9" ht="89.25" customHeight="1" x14ac:dyDescent="0.2">
      <c r="A148" s="1185" t="s">
        <v>143</v>
      </c>
      <c r="B148" s="2302"/>
      <c r="C148" s="2303"/>
      <c r="D148" s="2302" t="s">
        <v>7225</v>
      </c>
      <c r="E148" s="2304"/>
      <c r="F148" s="2304"/>
      <c r="G148" s="2303"/>
      <c r="H148" s="1184"/>
      <c r="I148" s="1060"/>
    </row>
    <row r="149" spans="1:9" ht="79.5" customHeight="1" x14ac:dyDescent="0.2">
      <c r="A149" s="1185" t="s">
        <v>143</v>
      </c>
      <c r="B149" s="2305"/>
      <c r="C149" s="2306"/>
      <c r="D149" s="2305" t="s">
        <v>7818</v>
      </c>
      <c r="E149" s="2307"/>
      <c r="F149" s="2307"/>
      <c r="G149" s="2306"/>
      <c r="H149" s="1057"/>
      <c r="I149" s="1058"/>
    </row>
    <row r="150" spans="1:9" ht="12.75" customHeight="1" x14ac:dyDescent="0.2">
      <c r="A150" s="1185" t="s">
        <v>143</v>
      </c>
      <c r="B150" s="2302"/>
      <c r="C150" s="2303"/>
      <c r="D150" s="2302" t="s">
        <v>7832</v>
      </c>
      <c r="E150" s="2304"/>
      <c r="F150" s="2304"/>
      <c r="G150" s="2303"/>
      <c r="H150" s="1184"/>
      <c r="I150" s="1060"/>
    </row>
    <row r="151" spans="1:9" ht="25.5" customHeight="1" x14ac:dyDescent="0.2">
      <c r="A151" s="1185" t="s">
        <v>143</v>
      </c>
      <c r="B151" s="2302"/>
      <c r="C151" s="2303"/>
      <c r="D151" s="2302" t="s">
        <v>7833</v>
      </c>
      <c r="E151" s="2304"/>
      <c r="F151" s="2304"/>
      <c r="G151" s="2303"/>
      <c r="H151" s="1184"/>
      <c r="I151" s="1060"/>
    </row>
    <row r="152" spans="1:9" ht="12.75" customHeight="1" x14ac:dyDescent="0.2">
      <c r="A152" s="1185" t="s">
        <v>143</v>
      </c>
      <c r="B152" s="2302"/>
      <c r="C152" s="2303"/>
      <c r="D152" s="2302" t="s">
        <v>7834</v>
      </c>
      <c r="E152" s="2304"/>
      <c r="F152" s="2304"/>
      <c r="G152" s="2303"/>
      <c r="H152" s="1184"/>
      <c r="I152" s="1060"/>
    </row>
    <row r="153" spans="1:9" ht="25.5" customHeight="1" x14ac:dyDescent="0.2">
      <c r="A153" s="1185" t="s">
        <v>143</v>
      </c>
      <c r="B153" s="2302"/>
      <c r="C153" s="2303"/>
      <c r="D153" s="2302" t="s">
        <v>7835</v>
      </c>
      <c r="E153" s="2304"/>
      <c r="F153" s="2304"/>
      <c r="G153" s="2303"/>
      <c r="H153" s="1184"/>
      <c r="I153" s="1060"/>
    </row>
    <row r="154" spans="1:9" ht="25.5" customHeight="1" x14ac:dyDescent="0.2">
      <c r="A154" s="1185" t="s">
        <v>143</v>
      </c>
      <c r="B154" s="2302"/>
      <c r="C154" s="2303"/>
      <c r="D154" s="2302" t="s">
        <v>7836</v>
      </c>
      <c r="E154" s="2304"/>
      <c r="F154" s="2304"/>
      <c r="G154" s="2303"/>
      <c r="H154" s="1184"/>
      <c r="I154" s="1060"/>
    </row>
    <row r="155" spans="1:9" ht="38.25" customHeight="1" x14ac:dyDescent="0.2">
      <c r="A155" s="1185" t="s">
        <v>143</v>
      </c>
      <c r="B155" s="2302"/>
      <c r="C155" s="2303"/>
      <c r="D155" s="2302" t="s">
        <v>7837</v>
      </c>
      <c r="E155" s="2304"/>
      <c r="F155" s="2304"/>
      <c r="G155" s="2303"/>
      <c r="H155" s="1184"/>
      <c r="I155" s="1060"/>
    </row>
    <row r="156" spans="1:9" ht="25.5" customHeight="1" x14ac:dyDescent="0.2">
      <c r="A156" s="1185" t="s">
        <v>143</v>
      </c>
      <c r="B156" s="2302"/>
      <c r="C156" s="2303"/>
      <c r="D156" s="2302" t="s">
        <v>7838</v>
      </c>
      <c r="E156" s="2304"/>
      <c r="F156" s="2304"/>
      <c r="G156" s="2303"/>
      <c r="H156" s="1184"/>
      <c r="I156" s="1060"/>
    </row>
    <row r="157" spans="1:9" ht="38.25" customHeight="1" x14ac:dyDescent="0.2">
      <c r="A157" s="1185" t="s">
        <v>143</v>
      </c>
      <c r="B157" s="2302"/>
      <c r="C157" s="2303"/>
      <c r="D157" s="2302" t="s">
        <v>7839</v>
      </c>
      <c r="E157" s="2304"/>
      <c r="F157" s="2304"/>
      <c r="G157" s="2303"/>
      <c r="H157" s="1184"/>
      <c r="I157" s="1060"/>
    </row>
    <row r="158" spans="1:9" ht="25.5" customHeight="1" x14ac:dyDescent="0.2">
      <c r="A158" s="1185" t="s">
        <v>143</v>
      </c>
      <c r="B158" s="2302"/>
      <c r="C158" s="2303"/>
      <c r="D158" s="2302" t="s">
        <v>7840</v>
      </c>
      <c r="E158" s="2304"/>
      <c r="F158" s="2304"/>
      <c r="G158" s="2303"/>
      <c r="H158" s="1184"/>
      <c r="I158" s="1060"/>
    </row>
    <row r="159" spans="1:9" ht="38.25" customHeight="1" x14ac:dyDescent="0.2">
      <c r="A159" s="1185" t="s">
        <v>143</v>
      </c>
      <c r="B159" s="2302"/>
      <c r="C159" s="2303"/>
      <c r="D159" s="2302" t="s">
        <v>7841</v>
      </c>
      <c r="E159" s="2304"/>
      <c r="F159" s="2304"/>
      <c r="G159" s="2303"/>
      <c r="H159" s="1184"/>
      <c r="I159" s="1060"/>
    </row>
    <row r="160" spans="1:9" ht="25.5" customHeight="1" x14ac:dyDescent="0.2">
      <c r="A160" s="1185" t="s">
        <v>143</v>
      </c>
      <c r="B160" s="2302"/>
      <c r="C160" s="2303"/>
      <c r="D160" s="2302" t="s">
        <v>7842</v>
      </c>
      <c r="E160" s="2304"/>
      <c r="F160" s="2304"/>
      <c r="G160" s="2303"/>
      <c r="H160" s="1184"/>
      <c r="I160" s="1060"/>
    </row>
    <row r="161" spans="1:9" ht="12.75" customHeight="1" x14ac:dyDescent="0.2">
      <c r="A161" s="1183" t="s">
        <v>143</v>
      </c>
      <c r="B161" s="2320"/>
      <c r="C161" s="2321"/>
      <c r="D161" s="2320" t="s">
        <v>7843</v>
      </c>
      <c r="E161" s="2322"/>
      <c r="F161" s="2322"/>
      <c r="G161" s="2321"/>
      <c r="H161" s="1180"/>
      <c r="I161" s="1063"/>
    </row>
    <row r="162" spans="1:9" ht="145.35" customHeight="1" x14ac:dyDescent="0.2">
      <c r="A162" s="2326" t="s">
        <v>195</v>
      </c>
      <c r="B162" s="2311" t="s">
        <v>7263</v>
      </c>
      <c r="C162" s="2312"/>
      <c r="D162" s="2313" t="s">
        <v>7264</v>
      </c>
      <c r="E162" s="2314"/>
      <c r="F162" s="2314"/>
      <c r="G162" s="2315"/>
      <c r="H162" s="2328" t="s">
        <v>7844</v>
      </c>
      <c r="I162" s="2330">
        <f>ROUND((28730  + 24  * (0.4 * 160 + 0.6 * 160 / 2)) * 1 * 0.6 * 1.4 * 0.22 * 0.7 * 1.1378,0)</f>
        <v>4624</v>
      </c>
    </row>
    <row r="163" spans="1:9" ht="12.75" customHeight="1" x14ac:dyDescent="0.2">
      <c r="A163" s="2327"/>
      <c r="B163" s="2305"/>
      <c r="C163" s="2306"/>
      <c r="D163" s="2302"/>
      <c r="E163" s="2304"/>
      <c r="F163" s="2304"/>
      <c r="G163" s="2303"/>
      <c r="H163" s="2329"/>
      <c r="I163" s="2331"/>
    </row>
    <row r="164" spans="1:9" ht="15.75" customHeight="1" x14ac:dyDescent="0.2">
      <c r="A164" s="1185" t="s">
        <v>143</v>
      </c>
      <c r="B164" s="2305"/>
      <c r="C164" s="2306"/>
      <c r="D164" s="2305" t="s">
        <v>572</v>
      </c>
      <c r="E164" s="2307"/>
      <c r="F164" s="2307"/>
      <c r="G164" s="2306"/>
      <c r="H164" s="1057"/>
      <c r="I164" s="1058"/>
    </row>
    <row r="165" spans="1:9" ht="25.5" customHeight="1" x14ac:dyDescent="0.2">
      <c r="A165" s="1185" t="s">
        <v>143</v>
      </c>
      <c r="B165" s="2302"/>
      <c r="C165" s="2303"/>
      <c r="D165" s="2302" t="s">
        <v>7769</v>
      </c>
      <c r="E165" s="2304"/>
      <c r="F165" s="2304"/>
      <c r="G165" s="2303"/>
      <c r="H165" s="1184"/>
      <c r="I165" s="1060"/>
    </row>
    <row r="166" spans="1:9" ht="153" customHeight="1" x14ac:dyDescent="0.2">
      <c r="A166" s="1185" t="s">
        <v>143</v>
      </c>
      <c r="B166" s="2302"/>
      <c r="C166" s="2303"/>
      <c r="D166" s="2302" t="s">
        <v>7266</v>
      </c>
      <c r="E166" s="2304"/>
      <c r="F166" s="2304"/>
      <c r="G166" s="2303"/>
      <c r="H166" s="1184"/>
      <c r="I166" s="1060"/>
    </row>
    <row r="167" spans="1:9" ht="51" customHeight="1" x14ac:dyDescent="0.2">
      <c r="A167" s="1185" t="s">
        <v>143</v>
      </c>
      <c r="B167" s="2302"/>
      <c r="C167" s="2303"/>
      <c r="D167" s="2302" t="s">
        <v>7267</v>
      </c>
      <c r="E167" s="2304"/>
      <c r="F167" s="2304"/>
      <c r="G167" s="2303"/>
      <c r="H167" s="1184"/>
      <c r="I167" s="1060"/>
    </row>
    <row r="168" spans="1:9" ht="76.7" customHeight="1" x14ac:dyDescent="0.2">
      <c r="A168" s="1185" t="s">
        <v>143</v>
      </c>
      <c r="B168" s="2302"/>
      <c r="C168" s="2303"/>
      <c r="D168" s="2302" t="s">
        <v>7268</v>
      </c>
      <c r="E168" s="2304"/>
      <c r="F168" s="2304"/>
      <c r="G168" s="2303"/>
      <c r="H168" s="1184"/>
      <c r="I168" s="1060"/>
    </row>
    <row r="169" spans="1:9" ht="89.25" customHeight="1" x14ac:dyDescent="0.2">
      <c r="A169" s="1185" t="s">
        <v>143</v>
      </c>
      <c r="B169" s="2302"/>
      <c r="C169" s="2303"/>
      <c r="D169" s="2302" t="s">
        <v>7845</v>
      </c>
      <c r="E169" s="2304"/>
      <c r="F169" s="2304"/>
      <c r="G169" s="2303"/>
      <c r="H169" s="1184"/>
      <c r="I169" s="1060"/>
    </row>
    <row r="170" spans="1:9" ht="92.25" customHeight="1" x14ac:dyDescent="0.2">
      <c r="A170" s="1185" t="s">
        <v>143</v>
      </c>
      <c r="B170" s="2305"/>
      <c r="C170" s="2306"/>
      <c r="D170" s="2305" t="s">
        <v>7800</v>
      </c>
      <c r="E170" s="2307"/>
      <c r="F170" s="2307"/>
      <c r="G170" s="2306"/>
      <c r="H170" s="1057"/>
      <c r="I170" s="1058"/>
    </row>
    <row r="171" spans="1:9" ht="25.5" customHeight="1" x14ac:dyDescent="0.2">
      <c r="A171" s="1185" t="s">
        <v>143</v>
      </c>
      <c r="B171" s="2302"/>
      <c r="C171" s="2303"/>
      <c r="D171" s="2323" t="s">
        <v>7846</v>
      </c>
      <c r="E171" s="2324"/>
      <c r="F171" s="2324"/>
      <c r="G171" s="2325"/>
      <c r="H171" s="1184"/>
      <c r="I171" s="1060"/>
    </row>
    <row r="172" spans="1:9" ht="12.75" customHeight="1" x14ac:dyDescent="0.2">
      <c r="A172" s="1185" t="s">
        <v>143</v>
      </c>
      <c r="B172" s="2302"/>
      <c r="C172" s="2303"/>
      <c r="D172" s="2323" t="s">
        <v>7847</v>
      </c>
      <c r="E172" s="2324"/>
      <c r="F172" s="2324"/>
      <c r="G172" s="2325"/>
      <c r="H172" s="1184"/>
      <c r="I172" s="1060"/>
    </row>
    <row r="173" spans="1:9" ht="25.5" customHeight="1" x14ac:dyDescent="0.2">
      <c r="A173" s="1185" t="s">
        <v>143</v>
      </c>
      <c r="B173" s="2302"/>
      <c r="C173" s="2303"/>
      <c r="D173" s="2323" t="s">
        <v>7848</v>
      </c>
      <c r="E173" s="2324"/>
      <c r="F173" s="2324"/>
      <c r="G173" s="2325"/>
      <c r="H173" s="1184"/>
      <c r="I173" s="1060"/>
    </row>
    <row r="174" spans="1:9" ht="12.75" customHeight="1" x14ac:dyDescent="0.2">
      <c r="A174" s="1185" t="s">
        <v>143</v>
      </c>
      <c r="B174" s="2302"/>
      <c r="C174" s="2303"/>
      <c r="D174" s="2302" t="s">
        <v>7788</v>
      </c>
      <c r="E174" s="2304"/>
      <c r="F174" s="2304"/>
      <c r="G174" s="2303"/>
      <c r="H174" s="1184"/>
      <c r="I174" s="1060"/>
    </row>
    <row r="175" spans="1:9" ht="25.5" customHeight="1" x14ac:dyDescent="0.2">
      <c r="A175" s="1185" t="s">
        <v>143</v>
      </c>
      <c r="B175" s="2302"/>
      <c r="C175" s="2303"/>
      <c r="D175" s="2323" t="s">
        <v>7849</v>
      </c>
      <c r="E175" s="2324"/>
      <c r="F175" s="2324"/>
      <c r="G175" s="2325"/>
      <c r="H175" s="1184"/>
      <c r="I175" s="1060"/>
    </row>
    <row r="176" spans="1:9" ht="25.5" customHeight="1" x14ac:dyDescent="0.2">
      <c r="A176" s="1185" t="s">
        <v>143</v>
      </c>
      <c r="B176" s="2302"/>
      <c r="C176" s="2303"/>
      <c r="D176" s="2323" t="s">
        <v>7850</v>
      </c>
      <c r="E176" s="2324"/>
      <c r="F176" s="2324"/>
      <c r="G176" s="2325"/>
      <c r="H176" s="1184"/>
      <c r="I176" s="1060"/>
    </row>
    <row r="177" spans="1:9" ht="25.5" customHeight="1" x14ac:dyDescent="0.2">
      <c r="A177" s="1185" t="s">
        <v>143</v>
      </c>
      <c r="B177" s="2302"/>
      <c r="C177" s="2303"/>
      <c r="D177" s="2323" t="s">
        <v>7851</v>
      </c>
      <c r="E177" s="2324"/>
      <c r="F177" s="2324"/>
      <c r="G177" s="2325"/>
      <c r="H177" s="1184"/>
      <c r="I177" s="1060"/>
    </row>
    <row r="178" spans="1:9" ht="25.5" customHeight="1" x14ac:dyDescent="0.2">
      <c r="A178" s="1185" t="s">
        <v>143</v>
      </c>
      <c r="B178" s="2302"/>
      <c r="C178" s="2303"/>
      <c r="D178" s="2323" t="s">
        <v>7852</v>
      </c>
      <c r="E178" s="2324"/>
      <c r="F178" s="2324"/>
      <c r="G178" s="2325"/>
      <c r="H178" s="1184"/>
      <c r="I178" s="1060"/>
    </row>
    <row r="179" spans="1:9" ht="25.5" customHeight="1" x14ac:dyDescent="0.2">
      <c r="A179" s="1185" t="s">
        <v>143</v>
      </c>
      <c r="B179" s="2302"/>
      <c r="C179" s="2303"/>
      <c r="D179" s="2323" t="s">
        <v>7853</v>
      </c>
      <c r="E179" s="2324"/>
      <c r="F179" s="2324"/>
      <c r="G179" s="2325"/>
      <c r="H179" s="1184"/>
      <c r="I179" s="1060"/>
    </row>
    <row r="180" spans="1:9" ht="25.5" customHeight="1" x14ac:dyDescent="0.2">
      <c r="A180" s="1185" t="s">
        <v>143</v>
      </c>
      <c r="B180" s="2302"/>
      <c r="C180" s="2303"/>
      <c r="D180" s="2302" t="s">
        <v>7854</v>
      </c>
      <c r="E180" s="2304"/>
      <c r="F180" s="2304"/>
      <c r="G180" s="2303"/>
      <c r="H180" s="1184"/>
      <c r="I180" s="1060"/>
    </row>
    <row r="181" spans="1:9" ht="25.5" customHeight="1" x14ac:dyDescent="0.2">
      <c r="A181" s="1185" t="s">
        <v>143</v>
      </c>
      <c r="B181" s="2302"/>
      <c r="C181" s="2303"/>
      <c r="D181" s="2323" t="s">
        <v>7855</v>
      </c>
      <c r="E181" s="2324"/>
      <c r="F181" s="2324"/>
      <c r="G181" s="2325"/>
      <c r="H181" s="1184"/>
      <c r="I181" s="1060"/>
    </row>
    <row r="182" spans="1:9" ht="12.75" customHeight="1" x14ac:dyDescent="0.2">
      <c r="A182" s="1185" t="s">
        <v>143</v>
      </c>
      <c r="B182" s="2302"/>
      <c r="C182" s="2303"/>
      <c r="D182" s="2323" t="s">
        <v>7856</v>
      </c>
      <c r="E182" s="2324"/>
      <c r="F182" s="2324"/>
      <c r="G182" s="2325"/>
      <c r="H182" s="1184"/>
      <c r="I182" s="1060"/>
    </row>
    <row r="183" spans="1:9" ht="25.5" customHeight="1" x14ac:dyDescent="0.2">
      <c r="A183" s="1185" t="s">
        <v>143</v>
      </c>
      <c r="B183" s="2302"/>
      <c r="C183" s="2303"/>
      <c r="D183" s="2323" t="s">
        <v>7812</v>
      </c>
      <c r="E183" s="2324"/>
      <c r="F183" s="2324"/>
      <c r="G183" s="2325"/>
      <c r="H183" s="1184"/>
      <c r="I183" s="1060"/>
    </row>
    <row r="184" spans="1:9" ht="25.5" customHeight="1" x14ac:dyDescent="0.2">
      <c r="A184" s="1185" t="s">
        <v>143</v>
      </c>
      <c r="B184" s="2302"/>
      <c r="C184" s="2303"/>
      <c r="D184" s="2323" t="s">
        <v>7857</v>
      </c>
      <c r="E184" s="2324"/>
      <c r="F184" s="2324"/>
      <c r="G184" s="2325"/>
      <c r="H184" s="1184"/>
      <c r="I184" s="1060"/>
    </row>
    <row r="185" spans="1:9" ht="25.5" customHeight="1" x14ac:dyDescent="0.2">
      <c r="A185" s="1185" t="s">
        <v>143</v>
      </c>
      <c r="B185" s="2302"/>
      <c r="C185" s="2303"/>
      <c r="D185" s="2323" t="s">
        <v>7858</v>
      </c>
      <c r="E185" s="2324"/>
      <c r="F185" s="2324"/>
      <c r="G185" s="2325"/>
      <c r="H185" s="1184"/>
      <c r="I185" s="1060"/>
    </row>
    <row r="186" spans="1:9" ht="25.5" customHeight="1" x14ac:dyDescent="0.2">
      <c r="A186" s="1185" t="s">
        <v>143</v>
      </c>
      <c r="B186" s="2302"/>
      <c r="C186" s="2303"/>
      <c r="D186" s="2323" t="s">
        <v>7859</v>
      </c>
      <c r="E186" s="2324"/>
      <c r="F186" s="2324"/>
      <c r="G186" s="2325"/>
      <c r="H186" s="1184"/>
      <c r="I186" s="1060"/>
    </row>
    <row r="187" spans="1:9" ht="12.75" customHeight="1" x14ac:dyDescent="0.2">
      <c r="A187" s="1183" t="s">
        <v>143</v>
      </c>
      <c r="B187" s="2320"/>
      <c r="C187" s="2321"/>
      <c r="D187" s="2332" t="s">
        <v>7860</v>
      </c>
      <c r="E187" s="2333"/>
      <c r="F187" s="2333"/>
      <c r="G187" s="2334"/>
      <c r="H187" s="1180"/>
      <c r="I187" s="1063"/>
    </row>
    <row r="188" spans="1:9" ht="196.35" customHeight="1" x14ac:dyDescent="0.2">
      <c r="A188" s="1182" t="s">
        <v>196</v>
      </c>
      <c r="B188" s="2311" t="s">
        <v>7289</v>
      </c>
      <c r="C188" s="2312"/>
      <c r="D188" s="2313" t="s">
        <v>7290</v>
      </c>
      <c r="E188" s="2314"/>
      <c r="F188" s="2314"/>
      <c r="G188" s="2315"/>
      <c r="H188" s="1179" t="s">
        <v>9938</v>
      </c>
      <c r="I188" s="1181">
        <f>ROUND((160512  + 321480  * 0.327) * 1 * 0.7 * 1.026,0)</f>
        <v>190780</v>
      </c>
    </row>
    <row r="189" spans="1:9" ht="15.75" customHeight="1" x14ac:dyDescent="0.2">
      <c r="A189" s="1185" t="s">
        <v>143</v>
      </c>
      <c r="B189" s="2305"/>
      <c r="C189" s="2306"/>
      <c r="D189" s="2305" t="s">
        <v>572</v>
      </c>
      <c r="E189" s="2307"/>
      <c r="F189" s="2307"/>
      <c r="G189" s="2306"/>
      <c r="H189" s="1057"/>
      <c r="I189" s="1058"/>
    </row>
    <row r="190" spans="1:9" ht="25.5" customHeight="1" x14ac:dyDescent="0.2">
      <c r="A190" s="1185" t="s">
        <v>143</v>
      </c>
      <c r="B190" s="2302"/>
      <c r="C190" s="2303"/>
      <c r="D190" s="2302" t="s">
        <v>7861</v>
      </c>
      <c r="E190" s="2304"/>
      <c r="F190" s="2304"/>
      <c r="G190" s="2303"/>
      <c r="H190" s="1184"/>
      <c r="I190" s="1060"/>
    </row>
    <row r="191" spans="1:9" ht="89.25" customHeight="1" x14ac:dyDescent="0.2">
      <c r="A191" s="1185" t="s">
        <v>143</v>
      </c>
      <c r="B191" s="2302"/>
      <c r="C191" s="2303"/>
      <c r="D191" s="2302" t="s">
        <v>9939</v>
      </c>
      <c r="E191" s="2304"/>
      <c r="F191" s="2304"/>
      <c r="G191" s="2303"/>
      <c r="H191" s="1184"/>
      <c r="I191" s="1060"/>
    </row>
    <row r="192" spans="1:9" ht="41.25" customHeight="1" x14ac:dyDescent="0.2">
      <c r="A192" s="1185" t="s">
        <v>143</v>
      </c>
      <c r="B192" s="2305"/>
      <c r="C192" s="2306"/>
      <c r="D192" s="2305" t="s">
        <v>9940</v>
      </c>
      <c r="E192" s="2307"/>
      <c r="F192" s="2307"/>
      <c r="G192" s="2306"/>
      <c r="H192" s="1057"/>
      <c r="I192" s="1058"/>
    </row>
    <row r="193" spans="1:9" ht="12.75" customHeight="1" x14ac:dyDescent="0.2">
      <c r="A193" s="1185" t="s">
        <v>143</v>
      </c>
      <c r="B193" s="2302"/>
      <c r="C193" s="2303"/>
      <c r="D193" s="2302" t="s">
        <v>7862</v>
      </c>
      <c r="E193" s="2304"/>
      <c r="F193" s="2304"/>
      <c r="G193" s="2303"/>
      <c r="H193" s="1184"/>
      <c r="I193" s="1060"/>
    </row>
    <row r="194" spans="1:9" ht="25.5" customHeight="1" x14ac:dyDescent="0.2">
      <c r="A194" s="1185" t="s">
        <v>143</v>
      </c>
      <c r="B194" s="2302"/>
      <c r="C194" s="2303"/>
      <c r="D194" s="2302" t="s">
        <v>7863</v>
      </c>
      <c r="E194" s="2304"/>
      <c r="F194" s="2304"/>
      <c r="G194" s="2303"/>
      <c r="H194" s="1184"/>
      <c r="I194" s="1060"/>
    </row>
    <row r="195" spans="1:9" ht="12.75" customHeight="1" x14ac:dyDescent="0.2">
      <c r="A195" s="1185" t="s">
        <v>143</v>
      </c>
      <c r="B195" s="2302"/>
      <c r="C195" s="2303"/>
      <c r="D195" s="2302" t="s">
        <v>7864</v>
      </c>
      <c r="E195" s="2304"/>
      <c r="F195" s="2304"/>
      <c r="G195" s="2303"/>
      <c r="H195" s="1184"/>
      <c r="I195" s="1060"/>
    </row>
    <row r="196" spans="1:9" ht="25.5" customHeight="1" x14ac:dyDescent="0.2">
      <c r="A196" s="1185" t="s">
        <v>143</v>
      </c>
      <c r="B196" s="2302"/>
      <c r="C196" s="2303"/>
      <c r="D196" s="2302" t="s">
        <v>9941</v>
      </c>
      <c r="E196" s="2304"/>
      <c r="F196" s="2304"/>
      <c r="G196" s="2303"/>
      <c r="H196" s="1184"/>
      <c r="I196" s="1060"/>
    </row>
    <row r="197" spans="1:9" ht="25.5" customHeight="1" x14ac:dyDescent="0.2">
      <c r="A197" s="1185" t="s">
        <v>143</v>
      </c>
      <c r="B197" s="2302"/>
      <c r="C197" s="2303"/>
      <c r="D197" s="2302" t="s">
        <v>7865</v>
      </c>
      <c r="E197" s="2304"/>
      <c r="F197" s="2304"/>
      <c r="G197" s="2303"/>
      <c r="H197" s="1184"/>
      <c r="I197" s="1060"/>
    </row>
    <row r="198" spans="1:9" ht="12.75" customHeight="1" x14ac:dyDescent="0.2">
      <c r="A198" s="1183" t="s">
        <v>143</v>
      </c>
      <c r="B198" s="2320"/>
      <c r="C198" s="2321"/>
      <c r="D198" s="2320" t="s">
        <v>7866</v>
      </c>
      <c r="E198" s="2322"/>
      <c r="F198" s="2322"/>
      <c r="G198" s="2321"/>
      <c r="H198" s="1180"/>
      <c r="I198" s="1063"/>
    </row>
    <row r="199" spans="1:9" ht="170.85" customHeight="1" x14ac:dyDescent="0.2">
      <c r="A199" s="2326" t="s">
        <v>197</v>
      </c>
      <c r="B199" s="2311" t="s">
        <v>7295</v>
      </c>
      <c r="C199" s="2312"/>
      <c r="D199" s="2313" t="s">
        <v>7296</v>
      </c>
      <c r="E199" s="2314"/>
      <c r="F199" s="2314"/>
      <c r="G199" s="2315"/>
      <c r="H199" s="2328" t="s">
        <v>9942</v>
      </c>
      <c r="I199" s="2330">
        <f>ROUND((67100  + 660  * 52.95) * 1 * 0.77 * 0.85 * 0.9 * 1.036,0)</f>
        <v>62275</v>
      </c>
    </row>
    <row r="200" spans="1:9" ht="12.75" customHeight="1" x14ac:dyDescent="0.2">
      <c r="A200" s="2327"/>
      <c r="B200" s="2305"/>
      <c r="C200" s="2306"/>
      <c r="D200" s="2302"/>
      <c r="E200" s="2304"/>
      <c r="F200" s="2304"/>
      <c r="G200" s="2303"/>
      <c r="H200" s="2329"/>
      <c r="I200" s="2331"/>
    </row>
    <row r="201" spans="1:9" ht="15.75" customHeight="1" x14ac:dyDescent="0.2">
      <c r="A201" s="1185" t="s">
        <v>143</v>
      </c>
      <c r="B201" s="2305"/>
      <c r="C201" s="2306"/>
      <c r="D201" s="2305" t="s">
        <v>572</v>
      </c>
      <c r="E201" s="2307"/>
      <c r="F201" s="2307"/>
      <c r="G201" s="2306"/>
      <c r="H201" s="1057"/>
      <c r="I201" s="1058"/>
    </row>
    <row r="202" spans="1:9" ht="25.5" customHeight="1" x14ac:dyDescent="0.2">
      <c r="A202" s="1185" t="s">
        <v>143</v>
      </c>
      <c r="B202" s="2302"/>
      <c r="C202" s="2303"/>
      <c r="D202" s="2302" t="s">
        <v>7867</v>
      </c>
      <c r="E202" s="2304"/>
      <c r="F202" s="2304"/>
      <c r="G202" s="2303"/>
      <c r="H202" s="1184"/>
      <c r="I202" s="1060"/>
    </row>
    <row r="203" spans="1:9" ht="51" customHeight="1" x14ac:dyDescent="0.2">
      <c r="A203" s="1185" t="s">
        <v>143</v>
      </c>
      <c r="B203" s="2302"/>
      <c r="C203" s="2303"/>
      <c r="D203" s="2302" t="s">
        <v>7299</v>
      </c>
      <c r="E203" s="2304"/>
      <c r="F203" s="2304"/>
      <c r="G203" s="2303"/>
      <c r="H203" s="1184"/>
      <c r="I203" s="1060"/>
    </row>
    <row r="204" spans="1:9" ht="165.75" customHeight="1" x14ac:dyDescent="0.2">
      <c r="A204" s="1185" t="s">
        <v>143</v>
      </c>
      <c r="B204" s="2302"/>
      <c r="C204" s="2303"/>
      <c r="D204" s="2302" t="s">
        <v>7300</v>
      </c>
      <c r="E204" s="2304"/>
      <c r="F204" s="2304"/>
      <c r="G204" s="2303"/>
      <c r="H204" s="1184"/>
      <c r="I204" s="1060"/>
    </row>
    <row r="205" spans="1:9" ht="89.25" customHeight="1" x14ac:dyDescent="0.2">
      <c r="A205" s="1185" t="s">
        <v>143</v>
      </c>
      <c r="B205" s="2302"/>
      <c r="C205" s="2303"/>
      <c r="D205" s="2302" t="s">
        <v>9943</v>
      </c>
      <c r="E205" s="2304"/>
      <c r="F205" s="2304"/>
      <c r="G205" s="2303"/>
      <c r="H205" s="1184"/>
      <c r="I205" s="1060"/>
    </row>
    <row r="206" spans="1:9" ht="41.25" customHeight="1" x14ac:dyDescent="0.2">
      <c r="A206" s="1185" t="s">
        <v>143</v>
      </c>
      <c r="B206" s="2305"/>
      <c r="C206" s="2306"/>
      <c r="D206" s="2305" t="s">
        <v>9944</v>
      </c>
      <c r="E206" s="2307"/>
      <c r="F206" s="2307"/>
      <c r="G206" s="2306"/>
      <c r="H206" s="1057"/>
      <c r="I206" s="1058"/>
    </row>
    <row r="207" spans="1:9" ht="25.5" customHeight="1" x14ac:dyDescent="0.2">
      <c r="A207" s="1185" t="s">
        <v>143</v>
      </c>
      <c r="B207" s="2302"/>
      <c r="C207" s="2303"/>
      <c r="D207" s="2302" t="s">
        <v>9945</v>
      </c>
      <c r="E207" s="2304"/>
      <c r="F207" s="2304"/>
      <c r="G207" s="2303"/>
      <c r="H207" s="1184"/>
      <c r="I207" s="1060"/>
    </row>
    <row r="208" spans="1:9" ht="25.5" customHeight="1" x14ac:dyDescent="0.2">
      <c r="A208" s="1185" t="s">
        <v>143</v>
      </c>
      <c r="B208" s="2302"/>
      <c r="C208" s="2303"/>
      <c r="D208" s="2302" t="s">
        <v>9946</v>
      </c>
      <c r="E208" s="2304"/>
      <c r="F208" s="2304"/>
      <c r="G208" s="2303"/>
      <c r="H208" s="1184"/>
      <c r="I208" s="1060"/>
    </row>
    <row r="209" spans="1:9" ht="12.75" customHeight="1" x14ac:dyDescent="0.2">
      <c r="A209" s="1185" t="s">
        <v>143</v>
      </c>
      <c r="B209" s="2302"/>
      <c r="C209" s="2303"/>
      <c r="D209" s="2302" t="s">
        <v>9947</v>
      </c>
      <c r="E209" s="2304"/>
      <c r="F209" s="2304"/>
      <c r="G209" s="2303"/>
      <c r="H209" s="1184"/>
      <c r="I209" s="1060"/>
    </row>
    <row r="210" spans="1:9" ht="25.5" customHeight="1" x14ac:dyDescent="0.2">
      <c r="A210" s="1183" t="s">
        <v>143</v>
      </c>
      <c r="B210" s="2320"/>
      <c r="C210" s="2321"/>
      <c r="D210" s="2320" t="s">
        <v>9948</v>
      </c>
      <c r="E210" s="2322"/>
      <c r="F210" s="2322"/>
      <c r="G210" s="2321"/>
      <c r="H210" s="1180"/>
      <c r="I210" s="1063"/>
    </row>
    <row r="211" spans="1:9" ht="170.85" customHeight="1" x14ac:dyDescent="0.2">
      <c r="A211" s="2326" t="s">
        <v>198</v>
      </c>
      <c r="B211" s="2311" t="s">
        <v>7309</v>
      </c>
      <c r="C211" s="2312"/>
      <c r="D211" s="2313" t="s">
        <v>7310</v>
      </c>
      <c r="E211" s="2314"/>
      <c r="F211" s="2314"/>
      <c r="G211" s="2315"/>
      <c r="H211" s="2328" t="s">
        <v>9949</v>
      </c>
      <c r="I211" s="2330">
        <f>ROUND((67100  + 660  * 46.7) * 1 * 0.77 * 0.85 * 0.9 * 1.036,0)</f>
        <v>59757</v>
      </c>
    </row>
    <row r="212" spans="1:9" ht="12.75" customHeight="1" x14ac:dyDescent="0.2">
      <c r="A212" s="2327"/>
      <c r="B212" s="2305"/>
      <c r="C212" s="2306"/>
      <c r="D212" s="2302"/>
      <c r="E212" s="2304"/>
      <c r="F212" s="2304"/>
      <c r="G212" s="2303"/>
      <c r="H212" s="2329"/>
      <c r="I212" s="2331"/>
    </row>
    <row r="213" spans="1:9" ht="15.75" customHeight="1" x14ac:dyDescent="0.2">
      <c r="A213" s="1185" t="s">
        <v>143</v>
      </c>
      <c r="B213" s="2305"/>
      <c r="C213" s="2306"/>
      <c r="D213" s="2305" t="s">
        <v>572</v>
      </c>
      <c r="E213" s="2307"/>
      <c r="F213" s="2307"/>
      <c r="G213" s="2306"/>
      <c r="H213" s="1057"/>
      <c r="I213" s="1058"/>
    </row>
    <row r="214" spans="1:9" ht="25.5" customHeight="1" x14ac:dyDescent="0.2">
      <c r="A214" s="1185" t="s">
        <v>143</v>
      </c>
      <c r="B214" s="2302"/>
      <c r="C214" s="2303"/>
      <c r="D214" s="2302" t="s">
        <v>7867</v>
      </c>
      <c r="E214" s="2304"/>
      <c r="F214" s="2304"/>
      <c r="G214" s="2303"/>
      <c r="H214" s="1184"/>
      <c r="I214" s="1060"/>
    </row>
    <row r="215" spans="1:9" ht="51" customHeight="1" x14ac:dyDescent="0.2">
      <c r="A215" s="1185" t="s">
        <v>143</v>
      </c>
      <c r="B215" s="2302"/>
      <c r="C215" s="2303"/>
      <c r="D215" s="2302" t="s">
        <v>7299</v>
      </c>
      <c r="E215" s="2304"/>
      <c r="F215" s="2304"/>
      <c r="G215" s="2303"/>
      <c r="H215" s="1184"/>
      <c r="I215" s="1060"/>
    </row>
    <row r="216" spans="1:9" ht="165.75" customHeight="1" x14ac:dyDescent="0.2">
      <c r="A216" s="1185" t="s">
        <v>143</v>
      </c>
      <c r="B216" s="2302"/>
      <c r="C216" s="2303"/>
      <c r="D216" s="2302" t="s">
        <v>7312</v>
      </c>
      <c r="E216" s="2304"/>
      <c r="F216" s="2304"/>
      <c r="G216" s="2303"/>
      <c r="H216" s="1184"/>
      <c r="I216" s="1060"/>
    </row>
    <row r="217" spans="1:9" ht="89.25" customHeight="1" x14ac:dyDescent="0.2">
      <c r="A217" s="1185" t="s">
        <v>143</v>
      </c>
      <c r="B217" s="2302"/>
      <c r="C217" s="2303"/>
      <c r="D217" s="2302" t="s">
        <v>9943</v>
      </c>
      <c r="E217" s="2304"/>
      <c r="F217" s="2304"/>
      <c r="G217" s="2303"/>
      <c r="H217" s="1184"/>
      <c r="I217" s="1060"/>
    </row>
    <row r="218" spans="1:9" ht="41.25" customHeight="1" x14ac:dyDescent="0.2">
      <c r="A218" s="1185" t="s">
        <v>143</v>
      </c>
      <c r="B218" s="2305"/>
      <c r="C218" s="2306"/>
      <c r="D218" s="2305" t="s">
        <v>9944</v>
      </c>
      <c r="E218" s="2307"/>
      <c r="F218" s="2307"/>
      <c r="G218" s="2306"/>
      <c r="H218" s="1057"/>
      <c r="I218" s="1058"/>
    </row>
    <row r="219" spans="1:9" ht="25.5" customHeight="1" x14ac:dyDescent="0.2">
      <c r="A219" s="1185" t="s">
        <v>143</v>
      </c>
      <c r="B219" s="2302"/>
      <c r="C219" s="2303"/>
      <c r="D219" s="2302" t="s">
        <v>9950</v>
      </c>
      <c r="E219" s="2304"/>
      <c r="F219" s="2304"/>
      <c r="G219" s="2303"/>
      <c r="H219" s="1184"/>
      <c r="I219" s="1060"/>
    </row>
    <row r="220" spans="1:9" ht="25.5" customHeight="1" x14ac:dyDescent="0.2">
      <c r="A220" s="1185" t="s">
        <v>143</v>
      </c>
      <c r="B220" s="2302"/>
      <c r="C220" s="2303"/>
      <c r="D220" s="2302" t="s">
        <v>9951</v>
      </c>
      <c r="E220" s="2304"/>
      <c r="F220" s="2304"/>
      <c r="G220" s="2303"/>
      <c r="H220" s="1184"/>
      <c r="I220" s="1060"/>
    </row>
    <row r="221" spans="1:9" ht="12.75" customHeight="1" x14ac:dyDescent="0.2">
      <c r="A221" s="1185" t="s">
        <v>143</v>
      </c>
      <c r="B221" s="2302"/>
      <c r="C221" s="2303"/>
      <c r="D221" s="2302" t="s">
        <v>9952</v>
      </c>
      <c r="E221" s="2304"/>
      <c r="F221" s="2304"/>
      <c r="G221" s="2303"/>
      <c r="H221" s="1184"/>
      <c r="I221" s="1060"/>
    </row>
    <row r="222" spans="1:9" ht="25.5" customHeight="1" x14ac:dyDescent="0.2">
      <c r="A222" s="1183" t="s">
        <v>143</v>
      </c>
      <c r="B222" s="2320"/>
      <c r="C222" s="2321"/>
      <c r="D222" s="2320" t="s">
        <v>9953</v>
      </c>
      <c r="E222" s="2322"/>
      <c r="F222" s="2322"/>
      <c r="G222" s="2321"/>
      <c r="H222" s="1180"/>
      <c r="I222" s="1063"/>
    </row>
    <row r="223" spans="1:9" ht="119.85" customHeight="1" x14ac:dyDescent="0.2">
      <c r="A223" s="1182" t="s">
        <v>199</v>
      </c>
      <c r="B223" s="2311" t="s">
        <v>7319</v>
      </c>
      <c r="C223" s="2312"/>
      <c r="D223" s="2313" t="s">
        <v>7320</v>
      </c>
      <c r="E223" s="2314"/>
      <c r="F223" s="2314"/>
      <c r="G223" s="2315"/>
      <c r="H223" s="1179" t="s">
        <v>9954</v>
      </c>
      <c r="I223" s="1181">
        <f>ROUND((12000  + 136  * 500) * 1 * 0.5 * 0.81,0)</f>
        <v>32400</v>
      </c>
    </row>
    <row r="224" spans="1:9" ht="15.75" customHeight="1" x14ac:dyDescent="0.2">
      <c r="A224" s="1185" t="s">
        <v>143</v>
      </c>
      <c r="B224" s="2305"/>
      <c r="C224" s="2306"/>
      <c r="D224" s="2305" t="s">
        <v>572</v>
      </c>
      <c r="E224" s="2307"/>
      <c r="F224" s="2307"/>
      <c r="G224" s="2306"/>
      <c r="H224" s="1057"/>
      <c r="I224" s="1058"/>
    </row>
    <row r="225" spans="1:9" ht="25.5" customHeight="1" x14ac:dyDescent="0.2">
      <c r="A225" s="1185" t="s">
        <v>143</v>
      </c>
      <c r="B225" s="2302"/>
      <c r="C225" s="2303"/>
      <c r="D225" s="2302" t="s">
        <v>7868</v>
      </c>
      <c r="E225" s="2304"/>
      <c r="F225" s="2304"/>
      <c r="G225" s="2303"/>
      <c r="H225" s="1184"/>
      <c r="I225" s="1060"/>
    </row>
    <row r="226" spans="1:9" ht="89.25" customHeight="1" x14ac:dyDescent="0.2">
      <c r="A226" s="1185" t="s">
        <v>143</v>
      </c>
      <c r="B226" s="2302"/>
      <c r="C226" s="2303"/>
      <c r="D226" s="2302" t="s">
        <v>9955</v>
      </c>
      <c r="E226" s="2304"/>
      <c r="F226" s="2304"/>
      <c r="G226" s="2303"/>
      <c r="H226" s="1184"/>
      <c r="I226" s="1060"/>
    </row>
    <row r="227" spans="1:9" ht="54" customHeight="1" x14ac:dyDescent="0.2">
      <c r="A227" s="1185" t="s">
        <v>143</v>
      </c>
      <c r="B227" s="2305"/>
      <c r="C227" s="2306"/>
      <c r="D227" s="2305" t="s">
        <v>9956</v>
      </c>
      <c r="E227" s="2307"/>
      <c r="F227" s="2307"/>
      <c r="G227" s="2306"/>
      <c r="H227" s="1057"/>
      <c r="I227" s="1058"/>
    </row>
    <row r="228" spans="1:9" ht="25.5" customHeight="1" x14ac:dyDescent="0.2">
      <c r="A228" s="1185" t="s">
        <v>143</v>
      </c>
      <c r="B228" s="2302"/>
      <c r="C228" s="2303"/>
      <c r="D228" s="2302" t="s">
        <v>7871</v>
      </c>
      <c r="E228" s="2304"/>
      <c r="F228" s="2304"/>
      <c r="G228" s="2303"/>
      <c r="H228" s="1184"/>
      <c r="I228" s="1060"/>
    </row>
    <row r="229" spans="1:9" ht="25.5" customHeight="1" x14ac:dyDescent="0.2">
      <c r="A229" s="1185" t="s">
        <v>143</v>
      </c>
      <c r="B229" s="2302"/>
      <c r="C229" s="2303"/>
      <c r="D229" s="2323" t="s">
        <v>9957</v>
      </c>
      <c r="E229" s="2324"/>
      <c r="F229" s="2324"/>
      <c r="G229" s="2325"/>
      <c r="H229" s="1184"/>
      <c r="I229" s="1060"/>
    </row>
    <row r="230" spans="1:9" ht="25.5" customHeight="1" x14ac:dyDescent="0.2">
      <c r="A230" s="1185" t="s">
        <v>143</v>
      </c>
      <c r="B230" s="2302"/>
      <c r="C230" s="2303"/>
      <c r="D230" s="2323" t="s">
        <v>9958</v>
      </c>
      <c r="E230" s="2324"/>
      <c r="F230" s="2324"/>
      <c r="G230" s="2325"/>
      <c r="H230" s="1184"/>
      <c r="I230" s="1060"/>
    </row>
    <row r="231" spans="1:9" ht="25.5" customHeight="1" x14ac:dyDescent="0.2">
      <c r="A231" s="1185" t="s">
        <v>143</v>
      </c>
      <c r="B231" s="2302"/>
      <c r="C231" s="2303"/>
      <c r="D231" s="2323" t="s">
        <v>9959</v>
      </c>
      <c r="E231" s="2324"/>
      <c r="F231" s="2324"/>
      <c r="G231" s="2325"/>
      <c r="H231" s="1184"/>
      <c r="I231" s="1060"/>
    </row>
    <row r="232" spans="1:9" ht="25.5" customHeight="1" x14ac:dyDescent="0.2">
      <c r="A232" s="1185" t="s">
        <v>143</v>
      </c>
      <c r="B232" s="2302"/>
      <c r="C232" s="2303"/>
      <c r="D232" s="2323" t="s">
        <v>9960</v>
      </c>
      <c r="E232" s="2324"/>
      <c r="F232" s="2324"/>
      <c r="G232" s="2325"/>
      <c r="H232" s="1184"/>
      <c r="I232" s="1060"/>
    </row>
    <row r="233" spans="1:9" ht="25.5" customHeight="1" x14ac:dyDescent="0.2">
      <c r="A233" s="1185" t="s">
        <v>143</v>
      </c>
      <c r="B233" s="2302"/>
      <c r="C233" s="2303"/>
      <c r="D233" s="2302" t="s">
        <v>9961</v>
      </c>
      <c r="E233" s="2304"/>
      <c r="F233" s="2304"/>
      <c r="G233" s="2303"/>
      <c r="H233" s="1184"/>
      <c r="I233" s="1060"/>
    </row>
    <row r="234" spans="1:9" ht="12.75" customHeight="1" x14ac:dyDescent="0.2">
      <c r="A234" s="1183" t="s">
        <v>143</v>
      </c>
      <c r="B234" s="2320"/>
      <c r="C234" s="2321"/>
      <c r="D234" s="2320" t="s">
        <v>9962</v>
      </c>
      <c r="E234" s="2322"/>
      <c r="F234" s="2322"/>
      <c r="G234" s="2321"/>
      <c r="H234" s="1180"/>
      <c r="I234" s="1063"/>
    </row>
    <row r="235" spans="1:9" ht="81.599999999999994" customHeight="1" x14ac:dyDescent="0.2">
      <c r="A235" s="1182" t="s">
        <v>200</v>
      </c>
      <c r="B235" s="2311" t="s">
        <v>7331</v>
      </c>
      <c r="C235" s="2312"/>
      <c r="D235" s="2313" t="s">
        <v>7332</v>
      </c>
      <c r="E235" s="2314"/>
      <c r="F235" s="2314"/>
      <c r="G235" s="2315"/>
      <c r="H235" s="1179" t="s">
        <v>7872</v>
      </c>
      <c r="I235" s="1181">
        <f>ROUND(11800  * 1 * 0.5 * 1.2 * 1.1 * 1.14,0)</f>
        <v>8878</v>
      </c>
    </row>
    <row r="236" spans="1:9" ht="15.75" customHeight="1" x14ac:dyDescent="0.2">
      <c r="A236" s="1185" t="s">
        <v>143</v>
      </c>
      <c r="B236" s="2305"/>
      <c r="C236" s="2306"/>
      <c r="D236" s="2305" t="s">
        <v>572</v>
      </c>
      <c r="E236" s="2307"/>
      <c r="F236" s="2307"/>
      <c r="G236" s="2306"/>
      <c r="H236" s="1057"/>
      <c r="I236" s="1058"/>
    </row>
    <row r="237" spans="1:9" ht="25.5" customHeight="1" x14ac:dyDescent="0.2">
      <c r="A237" s="1185" t="s">
        <v>143</v>
      </c>
      <c r="B237" s="2302"/>
      <c r="C237" s="2303"/>
      <c r="D237" s="2302" t="s">
        <v>7868</v>
      </c>
      <c r="E237" s="2304"/>
      <c r="F237" s="2304"/>
      <c r="G237" s="2303"/>
      <c r="H237" s="1184"/>
      <c r="I237" s="1060"/>
    </row>
    <row r="238" spans="1:9" ht="153" customHeight="1" x14ac:dyDescent="0.2">
      <c r="A238" s="1185" t="s">
        <v>143</v>
      </c>
      <c r="B238" s="2302"/>
      <c r="C238" s="2303"/>
      <c r="D238" s="2302" t="s">
        <v>7334</v>
      </c>
      <c r="E238" s="2304"/>
      <c r="F238" s="2304"/>
      <c r="G238" s="2303"/>
      <c r="H238" s="1184"/>
      <c r="I238" s="1060"/>
    </row>
    <row r="239" spans="1:9" ht="153" customHeight="1" x14ac:dyDescent="0.2">
      <c r="A239" s="1185" t="s">
        <v>143</v>
      </c>
      <c r="B239" s="2302"/>
      <c r="C239" s="2303"/>
      <c r="D239" s="2302" t="s">
        <v>7335</v>
      </c>
      <c r="E239" s="2304"/>
      <c r="F239" s="2304"/>
      <c r="G239" s="2303"/>
      <c r="H239" s="1184"/>
      <c r="I239" s="1060"/>
    </row>
    <row r="240" spans="1:9" ht="89.25" customHeight="1" x14ac:dyDescent="0.2">
      <c r="A240" s="1185" t="s">
        <v>143</v>
      </c>
      <c r="B240" s="2302"/>
      <c r="C240" s="2303"/>
      <c r="D240" s="2302" t="s">
        <v>7873</v>
      </c>
      <c r="E240" s="2304"/>
      <c r="F240" s="2304"/>
      <c r="G240" s="2303"/>
      <c r="H240" s="1184"/>
      <c r="I240" s="1060"/>
    </row>
    <row r="241" spans="1:9" ht="92.25" customHeight="1" x14ac:dyDescent="0.2">
      <c r="A241" s="1185" t="s">
        <v>143</v>
      </c>
      <c r="B241" s="2305"/>
      <c r="C241" s="2306"/>
      <c r="D241" s="2305" t="s">
        <v>7874</v>
      </c>
      <c r="E241" s="2307"/>
      <c r="F241" s="2307"/>
      <c r="G241" s="2306"/>
      <c r="H241" s="1057"/>
      <c r="I241" s="1058"/>
    </row>
    <row r="242" spans="1:9" ht="25.5" customHeight="1" x14ac:dyDescent="0.2">
      <c r="A242" s="1185" t="s">
        <v>143</v>
      </c>
      <c r="B242" s="2302"/>
      <c r="C242" s="2303"/>
      <c r="D242" s="2302" t="s">
        <v>7875</v>
      </c>
      <c r="E242" s="2304"/>
      <c r="F242" s="2304"/>
      <c r="G242" s="2303"/>
      <c r="H242" s="1184"/>
      <c r="I242" s="1060"/>
    </row>
    <row r="243" spans="1:9" ht="12.75" customHeight="1" x14ac:dyDescent="0.2">
      <c r="A243" s="1185" t="s">
        <v>143</v>
      </c>
      <c r="B243" s="2302"/>
      <c r="C243" s="2303"/>
      <c r="D243" s="2302" t="s">
        <v>7876</v>
      </c>
      <c r="E243" s="2304"/>
      <c r="F243" s="2304"/>
      <c r="G243" s="2303"/>
      <c r="H243" s="1184"/>
      <c r="I243" s="1060"/>
    </row>
    <row r="244" spans="1:9" ht="25.5" customHeight="1" x14ac:dyDescent="0.2">
      <c r="A244" s="1185" t="s">
        <v>143</v>
      </c>
      <c r="B244" s="2302"/>
      <c r="C244" s="2303"/>
      <c r="D244" s="2302" t="s">
        <v>7877</v>
      </c>
      <c r="E244" s="2304"/>
      <c r="F244" s="2304"/>
      <c r="G244" s="2303"/>
      <c r="H244" s="1184"/>
      <c r="I244" s="1060"/>
    </row>
    <row r="245" spans="1:9" ht="12.75" customHeight="1" x14ac:dyDescent="0.2">
      <c r="A245" s="1185" t="s">
        <v>143</v>
      </c>
      <c r="B245" s="2302"/>
      <c r="C245" s="2303"/>
      <c r="D245" s="2302" t="s">
        <v>7878</v>
      </c>
      <c r="E245" s="2304"/>
      <c r="F245" s="2304"/>
      <c r="G245" s="2303"/>
      <c r="H245" s="1184"/>
      <c r="I245" s="1060"/>
    </row>
    <row r="246" spans="1:9" ht="25.5" customHeight="1" x14ac:dyDescent="0.2">
      <c r="A246" s="1185" t="s">
        <v>143</v>
      </c>
      <c r="B246" s="2302"/>
      <c r="C246" s="2303"/>
      <c r="D246" s="2302" t="s">
        <v>7879</v>
      </c>
      <c r="E246" s="2304"/>
      <c r="F246" s="2304"/>
      <c r="G246" s="2303"/>
      <c r="H246" s="1184"/>
      <c r="I246" s="1060"/>
    </row>
    <row r="247" spans="1:9" ht="25.5" customHeight="1" x14ac:dyDescent="0.2">
      <c r="A247" s="1185" t="s">
        <v>143</v>
      </c>
      <c r="B247" s="2302"/>
      <c r="C247" s="2303"/>
      <c r="D247" s="2302" t="s">
        <v>7880</v>
      </c>
      <c r="E247" s="2304"/>
      <c r="F247" s="2304"/>
      <c r="G247" s="2303"/>
      <c r="H247" s="1184"/>
      <c r="I247" s="1060"/>
    </row>
    <row r="248" spans="1:9" ht="25.5" customHeight="1" x14ac:dyDescent="0.2">
      <c r="A248" s="1185" t="s">
        <v>143</v>
      </c>
      <c r="B248" s="2302"/>
      <c r="C248" s="2303"/>
      <c r="D248" s="2302" t="s">
        <v>7881</v>
      </c>
      <c r="E248" s="2304"/>
      <c r="F248" s="2304"/>
      <c r="G248" s="2303"/>
      <c r="H248" s="1184"/>
      <c r="I248" s="1060"/>
    </row>
    <row r="249" spans="1:9" ht="25.5" customHeight="1" x14ac:dyDescent="0.2">
      <c r="A249" s="1185" t="s">
        <v>143</v>
      </c>
      <c r="B249" s="2302"/>
      <c r="C249" s="2303"/>
      <c r="D249" s="2302" t="s">
        <v>7882</v>
      </c>
      <c r="E249" s="2304"/>
      <c r="F249" s="2304"/>
      <c r="G249" s="2303"/>
      <c r="H249" s="1184"/>
      <c r="I249" s="1060"/>
    </row>
    <row r="250" spans="1:9" ht="25.5" customHeight="1" x14ac:dyDescent="0.2">
      <c r="A250" s="1185" t="s">
        <v>143</v>
      </c>
      <c r="B250" s="2302"/>
      <c r="C250" s="2303"/>
      <c r="D250" s="2302" t="s">
        <v>7883</v>
      </c>
      <c r="E250" s="2304"/>
      <c r="F250" s="2304"/>
      <c r="G250" s="2303"/>
      <c r="H250" s="1184"/>
      <c r="I250" s="1060"/>
    </row>
    <row r="251" spans="1:9" ht="25.5" customHeight="1" x14ac:dyDescent="0.2">
      <c r="A251" s="1185" t="s">
        <v>143</v>
      </c>
      <c r="B251" s="2302"/>
      <c r="C251" s="2303"/>
      <c r="D251" s="2302" t="s">
        <v>7884</v>
      </c>
      <c r="E251" s="2304"/>
      <c r="F251" s="2304"/>
      <c r="G251" s="2303"/>
      <c r="H251" s="1184"/>
      <c r="I251" s="1060"/>
    </row>
    <row r="252" spans="1:9" ht="25.5" customHeight="1" x14ac:dyDescent="0.2">
      <c r="A252" s="1185" t="s">
        <v>143</v>
      </c>
      <c r="B252" s="2302"/>
      <c r="C252" s="2303"/>
      <c r="D252" s="2302" t="s">
        <v>7885</v>
      </c>
      <c r="E252" s="2304"/>
      <c r="F252" s="2304"/>
      <c r="G252" s="2303"/>
      <c r="H252" s="1184"/>
      <c r="I252" s="1060"/>
    </row>
    <row r="253" spans="1:9" ht="25.5" customHeight="1" x14ac:dyDescent="0.2">
      <c r="A253" s="1185" t="s">
        <v>143</v>
      </c>
      <c r="B253" s="2302"/>
      <c r="C253" s="2303"/>
      <c r="D253" s="2302" t="s">
        <v>7886</v>
      </c>
      <c r="E253" s="2304"/>
      <c r="F253" s="2304"/>
      <c r="G253" s="2303"/>
      <c r="H253" s="1184"/>
      <c r="I253" s="1060"/>
    </row>
    <row r="254" spans="1:9" ht="12.75" customHeight="1" x14ac:dyDescent="0.2">
      <c r="A254" s="1185" t="s">
        <v>143</v>
      </c>
      <c r="B254" s="2302"/>
      <c r="C254" s="2303"/>
      <c r="D254" s="2302" t="s">
        <v>7887</v>
      </c>
      <c r="E254" s="2304"/>
      <c r="F254" s="2304"/>
      <c r="G254" s="2303"/>
      <c r="H254" s="1184"/>
      <c r="I254" s="1060"/>
    </row>
    <row r="255" spans="1:9" ht="38.25" customHeight="1" x14ac:dyDescent="0.2">
      <c r="A255" s="1185" t="s">
        <v>143</v>
      </c>
      <c r="B255" s="2302"/>
      <c r="C255" s="2303"/>
      <c r="D255" s="2302" t="s">
        <v>7888</v>
      </c>
      <c r="E255" s="2304"/>
      <c r="F255" s="2304"/>
      <c r="G255" s="2303"/>
      <c r="H255" s="1184"/>
      <c r="I255" s="1060"/>
    </row>
    <row r="256" spans="1:9" ht="12.75" customHeight="1" x14ac:dyDescent="0.2">
      <c r="A256" s="1183" t="s">
        <v>143</v>
      </c>
      <c r="B256" s="2320"/>
      <c r="C256" s="2321"/>
      <c r="D256" s="2320" t="s">
        <v>7889</v>
      </c>
      <c r="E256" s="2322"/>
      <c r="F256" s="2322"/>
      <c r="G256" s="2321"/>
      <c r="H256" s="1180"/>
      <c r="I256" s="1063"/>
    </row>
    <row r="257" spans="1:9" ht="119.85" customHeight="1" x14ac:dyDescent="0.2">
      <c r="A257" s="1182" t="s">
        <v>425</v>
      </c>
      <c r="B257" s="2311" t="s">
        <v>7356</v>
      </c>
      <c r="C257" s="2312"/>
      <c r="D257" s="2313" t="s">
        <v>7357</v>
      </c>
      <c r="E257" s="2314"/>
      <c r="F257" s="2314"/>
      <c r="G257" s="2315"/>
      <c r="H257" s="1179" t="s">
        <v>9963</v>
      </c>
      <c r="I257" s="1181">
        <f>ROUND((12000  + 136  * 542.5) * 1 * 0.5 * 0.89,0)</f>
        <v>38172</v>
      </c>
    </row>
    <row r="258" spans="1:9" ht="15.75" customHeight="1" x14ac:dyDescent="0.2">
      <c r="A258" s="1185" t="s">
        <v>143</v>
      </c>
      <c r="B258" s="2305"/>
      <c r="C258" s="2306"/>
      <c r="D258" s="2305" t="s">
        <v>572</v>
      </c>
      <c r="E258" s="2307"/>
      <c r="F258" s="2307"/>
      <c r="G258" s="2306"/>
      <c r="H258" s="1057"/>
      <c r="I258" s="1058"/>
    </row>
    <row r="259" spans="1:9" ht="25.5" customHeight="1" x14ac:dyDescent="0.2">
      <c r="A259" s="1185" t="s">
        <v>143</v>
      </c>
      <c r="B259" s="2302"/>
      <c r="C259" s="2303"/>
      <c r="D259" s="2302" t="s">
        <v>7868</v>
      </c>
      <c r="E259" s="2304"/>
      <c r="F259" s="2304"/>
      <c r="G259" s="2303"/>
      <c r="H259" s="1184"/>
      <c r="I259" s="1060"/>
    </row>
    <row r="260" spans="1:9" ht="89.25" customHeight="1" x14ac:dyDescent="0.2">
      <c r="A260" s="1185" t="s">
        <v>143</v>
      </c>
      <c r="B260" s="2302"/>
      <c r="C260" s="2303"/>
      <c r="D260" s="2302" t="s">
        <v>9955</v>
      </c>
      <c r="E260" s="2304"/>
      <c r="F260" s="2304"/>
      <c r="G260" s="2303"/>
      <c r="H260" s="1184"/>
      <c r="I260" s="1060"/>
    </row>
    <row r="261" spans="1:9" ht="54" customHeight="1" x14ac:dyDescent="0.2">
      <c r="A261" s="1185" t="s">
        <v>143</v>
      </c>
      <c r="B261" s="2305"/>
      <c r="C261" s="2306"/>
      <c r="D261" s="2305" t="s">
        <v>9964</v>
      </c>
      <c r="E261" s="2307"/>
      <c r="F261" s="2307"/>
      <c r="G261" s="2306"/>
      <c r="H261" s="1057"/>
      <c r="I261" s="1058"/>
    </row>
    <row r="262" spans="1:9" ht="25.5" customHeight="1" x14ac:dyDescent="0.2">
      <c r="A262" s="1185" t="s">
        <v>143</v>
      </c>
      <c r="B262" s="2302"/>
      <c r="C262" s="2303"/>
      <c r="D262" s="2302" t="s">
        <v>7871</v>
      </c>
      <c r="E262" s="2304"/>
      <c r="F262" s="2304"/>
      <c r="G262" s="2303"/>
      <c r="H262" s="1184"/>
      <c r="I262" s="1060"/>
    </row>
    <row r="263" spans="1:9" ht="25.5" customHeight="1" x14ac:dyDescent="0.2">
      <c r="A263" s="1185" t="s">
        <v>143</v>
      </c>
      <c r="B263" s="2302"/>
      <c r="C263" s="2303"/>
      <c r="D263" s="2323" t="s">
        <v>9965</v>
      </c>
      <c r="E263" s="2324"/>
      <c r="F263" s="2324"/>
      <c r="G263" s="2325"/>
      <c r="H263" s="1184"/>
      <c r="I263" s="1060"/>
    </row>
    <row r="264" spans="1:9" ht="25.5" customHeight="1" x14ac:dyDescent="0.2">
      <c r="A264" s="1185" t="s">
        <v>143</v>
      </c>
      <c r="B264" s="2302"/>
      <c r="C264" s="2303"/>
      <c r="D264" s="2323" t="s">
        <v>9966</v>
      </c>
      <c r="E264" s="2324"/>
      <c r="F264" s="2324"/>
      <c r="G264" s="2325"/>
      <c r="H264" s="1184"/>
      <c r="I264" s="1060"/>
    </row>
    <row r="265" spans="1:9" ht="25.5" customHeight="1" x14ac:dyDescent="0.2">
      <c r="A265" s="1185" t="s">
        <v>143</v>
      </c>
      <c r="B265" s="2302"/>
      <c r="C265" s="2303"/>
      <c r="D265" s="2323" t="s">
        <v>9967</v>
      </c>
      <c r="E265" s="2324"/>
      <c r="F265" s="2324"/>
      <c r="G265" s="2325"/>
      <c r="H265" s="1184"/>
      <c r="I265" s="1060"/>
    </row>
    <row r="266" spans="1:9" ht="25.5" customHeight="1" x14ac:dyDescent="0.2">
      <c r="A266" s="1185" t="s">
        <v>143</v>
      </c>
      <c r="B266" s="2302"/>
      <c r="C266" s="2303"/>
      <c r="D266" s="2323" t="s">
        <v>9968</v>
      </c>
      <c r="E266" s="2324"/>
      <c r="F266" s="2324"/>
      <c r="G266" s="2325"/>
      <c r="H266" s="1184"/>
      <c r="I266" s="1060"/>
    </row>
    <row r="267" spans="1:9" ht="25.5" customHeight="1" x14ac:dyDescent="0.2">
      <c r="A267" s="1185" t="s">
        <v>143</v>
      </c>
      <c r="B267" s="2302"/>
      <c r="C267" s="2303"/>
      <c r="D267" s="2302" t="s">
        <v>9969</v>
      </c>
      <c r="E267" s="2304"/>
      <c r="F267" s="2304"/>
      <c r="G267" s="2303"/>
      <c r="H267" s="1184"/>
      <c r="I267" s="1060"/>
    </row>
    <row r="268" spans="1:9" ht="25.5" customHeight="1" x14ac:dyDescent="0.2">
      <c r="A268" s="1185" t="s">
        <v>143</v>
      </c>
      <c r="B268" s="2302"/>
      <c r="C268" s="2303"/>
      <c r="D268" s="2302" t="s">
        <v>9970</v>
      </c>
      <c r="E268" s="2304"/>
      <c r="F268" s="2304"/>
      <c r="G268" s="2303"/>
      <c r="H268" s="1184"/>
      <c r="I268" s="1060"/>
    </row>
    <row r="269" spans="1:9" ht="12.75" customHeight="1" x14ac:dyDescent="0.2">
      <c r="A269" s="1183" t="s">
        <v>143</v>
      </c>
      <c r="B269" s="2320"/>
      <c r="C269" s="2321"/>
      <c r="D269" s="2320" t="s">
        <v>9971</v>
      </c>
      <c r="E269" s="2322"/>
      <c r="F269" s="2322"/>
      <c r="G269" s="2321"/>
      <c r="H269" s="1180"/>
      <c r="I269" s="1063"/>
    </row>
    <row r="270" spans="1:9" ht="94.5" customHeight="1" x14ac:dyDescent="0.2">
      <c r="A270" s="1182" t="s">
        <v>430</v>
      </c>
      <c r="B270" s="2311" t="s">
        <v>7363</v>
      </c>
      <c r="C270" s="2312"/>
      <c r="D270" s="2313" t="s">
        <v>7364</v>
      </c>
      <c r="E270" s="2314"/>
      <c r="F270" s="2314"/>
      <c r="G270" s="2315"/>
      <c r="H270" s="1179" t="s">
        <v>9972</v>
      </c>
      <c r="I270" s="1181">
        <f>ROUND(30000  * 1 * 0.5 * 2 * 1.14,0)</f>
        <v>34200</v>
      </c>
    </row>
    <row r="271" spans="1:9" ht="15.75" customHeight="1" x14ac:dyDescent="0.2">
      <c r="A271" s="1185" t="s">
        <v>143</v>
      </c>
      <c r="B271" s="2305"/>
      <c r="C271" s="2306"/>
      <c r="D271" s="2305" t="s">
        <v>572</v>
      </c>
      <c r="E271" s="2307"/>
      <c r="F271" s="2307"/>
      <c r="G271" s="2306"/>
      <c r="H271" s="1057"/>
      <c r="I271" s="1058"/>
    </row>
    <row r="272" spans="1:9" ht="25.5" customHeight="1" x14ac:dyDescent="0.2">
      <c r="A272" s="1185" t="s">
        <v>143</v>
      </c>
      <c r="B272" s="2302"/>
      <c r="C272" s="2303"/>
      <c r="D272" s="2302" t="s">
        <v>7868</v>
      </c>
      <c r="E272" s="2304"/>
      <c r="F272" s="2304"/>
      <c r="G272" s="2303"/>
      <c r="H272" s="1184"/>
      <c r="I272" s="1060"/>
    </row>
    <row r="273" spans="1:9" ht="153" customHeight="1" x14ac:dyDescent="0.2">
      <c r="A273" s="1185" t="s">
        <v>143</v>
      </c>
      <c r="B273" s="2302"/>
      <c r="C273" s="2303"/>
      <c r="D273" s="2302" t="s">
        <v>7366</v>
      </c>
      <c r="E273" s="2304"/>
      <c r="F273" s="2304"/>
      <c r="G273" s="2303"/>
      <c r="H273" s="1184"/>
      <c r="I273" s="1060"/>
    </row>
    <row r="274" spans="1:9" ht="89.25" customHeight="1" x14ac:dyDescent="0.2">
      <c r="A274" s="1185" t="s">
        <v>143</v>
      </c>
      <c r="B274" s="2302"/>
      <c r="C274" s="2303"/>
      <c r="D274" s="2302" t="s">
        <v>7783</v>
      </c>
      <c r="E274" s="2304"/>
      <c r="F274" s="2304"/>
      <c r="G274" s="2303"/>
      <c r="H274" s="1184"/>
      <c r="I274" s="1060"/>
    </row>
    <row r="275" spans="1:9" ht="92.25" customHeight="1" x14ac:dyDescent="0.2">
      <c r="A275" s="1185" t="s">
        <v>143</v>
      </c>
      <c r="B275" s="2305"/>
      <c r="C275" s="2306"/>
      <c r="D275" s="2305" t="s">
        <v>7874</v>
      </c>
      <c r="E275" s="2307"/>
      <c r="F275" s="2307"/>
      <c r="G275" s="2306"/>
      <c r="H275" s="1057"/>
      <c r="I275" s="1058"/>
    </row>
    <row r="276" spans="1:9" ht="25.5" customHeight="1" x14ac:dyDescent="0.2">
      <c r="A276" s="1185" t="s">
        <v>143</v>
      </c>
      <c r="B276" s="2302"/>
      <c r="C276" s="2303"/>
      <c r="D276" s="2302" t="s">
        <v>9973</v>
      </c>
      <c r="E276" s="2304"/>
      <c r="F276" s="2304"/>
      <c r="G276" s="2303"/>
      <c r="H276" s="1184"/>
      <c r="I276" s="1060"/>
    </row>
    <row r="277" spans="1:9" ht="12.75" customHeight="1" x14ac:dyDescent="0.2">
      <c r="A277" s="1185" t="s">
        <v>143</v>
      </c>
      <c r="B277" s="2302"/>
      <c r="C277" s="2303"/>
      <c r="D277" s="2302" t="s">
        <v>9974</v>
      </c>
      <c r="E277" s="2304"/>
      <c r="F277" s="2304"/>
      <c r="G277" s="2303"/>
      <c r="H277" s="1184"/>
      <c r="I277" s="1060"/>
    </row>
    <row r="278" spans="1:9" ht="25.5" customHeight="1" x14ac:dyDescent="0.2">
      <c r="A278" s="1185" t="s">
        <v>143</v>
      </c>
      <c r="B278" s="2302"/>
      <c r="C278" s="2303"/>
      <c r="D278" s="2302" t="s">
        <v>9975</v>
      </c>
      <c r="E278" s="2304"/>
      <c r="F278" s="2304"/>
      <c r="G278" s="2303"/>
      <c r="H278" s="1184"/>
      <c r="I278" s="1060"/>
    </row>
    <row r="279" spans="1:9" ht="12.75" customHeight="1" x14ac:dyDescent="0.2">
      <c r="A279" s="1185" t="s">
        <v>143</v>
      </c>
      <c r="B279" s="2302"/>
      <c r="C279" s="2303"/>
      <c r="D279" s="2302" t="s">
        <v>7878</v>
      </c>
      <c r="E279" s="2304"/>
      <c r="F279" s="2304"/>
      <c r="G279" s="2303"/>
      <c r="H279" s="1184"/>
      <c r="I279" s="1060"/>
    </row>
    <row r="280" spans="1:9" ht="25.5" customHeight="1" x14ac:dyDescent="0.2">
      <c r="A280" s="1185" t="s">
        <v>143</v>
      </c>
      <c r="B280" s="2302"/>
      <c r="C280" s="2303"/>
      <c r="D280" s="2302" t="s">
        <v>9976</v>
      </c>
      <c r="E280" s="2304"/>
      <c r="F280" s="2304"/>
      <c r="G280" s="2303"/>
      <c r="H280" s="1184"/>
      <c r="I280" s="1060"/>
    </row>
    <row r="281" spans="1:9" ht="25.5" customHeight="1" x14ac:dyDescent="0.2">
      <c r="A281" s="1185" t="s">
        <v>143</v>
      </c>
      <c r="B281" s="2302"/>
      <c r="C281" s="2303"/>
      <c r="D281" s="2302" t="s">
        <v>9977</v>
      </c>
      <c r="E281" s="2304"/>
      <c r="F281" s="2304"/>
      <c r="G281" s="2303"/>
      <c r="H281" s="1184"/>
      <c r="I281" s="1060"/>
    </row>
    <row r="282" spans="1:9" ht="25.5" customHeight="1" x14ac:dyDescent="0.2">
      <c r="A282" s="1185" t="s">
        <v>143</v>
      </c>
      <c r="B282" s="2302"/>
      <c r="C282" s="2303"/>
      <c r="D282" s="2302" t="s">
        <v>9978</v>
      </c>
      <c r="E282" s="2304"/>
      <c r="F282" s="2304"/>
      <c r="G282" s="2303"/>
      <c r="H282" s="1184"/>
      <c r="I282" s="1060"/>
    </row>
    <row r="283" spans="1:9" ht="25.5" customHeight="1" x14ac:dyDescent="0.2">
      <c r="A283" s="1185" t="s">
        <v>143</v>
      </c>
      <c r="B283" s="2302"/>
      <c r="C283" s="2303"/>
      <c r="D283" s="2302" t="s">
        <v>9979</v>
      </c>
      <c r="E283" s="2304"/>
      <c r="F283" s="2304"/>
      <c r="G283" s="2303"/>
      <c r="H283" s="1184"/>
      <c r="I283" s="1060"/>
    </row>
    <row r="284" spans="1:9" ht="25.5" customHeight="1" x14ac:dyDescent="0.2">
      <c r="A284" s="1185" t="s">
        <v>143</v>
      </c>
      <c r="B284" s="2302"/>
      <c r="C284" s="2303"/>
      <c r="D284" s="2302" t="s">
        <v>9980</v>
      </c>
      <c r="E284" s="2304"/>
      <c r="F284" s="2304"/>
      <c r="G284" s="2303"/>
      <c r="H284" s="1184"/>
      <c r="I284" s="1060"/>
    </row>
    <row r="285" spans="1:9" ht="25.5" customHeight="1" x14ac:dyDescent="0.2">
      <c r="A285" s="1185" t="s">
        <v>143</v>
      </c>
      <c r="B285" s="2302"/>
      <c r="C285" s="2303"/>
      <c r="D285" s="2302" t="s">
        <v>9981</v>
      </c>
      <c r="E285" s="2304"/>
      <c r="F285" s="2304"/>
      <c r="G285" s="2303"/>
      <c r="H285" s="1184"/>
      <c r="I285" s="1060"/>
    </row>
    <row r="286" spans="1:9" ht="25.5" customHeight="1" x14ac:dyDescent="0.2">
      <c r="A286" s="1185" t="s">
        <v>143</v>
      </c>
      <c r="B286" s="2302"/>
      <c r="C286" s="2303"/>
      <c r="D286" s="2302" t="s">
        <v>9982</v>
      </c>
      <c r="E286" s="2304"/>
      <c r="F286" s="2304"/>
      <c r="G286" s="2303"/>
      <c r="H286" s="1184"/>
      <c r="I286" s="1060"/>
    </row>
    <row r="287" spans="1:9" ht="25.5" customHeight="1" x14ac:dyDescent="0.2">
      <c r="A287" s="1185" t="s">
        <v>143</v>
      </c>
      <c r="B287" s="2302"/>
      <c r="C287" s="2303"/>
      <c r="D287" s="2302" t="s">
        <v>9983</v>
      </c>
      <c r="E287" s="2304"/>
      <c r="F287" s="2304"/>
      <c r="G287" s="2303"/>
      <c r="H287" s="1184"/>
      <c r="I287" s="1060"/>
    </row>
    <row r="288" spans="1:9" ht="25.5" customHeight="1" x14ac:dyDescent="0.2">
      <c r="A288" s="1185" t="s">
        <v>143</v>
      </c>
      <c r="B288" s="2302"/>
      <c r="C288" s="2303"/>
      <c r="D288" s="2302" t="s">
        <v>9984</v>
      </c>
      <c r="E288" s="2304"/>
      <c r="F288" s="2304"/>
      <c r="G288" s="2303"/>
      <c r="H288" s="1184"/>
      <c r="I288" s="1060"/>
    </row>
    <row r="289" spans="1:9" ht="38.25" customHeight="1" x14ac:dyDescent="0.2">
      <c r="A289" s="1185" t="s">
        <v>143</v>
      </c>
      <c r="B289" s="2302"/>
      <c r="C289" s="2303"/>
      <c r="D289" s="2302" t="s">
        <v>9985</v>
      </c>
      <c r="E289" s="2304"/>
      <c r="F289" s="2304"/>
      <c r="G289" s="2303"/>
      <c r="H289" s="1184"/>
      <c r="I289" s="1060"/>
    </row>
    <row r="290" spans="1:9" ht="12.75" customHeight="1" x14ac:dyDescent="0.2">
      <c r="A290" s="1183" t="s">
        <v>143</v>
      </c>
      <c r="B290" s="2320"/>
      <c r="C290" s="2321"/>
      <c r="D290" s="2320" t="s">
        <v>9986</v>
      </c>
      <c r="E290" s="2322"/>
      <c r="F290" s="2322"/>
      <c r="G290" s="2321"/>
      <c r="H290" s="1180"/>
      <c r="I290" s="1063"/>
    </row>
    <row r="291" spans="1:9" ht="81.599999999999994" customHeight="1" x14ac:dyDescent="0.2">
      <c r="A291" s="1182" t="s">
        <v>436</v>
      </c>
      <c r="B291" s="2311" t="s">
        <v>7387</v>
      </c>
      <c r="C291" s="2312"/>
      <c r="D291" s="2313" t="s">
        <v>7388</v>
      </c>
      <c r="E291" s="2314"/>
      <c r="F291" s="2314"/>
      <c r="G291" s="2315"/>
      <c r="H291" s="1179" t="s">
        <v>9987</v>
      </c>
      <c r="I291" s="1181">
        <f>ROUND(77500  * 1 * 0.5 * 0.4 * 1.14,0)</f>
        <v>17670</v>
      </c>
    </row>
    <row r="292" spans="1:9" ht="15.75" customHeight="1" x14ac:dyDescent="0.2">
      <c r="A292" s="1185" t="s">
        <v>143</v>
      </c>
      <c r="B292" s="2305"/>
      <c r="C292" s="2306"/>
      <c r="D292" s="2305" t="s">
        <v>572</v>
      </c>
      <c r="E292" s="2307"/>
      <c r="F292" s="2307"/>
      <c r="G292" s="2306"/>
      <c r="H292" s="1057"/>
      <c r="I292" s="1058"/>
    </row>
    <row r="293" spans="1:9" ht="25.5" customHeight="1" x14ac:dyDescent="0.2">
      <c r="A293" s="1185" t="s">
        <v>143</v>
      </c>
      <c r="B293" s="2302"/>
      <c r="C293" s="2303"/>
      <c r="D293" s="2302" t="s">
        <v>7868</v>
      </c>
      <c r="E293" s="2304"/>
      <c r="F293" s="2304"/>
      <c r="G293" s="2303"/>
      <c r="H293" s="1184"/>
      <c r="I293" s="1060"/>
    </row>
    <row r="294" spans="1:9" ht="76.7" customHeight="1" x14ac:dyDescent="0.2">
      <c r="A294" s="1185" t="s">
        <v>143</v>
      </c>
      <c r="B294" s="2302"/>
      <c r="C294" s="2303"/>
      <c r="D294" s="2302" t="s">
        <v>7390</v>
      </c>
      <c r="E294" s="2304"/>
      <c r="F294" s="2304"/>
      <c r="G294" s="2303"/>
      <c r="H294" s="1184"/>
      <c r="I294" s="1060"/>
    </row>
    <row r="295" spans="1:9" ht="89.25" customHeight="1" x14ac:dyDescent="0.2">
      <c r="A295" s="1185" t="s">
        <v>143</v>
      </c>
      <c r="B295" s="2302"/>
      <c r="C295" s="2303"/>
      <c r="D295" s="2302" t="s">
        <v>7783</v>
      </c>
      <c r="E295" s="2304"/>
      <c r="F295" s="2304"/>
      <c r="G295" s="2303"/>
      <c r="H295" s="1184"/>
      <c r="I295" s="1060"/>
    </row>
    <row r="296" spans="1:9" ht="92.25" customHeight="1" x14ac:dyDescent="0.2">
      <c r="A296" s="1185" t="s">
        <v>143</v>
      </c>
      <c r="B296" s="2305"/>
      <c r="C296" s="2306"/>
      <c r="D296" s="2305" t="s">
        <v>7874</v>
      </c>
      <c r="E296" s="2307"/>
      <c r="F296" s="2307"/>
      <c r="G296" s="2306"/>
      <c r="H296" s="1057"/>
      <c r="I296" s="1058"/>
    </row>
    <row r="297" spans="1:9" ht="25.5" customHeight="1" x14ac:dyDescent="0.2">
      <c r="A297" s="1185" t="s">
        <v>143</v>
      </c>
      <c r="B297" s="2302"/>
      <c r="C297" s="2303"/>
      <c r="D297" s="2302" t="s">
        <v>9988</v>
      </c>
      <c r="E297" s="2304"/>
      <c r="F297" s="2304"/>
      <c r="G297" s="2303"/>
      <c r="H297" s="1184"/>
      <c r="I297" s="1060"/>
    </row>
    <row r="298" spans="1:9" ht="12.75" customHeight="1" x14ac:dyDescent="0.2">
      <c r="A298" s="1185" t="s">
        <v>143</v>
      </c>
      <c r="B298" s="2302"/>
      <c r="C298" s="2303"/>
      <c r="D298" s="2302" t="s">
        <v>9989</v>
      </c>
      <c r="E298" s="2304"/>
      <c r="F298" s="2304"/>
      <c r="G298" s="2303"/>
      <c r="H298" s="1184"/>
      <c r="I298" s="1060"/>
    </row>
    <row r="299" spans="1:9" ht="25.5" customHeight="1" x14ac:dyDescent="0.2">
      <c r="A299" s="1185" t="s">
        <v>143</v>
      </c>
      <c r="B299" s="2302"/>
      <c r="C299" s="2303"/>
      <c r="D299" s="2302" t="s">
        <v>9990</v>
      </c>
      <c r="E299" s="2304"/>
      <c r="F299" s="2304"/>
      <c r="G299" s="2303"/>
      <c r="H299" s="1184"/>
      <c r="I299" s="1060"/>
    </row>
    <row r="300" spans="1:9" ht="12.75" customHeight="1" x14ac:dyDescent="0.2">
      <c r="A300" s="1185" t="s">
        <v>143</v>
      </c>
      <c r="B300" s="2302"/>
      <c r="C300" s="2303"/>
      <c r="D300" s="2302" t="s">
        <v>7878</v>
      </c>
      <c r="E300" s="2304"/>
      <c r="F300" s="2304"/>
      <c r="G300" s="2303"/>
      <c r="H300" s="1184"/>
      <c r="I300" s="1060"/>
    </row>
    <row r="301" spans="1:9" ht="25.5" customHeight="1" x14ac:dyDescent="0.2">
      <c r="A301" s="1185" t="s">
        <v>143</v>
      </c>
      <c r="B301" s="2302"/>
      <c r="C301" s="2303"/>
      <c r="D301" s="2302" t="s">
        <v>9991</v>
      </c>
      <c r="E301" s="2304"/>
      <c r="F301" s="2304"/>
      <c r="G301" s="2303"/>
      <c r="H301" s="1184"/>
      <c r="I301" s="1060"/>
    </row>
    <row r="302" spans="1:9" ht="25.5" customHeight="1" x14ac:dyDescent="0.2">
      <c r="A302" s="1185" t="s">
        <v>143</v>
      </c>
      <c r="B302" s="2302"/>
      <c r="C302" s="2303"/>
      <c r="D302" s="2302" t="s">
        <v>9992</v>
      </c>
      <c r="E302" s="2304"/>
      <c r="F302" s="2304"/>
      <c r="G302" s="2303"/>
      <c r="H302" s="1184"/>
      <c r="I302" s="1060"/>
    </row>
    <row r="303" spans="1:9" ht="25.5" customHeight="1" x14ac:dyDescent="0.2">
      <c r="A303" s="1185" t="s">
        <v>143</v>
      </c>
      <c r="B303" s="2302"/>
      <c r="C303" s="2303"/>
      <c r="D303" s="2302" t="s">
        <v>9993</v>
      </c>
      <c r="E303" s="2304"/>
      <c r="F303" s="2304"/>
      <c r="G303" s="2303"/>
      <c r="H303" s="1184"/>
      <c r="I303" s="1060"/>
    </row>
    <row r="304" spans="1:9" ht="25.5" customHeight="1" x14ac:dyDescent="0.2">
      <c r="A304" s="1185" t="s">
        <v>143</v>
      </c>
      <c r="B304" s="2302"/>
      <c r="C304" s="2303"/>
      <c r="D304" s="2302" t="s">
        <v>9994</v>
      </c>
      <c r="E304" s="2304"/>
      <c r="F304" s="2304"/>
      <c r="G304" s="2303"/>
      <c r="H304" s="1184"/>
      <c r="I304" s="1060"/>
    </row>
    <row r="305" spans="1:9" ht="25.5" customHeight="1" x14ac:dyDescent="0.2">
      <c r="A305" s="1185" t="s">
        <v>143</v>
      </c>
      <c r="B305" s="2302"/>
      <c r="C305" s="2303"/>
      <c r="D305" s="2302" t="s">
        <v>9995</v>
      </c>
      <c r="E305" s="2304"/>
      <c r="F305" s="2304"/>
      <c r="G305" s="2303"/>
      <c r="H305" s="1184"/>
      <c r="I305" s="1060"/>
    </row>
    <row r="306" spans="1:9" ht="25.5" customHeight="1" x14ac:dyDescent="0.2">
      <c r="A306" s="1185" t="s">
        <v>143</v>
      </c>
      <c r="B306" s="2302"/>
      <c r="C306" s="2303"/>
      <c r="D306" s="2302" t="s">
        <v>9996</v>
      </c>
      <c r="E306" s="2304"/>
      <c r="F306" s="2304"/>
      <c r="G306" s="2303"/>
      <c r="H306" s="1184"/>
      <c r="I306" s="1060"/>
    </row>
    <row r="307" spans="1:9" ht="25.5" customHeight="1" x14ac:dyDescent="0.2">
      <c r="A307" s="1185" t="s">
        <v>143</v>
      </c>
      <c r="B307" s="2302"/>
      <c r="C307" s="2303"/>
      <c r="D307" s="2302" t="s">
        <v>9997</v>
      </c>
      <c r="E307" s="2304"/>
      <c r="F307" s="2304"/>
      <c r="G307" s="2303"/>
      <c r="H307" s="1184"/>
      <c r="I307" s="1060"/>
    </row>
    <row r="308" spans="1:9" ht="25.5" customHeight="1" x14ac:dyDescent="0.2">
      <c r="A308" s="1185" t="s">
        <v>143</v>
      </c>
      <c r="B308" s="2302"/>
      <c r="C308" s="2303"/>
      <c r="D308" s="2302" t="s">
        <v>9998</v>
      </c>
      <c r="E308" s="2304"/>
      <c r="F308" s="2304"/>
      <c r="G308" s="2303"/>
      <c r="H308" s="1184"/>
      <c r="I308" s="1060"/>
    </row>
    <row r="309" spans="1:9" ht="25.5" customHeight="1" x14ac:dyDescent="0.2">
      <c r="A309" s="1185" t="s">
        <v>143</v>
      </c>
      <c r="B309" s="2302"/>
      <c r="C309" s="2303"/>
      <c r="D309" s="2302" t="s">
        <v>9999</v>
      </c>
      <c r="E309" s="2304"/>
      <c r="F309" s="2304"/>
      <c r="G309" s="2303"/>
      <c r="H309" s="1184"/>
      <c r="I309" s="1060"/>
    </row>
    <row r="310" spans="1:9" ht="38.25" customHeight="1" x14ac:dyDescent="0.2">
      <c r="A310" s="1185" t="s">
        <v>143</v>
      </c>
      <c r="B310" s="2302"/>
      <c r="C310" s="2303"/>
      <c r="D310" s="2302" t="s">
        <v>10000</v>
      </c>
      <c r="E310" s="2304"/>
      <c r="F310" s="2304"/>
      <c r="G310" s="2303"/>
      <c r="H310" s="1184"/>
      <c r="I310" s="1060"/>
    </row>
    <row r="311" spans="1:9" ht="12.75" customHeight="1" x14ac:dyDescent="0.2">
      <c r="A311" s="1183" t="s">
        <v>143</v>
      </c>
      <c r="B311" s="2320"/>
      <c r="C311" s="2321"/>
      <c r="D311" s="2320" t="s">
        <v>10001</v>
      </c>
      <c r="E311" s="2322"/>
      <c r="F311" s="2322"/>
      <c r="G311" s="2321"/>
      <c r="H311" s="1180"/>
      <c r="I311" s="1063"/>
    </row>
    <row r="312" spans="1:9" ht="170.85" customHeight="1" x14ac:dyDescent="0.2">
      <c r="A312" s="1182" t="s">
        <v>733</v>
      </c>
      <c r="B312" s="2311" t="s">
        <v>7411</v>
      </c>
      <c r="C312" s="2312"/>
      <c r="D312" s="2313" t="s">
        <v>7412</v>
      </c>
      <c r="E312" s="2314"/>
      <c r="F312" s="2314"/>
      <c r="G312" s="2315"/>
      <c r="H312" s="1179" t="s">
        <v>10002</v>
      </c>
      <c r="I312" s="1181">
        <f>ROUND((33000  + 128  * 298) * 1 * 0.5 * 0.89,0)</f>
        <v>31659</v>
      </c>
    </row>
    <row r="313" spans="1:9" ht="15.75" customHeight="1" x14ac:dyDescent="0.2">
      <c r="A313" s="1185" t="s">
        <v>143</v>
      </c>
      <c r="B313" s="2305"/>
      <c r="C313" s="2306"/>
      <c r="D313" s="2305" t="s">
        <v>572</v>
      </c>
      <c r="E313" s="2307"/>
      <c r="F313" s="2307"/>
      <c r="G313" s="2306"/>
      <c r="H313" s="1057"/>
      <c r="I313" s="1058"/>
    </row>
    <row r="314" spans="1:9" ht="25.5" customHeight="1" x14ac:dyDescent="0.2">
      <c r="A314" s="1185" t="s">
        <v>143</v>
      </c>
      <c r="B314" s="2302"/>
      <c r="C314" s="2303"/>
      <c r="D314" s="2302" t="s">
        <v>7868</v>
      </c>
      <c r="E314" s="2304"/>
      <c r="F314" s="2304"/>
      <c r="G314" s="2303"/>
      <c r="H314" s="1184"/>
      <c r="I314" s="1060"/>
    </row>
    <row r="315" spans="1:9" ht="89.25" customHeight="1" x14ac:dyDescent="0.2">
      <c r="A315" s="1185" t="s">
        <v>143</v>
      </c>
      <c r="B315" s="2302"/>
      <c r="C315" s="2303"/>
      <c r="D315" s="2302" t="s">
        <v>9955</v>
      </c>
      <c r="E315" s="2304"/>
      <c r="F315" s="2304"/>
      <c r="G315" s="2303"/>
      <c r="H315" s="1184"/>
      <c r="I315" s="1060"/>
    </row>
    <row r="316" spans="1:9" ht="54" customHeight="1" x14ac:dyDescent="0.2">
      <c r="A316" s="1185" t="s">
        <v>143</v>
      </c>
      <c r="B316" s="2305"/>
      <c r="C316" s="2306"/>
      <c r="D316" s="2305" t="s">
        <v>9964</v>
      </c>
      <c r="E316" s="2307"/>
      <c r="F316" s="2307"/>
      <c r="G316" s="2306"/>
      <c r="H316" s="1057"/>
      <c r="I316" s="1058"/>
    </row>
    <row r="317" spans="1:9" ht="25.5" customHeight="1" x14ac:dyDescent="0.2">
      <c r="A317" s="1185" t="s">
        <v>143</v>
      </c>
      <c r="B317" s="2302"/>
      <c r="C317" s="2303"/>
      <c r="D317" s="2302" t="s">
        <v>7871</v>
      </c>
      <c r="E317" s="2304"/>
      <c r="F317" s="2304"/>
      <c r="G317" s="2303"/>
      <c r="H317" s="1184"/>
      <c r="I317" s="1060"/>
    </row>
    <row r="318" spans="1:9" ht="25.5" customHeight="1" x14ac:dyDescent="0.2">
      <c r="A318" s="1185" t="s">
        <v>143</v>
      </c>
      <c r="B318" s="2302"/>
      <c r="C318" s="2303"/>
      <c r="D318" s="2323" t="s">
        <v>10003</v>
      </c>
      <c r="E318" s="2324"/>
      <c r="F318" s="2324"/>
      <c r="G318" s="2325"/>
      <c r="H318" s="1184"/>
      <c r="I318" s="1060"/>
    </row>
    <row r="319" spans="1:9" ht="25.5" customHeight="1" x14ac:dyDescent="0.2">
      <c r="A319" s="1185" t="s">
        <v>143</v>
      </c>
      <c r="B319" s="2302"/>
      <c r="C319" s="2303"/>
      <c r="D319" s="2323" t="s">
        <v>10004</v>
      </c>
      <c r="E319" s="2324"/>
      <c r="F319" s="2324"/>
      <c r="G319" s="2325"/>
      <c r="H319" s="1184"/>
      <c r="I319" s="1060"/>
    </row>
    <row r="320" spans="1:9" ht="25.5" customHeight="1" x14ac:dyDescent="0.2">
      <c r="A320" s="1185" t="s">
        <v>143</v>
      </c>
      <c r="B320" s="2302"/>
      <c r="C320" s="2303"/>
      <c r="D320" s="2323" t="s">
        <v>10005</v>
      </c>
      <c r="E320" s="2324"/>
      <c r="F320" s="2324"/>
      <c r="G320" s="2325"/>
      <c r="H320" s="1184"/>
      <c r="I320" s="1060"/>
    </row>
    <row r="321" spans="1:9" ht="25.5" customHeight="1" x14ac:dyDescent="0.2">
      <c r="A321" s="1185" t="s">
        <v>143</v>
      </c>
      <c r="B321" s="2302"/>
      <c r="C321" s="2303"/>
      <c r="D321" s="2323" t="s">
        <v>10006</v>
      </c>
      <c r="E321" s="2324"/>
      <c r="F321" s="2324"/>
      <c r="G321" s="2325"/>
      <c r="H321" s="1184"/>
      <c r="I321" s="1060"/>
    </row>
    <row r="322" spans="1:9" ht="25.5" customHeight="1" x14ac:dyDescent="0.2">
      <c r="A322" s="1185" t="s">
        <v>143</v>
      </c>
      <c r="B322" s="2302"/>
      <c r="C322" s="2303"/>
      <c r="D322" s="2302" t="s">
        <v>10007</v>
      </c>
      <c r="E322" s="2304"/>
      <c r="F322" s="2304"/>
      <c r="G322" s="2303"/>
      <c r="H322" s="1184"/>
      <c r="I322" s="1060"/>
    </row>
    <row r="323" spans="1:9" ht="25.5" customHeight="1" x14ac:dyDescent="0.2">
      <c r="A323" s="1185" t="s">
        <v>143</v>
      </c>
      <c r="B323" s="2302"/>
      <c r="C323" s="2303"/>
      <c r="D323" s="2302" t="s">
        <v>10008</v>
      </c>
      <c r="E323" s="2304"/>
      <c r="F323" s="2304"/>
      <c r="G323" s="2303"/>
      <c r="H323" s="1184"/>
      <c r="I323" s="1060"/>
    </row>
    <row r="324" spans="1:9" ht="12.75" customHeight="1" x14ac:dyDescent="0.2">
      <c r="A324" s="1183" t="s">
        <v>143</v>
      </c>
      <c r="B324" s="2320"/>
      <c r="C324" s="2321"/>
      <c r="D324" s="2320" t="s">
        <v>10009</v>
      </c>
      <c r="E324" s="2322"/>
      <c r="F324" s="2322"/>
      <c r="G324" s="2321"/>
      <c r="H324" s="1180"/>
      <c r="I324" s="1063"/>
    </row>
    <row r="325" spans="1:9" ht="132.6" customHeight="1" x14ac:dyDescent="0.2">
      <c r="A325" s="1182" t="s">
        <v>736</v>
      </c>
      <c r="B325" s="2311" t="s">
        <v>7431</v>
      </c>
      <c r="C325" s="2312"/>
      <c r="D325" s="2313" t="s">
        <v>7432</v>
      </c>
      <c r="E325" s="2314"/>
      <c r="F325" s="2314"/>
      <c r="G325" s="2315"/>
      <c r="H325" s="1179" t="s">
        <v>10010</v>
      </c>
      <c r="I325" s="1181">
        <f>ROUND((33000  + 128  * 161) * 1 * 0.5 * 0.89,0)</f>
        <v>23856</v>
      </c>
    </row>
    <row r="326" spans="1:9" ht="15.75" customHeight="1" x14ac:dyDescent="0.2">
      <c r="A326" s="1185" t="s">
        <v>143</v>
      </c>
      <c r="B326" s="2305"/>
      <c r="C326" s="2306"/>
      <c r="D326" s="2305" t="s">
        <v>572</v>
      </c>
      <c r="E326" s="2307"/>
      <c r="F326" s="2307"/>
      <c r="G326" s="2306"/>
      <c r="H326" s="1057"/>
      <c r="I326" s="1058"/>
    </row>
    <row r="327" spans="1:9" ht="25.5" customHeight="1" x14ac:dyDescent="0.2">
      <c r="A327" s="1185" t="s">
        <v>143</v>
      </c>
      <c r="B327" s="2302"/>
      <c r="C327" s="2303"/>
      <c r="D327" s="2302" t="s">
        <v>7868</v>
      </c>
      <c r="E327" s="2304"/>
      <c r="F327" s="2304"/>
      <c r="G327" s="2303"/>
      <c r="H327" s="1184"/>
      <c r="I327" s="1060"/>
    </row>
    <row r="328" spans="1:9" ht="89.25" customHeight="1" x14ac:dyDescent="0.2">
      <c r="A328" s="1185" t="s">
        <v>143</v>
      </c>
      <c r="B328" s="2302"/>
      <c r="C328" s="2303"/>
      <c r="D328" s="2302" t="s">
        <v>9955</v>
      </c>
      <c r="E328" s="2304"/>
      <c r="F328" s="2304"/>
      <c r="G328" s="2303"/>
      <c r="H328" s="1184"/>
      <c r="I328" s="1060"/>
    </row>
    <row r="329" spans="1:9" ht="54" customHeight="1" x14ac:dyDescent="0.2">
      <c r="A329" s="1185" t="s">
        <v>143</v>
      </c>
      <c r="B329" s="2305"/>
      <c r="C329" s="2306"/>
      <c r="D329" s="2305" t="s">
        <v>9964</v>
      </c>
      <c r="E329" s="2307"/>
      <c r="F329" s="2307"/>
      <c r="G329" s="2306"/>
      <c r="H329" s="1057"/>
      <c r="I329" s="1058"/>
    </row>
    <row r="330" spans="1:9" ht="25.5" customHeight="1" x14ac:dyDescent="0.2">
      <c r="A330" s="1185" t="s">
        <v>143</v>
      </c>
      <c r="B330" s="2302"/>
      <c r="C330" s="2303"/>
      <c r="D330" s="2302" t="s">
        <v>7871</v>
      </c>
      <c r="E330" s="2304"/>
      <c r="F330" s="2304"/>
      <c r="G330" s="2303"/>
      <c r="H330" s="1184"/>
      <c r="I330" s="1060"/>
    </row>
    <row r="331" spans="1:9" ht="25.5" customHeight="1" x14ac:dyDescent="0.2">
      <c r="A331" s="1185" t="s">
        <v>143</v>
      </c>
      <c r="B331" s="2302"/>
      <c r="C331" s="2303"/>
      <c r="D331" s="2323" t="s">
        <v>10011</v>
      </c>
      <c r="E331" s="2324"/>
      <c r="F331" s="2324"/>
      <c r="G331" s="2325"/>
      <c r="H331" s="1184"/>
      <c r="I331" s="1060"/>
    </row>
    <row r="332" spans="1:9" ht="25.5" customHeight="1" x14ac:dyDescent="0.2">
      <c r="A332" s="1185" t="s">
        <v>143</v>
      </c>
      <c r="B332" s="2302"/>
      <c r="C332" s="2303"/>
      <c r="D332" s="2323" t="s">
        <v>10012</v>
      </c>
      <c r="E332" s="2324"/>
      <c r="F332" s="2324"/>
      <c r="G332" s="2325"/>
      <c r="H332" s="1184"/>
      <c r="I332" s="1060"/>
    </row>
    <row r="333" spans="1:9" ht="25.5" customHeight="1" x14ac:dyDescent="0.2">
      <c r="A333" s="1185" t="s">
        <v>143</v>
      </c>
      <c r="B333" s="2302"/>
      <c r="C333" s="2303"/>
      <c r="D333" s="2323" t="s">
        <v>10013</v>
      </c>
      <c r="E333" s="2324"/>
      <c r="F333" s="2324"/>
      <c r="G333" s="2325"/>
      <c r="H333" s="1184"/>
      <c r="I333" s="1060"/>
    </row>
    <row r="334" spans="1:9" ht="25.5" customHeight="1" x14ac:dyDescent="0.2">
      <c r="A334" s="1185" t="s">
        <v>143</v>
      </c>
      <c r="B334" s="2302"/>
      <c r="C334" s="2303"/>
      <c r="D334" s="2323" t="s">
        <v>10014</v>
      </c>
      <c r="E334" s="2324"/>
      <c r="F334" s="2324"/>
      <c r="G334" s="2325"/>
      <c r="H334" s="1184"/>
      <c r="I334" s="1060"/>
    </row>
    <row r="335" spans="1:9" ht="25.5" customHeight="1" x14ac:dyDescent="0.2">
      <c r="A335" s="1185" t="s">
        <v>143</v>
      </c>
      <c r="B335" s="2302"/>
      <c r="C335" s="2303"/>
      <c r="D335" s="2302" t="s">
        <v>10015</v>
      </c>
      <c r="E335" s="2304"/>
      <c r="F335" s="2304"/>
      <c r="G335" s="2303"/>
      <c r="H335" s="1184"/>
      <c r="I335" s="1060"/>
    </row>
    <row r="336" spans="1:9" ht="25.5" customHeight="1" x14ac:dyDescent="0.2">
      <c r="A336" s="1185" t="s">
        <v>143</v>
      </c>
      <c r="B336" s="2302"/>
      <c r="C336" s="2303"/>
      <c r="D336" s="2302" t="s">
        <v>10016</v>
      </c>
      <c r="E336" s="2304"/>
      <c r="F336" s="2304"/>
      <c r="G336" s="2303"/>
      <c r="H336" s="1184"/>
      <c r="I336" s="1060"/>
    </row>
    <row r="337" spans="1:9" ht="12.75" customHeight="1" x14ac:dyDescent="0.2">
      <c r="A337" s="1183" t="s">
        <v>143</v>
      </c>
      <c r="B337" s="2320"/>
      <c r="C337" s="2321"/>
      <c r="D337" s="2320" t="s">
        <v>10017</v>
      </c>
      <c r="E337" s="2322"/>
      <c r="F337" s="2322"/>
      <c r="G337" s="2321"/>
      <c r="H337" s="1180"/>
      <c r="I337" s="1063"/>
    </row>
    <row r="338" spans="1:9" ht="145.35" customHeight="1" x14ac:dyDescent="0.2">
      <c r="A338" s="1182" t="s">
        <v>1067</v>
      </c>
      <c r="B338" s="2311" t="s">
        <v>7451</v>
      </c>
      <c r="C338" s="2312"/>
      <c r="D338" s="2313" t="s">
        <v>7452</v>
      </c>
      <c r="E338" s="2314"/>
      <c r="F338" s="2314"/>
      <c r="G338" s="2315"/>
      <c r="H338" s="1179" t="s">
        <v>10018</v>
      </c>
      <c r="I338" s="1181">
        <f>ROUND((55040  + 213  * 132.5) * 1 * 0.5 * 0.89,0)</f>
        <v>37052</v>
      </c>
    </row>
    <row r="339" spans="1:9" ht="15.75" customHeight="1" x14ac:dyDescent="0.2">
      <c r="A339" s="1185" t="s">
        <v>143</v>
      </c>
      <c r="B339" s="2305"/>
      <c r="C339" s="2306"/>
      <c r="D339" s="2305" t="s">
        <v>572</v>
      </c>
      <c r="E339" s="2307"/>
      <c r="F339" s="2307"/>
      <c r="G339" s="2306"/>
      <c r="H339" s="1057"/>
      <c r="I339" s="1058"/>
    </row>
    <row r="340" spans="1:9" ht="25.5" customHeight="1" x14ac:dyDescent="0.2">
      <c r="A340" s="1185" t="s">
        <v>143</v>
      </c>
      <c r="B340" s="2302"/>
      <c r="C340" s="2303"/>
      <c r="D340" s="2302" t="s">
        <v>7868</v>
      </c>
      <c r="E340" s="2304"/>
      <c r="F340" s="2304"/>
      <c r="G340" s="2303"/>
      <c r="H340" s="1184"/>
      <c r="I340" s="1060"/>
    </row>
    <row r="341" spans="1:9" ht="89.25" customHeight="1" x14ac:dyDescent="0.2">
      <c r="A341" s="1185" t="s">
        <v>143</v>
      </c>
      <c r="B341" s="2302"/>
      <c r="C341" s="2303"/>
      <c r="D341" s="2302" t="s">
        <v>9955</v>
      </c>
      <c r="E341" s="2304"/>
      <c r="F341" s="2304"/>
      <c r="G341" s="2303"/>
      <c r="H341" s="1184"/>
      <c r="I341" s="1060"/>
    </row>
    <row r="342" spans="1:9" ht="54" customHeight="1" x14ac:dyDescent="0.2">
      <c r="A342" s="1185" t="s">
        <v>143</v>
      </c>
      <c r="B342" s="2305"/>
      <c r="C342" s="2306"/>
      <c r="D342" s="2305" t="s">
        <v>9964</v>
      </c>
      <c r="E342" s="2307"/>
      <c r="F342" s="2307"/>
      <c r="G342" s="2306"/>
      <c r="H342" s="1057"/>
      <c r="I342" s="1058"/>
    </row>
    <row r="343" spans="1:9" ht="25.5" customHeight="1" x14ac:dyDescent="0.2">
      <c r="A343" s="1185" t="s">
        <v>143</v>
      </c>
      <c r="B343" s="2302"/>
      <c r="C343" s="2303"/>
      <c r="D343" s="2302" t="s">
        <v>7871</v>
      </c>
      <c r="E343" s="2304"/>
      <c r="F343" s="2304"/>
      <c r="G343" s="2303"/>
      <c r="H343" s="1184"/>
      <c r="I343" s="1060"/>
    </row>
    <row r="344" spans="1:9" ht="25.5" customHeight="1" x14ac:dyDescent="0.2">
      <c r="A344" s="1185" t="s">
        <v>143</v>
      </c>
      <c r="B344" s="2302"/>
      <c r="C344" s="2303"/>
      <c r="D344" s="2323" t="s">
        <v>10019</v>
      </c>
      <c r="E344" s="2324"/>
      <c r="F344" s="2324"/>
      <c r="G344" s="2325"/>
      <c r="H344" s="1184"/>
      <c r="I344" s="1060"/>
    </row>
    <row r="345" spans="1:9" ht="25.5" customHeight="1" x14ac:dyDescent="0.2">
      <c r="A345" s="1185" t="s">
        <v>143</v>
      </c>
      <c r="B345" s="2302"/>
      <c r="C345" s="2303"/>
      <c r="D345" s="2323" t="s">
        <v>10020</v>
      </c>
      <c r="E345" s="2324"/>
      <c r="F345" s="2324"/>
      <c r="G345" s="2325"/>
      <c r="H345" s="1184"/>
      <c r="I345" s="1060"/>
    </row>
    <row r="346" spans="1:9" ht="25.5" customHeight="1" x14ac:dyDescent="0.2">
      <c r="A346" s="1185" t="s">
        <v>143</v>
      </c>
      <c r="B346" s="2302"/>
      <c r="C346" s="2303"/>
      <c r="D346" s="2323" t="s">
        <v>10021</v>
      </c>
      <c r="E346" s="2324"/>
      <c r="F346" s="2324"/>
      <c r="G346" s="2325"/>
      <c r="H346" s="1184"/>
      <c r="I346" s="1060"/>
    </row>
    <row r="347" spans="1:9" ht="25.5" customHeight="1" x14ac:dyDescent="0.2">
      <c r="A347" s="1185" t="s">
        <v>143</v>
      </c>
      <c r="B347" s="2302"/>
      <c r="C347" s="2303"/>
      <c r="D347" s="2323" t="s">
        <v>10022</v>
      </c>
      <c r="E347" s="2324"/>
      <c r="F347" s="2324"/>
      <c r="G347" s="2325"/>
      <c r="H347" s="1184"/>
      <c r="I347" s="1060"/>
    </row>
    <row r="348" spans="1:9" ht="25.5" customHeight="1" x14ac:dyDescent="0.2">
      <c r="A348" s="1185" t="s">
        <v>143</v>
      </c>
      <c r="B348" s="2302"/>
      <c r="C348" s="2303"/>
      <c r="D348" s="2302" t="s">
        <v>10023</v>
      </c>
      <c r="E348" s="2304"/>
      <c r="F348" s="2304"/>
      <c r="G348" s="2303"/>
      <c r="H348" s="1184"/>
      <c r="I348" s="1060"/>
    </row>
    <row r="349" spans="1:9" ht="25.5" customHeight="1" x14ac:dyDescent="0.2">
      <c r="A349" s="1185" t="s">
        <v>143</v>
      </c>
      <c r="B349" s="2302"/>
      <c r="C349" s="2303"/>
      <c r="D349" s="2302" t="s">
        <v>10024</v>
      </c>
      <c r="E349" s="2304"/>
      <c r="F349" s="2304"/>
      <c r="G349" s="2303"/>
      <c r="H349" s="1184"/>
      <c r="I349" s="1060"/>
    </row>
    <row r="350" spans="1:9" ht="12.75" customHeight="1" x14ac:dyDescent="0.2">
      <c r="A350" s="1183" t="s">
        <v>143</v>
      </c>
      <c r="B350" s="2320"/>
      <c r="C350" s="2321"/>
      <c r="D350" s="2320" t="s">
        <v>10025</v>
      </c>
      <c r="E350" s="2322"/>
      <c r="F350" s="2322"/>
      <c r="G350" s="2321"/>
      <c r="H350" s="1180"/>
      <c r="I350" s="1063"/>
    </row>
    <row r="351" spans="1:9" ht="145.35" customHeight="1" x14ac:dyDescent="0.2">
      <c r="A351" s="2326" t="s">
        <v>912</v>
      </c>
      <c r="B351" s="2311" t="s">
        <v>7469</v>
      </c>
      <c r="C351" s="2312"/>
      <c r="D351" s="2313" t="s">
        <v>7470</v>
      </c>
      <c r="E351" s="2314"/>
      <c r="F351" s="2314"/>
      <c r="G351" s="2315"/>
      <c r="H351" s="2328" t="s">
        <v>10026</v>
      </c>
      <c r="I351" s="2330">
        <f>ROUND((76400  + 310  * 521) * 1 * 0.5 * 0.89,0)</f>
        <v>105870</v>
      </c>
    </row>
    <row r="352" spans="1:9" ht="12.75" customHeight="1" x14ac:dyDescent="0.2">
      <c r="A352" s="2327"/>
      <c r="B352" s="2305"/>
      <c r="C352" s="2306"/>
      <c r="D352" s="2302"/>
      <c r="E352" s="2304"/>
      <c r="F352" s="2304"/>
      <c r="G352" s="2303"/>
      <c r="H352" s="2329"/>
      <c r="I352" s="2331"/>
    </row>
    <row r="353" spans="1:9" ht="15.75" customHeight="1" x14ac:dyDescent="0.2">
      <c r="A353" s="1185" t="s">
        <v>143</v>
      </c>
      <c r="B353" s="2305"/>
      <c r="C353" s="2306"/>
      <c r="D353" s="2305" t="s">
        <v>572</v>
      </c>
      <c r="E353" s="2307"/>
      <c r="F353" s="2307"/>
      <c r="G353" s="2306"/>
      <c r="H353" s="1057"/>
      <c r="I353" s="1058"/>
    </row>
    <row r="354" spans="1:9" ht="25.5" customHeight="1" x14ac:dyDescent="0.2">
      <c r="A354" s="1185" t="s">
        <v>143</v>
      </c>
      <c r="B354" s="2302"/>
      <c r="C354" s="2303"/>
      <c r="D354" s="2302" t="s">
        <v>7868</v>
      </c>
      <c r="E354" s="2304"/>
      <c r="F354" s="2304"/>
      <c r="G354" s="2303"/>
      <c r="H354" s="1184"/>
      <c r="I354" s="1060"/>
    </row>
    <row r="355" spans="1:9" ht="89.25" customHeight="1" x14ac:dyDescent="0.2">
      <c r="A355" s="1185" t="s">
        <v>143</v>
      </c>
      <c r="B355" s="2302"/>
      <c r="C355" s="2303"/>
      <c r="D355" s="2302" t="s">
        <v>9955</v>
      </c>
      <c r="E355" s="2304"/>
      <c r="F355" s="2304"/>
      <c r="G355" s="2303"/>
      <c r="H355" s="1184"/>
      <c r="I355" s="1060"/>
    </row>
    <row r="356" spans="1:9" ht="54" customHeight="1" x14ac:dyDescent="0.2">
      <c r="A356" s="1185" t="s">
        <v>143</v>
      </c>
      <c r="B356" s="2305"/>
      <c r="C356" s="2306"/>
      <c r="D356" s="2305" t="s">
        <v>9964</v>
      </c>
      <c r="E356" s="2307"/>
      <c r="F356" s="2307"/>
      <c r="G356" s="2306"/>
      <c r="H356" s="1057"/>
      <c r="I356" s="1058"/>
    </row>
    <row r="357" spans="1:9" ht="25.5" customHeight="1" x14ac:dyDescent="0.2">
      <c r="A357" s="1185" t="s">
        <v>143</v>
      </c>
      <c r="B357" s="2302"/>
      <c r="C357" s="2303"/>
      <c r="D357" s="2302" t="s">
        <v>7871</v>
      </c>
      <c r="E357" s="2304"/>
      <c r="F357" s="2304"/>
      <c r="G357" s="2303"/>
      <c r="H357" s="1184"/>
      <c r="I357" s="1060"/>
    </row>
    <row r="358" spans="1:9" ht="25.5" customHeight="1" x14ac:dyDescent="0.2">
      <c r="A358" s="1185" t="s">
        <v>143</v>
      </c>
      <c r="B358" s="2302"/>
      <c r="C358" s="2303"/>
      <c r="D358" s="2323" t="s">
        <v>10027</v>
      </c>
      <c r="E358" s="2324"/>
      <c r="F358" s="2324"/>
      <c r="G358" s="2325"/>
      <c r="H358" s="1184"/>
      <c r="I358" s="1060"/>
    </row>
    <row r="359" spans="1:9" ht="25.5" customHeight="1" x14ac:dyDescent="0.2">
      <c r="A359" s="1185" t="s">
        <v>143</v>
      </c>
      <c r="B359" s="2302"/>
      <c r="C359" s="2303"/>
      <c r="D359" s="2323" t="s">
        <v>10028</v>
      </c>
      <c r="E359" s="2324"/>
      <c r="F359" s="2324"/>
      <c r="G359" s="2325"/>
      <c r="H359" s="1184"/>
      <c r="I359" s="1060"/>
    </row>
    <row r="360" spans="1:9" ht="25.5" customHeight="1" x14ac:dyDescent="0.2">
      <c r="A360" s="1185" t="s">
        <v>143</v>
      </c>
      <c r="B360" s="2302"/>
      <c r="C360" s="2303"/>
      <c r="D360" s="2323" t="s">
        <v>10029</v>
      </c>
      <c r="E360" s="2324"/>
      <c r="F360" s="2324"/>
      <c r="G360" s="2325"/>
      <c r="H360" s="1184"/>
      <c r="I360" s="1060"/>
    </row>
    <row r="361" spans="1:9" ht="25.5" customHeight="1" x14ac:dyDescent="0.2">
      <c r="A361" s="1185" t="s">
        <v>143</v>
      </c>
      <c r="B361" s="2302"/>
      <c r="C361" s="2303"/>
      <c r="D361" s="2323" t="s">
        <v>10030</v>
      </c>
      <c r="E361" s="2324"/>
      <c r="F361" s="2324"/>
      <c r="G361" s="2325"/>
      <c r="H361" s="1184"/>
      <c r="I361" s="1060"/>
    </row>
    <row r="362" spans="1:9" ht="25.5" customHeight="1" x14ac:dyDescent="0.2">
      <c r="A362" s="1185" t="s">
        <v>143</v>
      </c>
      <c r="B362" s="2302"/>
      <c r="C362" s="2303"/>
      <c r="D362" s="2302" t="s">
        <v>10031</v>
      </c>
      <c r="E362" s="2304"/>
      <c r="F362" s="2304"/>
      <c r="G362" s="2303"/>
      <c r="H362" s="1184"/>
      <c r="I362" s="1060"/>
    </row>
    <row r="363" spans="1:9" ht="25.5" customHeight="1" x14ac:dyDescent="0.2">
      <c r="A363" s="1185" t="s">
        <v>143</v>
      </c>
      <c r="B363" s="2302"/>
      <c r="C363" s="2303"/>
      <c r="D363" s="2302" t="s">
        <v>10032</v>
      </c>
      <c r="E363" s="2304"/>
      <c r="F363" s="2304"/>
      <c r="G363" s="2303"/>
      <c r="H363" s="1184"/>
      <c r="I363" s="1060"/>
    </row>
    <row r="364" spans="1:9" ht="12.75" customHeight="1" x14ac:dyDescent="0.2">
      <c r="A364" s="1183" t="s">
        <v>143</v>
      </c>
      <c r="B364" s="2320"/>
      <c r="C364" s="2321"/>
      <c r="D364" s="2320" t="s">
        <v>10033</v>
      </c>
      <c r="E364" s="2322"/>
      <c r="F364" s="2322"/>
      <c r="G364" s="2321"/>
      <c r="H364" s="1180"/>
      <c r="I364" s="1063"/>
    </row>
    <row r="365" spans="1:9" ht="158.1" customHeight="1" x14ac:dyDescent="0.2">
      <c r="A365" s="1182" t="s">
        <v>757</v>
      </c>
      <c r="B365" s="2311" t="s">
        <v>7487</v>
      </c>
      <c r="C365" s="2312"/>
      <c r="D365" s="2313" t="s">
        <v>7488</v>
      </c>
      <c r="E365" s="2314"/>
      <c r="F365" s="2314"/>
      <c r="G365" s="2315"/>
      <c r="H365" s="1179" t="s">
        <v>7891</v>
      </c>
      <c r="I365" s="1181">
        <f>ROUND((147380  + 242530  * (0.4 * 0.25 + 0.6 * 0.25 / 2)) * 1 * 0.4 * 0.2 * 0.7 * 1.156,0)</f>
        <v>12288</v>
      </c>
    </row>
    <row r="366" spans="1:9" ht="15.75" customHeight="1" x14ac:dyDescent="0.2">
      <c r="A366" s="1185" t="s">
        <v>143</v>
      </c>
      <c r="B366" s="2305"/>
      <c r="C366" s="2306"/>
      <c r="D366" s="2305" t="s">
        <v>572</v>
      </c>
      <c r="E366" s="2307"/>
      <c r="F366" s="2307"/>
      <c r="G366" s="2306"/>
      <c r="H366" s="1057"/>
      <c r="I366" s="1058"/>
    </row>
    <row r="367" spans="1:9" ht="25.5" customHeight="1" x14ac:dyDescent="0.2">
      <c r="A367" s="1185" t="s">
        <v>143</v>
      </c>
      <c r="B367" s="2302"/>
      <c r="C367" s="2303"/>
      <c r="D367" s="2302" t="s">
        <v>7892</v>
      </c>
      <c r="E367" s="2304"/>
      <c r="F367" s="2304"/>
      <c r="G367" s="2303"/>
      <c r="H367" s="1184"/>
      <c r="I367" s="1060"/>
    </row>
    <row r="368" spans="1:9" ht="114.75" customHeight="1" x14ac:dyDescent="0.2">
      <c r="A368" s="1185" t="s">
        <v>143</v>
      </c>
      <c r="B368" s="2302"/>
      <c r="C368" s="2303"/>
      <c r="D368" s="2302" t="s">
        <v>7491</v>
      </c>
      <c r="E368" s="2304"/>
      <c r="F368" s="2304"/>
      <c r="G368" s="2303"/>
      <c r="H368" s="1184"/>
      <c r="I368" s="1060"/>
    </row>
    <row r="369" spans="1:9" ht="76.7" customHeight="1" x14ac:dyDescent="0.2">
      <c r="A369" s="1185" t="s">
        <v>143</v>
      </c>
      <c r="B369" s="2302"/>
      <c r="C369" s="2303"/>
      <c r="D369" s="2302" t="s">
        <v>7492</v>
      </c>
      <c r="E369" s="2304"/>
      <c r="F369" s="2304"/>
      <c r="G369" s="2303"/>
      <c r="H369" s="1184"/>
      <c r="I369" s="1060"/>
    </row>
    <row r="370" spans="1:9" ht="89.25" customHeight="1" x14ac:dyDescent="0.2">
      <c r="A370" s="1185" t="s">
        <v>143</v>
      </c>
      <c r="B370" s="2302"/>
      <c r="C370" s="2303"/>
      <c r="D370" s="2302" t="s">
        <v>7893</v>
      </c>
      <c r="E370" s="2304"/>
      <c r="F370" s="2304"/>
      <c r="G370" s="2303"/>
      <c r="H370" s="1184"/>
      <c r="I370" s="1060"/>
    </row>
    <row r="371" spans="1:9" ht="79.5" customHeight="1" x14ac:dyDescent="0.2">
      <c r="A371" s="1185" t="s">
        <v>143</v>
      </c>
      <c r="B371" s="2305"/>
      <c r="C371" s="2306"/>
      <c r="D371" s="2305" t="s">
        <v>7894</v>
      </c>
      <c r="E371" s="2307"/>
      <c r="F371" s="2307"/>
      <c r="G371" s="2306"/>
      <c r="H371" s="1057"/>
      <c r="I371" s="1058"/>
    </row>
    <row r="372" spans="1:9" ht="25.5" customHeight="1" x14ac:dyDescent="0.2">
      <c r="A372" s="1185" t="s">
        <v>143</v>
      </c>
      <c r="B372" s="2302"/>
      <c r="C372" s="2303"/>
      <c r="D372" s="2302" t="s">
        <v>7895</v>
      </c>
      <c r="E372" s="2304"/>
      <c r="F372" s="2304"/>
      <c r="G372" s="2303"/>
      <c r="H372" s="1184"/>
      <c r="I372" s="1060"/>
    </row>
    <row r="373" spans="1:9" ht="12.75" customHeight="1" x14ac:dyDescent="0.2">
      <c r="A373" s="1185" t="s">
        <v>143</v>
      </c>
      <c r="B373" s="2302"/>
      <c r="C373" s="2303"/>
      <c r="D373" s="2302" t="s">
        <v>7896</v>
      </c>
      <c r="E373" s="2304"/>
      <c r="F373" s="2304"/>
      <c r="G373" s="2303"/>
      <c r="H373" s="1184"/>
      <c r="I373" s="1060"/>
    </row>
    <row r="374" spans="1:9" ht="25.5" customHeight="1" x14ac:dyDescent="0.2">
      <c r="A374" s="1185" t="s">
        <v>143</v>
      </c>
      <c r="B374" s="2302"/>
      <c r="C374" s="2303"/>
      <c r="D374" s="2302" t="s">
        <v>7897</v>
      </c>
      <c r="E374" s="2304"/>
      <c r="F374" s="2304"/>
      <c r="G374" s="2303"/>
      <c r="H374" s="1184"/>
      <c r="I374" s="1060"/>
    </row>
    <row r="375" spans="1:9" ht="12.75" customHeight="1" x14ac:dyDescent="0.2">
      <c r="A375" s="1185" t="s">
        <v>143</v>
      </c>
      <c r="B375" s="2302"/>
      <c r="C375" s="2303"/>
      <c r="D375" s="2302" t="s">
        <v>7878</v>
      </c>
      <c r="E375" s="2304"/>
      <c r="F375" s="2304"/>
      <c r="G375" s="2303"/>
      <c r="H375" s="1184"/>
      <c r="I375" s="1060"/>
    </row>
    <row r="376" spans="1:9" ht="25.5" customHeight="1" x14ac:dyDescent="0.2">
      <c r="A376" s="1185" t="s">
        <v>143</v>
      </c>
      <c r="B376" s="2302"/>
      <c r="C376" s="2303"/>
      <c r="D376" s="2302" t="s">
        <v>7898</v>
      </c>
      <c r="E376" s="2304"/>
      <c r="F376" s="2304"/>
      <c r="G376" s="2303"/>
      <c r="H376" s="1184"/>
      <c r="I376" s="1060"/>
    </row>
    <row r="377" spans="1:9" ht="25.5" customHeight="1" x14ac:dyDescent="0.2">
      <c r="A377" s="1185" t="s">
        <v>143</v>
      </c>
      <c r="B377" s="2302"/>
      <c r="C377" s="2303"/>
      <c r="D377" s="2302" t="s">
        <v>7899</v>
      </c>
      <c r="E377" s="2304"/>
      <c r="F377" s="2304"/>
      <c r="G377" s="2303"/>
      <c r="H377" s="1184"/>
      <c r="I377" s="1060"/>
    </row>
    <row r="378" spans="1:9" ht="25.5" customHeight="1" x14ac:dyDescent="0.2">
      <c r="A378" s="1185" t="s">
        <v>143</v>
      </c>
      <c r="B378" s="2302"/>
      <c r="C378" s="2303"/>
      <c r="D378" s="2302" t="s">
        <v>7900</v>
      </c>
      <c r="E378" s="2304"/>
      <c r="F378" s="2304"/>
      <c r="G378" s="2303"/>
      <c r="H378" s="1184"/>
      <c r="I378" s="1060"/>
    </row>
    <row r="379" spans="1:9" ht="25.5" customHeight="1" x14ac:dyDescent="0.2">
      <c r="A379" s="1185" t="s">
        <v>143</v>
      </c>
      <c r="B379" s="2302"/>
      <c r="C379" s="2303"/>
      <c r="D379" s="2302" t="s">
        <v>7901</v>
      </c>
      <c r="E379" s="2304"/>
      <c r="F379" s="2304"/>
      <c r="G379" s="2303"/>
      <c r="H379" s="1184"/>
      <c r="I379" s="1060"/>
    </row>
    <row r="380" spans="1:9" ht="25.5" customHeight="1" x14ac:dyDescent="0.2">
      <c r="A380" s="1185" t="s">
        <v>143</v>
      </c>
      <c r="B380" s="2302"/>
      <c r="C380" s="2303"/>
      <c r="D380" s="2302" t="s">
        <v>7902</v>
      </c>
      <c r="E380" s="2304"/>
      <c r="F380" s="2304"/>
      <c r="G380" s="2303"/>
      <c r="H380" s="1184"/>
      <c r="I380" s="1060"/>
    </row>
    <row r="381" spans="1:9" ht="25.5" customHeight="1" x14ac:dyDescent="0.2">
      <c r="A381" s="1185" t="s">
        <v>143</v>
      </c>
      <c r="B381" s="2302"/>
      <c r="C381" s="2303"/>
      <c r="D381" s="2302" t="s">
        <v>7903</v>
      </c>
      <c r="E381" s="2304"/>
      <c r="F381" s="2304"/>
      <c r="G381" s="2303"/>
      <c r="H381" s="1184"/>
      <c r="I381" s="1060"/>
    </row>
    <row r="382" spans="1:9" ht="12.75" customHeight="1" x14ac:dyDescent="0.2">
      <c r="A382" s="1183" t="s">
        <v>143</v>
      </c>
      <c r="B382" s="2320"/>
      <c r="C382" s="2321"/>
      <c r="D382" s="2320" t="s">
        <v>7904</v>
      </c>
      <c r="E382" s="2322"/>
      <c r="F382" s="2322"/>
      <c r="G382" s="2321"/>
      <c r="H382" s="1180"/>
      <c r="I382" s="1063"/>
    </row>
    <row r="383" spans="1:9" ht="145.35" customHeight="1" x14ac:dyDescent="0.2">
      <c r="A383" s="2326" t="s">
        <v>1079</v>
      </c>
      <c r="B383" s="2311" t="s">
        <v>7511</v>
      </c>
      <c r="C383" s="2312"/>
      <c r="D383" s="2313" t="s">
        <v>7512</v>
      </c>
      <c r="E383" s="2314"/>
      <c r="F383" s="2314"/>
      <c r="G383" s="2315"/>
      <c r="H383" s="2328" t="s">
        <v>7891</v>
      </c>
      <c r="I383" s="2330">
        <f>ROUND((147380  + 242530  * (0.4 * 0.25 + 0.6 * 0.25 / 2)) * 1 * 0.4 * 0.2 * 0.7 * 1.156,0)</f>
        <v>12288</v>
      </c>
    </row>
    <row r="384" spans="1:9" ht="12.75" customHeight="1" x14ac:dyDescent="0.2">
      <c r="A384" s="2327"/>
      <c r="B384" s="2305"/>
      <c r="C384" s="2306"/>
      <c r="D384" s="2302"/>
      <c r="E384" s="2304"/>
      <c r="F384" s="2304"/>
      <c r="G384" s="2303"/>
      <c r="H384" s="2329"/>
      <c r="I384" s="2331"/>
    </row>
    <row r="385" spans="1:9" ht="15.75" customHeight="1" x14ac:dyDescent="0.2">
      <c r="A385" s="1185" t="s">
        <v>143</v>
      </c>
      <c r="B385" s="2305"/>
      <c r="C385" s="2306"/>
      <c r="D385" s="2305" t="s">
        <v>572</v>
      </c>
      <c r="E385" s="2307"/>
      <c r="F385" s="2307"/>
      <c r="G385" s="2306"/>
      <c r="H385" s="1057"/>
      <c r="I385" s="1058"/>
    </row>
    <row r="386" spans="1:9" ht="25.5" customHeight="1" x14ac:dyDescent="0.2">
      <c r="A386" s="1185" t="s">
        <v>143</v>
      </c>
      <c r="B386" s="2302"/>
      <c r="C386" s="2303"/>
      <c r="D386" s="2302" t="s">
        <v>7892</v>
      </c>
      <c r="E386" s="2304"/>
      <c r="F386" s="2304"/>
      <c r="G386" s="2303"/>
      <c r="H386" s="1184"/>
      <c r="I386" s="1060"/>
    </row>
    <row r="387" spans="1:9" ht="114.75" customHeight="1" x14ac:dyDescent="0.2">
      <c r="A387" s="1185" t="s">
        <v>143</v>
      </c>
      <c r="B387" s="2302"/>
      <c r="C387" s="2303"/>
      <c r="D387" s="2302" t="s">
        <v>7491</v>
      </c>
      <c r="E387" s="2304"/>
      <c r="F387" s="2304"/>
      <c r="G387" s="2303"/>
      <c r="H387" s="1184"/>
      <c r="I387" s="1060"/>
    </row>
    <row r="388" spans="1:9" ht="76.7" customHeight="1" x14ac:dyDescent="0.2">
      <c r="A388" s="1185" t="s">
        <v>143</v>
      </c>
      <c r="B388" s="2302"/>
      <c r="C388" s="2303"/>
      <c r="D388" s="2302" t="s">
        <v>7492</v>
      </c>
      <c r="E388" s="2304"/>
      <c r="F388" s="2304"/>
      <c r="G388" s="2303"/>
      <c r="H388" s="1184"/>
      <c r="I388" s="1060"/>
    </row>
    <row r="389" spans="1:9" ht="89.25" customHeight="1" x14ac:dyDescent="0.2">
      <c r="A389" s="1185" t="s">
        <v>143</v>
      </c>
      <c r="B389" s="2302"/>
      <c r="C389" s="2303"/>
      <c r="D389" s="2302" t="s">
        <v>7893</v>
      </c>
      <c r="E389" s="2304"/>
      <c r="F389" s="2304"/>
      <c r="G389" s="2303"/>
      <c r="H389" s="1184"/>
      <c r="I389" s="1060"/>
    </row>
    <row r="390" spans="1:9" ht="79.5" customHeight="1" x14ac:dyDescent="0.2">
      <c r="A390" s="1185" t="s">
        <v>143</v>
      </c>
      <c r="B390" s="2305"/>
      <c r="C390" s="2306"/>
      <c r="D390" s="2305" t="s">
        <v>7894</v>
      </c>
      <c r="E390" s="2307"/>
      <c r="F390" s="2307"/>
      <c r="G390" s="2306"/>
      <c r="H390" s="1057"/>
      <c r="I390" s="1058"/>
    </row>
    <row r="391" spans="1:9" ht="25.5" customHeight="1" x14ac:dyDescent="0.2">
      <c r="A391" s="1185" t="s">
        <v>143</v>
      </c>
      <c r="B391" s="2302"/>
      <c r="C391" s="2303"/>
      <c r="D391" s="2302" t="s">
        <v>7895</v>
      </c>
      <c r="E391" s="2304"/>
      <c r="F391" s="2304"/>
      <c r="G391" s="2303"/>
      <c r="H391" s="1184"/>
      <c r="I391" s="1060"/>
    </row>
    <row r="392" spans="1:9" ht="12.75" customHeight="1" x14ac:dyDescent="0.2">
      <c r="A392" s="1185" t="s">
        <v>143</v>
      </c>
      <c r="B392" s="2302"/>
      <c r="C392" s="2303"/>
      <c r="D392" s="2302" t="s">
        <v>7896</v>
      </c>
      <c r="E392" s="2304"/>
      <c r="F392" s="2304"/>
      <c r="G392" s="2303"/>
      <c r="H392" s="1184"/>
      <c r="I392" s="1060"/>
    </row>
    <row r="393" spans="1:9" ht="25.5" customHeight="1" x14ac:dyDescent="0.2">
      <c r="A393" s="1185" t="s">
        <v>143</v>
      </c>
      <c r="B393" s="2302"/>
      <c r="C393" s="2303"/>
      <c r="D393" s="2302" t="s">
        <v>7897</v>
      </c>
      <c r="E393" s="2304"/>
      <c r="F393" s="2304"/>
      <c r="G393" s="2303"/>
      <c r="H393" s="1184"/>
      <c r="I393" s="1060"/>
    </row>
    <row r="394" spans="1:9" ht="12.75" customHeight="1" x14ac:dyDescent="0.2">
      <c r="A394" s="1185" t="s">
        <v>143</v>
      </c>
      <c r="B394" s="2302"/>
      <c r="C394" s="2303"/>
      <c r="D394" s="2302" t="s">
        <v>7878</v>
      </c>
      <c r="E394" s="2304"/>
      <c r="F394" s="2304"/>
      <c r="G394" s="2303"/>
      <c r="H394" s="1184"/>
      <c r="I394" s="1060"/>
    </row>
    <row r="395" spans="1:9" ht="25.5" customHeight="1" x14ac:dyDescent="0.2">
      <c r="A395" s="1185" t="s">
        <v>143</v>
      </c>
      <c r="B395" s="2302"/>
      <c r="C395" s="2303"/>
      <c r="D395" s="2302" t="s">
        <v>7898</v>
      </c>
      <c r="E395" s="2304"/>
      <c r="F395" s="2304"/>
      <c r="G395" s="2303"/>
      <c r="H395" s="1184"/>
      <c r="I395" s="1060"/>
    </row>
    <row r="396" spans="1:9" ht="25.5" customHeight="1" x14ac:dyDescent="0.2">
      <c r="A396" s="1185" t="s">
        <v>143</v>
      </c>
      <c r="B396" s="2302"/>
      <c r="C396" s="2303"/>
      <c r="D396" s="2302" t="s">
        <v>7899</v>
      </c>
      <c r="E396" s="2304"/>
      <c r="F396" s="2304"/>
      <c r="G396" s="2303"/>
      <c r="H396" s="1184"/>
      <c r="I396" s="1060"/>
    </row>
    <row r="397" spans="1:9" ht="25.5" customHeight="1" x14ac:dyDescent="0.2">
      <c r="A397" s="1185" t="s">
        <v>143</v>
      </c>
      <c r="B397" s="2302"/>
      <c r="C397" s="2303"/>
      <c r="D397" s="2302" t="s">
        <v>7900</v>
      </c>
      <c r="E397" s="2304"/>
      <c r="F397" s="2304"/>
      <c r="G397" s="2303"/>
      <c r="H397" s="1184"/>
      <c r="I397" s="1060"/>
    </row>
    <row r="398" spans="1:9" ht="25.5" customHeight="1" x14ac:dyDescent="0.2">
      <c r="A398" s="1185" t="s">
        <v>143</v>
      </c>
      <c r="B398" s="2302"/>
      <c r="C398" s="2303"/>
      <c r="D398" s="2302" t="s">
        <v>7901</v>
      </c>
      <c r="E398" s="2304"/>
      <c r="F398" s="2304"/>
      <c r="G398" s="2303"/>
      <c r="H398" s="1184"/>
      <c r="I398" s="1060"/>
    </row>
    <row r="399" spans="1:9" ht="25.5" customHeight="1" x14ac:dyDescent="0.2">
      <c r="A399" s="1185" t="s">
        <v>143</v>
      </c>
      <c r="B399" s="2302"/>
      <c r="C399" s="2303"/>
      <c r="D399" s="2302" t="s">
        <v>7902</v>
      </c>
      <c r="E399" s="2304"/>
      <c r="F399" s="2304"/>
      <c r="G399" s="2303"/>
      <c r="H399" s="1184"/>
      <c r="I399" s="1060"/>
    </row>
    <row r="400" spans="1:9" ht="25.5" customHeight="1" x14ac:dyDescent="0.2">
      <c r="A400" s="1185" t="s">
        <v>143</v>
      </c>
      <c r="B400" s="2302"/>
      <c r="C400" s="2303"/>
      <c r="D400" s="2302" t="s">
        <v>7903</v>
      </c>
      <c r="E400" s="2304"/>
      <c r="F400" s="2304"/>
      <c r="G400" s="2303"/>
      <c r="H400" s="1184"/>
      <c r="I400" s="1060"/>
    </row>
    <row r="401" spans="1:9" ht="12.75" customHeight="1" x14ac:dyDescent="0.2">
      <c r="A401" s="1183" t="s">
        <v>143</v>
      </c>
      <c r="B401" s="2320"/>
      <c r="C401" s="2321"/>
      <c r="D401" s="2320" t="s">
        <v>7904</v>
      </c>
      <c r="E401" s="2322"/>
      <c r="F401" s="2322"/>
      <c r="G401" s="2321"/>
      <c r="H401" s="1180"/>
      <c r="I401" s="1063"/>
    </row>
    <row r="402" spans="1:9" ht="145.35" customHeight="1" x14ac:dyDescent="0.2">
      <c r="A402" s="1182" t="s">
        <v>759</v>
      </c>
      <c r="B402" s="2311" t="s">
        <v>7513</v>
      </c>
      <c r="C402" s="2312"/>
      <c r="D402" s="2313" t="s">
        <v>7514</v>
      </c>
      <c r="E402" s="2314"/>
      <c r="F402" s="2314"/>
      <c r="G402" s="2315"/>
      <c r="H402" s="1179" t="s">
        <v>10034</v>
      </c>
      <c r="I402" s="1181">
        <f>ROUND((33000  + 128  * 100) * 1 * 0.5 * 0.7 * 0.7 * 1.154,0)</f>
        <v>12949</v>
      </c>
    </row>
    <row r="403" spans="1:9" ht="15.75" customHeight="1" x14ac:dyDescent="0.2">
      <c r="A403" s="1185" t="s">
        <v>143</v>
      </c>
      <c r="B403" s="2305"/>
      <c r="C403" s="2306"/>
      <c r="D403" s="2305" t="s">
        <v>572</v>
      </c>
      <c r="E403" s="2307"/>
      <c r="F403" s="2307"/>
      <c r="G403" s="2306"/>
      <c r="H403" s="1057"/>
      <c r="I403" s="1058"/>
    </row>
    <row r="404" spans="1:9" ht="25.5" customHeight="1" x14ac:dyDescent="0.2">
      <c r="A404" s="1185" t="s">
        <v>143</v>
      </c>
      <c r="B404" s="2302"/>
      <c r="C404" s="2303"/>
      <c r="D404" s="2302" t="s">
        <v>7868</v>
      </c>
      <c r="E404" s="2304"/>
      <c r="F404" s="2304"/>
      <c r="G404" s="2303"/>
      <c r="H404" s="1184"/>
      <c r="I404" s="1060"/>
    </row>
    <row r="405" spans="1:9" ht="25.5" customHeight="1" x14ac:dyDescent="0.2">
      <c r="A405" s="1185" t="s">
        <v>143</v>
      </c>
      <c r="B405" s="2302"/>
      <c r="C405" s="2303"/>
      <c r="D405" s="2302" t="s">
        <v>7516</v>
      </c>
      <c r="E405" s="2304"/>
      <c r="F405" s="2304"/>
      <c r="G405" s="2303"/>
      <c r="H405" s="1184"/>
      <c r="I405" s="1060"/>
    </row>
    <row r="406" spans="1:9" ht="51" customHeight="1" x14ac:dyDescent="0.2">
      <c r="A406" s="1185" t="s">
        <v>143</v>
      </c>
      <c r="B406" s="2302"/>
      <c r="C406" s="2303"/>
      <c r="D406" s="2302" t="s">
        <v>7517</v>
      </c>
      <c r="E406" s="2304"/>
      <c r="F406" s="2304"/>
      <c r="G406" s="2303"/>
      <c r="H406" s="1184"/>
      <c r="I406" s="1060"/>
    </row>
    <row r="407" spans="1:9" ht="89.25" customHeight="1" x14ac:dyDescent="0.2">
      <c r="A407" s="1185" t="s">
        <v>143</v>
      </c>
      <c r="B407" s="2302"/>
      <c r="C407" s="2303"/>
      <c r="D407" s="2302" t="s">
        <v>10035</v>
      </c>
      <c r="E407" s="2304"/>
      <c r="F407" s="2304"/>
      <c r="G407" s="2303"/>
      <c r="H407" s="1184"/>
      <c r="I407" s="1060"/>
    </row>
    <row r="408" spans="1:9" ht="79.5" customHeight="1" x14ac:dyDescent="0.2">
      <c r="A408" s="1185" t="s">
        <v>143</v>
      </c>
      <c r="B408" s="2305"/>
      <c r="C408" s="2306"/>
      <c r="D408" s="2305" t="s">
        <v>7870</v>
      </c>
      <c r="E408" s="2307"/>
      <c r="F408" s="2307"/>
      <c r="G408" s="2306"/>
      <c r="H408" s="1057"/>
      <c r="I408" s="1058"/>
    </row>
    <row r="409" spans="1:9" ht="25.5" customHeight="1" x14ac:dyDescent="0.2">
      <c r="A409" s="1185" t="s">
        <v>143</v>
      </c>
      <c r="B409" s="2302"/>
      <c r="C409" s="2303"/>
      <c r="D409" s="2302" t="s">
        <v>7871</v>
      </c>
      <c r="E409" s="2304"/>
      <c r="F409" s="2304"/>
      <c r="G409" s="2303"/>
      <c r="H409" s="1184"/>
      <c r="I409" s="1060"/>
    </row>
    <row r="410" spans="1:9" ht="25.5" customHeight="1" x14ac:dyDescent="0.2">
      <c r="A410" s="1185" t="s">
        <v>143</v>
      </c>
      <c r="B410" s="2302"/>
      <c r="C410" s="2303"/>
      <c r="D410" s="2323" t="s">
        <v>10036</v>
      </c>
      <c r="E410" s="2324"/>
      <c r="F410" s="2324"/>
      <c r="G410" s="2325"/>
      <c r="H410" s="1184"/>
      <c r="I410" s="1060"/>
    </row>
    <row r="411" spans="1:9" ht="25.5" customHeight="1" x14ac:dyDescent="0.2">
      <c r="A411" s="1185" t="s">
        <v>143</v>
      </c>
      <c r="B411" s="2302"/>
      <c r="C411" s="2303"/>
      <c r="D411" s="2323" t="s">
        <v>10037</v>
      </c>
      <c r="E411" s="2324"/>
      <c r="F411" s="2324"/>
      <c r="G411" s="2325"/>
      <c r="H411" s="1184"/>
      <c r="I411" s="1060"/>
    </row>
    <row r="412" spans="1:9" ht="25.5" customHeight="1" x14ac:dyDescent="0.2">
      <c r="A412" s="1185" t="s">
        <v>143</v>
      </c>
      <c r="B412" s="2302"/>
      <c r="C412" s="2303"/>
      <c r="D412" s="2323" t="s">
        <v>10038</v>
      </c>
      <c r="E412" s="2324"/>
      <c r="F412" s="2324"/>
      <c r="G412" s="2325"/>
      <c r="H412" s="1184"/>
      <c r="I412" s="1060"/>
    </row>
    <row r="413" spans="1:9" ht="25.5" customHeight="1" x14ac:dyDescent="0.2">
      <c r="A413" s="1185" t="s">
        <v>143</v>
      </c>
      <c r="B413" s="2302"/>
      <c r="C413" s="2303"/>
      <c r="D413" s="2323" t="s">
        <v>10039</v>
      </c>
      <c r="E413" s="2324"/>
      <c r="F413" s="2324"/>
      <c r="G413" s="2325"/>
      <c r="H413" s="1184"/>
      <c r="I413" s="1060"/>
    </row>
    <row r="414" spans="1:9" ht="25.5" customHeight="1" x14ac:dyDescent="0.2">
      <c r="A414" s="1185" t="s">
        <v>143</v>
      </c>
      <c r="B414" s="2302"/>
      <c r="C414" s="2303"/>
      <c r="D414" s="2302" t="s">
        <v>10040</v>
      </c>
      <c r="E414" s="2304"/>
      <c r="F414" s="2304"/>
      <c r="G414" s="2303"/>
      <c r="H414" s="1184"/>
      <c r="I414" s="1060"/>
    </row>
    <row r="415" spans="1:9" ht="25.5" customHeight="1" x14ac:dyDescent="0.2">
      <c r="A415" s="1185" t="s">
        <v>143</v>
      </c>
      <c r="B415" s="2302"/>
      <c r="C415" s="2303"/>
      <c r="D415" s="2323" t="s">
        <v>10041</v>
      </c>
      <c r="E415" s="2324"/>
      <c r="F415" s="2324"/>
      <c r="G415" s="2325"/>
      <c r="H415" s="1184"/>
      <c r="I415" s="1060"/>
    </row>
    <row r="416" spans="1:9" ht="25.5" customHeight="1" x14ac:dyDescent="0.2">
      <c r="A416" s="1185" t="s">
        <v>143</v>
      </c>
      <c r="B416" s="2302"/>
      <c r="C416" s="2303"/>
      <c r="D416" s="2323" t="s">
        <v>10042</v>
      </c>
      <c r="E416" s="2324"/>
      <c r="F416" s="2324"/>
      <c r="G416" s="2325"/>
      <c r="H416" s="1184"/>
      <c r="I416" s="1060"/>
    </row>
    <row r="417" spans="1:9" ht="25.5" customHeight="1" x14ac:dyDescent="0.2">
      <c r="A417" s="1185" t="s">
        <v>143</v>
      </c>
      <c r="B417" s="2302"/>
      <c r="C417" s="2303"/>
      <c r="D417" s="2302" t="s">
        <v>10043</v>
      </c>
      <c r="E417" s="2304"/>
      <c r="F417" s="2304"/>
      <c r="G417" s="2303"/>
      <c r="H417" s="1184"/>
      <c r="I417" s="1060"/>
    </row>
    <row r="418" spans="1:9" ht="25.5" customHeight="1" x14ac:dyDescent="0.2">
      <c r="A418" s="1185" t="s">
        <v>143</v>
      </c>
      <c r="B418" s="2302"/>
      <c r="C418" s="2303"/>
      <c r="D418" s="2302" t="s">
        <v>10044</v>
      </c>
      <c r="E418" s="2304"/>
      <c r="F418" s="2304"/>
      <c r="G418" s="2303"/>
      <c r="H418" s="1184"/>
      <c r="I418" s="1060"/>
    </row>
    <row r="419" spans="1:9" ht="12.75" customHeight="1" x14ac:dyDescent="0.2">
      <c r="A419" s="1183" t="s">
        <v>143</v>
      </c>
      <c r="B419" s="2320"/>
      <c r="C419" s="2321"/>
      <c r="D419" s="2320" t="s">
        <v>10045</v>
      </c>
      <c r="E419" s="2322"/>
      <c r="F419" s="2322"/>
      <c r="G419" s="2321"/>
      <c r="H419" s="1180"/>
      <c r="I419" s="1063"/>
    </row>
    <row r="420" spans="1:9" ht="132.6" customHeight="1" x14ac:dyDescent="0.2">
      <c r="A420" s="1182" t="s">
        <v>917</v>
      </c>
      <c r="B420" s="2311" t="s">
        <v>7537</v>
      </c>
      <c r="C420" s="2312"/>
      <c r="D420" s="2313" t="s">
        <v>7538</v>
      </c>
      <c r="E420" s="2314"/>
      <c r="F420" s="2314"/>
      <c r="G420" s="2315"/>
      <c r="H420" s="1179" t="s">
        <v>10046</v>
      </c>
      <c r="I420" s="1181">
        <f>ROUND((424770  + 27280  * 2.592) * 1 * 0.4 * 0.3 * 1.156,0)</f>
        <v>68733</v>
      </c>
    </row>
    <row r="421" spans="1:9" ht="15.75" customHeight="1" x14ac:dyDescent="0.2">
      <c r="A421" s="1185" t="s">
        <v>143</v>
      </c>
      <c r="B421" s="2305"/>
      <c r="C421" s="2306"/>
      <c r="D421" s="2305" t="s">
        <v>572</v>
      </c>
      <c r="E421" s="2307"/>
      <c r="F421" s="2307"/>
      <c r="G421" s="2306"/>
      <c r="H421" s="1057"/>
      <c r="I421" s="1058"/>
    </row>
    <row r="422" spans="1:9" ht="25.5" customHeight="1" x14ac:dyDescent="0.2">
      <c r="A422" s="1185" t="s">
        <v>143</v>
      </c>
      <c r="B422" s="2302"/>
      <c r="C422" s="2303"/>
      <c r="D422" s="2302" t="s">
        <v>7892</v>
      </c>
      <c r="E422" s="2304"/>
      <c r="F422" s="2304"/>
      <c r="G422" s="2303"/>
      <c r="H422" s="1184"/>
      <c r="I422" s="1060"/>
    </row>
    <row r="423" spans="1:9" ht="114.75" customHeight="1" x14ac:dyDescent="0.2">
      <c r="A423" s="1185" t="s">
        <v>143</v>
      </c>
      <c r="B423" s="2302"/>
      <c r="C423" s="2303"/>
      <c r="D423" s="2302" t="s">
        <v>7540</v>
      </c>
      <c r="E423" s="2304"/>
      <c r="F423" s="2304"/>
      <c r="G423" s="2303"/>
      <c r="H423" s="1184"/>
      <c r="I423" s="1060"/>
    </row>
    <row r="424" spans="1:9" ht="89.25" customHeight="1" x14ac:dyDescent="0.2">
      <c r="A424" s="1185" t="s">
        <v>143</v>
      </c>
      <c r="B424" s="2302"/>
      <c r="C424" s="2303"/>
      <c r="D424" s="2302" t="s">
        <v>7905</v>
      </c>
      <c r="E424" s="2304"/>
      <c r="F424" s="2304"/>
      <c r="G424" s="2303"/>
      <c r="H424" s="1184"/>
      <c r="I424" s="1060"/>
    </row>
    <row r="425" spans="1:9" ht="79.5" customHeight="1" x14ac:dyDescent="0.2">
      <c r="A425" s="1185" t="s">
        <v>143</v>
      </c>
      <c r="B425" s="2305"/>
      <c r="C425" s="2306"/>
      <c r="D425" s="2305" t="s">
        <v>7894</v>
      </c>
      <c r="E425" s="2307"/>
      <c r="F425" s="2307"/>
      <c r="G425" s="2306"/>
      <c r="H425" s="1057"/>
      <c r="I425" s="1058"/>
    </row>
    <row r="426" spans="1:9" ht="25.5" customHeight="1" x14ac:dyDescent="0.2">
      <c r="A426" s="1185" t="s">
        <v>143</v>
      </c>
      <c r="B426" s="2302"/>
      <c r="C426" s="2303"/>
      <c r="D426" s="2302" t="s">
        <v>10047</v>
      </c>
      <c r="E426" s="2304"/>
      <c r="F426" s="2304"/>
      <c r="G426" s="2303"/>
      <c r="H426" s="1184"/>
      <c r="I426" s="1060"/>
    </row>
    <row r="427" spans="1:9" ht="12.75" customHeight="1" x14ac:dyDescent="0.2">
      <c r="A427" s="1185" t="s">
        <v>143</v>
      </c>
      <c r="B427" s="2302"/>
      <c r="C427" s="2303"/>
      <c r="D427" s="2302" t="s">
        <v>10048</v>
      </c>
      <c r="E427" s="2304"/>
      <c r="F427" s="2304"/>
      <c r="G427" s="2303"/>
      <c r="H427" s="1184"/>
      <c r="I427" s="1060"/>
    </row>
    <row r="428" spans="1:9" ht="25.5" customHeight="1" x14ac:dyDescent="0.2">
      <c r="A428" s="1185" t="s">
        <v>143</v>
      </c>
      <c r="B428" s="2302"/>
      <c r="C428" s="2303"/>
      <c r="D428" s="2302" t="s">
        <v>10049</v>
      </c>
      <c r="E428" s="2304"/>
      <c r="F428" s="2304"/>
      <c r="G428" s="2303"/>
      <c r="H428" s="1184"/>
      <c r="I428" s="1060"/>
    </row>
    <row r="429" spans="1:9" ht="12.75" customHeight="1" x14ac:dyDescent="0.2">
      <c r="A429" s="1185" t="s">
        <v>143</v>
      </c>
      <c r="B429" s="2302"/>
      <c r="C429" s="2303"/>
      <c r="D429" s="2302" t="s">
        <v>7878</v>
      </c>
      <c r="E429" s="2304"/>
      <c r="F429" s="2304"/>
      <c r="G429" s="2303"/>
      <c r="H429" s="1184"/>
      <c r="I429" s="1060"/>
    </row>
    <row r="430" spans="1:9" ht="25.5" customHeight="1" x14ac:dyDescent="0.2">
      <c r="A430" s="1185" t="s">
        <v>143</v>
      </c>
      <c r="B430" s="2302"/>
      <c r="C430" s="2303"/>
      <c r="D430" s="2302" t="s">
        <v>10050</v>
      </c>
      <c r="E430" s="2304"/>
      <c r="F430" s="2304"/>
      <c r="G430" s="2303"/>
      <c r="H430" s="1184"/>
      <c r="I430" s="1060"/>
    </row>
    <row r="431" spans="1:9" ht="25.5" customHeight="1" x14ac:dyDescent="0.2">
      <c r="A431" s="1185" t="s">
        <v>143</v>
      </c>
      <c r="B431" s="2302"/>
      <c r="C431" s="2303"/>
      <c r="D431" s="2302" t="s">
        <v>10051</v>
      </c>
      <c r="E431" s="2304"/>
      <c r="F431" s="2304"/>
      <c r="G431" s="2303"/>
      <c r="H431" s="1184"/>
      <c r="I431" s="1060"/>
    </row>
    <row r="432" spans="1:9" ht="25.5" customHeight="1" x14ac:dyDescent="0.2">
      <c r="A432" s="1185" t="s">
        <v>143</v>
      </c>
      <c r="B432" s="2302"/>
      <c r="C432" s="2303"/>
      <c r="D432" s="2302" t="s">
        <v>10052</v>
      </c>
      <c r="E432" s="2304"/>
      <c r="F432" s="2304"/>
      <c r="G432" s="2303"/>
      <c r="H432" s="1184"/>
      <c r="I432" s="1060"/>
    </row>
    <row r="433" spans="1:9" ht="25.5" customHeight="1" x14ac:dyDescent="0.2">
      <c r="A433" s="1185" t="s">
        <v>143</v>
      </c>
      <c r="B433" s="2302"/>
      <c r="C433" s="2303"/>
      <c r="D433" s="2302" t="s">
        <v>10053</v>
      </c>
      <c r="E433" s="2304"/>
      <c r="F433" s="2304"/>
      <c r="G433" s="2303"/>
      <c r="H433" s="1184"/>
      <c r="I433" s="1060"/>
    </row>
    <row r="434" spans="1:9" ht="25.5" customHeight="1" x14ac:dyDescent="0.2">
      <c r="A434" s="1185" t="s">
        <v>143</v>
      </c>
      <c r="B434" s="2302"/>
      <c r="C434" s="2303"/>
      <c r="D434" s="2302" t="s">
        <v>10054</v>
      </c>
      <c r="E434" s="2304"/>
      <c r="F434" s="2304"/>
      <c r="G434" s="2303"/>
      <c r="H434" s="1184"/>
      <c r="I434" s="1060"/>
    </row>
    <row r="435" spans="1:9" ht="25.5" customHeight="1" x14ac:dyDescent="0.2">
      <c r="A435" s="1185" t="s">
        <v>143</v>
      </c>
      <c r="B435" s="2302"/>
      <c r="C435" s="2303"/>
      <c r="D435" s="2302" t="s">
        <v>10055</v>
      </c>
      <c r="E435" s="2304"/>
      <c r="F435" s="2304"/>
      <c r="G435" s="2303"/>
      <c r="H435" s="1184"/>
      <c r="I435" s="1060"/>
    </row>
    <row r="436" spans="1:9" ht="12.75" customHeight="1" x14ac:dyDescent="0.2">
      <c r="A436" s="1183" t="s">
        <v>143</v>
      </c>
      <c r="B436" s="2320"/>
      <c r="C436" s="2321"/>
      <c r="D436" s="2320" t="s">
        <v>10056</v>
      </c>
      <c r="E436" s="2322"/>
      <c r="F436" s="2322"/>
      <c r="G436" s="2321"/>
      <c r="H436" s="1180"/>
      <c r="I436" s="1063"/>
    </row>
    <row r="437" spans="1:9" ht="107.25" customHeight="1" x14ac:dyDescent="0.2">
      <c r="A437" s="1182" t="s">
        <v>761</v>
      </c>
      <c r="B437" s="2311" t="s">
        <v>7558</v>
      </c>
      <c r="C437" s="2312"/>
      <c r="D437" s="2313" t="s">
        <v>7559</v>
      </c>
      <c r="E437" s="2314"/>
      <c r="F437" s="2314"/>
      <c r="G437" s="2315"/>
      <c r="H437" s="1179" t="s">
        <v>10057</v>
      </c>
      <c r="I437" s="1181">
        <f>ROUND((72890  + 28950  * 1.77) * 1 * 0.4 * 1.012,0)</f>
        <v>50248</v>
      </c>
    </row>
    <row r="438" spans="1:9" ht="15.75" customHeight="1" x14ac:dyDescent="0.2">
      <c r="A438" s="1185" t="s">
        <v>143</v>
      </c>
      <c r="B438" s="2305"/>
      <c r="C438" s="2306"/>
      <c r="D438" s="2305" t="s">
        <v>572</v>
      </c>
      <c r="E438" s="2307"/>
      <c r="F438" s="2307"/>
      <c r="G438" s="2306"/>
      <c r="H438" s="1057"/>
      <c r="I438" s="1058"/>
    </row>
    <row r="439" spans="1:9" ht="25.5" customHeight="1" x14ac:dyDescent="0.2">
      <c r="A439" s="1185" t="s">
        <v>143</v>
      </c>
      <c r="B439" s="2302"/>
      <c r="C439" s="2303"/>
      <c r="D439" s="2302" t="s">
        <v>7892</v>
      </c>
      <c r="E439" s="2304"/>
      <c r="F439" s="2304"/>
      <c r="G439" s="2303"/>
      <c r="H439" s="1184"/>
      <c r="I439" s="1060"/>
    </row>
    <row r="440" spans="1:9" ht="89.25" customHeight="1" x14ac:dyDescent="0.2">
      <c r="A440" s="1185" t="s">
        <v>143</v>
      </c>
      <c r="B440" s="2302"/>
      <c r="C440" s="2303"/>
      <c r="D440" s="2302" t="s">
        <v>10058</v>
      </c>
      <c r="E440" s="2304"/>
      <c r="F440" s="2304"/>
      <c r="G440" s="2303"/>
      <c r="H440" s="1184"/>
      <c r="I440" s="1060"/>
    </row>
    <row r="441" spans="1:9" ht="54" customHeight="1" x14ac:dyDescent="0.2">
      <c r="A441" s="1185" t="s">
        <v>143</v>
      </c>
      <c r="B441" s="2305"/>
      <c r="C441" s="2306"/>
      <c r="D441" s="2305" t="s">
        <v>10059</v>
      </c>
      <c r="E441" s="2307"/>
      <c r="F441" s="2307"/>
      <c r="G441" s="2306"/>
      <c r="H441" s="1057"/>
      <c r="I441" s="1058"/>
    </row>
    <row r="442" spans="1:9" ht="25.5" customHeight="1" x14ac:dyDescent="0.2">
      <c r="A442" s="1185" t="s">
        <v>143</v>
      </c>
      <c r="B442" s="2302"/>
      <c r="C442" s="2303"/>
      <c r="D442" s="2302" t="s">
        <v>7906</v>
      </c>
      <c r="E442" s="2304"/>
      <c r="F442" s="2304"/>
      <c r="G442" s="2303"/>
      <c r="H442" s="1184"/>
      <c r="I442" s="1060"/>
    </row>
    <row r="443" spans="1:9" ht="12.75" customHeight="1" x14ac:dyDescent="0.2">
      <c r="A443" s="1185" t="s">
        <v>143</v>
      </c>
      <c r="B443" s="2302"/>
      <c r="C443" s="2303"/>
      <c r="D443" s="2302" t="s">
        <v>7907</v>
      </c>
      <c r="E443" s="2304"/>
      <c r="F443" s="2304"/>
      <c r="G443" s="2303"/>
      <c r="H443" s="1184"/>
      <c r="I443" s="1060"/>
    </row>
    <row r="444" spans="1:9" ht="25.5" customHeight="1" x14ac:dyDescent="0.2">
      <c r="A444" s="1185" t="s">
        <v>143</v>
      </c>
      <c r="B444" s="2302"/>
      <c r="C444" s="2303"/>
      <c r="D444" s="2302" t="s">
        <v>10060</v>
      </c>
      <c r="E444" s="2304"/>
      <c r="F444" s="2304"/>
      <c r="G444" s="2303"/>
      <c r="H444" s="1184"/>
      <c r="I444" s="1060"/>
    </row>
    <row r="445" spans="1:9" ht="12.75" customHeight="1" x14ac:dyDescent="0.2">
      <c r="A445" s="1185" t="s">
        <v>143</v>
      </c>
      <c r="B445" s="2302"/>
      <c r="C445" s="2303"/>
      <c r="D445" s="2302" t="s">
        <v>7878</v>
      </c>
      <c r="E445" s="2304"/>
      <c r="F445" s="2304"/>
      <c r="G445" s="2303"/>
      <c r="H445" s="1184"/>
      <c r="I445" s="1060"/>
    </row>
    <row r="446" spans="1:9" ht="25.5" customHeight="1" x14ac:dyDescent="0.2">
      <c r="A446" s="1185" t="s">
        <v>143</v>
      </c>
      <c r="B446" s="2302"/>
      <c r="C446" s="2303"/>
      <c r="D446" s="2302" t="s">
        <v>10061</v>
      </c>
      <c r="E446" s="2304"/>
      <c r="F446" s="2304"/>
      <c r="G446" s="2303"/>
      <c r="H446" s="1184"/>
      <c r="I446" s="1060"/>
    </row>
    <row r="447" spans="1:9" ht="25.5" customHeight="1" x14ac:dyDescent="0.2">
      <c r="A447" s="1185" t="s">
        <v>143</v>
      </c>
      <c r="B447" s="2302"/>
      <c r="C447" s="2303"/>
      <c r="D447" s="2302" t="s">
        <v>10062</v>
      </c>
      <c r="E447" s="2304"/>
      <c r="F447" s="2304"/>
      <c r="G447" s="2303"/>
      <c r="H447" s="1184"/>
      <c r="I447" s="1060"/>
    </row>
    <row r="448" spans="1:9" ht="25.5" customHeight="1" x14ac:dyDescent="0.2">
      <c r="A448" s="1185" t="s">
        <v>143</v>
      </c>
      <c r="B448" s="2302"/>
      <c r="C448" s="2303"/>
      <c r="D448" s="2302" t="s">
        <v>10063</v>
      </c>
      <c r="E448" s="2304"/>
      <c r="F448" s="2304"/>
      <c r="G448" s="2303"/>
      <c r="H448" s="1184"/>
      <c r="I448" s="1060"/>
    </row>
    <row r="449" spans="1:9" ht="12.75" customHeight="1" x14ac:dyDescent="0.2">
      <c r="A449" s="1183" t="s">
        <v>143</v>
      </c>
      <c r="B449" s="2320"/>
      <c r="C449" s="2321"/>
      <c r="D449" s="2320" t="s">
        <v>7908</v>
      </c>
      <c r="E449" s="2322"/>
      <c r="F449" s="2322"/>
      <c r="G449" s="2321"/>
      <c r="H449" s="1180"/>
      <c r="I449" s="1063"/>
    </row>
    <row r="450" spans="1:9" ht="132.6" customHeight="1" x14ac:dyDescent="0.2">
      <c r="A450" s="1182" t="s">
        <v>762</v>
      </c>
      <c r="B450" s="2311" t="s">
        <v>7580</v>
      </c>
      <c r="C450" s="2312"/>
      <c r="D450" s="2313" t="s">
        <v>7581</v>
      </c>
      <c r="E450" s="2314"/>
      <c r="F450" s="2314"/>
      <c r="G450" s="2315"/>
      <c r="H450" s="1179" t="s">
        <v>10064</v>
      </c>
      <c r="I450" s="1181">
        <f>ROUND((76400  + 310  * 100) * 1 * 0.5 * 1.154,0)</f>
        <v>61970</v>
      </c>
    </row>
    <row r="451" spans="1:9" ht="15.75" customHeight="1" x14ac:dyDescent="0.2">
      <c r="A451" s="1185" t="s">
        <v>143</v>
      </c>
      <c r="B451" s="2305"/>
      <c r="C451" s="2306"/>
      <c r="D451" s="2305" t="s">
        <v>572</v>
      </c>
      <c r="E451" s="2307"/>
      <c r="F451" s="2307"/>
      <c r="G451" s="2306"/>
      <c r="H451" s="1057"/>
      <c r="I451" s="1058"/>
    </row>
    <row r="452" spans="1:9" ht="25.5" customHeight="1" x14ac:dyDescent="0.2">
      <c r="A452" s="1185" t="s">
        <v>143</v>
      </c>
      <c r="B452" s="2302"/>
      <c r="C452" s="2303"/>
      <c r="D452" s="2302" t="s">
        <v>7868</v>
      </c>
      <c r="E452" s="2304"/>
      <c r="F452" s="2304"/>
      <c r="G452" s="2303"/>
      <c r="H452" s="1184"/>
      <c r="I452" s="1060"/>
    </row>
    <row r="453" spans="1:9" ht="89.25" customHeight="1" x14ac:dyDescent="0.2">
      <c r="A453" s="1185" t="s">
        <v>143</v>
      </c>
      <c r="B453" s="2302"/>
      <c r="C453" s="2303"/>
      <c r="D453" s="2302" t="s">
        <v>7869</v>
      </c>
      <c r="E453" s="2304"/>
      <c r="F453" s="2304"/>
      <c r="G453" s="2303"/>
      <c r="H453" s="1184"/>
      <c r="I453" s="1060"/>
    </row>
    <row r="454" spans="1:9" ht="79.5" customHeight="1" x14ac:dyDescent="0.2">
      <c r="A454" s="1185" t="s">
        <v>143</v>
      </c>
      <c r="B454" s="2305"/>
      <c r="C454" s="2306"/>
      <c r="D454" s="2305" t="s">
        <v>7870</v>
      </c>
      <c r="E454" s="2307"/>
      <c r="F454" s="2307"/>
      <c r="G454" s="2306"/>
      <c r="H454" s="1057"/>
      <c r="I454" s="1058"/>
    </row>
    <row r="455" spans="1:9" ht="25.5" customHeight="1" x14ac:dyDescent="0.2">
      <c r="A455" s="1185" t="s">
        <v>143</v>
      </c>
      <c r="B455" s="2302"/>
      <c r="C455" s="2303"/>
      <c r="D455" s="2302" t="s">
        <v>7871</v>
      </c>
      <c r="E455" s="2304"/>
      <c r="F455" s="2304"/>
      <c r="G455" s="2303"/>
      <c r="H455" s="1184"/>
      <c r="I455" s="1060"/>
    </row>
    <row r="456" spans="1:9" ht="25.5" customHeight="1" x14ac:dyDescent="0.2">
      <c r="A456" s="1185" t="s">
        <v>143</v>
      </c>
      <c r="B456" s="2302"/>
      <c r="C456" s="2303"/>
      <c r="D456" s="2323" t="s">
        <v>10065</v>
      </c>
      <c r="E456" s="2324"/>
      <c r="F456" s="2324"/>
      <c r="G456" s="2325"/>
      <c r="H456" s="1184"/>
      <c r="I456" s="1060"/>
    </row>
    <row r="457" spans="1:9" ht="25.5" customHeight="1" x14ac:dyDescent="0.2">
      <c r="A457" s="1185" t="s">
        <v>143</v>
      </c>
      <c r="B457" s="2302"/>
      <c r="C457" s="2303"/>
      <c r="D457" s="2323" t="s">
        <v>10066</v>
      </c>
      <c r="E457" s="2324"/>
      <c r="F457" s="2324"/>
      <c r="G457" s="2325"/>
      <c r="H457" s="1184"/>
      <c r="I457" s="1060"/>
    </row>
    <row r="458" spans="1:9" ht="25.5" customHeight="1" x14ac:dyDescent="0.2">
      <c r="A458" s="1185" t="s">
        <v>143</v>
      </c>
      <c r="B458" s="2302"/>
      <c r="C458" s="2303"/>
      <c r="D458" s="2323" t="s">
        <v>10067</v>
      </c>
      <c r="E458" s="2324"/>
      <c r="F458" s="2324"/>
      <c r="G458" s="2325"/>
      <c r="H458" s="1184"/>
      <c r="I458" s="1060"/>
    </row>
    <row r="459" spans="1:9" ht="25.5" customHeight="1" x14ac:dyDescent="0.2">
      <c r="A459" s="1185" t="s">
        <v>143</v>
      </c>
      <c r="B459" s="2302"/>
      <c r="C459" s="2303"/>
      <c r="D459" s="2323" t="s">
        <v>10068</v>
      </c>
      <c r="E459" s="2324"/>
      <c r="F459" s="2324"/>
      <c r="G459" s="2325"/>
      <c r="H459" s="1184"/>
      <c r="I459" s="1060"/>
    </row>
    <row r="460" spans="1:9" ht="25.5" customHeight="1" x14ac:dyDescent="0.2">
      <c r="A460" s="1185" t="s">
        <v>143</v>
      </c>
      <c r="B460" s="2302"/>
      <c r="C460" s="2303"/>
      <c r="D460" s="2302" t="s">
        <v>10069</v>
      </c>
      <c r="E460" s="2304"/>
      <c r="F460" s="2304"/>
      <c r="G460" s="2303"/>
      <c r="H460" s="1184"/>
      <c r="I460" s="1060"/>
    </row>
    <row r="461" spans="1:9" ht="25.5" customHeight="1" x14ac:dyDescent="0.2">
      <c r="A461" s="1185" t="s">
        <v>143</v>
      </c>
      <c r="B461" s="2302"/>
      <c r="C461" s="2303"/>
      <c r="D461" s="2323" t="s">
        <v>10070</v>
      </c>
      <c r="E461" s="2324"/>
      <c r="F461" s="2324"/>
      <c r="G461" s="2325"/>
      <c r="H461" s="1184"/>
      <c r="I461" s="1060"/>
    </row>
    <row r="462" spans="1:9" ht="25.5" customHeight="1" x14ac:dyDescent="0.2">
      <c r="A462" s="1185" t="s">
        <v>143</v>
      </c>
      <c r="B462" s="2302"/>
      <c r="C462" s="2303"/>
      <c r="D462" s="2323" t="s">
        <v>10071</v>
      </c>
      <c r="E462" s="2324"/>
      <c r="F462" s="2324"/>
      <c r="G462" s="2325"/>
      <c r="H462" s="1184"/>
      <c r="I462" s="1060"/>
    </row>
    <row r="463" spans="1:9" ht="25.5" customHeight="1" x14ac:dyDescent="0.2">
      <c r="A463" s="1185" t="s">
        <v>143</v>
      </c>
      <c r="B463" s="2302"/>
      <c r="C463" s="2303"/>
      <c r="D463" s="2302" t="s">
        <v>10072</v>
      </c>
      <c r="E463" s="2304"/>
      <c r="F463" s="2304"/>
      <c r="G463" s="2303"/>
      <c r="H463" s="1184"/>
      <c r="I463" s="1060"/>
    </row>
    <row r="464" spans="1:9" ht="25.5" customHeight="1" x14ac:dyDescent="0.2">
      <c r="A464" s="1185" t="s">
        <v>143</v>
      </c>
      <c r="B464" s="2302"/>
      <c r="C464" s="2303"/>
      <c r="D464" s="2302" t="s">
        <v>10073</v>
      </c>
      <c r="E464" s="2304"/>
      <c r="F464" s="2304"/>
      <c r="G464" s="2303"/>
      <c r="H464" s="1184"/>
      <c r="I464" s="1060"/>
    </row>
    <row r="465" spans="1:9" ht="12.75" customHeight="1" x14ac:dyDescent="0.2">
      <c r="A465" s="1183" t="s">
        <v>143</v>
      </c>
      <c r="B465" s="2320"/>
      <c r="C465" s="2321"/>
      <c r="D465" s="2320" t="s">
        <v>10074</v>
      </c>
      <c r="E465" s="2322"/>
      <c r="F465" s="2322"/>
      <c r="G465" s="2321"/>
      <c r="H465" s="1180"/>
      <c r="I465" s="1063"/>
    </row>
    <row r="466" spans="1:9" ht="94.5" customHeight="1" x14ac:dyDescent="0.2">
      <c r="A466" s="1182" t="s">
        <v>763</v>
      </c>
      <c r="B466" s="2311" t="s">
        <v>7582</v>
      </c>
      <c r="C466" s="2312"/>
      <c r="D466" s="2313" t="s">
        <v>7583</v>
      </c>
      <c r="E466" s="2314"/>
      <c r="F466" s="2314"/>
      <c r="G466" s="2315"/>
      <c r="H466" s="1179" t="s">
        <v>7909</v>
      </c>
      <c r="I466" s="1181">
        <f>ROUND((4600  + 166  * (0.4 * 1000 + 0.6 * 540)) * 1 * 0.4 * 1.18,0)</f>
        <v>58898</v>
      </c>
    </row>
    <row r="467" spans="1:9" ht="15.75" customHeight="1" x14ac:dyDescent="0.2">
      <c r="A467" s="1185" t="s">
        <v>143</v>
      </c>
      <c r="B467" s="2305"/>
      <c r="C467" s="2306"/>
      <c r="D467" s="2305" t="s">
        <v>572</v>
      </c>
      <c r="E467" s="2307"/>
      <c r="F467" s="2307"/>
      <c r="G467" s="2306"/>
      <c r="H467" s="1057"/>
      <c r="I467" s="1058"/>
    </row>
    <row r="468" spans="1:9" ht="25.5" customHeight="1" x14ac:dyDescent="0.2">
      <c r="A468" s="1185" t="s">
        <v>143</v>
      </c>
      <c r="B468" s="2302"/>
      <c r="C468" s="2303"/>
      <c r="D468" s="2302" t="s">
        <v>7892</v>
      </c>
      <c r="E468" s="2304"/>
      <c r="F468" s="2304"/>
      <c r="G468" s="2303"/>
      <c r="H468" s="1184"/>
      <c r="I468" s="1060"/>
    </row>
    <row r="469" spans="1:9" ht="89.25" customHeight="1" x14ac:dyDescent="0.2">
      <c r="A469" s="1185" t="s">
        <v>143</v>
      </c>
      <c r="B469" s="2302"/>
      <c r="C469" s="2303"/>
      <c r="D469" s="2302" t="s">
        <v>7910</v>
      </c>
      <c r="E469" s="2304"/>
      <c r="F469" s="2304"/>
      <c r="G469" s="2303"/>
      <c r="H469" s="1184"/>
      <c r="I469" s="1060"/>
    </row>
    <row r="470" spans="1:9" ht="41.25" customHeight="1" x14ac:dyDescent="0.2">
      <c r="A470" s="1185" t="s">
        <v>143</v>
      </c>
      <c r="B470" s="2305"/>
      <c r="C470" s="2306"/>
      <c r="D470" s="2305" t="s">
        <v>7911</v>
      </c>
      <c r="E470" s="2307"/>
      <c r="F470" s="2307"/>
      <c r="G470" s="2306"/>
      <c r="H470" s="1057"/>
      <c r="I470" s="1058"/>
    </row>
    <row r="471" spans="1:9" ht="25.5" customHeight="1" x14ac:dyDescent="0.2">
      <c r="A471" s="1185" t="s">
        <v>143</v>
      </c>
      <c r="B471" s="2302"/>
      <c r="C471" s="2303"/>
      <c r="D471" s="2302" t="s">
        <v>7871</v>
      </c>
      <c r="E471" s="2304"/>
      <c r="F471" s="2304"/>
      <c r="G471" s="2303"/>
      <c r="H471" s="1184"/>
      <c r="I471" s="1060"/>
    </row>
    <row r="472" spans="1:9" ht="25.5" customHeight="1" x14ac:dyDescent="0.2">
      <c r="A472" s="1185" t="s">
        <v>143</v>
      </c>
      <c r="B472" s="2302"/>
      <c r="C472" s="2303"/>
      <c r="D472" s="2302" t="s">
        <v>7912</v>
      </c>
      <c r="E472" s="2304"/>
      <c r="F472" s="2304"/>
      <c r="G472" s="2303"/>
      <c r="H472" s="1184"/>
      <c r="I472" s="1060"/>
    </row>
    <row r="473" spans="1:9" ht="25.5" customHeight="1" x14ac:dyDescent="0.2">
      <c r="A473" s="1185" t="s">
        <v>143</v>
      </c>
      <c r="B473" s="2302"/>
      <c r="C473" s="2303"/>
      <c r="D473" s="2302" t="s">
        <v>7913</v>
      </c>
      <c r="E473" s="2304"/>
      <c r="F473" s="2304"/>
      <c r="G473" s="2303"/>
      <c r="H473" s="1184"/>
      <c r="I473" s="1060"/>
    </row>
    <row r="474" spans="1:9" ht="12.75" customHeight="1" x14ac:dyDescent="0.2">
      <c r="A474" s="1183" t="s">
        <v>143</v>
      </c>
      <c r="B474" s="2320"/>
      <c r="C474" s="2321"/>
      <c r="D474" s="2320" t="s">
        <v>7914</v>
      </c>
      <c r="E474" s="2322"/>
      <c r="F474" s="2322"/>
      <c r="G474" s="2321"/>
      <c r="H474" s="1180"/>
      <c r="I474" s="1063"/>
    </row>
    <row r="475" spans="1:9" ht="132.6" customHeight="1" x14ac:dyDescent="0.2">
      <c r="A475" s="1182" t="s">
        <v>922</v>
      </c>
      <c r="B475" s="2311" t="s">
        <v>7584</v>
      </c>
      <c r="C475" s="2312"/>
      <c r="D475" s="2313" t="s">
        <v>7585</v>
      </c>
      <c r="E475" s="2314"/>
      <c r="F475" s="2314"/>
      <c r="G475" s="2315"/>
      <c r="H475" s="1179" t="s">
        <v>10075</v>
      </c>
      <c r="I475" s="1181">
        <f>ROUND((55500  + 83  * (0.4 * 500 + 0.6 * 1833)) * 1 * 0.5 * 0.89,0)</f>
        <v>72706</v>
      </c>
    </row>
    <row r="476" spans="1:9" ht="15.75" customHeight="1" x14ac:dyDescent="0.2">
      <c r="A476" s="1185" t="s">
        <v>143</v>
      </c>
      <c r="B476" s="2305"/>
      <c r="C476" s="2306"/>
      <c r="D476" s="2305" t="s">
        <v>572</v>
      </c>
      <c r="E476" s="2307"/>
      <c r="F476" s="2307"/>
      <c r="G476" s="2306"/>
      <c r="H476" s="1057"/>
      <c r="I476" s="1058"/>
    </row>
    <row r="477" spans="1:9" ht="25.5" customHeight="1" x14ac:dyDescent="0.2">
      <c r="A477" s="1185" t="s">
        <v>143</v>
      </c>
      <c r="B477" s="2302"/>
      <c r="C477" s="2303"/>
      <c r="D477" s="2302" t="s">
        <v>7868</v>
      </c>
      <c r="E477" s="2304"/>
      <c r="F477" s="2304"/>
      <c r="G477" s="2303"/>
      <c r="H477" s="1184"/>
      <c r="I477" s="1060"/>
    </row>
    <row r="478" spans="1:9" ht="89.25" customHeight="1" x14ac:dyDescent="0.2">
      <c r="A478" s="1185" t="s">
        <v>143</v>
      </c>
      <c r="B478" s="2302"/>
      <c r="C478" s="2303"/>
      <c r="D478" s="2302" t="s">
        <v>9955</v>
      </c>
      <c r="E478" s="2304"/>
      <c r="F478" s="2304"/>
      <c r="G478" s="2303"/>
      <c r="H478" s="1184"/>
      <c r="I478" s="1060"/>
    </row>
    <row r="479" spans="1:9" ht="54" customHeight="1" x14ac:dyDescent="0.2">
      <c r="A479" s="1185" t="s">
        <v>143</v>
      </c>
      <c r="B479" s="2305"/>
      <c r="C479" s="2306"/>
      <c r="D479" s="2305" t="s">
        <v>9964</v>
      </c>
      <c r="E479" s="2307"/>
      <c r="F479" s="2307"/>
      <c r="G479" s="2306"/>
      <c r="H479" s="1057"/>
      <c r="I479" s="1058"/>
    </row>
    <row r="480" spans="1:9" ht="25.5" customHeight="1" x14ac:dyDescent="0.2">
      <c r="A480" s="1185" t="s">
        <v>143</v>
      </c>
      <c r="B480" s="2302"/>
      <c r="C480" s="2303"/>
      <c r="D480" s="2302" t="s">
        <v>7871</v>
      </c>
      <c r="E480" s="2304"/>
      <c r="F480" s="2304"/>
      <c r="G480" s="2303"/>
      <c r="H480" s="1184"/>
      <c r="I480" s="1060"/>
    </row>
    <row r="481" spans="1:9" ht="25.5" customHeight="1" x14ac:dyDescent="0.2">
      <c r="A481" s="1185" t="s">
        <v>143</v>
      </c>
      <c r="B481" s="2302"/>
      <c r="C481" s="2303"/>
      <c r="D481" s="2323" t="s">
        <v>10076</v>
      </c>
      <c r="E481" s="2324"/>
      <c r="F481" s="2324"/>
      <c r="G481" s="2325"/>
      <c r="H481" s="1184"/>
      <c r="I481" s="1060"/>
    </row>
    <row r="482" spans="1:9" ht="25.5" customHeight="1" x14ac:dyDescent="0.2">
      <c r="A482" s="1185" t="s">
        <v>143</v>
      </c>
      <c r="B482" s="2302"/>
      <c r="C482" s="2303"/>
      <c r="D482" s="2323" t="s">
        <v>10077</v>
      </c>
      <c r="E482" s="2324"/>
      <c r="F482" s="2324"/>
      <c r="G482" s="2325"/>
      <c r="H482" s="1184"/>
      <c r="I482" s="1060"/>
    </row>
    <row r="483" spans="1:9" ht="25.5" customHeight="1" x14ac:dyDescent="0.2">
      <c r="A483" s="1185" t="s">
        <v>143</v>
      </c>
      <c r="B483" s="2302"/>
      <c r="C483" s="2303"/>
      <c r="D483" s="2323" t="s">
        <v>10078</v>
      </c>
      <c r="E483" s="2324"/>
      <c r="F483" s="2324"/>
      <c r="G483" s="2325"/>
      <c r="H483" s="1184"/>
      <c r="I483" s="1060"/>
    </row>
    <row r="484" spans="1:9" ht="25.5" customHeight="1" x14ac:dyDescent="0.2">
      <c r="A484" s="1185" t="s">
        <v>143</v>
      </c>
      <c r="B484" s="2302"/>
      <c r="C484" s="2303"/>
      <c r="D484" s="2323" t="s">
        <v>10079</v>
      </c>
      <c r="E484" s="2324"/>
      <c r="F484" s="2324"/>
      <c r="G484" s="2325"/>
      <c r="H484" s="1184"/>
      <c r="I484" s="1060"/>
    </row>
    <row r="485" spans="1:9" ht="25.5" customHeight="1" x14ac:dyDescent="0.2">
      <c r="A485" s="1185" t="s">
        <v>143</v>
      </c>
      <c r="B485" s="2302"/>
      <c r="C485" s="2303"/>
      <c r="D485" s="2302" t="s">
        <v>7915</v>
      </c>
      <c r="E485" s="2304"/>
      <c r="F485" s="2304"/>
      <c r="G485" s="2303"/>
      <c r="H485" s="1184"/>
      <c r="I485" s="1060"/>
    </row>
    <row r="486" spans="1:9" ht="25.5" customHeight="1" x14ac:dyDescent="0.2">
      <c r="A486" s="1185" t="s">
        <v>143</v>
      </c>
      <c r="B486" s="2302"/>
      <c r="C486" s="2303"/>
      <c r="D486" s="2302" t="s">
        <v>7916</v>
      </c>
      <c r="E486" s="2304"/>
      <c r="F486" s="2304"/>
      <c r="G486" s="2303"/>
      <c r="H486" s="1184"/>
      <c r="I486" s="1060"/>
    </row>
    <row r="487" spans="1:9" ht="12.75" customHeight="1" x14ac:dyDescent="0.2">
      <c r="A487" s="1183" t="s">
        <v>143</v>
      </c>
      <c r="B487" s="2320"/>
      <c r="C487" s="2321"/>
      <c r="D487" s="2320" t="s">
        <v>7917</v>
      </c>
      <c r="E487" s="2322"/>
      <c r="F487" s="2322"/>
      <c r="G487" s="2321"/>
      <c r="H487" s="1180"/>
      <c r="I487" s="1063"/>
    </row>
    <row r="488" spans="1:9" ht="107.25" customHeight="1" x14ac:dyDescent="0.2">
      <c r="A488" s="1182" t="s">
        <v>765</v>
      </c>
      <c r="B488" s="2311" t="s">
        <v>7588</v>
      </c>
      <c r="C488" s="2312"/>
      <c r="D488" s="2313" t="s">
        <v>7589</v>
      </c>
      <c r="E488" s="2314"/>
      <c r="F488" s="2314"/>
      <c r="G488" s="2315"/>
      <c r="H488" s="1179" t="s">
        <v>7918</v>
      </c>
      <c r="I488" s="1181">
        <f>ROUND((7763  + 42  * 103) * 1 * 0.6 * 1.154,0)</f>
        <v>8370</v>
      </c>
    </row>
    <row r="489" spans="1:9" ht="15.75" customHeight="1" x14ac:dyDescent="0.2">
      <c r="A489" s="1185" t="s">
        <v>143</v>
      </c>
      <c r="B489" s="2305"/>
      <c r="C489" s="2306"/>
      <c r="D489" s="2305" t="s">
        <v>572</v>
      </c>
      <c r="E489" s="2307"/>
      <c r="F489" s="2307"/>
      <c r="G489" s="2306"/>
      <c r="H489" s="1057"/>
      <c r="I489" s="1058"/>
    </row>
    <row r="490" spans="1:9" ht="25.5" customHeight="1" x14ac:dyDescent="0.2">
      <c r="A490" s="1185" t="s">
        <v>143</v>
      </c>
      <c r="B490" s="2302"/>
      <c r="C490" s="2303"/>
      <c r="D490" s="2302" t="s">
        <v>7769</v>
      </c>
      <c r="E490" s="2304"/>
      <c r="F490" s="2304"/>
      <c r="G490" s="2303"/>
      <c r="H490" s="1184"/>
      <c r="I490" s="1060"/>
    </row>
    <row r="491" spans="1:9" ht="89.25" customHeight="1" x14ac:dyDescent="0.2">
      <c r="A491" s="1185" t="s">
        <v>143</v>
      </c>
      <c r="B491" s="2302"/>
      <c r="C491" s="2303"/>
      <c r="D491" s="2302" t="s">
        <v>7869</v>
      </c>
      <c r="E491" s="2304"/>
      <c r="F491" s="2304"/>
      <c r="G491" s="2303"/>
      <c r="H491" s="1184"/>
      <c r="I491" s="1060"/>
    </row>
    <row r="492" spans="1:9" ht="79.5" customHeight="1" x14ac:dyDescent="0.2">
      <c r="A492" s="1185" t="s">
        <v>143</v>
      </c>
      <c r="B492" s="2305"/>
      <c r="C492" s="2306"/>
      <c r="D492" s="2305" t="s">
        <v>7870</v>
      </c>
      <c r="E492" s="2307"/>
      <c r="F492" s="2307"/>
      <c r="G492" s="2306"/>
      <c r="H492" s="1057"/>
      <c r="I492" s="1058"/>
    </row>
    <row r="493" spans="1:9" ht="25.5" customHeight="1" x14ac:dyDescent="0.2">
      <c r="A493" s="1185" t="s">
        <v>143</v>
      </c>
      <c r="B493" s="2302"/>
      <c r="C493" s="2303"/>
      <c r="D493" s="2302" t="s">
        <v>7871</v>
      </c>
      <c r="E493" s="2304"/>
      <c r="F493" s="2304"/>
      <c r="G493" s="2303"/>
      <c r="H493" s="1184"/>
      <c r="I493" s="1060"/>
    </row>
    <row r="494" spans="1:9" ht="25.5" customHeight="1" x14ac:dyDescent="0.2">
      <c r="A494" s="1185" t="s">
        <v>143</v>
      </c>
      <c r="B494" s="2302"/>
      <c r="C494" s="2303"/>
      <c r="D494" s="2323" t="s">
        <v>7919</v>
      </c>
      <c r="E494" s="2324"/>
      <c r="F494" s="2324"/>
      <c r="G494" s="2325"/>
      <c r="H494" s="1184"/>
      <c r="I494" s="1060"/>
    </row>
    <row r="495" spans="1:9" ht="25.5" customHeight="1" x14ac:dyDescent="0.2">
      <c r="A495" s="1185" t="s">
        <v>143</v>
      </c>
      <c r="B495" s="2302"/>
      <c r="C495" s="2303"/>
      <c r="D495" s="2323" t="s">
        <v>7920</v>
      </c>
      <c r="E495" s="2324"/>
      <c r="F495" s="2324"/>
      <c r="G495" s="2325"/>
      <c r="H495" s="1184"/>
      <c r="I495" s="1060"/>
    </row>
    <row r="496" spans="1:9" ht="25.5" customHeight="1" x14ac:dyDescent="0.2">
      <c r="A496" s="1185" t="s">
        <v>143</v>
      </c>
      <c r="B496" s="2302"/>
      <c r="C496" s="2303"/>
      <c r="D496" s="2323" t="s">
        <v>7921</v>
      </c>
      <c r="E496" s="2324"/>
      <c r="F496" s="2324"/>
      <c r="G496" s="2325"/>
      <c r="H496" s="1184"/>
      <c r="I496" s="1060"/>
    </row>
    <row r="497" spans="1:9" ht="25.5" customHeight="1" x14ac:dyDescent="0.2">
      <c r="A497" s="1185" t="s">
        <v>143</v>
      </c>
      <c r="B497" s="2302"/>
      <c r="C497" s="2303"/>
      <c r="D497" s="2323" t="s">
        <v>7922</v>
      </c>
      <c r="E497" s="2324"/>
      <c r="F497" s="2324"/>
      <c r="G497" s="2325"/>
      <c r="H497" s="1184"/>
      <c r="I497" s="1060"/>
    </row>
    <row r="498" spans="1:9" ht="25.5" customHeight="1" x14ac:dyDescent="0.2">
      <c r="A498" s="1185" t="s">
        <v>143</v>
      </c>
      <c r="B498" s="2302"/>
      <c r="C498" s="2303"/>
      <c r="D498" s="2302" t="s">
        <v>7923</v>
      </c>
      <c r="E498" s="2304"/>
      <c r="F498" s="2304"/>
      <c r="G498" s="2303"/>
      <c r="H498" s="1184"/>
      <c r="I498" s="1060"/>
    </row>
    <row r="499" spans="1:9" ht="25.5" customHeight="1" x14ac:dyDescent="0.2">
      <c r="A499" s="1185" t="s">
        <v>143</v>
      </c>
      <c r="B499" s="2302"/>
      <c r="C499" s="2303"/>
      <c r="D499" s="2323" t="s">
        <v>7924</v>
      </c>
      <c r="E499" s="2324"/>
      <c r="F499" s="2324"/>
      <c r="G499" s="2325"/>
      <c r="H499" s="1184"/>
      <c r="I499" s="1060"/>
    </row>
    <row r="500" spans="1:9" ht="25.5" customHeight="1" x14ac:dyDescent="0.2">
      <c r="A500" s="1185" t="s">
        <v>143</v>
      </c>
      <c r="B500" s="2302"/>
      <c r="C500" s="2303"/>
      <c r="D500" s="2323" t="s">
        <v>7925</v>
      </c>
      <c r="E500" s="2324"/>
      <c r="F500" s="2324"/>
      <c r="G500" s="2325"/>
      <c r="H500" s="1184"/>
      <c r="I500" s="1060"/>
    </row>
    <row r="501" spans="1:9" ht="25.5" customHeight="1" x14ac:dyDescent="0.2">
      <c r="A501" s="1185" t="s">
        <v>143</v>
      </c>
      <c r="B501" s="2302"/>
      <c r="C501" s="2303"/>
      <c r="D501" s="2302" t="s">
        <v>7926</v>
      </c>
      <c r="E501" s="2304"/>
      <c r="F501" s="2304"/>
      <c r="G501" s="2303"/>
      <c r="H501" s="1184"/>
      <c r="I501" s="1060"/>
    </row>
    <row r="502" spans="1:9" ht="25.5" customHeight="1" x14ac:dyDescent="0.2">
      <c r="A502" s="1185" t="s">
        <v>143</v>
      </c>
      <c r="B502" s="2302"/>
      <c r="C502" s="2303"/>
      <c r="D502" s="2302" t="s">
        <v>7927</v>
      </c>
      <c r="E502" s="2304"/>
      <c r="F502" s="2304"/>
      <c r="G502" s="2303"/>
      <c r="H502" s="1184"/>
      <c r="I502" s="1060"/>
    </row>
    <row r="503" spans="1:9" ht="12.75" customHeight="1" x14ac:dyDescent="0.2">
      <c r="A503" s="1183" t="s">
        <v>143</v>
      </c>
      <c r="B503" s="2320"/>
      <c r="C503" s="2321"/>
      <c r="D503" s="2320" t="s">
        <v>7928</v>
      </c>
      <c r="E503" s="2322"/>
      <c r="F503" s="2322"/>
      <c r="G503" s="2321"/>
      <c r="H503" s="1180"/>
      <c r="I503" s="1063"/>
    </row>
    <row r="504" spans="1:9" ht="107.25" customHeight="1" x14ac:dyDescent="0.2">
      <c r="A504" s="2326" t="s">
        <v>505</v>
      </c>
      <c r="B504" s="2311" t="s">
        <v>7590</v>
      </c>
      <c r="C504" s="2312"/>
      <c r="D504" s="2313" t="s">
        <v>7591</v>
      </c>
      <c r="E504" s="2314"/>
      <c r="F504" s="2314"/>
      <c r="G504" s="2315"/>
      <c r="H504" s="2328" t="s">
        <v>7929</v>
      </c>
      <c r="I504" s="2330">
        <f>ROUND((47800  + 180  * (0.4 * 100 + 0.6 * 100 / 2)) * 1 * 0.5 * 0.72 * 1.154,0)</f>
        <v>25093</v>
      </c>
    </row>
    <row r="505" spans="1:9" ht="12.75" customHeight="1" x14ac:dyDescent="0.2">
      <c r="A505" s="2327"/>
      <c r="B505" s="2305"/>
      <c r="C505" s="2306"/>
      <c r="D505" s="2302"/>
      <c r="E505" s="2304"/>
      <c r="F505" s="2304"/>
      <c r="G505" s="2303"/>
      <c r="H505" s="2329"/>
      <c r="I505" s="2331"/>
    </row>
    <row r="506" spans="1:9" ht="15.75" customHeight="1" x14ac:dyDescent="0.2">
      <c r="A506" s="1185" t="s">
        <v>143</v>
      </c>
      <c r="B506" s="2305"/>
      <c r="C506" s="2306"/>
      <c r="D506" s="2305" t="s">
        <v>572</v>
      </c>
      <c r="E506" s="2307"/>
      <c r="F506" s="2307"/>
      <c r="G506" s="2306"/>
      <c r="H506" s="1057"/>
      <c r="I506" s="1058"/>
    </row>
    <row r="507" spans="1:9" ht="25.5" customHeight="1" x14ac:dyDescent="0.2">
      <c r="A507" s="1185" t="s">
        <v>143</v>
      </c>
      <c r="B507" s="2302"/>
      <c r="C507" s="2303"/>
      <c r="D507" s="2302" t="s">
        <v>7868</v>
      </c>
      <c r="E507" s="2304"/>
      <c r="F507" s="2304"/>
      <c r="G507" s="2303"/>
      <c r="H507" s="1184"/>
      <c r="I507" s="1060"/>
    </row>
    <row r="508" spans="1:9" ht="76.7" customHeight="1" x14ac:dyDescent="0.2">
      <c r="A508" s="1185" t="s">
        <v>143</v>
      </c>
      <c r="B508" s="2302"/>
      <c r="C508" s="2303"/>
      <c r="D508" s="2302" t="s">
        <v>7593</v>
      </c>
      <c r="E508" s="2304"/>
      <c r="F508" s="2304"/>
      <c r="G508" s="2303"/>
      <c r="H508" s="1184"/>
      <c r="I508" s="1060"/>
    </row>
    <row r="509" spans="1:9" ht="89.25" customHeight="1" x14ac:dyDescent="0.2">
      <c r="A509" s="1185" t="s">
        <v>143</v>
      </c>
      <c r="B509" s="2302"/>
      <c r="C509" s="2303"/>
      <c r="D509" s="2302" t="s">
        <v>7890</v>
      </c>
      <c r="E509" s="2304"/>
      <c r="F509" s="2304"/>
      <c r="G509" s="2303"/>
      <c r="H509" s="1184"/>
      <c r="I509" s="1060"/>
    </row>
    <row r="510" spans="1:9" ht="79.5" customHeight="1" x14ac:dyDescent="0.2">
      <c r="A510" s="1185" t="s">
        <v>143</v>
      </c>
      <c r="B510" s="2305"/>
      <c r="C510" s="2306"/>
      <c r="D510" s="2305" t="s">
        <v>7870</v>
      </c>
      <c r="E510" s="2307"/>
      <c r="F510" s="2307"/>
      <c r="G510" s="2306"/>
      <c r="H510" s="1057"/>
      <c r="I510" s="1058"/>
    </row>
    <row r="511" spans="1:9" ht="25.5" customHeight="1" x14ac:dyDescent="0.2">
      <c r="A511" s="1185" t="s">
        <v>143</v>
      </c>
      <c r="B511" s="2302"/>
      <c r="C511" s="2303"/>
      <c r="D511" s="2302" t="s">
        <v>7871</v>
      </c>
      <c r="E511" s="2304"/>
      <c r="F511" s="2304"/>
      <c r="G511" s="2303"/>
      <c r="H511" s="1184"/>
      <c r="I511" s="1060"/>
    </row>
    <row r="512" spans="1:9" ht="25.5" customHeight="1" x14ac:dyDescent="0.2">
      <c r="A512" s="1185" t="s">
        <v>143</v>
      </c>
      <c r="B512" s="2302"/>
      <c r="C512" s="2303"/>
      <c r="D512" s="2323" t="s">
        <v>7930</v>
      </c>
      <c r="E512" s="2324"/>
      <c r="F512" s="2324"/>
      <c r="G512" s="2325"/>
      <c r="H512" s="1184"/>
      <c r="I512" s="1060"/>
    </row>
    <row r="513" spans="1:9" ht="25.5" customHeight="1" x14ac:dyDescent="0.2">
      <c r="A513" s="1185" t="s">
        <v>143</v>
      </c>
      <c r="B513" s="2302"/>
      <c r="C513" s="2303"/>
      <c r="D513" s="2323" t="s">
        <v>7931</v>
      </c>
      <c r="E513" s="2324"/>
      <c r="F513" s="2324"/>
      <c r="G513" s="2325"/>
      <c r="H513" s="1184"/>
      <c r="I513" s="1060"/>
    </row>
    <row r="514" spans="1:9" ht="25.5" customHeight="1" x14ac:dyDescent="0.2">
      <c r="A514" s="1185" t="s">
        <v>143</v>
      </c>
      <c r="B514" s="2302"/>
      <c r="C514" s="2303"/>
      <c r="D514" s="2323" t="s">
        <v>7932</v>
      </c>
      <c r="E514" s="2324"/>
      <c r="F514" s="2324"/>
      <c r="G514" s="2325"/>
      <c r="H514" s="1184"/>
      <c r="I514" s="1060"/>
    </row>
    <row r="515" spans="1:9" ht="25.5" customHeight="1" x14ac:dyDescent="0.2">
      <c r="A515" s="1185" t="s">
        <v>143</v>
      </c>
      <c r="B515" s="2302"/>
      <c r="C515" s="2303"/>
      <c r="D515" s="2323" t="s">
        <v>7933</v>
      </c>
      <c r="E515" s="2324"/>
      <c r="F515" s="2324"/>
      <c r="G515" s="2325"/>
      <c r="H515" s="1184"/>
      <c r="I515" s="1060"/>
    </row>
    <row r="516" spans="1:9" ht="25.5" customHeight="1" x14ac:dyDescent="0.2">
      <c r="A516" s="1185" t="s">
        <v>143</v>
      </c>
      <c r="B516" s="2302"/>
      <c r="C516" s="2303"/>
      <c r="D516" s="2302" t="s">
        <v>7934</v>
      </c>
      <c r="E516" s="2304"/>
      <c r="F516" s="2304"/>
      <c r="G516" s="2303"/>
      <c r="H516" s="1184"/>
      <c r="I516" s="1060"/>
    </row>
    <row r="517" spans="1:9" ht="25.5" customHeight="1" x14ac:dyDescent="0.2">
      <c r="A517" s="1185" t="s">
        <v>143</v>
      </c>
      <c r="B517" s="2302"/>
      <c r="C517" s="2303"/>
      <c r="D517" s="2323" t="s">
        <v>7935</v>
      </c>
      <c r="E517" s="2324"/>
      <c r="F517" s="2324"/>
      <c r="G517" s="2325"/>
      <c r="H517" s="1184"/>
      <c r="I517" s="1060"/>
    </row>
    <row r="518" spans="1:9" ht="25.5" customHeight="1" x14ac:dyDescent="0.2">
      <c r="A518" s="1185" t="s">
        <v>143</v>
      </c>
      <c r="B518" s="2302"/>
      <c r="C518" s="2303"/>
      <c r="D518" s="2323" t="s">
        <v>7936</v>
      </c>
      <c r="E518" s="2324"/>
      <c r="F518" s="2324"/>
      <c r="G518" s="2325"/>
      <c r="H518" s="1184"/>
      <c r="I518" s="1060"/>
    </row>
    <row r="519" spans="1:9" ht="25.5" customHeight="1" x14ac:dyDescent="0.2">
      <c r="A519" s="1185" t="s">
        <v>143</v>
      </c>
      <c r="B519" s="2302"/>
      <c r="C519" s="2303"/>
      <c r="D519" s="2302" t="s">
        <v>7937</v>
      </c>
      <c r="E519" s="2304"/>
      <c r="F519" s="2304"/>
      <c r="G519" s="2303"/>
      <c r="H519" s="1184"/>
      <c r="I519" s="1060"/>
    </row>
    <row r="520" spans="1:9" ht="25.5" customHeight="1" x14ac:dyDescent="0.2">
      <c r="A520" s="1185" t="s">
        <v>143</v>
      </c>
      <c r="B520" s="2302"/>
      <c r="C520" s="2303"/>
      <c r="D520" s="2302" t="s">
        <v>7938</v>
      </c>
      <c r="E520" s="2304"/>
      <c r="F520" s="2304"/>
      <c r="G520" s="2303"/>
      <c r="H520" s="1184"/>
      <c r="I520" s="1060"/>
    </row>
    <row r="521" spans="1:9" ht="12.75" customHeight="1" x14ac:dyDescent="0.2">
      <c r="A521" s="1183" t="s">
        <v>143</v>
      </c>
      <c r="B521" s="2320"/>
      <c r="C521" s="2321"/>
      <c r="D521" s="2320" t="s">
        <v>7939</v>
      </c>
      <c r="E521" s="2322"/>
      <c r="F521" s="2322"/>
      <c r="G521" s="2321"/>
      <c r="H521" s="1180"/>
      <c r="I521" s="1063"/>
    </row>
    <row r="522" spans="1:9" ht="158.1" customHeight="1" x14ac:dyDescent="0.2">
      <c r="A522" s="2326" t="s">
        <v>767</v>
      </c>
      <c r="B522" s="2311" t="s">
        <v>7609</v>
      </c>
      <c r="C522" s="2312"/>
      <c r="D522" s="2313" t="s">
        <v>7610</v>
      </c>
      <c r="E522" s="2314"/>
      <c r="F522" s="2314"/>
      <c r="G522" s="2315"/>
      <c r="H522" s="2328" t="s">
        <v>7940</v>
      </c>
      <c r="I522" s="2330">
        <f>ROUND(47260  * 1 * 0.5 * 0.5 * 0.7 * 1.14,0)</f>
        <v>9428</v>
      </c>
    </row>
    <row r="523" spans="1:9" ht="12.75" customHeight="1" x14ac:dyDescent="0.2">
      <c r="A523" s="2327"/>
      <c r="B523" s="2305"/>
      <c r="C523" s="2306"/>
      <c r="D523" s="2302"/>
      <c r="E523" s="2304"/>
      <c r="F523" s="2304"/>
      <c r="G523" s="2303"/>
      <c r="H523" s="2329"/>
      <c r="I523" s="2331"/>
    </row>
    <row r="524" spans="1:9" ht="15.75" customHeight="1" x14ac:dyDescent="0.2">
      <c r="A524" s="1185" t="s">
        <v>143</v>
      </c>
      <c r="B524" s="2305"/>
      <c r="C524" s="2306"/>
      <c r="D524" s="2305" t="s">
        <v>572</v>
      </c>
      <c r="E524" s="2307"/>
      <c r="F524" s="2307"/>
      <c r="G524" s="2306"/>
      <c r="H524" s="1057"/>
      <c r="I524" s="1058"/>
    </row>
    <row r="525" spans="1:9" ht="25.5" customHeight="1" x14ac:dyDescent="0.2">
      <c r="A525" s="1185" t="s">
        <v>143</v>
      </c>
      <c r="B525" s="2302"/>
      <c r="C525" s="2303"/>
      <c r="D525" s="2302" t="s">
        <v>7868</v>
      </c>
      <c r="E525" s="2304"/>
      <c r="F525" s="2304"/>
      <c r="G525" s="2303"/>
      <c r="H525" s="1184"/>
      <c r="I525" s="1060"/>
    </row>
    <row r="526" spans="1:9" ht="153" customHeight="1" x14ac:dyDescent="0.2">
      <c r="A526" s="1185" t="s">
        <v>143</v>
      </c>
      <c r="B526" s="2302"/>
      <c r="C526" s="2303"/>
      <c r="D526" s="2302" t="s">
        <v>7612</v>
      </c>
      <c r="E526" s="2304"/>
      <c r="F526" s="2304"/>
      <c r="G526" s="2303"/>
      <c r="H526" s="1184"/>
      <c r="I526" s="1060"/>
    </row>
    <row r="527" spans="1:9" ht="140.25" customHeight="1" x14ac:dyDescent="0.2">
      <c r="A527" s="1185" t="s">
        <v>143</v>
      </c>
      <c r="B527" s="2302"/>
      <c r="C527" s="2303"/>
      <c r="D527" s="2302" t="s">
        <v>7613</v>
      </c>
      <c r="E527" s="2304"/>
      <c r="F527" s="2304"/>
      <c r="G527" s="2303"/>
      <c r="H527" s="1184"/>
      <c r="I527" s="1060"/>
    </row>
    <row r="528" spans="1:9" ht="89.25" customHeight="1" x14ac:dyDescent="0.2">
      <c r="A528" s="1185" t="s">
        <v>143</v>
      </c>
      <c r="B528" s="2302"/>
      <c r="C528" s="2303"/>
      <c r="D528" s="2302" t="s">
        <v>7873</v>
      </c>
      <c r="E528" s="2304"/>
      <c r="F528" s="2304"/>
      <c r="G528" s="2303"/>
      <c r="H528" s="1184"/>
      <c r="I528" s="1060"/>
    </row>
    <row r="529" spans="1:9" ht="92.25" customHeight="1" x14ac:dyDescent="0.2">
      <c r="A529" s="1185" t="s">
        <v>143</v>
      </c>
      <c r="B529" s="2305"/>
      <c r="C529" s="2306"/>
      <c r="D529" s="2305" t="s">
        <v>7874</v>
      </c>
      <c r="E529" s="2307"/>
      <c r="F529" s="2307"/>
      <c r="G529" s="2306"/>
      <c r="H529" s="1057"/>
      <c r="I529" s="1058"/>
    </row>
    <row r="530" spans="1:9" ht="25.5" customHeight="1" x14ac:dyDescent="0.2">
      <c r="A530" s="1185" t="s">
        <v>143</v>
      </c>
      <c r="B530" s="2302"/>
      <c r="C530" s="2303"/>
      <c r="D530" s="2302" t="s">
        <v>7941</v>
      </c>
      <c r="E530" s="2304"/>
      <c r="F530" s="2304"/>
      <c r="G530" s="2303"/>
      <c r="H530" s="1184"/>
      <c r="I530" s="1060"/>
    </row>
    <row r="531" spans="1:9" ht="12.75" customHeight="1" x14ac:dyDescent="0.2">
      <c r="A531" s="1185" t="s">
        <v>143</v>
      </c>
      <c r="B531" s="2302"/>
      <c r="C531" s="2303"/>
      <c r="D531" s="2302" t="s">
        <v>7942</v>
      </c>
      <c r="E531" s="2304"/>
      <c r="F531" s="2304"/>
      <c r="G531" s="2303"/>
      <c r="H531" s="1184"/>
      <c r="I531" s="1060"/>
    </row>
    <row r="532" spans="1:9" ht="25.5" customHeight="1" x14ac:dyDescent="0.2">
      <c r="A532" s="1185" t="s">
        <v>143</v>
      </c>
      <c r="B532" s="2302"/>
      <c r="C532" s="2303"/>
      <c r="D532" s="2302" t="s">
        <v>7943</v>
      </c>
      <c r="E532" s="2304"/>
      <c r="F532" s="2304"/>
      <c r="G532" s="2303"/>
      <c r="H532" s="1184"/>
      <c r="I532" s="1060"/>
    </row>
    <row r="533" spans="1:9" ht="12.75" customHeight="1" x14ac:dyDescent="0.2">
      <c r="A533" s="1185" t="s">
        <v>143</v>
      </c>
      <c r="B533" s="2302"/>
      <c r="C533" s="2303"/>
      <c r="D533" s="2302" t="s">
        <v>7878</v>
      </c>
      <c r="E533" s="2304"/>
      <c r="F533" s="2304"/>
      <c r="G533" s="2303"/>
      <c r="H533" s="1184"/>
      <c r="I533" s="1060"/>
    </row>
    <row r="534" spans="1:9" ht="25.5" customHeight="1" x14ac:dyDescent="0.2">
      <c r="A534" s="1185" t="s">
        <v>143</v>
      </c>
      <c r="B534" s="2302"/>
      <c r="C534" s="2303"/>
      <c r="D534" s="2302" t="s">
        <v>7944</v>
      </c>
      <c r="E534" s="2304"/>
      <c r="F534" s="2304"/>
      <c r="G534" s="2303"/>
      <c r="H534" s="1184"/>
      <c r="I534" s="1060"/>
    </row>
    <row r="535" spans="1:9" ht="25.5" customHeight="1" x14ac:dyDescent="0.2">
      <c r="A535" s="1185" t="s">
        <v>143</v>
      </c>
      <c r="B535" s="2302"/>
      <c r="C535" s="2303"/>
      <c r="D535" s="2302" t="s">
        <v>7945</v>
      </c>
      <c r="E535" s="2304"/>
      <c r="F535" s="2304"/>
      <c r="G535" s="2303"/>
      <c r="H535" s="1184"/>
      <c r="I535" s="1060"/>
    </row>
    <row r="536" spans="1:9" ht="25.5" customHeight="1" x14ac:dyDescent="0.2">
      <c r="A536" s="1185" t="s">
        <v>143</v>
      </c>
      <c r="B536" s="2302"/>
      <c r="C536" s="2303"/>
      <c r="D536" s="2302" t="s">
        <v>7946</v>
      </c>
      <c r="E536" s="2304"/>
      <c r="F536" s="2304"/>
      <c r="G536" s="2303"/>
      <c r="H536" s="1184"/>
      <c r="I536" s="1060"/>
    </row>
    <row r="537" spans="1:9" ht="25.5" customHeight="1" x14ac:dyDescent="0.2">
      <c r="A537" s="1185" t="s">
        <v>143</v>
      </c>
      <c r="B537" s="2302"/>
      <c r="C537" s="2303"/>
      <c r="D537" s="2302" t="s">
        <v>7947</v>
      </c>
      <c r="E537" s="2304"/>
      <c r="F537" s="2304"/>
      <c r="G537" s="2303"/>
      <c r="H537" s="1184"/>
      <c r="I537" s="1060"/>
    </row>
    <row r="538" spans="1:9" ht="25.5" customHeight="1" x14ac:dyDescent="0.2">
      <c r="A538" s="1185" t="s">
        <v>143</v>
      </c>
      <c r="B538" s="2302"/>
      <c r="C538" s="2303"/>
      <c r="D538" s="2302" t="s">
        <v>7948</v>
      </c>
      <c r="E538" s="2304"/>
      <c r="F538" s="2304"/>
      <c r="G538" s="2303"/>
      <c r="H538" s="1184"/>
      <c r="I538" s="1060"/>
    </row>
    <row r="539" spans="1:9" ht="25.5" customHeight="1" x14ac:dyDescent="0.2">
      <c r="A539" s="1185" t="s">
        <v>143</v>
      </c>
      <c r="B539" s="2302"/>
      <c r="C539" s="2303"/>
      <c r="D539" s="2302" t="s">
        <v>7949</v>
      </c>
      <c r="E539" s="2304"/>
      <c r="F539" s="2304"/>
      <c r="G539" s="2303"/>
      <c r="H539" s="1184"/>
      <c r="I539" s="1060"/>
    </row>
    <row r="540" spans="1:9" ht="25.5" customHeight="1" x14ac:dyDescent="0.2">
      <c r="A540" s="1185" t="s">
        <v>143</v>
      </c>
      <c r="B540" s="2302"/>
      <c r="C540" s="2303"/>
      <c r="D540" s="2302" t="s">
        <v>7950</v>
      </c>
      <c r="E540" s="2304"/>
      <c r="F540" s="2304"/>
      <c r="G540" s="2303"/>
      <c r="H540" s="1184"/>
      <c r="I540" s="1060"/>
    </row>
    <row r="541" spans="1:9" ht="25.5" customHeight="1" x14ac:dyDescent="0.2">
      <c r="A541" s="1185" t="s">
        <v>143</v>
      </c>
      <c r="B541" s="2302"/>
      <c r="C541" s="2303"/>
      <c r="D541" s="2302" t="s">
        <v>7951</v>
      </c>
      <c r="E541" s="2304"/>
      <c r="F541" s="2304"/>
      <c r="G541" s="2303"/>
      <c r="H541" s="1184"/>
      <c r="I541" s="1060"/>
    </row>
    <row r="542" spans="1:9" ht="12.75" customHeight="1" x14ac:dyDescent="0.2">
      <c r="A542" s="1185" t="s">
        <v>143</v>
      </c>
      <c r="B542" s="2302"/>
      <c r="C542" s="2303"/>
      <c r="D542" s="2302" t="s">
        <v>7952</v>
      </c>
      <c r="E542" s="2304"/>
      <c r="F542" s="2304"/>
      <c r="G542" s="2303"/>
      <c r="H542" s="1184"/>
      <c r="I542" s="1060"/>
    </row>
    <row r="543" spans="1:9" ht="38.25" customHeight="1" x14ac:dyDescent="0.2">
      <c r="A543" s="1185" t="s">
        <v>143</v>
      </c>
      <c r="B543" s="2302"/>
      <c r="C543" s="2303"/>
      <c r="D543" s="2302" t="s">
        <v>7953</v>
      </c>
      <c r="E543" s="2304"/>
      <c r="F543" s="2304"/>
      <c r="G543" s="2303"/>
      <c r="H543" s="1184"/>
      <c r="I543" s="1060"/>
    </row>
    <row r="544" spans="1:9" ht="12.75" customHeight="1" x14ac:dyDescent="0.2">
      <c r="A544" s="1183" t="s">
        <v>143</v>
      </c>
      <c r="B544" s="2320"/>
      <c r="C544" s="2321"/>
      <c r="D544" s="2320" t="s">
        <v>7954</v>
      </c>
      <c r="E544" s="2322"/>
      <c r="F544" s="2322"/>
      <c r="G544" s="2321"/>
      <c r="H544" s="1180"/>
      <c r="I544" s="1063"/>
    </row>
    <row r="545" spans="1:9" ht="107.25" customHeight="1" x14ac:dyDescent="0.2">
      <c r="A545" s="1182" t="s">
        <v>768</v>
      </c>
      <c r="B545" s="2311" t="s">
        <v>7633</v>
      </c>
      <c r="C545" s="2312"/>
      <c r="D545" s="2313" t="s">
        <v>7634</v>
      </c>
      <c r="E545" s="2314"/>
      <c r="F545" s="2314"/>
      <c r="G545" s="2315"/>
      <c r="H545" s="1179" t="s">
        <v>10080</v>
      </c>
      <c r="I545" s="1181">
        <f>ROUND((12265  + 37  * 3068) * 1 * 0.6,0)</f>
        <v>75469</v>
      </c>
    </row>
    <row r="546" spans="1:9" ht="15.75" customHeight="1" x14ac:dyDescent="0.2">
      <c r="A546" s="1185" t="s">
        <v>143</v>
      </c>
      <c r="B546" s="2305"/>
      <c r="C546" s="2306"/>
      <c r="D546" s="2305" t="s">
        <v>572</v>
      </c>
      <c r="E546" s="2307"/>
      <c r="F546" s="2307"/>
      <c r="G546" s="2306"/>
      <c r="H546" s="1057"/>
      <c r="I546" s="1058"/>
    </row>
    <row r="547" spans="1:9" ht="25.5" customHeight="1" x14ac:dyDescent="0.2">
      <c r="A547" s="1185" t="s">
        <v>143</v>
      </c>
      <c r="B547" s="2302"/>
      <c r="C547" s="2303"/>
      <c r="D547" s="2302" t="s">
        <v>7769</v>
      </c>
      <c r="E547" s="2304"/>
      <c r="F547" s="2304"/>
      <c r="G547" s="2303"/>
      <c r="H547" s="1184"/>
      <c r="I547" s="1060"/>
    </row>
    <row r="548" spans="1:9" ht="54" customHeight="1" x14ac:dyDescent="0.2">
      <c r="A548" s="1185" t="s">
        <v>143</v>
      </c>
      <c r="B548" s="2305"/>
      <c r="C548" s="2306"/>
      <c r="D548" s="2305" t="s">
        <v>10081</v>
      </c>
      <c r="E548" s="2307"/>
      <c r="F548" s="2307"/>
      <c r="G548" s="2306"/>
      <c r="H548" s="1057"/>
      <c r="I548" s="1058"/>
    </row>
    <row r="549" spans="1:9" ht="25.5" customHeight="1" x14ac:dyDescent="0.2">
      <c r="A549" s="1185" t="s">
        <v>143</v>
      </c>
      <c r="B549" s="2302"/>
      <c r="C549" s="2303"/>
      <c r="D549" s="2302" t="s">
        <v>10082</v>
      </c>
      <c r="E549" s="2304"/>
      <c r="F549" s="2304"/>
      <c r="G549" s="2303"/>
      <c r="H549" s="1184"/>
      <c r="I549" s="1060"/>
    </row>
    <row r="550" spans="1:9" ht="25.5" customHeight="1" x14ac:dyDescent="0.2">
      <c r="A550" s="1185" t="s">
        <v>143</v>
      </c>
      <c r="B550" s="2302"/>
      <c r="C550" s="2303"/>
      <c r="D550" s="2323" t="s">
        <v>10083</v>
      </c>
      <c r="E550" s="2324"/>
      <c r="F550" s="2324"/>
      <c r="G550" s="2325"/>
      <c r="H550" s="1184"/>
      <c r="I550" s="1060"/>
    </row>
    <row r="551" spans="1:9" ht="25.5" customHeight="1" x14ac:dyDescent="0.2">
      <c r="A551" s="1185" t="s">
        <v>143</v>
      </c>
      <c r="B551" s="2302"/>
      <c r="C551" s="2303"/>
      <c r="D551" s="2323" t="s">
        <v>10084</v>
      </c>
      <c r="E551" s="2324"/>
      <c r="F551" s="2324"/>
      <c r="G551" s="2325"/>
      <c r="H551" s="1184"/>
      <c r="I551" s="1060"/>
    </row>
    <row r="552" spans="1:9" ht="25.5" customHeight="1" x14ac:dyDescent="0.2">
      <c r="A552" s="1185" t="s">
        <v>143</v>
      </c>
      <c r="B552" s="2302"/>
      <c r="C552" s="2303"/>
      <c r="D552" s="2323" t="s">
        <v>10085</v>
      </c>
      <c r="E552" s="2324"/>
      <c r="F552" s="2324"/>
      <c r="G552" s="2325"/>
      <c r="H552" s="1184"/>
      <c r="I552" s="1060"/>
    </row>
    <row r="553" spans="1:9" ht="12.75" customHeight="1" x14ac:dyDescent="0.2">
      <c r="A553" s="1185" t="s">
        <v>143</v>
      </c>
      <c r="B553" s="2302"/>
      <c r="C553" s="2303"/>
      <c r="D553" s="2323" t="s">
        <v>10086</v>
      </c>
      <c r="E553" s="2324"/>
      <c r="F553" s="2324"/>
      <c r="G553" s="2325"/>
      <c r="H553" s="1184"/>
      <c r="I553" s="1060"/>
    </row>
    <row r="554" spans="1:9" ht="12.75" customHeight="1" x14ac:dyDescent="0.2">
      <c r="A554" s="1185" t="s">
        <v>143</v>
      </c>
      <c r="B554" s="2302"/>
      <c r="C554" s="2303"/>
      <c r="D554" s="2302" t="s">
        <v>10087</v>
      </c>
      <c r="E554" s="2304"/>
      <c r="F554" s="2304"/>
      <c r="G554" s="2303"/>
      <c r="H554" s="1184"/>
      <c r="I554" s="1060"/>
    </row>
    <row r="555" spans="1:9" ht="25.5" customHeight="1" x14ac:dyDescent="0.2">
      <c r="A555" s="1185" t="s">
        <v>143</v>
      </c>
      <c r="B555" s="2302"/>
      <c r="C555" s="2303"/>
      <c r="D555" s="2323" t="s">
        <v>10088</v>
      </c>
      <c r="E555" s="2324"/>
      <c r="F555" s="2324"/>
      <c r="G555" s="2325"/>
      <c r="H555" s="1184"/>
      <c r="I555" s="1060"/>
    </row>
    <row r="556" spans="1:9" ht="25.5" customHeight="1" x14ac:dyDescent="0.2">
      <c r="A556" s="1185" t="s">
        <v>143</v>
      </c>
      <c r="B556" s="2302"/>
      <c r="C556" s="2303"/>
      <c r="D556" s="2323" t="s">
        <v>10089</v>
      </c>
      <c r="E556" s="2324"/>
      <c r="F556" s="2324"/>
      <c r="G556" s="2325"/>
      <c r="H556" s="1184"/>
      <c r="I556" s="1060"/>
    </row>
    <row r="557" spans="1:9" ht="25.5" customHeight="1" x14ac:dyDescent="0.2">
      <c r="A557" s="1185" t="s">
        <v>143</v>
      </c>
      <c r="B557" s="2302"/>
      <c r="C557" s="2303"/>
      <c r="D557" s="2302" t="s">
        <v>7955</v>
      </c>
      <c r="E557" s="2304"/>
      <c r="F557" s="2304"/>
      <c r="G557" s="2303"/>
      <c r="H557" s="1184"/>
      <c r="I557" s="1060"/>
    </row>
    <row r="558" spans="1:9" ht="25.5" customHeight="1" x14ac:dyDescent="0.2">
      <c r="A558" s="1185" t="s">
        <v>143</v>
      </c>
      <c r="B558" s="2302"/>
      <c r="C558" s="2303"/>
      <c r="D558" s="2302" t="s">
        <v>7956</v>
      </c>
      <c r="E558" s="2304"/>
      <c r="F558" s="2304"/>
      <c r="G558" s="2303"/>
      <c r="H558" s="1184"/>
      <c r="I558" s="1060"/>
    </row>
    <row r="559" spans="1:9" ht="12.75" customHeight="1" x14ac:dyDescent="0.2">
      <c r="A559" s="1183" t="s">
        <v>143</v>
      </c>
      <c r="B559" s="2320"/>
      <c r="C559" s="2321"/>
      <c r="D559" s="2320" t="s">
        <v>7957</v>
      </c>
      <c r="E559" s="2322"/>
      <c r="F559" s="2322"/>
      <c r="G559" s="2321"/>
      <c r="H559" s="1180"/>
      <c r="I559" s="1063"/>
    </row>
    <row r="560" spans="1:9" ht="158.1" customHeight="1" x14ac:dyDescent="0.2">
      <c r="A560" s="1182" t="s">
        <v>769</v>
      </c>
      <c r="B560" s="2311" t="s">
        <v>7642</v>
      </c>
      <c r="C560" s="2312"/>
      <c r="D560" s="2313" t="s">
        <v>7643</v>
      </c>
      <c r="E560" s="2314"/>
      <c r="F560" s="2314"/>
      <c r="G560" s="2315"/>
      <c r="H560" s="1179" t="s">
        <v>10090</v>
      </c>
      <c r="I560" s="1181">
        <f>ROUND((84970  + 10  * 3839) * 1 * 0.6,0)</f>
        <v>74016</v>
      </c>
    </row>
    <row r="561" spans="1:9" ht="15.75" customHeight="1" x14ac:dyDescent="0.2">
      <c r="A561" s="1185" t="s">
        <v>143</v>
      </c>
      <c r="B561" s="2305"/>
      <c r="C561" s="2306"/>
      <c r="D561" s="2305" t="s">
        <v>572</v>
      </c>
      <c r="E561" s="2307"/>
      <c r="F561" s="2307"/>
      <c r="G561" s="2306"/>
      <c r="H561" s="1057"/>
      <c r="I561" s="1058"/>
    </row>
    <row r="562" spans="1:9" ht="25.5" customHeight="1" x14ac:dyDescent="0.2">
      <c r="A562" s="1185" t="s">
        <v>143</v>
      </c>
      <c r="B562" s="2302"/>
      <c r="C562" s="2303"/>
      <c r="D562" s="2302" t="s">
        <v>7769</v>
      </c>
      <c r="E562" s="2304"/>
      <c r="F562" s="2304"/>
      <c r="G562" s="2303"/>
      <c r="H562" s="1184"/>
      <c r="I562" s="1060"/>
    </row>
    <row r="563" spans="1:9" ht="54" customHeight="1" x14ac:dyDescent="0.2">
      <c r="A563" s="1185" t="s">
        <v>143</v>
      </c>
      <c r="B563" s="2305"/>
      <c r="C563" s="2306"/>
      <c r="D563" s="2305" t="s">
        <v>10081</v>
      </c>
      <c r="E563" s="2307"/>
      <c r="F563" s="2307"/>
      <c r="G563" s="2306"/>
      <c r="H563" s="1057"/>
      <c r="I563" s="1058"/>
    </row>
    <row r="564" spans="1:9" ht="25.5" customHeight="1" x14ac:dyDescent="0.2">
      <c r="A564" s="1185" t="s">
        <v>143</v>
      </c>
      <c r="B564" s="2302"/>
      <c r="C564" s="2303"/>
      <c r="D564" s="2302" t="s">
        <v>10091</v>
      </c>
      <c r="E564" s="2304"/>
      <c r="F564" s="2304"/>
      <c r="G564" s="2303"/>
      <c r="H564" s="1184"/>
      <c r="I564" s="1060"/>
    </row>
    <row r="565" spans="1:9" ht="25.5" customHeight="1" x14ac:dyDescent="0.2">
      <c r="A565" s="1185" t="s">
        <v>143</v>
      </c>
      <c r="B565" s="2302"/>
      <c r="C565" s="2303"/>
      <c r="D565" s="2323" t="s">
        <v>10092</v>
      </c>
      <c r="E565" s="2324"/>
      <c r="F565" s="2324"/>
      <c r="G565" s="2325"/>
      <c r="H565" s="1184"/>
      <c r="I565" s="1060"/>
    </row>
    <row r="566" spans="1:9" ht="25.5" customHeight="1" x14ac:dyDescent="0.2">
      <c r="A566" s="1185" t="s">
        <v>143</v>
      </c>
      <c r="B566" s="2302"/>
      <c r="C566" s="2303"/>
      <c r="D566" s="2323" t="s">
        <v>10093</v>
      </c>
      <c r="E566" s="2324"/>
      <c r="F566" s="2324"/>
      <c r="G566" s="2325"/>
      <c r="H566" s="1184"/>
      <c r="I566" s="1060"/>
    </row>
    <row r="567" spans="1:9" ht="25.5" customHeight="1" x14ac:dyDescent="0.2">
      <c r="A567" s="1185" t="s">
        <v>143</v>
      </c>
      <c r="B567" s="2302"/>
      <c r="C567" s="2303"/>
      <c r="D567" s="2323" t="s">
        <v>10094</v>
      </c>
      <c r="E567" s="2324"/>
      <c r="F567" s="2324"/>
      <c r="G567" s="2325"/>
      <c r="H567" s="1184"/>
      <c r="I567" s="1060"/>
    </row>
    <row r="568" spans="1:9" ht="12.75" customHeight="1" x14ac:dyDescent="0.2">
      <c r="A568" s="1185" t="s">
        <v>143</v>
      </c>
      <c r="B568" s="2302"/>
      <c r="C568" s="2303"/>
      <c r="D568" s="2323" t="s">
        <v>10095</v>
      </c>
      <c r="E568" s="2324"/>
      <c r="F568" s="2324"/>
      <c r="G568" s="2325"/>
      <c r="H568" s="1184"/>
      <c r="I568" s="1060"/>
    </row>
    <row r="569" spans="1:9" ht="12.75" customHeight="1" x14ac:dyDescent="0.2">
      <c r="A569" s="1185" t="s">
        <v>143</v>
      </c>
      <c r="B569" s="2302"/>
      <c r="C569" s="2303"/>
      <c r="D569" s="2302" t="s">
        <v>10096</v>
      </c>
      <c r="E569" s="2304"/>
      <c r="F569" s="2304"/>
      <c r="G569" s="2303"/>
      <c r="H569" s="1184"/>
      <c r="I569" s="1060"/>
    </row>
    <row r="570" spans="1:9" ht="25.5" customHeight="1" x14ac:dyDescent="0.2">
      <c r="A570" s="1185" t="s">
        <v>143</v>
      </c>
      <c r="B570" s="2302"/>
      <c r="C570" s="2303"/>
      <c r="D570" s="2323" t="s">
        <v>10097</v>
      </c>
      <c r="E570" s="2324"/>
      <c r="F570" s="2324"/>
      <c r="G570" s="2325"/>
      <c r="H570" s="1184"/>
      <c r="I570" s="1060"/>
    </row>
    <row r="571" spans="1:9" ht="25.5" customHeight="1" x14ac:dyDescent="0.2">
      <c r="A571" s="1185" t="s">
        <v>143</v>
      </c>
      <c r="B571" s="2302"/>
      <c r="C571" s="2303"/>
      <c r="D571" s="2323" t="s">
        <v>10098</v>
      </c>
      <c r="E571" s="2324"/>
      <c r="F571" s="2324"/>
      <c r="G571" s="2325"/>
      <c r="H571" s="1184"/>
      <c r="I571" s="1060"/>
    </row>
    <row r="572" spans="1:9" ht="25.5" customHeight="1" x14ac:dyDescent="0.2">
      <c r="A572" s="1185" t="s">
        <v>143</v>
      </c>
      <c r="B572" s="2302"/>
      <c r="C572" s="2303"/>
      <c r="D572" s="2302" t="s">
        <v>7958</v>
      </c>
      <c r="E572" s="2304"/>
      <c r="F572" s="2304"/>
      <c r="G572" s="2303"/>
      <c r="H572" s="1184"/>
      <c r="I572" s="1060"/>
    </row>
    <row r="573" spans="1:9" ht="25.5" customHeight="1" x14ac:dyDescent="0.2">
      <c r="A573" s="1185" t="s">
        <v>143</v>
      </c>
      <c r="B573" s="2302"/>
      <c r="C573" s="2303"/>
      <c r="D573" s="2302" t="s">
        <v>7959</v>
      </c>
      <c r="E573" s="2304"/>
      <c r="F573" s="2304"/>
      <c r="G573" s="2303"/>
      <c r="H573" s="1184"/>
      <c r="I573" s="1060"/>
    </row>
    <row r="574" spans="1:9" ht="12.75" customHeight="1" x14ac:dyDescent="0.2">
      <c r="A574" s="1183" t="s">
        <v>143</v>
      </c>
      <c r="B574" s="2320"/>
      <c r="C574" s="2321"/>
      <c r="D574" s="2320" t="s">
        <v>7960</v>
      </c>
      <c r="E574" s="2322"/>
      <c r="F574" s="2322"/>
      <c r="G574" s="2321"/>
      <c r="H574" s="1180"/>
      <c r="I574" s="1063"/>
    </row>
    <row r="575" spans="1:9" ht="119.85" customHeight="1" x14ac:dyDescent="0.2">
      <c r="A575" s="1182" t="s">
        <v>770</v>
      </c>
      <c r="B575" s="2311" t="s">
        <v>7651</v>
      </c>
      <c r="C575" s="2312"/>
      <c r="D575" s="2313" t="s">
        <v>7652</v>
      </c>
      <c r="E575" s="2314"/>
      <c r="F575" s="2314"/>
      <c r="G575" s="2315"/>
      <c r="H575" s="1179" t="s">
        <v>10099</v>
      </c>
      <c r="I575" s="1181">
        <f>ROUND((46000  + 69  * 1028) * 1 * 0.6,0)</f>
        <v>70159</v>
      </c>
    </row>
    <row r="576" spans="1:9" ht="15.75" customHeight="1" x14ac:dyDescent="0.2">
      <c r="A576" s="1185" t="s">
        <v>143</v>
      </c>
      <c r="B576" s="2305"/>
      <c r="C576" s="2306"/>
      <c r="D576" s="2305" t="s">
        <v>572</v>
      </c>
      <c r="E576" s="2307"/>
      <c r="F576" s="2307"/>
      <c r="G576" s="2306"/>
      <c r="H576" s="1057"/>
      <c r="I576" s="1058"/>
    </row>
    <row r="577" spans="1:9" ht="25.5" customHeight="1" x14ac:dyDescent="0.2">
      <c r="A577" s="1185" t="s">
        <v>143</v>
      </c>
      <c r="B577" s="2302"/>
      <c r="C577" s="2303"/>
      <c r="D577" s="2302" t="s">
        <v>7769</v>
      </c>
      <c r="E577" s="2304"/>
      <c r="F577" s="2304"/>
      <c r="G577" s="2303"/>
      <c r="H577" s="1184"/>
      <c r="I577" s="1060"/>
    </row>
    <row r="578" spans="1:9" ht="54" customHeight="1" x14ac:dyDescent="0.2">
      <c r="A578" s="1185" t="s">
        <v>143</v>
      </c>
      <c r="B578" s="2305"/>
      <c r="C578" s="2306"/>
      <c r="D578" s="2305" t="s">
        <v>10081</v>
      </c>
      <c r="E578" s="2307"/>
      <c r="F578" s="2307"/>
      <c r="G578" s="2306"/>
      <c r="H578" s="1057"/>
      <c r="I578" s="1058"/>
    </row>
    <row r="579" spans="1:9" ht="25.5" customHeight="1" x14ac:dyDescent="0.2">
      <c r="A579" s="1185" t="s">
        <v>143</v>
      </c>
      <c r="B579" s="2302"/>
      <c r="C579" s="2303"/>
      <c r="D579" s="2302" t="s">
        <v>10100</v>
      </c>
      <c r="E579" s="2304"/>
      <c r="F579" s="2304"/>
      <c r="G579" s="2303"/>
      <c r="H579" s="1184"/>
      <c r="I579" s="1060"/>
    </row>
    <row r="580" spans="1:9" ht="25.5" customHeight="1" x14ac:dyDescent="0.2">
      <c r="A580" s="1185" t="s">
        <v>143</v>
      </c>
      <c r="B580" s="2302"/>
      <c r="C580" s="2303"/>
      <c r="D580" s="2323" t="s">
        <v>10101</v>
      </c>
      <c r="E580" s="2324"/>
      <c r="F580" s="2324"/>
      <c r="G580" s="2325"/>
      <c r="H580" s="1184"/>
      <c r="I580" s="1060"/>
    </row>
    <row r="581" spans="1:9" ht="25.5" customHeight="1" x14ac:dyDescent="0.2">
      <c r="A581" s="1185" t="s">
        <v>143</v>
      </c>
      <c r="B581" s="2302"/>
      <c r="C581" s="2303"/>
      <c r="D581" s="2323" t="s">
        <v>10102</v>
      </c>
      <c r="E581" s="2324"/>
      <c r="F581" s="2324"/>
      <c r="G581" s="2325"/>
      <c r="H581" s="1184"/>
      <c r="I581" s="1060"/>
    </row>
    <row r="582" spans="1:9" ht="25.5" customHeight="1" x14ac:dyDescent="0.2">
      <c r="A582" s="1185" t="s">
        <v>143</v>
      </c>
      <c r="B582" s="2302"/>
      <c r="C582" s="2303"/>
      <c r="D582" s="2323" t="s">
        <v>10103</v>
      </c>
      <c r="E582" s="2324"/>
      <c r="F582" s="2324"/>
      <c r="G582" s="2325"/>
      <c r="H582" s="1184"/>
      <c r="I582" s="1060"/>
    </row>
    <row r="583" spans="1:9" ht="12.75" customHeight="1" x14ac:dyDescent="0.2">
      <c r="A583" s="1185" t="s">
        <v>143</v>
      </c>
      <c r="B583" s="2302"/>
      <c r="C583" s="2303"/>
      <c r="D583" s="2323" t="s">
        <v>10104</v>
      </c>
      <c r="E583" s="2324"/>
      <c r="F583" s="2324"/>
      <c r="G583" s="2325"/>
      <c r="H583" s="1184"/>
      <c r="I583" s="1060"/>
    </row>
    <row r="584" spans="1:9" ht="12.75" customHeight="1" x14ac:dyDescent="0.2">
      <c r="A584" s="1185" t="s">
        <v>143</v>
      </c>
      <c r="B584" s="2302"/>
      <c r="C584" s="2303"/>
      <c r="D584" s="2302" t="s">
        <v>10105</v>
      </c>
      <c r="E584" s="2304"/>
      <c r="F584" s="2304"/>
      <c r="G584" s="2303"/>
      <c r="H584" s="1184"/>
      <c r="I584" s="1060"/>
    </row>
    <row r="585" spans="1:9" ht="25.5" customHeight="1" x14ac:dyDescent="0.2">
      <c r="A585" s="1185" t="s">
        <v>143</v>
      </c>
      <c r="B585" s="2302"/>
      <c r="C585" s="2303"/>
      <c r="D585" s="2323" t="s">
        <v>10106</v>
      </c>
      <c r="E585" s="2324"/>
      <c r="F585" s="2324"/>
      <c r="G585" s="2325"/>
      <c r="H585" s="1184"/>
      <c r="I585" s="1060"/>
    </row>
    <row r="586" spans="1:9" ht="25.5" customHeight="1" x14ac:dyDescent="0.2">
      <c r="A586" s="1185" t="s">
        <v>143</v>
      </c>
      <c r="B586" s="2302"/>
      <c r="C586" s="2303"/>
      <c r="D586" s="2323" t="s">
        <v>10107</v>
      </c>
      <c r="E586" s="2324"/>
      <c r="F586" s="2324"/>
      <c r="G586" s="2325"/>
      <c r="H586" s="1184"/>
      <c r="I586" s="1060"/>
    </row>
    <row r="587" spans="1:9" ht="25.5" customHeight="1" x14ac:dyDescent="0.2">
      <c r="A587" s="1185" t="s">
        <v>143</v>
      </c>
      <c r="B587" s="2302"/>
      <c r="C587" s="2303"/>
      <c r="D587" s="2302" t="s">
        <v>7961</v>
      </c>
      <c r="E587" s="2304"/>
      <c r="F587" s="2304"/>
      <c r="G587" s="2303"/>
      <c r="H587" s="1184"/>
      <c r="I587" s="1060"/>
    </row>
    <row r="588" spans="1:9" ht="25.5" customHeight="1" x14ac:dyDescent="0.2">
      <c r="A588" s="1185" t="s">
        <v>143</v>
      </c>
      <c r="B588" s="2302"/>
      <c r="C588" s="2303"/>
      <c r="D588" s="2302" t="s">
        <v>7962</v>
      </c>
      <c r="E588" s="2304"/>
      <c r="F588" s="2304"/>
      <c r="G588" s="2303"/>
      <c r="H588" s="1184"/>
      <c r="I588" s="1060"/>
    </row>
    <row r="589" spans="1:9" ht="12.75" customHeight="1" x14ac:dyDescent="0.2">
      <c r="A589" s="1183" t="s">
        <v>143</v>
      </c>
      <c r="B589" s="2320"/>
      <c r="C589" s="2321"/>
      <c r="D589" s="2320" t="s">
        <v>7963</v>
      </c>
      <c r="E589" s="2322"/>
      <c r="F589" s="2322"/>
      <c r="G589" s="2321"/>
      <c r="H589" s="1180"/>
      <c r="I589" s="1063"/>
    </row>
    <row r="590" spans="1:9" ht="119.85" customHeight="1" x14ac:dyDescent="0.2">
      <c r="A590" s="1182" t="s">
        <v>771</v>
      </c>
      <c r="B590" s="2311" t="s">
        <v>7660</v>
      </c>
      <c r="C590" s="2312"/>
      <c r="D590" s="2313" t="s">
        <v>7661</v>
      </c>
      <c r="E590" s="2314"/>
      <c r="F590" s="2314"/>
      <c r="G590" s="2315"/>
      <c r="H590" s="1179" t="s">
        <v>10108</v>
      </c>
      <c r="I590" s="1181">
        <f>ROUND((750  + 137  * 128) * 1 * 0.6,0)</f>
        <v>10972</v>
      </c>
    </row>
    <row r="591" spans="1:9" ht="15.75" customHeight="1" x14ac:dyDescent="0.2">
      <c r="A591" s="1185" t="s">
        <v>143</v>
      </c>
      <c r="B591" s="2305"/>
      <c r="C591" s="2306"/>
      <c r="D591" s="2305" t="s">
        <v>572</v>
      </c>
      <c r="E591" s="2307"/>
      <c r="F591" s="2307"/>
      <c r="G591" s="2306"/>
      <c r="H591" s="1057"/>
      <c r="I591" s="1058"/>
    </row>
    <row r="592" spans="1:9" ht="25.5" customHeight="1" x14ac:dyDescent="0.2">
      <c r="A592" s="1185" t="s">
        <v>143</v>
      </c>
      <c r="B592" s="2302"/>
      <c r="C592" s="2303"/>
      <c r="D592" s="2302" t="s">
        <v>7769</v>
      </c>
      <c r="E592" s="2304"/>
      <c r="F592" s="2304"/>
      <c r="G592" s="2303"/>
      <c r="H592" s="1184"/>
      <c r="I592" s="1060"/>
    </row>
    <row r="593" spans="1:9" ht="54" customHeight="1" x14ac:dyDescent="0.2">
      <c r="A593" s="1185" t="s">
        <v>143</v>
      </c>
      <c r="B593" s="2305"/>
      <c r="C593" s="2306"/>
      <c r="D593" s="2305" t="s">
        <v>10081</v>
      </c>
      <c r="E593" s="2307"/>
      <c r="F593" s="2307"/>
      <c r="G593" s="2306"/>
      <c r="H593" s="1057"/>
      <c r="I593" s="1058"/>
    </row>
    <row r="594" spans="1:9" ht="25.5" customHeight="1" x14ac:dyDescent="0.2">
      <c r="A594" s="1185" t="s">
        <v>143</v>
      </c>
      <c r="B594" s="2302"/>
      <c r="C594" s="2303"/>
      <c r="D594" s="2302" t="s">
        <v>10109</v>
      </c>
      <c r="E594" s="2304"/>
      <c r="F594" s="2304"/>
      <c r="G594" s="2303"/>
      <c r="H594" s="1184"/>
      <c r="I594" s="1060"/>
    </row>
    <row r="595" spans="1:9" ht="25.5" customHeight="1" x14ac:dyDescent="0.2">
      <c r="A595" s="1185" t="s">
        <v>143</v>
      </c>
      <c r="B595" s="2302"/>
      <c r="C595" s="2303"/>
      <c r="D595" s="2323" t="s">
        <v>10110</v>
      </c>
      <c r="E595" s="2324"/>
      <c r="F595" s="2324"/>
      <c r="G595" s="2325"/>
      <c r="H595" s="1184"/>
      <c r="I595" s="1060"/>
    </row>
    <row r="596" spans="1:9" ht="25.5" customHeight="1" x14ac:dyDescent="0.2">
      <c r="A596" s="1185" t="s">
        <v>143</v>
      </c>
      <c r="B596" s="2302"/>
      <c r="C596" s="2303"/>
      <c r="D596" s="2323" t="s">
        <v>10111</v>
      </c>
      <c r="E596" s="2324"/>
      <c r="F596" s="2324"/>
      <c r="G596" s="2325"/>
      <c r="H596" s="1184"/>
      <c r="I596" s="1060"/>
    </row>
    <row r="597" spans="1:9" ht="25.5" customHeight="1" x14ac:dyDescent="0.2">
      <c r="A597" s="1185" t="s">
        <v>143</v>
      </c>
      <c r="B597" s="2302"/>
      <c r="C597" s="2303"/>
      <c r="D597" s="2323" t="s">
        <v>10112</v>
      </c>
      <c r="E597" s="2324"/>
      <c r="F597" s="2324"/>
      <c r="G597" s="2325"/>
      <c r="H597" s="1184"/>
      <c r="I597" s="1060"/>
    </row>
    <row r="598" spans="1:9" ht="12.75" customHeight="1" x14ac:dyDescent="0.2">
      <c r="A598" s="1185" t="s">
        <v>143</v>
      </c>
      <c r="B598" s="2302"/>
      <c r="C598" s="2303"/>
      <c r="D598" s="2323" t="s">
        <v>10113</v>
      </c>
      <c r="E598" s="2324"/>
      <c r="F598" s="2324"/>
      <c r="G598" s="2325"/>
      <c r="H598" s="1184"/>
      <c r="I598" s="1060"/>
    </row>
    <row r="599" spans="1:9" ht="12.75" customHeight="1" x14ac:dyDescent="0.2">
      <c r="A599" s="1185" t="s">
        <v>143</v>
      </c>
      <c r="B599" s="2302"/>
      <c r="C599" s="2303"/>
      <c r="D599" s="2302" t="s">
        <v>10114</v>
      </c>
      <c r="E599" s="2304"/>
      <c r="F599" s="2304"/>
      <c r="G599" s="2303"/>
      <c r="H599" s="1184"/>
      <c r="I599" s="1060"/>
    </row>
    <row r="600" spans="1:9" ht="25.5" customHeight="1" x14ac:dyDescent="0.2">
      <c r="A600" s="1185" t="s">
        <v>143</v>
      </c>
      <c r="B600" s="2302"/>
      <c r="C600" s="2303"/>
      <c r="D600" s="2323" t="s">
        <v>10115</v>
      </c>
      <c r="E600" s="2324"/>
      <c r="F600" s="2324"/>
      <c r="G600" s="2325"/>
      <c r="H600" s="1184"/>
      <c r="I600" s="1060"/>
    </row>
    <row r="601" spans="1:9" ht="25.5" customHeight="1" x14ac:dyDescent="0.2">
      <c r="A601" s="1185" t="s">
        <v>143</v>
      </c>
      <c r="B601" s="2302"/>
      <c r="C601" s="2303"/>
      <c r="D601" s="2323" t="s">
        <v>10116</v>
      </c>
      <c r="E601" s="2324"/>
      <c r="F601" s="2324"/>
      <c r="G601" s="2325"/>
      <c r="H601" s="1184"/>
      <c r="I601" s="1060"/>
    </row>
    <row r="602" spans="1:9" ht="25.5" customHeight="1" x14ac:dyDescent="0.2">
      <c r="A602" s="1185" t="s">
        <v>143</v>
      </c>
      <c r="B602" s="2302"/>
      <c r="C602" s="2303"/>
      <c r="D602" s="2302" t="s">
        <v>7964</v>
      </c>
      <c r="E602" s="2304"/>
      <c r="F602" s="2304"/>
      <c r="G602" s="2303"/>
      <c r="H602" s="1184"/>
      <c r="I602" s="1060"/>
    </row>
    <row r="603" spans="1:9" ht="25.5" customHeight="1" x14ac:dyDescent="0.2">
      <c r="A603" s="1185" t="s">
        <v>143</v>
      </c>
      <c r="B603" s="2302"/>
      <c r="C603" s="2303"/>
      <c r="D603" s="2302" t="s">
        <v>7965</v>
      </c>
      <c r="E603" s="2304"/>
      <c r="F603" s="2304"/>
      <c r="G603" s="2303"/>
      <c r="H603" s="1184"/>
      <c r="I603" s="1060"/>
    </row>
    <row r="604" spans="1:9" ht="12.75" customHeight="1" x14ac:dyDescent="0.2">
      <c r="A604" s="1183" t="s">
        <v>143</v>
      </c>
      <c r="B604" s="2320"/>
      <c r="C604" s="2321"/>
      <c r="D604" s="2320" t="s">
        <v>7966</v>
      </c>
      <c r="E604" s="2322"/>
      <c r="F604" s="2322"/>
      <c r="G604" s="2321"/>
      <c r="H604" s="1180"/>
      <c r="I604" s="1063"/>
    </row>
    <row r="605" spans="1:9" ht="107.25" customHeight="1" x14ac:dyDescent="0.2">
      <c r="A605" s="1182" t="s">
        <v>772</v>
      </c>
      <c r="B605" s="2311" t="s">
        <v>7669</v>
      </c>
      <c r="C605" s="2312"/>
      <c r="D605" s="2313" t="s">
        <v>7670</v>
      </c>
      <c r="E605" s="2314"/>
      <c r="F605" s="2314"/>
      <c r="G605" s="2315"/>
      <c r="H605" s="1179" t="s">
        <v>10117</v>
      </c>
      <c r="I605" s="1181">
        <f>ROUND((41000  + 20  * (0.4 * 3000 + 0.6 * 5750)) * 1 * 0.6 * 0.75,0)</f>
        <v>60300</v>
      </c>
    </row>
    <row r="606" spans="1:9" ht="15.75" customHeight="1" x14ac:dyDescent="0.2">
      <c r="A606" s="1185" t="s">
        <v>143</v>
      </c>
      <c r="B606" s="2305"/>
      <c r="C606" s="2306"/>
      <c r="D606" s="2305" t="s">
        <v>572</v>
      </c>
      <c r="E606" s="2307"/>
      <c r="F606" s="2307"/>
      <c r="G606" s="2306"/>
      <c r="H606" s="1057"/>
      <c r="I606" s="1058"/>
    </row>
    <row r="607" spans="1:9" ht="25.5" customHeight="1" x14ac:dyDescent="0.2">
      <c r="A607" s="1185" t="s">
        <v>143</v>
      </c>
      <c r="B607" s="2302"/>
      <c r="C607" s="2303"/>
      <c r="D607" s="2302" t="s">
        <v>7769</v>
      </c>
      <c r="E607" s="2304"/>
      <c r="F607" s="2304"/>
      <c r="G607" s="2303"/>
      <c r="H607" s="1184"/>
      <c r="I607" s="1060"/>
    </row>
    <row r="608" spans="1:9" ht="41.25" customHeight="1" x14ac:dyDescent="0.2">
      <c r="A608" s="1185" t="s">
        <v>143</v>
      </c>
      <c r="B608" s="2305"/>
      <c r="C608" s="2306"/>
      <c r="D608" s="2305" t="s">
        <v>10118</v>
      </c>
      <c r="E608" s="2307"/>
      <c r="F608" s="2307"/>
      <c r="G608" s="2306"/>
      <c r="H608" s="1057"/>
      <c r="I608" s="1058"/>
    </row>
    <row r="609" spans="1:9" ht="25.5" customHeight="1" x14ac:dyDescent="0.2">
      <c r="A609" s="1185" t="s">
        <v>143</v>
      </c>
      <c r="B609" s="2302"/>
      <c r="C609" s="2303"/>
      <c r="D609" s="2302" t="s">
        <v>10119</v>
      </c>
      <c r="E609" s="2304"/>
      <c r="F609" s="2304"/>
      <c r="G609" s="2303"/>
      <c r="H609" s="1184"/>
      <c r="I609" s="1060"/>
    </row>
    <row r="610" spans="1:9" ht="25.5" customHeight="1" x14ac:dyDescent="0.2">
      <c r="A610" s="1185" t="s">
        <v>143</v>
      </c>
      <c r="B610" s="2302"/>
      <c r="C610" s="2303"/>
      <c r="D610" s="2323" t="s">
        <v>10120</v>
      </c>
      <c r="E610" s="2324"/>
      <c r="F610" s="2324"/>
      <c r="G610" s="2325"/>
      <c r="H610" s="1184"/>
      <c r="I610" s="1060"/>
    </row>
    <row r="611" spans="1:9" ht="25.5" customHeight="1" x14ac:dyDescent="0.2">
      <c r="A611" s="1185" t="s">
        <v>143</v>
      </c>
      <c r="B611" s="2302"/>
      <c r="C611" s="2303"/>
      <c r="D611" s="2323" t="s">
        <v>10121</v>
      </c>
      <c r="E611" s="2324"/>
      <c r="F611" s="2324"/>
      <c r="G611" s="2325"/>
      <c r="H611" s="1184"/>
      <c r="I611" s="1060"/>
    </row>
    <row r="612" spans="1:9" ht="25.5" customHeight="1" x14ac:dyDescent="0.2">
      <c r="A612" s="1185" t="s">
        <v>143</v>
      </c>
      <c r="B612" s="2302"/>
      <c r="C612" s="2303"/>
      <c r="D612" s="2323" t="s">
        <v>10122</v>
      </c>
      <c r="E612" s="2324"/>
      <c r="F612" s="2324"/>
      <c r="G612" s="2325"/>
      <c r="H612" s="1184"/>
      <c r="I612" s="1060"/>
    </row>
    <row r="613" spans="1:9" ht="25.5" customHeight="1" x14ac:dyDescent="0.2">
      <c r="A613" s="1185" t="s">
        <v>143</v>
      </c>
      <c r="B613" s="2302"/>
      <c r="C613" s="2303"/>
      <c r="D613" s="2323" t="s">
        <v>10123</v>
      </c>
      <c r="E613" s="2324"/>
      <c r="F613" s="2324"/>
      <c r="G613" s="2325"/>
      <c r="H613" s="1184"/>
      <c r="I613" s="1060"/>
    </row>
    <row r="614" spans="1:9" ht="25.5" customHeight="1" x14ac:dyDescent="0.2">
      <c r="A614" s="1185" t="s">
        <v>143</v>
      </c>
      <c r="B614" s="2302"/>
      <c r="C614" s="2303"/>
      <c r="D614" s="2302" t="s">
        <v>10124</v>
      </c>
      <c r="E614" s="2304"/>
      <c r="F614" s="2304"/>
      <c r="G614" s="2303"/>
      <c r="H614" s="1184"/>
      <c r="I614" s="1060"/>
    </row>
    <row r="615" spans="1:9" ht="25.5" customHeight="1" x14ac:dyDescent="0.2">
      <c r="A615" s="1185" t="s">
        <v>143</v>
      </c>
      <c r="B615" s="2302"/>
      <c r="C615" s="2303"/>
      <c r="D615" s="2302" t="s">
        <v>10125</v>
      </c>
      <c r="E615" s="2304"/>
      <c r="F615" s="2304"/>
      <c r="G615" s="2303"/>
      <c r="H615" s="1184"/>
      <c r="I615" s="1060"/>
    </row>
    <row r="616" spans="1:9" ht="12.75" customHeight="1" x14ac:dyDescent="0.2">
      <c r="A616" s="1183" t="s">
        <v>143</v>
      </c>
      <c r="B616" s="2320"/>
      <c r="C616" s="2321"/>
      <c r="D616" s="2320" t="s">
        <v>10126</v>
      </c>
      <c r="E616" s="2322"/>
      <c r="F616" s="2322"/>
      <c r="G616" s="2321"/>
      <c r="H616" s="1180"/>
      <c r="I616" s="1063"/>
    </row>
    <row r="617" spans="1:9" ht="94.5" customHeight="1" x14ac:dyDescent="0.2">
      <c r="A617" s="1182" t="s">
        <v>677</v>
      </c>
      <c r="B617" s="2311" t="s">
        <v>7680</v>
      </c>
      <c r="C617" s="2312"/>
      <c r="D617" s="2313" t="s">
        <v>7681</v>
      </c>
      <c r="E617" s="2314"/>
      <c r="F617" s="2314"/>
      <c r="G617" s="2315"/>
      <c r="H617" s="1179" t="s">
        <v>7967</v>
      </c>
      <c r="I617" s="1181">
        <f>ROUND((21000  + 62  * 756) * 1 * 0.6 * 1.154,0)</f>
        <v>46995</v>
      </c>
    </row>
    <row r="618" spans="1:9" ht="15.75" customHeight="1" x14ac:dyDescent="0.2">
      <c r="A618" s="1185" t="s">
        <v>143</v>
      </c>
      <c r="B618" s="2305"/>
      <c r="C618" s="2306"/>
      <c r="D618" s="2305" t="s">
        <v>572</v>
      </c>
      <c r="E618" s="2307"/>
      <c r="F618" s="2307"/>
      <c r="G618" s="2306"/>
      <c r="H618" s="1057"/>
      <c r="I618" s="1058"/>
    </row>
    <row r="619" spans="1:9" ht="25.5" customHeight="1" x14ac:dyDescent="0.2">
      <c r="A619" s="1185" t="s">
        <v>143</v>
      </c>
      <c r="B619" s="2302"/>
      <c r="C619" s="2303"/>
      <c r="D619" s="2302" t="s">
        <v>7769</v>
      </c>
      <c r="E619" s="2304"/>
      <c r="F619" s="2304"/>
      <c r="G619" s="2303"/>
      <c r="H619" s="1184"/>
      <c r="I619" s="1060"/>
    </row>
    <row r="620" spans="1:9" ht="89.25" customHeight="1" x14ac:dyDescent="0.2">
      <c r="A620" s="1185" t="s">
        <v>143</v>
      </c>
      <c r="B620" s="2302"/>
      <c r="C620" s="2303"/>
      <c r="D620" s="2302" t="s">
        <v>7869</v>
      </c>
      <c r="E620" s="2304"/>
      <c r="F620" s="2304"/>
      <c r="G620" s="2303"/>
      <c r="H620" s="1184"/>
      <c r="I620" s="1060"/>
    </row>
    <row r="621" spans="1:9" ht="79.5" customHeight="1" x14ac:dyDescent="0.2">
      <c r="A621" s="1185" t="s">
        <v>143</v>
      </c>
      <c r="B621" s="2305"/>
      <c r="C621" s="2306"/>
      <c r="D621" s="2305" t="s">
        <v>7870</v>
      </c>
      <c r="E621" s="2307"/>
      <c r="F621" s="2307"/>
      <c r="G621" s="2306"/>
      <c r="H621" s="1057"/>
      <c r="I621" s="1058"/>
    </row>
    <row r="622" spans="1:9" ht="25.5" customHeight="1" x14ac:dyDescent="0.2">
      <c r="A622" s="1185" t="s">
        <v>143</v>
      </c>
      <c r="B622" s="2302"/>
      <c r="C622" s="2303"/>
      <c r="D622" s="2302" t="s">
        <v>7871</v>
      </c>
      <c r="E622" s="2304"/>
      <c r="F622" s="2304"/>
      <c r="G622" s="2303"/>
      <c r="H622" s="1184"/>
      <c r="I622" s="1060"/>
    </row>
    <row r="623" spans="1:9" ht="25.5" customHeight="1" x14ac:dyDescent="0.2">
      <c r="A623" s="1185" t="s">
        <v>143</v>
      </c>
      <c r="B623" s="2302"/>
      <c r="C623" s="2303"/>
      <c r="D623" s="2323" t="s">
        <v>7968</v>
      </c>
      <c r="E623" s="2324"/>
      <c r="F623" s="2324"/>
      <c r="G623" s="2325"/>
      <c r="H623" s="1184"/>
      <c r="I623" s="1060"/>
    </row>
    <row r="624" spans="1:9" ht="25.5" customHeight="1" x14ac:dyDescent="0.2">
      <c r="A624" s="1185" t="s">
        <v>143</v>
      </c>
      <c r="B624" s="2302"/>
      <c r="C624" s="2303"/>
      <c r="D624" s="2323" t="s">
        <v>7969</v>
      </c>
      <c r="E624" s="2324"/>
      <c r="F624" s="2324"/>
      <c r="G624" s="2325"/>
      <c r="H624" s="1184"/>
      <c r="I624" s="1060"/>
    </row>
    <row r="625" spans="1:9" ht="25.5" customHeight="1" x14ac:dyDescent="0.2">
      <c r="A625" s="1185" t="s">
        <v>143</v>
      </c>
      <c r="B625" s="2302"/>
      <c r="C625" s="2303"/>
      <c r="D625" s="2323" t="s">
        <v>7970</v>
      </c>
      <c r="E625" s="2324"/>
      <c r="F625" s="2324"/>
      <c r="G625" s="2325"/>
      <c r="H625" s="1184"/>
      <c r="I625" s="1060"/>
    </row>
    <row r="626" spans="1:9" ht="25.5" customHeight="1" x14ac:dyDescent="0.2">
      <c r="A626" s="1185" t="s">
        <v>143</v>
      </c>
      <c r="B626" s="2302"/>
      <c r="C626" s="2303"/>
      <c r="D626" s="2323" t="s">
        <v>7971</v>
      </c>
      <c r="E626" s="2324"/>
      <c r="F626" s="2324"/>
      <c r="G626" s="2325"/>
      <c r="H626" s="1184"/>
      <c r="I626" s="1060"/>
    </row>
    <row r="627" spans="1:9" ht="25.5" customHeight="1" x14ac:dyDescent="0.2">
      <c r="A627" s="1185" t="s">
        <v>143</v>
      </c>
      <c r="B627" s="2302"/>
      <c r="C627" s="2303"/>
      <c r="D627" s="2302" t="s">
        <v>7972</v>
      </c>
      <c r="E627" s="2304"/>
      <c r="F627" s="2304"/>
      <c r="G627" s="2303"/>
      <c r="H627" s="1184"/>
      <c r="I627" s="1060"/>
    </row>
    <row r="628" spans="1:9" ht="25.5" customHeight="1" x14ac:dyDescent="0.2">
      <c r="A628" s="1185" t="s">
        <v>143</v>
      </c>
      <c r="B628" s="2302"/>
      <c r="C628" s="2303"/>
      <c r="D628" s="2323" t="s">
        <v>7973</v>
      </c>
      <c r="E628" s="2324"/>
      <c r="F628" s="2324"/>
      <c r="G628" s="2325"/>
      <c r="H628" s="1184"/>
      <c r="I628" s="1060"/>
    </row>
    <row r="629" spans="1:9" ht="25.5" customHeight="1" x14ac:dyDescent="0.2">
      <c r="A629" s="1185" t="s">
        <v>143</v>
      </c>
      <c r="B629" s="2302"/>
      <c r="C629" s="2303"/>
      <c r="D629" s="2323" t="s">
        <v>7974</v>
      </c>
      <c r="E629" s="2324"/>
      <c r="F629" s="2324"/>
      <c r="G629" s="2325"/>
      <c r="H629" s="1184"/>
      <c r="I629" s="1060"/>
    </row>
    <row r="630" spans="1:9" ht="25.5" customHeight="1" x14ac:dyDescent="0.2">
      <c r="A630" s="1185" t="s">
        <v>143</v>
      </c>
      <c r="B630" s="2302"/>
      <c r="C630" s="2303"/>
      <c r="D630" s="2302" t="s">
        <v>7975</v>
      </c>
      <c r="E630" s="2304"/>
      <c r="F630" s="2304"/>
      <c r="G630" s="2303"/>
      <c r="H630" s="1184"/>
      <c r="I630" s="1060"/>
    </row>
    <row r="631" spans="1:9" ht="25.5" customHeight="1" x14ac:dyDescent="0.2">
      <c r="A631" s="1185" t="s">
        <v>143</v>
      </c>
      <c r="B631" s="2302"/>
      <c r="C631" s="2303"/>
      <c r="D631" s="2302" t="s">
        <v>7976</v>
      </c>
      <c r="E631" s="2304"/>
      <c r="F631" s="2304"/>
      <c r="G631" s="2303"/>
      <c r="H631" s="1184"/>
      <c r="I631" s="1060"/>
    </row>
    <row r="632" spans="1:9" ht="12.75" customHeight="1" x14ac:dyDescent="0.2">
      <c r="A632" s="1183" t="s">
        <v>143</v>
      </c>
      <c r="B632" s="2320"/>
      <c r="C632" s="2321"/>
      <c r="D632" s="2320" t="s">
        <v>7977</v>
      </c>
      <c r="E632" s="2322"/>
      <c r="F632" s="2322"/>
      <c r="G632" s="2321"/>
      <c r="H632" s="1180"/>
      <c r="I632" s="1063"/>
    </row>
    <row r="633" spans="1:9" ht="107.25" customHeight="1" x14ac:dyDescent="0.2">
      <c r="A633" s="1182" t="s">
        <v>326</v>
      </c>
      <c r="B633" s="2335" t="s">
        <v>7690</v>
      </c>
      <c r="C633" s="2336"/>
      <c r="D633" s="2313" t="s">
        <v>7691</v>
      </c>
      <c r="E633" s="2314"/>
      <c r="F633" s="2314"/>
      <c r="G633" s="2315"/>
      <c r="H633" s="1179" t="s">
        <v>7978</v>
      </c>
      <c r="I633" s="1181">
        <f>ROUND((36610  + 4570  * 2) * 1 * 0.6 * 1.146,0)</f>
        <v>31458</v>
      </c>
    </row>
    <row r="634" spans="1:9" ht="15.75" customHeight="1" x14ac:dyDescent="0.2">
      <c r="A634" s="1185" t="s">
        <v>143</v>
      </c>
      <c r="B634" s="2305"/>
      <c r="C634" s="2306"/>
      <c r="D634" s="2305" t="s">
        <v>572</v>
      </c>
      <c r="E634" s="2307"/>
      <c r="F634" s="2307"/>
      <c r="G634" s="2306"/>
      <c r="H634" s="1057"/>
      <c r="I634" s="1058"/>
    </row>
    <row r="635" spans="1:9" ht="25.5" customHeight="1" x14ac:dyDescent="0.2">
      <c r="A635" s="1185" t="s">
        <v>143</v>
      </c>
      <c r="B635" s="2302"/>
      <c r="C635" s="2303"/>
      <c r="D635" s="2302" t="s">
        <v>7769</v>
      </c>
      <c r="E635" s="2304"/>
      <c r="F635" s="2304"/>
      <c r="G635" s="2303"/>
      <c r="H635" s="1184"/>
      <c r="I635" s="1060"/>
    </row>
    <row r="636" spans="1:9" ht="89.25" customHeight="1" x14ac:dyDescent="0.2">
      <c r="A636" s="1185" t="s">
        <v>143</v>
      </c>
      <c r="B636" s="2302"/>
      <c r="C636" s="2303"/>
      <c r="D636" s="2302" t="s">
        <v>7979</v>
      </c>
      <c r="E636" s="2304"/>
      <c r="F636" s="2304"/>
      <c r="G636" s="2303"/>
      <c r="H636" s="1184"/>
      <c r="I636" s="1060"/>
    </row>
    <row r="637" spans="1:9" ht="92.25" customHeight="1" x14ac:dyDescent="0.2">
      <c r="A637" s="1185" t="s">
        <v>143</v>
      </c>
      <c r="B637" s="2305"/>
      <c r="C637" s="2306"/>
      <c r="D637" s="2305" t="s">
        <v>7980</v>
      </c>
      <c r="E637" s="2307"/>
      <c r="F637" s="2307"/>
      <c r="G637" s="2306"/>
      <c r="H637" s="1057"/>
      <c r="I637" s="1058"/>
    </row>
    <row r="638" spans="1:9" ht="25.5" customHeight="1" x14ac:dyDescent="0.2">
      <c r="A638" s="1185" t="s">
        <v>143</v>
      </c>
      <c r="B638" s="2302"/>
      <c r="C638" s="2303"/>
      <c r="D638" s="2302" t="s">
        <v>7981</v>
      </c>
      <c r="E638" s="2304"/>
      <c r="F638" s="2304"/>
      <c r="G638" s="2303"/>
      <c r="H638" s="1184"/>
      <c r="I638" s="1060"/>
    </row>
    <row r="639" spans="1:9" ht="12.75" customHeight="1" x14ac:dyDescent="0.2">
      <c r="A639" s="1185" t="s">
        <v>143</v>
      </c>
      <c r="B639" s="2302"/>
      <c r="C639" s="2303"/>
      <c r="D639" s="2302" t="s">
        <v>7982</v>
      </c>
      <c r="E639" s="2304"/>
      <c r="F639" s="2304"/>
      <c r="G639" s="2303"/>
      <c r="H639" s="1184"/>
      <c r="I639" s="1060"/>
    </row>
    <row r="640" spans="1:9" ht="25.5" customHeight="1" x14ac:dyDescent="0.2">
      <c r="A640" s="1185" t="s">
        <v>143</v>
      </c>
      <c r="B640" s="2302"/>
      <c r="C640" s="2303"/>
      <c r="D640" s="2302" t="s">
        <v>7983</v>
      </c>
      <c r="E640" s="2304"/>
      <c r="F640" s="2304"/>
      <c r="G640" s="2303"/>
      <c r="H640" s="1184"/>
      <c r="I640" s="1060"/>
    </row>
    <row r="641" spans="1:9" ht="12.75" customHeight="1" x14ac:dyDescent="0.2">
      <c r="A641" s="1185" t="s">
        <v>143</v>
      </c>
      <c r="B641" s="2302"/>
      <c r="C641" s="2303"/>
      <c r="D641" s="2302" t="s">
        <v>7878</v>
      </c>
      <c r="E641" s="2304"/>
      <c r="F641" s="2304"/>
      <c r="G641" s="2303"/>
      <c r="H641" s="1184"/>
      <c r="I641" s="1060"/>
    </row>
    <row r="642" spans="1:9" ht="25.5" customHeight="1" x14ac:dyDescent="0.2">
      <c r="A642" s="1185" t="s">
        <v>143</v>
      </c>
      <c r="B642" s="2302"/>
      <c r="C642" s="2303"/>
      <c r="D642" s="2302" t="s">
        <v>7984</v>
      </c>
      <c r="E642" s="2304"/>
      <c r="F642" s="2304"/>
      <c r="G642" s="2303"/>
      <c r="H642" s="1184"/>
      <c r="I642" s="1060"/>
    </row>
    <row r="643" spans="1:9" ht="25.5" customHeight="1" x14ac:dyDescent="0.2">
      <c r="A643" s="1185" t="s">
        <v>143</v>
      </c>
      <c r="B643" s="2302"/>
      <c r="C643" s="2303"/>
      <c r="D643" s="2302" t="s">
        <v>7985</v>
      </c>
      <c r="E643" s="2304"/>
      <c r="F643" s="2304"/>
      <c r="G643" s="2303"/>
      <c r="H643" s="1184"/>
      <c r="I643" s="1060"/>
    </row>
    <row r="644" spans="1:9" ht="25.5" customHeight="1" x14ac:dyDescent="0.2">
      <c r="A644" s="1185" t="s">
        <v>143</v>
      </c>
      <c r="B644" s="2302"/>
      <c r="C644" s="2303"/>
      <c r="D644" s="2302" t="s">
        <v>7986</v>
      </c>
      <c r="E644" s="2304"/>
      <c r="F644" s="2304"/>
      <c r="G644" s="2303"/>
      <c r="H644" s="1184"/>
      <c r="I644" s="1060"/>
    </row>
    <row r="645" spans="1:9" ht="25.5" customHeight="1" x14ac:dyDescent="0.2">
      <c r="A645" s="1185" t="s">
        <v>143</v>
      </c>
      <c r="B645" s="2302"/>
      <c r="C645" s="2303"/>
      <c r="D645" s="2302" t="s">
        <v>7987</v>
      </c>
      <c r="E645" s="2304"/>
      <c r="F645" s="2304"/>
      <c r="G645" s="2303"/>
      <c r="H645" s="1184"/>
      <c r="I645" s="1060"/>
    </row>
    <row r="646" spans="1:9" ht="25.5" customHeight="1" x14ac:dyDescent="0.2">
      <c r="A646" s="1185" t="s">
        <v>143</v>
      </c>
      <c r="B646" s="2302"/>
      <c r="C646" s="2303"/>
      <c r="D646" s="2302" t="s">
        <v>7988</v>
      </c>
      <c r="E646" s="2304"/>
      <c r="F646" s="2304"/>
      <c r="G646" s="2303"/>
      <c r="H646" s="1184"/>
      <c r="I646" s="1060"/>
    </row>
    <row r="647" spans="1:9" ht="25.5" customHeight="1" x14ac:dyDescent="0.2">
      <c r="A647" s="1185" t="s">
        <v>143</v>
      </c>
      <c r="B647" s="2302"/>
      <c r="C647" s="2303"/>
      <c r="D647" s="2302" t="s">
        <v>7989</v>
      </c>
      <c r="E647" s="2304"/>
      <c r="F647" s="2304"/>
      <c r="G647" s="2303"/>
      <c r="H647" s="1184"/>
      <c r="I647" s="1060"/>
    </row>
    <row r="648" spans="1:9" ht="25.5" customHeight="1" x14ac:dyDescent="0.2">
      <c r="A648" s="1185" t="s">
        <v>143</v>
      </c>
      <c r="B648" s="2302"/>
      <c r="C648" s="2303"/>
      <c r="D648" s="2302" t="s">
        <v>7990</v>
      </c>
      <c r="E648" s="2304"/>
      <c r="F648" s="2304"/>
      <c r="G648" s="2303"/>
      <c r="H648" s="1184"/>
      <c r="I648" s="1060"/>
    </row>
    <row r="649" spans="1:9" ht="25.5" customHeight="1" x14ac:dyDescent="0.2">
      <c r="A649" s="1185" t="s">
        <v>143</v>
      </c>
      <c r="B649" s="2302"/>
      <c r="C649" s="2303"/>
      <c r="D649" s="2302" t="s">
        <v>7991</v>
      </c>
      <c r="E649" s="2304"/>
      <c r="F649" s="2304"/>
      <c r="G649" s="2303"/>
      <c r="H649" s="1184"/>
      <c r="I649" s="1060"/>
    </row>
    <row r="650" spans="1:9" ht="25.5" customHeight="1" x14ac:dyDescent="0.2">
      <c r="A650" s="1185" t="s">
        <v>143</v>
      </c>
      <c r="B650" s="2302"/>
      <c r="C650" s="2303"/>
      <c r="D650" s="2302" t="s">
        <v>7992</v>
      </c>
      <c r="E650" s="2304"/>
      <c r="F650" s="2304"/>
      <c r="G650" s="2303"/>
      <c r="H650" s="1184"/>
      <c r="I650" s="1060"/>
    </row>
    <row r="651" spans="1:9" ht="12.75" customHeight="1" x14ac:dyDescent="0.2">
      <c r="A651" s="1183" t="s">
        <v>143</v>
      </c>
      <c r="B651" s="2320"/>
      <c r="C651" s="2321"/>
      <c r="D651" s="2320" t="s">
        <v>7993</v>
      </c>
      <c r="E651" s="2322"/>
      <c r="F651" s="2322"/>
      <c r="G651" s="2321"/>
      <c r="H651" s="1180"/>
      <c r="I651" s="1063"/>
    </row>
    <row r="652" spans="1:9" ht="119.85" customHeight="1" x14ac:dyDescent="0.2">
      <c r="A652" s="1182" t="s">
        <v>774</v>
      </c>
      <c r="B652" s="2335" t="s">
        <v>7701</v>
      </c>
      <c r="C652" s="2336"/>
      <c r="D652" s="2313" t="s">
        <v>7702</v>
      </c>
      <c r="E652" s="2314"/>
      <c r="F652" s="2314"/>
      <c r="G652" s="2315"/>
      <c r="H652" s="1179" t="s">
        <v>7994</v>
      </c>
      <c r="I652" s="1181">
        <f>ROUND((36610  + 4570  * (0.4 * 12 + 0.6 * 76)) * 1 * 0.6 * 1.1 * 1.146,0)</f>
        <v>201901</v>
      </c>
    </row>
    <row r="653" spans="1:9" ht="15.75" customHeight="1" x14ac:dyDescent="0.2">
      <c r="A653" s="1185" t="s">
        <v>143</v>
      </c>
      <c r="B653" s="2305"/>
      <c r="C653" s="2306"/>
      <c r="D653" s="2305" t="s">
        <v>572</v>
      </c>
      <c r="E653" s="2307"/>
      <c r="F653" s="2307"/>
      <c r="G653" s="2306"/>
      <c r="H653" s="1057"/>
      <c r="I653" s="1058"/>
    </row>
    <row r="654" spans="1:9" ht="25.5" customHeight="1" x14ac:dyDescent="0.2">
      <c r="A654" s="1185" t="s">
        <v>143</v>
      </c>
      <c r="B654" s="2302"/>
      <c r="C654" s="2303"/>
      <c r="D654" s="2302" t="s">
        <v>7769</v>
      </c>
      <c r="E654" s="2304"/>
      <c r="F654" s="2304"/>
      <c r="G654" s="2303"/>
      <c r="H654" s="1184"/>
      <c r="I654" s="1060"/>
    </row>
    <row r="655" spans="1:9" ht="102" customHeight="1" x14ac:dyDescent="0.2">
      <c r="A655" s="1185" t="s">
        <v>143</v>
      </c>
      <c r="B655" s="2302"/>
      <c r="C655" s="2303"/>
      <c r="D655" s="2302" t="s">
        <v>7703</v>
      </c>
      <c r="E655" s="2304"/>
      <c r="F655" s="2304"/>
      <c r="G655" s="2303"/>
      <c r="H655" s="1184"/>
      <c r="I655" s="1060"/>
    </row>
    <row r="656" spans="1:9" ht="89.25" customHeight="1" x14ac:dyDescent="0.2">
      <c r="A656" s="1185" t="s">
        <v>143</v>
      </c>
      <c r="B656" s="2302"/>
      <c r="C656" s="2303"/>
      <c r="D656" s="2302" t="s">
        <v>7783</v>
      </c>
      <c r="E656" s="2304"/>
      <c r="F656" s="2304"/>
      <c r="G656" s="2303"/>
      <c r="H656" s="1184"/>
      <c r="I656" s="1060"/>
    </row>
    <row r="657" spans="1:9" ht="92.25" customHeight="1" x14ac:dyDescent="0.2">
      <c r="A657" s="1185" t="s">
        <v>143</v>
      </c>
      <c r="B657" s="2305"/>
      <c r="C657" s="2306"/>
      <c r="D657" s="2305" t="s">
        <v>7980</v>
      </c>
      <c r="E657" s="2307"/>
      <c r="F657" s="2307"/>
      <c r="G657" s="2306"/>
      <c r="H657" s="1057"/>
      <c r="I657" s="1058"/>
    </row>
    <row r="658" spans="1:9" ht="25.5" customHeight="1" x14ac:dyDescent="0.2">
      <c r="A658" s="1185" t="s">
        <v>143</v>
      </c>
      <c r="B658" s="2302"/>
      <c r="C658" s="2303"/>
      <c r="D658" s="2302" t="s">
        <v>7995</v>
      </c>
      <c r="E658" s="2304"/>
      <c r="F658" s="2304"/>
      <c r="G658" s="2303"/>
      <c r="H658" s="1184"/>
      <c r="I658" s="1060"/>
    </row>
    <row r="659" spans="1:9" ht="12.75" customHeight="1" x14ac:dyDescent="0.2">
      <c r="A659" s="1185" t="s">
        <v>143</v>
      </c>
      <c r="B659" s="2302"/>
      <c r="C659" s="2303"/>
      <c r="D659" s="2302" t="s">
        <v>7996</v>
      </c>
      <c r="E659" s="2304"/>
      <c r="F659" s="2304"/>
      <c r="G659" s="2303"/>
      <c r="H659" s="1184"/>
      <c r="I659" s="1060"/>
    </row>
    <row r="660" spans="1:9" ht="25.5" customHeight="1" x14ac:dyDescent="0.2">
      <c r="A660" s="1185" t="s">
        <v>143</v>
      </c>
      <c r="B660" s="2302"/>
      <c r="C660" s="2303"/>
      <c r="D660" s="2302" t="s">
        <v>7997</v>
      </c>
      <c r="E660" s="2304"/>
      <c r="F660" s="2304"/>
      <c r="G660" s="2303"/>
      <c r="H660" s="1184"/>
      <c r="I660" s="1060"/>
    </row>
    <row r="661" spans="1:9" ht="12.75" customHeight="1" x14ac:dyDescent="0.2">
      <c r="A661" s="1185" t="s">
        <v>143</v>
      </c>
      <c r="B661" s="2302"/>
      <c r="C661" s="2303"/>
      <c r="D661" s="2302" t="s">
        <v>7878</v>
      </c>
      <c r="E661" s="2304"/>
      <c r="F661" s="2304"/>
      <c r="G661" s="2303"/>
      <c r="H661" s="1184"/>
      <c r="I661" s="1060"/>
    </row>
    <row r="662" spans="1:9" ht="25.5" customHeight="1" x14ac:dyDescent="0.2">
      <c r="A662" s="1185" t="s">
        <v>143</v>
      </c>
      <c r="B662" s="2302"/>
      <c r="C662" s="2303"/>
      <c r="D662" s="2302" t="s">
        <v>7998</v>
      </c>
      <c r="E662" s="2304"/>
      <c r="F662" s="2304"/>
      <c r="G662" s="2303"/>
      <c r="H662" s="1184"/>
      <c r="I662" s="1060"/>
    </row>
    <row r="663" spans="1:9" ht="25.5" customHeight="1" x14ac:dyDescent="0.2">
      <c r="A663" s="1185" t="s">
        <v>143</v>
      </c>
      <c r="B663" s="2302"/>
      <c r="C663" s="2303"/>
      <c r="D663" s="2302" t="s">
        <v>7999</v>
      </c>
      <c r="E663" s="2304"/>
      <c r="F663" s="2304"/>
      <c r="G663" s="2303"/>
      <c r="H663" s="1184"/>
      <c r="I663" s="1060"/>
    </row>
    <row r="664" spans="1:9" ht="25.5" customHeight="1" x14ac:dyDescent="0.2">
      <c r="A664" s="1185" t="s">
        <v>143</v>
      </c>
      <c r="B664" s="2302"/>
      <c r="C664" s="2303"/>
      <c r="D664" s="2302" t="s">
        <v>8000</v>
      </c>
      <c r="E664" s="2304"/>
      <c r="F664" s="2304"/>
      <c r="G664" s="2303"/>
      <c r="H664" s="1184"/>
      <c r="I664" s="1060"/>
    </row>
    <row r="665" spans="1:9" ht="25.5" customHeight="1" x14ac:dyDescent="0.2">
      <c r="A665" s="1185" t="s">
        <v>143</v>
      </c>
      <c r="B665" s="2302"/>
      <c r="C665" s="2303"/>
      <c r="D665" s="2302" t="s">
        <v>8001</v>
      </c>
      <c r="E665" s="2304"/>
      <c r="F665" s="2304"/>
      <c r="G665" s="2303"/>
      <c r="H665" s="1184"/>
      <c r="I665" s="1060"/>
    </row>
    <row r="666" spans="1:9" ht="25.5" customHeight="1" x14ac:dyDescent="0.2">
      <c r="A666" s="1185" t="s">
        <v>143</v>
      </c>
      <c r="B666" s="2302"/>
      <c r="C666" s="2303"/>
      <c r="D666" s="2302" t="s">
        <v>8002</v>
      </c>
      <c r="E666" s="2304"/>
      <c r="F666" s="2304"/>
      <c r="G666" s="2303"/>
      <c r="H666" s="1184"/>
      <c r="I666" s="1060"/>
    </row>
    <row r="667" spans="1:9" ht="25.5" customHeight="1" x14ac:dyDescent="0.2">
      <c r="A667" s="1185" t="s">
        <v>143</v>
      </c>
      <c r="B667" s="2302"/>
      <c r="C667" s="2303"/>
      <c r="D667" s="2302" t="s">
        <v>8003</v>
      </c>
      <c r="E667" s="2304"/>
      <c r="F667" s="2304"/>
      <c r="G667" s="2303"/>
      <c r="H667" s="1184"/>
      <c r="I667" s="1060"/>
    </row>
    <row r="668" spans="1:9" ht="25.5" customHeight="1" x14ac:dyDescent="0.2">
      <c r="A668" s="1185" t="s">
        <v>143</v>
      </c>
      <c r="B668" s="2302"/>
      <c r="C668" s="2303"/>
      <c r="D668" s="2302" t="s">
        <v>8004</v>
      </c>
      <c r="E668" s="2304"/>
      <c r="F668" s="2304"/>
      <c r="G668" s="2303"/>
      <c r="H668" s="1184"/>
      <c r="I668" s="1060"/>
    </row>
    <row r="669" spans="1:9" ht="25.5" customHeight="1" x14ac:dyDescent="0.2">
      <c r="A669" s="1185" t="s">
        <v>143</v>
      </c>
      <c r="B669" s="2302"/>
      <c r="C669" s="2303"/>
      <c r="D669" s="2302" t="s">
        <v>8005</v>
      </c>
      <c r="E669" s="2304"/>
      <c r="F669" s="2304"/>
      <c r="G669" s="2303"/>
      <c r="H669" s="1184"/>
      <c r="I669" s="1060"/>
    </row>
    <row r="670" spans="1:9" ht="25.5" customHeight="1" x14ac:dyDescent="0.2">
      <c r="A670" s="1185" t="s">
        <v>143</v>
      </c>
      <c r="B670" s="2302"/>
      <c r="C670" s="2303"/>
      <c r="D670" s="2302" t="s">
        <v>8006</v>
      </c>
      <c r="E670" s="2304"/>
      <c r="F670" s="2304"/>
      <c r="G670" s="2303"/>
      <c r="H670" s="1184"/>
      <c r="I670" s="1060"/>
    </row>
    <row r="671" spans="1:9" ht="12.75" customHeight="1" x14ac:dyDescent="0.2">
      <c r="A671" s="1183" t="s">
        <v>143</v>
      </c>
      <c r="B671" s="2320"/>
      <c r="C671" s="2321"/>
      <c r="D671" s="2320" t="s">
        <v>8007</v>
      </c>
      <c r="E671" s="2322"/>
      <c r="F671" s="2322"/>
      <c r="G671" s="2321"/>
      <c r="H671" s="1180"/>
      <c r="I671" s="1063"/>
    </row>
    <row r="672" spans="1:9" ht="94.5" customHeight="1" x14ac:dyDescent="0.2">
      <c r="A672" s="1182" t="s">
        <v>775</v>
      </c>
      <c r="B672" s="2311" t="s">
        <v>7705</v>
      </c>
      <c r="C672" s="2312"/>
      <c r="D672" s="2313" t="s">
        <v>7706</v>
      </c>
      <c r="E672" s="2314"/>
      <c r="F672" s="2314"/>
      <c r="G672" s="2315"/>
      <c r="H672" s="1179" t="s">
        <v>8008</v>
      </c>
      <c r="I672" s="1181">
        <f>ROUND(85450  * 1 * 0.6 * 0.5 * 1.146,0)</f>
        <v>29378</v>
      </c>
    </row>
    <row r="673" spans="1:9" ht="15.75" customHeight="1" x14ac:dyDescent="0.2">
      <c r="A673" s="1185" t="s">
        <v>143</v>
      </c>
      <c r="B673" s="2305"/>
      <c r="C673" s="2306"/>
      <c r="D673" s="2305" t="s">
        <v>572</v>
      </c>
      <c r="E673" s="2307"/>
      <c r="F673" s="2307"/>
      <c r="G673" s="2306"/>
      <c r="H673" s="1057"/>
      <c r="I673" s="1058"/>
    </row>
    <row r="674" spans="1:9" ht="25.5" customHeight="1" x14ac:dyDescent="0.2">
      <c r="A674" s="1185" t="s">
        <v>143</v>
      </c>
      <c r="B674" s="2302"/>
      <c r="C674" s="2303"/>
      <c r="D674" s="2302" t="s">
        <v>7769</v>
      </c>
      <c r="E674" s="2304"/>
      <c r="F674" s="2304"/>
      <c r="G674" s="2303"/>
      <c r="H674" s="1184"/>
      <c r="I674" s="1060"/>
    </row>
    <row r="675" spans="1:9" ht="25.5" customHeight="1" x14ac:dyDescent="0.2">
      <c r="A675" s="1185" t="s">
        <v>143</v>
      </c>
      <c r="B675" s="2302"/>
      <c r="C675" s="2303"/>
      <c r="D675" s="2302" t="s">
        <v>7707</v>
      </c>
      <c r="E675" s="2304"/>
      <c r="F675" s="2304"/>
      <c r="G675" s="2303"/>
      <c r="H675" s="1184"/>
      <c r="I675" s="1060"/>
    </row>
    <row r="676" spans="1:9" ht="89.25" customHeight="1" x14ac:dyDescent="0.2">
      <c r="A676" s="1185" t="s">
        <v>143</v>
      </c>
      <c r="B676" s="2302"/>
      <c r="C676" s="2303"/>
      <c r="D676" s="2302" t="s">
        <v>7783</v>
      </c>
      <c r="E676" s="2304"/>
      <c r="F676" s="2304"/>
      <c r="G676" s="2303"/>
      <c r="H676" s="1184"/>
      <c r="I676" s="1060"/>
    </row>
    <row r="677" spans="1:9" ht="92.25" customHeight="1" x14ac:dyDescent="0.2">
      <c r="A677" s="1185" t="s">
        <v>143</v>
      </c>
      <c r="B677" s="2305"/>
      <c r="C677" s="2306"/>
      <c r="D677" s="2305" t="s">
        <v>7980</v>
      </c>
      <c r="E677" s="2307"/>
      <c r="F677" s="2307"/>
      <c r="G677" s="2306"/>
      <c r="H677" s="1057"/>
      <c r="I677" s="1058"/>
    </row>
    <row r="678" spans="1:9" ht="25.5" customHeight="1" x14ac:dyDescent="0.2">
      <c r="A678" s="1185" t="s">
        <v>143</v>
      </c>
      <c r="B678" s="2302"/>
      <c r="C678" s="2303"/>
      <c r="D678" s="2302" t="s">
        <v>8009</v>
      </c>
      <c r="E678" s="2304"/>
      <c r="F678" s="2304"/>
      <c r="G678" s="2303"/>
      <c r="H678" s="1184"/>
      <c r="I678" s="1060"/>
    </row>
    <row r="679" spans="1:9" ht="12.75" customHeight="1" x14ac:dyDescent="0.2">
      <c r="A679" s="1185" t="s">
        <v>143</v>
      </c>
      <c r="B679" s="2302"/>
      <c r="C679" s="2303"/>
      <c r="D679" s="2302" t="s">
        <v>8010</v>
      </c>
      <c r="E679" s="2304"/>
      <c r="F679" s="2304"/>
      <c r="G679" s="2303"/>
      <c r="H679" s="1184"/>
      <c r="I679" s="1060"/>
    </row>
    <row r="680" spans="1:9" ht="25.5" customHeight="1" x14ac:dyDescent="0.2">
      <c r="A680" s="1185" t="s">
        <v>143</v>
      </c>
      <c r="B680" s="2302"/>
      <c r="C680" s="2303"/>
      <c r="D680" s="2302" t="s">
        <v>8011</v>
      </c>
      <c r="E680" s="2304"/>
      <c r="F680" s="2304"/>
      <c r="G680" s="2303"/>
      <c r="H680" s="1184"/>
      <c r="I680" s="1060"/>
    </row>
    <row r="681" spans="1:9" ht="12.75" customHeight="1" x14ac:dyDescent="0.2">
      <c r="A681" s="1185" t="s">
        <v>143</v>
      </c>
      <c r="B681" s="2302"/>
      <c r="C681" s="2303"/>
      <c r="D681" s="2302" t="s">
        <v>7878</v>
      </c>
      <c r="E681" s="2304"/>
      <c r="F681" s="2304"/>
      <c r="G681" s="2303"/>
      <c r="H681" s="1184"/>
      <c r="I681" s="1060"/>
    </row>
    <row r="682" spans="1:9" ht="25.5" customHeight="1" x14ac:dyDescent="0.2">
      <c r="A682" s="1185" t="s">
        <v>143</v>
      </c>
      <c r="B682" s="2302"/>
      <c r="C682" s="2303"/>
      <c r="D682" s="2302" t="s">
        <v>8012</v>
      </c>
      <c r="E682" s="2304"/>
      <c r="F682" s="2304"/>
      <c r="G682" s="2303"/>
      <c r="H682" s="1184"/>
      <c r="I682" s="1060"/>
    </row>
    <row r="683" spans="1:9" ht="25.5" customHeight="1" x14ac:dyDescent="0.2">
      <c r="A683" s="1185" t="s">
        <v>143</v>
      </c>
      <c r="B683" s="2302"/>
      <c r="C683" s="2303"/>
      <c r="D683" s="2302" t="s">
        <v>8013</v>
      </c>
      <c r="E683" s="2304"/>
      <c r="F683" s="2304"/>
      <c r="G683" s="2303"/>
      <c r="H683" s="1184"/>
      <c r="I683" s="1060"/>
    </row>
    <row r="684" spans="1:9" ht="25.5" customHeight="1" x14ac:dyDescent="0.2">
      <c r="A684" s="1185" t="s">
        <v>143</v>
      </c>
      <c r="B684" s="2302"/>
      <c r="C684" s="2303"/>
      <c r="D684" s="2302" t="s">
        <v>8014</v>
      </c>
      <c r="E684" s="2304"/>
      <c r="F684" s="2304"/>
      <c r="G684" s="2303"/>
      <c r="H684" s="1184"/>
      <c r="I684" s="1060"/>
    </row>
    <row r="685" spans="1:9" ht="25.5" customHeight="1" x14ac:dyDescent="0.2">
      <c r="A685" s="1185" t="s">
        <v>143</v>
      </c>
      <c r="B685" s="2302"/>
      <c r="C685" s="2303"/>
      <c r="D685" s="2302" t="s">
        <v>8015</v>
      </c>
      <c r="E685" s="2304"/>
      <c r="F685" s="2304"/>
      <c r="G685" s="2303"/>
      <c r="H685" s="1184"/>
      <c r="I685" s="1060"/>
    </row>
    <row r="686" spans="1:9" ht="25.5" customHeight="1" x14ac:dyDescent="0.2">
      <c r="A686" s="1185" t="s">
        <v>143</v>
      </c>
      <c r="B686" s="2302"/>
      <c r="C686" s="2303"/>
      <c r="D686" s="2302" t="s">
        <v>8016</v>
      </c>
      <c r="E686" s="2304"/>
      <c r="F686" s="2304"/>
      <c r="G686" s="2303"/>
      <c r="H686" s="1184"/>
      <c r="I686" s="1060"/>
    </row>
    <row r="687" spans="1:9" ht="25.5" customHeight="1" x14ac:dyDescent="0.2">
      <c r="A687" s="1185" t="s">
        <v>143</v>
      </c>
      <c r="B687" s="2302"/>
      <c r="C687" s="2303"/>
      <c r="D687" s="2302" t="s">
        <v>8017</v>
      </c>
      <c r="E687" s="2304"/>
      <c r="F687" s="2304"/>
      <c r="G687" s="2303"/>
      <c r="H687" s="1184"/>
      <c r="I687" s="1060"/>
    </row>
    <row r="688" spans="1:9" ht="25.5" customHeight="1" x14ac:dyDescent="0.2">
      <c r="A688" s="1185" t="s">
        <v>143</v>
      </c>
      <c r="B688" s="2302"/>
      <c r="C688" s="2303"/>
      <c r="D688" s="2302" t="s">
        <v>8018</v>
      </c>
      <c r="E688" s="2304"/>
      <c r="F688" s="2304"/>
      <c r="G688" s="2303"/>
      <c r="H688" s="1184"/>
      <c r="I688" s="1060"/>
    </row>
    <row r="689" spans="1:9" ht="25.5" customHeight="1" x14ac:dyDescent="0.2">
      <c r="A689" s="1185" t="s">
        <v>143</v>
      </c>
      <c r="B689" s="2302"/>
      <c r="C689" s="2303"/>
      <c r="D689" s="2302" t="s">
        <v>8019</v>
      </c>
      <c r="E689" s="2304"/>
      <c r="F689" s="2304"/>
      <c r="G689" s="2303"/>
      <c r="H689" s="1184"/>
      <c r="I689" s="1060"/>
    </row>
    <row r="690" spans="1:9" ht="25.5" customHeight="1" x14ac:dyDescent="0.2">
      <c r="A690" s="1185" t="s">
        <v>143</v>
      </c>
      <c r="B690" s="2302"/>
      <c r="C690" s="2303"/>
      <c r="D690" s="2302" t="s">
        <v>8020</v>
      </c>
      <c r="E690" s="2304"/>
      <c r="F690" s="2304"/>
      <c r="G690" s="2303"/>
      <c r="H690" s="1184"/>
      <c r="I690" s="1060"/>
    </row>
    <row r="691" spans="1:9" ht="12.75" customHeight="1" x14ac:dyDescent="0.2">
      <c r="A691" s="1183" t="s">
        <v>143</v>
      </c>
      <c r="B691" s="2320"/>
      <c r="C691" s="2321"/>
      <c r="D691" s="2320" t="s">
        <v>8021</v>
      </c>
      <c r="E691" s="2322"/>
      <c r="F691" s="2322"/>
      <c r="G691" s="2321"/>
      <c r="H691" s="1180"/>
      <c r="I691" s="1063"/>
    </row>
    <row r="692" spans="1:9" ht="107.25" customHeight="1" x14ac:dyDescent="0.2">
      <c r="A692" s="1182" t="s">
        <v>776</v>
      </c>
      <c r="B692" s="2311" t="s">
        <v>7716</v>
      </c>
      <c r="C692" s="2312"/>
      <c r="D692" s="2313" t="s">
        <v>7717</v>
      </c>
      <c r="E692" s="2314"/>
      <c r="F692" s="2314"/>
      <c r="G692" s="2315"/>
      <c r="H692" s="1179" t="s">
        <v>8022</v>
      </c>
      <c r="I692" s="1181">
        <f>ROUND((36610  + 4570  * 3) * 1 * 0.5 * 1.146,0)</f>
        <v>28833</v>
      </c>
    </row>
    <row r="693" spans="1:9" ht="15.75" customHeight="1" x14ac:dyDescent="0.2">
      <c r="A693" s="1185" t="s">
        <v>143</v>
      </c>
      <c r="B693" s="2305"/>
      <c r="C693" s="2306"/>
      <c r="D693" s="2305" t="s">
        <v>572</v>
      </c>
      <c r="E693" s="2307"/>
      <c r="F693" s="2307"/>
      <c r="G693" s="2306"/>
      <c r="H693" s="1057"/>
      <c r="I693" s="1058"/>
    </row>
    <row r="694" spans="1:9" ht="25.5" customHeight="1" x14ac:dyDescent="0.2">
      <c r="A694" s="1185" t="s">
        <v>143</v>
      </c>
      <c r="B694" s="2302"/>
      <c r="C694" s="2303"/>
      <c r="D694" s="2302" t="s">
        <v>7868</v>
      </c>
      <c r="E694" s="2304"/>
      <c r="F694" s="2304"/>
      <c r="G694" s="2303"/>
      <c r="H694" s="1184"/>
      <c r="I694" s="1060"/>
    </row>
    <row r="695" spans="1:9" ht="89.25" customHeight="1" x14ac:dyDescent="0.2">
      <c r="A695" s="1185" t="s">
        <v>143</v>
      </c>
      <c r="B695" s="2302"/>
      <c r="C695" s="2303"/>
      <c r="D695" s="2302" t="s">
        <v>7979</v>
      </c>
      <c r="E695" s="2304"/>
      <c r="F695" s="2304"/>
      <c r="G695" s="2303"/>
      <c r="H695" s="1184"/>
      <c r="I695" s="1060"/>
    </row>
    <row r="696" spans="1:9" ht="92.25" customHeight="1" x14ac:dyDescent="0.2">
      <c r="A696" s="1185" t="s">
        <v>143</v>
      </c>
      <c r="B696" s="2305"/>
      <c r="C696" s="2306"/>
      <c r="D696" s="2305" t="s">
        <v>7980</v>
      </c>
      <c r="E696" s="2307"/>
      <c r="F696" s="2307"/>
      <c r="G696" s="2306"/>
      <c r="H696" s="1057"/>
      <c r="I696" s="1058"/>
    </row>
    <row r="697" spans="1:9" ht="25.5" customHeight="1" x14ac:dyDescent="0.2">
      <c r="A697" s="1185" t="s">
        <v>143</v>
      </c>
      <c r="B697" s="2302"/>
      <c r="C697" s="2303"/>
      <c r="D697" s="2302" t="s">
        <v>8023</v>
      </c>
      <c r="E697" s="2304"/>
      <c r="F697" s="2304"/>
      <c r="G697" s="2303"/>
      <c r="H697" s="1184"/>
      <c r="I697" s="1060"/>
    </row>
    <row r="698" spans="1:9" ht="12.75" customHeight="1" x14ac:dyDescent="0.2">
      <c r="A698" s="1185" t="s">
        <v>143</v>
      </c>
      <c r="B698" s="2302"/>
      <c r="C698" s="2303"/>
      <c r="D698" s="2302" t="s">
        <v>8024</v>
      </c>
      <c r="E698" s="2304"/>
      <c r="F698" s="2304"/>
      <c r="G698" s="2303"/>
      <c r="H698" s="1184"/>
      <c r="I698" s="1060"/>
    </row>
    <row r="699" spans="1:9" ht="25.5" customHeight="1" x14ac:dyDescent="0.2">
      <c r="A699" s="1185" t="s">
        <v>143</v>
      </c>
      <c r="B699" s="2302"/>
      <c r="C699" s="2303"/>
      <c r="D699" s="2302" t="s">
        <v>8025</v>
      </c>
      <c r="E699" s="2304"/>
      <c r="F699" s="2304"/>
      <c r="G699" s="2303"/>
      <c r="H699" s="1184"/>
      <c r="I699" s="1060"/>
    </row>
    <row r="700" spans="1:9" ht="12.75" customHeight="1" x14ac:dyDescent="0.2">
      <c r="A700" s="1185" t="s">
        <v>143</v>
      </c>
      <c r="B700" s="2302"/>
      <c r="C700" s="2303"/>
      <c r="D700" s="2302" t="s">
        <v>7878</v>
      </c>
      <c r="E700" s="2304"/>
      <c r="F700" s="2304"/>
      <c r="G700" s="2303"/>
      <c r="H700" s="1184"/>
      <c r="I700" s="1060"/>
    </row>
    <row r="701" spans="1:9" ht="25.5" customHeight="1" x14ac:dyDescent="0.2">
      <c r="A701" s="1185" t="s">
        <v>143</v>
      </c>
      <c r="B701" s="2302"/>
      <c r="C701" s="2303"/>
      <c r="D701" s="2302" t="s">
        <v>8026</v>
      </c>
      <c r="E701" s="2304"/>
      <c r="F701" s="2304"/>
      <c r="G701" s="2303"/>
      <c r="H701" s="1184"/>
      <c r="I701" s="1060"/>
    </row>
    <row r="702" spans="1:9" ht="25.5" customHeight="1" x14ac:dyDescent="0.2">
      <c r="A702" s="1185" t="s">
        <v>143</v>
      </c>
      <c r="B702" s="2302"/>
      <c r="C702" s="2303"/>
      <c r="D702" s="2302" t="s">
        <v>8027</v>
      </c>
      <c r="E702" s="2304"/>
      <c r="F702" s="2304"/>
      <c r="G702" s="2303"/>
      <c r="H702" s="1184"/>
      <c r="I702" s="1060"/>
    </row>
    <row r="703" spans="1:9" ht="25.5" customHeight="1" x14ac:dyDescent="0.2">
      <c r="A703" s="1185" t="s">
        <v>143</v>
      </c>
      <c r="B703" s="2302"/>
      <c r="C703" s="2303"/>
      <c r="D703" s="2302" t="s">
        <v>8028</v>
      </c>
      <c r="E703" s="2304"/>
      <c r="F703" s="2304"/>
      <c r="G703" s="2303"/>
      <c r="H703" s="1184"/>
      <c r="I703" s="1060"/>
    </row>
    <row r="704" spans="1:9" ht="25.5" customHeight="1" x14ac:dyDescent="0.2">
      <c r="A704" s="1185" t="s">
        <v>143</v>
      </c>
      <c r="B704" s="2302"/>
      <c r="C704" s="2303"/>
      <c r="D704" s="2302" t="s">
        <v>8029</v>
      </c>
      <c r="E704" s="2304"/>
      <c r="F704" s="2304"/>
      <c r="G704" s="2303"/>
      <c r="H704" s="1184"/>
      <c r="I704" s="1060"/>
    </row>
    <row r="705" spans="1:9" ht="25.5" customHeight="1" x14ac:dyDescent="0.2">
      <c r="A705" s="1185" t="s">
        <v>143</v>
      </c>
      <c r="B705" s="2302"/>
      <c r="C705" s="2303"/>
      <c r="D705" s="2302" t="s">
        <v>8030</v>
      </c>
      <c r="E705" s="2304"/>
      <c r="F705" s="2304"/>
      <c r="G705" s="2303"/>
      <c r="H705" s="1184"/>
      <c r="I705" s="1060"/>
    </row>
    <row r="706" spans="1:9" ht="25.5" customHeight="1" x14ac:dyDescent="0.2">
      <c r="A706" s="1185" t="s">
        <v>143</v>
      </c>
      <c r="B706" s="2302"/>
      <c r="C706" s="2303"/>
      <c r="D706" s="2302" t="s">
        <v>8031</v>
      </c>
      <c r="E706" s="2304"/>
      <c r="F706" s="2304"/>
      <c r="G706" s="2303"/>
      <c r="H706" s="1184"/>
      <c r="I706" s="1060"/>
    </row>
    <row r="707" spans="1:9" ht="25.5" customHeight="1" x14ac:dyDescent="0.2">
      <c r="A707" s="1185" t="s">
        <v>143</v>
      </c>
      <c r="B707" s="2302"/>
      <c r="C707" s="2303"/>
      <c r="D707" s="2302" t="s">
        <v>8032</v>
      </c>
      <c r="E707" s="2304"/>
      <c r="F707" s="2304"/>
      <c r="G707" s="2303"/>
      <c r="H707" s="1184"/>
      <c r="I707" s="1060"/>
    </row>
    <row r="708" spans="1:9" ht="25.5" customHeight="1" x14ac:dyDescent="0.2">
      <c r="A708" s="1185" t="s">
        <v>143</v>
      </c>
      <c r="B708" s="2302"/>
      <c r="C708" s="2303"/>
      <c r="D708" s="2302" t="s">
        <v>8033</v>
      </c>
      <c r="E708" s="2304"/>
      <c r="F708" s="2304"/>
      <c r="G708" s="2303"/>
      <c r="H708" s="1184"/>
      <c r="I708" s="1060"/>
    </row>
    <row r="709" spans="1:9" ht="25.5" customHeight="1" x14ac:dyDescent="0.2">
      <c r="A709" s="1185" t="s">
        <v>143</v>
      </c>
      <c r="B709" s="2302"/>
      <c r="C709" s="2303"/>
      <c r="D709" s="2302" t="s">
        <v>8034</v>
      </c>
      <c r="E709" s="2304"/>
      <c r="F709" s="2304"/>
      <c r="G709" s="2303"/>
      <c r="H709" s="1184"/>
      <c r="I709" s="1060"/>
    </row>
    <row r="710" spans="1:9" ht="12.75" customHeight="1" x14ac:dyDescent="0.2">
      <c r="A710" s="1183" t="s">
        <v>143</v>
      </c>
      <c r="B710" s="2320"/>
      <c r="C710" s="2321"/>
      <c r="D710" s="2320" t="s">
        <v>8035</v>
      </c>
      <c r="E710" s="2322"/>
      <c r="F710" s="2322"/>
      <c r="G710" s="2321"/>
      <c r="H710" s="1180"/>
      <c r="I710" s="1063"/>
    </row>
    <row r="711" spans="1:9" ht="119.85" customHeight="1" x14ac:dyDescent="0.2">
      <c r="A711" s="1182" t="s">
        <v>931</v>
      </c>
      <c r="B711" s="2311" t="s">
        <v>7727</v>
      </c>
      <c r="C711" s="2312"/>
      <c r="D711" s="2313" t="s">
        <v>7728</v>
      </c>
      <c r="E711" s="2314"/>
      <c r="F711" s="2314"/>
      <c r="G711" s="2315"/>
      <c r="H711" s="1179" t="s">
        <v>8036</v>
      </c>
      <c r="I711" s="1181">
        <f>ROUND((36610  + 4570  * 12) * 1 * 0.5 * 1.146,0)</f>
        <v>52401</v>
      </c>
    </row>
    <row r="712" spans="1:9" ht="15.75" customHeight="1" x14ac:dyDescent="0.2">
      <c r="A712" s="1185" t="s">
        <v>143</v>
      </c>
      <c r="B712" s="2305"/>
      <c r="C712" s="2306"/>
      <c r="D712" s="2305" t="s">
        <v>572</v>
      </c>
      <c r="E712" s="2307"/>
      <c r="F712" s="2307"/>
      <c r="G712" s="2306"/>
      <c r="H712" s="1057"/>
      <c r="I712" s="1058"/>
    </row>
    <row r="713" spans="1:9" ht="25.5" customHeight="1" x14ac:dyDescent="0.2">
      <c r="A713" s="1185" t="s">
        <v>143</v>
      </c>
      <c r="B713" s="2302"/>
      <c r="C713" s="2303"/>
      <c r="D713" s="2302" t="s">
        <v>7868</v>
      </c>
      <c r="E713" s="2304"/>
      <c r="F713" s="2304"/>
      <c r="G713" s="2303"/>
      <c r="H713" s="1184"/>
      <c r="I713" s="1060"/>
    </row>
    <row r="714" spans="1:9" ht="89.25" customHeight="1" x14ac:dyDescent="0.2">
      <c r="A714" s="1185" t="s">
        <v>143</v>
      </c>
      <c r="B714" s="2302"/>
      <c r="C714" s="2303"/>
      <c r="D714" s="2302" t="s">
        <v>7979</v>
      </c>
      <c r="E714" s="2304"/>
      <c r="F714" s="2304"/>
      <c r="G714" s="2303"/>
      <c r="H714" s="1184"/>
      <c r="I714" s="1060"/>
    </row>
    <row r="715" spans="1:9" ht="92.25" customHeight="1" x14ac:dyDescent="0.2">
      <c r="A715" s="1185" t="s">
        <v>143</v>
      </c>
      <c r="B715" s="2305"/>
      <c r="C715" s="2306"/>
      <c r="D715" s="2305" t="s">
        <v>7980</v>
      </c>
      <c r="E715" s="2307"/>
      <c r="F715" s="2307"/>
      <c r="G715" s="2306"/>
      <c r="H715" s="1057"/>
      <c r="I715" s="1058"/>
    </row>
    <row r="716" spans="1:9" ht="25.5" customHeight="1" x14ac:dyDescent="0.2">
      <c r="A716" s="1185" t="s">
        <v>143</v>
      </c>
      <c r="B716" s="2302"/>
      <c r="C716" s="2303"/>
      <c r="D716" s="2302" t="s">
        <v>8037</v>
      </c>
      <c r="E716" s="2304"/>
      <c r="F716" s="2304"/>
      <c r="G716" s="2303"/>
      <c r="H716" s="1184"/>
      <c r="I716" s="1060"/>
    </row>
    <row r="717" spans="1:9" ht="12.75" customHeight="1" x14ac:dyDescent="0.2">
      <c r="A717" s="1185" t="s">
        <v>143</v>
      </c>
      <c r="B717" s="2302"/>
      <c r="C717" s="2303"/>
      <c r="D717" s="2302" t="s">
        <v>8038</v>
      </c>
      <c r="E717" s="2304"/>
      <c r="F717" s="2304"/>
      <c r="G717" s="2303"/>
      <c r="H717" s="1184"/>
      <c r="I717" s="1060"/>
    </row>
    <row r="718" spans="1:9" ht="25.5" customHeight="1" x14ac:dyDescent="0.2">
      <c r="A718" s="1185" t="s">
        <v>143</v>
      </c>
      <c r="B718" s="2302"/>
      <c r="C718" s="2303"/>
      <c r="D718" s="2302" t="s">
        <v>8039</v>
      </c>
      <c r="E718" s="2304"/>
      <c r="F718" s="2304"/>
      <c r="G718" s="2303"/>
      <c r="H718" s="1184"/>
      <c r="I718" s="1060"/>
    </row>
    <row r="719" spans="1:9" ht="12.75" customHeight="1" x14ac:dyDescent="0.2">
      <c r="A719" s="1185" t="s">
        <v>143</v>
      </c>
      <c r="B719" s="2302"/>
      <c r="C719" s="2303"/>
      <c r="D719" s="2302" t="s">
        <v>7878</v>
      </c>
      <c r="E719" s="2304"/>
      <c r="F719" s="2304"/>
      <c r="G719" s="2303"/>
      <c r="H719" s="1184"/>
      <c r="I719" s="1060"/>
    </row>
    <row r="720" spans="1:9" ht="25.5" customHeight="1" x14ac:dyDescent="0.2">
      <c r="A720" s="1185" t="s">
        <v>143</v>
      </c>
      <c r="B720" s="2302"/>
      <c r="C720" s="2303"/>
      <c r="D720" s="2302" t="s">
        <v>8040</v>
      </c>
      <c r="E720" s="2304"/>
      <c r="F720" s="2304"/>
      <c r="G720" s="2303"/>
      <c r="H720" s="1184"/>
      <c r="I720" s="1060"/>
    </row>
    <row r="721" spans="1:9" ht="25.5" customHeight="1" x14ac:dyDescent="0.2">
      <c r="A721" s="1185" t="s">
        <v>143</v>
      </c>
      <c r="B721" s="2302"/>
      <c r="C721" s="2303"/>
      <c r="D721" s="2302" t="s">
        <v>8041</v>
      </c>
      <c r="E721" s="2304"/>
      <c r="F721" s="2304"/>
      <c r="G721" s="2303"/>
      <c r="H721" s="1184"/>
      <c r="I721" s="1060"/>
    </row>
    <row r="722" spans="1:9" ht="25.5" customHeight="1" x14ac:dyDescent="0.2">
      <c r="A722" s="1185" t="s">
        <v>143</v>
      </c>
      <c r="B722" s="2302"/>
      <c r="C722" s="2303"/>
      <c r="D722" s="2302" t="s">
        <v>8042</v>
      </c>
      <c r="E722" s="2304"/>
      <c r="F722" s="2304"/>
      <c r="G722" s="2303"/>
      <c r="H722" s="1184"/>
      <c r="I722" s="1060"/>
    </row>
    <row r="723" spans="1:9" ht="25.5" customHeight="1" x14ac:dyDescent="0.2">
      <c r="A723" s="1185" t="s">
        <v>143</v>
      </c>
      <c r="B723" s="2302"/>
      <c r="C723" s="2303"/>
      <c r="D723" s="2302" t="s">
        <v>8043</v>
      </c>
      <c r="E723" s="2304"/>
      <c r="F723" s="2304"/>
      <c r="G723" s="2303"/>
      <c r="H723" s="1184"/>
      <c r="I723" s="1060"/>
    </row>
    <row r="724" spans="1:9" ht="25.5" customHeight="1" x14ac:dyDescent="0.2">
      <c r="A724" s="1185" t="s">
        <v>143</v>
      </c>
      <c r="B724" s="2302"/>
      <c r="C724" s="2303"/>
      <c r="D724" s="2302" t="s">
        <v>8044</v>
      </c>
      <c r="E724" s="2304"/>
      <c r="F724" s="2304"/>
      <c r="G724" s="2303"/>
      <c r="H724" s="1184"/>
      <c r="I724" s="1060"/>
    </row>
    <row r="725" spans="1:9" ht="25.5" customHeight="1" x14ac:dyDescent="0.2">
      <c r="A725" s="1185" t="s">
        <v>143</v>
      </c>
      <c r="B725" s="2302"/>
      <c r="C725" s="2303"/>
      <c r="D725" s="2302" t="s">
        <v>8045</v>
      </c>
      <c r="E725" s="2304"/>
      <c r="F725" s="2304"/>
      <c r="G725" s="2303"/>
      <c r="H725" s="1184"/>
      <c r="I725" s="1060"/>
    </row>
    <row r="726" spans="1:9" ht="25.5" customHeight="1" x14ac:dyDescent="0.2">
      <c r="A726" s="1185" t="s">
        <v>143</v>
      </c>
      <c r="B726" s="2302"/>
      <c r="C726" s="2303"/>
      <c r="D726" s="2302" t="s">
        <v>8046</v>
      </c>
      <c r="E726" s="2304"/>
      <c r="F726" s="2304"/>
      <c r="G726" s="2303"/>
      <c r="H726" s="1184"/>
      <c r="I726" s="1060"/>
    </row>
    <row r="727" spans="1:9" ht="25.5" customHeight="1" x14ac:dyDescent="0.2">
      <c r="A727" s="1185" t="s">
        <v>143</v>
      </c>
      <c r="B727" s="2302"/>
      <c r="C727" s="2303"/>
      <c r="D727" s="2302" t="s">
        <v>8047</v>
      </c>
      <c r="E727" s="2304"/>
      <c r="F727" s="2304"/>
      <c r="G727" s="2303"/>
      <c r="H727" s="1184"/>
      <c r="I727" s="1060"/>
    </row>
    <row r="728" spans="1:9" ht="25.5" customHeight="1" x14ac:dyDescent="0.2">
      <c r="A728" s="1185" t="s">
        <v>143</v>
      </c>
      <c r="B728" s="2302"/>
      <c r="C728" s="2303"/>
      <c r="D728" s="2302" t="s">
        <v>8048</v>
      </c>
      <c r="E728" s="2304"/>
      <c r="F728" s="2304"/>
      <c r="G728" s="2303"/>
      <c r="H728" s="1184"/>
      <c r="I728" s="1060"/>
    </row>
    <row r="729" spans="1:9" ht="12.75" customHeight="1" x14ac:dyDescent="0.2">
      <c r="A729" s="1183" t="s">
        <v>143</v>
      </c>
      <c r="B729" s="2320"/>
      <c r="C729" s="2321"/>
      <c r="D729" s="2320" t="s">
        <v>8049</v>
      </c>
      <c r="E729" s="2322"/>
      <c r="F729" s="2322"/>
      <c r="G729" s="2321"/>
      <c r="H729" s="1180"/>
      <c r="I729" s="1063"/>
    </row>
    <row r="730" spans="1:9" ht="94.5" customHeight="1" x14ac:dyDescent="0.2">
      <c r="A730" s="1182" t="s">
        <v>465</v>
      </c>
      <c r="B730" s="2311" t="s">
        <v>7738</v>
      </c>
      <c r="C730" s="2312"/>
      <c r="D730" s="2313" t="s">
        <v>7739</v>
      </c>
      <c r="E730" s="2314"/>
      <c r="F730" s="2314"/>
      <c r="G730" s="2315"/>
      <c r="H730" s="1179" t="s">
        <v>7740</v>
      </c>
      <c r="I730" s="1181">
        <f>ROUND(2400  * 1 * 0.5 * 1.2,0)</f>
        <v>1440</v>
      </c>
    </row>
    <row r="731" spans="1:9" ht="15.75" customHeight="1" x14ac:dyDescent="0.2">
      <c r="A731" s="1185" t="s">
        <v>143</v>
      </c>
      <c r="B731" s="2305"/>
      <c r="C731" s="2306"/>
      <c r="D731" s="2305" t="s">
        <v>572</v>
      </c>
      <c r="E731" s="2307"/>
      <c r="F731" s="2307"/>
      <c r="G731" s="2306"/>
      <c r="H731" s="1057"/>
      <c r="I731" s="1058"/>
    </row>
    <row r="732" spans="1:9" ht="25.5" customHeight="1" x14ac:dyDescent="0.2">
      <c r="A732" s="1185" t="s">
        <v>143</v>
      </c>
      <c r="B732" s="2302"/>
      <c r="C732" s="2303"/>
      <c r="D732" s="2302" t="s">
        <v>7868</v>
      </c>
      <c r="E732" s="2304"/>
      <c r="F732" s="2304"/>
      <c r="G732" s="2303"/>
      <c r="H732" s="1184"/>
      <c r="I732" s="1060"/>
    </row>
    <row r="733" spans="1:9" ht="153" customHeight="1" x14ac:dyDescent="0.2">
      <c r="A733" s="1185" t="s">
        <v>143</v>
      </c>
      <c r="B733" s="2302"/>
      <c r="C733" s="2303"/>
      <c r="D733" s="2302" t="s">
        <v>7334</v>
      </c>
      <c r="E733" s="2304"/>
      <c r="F733" s="2304"/>
      <c r="G733" s="2303"/>
      <c r="H733" s="1184"/>
      <c r="I733" s="1060"/>
    </row>
    <row r="734" spans="1:9" ht="66.75" customHeight="1" x14ac:dyDescent="0.2">
      <c r="A734" s="1185" t="s">
        <v>143</v>
      </c>
      <c r="B734" s="2305"/>
      <c r="C734" s="2306"/>
      <c r="D734" s="2305" t="s">
        <v>8050</v>
      </c>
      <c r="E734" s="2307"/>
      <c r="F734" s="2307"/>
      <c r="G734" s="2306"/>
      <c r="H734" s="1057"/>
      <c r="I734" s="1058"/>
    </row>
    <row r="735" spans="1:9" ht="25.5" customHeight="1" x14ac:dyDescent="0.2">
      <c r="A735" s="1185" t="s">
        <v>143</v>
      </c>
      <c r="B735" s="2302"/>
      <c r="C735" s="2303"/>
      <c r="D735" s="2302" t="s">
        <v>8051</v>
      </c>
      <c r="E735" s="2304"/>
      <c r="F735" s="2304"/>
      <c r="G735" s="2303"/>
      <c r="H735" s="1184"/>
      <c r="I735" s="1060"/>
    </row>
    <row r="736" spans="1:9" ht="12.75" customHeight="1" x14ac:dyDescent="0.2">
      <c r="A736" s="1185" t="s">
        <v>143</v>
      </c>
      <c r="B736" s="2302"/>
      <c r="C736" s="2303"/>
      <c r="D736" s="2302" t="s">
        <v>8052</v>
      </c>
      <c r="E736" s="2304"/>
      <c r="F736" s="2304"/>
      <c r="G736" s="2303"/>
      <c r="H736" s="1184"/>
      <c r="I736" s="1060"/>
    </row>
    <row r="737" spans="1:9" ht="12.75" customHeight="1" x14ac:dyDescent="0.2">
      <c r="A737" s="1185" t="s">
        <v>143</v>
      </c>
      <c r="B737" s="2302"/>
      <c r="C737" s="2303"/>
      <c r="D737" s="2302" t="s">
        <v>8053</v>
      </c>
      <c r="E737" s="2304"/>
      <c r="F737" s="2304"/>
      <c r="G737" s="2303"/>
      <c r="H737" s="1184"/>
      <c r="I737" s="1060"/>
    </row>
    <row r="738" spans="1:9" ht="25.5" customHeight="1" x14ac:dyDescent="0.2">
      <c r="A738" s="1185" t="s">
        <v>143</v>
      </c>
      <c r="B738" s="2302"/>
      <c r="C738" s="2303"/>
      <c r="D738" s="2302" t="s">
        <v>8054</v>
      </c>
      <c r="E738" s="2304"/>
      <c r="F738" s="2304"/>
      <c r="G738" s="2303"/>
      <c r="H738" s="1184"/>
      <c r="I738" s="1060"/>
    </row>
    <row r="739" spans="1:9" ht="12.75" customHeight="1" x14ac:dyDescent="0.2">
      <c r="A739" s="1185" t="s">
        <v>143</v>
      </c>
      <c r="B739" s="2302"/>
      <c r="C739" s="2303"/>
      <c r="D739" s="2302" t="s">
        <v>8055</v>
      </c>
      <c r="E739" s="2304"/>
      <c r="F739" s="2304"/>
      <c r="G739" s="2303"/>
      <c r="H739" s="1184"/>
      <c r="I739" s="1060"/>
    </row>
    <row r="740" spans="1:9" ht="12.75" customHeight="1" x14ac:dyDescent="0.2">
      <c r="A740" s="1185" t="s">
        <v>143</v>
      </c>
      <c r="B740" s="2302"/>
      <c r="C740" s="2303"/>
      <c r="D740" s="2302" t="s">
        <v>8056</v>
      </c>
      <c r="E740" s="2304"/>
      <c r="F740" s="2304"/>
      <c r="G740" s="2303"/>
      <c r="H740" s="1184"/>
      <c r="I740" s="1060"/>
    </row>
    <row r="741" spans="1:9" ht="12.75" customHeight="1" x14ac:dyDescent="0.2">
      <c r="A741" s="1185" t="s">
        <v>143</v>
      </c>
      <c r="B741" s="2302"/>
      <c r="C741" s="2303"/>
      <c r="D741" s="2302" t="s">
        <v>8057</v>
      </c>
      <c r="E741" s="2304"/>
      <c r="F741" s="2304"/>
      <c r="G741" s="2303"/>
      <c r="H741" s="1184"/>
      <c r="I741" s="1060"/>
    </row>
    <row r="742" spans="1:9" ht="25.5" customHeight="1" x14ac:dyDescent="0.2">
      <c r="A742" s="1185" t="s">
        <v>143</v>
      </c>
      <c r="B742" s="2302"/>
      <c r="C742" s="2303"/>
      <c r="D742" s="2302" t="s">
        <v>8058</v>
      </c>
      <c r="E742" s="2304"/>
      <c r="F742" s="2304"/>
      <c r="G742" s="2303"/>
      <c r="H742" s="1184"/>
      <c r="I742" s="1060"/>
    </row>
    <row r="743" spans="1:9" ht="12.75" customHeight="1" x14ac:dyDescent="0.2">
      <c r="A743" s="1185" t="s">
        <v>143</v>
      </c>
      <c r="B743" s="2302"/>
      <c r="C743" s="2303"/>
      <c r="D743" s="2302" t="s">
        <v>8059</v>
      </c>
      <c r="E743" s="2304"/>
      <c r="F743" s="2304"/>
      <c r="G743" s="2303"/>
      <c r="H743" s="1184"/>
      <c r="I743" s="1060"/>
    </row>
    <row r="744" spans="1:9" ht="12.75" customHeight="1" x14ac:dyDescent="0.2">
      <c r="A744" s="1185" t="s">
        <v>143</v>
      </c>
      <c r="B744" s="2302"/>
      <c r="C744" s="2303"/>
      <c r="D744" s="2302" t="s">
        <v>8060</v>
      </c>
      <c r="E744" s="2304"/>
      <c r="F744" s="2304"/>
      <c r="G744" s="2303"/>
      <c r="H744" s="1184"/>
      <c r="I744" s="1060"/>
    </row>
    <row r="745" spans="1:9" ht="25.5" customHeight="1" x14ac:dyDescent="0.2">
      <c r="A745" s="1185" t="s">
        <v>143</v>
      </c>
      <c r="B745" s="2302"/>
      <c r="C745" s="2303"/>
      <c r="D745" s="2302" t="s">
        <v>8061</v>
      </c>
      <c r="E745" s="2304"/>
      <c r="F745" s="2304"/>
      <c r="G745" s="2303"/>
      <c r="H745" s="1184"/>
      <c r="I745" s="1060"/>
    </row>
    <row r="746" spans="1:9" ht="25.5" customHeight="1" x14ac:dyDescent="0.2">
      <c r="A746" s="1185" t="s">
        <v>143</v>
      </c>
      <c r="B746" s="2302"/>
      <c r="C746" s="2303"/>
      <c r="D746" s="2302" t="s">
        <v>8062</v>
      </c>
      <c r="E746" s="2304"/>
      <c r="F746" s="2304"/>
      <c r="G746" s="2303"/>
      <c r="H746" s="1184"/>
      <c r="I746" s="1060"/>
    </row>
    <row r="747" spans="1:9" ht="12.75" customHeight="1" x14ac:dyDescent="0.2">
      <c r="A747" s="1185" t="s">
        <v>143</v>
      </c>
      <c r="B747" s="2302"/>
      <c r="C747" s="2303"/>
      <c r="D747" s="2302" t="s">
        <v>8063</v>
      </c>
      <c r="E747" s="2304"/>
      <c r="F747" s="2304"/>
      <c r="G747" s="2303"/>
      <c r="H747" s="1184"/>
      <c r="I747" s="1060"/>
    </row>
    <row r="748" spans="1:9" ht="12.75" customHeight="1" x14ac:dyDescent="0.2">
      <c r="A748" s="1183" t="s">
        <v>143</v>
      </c>
      <c r="B748" s="2320"/>
      <c r="C748" s="2321"/>
      <c r="D748" s="2320" t="s">
        <v>8064</v>
      </c>
      <c r="E748" s="2322"/>
      <c r="F748" s="2322"/>
      <c r="G748" s="2321"/>
      <c r="H748" s="1180"/>
      <c r="I748" s="1063"/>
    </row>
    <row r="749" spans="1:9" ht="107.25" customHeight="1" x14ac:dyDescent="0.2">
      <c r="A749" s="1182" t="s">
        <v>782</v>
      </c>
      <c r="B749" s="2311" t="s">
        <v>7742</v>
      </c>
      <c r="C749" s="2312"/>
      <c r="D749" s="2313" t="s">
        <v>7743</v>
      </c>
      <c r="E749" s="2314"/>
      <c r="F749" s="2314"/>
      <c r="G749" s="2315"/>
      <c r="H749" s="1179" t="s">
        <v>7744</v>
      </c>
      <c r="I749" s="1181">
        <f>ROUND((34200  + 790  * 31) * 1 * 0.5,0)</f>
        <v>29345</v>
      </c>
    </row>
    <row r="750" spans="1:9" ht="15.75" customHeight="1" x14ac:dyDescent="0.2">
      <c r="A750" s="1185" t="s">
        <v>143</v>
      </c>
      <c r="B750" s="2305"/>
      <c r="C750" s="2306"/>
      <c r="D750" s="2305" t="s">
        <v>572</v>
      </c>
      <c r="E750" s="2307"/>
      <c r="F750" s="2307"/>
      <c r="G750" s="2306"/>
      <c r="H750" s="1057"/>
      <c r="I750" s="1058"/>
    </row>
    <row r="751" spans="1:9" ht="25.5" customHeight="1" x14ac:dyDescent="0.2">
      <c r="A751" s="1185" t="s">
        <v>143</v>
      </c>
      <c r="B751" s="2302"/>
      <c r="C751" s="2303"/>
      <c r="D751" s="2302" t="s">
        <v>7868</v>
      </c>
      <c r="E751" s="2304"/>
      <c r="F751" s="2304"/>
      <c r="G751" s="2303"/>
      <c r="H751" s="1184"/>
      <c r="I751" s="1060"/>
    </row>
    <row r="752" spans="1:9" ht="54" customHeight="1" x14ac:dyDescent="0.2">
      <c r="A752" s="1185" t="s">
        <v>143</v>
      </c>
      <c r="B752" s="2305"/>
      <c r="C752" s="2306"/>
      <c r="D752" s="2305" t="s">
        <v>8065</v>
      </c>
      <c r="E752" s="2307"/>
      <c r="F752" s="2307"/>
      <c r="G752" s="2306"/>
      <c r="H752" s="1057"/>
      <c r="I752" s="1058"/>
    </row>
    <row r="753" spans="1:9" ht="25.5" customHeight="1" x14ac:dyDescent="0.2">
      <c r="A753" s="1185" t="s">
        <v>143</v>
      </c>
      <c r="B753" s="2302"/>
      <c r="C753" s="2303"/>
      <c r="D753" s="2302" t="s">
        <v>8066</v>
      </c>
      <c r="E753" s="2304"/>
      <c r="F753" s="2304"/>
      <c r="G753" s="2303"/>
      <c r="H753" s="1184"/>
      <c r="I753" s="1060"/>
    </row>
    <row r="754" spans="1:9" ht="25.5" customHeight="1" x14ac:dyDescent="0.2">
      <c r="A754" s="1185" t="s">
        <v>143</v>
      </c>
      <c r="B754" s="2302"/>
      <c r="C754" s="2303"/>
      <c r="D754" s="2302" t="s">
        <v>8067</v>
      </c>
      <c r="E754" s="2304"/>
      <c r="F754" s="2304"/>
      <c r="G754" s="2303"/>
      <c r="H754" s="1184"/>
      <c r="I754" s="1060"/>
    </row>
    <row r="755" spans="1:9" ht="25.5" customHeight="1" x14ac:dyDescent="0.2">
      <c r="A755" s="1185" t="s">
        <v>143</v>
      </c>
      <c r="B755" s="2302"/>
      <c r="C755" s="2303"/>
      <c r="D755" s="2302" t="s">
        <v>8068</v>
      </c>
      <c r="E755" s="2304"/>
      <c r="F755" s="2304"/>
      <c r="G755" s="2303"/>
      <c r="H755" s="1184"/>
      <c r="I755" s="1060"/>
    </row>
    <row r="756" spans="1:9" ht="12.75" customHeight="1" x14ac:dyDescent="0.2">
      <c r="A756" s="1185" t="s">
        <v>143</v>
      </c>
      <c r="B756" s="2302"/>
      <c r="C756" s="2303"/>
      <c r="D756" s="2302" t="s">
        <v>8069</v>
      </c>
      <c r="E756" s="2304"/>
      <c r="F756" s="2304"/>
      <c r="G756" s="2303"/>
      <c r="H756" s="1184"/>
      <c r="I756" s="1060"/>
    </row>
    <row r="757" spans="1:9" ht="12.75" customHeight="1" x14ac:dyDescent="0.2">
      <c r="A757" s="1185" t="s">
        <v>143</v>
      </c>
      <c r="B757" s="2302"/>
      <c r="C757" s="2303"/>
      <c r="D757" s="2302" t="s">
        <v>8070</v>
      </c>
      <c r="E757" s="2304"/>
      <c r="F757" s="2304"/>
      <c r="G757" s="2303"/>
      <c r="H757" s="1184"/>
      <c r="I757" s="1060"/>
    </row>
    <row r="758" spans="1:9" ht="12.75" customHeight="1" x14ac:dyDescent="0.2">
      <c r="A758" s="1185" t="s">
        <v>143</v>
      </c>
      <c r="B758" s="2302"/>
      <c r="C758" s="2303"/>
      <c r="D758" s="2302" t="s">
        <v>8071</v>
      </c>
      <c r="E758" s="2304"/>
      <c r="F758" s="2304"/>
      <c r="G758" s="2303"/>
      <c r="H758" s="1184"/>
      <c r="I758" s="1060"/>
    </row>
    <row r="759" spans="1:9" ht="25.5" customHeight="1" x14ac:dyDescent="0.2">
      <c r="A759" s="1185" t="s">
        <v>143</v>
      </c>
      <c r="B759" s="2302"/>
      <c r="C759" s="2303"/>
      <c r="D759" s="2302" t="s">
        <v>8072</v>
      </c>
      <c r="E759" s="2304"/>
      <c r="F759" s="2304"/>
      <c r="G759" s="2303"/>
      <c r="H759" s="1184"/>
      <c r="I759" s="1060"/>
    </row>
    <row r="760" spans="1:9" ht="25.5" customHeight="1" x14ac:dyDescent="0.2">
      <c r="A760" s="1185" t="s">
        <v>143</v>
      </c>
      <c r="B760" s="2302"/>
      <c r="C760" s="2303"/>
      <c r="D760" s="2302" t="s">
        <v>8073</v>
      </c>
      <c r="E760" s="2304"/>
      <c r="F760" s="2304"/>
      <c r="G760" s="2303"/>
      <c r="H760" s="1184"/>
      <c r="I760" s="1060"/>
    </row>
    <row r="761" spans="1:9" ht="25.5" customHeight="1" x14ac:dyDescent="0.2">
      <c r="A761" s="1185" t="s">
        <v>143</v>
      </c>
      <c r="B761" s="2302"/>
      <c r="C761" s="2303"/>
      <c r="D761" s="2302" t="s">
        <v>8074</v>
      </c>
      <c r="E761" s="2304"/>
      <c r="F761" s="2304"/>
      <c r="G761" s="2303"/>
      <c r="H761" s="1184"/>
      <c r="I761" s="1060"/>
    </row>
    <row r="762" spans="1:9" ht="25.5" customHeight="1" x14ac:dyDescent="0.2">
      <c r="A762" s="1185" t="s">
        <v>143</v>
      </c>
      <c r="B762" s="2302"/>
      <c r="C762" s="2303"/>
      <c r="D762" s="2302" t="s">
        <v>8075</v>
      </c>
      <c r="E762" s="2304"/>
      <c r="F762" s="2304"/>
      <c r="G762" s="2303"/>
      <c r="H762" s="1184"/>
      <c r="I762" s="1060"/>
    </row>
    <row r="763" spans="1:9" ht="12.75" customHeight="1" x14ac:dyDescent="0.2">
      <c r="A763" s="1183" t="s">
        <v>143</v>
      </c>
      <c r="B763" s="2320"/>
      <c r="C763" s="2321"/>
      <c r="D763" s="2320" t="s">
        <v>8076</v>
      </c>
      <c r="E763" s="2322"/>
      <c r="F763" s="2322"/>
      <c r="G763" s="2321"/>
      <c r="H763" s="1180"/>
      <c r="I763" s="1063"/>
    </row>
    <row r="764" spans="1:9" ht="12.75" customHeight="1" x14ac:dyDescent="0.2">
      <c r="A764" s="1064" t="s">
        <v>501</v>
      </c>
      <c r="B764" s="2348" t="s">
        <v>588</v>
      </c>
      <c r="C764" s="2349"/>
      <c r="D764" s="2348"/>
      <c r="E764" s="2350"/>
      <c r="F764" s="2350"/>
      <c r="G764" s="2349"/>
      <c r="H764" s="1065"/>
      <c r="I764" s="1066">
        <f>ROUND((SUM($I$15:$I$749)),0)</f>
        <v>2793210</v>
      </c>
    </row>
    <row r="765" spans="1:9" ht="12.75" customHeight="1" x14ac:dyDescent="0.2">
      <c r="A765" s="1064" t="s">
        <v>784</v>
      </c>
      <c r="B765" s="2348" t="s">
        <v>592</v>
      </c>
      <c r="C765" s="2349"/>
      <c r="D765" s="2348"/>
      <c r="E765" s="2350"/>
      <c r="F765" s="2350"/>
      <c r="G765" s="2349"/>
      <c r="H765" s="1065" t="s">
        <v>8077</v>
      </c>
      <c r="I765" s="1066">
        <f>ROUND(($I$764),0)</f>
        <v>2793210</v>
      </c>
    </row>
    <row r="766" spans="1:9" ht="100.9" customHeight="1" x14ac:dyDescent="0.2">
      <c r="A766" s="1064" t="s">
        <v>143</v>
      </c>
      <c r="B766" s="2339" t="s">
        <v>9896</v>
      </c>
      <c r="C766" s="2340"/>
      <c r="D766" s="2339" t="s">
        <v>6388</v>
      </c>
      <c r="E766" s="2341"/>
      <c r="F766" s="2341"/>
      <c r="G766" s="2340"/>
      <c r="H766" s="1069" t="s">
        <v>10127</v>
      </c>
      <c r="I766" s="1070">
        <f>I765/1.19</f>
        <v>2347235</v>
      </c>
    </row>
    <row r="767" spans="1:9" ht="49.15" customHeight="1" x14ac:dyDescent="0.2">
      <c r="A767" s="1071"/>
      <c r="B767" s="2342" t="s">
        <v>9538</v>
      </c>
      <c r="C767" s="2343"/>
      <c r="D767" s="2352" t="s">
        <v>5974</v>
      </c>
      <c r="E767" s="2352"/>
      <c r="F767" s="2352"/>
      <c r="G767" s="2352"/>
      <c r="H767" s="1069" t="s">
        <v>6389</v>
      </c>
      <c r="I767" s="1070">
        <f>I765*4.59</f>
        <v>12820834</v>
      </c>
    </row>
    <row r="768" spans="1:9" ht="12.75" customHeight="1" x14ac:dyDescent="0.2">
      <c r="A768" s="1075"/>
      <c r="B768" s="1075"/>
      <c r="C768" s="1075"/>
      <c r="D768" s="1075"/>
      <c r="E768" s="1075"/>
      <c r="F768" s="1075"/>
      <c r="G768" s="1075"/>
      <c r="H768" s="1075"/>
      <c r="I768" s="1075"/>
    </row>
    <row r="769" spans="1:9" s="1076" customFormat="1" ht="24.95" hidden="1" customHeight="1" x14ac:dyDescent="0.2">
      <c r="A769" s="2304" t="s">
        <v>593</v>
      </c>
      <c r="B769" s="2304"/>
      <c r="C769" s="2304"/>
      <c r="D769" s="2304" t="e">
        <f ca="1">convertNumToStr($I$765,1,0)</f>
        <v>#NAME?</v>
      </c>
      <c r="E769" s="2304"/>
      <c r="F769" s="2304"/>
      <c r="G769" s="2304"/>
      <c r="H769" s="2304"/>
      <c r="I769" s="2304"/>
    </row>
    <row r="770" spans="1:9" ht="12.75" customHeight="1" x14ac:dyDescent="0.2">
      <c r="A770" s="1176"/>
      <c r="B770" s="1176"/>
      <c r="C770" s="1176"/>
      <c r="D770" s="1178"/>
      <c r="E770" s="1176"/>
      <c r="F770" s="1176"/>
      <c r="G770" s="1176"/>
      <c r="H770" s="1176"/>
      <c r="I770" s="1176"/>
    </row>
    <row r="771" spans="1:9" x14ac:dyDescent="0.2">
      <c r="A771" s="2337" t="s">
        <v>149</v>
      </c>
      <c r="B771" s="2337"/>
      <c r="C771" s="2337"/>
      <c r="D771" s="2337"/>
      <c r="E771" s="2337"/>
      <c r="F771" s="2337"/>
      <c r="G771" s="2337"/>
      <c r="H771" s="2337"/>
      <c r="I771" s="2337"/>
    </row>
    <row r="772" spans="1:9" x14ac:dyDescent="0.2">
      <c r="A772" s="2337"/>
      <c r="B772" s="2337"/>
      <c r="C772" s="2337"/>
      <c r="D772" s="2337"/>
      <c r="E772" s="2337"/>
      <c r="F772" s="2337"/>
      <c r="G772" s="2337"/>
      <c r="H772" s="2337"/>
      <c r="I772" s="2337"/>
    </row>
    <row r="773" spans="1:9" s="1046" customFormat="1" ht="12.75" customHeight="1" x14ac:dyDescent="0.2">
      <c r="A773" s="2337" t="s">
        <v>7768</v>
      </c>
      <c r="B773" s="2337"/>
      <c r="C773" s="2337"/>
      <c r="D773" s="2337"/>
      <c r="E773" s="2337"/>
      <c r="F773" s="2337"/>
      <c r="G773" s="2337"/>
      <c r="H773" s="2337"/>
      <c r="I773" s="2337"/>
    </row>
    <row r="774" spans="1:9" s="1177" customFormat="1" ht="12.75" customHeight="1" x14ac:dyDescent="0.2">
      <c r="A774" s="2338"/>
      <c r="B774" s="2338"/>
      <c r="C774" s="2338"/>
      <c r="D774" s="2338"/>
      <c r="E774" s="2338"/>
      <c r="F774" s="2338"/>
      <c r="G774" s="2338"/>
      <c r="H774" s="2338"/>
      <c r="I774" s="2338"/>
    </row>
  </sheetData>
  <mergeCells count="1534">
    <mergeCell ref="A773:I773"/>
    <mergeCell ref="A774:I774"/>
    <mergeCell ref="B767:C767"/>
    <mergeCell ref="D767:G767"/>
    <mergeCell ref="A769:C769"/>
    <mergeCell ref="D769:I769"/>
    <mergeCell ref="A771:I771"/>
    <mergeCell ref="A772:I772"/>
    <mergeCell ref="B764:C764"/>
    <mergeCell ref="D764:G764"/>
    <mergeCell ref="B765:C765"/>
    <mergeCell ref="D765:G765"/>
    <mergeCell ref="B766:C766"/>
    <mergeCell ref="D766:G766"/>
    <mergeCell ref="B761:C761"/>
    <mergeCell ref="D761:G761"/>
    <mergeCell ref="B762:C762"/>
    <mergeCell ref="D762:G762"/>
    <mergeCell ref="B763:C763"/>
    <mergeCell ref="D763:G763"/>
    <mergeCell ref="B758:C758"/>
    <mergeCell ref="D758:G758"/>
    <mergeCell ref="B759:C759"/>
    <mergeCell ref="D759:G759"/>
    <mergeCell ref="B760:C760"/>
    <mergeCell ref="D760:G760"/>
    <mergeCell ref="B755:C755"/>
    <mergeCell ref="D755:G755"/>
    <mergeCell ref="B756:C756"/>
    <mergeCell ref="D756:G756"/>
    <mergeCell ref="B757:C757"/>
    <mergeCell ref="D757:G757"/>
    <mergeCell ref="B752:C752"/>
    <mergeCell ref="D752:G752"/>
    <mergeCell ref="B753:C753"/>
    <mergeCell ref="D753:G753"/>
    <mergeCell ref="B754:C754"/>
    <mergeCell ref="D754:G754"/>
    <mergeCell ref="B749:C749"/>
    <mergeCell ref="D749:G749"/>
    <mergeCell ref="B750:C750"/>
    <mergeCell ref="D750:G750"/>
    <mergeCell ref="B751:C751"/>
    <mergeCell ref="D751:G751"/>
    <mergeCell ref="B746:C746"/>
    <mergeCell ref="D746:G746"/>
    <mergeCell ref="B747:C747"/>
    <mergeCell ref="D747:G747"/>
    <mergeCell ref="B748:C748"/>
    <mergeCell ref="D748:G748"/>
    <mergeCell ref="B743:C743"/>
    <mergeCell ref="D743:G743"/>
    <mergeCell ref="B744:C744"/>
    <mergeCell ref="D744:G744"/>
    <mergeCell ref="B745:C745"/>
    <mergeCell ref="D745:G745"/>
    <mergeCell ref="B740:C740"/>
    <mergeCell ref="D740:G740"/>
    <mergeCell ref="B741:C741"/>
    <mergeCell ref="D741:G741"/>
    <mergeCell ref="B742:C742"/>
    <mergeCell ref="D742:G742"/>
    <mergeCell ref="B737:C737"/>
    <mergeCell ref="D737:G737"/>
    <mergeCell ref="B738:C738"/>
    <mergeCell ref="D738:G738"/>
    <mergeCell ref="B739:C739"/>
    <mergeCell ref="D739:G739"/>
    <mergeCell ref="B734:C734"/>
    <mergeCell ref="D734:G734"/>
    <mergeCell ref="B735:C735"/>
    <mergeCell ref="D735:G735"/>
    <mergeCell ref="B736:C736"/>
    <mergeCell ref="D736:G736"/>
    <mergeCell ref="B731:C731"/>
    <mergeCell ref="D731:G731"/>
    <mergeCell ref="B732:C732"/>
    <mergeCell ref="D732:G732"/>
    <mergeCell ref="B733:C733"/>
    <mergeCell ref="D733:G733"/>
    <mergeCell ref="B728:C728"/>
    <mergeCell ref="D728:G728"/>
    <mergeCell ref="B729:C729"/>
    <mergeCell ref="D729:G729"/>
    <mergeCell ref="B730:C730"/>
    <mergeCell ref="D730:G730"/>
    <mergeCell ref="B725:C725"/>
    <mergeCell ref="D725:G725"/>
    <mergeCell ref="B726:C726"/>
    <mergeCell ref="D726:G726"/>
    <mergeCell ref="B727:C727"/>
    <mergeCell ref="D727:G727"/>
    <mergeCell ref="B722:C722"/>
    <mergeCell ref="D722:G722"/>
    <mergeCell ref="B723:C723"/>
    <mergeCell ref="D723:G723"/>
    <mergeCell ref="B724:C724"/>
    <mergeCell ref="D724:G724"/>
    <mergeCell ref="B719:C719"/>
    <mergeCell ref="D719:G719"/>
    <mergeCell ref="B720:C720"/>
    <mergeCell ref="D720:G720"/>
    <mergeCell ref="B721:C721"/>
    <mergeCell ref="D721:G721"/>
    <mergeCell ref="B716:C716"/>
    <mergeCell ref="D716:G716"/>
    <mergeCell ref="B717:C717"/>
    <mergeCell ref="D717:G717"/>
    <mergeCell ref="B718:C718"/>
    <mergeCell ref="D718:G718"/>
    <mergeCell ref="B713:C713"/>
    <mergeCell ref="D713:G713"/>
    <mergeCell ref="B714:C714"/>
    <mergeCell ref="D714:G714"/>
    <mergeCell ref="B715:C715"/>
    <mergeCell ref="D715:G715"/>
    <mergeCell ref="B710:C710"/>
    <mergeCell ref="D710:G710"/>
    <mergeCell ref="B711:C711"/>
    <mergeCell ref="D711:G711"/>
    <mergeCell ref="B712:C712"/>
    <mergeCell ref="D712:G712"/>
    <mergeCell ref="B707:C707"/>
    <mergeCell ref="D707:G707"/>
    <mergeCell ref="B708:C708"/>
    <mergeCell ref="D708:G708"/>
    <mergeCell ref="B709:C709"/>
    <mergeCell ref="D709:G709"/>
    <mergeCell ref="B704:C704"/>
    <mergeCell ref="D704:G704"/>
    <mergeCell ref="B705:C705"/>
    <mergeCell ref="D705:G705"/>
    <mergeCell ref="B706:C706"/>
    <mergeCell ref="D706:G706"/>
    <mergeCell ref="B701:C701"/>
    <mergeCell ref="D701:G701"/>
    <mergeCell ref="B702:C702"/>
    <mergeCell ref="D702:G702"/>
    <mergeCell ref="B703:C703"/>
    <mergeCell ref="D703:G703"/>
    <mergeCell ref="B698:C698"/>
    <mergeCell ref="D698:G698"/>
    <mergeCell ref="B699:C699"/>
    <mergeCell ref="D699:G699"/>
    <mergeCell ref="B700:C700"/>
    <mergeCell ref="D700:G700"/>
    <mergeCell ref="B695:C695"/>
    <mergeCell ref="D695:G695"/>
    <mergeCell ref="B696:C696"/>
    <mergeCell ref="D696:G696"/>
    <mergeCell ref="B697:C697"/>
    <mergeCell ref="D697:G697"/>
    <mergeCell ref="B692:C692"/>
    <mergeCell ref="D692:G692"/>
    <mergeCell ref="B693:C693"/>
    <mergeCell ref="D693:G693"/>
    <mergeCell ref="B694:C694"/>
    <mergeCell ref="D694:G694"/>
    <mergeCell ref="B689:C689"/>
    <mergeCell ref="D689:G689"/>
    <mergeCell ref="B690:C690"/>
    <mergeCell ref="D690:G690"/>
    <mergeCell ref="B691:C691"/>
    <mergeCell ref="D691:G691"/>
    <mergeCell ref="B686:C686"/>
    <mergeCell ref="D686:G686"/>
    <mergeCell ref="B687:C687"/>
    <mergeCell ref="D687:G687"/>
    <mergeCell ref="B688:C688"/>
    <mergeCell ref="D688:G688"/>
    <mergeCell ref="B683:C683"/>
    <mergeCell ref="D683:G683"/>
    <mergeCell ref="B684:C684"/>
    <mergeCell ref="D684:G684"/>
    <mergeCell ref="B685:C685"/>
    <mergeCell ref="D685:G685"/>
    <mergeCell ref="B680:C680"/>
    <mergeCell ref="D680:G680"/>
    <mergeCell ref="B681:C681"/>
    <mergeCell ref="D681:G681"/>
    <mergeCell ref="B682:C682"/>
    <mergeCell ref="D682:G682"/>
    <mergeCell ref="B677:C677"/>
    <mergeCell ref="D677:G677"/>
    <mergeCell ref="B678:C678"/>
    <mergeCell ref="D678:G678"/>
    <mergeCell ref="B679:C679"/>
    <mergeCell ref="D679:G679"/>
    <mergeCell ref="B674:C674"/>
    <mergeCell ref="D674:G674"/>
    <mergeCell ref="B675:C675"/>
    <mergeCell ref="D675:G675"/>
    <mergeCell ref="B676:C676"/>
    <mergeCell ref="D676:G676"/>
    <mergeCell ref="B671:C671"/>
    <mergeCell ref="D671:G671"/>
    <mergeCell ref="B672:C672"/>
    <mergeCell ref="D672:G672"/>
    <mergeCell ref="B673:C673"/>
    <mergeCell ref="D673:G673"/>
    <mergeCell ref="B668:C668"/>
    <mergeCell ref="D668:G668"/>
    <mergeCell ref="B669:C669"/>
    <mergeCell ref="D669:G669"/>
    <mergeCell ref="B670:C670"/>
    <mergeCell ref="D670:G670"/>
    <mergeCell ref="B665:C665"/>
    <mergeCell ref="D665:G665"/>
    <mergeCell ref="B666:C666"/>
    <mergeCell ref="D666:G666"/>
    <mergeCell ref="B667:C667"/>
    <mergeCell ref="D667:G667"/>
    <mergeCell ref="B662:C662"/>
    <mergeCell ref="D662:G662"/>
    <mergeCell ref="B663:C663"/>
    <mergeCell ref="D663:G663"/>
    <mergeCell ref="B664:C664"/>
    <mergeCell ref="D664:G664"/>
    <mergeCell ref="B659:C659"/>
    <mergeCell ref="D659:G659"/>
    <mergeCell ref="B660:C660"/>
    <mergeCell ref="D660:G660"/>
    <mergeCell ref="B661:C661"/>
    <mergeCell ref="D661:G661"/>
    <mergeCell ref="B656:C656"/>
    <mergeCell ref="D656:G656"/>
    <mergeCell ref="B657:C657"/>
    <mergeCell ref="D657:G657"/>
    <mergeCell ref="B658:C658"/>
    <mergeCell ref="D658:G658"/>
    <mergeCell ref="B653:C653"/>
    <mergeCell ref="D653:G653"/>
    <mergeCell ref="B654:C654"/>
    <mergeCell ref="D654:G654"/>
    <mergeCell ref="B655:C655"/>
    <mergeCell ref="D655:G655"/>
    <mergeCell ref="B650:C650"/>
    <mergeCell ref="D650:G650"/>
    <mergeCell ref="B651:C651"/>
    <mergeCell ref="D651:G651"/>
    <mergeCell ref="B652:C652"/>
    <mergeCell ref="D652:G652"/>
    <mergeCell ref="B647:C647"/>
    <mergeCell ref="D647:G647"/>
    <mergeCell ref="B648:C648"/>
    <mergeCell ref="D648:G648"/>
    <mergeCell ref="B649:C649"/>
    <mergeCell ref="D649:G649"/>
    <mergeCell ref="B644:C644"/>
    <mergeCell ref="D644:G644"/>
    <mergeCell ref="B645:C645"/>
    <mergeCell ref="D645:G645"/>
    <mergeCell ref="B646:C646"/>
    <mergeCell ref="D646:G646"/>
    <mergeCell ref="B641:C641"/>
    <mergeCell ref="D641:G641"/>
    <mergeCell ref="B642:C642"/>
    <mergeCell ref="D642:G642"/>
    <mergeCell ref="B643:C643"/>
    <mergeCell ref="D643:G643"/>
    <mergeCell ref="B638:C638"/>
    <mergeCell ref="D638:G638"/>
    <mergeCell ref="B639:C639"/>
    <mergeCell ref="D639:G639"/>
    <mergeCell ref="B640:C640"/>
    <mergeCell ref="D640:G640"/>
    <mergeCell ref="B635:C635"/>
    <mergeCell ref="D635:G635"/>
    <mergeCell ref="B636:C636"/>
    <mergeCell ref="D636:G636"/>
    <mergeCell ref="B637:C637"/>
    <mergeCell ref="D637:G637"/>
    <mergeCell ref="B632:C632"/>
    <mergeCell ref="D632:G632"/>
    <mergeCell ref="B633:C633"/>
    <mergeCell ref="D633:G633"/>
    <mergeCell ref="B634:C634"/>
    <mergeCell ref="D634:G634"/>
    <mergeCell ref="B629:C629"/>
    <mergeCell ref="D629:G629"/>
    <mergeCell ref="B630:C630"/>
    <mergeCell ref="D630:G630"/>
    <mergeCell ref="B631:C631"/>
    <mergeCell ref="D631:G631"/>
    <mergeCell ref="B626:C626"/>
    <mergeCell ref="D626:G626"/>
    <mergeCell ref="B627:C627"/>
    <mergeCell ref="D627:G627"/>
    <mergeCell ref="B628:C628"/>
    <mergeCell ref="D628:G628"/>
    <mergeCell ref="B623:C623"/>
    <mergeCell ref="D623:G623"/>
    <mergeCell ref="B624:C624"/>
    <mergeCell ref="D624:G624"/>
    <mergeCell ref="B625:C625"/>
    <mergeCell ref="D625:G625"/>
    <mergeCell ref="B620:C620"/>
    <mergeCell ref="D620:G620"/>
    <mergeCell ref="B621:C621"/>
    <mergeCell ref="D621:G621"/>
    <mergeCell ref="B622:C622"/>
    <mergeCell ref="D622:G622"/>
    <mergeCell ref="B617:C617"/>
    <mergeCell ref="D617:G617"/>
    <mergeCell ref="B618:C618"/>
    <mergeCell ref="D618:G618"/>
    <mergeCell ref="B619:C619"/>
    <mergeCell ref="D619:G619"/>
    <mergeCell ref="B614:C614"/>
    <mergeCell ref="D614:G614"/>
    <mergeCell ref="B615:C615"/>
    <mergeCell ref="D615:G615"/>
    <mergeCell ref="B616:C616"/>
    <mergeCell ref="D616:G616"/>
    <mergeCell ref="B611:C611"/>
    <mergeCell ref="D611:G611"/>
    <mergeCell ref="B612:C612"/>
    <mergeCell ref="D612:G612"/>
    <mergeCell ref="B613:C613"/>
    <mergeCell ref="D613:G613"/>
    <mergeCell ref="B608:C608"/>
    <mergeCell ref="D608:G608"/>
    <mergeCell ref="B609:C609"/>
    <mergeCell ref="D609:G609"/>
    <mergeCell ref="B610:C610"/>
    <mergeCell ref="D610:G610"/>
    <mergeCell ref="B605:C605"/>
    <mergeCell ref="D605:G605"/>
    <mergeCell ref="B606:C606"/>
    <mergeCell ref="D606:G606"/>
    <mergeCell ref="B607:C607"/>
    <mergeCell ref="D607:G607"/>
    <mergeCell ref="B602:C602"/>
    <mergeCell ref="D602:G602"/>
    <mergeCell ref="B603:C603"/>
    <mergeCell ref="D603:G603"/>
    <mergeCell ref="B604:C604"/>
    <mergeCell ref="D604:G604"/>
    <mergeCell ref="B599:C599"/>
    <mergeCell ref="D599:G599"/>
    <mergeCell ref="B600:C600"/>
    <mergeCell ref="D600:G600"/>
    <mergeCell ref="B601:C601"/>
    <mergeCell ref="D601:G601"/>
    <mergeCell ref="B596:C596"/>
    <mergeCell ref="D596:G596"/>
    <mergeCell ref="B597:C597"/>
    <mergeCell ref="D597:G597"/>
    <mergeCell ref="B598:C598"/>
    <mergeCell ref="D598:G598"/>
    <mergeCell ref="B593:C593"/>
    <mergeCell ref="D593:G593"/>
    <mergeCell ref="B594:C594"/>
    <mergeCell ref="D594:G594"/>
    <mergeCell ref="B595:C595"/>
    <mergeCell ref="D595:G595"/>
    <mergeCell ref="B590:C590"/>
    <mergeCell ref="D590:G590"/>
    <mergeCell ref="B591:C591"/>
    <mergeCell ref="D591:G591"/>
    <mergeCell ref="B592:C592"/>
    <mergeCell ref="D592:G592"/>
    <mergeCell ref="B587:C587"/>
    <mergeCell ref="D587:G587"/>
    <mergeCell ref="B588:C588"/>
    <mergeCell ref="D588:G588"/>
    <mergeCell ref="B589:C589"/>
    <mergeCell ref="D589:G589"/>
    <mergeCell ref="B584:C584"/>
    <mergeCell ref="D584:G584"/>
    <mergeCell ref="B585:C585"/>
    <mergeCell ref="D585:G585"/>
    <mergeCell ref="B586:C586"/>
    <mergeCell ref="D586:G586"/>
    <mergeCell ref="B581:C581"/>
    <mergeCell ref="D581:G581"/>
    <mergeCell ref="B582:C582"/>
    <mergeCell ref="D582:G582"/>
    <mergeCell ref="B583:C583"/>
    <mergeCell ref="D583:G583"/>
    <mergeCell ref="B578:C578"/>
    <mergeCell ref="D578:G578"/>
    <mergeCell ref="B579:C579"/>
    <mergeCell ref="D579:G579"/>
    <mergeCell ref="B580:C580"/>
    <mergeCell ref="D580:G580"/>
    <mergeCell ref="B575:C575"/>
    <mergeCell ref="D575:G575"/>
    <mergeCell ref="B576:C576"/>
    <mergeCell ref="D576:G576"/>
    <mergeCell ref="B577:C577"/>
    <mergeCell ref="D577:G577"/>
    <mergeCell ref="B572:C572"/>
    <mergeCell ref="D572:G572"/>
    <mergeCell ref="B573:C573"/>
    <mergeCell ref="D573:G573"/>
    <mergeCell ref="B574:C574"/>
    <mergeCell ref="D574:G574"/>
    <mergeCell ref="B569:C569"/>
    <mergeCell ref="D569:G569"/>
    <mergeCell ref="B570:C570"/>
    <mergeCell ref="D570:G570"/>
    <mergeCell ref="B571:C571"/>
    <mergeCell ref="D571:G571"/>
    <mergeCell ref="B566:C566"/>
    <mergeCell ref="D566:G566"/>
    <mergeCell ref="B567:C567"/>
    <mergeCell ref="D567:G567"/>
    <mergeCell ref="B568:C568"/>
    <mergeCell ref="D568:G568"/>
    <mergeCell ref="B563:C563"/>
    <mergeCell ref="D563:G563"/>
    <mergeCell ref="B564:C564"/>
    <mergeCell ref="D564:G564"/>
    <mergeCell ref="B565:C565"/>
    <mergeCell ref="D565:G565"/>
    <mergeCell ref="B560:C560"/>
    <mergeCell ref="D560:G560"/>
    <mergeCell ref="B561:C561"/>
    <mergeCell ref="D561:G561"/>
    <mergeCell ref="B562:C562"/>
    <mergeCell ref="D562:G562"/>
    <mergeCell ref="B557:C557"/>
    <mergeCell ref="D557:G557"/>
    <mergeCell ref="B558:C558"/>
    <mergeCell ref="D558:G558"/>
    <mergeCell ref="B559:C559"/>
    <mergeCell ref="D559:G559"/>
    <mergeCell ref="B554:C554"/>
    <mergeCell ref="D554:G554"/>
    <mergeCell ref="B555:C555"/>
    <mergeCell ref="D555:G555"/>
    <mergeCell ref="B556:C556"/>
    <mergeCell ref="D556:G556"/>
    <mergeCell ref="B551:C551"/>
    <mergeCell ref="D551:G551"/>
    <mergeCell ref="B552:C552"/>
    <mergeCell ref="D552:G552"/>
    <mergeCell ref="B553:C553"/>
    <mergeCell ref="D553:G553"/>
    <mergeCell ref="B548:C548"/>
    <mergeCell ref="D548:G548"/>
    <mergeCell ref="B549:C549"/>
    <mergeCell ref="D549:G549"/>
    <mergeCell ref="B550:C550"/>
    <mergeCell ref="D550:G550"/>
    <mergeCell ref="B545:C545"/>
    <mergeCell ref="D545:G545"/>
    <mergeCell ref="B546:C546"/>
    <mergeCell ref="D546:G546"/>
    <mergeCell ref="B547:C547"/>
    <mergeCell ref="D547:G547"/>
    <mergeCell ref="B542:C542"/>
    <mergeCell ref="D542:G542"/>
    <mergeCell ref="B543:C543"/>
    <mergeCell ref="D543:G543"/>
    <mergeCell ref="B544:C544"/>
    <mergeCell ref="D544:G544"/>
    <mergeCell ref="B539:C539"/>
    <mergeCell ref="D539:G539"/>
    <mergeCell ref="B540:C540"/>
    <mergeCell ref="D540:G540"/>
    <mergeCell ref="B541:C541"/>
    <mergeCell ref="D541:G541"/>
    <mergeCell ref="B536:C536"/>
    <mergeCell ref="D536:G536"/>
    <mergeCell ref="B537:C537"/>
    <mergeCell ref="D537:G537"/>
    <mergeCell ref="B538:C538"/>
    <mergeCell ref="D538:G538"/>
    <mergeCell ref="B533:C533"/>
    <mergeCell ref="D533:G533"/>
    <mergeCell ref="B534:C534"/>
    <mergeCell ref="D534:G534"/>
    <mergeCell ref="B535:C535"/>
    <mergeCell ref="D535:G535"/>
    <mergeCell ref="B530:C530"/>
    <mergeCell ref="D530:G530"/>
    <mergeCell ref="B531:C531"/>
    <mergeCell ref="D531:G531"/>
    <mergeCell ref="B532:C532"/>
    <mergeCell ref="D532:G532"/>
    <mergeCell ref="B527:C527"/>
    <mergeCell ref="D527:G527"/>
    <mergeCell ref="B528:C528"/>
    <mergeCell ref="D528:G528"/>
    <mergeCell ref="B529:C529"/>
    <mergeCell ref="D529:G529"/>
    <mergeCell ref="I522:I523"/>
    <mergeCell ref="B524:C524"/>
    <mergeCell ref="D524:G524"/>
    <mergeCell ref="B525:C525"/>
    <mergeCell ref="D525:G525"/>
    <mergeCell ref="B526:C526"/>
    <mergeCell ref="D526:G526"/>
    <mergeCell ref="B521:C521"/>
    <mergeCell ref="D521:G521"/>
    <mergeCell ref="A522:A523"/>
    <mergeCell ref="B522:C523"/>
    <mergeCell ref="D522:G523"/>
    <mergeCell ref="H522:H523"/>
    <mergeCell ref="B518:C518"/>
    <mergeCell ref="D518:G518"/>
    <mergeCell ref="B519:C519"/>
    <mergeCell ref="D519:G519"/>
    <mergeCell ref="B520:C520"/>
    <mergeCell ref="D520:G520"/>
    <mergeCell ref="B515:C515"/>
    <mergeCell ref="D515:G515"/>
    <mergeCell ref="B516:C516"/>
    <mergeCell ref="D516:G516"/>
    <mergeCell ref="B517:C517"/>
    <mergeCell ref="D517:G517"/>
    <mergeCell ref="B512:C512"/>
    <mergeCell ref="D512:G512"/>
    <mergeCell ref="B513:C513"/>
    <mergeCell ref="D513:G513"/>
    <mergeCell ref="B514:C514"/>
    <mergeCell ref="D514:G514"/>
    <mergeCell ref="B509:C509"/>
    <mergeCell ref="D509:G509"/>
    <mergeCell ref="B510:C510"/>
    <mergeCell ref="D510:G510"/>
    <mergeCell ref="B511:C511"/>
    <mergeCell ref="D511:G511"/>
    <mergeCell ref="I504:I505"/>
    <mergeCell ref="B506:C506"/>
    <mergeCell ref="D506:G506"/>
    <mergeCell ref="B507:C507"/>
    <mergeCell ref="D507:G507"/>
    <mergeCell ref="B508:C508"/>
    <mergeCell ref="D508:G508"/>
    <mergeCell ref="B503:C503"/>
    <mergeCell ref="D503:G503"/>
    <mergeCell ref="A504:A505"/>
    <mergeCell ref="B504:C505"/>
    <mergeCell ref="D504:G505"/>
    <mergeCell ref="H504:H505"/>
    <mergeCell ref="B500:C500"/>
    <mergeCell ref="D500:G500"/>
    <mergeCell ref="B501:C501"/>
    <mergeCell ref="D501:G501"/>
    <mergeCell ref="B502:C502"/>
    <mergeCell ref="D502:G502"/>
    <mergeCell ref="B497:C497"/>
    <mergeCell ref="D497:G497"/>
    <mergeCell ref="B498:C498"/>
    <mergeCell ref="D498:G498"/>
    <mergeCell ref="B499:C499"/>
    <mergeCell ref="D499:G499"/>
    <mergeCell ref="B494:C494"/>
    <mergeCell ref="D494:G494"/>
    <mergeCell ref="B495:C495"/>
    <mergeCell ref="D495:G495"/>
    <mergeCell ref="B496:C496"/>
    <mergeCell ref="D496:G496"/>
    <mergeCell ref="B491:C491"/>
    <mergeCell ref="D491:G491"/>
    <mergeCell ref="B492:C492"/>
    <mergeCell ref="D492:G492"/>
    <mergeCell ref="B493:C493"/>
    <mergeCell ref="D493:G493"/>
    <mergeCell ref="B488:C488"/>
    <mergeCell ref="D488:G488"/>
    <mergeCell ref="B489:C489"/>
    <mergeCell ref="D489:G489"/>
    <mergeCell ref="B490:C490"/>
    <mergeCell ref="D490:G490"/>
    <mergeCell ref="B485:C485"/>
    <mergeCell ref="D485:G485"/>
    <mergeCell ref="B486:C486"/>
    <mergeCell ref="D486:G486"/>
    <mergeCell ref="B487:C487"/>
    <mergeCell ref="D487:G487"/>
    <mergeCell ref="B482:C482"/>
    <mergeCell ref="D482:G482"/>
    <mergeCell ref="B483:C483"/>
    <mergeCell ref="D483:G483"/>
    <mergeCell ref="B484:C484"/>
    <mergeCell ref="D484:G484"/>
    <mergeCell ref="B479:C479"/>
    <mergeCell ref="D479:G479"/>
    <mergeCell ref="B480:C480"/>
    <mergeCell ref="D480:G480"/>
    <mergeCell ref="B481:C481"/>
    <mergeCell ref="D481:G481"/>
    <mergeCell ref="B476:C476"/>
    <mergeCell ref="D476:G476"/>
    <mergeCell ref="B477:C477"/>
    <mergeCell ref="D477:G477"/>
    <mergeCell ref="B478:C478"/>
    <mergeCell ref="D478:G478"/>
    <mergeCell ref="B473:C473"/>
    <mergeCell ref="D473:G473"/>
    <mergeCell ref="B474:C474"/>
    <mergeCell ref="D474:G474"/>
    <mergeCell ref="B475:C475"/>
    <mergeCell ref="D475:G475"/>
    <mergeCell ref="B470:C470"/>
    <mergeCell ref="D470:G470"/>
    <mergeCell ref="B471:C471"/>
    <mergeCell ref="D471:G471"/>
    <mergeCell ref="B472:C472"/>
    <mergeCell ref="D472:G472"/>
    <mergeCell ref="B467:C467"/>
    <mergeCell ref="D467:G467"/>
    <mergeCell ref="B468:C468"/>
    <mergeCell ref="D468:G468"/>
    <mergeCell ref="B469:C469"/>
    <mergeCell ref="D469:G469"/>
    <mergeCell ref="B464:C464"/>
    <mergeCell ref="D464:G464"/>
    <mergeCell ref="B465:C465"/>
    <mergeCell ref="D465:G465"/>
    <mergeCell ref="B466:C466"/>
    <mergeCell ref="D466:G466"/>
    <mergeCell ref="B461:C461"/>
    <mergeCell ref="D461:G461"/>
    <mergeCell ref="B462:C462"/>
    <mergeCell ref="D462:G462"/>
    <mergeCell ref="B463:C463"/>
    <mergeCell ref="D463:G463"/>
    <mergeCell ref="B458:C458"/>
    <mergeCell ref="D458:G458"/>
    <mergeCell ref="B459:C459"/>
    <mergeCell ref="D459:G459"/>
    <mergeCell ref="B460:C460"/>
    <mergeCell ref="D460:G460"/>
    <mergeCell ref="B455:C455"/>
    <mergeCell ref="D455:G455"/>
    <mergeCell ref="B456:C456"/>
    <mergeCell ref="D456:G456"/>
    <mergeCell ref="B457:C457"/>
    <mergeCell ref="D457:G457"/>
    <mergeCell ref="B452:C452"/>
    <mergeCell ref="D452:G452"/>
    <mergeCell ref="B453:C453"/>
    <mergeCell ref="D453:G453"/>
    <mergeCell ref="B454:C454"/>
    <mergeCell ref="D454:G454"/>
    <mergeCell ref="B449:C449"/>
    <mergeCell ref="D449:G449"/>
    <mergeCell ref="B450:C450"/>
    <mergeCell ref="D450:G450"/>
    <mergeCell ref="B451:C451"/>
    <mergeCell ref="D451:G451"/>
    <mergeCell ref="B446:C446"/>
    <mergeCell ref="D446:G446"/>
    <mergeCell ref="B447:C447"/>
    <mergeCell ref="D447:G447"/>
    <mergeCell ref="B448:C448"/>
    <mergeCell ref="D448:G448"/>
    <mergeCell ref="B443:C443"/>
    <mergeCell ref="D443:G443"/>
    <mergeCell ref="B444:C444"/>
    <mergeCell ref="D444:G444"/>
    <mergeCell ref="B445:C445"/>
    <mergeCell ref="D445:G445"/>
    <mergeCell ref="B440:C440"/>
    <mergeCell ref="D440:G440"/>
    <mergeCell ref="B441:C441"/>
    <mergeCell ref="D441:G441"/>
    <mergeCell ref="B442:C442"/>
    <mergeCell ref="D442:G442"/>
    <mergeCell ref="B437:C437"/>
    <mergeCell ref="D437:G437"/>
    <mergeCell ref="B438:C438"/>
    <mergeCell ref="D438:G438"/>
    <mergeCell ref="B439:C439"/>
    <mergeCell ref="D439:G439"/>
    <mergeCell ref="B434:C434"/>
    <mergeCell ref="D434:G434"/>
    <mergeCell ref="B435:C435"/>
    <mergeCell ref="D435:G435"/>
    <mergeCell ref="B436:C436"/>
    <mergeCell ref="D436:G436"/>
    <mergeCell ref="B431:C431"/>
    <mergeCell ref="D431:G431"/>
    <mergeCell ref="B432:C432"/>
    <mergeCell ref="D432:G432"/>
    <mergeCell ref="B433:C433"/>
    <mergeCell ref="D433:G433"/>
    <mergeCell ref="B428:C428"/>
    <mergeCell ref="D428:G428"/>
    <mergeCell ref="B429:C429"/>
    <mergeCell ref="D429:G429"/>
    <mergeCell ref="B430:C430"/>
    <mergeCell ref="D430:G430"/>
    <mergeCell ref="B425:C425"/>
    <mergeCell ref="D425:G425"/>
    <mergeCell ref="B426:C426"/>
    <mergeCell ref="D426:G426"/>
    <mergeCell ref="B427:C427"/>
    <mergeCell ref="D427:G427"/>
    <mergeCell ref="B422:C422"/>
    <mergeCell ref="D422:G422"/>
    <mergeCell ref="B423:C423"/>
    <mergeCell ref="D423:G423"/>
    <mergeCell ref="B424:C424"/>
    <mergeCell ref="D424:G424"/>
    <mergeCell ref="B419:C419"/>
    <mergeCell ref="D419:G419"/>
    <mergeCell ref="B420:C420"/>
    <mergeCell ref="D420:G420"/>
    <mergeCell ref="B421:C421"/>
    <mergeCell ref="D421:G421"/>
    <mergeCell ref="B416:C416"/>
    <mergeCell ref="D416:G416"/>
    <mergeCell ref="B417:C417"/>
    <mergeCell ref="D417:G417"/>
    <mergeCell ref="B418:C418"/>
    <mergeCell ref="D418:G418"/>
    <mergeCell ref="B413:C413"/>
    <mergeCell ref="D413:G413"/>
    <mergeCell ref="B414:C414"/>
    <mergeCell ref="D414:G414"/>
    <mergeCell ref="B415:C415"/>
    <mergeCell ref="D415:G415"/>
    <mergeCell ref="B410:C410"/>
    <mergeCell ref="D410:G410"/>
    <mergeCell ref="B411:C411"/>
    <mergeCell ref="D411:G411"/>
    <mergeCell ref="B412:C412"/>
    <mergeCell ref="D412:G412"/>
    <mergeCell ref="B407:C407"/>
    <mergeCell ref="D407:G407"/>
    <mergeCell ref="B408:C408"/>
    <mergeCell ref="D408:G408"/>
    <mergeCell ref="B409:C409"/>
    <mergeCell ref="D409:G409"/>
    <mergeCell ref="B404:C404"/>
    <mergeCell ref="D404:G404"/>
    <mergeCell ref="B405:C405"/>
    <mergeCell ref="D405:G405"/>
    <mergeCell ref="B406:C406"/>
    <mergeCell ref="D406:G406"/>
    <mergeCell ref="B401:C401"/>
    <mergeCell ref="D401:G401"/>
    <mergeCell ref="B402:C402"/>
    <mergeCell ref="D402:G402"/>
    <mergeCell ref="B403:C403"/>
    <mergeCell ref="D403:G403"/>
    <mergeCell ref="B398:C398"/>
    <mergeCell ref="D398:G398"/>
    <mergeCell ref="B399:C399"/>
    <mergeCell ref="D399:G399"/>
    <mergeCell ref="B400:C400"/>
    <mergeCell ref="D400:G400"/>
    <mergeCell ref="B395:C395"/>
    <mergeCell ref="D395:G395"/>
    <mergeCell ref="B396:C396"/>
    <mergeCell ref="D396:G396"/>
    <mergeCell ref="B397:C397"/>
    <mergeCell ref="D397:G397"/>
    <mergeCell ref="B392:C392"/>
    <mergeCell ref="D392:G392"/>
    <mergeCell ref="B393:C393"/>
    <mergeCell ref="D393:G393"/>
    <mergeCell ref="B394:C394"/>
    <mergeCell ref="D394:G394"/>
    <mergeCell ref="B389:C389"/>
    <mergeCell ref="D389:G389"/>
    <mergeCell ref="B390:C390"/>
    <mergeCell ref="D390:G390"/>
    <mergeCell ref="B391:C391"/>
    <mergeCell ref="D391:G391"/>
    <mergeCell ref="B386:C386"/>
    <mergeCell ref="D386:G386"/>
    <mergeCell ref="B387:C387"/>
    <mergeCell ref="D387:G387"/>
    <mergeCell ref="B388:C388"/>
    <mergeCell ref="D388:G388"/>
    <mergeCell ref="A383:A384"/>
    <mergeCell ref="B383:C384"/>
    <mergeCell ref="D383:G384"/>
    <mergeCell ref="H383:H384"/>
    <mergeCell ref="I383:I384"/>
    <mergeCell ref="B385:C385"/>
    <mergeCell ref="D385:G385"/>
    <mergeCell ref="B380:C380"/>
    <mergeCell ref="D380:G380"/>
    <mergeCell ref="B381:C381"/>
    <mergeCell ref="D381:G381"/>
    <mergeCell ref="B382:C382"/>
    <mergeCell ref="D382:G382"/>
    <mergeCell ref="B377:C377"/>
    <mergeCell ref="D377:G377"/>
    <mergeCell ref="B378:C378"/>
    <mergeCell ref="D378:G378"/>
    <mergeCell ref="B379:C379"/>
    <mergeCell ref="D379:G379"/>
    <mergeCell ref="B374:C374"/>
    <mergeCell ref="D374:G374"/>
    <mergeCell ref="B375:C375"/>
    <mergeCell ref="D375:G375"/>
    <mergeCell ref="B376:C376"/>
    <mergeCell ref="D376:G376"/>
    <mergeCell ref="B371:C371"/>
    <mergeCell ref="D371:G371"/>
    <mergeCell ref="B372:C372"/>
    <mergeCell ref="D372:G372"/>
    <mergeCell ref="B373:C373"/>
    <mergeCell ref="D373:G373"/>
    <mergeCell ref="B368:C368"/>
    <mergeCell ref="D368:G368"/>
    <mergeCell ref="B369:C369"/>
    <mergeCell ref="D369:G369"/>
    <mergeCell ref="B370:C370"/>
    <mergeCell ref="D370:G370"/>
    <mergeCell ref="B365:C365"/>
    <mergeCell ref="D365:G365"/>
    <mergeCell ref="B366:C366"/>
    <mergeCell ref="D366:G366"/>
    <mergeCell ref="B367:C367"/>
    <mergeCell ref="D367:G367"/>
    <mergeCell ref="B362:C362"/>
    <mergeCell ref="D362:G362"/>
    <mergeCell ref="B363:C363"/>
    <mergeCell ref="D363:G363"/>
    <mergeCell ref="B364:C364"/>
    <mergeCell ref="D364:G364"/>
    <mergeCell ref="B359:C359"/>
    <mergeCell ref="D359:G359"/>
    <mergeCell ref="B360:C360"/>
    <mergeCell ref="D360:G360"/>
    <mergeCell ref="B361:C361"/>
    <mergeCell ref="D361:G361"/>
    <mergeCell ref="B356:C356"/>
    <mergeCell ref="D356:G356"/>
    <mergeCell ref="B357:C357"/>
    <mergeCell ref="D357:G357"/>
    <mergeCell ref="B358:C358"/>
    <mergeCell ref="D358:G358"/>
    <mergeCell ref="I351:I352"/>
    <mergeCell ref="B353:C353"/>
    <mergeCell ref="D353:G353"/>
    <mergeCell ref="B354:C354"/>
    <mergeCell ref="D354:G354"/>
    <mergeCell ref="B355:C355"/>
    <mergeCell ref="D355:G355"/>
    <mergeCell ref="B350:C350"/>
    <mergeCell ref="D350:G350"/>
    <mergeCell ref="A351:A352"/>
    <mergeCell ref="B351:C352"/>
    <mergeCell ref="D351:G352"/>
    <mergeCell ref="H351:H352"/>
    <mergeCell ref="B347:C347"/>
    <mergeCell ref="D347:G347"/>
    <mergeCell ref="B348:C348"/>
    <mergeCell ref="D348:G348"/>
    <mergeCell ref="B349:C349"/>
    <mergeCell ref="D349:G349"/>
    <mergeCell ref="B344:C344"/>
    <mergeCell ref="D344:G344"/>
    <mergeCell ref="B345:C345"/>
    <mergeCell ref="D345:G345"/>
    <mergeCell ref="B346:C346"/>
    <mergeCell ref="D346:G346"/>
    <mergeCell ref="B341:C341"/>
    <mergeCell ref="D341:G341"/>
    <mergeCell ref="B342:C342"/>
    <mergeCell ref="D342:G342"/>
    <mergeCell ref="B343:C343"/>
    <mergeCell ref="D343:G343"/>
    <mergeCell ref="B338:C338"/>
    <mergeCell ref="D338:G338"/>
    <mergeCell ref="B339:C339"/>
    <mergeCell ref="D339:G339"/>
    <mergeCell ref="B340:C340"/>
    <mergeCell ref="D340:G340"/>
    <mergeCell ref="B335:C335"/>
    <mergeCell ref="D335:G335"/>
    <mergeCell ref="B336:C336"/>
    <mergeCell ref="D336:G336"/>
    <mergeCell ref="B337:C337"/>
    <mergeCell ref="D337:G337"/>
    <mergeCell ref="B332:C332"/>
    <mergeCell ref="D332:G332"/>
    <mergeCell ref="B333:C333"/>
    <mergeCell ref="D333:G333"/>
    <mergeCell ref="B334:C334"/>
    <mergeCell ref="D334:G334"/>
    <mergeCell ref="B329:C329"/>
    <mergeCell ref="D329:G329"/>
    <mergeCell ref="B330:C330"/>
    <mergeCell ref="D330:G330"/>
    <mergeCell ref="B331:C331"/>
    <mergeCell ref="D331:G331"/>
    <mergeCell ref="B326:C326"/>
    <mergeCell ref="D326:G326"/>
    <mergeCell ref="B327:C327"/>
    <mergeCell ref="D327:G327"/>
    <mergeCell ref="B328:C328"/>
    <mergeCell ref="D328:G328"/>
    <mergeCell ref="B323:C323"/>
    <mergeCell ref="D323:G323"/>
    <mergeCell ref="B324:C324"/>
    <mergeCell ref="D324:G324"/>
    <mergeCell ref="B325:C325"/>
    <mergeCell ref="D325:G325"/>
    <mergeCell ref="B320:C320"/>
    <mergeCell ref="D320:G320"/>
    <mergeCell ref="B321:C321"/>
    <mergeCell ref="D321:G321"/>
    <mergeCell ref="B322:C322"/>
    <mergeCell ref="D322:G322"/>
    <mergeCell ref="B317:C317"/>
    <mergeCell ref="D317:G317"/>
    <mergeCell ref="B318:C318"/>
    <mergeCell ref="D318:G318"/>
    <mergeCell ref="B319:C319"/>
    <mergeCell ref="D319:G319"/>
    <mergeCell ref="B314:C314"/>
    <mergeCell ref="D314:G314"/>
    <mergeCell ref="B315:C315"/>
    <mergeCell ref="D315:G315"/>
    <mergeCell ref="B316:C316"/>
    <mergeCell ref="D316:G316"/>
    <mergeCell ref="B311:C311"/>
    <mergeCell ref="D311:G311"/>
    <mergeCell ref="B312:C312"/>
    <mergeCell ref="D312:G312"/>
    <mergeCell ref="B313:C313"/>
    <mergeCell ref="D313:G313"/>
    <mergeCell ref="B308:C308"/>
    <mergeCell ref="D308:G308"/>
    <mergeCell ref="B309:C309"/>
    <mergeCell ref="D309:G309"/>
    <mergeCell ref="B310:C310"/>
    <mergeCell ref="D310:G310"/>
    <mergeCell ref="B305:C305"/>
    <mergeCell ref="D305:G305"/>
    <mergeCell ref="B306:C306"/>
    <mergeCell ref="D306:G306"/>
    <mergeCell ref="B307:C307"/>
    <mergeCell ref="D307:G307"/>
    <mergeCell ref="B302:C302"/>
    <mergeCell ref="D302:G302"/>
    <mergeCell ref="B303:C303"/>
    <mergeCell ref="D303:G303"/>
    <mergeCell ref="B304:C304"/>
    <mergeCell ref="D304:G304"/>
    <mergeCell ref="B299:C299"/>
    <mergeCell ref="D299:G299"/>
    <mergeCell ref="B300:C300"/>
    <mergeCell ref="D300:G300"/>
    <mergeCell ref="B301:C301"/>
    <mergeCell ref="D301:G301"/>
    <mergeCell ref="B296:C296"/>
    <mergeCell ref="D296:G296"/>
    <mergeCell ref="B297:C297"/>
    <mergeCell ref="D297:G297"/>
    <mergeCell ref="B298:C298"/>
    <mergeCell ref="D298:G298"/>
    <mergeCell ref="B293:C293"/>
    <mergeCell ref="D293:G293"/>
    <mergeCell ref="B294:C294"/>
    <mergeCell ref="D294:G294"/>
    <mergeCell ref="B295:C295"/>
    <mergeCell ref="D295:G295"/>
    <mergeCell ref="B290:C290"/>
    <mergeCell ref="D290:G290"/>
    <mergeCell ref="B291:C291"/>
    <mergeCell ref="D291:G291"/>
    <mergeCell ref="B292:C292"/>
    <mergeCell ref="D292:G292"/>
    <mergeCell ref="B287:C287"/>
    <mergeCell ref="D287:G287"/>
    <mergeCell ref="B288:C288"/>
    <mergeCell ref="D288:G288"/>
    <mergeCell ref="B289:C289"/>
    <mergeCell ref="D289:G289"/>
    <mergeCell ref="B284:C284"/>
    <mergeCell ref="D284:G284"/>
    <mergeCell ref="B285:C285"/>
    <mergeCell ref="D285:G285"/>
    <mergeCell ref="B286:C286"/>
    <mergeCell ref="D286:G286"/>
    <mergeCell ref="B281:C281"/>
    <mergeCell ref="D281:G281"/>
    <mergeCell ref="B282:C282"/>
    <mergeCell ref="D282:G282"/>
    <mergeCell ref="B283:C283"/>
    <mergeCell ref="D283:G283"/>
    <mergeCell ref="B278:C278"/>
    <mergeCell ref="D278:G278"/>
    <mergeCell ref="B279:C279"/>
    <mergeCell ref="D279:G279"/>
    <mergeCell ref="B280:C280"/>
    <mergeCell ref="D280:G280"/>
    <mergeCell ref="B275:C275"/>
    <mergeCell ref="D275:G275"/>
    <mergeCell ref="B276:C276"/>
    <mergeCell ref="D276:G276"/>
    <mergeCell ref="B277:C277"/>
    <mergeCell ref="D277:G277"/>
    <mergeCell ref="B272:C272"/>
    <mergeCell ref="D272:G272"/>
    <mergeCell ref="B273:C273"/>
    <mergeCell ref="D273:G273"/>
    <mergeCell ref="B274:C274"/>
    <mergeCell ref="D274:G274"/>
    <mergeCell ref="B269:C269"/>
    <mergeCell ref="D269:G269"/>
    <mergeCell ref="B270:C270"/>
    <mergeCell ref="D270:G270"/>
    <mergeCell ref="B271:C271"/>
    <mergeCell ref="D271:G271"/>
    <mergeCell ref="B266:C266"/>
    <mergeCell ref="D266:G266"/>
    <mergeCell ref="B267:C267"/>
    <mergeCell ref="D267:G267"/>
    <mergeCell ref="B268:C268"/>
    <mergeCell ref="D268:G268"/>
    <mergeCell ref="B263:C263"/>
    <mergeCell ref="D263:G263"/>
    <mergeCell ref="B264:C264"/>
    <mergeCell ref="D264:G264"/>
    <mergeCell ref="B265:C265"/>
    <mergeCell ref="D265:G265"/>
    <mergeCell ref="B260:C260"/>
    <mergeCell ref="D260:G260"/>
    <mergeCell ref="B261:C261"/>
    <mergeCell ref="D261:G261"/>
    <mergeCell ref="B262:C262"/>
    <mergeCell ref="D262:G262"/>
    <mergeCell ref="B257:C257"/>
    <mergeCell ref="D257:G257"/>
    <mergeCell ref="B258:C258"/>
    <mergeCell ref="D258:G258"/>
    <mergeCell ref="B259:C259"/>
    <mergeCell ref="D259:G259"/>
    <mergeCell ref="B254:C254"/>
    <mergeCell ref="D254:G254"/>
    <mergeCell ref="B255:C255"/>
    <mergeCell ref="D255:G255"/>
    <mergeCell ref="B256:C256"/>
    <mergeCell ref="D256:G256"/>
    <mergeCell ref="B251:C251"/>
    <mergeCell ref="D251:G251"/>
    <mergeCell ref="B252:C252"/>
    <mergeCell ref="D252:G252"/>
    <mergeCell ref="B253:C253"/>
    <mergeCell ref="D253:G253"/>
    <mergeCell ref="B248:C248"/>
    <mergeCell ref="D248:G248"/>
    <mergeCell ref="B249:C249"/>
    <mergeCell ref="D249:G249"/>
    <mergeCell ref="B250:C250"/>
    <mergeCell ref="D250:G250"/>
    <mergeCell ref="B245:C245"/>
    <mergeCell ref="D245:G245"/>
    <mergeCell ref="B246:C246"/>
    <mergeCell ref="D246:G246"/>
    <mergeCell ref="B247:C247"/>
    <mergeCell ref="D247:G247"/>
    <mergeCell ref="B242:C242"/>
    <mergeCell ref="D242:G242"/>
    <mergeCell ref="B243:C243"/>
    <mergeCell ref="D243:G243"/>
    <mergeCell ref="B244:C244"/>
    <mergeCell ref="D244:G244"/>
    <mergeCell ref="B239:C239"/>
    <mergeCell ref="D239:G239"/>
    <mergeCell ref="B240:C240"/>
    <mergeCell ref="D240:G240"/>
    <mergeCell ref="B241:C241"/>
    <mergeCell ref="D241:G241"/>
    <mergeCell ref="B236:C236"/>
    <mergeCell ref="D236:G236"/>
    <mergeCell ref="B237:C237"/>
    <mergeCell ref="D237:G237"/>
    <mergeCell ref="B238:C238"/>
    <mergeCell ref="D238:G238"/>
    <mergeCell ref="B233:C233"/>
    <mergeCell ref="D233:G233"/>
    <mergeCell ref="B234:C234"/>
    <mergeCell ref="D234:G234"/>
    <mergeCell ref="B235:C235"/>
    <mergeCell ref="D235:G235"/>
    <mergeCell ref="B230:C230"/>
    <mergeCell ref="D230:G230"/>
    <mergeCell ref="B231:C231"/>
    <mergeCell ref="D231:G231"/>
    <mergeCell ref="B232:C232"/>
    <mergeCell ref="D232:G232"/>
    <mergeCell ref="B227:C227"/>
    <mergeCell ref="D227:G227"/>
    <mergeCell ref="B228:C228"/>
    <mergeCell ref="D228:G228"/>
    <mergeCell ref="B229:C229"/>
    <mergeCell ref="D229:G229"/>
    <mergeCell ref="B224:C224"/>
    <mergeCell ref="D224:G224"/>
    <mergeCell ref="B225:C225"/>
    <mergeCell ref="D225:G225"/>
    <mergeCell ref="B226:C226"/>
    <mergeCell ref="D226:G226"/>
    <mergeCell ref="B221:C221"/>
    <mergeCell ref="D221:G221"/>
    <mergeCell ref="B222:C222"/>
    <mergeCell ref="D222:G222"/>
    <mergeCell ref="B223:C223"/>
    <mergeCell ref="D223:G223"/>
    <mergeCell ref="B218:C218"/>
    <mergeCell ref="D218:G218"/>
    <mergeCell ref="B219:C219"/>
    <mergeCell ref="D219:G219"/>
    <mergeCell ref="B220:C220"/>
    <mergeCell ref="D220:G220"/>
    <mergeCell ref="B215:C215"/>
    <mergeCell ref="D215:G215"/>
    <mergeCell ref="B216:C216"/>
    <mergeCell ref="D216:G216"/>
    <mergeCell ref="B217:C217"/>
    <mergeCell ref="D217:G217"/>
    <mergeCell ref="H211:H212"/>
    <mergeCell ref="I211:I212"/>
    <mergeCell ref="B213:C213"/>
    <mergeCell ref="D213:G213"/>
    <mergeCell ref="B214:C214"/>
    <mergeCell ref="D214:G214"/>
    <mergeCell ref="B209:C209"/>
    <mergeCell ref="D209:G209"/>
    <mergeCell ref="B210:C210"/>
    <mergeCell ref="D210:G210"/>
    <mergeCell ref="A211:A212"/>
    <mergeCell ref="B211:C212"/>
    <mergeCell ref="D211:G212"/>
    <mergeCell ref="B206:C206"/>
    <mergeCell ref="D206:G206"/>
    <mergeCell ref="B207:C207"/>
    <mergeCell ref="D207:G207"/>
    <mergeCell ref="B208:C208"/>
    <mergeCell ref="D208:G208"/>
    <mergeCell ref="B203:C203"/>
    <mergeCell ref="D203:G203"/>
    <mergeCell ref="B204:C204"/>
    <mergeCell ref="D204:G204"/>
    <mergeCell ref="B205:C205"/>
    <mergeCell ref="D205:G205"/>
    <mergeCell ref="I199:I200"/>
    <mergeCell ref="B201:C201"/>
    <mergeCell ref="D201:G201"/>
    <mergeCell ref="B202:C202"/>
    <mergeCell ref="D202:G202"/>
    <mergeCell ref="B197:C197"/>
    <mergeCell ref="D197:G197"/>
    <mergeCell ref="B198:C198"/>
    <mergeCell ref="D198:G198"/>
    <mergeCell ref="A199:A200"/>
    <mergeCell ref="B199:C200"/>
    <mergeCell ref="D199:G200"/>
    <mergeCell ref="B194:C194"/>
    <mergeCell ref="D194:G194"/>
    <mergeCell ref="B195:C195"/>
    <mergeCell ref="D195:G195"/>
    <mergeCell ref="B196:C196"/>
    <mergeCell ref="D196:G196"/>
    <mergeCell ref="B192:C192"/>
    <mergeCell ref="D192:G192"/>
    <mergeCell ref="B193:C193"/>
    <mergeCell ref="D193:G193"/>
    <mergeCell ref="B188:C188"/>
    <mergeCell ref="D188:G188"/>
    <mergeCell ref="B189:C189"/>
    <mergeCell ref="D189:G189"/>
    <mergeCell ref="B190:C190"/>
    <mergeCell ref="D190:G190"/>
    <mergeCell ref="B185:C185"/>
    <mergeCell ref="D185:G185"/>
    <mergeCell ref="B186:C186"/>
    <mergeCell ref="D186:G186"/>
    <mergeCell ref="B187:C187"/>
    <mergeCell ref="D187:G187"/>
    <mergeCell ref="H199:H200"/>
    <mergeCell ref="B183:C183"/>
    <mergeCell ref="D183:G183"/>
    <mergeCell ref="B184:C184"/>
    <mergeCell ref="D184:G184"/>
    <mergeCell ref="B179:C179"/>
    <mergeCell ref="D179:G179"/>
    <mergeCell ref="B180:C180"/>
    <mergeCell ref="D180:G180"/>
    <mergeCell ref="B181:C181"/>
    <mergeCell ref="D181:G181"/>
    <mergeCell ref="B176:C176"/>
    <mergeCell ref="D176:G176"/>
    <mergeCell ref="B177:C177"/>
    <mergeCell ref="D177:G177"/>
    <mergeCell ref="B178:C178"/>
    <mergeCell ref="D178:G178"/>
    <mergeCell ref="B191:C191"/>
    <mergeCell ref="D191:G191"/>
    <mergeCell ref="B174:C174"/>
    <mergeCell ref="D174:G174"/>
    <mergeCell ref="B175:C175"/>
    <mergeCell ref="D175:G175"/>
    <mergeCell ref="B170:C170"/>
    <mergeCell ref="D170:G170"/>
    <mergeCell ref="B171:C171"/>
    <mergeCell ref="D171:G171"/>
    <mergeCell ref="B172:C172"/>
    <mergeCell ref="D172:G172"/>
    <mergeCell ref="B167:C167"/>
    <mergeCell ref="D167:G167"/>
    <mergeCell ref="B168:C168"/>
    <mergeCell ref="D168:G168"/>
    <mergeCell ref="B169:C169"/>
    <mergeCell ref="D169:G169"/>
    <mergeCell ref="B182:C182"/>
    <mergeCell ref="D182:G182"/>
    <mergeCell ref="B165:C165"/>
    <mergeCell ref="D165:G165"/>
    <mergeCell ref="B166:C166"/>
    <mergeCell ref="D166:G166"/>
    <mergeCell ref="B161:C161"/>
    <mergeCell ref="D161:G161"/>
    <mergeCell ref="A162:A163"/>
    <mergeCell ref="B162:C163"/>
    <mergeCell ref="D162:G163"/>
    <mergeCell ref="H162:H163"/>
    <mergeCell ref="B158:C158"/>
    <mergeCell ref="D158:G158"/>
    <mergeCell ref="B159:C159"/>
    <mergeCell ref="D159:G159"/>
    <mergeCell ref="B160:C160"/>
    <mergeCell ref="D160:G160"/>
    <mergeCell ref="B173:C173"/>
    <mergeCell ref="D173:G173"/>
    <mergeCell ref="B157:C157"/>
    <mergeCell ref="D157:G157"/>
    <mergeCell ref="B152:C152"/>
    <mergeCell ref="D152:G152"/>
    <mergeCell ref="B153:C153"/>
    <mergeCell ref="D153:G153"/>
    <mergeCell ref="B154:C154"/>
    <mergeCell ref="D154:G154"/>
    <mergeCell ref="B149:C149"/>
    <mergeCell ref="D149:G149"/>
    <mergeCell ref="B150:C150"/>
    <mergeCell ref="D150:G150"/>
    <mergeCell ref="B151:C151"/>
    <mergeCell ref="D151:G151"/>
    <mergeCell ref="I162:I163"/>
    <mergeCell ref="B164:C164"/>
    <mergeCell ref="D164:G164"/>
    <mergeCell ref="B148:C148"/>
    <mergeCell ref="D148:G148"/>
    <mergeCell ref="B143:C143"/>
    <mergeCell ref="D143:G143"/>
    <mergeCell ref="B144:C144"/>
    <mergeCell ref="D144:G144"/>
    <mergeCell ref="B145:C145"/>
    <mergeCell ref="D145:G145"/>
    <mergeCell ref="B140:C140"/>
    <mergeCell ref="D140:G140"/>
    <mergeCell ref="B141:C141"/>
    <mergeCell ref="D141:G141"/>
    <mergeCell ref="B142:C142"/>
    <mergeCell ref="D142:G142"/>
    <mergeCell ref="B155:C155"/>
    <mergeCell ref="D155:G155"/>
    <mergeCell ref="B156:C156"/>
    <mergeCell ref="D156:G156"/>
    <mergeCell ref="B139:C139"/>
    <mergeCell ref="D139:G139"/>
    <mergeCell ref="B134:C134"/>
    <mergeCell ref="D134:G134"/>
    <mergeCell ref="B135:C135"/>
    <mergeCell ref="D135:G135"/>
    <mergeCell ref="B136:C136"/>
    <mergeCell ref="D136:G136"/>
    <mergeCell ref="B131:C131"/>
    <mergeCell ref="D131:G131"/>
    <mergeCell ref="B132:C132"/>
    <mergeCell ref="D132:G132"/>
    <mergeCell ref="B133:C133"/>
    <mergeCell ref="D133:G133"/>
    <mergeCell ref="B146:C146"/>
    <mergeCell ref="D146:G146"/>
    <mergeCell ref="B147:C147"/>
    <mergeCell ref="D147:G147"/>
    <mergeCell ref="B130:C130"/>
    <mergeCell ref="D130:G130"/>
    <mergeCell ref="B125:C125"/>
    <mergeCell ref="D125:G125"/>
    <mergeCell ref="B126:C126"/>
    <mergeCell ref="D126:G126"/>
    <mergeCell ref="B127:C127"/>
    <mergeCell ref="D127:G127"/>
    <mergeCell ref="B122:C122"/>
    <mergeCell ref="D122:G122"/>
    <mergeCell ref="B123:C123"/>
    <mergeCell ref="D123:G123"/>
    <mergeCell ref="B124:C124"/>
    <mergeCell ref="D124:G124"/>
    <mergeCell ref="B137:C137"/>
    <mergeCell ref="D137:G137"/>
    <mergeCell ref="B138:C138"/>
    <mergeCell ref="D138:G138"/>
    <mergeCell ref="B121:C121"/>
    <mergeCell ref="D121:G121"/>
    <mergeCell ref="B116:C116"/>
    <mergeCell ref="D116:G116"/>
    <mergeCell ref="B117:C117"/>
    <mergeCell ref="D117:G117"/>
    <mergeCell ref="B118:C118"/>
    <mergeCell ref="D118:G118"/>
    <mergeCell ref="B113:C113"/>
    <mergeCell ref="D113:G113"/>
    <mergeCell ref="B114:C114"/>
    <mergeCell ref="D114:G114"/>
    <mergeCell ref="B115:C115"/>
    <mergeCell ref="D115:G115"/>
    <mergeCell ref="B128:C128"/>
    <mergeCell ref="D128:G128"/>
    <mergeCell ref="B129:C129"/>
    <mergeCell ref="D129:G129"/>
    <mergeCell ref="B112:C112"/>
    <mergeCell ref="D112:G112"/>
    <mergeCell ref="B107:C107"/>
    <mergeCell ref="D107:G107"/>
    <mergeCell ref="B108:C108"/>
    <mergeCell ref="D108:G108"/>
    <mergeCell ref="B109:C109"/>
    <mergeCell ref="D109:G109"/>
    <mergeCell ref="B104:C104"/>
    <mergeCell ref="D104:G104"/>
    <mergeCell ref="B105:C105"/>
    <mergeCell ref="D105:G105"/>
    <mergeCell ref="B106:C106"/>
    <mergeCell ref="D106:G106"/>
    <mergeCell ref="B119:C119"/>
    <mergeCell ref="D119:G119"/>
    <mergeCell ref="B120:C120"/>
    <mergeCell ref="D120:G120"/>
    <mergeCell ref="B103:C103"/>
    <mergeCell ref="D103:G103"/>
    <mergeCell ref="B98:C98"/>
    <mergeCell ref="D98:G98"/>
    <mergeCell ref="B99:C99"/>
    <mergeCell ref="D99:G99"/>
    <mergeCell ref="B100:C100"/>
    <mergeCell ref="D100:G100"/>
    <mergeCell ref="B95:C95"/>
    <mergeCell ref="D95:G95"/>
    <mergeCell ref="B96:C96"/>
    <mergeCell ref="D96:G96"/>
    <mergeCell ref="B97:C97"/>
    <mergeCell ref="D97:G97"/>
    <mergeCell ref="B110:C110"/>
    <mergeCell ref="D110:G110"/>
    <mergeCell ref="B111:C111"/>
    <mergeCell ref="D111:G111"/>
    <mergeCell ref="B94:C94"/>
    <mergeCell ref="D94:G94"/>
    <mergeCell ref="B89:C89"/>
    <mergeCell ref="D89:G89"/>
    <mergeCell ref="B90:C90"/>
    <mergeCell ref="D90:G90"/>
    <mergeCell ref="B91:C91"/>
    <mergeCell ref="D91:G91"/>
    <mergeCell ref="B86:C86"/>
    <mergeCell ref="D86:G86"/>
    <mergeCell ref="B87:C87"/>
    <mergeCell ref="D87:G87"/>
    <mergeCell ref="B88:C88"/>
    <mergeCell ref="D88:G88"/>
    <mergeCell ref="B101:C101"/>
    <mergeCell ref="D101:G101"/>
    <mergeCell ref="B102:C102"/>
    <mergeCell ref="D102:G102"/>
    <mergeCell ref="B85:C85"/>
    <mergeCell ref="D85:G85"/>
    <mergeCell ref="B80:C80"/>
    <mergeCell ref="D80:G80"/>
    <mergeCell ref="B81:C81"/>
    <mergeCell ref="D81:G81"/>
    <mergeCell ref="B82:C82"/>
    <mergeCell ref="D82:G82"/>
    <mergeCell ref="B77:C77"/>
    <mergeCell ref="D77:G77"/>
    <mergeCell ref="B78:C78"/>
    <mergeCell ref="D78:G78"/>
    <mergeCell ref="B79:C79"/>
    <mergeCell ref="D79:G79"/>
    <mergeCell ref="B92:C92"/>
    <mergeCell ref="D92:G92"/>
    <mergeCell ref="B93:C93"/>
    <mergeCell ref="D93:G93"/>
    <mergeCell ref="B76:C76"/>
    <mergeCell ref="D76:G76"/>
    <mergeCell ref="B71:C71"/>
    <mergeCell ref="D71:G71"/>
    <mergeCell ref="B72:C72"/>
    <mergeCell ref="D72:G72"/>
    <mergeCell ref="B73:C73"/>
    <mergeCell ref="D73:G73"/>
    <mergeCell ref="B68:C68"/>
    <mergeCell ref="D68:G68"/>
    <mergeCell ref="B69:C69"/>
    <mergeCell ref="D69:G69"/>
    <mergeCell ref="B70:C70"/>
    <mergeCell ref="D70:G70"/>
    <mergeCell ref="B83:C83"/>
    <mergeCell ref="D83:G83"/>
    <mergeCell ref="B84:C84"/>
    <mergeCell ref="D84:G84"/>
    <mergeCell ref="B67:C67"/>
    <mergeCell ref="D67:G67"/>
    <mergeCell ref="B62:C62"/>
    <mergeCell ref="D62:G62"/>
    <mergeCell ref="B63:C63"/>
    <mergeCell ref="D63:G63"/>
    <mergeCell ref="B64:C64"/>
    <mergeCell ref="D64:G64"/>
    <mergeCell ref="B59:C59"/>
    <mergeCell ref="D59:G59"/>
    <mergeCell ref="B60:C60"/>
    <mergeCell ref="D60:G60"/>
    <mergeCell ref="B61:C61"/>
    <mergeCell ref="D61:G61"/>
    <mergeCell ref="B74:C74"/>
    <mergeCell ref="D74:G74"/>
    <mergeCell ref="B75:C75"/>
    <mergeCell ref="D75:G75"/>
    <mergeCell ref="B58:C58"/>
    <mergeCell ref="D58:G58"/>
    <mergeCell ref="B53:C53"/>
    <mergeCell ref="D53:G53"/>
    <mergeCell ref="B54:C54"/>
    <mergeCell ref="D54:G54"/>
    <mergeCell ref="B55:C55"/>
    <mergeCell ref="D55:G55"/>
    <mergeCell ref="B50:C50"/>
    <mergeCell ref="D50:G50"/>
    <mergeCell ref="B51:C51"/>
    <mergeCell ref="D51:G51"/>
    <mergeCell ref="B52:C52"/>
    <mergeCell ref="D52:G52"/>
    <mergeCell ref="B65:C65"/>
    <mergeCell ref="D65:G65"/>
    <mergeCell ref="B66:C66"/>
    <mergeCell ref="D66:G66"/>
    <mergeCell ref="B49:C49"/>
    <mergeCell ref="D49:G49"/>
    <mergeCell ref="B44:C44"/>
    <mergeCell ref="D44:G44"/>
    <mergeCell ref="B45:C45"/>
    <mergeCell ref="D45:G45"/>
    <mergeCell ref="B46:C46"/>
    <mergeCell ref="D46:G46"/>
    <mergeCell ref="B41:C41"/>
    <mergeCell ref="D41:G41"/>
    <mergeCell ref="B42:C42"/>
    <mergeCell ref="D42:G42"/>
    <mergeCell ref="B43:C43"/>
    <mergeCell ref="D43:G43"/>
    <mergeCell ref="B56:C56"/>
    <mergeCell ref="D56:G56"/>
    <mergeCell ref="B57:C57"/>
    <mergeCell ref="D57:G57"/>
    <mergeCell ref="B40:C40"/>
    <mergeCell ref="D40:G40"/>
    <mergeCell ref="B35:C35"/>
    <mergeCell ref="D35:G35"/>
    <mergeCell ref="B36:C36"/>
    <mergeCell ref="D36:G36"/>
    <mergeCell ref="B37:C37"/>
    <mergeCell ref="D37:G37"/>
    <mergeCell ref="B32:C32"/>
    <mergeCell ref="D32:G32"/>
    <mergeCell ref="B33:C33"/>
    <mergeCell ref="D33:G33"/>
    <mergeCell ref="B34:C34"/>
    <mergeCell ref="D34:G34"/>
    <mergeCell ref="B47:C47"/>
    <mergeCell ref="D47:G47"/>
    <mergeCell ref="B48:C48"/>
    <mergeCell ref="D48:G48"/>
    <mergeCell ref="B31:C31"/>
    <mergeCell ref="D31:G31"/>
    <mergeCell ref="B26:C26"/>
    <mergeCell ref="D26:G26"/>
    <mergeCell ref="B27:C27"/>
    <mergeCell ref="D27:G27"/>
    <mergeCell ref="B28:C28"/>
    <mergeCell ref="D28:G28"/>
    <mergeCell ref="B23:C23"/>
    <mergeCell ref="D23:G23"/>
    <mergeCell ref="B24:C24"/>
    <mergeCell ref="D24:G24"/>
    <mergeCell ref="B25:C25"/>
    <mergeCell ref="D25:G25"/>
    <mergeCell ref="B38:C38"/>
    <mergeCell ref="D38:G38"/>
    <mergeCell ref="B39:C39"/>
    <mergeCell ref="D39:G39"/>
    <mergeCell ref="B22:C22"/>
    <mergeCell ref="D22:G22"/>
    <mergeCell ref="B17:C17"/>
    <mergeCell ref="D17:G17"/>
    <mergeCell ref="B18:C18"/>
    <mergeCell ref="D18:G18"/>
    <mergeCell ref="B19:C19"/>
    <mergeCell ref="D19:G19"/>
    <mergeCell ref="B14:C14"/>
    <mergeCell ref="D14:G14"/>
    <mergeCell ref="B15:C15"/>
    <mergeCell ref="D15:G15"/>
    <mergeCell ref="B16:C16"/>
    <mergeCell ref="D16:G16"/>
    <mergeCell ref="B29:C29"/>
    <mergeCell ref="D29:G29"/>
    <mergeCell ref="B30:C30"/>
    <mergeCell ref="D30:G30"/>
    <mergeCell ref="A8:C8"/>
    <mergeCell ref="D8:I8"/>
    <mergeCell ref="A10:C10"/>
    <mergeCell ref="D10:I10"/>
    <mergeCell ref="A12:I12"/>
    <mergeCell ref="B13:C13"/>
    <mergeCell ref="D13:G13"/>
    <mergeCell ref="A1:C1"/>
    <mergeCell ref="D1:I1"/>
    <mergeCell ref="A3:I3"/>
    <mergeCell ref="A4:I4"/>
    <mergeCell ref="A6:C6"/>
    <mergeCell ref="D6:I6"/>
    <mergeCell ref="B20:C20"/>
    <mergeCell ref="D20:G20"/>
    <mergeCell ref="B21:C21"/>
    <mergeCell ref="D21:G21"/>
  </mergeCells>
  <pageMargins left="0.39370078740157477" right="0.39370078740157477" top="0.74803149606299213" bottom="0.74803149606299213" header="0.31496062992125984" footer="0.31496062992125984"/>
  <pageSetup paperSize="9" orientation="portrait" useFirstPageNumber="1" horizontalDpi="300" verticalDpi="300" r:id="rId1"/>
  <headerFooter alignWithMargins="0">
    <oddFooter>&amp;CСтраница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S128"/>
  <sheetViews>
    <sheetView showGridLines="0" view="pageBreakPreview" zoomScale="80" zoomScaleNormal="100" zoomScaleSheetLayoutView="80" workbookViewId="0">
      <pane ySplit="14" topLeftCell="A111" activePane="bottomLeft" state="frozen"/>
      <selection pane="bottomLeft" activeCell="P103" sqref="P103"/>
    </sheetView>
  </sheetViews>
  <sheetFormatPr defaultRowHeight="12.75" outlineLevelRow="3" x14ac:dyDescent="0.2"/>
  <cols>
    <col min="1" max="1" width="6.7109375" style="1" customWidth="1"/>
    <col min="2" max="2" width="16.5703125" style="1" customWidth="1"/>
    <col min="3" max="3" width="37.7109375" style="1" customWidth="1"/>
    <col min="4" max="4" width="20.140625" style="1" customWidth="1"/>
    <col min="5" max="7" width="18.85546875" style="1" customWidth="1"/>
    <col min="8" max="10" width="17.42578125" style="1" customWidth="1"/>
    <col min="11" max="11" width="20.140625" style="1" customWidth="1"/>
    <col min="12" max="12" width="12" style="1" customWidth="1"/>
    <col min="13" max="13" width="20.140625" style="1" customWidth="1"/>
    <col min="14" max="14" width="11.28515625" style="1" customWidth="1"/>
    <col min="15" max="16" width="20.140625" style="1" customWidth="1"/>
    <col min="17" max="17" width="18.85546875" style="1" customWidth="1"/>
    <col min="18" max="18" width="10.7109375" style="1" customWidth="1"/>
    <col min="19" max="19" width="16.7109375" style="1" bestFit="1" customWidth="1"/>
    <col min="20" max="16384" width="9.140625" style="1"/>
  </cols>
  <sheetData>
    <row r="1" spans="1:19" outlineLevel="1" x14ac:dyDescent="0.2">
      <c r="A1" s="1726" t="s">
        <v>10193</v>
      </c>
      <c r="B1" s="1726"/>
      <c r="C1" s="1726"/>
      <c r="D1" s="1726"/>
      <c r="E1" s="1726"/>
      <c r="F1" s="1726"/>
      <c r="G1" s="1726"/>
      <c r="H1" s="1726"/>
      <c r="I1" s="1726"/>
      <c r="J1" s="1726"/>
      <c r="K1" s="1726"/>
      <c r="L1" s="1726"/>
      <c r="M1" s="1726"/>
      <c r="N1" s="1726"/>
      <c r="O1" s="1726"/>
      <c r="P1" s="1726"/>
      <c r="Q1" s="1726"/>
    </row>
    <row r="2" spans="1:19" outlineLevel="1" x14ac:dyDescent="0.2">
      <c r="A2" s="1461"/>
      <c r="B2" s="7"/>
      <c r="C2" s="8"/>
      <c r="D2" s="8"/>
    </row>
    <row r="3" spans="1:19" ht="27.75" customHeight="1" outlineLevel="1" x14ac:dyDescent="0.2">
      <c r="A3" s="1462" t="s">
        <v>10194</v>
      </c>
      <c r="B3" s="7"/>
      <c r="C3" s="1488" t="str">
        <f>'ССРСС(2021г.)'!C14</f>
        <v>Всесезонный туристско-рекреационный комплекс «Эльбрус»,
Кабардино-Балкарская Республика. Открытая плоскостная парковка  на 800 машино-мест.</v>
      </c>
      <c r="D3" s="1488"/>
    </row>
    <row r="4" spans="1:19" ht="27.75" customHeight="1" outlineLevel="1" x14ac:dyDescent="0.2">
      <c r="A4" s="1462" t="s">
        <v>10195</v>
      </c>
      <c r="B4" s="7"/>
      <c r="C4" s="1630" t="s">
        <v>10396</v>
      </c>
      <c r="D4" s="1629"/>
    </row>
    <row r="5" spans="1:19" outlineLevel="1" x14ac:dyDescent="0.2">
      <c r="A5" s="8" t="s">
        <v>10196</v>
      </c>
      <c r="B5" s="7"/>
      <c r="C5" s="8"/>
      <c r="D5" s="8"/>
    </row>
    <row r="6" spans="1:19" outlineLevel="1" x14ac:dyDescent="0.2">
      <c r="A6" s="1463" t="s">
        <v>10219</v>
      </c>
      <c r="B6" s="1464"/>
      <c r="C6" s="1463"/>
      <c r="D6" s="1463"/>
      <c r="E6" s="1465"/>
      <c r="F6" s="1631"/>
      <c r="G6" s="1631"/>
      <c r="H6" s="1465"/>
      <c r="I6" s="1465"/>
      <c r="J6" s="1465"/>
      <c r="K6" s="1465"/>
      <c r="L6" s="1465"/>
      <c r="M6" s="1465"/>
      <c r="N6" s="1465"/>
    </row>
    <row r="7" spans="1:19" outlineLevel="1" x14ac:dyDescent="0.2">
      <c r="A7" s="1463" t="s">
        <v>10397</v>
      </c>
      <c r="B7" s="1464"/>
      <c r="C7" s="1463"/>
      <c r="D7" s="1463"/>
      <c r="E7" s="1466"/>
      <c r="F7" s="1466"/>
      <c r="G7" s="1466"/>
      <c r="H7" s="1466"/>
      <c r="I7" s="1466"/>
      <c r="J7" s="1466"/>
      <c r="K7" s="1466"/>
      <c r="L7" s="1466"/>
      <c r="M7" s="1466"/>
      <c r="N7" s="1466"/>
    </row>
    <row r="8" spans="1:19" outlineLevel="1" x14ac:dyDescent="0.2">
      <c r="A8" s="1463" t="s">
        <v>10220</v>
      </c>
      <c r="B8" s="1464"/>
      <c r="C8" s="1463"/>
      <c r="D8" s="1463"/>
      <c r="E8" s="1466"/>
      <c r="F8" s="1466"/>
      <c r="G8" s="1466"/>
      <c r="H8" s="1466"/>
      <c r="I8" s="1466"/>
      <c r="J8" s="1466"/>
      <c r="K8" s="1466"/>
      <c r="L8" s="1466"/>
      <c r="M8" s="1466"/>
      <c r="N8" s="1466"/>
    </row>
    <row r="9" spans="1:19" outlineLevel="1" x14ac:dyDescent="0.2">
      <c r="A9" s="1461"/>
      <c r="B9" s="7"/>
      <c r="C9" s="8"/>
      <c r="D9" s="8"/>
    </row>
    <row r="10" spans="1:19" ht="12.75" customHeight="1" x14ac:dyDescent="0.2">
      <c r="A10" s="1724" t="s">
        <v>287</v>
      </c>
      <c r="B10" s="1725" t="s">
        <v>145</v>
      </c>
      <c r="C10" s="1724" t="s">
        <v>10197</v>
      </c>
      <c r="D10" s="1427"/>
      <c r="E10" s="1727" t="s">
        <v>5797</v>
      </c>
      <c r="F10" s="1727"/>
      <c r="G10" s="1727"/>
      <c r="H10" s="1727"/>
      <c r="I10" s="1727"/>
      <c r="J10" s="1727"/>
      <c r="K10" s="1727"/>
      <c r="L10" s="1727"/>
      <c r="M10" s="1727"/>
      <c r="N10" s="1727"/>
      <c r="O10" s="1727"/>
      <c r="P10" s="1727"/>
      <c r="Q10" s="1727"/>
    </row>
    <row r="11" spans="1:19" ht="50.25" customHeight="1" x14ac:dyDescent="0.2">
      <c r="A11" s="1724"/>
      <c r="B11" s="1725"/>
      <c r="C11" s="1724"/>
      <c r="D11" s="1716" t="s">
        <v>169</v>
      </c>
      <c r="E11" s="1728" t="s">
        <v>140</v>
      </c>
      <c r="F11" s="1728" t="s">
        <v>6458</v>
      </c>
      <c r="G11" s="1720" t="s">
        <v>6459</v>
      </c>
      <c r="H11" s="1728" t="s">
        <v>10221</v>
      </c>
      <c r="I11" s="1729" t="s">
        <v>10227</v>
      </c>
      <c r="J11" s="1728" t="s">
        <v>10199</v>
      </c>
      <c r="K11" s="1728" t="s">
        <v>10222</v>
      </c>
      <c r="L11" s="1728" t="s">
        <v>10200</v>
      </c>
      <c r="M11" s="1728" t="s">
        <v>10201</v>
      </c>
      <c r="N11" s="1728" t="s">
        <v>10202</v>
      </c>
      <c r="O11" s="1728" t="s">
        <v>10203</v>
      </c>
      <c r="P11" s="1729" t="s">
        <v>10390</v>
      </c>
      <c r="Q11" s="1728" t="s">
        <v>10204</v>
      </c>
    </row>
    <row r="12" spans="1:19" ht="81" customHeight="1" x14ac:dyDescent="0.2">
      <c r="A12" s="1724"/>
      <c r="B12" s="1725"/>
      <c r="C12" s="1724"/>
      <c r="D12" s="1717"/>
      <c r="E12" s="1728"/>
      <c r="F12" s="1728"/>
      <c r="G12" s="1720"/>
      <c r="H12" s="1728"/>
      <c r="I12" s="1730"/>
      <c r="J12" s="1728"/>
      <c r="K12" s="1728"/>
      <c r="L12" s="1728"/>
      <c r="M12" s="1728"/>
      <c r="N12" s="1728"/>
      <c r="O12" s="1728"/>
      <c r="P12" s="1730"/>
      <c r="Q12" s="1728"/>
    </row>
    <row r="13" spans="1:19" ht="18.75" customHeight="1" x14ac:dyDescent="0.2">
      <c r="A13" s="1724"/>
      <c r="B13" s="1725"/>
      <c r="C13" s="1724"/>
      <c r="D13" s="1723"/>
      <c r="E13" s="1728"/>
      <c r="F13" s="1728"/>
      <c r="G13" s="1720"/>
      <c r="H13" s="1728"/>
      <c r="I13" s="1745"/>
      <c r="J13" s="1728"/>
      <c r="K13" s="1728"/>
      <c r="L13" s="1728"/>
      <c r="M13" s="1728"/>
      <c r="N13" s="1728"/>
      <c r="O13" s="1728"/>
      <c r="P13" s="1612">
        <v>0.5</v>
      </c>
      <c r="Q13" s="1728"/>
    </row>
    <row r="14" spans="1:19" x14ac:dyDescent="0.2">
      <c r="A14" s="1467">
        <v>1</v>
      </c>
      <c r="B14" s="1467">
        <v>2</v>
      </c>
      <c r="C14" s="1467">
        <v>3</v>
      </c>
      <c r="D14" s="1467">
        <v>4</v>
      </c>
      <c r="E14" s="1467">
        <v>5</v>
      </c>
      <c r="F14" s="1467">
        <v>6</v>
      </c>
      <c r="G14" s="1467">
        <v>7</v>
      </c>
      <c r="H14" s="1467">
        <v>8</v>
      </c>
      <c r="I14" s="1467">
        <v>9</v>
      </c>
      <c r="J14" s="1467">
        <v>10</v>
      </c>
      <c r="K14" s="1467">
        <v>11</v>
      </c>
      <c r="L14" s="1467">
        <v>12</v>
      </c>
      <c r="M14" s="1467">
        <v>13</v>
      </c>
      <c r="N14" s="1467">
        <v>14</v>
      </c>
      <c r="O14" s="1467">
        <v>15</v>
      </c>
      <c r="P14" s="1467">
        <v>16</v>
      </c>
      <c r="Q14" s="1467">
        <v>17</v>
      </c>
    </row>
    <row r="15" spans="1:19" s="1543" customFormat="1" ht="15.75" x14ac:dyDescent="0.25">
      <c r="A15" s="1544">
        <v>1</v>
      </c>
      <c r="B15" s="1544"/>
      <c r="C15" s="1544" t="s">
        <v>10236</v>
      </c>
      <c r="D15" s="1545">
        <f t="shared" ref="D15:K15" si="0">D16+D19</f>
        <v>241399908.53999999</v>
      </c>
      <c r="E15" s="1545">
        <f t="shared" si="0"/>
        <v>20040833.52</v>
      </c>
      <c r="F15" s="1545">
        <f t="shared" si="0"/>
        <v>40378050.479999997</v>
      </c>
      <c r="G15" s="1545">
        <f t="shared" si="0"/>
        <v>22806978.43</v>
      </c>
      <c r="H15" s="1545">
        <f t="shared" si="0"/>
        <v>8104663.0499999998</v>
      </c>
      <c r="I15" s="1545">
        <f t="shared" si="0"/>
        <v>1347726.99</v>
      </c>
      <c r="J15" s="1545">
        <f t="shared" si="0"/>
        <v>-1191862.18</v>
      </c>
      <c r="K15" s="1545">
        <f t="shared" si="0"/>
        <v>332886298.82999998</v>
      </c>
      <c r="L15" s="1544"/>
      <c r="M15" s="1545">
        <f>M16+M19</f>
        <v>346761571.98000002</v>
      </c>
      <c r="N15" s="1544"/>
      <c r="O15" s="1545">
        <f>O16+O19</f>
        <v>356081342.63999999</v>
      </c>
      <c r="P15" s="1545">
        <f>P16+P19</f>
        <v>351421457.45999998</v>
      </c>
      <c r="Q15" s="1545">
        <f>Q16+Q19</f>
        <v>41850337.549999997</v>
      </c>
    </row>
    <row r="16" spans="1:19" s="1480" customFormat="1" ht="31.5" customHeight="1" outlineLevel="1" x14ac:dyDescent="0.2">
      <c r="A16" s="1546" t="s">
        <v>571</v>
      </c>
      <c r="B16" s="1468"/>
      <c r="C16" s="1469" t="s">
        <v>10239</v>
      </c>
      <c r="D16" s="1511"/>
      <c r="E16" s="1509"/>
      <c r="F16" s="1509"/>
      <c r="G16" s="1510">
        <f>SUM(G17:G18)</f>
        <v>13077250.68</v>
      </c>
      <c r="H16" s="1510"/>
      <c r="I16" s="1510"/>
      <c r="J16" s="1510"/>
      <c r="K16" s="1510">
        <f>SUM(K17:K18)</f>
        <v>13077250.68</v>
      </c>
      <c r="L16" s="1510"/>
      <c r="M16" s="1510">
        <f>SUM(M17:M18)</f>
        <v>13633602.689999999</v>
      </c>
      <c r="N16" s="1510"/>
      <c r="O16" s="1510">
        <f>SUM(O17:O18)</f>
        <v>13781599.539999999</v>
      </c>
      <c r="P16" s="1510">
        <f>SUM(P17:P18)</f>
        <v>13707601.119999999</v>
      </c>
      <c r="Q16" s="1510">
        <f>Q17+Q18</f>
        <v>0</v>
      </c>
      <c r="S16" s="1624"/>
    </row>
    <row r="17" spans="1:18" outlineLevel="2" x14ac:dyDescent="0.2">
      <c r="A17" s="1470" t="s">
        <v>10240</v>
      </c>
      <c r="B17" s="464" t="s">
        <v>6514</v>
      </c>
      <c r="C17" s="464" t="s">
        <v>9645</v>
      </c>
      <c r="D17" s="1512"/>
      <c r="E17" s="1471"/>
      <c r="F17" s="1471"/>
      <c r="G17" s="1508">
        <f>'ЛСР 12-03-01'!$I$767</f>
        <v>12820834</v>
      </c>
      <c r="H17" s="1496"/>
      <c r="I17" s="1496"/>
      <c r="J17" s="1496"/>
      <c r="K17" s="1496">
        <f>SUM(D17:J17)</f>
        <v>12820834</v>
      </c>
      <c r="L17" s="1530">
        <f>$G$107</f>
        <v>1.0425435000000001</v>
      </c>
      <c r="M17" s="1496">
        <f>K17*L17</f>
        <v>13366277.15</v>
      </c>
      <c r="N17" s="1537">
        <f>$F$118</f>
        <v>1.0108553</v>
      </c>
      <c r="O17" s="1496">
        <f>M17*N17</f>
        <v>13511372.1</v>
      </c>
      <c r="P17" s="1496">
        <f>M17+(O17-M17)*(1-$P$13)</f>
        <v>13438824.630000001</v>
      </c>
      <c r="Q17" s="1496">
        <f>F17*L17*N17*P17/O17</f>
        <v>0</v>
      </c>
      <c r="R17" s="1">
        <f t="shared" ref="R17:R19" si="1">P17/O17</f>
        <v>0.99463063636593996</v>
      </c>
    </row>
    <row r="18" spans="1:18" ht="51" outlineLevel="2" x14ac:dyDescent="0.2">
      <c r="A18" s="1470" t="s">
        <v>10241</v>
      </c>
      <c r="B18" s="27" t="s">
        <v>10205</v>
      </c>
      <c r="C18" s="28" t="s">
        <v>10206</v>
      </c>
      <c r="D18" s="1513"/>
      <c r="E18" s="1471"/>
      <c r="F18" s="1471"/>
      <c r="G18" s="1496">
        <f>G17*2%</f>
        <v>256416.68</v>
      </c>
      <c r="H18" s="1496"/>
      <c r="I18" s="1496"/>
      <c r="J18" s="1496"/>
      <c r="K18" s="1496">
        <f t="shared" ref="K18" si="2">SUM(D18:J18)</f>
        <v>256416.68</v>
      </c>
      <c r="L18" s="1530">
        <f>$G$107</f>
        <v>1.0425435000000001</v>
      </c>
      <c r="M18" s="1496">
        <f>K18*L18</f>
        <v>267325.53999999998</v>
      </c>
      <c r="N18" s="1537">
        <f>$F$118</f>
        <v>1.0108553</v>
      </c>
      <c r="O18" s="1496">
        <f>M18*N18</f>
        <v>270227.44</v>
      </c>
      <c r="P18" s="1496">
        <f>M18+(O18-M18)*(1-$P$13)</f>
        <v>268776.49</v>
      </c>
      <c r="Q18" s="1496"/>
      <c r="R18" s="1">
        <f t="shared" si="1"/>
        <v>0.99463063410584795</v>
      </c>
    </row>
    <row r="19" spans="1:18" ht="42.75" outlineLevel="1" x14ac:dyDescent="0.2">
      <c r="A19" s="1547" t="s">
        <v>576</v>
      </c>
      <c r="B19" s="1473"/>
      <c r="C19" s="1469" t="s">
        <v>10234</v>
      </c>
      <c r="D19" s="1511">
        <f t="shared" ref="D19:K19" si="3">D20+D23+D27+D28+D29+D37+D50+D54+D58+D59+D62+D63+D67+D68+D69+D75+D80+D83+D84+D85+D88+D91+D92</f>
        <v>241399908.53999999</v>
      </c>
      <c r="E19" s="1511">
        <f t="shared" si="3"/>
        <v>20040833.52</v>
      </c>
      <c r="F19" s="1511">
        <f t="shared" si="3"/>
        <v>40378050.479999997</v>
      </c>
      <c r="G19" s="1511">
        <f t="shared" si="3"/>
        <v>9729727.75</v>
      </c>
      <c r="H19" s="1511">
        <f t="shared" si="3"/>
        <v>8104663.0499999998</v>
      </c>
      <c r="I19" s="1511">
        <f t="shared" si="3"/>
        <v>1347726.99</v>
      </c>
      <c r="J19" s="1511">
        <f t="shared" si="3"/>
        <v>-1191862.18</v>
      </c>
      <c r="K19" s="1511">
        <f t="shared" si="3"/>
        <v>319809048.14999998</v>
      </c>
      <c r="L19" s="1531"/>
      <c r="M19" s="1511">
        <f>M20+M23+M27+M28+M29+M37+M50+M54+M58+M59+M62+M63+M67+M68+M69+M75+M80+M83+M84+M85+M88+M91+M92</f>
        <v>333127969.29000002</v>
      </c>
      <c r="N19" s="1531"/>
      <c r="O19" s="1511">
        <f>O20+O23+O27+O28+O29+O37+O50+O54+O58+O59+O62+O63+O67+O68+O69+O75+O80+O83+O84+O85+O88+O91+O92</f>
        <v>342299743.10000002</v>
      </c>
      <c r="P19" s="1511">
        <f>P20+P23+P27+P28+P29+P37+P50+P54+P58+P59+P62+P63+P67+P68+P69+P75+P80+P83+P84+P85+P88+P91+P92</f>
        <v>337713856.33999997</v>
      </c>
      <c r="Q19" s="1511">
        <f>Q20+Q23+Q27+Q28+Q29+Q37+Q50+Q54+Q58+Q59+Q62+Q63+Q67+Q68+Q69+Q75+Q80+Q83+Q84+Q85+Q88+Q91+Q92</f>
        <v>41850337.549999997</v>
      </c>
      <c r="R19" s="1">
        <f t="shared" si="1"/>
        <v>0.98660271632555596</v>
      </c>
    </row>
    <row r="20" spans="1:18" s="456" customFormat="1" outlineLevel="2" x14ac:dyDescent="0.2">
      <c r="A20" s="1490" t="s">
        <v>10242</v>
      </c>
      <c r="B20" s="464" t="s">
        <v>6461</v>
      </c>
      <c r="C20" s="464" t="s">
        <v>18</v>
      </c>
      <c r="D20" s="1508">
        <f>SUM(D21:D22)</f>
        <v>939237</v>
      </c>
      <c r="E20" s="1514"/>
      <c r="F20" s="1514"/>
      <c r="G20" s="1514"/>
      <c r="H20" s="1514">
        <f>SUM(H21:H22)</f>
        <v>29116.35</v>
      </c>
      <c r="I20" s="1514">
        <f>SUM(I21:I22)</f>
        <v>4841.76</v>
      </c>
      <c r="J20" s="1514">
        <f>SUM(J21:J22)</f>
        <v>-4367.45</v>
      </c>
      <c r="K20" s="1514">
        <f>SUM(K21:K22)</f>
        <v>968827.66</v>
      </c>
      <c r="L20" s="1489"/>
      <c r="M20" s="1514">
        <f>SUM(M21:M22)</f>
        <v>1010044.98</v>
      </c>
      <c r="N20" s="1489"/>
      <c r="O20" s="1514">
        <f>SUM(O21:O22)</f>
        <v>1038428.36</v>
      </c>
      <c r="P20" s="1514">
        <f>SUM(P21:P22)</f>
        <v>1024236.67</v>
      </c>
      <c r="Q20" s="1514">
        <f>SUM(Q21:Q22)</f>
        <v>0</v>
      </c>
    </row>
    <row r="21" spans="1:18" s="1446" customFormat="1" outlineLevel="3" x14ac:dyDescent="0.2">
      <c r="A21" s="1441" t="s">
        <v>10243</v>
      </c>
      <c r="B21" s="1442" t="s">
        <v>292</v>
      </c>
      <c r="C21" s="1443" t="s">
        <v>14</v>
      </c>
      <c r="D21" s="1515">
        <f>' ЛСР 01-01-01'!N271</f>
        <v>225335</v>
      </c>
      <c r="E21" s="1515"/>
      <c r="F21" s="1515"/>
      <c r="G21" s="1515"/>
      <c r="H21" s="1474">
        <f>(D21+E21)*3.1%</f>
        <v>6985.39</v>
      </c>
      <c r="I21" s="1474">
        <f>(D21+E21+H21)*0.5%</f>
        <v>1161.5999999999999</v>
      </c>
      <c r="J21" s="1474">
        <f>-H21*15%</f>
        <v>-1047.81</v>
      </c>
      <c r="K21" s="1474">
        <f>SUM(D21:J21)</f>
        <v>232434.18</v>
      </c>
      <c r="L21" s="1533">
        <f>$G$107</f>
        <v>1.0425435000000001</v>
      </c>
      <c r="M21" s="1474">
        <f>K21*L21</f>
        <v>242322.74</v>
      </c>
      <c r="N21" s="1539">
        <f>$F$128</f>
        <v>1.0281011</v>
      </c>
      <c r="O21" s="1474">
        <f>M21*N21</f>
        <v>249132.28</v>
      </c>
      <c r="P21" s="1474">
        <f>M21+(O21-M21)*(1-$P$13)</f>
        <v>245727.51</v>
      </c>
      <c r="Q21" s="1474">
        <f>F21*L21*N21*P21/O21</f>
        <v>0</v>
      </c>
    </row>
    <row r="22" spans="1:18" s="1446" customFormat="1" outlineLevel="3" x14ac:dyDescent="0.2">
      <c r="A22" s="1441" t="s">
        <v>10244</v>
      </c>
      <c r="B22" s="1442" t="s">
        <v>293</v>
      </c>
      <c r="C22" s="1443" t="s">
        <v>275</v>
      </c>
      <c r="D22" s="1515">
        <f>'ЛСР 01-01-02'!N87</f>
        <v>713902</v>
      </c>
      <c r="E22" s="1515"/>
      <c r="F22" s="1515"/>
      <c r="G22" s="1515"/>
      <c r="H22" s="1474">
        <f>(D22+E22)*3.1%</f>
        <v>22130.959999999999</v>
      </c>
      <c r="I22" s="1474">
        <f>(D22+E22+H22)*0.5%</f>
        <v>3680.16</v>
      </c>
      <c r="J22" s="1474">
        <f t="shared" ref="J22" si="4">-H22*15%</f>
        <v>-3319.64</v>
      </c>
      <c r="K22" s="1474">
        <f>SUM(D22:J22)</f>
        <v>736393.48</v>
      </c>
      <c r="L22" s="1533">
        <f>$G$107</f>
        <v>1.0425435000000001</v>
      </c>
      <c r="M22" s="1474">
        <f>K22*L22</f>
        <v>767722.24</v>
      </c>
      <c r="N22" s="1539">
        <f>$F$128</f>
        <v>1.0281011</v>
      </c>
      <c r="O22" s="1474">
        <f>M22*N22</f>
        <v>789296.08</v>
      </c>
      <c r="P22" s="1474">
        <f>M22+(O22-M22)*(1-$P$13)</f>
        <v>778509.16</v>
      </c>
      <c r="Q22" s="1474">
        <f>F22*L22*N22*P22/O22</f>
        <v>0</v>
      </c>
    </row>
    <row r="23" spans="1:18" s="456" customFormat="1" outlineLevel="2" x14ac:dyDescent="0.2">
      <c r="A23" s="1491" t="s">
        <v>10245</v>
      </c>
      <c r="B23" s="464" t="s">
        <v>6462</v>
      </c>
      <c r="C23" s="464" t="s">
        <v>17</v>
      </c>
      <c r="D23" s="1508">
        <f>SUM(D24:D26)</f>
        <v>307450</v>
      </c>
      <c r="E23" s="1508">
        <f>SUM(E24:E26)</f>
        <v>6387</v>
      </c>
      <c r="F23" s="1514"/>
      <c r="G23" s="1514"/>
      <c r="H23" s="1514">
        <f>SUM(H24:H26)</f>
        <v>9728.9500000000007</v>
      </c>
      <c r="I23" s="1514">
        <f>SUM(I24:I26)</f>
        <v>1617.83</v>
      </c>
      <c r="J23" s="1514">
        <f>SUM(J24:J26)</f>
        <v>-1459.34</v>
      </c>
      <c r="K23" s="1514">
        <f>SUM(K24:K26)</f>
        <v>323724.44</v>
      </c>
      <c r="L23" s="1534"/>
      <c r="M23" s="1514">
        <f>SUM(M24:M26)</f>
        <v>337496.81</v>
      </c>
      <c r="N23" s="1489"/>
      <c r="O23" s="1514">
        <f>SUM(O24:O26)</f>
        <v>346980.83</v>
      </c>
      <c r="P23" s="1514">
        <f>SUM(P24:P26)</f>
        <v>342238.83</v>
      </c>
      <c r="Q23" s="1514">
        <f>SUM(Q24:Q26)</f>
        <v>0</v>
      </c>
    </row>
    <row r="24" spans="1:18" s="456" customFormat="1" outlineLevel="3" x14ac:dyDescent="0.2">
      <c r="A24" s="1441" t="s">
        <v>10246</v>
      </c>
      <c r="B24" s="1442" t="s">
        <v>485</v>
      </c>
      <c r="C24" s="1443" t="s">
        <v>6721</v>
      </c>
      <c r="D24" s="1515">
        <f>'ЛСР 01-02-01'!N108</f>
        <v>279744</v>
      </c>
      <c r="E24" s="1515"/>
      <c r="F24" s="1515"/>
      <c r="G24" s="1515"/>
      <c r="H24" s="1474">
        <f>(D24+E24)*3.1%</f>
        <v>8672.06</v>
      </c>
      <c r="I24" s="1474">
        <f>(D24+E24+H24)*0.5%</f>
        <v>1442.08</v>
      </c>
      <c r="J24" s="1474">
        <f t="shared" ref="J24:J26" si="5">-H24*15%</f>
        <v>-1300.81</v>
      </c>
      <c r="K24" s="1474">
        <f>SUM(D24:J24)</f>
        <v>288557.33</v>
      </c>
      <c r="L24" s="1533">
        <f>$G$107</f>
        <v>1.0425435000000001</v>
      </c>
      <c r="M24" s="1474">
        <f>K24*L24</f>
        <v>300833.57</v>
      </c>
      <c r="N24" s="1539">
        <f>$F$128</f>
        <v>1.0281011</v>
      </c>
      <c r="O24" s="1474">
        <f>M24*N24</f>
        <v>309287.32</v>
      </c>
      <c r="P24" s="1474">
        <f>M24+(O24-M24)*(1-$P$13)</f>
        <v>305060.45</v>
      </c>
      <c r="Q24" s="1474">
        <f>F24*L24*N24*P24/O24</f>
        <v>0</v>
      </c>
    </row>
    <row r="25" spans="1:18" s="456" customFormat="1" outlineLevel="3" x14ac:dyDescent="0.2">
      <c r="A25" s="1441" t="s">
        <v>10247</v>
      </c>
      <c r="B25" s="1442" t="s">
        <v>486</v>
      </c>
      <c r="C25" s="1443" t="s">
        <v>6722</v>
      </c>
      <c r="D25" s="1515">
        <f>'ЛСР 01-02-02'!N64</f>
        <v>17177</v>
      </c>
      <c r="E25" s="1515"/>
      <c r="F25" s="1515"/>
      <c r="G25" s="1515"/>
      <c r="H25" s="1474">
        <f>(D25+E25)*3.1%</f>
        <v>532.49</v>
      </c>
      <c r="I25" s="1474">
        <f t="shared" ref="I25:I26" si="6">(D25+E25+H25)*0.5%</f>
        <v>88.55</v>
      </c>
      <c r="J25" s="1474">
        <f t="shared" si="5"/>
        <v>-79.87</v>
      </c>
      <c r="K25" s="1474">
        <f t="shared" ref="K25:K27" si="7">SUM(D25:J25)</f>
        <v>17718.169999999998</v>
      </c>
      <c r="L25" s="1533">
        <f>$G$107</f>
        <v>1.0425435000000001</v>
      </c>
      <c r="M25" s="1474">
        <f>K25*L25</f>
        <v>18471.96</v>
      </c>
      <c r="N25" s="1539">
        <f>$F$128</f>
        <v>1.0281011</v>
      </c>
      <c r="O25" s="1474">
        <f>M25*N25</f>
        <v>18991.04</v>
      </c>
      <c r="P25" s="1474">
        <f>M25+(O25-M25)*(1-$P$13)</f>
        <v>18731.5</v>
      </c>
      <c r="Q25" s="1474">
        <f>F25*L25*N25*P25/O25</f>
        <v>0</v>
      </c>
    </row>
    <row r="26" spans="1:18" s="456" customFormat="1" outlineLevel="3" x14ac:dyDescent="0.2">
      <c r="A26" s="1441" t="s">
        <v>10248</v>
      </c>
      <c r="B26" s="1442" t="s">
        <v>6723</v>
      </c>
      <c r="C26" s="1443" t="s">
        <v>6724</v>
      </c>
      <c r="D26" s="1515">
        <f>'ЛСР 01-02-03'!N113</f>
        <v>10529</v>
      </c>
      <c r="E26" s="1515">
        <f>'ЛСР 01-02-03'!N119</f>
        <v>6387</v>
      </c>
      <c r="F26" s="1515"/>
      <c r="G26" s="1515"/>
      <c r="H26" s="1474">
        <f>(D26+E26)*3.1%</f>
        <v>524.4</v>
      </c>
      <c r="I26" s="1474">
        <f t="shared" si="6"/>
        <v>87.2</v>
      </c>
      <c r="J26" s="1474">
        <f t="shared" si="5"/>
        <v>-78.66</v>
      </c>
      <c r="K26" s="1474">
        <f t="shared" si="7"/>
        <v>17448.939999999999</v>
      </c>
      <c r="L26" s="1533">
        <f>$G$107</f>
        <v>1.0425435000000001</v>
      </c>
      <c r="M26" s="1474">
        <f>K26*L26</f>
        <v>18191.28</v>
      </c>
      <c r="N26" s="1539">
        <f>$F$128</f>
        <v>1.0281011</v>
      </c>
      <c r="O26" s="1474">
        <f>M26*N26</f>
        <v>18702.47</v>
      </c>
      <c r="P26" s="1474">
        <f>M26+(O26-M26)*(1-$P$13)</f>
        <v>18446.88</v>
      </c>
      <c r="Q26" s="1474">
        <f>F26*L26*N26*P26/O26</f>
        <v>0</v>
      </c>
    </row>
    <row r="27" spans="1:18" s="456" customFormat="1" ht="25.5" outlineLevel="2" x14ac:dyDescent="0.2">
      <c r="A27" s="1491" t="s">
        <v>10249</v>
      </c>
      <c r="B27" s="464" t="s">
        <v>7079</v>
      </c>
      <c r="C27" s="464" t="s">
        <v>7075</v>
      </c>
      <c r="D27" s="1508">
        <f>'ЛСР 01-03-01 '!N811</f>
        <v>1431378</v>
      </c>
      <c r="E27" s="1514">
        <f>'ЛСР 01-03-01 '!N828</f>
        <v>3212</v>
      </c>
      <c r="F27" s="1514"/>
      <c r="G27" s="1514"/>
      <c r="H27" s="1514">
        <f>(D27+E27)*3.1%</f>
        <v>44472.29</v>
      </c>
      <c r="I27" s="1514">
        <f>(D27+E27+H27)*0.5%</f>
        <v>7395.31</v>
      </c>
      <c r="J27" s="1508">
        <f>-H27*15%</f>
        <v>-6670.84</v>
      </c>
      <c r="K27" s="1516">
        <f t="shared" si="7"/>
        <v>1479786.76</v>
      </c>
      <c r="L27" s="1489">
        <f>$G$107</f>
        <v>1.0425435000000001</v>
      </c>
      <c r="M27" s="1516">
        <f t="shared" ref="M27" si="8">K27*L27</f>
        <v>1542742.07</v>
      </c>
      <c r="N27" s="1489">
        <f>$F$128</f>
        <v>1.0281011</v>
      </c>
      <c r="O27" s="1516">
        <f t="shared" ref="O27" si="9">M27*N27</f>
        <v>1586094.82</v>
      </c>
      <c r="P27" s="1516">
        <f>M27+(O27-M27)*(1-$P$13)</f>
        <v>1564418.45</v>
      </c>
      <c r="Q27" s="1516">
        <f>F27*L27*N27*P27/O27</f>
        <v>0</v>
      </c>
    </row>
    <row r="28" spans="1:18" s="456" customFormat="1" ht="25.5" outlineLevel="2" x14ac:dyDescent="0.2">
      <c r="A28" s="1491" t="s">
        <v>10250</v>
      </c>
      <c r="B28" s="464" t="s">
        <v>6463</v>
      </c>
      <c r="C28" s="464" t="s">
        <v>6531</v>
      </c>
      <c r="D28" s="1514"/>
      <c r="E28" s="1514"/>
      <c r="F28" s="1514"/>
      <c r="G28" s="1508">
        <f>'ЛСР 01-04-01'!M25</f>
        <v>149454.17000000001</v>
      </c>
      <c r="H28" s="1514">
        <f>(D28+E28)*3.1%</f>
        <v>0</v>
      </c>
      <c r="I28" s="1514">
        <f>(D28+E28+H28)*0.5%</f>
        <v>0</v>
      </c>
      <c r="J28" s="1508">
        <f t="shared" ref="J28" si="10">-H28*15%</f>
        <v>0</v>
      </c>
      <c r="K28" s="1516">
        <f t="shared" ref="K28" si="11">SUM(D28:J28)</f>
        <v>149454.17000000001</v>
      </c>
      <c r="L28" s="1489">
        <f>$G$107</f>
        <v>1.0425435000000001</v>
      </c>
      <c r="M28" s="1516">
        <f t="shared" ref="M28" si="12">K28*L28</f>
        <v>155812.47</v>
      </c>
      <c r="N28" s="1489">
        <f>$F$128</f>
        <v>1.0281011</v>
      </c>
      <c r="O28" s="1516">
        <f t="shared" ref="O28" si="13">M28*N28</f>
        <v>160190.97</v>
      </c>
      <c r="P28" s="1516">
        <f>M28+(O28-M28)*(1-$P$13)</f>
        <v>158001.72</v>
      </c>
      <c r="Q28" s="1516">
        <f t="shared" ref="Q28" si="14">F28*L28*N28*P28/O28</f>
        <v>0</v>
      </c>
    </row>
    <row r="29" spans="1:18" s="456" customFormat="1" ht="25.5" outlineLevel="2" x14ac:dyDescent="0.2">
      <c r="A29" s="1491" t="s">
        <v>10251</v>
      </c>
      <c r="B29" s="464" t="s">
        <v>6466</v>
      </c>
      <c r="C29" s="464" t="s">
        <v>19</v>
      </c>
      <c r="D29" s="1508">
        <f>SUM(D30:D36)</f>
        <v>115418216</v>
      </c>
      <c r="E29" s="1508">
        <f t="shared" ref="E29:F29" si="15">SUM(E30:E36)</f>
        <v>1060608</v>
      </c>
      <c r="F29" s="1508">
        <f t="shared" si="15"/>
        <v>12900921</v>
      </c>
      <c r="G29" s="1514"/>
      <c r="H29" s="1508">
        <f t="shared" ref="H29:Q29" si="16">SUM(H30:H36)</f>
        <v>3610843.54</v>
      </c>
      <c r="I29" s="1508">
        <f t="shared" si="16"/>
        <v>600448.34</v>
      </c>
      <c r="J29" s="1508">
        <f t="shared" si="16"/>
        <v>-541626.53</v>
      </c>
      <c r="K29" s="1508">
        <f t="shared" si="16"/>
        <v>133049410.34999999</v>
      </c>
      <c r="L29" s="1489"/>
      <c r="M29" s="1508">
        <f t="shared" si="16"/>
        <v>138709797.93000001</v>
      </c>
      <c r="N29" s="1489"/>
      <c r="O29" s="1508">
        <f t="shared" si="16"/>
        <v>142607695.83000001</v>
      </c>
      <c r="P29" s="1508">
        <f t="shared" si="16"/>
        <v>140658746.90000001</v>
      </c>
      <c r="Q29" s="1508">
        <f t="shared" si="16"/>
        <v>13638748.02</v>
      </c>
    </row>
    <row r="30" spans="1:18" s="456" customFormat="1" ht="25.5" outlineLevel="3" x14ac:dyDescent="0.2">
      <c r="A30" s="1441" t="s">
        <v>10252</v>
      </c>
      <c r="B30" s="1442" t="s">
        <v>597</v>
      </c>
      <c r="C30" s="1443" t="s">
        <v>598</v>
      </c>
      <c r="D30" s="1515">
        <f>'ЛСР 02-01-01'!N706</f>
        <v>215826</v>
      </c>
      <c r="E30" s="1515">
        <f>'ЛСР 02-01-01'!N713</f>
        <v>160966</v>
      </c>
      <c r="F30" s="1515">
        <f>'ЛСР 02-01-01'!N720</f>
        <v>10666418</v>
      </c>
      <c r="G30" s="1515"/>
      <c r="H30" s="1474">
        <f t="shared" ref="H30:H36" si="17">(D30+E30)*3.1%</f>
        <v>11680.55</v>
      </c>
      <c r="I30" s="1474">
        <f t="shared" ref="I30:I74" si="18">(D30+E30+H30)*0.5%</f>
        <v>1942.36</v>
      </c>
      <c r="J30" s="1474">
        <f t="shared" ref="J30:J36" si="19">-H30*15%</f>
        <v>-1752.08</v>
      </c>
      <c r="K30" s="1474">
        <f t="shared" ref="K30:K36" si="20">SUM(D30:J30)</f>
        <v>11055080.83</v>
      </c>
      <c r="L30" s="1533">
        <f t="shared" ref="L30:L36" si="21">$G$107</f>
        <v>1.0425435000000001</v>
      </c>
      <c r="M30" s="1474">
        <f t="shared" ref="M30:M36" si="22">K30*L30</f>
        <v>11525402.66</v>
      </c>
      <c r="N30" s="1539">
        <f>$F$128</f>
        <v>1.0281011</v>
      </c>
      <c r="O30" s="1474">
        <f t="shared" ref="O30:O36" si="23">M30*N30</f>
        <v>11849279.15</v>
      </c>
      <c r="P30" s="1474">
        <f t="shared" ref="P30:P36" si="24">M30+(O30-M30)*(1-$P$13)</f>
        <v>11687340.91</v>
      </c>
      <c r="Q30" s="1474">
        <f t="shared" ref="Q30:Q36" si="25">F30*L30*N30*P30/O30</f>
        <v>11276449.75</v>
      </c>
    </row>
    <row r="31" spans="1:18" s="456" customFormat="1" outlineLevel="3" x14ac:dyDescent="0.2">
      <c r="A31" s="1441" t="s">
        <v>10253</v>
      </c>
      <c r="B31" s="1442" t="s">
        <v>599</v>
      </c>
      <c r="C31" s="1443" t="s">
        <v>600</v>
      </c>
      <c r="D31" s="1515">
        <f>'ЛСР 02-01-02'!N376</f>
        <v>6348</v>
      </c>
      <c r="E31" s="1515">
        <f>'ЛСР 02-01-02'!N383</f>
        <v>1059</v>
      </c>
      <c r="F31" s="1515">
        <f>'ЛСР 02-01-02'!N390</f>
        <v>502688</v>
      </c>
      <c r="G31" s="1515"/>
      <c r="H31" s="1474">
        <f t="shared" si="17"/>
        <v>229.62</v>
      </c>
      <c r="I31" s="1474">
        <f t="shared" si="18"/>
        <v>38.18</v>
      </c>
      <c r="J31" s="1474">
        <f t="shared" si="19"/>
        <v>-34.44</v>
      </c>
      <c r="K31" s="1474">
        <f t="shared" si="20"/>
        <v>510328.36</v>
      </c>
      <c r="L31" s="1533">
        <f t="shared" si="21"/>
        <v>1.0425435000000001</v>
      </c>
      <c r="M31" s="1474">
        <f t="shared" si="22"/>
        <v>532039.51</v>
      </c>
      <c r="N31" s="1539">
        <f t="shared" ref="N31:N86" si="26">$F$128</f>
        <v>1.0281011</v>
      </c>
      <c r="O31" s="1474">
        <f t="shared" si="23"/>
        <v>546990.41</v>
      </c>
      <c r="P31" s="1474">
        <f t="shared" si="24"/>
        <v>539514.96</v>
      </c>
      <c r="Q31" s="1474">
        <f t="shared" si="25"/>
        <v>531437.63</v>
      </c>
    </row>
    <row r="32" spans="1:18" s="456" customFormat="1" ht="25.5" outlineLevel="3" x14ac:dyDescent="0.2">
      <c r="A32" s="1441" t="s">
        <v>10254</v>
      </c>
      <c r="B32" s="1442" t="s">
        <v>601</v>
      </c>
      <c r="C32" s="1443" t="s">
        <v>602</v>
      </c>
      <c r="D32" s="1515">
        <f>'ЛСР 02-01-03'!N414</f>
        <v>70502954</v>
      </c>
      <c r="E32" s="1515"/>
      <c r="F32" s="1515"/>
      <c r="G32" s="1515"/>
      <c r="H32" s="1474">
        <f t="shared" si="17"/>
        <v>2185591.5699999998</v>
      </c>
      <c r="I32" s="1474">
        <f t="shared" si="18"/>
        <v>363442.73</v>
      </c>
      <c r="J32" s="1474">
        <f t="shared" si="19"/>
        <v>-327838.74</v>
      </c>
      <c r="K32" s="1474">
        <f t="shared" si="20"/>
        <v>72724149.560000002</v>
      </c>
      <c r="L32" s="1533">
        <f t="shared" si="21"/>
        <v>1.0425435000000001</v>
      </c>
      <c r="M32" s="1474">
        <f t="shared" si="22"/>
        <v>75818089.420000002</v>
      </c>
      <c r="N32" s="1539">
        <f t="shared" si="26"/>
        <v>1.0281011</v>
      </c>
      <c r="O32" s="1474">
        <f t="shared" si="23"/>
        <v>77948661.129999995</v>
      </c>
      <c r="P32" s="1474">
        <f t="shared" si="24"/>
        <v>76883375.280000001</v>
      </c>
      <c r="Q32" s="1474">
        <f t="shared" si="25"/>
        <v>0</v>
      </c>
    </row>
    <row r="33" spans="1:17" s="456" customFormat="1" outlineLevel="3" x14ac:dyDescent="0.2">
      <c r="A33" s="1441" t="s">
        <v>10255</v>
      </c>
      <c r="B33" s="1442" t="s">
        <v>603</v>
      </c>
      <c r="C33" s="1443" t="s">
        <v>604</v>
      </c>
      <c r="D33" s="1515">
        <f>'ЛСР 02-01-04'!N348</f>
        <v>427447</v>
      </c>
      <c r="E33" s="1515"/>
      <c r="F33" s="1515"/>
      <c r="G33" s="1515"/>
      <c r="H33" s="1474">
        <f t="shared" si="17"/>
        <v>13250.86</v>
      </c>
      <c r="I33" s="1474">
        <f t="shared" si="18"/>
        <v>2203.4899999999998</v>
      </c>
      <c r="J33" s="1474">
        <f t="shared" si="19"/>
        <v>-1987.63</v>
      </c>
      <c r="K33" s="1474">
        <f t="shared" si="20"/>
        <v>440913.72</v>
      </c>
      <c r="L33" s="1533">
        <f t="shared" si="21"/>
        <v>1.0425435000000001</v>
      </c>
      <c r="M33" s="1474">
        <f t="shared" si="22"/>
        <v>459671.73</v>
      </c>
      <c r="N33" s="1539">
        <f t="shared" si="26"/>
        <v>1.0281011</v>
      </c>
      <c r="O33" s="1474">
        <f t="shared" si="23"/>
        <v>472589.01</v>
      </c>
      <c r="P33" s="1474">
        <f t="shared" si="24"/>
        <v>466130.37</v>
      </c>
      <c r="Q33" s="1474">
        <f t="shared" si="25"/>
        <v>0</v>
      </c>
    </row>
    <row r="34" spans="1:17" s="456" customFormat="1" outlineLevel="3" x14ac:dyDescent="0.2">
      <c r="A34" s="1441" t="s">
        <v>10256</v>
      </c>
      <c r="B34" s="1442" t="s">
        <v>605</v>
      </c>
      <c r="C34" s="1443" t="s">
        <v>606</v>
      </c>
      <c r="D34" s="1515">
        <f>'ЛСР 02-01-05'!N320</f>
        <v>280363</v>
      </c>
      <c r="E34" s="1515"/>
      <c r="F34" s="1515"/>
      <c r="G34" s="1515"/>
      <c r="H34" s="1474">
        <f t="shared" si="17"/>
        <v>8691.25</v>
      </c>
      <c r="I34" s="1474">
        <f t="shared" si="18"/>
        <v>1445.27</v>
      </c>
      <c r="J34" s="1474">
        <f t="shared" si="19"/>
        <v>-1303.69</v>
      </c>
      <c r="K34" s="1474">
        <f t="shared" si="20"/>
        <v>289195.83</v>
      </c>
      <c r="L34" s="1533">
        <f t="shared" si="21"/>
        <v>1.0425435000000001</v>
      </c>
      <c r="M34" s="1474">
        <f t="shared" si="22"/>
        <v>301499.23</v>
      </c>
      <c r="N34" s="1539">
        <f t="shared" si="26"/>
        <v>1.0281011</v>
      </c>
      <c r="O34" s="1474">
        <f t="shared" si="23"/>
        <v>309971.69</v>
      </c>
      <c r="P34" s="1474">
        <f t="shared" si="24"/>
        <v>305735.46000000002</v>
      </c>
      <c r="Q34" s="1474">
        <f t="shared" si="25"/>
        <v>0</v>
      </c>
    </row>
    <row r="35" spans="1:17" s="456" customFormat="1" ht="25.5" outlineLevel="3" x14ac:dyDescent="0.2">
      <c r="A35" s="1441" t="s">
        <v>10257</v>
      </c>
      <c r="B35" s="1442" t="s">
        <v>607</v>
      </c>
      <c r="C35" s="1443" t="s">
        <v>9239</v>
      </c>
      <c r="D35" s="1515">
        <f>'ЛСР 02-01-06'!N603</f>
        <v>43985278</v>
      </c>
      <c r="E35" s="1515"/>
      <c r="F35" s="1515"/>
      <c r="G35" s="1515"/>
      <c r="H35" s="1474">
        <f t="shared" si="17"/>
        <v>1363543.62</v>
      </c>
      <c r="I35" s="1474">
        <f t="shared" si="18"/>
        <v>226744.11</v>
      </c>
      <c r="J35" s="1474">
        <f t="shared" si="19"/>
        <v>-204531.54</v>
      </c>
      <c r="K35" s="1474">
        <f t="shared" si="20"/>
        <v>45371034.189999998</v>
      </c>
      <c r="L35" s="1533">
        <f t="shared" si="21"/>
        <v>1.0425435000000001</v>
      </c>
      <c r="M35" s="1474">
        <f t="shared" si="22"/>
        <v>47301276.780000001</v>
      </c>
      <c r="N35" s="1539">
        <f t="shared" si="26"/>
        <v>1.0281011</v>
      </c>
      <c r="O35" s="1474">
        <f t="shared" si="23"/>
        <v>48630494.689999998</v>
      </c>
      <c r="P35" s="1474">
        <f t="shared" si="24"/>
        <v>47965885.740000002</v>
      </c>
      <c r="Q35" s="1474">
        <f t="shared" si="25"/>
        <v>0</v>
      </c>
    </row>
    <row r="36" spans="1:17" s="456" customFormat="1" ht="25.5" outlineLevel="3" x14ac:dyDescent="0.2">
      <c r="A36" s="1441" t="s">
        <v>10258</v>
      </c>
      <c r="B36" s="1442" t="s">
        <v>608</v>
      </c>
      <c r="C36" s="1443" t="s">
        <v>609</v>
      </c>
      <c r="D36" s="1515"/>
      <c r="E36" s="1515">
        <f>'ЛСР 02-01-07'!N411</f>
        <v>898583</v>
      </c>
      <c r="F36" s="1515">
        <f>'ЛСР 02-01-07'!N418</f>
        <v>1731815</v>
      </c>
      <c r="G36" s="1515"/>
      <c r="H36" s="1474">
        <f t="shared" si="17"/>
        <v>27856.07</v>
      </c>
      <c r="I36" s="1474">
        <f t="shared" si="18"/>
        <v>4632.2</v>
      </c>
      <c r="J36" s="1474">
        <f t="shared" si="19"/>
        <v>-4178.41</v>
      </c>
      <c r="K36" s="1474">
        <f t="shared" si="20"/>
        <v>2658707.86</v>
      </c>
      <c r="L36" s="1533">
        <f t="shared" si="21"/>
        <v>1.0425435000000001</v>
      </c>
      <c r="M36" s="1474">
        <f t="shared" si="22"/>
        <v>2771818.6</v>
      </c>
      <c r="N36" s="1539">
        <f t="shared" si="26"/>
        <v>1.0281011</v>
      </c>
      <c r="O36" s="1474">
        <f t="shared" si="23"/>
        <v>2849709.75</v>
      </c>
      <c r="P36" s="1474">
        <f t="shared" si="24"/>
        <v>2810764.18</v>
      </c>
      <c r="Q36" s="1474">
        <f t="shared" si="25"/>
        <v>1830860.64</v>
      </c>
    </row>
    <row r="37" spans="1:17" s="456" customFormat="1" outlineLevel="2" x14ac:dyDescent="0.2">
      <c r="A37" s="1490" t="s">
        <v>10259</v>
      </c>
      <c r="B37" s="464" t="s">
        <v>6469</v>
      </c>
      <c r="C37" s="464" t="s">
        <v>31</v>
      </c>
      <c r="D37" s="1508">
        <f>SUM(D38:D49)</f>
        <v>6547504</v>
      </c>
      <c r="E37" s="1508">
        <f t="shared" ref="E37:F37" si="27">SUM(E38:E49)</f>
        <v>2171385</v>
      </c>
      <c r="F37" s="1508">
        <f t="shared" si="27"/>
        <v>10884956</v>
      </c>
      <c r="G37" s="1514"/>
      <c r="H37" s="1508">
        <f>SUM(H38:H49)</f>
        <v>270285.58</v>
      </c>
      <c r="I37" s="1508">
        <f>SUM(I38:I49)</f>
        <v>44945.87</v>
      </c>
      <c r="J37" s="1508">
        <f>SUM(J38:J49)</f>
        <v>-40542.81</v>
      </c>
      <c r="K37" s="1508">
        <f>SUM(K38:K49)</f>
        <v>19878533.640000001</v>
      </c>
      <c r="L37" s="1489"/>
      <c r="M37" s="1508">
        <f>SUM(M38:M49)</f>
        <v>20724236.039999999</v>
      </c>
      <c r="N37" s="1489"/>
      <c r="O37" s="1508">
        <f>SUM(O38:O49)</f>
        <v>21306609.859999999</v>
      </c>
      <c r="P37" s="1508">
        <f>SUM(P38:P49)</f>
        <v>21015422.960000001</v>
      </c>
      <c r="Q37" s="1508">
        <f>SUM(Q38:Q49)</f>
        <v>11507486.35</v>
      </c>
    </row>
    <row r="38" spans="1:17" s="456" customFormat="1" outlineLevel="3" x14ac:dyDescent="0.2">
      <c r="A38" s="1441" t="s">
        <v>10260</v>
      </c>
      <c r="B38" s="1442" t="s">
        <v>1808</v>
      </c>
      <c r="C38" s="1443" t="s">
        <v>33</v>
      </c>
      <c r="D38" s="1515">
        <f>'ЛСР 03-01-01'!N620</f>
        <v>2239375</v>
      </c>
      <c r="E38" s="1515">
        <f>'ЛСР 03-01-01'!N627</f>
        <v>343426</v>
      </c>
      <c r="F38" s="1515">
        <f>'ЛСР 03-01-01'!N634</f>
        <v>3571685</v>
      </c>
      <c r="G38" s="1515"/>
      <c r="H38" s="1474">
        <f>(D38+E38)*3.1%</f>
        <v>80066.83</v>
      </c>
      <c r="I38" s="1474">
        <f t="shared" si="18"/>
        <v>13314.34</v>
      </c>
      <c r="J38" s="1474">
        <f t="shared" ref="J38" si="28">-H38*15%</f>
        <v>-12010.02</v>
      </c>
      <c r="K38" s="1474">
        <f t="shared" ref="K38" si="29">SUM(D38:J38)</f>
        <v>6235857.1500000004</v>
      </c>
      <c r="L38" s="1533">
        <f t="shared" ref="L38:L49" si="30">$G$107</f>
        <v>1.0425435000000001</v>
      </c>
      <c r="M38" s="1474">
        <f>K38*L38</f>
        <v>6501152.3399999999</v>
      </c>
      <c r="N38" s="1539">
        <f t="shared" si="26"/>
        <v>1.0281011</v>
      </c>
      <c r="O38" s="1474">
        <f>M38*N38</f>
        <v>6683841.8700000001</v>
      </c>
      <c r="P38" s="1474">
        <f t="shared" ref="P38:P49" si="31">M38+(O38-M38)*(1-$P$13)</f>
        <v>6592497.1100000003</v>
      </c>
      <c r="Q38" s="1474">
        <f>F38*L38*N38*P38/O38</f>
        <v>3775956.13</v>
      </c>
    </row>
    <row r="39" spans="1:17" s="456" customFormat="1" outlineLevel="3" x14ac:dyDescent="0.2">
      <c r="A39" s="1441" t="s">
        <v>10261</v>
      </c>
      <c r="B39" s="1442" t="s">
        <v>1809</v>
      </c>
      <c r="C39" s="1443" t="s">
        <v>1810</v>
      </c>
      <c r="D39" s="1515">
        <f>'ЛСР 03-01-02'!N412</f>
        <v>3417377</v>
      </c>
      <c r="E39" s="1515"/>
      <c r="F39" s="1515"/>
      <c r="G39" s="1515"/>
      <c r="H39" s="1474">
        <f t="shared" ref="H39:H49" si="32">(D39+E39)*3.1%</f>
        <v>105938.69</v>
      </c>
      <c r="I39" s="1474">
        <f t="shared" si="18"/>
        <v>17616.580000000002</v>
      </c>
      <c r="J39" s="1474">
        <f t="shared" ref="J39:J49" si="33">-H39*15%</f>
        <v>-15890.8</v>
      </c>
      <c r="K39" s="1474">
        <f t="shared" ref="K39:K49" si="34">SUM(D39:J39)</f>
        <v>3525041.47</v>
      </c>
      <c r="L39" s="1533">
        <f t="shared" si="30"/>
        <v>1.0425435000000001</v>
      </c>
      <c r="M39" s="1474">
        <f t="shared" ref="M39:M49" si="35">K39*L39</f>
        <v>3675009.07</v>
      </c>
      <c r="N39" s="1539">
        <f t="shared" si="26"/>
        <v>1.0281011</v>
      </c>
      <c r="O39" s="1474">
        <f t="shared" ref="O39:O49" si="36">M39*N39</f>
        <v>3778280.87</v>
      </c>
      <c r="P39" s="1474">
        <f t="shared" si="31"/>
        <v>3726644.97</v>
      </c>
      <c r="Q39" s="1474">
        <f t="shared" ref="Q39:Q49" si="37">F39*L39*N39*P39/O39</f>
        <v>0</v>
      </c>
    </row>
    <row r="40" spans="1:17" s="456" customFormat="1" ht="25.5" outlineLevel="3" x14ac:dyDescent="0.2">
      <c r="A40" s="1441" t="s">
        <v>10262</v>
      </c>
      <c r="B40" s="1442" t="s">
        <v>1811</v>
      </c>
      <c r="C40" s="1443" t="s">
        <v>609</v>
      </c>
      <c r="D40" s="1515">
        <f>'ЛСР 03-01-03'!N749</f>
        <v>19707</v>
      </c>
      <c r="E40" s="1515">
        <f>'ЛСР 03-01-03'!N755</f>
        <v>804111</v>
      </c>
      <c r="F40" s="1515">
        <f>'ЛСР 03-01-03'!N762</f>
        <v>440771</v>
      </c>
      <c r="G40" s="1515"/>
      <c r="H40" s="1474">
        <f t="shared" si="32"/>
        <v>25538.36</v>
      </c>
      <c r="I40" s="1474">
        <f t="shared" si="18"/>
        <v>4246.78</v>
      </c>
      <c r="J40" s="1474">
        <f t="shared" si="33"/>
        <v>-3830.75</v>
      </c>
      <c r="K40" s="1474">
        <f t="shared" si="34"/>
        <v>1290543.3899999999</v>
      </c>
      <c r="L40" s="1533">
        <f t="shared" si="30"/>
        <v>1.0425435000000001</v>
      </c>
      <c r="M40" s="1474">
        <f t="shared" si="35"/>
        <v>1345447.62</v>
      </c>
      <c r="N40" s="1539">
        <f t="shared" si="26"/>
        <v>1.0281011</v>
      </c>
      <c r="O40" s="1474">
        <f t="shared" si="36"/>
        <v>1383256.18</v>
      </c>
      <c r="P40" s="1474">
        <f t="shared" si="31"/>
        <v>1364351.9</v>
      </c>
      <c r="Q40" s="1474">
        <f t="shared" si="37"/>
        <v>465979.49</v>
      </c>
    </row>
    <row r="41" spans="1:17" s="456" customFormat="1" outlineLevel="3" x14ac:dyDescent="0.2">
      <c r="A41" s="1441" t="s">
        <v>10263</v>
      </c>
      <c r="B41" s="1442" t="s">
        <v>1812</v>
      </c>
      <c r="C41" s="1443" t="s">
        <v>38</v>
      </c>
      <c r="D41" s="1515">
        <f>'ЛСР 03-01-04'!N405</f>
        <v>161417</v>
      </c>
      <c r="E41" s="1515"/>
      <c r="F41" s="1515">
        <f>'ЛСР 03-01-04'!N412</f>
        <v>15833</v>
      </c>
      <c r="G41" s="1515"/>
      <c r="H41" s="1474">
        <f t="shared" si="32"/>
        <v>5003.93</v>
      </c>
      <c r="I41" s="1474">
        <f t="shared" si="18"/>
        <v>832.1</v>
      </c>
      <c r="J41" s="1474">
        <f t="shared" si="33"/>
        <v>-750.59</v>
      </c>
      <c r="K41" s="1474">
        <f t="shared" si="34"/>
        <v>182335.44</v>
      </c>
      <c r="L41" s="1533">
        <f t="shared" si="30"/>
        <v>1.0425435000000001</v>
      </c>
      <c r="M41" s="1474">
        <f t="shared" si="35"/>
        <v>190092.63</v>
      </c>
      <c r="N41" s="1539">
        <f t="shared" si="26"/>
        <v>1.0281011</v>
      </c>
      <c r="O41" s="1474">
        <f t="shared" si="36"/>
        <v>195434.44</v>
      </c>
      <c r="P41" s="1474">
        <f t="shared" si="31"/>
        <v>192763.54</v>
      </c>
      <c r="Q41" s="1474">
        <f t="shared" si="37"/>
        <v>16738.52</v>
      </c>
    </row>
    <row r="42" spans="1:17" s="456" customFormat="1" outlineLevel="3" x14ac:dyDescent="0.2">
      <c r="A42" s="1441" t="s">
        <v>10264</v>
      </c>
      <c r="B42" s="1442" t="s">
        <v>1813</v>
      </c>
      <c r="C42" s="1443" t="s">
        <v>40</v>
      </c>
      <c r="D42" s="1515">
        <f>'ЛСР 03-01-05'!N260</f>
        <v>63648</v>
      </c>
      <c r="E42" s="1515"/>
      <c r="F42" s="1515"/>
      <c r="G42" s="1515"/>
      <c r="H42" s="1474">
        <f t="shared" si="32"/>
        <v>1973.09</v>
      </c>
      <c r="I42" s="1474">
        <f t="shared" si="18"/>
        <v>328.11</v>
      </c>
      <c r="J42" s="1474">
        <f t="shared" si="33"/>
        <v>-295.95999999999998</v>
      </c>
      <c r="K42" s="1474">
        <f t="shared" si="34"/>
        <v>65653.240000000005</v>
      </c>
      <c r="L42" s="1533">
        <f t="shared" si="30"/>
        <v>1.0425435000000001</v>
      </c>
      <c r="M42" s="1474">
        <f t="shared" si="35"/>
        <v>68446.36</v>
      </c>
      <c r="N42" s="1539">
        <f t="shared" si="26"/>
        <v>1.0281011</v>
      </c>
      <c r="O42" s="1474">
        <f t="shared" si="36"/>
        <v>70369.78</v>
      </c>
      <c r="P42" s="1474">
        <f t="shared" si="31"/>
        <v>69408.070000000007</v>
      </c>
      <c r="Q42" s="1474">
        <f t="shared" si="37"/>
        <v>0</v>
      </c>
    </row>
    <row r="43" spans="1:17" s="456" customFormat="1" ht="25.5" outlineLevel="3" x14ac:dyDescent="0.2">
      <c r="A43" s="1441" t="s">
        <v>10265</v>
      </c>
      <c r="B43" s="1442" t="s">
        <v>1814</v>
      </c>
      <c r="C43" s="1443" t="s">
        <v>42</v>
      </c>
      <c r="D43" s="1515">
        <f>'ЛСР 03-01-06'!N879</f>
        <v>636926</v>
      </c>
      <c r="E43" s="1515">
        <f>'ЛСР 03-01-06'!N886</f>
        <v>6262</v>
      </c>
      <c r="F43" s="1515">
        <f>'ЛСР 03-01-06'!N893</f>
        <v>387824</v>
      </c>
      <c r="G43" s="1515"/>
      <c r="H43" s="1474">
        <f t="shared" si="32"/>
        <v>19938.830000000002</v>
      </c>
      <c r="I43" s="1474">
        <f t="shared" si="18"/>
        <v>3315.63</v>
      </c>
      <c r="J43" s="1474">
        <f t="shared" si="33"/>
        <v>-2990.82</v>
      </c>
      <c r="K43" s="1474">
        <f t="shared" si="34"/>
        <v>1051275.6399999999</v>
      </c>
      <c r="L43" s="1533">
        <f t="shared" si="30"/>
        <v>1.0425435000000001</v>
      </c>
      <c r="M43" s="1474">
        <f t="shared" si="35"/>
        <v>1096000.5900000001</v>
      </c>
      <c r="N43" s="1539">
        <f t="shared" si="26"/>
        <v>1.0281011</v>
      </c>
      <c r="O43" s="1474">
        <f t="shared" si="36"/>
        <v>1126799.4099999999</v>
      </c>
      <c r="P43" s="1474">
        <f t="shared" si="31"/>
        <v>1111400</v>
      </c>
      <c r="Q43" s="1474">
        <f t="shared" si="37"/>
        <v>410004.36</v>
      </c>
    </row>
    <row r="44" spans="1:17" s="456" customFormat="1" ht="25.5" outlineLevel="3" x14ac:dyDescent="0.2">
      <c r="A44" s="1441" t="s">
        <v>10266</v>
      </c>
      <c r="B44" s="1442" t="s">
        <v>1815</v>
      </c>
      <c r="C44" s="1443" t="s">
        <v>3063</v>
      </c>
      <c r="D44" s="1515"/>
      <c r="E44" s="1515">
        <f>'ЛСР 03-01-07'!N232</f>
        <v>31106</v>
      </c>
      <c r="F44" s="1515">
        <f>'ЛСР 03-01-07'!N239</f>
        <v>18939</v>
      </c>
      <c r="G44" s="1515"/>
      <c r="H44" s="1474">
        <f t="shared" si="32"/>
        <v>964.29</v>
      </c>
      <c r="I44" s="1474">
        <f t="shared" si="18"/>
        <v>160.35</v>
      </c>
      <c r="J44" s="1474">
        <f t="shared" si="33"/>
        <v>-144.63999999999999</v>
      </c>
      <c r="K44" s="1474">
        <f t="shared" si="34"/>
        <v>51025</v>
      </c>
      <c r="L44" s="1533">
        <f t="shared" si="30"/>
        <v>1.0425435000000001</v>
      </c>
      <c r="M44" s="1474">
        <f t="shared" si="35"/>
        <v>53195.78</v>
      </c>
      <c r="N44" s="1539">
        <f t="shared" si="26"/>
        <v>1.0281011</v>
      </c>
      <c r="O44" s="1474">
        <f t="shared" si="36"/>
        <v>54690.64</v>
      </c>
      <c r="P44" s="1474">
        <f t="shared" si="31"/>
        <v>53943.21</v>
      </c>
      <c r="Q44" s="1474">
        <f t="shared" si="37"/>
        <v>20022.16</v>
      </c>
    </row>
    <row r="45" spans="1:17" s="456" customFormat="1" ht="25.5" outlineLevel="3" x14ac:dyDescent="0.2">
      <c r="A45" s="1441" t="s">
        <v>10267</v>
      </c>
      <c r="B45" s="1442" t="s">
        <v>1816</v>
      </c>
      <c r="C45" s="1443" t="s">
        <v>3120</v>
      </c>
      <c r="D45" s="1515"/>
      <c r="E45" s="1515">
        <f>' ЛСР 03-01-08'!N239</f>
        <v>39660</v>
      </c>
      <c r="F45" s="1515">
        <f>' ЛСР 03-01-08'!N246</f>
        <v>157674</v>
      </c>
      <c r="G45" s="1515"/>
      <c r="H45" s="1474">
        <f t="shared" si="32"/>
        <v>1229.46</v>
      </c>
      <c r="I45" s="1474">
        <f t="shared" si="18"/>
        <v>204.45</v>
      </c>
      <c r="J45" s="1474">
        <f t="shared" si="33"/>
        <v>-184.42</v>
      </c>
      <c r="K45" s="1474">
        <f t="shared" si="34"/>
        <v>198583.49</v>
      </c>
      <c r="L45" s="1533">
        <f t="shared" si="30"/>
        <v>1.0425435000000001</v>
      </c>
      <c r="M45" s="1474">
        <f t="shared" si="35"/>
        <v>207031.93</v>
      </c>
      <c r="N45" s="1539">
        <f t="shared" si="26"/>
        <v>1.0281011</v>
      </c>
      <c r="O45" s="1474">
        <f t="shared" si="36"/>
        <v>212849.75</v>
      </c>
      <c r="P45" s="1474">
        <f t="shared" si="31"/>
        <v>209940.84</v>
      </c>
      <c r="Q45" s="1474">
        <f t="shared" si="37"/>
        <v>166691.66</v>
      </c>
    </row>
    <row r="46" spans="1:17" s="456" customFormat="1" outlineLevel="3" x14ac:dyDescent="0.2">
      <c r="A46" s="1441" t="s">
        <v>10268</v>
      </c>
      <c r="B46" s="1442" t="s">
        <v>1817</v>
      </c>
      <c r="C46" s="1443" t="s">
        <v>48</v>
      </c>
      <c r="D46" s="1515">
        <f>'ЛСР 03-01-09'!N276</f>
        <v>9054</v>
      </c>
      <c r="E46" s="1515">
        <f>'ЛСР 03-01-09'!N283</f>
        <v>35851</v>
      </c>
      <c r="F46" s="1515">
        <f>'ЛСР 03-01-09'!N290</f>
        <v>61447</v>
      </c>
      <c r="G46" s="1515"/>
      <c r="H46" s="1474">
        <f t="shared" si="32"/>
        <v>1392.06</v>
      </c>
      <c r="I46" s="1474">
        <f t="shared" si="18"/>
        <v>231.49</v>
      </c>
      <c r="J46" s="1474">
        <f t="shared" si="33"/>
        <v>-208.81</v>
      </c>
      <c r="K46" s="1474">
        <f t="shared" si="34"/>
        <v>107766.74</v>
      </c>
      <c r="L46" s="1533">
        <f t="shared" si="30"/>
        <v>1.0425435000000001</v>
      </c>
      <c r="M46" s="1474">
        <f t="shared" si="35"/>
        <v>112351.51</v>
      </c>
      <c r="N46" s="1539">
        <f t="shared" si="26"/>
        <v>1.0281011</v>
      </c>
      <c r="O46" s="1474">
        <f t="shared" si="36"/>
        <v>115508.71</v>
      </c>
      <c r="P46" s="1474">
        <f t="shared" si="31"/>
        <v>113930.11</v>
      </c>
      <c r="Q46" s="1474">
        <f t="shared" si="37"/>
        <v>64961.27</v>
      </c>
    </row>
    <row r="47" spans="1:17" s="456" customFormat="1" outlineLevel="3" x14ac:dyDescent="0.2">
      <c r="A47" s="1441" t="s">
        <v>10269</v>
      </c>
      <c r="B47" s="1442" t="s">
        <v>1818</v>
      </c>
      <c r="C47" s="1443" t="s">
        <v>50</v>
      </c>
      <c r="D47" s="1515"/>
      <c r="E47" s="1515">
        <f>'ЛСР 03-01-10'!N275</f>
        <v>35319</v>
      </c>
      <c r="F47" s="1515">
        <f>'ЛСР 03-01-10'!N282</f>
        <v>203630</v>
      </c>
      <c r="G47" s="1515"/>
      <c r="H47" s="1474">
        <f t="shared" si="32"/>
        <v>1094.8900000000001</v>
      </c>
      <c r="I47" s="1474">
        <f t="shared" si="18"/>
        <v>182.07</v>
      </c>
      <c r="J47" s="1474">
        <f t="shared" si="33"/>
        <v>-164.23</v>
      </c>
      <c r="K47" s="1474">
        <f t="shared" si="34"/>
        <v>240061.73</v>
      </c>
      <c r="L47" s="1533">
        <f t="shared" si="30"/>
        <v>1.0425435000000001</v>
      </c>
      <c r="M47" s="1474">
        <f t="shared" si="35"/>
        <v>250274.8</v>
      </c>
      <c r="N47" s="1539">
        <f t="shared" si="26"/>
        <v>1.0281011</v>
      </c>
      <c r="O47" s="1474">
        <f t="shared" si="36"/>
        <v>257307.8</v>
      </c>
      <c r="P47" s="1474">
        <f t="shared" si="31"/>
        <v>253791.3</v>
      </c>
      <c r="Q47" s="1474">
        <f t="shared" si="37"/>
        <v>215275.97</v>
      </c>
    </row>
    <row r="48" spans="1:17" s="456" customFormat="1" outlineLevel="3" x14ac:dyDescent="0.2">
      <c r="A48" s="1441" t="s">
        <v>10270</v>
      </c>
      <c r="B48" s="1442" t="s">
        <v>1819</v>
      </c>
      <c r="C48" s="1443" t="s">
        <v>52</v>
      </c>
      <c r="D48" s="1515"/>
      <c r="E48" s="1515">
        <f>'ЛСР 03-01-11'!N213</f>
        <v>598656</v>
      </c>
      <c r="F48" s="1515">
        <f>'ЛСР 03-01-11'!N220</f>
        <v>4432731</v>
      </c>
      <c r="G48" s="1515"/>
      <c r="H48" s="1474">
        <f t="shared" si="32"/>
        <v>18558.34</v>
      </c>
      <c r="I48" s="1474">
        <f t="shared" si="18"/>
        <v>3086.07</v>
      </c>
      <c r="J48" s="1474">
        <f t="shared" si="33"/>
        <v>-2783.75</v>
      </c>
      <c r="K48" s="1474">
        <f t="shared" si="34"/>
        <v>5050247.66</v>
      </c>
      <c r="L48" s="1533">
        <f t="shared" si="30"/>
        <v>1.0425435000000001</v>
      </c>
      <c r="M48" s="1474">
        <f t="shared" si="35"/>
        <v>5265102.87</v>
      </c>
      <c r="N48" s="1539">
        <f t="shared" si="26"/>
        <v>1.0281011</v>
      </c>
      <c r="O48" s="1474">
        <f t="shared" si="36"/>
        <v>5413058.0499999998</v>
      </c>
      <c r="P48" s="1474">
        <f t="shared" si="31"/>
        <v>5339080.46</v>
      </c>
      <c r="Q48" s="1474">
        <f t="shared" si="37"/>
        <v>4686246.91</v>
      </c>
    </row>
    <row r="49" spans="1:17" s="456" customFormat="1" outlineLevel="3" x14ac:dyDescent="0.2">
      <c r="A49" s="1441" t="s">
        <v>10271</v>
      </c>
      <c r="B49" s="1442" t="s">
        <v>1820</v>
      </c>
      <c r="C49" s="1443" t="s">
        <v>1821</v>
      </c>
      <c r="D49" s="1515"/>
      <c r="E49" s="1515">
        <f>'ЛСР 03-01-12'!N662</f>
        <v>276994</v>
      </c>
      <c r="F49" s="1515">
        <f>'ЛСР 03-01-12'!N669</f>
        <v>1594422</v>
      </c>
      <c r="G49" s="1515"/>
      <c r="H49" s="1474">
        <f t="shared" si="32"/>
        <v>8586.81</v>
      </c>
      <c r="I49" s="1474">
        <f t="shared" si="18"/>
        <v>1427.9</v>
      </c>
      <c r="J49" s="1474">
        <f t="shared" si="33"/>
        <v>-1288.02</v>
      </c>
      <c r="K49" s="1474">
        <f t="shared" si="34"/>
        <v>1880142.69</v>
      </c>
      <c r="L49" s="1533">
        <f t="shared" si="30"/>
        <v>1.0425435000000001</v>
      </c>
      <c r="M49" s="1474">
        <f t="shared" si="35"/>
        <v>1960130.54</v>
      </c>
      <c r="N49" s="1539">
        <f t="shared" si="26"/>
        <v>1.0281011</v>
      </c>
      <c r="O49" s="1474">
        <f t="shared" si="36"/>
        <v>2015212.36</v>
      </c>
      <c r="P49" s="1474">
        <f t="shared" si="31"/>
        <v>1987671.45</v>
      </c>
      <c r="Q49" s="1474">
        <f t="shared" si="37"/>
        <v>1685609.88</v>
      </c>
    </row>
    <row r="50" spans="1:17" s="456" customFormat="1" outlineLevel="2" x14ac:dyDescent="0.2">
      <c r="A50" s="1490" t="s">
        <v>10272</v>
      </c>
      <c r="B50" s="464" t="s">
        <v>6470</v>
      </c>
      <c r="C50" s="464" t="s">
        <v>55</v>
      </c>
      <c r="D50" s="1508">
        <f>SUM(D51:D53)</f>
        <v>3171979</v>
      </c>
      <c r="E50" s="1508">
        <f t="shared" ref="E50:F50" si="38">SUM(E51:E53)</f>
        <v>486808</v>
      </c>
      <c r="F50" s="1508">
        <f t="shared" si="38"/>
        <v>398963</v>
      </c>
      <c r="G50" s="1514"/>
      <c r="H50" s="1508">
        <f t="shared" ref="H50:Q50" si="39">SUM(H51:H53)</f>
        <v>113422.39999999999</v>
      </c>
      <c r="I50" s="1508">
        <f t="shared" si="39"/>
        <v>18861.04</v>
      </c>
      <c r="J50" s="1508">
        <f t="shared" si="39"/>
        <v>-17013.36</v>
      </c>
      <c r="K50" s="1508">
        <f t="shared" si="39"/>
        <v>4173020.08</v>
      </c>
      <c r="L50" s="1489"/>
      <c r="M50" s="1508">
        <f t="shared" si="39"/>
        <v>4350554.96</v>
      </c>
      <c r="N50" s="1489"/>
      <c r="O50" s="1508">
        <f t="shared" si="39"/>
        <v>4472810.33</v>
      </c>
      <c r="P50" s="1508">
        <f t="shared" si="39"/>
        <v>4411682.6500000004</v>
      </c>
      <c r="Q50" s="1508">
        <f t="shared" si="39"/>
        <v>421780.42</v>
      </c>
    </row>
    <row r="51" spans="1:17" s="456" customFormat="1" outlineLevel="3" x14ac:dyDescent="0.2">
      <c r="A51" s="1441" t="s">
        <v>10273</v>
      </c>
      <c r="B51" s="1442" t="s">
        <v>3181</v>
      </c>
      <c r="C51" s="1443" t="s">
        <v>604</v>
      </c>
      <c r="D51" s="1515">
        <f>'ЛСР 03-02-01 '!N380</f>
        <v>1197686</v>
      </c>
      <c r="E51" s="1515"/>
      <c r="F51" s="1515"/>
      <c r="G51" s="1515"/>
      <c r="H51" s="1474">
        <f t="shared" ref="H51" si="40">(D51+E51)*3.1%</f>
        <v>37128.269999999997</v>
      </c>
      <c r="I51" s="1474">
        <f t="shared" si="18"/>
        <v>6174.07</v>
      </c>
      <c r="J51" s="1474">
        <f t="shared" ref="J51" si="41">-H51*15%</f>
        <v>-5569.24</v>
      </c>
      <c r="K51" s="1474">
        <f t="shared" ref="K51" si="42">SUM(D51:J51)</f>
        <v>1235419.1000000001</v>
      </c>
      <c r="L51" s="1533">
        <f>$G$107</f>
        <v>1.0425435000000001</v>
      </c>
      <c r="M51" s="1474">
        <f t="shared" ref="M51" si="43">K51*L51</f>
        <v>1287978.1499999999</v>
      </c>
      <c r="N51" s="1539">
        <f t="shared" si="26"/>
        <v>1.0281011</v>
      </c>
      <c r="O51" s="1474">
        <f t="shared" ref="O51" si="44">M51*N51</f>
        <v>1324171.75</v>
      </c>
      <c r="P51" s="1474">
        <f>M51+(O51-M51)*(1-$P$13)</f>
        <v>1306074.95</v>
      </c>
      <c r="Q51" s="1474">
        <f t="shared" ref="Q51" si="45">F51*L51*N51*P51/O51</f>
        <v>0</v>
      </c>
    </row>
    <row r="52" spans="1:17" s="456" customFormat="1" outlineLevel="3" x14ac:dyDescent="0.2">
      <c r="A52" s="1441" t="s">
        <v>10274</v>
      </c>
      <c r="B52" s="1442" t="s">
        <v>3182</v>
      </c>
      <c r="C52" s="1443" t="s">
        <v>606</v>
      </c>
      <c r="D52" s="1515">
        <f>'ЛСР 03-02-02'!N398</f>
        <v>1957401</v>
      </c>
      <c r="E52" s="1515"/>
      <c r="F52" s="1515"/>
      <c r="G52" s="1515"/>
      <c r="H52" s="1474">
        <f t="shared" ref="H52:H53" si="46">(D52+E52)*3.1%</f>
        <v>60679.43</v>
      </c>
      <c r="I52" s="1474">
        <f t="shared" si="18"/>
        <v>10090.4</v>
      </c>
      <c r="J52" s="1474">
        <f t="shared" ref="J52:J53" si="47">-H52*15%</f>
        <v>-9101.91</v>
      </c>
      <c r="K52" s="1474">
        <f t="shared" ref="K52:K53" si="48">SUM(D52:J52)</f>
        <v>2019068.92</v>
      </c>
      <c r="L52" s="1533">
        <f>$G$107</f>
        <v>1.0425435000000001</v>
      </c>
      <c r="M52" s="1474">
        <f t="shared" ref="M52:M53" si="49">K52*L52</f>
        <v>2104967.1800000002</v>
      </c>
      <c r="N52" s="1539">
        <f t="shared" si="26"/>
        <v>1.0281011</v>
      </c>
      <c r="O52" s="1474">
        <f t="shared" ref="O52:O53" si="50">M52*N52</f>
        <v>2164119.0699999998</v>
      </c>
      <c r="P52" s="1474">
        <f>M52+(O52-M52)*(1-$P$13)</f>
        <v>2134543.13</v>
      </c>
      <c r="Q52" s="1474">
        <f t="shared" ref="Q52:Q53" si="51">F52*L52*N52*P52/O52</f>
        <v>0</v>
      </c>
    </row>
    <row r="53" spans="1:17" s="456" customFormat="1" ht="25.5" outlineLevel="3" x14ac:dyDescent="0.2">
      <c r="A53" s="1441" t="s">
        <v>10275</v>
      </c>
      <c r="B53" s="1442" t="s">
        <v>3183</v>
      </c>
      <c r="C53" s="1443" t="s">
        <v>609</v>
      </c>
      <c r="D53" s="1515">
        <f>'ЛСР 03-02-03'!N509</f>
        <v>16892</v>
      </c>
      <c r="E53" s="1515">
        <f>'ЛСР 03-02-03'!N515</f>
        <v>486808</v>
      </c>
      <c r="F53" s="1515">
        <f>'ЛСР 03-02-03'!N522</f>
        <v>398963</v>
      </c>
      <c r="G53" s="1515"/>
      <c r="H53" s="1474">
        <f t="shared" si="46"/>
        <v>15614.7</v>
      </c>
      <c r="I53" s="1474">
        <f t="shared" si="18"/>
        <v>2596.5700000000002</v>
      </c>
      <c r="J53" s="1474">
        <f t="shared" si="47"/>
        <v>-2342.21</v>
      </c>
      <c r="K53" s="1474">
        <f t="shared" si="48"/>
        <v>918532.06</v>
      </c>
      <c r="L53" s="1533">
        <f>$G$107</f>
        <v>1.0425435000000001</v>
      </c>
      <c r="M53" s="1474">
        <f t="shared" si="49"/>
        <v>957609.63</v>
      </c>
      <c r="N53" s="1539">
        <f t="shared" si="26"/>
        <v>1.0281011</v>
      </c>
      <c r="O53" s="1474">
        <f t="shared" si="50"/>
        <v>984519.51</v>
      </c>
      <c r="P53" s="1474">
        <f>M53+(O53-M53)*(1-$P$13)</f>
        <v>971064.57</v>
      </c>
      <c r="Q53" s="1474">
        <f t="shared" si="51"/>
        <v>421780.42</v>
      </c>
    </row>
    <row r="54" spans="1:17" s="456" customFormat="1" outlineLevel="2" x14ac:dyDescent="0.2">
      <c r="A54" s="1490" t="s">
        <v>10276</v>
      </c>
      <c r="B54" s="464" t="s">
        <v>6471</v>
      </c>
      <c r="C54" s="464" t="s">
        <v>61</v>
      </c>
      <c r="D54" s="1508">
        <f>SUM(D55:D57)</f>
        <v>1048641</v>
      </c>
      <c r="E54" s="1508">
        <f t="shared" ref="E54:F54" si="52">SUM(E55:E57)</f>
        <v>414711</v>
      </c>
      <c r="F54" s="1508">
        <f t="shared" si="52"/>
        <v>2859201</v>
      </c>
      <c r="G54" s="1514"/>
      <c r="H54" s="1508">
        <f t="shared" ref="H54:Q54" si="53">SUM(H55:H57)</f>
        <v>45363.91</v>
      </c>
      <c r="I54" s="1508">
        <f t="shared" si="53"/>
        <v>7543.58</v>
      </c>
      <c r="J54" s="1508">
        <f t="shared" si="53"/>
        <v>-6804.59</v>
      </c>
      <c r="K54" s="1508">
        <f t="shared" si="53"/>
        <v>4368655.9000000004</v>
      </c>
      <c r="L54" s="1489"/>
      <c r="M54" s="1508">
        <f t="shared" si="53"/>
        <v>4554513.8099999996</v>
      </c>
      <c r="N54" s="1489"/>
      <c r="O54" s="1508">
        <f t="shared" si="53"/>
        <v>4682500.6500000004</v>
      </c>
      <c r="P54" s="1508">
        <f t="shared" si="53"/>
        <v>4618507.24</v>
      </c>
      <c r="Q54" s="1508">
        <f t="shared" si="53"/>
        <v>3022723.89</v>
      </c>
    </row>
    <row r="55" spans="1:17" s="456" customFormat="1" outlineLevel="3" x14ac:dyDescent="0.2">
      <c r="A55" s="1441" t="s">
        <v>10277</v>
      </c>
      <c r="B55" s="1442" t="s">
        <v>3393</v>
      </c>
      <c r="C55" s="1443" t="s">
        <v>604</v>
      </c>
      <c r="D55" s="1515">
        <f>'ЛСР 03-03-01'!N372</f>
        <v>699374</v>
      </c>
      <c r="E55" s="1515">
        <f>'ЛСР 03-03-01'!N379</f>
        <v>118447</v>
      </c>
      <c r="F55" s="1515">
        <f>'ЛСР 03-03-01'!N386</f>
        <v>2517181</v>
      </c>
      <c r="G55" s="1515"/>
      <c r="H55" s="1474">
        <f t="shared" ref="H55" si="54">(D55+E55)*3.1%</f>
        <v>25352.45</v>
      </c>
      <c r="I55" s="1474">
        <f t="shared" si="18"/>
        <v>4215.87</v>
      </c>
      <c r="J55" s="1474">
        <f t="shared" ref="J55" si="55">-H55*15%</f>
        <v>-3802.87</v>
      </c>
      <c r="K55" s="1474">
        <f t="shared" ref="K55" si="56">SUM(D55:J55)</f>
        <v>3360767.45</v>
      </c>
      <c r="L55" s="1533">
        <f>$G$107</f>
        <v>1.0425435000000001</v>
      </c>
      <c r="M55" s="1474">
        <f t="shared" ref="M55" si="57">K55*L55</f>
        <v>3503746.26</v>
      </c>
      <c r="N55" s="1539">
        <f t="shared" si="26"/>
        <v>1.0281011</v>
      </c>
      <c r="O55" s="1474">
        <f t="shared" ref="O55" si="58">M55*N55</f>
        <v>3602205.38</v>
      </c>
      <c r="P55" s="1474">
        <f>M55+(O55-M55)*(1-$P$13)</f>
        <v>3552975.82</v>
      </c>
      <c r="Q55" s="1474">
        <f t="shared" ref="Q55" si="59">F55*L55*N55*P55/O55</f>
        <v>2661143.14</v>
      </c>
    </row>
    <row r="56" spans="1:17" s="456" customFormat="1" outlineLevel="3" x14ac:dyDescent="0.2">
      <c r="A56" s="1441" t="s">
        <v>10278</v>
      </c>
      <c r="B56" s="1442" t="s">
        <v>3394</v>
      </c>
      <c r="C56" s="1443" t="s">
        <v>606</v>
      </c>
      <c r="D56" s="1515">
        <f>'ЛСР 03-03-02'!N349</f>
        <v>333783</v>
      </c>
      <c r="E56" s="1515"/>
      <c r="F56" s="1515"/>
      <c r="G56" s="1515"/>
      <c r="H56" s="1474">
        <f t="shared" ref="H56:H57" si="60">(D56+E56)*3.1%</f>
        <v>10347.27</v>
      </c>
      <c r="I56" s="1474">
        <f t="shared" si="18"/>
        <v>1720.65</v>
      </c>
      <c r="J56" s="1474">
        <f t="shared" ref="J56:J57" si="61">-H56*15%</f>
        <v>-1552.09</v>
      </c>
      <c r="K56" s="1474">
        <f>SUM(D56:J56)</f>
        <v>344298.83</v>
      </c>
      <c r="L56" s="1533">
        <f>$G$107</f>
        <v>1.0425435000000001</v>
      </c>
      <c r="M56" s="1474">
        <f t="shared" ref="M56:M57" si="62">K56*L56</f>
        <v>358946.51</v>
      </c>
      <c r="N56" s="1539">
        <f t="shared" si="26"/>
        <v>1.0281011</v>
      </c>
      <c r="O56" s="1474">
        <f t="shared" ref="O56:O57" si="63">M56*N56</f>
        <v>369033.3</v>
      </c>
      <c r="P56" s="1474">
        <f>M56+(O56-M56)*(1-$P$13)</f>
        <v>363989.91</v>
      </c>
      <c r="Q56" s="1474">
        <f t="shared" ref="Q56:Q57" si="64">F56*L56*N56*P56/O56</f>
        <v>0</v>
      </c>
    </row>
    <row r="57" spans="1:17" s="456" customFormat="1" ht="25.5" outlineLevel="3" x14ac:dyDescent="0.2">
      <c r="A57" s="1441" t="s">
        <v>10279</v>
      </c>
      <c r="B57" s="1442" t="s">
        <v>3395</v>
      </c>
      <c r="C57" s="1443" t="s">
        <v>609</v>
      </c>
      <c r="D57" s="1515">
        <f>'ЛСР 03-03-03'!N392</f>
        <v>15484</v>
      </c>
      <c r="E57" s="1515">
        <f>'ЛСР 03-03-03'!N398</f>
        <v>296264</v>
      </c>
      <c r="F57" s="1515">
        <f>'ЛСР 03-03-03'!N405</f>
        <v>342020</v>
      </c>
      <c r="G57" s="1515"/>
      <c r="H57" s="1474">
        <f t="shared" si="60"/>
        <v>9664.19</v>
      </c>
      <c r="I57" s="1474">
        <f t="shared" si="18"/>
        <v>1607.06</v>
      </c>
      <c r="J57" s="1474">
        <f t="shared" si="61"/>
        <v>-1449.63</v>
      </c>
      <c r="K57" s="1474">
        <f>SUM(D57:J57)</f>
        <v>663589.62</v>
      </c>
      <c r="L57" s="1533">
        <f>$G$107</f>
        <v>1.0425435000000001</v>
      </c>
      <c r="M57" s="1474">
        <f t="shared" si="62"/>
        <v>691821.04</v>
      </c>
      <c r="N57" s="1539">
        <f t="shared" si="26"/>
        <v>1.0281011</v>
      </c>
      <c r="O57" s="1474">
        <f t="shared" si="63"/>
        <v>711261.97</v>
      </c>
      <c r="P57" s="1474">
        <f>M57+(O57-M57)*(1-$P$13)</f>
        <v>701541.51</v>
      </c>
      <c r="Q57" s="1474">
        <f t="shared" si="64"/>
        <v>361580.75</v>
      </c>
    </row>
    <row r="58" spans="1:17" s="456" customFormat="1" outlineLevel="2" x14ac:dyDescent="0.2">
      <c r="A58" s="1490" t="s">
        <v>10280</v>
      </c>
      <c r="B58" s="464" t="s">
        <v>6472</v>
      </c>
      <c r="C58" s="464" t="s">
        <v>3591</v>
      </c>
      <c r="D58" s="1508">
        <f>'ЛСР 03-04-01'!N1028</f>
        <v>339232</v>
      </c>
      <c r="E58" s="1514"/>
      <c r="F58" s="1514"/>
      <c r="G58" s="1514"/>
      <c r="H58" s="1514">
        <f t="shared" ref="H58" si="65">(D58+E58)*3.1%</f>
        <v>10516.19</v>
      </c>
      <c r="I58" s="1514">
        <f t="shared" si="18"/>
        <v>1748.74</v>
      </c>
      <c r="J58" s="1508">
        <f t="shared" ref="J58" si="66">-H58*15%</f>
        <v>-1577.43</v>
      </c>
      <c r="K58" s="1516">
        <f t="shared" ref="K58" si="67">SUM(D58:J58)</f>
        <v>349919.5</v>
      </c>
      <c r="L58" s="1532">
        <f>$G$107</f>
        <v>1.0425435000000001</v>
      </c>
      <c r="M58" s="1516">
        <f t="shared" ref="M58" si="68">K58*L58</f>
        <v>364806.3</v>
      </c>
      <c r="N58" s="1538">
        <f t="shared" si="26"/>
        <v>1.0281011</v>
      </c>
      <c r="O58" s="1516">
        <f t="shared" ref="O58" si="69">M58*N58</f>
        <v>375057.76</v>
      </c>
      <c r="P58" s="1516">
        <f>M58+(O58-M58)*(1-$P$13)</f>
        <v>369932.03</v>
      </c>
      <c r="Q58" s="1516">
        <f t="shared" ref="Q58" si="70">F58*L58*N58*P58/O58</f>
        <v>0</v>
      </c>
    </row>
    <row r="59" spans="1:17" s="456" customFormat="1" outlineLevel="2" x14ac:dyDescent="0.2">
      <c r="A59" s="1490" t="s">
        <v>10281</v>
      </c>
      <c r="B59" s="464" t="s">
        <v>6475</v>
      </c>
      <c r="C59" s="464" t="s">
        <v>6476</v>
      </c>
      <c r="D59" s="1508">
        <f>SUM(D60:D61)</f>
        <v>794491</v>
      </c>
      <c r="E59" s="1508">
        <f t="shared" ref="E59:F59" si="71">SUM(E60:E61)</f>
        <v>397373</v>
      </c>
      <c r="F59" s="1508">
        <f t="shared" si="71"/>
        <v>7021777</v>
      </c>
      <c r="G59" s="1514"/>
      <c r="H59" s="1508">
        <f t="shared" ref="H59:Q59" si="72">SUM(H60:H61)</f>
        <v>36947.79</v>
      </c>
      <c r="I59" s="1508">
        <f t="shared" si="72"/>
        <v>6144.06</v>
      </c>
      <c r="J59" s="1508">
        <f t="shared" si="72"/>
        <v>-5542.17</v>
      </c>
      <c r="K59" s="1508">
        <f t="shared" si="72"/>
        <v>8251190.6799999997</v>
      </c>
      <c r="L59" s="1535"/>
      <c r="M59" s="1508">
        <f t="shared" si="72"/>
        <v>8602225.2100000009</v>
      </c>
      <c r="N59" s="1535"/>
      <c r="O59" s="1508">
        <f t="shared" si="72"/>
        <v>8843957.1999999993</v>
      </c>
      <c r="P59" s="1508">
        <f t="shared" si="72"/>
        <v>8723091.2100000009</v>
      </c>
      <c r="Q59" s="1508">
        <f t="shared" si="72"/>
        <v>7423365.1299999999</v>
      </c>
    </row>
    <row r="60" spans="1:17" s="456" customFormat="1" outlineLevel="3" x14ac:dyDescent="0.2">
      <c r="A60" s="1441" t="s">
        <v>10282</v>
      </c>
      <c r="B60" s="1442" t="s">
        <v>3680</v>
      </c>
      <c r="C60" s="1443" t="s">
        <v>3681</v>
      </c>
      <c r="D60" s="1515">
        <f>'ЛСР 04-01-01'!N529</f>
        <v>737276</v>
      </c>
      <c r="E60" s="1515">
        <f>'ЛСР 04-01-01'!N538</f>
        <v>397373</v>
      </c>
      <c r="F60" s="1515">
        <f>'ЛСР 04-01-01'!N545</f>
        <v>7021777</v>
      </c>
      <c r="G60" s="1515"/>
      <c r="H60" s="1474">
        <f t="shared" ref="H60:H61" si="73">(D60+E60)*3.1%</f>
        <v>35174.120000000003</v>
      </c>
      <c r="I60" s="1474">
        <f t="shared" si="18"/>
        <v>5849.12</v>
      </c>
      <c r="J60" s="1474">
        <f t="shared" ref="J60:J61" si="74">-H60*15%</f>
        <v>-5276.12</v>
      </c>
      <c r="K60" s="1474">
        <f t="shared" ref="K60:K61" si="75">SUM(D60:J60)</f>
        <v>8192173.1200000001</v>
      </c>
      <c r="L60" s="1533">
        <f>$G$107</f>
        <v>1.0425435000000001</v>
      </c>
      <c r="M60" s="1474">
        <f t="shared" ref="M60:M61" si="76">K60*L60</f>
        <v>8540696.8399999999</v>
      </c>
      <c r="N60" s="1539">
        <f t="shared" si="26"/>
        <v>1.0281011</v>
      </c>
      <c r="O60" s="1474">
        <f t="shared" ref="O60:O61" si="77">M60*N60</f>
        <v>8780699.8200000003</v>
      </c>
      <c r="P60" s="1474">
        <f>M60+(O60-M60)*(1-$P$13)</f>
        <v>8660698.3300000001</v>
      </c>
      <c r="Q60" s="1474">
        <f t="shared" ref="Q60:Q61" si="78">F60*L60*N60*P60/O60</f>
        <v>7423365.1299999999</v>
      </c>
    </row>
    <row r="61" spans="1:17" s="456" customFormat="1" outlineLevel="3" x14ac:dyDescent="0.2">
      <c r="A61" s="1441" t="s">
        <v>10283</v>
      </c>
      <c r="B61" s="1442" t="s">
        <v>3682</v>
      </c>
      <c r="C61" s="1443" t="s">
        <v>606</v>
      </c>
      <c r="D61" s="1515">
        <f>'ЛСР 04-01-02'!N244</f>
        <v>57215</v>
      </c>
      <c r="E61" s="1515"/>
      <c r="F61" s="1515"/>
      <c r="G61" s="1515"/>
      <c r="H61" s="1474">
        <f t="shared" si="73"/>
        <v>1773.67</v>
      </c>
      <c r="I61" s="1474">
        <f t="shared" si="18"/>
        <v>294.94</v>
      </c>
      <c r="J61" s="1474">
        <f t="shared" si="74"/>
        <v>-266.05</v>
      </c>
      <c r="K61" s="1474">
        <f t="shared" si="75"/>
        <v>59017.56</v>
      </c>
      <c r="L61" s="1533">
        <f>$G$107</f>
        <v>1.0425435000000001</v>
      </c>
      <c r="M61" s="1474">
        <f t="shared" si="76"/>
        <v>61528.37</v>
      </c>
      <c r="N61" s="1539">
        <f t="shared" si="26"/>
        <v>1.0281011</v>
      </c>
      <c r="O61" s="1474">
        <f t="shared" si="77"/>
        <v>63257.38</v>
      </c>
      <c r="P61" s="1474">
        <f>M61+(O61-M61)*(1-$P$13)</f>
        <v>62392.88</v>
      </c>
      <c r="Q61" s="1474">
        <f t="shared" si="78"/>
        <v>0</v>
      </c>
    </row>
    <row r="62" spans="1:17" s="456" customFormat="1" outlineLevel="2" x14ac:dyDescent="0.2">
      <c r="A62" s="1490" t="s">
        <v>10284</v>
      </c>
      <c r="B62" s="464" t="s">
        <v>6479</v>
      </c>
      <c r="C62" s="464" t="s">
        <v>3771</v>
      </c>
      <c r="D62" s="1508">
        <f>'ЛСР 05-01-01'!N407</f>
        <v>4987757</v>
      </c>
      <c r="E62" s="1508">
        <f>'ЛСР 05-01-01'!N416</f>
        <v>698708</v>
      </c>
      <c r="F62" s="1514">
        <f>'ЛСР 05-01-01'!N423</f>
        <v>11277</v>
      </c>
      <c r="G62" s="1514"/>
      <c r="H62" s="1514">
        <f t="shared" ref="H62" si="79">(D62+E62)*3.1%</f>
        <v>176280.42</v>
      </c>
      <c r="I62" s="1514">
        <f t="shared" si="18"/>
        <v>29313.73</v>
      </c>
      <c r="J62" s="1508">
        <f t="shared" ref="J62" si="80">-H62*15%</f>
        <v>-26442.06</v>
      </c>
      <c r="K62" s="1519">
        <f t="shared" ref="K62" si="81">SUM(D62:J62)</f>
        <v>5876894.0899999999</v>
      </c>
      <c r="L62" s="1499">
        <f>$G$107</f>
        <v>1.0425435000000001</v>
      </c>
      <c r="M62" s="1519">
        <f t="shared" ref="M62" si="82">K62*L62</f>
        <v>6126917.7300000004</v>
      </c>
      <c r="N62" s="1499">
        <f t="shared" si="26"/>
        <v>1.0281011</v>
      </c>
      <c r="O62" s="1519">
        <f t="shared" ref="O62" si="83">M62*N62</f>
        <v>6299090.8600000003</v>
      </c>
      <c r="P62" s="1516">
        <f>M62+(O62-M62)*(1-$P$13)</f>
        <v>6213004.2999999998</v>
      </c>
      <c r="Q62" s="1516">
        <f t="shared" ref="Q62" si="84">F62*L62*N62*P62/O62</f>
        <v>11921.95</v>
      </c>
    </row>
    <row r="63" spans="1:17" s="456" customFormat="1" outlineLevel="2" x14ac:dyDescent="0.2">
      <c r="A63" s="1490" t="s">
        <v>10285</v>
      </c>
      <c r="B63" s="464" t="s">
        <v>6480</v>
      </c>
      <c r="C63" s="464" t="s">
        <v>71</v>
      </c>
      <c r="D63" s="1508">
        <f>SUM(D64:D66)</f>
        <v>994529</v>
      </c>
      <c r="E63" s="1508">
        <f t="shared" ref="E63:F63" si="85">SUM(E64:E66)</f>
        <v>303686</v>
      </c>
      <c r="F63" s="1508">
        <f t="shared" si="85"/>
        <v>333123</v>
      </c>
      <c r="G63" s="1514"/>
      <c r="H63" s="1508">
        <f t="shared" ref="H63:I63" si="86">SUM(H64:H66)</f>
        <v>40244.67</v>
      </c>
      <c r="I63" s="1508">
        <f t="shared" si="86"/>
        <v>6692.3</v>
      </c>
      <c r="J63" s="1508">
        <f t="shared" ref="J63" si="87">SUM(J64:J66)</f>
        <v>-6036.7</v>
      </c>
      <c r="K63" s="1520">
        <f t="shared" ref="K63" si="88">SUM(K64:K66)</f>
        <v>1672238.27</v>
      </c>
      <c r="L63" s="1536"/>
      <c r="M63" s="1520">
        <f t="shared" ref="M63" si="89">SUM(M64:M66)</f>
        <v>1743381.14</v>
      </c>
      <c r="N63" s="1536"/>
      <c r="O63" s="1520">
        <f t="shared" ref="O63" si="90">SUM(O64:O66)</f>
        <v>1792372.06</v>
      </c>
      <c r="P63" s="1508">
        <f t="shared" ref="P63" si="91">SUM(P64:P66)</f>
        <v>1767876.6</v>
      </c>
      <c r="Q63" s="1508">
        <f t="shared" ref="Q63" si="92">SUM(Q64:Q66)</f>
        <v>352174.91</v>
      </c>
    </row>
    <row r="64" spans="1:17" s="456" customFormat="1" outlineLevel="3" x14ac:dyDescent="0.2">
      <c r="A64" s="1441" t="s">
        <v>10286</v>
      </c>
      <c r="B64" s="1442" t="s">
        <v>3886</v>
      </c>
      <c r="C64" s="1443" t="s">
        <v>604</v>
      </c>
      <c r="D64" s="1515">
        <f>'ЛСР 05-02-01'!N375</f>
        <v>693972</v>
      </c>
      <c r="E64" s="1515"/>
      <c r="F64" s="1515"/>
      <c r="G64" s="1515"/>
      <c r="H64" s="1474">
        <f t="shared" ref="H64:H67" si="93">(D64+E64)*3.1%</f>
        <v>21513.13</v>
      </c>
      <c r="I64" s="1474">
        <f t="shared" si="18"/>
        <v>3577.43</v>
      </c>
      <c r="J64" s="1474">
        <f t="shared" ref="J64:J67" si="94">-H64*15%</f>
        <v>-3226.97</v>
      </c>
      <c r="K64" s="1494">
        <f t="shared" ref="K64:K67" si="95">SUM(D64:J64)</f>
        <v>715835.59</v>
      </c>
      <c r="L64" s="1533">
        <f>$G$107</f>
        <v>1.0425435000000001</v>
      </c>
      <c r="M64" s="1494">
        <f t="shared" ref="M64:M67" si="96">K64*L64</f>
        <v>746289.74</v>
      </c>
      <c r="N64" s="1539">
        <f t="shared" si="26"/>
        <v>1.0281011</v>
      </c>
      <c r="O64" s="1494">
        <f t="shared" ref="O64:O67" si="97">M64*N64</f>
        <v>767261.3</v>
      </c>
      <c r="P64" s="1474">
        <f>M64+(O64-M64)*(1-$P$13)</f>
        <v>756775.52</v>
      </c>
      <c r="Q64" s="1474">
        <f t="shared" ref="Q64:Q67" si="98">F64*L64*N64*P64/O64</f>
        <v>0</v>
      </c>
    </row>
    <row r="65" spans="1:17" s="456" customFormat="1" outlineLevel="3" x14ac:dyDescent="0.2">
      <c r="A65" s="1441" t="s">
        <v>10287</v>
      </c>
      <c r="B65" s="1442" t="s">
        <v>3887</v>
      </c>
      <c r="C65" s="1443" t="s">
        <v>1810</v>
      </c>
      <c r="D65" s="1515">
        <f>'ЛСР 05-02-02'!N383</f>
        <v>287888</v>
      </c>
      <c r="E65" s="1515"/>
      <c r="F65" s="1515"/>
      <c r="G65" s="1515"/>
      <c r="H65" s="1474">
        <f t="shared" si="93"/>
        <v>8924.5300000000007</v>
      </c>
      <c r="I65" s="1474">
        <f t="shared" si="18"/>
        <v>1484.06</v>
      </c>
      <c r="J65" s="1474">
        <f t="shared" si="94"/>
        <v>-1338.68</v>
      </c>
      <c r="K65" s="1494">
        <f t="shared" si="95"/>
        <v>296957.90999999997</v>
      </c>
      <c r="L65" s="1533">
        <f>$G$107</f>
        <v>1.0425435000000001</v>
      </c>
      <c r="M65" s="1494">
        <f t="shared" si="96"/>
        <v>309591.53999999998</v>
      </c>
      <c r="N65" s="1539">
        <f t="shared" si="26"/>
        <v>1.0281011</v>
      </c>
      <c r="O65" s="1494">
        <f t="shared" si="97"/>
        <v>318291.40000000002</v>
      </c>
      <c r="P65" s="1474">
        <f>M65+(O65-M65)*(1-$P$13)</f>
        <v>313941.46999999997</v>
      </c>
      <c r="Q65" s="1474">
        <f t="shared" si="98"/>
        <v>0</v>
      </c>
    </row>
    <row r="66" spans="1:17" s="456" customFormat="1" ht="25.5" outlineLevel="3" x14ac:dyDescent="0.2">
      <c r="A66" s="1441" t="s">
        <v>10288</v>
      </c>
      <c r="B66" s="1442" t="s">
        <v>3888</v>
      </c>
      <c r="C66" s="1443" t="s">
        <v>609</v>
      </c>
      <c r="D66" s="1515">
        <f>'ЛСР 05-02-03'!N509</f>
        <v>12669</v>
      </c>
      <c r="E66" s="1515">
        <f>'ЛСР 05-02-03'!N515</f>
        <v>303686</v>
      </c>
      <c r="F66" s="1515">
        <f>'ЛСР 05-02-03'!N522</f>
        <v>333123</v>
      </c>
      <c r="G66" s="1515"/>
      <c r="H66" s="1474">
        <f t="shared" si="93"/>
        <v>9807.01</v>
      </c>
      <c r="I66" s="1474">
        <f t="shared" si="18"/>
        <v>1630.81</v>
      </c>
      <c r="J66" s="1474">
        <f t="shared" si="94"/>
        <v>-1471.05</v>
      </c>
      <c r="K66" s="1494">
        <f t="shared" si="95"/>
        <v>659444.77</v>
      </c>
      <c r="L66" s="1533">
        <f>$G$107</f>
        <v>1.0425435000000001</v>
      </c>
      <c r="M66" s="1494">
        <f t="shared" si="96"/>
        <v>687499.86</v>
      </c>
      <c r="N66" s="1539">
        <f t="shared" si="26"/>
        <v>1.0281011</v>
      </c>
      <c r="O66" s="1494">
        <f t="shared" si="97"/>
        <v>706819.36</v>
      </c>
      <c r="P66" s="1474">
        <f>M66+(O66-M66)*(1-$P$13)</f>
        <v>697159.61</v>
      </c>
      <c r="Q66" s="1474">
        <f t="shared" si="98"/>
        <v>352174.91</v>
      </c>
    </row>
    <row r="67" spans="1:17" s="456" customFormat="1" outlineLevel="2" x14ac:dyDescent="0.2">
      <c r="A67" s="1490" t="s">
        <v>10289</v>
      </c>
      <c r="B67" s="464" t="s">
        <v>6481</v>
      </c>
      <c r="C67" s="464" t="s">
        <v>4060</v>
      </c>
      <c r="D67" s="1508">
        <f>'ЛСР 05-03-01'!N1229</f>
        <v>29649709</v>
      </c>
      <c r="E67" s="1514"/>
      <c r="F67" s="1514"/>
      <c r="G67" s="1514"/>
      <c r="H67" s="1514">
        <f t="shared" si="93"/>
        <v>919140.98</v>
      </c>
      <c r="I67" s="1514">
        <f t="shared" si="18"/>
        <v>152844.25</v>
      </c>
      <c r="J67" s="1508">
        <f t="shared" si="94"/>
        <v>-137871.15</v>
      </c>
      <c r="K67" s="1519">
        <f t="shared" si="95"/>
        <v>30583823.079999998</v>
      </c>
      <c r="L67" s="1499">
        <f>$G$107</f>
        <v>1.0425435000000001</v>
      </c>
      <c r="M67" s="1519">
        <f t="shared" si="96"/>
        <v>31884965.960000001</v>
      </c>
      <c r="N67" s="1499">
        <f t="shared" si="26"/>
        <v>1.0281011</v>
      </c>
      <c r="O67" s="1519">
        <f t="shared" si="97"/>
        <v>32780968.579999998</v>
      </c>
      <c r="P67" s="1516">
        <f>M67+(O67-M67)*(1-$P$13)</f>
        <v>32332967.27</v>
      </c>
      <c r="Q67" s="1516">
        <f t="shared" si="98"/>
        <v>0</v>
      </c>
    </row>
    <row r="68" spans="1:17" s="456" customFormat="1" ht="25.5" outlineLevel="2" x14ac:dyDescent="0.2">
      <c r="A68" s="1490" t="s">
        <v>10290</v>
      </c>
      <c r="B68" s="464" t="s">
        <v>6484</v>
      </c>
      <c r="C68" s="464" t="s">
        <v>78</v>
      </c>
      <c r="D68" s="1508">
        <f>'ЛСР 06-01-01'!N607</f>
        <v>3708208</v>
      </c>
      <c r="E68" s="1514"/>
      <c r="F68" s="1514"/>
      <c r="G68" s="1514"/>
      <c r="H68" s="1514">
        <f t="shared" ref="H68" si="99">(D68+E68)*3.1%</f>
        <v>114954.45</v>
      </c>
      <c r="I68" s="1514">
        <f t="shared" si="18"/>
        <v>19115.810000000001</v>
      </c>
      <c r="J68" s="1508">
        <f t="shared" ref="J68" si="100">-H68*15%</f>
        <v>-17243.169999999998</v>
      </c>
      <c r="K68" s="1519">
        <f t="shared" ref="K68" si="101">SUM(D68:J68)</f>
        <v>3825035.09</v>
      </c>
      <c r="L68" s="1499">
        <f>$G$107</f>
        <v>1.0425435000000001</v>
      </c>
      <c r="M68" s="1519">
        <f t="shared" ref="M68" si="102">K68*L68</f>
        <v>3987765.47</v>
      </c>
      <c r="N68" s="1499">
        <f t="shared" si="26"/>
        <v>1.0281011</v>
      </c>
      <c r="O68" s="1519">
        <f t="shared" ref="O68" si="103">M68*N68</f>
        <v>4099826.07</v>
      </c>
      <c r="P68" s="1516">
        <f>M68+(O68-M68)*(1-$P$13)</f>
        <v>4043795.77</v>
      </c>
      <c r="Q68" s="1516">
        <f t="shared" ref="Q68" si="104">F68*L68*N68*P68/O68</f>
        <v>0</v>
      </c>
    </row>
    <row r="69" spans="1:17" s="456" customFormat="1" ht="25.5" outlineLevel="2" x14ac:dyDescent="0.2">
      <c r="A69" s="1490" t="s">
        <v>10291</v>
      </c>
      <c r="B69" s="464" t="s">
        <v>6485</v>
      </c>
      <c r="C69" s="464" t="s">
        <v>79</v>
      </c>
      <c r="D69" s="1508">
        <f>SUM(D70:D74)</f>
        <v>38559467</v>
      </c>
      <c r="E69" s="1508">
        <f t="shared" ref="E69:F69" si="105">SUM(E70:E74)</f>
        <v>125758</v>
      </c>
      <c r="F69" s="1508">
        <f t="shared" si="105"/>
        <v>5050251</v>
      </c>
      <c r="G69" s="1514"/>
      <c r="H69" s="1508">
        <f t="shared" ref="H69:Q69" si="106">SUM(H70:H74)</f>
        <v>1199241.98</v>
      </c>
      <c r="I69" s="1508">
        <f t="shared" si="106"/>
        <v>199422.32</v>
      </c>
      <c r="J69" s="1508">
        <f t="shared" si="106"/>
        <v>-179886.29</v>
      </c>
      <c r="K69" s="1508">
        <f t="shared" si="106"/>
        <v>44954254.009999998</v>
      </c>
      <c r="L69" s="1499"/>
      <c r="M69" s="1520">
        <f t="shared" si="106"/>
        <v>46866765.310000002</v>
      </c>
      <c r="N69" s="1541"/>
      <c r="O69" s="1508">
        <f t="shared" si="106"/>
        <v>48183772.960000001</v>
      </c>
      <c r="P69" s="1508">
        <f t="shared" si="106"/>
        <v>47525269.159999996</v>
      </c>
      <c r="Q69" s="1508">
        <f t="shared" si="106"/>
        <v>5339084</v>
      </c>
    </row>
    <row r="70" spans="1:17" s="456" customFormat="1" outlineLevel="3" x14ac:dyDescent="0.2">
      <c r="A70" s="1441" t="s">
        <v>10292</v>
      </c>
      <c r="B70" s="1442" t="s">
        <v>4502</v>
      </c>
      <c r="C70" s="1443" t="s">
        <v>79</v>
      </c>
      <c r="D70" s="1515">
        <f>'ЛСР 06-02-01'!N620</f>
        <v>29288006</v>
      </c>
      <c r="E70" s="1515"/>
      <c r="F70" s="1515"/>
      <c r="G70" s="1515"/>
      <c r="H70" s="1474">
        <f t="shared" ref="H70:H74" si="107">(D70+E70)*3.1%</f>
        <v>907928.19</v>
      </c>
      <c r="I70" s="1474">
        <f t="shared" si="18"/>
        <v>150979.67000000001</v>
      </c>
      <c r="J70" s="1474">
        <f t="shared" ref="J70:J74" si="108">-H70*15%</f>
        <v>-136189.23000000001</v>
      </c>
      <c r="K70" s="1474">
        <f t="shared" ref="K70:K74" si="109">SUM(D70:J70)</f>
        <v>30210724.629999999</v>
      </c>
      <c r="L70" s="1533">
        <f>$G$107</f>
        <v>1.0425435000000001</v>
      </c>
      <c r="M70" s="1474">
        <f t="shared" ref="M70:M74" si="110">K70*L70</f>
        <v>31495994.59</v>
      </c>
      <c r="N70" s="1539">
        <f t="shared" si="26"/>
        <v>1.0281011</v>
      </c>
      <c r="O70" s="1474">
        <f t="shared" ref="O70:O74" si="111">M70*N70</f>
        <v>32381066.68</v>
      </c>
      <c r="P70" s="1474">
        <f>M70+(O70-M70)*(1-$P$13)</f>
        <v>31938530.640000001</v>
      </c>
      <c r="Q70" s="1474">
        <f t="shared" ref="Q70:Q74" si="112">F70*L70*N70*P70/O70</f>
        <v>0</v>
      </c>
    </row>
    <row r="71" spans="1:17" s="456" customFormat="1" ht="25.5" outlineLevel="3" x14ac:dyDescent="0.2">
      <c r="A71" s="1441" t="s">
        <v>10293</v>
      </c>
      <c r="B71" s="1442" t="s">
        <v>4503</v>
      </c>
      <c r="C71" s="1443" t="s">
        <v>8911</v>
      </c>
      <c r="D71" s="1515">
        <f>'ЛСР 06-02-02'!N486</f>
        <v>8518493</v>
      </c>
      <c r="E71" s="1515"/>
      <c r="F71" s="1515"/>
      <c r="G71" s="1515"/>
      <c r="H71" s="1474">
        <f t="shared" si="107"/>
        <v>264073.28000000003</v>
      </c>
      <c r="I71" s="1474">
        <f t="shared" si="18"/>
        <v>43912.83</v>
      </c>
      <c r="J71" s="1474">
        <f t="shared" si="108"/>
        <v>-39610.99</v>
      </c>
      <c r="K71" s="1474">
        <f t="shared" si="109"/>
        <v>8786868.1199999992</v>
      </c>
      <c r="L71" s="1533">
        <f>$G$107</f>
        <v>1.0425435000000001</v>
      </c>
      <c r="M71" s="1474">
        <f t="shared" si="110"/>
        <v>9160692.2400000002</v>
      </c>
      <c r="N71" s="1539">
        <f t="shared" si="26"/>
        <v>1.0281011</v>
      </c>
      <c r="O71" s="1474">
        <f t="shared" si="111"/>
        <v>9418117.7699999996</v>
      </c>
      <c r="P71" s="1474">
        <f>M71+(O71-M71)*(1-$P$13)</f>
        <v>9289405.0099999998</v>
      </c>
      <c r="Q71" s="1474">
        <f t="shared" si="112"/>
        <v>0</v>
      </c>
    </row>
    <row r="72" spans="1:17" s="456" customFormat="1" ht="25.5" outlineLevel="3" x14ac:dyDescent="0.2">
      <c r="A72" s="1441" t="s">
        <v>10294</v>
      </c>
      <c r="B72" s="1442" t="s">
        <v>4504</v>
      </c>
      <c r="C72" s="1443" t="s">
        <v>8912</v>
      </c>
      <c r="D72" s="1515">
        <f>'ЛСР 06-02-03'!N251</f>
        <v>92030</v>
      </c>
      <c r="E72" s="1515"/>
      <c r="F72" s="1515"/>
      <c r="G72" s="1515"/>
      <c r="H72" s="1474">
        <f t="shared" si="107"/>
        <v>2852.93</v>
      </c>
      <c r="I72" s="1474">
        <f t="shared" si="18"/>
        <v>474.41</v>
      </c>
      <c r="J72" s="1474">
        <f t="shared" si="108"/>
        <v>-427.94</v>
      </c>
      <c r="K72" s="1474">
        <f t="shared" si="109"/>
        <v>94929.4</v>
      </c>
      <c r="L72" s="1533">
        <f>$G$107</f>
        <v>1.0425435000000001</v>
      </c>
      <c r="M72" s="1474">
        <f t="shared" si="110"/>
        <v>98968.03</v>
      </c>
      <c r="N72" s="1539">
        <f t="shared" si="26"/>
        <v>1.0281011</v>
      </c>
      <c r="O72" s="1474">
        <f t="shared" si="111"/>
        <v>101749.14</v>
      </c>
      <c r="P72" s="1474">
        <f>M72+(O72-M72)*(1-$P$13)</f>
        <v>100358.59</v>
      </c>
      <c r="Q72" s="1474">
        <f t="shared" si="112"/>
        <v>0</v>
      </c>
    </row>
    <row r="73" spans="1:17" s="456" customFormat="1" ht="25.5" outlineLevel="3" x14ac:dyDescent="0.2">
      <c r="A73" s="1441" t="s">
        <v>10295</v>
      </c>
      <c r="B73" s="1442" t="s">
        <v>4505</v>
      </c>
      <c r="C73" s="1443" t="s">
        <v>8914</v>
      </c>
      <c r="D73" s="1515">
        <f>'ЛСР 06-02-04'!N155</f>
        <v>206418</v>
      </c>
      <c r="E73" s="1515"/>
      <c r="F73" s="1515"/>
      <c r="G73" s="1515"/>
      <c r="H73" s="1474">
        <f t="shared" si="107"/>
        <v>6398.96</v>
      </c>
      <c r="I73" s="1474">
        <f t="shared" si="18"/>
        <v>1064.08</v>
      </c>
      <c r="J73" s="1474">
        <f t="shared" si="108"/>
        <v>-959.84</v>
      </c>
      <c r="K73" s="1474">
        <f t="shared" si="109"/>
        <v>212921.2</v>
      </c>
      <c r="L73" s="1533">
        <f>$G$107</f>
        <v>1.0425435000000001</v>
      </c>
      <c r="M73" s="1474">
        <f t="shared" si="110"/>
        <v>221979.61</v>
      </c>
      <c r="N73" s="1539">
        <f t="shared" si="26"/>
        <v>1.0281011</v>
      </c>
      <c r="O73" s="1474">
        <f t="shared" si="111"/>
        <v>228217.48</v>
      </c>
      <c r="P73" s="1474">
        <f>M73+(O73-M73)*(1-$P$13)</f>
        <v>225098.55</v>
      </c>
      <c r="Q73" s="1474">
        <f t="shared" si="112"/>
        <v>0</v>
      </c>
    </row>
    <row r="74" spans="1:17" s="456" customFormat="1" outlineLevel="3" x14ac:dyDescent="0.2">
      <c r="A74" s="1441" t="s">
        <v>10296</v>
      </c>
      <c r="B74" s="1442" t="s">
        <v>4506</v>
      </c>
      <c r="C74" s="1443" t="s">
        <v>4507</v>
      </c>
      <c r="D74" s="1515">
        <f>'ЛСР 06-02-05'!N190</f>
        <v>454520</v>
      </c>
      <c r="E74" s="1515">
        <f>'ЛСР 06-02-05'!N196</f>
        <v>125758</v>
      </c>
      <c r="F74" s="1515">
        <f>'ЛСР 06-02-05'!N203</f>
        <v>5050251</v>
      </c>
      <c r="G74" s="1515"/>
      <c r="H74" s="1474">
        <f t="shared" si="107"/>
        <v>17988.62</v>
      </c>
      <c r="I74" s="1474">
        <f t="shared" si="18"/>
        <v>2991.33</v>
      </c>
      <c r="J74" s="1474">
        <f t="shared" si="108"/>
        <v>-2698.29</v>
      </c>
      <c r="K74" s="1474">
        <f t="shared" si="109"/>
        <v>5648810.6600000001</v>
      </c>
      <c r="L74" s="1533">
        <f>$G$107</f>
        <v>1.0425435000000001</v>
      </c>
      <c r="M74" s="1474">
        <f t="shared" si="110"/>
        <v>5889130.8399999999</v>
      </c>
      <c r="N74" s="1539">
        <f t="shared" si="26"/>
        <v>1.0281011</v>
      </c>
      <c r="O74" s="1474">
        <f t="shared" si="111"/>
        <v>6054621.8899999997</v>
      </c>
      <c r="P74" s="1474">
        <f>M74+(O74-M74)*(1-$P$13)</f>
        <v>5971876.3700000001</v>
      </c>
      <c r="Q74" s="1474">
        <f t="shared" si="112"/>
        <v>5339084</v>
      </c>
    </row>
    <row r="75" spans="1:17" s="456" customFormat="1" outlineLevel="2" x14ac:dyDescent="0.2">
      <c r="A75" s="1490" t="s">
        <v>10297</v>
      </c>
      <c r="B75" s="464" t="s">
        <v>6488</v>
      </c>
      <c r="C75" s="464" t="s">
        <v>90</v>
      </c>
      <c r="D75" s="1508">
        <f>SUM(D76:D79)</f>
        <v>22669032</v>
      </c>
      <c r="E75" s="1514"/>
      <c r="F75" s="1514"/>
      <c r="G75" s="1514"/>
      <c r="H75" s="1508">
        <f>SUM(H76:H79)</f>
        <v>702740</v>
      </c>
      <c r="I75" s="1508">
        <f>SUM(I76:I79)</f>
        <v>116858.85</v>
      </c>
      <c r="J75" s="1508">
        <f>SUM(J76:J79)</f>
        <v>-105411.01</v>
      </c>
      <c r="K75" s="1508">
        <f>SUM(K76:K79)</f>
        <v>23383219.84</v>
      </c>
      <c r="L75" s="1499"/>
      <c r="M75" s="1508">
        <f>SUM(M76:M79)</f>
        <v>24378023.850000001</v>
      </c>
      <c r="N75" s="1499"/>
      <c r="O75" s="1508">
        <f>SUM(O76:O79)</f>
        <v>25063073.140000001</v>
      </c>
      <c r="P75" s="1508">
        <f>SUM(P76:P79)</f>
        <v>24720548.510000002</v>
      </c>
      <c r="Q75" s="1508">
        <f>SUM(Q76:Q79)</f>
        <v>0</v>
      </c>
    </row>
    <row r="76" spans="1:17" s="456" customFormat="1" outlineLevel="3" x14ac:dyDescent="0.2">
      <c r="A76" s="1441" t="s">
        <v>10298</v>
      </c>
      <c r="B76" s="1442" t="s">
        <v>5056</v>
      </c>
      <c r="C76" s="1443" t="s">
        <v>5057</v>
      </c>
      <c r="D76" s="1515">
        <f>'ЛСР 07-01-01'!N181</f>
        <v>7847966</v>
      </c>
      <c r="E76" s="1515"/>
      <c r="F76" s="1515"/>
      <c r="G76" s="1515"/>
      <c r="H76" s="1474">
        <f t="shared" ref="H76:H77" si="113">(D76+E76)*3.1%</f>
        <v>243286.95</v>
      </c>
      <c r="I76" s="1474">
        <f t="shared" ref="I76:I77" si="114">(D76+E76+H76)*0.5%</f>
        <v>40456.26</v>
      </c>
      <c r="J76" s="1474">
        <f t="shared" ref="J76:J77" si="115">-H76*15%</f>
        <v>-36493.040000000001</v>
      </c>
      <c r="K76" s="1474">
        <f t="shared" ref="K76:K77" si="116">SUM(D76:J76)</f>
        <v>8095216.1699999999</v>
      </c>
      <c r="L76" s="1533">
        <f>$G$107</f>
        <v>1.0425435000000001</v>
      </c>
      <c r="M76" s="1474">
        <f t="shared" ref="M76:M77" si="117">K76*L76</f>
        <v>8439615</v>
      </c>
      <c r="N76" s="1539">
        <f t="shared" si="26"/>
        <v>1.0281011</v>
      </c>
      <c r="O76" s="1474">
        <f t="shared" ref="O76:O77" si="118">M76*N76</f>
        <v>8676777.4700000007</v>
      </c>
      <c r="P76" s="1474">
        <f>M76+(O76-M76)*(1-$P$13)</f>
        <v>8558196.2400000002</v>
      </c>
      <c r="Q76" s="1474">
        <f t="shared" ref="Q76:Q77" si="119">F76*L76*N76*P76/O76</f>
        <v>0</v>
      </c>
    </row>
    <row r="77" spans="1:17" s="456" customFormat="1" outlineLevel="3" x14ac:dyDescent="0.2">
      <c r="A77" s="1441" t="s">
        <v>10299</v>
      </c>
      <c r="B77" s="1442" t="s">
        <v>5058</v>
      </c>
      <c r="C77" s="1443" t="s">
        <v>5059</v>
      </c>
      <c r="D77" s="1515">
        <f>'ЛСР 07-01-02'!N173</f>
        <v>2215096</v>
      </c>
      <c r="E77" s="1515"/>
      <c r="F77" s="1515"/>
      <c r="G77" s="1515"/>
      <c r="H77" s="1474">
        <f t="shared" si="113"/>
        <v>68667.98</v>
      </c>
      <c r="I77" s="1474">
        <f t="shared" si="114"/>
        <v>11418.82</v>
      </c>
      <c r="J77" s="1474">
        <f t="shared" si="115"/>
        <v>-10300.200000000001</v>
      </c>
      <c r="K77" s="1474">
        <f t="shared" si="116"/>
        <v>2284882.6</v>
      </c>
      <c r="L77" s="1533">
        <f>$G$107</f>
        <v>1.0425435000000001</v>
      </c>
      <c r="M77" s="1474">
        <f t="shared" si="117"/>
        <v>2382089.5</v>
      </c>
      <c r="N77" s="1539">
        <f t="shared" si="26"/>
        <v>1.0281011</v>
      </c>
      <c r="O77" s="1474">
        <f t="shared" si="118"/>
        <v>2449028.84</v>
      </c>
      <c r="P77" s="1474">
        <f>M77+(O77-M77)*(1-$P$13)</f>
        <v>2415559.17</v>
      </c>
      <c r="Q77" s="1474">
        <f t="shared" si="119"/>
        <v>0</v>
      </c>
    </row>
    <row r="78" spans="1:17" s="456" customFormat="1" outlineLevel="3" x14ac:dyDescent="0.2">
      <c r="A78" s="1441" t="s">
        <v>10300</v>
      </c>
      <c r="B78" s="1442" t="s">
        <v>5060</v>
      </c>
      <c r="C78" s="1443" t="s">
        <v>5061</v>
      </c>
      <c r="D78" s="1515">
        <f>'ЛСР 07-01-03'!N70</f>
        <v>323900</v>
      </c>
      <c r="E78" s="1515"/>
      <c r="F78" s="1515"/>
      <c r="G78" s="1515"/>
      <c r="H78" s="1474">
        <f t="shared" ref="H78:H79" si="120">(D78+E78)*3.1%</f>
        <v>10040.9</v>
      </c>
      <c r="I78" s="1474">
        <f t="shared" ref="I78:I79" si="121">(D78+E78+H78)*0.5%</f>
        <v>1669.7</v>
      </c>
      <c r="J78" s="1474">
        <f t="shared" ref="J78:J79" si="122">-H78*15%</f>
        <v>-1506.14</v>
      </c>
      <c r="K78" s="1474">
        <f t="shared" ref="K78:K79" si="123">SUM(D78:J78)</f>
        <v>334104.46000000002</v>
      </c>
      <c r="L78" s="1533">
        <f t="shared" ref="L78:L82" si="124">$G$107</f>
        <v>1.0425435000000001</v>
      </c>
      <c r="M78" s="1474">
        <f t="shared" ref="M78:M79" si="125">K78*L78</f>
        <v>348318.43</v>
      </c>
      <c r="N78" s="1539">
        <f t="shared" si="26"/>
        <v>1.0281011</v>
      </c>
      <c r="O78" s="1474">
        <f t="shared" ref="O78:O79" si="126">M78*N78</f>
        <v>358106.56</v>
      </c>
      <c r="P78" s="1474">
        <f>M78+(O78-M78)*(1-$P$13)</f>
        <v>353212.5</v>
      </c>
      <c r="Q78" s="1474">
        <f t="shared" ref="Q78:Q79" si="127">F78*L78*N78*P78/O78</f>
        <v>0</v>
      </c>
    </row>
    <row r="79" spans="1:17" s="456" customFormat="1" outlineLevel="3" x14ac:dyDescent="0.2">
      <c r="A79" s="1441" t="s">
        <v>10301</v>
      </c>
      <c r="B79" s="1442" t="s">
        <v>5062</v>
      </c>
      <c r="C79" s="1443" t="s">
        <v>98</v>
      </c>
      <c r="D79" s="1515">
        <f>'ЛСР 07-01-04'!N333</f>
        <v>12282070</v>
      </c>
      <c r="E79" s="1515"/>
      <c r="F79" s="1515"/>
      <c r="G79" s="1515"/>
      <c r="H79" s="1474">
        <f t="shared" si="120"/>
        <v>380744.17</v>
      </c>
      <c r="I79" s="1474">
        <f t="shared" si="121"/>
        <v>63314.07</v>
      </c>
      <c r="J79" s="1474">
        <f t="shared" si="122"/>
        <v>-57111.63</v>
      </c>
      <c r="K79" s="1474">
        <f t="shared" si="123"/>
        <v>12669016.609999999</v>
      </c>
      <c r="L79" s="1533">
        <f t="shared" si="124"/>
        <v>1.0425435000000001</v>
      </c>
      <c r="M79" s="1474">
        <f t="shared" si="125"/>
        <v>13208000.92</v>
      </c>
      <c r="N79" s="1539">
        <f t="shared" si="26"/>
        <v>1.0281011</v>
      </c>
      <c r="O79" s="1474">
        <f t="shared" si="126"/>
        <v>13579160.27</v>
      </c>
      <c r="P79" s="1474">
        <f>M79+(O79-M79)*(1-$P$13)</f>
        <v>13393580.6</v>
      </c>
      <c r="Q79" s="1474">
        <f t="shared" si="127"/>
        <v>0</v>
      </c>
    </row>
    <row r="80" spans="1:17" s="456" customFormat="1" outlineLevel="2" x14ac:dyDescent="0.2">
      <c r="A80" s="1490" t="s">
        <v>10302</v>
      </c>
      <c r="B80" s="464" t="s">
        <v>6670</v>
      </c>
      <c r="C80" s="464" t="s">
        <v>100</v>
      </c>
      <c r="D80" s="1508">
        <f>SUM(D81:D82)</f>
        <v>6099747</v>
      </c>
      <c r="E80" s="1508">
        <f t="shared" ref="E80:Q80" si="128">SUM(E81:E82)</f>
        <v>13979240</v>
      </c>
      <c r="F80" s="1508">
        <f t="shared" si="128"/>
        <v>125855</v>
      </c>
      <c r="G80" s="1514"/>
      <c r="H80" s="1508">
        <f t="shared" si="128"/>
        <v>622448.59</v>
      </c>
      <c r="I80" s="1508">
        <f t="shared" si="128"/>
        <v>103507.18</v>
      </c>
      <c r="J80" s="1508">
        <f t="shared" si="128"/>
        <v>-93367.28</v>
      </c>
      <c r="K80" s="1508">
        <f t="shared" si="128"/>
        <v>20837430.489999998</v>
      </c>
      <c r="L80" s="1499"/>
      <c r="M80" s="1508">
        <f t="shared" si="128"/>
        <v>21723927.710000001</v>
      </c>
      <c r="N80" s="1499"/>
      <c r="O80" s="1508">
        <f t="shared" si="128"/>
        <v>22334393.98</v>
      </c>
      <c r="P80" s="1508">
        <f t="shared" si="128"/>
        <v>22029160.850000001</v>
      </c>
      <c r="Q80" s="1508">
        <f t="shared" si="128"/>
        <v>133052.88</v>
      </c>
    </row>
    <row r="81" spans="1:18" s="456" customFormat="1" outlineLevel="3" x14ac:dyDescent="0.2">
      <c r="A81" s="1441" t="s">
        <v>10303</v>
      </c>
      <c r="B81" s="1442" t="s">
        <v>7069</v>
      </c>
      <c r="C81" s="1443" t="s">
        <v>100</v>
      </c>
      <c r="D81" s="1515">
        <f>'ЛСР 07-02-01'!N877</f>
        <v>6057295</v>
      </c>
      <c r="E81" s="1515">
        <f>'ЛСР 07-02-01'!N886</f>
        <v>13882278</v>
      </c>
      <c r="F81" s="1515">
        <f>'ЛСР 07-02-01'!N893</f>
        <v>125855</v>
      </c>
      <c r="G81" s="1515"/>
      <c r="H81" s="1474">
        <f t="shared" ref="H81:H84" si="129">(D81+E81)*3.1%</f>
        <v>618126.76</v>
      </c>
      <c r="I81" s="1474">
        <f t="shared" ref="I81:I84" si="130">(D81+E81+H81)*0.5%</f>
        <v>102788.5</v>
      </c>
      <c r="J81" s="1474">
        <f t="shared" ref="J81:J84" si="131">-H81*15%</f>
        <v>-92719.01</v>
      </c>
      <c r="K81" s="1474">
        <f t="shared" ref="K81:K84" si="132">SUM(D81:J81)</f>
        <v>20693624.25</v>
      </c>
      <c r="L81" s="1533">
        <f t="shared" si="124"/>
        <v>1.0425435000000001</v>
      </c>
      <c r="M81" s="1474">
        <f t="shared" ref="M81:M87" si="133">K81*L81</f>
        <v>21574003.449999999</v>
      </c>
      <c r="N81" s="1539">
        <f t="shared" si="26"/>
        <v>1.0281011</v>
      </c>
      <c r="O81" s="1474">
        <f t="shared" ref="O81:O87" si="134">M81*N81</f>
        <v>22180256.68</v>
      </c>
      <c r="P81" s="1474">
        <f>M81+(O81-M81)*(1-$P$13)</f>
        <v>21877130.07</v>
      </c>
      <c r="Q81" s="1474">
        <f t="shared" ref="Q81:Q87" si="135">F81*L81*N81*P81/O81</f>
        <v>133052.88</v>
      </c>
    </row>
    <row r="82" spans="1:18" s="456" customFormat="1" outlineLevel="3" x14ac:dyDescent="0.2">
      <c r="A82" s="1441" t="s">
        <v>10304</v>
      </c>
      <c r="B82" s="1442" t="s">
        <v>7070</v>
      </c>
      <c r="C82" s="1443" t="s">
        <v>7071</v>
      </c>
      <c r="D82" s="1515">
        <f>'ЛСР 07-02-02'!N398</f>
        <v>42452</v>
      </c>
      <c r="E82" s="1515">
        <f>'ЛСР 07-02-02'!N407</f>
        <v>96962</v>
      </c>
      <c r="F82" s="1515"/>
      <c r="G82" s="1515"/>
      <c r="H82" s="1474">
        <f t="shared" si="129"/>
        <v>4321.83</v>
      </c>
      <c r="I82" s="1474">
        <f t="shared" si="130"/>
        <v>718.68</v>
      </c>
      <c r="J82" s="1474">
        <f t="shared" si="131"/>
        <v>-648.27</v>
      </c>
      <c r="K82" s="1474">
        <f t="shared" si="132"/>
        <v>143806.24</v>
      </c>
      <c r="L82" s="1533">
        <f t="shared" si="124"/>
        <v>1.0425435000000001</v>
      </c>
      <c r="M82" s="1474">
        <f t="shared" si="133"/>
        <v>149924.26</v>
      </c>
      <c r="N82" s="1539">
        <f t="shared" si="26"/>
        <v>1.0281011</v>
      </c>
      <c r="O82" s="1474">
        <f t="shared" si="134"/>
        <v>154137.29999999999</v>
      </c>
      <c r="P82" s="1474">
        <f>M82+(O82-M82)*(1-$P$13)</f>
        <v>152030.78</v>
      </c>
      <c r="Q82" s="1474">
        <f t="shared" si="135"/>
        <v>0</v>
      </c>
    </row>
    <row r="83" spans="1:18" s="456" customFormat="1" ht="25.5" outlineLevel="2" x14ac:dyDescent="0.2">
      <c r="A83" s="1490" t="s">
        <v>10305</v>
      </c>
      <c r="B83" s="464" t="s">
        <v>6499</v>
      </c>
      <c r="C83" s="464" t="s">
        <v>101</v>
      </c>
      <c r="D83" s="1514"/>
      <c r="E83" s="1514"/>
      <c r="F83" s="1514"/>
      <c r="G83" s="1514">
        <f>'Расчет 09-01-01'!D15</f>
        <v>1070060.27</v>
      </c>
      <c r="H83" s="1514">
        <f t="shared" si="129"/>
        <v>0</v>
      </c>
      <c r="I83" s="1514">
        <f t="shared" si="130"/>
        <v>0</v>
      </c>
      <c r="J83" s="1508">
        <f t="shared" si="131"/>
        <v>0</v>
      </c>
      <c r="K83" s="1519">
        <f t="shared" si="132"/>
        <v>1070060.27</v>
      </c>
      <c r="L83" s="1499">
        <f>$G$107</f>
        <v>1.0425435000000001</v>
      </c>
      <c r="M83" s="1519">
        <f t="shared" si="133"/>
        <v>1115584.3799999999</v>
      </c>
      <c r="N83" s="1499">
        <f t="shared" si="26"/>
        <v>1.0281011</v>
      </c>
      <c r="O83" s="1519">
        <f t="shared" si="134"/>
        <v>1146933.53</v>
      </c>
      <c r="P83" s="1516">
        <f>M83+(O83-M83)*(1-$P$13)</f>
        <v>1131258.96</v>
      </c>
      <c r="Q83" s="1516">
        <f t="shared" si="135"/>
        <v>0</v>
      </c>
    </row>
    <row r="84" spans="1:18" s="456" customFormat="1" ht="25.5" outlineLevel="2" x14ac:dyDescent="0.2">
      <c r="A84" s="1490" t="s">
        <v>10306</v>
      </c>
      <c r="B84" s="464" t="s">
        <v>6500</v>
      </c>
      <c r="C84" s="464" t="s">
        <v>102</v>
      </c>
      <c r="D84" s="1514"/>
      <c r="E84" s="1514"/>
      <c r="F84" s="1514"/>
      <c r="G84" s="1514">
        <f>'Расчет 09-02-01'!D13</f>
        <v>11546.5</v>
      </c>
      <c r="H84" s="1514">
        <f t="shared" si="129"/>
        <v>0</v>
      </c>
      <c r="I84" s="1514">
        <f t="shared" si="130"/>
        <v>0</v>
      </c>
      <c r="J84" s="1508">
        <f t="shared" si="131"/>
        <v>0</v>
      </c>
      <c r="K84" s="1519">
        <f t="shared" si="132"/>
        <v>11546.5</v>
      </c>
      <c r="L84" s="1499">
        <f>$G$107</f>
        <v>1.0425435000000001</v>
      </c>
      <c r="M84" s="1519">
        <f t="shared" si="133"/>
        <v>12037.73</v>
      </c>
      <c r="N84" s="1499">
        <f t="shared" si="26"/>
        <v>1.0281011</v>
      </c>
      <c r="O84" s="1519">
        <f t="shared" si="134"/>
        <v>12376</v>
      </c>
      <c r="P84" s="1516">
        <f>M84+(O84-M84)*(1-$P$13)</f>
        <v>12206.87</v>
      </c>
      <c r="Q84" s="1516">
        <f t="shared" si="135"/>
        <v>0</v>
      </c>
    </row>
    <row r="85" spans="1:18" s="456" customFormat="1" outlineLevel="2" x14ac:dyDescent="0.2">
      <c r="A85" s="1490" t="s">
        <v>10307</v>
      </c>
      <c r="B85" s="464" t="s">
        <v>6501</v>
      </c>
      <c r="C85" s="464" t="s">
        <v>103</v>
      </c>
      <c r="D85" s="1514"/>
      <c r="E85" s="1514"/>
      <c r="F85" s="1514"/>
      <c r="G85" s="1518">
        <f>SUM(G86:G87)</f>
        <v>7611363.7999999998</v>
      </c>
      <c r="H85" s="1514">
        <f>SUM(H86:H87)</f>
        <v>0</v>
      </c>
      <c r="I85" s="1514">
        <f>SUM(I86:I87)</f>
        <v>0</v>
      </c>
      <c r="J85" s="1514">
        <f>SUM(J86:J87)</f>
        <v>0</v>
      </c>
      <c r="K85" s="1514">
        <f>SUM(K86:K87)</f>
        <v>7611363.7999999998</v>
      </c>
      <c r="L85" s="1499"/>
      <c r="M85" s="1514">
        <f>SUM(M86:M87)</f>
        <v>7648302.7800000003</v>
      </c>
      <c r="N85" s="1499"/>
      <c r="O85" s="1514">
        <f>SUM(O86:O87)</f>
        <v>7673739.9699999997</v>
      </c>
      <c r="P85" s="1514">
        <f>SUM(P86:P87)</f>
        <v>7661021.3799999999</v>
      </c>
      <c r="Q85" s="1514">
        <f>SUM(Q86:Q87)</f>
        <v>0</v>
      </c>
    </row>
    <row r="86" spans="1:18" s="456" customFormat="1" ht="25.5" outlineLevel="3" x14ac:dyDescent="0.2">
      <c r="A86" s="1548" t="s">
        <v>10308</v>
      </c>
      <c r="B86" s="1498" t="s">
        <v>6501</v>
      </c>
      <c r="C86" s="1498" t="s">
        <v>10228</v>
      </c>
      <c r="D86" s="1521"/>
      <c r="E86" s="1521"/>
      <c r="F86" s="1521"/>
      <c r="G86" s="1522">
        <f>'Расчет 09-03-01'!E42</f>
        <v>868263.8</v>
      </c>
      <c r="H86" s="1521"/>
      <c r="I86" s="1521"/>
      <c r="J86" s="1523"/>
      <c r="K86" s="1524">
        <f>SUM(D86:J86)</f>
        <v>868263.8</v>
      </c>
      <c r="L86" s="1499">
        <f>$G$107</f>
        <v>1.0425435000000001</v>
      </c>
      <c r="M86" s="1474">
        <f t="shared" si="133"/>
        <v>905202.78</v>
      </c>
      <c r="N86" s="1499">
        <f t="shared" si="26"/>
        <v>1.0281011</v>
      </c>
      <c r="O86" s="1474">
        <f t="shared" si="134"/>
        <v>930639.97</v>
      </c>
      <c r="P86" s="1474">
        <f>M86+(O86-M86)*(1-$P$13)</f>
        <v>917921.38</v>
      </c>
      <c r="Q86" s="1474">
        <f t="shared" si="135"/>
        <v>0</v>
      </c>
    </row>
    <row r="87" spans="1:18" s="456" customFormat="1" ht="25.5" outlineLevel="3" x14ac:dyDescent="0.25">
      <c r="A87" s="1548" t="s">
        <v>10309</v>
      </c>
      <c r="B87" s="1498" t="s">
        <v>6501</v>
      </c>
      <c r="C87" s="1498" t="s">
        <v>10229</v>
      </c>
      <c r="D87" s="1521"/>
      <c r="E87" s="1521"/>
      <c r="F87" s="1521"/>
      <c r="G87" s="1525">
        <f>'Расчет 09-03-01'!F51</f>
        <v>6743100</v>
      </c>
      <c r="H87" s="1521"/>
      <c r="I87" s="1521"/>
      <c r="J87" s="1523"/>
      <c r="K87" s="1524">
        <f>SUM(D87:J87)</f>
        <v>6743100</v>
      </c>
      <c r="L87" s="1622">
        <v>1</v>
      </c>
      <c r="M87" s="1474">
        <f t="shared" si="133"/>
        <v>6743100</v>
      </c>
      <c r="N87" s="1622">
        <v>1</v>
      </c>
      <c r="O87" s="1474">
        <f t="shared" si="134"/>
        <v>6743100</v>
      </c>
      <c r="P87" s="1474">
        <f>M87+(O87-M87)*(1-$P$13)</f>
        <v>6743100</v>
      </c>
      <c r="Q87" s="1474">
        <f t="shared" si="135"/>
        <v>0</v>
      </c>
      <c r="R87" s="456" t="s">
        <v>10395</v>
      </c>
    </row>
    <row r="88" spans="1:18" s="456" customFormat="1" ht="25.5" outlineLevel="2" x14ac:dyDescent="0.2">
      <c r="A88" s="1490" t="s">
        <v>10310</v>
      </c>
      <c r="B88" s="464" t="s">
        <v>6502</v>
      </c>
      <c r="C88" s="464" t="s">
        <v>104</v>
      </c>
      <c r="D88" s="1514"/>
      <c r="E88" s="1514"/>
      <c r="F88" s="1514"/>
      <c r="G88" s="1514">
        <f>SUM(G89:G90)</f>
        <v>68710</v>
      </c>
      <c r="H88" s="1514">
        <f>SUM(H89:H90)</f>
        <v>0</v>
      </c>
      <c r="I88" s="1514">
        <f>SUM(I89:I90)</f>
        <v>0</v>
      </c>
      <c r="J88" s="1514">
        <f>SUM(J89:J90)</f>
        <v>0</v>
      </c>
      <c r="K88" s="1526">
        <f>SUM(K89:K90)</f>
        <v>68710</v>
      </c>
      <c r="L88" s="1499"/>
      <c r="M88" s="1526">
        <f>SUM(M89:M90)</f>
        <v>71633.16</v>
      </c>
      <c r="N88" s="1489"/>
      <c r="O88" s="1526">
        <f>SUM(O89:O90)</f>
        <v>73646.13</v>
      </c>
      <c r="P88" s="1514">
        <f>SUM(P89:P90)</f>
        <v>72639.649999999994</v>
      </c>
      <c r="Q88" s="1514">
        <f>SUM(Q89:Q90)</f>
        <v>0</v>
      </c>
    </row>
    <row r="89" spans="1:18" s="456" customFormat="1" outlineLevel="3" x14ac:dyDescent="0.2">
      <c r="A89" s="1441" t="s">
        <v>10311</v>
      </c>
      <c r="B89" s="1442" t="s">
        <v>5735</v>
      </c>
      <c r="C89" s="1443" t="s">
        <v>5736</v>
      </c>
      <c r="D89" s="1515"/>
      <c r="E89" s="1515"/>
      <c r="F89" s="1515"/>
      <c r="G89" s="1515">
        <f>'ЛСР 09-04-01'!N80</f>
        <v>45753</v>
      </c>
      <c r="H89" s="1474">
        <f t="shared" ref="H89:H91" si="136">(D89+E89)*3.1%</f>
        <v>0</v>
      </c>
      <c r="I89" s="1474">
        <f t="shared" ref="I89:I91" si="137">(D89+E89+H89)*0.5%</f>
        <v>0</v>
      </c>
      <c r="J89" s="1474">
        <f t="shared" ref="J89:J91" si="138">-H89*15%</f>
        <v>0</v>
      </c>
      <c r="K89" s="1494">
        <f t="shared" ref="K89:K91" si="139">SUM(D89:J89)</f>
        <v>45753</v>
      </c>
      <c r="L89" s="1533">
        <f t="shared" ref="L89:L90" si="140">$G$107</f>
        <v>1.0425435000000001</v>
      </c>
      <c r="M89" s="1494">
        <f t="shared" ref="M89:M91" si="141">K89*L89</f>
        <v>47699.49</v>
      </c>
      <c r="N89" s="1539">
        <f t="shared" ref="N89:N92" si="142">$F$128</f>
        <v>1.0281011</v>
      </c>
      <c r="O89" s="1494">
        <f t="shared" ref="O89:O91" si="143">M89*N89</f>
        <v>49039.9</v>
      </c>
      <c r="P89" s="1474">
        <f>M89+(O89-M89)*(1-$P$13)</f>
        <v>48369.7</v>
      </c>
      <c r="Q89" s="1474">
        <f t="shared" ref="Q89:Q91" si="144">F89*L89*N89*P89/O89</f>
        <v>0</v>
      </c>
    </row>
    <row r="90" spans="1:18" s="456" customFormat="1" outlineLevel="3" x14ac:dyDescent="0.2">
      <c r="A90" s="1441" t="s">
        <v>10312</v>
      </c>
      <c r="B90" s="1442" t="s">
        <v>5737</v>
      </c>
      <c r="C90" s="1443" t="s">
        <v>5738</v>
      </c>
      <c r="D90" s="1515"/>
      <c r="E90" s="1515"/>
      <c r="F90" s="1515"/>
      <c r="G90" s="1515">
        <f>'ЛСР 09-04-02 '!N135</f>
        <v>22957</v>
      </c>
      <c r="H90" s="1474">
        <f t="shared" si="136"/>
        <v>0</v>
      </c>
      <c r="I90" s="1474">
        <f t="shared" si="137"/>
        <v>0</v>
      </c>
      <c r="J90" s="1474">
        <f t="shared" si="138"/>
        <v>0</v>
      </c>
      <c r="K90" s="1494">
        <f t="shared" si="139"/>
        <v>22957</v>
      </c>
      <c r="L90" s="1533">
        <f t="shared" si="140"/>
        <v>1.0425435000000001</v>
      </c>
      <c r="M90" s="1494">
        <f t="shared" si="141"/>
        <v>23933.67</v>
      </c>
      <c r="N90" s="1539">
        <f t="shared" ref="N90" si="145">$F$128</f>
        <v>1.0281011</v>
      </c>
      <c r="O90" s="1494">
        <f t="shared" si="143"/>
        <v>24606.23</v>
      </c>
      <c r="P90" s="1474">
        <f>M90+(O90-M90)*(1-$P$13)</f>
        <v>24269.95</v>
      </c>
      <c r="Q90" s="1474">
        <f t="shared" si="144"/>
        <v>0</v>
      </c>
    </row>
    <row r="91" spans="1:18" s="456" customFormat="1" ht="25.5" outlineLevel="2" x14ac:dyDescent="0.2">
      <c r="A91" s="1490" t="s">
        <v>10313</v>
      </c>
      <c r="B91" s="464" t="s">
        <v>6503</v>
      </c>
      <c r="C91" s="464" t="s">
        <v>110</v>
      </c>
      <c r="D91" s="1514"/>
      <c r="E91" s="1514"/>
      <c r="F91" s="1514"/>
      <c r="G91" s="1514">
        <f>'Расчет 09-05-01'!D14</f>
        <v>627814.03</v>
      </c>
      <c r="H91" s="1514">
        <f t="shared" si="136"/>
        <v>0</v>
      </c>
      <c r="I91" s="1514">
        <f t="shared" si="137"/>
        <v>0</v>
      </c>
      <c r="J91" s="1508">
        <f t="shared" si="138"/>
        <v>0</v>
      </c>
      <c r="K91" s="1519">
        <f t="shared" si="139"/>
        <v>627814.03</v>
      </c>
      <c r="L91" s="1499">
        <f>$G$107</f>
        <v>1.0425435000000001</v>
      </c>
      <c r="M91" s="1519">
        <f t="shared" si="141"/>
        <v>654523.43999999994</v>
      </c>
      <c r="N91" s="1499">
        <f t="shared" si="142"/>
        <v>1.0281011</v>
      </c>
      <c r="O91" s="1519">
        <f t="shared" si="143"/>
        <v>672916.27</v>
      </c>
      <c r="P91" s="1516">
        <f>M91+(O91-M91)*(1-$P$13)</f>
        <v>663719.86</v>
      </c>
      <c r="Q91" s="1516">
        <f t="shared" si="144"/>
        <v>0</v>
      </c>
    </row>
    <row r="92" spans="1:18" ht="25.5" outlineLevel="2" x14ac:dyDescent="0.2">
      <c r="A92" s="1490" t="s">
        <v>10314</v>
      </c>
      <c r="B92" s="27" t="s">
        <v>6523</v>
      </c>
      <c r="C92" s="28" t="s">
        <v>10206</v>
      </c>
      <c r="D92" s="1527">
        <f t="shared" ref="D92:I92" si="146">(D20+D23+D27+D28+D29+D37+D50+D54+D58+D59+D62+D63+D67+D68+D69+D75+D80+D83+D84+D85+D88+D91)*2%</f>
        <v>4733331.54</v>
      </c>
      <c r="E92" s="1527">
        <f t="shared" si="146"/>
        <v>392957.52</v>
      </c>
      <c r="F92" s="1527">
        <f t="shared" si="146"/>
        <v>791726.48</v>
      </c>
      <c r="G92" s="1527">
        <f t="shared" si="146"/>
        <v>190778.98</v>
      </c>
      <c r="H92" s="1527">
        <f t="shared" si="146"/>
        <v>158914.96</v>
      </c>
      <c r="I92" s="1527">
        <f t="shared" si="146"/>
        <v>26426.02</v>
      </c>
      <c r="J92" s="1527"/>
      <c r="K92" s="1496">
        <f>SUM(D92:J92)</f>
        <v>6294135.5</v>
      </c>
      <c r="L92" s="1530">
        <f>$G$107</f>
        <v>1.0425435000000001</v>
      </c>
      <c r="M92" s="1496">
        <f t="shared" ref="M92" si="147">K92*L92</f>
        <v>6561910.0499999998</v>
      </c>
      <c r="N92" s="1499">
        <f t="shared" si="142"/>
        <v>1.0281011</v>
      </c>
      <c r="O92" s="1496">
        <f t="shared" ref="O92" si="148">M92*N92</f>
        <v>6746306.9400000004</v>
      </c>
      <c r="P92" s="1516">
        <f>M92+(O92-M92)*(1-$P$13)</f>
        <v>6654108.5</v>
      </c>
      <c r="Q92" s="1496"/>
      <c r="R92" s="1">
        <f>P92/O92</f>
        <v>0.986333494633436</v>
      </c>
    </row>
    <row r="93" spans="1:18" s="1543" customFormat="1" ht="15.75" x14ac:dyDescent="0.25">
      <c r="A93" s="1544">
        <v>2</v>
      </c>
      <c r="B93" s="1544"/>
      <c r="C93" s="1544" t="s">
        <v>10237</v>
      </c>
      <c r="D93" s="1545">
        <f t="shared" ref="D93:K93" si="149">D94+D97</f>
        <v>134525.76000000001</v>
      </c>
      <c r="E93" s="1545">
        <f t="shared" si="149"/>
        <v>12902761.32</v>
      </c>
      <c r="F93" s="1545">
        <f t="shared" si="149"/>
        <v>36331931.82</v>
      </c>
      <c r="G93" s="1545">
        <f t="shared" si="149"/>
        <v>195039.3</v>
      </c>
      <c r="H93" s="1545">
        <f t="shared" si="149"/>
        <v>404155.9</v>
      </c>
      <c r="I93" s="1545">
        <f t="shared" si="149"/>
        <v>67207.22</v>
      </c>
      <c r="J93" s="1545">
        <f t="shared" si="149"/>
        <v>-59434.69</v>
      </c>
      <c r="K93" s="1545">
        <f t="shared" si="149"/>
        <v>49976186.630000003</v>
      </c>
      <c r="L93" s="1544"/>
      <c r="M93" s="1545">
        <f>M94+M97</f>
        <v>52102348.530000001</v>
      </c>
      <c r="N93" s="1544"/>
      <c r="O93" s="1545">
        <f>O94+O97</f>
        <v>53566481.840000004</v>
      </c>
      <c r="P93" s="1545">
        <f>P94+P97</f>
        <v>52834415.189999998</v>
      </c>
      <c r="Q93" s="1545">
        <f>Q94+Q97</f>
        <v>37656687.009999998</v>
      </c>
    </row>
    <row r="94" spans="1:18" s="1480" customFormat="1" ht="32.25" customHeight="1" outlineLevel="1" x14ac:dyDescent="0.2">
      <c r="A94" s="1546" t="s">
        <v>583</v>
      </c>
      <c r="B94" s="1468"/>
      <c r="C94" s="1469" t="s">
        <v>10238</v>
      </c>
      <c r="D94" s="1511"/>
      <c r="E94" s="1509"/>
      <c r="F94" s="1509"/>
      <c r="G94" s="1510">
        <f>SUM(G95:G96)</f>
        <v>195039.3</v>
      </c>
      <c r="H94" s="1510"/>
      <c r="I94" s="1510"/>
      <c r="J94" s="1510"/>
      <c r="K94" s="1510">
        <f>SUM(K95:K96)</f>
        <v>195039.3</v>
      </c>
      <c r="L94" s="1510"/>
      <c r="M94" s="1510">
        <f>SUM(M95:M96)</f>
        <v>203336.95999999999</v>
      </c>
      <c r="N94" s="1510"/>
      <c r="O94" s="1510">
        <f>SUM(O95:O96)</f>
        <v>209050.95</v>
      </c>
      <c r="P94" s="1510">
        <f>SUM(P95:P96)</f>
        <v>206193.96</v>
      </c>
      <c r="Q94" s="1510">
        <f>SUM(Q95:Q96)</f>
        <v>0</v>
      </c>
    </row>
    <row r="95" spans="1:18" outlineLevel="2" x14ac:dyDescent="0.2">
      <c r="A95" s="1470" t="s">
        <v>10223</v>
      </c>
      <c r="B95" s="477" t="s">
        <v>9633</v>
      </c>
      <c r="C95" s="464" t="s">
        <v>9634</v>
      </c>
      <c r="D95" s="1512"/>
      <c r="E95" s="1471"/>
      <c r="F95" s="1471"/>
      <c r="G95" s="1508">
        <f>'ЛСР 12-07-01'!$I$55</f>
        <v>191215</v>
      </c>
      <c r="H95" s="1496"/>
      <c r="I95" s="1496"/>
      <c r="J95" s="1496"/>
      <c r="K95" s="1496">
        <f t="shared" ref="K95" si="150">SUM(D95:J95)</f>
        <v>191215</v>
      </c>
      <c r="L95" s="1530">
        <f>$G$107</f>
        <v>1.0425435000000001</v>
      </c>
      <c r="M95" s="1496">
        <f>K95*L95</f>
        <v>199349.96</v>
      </c>
      <c r="N95" s="1499">
        <f t="shared" ref="N95:N96" si="151">$F$128</f>
        <v>1.0281011</v>
      </c>
      <c r="O95" s="1496">
        <f>M95*N95</f>
        <v>204951.91</v>
      </c>
      <c r="P95" s="1516">
        <f>M95+(O95-M95)*(1-$P$13)</f>
        <v>202150.94</v>
      </c>
      <c r="Q95" s="1496">
        <f>F95*L95*N95*P95/O95</f>
        <v>0</v>
      </c>
      <c r="R95" s="1">
        <f t="shared" ref="R95" si="152">P95/O95</f>
        <v>0.98633352575245603</v>
      </c>
    </row>
    <row r="96" spans="1:18" ht="51" outlineLevel="2" x14ac:dyDescent="0.2">
      <c r="A96" s="1470" t="s">
        <v>10224</v>
      </c>
      <c r="B96" s="27" t="s">
        <v>10205</v>
      </c>
      <c r="C96" s="28" t="s">
        <v>10206</v>
      </c>
      <c r="D96" s="1513"/>
      <c r="E96" s="1471"/>
      <c r="F96" s="1471"/>
      <c r="G96" s="1496">
        <f>G95*2%</f>
        <v>3824.3</v>
      </c>
      <c r="H96" s="1496"/>
      <c r="I96" s="1496"/>
      <c r="J96" s="1496"/>
      <c r="K96" s="1496">
        <f t="shared" ref="K96" si="153">SUM(D96:J96)</f>
        <v>3824.3</v>
      </c>
      <c r="L96" s="1530">
        <f>$G$107</f>
        <v>1.0425435000000001</v>
      </c>
      <c r="M96" s="1496">
        <f>K96*L96</f>
        <v>3987</v>
      </c>
      <c r="N96" s="1499">
        <f t="shared" si="151"/>
        <v>1.0281011</v>
      </c>
      <c r="O96" s="1496">
        <f>M96*N96</f>
        <v>4099.04</v>
      </c>
      <c r="P96" s="1516">
        <f>M96+(O96-M96)*(1-$P$13)</f>
        <v>4043.02</v>
      </c>
      <c r="Q96" s="1496"/>
      <c r="R96" s="1">
        <f t="shared" ref="R96" si="154">P96/O96</f>
        <v>0.98633338537804005</v>
      </c>
    </row>
    <row r="97" spans="1:19" ht="42.75" outlineLevel="1" x14ac:dyDescent="0.2">
      <c r="A97" s="1547" t="s">
        <v>584</v>
      </c>
      <c r="B97" s="1473"/>
      <c r="C97" s="1469" t="s">
        <v>10235</v>
      </c>
      <c r="D97" s="1511">
        <f t="shared" ref="D97:K97" si="155">D98+D101</f>
        <v>134525.76000000001</v>
      </c>
      <c r="E97" s="1511">
        <f t="shared" si="155"/>
        <v>12902761.32</v>
      </c>
      <c r="F97" s="1511">
        <f t="shared" si="155"/>
        <v>36331931.82</v>
      </c>
      <c r="G97" s="1511">
        <f t="shared" si="155"/>
        <v>0</v>
      </c>
      <c r="H97" s="1511">
        <f t="shared" si="155"/>
        <v>404155.9</v>
      </c>
      <c r="I97" s="1511">
        <f t="shared" si="155"/>
        <v>67207.22</v>
      </c>
      <c r="J97" s="1511">
        <f t="shared" si="155"/>
        <v>-59434.69</v>
      </c>
      <c r="K97" s="1511">
        <f t="shared" si="155"/>
        <v>49781147.329999998</v>
      </c>
      <c r="L97" s="1531"/>
      <c r="M97" s="1511">
        <f>M98+M101</f>
        <v>51899011.57</v>
      </c>
      <c r="N97" s="1531"/>
      <c r="O97" s="1511">
        <f>O98+O101</f>
        <v>53357430.890000001</v>
      </c>
      <c r="P97" s="1511">
        <f>P98+P101</f>
        <v>52628221.229999997</v>
      </c>
      <c r="Q97" s="1511">
        <f>Q98+Q101</f>
        <v>37656687.009999998</v>
      </c>
      <c r="R97" s="1">
        <f t="shared" ref="R97" si="156">P97/O97</f>
        <v>0.98633349380139201</v>
      </c>
    </row>
    <row r="98" spans="1:19" s="456" customFormat="1" outlineLevel="2" x14ac:dyDescent="0.2">
      <c r="A98" s="1492" t="s">
        <v>10225</v>
      </c>
      <c r="B98" s="1408" t="s">
        <v>8093</v>
      </c>
      <c r="C98" s="1405" t="s">
        <v>8094</v>
      </c>
      <c r="D98" s="1517">
        <f>SUM(D99:D100)</f>
        <v>131888</v>
      </c>
      <c r="E98" s="1517">
        <f t="shared" ref="E98:F98" si="157">SUM(E99:E100)</f>
        <v>12649766</v>
      </c>
      <c r="F98" s="1517">
        <f t="shared" si="157"/>
        <v>35619541</v>
      </c>
      <c r="G98" s="1518"/>
      <c r="H98" s="1517">
        <f t="shared" ref="H98:Q98" si="158">SUM(H99:H100)</f>
        <v>396231.27</v>
      </c>
      <c r="I98" s="1517">
        <f t="shared" si="158"/>
        <v>65889.429999999993</v>
      </c>
      <c r="J98" s="1517">
        <f t="shared" si="158"/>
        <v>-59434.69</v>
      </c>
      <c r="K98" s="1517">
        <f t="shared" si="158"/>
        <v>48803881.009999998</v>
      </c>
      <c r="L98" s="1499"/>
      <c r="M98" s="1517">
        <f t="shared" si="158"/>
        <v>50880168.920000002</v>
      </c>
      <c r="N98" s="1540"/>
      <c r="O98" s="1517">
        <f t="shared" si="158"/>
        <v>52309957.640000001</v>
      </c>
      <c r="P98" s="1517">
        <f t="shared" si="158"/>
        <v>51595063.280000001</v>
      </c>
      <c r="Q98" s="1517">
        <f t="shared" si="158"/>
        <v>37656687.009999998</v>
      </c>
    </row>
    <row r="99" spans="1:19" s="456" customFormat="1" outlineLevel="3" x14ac:dyDescent="0.2">
      <c r="A99" s="1441" t="s">
        <v>10315</v>
      </c>
      <c r="B99" s="1442" t="s">
        <v>8583</v>
      </c>
      <c r="C99" s="1443" t="s">
        <v>8584</v>
      </c>
      <c r="D99" s="1515">
        <f>'ЛСР 04-02-01'!N207</f>
        <v>80130</v>
      </c>
      <c r="E99" s="1515"/>
      <c r="F99" s="1515"/>
      <c r="G99" s="1515"/>
      <c r="H99" s="1474">
        <f t="shared" ref="H99:H100" si="159">(D99+E99)*3.1%</f>
        <v>2484.0300000000002</v>
      </c>
      <c r="I99" s="1474">
        <f>(D99+E99+H99)*0.5%</f>
        <v>413.07</v>
      </c>
      <c r="J99" s="1474">
        <f t="shared" ref="J99:J100" si="160">-H99*15%</f>
        <v>-372.6</v>
      </c>
      <c r="K99" s="1474">
        <f t="shared" ref="K99:K100" si="161">SUM(D99:J99)</f>
        <v>82654.5</v>
      </c>
      <c r="L99" s="1533">
        <f>$G$107</f>
        <v>1.0425435000000001</v>
      </c>
      <c r="M99" s="1474">
        <f t="shared" ref="M99:M101" si="162">K99*L99</f>
        <v>86170.91</v>
      </c>
      <c r="N99" s="1539">
        <f t="shared" ref="N99:N101" si="163">$F$128</f>
        <v>1.0281011</v>
      </c>
      <c r="O99" s="1474">
        <f t="shared" ref="O99:O101" si="164">M99*N99</f>
        <v>88592.41</v>
      </c>
      <c r="P99" s="1474">
        <f>M99+(O99-M99)*(1-$P$13)</f>
        <v>87381.66</v>
      </c>
      <c r="Q99" s="1474">
        <f t="shared" ref="Q99:Q100" si="165">F99*L99*N99*P99/O99</f>
        <v>0</v>
      </c>
    </row>
    <row r="100" spans="1:19" s="456" customFormat="1" ht="25.5" outlineLevel="3" x14ac:dyDescent="0.2">
      <c r="A100" s="1441" t="s">
        <v>10316</v>
      </c>
      <c r="B100" s="1442" t="s">
        <v>8585</v>
      </c>
      <c r="C100" s="1443" t="s">
        <v>8586</v>
      </c>
      <c r="D100" s="1515">
        <f>'ЛСР 04-02-02'!N509</f>
        <v>51758</v>
      </c>
      <c r="E100" s="1515">
        <f>'ЛСР 04-02-02'!N518</f>
        <v>12649766</v>
      </c>
      <c r="F100" s="1515">
        <f>'ЛСР 04-02-02'!N525</f>
        <v>35619541</v>
      </c>
      <c r="G100" s="1515"/>
      <c r="H100" s="1474">
        <f t="shared" si="159"/>
        <v>393747.24</v>
      </c>
      <c r="I100" s="1474">
        <f>(D100+E100+H100)*0.5%</f>
        <v>65476.36</v>
      </c>
      <c r="J100" s="1474">
        <f t="shared" si="160"/>
        <v>-59062.09</v>
      </c>
      <c r="K100" s="1474">
        <f t="shared" si="161"/>
        <v>48721226.509999998</v>
      </c>
      <c r="L100" s="1533">
        <f>$G$107</f>
        <v>1.0425435000000001</v>
      </c>
      <c r="M100" s="1494">
        <f t="shared" si="162"/>
        <v>50793998.009999998</v>
      </c>
      <c r="N100" s="1539">
        <f t="shared" si="163"/>
        <v>1.0281011</v>
      </c>
      <c r="O100" s="1494">
        <f t="shared" si="164"/>
        <v>52221365.229999997</v>
      </c>
      <c r="P100" s="1474">
        <f>M100+(O100-M100)*(1-$P$13)</f>
        <v>51507681.619999997</v>
      </c>
      <c r="Q100" s="1474">
        <f t="shared" si="165"/>
        <v>37656687.009999998</v>
      </c>
    </row>
    <row r="101" spans="1:19" ht="25.5" outlineLevel="2" x14ac:dyDescent="0.2">
      <c r="A101" s="1472" t="s">
        <v>10226</v>
      </c>
      <c r="B101" s="27" t="s">
        <v>6523</v>
      </c>
      <c r="C101" s="28" t="s">
        <v>10206</v>
      </c>
      <c r="D101" s="1527">
        <f t="shared" ref="D101:I101" si="166">D98*2%</f>
        <v>2637.76</v>
      </c>
      <c r="E101" s="1527">
        <f t="shared" si="166"/>
        <v>252995.32</v>
      </c>
      <c r="F101" s="1527">
        <f t="shared" si="166"/>
        <v>712390.82</v>
      </c>
      <c r="G101" s="1527">
        <f t="shared" si="166"/>
        <v>0</v>
      </c>
      <c r="H101" s="1527">
        <f t="shared" si="166"/>
        <v>7924.63</v>
      </c>
      <c r="I101" s="1527">
        <f t="shared" si="166"/>
        <v>1317.79</v>
      </c>
      <c r="J101" s="1527"/>
      <c r="K101" s="1496">
        <f>SUM(D101:J101)</f>
        <v>977266.32</v>
      </c>
      <c r="L101" s="1530">
        <f>$G$107</f>
        <v>1.0425435000000001</v>
      </c>
      <c r="M101" s="1496">
        <f t="shared" si="162"/>
        <v>1018842.65</v>
      </c>
      <c r="N101" s="1542">
        <f t="shared" si="163"/>
        <v>1.0281011</v>
      </c>
      <c r="O101" s="1496">
        <f t="shared" si="164"/>
        <v>1047473.25</v>
      </c>
      <c r="P101" s="1496">
        <f>M101+(O101-M101)*(1-$P$13)</f>
        <v>1033157.95</v>
      </c>
      <c r="Q101" s="1496"/>
      <c r="R101" s="1">
        <f>P101/O101</f>
        <v>0.98633349348062105</v>
      </c>
      <c r="S101" s="1587"/>
    </row>
    <row r="102" spans="1:19" s="1480" customFormat="1" x14ac:dyDescent="0.2">
      <c r="A102" s="1475"/>
      <c r="B102" s="1476" t="s">
        <v>143</v>
      </c>
      <c r="C102" s="1477" t="s">
        <v>10207</v>
      </c>
      <c r="D102" s="1528">
        <f t="shared" ref="D102:K102" si="167">D15+D93</f>
        <v>241534434.30000001</v>
      </c>
      <c r="E102" s="1528">
        <f t="shared" si="167"/>
        <v>32943594.84</v>
      </c>
      <c r="F102" s="1528">
        <f t="shared" si="167"/>
        <v>76709982.299999997</v>
      </c>
      <c r="G102" s="1528">
        <f t="shared" si="167"/>
        <v>23002017.73</v>
      </c>
      <c r="H102" s="1528">
        <f t="shared" si="167"/>
        <v>8508818.9499999993</v>
      </c>
      <c r="I102" s="1528">
        <f t="shared" si="167"/>
        <v>1414934.21</v>
      </c>
      <c r="J102" s="1528">
        <f t="shared" si="167"/>
        <v>-1251296.8700000001</v>
      </c>
      <c r="K102" s="1528">
        <f t="shared" si="167"/>
        <v>382862485.45999998</v>
      </c>
      <c r="L102" s="1495"/>
      <c r="M102" s="1528">
        <f>M15+M93</f>
        <v>398863920.50999999</v>
      </c>
      <c r="N102" s="1495"/>
      <c r="O102" s="1528">
        <f>O15+O93</f>
        <v>409647824.48000002</v>
      </c>
      <c r="P102" s="1528">
        <f>P15+P93</f>
        <v>404255872.64999998</v>
      </c>
      <c r="Q102" s="1528">
        <f>Q15+Q93</f>
        <v>79507024.560000002</v>
      </c>
      <c r="S102" s="1624"/>
    </row>
    <row r="103" spans="1:19" x14ac:dyDescent="0.2">
      <c r="A103" s="1481"/>
      <c r="B103" s="1482" t="s">
        <v>143</v>
      </c>
      <c r="C103" s="1483" t="s">
        <v>10208</v>
      </c>
      <c r="D103" s="1529">
        <f>D102*20%</f>
        <v>48306886.859999999</v>
      </c>
      <c r="E103" s="1529">
        <f>E102*20%</f>
        <v>6588718.9699999997</v>
      </c>
      <c r="F103" s="1529">
        <f>F102*20%</f>
        <v>15341996.460000001</v>
      </c>
      <c r="G103" s="1484">
        <f>(G102-G84-G85-G91)*20%</f>
        <v>2950258.68</v>
      </c>
      <c r="H103" s="1529">
        <f>H102*20%</f>
        <v>1701763.79</v>
      </c>
      <c r="I103" s="1529">
        <f>I102*20%</f>
        <v>282986.84000000003</v>
      </c>
      <c r="J103" s="1484">
        <f t="shared" ref="J103" si="168">J102*20%</f>
        <v>-250259.37</v>
      </c>
      <c r="K103" s="1484">
        <f>(K102-K84-K85-K91)*20%</f>
        <v>74922352.230000004</v>
      </c>
      <c r="L103" s="1485"/>
      <c r="M103" s="1484">
        <f>(M102-M84-M85-M91)*20%</f>
        <v>78109811.310000002</v>
      </c>
      <c r="N103" s="1485"/>
      <c r="O103" s="1484">
        <f>(O102-O84-O85-O91)*20%</f>
        <v>80257758.450000003</v>
      </c>
      <c r="P103" s="1484">
        <f>(P102-P84-P85-P91)*20%</f>
        <v>79183784.909999996</v>
      </c>
      <c r="Q103" s="1484">
        <f>(Q102-Q84-Q85-Q91)*20%</f>
        <v>15901404.91</v>
      </c>
    </row>
    <row r="104" spans="1:19" s="1480" customFormat="1" x14ac:dyDescent="0.2">
      <c r="A104" s="1475"/>
      <c r="B104" s="1476" t="s">
        <v>143</v>
      </c>
      <c r="C104" s="1477" t="s">
        <v>10209</v>
      </c>
      <c r="D104" s="1528">
        <f>D102+D103</f>
        <v>289841321.16000003</v>
      </c>
      <c r="E104" s="1528">
        <f>E102+E103</f>
        <v>39532313.810000002</v>
      </c>
      <c r="F104" s="1528">
        <f>F102+F103</f>
        <v>92051978.760000005</v>
      </c>
      <c r="G104" s="1528">
        <f>G102+G103</f>
        <v>25952276.41</v>
      </c>
      <c r="H104" s="1478">
        <f t="shared" ref="H104:Q104" si="169">H102+H103</f>
        <v>10210582.74</v>
      </c>
      <c r="I104" s="1478">
        <f t="shared" si="169"/>
        <v>1697921.05</v>
      </c>
      <c r="J104" s="1478">
        <f t="shared" si="169"/>
        <v>-1501556.24</v>
      </c>
      <c r="K104" s="1478">
        <f t="shared" si="169"/>
        <v>457784837.69</v>
      </c>
      <c r="L104" s="1479"/>
      <c r="M104" s="1478">
        <f t="shared" si="169"/>
        <v>476973731.81999999</v>
      </c>
      <c r="N104" s="1479"/>
      <c r="O104" s="1478">
        <f t="shared" si="169"/>
        <v>489905582.93000001</v>
      </c>
      <c r="P104" s="1478">
        <f t="shared" si="169"/>
        <v>483439657.56</v>
      </c>
      <c r="Q104" s="1478">
        <f t="shared" si="169"/>
        <v>95408429.469999999</v>
      </c>
      <c r="S104" s="1624"/>
    </row>
    <row r="106" spans="1:19" x14ac:dyDescent="0.2">
      <c r="A106" s="1736" t="s">
        <v>10210</v>
      </c>
      <c r="B106" s="1736"/>
      <c r="C106" s="1736"/>
      <c r="D106" s="1736"/>
      <c r="E106" s="1736"/>
      <c r="F106" s="1736"/>
      <c r="G106" s="1549">
        <v>44585</v>
      </c>
      <c r="P106" s="1486">
        <f>P104/K104</f>
        <v>1.0560411999999999</v>
      </c>
      <c r="Q106" s="1587">
        <f>Q104/1.02</f>
        <v>93537675.950000003</v>
      </c>
    </row>
    <row r="107" spans="1:19" ht="55.5" customHeight="1" x14ac:dyDescent="0.2">
      <c r="A107" s="1746" t="s">
        <v>10377</v>
      </c>
      <c r="B107" s="1747"/>
      <c r="C107" s="1748"/>
      <c r="D107" s="1749" t="s">
        <v>10376</v>
      </c>
      <c r="E107" s="1750"/>
      <c r="F107" s="1751"/>
      <c r="G107" s="1604">
        <f>1.0069*1.0128*1.0142*1.008*1*1*1</f>
        <v>1.0425435000000001</v>
      </c>
      <c r="K107" s="1497">
        <f>(K104-J104)/1000</f>
        <v>459286.39</v>
      </c>
      <c r="L107" s="452" t="s">
        <v>10233</v>
      </c>
      <c r="P107" s="1587"/>
      <c r="Q107" s="1587"/>
      <c r="R107" s="1486"/>
    </row>
    <row r="108" spans="1:19" x14ac:dyDescent="0.2">
      <c r="A108" s="1737" t="s">
        <v>10375</v>
      </c>
      <c r="B108" s="1737"/>
      <c r="C108" s="1737"/>
      <c r="D108" s="1737"/>
      <c r="E108" s="1737"/>
      <c r="F108" s="1737"/>
      <c r="G108" s="1550"/>
      <c r="K108" s="1497">
        <f>K107-'Затраты подрядчика'!H146</f>
        <v>-5223.1000000000004</v>
      </c>
    </row>
    <row r="109" spans="1:19" x14ac:dyDescent="0.2">
      <c r="A109" s="1550"/>
      <c r="B109" s="1550"/>
      <c r="C109" s="1550"/>
      <c r="D109" s="1550"/>
      <c r="E109" s="1550"/>
      <c r="F109" s="1550"/>
      <c r="G109" s="1550"/>
    </row>
    <row r="110" spans="1:19" s="1614" customFormat="1" x14ac:dyDescent="0.2">
      <c r="A110" s="1613" t="s">
        <v>10211</v>
      </c>
    </row>
    <row r="111" spans="1:19" x14ac:dyDescent="0.2">
      <c r="A111" s="1550"/>
      <c r="B111" s="1550"/>
      <c r="C111" s="1550"/>
      <c r="D111" s="1550"/>
      <c r="E111" s="1550"/>
      <c r="F111" s="1550"/>
      <c r="G111" s="1550"/>
    </row>
    <row r="112" spans="1:19" x14ac:dyDescent="0.2">
      <c r="A112" s="1727" t="s">
        <v>10210</v>
      </c>
      <c r="B112" s="1727"/>
      <c r="C112" s="1727"/>
      <c r="D112" s="1727"/>
      <c r="E112" s="1727"/>
      <c r="F112" s="1615">
        <f>G106</f>
        <v>44585</v>
      </c>
    </row>
    <row r="113" spans="1:9" ht="15.75" x14ac:dyDescent="0.25">
      <c r="A113" s="1742" t="s">
        <v>10212</v>
      </c>
      <c r="B113" s="1743"/>
      <c r="C113" s="1743"/>
      <c r="D113" s="1743"/>
      <c r="E113" s="1744"/>
      <c r="F113" s="1616">
        <f>(F115-F114)/30.5</f>
        <v>3</v>
      </c>
    </row>
    <row r="114" spans="1:9" ht="15.75" x14ac:dyDescent="0.25">
      <c r="A114" s="1742" t="s">
        <v>10213</v>
      </c>
      <c r="B114" s="1743"/>
      <c r="C114" s="1743"/>
      <c r="D114" s="1743"/>
      <c r="E114" s="1744"/>
      <c r="F114" s="1615">
        <v>44620</v>
      </c>
      <c r="G114" s="1493"/>
    </row>
    <row r="115" spans="1:9" ht="15.75" x14ac:dyDescent="0.25">
      <c r="A115" s="1742" t="s">
        <v>10214</v>
      </c>
      <c r="B115" s="1743"/>
      <c r="C115" s="1743"/>
      <c r="D115" s="1743"/>
      <c r="E115" s="1744"/>
      <c r="F115" s="1615">
        <f>F114+90</f>
        <v>44710</v>
      </c>
      <c r="G115" s="1487"/>
    </row>
    <row r="116" spans="1:9" ht="35.25" customHeight="1" x14ac:dyDescent="0.25">
      <c r="A116" s="1738" t="s">
        <v>10391</v>
      </c>
      <c r="B116" s="1739"/>
      <c r="C116" s="1739"/>
      <c r="D116" s="1739"/>
      <c r="E116" s="1740"/>
      <c r="F116" s="1617">
        <v>1.0509999999999999</v>
      </c>
      <c r="I116" s="1487"/>
    </row>
    <row r="117" spans="1:9" ht="15.75" x14ac:dyDescent="0.2">
      <c r="A117" s="1741" t="s">
        <v>10216</v>
      </c>
      <c r="B117" s="1741"/>
      <c r="C117" s="1741"/>
      <c r="D117" s="1618">
        <f>F116</f>
        <v>1.0509999999999999</v>
      </c>
      <c r="E117" s="1619" t="s">
        <v>10215</v>
      </c>
      <c r="F117" s="1620">
        <f>F116^(1/12)</f>
        <v>1.0041538000000001</v>
      </c>
    </row>
    <row r="118" spans="1:9" ht="34.5" customHeight="1" x14ac:dyDescent="0.2">
      <c r="A118" s="1731" t="s">
        <v>10217</v>
      </c>
      <c r="B118" s="1732"/>
      <c r="C118" s="1733" t="str">
        <f>CONCATENATE("(",F117,"^",ROUND((F114-F112)/30.5,1),"+",F117,"^",ROUND((F115-F112)/30.5,1),")","/2")</f>
        <v>(1,0041538^1,1+1,0041538^4,1)/2</v>
      </c>
      <c r="D118" s="1734"/>
      <c r="E118" s="1735"/>
      <c r="F118" s="1621">
        <f>(F117^ROUND((F114-F112)/30.5,1)+F117^ROUND((F115-F112)/30.5,1))/2</f>
        <v>1.0108553</v>
      </c>
    </row>
    <row r="119" spans="1:9" x14ac:dyDescent="0.2">
      <c r="A119" s="1550"/>
      <c r="B119" s="1550"/>
      <c r="C119" s="1550"/>
      <c r="D119" s="1550"/>
      <c r="E119" s="1550"/>
      <c r="F119" s="1550"/>
      <c r="G119" s="1550"/>
    </row>
    <row r="120" spans="1:9" x14ac:dyDescent="0.2">
      <c r="A120" s="1613" t="s">
        <v>10218</v>
      </c>
      <c r="B120" s="1550"/>
      <c r="C120" s="1550"/>
      <c r="D120" s="1550"/>
      <c r="E120" s="1550"/>
      <c r="F120" s="1550"/>
      <c r="G120" s="1550"/>
    </row>
    <row r="121" spans="1:9" x14ac:dyDescent="0.2">
      <c r="A121" s="1550"/>
      <c r="B121" s="1550"/>
      <c r="C121" s="1550"/>
      <c r="D121" s="1550"/>
      <c r="E121" s="1550"/>
      <c r="F121" s="1550"/>
      <c r="G121" s="1550"/>
    </row>
    <row r="122" spans="1:9" x14ac:dyDescent="0.2">
      <c r="A122" s="1727" t="s">
        <v>10210</v>
      </c>
      <c r="B122" s="1727"/>
      <c r="C122" s="1727"/>
      <c r="D122" s="1727"/>
      <c r="E122" s="1727"/>
      <c r="F122" s="1615">
        <f>G106</f>
        <v>44585</v>
      </c>
    </row>
    <row r="123" spans="1:9" ht="15.75" x14ac:dyDescent="0.25">
      <c r="A123" s="1742" t="s">
        <v>10212</v>
      </c>
      <c r="B123" s="1743"/>
      <c r="C123" s="1743"/>
      <c r="D123" s="1743"/>
      <c r="E123" s="1744"/>
      <c r="F123" s="1616">
        <f>(F125-F124)/30.5</f>
        <v>8.4</v>
      </c>
    </row>
    <row r="124" spans="1:9" ht="15.75" x14ac:dyDescent="0.25">
      <c r="A124" s="1742" t="s">
        <v>10213</v>
      </c>
      <c r="B124" s="1743"/>
      <c r="C124" s="1743"/>
      <c r="D124" s="1743"/>
      <c r="E124" s="1744"/>
      <c r="F124" s="1615">
        <f>F114+40</f>
        <v>44660</v>
      </c>
      <c r="G124" s="1493"/>
    </row>
    <row r="125" spans="1:9" ht="15.75" x14ac:dyDescent="0.25">
      <c r="A125" s="1742" t="s">
        <v>10214</v>
      </c>
      <c r="B125" s="1743"/>
      <c r="C125" s="1743"/>
      <c r="D125" s="1743"/>
      <c r="E125" s="1744"/>
      <c r="F125" s="1615">
        <f>График!D9</f>
        <v>44915</v>
      </c>
      <c r="G125" s="1487"/>
    </row>
    <row r="126" spans="1:9" ht="35.25" customHeight="1" x14ac:dyDescent="0.25">
      <c r="A126" s="1738" t="s">
        <v>10391</v>
      </c>
      <c r="B126" s="1739"/>
      <c r="C126" s="1739"/>
      <c r="D126" s="1739"/>
      <c r="E126" s="1740"/>
      <c r="F126" s="1617">
        <v>1.0509999999999999</v>
      </c>
      <c r="I126" s="1487"/>
    </row>
    <row r="127" spans="1:9" ht="15.75" x14ac:dyDescent="0.2">
      <c r="A127" s="1741" t="s">
        <v>10216</v>
      </c>
      <c r="B127" s="1741"/>
      <c r="C127" s="1741"/>
      <c r="D127" s="1618">
        <f>F126</f>
        <v>1.0509999999999999</v>
      </c>
      <c r="E127" s="1619" t="s">
        <v>10215</v>
      </c>
      <c r="F127" s="1620">
        <f>F126^(1/12)</f>
        <v>1.0041538000000001</v>
      </c>
    </row>
    <row r="128" spans="1:9" ht="34.5" customHeight="1" x14ac:dyDescent="0.2">
      <c r="A128" s="1731" t="s">
        <v>10217</v>
      </c>
      <c r="B128" s="1732"/>
      <c r="C128" s="1733" t="str">
        <f>CONCATENATE("(",F127,"^",ROUND((F124-F122)/30.5,1),"+",F127,"^",ROUND((F125-F122)/30.5,1),")","/2")</f>
        <v>(1,0041538^2,5+1,0041538^10,8)/2</v>
      </c>
      <c r="D128" s="1734"/>
      <c r="E128" s="1735"/>
      <c r="F128" s="1621">
        <f>(F127^ROUND((F124-F122)/30.5,1)+F127^ROUND((F125-F122)/30.5,1))/2</f>
        <v>1.0281011</v>
      </c>
    </row>
  </sheetData>
  <mergeCells count="39">
    <mergeCell ref="A113:E113"/>
    <mergeCell ref="A114:E114"/>
    <mergeCell ref="A115:E115"/>
    <mergeCell ref="D11:D13"/>
    <mergeCell ref="I11:I13"/>
    <mergeCell ref="A107:C107"/>
    <mergeCell ref="D107:F107"/>
    <mergeCell ref="A128:B128"/>
    <mergeCell ref="C128:E128"/>
    <mergeCell ref="A106:F106"/>
    <mergeCell ref="A108:F108"/>
    <mergeCell ref="K11:K13"/>
    <mergeCell ref="A116:E116"/>
    <mergeCell ref="A117:C117"/>
    <mergeCell ref="A118:B118"/>
    <mergeCell ref="C118:E118"/>
    <mergeCell ref="A127:C127"/>
    <mergeCell ref="A122:E122"/>
    <mergeCell ref="A123:E123"/>
    <mergeCell ref="A124:E124"/>
    <mergeCell ref="A125:E125"/>
    <mergeCell ref="A126:E126"/>
    <mergeCell ref="A112:E112"/>
    <mergeCell ref="A1:Q1"/>
    <mergeCell ref="A10:A13"/>
    <mergeCell ref="B10:B13"/>
    <mergeCell ref="C10:C13"/>
    <mergeCell ref="E10:Q10"/>
    <mergeCell ref="E11:E13"/>
    <mergeCell ref="F11:F13"/>
    <mergeCell ref="G11:G13"/>
    <mergeCell ref="H11:H13"/>
    <mergeCell ref="J11:J13"/>
    <mergeCell ref="Q11:Q13"/>
    <mergeCell ref="L11:L13"/>
    <mergeCell ref="M11:M13"/>
    <mergeCell ref="N11:N13"/>
    <mergeCell ref="O11:O13"/>
    <mergeCell ref="P11:P12"/>
  </mergeCells>
  <pageMargins left="0.34" right="0.25" top="0.75" bottom="0.75" header="0.3" footer="0.3"/>
  <pageSetup paperSize="9" scale="46" fitToHeight="0" orientation="landscape" r:id="rId1"/>
  <headerFooter alignWithMargins="0">
    <oddHeader>&amp;LГРАНД-Смета 2021</oddHeader>
    <oddFooter>&amp;RСтраница &amp;P</oddFooter>
  </headerFooter>
  <legacy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2">
    <pageSetUpPr fitToPage="1"/>
  </sheetPr>
  <dimension ref="A2:L570"/>
  <sheetViews>
    <sheetView topLeftCell="A32" zoomScale="115" zoomScaleNormal="115" zoomScaleSheetLayoutView="120" workbookViewId="0"/>
  </sheetViews>
  <sheetFormatPr defaultRowHeight="12.75" x14ac:dyDescent="0.2"/>
  <cols>
    <col min="1" max="1" width="3.7109375" style="435" customWidth="1"/>
    <col min="2" max="2" width="28.7109375" style="381" customWidth="1"/>
    <col min="3" max="3" width="9.42578125" style="381" customWidth="1"/>
    <col min="4" max="4" width="13.5703125" style="381" customWidth="1"/>
    <col min="5" max="5" width="21.28515625" style="381" customWidth="1"/>
    <col min="6" max="6" width="13.140625" style="381" customWidth="1"/>
    <col min="7" max="7" width="27.42578125" style="381" customWidth="1"/>
    <col min="8" max="8" width="10.85546875" style="381" bestFit="1" customWidth="1"/>
    <col min="9" max="9" width="9.140625" style="381"/>
    <col min="10" max="10" width="16.7109375" style="381" customWidth="1"/>
    <col min="11" max="11" width="18.42578125" style="381" customWidth="1"/>
    <col min="12" max="15" width="9.140625" style="381"/>
    <col min="16" max="16" width="11.42578125" style="381" customWidth="1"/>
    <col min="17" max="256" width="9.140625" style="381"/>
    <col min="257" max="257" width="3.7109375" style="381" customWidth="1"/>
    <col min="258" max="258" width="28.7109375" style="381" customWidth="1"/>
    <col min="259" max="259" width="9.42578125" style="381" customWidth="1"/>
    <col min="260" max="260" width="13.5703125" style="381" customWidth="1"/>
    <col min="261" max="261" width="21.28515625" style="381" customWidth="1"/>
    <col min="262" max="262" width="13.140625" style="381" customWidth="1"/>
    <col min="263" max="263" width="27.42578125" style="381" customWidth="1"/>
    <col min="264" max="264" width="10.85546875" style="381" bestFit="1" customWidth="1"/>
    <col min="265" max="265" width="9.140625" style="381"/>
    <col min="266" max="266" width="16.7109375" style="381" customWidth="1"/>
    <col min="267" max="267" width="18.42578125" style="381" customWidth="1"/>
    <col min="268" max="271" width="9.140625" style="381"/>
    <col min="272" max="272" width="11.42578125" style="381" customWidth="1"/>
    <col min="273" max="512" width="9.140625" style="381"/>
    <col min="513" max="513" width="3.7109375" style="381" customWidth="1"/>
    <col min="514" max="514" width="28.7109375" style="381" customWidth="1"/>
    <col min="515" max="515" width="9.42578125" style="381" customWidth="1"/>
    <col min="516" max="516" width="13.5703125" style="381" customWidth="1"/>
    <col min="517" max="517" width="21.28515625" style="381" customWidth="1"/>
    <col min="518" max="518" width="13.140625" style="381" customWidth="1"/>
    <col min="519" max="519" width="27.42578125" style="381" customWidth="1"/>
    <col min="520" max="520" width="10.85546875" style="381" bestFit="1" customWidth="1"/>
    <col min="521" max="521" width="9.140625" style="381"/>
    <col min="522" max="522" width="16.7109375" style="381" customWidth="1"/>
    <col min="523" max="523" width="18.42578125" style="381" customWidth="1"/>
    <col min="524" max="527" width="9.140625" style="381"/>
    <col min="528" max="528" width="11.42578125" style="381" customWidth="1"/>
    <col min="529" max="768" width="9.140625" style="381"/>
    <col min="769" max="769" width="3.7109375" style="381" customWidth="1"/>
    <col min="770" max="770" width="28.7109375" style="381" customWidth="1"/>
    <col min="771" max="771" width="9.42578125" style="381" customWidth="1"/>
    <col min="772" max="772" width="13.5703125" style="381" customWidth="1"/>
    <col min="773" max="773" width="21.28515625" style="381" customWidth="1"/>
    <col min="774" max="774" width="13.140625" style="381" customWidth="1"/>
    <col min="775" max="775" width="27.42578125" style="381" customWidth="1"/>
    <col min="776" max="776" width="10.85546875" style="381" bestFit="1" customWidth="1"/>
    <col min="777" max="777" width="9.140625" style="381"/>
    <col min="778" max="778" width="16.7109375" style="381" customWidth="1"/>
    <col min="779" max="779" width="18.42578125" style="381" customWidth="1"/>
    <col min="780" max="783" width="9.140625" style="381"/>
    <col min="784" max="784" width="11.42578125" style="381" customWidth="1"/>
    <col min="785" max="1024" width="9.140625" style="381"/>
    <col min="1025" max="1025" width="3.7109375" style="381" customWidth="1"/>
    <col min="1026" max="1026" width="28.7109375" style="381" customWidth="1"/>
    <col min="1027" max="1027" width="9.42578125" style="381" customWidth="1"/>
    <col min="1028" max="1028" width="13.5703125" style="381" customWidth="1"/>
    <col min="1029" max="1029" width="21.28515625" style="381" customWidth="1"/>
    <col min="1030" max="1030" width="13.140625" style="381" customWidth="1"/>
    <col min="1031" max="1031" width="27.42578125" style="381" customWidth="1"/>
    <col min="1032" max="1032" width="10.85546875" style="381" bestFit="1" customWidth="1"/>
    <col min="1033" max="1033" width="9.140625" style="381"/>
    <col min="1034" max="1034" width="16.7109375" style="381" customWidth="1"/>
    <col min="1035" max="1035" width="18.42578125" style="381" customWidth="1"/>
    <col min="1036" max="1039" width="9.140625" style="381"/>
    <col min="1040" max="1040" width="11.42578125" style="381" customWidth="1"/>
    <col min="1041" max="1280" width="9.140625" style="381"/>
    <col min="1281" max="1281" width="3.7109375" style="381" customWidth="1"/>
    <col min="1282" max="1282" width="28.7109375" style="381" customWidth="1"/>
    <col min="1283" max="1283" width="9.42578125" style="381" customWidth="1"/>
    <col min="1284" max="1284" width="13.5703125" style="381" customWidth="1"/>
    <col min="1285" max="1285" width="21.28515625" style="381" customWidth="1"/>
    <col min="1286" max="1286" width="13.140625" style="381" customWidth="1"/>
    <col min="1287" max="1287" width="27.42578125" style="381" customWidth="1"/>
    <col min="1288" max="1288" width="10.85546875" style="381" bestFit="1" customWidth="1"/>
    <col min="1289" max="1289" width="9.140625" style="381"/>
    <col min="1290" max="1290" width="16.7109375" style="381" customWidth="1"/>
    <col min="1291" max="1291" width="18.42578125" style="381" customWidth="1"/>
    <col min="1292" max="1295" width="9.140625" style="381"/>
    <col min="1296" max="1296" width="11.42578125" style="381" customWidth="1"/>
    <col min="1297" max="1536" width="9.140625" style="381"/>
    <col min="1537" max="1537" width="3.7109375" style="381" customWidth="1"/>
    <col min="1538" max="1538" width="28.7109375" style="381" customWidth="1"/>
    <col min="1539" max="1539" width="9.42578125" style="381" customWidth="1"/>
    <col min="1540" max="1540" width="13.5703125" style="381" customWidth="1"/>
    <col min="1541" max="1541" width="21.28515625" style="381" customWidth="1"/>
    <col min="1542" max="1542" width="13.140625" style="381" customWidth="1"/>
    <col min="1543" max="1543" width="27.42578125" style="381" customWidth="1"/>
    <col min="1544" max="1544" width="10.85546875" style="381" bestFit="1" customWidth="1"/>
    <col min="1545" max="1545" width="9.140625" style="381"/>
    <col min="1546" max="1546" width="16.7109375" style="381" customWidth="1"/>
    <col min="1547" max="1547" width="18.42578125" style="381" customWidth="1"/>
    <col min="1548" max="1551" width="9.140625" style="381"/>
    <col min="1552" max="1552" width="11.42578125" style="381" customWidth="1"/>
    <col min="1553" max="1792" width="9.140625" style="381"/>
    <col min="1793" max="1793" width="3.7109375" style="381" customWidth="1"/>
    <col min="1794" max="1794" width="28.7109375" style="381" customWidth="1"/>
    <col min="1795" max="1795" width="9.42578125" style="381" customWidth="1"/>
    <col min="1796" max="1796" width="13.5703125" style="381" customWidth="1"/>
    <col min="1797" max="1797" width="21.28515625" style="381" customWidth="1"/>
    <col min="1798" max="1798" width="13.140625" style="381" customWidth="1"/>
    <col min="1799" max="1799" width="27.42578125" style="381" customWidth="1"/>
    <col min="1800" max="1800" width="10.85546875" style="381" bestFit="1" customWidth="1"/>
    <col min="1801" max="1801" width="9.140625" style="381"/>
    <col min="1802" max="1802" width="16.7109375" style="381" customWidth="1"/>
    <col min="1803" max="1803" width="18.42578125" style="381" customWidth="1"/>
    <col min="1804" max="1807" width="9.140625" style="381"/>
    <col min="1808" max="1808" width="11.42578125" style="381" customWidth="1"/>
    <col min="1809" max="2048" width="9.140625" style="381"/>
    <col min="2049" max="2049" width="3.7109375" style="381" customWidth="1"/>
    <col min="2050" max="2050" width="28.7109375" style="381" customWidth="1"/>
    <col min="2051" max="2051" width="9.42578125" style="381" customWidth="1"/>
    <col min="2052" max="2052" width="13.5703125" style="381" customWidth="1"/>
    <col min="2053" max="2053" width="21.28515625" style="381" customWidth="1"/>
    <col min="2054" max="2054" width="13.140625" style="381" customWidth="1"/>
    <col min="2055" max="2055" width="27.42578125" style="381" customWidth="1"/>
    <col min="2056" max="2056" width="10.85546875" style="381" bestFit="1" customWidth="1"/>
    <col min="2057" max="2057" width="9.140625" style="381"/>
    <col min="2058" max="2058" width="16.7109375" style="381" customWidth="1"/>
    <col min="2059" max="2059" width="18.42578125" style="381" customWidth="1"/>
    <col min="2060" max="2063" width="9.140625" style="381"/>
    <col min="2064" max="2064" width="11.42578125" style="381" customWidth="1"/>
    <col min="2065" max="2304" width="9.140625" style="381"/>
    <col min="2305" max="2305" width="3.7109375" style="381" customWidth="1"/>
    <col min="2306" max="2306" width="28.7109375" style="381" customWidth="1"/>
    <col min="2307" max="2307" width="9.42578125" style="381" customWidth="1"/>
    <col min="2308" max="2308" width="13.5703125" style="381" customWidth="1"/>
    <col min="2309" max="2309" width="21.28515625" style="381" customWidth="1"/>
    <col min="2310" max="2310" width="13.140625" style="381" customWidth="1"/>
    <col min="2311" max="2311" width="27.42578125" style="381" customWidth="1"/>
    <col min="2312" max="2312" width="10.85546875" style="381" bestFit="1" customWidth="1"/>
    <col min="2313" max="2313" width="9.140625" style="381"/>
    <col min="2314" max="2314" width="16.7109375" style="381" customWidth="1"/>
    <col min="2315" max="2315" width="18.42578125" style="381" customWidth="1"/>
    <col min="2316" max="2319" width="9.140625" style="381"/>
    <col min="2320" max="2320" width="11.42578125" style="381" customWidth="1"/>
    <col min="2321" max="2560" width="9.140625" style="381"/>
    <col min="2561" max="2561" width="3.7109375" style="381" customWidth="1"/>
    <col min="2562" max="2562" width="28.7109375" style="381" customWidth="1"/>
    <col min="2563" max="2563" width="9.42578125" style="381" customWidth="1"/>
    <col min="2564" max="2564" width="13.5703125" style="381" customWidth="1"/>
    <col min="2565" max="2565" width="21.28515625" style="381" customWidth="1"/>
    <col min="2566" max="2566" width="13.140625" style="381" customWidth="1"/>
    <col min="2567" max="2567" width="27.42578125" style="381" customWidth="1"/>
    <col min="2568" max="2568" width="10.85546875" style="381" bestFit="1" customWidth="1"/>
    <col min="2569" max="2569" width="9.140625" style="381"/>
    <col min="2570" max="2570" width="16.7109375" style="381" customWidth="1"/>
    <col min="2571" max="2571" width="18.42578125" style="381" customWidth="1"/>
    <col min="2572" max="2575" width="9.140625" style="381"/>
    <col min="2576" max="2576" width="11.42578125" style="381" customWidth="1"/>
    <col min="2577" max="2816" width="9.140625" style="381"/>
    <col min="2817" max="2817" width="3.7109375" style="381" customWidth="1"/>
    <col min="2818" max="2818" width="28.7109375" style="381" customWidth="1"/>
    <col min="2819" max="2819" width="9.42578125" style="381" customWidth="1"/>
    <col min="2820" max="2820" width="13.5703125" style="381" customWidth="1"/>
    <col min="2821" max="2821" width="21.28515625" style="381" customWidth="1"/>
    <col min="2822" max="2822" width="13.140625" style="381" customWidth="1"/>
    <col min="2823" max="2823" width="27.42578125" style="381" customWidth="1"/>
    <col min="2824" max="2824" width="10.85546875" style="381" bestFit="1" customWidth="1"/>
    <col min="2825" max="2825" width="9.140625" style="381"/>
    <col min="2826" max="2826" width="16.7109375" style="381" customWidth="1"/>
    <col min="2827" max="2827" width="18.42578125" style="381" customWidth="1"/>
    <col min="2828" max="2831" width="9.140625" style="381"/>
    <col min="2832" max="2832" width="11.42578125" style="381" customWidth="1"/>
    <col min="2833" max="3072" width="9.140625" style="381"/>
    <col min="3073" max="3073" width="3.7109375" style="381" customWidth="1"/>
    <col min="3074" max="3074" width="28.7109375" style="381" customWidth="1"/>
    <col min="3075" max="3075" width="9.42578125" style="381" customWidth="1"/>
    <col min="3076" max="3076" width="13.5703125" style="381" customWidth="1"/>
    <col min="3077" max="3077" width="21.28515625" style="381" customWidth="1"/>
    <col min="3078" max="3078" width="13.140625" style="381" customWidth="1"/>
    <col min="3079" max="3079" width="27.42578125" style="381" customWidth="1"/>
    <col min="3080" max="3080" width="10.85546875" style="381" bestFit="1" customWidth="1"/>
    <col min="3081" max="3081" width="9.140625" style="381"/>
    <col min="3082" max="3082" width="16.7109375" style="381" customWidth="1"/>
    <col min="3083" max="3083" width="18.42578125" style="381" customWidth="1"/>
    <col min="3084" max="3087" width="9.140625" style="381"/>
    <col min="3088" max="3088" width="11.42578125" style="381" customWidth="1"/>
    <col min="3089" max="3328" width="9.140625" style="381"/>
    <col min="3329" max="3329" width="3.7109375" style="381" customWidth="1"/>
    <col min="3330" max="3330" width="28.7109375" style="381" customWidth="1"/>
    <col min="3331" max="3331" width="9.42578125" style="381" customWidth="1"/>
    <col min="3332" max="3332" width="13.5703125" style="381" customWidth="1"/>
    <col min="3333" max="3333" width="21.28515625" style="381" customWidth="1"/>
    <col min="3334" max="3334" width="13.140625" style="381" customWidth="1"/>
    <col min="3335" max="3335" width="27.42578125" style="381" customWidth="1"/>
    <col min="3336" max="3336" width="10.85546875" style="381" bestFit="1" customWidth="1"/>
    <col min="3337" max="3337" width="9.140625" style="381"/>
    <col min="3338" max="3338" width="16.7109375" style="381" customWidth="1"/>
    <col min="3339" max="3339" width="18.42578125" style="381" customWidth="1"/>
    <col min="3340" max="3343" width="9.140625" style="381"/>
    <col min="3344" max="3344" width="11.42578125" style="381" customWidth="1"/>
    <col min="3345" max="3584" width="9.140625" style="381"/>
    <col min="3585" max="3585" width="3.7109375" style="381" customWidth="1"/>
    <col min="3586" max="3586" width="28.7109375" style="381" customWidth="1"/>
    <col min="3587" max="3587" width="9.42578125" style="381" customWidth="1"/>
    <col min="3588" max="3588" width="13.5703125" style="381" customWidth="1"/>
    <col min="3589" max="3589" width="21.28515625" style="381" customWidth="1"/>
    <col min="3590" max="3590" width="13.140625" style="381" customWidth="1"/>
    <col min="3591" max="3591" width="27.42578125" style="381" customWidth="1"/>
    <col min="3592" max="3592" width="10.85546875" style="381" bestFit="1" customWidth="1"/>
    <col min="3593" max="3593" width="9.140625" style="381"/>
    <col min="3594" max="3594" width="16.7109375" style="381" customWidth="1"/>
    <col min="3595" max="3595" width="18.42578125" style="381" customWidth="1"/>
    <col min="3596" max="3599" width="9.140625" style="381"/>
    <col min="3600" max="3600" width="11.42578125" style="381" customWidth="1"/>
    <col min="3601" max="3840" width="9.140625" style="381"/>
    <col min="3841" max="3841" width="3.7109375" style="381" customWidth="1"/>
    <col min="3842" max="3842" width="28.7109375" style="381" customWidth="1"/>
    <col min="3843" max="3843" width="9.42578125" style="381" customWidth="1"/>
    <col min="3844" max="3844" width="13.5703125" style="381" customWidth="1"/>
    <col min="3845" max="3845" width="21.28515625" style="381" customWidth="1"/>
    <col min="3846" max="3846" width="13.140625" style="381" customWidth="1"/>
    <col min="3847" max="3847" width="27.42578125" style="381" customWidth="1"/>
    <col min="3848" max="3848" width="10.85546875" style="381" bestFit="1" customWidth="1"/>
    <col min="3849" max="3849" width="9.140625" style="381"/>
    <col min="3850" max="3850" width="16.7109375" style="381" customWidth="1"/>
    <col min="3851" max="3851" width="18.42578125" style="381" customWidth="1"/>
    <col min="3852" max="3855" width="9.140625" style="381"/>
    <col min="3856" max="3856" width="11.42578125" style="381" customWidth="1"/>
    <col min="3857" max="4096" width="9.140625" style="381"/>
    <col min="4097" max="4097" width="3.7109375" style="381" customWidth="1"/>
    <col min="4098" max="4098" width="28.7109375" style="381" customWidth="1"/>
    <col min="4099" max="4099" width="9.42578125" style="381" customWidth="1"/>
    <col min="4100" max="4100" width="13.5703125" style="381" customWidth="1"/>
    <col min="4101" max="4101" width="21.28515625" style="381" customWidth="1"/>
    <col min="4102" max="4102" width="13.140625" style="381" customWidth="1"/>
    <col min="4103" max="4103" width="27.42578125" style="381" customWidth="1"/>
    <col min="4104" max="4104" width="10.85546875" style="381" bestFit="1" customWidth="1"/>
    <col min="4105" max="4105" width="9.140625" style="381"/>
    <col min="4106" max="4106" width="16.7109375" style="381" customWidth="1"/>
    <col min="4107" max="4107" width="18.42578125" style="381" customWidth="1"/>
    <col min="4108" max="4111" width="9.140625" style="381"/>
    <col min="4112" max="4112" width="11.42578125" style="381" customWidth="1"/>
    <col min="4113" max="4352" width="9.140625" style="381"/>
    <col min="4353" max="4353" width="3.7109375" style="381" customWidth="1"/>
    <col min="4354" max="4354" width="28.7109375" style="381" customWidth="1"/>
    <col min="4355" max="4355" width="9.42578125" style="381" customWidth="1"/>
    <col min="4356" max="4356" width="13.5703125" style="381" customWidth="1"/>
    <col min="4357" max="4357" width="21.28515625" style="381" customWidth="1"/>
    <col min="4358" max="4358" width="13.140625" style="381" customWidth="1"/>
    <col min="4359" max="4359" width="27.42578125" style="381" customWidth="1"/>
    <col min="4360" max="4360" width="10.85546875" style="381" bestFit="1" customWidth="1"/>
    <col min="4361" max="4361" width="9.140625" style="381"/>
    <col min="4362" max="4362" width="16.7109375" style="381" customWidth="1"/>
    <col min="4363" max="4363" width="18.42578125" style="381" customWidth="1"/>
    <col min="4364" max="4367" width="9.140625" style="381"/>
    <col min="4368" max="4368" width="11.42578125" style="381" customWidth="1"/>
    <col min="4369" max="4608" width="9.140625" style="381"/>
    <col min="4609" max="4609" width="3.7109375" style="381" customWidth="1"/>
    <col min="4610" max="4610" width="28.7109375" style="381" customWidth="1"/>
    <col min="4611" max="4611" width="9.42578125" style="381" customWidth="1"/>
    <col min="4612" max="4612" width="13.5703125" style="381" customWidth="1"/>
    <col min="4613" max="4613" width="21.28515625" style="381" customWidth="1"/>
    <col min="4614" max="4614" width="13.140625" style="381" customWidth="1"/>
    <col min="4615" max="4615" width="27.42578125" style="381" customWidth="1"/>
    <col min="4616" max="4616" width="10.85546875" style="381" bestFit="1" customWidth="1"/>
    <col min="4617" max="4617" width="9.140625" style="381"/>
    <col min="4618" max="4618" width="16.7109375" style="381" customWidth="1"/>
    <col min="4619" max="4619" width="18.42578125" style="381" customWidth="1"/>
    <col min="4620" max="4623" width="9.140625" style="381"/>
    <col min="4624" max="4624" width="11.42578125" style="381" customWidth="1"/>
    <col min="4625" max="4864" width="9.140625" style="381"/>
    <col min="4865" max="4865" width="3.7109375" style="381" customWidth="1"/>
    <col min="4866" max="4866" width="28.7109375" style="381" customWidth="1"/>
    <col min="4867" max="4867" width="9.42578125" style="381" customWidth="1"/>
    <col min="4868" max="4868" width="13.5703125" style="381" customWidth="1"/>
    <col min="4869" max="4869" width="21.28515625" style="381" customWidth="1"/>
    <col min="4870" max="4870" width="13.140625" style="381" customWidth="1"/>
    <col min="4871" max="4871" width="27.42578125" style="381" customWidth="1"/>
    <col min="4872" max="4872" width="10.85546875" style="381" bestFit="1" customWidth="1"/>
    <col min="4873" max="4873" width="9.140625" style="381"/>
    <col min="4874" max="4874" width="16.7109375" style="381" customWidth="1"/>
    <col min="4875" max="4875" width="18.42578125" style="381" customWidth="1"/>
    <col min="4876" max="4879" width="9.140625" style="381"/>
    <col min="4880" max="4880" width="11.42578125" style="381" customWidth="1"/>
    <col min="4881" max="5120" width="9.140625" style="381"/>
    <col min="5121" max="5121" width="3.7109375" style="381" customWidth="1"/>
    <col min="5122" max="5122" width="28.7109375" style="381" customWidth="1"/>
    <col min="5123" max="5123" width="9.42578125" style="381" customWidth="1"/>
    <col min="5124" max="5124" width="13.5703125" style="381" customWidth="1"/>
    <col min="5125" max="5125" width="21.28515625" style="381" customWidth="1"/>
    <col min="5126" max="5126" width="13.140625" style="381" customWidth="1"/>
    <col min="5127" max="5127" width="27.42578125" style="381" customWidth="1"/>
    <col min="5128" max="5128" width="10.85546875" style="381" bestFit="1" customWidth="1"/>
    <col min="5129" max="5129" width="9.140625" style="381"/>
    <col min="5130" max="5130" width="16.7109375" style="381" customWidth="1"/>
    <col min="5131" max="5131" width="18.42578125" style="381" customWidth="1"/>
    <col min="5132" max="5135" width="9.140625" style="381"/>
    <col min="5136" max="5136" width="11.42578125" style="381" customWidth="1"/>
    <col min="5137" max="5376" width="9.140625" style="381"/>
    <col min="5377" max="5377" width="3.7109375" style="381" customWidth="1"/>
    <col min="5378" max="5378" width="28.7109375" style="381" customWidth="1"/>
    <col min="5379" max="5379" width="9.42578125" style="381" customWidth="1"/>
    <col min="5380" max="5380" width="13.5703125" style="381" customWidth="1"/>
    <col min="5381" max="5381" width="21.28515625" style="381" customWidth="1"/>
    <col min="5382" max="5382" width="13.140625" style="381" customWidth="1"/>
    <col min="5383" max="5383" width="27.42578125" style="381" customWidth="1"/>
    <col min="5384" max="5384" width="10.85546875" style="381" bestFit="1" customWidth="1"/>
    <col min="5385" max="5385" width="9.140625" style="381"/>
    <col min="5386" max="5386" width="16.7109375" style="381" customWidth="1"/>
    <col min="5387" max="5387" width="18.42578125" style="381" customWidth="1"/>
    <col min="5388" max="5391" width="9.140625" style="381"/>
    <col min="5392" max="5392" width="11.42578125" style="381" customWidth="1"/>
    <col min="5393" max="5632" width="9.140625" style="381"/>
    <col min="5633" max="5633" width="3.7109375" style="381" customWidth="1"/>
    <col min="5634" max="5634" width="28.7109375" style="381" customWidth="1"/>
    <col min="5635" max="5635" width="9.42578125" style="381" customWidth="1"/>
    <col min="5636" max="5636" width="13.5703125" style="381" customWidth="1"/>
    <col min="5637" max="5637" width="21.28515625" style="381" customWidth="1"/>
    <col min="5638" max="5638" width="13.140625" style="381" customWidth="1"/>
    <col min="5639" max="5639" width="27.42578125" style="381" customWidth="1"/>
    <col min="5640" max="5640" width="10.85546875" style="381" bestFit="1" customWidth="1"/>
    <col min="5641" max="5641" width="9.140625" style="381"/>
    <col min="5642" max="5642" width="16.7109375" style="381" customWidth="1"/>
    <col min="5643" max="5643" width="18.42578125" style="381" customWidth="1"/>
    <col min="5644" max="5647" width="9.140625" style="381"/>
    <col min="5648" max="5648" width="11.42578125" style="381" customWidth="1"/>
    <col min="5649" max="5888" width="9.140625" style="381"/>
    <col min="5889" max="5889" width="3.7109375" style="381" customWidth="1"/>
    <col min="5890" max="5890" width="28.7109375" style="381" customWidth="1"/>
    <col min="5891" max="5891" width="9.42578125" style="381" customWidth="1"/>
    <col min="5892" max="5892" width="13.5703125" style="381" customWidth="1"/>
    <col min="5893" max="5893" width="21.28515625" style="381" customWidth="1"/>
    <col min="5894" max="5894" width="13.140625" style="381" customWidth="1"/>
    <col min="5895" max="5895" width="27.42578125" style="381" customWidth="1"/>
    <col min="5896" max="5896" width="10.85546875" style="381" bestFit="1" customWidth="1"/>
    <col min="5897" max="5897" width="9.140625" style="381"/>
    <col min="5898" max="5898" width="16.7109375" style="381" customWidth="1"/>
    <col min="5899" max="5899" width="18.42578125" style="381" customWidth="1"/>
    <col min="5900" max="5903" width="9.140625" style="381"/>
    <col min="5904" max="5904" width="11.42578125" style="381" customWidth="1"/>
    <col min="5905" max="6144" width="9.140625" style="381"/>
    <col min="6145" max="6145" width="3.7109375" style="381" customWidth="1"/>
    <col min="6146" max="6146" width="28.7109375" style="381" customWidth="1"/>
    <col min="6147" max="6147" width="9.42578125" style="381" customWidth="1"/>
    <col min="6148" max="6148" width="13.5703125" style="381" customWidth="1"/>
    <col min="6149" max="6149" width="21.28515625" style="381" customWidth="1"/>
    <col min="6150" max="6150" width="13.140625" style="381" customWidth="1"/>
    <col min="6151" max="6151" width="27.42578125" style="381" customWidth="1"/>
    <col min="6152" max="6152" width="10.85546875" style="381" bestFit="1" customWidth="1"/>
    <col min="6153" max="6153" width="9.140625" style="381"/>
    <col min="6154" max="6154" width="16.7109375" style="381" customWidth="1"/>
    <col min="6155" max="6155" width="18.42578125" style="381" customWidth="1"/>
    <col min="6156" max="6159" width="9.140625" style="381"/>
    <col min="6160" max="6160" width="11.42578125" style="381" customWidth="1"/>
    <col min="6161" max="6400" width="9.140625" style="381"/>
    <col min="6401" max="6401" width="3.7109375" style="381" customWidth="1"/>
    <col min="6402" max="6402" width="28.7109375" style="381" customWidth="1"/>
    <col min="6403" max="6403" width="9.42578125" style="381" customWidth="1"/>
    <col min="6404" max="6404" width="13.5703125" style="381" customWidth="1"/>
    <col min="6405" max="6405" width="21.28515625" style="381" customWidth="1"/>
    <col min="6406" max="6406" width="13.140625" style="381" customWidth="1"/>
    <col min="6407" max="6407" width="27.42578125" style="381" customWidth="1"/>
    <col min="6408" max="6408" width="10.85546875" style="381" bestFit="1" customWidth="1"/>
    <col min="6409" max="6409" width="9.140625" style="381"/>
    <col min="6410" max="6410" width="16.7109375" style="381" customWidth="1"/>
    <col min="6411" max="6411" width="18.42578125" style="381" customWidth="1"/>
    <col min="6412" max="6415" width="9.140625" style="381"/>
    <col min="6416" max="6416" width="11.42578125" style="381" customWidth="1"/>
    <col min="6417" max="6656" width="9.140625" style="381"/>
    <col min="6657" max="6657" width="3.7109375" style="381" customWidth="1"/>
    <col min="6658" max="6658" width="28.7109375" style="381" customWidth="1"/>
    <col min="6659" max="6659" width="9.42578125" style="381" customWidth="1"/>
    <col min="6660" max="6660" width="13.5703125" style="381" customWidth="1"/>
    <col min="6661" max="6661" width="21.28515625" style="381" customWidth="1"/>
    <col min="6662" max="6662" width="13.140625" style="381" customWidth="1"/>
    <col min="6663" max="6663" width="27.42578125" style="381" customWidth="1"/>
    <col min="6664" max="6664" width="10.85546875" style="381" bestFit="1" customWidth="1"/>
    <col min="6665" max="6665" width="9.140625" style="381"/>
    <col min="6666" max="6666" width="16.7109375" style="381" customWidth="1"/>
    <col min="6667" max="6667" width="18.42578125" style="381" customWidth="1"/>
    <col min="6668" max="6671" width="9.140625" style="381"/>
    <col min="6672" max="6672" width="11.42578125" style="381" customWidth="1"/>
    <col min="6673" max="6912" width="9.140625" style="381"/>
    <col min="6913" max="6913" width="3.7109375" style="381" customWidth="1"/>
    <col min="6914" max="6914" width="28.7109375" style="381" customWidth="1"/>
    <col min="6915" max="6915" width="9.42578125" style="381" customWidth="1"/>
    <col min="6916" max="6916" width="13.5703125" style="381" customWidth="1"/>
    <col min="6917" max="6917" width="21.28515625" style="381" customWidth="1"/>
    <col min="6918" max="6918" width="13.140625" style="381" customWidth="1"/>
    <col min="6919" max="6919" width="27.42578125" style="381" customWidth="1"/>
    <col min="6920" max="6920" width="10.85546875" style="381" bestFit="1" customWidth="1"/>
    <col min="6921" max="6921" width="9.140625" style="381"/>
    <col min="6922" max="6922" width="16.7109375" style="381" customWidth="1"/>
    <col min="6923" max="6923" width="18.42578125" style="381" customWidth="1"/>
    <col min="6924" max="6927" width="9.140625" style="381"/>
    <col min="6928" max="6928" width="11.42578125" style="381" customWidth="1"/>
    <col min="6929" max="7168" width="9.140625" style="381"/>
    <col min="7169" max="7169" width="3.7109375" style="381" customWidth="1"/>
    <col min="7170" max="7170" width="28.7109375" style="381" customWidth="1"/>
    <col min="7171" max="7171" width="9.42578125" style="381" customWidth="1"/>
    <col min="7172" max="7172" width="13.5703125" style="381" customWidth="1"/>
    <col min="7173" max="7173" width="21.28515625" style="381" customWidth="1"/>
    <col min="7174" max="7174" width="13.140625" style="381" customWidth="1"/>
    <col min="7175" max="7175" width="27.42578125" style="381" customWidth="1"/>
    <col min="7176" max="7176" width="10.85546875" style="381" bestFit="1" customWidth="1"/>
    <col min="7177" max="7177" width="9.140625" style="381"/>
    <col min="7178" max="7178" width="16.7109375" style="381" customWidth="1"/>
    <col min="7179" max="7179" width="18.42578125" style="381" customWidth="1"/>
    <col min="7180" max="7183" width="9.140625" style="381"/>
    <col min="7184" max="7184" width="11.42578125" style="381" customWidth="1"/>
    <col min="7185" max="7424" width="9.140625" style="381"/>
    <col min="7425" max="7425" width="3.7109375" style="381" customWidth="1"/>
    <col min="7426" max="7426" width="28.7109375" style="381" customWidth="1"/>
    <col min="7427" max="7427" width="9.42578125" style="381" customWidth="1"/>
    <col min="7428" max="7428" width="13.5703125" style="381" customWidth="1"/>
    <col min="7429" max="7429" width="21.28515625" style="381" customWidth="1"/>
    <col min="7430" max="7430" width="13.140625" style="381" customWidth="1"/>
    <col min="7431" max="7431" width="27.42578125" style="381" customWidth="1"/>
    <col min="7432" max="7432" width="10.85546875" style="381" bestFit="1" customWidth="1"/>
    <col min="7433" max="7433" width="9.140625" style="381"/>
    <col min="7434" max="7434" width="16.7109375" style="381" customWidth="1"/>
    <col min="7435" max="7435" width="18.42578125" style="381" customWidth="1"/>
    <col min="7436" max="7439" width="9.140625" style="381"/>
    <col min="7440" max="7440" width="11.42578125" style="381" customWidth="1"/>
    <col min="7441" max="7680" width="9.140625" style="381"/>
    <col min="7681" max="7681" width="3.7109375" style="381" customWidth="1"/>
    <col min="7682" max="7682" width="28.7109375" style="381" customWidth="1"/>
    <col min="7683" max="7683" width="9.42578125" style="381" customWidth="1"/>
    <col min="7684" max="7684" width="13.5703125" style="381" customWidth="1"/>
    <col min="7685" max="7685" width="21.28515625" style="381" customWidth="1"/>
    <col min="7686" max="7686" width="13.140625" style="381" customWidth="1"/>
    <col min="7687" max="7687" width="27.42578125" style="381" customWidth="1"/>
    <col min="7688" max="7688" width="10.85546875" style="381" bestFit="1" customWidth="1"/>
    <col min="7689" max="7689" width="9.140625" style="381"/>
    <col min="7690" max="7690" width="16.7109375" style="381" customWidth="1"/>
    <col min="7691" max="7691" width="18.42578125" style="381" customWidth="1"/>
    <col min="7692" max="7695" width="9.140625" style="381"/>
    <col min="7696" max="7696" width="11.42578125" style="381" customWidth="1"/>
    <col min="7697" max="7936" width="9.140625" style="381"/>
    <col min="7937" max="7937" width="3.7109375" style="381" customWidth="1"/>
    <col min="7938" max="7938" width="28.7109375" style="381" customWidth="1"/>
    <col min="7939" max="7939" width="9.42578125" style="381" customWidth="1"/>
    <col min="7940" max="7940" width="13.5703125" style="381" customWidth="1"/>
    <col min="7941" max="7941" width="21.28515625" style="381" customWidth="1"/>
    <col min="7942" max="7942" width="13.140625" style="381" customWidth="1"/>
    <col min="7943" max="7943" width="27.42578125" style="381" customWidth="1"/>
    <col min="7944" max="7944" width="10.85546875" style="381" bestFit="1" customWidth="1"/>
    <col min="7945" max="7945" width="9.140625" style="381"/>
    <col min="7946" max="7946" width="16.7109375" style="381" customWidth="1"/>
    <col min="7947" max="7947" width="18.42578125" style="381" customWidth="1"/>
    <col min="7948" max="7951" width="9.140625" style="381"/>
    <col min="7952" max="7952" width="11.42578125" style="381" customWidth="1"/>
    <col min="7953" max="8192" width="9.140625" style="381"/>
    <col min="8193" max="8193" width="3.7109375" style="381" customWidth="1"/>
    <col min="8194" max="8194" width="28.7109375" style="381" customWidth="1"/>
    <col min="8195" max="8195" width="9.42578125" style="381" customWidth="1"/>
    <col min="8196" max="8196" width="13.5703125" style="381" customWidth="1"/>
    <col min="8197" max="8197" width="21.28515625" style="381" customWidth="1"/>
    <col min="8198" max="8198" width="13.140625" style="381" customWidth="1"/>
    <col min="8199" max="8199" width="27.42578125" style="381" customWidth="1"/>
    <col min="8200" max="8200" width="10.85546875" style="381" bestFit="1" customWidth="1"/>
    <col min="8201" max="8201" width="9.140625" style="381"/>
    <col min="8202" max="8202" width="16.7109375" style="381" customWidth="1"/>
    <col min="8203" max="8203" width="18.42578125" style="381" customWidth="1"/>
    <col min="8204" max="8207" width="9.140625" style="381"/>
    <col min="8208" max="8208" width="11.42578125" style="381" customWidth="1"/>
    <col min="8209" max="8448" width="9.140625" style="381"/>
    <col min="8449" max="8449" width="3.7109375" style="381" customWidth="1"/>
    <col min="8450" max="8450" width="28.7109375" style="381" customWidth="1"/>
    <col min="8451" max="8451" width="9.42578125" style="381" customWidth="1"/>
    <col min="8452" max="8452" width="13.5703125" style="381" customWidth="1"/>
    <col min="8453" max="8453" width="21.28515625" style="381" customWidth="1"/>
    <col min="8454" max="8454" width="13.140625" style="381" customWidth="1"/>
    <col min="8455" max="8455" width="27.42578125" style="381" customWidth="1"/>
    <col min="8456" max="8456" width="10.85546875" style="381" bestFit="1" customWidth="1"/>
    <col min="8457" max="8457" width="9.140625" style="381"/>
    <col min="8458" max="8458" width="16.7109375" style="381" customWidth="1"/>
    <col min="8459" max="8459" width="18.42578125" style="381" customWidth="1"/>
    <col min="8460" max="8463" width="9.140625" style="381"/>
    <col min="8464" max="8464" width="11.42578125" style="381" customWidth="1"/>
    <col min="8465" max="8704" width="9.140625" style="381"/>
    <col min="8705" max="8705" width="3.7109375" style="381" customWidth="1"/>
    <col min="8706" max="8706" width="28.7109375" style="381" customWidth="1"/>
    <col min="8707" max="8707" width="9.42578125" style="381" customWidth="1"/>
    <col min="8708" max="8708" width="13.5703125" style="381" customWidth="1"/>
    <col min="8709" max="8709" width="21.28515625" style="381" customWidth="1"/>
    <col min="8710" max="8710" width="13.140625" style="381" customWidth="1"/>
    <col min="8711" max="8711" width="27.42578125" style="381" customWidth="1"/>
    <col min="8712" max="8712" width="10.85546875" style="381" bestFit="1" customWidth="1"/>
    <col min="8713" max="8713" width="9.140625" style="381"/>
    <col min="8714" max="8714" width="16.7109375" style="381" customWidth="1"/>
    <col min="8715" max="8715" width="18.42578125" style="381" customWidth="1"/>
    <col min="8716" max="8719" width="9.140625" style="381"/>
    <col min="8720" max="8720" width="11.42578125" style="381" customWidth="1"/>
    <col min="8721" max="8960" width="9.140625" style="381"/>
    <col min="8961" max="8961" width="3.7109375" style="381" customWidth="1"/>
    <col min="8962" max="8962" width="28.7109375" style="381" customWidth="1"/>
    <col min="8963" max="8963" width="9.42578125" style="381" customWidth="1"/>
    <col min="8964" max="8964" width="13.5703125" style="381" customWidth="1"/>
    <col min="8965" max="8965" width="21.28515625" style="381" customWidth="1"/>
    <col min="8966" max="8966" width="13.140625" style="381" customWidth="1"/>
    <col min="8967" max="8967" width="27.42578125" style="381" customWidth="1"/>
    <col min="8968" max="8968" width="10.85546875" style="381" bestFit="1" customWidth="1"/>
    <col min="8969" max="8969" width="9.140625" style="381"/>
    <col min="8970" max="8970" width="16.7109375" style="381" customWidth="1"/>
    <col min="8971" max="8971" width="18.42578125" style="381" customWidth="1"/>
    <col min="8972" max="8975" width="9.140625" style="381"/>
    <col min="8976" max="8976" width="11.42578125" style="381" customWidth="1"/>
    <col min="8977" max="9216" width="9.140625" style="381"/>
    <col min="9217" max="9217" width="3.7109375" style="381" customWidth="1"/>
    <col min="9218" max="9218" width="28.7109375" style="381" customWidth="1"/>
    <col min="9219" max="9219" width="9.42578125" style="381" customWidth="1"/>
    <col min="9220" max="9220" width="13.5703125" style="381" customWidth="1"/>
    <col min="9221" max="9221" width="21.28515625" style="381" customWidth="1"/>
    <col min="9222" max="9222" width="13.140625" style="381" customWidth="1"/>
    <col min="9223" max="9223" width="27.42578125" style="381" customWidth="1"/>
    <col min="9224" max="9224" width="10.85546875" style="381" bestFit="1" customWidth="1"/>
    <col min="9225" max="9225" width="9.140625" style="381"/>
    <col min="9226" max="9226" width="16.7109375" style="381" customWidth="1"/>
    <col min="9227" max="9227" width="18.42578125" style="381" customWidth="1"/>
    <col min="9228" max="9231" width="9.140625" style="381"/>
    <col min="9232" max="9232" width="11.42578125" style="381" customWidth="1"/>
    <col min="9233" max="9472" width="9.140625" style="381"/>
    <col min="9473" max="9473" width="3.7109375" style="381" customWidth="1"/>
    <col min="9474" max="9474" width="28.7109375" style="381" customWidth="1"/>
    <col min="9475" max="9475" width="9.42578125" style="381" customWidth="1"/>
    <col min="9476" max="9476" width="13.5703125" style="381" customWidth="1"/>
    <col min="9477" max="9477" width="21.28515625" style="381" customWidth="1"/>
    <col min="9478" max="9478" width="13.140625" style="381" customWidth="1"/>
    <col min="9479" max="9479" width="27.42578125" style="381" customWidth="1"/>
    <col min="9480" max="9480" width="10.85546875" style="381" bestFit="1" customWidth="1"/>
    <col min="9481" max="9481" width="9.140625" style="381"/>
    <col min="9482" max="9482" width="16.7109375" style="381" customWidth="1"/>
    <col min="9483" max="9483" width="18.42578125" style="381" customWidth="1"/>
    <col min="9484" max="9487" width="9.140625" style="381"/>
    <col min="9488" max="9488" width="11.42578125" style="381" customWidth="1"/>
    <col min="9489" max="9728" width="9.140625" style="381"/>
    <col min="9729" max="9729" width="3.7109375" style="381" customWidth="1"/>
    <col min="9730" max="9730" width="28.7109375" style="381" customWidth="1"/>
    <col min="9731" max="9731" width="9.42578125" style="381" customWidth="1"/>
    <col min="9732" max="9732" width="13.5703125" style="381" customWidth="1"/>
    <col min="9733" max="9733" width="21.28515625" style="381" customWidth="1"/>
    <col min="9734" max="9734" width="13.140625" style="381" customWidth="1"/>
    <col min="9735" max="9735" width="27.42578125" style="381" customWidth="1"/>
    <col min="9736" max="9736" width="10.85546875" style="381" bestFit="1" customWidth="1"/>
    <col min="9737" max="9737" width="9.140625" style="381"/>
    <col min="9738" max="9738" width="16.7109375" style="381" customWidth="1"/>
    <col min="9739" max="9739" width="18.42578125" style="381" customWidth="1"/>
    <col min="9740" max="9743" width="9.140625" style="381"/>
    <col min="9744" max="9744" width="11.42578125" style="381" customWidth="1"/>
    <col min="9745" max="9984" width="9.140625" style="381"/>
    <col min="9985" max="9985" width="3.7109375" style="381" customWidth="1"/>
    <col min="9986" max="9986" width="28.7109375" style="381" customWidth="1"/>
    <col min="9987" max="9987" width="9.42578125" style="381" customWidth="1"/>
    <col min="9988" max="9988" width="13.5703125" style="381" customWidth="1"/>
    <col min="9989" max="9989" width="21.28515625" style="381" customWidth="1"/>
    <col min="9990" max="9990" width="13.140625" style="381" customWidth="1"/>
    <col min="9991" max="9991" width="27.42578125" style="381" customWidth="1"/>
    <col min="9992" max="9992" width="10.85546875" style="381" bestFit="1" customWidth="1"/>
    <col min="9993" max="9993" width="9.140625" style="381"/>
    <col min="9994" max="9994" width="16.7109375" style="381" customWidth="1"/>
    <col min="9995" max="9995" width="18.42578125" style="381" customWidth="1"/>
    <col min="9996" max="9999" width="9.140625" style="381"/>
    <col min="10000" max="10000" width="11.42578125" style="381" customWidth="1"/>
    <col min="10001" max="10240" width="9.140625" style="381"/>
    <col min="10241" max="10241" width="3.7109375" style="381" customWidth="1"/>
    <col min="10242" max="10242" width="28.7109375" style="381" customWidth="1"/>
    <col min="10243" max="10243" width="9.42578125" style="381" customWidth="1"/>
    <col min="10244" max="10244" width="13.5703125" style="381" customWidth="1"/>
    <col min="10245" max="10245" width="21.28515625" style="381" customWidth="1"/>
    <col min="10246" max="10246" width="13.140625" style="381" customWidth="1"/>
    <col min="10247" max="10247" width="27.42578125" style="381" customWidth="1"/>
    <col min="10248" max="10248" width="10.85546875" style="381" bestFit="1" customWidth="1"/>
    <col min="10249" max="10249" width="9.140625" style="381"/>
    <col min="10250" max="10250" width="16.7109375" style="381" customWidth="1"/>
    <col min="10251" max="10251" width="18.42578125" style="381" customWidth="1"/>
    <col min="10252" max="10255" width="9.140625" style="381"/>
    <col min="10256" max="10256" width="11.42578125" style="381" customWidth="1"/>
    <col min="10257" max="10496" width="9.140625" style="381"/>
    <col min="10497" max="10497" width="3.7109375" style="381" customWidth="1"/>
    <col min="10498" max="10498" width="28.7109375" style="381" customWidth="1"/>
    <col min="10499" max="10499" width="9.42578125" style="381" customWidth="1"/>
    <col min="10500" max="10500" width="13.5703125" style="381" customWidth="1"/>
    <col min="10501" max="10501" width="21.28515625" style="381" customWidth="1"/>
    <col min="10502" max="10502" width="13.140625" style="381" customWidth="1"/>
    <col min="10503" max="10503" width="27.42578125" style="381" customWidth="1"/>
    <col min="10504" max="10504" width="10.85546875" style="381" bestFit="1" customWidth="1"/>
    <col min="10505" max="10505" width="9.140625" style="381"/>
    <col min="10506" max="10506" width="16.7109375" style="381" customWidth="1"/>
    <col min="10507" max="10507" width="18.42578125" style="381" customWidth="1"/>
    <col min="10508" max="10511" width="9.140625" style="381"/>
    <col min="10512" max="10512" width="11.42578125" style="381" customWidth="1"/>
    <col min="10513" max="10752" width="9.140625" style="381"/>
    <col min="10753" max="10753" width="3.7109375" style="381" customWidth="1"/>
    <col min="10754" max="10754" width="28.7109375" style="381" customWidth="1"/>
    <col min="10755" max="10755" width="9.42578125" style="381" customWidth="1"/>
    <col min="10756" max="10756" width="13.5703125" style="381" customWidth="1"/>
    <col min="10757" max="10757" width="21.28515625" style="381" customWidth="1"/>
    <col min="10758" max="10758" width="13.140625" style="381" customWidth="1"/>
    <col min="10759" max="10759" width="27.42578125" style="381" customWidth="1"/>
    <col min="10760" max="10760" width="10.85546875" style="381" bestFit="1" customWidth="1"/>
    <col min="10761" max="10761" width="9.140625" style="381"/>
    <col min="10762" max="10762" width="16.7109375" style="381" customWidth="1"/>
    <col min="10763" max="10763" width="18.42578125" style="381" customWidth="1"/>
    <col min="10764" max="10767" width="9.140625" style="381"/>
    <col min="10768" max="10768" width="11.42578125" style="381" customWidth="1"/>
    <col min="10769" max="11008" width="9.140625" style="381"/>
    <col min="11009" max="11009" width="3.7109375" style="381" customWidth="1"/>
    <col min="11010" max="11010" width="28.7109375" style="381" customWidth="1"/>
    <col min="11011" max="11011" width="9.42578125" style="381" customWidth="1"/>
    <col min="11012" max="11012" width="13.5703125" style="381" customWidth="1"/>
    <col min="11013" max="11013" width="21.28515625" style="381" customWidth="1"/>
    <col min="11014" max="11014" width="13.140625" style="381" customWidth="1"/>
    <col min="11015" max="11015" width="27.42578125" style="381" customWidth="1"/>
    <col min="11016" max="11016" width="10.85546875" style="381" bestFit="1" customWidth="1"/>
    <col min="11017" max="11017" width="9.140625" style="381"/>
    <col min="11018" max="11018" width="16.7109375" style="381" customWidth="1"/>
    <col min="11019" max="11019" width="18.42578125" style="381" customWidth="1"/>
    <col min="11020" max="11023" width="9.140625" style="381"/>
    <col min="11024" max="11024" width="11.42578125" style="381" customWidth="1"/>
    <col min="11025" max="11264" width="9.140625" style="381"/>
    <col min="11265" max="11265" width="3.7109375" style="381" customWidth="1"/>
    <col min="11266" max="11266" width="28.7109375" style="381" customWidth="1"/>
    <col min="11267" max="11267" width="9.42578125" style="381" customWidth="1"/>
    <col min="11268" max="11268" width="13.5703125" style="381" customWidth="1"/>
    <col min="11269" max="11269" width="21.28515625" style="381" customWidth="1"/>
    <col min="11270" max="11270" width="13.140625" style="381" customWidth="1"/>
    <col min="11271" max="11271" width="27.42578125" style="381" customWidth="1"/>
    <col min="11272" max="11272" width="10.85546875" style="381" bestFit="1" customWidth="1"/>
    <col min="11273" max="11273" width="9.140625" style="381"/>
    <col min="11274" max="11274" width="16.7109375" style="381" customWidth="1"/>
    <col min="11275" max="11275" width="18.42578125" style="381" customWidth="1"/>
    <col min="11276" max="11279" width="9.140625" style="381"/>
    <col min="11280" max="11280" width="11.42578125" style="381" customWidth="1"/>
    <col min="11281" max="11520" width="9.140625" style="381"/>
    <col min="11521" max="11521" width="3.7109375" style="381" customWidth="1"/>
    <col min="11522" max="11522" width="28.7109375" style="381" customWidth="1"/>
    <col min="11523" max="11523" width="9.42578125" style="381" customWidth="1"/>
    <col min="11524" max="11524" width="13.5703125" style="381" customWidth="1"/>
    <col min="11525" max="11525" width="21.28515625" style="381" customWidth="1"/>
    <col min="11526" max="11526" width="13.140625" style="381" customWidth="1"/>
    <col min="11527" max="11527" width="27.42578125" style="381" customWidth="1"/>
    <col min="11528" max="11528" width="10.85546875" style="381" bestFit="1" customWidth="1"/>
    <col min="11529" max="11529" width="9.140625" style="381"/>
    <col min="11530" max="11530" width="16.7109375" style="381" customWidth="1"/>
    <col min="11531" max="11531" width="18.42578125" style="381" customWidth="1"/>
    <col min="11532" max="11535" width="9.140625" style="381"/>
    <col min="11536" max="11536" width="11.42578125" style="381" customWidth="1"/>
    <col min="11537" max="11776" width="9.140625" style="381"/>
    <col min="11777" max="11777" width="3.7109375" style="381" customWidth="1"/>
    <col min="11778" max="11778" width="28.7109375" style="381" customWidth="1"/>
    <col min="11779" max="11779" width="9.42578125" style="381" customWidth="1"/>
    <col min="11780" max="11780" width="13.5703125" style="381" customWidth="1"/>
    <col min="11781" max="11781" width="21.28515625" style="381" customWidth="1"/>
    <col min="11782" max="11782" width="13.140625" style="381" customWidth="1"/>
    <col min="11783" max="11783" width="27.42578125" style="381" customWidth="1"/>
    <col min="11784" max="11784" width="10.85546875" style="381" bestFit="1" customWidth="1"/>
    <col min="11785" max="11785" width="9.140625" style="381"/>
    <col min="11786" max="11786" width="16.7109375" style="381" customWidth="1"/>
    <col min="11787" max="11787" width="18.42578125" style="381" customWidth="1"/>
    <col min="11788" max="11791" width="9.140625" style="381"/>
    <col min="11792" max="11792" width="11.42578125" style="381" customWidth="1"/>
    <col min="11793" max="12032" width="9.140625" style="381"/>
    <col min="12033" max="12033" width="3.7109375" style="381" customWidth="1"/>
    <col min="12034" max="12034" width="28.7109375" style="381" customWidth="1"/>
    <col min="12035" max="12035" width="9.42578125" style="381" customWidth="1"/>
    <col min="12036" max="12036" width="13.5703125" style="381" customWidth="1"/>
    <col min="12037" max="12037" width="21.28515625" style="381" customWidth="1"/>
    <col min="12038" max="12038" width="13.140625" style="381" customWidth="1"/>
    <col min="12039" max="12039" width="27.42578125" style="381" customWidth="1"/>
    <col min="12040" max="12040" width="10.85546875" style="381" bestFit="1" customWidth="1"/>
    <col min="12041" max="12041" width="9.140625" style="381"/>
    <col min="12042" max="12042" width="16.7109375" style="381" customWidth="1"/>
    <col min="12043" max="12043" width="18.42578125" style="381" customWidth="1"/>
    <col min="12044" max="12047" width="9.140625" style="381"/>
    <col min="12048" max="12048" width="11.42578125" style="381" customWidth="1"/>
    <col min="12049" max="12288" width="9.140625" style="381"/>
    <col min="12289" max="12289" width="3.7109375" style="381" customWidth="1"/>
    <col min="12290" max="12290" width="28.7109375" style="381" customWidth="1"/>
    <col min="12291" max="12291" width="9.42578125" style="381" customWidth="1"/>
    <col min="12292" max="12292" width="13.5703125" style="381" customWidth="1"/>
    <col min="12293" max="12293" width="21.28515625" style="381" customWidth="1"/>
    <col min="12294" max="12294" width="13.140625" style="381" customWidth="1"/>
    <col min="12295" max="12295" width="27.42578125" style="381" customWidth="1"/>
    <col min="12296" max="12296" width="10.85546875" style="381" bestFit="1" customWidth="1"/>
    <col min="12297" max="12297" width="9.140625" style="381"/>
    <col min="12298" max="12298" width="16.7109375" style="381" customWidth="1"/>
    <col min="12299" max="12299" width="18.42578125" style="381" customWidth="1"/>
    <col min="12300" max="12303" width="9.140625" style="381"/>
    <col min="12304" max="12304" width="11.42578125" style="381" customWidth="1"/>
    <col min="12305" max="12544" width="9.140625" style="381"/>
    <col min="12545" max="12545" width="3.7109375" style="381" customWidth="1"/>
    <col min="12546" max="12546" width="28.7109375" style="381" customWidth="1"/>
    <col min="12547" max="12547" width="9.42578125" style="381" customWidth="1"/>
    <col min="12548" max="12548" width="13.5703125" style="381" customWidth="1"/>
    <col min="12549" max="12549" width="21.28515625" style="381" customWidth="1"/>
    <col min="12550" max="12550" width="13.140625" style="381" customWidth="1"/>
    <col min="12551" max="12551" width="27.42578125" style="381" customWidth="1"/>
    <col min="12552" max="12552" width="10.85546875" style="381" bestFit="1" customWidth="1"/>
    <col min="12553" max="12553" width="9.140625" style="381"/>
    <col min="12554" max="12554" width="16.7109375" style="381" customWidth="1"/>
    <col min="12555" max="12555" width="18.42578125" style="381" customWidth="1"/>
    <col min="12556" max="12559" width="9.140625" style="381"/>
    <col min="12560" max="12560" width="11.42578125" style="381" customWidth="1"/>
    <col min="12561" max="12800" width="9.140625" style="381"/>
    <col min="12801" max="12801" width="3.7109375" style="381" customWidth="1"/>
    <col min="12802" max="12802" width="28.7109375" style="381" customWidth="1"/>
    <col min="12803" max="12803" width="9.42578125" style="381" customWidth="1"/>
    <col min="12804" max="12804" width="13.5703125" style="381" customWidth="1"/>
    <col min="12805" max="12805" width="21.28515625" style="381" customWidth="1"/>
    <col min="12806" max="12806" width="13.140625" style="381" customWidth="1"/>
    <col min="12807" max="12807" width="27.42578125" style="381" customWidth="1"/>
    <col min="12808" max="12808" width="10.85546875" style="381" bestFit="1" customWidth="1"/>
    <col min="12809" max="12809" width="9.140625" style="381"/>
    <col min="12810" max="12810" width="16.7109375" style="381" customWidth="1"/>
    <col min="12811" max="12811" width="18.42578125" style="381" customWidth="1"/>
    <col min="12812" max="12815" width="9.140625" style="381"/>
    <col min="12816" max="12816" width="11.42578125" style="381" customWidth="1"/>
    <col min="12817" max="13056" width="9.140625" style="381"/>
    <col min="13057" max="13057" width="3.7109375" style="381" customWidth="1"/>
    <col min="13058" max="13058" width="28.7109375" style="381" customWidth="1"/>
    <col min="13059" max="13059" width="9.42578125" style="381" customWidth="1"/>
    <col min="13060" max="13060" width="13.5703125" style="381" customWidth="1"/>
    <col min="13061" max="13061" width="21.28515625" style="381" customWidth="1"/>
    <col min="13062" max="13062" width="13.140625" style="381" customWidth="1"/>
    <col min="13063" max="13063" width="27.42578125" style="381" customWidth="1"/>
    <col min="13064" max="13064" width="10.85546875" style="381" bestFit="1" customWidth="1"/>
    <col min="13065" max="13065" width="9.140625" style="381"/>
    <col min="13066" max="13066" width="16.7109375" style="381" customWidth="1"/>
    <col min="13067" max="13067" width="18.42578125" style="381" customWidth="1"/>
    <col min="13068" max="13071" width="9.140625" style="381"/>
    <col min="13072" max="13072" width="11.42578125" style="381" customWidth="1"/>
    <col min="13073" max="13312" width="9.140625" style="381"/>
    <col min="13313" max="13313" width="3.7109375" style="381" customWidth="1"/>
    <col min="13314" max="13314" width="28.7109375" style="381" customWidth="1"/>
    <col min="13315" max="13315" width="9.42578125" style="381" customWidth="1"/>
    <col min="13316" max="13316" width="13.5703125" style="381" customWidth="1"/>
    <col min="13317" max="13317" width="21.28515625" style="381" customWidth="1"/>
    <col min="13318" max="13318" width="13.140625" style="381" customWidth="1"/>
    <col min="13319" max="13319" width="27.42578125" style="381" customWidth="1"/>
    <col min="13320" max="13320" width="10.85546875" style="381" bestFit="1" customWidth="1"/>
    <col min="13321" max="13321" width="9.140625" style="381"/>
    <col min="13322" max="13322" width="16.7109375" style="381" customWidth="1"/>
    <col min="13323" max="13323" width="18.42578125" style="381" customWidth="1"/>
    <col min="13324" max="13327" width="9.140625" style="381"/>
    <col min="13328" max="13328" width="11.42578125" style="381" customWidth="1"/>
    <col min="13329" max="13568" width="9.140625" style="381"/>
    <col min="13569" max="13569" width="3.7109375" style="381" customWidth="1"/>
    <col min="13570" max="13570" width="28.7109375" style="381" customWidth="1"/>
    <col min="13571" max="13571" width="9.42578125" style="381" customWidth="1"/>
    <col min="13572" max="13572" width="13.5703125" style="381" customWidth="1"/>
    <col min="13573" max="13573" width="21.28515625" style="381" customWidth="1"/>
    <col min="13574" max="13574" width="13.140625" style="381" customWidth="1"/>
    <col min="13575" max="13575" width="27.42578125" style="381" customWidth="1"/>
    <col min="13576" max="13576" width="10.85546875" style="381" bestFit="1" customWidth="1"/>
    <col min="13577" max="13577" width="9.140625" style="381"/>
    <col min="13578" max="13578" width="16.7109375" style="381" customWidth="1"/>
    <col min="13579" max="13579" width="18.42578125" style="381" customWidth="1"/>
    <col min="13580" max="13583" width="9.140625" style="381"/>
    <col min="13584" max="13584" width="11.42578125" style="381" customWidth="1"/>
    <col min="13585" max="13824" width="9.140625" style="381"/>
    <col min="13825" max="13825" width="3.7109375" style="381" customWidth="1"/>
    <col min="13826" max="13826" width="28.7109375" style="381" customWidth="1"/>
    <col min="13827" max="13827" width="9.42578125" style="381" customWidth="1"/>
    <col min="13828" max="13828" width="13.5703125" style="381" customWidth="1"/>
    <col min="13829" max="13829" width="21.28515625" style="381" customWidth="1"/>
    <col min="13830" max="13830" width="13.140625" style="381" customWidth="1"/>
    <col min="13831" max="13831" width="27.42578125" style="381" customWidth="1"/>
    <col min="13832" max="13832" width="10.85546875" style="381" bestFit="1" customWidth="1"/>
    <col min="13833" max="13833" width="9.140625" style="381"/>
    <col min="13834" max="13834" width="16.7109375" style="381" customWidth="1"/>
    <col min="13835" max="13835" width="18.42578125" style="381" customWidth="1"/>
    <col min="13836" max="13839" width="9.140625" style="381"/>
    <col min="13840" max="13840" width="11.42578125" style="381" customWidth="1"/>
    <col min="13841" max="14080" width="9.140625" style="381"/>
    <col min="14081" max="14081" width="3.7109375" style="381" customWidth="1"/>
    <col min="14082" max="14082" width="28.7109375" style="381" customWidth="1"/>
    <col min="14083" max="14083" width="9.42578125" style="381" customWidth="1"/>
    <col min="14084" max="14084" width="13.5703125" style="381" customWidth="1"/>
    <col min="14085" max="14085" width="21.28515625" style="381" customWidth="1"/>
    <col min="14086" max="14086" width="13.140625" style="381" customWidth="1"/>
    <col min="14087" max="14087" width="27.42578125" style="381" customWidth="1"/>
    <col min="14088" max="14088" width="10.85546875" style="381" bestFit="1" customWidth="1"/>
    <col min="14089" max="14089" width="9.140625" style="381"/>
    <col min="14090" max="14090" width="16.7109375" style="381" customWidth="1"/>
    <col min="14091" max="14091" width="18.42578125" style="381" customWidth="1"/>
    <col min="14092" max="14095" width="9.140625" style="381"/>
    <col min="14096" max="14096" width="11.42578125" style="381" customWidth="1"/>
    <col min="14097" max="14336" width="9.140625" style="381"/>
    <col min="14337" max="14337" width="3.7109375" style="381" customWidth="1"/>
    <col min="14338" max="14338" width="28.7109375" style="381" customWidth="1"/>
    <col min="14339" max="14339" width="9.42578125" style="381" customWidth="1"/>
    <col min="14340" max="14340" width="13.5703125" style="381" customWidth="1"/>
    <col min="14341" max="14341" width="21.28515625" style="381" customWidth="1"/>
    <col min="14342" max="14342" width="13.140625" style="381" customWidth="1"/>
    <col min="14343" max="14343" width="27.42578125" style="381" customWidth="1"/>
    <col min="14344" max="14344" width="10.85546875" style="381" bestFit="1" customWidth="1"/>
    <col min="14345" max="14345" width="9.140625" style="381"/>
    <col min="14346" max="14346" width="16.7109375" style="381" customWidth="1"/>
    <col min="14347" max="14347" width="18.42578125" style="381" customWidth="1"/>
    <col min="14348" max="14351" width="9.140625" style="381"/>
    <col min="14352" max="14352" width="11.42578125" style="381" customWidth="1"/>
    <col min="14353" max="14592" width="9.140625" style="381"/>
    <col min="14593" max="14593" width="3.7109375" style="381" customWidth="1"/>
    <col min="14594" max="14594" width="28.7109375" style="381" customWidth="1"/>
    <col min="14595" max="14595" width="9.42578125" style="381" customWidth="1"/>
    <col min="14596" max="14596" width="13.5703125" style="381" customWidth="1"/>
    <col min="14597" max="14597" width="21.28515625" style="381" customWidth="1"/>
    <col min="14598" max="14598" width="13.140625" style="381" customWidth="1"/>
    <col min="14599" max="14599" width="27.42578125" style="381" customWidth="1"/>
    <col min="14600" max="14600" width="10.85546875" style="381" bestFit="1" customWidth="1"/>
    <col min="14601" max="14601" width="9.140625" style="381"/>
    <col min="14602" max="14602" width="16.7109375" style="381" customWidth="1"/>
    <col min="14603" max="14603" width="18.42578125" style="381" customWidth="1"/>
    <col min="14604" max="14607" width="9.140625" style="381"/>
    <col min="14608" max="14608" width="11.42578125" style="381" customWidth="1"/>
    <col min="14609" max="14848" width="9.140625" style="381"/>
    <col min="14849" max="14849" width="3.7109375" style="381" customWidth="1"/>
    <col min="14850" max="14850" width="28.7109375" style="381" customWidth="1"/>
    <col min="14851" max="14851" width="9.42578125" style="381" customWidth="1"/>
    <col min="14852" max="14852" width="13.5703125" style="381" customWidth="1"/>
    <col min="14853" max="14853" width="21.28515625" style="381" customWidth="1"/>
    <col min="14854" max="14854" width="13.140625" style="381" customWidth="1"/>
    <col min="14855" max="14855" width="27.42578125" style="381" customWidth="1"/>
    <col min="14856" max="14856" width="10.85546875" style="381" bestFit="1" customWidth="1"/>
    <col min="14857" max="14857" width="9.140625" style="381"/>
    <col min="14858" max="14858" width="16.7109375" style="381" customWidth="1"/>
    <col min="14859" max="14859" width="18.42578125" style="381" customWidth="1"/>
    <col min="14860" max="14863" width="9.140625" style="381"/>
    <col min="14864" max="14864" width="11.42578125" style="381" customWidth="1"/>
    <col min="14865" max="15104" width="9.140625" style="381"/>
    <col min="15105" max="15105" width="3.7109375" style="381" customWidth="1"/>
    <col min="15106" max="15106" width="28.7109375" style="381" customWidth="1"/>
    <col min="15107" max="15107" width="9.42578125" style="381" customWidth="1"/>
    <col min="15108" max="15108" width="13.5703125" style="381" customWidth="1"/>
    <col min="15109" max="15109" width="21.28515625" style="381" customWidth="1"/>
    <col min="15110" max="15110" width="13.140625" style="381" customWidth="1"/>
    <col min="15111" max="15111" width="27.42578125" style="381" customWidth="1"/>
    <col min="15112" max="15112" width="10.85546875" style="381" bestFit="1" customWidth="1"/>
    <col min="15113" max="15113" width="9.140625" style="381"/>
    <col min="15114" max="15114" width="16.7109375" style="381" customWidth="1"/>
    <col min="15115" max="15115" width="18.42578125" style="381" customWidth="1"/>
    <col min="15116" max="15119" width="9.140625" style="381"/>
    <col min="15120" max="15120" width="11.42578125" style="381" customWidth="1"/>
    <col min="15121" max="15360" width="9.140625" style="381"/>
    <col min="15361" max="15361" width="3.7109375" style="381" customWidth="1"/>
    <col min="15362" max="15362" width="28.7109375" style="381" customWidth="1"/>
    <col min="15363" max="15363" width="9.42578125" style="381" customWidth="1"/>
    <col min="15364" max="15364" width="13.5703125" style="381" customWidth="1"/>
    <col min="15365" max="15365" width="21.28515625" style="381" customWidth="1"/>
    <col min="15366" max="15366" width="13.140625" style="381" customWidth="1"/>
    <col min="15367" max="15367" width="27.42578125" style="381" customWidth="1"/>
    <col min="15368" max="15368" width="10.85546875" style="381" bestFit="1" customWidth="1"/>
    <col min="15369" max="15369" width="9.140625" style="381"/>
    <col min="15370" max="15370" width="16.7109375" style="381" customWidth="1"/>
    <col min="15371" max="15371" width="18.42578125" style="381" customWidth="1"/>
    <col min="15372" max="15375" width="9.140625" style="381"/>
    <col min="15376" max="15376" width="11.42578125" style="381" customWidth="1"/>
    <col min="15377" max="15616" width="9.140625" style="381"/>
    <col min="15617" max="15617" width="3.7109375" style="381" customWidth="1"/>
    <col min="15618" max="15618" width="28.7109375" style="381" customWidth="1"/>
    <col min="15619" max="15619" width="9.42578125" style="381" customWidth="1"/>
    <col min="15620" max="15620" width="13.5703125" style="381" customWidth="1"/>
    <col min="15621" max="15621" width="21.28515625" style="381" customWidth="1"/>
    <col min="15622" max="15622" width="13.140625" style="381" customWidth="1"/>
    <col min="15623" max="15623" width="27.42578125" style="381" customWidth="1"/>
    <col min="15624" max="15624" width="10.85546875" style="381" bestFit="1" customWidth="1"/>
    <col min="15625" max="15625" width="9.140625" style="381"/>
    <col min="15626" max="15626" width="16.7109375" style="381" customWidth="1"/>
    <col min="15627" max="15627" width="18.42578125" style="381" customWidth="1"/>
    <col min="15628" max="15631" width="9.140625" style="381"/>
    <col min="15632" max="15632" width="11.42578125" style="381" customWidth="1"/>
    <col min="15633" max="15872" width="9.140625" style="381"/>
    <col min="15873" max="15873" width="3.7109375" style="381" customWidth="1"/>
    <col min="15874" max="15874" width="28.7109375" style="381" customWidth="1"/>
    <col min="15875" max="15875" width="9.42578125" style="381" customWidth="1"/>
    <col min="15876" max="15876" width="13.5703125" style="381" customWidth="1"/>
    <col min="15877" max="15877" width="21.28515625" style="381" customWidth="1"/>
    <col min="15878" max="15878" width="13.140625" style="381" customWidth="1"/>
    <col min="15879" max="15879" width="27.42578125" style="381" customWidth="1"/>
    <col min="15880" max="15880" width="10.85546875" style="381" bestFit="1" customWidth="1"/>
    <col min="15881" max="15881" width="9.140625" style="381"/>
    <col min="15882" max="15882" width="16.7109375" style="381" customWidth="1"/>
    <col min="15883" max="15883" width="18.42578125" style="381" customWidth="1"/>
    <col min="15884" max="15887" width="9.140625" style="381"/>
    <col min="15888" max="15888" width="11.42578125" style="381" customWidth="1"/>
    <col min="15889" max="16128" width="9.140625" style="381"/>
    <col min="16129" max="16129" width="3.7109375" style="381" customWidth="1"/>
    <col min="16130" max="16130" width="28.7109375" style="381" customWidth="1"/>
    <col min="16131" max="16131" width="9.42578125" style="381" customWidth="1"/>
    <col min="16132" max="16132" width="13.5703125" style="381" customWidth="1"/>
    <col min="16133" max="16133" width="21.28515625" style="381" customWidth="1"/>
    <col min="16134" max="16134" width="13.140625" style="381" customWidth="1"/>
    <col min="16135" max="16135" width="27.42578125" style="381" customWidth="1"/>
    <col min="16136" max="16136" width="10.85546875" style="381" bestFit="1" customWidth="1"/>
    <col min="16137" max="16137" width="9.140625" style="381"/>
    <col min="16138" max="16138" width="16.7109375" style="381" customWidth="1"/>
    <col min="16139" max="16139" width="18.42578125" style="381" customWidth="1"/>
    <col min="16140" max="16143" width="9.140625" style="381"/>
    <col min="16144" max="16144" width="11.42578125" style="381" customWidth="1"/>
    <col min="16145" max="16384" width="9.140625" style="381"/>
  </cols>
  <sheetData>
    <row r="2" spans="1:12" ht="39.75" customHeight="1" x14ac:dyDescent="0.2">
      <c r="A2" s="380"/>
      <c r="B2" s="2367" t="s">
        <v>20</v>
      </c>
      <c r="C2" s="2368"/>
      <c r="D2" s="2368"/>
      <c r="E2" s="2368"/>
      <c r="F2" s="2368"/>
      <c r="G2" s="2368"/>
      <c r="H2" s="2369"/>
      <c r="I2" s="2369"/>
      <c r="J2" s="2369"/>
      <c r="K2" s="2369"/>
      <c r="L2" s="2369"/>
    </row>
    <row r="3" spans="1:12" ht="15.75" hidden="1" x14ac:dyDescent="0.2">
      <c r="A3" s="382"/>
      <c r="B3" s="383"/>
      <c r="C3" s="384"/>
      <c r="D3" s="383"/>
      <c r="E3" s="383"/>
      <c r="F3" s="383"/>
      <c r="G3" s="383"/>
    </row>
    <row r="4" spans="1:12" ht="35.25" customHeight="1" x14ac:dyDescent="0.2">
      <c r="A4" s="2370" t="s">
        <v>6390</v>
      </c>
      <c r="B4" s="2370"/>
      <c r="C4" s="2370"/>
      <c r="D4" s="2370"/>
      <c r="E4" s="2370"/>
      <c r="F4" s="2370"/>
      <c r="G4" s="2370"/>
      <c r="H4" s="385"/>
      <c r="I4" s="385"/>
      <c r="J4" s="385"/>
      <c r="K4" s="385"/>
    </row>
    <row r="5" spans="1:12" ht="15.75" x14ac:dyDescent="0.2">
      <c r="A5" s="382"/>
      <c r="B5" s="383"/>
      <c r="C5" s="383"/>
      <c r="D5" s="383"/>
      <c r="E5" s="383"/>
      <c r="F5" s="383"/>
      <c r="G5" s="383"/>
    </row>
    <row r="6" spans="1:12" ht="15.75" x14ac:dyDescent="0.2">
      <c r="A6" s="2371" t="s">
        <v>562</v>
      </c>
      <c r="B6" s="2371"/>
      <c r="C6" s="383" t="s">
        <v>5654</v>
      </c>
      <c r="D6" s="383"/>
      <c r="E6" s="383"/>
      <c r="F6" s="383"/>
      <c r="G6" s="383"/>
    </row>
    <row r="7" spans="1:12" ht="18.75" x14ac:dyDescent="0.3">
      <c r="A7" s="2371" t="s">
        <v>5655</v>
      </c>
      <c r="B7" s="2371"/>
      <c r="C7" s="386" t="s">
        <v>5656</v>
      </c>
      <c r="D7" s="383"/>
      <c r="E7" s="383"/>
      <c r="F7" s="383"/>
      <c r="G7" s="383"/>
    </row>
    <row r="8" spans="1:12" ht="15.75" x14ac:dyDescent="0.2">
      <c r="A8" s="387"/>
      <c r="B8" s="383"/>
      <c r="C8" s="383"/>
      <c r="D8" s="383"/>
      <c r="E8" s="383"/>
      <c r="F8" s="383"/>
      <c r="G8" s="383"/>
    </row>
    <row r="9" spans="1:12" ht="15.75" x14ac:dyDescent="0.2">
      <c r="A9" s="387" t="s">
        <v>5657</v>
      </c>
      <c r="B9" s="383"/>
      <c r="C9" s="383" t="s">
        <v>7122</v>
      </c>
      <c r="D9" s="383"/>
      <c r="E9" s="383"/>
      <c r="F9" s="383"/>
      <c r="G9" s="383"/>
    </row>
    <row r="10" spans="1:12" ht="3" hidden="1" customHeight="1" x14ac:dyDescent="0.2">
      <c r="A10" s="387"/>
      <c r="B10" s="383"/>
      <c r="C10" s="383"/>
      <c r="D10" s="383"/>
      <c r="E10" s="383"/>
      <c r="F10" s="383"/>
      <c r="G10" s="383"/>
    </row>
    <row r="11" spans="1:12" ht="15.75" x14ac:dyDescent="0.2">
      <c r="A11" s="387" t="s">
        <v>5658</v>
      </c>
      <c r="B11" s="383"/>
      <c r="C11" s="383" t="s">
        <v>6391</v>
      </c>
      <c r="D11" s="383"/>
      <c r="E11" s="383"/>
      <c r="F11" s="383"/>
      <c r="G11" s="383"/>
    </row>
    <row r="12" spans="1:12" ht="13.5" customHeight="1" x14ac:dyDescent="0.2">
      <c r="A12" s="2372" t="s">
        <v>6392</v>
      </c>
      <c r="B12" s="2373"/>
      <c r="C12" s="2373"/>
      <c r="D12" s="2373"/>
      <c r="E12" s="2373"/>
      <c r="F12" s="2373"/>
      <c r="G12" s="2373"/>
    </row>
    <row r="13" spans="1:12" ht="15.75" hidden="1" x14ac:dyDescent="0.2">
      <c r="A13" s="382"/>
      <c r="B13" s="383"/>
      <c r="C13" s="383"/>
      <c r="D13" s="383"/>
      <c r="E13" s="383"/>
      <c r="F13" s="383"/>
      <c r="G13" s="383"/>
    </row>
    <row r="14" spans="1:12" s="390" customFormat="1" ht="47.25" x14ac:dyDescent="0.2">
      <c r="A14" s="388" t="s">
        <v>8</v>
      </c>
      <c r="B14" s="389" t="s">
        <v>6393</v>
      </c>
      <c r="C14" s="389" t="s">
        <v>6394</v>
      </c>
      <c r="D14" s="389" t="s">
        <v>7</v>
      </c>
      <c r="E14" s="389" t="s">
        <v>6395</v>
      </c>
      <c r="F14" s="389" t="s">
        <v>6396</v>
      </c>
      <c r="G14" s="389" t="s">
        <v>145</v>
      </c>
    </row>
    <row r="15" spans="1:12" s="393" customFormat="1" ht="15.75" x14ac:dyDescent="0.2">
      <c r="A15" s="391">
        <v>1</v>
      </c>
      <c r="B15" s="392">
        <v>2</v>
      </c>
      <c r="C15" s="392">
        <v>3</v>
      </c>
      <c r="D15" s="392">
        <v>4</v>
      </c>
      <c r="E15" s="392">
        <v>5</v>
      </c>
      <c r="F15" s="392">
        <v>6</v>
      </c>
      <c r="G15" s="392">
        <v>7</v>
      </c>
    </row>
    <row r="16" spans="1:12" ht="15.75" x14ac:dyDescent="0.2">
      <c r="A16" s="394"/>
      <c r="B16" s="395" t="s">
        <v>6397</v>
      </c>
      <c r="C16" s="396"/>
      <c r="D16" s="396"/>
      <c r="E16" s="396"/>
      <c r="F16" s="396"/>
      <c r="G16" s="397"/>
    </row>
    <row r="17" spans="1:10" ht="37.5" customHeight="1" x14ac:dyDescent="0.2">
      <c r="A17" s="391" t="s">
        <v>185</v>
      </c>
      <c r="B17" s="398" t="s">
        <v>6398</v>
      </c>
      <c r="C17" s="392" t="s">
        <v>5681</v>
      </c>
      <c r="D17" s="392">
        <v>18.2</v>
      </c>
      <c r="E17" s="399"/>
      <c r="F17" s="399"/>
      <c r="G17" s="398" t="s">
        <v>6399</v>
      </c>
      <c r="H17" s="400"/>
    </row>
    <row r="18" spans="1:10" ht="31.5" x14ac:dyDescent="0.2">
      <c r="A18" s="391" t="s">
        <v>186</v>
      </c>
      <c r="B18" s="398" t="s">
        <v>6400</v>
      </c>
      <c r="C18" s="392" t="s">
        <v>628</v>
      </c>
      <c r="D18" s="392">
        <v>18</v>
      </c>
      <c r="E18" s="399"/>
      <c r="F18" s="399"/>
      <c r="G18" s="398" t="s">
        <v>5675</v>
      </c>
      <c r="I18" s="401"/>
      <c r="J18" s="402"/>
    </row>
    <row r="19" spans="1:10" ht="31.5" x14ac:dyDescent="0.2">
      <c r="A19" s="391" t="s">
        <v>187</v>
      </c>
      <c r="B19" s="398" t="s">
        <v>6401</v>
      </c>
      <c r="C19" s="392" t="s">
        <v>6402</v>
      </c>
      <c r="D19" s="403">
        <v>1</v>
      </c>
      <c r="E19" s="404"/>
      <c r="F19" s="405"/>
      <c r="G19" s="398"/>
      <c r="I19" s="401"/>
      <c r="J19" s="402"/>
    </row>
    <row r="20" spans="1:10" ht="47.25" x14ac:dyDescent="0.2">
      <c r="A20" s="391" t="s">
        <v>188</v>
      </c>
      <c r="B20" s="398" t="s">
        <v>6403</v>
      </c>
      <c r="C20" s="392" t="s">
        <v>6404</v>
      </c>
      <c r="D20" s="403">
        <v>2</v>
      </c>
      <c r="E20" s="404"/>
      <c r="F20" s="405"/>
      <c r="G20" s="398"/>
      <c r="I20" s="401"/>
      <c r="J20" s="402"/>
    </row>
    <row r="21" spans="1:10" ht="15.75" x14ac:dyDescent="0.2">
      <c r="A21" s="391"/>
      <c r="B21" s="2374" t="s">
        <v>6405</v>
      </c>
      <c r="C21" s="2374"/>
      <c r="D21" s="2374"/>
      <c r="E21" s="2374"/>
      <c r="F21" s="2374"/>
      <c r="G21" s="2375"/>
      <c r="I21" s="401"/>
      <c r="J21" s="402"/>
    </row>
    <row r="22" spans="1:10" ht="63" x14ac:dyDescent="0.2">
      <c r="A22" s="391" t="s">
        <v>189</v>
      </c>
      <c r="B22" s="398" t="s">
        <v>6406</v>
      </c>
      <c r="C22" s="389" t="s">
        <v>5688</v>
      </c>
      <c r="D22" s="406">
        <f>10409/12.14/1.2</f>
        <v>714.51</v>
      </c>
      <c r="E22" s="398" t="s">
        <v>6407</v>
      </c>
      <c r="F22" s="407">
        <f>D22*D19*18</f>
        <v>12861.18</v>
      </c>
      <c r="G22" s="408" t="s">
        <v>6408</v>
      </c>
      <c r="I22" s="401"/>
      <c r="J22" s="402"/>
    </row>
    <row r="23" spans="1:10" ht="15.75" x14ac:dyDescent="0.2">
      <c r="A23" s="391"/>
      <c r="B23" s="2376" t="s">
        <v>6409</v>
      </c>
      <c r="C23" s="2377"/>
      <c r="D23" s="2377"/>
      <c r="E23" s="2377"/>
      <c r="F23" s="409">
        <f>F22</f>
        <v>12861.18</v>
      </c>
      <c r="G23" s="410"/>
      <c r="I23" s="401"/>
      <c r="J23" s="402"/>
    </row>
    <row r="24" spans="1:10" ht="35.25" customHeight="1" x14ac:dyDescent="0.2">
      <c r="A24" s="391"/>
      <c r="B24" s="2355" t="s">
        <v>6410</v>
      </c>
      <c r="C24" s="2355"/>
      <c r="D24" s="2355"/>
      <c r="E24" s="2355"/>
      <c r="F24" s="2355"/>
      <c r="G24" s="397"/>
      <c r="I24" s="401"/>
    </row>
    <row r="25" spans="1:10" ht="47.25" x14ac:dyDescent="0.2">
      <c r="A25" s="392">
        <v>6</v>
      </c>
      <c r="B25" s="398" t="s">
        <v>5679</v>
      </c>
      <c r="C25" s="392" t="s">
        <v>5688</v>
      </c>
      <c r="D25" s="411">
        <f>361/12.14/1.2</f>
        <v>24.78</v>
      </c>
      <c r="E25" s="398" t="s">
        <v>6411</v>
      </c>
      <c r="F25" s="412">
        <f>D25*D19*2*D18</f>
        <v>892.08</v>
      </c>
      <c r="G25" s="408" t="s">
        <v>6412</v>
      </c>
      <c r="H25" s="413"/>
      <c r="I25" s="401"/>
    </row>
    <row r="26" spans="1:10" ht="31.5" x14ac:dyDescent="0.2">
      <c r="A26" s="392">
        <v>7</v>
      </c>
      <c r="B26" s="398" t="s">
        <v>6413</v>
      </c>
      <c r="C26" s="392" t="s">
        <v>5704</v>
      </c>
      <c r="D26" s="392" t="s">
        <v>6414</v>
      </c>
      <c r="E26" s="399"/>
      <c r="F26" s="399"/>
      <c r="G26" s="392" t="s">
        <v>6415</v>
      </c>
      <c r="I26" s="401"/>
    </row>
    <row r="27" spans="1:10" ht="94.5" x14ac:dyDescent="0.2">
      <c r="A27" s="392">
        <v>8</v>
      </c>
      <c r="B27" s="398" t="s">
        <v>6416</v>
      </c>
      <c r="C27" s="392" t="s">
        <v>6417</v>
      </c>
      <c r="D27" s="2356" t="s">
        <v>6418</v>
      </c>
      <c r="E27" s="2357"/>
      <c r="F27" s="412">
        <v>1.94</v>
      </c>
      <c r="G27" s="398" t="s">
        <v>6419</v>
      </c>
      <c r="I27" s="401"/>
    </row>
    <row r="28" spans="1:10" ht="47.25" x14ac:dyDescent="0.2">
      <c r="A28" s="392">
        <v>9</v>
      </c>
      <c r="B28" s="398" t="s">
        <v>6420</v>
      </c>
      <c r="C28" s="392" t="s">
        <v>5688</v>
      </c>
      <c r="D28" s="2360" t="s">
        <v>6421</v>
      </c>
      <c r="E28" s="2361"/>
      <c r="F28" s="412">
        <f>110.21*D19*2*D18</f>
        <v>3967.56</v>
      </c>
      <c r="G28" s="414" t="s">
        <v>6422</v>
      </c>
      <c r="I28" s="401"/>
    </row>
    <row r="29" spans="1:10" ht="20.25" customHeight="1" x14ac:dyDescent="0.2">
      <c r="A29" s="394"/>
      <c r="B29" s="2355" t="s">
        <v>6423</v>
      </c>
      <c r="C29" s="2355"/>
      <c r="D29" s="2355"/>
      <c r="E29" s="2355"/>
      <c r="F29" s="409">
        <f>F25+F28</f>
        <v>4859.6400000000003</v>
      </c>
      <c r="G29" s="397"/>
      <c r="I29" s="401"/>
    </row>
    <row r="30" spans="1:10" ht="36" customHeight="1" x14ac:dyDescent="0.2">
      <c r="A30" s="394"/>
      <c r="B30" s="2355" t="s">
        <v>6424</v>
      </c>
      <c r="C30" s="2355"/>
      <c r="D30" s="2355"/>
      <c r="E30" s="2355"/>
      <c r="F30" s="2355"/>
      <c r="G30" s="397"/>
    </row>
    <row r="31" spans="1:10" ht="48" customHeight="1" x14ac:dyDescent="0.2">
      <c r="A31" s="391" t="s">
        <v>194</v>
      </c>
      <c r="B31" s="398" t="s">
        <v>5713</v>
      </c>
      <c r="C31" s="392" t="s">
        <v>519</v>
      </c>
      <c r="D31" s="392">
        <v>13</v>
      </c>
      <c r="E31" s="399"/>
      <c r="F31" s="399"/>
      <c r="G31" s="398" t="s">
        <v>6425</v>
      </c>
    </row>
    <row r="32" spans="1:10" ht="96.75" customHeight="1" x14ac:dyDescent="0.2">
      <c r="A32" s="391" t="s">
        <v>195</v>
      </c>
      <c r="B32" s="398" t="s">
        <v>6426</v>
      </c>
      <c r="C32" s="392" t="s">
        <v>6417</v>
      </c>
      <c r="D32" s="2356" t="s">
        <v>6427</v>
      </c>
      <c r="E32" s="2357"/>
      <c r="F32" s="415">
        <v>0.26</v>
      </c>
      <c r="G32" s="398" t="s">
        <v>6419</v>
      </c>
    </row>
    <row r="33" spans="1:11" ht="49.5" customHeight="1" x14ac:dyDescent="0.2">
      <c r="A33" s="391" t="s">
        <v>196</v>
      </c>
      <c r="B33" s="398" t="s">
        <v>6428</v>
      </c>
      <c r="C33" s="392" t="s">
        <v>6429</v>
      </c>
      <c r="D33" s="2358">
        <v>56.81</v>
      </c>
      <c r="E33" s="2359"/>
      <c r="F33" s="416">
        <v>56.81</v>
      </c>
      <c r="G33" s="398" t="s">
        <v>6430</v>
      </c>
    </row>
    <row r="34" spans="1:11" ht="70.5" customHeight="1" x14ac:dyDescent="0.2">
      <c r="A34" s="391" t="s">
        <v>197</v>
      </c>
      <c r="B34" s="398" t="s">
        <v>6431</v>
      </c>
      <c r="C34" s="392" t="s">
        <v>5688</v>
      </c>
      <c r="D34" s="2360" t="s">
        <v>6432</v>
      </c>
      <c r="E34" s="2361"/>
      <c r="F34" s="412">
        <f>14.77*D19*2*D20*D18</f>
        <v>1063.44</v>
      </c>
      <c r="G34" s="398" t="s">
        <v>6433</v>
      </c>
    </row>
    <row r="35" spans="1:11" ht="15.75" x14ac:dyDescent="0.2">
      <c r="A35" s="394"/>
      <c r="B35" s="2355" t="s">
        <v>6434</v>
      </c>
      <c r="C35" s="2355"/>
      <c r="D35" s="2355"/>
      <c r="E35" s="2355"/>
      <c r="F35" s="409">
        <f>SUM(F34)</f>
        <v>1063.44</v>
      </c>
      <c r="G35" s="397"/>
    </row>
    <row r="36" spans="1:11" ht="46.5" customHeight="1" x14ac:dyDescent="0.2">
      <c r="A36" s="417"/>
      <c r="B36" s="2362" t="s">
        <v>6435</v>
      </c>
      <c r="C36" s="2362"/>
      <c r="D36" s="418"/>
      <c r="E36" s="419"/>
      <c r="F36" s="420">
        <f>F29+F35+F23</f>
        <v>18784.259999999998</v>
      </c>
      <c r="G36" s="421"/>
      <c r="J36" s="401"/>
      <c r="K36" s="401"/>
    </row>
    <row r="37" spans="1:11" ht="10.5" hidden="1" customHeight="1" x14ac:dyDescent="0.2">
      <c r="A37" s="422"/>
      <c r="B37" s="423"/>
      <c r="C37" s="423"/>
      <c r="D37" s="422"/>
      <c r="E37" s="396"/>
      <c r="F37" s="424"/>
      <c r="G37" s="396"/>
      <c r="J37" s="401"/>
      <c r="K37" s="401"/>
    </row>
    <row r="38" spans="1:11" ht="15.75" hidden="1" x14ac:dyDescent="0.2">
      <c r="A38" s="382"/>
      <c r="B38" s="425"/>
      <c r="C38" s="426"/>
      <c r="D38" s="426"/>
      <c r="E38" s="383"/>
      <c r="F38" s="383"/>
      <c r="G38" s="383"/>
    </row>
    <row r="39" spans="1:11" ht="63.75" customHeight="1" x14ac:dyDescent="0.2">
      <c r="A39" s="427"/>
      <c r="B39" s="2363" t="s">
        <v>6436</v>
      </c>
      <c r="C39" s="2363"/>
      <c r="D39" s="2364" t="s">
        <v>5665</v>
      </c>
      <c r="E39" s="2365"/>
      <c r="F39" s="428">
        <f>F36*12.14</f>
        <v>228040.92</v>
      </c>
      <c r="G39" s="429"/>
    </row>
    <row r="40" spans="1:11" ht="15.75" x14ac:dyDescent="0.2">
      <c r="A40" s="382"/>
      <c r="B40" s="425"/>
      <c r="C40" s="426"/>
      <c r="D40" s="426"/>
      <c r="E40" s="383"/>
      <c r="F40" s="383"/>
      <c r="G40" s="383"/>
    </row>
    <row r="41" spans="1:11" ht="15.75" x14ac:dyDescent="0.2">
      <c r="A41" s="382"/>
      <c r="B41" s="425"/>
      <c r="C41" s="426"/>
      <c r="D41" s="426"/>
      <c r="E41" s="383"/>
      <c r="F41" s="383"/>
      <c r="G41" s="383"/>
    </row>
    <row r="42" spans="1:11" s="430" customFormat="1" ht="15.75" x14ac:dyDescent="0.25">
      <c r="A42" s="2366" t="s">
        <v>6437</v>
      </c>
      <c r="B42" s="2354"/>
      <c r="C42" s="2354"/>
      <c r="D42" s="2354"/>
      <c r="E42" s="2354"/>
      <c r="F42" s="2354"/>
    </row>
    <row r="43" spans="1:11" s="430" customFormat="1" ht="15.75" x14ac:dyDescent="0.25">
      <c r="A43" s="2353" t="s">
        <v>5667</v>
      </c>
      <c r="B43" s="2354"/>
      <c r="C43" s="2354"/>
      <c r="D43" s="2354"/>
      <c r="E43" s="2354"/>
      <c r="F43" s="2354"/>
    </row>
    <row r="44" spans="1:11" s="430" customFormat="1" ht="15.75" x14ac:dyDescent="0.25">
      <c r="A44" s="431"/>
      <c r="B44" s="432"/>
      <c r="C44" s="433"/>
      <c r="D44" s="433"/>
      <c r="E44" s="433"/>
      <c r="F44" s="434"/>
    </row>
    <row r="45" spans="1:11" s="430" customFormat="1" ht="15.75" x14ac:dyDescent="0.25">
      <c r="A45" s="2366" t="s">
        <v>6438</v>
      </c>
      <c r="B45" s="2354"/>
      <c r="C45" s="2354"/>
      <c r="D45" s="2354"/>
      <c r="E45" s="2354"/>
      <c r="F45" s="2354"/>
    </row>
    <row r="46" spans="1:11" s="430" customFormat="1" ht="15.75" x14ac:dyDescent="0.25">
      <c r="A46" s="2353" t="s">
        <v>5667</v>
      </c>
      <c r="B46" s="2354"/>
      <c r="C46" s="2354"/>
      <c r="D46" s="2354"/>
      <c r="E46" s="2354"/>
      <c r="F46" s="2354"/>
    </row>
    <row r="47" spans="1:11" ht="15.75" x14ac:dyDescent="0.2">
      <c r="A47" s="382"/>
      <c r="B47" s="425"/>
      <c r="C47" s="426"/>
      <c r="D47" s="426"/>
      <c r="E47" s="383"/>
      <c r="F47" s="383"/>
      <c r="G47" s="383"/>
    </row>
    <row r="48" spans="1:11" x14ac:dyDescent="0.2">
      <c r="B48" s="436"/>
      <c r="C48" s="393"/>
      <c r="D48" s="393"/>
    </row>
    <row r="49" spans="2:4" x14ac:dyDescent="0.2">
      <c r="B49" s="436"/>
      <c r="C49" s="393"/>
      <c r="D49" s="393"/>
    </row>
    <row r="50" spans="2:4" x14ac:dyDescent="0.2">
      <c r="B50" s="436"/>
      <c r="C50" s="393"/>
      <c r="D50" s="393"/>
    </row>
    <row r="51" spans="2:4" x14ac:dyDescent="0.2">
      <c r="B51" s="436"/>
      <c r="C51" s="393"/>
      <c r="D51" s="393"/>
    </row>
    <row r="52" spans="2:4" x14ac:dyDescent="0.2">
      <c r="B52" s="436"/>
      <c r="C52" s="393"/>
      <c r="D52" s="393"/>
    </row>
    <row r="53" spans="2:4" x14ac:dyDescent="0.2">
      <c r="B53" s="436"/>
      <c r="C53" s="393"/>
      <c r="D53" s="393"/>
    </row>
    <row r="54" spans="2:4" x14ac:dyDescent="0.2">
      <c r="B54" s="436"/>
      <c r="C54" s="393"/>
      <c r="D54" s="393"/>
    </row>
    <row r="55" spans="2:4" x14ac:dyDescent="0.2">
      <c r="B55" s="436"/>
      <c r="C55" s="393"/>
      <c r="D55" s="393"/>
    </row>
    <row r="56" spans="2:4" x14ac:dyDescent="0.2">
      <c r="B56" s="436"/>
      <c r="C56" s="393"/>
      <c r="D56" s="393"/>
    </row>
    <row r="57" spans="2:4" x14ac:dyDescent="0.2">
      <c r="B57" s="436"/>
      <c r="C57" s="393"/>
      <c r="D57" s="393"/>
    </row>
    <row r="58" spans="2:4" x14ac:dyDescent="0.2">
      <c r="B58" s="436"/>
      <c r="C58" s="393"/>
      <c r="D58" s="393"/>
    </row>
    <row r="59" spans="2:4" x14ac:dyDescent="0.2">
      <c r="B59" s="436"/>
      <c r="C59" s="393"/>
      <c r="D59" s="393"/>
    </row>
    <row r="60" spans="2:4" x14ac:dyDescent="0.2">
      <c r="B60" s="436"/>
      <c r="C60" s="393"/>
      <c r="D60" s="393"/>
    </row>
    <row r="61" spans="2:4" x14ac:dyDescent="0.2">
      <c r="B61" s="436"/>
      <c r="C61" s="393"/>
      <c r="D61" s="393"/>
    </row>
    <row r="62" spans="2:4" x14ac:dyDescent="0.2">
      <c r="B62" s="436"/>
      <c r="C62" s="393"/>
      <c r="D62" s="393"/>
    </row>
    <row r="63" spans="2:4" x14ac:dyDescent="0.2">
      <c r="B63" s="436"/>
      <c r="C63" s="393"/>
      <c r="D63" s="393"/>
    </row>
    <row r="64" spans="2:4" x14ac:dyDescent="0.2">
      <c r="B64" s="436"/>
      <c r="C64" s="393"/>
      <c r="D64" s="393"/>
    </row>
    <row r="65" spans="2:4" x14ac:dyDescent="0.2">
      <c r="B65" s="436"/>
      <c r="C65" s="393"/>
      <c r="D65" s="393"/>
    </row>
    <row r="66" spans="2:4" x14ac:dyDescent="0.2">
      <c r="B66" s="436"/>
      <c r="C66" s="393"/>
      <c r="D66" s="393"/>
    </row>
    <row r="67" spans="2:4" x14ac:dyDescent="0.2">
      <c r="B67" s="436"/>
      <c r="C67" s="393"/>
      <c r="D67" s="393"/>
    </row>
    <row r="68" spans="2:4" x14ac:dyDescent="0.2">
      <c r="B68" s="436"/>
      <c r="C68" s="393"/>
      <c r="D68" s="393"/>
    </row>
    <row r="69" spans="2:4" x14ac:dyDescent="0.2">
      <c r="B69" s="436"/>
      <c r="C69" s="393"/>
      <c r="D69" s="393"/>
    </row>
    <row r="70" spans="2:4" x14ac:dyDescent="0.2">
      <c r="B70" s="436"/>
      <c r="C70" s="393"/>
      <c r="D70" s="393"/>
    </row>
    <row r="71" spans="2:4" x14ac:dyDescent="0.2">
      <c r="B71" s="436"/>
      <c r="C71" s="393"/>
      <c r="D71" s="393"/>
    </row>
    <row r="72" spans="2:4" x14ac:dyDescent="0.2">
      <c r="B72" s="436"/>
      <c r="C72" s="393"/>
      <c r="D72" s="393"/>
    </row>
    <row r="73" spans="2:4" x14ac:dyDescent="0.2">
      <c r="B73" s="436"/>
      <c r="C73" s="393"/>
      <c r="D73" s="393"/>
    </row>
    <row r="74" spans="2:4" x14ac:dyDescent="0.2">
      <c r="B74" s="436"/>
      <c r="C74" s="393"/>
      <c r="D74" s="393"/>
    </row>
    <row r="75" spans="2:4" x14ac:dyDescent="0.2">
      <c r="B75" s="436"/>
      <c r="C75" s="393"/>
      <c r="D75" s="393"/>
    </row>
    <row r="76" spans="2:4" x14ac:dyDescent="0.2">
      <c r="B76" s="436"/>
      <c r="C76" s="393"/>
      <c r="D76" s="393"/>
    </row>
    <row r="77" spans="2:4" x14ac:dyDescent="0.2">
      <c r="B77" s="436"/>
      <c r="C77" s="393"/>
      <c r="D77" s="393"/>
    </row>
    <row r="78" spans="2:4" x14ac:dyDescent="0.2">
      <c r="B78" s="436"/>
      <c r="C78" s="393"/>
      <c r="D78" s="393"/>
    </row>
    <row r="79" spans="2:4" x14ac:dyDescent="0.2">
      <c r="B79" s="436"/>
      <c r="C79" s="393"/>
      <c r="D79" s="393"/>
    </row>
    <row r="80" spans="2:4" x14ac:dyDescent="0.2">
      <c r="B80" s="436"/>
      <c r="C80" s="393"/>
      <c r="D80" s="393"/>
    </row>
    <row r="81" spans="2:4" x14ac:dyDescent="0.2">
      <c r="B81" s="436"/>
      <c r="C81" s="393"/>
      <c r="D81" s="393"/>
    </row>
    <row r="82" spans="2:4" x14ac:dyDescent="0.2">
      <c r="B82" s="436"/>
      <c r="C82" s="393"/>
      <c r="D82" s="393"/>
    </row>
    <row r="83" spans="2:4" x14ac:dyDescent="0.2">
      <c r="B83" s="436"/>
      <c r="C83" s="393"/>
      <c r="D83" s="393"/>
    </row>
    <row r="84" spans="2:4" x14ac:dyDescent="0.2">
      <c r="B84" s="436"/>
      <c r="C84" s="393"/>
      <c r="D84" s="393"/>
    </row>
    <row r="85" spans="2:4" x14ac:dyDescent="0.2">
      <c r="B85" s="436"/>
      <c r="C85" s="393"/>
      <c r="D85" s="393"/>
    </row>
    <row r="86" spans="2:4" x14ac:dyDescent="0.2">
      <c r="B86" s="436"/>
      <c r="C86" s="393"/>
      <c r="D86" s="393"/>
    </row>
    <row r="87" spans="2:4" x14ac:dyDescent="0.2">
      <c r="B87" s="436"/>
      <c r="C87" s="393"/>
      <c r="D87" s="393"/>
    </row>
    <row r="88" spans="2:4" x14ac:dyDescent="0.2">
      <c r="B88" s="436"/>
      <c r="C88" s="393"/>
      <c r="D88" s="393"/>
    </row>
    <row r="89" spans="2:4" x14ac:dyDescent="0.2">
      <c r="B89" s="436"/>
      <c r="C89" s="393"/>
      <c r="D89" s="393"/>
    </row>
    <row r="90" spans="2:4" x14ac:dyDescent="0.2">
      <c r="B90" s="436"/>
      <c r="C90" s="393"/>
      <c r="D90" s="393"/>
    </row>
    <row r="91" spans="2:4" x14ac:dyDescent="0.2">
      <c r="B91" s="436"/>
      <c r="C91" s="393"/>
      <c r="D91" s="393"/>
    </row>
    <row r="92" spans="2:4" x14ac:dyDescent="0.2">
      <c r="B92" s="436"/>
      <c r="C92" s="393"/>
      <c r="D92" s="393"/>
    </row>
    <row r="93" spans="2:4" x14ac:dyDescent="0.2">
      <c r="B93" s="436"/>
      <c r="C93" s="393"/>
      <c r="D93" s="393"/>
    </row>
    <row r="94" spans="2:4" x14ac:dyDescent="0.2">
      <c r="B94" s="436"/>
      <c r="C94" s="393"/>
      <c r="D94" s="393"/>
    </row>
    <row r="95" spans="2:4" x14ac:dyDescent="0.2">
      <c r="B95" s="436"/>
      <c r="C95" s="393"/>
      <c r="D95" s="393"/>
    </row>
    <row r="96" spans="2:4" x14ac:dyDescent="0.2">
      <c r="B96" s="436"/>
      <c r="C96" s="393"/>
      <c r="D96" s="393"/>
    </row>
    <row r="97" spans="2:4" x14ac:dyDescent="0.2">
      <c r="B97" s="436"/>
      <c r="C97" s="393"/>
      <c r="D97" s="393"/>
    </row>
    <row r="98" spans="2:4" x14ac:dyDescent="0.2">
      <c r="B98" s="436"/>
      <c r="C98" s="393"/>
      <c r="D98" s="393"/>
    </row>
    <row r="99" spans="2:4" x14ac:dyDescent="0.2">
      <c r="B99" s="436"/>
      <c r="C99" s="393"/>
      <c r="D99" s="393"/>
    </row>
    <row r="100" spans="2:4" x14ac:dyDescent="0.2">
      <c r="B100" s="436"/>
      <c r="C100" s="393"/>
      <c r="D100" s="393"/>
    </row>
    <row r="101" spans="2:4" x14ac:dyDescent="0.2">
      <c r="B101" s="436"/>
      <c r="C101" s="393"/>
      <c r="D101" s="393"/>
    </row>
    <row r="102" spans="2:4" x14ac:dyDescent="0.2">
      <c r="B102" s="436"/>
      <c r="C102" s="393"/>
      <c r="D102" s="393"/>
    </row>
    <row r="103" spans="2:4" x14ac:dyDescent="0.2">
      <c r="B103" s="436"/>
      <c r="C103" s="393"/>
      <c r="D103" s="393"/>
    </row>
    <row r="104" spans="2:4" x14ac:dyDescent="0.2">
      <c r="B104" s="436"/>
      <c r="C104" s="393"/>
      <c r="D104" s="393"/>
    </row>
    <row r="105" spans="2:4" x14ac:dyDescent="0.2">
      <c r="B105" s="436"/>
      <c r="C105" s="393"/>
      <c r="D105" s="393"/>
    </row>
    <row r="106" spans="2:4" x14ac:dyDescent="0.2">
      <c r="B106" s="436"/>
      <c r="C106" s="393"/>
      <c r="D106" s="393"/>
    </row>
    <row r="107" spans="2:4" x14ac:dyDescent="0.2">
      <c r="B107" s="436"/>
      <c r="C107" s="393"/>
      <c r="D107" s="393"/>
    </row>
    <row r="108" spans="2:4" x14ac:dyDescent="0.2">
      <c r="B108" s="436"/>
      <c r="C108" s="393"/>
      <c r="D108" s="393"/>
    </row>
    <row r="109" spans="2:4" x14ac:dyDescent="0.2">
      <c r="B109" s="436"/>
      <c r="C109" s="393"/>
      <c r="D109" s="393"/>
    </row>
    <row r="110" spans="2:4" x14ac:dyDescent="0.2">
      <c r="B110" s="436"/>
      <c r="C110" s="393"/>
      <c r="D110" s="393"/>
    </row>
    <row r="111" spans="2:4" x14ac:dyDescent="0.2">
      <c r="B111" s="436"/>
      <c r="C111" s="393"/>
      <c r="D111" s="393"/>
    </row>
    <row r="112" spans="2:4" x14ac:dyDescent="0.2">
      <c r="B112" s="436"/>
      <c r="C112" s="393"/>
      <c r="D112" s="393"/>
    </row>
    <row r="113" spans="2:4" x14ac:dyDescent="0.2">
      <c r="B113" s="436"/>
      <c r="C113" s="393"/>
      <c r="D113" s="393"/>
    </row>
    <row r="114" spans="2:4" x14ac:dyDescent="0.2">
      <c r="B114" s="436"/>
      <c r="C114" s="393"/>
      <c r="D114" s="393"/>
    </row>
    <row r="115" spans="2:4" x14ac:dyDescent="0.2">
      <c r="B115" s="436"/>
      <c r="C115" s="393"/>
      <c r="D115" s="393"/>
    </row>
    <row r="116" spans="2:4" x14ac:dyDescent="0.2">
      <c r="B116" s="436"/>
      <c r="C116" s="393"/>
      <c r="D116" s="393"/>
    </row>
    <row r="117" spans="2:4" x14ac:dyDescent="0.2">
      <c r="B117" s="436"/>
      <c r="C117" s="393"/>
      <c r="D117" s="393"/>
    </row>
    <row r="118" spans="2:4" x14ac:dyDescent="0.2">
      <c r="B118" s="436"/>
      <c r="C118" s="393"/>
      <c r="D118" s="393"/>
    </row>
    <row r="119" spans="2:4" x14ac:dyDescent="0.2">
      <c r="B119" s="436"/>
      <c r="C119" s="393"/>
      <c r="D119" s="393"/>
    </row>
    <row r="120" spans="2:4" x14ac:dyDescent="0.2">
      <c r="B120" s="436"/>
      <c r="C120" s="393"/>
      <c r="D120" s="393"/>
    </row>
    <row r="121" spans="2:4" x14ac:dyDescent="0.2">
      <c r="B121" s="436"/>
      <c r="C121" s="393"/>
      <c r="D121" s="393"/>
    </row>
    <row r="122" spans="2:4" x14ac:dyDescent="0.2">
      <c r="B122" s="436"/>
      <c r="C122" s="393"/>
      <c r="D122" s="393"/>
    </row>
    <row r="123" spans="2:4" x14ac:dyDescent="0.2">
      <c r="B123" s="436"/>
      <c r="C123" s="393"/>
      <c r="D123" s="393"/>
    </row>
    <row r="124" spans="2:4" x14ac:dyDescent="0.2">
      <c r="B124" s="436"/>
      <c r="C124" s="393"/>
      <c r="D124" s="393"/>
    </row>
    <row r="125" spans="2:4" x14ac:dyDescent="0.2">
      <c r="B125" s="436"/>
      <c r="C125" s="393"/>
      <c r="D125" s="393"/>
    </row>
    <row r="126" spans="2:4" x14ac:dyDescent="0.2">
      <c r="B126" s="436"/>
      <c r="C126" s="393"/>
      <c r="D126" s="393"/>
    </row>
    <row r="127" spans="2:4" x14ac:dyDescent="0.2">
      <c r="B127" s="436"/>
      <c r="C127" s="393"/>
      <c r="D127" s="393"/>
    </row>
    <row r="128" spans="2:4" x14ac:dyDescent="0.2">
      <c r="B128" s="436"/>
      <c r="C128" s="393"/>
      <c r="D128" s="393"/>
    </row>
    <row r="129" spans="2:4" x14ac:dyDescent="0.2">
      <c r="B129" s="436"/>
      <c r="C129" s="393"/>
      <c r="D129" s="393"/>
    </row>
    <row r="130" spans="2:4" x14ac:dyDescent="0.2">
      <c r="B130" s="436"/>
      <c r="C130" s="393"/>
      <c r="D130" s="393"/>
    </row>
    <row r="131" spans="2:4" x14ac:dyDescent="0.2">
      <c r="B131" s="436"/>
      <c r="C131" s="393"/>
      <c r="D131" s="393"/>
    </row>
    <row r="132" spans="2:4" x14ac:dyDescent="0.2">
      <c r="B132" s="436"/>
      <c r="C132" s="393"/>
      <c r="D132" s="393"/>
    </row>
    <row r="133" spans="2:4" x14ac:dyDescent="0.2">
      <c r="B133" s="436"/>
      <c r="C133" s="393"/>
      <c r="D133" s="393"/>
    </row>
    <row r="134" spans="2:4" x14ac:dyDescent="0.2">
      <c r="B134" s="436"/>
      <c r="C134" s="393"/>
      <c r="D134" s="393"/>
    </row>
    <row r="135" spans="2:4" x14ac:dyDescent="0.2">
      <c r="B135" s="436"/>
      <c r="C135" s="393"/>
      <c r="D135" s="393"/>
    </row>
    <row r="136" spans="2:4" x14ac:dyDescent="0.2">
      <c r="B136" s="436"/>
      <c r="C136" s="393"/>
      <c r="D136" s="393"/>
    </row>
    <row r="137" spans="2:4" x14ac:dyDescent="0.2">
      <c r="B137" s="436"/>
      <c r="C137" s="393"/>
      <c r="D137" s="393"/>
    </row>
    <row r="138" spans="2:4" x14ac:dyDescent="0.2">
      <c r="B138" s="436"/>
      <c r="C138" s="393"/>
      <c r="D138" s="393"/>
    </row>
    <row r="139" spans="2:4" x14ac:dyDescent="0.2">
      <c r="B139" s="436"/>
      <c r="C139" s="393"/>
      <c r="D139" s="393"/>
    </row>
    <row r="140" spans="2:4" x14ac:dyDescent="0.2">
      <c r="B140" s="436"/>
      <c r="C140" s="393"/>
      <c r="D140" s="393"/>
    </row>
    <row r="141" spans="2:4" x14ac:dyDescent="0.2">
      <c r="B141" s="436"/>
      <c r="C141" s="393"/>
      <c r="D141" s="393"/>
    </row>
    <row r="142" spans="2:4" x14ac:dyDescent="0.2">
      <c r="B142" s="436"/>
      <c r="C142" s="393"/>
      <c r="D142" s="393"/>
    </row>
    <row r="143" spans="2:4" x14ac:dyDescent="0.2">
      <c r="B143" s="436"/>
      <c r="C143" s="393"/>
      <c r="D143" s="393"/>
    </row>
    <row r="144" spans="2:4" x14ac:dyDescent="0.2">
      <c r="B144" s="436"/>
      <c r="C144" s="393"/>
      <c r="D144" s="393"/>
    </row>
    <row r="145" spans="2:4" x14ac:dyDescent="0.2">
      <c r="B145" s="436"/>
      <c r="C145" s="393"/>
      <c r="D145" s="393"/>
    </row>
    <row r="146" spans="2:4" x14ac:dyDescent="0.2">
      <c r="B146" s="436"/>
      <c r="C146" s="393"/>
      <c r="D146" s="393"/>
    </row>
    <row r="147" spans="2:4" x14ac:dyDescent="0.2">
      <c r="B147" s="436"/>
      <c r="C147" s="393"/>
      <c r="D147" s="393"/>
    </row>
    <row r="148" spans="2:4" x14ac:dyDescent="0.2">
      <c r="B148" s="436"/>
      <c r="C148" s="393"/>
      <c r="D148" s="393"/>
    </row>
    <row r="149" spans="2:4" x14ac:dyDescent="0.2">
      <c r="B149" s="436"/>
      <c r="C149" s="393"/>
      <c r="D149" s="393"/>
    </row>
    <row r="150" spans="2:4" x14ac:dyDescent="0.2">
      <c r="B150" s="436"/>
      <c r="C150" s="393"/>
      <c r="D150" s="393"/>
    </row>
    <row r="151" spans="2:4" x14ac:dyDescent="0.2">
      <c r="B151" s="436"/>
      <c r="C151" s="393"/>
      <c r="D151" s="393"/>
    </row>
    <row r="152" spans="2:4" x14ac:dyDescent="0.2">
      <c r="B152" s="436"/>
      <c r="C152" s="393"/>
      <c r="D152" s="393"/>
    </row>
    <row r="153" spans="2:4" x14ac:dyDescent="0.2">
      <c r="B153" s="436"/>
      <c r="C153" s="393"/>
      <c r="D153" s="393"/>
    </row>
    <row r="154" spans="2:4" x14ac:dyDescent="0.2">
      <c r="B154" s="436"/>
      <c r="C154" s="393"/>
      <c r="D154" s="393"/>
    </row>
    <row r="155" spans="2:4" x14ac:dyDescent="0.2">
      <c r="B155" s="436"/>
      <c r="C155" s="393"/>
      <c r="D155" s="393"/>
    </row>
    <row r="156" spans="2:4" x14ac:dyDescent="0.2">
      <c r="B156" s="436"/>
      <c r="C156" s="393"/>
      <c r="D156" s="393"/>
    </row>
    <row r="157" spans="2:4" x14ac:dyDescent="0.2">
      <c r="B157" s="436"/>
      <c r="C157" s="393"/>
      <c r="D157" s="393"/>
    </row>
    <row r="158" spans="2:4" x14ac:dyDescent="0.2">
      <c r="B158" s="436"/>
      <c r="C158" s="393"/>
      <c r="D158" s="393"/>
    </row>
    <row r="159" spans="2:4" x14ac:dyDescent="0.2">
      <c r="B159" s="436"/>
      <c r="C159" s="393"/>
      <c r="D159" s="393"/>
    </row>
    <row r="160" spans="2:4" x14ac:dyDescent="0.2">
      <c r="B160" s="436"/>
      <c r="C160" s="393"/>
      <c r="D160" s="393"/>
    </row>
    <row r="161" spans="2:4" x14ac:dyDescent="0.2">
      <c r="B161" s="436"/>
      <c r="C161" s="393"/>
      <c r="D161" s="393"/>
    </row>
    <row r="162" spans="2:4" x14ac:dyDescent="0.2">
      <c r="B162" s="436"/>
      <c r="C162" s="393"/>
      <c r="D162" s="393"/>
    </row>
    <row r="163" spans="2:4" x14ac:dyDescent="0.2">
      <c r="B163" s="436"/>
      <c r="C163" s="393"/>
      <c r="D163" s="393"/>
    </row>
    <row r="164" spans="2:4" x14ac:dyDescent="0.2">
      <c r="B164" s="436"/>
      <c r="C164" s="393"/>
      <c r="D164" s="393"/>
    </row>
    <row r="165" spans="2:4" x14ac:dyDescent="0.2">
      <c r="B165" s="436"/>
      <c r="C165" s="393"/>
      <c r="D165" s="393"/>
    </row>
    <row r="166" spans="2:4" x14ac:dyDescent="0.2">
      <c r="B166" s="436"/>
      <c r="C166" s="393"/>
      <c r="D166" s="393"/>
    </row>
    <row r="167" spans="2:4" x14ac:dyDescent="0.2">
      <c r="B167" s="436"/>
      <c r="C167" s="393"/>
      <c r="D167" s="393"/>
    </row>
    <row r="168" spans="2:4" x14ac:dyDescent="0.2">
      <c r="B168" s="436"/>
      <c r="C168" s="393"/>
      <c r="D168" s="393"/>
    </row>
    <row r="169" spans="2:4" x14ac:dyDescent="0.2">
      <c r="B169" s="436"/>
      <c r="C169" s="393"/>
      <c r="D169" s="393"/>
    </row>
    <row r="170" spans="2:4" x14ac:dyDescent="0.2">
      <c r="B170" s="436"/>
      <c r="C170" s="393"/>
      <c r="D170" s="393"/>
    </row>
    <row r="171" spans="2:4" x14ac:dyDescent="0.2">
      <c r="B171" s="436"/>
      <c r="C171" s="393"/>
      <c r="D171" s="393"/>
    </row>
    <row r="172" spans="2:4" x14ac:dyDescent="0.2">
      <c r="B172" s="436"/>
      <c r="C172" s="393"/>
      <c r="D172" s="393"/>
    </row>
    <row r="173" spans="2:4" x14ac:dyDescent="0.2">
      <c r="B173" s="436"/>
      <c r="C173" s="393"/>
      <c r="D173" s="393"/>
    </row>
    <row r="174" spans="2:4" x14ac:dyDescent="0.2">
      <c r="B174" s="436"/>
      <c r="C174" s="393"/>
      <c r="D174" s="393"/>
    </row>
    <row r="175" spans="2:4" x14ac:dyDescent="0.2">
      <c r="B175" s="436"/>
      <c r="C175" s="393"/>
      <c r="D175" s="393"/>
    </row>
    <row r="176" spans="2:4" x14ac:dyDescent="0.2">
      <c r="B176" s="436"/>
      <c r="C176" s="393"/>
      <c r="D176" s="393"/>
    </row>
    <row r="177" spans="2:4" x14ac:dyDescent="0.2">
      <c r="B177" s="436"/>
      <c r="C177" s="393"/>
      <c r="D177" s="393"/>
    </row>
    <row r="178" spans="2:4" x14ac:dyDescent="0.2">
      <c r="B178" s="436"/>
      <c r="C178" s="393"/>
      <c r="D178" s="393"/>
    </row>
    <row r="179" spans="2:4" x14ac:dyDescent="0.2">
      <c r="B179" s="436"/>
      <c r="C179" s="393"/>
      <c r="D179" s="393"/>
    </row>
    <row r="180" spans="2:4" x14ac:dyDescent="0.2">
      <c r="B180" s="436"/>
      <c r="C180" s="393"/>
      <c r="D180" s="393"/>
    </row>
    <row r="181" spans="2:4" x14ac:dyDescent="0.2">
      <c r="B181" s="436"/>
      <c r="C181" s="393"/>
      <c r="D181" s="393"/>
    </row>
    <row r="182" spans="2:4" x14ac:dyDescent="0.2">
      <c r="B182" s="436"/>
      <c r="C182" s="393"/>
      <c r="D182" s="393"/>
    </row>
    <row r="183" spans="2:4" x14ac:dyDescent="0.2">
      <c r="B183" s="436"/>
      <c r="C183" s="393"/>
      <c r="D183" s="393"/>
    </row>
    <row r="184" spans="2:4" x14ac:dyDescent="0.2">
      <c r="B184" s="436"/>
      <c r="C184" s="393"/>
      <c r="D184" s="393"/>
    </row>
    <row r="185" spans="2:4" x14ac:dyDescent="0.2">
      <c r="B185" s="436"/>
      <c r="C185" s="393"/>
      <c r="D185" s="393"/>
    </row>
    <row r="186" spans="2:4" x14ac:dyDescent="0.2">
      <c r="B186" s="436"/>
      <c r="C186" s="393"/>
      <c r="D186" s="393"/>
    </row>
    <row r="187" spans="2:4" x14ac:dyDescent="0.2">
      <c r="B187" s="436"/>
      <c r="C187" s="393"/>
      <c r="D187" s="393"/>
    </row>
    <row r="188" spans="2:4" x14ac:dyDescent="0.2">
      <c r="B188" s="436"/>
      <c r="C188" s="393"/>
      <c r="D188" s="393"/>
    </row>
    <row r="189" spans="2:4" x14ac:dyDescent="0.2">
      <c r="B189" s="436"/>
      <c r="C189" s="393"/>
      <c r="D189" s="393"/>
    </row>
    <row r="190" spans="2:4" x14ac:dyDescent="0.2">
      <c r="B190" s="436"/>
      <c r="C190" s="393"/>
      <c r="D190" s="393"/>
    </row>
    <row r="191" spans="2:4" x14ac:dyDescent="0.2">
      <c r="B191" s="436"/>
      <c r="C191" s="393"/>
      <c r="D191" s="393"/>
    </row>
    <row r="192" spans="2:4" x14ac:dyDescent="0.2">
      <c r="B192" s="436"/>
      <c r="C192" s="393"/>
      <c r="D192" s="393"/>
    </row>
    <row r="193" spans="2:4" x14ac:dyDescent="0.2">
      <c r="B193" s="436"/>
      <c r="C193" s="393"/>
      <c r="D193" s="393"/>
    </row>
    <row r="194" spans="2:4" x14ac:dyDescent="0.2">
      <c r="B194" s="436"/>
      <c r="C194" s="393"/>
      <c r="D194" s="393"/>
    </row>
    <row r="195" spans="2:4" x14ac:dyDescent="0.2">
      <c r="B195" s="436"/>
      <c r="C195" s="393"/>
      <c r="D195" s="393"/>
    </row>
    <row r="196" spans="2:4" x14ac:dyDescent="0.2">
      <c r="B196" s="436"/>
      <c r="C196" s="393"/>
      <c r="D196" s="393"/>
    </row>
    <row r="197" spans="2:4" x14ac:dyDescent="0.2">
      <c r="B197" s="436"/>
      <c r="C197" s="393"/>
      <c r="D197" s="393"/>
    </row>
    <row r="198" spans="2:4" x14ac:dyDescent="0.2">
      <c r="B198" s="436"/>
      <c r="C198" s="393"/>
      <c r="D198" s="393"/>
    </row>
    <row r="199" spans="2:4" x14ac:dyDescent="0.2">
      <c r="B199" s="436"/>
      <c r="C199" s="393"/>
      <c r="D199" s="393"/>
    </row>
    <row r="200" spans="2:4" x14ac:dyDescent="0.2">
      <c r="B200" s="436"/>
      <c r="C200" s="393"/>
      <c r="D200" s="393"/>
    </row>
    <row r="201" spans="2:4" x14ac:dyDescent="0.2">
      <c r="B201" s="436"/>
      <c r="C201" s="393"/>
      <c r="D201" s="393"/>
    </row>
    <row r="202" spans="2:4" x14ac:dyDescent="0.2">
      <c r="B202" s="436"/>
      <c r="C202" s="393"/>
      <c r="D202" s="393"/>
    </row>
    <row r="203" spans="2:4" x14ac:dyDescent="0.2">
      <c r="B203" s="436"/>
      <c r="C203" s="393"/>
      <c r="D203" s="393"/>
    </row>
    <row r="204" spans="2:4" x14ac:dyDescent="0.2">
      <c r="B204" s="436"/>
      <c r="C204" s="393"/>
      <c r="D204" s="393"/>
    </row>
    <row r="205" spans="2:4" x14ac:dyDescent="0.2">
      <c r="B205" s="436"/>
      <c r="C205" s="393"/>
      <c r="D205" s="393"/>
    </row>
    <row r="206" spans="2:4" x14ac:dyDescent="0.2">
      <c r="B206" s="436"/>
      <c r="C206" s="393"/>
      <c r="D206" s="393"/>
    </row>
    <row r="207" spans="2:4" x14ac:dyDescent="0.2">
      <c r="B207" s="436"/>
      <c r="C207" s="393"/>
      <c r="D207" s="393"/>
    </row>
    <row r="208" spans="2:4" x14ac:dyDescent="0.2">
      <c r="B208" s="436"/>
      <c r="C208" s="393"/>
      <c r="D208" s="393"/>
    </row>
    <row r="209" spans="2:4" x14ac:dyDescent="0.2">
      <c r="B209" s="436"/>
      <c r="C209" s="393"/>
      <c r="D209" s="393"/>
    </row>
    <row r="210" spans="2:4" x14ac:dyDescent="0.2">
      <c r="B210" s="436"/>
      <c r="C210" s="393"/>
      <c r="D210" s="393"/>
    </row>
    <row r="211" spans="2:4" x14ac:dyDescent="0.2">
      <c r="B211" s="436"/>
      <c r="C211" s="393"/>
      <c r="D211" s="393"/>
    </row>
    <row r="212" spans="2:4" x14ac:dyDescent="0.2">
      <c r="B212" s="436"/>
      <c r="C212" s="393"/>
      <c r="D212" s="393"/>
    </row>
    <row r="213" spans="2:4" x14ac:dyDescent="0.2">
      <c r="B213" s="436"/>
      <c r="C213" s="393"/>
      <c r="D213" s="393"/>
    </row>
    <row r="214" spans="2:4" x14ac:dyDescent="0.2">
      <c r="B214" s="436"/>
      <c r="C214" s="393"/>
      <c r="D214" s="393"/>
    </row>
    <row r="215" spans="2:4" x14ac:dyDescent="0.2">
      <c r="B215" s="436"/>
      <c r="C215" s="393"/>
      <c r="D215" s="393"/>
    </row>
    <row r="216" spans="2:4" x14ac:dyDescent="0.2">
      <c r="B216" s="436"/>
      <c r="C216" s="393"/>
      <c r="D216" s="393"/>
    </row>
    <row r="217" spans="2:4" x14ac:dyDescent="0.2">
      <c r="B217" s="436"/>
      <c r="C217" s="393"/>
      <c r="D217" s="393"/>
    </row>
    <row r="218" spans="2:4" x14ac:dyDescent="0.2">
      <c r="B218" s="436"/>
      <c r="C218" s="393"/>
      <c r="D218" s="393"/>
    </row>
    <row r="219" spans="2:4" x14ac:dyDescent="0.2">
      <c r="B219" s="436"/>
      <c r="C219" s="393"/>
      <c r="D219" s="393"/>
    </row>
    <row r="220" spans="2:4" x14ac:dyDescent="0.2">
      <c r="B220" s="436"/>
      <c r="C220" s="393"/>
      <c r="D220" s="393"/>
    </row>
    <row r="221" spans="2:4" x14ac:dyDescent="0.2">
      <c r="B221" s="436"/>
      <c r="C221" s="393"/>
      <c r="D221" s="393"/>
    </row>
    <row r="222" spans="2:4" x14ac:dyDescent="0.2">
      <c r="B222" s="436"/>
      <c r="C222" s="393"/>
      <c r="D222" s="393"/>
    </row>
    <row r="223" spans="2:4" x14ac:dyDescent="0.2">
      <c r="B223" s="436"/>
      <c r="C223" s="393"/>
      <c r="D223" s="393"/>
    </row>
    <row r="224" spans="2:4" x14ac:dyDescent="0.2">
      <c r="B224" s="436"/>
      <c r="C224" s="393"/>
      <c r="D224" s="393"/>
    </row>
    <row r="225" spans="2:4" x14ac:dyDescent="0.2">
      <c r="B225" s="436"/>
      <c r="C225" s="393"/>
      <c r="D225" s="393"/>
    </row>
    <row r="226" spans="2:4" x14ac:dyDescent="0.2">
      <c r="B226" s="436"/>
      <c r="C226" s="393"/>
      <c r="D226" s="393"/>
    </row>
    <row r="227" spans="2:4" x14ac:dyDescent="0.2">
      <c r="B227" s="436"/>
      <c r="C227" s="393"/>
      <c r="D227" s="393"/>
    </row>
    <row r="228" spans="2:4" x14ac:dyDescent="0.2">
      <c r="B228" s="436"/>
      <c r="C228" s="393"/>
      <c r="D228" s="393"/>
    </row>
    <row r="229" spans="2:4" x14ac:dyDescent="0.2">
      <c r="B229" s="436"/>
      <c r="C229" s="393"/>
      <c r="D229" s="393"/>
    </row>
    <row r="230" spans="2:4" x14ac:dyDescent="0.2">
      <c r="B230" s="436"/>
      <c r="C230" s="393"/>
      <c r="D230" s="393"/>
    </row>
    <row r="231" spans="2:4" x14ac:dyDescent="0.2">
      <c r="B231" s="436"/>
      <c r="C231" s="393"/>
      <c r="D231" s="393"/>
    </row>
    <row r="232" spans="2:4" x14ac:dyDescent="0.2">
      <c r="B232" s="436"/>
      <c r="C232" s="393"/>
      <c r="D232" s="393"/>
    </row>
    <row r="233" spans="2:4" x14ac:dyDescent="0.2">
      <c r="B233" s="436"/>
      <c r="C233" s="393"/>
      <c r="D233" s="393"/>
    </row>
    <row r="234" spans="2:4" x14ac:dyDescent="0.2">
      <c r="B234" s="436"/>
      <c r="C234" s="393"/>
      <c r="D234" s="393"/>
    </row>
    <row r="235" spans="2:4" x14ac:dyDescent="0.2">
      <c r="B235" s="436"/>
      <c r="C235" s="393"/>
      <c r="D235" s="393"/>
    </row>
    <row r="236" spans="2:4" x14ac:dyDescent="0.2">
      <c r="B236" s="436"/>
      <c r="C236" s="393"/>
      <c r="D236" s="393"/>
    </row>
    <row r="237" spans="2:4" x14ac:dyDescent="0.2">
      <c r="B237" s="436"/>
      <c r="C237" s="393"/>
      <c r="D237" s="393"/>
    </row>
    <row r="238" spans="2:4" x14ac:dyDescent="0.2">
      <c r="B238" s="436"/>
      <c r="C238" s="393"/>
      <c r="D238" s="393"/>
    </row>
    <row r="239" spans="2:4" x14ac:dyDescent="0.2">
      <c r="B239" s="436"/>
      <c r="C239" s="393"/>
      <c r="D239" s="393"/>
    </row>
    <row r="240" spans="2:4" x14ac:dyDescent="0.2">
      <c r="B240" s="436"/>
      <c r="C240" s="393"/>
      <c r="D240" s="393"/>
    </row>
    <row r="241" spans="2:4" x14ac:dyDescent="0.2">
      <c r="B241" s="436"/>
      <c r="C241" s="393"/>
      <c r="D241" s="393"/>
    </row>
    <row r="242" spans="2:4" x14ac:dyDescent="0.2">
      <c r="B242" s="436"/>
      <c r="C242" s="393"/>
      <c r="D242" s="393"/>
    </row>
    <row r="243" spans="2:4" x14ac:dyDescent="0.2">
      <c r="B243" s="436"/>
      <c r="C243" s="393"/>
      <c r="D243" s="393"/>
    </row>
    <row r="244" spans="2:4" x14ac:dyDescent="0.2">
      <c r="B244" s="436"/>
      <c r="C244" s="393"/>
      <c r="D244" s="393"/>
    </row>
    <row r="245" spans="2:4" x14ac:dyDescent="0.2">
      <c r="B245" s="436"/>
      <c r="C245" s="393"/>
      <c r="D245" s="393"/>
    </row>
    <row r="246" spans="2:4" x14ac:dyDescent="0.2">
      <c r="B246" s="436"/>
      <c r="C246" s="393"/>
      <c r="D246" s="393"/>
    </row>
    <row r="247" spans="2:4" x14ac:dyDescent="0.2">
      <c r="B247" s="436"/>
      <c r="C247" s="393"/>
      <c r="D247" s="393"/>
    </row>
    <row r="248" spans="2:4" x14ac:dyDescent="0.2">
      <c r="B248" s="436"/>
      <c r="C248" s="393"/>
      <c r="D248" s="393"/>
    </row>
    <row r="249" spans="2:4" x14ac:dyDescent="0.2">
      <c r="B249" s="436"/>
      <c r="C249" s="393"/>
      <c r="D249" s="393"/>
    </row>
    <row r="250" spans="2:4" x14ac:dyDescent="0.2">
      <c r="B250" s="436"/>
      <c r="C250" s="393"/>
      <c r="D250" s="393"/>
    </row>
    <row r="251" spans="2:4" x14ac:dyDescent="0.2">
      <c r="B251" s="436"/>
      <c r="C251" s="393"/>
      <c r="D251" s="393"/>
    </row>
    <row r="252" spans="2:4" x14ac:dyDescent="0.2">
      <c r="B252" s="436"/>
      <c r="C252" s="393"/>
      <c r="D252" s="393"/>
    </row>
    <row r="253" spans="2:4" x14ac:dyDescent="0.2">
      <c r="B253" s="436"/>
      <c r="C253" s="393"/>
      <c r="D253" s="393"/>
    </row>
    <row r="254" spans="2:4" x14ac:dyDescent="0.2">
      <c r="B254" s="436"/>
      <c r="C254" s="393"/>
      <c r="D254" s="393"/>
    </row>
    <row r="255" spans="2:4" x14ac:dyDescent="0.2">
      <c r="B255" s="436"/>
      <c r="C255" s="393"/>
      <c r="D255" s="393"/>
    </row>
    <row r="256" spans="2:4" x14ac:dyDescent="0.2">
      <c r="B256" s="436"/>
      <c r="C256" s="393"/>
      <c r="D256" s="393"/>
    </row>
    <row r="257" spans="2:4" x14ac:dyDescent="0.2">
      <c r="B257" s="436"/>
      <c r="C257" s="393"/>
      <c r="D257" s="393"/>
    </row>
    <row r="258" spans="2:4" x14ac:dyDescent="0.2">
      <c r="B258" s="436"/>
      <c r="C258" s="393"/>
      <c r="D258" s="393"/>
    </row>
    <row r="259" spans="2:4" x14ac:dyDescent="0.2">
      <c r="B259" s="436"/>
      <c r="C259" s="393"/>
      <c r="D259" s="393"/>
    </row>
    <row r="260" spans="2:4" x14ac:dyDescent="0.2">
      <c r="B260" s="436"/>
      <c r="C260" s="393"/>
      <c r="D260" s="393"/>
    </row>
    <row r="261" spans="2:4" x14ac:dyDescent="0.2">
      <c r="B261" s="436"/>
      <c r="C261" s="393"/>
      <c r="D261" s="393"/>
    </row>
    <row r="262" spans="2:4" x14ac:dyDescent="0.2">
      <c r="B262" s="436"/>
      <c r="C262" s="393"/>
      <c r="D262" s="393"/>
    </row>
    <row r="263" spans="2:4" x14ac:dyDescent="0.2">
      <c r="B263" s="436"/>
      <c r="C263" s="393"/>
      <c r="D263" s="393"/>
    </row>
    <row r="264" spans="2:4" x14ac:dyDescent="0.2">
      <c r="B264" s="436"/>
      <c r="C264" s="393"/>
      <c r="D264" s="393"/>
    </row>
    <row r="265" spans="2:4" x14ac:dyDescent="0.2">
      <c r="B265" s="436"/>
      <c r="C265" s="393"/>
      <c r="D265" s="393"/>
    </row>
    <row r="266" spans="2:4" x14ac:dyDescent="0.2">
      <c r="B266" s="436"/>
      <c r="C266" s="393"/>
      <c r="D266" s="393"/>
    </row>
    <row r="267" spans="2:4" x14ac:dyDescent="0.2">
      <c r="B267" s="436"/>
      <c r="C267" s="393"/>
      <c r="D267" s="393"/>
    </row>
    <row r="268" spans="2:4" x14ac:dyDescent="0.2">
      <c r="B268" s="436"/>
      <c r="C268" s="393"/>
      <c r="D268" s="393"/>
    </row>
    <row r="269" spans="2:4" x14ac:dyDescent="0.2">
      <c r="B269" s="436"/>
      <c r="C269" s="393"/>
      <c r="D269" s="393"/>
    </row>
    <row r="270" spans="2:4" x14ac:dyDescent="0.2">
      <c r="B270" s="436"/>
      <c r="C270" s="393"/>
      <c r="D270" s="393"/>
    </row>
    <row r="271" spans="2:4" x14ac:dyDescent="0.2">
      <c r="B271" s="436"/>
      <c r="C271" s="393"/>
      <c r="D271" s="393"/>
    </row>
    <row r="272" spans="2:4" x14ac:dyDescent="0.2">
      <c r="B272" s="436"/>
      <c r="C272" s="393"/>
      <c r="D272" s="393"/>
    </row>
    <row r="273" spans="2:4" x14ac:dyDescent="0.2">
      <c r="B273" s="436"/>
      <c r="C273" s="393"/>
      <c r="D273" s="393"/>
    </row>
    <row r="274" spans="2:4" x14ac:dyDescent="0.2">
      <c r="B274" s="436"/>
      <c r="C274" s="393"/>
      <c r="D274" s="393"/>
    </row>
    <row r="275" spans="2:4" x14ac:dyDescent="0.2">
      <c r="B275" s="436"/>
      <c r="C275" s="393"/>
      <c r="D275" s="393"/>
    </row>
    <row r="276" spans="2:4" x14ac:dyDescent="0.2">
      <c r="B276" s="436"/>
      <c r="C276" s="393"/>
      <c r="D276" s="393"/>
    </row>
    <row r="277" spans="2:4" x14ac:dyDescent="0.2">
      <c r="B277" s="436"/>
      <c r="C277" s="393"/>
      <c r="D277" s="393"/>
    </row>
    <row r="278" spans="2:4" x14ac:dyDescent="0.2">
      <c r="B278" s="436"/>
      <c r="C278" s="393"/>
      <c r="D278" s="393"/>
    </row>
    <row r="279" spans="2:4" x14ac:dyDescent="0.2">
      <c r="B279" s="436"/>
      <c r="C279" s="393"/>
      <c r="D279" s="393"/>
    </row>
    <row r="280" spans="2:4" x14ac:dyDescent="0.2">
      <c r="B280" s="436"/>
      <c r="C280" s="393"/>
      <c r="D280" s="393"/>
    </row>
    <row r="281" spans="2:4" x14ac:dyDescent="0.2">
      <c r="B281" s="436"/>
      <c r="C281" s="393"/>
      <c r="D281" s="393"/>
    </row>
    <row r="282" spans="2:4" x14ac:dyDescent="0.2">
      <c r="B282" s="436"/>
      <c r="C282" s="393"/>
      <c r="D282" s="393"/>
    </row>
    <row r="283" spans="2:4" x14ac:dyDescent="0.2">
      <c r="B283" s="436"/>
      <c r="C283" s="393"/>
      <c r="D283" s="393"/>
    </row>
    <row r="284" spans="2:4" x14ac:dyDescent="0.2">
      <c r="B284" s="436"/>
      <c r="C284" s="393"/>
      <c r="D284" s="393"/>
    </row>
    <row r="285" spans="2:4" x14ac:dyDescent="0.2">
      <c r="B285" s="436"/>
      <c r="C285" s="393"/>
      <c r="D285" s="393"/>
    </row>
    <row r="286" spans="2:4" x14ac:dyDescent="0.2">
      <c r="B286" s="436"/>
      <c r="C286" s="393"/>
      <c r="D286" s="393"/>
    </row>
    <row r="287" spans="2:4" x14ac:dyDescent="0.2">
      <c r="B287" s="436"/>
      <c r="C287" s="393"/>
      <c r="D287" s="393"/>
    </row>
    <row r="288" spans="2:4" x14ac:dyDescent="0.2">
      <c r="B288" s="436"/>
      <c r="C288" s="393"/>
      <c r="D288" s="393"/>
    </row>
    <row r="289" spans="2:4" x14ac:dyDescent="0.2">
      <c r="B289" s="436"/>
      <c r="C289" s="393"/>
      <c r="D289" s="393"/>
    </row>
    <row r="290" spans="2:4" x14ac:dyDescent="0.2">
      <c r="B290" s="436"/>
      <c r="C290" s="393"/>
      <c r="D290" s="393"/>
    </row>
    <row r="291" spans="2:4" x14ac:dyDescent="0.2">
      <c r="B291" s="436"/>
      <c r="C291" s="393"/>
      <c r="D291" s="393"/>
    </row>
    <row r="292" spans="2:4" x14ac:dyDescent="0.2">
      <c r="B292" s="436"/>
      <c r="C292" s="393"/>
      <c r="D292" s="393"/>
    </row>
    <row r="293" spans="2:4" x14ac:dyDescent="0.2">
      <c r="B293" s="436"/>
      <c r="C293" s="393"/>
      <c r="D293" s="393"/>
    </row>
    <row r="294" spans="2:4" x14ac:dyDescent="0.2">
      <c r="B294" s="436"/>
      <c r="C294" s="393"/>
      <c r="D294" s="393"/>
    </row>
    <row r="295" spans="2:4" x14ac:dyDescent="0.2">
      <c r="B295" s="436"/>
      <c r="C295" s="393"/>
      <c r="D295" s="393"/>
    </row>
    <row r="296" spans="2:4" x14ac:dyDescent="0.2">
      <c r="B296" s="436"/>
      <c r="C296" s="393"/>
      <c r="D296" s="393"/>
    </row>
    <row r="297" spans="2:4" x14ac:dyDescent="0.2">
      <c r="B297" s="436"/>
      <c r="C297" s="393"/>
      <c r="D297" s="393"/>
    </row>
    <row r="298" spans="2:4" x14ac:dyDescent="0.2">
      <c r="B298" s="436"/>
      <c r="C298" s="393"/>
      <c r="D298" s="393"/>
    </row>
    <row r="299" spans="2:4" x14ac:dyDescent="0.2">
      <c r="B299" s="436"/>
      <c r="C299" s="393"/>
      <c r="D299" s="393"/>
    </row>
    <row r="300" spans="2:4" x14ac:dyDescent="0.2">
      <c r="B300" s="436"/>
      <c r="C300" s="393"/>
      <c r="D300" s="393"/>
    </row>
    <row r="301" spans="2:4" x14ac:dyDescent="0.2">
      <c r="B301" s="436"/>
      <c r="C301" s="393"/>
      <c r="D301" s="393"/>
    </row>
    <row r="302" spans="2:4" x14ac:dyDescent="0.2">
      <c r="B302" s="436"/>
      <c r="C302" s="393"/>
      <c r="D302" s="393"/>
    </row>
    <row r="303" spans="2:4" x14ac:dyDescent="0.2">
      <c r="B303" s="436"/>
      <c r="C303" s="393"/>
      <c r="D303" s="393"/>
    </row>
    <row r="304" spans="2:4" x14ac:dyDescent="0.2">
      <c r="B304" s="436"/>
      <c r="C304" s="393"/>
      <c r="D304" s="393"/>
    </row>
    <row r="305" spans="2:4" x14ac:dyDescent="0.2">
      <c r="B305" s="436"/>
      <c r="C305" s="393"/>
      <c r="D305" s="393"/>
    </row>
    <row r="306" spans="2:4" x14ac:dyDescent="0.2">
      <c r="B306" s="436"/>
      <c r="C306" s="393"/>
      <c r="D306" s="393"/>
    </row>
    <row r="307" spans="2:4" x14ac:dyDescent="0.2">
      <c r="B307" s="436"/>
      <c r="C307" s="393"/>
      <c r="D307" s="393"/>
    </row>
    <row r="308" spans="2:4" x14ac:dyDescent="0.2">
      <c r="B308" s="436"/>
      <c r="C308" s="393"/>
      <c r="D308" s="393"/>
    </row>
    <row r="309" spans="2:4" x14ac:dyDescent="0.2">
      <c r="B309" s="436"/>
      <c r="C309" s="393"/>
      <c r="D309" s="393"/>
    </row>
    <row r="310" spans="2:4" x14ac:dyDescent="0.2">
      <c r="B310" s="436"/>
      <c r="C310" s="393"/>
      <c r="D310" s="393"/>
    </row>
    <row r="311" spans="2:4" x14ac:dyDescent="0.2">
      <c r="B311" s="436"/>
      <c r="C311" s="393"/>
      <c r="D311" s="393"/>
    </row>
    <row r="312" spans="2:4" x14ac:dyDescent="0.2">
      <c r="B312" s="436"/>
      <c r="C312" s="393"/>
      <c r="D312" s="393"/>
    </row>
    <row r="313" spans="2:4" x14ac:dyDescent="0.2">
      <c r="B313" s="436"/>
      <c r="C313" s="393"/>
      <c r="D313" s="393"/>
    </row>
    <row r="314" spans="2:4" x14ac:dyDescent="0.2">
      <c r="B314" s="436"/>
      <c r="C314" s="393"/>
      <c r="D314" s="393"/>
    </row>
    <row r="315" spans="2:4" x14ac:dyDescent="0.2">
      <c r="B315" s="436"/>
      <c r="C315" s="393"/>
      <c r="D315" s="393"/>
    </row>
    <row r="316" spans="2:4" x14ac:dyDescent="0.2">
      <c r="B316" s="436"/>
      <c r="C316" s="393"/>
      <c r="D316" s="393"/>
    </row>
    <row r="317" spans="2:4" x14ac:dyDescent="0.2">
      <c r="B317" s="436"/>
      <c r="C317" s="393"/>
      <c r="D317" s="393"/>
    </row>
    <row r="318" spans="2:4" x14ac:dyDescent="0.2">
      <c r="B318" s="436"/>
      <c r="C318" s="393"/>
      <c r="D318" s="393"/>
    </row>
    <row r="319" spans="2:4" x14ac:dyDescent="0.2">
      <c r="B319" s="436"/>
      <c r="C319" s="393"/>
      <c r="D319" s="393"/>
    </row>
    <row r="320" spans="2:4" x14ac:dyDescent="0.2">
      <c r="B320" s="436"/>
      <c r="C320" s="393"/>
      <c r="D320" s="393"/>
    </row>
    <row r="321" spans="2:4" x14ac:dyDescent="0.2">
      <c r="B321" s="436"/>
      <c r="C321" s="393"/>
      <c r="D321" s="393"/>
    </row>
    <row r="322" spans="2:4" x14ac:dyDescent="0.2">
      <c r="B322" s="436"/>
      <c r="C322" s="393"/>
      <c r="D322" s="393"/>
    </row>
    <row r="323" spans="2:4" x14ac:dyDescent="0.2">
      <c r="B323" s="436"/>
      <c r="C323" s="393"/>
      <c r="D323" s="393"/>
    </row>
    <row r="324" spans="2:4" x14ac:dyDescent="0.2">
      <c r="B324" s="436"/>
      <c r="C324" s="393"/>
      <c r="D324" s="393"/>
    </row>
    <row r="325" spans="2:4" x14ac:dyDescent="0.2">
      <c r="B325" s="436"/>
      <c r="C325" s="393"/>
      <c r="D325" s="393"/>
    </row>
    <row r="326" spans="2:4" x14ac:dyDescent="0.2">
      <c r="B326" s="436"/>
      <c r="C326" s="393"/>
      <c r="D326" s="393"/>
    </row>
    <row r="327" spans="2:4" x14ac:dyDescent="0.2">
      <c r="B327" s="436"/>
      <c r="C327" s="393"/>
      <c r="D327" s="393"/>
    </row>
    <row r="328" spans="2:4" x14ac:dyDescent="0.2">
      <c r="B328" s="436"/>
      <c r="C328" s="393"/>
      <c r="D328" s="393"/>
    </row>
    <row r="329" spans="2:4" x14ac:dyDescent="0.2">
      <c r="B329" s="436"/>
      <c r="C329" s="393"/>
      <c r="D329" s="393"/>
    </row>
    <row r="330" spans="2:4" x14ac:dyDescent="0.2">
      <c r="B330" s="436"/>
      <c r="C330" s="393"/>
      <c r="D330" s="393"/>
    </row>
    <row r="331" spans="2:4" x14ac:dyDescent="0.2">
      <c r="B331" s="436"/>
      <c r="C331" s="393"/>
      <c r="D331" s="393"/>
    </row>
    <row r="332" spans="2:4" x14ac:dyDescent="0.2">
      <c r="B332" s="436"/>
      <c r="C332" s="393"/>
      <c r="D332" s="393"/>
    </row>
    <row r="333" spans="2:4" x14ac:dyDescent="0.2">
      <c r="B333" s="436"/>
      <c r="C333" s="393"/>
      <c r="D333" s="393"/>
    </row>
    <row r="334" spans="2:4" x14ac:dyDescent="0.2">
      <c r="B334" s="436"/>
      <c r="C334" s="393"/>
      <c r="D334" s="393"/>
    </row>
    <row r="335" spans="2:4" x14ac:dyDescent="0.2">
      <c r="B335" s="436"/>
      <c r="C335" s="393"/>
      <c r="D335" s="393"/>
    </row>
    <row r="336" spans="2:4" x14ac:dyDescent="0.2">
      <c r="B336" s="436"/>
      <c r="C336" s="393"/>
      <c r="D336" s="393"/>
    </row>
    <row r="337" spans="2:4" x14ac:dyDescent="0.2">
      <c r="B337" s="436"/>
      <c r="C337" s="393"/>
      <c r="D337" s="393"/>
    </row>
    <row r="338" spans="2:4" x14ac:dyDescent="0.2">
      <c r="B338" s="436"/>
      <c r="C338" s="393"/>
      <c r="D338" s="393"/>
    </row>
    <row r="339" spans="2:4" x14ac:dyDescent="0.2">
      <c r="B339" s="436"/>
      <c r="C339" s="393"/>
      <c r="D339" s="393"/>
    </row>
    <row r="340" spans="2:4" x14ac:dyDescent="0.2">
      <c r="B340" s="436"/>
      <c r="C340" s="393"/>
      <c r="D340" s="393"/>
    </row>
    <row r="341" spans="2:4" x14ac:dyDescent="0.2">
      <c r="B341" s="436"/>
      <c r="C341" s="393"/>
      <c r="D341" s="393"/>
    </row>
    <row r="342" spans="2:4" x14ac:dyDescent="0.2">
      <c r="B342" s="436"/>
      <c r="C342" s="393"/>
      <c r="D342" s="393"/>
    </row>
    <row r="343" spans="2:4" x14ac:dyDescent="0.2">
      <c r="B343" s="436"/>
      <c r="C343" s="393"/>
      <c r="D343" s="393"/>
    </row>
    <row r="344" spans="2:4" x14ac:dyDescent="0.2">
      <c r="B344" s="436"/>
      <c r="C344" s="393"/>
      <c r="D344" s="393"/>
    </row>
    <row r="345" spans="2:4" x14ac:dyDescent="0.2">
      <c r="B345" s="436"/>
      <c r="C345" s="393"/>
      <c r="D345" s="393"/>
    </row>
    <row r="346" spans="2:4" x14ac:dyDescent="0.2">
      <c r="B346" s="436"/>
      <c r="C346" s="393"/>
      <c r="D346" s="393"/>
    </row>
    <row r="347" spans="2:4" x14ac:dyDescent="0.2">
      <c r="B347" s="436"/>
      <c r="C347" s="393"/>
      <c r="D347" s="393"/>
    </row>
    <row r="348" spans="2:4" x14ac:dyDescent="0.2">
      <c r="B348" s="436"/>
      <c r="C348" s="393"/>
      <c r="D348" s="393"/>
    </row>
    <row r="349" spans="2:4" x14ac:dyDescent="0.2">
      <c r="B349" s="436"/>
      <c r="C349" s="393"/>
      <c r="D349" s="393"/>
    </row>
    <row r="350" spans="2:4" x14ac:dyDescent="0.2">
      <c r="B350" s="436"/>
      <c r="C350" s="393"/>
      <c r="D350" s="393"/>
    </row>
    <row r="351" spans="2:4" x14ac:dyDescent="0.2">
      <c r="B351" s="436"/>
      <c r="C351" s="393"/>
      <c r="D351" s="393"/>
    </row>
    <row r="352" spans="2:4" x14ac:dyDescent="0.2">
      <c r="B352" s="436"/>
      <c r="C352" s="393"/>
      <c r="D352" s="393"/>
    </row>
    <row r="353" spans="2:4" x14ac:dyDescent="0.2">
      <c r="B353" s="436"/>
      <c r="C353" s="393"/>
      <c r="D353" s="393"/>
    </row>
    <row r="354" spans="2:4" x14ac:dyDescent="0.2">
      <c r="B354" s="436"/>
      <c r="C354" s="393"/>
      <c r="D354" s="393"/>
    </row>
    <row r="355" spans="2:4" x14ac:dyDescent="0.2">
      <c r="B355" s="436"/>
      <c r="C355" s="393"/>
      <c r="D355" s="393"/>
    </row>
    <row r="356" spans="2:4" x14ac:dyDescent="0.2">
      <c r="B356" s="436"/>
      <c r="C356" s="393"/>
      <c r="D356" s="393"/>
    </row>
    <row r="357" spans="2:4" x14ac:dyDescent="0.2">
      <c r="B357" s="436"/>
      <c r="C357" s="393"/>
      <c r="D357" s="393"/>
    </row>
    <row r="358" spans="2:4" x14ac:dyDescent="0.2">
      <c r="B358" s="436"/>
      <c r="C358" s="393"/>
      <c r="D358" s="393"/>
    </row>
    <row r="359" spans="2:4" x14ac:dyDescent="0.2">
      <c r="B359" s="436"/>
      <c r="C359" s="393"/>
      <c r="D359" s="393"/>
    </row>
    <row r="360" spans="2:4" x14ac:dyDescent="0.2">
      <c r="B360" s="436"/>
      <c r="C360" s="393"/>
      <c r="D360" s="393"/>
    </row>
    <row r="361" spans="2:4" x14ac:dyDescent="0.2">
      <c r="B361" s="436"/>
      <c r="C361" s="393"/>
      <c r="D361" s="393"/>
    </row>
    <row r="362" spans="2:4" x14ac:dyDescent="0.2">
      <c r="B362" s="436"/>
      <c r="C362" s="393"/>
      <c r="D362" s="393"/>
    </row>
    <row r="363" spans="2:4" x14ac:dyDescent="0.2">
      <c r="B363" s="436"/>
      <c r="C363" s="393"/>
      <c r="D363" s="393"/>
    </row>
    <row r="364" spans="2:4" x14ac:dyDescent="0.2">
      <c r="B364" s="436"/>
      <c r="C364" s="393"/>
      <c r="D364" s="393"/>
    </row>
    <row r="365" spans="2:4" x14ac:dyDescent="0.2">
      <c r="B365" s="436"/>
      <c r="C365" s="393"/>
      <c r="D365" s="393"/>
    </row>
    <row r="366" spans="2:4" x14ac:dyDescent="0.2">
      <c r="B366" s="436"/>
      <c r="C366" s="393"/>
      <c r="D366" s="393"/>
    </row>
    <row r="367" spans="2:4" x14ac:dyDescent="0.2">
      <c r="B367" s="436"/>
      <c r="C367" s="393"/>
      <c r="D367" s="393"/>
    </row>
    <row r="368" spans="2:4" x14ac:dyDescent="0.2">
      <c r="B368" s="436"/>
      <c r="C368" s="393"/>
      <c r="D368" s="393"/>
    </row>
    <row r="369" spans="2:4" x14ac:dyDescent="0.2">
      <c r="B369" s="436"/>
      <c r="C369" s="393"/>
      <c r="D369" s="393"/>
    </row>
    <row r="370" spans="2:4" x14ac:dyDescent="0.2">
      <c r="B370" s="436"/>
      <c r="C370" s="393"/>
      <c r="D370" s="393"/>
    </row>
    <row r="371" spans="2:4" x14ac:dyDescent="0.2">
      <c r="B371" s="436"/>
      <c r="C371" s="393"/>
      <c r="D371" s="393"/>
    </row>
    <row r="372" spans="2:4" x14ac:dyDescent="0.2">
      <c r="B372" s="436"/>
      <c r="C372" s="393"/>
      <c r="D372" s="393"/>
    </row>
    <row r="373" spans="2:4" x14ac:dyDescent="0.2">
      <c r="B373" s="436"/>
      <c r="C373" s="393"/>
      <c r="D373" s="393"/>
    </row>
    <row r="374" spans="2:4" x14ac:dyDescent="0.2">
      <c r="B374" s="436"/>
      <c r="C374" s="393"/>
      <c r="D374" s="393"/>
    </row>
    <row r="375" spans="2:4" x14ac:dyDescent="0.2">
      <c r="B375" s="436"/>
      <c r="C375" s="393"/>
      <c r="D375" s="393"/>
    </row>
    <row r="376" spans="2:4" x14ac:dyDescent="0.2">
      <c r="B376" s="436"/>
      <c r="C376" s="393"/>
      <c r="D376" s="393"/>
    </row>
    <row r="377" spans="2:4" x14ac:dyDescent="0.2">
      <c r="B377" s="436"/>
      <c r="C377" s="393"/>
      <c r="D377" s="393"/>
    </row>
    <row r="378" spans="2:4" x14ac:dyDescent="0.2">
      <c r="B378" s="436"/>
      <c r="C378" s="393"/>
      <c r="D378" s="393"/>
    </row>
    <row r="379" spans="2:4" x14ac:dyDescent="0.2">
      <c r="B379" s="436"/>
      <c r="C379" s="393"/>
      <c r="D379" s="393"/>
    </row>
    <row r="380" spans="2:4" x14ac:dyDescent="0.2">
      <c r="B380" s="436"/>
      <c r="C380" s="393"/>
      <c r="D380" s="393"/>
    </row>
    <row r="381" spans="2:4" x14ac:dyDescent="0.2">
      <c r="B381" s="436"/>
      <c r="C381" s="393"/>
      <c r="D381" s="393"/>
    </row>
    <row r="382" spans="2:4" x14ac:dyDescent="0.2">
      <c r="B382" s="436"/>
      <c r="C382" s="393"/>
      <c r="D382" s="393"/>
    </row>
    <row r="383" spans="2:4" x14ac:dyDescent="0.2">
      <c r="B383" s="436"/>
      <c r="C383" s="393"/>
      <c r="D383" s="393"/>
    </row>
    <row r="384" spans="2:4" x14ac:dyDescent="0.2">
      <c r="B384" s="436"/>
      <c r="C384" s="393"/>
      <c r="D384" s="393"/>
    </row>
    <row r="385" spans="2:4" x14ac:dyDescent="0.2">
      <c r="B385" s="436"/>
      <c r="C385" s="393"/>
      <c r="D385" s="393"/>
    </row>
    <row r="386" spans="2:4" x14ac:dyDescent="0.2">
      <c r="B386" s="436"/>
      <c r="C386" s="393"/>
      <c r="D386" s="393"/>
    </row>
    <row r="387" spans="2:4" x14ac:dyDescent="0.2">
      <c r="B387" s="436"/>
      <c r="C387" s="393"/>
      <c r="D387" s="393"/>
    </row>
    <row r="388" spans="2:4" x14ac:dyDescent="0.2">
      <c r="B388" s="436"/>
      <c r="C388" s="393"/>
      <c r="D388" s="393"/>
    </row>
    <row r="389" spans="2:4" x14ac:dyDescent="0.2">
      <c r="B389" s="436"/>
      <c r="C389" s="393"/>
      <c r="D389" s="393"/>
    </row>
    <row r="390" spans="2:4" x14ac:dyDescent="0.2">
      <c r="B390" s="436"/>
      <c r="C390" s="393"/>
      <c r="D390" s="393"/>
    </row>
    <row r="391" spans="2:4" x14ac:dyDescent="0.2">
      <c r="B391" s="436"/>
      <c r="C391" s="393"/>
      <c r="D391" s="393"/>
    </row>
    <row r="392" spans="2:4" x14ac:dyDescent="0.2">
      <c r="B392" s="436"/>
      <c r="C392" s="393"/>
      <c r="D392" s="393"/>
    </row>
    <row r="393" spans="2:4" x14ac:dyDescent="0.2">
      <c r="B393" s="436"/>
      <c r="C393" s="393"/>
      <c r="D393" s="393"/>
    </row>
    <row r="394" spans="2:4" x14ac:dyDescent="0.2">
      <c r="B394" s="436"/>
      <c r="C394" s="393"/>
      <c r="D394" s="393"/>
    </row>
    <row r="395" spans="2:4" x14ac:dyDescent="0.2">
      <c r="B395" s="436"/>
      <c r="C395" s="393"/>
      <c r="D395" s="393"/>
    </row>
    <row r="396" spans="2:4" x14ac:dyDescent="0.2">
      <c r="B396" s="436"/>
      <c r="C396" s="393"/>
      <c r="D396" s="393"/>
    </row>
    <row r="397" spans="2:4" x14ac:dyDescent="0.2">
      <c r="B397" s="436"/>
      <c r="C397" s="393"/>
      <c r="D397" s="393"/>
    </row>
    <row r="398" spans="2:4" x14ac:dyDescent="0.2">
      <c r="B398" s="436"/>
      <c r="C398" s="393"/>
      <c r="D398" s="393"/>
    </row>
    <row r="399" spans="2:4" x14ac:dyDescent="0.2">
      <c r="B399" s="436"/>
      <c r="C399" s="393"/>
      <c r="D399" s="393"/>
    </row>
    <row r="400" spans="2:4" x14ac:dyDescent="0.2">
      <c r="B400" s="436"/>
      <c r="C400" s="393"/>
      <c r="D400" s="393"/>
    </row>
    <row r="401" spans="2:4" x14ac:dyDescent="0.2">
      <c r="B401" s="436"/>
      <c r="C401" s="393"/>
      <c r="D401" s="393"/>
    </row>
    <row r="402" spans="2:4" x14ac:dyDescent="0.2">
      <c r="B402" s="436"/>
      <c r="C402" s="393"/>
      <c r="D402" s="393"/>
    </row>
    <row r="403" spans="2:4" x14ac:dyDescent="0.2">
      <c r="B403" s="436"/>
      <c r="C403" s="393"/>
      <c r="D403" s="393"/>
    </row>
    <row r="404" spans="2:4" x14ac:dyDescent="0.2">
      <c r="B404" s="436"/>
      <c r="C404" s="393"/>
      <c r="D404" s="393"/>
    </row>
    <row r="405" spans="2:4" x14ac:dyDescent="0.2">
      <c r="B405" s="436"/>
      <c r="C405" s="393"/>
      <c r="D405" s="393"/>
    </row>
    <row r="406" spans="2:4" x14ac:dyDescent="0.2">
      <c r="B406" s="436"/>
      <c r="C406" s="393"/>
      <c r="D406" s="393"/>
    </row>
    <row r="407" spans="2:4" x14ac:dyDescent="0.2">
      <c r="B407" s="436"/>
      <c r="C407" s="393"/>
      <c r="D407" s="393"/>
    </row>
    <row r="408" spans="2:4" x14ac:dyDescent="0.2">
      <c r="B408" s="436"/>
      <c r="C408" s="393"/>
      <c r="D408" s="393"/>
    </row>
    <row r="409" spans="2:4" x14ac:dyDescent="0.2">
      <c r="B409" s="436"/>
      <c r="C409" s="393"/>
      <c r="D409" s="393"/>
    </row>
    <row r="410" spans="2:4" x14ac:dyDescent="0.2">
      <c r="B410" s="436"/>
      <c r="C410" s="393"/>
      <c r="D410" s="393"/>
    </row>
    <row r="411" spans="2:4" x14ac:dyDescent="0.2">
      <c r="B411" s="436"/>
      <c r="C411" s="393"/>
      <c r="D411" s="393"/>
    </row>
    <row r="412" spans="2:4" x14ac:dyDescent="0.2">
      <c r="B412" s="436"/>
      <c r="C412" s="393"/>
      <c r="D412" s="393"/>
    </row>
    <row r="413" spans="2:4" x14ac:dyDescent="0.2">
      <c r="B413" s="436"/>
      <c r="C413" s="393"/>
      <c r="D413" s="393"/>
    </row>
    <row r="414" spans="2:4" x14ac:dyDescent="0.2">
      <c r="B414" s="436"/>
      <c r="C414" s="393"/>
      <c r="D414" s="393"/>
    </row>
    <row r="415" spans="2:4" x14ac:dyDescent="0.2">
      <c r="B415" s="436"/>
      <c r="C415" s="393"/>
      <c r="D415" s="393"/>
    </row>
    <row r="416" spans="2:4" x14ac:dyDescent="0.2">
      <c r="B416" s="436"/>
      <c r="C416" s="393"/>
      <c r="D416" s="393"/>
    </row>
    <row r="417" spans="2:4" x14ac:dyDescent="0.2">
      <c r="B417" s="436"/>
      <c r="C417" s="393"/>
      <c r="D417" s="393"/>
    </row>
    <row r="418" spans="2:4" x14ac:dyDescent="0.2">
      <c r="B418" s="436"/>
      <c r="C418" s="393"/>
      <c r="D418" s="393"/>
    </row>
    <row r="419" spans="2:4" x14ac:dyDescent="0.2">
      <c r="B419" s="436"/>
      <c r="C419" s="393"/>
      <c r="D419" s="393"/>
    </row>
    <row r="420" spans="2:4" x14ac:dyDescent="0.2">
      <c r="B420" s="436"/>
      <c r="C420" s="393"/>
      <c r="D420" s="393"/>
    </row>
    <row r="421" spans="2:4" x14ac:dyDescent="0.2">
      <c r="B421" s="436"/>
      <c r="C421" s="393"/>
      <c r="D421" s="393"/>
    </row>
    <row r="422" spans="2:4" x14ac:dyDescent="0.2">
      <c r="B422" s="436"/>
      <c r="C422" s="393"/>
      <c r="D422" s="393"/>
    </row>
    <row r="423" spans="2:4" x14ac:dyDescent="0.2">
      <c r="B423" s="436"/>
      <c r="C423" s="393"/>
      <c r="D423" s="393"/>
    </row>
    <row r="424" spans="2:4" x14ac:dyDescent="0.2">
      <c r="B424" s="436"/>
      <c r="C424" s="393"/>
      <c r="D424" s="393"/>
    </row>
    <row r="425" spans="2:4" x14ac:dyDescent="0.2">
      <c r="B425" s="436"/>
      <c r="C425" s="393"/>
      <c r="D425" s="393"/>
    </row>
    <row r="426" spans="2:4" x14ac:dyDescent="0.2">
      <c r="B426" s="436"/>
      <c r="C426" s="393"/>
      <c r="D426" s="393"/>
    </row>
    <row r="427" spans="2:4" x14ac:dyDescent="0.2">
      <c r="B427" s="436"/>
      <c r="C427" s="393"/>
      <c r="D427" s="393"/>
    </row>
    <row r="428" spans="2:4" x14ac:dyDescent="0.2">
      <c r="B428" s="436"/>
      <c r="C428" s="393"/>
      <c r="D428" s="393"/>
    </row>
    <row r="429" spans="2:4" x14ac:dyDescent="0.2">
      <c r="B429" s="436"/>
      <c r="C429" s="393"/>
      <c r="D429" s="393"/>
    </row>
    <row r="430" spans="2:4" x14ac:dyDescent="0.2">
      <c r="B430" s="436"/>
      <c r="C430" s="393"/>
      <c r="D430" s="393"/>
    </row>
    <row r="431" spans="2:4" x14ac:dyDescent="0.2">
      <c r="B431" s="436"/>
      <c r="C431" s="393"/>
      <c r="D431" s="393"/>
    </row>
    <row r="432" spans="2:4" x14ac:dyDescent="0.2">
      <c r="B432" s="436"/>
      <c r="C432" s="393"/>
      <c r="D432" s="393"/>
    </row>
    <row r="433" spans="2:4" x14ac:dyDescent="0.2">
      <c r="B433" s="436"/>
      <c r="C433" s="393"/>
      <c r="D433" s="393"/>
    </row>
    <row r="434" spans="2:4" x14ac:dyDescent="0.2">
      <c r="B434" s="436"/>
      <c r="C434" s="393"/>
      <c r="D434" s="393"/>
    </row>
    <row r="435" spans="2:4" x14ac:dyDescent="0.2">
      <c r="B435" s="436"/>
      <c r="C435" s="393"/>
      <c r="D435" s="393"/>
    </row>
    <row r="436" spans="2:4" x14ac:dyDescent="0.2">
      <c r="B436" s="436"/>
      <c r="C436" s="393"/>
      <c r="D436" s="393"/>
    </row>
    <row r="437" spans="2:4" x14ac:dyDescent="0.2">
      <c r="B437" s="436"/>
      <c r="C437" s="393"/>
      <c r="D437" s="393"/>
    </row>
    <row r="438" spans="2:4" x14ac:dyDescent="0.2">
      <c r="B438" s="436"/>
      <c r="C438" s="393"/>
      <c r="D438" s="393"/>
    </row>
    <row r="439" spans="2:4" x14ac:dyDescent="0.2">
      <c r="B439" s="436"/>
      <c r="C439" s="393"/>
      <c r="D439" s="393"/>
    </row>
    <row r="440" spans="2:4" x14ac:dyDescent="0.2">
      <c r="B440" s="436"/>
      <c r="C440" s="393"/>
      <c r="D440" s="393"/>
    </row>
    <row r="441" spans="2:4" x14ac:dyDescent="0.2">
      <c r="B441" s="436"/>
      <c r="C441" s="393"/>
      <c r="D441" s="393"/>
    </row>
    <row r="442" spans="2:4" x14ac:dyDescent="0.2">
      <c r="B442" s="436"/>
      <c r="C442" s="393"/>
      <c r="D442" s="393"/>
    </row>
    <row r="443" spans="2:4" x14ac:dyDescent="0.2">
      <c r="B443" s="436"/>
      <c r="C443" s="393"/>
      <c r="D443" s="393"/>
    </row>
    <row r="444" spans="2:4" x14ac:dyDescent="0.2">
      <c r="B444" s="436"/>
      <c r="C444" s="393"/>
      <c r="D444" s="393"/>
    </row>
    <row r="445" spans="2:4" x14ac:dyDescent="0.2">
      <c r="B445" s="436"/>
      <c r="C445" s="393"/>
      <c r="D445" s="393"/>
    </row>
    <row r="446" spans="2:4" x14ac:dyDescent="0.2">
      <c r="B446" s="436"/>
      <c r="C446" s="393"/>
      <c r="D446" s="393"/>
    </row>
    <row r="447" spans="2:4" x14ac:dyDescent="0.2">
      <c r="B447" s="436"/>
      <c r="C447" s="393"/>
      <c r="D447" s="393"/>
    </row>
    <row r="448" spans="2:4" x14ac:dyDescent="0.2">
      <c r="B448" s="436"/>
      <c r="C448" s="393"/>
      <c r="D448" s="393"/>
    </row>
    <row r="449" spans="2:4" x14ac:dyDescent="0.2">
      <c r="B449" s="436"/>
      <c r="C449" s="393"/>
      <c r="D449" s="393"/>
    </row>
    <row r="450" spans="2:4" x14ac:dyDescent="0.2">
      <c r="B450" s="436"/>
      <c r="C450" s="393"/>
      <c r="D450" s="393"/>
    </row>
    <row r="451" spans="2:4" x14ac:dyDescent="0.2">
      <c r="B451" s="436"/>
      <c r="C451" s="393"/>
      <c r="D451" s="393"/>
    </row>
    <row r="452" spans="2:4" x14ac:dyDescent="0.2">
      <c r="B452" s="436"/>
      <c r="C452" s="393"/>
      <c r="D452" s="393"/>
    </row>
    <row r="453" spans="2:4" x14ac:dyDescent="0.2">
      <c r="B453" s="436"/>
      <c r="C453" s="393"/>
      <c r="D453" s="393"/>
    </row>
    <row r="454" spans="2:4" x14ac:dyDescent="0.2">
      <c r="B454" s="436"/>
      <c r="C454" s="393"/>
      <c r="D454" s="393"/>
    </row>
    <row r="455" spans="2:4" x14ac:dyDescent="0.2">
      <c r="B455" s="436"/>
      <c r="C455" s="393"/>
      <c r="D455" s="393"/>
    </row>
    <row r="456" spans="2:4" x14ac:dyDescent="0.2">
      <c r="B456" s="436"/>
      <c r="C456" s="393"/>
      <c r="D456" s="393"/>
    </row>
    <row r="457" spans="2:4" x14ac:dyDescent="0.2">
      <c r="B457" s="436"/>
      <c r="C457" s="393"/>
      <c r="D457" s="393"/>
    </row>
    <row r="458" spans="2:4" x14ac:dyDescent="0.2">
      <c r="B458" s="436"/>
      <c r="C458" s="393"/>
      <c r="D458" s="393"/>
    </row>
    <row r="459" spans="2:4" x14ac:dyDescent="0.2">
      <c r="B459" s="436"/>
      <c r="C459" s="393"/>
      <c r="D459" s="393"/>
    </row>
    <row r="460" spans="2:4" x14ac:dyDescent="0.2">
      <c r="B460" s="436"/>
      <c r="C460" s="393"/>
      <c r="D460" s="393"/>
    </row>
    <row r="461" spans="2:4" x14ac:dyDescent="0.2">
      <c r="B461" s="436"/>
      <c r="C461" s="393"/>
      <c r="D461" s="393"/>
    </row>
    <row r="462" spans="2:4" x14ac:dyDescent="0.2">
      <c r="B462" s="436"/>
      <c r="C462" s="393"/>
      <c r="D462" s="393"/>
    </row>
    <row r="463" spans="2:4" x14ac:dyDescent="0.2">
      <c r="B463" s="436"/>
      <c r="C463" s="393"/>
      <c r="D463" s="393"/>
    </row>
    <row r="464" spans="2:4" x14ac:dyDescent="0.2">
      <c r="B464" s="436"/>
      <c r="C464" s="393"/>
      <c r="D464" s="393"/>
    </row>
    <row r="465" spans="2:4" x14ac:dyDescent="0.2">
      <c r="B465" s="436"/>
      <c r="C465" s="393"/>
      <c r="D465" s="393"/>
    </row>
    <row r="466" spans="2:4" x14ac:dyDescent="0.2">
      <c r="B466" s="436"/>
      <c r="C466" s="393"/>
      <c r="D466" s="393"/>
    </row>
    <row r="467" spans="2:4" x14ac:dyDescent="0.2">
      <c r="B467" s="436"/>
      <c r="C467" s="393"/>
      <c r="D467" s="393"/>
    </row>
    <row r="468" spans="2:4" x14ac:dyDescent="0.2">
      <c r="B468" s="436"/>
      <c r="C468" s="393"/>
      <c r="D468" s="393"/>
    </row>
    <row r="469" spans="2:4" x14ac:dyDescent="0.2">
      <c r="B469" s="436"/>
      <c r="C469" s="393"/>
      <c r="D469" s="393"/>
    </row>
    <row r="470" spans="2:4" x14ac:dyDescent="0.2">
      <c r="B470" s="436"/>
      <c r="C470" s="393"/>
      <c r="D470" s="393"/>
    </row>
    <row r="471" spans="2:4" x14ac:dyDescent="0.2">
      <c r="B471" s="436"/>
      <c r="C471" s="393"/>
      <c r="D471" s="393"/>
    </row>
    <row r="472" spans="2:4" x14ac:dyDescent="0.2">
      <c r="B472" s="436"/>
      <c r="C472" s="393"/>
      <c r="D472" s="393"/>
    </row>
    <row r="473" spans="2:4" x14ac:dyDescent="0.2">
      <c r="B473" s="436"/>
      <c r="C473" s="393"/>
      <c r="D473" s="393"/>
    </row>
    <row r="474" spans="2:4" x14ac:dyDescent="0.2">
      <c r="B474" s="436"/>
      <c r="C474" s="393"/>
      <c r="D474" s="393"/>
    </row>
    <row r="475" spans="2:4" x14ac:dyDescent="0.2">
      <c r="B475" s="436"/>
      <c r="C475" s="393"/>
      <c r="D475" s="393"/>
    </row>
    <row r="476" spans="2:4" x14ac:dyDescent="0.2">
      <c r="B476" s="436"/>
      <c r="C476" s="393"/>
      <c r="D476" s="393"/>
    </row>
    <row r="477" spans="2:4" x14ac:dyDescent="0.2">
      <c r="B477" s="436"/>
      <c r="C477" s="393"/>
      <c r="D477" s="393"/>
    </row>
    <row r="478" spans="2:4" x14ac:dyDescent="0.2">
      <c r="C478" s="393"/>
      <c r="D478" s="393"/>
    </row>
    <row r="479" spans="2:4" x14ac:dyDescent="0.2">
      <c r="C479" s="393"/>
      <c r="D479" s="393"/>
    </row>
    <row r="480" spans="2:4" x14ac:dyDescent="0.2">
      <c r="C480" s="393"/>
      <c r="D480" s="393"/>
    </row>
    <row r="481" spans="3:4" x14ac:dyDescent="0.2">
      <c r="C481" s="393"/>
      <c r="D481" s="393"/>
    </row>
    <row r="482" spans="3:4" x14ac:dyDescent="0.2">
      <c r="C482" s="393"/>
      <c r="D482" s="393"/>
    </row>
    <row r="483" spans="3:4" x14ac:dyDescent="0.2">
      <c r="C483" s="393"/>
      <c r="D483" s="393"/>
    </row>
    <row r="484" spans="3:4" x14ac:dyDescent="0.2">
      <c r="C484" s="393"/>
      <c r="D484" s="393"/>
    </row>
    <row r="485" spans="3:4" x14ac:dyDescent="0.2">
      <c r="C485" s="393"/>
      <c r="D485" s="393"/>
    </row>
    <row r="486" spans="3:4" x14ac:dyDescent="0.2">
      <c r="C486" s="393"/>
      <c r="D486" s="393"/>
    </row>
    <row r="487" spans="3:4" x14ac:dyDescent="0.2">
      <c r="C487" s="393"/>
      <c r="D487" s="393"/>
    </row>
    <row r="488" spans="3:4" x14ac:dyDescent="0.2">
      <c r="C488" s="393"/>
      <c r="D488" s="393"/>
    </row>
    <row r="489" spans="3:4" x14ac:dyDescent="0.2">
      <c r="C489" s="393"/>
      <c r="D489" s="393"/>
    </row>
    <row r="490" spans="3:4" x14ac:dyDescent="0.2">
      <c r="C490" s="393"/>
      <c r="D490" s="393"/>
    </row>
    <row r="491" spans="3:4" x14ac:dyDescent="0.2">
      <c r="C491" s="393"/>
      <c r="D491" s="393"/>
    </row>
    <row r="492" spans="3:4" x14ac:dyDescent="0.2">
      <c r="C492" s="393"/>
      <c r="D492" s="393"/>
    </row>
    <row r="493" spans="3:4" x14ac:dyDescent="0.2">
      <c r="C493" s="393"/>
      <c r="D493" s="393"/>
    </row>
    <row r="494" spans="3:4" x14ac:dyDescent="0.2">
      <c r="C494" s="393"/>
      <c r="D494" s="393"/>
    </row>
    <row r="495" spans="3:4" x14ac:dyDescent="0.2">
      <c r="C495" s="393"/>
      <c r="D495" s="393"/>
    </row>
    <row r="496" spans="3:4" x14ac:dyDescent="0.2">
      <c r="C496" s="393"/>
      <c r="D496" s="393"/>
    </row>
    <row r="497" spans="3:4" x14ac:dyDescent="0.2">
      <c r="C497" s="393"/>
      <c r="D497" s="393"/>
    </row>
    <row r="498" spans="3:4" x14ac:dyDescent="0.2">
      <c r="C498" s="393"/>
      <c r="D498" s="393"/>
    </row>
    <row r="499" spans="3:4" x14ac:dyDescent="0.2">
      <c r="C499" s="393"/>
      <c r="D499" s="393"/>
    </row>
    <row r="500" spans="3:4" x14ac:dyDescent="0.2">
      <c r="C500" s="393"/>
      <c r="D500" s="393"/>
    </row>
    <row r="501" spans="3:4" x14ac:dyDescent="0.2">
      <c r="C501" s="393"/>
      <c r="D501" s="393"/>
    </row>
    <row r="502" spans="3:4" x14ac:dyDescent="0.2">
      <c r="C502" s="393"/>
      <c r="D502" s="393"/>
    </row>
    <row r="503" spans="3:4" x14ac:dyDescent="0.2">
      <c r="C503" s="393"/>
      <c r="D503" s="393"/>
    </row>
    <row r="504" spans="3:4" x14ac:dyDescent="0.2">
      <c r="C504" s="393"/>
      <c r="D504" s="393"/>
    </row>
    <row r="505" spans="3:4" x14ac:dyDescent="0.2">
      <c r="C505" s="393"/>
      <c r="D505" s="393"/>
    </row>
    <row r="506" spans="3:4" x14ac:dyDescent="0.2">
      <c r="C506" s="393"/>
      <c r="D506" s="393"/>
    </row>
    <row r="507" spans="3:4" x14ac:dyDescent="0.2">
      <c r="C507" s="393"/>
      <c r="D507" s="393"/>
    </row>
    <row r="508" spans="3:4" x14ac:dyDescent="0.2">
      <c r="C508" s="393"/>
      <c r="D508" s="393"/>
    </row>
    <row r="509" spans="3:4" x14ac:dyDescent="0.2">
      <c r="C509" s="393"/>
      <c r="D509" s="393"/>
    </row>
    <row r="510" spans="3:4" x14ac:dyDescent="0.2">
      <c r="C510" s="393"/>
      <c r="D510" s="393"/>
    </row>
    <row r="511" spans="3:4" x14ac:dyDescent="0.2">
      <c r="C511" s="393"/>
      <c r="D511" s="393"/>
    </row>
    <row r="512" spans="3:4" x14ac:dyDescent="0.2">
      <c r="C512" s="393"/>
      <c r="D512" s="393"/>
    </row>
    <row r="513" spans="3:4" x14ac:dyDescent="0.2">
      <c r="C513" s="393"/>
      <c r="D513" s="393"/>
    </row>
    <row r="514" spans="3:4" x14ac:dyDescent="0.2">
      <c r="C514" s="393"/>
      <c r="D514" s="393"/>
    </row>
    <row r="515" spans="3:4" x14ac:dyDescent="0.2">
      <c r="C515" s="393"/>
      <c r="D515" s="393"/>
    </row>
    <row r="516" spans="3:4" x14ac:dyDescent="0.2">
      <c r="C516" s="393"/>
      <c r="D516" s="393"/>
    </row>
    <row r="517" spans="3:4" x14ac:dyDescent="0.2">
      <c r="C517" s="393"/>
      <c r="D517" s="393"/>
    </row>
    <row r="518" spans="3:4" x14ac:dyDescent="0.2">
      <c r="C518" s="393"/>
      <c r="D518" s="393"/>
    </row>
    <row r="519" spans="3:4" x14ac:dyDescent="0.2">
      <c r="C519" s="393"/>
      <c r="D519" s="393"/>
    </row>
    <row r="520" spans="3:4" x14ac:dyDescent="0.2">
      <c r="C520" s="393"/>
      <c r="D520" s="393"/>
    </row>
    <row r="521" spans="3:4" x14ac:dyDescent="0.2">
      <c r="C521" s="393"/>
      <c r="D521" s="393"/>
    </row>
    <row r="522" spans="3:4" x14ac:dyDescent="0.2">
      <c r="C522" s="393"/>
      <c r="D522" s="393"/>
    </row>
    <row r="523" spans="3:4" x14ac:dyDescent="0.2">
      <c r="C523" s="393"/>
      <c r="D523" s="393"/>
    </row>
    <row r="524" spans="3:4" x14ac:dyDescent="0.2">
      <c r="C524" s="393"/>
      <c r="D524" s="393"/>
    </row>
    <row r="525" spans="3:4" x14ac:dyDescent="0.2">
      <c r="C525" s="393"/>
      <c r="D525" s="393"/>
    </row>
    <row r="526" spans="3:4" x14ac:dyDescent="0.2">
      <c r="C526" s="393"/>
      <c r="D526" s="393"/>
    </row>
    <row r="527" spans="3:4" x14ac:dyDescent="0.2">
      <c r="C527" s="393"/>
      <c r="D527" s="393"/>
    </row>
    <row r="528" spans="3:4" x14ac:dyDescent="0.2">
      <c r="C528" s="393"/>
      <c r="D528" s="393"/>
    </row>
    <row r="529" spans="3:4" x14ac:dyDescent="0.2">
      <c r="C529" s="393"/>
      <c r="D529" s="393"/>
    </row>
    <row r="530" spans="3:4" x14ac:dyDescent="0.2">
      <c r="C530" s="393"/>
      <c r="D530" s="393"/>
    </row>
    <row r="531" spans="3:4" x14ac:dyDescent="0.2">
      <c r="C531" s="393"/>
      <c r="D531" s="393"/>
    </row>
    <row r="532" spans="3:4" x14ac:dyDescent="0.2">
      <c r="C532" s="393"/>
      <c r="D532" s="393"/>
    </row>
    <row r="533" spans="3:4" x14ac:dyDescent="0.2">
      <c r="C533" s="393"/>
      <c r="D533" s="393"/>
    </row>
    <row r="534" spans="3:4" x14ac:dyDescent="0.2">
      <c r="C534" s="393"/>
      <c r="D534" s="393"/>
    </row>
    <row r="535" spans="3:4" x14ac:dyDescent="0.2">
      <c r="C535" s="393"/>
      <c r="D535" s="393"/>
    </row>
    <row r="536" spans="3:4" x14ac:dyDescent="0.2">
      <c r="C536" s="393"/>
      <c r="D536" s="393"/>
    </row>
    <row r="537" spans="3:4" x14ac:dyDescent="0.2">
      <c r="C537" s="393"/>
      <c r="D537" s="393"/>
    </row>
    <row r="538" spans="3:4" x14ac:dyDescent="0.2">
      <c r="C538" s="393"/>
      <c r="D538" s="393"/>
    </row>
    <row r="539" spans="3:4" x14ac:dyDescent="0.2">
      <c r="C539" s="393"/>
      <c r="D539" s="393"/>
    </row>
    <row r="540" spans="3:4" x14ac:dyDescent="0.2">
      <c r="C540" s="393"/>
      <c r="D540" s="393"/>
    </row>
    <row r="541" spans="3:4" x14ac:dyDescent="0.2">
      <c r="C541" s="393"/>
      <c r="D541" s="393"/>
    </row>
    <row r="542" spans="3:4" x14ac:dyDescent="0.2">
      <c r="C542" s="393"/>
      <c r="D542" s="393"/>
    </row>
    <row r="543" spans="3:4" x14ac:dyDescent="0.2">
      <c r="C543" s="393"/>
      <c r="D543" s="393"/>
    </row>
    <row r="544" spans="3:4" x14ac:dyDescent="0.2">
      <c r="C544" s="393"/>
      <c r="D544" s="393"/>
    </row>
    <row r="545" spans="3:4" x14ac:dyDescent="0.2">
      <c r="C545" s="393"/>
      <c r="D545" s="393"/>
    </row>
    <row r="546" spans="3:4" x14ac:dyDescent="0.2">
      <c r="C546" s="393"/>
      <c r="D546" s="393"/>
    </row>
    <row r="547" spans="3:4" x14ac:dyDescent="0.2">
      <c r="C547" s="393"/>
      <c r="D547" s="393"/>
    </row>
    <row r="548" spans="3:4" x14ac:dyDescent="0.2">
      <c r="C548" s="393"/>
      <c r="D548" s="393"/>
    </row>
    <row r="549" spans="3:4" x14ac:dyDescent="0.2">
      <c r="C549" s="393"/>
      <c r="D549" s="393"/>
    </row>
    <row r="550" spans="3:4" x14ac:dyDescent="0.2">
      <c r="C550" s="393"/>
      <c r="D550" s="393"/>
    </row>
    <row r="551" spans="3:4" x14ac:dyDescent="0.2">
      <c r="C551" s="393"/>
      <c r="D551" s="393"/>
    </row>
    <row r="552" spans="3:4" x14ac:dyDescent="0.2">
      <c r="C552" s="393"/>
      <c r="D552" s="393"/>
    </row>
    <row r="553" spans="3:4" x14ac:dyDescent="0.2">
      <c r="C553" s="393"/>
      <c r="D553" s="393"/>
    </row>
    <row r="554" spans="3:4" x14ac:dyDescent="0.2">
      <c r="C554" s="393"/>
      <c r="D554" s="393"/>
    </row>
    <row r="555" spans="3:4" x14ac:dyDescent="0.2">
      <c r="C555" s="393"/>
      <c r="D555" s="393"/>
    </row>
    <row r="556" spans="3:4" x14ac:dyDescent="0.2">
      <c r="C556" s="393"/>
      <c r="D556" s="393"/>
    </row>
    <row r="557" spans="3:4" x14ac:dyDescent="0.2">
      <c r="C557" s="393"/>
      <c r="D557" s="393"/>
    </row>
    <row r="558" spans="3:4" x14ac:dyDescent="0.2">
      <c r="C558" s="393"/>
      <c r="D558" s="393"/>
    </row>
    <row r="559" spans="3:4" x14ac:dyDescent="0.2">
      <c r="C559" s="393"/>
      <c r="D559" s="393"/>
    </row>
    <row r="560" spans="3:4" x14ac:dyDescent="0.2">
      <c r="C560" s="393"/>
      <c r="D560" s="393"/>
    </row>
    <row r="561" spans="3:4" x14ac:dyDescent="0.2">
      <c r="C561" s="393"/>
      <c r="D561" s="393"/>
    </row>
    <row r="562" spans="3:4" x14ac:dyDescent="0.2">
      <c r="C562" s="393"/>
      <c r="D562" s="393"/>
    </row>
    <row r="563" spans="3:4" x14ac:dyDescent="0.2">
      <c r="D563" s="393"/>
    </row>
    <row r="564" spans="3:4" x14ac:dyDescent="0.2">
      <c r="D564" s="393"/>
    </row>
    <row r="565" spans="3:4" x14ac:dyDescent="0.2">
      <c r="D565" s="393"/>
    </row>
    <row r="566" spans="3:4" x14ac:dyDescent="0.2">
      <c r="D566" s="393"/>
    </row>
    <row r="567" spans="3:4" x14ac:dyDescent="0.2">
      <c r="D567" s="393"/>
    </row>
    <row r="568" spans="3:4" x14ac:dyDescent="0.2">
      <c r="D568" s="393"/>
    </row>
    <row r="569" spans="3:4" x14ac:dyDescent="0.2">
      <c r="D569" s="393"/>
    </row>
    <row r="570" spans="3:4" x14ac:dyDescent="0.2">
      <c r="D570" s="393"/>
    </row>
  </sheetData>
  <mergeCells count="24">
    <mergeCell ref="B29:E29"/>
    <mergeCell ref="B2:G2"/>
    <mergeCell ref="H2:L2"/>
    <mergeCell ref="A4:G4"/>
    <mergeCell ref="A6:B6"/>
    <mergeCell ref="A7:B7"/>
    <mergeCell ref="A12:G12"/>
    <mergeCell ref="B21:G21"/>
    <mergeCell ref="B23:E23"/>
    <mergeCell ref="B24:F24"/>
    <mergeCell ref="D27:E27"/>
    <mergeCell ref="D28:E28"/>
    <mergeCell ref="A46:F46"/>
    <mergeCell ref="B30:F30"/>
    <mergeCell ref="D32:E32"/>
    <mergeCell ref="D33:E33"/>
    <mergeCell ref="D34:E34"/>
    <mergeCell ref="B35:E35"/>
    <mergeCell ref="B36:C36"/>
    <mergeCell ref="B39:C39"/>
    <mergeCell ref="D39:E39"/>
    <mergeCell ref="A42:F42"/>
    <mergeCell ref="A43:F43"/>
    <mergeCell ref="A45:F45"/>
  </mergeCells>
  <printOptions horizontalCentered="1"/>
  <pageMargins left="0.78740157480314965" right="0.19685039370078741" top="0.43307086614173229" bottom="0.55118110236220474" header="0.19685039370078741" footer="0.15748031496062992"/>
  <pageSetup paperSize="9" scale="85" fitToHeight="2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3"/>
  <dimension ref="A2:L21"/>
  <sheetViews>
    <sheetView topLeftCell="A11" zoomScaleNormal="100" zoomScaleSheetLayoutView="95" workbookViewId="0"/>
  </sheetViews>
  <sheetFormatPr defaultRowHeight="15" x14ac:dyDescent="0.25"/>
  <cols>
    <col min="1" max="1" width="5.7109375" style="179" customWidth="1"/>
    <col min="2" max="2" width="46.28515625" style="179" customWidth="1"/>
    <col min="3" max="3" width="28.140625" style="179" customWidth="1"/>
    <col min="4" max="4" width="15.28515625" style="179" customWidth="1"/>
    <col min="5" max="5" width="31.85546875" style="179" customWidth="1"/>
    <col min="6" max="6" width="11.7109375" style="179" bestFit="1" customWidth="1"/>
    <col min="7" max="256" width="9.140625" style="179"/>
    <col min="257" max="257" width="5.7109375" style="179" customWidth="1"/>
    <col min="258" max="258" width="46.28515625" style="179" customWidth="1"/>
    <col min="259" max="259" width="19.7109375" style="179" customWidth="1"/>
    <col min="260" max="260" width="11.28515625" style="179" customWidth="1"/>
    <col min="261" max="261" width="16.28515625" style="179" customWidth="1"/>
    <col min="262" max="512" width="9.140625" style="179"/>
    <col min="513" max="513" width="5.7109375" style="179" customWidth="1"/>
    <col min="514" max="514" width="46.28515625" style="179" customWidth="1"/>
    <col min="515" max="515" width="19.7109375" style="179" customWidth="1"/>
    <col min="516" max="516" width="11.28515625" style="179" customWidth="1"/>
    <col min="517" max="517" width="16.28515625" style="179" customWidth="1"/>
    <col min="518" max="768" width="9.140625" style="179"/>
    <col min="769" max="769" width="5.7109375" style="179" customWidth="1"/>
    <col min="770" max="770" width="46.28515625" style="179" customWidth="1"/>
    <col min="771" max="771" width="19.7109375" style="179" customWidth="1"/>
    <col min="772" max="772" width="11.28515625" style="179" customWidth="1"/>
    <col min="773" max="773" width="16.28515625" style="179" customWidth="1"/>
    <col min="774" max="1024" width="9.140625" style="179"/>
    <col min="1025" max="1025" width="5.7109375" style="179" customWidth="1"/>
    <col min="1026" max="1026" width="46.28515625" style="179" customWidth="1"/>
    <col min="1027" max="1027" width="19.7109375" style="179" customWidth="1"/>
    <col min="1028" max="1028" width="11.28515625" style="179" customWidth="1"/>
    <col min="1029" max="1029" width="16.28515625" style="179" customWidth="1"/>
    <col min="1030" max="1280" width="9.140625" style="179"/>
    <col min="1281" max="1281" width="5.7109375" style="179" customWidth="1"/>
    <col min="1282" max="1282" width="46.28515625" style="179" customWidth="1"/>
    <col min="1283" max="1283" width="19.7109375" style="179" customWidth="1"/>
    <col min="1284" max="1284" width="11.28515625" style="179" customWidth="1"/>
    <col min="1285" max="1285" width="16.28515625" style="179" customWidth="1"/>
    <col min="1286" max="1536" width="9.140625" style="179"/>
    <col min="1537" max="1537" width="5.7109375" style="179" customWidth="1"/>
    <col min="1538" max="1538" width="46.28515625" style="179" customWidth="1"/>
    <col min="1539" max="1539" width="19.7109375" style="179" customWidth="1"/>
    <col min="1540" max="1540" width="11.28515625" style="179" customWidth="1"/>
    <col min="1541" max="1541" width="16.28515625" style="179" customWidth="1"/>
    <col min="1542" max="1792" width="9.140625" style="179"/>
    <col min="1793" max="1793" width="5.7109375" style="179" customWidth="1"/>
    <col min="1794" max="1794" width="46.28515625" style="179" customWidth="1"/>
    <col min="1795" max="1795" width="19.7109375" style="179" customWidth="1"/>
    <col min="1796" max="1796" width="11.28515625" style="179" customWidth="1"/>
    <col min="1797" max="1797" width="16.28515625" style="179" customWidth="1"/>
    <col min="1798" max="2048" width="9.140625" style="179"/>
    <col min="2049" max="2049" width="5.7109375" style="179" customWidth="1"/>
    <col min="2050" max="2050" width="46.28515625" style="179" customWidth="1"/>
    <col min="2051" max="2051" width="19.7109375" style="179" customWidth="1"/>
    <col min="2052" max="2052" width="11.28515625" style="179" customWidth="1"/>
    <col min="2053" max="2053" width="16.28515625" style="179" customWidth="1"/>
    <col min="2054" max="2304" width="9.140625" style="179"/>
    <col min="2305" max="2305" width="5.7109375" style="179" customWidth="1"/>
    <col min="2306" max="2306" width="46.28515625" style="179" customWidth="1"/>
    <col min="2307" max="2307" width="19.7109375" style="179" customWidth="1"/>
    <col min="2308" max="2308" width="11.28515625" style="179" customWidth="1"/>
    <col min="2309" max="2309" width="16.28515625" style="179" customWidth="1"/>
    <col min="2310" max="2560" width="9.140625" style="179"/>
    <col min="2561" max="2561" width="5.7109375" style="179" customWidth="1"/>
    <col min="2562" max="2562" width="46.28515625" style="179" customWidth="1"/>
    <col min="2563" max="2563" width="19.7109375" style="179" customWidth="1"/>
    <col min="2564" max="2564" width="11.28515625" style="179" customWidth="1"/>
    <col min="2565" max="2565" width="16.28515625" style="179" customWidth="1"/>
    <col min="2566" max="2816" width="9.140625" style="179"/>
    <col min="2817" max="2817" width="5.7109375" style="179" customWidth="1"/>
    <col min="2818" max="2818" width="46.28515625" style="179" customWidth="1"/>
    <col min="2819" max="2819" width="19.7109375" style="179" customWidth="1"/>
    <col min="2820" max="2820" width="11.28515625" style="179" customWidth="1"/>
    <col min="2821" max="2821" width="16.28515625" style="179" customWidth="1"/>
    <col min="2822" max="3072" width="9.140625" style="179"/>
    <col min="3073" max="3073" width="5.7109375" style="179" customWidth="1"/>
    <col min="3074" max="3074" width="46.28515625" style="179" customWidth="1"/>
    <col min="3075" max="3075" width="19.7109375" style="179" customWidth="1"/>
    <col min="3076" max="3076" width="11.28515625" style="179" customWidth="1"/>
    <col min="3077" max="3077" width="16.28515625" style="179" customWidth="1"/>
    <col min="3078" max="3328" width="9.140625" style="179"/>
    <col min="3329" max="3329" width="5.7109375" style="179" customWidth="1"/>
    <col min="3330" max="3330" width="46.28515625" style="179" customWidth="1"/>
    <col min="3331" max="3331" width="19.7109375" style="179" customWidth="1"/>
    <col min="3332" max="3332" width="11.28515625" style="179" customWidth="1"/>
    <col min="3333" max="3333" width="16.28515625" style="179" customWidth="1"/>
    <col min="3334" max="3584" width="9.140625" style="179"/>
    <col min="3585" max="3585" width="5.7109375" style="179" customWidth="1"/>
    <col min="3586" max="3586" width="46.28515625" style="179" customWidth="1"/>
    <col min="3587" max="3587" width="19.7109375" style="179" customWidth="1"/>
    <col min="3588" max="3588" width="11.28515625" style="179" customWidth="1"/>
    <col min="3589" max="3589" width="16.28515625" style="179" customWidth="1"/>
    <col min="3590" max="3840" width="9.140625" style="179"/>
    <col min="3841" max="3841" width="5.7109375" style="179" customWidth="1"/>
    <col min="3842" max="3842" width="46.28515625" style="179" customWidth="1"/>
    <col min="3843" max="3843" width="19.7109375" style="179" customWidth="1"/>
    <col min="3844" max="3844" width="11.28515625" style="179" customWidth="1"/>
    <col min="3845" max="3845" width="16.28515625" style="179" customWidth="1"/>
    <col min="3846" max="4096" width="9.140625" style="179"/>
    <col min="4097" max="4097" width="5.7109375" style="179" customWidth="1"/>
    <col min="4098" max="4098" width="46.28515625" style="179" customWidth="1"/>
    <col min="4099" max="4099" width="19.7109375" style="179" customWidth="1"/>
    <col min="4100" max="4100" width="11.28515625" style="179" customWidth="1"/>
    <col min="4101" max="4101" width="16.28515625" style="179" customWidth="1"/>
    <col min="4102" max="4352" width="9.140625" style="179"/>
    <col min="4353" max="4353" width="5.7109375" style="179" customWidth="1"/>
    <col min="4354" max="4354" width="46.28515625" style="179" customWidth="1"/>
    <col min="4355" max="4355" width="19.7109375" style="179" customWidth="1"/>
    <col min="4356" max="4356" width="11.28515625" style="179" customWidth="1"/>
    <col min="4357" max="4357" width="16.28515625" style="179" customWidth="1"/>
    <col min="4358" max="4608" width="9.140625" style="179"/>
    <col min="4609" max="4609" width="5.7109375" style="179" customWidth="1"/>
    <col min="4610" max="4610" width="46.28515625" style="179" customWidth="1"/>
    <col min="4611" max="4611" width="19.7109375" style="179" customWidth="1"/>
    <col min="4612" max="4612" width="11.28515625" style="179" customWidth="1"/>
    <col min="4613" max="4613" width="16.28515625" style="179" customWidth="1"/>
    <col min="4614" max="4864" width="9.140625" style="179"/>
    <col min="4865" max="4865" width="5.7109375" style="179" customWidth="1"/>
    <col min="4866" max="4866" width="46.28515625" style="179" customWidth="1"/>
    <col min="4867" max="4867" width="19.7109375" style="179" customWidth="1"/>
    <col min="4868" max="4868" width="11.28515625" style="179" customWidth="1"/>
    <col min="4869" max="4869" width="16.28515625" style="179" customWidth="1"/>
    <col min="4870" max="5120" width="9.140625" style="179"/>
    <col min="5121" max="5121" width="5.7109375" style="179" customWidth="1"/>
    <col min="5122" max="5122" width="46.28515625" style="179" customWidth="1"/>
    <col min="5123" max="5123" width="19.7109375" style="179" customWidth="1"/>
    <col min="5124" max="5124" width="11.28515625" style="179" customWidth="1"/>
    <col min="5125" max="5125" width="16.28515625" style="179" customWidth="1"/>
    <col min="5126" max="5376" width="9.140625" style="179"/>
    <col min="5377" max="5377" width="5.7109375" style="179" customWidth="1"/>
    <col min="5378" max="5378" width="46.28515625" style="179" customWidth="1"/>
    <col min="5379" max="5379" width="19.7109375" style="179" customWidth="1"/>
    <col min="5380" max="5380" width="11.28515625" style="179" customWidth="1"/>
    <col min="5381" max="5381" width="16.28515625" style="179" customWidth="1"/>
    <col min="5382" max="5632" width="9.140625" style="179"/>
    <col min="5633" max="5633" width="5.7109375" style="179" customWidth="1"/>
    <col min="5634" max="5634" width="46.28515625" style="179" customWidth="1"/>
    <col min="5635" max="5635" width="19.7109375" style="179" customWidth="1"/>
    <col min="5636" max="5636" width="11.28515625" style="179" customWidth="1"/>
    <col min="5637" max="5637" width="16.28515625" style="179" customWidth="1"/>
    <col min="5638" max="5888" width="9.140625" style="179"/>
    <col min="5889" max="5889" width="5.7109375" style="179" customWidth="1"/>
    <col min="5890" max="5890" width="46.28515625" style="179" customWidth="1"/>
    <col min="5891" max="5891" width="19.7109375" style="179" customWidth="1"/>
    <col min="5892" max="5892" width="11.28515625" style="179" customWidth="1"/>
    <col min="5893" max="5893" width="16.28515625" style="179" customWidth="1"/>
    <col min="5894" max="6144" width="9.140625" style="179"/>
    <col min="6145" max="6145" width="5.7109375" style="179" customWidth="1"/>
    <col min="6146" max="6146" width="46.28515625" style="179" customWidth="1"/>
    <col min="6147" max="6147" width="19.7109375" style="179" customWidth="1"/>
    <col min="6148" max="6148" width="11.28515625" style="179" customWidth="1"/>
    <col min="6149" max="6149" width="16.28515625" style="179" customWidth="1"/>
    <col min="6150" max="6400" width="9.140625" style="179"/>
    <col min="6401" max="6401" width="5.7109375" style="179" customWidth="1"/>
    <col min="6402" max="6402" width="46.28515625" style="179" customWidth="1"/>
    <col min="6403" max="6403" width="19.7109375" style="179" customWidth="1"/>
    <col min="6404" max="6404" width="11.28515625" style="179" customWidth="1"/>
    <col min="6405" max="6405" width="16.28515625" style="179" customWidth="1"/>
    <col min="6406" max="6656" width="9.140625" style="179"/>
    <col min="6657" max="6657" width="5.7109375" style="179" customWidth="1"/>
    <col min="6658" max="6658" width="46.28515625" style="179" customWidth="1"/>
    <col min="6659" max="6659" width="19.7109375" style="179" customWidth="1"/>
    <col min="6660" max="6660" width="11.28515625" style="179" customWidth="1"/>
    <col min="6661" max="6661" width="16.28515625" style="179" customWidth="1"/>
    <col min="6662" max="6912" width="9.140625" style="179"/>
    <col min="6913" max="6913" width="5.7109375" style="179" customWidth="1"/>
    <col min="6914" max="6914" width="46.28515625" style="179" customWidth="1"/>
    <col min="6915" max="6915" width="19.7109375" style="179" customWidth="1"/>
    <col min="6916" max="6916" width="11.28515625" style="179" customWidth="1"/>
    <col min="6917" max="6917" width="16.28515625" style="179" customWidth="1"/>
    <col min="6918" max="7168" width="9.140625" style="179"/>
    <col min="7169" max="7169" width="5.7109375" style="179" customWidth="1"/>
    <col min="7170" max="7170" width="46.28515625" style="179" customWidth="1"/>
    <col min="7171" max="7171" width="19.7109375" style="179" customWidth="1"/>
    <col min="7172" max="7172" width="11.28515625" style="179" customWidth="1"/>
    <col min="7173" max="7173" width="16.28515625" style="179" customWidth="1"/>
    <col min="7174" max="7424" width="9.140625" style="179"/>
    <col min="7425" max="7425" width="5.7109375" style="179" customWidth="1"/>
    <col min="7426" max="7426" width="46.28515625" style="179" customWidth="1"/>
    <col min="7427" max="7427" width="19.7109375" style="179" customWidth="1"/>
    <col min="7428" max="7428" width="11.28515625" style="179" customWidth="1"/>
    <col min="7429" max="7429" width="16.28515625" style="179" customWidth="1"/>
    <col min="7430" max="7680" width="9.140625" style="179"/>
    <col min="7681" max="7681" width="5.7109375" style="179" customWidth="1"/>
    <col min="7682" max="7682" width="46.28515625" style="179" customWidth="1"/>
    <col min="7683" max="7683" width="19.7109375" style="179" customWidth="1"/>
    <col min="7684" max="7684" width="11.28515625" style="179" customWidth="1"/>
    <col min="7685" max="7685" width="16.28515625" style="179" customWidth="1"/>
    <col min="7686" max="7936" width="9.140625" style="179"/>
    <col min="7937" max="7937" width="5.7109375" style="179" customWidth="1"/>
    <col min="7938" max="7938" width="46.28515625" style="179" customWidth="1"/>
    <col min="7939" max="7939" width="19.7109375" style="179" customWidth="1"/>
    <col min="7940" max="7940" width="11.28515625" style="179" customWidth="1"/>
    <col min="7941" max="7941" width="16.28515625" style="179" customWidth="1"/>
    <col min="7942" max="8192" width="9.140625" style="179"/>
    <col min="8193" max="8193" width="5.7109375" style="179" customWidth="1"/>
    <col min="8194" max="8194" width="46.28515625" style="179" customWidth="1"/>
    <col min="8195" max="8195" width="19.7109375" style="179" customWidth="1"/>
    <col min="8196" max="8196" width="11.28515625" style="179" customWidth="1"/>
    <col min="8197" max="8197" width="16.28515625" style="179" customWidth="1"/>
    <col min="8198" max="8448" width="9.140625" style="179"/>
    <col min="8449" max="8449" width="5.7109375" style="179" customWidth="1"/>
    <col min="8450" max="8450" width="46.28515625" style="179" customWidth="1"/>
    <col min="8451" max="8451" width="19.7109375" style="179" customWidth="1"/>
    <col min="8452" max="8452" width="11.28515625" style="179" customWidth="1"/>
    <col min="8453" max="8453" width="16.28515625" style="179" customWidth="1"/>
    <col min="8454" max="8704" width="9.140625" style="179"/>
    <col min="8705" max="8705" width="5.7109375" style="179" customWidth="1"/>
    <col min="8706" max="8706" width="46.28515625" style="179" customWidth="1"/>
    <col min="8707" max="8707" width="19.7109375" style="179" customWidth="1"/>
    <col min="8708" max="8708" width="11.28515625" style="179" customWidth="1"/>
    <col min="8709" max="8709" width="16.28515625" style="179" customWidth="1"/>
    <col min="8710" max="8960" width="9.140625" style="179"/>
    <col min="8961" max="8961" width="5.7109375" style="179" customWidth="1"/>
    <col min="8962" max="8962" width="46.28515625" style="179" customWidth="1"/>
    <col min="8963" max="8963" width="19.7109375" style="179" customWidth="1"/>
    <col min="8964" max="8964" width="11.28515625" style="179" customWidth="1"/>
    <col min="8965" max="8965" width="16.28515625" style="179" customWidth="1"/>
    <col min="8966" max="9216" width="9.140625" style="179"/>
    <col min="9217" max="9217" width="5.7109375" style="179" customWidth="1"/>
    <col min="9218" max="9218" width="46.28515625" style="179" customWidth="1"/>
    <col min="9219" max="9219" width="19.7109375" style="179" customWidth="1"/>
    <col min="9220" max="9220" width="11.28515625" style="179" customWidth="1"/>
    <col min="9221" max="9221" width="16.28515625" style="179" customWidth="1"/>
    <col min="9222" max="9472" width="9.140625" style="179"/>
    <col min="9473" max="9473" width="5.7109375" style="179" customWidth="1"/>
    <col min="9474" max="9474" width="46.28515625" style="179" customWidth="1"/>
    <col min="9475" max="9475" width="19.7109375" style="179" customWidth="1"/>
    <col min="9476" max="9476" width="11.28515625" style="179" customWidth="1"/>
    <col min="9477" max="9477" width="16.28515625" style="179" customWidth="1"/>
    <col min="9478" max="9728" width="9.140625" style="179"/>
    <col min="9729" max="9729" width="5.7109375" style="179" customWidth="1"/>
    <col min="9730" max="9730" width="46.28515625" style="179" customWidth="1"/>
    <col min="9731" max="9731" width="19.7109375" style="179" customWidth="1"/>
    <col min="9732" max="9732" width="11.28515625" style="179" customWidth="1"/>
    <col min="9733" max="9733" width="16.28515625" style="179" customWidth="1"/>
    <col min="9734" max="9984" width="9.140625" style="179"/>
    <col min="9985" max="9985" width="5.7109375" style="179" customWidth="1"/>
    <col min="9986" max="9986" width="46.28515625" style="179" customWidth="1"/>
    <col min="9987" max="9987" width="19.7109375" style="179" customWidth="1"/>
    <col min="9988" max="9988" width="11.28515625" style="179" customWidth="1"/>
    <col min="9989" max="9989" width="16.28515625" style="179" customWidth="1"/>
    <col min="9990" max="10240" width="9.140625" style="179"/>
    <col min="10241" max="10241" width="5.7109375" style="179" customWidth="1"/>
    <col min="10242" max="10242" width="46.28515625" style="179" customWidth="1"/>
    <col min="10243" max="10243" width="19.7109375" style="179" customWidth="1"/>
    <col min="10244" max="10244" width="11.28515625" style="179" customWidth="1"/>
    <col min="10245" max="10245" width="16.28515625" style="179" customWidth="1"/>
    <col min="10246" max="10496" width="9.140625" style="179"/>
    <col min="10497" max="10497" width="5.7109375" style="179" customWidth="1"/>
    <col min="10498" max="10498" width="46.28515625" style="179" customWidth="1"/>
    <col min="10499" max="10499" width="19.7109375" style="179" customWidth="1"/>
    <col min="10500" max="10500" width="11.28515625" style="179" customWidth="1"/>
    <col min="10501" max="10501" width="16.28515625" style="179" customWidth="1"/>
    <col min="10502" max="10752" width="9.140625" style="179"/>
    <col min="10753" max="10753" width="5.7109375" style="179" customWidth="1"/>
    <col min="10754" max="10754" width="46.28515625" style="179" customWidth="1"/>
    <col min="10755" max="10755" width="19.7109375" style="179" customWidth="1"/>
    <col min="10756" max="10756" width="11.28515625" style="179" customWidth="1"/>
    <col min="10757" max="10757" width="16.28515625" style="179" customWidth="1"/>
    <col min="10758" max="11008" width="9.140625" style="179"/>
    <col min="11009" max="11009" width="5.7109375" style="179" customWidth="1"/>
    <col min="11010" max="11010" width="46.28515625" style="179" customWidth="1"/>
    <col min="11011" max="11011" width="19.7109375" style="179" customWidth="1"/>
    <col min="11012" max="11012" width="11.28515625" style="179" customWidth="1"/>
    <col min="11013" max="11013" width="16.28515625" style="179" customWidth="1"/>
    <col min="11014" max="11264" width="9.140625" style="179"/>
    <col min="11265" max="11265" width="5.7109375" style="179" customWidth="1"/>
    <col min="11266" max="11266" width="46.28515625" style="179" customWidth="1"/>
    <col min="11267" max="11267" width="19.7109375" style="179" customWidth="1"/>
    <col min="11268" max="11268" width="11.28515625" style="179" customWidth="1"/>
    <col min="11269" max="11269" width="16.28515625" style="179" customWidth="1"/>
    <col min="11270" max="11520" width="9.140625" style="179"/>
    <col min="11521" max="11521" width="5.7109375" style="179" customWidth="1"/>
    <col min="11522" max="11522" width="46.28515625" style="179" customWidth="1"/>
    <col min="11523" max="11523" width="19.7109375" style="179" customWidth="1"/>
    <col min="11524" max="11524" width="11.28515625" style="179" customWidth="1"/>
    <col min="11525" max="11525" width="16.28515625" style="179" customWidth="1"/>
    <col min="11526" max="11776" width="9.140625" style="179"/>
    <col min="11777" max="11777" width="5.7109375" style="179" customWidth="1"/>
    <col min="11778" max="11778" width="46.28515625" style="179" customWidth="1"/>
    <col min="11779" max="11779" width="19.7109375" style="179" customWidth="1"/>
    <col min="11780" max="11780" width="11.28515625" style="179" customWidth="1"/>
    <col min="11781" max="11781" width="16.28515625" style="179" customWidth="1"/>
    <col min="11782" max="12032" width="9.140625" style="179"/>
    <col min="12033" max="12033" width="5.7109375" style="179" customWidth="1"/>
    <col min="12034" max="12034" width="46.28515625" style="179" customWidth="1"/>
    <col min="12035" max="12035" width="19.7109375" style="179" customWidth="1"/>
    <col min="12036" max="12036" width="11.28515625" style="179" customWidth="1"/>
    <col min="12037" max="12037" width="16.28515625" style="179" customWidth="1"/>
    <col min="12038" max="12288" width="9.140625" style="179"/>
    <col min="12289" max="12289" width="5.7109375" style="179" customWidth="1"/>
    <col min="12290" max="12290" width="46.28515625" style="179" customWidth="1"/>
    <col min="12291" max="12291" width="19.7109375" style="179" customWidth="1"/>
    <col min="12292" max="12292" width="11.28515625" style="179" customWidth="1"/>
    <col min="12293" max="12293" width="16.28515625" style="179" customWidth="1"/>
    <col min="12294" max="12544" width="9.140625" style="179"/>
    <col min="12545" max="12545" width="5.7109375" style="179" customWidth="1"/>
    <col min="12546" max="12546" width="46.28515625" style="179" customWidth="1"/>
    <col min="12547" max="12547" width="19.7109375" style="179" customWidth="1"/>
    <col min="12548" max="12548" width="11.28515625" style="179" customWidth="1"/>
    <col min="12549" max="12549" width="16.28515625" style="179" customWidth="1"/>
    <col min="12550" max="12800" width="9.140625" style="179"/>
    <col min="12801" max="12801" width="5.7109375" style="179" customWidth="1"/>
    <col min="12802" max="12802" width="46.28515625" style="179" customWidth="1"/>
    <col min="12803" max="12803" width="19.7109375" style="179" customWidth="1"/>
    <col min="12804" max="12804" width="11.28515625" style="179" customWidth="1"/>
    <col min="12805" max="12805" width="16.28515625" style="179" customWidth="1"/>
    <col min="12806" max="13056" width="9.140625" style="179"/>
    <col min="13057" max="13057" width="5.7109375" style="179" customWidth="1"/>
    <col min="13058" max="13058" width="46.28515625" style="179" customWidth="1"/>
    <col min="13059" max="13059" width="19.7109375" style="179" customWidth="1"/>
    <col min="13060" max="13060" width="11.28515625" style="179" customWidth="1"/>
    <col min="13061" max="13061" width="16.28515625" style="179" customWidth="1"/>
    <col min="13062" max="13312" width="9.140625" style="179"/>
    <col min="13313" max="13313" width="5.7109375" style="179" customWidth="1"/>
    <col min="13314" max="13314" width="46.28515625" style="179" customWidth="1"/>
    <col min="13315" max="13315" width="19.7109375" style="179" customWidth="1"/>
    <col min="13316" max="13316" width="11.28515625" style="179" customWidth="1"/>
    <col min="13317" max="13317" width="16.28515625" style="179" customWidth="1"/>
    <col min="13318" max="13568" width="9.140625" style="179"/>
    <col min="13569" max="13569" width="5.7109375" style="179" customWidth="1"/>
    <col min="13570" max="13570" width="46.28515625" style="179" customWidth="1"/>
    <col min="13571" max="13571" width="19.7109375" style="179" customWidth="1"/>
    <col min="13572" max="13572" width="11.28515625" style="179" customWidth="1"/>
    <col min="13573" max="13573" width="16.28515625" style="179" customWidth="1"/>
    <col min="13574" max="13824" width="9.140625" style="179"/>
    <col min="13825" max="13825" width="5.7109375" style="179" customWidth="1"/>
    <col min="13826" max="13826" width="46.28515625" style="179" customWidth="1"/>
    <col min="13827" max="13827" width="19.7109375" style="179" customWidth="1"/>
    <col min="13828" max="13828" width="11.28515625" style="179" customWidth="1"/>
    <col min="13829" max="13829" width="16.28515625" style="179" customWidth="1"/>
    <col min="13830" max="14080" width="9.140625" style="179"/>
    <col min="14081" max="14081" width="5.7109375" style="179" customWidth="1"/>
    <col min="14082" max="14082" width="46.28515625" style="179" customWidth="1"/>
    <col min="14083" max="14083" width="19.7109375" style="179" customWidth="1"/>
    <col min="14084" max="14084" width="11.28515625" style="179" customWidth="1"/>
    <col min="14085" max="14085" width="16.28515625" style="179" customWidth="1"/>
    <col min="14086" max="14336" width="9.140625" style="179"/>
    <col min="14337" max="14337" width="5.7109375" style="179" customWidth="1"/>
    <col min="14338" max="14338" width="46.28515625" style="179" customWidth="1"/>
    <col min="14339" max="14339" width="19.7109375" style="179" customWidth="1"/>
    <col min="14340" max="14340" width="11.28515625" style="179" customWidth="1"/>
    <col min="14341" max="14341" width="16.28515625" style="179" customWidth="1"/>
    <col min="14342" max="14592" width="9.140625" style="179"/>
    <col min="14593" max="14593" width="5.7109375" style="179" customWidth="1"/>
    <col min="14594" max="14594" width="46.28515625" style="179" customWidth="1"/>
    <col min="14595" max="14595" width="19.7109375" style="179" customWidth="1"/>
    <col min="14596" max="14596" width="11.28515625" style="179" customWidth="1"/>
    <col min="14597" max="14597" width="16.28515625" style="179" customWidth="1"/>
    <col min="14598" max="14848" width="9.140625" style="179"/>
    <col min="14849" max="14849" width="5.7109375" style="179" customWidth="1"/>
    <col min="14850" max="14850" width="46.28515625" style="179" customWidth="1"/>
    <col min="14851" max="14851" width="19.7109375" style="179" customWidth="1"/>
    <col min="14852" max="14852" width="11.28515625" style="179" customWidth="1"/>
    <col min="14853" max="14853" width="16.28515625" style="179" customWidth="1"/>
    <col min="14854" max="15104" width="9.140625" style="179"/>
    <col min="15105" max="15105" width="5.7109375" style="179" customWidth="1"/>
    <col min="15106" max="15106" width="46.28515625" style="179" customWidth="1"/>
    <col min="15107" max="15107" width="19.7109375" style="179" customWidth="1"/>
    <col min="15108" max="15108" width="11.28515625" style="179" customWidth="1"/>
    <col min="15109" max="15109" width="16.28515625" style="179" customWidth="1"/>
    <col min="15110" max="15360" width="9.140625" style="179"/>
    <col min="15361" max="15361" width="5.7109375" style="179" customWidth="1"/>
    <col min="15362" max="15362" width="46.28515625" style="179" customWidth="1"/>
    <col min="15363" max="15363" width="19.7109375" style="179" customWidth="1"/>
    <col min="15364" max="15364" width="11.28515625" style="179" customWidth="1"/>
    <col min="15365" max="15365" width="16.28515625" style="179" customWidth="1"/>
    <col min="15366" max="15616" width="9.140625" style="179"/>
    <col min="15617" max="15617" width="5.7109375" style="179" customWidth="1"/>
    <col min="15618" max="15618" width="46.28515625" style="179" customWidth="1"/>
    <col min="15619" max="15619" width="19.7109375" style="179" customWidth="1"/>
    <col min="15620" max="15620" width="11.28515625" style="179" customWidth="1"/>
    <col min="15621" max="15621" width="16.28515625" style="179" customWidth="1"/>
    <col min="15622" max="15872" width="9.140625" style="179"/>
    <col min="15873" max="15873" width="5.7109375" style="179" customWidth="1"/>
    <col min="15874" max="15874" width="46.28515625" style="179" customWidth="1"/>
    <col min="15875" max="15875" width="19.7109375" style="179" customWidth="1"/>
    <col min="15876" max="15876" width="11.28515625" style="179" customWidth="1"/>
    <col min="15877" max="15877" width="16.28515625" style="179" customWidth="1"/>
    <col min="15878" max="16128" width="9.140625" style="179"/>
    <col min="16129" max="16129" width="5.7109375" style="179" customWidth="1"/>
    <col min="16130" max="16130" width="46.28515625" style="179" customWidth="1"/>
    <col min="16131" max="16131" width="19.7109375" style="179" customWidth="1"/>
    <col min="16132" max="16132" width="11.28515625" style="179" customWidth="1"/>
    <col min="16133" max="16133" width="16.28515625" style="179" customWidth="1"/>
    <col min="16134" max="16384" width="9.140625" style="179"/>
  </cols>
  <sheetData>
    <row r="2" spans="1:12" ht="28.5" customHeight="1" x14ac:dyDescent="0.25">
      <c r="A2" s="1974" t="s">
        <v>20</v>
      </c>
      <c r="B2" s="2383"/>
      <c r="C2" s="2383"/>
      <c r="D2" s="2383"/>
      <c r="E2" s="2383"/>
      <c r="F2" s="2383"/>
    </row>
    <row r="4" spans="1:12" x14ac:dyDescent="0.25">
      <c r="A4" s="2384" t="s">
        <v>6439</v>
      </c>
      <c r="B4" s="2384"/>
      <c r="C4" s="2384"/>
      <c r="D4" s="2384"/>
      <c r="E4" s="2384"/>
      <c r="F4" s="180"/>
      <c r="G4" s="180"/>
      <c r="H4" s="180"/>
      <c r="I4" s="180"/>
      <c r="J4" s="180"/>
      <c r="K4" s="180"/>
      <c r="L4" s="180"/>
    </row>
    <row r="5" spans="1:12" ht="33" customHeight="1" x14ac:dyDescent="0.25">
      <c r="A5" s="2378" t="s">
        <v>134</v>
      </c>
      <c r="B5" s="2378"/>
      <c r="C5" s="2378"/>
      <c r="D5" s="2378"/>
      <c r="E5" s="2378"/>
      <c r="F5" s="181"/>
      <c r="G5" s="181"/>
      <c r="H5" s="181"/>
      <c r="I5" s="181"/>
      <c r="J5" s="181"/>
      <c r="K5" s="181"/>
      <c r="L5" s="181"/>
    </row>
    <row r="6" spans="1:12" ht="33" customHeight="1" x14ac:dyDescent="0.25">
      <c r="A6" s="2385" t="s">
        <v>562</v>
      </c>
      <c r="B6" s="2385"/>
      <c r="C6" s="437" t="s">
        <v>5654</v>
      </c>
      <c r="D6" s="437"/>
      <c r="E6" s="437"/>
      <c r="F6" s="437"/>
      <c r="G6" s="437"/>
      <c r="H6" s="181"/>
      <c r="I6" s="181"/>
      <c r="J6" s="181"/>
      <c r="K6" s="181"/>
      <c r="L6" s="181"/>
    </row>
    <row r="7" spans="1:12" ht="33" customHeight="1" x14ac:dyDescent="0.3">
      <c r="A7" s="2385" t="s">
        <v>5655</v>
      </c>
      <c r="B7" s="2385"/>
      <c r="C7" s="438" t="s">
        <v>5656</v>
      </c>
      <c r="D7" s="437"/>
      <c r="E7" s="437"/>
      <c r="F7" s="437"/>
      <c r="G7" s="437"/>
      <c r="H7" s="181"/>
      <c r="I7" s="181"/>
      <c r="J7" s="181"/>
      <c r="K7" s="181"/>
      <c r="L7" s="181"/>
    </row>
    <row r="8" spans="1:12" ht="33" customHeight="1" x14ac:dyDescent="0.25">
      <c r="A8" s="439" t="s">
        <v>5658</v>
      </c>
      <c r="B8" s="437"/>
      <c r="C8" s="437" t="s">
        <v>6440</v>
      </c>
      <c r="D8" s="437"/>
      <c r="E8" s="437"/>
      <c r="F8" s="437"/>
      <c r="G8" s="437"/>
      <c r="H8" s="181"/>
      <c r="I8" s="181"/>
      <c r="J8" s="181"/>
      <c r="K8" s="181"/>
      <c r="L8" s="181"/>
    </row>
    <row r="9" spans="1:12" ht="33" customHeight="1" x14ac:dyDescent="0.25">
      <c r="A9" s="2381" t="s">
        <v>6441</v>
      </c>
      <c r="B9" s="2382"/>
      <c r="C9" s="2382"/>
      <c r="D9" s="2382"/>
      <c r="E9" s="2382"/>
      <c r="F9" s="2382"/>
      <c r="G9" s="2382"/>
      <c r="H9" s="181"/>
      <c r="I9" s="181"/>
      <c r="J9" s="181"/>
      <c r="K9" s="181"/>
      <c r="L9" s="181"/>
    </row>
    <row r="10" spans="1:12" ht="33" customHeight="1" x14ac:dyDescent="0.25">
      <c r="A10" s="440" t="s">
        <v>5660</v>
      </c>
      <c r="B10" s="440" t="s">
        <v>5661</v>
      </c>
      <c r="C10" s="440" t="s">
        <v>145</v>
      </c>
      <c r="D10" s="440" t="s">
        <v>568</v>
      </c>
      <c r="E10" s="440" t="s">
        <v>5662</v>
      </c>
      <c r="F10" s="181"/>
      <c r="G10" s="181"/>
      <c r="H10" s="181"/>
      <c r="I10" s="181"/>
      <c r="J10" s="181"/>
      <c r="K10" s="181"/>
      <c r="L10" s="181"/>
    </row>
    <row r="11" spans="1:12" ht="135" x14ac:dyDescent="0.25">
      <c r="A11" s="441">
        <v>1</v>
      </c>
      <c r="B11" s="442" t="s">
        <v>6442</v>
      </c>
      <c r="C11" s="443" t="s">
        <v>6443</v>
      </c>
      <c r="D11" s="444">
        <f>335544</f>
        <v>335544</v>
      </c>
      <c r="E11" s="443"/>
      <c r="F11" s="181"/>
      <c r="G11" s="181"/>
      <c r="H11" s="181"/>
      <c r="I11" s="181"/>
      <c r="J11" s="181"/>
      <c r="K11" s="181"/>
      <c r="L11" s="181"/>
    </row>
    <row r="12" spans="1:12" ht="15.75" x14ac:dyDescent="0.25">
      <c r="A12" s="445">
        <v>2</v>
      </c>
      <c r="B12" s="446" t="s">
        <v>6444</v>
      </c>
      <c r="C12" s="447"/>
      <c r="D12" s="448">
        <f>D11</f>
        <v>335544</v>
      </c>
      <c r="E12" s="449"/>
      <c r="F12" s="181"/>
      <c r="G12" s="181"/>
      <c r="H12" s="181"/>
      <c r="I12" s="181"/>
      <c r="J12" s="181"/>
      <c r="K12" s="181"/>
      <c r="L12" s="181"/>
    </row>
    <row r="13" spans="1:12" ht="89.25" customHeight="1" x14ac:dyDescent="0.25">
      <c r="A13" s="445">
        <v>3</v>
      </c>
      <c r="B13" s="446" t="s">
        <v>6445</v>
      </c>
      <c r="C13" s="450" t="s">
        <v>6446</v>
      </c>
      <c r="D13" s="448">
        <f>D12/5.81</f>
        <v>57752.84</v>
      </c>
      <c r="E13" s="451"/>
      <c r="F13" s="181"/>
      <c r="G13" s="181"/>
      <c r="H13" s="181"/>
      <c r="I13" s="181"/>
      <c r="J13" s="181"/>
      <c r="K13" s="181"/>
      <c r="L13" s="181"/>
    </row>
    <row r="14" spans="1:12" ht="75.75" customHeight="1" x14ac:dyDescent="0.25">
      <c r="F14" s="181"/>
      <c r="G14" s="181"/>
      <c r="H14" s="181"/>
      <c r="I14" s="181"/>
      <c r="J14" s="181"/>
      <c r="K14" s="181"/>
      <c r="L14" s="181"/>
    </row>
    <row r="15" spans="1:12" x14ac:dyDescent="0.25">
      <c r="A15" s="2378"/>
      <c r="B15" s="2378"/>
      <c r="C15" s="2378"/>
      <c r="D15" s="2378"/>
      <c r="E15" s="2378"/>
    </row>
    <row r="16" spans="1:12" x14ac:dyDescent="0.25">
      <c r="A16" s="182"/>
    </row>
    <row r="17" spans="1:5" x14ac:dyDescent="0.25">
      <c r="A17" s="2379" t="s">
        <v>5666</v>
      </c>
      <c r="B17" s="2379"/>
      <c r="C17" s="2379"/>
      <c r="D17" s="2379"/>
      <c r="E17" s="2379"/>
    </row>
    <row r="18" spans="1:5" x14ac:dyDescent="0.25">
      <c r="A18" s="1984" t="s">
        <v>5667</v>
      </c>
      <c r="B18" s="1984"/>
      <c r="C18" s="1984"/>
      <c r="D18" s="1984"/>
      <c r="E18" s="1984"/>
    </row>
    <row r="19" spans="1:5" x14ac:dyDescent="0.25">
      <c r="A19" s="2379" t="s">
        <v>5668</v>
      </c>
      <c r="B19" s="2379"/>
      <c r="C19" s="2379"/>
      <c r="D19" s="2379"/>
      <c r="E19" s="2379"/>
    </row>
    <row r="20" spans="1:5" x14ac:dyDescent="0.25">
      <c r="A20" s="2380" t="s">
        <v>5667</v>
      </c>
      <c r="B20" s="2380"/>
      <c r="C20" s="2380"/>
      <c r="D20" s="2380"/>
      <c r="E20" s="2380"/>
    </row>
    <row r="21" spans="1:5" x14ac:dyDescent="0.25">
      <c r="A21" s="183"/>
      <c r="B21" s="183"/>
      <c r="C21" s="183"/>
      <c r="D21" s="183"/>
      <c r="E21" s="183"/>
    </row>
  </sheetData>
  <mergeCells count="11">
    <mergeCell ref="A9:G9"/>
    <mergeCell ref="A2:F2"/>
    <mergeCell ref="A4:E4"/>
    <mergeCell ref="A5:E5"/>
    <mergeCell ref="A6:B6"/>
    <mergeCell ref="A7:B7"/>
    <mergeCell ref="A15:E15"/>
    <mergeCell ref="A17:E17"/>
    <mergeCell ref="A18:E18"/>
    <mergeCell ref="A19:E19"/>
    <mergeCell ref="A20:E20"/>
  </mergeCells>
  <pageMargins left="0.35" right="0.24" top="0.75" bottom="0.75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4"/>
  <dimension ref="A1:I71"/>
  <sheetViews>
    <sheetView topLeftCell="A58" workbookViewId="0">
      <selection sqref="A1:C1"/>
    </sheetView>
  </sheetViews>
  <sheetFormatPr defaultColWidth="10.28515625" defaultRowHeight="12.75" x14ac:dyDescent="0.2"/>
  <cols>
    <col min="1" max="1" width="3.28515625" style="1046" customWidth="1"/>
    <col min="2" max="2" width="9.5703125" style="1046" customWidth="1"/>
    <col min="3" max="3" width="13.85546875" style="1046" customWidth="1"/>
    <col min="4" max="4" width="3.85546875" style="1046" customWidth="1"/>
    <col min="5" max="7" width="8.28515625" style="1046" customWidth="1"/>
    <col min="8" max="8" width="17.5703125" style="1046" customWidth="1"/>
    <col min="9" max="9" width="13.140625" style="1046" customWidth="1"/>
    <col min="10" max="10" width="17.5703125" style="354" customWidth="1"/>
    <col min="11" max="256" width="10.28515625" style="354"/>
    <col min="257" max="257" width="3.28515625" style="354" customWidth="1"/>
    <col min="258" max="258" width="9.5703125" style="354" customWidth="1"/>
    <col min="259" max="259" width="13.85546875" style="354" customWidth="1"/>
    <col min="260" max="260" width="3.85546875" style="354" customWidth="1"/>
    <col min="261" max="263" width="8.28515625" style="354" customWidth="1"/>
    <col min="264" max="264" width="17.5703125" style="354" customWidth="1"/>
    <col min="265" max="265" width="13.140625" style="354" customWidth="1"/>
    <col min="266" max="266" width="17.5703125" style="354" customWidth="1"/>
    <col min="267" max="512" width="10.28515625" style="354"/>
    <col min="513" max="513" width="3.28515625" style="354" customWidth="1"/>
    <col min="514" max="514" width="9.5703125" style="354" customWidth="1"/>
    <col min="515" max="515" width="13.85546875" style="354" customWidth="1"/>
    <col min="516" max="516" width="3.85546875" style="354" customWidth="1"/>
    <col min="517" max="519" width="8.28515625" style="354" customWidth="1"/>
    <col min="520" max="520" width="17.5703125" style="354" customWidth="1"/>
    <col min="521" max="521" width="13.140625" style="354" customWidth="1"/>
    <col min="522" max="522" width="17.5703125" style="354" customWidth="1"/>
    <col min="523" max="768" width="10.28515625" style="354"/>
    <col min="769" max="769" width="3.28515625" style="354" customWidth="1"/>
    <col min="770" max="770" width="9.5703125" style="354" customWidth="1"/>
    <col min="771" max="771" width="13.85546875" style="354" customWidth="1"/>
    <col min="772" max="772" width="3.85546875" style="354" customWidth="1"/>
    <col min="773" max="775" width="8.28515625" style="354" customWidth="1"/>
    <col min="776" max="776" width="17.5703125" style="354" customWidth="1"/>
    <col min="777" max="777" width="13.140625" style="354" customWidth="1"/>
    <col min="778" max="778" width="17.5703125" style="354" customWidth="1"/>
    <col min="779" max="1024" width="10.28515625" style="354"/>
    <col min="1025" max="1025" width="3.28515625" style="354" customWidth="1"/>
    <col min="1026" max="1026" width="9.5703125" style="354" customWidth="1"/>
    <col min="1027" max="1027" width="13.85546875" style="354" customWidth="1"/>
    <col min="1028" max="1028" width="3.85546875" style="354" customWidth="1"/>
    <col min="1029" max="1031" width="8.28515625" style="354" customWidth="1"/>
    <col min="1032" max="1032" width="17.5703125" style="354" customWidth="1"/>
    <col min="1033" max="1033" width="13.140625" style="354" customWidth="1"/>
    <col min="1034" max="1034" width="17.5703125" style="354" customWidth="1"/>
    <col min="1035" max="1280" width="10.28515625" style="354"/>
    <col min="1281" max="1281" width="3.28515625" style="354" customWidth="1"/>
    <col min="1282" max="1282" width="9.5703125" style="354" customWidth="1"/>
    <col min="1283" max="1283" width="13.85546875" style="354" customWidth="1"/>
    <col min="1284" max="1284" width="3.85546875" style="354" customWidth="1"/>
    <col min="1285" max="1287" width="8.28515625" style="354" customWidth="1"/>
    <col min="1288" max="1288" width="17.5703125" style="354" customWidth="1"/>
    <col min="1289" max="1289" width="13.140625" style="354" customWidth="1"/>
    <col min="1290" max="1290" width="17.5703125" style="354" customWidth="1"/>
    <col min="1291" max="1536" width="10.28515625" style="354"/>
    <col min="1537" max="1537" width="3.28515625" style="354" customWidth="1"/>
    <col min="1538" max="1538" width="9.5703125" style="354" customWidth="1"/>
    <col min="1539" max="1539" width="13.85546875" style="354" customWidth="1"/>
    <col min="1540" max="1540" width="3.85546875" style="354" customWidth="1"/>
    <col min="1541" max="1543" width="8.28515625" style="354" customWidth="1"/>
    <col min="1544" max="1544" width="17.5703125" style="354" customWidth="1"/>
    <col min="1545" max="1545" width="13.140625" style="354" customWidth="1"/>
    <col min="1546" max="1546" width="17.5703125" style="354" customWidth="1"/>
    <col min="1547" max="1792" width="10.28515625" style="354"/>
    <col min="1793" max="1793" width="3.28515625" style="354" customWidth="1"/>
    <col min="1794" max="1794" width="9.5703125" style="354" customWidth="1"/>
    <col min="1795" max="1795" width="13.85546875" style="354" customWidth="1"/>
    <col min="1796" max="1796" width="3.85546875" style="354" customWidth="1"/>
    <col min="1797" max="1799" width="8.28515625" style="354" customWidth="1"/>
    <col min="1800" max="1800" width="17.5703125" style="354" customWidth="1"/>
    <col min="1801" max="1801" width="13.140625" style="354" customWidth="1"/>
    <col min="1802" max="1802" width="17.5703125" style="354" customWidth="1"/>
    <col min="1803" max="2048" width="10.28515625" style="354"/>
    <col min="2049" max="2049" width="3.28515625" style="354" customWidth="1"/>
    <col min="2050" max="2050" width="9.5703125" style="354" customWidth="1"/>
    <col min="2051" max="2051" width="13.85546875" style="354" customWidth="1"/>
    <col min="2052" max="2052" width="3.85546875" style="354" customWidth="1"/>
    <col min="2053" max="2055" width="8.28515625" style="354" customWidth="1"/>
    <col min="2056" max="2056" width="17.5703125" style="354" customWidth="1"/>
    <col min="2057" max="2057" width="13.140625" style="354" customWidth="1"/>
    <col min="2058" max="2058" width="17.5703125" style="354" customWidth="1"/>
    <col min="2059" max="2304" width="10.28515625" style="354"/>
    <col min="2305" max="2305" width="3.28515625" style="354" customWidth="1"/>
    <col min="2306" max="2306" width="9.5703125" style="354" customWidth="1"/>
    <col min="2307" max="2307" width="13.85546875" style="354" customWidth="1"/>
    <col min="2308" max="2308" width="3.85546875" style="354" customWidth="1"/>
    <col min="2309" max="2311" width="8.28515625" style="354" customWidth="1"/>
    <col min="2312" max="2312" width="17.5703125" style="354" customWidth="1"/>
    <col min="2313" max="2313" width="13.140625" style="354" customWidth="1"/>
    <col min="2314" max="2314" width="17.5703125" style="354" customWidth="1"/>
    <col min="2315" max="2560" width="10.28515625" style="354"/>
    <col min="2561" max="2561" width="3.28515625" style="354" customWidth="1"/>
    <col min="2562" max="2562" width="9.5703125" style="354" customWidth="1"/>
    <col min="2563" max="2563" width="13.85546875" style="354" customWidth="1"/>
    <col min="2564" max="2564" width="3.85546875" style="354" customWidth="1"/>
    <col min="2565" max="2567" width="8.28515625" style="354" customWidth="1"/>
    <col min="2568" max="2568" width="17.5703125" style="354" customWidth="1"/>
    <col min="2569" max="2569" width="13.140625" style="354" customWidth="1"/>
    <col min="2570" max="2570" width="17.5703125" style="354" customWidth="1"/>
    <col min="2571" max="2816" width="10.28515625" style="354"/>
    <col min="2817" max="2817" width="3.28515625" style="354" customWidth="1"/>
    <col min="2818" max="2818" width="9.5703125" style="354" customWidth="1"/>
    <col min="2819" max="2819" width="13.85546875" style="354" customWidth="1"/>
    <col min="2820" max="2820" width="3.85546875" style="354" customWidth="1"/>
    <col min="2821" max="2823" width="8.28515625" style="354" customWidth="1"/>
    <col min="2824" max="2824" width="17.5703125" style="354" customWidth="1"/>
    <col min="2825" max="2825" width="13.140625" style="354" customWidth="1"/>
    <col min="2826" max="2826" width="17.5703125" style="354" customWidth="1"/>
    <col min="2827" max="3072" width="10.28515625" style="354"/>
    <col min="3073" max="3073" width="3.28515625" style="354" customWidth="1"/>
    <col min="3074" max="3074" width="9.5703125" style="354" customWidth="1"/>
    <col min="3075" max="3075" width="13.85546875" style="354" customWidth="1"/>
    <col min="3076" max="3076" width="3.85546875" style="354" customWidth="1"/>
    <col min="3077" max="3079" width="8.28515625" style="354" customWidth="1"/>
    <col min="3080" max="3080" width="17.5703125" style="354" customWidth="1"/>
    <col min="3081" max="3081" width="13.140625" style="354" customWidth="1"/>
    <col min="3082" max="3082" width="17.5703125" style="354" customWidth="1"/>
    <col min="3083" max="3328" width="10.28515625" style="354"/>
    <col min="3329" max="3329" width="3.28515625" style="354" customWidth="1"/>
    <col min="3330" max="3330" width="9.5703125" style="354" customWidth="1"/>
    <col min="3331" max="3331" width="13.85546875" style="354" customWidth="1"/>
    <col min="3332" max="3332" width="3.85546875" style="354" customWidth="1"/>
    <col min="3333" max="3335" width="8.28515625" style="354" customWidth="1"/>
    <col min="3336" max="3336" width="17.5703125" style="354" customWidth="1"/>
    <col min="3337" max="3337" width="13.140625" style="354" customWidth="1"/>
    <col min="3338" max="3338" width="17.5703125" style="354" customWidth="1"/>
    <col min="3339" max="3584" width="10.28515625" style="354"/>
    <col min="3585" max="3585" width="3.28515625" style="354" customWidth="1"/>
    <col min="3586" max="3586" width="9.5703125" style="354" customWidth="1"/>
    <col min="3587" max="3587" width="13.85546875" style="354" customWidth="1"/>
    <col min="3588" max="3588" width="3.85546875" style="354" customWidth="1"/>
    <col min="3589" max="3591" width="8.28515625" style="354" customWidth="1"/>
    <col min="3592" max="3592" width="17.5703125" style="354" customWidth="1"/>
    <col min="3593" max="3593" width="13.140625" style="354" customWidth="1"/>
    <col min="3594" max="3594" width="17.5703125" style="354" customWidth="1"/>
    <col min="3595" max="3840" width="10.28515625" style="354"/>
    <col min="3841" max="3841" width="3.28515625" style="354" customWidth="1"/>
    <col min="3842" max="3842" width="9.5703125" style="354" customWidth="1"/>
    <col min="3843" max="3843" width="13.85546875" style="354" customWidth="1"/>
    <col min="3844" max="3844" width="3.85546875" style="354" customWidth="1"/>
    <col min="3845" max="3847" width="8.28515625" style="354" customWidth="1"/>
    <col min="3848" max="3848" width="17.5703125" style="354" customWidth="1"/>
    <col min="3849" max="3849" width="13.140625" style="354" customWidth="1"/>
    <col min="3850" max="3850" width="17.5703125" style="354" customWidth="1"/>
    <col min="3851" max="4096" width="10.28515625" style="354"/>
    <col min="4097" max="4097" width="3.28515625" style="354" customWidth="1"/>
    <col min="4098" max="4098" width="9.5703125" style="354" customWidth="1"/>
    <col min="4099" max="4099" width="13.85546875" style="354" customWidth="1"/>
    <col min="4100" max="4100" width="3.85546875" style="354" customWidth="1"/>
    <col min="4101" max="4103" width="8.28515625" style="354" customWidth="1"/>
    <col min="4104" max="4104" width="17.5703125" style="354" customWidth="1"/>
    <col min="4105" max="4105" width="13.140625" style="354" customWidth="1"/>
    <col min="4106" max="4106" width="17.5703125" style="354" customWidth="1"/>
    <col min="4107" max="4352" width="10.28515625" style="354"/>
    <col min="4353" max="4353" width="3.28515625" style="354" customWidth="1"/>
    <col min="4354" max="4354" width="9.5703125" style="354" customWidth="1"/>
    <col min="4355" max="4355" width="13.85546875" style="354" customWidth="1"/>
    <col min="4356" max="4356" width="3.85546875" style="354" customWidth="1"/>
    <col min="4357" max="4359" width="8.28515625" style="354" customWidth="1"/>
    <col min="4360" max="4360" width="17.5703125" style="354" customWidth="1"/>
    <col min="4361" max="4361" width="13.140625" style="354" customWidth="1"/>
    <col min="4362" max="4362" width="17.5703125" style="354" customWidth="1"/>
    <col min="4363" max="4608" width="10.28515625" style="354"/>
    <col min="4609" max="4609" width="3.28515625" style="354" customWidth="1"/>
    <col min="4610" max="4610" width="9.5703125" style="354" customWidth="1"/>
    <col min="4611" max="4611" width="13.85546875" style="354" customWidth="1"/>
    <col min="4612" max="4612" width="3.85546875" style="354" customWidth="1"/>
    <col min="4613" max="4615" width="8.28515625" style="354" customWidth="1"/>
    <col min="4616" max="4616" width="17.5703125" style="354" customWidth="1"/>
    <col min="4617" max="4617" width="13.140625" style="354" customWidth="1"/>
    <col min="4618" max="4618" width="17.5703125" style="354" customWidth="1"/>
    <col min="4619" max="4864" width="10.28515625" style="354"/>
    <col min="4865" max="4865" width="3.28515625" style="354" customWidth="1"/>
    <col min="4866" max="4866" width="9.5703125" style="354" customWidth="1"/>
    <col min="4867" max="4867" width="13.85546875" style="354" customWidth="1"/>
    <col min="4868" max="4868" width="3.85546875" style="354" customWidth="1"/>
    <col min="4869" max="4871" width="8.28515625" style="354" customWidth="1"/>
    <col min="4872" max="4872" width="17.5703125" style="354" customWidth="1"/>
    <col min="4873" max="4873" width="13.140625" style="354" customWidth="1"/>
    <col min="4874" max="4874" width="17.5703125" style="354" customWidth="1"/>
    <col min="4875" max="5120" width="10.28515625" style="354"/>
    <col min="5121" max="5121" width="3.28515625" style="354" customWidth="1"/>
    <col min="5122" max="5122" width="9.5703125" style="354" customWidth="1"/>
    <col min="5123" max="5123" width="13.85546875" style="354" customWidth="1"/>
    <col min="5124" max="5124" width="3.85546875" style="354" customWidth="1"/>
    <col min="5125" max="5127" width="8.28515625" style="354" customWidth="1"/>
    <col min="5128" max="5128" width="17.5703125" style="354" customWidth="1"/>
    <col min="5129" max="5129" width="13.140625" style="354" customWidth="1"/>
    <col min="5130" max="5130" width="17.5703125" style="354" customWidth="1"/>
    <col min="5131" max="5376" width="10.28515625" style="354"/>
    <col min="5377" max="5377" width="3.28515625" style="354" customWidth="1"/>
    <col min="5378" max="5378" width="9.5703125" style="354" customWidth="1"/>
    <col min="5379" max="5379" width="13.85546875" style="354" customWidth="1"/>
    <col min="5380" max="5380" width="3.85546875" style="354" customWidth="1"/>
    <col min="5381" max="5383" width="8.28515625" style="354" customWidth="1"/>
    <col min="5384" max="5384" width="17.5703125" style="354" customWidth="1"/>
    <col min="5385" max="5385" width="13.140625" style="354" customWidth="1"/>
    <col min="5386" max="5386" width="17.5703125" style="354" customWidth="1"/>
    <col min="5387" max="5632" width="10.28515625" style="354"/>
    <col min="5633" max="5633" width="3.28515625" style="354" customWidth="1"/>
    <col min="5634" max="5634" width="9.5703125" style="354" customWidth="1"/>
    <col min="5635" max="5635" width="13.85546875" style="354" customWidth="1"/>
    <col min="5636" max="5636" width="3.85546875" style="354" customWidth="1"/>
    <col min="5637" max="5639" width="8.28515625" style="354" customWidth="1"/>
    <col min="5640" max="5640" width="17.5703125" style="354" customWidth="1"/>
    <col min="5641" max="5641" width="13.140625" style="354" customWidth="1"/>
    <col min="5642" max="5642" width="17.5703125" style="354" customWidth="1"/>
    <col min="5643" max="5888" width="10.28515625" style="354"/>
    <col min="5889" max="5889" width="3.28515625" style="354" customWidth="1"/>
    <col min="5890" max="5890" width="9.5703125" style="354" customWidth="1"/>
    <col min="5891" max="5891" width="13.85546875" style="354" customWidth="1"/>
    <col min="5892" max="5892" width="3.85546875" style="354" customWidth="1"/>
    <col min="5893" max="5895" width="8.28515625" style="354" customWidth="1"/>
    <col min="5896" max="5896" width="17.5703125" style="354" customWidth="1"/>
    <col min="5897" max="5897" width="13.140625" style="354" customWidth="1"/>
    <col min="5898" max="5898" width="17.5703125" style="354" customWidth="1"/>
    <col min="5899" max="6144" width="10.28515625" style="354"/>
    <col min="6145" max="6145" width="3.28515625" style="354" customWidth="1"/>
    <col min="6146" max="6146" width="9.5703125" style="354" customWidth="1"/>
    <col min="6147" max="6147" width="13.85546875" style="354" customWidth="1"/>
    <col min="6148" max="6148" width="3.85546875" style="354" customWidth="1"/>
    <col min="6149" max="6151" width="8.28515625" style="354" customWidth="1"/>
    <col min="6152" max="6152" width="17.5703125" style="354" customWidth="1"/>
    <col min="6153" max="6153" width="13.140625" style="354" customWidth="1"/>
    <col min="6154" max="6154" width="17.5703125" style="354" customWidth="1"/>
    <col min="6155" max="6400" width="10.28515625" style="354"/>
    <col min="6401" max="6401" width="3.28515625" style="354" customWidth="1"/>
    <col min="6402" max="6402" width="9.5703125" style="354" customWidth="1"/>
    <col min="6403" max="6403" width="13.85546875" style="354" customWidth="1"/>
    <col min="6404" max="6404" width="3.85546875" style="354" customWidth="1"/>
    <col min="6405" max="6407" width="8.28515625" style="354" customWidth="1"/>
    <col min="6408" max="6408" width="17.5703125" style="354" customWidth="1"/>
    <col min="6409" max="6409" width="13.140625" style="354" customWidth="1"/>
    <col min="6410" max="6410" width="17.5703125" style="354" customWidth="1"/>
    <col min="6411" max="6656" width="10.28515625" style="354"/>
    <col min="6657" max="6657" width="3.28515625" style="354" customWidth="1"/>
    <col min="6658" max="6658" width="9.5703125" style="354" customWidth="1"/>
    <col min="6659" max="6659" width="13.85546875" style="354" customWidth="1"/>
    <col min="6660" max="6660" width="3.85546875" style="354" customWidth="1"/>
    <col min="6661" max="6663" width="8.28515625" style="354" customWidth="1"/>
    <col min="6664" max="6664" width="17.5703125" style="354" customWidth="1"/>
    <col min="6665" max="6665" width="13.140625" style="354" customWidth="1"/>
    <col min="6666" max="6666" width="17.5703125" style="354" customWidth="1"/>
    <col min="6667" max="6912" width="10.28515625" style="354"/>
    <col min="6913" max="6913" width="3.28515625" style="354" customWidth="1"/>
    <col min="6914" max="6914" width="9.5703125" style="354" customWidth="1"/>
    <col min="6915" max="6915" width="13.85546875" style="354" customWidth="1"/>
    <col min="6916" max="6916" width="3.85546875" style="354" customWidth="1"/>
    <col min="6917" max="6919" width="8.28515625" style="354" customWidth="1"/>
    <col min="6920" max="6920" width="17.5703125" style="354" customWidth="1"/>
    <col min="6921" max="6921" width="13.140625" style="354" customWidth="1"/>
    <col min="6922" max="6922" width="17.5703125" style="354" customWidth="1"/>
    <col min="6923" max="7168" width="10.28515625" style="354"/>
    <col min="7169" max="7169" width="3.28515625" style="354" customWidth="1"/>
    <col min="7170" max="7170" width="9.5703125" style="354" customWidth="1"/>
    <col min="7171" max="7171" width="13.85546875" style="354" customWidth="1"/>
    <col min="7172" max="7172" width="3.85546875" style="354" customWidth="1"/>
    <col min="7173" max="7175" width="8.28515625" style="354" customWidth="1"/>
    <col min="7176" max="7176" width="17.5703125" style="354" customWidth="1"/>
    <col min="7177" max="7177" width="13.140625" style="354" customWidth="1"/>
    <col min="7178" max="7178" width="17.5703125" style="354" customWidth="1"/>
    <col min="7179" max="7424" width="10.28515625" style="354"/>
    <col min="7425" max="7425" width="3.28515625" style="354" customWidth="1"/>
    <col min="7426" max="7426" width="9.5703125" style="354" customWidth="1"/>
    <col min="7427" max="7427" width="13.85546875" style="354" customWidth="1"/>
    <col min="7428" max="7428" width="3.85546875" style="354" customWidth="1"/>
    <col min="7429" max="7431" width="8.28515625" style="354" customWidth="1"/>
    <col min="7432" max="7432" width="17.5703125" style="354" customWidth="1"/>
    <col min="7433" max="7433" width="13.140625" style="354" customWidth="1"/>
    <col min="7434" max="7434" width="17.5703125" style="354" customWidth="1"/>
    <col min="7435" max="7680" width="10.28515625" style="354"/>
    <col min="7681" max="7681" width="3.28515625" style="354" customWidth="1"/>
    <col min="7682" max="7682" width="9.5703125" style="354" customWidth="1"/>
    <col min="7683" max="7683" width="13.85546875" style="354" customWidth="1"/>
    <col min="7684" max="7684" width="3.85546875" style="354" customWidth="1"/>
    <col min="7685" max="7687" width="8.28515625" style="354" customWidth="1"/>
    <col min="7688" max="7688" width="17.5703125" style="354" customWidth="1"/>
    <col min="7689" max="7689" width="13.140625" style="354" customWidth="1"/>
    <col min="7690" max="7690" width="17.5703125" style="354" customWidth="1"/>
    <col min="7691" max="7936" width="10.28515625" style="354"/>
    <col min="7937" max="7937" width="3.28515625" style="354" customWidth="1"/>
    <col min="7938" max="7938" width="9.5703125" style="354" customWidth="1"/>
    <col min="7939" max="7939" width="13.85546875" style="354" customWidth="1"/>
    <col min="7940" max="7940" width="3.85546875" style="354" customWidth="1"/>
    <col min="7941" max="7943" width="8.28515625" style="354" customWidth="1"/>
    <col min="7944" max="7944" width="17.5703125" style="354" customWidth="1"/>
    <col min="7945" max="7945" width="13.140625" style="354" customWidth="1"/>
    <col min="7946" max="7946" width="17.5703125" style="354" customWidth="1"/>
    <col min="7947" max="8192" width="10.28515625" style="354"/>
    <col min="8193" max="8193" width="3.28515625" style="354" customWidth="1"/>
    <col min="8194" max="8194" width="9.5703125" style="354" customWidth="1"/>
    <col min="8195" max="8195" width="13.85546875" style="354" customWidth="1"/>
    <col min="8196" max="8196" width="3.85546875" style="354" customWidth="1"/>
    <col min="8197" max="8199" width="8.28515625" style="354" customWidth="1"/>
    <col min="8200" max="8200" width="17.5703125" style="354" customWidth="1"/>
    <col min="8201" max="8201" width="13.140625" style="354" customWidth="1"/>
    <col min="8202" max="8202" width="17.5703125" style="354" customWidth="1"/>
    <col min="8203" max="8448" width="10.28515625" style="354"/>
    <col min="8449" max="8449" width="3.28515625" style="354" customWidth="1"/>
    <col min="8450" max="8450" width="9.5703125" style="354" customWidth="1"/>
    <col min="8451" max="8451" width="13.85546875" style="354" customWidth="1"/>
    <col min="8452" max="8452" width="3.85546875" style="354" customWidth="1"/>
    <col min="8453" max="8455" width="8.28515625" style="354" customWidth="1"/>
    <col min="8456" max="8456" width="17.5703125" style="354" customWidth="1"/>
    <col min="8457" max="8457" width="13.140625" style="354" customWidth="1"/>
    <col min="8458" max="8458" width="17.5703125" style="354" customWidth="1"/>
    <col min="8459" max="8704" width="10.28515625" style="354"/>
    <col min="8705" max="8705" width="3.28515625" style="354" customWidth="1"/>
    <col min="8706" max="8706" width="9.5703125" style="354" customWidth="1"/>
    <col min="8707" max="8707" width="13.85546875" style="354" customWidth="1"/>
    <col min="8708" max="8708" width="3.85546875" style="354" customWidth="1"/>
    <col min="8709" max="8711" width="8.28515625" style="354" customWidth="1"/>
    <col min="8712" max="8712" width="17.5703125" style="354" customWidth="1"/>
    <col min="8713" max="8713" width="13.140625" style="354" customWidth="1"/>
    <col min="8714" max="8714" width="17.5703125" style="354" customWidth="1"/>
    <col min="8715" max="8960" width="10.28515625" style="354"/>
    <col min="8961" max="8961" width="3.28515625" style="354" customWidth="1"/>
    <col min="8962" max="8962" width="9.5703125" style="354" customWidth="1"/>
    <col min="8963" max="8963" width="13.85546875" style="354" customWidth="1"/>
    <col min="8964" max="8964" width="3.85546875" style="354" customWidth="1"/>
    <col min="8965" max="8967" width="8.28515625" style="354" customWidth="1"/>
    <col min="8968" max="8968" width="17.5703125" style="354" customWidth="1"/>
    <col min="8969" max="8969" width="13.140625" style="354" customWidth="1"/>
    <col min="8970" max="8970" width="17.5703125" style="354" customWidth="1"/>
    <col min="8971" max="9216" width="10.28515625" style="354"/>
    <col min="9217" max="9217" width="3.28515625" style="354" customWidth="1"/>
    <col min="9218" max="9218" width="9.5703125" style="354" customWidth="1"/>
    <col min="9219" max="9219" width="13.85546875" style="354" customWidth="1"/>
    <col min="9220" max="9220" width="3.85546875" style="354" customWidth="1"/>
    <col min="9221" max="9223" width="8.28515625" style="354" customWidth="1"/>
    <col min="9224" max="9224" width="17.5703125" style="354" customWidth="1"/>
    <col min="9225" max="9225" width="13.140625" style="354" customWidth="1"/>
    <col min="9226" max="9226" width="17.5703125" style="354" customWidth="1"/>
    <col min="9227" max="9472" width="10.28515625" style="354"/>
    <col min="9473" max="9473" width="3.28515625" style="354" customWidth="1"/>
    <col min="9474" max="9474" width="9.5703125" style="354" customWidth="1"/>
    <col min="9475" max="9475" width="13.85546875" style="354" customWidth="1"/>
    <col min="9476" max="9476" width="3.85546875" style="354" customWidth="1"/>
    <col min="9477" max="9479" width="8.28515625" style="354" customWidth="1"/>
    <col min="9480" max="9480" width="17.5703125" style="354" customWidth="1"/>
    <col min="9481" max="9481" width="13.140625" style="354" customWidth="1"/>
    <col min="9482" max="9482" width="17.5703125" style="354" customWidth="1"/>
    <col min="9483" max="9728" width="10.28515625" style="354"/>
    <col min="9729" max="9729" width="3.28515625" style="354" customWidth="1"/>
    <col min="9730" max="9730" width="9.5703125" style="354" customWidth="1"/>
    <col min="9731" max="9731" width="13.85546875" style="354" customWidth="1"/>
    <col min="9732" max="9732" width="3.85546875" style="354" customWidth="1"/>
    <col min="9733" max="9735" width="8.28515625" style="354" customWidth="1"/>
    <col min="9736" max="9736" width="17.5703125" style="354" customWidth="1"/>
    <col min="9737" max="9737" width="13.140625" style="354" customWidth="1"/>
    <col min="9738" max="9738" width="17.5703125" style="354" customWidth="1"/>
    <col min="9739" max="9984" width="10.28515625" style="354"/>
    <col min="9985" max="9985" width="3.28515625" style="354" customWidth="1"/>
    <col min="9986" max="9986" width="9.5703125" style="354" customWidth="1"/>
    <col min="9987" max="9987" width="13.85546875" style="354" customWidth="1"/>
    <col min="9988" max="9988" width="3.85546875" style="354" customWidth="1"/>
    <col min="9989" max="9991" width="8.28515625" style="354" customWidth="1"/>
    <col min="9992" max="9992" width="17.5703125" style="354" customWidth="1"/>
    <col min="9993" max="9993" width="13.140625" style="354" customWidth="1"/>
    <col min="9994" max="9994" width="17.5703125" style="354" customWidth="1"/>
    <col min="9995" max="10240" width="10.28515625" style="354"/>
    <col min="10241" max="10241" width="3.28515625" style="354" customWidth="1"/>
    <col min="10242" max="10242" width="9.5703125" style="354" customWidth="1"/>
    <col min="10243" max="10243" width="13.85546875" style="354" customWidth="1"/>
    <col min="10244" max="10244" width="3.85546875" style="354" customWidth="1"/>
    <col min="10245" max="10247" width="8.28515625" style="354" customWidth="1"/>
    <col min="10248" max="10248" width="17.5703125" style="354" customWidth="1"/>
    <col min="10249" max="10249" width="13.140625" style="354" customWidth="1"/>
    <col min="10250" max="10250" width="17.5703125" style="354" customWidth="1"/>
    <col min="10251" max="10496" width="10.28515625" style="354"/>
    <col min="10497" max="10497" width="3.28515625" style="354" customWidth="1"/>
    <col min="10498" max="10498" width="9.5703125" style="354" customWidth="1"/>
    <col min="10499" max="10499" width="13.85546875" style="354" customWidth="1"/>
    <col min="10500" max="10500" width="3.85546875" style="354" customWidth="1"/>
    <col min="10501" max="10503" width="8.28515625" style="354" customWidth="1"/>
    <col min="10504" max="10504" width="17.5703125" style="354" customWidth="1"/>
    <col min="10505" max="10505" width="13.140625" style="354" customWidth="1"/>
    <col min="10506" max="10506" width="17.5703125" style="354" customWidth="1"/>
    <col min="10507" max="10752" width="10.28515625" style="354"/>
    <col min="10753" max="10753" width="3.28515625" style="354" customWidth="1"/>
    <col min="10754" max="10754" width="9.5703125" style="354" customWidth="1"/>
    <col min="10755" max="10755" width="13.85546875" style="354" customWidth="1"/>
    <col min="10756" max="10756" width="3.85546875" style="354" customWidth="1"/>
    <col min="10757" max="10759" width="8.28515625" style="354" customWidth="1"/>
    <col min="10760" max="10760" width="17.5703125" style="354" customWidth="1"/>
    <col min="10761" max="10761" width="13.140625" style="354" customWidth="1"/>
    <col min="10762" max="10762" width="17.5703125" style="354" customWidth="1"/>
    <col min="10763" max="11008" width="10.28515625" style="354"/>
    <col min="11009" max="11009" width="3.28515625" style="354" customWidth="1"/>
    <col min="11010" max="11010" width="9.5703125" style="354" customWidth="1"/>
    <col min="11011" max="11011" width="13.85546875" style="354" customWidth="1"/>
    <col min="11012" max="11012" width="3.85546875" style="354" customWidth="1"/>
    <col min="11013" max="11015" width="8.28515625" style="354" customWidth="1"/>
    <col min="11016" max="11016" width="17.5703125" style="354" customWidth="1"/>
    <col min="11017" max="11017" width="13.140625" style="354" customWidth="1"/>
    <col min="11018" max="11018" width="17.5703125" style="354" customWidth="1"/>
    <col min="11019" max="11264" width="10.28515625" style="354"/>
    <col min="11265" max="11265" width="3.28515625" style="354" customWidth="1"/>
    <col min="11266" max="11266" width="9.5703125" style="354" customWidth="1"/>
    <col min="11267" max="11267" width="13.85546875" style="354" customWidth="1"/>
    <col min="11268" max="11268" width="3.85546875" style="354" customWidth="1"/>
    <col min="11269" max="11271" width="8.28515625" style="354" customWidth="1"/>
    <col min="11272" max="11272" width="17.5703125" style="354" customWidth="1"/>
    <col min="11273" max="11273" width="13.140625" style="354" customWidth="1"/>
    <col min="11274" max="11274" width="17.5703125" style="354" customWidth="1"/>
    <col min="11275" max="11520" width="10.28515625" style="354"/>
    <col min="11521" max="11521" width="3.28515625" style="354" customWidth="1"/>
    <col min="11522" max="11522" width="9.5703125" style="354" customWidth="1"/>
    <col min="11523" max="11523" width="13.85546875" style="354" customWidth="1"/>
    <col min="11524" max="11524" width="3.85546875" style="354" customWidth="1"/>
    <col min="11525" max="11527" width="8.28515625" style="354" customWidth="1"/>
    <col min="11528" max="11528" width="17.5703125" style="354" customWidth="1"/>
    <col min="11529" max="11529" width="13.140625" style="354" customWidth="1"/>
    <col min="11530" max="11530" width="17.5703125" style="354" customWidth="1"/>
    <col min="11531" max="11776" width="10.28515625" style="354"/>
    <col min="11777" max="11777" width="3.28515625" style="354" customWidth="1"/>
    <col min="11778" max="11778" width="9.5703125" style="354" customWidth="1"/>
    <col min="11779" max="11779" width="13.85546875" style="354" customWidth="1"/>
    <col min="11780" max="11780" width="3.85546875" style="354" customWidth="1"/>
    <col min="11781" max="11783" width="8.28515625" style="354" customWidth="1"/>
    <col min="11784" max="11784" width="17.5703125" style="354" customWidth="1"/>
    <col min="11785" max="11785" width="13.140625" style="354" customWidth="1"/>
    <col min="11786" max="11786" width="17.5703125" style="354" customWidth="1"/>
    <col min="11787" max="12032" width="10.28515625" style="354"/>
    <col min="12033" max="12033" width="3.28515625" style="354" customWidth="1"/>
    <col min="12034" max="12034" width="9.5703125" style="354" customWidth="1"/>
    <col min="12035" max="12035" width="13.85546875" style="354" customWidth="1"/>
    <col min="12036" max="12036" width="3.85546875" style="354" customWidth="1"/>
    <col min="12037" max="12039" width="8.28515625" style="354" customWidth="1"/>
    <col min="12040" max="12040" width="17.5703125" style="354" customWidth="1"/>
    <col min="12041" max="12041" width="13.140625" style="354" customWidth="1"/>
    <col min="12042" max="12042" width="17.5703125" style="354" customWidth="1"/>
    <col min="12043" max="12288" width="10.28515625" style="354"/>
    <col min="12289" max="12289" width="3.28515625" style="354" customWidth="1"/>
    <col min="12290" max="12290" width="9.5703125" style="354" customWidth="1"/>
    <col min="12291" max="12291" width="13.85546875" style="354" customWidth="1"/>
    <col min="12292" max="12292" width="3.85546875" style="354" customWidth="1"/>
    <col min="12293" max="12295" width="8.28515625" style="354" customWidth="1"/>
    <col min="12296" max="12296" width="17.5703125" style="354" customWidth="1"/>
    <col min="12297" max="12297" width="13.140625" style="354" customWidth="1"/>
    <col min="12298" max="12298" width="17.5703125" style="354" customWidth="1"/>
    <col min="12299" max="12544" width="10.28515625" style="354"/>
    <col min="12545" max="12545" width="3.28515625" style="354" customWidth="1"/>
    <col min="12546" max="12546" width="9.5703125" style="354" customWidth="1"/>
    <col min="12547" max="12547" width="13.85546875" style="354" customWidth="1"/>
    <col min="12548" max="12548" width="3.85546875" style="354" customWidth="1"/>
    <col min="12549" max="12551" width="8.28515625" style="354" customWidth="1"/>
    <col min="12552" max="12552" width="17.5703125" style="354" customWidth="1"/>
    <col min="12553" max="12553" width="13.140625" style="354" customWidth="1"/>
    <col min="12554" max="12554" width="17.5703125" style="354" customWidth="1"/>
    <col min="12555" max="12800" width="10.28515625" style="354"/>
    <col min="12801" max="12801" width="3.28515625" style="354" customWidth="1"/>
    <col min="12802" max="12802" width="9.5703125" style="354" customWidth="1"/>
    <col min="12803" max="12803" width="13.85546875" style="354" customWidth="1"/>
    <col min="12804" max="12804" width="3.85546875" style="354" customWidth="1"/>
    <col min="12805" max="12807" width="8.28515625" style="354" customWidth="1"/>
    <col min="12808" max="12808" width="17.5703125" style="354" customWidth="1"/>
    <col min="12809" max="12809" width="13.140625" style="354" customWidth="1"/>
    <col min="12810" max="12810" width="17.5703125" style="354" customWidth="1"/>
    <col min="12811" max="13056" width="10.28515625" style="354"/>
    <col min="13057" max="13057" width="3.28515625" style="354" customWidth="1"/>
    <col min="13058" max="13058" width="9.5703125" style="354" customWidth="1"/>
    <col min="13059" max="13059" width="13.85546875" style="354" customWidth="1"/>
    <col min="13060" max="13060" width="3.85546875" style="354" customWidth="1"/>
    <col min="13061" max="13063" width="8.28515625" style="354" customWidth="1"/>
    <col min="13064" max="13064" width="17.5703125" style="354" customWidth="1"/>
    <col min="13065" max="13065" width="13.140625" style="354" customWidth="1"/>
    <col min="13066" max="13066" width="17.5703125" style="354" customWidth="1"/>
    <col min="13067" max="13312" width="10.28515625" style="354"/>
    <col min="13313" max="13313" width="3.28515625" style="354" customWidth="1"/>
    <col min="13314" max="13314" width="9.5703125" style="354" customWidth="1"/>
    <col min="13315" max="13315" width="13.85546875" style="354" customWidth="1"/>
    <col min="13316" max="13316" width="3.85546875" style="354" customWidth="1"/>
    <col min="13317" max="13319" width="8.28515625" style="354" customWidth="1"/>
    <col min="13320" max="13320" width="17.5703125" style="354" customWidth="1"/>
    <col min="13321" max="13321" width="13.140625" style="354" customWidth="1"/>
    <col min="13322" max="13322" width="17.5703125" style="354" customWidth="1"/>
    <col min="13323" max="13568" width="10.28515625" style="354"/>
    <col min="13569" max="13569" width="3.28515625" style="354" customWidth="1"/>
    <col min="13570" max="13570" width="9.5703125" style="354" customWidth="1"/>
    <col min="13571" max="13571" width="13.85546875" style="354" customWidth="1"/>
    <col min="13572" max="13572" width="3.85546875" style="354" customWidth="1"/>
    <col min="13573" max="13575" width="8.28515625" style="354" customWidth="1"/>
    <col min="13576" max="13576" width="17.5703125" style="354" customWidth="1"/>
    <col min="13577" max="13577" width="13.140625" style="354" customWidth="1"/>
    <col min="13578" max="13578" width="17.5703125" style="354" customWidth="1"/>
    <col min="13579" max="13824" width="10.28515625" style="354"/>
    <col min="13825" max="13825" width="3.28515625" style="354" customWidth="1"/>
    <col min="13826" max="13826" width="9.5703125" style="354" customWidth="1"/>
    <col min="13827" max="13827" width="13.85546875" style="354" customWidth="1"/>
    <col min="13828" max="13828" width="3.85546875" style="354" customWidth="1"/>
    <col min="13829" max="13831" width="8.28515625" style="354" customWidth="1"/>
    <col min="13832" max="13832" width="17.5703125" style="354" customWidth="1"/>
    <col min="13833" max="13833" width="13.140625" style="354" customWidth="1"/>
    <col min="13834" max="13834" width="17.5703125" style="354" customWidth="1"/>
    <col min="13835" max="14080" width="10.28515625" style="354"/>
    <col min="14081" max="14081" width="3.28515625" style="354" customWidth="1"/>
    <col min="14082" max="14082" width="9.5703125" style="354" customWidth="1"/>
    <col min="14083" max="14083" width="13.85546875" style="354" customWidth="1"/>
    <col min="14084" max="14084" width="3.85546875" style="354" customWidth="1"/>
    <col min="14085" max="14087" width="8.28515625" style="354" customWidth="1"/>
    <col min="14088" max="14088" width="17.5703125" style="354" customWidth="1"/>
    <col min="14089" max="14089" width="13.140625" style="354" customWidth="1"/>
    <col min="14090" max="14090" width="17.5703125" style="354" customWidth="1"/>
    <col min="14091" max="14336" width="10.28515625" style="354"/>
    <col min="14337" max="14337" width="3.28515625" style="354" customWidth="1"/>
    <col min="14338" max="14338" width="9.5703125" style="354" customWidth="1"/>
    <col min="14339" max="14339" width="13.85546875" style="354" customWidth="1"/>
    <col min="14340" max="14340" width="3.85546875" style="354" customWidth="1"/>
    <col min="14341" max="14343" width="8.28515625" style="354" customWidth="1"/>
    <col min="14344" max="14344" width="17.5703125" style="354" customWidth="1"/>
    <col min="14345" max="14345" width="13.140625" style="354" customWidth="1"/>
    <col min="14346" max="14346" width="17.5703125" style="354" customWidth="1"/>
    <col min="14347" max="14592" width="10.28515625" style="354"/>
    <col min="14593" max="14593" width="3.28515625" style="354" customWidth="1"/>
    <col min="14594" max="14594" width="9.5703125" style="354" customWidth="1"/>
    <col min="14595" max="14595" width="13.85546875" style="354" customWidth="1"/>
    <col min="14596" max="14596" width="3.85546875" style="354" customWidth="1"/>
    <col min="14597" max="14599" width="8.28515625" style="354" customWidth="1"/>
    <col min="14600" max="14600" width="17.5703125" style="354" customWidth="1"/>
    <col min="14601" max="14601" width="13.140625" style="354" customWidth="1"/>
    <col min="14602" max="14602" width="17.5703125" style="354" customWidth="1"/>
    <col min="14603" max="14848" width="10.28515625" style="354"/>
    <col min="14849" max="14849" width="3.28515625" style="354" customWidth="1"/>
    <col min="14850" max="14850" width="9.5703125" style="354" customWidth="1"/>
    <col min="14851" max="14851" width="13.85546875" style="354" customWidth="1"/>
    <col min="14852" max="14852" width="3.85546875" style="354" customWidth="1"/>
    <col min="14853" max="14855" width="8.28515625" style="354" customWidth="1"/>
    <col min="14856" max="14856" width="17.5703125" style="354" customWidth="1"/>
    <col min="14857" max="14857" width="13.140625" style="354" customWidth="1"/>
    <col min="14858" max="14858" width="17.5703125" style="354" customWidth="1"/>
    <col min="14859" max="15104" width="10.28515625" style="354"/>
    <col min="15105" max="15105" width="3.28515625" style="354" customWidth="1"/>
    <col min="15106" max="15106" width="9.5703125" style="354" customWidth="1"/>
    <col min="15107" max="15107" width="13.85546875" style="354" customWidth="1"/>
    <col min="15108" max="15108" width="3.85546875" style="354" customWidth="1"/>
    <col min="15109" max="15111" width="8.28515625" style="354" customWidth="1"/>
    <col min="15112" max="15112" width="17.5703125" style="354" customWidth="1"/>
    <col min="15113" max="15113" width="13.140625" style="354" customWidth="1"/>
    <col min="15114" max="15114" width="17.5703125" style="354" customWidth="1"/>
    <col min="15115" max="15360" width="10.28515625" style="354"/>
    <col min="15361" max="15361" width="3.28515625" style="354" customWidth="1"/>
    <col min="15362" max="15362" width="9.5703125" style="354" customWidth="1"/>
    <col min="15363" max="15363" width="13.85546875" style="354" customWidth="1"/>
    <col min="15364" max="15364" width="3.85546875" style="354" customWidth="1"/>
    <col min="15365" max="15367" width="8.28515625" style="354" customWidth="1"/>
    <col min="15368" max="15368" width="17.5703125" style="354" customWidth="1"/>
    <col min="15369" max="15369" width="13.140625" style="354" customWidth="1"/>
    <col min="15370" max="15370" width="17.5703125" style="354" customWidth="1"/>
    <col min="15371" max="15616" width="10.28515625" style="354"/>
    <col min="15617" max="15617" width="3.28515625" style="354" customWidth="1"/>
    <col min="15618" max="15618" width="9.5703125" style="354" customWidth="1"/>
    <col min="15619" max="15619" width="13.85546875" style="354" customWidth="1"/>
    <col min="15620" max="15620" width="3.85546875" style="354" customWidth="1"/>
    <col min="15621" max="15623" width="8.28515625" style="354" customWidth="1"/>
    <col min="15624" max="15624" width="17.5703125" style="354" customWidth="1"/>
    <col min="15625" max="15625" width="13.140625" style="354" customWidth="1"/>
    <col min="15626" max="15626" width="17.5703125" style="354" customWidth="1"/>
    <col min="15627" max="15872" width="10.28515625" style="354"/>
    <col min="15873" max="15873" width="3.28515625" style="354" customWidth="1"/>
    <col min="15874" max="15874" width="9.5703125" style="354" customWidth="1"/>
    <col min="15875" max="15875" width="13.85546875" style="354" customWidth="1"/>
    <col min="15876" max="15876" width="3.85546875" style="354" customWidth="1"/>
    <col min="15877" max="15879" width="8.28515625" style="354" customWidth="1"/>
    <col min="15880" max="15880" width="17.5703125" style="354" customWidth="1"/>
    <col min="15881" max="15881" width="13.140625" style="354" customWidth="1"/>
    <col min="15882" max="15882" width="17.5703125" style="354" customWidth="1"/>
    <col min="15883" max="16128" width="10.28515625" style="354"/>
    <col min="16129" max="16129" width="3.28515625" style="354" customWidth="1"/>
    <col min="16130" max="16130" width="9.5703125" style="354" customWidth="1"/>
    <col min="16131" max="16131" width="13.85546875" style="354" customWidth="1"/>
    <col min="16132" max="16132" width="3.85546875" style="354" customWidth="1"/>
    <col min="16133" max="16135" width="8.28515625" style="354" customWidth="1"/>
    <col min="16136" max="16136" width="17.5703125" style="354" customWidth="1"/>
    <col min="16137" max="16137" width="13.140625" style="354" customWidth="1"/>
    <col min="16138" max="16138" width="17.5703125" style="354" customWidth="1"/>
    <col min="16139" max="16384" width="10.28515625" style="354"/>
  </cols>
  <sheetData>
    <row r="1" spans="1:9" ht="38.25" customHeight="1" x14ac:dyDescent="0.2">
      <c r="A1" s="2297" t="s">
        <v>7134</v>
      </c>
      <c r="B1" s="2297"/>
      <c r="C1" s="2297"/>
      <c r="D1" s="2298" t="s">
        <v>560</v>
      </c>
      <c r="E1" s="2298"/>
      <c r="F1" s="2298"/>
      <c r="G1" s="2298"/>
      <c r="H1" s="2298"/>
      <c r="I1" s="2298"/>
    </row>
    <row r="2" spans="1:9" x14ac:dyDescent="0.2">
      <c r="A2" s="1044"/>
      <c r="B2" s="1044"/>
      <c r="C2" s="1044"/>
      <c r="D2" s="1045"/>
      <c r="E2" s="1045"/>
      <c r="F2" s="1045"/>
      <c r="G2" s="1045"/>
      <c r="H2" s="1045"/>
      <c r="I2" s="1045"/>
    </row>
    <row r="3" spans="1:9" x14ac:dyDescent="0.2">
      <c r="A3" s="2299" t="s">
        <v>9541</v>
      </c>
      <c r="B3" s="2299"/>
      <c r="C3" s="2299"/>
      <c r="D3" s="2299"/>
      <c r="E3" s="2299"/>
      <c r="F3" s="2299"/>
      <c r="G3" s="2299"/>
      <c r="H3" s="2299"/>
      <c r="I3" s="2299"/>
    </row>
    <row r="4" spans="1:9" x14ac:dyDescent="0.2">
      <c r="A4" s="2239" t="s">
        <v>7135</v>
      </c>
      <c r="B4" s="2239"/>
      <c r="C4" s="2239"/>
      <c r="D4" s="2239"/>
      <c r="E4" s="2239"/>
      <c r="F4" s="2239"/>
      <c r="G4" s="2239"/>
      <c r="H4" s="2239"/>
      <c r="I4" s="2239"/>
    </row>
    <row r="5" spans="1:9" ht="3.75" customHeight="1" x14ac:dyDescent="0.2">
      <c r="D5" s="1044"/>
      <c r="E5" s="1044"/>
      <c r="F5" s="1044"/>
      <c r="G5" s="1044"/>
    </row>
    <row r="6" spans="1:9" ht="66" customHeight="1" x14ac:dyDescent="0.2">
      <c r="A6" s="2300" t="s">
        <v>5846</v>
      </c>
      <c r="B6" s="2300"/>
      <c r="C6" s="2300"/>
      <c r="D6" s="2301" t="s">
        <v>9542</v>
      </c>
      <c r="E6" s="2301"/>
      <c r="F6" s="2301"/>
      <c r="G6" s="2301"/>
      <c r="H6" s="2301"/>
      <c r="I6" s="2301"/>
    </row>
    <row r="7" spans="1:9" ht="3.95" customHeight="1" x14ac:dyDescent="0.2">
      <c r="A7" s="1047"/>
      <c r="B7" s="1047"/>
      <c r="C7" s="1047"/>
      <c r="D7" s="354"/>
      <c r="E7" s="354"/>
      <c r="F7" s="354"/>
      <c r="G7" s="354"/>
      <c r="H7" s="354"/>
      <c r="I7" s="354"/>
    </row>
    <row r="8" spans="1:9" ht="41.25" customHeight="1" x14ac:dyDescent="0.2">
      <c r="A8" s="2300" t="s">
        <v>5848</v>
      </c>
      <c r="B8" s="2300"/>
      <c r="C8" s="2300"/>
      <c r="D8" s="2300" t="s">
        <v>563</v>
      </c>
      <c r="E8" s="2300"/>
      <c r="F8" s="2300"/>
      <c r="G8" s="2300"/>
      <c r="H8" s="2300"/>
      <c r="I8" s="2300"/>
    </row>
    <row r="9" spans="1:9" ht="3.95" customHeight="1" x14ac:dyDescent="0.2">
      <c r="A9" s="354"/>
      <c r="B9" s="354"/>
      <c r="C9" s="354"/>
      <c r="D9" s="354"/>
      <c r="E9" s="354"/>
      <c r="F9" s="354"/>
      <c r="G9" s="354"/>
      <c r="H9" s="354"/>
      <c r="I9" s="354"/>
    </row>
    <row r="10" spans="1:9" ht="30" customHeight="1" x14ac:dyDescent="0.2">
      <c r="A10" s="2300" t="s">
        <v>5849</v>
      </c>
      <c r="B10" s="2300"/>
      <c r="C10" s="2300"/>
      <c r="D10" s="2300" t="s">
        <v>5654</v>
      </c>
      <c r="E10" s="2300"/>
      <c r="F10" s="2300"/>
      <c r="G10" s="2300"/>
      <c r="H10" s="2300"/>
      <c r="I10" s="2300"/>
    </row>
    <row r="11" spans="1:9" ht="3.75" customHeight="1" x14ac:dyDescent="0.2">
      <c r="A11" s="1047"/>
      <c r="B11" s="1047"/>
      <c r="C11" s="1047"/>
      <c r="D11" s="1048"/>
      <c r="E11" s="1048"/>
      <c r="F11" s="1048"/>
      <c r="G11" s="1048"/>
      <c r="H11" s="1047"/>
      <c r="I11" s="1047"/>
    </row>
    <row r="12" spans="1:9" ht="12.75" customHeight="1" x14ac:dyDescent="0.2">
      <c r="A12" s="2316" t="s">
        <v>9535</v>
      </c>
      <c r="B12" s="2316"/>
      <c r="C12" s="2316"/>
      <c r="D12" s="2316"/>
      <c r="E12" s="2316"/>
      <c r="F12" s="2316"/>
      <c r="G12" s="2316"/>
      <c r="H12" s="2316"/>
      <c r="I12" s="2316"/>
    </row>
    <row r="13" spans="1:9" ht="100.5" customHeight="1" x14ac:dyDescent="0.2">
      <c r="A13" s="1049" t="s">
        <v>287</v>
      </c>
      <c r="B13" s="2317" t="s">
        <v>5851</v>
      </c>
      <c r="C13" s="2318"/>
      <c r="D13" s="2317" t="s">
        <v>5852</v>
      </c>
      <c r="E13" s="2319"/>
      <c r="F13" s="2319"/>
      <c r="G13" s="2318"/>
      <c r="H13" s="1050" t="s">
        <v>5853</v>
      </c>
      <c r="I13" s="1049" t="s">
        <v>568</v>
      </c>
    </row>
    <row r="14" spans="1:9" x14ac:dyDescent="0.2">
      <c r="A14" s="1051" t="s">
        <v>185</v>
      </c>
      <c r="B14" s="2308">
        <v>2</v>
      </c>
      <c r="C14" s="2309"/>
      <c r="D14" s="2308">
        <v>3</v>
      </c>
      <c r="E14" s="2310"/>
      <c r="F14" s="2310"/>
      <c r="G14" s="2309"/>
      <c r="H14" s="1052">
        <v>4</v>
      </c>
      <c r="I14" s="1052">
        <v>5</v>
      </c>
    </row>
    <row r="15" spans="1:9" ht="132.6" customHeight="1" x14ac:dyDescent="0.2">
      <c r="A15" s="1053" t="s">
        <v>185</v>
      </c>
      <c r="B15" s="2311" t="s">
        <v>9543</v>
      </c>
      <c r="C15" s="2312"/>
      <c r="D15" s="2313" t="s">
        <v>9544</v>
      </c>
      <c r="E15" s="2314"/>
      <c r="F15" s="2314"/>
      <c r="G15" s="2315"/>
      <c r="H15" s="1054" t="s">
        <v>9545</v>
      </c>
      <c r="I15" s="1055">
        <f>ROUND(125800  * 1 * 0.5 * 0.35 * 1.122,0)</f>
        <v>24701</v>
      </c>
    </row>
    <row r="16" spans="1:9" ht="15.75" customHeight="1" x14ac:dyDescent="0.2">
      <c r="A16" s="1056" t="s">
        <v>143</v>
      </c>
      <c r="B16" s="2305"/>
      <c r="C16" s="2306"/>
      <c r="D16" s="2305" t="s">
        <v>572</v>
      </c>
      <c r="E16" s="2307"/>
      <c r="F16" s="2307"/>
      <c r="G16" s="2306"/>
      <c r="H16" s="1057"/>
      <c r="I16" s="1058"/>
    </row>
    <row r="17" spans="1:9" ht="25.5" customHeight="1" x14ac:dyDescent="0.2">
      <c r="A17" s="1056" t="s">
        <v>143</v>
      </c>
      <c r="B17" s="2302"/>
      <c r="C17" s="2303"/>
      <c r="D17" s="2302" t="s">
        <v>7321</v>
      </c>
      <c r="E17" s="2304"/>
      <c r="F17" s="2304"/>
      <c r="G17" s="2303"/>
      <c r="H17" s="1059"/>
      <c r="I17" s="1060"/>
    </row>
    <row r="18" spans="1:9" ht="25.5" customHeight="1" x14ac:dyDescent="0.2">
      <c r="A18" s="1056" t="s">
        <v>143</v>
      </c>
      <c r="B18" s="2302"/>
      <c r="C18" s="2303"/>
      <c r="D18" s="2302" t="s">
        <v>9546</v>
      </c>
      <c r="E18" s="2304"/>
      <c r="F18" s="2304"/>
      <c r="G18" s="2303"/>
      <c r="H18" s="1059"/>
      <c r="I18" s="1060"/>
    </row>
    <row r="19" spans="1:9" ht="89.25" customHeight="1" x14ac:dyDescent="0.2">
      <c r="A19" s="1056" t="s">
        <v>143</v>
      </c>
      <c r="B19" s="2302"/>
      <c r="C19" s="2303"/>
      <c r="D19" s="2302" t="s">
        <v>7203</v>
      </c>
      <c r="E19" s="2304"/>
      <c r="F19" s="2304"/>
      <c r="G19" s="2303"/>
      <c r="H19" s="1059"/>
      <c r="I19" s="1060"/>
    </row>
    <row r="20" spans="1:9" ht="105" customHeight="1" x14ac:dyDescent="0.2">
      <c r="A20" s="1056" t="s">
        <v>143</v>
      </c>
      <c r="B20" s="2305"/>
      <c r="C20" s="2306"/>
      <c r="D20" s="2305" t="s">
        <v>7392</v>
      </c>
      <c r="E20" s="2307"/>
      <c r="F20" s="2307"/>
      <c r="G20" s="2306"/>
      <c r="H20" s="1057"/>
      <c r="I20" s="1058"/>
    </row>
    <row r="21" spans="1:9" ht="12.75" customHeight="1" x14ac:dyDescent="0.2">
      <c r="A21" s="1056" t="s">
        <v>143</v>
      </c>
      <c r="B21" s="2302"/>
      <c r="C21" s="2303"/>
      <c r="D21" s="2302" t="s">
        <v>9547</v>
      </c>
      <c r="E21" s="2304"/>
      <c r="F21" s="2304"/>
      <c r="G21" s="2303"/>
      <c r="H21" s="1059"/>
      <c r="I21" s="1060"/>
    </row>
    <row r="22" spans="1:9" ht="25.5" customHeight="1" x14ac:dyDescent="0.2">
      <c r="A22" s="1056" t="s">
        <v>143</v>
      </c>
      <c r="B22" s="2302"/>
      <c r="C22" s="2303"/>
      <c r="D22" s="2302" t="s">
        <v>9548</v>
      </c>
      <c r="E22" s="2304"/>
      <c r="F22" s="2304"/>
      <c r="G22" s="2303"/>
      <c r="H22" s="1059"/>
      <c r="I22" s="1060"/>
    </row>
    <row r="23" spans="1:9" ht="12.75" customHeight="1" x14ac:dyDescent="0.2">
      <c r="A23" s="1056" t="s">
        <v>143</v>
      </c>
      <c r="B23" s="2302"/>
      <c r="C23" s="2303"/>
      <c r="D23" s="2302" t="s">
        <v>9549</v>
      </c>
      <c r="E23" s="2304"/>
      <c r="F23" s="2304"/>
      <c r="G23" s="2303"/>
      <c r="H23" s="1059"/>
      <c r="I23" s="1060"/>
    </row>
    <row r="24" spans="1:9" ht="25.5" customHeight="1" x14ac:dyDescent="0.2">
      <c r="A24" s="1056" t="s">
        <v>143</v>
      </c>
      <c r="B24" s="2302"/>
      <c r="C24" s="2303"/>
      <c r="D24" s="2302" t="s">
        <v>9550</v>
      </c>
      <c r="E24" s="2304"/>
      <c r="F24" s="2304"/>
      <c r="G24" s="2303"/>
      <c r="H24" s="1059"/>
      <c r="I24" s="1060"/>
    </row>
    <row r="25" spans="1:9" ht="12.75" customHeight="1" x14ac:dyDescent="0.2">
      <c r="A25" s="1056" t="s">
        <v>143</v>
      </c>
      <c r="B25" s="2302"/>
      <c r="C25" s="2303"/>
      <c r="D25" s="2302" t="s">
        <v>7397</v>
      </c>
      <c r="E25" s="2304"/>
      <c r="F25" s="2304"/>
      <c r="G25" s="2303"/>
      <c r="H25" s="1059"/>
      <c r="I25" s="1060"/>
    </row>
    <row r="26" spans="1:9" ht="25.5" customHeight="1" x14ac:dyDescent="0.2">
      <c r="A26" s="1056" t="s">
        <v>143</v>
      </c>
      <c r="B26" s="2302"/>
      <c r="C26" s="2303"/>
      <c r="D26" s="2302" t="s">
        <v>9551</v>
      </c>
      <c r="E26" s="2304"/>
      <c r="F26" s="2304"/>
      <c r="G26" s="2303"/>
      <c r="H26" s="1059"/>
      <c r="I26" s="1060"/>
    </row>
    <row r="27" spans="1:9" ht="25.5" customHeight="1" x14ac:dyDescent="0.2">
      <c r="A27" s="1056" t="s">
        <v>143</v>
      </c>
      <c r="B27" s="2302"/>
      <c r="C27" s="2303"/>
      <c r="D27" s="2302" t="s">
        <v>9552</v>
      </c>
      <c r="E27" s="2304"/>
      <c r="F27" s="2304"/>
      <c r="G27" s="2303"/>
      <c r="H27" s="1059"/>
      <c r="I27" s="1060"/>
    </row>
    <row r="28" spans="1:9" ht="25.5" customHeight="1" x14ac:dyDescent="0.2">
      <c r="A28" s="1056" t="s">
        <v>143</v>
      </c>
      <c r="B28" s="2302"/>
      <c r="C28" s="2303"/>
      <c r="D28" s="2302" t="s">
        <v>9553</v>
      </c>
      <c r="E28" s="2304"/>
      <c r="F28" s="2304"/>
      <c r="G28" s="2303"/>
      <c r="H28" s="1059"/>
      <c r="I28" s="1060"/>
    </row>
    <row r="29" spans="1:9" ht="25.5" customHeight="1" x14ac:dyDescent="0.2">
      <c r="A29" s="1056" t="s">
        <v>143</v>
      </c>
      <c r="B29" s="2302"/>
      <c r="C29" s="2303"/>
      <c r="D29" s="2302" t="s">
        <v>9554</v>
      </c>
      <c r="E29" s="2304"/>
      <c r="F29" s="2304"/>
      <c r="G29" s="2303"/>
      <c r="H29" s="1059"/>
      <c r="I29" s="1060"/>
    </row>
    <row r="30" spans="1:9" ht="25.5" customHeight="1" x14ac:dyDescent="0.2">
      <c r="A30" s="1056" t="s">
        <v>143</v>
      </c>
      <c r="B30" s="2302"/>
      <c r="C30" s="2303"/>
      <c r="D30" s="2302" t="s">
        <v>9555</v>
      </c>
      <c r="E30" s="2304"/>
      <c r="F30" s="2304"/>
      <c r="G30" s="2303"/>
      <c r="H30" s="1059"/>
      <c r="I30" s="1060"/>
    </row>
    <row r="31" spans="1:9" ht="25.5" customHeight="1" x14ac:dyDescent="0.2">
      <c r="A31" s="1056" t="s">
        <v>143</v>
      </c>
      <c r="B31" s="2302"/>
      <c r="C31" s="2303"/>
      <c r="D31" s="2302" t="s">
        <v>9556</v>
      </c>
      <c r="E31" s="2304"/>
      <c r="F31" s="2304"/>
      <c r="G31" s="2303"/>
      <c r="H31" s="1059"/>
      <c r="I31" s="1060"/>
    </row>
    <row r="32" spans="1:9" ht="25.5" customHeight="1" x14ac:dyDescent="0.2">
      <c r="A32" s="1056" t="s">
        <v>143</v>
      </c>
      <c r="B32" s="2302"/>
      <c r="C32" s="2303"/>
      <c r="D32" s="2302" t="s">
        <v>9557</v>
      </c>
      <c r="E32" s="2304"/>
      <c r="F32" s="2304"/>
      <c r="G32" s="2303"/>
      <c r="H32" s="1059"/>
      <c r="I32" s="1060"/>
    </row>
    <row r="33" spans="1:9" ht="12.75" customHeight="1" x14ac:dyDescent="0.2">
      <c r="A33" s="1056" t="s">
        <v>143</v>
      </c>
      <c r="B33" s="2302"/>
      <c r="C33" s="2303"/>
      <c r="D33" s="2302" t="s">
        <v>9558</v>
      </c>
      <c r="E33" s="2304"/>
      <c r="F33" s="2304"/>
      <c r="G33" s="2303"/>
      <c r="H33" s="1059"/>
      <c r="I33" s="1060"/>
    </row>
    <row r="34" spans="1:9" ht="25.5" customHeight="1" x14ac:dyDescent="0.2">
      <c r="A34" s="1056" t="s">
        <v>143</v>
      </c>
      <c r="B34" s="2302"/>
      <c r="C34" s="2303"/>
      <c r="D34" s="2302" t="s">
        <v>9559</v>
      </c>
      <c r="E34" s="2304"/>
      <c r="F34" s="2304"/>
      <c r="G34" s="2303"/>
      <c r="H34" s="1059"/>
      <c r="I34" s="1060"/>
    </row>
    <row r="35" spans="1:9" ht="25.5" customHeight="1" x14ac:dyDescent="0.2">
      <c r="A35" s="1056" t="s">
        <v>143</v>
      </c>
      <c r="B35" s="2302"/>
      <c r="C35" s="2303"/>
      <c r="D35" s="2302" t="s">
        <v>9560</v>
      </c>
      <c r="E35" s="2304"/>
      <c r="F35" s="2304"/>
      <c r="G35" s="2303"/>
      <c r="H35" s="1059"/>
      <c r="I35" s="1060"/>
    </row>
    <row r="36" spans="1:9" ht="25.5" customHeight="1" x14ac:dyDescent="0.2">
      <c r="A36" s="1056" t="s">
        <v>143</v>
      </c>
      <c r="B36" s="2302"/>
      <c r="C36" s="2303"/>
      <c r="D36" s="2302" t="s">
        <v>9561</v>
      </c>
      <c r="E36" s="2304"/>
      <c r="F36" s="2304"/>
      <c r="G36" s="2303"/>
      <c r="H36" s="1059"/>
      <c r="I36" s="1060"/>
    </row>
    <row r="37" spans="1:9" ht="38.25" customHeight="1" x14ac:dyDescent="0.2">
      <c r="A37" s="1056" t="s">
        <v>143</v>
      </c>
      <c r="B37" s="2302"/>
      <c r="C37" s="2303"/>
      <c r="D37" s="2302" t="s">
        <v>9562</v>
      </c>
      <c r="E37" s="2304"/>
      <c r="F37" s="2304"/>
      <c r="G37" s="2303"/>
      <c r="H37" s="1059"/>
      <c r="I37" s="1060"/>
    </row>
    <row r="38" spans="1:9" ht="12.75" customHeight="1" x14ac:dyDescent="0.2">
      <c r="A38" s="1061" t="s">
        <v>143</v>
      </c>
      <c r="B38" s="2320"/>
      <c r="C38" s="2321"/>
      <c r="D38" s="2320" t="s">
        <v>9563</v>
      </c>
      <c r="E38" s="2322"/>
      <c r="F38" s="2322"/>
      <c r="G38" s="2321"/>
      <c r="H38" s="1062"/>
      <c r="I38" s="1063"/>
    </row>
    <row r="39" spans="1:9" ht="107.25" customHeight="1" x14ac:dyDescent="0.2">
      <c r="A39" s="1053" t="s">
        <v>186</v>
      </c>
      <c r="B39" s="2311" t="s">
        <v>9564</v>
      </c>
      <c r="C39" s="2312"/>
      <c r="D39" s="2313" t="s">
        <v>9565</v>
      </c>
      <c r="E39" s="2314"/>
      <c r="F39" s="2314"/>
      <c r="G39" s="2315"/>
      <c r="H39" s="1054" t="s">
        <v>9566</v>
      </c>
      <c r="I39" s="1055">
        <f>ROUND(11960  * 2 * 0.4 * 1.14,0)</f>
        <v>10908</v>
      </c>
    </row>
    <row r="40" spans="1:9" ht="15.75" customHeight="1" x14ac:dyDescent="0.2">
      <c r="A40" s="1056" t="s">
        <v>143</v>
      </c>
      <c r="B40" s="2305"/>
      <c r="C40" s="2306"/>
      <c r="D40" s="2305" t="s">
        <v>572</v>
      </c>
      <c r="E40" s="2307"/>
      <c r="F40" s="2307"/>
      <c r="G40" s="2306"/>
      <c r="H40" s="1057"/>
      <c r="I40" s="1058"/>
    </row>
    <row r="41" spans="1:9" ht="25.5" customHeight="1" x14ac:dyDescent="0.2">
      <c r="A41" s="1056" t="s">
        <v>143</v>
      </c>
      <c r="B41" s="2302"/>
      <c r="C41" s="2303"/>
      <c r="D41" s="2302" t="s">
        <v>7138</v>
      </c>
      <c r="E41" s="2304"/>
      <c r="F41" s="2304"/>
      <c r="G41" s="2303"/>
      <c r="H41" s="1059"/>
      <c r="I41" s="1060"/>
    </row>
    <row r="42" spans="1:9" ht="89.25" customHeight="1" x14ac:dyDescent="0.2">
      <c r="A42" s="1056" t="s">
        <v>143</v>
      </c>
      <c r="B42" s="2302"/>
      <c r="C42" s="2303"/>
      <c r="D42" s="2302" t="s">
        <v>7586</v>
      </c>
      <c r="E42" s="2304"/>
      <c r="F42" s="2304"/>
      <c r="G42" s="2303"/>
      <c r="H42" s="1059"/>
      <c r="I42" s="1060"/>
    </row>
    <row r="43" spans="1:9" ht="92.25" customHeight="1" x14ac:dyDescent="0.2">
      <c r="A43" s="1056" t="s">
        <v>143</v>
      </c>
      <c r="B43" s="2305"/>
      <c r="C43" s="2306"/>
      <c r="D43" s="2305" t="s">
        <v>7360</v>
      </c>
      <c r="E43" s="2307"/>
      <c r="F43" s="2307"/>
      <c r="G43" s="2306"/>
      <c r="H43" s="1057"/>
      <c r="I43" s="1058"/>
    </row>
    <row r="44" spans="1:9" ht="12.75" customHeight="1" x14ac:dyDescent="0.2">
      <c r="A44" s="1056" t="s">
        <v>143</v>
      </c>
      <c r="B44" s="2302"/>
      <c r="C44" s="2303"/>
      <c r="D44" s="2302" t="s">
        <v>9567</v>
      </c>
      <c r="E44" s="2304"/>
      <c r="F44" s="2304"/>
      <c r="G44" s="2303"/>
      <c r="H44" s="1059"/>
      <c r="I44" s="1060"/>
    </row>
    <row r="45" spans="1:9" ht="12.75" customHeight="1" x14ac:dyDescent="0.2">
      <c r="A45" s="1056" t="s">
        <v>143</v>
      </c>
      <c r="B45" s="2302"/>
      <c r="C45" s="2303"/>
      <c r="D45" s="2302" t="s">
        <v>9568</v>
      </c>
      <c r="E45" s="2304"/>
      <c r="F45" s="2304"/>
      <c r="G45" s="2303"/>
      <c r="H45" s="1059"/>
      <c r="I45" s="1060"/>
    </row>
    <row r="46" spans="1:9" ht="25.5" customHeight="1" x14ac:dyDescent="0.2">
      <c r="A46" s="1056" t="s">
        <v>143</v>
      </c>
      <c r="B46" s="2302"/>
      <c r="C46" s="2303"/>
      <c r="D46" s="2302" t="s">
        <v>7325</v>
      </c>
      <c r="E46" s="2304"/>
      <c r="F46" s="2304"/>
      <c r="G46" s="2303"/>
      <c r="H46" s="1059"/>
      <c r="I46" s="1060"/>
    </row>
    <row r="47" spans="1:9" ht="25.5" customHeight="1" x14ac:dyDescent="0.2">
      <c r="A47" s="1056" t="s">
        <v>143</v>
      </c>
      <c r="B47" s="2302"/>
      <c r="C47" s="2303"/>
      <c r="D47" s="2323" t="s">
        <v>9569</v>
      </c>
      <c r="E47" s="2324"/>
      <c r="F47" s="2324"/>
      <c r="G47" s="2325"/>
      <c r="H47" s="1059"/>
      <c r="I47" s="1060"/>
    </row>
    <row r="48" spans="1:9" ht="25.5" customHeight="1" x14ac:dyDescent="0.2">
      <c r="A48" s="1056" t="s">
        <v>143</v>
      </c>
      <c r="B48" s="2302"/>
      <c r="C48" s="2303"/>
      <c r="D48" s="2323" t="s">
        <v>9570</v>
      </c>
      <c r="E48" s="2324"/>
      <c r="F48" s="2324"/>
      <c r="G48" s="2325"/>
      <c r="H48" s="1059"/>
      <c r="I48" s="1060"/>
    </row>
    <row r="49" spans="1:9" ht="25.5" customHeight="1" x14ac:dyDescent="0.2">
      <c r="A49" s="1056" t="s">
        <v>143</v>
      </c>
      <c r="B49" s="2302"/>
      <c r="C49" s="2303"/>
      <c r="D49" s="2323" t="s">
        <v>9571</v>
      </c>
      <c r="E49" s="2324"/>
      <c r="F49" s="2324"/>
      <c r="G49" s="2325"/>
      <c r="H49" s="1059"/>
      <c r="I49" s="1060"/>
    </row>
    <row r="50" spans="1:9" ht="25.5" customHeight="1" x14ac:dyDescent="0.2">
      <c r="A50" s="1056" t="s">
        <v>143</v>
      </c>
      <c r="B50" s="2302"/>
      <c r="C50" s="2303"/>
      <c r="D50" s="2323" t="s">
        <v>9572</v>
      </c>
      <c r="E50" s="2324"/>
      <c r="F50" s="2324"/>
      <c r="G50" s="2325"/>
      <c r="H50" s="1059"/>
      <c r="I50" s="1060"/>
    </row>
    <row r="51" spans="1:9" ht="25.5" customHeight="1" x14ac:dyDescent="0.2">
      <c r="A51" s="1056" t="s">
        <v>143</v>
      </c>
      <c r="B51" s="2302"/>
      <c r="C51" s="2303"/>
      <c r="D51" s="2302" t="s">
        <v>9573</v>
      </c>
      <c r="E51" s="2304"/>
      <c r="F51" s="2304"/>
      <c r="G51" s="2303"/>
      <c r="H51" s="1059"/>
      <c r="I51" s="1060"/>
    </row>
    <row r="52" spans="1:9" ht="25.5" customHeight="1" x14ac:dyDescent="0.2">
      <c r="A52" s="1056" t="s">
        <v>143</v>
      </c>
      <c r="B52" s="2302"/>
      <c r="C52" s="2303"/>
      <c r="D52" s="2323" t="s">
        <v>9574</v>
      </c>
      <c r="E52" s="2324"/>
      <c r="F52" s="2324"/>
      <c r="G52" s="2325"/>
      <c r="H52" s="1059"/>
      <c r="I52" s="1060"/>
    </row>
    <row r="53" spans="1:9" ht="25.5" customHeight="1" x14ac:dyDescent="0.2">
      <c r="A53" s="1056" t="s">
        <v>143</v>
      </c>
      <c r="B53" s="2302"/>
      <c r="C53" s="2303"/>
      <c r="D53" s="2323" t="s">
        <v>9575</v>
      </c>
      <c r="E53" s="2324"/>
      <c r="F53" s="2324"/>
      <c r="G53" s="2325"/>
      <c r="H53" s="1059"/>
      <c r="I53" s="1060"/>
    </row>
    <row r="54" spans="1:9" ht="25.5" customHeight="1" x14ac:dyDescent="0.2">
      <c r="A54" s="1056" t="s">
        <v>143</v>
      </c>
      <c r="B54" s="2302"/>
      <c r="C54" s="2303"/>
      <c r="D54" s="2302" t="s">
        <v>9576</v>
      </c>
      <c r="E54" s="2304"/>
      <c r="F54" s="2304"/>
      <c r="G54" s="2303"/>
      <c r="H54" s="1059"/>
      <c r="I54" s="1060"/>
    </row>
    <row r="55" spans="1:9" ht="12.75" customHeight="1" x14ac:dyDescent="0.2">
      <c r="A55" s="1056" t="s">
        <v>143</v>
      </c>
      <c r="B55" s="2302"/>
      <c r="C55" s="2303"/>
      <c r="D55" s="2302" t="s">
        <v>9577</v>
      </c>
      <c r="E55" s="2304"/>
      <c r="F55" s="2304"/>
      <c r="G55" s="2303"/>
      <c r="H55" s="1059"/>
      <c r="I55" s="1060"/>
    </row>
    <row r="56" spans="1:9" ht="25.5" customHeight="1" x14ac:dyDescent="0.2">
      <c r="A56" s="1056" t="s">
        <v>143</v>
      </c>
      <c r="B56" s="2302"/>
      <c r="C56" s="2303"/>
      <c r="D56" s="2302" t="s">
        <v>9578</v>
      </c>
      <c r="E56" s="2304"/>
      <c r="F56" s="2304"/>
      <c r="G56" s="2303"/>
      <c r="H56" s="1059"/>
      <c r="I56" s="1060"/>
    </row>
    <row r="57" spans="1:9" ht="25.5" customHeight="1" x14ac:dyDescent="0.2">
      <c r="A57" s="1056" t="s">
        <v>143</v>
      </c>
      <c r="B57" s="2302"/>
      <c r="C57" s="2303"/>
      <c r="D57" s="2302" t="s">
        <v>9579</v>
      </c>
      <c r="E57" s="2304"/>
      <c r="F57" s="2304"/>
      <c r="G57" s="2303"/>
      <c r="H57" s="1059"/>
      <c r="I57" s="1060"/>
    </row>
    <row r="58" spans="1:9" ht="25.5" customHeight="1" x14ac:dyDescent="0.2">
      <c r="A58" s="1056" t="s">
        <v>143</v>
      </c>
      <c r="B58" s="2302"/>
      <c r="C58" s="2303"/>
      <c r="D58" s="2302" t="s">
        <v>9580</v>
      </c>
      <c r="E58" s="2304"/>
      <c r="F58" s="2304"/>
      <c r="G58" s="2303"/>
      <c r="H58" s="1059"/>
      <c r="I58" s="1060"/>
    </row>
    <row r="59" spans="1:9" ht="16.350000000000001" customHeight="1" x14ac:dyDescent="0.2">
      <c r="A59" s="1061" t="s">
        <v>143</v>
      </c>
      <c r="B59" s="2320"/>
      <c r="C59" s="2321"/>
      <c r="D59" s="2320" t="s">
        <v>9581</v>
      </c>
      <c r="E59" s="2322"/>
      <c r="F59" s="2322"/>
      <c r="G59" s="2321"/>
      <c r="H59" s="1062"/>
      <c r="I59" s="1063"/>
    </row>
    <row r="60" spans="1:9" ht="17.100000000000001" customHeight="1" x14ac:dyDescent="0.2">
      <c r="A60" s="1064" t="s">
        <v>187</v>
      </c>
      <c r="B60" s="2348" t="s">
        <v>588</v>
      </c>
      <c r="C60" s="2386"/>
      <c r="D60" s="2348"/>
      <c r="E60" s="2387"/>
      <c r="F60" s="2387"/>
      <c r="G60" s="2386"/>
      <c r="H60" s="1065"/>
      <c r="I60" s="1066">
        <f>ROUND((SUM($I$15:$I$39)),0)</f>
        <v>35609</v>
      </c>
    </row>
    <row r="61" spans="1:9" ht="153" customHeight="1" x14ac:dyDescent="0.2">
      <c r="A61" s="1064" t="s">
        <v>188</v>
      </c>
      <c r="B61" s="2342" t="s">
        <v>7762</v>
      </c>
      <c r="C61" s="2388"/>
      <c r="D61" s="2342" t="s">
        <v>7763</v>
      </c>
      <c r="E61" s="2389"/>
      <c r="F61" s="2389"/>
      <c r="G61" s="2388"/>
      <c r="H61" s="1067" t="s">
        <v>9582</v>
      </c>
      <c r="I61" s="1068">
        <f>ROUND(($I$60) * 0.2 * 1,0)</f>
        <v>7122</v>
      </c>
    </row>
    <row r="62" spans="1:9" ht="76.7" customHeight="1" x14ac:dyDescent="0.2">
      <c r="A62" s="1064" t="s">
        <v>189</v>
      </c>
      <c r="B62" s="2342" t="s">
        <v>7764</v>
      </c>
      <c r="C62" s="2388"/>
      <c r="D62" s="2342" t="s">
        <v>9583</v>
      </c>
      <c r="E62" s="2389"/>
      <c r="F62" s="2389"/>
      <c r="G62" s="2388"/>
      <c r="H62" s="1067" t="s">
        <v>9584</v>
      </c>
      <c r="I62" s="1068">
        <f>ROUND(($I$60) * 0.04 * 1,0)</f>
        <v>1424</v>
      </c>
    </row>
    <row r="63" spans="1:9" ht="12.75" customHeight="1" x14ac:dyDescent="0.2">
      <c r="A63" s="1064" t="s">
        <v>190</v>
      </c>
      <c r="B63" s="2348" t="s">
        <v>592</v>
      </c>
      <c r="C63" s="2386"/>
      <c r="D63" s="2348"/>
      <c r="E63" s="2387"/>
      <c r="F63" s="2387"/>
      <c r="G63" s="2386"/>
      <c r="H63" s="1065" t="s">
        <v>9585</v>
      </c>
      <c r="I63" s="1066">
        <f>ROUND((SUM($I$60:$I$62)),0)</f>
        <v>44155</v>
      </c>
    </row>
    <row r="64" spans="1:9" ht="102.4" customHeight="1" x14ac:dyDescent="0.2">
      <c r="A64" s="1064" t="s">
        <v>143</v>
      </c>
      <c r="B64" s="2339" t="s">
        <v>9536</v>
      </c>
      <c r="C64" s="2391"/>
      <c r="D64" s="2392" t="s">
        <v>6388</v>
      </c>
      <c r="E64" s="2393"/>
      <c r="F64" s="2393"/>
      <c r="G64" s="2394"/>
      <c r="H64" s="1069" t="s">
        <v>9537</v>
      </c>
      <c r="I64" s="1070">
        <f>I63/1.19</f>
        <v>37105</v>
      </c>
    </row>
    <row r="65" spans="1:9" ht="57" customHeight="1" x14ac:dyDescent="0.2">
      <c r="A65" s="1071"/>
      <c r="B65" s="2342" t="s">
        <v>9538</v>
      </c>
      <c r="C65" s="2388"/>
      <c r="D65" s="2390" t="s">
        <v>5974</v>
      </c>
      <c r="E65" s="2390"/>
      <c r="F65" s="2390"/>
      <c r="G65" s="2390"/>
      <c r="H65" s="1069" t="s">
        <v>6389</v>
      </c>
      <c r="I65" s="1070">
        <f>I63*4.59</f>
        <v>202671</v>
      </c>
    </row>
    <row r="66" spans="1:9" s="1076" customFormat="1" ht="24.95" customHeight="1" x14ac:dyDescent="0.2">
      <c r="A66" s="2304"/>
      <c r="B66" s="2304"/>
      <c r="C66" s="2304"/>
      <c r="D66" s="2304"/>
      <c r="E66" s="2304"/>
      <c r="F66" s="2304"/>
      <c r="G66" s="2304"/>
      <c r="H66" s="2304"/>
      <c r="I66" s="2304"/>
    </row>
    <row r="67" spans="1:9" ht="12.75" customHeight="1" x14ac:dyDescent="0.2">
      <c r="A67" s="1077"/>
      <c r="B67" s="1077"/>
      <c r="C67" s="1077"/>
      <c r="D67" s="1078"/>
      <c r="E67" s="1077"/>
      <c r="F67" s="1077"/>
      <c r="G67" s="1077"/>
      <c r="H67" s="1077"/>
      <c r="I67" s="1077"/>
    </row>
    <row r="68" spans="1:9" x14ac:dyDescent="0.2">
      <c r="A68" s="2337" t="s">
        <v>149</v>
      </c>
      <c r="B68" s="2337"/>
      <c r="C68" s="2337"/>
      <c r="D68" s="2337"/>
      <c r="E68" s="2337"/>
      <c r="F68" s="2337"/>
      <c r="G68" s="2337"/>
      <c r="H68" s="2337"/>
      <c r="I68" s="2337"/>
    </row>
    <row r="69" spans="1:9" x14ac:dyDescent="0.2">
      <c r="A69" s="2337"/>
      <c r="B69" s="2337"/>
      <c r="C69" s="2337"/>
      <c r="D69" s="2337"/>
      <c r="E69" s="2337"/>
      <c r="F69" s="2337"/>
      <c r="G69" s="2337"/>
      <c r="H69" s="2337"/>
      <c r="I69" s="2337"/>
    </row>
    <row r="70" spans="1:9" s="1046" customFormat="1" ht="12.75" customHeight="1" x14ac:dyDescent="0.2">
      <c r="A70" s="2337" t="s">
        <v>7768</v>
      </c>
      <c r="B70" s="2337"/>
      <c r="C70" s="2337"/>
      <c r="D70" s="2337"/>
      <c r="E70" s="2337"/>
      <c r="F70" s="2337"/>
      <c r="G70" s="2337"/>
      <c r="H70" s="2337"/>
      <c r="I70" s="2337"/>
    </row>
    <row r="71" spans="1:9" s="1079" customFormat="1" ht="12.75" customHeight="1" x14ac:dyDescent="0.2">
      <c r="A71" s="2338"/>
      <c r="B71" s="2338"/>
      <c r="C71" s="2338"/>
      <c r="D71" s="2338"/>
      <c r="E71" s="2338"/>
      <c r="F71" s="2338"/>
      <c r="G71" s="2338"/>
      <c r="H71" s="2338"/>
      <c r="I71" s="2338"/>
    </row>
  </sheetData>
  <mergeCells count="123">
    <mergeCell ref="A70:I70"/>
    <mergeCell ref="A71:I71"/>
    <mergeCell ref="B65:C65"/>
    <mergeCell ref="D65:G65"/>
    <mergeCell ref="A66:C66"/>
    <mergeCell ref="D66:I66"/>
    <mergeCell ref="A68:I68"/>
    <mergeCell ref="A69:I69"/>
    <mergeCell ref="B62:C62"/>
    <mergeCell ref="D62:G62"/>
    <mergeCell ref="B63:C63"/>
    <mergeCell ref="D63:G63"/>
    <mergeCell ref="B64:C64"/>
    <mergeCell ref="D64:G64"/>
    <mergeCell ref="B59:C59"/>
    <mergeCell ref="D59:G59"/>
    <mergeCell ref="B60:C60"/>
    <mergeCell ref="D60:G60"/>
    <mergeCell ref="B61:C61"/>
    <mergeCell ref="D61:G61"/>
    <mergeCell ref="B56:C56"/>
    <mergeCell ref="D56:G56"/>
    <mergeCell ref="B57:C57"/>
    <mergeCell ref="D57:G57"/>
    <mergeCell ref="B58:C58"/>
    <mergeCell ref="D58:G58"/>
    <mergeCell ref="B53:C53"/>
    <mergeCell ref="D53:G53"/>
    <mergeCell ref="B54:C54"/>
    <mergeCell ref="D54:G54"/>
    <mergeCell ref="B55:C55"/>
    <mergeCell ref="D55:G55"/>
    <mergeCell ref="B50:C50"/>
    <mergeCell ref="D50:G50"/>
    <mergeCell ref="B51:C51"/>
    <mergeCell ref="D51:G51"/>
    <mergeCell ref="B52:C52"/>
    <mergeCell ref="D52:G52"/>
    <mergeCell ref="B47:C47"/>
    <mergeCell ref="D47:G47"/>
    <mergeCell ref="B48:C48"/>
    <mergeCell ref="D48:G48"/>
    <mergeCell ref="B49:C49"/>
    <mergeCell ref="D49:G49"/>
    <mergeCell ref="B44:C44"/>
    <mergeCell ref="D44:G44"/>
    <mergeCell ref="B45:C45"/>
    <mergeCell ref="D45:G45"/>
    <mergeCell ref="B46:C46"/>
    <mergeCell ref="D46:G46"/>
    <mergeCell ref="B41:C41"/>
    <mergeCell ref="D41:G41"/>
    <mergeCell ref="B42:C42"/>
    <mergeCell ref="D42:G42"/>
    <mergeCell ref="B43:C43"/>
    <mergeCell ref="D43:G43"/>
    <mergeCell ref="B38:C38"/>
    <mergeCell ref="D38:G38"/>
    <mergeCell ref="B39:C39"/>
    <mergeCell ref="D39:G39"/>
    <mergeCell ref="B40:C40"/>
    <mergeCell ref="D40:G40"/>
    <mergeCell ref="B35:C35"/>
    <mergeCell ref="D35:G35"/>
    <mergeCell ref="B36:C36"/>
    <mergeCell ref="D36:G36"/>
    <mergeCell ref="B37:C37"/>
    <mergeCell ref="D37:G37"/>
    <mergeCell ref="B32:C32"/>
    <mergeCell ref="D32:G32"/>
    <mergeCell ref="B33:C33"/>
    <mergeCell ref="D33:G33"/>
    <mergeCell ref="B34:C34"/>
    <mergeCell ref="D34:G34"/>
    <mergeCell ref="B29:C29"/>
    <mergeCell ref="D29:G29"/>
    <mergeCell ref="B30:C30"/>
    <mergeCell ref="D30:G30"/>
    <mergeCell ref="B31:C31"/>
    <mergeCell ref="D31:G31"/>
    <mergeCell ref="B26:C26"/>
    <mergeCell ref="D26:G26"/>
    <mergeCell ref="B27:C27"/>
    <mergeCell ref="D27:G27"/>
    <mergeCell ref="B28:C28"/>
    <mergeCell ref="D28:G28"/>
    <mergeCell ref="B23:C23"/>
    <mergeCell ref="D23:G23"/>
    <mergeCell ref="B24:C24"/>
    <mergeCell ref="D24:G24"/>
    <mergeCell ref="B25:C25"/>
    <mergeCell ref="D25:G25"/>
    <mergeCell ref="B20:C20"/>
    <mergeCell ref="D20:G20"/>
    <mergeCell ref="B21:C21"/>
    <mergeCell ref="D21:G21"/>
    <mergeCell ref="B22:C22"/>
    <mergeCell ref="D22:G22"/>
    <mergeCell ref="B17:C17"/>
    <mergeCell ref="D17:G17"/>
    <mergeCell ref="B18:C18"/>
    <mergeCell ref="D18:G18"/>
    <mergeCell ref="B19:C19"/>
    <mergeCell ref="D19:G19"/>
    <mergeCell ref="B14:C14"/>
    <mergeCell ref="D14:G14"/>
    <mergeCell ref="B15:C15"/>
    <mergeCell ref="D15:G15"/>
    <mergeCell ref="B16:C16"/>
    <mergeCell ref="D16:G16"/>
    <mergeCell ref="A8:C8"/>
    <mergeCell ref="D8:I8"/>
    <mergeCell ref="A10:C10"/>
    <mergeCell ref="D10:I10"/>
    <mergeCell ref="A12:I12"/>
    <mergeCell ref="B13:C13"/>
    <mergeCell ref="D13:G13"/>
    <mergeCell ref="A1:C1"/>
    <mergeCell ref="D1:I1"/>
    <mergeCell ref="A3:I3"/>
    <mergeCell ref="A4:I4"/>
    <mergeCell ref="A6:C6"/>
    <mergeCell ref="D6:I6"/>
  </mergeCells>
  <pageMargins left="0.39370078740157477" right="0.39370078740157477" top="0.74803149606299213" bottom="0.74803149606299213" header="0.31496062992125984" footer="0.31496062992125984"/>
  <pageSetup paperSize="9" orientation="portrait" useFirstPageNumber="1" horizontalDpi="300" verticalDpi="300" r:id="rId1"/>
  <headerFooter alignWithMargins="0">
    <oddFooter>&amp;CСтраница &amp;P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5"/>
  <dimension ref="A1:I61"/>
  <sheetViews>
    <sheetView topLeftCell="A50" workbookViewId="0">
      <selection sqref="A1:C1"/>
    </sheetView>
  </sheetViews>
  <sheetFormatPr defaultColWidth="10.28515625" defaultRowHeight="12.75" x14ac:dyDescent="0.2"/>
  <cols>
    <col min="1" max="1" width="3.28515625" style="1046" customWidth="1"/>
    <col min="2" max="2" width="9.5703125" style="1046" customWidth="1"/>
    <col min="3" max="3" width="13.85546875" style="1046" customWidth="1"/>
    <col min="4" max="4" width="3.85546875" style="1046" customWidth="1"/>
    <col min="5" max="7" width="8.28515625" style="1046" customWidth="1"/>
    <col min="8" max="8" width="17.5703125" style="1046" customWidth="1"/>
    <col min="9" max="9" width="13.140625" style="1046" customWidth="1"/>
    <col min="10" max="10" width="17.5703125" style="354" customWidth="1"/>
    <col min="11" max="256" width="10.28515625" style="354"/>
    <col min="257" max="257" width="3.28515625" style="354" customWidth="1"/>
    <col min="258" max="258" width="9.5703125" style="354" customWidth="1"/>
    <col min="259" max="259" width="13.85546875" style="354" customWidth="1"/>
    <col min="260" max="260" width="3.85546875" style="354" customWidth="1"/>
    <col min="261" max="263" width="8.28515625" style="354" customWidth="1"/>
    <col min="264" max="264" width="17.5703125" style="354" customWidth="1"/>
    <col min="265" max="265" width="13.140625" style="354" customWidth="1"/>
    <col min="266" max="266" width="17.5703125" style="354" customWidth="1"/>
    <col min="267" max="512" width="10.28515625" style="354"/>
    <col min="513" max="513" width="3.28515625" style="354" customWidth="1"/>
    <col min="514" max="514" width="9.5703125" style="354" customWidth="1"/>
    <col min="515" max="515" width="13.85546875" style="354" customWidth="1"/>
    <col min="516" max="516" width="3.85546875" style="354" customWidth="1"/>
    <col min="517" max="519" width="8.28515625" style="354" customWidth="1"/>
    <col min="520" max="520" width="17.5703125" style="354" customWidth="1"/>
    <col min="521" max="521" width="13.140625" style="354" customWidth="1"/>
    <col min="522" max="522" width="17.5703125" style="354" customWidth="1"/>
    <col min="523" max="768" width="10.28515625" style="354"/>
    <col min="769" max="769" width="3.28515625" style="354" customWidth="1"/>
    <col min="770" max="770" width="9.5703125" style="354" customWidth="1"/>
    <col min="771" max="771" width="13.85546875" style="354" customWidth="1"/>
    <col min="772" max="772" width="3.85546875" style="354" customWidth="1"/>
    <col min="773" max="775" width="8.28515625" style="354" customWidth="1"/>
    <col min="776" max="776" width="17.5703125" style="354" customWidth="1"/>
    <col min="777" max="777" width="13.140625" style="354" customWidth="1"/>
    <col min="778" max="778" width="17.5703125" style="354" customWidth="1"/>
    <col min="779" max="1024" width="10.28515625" style="354"/>
    <col min="1025" max="1025" width="3.28515625" style="354" customWidth="1"/>
    <col min="1026" max="1026" width="9.5703125" style="354" customWidth="1"/>
    <col min="1027" max="1027" width="13.85546875" style="354" customWidth="1"/>
    <col min="1028" max="1028" width="3.85546875" style="354" customWidth="1"/>
    <col min="1029" max="1031" width="8.28515625" style="354" customWidth="1"/>
    <col min="1032" max="1032" width="17.5703125" style="354" customWidth="1"/>
    <col min="1033" max="1033" width="13.140625" style="354" customWidth="1"/>
    <col min="1034" max="1034" width="17.5703125" style="354" customWidth="1"/>
    <col min="1035" max="1280" width="10.28515625" style="354"/>
    <col min="1281" max="1281" width="3.28515625" style="354" customWidth="1"/>
    <col min="1282" max="1282" width="9.5703125" style="354" customWidth="1"/>
    <col min="1283" max="1283" width="13.85546875" style="354" customWidth="1"/>
    <col min="1284" max="1284" width="3.85546875" style="354" customWidth="1"/>
    <col min="1285" max="1287" width="8.28515625" style="354" customWidth="1"/>
    <col min="1288" max="1288" width="17.5703125" style="354" customWidth="1"/>
    <col min="1289" max="1289" width="13.140625" style="354" customWidth="1"/>
    <col min="1290" max="1290" width="17.5703125" style="354" customWidth="1"/>
    <col min="1291" max="1536" width="10.28515625" style="354"/>
    <col min="1537" max="1537" width="3.28515625" style="354" customWidth="1"/>
    <col min="1538" max="1538" width="9.5703125" style="354" customWidth="1"/>
    <col min="1539" max="1539" width="13.85546875" style="354" customWidth="1"/>
    <col min="1540" max="1540" width="3.85546875" style="354" customWidth="1"/>
    <col min="1541" max="1543" width="8.28515625" style="354" customWidth="1"/>
    <col min="1544" max="1544" width="17.5703125" style="354" customWidth="1"/>
    <col min="1545" max="1545" width="13.140625" style="354" customWidth="1"/>
    <col min="1546" max="1546" width="17.5703125" style="354" customWidth="1"/>
    <col min="1547" max="1792" width="10.28515625" style="354"/>
    <col min="1793" max="1793" width="3.28515625" style="354" customWidth="1"/>
    <col min="1794" max="1794" width="9.5703125" style="354" customWidth="1"/>
    <col min="1795" max="1795" width="13.85546875" style="354" customWidth="1"/>
    <col min="1796" max="1796" width="3.85546875" style="354" customWidth="1"/>
    <col min="1797" max="1799" width="8.28515625" style="354" customWidth="1"/>
    <col min="1800" max="1800" width="17.5703125" style="354" customWidth="1"/>
    <col min="1801" max="1801" width="13.140625" style="354" customWidth="1"/>
    <col min="1802" max="1802" width="17.5703125" style="354" customWidth="1"/>
    <col min="1803" max="2048" width="10.28515625" style="354"/>
    <col min="2049" max="2049" width="3.28515625" style="354" customWidth="1"/>
    <col min="2050" max="2050" width="9.5703125" style="354" customWidth="1"/>
    <col min="2051" max="2051" width="13.85546875" style="354" customWidth="1"/>
    <col min="2052" max="2052" width="3.85546875" style="354" customWidth="1"/>
    <col min="2053" max="2055" width="8.28515625" style="354" customWidth="1"/>
    <col min="2056" max="2056" width="17.5703125" style="354" customWidth="1"/>
    <col min="2057" max="2057" width="13.140625" style="354" customWidth="1"/>
    <col min="2058" max="2058" width="17.5703125" style="354" customWidth="1"/>
    <col min="2059" max="2304" width="10.28515625" style="354"/>
    <col min="2305" max="2305" width="3.28515625" style="354" customWidth="1"/>
    <col min="2306" max="2306" width="9.5703125" style="354" customWidth="1"/>
    <col min="2307" max="2307" width="13.85546875" style="354" customWidth="1"/>
    <col min="2308" max="2308" width="3.85546875" style="354" customWidth="1"/>
    <col min="2309" max="2311" width="8.28515625" style="354" customWidth="1"/>
    <col min="2312" max="2312" width="17.5703125" style="354" customWidth="1"/>
    <col min="2313" max="2313" width="13.140625" style="354" customWidth="1"/>
    <col min="2314" max="2314" width="17.5703125" style="354" customWidth="1"/>
    <col min="2315" max="2560" width="10.28515625" style="354"/>
    <col min="2561" max="2561" width="3.28515625" style="354" customWidth="1"/>
    <col min="2562" max="2562" width="9.5703125" style="354" customWidth="1"/>
    <col min="2563" max="2563" width="13.85546875" style="354" customWidth="1"/>
    <col min="2564" max="2564" width="3.85546875" style="354" customWidth="1"/>
    <col min="2565" max="2567" width="8.28515625" style="354" customWidth="1"/>
    <col min="2568" max="2568" width="17.5703125" style="354" customWidth="1"/>
    <col min="2569" max="2569" width="13.140625" style="354" customWidth="1"/>
    <col min="2570" max="2570" width="17.5703125" style="354" customWidth="1"/>
    <col min="2571" max="2816" width="10.28515625" style="354"/>
    <col min="2817" max="2817" width="3.28515625" style="354" customWidth="1"/>
    <col min="2818" max="2818" width="9.5703125" style="354" customWidth="1"/>
    <col min="2819" max="2819" width="13.85546875" style="354" customWidth="1"/>
    <col min="2820" max="2820" width="3.85546875" style="354" customWidth="1"/>
    <col min="2821" max="2823" width="8.28515625" style="354" customWidth="1"/>
    <col min="2824" max="2824" width="17.5703125" style="354" customWidth="1"/>
    <col min="2825" max="2825" width="13.140625" style="354" customWidth="1"/>
    <col min="2826" max="2826" width="17.5703125" style="354" customWidth="1"/>
    <col min="2827" max="3072" width="10.28515625" style="354"/>
    <col min="3073" max="3073" width="3.28515625" style="354" customWidth="1"/>
    <col min="3074" max="3074" width="9.5703125" style="354" customWidth="1"/>
    <col min="3075" max="3075" width="13.85546875" style="354" customWidth="1"/>
    <col min="3076" max="3076" width="3.85546875" style="354" customWidth="1"/>
    <col min="3077" max="3079" width="8.28515625" style="354" customWidth="1"/>
    <col min="3080" max="3080" width="17.5703125" style="354" customWidth="1"/>
    <col min="3081" max="3081" width="13.140625" style="354" customWidth="1"/>
    <col min="3082" max="3082" width="17.5703125" style="354" customWidth="1"/>
    <col min="3083" max="3328" width="10.28515625" style="354"/>
    <col min="3329" max="3329" width="3.28515625" style="354" customWidth="1"/>
    <col min="3330" max="3330" width="9.5703125" style="354" customWidth="1"/>
    <col min="3331" max="3331" width="13.85546875" style="354" customWidth="1"/>
    <col min="3332" max="3332" width="3.85546875" style="354" customWidth="1"/>
    <col min="3333" max="3335" width="8.28515625" style="354" customWidth="1"/>
    <col min="3336" max="3336" width="17.5703125" style="354" customWidth="1"/>
    <col min="3337" max="3337" width="13.140625" style="354" customWidth="1"/>
    <col min="3338" max="3338" width="17.5703125" style="354" customWidth="1"/>
    <col min="3339" max="3584" width="10.28515625" style="354"/>
    <col min="3585" max="3585" width="3.28515625" style="354" customWidth="1"/>
    <col min="3586" max="3586" width="9.5703125" style="354" customWidth="1"/>
    <col min="3587" max="3587" width="13.85546875" style="354" customWidth="1"/>
    <col min="3588" max="3588" width="3.85546875" style="354" customWidth="1"/>
    <col min="3589" max="3591" width="8.28515625" style="354" customWidth="1"/>
    <col min="3592" max="3592" width="17.5703125" style="354" customWidth="1"/>
    <col min="3593" max="3593" width="13.140625" style="354" customWidth="1"/>
    <col min="3594" max="3594" width="17.5703125" style="354" customWidth="1"/>
    <col min="3595" max="3840" width="10.28515625" style="354"/>
    <col min="3841" max="3841" width="3.28515625" style="354" customWidth="1"/>
    <col min="3842" max="3842" width="9.5703125" style="354" customWidth="1"/>
    <col min="3843" max="3843" width="13.85546875" style="354" customWidth="1"/>
    <col min="3844" max="3844" width="3.85546875" style="354" customWidth="1"/>
    <col min="3845" max="3847" width="8.28515625" style="354" customWidth="1"/>
    <col min="3848" max="3848" width="17.5703125" style="354" customWidth="1"/>
    <col min="3849" max="3849" width="13.140625" style="354" customWidth="1"/>
    <col min="3850" max="3850" width="17.5703125" style="354" customWidth="1"/>
    <col min="3851" max="4096" width="10.28515625" style="354"/>
    <col min="4097" max="4097" width="3.28515625" style="354" customWidth="1"/>
    <col min="4098" max="4098" width="9.5703125" style="354" customWidth="1"/>
    <col min="4099" max="4099" width="13.85546875" style="354" customWidth="1"/>
    <col min="4100" max="4100" width="3.85546875" style="354" customWidth="1"/>
    <col min="4101" max="4103" width="8.28515625" style="354" customWidth="1"/>
    <col min="4104" max="4104" width="17.5703125" style="354" customWidth="1"/>
    <col min="4105" max="4105" width="13.140625" style="354" customWidth="1"/>
    <col min="4106" max="4106" width="17.5703125" style="354" customWidth="1"/>
    <col min="4107" max="4352" width="10.28515625" style="354"/>
    <col min="4353" max="4353" width="3.28515625" style="354" customWidth="1"/>
    <col min="4354" max="4354" width="9.5703125" style="354" customWidth="1"/>
    <col min="4355" max="4355" width="13.85546875" style="354" customWidth="1"/>
    <col min="4356" max="4356" width="3.85546875" style="354" customWidth="1"/>
    <col min="4357" max="4359" width="8.28515625" style="354" customWidth="1"/>
    <col min="4360" max="4360" width="17.5703125" style="354" customWidth="1"/>
    <col min="4361" max="4361" width="13.140625" style="354" customWidth="1"/>
    <col min="4362" max="4362" width="17.5703125" style="354" customWidth="1"/>
    <col min="4363" max="4608" width="10.28515625" style="354"/>
    <col min="4609" max="4609" width="3.28515625" style="354" customWidth="1"/>
    <col min="4610" max="4610" width="9.5703125" style="354" customWidth="1"/>
    <col min="4611" max="4611" width="13.85546875" style="354" customWidth="1"/>
    <col min="4612" max="4612" width="3.85546875" style="354" customWidth="1"/>
    <col min="4613" max="4615" width="8.28515625" style="354" customWidth="1"/>
    <col min="4616" max="4616" width="17.5703125" style="354" customWidth="1"/>
    <col min="4617" max="4617" width="13.140625" style="354" customWidth="1"/>
    <col min="4618" max="4618" width="17.5703125" style="354" customWidth="1"/>
    <col min="4619" max="4864" width="10.28515625" style="354"/>
    <col min="4865" max="4865" width="3.28515625" style="354" customWidth="1"/>
    <col min="4866" max="4866" width="9.5703125" style="354" customWidth="1"/>
    <col min="4867" max="4867" width="13.85546875" style="354" customWidth="1"/>
    <col min="4868" max="4868" width="3.85546875" style="354" customWidth="1"/>
    <col min="4869" max="4871" width="8.28515625" style="354" customWidth="1"/>
    <col min="4872" max="4872" width="17.5703125" style="354" customWidth="1"/>
    <col min="4873" max="4873" width="13.140625" style="354" customWidth="1"/>
    <col min="4874" max="4874" width="17.5703125" style="354" customWidth="1"/>
    <col min="4875" max="5120" width="10.28515625" style="354"/>
    <col min="5121" max="5121" width="3.28515625" style="354" customWidth="1"/>
    <col min="5122" max="5122" width="9.5703125" style="354" customWidth="1"/>
    <col min="5123" max="5123" width="13.85546875" style="354" customWidth="1"/>
    <col min="5124" max="5124" width="3.85546875" style="354" customWidth="1"/>
    <col min="5125" max="5127" width="8.28515625" style="354" customWidth="1"/>
    <col min="5128" max="5128" width="17.5703125" style="354" customWidth="1"/>
    <col min="5129" max="5129" width="13.140625" style="354" customWidth="1"/>
    <col min="5130" max="5130" width="17.5703125" style="354" customWidth="1"/>
    <col min="5131" max="5376" width="10.28515625" style="354"/>
    <col min="5377" max="5377" width="3.28515625" style="354" customWidth="1"/>
    <col min="5378" max="5378" width="9.5703125" style="354" customWidth="1"/>
    <col min="5379" max="5379" width="13.85546875" style="354" customWidth="1"/>
    <col min="5380" max="5380" width="3.85546875" style="354" customWidth="1"/>
    <col min="5381" max="5383" width="8.28515625" style="354" customWidth="1"/>
    <col min="5384" max="5384" width="17.5703125" style="354" customWidth="1"/>
    <col min="5385" max="5385" width="13.140625" style="354" customWidth="1"/>
    <col min="5386" max="5386" width="17.5703125" style="354" customWidth="1"/>
    <col min="5387" max="5632" width="10.28515625" style="354"/>
    <col min="5633" max="5633" width="3.28515625" style="354" customWidth="1"/>
    <col min="5634" max="5634" width="9.5703125" style="354" customWidth="1"/>
    <col min="5635" max="5635" width="13.85546875" style="354" customWidth="1"/>
    <col min="5636" max="5636" width="3.85546875" style="354" customWidth="1"/>
    <col min="5637" max="5639" width="8.28515625" style="354" customWidth="1"/>
    <col min="5640" max="5640" width="17.5703125" style="354" customWidth="1"/>
    <col min="5641" max="5641" width="13.140625" style="354" customWidth="1"/>
    <col min="5642" max="5642" width="17.5703125" style="354" customWidth="1"/>
    <col min="5643" max="5888" width="10.28515625" style="354"/>
    <col min="5889" max="5889" width="3.28515625" style="354" customWidth="1"/>
    <col min="5890" max="5890" width="9.5703125" style="354" customWidth="1"/>
    <col min="5891" max="5891" width="13.85546875" style="354" customWidth="1"/>
    <col min="5892" max="5892" width="3.85546875" style="354" customWidth="1"/>
    <col min="5893" max="5895" width="8.28515625" style="354" customWidth="1"/>
    <col min="5896" max="5896" width="17.5703125" style="354" customWidth="1"/>
    <col min="5897" max="5897" width="13.140625" style="354" customWidth="1"/>
    <col min="5898" max="5898" width="17.5703125" style="354" customWidth="1"/>
    <col min="5899" max="6144" width="10.28515625" style="354"/>
    <col min="6145" max="6145" width="3.28515625" style="354" customWidth="1"/>
    <col min="6146" max="6146" width="9.5703125" style="354" customWidth="1"/>
    <col min="6147" max="6147" width="13.85546875" style="354" customWidth="1"/>
    <col min="6148" max="6148" width="3.85546875" style="354" customWidth="1"/>
    <col min="6149" max="6151" width="8.28515625" style="354" customWidth="1"/>
    <col min="6152" max="6152" width="17.5703125" style="354" customWidth="1"/>
    <col min="6153" max="6153" width="13.140625" style="354" customWidth="1"/>
    <col min="6154" max="6154" width="17.5703125" style="354" customWidth="1"/>
    <col min="6155" max="6400" width="10.28515625" style="354"/>
    <col min="6401" max="6401" width="3.28515625" style="354" customWidth="1"/>
    <col min="6402" max="6402" width="9.5703125" style="354" customWidth="1"/>
    <col min="6403" max="6403" width="13.85546875" style="354" customWidth="1"/>
    <col min="6404" max="6404" width="3.85546875" style="354" customWidth="1"/>
    <col min="6405" max="6407" width="8.28515625" style="354" customWidth="1"/>
    <col min="6408" max="6408" width="17.5703125" style="354" customWidth="1"/>
    <col min="6409" max="6409" width="13.140625" style="354" customWidth="1"/>
    <col min="6410" max="6410" width="17.5703125" style="354" customWidth="1"/>
    <col min="6411" max="6656" width="10.28515625" style="354"/>
    <col min="6657" max="6657" width="3.28515625" style="354" customWidth="1"/>
    <col min="6658" max="6658" width="9.5703125" style="354" customWidth="1"/>
    <col min="6659" max="6659" width="13.85546875" style="354" customWidth="1"/>
    <col min="6660" max="6660" width="3.85546875" style="354" customWidth="1"/>
    <col min="6661" max="6663" width="8.28515625" style="354" customWidth="1"/>
    <col min="6664" max="6664" width="17.5703125" style="354" customWidth="1"/>
    <col min="6665" max="6665" width="13.140625" style="354" customWidth="1"/>
    <col min="6666" max="6666" width="17.5703125" style="354" customWidth="1"/>
    <col min="6667" max="6912" width="10.28515625" style="354"/>
    <col min="6913" max="6913" width="3.28515625" style="354" customWidth="1"/>
    <col min="6914" max="6914" width="9.5703125" style="354" customWidth="1"/>
    <col min="6915" max="6915" width="13.85546875" style="354" customWidth="1"/>
    <col min="6916" max="6916" width="3.85546875" style="354" customWidth="1"/>
    <col min="6917" max="6919" width="8.28515625" style="354" customWidth="1"/>
    <col min="6920" max="6920" width="17.5703125" style="354" customWidth="1"/>
    <col min="6921" max="6921" width="13.140625" style="354" customWidth="1"/>
    <col min="6922" max="6922" width="17.5703125" style="354" customWidth="1"/>
    <col min="6923" max="7168" width="10.28515625" style="354"/>
    <col min="7169" max="7169" width="3.28515625" style="354" customWidth="1"/>
    <col min="7170" max="7170" width="9.5703125" style="354" customWidth="1"/>
    <col min="7171" max="7171" width="13.85546875" style="354" customWidth="1"/>
    <col min="7172" max="7172" width="3.85546875" style="354" customWidth="1"/>
    <col min="7173" max="7175" width="8.28515625" style="354" customWidth="1"/>
    <col min="7176" max="7176" width="17.5703125" style="354" customWidth="1"/>
    <col min="7177" max="7177" width="13.140625" style="354" customWidth="1"/>
    <col min="7178" max="7178" width="17.5703125" style="354" customWidth="1"/>
    <col min="7179" max="7424" width="10.28515625" style="354"/>
    <col min="7425" max="7425" width="3.28515625" style="354" customWidth="1"/>
    <col min="7426" max="7426" width="9.5703125" style="354" customWidth="1"/>
    <col min="7427" max="7427" width="13.85546875" style="354" customWidth="1"/>
    <col min="7428" max="7428" width="3.85546875" style="354" customWidth="1"/>
    <col min="7429" max="7431" width="8.28515625" style="354" customWidth="1"/>
    <col min="7432" max="7432" width="17.5703125" style="354" customWidth="1"/>
    <col min="7433" max="7433" width="13.140625" style="354" customWidth="1"/>
    <col min="7434" max="7434" width="17.5703125" style="354" customWidth="1"/>
    <col min="7435" max="7680" width="10.28515625" style="354"/>
    <col min="7681" max="7681" width="3.28515625" style="354" customWidth="1"/>
    <col min="7682" max="7682" width="9.5703125" style="354" customWidth="1"/>
    <col min="7683" max="7683" width="13.85546875" style="354" customWidth="1"/>
    <col min="7684" max="7684" width="3.85546875" style="354" customWidth="1"/>
    <col min="7685" max="7687" width="8.28515625" style="354" customWidth="1"/>
    <col min="7688" max="7688" width="17.5703125" style="354" customWidth="1"/>
    <col min="7689" max="7689" width="13.140625" style="354" customWidth="1"/>
    <col min="7690" max="7690" width="17.5703125" style="354" customWidth="1"/>
    <col min="7691" max="7936" width="10.28515625" style="354"/>
    <col min="7937" max="7937" width="3.28515625" style="354" customWidth="1"/>
    <col min="7938" max="7938" width="9.5703125" style="354" customWidth="1"/>
    <col min="7939" max="7939" width="13.85546875" style="354" customWidth="1"/>
    <col min="7940" max="7940" width="3.85546875" style="354" customWidth="1"/>
    <col min="7941" max="7943" width="8.28515625" style="354" customWidth="1"/>
    <col min="7944" max="7944" width="17.5703125" style="354" customWidth="1"/>
    <col min="7945" max="7945" width="13.140625" style="354" customWidth="1"/>
    <col min="7946" max="7946" width="17.5703125" style="354" customWidth="1"/>
    <col min="7947" max="8192" width="10.28515625" style="354"/>
    <col min="8193" max="8193" width="3.28515625" style="354" customWidth="1"/>
    <col min="8194" max="8194" width="9.5703125" style="354" customWidth="1"/>
    <col min="8195" max="8195" width="13.85546875" style="354" customWidth="1"/>
    <col min="8196" max="8196" width="3.85546875" style="354" customWidth="1"/>
    <col min="8197" max="8199" width="8.28515625" style="354" customWidth="1"/>
    <col min="8200" max="8200" width="17.5703125" style="354" customWidth="1"/>
    <col min="8201" max="8201" width="13.140625" style="354" customWidth="1"/>
    <col min="8202" max="8202" width="17.5703125" style="354" customWidth="1"/>
    <col min="8203" max="8448" width="10.28515625" style="354"/>
    <col min="8449" max="8449" width="3.28515625" style="354" customWidth="1"/>
    <col min="8450" max="8450" width="9.5703125" style="354" customWidth="1"/>
    <col min="8451" max="8451" width="13.85546875" style="354" customWidth="1"/>
    <col min="8452" max="8452" width="3.85546875" style="354" customWidth="1"/>
    <col min="8453" max="8455" width="8.28515625" style="354" customWidth="1"/>
    <col min="8456" max="8456" width="17.5703125" style="354" customWidth="1"/>
    <col min="8457" max="8457" width="13.140625" style="354" customWidth="1"/>
    <col min="8458" max="8458" width="17.5703125" style="354" customWidth="1"/>
    <col min="8459" max="8704" width="10.28515625" style="354"/>
    <col min="8705" max="8705" width="3.28515625" style="354" customWidth="1"/>
    <col min="8706" max="8706" width="9.5703125" style="354" customWidth="1"/>
    <col min="8707" max="8707" width="13.85546875" style="354" customWidth="1"/>
    <col min="8708" max="8708" width="3.85546875" style="354" customWidth="1"/>
    <col min="8709" max="8711" width="8.28515625" style="354" customWidth="1"/>
    <col min="8712" max="8712" width="17.5703125" style="354" customWidth="1"/>
    <col min="8713" max="8713" width="13.140625" style="354" customWidth="1"/>
    <col min="8714" max="8714" width="17.5703125" style="354" customWidth="1"/>
    <col min="8715" max="8960" width="10.28515625" style="354"/>
    <col min="8961" max="8961" width="3.28515625" style="354" customWidth="1"/>
    <col min="8962" max="8962" width="9.5703125" style="354" customWidth="1"/>
    <col min="8963" max="8963" width="13.85546875" style="354" customWidth="1"/>
    <col min="8964" max="8964" width="3.85546875" style="354" customWidth="1"/>
    <col min="8965" max="8967" width="8.28515625" style="354" customWidth="1"/>
    <col min="8968" max="8968" width="17.5703125" style="354" customWidth="1"/>
    <col min="8969" max="8969" width="13.140625" style="354" customWidth="1"/>
    <col min="8970" max="8970" width="17.5703125" style="354" customWidth="1"/>
    <col min="8971" max="9216" width="10.28515625" style="354"/>
    <col min="9217" max="9217" width="3.28515625" style="354" customWidth="1"/>
    <col min="9218" max="9218" width="9.5703125" style="354" customWidth="1"/>
    <col min="9219" max="9219" width="13.85546875" style="354" customWidth="1"/>
    <col min="9220" max="9220" width="3.85546875" style="354" customWidth="1"/>
    <col min="9221" max="9223" width="8.28515625" style="354" customWidth="1"/>
    <col min="9224" max="9224" width="17.5703125" style="354" customWidth="1"/>
    <col min="9225" max="9225" width="13.140625" style="354" customWidth="1"/>
    <col min="9226" max="9226" width="17.5703125" style="354" customWidth="1"/>
    <col min="9227" max="9472" width="10.28515625" style="354"/>
    <col min="9473" max="9473" width="3.28515625" style="354" customWidth="1"/>
    <col min="9474" max="9474" width="9.5703125" style="354" customWidth="1"/>
    <col min="9475" max="9475" width="13.85546875" style="354" customWidth="1"/>
    <col min="9476" max="9476" width="3.85546875" style="354" customWidth="1"/>
    <col min="9477" max="9479" width="8.28515625" style="354" customWidth="1"/>
    <col min="9480" max="9480" width="17.5703125" style="354" customWidth="1"/>
    <col min="9481" max="9481" width="13.140625" style="354" customWidth="1"/>
    <col min="9482" max="9482" width="17.5703125" style="354" customWidth="1"/>
    <col min="9483" max="9728" width="10.28515625" style="354"/>
    <col min="9729" max="9729" width="3.28515625" style="354" customWidth="1"/>
    <col min="9730" max="9730" width="9.5703125" style="354" customWidth="1"/>
    <col min="9731" max="9731" width="13.85546875" style="354" customWidth="1"/>
    <col min="9732" max="9732" width="3.85546875" style="354" customWidth="1"/>
    <col min="9733" max="9735" width="8.28515625" style="354" customWidth="1"/>
    <col min="9736" max="9736" width="17.5703125" style="354" customWidth="1"/>
    <col min="9737" max="9737" width="13.140625" style="354" customWidth="1"/>
    <col min="9738" max="9738" width="17.5703125" style="354" customWidth="1"/>
    <col min="9739" max="9984" width="10.28515625" style="354"/>
    <col min="9985" max="9985" width="3.28515625" style="354" customWidth="1"/>
    <col min="9986" max="9986" width="9.5703125" style="354" customWidth="1"/>
    <col min="9987" max="9987" width="13.85546875" style="354" customWidth="1"/>
    <col min="9988" max="9988" width="3.85546875" style="354" customWidth="1"/>
    <col min="9989" max="9991" width="8.28515625" style="354" customWidth="1"/>
    <col min="9992" max="9992" width="17.5703125" style="354" customWidth="1"/>
    <col min="9993" max="9993" width="13.140625" style="354" customWidth="1"/>
    <col min="9994" max="9994" width="17.5703125" style="354" customWidth="1"/>
    <col min="9995" max="10240" width="10.28515625" style="354"/>
    <col min="10241" max="10241" width="3.28515625" style="354" customWidth="1"/>
    <col min="10242" max="10242" width="9.5703125" style="354" customWidth="1"/>
    <col min="10243" max="10243" width="13.85546875" style="354" customWidth="1"/>
    <col min="10244" max="10244" width="3.85546875" style="354" customWidth="1"/>
    <col min="10245" max="10247" width="8.28515625" style="354" customWidth="1"/>
    <col min="10248" max="10248" width="17.5703125" style="354" customWidth="1"/>
    <col min="10249" max="10249" width="13.140625" style="354" customWidth="1"/>
    <col min="10250" max="10250" width="17.5703125" style="354" customWidth="1"/>
    <col min="10251" max="10496" width="10.28515625" style="354"/>
    <col min="10497" max="10497" width="3.28515625" style="354" customWidth="1"/>
    <col min="10498" max="10498" width="9.5703125" style="354" customWidth="1"/>
    <col min="10499" max="10499" width="13.85546875" style="354" customWidth="1"/>
    <col min="10500" max="10500" width="3.85546875" style="354" customWidth="1"/>
    <col min="10501" max="10503" width="8.28515625" style="354" customWidth="1"/>
    <col min="10504" max="10504" width="17.5703125" style="354" customWidth="1"/>
    <col min="10505" max="10505" width="13.140625" style="354" customWidth="1"/>
    <col min="10506" max="10506" width="17.5703125" style="354" customWidth="1"/>
    <col min="10507" max="10752" width="10.28515625" style="354"/>
    <col min="10753" max="10753" width="3.28515625" style="354" customWidth="1"/>
    <col min="10754" max="10754" width="9.5703125" style="354" customWidth="1"/>
    <col min="10755" max="10755" width="13.85546875" style="354" customWidth="1"/>
    <col min="10756" max="10756" width="3.85546875" style="354" customWidth="1"/>
    <col min="10757" max="10759" width="8.28515625" style="354" customWidth="1"/>
    <col min="10760" max="10760" width="17.5703125" style="354" customWidth="1"/>
    <col min="10761" max="10761" width="13.140625" style="354" customWidth="1"/>
    <col min="10762" max="10762" width="17.5703125" style="354" customWidth="1"/>
    <col min="10763" max="11008" width="10.28515625" style="354"/>
    <col min="11009" max="11009" width="3.28515625" style="354" customWidth="1"/>
    <col min="11010" max="11010" width="9.5703125" style="354" customWidth="1"/>
    <col min="11011" max="11011" width="13.85546875" style="354" customWidth="1"/>
    <col min="11012" max="11012" width="3.85546875" style="354" customWidth="1"/>
    <col min="11013" max="11015" width="8.28515625" style="354" customWidth="1"/>
    <col min="11016" max="11016" width="17.5703125" style="354" customWidth="1"/>
    <col min="11017" max="11017" width="13.140625" style="354" customWidth="1"/>
    <col min="11018" max="11018" width="17.5703125" style="354" customWidth="1"/>
    <col min="11019" max="11264" width="10.28515625" style="354"/>
    <col min="11265" max="11265" width="3.28515625" style="354" customWidth="1"/>
    <col min="11266" max="11266" width="9.5703125" style="354" customWidth="1"/>
    <col min="11267" max="11267" width="13.85546875" style="354" customWidth="1"/>
    <col min="11268" max="11268" width="3.85546875" style="354" customWidth="1"/>
    <col min="11269" max="11271" width="8.28515625" style="354" customWidth="1"/>
    <col min="11272" max="11272" width="17.5703125" style="354" customWidth="1"/>
    <col min="11273" max="11273" width="13.140625" style="354" customWidth="1"/>
    <col min="11274" max="11274" width="17.5703125" style="354" customWidth="1"/>
    <col min="11275" max="11520" width="10.28515625" style="354"/>
    <col min="11521" max="11521" width="3.28515625" style="354" customWidth="1"/>
    <col min="11522" max="11522" width="9.5703125" style="354" customWidth="1"/>
    <col min="11523" max="11523" width="13.85546875" style="354" customWidth="1"/>
    <col min="11524" max="11524" width="3.85546875" style="354" customWidth="1"/>
    <col min="11525" max="11527" width="8.28515625" style="354" customWidth="1"/>
    <col min="11528" max="11528" width="17.5703125" style="354" customWidth="1"/>
    <col min="11529" max="11529" width="13.140625" style="354" customWidth="1"/>
    <col min="11530" max="11530" width="17.5703125" style="354" customWidth="1"/>
    <col min="11531" max="11776" width="10.28515625" style="354"/>
    <col min="11777" max="11777" width="3.28515625" style="354" customWidth="1"/>
    <col min="11778" max="11778" width="9.5703125" style="354" customWidth="1"/>
    <col min="11779" max="11779" width="13.85546875" style="354" customWidth="1"/>
    <col min="11780" max="11780" width="3.85546875" style="354" customWidth="1"/>
    <col min="11781" max="11783" width="8.28515625" style="354" customWidth="1"/>
    <col min="11784" max="11784" width="17.5703125" style="354" customWidth="1"/>
    <col min="11785" max="11785" width="13.140625" style="354" customWidth="1"/>
    <col min="11786" max="11786" width="17.5703125" style="354" customWidth="1"/>
    <col min="11787" max="12032" width="10.28515625" style="354"/>
    <col min="12033" max="12033" width="3.28515625" style="354" customWidth="1"/>
    <col min="12034" max="12034" width="9.5703125" style="354" customWidth="1"/>
    <col min="12035" max="12035" width="13.85546875" style="354" customWidth="1"/>
    <col min="12036" max="12036" width="3.85546875" style="354" customWidth="1"/>
    <col min="12037" max="12039" width="8.28515625" style="354" customWidth="1"/>
    <col min="12040" max="12040" width="17.5703125" style="354" customWidth="1"/>
    <col min="12041" max="12041" width="13.140625" style="354" customWidth="1"/>
    <col min="12042" max="12042" width="17.5703125" style="354" customWidth="1"/>
    <col min="12043" max="12288" width="10.28515625" style="354"/>
    <col min="12289" max="12289" width="3.28515625" style="354" customWidth="1"/>
    <col min="12290" max="12290" width="9.5703125" style="354" customWidth="1"/>
    <col min="12291" max="12291" width="13.85546875" style="354" customWidth="1"/>
    <col min="12292" max="12292" width="3.85546875" style="354" customWidth="1"/>
    <col min="12293" max="12295" width="8.28515625" style="354" customWidth="1"/>
    <col min="12296" max="12296" width="17.5703125" style="354" customWidth="1"/>
    <col min="12297" max="12297" width="13.140625" style="354" customWidth="1"/>
    <col min="12298" max="12298" width="17.5703125" style="354" customWidth="1"/>
    <col min="12299" max="12544" width="10.28515625" style="354"/>
    <col min="12545" max="12545" width="3.28515625" style="354" customWidth="1"/>
    <col min="12546" max="12546" width="9.5703125" style="354" customWidth="1"/>
    <col min="12547" max="12547" width="13.85546875" style="354" customWidth="1"/>
    <col min="12548" max="12548" width="3.85546875" style="354" customWidth="1"/>
    <col min="12549" max="12551" width="8.28515625" style="354" customWidth="1"/>
    <col min="12552" max="12552" width="17.5703125" style="354" customWidth="1"/>
    <col min="12553" max="12553" width="13.140625" style="354" customWidth="1"/>
    <col min="12554" max="12554" width="17.5703125" style="354" customWidth="1"/>
    <col min="12555" max="12800" width="10.28515625" style="354"/>
    <col min="12801" max="12801" width="3.28515625" style="354" customWidth="1"/>
    <col min="12802" max="12802" width="9.5703125" style="354" customWidth="1"/>
    <col min="12803" max="12803" width="13.85546875" style="354" customWidth="1"/>
    <col min="12804" max="12804" width="3.85546875" style="354" customWidth="1"/>
    <col min="12805" max="12807" width="8.28515625" style="354" customWidth="1"/>
    <col min="12808" max="12808" width="17.5703125" style="354" customWidth="1"/>
    <col min="12809" max="12809" width="13.140625" style="354" customWidth="1"/>
    <col min="12810" max="12810" width="17.5703125" style="354" customWidth="1"/>
    <col min="12811" max="13056" width="10.28515625" style="354"/>
    <col min="13057" max="13057" width="3.28515625" style="354" customWidth="1"/>
    <col min="13058" max="13058" width="9.5703125" style="354" customWidth="1"/>
    <col min="13059" max="13059" width="13.85546875" style="354" customWidth="1"/>
    <col min="13060" max="13060" width="3.85546875" style="354" customWidth="1"/>
    <col min="13061" max="13063" width="8.28515625" style="354" customWidth="1"/>
    <col min="13064" max="13064" width="17.5703125" style="354" customWidth="1"/>
    <col min="13065" max="13065" width="13.140625" style="354" customWidth="1"/>
    <col min="13066" max="13066" width="17.5703125" style="354" customWidth="1"/>
    <col min="13067" max="13312" width="10.28515625" style="354"/>
    <col min="13313" max="13313" width="3.28515625" style="354" customWidth="1"/>
    <col min="13314" max="13314" width="9.5703125" style="354" customWidth="1"/>
    <col min="13315" max="13315" width="13.85546875" style="354" customWidth="1"/>
    <col min="13316" max="13316" width="3.85546875" style="354" customWidth="1"/>
    <col min="13317" max="13319" width="8.28515625" style="354" customWidth="1"/>
    <col min="13320" max="13320" width="17.5703125" style="354" customWidth="1"/>
    <col min="13321" max="13321" width="13.140625" style="354" customWidth="1"/>
    <col min="13322" max="13322" width="17.5703125" style="354" customWidth="1"/>
    <col min="13323" max="13568" width="10.28515625" style="354"/>
    <col min="13569" max="13569" width="3.28515625" style="354" customWidth="1"/>
    <col min="13570" max="13570" width="9.5703125" style="354" customWidth="1"/>
    <col min="13571" max="13571" width="13.85546875" style="354" customWidth="1"/>
    <col min="13572" max="13572" width="3.85546875" style="354" customWidth="1"/>
    <col min="13573" max="13575" width="8.28515625" style="354" customWidth="1"/>
    <col min="13576" max="13576" width="17.5703125" style="354" customWidth="1"/>
    <col min="13577" max="13577" width="13.140625" style="354" customWidth="1"/>
    <col min="13578" max="13578" width="17.5703125" style="354" customWidth="1"/>
    <col min="13579" max="13824" width="10.28515625" style="354"/>
    <col min="13825" max="13825" width="3.28515625" style="354" customWidth="1"/>
    <col min="13826" max="13826" width="9.5703125" style="354" customWidth="1"/>
    <col min="13827" max="13827" width="13.85546875" style="354" customWidth="1"/>
    <col min="13828" max="13828" width="3.85546875" style="354" customWidth="1"/>
    <col min="13829" max="13831" width="8.28515625" style="354" customWidth="1"/>
    <col min="13832" max="13832" width="17.5703125" style="354" customWidth="1"/>
    <col min="13833" max="13833" width="13.140625" style="354" customWidth="1"/>
    <col min="13834" max="13834" width="17.5703125" style="354" customWidth="1"/>
    <col min="13835" max="14080" width="10.28515625" style="354"/>
    <col min="14081" max="14081" width="3.28515625" style="354" customWidth="1"/>
    <col min="14082" max="14082" width="9.5703125" style="354" customWidth="1"/>
    <col min="14083" max="14083" width="13.85546875" style="354" customWidth="1"/>
    <col min="14084" max="14084" width="3.85546875" style="354" customWidth="1"/>
    <col min="14085" max="14087" width="8.28515625" style="354" customWidth="1"/>
    <col min="14088" max="14088" width="17.5703125" style="354" customWidth="1"/>
    <col min="14089" max="14089" width="13.140625" style="354" customWidth="1"/>
    <col min="14090" max="14090" width="17.5703125" style="354" customWidth="1"/>
    <col min="14091" max="14336" width="10.28515625" style="354"/>
    <col min="14337" max="14337" width="3.28515625" style="354" customWidth="1"/>
    <col min="14338" max="14338" width="9.5703125" style="354" customWidth="1"/>
    <col min="14339" max="14339" width="13.85546875" style="354" customWidth="1"/>
    <col min="14340" max="14340" width="3.85546875" style="354" customWidth="1"/>
    <col min="14341" max="14343" width="8.28515625" style="354" customWidth="1"/>
    <col min="14344" max="14344" width="17.5703125" style="354" customWidth="1"/>
    <col min="14345" max="14345" width="13.140625" style="354" customWidth="1"/>
    <col min="14346" max="14346" width="17.5703125" style="354" customWidth="1"/>
    <col min="14347" max="14592" width="10.28515625" style="354"/>
    <col min="14593" max="14593" width="3.28515625" style="354" customWidth="1"/>
    <col min="14594" max="14594" width="9.5703125" style="354" customWidth="1"/>
    <col min="14595" max="14595" width="13.85546875" style="354" customWidth="1"/>
    <col min="14596" max="14596" width="3.85546875" style="354" customWidth="1"/>
    <col min="14597" max="14599" width="8.28515625" style="354" customWidth="1"/>
    <col min="14600" max="14600" width="17.5703125" style="354" customWidth="1"/>
    <col min="14601" max="14601" width="13.140625" style="354" customWidth="1"/>
    <col min="14602" max="14602" width="17.5703125" style="354" customWidth="1"/>
    <col min="14603" max="14848" width="10.28515625" style="354"/>
    <col min="14849" max="14849" width="3.28515625" style="354" customWidth="1"/>
    <col min="14850" max="14850" width="9.5703125" style="354" customWidth="1"/>
    <col min="14851" max="14851" width="13.85546875" style="354" customWidth="1"/>
    <col min="14852" max="14852" width="3.85546875" style="354" customWidth="1"/>
    <col min="14853" max="14855" width="8.28515625" style="354" customWidth="1"/>
    <col min="14856" max="14856" width="17.5703125" style="354" customWidth="1"/>
    <col min="14857" max="14857" width="13.140625" style="354" customWidth="1"/>
    <col min="14858" max="14858" width="17.5703125" style="354" customWidth="1"/>
    <col min="14859" max="15104" width="10.28515625" style="354"/>
    <col min="15105" max="15105" width="3.28515625" style="354" customWidth="1"/>
    <col min="15106" max="15106" width="9.5703125" style="354" customWidth="1"/>
    <col min="15107" max="15107" width="13.85546875" style="354" customWidth="1"/>
    <col min="15108" max="15108" width="3.85546875" style="354" customWidth="1"/>
    <col min="15109" max="15111" width="8.28515625" style="354" customWidth="1"/>
    <col min="15112" max="15112" width="17.5703125" style="354" customWidth="1"/>
    <col min="15113" max="15113" width="13.140625" style="354" customWidth="1"/>
    <col min="15114" max="15114" width="17.5703125" style="354" customWidth="1"/>
    <col min="15115" max="15360" width="10.28515625" style="354"/>
    <col min="15361" max="15361" width="3.28515625" style="354" customWidth="1"/>
    <col min="15362" max="15362" width="9.5703125" style="354" customWidth="1"/>
    <col min="15363" max="15363" width="13.85546875" style="354" customWidth="1"/>
    <col min="15364" max="15364" width="3.85546875" style="354" customWidth="1"/>
    <col min="15365" max="15367" width="8.28515625" style="354" customWidth="1"/>
    <col min="15368" max="15368" width="17.5703125" style="354" customWidth="1"/>
    <col min="15369" max="15369" width="13.140625" style="354" customWidth="1"/>
    <col min="15370" max="15370" width="17.5703125" style="354" customWidth="1"/>
    <col min="15371" max="15616" width="10.28515625" style="354"/>
    <col min="15617" max="15617" width="3.28515625" style="354" customWidth="1"/>
    <col min="15618" max="15618" width="9.5703125" style="354" customWidth="1"/>
    <col min="15619" max="15619" width="13.85546875" style="354" customWidth="1"/>
    <col min="15620" max="15620" width="3.85546875" style="354" customWidth="1"/>
    <col min="15621" max="15623" width="8.28515625" style="354" customWidth="1"/>
    <col min="15624" max="15624" width="17.5703125" style="354" customWidth="1"/>
    <col min="15625" max="15625" width="13.140625" style="354" customWidth="1"/>
    <col min="15626" max="15626" width="17.5703125" style="354" customWidth="1"/>
    <col min="15627" max="15872" width="10.28515625" style="354"/>
    <col min="15873" max="15873" width="3.28515625" style="354" customWidth="1"/>
    <col min="15874" max="15874" width="9.5703125" style="354" customWidth="1"/>
    <col min="15875" max="15875" width="13.85546875" style="354" customWidth="1"/>
    <col min="15876" max="15876" width="3.85546875" style="354" customWidth="1"/>
    <col min="15877" max="15879" width="8.28515625" style="354" customWidth="1"/>
    <col min="15880" max="15880" width="17.5703125" style="354" customWidth="1"/>
    <col min="15881" max="15881" width="13.140625" style="354" customWidth="1"/>
    <col min="15882" max="15882" width="17.5703125" style="354" customWidth="1"/>
    <col min="15883" max="16128" width="10.28515625" style="354"/>
    <col min="16129" max="16129" width="3.28515625" style="354" customWidth="1"/>
    <col min="16130" max="16130" width="9.5703125" style="354" customWidth="1"/>
    <col min="16131" max="16131" width="13.85546875" style="354" customWidth="1"/>
    <col min="16132" max="16132" width="3.85546875" style="354" customWidth="1"/>
    <col min="16133" max="16135" width="8.28515625" style="354" customWidth="1"/>
    <col min="16136" max="16136" width="17.5703125" style="354" customWidth="1"/>
    <col min="16137" max="16137" width="13.140625" style="354" customWidth="1"/>
    <col min="16138" max="16138" width="17.5703125" style="354" customWidth="1"/>
    <col min="16139" max="16384" width="10.28515625" style="354"/>
  </cols>
  <sheetData>
    <row r="1" spans="1:9" ht="22.35" customHeight="1" x14ac:dyDescent="0.2">
      <c r="A1" s="2297" t="s">
        <v>7134</v>
      </c>
      <c r="B1" s="2297"/>
      <c r="C1" s="2297"/>
      <c r="D1" s="2298" t="s">
        <v>560</v>
      </c>
      <c r="E1" s="2298"/>
      <c r="F1" s="2298"/>
      <c r="G1" s="2298"/>
      <c r="H1" s="2298"/>
      <c r="I1" s="2298"/>
    </row>
    <row r="2" spans="1:9" x14ac:dyDescent="0.2">
      <c r="A2" s="1044"/>
      <c r="B2" s="1044"/>
      <c r="C2" s="1044"/>
      <c r="D2" s="1045"/>
      <c r="E2" s="1045"/>
      <c r="F2" s="1045"/>
      <c r="G2" s="1045"/>
      <c r="H2" s="1045"/>
      <c r="I2" s="1045"/>
    </row>
    <row r="3" spans="1:9" x14ac:dyDescent="0.2">
      <c r="A3" s="2299" t="s">
        <v>9586</v>
      </c>
      <c r="B3" s="2299"/>
      <c r="C3" s="2299"/>
      <c r="D3" s="2299"/>
      <c r="E3" s="2299"/>
      <c r="F3" s="2299"/>
      <c r="G3" s="2299"/>
      <c r="H3" s="2299"/>
      <c r="I3" s="2299"/>
    </row>
    <row r="4" spans="1:9" x14ac:dyDescent="0.2">
      <c r="A4" s="2239" t="s">
        <v>7135</v>
      </c>
      <c r="B4" s="2239"/>
      <c r="C4" s="2239"/>
      <c r="D4" s="2239"/>
      <c r="E4" s="2239"/>
      <c r="F4" s="2239"/>
      <c r="G4" s="2239"/>
      <c r="H4" s="2239"/>
      <c r="I4" s="2239"/>
    </row>
    <row r="5" spans="1:9" ht="3.75" customHeight="1" x14ac:dyDescent="0.2">
      <c r="D5" s="1044"/>
      <c r="E5" s="1044"/>
      <c r="F5" s="1044"/>
      <c r="G5" s="1044"/>
    </row>
    <row r="6" spans="1:9" ht="66" customHeight="1" x14ac:dyDescent="0.2">
      <c r="A6" s="2304" t="s">
        <v>5846</v>
      </c>
      <c r="B6" s="2304"/>
      <c r="C6" s="2304"/>
      <c r="D6" s="2301" t="s">
        <v>9587</v>
      </c>
      <c r="E6" s="2301"/>
      <c r="F6" s="2301"/>
      <c r="G6" s="2301"/>
      <c r="H6" s="2301"/>
      <c r="I6" s="2301"/>
    </row>
    <row r="7" spans="1:9" ht="3.95" customHeight="1" x14ac:dyDescent="0.2">
      <c r="A7" s="1047"/>
      <c r="B7" s="1047"/>
      <c r="C7" s="1047"/>
    </row>
    <row r="8" spans="1:9" ht="41.25" customHeight="1" x14ac:dyDescent="0.2">
      <c r="A8" s="2304" t="s">
        <v>5848</v>
      </c>
      <c r="B8" s="2304"/>
      <c r="C8" s="2304"/>
      <c r="D8" s="2304" t="s">
        <v>563</v>
      </c>
      <c r="E8" s="2304"/>
      <c r="F8" s="2304"/>
      <c r="G8" s="2304"/>
      <c r="H8" s="2304"/>
      <c r="I8" s="2304"/>
    </row>
    <row r="9" spans="1:9" ht="3.95" customHeight="1" x14ac:dyDescent="0.2"/>
    <row r="10" spans="1:9" ht="30" customHeight="1" x14ac:dyDescent="0.2">
      <c r="A10" s="2304" t="s">
        <v>5849</v>
      </c>
      <c r="B10" s="2304"/>
      <c r="C10" s="2304"/>
      <c r="D10" s="2304" t="s">
        <v>5654</v>
      </c>
      <c r="E10" s="2304"/>
      <c r="F10" s="2304"/>
      <c r="G10" s="2304"/>
      <c r="H10" s="2304"/>
      <c r="I10" s="2304"/>
    </row>
    <row r="11" spans="1:9" ht="3.75" customHeight="1" x14ac:dyDescent="0.2">
      <c r="A11" s="1047"/>
      <c r="B11" s="1047"/>
      <c r="C11" s="1047"/>
      <c r="D11" s="1048"/>
      <c r="E11" s="1048"/>
      <c r="F11" s="1048"/>
      <c r="G11" s="1048"/>
      <c r="H11" s="1047"/>
      <c r="I11" s="1047"/>
    </row>
    <row r="12" spans="1:9" ht="12.75" customHeight="1" x14ac:dyDescent="0.2">
      <c r="A12" s="2316" t="s">
        <v>9535</v>
      </c>
      <c r="B12" s="2316"/>
      <c r="C12" s="2316"/>
      <c r="D12" s="2316"/>
      <c r="E12" s="2316"/>
      <c r="F12" s="2316"/>
      <c r="G12" s="2316"/>
      <c r="H12" s="2316"/>
      <c r="I12" s="2316"/>
    </row>
    <row r="13" spans="1:9" ht="100.5" customHeight="1" x14ac:dyDescent="0.2">
      <c r="A13" s="1049" t="s">
        <v>287</v>
      </c>
      <c r="B13" s="2317" t="s">
        <v>5851</v>
      </c>
      <c r="C13" s="2318"/>
      <c r="D13" s="2317" t="s">
        <v>5852</v>
      </c>
      <c r="E13" s="2319"/>
      <c r="F13" s="2319"/>
      <c r="G13" s="2318"/>
      <c r="H13" s="1050" t="s">
        <v>5853</v>
      </c>
      <c r="I13" s="1049" t="s">
        <v>568</v>
      </c>
    </row>
    <row r="14" spans="1:9" x14ac:dyDescent="0.2">
      <c r="A14" s="1051" t="s">
        <v>185</v>
      </c>
      <c r="B14" s="2308">
        <v>2</v>
      </c>
      <c r="C14" s="2309"/>
      <c r="D14" s="2308">
        <v>3</v>
      </c>
      <c r="E14" s="2310"/>
      <c r="F14" s="2310"/>
      <c r="G14" s="2309"/>
      <c r="H14" s="1052">
        <v>4</v>
      </c>
      <c r="I14" s="1052">
        <v>5</v>
      </c>
    </row>
    <row r="15" spans="1:9" ht="145.35" customHeight="1" x14ac:dyDescent="0.2">
      <c r="A15" s="1053" t="s">
        <v>185</v>
      </c>
      <c r="B15" s="2311" t="s">
        <v>9588</v>
      </c>
      <c r="C15" s="2312"/>
      <c r="D15" s="2313" t="s">
        <v>9544</v>
      </c>
      <c r="E15" s="2314"/>
      <c r="F15" s="2314"/>
      <c r="G15" s="2315"/>
      <c r="H15" s="1054" t="s">
        <v>9589</v>
      </c>
      <c r="I15" s="1055">
        <f>ROUND(125800  * 1 * 0.5 * 0.35 * 1.14,0)</f>
        <v>25097</v>
      </c>
    </row>
    <row r="16" spans="1:9" ht="15.75" customHeight="1" x14ac:dyDescent="0.2">
      <c r="A16" s="1056" t="s">
        <v>143</v>
      </c>
      <c r="B16" s="2305"/>
      <c r="C16" s="2306"/>
      <c r="D16" s="2305" t="s">
        <v>572</v>
      </c>
      <c r="E16" s="2307"/>
      <c r="F16" s="2307"/>
      <c r="G16" s="2306"/>
      <c r="H16" s="1057"/>
      <c r="I16" s="1058"/>
    </row>
    <row r="17" spans="1:9" ht="25.5" customHeight="1" x14ac:dyDescent="0.2">
      <c r="A17" s="1056" t="s">
        <v>143</v>
      </c>
      <c r="B17" s="2302"/>
      <c r="C17" s="2303"/>
      <c r="D17" s="2302" t="s">
        <v>7868</v>
      </c>
      <c r="E17" s="2304"/>
      <c r="F17" s="2304"/>
      <c r="G17" s="2303"/>
      <c r="H17" s="1059"/>
      <c r="I17" s="1060"/>
    </row>
    <row r="18" spans="1:9" ht="25.5" customHeight="1" x14ac:dyDescent="0.2">
      <c r="A18" s="1056" t="s">
        <v>143</v>
      </c>
      <c r="B18" s="2302"/>
      <c r="C18" s="2303"/>
      <c r="D18" s="2302" t="s">
        <v>9546</v>
      </c>
      <c r="E18" s="2304"/>
      <c r="F18" s="2304"/>
      <c r="G18" s="2303"/>
      <c r="H18" s="1059"/>
      <c r="I18" s="1060"/>
    </row>
    <row r="19" spans="1:9" ht="89.25" customHeight="1" x14ac:dyDescent="0.2">
      <c r="A19" s="1056" t="s">
        <v>143</v>
      </c>
      <c r="B19" s="2302"/>
      <c r="C19" s="2303"/>
      <c r="D19" s="2302" t="s">
        <v>7783</v>
      </c>
      <c r="E19" s="2304"/>
      <c r="F19" s="2304"/>
      <c r="G19" s="2303"/>
      <c r="H19" s="1059"/>
      <c r="I19" s="1060"/>
    </row>
    <row r="20" spans="1:9" ht="92.25" customHeight="1" x14ac:dyDescent="0.2">
      <c r="A20" s="1056" t="s">
        <v>143</v>
      </c>
      <c r="B20" s="2305"/>
      <c r="C20" s="2306"/>
      <c r="D20" s="2305" t="s">
        <v>7874</v>
      </c>
      <c r="E20" s="2307"/>
      <c r="F20" s="2307"/>
      <c r="G20" s="2306"/>
      <c r="H20" s="1057"/>
      <c r="I20" s="1058"/>
    </row>
    <row r="21" spans="1:9" ht="25.5" customHeight="1" x14ac:dyDescent="0.2">
      <c r="A21" s="1056" t="s">
        <v>143</v>
      </c>
      <c r="B21" s="2302"/>
      <c r="C21" s="2303"/>
      <c r="D21" s="2302" t="s">
        <v>9590</v>
      </c>
      <c r="E21" s="2304"/>
      <c r="F21" s="2304"/>
      <c r="G21" s="2303"/>
      <c r="H21" s="1059"/>
      <c r="I21" s="1060"/>
    </row>
    <row r="22" spans="1:9" ht="12.75" customHeight="1" x14ac:dyDescent="0.2">
      <c r="A22" s="1056" t="s">
        <v>143</v>
      </c>
      <c r="B22" s="2302"/>
      <c r="C22" s="2303"/>
      <c r="D22" s="2302" t="s">
        <v>9591</v>
      </c>
      <c r="E22" s="2304"/>
      <c r="F22" s="2304"/>
      <c r="G22" s="2303"/>
      <c r="H22" s="1059"/>
      <c r="I22" s="1060"/>
    </row>
    <row r="23" spans="1:9" ht="25.5" customHeight="1" x14ac:dyDescent="0.2">
      <c r="A23" s="1056" t="s">
        <v>143</v>
      </c>
      <c r="B23" s="2302"/>
      <c r="C23" s="2303"/>
      <c r="D23" s="2302" t="s">
        <v>9592</v>
      </c>
      <c r="E23" s="2304"/>
      <c r="F23" s="2304"/>
      <c r="G23" s="2303"/>
      <c r="H23" s="1059"/>
      <c r="I23" s="1060"/>
    </row>
    <row r="24" spans="1:9" ht="12.75" customHeight="1" x14ac:dyDescent="0.2">
      <c r="A24" s="1056" t="s">
        <v>143</v>
      </c>
      <c r="B24" s="2302"/>
      <c r="C24" s="2303"/>
      <c r="D24" s="2302" t="s">
        <v>7878</v>
      </c>
      <c r="E24" s="2304"/>
      <c r="F24" s="2304"/>
      <c r="G24" s="2303"/>
      <c r="H24" s="1059"/>
      <c r="I24" s="1060"/>
    </row>
    <row r="25" spans="1:9" ht="25.5" customHeight="1" x14ac:dyDescent="0.2">
      <c r="A25" s="1056" t="s">
        <v>143</v>
      </c>
      <c r="B25" s="2302"/>
      <c r="C25" s="2303"/>
      <c r="D25" s="2302" t="s">
        <v>9593</v>
      </c>
      <c r="E25" s="2304"/>
      <c r="F25" s="2304"/>
      <c r="G25" s="2303"/>
      <c r="H25" s="1059"/>
      <c r="I25" s="1060"/>
    </row>
    <row r="26" spans="1:9" ht="25.5" customHeight="1" x14ac:dyDescent="0.2">
      <c r="A26" s="1056" t="s">
        <v>143</v>
      </c>
      <c r="B26" s="2302"/>
      <c r="C26" s="2303"/>
      <c r="D26" s="2302" t="s">
        <v>9594</v>
      </c>
      <c r="E26" s="2304"/>
      <c r="F26" s="2304"/>
      <c r="G26" s="2303"/>
      <c r="H26" s="1059"/>
      <c r="I26" s="1060"/>
    </row>
    <row r="27" spans="1:9" ht="25.5" customHeight="1" x14ac:dyDescent="0.2">
      <c r="A27" s="1056" t="s">
        <v>143</v>
      </c>
      <c r="B27" s="2302"/>
      <c r="C27" s="2303"/>
      <c r="D27" s="2302" t="s">
        <v>9595</v>
      </c>
      <c r="E27" s="2304"/>
      <c r="F27" s="2304"/>
      <c r="G27" s="2303"/>
      <c r="H27" s="1059"/>
      <c r="I27" s="1060"/>
    </row>
    <row r="28" spans="1:9" ht="25.5" customHeight="1" x14ac:dyDescent="0.2">
      <c r="A28" s="1056" t="s">
        <v>143</v>
      </c>
      <c r="B28" s="2302"/>
      <c r="C28" s="2303"/>
      <c r="D28" s="2302" t="s">
        <v>9596</v>
      </c>
      <c r="E28" s="2304"/>
      <c r="F28" s="2304"/>
      <c r="G28" s="2303"/>
      <c r="H28" s="1059"/>
      <c r="I28" s="1060"/>
    </row>
    <row r="29" spans="1:9" ht="25.5" customHeight="1" x14ac:dyDescent="0.2">
      <c r="A29" s="1056" t="s">
        <v>143</v>
      </c>
      <c r="B29" s="2302"/>
      <c r="C29" s="2303"/>
      <c r="D29" s="2302" t="s">
        <v>9597</v>
      </c>
      <c r="E29" s="2304"/>
      <c r="F29" s="2304"/>
      <c r="G29" s="2303"/>
      <c r="H29" s="1059"/>
      <c r="I29" s="1060"/>
    </row>
    <row r="30" spans="1:9" ht="25.5" customHeight="1" x14ac:dyDescent="0.2">
      <c r="A30" s="1056" t="s">
        <v>143</v>
      </c>
      <c r="B30" s="2302"/>
      <c r="C30" s="2303"/>
      <c r="D30" s="2302" t="s">
        <v>9598</v>
      </c>
      <c r="E30" s="2304"/>
      <c r="F30" s="2304"/>
      <c r="G30" s="2303"/>
      <c r="H30" s="1059"/>
      <c r="I30" s="1060"/>
    </row>
    <row r="31" spans="1:9" ht="25.5" customHeight="1" x14ac:dyDescent="0.2">
      <c r="A31" s="1056" t="s">
        <v>143</v>
      </c>
      <c r="B31" s="2302"/>
      <c r="C31" s="2303"/>
      <c r="D31" s="2302" t="s">
        <v>9599</v>
      </c>
      <c r="E31" s="2304"/>
      <c r="F31" s="2304"/>
      <c r="G31" s="2303"/>
      <c r="H31" s="1059"/>
      <c r="I31" s="1060"/>
    </row>
    <row r="32" spans="1:9" ht="25.5" customHeight="1" x14ac:dyDescent="0.2">
      <c r="A32" s="1056" t="s">
        <v>143</v>
      </c>
      <c r="B32" s="2302"/>
      <c r="C32" s="2303"/>
      <c r="D32" s="2302" t="s">
        <v>9600</v>
      </c>
      <c r="E32" s="2304"/>
      <c r="F32" s="2304"/>
      <c r="G32" s="2303"/>
      <c r="H32" s="1059"/>
      <c r="I32" s="1060"/>
    </row>
    <row r="33" spans="1:9" ht="25.5" customHeight="1" x14ac:dyDescent="0.2">
      <c r="A33" s="1056" t="s">
        <v>143</v>
      </c>
      <c r="B33" s="2302"/>
      <c r="C33" s="2303"/>
      <c r="D33" s="2302" t="s">
        <v>9601</v>
      </c>
      <c r="E33" s="2304"/>
      <c r="F33" s="2304"/>
      <c r="G33" s="2303"/>
      <c r="H33" s="1059"/>
      <c r="I33" s="1060"/>
    </row>
    <row r="34" spans="1:9" ht="38.25" customHeight="1" x14ac:dyDescent="0.2">
      <c r="A34" s="1056" t="s">
        <v>143</v>
      </c>
      <c r="B34" s="2302"/>
      <c r="C34" s="2303"/>
      <c r="D34" s="2302" t="s">
        <v>9602</v>
      </c>
      <c r="E34" s="2304"/>
      <c r="F34" s="2304"/>
      <c r="G34" s="2303"/>
      <c r="H34" s="1059"/>
      <c r="I34" s="1060"/>
    </row>
    <row r="35" spans="1:9" ht="12.75" customHeight="1" x14ac:dyDescent="0.2">
      <c r="A35" s="1061" t="s">
        <v>143</v>
      </c>
      <c r="B35" s="2320"/>
      <c r="C35" s="2321"/>
      <c r="D35" s="2320" t="s">
        <v>9603</v>
      </c>
      <c r="E35" s="2322"/>
      <c r="F35" s="2322"/>
      <c r="G35" s="2321"/>
      <c r="H35" s="1062"/>
      <c r="I35" s="1063"/>
    </row>
    <row r="36" spans="1:9" ht="107.25" customHeight="1" x14ac:dyDescent="0.2">
      <c r="A36" s="1053" t="s">
        <v>186</v>
      </c>
      <c r="B36" s="2311" t="s">
        <v>9564</v>
      </c>
      <c r="C36" s="2312"/>
      <c r="D36" s="2313" t="s">
        <v>9565</v>
      </c>
      <c r="E36" s="2314"/>
      <c r="F36" s="2314"/>
      <c r="G36" s="2315"/>
      <c r="H36" s="1054" t="s">
        <v>9604</v>
      </c>
      <c r="I36" s="1055">
        <f>ROUND(11960  * 2 * 0.6 * 1.154,0)</f>
        <v>16562</v>
      </c>
    </row>
    <row r="37" spans="1:9" ht="15.75" customHeight="1" x14ac:dyDescent="0.2">
      <c r="A37" s="1056" t="s">
        <v>143</v>
      </c>
      <c r="B37" s="2305"/>
      <c r="C37" s="2306"/>
      <c r="D37" s="2305" t="s">
        <v>572</v>
      </c>
      <c r="E37" s="2307"/>
      <c r="F37" s="2307"/>
      <c r="G37" s="2306"/>
      <c r="H37" s="1057"/>
      <c r="I37" s="1058"/>
    </row>
    <row r="38" spans="1:9" ht="25.5" customHeight="1" x14ac:dyDescent="0.2">
      <c r="A38" s="1056" t="s">
        <v>143</v>
      </c>
      <c r="B38" s="2302"/>
      <c r="C38" s="2303"/>
      <c r="D38" s="2302" t="s">
        <v>7769</v>
      </c>
      <c r="E38" s="2304"/>
      <c r="F38" s="2304"/>
      <c r="G38" s="2303"/>
      <c r="H38" s="1059"/>
      <c r="I38" s="1060"/>
    </row>
    <row r="39" spans="1:9" ht="89.25" customHeight="1" x14ac:dyDescent="0.2">
      <c r="A39" s="1056" t="s">
        <v>143</v>
      </c>
      <c r="B39" s="2302"/>
      <c r="C39" s="2303"/>
      <c r="D39" s="2302" t="s">
        <v>7869</v>
      </c>
      <c r="E39" s="2304"/>
      <c r="F39" s="2304"/>
      <c r="G39" s="2303"/>
      <c r="H39" s="1059"/>
      <c r="I39" s="1060"/>
    </row>
    <row r="40" spans="1:9" ht="79.5" customHeight="1" x14ac:dyDescent="0.2">
      <c r="A40" s="1056" t="s">
        <v>143</v>
      </c>
      <c r="B40" s="2305"/>
      <c r="C40" s="2306"/>
      <c r="D40" s="2305" t="s">
        <v>7870</v>
      </c>
      <c r="E40" s="2307"/>
      <c r="F40" s="2307"/>
      <c r="G40" s="2306"/>
      <c r="H40" s="1057"/>
      <c r="I40" s="1058"/>
    </row>
    <row r="41" spans="1:9" ht="25.5" customHeight="1" x14ac:dyDescent="0.2">
      <c r="A41" s="1056" t="s">
        <v>143</v>
      </c>
      <c r="B41" s="2302"/>
      <c r="C41" s="2303"/>
      <c r="D41" s="2302" t="s">
        <v>7871</v>
      </c>
      <c r="E41" s="2304"/>
      <c r="F41" s="2304"/>
      <c r="G41" s="2303"/>
      <c r="H41" s="1059"/>
      <c r="I41" s="1060"/>
    </row>
    <row r="42" spans="1:9" ht="25.5" customHeight="1" x14ac:dyDescent="0.2">
      <c r="A42" s="1056" t="s">
        <v>143</v>
      </c>
      <c r="B42" s="2302"/>
      <c r="C42" s="2303"/>
      <c r="D42" s="2323" t="s">
        <v>9605</v>
      </c>
      <c r="E42" s="2324"/>
      <c r="F42" s="2324"/>
      <c r="G42" s="2325"/>
      <c r="H42" s="1059"/>
      <c r="I42" s="1060"/>
    </row>
    <row r="43" spans="1:9" ht="25.5" customHeight="1" x14ac:dyDescent="0.2">
      <c r="A43" s="1056" t="s">
        <v>143</v>
      </c>
      <c r="B43" s="2302"/>
      <c r="C43" s="2303"/>
      <c r="D43" s="2323" t="s">
        <v>9606</v>
      </c>
      <c r="E43" s="2324"/>
      <c r="F43" s="2324"/>
      <c r="G43" s="2325"/>
      <c r="H43" s="1059"/>
      <c r="I43" s="1060"/>
    </row>
    <row r="44" spans="1:9" ht="25.5" customHeight="1" x14ac:dyDescent="0.2">
      <c r="A44" s="1056" t="s">
        <v>143</v>
      </c>
      <c r="B44" s="2302"/>
      <c r="C44" s="2303"/>
      <c r="D44" s="2323" t="s">
        <v>9607</v>
      </c>
      <c r="E44" s="2324"/>
      <c r="F44" s="2324"/>
      <c r="G44" s="2325"/>
      <c r="H44" s="1059"/>
      <c r="I44" s="1060"/>
    </row>
    <row r="45" spans="1:9" ht="25.5" customHeight="1" x14ac:dyDescent="0.2">
      <c r="A45" s="1056" t="s">
        <v>143</v>
      </c>
      <c r="B45" s="2302"/>
      <c r="C45" s="2303"/>
      <c r="D45" s="2323" t="s">
        <v>9608</v>
      </c>
      <c r="E45" s="2324"/>
      <c r="F45" s="2324"/>
      <c r="G45" s="2325"/>
      <c r="H45" s="1059"/>
      <c r="I45" s="1060"/>
    </row>
    <row r="46" spans="1:9" ht="25.5" customHeight="1" x14ac:dyDescent="0.2">
      <c r="A46" s="1056" t="s">
        <v>143</v>
      </c>
      <c r="B46" s="2302"/>
      <c r="C46" s="2303"/>
      <c r="D46" s="2302" t="s">
        <v>9609</v>
      </c>
      <c r="E46" s="2304"/>
      <c r="F46" s="2304"/>
      <c r="G46" s="2303"/>
      <c r="H46" s="1059"/>
      <c r="I46" s="1060"/>
    </row>
    <row r="47" spans="1:9" ht="25.5" customHeight="1" x14ac:dyDescent="0.2">
      <c r="A47" s="1056" t="s">
        <v>143</v>
      </c>
      <c r="B47" s="2302"/>
      <c r="C47" s="2303"/>
      <c r="D47" s="2323" t="s">
        <v>9610</v>
      </c>
      <c r="E47" s="2324"/>
      <c r="F47" s="2324"/>
      <c r="G47" s="2325"/>
      <c r="H47" s="1059"/>
      <c r="I47" s="1060"/>
    </row>
    <row r="48" spans="1:9" ht="25.5" customHeight="1" x14ac:dyDescent="0.2">
      <c r="A48" s="1056" t="s">
        <v>143</v>
      </c>
      <c r="B48" s="2302"/>
      <c r="C48" s="2303"/>
      <c r="D48" s="2323" t="s">
        <v>9611</v>
      </c>
      <c r="E48" s="2324"/>
      <c r="F48" s="2324"/>
      <c r="G48" s="2325"/>
      <c r="H48" s="1059"/>
      <c r="I48" s="1060"/>
    </row>
    <row r="49" spans="1:9" ht="25.5" customHeight="1" x14ac:dyDescent="0.2">
      <c r="A49" s="1056" t="s">
        <v>143</v>
      </c>
      <c r="B49" s="2302"/>
      <c r="C49" s="2303"/>
      <c r="D49" s="2302" t="s">
        <v>9612</v>
      </c>
      <c r="E49" s="2304"/>
      <c r="F49" s="2304"/>
      <c r="G49" s="2303"/>
      <c r="H49" s="1059"/>
      <c r="I49" s="1060"/>
    </row>
    <row r="50" spans="1:9" ht="25.5" customHeight="1" x14ac:dyDescent="0.2">
      <c r="A50" s="1056" t="s">
        <v>143</v>
      </c>
      <c r="B50" s="2302"/>
      <c r="C50" s="2303"/>
      <c r="D50" s="2302" t="s">
        <v>9613</v>
      </c>
      <c r="E50" s="2304"/>
      <c r="F50" s="2304"/>
      <c r="G50" s="2303"/>
      <c r="H50" s="1059"/>
      <c r="I50" s="1060"/>
    </row>
    <row r="51" spans="1:9" ht="12.75" customHeight="1" x14ac:dyDescent="0.2">
      <c r="A51" s="1061" t="s">
        <v>143</v>
      </c>
      <c r="B51" s="2320"/>
      <c r="C51" s="2321"/>
      <c r="D51" s="2320" t="s">
        <v>9614</v>
      </c>
      <c r="E51" s="2322"/>
      <c r="F51" s="2322"/>
      <c r="G51" s="2321"/>
      <c r="H51" s="1062"/>
      <c r="I51" s="1063"/>
    </row>
    <row r="52" spans="1:9" ht="12.75" customHeight="1" x14ac:dyDescent="0.2">
      <c r="A52" s="1064" t="s">
        <v>187</v>
      </c>
      <c r="B52" s="2348" t="s">
        <v>588</v>
      </c>
      <c r="C52" s="2386"/>
      <c r="D52" s="2348"/>
      <c r="E52" s="2387"/>
      <c r="F52" s="2387"/>
      <c r="G52" s="2386"/>
      <c r="H52" s="1065"/>
      <c r="I52" s="1066">
        <f>ROUND((SUM($I$15:$I$36)),0)</f>
        <v>41659</v>
      </c>
    </row>
    <row r="53" spans="1:9" ht="12.75" customHeight="1" x14ac:dyDescent="0.2">
      <c r="A53" s="1064" t="s">
        <v>188</v>
      </c>
      <c r="B53" s="2348" t="s">
        <v>592</v>
      </c>
      <c r="C53" s="2386"/>
      <c r="D53" s="2348"/>
      <c r="E53" s="2387"/>
      <c r="F53" s="2387"/>
      <c r="G53" s="2386"/>
      <c r="H53" s="1065" t="s">
        <v>9615</v>
      </c>
      <c r="I53" s="1066">
        <f>ROUND(($I$52),0)</f>
        <v>41659</v>
      </c>
    </row>
    <row r="54" spans="1:9" ht="94.9" customHeight="1" x14ac:dyDescent="0.2">
      <c r="A54" s="1064" t="s">
        <v>143</v>
      </c>
      <c r="B54" s="2339" t="s">
        <v>9536</v>
      </c>
      <c r="C54" s="2391"/>
      <c r="D54" s="2392" t="s">
        <v>6388</v>
      </c>
      <c r="E54" s="2393"/>
      <c r="F54" s="2393"/>
      <c r="G54" s="2394"/>
      <c r="H54" s="1069" t="s">
        <v>9537</v>
      </c>
      <c r="I54" s="1070">
        <f>I53/1.19</f>
        <v>35008</v>
      </c>
    </row>
    <row r="55" spans="1:9" ht="55.7" customHeight="1" x14ac:dyDescent="0.2">
      <c r="A55" s="1071"/>
      <c r="B55" s="2342" t="s">
        <v>9538</v>
      </c>
      <c r="C55" s="2388"/>
      <c r="D55" s="2390" t="s">
        <v>5974</v>
      </c>
      <c r="E55" s="2390"/>
      <c r="F55" s="2390"/>
      <c r="G55" s="2390"/>
      <c r="H55" s="1069" t="s">
        <v>6389</v>
      </c>
      <c r="I55" s="1070">
        <f>I53*4.59</f>
        <v>191215</v>
      </c>
    </row>
    <row r="56" spans="1:9" s="1076" customFormat="1" ht="24.95" customHeight="1" x14ac:dyDescent="0.2">
      <c r="A56" s="2304"/>
      <c r="B56" s="2304"/>
      <c r="C56" s="2304"/>
      <c r="D56" s="2304"/>
      <c r="E56" s="2304"/>
      <c r="F56" s="2304"/>
      <c r="G56" s="2304"/>
      <c r="H56" s="2304"/>
      <c r="I56" s="2304"/>
    </row>
    <row r="57" spans="1:9" ht="12.75" customHeight="1" x14ac:dyDescent="0.2">
      <c r="A57" s="1077"/>
      <c r="B57" s="1077"/>
      <c r="C57" s="1077"/>
      <c r="D57" s="1078"/>
      <c r="E57" s="1077"/>
      <c r="F57" s="1077"/>
      <c r="G57" s="1077"/>
      <c r="H57" s="1077"/>
      <c r="I57" s="1077"/>
    </row>
    <row r="58" spans="1:9" x14ac:dyDescent="0.2">
      <c r="A58" s="2337" t="s">
        <v>149</v>
      </c>
      <c r="B58" s="2337"/>
      <c r="C58" s="2337"/>
      <c r="D58" s="2337"/>
      <c r="E58" s="2337"/>
      <c r="F58" s="2337"/>
      <c r="G58" s="2337"/>
      <c r="H58" s="2337"/>
      <c r="I58" s="2337"/>
    </row>
    <row r="59" spans="1:9" x14ac:dyDescent="0.2">
      <c r="A59" s="2337"/>
      <c r="B59" s="2337"/>
      <c r="C59" s="2337"/>
      <c r="D59" s="2337"/>
      <c r="E59" s="2337"/>
      <c r="F59" s="2337"/>
      <c r="G59" s="2337"/>
      <c r="H59" s="2337"/>
      <c r="I59" s="2337"/>
    </row>
    <row r="60" spans="1:9" s="1046" customFormat="1" ht="12.75" customHeight="1" x14ac:dyDescent="0.2">
      <c r="A60" s="2337" t="s">
        <v>7768</v>
      </c>
      <c r="B60" s="2337"/>
      <c r="C60" s="2337"/>
      <c r="D60" s="2337"/>
      <c r="E60" s="2337"/>
      <c r="F60" s="2337"/>
      <c r="G60" s="2337"/>
      <c r="H60" s="2337"/>
      <c r="I60" s="2337"/>
    </row>
    <row r="61" spans="1:9" s="1079" customFormat="1" ht="12.75" customHeight="1" x14ac:dyDescent="0.2">
      <c r="A61" s="2338"/>
      <c r="B61" s="2338"/>
      <c r="C61" s="2338"/>
      <c r="D61" s="2338"/>
      <c r="E61" s="2338"/>
      <c r="F61" s="2338"/>
      <c r="G61" s="2338"/>
      <c r="H61" s="2338"/>
      <c r="I61" s="2338"/>
    </row>
  </sheetData>
  <mergeCells count="103">
    <mergeCell ref="A56:C56"/>
    <mergeCell ref="D56:I56"/>
    <mergeCell ref="A58:I58"/>
    <mergeCell ref="A59:I59"/>
    <mergeCell ref="A60:I60"/>
    <mergeCell ref="A61:I61"/>
    <mergeCell ref="B53:C53"/>
    <mergeCell ref="D53:G53"/>
    <mergeCell ref="B54:C54"/>
    <mergeCell ref="D54:G54"/>
    <mergeCell ref="B55:C55"/>
    <mergeCell ref="D55:G55"/>
    <mergeCell ref="B50:C50"/>
    <mergeCell ref="D50:G50"/>
    <mergeCell ref="B51:C51"/>
    <mergeCell ref="D51:G51"/>
    <mergeCell ref="B52:C52"/>
    <mergeCell ref="D52:G52"/>
    <mergeCell ref="B47:C47"/>
    <mergeCell ref="D47:G47"/>
    <mergeCell ref="B48:C48"/>
    <mergeCell ref="D48:G48"/>
    <mergeCell ref="B49:C49"/>
    <mergeCell ref="D49:G49"/>
    <mergeCell ref="B44:C44"/>
    <mergeCell ref="D44:G44"/>
    <mergeCell ref="B45:C45"/>
    <mergeCell ref="D45:G45"/>
    <mergeCell ref="B46:C46"/>
    <mergeCell ref="D46:G46"/>
    <mergeCell ref="B41:C41"/>
    <mergeCell ref="D41:G41"/>
    <mergeCell ref="B42:C42"/>
    <mergeCell ref="D42:G42"/>
    <mergeCell ref="B43:C43"/>
    <mergeCell ref="D43:G43"/>
    <mergeCell ref="B38:C38"/>
    <mergeCell ref="D38:G38"/>
    <mergeCell ref="B39:C39"/>
    <mergeCell ref="D39:G39"/>
    <mergeCell ref="B40:C40"/>
    <mergeCell ref="D40:G40"/>
    <mergeCell ref="B35:C35"/>
    <mergeCell ref="D35:G35"/>
    <mergeCell ref="B36:C36"/>
    <mergeCell ref="D36:G36"/>
    <mergeCell ref="B37:C37"/>
    <mergeCell ref="D37:G37"/>
    <mergeCell ref="B32:C32"/>
    <mergeCell ref="D32:G32"/>
    <mergeCell ref="B33:C33"/>
    <mergeCell ref="D33:G33"/>
    <mergeCell ref="B34:C34"/>
    <mergeCell ref="D34:G34"/>
    <mergeCell ref="B29:C29"/>
    <mergeCell ref="D29:G29"/>
    <mergeCell ref="B30:C30"/>
    <mergeCell ref="D30:G30"/>
    <mergeCell ref="B31:C31"/>
    <mergeCell ref="D31:G31"/>
    <mergeCell ref="B26:C26"/>
    <mergeCell ref="D26:G26"/>
    <mergeCell ref="B27:C27"/>
    <mergeCell ref="D27:G27"/>
    <mergeCell ref="B28:C28"/>
    <mergeCell ref="D28:G28"/>
    <mergeCell ref="B23:C23"/>
    <mergeCell ref="D23:G23"/>
    <mergeCell ref="B24:C24"/>
    <mergeCell ref="D24:G24"/>
    <mergeCell ref="B25:C25"/>
    <mergeCell ref="D25:G25"/>
    <mergeCell ref="B20:C20"/>
    <mergeCell ref="D20:G20"/>
    <mergeCell ref="B21:C21"/>
    <mergeCell ref="D21:G21"/>
    <mergeCell ref="B22:C22"/>
    <mergeCell ref="D22:G22"/>
    <mergeCell ref="B17:C17"/>
    <mergeCell ref="D17:G17"/>
    <mergeCell ref="B18:C18"/>
    <mergeCell ref="D18:G18"/>
    <mergeCell ref="B19:C19"/>
    <mergeCell ref="D19:G19"/>
    <mergeCell ref="B16:C16"/>
    <mergeCell ref="D16:G16"/>
    <mergeCell ref="A8:C8"/>
    <mergeCell ref="D8:I8"/>
    <mergeCell ref="A10:C10"/>
    <mergeCell ref="D10:I10"/>
    <mergeCell ref="A12:I12"/>
    <mergeCell ref="B13:C13"/>
    <mergeCell ref="D13:G13"/>
    <mergeCell ref="A1:C1"/>
    <mergeCell ref="D1:I1"/>
    <mergeCell ref="A3:I3"/>
    <mergeCell ref="A4:I4"/>
    <mergeCell ref="A6:C6"/>
    <mergeCell ref="D6:I6"/>
    <mergeCell ref="B14:C14"/>
    <mergeCell ref="D14:G14"/>
    <mergeCell ref="B15:C15"/>
    <mergeCell ref="D15:G15"/>
  </mergeCells>
  <pageMargins left="0.39370078740157477" right="0.39370078740157477" top="0.74803149606299213" bottom="0.74803149606299213" header="0.31496062992125984" footer="0.31496062992125984"/>
  <pageSetup paperSize="9" orientation="portrait" useFirstPageNumber="1" horizontalDpi="300" verticalDpi="300" r:id="rId1"/>
  <headerFooter alignWithMargins="0">
    <oddFooter>&amp;CСтраница &amp;P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0"/>
  <sheetViews>
    <sheetView workbookViewId="0">
      <selection sqref="A1:C1"/>
    </sheetView>
  </sheetViews>
  <sheetFormatPr defaultColWidth="11.5703125" defaultRowHeight="12.75" x14ac:dyDescent="0.2"/>
  <cols>
    <col min="1" max="1" width="3.7109375" style="124" customWidth="1"/>
    <col min="2" max="2" width="10.5703125" style="124" customWidth="1"/>
    <col min="3" max="3" width="15.42578125" style="124" customWidth="1"/>
    <col min="4" max="4" width="4.28515625" style="124" customWidth="1"/>
    <col min="5" max="7" width="9.28515625" style="124" customWidth="1"/>
    <col min="8" max="8" width="19.5703125" style="124" customWidth="1"/>
    <col min="9" max="9" width="14.5703125" style="124" customWidth="1"/>
    <col min="10" max="10" width="19.7109375" style="121" customWidth="1"/>
    <col min="11" max="256" width="11.5703125" style="121"/>
    <col min="257" max="257" width="3.7109375" style="121" customWidth="1"/>
    <col min="258" max="258" width="10.5703125" style="121" customWidth="1"/>
    <col min="259" max="259" width="15.42578125" style="121" customWidth="1"/>
    <col min="260" max="260" width="4.28515625" style="121" customWidth="1"/>
    <col min="261" max="263" width="9.28515625" style="121" customWidth="1"/>
    <col min="264" max="264" width="19.5703125" style="121" customWidth="1"/>
    <col min="265" max="265" width="14.5703125" style="121" customWidth="1"/>
    <col min="266" max="266" width="19.7109375" style="121" customWidth="1"/>
    <col min="267" max="512" width="11.5703125" style="121"/>
    <col min="513" max="513" width="3.7109375" style="121" customWidth="1"/>
    <col min="514" max="514" width="10.5703125" style="121" customWidth="1"/>
    <col min="515" max="515" width="15.42578125" style="121" customWidth="1"/>
    <col min="516" max="516" width="4.28515625" style="121" customWidth="1"/>
    <col min="517" max="519" width="9.28515625" style="121" customWidth="1"/>
    <col min="520" max="520" width="19.5703125" style="121" customWidth="1"/>
    <col min="521" max="521" width="14.5703125" style="121" customWidth="1"/>
    <col min="522" max="522" width="19.7109375" style="121" customWidth="1"/>
    <col min="523" max="768" width="11.5703125" style="121"/>
    <col min="769" max="769" width="3.7109375" style="121" customWidth="1"/>
    <col min="770" max="770" width="10.5703125" style="121" customWidth="1"/>
    <col min="771" max="771" width="15.42578125" style="121" customWidth="1"/>
    <col min="772" max="772" width="4.28515625" style="121" customWidth="1"/>
    <col min="773" max="775" width="9.28515625" style="121" customWidth="1"/>
    <col min="776" max="776" width="19.5703125" style="121" customWidth="1"/>
    <col min="777" max="777" width="14.5703125" style="121" customWidth="1"/>
    <col min="778" max="778" width="19.7109375" style="121" customWidth="1"/>
    <col min="779" max="1024" width="11.5703125" style="121"/>
    <col min="1025" max="1025" width="3.7109375" style="121" customWidth="1"/>
    <col min="1026" max="1026" width="10.5703125" style="121" customWidth="1"/>
    <col min="1027" max="1027" width="15.42578125" style="121" customWidth="1"/>
    <col min="1028" max="1028" width="4.28515625" style="121" customWidth="1"/>
    <col min="1029" max="1031" width="9.28515625" style="121" customWidth="1"/>
    <col min="1032" max="1032" width="19.5703125" style="121" customWidth="1"/>
    <col min="1033" max="1033" width="14.5703125" style="121" customWidth="1"/>
    <col min="1034" max="1034" width="19.7109375" style="121" customWidth="1"/>
    <col min="1035" max="1280" width="11.5703125" style="121"/>
    <col min="1281" max="1281" width="3.7109375" style="121" customWidth="1"/>
    <col min="1282" max="1282" width="10.5703125" style="121" customWidth="1"/>
    <col min="1283" max="1283" width="15.42578125" style="121" customWidth="1"/>
    <col min="1284" max="1284" width="4.28515625" style="121" customWidth="1"/>
    <col min="1285" max="1287" width="9.28515625" style="121" customWidth="1"/>
    <col min="1288" max="1288" width="19.5703125" style="121" customWidth="1"/>
    <col min="1289" max="1289" width="14.5703125" style="121" customWidth="1"/>
    <col min="1290" max="1290" width="19.7109375" style="121" customWidth="1"/>
    <col min="1291" max="1536" width="11.5703125" style="121"/>
    <col min="1537" max="1537" width="3.7109375" style="121" customWidth="1"/>
    <col min="1538" max="1538" width="10.5703125" style="121" customWidth="1"/>
    <col min="1539" max="1539" width="15.42578125" style="121" customWidth="1"/>
    <col min="1540" max="1540" width="4.28515625" style="121" customWidth="1"/>
    <col min="1541" max="1543" width="9.28515625" style="121" customWidth="1"/>
    <col min="1544" max="1544" width="19.5703125" style="121" customWidth="1"/>
    <col min="1545" max="1545" width="14.5703125" style="121" customWidth="1"/>
    <col min="1546" max="1546" width="19.7109375" style="121" customWidth="1"/>
    <col min="1547" max="1792" width="11.5703125" style="121"/>
    <col min="1793" max="1793" width="3.7109375" style="121" customWidth="1"/>
    <col min="1794" max="1794" width="10.5703125" style="121" customWidth="1"/>
    <col min="1795" max="1795" width="15.42578125" style="121" customWidth="1"/>
    <col min="1796" max="1796" width="4.28515625" style="121" customWidth="1"/>
    <col min="1797" max="1799" width="9.28515625" style="121" customWidth="1"/>
    <col min="1800" max="1800" width="19.5703125" style="121" customWidth="1"/>
    <col min="1801" max="1801" width="14.5703125" style="121" customWidth="1"/>
    <col min="1802" max="1802" width="19.7109375" style="121" customWidth="1"/>
    <col min="1803" max="2048" width="11.5703125" style="121"/>
    <col min="2049" max="2049" width="3.7109375" style="121" customWidth="1"/>
    <col min="2050" max="2050" width="10.5703125" style="121" customWidth="1"/>
    <col min="2051" max="2051" width="15.42578125" style="121" customWidth="1"/>
    <col min="2052" max="2052" width="4.28515625" style="121" customWidth="1"/>
    <col min="2053" max="2055" width="9.28515625" style="121" customWidth="1"/>
    <col min="2056" max="2056" width="19.5703125" style="121" customWidth="1"/>
    <col min="2057" max="2057" width="14.5703125" style="121" customWidth="1"/>
    <col min="2058" max="2058" width="19.7109375" style="121" customWidth="1"/>
    <col min="2059" max="2304" width="11.5703125" style="121"/>
    <col min="2305" max="2305" width="3.7109375" style="121" customWidth="1"/>
    <col min="2306" max="2306" width="10.5703125" style="121" customWidth="1"/>
    <col min="2307" max="2307" width="15.42578125" style="121" customWidth="1"/>
    <col min="2308" max="2308" width="4.28515625" style="121" customWidth="1"/>
    <col min="2309" max="2311" width="9.28515625" style="121" customWidth="1"/>
    <col min="2312" max="2312" width="19.5703125" style="121" customWidth="1"/>
    <col min="2313" max="2313" width="14.5703125" style="121" customWidth="1"/>
    <col min="2314" max="2314" width="19.7109375" style="121" customWidth="1"/>
    <col min="2315" max="2560" width="11.5703125" style="121"/>
    <col min="2561" max="2561" width="3.7109375" style="121" customWidth="1"/>
    <col min="2562" max="2562" width="10.5703125" style="121" customWidth="1"/>
    <col min="2563" max="2563" width="15.42578125" style="121" customWidth="1"/>
    <col min="2564" max="2564" width="4.28515625" style="121" customWidth="1"/>
    <col min="2565" max="2567" width="9.28515625" style="121" customWidth="1"/>
    <col min="2568" max="2568" width="19.5703125" style="121" customWidth="1"/>
    <col min="2569" max="2569" width="14.5703125" style="121" customWidth="1"/>
    <col min="2570" max="2570" width="19.7109375" style="121" customWidth="1"/>
    <col min="2571" max="2816" width="11.5703125" style="121"/>
    <col min="2817" max="2817" width="3.7109375" style="121" customWidth="1"/>
    <col min="2818" max="2818" width="10.5703125" style="121" customWidth="1"/>
    <col min="2819" max="2819" width="15.42578125" style="121" customWidth="1"/>
    <col min="2820" max="2820" width="4.28515625" style="121" customWidth="1"/>
    <col min="2821" max="2823" width="9.28515625" style="121" customWidth="1"/>
    <col min="2824" max="2824" width="19.5703125" style="121" customWidth="1"/>
    <col min="2825" max="2825" width="14.5703125" style="121" customWidth="1"/>
    <col min="2826" max="2826" width="19.7109375" style="121" customWidth="1"/>
    <col min="2827" max="3072" width="11.5703125" style="121"/>
    <col min="3073" max="3073" width="3.7109375" style="121" customWidth="1"/>
    <col min="3074" max="3074" width="10.5703125" style="121" customWidth="1"/>
    <col min="3075" max="3075" width="15.42578125" style="121" customWidth="1"/>
    <col min="3076" max="3076" width="4.28515625" style="121" customWidth="1"/>
    <col min="3077" max="3079" width="9.28515625" style="121" customWidth="1"/>
    <col min="3080" max="3080" width="19.5703125" style="121" customWidth="1"/>
    <col min="3081" max="3081" width="14.5703125" style="121" customWidth="1"/>
    <col min="3082" max="3082" width="19.7109375" style="121" customWidth="1"/>
    <col min="3083" max="3328" width="11.5703125" style="121"/>
    <col min="3329" max="3329" width="3.7109375" style="121" customWidth="1"/>
    <col min="3330" max="3330" width="10.5703125" style="121" customWidth="1"/>
    <col min="3331" max="3331" width="15.42578125" style="121" customWidth="1"/>
    <col min="3332" max="3332" width="4.28515625" style="121" customWidth="1"/>
    <col min="3333" max="3335" width="9.28515625" style="121" customWidth="1"/>
    <col min="3336" max="3336" width="19.5703125" style="121" customWidth="1"/>
    <col min="3337" max="3337" width="14.5703125" style="121" customWidth="1"/>
    <col min="3338" max="3338" width="19.7109375" style="121" customWidth="1"/>
    <col min="3339" max="3584" width="11.5703125" style="121"/>
    <col min="3585" max="3585" width="3.7109375" style="121" customWidth="1"/>
    <col min="3586" max="3586" width="10.5703125" style="121" customWidth="1"/>
    <col min="3587" max="3587" width="15.42578125" style="121" customWidth="1"/>
    <col min="3588" max="3588" width="4.28515625" style="121" customWidth="1"/>
    <col min="3589" max="3591" width="9.28515625" style="121" customWidth="1"/>
    <col min="3592" max="3592" width="19.5703125" style="121" customWidth="1"/>
    <col min="3593" max="3593" width="14.5703125" style="121" customWidth="1"/>
    <col min="3594" max="3594" width="19.7109375" style="121" customWidth="1"/>
    <col min="3595" max="3840" width="11.5703125" style="121"/>
    <col min="3841" max="3841" width="3.7109375" style="121" customWidth="1"/>
    <col min="3842" max="3842" width="10.5703125" style="121" customWidth="1"/>
    <col min="3843" max="3843" width="15.42578125" style="121" customWidth="1"/>
    <col min="3844" max="3844" width="4.28515625" style="121" customWidth="1"/>
    <col min="3845" max="3847" width="9.28515625" style="121" customWidth="1"/>
    <col min="3848" max="3848" width="19.5703125" style="121" customWidth="1"/>
    <col min="3849" max="3849" width="14.5703125" style="121" customWidth="1"/>
    <col min="3850" max="3850" width="19.7109375" style="121" customWidth="1"/>
    <col min="3851" max="4096" width="11.5703125" style="121"/>
    <col min="4097" max="4097" width="3.7109375" style="121" customWidth="1"/>
    <col min="4098" max="4098" width="10.5703125" style="121" customWidth="1"/>
    <col min="4099" max="4099" width="15.42578125" style="121" customWidth="1"/>
    <col min="4100" max="4100" width="4.28515625" style="121" customWidth="1"/>
    <col min="4101" max="4103" width="9.28515625" style="121" customWidth="1"/>
    <col min="4104" max="4104" width="19.5703125" style="121" customWidth="1"/>
    <col min="4105" max="4105" width="14.5703125" style="121" customWidth="1"/>
    <col min="4106" max="4106" width="19.7109375" style="121" customWidth="1"/>
    <col min="4107" max="4352" width="11.5703125" style="121"/>
    <col min="4353" max="4353" width="3.7109375" style="121" customWidth="1"/>
    <col min="4354" max="4354" width="10.5703125" style="121" customWidth="1"/>
    <col min="4355" max="4355" width="15.42578125" style="121" customWidth="1"/>
    <col min="4356" max="4356" width="4.28515625" style="121" customWidth="1"/>
    <col min="4357" max="4359" width="9.28515625" style="121" customWidth="1"/>
    <col min="4360" max="4360" width="19.5703125" style="121" customWidth="1"/>
    <col min="4361" max="4361" width="14.5703125" style="121" customWidth="1"/>
    <col min="4362" max="4362" width="19.7109375" style="121" customWidth="1"/>
    <col min="4363" max="4608" width="11.5703125" style="121"/>
    <col min="4609" max="4609" width="3.7109375" style="121" customWidth="1"/>
    <col min="4610" max="4610" width="10.5703125" style="121" customWidth="1"/>
    <col min="4611" max="4611" width="15.42578125" style="121" customWidth="1"/>
    <col min="4612" max="4612" width="4.28515625" style="121" customWidth="1"/>
    <col min="4613" max="4615" width="9.28515625" style="121" customWidth="1"/>
    <col min="4616" max="4616" width="19.5703125" style="121" customWidth="1"/>
    <col min="4617" max="4617" width="14.5703125" style="121" customWidth="1"/>
    <col min="4618" max="4618" width="19.7109375" style="121" customWidth="1"/>
    <col min="4619" max="4864" width="11.5703125" style="121"/>
    <col min="4865" max="4865" width="3.7109375" style="121" customWidth="1"/>
    <col min="4866" max="4866" width="10.5703125" style="121" customWidth="1"/>
    <col min="4867" max="4867" width="15.42578125" style="121" customWidth="1"/>
    <col min="4868" max="4868" width="4.28515625" style="121" customWidth="1"/>
    <col min="4869" max="4871" width="9.28515625" style="121" customWidth="1"/>
    <col min="4872" max="4872" width="19.5703125" style="121" customWidth="1"/>
    <col min="4873" max="4873" width="14.5703125" style="121" customWidth="1"/>
    <col min="4874" max="4874" width="19.7109375" style="121" customWidth="1"/>
    <col min="4875" max="5120" width="11.5703125" style="121"/>
    <col min="5121" max="5121" width="3.7109375" style="121" customWidth="1"/>
    <col min="5122" max="5122" width="10.5703125" style="121" customWidth="1"/>
    <col min="5123" max="5123" width="15.42578125" style="121" customWidth="1"/>
    <col min="5124" max="5124" width="4.28515625" style="121" customWidth="1"/>
    <col min="5125" max="5127" width="9.28515625" style="121" customWidth="1"/>
    <col min="5128" max="5128" width="19.5703125" style="121" customWidth="1"/>
    <col min="5129" max="5129" width="14.5703125" style="121" customWidth="1"/>
    <col min="5130" max="5130" width="19.7109375" style="121" customWidth="1"/>
    <col min="5131" max="5376" width="11.5703125" style="121"/>
    <col min="5377" max="5377" width="3.7109375" style="121" customWidth="1"/>
    <col min="5378" max="5378" width="10.5703125" style="121" customWidth="1"/>
    <col min="5379" max="5379" width="15.42578125" style="121" customWidth="1"/>
    <col min="5380" max="5380" width="4.28515625" style="121" customWidth="1"/>
    <col min="5381" max="5383" width="9.28515625" style="121" customWidth="1"/>
    <col min="5384" max="5384" width="19.5703125" style="121" customWidth="1"/>
    <col min="5385" max="5385" width="14.5703125" style="121" customWidth="1"/>
    <col min="5386" max="5386" width="19.7109375" style="121" customWidth="1"/>
    <col min="5387" max="5632" width="11.5703125" style="121"/>
    <col min="5633" max="5633" width="3.7109375" style="121" customWidth="1"/>
    <col min="5634" max="5634" width="10.5703125" style="121" customWidth="1"/>
    <col min="5635" max="5635" width="15.42578125" style="121" customWidth="1"/>
    <col min="5636" max="5636" width="4.28515625" style="121" customWidth="1"/>
    <col min="5637" max="5639" width="9.28515625" style="121" customWidth="1"/>
    <col min="5640" max="5640" width="19.5703125" style="121" customWidth="1"/>
    <col min="5641" max="5641" width="14.5703125" style="121" customWidth="1"/>
    <col min="5642" max="5642" width="19.7109375" style="121" customWidth="1"/>
    <col min="5643" max="5888" width="11.5703125" style="121"/>
    <col min="5889" max="5889" width="3.7109375" style="121" customWidth="1"/>
    <col min="5890" max="5890" width="10.5703125" style="121" customWidth="1"/>
    <col min="5891" max="5891" width="15.42578125" style="121" customWidth="1"/>
    <col min="5892" max="5892" width="4.28515625" style="121" customWidth="1"/>
    <col min="5893" max="5895" width="9.28515625" style="121" customWidth="1"/>
    <col min="5896" max="5896" width="19.5703125" style="121" customWidth="1"/>
    <col min="5897" max="5897" width="14.5703125" style="121" customWidth="1"/>
    <col min="5898" max="5898" width="19.7109375" style="121" customWidth="1"/>
    <col min="5899" max="6144" width="11.5703125" style="121"/>
    <col min="6145" max="6145" width="3.7109375" style="121" customWidth="1"/>
    <col min="6146" max="6146" width="10.5703125" style="121" customWidth="1"/>
    <col min="6147" max="6147" width="15.42578125" style="121" customWidth="1"/>
    <col min="6148" max="6148" width="4.28515625" style="121" customWidth="1"/>
    <col min="6149" max="6151" width="9.28515625" style="121" customWidth="1"/>
    <col min="6152" max="6152" width="19.5703125" style="121" customWidth="1"/>
    <col min="6153" max="6153" width="14.5703125" style="121" customWidth="1"/>
    <col min="6154" max="6154" width="19.7109375" style="121" customWidth="1"/>
    <col min="6155" max="6400" width="11.5703125" style="121"/>
    <col min="6401" max="6401" width="3.7109375" style="121" customWidth="1"/>
    <col min="6402" max="6402" width="10.5703125" style="121" customWidth="1"/>
    <col min="6403" max="6403" width="15.42578125" style="121" customWidth="1"/>
    <col min="6404" max="6404" width="4.28515625" style="121" customWidth="1"/>
    <col min="6405" max="6407" width="9.28515625" style="121" customWidth="1"/>
    <col min="6408" max="6408" width="19.5703125" style="121" customWidth="1"/>
    <col min="6409" max="6409" width="14.5703125" style="121" customWidth="1"/>
    <col min="6410" max="6410" width="19.7109375" style="121" customWidth="1"/>
    <col min="6411" max="6656" width="11.5703125" style="121"/>
    <col min="6657" max="6657" width="3.7109375" style="121" customWidth="1"/>
    <col min="6658" max="6658" width="10.5703125" style="121" customWidth="1"/>
    <col min="6659" max="6659" width="15.42578125" style="121" customWidth="1"/>
    <col min="6660" max="6660" width="4.28515625" style="121" customWidth="1"/>
    <col min="6661" max="6663" width="9.28515625" style="121" customWidth="1"/>
    <col min="6664" max="6664" width="19.5703125" style="121" customWidth="1"/>
    <col min="6665" max="6665" width="14.5703125" style="121" customWidth="1"/>
    <col min="6666" max="6666" width="19.7109375" style="121" customWidth="1"/>
    <col min="6667" max="6912" width="11.5703125" style="121"/>
    <col min="6913" max="6913" width="3.7109375" style="121" customWidth="1"/>
    <col min="6914" max="6914" width="10.5703125" style="121" customWidth="1"/>
    <col min="6915" max="6915" width="15.42578125" style="121" customWidth="1"/>
    <col min="6916" max="6916" width="4.28515625" style="121" customWidth="1"/>
    <col min="6917" max="6919" width="9.28515625" style="121" customWidth="1"/>
    <col min="6920" max="6920" width="19.5703125" style="121" customWidth="1"/>
    <col min="6921" max="6921" width="14.5703125" style="121" customWidth="1"/>
    <col min="6922" max="6922" width="19.7109375" style="121" customWidth="1"/>
    <col min="6923" max="7168" width="11.5703125" style="121"/>
    <col min="7169" max="7169" width="3.7109375" style="121" customWidth="1"/>
    <col min="7170" max="7170" width="10.5703125" style="121" customWidth="1"/>
    <col min="7171" max="7171" width="15.42578125" style="121" customWidth="1"/>
    <col min="7172" max="7172" width="4.28515625" style="121" customWidth="1"/>
    <col min="7173" max="7175" width="9.28515625" style="121" customWidth="1"/>
    <col min="7176" max="7176" width="19.5703125" style="121" customWidth="1"/>
    <col min="7177" max="7177" width="14.5703125" style="121" customWidth="1"/>
    <col min="7178" max="7178" width="19.7109375" style="121" customWidth="1"/>
    <col min="7179" max="7424" width="11.5703125" style="121"/>
    <col min="7425" max="7425" width="3.7109375" style="121" customWidth="1"/>
    <col min="7426" max="7426" width="10.5703125" style="121" customWidth="1"/>
    <col min="7427" max="7427" width="15.42578125" style="121" customWidth="1"/>
    <col min="7428" max="7428" width="4.28515625" style="121" customWidth="1"/>
    <col min="7429" max="7431" width="9.28515625" style="121" customWidth="1"/>
    <col min="7432" max="7432" width="19.5703125" style="121" customWidth="1"/>
    <col min="7433" max="7433" width="14.5703125" style="121" customWidth="1"/>
    <col min="7434" max="7434" width="19.7109375" style="121" customWidth="1"/>
    <col min="7435" max="7680" width="11.5703125" style="121"/>
    <col min="7681" max="7681" width="3.7109375" style="121" customWidth="1"/>
    <col min="7682" max="7682" width="10.5703125" style="121" customWidth="1"/>
    <col min="7683" max="7683" width="15.42578125" style="121" customWidth="1"/>
    <col min="7684" max="7684" width="4.28515625" style="121" customWidth="1"/>
    <col min="7685" max="7687" width="9.28515625" style="121" customWidth="1"/>
    <col min="7688" max="7688" width="19.5703125" style="121" customWidth="1"/>
    <col min="7689" max="7689" width="14.5703125" style="121" customWidth="1"/>
    <col min="7690" max="7690" width="19.7109375" style="121" customWidth="1"/>
    <col min="7691" max="7936" width="11.5703125" style="121"/>
    <col min="7937" max="7937" width="3.7109375" style="121" customWidth="1"/>
    <col min="7938" max="7938" width="10.5703125" style="121" customWidth="1"/>
    <col min="7939" max="7939" width="15.42578125" style="121" customWidth="1"/>
    <col min="7940" max="7940" width="4.28515625" style="121" customWidth="1"/>
    <col min="7941" max="7943" width="9.28515625" style="121" customWidth="1"/>
    <col min="7944" max="7944" width="19.5703125" style="121" customWidth="1"/>
    <col min="7945" max="7945" width="14.5703125" style="121" customWidth="1"/>
    <col min="7946" max="7946" width="19.7109375" style="121" customWidth="1"/>
    <col min="7947" max="8192" width="11.5703125" style="121"/>
    <col min="8193" max="8193" width="3.7109375" style="121" customWidth="1"/>
    <col min="8194" max="8194" width="10.5703125" style="121" customWidth="1"/>
    <col min="8195" max="8195" width="15.42578125" style="121" customWidth="1"/>
    <col min="8196" max="8196" width="4.28515625" style="121" customWidth="1"/>
    <col min="8197" max="8199" width="9.28515625" style="121" customWidth="1"/>
    <col min="8200" max="8200" width="19.5703125" style="121" customWidth="1"/>
    <col min="8201" max="8201" width="14.5703125" style="121" customWidth="1"/>
    <col min="8202" max="8202" width="19.7109375" style="121" customWidth="1"/>
    <col min="8203" max="8448" width="11.5703125" style="121"/>
    <col min="8449" max="8449" width="3.7109375" style="121" customWidth="1"/>
    <col min="8450" max="8450" width="10.5703125" style="121" customWidth="1"/>
    <col min="8451" max="8451" width="15.42578125" style="121" customWidth="1"/>
    <col min="8452" max="8452" width="4.28515625" style="121" customWidth="1"/>
    <col min="8453" max="8455" width="9.28515625" style="121" customWidth="1"/>
    <col min="8456" max="8456" width="19.5703125" style="121" customWidth="1"/>
    <col min="8457" max="8457" width="14.5703125" style="121" customWidth="1"/>
    <col min="8458" max="8458" width="19.7109375" style="121" customWidth="1"/>
    <col min="8459" max="8704" width="11.5703125" style="121"/>
    <col min="8705" max="8705" width="3.7109375" style="121" customWidth="1"/>
    <col min="8706" max="8706" width="10.5703125" style="121" customWidth="1"/>
    <col min="8707" max="8707" width="15.42578125" style="121" customWidth="1"/>
    <col min="8708" max="8708" width="4.28515625" style="121" customWidth="1"/>
    <col min="8709" max="8711" width="9.28515625" style="121" customWidth="1"/>
    <col min="8712" max="8712" width="19.5703125" style="121" customWidth="1"/>
    <col min="8713" max="8713" width="14.5703125" style="121" customWidth="1"/>
    <col min="8714" max="8714" width="19.7109375" style="121" customWidth="1"/>
    <col min="8715" max="8960" width="11.5703125" style="121"/>
    <col min="8961" max="8961" width="3.7109375" style="121" customWidth="1"/>
    <col min="8962" max="8962" width="10.5703125" style="121" customWidth="1"/>
    <col min="8963" max="8963" width="15.42578125" style="121" customWidth="1"/>
    <col min="8964" max="8964" width="4.28515625" style="121" customWidth="1"/>
    <col min="8965" max="8967" width="9.28515625" style="121" customWidth="1"/>
    <col min="8968" max="8968" width="19.5703125" style="121" customWidth="1"/>
    <col min="8969" max="8969" width="14.5703125" style="121" customWidth="1"/>
    <col min="8970" max="8970" width="19.7109375" style="121" customWidth="1"/>
    <col min="8971" max="9216" width="11.5703125" style="121"/>
    <col min="9217" max="9217" width="3.7109375" style="121" customWidth="1"/>
    <col min="9218" max="9218" width="10.5703125" style="121" customWidth="1"/>
    <col min="9219" max="9219" width="15.42578125" style="121" customWidth="1"/>
    <col min="9220" max="9220" width="4.28515625" style="121" customWidth="1"/>
    <col min="9221" max="9223" width="9.28515625" style="121" customWidth="1"/>
    <col min="9224" max="9224" width="19.5703125" style="121" customWidth="1"/>
    <col min="9225" max="9225" width="14.5703125" style="121" customWidth="1"/>
    <col min="9226" max="9226" width="19.7109375" style="121" customWidth="1"/>
    <col min="9227" max="9472" width="11.5703125" style="121"/>
    <col min="9473" max="9473" width="3.7109375" style="121" customWidth="1"/>
    <col min="9474" max="9474" width="10.5703125" style="121" customWidth="1"/>
    <col min="9475" max="9475" width="15.42578125" style="121" customWidth="1"/>
    <col min="9476" max="9476" width="4.28515625" style="121" customWidth="1"/>
    <col min="9477" max="9479" width="9.28515625" style="121" customWidth="1"/>
    <col min="9480" max="9480" width="19.5703125" style="121" customWidth="1"/>
    <col min="9481" max="9481" width="14.5703125" style="121" customWidth="1"/>
    <col min="9482" max="9482" width="19.7109375" style="121" customWidth="1"/>
    <col min="9483" max="9728" width="11.5703125" style="121"/>
    <col min="9729" max="9729" width="3.7109375" style="121" customWidth="1"/>
    <col min="9730" max="9730" width="10.5703125" style="121" customWidth="1"/>
    <col min="9731" max="9731" width="15.42578125" style="121" customWidth="1"/>
    <col min="9732" max="9732" width="4.28515625" style="121" customWidth="1"/>
    <col min="9733" max="9735" width="9.28515625" style="121" customWidth="1"/>
    <col min="9736" max="9736" width="19.5703125" style="121" customWidth="1"/>
    <col min="9737" max="9737" width="14.5703125" style="121" customWidth="1"/>
    <col min="9738" max="9738" width="19.7109375" style="121" customWidth="1"/>
    <col min="9739" max="9984" width="11.5703125" style="121"/>
    <col min="9985" max="9985" width="3.7109375" style="121" customWidth="1"/>
    <col min="9986" max="9986" width="10.5703125" style="121" customWidth="1"/>
    <col min="9987" max="9987" width="15.42578125" style="121" customWidth="1"/>
    <col min="9988" max="9988" width="4.28515625" style="121" customWidth="1"/>
    <col min="9989" max="9991" width="9.28515625" style="121" customWidth="1"/>
    <col min="9992" max="9992" width="19.5703125" style="121" customWidth="1"/>
    <col min="9993" max="9993" width="14.5703125" style="121" customWidth="1"/>
    <col min="9994" max="9994" width="19.7109375" style="121" customWidth="1"/>
    <col min="9995" max="10240" width="11.5703125" style="121"/>
    <col min="10241" max="10241" width="3.7109375" style="121" customWidth="1"/>
    <col min="10242" max="10242" width="10.5703125" style="121" customWidth="1"/>
    <col min="10243" max="10243" width="15.42578125" style="121" customWidth="1"/>
    <col min="10244" max="10244" width="4.28515625" style="121" customWidth="1"/>
    <col min="10245" max="10247" width="9.28515625" style="121" customWidth="1"/>
    <col min="10248" max="10248" width="19.5703125" style="121" customWidth="1"/>
    <col min="10249" max="10249" width="14.5703125" style="121" customWidth="1"/>
    <col min="10250" max="10250" width="19.7109375" style="121" customWidth="1"/>
    <col min="10251" max="10496" width="11.5703125" style="121"/>
    <col min="10497" max="10497" width="3.7109375" style="121" customWidth="1"/>
    <col min="10498" max="10498" width="10.5703125" style="121" customWidth="1"/>
    <col min="10499" max="10499" width="15.42578125" style="121" customWidth="1"/>
    <col min="10500" max="10500" width="4.28515625" style="121" customWidth="1"/>
    <col min="10501" max="10503" width="9.28515625" style="121" customWidth="1"/>
    <col min="10504" max="10504" width="19.5703125" style="121" customWidth="1"/>
    <col min="10505" max="10505" width="14.5703125" style="121" customWidth="1"/>
    <col min="10506" max="10506" width="19.7109375" style="121" customWidth="1"/>
    <col min="10507" max="10752" width="11.5703125" style="121"/>
    <col min="10753" max="10753" width="3.7109375" style="121" customWidth="1"/>
    <col min="10754" max="10754" width="10.5703125" style="121" customWidth="1"/>
    <col min="10755" max="10755" width="15.42578125" style="121" customWidth="1"/>
    <col min="10756" max="10756" width="4.28515625" style="121" customWidth="1"/>
    <col min="10757" max="10759" width="9.28515625" style="121" customWidth="1"/>
    <col min="10760" max="10760" width="19.5703125" style="121" customWidth="1"/>
    <col min="10761" max="10761" width="14.5703125" style="121" customWidth="1"/>
    <col min="10762" max="10762" width="19.7109375" style="121" customWidth="1"/>
    <col min="10763" max="11008" width="11.5703125" style="121"/>
    <col min="11009" max="11009" width="3.7109375" style="121" customWidth="1"/>
    <col min="11010" max="11010" width="10.5703125" style="121" customWidth="1"/>
    <col min="11011" max="11011" width="15.42578125" style="121" customWidth="1"/>
    <col min="11012" max="11012" width="4.28515625" style="121" customWidth="1"/>
    <col min="11013" max="11015" width="9.28515625" style="121" customWidth="1"/>
    <col min="11016" max="11016" width="19.5703125" style="121" customWidth="1"/>
    <col min="11017" max="11017" width="14.5703125" style="121" customWidth="1"/>
    <col min="11018" max="11018" width="19.7109375" style="121" customWidth="1"/>
    <col min="11019" max="11264" width="11.5703125" style="121"/>
    <col min="11265" max="11265" width="3.7109375" style="121" customWidth="1"/>
    <col min="11266" max="11266" width="10.5703125" style="121" customWidth="1"/>
    <col min="11267" max="11267" width="15.42578125" style="121" customWidth="1"/>
    <col min="11268" max="11268" width="4.28515625" style="121" customWidth="1"/>
    <col min="11269" max="11271" width="9.28515625" style="121" customWidth="1"/>
    <col min="11272" max="11272" width="19.5703125" style="121" customWidth="1"/>
    <col min="11273" max="11273" width="14.5703125" style="121" customWidth="1"/>
    <col min="11274" max="11274" width="19.7109375" style="121" customWidth="1"/>
    <col min="11275" max="11520" width="11.5703125" style="121"/>
    <col min="11521" max="11521" width="3.7109375" style="121" customWidth="1"/>
    <col min="11522" max="11522" width="10.5703125" style="121" customWidth="1"/>
    <col min="11523" max="11523" width="15.42578125" style="121" customWidth="1"/>
    <col min="11524" max="11524" width="4.28515625" style="121" customWidth="1"/>
    <col min="11525" max="11527" width="9.28515625" style="121" customWidth="1"/>
    <col min="11528" max="11528" width="19.5703125" style="121" customWidth="1"/>
    <col min="11529" max="11529" width="14.5703125" style="121" customWidth="1"/>
    <col min="11530" max="11530" width="19.7109375" style="121" customWidth="1"/>
    <col min="11531" max="11776" width="11.5703125" style="121"/>
    <col min="11777" max="11777" width="3.7109375" style="121" customWidth="1"/>
    <col min="11778" max="11778" width="10.5703125" style="121" customWidth="1"/>
    <col min="11779" max="11779" width="15.42578125" style="121" customWidth="1"/>
    <col min="11780" max="11780" width="4.28515625" style="121" customWidth="1"/>
    <col min="11781" max="11783" width="9.28515625" style="121" customWidth="1"/>
    <col min="11784" max="11784" width="19.5703125" style="121" customWidth="1"/>
    <col min="11785" max="11785" width="14.5703125" style="121" customWidth="1"/>
    <col min="11786" max="11786" width="19.7109375" style="121" customWidth="1"/>
    <col min="11787" max="12032" width="11.5703125" style="121"/>
    <col min="12033" max="12033" width="3.7109375" style="121" customWidth="1"/>
    <col min="12034" max="12034" width="10.5703125" style="121" customWidth="1"/>
    <col min="12035" max="12035" width="15.42578125" style="121" customWidth="1"/>
    <col min="12036" max="12036" width="4.28515625" style="121" customWidth="1"/>
    <col min="12037" max="12039" width="9.28515625" style="121" customWidth="1"/>
    <col min="12040" max="12040" width="19.5703125" style="121" customWidth="1"/>
    <col min="12041" max="12041" width="14.5703125" style="121" customWidth="1"/>
    <col min="12042" max="12042" width="19.7109375" style="121" customWidth="1"/>
    <col min="12043" max="12288" width="11.5703125" style="121"/>
    <col min="12289" max="12289" width="3.7109375" style="121" customWidth="1"/>
    <col min="12290" max="12290" width="10.5703125" style="121" customWidth="1"/>
    <col min="12291" max="12291" width="15.42578125" style="121" customWidth="1"/>
    <col min="12292" max="12292" width="4.28515625" style="121" customWidth="1"/>
    <col min="12293" max="12295" width="9.28515625" style="121" customWidth="1"/>
    <col min="12296" max="12296" width="19.5703125" style="121" customWidth="1"/>
    <col min="12297" max="12297" width="14.5703125" style="121" customWidth="1"/>
    <col min="12298" max="12298" width="19.7109375" style="121" customWidth="1"/>
    <col min="12299" max="12544" width="11.5703125" style="121"/>
    <col min="12545" max="12545" width="3.7109375" style="121" customWidth="1"/>
    <col min="12546" max="12546" width="10.5703125" style="121" customWidth="1"/>
    <col min="12547" max="12547" width="15.42578125" style="121" customWidth="1"/>
    <col min="12548" max="12548" width="4.28515625" style="121" customWidth="1"/>
    <col min="12549" max="12551" width="9.28515625" style="121" customWidth="1"/>
    <col min="12552" max="12552" width="19.5703125" style="121" customWidth="1"/>
    <col min="12553" max="12553" width="14.5703125" style="121" customWidth="1"/>
    <col min="12554" max="12554" width="19.7109375" style="121" customWidth="1"/>
    <col min="12555" max="12800" width="11.5703125" style="121"/>
    <col min="12801" max="12801" width="3.7109375" style="121" customWidth="1"/>
    <col min="12802" max="12802" width="10.5703125" style="121" customWidth="1"/>
    <col min="12803" max="12803" width="15.42578125" style="121" customWidth="1"/>
    <col min="12804" max="12804" width="4.28515625" style="121" customWidth="1"/>
    <col min="12805" max="12807" width="9.28515625" style="121" customWidth="1"/>
    <col min="12808" max="12808" width="19.5703125" style="121" customWidth="1"/>
    <col min="12809" max="12809" width="14.5703125" style="121" customWidth="1"/>
    <col min="12810" max="12810" width="19.7109375" style="121" customWidth="1"/>
    <col min="12811" max="13056" width="11.5703125" style="121"/>
    <col min="13057" max="13057" width="3.7109375" style="121" customWidth="1"/>
    <col min="13058" max="13058" width="10.5703125" style="121" customWidth="1"/>
    <col min="13059" max="13059" width="15.42578125" style="121" customWidth="1"/>
    <col min="13060" max="13060" width="4.28515625" style="121" customWidth="1"/>
    <col min="13061" max="13063" width="9.28515625" style="121" customWidth="1"/>
    <col min="13064" max="13064" width="19.5703125" style="121" customWidth="1"/>
    <col min="13065" max="13065" width="14.5703125" style="121" customWidth="1"/>
    <col min="13066" max="13066" width="19.7109375" style="121" customWidth="1"/>
    <col min="13067" max="13312" width="11.5703125" style="121"/>
    <col min="13313" max="13313" width="3.7109375" style="121" customWidth="1"/>
    <col min="13314" max="13314" width="10.5703125" style="121" customWidth="1"/>
    <col min="13315" max="13315" width="15.42578125" style="121" customWidth="1"/>
    <col min="13316" max="13316" width="4.28515625" style="121" customWidth="1"/>
    <col min="13317" max="13319" width="9.28515625" style="121" customWidth="1"/>
    <col min="13320" max="13320" width="19.5703125" style="121" customWidth="1"/>
    <col min="13321" max="13321" width="14.5703125" style="121" customWidth="1"/>
    <col min="13322" max="13322" width="19.7109375" style="121" customWidth="1"/>
    <col min="13323" max="13568" width="11.5703125" style="121"/>
    <col min="13569" max="13569" width="3.7109375" style="121" customWidth="1"/>
    <col min="13570" max="13570" width="10.5703125" style="121" customWidth="1"/>
    <col min="13571" max="13571" width="15.42578125" style="121" customWidth="1"/>
    <col min="13572" max="13572" width="4.28515625" style="121" customWidth="1"/>
    <col min="13573" max="13575" width="9.28515625" style="121" customWidth="1"/>
    <col min="13576" max="13576" width="19.5703125" style="121" customWidth="1"/>
    <col min="13577" max="13577" width="14.5703125" style="121" customWidth="1"/>
    <col min="13578" max="13578" width="19.7109375" style="121" customWidth="1"/>
    <col min="13579" max="13824" width="11.5703125" style="121"/>
    <col min="13825" max="13825" width="3.7109375" style="121" customWidth="1"/>
    <col min="13826" max="13826" width="10.5703125" style="121" customWidth="1"/>
    <col min="13827" max="13827" width="15.42578125" style="121" customWidth="1"/>
    <col min="13828" max="13828" width="4.28515625" style="121" customWidth="1"/>
    <col min="13829" max="13831" width="9.28515625" style="121" customWidth="1"/>
    <col min="13832" max="13832" width="19.5703125" style="121" customWidth="1"/>
    <col min="13833" max="13833" width="14.5703125" style="121" customWidth="1"/>
    <col min="13834" max="13834" width="19.7109375" style="121" customWidth="1"/>
    <col min="13835" max="14080" width="11.5703125" style="121"/>
    <col min="14081" max="14081" width="3.7109375" style="121" customWidth="1"/>
    <col min="14082" max="14082" width="10.5703125" style="121" customWidth="1"/>
    <col min="14083" max="14083" width="15.42578125" style="121" customWidth="1"/>
    <col min="14084" max="14084" width="4.28515625" style="121" customWidth="1"/>
    <col min="14085" max="14087" width="9.28515625" style="121" customWidth="1"/>
    <col min="14088" max="14088" width="19.5703125" style="121" customWidth="1"/>
    <col min="14089" max="14089" width="14.5703125" style="121" customWidth="1"/>
    <col min="14090" max="14090" width="19.7109375" style="121" customWidth="1"/>
    <col min="14091" max="14336" width="11.5703125" style="121"/>
    <col min="14337" max="14337" width="3.7109375" style="121" customWidth="1"/>
    <col min="14338" max="14338" width="10.5703125" style="121" customWidth="1"/>
    <col min="14339" max="14339" width="15.42578125" style="121" customWidth="1"/>
    <col min="14340" max="14340" width="4.28515625" style="121" customWidth="1"/>
    <col min="14341" max="14343" width="9.28515625" style="121" customWidth="1"/>
    <col min="14344" max="14344" width="19.5703125" style="121" customWidth="1"/>
    <col min="14345" max="14345" width="14.5703125" style="121" customWidth="1"/>
    <col min="14346" max="14346" width="19.7109375" style="121" customWidth="1"/>
    <col min="14347" max="14592" width="11.5703125" style="121"/>
    <col min="14593" max="14593" width="3.7109375" style="121" customWidth="1"/>
    <col min="14594" max="14594" width="10.5703125" style="121" customWidth="1"/>
    <col min="14595" max="14595" width="15.42578125" style="121" customWidth="1"/>
    <col min="14596" max="14596" width="4.28515625" style="121" customWidth="1"/>
    <col min="14597" max="14599" width="9.28515625" style="121" customWidth="1"/>
    <col min="14600" max="14600" width="19.5703125" style="121" customWidth="1"/>
    <col min="14601" max="14601" width="14.5703125" style="121" customWidth="1"/>
    <col min="14602" max="14602" width="19.7109375" style="121" customWidth="1"/>
    <col min="14603" max="14848" width="11.5703125" style="121"/>
    <col min="14849" max="14849" width="3.7109375" style="121" customWidth="1"/>
    <col min="14850" max="14850" width="10.5703125" style="121" customWidth="1"/>
    <col min="14851" max="14851" width="15.42578125" style="121" customWidth="1"/>
    <col min="14852" max="14852" width="4.28515625" style="121" customWidth="1"/>
    <col min="14853" max="14855" width="9.28515625" style="121" customWidth="1"/>
    <col min="14856" max="14856" width="19.5703125" style="121" customWidth="1"/>
    <col min="14857" max="14857" width="14.5703125" style="121" customWidth="1"/>
    <col min="14858" max="14858" width="19.7109375" style="121" customWidth="1"/>
    <col min="14859" max="15104" width="11.5703125" style="121"/>
    <col min="15105" max="15105" width="3.7109375" style="121" customWidth="1"/>
    <col min="15106" max="15106" width="10.5703125" style="121" customWidth="1"/>
    <col min="15107" max="15107" width="15.42578125" style="121" customWidth="1"/>
    <col min="15108" max="15108" width="4.28515625" style="121" customWidth="1"/>
    <col min="15109" max="15111" width="9.28515625" style="121" customWidth="1"/>
    <col min="15112" max="15112" width="19.5703125" style="121" customWidth="1"/>
    <col min="15113" max="15113" width="14.5703125" style="121" customWidth="1"/>
    <col min="15114" max="15114" width="19.7109375" style="121" customWidth="1"/>
    <col min="15115" max="15360" width="11.5703125" style="121"/>
    <col min="15361" max="15361" width="3.7109375" style="121" customWidth="1"/>
    <col min="15362" max="15362" width="10.5703125" style="121" customWidth="1"/>
    <col min="15363" max="15363" width="15.42578125" style="121" customWidth="1"/>
    <col min="15364" max="15364" width="4.28515625" style="121" customWidth="1"/>
    <col min="15365" max="15367" width="9.28515625" style="121" customWidth="1"/>
    <col min="15368" max="15368" width="19.5703125" style="121" customWidth="1"/>
    <col min="15369" max="15369" width="14.5703125" style="121" customWidth="1"/>
    <col min="15370" max="15370" width="19.7109375" style="121" customWidth="1"/>
    <col min="15371" max="15616" width="11.5703125" style="121"/>
    <col min="15617" max="15617" width="3.7109375" style="121" customWidth="1"/>
    <col min="15618" max="15618" width="10.5703125" style="121" customWidth="1"/>
    <col min="15619" max="15619" width="15.42578125" style="121" customWidth="1"/>
    <col min="15620" max="15620" width="4.28515625" style="121" customWidth="1"/>
    <col min="15621" max="15623" width="9.28515625" style="121" customWidth="1"/>
    <col min="15624" max="15624" width="19.5703125" style="121" customWidth="1"/>
    <col min="15625" max="15625" width="14.5703125" style="121" customWidth="1"/>
    <col min="15626" max="15626" width="19.7109375" style="121" customWidth="1"/>
    <col min="15627" max="15872" width="11.5703125" style="121"/>
    <col min="15873" max="15873" width="3.7109375" style="121" customWidth="1"/>
    <col min="15874" max="15874" width="10.5703125" style="121" customWidth="1"/>
    <col min="15875" max="15875" width="15.42578125" style="121" customWidth="1"/>
    <col min="15876" max="15876" width="4.28515625" style="121" customWidth="1"/>
    <col min="15877" max="15879" width="9.28515625" style="121" customWidth="1"/>
    <col min="15880" max="15880" width="19.5703125" style="121" customWidth="1"/>
    <col min="15881" max="15881" width="14.5703125" style="121" customWidth="1"/>
    <col min="15882" max="15882" width="19.7109375" style="121" customWidth="1"/>
    <col min="15883" max="16128" width="11.5703125" style="121"/>
    <col min="16129" max="16129" width="3.7109375" style="121" customWidth="1"/>
    <col min="16130" max="16130" width="10.5703125" style="121" customWidth="1"/>
    <col min="16131" max="16131" width="15.42578125" style="121" customWidth="1"/>
    <col min="16132" max="16132" width="4.28515625" style="121" customWidth="1"/>
    <col min="16133" max="16135" width="9.28515625" style="121" customWidth="1"/>
    <col min="16136" max="16136" width="19.5703125" style="121" customWidth="1"/>
    <col min="16137" max="16137" width="14.5703125" style="121" customWidth="1"/>
    <col min="16138" max="16138" width="19.7109375" style="121" customWidth="1"/>
    <col min="16139" max="16384" width="11.5703125" style="121"/>
  </cols>
  <sheetData>
    <row r="1" spans="1:9" ht="38.25" customHeight="1" x14ac:dyDescent="0.2">
      <c r="A1" s="2092" t="s">
        <v>9616</v>
      </c>
      <c r="B1" s="2092"/>
      <c r="C1" s="2092"/>
      <c r="D1" s="2409" t="s">
        <v>560</v>
      </c>
      <c r="E1" s="2409"/>
      <c r="F1" s="2409"/>
      <c r="G1" s="2409"/>
      <c r="H1" s="2409"/>
      <c r="I1" s="2409"/>
    </row>
    <row r="2" spans="1:9" x14ac:dyDescent="0.2">
      <c r="A2" s="122"/>
      <c r="B2" s="122"/>
      <c r="C2" s="122"/>
      <c r="D2" s="123"/>
      <c r="E2" s="123"/>
      <c r="F2" s="123"/>
      <c r="G2" s="123"/>
      <c r="H2" s="123"/>
      <c r="I2" s="123"/>
    </row>
    <row r="3" spans="1:9" ht="13.15" customHeight="1" x14ac:dyDescent="0.2">
      <c r="A3" s="2299" t="s">
        <v>9617</v>
      </c>
      <c r="B3" s="2299"/>
      <c r="C3" s="2299"/>
      <c r="D3" s="2299"/>
      <c r="E3" s="2299"/>
      <c r="F3" s="2299"/>
      <c r="G3" s="2299"/>
      <c r="H3" s="2299"/>
      <c r="I3" s="2299"/>
    </row>
    <row r="4" spans="1:9" x14ac:dyDescent="0.2">
      <c r="A4" s="2239" t="s">
        <v>9618</v>
      </c>
      <c r="B4" s="2239"/>
      <c r="C4" s="2239"/>
      <c r="D4" s="2239"/>
      <c r="E4" s="2239"/>
      <c r="F4" s="2239"/>
      <c r="G4" s="2239"/>
      <c r="H4" s="2239"/>
      <c r="I4" s="2239"/>
    </row>
    <row r="5" spans="1:9" ht="3.75" customHeight="1" x14ac:dyDescent="0.25">
      <c r="A5" s="1080"/>
      <c r="B5" s="1080"/>
      <c r="C5" s="1080"/>
      <c r="D5" s="1044"/>
      <c r="E5" s="1044"/>
      <c r="F5" s="1044"/>
      <c r="G5" s="1044"/>
      <c r="H5" s="1080"/>
      <c r="I5" s="1080"/>
    </row>
    <row r="6" spans="1:9" ht="66" customHeight="1" x14ac:dyDescent="0.2">
      <c r="A6" s="2304" t="s">
        <v>5846</v>
      </c>
      <c r="B6" s="2304"/>
      <c r="C6" s="2304"/>
      <c r="D6" s="2410" t="s">
        <v>9619</v>
      </c>
      <c r="E6" s="2410"/>
      <c r="F6" s="2410"/>
      <c r="G6" s="2410"/>
      <c r="H6" s="2410"/>
      <c r="I6" s="2410"/>
    </row>
    <row r="7" spans="1:9" ht="3.95" customHeight="1" x14ac:dyDescent="0.25">
      <c r="A7" s="1047"/>
      <c r="B7" s="1047"/>
      <c r="C7" s="1047"/>
      <c r="D7" s="1080"/>
      <c r="E7" s="1080"/>
      <c r="F7" s="1080"/>
      <c r="G7" s="1080"/>
      <c r="H7" s="1080"/>
      <c r="I7" s="1080"/>
    </row>
    <row r="8" spans="1:9" ht="41.25" customHeight="1" x14ac:dyDescent="0.2">
      <c r="A8" s="2304" t="s">
        <v>5848</v>
      </c>
      <c r="B8" s="2304"/>
      <c r="C8" s="2304"/>
      <c r="D8" s="2304" t="s">
        <v>563</v>
      </c>
      <c r="E8" s="2304"/>
      <c r="F8" s="2304"/>
      <c r="G8" s="2304"/>
      <c r="H8" s="2304"/>
      <c r="I8" s="2304"/>
    </row>
    <row r="9" spans="1:9" ht="3.95" customHeight="1" x14ac:dyDescent="0.25">
      <c r="A9" s="1080"/>
      <c r="B9" s="1080"/>
      <c r="C9" s="1080"/>
      <c r="D9" s="1080"/>
      <c r="E9" s="1080"/>
      <c r="F9" s="1080"/>
      <c r="G9" s="1080"/>
      <c r="H9" s="1080"/>
      <c r="I9" s="1080"/>
    </row>
    <row r="10" spans="1:9" ht="30" customHeight="1" x14ac:dyDescent="0.2">
      <c r="A10" s="2304" t="s">
        <v>5849</v>
      </c>
      <c r="B10" s="2304"/>
      <c r="C10" s="2304"/>
      <c r="D10" s="2304" t="s">
        <v>5654</v>
      </c>
      <c r="E10" s="2304"/>
      <c r="F10" s="2304"/>
      <c r="G10" s="2304"/>
      <c r="H10" s="2304"/>
      <c r="I10" s="2304"/>
    </row>
    <row r="11" spans="1:9" ht="3.75" customHeight="1" x14ac:dyDescent="0.2">
      <c r="A11" s="1302"/>
      <c r="B11" s="1302"/>
      <c r="C11" s="1302"/>
      <c r="D11" s="1301"/>
      <c r="E11" s="1301"/>
      <c r="F11" s="1301"/>
      <c r="G11" s="1301"/>
      <c r="H11" s="1302"/>
      <c r="I11" s="1302"/>
    </row>
    <row r="12" spans="1:9" ht="38.25" customHeight="1" x14ac:dyDescent="0.2">
      <c r="A12" s="2036" t="s">
        <v>10128</v>
      </c>
      <c r="B12" s="2036"/>
      <c r="C12" s="2036"/>
      <c r="D12" s="2036"/>
      <c r="E12" s="2036"/>
      <c r="F12" s="2036"/>
      <c r="G12" s="2036"/>
      <c r="H12" s="2036"/>
      <c r="I12" s="2036"/>
    </row>
    <row r="13" spans="1:9" ht="12" customHeight="1" x14ac:dyDescent="0.2"/>
    <row r="14" spans="1:9" ht="100.5" customHeight="1" x14ac:dyDescent="0.2">
      <c r="A14" s="1397" t="s">
        <v>287</v>
      </c>
      <c r="B14" s="2406" t="s">
        <v>5851</v>
      </c>
      <c r="C14" s="2407"/>
      <c r="D14" s="2406" t="s">
        <v>5852</v>
      </c>
      <c r="E14" s="2408"/>
      <c r="F14" s="2408"/>
      <c r="G14" s="2407"/>
      <c r="H14" s="1398" t="s">
        <v>5853</v>
      </c>
      <c r="I14" s="1397" t="s">
        <v>7124</v>
      </c>
    </row>
    <row r="15" spans="1:9" x14ac:dyDescent="0.2">
      <c r="A15" s="1399" t="s">
        <v>185</v>
      </c>
      <c r="B15" s="2086">
        <v>2</v>
      </c>
      <c r="C15" s="2087"/>
      <c r="D15" s="2086">
        <v>3</v>
      </c>
      <c r="E15" s="2403"/>
      <c r="F15" s="2403"/>
      <c r="G15" s="2087"/>
      <c r="H15" s="1400">
        <v>4</v>
      </c>
      <c r="I15" s="1400">
        <v>5</v>
      </c>
    </row>
    <row r="16" spans="1:9" ht="353.25" customHeight="1" x14ac:dyDescent="0.2">
      <c r="A16" s="132" t="s">
        <v>185</v>
      </c>
      <c r="B16" s="2040" t="s">
        <v>8078</v>
      </c>
      <c r="C16" s="2042"/>
      <c r="D16" s="2037" t="s">
        <v>10139</v>
      </c>
      <c r="E16" s="2404"/>
      <c r="F16" s="2404"/>
      <c r="G16" s="2039"/>
      <c r="H16" s="1303" t="s">
        <v>10140</v>
      </c>
      <c r="I16" s="1401">
        <f>ROUND(2409  * 0.0877 * 5.71 + 1643  * 0.0877 * 5.71,3)</f>
        <v>2029.1079999999999</v>
      </c>
    </row>
    <row r="17" spans="1:9" ht="12.95" customHeight="1" x14ac:dyDescent="0.2">
      <c r="A17" s="132" t="s">
        <v>186</v>
      </c>
      <c r="B17" s="2040" t="s">
        <v>588</v>
      </c>
      <c r="C17" s="2042"/>
      <c r="D17" s="2040"/>
      <c r="E17" s="2405"/>
      <c r="F17" s="2405"/>
      <c r="G17" s="2042"/>
      <c r="H17" s="133"/>
      <c r="I17" s="1402">
        <f>ROUND(($I$16),3)</f>
        <v>2029.1079999999999</v>
      </c>
    </row>
    <row r="18" spans="1:9" ht="43.9" customHeight="1" x14ac:dyDescent="0.2">
      <c r="A18" s="1081"/>
      <c r="B18" s="2395" t="s">
        <v>9620</v>
      </c>
      <c r="C18" s="2396"/>
      <c r="D18" s="2397" t="s">
        <v>9621</v>
      </c>
      <c r="E18" s="2398"/>
      <c r="F18" s="2398"/>
      <c r="G18" s="2399"/>
      <c r="H18" s="1082" t="s">
        <v>8079</v>
      </c>
      <c r="I18" s="1083">
        <f>I17/5.71</f>
        <v>355.36</v>
      </c>
    </row>
    <row r="19" spans="1:9" ht="36" customHeight="1" x14ac:dyDescent="0.2">
      <c r="A19" s="1081"/>
      <c r="B19" s="2395" t="s">
        <v>9536</v>
      </c>
      <c r="C19" s="2396"/>
      <c r="D19" s="2400" t="s">
        <v>6388</v>
      </c>
      <c r="E19" s="2401"/>
      <c r="F19" s="2401"/>
      <c r="G19" s="2402"/>
      <c r="H19" s="1082" t="s">
        <v>9537</v>
      </c>
      <c r="I19" s="1083">
        <f>I18/1.19</f>
        <v>298.62200000000001</v>
      </c>
    </row>
    <row r="20" spans="1:9" ht="12.75" customHeight="1" x14ac:dyDescent="0.2">
      <c r="D20" s="1300"/>
    </row>
  </sheetData>
  <mergeCells count="23">
    <mergeCell ref="B14:C14"/>
    <mergeCell ref="D14:G14"/>
    <mergeCell ref="A1:C1"/>
    <mergeCell ref="D1:I1"/>
    <mergeCell ref="A3:I3"/>
    <mergeCell ref="A4:I4"/>
    <mergeCell ref="A6:C6"/>
    <mergeCell ref="D6:I6"/>
    <mergeCell ref="A8:C8"/>
    <mergeCell ref="D8:I8"/>
    <mergeCell ref="A10:C10"/>
    <mergeCell ref="D10:I10"/>
    <mergeCell ref="A12:I12"/>
    <mergeCell ref="B18:C18"/>
    <mergeCell ref="D18:G18"/>
    <mergeCell ref="B19:C19"/>
    <mergeCell ref="D19:G19"/>
    <mergeCell ref="B15:C15"/>
    <mergeCell ref="D15:G15"/>
    <mergeCell ref="B16:C16"/>
    <mergeCell ref="D16:G16"/>
    <mergeCell ref="B17:C17"/>
    <mergeCell ref="D17:G17"/>
  </mergeCells>
  <pageMargins left="0.39370078740157477" right="0.39370078740157477" top="0.74803149606299213" bottom="0.74803149606299213" header="0.31496062992125984" footer="0.31496062992125984"/>
  <pageSetup paperSize="9" orientation="portrait" useFirstPageNumber="1" horizontalDpi="300" verticalDpi="300" r:id="rId1"/>
  <headerFooter alignWithMargins="0">
    <oddFooter>&amp;CСтраница &amp;P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7"/>
  <dimension ref="A1:AB153"/>
  <sheetViews>
    <sheetView topLeftCell="A33" zoomScale="115" zoomScaleNormal="115" workbookViewId="0">
      <selection activeCell="B51" sqref="B51"/>
    </sheetView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7" width="84.42578125" style="537" hidden="1" customWidth="1"/>
    <col min="28" max="28" width="138.42578125" style="537" hidden="1" customWidth="1"/>
    <col min="29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568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159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/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143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7107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594"/>
      <c r="B19" s="594"/>
      <c r="C19" s="594"/>
      <c r="D19" s="594"/>
      <c r="E19" s="594"/>
      <c r="F19" s="594"/>
      <c r="G19" s="594"/>
      <c r="H19" s="594"/>
      <c r="I19" s="594"/>
      <c r="J19" s="594"/>
      <c r="K19" s="594"/>
      <c r="L19" s="594"/>
      <c r="M19" s="594"/>
      <c r="N19" s="594"/>
    </row>
    <row r="20" spans="1:21" s="536" customFormat="1" x14ac:dyDescent="0.2">
      <c r="A20" s="1840" t="s">
        <v>218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218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7106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219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1.46</v>
      </c>
      <c r="D28" s="579" t="s">
        <v>7105</v>
      </c>
      <c r="E28" s="568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568"/>
    </row>
    <row r="30" spans="1:21" s="536" customFormat="1" ht="12.75" customHeight="1" x14ac:dyDescent="0.2">
      <c r="B30" s="536" t="s">
        <v>169</v>
      </c>
      <c r="C30" s="580">
        <v>1.46</v>
      </c>
      <c r="D30" s="579" t="s">
        <v>7105</v>
      </c>
      <c r="E30" s="568" t="s">
        <v>167</v>
      </c>
      <c r="G30" s="536" t="s">
        <v>170</v>
      </c>
      <c r="L30" s="580">
        <v>0</v>
      </c>
      <c r="M30" s="579" t="s">
        <v>171</v>
      </c>
      <c r="N30" s="568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568" t="s">
        <v>167</v>
      </c>
      <c r="G31" s="536" t="s">
        <v>172</v>
      </c>
      <c r="L31" s="582"/>
      <c r="M31" s="582"/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568" t="s">
        <v>167</v>
      </c>
      <c r="G32" s="536" t="s">
        <v>174</v>
      </c>
      <c r="L32" s="582"/>
      <c r="M32" s="582"/>
      <c r="N32" s="581" t="s">
        <v>173</v>
      </c>
    </row>
    <row r="33" spans="1:24" s="536" customFormat="1" ht="12.75" customHeight="1" x14ac:dyDescent="0.2">
      <c r="B33" s="536" t="s">
        <v>147</v>
      </c>
      <c r="C33" s="580">
        <v>0</v>
      </c>
      <c r="D33" s="579" t="s">
        <v>171</v>
      </c>
      <c r="E33" s="568" t="s">
        <v>167</v>
      </c>
      <c r="G33" s="536" t="s">
        <v>175</v>
      </c>
      <c r="L33" s="1836"/>
      <c r="M33" s="1836"/>
    </row>
    <row r="34" spans="1:24" s="536" customFormat="1" ht="9.75" customHeight="1" x14ac:dyDescent="0.2">
      <c r="A34" s="578"/>
    </row>
    <row r="35" spans="1:24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4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4" s="536" customFormat="1" ht="45" x14ac:dyDescent="0.2">
      <c r="A37" s="1833"/>
      <c r="B37" s="1833"/>
      <c r="C37" s="1833"/>
      <c r="D37" s="1833"/>
      <c r="E37" s="1833"/>
      <c r="F37" s="1833"/>
      <c r="G37" s="577" t="s">
        <v>182</v>
      </c>
      <c r="H37" s="577" t="s">
        <v>183</v>
      </c>
      <c r="I37" s="577" t="s">
        <v>184</v>
      </c>
      <c r="J37" s="577" t="s">
        <v>182</v>
      </c>
      <c r="K37" s="577" t="s">
        <v>183</v>
      </c>
      <c r="L37" s="577" t="s">
        <v>148</v>
      </c>
      <c r="M37" s="1833"/>
      <c r="N37" s="1833"/>
    </row>
    <row r="38" spans="1:24" s="536" customFormat="1" x14ac:dyDescent="0.2">
      <c r="A38" s="576">
        <v>1</v>
      </c>
      <c r="B38" s="576">
        <v>2</v>
      </c>
      <c r="C38" s="1834">
        <v>3</v>
      </c>
      <c r="D38" s="1834"/>
      <c r="E38" s="1834"/>
      <c r="F38" s="576">
        <v>4</v>
      </c>
      <c r="G38" s="576">
        <v>5</v>
      </c>
      <c r="H38" s="576">
        <v>6</v>
      </c>
      <c r="I38" s="576">
        <v>7</v>
      </c>
      <c r="J38" s="576">
        <v>8</v>
      </c>
      <c r="K38" s="576">
        <v>9</v>
      </c>
      <c r="L38" s="576">
        <v>10</v>
      </c>
      <c r="M38" s="576">
        <v>11</v>
      </c>
      <c r="N38" s="576">
        <v>12</v>
      </c>
    </row>
    <row r="39" spans="1:24" s="536" customFormat="1" ht="22.5" x14ac:dyDescent="0.2">
      <c r="A39" s="1824" t="s">
        <v>220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537" t="s">
        <v>220</v>
      </c>
    </row>
    <row r="40" spans="1:24" s="536" customFormat="1" ht="45" x14ac:dyDescent="0.2">
      <c r="A40" s="575" t="s">
        <v>185</v>
      </c>
      <c r="B40" s="574" t="s">
        <v>221</v>
      </c>
      <c r="C40" s="1823" t="s">
        <v>222</v>
      </c>
      <c r="D40" s="1823"/>
      <c r="E40" s="1823"/>
      <c r="F40" s="573" t="s">
        <v>201</v>
      </c>
      <c r="G40" s="573"/>
      <c r="H40" s="573"/>
      <c r="I40" s="573" t="s">
        <v>185</v>
      </c>
      <c r="J40" s="572">
        <v>48.81</v>
      </c>
      <c r="K40" s="573"/>
      <c r="L40" s="572">
        <v>48.81</v>
      </c>
      <c r="M40" s="571"/>
      <c r="N40" s="570"/>
      <c r="W40" s="537" t="s">
        <v>222</v>
      </c>
    </row>
    <row r="41" spans="1:24" s="536" customFormat="1" ht="1.5" customHeight="1" x14ac:dyDescent="0.2">
      <c r="A41" s="563"/>
      <c r="B41" s="545"/>
      <c r="C41" s="545"/>
      <c r="D41" s="545"/>
      <c r="E41" s="545"/>
      <c r="F41" s="563"/>
      <c r="G41" s="563"/>
      <c r="H41" s="563"/>
      <c r="I41" s="563"/>
      <c r="J41" s="546"/>
      <c r="K41" s="563"/>
      <c r="L41" s="546"/>
      <c r="M41" s="562"/>
      <c r="N41" s="546"/>
    </row>
    <row r="42" spans="1:24" s="536" customFormat="1" x14ac:dyDescent="0.2">
      <c r="A42" s="557"/>
      <c r="B42" s="556"/>
      <c r="C42" s="1823" t="s">
        <v>223</v>
      </c>
      <c r="D42" s="1823"/>
      <c r="E42" s="1823"/>
      <c r="F42" s="1823"/>
      <c r="G42" s="1823"/>
      <c r="H42" s="1823"/>
      <c r="I42" s="1823"/>
      <c r="J42" s="1823"/>
      <c r="K42" s="1823"/>
      <c r="L42" s="555"/>
      <c r="M42" s="554"/>
      <c r="N42" s="553"/>
      <c r="X42" s="537" t="s">
        <v>223</v>
      </c>
    </row>
    <row r="43" spans="1:24" s="536" customFormat="1" ht="33.75" x14ac:dyDescent="0.2">
      <c r="A43" s="557"/>
      <c r="B43" s="556"/>
      <c r="C43" s="1823" t="s">
        <v>7104</v>
      </c>
      <c r="D43" s="1823"/>
      <c r="E43" s="1823"/>
      <c r="F43" s="1823"/>
      <c r="G43" s="1823"/>
      <c r="H43" s="1823"/>
      <c r="I43" s="1823"/>
      <c r="J43" s="1823"/>
      <c r="K43" s="1823"/>
      <c r="L43" s="555"/>
      <c r="M43" s="554"/>
      <c r="N43" s="553"/>
      <c r="X43" s="537" t="s">
        <v>7104</v>
      </c>
    </row>
    <row r="44" spans="1:24" s="536" customFormat="1" ht="22.5" x14ac:dyDescent="0.2">
      <c r="A44" s="1824" t="s">
        <v>226</v>
      </c>
      <c r="B44" s="1825"/>
      <c r="C44" s="1825"/>
      <c r="D44" s="1825"/>
      <c r="E44" s="1825"/>
      <c r="F44" s="1825"/>
      <c r="G44" s="1825"/>
      <c r="H44" s="1825"/>
      <c r="I44" s="1825"/>
      <c r="J44" s="1825"/>
      <c r="K44" s="1825"/>
      <c r="L44" s="1825"/>
      <c r="M44" s="1825"/>
      <c r="N44" s="1826"/>
      <c r="V44" s="537" t="s">
        <v>226</v>
      </c>
    </row>
    <row r="45" spans="1:24" s="536" customFormat="1" ht="33.75" x14ac:dyDescent="0.2">
      <c r="A45" s="575" t="s">
        <v>186</v>
      </c>
      <c r="B45" s="574" t="s">
        <v>227</v>
      </c>
      <c r="C45" s="1823" t="s">
        <v>228</v>
      </c>
      <c r="D45" s="1823"/>
      <c r="E45" s="1823"/>
      <c r="F45" s="573" t="s">
        <v>201</v>
      </c>
      <c r="G45" s="573"/>
      <c r="H45" s="573"/>
      <c r="I45" s="573" t="s">
        <v>185</v>
      </c>
      <c r="J45" s="572">
        <v>76.88</v>
      </c>
      <c r="K45" s="573"/>
      <c r="L45" s="572">
        <v>76.88</v>
      </c>
      <c r="M45" s="571"/>
      <c r="N45" s="570"/>
      <c r="W45" s="537" t="s">
        <v>228</v>
      </c>
    </row>
    <row r="46" spans="1:24" s="536" customFormat="1" x14ac:dyDescent="0.2">
      <c r="A46" s="569"/>
      <c r="B46" s="545"/>
      <c r="C46" s="568" t="s">
        <v>209</v>
      </c>
      <c r="D46" s="567"/>
      <c r="E46" s="567"/>
      <c r="F46" s="563"/>
      <c r="G46" s="563"/>
      <c r="H46" s="563"/>
      <c r="I46" s="563"/>
      <c r="J46" s="566"/>
      <c r="K46" s="563"/>
      <c r="L46" s="566"/>
      <c r="M46" s="565"/>
      <c r="N46" s="564"/>
    </row>
    <row r="47" spans="1:24" s="536" customFormat="1" ht="1.5" customHeight="1" x14ac:dyDescent="0.2">
      <c r="A47" s="563"/>
      <c r="B47" s="545"/>
      <c r="C47" s="545"/>
      <c r="D47" s="545"/>
      <c r="E47" s="545"/>
      <c r="F47" s="563"/>
      <c r="G47" s="563"/>
      <c r="H47" s="563"/>
      <c r="I47" s="563"/>
      <c r="J47" s="546"/>
      <c r="K47" s="563"/>
      <c r="L47" s="546"/>
      <c r="M47" s="562"/>
      <c r="N47" s="546"/>
    </row>
    <row r="48" spans="1:24" s="536" customFormat="1" x14ac:dyDescent="0.2">
      <c r="A48" s="557"/>
      <c r="B48" s="556"/>
      <c r="C48" s="1823" t="s">
        <v>223</v>
      </c>
      <c r="D48" s="1823"/>
      <c r="E48" s="1823"/>
      <c r="F48" s="1823"/>
      <c r="G48" s="1823"/>
      <c r="H48" s="1823"/>
      <c r="I48" s="1823"/>
      <c r="J48" s="1823"/>
      <c r="K48" s="1823"/>
      <c r="L48" s="555"/>
      <c r="M48" s="554"/>
      <c r="N48" s="553"/>
      <c r="X48" s="537" t="s">
        <v>223</v>
      </c>
    </row>
    <row r="49" spans="1:24" s="536" customFormat="1" ht="22.5" x14ac:dyDescent="0.2">
      <c r="A49" s="557"/>
      <c r="B49" s="556"/>
      <c r="C49" s="1823" t="s">
        <v>7103</v>
      </c>
      <c r="D49" s="1823"/>
      <c r="E49" s="1823"/>
      <c r="F49" s="1823"/>
      <c r="G49" s="1823"/>
      <c r="H49" s="1823"/>
      <c r="I49" s="1823"/>
      <c r="J49" s="1823"/>
      <c r="K49" s="1823"/>
      <c r="L49" s="555"/>
      <c r="M49" s="554"/>
      <c r="N49" s="553"/>
      <c r="X49" s="537" t="s">
        <v>7103</v>
      </c>
    </row>
    <row r="50" spans="1:24" s="536" customFormat="1" ht="22.5" x14ac:dyDescent="0.2">
      <c r="A50" s="1824" t="s">
        <v>231</v>
      </c>
      <c r="B50" s="1825"/>
      <c r="C50" s="1825"/>
      <c r="D50" s="1825"/>
      <c r="E50" s="1825"/>
      <c r="F50" s="1825"/>
      <c r="G50" s="1825"/>
      <c r="H50" s="1825"/>
      <c r="I50" s="1825"/>
      <c r="J50" s="1825"/>
      <c r="K50" s="1825"/>
      <c r="L50" s="1825"/>
      <c r="M50" s="1825"/>
      <c r="N50" s="1826"/>
      <c r="V50" s="537" t="s">
        <v>231</v>
      </c>
    </row>
    <row r="51" spans="1:24" s="536" customFormat="1" ht="33.75" x14ac:dyDescent="0.2">
      <c r="A51" s="575" t="s">
        <v>187</v>
      </c>
      <c r="B51" s="574" t="s">
        <v>232</v>
      </c>
      <c r="C51" s="1823" t="s">
        <v>233</v>
      </c>
      <c r="D51" s="1823"/>
      <c r="E51" s="1823"/>
      <c r="F51" s="573" t="s">
        <v>201</v>
      </c>
      <c r="G51" s="573"/>
      <c r="H51" s="573"/>
      <c r="I51" s="573" t="s">
        <v>185</v>
      </c>
      <c r="J51" s="572">
        <v>90.45</v>
      </c>
      <c r="K51" s="573"/>
      <c r="L51" s="572">
        <v>90.45</v>
      </c>
      <c r="M51" s="571"/>
      <c r="N51" s="570"/>
      <c r="W51" s="537" t="s">
        <v>233</v>
      </c>
    </row>
    <row r="52" spans="1:24" s="536" customFormat="1" x14ac:dyDescent="0.2">
      <c r="A52" s="569"/>
      <c r="B52" s="545"/>
      <c r="C52" s="568" t="s">
        <v>209</v>
      </c>
      <c r="D52" s="567"/>
      <c r="E52" s="567"/>
      <c r="F52" s="563"/>
      <c r="G52" s="563"/>
      <c r="H52" s="563"/>
      <c r="I52" s="563"/>
      <c r="J52" s="566"/>
      <c r="K52" s="563"/>
      <c r="L52" s="566"/>
      <c r="M52" s="565"/>
      <c r="N52" s="564"/>
    </row>
    <row r="53" spans="1:24" s="536" customFormat="1" ht="1.5" customHeight="1" x14ac:dyDescent="0.2">
      <c r="A53" s="563"/>
      <c r="B53" s="545"/>
      <c r="C53" s="545"/>
      <c r="D53" s="545"/>
      <c r="E53" s="545"/>
      <c r="F53" s="563"/>
      <c r="G53" s="563"/>
      <c r="H53" s="563"/>
      <c r="I53" s="563"/>
      <c r="J53" s="546"/>
      <c r="K53" s="563"/>
      <c r="L53" s="546"/>
      <c r="M53" s="562"/>
      <c r="N53" s="546"/>
    </row>
    <row r="54" spans="1:24" s="536" customFormat="1" x14ac:dyDescent="0.2">
      <c r="A54" s="557"/>
      <c r="B54" s="556"/>
      <c r="C54" s="1823" t="s">
        <v>223</v>
      </c>
      <c r="D54" s="1823"/>
      <c r="E54" s="1823"/>
      <c r="F54" s="1823"/>
      <c r="G54" s="1823"/>
      <c r="H54" s="1823"/>
      <c r="I54" s="1823"/>
      <c r="J54" s="1823"/>
      <c r="K54" s="1823"/>
      <c r="L54" s="555"/>
      <c r="M54" s="554"/>
      <c r="N54" s="553"/>
      <c r="X54" s="537" t="s">
        <v>223</v>
      </c>
    </row>
    <row r="55" spans="1:24" s="536" customFormat="1" ht="22.5" x14ac:dyDescent="0.2">
      <c r="A55" s="557"/>
      <c r="B55" s="556"/>
      <c r="C55" s="1823" t="s">
        <v>7102</v>
      </c>
      <c r="D55" s="1823"/>
      <c r="E55" s="1823"/>
      <c r="F55" s="1823"/>
      <c r="G55" s="1823"/>
      <c r="H55" s="1823"/>
      <c r="I55" s="1823"/>
      <c r="J55" s="1823"/>
      <c r="K55" s="1823"/>
      <c r="L55" s="555"/>
      <c r="M55" s="554"/>
      <c r="N55" s="553"/>
      <c r="X55" s="537" t="s">
        <v>7102</v>
      </c>
    </row>
    <row r="56" spans="1:24" s="536" customFormat="1" ht="22.5" x14ac:dyDescent="0.2">
      <c r="A56" s="1824" t="s">
        <v>234</v>
      </c>
      <c r="B56" s="1825"/>
      <c r="C56" s="1825"/>
      <c r="D56" s="1825"/>
      <c r="E56" s="1825"/>
      <c r="F56" s="1825"/>
      <c r="G56" s="1825"/>
      <c r="H56" s="1825"/>
      <c r="I56" s="1825"/>
      <c r="J56" s="1825"/>
      <c r="K56" s="1825"/>
      <c r="L56" s="1825"/>
      <c r="M56" s="1825"/>
      <c r="N56" s="1826"/>
      <c r="V56" s="537" t="s">
        <v>234</v>
      </c>
    </row>
    <row r="57" spans="1:24" s="536" customFormat="1" ht="33.75" x14ac:dyDescent="0.2">
      <c r="A57" s="575" t="s">
        <v>188</v>
      </c>
      <c r="B57" s="574" t="s">
        <v>235</v>
      </c>
      <c r="C57" s="1823" t="s">
        <v>236</v>
      </c>
      <c r="D57" s="1823"/>
      <c r="E57" s="1823"/>
      <c r="F57" s="573" t="s">
        <v>201</v>
      </c>
      <c r="G57" s="573"/>
      <c r="H57" s="573"/>
      <c r="I57" s="573" t="s">
        <v>185</v>
      </c>
      <c r="J57" s="572">
        <v>127.09</v>
      </c>
      <c r="K57" s="573"/>
      <c r="L57" s="572">
        <v>127.09</v>
      </c>
      <c r="M57" s="571"/>
      <c r="N57" s="570"/>
      <c r="W57" s="537" t="s">
        <v>236</v>
      </c>
    </row>
    <row r="58" spans="1:24" s="536" customFormat="1" x14ac:dyDescent="0.2">
      <c r="A58" s="569"/>
      <c r="B58" s="545"/>
      <c r="C58" s="568" t="s">
        <v>209</v>
      </c>
      <c r="D58" s="567"/>
      <c r="E58" s="567"/>
      <c r="F58" s="563"/>
      <c r="G58" s="563"/>
      <c r="H58" s="563"/>
      <c r="I58" s="563"/>
      <c r="J58" s="566"/>
      <c r="K58" s="563"/>
      <c r="L58" s="566"/>
      <c r="M58" s="565"/>
      <c r="N58" s="564"/>
    </row>
    <row r="59" spans="1:24" s="536" customFormat="1" ht="1.5" customHeight="1" x14ac:dyDescent="0.2">
      <c r="A59" s="563"/>
      <c r="B59" s="545"/>
      <c r="C59" s="545"/>
      <c r="D59" s="545"/>
      <c r="E59" s="545"/>
      <c r="F59" s="563"/>
      <c r="G59" s="563"/>
      <c r="H59" s="563"/>
      <c r="I59" s="563"/>
      <c r="J59" s="546"/>
      <c r="K59" s="563"/>
      <c r="L59" s="546"/>
      <c r="M59" s="562"/>
      <c r="N59" s="546"/>
    </row>
    <row r="60" spans="1:24" s="536" customFormat="1" x14ac:dyDescent="0.2">
      <c r="A60" s="557"/>
      <c r="B60" s="556"/>
      <c r="C60" s="1823" t="s">
        <v>223</v>
      </c>
      <c r="D60" s="1823"/>
      <c r="E60" s="1823"/>
      <c r="F60" s="1823"/>
      <c r="G60" s="1823"/>
      <c r="H60" s="1823"/>
      <c r="I60" s="1823"/>
      <c r="J60" s="1823"/>
      <c r="K60" s="1823"/>
      <c r="L60" s="555"/>
      <c r="M60" s="554"/>
      <c r="N60" s="553"/>
      <c r="X60" s="537" t="s">
        <v>223</v>
      </c>
    </row>
    <row r="61" spans="1:24" s="536" customFormat="1" ht="22.5" x14ac:dyDescent="0.2">
      <c r="A61" s="557"/>
      <c r="B61" s="556"/>
      <c r="C61" s="1823" t="s">
        <v>7101</v>
      </c>
      <c r="D61" s="1823"/>
      <c r="E61" s="1823"/>
      <c r="F61" s="1823"/>
      <c r="G61" s="1823"/>
      <c r="H61" s="1823"/>
      <c r="I61" s="1823"/>
      <c r="J61" s="1823"/>
      <c r="K61" s="1823"/>
      <c r="L61" s="555"/>
      <c r="M61" s="554"/>
      <c r="N61" s="553"/>
      <c r="X61" s="537" t="s">
        <v>7101</v>
      </c>
    </row>
    <row r="62" spans="1:24" s="536" customFormat="1" ht="22.5" x14ac:dyDescent="0.2">
      <c r="A62" s="1824" t="s">
        <v>237</v>
      </c>
      <c r="B62" s="1825"/>
      <c r="C62" s="1825"/>
      <c r="D62" s="1825"/>
      <c r="E62" s="1825"/>
      <c r="F62" s="1825"/>
      <c r="G62" s="1825"/>
      <c r="H62" s="1825"/>
      <c r="I62" s="1825"/>
      <c r="J62" s="1825"/>
      <c r="K62" s="1825"/>
      <c r="L62" s="1825"/>
      <c r="M62" s="1825"/>
      <c r="N62" s="1826"/>
      <c r="V62" s="537" t="s">
        <v>237</v>
      </c>
    </row>
    <row r="63" spans="1:24" s="536" customFormat="1" ht="45" x14ac:dyDescent="0.2">
      <c r="A63" s="575" t="s">
        <v>189</v>
      </c>
      <c r="B63" s="574" t="s">
        <v>238</v>
      </c>
      <c r="C63" s="1823" t="s">
        <v>239</v>
      </c>
      <c r="D63" s="1823"/>
      <c r="E63" s="1823"/>
      <c r="F63" s="573" t="s">
        <v>201</v>
      </c>
      <c r="G63" s="573"/>
      <c r="H63" s="573"/>
      <c r="I63" s="573" t="s">
        <v>185</v>
      </c>
      <c r="J63" s="572">
        <v>46.84</v>
      </c>
      <c r="K63" s="573"/>
      <c r="L63" s="572">
        <v>46.84</v>
      </c>
      <c r="M63" s="571"/>
      <c r="N63" s="570"/>
      <c r="W63" s="537" t="s">
        <v>239</v>
      </c>
    </row>
    <row r="64" spans="1:24" s="536" customFormat="1" ht="1.5" customHeight="1" x14ac:dyDescent="0.2">
      <c r="A64" s="563"/>
      <c r="B64" s="545"/>
      <c r="C64" s="545"/>
      <c r="D64" s="545"/>
      <c r="E64" s="545"/>
      <c r="F64" s="563"/>
      <c r="G64" s="563"/>
      <c r="H64" s="563"/>
      <c r="I64" s="563"/>
      <c r="J64" s="546"/>
      <c r="K64" s="563"/>
      <c r="L64" s="546"/>
      <c r="M64" s="562"/>
      <c r="N64" s="546"/>
    </row>
    <row r="65" spans="1:24" s="536" customFormat="1" x14ac:dyDescent="0.2">
      <c r="A65" s="557"/>
      <c r="B65" s="556"/>
      <c r="C65" s="1823" t="s">
        <v>223</v>
      </c>
      <c r="D65" s="1823"/>
      <c r="E65" s="1823"/>
      <c r="F65" s="1823"/>
      <c r="G65" s="1823"/>
      <c r="H65" s="1823"/>
      <c r="I65" s="1823"/>
      <c r="J65" s="1823"/>
      <c r="K65" s="1823"/>
      <c r="L65" s="555"/>
      <c r="M65" s="554"/>
      <c r="N65" s="553"/>
      <c r="X65" s="537" t="s">
        <v>223</v>
      </c>
    </row>
    <row r="66" spans="1:24" s="536" customFormat="1" ht="33.75" x14ac:dyDescent="0.2">
      <c r="A66" s="557"/>
      <c r="B66" s="556"/>
      <c r="C66" s="1823" t="s">
        <v>7100</v>
      </c>
      <c r="D66" s="1823"/>
      <c r="E66" s="1823"/>
      <c r="F66" s="1823"/>
      <c r="G66" s="1823"/>
      <c r="H66" s="1823"/>
      <c r="I66" s="1823"/>
      <c r="J66" s="1823"/>
      <c r="K66" s="1823"/>
      <c r="L66" s="555"/>
      <c r="M66" s="554"/>
      <c r="N66" s="553"/>
      <c r="X66" s="537" t="s">
        <v>7100</v>
      </c>
    </row>
    <row r="67" spans="1:24" s="536" customFormat="1" ht="22.5" x14ac:dyDescent="0.2">
      <c r="A67" s="1824" t="s">
        <v>240</v>
      </c>
      <c r="B67" s="1825"/>
      <c r="C67" s="1825"/>
      <c r="D67" s="1825"/>
      <c r="E67" s="1825"/>
      <c r="F67" s="1825"/>
      <c r="G67" s="1825"/>
      <c r="H67" s="1825"/>
      <c r="I67" s="1825"/>
      <c r="J67" s="1825"/>
      <c r="K67" s="1825"/>
      <c r="L67" s="1825"/>
      <c r="M67" s="1825"/>
      <c r="N67" s="1826"/>
      <c r="V67" s="537" t="s">
        <v>240</v>
      </c>
    </row>
    <row r="68" spans="1:24" s="536" customFormat="1" ht="45" x14ac:dyDescent="0.2">
      <c r="A68" s="575" t="s">
        <v>190</v>
      </c>
      <c r="B68" s="574" t="s">
        <v>241</v>
      </c>
      <c r="C68" s="1823" t="s">
        <v>242</v>
      </c>
      <c r="D68" s="1823"/>
      <c r="E68" s="1823"/>
      <c r="F68" s="573" t="s">
        <v>201</v>
      </c>
      <c r="G68" s="573"/>
      <c r="H68" s="573"/>
      <c r="I68" s="573" t="s">
        <v>185</v>
      </c>
      <c r="J68" s="572">
        <v>55.11</v>
      </c>
      <c r="K68" s="573"/>
      <c r="L68" s="572">
        <v>55.11</v>
      </c>
      <c r="M68" s="571"/>
      <c r="N68" s="570"/>
      <c r="W68" s="537" t="s">
        <v>242</v>
      </c>
    </row>
    <row r="69" spans="1:24" s="536" customFormat="1" ht="1.5" customHeight="1" x14ac:dyDescent="0.2">
      <c r="A69" s="563"/>
      <c r="B69" s="545"/>
      <c r="C69" s="545"/>
      <c r="D69" s="545"/>
      <c r="E69" s="545"/>
      <c r="F69" s="563"/>
      <c r="G69" s="563"/>
      <c r="H69" s="563"/>
      <c r="I69" s="563"/>
      <c r="J69" s="546"/>
      <c r="K69" s="563"/>
      <c r="L69" s="546"/>
      <c r="M69" s="562"/>
      <c r="N69" s="546"/>
    </row>
    <row r="70" spans="1:24" s="536" customFormat="1" x14ac:dyDescent="0.2">
      <c r="A70" s="557"/>
      <c r="B70" s="556"/>
      <c r="C70" s="1823" t="s">
        <v>223</v>
      </c>
      <c r="D70" s="1823"/>
      <c r="E70" s="1823"/>
      <c r="F70" s="1823"/>
      <c r="G70" s="1823"/>
      <c r="H70" s="1823"/>
      <c r="I70" s="1823"/>
      <c r="J70" s="1823"/>
      <c r="K70" s="1823"/>
      <c r="L70" s="555"/>
      <c r="M70" s="554"/>
      <c r="N70" s="553"/>
      <c r="X70" s="537" t="s">
        <v>223</v>
      </c>
    </row>
    <row r="71" spans="1:24" s="536" customFormat="1" ht="33.75" x14ac:dyDescent="0.2">
      <c r="A71" s="557"/>
      <c r="B71" s="556"/>
      <c r="C71" s="1823" t="s">
        <v>7099</v>
      </c>
      <c r="D71" s="1823"/>
      <c r="E71" s="1823"/>
      <c r="F71" s="1823"/>
      <c r="G71" s="1823"/>
      <c r="H71" s="1823"/>
      <c r="I71" s="1823"/>
      <c r="J71" s="1823"/>
      <c r="K71" s="1823"/>
      <c r="L71" s="555"/>
      <c r="M71" s="554"/>
      <c r="N71" s="553"/>
      <c r="X71" s="537" t="s">
        <v>7099</v>
      </c>
    </row>
    <row r="72" spans="1:24" s="536" customFormat="1" ht="22.5" x14ac:dyDescent="0.2">
      <c r="A72" s="1824" t="s">
        <v>243</v>
      </c>
      <c r="B72" s="1825"/>
      <c r="C72" s="1825"/>
      <c r="D72" s="1825"/>
      <c r="E72" s="1825"/>
      <c r="F72" s="1825"/>
      <c r="G72" s="1825"/>
      <c r="H72" s="1825"/>
      <c r="I72" s="1825"/>
      <c r="J72" s="1825"/>
      <c r="K72" s="1825"/>
      <c r="L72" s="1825"/>
      <c r="M72" s="1825"/>
      <c r="N72" s="1826"/>
      <c r="V72" s="537" t="s">
        <v>243</v>
      </c>
    </row>
    <row r="73" spans="1:24" s="536" customFormat="1" ht="45" x14ac:dyDescent="0.2">
      <c r="A73" s="575" t="s">
        <v>191</v>
      </c>
      <c r="B73" s="574" t="s">
        <v>244</v>
      </c>
      <c r="C73" s="1823" t="s">
        <v>245</v>
      </c>
      <c r="D73" s="1823"/>
      <c r="E73" s="1823"/>
      <c r="F73" s="573" t="s">
        <v>201</v>
      </c>
      <c r="G73" s="573"/>
      <c r="H73" s="573"/>
      <c r="I73" s="573" t="s">
        <v>185</v>
      </c>
      <c r="J73" s="572">
        <v>77.42</v>
      </c>
      <c r="K73" s="573"/>
      <c r="L73" s="572">
        <v>77.42</v>
      </c>
      <c r="M73" s="571"/>
      <c r="N73" s="570"/>
      <c r="W73" s="537" t="s">
        <v>245</v>
      </c>
    </row>
    <row r="74" spans="1:24" s="536" customFormat="1" ht="1.5" customHeight="1" x14ac:dyDescent="0.2">
      <c r="A74" s="563"/>
      <c r="B74" s="545"/>
      <c r="C74" s="545"/>
      <c r="D74" s="545"/>
      <c r="E74" s="545"/>
      <c r="F74" s="563"/>
      <c r="G74" s="563"/>
      <c r="H74" s="563"/>
      <c r="I74" s="563"/>
      <c r="J74" s="546"/>
      <c r="K74" s="563"/>
      <c r="L74" s="546"/>
      <c r="M74" s="562"/>
      <c r="N74" s="546"/>
    </row>
    <row r="75" spans="1:24" s="536" customFormat="1" x14ac:dyDescent="0.2">
      <c r="A75" s="557"/>
      <c r="B75" s="556"/>
      <c r="C75" s="1823" t="s">
        <v>223</v>
      </c>
      <c r="D75" s="1823"/>
      <c r="E75" s="1823"/>
      <c r="F75" s="1823"/>
      <c r="G75" s="1823"/>
      <c r="H75" s="1823"/>
      <c r="I75" s="1823"/>
      <c r="J75" s="1823"/>
      <c r="K75" s="1823"/>
      <c r="L75" s="555"/>
      <c r="M75" s="554"/>
      <c r="N75" s="553"/>
      <c r="X75" s="537" t="s">
        <v>223</v>
      </c>
    </row>
    <row r="76" spans="1:24" s="536" customFormat="1" ht="33.75" x14ac:dyDescent="0.2">
      <c r="A76" s="557"/>
      <c r="B76" s="556"/>
      <c r="C76" s="1823" t="s">
        <v>7098</v>
      </c>
      <c r="D76" s="1823"/>
      <c r="E76" s="1823"/>
      <c r="F76" s="1823"/>
      <c r="G76" s="1823"/>
      <c r="H76" s="1823"/>
      <c r="I76" s="1823"/>
      <c r="J76" s="1823"/>
      <c r="K76" s="1823"/>
      <c r="L76" s="555"/>
      <c r="M76" s="554"/>
      <c r="N76" s="553"/>
      <c r="X76" s="537" t="s">
        <v>7098</v>
      </c>
    </row>
    <row r="77" spans="1:24" s="536" customFormat="1" ht="22.5" x14ac:dyDescent="0.2">
      <c r="A77" s="1824" t="s">
        <v>246</v>
      </c>
      <c r="B77" s="1825"/>
      <c r="C77" s="1825"/>
      <c r="D77" s="1825"/>
      <c r="E77" s="1825"/>
      <c r="F77" s="1825"/>
      <c r="G77" s="1825"/>
      <c r="H77" s="1825"/>
      <c r="I77" s="1825"/>
      <c r="J77" s="1825"/>
      <c r="K77" s="1825"/>
      <c r="L77" s="1825"/>
      <c r="M77" s="1825"/>
      <c r="N77" s="1826"/>
      <c r="V77" s="537" t="s">
        <v>246</v>
      </c>
    </row>
    <row r="78" spans="1:24" s="536" customFormat="1" ht="33.75" x14ac:dyDescent="0.2">
      <c r="A78" s="575" t="s">
        <v>192</v>
      </c>
      <c r="B78" s="574" t="s">
        <v>247</v>
      </c>
      <c r="C78" s="1823" t="s">
        <v>248</v>
      </c>
      <c r="D78" s="1823"/>
      <c r="E78" s="1823"/>
      <c r="F78" s="573" t="s">
        <v>201</v>
      </c>
      <c r="G78" s="573"/>
      <c r="H78" s="573"/>
      <c r="I78" s="573" t="s">
        <v>185</v>
      </c>
      <c r="J78" s="572">
        <v>101.29</v>
      </c>
      <c r="K78" s="573"/>
      <c r="L78" s="572">
        <v>101.29</v>
      </c>
      <c r="M78" s="571"/>
      <c r="N78" s="570"/>
      <c r="W78" s="537" t="s">
        <v>248</v>
      </c>
    </row>
    <row r="79" spans="1:24" s="536" customFormat="1" x14ac:dyDescent="0.2">
      <c r="A79" s="569"/>
      <c r="B79" s="545"/>
      <c r="C79" s="568" t="s">
        <v>209</v>
      </c>
      <c r="D79" s="567"/>
      <c r="E79" s="567"/>
      <c r="F79" s="563"/>
      <c r="G79" s="563"/>
      <c r="H79" s="563"/>
      <c r="I79" s="563"/>
      <c r="J79" s="566"/>
      <c r="K79" s="563"/>
      <c r="L79" s="566"/>
      <c r="M79" s="565"/>
      <c r="N79" s="564"/>
    </row>
    <row r="80" spans="1:24" s="536" customFormat="1" ht="1.5" customHeight="1" x14ac:dyDescent="0.2">
      <c r="A80" s="563"/>
      <c r="B80" s="545"/>
      <c r="C80" s="545"/>
      <c r="D80" s="545"/>
      <c r="E80" s="545"/>
      <c r="F80" s="563"/>
      <c r="G80" s="563"/>
      <c r="H80" s="563"/>
      <c r="I80" s="563"/>
      <c r="J80" s="546"/>
      <c r="K80" s="563"/>
      <c r="L80" s="546"/>
      <c r="M80" s="562"/>
      <c r="N80" s="546"/>
    </row>
    <row r="81" spans="1:24" s="536" customFormat="1" x14ac:dyDescent="0.2">
      <c r="A81" s="557"/>
      <c r="B81" s="556"/>
      <c r="C81" s="1823" t="s">
        <v>223</v>
      </c>
      <c r="D81" s="1823"/>
      <c r="E81" s="1823"/>
      <c r="F81" s="1823"/>
      <c r="G81" s="1823"/>
      <c r="H81" s="1823"/>
      <c r="I81" s="1823"/>
      <c r="J81" s="1823"/>
      <c r="K81" s="1823"/>
      <c r="L81" s="555"/>
      <c r="M81" s="554"/>
      <c r="N81" s="553"/>
      <c r="X81" s="537" t="s">
        <v>223</v>
      </c>
    </row>
    <row r="82" spans="1:24" s="536" customFormat="1" ht="22.5" x14ac:dyDescent="0.2">
      <c r="A82" s="557"/>
      <c r="B82" s="556"/>
      <c r="C82" s="1823" t="s">
        <v>7097</v>
      </c>
      <c r="D82" s="1823"/>
      <c r="E82" s="1823"/>
      <c r="F82" s="1823"/>
      <c r="G82" s="1823"/>
      <c r="H82" s="1823"/>
      <c r="I82" s="1823"/>
      <c r="J82" s="1823"/>
      <c r="K82" s="1823"/>
      <c r="L82" s="555"/>
      <c r="M82" s="554"/>
      <c r="N82" s="553"/>
      <c r="X82" s="537" t="s">
        <v>7097</v>
      </c>
    </row>
    <row r="83" spans="1:24" s="536" customFormat="1" ht="22.5" x14ac:dyDescent="0.2">
      <c r="A83" s="1824" t="s">
        <v>249</v>
      </c>
      <c r="B83" s="1825"/>
      <c r="C83" s="1825"/>
      <c r="D83" s="1825"/>
      <c r="E83" s="1825"/>
      <c r="F83" s="1825"/>
      <c r="G83" s="1825"/>
      <c r="H83" s="1825"/>
      <c r="I83" s="1825"/>
      <c r="J83" s="1825"/>
      <c r="K83" s="1825"/>
      <c r="L83" s="1825"/>
      <c r="M83" s="1825"/>
      <c r="N83" s="1826"/>
      <c r="V83" s="537" t="s">
        <v>249</v>
      </c>
    </row>
    <row r="84" spans="1:24" s="536" customFormat="1" ht="33.75" x14ac:dyDescent="0.2">
      <c r="A84" s="575" t="s">
        <v>193</v>
      </c>
      <c r="B84" s="574" t="s">
        <v>250</v>
      </c>
      <c r="C84" s="1823" t="s">
        <v>251</v>
      </c>
      <c r="D84" s="1823"/>
      <c r="E84" s="1823"/>
      <c r="F84" s="573" t="s">
        <v>201</v>
      </c>
      <c r="G84" s="573"/>
      <c r="H84" s="573"/>
      <c r="I84" s="573" t="s">
        <v>185</v>
      </c>
      <c r="J84" s="572">
        <v>119.17</v>
      </c>
      <c r="K84" s="573"/>
      <c r="L84" s="572">
        <v>119.17</v>
      </c>
      <c r="M84" s="571"/>
      <c r="N84" s="570"/>
      <c r="W84" s="537" t="s">
        <v>251</v>
      </c>
    </row>
    <row r="85" spans="1:24" s="536" customFormat="1" x14ac:dyDescent="0.2">
      <c r="A85" s="569"/>
      <c r="B85" s="545"/>
      <c r="C85" s="568" t="s">
        <v>209</v>
      </c>
      <c r="D85" s="567"/>
      <c r="E85" s="567"/>
      <c r="F85" s="563"/>
      <c r="G85" s="563"/>
      <c r="H85" s="563"/>
      <c r="I85" s="563"/>
      <c r="J85" s="566"/>
      <c r="K85" s="563"/>
      <c r="L85" s="566"/>
      <c r="M85" s="565"/>
      <c r="N85" s="564"/>
    </row>
    <row r="86" spans="1:24" s="536" customFormat="1" ht="1.5" customHeight="1" x14ac:dyDescent="0.2">
      <c r="A86" s="563"/>
      <c r="B86" s="545"/>
      <c r="C86" s="545"/>
      <c r="D86" s="545"/>
      <c r="E86" s="545"/>
      <c r="F86" s="563"/>
      <c r="G86" s="563"/>
      <c r="H86" s="563"/>
      <c r="I86" s="563"/>
      <c r="J86" s="546"/>
      <c r="K86" s="563"/>
      <c r="L86" s="546"/>
      <c r="M86" s="562"/>
      <c r="N86" s="546"/>
    </row>
    <row r="87" spans="1:24" s="536" customFormat="1" x14ac:dyDescent="0.2">
      <c r="A87" s="557"/>
      <c r="B87" s="556"/>
      <c r="C87" s="1823" t="s">
        <v>223</v>
      </c>
      <c r="D87" s="1823"/>
      <c r="E87" s="1823"/>
      <c r="F87" s="1823"/>
      <c r="G87" s="1823"/>
      <c r="H87" s="1823"/>
      <c r="I87" s="1823"/>
      <c r="J87" s="1823"/>
      <c r="K87" s="1823"/>
      <c r="L87" s="555"/>
      <c r="M87" s="554"/>
      <c r="N87" s="553"/>
      <c r="X87" s="537" t="s">
        <v>223</v>
      </c>
    </row>
    <row r="88" spans="1:24" s="536" customFormat="1" ht="22.5" x14ac:dyDescent="0.2">
      <c r="A88" s="557"/>
      <c r="B88" s="556"/>
      <c r="C88" s="1823" t="s">
        <v>7096</v>
      </c>
      <c r="D88" s="1823"/>
      <c r="E88" s="1823"/>
      <c r="F88" s="1823"/>
      <c r="G88" s="1823"/>
      <c r="H88" s="1823"/>
      <c r="I88" s="1823"/>
      <c r="J88" s="1823"/>
      <c r="K88" s="1823"/>
      <c r="L88" s="555"/>
      <c r="M88" s="554"/>
      <c r="N88" s="553"/>
      <c r="X88" s="537" t="s">
        <v>7096</v>
      </c>
    </row>
    <row r="89" spans="1:24" s="536" customFormat="1" ht="22.5" x14ac:dyDescent="0.2">
      <c r="A89" s="1824" t="s">
        <v>252</v>
      </c>
      <c r="B89" s="1825"/>
      <c r="C89" s="1825"/>
      <c r="D89" s="1825"/>
      <c r="E89" s="1825"/>
      <c r="F89" s="1825"/>
      <c r="G89" s="1825"/>
      <c r="H89" s="1825"/>
      <c r="I89" s="1825"/>
      <c r="J89" s="1825"/>
      <c r="K89" s="1825"/>
      <c r="L89" s="1825"/>
      <c r="M89" s="1825"/>
      <c r="N89" s="1826"/>
      <c r="V89" s="537" t="s">
        <v>252</v>
      </c>
    </row>
    <row r="90" spans="1:24" s="536" customFormat="1" ht="33.75" x14ac:dyDescent="0.2">
      <c r="A90" s="575" t="s">
        <v>194</v>
      </c>
      <c r="B90" s="574" t="s">
        <v>253</v>
      </c>
      <c r="C90" s="1823" t="s">
        <v>254</v>
      </c>
      <c r="D90" s="1823"/>
      <c r="E90" s="1823"/>
      <c r="F90" s="573" t="s">
        <v>201</v>
      </c>
      <c r="G90" s="573"/>
      <c r="H90" s="573"/>
      <c r="I90" s="573" t="s">
        <v>185</v>
      </c>
      <c r="J90" s="572">
        <v>167.43</v>
      </c>
      <c r="K90" s="573"/>
      <c r="L90" s="572">
        <v>167.43</v>
      </c>
      <c r="M90" s="571"/>
      <c r="N90" s="570"/>
      <c r="W90" s="537" t="s">
        <v>254</v>
      </c>
    </row>
    <row r="91" spans="1:24" s="536" customFormat="1" x14ac:dyDescent="0.2">
      <c r="A91" s="569"/>
      <c r="B91" s="545"/>
      <c r="C91" s="568" t="s">
        <v>209</v>
      </c>
      <c r="D91" s="567"/>
      <c r="E91" s="567"/>
      <c r="F91" s="563"/>
      <c r="G91" s="563"/>
      <c r="H91" s="563"/>
      <c r="I91" s="563"/>
      <c r="J91" s="566"/>
      <c r="K91" s="563"/>
      <c r="L91" s="566"/>
      <c r="M91" s="565"/>
      <c r="N91" s="564"/>
    </row>
    <row r="92" spans="1:24" s="536" customFormat="1" ht="1.5" customHeight="1" x14ac:dyDescent="0.2">
      <c r="A92" s="563"/>
      <c r="B92" s="545"/>
      <c r="C92" s="545"/>
      <c r="D92" s="545"/>
      <c r="E92" s="545"/>
      <c r="F92" s="563"/>
      <c r="G92" s="563"/>
      <c r="H92" s="563"/>
      <c r="I92" s="563"/>
      <c r="J92" s="546"/>
      <c r="K92" s="563"/>
      <c r="L92" s="546"/>
      <c r="M92" s="562"/>
      <c r="N92" s="546"/>
    </row>
    <row r="93" spans="1:24" s="536" customFormat="1" x14ac:dyDescent="0.2">
      <c r="A93" s="557"/>
      <c r="B93" s="556"/>
      <c r="C93" s="1823" t="s">
        <v>223</v>
      </c>
      <c r="D93" s="1823"/>
      <c r="E93" s="1823"/>
      <c r="F93" s="1823"/>
      <c r="G93" s="1823"/>
      <c r="H93" s="1823"/>
      <c r="I93" s="1823"/>
      <c r="J93" s="1823"/>
      <c r="K93" s="1823"/>
      <c r="L93" s="555"/>
      <c r="M93" s="554"/>
      <c r="N93" s="553"/>
      <c r="X93" s="537" t="s">
        <v>223</v>
      </c>
    </row>
    <row r="94" spans="1:24" s="536" customFormat="1" ht="22.5" x14ac:dyDescent="0.2">
      <c r="A94" s="557"/>
      <c r="B94" s="556"/>
      <c r="C94" s="1823" t="s">
        <v>7095</v>
      </c>
      <c r="D94" s="1823"/>
      <c r="E94" s="1823"/>
      <c r="F94" s="1823"/>
      <c r="G94" s="1823"/>
      <c r="H94" s="1823"/>
      <c r="I94" s="1823"/>
      <c r="J94" s="1823"/>
      <c r="K94" s="1823"/>
      <c r="L94" s="555"/>
      <c r="M94" s="554"/>
      <c r="N94" s="553"/>
      <c r="X94" s="537" t="s">
        <v>7095</v>
      </c>
    </row>
    <row r="95" spans="1:24" s="536" customFormat="1" ht="22.5" x14ac:dyDescent="0.2">
      <c r="A95" s="1824" t="s">
        <v>255</v>
      </c>
      <c r="B95" s="1825"/>
      <c r="C95" s="1825"/>
      <c r="D95" s="1825"/>
      <c r="E95" s="1825"/>
      <c r="F95" s="1825"/>
      <c r="G95" s="1825"/>
      <c r="H95" s="1825"/>
      <c r="I95" s="1825"/>
      <c r="J95" s="1825"/>
      <c r="K95" s="1825"/>
      <c r="L95" s="1825"/>
      <c r="M95" s="1825"/>
      <c r="N95" s="1826"/>
      <c r="V95" s="537" t="s">
        <v>255</v>
      </c>
    </row>
    <row r="96" spans="1:24" s="536" customFormat="1" ht="45" x14ac:dyDescent="0.2">
      <c r="A96" s="575" t="s">
        <v>195</v>
      </c>
      <c r="B96" s="574" t="s">
        <v>202</v>
      </c>
      <c r="C96" s="1823" t="s">
        <v>203</v>
      </c>
      <c r="D96" s="1823"/>
      <c r="E96" s="1823"/>
      <c r="F96" s="573" t="s">
        <v>201</v>
      </c>
      <c r="G96" s="573"/>
      <c r="H96" s="573"/>
      <c r="I96" s="573" t="s">
        <v>185</v>
      </c>
      <c r="J96" s="572">
        <v>62.59</v>
      </c>
      <c r="K96" s="573"/>
      <c r="L96" s="572">
        <v>62.59</v>
      </c>
      <c r="M96" s="571"/>
      <c r="N96" s="570"/>
      <c r="W96" s="537" t="s">
        <v>203</v>
      </c>
    </row>
    <row r="97" spans="1:24" s="536" customFormat="1" ht="1.5" customHeight="1" x14ac:dyDescent="0.2">
      <c r="A97" s="563"/>
      <c r="B97" s="545"/>
      <c r="C97" s="545"/>
      <c r="D97" s="545"/>
      <c r="E97" s="545"/>
      <c r="F97" s="563"/>
      <c r="G97" s="563"/>
      <c r="H97" s="563"/>
      <c r="I97" s="563"/>
      <c r="J97" s="546"/>
      <c r="K97" s="563"/>
      <c r="L97" s="546"/>
      <c r="M97" s="562"/>
      <c r="N97" s="546"/>
    </row>
    <row r="98" spans="1:24" s="536" customFormat="1" x14ac:dyDescent="0.2">
      <c r="A98" s="557"/>
      <c r="B98" s="556"/>
      <c r="C98" s="1823" t="s">
        <v>223</v>
      </c>
      <c r="D98" s="1823"/>
      <c r="E98" s="1823"/>
      <c r="F98" s="1823"/>
      <c r="G98" s="1823"/>
      <c r="H98" s="1823"/>
      <c r="I98" s="1823"/>
      <c r="J98" s="1823"/>
      <c r="K98" s="1823"/>
      <c r="L98" s="555"/>
      <c r="M98" s="554"/>
      <c r="N98" s="553"/>
      <c r="X98" s="537" t="s">
        <v>223</v>
      </c>
    </row>
    <row r="99" spans="1:24" s="536" customFormat="1" ht="33.75" x14ac:dyDescent="0.2">
      <c r="A99" s="557"/>
      <c r="B99" s="556"/>
      <c r="C99" s="1823" t="s">
        <v>7094</v>
      </c>
      <c r="D99" s="1823"/>
      <c r="E99" s="1823"/>
      <c r="F99" s="1823"/>
      <c r="G99" s="1823"/>
      <c r="H99" s="1823"/>
      <c r="I99" s="1823"/>
      <c r="J99" s="1823"/>
      <c r="K99" s="1823"/>
      <c r="L99" s="555"/>
      <c r="M99" s="554"/>
      <c r="N99" s="553"/>
      <c r="X99" s="537" t="s">
        <v>7094</v>
      </c>
    </row>
    <row r="100" spans="1:24" s="536" customFormat="1" ht="22.5" x14ac:dyDescent="0.2">
      <c r="A100" s="1824" t="s">
        <v>256</v>
      </c>
      <c r="B100" s="1825"/>
      <c r="C100" s="1825"/>
      <c r="D100" s="1825"/>
      <c r="E100" s="1825"/>
      <c r="F100" s="1825"/>
      <c r="G100" s="1825"/>
      <c r="H100" s="1825"/>
      <c r="I100" s="1825"/>
      <c r="J100" s="1825"/>
      <c r="K100" s="1825"/>
      <c r="L100" s="1825"/>
      <c r="M100" s="1825"/>
      <c r="N100" s="1826"/>
      <c r="V100" s="537" t="s">
        <v>256</v>
      </c>
    </row>
    <row r="101" spans="1:24" s="536" customFormat="1" ht="45" x14ac:dyDescent="0.2">
      <c r="A101" s="575" t="s">
        <v>196</v>
      </c>
      <c r="B101" s="574" t="s">
        <v>257</v>
      </c>
      <c r="C101" s="1823" t="s">
        <v>258</v>
      </c>
      <c r="D101" s="1823"/>
      <c r="E101" s="1823"/>
      <c r="F101" s="573" t="s">
        <v>201</v>
      </c>
      <c r="G101" s="573"/>
      <c r="H101" s="573"/>
      <c r="I101" s="573" t="s">
        <v>185</v>
      </c>
      <c r="J101" s="572">
        <v>73.63</v>
      </c>
      <c r="K101" s="573"/>
      <c r="L101" s="572">
        <v>73.63</v>
      </c>
      <c r="M101" s="571"/>
      <c r="N101" s="570"/>
      <c r="W101" s="537" t="s">
        <v>258</v>
      </c>
    </row>
    <row r="102" spans="1:24" s="536" customFormat="1" ht="1.5" customHeight="1" x14ac:dyDescent="0.2">
      <c r="A102" s="563"/>
      <c r="B102" s="545"/>
      <c r="C102" s="545"/>
      <c r="D102" s="545"/>
      <c r="E102" s="545"/>
      <c r="F102" s="563"/>
      <c r="G102" s="563"/>
      <c r="H102" s="563"/>
      <c r="I102" s="563"/>
      <c r="J102" s="546"/>
      <c r="K102" s="563"/>
      <c r="L102" s="546"/>
      <c r="M102" s="562"/>
      <c r="N102" s="546"/>
    </row>
    <row r="103" spans="1:24" s="536" customFormat="1" x14ac:dyDescent="0.2">
      <c r="A103" s="557"/>
      <c r="B103" s="556"/>
      <c r="C103" s="1823" t="s">
        <v>223</v>
      </c>
      <c r="D103" s="1823"/>
      <c r="E103" s="1823"/>
      <c r="F103" s="1823"/>
      <c r="G103" s="1823"/>
      <c r="H103" s="1823"/>
      <c r="I103" s="1823"/>
      <c r="J103" s="1823"/>
      <c r="K103" s="1823"/>
      <c r="L103" s="555"/>
      <c r="M103" s="554"/>
      <c r="N103" s="553"/>
      <c r="X103" s="537" t="s">
        <v>223</v>
      </c>
    </row>
    <row r="104" spans="1:24" s="536" customFormat="1" ht="33.75" x14ac:dyDescent="0.2">
      <c r="A104" s="557"/>
      <c r="B104" s="556"/>
      <c r="C104" s="1823" t="s">
        <v>7093</v>
      </c>
      <c r="D104" s="1823"/>
      <c r="E104" s="1823"/>
      <c r="F104" s="1823"/>
      <c r="G104" s="1823"/>
      <c r="H104" s="1823"/>
      <c r="I104" s="1823"/>
      <c r="J104" s="1823"/>
      <c r="K104" s="1823"/>
      <c r="L104" s="555"/>
      <c r="M104" s="554"/>
      <c r="N104" s="553"/>
      <c r="X104" s="537" t="s">
        <v>7093</v>
      </c>
    </row>
    <row r="105" spans="1:24" s="536" customFormat="1" ht="22.5" x14ac:dyDescent="0.2">
      <c r="A105" s="1824" t="s">
        <v>259</v>
      </c>
      <c r="B105" s="1825"/>
      <c r="C105" s="1825"/>
      <c r="D105" s="1825"/>
      <c r="E105" s="1825"/>
      <c r="F105" s="1825"/>
      <c r="G105" s="1825"/>
      <c r="H105" s="1825"/>
      <c r="I105" s="1825"/>
      <c r="J105" s="1825"/>
      <c r="K105" s="1825"/>
      <c r="L105" s="1825"/>
      <c r="M105" s="1825"/>
      <c r="N105" s="1826"/>
      <c r="V105" s="537" t="s">
        <v>259</v>
      </c>
    </row>
    <row r="106" spans="1:24" s="536" customFormat="1" ht="45" x14ac:dyDescent="0.2">
      <c r="A106" s="575" t="s">
        <v>197</v>
      </c>
      <c r="B106" s="574" t="s">
        <v>260</v>
      </c>
      <c r="C106" s="1823" t="s">
        <v>261</v>
      </c>
      <c r="D106" s="1823"/>
      <c r="E106" s="1823"/>
      <c r="F106" s="573" t="s">
        <v>201</v>
      </c>
      <c r="G106" s="573"/>
      <c r="H106" s="573"/>
      <c r="I106" s="573" t="s">
        <v>185</v>
      </c>
      <c r="J106" s="572">
        <v>103.45</v>
      </c>
      <c r="K106" s="573"/>
      <c r="L106" s="572">
        <v>103.45</v>
      </c>
      <c r="M106" s="571"/>
      <c r="N106" s="570"/>
      <c r="W106" s="537" t="s">
        <v>261</v>
      </c>
    </row>
    <row r="107" spans="1:24" s="536" customFormat="1" ht="1.5" customHeight="1" x14ac:dyDescent="0.2">
      <c r="A107" s="563"/>
      <c r="B107" s="545"/>
      <c r="C107" s="545"/>
      <c r="D107" s="545"/>
      <c r="E107" s="545"/>
      <c r="F107" s="563"/>
      <c r="G107" s="563"/>
      <c r="H107" s="563"/>
      <c r="I107" s="563"/>
      <c r="J107" s="546"/>
      <c r="K107" s="563"/>
      <c r="L107" s="546"/>
      <c r="M107" s="562"/>
      <c r="N107" s="546"/>
    </row>
    <row r="108" spans="1:24" s="536" customFormat="1" x14ac:dyDescent="0.2">
      <c r="A108" s="557"/>
      <c r="B108" s="556"/>
      <c r="C108" s="1823" t="s">
        <v>223</v>
      </c>
      <c r="D108" s="1823"/>
      <c r="E108" s="1823"/>
      <c r="F108" s="1823"/>
      <c r="G108" s="1823"/>
      <c r="H108" s="1823"/>
      <c r="I108" s="1823"/>
      <c r="J108" s="1823"/>
      <c r="K108" s="1823"/>
      <c r="L108" s="555"/>
      <c r="M108" s="554"/>
      <c r="N108" s="553"/>
      <c r="X108" s="537" t="s">
        <v>223</v>
      </c>
    </row>
    <row r="109" spans="1:24" s="536" customFormat="1" ht="33.75" x14ac:dyDescent="0.2">
      <c r="A109" s="557"/>
      <c r="B109" s="556"/>
      <c r="C109" s="1823" t="s">
        <v>7092</v>
      </c>
      <c r="D109" s="1823"/>
      <c r="E109" s="1823"/>
      <c r="F109" s="1823"/>
      <c r="G109" s="1823"/>
      <c r="H109" s="1823"/>
      <c r="I109" s="1823"/>
      <c r="J109" s="1823"/>
      <c r="K109" s="1823"/>
      <c r="L109" s="555"/>
      <c r="M109" s="554"/>
      <c r="N109" s="553"/>
      <c r="X109" s="537" t="s">
        <v>7092</v>
      </c>
    </row>
    <row r="110" spans="1:24" s="536" customFormat="1" ht="22.5" x14ac:dyDescent="0.2">
      <c r="A110" s="1824" t="s">
        <v>262</v>
      </c>
      <c r="B110" s="1825"/>
      <c r="C110" s="1825"/>
      <c r="D110" s="1825"/>
      <c r="E110" s="1825"/>
      <c r="F110" s="1825"/>
      <c r="G110" s="1825"/>
      <c r="H110" s="1825"/>
      <c r="I110" s="1825"/>
      <c r="J110" s="1825"/>
      <c r="K110" s="1825"/>
      <c r="L110" s="1825"/>
      <c r="M110" s="1825"/>
      <c r="N110" s="1826"/>
      <c r="V110" s="537" t="s">
        <v>262</v>
      </c>
    </row>
    <row r="111" spans="1:24" s="536" customFormat="1" ht="45" x14ac:dyDescent="0.2">
      <c r="A111" s="575" t="s">
        <v>198</v>
      </c>
      <c r="B111" s="574" t="s">
        <v>263</v>
      </c>
      <c r="C111" s="1823" t="s">
        <v>264</v>
      </c>
      <c r="D111" s="1823"/>
      <c r="E111" s="1823"/>
      <c r="F111" s="573" t="s">
        <v>201</v>
      </c>
      <c r="G111" s="573"/>
      <c r="H111" s="573"/>
      <c r="I111" s="573" t="s">
        <v>185</v>
      </c>
      <c r="J111" s="572">
        <v>38.97</v>
      </c>
      <c r="K111" s="573"/>
      <c r="L111" s="572">
        <v>38.97</v>
      </c>
      <c r="M111" s="571"/>
      <c r="N111" s="570"/>
      <c r="W111" s="537" t="s">
        <v>264</v>
      </c>
    </row>
    <row r="112" spans="1:24" s="536" customFormat="1" ht="1.5" customHeight="1" x14ac:dyDescent="0.2">
      <c r="A112" s="563"/>
      <c r="B112" s="545"/>
      <c r="C112" s="545"/>
      <c r="D112" s="545"/>
      <c r="E112" s="545"/>
      <c r="F112" s="563"/>
      <c r="G112" s="563"/>
      <c r="H112" s="563"/>
      <c r="I112" s="563"/>
      <c r="J112" s="546"/>
      <c r="K112" s="563"/>
      <c r="L112" s="546"/>
      <c r="M112" s="562"/>
      <c r="N112" s="546"/>
    </row>
    <row r="113" spans="1:24" s="536" customFormat="1" x14ac:dyDescent="0.2">
      <c r="A113" s="557"/>
      <c r="B113" s="556"/>
      <c r="C113" s="1823" t="s">
        <v>223</v>
      </c>
      <c r="D113" s="1823"/>
      <c r="E113" s="1823"/>
      <c r="F113" s="1823"/>
      <c r="G113" s="1823"/>
      <c r="H113" s="1823"/>
      <c r="I113" s="1823"/>
      <c r="J113" s="1823"/>
      <c r="K113" s="1823"/>
      <c r="L113" s="555"/>
      <c r="M113" s="554"/>
      <c r="N113" s="553"/>
      <c r="X113" s="537" t="s">
        <v>223</v>
      </c>
    </row>
    <row r="114" spans="1:24" s="536" customFormat="1" ht="33.75" x14ac:dyDescent="0.2">
      <c r="A114" s="557"/>
      <c r="B114" s="556"/>
      <c r="C114" s="1823" t="s">
        <v>7091</v>
      </c>
      <c r="D114" s="1823"/>
      <c r="E114" s="1823"/>
      <c r="F114" s="1823"/>
      <c r="G114" s="1823"/>
      <c r="H114" s="1823"/>
      <c r="I114" s="1823"/>
      <c r="J114" s="1823"/>
      <c r="K114" s="1823"/>
      <c r="L114" s="555"/>
      <c r="M114" s="554"/>
      <c r="N114" s="553"/>
      <c r="X114" s="537" t="s">
        <v>7091</v>
      </c>
    </row>
    <row r="115" spans="1:24" s="536" customFormat="1" ht="22.5" x14ac:dyDescent="0.2">
      <c r="A115" s="1824" t="s">
        <v>265</v>
      </c>
      <c r="B115" s="1825"/>
      <c r="C115" s="1825"/>
      <c r="D115" s="1825"/>
      <c r="E115" s="1825"/>
      <c r="F115" s="1825"/>
      <c r="G115" s="1825"/>
      <c r="H115" s="1825"/>
      <c r="I115" s="1825"/>
      <c r="J115" s="1825"/>
      <c r="K115" s="1825"/>
      <c r="L115" s="1825"/>
      <c r="M115" s="1825"/>
      <c r="N115" s="1826"/>
      <c r="V115" s="537" t="s">
        <v>265</v>
      </c>
    </row>
    <row r="116" spans="1:24" s="536" customFormat="1" ht="33.75" x14ac:dyDescent="0.2">
      <c r="A116" s="575" t="s">
        <v>199</v>
      </c>
      <c r="B116" s="574" t="s">
        <v>266</v>
      </c>
      <c r="C116" s="1823" t="s">
        <v>267</v>
      </c>
      <c r="D116" s="1823"/>
      <c r="E116" s="1823"/>
      <c r="F116" s="573" t="s">
        <v>201</v>
      </c>
      <c r="G116" s="573"/>
      <c r="H116" s="573"/>
      <c r="I116" s="573" t="s">
        <v>185</v>
      </c>
      <c r="J116" s="572">
        <v>64.680000000000007</v>
      </c>
      <c r="K116" s="573"/>
      <c r="L116" s="572">
        <v>64.680000000000007</v>
      </c>
      <c r="M116" s="571"/>
      <c r="N116" s="570"/>
      <c r="W116" s="537" t="s">
        <v>267</v>
      </c>
    </row>
    <row r="117" spans="1:24" s="536" customFormat="1" x14ac:dyDescent="0.2">
      <c r="A117" s="569"/>
      <c r="B117" s="545"/>
      <c r="C117" s="568" t="s">
        <v>209</v>
      </c>
      <c r="D117" s="567"/>
      <c r="E117" s="567"/>
      <c r="F117" s="563"/>
      <c r="G117" s="563"/>
      <c r="H117" s="563"/>
      <c r="I117" s="563"/>
      <c r="J117" s="566"/>
      <c r="K117" s="563"/>
      <c r="L117" s="566"/>
      <c r="M117" s="565"/>
      <c r="N117" s="564"/>
    </row>
    <row r="118" spans="1:24" s="536" customFormat="1" ht="1.5" customHeight="1" x14ac:dyDescent="0.2">
      <c r="A118" s="563"/>
      <c r="B118" s="545"/>
      <c r="C118" s="545"/>
      <c r="D118" s="545"/>
      <c r="E118" s="545"/>
      <c r="F118" s="563"/>
      <c r="G118" s="563"/>
      <c r="H118" s="563"/>
      <c r="I118" s="563"/>
      <c r="J118" s="546"/>
      <c r="K118" s="563"/>
      <c r="L118" s="546"/>
      <c r="M118" s="562"/>
      <c r="N118" s="546"/>
    </row>
    <row r="119" spans="1:24" s="536" customFormat="1" x14ac:dyDescent="0.2">
      <c r="A119" s="557"/>
      <c r="B119" s="556"/>
      <c r="C119" s="1823" t="s">
        <v>223</v>
      </c>
      <c r="D119" s="1823"/>
      <c r="E119" s="1823"/>
      <c r="F119" s="1823"/>
      <c r="G119" s="1823"/>
      <c r="H119" s="1823"/>
      <c r="I119" s="1823"/>
      <c r="J119" s="1823"/>
      <c r="K119" s="1823"/>
      <c r="L119" s="555"/>
      <c r="M119" s="554"/>
      <c r="N119" s="553"/>
      <c r="X119" s="537" t="s">
        <v>223</v>
      </c>
    </row>
    <row r="120" spans="1:24" s="536" customFormat="1" ht="22.5" x14ac:dyDescent="0.2">
      <c r="A120" s="557"/>
      <c r="B120" s="556"/>
      <c r="C120" s="1823" t="s">
        <v>7090</v>
      </c>
      <c r="D120" s="1823"/>
      <c r="E120" s="1823"/>
      <c r="F120" s="1823"/>
      <c r="G120" s="1823"/>
      <c r="H120" s="1823"/>
      <c r="I120" s="1823"/>
      <c r="J120" s="1823"/>
      <c r="K120" s="1823"/>
      <c r="L120" s="555"/>
      <c r="M120" s="554"/>
      <c r="N120" s="553"/>
      <c r="X120" s="537" t="s">
        <v>7090</v>
      </c>
    </row>
    <row r="121" spans="1:24" s="536" customFormat="1" ht="22.5" x14ac:dyDescent="0.2">
      <c r="A121" s="1824" t="s">
        <v>268</v>
      </c>
      <c r="B121" s="1825"/>
      <c r="C121" s="1825"/>
      <c r="D121" s="1825"/>
      <c r="E121" s="1825"/>
      <c r="F121" s="1825"/>
      <c r="G121" s="1825"/>
      <c r="H121" s="1825"/>
      <c r="I121" s="1825"/>
      <c r="J121" s="1825"/>
      <c r="K121" s="1825"/>
      <c r="L121" s="1825"/>
      <c r="M121" s="1825"/>
      <c r="N121" s="1826"/>
      <c r="V121" s="537" t="s">
        <v>268</v>
      </c>
    </row>
    <row r="122" spans="1:24" s="536" customFormat="1" ht="33.75" x14ac:dyDescent="0.2">
      <c r="A122" s="575" t="s">
        <v>200</v>
      </c>
      <c r="B122" s="574" t="s">
        <v>269</v>
      </c>
      <c r="C122" s="1823" t="s">
        <v>270</v>
      </c>
      <c r="D122" s="1823"/>
      <c r="E122" s="1823"/>
      <c r="F122" s="573" t="s">
        <v>201</v>
      </c>
      <c r="G122" s="573"/>
      <c r="H122" s="573"/>
      <c r="I122" s="573" t="s">
        <v>185</v>
      </c>
      <c r="J122" s="572">
        <v>170.85</v>
      </c>
      <c r="K122" s="573"/>
      <c r="L122" s="572">
        <v>170.85</v>
      </c>
      <c r="M122" s="571"/>
      <c r="N122" s="570"/>
      <c r="W122" s="537" t="s">
        <v>270</v>
      </c>
    </row>
    <row r="123" spans="1:24" s="536" customFormat="1" x14ac:dyDescent="0.2">
      <c r="A123" s="569"/>
      <c r="B123" s="545"/>
      <c r="C123" s="568" t="s">
        <v>209</v>
      </c>
      <c r="D123" s="567"/>
      <c r="E123" s="567"/>
      <c r="F123" s="563"/>
      <c r="G123" s="563"/>
      <c r="H123" s="563"/>
      <c r="I123" s="563"/>
      <c r="J123" s="566"/>
      <c r="K123" s="563"/>
      <c r="L123" s="566"/>
      <c r="M123" s="565"/>
      <c r="N123" s="564"/>
    </row>
    <row r="124" spans="1:24" s="536" customFormat="1" ht="1.5" customHeight="1" x14ac:dyDescent="0.2">
      <c r="A124" s="563"/>
      <c r="B124" s="545"/>
      <c r="C124" s="545"/>
      <c r="D124" s="545"/>
      <c r="E124" s="545"/>
      <c r="F124" s="563"/>
      <c r="G124" s="563"/>
      <c r="H124" s="563"/>
      <c r="I124" s="563"/>
      <c r="J124" s="546"/>
      <c r="K124" s="563"/>
      <c r="L124" s="546"/>
      <c r="M124" s="562"/>
      <c r="N124" s="546"/>
    </row>
    <row r="125" spans="1:24" s="536" customFormat="1" x14ac:dyDescent="0.2">
      <c r="A125" s="557"/>
      <c r="B125" s="556"/>
      <c r="C125" s="1823" t="s">
        <v>223</v>
      </c>
      <c r="D125" s="1823"/>
      <c r="E125" s="1823"/>
      <c r="F125" s="1823"/>
      <c r="G125" s="1823"/>
      <c r="H125" s="1823"/>
      <c r="I125" s="1823"/>
      <c r="J125" s="1823"/>
      <c r="K125" s="1823"/>
      <c r="L125" s="555"/>
      <c r="M125" s="554"/>
      <c r="N125" s="553"/>
      <c r="X125" s="537" t="s">
        <v>223</v>
      </c>
    </row>
    <row r="126" spans="1:24" s="536" customFormat="1" ht="22.5" x14ac:dyDescent="0.2">
      <c r="A126" s="557"/>
      <c r="B126" s="556"/>
      <c r="C126" s="1823" t="s">
        <v>7089</v>
      </c>
      <c r="D126" s="1823"/>
      <c r="E126" s="1823"/>
      <c r="F126" s="1823"/>
      <c r="G126" s="1823"/>
      <c r="H126" s="1823"/>
      <c r="I126" s="1823"/>
      <c r="J126" s="1823"/>
      <c r="K126" s="1823"/>
      <c r="L126" s="555"/>
      <c r="M126" s="554"/>
      <c r="N126" s="553"/>
      <c r="X126" s="537" t="s">
        <v>7089</v>
      </c>
    </row>
    <row r="127" spans="1:24" s="536" customFormat="1" ht="22.5" x14ac:dyDescent="0.2">
      <c r="A127" s="1824" t="s">
        <v>7088</v>
      </c>
      <c r="B127" s="1825"/>
      <c r="C127" s="1825"/>
      <c r="D127" s="1825"/>
      <c r="E127" s="1825"/>
      <c r="F127" s="1825"/>
      <c r="G127" s="1825"/>
      <c r="H127" s="1825"/>
      <c r="I127" s="1825"/>
      <c r="J127" s="1825"/>
      <c r="K127" s="1825"/>
      <c r="L127" s="1825"/>
      <c r="M127" s="1825"/>
      <c r="N127" s="1826"/>
      <c r="V127" s="537" t="s">
        <v>7088</v>
      </c>
    </row>
    <row r="128" spans="1:24" s="536" customFormat="1" ht="33.75" x14ac:dyDescent="0.2">
      <c r="A128" s="575" t="s">
        <v>425</v>
      </c>
      <c r="B128" s="574" t="s">
        <v>7087</v>
      </c>
      <c r="C128" s="1823" t="s">
        <v>7086</v>
      </c>
      <c r="D128" s="1823"/>
      <c r="E128" s="1823"/>
      <c r="F128" s="573" t="s">
        <v>201</v>
      </c>
      <c r="G128" s="573"/>
      <c r="H128" s="573"/>
      <c r="I128" s="573" t="s">
        <v>185</v>
      </c>
      <c r="J128" s="572">
        <v>37.42</v>
      </c>
      <c r="K128" s="573"/>
      <c r="L128" s="572">
        <v>37.42</v>
      </c>
      <c r="M128" s="571"/>
      <c r="N128" s="570"/>
      <c r="W128" s="537" t="s">
        <v>7086</v>
      </c>
    </row>
    <row r="129" spans="1:27" s="536" customFormat="1" x14ac:dyDescent="0.2">
      <c r="A129" s="569"/>
      <c r="B129" s="545"/>
      <c r="C129" s="568" t="s">
        <v>209</v>
      </c>
      <c r="D129" s="567"/>
      <c r="E129" s="567"/>
      <c r="F129" s="563"/>
      <c r="G129" s="563"/>
      <c r="H129" s="563"/>
      <c r="I129" s="563"/>
      <c r="J129" s="566"/>
      <c r="K129" s="563"/>
      <c r="L129" s="566"/>
      <c r="M129" s="565"/>
      <c r="N129" s="564"/>
    </row>
    <row r="130" spans="1:27" s="536" customFormat="1" ht="1.5" customHeight="1" x14ac:dyDescent="0.2">
      <c r="A130" s="563"/>
      <c r="B130" s="545"/>
      <c r="C130" s="545"/>
      <c r="D130" s="545"/>
      <c r="E130" s="545"/>
      <c r="F130" s="563"/>
      <c r="G130" s="563"/>
      <c r="H130" s="563"/>
      <c r="I130" s="563"/>
      <c r="J130" s="546"/>
      <c r="K130" s="563"/>
      <c r="L130" s="546"/>
      <c r="M130" s="562"/>
      <c r="N130" s="546"/>
    </row>
    <row r="131" spans="1:27" s="536" customFormat="1" x14ac:dyDescent="0.2">
      <c r="A131" s="557"/>
      <c r="B131" s="556"/>
      <c r="C131" s="1823" t="s">
        <v>223</v>
      </c>
      <c r="D131" s="1823"/>
      <c r="E131" s="1823"/>
      <c r="F131" s="1823"/>
      <c r="G131" s="1823"/>
      <c r="H131" s="1823"/>
      <c r="I131" s="1823"/>
      <c r="J131" s="1823"/>
      <c r="K131" s="1823"/>
      <c r="L131" s="555"/>
      <c r="M131" s="554"/>
      <c r="N131" s="553"/>
      <c r="X131" s="537" t="s">
        <v>223</v>
      </c>
    </row>
    <row r="132" spans="1:27" s="536" customFormat="1" ht="33.75" x14ac:dyDescent="0.2">
      <c r="A132" s="557"/>
      <c r="B132" s="556"/>
      <c r="C132" s="1823" t="s">
        <v>7085</v>
      </c>
      <c r="D132" s="1823"/>
      <c r="E132" s="1823"/>
      <c r="F132" s="1823"/>
      <c r="G132" s="1823"/>
      <c r="H132" s="1823"/>
      <c r="I132" s="1823"/>
      <c r="J132" s="1823"/>
      <c r="K132" s="1823"/>
      <c r="L132" s="555"/>
      <c r="M132" s="554"/>
      <c r="N132" s="553"/>
      <c r="X132" s="537" t="s">
        <v>7085</v>
      </c>
    </row>
    <row r="133" spans="1:27" s="536" customFormat="1" ht="2.25" customHeight="1" x14ac:dyDescent="0.2">
      <c r="B133" s="561"/>
      <c r="C133" s="561"/>
      <c r="D133" s="561"/>
      <c r="E133" s="561"/>
      <c r="F133" s="561"/>
      <c r="G133" s="561"/>
      <c r="H133" s="561"/>
      <c r="I133" s="561"/>
      <c r="J133" s="561"/>
      <c r="K133" s="561"/>
      <c r="L133" s="560"/>
      <c r="M133" s="559"/>
      <c r="N133" s="558"/>
    </row>
    <row r="134" spans="1:27" s="536" customFormat="1" x14ac:dyDescent="0.2">
      <c r="A134" s="557"/>
      <c r="B134" s="556"/>
      <c r="C134" s="1823" t="s">
        <v>271</v>
      </c>
      <c r="D134" s="1823"/>
      <c r="E134" s="1823"/>
      <c r="F134" s="1823"/>
      <c r="G134" s="1823"/>
      <c r="H134" s="1823"/>
      <c r="I134" s="1823"/>
      <c r="J134" s="1823"/>
      <c r="K134" s="1823"/>
      <c r="L134" s="555"/>
      <c r="M134" s="554"/>
      <c r="N134" s="553"/>
      <c r="Y134" s="537" t="s">
        <v>271</v>
      </c>
    </row>
    <row r="135" spans="1:27" s="536" customFormat="1" x14ac:dyDescent="0.2">
      <c r="A135" s="557"/>
      <c r="B135" s="556"/>
      <c r="C135" s="1823" t="s">
        <v>205</v>
      </c>
      <c r="D135" s="1823"/>
      <c r="E135" s="1823"/>
      <c r="F135" s="1823"/>
      <c r="G135" s="1823"/>
      <c r="H135" s="1823"/>
      <c r="I135" s="1823"/>
      <c r="J135" s="1823"/>
      <c r="K135" s="1823"/>
      <c r="L135" s="555"/>
      <c r="M135" s="554"/>
      <c r="N135" s="553"/>
      <c r="Y135" s="537" t="s">
        <v>205</v>
      </c>
    </row>
    <row r="136" spans="1:27" s="536" customFormat="1" x14ac:dyDescent="0.2">
      <c r="A136" s="548"/>
      <c r="B136" s="552"/>
      <c r="C136" s="1822" t="s">
        <v>229</v>
      </c>
      <c r="D136" s="1822"/>
      <c r="E136" s="1822"/>
      <c r="F136" s="1822"/>
      <c r="G136" s="1822"/>
      <c r="H136" s="1822"/>
      <c r="I136" s="1822"/>
      <c r="J136" s="1822"/>
      <c r="K136" s="1822"/>
      <c r="L136" s="551"/>
      <c r="M136" s="550"/>
      <c r="N136" s="549"/>
      <c r="Z136" s="537" t="s">
        <v>229</v>
      </c>
    </row>
    <row r="137" spans="1:27" s="536" customFormat="1" x14ac:dyDescent="0.2">
      <c r="A137" s="548"/>
      <c r="B137" s="552"/>
      <c r="C137" s="1822" t="s">
        <v>272</v>
      </c>
      <c r="D137" s="1822"/>
      <c r="E137" s="1822"/>
      <c r="F137" s="1822"/>
      <c r="G137" s="1822"/>
      <c r="H137" s="1822"/>
      <c r="I137" s="1822"/>
      <c r="J137" s="1822"/>
      <c r="K137" s="1822"/>
      <c r="L137" s="551"/>
      <c r="M137" s="550"/>
      <c r="N137" s="549"/>
      <c r="Z137" s="537" t="s">
        <v>272</v>
      </c>
    </row>
    <row r="138" spans="1:27" s="536" customFormat="1" x14ac:dyDescent="0.2">
      <c r="A138" s="548"/>
      <c r="B138" s="552"/>
      <c r="C138" s="1822" t="s">
        <v>229</v>
      </c>
      <c r="D138" s="1822"/>
      <c r="E138" s="1822"/>
      <c r="F138" s="1822"/>
      <c r="G138" s="1822"/>
      <c r="H138" s="1822"/>
      <c r="I138" s="1822"/>
      <c r="J138" s="1822"/>
      <c r="K138" s="1822"/>
      <c r="L138" s="551"/>
      <c r="M138" s="550"/>
      <c r="N138" s="549"/>
      <c r="Z138" s="537" t="s">
        <v>229</v>
      </c>
    </row>
    <row r="139" spans="1:27" s="536" customFormat="1" x14ac:dyDescent="0.2">
      <c r="A139" s="548"/>
      <c r="B139" s="552"/>
      <c r="C139" s="1822" t="s">
        <v>7084</v>
      </c>
      <c r="D139" s="1822"/>
      <c r="E139" s="1822"/>
      <c r="F139" s="1822"/>
      <c r="G139" s="1822"/>
      <c r="H139" s="1822"/>
      <c r="I139" s="1822"/>
      <c r="J139" s="1822"/>
      <c r="K139" s="1822"/>
      <c r="L139" s="551"/>
      <c r="M139" s="550"/>
      <c r="N139" s="549"/>
      <c r="Z139" s="537" t="s">
        <v>7084</v>
      </c>
    </row>
    <row r="140" spans="1:27" s="536" customFormat="1" x14ac:dyDescent="0.2">
      <c r="A140" s="548"/>
      <c r="B140" s="552"/>
      <c r="C140" s="1822" t="s">
        <v>224</v>
      </c>
      <c r="D140" s="1822"/>
      <c r="E140" s="1822"/>
      <c r="F140" s="1822"/>
      <c r="G140" s="1822"/>
      <c r="H140" s="1822"/>
      <c r="I140" s="1822"/>
      <c r="J140" s="1822"/>
      <c r="K140" s="1822"/>
      <c r="L140" s="551"/>
      <c r="M140" s="550"/>
      <c r="N140" s="549"/>
      <c r="Z140" s="537" t="s">
        <v>224</v>
      </c>
    </row>
    <row r="141" spans="1:27" s="536" customFormat="1" x14ac:dyDescent="0.2">
      <c r="A141" s="548"/>
      <c r="B141" s="552"/>
      <c r="C141" s="1822" t="s">
        <v>204</v>
      </c>
      <c r="D141" s="1822"/>
      <c r="E141" s="1822"/>
      <c r="F141" s="1822"/>
      <c r="G141" s="1822"/>
      <c r="H141" s="1822"/>
      <c r="I141" s="1822"/>
      <c r="J141" s="1822"/>
      <c r="K141" s="1822"/>
      <c r="L141" s="551"/>
      <c r="M141" s="550"/>
      <c r="N141" s="549"/>
      <c r="Z141" s="537" t="s">
        <v>204</v>
      </c>
    </row>
    <row r="142" spans="1:27" s="536" customFormat="1" x14ac:dyDescent="0.2">
      <c r="A142" s="548"/>
      <c r="B142" s="552"/>
      <c r="C142" s="1822" t="s">
        <v>230</v>
      </c>
      <c r="D142" s="1822"/>
      <c r="E142" s="1822"/>
      <c r="F142" s="1822"/>
      <c r="G142" s="1822"/>
      <c r="H142" s="1822"/>
      <c r="I142" s="1822"/>
      <c r="J142" s="1822"/>
      <c r="K142" s="1822"/>
      <c r="L142" s="551"/>
      <c r="M142" s="550"/>
      <c r="N142" s="549"/>
      <c r="Z142" s="537" t="s">
        <v>230</v>
      </c>
    </row>
    <row r="143" spans="1:27" s="536" customFormat="1" x14ac:dyDescent="0.2">
      <c r="A143" s="548"/>
      <c r="B143" s="552"/>
      <c r="C143" s="1822" t="s">
        <v>225</v>
      </c>
      <c r="D143" s="1822"/>
      <c r="E143" s="1822"/>
      <c r="F143" s="1822"/>
      <c r="G143" s="1822"/>
      <c r="H143" s="1822"/>
      <c r="I143" s="1822"/>
      <c r="J143" s="1822"/>
      <c r="K143" s="1822"/>
      <c r="L143" s="551"/>
      <c r="M143" s="550"/>
      <c r="N143" s="549"/>
      <c r="Z143" s="537" t="s">
        <v>225</v>
      </c>
    </row>
    <row r="144" spans="1:27" s="536" customFormat="1" x14ac:dyDescent="0.2">
      <c r="A144" s="548"/>
      <c r="B144" s="546"/>
      <c r="C144" s="1819" t="s">
        <v>206</v>
      </c>
      <c r="D144" s="1819"/>
      <c r="E144" s="1819"/>
      <c r="F144" s="1819"/>
      <c r="G144" s="1819"/>
      <c r="H144" s="1819"/>
      <c r="I144" s="1819"/>
      <c r="J144" s="1819"/>
      <c r="K144" s="1819"/>
      <c r="L144" s="544"/>
      <c r="M144" s="543"/>
      <c r="N144" s="547"/>
      <c r="AA144" s="537" t="s">
        <v>206</v>
      </c>
    </row>
    <row r="145" spans="1:28" ht="1.5" customHeight="1" x14ac:dyDescent="0.2">
      <c r="B145" s="546"/>
      <c r="C145" s="545"/>
      <c r="D145" s="545"/>
      <c r="E145" s="545"/>
      <c r="F145" s="545"/>
      <c r="G145" s="545"/>
      <c r="H145" s="545"/>
      <c r="I145" s="545"/>
      <c r="J145" s="545"/>
      <c r="K145" s="545"/>
      <c r="L145" s="544"/>
      <c r="M145" s="543"/>
      <c r="N145" s="542"/>
      <c r="P145" s="536"/>
      <c r="Q145" s="536"/>
      <c r="R145" s="536"/>
      <c r="S145" s="536"/>
      <c r="T145" s="536"/>
      <c r="U145" s="536"/>
      <c r="V145" s="536"/>
      <c r="W145" s="536"/>
      <c r="X145" s="536"/>
      <c r="Y145" s="536"/>
      <c r="Z145" s="536"/>
      <c r="AA145" s="536"/>
      <c r="AB145" s="536"/>
    </row>
    <row r="146" spans="1:28" ht="53.25" customHeight="1" x14ac:dyDescent="0.2">
      <c r="A146" s="541"/>
      <c r="B146" s="541"/>
      <c r="C146" s="541"/>
      <c r="D146" s="541"/>
      <c r="E146" s="541"/>
      <c r="F146" s="541"/>
      <c r="G146" s="541"/>
      <c r="H146" s="541"/>
      <c r="I146" s="541"/>
      <c r="J146" s="541"/>
      <c r="K146" s="541"/>
      <c r="L146" s="541"/>
      <c r="M146" s="541"/>
      <c r="N146" s="541"/>
      <c r="P146" s="536"/>
      <c r="Q146" s="536"/>
      <c r="R146" s="536"/>
      <c r="S146" s="536"/>
      <c r="T146" s="536"/>
      <c r="U146" s="536"/>
      <c r="V146" s="536"/>
      <c r="W146" s="536"/>
      <c r="X146" s="536"/>
      <c r="Y146" s="536"/>
      <c r="Z146" s="536"/>
      <c r="AA146" s="536"/>
      <c r="AB146" s="536"/>
    </row>
    <row r="147" spans="1:28" x14ac:dyDescent="0.2">
      <c r="B147" s="539" t="s">
        <v>149</v>
      </c>
      <c r="C147" s="1943" t="s">
        <v>207</v>
      </c>
      <c r="D147" s="1943"/>
      <c r="E147" s="1943"/>
      <c r="F147" s="1943"/>
      <c r="G147" s="1943"/>
      <c r="H147" s="1943"/>
      <c r="I147" s="1943"/>
      <c r="J147" s="1943"/>
      <c r="K147" s="1943"/>
      <c r="L147" s="1943"/>
    </row>
    <row r="148" spans="1:28" ht="13.5" customHeight="1" x14ac:dyDescent="0.2">
      <c r="B148" s="540"/>
      <c r="C148" s="1821" t="s">
        <v>150</v>
      </c>
      <c r="D148" s="1821"/>
      <c r="E148" s="1821"/>
      <c r="F148" s="1821"/>
      <c r="G148" s="1821"/>
      <c r="H148" s="1821"/>
      <c r="I148" s="1821"/>
      <c r="J148" s="1821"/>
      <c r="K148" s="1821"/>
      <c r="L148" s="1821"/>
    </row>
    <row r="149" spans="1:28" ht="12.75" customHeight="1" x14ac:dyDescent="0.2">
      <c r="B149" s="539" t="s">
        <v>151</v>
      </c>
      <c r="C149" s="1943" t="s">
        <v>208</v>
      </c>
      <c r="D149" s="1943"/>
      <c r="E149" s="1943"/>
      <c r="F149" s="1943"/>
      <c r="G149" s="1943"/>
      <c r="H149" s="1943"/>
      <c r="I149" s="1943"/>
      <c r="J149" s="1943"/>
      <c r="K149" s="1943"/>
      <c r="L149" s="1943"/>
    </row>
    <row r="150" spans="1:28" ht="13.5" customHeight="1" x14ac:dyDescent="0.2">
      <c r="C150" s="1821" t="s">
        <v>150</v>
      </c>
      <c r="D150" s="1821"/>
      <c r="E150" s="1821"/>
      <c r="F150" s="1821"/>
      <c r="G150" s="1821"/>
      <c r="H150" s="1821"/>
      <c r="I150" s="1821"/>
      <c r="J150" s="1821"/>
      <c r="K150" s="1821"/>
      <c r="L150" s="1821"/>
    </row>
    <row r="152" spans="1:28" x14ac:dyDescent="0.2">
      <c r="A152" s="1944"/>
      <c r="B152" s="1944"/>
      <c r="C152" s="1944"/>
      <c r="D152" s="1944"/>
      <c r="E152" s="1944"/>
      <c r="F152" s="1944"/>
      <c r="G152" s="1944"/>
      <c r="H152" s="1944"/>
      <c r="I152" s="1944"/>
      <c r="J152" s="1944"/>
      <c r="K152" s="1944"/>
      <c r="L152" s="1944"/>
      <c r="M152" s="1944"/>
      <c r="N152" s="1944"/>
      <c r="P152" s="536"/>
      <c r="Q152" s="536"/>
      <c r="R152" s="536"/>
      <c r="S152" s="536"/>
      <c r="T152" s="536"/>
      <c r="U152" s="536"/>
      <c r="V152" s="536"/>
      <c r="W152" s="536"/>
      <c r="X152" s="536"/>
      <c r="Y152" s="536"/>
      <c r="Z152" s="536"/>
      <c r="AA152" s="536"/>
      <c r="AB152" s="537" t="s">
        <v>143</v>
      </c>
    </row>
    <row r="153" spans="1:28" x14ac:dyDescent="0.2">
      <c r="B153" s="538"/>
      <c r="D153" s="538"/>
      <c r="F153" s="538"/>
      <c r="P153" s="536"/>
      <c r="Q153" s="536"/>
      <c r="R153" s="536"/>
      <c r="S153" s="536"/>
      <c r="T153" s="536"/>
      <c r="U153" s="536"/>
      <c r="V153" s="536"/>
      <c r="W153" s="536"/>
      <c r="X153" s="536"/>
      <c r="Y153" s="536"/>
      <c r="Z153" s="536"/>
      <c r="AA153" s="536"/>
      <c r="AB153" s="536"/>
    </row>
  </sheetData>
  <mergeCells count="110">
    <mergeCell ref="K4:N4"/>
    <mergeCell ref="A4:C4"/>
    <mergeCell ref="A5:D5"/>
    <mergeCell ref="J5:N5"/>
    <mergeCell ref="A6:D6"/>
    <mergeCell ref="J6:N6"/>
    <mergeCell ref="C40:E40"/>
    <mergeCell ref="C42:K42"/>
    <mergeCell ref="C43:K43"/>
    <mergeCell ref="D10:N10"/>
    <mergeCell ref="A13:N13"/>
    <mergeCell ref="A44:N44"/>
    <mergeCell ref="A35:A37"/>
    <mergeCell ref="M35:M37"/>
    <mergeCell ref="G35:I36"/>
    <mergeCell ref="L33:M33"/>
    <mergeCell ref="A14:N14"/>
    <mergeCell ref="A17:N17"/>
    <mergeCell ref="A18:N18"/>
    <mergeCell ref="A21:N21"/>
    <mergeCell ref="B23:F23"/>
    <mergeCell ref="B24:F24"/>
    <mergeCell ref="A16:N16"/>
    <mergeCell ref="A20:N20"/>
    <mergeCell ref="A39:N39"/>
    <mergeCell ref="C38:E38"/>
    <mergeCell ref="N35:N37"/>
    <mergeCell ref="J35:L36"/>
    <mergeCell ref="B35:B37"/>
    <mergeCell ref="F35:F37"/>
    <mergeCell ref="C35:E37"/>
    <mergeCell ref="C66:K66"/>
    <mergeCell ref="A67:N67"/>
    <mergeCell ref="C45:E45"/>
    <mergeCell ref="C48:K48"/>
    <mergeCell ref="C49:K49"/>
    <mergeCell ref="A50:N50"/>
    <mergeCell ref="C51:E51"/>
    <mergeCell ref="C54:K54"/>
    <mergeCell ref="C57:E57"/>
    <mergeCell ref="C60:K60"/>
    <mergeCell ref="C61:K61"/>
    <mergeCell ref="A56:N56"/>
    <mergeCell ref="C55:K55"/>
    <mergeCell ref="C90:E90"/>
    <mergeCell ref="C93:K93"/>
    <mergeCell ref="C94:K94"/>
    <mergeCell ref="A95:N95"/>
    <mergeCell ref="C96:E96"/>
    <mergeCell ref="A62:N62"/>
    <mergeCell ref="C68:E68"/>
    <mergeCell ref="A83:N83"/>
    <mergeCell ref="C84:E84"/>
    <mergeCell ref="C87:K87"/>
    <mergeCell ref="C88:K88"/>
    <mergeCell ref="A89:N89"/>
    <mergeCell ref="C76:K76"/>
    <mergeCell ref="A77:N77"/>
    <mergeCell ref="C78:E78"/>
    <mergeCell ref="C81:K81"/>
    <mergeCell ref="C82:K82"/>
    <mergeCell ref="C70:K70"/>
    <mergeCell ref="C71:K71"/>
    <mergeCell ref="A72:N72"/>
    <mergeCell ref="C73:E73"/>
    <mergeCell ref="C75:K75"/>
    <mergeCell ref="C63:E63"/>
    <mergeCell ref="C65:K65"/>
    <mergeCell ref="C104:K104"/>
    <mergeCell ref="A105:N105"/>
    <mergeCell ref="C106:E106"/>
    <mergeCell ref="C108:K108"/>
    <mergeCell ref="C98:K98"/>
    <mergeCell ref="C99:K99"/>
    <mergeCell ref="A100:N100"/>
    <mergeCell ref="C101:E101"/>
    <mergeCell ref="C103:K103"/>
    <mergeCell ref="C109:K109"/>
    <mergeCell ref="C125:K125"/>
    <mergeCell ref="C126:K126"/>
    <mergeCell ref="A127:N127"/>
    <mergeCell ref="C128:E128"/>
    <mergeCell ref="C131:K131"/>
    <mergeCell ref="C116:E116"/>
    <mergeCell ref="C119:K119"/>
    <mergeCell ref="C120:K120"/>
    <mergeCell ref="A121:N121"/>
    <mergeCell ref="A110:N110"/>
    <mergeCell ref="C111:E111"/>
    <mergeCell ref="C113:K113"/>
    <mergeCell ref="C114:K114"/>
    <mergeCell ref="A115:N115"/>
    <mergeCell ref="C148:L148"/>
    <mergeCell ref="C122:E122"/>
    <mergeCell ref="C143:K143"/>
    <mergeCell ref="C144:K144"/>
    <mergeCell ref="A152:N152"/>
    <mergeCell ref="C138:K138"/>
    <mergeCell ref="C139:K139"/>
    <mergeCell ref="C140:K140"/>
    <mergeCell ref="C141:K141"/>
    <mergeCell ref="C142:K142"/>
    <mergeCell ref="C132:K132"/>
    <mergeCell ref="C150:L150"/>
    <mergeCell ref="C134:K134"/>
    <mergeCell ref="C135:K135"/>
    <mergeCell ref="C136:K136"/>
    <mergeCell ref="C137:K137"/>
    <mergeCell ref="C147:L147"/>
    <mergeCell ref="C149:L149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15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autoPageBreaks="0" fitToPage="1"/>
  </sheetPr>
  <dimension ref="A1:O161"/>
  <sheetViews>
    <sheetView showGridLines="0" topLeftCell="C13" zoomScale="130" zoomScaleNormal="130" workbookViewId="0">
      <pane ySplit="9" topLeftCell="A144" activePane="bottomLeft" state="frozen"/>
      <selection activeCell="A13" sqref="A13"/>
      <selection pane="bottomLeft" activeCell="G144" sqref="G144"/>
    </sheetView>
  </sheetViews>
  <sheetFormatPr defaultColWidth="9.140625" defaultRowHeight="12.75" outlineLevelRow="1" x14ac:dyDescent="0.2"/>
  <cols>
    <col min="1" max="1" width="5" style="462" customWidth="1"/>
    <col min="2" max="2" width="20" style="453" customWidth="1"/>
    <col min="3" max="3" width="44.5703125" style="453" customWidth="1"/>
    <col min="4" max="4" width="13.85546875" style="458" customWidth="1"/>
    <col min="5" max="5" width="13" style="458" customWidth="1"/>
    <col min="6" max="6" width="13.42578125" style="458" customWidth="1"/>
    <col min="7" max="7" width="12.5703125" style="458" customWidth="1"/>
    <col min="8" max="8" width="16.85546875" style="458" customWidth="1"/>
    <col min="9" max="9" width="11.42578125" style="456" customWidth="1"/>
    <col min="10" max="10" width="12.28515625" style="456" customWidth="1"/>
    <col min="11" max="11" width="13" style="456" customWidth="1"/>
    <col min="12" max="12" width="13.140625" style="456" customWidth="1"/>
    <col min="13" max="13" width="13.5703125" style="456" customWidth="1"/>
    <col min="14" max="14" width="9.5703125" style="456" bestFit="1" customWidth="1"/>
    <col min="15" max="16384" width="9.140625" style="456"/>
  </cols>
  <sheetData>
    <row r="1" spans="2:8" x14ac:dyDescent="0.2">
      <c r="D1" s="454"/>
      <c r="E1" s="454"/>
      <c r="F1" s="454"/>
      <c r="G1" s="454"/>
      <c r="H1" s="455" t="s">
        <v>6447</v>
      </c>
    </row>
    <row r="2" spans="2:8" x14ac:dyDescent="0.2">
      <c r="B2" s="453" t="s">
        <v>6448</v>
      </c>
      <c r="C2" s="1687" t="s">
        <v>5654</v>
      </c>
      <c r="D2" s="1688"/>
      <c r="E2" s="1688"/>
      <c r="F2" s="1688"/>
      <c r="G2" s="1688"/>
      <c r="H2" s="454"/>
    </row>
    <row r="3" spans="2:8" x14ac:dyDescent="0.2">
      <c r="C3" s="1423"/>
      <c r="D3" s="1424"/>
      <c r="E3" s="1424"/>
      <c r="F3" s="1424"/>
      <c r="G3" s="1424"/>
      <c r="H3" s="454"/>
    </row>
    <row r="4" spans="2:8" x14ac:dyDescent="0.2">
      <c r="B4" s="453" t="s">
        <v>6449</v>
      </c>
      <c r="D4" s="454"/>
      <c r="E4" s="457"/>
      <c r="F4" s="454"/>
      <c r="G4" s="454"/>
      <c r="H4" s="454"/>
    </row>
    <row r="5" spans="2:8" x14ac:dyDescent="0.2">
      <c r="D5" s="454"/>
      <c r="E5" s="457"/>
      <c r="F5" s="454"/>
      <c r="G5" s="454"/>
      <c r="H5" s="454"/>
    </row>
    <row r="6" spans="2:8" ht="15" x14ac:dyDescent="0.2">
      <c r="B6" s="453" t="s">
        <v>10141</v>
      </c>
      <c r="D6" s="1403"/>
      <c r="E6" s="457"/>
      <c r="F6" s="454"/>
      <c r="G6" s="454"/>
      <c r="H6" s="454"/>
    </row>
    <row r="7" spans="2:8" x14ac:dyDescent="0.2">
      <c r="C7" s="1689"/>
      <c r="D7" s="1690"/>
      <c r="E7" s="1690"/>
      <c r="F7" s="1690"/>
      <c r="G7" s="1690"/>
      <c r="H7" s="454"/>
    </row>
    <row r="8" spans="2:8" x14ac:dyDescent="0.2">
      <c r="D8" s="457" t="s">
        <v>6450</v>
      </c>
      <c r="F8" s="454"/>
      <c r="G8" s="454"/>
      <c r="H8" s="454"/>
    </row>
    <row r="9" spans="2:8" x14ac:dyDescent="0.2">
      <c r="D9" s="454"/>
      <c r="E9" s="457"/>
      <c r="F9" s="454"/>
      <c r="G9" s="454"/>
      <c r="H9" s="454"/>
    </row>
    <row r="10" spans="2:8" x14ac:dyDescent="0.2">
      <c r="B10" s="453" t="s">
        <v>6451</v>
      </c>
      <c r="H10" s="454"/>
    </row>
    <row r="11" spans="2:8" x14ac:dyDescent="0.2">
      <c r="G11" s="454"/>
      <c r="H11" s="454"/>
    </row>
    <row r="12" spans="2:8" x14ac:dyDescent="0.2">
      <c r="D12" s="459" t="s">
        <v>6452</v>
      </c>
      <c r="F12" s="454"/>
      <c r="G12" s="454"/>
      <c r="H12" s="454"/>
    </row>
    <row r="13" spans="2:8" x14ac:dyDescent="0.2">
      <c r="D13" s="460"/>
      <c r="F13" s="454"/>
      <c r="G13" s="454"/>
      <c r="H13" s="454"/>
    </row>
    <row r="14" spans="2:8" ht="33.75" customHeight="1" x14ac:dyDescent="0.2">
      <c r="C14" s="1691" t="s">
        <v>5885</v>
      </c>
      <c r="D14" s="1692"/>
      <c r="E14" s="1692"/>
      <c r="F14" s="1692"/>
      <c r="G14" s="1692"/>
      <c r="H14" s="454"/>
    </row>
    <row r="15" spans="2:8" ht="12.75" customHeight="1" x14ac:dyDescent="0.2">
      <c r="D15" s="461" t="s">
        <v>139</v>
      </c>
      <c r="F15" s="454"/>
      <c r="G15" s="454"/>
      <c r="H15" s="454"/>
    </row>
    <row r="16" spans="2:8" x14ac:dyDescent="0.2">
      <c r="B16" s="453" t="s">
        <v>9644</v>
      </c>
      <c r="D16" s="460"/>
      <c r="E16" s="454"/>
      <c r="F16" s="454"/>
      <c r="G16" s="454"/>
      <c r="H16" s="454"/>
    </row>
    <row r="17" spans="1:9" ht="35.25" customHeight="1" x14ac:dyDescent="0.2">
      <c r="A17" s="1693" t="s">
        <v>287</v>
      </c>
      <c r="B17" s="1694" t="s">
        <v>6454</v>
      </c>
      <c r="C17" s="1694" t="s">
        <v>6455</v>
      </c>
      <c r="D17" s="1695" t="s">
        <v>289</v>
      </c>
      <c r="E17" s="1695"/>
      <c r="F17" s="1695"/>
      <c r="G17" s="1695"/>
      <c r="H17" s="1752" t="s">
        <v>6456</v>
      </c>
    </row>
    <row r="18" spans="1:9" ht="12.75" customHeight="1" x14ac:dyDescent="0.2">
      <c r="A18" s="1693"/>
      <c r="B18" s="1694"/>
      <c r="C18" s="1694"/>
      <c r="D18" s="1693" t="s">
        <v>6457</v>
      </c>
      <c r="E18" s="1693" t="s">
        <v>140</v>
      </c>
      <c r="F18" s="1693" t="s">
        <v>6458</v>
      </c>
      <c r="G18" s="1693" t="s">
        <v>6459</v>
      </c>
      <c r="H18" s="1753"/>
    </row>
    <row r="19" spans="1:9" x14ac:dyDescent="0.2">
      <c r="A19" s="1693"/>
      <c r="B19" s="1694"/>
      <c r="C19" s="1694"/>
      <c r="D19" s="1693"/>
      <c r="E19" s="1693"/>
      <c r="F19" s="1693"/>
      <c r="G19" s="1693"/>
      <c r="H19" s="1753"/>
    </row>
    <row r="20" spans="1:9" x14ac:dyDescent="0.2">
      <c r="A20" s="1693"/>
      <c r="B20" s="1694"/>
      <c r="C20" s="1694"/>
      <c r="D20" s="1693"/>
      <c r="E20" s="1693"/>
      <c r="F20" s="1693"/>
      <c r="G20" s="1693"/>
      <c r="H20" s="1754"/>
    </row>
    <row r="21" spans="1:9" x14ac:dyDescent="0.2">
      <c r="A21" s="1102">
        <v>1</v>
      </c>
      <c r="B21" s="1103">
        <v>2</v>
      </c>
      <c r="C21" s="1103">
        <v>3</v>
      </c>
      <c r="D21" s="1102">
        <v>4</v>
      </c>
      <c r="E21" s="1102">
        <v>5</v>
      </c>
      <c r="F21" s="1102">
        <v>6</v>
      </c>
      <c r="G21" s="1102">
        <v>7</v>
      </c>
      <c r="H21" s="1102">
        <v>8</v>
      </c>
    </row>
    <row r="22" spans="1:9" x14ac:dyDescent="0.2">
      <c r="A22" s="1685" t="s">
        <v>6460</v>
      </c>
      <c r="B22" s="1686"/>
      <c r="C22" s="1686"/>
      <c r="D22" s="1686"/>
      <c r="E22" s="1686"/>
      <c r="F22" s="1686"/>
      <c r="G22" s="1686"/>
      <c r="H22" s="1686"/>
    </row>
    <row r="23" spans="1:9" x14ac:dyDescent="0.2">
      <c r="A23" s="463">
        <v>1</v>
      </c>
      <c r="B23" s="464" t="s">
        <v>6461</v>
      </c>
      <c r="C23" s="464" t="s">
        <v>18</v>
      </c>
      <c r="D23" s="465">
        <f>SUM(D24:D25)</f>
        <v>939.24</v>
      </c>
      <c r="E23" s="466"/>
      <c r="F23" s="466"/>
      <c r="G23" s="466"/>
      <c r="H23" s="465">
        <f>SUM(D23:G23)</f>
        <v>939.24</v>
      </c>
    </row>
    <row r="24" spans="1:9" s="1446" customFormat="1" outlineLevel="1" x14ac:dyDescent="0.2">
      <c r="A24" s="1441" t="s">
        <v>571</v>
      </c>
      <c r="B24" s="1442" t="s">
        <v>292</v>
      </c>
      <c r="C24" s="1443" t="s">
        <v>14</v>
      </c>
      <c r="D24" s="1444">
        <v>225.33500000000001</v>
      </c>
      <c r="E24" s="1444"/>
      <c r="F24" s="1444"/>
      <c r="G24" s="1444"/>
      <c r="H24" s="1445">
        <f t="shared" ref="H24:H29" si="0">SUM(D24:G24)</f>
        <v>225.34</v>
      </c>
    </row>
    <row r="25" spans="1:9" s="1446" customFormat="1" outlineLevel="1" x14ac:dyDescent="0.2">
      <c r="A25" s="1441" t="s">
        <v>576</v>
      </c>
      <c r="B25" s="1442" t="s">
        <v>293</v>
      </c>
      <c r="C25" s="1443" t="s">
        <v>275</v>
      </c>
      <c r="D25" s="1444">
        <v>713.90200000000004</v>
      </c>
      <c r="E25" s="1444"/>
      <c r="F25" s="1444"/>
      <c r="G25" s="1444"/>
      <c r="H25" s="1445">
        <f t="shared" si="0"/>
        <v>713.9</v>
      </c>
    </row>
    <row r="26" spans="1:9" x14ac:dyDescent="0.2">
      <c r="A26" s="463">
        <v>2</v>
      </c>
      <c r="B26" s="464" t="s">
        <v>6462</v>
      </c>
      <c r="C26" s="464" t="s">
        <v>17</v>
      </c>
      <c r="D26" s="465">
        <f>SUM(D27:D29)</f>
        <v>307.45</v>
      </c>
      <c r="E26" s="465">
        <f>SUM(E27:E29)</f>
        <v>6.39</v>
      </c>
      <c r="F26" s="466"/>
      <c r="G26" s="466"/>
      <c r="H26" s="465">
        <f>SUM(D26:G26)</f>
        <v>313.83999999999997</v>
      </c>
    </row>
    <row r="27" spans="1:9" outlineLevel="1" x14ac:dyDescent="0.2">
      <c r="A27" s="1450" t="s">
        <v>583</v>
      </c>
      <c r="B27" s="1447" t="s">
        <v>485</v>
      </c>
      <c r="C27" s="1448" t="s">
        <v>6721</v>
      </c>
      <c r="D27" s="1449">
        <v>279.74</v>
      </c>
      <c r="E27" s="1449"/>
      <c r="F27" s="1449"/>
      <c r="G27" s="1449"/>
      <c r="H27" s="1445">
        <f t="shared" si="0"/>
        <v>279.74</v>
      </c>
    </row>
    <row r="28" spans="1:9" outlineLevel="1" x14ac:dyDescent="0.2">
      <c r="A28" s="1450" t="s">
        <v>584</v>
      </c>
      <c r="B28" s="1447" t="s">
        <v>486</v>
      </c>
      <c r="C28" s="1448" t="s">
        <v>6722</v>
      </c>
      <c r="D28" s="1449">
        <v>17.18</v>
      </c>
      <c r="E28" s="1449"/>
      <c r="F28" s="1449"/>
      <c r="G28" s="1449"/>
      <c r="H28" s="1445">
        <f t="shared" si="0"/>
        <v>17.18</v>
      </c>
    </row>
    <row r="29" spans="1:9" outlineLevel="1" x14ac:dyDescent="0.2">
      <c r="A29" s="1450" t="s">
        <v>585</v>
      </c>
      <c r="B29" s="1447" t="s">
        <v>6723</v>
      </c>
      <c r="C29" s="1448" t="s">
        <v>6724</v>
      </c>
      <c r="D29" s="1449">
        <v>10.53</v>
      </c>
      <c r="E29" s="1449">
        <v>6.39</v>
      </c>
      <c r="F29" s="1449"/>
      <c r="G29" s="1449"/>
      <c r="H29" s="1445">
        <f t="shared" si="0"/>
        <v>16.920000000000002</v>
      </c>
    </row>
    <row r="30" spans="1:9" ht="25.5" x14ac:dyDescent="0.2">
      <c r="A30" s="463">
        <v>3</v>
      </c>
      <c r="B30" s="464" t="s">
        <v>7079</v>
      </c>
      <c r="C30" s="464" t="s">
        <v>7075</v>
      </c>
      <c r="D30" s="465">
        <v>1431.38</v>
      </c>
      <c r="E30" s="466">
        <v>3.21</v>
      </c>
      <c r="F30" s="466"/>
      <c r="G30" s="532"/>
      <c r="H30" s="465">
        <f>SUM(D30:G30)</f>
        <v>1434.59</v>
      </c>
    </row>
    <row r="31" spans="1:9" x14ac:dyDescent="0.2">
      <c r="A31" s="463">
        <v>4</v>
      </c>
      <c r="B31" s="464" t="s">
        <v>6463</v>
      </c>
      <c r="C31" s="464" t="s">
        <v>6531</v>
      </c>
      <c r="D31" s="466"/>
      <c r="E31" s="466"/>
      <c r="F31" s="466"/>
      <c r="G31" s="1093">
        <v>149.44999999999999</v>
      </c>
      <c r="H31" s="466">
        <f>SUM(D31:G31)</f>
        <v>149.44999999999999</v>
      </c>
      <c r="I31" s="1410"/>
    </row>
    <row r="32" spans="1:9" ht="44.1" customHeight="1" x14ac:dyDescent="0.2">
      <c r="A32" s="467"/>
      <c r="B32" s="1696" t="s">
        <v>6464</v>
      </c>
      <c r="C32" s="1697"/>
      <c r="D32" s="468">
        <f>D23+D26+D30+D31</f>
        <v>2678.07</v>
      </c>
      <c r="E32" s="468">
        <f t="shared" ref="E32:H32" si="1">E23+E26+E30+E31</f>
        <v>9.6</v>
      </c>
      <c r="F32" s="468">
        <f t="shared" si="1"/>
        <v>0</v>
      </c>
      <c r="G32" s="468">
        <f t="shared" si="1"/>
        <v>149.44999999999999</v>
      </c>
      <c r="H32" s="468">
        <f t="shared" si="1"/>
        <v>2837.12</v>
      </c>
    </row>
    <row r="33" spans="1:9" x14ac:dyDescent="0.2">
      <c r="A33" s="1685" t="s">
        <v>6465</v>
      </c>
      <c r="B33" s="1686"/>
      <c r="C33" s="1686"/>
      <c r="D33" s="1686"/>
      <c r="E33" s="1686"/>
      <c r="F33" s="1686"/>
      <c r="G33" s="1686"/>
      <c r="H33" s="1686"/>
    </row>
    <row r="34" spans="1:9" ht="25.5" x14ac:dyDescent="0.2">
      <c r="A34" s="463">
        <v>5</v>
      </c>
      <c r="B34" s="464" t="s">
        <v>6466</v>
      </c>
      <c r="C34" s="464" t="s">
        <v>19</v>
      </c>
      <c r="D34" s="465">
        <f>SUM(D35:D41)</f>
        <v>115418.22</v>
      </c>
      <c r="E34" s="465">
        <f t="shared" ref="E34:F34" si="2">SUM(E35:E41)</f>
        <v>1060.6099999999999</v>
      </c>
      <c r="F34" s="465">
        <f t="shared" si="2"/>
        <v>12900.93</v>
      </c>
      <c r="G34" s="466"/>
      <c r="H34" s="465">
        <f>SUM(D34:G34)</f>
        <v>129379.76</v>
      </c>
      <c r="I34" s="456" t="s">
        <v>9638</v>
      </c>
    </row>
    <row r="35" spans="1:9" ht="25.5" outlineLevel="1" x14ac:dyDescent="0.2">
      <c r="A35" s="1450" t="s">
        <v>10145</v>
      </c>
      <c r="B35" s="1447" t="s">
        <v>597</v>
      </c>
      <c r="C35" s="1448" t="s">
        <v>598</v>
      </c>
      <c r="D35" s="1449">
        <v>215.83</v>
      </c>
      <c r="E35" s="1449">
        <v>160.97</v>
      </c>
      <c r="F35" s="1449">
        <v>10666.42</v>
      </c>
      <c r="G35" s="1449"/>
      <c r="H35" s="1445">
        <f t="shared" ref="H35:H41" si="3">SUM(D35:G35)</f>
        <v>11043.22</v>
      </c>
    </row>
    <row r="36" spans="1:9" outlineLevel="1" x14ac:dyDescent="0.2">
      <c r="A36" s="1450" t="s">
        <v>10146</v>
      </c>
      <c r="B36" s="1447" t="s">
        <v>599</v>
      </c>
      <c r="C36" s="1448" t="s">
        <v>600</v>
      </c>
      <c r="D36" s="1449">
        <v>6.35</v>
      </c>
      <c r="E36" s="1449">
        <v>1.06</v>
      </c>
      <c r="F36" s="1449">
        <v>502.69</v>
      </c>
      <c r="G36" s="1449"/>
      <c r="H36" s="1445">
        <f t="shared" si="3"/>
        <v>510.1</v>
      </c>
    </row>
    <row r="37" spans="1:9" ht="25.5" outlineLevel="1" x14ac:dyDescent="0.2">
      <c r="A37" s="1450" t="s">
        <v>10147</v>
      </c>
      <c r="B37" s="1447" t="s">
        <v>601</v>
      </c>
      <c r="C37" s="1448" t="s">
        <v>602</v>
      </c>
      <c r="D37" s="1449">
        <v>70502.95</v>
      </c>
      <c r="E37" s="1449"/>
      <c r="F37" s="1449"/>
      <c r="G37" s="1449"/>
      <c r="H37" s="1445">
        <f t="shared" si="3"/>
        <v>70502.95</v>
      </c>
    </row>
    <row r="38" spans="1:9" outlineLevel="1" x14ac:dyDescent="0.2">
      <c r="A38" s="1450" t="s">
        <v>10148</v>
      </c>
      <c r="B38" s="1447" t="s">
        <v>603</v>
      </c>
      <c r="C38" s="1448" t="s">
        <v>604</v>
      </c>
      <c r="D38" s="1449">
        <v>427.45</v>
      </c>
      <c r="E38" s="1449"/>
      <c r="F38" s="1449"/>
      <c r="G38" s="1449"/>
      <c r="H38" s="1445">
        <f t="shared" si="3"/>
        <v>427.45</v>
      </c>
    </row>
    <row r="39" spans="1:9" outlineLevel="1" x14ac:dyDescent="0.2">
      <c r="A39" s="1450" t="s">
        <v>10149</v>
      </c>
      <c r="B39" s="1447" t="s">
        <v>605</v>
      </c>
      <c r="C39" s="1448" t="s">
        <v>606</v>
      </c>
      <c r="D39" s="1449">
        <v>280.36</v>
      </c>
      <c r="E39" s="1449"/>
      <c r="F39" s="1449"/>
      <c r="G39" s="1449"/>
      <c r="H39" s="1445">
        <f t="shared" si="3"/>
        <v>280.36</v>
      </c>
    </row>
    <row r="40" spans="1:9" outlineLevel="1" x14ac:dyDescent="0.2">
      <c r="A40" s="1450" t="s">
        <v>10150</v>
      </c>
      <c r="B40" s="1447" t="s">
        <v>607</v>
      </c>
      <c r="C40" s="1448" t="s">
        <v>9239</v>
      </c>
      <c r="D40" s="1449">
        <v>43985.279999999999</v>
      </c>
      <c r="E40" s="1449"/>
      <c r="F40" s="1449"/>
      <c r="G40" s="1449"/>
      <c r="H40" s="1445">
        <f t="shared" si="3"/>
        <v>43985.279999999999</v>
      </c>
    </row>
    <row r="41" spans="1:9" outlineLevel="1" x14ac:dyDescent="0.2">
      <c r="A41" s="1450" t="s">
        <v>10151</v>
      </c>
      <c r="B41" s="1447" t="s">
        <v>608</v>
      </c>
      <c r="C41" s="1448" t="s">
        <v>609</v>
      </c>
      <c r="D41" s="1449"/>
      <c r="E41" s="1449">
        <v>898.58</v>
      </c>
      <c r="F41" s="1449">
        <v>1731.82</v>
      </c>
      <c r="G41" s="1449"/>
      <c r="H41" s="1445">
        <f t="shared" si="3"/>
        <v>2630.4</v>
      </c>
    </row>
    <row r="42" spans="1:9" ht="44.1" customHeight="1" x14ac:dyDescent="0.2">
      <c r="A42" s="467"/>
      <c r="B42" s="1696" t="s">
        <v>6467</v>
      </c>
      <c r="C42" s="1697"/>
      <c r="D42" s="468">
        <f>D34</f>
        <v>115418.22</v>
      </c>
      <c r="E42" s="468">
        <f>E34</f>
        <v>1060.6099999999999</v>
      </c>
      <c r="F42" s="468">
        <f>F34</f>
        <v>12900.93</v>
      </c>
      <c r="G42" s="468">
        <f>G34</f>
        <v>0</v>
      </c>
      <c r="H42" s="468">
        <f>SUM(H34)</f>
        <v>129379.76</v>
      </c>
    </row>
    <row r="43" spans="1:9" x14ac:dyDescent="0.2">
      <c r="A43" s="1685" t="s">
        <v>6468</v>
      </c>
      <c r="B43" s="1686"/>
      <c r="C43" s="1686"/>
      <c r="D43" s="1686"/>
      <c r="E43" s="1686"/>
      <c r="F43" s="1686"/>
      <c r="G43" s="1686"/>
      <c r="H43" s="1686"/>
    </row>
    <row r="44" spans="1:9" x14ac:dyDescent="0.2">
      <c r="A44" s="463">
        <v>6</v>
      </c>
      <c r="B44" s="464" t="s">
        <v>6469</v>
      </c>
      <c r="C44" s="464" t="s">
        <v>31</v>
      </c>
      <c r="D44" s="465">
        <f>SUM(D45:D56)</f>
        <v>6547.52</v>
      </c>
      <c r="E44" s="465">
        <f t="shared" ref="E44:F44" si="4">SUM(E45:E56)</f>
        <v>2171.39</v>
      </c>
      <c r="F44" s="465">
        <f t="shared" si="4"/>
        <v>10884.95</v>
      </c>
      <c r="G44" s="466"/>
      <c r="H44" s="465">
        <f>SUM(D44:G44)</f>
        <v>19603.86</v>
      </c>
    </row>
    <row r="45" spans="1:9" outlineLevel="1" x14ac:dyDescent="0.2">
      <c r="A45" s="1450" t="s">
        <v>10152</v>
      </c>
      <c r="B45" s="1447" t="s">
        <v>1808</v>
      </c>
      <c r="C45" s="1448" t="s">
        <v>33</v>
      </c>
      <c r="D45" s="1449">
        <v>2239.38</v>
      </c>
      <c r="E45" s="1449">
        <v>343.43</v>
      </c>
      <c r="F45" s="1449">
        <v>3571.69</v>
      </c>
      <c r="G45" s="1449"/>
      <c r="H45" s="1445">
        <f t="shared" ref="H45:H64" si="5">SUM(D45:G45)</f>
        <v>6154.5</v>
      </c>
    </row>
    <row r="46" spans="1:9" outlineLevel="1" x14ac:dyDescent="0.2">
      <c r="A46" s="1450" t="s">
        <v>10153</v>
      </c>
      <c r="B46" s="1447" t="s">
        <v>1809</v>
      </c>
      <c r="C46" s="1448" t="s">
        <v>1810</v>
      </c>
      <c r="D46" s="1449">
        <v>3417.38</v>
      </c>
      <c r="E46" s="1449"/>
      <c r="F46" s="1449"/>
      <c r="G46" s="1449"/>
      <c r="H46" s="1445">
        <f t="shared" si="5"/>
        <v>3417.38</v>
      </c>
    </row>
    <row r="47" spans="1:9" outlineLevel="1" x14ac:dyDescent="0.2">
      <c r="A47" s="1450" t="s">
        <v>10154</v>
      </c>
      <c r="B47" s="1447" t="s">
        <v>1811</v>
      </c>
      <c r="C47" s="1448" t="s">
        <v>609</v>
      </c>
      <c r="D47" s="1449">
        <v>19.71</v>
      </c>
      <c r="E47" s="1449">
        <v>804.11</v>
      </c>
      <c r="F47" s="1449">
        <v>440.77</v>
      </c>
      <c r="G47" s="1449"/>
      <c r="H47" s="1445">
        <f t="shared" si="5"/>
        <v>1264.5899999999999</v>
      </c>
    </row>
    <row r="48" spans="1:9" outlineLevel="1" x14ac:dyDescent="0.2">
      <c r="A48" s="1450" t="s">
        <v>10155</v>
      </c>
      <c r="B48" s="1447" t="s">
        <v>1812</v>
      </c>
      <c r="C48" s="1448" t="s">
        <v>38</v>
      </c>
      <c r="D48" s="1449">
        <v>161.41999999999999</v>
      </c>
      <c r="E48" s="1449"/>
      <c r="F48" s="1449">
        <v>15.83</v>
      </c>
      <c r="G48" s="1449"/>
      <c r="H48" s="1445">
        <f t="shared" si="5"/>
        <v>177.25</v>
      </c>
    </row>
    <row r="49" spans="1:8" outlineLevel="1" x14ac:dyDescent="0.2">
      <c r="A49" s="1450" t="s">
        <v>10156</v>
      </c>
      <c r="B49" s="1447" t="s">
        <v>1813</v>
      </c>
      <c r="C49" s="1448" t="s">
        <v>40</v>
      </c>
      <c r="D49" s="1449">
        <v>63.65</v>
      </c>
      <c r="E49" s="1449"/>
      <c r="F49" s="1449"/>
      <c r="G49" s="1449"/>
      <c r="H49" s="1445">
        <f t="shared" si="5"/>
        <v>63.65</v>
      </c>
    </row>
    <row r="50" spans="1:8" ht="25.5" outlineLevel="1" x14ac:dyDescent="0.2">
      <c r="A50" s="1450" t="s">
        <v>10157</v>
      </c>
      <c r="B50" s="1447" t="s">
        <v>1814</v>
      </c>
      <c r="C50" s="1448" t="s">
        <v>42</v>
      </c>
      <c r="D50" s="1449">
        <v>636.92999999999995</v>
      </c>
      <c r="E50" s="1449">
        <v>6.26</v>
      </c>
      <c r="F50" s="1449">
        <v>387.82</v>
      </c>
      <c r="G50" s="1449"/>
      <c r="H50" s="1445">
        <f t="shared" si="5"/>
        <v>1031.01</v>
      </c>
    </row>
    <row r="51" spans="1:8" ht="25.5" outlineLevel="1" x14ac:dyDescent="0.2">
      <c r="A51" s="1450" t="s">
        <v>10158</v>
      </c>
      <c r="B51" s="1447" t="s">
        <v>1815</v>
      </c>
      <c r="C51" s="1448" t="s">
        <v>3063</v>
      </c>
      <c r="D51" s="1449"/>
      <c r="E51" s="1449">
        <v>31.11</v>
      </c>
      <c r="F51" s="1449">
        <v>18.940000000000001</v>
      </c>
      <c r="G51" s="1449"/>
      <c r="H51" s="1445">
        <f t="shared" si="5"/>
        <v>50.05</v>
      </c>
    </row>
    <row r="52" spans="1:8" outlineLevel="1" x14ac:dyDescent="0.2">
      <c r="A52" s="1450" t="s">
        <v>10159</v>
      </c>
      <c r="B52" s="1447" t="s">
        <v>1816</v>
      </c>
      <c r="C52" s="1448" t="s">
        <v>3120</v>
      </c>
      <c r="D52" s="1449"/>
      <c r="E52" s="1449">
        <v>39.659999999999997</v>
      </c>
      <c r="F52" s="1449">
        <v>157.66999999999999</v>
      </c>
      <c r="G52" s="1449"/>
      <c r="H52" s="1445">
        <f t="shared" si="5"/>
        <v>197.33</v>
      </c>
    </row>
    <row r="53" spans="1:8" outlineLevel="1" x14ac:dyDescent="0.2">
      <c r="A53" s="1450" t="s">
        <v>10160</v>
      </c>
      <c r="B53" s="1447" t="s">
        <v>1817</v>
      </c>
      <c r="C53" s="1448" t="s">
        <v>48</v>
      </c>
      <c r="D53" s="1449">
        <v>9.0500000000000007</v>
      </c>
      <c r="E53" s="1449">
        <v>35.85</v>
      </c>
      <c r="F53" s="1449">
        <v>61.45</v>
      </c>
      <c r="G53" s="1449"/>
      <c r="H53" s="1445">
        <f t="shared" si="5"/>
        <v>106.35</v>
      </c>
    </row>
    <row r="54" spans="1:8" outlineLevel="1" x14ac:dyDescent="0.2">
      <c r="A54" s="1450" t="s">
        <v>10161</v>
      </c>
      <c r="B54" s="1447" t="s">
        <v>1818</v>
      </c>
      <c r="C54" s="1448" t="s">
        <v>50</v>
      </c>
      <c r="D54" s="1449"/>
      <c r="E54" s="1449">
        <v>35.32</v>
      </c>
      <c r="F54" s="1449">
        <v>203.63</v>
      </c>
      <c r="G54" s="1449"/>
      <c r="H54" s="1445">
        <f t="shared" si="5"/>
        <v>238.95</v>
      </c>
    </row>
    <row r="55" spans="1:8" outlineLevel="1" x14ac:dyDescent="0.2">
      <c r="A55" s="1450" t="s">
        <v>10162</v>
      </c>
      <c r="B55" s="1447" t="s">
        <v>1819</v>
      </c>
      <c r="C55" s="1448" t="s">
        <v>52</v>
      </c>
      <c r="D55" s="1449"/>
      <c r="E55" s="1449">
        <v>598.66</v>
      </c>
      <c r="F55" s="1449">
        <v>4432.7299999999996</v>
      </c>
      <c r="G55" s="1449"/>
      <c r="H55" s="1445">
        <f t="shared" si="5"/>
        <v>5031.3900000000003</v>
      </c>
    </row>
    <row r="56" spans="1:8" outlineLevel="1" x14ac:dyDescent="0.2">
      <c r="A56" s="1450" t="s">
        <v>10163</v>
      </c>
      <c r="B56" s="1447" t="s">
        <v>1820</v>
      </c>
      <c r="C56" s="1448" t="s">
        <v>1821</v>
      </c>
      <c r="D56" s="1449"/>
      <c r="E56" s="1449">
        <v>276.99</v>
      </c>
      <c r="F56" s="1449">
        <v>1594.42</v>
      </c>
      <c r="G56" s="1449"/>
      <c r="H56" s="1445">
        <f t="shared" si="5"/>
        <v>1871.41</v>
      </c>
    </row>
    <row r="57" spans="1:8" x14ac:dyDescent="0.2">
      <c r="A57" s="463">
        <v>7</v>
      </c>
      <c r="B57" s="464" t="s">
        <v>6470</v>
      </c>
      <c r="C57" s="464" t="s">
        <v>55</v>
      </c>
      <c r="D57" s="465">
        <f>SUM(D58:D60)</f>
        <v>3171.98</v>
      </c>
      <c r="E57" s="465">
        <f t="shared" ref="E57:F57" si="6">SUM(E58:E60)</f>
        <v>486.81</v>
      </c>
      <c r="F57" s="465">
        <f t="shared" si="6"/>
        <v>398.96</v>
      </c>
      <c r="G57" s="466"/>
      <c r="H57" s="465">
        <f>SUM(D57:G57)</f>
        <v>4057.75</v>
      </c>
    </row>
    <row r="58" spans="1:8" outlineLevel="1" x14ac:dyDescent="0.2">
      <c r="A58" s="1450" t="s">
        <v>10164</v>
      </c>
      <c r="B58" s="1447" t="s">
        <v>3181</v>
      </c>
      <c r="C58" s="1448" t="s">
        <v>604</v>
      </c>
      <c r="D58" s="1449">
        <v>1197.69</v>
      </c>
      <c r="E58" s="1449"/>
      <c r="F58" s="1449"/>
      <c r="G58" s="1449"/>
      <c r="H58" s="1445">
        <f t="shared" si="5"/>
        <v>1197.69</v>
      </c>
    </row>
    <row r="59" spans="1:8" outlineLevel="1" x14ac:dyDescent="0.2">
      <c r="A59" s="1450" t="s">
        <v>10165</v>
      </c>
      <c r="B59" s="1447" t="s">
        <v>3182</v>
      </c>
      <c r="C59" s="1448" t="s">
        <v>606</v>
      </c>
      <c r="D59" s="1449">
        <v>1957.4</v>
      </c>
      <c r="E59" s="1449"/>
      <c r="F59" s="1449"/>
      <c r="G59" s="1449"/>
      <c r="H59" s="1445">
        <f t="shared" si="5"/>
        <v>1957.4</v>
      </c>
    </row>
    <row r="60" spans="1:8" outlineLevel="1" x14ac:dyDescent="0.2">
      <c r="A60" s="1450" t="s">
        <v>10166</v>
      </c>
      <c r="B60" s="1447" t="s">
        <v>3183</v>
      </c>
      <c r="C60" s="1448" t="s">
        <v>609</v>
      </c>
      <c r="D60" s="1449">
        <v>16.89</v>
      </c>
      <c r="E60" s="1449">
        <v>486.81</v>
      </c>
      <c r="F60" s="1449">
        <v>398.96</v>
      </c>
      <c r="G60" s="1449"/>
      <c r="H60" s="1445">
        <f t="shared" si="5"/>
        <v>902.66</v>
      </c>
    </row>
    <row r="61" spans="1:8" x14ac:dyDescent="0.2">
      <c r="A61" s="463">
        <v>8</v>
      </c>
      <c r="B61" s="464" t="s">
        <v>6471</v>
      </c>
      <c r="C61" s="464" t="s">
        <v>61</v>
      </c>
      <c r="D61" s="465">
        <f>SUM(D62:D64)</f>
        <v>1048.6300000000001</v>
      </c>
      <c r="E61" s="465">
        <f t="shared" ref="E61:F61" si="7">SUM(E62:E64)</f>
        <v>414.71</v>
      </c>
      <c r="F61" s="465">
        <f t="shared" si="7"/>
        <v>2859.2</v>
      </c>
      <c r="G61" s="466"/>
      <c r="H61" s="465">
        <f>SUM(D61:G61)</f>
        <v>4322.54</v>
      </c>
    </row>
    <row r="62" spans="1:8" outlineLevel="1" x14ac:dyDescent="0.2">
      <c r="A62" s="1450" t="s">
        <v>10167</v>
      </c>
      <c r="B62" s="1447" t="s">
        <v>3393</v>
      </c>
      <c r="C62" s="1448" t="s">
        <v>604</v>
      </c>
      <c r="D62" s="1449">
        <v>699.37</v>
      </c>
      <c r="E62" s="1449">
        <v>118.45</v>
      </c>
      <c r="F62" s="1449">
        <v>2517.1799999999998</v>
      </c>
      <c r="G62" s="1449"/>
      <c r="H62" s="1445">
        <f t="shared" si="5"/>
        <v>3335</v>
      </c>
    </row>
    <row r="63" spans="1:8" outlineLevel="1" x14ac:dyDescent="0.2">
      <c r="A63" s="1450" t="s">
        <v>10168</v>
      </c>
      <c r="B63" s="1447" t="s">
        <v>3394</v>
      </c>
      <c r="C63" s="1448" t="s">
        <v>606</v>
      </c>
      <c r="D63" s="1449">
        <v>333.78</v>
      </c>
      <c r="E63" s="1449"/>
      <c r="F63" s="1449"/>
      <c r="G63" s="1449"/>
      <c r="H63" s="1445">
        <f t="shared" si="5"/>
        <v>333.78</v>
      </c>
    </row>
    <row r="64" spans="1:8" outlineLevel="1" x14ac:dyDescent="0.2">
      <c r="A64" s="1450" t="s">
        <v>10169</v>
      </c>
      <c r="B64" s="1447" t="s">
        <v>3395</v>
      </c>
      <c r="C64" s="1448" t="s">
        <v>609</v>
      </c>
      <c r="D64" s="1449">
        <v>15.48</v>
      </c>
      <c r="E64" s="1449">
        <v>296.26</v>
      </c>
      <c r="F64" s="1449">
        <v>342.02</v>
      </c>
      <c r="G64" s="1449"/>
      <c r="H64" s="1445">
        <f t="shared" si="5"/>
        <v>653.76</v>
      </c>
    </row>
    <row r="65" spans="1:13" x14ac:dyDescent="0.2">
      <c r="A65" s="463">
        <v>9</v>
      </c>
      <c r="B65" s="464" t="s">
        <v>6472</v>
      </c>
      <c r="C65" s="464" t="s">
        <v>3591</v>
      </c>
      <c r="D65" s="465">
        <v>339.23</v>
      </c>
      <c r="E65" s="466"/>
      <c r="F65" s="466"/>
      <c r="G65" s="466"/>
      <c r="H65" s="465">
        <f>SUM(D65:G65)</f>
        <v>339.23</v>
      </c>
    </row>
    <row r="66" spans="1:13" ht="44.1" customHeight="1" x14ac:dyDescent="0.2">
      <c r="A66" s="467"/>
      <c r="B66" s="1696" t="s">
        <v>6473</v>
      </c>
      <c r="C66" s="1697"/>
      <c r="D66" s="468">
        <f>D44+D57+D61+D65</f>
        <v>11107.36</v>
      </c>
      <c r="E66" s="468">
        <f>E44+E57+E61+E65</f>
        <v>3072.91</v>
      </c>
      <c r="F66" s="468">
        <f>F44+F57+F61+F65</f>
        <v>14143.11</v>
      </c>
      <c r="G66" s="468">
        <f>G44+G57+G61+G65</f>
        <v>0</v>
      </c>
      <c r="H66" s="468">
        <f>H44+H57+H61+H65</f>
        <v>28323.38</v>
      </c>
    </row>
    <row r="67" spans="1:13" x14ac:dyDescent="0.2">
      <c r="A67" s="1685" t="s">
        <v>6474</v>
      </c>
      <c r="B67" s="1686"/>
      <c r="C67" s="1686"/>
      <c r="D67" s="1686"/>
      <c r="E67" s="1686"/>
      <c r="F67" s="1686"/>
      <c r="G67" s="1686"/>
      <c r="H67" s="1686"/>
    </row>
    <row r="68" spans="1:13" x14ac:dyDescent="0.2">
      <c r="A68" s="463">
        <v>10</v>
      </c>
      <c r="B68" s="464" t="s">
        <v>6475</v>
      </c>
      <c r="C68" s="464" t="s">
        <v>6476</v>
      </c>
      <c r="D68" s="465">
        <f>SUM(D69:D70)</f>
        <v>794.5</v>
      </c>
      <c r="E68" s="465">
        <f t="shared" ref="E68:F68" si="8">SUM(E69:E70)</f>
        <v>397.37</v>
      </c>
      <c r="F68" s="465">
        <f t="shared" si="8"/>
        <v>7021.78</v>
      </c>
      <c r="G68" s="466"/>
      <c r="H68" s="465">
        <f>SUM(D68:G68)</f>
        <v>8213.65</v>
      </c>
      <c r="I68" s="1755" t="s">
        <v>10144</v>
      </c>
      <c r="J68" s="1756"/>
      <c r="K68" s="1756"/>
      <c r="L68" s="1756"/>
      <c r="M68" s="1757"/>
    </row>
    <row r="69" spans="1:13" outlineLevel="1" x14ac:dyDescent="0.2">
      <c r="A69" s="1450" t="s">
        <v>10170</v>
      </c>
      <c r="B69" s="1447" t="s">
        <v>3680</v>
      </c>
      <c r="C69" s="1448" t="s">
        <v>3681</v>
      </c>
      <c r="D69" s="1449">
        <v>737.28</v>
      </c>
      <c r="E69" s="1449">
        <v>397.37</v>
      </c>
      <c r="F69" s="1449">
        <v>7021.78</v>
      </c>
      <c r="G69" s="1449"/>
      <c r="H69" s="1445">
        <f t="shared" ref="H69:H73" si="9">SUM(D69:G69)</f>
        <v>8156.43</v>
      </c>
      <c r="I69" s="1425"/>
      <c r="J69" s="1426"/>
      <c r="K69" s="1426"/>
      <c r="L69" s="1426"/>
      <c r="M69" s="1451"/>
    </row>
    <row r="70" spans="1:13" outlineLevel="1" x14ac:dyDescent="0.2">
      <c r="A70" s="1450" t="s">
        <v>10171</v>
      </c>
      <c r="B70" s="1447" t="s">
        <v>3682</v>
      </c>
      <c r="C70" s="1448" t="s">
        <v>606</v>
      </c>
      <c r="D70" s="1449">
        <v>57.22</v>
      </c>
      <c r="E70" s="1449"/>
      <c r="F70" s="1449"/>
      <c r="G70" s="1449"/>
      <c r="H70" s="1445">
        <f t="shared" si="9"/>
        <v>57.22</v>
      </c>
      <c r="I70" s="1425"/>
      <c r="J70" s="1426"/>
      <c r="K70" s="1426"/>
      <c r="L70" s="1426"/>
      <c r="M70" s="1451"/>
    </row>
    <row r="71" spans="1:13" x14ac:dyDescent="0.2">
      <c r="A71" s="1404">
        <v>11</v>
      </c>
      <c r="B71" s="1408" t="s">
        <v>8093</v>
      </c>
      <c r="C71" s="1405" t="s">
        <v>8094</v>
      </c>
      <c r="D71" s="1409">
        <f>SUM(D72:D73)</f>
        <v>131.88999999999999</v>
      </c>
      <c r="E71" s="1409">
        <f t="shared" ref="E71:F71" si="10">SUM(E72:E73)</f>
        <v>12649.77</v>
      </c>
      <c r="F71" s="1409">
        <f t="shared" si="10"/>
        <v>35619.54</v>
      </c>
      <c r="G71" s="1406"/>
      <c r="H71" s="1407">
        <f>SUM(D71:G71)</f>
        <v>48401.2</v>
      </c>
      <c r="I71" s="1411">
        <v>131.88999999999999</v>
      </c>
      <c r="J71" s="1411">
        <v>12649.77</v>
      </c>
      <c r="K71" s="1412">
        <v>35619.54</v>
      </c>
      <c r="L71" s="1413"/>
      <c r="M71" s="1412">
        <f>SUM(I71:L71)</f>
        <v>48401.2</v>
      </c>
    </row>
    <row r="72" spans="1:13" outlineLevel="1" x14ac:dyDescent="0.2">
      <c r="A72" s="1450" t="s">
        <v>10172</v>
      </c>
      <c r="B72" s="1447" t="s">
        <v>8583</v>
      </c>
      <c r="C72" s="1448" t="s">
        <v>8584</v>
      </c>
      <c r="D72" s="1449">
        <v>80.13</v>
      </c>
      <c r="E72" s="1449"/>
      <c r="F72" s="1449"/>
      <c r="G72" s="1449"/>
      <c r="H72" s="1445">
        <f t="shared" si="9"/>
        <v>80.13</v>
      </c>
      <c r="I72" s="1411"/>
      <c r="J72" s="1411"/>
      <c r="K72" s="1412"/>
      <c r="L72" s="1413"/>
      <c r="M72" s="1412"/>
    </row>
    <row r="73" spans="1:13" outlineLevel="1" x14ac:dyDescent="0.2">
      <c r="A73" s="1450" t="s">
        <v>10173</v>
      </c>
      <c r="B73" s="1447" t="s">
        <v>8585</v>
      </c>
      <c r="C73" s="1448" t="s">
        <v>8586</v>
      </c>
      <c r="D73" s="1449">
        <v>51.76</v>
      </c>
      <c r="E73" s="1449">
        <v>12649.77</v>
      </c>
      <c r="F73" s="1449">
        <v>35619.54</v>
      </c>
      <c r="G73" s="1449"/>
      <c r="H73" s="1445">
        <f t="shared" si="9"/>
        <v>48321.07</v>
      </c>
      <c r="I73" s="1411"/>
      <c r="J73" s="1411"/>
      <c r="K73" s="1412"/>
      <c r="L73" s="1413"/>
      <c r="M73" s="1412"/>
    </row>
    <row r="74" spans="1:13" ht="44.1" customHeight="1" x14ac:dyDescent="0.2">
      <c r="A74" s="467"/>
      <c r="B74" s="1696" t="s">
        <v>6477</v>
      </c>
      <c r="C74" s="1697"/>
      <c r="D74" s="468">
        <f>D68+D71</f>
        <v>926.39</v>
      </c>
      <c r="E74" s="468">
        <f>E68+E71</f>
        <v>13047.14</v>
      </c>
      <c r="F74" s="468">
        <f>F68+F71</f>
        <v>42641.32</v>
      </c>
      <c r="G74" s="468">
        <f>G68+G71</f>
        <v>0</v>
      </c>
      <c r="H74" s="468">
        <f>H68+H71</f>
        <v>56614.85</v>
      </c>
      <c r="I74" s="1414">
        <f>SUM(I68:I71)</f>
        <v>131.88999999999999</v>
      </c>
      <c r="J74" s="1414">
        <f>SUM(J68:J71)</f>
        <v>12649.77</v>
      </c>
      <c r="K74" s="1414">
        <f>SUM(K68:K71)</f>
        <v>35619.54</v>
      </c>
      <c r="L74" s="1414">
        <f>SUM(L68:L71)</f>
        <v>0</v>
      </c>
      <c r="M74" s="1412">
        <f>SUM(I74:L74)</f>
        <v>48401.2</v>
      </c>
    </row>
    <row r="75" spans="1:13" x14ac:dyDescent="0.2">
      <c r="A75" s="1685" t="s">
        <v>6478</v>
      </c>
      <c r="B75" s="1686"/>
      <c r="C75" s="1686"/>
      <c r="D75" s="1686"/>
      <c r="E75" s="1686"/>
      <c r="F75" s="1686"/>
      <c r="G75" s="1686"/>
      <c r="H75" s="1686"/>
      <c r="I75" s="1415"/>
      <c r="J75" s="1415"/>
      <c r="K75" s="1415"/>
      <c r="L75" s="1415"/>
      <c r="M75" s="1415"/>
    </row>
    <row r="76" spans="1:13" x14ac:dyDescent="0.2">
      <c r="A76" s="463">
        <v>12</v>
      </c>
      <c r="B76" s="464" t="s">
        <v>6479</v>
      </c>
      <c r="C76" s="464" t="s">
        <v>3771</v>
      </c>
      <c r="D76" s="465">
        <v>4987.76</v>
      </c>
      <c r="E76" s="465">
        <v>698.71</v>
      </c>
      <c r="F76" s="466">
        <v>11.28</v>
      </c>
      <c r="G76" s="466"/>
      <c r="H76" s="465">
        <f>SUM(D76:G76)</f>
        <v>5697.75</v>
      </c>
      <c r="I76" s="1415"/>
      <c r="J76" s="1415"/>
      <c r="K76" s="1415"/>
      <c r="L76" s="1415"/>
      <c r="M76" s="1415"/>
    </row>
    <row r="77" spans="1:13" x14ac:dyDescent="0.2">
      <c r="A77" s="463">
        <v>13</v>
      </c>
      <c r="B77" s="464" t="s">
        <v>6480</v>
      </c>
      <c r="C77" s="464" t="s">
        <v>71</v>
      </c>
      <c r="D77" s="465">
        <f>SUM(D78:D80)</f>
        <v>994.54</v>
      </c>
      <c r="E77" s="465">
        <f t="shared" ref="E77:F77" si="11">SUM(E78:E80)</f>
        <v>303.69</v>
      </c>
      <c r="F77" s="465">
        <f t="shared" si="11"/>
        <v>333.12</v>
      </c>
      <c r="G77" s="466"/>
      <c r="H77" s="465">
        <f>SUM(D77:G77)</f>
        <v>1631.35</v>
      </c>
      <c r="I77" s="1415"/>
      <c r="J77" s="1415"/>
      <c r="K77" s="1415"/>
      <c r="L77" s="1415"/>
      <c r="M77" s="1415"/>
    </row>
    <row r="78" spans="1:13" outlineLevel="1" x14ac:dyDescent="0.2">
      <c r="A78" s="1450" t="s">
        <v>10174</v>
      </c>
      <c r="B78" s="1447" t="s">
        <v>3886</v>
      </c>
      <c r="C78" s="1448" t="s">
        <v>604</v>
      </c>
      <c r="D78" s="1449">
        <v>693.98</v>
      </c>
      <c r="E78" s="1449"/>
      <c r="F78" s="1449"/>
      <c r="G78" s="1449"/>
      <c r="H78" s="1445">
        <f t="shared" ref="H78:H80" si="12">SUM(D78:G78)</f>
        <v>693.98</v>
      </c>
      <c r="I78" s="1415"/>
      <c r="J78" s="1415"/>
      <c r="K78" s="1415"/>
      <c r="L78" s="1415"/>
      <c r="M78" s="1415"/>
    </row>
    <row r="79" spans="1:13" outlineLevel="1" x14ac:dyDescent="0.2">
      <c r="A79" s="1450" t="s">
        <v>10175</v>
      </c>
      <c r="B79" s="1447" t="s">
        <v>3887</v>
      </c>
      <c r="C79" s="1448" t="s">
        <v>1810</v>
      </c>
      <c r="D79" s="1449">
        <v>287.89</v>
      </c>
      <c r="E79" s="1449"/>
      <c r="F79" s="1449"/>
      <c r="G79" s="1449"/>
      <c r="H79" s="1445">
        <f t="shared" si="12"/>
        <v>287.89</v>
      </c>
      <c r="I79" s="1415"/>
      <c r="J79" s="1415"/>
      <c r="K79" s="1415"/>
      <c r="L79" s="1415"/>
      <c r="M79" s="1415"/>
    </row>
    <row r="80" spans="1:13" outlineLevel="1" x14ac:dyDescent="0.2">
      <c r="A80" s="1450" t="s">
        <v>10176</v>
      </c>
      <c r="B80" s="1447" t="s">
        <v>3888</v>
      </c>
      <c r="C80" s="1448" t="s">
        <v>609</v>
      </c>
      <c r="D80" s="1449">
        <v>12.67</v>
      </c>
      <c r="E80" s="1449">
        <v>303.69</v>
      </c>
      <c r="F80" s="1449">
        <v>333.12</v>
      </c>
      <c r="G80" s="1449"/>
      <c r="H80" s="1445">
        <f t="shared" si="12"/>
        <v>649.48</v>
      </c>
      <c r="I80" s="1415"/>
      <c r="J80" s="1415"/>
      <c r="K80" s="1415"/>
      <c r="L80" s="1415"/>
      <c r="M80" s="1415"/>
    </row>
    <row r="81" spans="1:13" x14ac:dyDescent="0.2">
      <c r="A81" s="463">
        <v>14</v>
      </c>
      <c r="B81" s="464" t="s">
        <v>6481</v>
      </c>
      <c r="C81" s="464" t="s">
        <v>4060</v>
      </c>
      <c r="D81" s="465">
        <v>29649.71</v>
      </c>
      <c r="E81" s="466"/>
      <c r="F81" s="466"/>
      <c r="G81" s="466"/>
      <c r="H81" s="465">
        <f>SUM(D81:G81)</f>
        <v>29649.71</v>
      </c>
      <c r="I81" s="1415"/>
      <c r="J81" s="1415"/>
      <c r="K81" s="1415"/>
      <c r="L81" s="1415"/>
      <c r="M81" s="1415"/>
    </row>
    <row r="82" spans="1:13" ht="44.1" customHeight="1" x14ac:dyDescent="0.2">
      <c r="A82" s="467"/>
      <c r="B82" s="1696" t="s">
        <v>6482</v>
      </c>
      <c r="C82" s="1697"/>
      <c r="D82" s="468">
        <f>D76+D77+D81</f>
        <v>35632.01</v>
      </c>
      <c r="E82" s="468">
        <f>E76+E77+E81</f>
        <v>1002.4</v>
      </c>
      <c r="F82" s="468">
        <f>F76+F77+F81</f>
        <v>344.4</v>
      </c>
      <c r="G82" s="468">
        <f>G76+G77+G81</f>
        <v>0</v>
      </c>
      <c r="H82" s="468">
        <f>H76+H77+H81</f>
        <v>36978.81</v>
      </c>
      <c r="I82" s="1414">
        <f>SUM(I76:I81)</f>
        <v>0</v>
      </c>
      <c r="J82" s="1414">
        <f>SUM(J76:J81)</f>
        <v>0</v>
      </c>
      <c r="K82" s="1414">
        <f>SUM(K76:K81)</f>
        <v>0</v>
      </c>
      <c r="L82" s="1414">
        <f>SUM(L76:L77)</f>
        <v>0</v>
      </c>
      <c r="M82" s="1414">
        <f>SUM(M76:M81)</f>
        <v>0</v>
      </c>
    </row>
    <row r="83" spans="1:13" x14ac:dyDescent="0.2">
      <c r="A83" s="1685" t="s">
        <v>6483</v>
      </c>
      <c r="B83" s="1686"/>
      <c r="C83" s="1686"/>
      <c r="D83" s="1686"/>
      <c r="E83" s="1686"/>
      <c r="F83" s="1686"/>
      <c r="G83" s="1686"/>
      <c r="H83" s="1686"/>
      <c r="I83" s="1415"/>
      <c r="J83" s="1415"/>
      <c r="K83" s="1415"/>
      <c r="L83" s="1415"/>
      <c r="M83" s="1414"/>
    </row>
    <row r="84" spans="1:13" x14ac:dyDescent="0.2">
      <c r="A84" s="463">
        <v>15</v>
      </c>
      <c r="B84" s="464" t="s">
        <v>6484</v>
      </c>
      <c r="C84" s="464" t="s">
        <v>78</v>
      </c>
      <c r="D84" s="465">
        <v>3708.21</v>
      </c>
      <c r="E84" s="466"/>
      <c r="F84" s="466"/>
      <c r="G84" s="466"/>
      <c r="H84" s="465">
        <f>SUM(D84:G84)</f>
        <v>3708.21</v>
      </c>
      <c r="I84" s="1415"/>
      <c r="J84" s="1415"/>
      <c r="K84" s="1415"/>
      <c r="L84" s="1415"/>
      <c r="M84" s="1414"/>
    </row>
    <row r="85" spans="1:13" x14ac:dyDescent="0.2">
      <c r="A85" s="463">
        <v>16</v>
      </c>
      <c r="B85" s="464" t="s">
        <v>6485</v>
      </c>
      <c r="C85" s="464" t="s">
        <v>79</v>
      </c>
      <c r="D85" s="465">
        <f>SUM(D86:D90)</f>
        <v>38559.47</v>
      </c>
      <c r="E85" s="465">
        <f t="shared" ref="E85:F85" si="13">SUM(E86:E90)</f>
        <v>125.76</v>
      </c>
      <c r="F85" s="465">
        <f t="shared" si="13"/>
        <v>5050.25</v>
      </c>
      <c r="G85" s="466"/>
      <c r="H85" s="465">
        <f>SUM(D85:G85)</f>
        <v>43735.48</v>
      </c>
      <c r="I85" s="1415"/>
      <c r="J85" s="1415"/>
      <c r="K85" s="1415"/>
      <c r="L85" s="1415"/>
      <c r="M85" s="1414"/>
    </row>
    <row r="86" spans="1:13" outlineLevel="1" x14ac:dyDescent="0.2">
      <c r="A86" s="1450" t="s">
        <v>10177</v>
      </c>
      <c r="B86" s="1447" t="s">
        <v>4502</v>
      </c>
      <c r="C86" s="1448" t="s">
        <v>4500</v>
      </c>
      <c r="D86" s="1449">
        <v>29288.01</v>
      </c>
      <c r="E86" s="1449"/>
      <c r="F86" s="1449"/>
      <c r="G86" s="1449"/>
      <c r="H86" s="1445">
        <f t="shared" ref="H86:H90" si="14">SUM(D86:G86)</f>
        <v>29288.01</v>
      </c>
      <c r="I86" s="1415"/>
      <c r="J86" s="1415"/>
      <c r="K86" s="1415"/>
      <c r="L86" s="1415"/>
      <c r="M86" s="1414"/>
    </row>
    <row r="87" spans="1:13" outlineLevel="1" x14ac:dyDescent="0.2">
      <c r="A87" s="1450" t="s">
        <v>10178</v>
      </c>
      <c r="B87" s="1447" t="s">
        <v>4503</v>
      </c>
      <c r="C87" s="1448" t="s">
        <v>8911</v>
      </c>
      <c r="D87" s="1449">
        <v>8518.49</v>
      </c>
      <c r="E87" s="1449"/>
      <c r="F87" s="1449"/>
      <c r="G87" s="1449"/>
      <c r="H87" s="1445">
        <f t="shared" si="14"/>
        <v>8518.49</v>
      </c>
      <c r="I87" s="1415"/>
      <c r="J87" s="1415"/>
      <c r="K87" s="1415"/>
      <c r="L87" s="1415"/>
      <c r="M87" s="1414"/>
    </row>
    <row r="88" spans="1:13" outlineLevel="1" x14ac:dyDescent="0.2">
      <c r="A88" s="1450" t="s">
        <v>10179</v>
      </c>
      <c r="B88" s="1447" t="s">
        <v>4504</v>
      </c>
      <c r="C88" s="1448" t="s">
        <v>8912</v>
      </c>
      <c r="D88" s="1449">
        <v>92.03</v>
      </c>
      <c r="E88" s="1449"/>
      <c r="F88" s="1449"/>
      <c r="G88" s="1449"/>
      <c r="H88" s="1445">
        <f t="shared" si="14"/>
        <v>92.03</v>
      </c>
      <c r="I88" s="1415"/>
      <c r="J88" s="1415"/>
      <c r="K88" s="1415"/>
      <c r="L88" s="1415"/>
      <c r="M88" s="1414"/>
    </row>
    <row r="89" spans="1:13" outlineLevel="1" x14ac:dyDescent="0.2">
      <c r="A89" s="1450" t="s">
        <v>10180</v>
      </c>
      <c r="B89" s="1447" t="s">
        <v>4505</v>
      </c>
      <c r="C89" s="1448" t="s">
        <v>8914</v>
      </c>
      <c r="D89" s="1449">
        <v>206.42</v>
      </c>
      <c r="E89" s="1449"/>
      <c r="F89" s="1449"/>
      <c r="G89" s="1449"/>
      <c r="H89" s="1445">
        <f t="shared" si="14"/>
        <v>206.42</v>
      </c>
      <c r="I89" s="1415"/>
      <c r="J89" s="1415"/>
      <c r="K89" s="1415"/>
      <c r="L89" s="1415"/>
      <c r="M89" s="1414"/>
    </row>
    <row r="90" spans="1:13" outlineLevel="1" x14ac:dyDescent="0.2">
      <c r="A90" s="1450" t="s">
        <v>10181</v>
      </c>
      <c r="B90" s="1447" t="s">
        <v>4506</v>
      </c>
      <c r="C90" s="1448" t="s">
        <v>4507</v>
      </c>
      <c r="D90" s="1449">
        <v>454.52</v>
      </c>
      <c r="E90" s="1449">
        <v>125.76</v>
      </c>
      <c r="F90" s="1449">
        <v>5050.25</v>
      </c>
      <c r="G90" s="1449"/>
      <c r="H90" s="1445">
        <f t="shared" si="14"/>
        <v>5630.53</v>
      </c>
      <c r="I90" s="1415"/>
      <c r="J90" s="1415"/>
      <c r="K90" s="1415"/>
      <c r="L90" s="1415"/>
      <c r="M90" s="1414"/>
    </row>
    <row r="91" spans="1:13" ht="66" customHeight="1" x14ac:dyDescent="0.2">
      <c r="A91" s="467"/>
      <c r="B91" s="1696" t="s">
        <v>6486</v>
      </c>
      <c r="C91" s="1697"/>
      <c r="D91" s="468">
        <f>D84+D85</f>
        <v>42267.68</v>
      </c>
      <c r="E91" s="468">
        <f t="shared" ref="E91:H91" si="15">E84+E85</f>
        <v>125.76</v>
      </c>
      <c r="F91" s="468">
        <f t="shared" si="15"/>
        <v>5050.25</v>
      </c>
      <c r="G91" s="468">
        <f t="shared" si="15"/>
        <v>0</v>
      </c>
      <c r="H91" s="468">
        <f t="shared" si="15"/>
        <v>47443.69</v>
      </c>
      <c r="I91" s="1414">
        <f>SUM(I84:I85)</f>
        <v>0</v>
      </c>
      <c r="J91" s="1414">
        <f>SUM(J84:J85)</f>
        <v>0</v>
      </c>
      <c r="K91" s="1414">
        <f>SUM(K84:K85)</f>
        <v>0</v>
      </c>
      <c r="L91" s="1414">
        <f>SUM(L84:L85)</f>
        <v>0</v>
      </c>
      <c r="M91" s="1414">
        <f>SUM(M83:M85)</f>
        <v>0</v>
      </c>
    </row>
    <row r="92" spans="1:13" x14ac:dyDescent="0.2">
      <c r="A92" s="1685" t="s">
        <v>6487</v>
      </c>
      <c r="B92" s="1686"/>
      <c r="C92" s="1686"/>
      <c r="D92" s="1686"/>
      <c r="E92" s="1686"/>
      <c r="F92" s="1686"/>
      <c r="G92" s="1686"/>
      <c r="H92" s="1686"/>
      <c r="I92" s="1415"/>
      <c r="J92" s="1415"/>
      <c r="K92" s="1415"/>
      <c r="L92" s="1415"/>
      <c r="M92" s="1415"/>
    </row>
    <row r="93" spans="1:13" x14ac:dyDescent="0.2">
      <c r="A93" s="463">
        <v>17</v>
      </c>
      <c r="B93" s="464" t="s">
        <v>6488</v>
      </c>
      <c r="C93" s="464" t="s">
        <v>90</v>
      </c>
      <c r="D93" s="465">
        <f>SUM(D94:D97)</f>
        <v>22669.040000000001</v>
      </c>
      <c r="E93" s="466"/>
      <c r="F93" s="466"/>
      <c r="G93" s="466"/>
      <c r="H93" s="465">
        <f>SUM(D93:G93)</f>
        <v>22669.040000000001</v>
      </c>
      <c r="I93" s="1415"/>
      <c r="J93" s="1415"/>
      <c r="K93" s="1415"/>
      <c r="L93" s="1415"/>
      <c r="M93" s="1415"/>
    </row>
    <row r="94" spans="1:13" outlineLevel="1" x14ac:dyDescent="0.2">
      <c r="A94" s="1450" t="s">
        <v>10182</v>
      </c>
      <c r="B94" s="1447" t="s">
        <v>5056</v>
      </c>
      <c r="C94" s="1448" t="s">
        <v>5057</v>
      </c>
      <c r="D94" s="1449">
        <v>7847.97</v>
      </c>
      <c r="E94" s="1449"/>
      <c r="F94" s="1449"/>
      <c r="G94" s="1449"/>
      <c r="H94" s="1445">
        <f t="shared" ref="H94:H100" si="16">SUM(D94:G94)</f>
        <v>7847.97</v>
      </c>
      <c r="I94" s="1415"/>
      <c r="J94" s="1415"/>
      <c r="K94" s="1415"/>
      <c r="L94" s="1415"/>
      <c r="M94" s="1415"/>
    </row>
    <row r="95" spans="1:13" outlineLevel="1" x14ac:dyDescent="0.2">
      <c r="A95" s="1450" t="s">
        <v>10183</v>
      </c>
      <c r="B95" s="1447" t="s">
        <v>5058</v>
      </c>
      <c r="C95" s="1448" t="s">
        <v>5059</v>
      </c>
      <c r="D95" s="1449">
        <v>2215.1</v>
      </c>
      <c r="E95" s="1449"/>
      <c r="F95" s="1449"/>
      <c r="G95" s="1449"/>
      <c r="H95" s="1445">
        <f t="shared" si="16"/>
        <v>2215.1</v>
      </c>
      <c r="I95" s="1415"/>
      <c r="J95" s="1415"/>
      <c r="K95" s="1415"/>
      <c r="L95" s="1415"/>
      <c r="M95" s="1415"/>
    </row>
    <row r="96" spans="1:13" outlineLevel="1" x14ac:dyDescent="0.2">
      <c r="A96" s="1450" t="s">
        <v>10184</v>
      </c>
      <c r="B96" s="1447" t="s">
        <v>5060</v>
      </c>
      <c r="C96" s="1448" t="s">
        <v>5061</v>
      </c>
      <c r="D96" s="1449">
        <v>323.89999999999998</v>
      </c>
      <c r="E96" s="1449"/>
      <c r="F96" s="1449"/>
      <c r="G96" s="1449"/>
      <c r="H96" s="1445">
        <f t="shared" si="16"/>
        <v>323.89999999999998</v>
      </c>
      <c r="I96" s="1415"/>
      <c r="J96" s="1415"/>
      <c r="K96" s="1415"/>
      <c r="L96" s="1415"/>
      <c r="M96" s="1415"/>
    </row>
    <row r="97" spans="1:13" outlineLevel="1" x14ac:dyDescent="0.2">
      <c r="A97" s="1450" t="s">
        <v>10185</v>
      </c>
      <c r="B97" s="1447" t="s">
        <v>5062</v>
      </c>
      <c r="C97" s="1448" t="s">
        <v>98</v>
      </c>
      <c r="D97" s="1449">
        <v>12282.07</v>
      </c>
      <c r="E97" s="1449"/>
      <c r="F97" s="1449"/>
      <c r="G97" s="1449"/>
      <c r="H97" s="1445">
        <f t="shared" si="16"/>
        <v>12282.07</v>
      </c>
      <c r="I97" s="1415"/>
      <c r="J97" s="1415"/>
      <c r="K97" s="1415"/>
      <c r="L97" s="1415"/>
      <c r="M97" s="1415"/>
    </row>
    <row r="98" spans="1:13" x14ac:dyDescent="0.2">
      <c r="A98" s="463">
        <v>18</v>
      </c>
      <c r="B98" s="464" t="s">
        <v>6670</v>
      </c>
      <c r="C98" s="464" t="s">
        <v>100</v>
      </c>
      <c r="D98" s="465">
        <f>SUM(D99:D100)</f>
        <v>6099.75</v>
      </c>
      <c r="E98" s="465">
        <f t="shared" ref="E98:F98" si="17">SUM(E99:E100)</f>
        <v>13979.24</v>
      </c>
      <c r="F98" s="465">
        <f t="shared" si="17"/>
        <v>125.86</v>
      </c>
      <c r="G98" s="466"/>
      <c r="H98" s="465">
        <f>SUM(D98:G98)</f>
        <v>20204.849999999999</v>
      </c>
      <c r="I98" s="1415"/>
      <c r="J98" s="1415"/>
      <c r="K98" s="1415"/>
      <c r="L98" s="1415"/>
      <c r="M98" s="1415"/>
    </row>
    <row r="99" spans="1:13" outlineLevel="1" x14ac:dyDescent="0.2">
      <c r="A99" s="1450" t="s">
        <v>10186</v>
      </c>
      <c r="B99" s="1447" t="s">
        <v>7069</v>
      </c>
      <c r="C99" s="1448" t="s">
        <v>100</v>
      </c>
      <c r="D99" s="1449">
        <v>6057.3</v>
      </c>
      <c r="E99" s="1449">
        <v>13882.28</v>
      </c>
      <c r="F99" s="1449">
        <v>125.86</v>
      </c>
      <c r="G99" s="1449"/>
      <c r="H99" s="1445">
        <f t="shared" si="16"/>
        <v>20065.439999999999</v>
      </c>
      <c r="I99" s="1415"/>
      <c r="J99" s="1415"/>
      <c r="K99" s="1415"/>
      <c r="L99" s="1415"/>
      <c r="M99" s="1415"/>
    </row>
    <row r="100" spans="1:13" outlineLevel="1" x14ac:dyDescent="0.2">
      <c r="A100" s="1450" t="s">
        <v>10187</v>
      </c>
      <c r="B100" s="1447" t="s">
        <v>7070</v>
      </c>
      <c r="C100" s="1448" t="s">
        <v>7071</v>
      </c>
      <c r="D100" s="1449">
        <v>42.45</v>
      </c>
      <c r="E100" s="1449">
        <v>96.96</v>
      </c>
      <c r="F100" s="1449"/>
      <c r="G100" s="1449"/>
      <c r="H100" s="1445">
        <f t="shared" si="16"/>
        <v>139.41</v>
      </c>
      <c r="I100" s="1415"/>
      <c r="J100" s="1415"/>
      <c r="K100" s="1415"/>
      <c r="L100" s="1415"/>
      <c r="M100" s="1415"/>
    </row>
    <row r="101" spans="1:13" ht="44.1" customHeight="1" x14ac:dyDescent="0.2">
      <c r="A101" s="467"/>
      <c r="B101" s="1696" t="s">
        <v>6489</v>
      </c>
      <c r="C101" s="1697"/>
      <c r="D101" s="468">
        <f>D93+D98</f>
        <v>28768.79</v>
      </c>
      <c r="E101" s="468">
        <f t="shared" ref="E101:H101" si="18">E93+E98</f>
        <v>13979.24</v>
      </c>
      <c r="F101" s="468">
        <f t="shared" si="18"/>
        <v>125.86</v>
      </c>
      <c r="G101" s="468">
        <f t="shared" si="18"/>
        <v>0</v>
      </c>
      <c r="H101" s="468">
        <f t="shared" si="18"/>
        <v>42873.89</v>
      </c>
      <c r="I101" s="1414">
        <f>SUM(I93:I98)</f>
        <v>0</v>
      </c>
      <c r="J101" s="1414">
        <f>SUM(J93:J98)</f>
        <v>0</v>
      </c>
      <c r="K101" s="1414">
        <f>SUM(K93:K98)</f>
        <v>0</v>
      </c>
      <c r="L101" s="1414">
        <f>SUM(L93:L98)</f>
        <v>0</v>
      </c>
      <c r="M101" s="1414">
        <f>SUM(M93:M98)</f>
        <v>0</v>
      </c>
    </row>
    <row r="102" spans="1:13" x14ac:dyDescent="0.2">
      <c r="A102" s="467"/>
      <c r="B102" s="1696" t="s">
        <v>6490</v>
      </c>
      <c r="C102" s="1697"/>
      <c r="D102" s="468">
        <f t="shared" ref="D102:M102" si="19">D32++D42+D66+D74+D82+D91+D101</f>
        <v>236798.52</v>
      </c>
      <c r="E102" s="468">
        <f t="shared" si="19"/>
        <v>32297.66</v>
      </c>
      <c r="F102" s="468">
        <f t="shared" si="19"/>
        <v>75205.87</v>
      </c>
      <c r="G102" s="468">
        <f t="shared" si="19"/>
        <v>149.44999999999999</v>
      </c>
      <c r="H102" s="468">
        <f t="shared" si="19"/>
        <v>344451.5</v>
      </c>
      <c r="I102" s="1414">
        <f t="shared" si="19"/>
        <v>131.88999999999999</v>
      </c>
      <c r="J102" s="1414">
        <f t="shared" si="19"/>
        <v>12649.77</v>
      </c>
      <c r="K102" s="1414">
        <f t="shared" si="19"/>
        <v>35619.54</v>
      </c>
      <c r="L102" s="1414">
        <f t="shared" si="19"/>
        <v>0</v>
      </c>
      <c r="M102" s="1414">
        <f t="shared" si="19"/>
        <v>48401.2</v>
      </c>
    </row>
    <row r="103" spans="1:13" x14ac:dyDescent="0.2">
      <c r="A103" s="1685" t="s">
        <v>6491</v>
      </c>
      <c r="B103" s="1686"/>
      <c r="C103" s="1686"/>
      <c r="D103" s="1686"/>
      <c r="E103" s="1686"/>
      <c r="F103" s="1686"/>
      <c r="G103" s="1686"/>
      <c r="H103" s="1686"/>
      <c r="I103" s="1415"/>
      <c r="J103" s="1415"/>
      <c r="K103" s="1415"/>
      <c r="L103" s="1415"/>
      <c r="M103" s="1415"/>
    </row>
    <row r="104" spans="1:13" ht="51" x14ac:dyDescent="0.2">
      <c r="A104" s="463">
        <v>19</v>
      </c>
      <c r="B104" s="464" t="s">
        <v>6492</v>
      </c>
      <c r="C104" s="464" t="s">
        <v>6493</v>
      </c>
      <c r="D104" s="465">
        <f>ROUND(D102*3.1%,2)</f>
        <v>7340.75</v>
      </c>
      <c r="E104" s="465">
        <f>ROUND(E102*3.1%,2)</f>
        <v>1001.23</v>
      </c>
      <c r="F104" s="466"/>
      <c r="G104" s="466"/>
      <c r="H104" s="465">
        <f>SUM(D104:G104)</f>
        <v>8341.98</v>
      </c>
      <c r="I104" s="1412">
        <f>ROUND(I102*3.1%,2)</f>
        <v>4.09</v>
      </c>
      <c r="J104" s="1412">
        <f>ROUND(J102*3.1%,2)</f>
        <v>392.14</v>
      </c>
      <c r="K104" s="1413"/>
      <c r="L104" s="1413"/>
      <c r="M104" s="1412">
        <f>SUM(I104:L104)</f>
        <v>396.23</v>
      </c>
    </row>
    <row r="105" spans="1:13" ht="44.1" customHeight="1" x14ac:dyDescent="0.2">
      <c r="A105" s="467"/>
      <c r="B105" s="1696" t="s">
        <v>6494</v>
      </c>
      <c r="C105" s="1697"/>
      <c r="D105" s="465">
        <f>D104</f>
        <v>7340.75</v>
      </c>
      <c r="E105" s="465">
        <f>E104</f>
        <v>1001.23</v>
      </c>
      <c r="F105" s="466"/>
      <c r="G105" s="466"/>
      <c r="H105" s="465">
        <f>H104</f>
        <v>8341.98</v>
      </c>
      <c r="I105" s="1412">
        <f>I104</f>
        <v>4.09</v>
      </c>
      <c r="J105" s="1412">
        <f>J104</f>
        <v>392.14</v>
      </c>
      <c r="K105" s="1413"/>
      <c r="L105" s="1413"/>
      <c r="M105" s="1412">
        <f>M104</f>
        <v>396.23</v>
      </c>
    </row>
    <row r="106" spans="1:13" x14ac:dyDescent="0.2">
      <c r="A106" s="467"/>
      <c r="B106" s="1696" t="s">
        <v>6495</v>
      </c>
      <c r="C106" s="1697"/>
      <c r="D106" s="468">
        <f t="shared" ref="D106:M106" si="20">D105+D102</f>
        <v>244139.27</v>
      </c>
      <c r="E106" s="468">
        <f t="shared" si="20"/>
        <v>33298.89</v>
      </c>
      <c r="F106" s="468">
        <f t="shared" si="20"/>
        <v>75205.87</v>
      </c>
      <c r="G106" s="468">
        <f t="shared" si="20"/>
        <v>149.44999999999999</v>
      </c>
      <c r="H106" s="468">
        <f t="shared" si="20"/>
        <v>352793.48</v>
      </c>
      <c r="I106" s="1414">
        <f t="shared" si="20"/>
        <v>135.97999999999999</v>
      </c>
      <c r="J106" s="1414">
        <f t="shared" si="20"/>
        <v>13041.91</v>
      </c>
      <c r="K106" s="1414">
        <f t="shared" si="20"/>
        <v>35619.54</v>
      </c>
      <c r="L106" s="1414">
        <f t="shared" si="20"/>
        <v>0</v>
      </c>
      <c r="M106" s="1414">
        <f t="shared" si="20"/>
        <v>48797.43</v>
      </c>
    </row>
    <row r="107" spans="1:13" x14ac:dyDescent="0.2">
      <c r="A107" s="1685" t="s">
        <v>6496</v>
      </c>
      <c r="B107" s="1686"/>
      <c r="C107" s="1686"/>
      <c r="D107" s="1686"/>
      <c r="E107" s="1686"/>
      <c r="F107" s="1686"/>
      <c r="G107" s="1686"/>
      <c r="H107" s="1686"/>
      <c r="I107" s="1415"/>
      <c r="J107" s="1415"/>
      <c r="K107" s="1415"/>
      <c r="L107" s="1415"/>
      <c r="M107" s="1415"/>
    </row>
    <row r="108" spans="1:13" ht="25.5" x14ac:dyDescent="0.2">
      <c r="A108" s="463">
        <v>20</v>
      </c>
      <c r="B108" s="464" t="s">
        <v>6497</v>
      </c>
      <c r="C108" s="464" t="s">
        <v>6498</v>
      </c>
      <c r="D108" s="465">
        <f>ROUND(D106*0.5%,2)</f>
        <v>1220.7</v>
      </c>
      <c r="E108" s="465">
        <f>ROUND(E106*0.5%,2)</f>
        <v>166.49</v>
      </c>
      <c r="F108" s="466"/>
      <c r="G108" s="466"/>
      <c r="H108" s="465">
        <f>SUM(D108:G108)</f>
        <v>1387.19</v>
      </c>
      <c r="I108" s="1415"/>
      <c r="J108" s="1415"/>
      <c r="K108" s="1415"/>
      <c r="L108" s="1415"/>
      <c r="M108" s="1415"/>
    </row>
    <row r="109" spans="1:13" ht="25.5" x14ac:dyDescent="0.2">
      <c r="A109" s="463">
        <v>21</v>
      </c>
      <c r="B109" s="464" t="s">
        <v>6499</v>
      </c>
      <c r="C109" s="464" t="s">
        <v>101</v>
      </c>
      <c r="D109" s="470"/>
      <c r="E109" s="470"/>
      <c r="F109" s="470"/>
      <c r="G109" s="471">
        <v>1070.06</v>
      </c>
      <c r="H109" s="465">
        <f t="shared" ref="H109:H121" si="21">SUM(D109:G109)</f>
        <v>1070.06</v>
      </c>
      <c r="I109" s="1415"/>
      <c r="J109" s="1415"/>
      <c r="K109" s="1415"/>
      <c r="L109" s="1415"/>
      <c r="M109" s="1415"/>
    </row>
    <row r="110" spans="1:13" ht="25.5" x14ac:dyDescent="0.2">
      <c r="A110" s="463">
        <v>22</v>
      </c>
      <c r="B110" s="464" t="s">
        <v>6500</v>
      </c>
      <c r="C110" s="464" t="s">
        <v>102</v>
      </c>
      <c r="D110" s="466"/>
      <c r="E110" s="466"/>
      <c r="F110" s="466"/>
      <c r="G110" s="466">
        <v>11.55</v>
      </c>
      <c r="H110" s="465">
        <f t="shared" si="21"/>
        <v>11.55</v>
      </c>
      <c r="I110" s="1415"/>
      <c r="J110" s="1415"/>
      <c r="K110" s="1415"/>
      <c r="L110" s="1415"/>
      <c r="M110" s="1415"/>
    </row>
    <row r="111" spans="1:13" x14ac:dyDescent="0.2">
      <c r="A111" s="463">
        <v>23</v>
      </c>
      <c r="B111" s="464" t="s">
        <v>6501</v>
      </c>
      <c r="C111" s="464" t="s">
        <v>103</v>
      </c>
      <c r="D111" s="466"/>
      <c r="E111" s="466"/>
      <c r="F111" s="466"/>
      <c r="G111" s="466">
        <v>12711.95</v>
      </c>
      <c r="H111" s="465">
        <f t="shared" si="21"/>
        <v>12711.95</v>
      </c>
      <c r="I111" s="1415"/>
      <c r="J111" s="1415"/>
      <c r="K111" s="1415"/>
      <c r="L111" s="1415"/>
      <c r="M111" s="1415"/>
    </row>
    <row r="112" spans="1:13" ht="25.5" x14ac:dyDescent="0.2">
      <c r="A112" s="463">
        <v>24</v>
      </c>
      <c r="B112" s="464" t="s">
        <v>6502</v>
      </c>
      <c r="C112" s="464" t="s">
        <v>104</v>
      </c>
      <c r="D112" s="466"/>
      <c r="E112" s="466"/>
      <c r="F112" s="466"/>
      <c r="G112" s="466">
        <f>SUM(G113:G114)</f>
        <v>68.709999999999994</v>
      </c>
      <c r="H112" s="465">
        <f t="shared" si="21"/>
        <v>68.709999999999994</v>
      </c>
      <c r="I112" s="1415"/>
      <c r="J112" s="1415"/>
      <c r="K112" s="1415"/>
      <c r="L112" s="1415"/>
      <c r="M112" s="1415"/>
    </row>
    <row r="113" spans="1:14" outlineLevel="1" x14ac:dyDescent="0.2">
      <c r="A113" s="1450" t="s">
        <v>10188</v>
      </c>
      <c r="B113" s="1447" t="s">
        <v>5735</v>
      </c>
      <c r="C113" s="1448" t="s">
        <v>5736</v>
      </c>
      <c r="D113" s="1449"/>
      <c r="E113" s="1449"/>
      <c r="F113" s="1449"/>
      <c r="G113" s="1449">
        <v>45.75</v>
      </c>
      <c r="H113" s="1445">
        <f t="shared" ref="H113:H114" si="22">SUM(D113:G113)</f>
        <v>45.75</v>
      </c>
      <c r="I113" s="1415"/>
      <c r="J113" s="1415"/>
      <c r="K113" s="1415"/>
      <c r="L113" s="1415"/>
      <c r="M113" s="1415"/>
    </row>
    <row r="114" spans="1:14" outlineLevel="1" x14ac:dyDescent="0.2">
      <c r="A114" s="1450" t="s">
        <v>10189</v>
      </c>
      <c r="B114" s="1447" t="s">
        <v>5737</v>
      </c>
      <c r="C114" s="1448" t="s">
        <v>5738</v>
      </c>
      <c r="D114" s="1449"/>
      <c r="E114" s="1449"/>
      <c r="F114" s="1449"/>
      <c r="G114" s="1449">
        <v>22.96</v>
      </c>
      <c r="H114" s="1445">
        <f t="shared" si="22"/>
        <v>22.96</v>
      </c>
      <c r="I114" s="1415"/>
      <c r="J114" s="1415"/>
      <c r="K114" s="1415"/>
      <c r="L114" s="1415"/>
      <c r="M114" s="1415"/>
    </row>
    <row r="115" spans="1:14" ht="25.5" x14ac:dyDescent="0.2">
      <c r="A115" s="463">
        <v>25</v>
      </c>
      <c r="B115" s="464" t="s">
        <v>6503</v>
      </c>
      <c r="C115" s="464" t="s">
        <v>110</v>
      </c>
      <c r="D115" s="466"/>
      <c r="E115" s="466"/>
      <c r="F115" s="466"/>
      <c r="G115" s="466">
        <v>627.80999999999995</v>
      </c>
      <c r="H115" s="465">
        <f t="shared" si="21"/>
        <v>627.80999999999995</v>
      </c>
      <c r="I115" s="1415"/>
      <c r="J115" s="1415"/>
      <c r="K115" s="1415"/>
      <c r="L115" s="1415"/>
      <c r="M115" s="1415"/>
    </row>
    <row r="116" spans="1:14" ht="25.5" x14ac:dyDescent="0.2">
      <c r="A116" s="1428">
        <v>26</v>
      </c>
      <c r="B116" s="1429" t="s">
        <v>6504</v>
      </c>
      <c r="C116" s="1430" t="s">
        <v>9240</v>
      </c>
      <c r="D116" s="1431"/>
      <c r="E116" s="1431"/>
      <c r="F116" s="1431"/>
      <c r="G116" s="1431">
        <f>24.95*0</f>
        <v>0</v>
      </c>
      <c r="H116" s="1432">
        <f t="shared" si="21"/>
        <v>0</v>
      </c>
      <c r="I116" s="1415"/>
      <c r="J116" s="1415"/>
      <c r="K116" s="1415"/>
      <c r="L116" s="1415"/>
      <c r="M116" s="1415"/>
    </row>
    <row r="117" spans="1:14" ht="25.5" x14ac:dyDescent="0.2">
      <c r="A117" s="1428">
        <v>27</v>
      </c>
      <c r="B117" s="1429" t="s">
        <v>6505</v>
      </c>
      <c r="C117" s="1433" t="s">
        <v>113</v>
      </c>
      <c r="D117" s="1431"/>
      <c r="E117" s="1431"/>
      <c r="F117" s="1431"/>
      <c r="G117" s="1431">
        <f>SUM(G118:G120)</f>
        <v>0</v>
      </c>
      <c r="H117" s="1432">
        <f t="shared" si="21"/>
        <v>0</v>
      </c>
      <c r="I117" s="1416"/>
      <c r="J117" s="1415"/>
      <c r="K117" s="1415"/>
      <c r="L117" s="1415"/>
      <c r="M117" s="1415"/>
    </row>
    <row r="118" spans="1:14" outlineLevel="1" x14ac:dyDescent="0.2">
      <c r="A118" s="1457" t="s">
        <v>10190</v>
      </c>
      <c r="B118" s="1452" t="s">
        <v>5800</v>
      </c>
      <c r="C118" s="1452" t="s">
        <v>5801</v>
      </c>
      <c r="D118" s="1453"/>
      <c r="E118" s="1454"/>
      <c r="F118" s="1455"/>
      <c r="G118" s="1458">
        <f>63148.96/1000*0</f>
        <v>0</v>
      </c>
      <c r="H118" s="1456">
        <f>G118</f>
        <v>0</v>
      </c>
      <c r="I118" s="1416"/>
      <c r="J118" s="1415"/>
      <c r="K118" s="1415"/>
      <c r="L118" s="1415"/>
      <c r="M118" s="1415"/>
    </row>
    <row r="119" spans="1:14" ht="25.5" outlineLevel="1" x14ac:dyDescent="0.2">
      <c r="A119" s="1457" t="s">
        <v>10191</v>
      </c>
      <c r="B119" s="1452" t="s">
        <v>5802</v>
      </c>
      <c r="C119" s="1452" t="s">
        <v>5803</v>
      </c>
      <c r="D119" s="1453"/>
      <c r="E119" s="1454"/>
      <c r="F119" s="1455"/>
      <c r="G119" s="1458">
        <f>11867.67/1000*0</f>
        <v>0</v>
      </c>
      <c r="H119" s="1456">
        <f>G119</f>
        <v>0</v>
      </c>
      <c r="I119" s="1416"/>
      <c r="J119" s="1415"/>
      <c r="K119" s="1415"/>
      <c r="L119" s="1415"/>
      <c r="M119" s="1415"/>
    </row>
    <row r="120" spans="1:14" outlineLevel="1" x14ac:dyDescent="0.2">
      <c r="A120" s="1457" t="s">
        <v>10192</v>
      </c>
      <c r="B120" s="1452" t="s">
        <v>5804</v>
      </c>
      <c r="C120" s="1452" t="s">
        <v>5805</v>
      </c>
      <c r="D120" s="1453"/>
      <c r="E120" s="1454"/>
      <c r="F120" s="1455"/>
      <c r="G120" s="1458">
        <f>(132846.21/1000-0.01)*0</f>
        <v>0</v>
      </c>
      <c r="H120" s="1456">
        <f>G120</f>
        <v>0</v>
      </c>
      <c r="I120" s="1416"/>
      <c r="J120" s="1415"/>
      <c r="K120" s="1415"/>
      <c r="L120" s="1415"/>
      <c r="M120" s="1415"/>
    </row>
    <row r="121" spans="1:14" ht="25.5" x14ac:dyDescent="0.2">
      <c r="A121" s="1428">
        <v>28</v>
      </c>
      <c r="B121" s="1429" t="s">
        <v>9624</v>
      </c>
      <c r="C121" s="1433" t="s">
        <v>9625</v>
      </c>
      <c r="D121" s="1431"/>
      <c r="E121" s="1431"/>
      <c r="F121" s="1431"/>
      <c r="G121" s="1431">
        <f>500831.57*0</f>
        <v>0</v>
      </c>
      <c r="H121" s="1432">
        <f t="shared" si="21"/>
        <v>0</v>
      </c>
      <c r="I121" s="1413"/>
      <c r="J121" s="1413"/>
      <c r="K121" s="1413"/>
      <c r="L121" s="1413">
        <f>500831.57*0</f>
        <v>0</v>
      </c>
      <c r="M121" s="1422">
        <f>SUM(I121:L121)</f>
        <v>0</v>
      </c>
      <c r="N121" s="1410"/>
    </row>
    <row r="122" spans="1:14" ht="44.1" customHeight="1" x14ac:dyDescent="0.2">
      <c r="A122" s="467"/>
      <c r="B122" s="1696" t="s">
        <v>6506</v>
      </c>
      <c r="C122" s="1697"/>
      <c r="D122" s="465">
        <f>D108+D109+D110+D111+D112+D115+D116+D117+D121</f>
        <v>1220.7</v>
      </c>
      <c r="E122" s="465">
        <f>E108+E109+E110+E111+E112+E115+E116+E117+E121</f>
        <v>166.49</v>
      </c>
      <c r="F122" s="465"/>
      <c r="G122" s="465">
        <f>G108+G109+G110+G111+G112+G115+G116+G117+G121</f>
        <v>14490.08</v>
      </c>
      <c r="H122" s="465">
        <f>H108+H109+H110+H111+H112+H115+H116+H117+H121</f>
        <v>15877.27</v>
      </c>
      <c r="I122" s="1417">
        <f>SUM(I108:I117)</f>
        <v>0</v>
      </c>
      <c r="J122" s="1417">
        <f>SUM(J108:J117)</f>
        <v>0</v>
      </c>
      <c r="K122" s="1417">
        <f>SUM(K108:K117)</f>
        <v>0</v>
      </c>
      <c r="L122" s="1413">
        <f>SUM(L108:L121)</f>
        <v>0</v>
      </c>
      <c r="M122" s="1412">
        <f>SUM(I122:L122)</f>
        <v>0</v>
      </c>
    </row>
    <row r="123" spans="1:14" x14ac:dyDescent="0.2">
      <c r="A123" s="467"/>
      <c r="B123" s="1696" t="s">
        <v>6507</v>
      </c>
      <c r="C123" s="1697"/>
      <c r="D123" s="468">
        <f t="shared" ref="D123:M123" si="23">D122+D106</f>
        <v>245359.97</v>
      </c>
      <c r="E123" s="468">
        <f t="shared" si="23"/>
        <v>33465.379999999997</v>
      </c>
      <c r="F123" s="468">
        <f t="shared" si="23"/>
        <v>75205.87</v>
      </c>
      <c r="G123" s="474">
        <f t="shared" si="23"/>
        <v>14639.53</v>
      </c>
      <c r="H123" s="474">
        <f t="shared" si="23"/>
        <v>368670.75</v>
      </c>
      <c r="I123" s="1414">
        <f t="shared" si="23"/>
        <v>135.97999999999999</v>
      </c>
      <c r="J123" s="1414">
        <f t="shared" si="23"/>
        <v>13041.91</v>
      </c>
      <c r="K123" s="1414">
        <f t="shared" si="23"/>
        <v>35619.54</v>
      </c>
      <c r="L123" s="1418">
        <f t="shared" si="23"/>
        <v>0</v>
      </c>
      <c r="M123" s="1418">
        <f t="shared" si="23"/>
        <v>48797.43</v>
      </c>
    </row>
    <row r="124" spans="1:14" x14ac:dyDescent="0.2">
      <c r="A124" s="1685" t="s">
        <v>6508</v>
      </c>
      <c r="B124" s="1686"/>
      <c r="C124" s="1686"/>
      <c r="D124" s="1686"/>
      <c r="E124" s="1686"/>
      <c r="F124" s="1686"/>
      <c r="G124" s="1686"/>
      <c r="H124" s="1686"/>
      <c r="I124" s="1415"/>
      <c r="J124" s="1415"/>
      <c r="K124" s="1415"/>
      <c r="L124" s="1415"/>
      <c r="M124" s="1415"/>
    </row>
    <row r="125" spans="1:14" ht="25.5" x14ac:dyDescent="0.2">
      <c r="A125" s="1428">
        <v>29</v>
      </c>
      <c r="B125" s="1429" t="s">
        <v>6509</v>
      </c>
      <c r="C125" s="1429" t="s">
        <v>9627</v>
      </c>
      <c r="D125" s="1431"/>
      <c r="E125" s="1431"/>
      <c r="F125" s="1431"/>
      <c r="G125" s="1432">
        <f>ROUND((D123+E123+F123)*1.61%,2)*0</f>
        <v>0</v>
      </c>
      <c r="H125" s="1432">
        <f>SUM(D125:G125)</f>
        <v>0</v>
      </c>
      <c r="I125" s="1413"/>
      <c r="J125" s="1413"/>
      <c r="K125" s="1413"/>
      <c r="L125" s="1412">
        <f>ROUND((I123+J123+K123)*1.93%,2)*0</f>
        <v>0</v>
      </c>
      <c r="M125" s="1412">
        <f>SUM(I125:L125)</f>
        <v>0</v>
      </c>
      <c r="N125" s="1410"/>
    </row>
    <row r="126" spans="1:14" ht="44.1" customHeight="1" x14ac:dyDescent="0.2">
      <c r="A126" s="467"/>
      <c r="B126" s="1696" t="s">
        <v>6510</v>
      </c>
      <c r="C126" s="1697"/>
      <c r="D126" s="466">
        <f t="shared" ref="D126:M126" si="24">D125</f>
        <v>0</v>
      </c>
      <c r="E126" s="466">
        <f t="shared" si="24"/>
        <v>0</v>
      </c>
      <c r="F126" s="466">
        <f t="shared" si="24"/>
        <v>0</v>
      </c>
      <c r="G126" s="466">
        <f t="shared" si="24"/>
        <v>0</v>
      </c>
      <c r="H126" s="466">
        <f t="shared" si="24"/>
        <v>0</v>
      </c>
      <c r="I126" s="1413">
        <f t="shared" si="24"/>
        <v>0</v>
      </c>
      <c r="J126" s="1413">
        <f t="shared" si="24"/>
        <v>0</v>
      </c>
      <c r="K126" s="1413">
        <f t="shared" si="24"/>
        <v>0</v>
      </c>
      <c r="L126" s="1413">
        <f t="shared" si="24"/>
        <v>0</v>
      </c>
      <c r="M126" s="1413">
        <f t="shared" si="24"/>
        <v>0</v>
      </c>
    </row>
    <row r="127" spans="1:14" ht="70.5" customHeight="1" x14ac:dyDescent="0.2">
      <c r="A127" s="1685" t="s">
        <v>6511</v>
      </c>
      <c r="B127" s="1686"/>
      <c r="C127" s="1686"/>
      <c r="D127" s="1686"/>
      <c r="E127" s="1686"/>
      <c r="F127" s="1686"/>
      <c r="G127" s="1686"/>
      <c r="H127" s="1686"/>
      <c r="I127" s="1419"/>
      <c r="J127" s="1419"/>
      <c r="K127" s="1419"/>
      <c r="L127" s="1419"/>
      <c r="M127" s="1413"/>
    </row>
    <row r="128" spans="1:14" x14ac:dyDescent="0.2">
      <c r="A128" s="1428">
        <v>30</v>
      </c>
      <c r="B128" s="1429" t="s">
        <v>6512</v>
      </c>
      <c r="C128" s="1429" t="s">
        <v>116</v>
      </c>
      <c r="D128" s="1434"/>
      <c r="E128" s="1434"/>
      <c r="F128" s="1434"/>
      <c r="G128" s="1435">
        <f>7654.29*0</f>
        <v>0</v>
      </c>
      <c r="H128" s="1432">
        <f>SUM(D128:G128)</f>
        <v>0</v>
      </c>
      <c r="I128" s="1419"/>
      <c r="J128" s="1419"/>
      <c r="K128" s="1419"/>
      <c r="L128" s="1419"/>
      <c r="M128" s="1413"/>
      <c r="N128" s="1410"/>
    </row>
    <row r="129" spans="1:15" x14ac:dyDescent="0.2">
      <c r="A129" s="1428">
        <v>31</v>
      </c>
      <c r="B129" s="1429" t="s">
        <v>6513</v>
      </c>
      <c r="C129" s="1429" t="s">
        <v>9640</v>
      </c>
      <c r="D129" s="1434"/>
      <c r="E129" s="1434"/>
      <c r="F129" s="1434"/>
      <c r="G129" s="1436">
        <f>10852.92*0</f>
        <v>0</v>
      </c>
      <c r="H129" s="1437">
        <f t="shared" ref="H129:H131" si="25">SUM(D129:G129)</f>
        <v>0</v>
      </c>
      <c r="I129" s="1419"/>
      <c r="J129" s="1419"/>
      <c r="K129" s="1419"/>
      <c r="L129" s="1419"/>
      <c r="M129" s="1413"/>
      <c r="N129" s="1410"/>
    </row>
    <row r="130" spans="1:15" x14ac:dyDescent="0.2">
      <c r="A130" s="463">
        <v>32</v>
      </c>
      <c r="B130" s="464" t="s">
        <v>6514</v>
      </c>
      <c r="C130" s="464" t="s">
        <v>9645</v>
      </c>
      <c r="D130" s="470"/>
      <c r="E130" s="470"/>
      <c r="F130" s="470"/>
      <c r="G130" s="475">
        <v>12820.83</v>
      </c>
      <c r="H130" s="1273">
        <f t="shared" si="25"/>
        <v>12820.83</v>
      </c>
      <c r="I130" s="1419"/>
      <c r="J130" s="1419"/>
      <c r="K130" s="1419"/>
      <c r="L130" s="1419"/>
      <c r="M130" s="1413"/>
    </row>
    <row r="131" spans="1:15" ht="51" x14ac:dyDescent="0.2">
      <c r="A131" s="1428">
        <v>33</v>
      </c>
      <c r="B131" s="1429" t="s">
        <v>6515</v>
      </c>
      <c r="C131" s="1429" t="s">
        <v>121</v>
      </c>
      <c r="D131" s="1434"/>
      <c r="E131" s="1434"/>
      <c r="F131" s="1434"/>
      <c r="G131" s="1435">
        <f>2029.11*0</f>
        <v>0</v>
      </c>
      <c r="H131" s="1438">
        <f t="shared" si="25"/>
        <v>0</v>
      </c>
      <c r="I131" s="1419"/>
      <c r="J131" s="1419"/>
      <c r="K131" s="1419"/>
      <c r="L131" s="1419"/>
      <c r="M131" s="1413"/>
    </row>
    <row r="132" spans="1:15" ht="25.5" x14ac:dyDescent="0.2">
      <c r="A132" s="1428">
        <v>34</v>
      </c>
      <c r="B132" s="1439" t="s">
        <v>6516</v>
      </c>
      <c r="C132" s="1429" t="s">
        <v>6517</v>
      </c>
      <c r="D132" s="1434"/>
      <c r="E132" s="1434"/>
      <c r="F132" s="1434"/>
      <c r="G132" s="1432">
        <f>ROUND(H123*0.2%,2)*0</f>
        <v>0</v>
      </c>
      <c r="H132" s="1432">
        <f>SUM(D132:G132)</f>
        <v>0</v>
      </c>
      <c r="I132" s="1420"/>
      <c r="J132" s="1420"/>
      <c r="K132" s="1420"/>
      <c r="L132" s="1412">
        <f>ROUND(M123*0.2%,2)*0</f>
        <v>0</v>
      </c>
      <c r="M132" s="1412">
        <f>SUM(I132:L132)</f>
        <v>0</v>
      </c>
      <c r="N132" s="1410"/>
      <c r="O132" s="1410"/>
    </row>
    <row r="133" spans="1:15" x14ac:dyDescent="0.2">
      <c r="A133" s="1428">
        <v>35</v>
      </c>
      <c r="B133" s="1440" t="s">
        <v>6518</v>
      </c>
      <c r="C133" s="1429" t="s">
        <v>122</v>
      </c>
      <c r="D133" s="1434"/>
      <c r="E133" s="1434"/>
      <c r="F133" s="1434"/>
      <c r="G133" s="1432">
        <f>228.04*0</f>
        <v>0</v>
      </c>
      <c r="H133" s="1432">
        <f>SUM(D133:G133)</f>
        <v>0</v>
      </c>
      <c r="I133" s="1419"/>
      <c r="J133" s="1419"/>
      <c r="K133" s="1419"/>
      <c r="L133" s="1419"/>
      <c r="M133" s="1413"/>
    </row>
    <row r="134" spans="1:15" ht="25.5" x14ac:dyDescent="0.2">
      <c r="A134" s="1428">
        <v>36</v>
      </c>
      <c r="B134" s="1440" t="s">
        <v>6519</v>
      </c>
      <c r="C134" s="1429" t="s">
        <v>134</v>
      </c>
      <c r="D134" s="1434"/>
      <c r="E134" s="1434"/>
      <c r="F134" s="1434"/>
      <c r="G134" s="1432">
        <f>335.54*0</f>
        <v>0</v>
      </c>
      <c r="H134" s="1432">
        <f>SUM(D134:G134)</f>
        <v>0</v>
      </c>
      <c r="I134" s="1419"/>
      <c r="J134" s="1419"/>
      <c r="K134" s="1419"/>
      <c r="L134" s="1419"/>
      <c r="M134" s="1413"/>
    </row>
    <row r="135" spans="1:15" x14ac:dyDescent="0.2">
      <c r="A135" s="1428">
        <v>37</v>
      </c>
      <c r="B135" s="1440" t="s">
        <v>9630</v>
      </c>
      <c r="C135" s="1429" t="s">
        <v>9631</v>
      </c>
      <c r="D135" s="1434"/>
      <c r="E135" s="1434"/>
      <c r="F135" s="1434"/>
      <c r="G135" s="1432">
        <f>202.67*0</f>
        <v>0</v>
      </c>
      <c r="H135" s="1432">
        <f t="shared" ref="H135:H136" si="26">SUM(D135:G135)</f>
        <v>0</v>
      </c>
      <c r="I135" s="1420"/>
      <c r="J135" s="1420"/>
      <c r="K135" s="1420"/>
      <c r="L135" s="1412">
        <f>202.67*0</f>
        <v>0</v>
      </c>
      <c r="M135" s="1412">
        <f t="shared" ref="M135:M136" si="27">SUM(I135:L135)</f>
        <v>0</v>
      </c>
    </row>
    <row r="136" spans="1:15" x14ac:dyDescent="0.2">
      <c r="A136" s="463">
        <v>38</v>
      </c>
      <c r="B136" s="477" t="s">
        <v>9633</v>
      </c>
      <c r="C136" s="464" t="s">
        <v>9634</v>
      </c>
      <c r="D136" s="470"/>
      <c r="E136" s="470"/>
      <c r="F136" s="470"/>
      <c r="G136" s="465">
        <v>191.22</v>
      </c>
      <c r="H136" s="465">
        <f t="shared" si="26"/>
        <v>191.22</v>
      </c>
      <c r="I136" s="1420"/>
      <c r="J136" s="1420"/>
      <c r="K136" s="1420"/>
      <c r="L136" s="1412">
        <v>191.22</v>
      </c>
      <c r="M136" s="1412">
        <f t="shared" si="27"/>
        <v>191.22</v>
      </c>
      <c r="N136" s="1410"/>
    </row>
    <row r="137" spans="1:15" ht="128.25" customHeight="1" x14ac:dyDescent="0.2">
      <c r="A137" s="467"/>
      <c r="B137" s="1696" t="s">
        <v>6520</v>
      </c>
      <c r="C137" s="1697"/>
      <c r="D137" s="470"/>
      <c r="E137" s="470"/>
      <c r="F137" s="470"/>
      <c r="G137" s="465">
        <f>SUM(G128:G136)</f>
        <v>13012.05</v>
      </c>
      <c r="H137" s="465">
        <f>SUM(H128:H136)</f>
        <v>13012.05</v>
      </c>
      <c r="I137" s="1420"/>
      <c r="J137" s="1420"/>
      <c r="K137" s="1420"/>
      <c r="L137" s="1412">
        <f>SUM(L128:L136)</f>
        <v>191.22</v>
      </c>
      <c r="M137" s="1412">
        <f>SUM(M128:M136)</f>
        <v>191.22</v>
      </c>
    </row>
    <row r="138" spans="1:15" x14ac:dyDescent="0.2">
      <c r="A138" s="467"/>
      <c r="B138" s="1696" t="s">
        <v>6521</v>
      </c>
      <c r="C138" s="1697"/>
      <c r="D138" s="468">
        <f t="shared" ref="D138:M138" si="28">D123+D126+D137</f>
        <v>245359.97</v>
      </c>
      <c r="E138" s="468">
        <f t="shared" si="28"/>
        <v>33465.379999999997</v>
      </c>
      <c r="F138" s="468">
        <f t="shared" si="28"/>
        <v>75205.87</v>
      </c>
      <c r="G138" s="468">
        <f>G123+G126+G137</f>
        <v>27651.58</v>
      </c>
      <c r="H138" s="468">
        <f t="shared" si="28"/>
        <v>381682.8</v>
      </c>
      <c r="I138" s="1414">
        <f t="shared" si="28"/>
        <v>135.97999999999999</v>
      </c>
      <c r="J138" s="1414">
        <f t="shared" si="28"/>
        <v>13041.91</v>
      </c>
      <c r="K138" s="1414">
        <f t="shared" si="28"/>
        <v>35619.54</v>
      </c>
      <c r="L138" s="1414">
        <f>L123+L126+L137</f>
        <v>191.22</v>
      </c>
      <c r="M138" s="1414">
        <f t="shared" si="28"/>
        <v>48988.65</v>
      </c>
    </row>
    <row r="139" spans="1:15" x14ac:dyDescent="0.2">
      <c r="A139" s="1685" t="s">
        <v>6522</v>
      </c>
      <c r="B139" s="1686"/>
      <c r="C139" s="1686"/>
      <c r="D139" s="1686"/>
      <c r="E139" s="1686"/>
      <c r="F139" s="1686"/>
      <c r="G139" s="1686"/>
      <c r="H139" s="1686"/>
      <c r="I139" s="1415"/>
      <c r="J139" s="1415"/>
      <c r="K139" s="1415"/>
      <c r="L139" s="1415"/>
      <c r="M139" s="1415"/>
    </row>
    <row r="140" spans="1:15" ht="25.5" x14ac:dyDescent="0.2">
      <c r="A140" s="463">
        <v>39</v>
      </c>
      <c r="B140" s="464" t="s">
        <v>6523</v>
      </c>
      <c r="C140" s="464" t="s">
        <v>6524</v>
      </c>
      <c r="D140" s="465">
        <f>ROUND(D138*2%,2)</f>
        <v>4907.2</v>
      </c>
      <c r="E140" s="465">
        <f t="shared" ref="E140:F140" si="29">ROUND(E138*2%,2)</f>
        <v>669.31</v>
      </c>
      <c r="F140" s="465">
        <f t="shared" si="29"/>
        <v>1504.12</v>
      </c>
      <c r="G140" s="465">
        <f>ROUND(G138*2%,2)</f>
        <v>553.03</v>
      </c>
      <c r="H140" s="465">
        <f>SUM(D140:G140)</f>
        <v>7633.66</v>
      </c>
      <c r="I140" s="1412">
        <f>ROUND(I138*2%,2)</f>
        <v>2.72</v>
      </c>
      <c r="J140" s="1412">
        <f t="shared" ref="J140:K140" si="30">ROUND(J138*2%,2)</f>
        <v>260.83999999999997</v>
      </c>
      <c r="K140" s="1412">
        <f t="shared" si="30"/>
        <v>712.39</v>
      </c>
      <c r="L140" s="1412">
        <f>ROUND(L138*2%,2)</f>
        <v>3.82</v>
      </c>
      <c r="M140" s="1412">
        <f>SUM(I140:L140)</f>
        <v>979.77</v>
      </c>
    </row>
    <row r="141" spans="1:15" x14ac:dyDescent="0.2">
      <c r="A141" s="467"/>
      <c r="B141" s="1696" t="s">
        <v>6525</v>
      </c>
      <c r="C141" s="1697"/>
      <c r="D141" s="468">
        <f>D140</f>
        <v>4907.2</v>
      </c>
      <c r="E141" s="468">
        <f t="shared" ref="E141:G141" si="31">E140</f>
        <v>669.31</v>
      </c>
      <c r="F141" s="468">
        <f t="shared" si="31"/>
        <v>1504.12</v>
      </c>
      <c r="G141" s="468">
        <f t="shared" si="31"/>
        <v>553.03</v>
      </c>
      <c r="H141" s="468">
        <f>H140</f>
        <v>7633.66</v>
      </c>
      <c r="I141" s="1414">
        <f>I140</f>
        <v>2.72</v>
      </c>
      <c r="J141" s="1414">
        <f t="shared" ref="J141:L141" si="32">J140</f>
        <v>260.83999999999997</v>
      </c>
      <c r="K141" s="1414">
        <f t="shared" si="32"/>
        <v>712.39</v>
      </c>
      <c r="L141" s="1414">
        <f t="shared" si="32"/>
        <v>3.82</v>
      </c>
      <c r="M141" s="1414">
        <f>M140</f>
        <v>979.77</v>
      </c>
    </row>
    <row r="142" spans="1:15" ht="44.1" customHeight="1" x14ac:dyDescent="0.2">
      <c r="A142" s="467"/>
      <c r="B142" s="1696" t="s">
        <v>6526</v>
      </c>
      <c r="C142" s="1697"/>
      <c r="D142" s="468">
        <f>D138+D141</f>
        <v>250267.17</v>
      </c>
      <c r="E142" s="468">
        <f t="shared" ref="E142:F142" si="33">E138+E141</f>
        <v>34134.69</v>
      </c>
      <c r="F142" s="468">
        <f t="shared" si="33"/>
        <v>76709.990000000005</v>
      </c>
      <c r="G142" s="468">
        <f>G138+G141</f>
        <v>28204.61</v>
      </c>
      <c r="H142" s="468">
        <f>H138+H141</f>
        <v>389316.46</v>
      </c>
      <c r="I142" s="1414">
        <f>I138+I141</f>
        <v>138.69999999999999</v>
      </c>
      <c r="J142" s="1414">
        <f t="shared" ref="J142:K142" si="34">J138+J141</f>
        <v>13302.75</v>
      </c>
      <c r="K142" s="1414">
        <f t="shared" si="34"/>
        <v>36331.93</v>
      </c>
      <c r="L142" s="1414">
        <f>L138+L141</f>
        <v>195.04</v>
      </c>
      <c r="M142" s="1414">
        <f>M138+M141</f>
        <v>49968.42</v>
      </c>
    </row>
    <row r="143" spans="1:15" x14ac:dyDescent="0.2">
      <c r="A143" s="1685" t="s">
        <v>6532</v>
      </c>
      <c r="B143" s="1686"/>
      <c r="C143" s="1686"/>
      <c r="D143" s="1686"/>
      <c r="E143" s="1686"/>
      <c r="F143" s="1686"/>
      <c r="G143" s="1686"/>
      <c r="H143" s="1686"/>
      <c r="I143" s="1415"/>
      <c r="J143" s="1415"/>
      <c r="K143" s="1415"/>
      <c r="L143" s="1415"/>
      <c r="M143" s="1415"/>
    </row>
    <row r="144" spans="1:15" ht="25.5" x14ac:dyDescent="0.2">
      <c r="A144" s="463">
        <v>40</v>
      </c>
      <c r="B144" s="464" t="s">
        <v>6533</v>
      </c>
      <c r="C144" s="464" t="s">
        <v>6534</v>
      </c>
      <c r="D144" s="465">
        <f>ROUND(D142*20%,2)</f>
        <v>50053.43</v>
      </c>
      <c r="E144" s="465">
        <f t="shared" ref="E144:F144" si="35">ROUND(E142*20%,2)</f>
        <v>6826.94</v>
      </c>
      <c r="F144" s="465">
        <f t="shared" si="35"/>
        <v>15342</v>
      </c>
      <c r="G144" s="465">
        <f>ROUND((G142-G111-G110-G115-G133)*20%,2)</f>
        <v>2970.66</v>
      </c>
      <c r="H144" s="465">
        <f>SUM(D144:G144)</f>
        <v>75193.03</v>
      </c>
      <c r="I144" s="1412">
        <f>ROUND(I142*20%,2)</f>
        <v>27.74</v>
      </c>
      <c r="J144" s="1412">
        <f t="shared" ref="J144:K144" si="36">ROUND(J142*20%,2)</f>
        <v>2660.55</v>
      </c>
      <c r="K144" s="1412">
        <f t="shared" si="36"/>
        <v>7266.39</v>
      </c>
      <c r="L144" s="1412">
        <f>ROUND(L142*20%,2)</f>
        <v>39.01</v>
      </c>
      <c r="M144" s="1412">
        <f>SUM(I144:L144)</f>
        <v>9993.69</v>
      </c>
    </row>
    <row r="145" spans="1:14" ht="44.1" customHeight="1" x14ac:dyDescent="0.2">
      <c r="A145" s="467"/>
      <c r="B145" s="1696" t="s">
        <v>6535</v>
      </c>
      <c r="C145" s="1697"/>
      <c r="D145" s="468">
        <f>D144</f>
        <v>50053.43</v>
      </c>
      <c r="E145" s="468">
        <f t="shared" ref="E145:M145" si="37">E144</f>
        <v>6826.94</v>
      </c>
      <c r="F145" s="468">
        <f t="shared" si="37"/>
        <v>15342</v>
      </c>
      <c r="G145" s="468">
        <f t="shared" si="37"/>
        <v>2970.66</v>
      </c>
      <c r="H145" s="468">
        <f t="shared" si="37"/>
        <v>75193.03</v>
      </c>
      <c r="I145" s="1414">
        <f>I144</f>
        <v>27.74</v>
      </c>
      <c r="J145" s="1414">
        <f t="shared" si="37"/>
        <v>2660.55</v>
      </c>
      <c r="K145" s="1414">
        <f t="shared" si="37"/>
        <v>7266.39</v>
      </c>
      <c r="L145" s="1414">
        <f t="shared" si="37"/>
        <v>39.01</v>
      </c>
      <c r="M145" s="1414">
        <f t="shared" si="37"/>
        <v>9993.69</v>
      </c>
    </row>
    <row r="146" spans="1:14" ht="15" x14ac:dyDescent="0.2">
      <c r="A146" s="467"/>
      <c r="B146" s="1696" t="s">
        <v>6527</v>
      </c>
      <c r="C146" s="1697"/>
      <c r="D146" s="478">
        <f>D142+D145</f>
        <v>300320.59999999998</v>
      </c>
      <c r="E146" s="478">
        <f t="shared" ref="E146:F146" si="38">E142+E145</f>
        <v>40961.629999999997</v>
      </c>
      <c r="F146" s="478">
        <f t="shared" si="38"/>
        <v>92051.99</v>
      </c>
      <c r="G146" s="478">
        <f>G142+G145</f>
        <v>31175.27</v>
      </c>
      <c r="H146" s="478">
        <f>H142+H145</f>
        <v>464509.49</v>
      </c>
      <c r="I146" s="1421">
        <f>I142+I145</f>
        <v>166.44</v>
      </c>
      <c r="J146" s="1421">
        <f t="shared" ref="J146:K146" si="39">J142+J145</f>
        <v>15963.3</v>
      </c>
      <c r="K146" s="1421">
        <f t="shared" si="39"/>
        <v>43598.32</v>
      </c>
      <c r="L146" s="1421">
        <f>L142+L145</f>
        <v>234.05</v>
      </c>
      <c r="M146" s="1421">
        <f>M142+M145</f>
        <v>59962.11</v>
      </c>
      <c r="N146" s="456" t="s">
        <v>10143</v>
      </c>
    </row>
    <row r="147" spans="1:14" x14ac:dyDescent="0.2">
      <c r="C147" s="458" t="s">
        <v>9642</v>
      </c>
      <c r="D147" s="471">
        <f>D146-D148</f>
        <v>300154.15999999997</v>
      </c>
      <c r="E147" s="471">
        <f>E146-E148</f>
        <v>24998.33</v>
      </c>
      <c r="F147" s="471">
        <f>F146-F148</f>
        <v>48453.67</v>
      </c>
      <c r="G147" s="471">
        <f>G146-G148</f>
        <v>30941.22</v>
      </c>
      <c r="H147" s="471">
        <f>H146-H148</f>
        <v>404547.38</v>
      </c>
    </row>
    <row r="148" spans="1:14" x14ac:dyDescent="0.2">
      <c r="C148" s="479" t="s">
        <v>9643</v>
      </c>
      <c r="D148" s="471">
        <f>I146</f>
        <v>166.44</v>
      </c>
      <c r="E148" s="471">
        <f>J146</f>
        <v>15963.3</v>
      </c>
      <c r="F148" s="471">
        <f>K146</f>
        <v>43598.32</v>
      </c>
      <c r="G148" s="471">
        <f>L146</f>
        <v>234.05</v>
      </c>
      <c r="H148" s="471">
        <f>M146</f>
        <v>59962.11</v>
      </c>
    </row>
    <row r="150" spans="1:14" x14ac:dyDescent="0.2">
      <c r="C150" s="458" t="s">
        <v>9636</v>
      </c>
      <c r="E150" s="458" t="s">
        <v>6528</v>
      </c>
    </row>
    <row r="151" spans="1:14" x14ac:dyDescent="0.2">
      <c r="C151" s="458"/>
    </row>
    <row r="152" spans="1:14" x14ac:dyDescent="0.2">
      <c r="C152" s="1105" t="s">
        <v>9637</v>
      </c>
      <c r="E152" s="458" t="s">
        <v>6529</v>
      </c>
    </row>
    <row r="160" spans="1:14" x14ac:dyDescent="0.2">
      <c r="H160" s="1459">
        <f>529806.32*1.02*1.2-228.04*1.02*0.2</f>
        <v>648436.41599999997</v>
      </c>
    </row>
    <row r="161" spans="8:8" x14ac:dyDescent="0.2">
      <c r="H161" s="1460">
        <f>H146+H160</f>
        <v>1112945.906</v>
      </c>
    </row>
  </sheetData>
  <mergeCells count="45">
    <mergeCell ref="B145:C145"/>
    <mergeCell ref="B146:C146"/>
    <mergeCell ref="B137:C137"/>
    <mergeCell ref="B138:C138"/>
    <mergeCell ref="A139:H139"/>
    <mergeCell ref="B141:C141"/>
    <mergeCell ref="B142:C142"/>
    <mergeCell ref="A143:H143"/>
    <mergeCell ref="A127:H127"/>
    <mergeCell ref="A92:H92"/>
    <mergeCell ref="B101:C101"/>
    <mergeCell ref="B102:C102"/>
    <mergeCell ref="A103:H103"/>
    <mergeCell ref="B105:C105"/>
    <mergeCell ref="B106:C106"/>
    <mergeCell ref="A107:H107"/>
    <mergeCell ref="B122:C122"/>
    <mergeCell ref="B123:C123"/>
    <mergeCell ref="A124:H124"/>
    <mergeCell ref="B126:C126"/>
    <mergeCell ref="I68:M68"/>
    <mergeCell ref="B74:C74"/>
    <mergeCell ref="A75:H75"/>
    <mergeCell ref="B82:C82"/>
    <mergeCell ref="A83:H83"/>
    <mergeCell ref="B91:C91"/>
    <mergeCell ref="B32:C32"/>
    <mergeCell ref="A33:H33"/>
    <mergeCell ref="B42:C42"/>
    <mergeCell ref="A43:H43"/>
    <mergeCell ref="B66:C66"/>
    <mergeCell ref="A67:H67"/>
    <mergeCell ref="A22:H22"/>
    <mergeCell ref="C2:G2"/>
    <mergeCell ref="C7:G7"/>
    <mergeCell ref="C14:G14"/>
    <mergeCell ref="A17:A20"/>
    <mergeCell ref="B17:B20"/>
    <mergeCell ref="C17:C20"/>
    <mergeCell ref="D17:G17"/>
    <mergeCell ref="H17:H20"/>
    <mergeCell ref="D18:D20"/>
    <mergeCell ref="E18:E20"/>
    <mergeCell ref="F18:F20"/>
    <mergeCell ref="G18:G20"/>
  </mergeCells>
  <pageMargins left="0.42" right="0.25" top="0.5" bottom="0.52" header="0.3" footer="0.3"/>
  <pageSetup paperSize="9" fitToHeight="10000" orientation="landscape" r:id="rId1"/>
  <headerFooter alignWithMargins="0">
    <oddHeader>&amp;LГРАНД-Смета 2021</oddHeader>
    <oddFooter>&amp;RСтраница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00B050"/>
    <pageSetUpPr autoPageBreaks="0" fitToPage="1"/>
  </sheetPr>
  <dimension ref="A1:O162"/>
  <sheetViews>
    <sheetView showGridLines="0" topLeftCell="B133" zoomScale="130" zoomScaleNormal="130" workbookViewId="0">
      <selection activeCell="C71" sqref="C71"/>
    </sheetView>
  </sheetViews>
  <sheetFormatPr defaultColWidth="9.140625" defaultRowHeight="12.75" outlineLevelRow="1" x14ac:dyDescent="0.2"/>
  <cols>
    <col min="1" max="1" width="5" style="462" customWidth="1"/>
    <col min="2" max="2" width="20" style="453" customWidth="1"/>
    <col min="3" max="3" width="44.5703125" style="453" customWidth="1"/>
    <col min="4" max="4" width="13.85546875" style="458" customWidth="1"/>
    <col min="5" max="5" width="13" style="458" customWidth="1"/>
    <col min="6" max="6" width="13.42578125" style="458" customWidth="1"/>
    <col min="7" max="7" width="12.5703125" style="458" customWidth="1"/>
    <col min="8" max="8" width="16.85546875" style="458" customWidth="1"/>
    <col min="9" max="9" width="11.42578125" style="456" customWidth="1"/>
    <col min="10" max="10" width="12.28515625" style="456" customWidth="1"/>
    <col min="11" max="11" width="13" style="456" customWidth="1"/>
    <col min="12" max="12" width="13.140625" style="456" customWidth="1"/>
    <col min="13" max="13" width="13.5703125" style="456" customWidth="1"/>
    <col min="14" max="14" width="9.5703125" style="456" bestFit="1" customWidth="1"/>
    <col min="15" max="16384" width="9.140625" style="456"/>
  </cols>
  <sheetData>
    <row r="1" spans="2:8" x14ac:dyDescent="0.2">
      <c r="D1" s="454"/>
      <c r="E1" s="454"/>
      <c r="F1" s="454"/>
      <c r="G1" s="454"/>
      <c r="H1" s="455" t="s">
        <v>6447</v>
      </c>
    </row>
    <row r="2" spans="2:8" x14ac:dyDescent="0.2">
      <c r="B2" s="453" t="s">
        <v>6448</v>
      </c>
      <c r="C2" s="1687" t="s">
        <v>5654</v>
      </c>
      <c r="D2" s="1688"/>
      <c r="E2" s="1688"/>
      <c r="F2" s="1688"/>
      <c r="G2" s="1688"/>
      <c r="H2" s="454"/>
    </row>
    <row r="3" spans="2:8" x14ac:dyDescent="0.2">
      <c r="C3" s="1188"/>
      <c r="D3" s="1189"/>
      <c r="E3" s="1189"/>
      <c r="F3" s="1189"/>
      <c r="G3" s="1189"/>
      <c r="H3" s="454"/>
    </row>
    <row r="4" spans="2:8" x14ac:dyDescent="0.2">
      <c r="B4" s="453" t="s">
        <v>6449</v>
      </c>
      <c r="D4" s="454"/>
      <c r="E4" s="457"/>
      <c r="F4" s="454"/>
      <c r="G4" s="454"/>
      <c r="H4" s="454"/>
    </row>
    <row r="5" spans="2:8" x14ac:dyDescent="0.2">
      <c r="D5" s="454"/>
      <c r="E5" s="457"/>
      <c r="F5" s="454"/>
      <c r="G5" s="454"/>
      <c r="H5" s="454"/>
    </row>
    <row r="6" spans="2:8" ht="15" x14ac:dyDescent="0.2">
      <c r="B6" s="453" t="s">
        <v>10141</v>
      </c>
      <c r="D6" s="1403"/>
      <c r="E6" s="457"/>
      <c r="F6" s="454"/>
      <c r="G6" s="454"/>
      <c r="H6" s="454"/>
    </row>
    <row r="7" spans="2:8" x14ac:dyDescent="0.2">
      <c r="C7" s="1689"/>
      <c r="D7" s="1690"/>
      <c r="E7" s="1690"/>
      <c r="F7" s="1690"/>
      <c r="G7" s="1690"/>
      <c r="H7" s="454"/>
    </row>
    <row r="8" spans="2:8" x14ac:dyDescent="0.2">
      <c r="D8" s="457" t="s">
        <v>6450</v>
      </c>
      <c r="F8" s="454"/>
      <c r="G8" s="454"/>
      <c r="H8" s="454"/>
    </row>
    <row r="9" spans="2:8" x14ac:dyDescent="0.2">
      <c r="D9" s="454"/>
      <c r="E9" s="457"/>
      <c r="F9" s="454"/>
      <c r="G9" s="454"/>
      <c r="H9" s="454"/>
    </row>
    <row r="10" spans="2:8" x14ac:dyDescent="0.2">
      <c r="B10" s="453" t="s">
        <v>6451</v>
      </c>
      <c r="H10" s="454"/>
    </row>
    <row r="11" spans="2:8" x14ac:dyDescent="0.2">
      <c r="G11" s="454"/>
      <c r="H11" s="454"/>
    </row>
    <row r="12" spans="2:8" x14ac:dyDescent="0.2">
      <c r="D12" s="459" t="s">
        <v>6452</v>
      </c>
      <c r="F12" s="454"/>
      <c r="G12" s="454"/>
      <c r="H12" s="454"/>
    </row>
    <row r="13" spans="2:8" x14ac:dyDescent="0.2">
      <c r="D13" s="460"/>
      <c r="F13" s="454"/>
      <c r="G13" s="454"/>
      <c r="H13" s="454"/>
    </row>
    <row r="14" spans="2:8" ht="33.75" customHeight="1" x14ac:dyDescent="0.2">
      <c r="C14" s="1691" t="s">
        <v>5885</v>
      </c>
      <c r="D14" s="1692"/>
      <c r="E14" s="1692"/>
      <c r="F14" s="1692"/>
      <c r="G14" s="1692"/>
      <c r="H14" s="454"/>
    </row>
    <row r="15" spans="2:8" ht="12.75" customHeight="1" x14ac:dyDescent="0.2">
      <c r="D15" s="461" t="s">
        <v>139</v>
      </c>
      <c r="F15" s="454"/>
      <c r="G15" s="454"/>
      <c r="H15" s="454"/>
    </row>
    <row r="16" spans="2:8" x14ac:dyDescent="0.2">
      <c r="B16" s="453" t="s">
        <v>9644</v>
      </c>
      <c r="D16" s="460"/>
      <c r="E16" s="454"/>
      <c r="F16" s="454"/>
      <c r="G16" s="454"/>
      <c r="H16" s="454"/>
    </row>
    <row r="17" spans="1:9" ht="35.25" customHeight="1" x14ac:dyDescent="0.2">
      <c r="A17" s="1693" t="s">
        <v>287</v>
      </c>
      <c r="B17" s="1694" t="s">
        <v>6454</v>
      </c>
      <c r="C17" s="1694" t="s">
        <v>6455</v>
      </c>
      <c r="D17" s="1695" t="s">
        <v>289</v>
      </c>
      <c r="E17" s="1695"/>
      <c r="F17" s="1695"/>
      <c r="G17" s="1695"/>
      <c r="H17" s="1752" t="s">
        <v>6456</v>
      </c>
    </row>
    <row r="18" spans="1:9" ht="12.75" customHeight="1" x14ac:dyDescent="0.2">
      <c r="A18" s="1693"/>
      <c r="B18" s="1694"/>
      <c r="C18" s="1694"/>
      <c r="D18" s="1693" t="s">
        <v>6457</v>
      </c>
      <c r="E18" s="1693" t="s">
        <v>140</v>
      </c>
      <c r="F18" s="1693" t="s">
        <v>6458</v>
      </c>
      <c r="G18" s="1693" t="s">
        <v>6459</v>
      </c>
      <c r="H18" s="1753"/>
    </row>
    <row r="19" spans="1:9" x14ac:dyDescent="0.2">
      <c r="A19" s="1693"/>
      <c r="B19" s="1694"/>
      <c r="C19" s="1694"/>
      <c r="D19" s="1693"/>
      <c r="E19" s="1693"/>
      <c r="F19" s="1693"/>
      <c r="G19" s="1693"/>
      <c r="H19" s="1753"/>
    </row>
    <row r="20" spans="1:9" x14ac:dyDescent="0.2">
      <c r="A20" s="1693"/>
      <c r="B20" s="1694"/>
      <c r="C20" s="1694"/>
      <c r="D20" s="1693"/>
      <c r="E20" s="1693"/>
      <c r="F20" s="1693"/>
      <c r="G20" s="1693"/>
      <c r="H20" s="1754"/>
    </row>
    <row r="21" spans="1:9" x14ac:dyDescent="0.2">
      <c r="A21" s="1102">
        <v>1</v>
      </c>
      <c r="B21" s="1103">
        <v>2</v>
      </c>
      <c r="C21" s="1103">
        <v>3</v>
      </c>
      <c r="D21" s="1102">
        <v>4</v>
      </c>
      <c r="E21" s="1102">
        <v>5</v>
      </c>
      <c r="F21" s="1102">
        <v>6</v>
      </c>
      <c r="G21" s="1102">
        <v>7</v>
      </c>
      <c r="H21" s="1102">
        <v>8</v>
      </c>
    </row>
    <row r="22" spans="1:9" x14ac:dyDescent="0.2">
      <c r="A22" s="1685" t="s">
        <v>6460</v>
      </c>
      <c r="B22" s="1686"/>
      <c r="C22" s="1686"/>
      <c r="D22" s="1686"/>
      <c r="E22" s="1686"/>
      <c r="F22" s="1686"/>
      <c r="G22" s="1686"/>
      <c r="H22" s="1686"/>
    </row>
    <row r="23" spans="1:9" x14ac:dyDescent="0.2">
      <c r="A23" s="463">
        <v>1</v>
      </c>
      <c r="B23" s="464" t="s">
        <v>6461</v>
      </c>
      <c r="C23" s="464" t="s">
        <v>18</v>
      </c>
      <c r="D23" s="465">
        <f>SUM(D24:D25)</f>
        <v>939.24</v>
      </c>
      <c r="E23" s="466"/>
      <c r="F23" s="466"/>
      <c r="G23" s="466"/>
      <c r="H23" s="465">
        <f>SUM(D23:G23)</f>
        <v>939.24</v>
      </c>
    </row>
    <row r="24" spans="1:9" s="1446" customFormat="1" hidden="1" outlineLevel="1" x14ac:dyDescent="0.2">
      <c r="A24" s="1441" t="s">
        <v>571</v>
      </c>
      <c r="B24" s="1442" t="s">
        <v>292</v>
      </c>
      <c r="C24" s="1443" t="s">
        <v>14</v>
      </c>
      <c r="D24" s="1444">
        <v>225.33500000000001</v>
      </c>
      <c r="E24" s="1444"/>
      <c r="F24" s="1444"/>
      <c r="G24" s="1444"/>
      <c r="H24" s="1445">
        <f t="shared" ref="H24:H29" si="0">SUM(D24:G24)</f>
        <v>225.34</v>
      </c>
    </row>
    <row r="25" spans="1:9" s="1446" customFormat="1" hidden="1" outlineLevel="1" x14ac:dyDescent="0.2">
      <c r="A25" s="1441" t="s">
        <v>576</v>
      </c>
      <c r="B25" s="1442" t="s">
        <v>293</v>
      </c>
      <c r="C25" s="1443" t="s">
        <v>275</v>
      </c>
      <c r="D25" s="1444">
        <v>713.90200000000004</v>
      </c>
      <c r="E25" s="1444"/>
      <c r="F25" s="1444"/>
      <c r="G25" s="1444"/>
      <c r="H25" s="1445">
        <f t="shared" si="0"/>
        <v>713.9</v>
      </c>
    </row>
    <row r="26" spans="1:9" collapsed="1" x14ac:dyDescent="0.2">
      <c r="A26" s="463">
        <v>2</v>
      </c>
      <c r="B26" s="464" t="s">
        <v>6462</v>
      </c>
      <c r="C26" s="464" t="s">
        <v>17</v>
      </c>
      <c r="D26" s="465">
        <f>SUM(D27:D29)</f>
        <v>307.45</v>
      </c>
      <c r="E26" s="465">
        <f>SUM(E27:E29)</f>
        <v>6.39</v>
      </c>
      <c r="F26" s="466"/>
      <c r="G26" s="466"/>
      <c r="H26" s="465">
        <f>SUM(D26:G26)</f>
        <v>313.83999999999997</v>
      </c>
    </row>
    <row r="27" spans="1:9" hidden="1" outlineLevel="1" x14ac:dyDescent="0.2">
      <c r="A27" s="1450" t="s">
        <v>583</v>
      </c>
      <c r="B27" s="1447" t="s">
        <v>485</v>
      </c>
      <c r="C27" s="1448" t="s">
        <v>6721</v>
      </c>
      <c r="D27" s="1449">
        <v>279.74</v>
      </c>
      <c r="E27" s="1449"/>
      <c r="F27" s="1449"/>
      <c r="G27" s="1449"/>
      <c r="H27" s="1445">
        <f t="shared" si="0"/>
        <v>279.74</v>
      </c>
    </row>
    <row r="28" spans="1:9" hidden="1" outlineLevel="1" x14ac:dyDescent="0.2">
      <c r="A28" s="1450" t="s">
        <v>584</v>
      </c>
      <c r="B28" s="1447" t="s">
        <v>486</v>
      </c>
      <c r="C28" s="1448" t="s">
        <v>6722</v>
      </c>
      <c r="D28" s="1449">
        <v>17.18</v>
      </c>
      <c r="E28" s="1449"/>
      <c r="F28" s="1449"/>
      <c r="G28" s="1449"/>
      <c r="H28" s="1445">
        <f t="shared" si="0"/>
        <v>17.18</v>
      </c>
    </row>
    <row r="29" spans="1:9" hidden="1" outlineLevel="1" x14ac:dyDescent="0.2">
      <c r="A29" s="1450" t="s">
        <v>585</v>
      </c>
      <c r="B29" s="1447" t="s">
        <v>6723</v>
      </c>
      <c r="C29" s="1448" t="s">
        <v>6724</v>
      </c>
      <c r="D29" s="1449">
        <v>10.53</v>
      </c>
      <c r="E29" s="1449">
        <v>6.39</v>
      </c>
      <c r="F29" s="1449"/>
      <c r="G29" s="1449"/>
      <c r="H29" s="1445">
        <f t="shared" si="0"/>
        <v>16.920000000000002</v>
      </c>
    </row>
    <row r="30" spans="1:9" ht="25.5" collapsed="1" x14ac:dyDescent="0.2">
      <c r="A30" s="463">
        <v>3</v>
      </c>
      <c r="B30" s="464" t="s">
        <v>7079</v>
      </c>
      <c r="C30" s="464" t="s">
        <v>7075</v>
      </c>
      <c r="D30" s="465">
        <v>1431.38</v>
      </c>
      <c r="E30" s="466">
        <v>3.21</v>
      </c>
      <c r="F30" s="466"/>
      <c r="G30" s="532"/>
      <c r="H30" s="465">
        <f>SUM(D30:G30)</f>
        <v>1434.59</v>
      </c>
    </row>
    <row r="31" spans="1:9" x14ac:dyDescent="0.2">
      <c r="A31" s="463">
        <v>4</v>
      </c>
      <c r="B31" s="464" t="s">
        <v>6463</v>
      </c>
      <c r="C31" s="464" t="s">
        <v>6531</v>
      </c>
      <c r="D31" s="466"/>
      <c r="E31" s="466"/>
      <c r="F31" s="466"/>
      <c r="G31" s="1093">
        <v>149.44999999999999</v>
      </c>
      <c r="H31" s="466">
        <f>SUM(D31:G31)</f>
        <v>149.44999999999999</v>
      </c>
      <c r="I31" s="1410"/>
    </row>
    <row r="32" spans="1:9" ht="44.1" customHeight="1" x14ac:dyDescent="0.2">
      <c r="A32" s="467"/>
      <c r="B32" s="1696" t="s">
        <v>6464</v>
      </c>
      <c r="C32" s="1697"/>
      <c r="D32" s="468">
        <f>D23+D26+D30+D31</f>
        <v>2678.07</v>
      </c>
      <c r="E32" s="468">
        <f t="shared" ref="E32:H32" si="1">E23+E26+E30+E31</f>
        <v>9.6</v>
      </c>
      <c r="F32" s="468">
        <f t="shared" si="1"/>
        <v>0</v>
      </c>
      <c r="G32" s="468">
        <f t="shared" si="1"/>
        <v>149.44999999999999</v>
      </c>
      <c r="H32" s="468">
        <f t="shared" si="1"/>
        <v>2837.12</v>
      </c>
    </row>
    <row r="33" spans="1:9" x14ac:dyDescent="0.2">
      <c r="A33" s="1685" t="s">
        <v>6465</v>
      </c>
      <c r="B33" s="1686"/>
      <c r="C33" s="1686"/>
      <c r="D33" s="1686"/>
      <c r="E33" s="1686"/>
      <c r="F33" s="1686"/>
      <c r="G33" s="1686"/>
      <c r="H33" s="1686"/>
    </row>
    <row r="34" spans="1:9" ht="25.5" x14ac:dyDescent="0.2">
      <c r="A34" s="463">
        <v>5</v>
      </c>
      <c r="B34" s="464" t="s">
        <v>6466</v>
      </c>
      <c r="C34" s="464" t="s">
        <v>19</v>
      </c>
      <c r="D34" s="465">
        <f>SUM(D35:D41)</f>
        <v>115418.22</v>
      </c>
      <c r="E34" s="465">
        <f t="shared" ref="E34:F34" si="2">SUM(E35:E41)</f>
        <v>1060.6099999999999</v>
      </c>
      <c r="F34" s="465">
        <f t="shared" si="2"/>
        <v>12900.93</v>
      </c>
      <c r="G34" s="466"/>
      <c r="H34" s="465">
        <f>SUM(D34:G34)</f>
        <v>129379.76</v>
      </c>
      <c r="I34" s="456" t="s">
        <v>9638</v>
      </c>
    </row>
    <row r="35" spans="1:9" ht="25.5" hidden="1" outlineLevel="1" x14ac:dyDescent="0.2">
      <c r="A35" s="1450" t="s">
        <v>10145</v>
      </c>
      <c r="B35" s="1447" t="s">
        <v>597</v>
      </c>
      <c r="C35" s="1448" t="s">
        <v>598</v>
      </c>
      <c r="D35" s="1449">
        <v>215.83</v>
      </c>
      <c r="E35" s="1449">
        <v>160.97</v>
      </c>
      <c r="F35" s="1449">
        <v>10666.42</v>
      </c>
      <c r="G35" s="1449"/>
      <c r="H35" s="1445">
        <f t="shared" ref="H35:H41" si="3">SUM(D35:G35)</f>
        <v>11043.22</v>
      </c>
    </row>
    <row r="36" spans="1:9" hidden="1" outlineLevel="1" x14ac:dyDescent="0.2">
      <c r="A36" s="1450" t="s">
        <v>10146</v>
      </c>
      <c r="B36" s="1447" t="s">
        <v>599</v>
      </c>
      <c r="C36" s="1448" t="s">
        <v>600</v>
      </c>
      <c r="D36" s="1449">
        <v>6.35</v>
      </c>
      <c r="E36" s="1449">
        <v>1.06</v>
      </c>
      <c r="F36" s="1449">
        <v>502.69</v>
      </c>
      <c r="G36" s="1449"/>
      <c r="H36" s="1445">
        <f t="shared" si="3"/>
        <v>510.1</v>
      </c>
    </row>
    <row r="37" spans="1:9" ht="25.5" hidden="1" outlineLevel="1" x14ac:dyDescent="0.2">
      <c r="A37" s="1450" t="s">
        <v>10147</v>
      </c>
      <c r="B37" s="1447" t="s">
        <v>601</v>
      </c>
      <c r="C37" s="1448" t="s">
        <v>602</v>
      </c>
      <c r="D37" s="1449">
        <v>70502.95</v>
      </c>
      <c r="E37" s="1449"/>
      <c r="F37" s="1449"/>
      <c r="G37" s="1449"/>
      <c r="H37" s="1445">
        <f t="shared" si="3"/>
        <v>70502.95</v>
      </c>
    </row>
    <row r="38" spans="1:9" hidden="1" outlineLevel="1" x14ac:dyDescent="0.2">
      <c r="A38" s="1450" t="s">
        <v>10148</v>
      </c>
      <c r="B38" s="1447" t="s">
        <v>603</v>
      </c>
      <c r="C38" s="1448" t="s">
        <v>604</v>
      </c>
      <c r="D38" s="1449">
        <v>427.45</v>
      </c>
      <c r="E38" s="1449"/>
      <c r="F38" s="1449"/>
      <c r="G38" s="1449"/>
      <c r="H38" s="1445">
        <f t="shared" si="3"/>
        <v>427.45</v>
      </c>
    </row>
    <row r="39" spans="1:9" hidden="1" outlineLevel="1" x14ac:dyDescent="0.2">
      <c r="A39" s="1450" t="s">
        <v>10149</v>
      </c>
      <c r="B39" s="1447" t="s">
        <v>605</v>
      </c>
      <c r="C39" s="1448" t="s">
        <v>606</v>
      </c>
      <c r="D39" s="1449">
        <v>280.36</v>
      </c>
      <c r="E39" s="1449"/>
      <c r="F39" s="1449"/>
      <c r="G39" s="1449"/>
      <c r="H39" s="1445">
        <f t="shared" si="3"/>
        <v>280.36</v>
      </c>
    </row>
    <row r="40" spans="1:9" hidden="1" outlineLevel="1" x14ac:dyDescent="0.2">
      <c r="A40" s="1450" t="s">
        <v>10150</v>
      </c>
      <c r="B40" s="1447" t="s">
        <v>607</v>
      </c>
      <c r="C40" s="1448" t="s">
        <v>9239</v>
      </c>
      <c r="D40" s="1449">
        <v>43985.279999999999</v>
      </c>
      <c r="E40" s="1449"/>
      <c r="F40" s="1449"/>
      <c r="G40" s="1449"/>
      <c r="H40" s="1445">
        <f t="shared" si="3"/>
        <v>43985.279999999999</v>
      </c>
    </row>
    <row r="41" spans="1:9" hidden="1" outlineLevel="1" x14ac:dyDescent="0.2">
      <c r="A41" s="1450" t="s">
        <v>10151</v>
      </c>
      <c r="B41" s="1447" t="s">
        <v>608</v>
      </c>
      <c r="C41" s="1448" t="s">
        <v>609</v>
      </c>
      <c r="D41" s="1449"/>
      <c r="E41" s="1449">
        <v>898.58</v>
      </c>
      <c r="F41" s="1449">
        <v>1731.82</v>
      </c>
      <c r="G41" s="1449"/>
      <c r="H41" s="1445">
        <f t="shared" si="3"/>
        <v>2630.4</v>
      </c>
    </row>
    <row r="42" spans="1:9" ht="44.1" customHeight="1" collapsed="1" x14ac:dyDescent="0.2">
      <c r="A42" s="467"/>
      <c r="B42" s="1696" t="s">
        <v>6467</v>
      </c>
      <c r="C42" s="1697"/>
      <c r="D42" s="468">
        <f>D34</f>
        <v>115418.22</v>
      </c>
      <c r="E42" s="468">
        <f>E34</f>
        <v>1060.6099999999999</v>
      </c>
      <c r="F42" s="468">
        <f>F34</f>
        <v>12900.93</v>
      </c>
      <c r="G42" s="468">
        <f>G34</f>
        <v>0</v>
      </c>
      <c r="H42" s="468">
        <f>SUM(H34)</f>
        <v>129379.76</v>
      </c>
    </row>
    <row r="43" spans="1:9" x14ac:dyDescent="0.2">
      <c r="A43" s="1685" t="s">
        <v>6468</v>
      </c>
      <c r="B43" s="1686"/>
      <c r="C43" s="1686"/>
      <c r="D43" s="1686"/>
      <c r="E43" s="1686"/>
      <c r="F43" s="1686"/>
      <c r="G43" s="1686"/>
      <c r="H43" s="1686"/>
    </row>
    <row r="44" spans="1:9" x14ac:dyDescent="0.2">
      <c r="A44" s="463">
        <v>6</v>
      </c>
      <c r="B44" s="464" t="s">
        <v>6469</v>
      </c>
      <c r="C44" s="464" t="s">
        <v>31</v>
      </c>
      <c r="D44" s="465">
        <f>SUM(D45:D56)</f>
        <v>6547.52</v>
      </c>
      <c r="E44" s="465">
        <f t="shared" ref="E44:F44" si="4">SUM(E45:E56)</f>
        <v>2171.39</v>
      </c>
      <c r="F44" s="465">
        <f t="shared" si="4"/>
        <v>10884.95</v>
      </c>
      <c r="G44" s="466"/>
      <c r="H44" s="465">
        <f>SUM(D44:G44)</f>
        <v>19603.86</v>
      </c>
    </row>
    <row r="45" spans="1:9" hidden="1" outlineLevel="1" x14ac:dyDescent="0.2">
      <c r="A45" s="1450" t="s">
        <v>10152</v>
      </c>
      <c r="B45" s="1447" t="s">
        <v>1808</v>
      </c>
      <c r="C45" s="1448" t="s">
        <v>33</v>
      </c>
      <c r="D45" s="1449">
        <v>2239.38</v>
      </c>
      <c r="E45" s="1449">
        <v>343.43</v>
      </c>
      <c r="F45" s="1449">
        <v>3571.69</v>
      </c>
      <c r="G45" s="1449"/>
      <c r="H45" s="1445">
        <f t="shared" ref="H45:H64" si="5">SUM(D45:G45)</f>
        <v>6154.5</v>
      </c>
    </row>
    <row r="46" spans="1:9" hidden="1" outlineLevel="1" x14ac:dyDescent="0.2">
      <c r="A46" s="1450" t="s">
        <v>10153</v>
      </c>
      <c r="B46" s="1447" t="s">
        <v>1809</v>
      </c>
      <c r="C46" s="1448" t="s">
        <v>1810</v>
      </c>
      <c r="D46" s="1449">
        <v>3417.38</v>
      </c>
      <c r="E46" s="1449"/>
      <c r="F46" s="1449"/>
      <c r="G46" s="1449"/>
      <c r="H46" s="1445">
        <f t="shared" si="5"/>
        <v>3417.38</v>
      </c>
    </row>
    <row r="47" spans="1:9" hidden="1" outlineLevel="1" x14ac:dyDescent="0.2">
      <c r="A47" s="1450" t="s">
        <v>10154</v>
      </c>
      <c r="B47" s="1447" t="s">
        <v>1811</v>
      </c>
      <c r="C47" s="1448" t="s">
        <v>609</v>
      </c>
      <c r="D47" s="1449">
        <v>19.71</v>
      </c>
      <c r="E47" s="1449">
        <v>804.11</v>
      </c>
      <c r="F47" s="1449">
        <v>440.77</v>
      </c>
      <c r="G47" s="1449"/>
      <c r="H47" s="1445">
        <f t="shared" si="5"/>
        <v>1264.5899999999999</v>
      </c>
    </row>
    <row r="48" spans="1:9" hidden="1" outlineLevel="1" x14ac:dyDescent="0.2">
      <c r="A48" s="1450" t="s">
        <v>10155</v>
      </c>
      <c r="B48" s="1447" t="s">
        <v>1812</v>
      </c>
      <c r="C48" s="1448" t="s">
        <v>38</v>
      </c>
      <c r="D48" s="1449">
        <v>161.41999999999999</v>
      </c>
      <c r="E48" s="1449"/>
      <c r="F48" s="1449">
        <v>15.83</v>
      </c>
      <c r="G48" s="1449"/>
      <c r="H48" s="1445">
        <f t="shared" si="5"/>
        <v>177.25</v>
      </c>
    </row>
    <row r="49" spans="1:8" hidden="1" outlineLevel="1" x14ac:dyDescent="0.2">
      <c r="A49" s="1450" t="s">
        <v>10156</v>
      </c>
      <c r="B49" s="1447" t="s">
        <v>1813</v>
      </c>
      <c r="C49" s="1448" t="s">
        <v>40</v>
      </c>
      <c r="D49" s="1449">
        <v>63.65</v>
      </c>
      <c r="E49" s="1449"/>
      <c r="F49" s="1449"/>
      <c r="G49" s="1449"/>
      <c r="H49" s="1445">
        <f t="shared" si="5"/>
        <v>63.65</v>
      </c>
    </row>
    <row r="50" spans="1:8" ht="25.5" hidden="1" outlineLevel="1" x14ac:dyDescent="0.2">
      <c r="A50" s="1450" t="s">
        <v>10157</v>
      </c>
      <c r="B50" s="1447" t="s">
        <v>1814</v>
      </c>
      <c r="C50" s="1448" t="s">
        <v>42</v>
      </c>
      <c r="D50" s="1449">
        <v>636.92999999999995</v>
      </c>
      <c r="E50" s="1449">
        <v>6.26</v>
      </c>
      <c r="F50" s="1449">
        <v>387.82</v>
      </c>
      <c r="G50" s="1449"/>
      <c r="H50" s="1445">
        <f t="shared" si="5"/>
        <v>1031.01</v>
      </c>
    </row>
    <row r="51" spans="1:8" ht="25.5" hidden="1" outlineLevel="1" x14ac:dyDescent="0.2">
      <c r="A51" s="1450" t="s">
        <v>10158</v>
      </c>
      <c r="B51" s="1447" t="s">
        <v>1815</v>
      </c>
      <c r="C51" s="1448" t="s">
        <v>3063</v>
      </c>
      <c r="D51" s="1449"/>
      <c r="E51" s="1449">
        <v>31.11</v>
      </c>
      <c r="F51" s="1449">
        <v>18.940000000000001</v>
      </c>
      <c r="G51" s="1449"/>
      <c r="H51" s="1445">
        <f t="shared" si="5"/>
        <v>50.05</v>
      </c>
    </row>
    <row r="52" spans="1:8" hidden="1" outlineLevel="1" x14ac:dyDescent="0.2">
      <c r="A52" s="1450" t="s">
        <v>10159</v>
      </c>
      <c r="B52" s="1447" t="s">
        <v>1816</v>
      </c>
      <c r="C52" s="1448" t="s">
        <v>3120</v>
      </c>
      <c r="D52" s="1449"/>
      <c r="E52" s="1449">
        <v>39.659999999999997</v>
      </c>
      <c r="F52" s="1449">
        <v>157.66999999999999</v>
      </c>
      <c r="G52" s="1449"/>
      <c r="H52" s="1445">
        <f t="shared" si="5"/>
        <v>197.33</v>
      </c>
    </row>
    <row r="53" spans="1:8" hidden="1" outlineLevel="1" x14ac:dyDescent="0.2">
      <c r="A53" s="1450" t="s">
        <v>10160</v>
      </c>
      <c r="B53" s="1447" t="s">
        <v>1817</v>
      </c>
      <c r="C53" s="1448" t="s">
        <v>48</v>
      </c>
      <c r="D53" s="1449">
        <v>9.0500000000000007</v>
      </c>
      <c r="E53" s="1449">
        <v>35.85</v>
      </c>
      <c r="F53" s="1449">
        <v>61.45</v>
      </c>
      <c r="G53" s="1449"/>
      <c r="H53" s="1445">
        <f t="shared" si="5"/>
        <v>106.35</v>
      </c>
    </row>
    <row r="54" spans="1:8" hidden="1" outlineLevel="1" x14ac:dyDescent="0.2">
      <c r="A54" s="1450" t="s">
        <v>10161</v>
      </c>
      <c r="B54" s="1447" t="s">
        <v>1818</v>
      </c>
      <c r="C54" s="1448" t="s">
        <v>50</v>
      </c>
      <c r="D54" s="1449"/>
      <c r="E54" s="1449">
        <v>35.32</v>
      </c>
      <c r="F54" s="1449">
        <v>203.63</v>
      </c>
      <c r="G54" s="1449"/>
      <c r="H54" s="1445">
        <f t="shared" si="5"/>
        <v>238.95</v>
      </c>
    </row>
    <row r="55" spans="1:8" hidden="1" outlineLevel="1" x14ac:dyDescent="0.2">
      <c r="A55" s="1450" t="s">
        <v>10162</v>
      </c>
      <c r="B55" s="1447" t="s">
        <v>1819</v>
      </c>
      <c r="C55" s="1448" t="s">
        <v>52</v>
      </c>
      <c r="D55" s="1449"/>
      <c r="E55" s="1449">
        <v>598.66</v>
      </c>
      <c r="F55" s="1449">
        <v>4432.7299999999996</v>
      </c>
      <c r="G55" s="1449"/>
      <c r="H55" s="1445">
        <f t="shared" si="5"/>
        <v>5031.3900000000003</v>
      </c>
    </row>
    <row r="56" spans="1:8" hidden="1" outlineLevel="1" x14ac:dyDescent="0.2">
      <c r="A56" s="1450" t="s">
        <v>10163</v>
      </c>
      <c r="B56" s="1447" t="s">
        <v>1820</v>
      </c>
      <c r="C56" s="1448" t="s">
        <v>1821</v>
      </c>
      <c r="D56" s="1449"/>
      <c r="E56" s="1449">
        <v>276.99</v>
      </c>
      <c r="F56" s="1449">
        <v>1594.42</v>
      </c>
      <c r="G56" s="1449"/>
      <c r="H56" s="1445">
        <f t="shared" si="5"/>
        <v>1871.41</v>
      </c>
    </row>
    <row r="57" spans="1:8" collapsed="1" x14ac:dyDescent="0.2">
      <c r="A57" s="463">
        <v>7</v>
      </c>
      <c r="B57" s="464" t="s">
        <v>6470</v>
      </c>
      <c r="C57" s="464" t="s">
        <v>55</v>
      </c>
      <c r="D57" s="465">
        <f>SUM(D58:D60)</f>
        <v>3171.98</v>
      </c>
      <c r="E57" s="465">
        <f t="shared" ref="E57:F57" si="6">SUM(E58:E60)</f>
        <v>486.81</v>
      </c>
      <c r="F57" s="465">
        <f t="shared" si="6"/>
        <v>398.96</v>
      </c>
      <c r="G57" s="466"/>
      <c r="H57" s="465">
        <f>SUM(D57:G57)</f>
        <v>4057.75</v>
      </c>
    </row>
    <row r="58" spans="1:8" hidden="1" outlineLevel="1" x14ac:dyDescent="0.2">
      <c r="A58" s="1450" t="s">
        <v>10164</v>
      </c>
      <c r="B58" s="1447" t="s">
        <v>3181</v>
      </c>
      <c r="C58" s="1448" t="s">
        <v>604</v>
      </c>
      <c r="D58" s="1449">
        <v>1197.69</v>
      </c>
      <c r="E58" s="1449"/>
      <c r="F58" s="1449"/>
      <c r="G58" s="1449"/>
      <c r="H58" s="1445">
        <f t="shared" si="5"/>
        <v>1197.69</v>
      </c>
    </row>
    <row r="59" spans="1:8" hidden="1" outlineLevel="1" x14ac:dyDescent="0.2">
      <c r="A59" s="1450" t="s">
        <v>10165</v>
      </c>
      <c r="B59" s="1447" t="s">
        <v>3182</v>
      </c>
      <c r="C59" s="1448" t="s">
        <v>606</v>
      </c>
      <c r="D59" s="1449">
        <v>1957.4</v>
      </c>
      <c r="E59" s="1449"/>
      <c r="F59" s="1449"/>
      <c r="G59" s="1449"/>
      <c r="H59" s="1445">
        <f t="shared" si="5"/>
        <v>1957.4</v>
      </c>
    </row>
    <row r="60" spans="1:8" hidden="1" outlineLevel="1" x14ac:dyDescent="0.2">
      <c r="A60" s="1450" t="s">
        <v>10166</v>
      </c>
      <c r="B60" s="1447" t="s">
        <v>3183</v>
      </c>
      <c r="C60" s="1448" t="s">
        <v>609</v>
      </c>
      <c r="D60" s="1449">
        <v>16.89</v>
      </c>
      <c r="E60" s="1449">
        <v>486.81</v>
      </c>
      <c r="F60" s="1449">
        <v>398.96</v>
      </c>
      <c r="G60" s="1449"/>
      <c r="H60" s="1445">
        <f t="shared" si="5"/>
        <v>902.66</v>
      </c>
    </row>
    <row r="61" spans="1:8" collapsed="1" x14ac:dyDescent="0.2">
      <c r="A61" s="463">
        <v>8</v>
      </c>
      <c r="B61" s="464" t="s">
        <v>6471</v>
      </c>
      <c r="C61" s="464" t="s">
        <v>61</v>
      </c>
      <c r="D61" s="465">
        <f>SUM(D62:D64)</f>
        <v>1048.6300000000001</v>
      </c>
      <c r="E61" s="465">
        <f t="shared" ref="E61:F61" si="7">SUM(E62:E64)</f>
        <v>414.71</v>
      </c>
      <c r="F61" s="465">
        <f t="shared" si="7"/>
        <v>2859.2</v>
      </c>
      <c r="G61" s="466"/>
      <c r="H61" s="465">
        <f>SUM(D61:G61)</f>
        <v>4322.54</v>
      </c>
    </row>
    <row r="62" spans="1:8" hidden="1" outlineLevel="1" x14ac:dyDescent="0.2">
      <c r="A62" s="1450" t="s">
        <v>10167</v>
      </c>
      <c r="B62" s="1447" t="s">
        <v>3393</v>
      </c>
      <c r="C62" s="1448" t="s">
        <v>604</v>
      </c>
      <c r="D62" s="1449">
        <v>699.37</v>
      </c>
      <c r="E62" s="1449">
        <v>118.45</v>
      </c>
      <c r="F62" s="1449">
        <v>2517.1799999999998</v>
      </c>
      <c r="G62" s="1449"/>
      <c r="H62" s="1445">
        <f t="shared" si="5"/>
        <v>3335</v>
      </c>
    </row>
    <row r="63" spans="1:8" hidden="1" outlineLevel="1" x14ac:dyDescent="0.2">
      <c r="A63" s="1450" t="s">
        <v>10168</v>
      </c>
      <c r="B63" s="1447" t="s">
        <v>3394</v>
      </c>
      <c r="C63" s="1448" t="s">
        <v>606</v>
      </c>
      <c r="D63" s="1449">
        <v>333.78</v>
      </c>
      <c r="E63" s="1449"/>
      <c r="F63" s="1449"/>
      <c r="G63" s="1449"/>
      <c r="H63" s="1445">
        <f t="shared" si="5"/>
        <v>333.78</v>
      </c>
    </row>
    <row r="64" spans="1:8" hidden="1" outlineLevel="1" x14ac:dyDescent="0.2">
      <c r="A64" s="1450" t="s">
        <v>10169</v>
      </c>
      <c r="B64" s="1447" t="s">
        <v>3395</v>
      </c>
      <c r="C64" s="1448" t="s">
        <v>609</v>
      </c>
      <c r="D64" s="1449">
        <v>15.48</v>
      </c>
      <c r="E64" s="1449">
        <v>296.26</v>
      </c>
      <c r="F64" s="1449">
        <v>342.02</v>
      </c>
      <c r="G64" s="1449"/>
      <c r="H64" s="1445">
        <f t="shared" si="5"/>
        <v>653.76</v>
      </c>
    </row>
    <row r="65" spans="1:13" collapsed="1" x14ac:dyDescent="0.2">
      <c r="A65" s="463">
        <v>9</v>
      </c>
      <c r="B65" s="464" t="s">
        <v>6472</v>
      </c>
      <c r="C65" s="464" t="s">
        <v>3591</v>
      </c>
      <c r="D65" s="465">
        <v>339.23</v>
      </c>
      <c r="E65" s="466"/>
      <c r="F65" s="466"/>
      <c r="G65" s="466"/>
      <c r="H65" s="465">
        <f>SUM(D65:G65)</f>
        <v>339.23</v>
      </c>
    </row>
    <row r="66" spans="1:13" ht="44.1" customHeight="1" x14ac:dyDescent="0.2">
      <c r="A66" s="467"/>
      <c r="B66" s="1696" t="s">
        <v>6473</v>
      </c>
      <c r="C66" s="1697"/>
      <c r="D66" s="468">
        <f>D44+D57+D61+D65</f>
        <v>11107.36</v>
      </c>
      <c r="E66" s="468">
        <f>E44+E57+E61+E65</f>
        <v>3072.91</v>
      </c>
      <c r="F66" s="468">
        <f>F44+F57+F61+F65</f>
        <v>14143.11</v>
      </c>
      <c r="G66" s="468">
        <f>G44+G57+G61+G65</f>
        <v>0</v>
      </c>
      <c r="H66" s="468">
        <f>H44+H57+H61+H65</f>
        <v>28323.38</v>
      </c>
    </row>
    <row r="67" spans="1:13" x14ac:dyDescent="0.2">
      <c r="A67" s="1685" t="s">
        <v>6474</v>
      </c>
      <c r="B67" s="1686"/>
      <c r="C67" s="1686"/>
      <c r="D67" s="1686"/>
      <c r="E67" s="1686"/>
      <c r="F67" s="1686"/>
      <c r="G67" s="1686"/>
      <c r="H67" s="1686"/>
    </row>
    <row r="68" spans="1:13" x14ac:dyDescent="0.2">
      <c r="A68" s="463">
        <v>10</v>
      </c>
      <c r="B68" s="464" t="s">
        <v>6475</v>
      </c>
      <c r="C68" s="464" t="s">
        <v>6476</v>
      </c>
      <c r="D68" s="465">
        <f>SUM(D69:D70)</f>
        <v>794.5</v>
      </c>
      <c r="E68" s="465">
        <f t="shared" ref="E68:F68" si="8">SUM(E69:E70)</f>
        <v>397.37</v>
      </c>
      <c r="F68" s="465">
        <f t="shared" si="8"/>
        <v>7021.78</v>
      </c>
      <c r="G68" s="466"/>
      <c r="H68" s="465">
        <f>SUM(D68:G68)</f>
        <v>8213.65</v>
      </c>
      <c r="I68" s="1755" t="s">
        <v>10144</v>
      </c>
      <c r="J68" s="1756"/>
      <c r="K68" s="1756"/>
      <c r="L68" s="1756"/>
      <c r="M68" s="1757"/>
    </row>
    <row r="69" spans="1:13" hidden="1" outlineLevel="1" x14ac:dyDescent="0.2">
      <c r="A69" s="1450" t="s">
        <v>10170</v>
      </c>
      <c r="B69" s="1447" t="s">
        <v>3680</v>
      </c>
      <c r="C69" s="1448" t="s">
        <v>3681</v>
      </c>
      <c r="D69" s="1449">
        <v>737.28</v>
      </c>
      <c r="E69" s="1449">
        <v>397.37</v>
      </c>
      <c r="F69" s="1449">
        <v>7021.78</v>
      </c>
      <c r="G69" s="1449"/>
      <c r="H69" s="1445">
        <f t="shared" ref="H69:H73" si="9">SUM(D69:G69)</f>
        <v>8156.43</v>
      </c>
      <c r="I69" s="1425"/>
      <c r="J69" s="1426"/>
      <c r="K69" s="1426"/>
      <c r="L69" s="1426"/>
      <c r="M69" s="1451"/>
    </row>
    <row r="70" spans="1:13" hidden="1" outlineLevel="1" x14ac:dyDescent="0.2">
      <c r="A70" s="1450" t="s">
        <v>10171</v>
      </c>
      <c r="B70" s="1447" t="s">
        <v>3682</v>
      </c>
      <c r="C70" s="1448" t="s">
        <v>606</v>
      </c>
      <c r="D70" s="1449">
        <v>57.22</v>
      </c>
      <c r="E70" s="1449"/>
      <c r="F70" s="1449"/>
      <c r="G70" s="1449"/>
      <c r="H70" s="1445">
        <f t="shared" si="9"/>
        <v>57.22</v>
      </c>
      <c r="I70" s="1425"/>
      <c r="J70" s="1426"/>
      <c r="K70" s="1426"/>
      <c r="L70" s="1426"/>
      <c r="M70" s="1451"/>
    </row>
    <row r="71" spans="1:13" collapsed="1" x14ac:dyDescent="0.2">
      <c r="A71" s="1404">
        <v>11</v>
      </c>
      <c r="B71" s="1408" t="s">
        <v>8093</v>
      </c>
      <c r="C71" s="1405" t="s">
        <v>8094</v>
      </c>
      <c r="D71" s="1409">
        <f>SUM(D72:D73)</f>
        <v>131.88999999999999</v>
      </c>
      <c r="E71" s="1409">
        <f t="shared" ref="E71:F71" si="10">SUM(E72:E73)</f>
        <v>12649.77</v>
      </c>
      <c r="F71" s="1409">
        <f t="shared" si="10"/>
        <v>35619.54</v>
      </c>
      <c r="G71" s="1406"/>
      <c r="H71" s="1407">
        <f>SUM(D71:G71)</f>
        <v>48401.2</v>
      </c>
      <c r="I71" s="1411">
        <v>131.88999999999999</v>
      </c>
      <c r="J71" s="1411">
        <v>12649.77</v>
      </c>
      <c r="K71" s="1412">
        <v>35619.54</v>
      </c>
      <c r="L71" s="1413"/>
      <c r="M71" s="1412">
        <f>SUM(I71:L71)</f>
        <v>48401.2</v>
      </c>
    </row>
    <row r="72" spans="1:13" hidden="1" outlineLevel="1" x14ac:dyDescent="0.2">
      <c r="A72" s="1450" t="s">
        <v>10172</v>
      </c>
      <c r="B72" s="1447" t="s">
        <v>8583</v>
      </c>
      <c r="C72" s="1448" t="s">
        <v>8584</v>
      </c>
      <c r="D72" s="1449">
        <v>80.13</v>
      </c>
      <c r="E72" s="1449"/>
      <c r="F72" s="1449"/>
      <c r="G72" s="1449"/>
      <c r="H72" s="1445">
        <f t="shared" si="9"/>
        <v>80.13</v>
      </c>
      <c r="I72" s="1411"/>
      <c r="J72" s="1411"/>
      <c r="K72" s="1412"/>
      <c r="L72" s="1413"/>
      <c r="M72" s="1412"/>
    </row>
    <row r="73" spans="1:13" hidden="1" outlineLevel="1" x14ac:dyDescent="0.2">
      <c r="A73" s="1450" t="s">
        <v>10173</v>
      </c>
      <c r="B73" s="1447" t="s">
        <v>8585</v>
      </c>
      <c r="C73" s="1448" t="s">
        <v>8586</v>
      </c>
      <c r="D73" s="1449">
        <v>51.76</v>
      </c>
      <c r="E73" s="1449">
        <v>12649.77</v>
      </c>
      <c r="F73" s="1449">
        <v>35619.54</v>
      </c>
      <c r="G73" s="1449"/>
      <c r="H73" s="1445">
        <f t="shared" si="9"/>
        <v>48321.07</v>
      </c>
      <c r="I73" s="1411"/>
      <c r="J73" s="1411"/>
      <c r="K73" s="1412"/>
      <c r="L73" s="1413"/>
      <c r="M73" s="1412"/>
    </row>
    <row r="74" spans="1:13" ht="44.1" customHeight="1" collapsed="1" x14ac:dyDescent="0.2">
      <c r="A74" s="467"/>
      <c r="B74" s="1696" t="s">
        <v>6477</v>
      </c>
      <c r="C74" s="1697"/>
      <c r="D74" s="468">
        <f>D68+D71</f>
        <v>926.39</v>
      </c>
      <c r="E74" s="468">
        <f>E68+E71</f>
        <v>13047.14</v>
      </c>
      <c r="F74" s="468">
        <f>F68+F71</f>
        <v>42641.32</v>
      </c>
      <c r="G74" s="468">
        <f>G68+G71</f>
        <v>0</v>
      </c>
      <c r="H74" s="468">
        <f>H68+H71</f>
        <v>56614.85</v>
      </c>
      <c r="I74" s="1414">
        <f>SUM(I68:I71)</f>
        <v>131.88999999999999</v>
      </c>
      <c r="J74" s="1414">
        <f>SUM(J68:J71)</f>
        <v>12649.77</v>
      </c>
      <c r="K74" s="1414">
        <f>SUM(K68:K71)</f>
        <v>35619.54</v>
      </c>
      <c r="L74" s="1414">
        <f>SUM(L68:L71)</f>
        <v>0</v>
      </c>
      <c r="M74" s="1412">
        <f>SUM(I74:L74)</f>
        <v>48401.2</v>
      </c>
    </row>
    <row r="75" spans="1:13" x14ac:dyDescent="0.2">
      <c r="A75" s="1685" t="s">
        <v>6478</v>
      </c>
      <c r="B75" s="1686"/>
      <c r="C75" s="1686"/>
      <c r="D75" s="1686"/>
      <c r="E75" s="1686"/>
      <c r="F75" s="1686"/>
      <c r="G75" s="1686"/>
      <c r="H75" s="1686"/>
      <c r="I75" s="1415"/>
      <c r="J75" s="1415"/>
      <c r="K75" s="1415"/>
      <c r="L75" s="1415"/>
      <c r="M75" s="1415"/>
    </row>
    <row r="76" spans="1:13" x14ac:dyDescent="0.2">
      <c r="A76" s="463">
        <v>12</v>
      </c>
      <c r="B76" s="464" t="s">
        <v>6479</v>
      </c>
      <c r="C76" s="464" t="s">
        <v>3771</v>
      </c>
      <c r="D76" s="465">
        <v>4987.76</v>
      </c>
      <c r="E76" s="465">
        <v>698.71</v>
      </c>
      <c r="F76" s="466">
        <v>11.28</v>
      </c>
      <c r="G76" s="466"/>
      <c r="H76" s="465">
        <f>SUM(D76:G76)</f>
        <v>5697.75</v>
      </c>
      <c r="I76" s="1415"/>
      <c r="J76" s="1415"/>
      <c r="K76" s="1415"/>
      <c r="L76" s="1415"/>
      <c r="M76" s="1415"/>
    </row>
    <row r="77" spans="1:13" x14ac:dyDescent="0.2">
      <c r="A77" s="463">
        <v>13</v>
      </c>
      <c r="B77" s="464" t="s">
        <v>6480</v>
      </c>
      <c r="C77" s="464" t="s">
        <v>71</v>
      </c>
      <c r="D77" s="465">
        <f>SUM(D78:D80)</f>
        <v>994.54</v>
      </c>
      <c r="E77" s="465">
        <f t="shared" ref="E77:F77" si="11">SUM(E78:E80)</f>
        <v>303.69</v>
      </c>
      <c r="F77" s="465">
        <f t="shared" si="11"/>
        <v>333.12</v>
      </c>
      <c r="G77" s="466"/>
      <c r="H77" s="465">
        <f>SUM(D77:G77)</f>
        <v>1631.35</v>
      </c>
      <c r="I77" s="1415"/>
      <c r="J77" s="1415"/>
      <c r="K77" s="1415"/>
      <c r="L77" s="1415"/>
      <c r="M77" s="1415"/>
    </row>
    <row r="78" spans="1:13" hidden="1" outlineLevel="1" x14ac:dyDescent="0.2">
      <c r="A78" s="1450" t="s">
        <v>10174</v>
      </c>
      <c r="B78" s="1447" t="s">
        <v>3886</v>
      </c>
      <c r="C78" s="1448" t="s">
        <v>604</v>
      </c>
      <c r="D78" s="1449">
        <v>693.98</v>
      </c>
      <c r="E78" s="1449"/>
      <c r="F78" s="1449"/>
      <c r="G78" s="1449"/>
      <c r="H78" s="1445">
        <f t="shared" ref="H78:H80" si="12">SUM(D78:G78)</f>
        <v>693.98</v>
      </c>
      <c r="I78" s="1415"/>
      <c r="J78" s="1415"/>
      <c r="K78" s="1415"/>
      <c r="L78" s="1415"/>
      <c r="M78" s="1415"/>
    </row>
    <row r="79" spans="1:13" hidden="1" outlineLevel="1" x14ac:dyDescent="0.2">
      <c r="A79" s="1450" t="s">
        <v>10175</v>
      </c>
      <c r="B79" s="1447" t="s">
        <v>3887</v>
      </c>
      <c r="C79" s="1448" t="s">
        <v>1810</v>
      </c>
      <c r="D79" s="1449">
        <v>287.89</v>
      </c>
      <c r="E79" s="1449"/>
      <c r="F79" s="1449"/>
      <c r="G79" s="1449"/>
      <c r="H79" s="1445">
        <f t="shared" si="12"/>
        <v>287.89</v>
      </c>
      <c r="I79" s="1415"/>
      <c r="J79" s="1415"/>
      <c r="K79" s="1415"/>
      <c r="L79" s="1415"/>
      <c r="M79" s="1415"/>
    </row>
    <row r="80" spans="1:13" hidden="1" outlineLevel="1" x14ac:dyDescent="0.2">
      <c r="A80" s="1450" t="s">
        <v>10176</v>
      </c>
      <c r="B80" s="1447" t="s">
        <v>3888</v>
      </c>
      <c r="C80" s="1448" t="s">
        <v>609</v>
      </c>
      <c r="D80" s="1449">
        <v>12.67</v>
      </c>
      <c r="E80" s="1449">
        <v>303.69</v>
      </c>
      <c r="F80" s="1449">
        <v>333.12</v>
      </c>
      <c r="G80" s="1449"/>
      <c r="H80" s="1445">
        <f t="shared" si="12"/>
        <v>649.48</v>
      </c>
      <c r="I80" s="1415"/>
      <c r="J80" s="1415"/>
      <c r="K80" s="1415"/>
      <c r="L80" s="1415"/>
      <c r="M80" s="1415"/>
    </row>
    <row r="81" spans="1:13" collapsed="1" x14ac:dyDescent="0.2">
      <c r="A81" s="463">
        <v>14</v>
      </c>
      <c r="B81" s="464" t="s">
        <v>6481</v>
      </c>
      <c r="C81" s="464" t="s">
        <v>4060</v>
      </c>
      <c r="D81" s="465">
        <v>29649.71</v>
      </c>
      <c r="E81" s="466"/>
      <c r="F81" s="466"/>
      <c r="G81" s="466"/>
      <c r="H81" s="465">
        <f>SUM(D81:G81)</f>
        <v>29649.71</v>
      </c>
      <c r="I81" s="1415"/>
      <c r="J81" s="1415"/>
      <c r="K81" s="1415"/>
      <c r="L81" s="1415"/>
      <c r="M81" s="1415"/>
    </row>
    <row r="82" spans="1:13" ht="44.1" customHeight="1" x14ac:dyDescent="0.2">
      <c r="A82" s="467"/>
      <c r="B82" s="1696" t="s">
        <v>6482</v>
      </c>
      <c r="C82" s="1697"/>
      <c r="D82" s="468">
        <f>D76+D77+D81</f>
        <v>35632.01</v>
      </c>
      <c r="E82" s="468">
        <f>E76+E77+E81</f>
        <v>1002.4</v>
      </c>
      <c r="F82" s="468">
        <f>F76+F77+F81</f>
        <v>344.4</v>
      </c>
      <c r="G82" s="468">
        <f>G76+G77+G81</f>
        <v>0</v>
      </c>
      <c r="H82" s="468">
        <f>H76+H77+H81</f>
        <v>36978.81</v>
      </c>
      <c r="I82" s="1414">
        <f>SUM(I76:I81)</f>
        <v>0</v>
      </c>
      <c r="J82" s="1414">
        <f>SUM(J76:J81)</f>
        <v>0</v>
      </c>
      <c r="K82" s="1414">
        <f>SUM(K76:K81)</f>
        <v>0</v>
      </c>
      <c r="L82" s="1414">
        <f>SUM(L76:L77)</f>
        <v>0</v>
      </c>
      <c r="M82" s="1414">
        <f>SUM(M76:M81)</f>
        <v>0</v>
      </c>
    </row>
    <row r="83" spans="1:13" x14ac:dyDescent="0.2">
      <c r="A83" s="1685" t="s">
        <v>6483</v>
      </c>
      <c r="B83" s="1686"/>
      <c r="C83" s="1686"/>
      <c r="D83" s="1686"/>
      <c r="E83" s="1686"/>
      <c r="F83" s="1686"/>
      <c r="G83" s="1686"/>
      <c r="H83" s="1686"/>
      <c r="I83" s="1415"/>
      <c r="J83" s="1415"/>
      <c r="K83" s="1415"/>
      <c r="L83" s="1415"/>
      <c r="M83" s="1414"/>
    </row>
    <row r="84" spans="1:13" x14ac:dyDescent="0.2">
      <c r="A84" s="463">
        <v>15</v>
      </c>
      <c r="B84" s="464" t="s">
        <v>6484</v>
      </c>
      <c r="C84" s="464" t="s">
        <v>78</v>
      </c>
      <c r="D84" s="465">
        <v>3708.21</v>
      </c>
      <c r="E84" s="466"/>
      <c r="F84" s="466"/>
      <c r="G84" s="466"/>
      <c r="H84" s="465">
        <f>SUM(D84:G84)</f>
        <v>3708.21</v>
      </c>
      <c r="I84" s="1415"/>
      <c r="J84" s="1415"/>
      <c r="K84" s="1415"/>
      <c r="L84" s="1415"/>
      <c r="M84" s="1414"/>
    </row>
    <row r="85" spans="1:13" x14ac:dyDescent="0.2">
      <c r="A85" s="463">
        <v>16</v>
      </c>
      <c r="B85" s="464" t="s">
        <v>6485</v>
      </c>
      <c r="C85" s="464" t="s">
        <v>79</v>
      </c>
      <c r="D85" s="465">
        <f>SUM(D86:D90)</f>
        <v>38559.47</v>
      </c>
      <c r="E85" s="465">
        <f t="shared" ref="E85:F85" si="13">SUM(E86:E90)</f>
        <v>125.76</v>
      </c>
      <c r="F85" s="465">
        <f t="shared" si="13"/>
        <v>5050.25</v>
      </c>
      <c r="G85" s="466"/>
      <c r="H85" s="465">
        <f>SUM(D85:G85)</f>
        <v>43735.48</v>
      </c>
      <c r="I85" s="1415"/>
      <c r="J85" s="1415"/>
      <c r="K85" s="1415"/>
      <c r="L85" s="1415"/>
      <c r="M85" s="1414"/>
    </row>
    <row r="86" spans="1:13" hidden="1" outlineLevel="1" x14ac:dyDescent="0.2">
      <c r="A86" s="1450" t="s">
        <v>10177</v>
      </c>
      <c r="B86" s="1447" t="s">
        <v>4502</v>
      </c>
      <c r="C86" s="1448" t="s">
        <v>4500</v>
      </c>
      <c r="D86" s="1449">
        <v>29288.01</v>
      </c>
      <c r="E86" s="1449"/>
      <c r="F86" s="1449"/>
      <c r="G86" s="1449"/>
      <c r="H86" s="1445">
        <f t="shared" ref="H86:H90" si="14">SUM(D86:G86)</f>
        <v>29288.01</v>
      </c>
      <c r="I86" s="1415"/>
      <c r="J86" s="1415"/>
      <c r="K86" s="1415"/>
      <c r="L86" s="1415"/>
      <c r="M86" s="1414"/>
    </row>
    <row r="87" spans="1:13" hidden="1" outlineLevel="1" x14ac:dyDescent="0.2">
      <c r="A87" s="1450" t="s">
        <v>10178</v>
      </c>
      <c r="B87" s="1447" t="s">
        <v>4503</v>
      </c>
      <c r="C87" s="1448" t="s">
        <v>8911</v>
      </c>
      <c r="D87" s="1449">
        <v>8518.49</v>
      </c>
      <c r="E87" s="1449"/>
      <c r="F87" s="1449"/>
      <c r="G87" s="1449"/>
      <c r="H87" s="1445">
        <f t="shared" si="14"/>
        <v>8518.49</v>
      </c>
      <c r="I87" s="1415"/>
      <c r="J87" s="1415"/>
      <c r="K87" s="1415"/>
      <c r="L87" s="1415"/>
      <c r="M87" s="1414"/>
    </row>
    <row r="88" spans="1:13" hidden="1" outlineLevel="1" x14ac:dyDescent="0.2">
      <c r="A88" s="1450" t="s">
        <v>10179</v>
      </c>
      <c r="B88" s="1447" t="s">
        <v>4504</v>
      </c>
      <c r="C88" s="1448" t="s">
        <v>8912</v>
      </c>
      <c r="D88" s="1449">
        <v>92.03</v>
      </c>
      <c r="E88" s="1449"/>
      <c r="F88" s="1449"/>
      <c r="G88" s="1449"/>
      <c r="H88" s="1445">
        <f t="shared" si="14"/>
        <v>92.03</v>
      </c>
      <c r="I88" s="1415"/>
      <c r="J88" s="1415"/>
      <c r="K88" s="1415"/>
      <c r="L88" s="1415"/>
      <c r="M88" s="1414"/>
    </row>
    <row r="89" spans="1:13" hidden="1" outlineLevel="1" x14ac:dyDescent="0.2">
      <c r="A89" s="1450" t="s">
        <v>10180</v>
      </c>
      <c r="B89" s="1447" t="s">
        <v>4505</v>
      </c>
      <c r="C89" s="1448" t="s">
        <v>8914</v>
      </c>
      <c r="D89" s="1449">
        <v>206.42</v>
      </c>
      <c r="E89" s="1449"/>
      <c r="F89" s="1449"/>
      <c r="G89" s="1449"/>
      <c r="H89" s="1445">
        <f t="shared" si="14"/>
        <v>206.42</v>
      </c>
      <c r="I89" s="1415"/>
      <c r="J89" s="1415"/>
      <c r="K89" s="1415"/>
      <c r="L89" s="1415"/>
      <c r="M89" s="1414"/>
    </row>
    <row r="90" spans="1:13" hidden="1" outlineLevel="1" x14ac:dyDescent="0.2">
      <c r="A90" s="1450" t="s">
        <v>10181</v>
      </c>
      <c r="B90" s="1447" t="s">
        <v>4506</v>
      </c>
      <c r="C90" s="1448" t="s">
        <v>4507</v>
      </c>
      <c r="D90" s="1449">
        <v>454.52</v>
      </c>
      <c r="E90" s="1449">
        <v>125.76</v>
      </c>
      <c r="F90" s="1449">
        <v>5050.25</v>
      </c>
      <c r="G90" s="1449"/>
      <c r="H90" s="1445">
        <f t="shared" si="14"/>
        <v>5630.53</v>
      </c>
      <c r="I90" s="1415"/>
      <c r="J90" s="1415"/>
      <c r="K90" s="1415"/>
      <c r="L90" s="1415"/>
      <c r="M90" s="1414"/>
    </row>
    <row r="91" spans="1:13" ht="66" customHeight="1" collapsed="1" x14ac:dyDescent="0.2">
      <c r="A91" s="467"/>
      <c r="B91" s="1696" t="s">
        <v>6486</v>
      </c>
      <c r="C91" s="1697"/>
      <c r="D91" s="468">
        <f>D84+D85</f>
        <v>42267.68</v>
      </c>
      <c r="E91" s="468">
        <f t="shared" ref="E91:H91" si="15">E84+E85</f>
        <v>125.76</v>
      </c>
      <c r="F91" s="468">
        <f t="shared" si="15"/>
        <v>5050.25</v>
      </c>
      <c r="G91" s="468">
        <f t="shared" si="15"/>
        <v>0</v>
      </c>
      <c r="H91" s="468">
        <f t="shared" si="15"/>
        <v>47443.69</v>
      </c>
      <c r="I91" s="1414">
        <f>SUM(I84:I85)</f>
        <v>0</v>
      </c>
      <c r="J91" s="1414">
        <f>SUM(J84:J85)</f>
        <v>0</v>
      </c>
      <c r="K91" s="1414">
        <f>SUM(K84:K85)</f>
        <v>0</v>
      </c>
      <c r="L91" s="1414">
        <f>SUM(L84:L85)</f>
        <v>0</v>
      </c>
      <c r="M91" s="1414">
        <f>SUM(M83:M85)</f>
        <v>0</v>
      </c>
    </row>
    <row r="92" spans="1:13" x14ac:dyDescent="0.2">
      <c r="A92" s="1685" t="s">
        <v>6487</v>
      </c>
      <c r="B92" s="1686"/>
      <c r="C92" s="1686"/>
      <c r="D92" s="1686"/>
      <c r="E92" s="1686"/>
      <c r="F92" s="1686"/>
      <c r="G92" s="1686"/>
      <c r="H92" s="1686"/>
      <c r="I92" s="1415"/>
      <c r="J92" s="1415"/>
      <c r="K92" s="1415"/>
      <c r="L92" s="1415"/>
      <c r="M92" s="1415"/>
    </row>
    <row r="93" spans="1:13" x14ac:dyDescent="0.2">
      <c r="A93" s="463">
        <v>17</v>
      </c>
      <c r="B93" s="464" t="s">
        <v>6488</v>
      </c>
      <c r="C93" s="464" t="s">
        <v>90</v>
      </c>
      <c r="D93" s="465">
        <f>SUM(D94:D97)</f>
        <v>22669.040000000001</v>
      </c>
      <c r="E93" s="466"/>
      <c r="F93" s="466"/>
      <c r="G93" s="466"/>
      <c r="H93" s="465">
        <f>SUM(D93:G93)</f>
        <v>22669.040000000001</v>
      </c>
      <c r="I93" s="1415"/>
      <c r="J93" s="1415"/>
      <c r="K93" s="1415"/>
      <c r="L93" s="1415"/>
      <c r="M93" s="1415"/>
    </row>
    <row r="94" spans="1:13" hidden="1" outlineLevel="1" x14ac:dyDescent="0.2">
      <c r="A94" s="1450" t="s">
        <v>10182</v>
      </c>
      <c r="B94" s="1447" t="s">
        <v>5056</v>
      </c>
      <c r="C94" s="1448" t="s">
        <v>5057</v>
      </c>
      <c r="D94" s="1449">
        <v>7847.97</v>
      </c>
      <c r="E94" s="1449"/>
      <c r="F94" s="1449"/>
      <c r="G94" s="1449"/>
      <c r="H94" s="1445">
        <f t="shared" ref="H94:H100" si="16">SUM(D94:G94)</f>
        <v>7847.97</v>
      </c>
      <c r="I94" s="1415"/>
      <c r="J94" s="1415"/>
      <c r="K94" s="1415"/>
      <c r="L94" s="1415"/>
      <c r="M94" s="1415"/>
    </row>
    <row r="95" spans="1:13" hidden="1" outlineLevel="1" x14ac:dyDescent="0.2">
      <c r="A95" s="1450" t="s">
        <v>10183</v>
      </c>
      <c r="B95" s="1447" t="s">
        <v>5058</v>
      </c>
      <c r="C95" s="1448" t="s">
        <v>5059</v>
      </c>
      <c r="D95" s="1449">
        <v>2215.1</v>
      </c>
      <c r="E95" s="1449"/>
      <c r="F95" s="1449"/>
      <c r="G95" s="1449"/>
      <c r="H95" s="1445">
        <f t="shared" si="16"/>
        <v>2215.1</v>
      </c>
      <c r="I95" s="1415"/>
      <c r="J95" s="1415"/>
      <c r="K95" s="1415"/>
      <c r="L95" s="1415"/>
      <c r="M95" s="1415"/>
    </row>
    <row r="96" spans="1:13" hidden="1" outlineLevel="1" x14ac:dyDescent="0.2">
      <c r="A96" s="1450" t="s">
        <v>10184</v>
      </c>
      <c r="B96" s="1447" t="s">
        <v>5060</v>
      </c>
      <c r="C96" s="1448" t="s">
        <v>5061</v>
      </c>
      <c r="D96" s="1449">
        <v>323.89999999999998</v>
      </c>
      <c r="E96" s="1449"/>
      <c r="F96" s="1449"/>
      <c r="G96" s="1449"/>
      <c r="H96" s="1445">
        <f t="shared" si="16"/>
        <v>323.89999999999998</v>
      </c>
      <c r="I96" s="1415"/>
      <c r="J96" s="1415"/>
      <c r="K96" s="1415"/>
      <c r="L96" s="1415"/>
      <c r="M96" s="1415"/>
    </row>
    <row r="97" spans="1:13" hidden="1" outlineLevel="1" x14ac:dyDescent="0.2">
      <c r="A97" s="1450" t="s">
        <v>10185</v>
      </c>
      <c r="B97" s="1447" t="s">
        <v>5062</v>
      </c>
      <c r="C97" s="1448" t="s">
        <v>98</v>
      </c>
      <c r="D97" s="1449">
        <v>12282.07</v>
      </c>
      <c r="E97" s="1449"/>
      <c r="F97" s="1449"/>
      <c r="G97" s="1449"/>
      <c r="H97" s="1445">
        <f t="shared" si="16"/>
        <v>12282.07</v>
      </c>
      <c r="I97" s="1415"/>
      <c r="J97" s="1415"/>
      <c r="K97" s="1415"/>
      <c r="L97" s="1415"/>
      <c r="M97" s="1415"/>
    </row>
    <row r="98" spans="1:13" collapsed="1" x14ac:dyDescent="0.2">
      <c r="A98" s="463">
        <v>18</v>
      </c>
      <c r="B98" s="464" t="s">
        <v>6670</v>
      </c>
      <c r="C98" s="464" t="s">
        <v>100</v>
      </c>
      <c r="D98" s="465">
        <f>SUM(D99:D100)</f>
        <v>6099.75</v>
      </c>
      <c r="E98" s="465">
        <f t="shared" ref="E98:F98" si="17">SUM(E99:E100)</f>
        <v>13979.24</v>
      </c>
      <c r="F98" s="465">
        <f t="shared" si="17"/>
        <v>125.86</v>
      </c>
      <c r="G98" s="466"/>
      <c r="H98" s="465">
        <f>SUM(D98:G98)</f>
        <v>20204.849999999999</v>
      </c>
      <c r="I98" s="1415"/>
      <c r="J98" s="1415"/>
      <c r="K98" s="1415"/>
      <c r="L98" s="1415"/>
      <c r="M98" s="1415"/>
    </row>
    <row r="99" spans="1:13" hidden="1" outlineLevel="1" x14ac:dyDescent="0.2">
      <c r="A99" s="1450" t="s">
        <v>10186</v>
      </c>
      <c r="B99" s="1447" t="s">
        <v>7069</v>
      </c>
      <c r="C99" s="1448" t="s">
        <v>100</v>
      </c>
      <c r="D99" s="1449">
        <v>6057.3</v>
      </c>
      <c r="E99" s="1449">
        <v>13882.28</v>
      </c>
      <c r="F99" s="1449">
        <v>125.86</v>
      </c>
      <c r="G99" s="1449"/>
      <c r="H99" s="1445">
        <f t="shared" si="16"/>
        <v>20065.439999999999</v>
      </c>
      <c r="I99" s="1415"/>
      <c r="J99" s="1415"/>
      <c r="K99" s="1415"/>
      <c r="L99" s="1415"/>
      <c r="M99" s="1415"/>
    </row>
    <row r="100" spans="1:13" hidden="1" outlineLevel="1" x14ac:dyDescent="0.2">
      <c r="A100" s="1450" t="s">
        <v>10187</v>
      </c>
      <c r="B100" s="1447" t="s">
        <v>7070</v>
      </c>
      <c r="C100" s="1448" t="s">
        <v>7071</v>
      </c>
      <c r="D100" s="1449">
        <v>42.45</v>
      </c>
      <c r="E100" s="1449">
        <v>96.96</v>
      </c>
      <c r="F100" s="1449"/>
      <c r="G100" s="1449"/>
      <c r="H100" s="1445">
        <f t="shared" si="16"/>
        <v>139.41</v>
      </c>
      <c r="I100" s="1415"/>
      <c r="J100" s="1415"/>
      <c r="K100" s="1415"/>
      <c r="L100" s="1415"/>
      <c r="M100" s="1415"/>
    </row>
    <row r="101" spans="1:13" ht="44.1" customHeight="1" collapsed="1" x14ac:dyDescent="0.2">
      <c r="A101" s="467"/>
      <c r="B101" s="1696" t="s">
        <v>6489</v>
      </c>
      <c r="C101" s="1697"/>
      <c r="D101" s="468">
        <f>D93+D98</f>
        <v>28768.79</v>
      </c>
      <c r="E101" s="468">
        <f t="shared" ref="E101:H101" si="18">E93+E98</f>
        <v>13979.24</v>
      </c>
      <c r="F101" s="468">
        <f t="shared" si="18"/>
        <v>125.86</v>
      </c>
      <c r="G101" s="468">
        <f t="shared" si="18"/>
        <v>0</v>
      </c>
      <c r="H101" s="468">
        <f t="shared" si="18"/>
        <v>42873.89</v>
      </c>
      <c r="I101" s="1414">
        <f>SUM(I93:I98)</f>
        <v>0</v>
      </c>
      <c r="J101" s="1414">
        <f>SUM(J93:J98)</f>
        <v>0</v>
      </c>
      <c r="K101" s="1414">
        <f>SUM(K93:K98)</f>
        <v>0</v>
      </c>
      <c r="L101" s="1414">
        <f>SUM(L93:L98)</f>
        <v>0</v>
      </c>
      <c r="M101" s="1414">
        <f>SUM(M93:M98)</f>
        <v>0</v>
      </c>
    </row>
    <row r="102" spans="1:13" x14ac:dyDescent="0.2">
      <c r="A102" s="467"/>
      <c r="B102" s="1696" t="s">
        <v>6490</v>
      </c>
      <c r="C102" s="1697"/>
      <c r="D102" s="468">
        <f t="shared" ref="D102:M102" si="19">D32++D42+D66+D74+D82+D91+D101</f>
        <v>236798.52</v>
      </c>
      <c r="E102" s="468">
        <f t="shared" si="19"/>
        <v>32297.66</v>
      </c>
      <c r="F102" s="468">
        <f t="shared" si="19"/>
        <v>75205.87</v>
      </c>
      <c r="G102" s="468">
        <f t="shared" si="19"/>
        <v>149.44999999999999</v>
      </c>
      <c r="H102" s="468">
        <f t="shared" si="19"/>
        <v>344451.5</v>
      </c>
      <c r="I102" s="1414">
        <f t="shared" si="19"/>
        <v>131.88999999999999</v>
      </c>
      <c r="J102" s="1414">
        <f t="shared" si="19"/>
        <v>12649.77</v>
      </c>
      <c r="K102" s="1414">
        <f t="shared" si="19"/>
        <v>35619.54</v>
      </c>
      <c r="L102" s="1414">
        <f t="shared" si="19"/>
        <v>0</v>
      </c>
      <c r="M102" s="1414">
        <f t="shared" si="19"/>
        <v>48401.2</v>
      </c>
    </row>
    <row r="103" spans="1:13" x14ac:dyDescent="0.2">
      <c r="A103" s="1685" t="s">
        <v>6491</v>
      </c>
      <c r="B103" s="1686"/>
      <c r="C103" s="1686"/>
      <c r="D103" s="1686"/>
      <c r="E103" s="1686"/>
      <c r="F103" s="1686"/>
      <c r="G103" s="1686"/>
      <c r="H103" s="1686"/>
      <c r="I103" s="1415"/>
      <c r="J103" s="1415"/>
      <c r="K103" s="1415"/>
      <c r="L103" s="1415"/>
      <c r="M103" s="1415"/>
    </row>
    <row r="104" spans="1:13" ht="51" x14ac:dyDescent="0.2">
      <c r="A104" s="463">
        <v>19</v>
      </c>
      <c r="B104" s="464" t="s">
        <v>6492</v>
      </c>
      <c r="C104" s="464" t="s">
        <v>6493</v>
      </c>
      <c r="D104" s="465">
        <f>ROUND(D102*3.1%,2)</f>
        <v>7340.75</v>
      </c>
      <c r="E104" s="465">
        <f>ROUND(E102*3.1%,2)</f>
        <v>1001.23</v>
      </c>
      <c r="F104" s="466"/>
      <c r="G104" s="466"/>
      <c r="H104" s="465">
        <f>SUM(D104:G104)</f>
        <v>8341.98</v>
      </c>
      <c r="I104" s="1412">
        <f>ROUND(I102*3.1%,2)</f>
        <v>4.09</v>
      </c>
      <c r="J104" s="1412">
        <f>ROUND(J102*3.1%,2)</f>
        <v>392.14</v>
      </c>
      <c r="K104" s="1413"/>
      <c r="L104" s="1413"/>
      <c r="M104" s="1412">
        <f>SUM(I104:L104)</f>
        <v>396.23</v>
      </c>
    </row>
    <row r="105" spans="1:13" ht="44.1" customHeight="1" x14ac:dyDescent="0.2">
      <c r="A105" s="467"/>
      <c r="B105" s="1696" t="s">
        <v>6494</v>
      </c>
      <c r="C105" s="1697"/>
      <c r="D105" s="465">
        <f>D104</f>
        <v>7340.75</v>
      </c>
      <c r="E105" s="465">
        <f>E104</f>
        <v>1001.23</v>
      </c>
      <c r="F105" s="466"/>
      <c r="G105" s="466"/>
      <c r="H105" s="465">
        <f>H104</f>
        <v>8341.98</v>
      </c>
      <c r="I105" s="1412">
        <f>I104</f>
        <v>4.09</v>
      </c>
      <c r="J105" s="1412">
        <f>J104</f>
        <v>392.14</v>
      </c>
      <c r="K105" s="1413"/>
      <c r="L105" s="1413"/>
      <c r="M105" s="1412">
        <f>M104</f>
        <v>396.23</v>
      </c>
    </row>
    <row r="106" spans="1:13" x14ac:dyDescent="0.2">
      <c r="A106" s="467"/>
      <c r="B106" s="1696" t="s">
        <v>6495</v>
      </c>
      <c r="C106" s="1697"/>
      <c r="D106" s="468">
        <f t="shared" ref="D106:M106" si="20">D105+D102</f>
        <v>244139.27</v>
      </c>
      <c r="E106" s="468">
        <f t="shared" si="20"/>
        <v>33298.89</v>
      </c>
      <c r="F106" s="468">
        <f t="shared" si="20"/>
        <v>75205.87</v>
      </c>
      <c r="G106" s="468">
        <f t="shared" si="20"/>
        <v>149.44999999999999</v>
      </c>
      <c r="H106" s="468">
        <f t="shared" si="20"/>
        <v>352793.48</v>
      </c>
      <c r="I106" s="1414">
        <f t="shared" si="20"/>
        <v>135.97999999999999</v>
      </c>
      <c r="J106" s="1414">
        <f t="shared" si="20"/>
        <v>13041.91</v>
      </c>
      <c r="K106" s="1414">
        <f t="shared" si="20"/>
        <v>35619.54</v>
      </c>
      <c r="L106" s="1414">
        <f t="shared" si="20"/>
        <v>0</v>
      </c>
      <c r="M106" s="1414">
        <f t="shared" si="20"/>
        <v>48797.43</v>
      </c>
    </row>
    <row r="107" spans="1:13" x14ac:dyDescent="0.2">
      <c r="A107" s="1685" t="s">
        <v>6496</v>
      </c>
      <c r="B107" s="1686"/>
      <c r="C107" s="1686"/>
      <c r="D107" s="1686"/>
      <c r="E107" s="1686"/>
      <c r="F107" s="1686"/>
      <c r="G107" s="1686"/>
      <c r="H107" s="1686"/>
      <c r="I107" s="1415"/>
      <c r="J107" s="1415"/>
      <c r="K107" s="1415"/>
      <c r="L107" s="1415"/>
      <c r="M107" s="1415"/>
    </row>
    <row r="108" spans="1:13" ht="25.5" x14ac:dyDescent="0.2">
      <c r="A108" s="463">
        <v>20</v>
      </c>
      <c r="B108" s="464" t="s">
        <v>6497</v>
      </c>
      <c r="C108" s="464" t="s">
        <v>6498</v>
      </c>
      <c r="D108" s="465">
        <f>ROUND(D106*0.5%,2)</f>
        <v>1220.7</v>
      </c>
      <c r="E108" s="465">
        <f>ROUND(E106*0.5%,2)</f>
        <v>166.49</v>
      </c>
      <c r="F108" s="466"/>
      <c r="G108" s="466"/>
      <c r="H108" s="465">
        <f>SUM(D108:G108)</f>
        <v>1387.19</v>
      </c>
      <c r="I108" s="1415"/>
      <c r="J108" s="1415"/>
      <c r="K108" s="1415"/>
      <c r="L108" s="1415"/>
      <c r="M108" s="1415"/>
    </row>
    <row r="109" spans="1:13" ht="25.5" x14ac:dyDescent="0.2">
      <c r="A109" s="463">
        <v>21</v>
      </c>
      <c r="B109" s="464" t="s">
        <v>6499</v>
      </c>
      <c r="C109" s="464" t="s">
        <v>101</v>
      </c>
      <c r="D109" s="470"/>
      <c r="E109" s="470"/>
      <c r="F109" s="470"/>
      <c r="G109" s="471">
        <v>1070.06</v>
      </c>
      <c r="H109" s="465">
        <f t="shared" ref="H109:H121" si="21">SUM(D109:G109)</f>
        <v>1070.06</v>
      </c>
      <c r="I109" s="1415"/>
      <c r="J109" s="1415"/>
      <c r="K109" s="1415"/>
      <c r="L109" s="1415"/>
      <c r="M109" s="1415"/>
    </row>
    <row r="110" spans="1:13" ht="25.5" x14ac:dyDescent="0.2">
      <c r="A110" s="463">
        <v>22</v>
      </c>
      <c r="B110" s="464" t="s">
        <v>6500</v>
      </c>
      <c r="C110" s="464" t="s">
        <v>102</v>
      </c>
      <c r="D110" s="466"/>
      <c r="E110" s="466"/>
      <c r="F110" s="466"/>
      <c r="G110" s="466">
        <v>11.55</v>
      </c>
      <c r="H110" s="465">
        <f t="shared" si="21"/>
        <v>11.55</v>
      </c>
      <c r="I110" s="1415"/>
      <c r="J110" s="1415"/>
      <c r="K110" s="1415"/>
      <c r="L110" s="1415"/>
      <c r="M110" s="1415"/>
    </row>
    <row r="111" spans="1:13" x14ac:dyDescent="0.2">
      <c r="A111" s="463">
        <v>23</v>
      </c>
      <c r="B111" s="464" t="s">
        <v>6501</v>
      </c>
      <c r="C111" s="464" t="s">
        <v>103</v>
      </c>
      <c r="D111" s="466"/>
      <c r="E111" s="466"/>
      <c r="F111" s="466"/>
      <c r="G111" s="466">
        <v>12711.95</v>
      </c>
      <c r="H111" s="465">
        <f t="shared" si="21"/>
        <v>12711.95</v>
      </c>
      <c r="I111" s="1415"/>
      <c r="J111" s="1415"/>
      <c r="K111" s="1415"/>
      <c r="L111" s="1415"/>
      <c r="M111" s="1415"/>
    </row>
    <row r="112" spans="1:13" ht="25.5" x14ac:dyDescent="0.2">
      <c r="A112" s="463">
        <v>24</v>
      </c>
      <c r="B112" s="464" t="s">
        <v>6502</v>
      </c>
      <c r="C112" s="464" t="s">
        <v>104</v>
      </c>
      <c r="D112" s="466"/>
      <c r="E112" s="466"/>
      <c r="F112" s="466"/>
      <c r="G112" s="466">
        <f>SUM(G113:G114)</f>
        <v>68.709999999999994</v>
      </c>
      <c r="H112" s="465">
        <f t="shared" si="21"/>
        <v>68.709999999999994</v>
      </c>
      <c r="I112" s="1415"/>
      <c r="J112" s="1415"/>
      <c r="K112" s="1415"/>
      <c r="L112" s="1415"/>
      <c r="M112" s="1415"/>
    </row>
    <row r="113" spans="1:14" hidden="1" outlineLevel="1" x14ac:dyDescent="0.2">
      <c r="A113" s="1450" t="s">
        <v>10188</v>
      </c>
      <c r="B113" s="1447" t="s">
        <v>5735</v>
      </c>
      <c r="C113" s="1448" t="s">
        <v>5736</v>
      </c>
      <c r="D113" s="1449"/>
      <c r="E113" s="1449"/>
      <c r="F113" s="1449"/>
      <c r="G113" s="1449">
        <v>45.75</v>
      </c>
      <c r="H113" s="1445">
        <f t="shared" ref="H113:H114" si="22">SUM(D113:G113)</f>
        <v>45.75</v>
      </c>
      <c r="I113" s="1415"/>
      <c r="J113" s="1415"/>
      <c r="K113" s="1415"/>
      <c r="L113" s="1415"/>
      <c r="M113" s="1415"/>
    </row>
    <row r="114" spans="1:14" hidden="1" outlineLevel="1" x14ac:dyDescent="0.2">
      <c r="A114" s="1450" t="s">
        <v>10189</v>
      </c>
      <c r="B114" s="1447" t="s">
        <v>5737</v>
      </c>
      <c r="C114" s="1448" t="s">
        <v>5738</v>
      </c>
      <c r="D114" s="1449"/>
      <c r="E114" s="1449"/>
      <c r="F114" s="1449"/>
      <c r="G114" s="1449">
        <v>22.96</v>
      </c>
      <c r="H114" s="1445">
        <f t="shared" si="22"/>
        <v>22.96</v>
      </c>
      <c r="I114" s="1415"/>
      <c r="J114" s="1415"/>
      <c r="K114" s="1415"/>
      <c r="L114" s="1415"/>
      <c r="M114" s="1415"/>
    </row>
    <row r="115" spans="1:14" ht="25.5" collapsed="1" x14ac:dyDescent="0.2">
      <c r="A115" s="463">
        <v>25</v>
      </c>
      <c r="B115" s="464" t="s">
        <v>6503</v>
      </c>
      <c r="C115" s="464" t="s">
        <v>110</v>
      </c>
      <c r="D115" s="466"/>
      <c r="E115" s="466"/>
      <c r="F115" s="466"/>
      <c r="G115" s="466">
        <v>627.80999999999995</v>
      </c>
      <c r="H115" s="465">
        <f t="shared" si="21"/>
        <v>627.80999999999995</v>
      </c>
      <c r="I115" s="1415"/>
      <c r="J115" s="1415"/>
      <c r="K115" s="1415"/>
      <c r="L115" s="1415"/>
      <c r="M115" s="1415"/>
    </row>
    <row r="116" spans="1:14" ht="25.5" x14ac:dyDescent="0.2">
      <c r="A116" s="1428">
        <v>26</v>
      </c>
      <c r="B116" s="1429" t="s">
        <v>6504</v>
      </c>
      <c r="C116" s="1430" t="s">
        <v>9240</v>
      </c>
      <c r="D116" s="1431"/>
      <c r="E116" s="1431"/>
      <c r="F116" s="1431"/>
      <c r="G116" s="1431">
        <v>24.95</v>
      </c>
      <c r="H116" s="1432">
        <f t="shared" si="21"/>
        <v>24.95</v>
      </c>
      <c r="I116" s="1415"/>
      <c r="J116" s="1415"/>
      <c r="K116" s="1415"/>
      <c r="L116" s="1415"/>
      <c r="M116" s="1415"/>
    </row>
    <row r="117" spans="1:14" ht="25.5" x14ac:dyDescent="0.2">
      <c r="A117" s="1428">
        <v>27</v>
      </c>
      <c r="B117" s="1429" t="s">
        <v>6505</v>
      </c>
      <c r="C117" s="1433" t="s">
        <v>113</v>
      </c>
      <c r="D117" s="1431"/>
      <c r="E117" s="1431"/>
      <c r="F117" s="1431"/>
      <c r="G117" s="1431">
        <f>SUM(G118:G120)</f>
        <v>207.86</v>
      </c>
      <c r="H117" s="1432">
        <f t="shared" si="21"/>
        <v>207.86</v>
      </c>
      <c r="I117" s="1416"/>
      <c r="J117" s="1415"/>
      <c r="K117" s="1415"/>
      <c r="L117" s="1415"/>
      <c r="M117" s="1415"/>
    </row>
    <row r="118" spans="1:14" hidden="1" outlineLevel="1" x14ac:dyDescent="0.2">
      <c r="A118" s="1457" t="s">
        <v>10190</v>
      </c>
      <c r="B118" s="1452" t="s">
        <v>5800</v>
      </c>
      <c r="C118" s="1452" t="s">
        <v>5801</v>
      </c>
      <c r="D118" s="1453"/>
      <c r="E118" s="1454"/>
      <c r="F118" s="1455"/>
      <c r="G118" s="1458">
        <f>63148.96/1000</f>
        <v>63.15</v>
      </c>
      <c r="H118" s="1456">
        <f>G118</f>
        <v>63.15</v>
      </c>
      <c r="I118" s="1416"/>
      <c r="J118" s="1415"/>
      <c r="K118" s="1415"/>
      <c r="L118" s="1415"/>
      <c r="M118" s="1415"/>
    </row>
    <row r="119" spans="1:14" ht="25.5" hidden="1" outlineLevel="1" x14ac:dyDescent="0.2">
      <c r="A119" s="1457" t="s">
        <v>10191</v>
      </c>
      <c r="B119" s="1452" t="s">
        <v>5802</v>
      </c>
      <c r="C119" s="1452" t="s">
        <v>5803</v>
      </c>
      <c r="D119" s="1453"/>
      <c r="E119" s="1454"/>
      <c r="F119" s="1455"/>
      <c r="G119" s="1458">
        <f>11867.67/1000</f>
        <v>11.87</v>
      </c>
      <c r="H119" s="1456">
        <f>G119</f>
        <v>11.87</v>
      </c>
      <c r="I119" s="1416"/>
      <c r="J119" s="1415"/>
      <c r="K119" s="1415"/>
      <c r="L119" s="1415"/>
      <c r="M119" s="1415"/>
    </row>
    <row r="120" spans="1:14" hidden="1" outlineLevel="1" x14ac:dyDescent="0.2">
      <c r="A120" s="1457" t="s">
        <v>10192</v>
      </c>
      <c r="B120" s="1452" t="s">
        <v>5804</v>
      </c>
      <c r="C120" s="1452" t="s">
        <v>5805</v>
      </c>
      <c r="D120" s="1453"/>
      <c r="E120" s="1454"/>
      <c r="F120" s="1455"/>
      <c r="G120" s="1458">
        <f>132846.21/1000-0.01</f>
        <v>132.84</v>
      </c>
      <c r="H120" s="1456">
        <f>G120</f>
        <v>132.84</v>
      </c>
      <c r="I120" s="1416"/>
      <c r="J120" s="1415"/>
      <c r="K120" s="1415"/>
      <c r="L120" s="1415"/>
      <c r="M120" s="1415"/>
    </row>
    <row r="121" spans="1:14" ht="25.5" collapsed="1" x14ac:dyDescent="0.2">
      <c r="A121" s="1428">
        <v>28</v>
      </c>
      <c r="B121" s="1429" t="s">
        <v>9624</v>
      </c>
      <c r="C121" s="1433" t="s">
        <v>9625</v>
      </c>
      <c r="D121" s="1431"/>
      <c r="E121" s="1431"/>
      <c r="F121" s="1431"/>
      <c r="G121" s="1431">
        <v>500831.57</v>
      </c>
      <c r="H121" s="1432">
        <f t="shared" si="21"/>
        <v>500831.57</v>
      </c>
      <c r="I121" s="1413"/>
      <c r="J121" s="1413"/>
      <c r="K121" s="1413"/>
      <c r="L121" s="1413">
        <v>500831.57</v>
      </c>
      <c r="M121" s="1422">
        <f>SUM(I121:L121)</f>
        <v>500831.57</v>
      </c>
      <c r="N121" s="1410"/>
    </row>
    <row r="122" spans="1:14" ht="44.1" customHeight="1" x14ac:dyDescent="0.2">
      <c r="A122" s="467"/>
      <c r="B122" s="1696" t="s">
        <v>6506</v>
      </c>
      <c r="C122" s="1697"/>
      <c r="D122" s="465">
        <f>D108+D109+D110+D111+D112+D115+D116+D117+D121</f>
        <v>1220.7</v>
      </c>
      <c r="E122" s="465">
        <f>E108+E109+E110+E111+E112+E115+E116+E117+E121</f>
        <v>166.49</v>
      </c>
      <c r="F122" s="465"/>
      <c r="G122" s="465">
        <f>G108+G109+G110+G111+G112+G115+G116+G117+G121</f>
        <v>515554.46</v>
      </c>
      <c r="H122" s="465">
        <f>H108+H109+H110+H111+H112+H115+H116+H117+H121</f>
        <v>516941.65</v>
      </c>
      <c r="I122" s="1417">
        <f>SUM(I108:I117)</f>
        <v>0</v>
      </c>
      <c r="J122" s="1417">
        <f>SUM(J108:J117)</f>
        <v>0</v>
      </c>
      <c r="K122" s="1417">
        <f>SUM(K108:K117)</f>
        <v>0</v>
      </c>
      <c r="L122" s="1413">
        <f>SUM(L108:L121)</f>
        <v>500831.57</v>
      </c>
      <c r="M122" s="1412">
        <f>SUM(I122:L122)</f>
        <v>500831.57</v>
      </c>
    </row>
    <row r="123" spans="1:14" x14ac:dyDescent="0.2">
      <c r="A123" s="467"/>
      <c r="B123" s="1696" t="s">
        <v>6507</v>
      </c>
      <c r="C123" s="1697"/>
      <c r="D123" s="468">
        <f t="shared" ref="D123:M123" si="23">D122+D106</f>
        <v>245359.97</v>
      </c>
      <c r="E123" s="468">
        <f t="shared" si="23"/>
        <v>33465.379999999997</v>
      </c>
      <c r="F123" s="468">
        <f t="shared" si="23"/>
        <v>75205.87</v>
      </c>
      <c r="G123" s="474">
        <f t="shared" si="23"/>
        <v>515703.91</v>
      </c>
      <c r="H123" s="474">
        <f t="shared" si="23"/>
        <v>869735.13</v>
      </c>
      <c r="I123" s="1414">
        <f t="shared" si="23"/>
        <v>135.97999999999999</v>
      </c>
      <c r="J123" s="1414">
        <f t="shared" si="23"/>
        <v>13041.91</v>
      </c>
      <c r="K123" s="1414">
        <f t="shared" si="23"/>
        <v>35619.54</v>
      </c>
      <c r="L123" s="1418">
        <f t="shared" si="23"/>
        <v>500831.57</v>
      </c>
      <c r="M123" s="1418">
        <f t="shared" si="23"/>
        <v>549629</v>
      </c>
    </row>
    <row r="124" spans="1:14" x14ac:dyDescent="0.2">
      <c r="A124" s="1685" t="s">
        <v>6508</v>
      </c>
      <c r="B124" s="1686"/>
      <c r="C124" s="1686"/>
      <c r="D124" s="1686"/>
      <c r="E124" s="1686"/>
      <c r="F124" s="1686"/>
      <c r="G124" s="1686"/>
      <c r="H124" s="1686"/>
      <c r="I124" s="1415"/>
      <c r="J124" s="1415"/>
      <c r="K124" s="1415"/>
      <c r="L124" s="1415"/>
      <c r="M124" s="1415"/>
    </row>
    <row r="125" spans="1:14" ht="25.5" x14ac:dyDescent="0.2">
      <c r="A125" s="1428">
        <v>29</v>
      </c>
      <c r="B125" s="1429" t="s">
        <v>6509</v>
      </c>
      <c r="C125" s="1429" t="s">
        <v>9627</v>
      </c>
      <c r="D125" s="1431"/>
      <c r="E125" s="1431"/>
      <c r="F125" s="1431"/>
      <c r="G125" s="1432">
        <f>ROUND((D123+E123+F123)*1.61%,2)</f>
        <v>5699.9</v>
      </c>
      <c r="H125" s="1432">
        <f>SUM(D125:G125)</f>
        <v>5699.9</v>
      </c>
      <c r="I125" s="1413"/>
      <c r="J125" s="1413"/>
      <c r="K125" s="1413"/>
      <c r="L125" s="1412">
        <f>ROUND((I123+J123+K123)*1.93%,2)</f>
        <v>941.79</v>
      </c>
      <c r="M125" s="1412">
        <f>SUM(I125:L125)</f>
        <v>941.79</v>
      </c>
      <c r="N125" s="1410"/>
    </row>
    <row r="126" spans="1:14" ht="44.1" customHeight="1" x14ac:dyDescent="0.2">
      <c r="A126" s="467"/>
      <c r="B126" s="1696" t="s">
        <v>6510</v>
      </c>
      <c r="C126" s="1697"/>
      <c r="D126" s="466">
        <f t="shared" ref="D126:M126" si="24">D125</f>
        <v>0</v>
      </c>
      <c r="E126" s="466">
        <f t="shared" si="24"/>
        <v>0</v>
      </c>
      <c r="F126" s="466">
        <f t="shared" si="24"/>
        <v>0</v>
      </c>
      <c r="G126" s="466">
        <f t="shared" si="24"/>
        <v>5699.9</v>
      </c>
      <c r="H126" s="466">
        <f t="shared" si="24"/>
        <v>5699.9</v>
      </c>
      <c r="I126" s="1413">
        <f t="shared" si="24"/>
        <v>0</v>
      </c>
      <c r="J126" s="1413">
        <f t="shared" si="24"/>
        <v>0</v>
      </c>
      <c r="K126" s="1413">
        <f t="shared" si="24"/>
        <v>0</v>
      </c>
      <c r="L126" s="1413">
        <f t="shared" si="24"/>
        <v>941.79</v>
      </c>
      <c r="M126" s="1413">
        <f t="shared" si="24"/>
        <v>941.79</v>
      </c>
    </row>
    <row r="127" spans="1:14" ht="70.5" customHeight="1" x14ac:dyDescent="0.2">
      <c r="A127" s="1685" t="s">
        <v>6511</v>
      </c>
      <c r="B127" s="1686"/>
      <c r="C127" s="1686"/>
      <c r="D127" s="1686"/>
      <c r="E127" s="1686"/>
      <c r="F127" s="1686"/>
      <c r="G127" s="1686"/>
      <c r="H127" s="1686"/>
      <c r="I127" s="1419"/>
      <c r="J127" s="1419"/>
      <c r="K127" s="1419"/>
      <c r="L127" s="1419"/>
      <c r="M127" s="1413"/>
    </row>
    <row r="128" spans="1:14" x14ac:dyDescent="0.2">
      <c r="A128" s="1428">
        <v>30</v>
      </c>
      <c r="B128" s="1429" t="s">
        <v>6512</v>
      </c>
      <c r="C128" s="1429" t="s">
        <v>116</v>
      </c>
      <c r="D128" s="1434"/>
      <c r="E128" s="1434"/>
      <c r="F128" s="1434"/>
      <c r="G128" s="1435">
        <v>7654.29</v>
      </c>
      <c r="H128" s="1432">
        <f>SUM(D128:G128)</f>
        <v>7654.29</v>
      </c>
      <c r="I128" s="1419"/>
      <c r="J128" s="1419"/>
      <c r="K128" s="1419"/>
      <c r="L128" s="1419"/>
      <c r="M128" s="1413"/>
      <c r="N128" s="1410"/>
    </row>
    <row r="129" spans="1:15" x14ac:dyDescent="0.2">
      <c r="A129" s="1428">
        <v>31</v>
      </c>
      <c r="B129" s="1429" t="s">
        <v>6513</v>
      </c>
      <c r="C129" s="1429" t="s">
        <v>9640</v>
      </c>
      <c r="D129" s="1434"/>
      <c r="E129" s="1434"/>
      <c r="F129" s="1434"/>
      <c r="G129" s="1436">
        <v>10852.92</v>
      </c>
      <c r="H129" s="1437">
        <f t="shared" ref="H129:H131" si="25">SUM(D129:G129)</f>
        <v>10852.92</v>
      </c>
      <c r="I129" s="1419"/>
      <c r="J129" s="1419"/>
      <c r="K129" s="1419"/>
      <c r="L129" s="1419"/>
      <c r="M129" s="1413"/>
      <c r="N129" s="1410"/>
    </row>
    <row r="130" spans="1:15" x14ac:dyDescent="0.2">
      <c r="A130" s="463">
        <v>32</v>
      </c>
      <c r="B130" s="464" t="s">
        <v>6514</v>
      </c>
      <c r="C130" s="464" t="s">
        <v>9645</v>
      </c>
      <c r="D130" s="470"/>
      <c r="E130" s="470"/>
      <c r="F130" s="470"/>
      <c r="G130" s="475">
        <v>12820.83</v>
      </c>
      <c r="H130" s="1273">
        <f t="shared" si="25"/>
        <v>12820.83</v>
      </c>
      <c r="I130" s="1419"/>
      <c r="J130" s="1419"/>
      <c r="K130" s="1419"/>
      <c r="L130" s="1419"/>
      <c r="M130" s="1413"/>
    </row>
    <row r="131" spans="1:15" ht="51" x14ac:dyDescent="0.2">
      <c r="A131" s="1428">
        <v>33</v>
      </c>
      <c r="B131" s="1429" t="s">
        <v>6515</v>
      </c>
      <c r="C131" s="1429" t="s">
        <v>121</v>
      </c>
      <c r="D131" s="1434"/>
      <c r="E131" s="1434"/>
      <c r="F131" s="1434"/>
      <c r="G131" s="1435">
        <v>2029.11</v>
      </c>
      <c r="H131" s="1438">
        <f t="shared" si="25"/>
        <v>2029.11</v>
      </c>
      <c r="I131" s="1419"/>
      <c r="J131" s="1419"/>
      <c r="K131" s="1419"/>
      <c r="L131" s="1419"/>
      <c r="M131" s="1413"/>
    </row>
    <row r="132" spans="1:15" ht="25.5" x14ac:dyDescent="0.2">
      <c r="A132" s="1428">
        <v>34</v>
      </c>
      <c r="B132" s="1439" t="s">
        <v>6516</v>
      </c>
      <c r="C132" s="1429" t="s">
        <v>6517</v>
      </c>
      <c r="D132" s="1434"/>
      <c r="E132" s="1434"/>
      <c r="F132" s="1434"/>
      <c r="G132" s="1432">
        <f>ROUND(H123*0.2%,2)</f>
        <v>1739.47</v>
      </c>
      <c r="H132" s="1432">
        <f>SUM(D132:G132)</f>
        <v>1739.47</v>
      </c>
      <c r="I132" s="1420"/>
      <c r="J132" s="1420"/>
      <c r="K132" s="1420"/>
      <c r="L132" s="1412">
        <f>ROUND(M123*0.2%,2)</f>
        <v>1099.26</v>
      </c>
      <c r="M132" s="1412">
        <f>SUM(I132:L132)</f>
        <v>1099.26</v>
      </c>
      <c r="N132" s="1410"/>
      <c r="O132" s="1410"/>
    </row>
    <row r="133" spans="1:15" x14ac:dyDescent="0.2">
      <c r="A133" s="1428">
        <v>35</v>
      </c>
      <c r="B133" s="1440" t="s">
        <v>6518</v>
      </c>
      <c r="C133" s="1429" t="s">
        <v>122</v>
      </c>
      <c r="D133" s="1434"/>
      <c r="E133" s="1434"/>
      <c r="F133" s="1434"/>
      <c r="G133" s="1432">
        <v>228.04</v>
      </c>
      <c r="H133" s="1432">
        <f>SUM(D133:G133)</f>
        <v>228.04</v>
      </c>
      <c r="I133" s="1419"/>
      <c r="J133" s="1419"/>
      <c r="K133" s="1419"/>
      <c r="L133" s="1419"/>
      <c r="M133" s="1413"/>
    </row>
    <row r="134" spans="1:15" ht="25.5" x14ac:dyDescent="0.2">
      <c r="A134" s="1428">
        <v>36</v>
      </c>
      <c r="B134" s="1440" t="s">
        <v>6519</v>
      </c>
      <c r="C134" s="1429" t="s">
        <v>134</v>
      </c>
      <c r="D134" s="1434"/>
      <c r="E134" s="1434"/>
      <c r="F134" s="1434"/>
      <c r="G134" s="1432">
        <v>335.54</v>
      </c>
      <c r="H134" s="1432">
        <f>SUM(D134:G134)</f>
        <v>335.54</v>
      </c>
      <c r="I134" s="1419"/>
      <c r="J134" s="1419"/>
      <c r="K134" s="1419"/>
      <c r="L134" s="1419"/>
      <c r="M134" s="1413"/>
    </row>
    <row r="135" spans="1:15" x14ac:dyDescent="0.2">
      <c r="A135" s="1428">
        <v>37</v>
      </c>
      <c r="B135" s="1440" t="s">
        <v>9630</v>
      </c>
      <c r="C135" s="1429" t="s">
        <v>9631</v>
      </c>
      <c r="D135" s="1434"/>
      <c r="E135" s="1434"/>
      <c r="F135" s="1434"/>
      <c r="G135" s="1432">
        <v>202.67</v>
      </c>
      <c r="H135" s="1432">
        <f t="shared" ref="H135:H136" si="26">SUM(D135:G135)</f>
        <v>202.67</v>
      </c>
      <c r="I135" s="1420"/>
      <c r="J135" s="1420"/>
      <c r="K135" s="1420"/>
      <c r="L135" s="1412">
        <v>202.67</v>
      </c>
      <c r="M135" s="1412">
        <f t="shared" ref="M135:M136" si="27">SUM(I135:L135)</f>
        <v>202.67</v>
      </c>
    </row>
    <row r="136" spans="1:15" x14ac:dyDescent="0.2">
      <c r="A136" s="463">
        <v>38</v>
      </c>
      <c r="B136" s="477" t="s">
        <v>9633</v>
      </c>
      <c r="C136" s="464" t="s">
        <v>9634</v>
      </c>
      <c r="D136" s="470"/>
      <c r="E136" s="470"/>
      <c r="F136" s="470"/>
      <c r="G136" s="465">
        <v>191.22</v>
      </c>
      <c r="H136" s="465">
        <f t="shared" si="26"/>
        <v>191.22</v>
      </c>
      <c r="I136" s="1420"/>
      <c r="J136" s="1420"/>
      <c r="K136" s="1420"/>
      <c r="L136" s="1412">
        <v>191.22</v>
      </c>
      <c r="M136" s="1412">
        <f t="shared" si="27"/>
        <v>191.22</v>
      </c>
      <c r="N136" s="1410"/>
    </row>
    <row r="137" spans="1:15" ht="128.25" customHeight="1" x14ac:dyDescent="0.2">
      <c r="A137" s="467"/>
      <c r="B137" s="1696" t="s">
        <v>6520</v>
      </c>
      <c r="C137" s="1697"/>
      <c r="D137" s="470"/>
      <c r="E137" s="470"/>
      <c r="F137" s="470"/>
      <c r="G137" s="465">
        <f>SUM(G128:G136)</f>
        <v>36054.089999999997</v>
      </c>
      <c r="H137" s="465">
        <f>SUM(H128:H136)</f>
        <v>36054.089999999997</v>
      </c>
      <c r="I137" s="1420"/>
      <c r="J137" s="1420"/>
      <c r="K137" s="1420"/>
      <c r="L137" s="1412">
        <f>SUM(L128:L136)</f>
        <v>1493.15</v>
      </c>
      <c r="M137" s="1412">
        <f>SUM(M128:M136)</f>
        <v>1493.15</v>
      </c>
    </row>
    <row r="138" spans="1:15" x14ac:dyDescent="0.2">
      <c r="A138" s="467"/>
      <c r="B138" s="1696" t="s">
        <v>6521</v>
      </c>
      <c r="C138" s="1697"/>
      <c r="D138" s="468">
        <f t="shared" ref="D138:M138" si="28">D123+D126+D137</f>
        <v>245359.97</v>
      </c>
      <c r="E138" s="468">
        <f t="shared" si="28"/>
        <v>33465.379999999997</v>
      </c>
      <c r="F138" s="468">
        <f t="shared" si="28"/>
        <v>75205.87</v>
      </c>
      <c r="G138" s="468">
        <f>G123+G126+G137</f>
        <v>557457.9</v>
      </c>
      <c r="H138" s="468">
        <f t="shared" si="28"/>
        <v>911489.12</v>
      </c>
      <c r="I138" s="1414">
        <f t="shared" si="28"/>
        <v>135.97999999999999</v>
      </c>
      <c r="J138" s="1414">
        <f t="shared" si="28"/>
        <v>13041.91</v>
      </c>
      <c r="K138" s="1414">
        <f t="shared" si="28"/>
        <v>35619.54</v>
      </c>
      <c r="L138" s="1414">
        <f>L123+L126+L137</f>
        <v>503266.51</v>
      </c>
      <c r="M138" s="1414">
        <f t="shared" si="28"/>
        <v>552063.93999999994</v>
      </c>
    </row>
    <row r="139" spans="1:15" x14ac:dyDescent="0.2">
      <c r="A139" s="1685" t="s">
        <v>6522</v>
      </c>
      <c r="B139" s="1686"/>
      <c r="C139" s="1686"/>
      <c r="D139" s="1686"/>
      <c r="E139" s="1686"/>
      <c r="F139" s="1686"/>
      <c r="G139" s="1686"/>
      <c r="H139" s="1686"/>
      <c r="I139" s="1415"/>
      <c r="J139" s="1415"/>
      <c r="K139" s="1415"/>
      <c r="L139" s="1415"/>
      <c r="M139" s="1415"/>
    </row>
    <row r="140" spans="1:15" ht="25.5" x14ac:dyDescent="0.2">
      <c r="A140" s="463">
        <v>39</v>
      </c>
      <c r="B140" s="464" t="s">
        <v>6523</v>
      </c>
      <c r="C140" s="464" t="s">
        <v>6524</v>
      </c>
      <c r="D140" s="465">
        <f>ROUND(D138*2%,2)</f>
        <v>4907.2</v>
      </c>
      <c r="E140" s="465">
        <f t="shared" ref="E140:F140" si="29">ROUND(E138*2%,2)</f>
        <v>669.31</v>
      </c>
      <c r="F140" s="465">
        <f t="shared" si="29"/>
        <v>1504.12</v>
      </c>
      <c r="G140" s="465">
        <f>ROUND(G138*2%,2)</f>
        <v>11149.16</v>
      </c>
      <c r="H140" s="465">
        <f>SUM(D140:G140)</f>
        <v>18229.79</v>
      </c>
      <c r="I140" s="1412">
        <f>ROUND(I138*2%,2)</f>
        <v>2.72</v>
      </c>
      <c r="J140" s="1412">
        <f t="shared" ref="J140:K140" si="30">ROUND(J138*2%,2)</f>
        <v>260.83999999999997</v>
      </c>
      <c r="K140" s="1412">
        <f t="shared" si="30"/>
        <v>712.39</v>
      </c>
      <c r="L140" s="1412">
        <f>ROUND(L138*2%,2)</f>
        <v>10065.33</v>
      </c>
      <c r="M140" s="1412">
        <f>SUM(I140:L140)</f>
        <v>11041.28</v>
      </c>
    </row>
    <row r="141" spans="1:15" x14ac:dyDescent="0.2">
      <c r="A141" s="467"/>
      <c r="B141" s="1696" t="s">
        <v>6525</v>
      </c>
      <c r="C141" s="1697"/>
      <c r="D141" s="468">
        <f>D140</f>
        <v>4907.2</v>
      </c>
      <c r="E141" s="468">
        <f t="shared" ref="E141:G141" si="31">E140</f>
        <v>669.31</v>
      </c>
      <c r="F141" s="468">
        <f t="shared" si="31"/>
        <v>1504.12</v>
      </c>
      <c r="G141" s="468">
        <f t="shared" si="31"/>
        <v>11149.16</v>
      </c>
      <c r="H141" s="468">
        <f>H140</f>
        <v>18229.79</v>
      </c>
      <c r="I141" s="1414">
        <f>I140</f>
        <v>2.72</v>
      </c>
      <c r="J141" s="1414">
        <f t="shared" ref="J141:L141" si="32">J140</f>
        <v>260.83999999999997</v>
      </c>
      <c r="K141" s="1414">
        <f t="shared" si="32"/>
        <v>712.39</v>
      </c>
      <c r="L141" s="1414">
        <f t="shared" si="32"/>
        <v>10065.33</v>
      </c>
      <c r="M141" s="1414">
        <f>M140</f>
        <v>11041.28</v>
      </c>
    </row>
    <row r="142" spans="1:15" ht="44.1" customHeight="1" x14ac:dyDescent="0.2">
      <c r="A142" s="467"/>
      <c r="B142" s="1696" t="s">
        <v>6526</v>
      </c>
      <c r="C142" s="1697"/>
      <c r="D142" s="468">
        <f>D138+D141</f>
        <v>250267.17</v>
      </c>
      <c r="E142" s="468">
        <f t="shared" ref="E142:F142" si="33">E138+E141</f>
        <v>34134.69</v>
      </c>
      <c r="F142" s="468">
        <f t="shared" si="33"/>
        <v>76709.990000000005</v>
      </c>
      <c r="G142" s="468">
        <f>G138+G141</f>
        <v>568607.06000000006</v>
      </c>
      <c r="H142" s="468">
        <f>H138+H141</f>
        <v>929718.91</v>
      </c>
      <c r="I142" s="1414">
        <f>I138+I141</f>
        <v>138.69999999999999</v>
      </c>
      <c r="J142" s="1414">
        <f t="shared" ref="J142:K142" si="34">J138+J141</f>
        <v>13302.75</v>
      </c>
      <c r="K142" s="1414">
        <f t="shared" si="34"/>
        <v>36331.93</v>
      </c>
      <c r="L142" s="1414">
        <f>L138+L141</f>
        <v>513331.84</v>
      </c>
      <c r="M142" s="1414">
        <f>M138+M141</f>
        <v>563105.22</v>
      </c>
    </row>
    <row r="143" spans="1:15" x14ac:dyDescent="0.2">
      <c r="A143" s="1685" t="s">
        <v>6532</v>
      </c>
      <c r="B143" s="1686"/>
      <c r="C143" s="1686"/>
      <c r="D143" s="1686"/>
      <c r="E143" s="1686"/>
      <c r="F143" s="1686"/>
      <c r="G143" s="1686"/>
      <c r="H143" s="1686"/>
      <c r="I143" s="1415"/>
      <c r="J143" s="1415"/>
      <c r="K143" s="1415"/>
      <c r="L143" s="1415"/>
      <c r="M143" s="1415"/>
    </row>
    <row r="144" spans="1:15" ht="25.5" x14ac:dyDescent="0.2">
      <c r="A144" s="463">
        <v>40</v>
      </c>
      <c r="B144" s="464" t="s">
        <v>6533</v>
      </c>
      <c r="C144" s="464" t="s">
        <v>6534</v>
      </c>
      <c r="D144" s="465">
        <f>ROUND(D142*20%,2)</f>
        <v>50053.43</v>
      </c>
      <c r="E144" s="465">
        <f t="shared" ref="E144:F144" si="35">ROUND(E142*20%,2)</f>
        <v>6826.94</v>
      </c>
      <c r="F144" s="465">
        <f t="shared" si="35"/>
        <v>15342</v>
      </c>
      <c r="G144" s="465">
        <f>ROUND((G142-G111-G110-G115-G133)*20%,2)</f>
        <v>111005.54</v>
      </c>
      <c r="H144" s="465">
        <f>SUM(D144:G144)</f>
        <v>183227.91</v>
      </c>
      <c r="I144" s="1412">
        <f>ROUND(I142*20%,2)</f>
        <v>27.74</v>
      </c>
      <c r="J144" s="1412">
        <f t="shared" ref="J144:K144" si="36">ROUND(J142*20%,2)</f>
        <v>2660.55</v>
      </c>
      <c r="K144" s="1412">
        <f t="shared" si="36"/>
        <v>7266.39</v>
      </c>
      <c r="L144" s="1412">
        <f>ROUND(L142*20%,2)</f>
        <v>102666.37</v>
      </c>
      <c r="M144" s="1412">
        <f>SUM(I144:L144)</f>
        <v>112621.05</v>
      </c>
    </row>
    <row r="145" spans="1:14" ht="44.1" customHeight="1" x14ac:dyDescent="0.2">
      <c r="A145" s="467"/>
      <c r="B145" s="1696" t="s">
        <v>6535</v>
      </c>
      <c r="C145" s="1697"/>
      <c r="D145" s="468">
        <f>D144</f>
        <v>50053.43</v>
      </c>
      <c r="E145" s="468">
        <f t="shared" ref="E145:M145" si="37">E144</f>
        <v>6826.94</v>
      </c>
      <c r="F145" s="468">
        <f t="shared" si="37"/>
        <v>15342</v>
      </c>
      <c r="G145" s="468">
        <f t="shared" si="37"/>
        <v>111005.54</v>
      </c>
      <c r="H145" s="468">
        <f t="shared" si="37"/>
        <v>183227.91</v>
      </c>
      <c r="I145" s="1414">
        <f>I144</f>
        <v>27.74</v>
      </c>
      <c r="J145" s="1414">
        <f t="shared" si="37"/>
        <v>2660.55</v>
      </c>
      <c r="K145" s="1414">
        <f t="shared" si="37"/>
        <v>7266.39</v>
      </c>
      <c r="L145" s="1414">
        <f t="shared" si="37"/>
        <v>102666.37</v>
      </c>
      <c r="M145" s="1414">
        <f t="shared" si="37"/>
        <v>112621.05</v>
      </c>
    </row>
    <row r="146" spans="1:14" ht="15" x14ac:dyDescent="0.2">
      <c r="A146" s="467"/>
      <c r="B146" s="1696" t="s">
        <v>6527</v>
      </c>
      <c r="C146" s="1697"/>
      <c r="D146" s="478">
        <f>D142+D145</f>
        <v>300320.59999999998</v>
      </c>
      <c r="E146" s="478">
        <f t="shared" ref="E146:F146" si="38">E142+E145</f>
        <v>40961.629999999997</v>
      </c>
      <c r="F146" s="478">
        <f t="shared" si="38"/>
        <v>92051.99</v>
      </c>
      <c r="G146" s="478">
        <f>G142+G145</f>
        <v>679612.6</v>
      </c>
      <c r="H146" s="478">
        <f>H142+H145</f>
        <v>1112946.82</v>
      </c>
      <c r="I146" s="1421">
        <f>I142+I145</f>
        <v>166.44</v>
      </c>
      <c r="J146" s="1421">
        <f t="shared" ref="J146:K146" si="39">J142+J145</f>
        <v>15963.3</v>
      </c>
      <c r="K146" s="1421">
        <f t="shared" si="39"/>
        <v>43598.32</v>
      </c>
      <c r="L146" s="1421">
        <f>L142+L145</f>
        <v>615998.21</v>
      </c>
      <c r="M146" s="1421">
        <f>M142+M145</f>
        <v>675726.27</v>
      </c>
      <c r="N146" s="456" t="s">
        <v>10143</v>
      </c>
    </row>
    <row r="147" spans="1:14" x14ac:dyDescent="0.2">
      <c r="C147" s="458" t="s">
        <v>9642</v>
      </c>
      <c r="D147" s="471">
        <f>D146-D148</f>
        <v>300154.15999999997</v>
      </c>
      <c r="E147" s="471">
        <f>E146-E148</f>
        <v>24998.33</v>
      </c>
      <c r="F147" s="471">
        <f>F146-F148</f>
        <v>48453.67</v>
      </c>
      <c r="G147" s="471">
        <f>G146-G148</f>
        <v>63614.39</v>
      </c>
      <c r="H147" s="471">
        <f>H146-H148</f>
        <v>437220.55</v>
      </c>
    </row>
    <row r="148" spans="1:14" x14ac:dyDescent="0.2">
      <c r="C148" s="479" t="s">
        <v>9643</v>
      </c>
      <c r="D148" s="471">
        <f>I146</f>
        <v>166.44</v>
      </c>
      <c r="E148" s="471">
        <f>J146</f>
        <v>15963.3</v>
      </c>
      <c r="F148" s="471">
        <f>K146</f>
        <v>43598.32</v>
      </c>
      <c r="G148" s="471">
        <f>L146</f>
        <v>615998.21</v>
      </c>
      <c r="H148" s="471">
        <f>M146</f>
        <v>675726.27</v>
      </c>
    </row>
    <row r="150" spans="1:14" x14ac:dyDescent="0.2">
      <c r="C150" s="458" t="s">
        <v>9636</v>
      </c>
      <c r="E150" s="458" t="s">
        <v>6528</v>
      </c>
    </row>
    <row r="151" spans="1:14" x14ac:dyDescent="0.2">
      <c r="C151" s="458"/>
    </row>
    <row r="152" spans="1:14" x14ac:dyDescent="0.2">
      <c r="C152" s="1105" t="s">
        <v>9637</v>
      </c>
      <c r="E152" s="458" t="s">
        <v>6529</v>
      </c>
    </row>
    <row r="157" spans="1:14" x14ac:dyDescent="0.2">
      <c r="D157" s="458">
        <v>300320.59999999998</v>
      </c>
      <c r="E157" s="458">
        <v>40961.629999999997</v>
      </c>
      <c r="F157" s="458">
        <v>92051.99</v>
      </c>
      <c r="G157" s="458">
        <v>679612.6</v>
      </c>
      <c r="H157" s="458">
        <v>1112946.82</v>
      </c>
    </row>
    <row r="158" spans="1:14" x14ac:dyDescent="0.2">
      <c r="D158" s="458">
        <v>300154.15999999997</v>
      </c>
      <c r="E158" s="458">
        <v>24998.33</v>
      </c>
      <c r="F158" s="458">
        <v>48453.67</v>
      </c>
      <c r="G158" s="458">
        <v>63614.39</v>
      </c>
      <c r="H158" s="458">
        <v>437220.55</v>
      </c>
    </row>
    <row r="159" spans="1:14" x14ac:dyDescent="0.2">
      <c r="D159" s="458">
        <v>166.44</v>
      </c>
      <c r="E159" s="458">
        <v>15963.3</v>
      </c>
      <c r="F159" s="458">
        <v>43598.32</v>
      </c>
      <c r="G159" s="458">
        <v>615998.21</v>
      </c>
      <c r="H159" s="458">
        <v>675726.27</v>
      </c>
    </row>
    <row r="160" spans="1:14" x14ac:dyDescent="0.2">
      <c r="D160" s="458" t="b">
        <f>D146=D157</f>
        <v>1</v>
      </c>
      <c r="E160" s="458" t="b">
        <f t="shared" ref="E160:H160" si="40">E146=E157</f>
        <v>1</v>
      </c>
      <c r="F160" s="458" t="b">
        <f t="shared" si="40"/>
        <v>1</v>
      </c>
      <c r="G160" s="458" t="b">
        <f t="shared" si="40"/>
        <v>1</v>
      </c>
      <c r="H160" s="458" t="b">
        <f t="shared" si="40"/>
        <v>1</v>
      </c>
    </row>
    <row r="161" spans="4:8" x14ac:dyDescent="0.2">
      <c r="D161" s="458" t="b">
        <f t="shared" ref="D161:H162" si="41">D147=D158</f>
        <v>1</v>
      </c>
      <c r="E161" s="458" t="b">
        <f t="shared" si="41"/>
        <v>1</v>
      </c>
      <c r="F161" s="458" t="b">
        <f t="shared" si="41"/>
        <v>1</v>
      </c>
      <c r="G161" s="458" t="b">
        <f t="shared" si="41"/>
        <v>1</v>
      </c>
      <c r="H161" s="458" t="b">
        <f t="shared" si="41"/>
        <v>1</v>
      </c>
    </row>
    <row r="162" spans="4:8" x14ac:dyDescent="0.2">
      <c r="D162" s="458" t="b">
        <f t="shared" si="41"/>
        <v>1</v>
      </c>
      <c r="E162" s="458" t="b">
        <f t="shared" si="41"/>
        <v>1</v>
      </c>
      <c r="F162" s="458" t="b">
        <f t="shared" si="41"/>
        <v>1</v>
      </c>
      <c r="G162" s="458" t="b">
        <f t="shared" si="41"/>
        <v>1</v>
      </c>
      <c r="H162" s="458" t="b">
        <f t="shared" si="41"/>
        <v>1</v>
      </c>
    </row>
  </sheetData>
  <mergeCells count="45">
    <mergeCell ref="I68:M68"/>
    <mergeCell ref="B146:C146"/>
    <mergeCell ref="B138:C138"/>
    <mergeCell ref="A139:H139"/>
    <mergeCell ref="B141:C141"/>
    <mergeCell ref="B142:C142"/>
    <mergeCell ref="A143:H143"/>
    <mergeCell ref="B145:C145"/>
    <mergeCell ref="B137:C137"/>
    <mergeCell ref="B101:C101"/>
    <mergeCell ref="B102:C102"/>
    <mergeCell ref="A103:H103"/>
    <mergeCell ref="B105:C105"/>
    <mergeCell ref="B106:C106"/>
    <mergeCell ref="A107:H107"/>
    <mergeCell ref="B122:C122"/>
    <mergeCell ref="B123:C123"/>
    <mergeCell ref="A124:H124"/>
    <mergeCell ref="B126:C126"/>
    <mergeCell ref="A127:H127"/>
    <mergeCell ref="A92:H92"/>
    <mergeCell ref="A75:H75"/>
    <mergeCell ref="B82:C82"/>
    <mergeCell ref="A83:H83"/>
    <mergeCell ref="B32:C32"/>
    <mergeCell ref="A33:H33"/>
    <mergeCell ref="B42:C42"/>
    <mergeCell ref="A43:H43"/>
    <mergeCell ref="B66:C66"/>
    <mergeCell ref="B91:C91"/>
    <mergeCell ref="A22:H22"/>
    <mergeCell ref="C2:G2"/>
    <mergeCell ref="C7:G7"/>
    <mergeCell ref="C14:G14"/>
    <mergeCell ref="A17:A20"/>
    <mergeCell ref="B17:B20"/>
    <mergeCell ref="C17:C20"/>
    <mergeCell ref="D17:G17"/>
    <mergeCell ref="H17:H20"/>
    <mergeCell ref="D18:D20"/>
    <mergeCell ref="E18:E20"/>
    <mergeCell ref="F18:F20"/>
    <mergeCell ref="G18:G20"/>
    <mergeCell ref="A67:H67"/>
    <mergeCell ref="B74:C74"/>
  </mergeCells>
  <conditionalFormatting sqref="D160:H162">
    <cfRule type="containsText" dxfId="1" priority="1" operator="containsText" text="истина">
      <formula>NOT(ISERROR(SEARCH("истина",D160)))</formula>
    </cfRule>
    <cfRule type="containsText" dxfId="0" priority="2" operator="containsText" text="ложь">
      <formula>NOT(ISERROR(SEARCH("ложь",D160)))</formula>
    </cfRule>
  </conditionalFormatting>
  <pageMargins left="0.42" right="0.25" top="0.5" bottom="0.52" header="0.3" footer="0.3"/>
  <pageSetup paperSize="9" fitToHeight="10000" orientation="landscape" r:id="rId1"/>
  <headerFooter alignWithMargins="0">
    <oddHeader>&amp;LГРАНД-Смета 2021</oddHeader>
    <oddFooter>&amp;RСтраница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2">
    <pageSetUpPr fitToPage="1"/>
  </sheetPr>
  <dimension ref="B1:J35"/>
  <sheetViews>
    <sheetView showGridLines="0" topLeftCell="B5" zoomScale="115" zoomScaleNormal="115" workbookViewId="0"/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59" t="s">
        <v>274</v>
      </c>
      <c r="D3" s="1759"/>
      <c r="E3" s="1759"/>
      <c r="F3" s="1759"/>
      <c r="G3" s="1759"/>
      <c r="H3" s="175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59" t="s">
        <v>275</v>
      </c>
      <c r="D5" s="1759"/>
      <c r="E5" s="1759"/>
      <c r="F5" s="1759"/>
      <c r="G5" s="1759"/>
      <c r="H5" s="175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10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276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761" t="s">
        <v>143</v>
      </c>
      <c r="E10" s="1761"/>
      <c r="F10" s="1761"/>
      <c r="G10" s="1761"/>
      <c r="H10" s="1761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14"/>
      <c r="E12" s="15"/>
      <c r="F12" s="15"/>
      <c r="G12" s="16">
        <v>112.89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21" t="s">
        <v>282</v>
      </c>
      <c r="F15" s="22"/>
      <c r="G15" s="23"/>
      <c r="H15" s="9" t="s">
        <v>283</v>
      </c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10" x14ac:dyDescent="0.2">
      <c r="B17" s="6"/>
      <c r="C17" s="20" t="s">
        <v>281</v>
      </c>
      <c r="E17" s="21">
        <v>16.95</v>
      </c>
      <c r="F17" s="22"/>
      <c r="G17" s="23"/>
      <c r="H17" s="9" t="s">
        <v>285</v>
      </c>
      <c r="I17" s="9"/>
    </row>
    <row r="18" spans="2:10" x14ac:dyDescent="0.2">
      <c r="B18" s="6"/>
      <c r="C18" s="24" t="s">
        <v>286</v>
      </c>
      <c r="D18" s="24"/>
      <c r="E18" s="24"/>
      <c r="F18" s="24"/>
      <c r="G18" s="9"/>
      <c r="H18" s="9"/>
      <c r="I18" s="9"/>
    </row>
    <row r="19" spans="2:10" x14ac:dyDescent="0.2">
      <c r="B19" s="6"/>
      <c r="C19" s="7"/>
      <c r="D19" s="8"/>
      <c r="E19" s="9"/>
      <c r="F19" s="9"/>
      <c r="G19" s="9"/>
      <c r="H19" s="9"/>
      <c r="I19" s="9"/>
    </row>
    <row r="20" spans="2:10" x14ac:dyDescent="0.2">
      <c r="B20" s="1724" t="s">
        <v>287</v>
      </c>
      <c r="C20" s="1725" t="s">
        <v>145</v>
      </c>
      <c r="D20" s="1724" t="s">
        <v>288</v>
      </c>
      <c r="E20" s="1765" t="s">
        <v>289</v>
      </c>
      <c r="F20" s="1766"/>
      <c r="G20" s="1766"/>
      <c r="H20" s="1766"/>
      <c r="I20" s="1767"/>
    </row>
    <row r="21" spans="2:10" ht="20.25" customHeight="1" x14ac:dyDescent="0.2">
      <c r="B21" s="1724"/>
      <c r="C21" s="1725"/>
      <c r="D21" s="1724"/>
      <c r="E21" s="1724" t="s">
        <v>290</v>
      </c>
      <c r="F21" s="1724" t="s">
        <v>140</v>
      </c>
      <c r="G21" s="1724" t="s">
        <v>146</v>
      </c>
      <c r="H21" s="1724" t="s">
        <v>147</v>
      </c>
      <c r="I21" s="1724" t="s">
        <v>148</v>
      </c>
    </row>
    <row r="22" spans="2:10" ht="30.75" customHeight="1" x14ac:dyDescent="0.2">
      <c r="B22" s="1724"/>
      <c r="C22" s="1725"/>
      <c r="D22" s="1724"/>
      <c r="E22" s="1724"/>
      <c r="F22" s="1724"/>
      <c r="G22" s="1724"/>
      <c r="H22" s="1724"/>
      <c r="I22" s="1724"/>
    </row>
    <row r="23" spans="2:10" ht="39.75" customHeight="1" x14ac:dyDescent="0.2">
      <c r="B23" s="1724"/>
      <c r="C23" s="1725"/>
      <c r="D23" s="1724"/>
      <c r="E23" s="1724"/>
      <c r="F23" s="1724"/>
      <c r="G23" s="1724"/>
      <c r="H23" s="1724"/>
      <c r="I23" s="1724"/>
    </row>
    <row r="24" spans="2:10" x14ac:dyDescent="0.2">
      <c r="B24" s="25">
        <v>1</v>
      </c>
      <c r="C24" s="25">
        <v>2</v>
      </c>
      <c r="D24" s="25">
        <v>3</v>
      </c>
      <c r="E24" s="25">
        <v>4</v>
      </c>
      <c r="F24" s="25">
        <v>5</v>
      </c>
      <c r="G24" s="25">
        <v>6</v>
      </c>
      <c r="H24" s="25">
        <v>7</v>
      </c>
      <c r="I24" s="25">
        <v>8</v>
      </c>
    </row>
    <row r="25" spans="2:10" ht="21" customHeight="1" x14ac:dyDescent="0.2">
      <c r="B25" s="1762" t="s">
        <v>291</v>
      </c>
      <c r="C25" s="1763"/>
      <c r="D25" s="1763"/>
      <c r="E25" s="1763"/>
      <c r="F25" s="1763"/>
      <c r="G25" s="1763"/>
      <c r="H25" s="1763"/>
      <c r="I25" s="1763"/>
    </row>
    <row r="26" spans="2:10" x14ac:dyDescent="0.2">
      <c r="B26" s="26">
        <v>1</v>
      </c>
      <c r="C26" s="27" t="s">
        <v>292</v>
      </c>
      <c r="D26" s="28" t="s">
        <v>14</v>
      </c>
      <c r="E26" s="29">
        <v>27.08</v>
      </c>
      <c r="F26" s="29"/>
      <c r="G26" s="29"/>
      <c r="H26" s="29"/>
      <c r="I26" s="29">
        <v>27.08</v>
      </c>
    </row>
    <row r="27" spans="2:10" x14ac:dyDescent="0.2">
      <c r="B27" s="26">
        <v>2</v>
      </c>
      <c r="C27" s="27" t="s">
        <v>293</v>
      </c>
      <c r="D27" s="28" t="s">
        <v>275</v>
      </c>
      <c r="E27" s="29">
        <v>85.81</v>
      </c>
      <c r="F27" s="29"/>
      <c r="G27" s="29"/>
      <c r="H27" s="29"/>
      <c r="I27" s="29">
        <v>85.81</v>
      </c>
    </row>
    <row r="28" spans="2:10" x14ac:dyDescent="0.2">
      <c r="B28" s="26" t="s">
        <v>143</v>
      </c>
      <c r="C28" s="27" t="s">
        <v>143</v>
      </c>
      <c r="D28" s="30" t="s">
        <v>294</v>
      </c>
      <c r="E28" s="29">
        <v>112.89</v>
      </c>
      <c r="F28" s="29"/>
      <c r="G28" s="29"/>
      <c r="H28" s="29"/>
      <c r="I28" s="29">
        <v>112.89</v>
      </c>
    </row>
    <row r="29" spans="2:10" x14ac:dyDescent="0.2">
      <c r="B29" s="31"/>
      <c r="C29" s="32"/>
      <c r="D29" s="33"/>
      <c r="E29" s="34"/>
      <c r="F29" s="34"/>
      <c r="G29" s="34"/>
      <c r="H29" s="34"/>
      <c r="I29" s="34"/>
      <c r="J29" s="1" t="s">
        <v>295</v>
      </c>
    </row>
    <row r="32" spans="2:10" ht="15" x14ac:dyDescent="0.2">
      <c r="B32" s="35" t="s">
        <v>149</v>
      </c>
      <c r="D32" s="36"/>
      <c r="E32" s="37"/>
      <c r="F32" s="36"/>
      <c r="G32" s="36" t="s">
        <v>296</v>
      </c>
      <c r="I32" s="38"/>
    </row>
    <row r="33" spans="2:9" ht="15" x14ac:dyDescent="0.2">
      <c r="C33" s="39"/>
      <c r="D33" s="1764" t="s">
        <v>150</v>
      </c>
      <c r="E33" s="1764"/>
      <c r="F33" s="1764"/>
      <c r="G33" s="1764"/>
      <c r="H33" s="1764"/>
      <c r="I33" s="1764"/>
    </row>
    <row r="34" spans="2:9" ht="15" x14ac:dyDescent="0.2">
      <c r="B34" s="35" t="s">
        <v>151</v>
      </c>
      <c r="D34" s="36"/>
      <c r="E34" s="37"/>
      <c r="F34" s="36"/>
      <c r="G34" s="36" t="s">
        <v>297</v>
      </c>
      <c r="H34" s="37"/>
      <c r="I34" s="38"/>
    </row>
    <row r="35" spans="2:9" x14ac:dyDescent="0.2">
      <c r="D35" s="1764" t="s">
        <v>150</v>
      </c>
      <c r="E35" s="1764"/>
      <c r="F35" s="1764"/>
      <c r="G35" s="1764"/>
      <c r="H35" s="1764"/>
      <c r="I35" s="1764"/>
    </row>
  </sheetData>
  <mergeCells count="18">
    <mergeCell ref="B25:I25"/>
    <mergeCell ref="D33:I33"/>
    <mergeCell ref="D35:I35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  <mergeCell ref="B11:I11"/>
    <mergeCell ref="C3:H3"/>
    <mergeCell ref="D4:G4"/>
    <mergeCell ref="C5:H5"/>
    <mergeCell ref="D6:G6"/>
    <mergeCell ref="D10:H10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3">
    <pageSetUpPr fitToPage="1"/>
  </sheetPr>
  <dimension ref="B1:I35"/>
  <sheetViews>
    <sheetView showGridLines="0" topLeftCell="B11" zoomScale="115" zoomScaleNormal="115" workbookViewId="0">
      <selection activeCell="B26" sqref="B26:I27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59" t="s">
        <v>274</v>
      </c>
      <c r="D3" s="1759"/>
      <c r="E3" s="1759"/>
      <c r="F3" s="1759"/>
      <c r="G3" s="1759"/>
      <c r="H3" s="175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59" t="s">
        <v>275</v>
      </c>
      <c r="D5" s="1759"/>
      <c r="E5" s="1759"/>
      <c r="F5" s="1759"/>
      <c r="G5" s="1759"/>
      <c r="H5" s="175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10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276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761" t="s">
        <v>143</v>
      </c>
      <c r="E10" s="1761"/>
      <c r="F10" s="1761"/>
      <c r="G10" s="1761"/>
      <c r="H10" s="1761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14"/>
      <c r="E12" s="15"/>
      <c r="F12" s="15"/>
      <c r="G12" s="16">
        <v>939.23699999999997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21">
        <v>6.66</v>
      </c>
      <c r="F15" s="22"/>
      <c r="G15" s="23"/>
      <c r="H15" s="9" t="s">
        <v>283</v>
      </c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21">
        <v>141.03</v>
      </c>
      <c r="F17" s="22"/>
      <c r="G17" s="23"/>
      <c r="H17" s="9" t="s">
        <v>285</v>
      </c>
      <c r="I17" s="9"/>
    </row>
    <row r="18" spans="2:9" x14ac:dyDescent="0.2">
      <c r="B18" s="6"/>
      <c r="C18" s="24" t="s">
        <v>298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24" t="s">
        <v>287</v>
      </c>
      <c r="C20" s="1725" t="s">
        <v>145</v>
      </c>
      <c r="D20" s="1724" t="s">
        <v>288</v>
      </c>
      <c r="E20" s="1765" t="s">
        <v>289</v>
      </c>
      <c r="F20" s="1766"/>
      <c r="G20" s="1766"/>
      <c r="H20" s="1766"/>
      <c r="I20" s="1767"/>
    </row>
    <row r="21" spans="2:9" ht="20.25" customHeight="1" x14ac:dyDescent="0.2">
      <c r="B21" s="1724"/>
      <c r="C21" s="1725"/>
      <c r="D21" s="1724"/>
      <c r="E21" s="1724" t="s">
        <v>290</v>
      </c>
      <c r="F21" s="1724" t="s">
        <v>140</v>
      </c>
      <c r="G21" s="1724" t="s">
        <v>146</v>
      </c>
      <c r="H21" s="1724" t="s">
        <v>147</v>
      </c>
      <c r="I21" s="1724" t="s">
        <v>148</v>
      </c>
    </row>
    <row r="22" spans="2:9" ht="30.75" customHeight="1" x14ac:dyDescent="0.2">
      <c r="B22" s="1724"/>
      <c r="C22" s="1725"/>
      <c r="D22" s="1724"/>
      <c r="E22" s="1724"/>
      <c r="F22" s="1724"/>
      <c r="G22" s="1724"/>
      <c r="H22" s="1724"/>
      <c r="I22" s="1724"/>
    </row>
    <row r="23" spans="2:9" ht="39.75" customHeight="1" x14ac:dyDescent="0.2">
      <c r="B23" s="1724"/>
      <c r="C23" s="1725"/>
      <c r="D23" s="1724"/>
      <c r="E23" s="1724"/>
      <c r="F23" s="1724"/>
      <c r="G23" s="1724"/>
      <c r="H23" s="1724"/>
      <c r="I23" s="1724"/>
    </row>
    <row r="24" spans="2:9" x14ac:dyDescent="0.2">
      <c r="B24" s="25">
        <v>1</v>
      </c>
      <c r="C24" s="25">
        <v>2</v>
      </c>
      <c r="D24" s="25">
        <v>3</v>
      </c>
      <c r="E24" s="25">
        <v>4</v>
      </c>
      <c r="F24" s="25">
        <v>5</v>
      </c>
      <c r="G24" s="25">
        <v>6</v>
      </c>
      <c r="H24" s="25">
        <v>7</v>
      </c>
      <c r="I24" s="25">
        <v>8</v>
      </c>
    </row>
    <row r="25" spans="2:9" ht="21" customHeight="1" x14ac:dyDescent="0.2">
      <c r="B25" s="1762" t="s">
        <v>291</v>
      </c>
      <c r="C25" s="1763"/>
      <c r="D25" s="1763"/>
      <c r="E25" s="1763"/>
      <c r="F25" s="1763"/>
      <c r="G25" s="1763"/>
      <c r="H25" s="1763"/>
      <c r="I25" s="1763"/>
    </row>
    <row r="26" spans="2:9" x14ac:dyDescent="0.2">
      <c r="B26" s="26">
        <v>1</v>
      </c>
      <c r="C26" s="27" t="s">
        <v>292</v>
      </c>
      <c r="D26" s="28" t="s">
        <v>14</v>
      </c>
      <c r="E26" s="29">
        <v>225.33500000000001</v>
      </c>
      <c r="F26" s="29"/>
      <c r="G26" s="29"/>
      <c r="H26" s="29"/>
      <c r="I26" s="29">
        <v>225.33500000000001</v>
      </c>
    </row>
    <row r="27" spans="2:9" x14ac:dyDescent="0.2">
      <c r="B27" s="26">
        <v>2</v>
      </c>
      <c r="C27" s="27" t="s">
        <v>293</v>
      </c>
      <c r="D27" s="28" t="s">
        <v>275</v>
      </c>
      <c r="E27" s="29">
        <v>713.90200000000004</v>
      </c>
      <c r="F27" s="29"/>
      <c r="G27" s="29"/>
      <c r="H27" s="29"/>
      <c r="I27" s="29">
        <v>713.90200000000004</v>
      </c>
    </row>
    <row r="28" spans="2:9" x14ac:dyDescent="0.2">
      <c r="B28" s="26" t="s">
        <v>143</v>
      </c>
      <c r="C28" s="27" t="s">
        <v>143</v>
      </c>
      <c r="D28" s="30" t="s">
        <v>294</v>
      </c>
      <c r="E28" s="29">
        <v>939.23699999999997</v>
      </c>
      <c r="F28" s="29"/>
      <c r="G28" s="29"/>
      <c r="H28" s="29"/>
      <c r="I28" s="29">
        <v>939.23699999999997</v>
      </c>
    </row>
    <row r="29" spans="2:9" x14ac:dyDescent="0.2">
      <c r="B29" s="31"/>
      <c r="C29" s="32"/>
      <c r="D29" s="33"/>
      <c r="E29" s="34"/>
      <c r="F29" s="34"/>
      <c r="G29" s="34"/>
      <c r="H29" s="34"/>
      <c r="I29" s="34"/>
    </row>
    <row r="32" spans="2:9" ht="15" x14ac:dyDescent="0.2">
      <c r="B32" s="35" t="s">
        <v>149</v>
      </c>
      <c r="D32" s="36"/>
      <c r="E32" s="37"/>
      <c r="F32" s="36"/>
      <c r="G32" s="36" t="s">
        <v>296</v>
      </c>
      <c r="I32" s="38"/>
    </row>
    <row r="33" spans="2:9" ht="15" x14ac:dyDescent="0.2">
      <c r="C33" s="39"/>
      <c r="D33" s="1764" t="s">
        <v>150</v>
      </c>
      <c r="E33" s="1764"/>
      <c r="F33" s="1764"/>
      <c r="G33" s="1764"/>
      <c r="H33" s="1764"/>
      <c r="I33" s="1764"/>
    </row>
    <row r="34" spans="2:9" ht="15" x14ac:dyDescent="0.2">
      <c r="B34" s="35" t="s">
        <v>151</v>
      </c>
      <c r="D34" s="36"/>
      <c r="E34" s="37"/>
      <c r="F34" s="36"/>
      <c r="G34" s="36" t="s">
        <v>297</v>
      </c>
      <c r="H34" s="37"/>
      <c r="I34" s="38"/>
    </row>
    <row r="35" spans="2:9" x14ac:dyDescent="0.2">
      <c r="D35" s="1764" t="s">
        <v>150</v>
      </c>
      <c r="E35" s="1764"/>
      <c r="F35" s="1764"/>
      <c r="G35" s="1764"/>
      <c r="H35" s="1764"/>
      <c r="I35" s="1764"/>
    </row>
  </sheetData>
  <mergeCells count="18">
    <mergeCell ref="B25:I25"/>
    <mergeCell ref="D33:I33"/>
    <mergeCell ref="D35:I35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  <mergeCell ref="B11:I11"/>
    <mergeCell ref="C3:H3"/>
    <mergeCell ref="D4:G4"/>
    <mergeCell ref="C5:H5"/>
    <mergeCell ref="D6:G6"/>
    <mergeCell ref="D10:H10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AJ291"/>
  <sheetViews>
    <sheetView topLeftCell="A253" zoomScale="115" zoomScaleNormal="115" workbookViewId="0"/>
  </sheetViews>
  <sheetFormatPr defaultColWidth="9.140625" defaultRowHeight="11.25" customHeight="1" x14ac:dyDescent="0.2"/>
  <cols>
    <col min="1" max="1" width="8.140625" style="40" customWidth="1"/>
    <col min="2" max="2" width="20.140625" style="40" customWidth="1"/>
    <col min="3" max="4" width="10.42578125" style="40" customWidth="1"/>
    <col min="5" max="5" width="13.28515625" style="40" customWidth="1"/>
    <col min="6" max="6" width="8.5703125" style="40" customWidth="1"/>
    <col min="7" max="7" width="7.85546875" style="40" customWidth="1"/>
    <col min="8" max="8" width="8.42578125" style="40" customWidth="1"/>
    <col min="9" max="9" width="8.7109375" style="40" customWidth="1"/>
    <col min="10" max="10" width="8.140625" style="40" customWidth="1"/>
    <col min="11" max="11" width="8.5703125" style="40" customWidth="1"/>
    <col min="12" max="12" width="10" style="40" customWidth="1"/>
    <col min="13" max="13" width="6" style="40" customWidth="1"/>
    <col min="14" max="14" width="9.7109375" style="40" customWidth="1"/>
    <col min="15" max="15" width="9.140625" style="40"/>
    <col min="16" max="16" width="49.140625" style="43" hidden="1" customWidth="1"/>
    <col min="17" max="17" width="42.42578125" style="43" hidden="1" customWidth="1"/>
    <col min="18" max="18" width="99.7109375" style="43" hidden="1" customWidth="1"/>
    <col min="19" max="22" width="138.42578125" style="43" hidden="1" customWidth="1"/>
    <col min="23" max="23" width="34.140625" style="43" hidden="1" customWidth="1"/>
    <col min="24" max="25" width="110.140625" style="43" hidden="1" customWidth="1"/>
    <col min="26" max="29" width="34.140625" style="43" hidden="1" customWidth="1"/>
    <col min="30" max="35" width="84.42578125" style="43" hidden="1" customWidth="1"/>
    <col min="36" max="36" width="138.42578125" style="43" hidden="1" customWidth="1"/>
    <col min="37" max="16384" width="9.140625" style="40"/>
  </cols>
  <sheetData>
    <row r="1" spans="1:20" s="40" customFormat="1" x14ac:dyDescent="0.2">
      <c r="N1" s="41" t="s">
        <v>152</v>
      </c>
    </row>
    <row r="2" spans="1:20" s="40" customFormat="1" x14ac:dyDescent="0.2">
      <c r="N2" s="41" t="s">
        <v>141</v>
      </c>
    </row>
    <row r="3" spans="1:20" s="40" customFormat="1" ht="8.25" customHeight="1" x14ac:dyDescent="0.2">
      <c r="N3" s="41"/>
    </row>
    <row r="4" spans="1:20" s="40" customFormat="1" ht="14.25" customHeight="1" x14ac:dyDescent="0.2">
      <c r="A4" s="1772" t="s">
        <v>153</v>
      </c>
      <c r="B4" s="1772"/>
      <c r="C4" s="1772"/>
      <c r="D4" s="42"/>
      <c r="K4" s="1772" t="s">
        <v>154</v>
      </c>
      <c r="L4" s="1772"/>
      <c r="M4" s="1772"/>
      <c r="N4" s="1772"/>
    </row>
    <row r="5" spans="1:20" s="40" customFormat="1" ht="12" customHeight="1" x14ac:dyDescent="0.2">
      <c r="A5" s="1773"/>
      <c r="B5" s="1773"/>
      <c r="C5" s="1773"/>
      <c r="D5" s="1773"/>
      <c r="E5" s="43"/>
      <c r="J5" s="1774"/>
      <c r="K5" s="1774"/>
      <c r="L5" s="1774"/>
      <c r="M5" s="1774"/>
      <c r="N5" s="1774"/>
    </row>
    <row r="6" spans="1:20" s="40" customFormat="1" x14ac:dyDescent="0.2">
      <c r="A6" s="1768"/>
      <c r="B6" s="1768"/>
      <c r="C6" s="1768"/>
      <c r="D6" s="1768"/>
      <c r="J6" s="1768"/>
      <c r="K6" s="1768"/>
      <c r="L6" s="1768"/>
      <c r="M6" s="1768"/>
      <c r="N6" s="1768"/>
      <c r="P6" s="43" t="s">
        <v>143</v>
      </c>
      <c r="Q6" s="43" t="s">
        <v>143</v>
      </c>
    </row>
    <row r="7" spans="1:20" s="40" customFormat="1" ht="17.25" customHeight="1" x14ac:dyDescent="0.2">
      <c r="A7" s="44"/>
      <c r="B7" s="45"/>
      <c r="C7" s="43"/>
      <c r="D7" s="43"/>
      <c r="K7" s="44"/>
      <c r="L7" s="44"/>
      <c r="M7" s="44"/>
      <c r="N7" s="45"/>
    </row>
    <row r="8" spans="1:20" s="40" customFormat="1" ht="16.5" customHeight="1" x14ac:dyDescent="0.2">
      <c r="A8" s="40" t="s">
        <v>155</v>
      </c>
      <c r="B8" s="46"/>
      <c r="C8" s="46"/>
      <c r="D8" s="46"/>
      <c r="L8" s="46"/>
      <c r="M8" s="46"/>
      <c r="N8" s="41" t="s">
        <v>155</v>
      </c>
    </row>
    <row r="9" spans="1:20" s="40" customFormat="1" ht="15.75" customHeight="1" x14ac:dyDescent="0.2">
      <c r="F9" s="47"/>
    </row>
    <row r="10" spans="1:20" s="40" customFormat="1" ht="33.75" x14ac:dyDescent="0.2">
      <c r="A10" s="48" t="s">
        <v>156</v>
      </c>
      <c r="B10" s="46"/>
      <c r="D10" s="1768" t="s">
        <v>157</v>
      </c>
      <c r="E10" s="1768"/>
      <c r="F10" s="1768"/>
      <c r="G10" s="1768"/>
      <c r="H10" s="1768"/>
      <c r="I10" s="1768"/>
      <c r="J10" s="1768"/>
      <c r="K10" s="1768"/>
      <c r="L10" s="1768"/>
      <c r="M10" s="1768"/>
      <c r="N10" s="1768"/>
      <c r="R10" s="43" t="s">
        <v>157</v>
      </c>
    </row>
    <row r="11" spans="1:20" s="40" customFormat="1" ht="15" customHeight="1" x14ac:dyDescent="0.2">
      <c r="A11" s="49" t="s">
        <v>158</v>
      </c>
      <c r="D11" s="44" t="s">
        <v>159</v>
      </c>
      <c r="E11" s="44"/>
      <c r="F11" s="50"/>
      <c r="G11" s="50"/>
      <c r="H11" s="50"/>
      <c r="I11" s="50"/>
      <c r="J11" s="50"/>
      <c r="K11" s="50"/>
      <c r="L11" s="50"/>
      <c r="M11" s="50"/>
      <c r="N11" s="50"/>
    </row>
    <row r="12" spans="1:20" s="40" customFormat="1" ht="8.25" customHeight="1" x14ac:dyDescent="0.2">
      <c r="A12" s="49"/>
      <c r="F12" s="46"/>
      <c r="G12" s="46"/>
      <c r="H12" s="46"/>
      <c r="I12" s="46"/>
      <c r="J12" s="46"/>
      <c r="K12" s="46"/>
      <c r="L12" s="46"/>
      <c r="M12" s="46"/>
      <c r="N12" s="46"/>
    </row>
    <row r="13" spans="1:20" s="40" customFormat="1" x14ac:dyDescent="0.2">
      <c r="A13" s="1769" t="s">
        <v>274</v>
      </c>
      <c r="B13" s="1769"/>
      <c r="C13" s="1769"/>
      <c r="D13" s="1769"/>
      <c r="E13" s="1769"/>
      <c r="F13" s="1769"/>
      <c r="G13" s="1769"/>
      <c r="H13" s="1769"/>
      <c r="I13" s="1769"/>
      <c r="J13" s="1769"/>
      <c r="K13" s="1769"/>
      <c r="L13" s="1769"/>
      <c r="M13" s="1769"/>
      <c r="N13" s="1769"/>
      <c r="S13" s="43" t="s">
        <v>274</v>
      </c>
    </row>
    <row r="14" spans="1:20" s="40" customFormat="1" x14ac:dyDescent="0.2">
      <c r="A14" s="1770" t="s">
        <v>139</v>
      </c>
      <c r="B14" s="1770"/>
      <c r="C14" s="1770"/>
      <c r="D14" s="1770"/>
      <c r="E14" s="1770"/>
      <c r="F14" s="1770"/>
      <c r="G14" s="1770"/>
      <c r="H14" s="1770"/>
      <c r="I14" s="1770"/>
      <c r="J14" s="1770"/>
      <c r="K14" s="1770"/>
      <c r="L14" s="1770"/>
      <c r="M14" s="1770"/>
      <c r="N14" s="1770"/>
    </row>
    <row r="15" spans="1:20" s="40" customFormat="1" ht="8.25" customHeight="1" x14ac:dyDescent="0.2">
      <c r="A15" s="51"/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</row>
    <row r="16" spans="1:20" s="40" customFormat="1" x14ac:dyDescent="0.2">
      <c r="A16" s="1769" t="s">
        <v>15</v>
      </c>
      <c r="B16" s="1769"/>
      <c r="C16" s="1769"/>
      <c r="D16" s="1769"/>
      <c r="E16" s="1769"/>
      <c r="F16" s="1769"/>
      <c r="G16" s="1769"/>
      <c r="H16" s="1769"/>
      <c r="I16" s="1769"/>
      <c r="J16" s="1769"/>
      <c r="K16" s="1769"/>
      <c r="L16" s="1769"/>
      <c r="M16" s="1769"/>
      <c r="N16" s="1769"/>
      <c r="T16" s="43" t="s">
        <v>15</v>
      </c>
    </row>
    <row r="17" spans="1:21" s="40" customFormat="1" x14ac:dyDescent="0.2">
      <c r="A17" s="1770" t="s">
        <v>142</v>
      </c>
      <c r="B17" s="1770"/>
      <c r="C17" s="1770"/>
      <c r="D17" s="1770"/>
      <c r="E17" s="1770"/>
      <c r="F17" s="1770"/>
      <c r="G17" s="1770"/>
      <c r="H17" s="1770"/>
      <c r="I17" s="1770"/>
      <c r="J17" s="1770"/>
      <c r="K17" s="1770"/>
      <c r="L17" s="1770"/>
      <c r="M17" s="1770"/>
      <c r="N17" s="1770"/>
    </row>
    <row r="18" spans="1:21" s="40" customFormat="1" ht="24" customHeight="1" x14ac:dyDescent="0.25">
      <c r="A18" s="1771" t="s">
        <v>299</v>
      </c>
      <c r="B18" s="1771"/>
      <c r="C18" s="1771"/>
      <c r="D18" s="1771"/>
      <c r="E18" s="1771"/>
      <c r="F18" s="1771"/>
      <c r="G18" s="1771"/>
      <c r="H18" s="1771"/>
      <c r="I18" s="1771"/>
      <c r="J18" s="1771"/>
      <c r="K18" s="1771"/>
      <c r="L18" s="1771"/>
      <c r="M18" s="1771"/>
      <c r="N18" s="1771"/>
    </row>
    <row r="19" spans="1:21" s="40" customFormat="1" ht="8.25" customHeight="1" x14ac:dyDescent="0.25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</row>
    <row r="20" spans="1:21" s="40" customFormat="1" x14ac:dyDescent="0.2">
      <c r="A20" s="1775" t="s">
        <v>14</v>
      </c>
      <c r="B20" s="1775"/>
      <c r="C20" s="1775"/>
      <c r="D20" s="1775"/>
      <c r="E20" s="1775"/>
      <c r="F20" s="1775"/>
      <c r="G20" s="1775"/>
      <c r="H20" s="1775"/>
      <c r="I20" s="1775"/>
      <c r="J20" s="1775"/>
      <c r="K20" s="1775"/>
      <c r="L20" s="1775"/>
      <c r="M20" s="1775"/>
      <c r="N20" s="1775"/>
      <c r="U20" s="43" t="s">
        <v>14</v>
      </c>
    </row>
    <row r="21" spans="1:21" s="40" customFormat="1" ht="13.5" customHeight="1" x14ac:dyDescent="0.2">
      <c r="A21" s="1770" t="s">
        <v>160</v>
      </c>
      <c r="B21" s="1770"/>
      <c r="C21" s="1770"/>
      <c r="D21" s="1770"/>
      <c r="E21" s="1770"/>
      <c r="F21" s="1770"/>
      <c r="G21" s="1770"/>
      <c r="H21" s="1770"/>
      <c r="I21" s="1770"/>
      <c r="J21" s="1770"/>
      <c r="K21" s="1770"/>
      <c r="L21" s="1770"/>
      <c r="M21" s="1770"/>
      <c r="N21" s="1770"/>
    </row>
    <row r="22" spans="1:21" s="40" customFormat="1" ht="15" customHeight="1" x14ac:dyDescent="0.2">
      <c r="A22" s="40" t="s">
        <v>161</v>
      </c>
      <c r="B22" s="53" t="s">
        <v>162</v>
      </c>
      <c r="C22" s="40" t="s">
        <v>163</v>
      </c>
      <c r="F22" s="43"/>
      <c r="G22" s="43"/>
      <c r="H22" s="43"/>
      <c r="I22" s="43"/>
      <c r="J22" s="43"/>
      <c r="K22" s="43"/>
      <c r="L22" s="43"/>
      <c r="M22" s="43"/>
      <c r="N22" s="43"/>
    </row>
    <row r="23" spans="1:21" s="40" customFormat="1" ht="18" customHeight="1" x14ac:dyDescent="0.2">
      <c r="A23" s="40" t="s">
        <v>164</v>
      </c>
      <c r="B23" s="1775" t="s">
        <v>300</v>
      </c>
      <c r="C23" s="1775"/>
      <c r="D23" s="1775"/>
      <c r="E23" s="1775"/>
      <c r="F23" s="1775"/>
      <c r="G23" s="43"/>
      <c r="H23" s="43"/>
      <c r="I23" s="43"/>
      <c r="J23" s="43"/>
      <c r="K23" s="43"/>
      <c r="L23" s="43"/>
      <c r="M23" s="43"/>
      <c r="N23" s="43"/>
    </row>
    <row r="24" spans="1:21" s="40" customFormat="1" x14ac:dyDescent="0.2">
      <c r="B24" s="1776" t="s">
        <v>144</v>
      </c>
      <c r="C24" s="1776"/>
      <c r="D24" s="1776"/>
      <c r="E24" s="1776"/>
      <c r="F24" s="1776"/>
      <c r="G24" s="54"/>
      <c r="H24" s="54"/>
      <c r="I24" s="54"/>
      <c r="J24" s="54"/>
      <c r="K24" s="54"/>
      <c r="L24" s="54"/>
      <c r="M24" s="55"/>
      <c r="N24" s="54"/>
    </row>
    <row r="25" spans="1:21" s="40" customFormat="1" ht="9.75" customHeight="1" x14ac:dyDescent="0.2">
      <c r="D25" s="56"/>
      <c r="E25" s="56"/>
      <c r="F25" s="56"/>
      <c r="G25" s="56"/>
      <c r="H25" s="56"/>
      <c r="I25" s="56"/>
      <c r="J25" s="56"/>
      <c r="K25" s="56"/>
      <c r="L25" s="56"/>
      <c r="M25" s="54"/>
      <c r="N25" s="54"/>
    </row>
    <row r="26" spans="1:21" s="40" customFormat="1" x14ac:dyDescent="0.2">
      <c r="A26" s="57" t="s">
        <v>165</v>
      </c>
      <c r="D26" s="44" t="s">
        <v>301</v>
      </c>
      <c r="F26" s="58"/>
      <c r="G26" s="58"/>
      <c r="H26" s="58"/>
      <c r="I26" s="58"/>
      <c r="J26" s="58"/>
      <c r="K26" s="58"/>
      <c r="L26" s="58"/>
      <c r="M26" s="58"/>
      <c r="N26" s="58"/>
    </row>
    <row r="27" spans="1:21" s="40" customFormat="1" ht="9.75" customHeight="1" x14ac:dyDescent="0.2"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</row>
    <row r="28" spans="1:21" s="40" customFormat="1" ht="12.75" customHeight="1" x14ac:dyDescent="0.2">
      <c r="A28" s="57" t="s">
        <v>166</v>
      </c>
      <c r="C28" s="59">
        <v>225.34</v>
      </c>
      <c r="D28" s="60" t="s">
        <v>302</v>
      </c>
      <c r="E28" s="48" t="s">
        <v>167</v>
      </c>
      <c r="L28" s="61"/>
      <c r="M28" s="61"/>
    </row>
    <row r="29" spans="1:21" s="40" customFormat="1" ht="12.75" customHeight="1" x14ac:dyDescent="0.2">
      <c r="B29" s="40" t="s">
        <v>168</v>
      </c>
      <c r="C29" s="62"/>
      <c r="D29" s="63"/>
      <c r="E29" s="48"/>
    </row>
    <row r="30" spans="1:21" s="40" customFormat="1" ht="12.75" customHeight="1" x14ac:dyDescent="0.2">
      <c r="B30" s="40" t="s">
        <v>169</v>
      </c>
      <c r="C30" s="59">
        <v>225.34</v>
      </c>
      <c r="D30" s="60" t="s">
        <v>302</v>
      </c>
      <c r="E30" s="48" t="s">
        <v>167</v>
      </c>
      <c r="G30" s="40" t="s">
        <v>170</v>
      </c>
      <c r="L30" s="59">
        <v>0</v>
      </c>
      <c r="M30" s="60" t="s">
        <v>303</v>
      </c>
      <c r="N30" s="48" t="s">
        <v>167</v>
      </c>
    </row>
    <row r="31" spans="1:21" s="40" customFormat="1" ht="12.75" customHeight="1" x14ac:dyDescent="0.2">
      <c r="B31" s="40" t="s">
        <v>140</v>
      </c>
      <c r="C31" s="59">
        <v>0</v>
      </c>
      <c r="D31" s="64" t="s">
        <v>171</v>
      </c>
      <c r="E31" s="48" t="s">
        <v>167</v>
      </c>
      <c r="G31" s="40" t="s">
        <v>172</v>
      </c>
      <c r="L31" s="65"/>
      <c r="M31" s="65">
        <v>195.17</v>
      </c>
      <c r="N31" s="49" t="s">
        <v>173</v>
      </c>
    </row>
    <row r="32" spans="1:21" s="40" customFormat="1" ht="12.75" customHeight="1" x14ac:dyDescent="0.2">
      <c r="B32" s="40" t="s">
        <v>146</v>
      </c>
      <c r="C32" s="59">
        <v>0</v>
      </c>
      <c r="D32" s="64" t="s">
        <v>171</v>
      </c>
      <c r="E32" s="48" t="s">
        <v>167</v>
      </c>
      <c r="G32" s="40" t="s">
        <v>174</v>
      </c>
      <c r="L32" s="65"/>
      <c r="M32" s="65">
        <v>148.66</v>
      </c>
      <c r="N32" s="49" t="s">
        <v>173</v>
      </c>
    </row>
    <row r="33" spans="1:28" s="40" customFormat="1" ht="12.75" customHeight="1" x14ac:dyDescent="0.2">
      <c r="B33" s="40" t="s">
        <v>147</v>
      </c>
      <c r="C33" s="59">
        <v>0</v>
      </c>
      <c r="D33" s="60" t="s">
        <v>171</v>
      </c>
      <c r="E33" s="48" t="s">
        <v>167</v>
      </c>
      <c r="G33" s="40" t="s">
        <v>175</v>
      </c>
      <c r="L33" s="1777"/>
      <c r="M33" s="1777"/>
    </row>
    <row r="34" spans="1:28" s="40" customFormat="1" ht="9.75" customHeight="1" x14ac:dyDescent="0.2">
      <c r="A34" s="66"/>
    </row>
    <row r="35" spans="1:28" s="40" customFormat="1" ht="36" customHeight="1" x14ac:dyDescent="0.2">
      <c r="A35" s="1778" t="s">
        <v>8</v>
      </c>
      <c r="B35" s="1778" t="s">
        <v>145</v>
      </c>
      <c r="C35" s="1778" t="s">
        <v>176</v>
      </c>
      <c r="D35" s="1778"/>
      <c r="E35" s="1778"/>
      <c r="F35" s="1778" t="s">
        <v>177</v>
      </c>
      <c r="G35" s="1778" t="s">
        <v>178</v>
      </c>
      <c r="H35" s="1778"/>
      <c r="I35" s="1778"/>
      <c r="J35" s="1778" t="s">
        <v>179</v>
      </c>
      <c r="K35" s="1778"/>
      <c r="L35" s="1778"/>
      <c r="M35" s="1778" t="s">
        <v>180</v>
      </c>
      <c r="N35" s="1778" t="s">
        <v>181</v>
      </c>
    </row>
    <row r="36" spans="1:28" s="40" customFormat="1" ht="36.75" customHeight="1" x14ac:dyDescent="0.2">
      <c r="A36" s="1778"/>
      <c r="B36" s="1778"/>
      <c r="C36" s="1778"/>
      <c r="D36" s="1778"/>
      <c r="E36" s="1778"/>
      <c r="F36" s="1778"/>
      <c r="G36" s="1778"/>
      <c r="H36" s="1778"/>
      <c r="I36" s="1778"/>
      <c r="J36" s="1778"/>
      <c r="K36" s="1778"/>
      <c r="L36" s="1778"/>
      <c r="M36" s="1778"/>
      <c r="N36" s="1778"/>
    </row>
    <row r="37" spans="1:28" s="40" customFormat="1" ht="45" x14ac:dyDescent="0.2">
      <c r="A37" s="1778"/>
      <c r="B37" s="1778"/>
      <c r="C37" s="1778"/>
      <c r="D37" s="1778"/>
      <c r="E37" s="1778"/>
      <c r="F37" s="1778"/>
      <c r="G37" s="67" t="s">
        <v>182</v>
      </c>
      <c r="H37" s="67" t="s">
        <v>183</v>
      </c>
      <c r="I37" s="67" t="s">
        <v>184</v>
      </c>
      <c r="J37" s="67" t="s">
        <v>182</v>
      </c>
      <c r="K37" s="67" t="s">
        <v>183</v>
      </c>
      <c r="L37" s="67" t="s">
        <v>148</v>
      </c>
      <c r="M37" s="1778"/>
      <c r="N37" s="1778"/>
    </row>
    <row r="38" spans="1:28" s="40" customFormat="1" x14ac:dyDescent="0.2">
      <c r="A38" s="68">
        <v>1</v>
      </c>
      <c r="B38" s="68">
        <v>2</v>
      </c>
      <c r="C38" s="1781">
        <v>3</v>
      </c>
      <c r="D38" s="1781"/>
      <c r="E38" s="1781"/>
      <c r="F38" s="68">
        <v>4</v>
      </c>
      <c r="G38" s="68">
        <v>5</v>
      </c>
      <c r="H38" s="68">
        <v>6</v>
      </c>
      <c r="I38" s="68">
        <v>7</v>
      </c>
      <c r="J38" s="68">
        <v>8</v>
      </c>
      <c r="K38" s="68">
        <v>9</v>
      </c>
      <c r="L38" s="68">
        <v>10</v>
      </c>
      <c r="M38" s="68">
        <v>11</v>
      </c>
      <c r="N38" s="68">
        <v>12</v>
      </c>
    </row>
    <row r="39" spans="1:28" s="40" customFormat="1" ht="12" x14ac:dyDescent="0.2">
      <c r="A39" s="1782" t="s">
        <v>304</v>
      </c>
      <c r="B39" s="1783"/>
      <c r="C39" s="1783"/>
      <c r="D39" s="1783"/>
      <c r="E39" s="1783"/>
      <c r="F39" s="1783"/>
      <c r="G39" s="1783"/>
      <c r="H39" s="1783"/>
      <c r="I39" s="1783"/>
      <c r="J39" s="1783"/>
      <c r="K39" s="1783"/>
      <c r="L39" s="1783"/>
      <c r="M39" s="1783"/>
      <c r="N39" s="1784"/>
      <c r="V39" s="43" t="s">
        <v>304</v>
      </c>
    </row>
    <row r="40" spans="1:28" s="40" customFormat="1" ht="22.5" x14ac:dyDescent="0.2">
      <c r="A40" s="69" t="s">
        <v>185</v>
      </c>
      <c r="B40" s="70" t="s">
        <v>305</v>
      </c>
      <c r="C40" s="1785" t="s">
        <v>306</v>
      </c>
      <c r="D40" s="1785"/>
      <c r="E40" s="1785"/>
      <c r="F40" s="71" t="s">
        <v>307</v>
      </c>
      <c r="G40" s="71"/>
      <c r="H40" s="71"/>
      <c r="I40" s="71" t="s">
        <v>308</v>
      </c>
      <c r="J40" s="72"/>
      <c r="K40" s="71"/>
      <c r="L40" s="72"/>
      <c r="M40" s="73"/>
      <c r="N40" s="74"/>
      <c r="W40" s="43" t="s">
        <v>306</v>
      </c>
    </row>
    <row r="41" spans="1:28" s="40" customFormat="1" x14ac:dyDescent="0.2">
      <c r="A41" s="75"/>
      <c r="B41" s="76"/>
      <c r="C41" s="1768" t="s">
        <v>309</v>
      </c>
      <c r="D41" s="1768"/>
      <c r="E41" s="1768"/>
      <c r="F41" s="1768"/>
      <c r="G41" s="1768"/>
      <c r="H41" s="1768"/>
      <c r="I41" s="1768"/>
      <c r="J41" s="1768"/>
      <c r="K41" s="1768"/>
      <c r="L41" s="1768"/>
      <c r="M41" s="1768"/>
      <c r="N41" s="1779"/>
      <c r="X41" s="43" t="s">
        <v>309</v>
      </c>
    </row>
    <row r="42" spans="1:28" s="40" customFormat="1" ht="33.75" x14ac:dyDescent="0.2">
      <c r="A42" s="77"/>
      <c r="B42" s="78" t="s">
        <v>310</v>
      </c>
      <c r="C42" s="1768" t="s">
        <v>311</v>
      </c>
      <c r="D42" s="1768"/>
      <c r="E42" s="1768"/>
      <c r="F42" s="1768"/>
      <c r="G42" s="1768"/>
      <c r="H42" s="1768"/>
      <c r="I42" s="1768"/>
      <c r="J42" s="1768"/>
      <c r="K42" s="1768"/>
      <c r="L42" s="1768"/>
      <c r="M42" s="1768"/>
      <c r="N42" s="1779"/>
      <c r="Y42" s="43" t="s">
        <v>311</v>
      </c>
    </row>
    <row r="43" spans="1:28" s="40" customFormat="1" x14ac:dyDescent="0.2">
      <c r="A43" s="79"/>
      <c r="B43" s="78" t="s">
        <v>185</v>
      </c>
      <c r="C43" s="1768" t="s">
        <v>312</v>
      </c>
      <c r="D43" s="1768"/>
      <c r="E43" s="1768"/>
      <c r="F43" s="80"/>
      <c r="G43" s="80"/>
      <c r="H43" s="80"/>
      <c r="I43" s="80"/>
      <c r="J43" s="81">
        <v>48.97</v>
      </c>
      <c r="K43" s="80" t="s">
        <v>313</v>
      </c>
      <c r="L43" s="81">
        <v>170.17</v>
      </c>
      <c r="M43" s="82"/>
      <c r="N43" s="83"/>
      <c r="Z43" s="43" t="s">
        <v>312</v>
      </c>
    </row>
    <row r="44" spans="1:28" s="40" customFormat="1" x14ac:dyDescent="0.2">
      <c r="A44" s="79"/>
      <c r="B44" s="78"/>
      <c r="C44" s="1768" t="s">
        <v>314</v>
      </c>
      <c r="D44" s="1768"/>
      <c r="E44" s="1768"/>
      <c r="F44" s="80" t="s">
        <v>315</v>
      </c>
      <c r="G44" s="80" t="s">
        <v>316</v>
      </c>
      <c r="H44" s="80" t="s">
        <v>313</v>
      </c>
      <c r="I44" s="80" t="s">
        <v>317</v>
      </c>
      <c r="J44" s="81"/>
      <c r="K44" s="80"/>
      <c r="L44" s="81"/>
      <c r="M44" s="82"/>
      <c r="N44" s="83"/>
      <c r="AA44" s="43" t="s">
        <v>314</v>
      </c>
    </row>
    <row r="45" spans="1:28" s="40" customFormat="1" x14ac:dyDescent="0.2">
      <c r="A45" s="79"/>
      <c r="B45" s="78"/>
      <c r="C45" s="1780" t="s">
        <v>318</v>
      </c>
      <c r="D45" s="1780"/>
      <c r="E45" s="1780"/>
      <c r="F45" s="84"/>
      <c r="G45" s="84"/>
      <c r="H45" s="84"/>
      <c r="I45" s="84"/>
      <c r="J45" s="85">
        <v>48.97</v>
      </c>
      <c r="K45" s="84"/>
      <c r="L45" s="85">
        <v>170.17</v>
      </c>
      <c r="M45" s="86"/>
      <c r="N45" s="87"/>
      <c r="AB45" s="43" t="s">
        <v>318</v>
      </c>
    </row>
    <row r="46" spans="1:28" s="40" customFormat="1" x14ac:dyDescent="0.2">
      <c r="A46" s="79"/>
      <c r="B46" s="78"/>
      <c r="C46" s="1768" t="s">
        <v>319</v>
      </c>
      <c r="D46" s="1768"/>
      <c r="E46" s="1768"/>
      <c r="F46" s="80"/>
      <c r="G46" s="80"/>
      <c r="H46" s="80"/>
      <c r="I46" s="80"/>
      <c r="J46" s="81"/>
      <c r="K46" s="80"/>
      <c r="L46" s="81">
        <v>170.17</v>
      </c>
      <c r="M46" s="82"/>
      <c r="N46" s="83"/>
      <c r="AA46" s="43" t="s">
        <v>319</v>
      </c>
    </row>
    <row r="47" spans="1:28" s="40" customFormat="1" ht="33.75" x14ac:dyDescent="0.2">
      <c r="A47" s="79"/>
      <c r="B47" s="78" t="s">
        <v>320</v>
      </c>
      <c r="C47" s="1768" t="s">
        <v>321</v>
      </c>
      <c r="D47" s="1768"/>
      <c r="E47" s="1768"/>
      <c r="F47" s="80" t="s">
        <v>322</v>
      </c>
      <c r="G47" s="80" t="s">
        <v>323</v>
      </c>
      <c r="H47" s="80"/>
      <c r="I47" s="80" t="s">
        <v>323</v>
      </c>
      <c r="J47" s="81"/>
      <c r="K47" s="80"/>
      <c r="L47" s="81">
        <v>151.44999999999999</v>
      </c>
      <c r="M47" s="82"/>
      <c r="N47" s="83"/>
      <c r="AA47" s="43" t="s">
        <v>321</v>
      </c>
    </row>
    <row r="48" spans="1:28" s="40" customFormat="1" ht="33.75" x14ac:dyDescent="0.2">
      <c r="A48" s="79"/>
      <c r="B48" s="78" t="s">
        <v>324</v>
      </c>
      <c r="C48" s="1768" t="s">
        <v>325</v>
      </c>
      <c r="D48" s="1768"/>
      <c r="E48" s="1768"/>
      <c r="F48" s="80" t="s">
        <v>322</v>
      </c>
      <c r="G48" s="80" t="s">
        <v>326</v>
      </c>
      <c r="H48" s="80"/>
      <c r="I48" s="80" t="s">
        <v>326</v>
      </c>
      <c r="J48" s="81"/>
      <c r="K48" s="80"/>
      <c r="L48" s="81">
        <v>69.77</v>
      </c>
      <c r="M48" s="82"/>
      <c r="N48" s="83"/>
      <c r="AA48" s="43" t="s">
        <v>325</v>
      </c>
    </row>
    <row r="49" spans="1:29" s="40" customFormat="1" x14ac:dyDescent="0.2">
      <c r="A49" s="88"/>
      <c r="B49" s="89"/>
      <c r="C49" s="1785" t="s">
        <v>327</v>
      </c>
      <c r="D49" s="1785"/>
      <c r="E49" s="1785"/>
      <c r="F49" s="71"/>
      <c r="G49" s="71"/>
      <c r="H49" s="71"/>
      <c r="I49" s="71"/>
      <c r="J49" s="72"/>
      <c r="K49" s="71"/>
      <c r="L49" s="72">
        <v>391.39</v>
      </c>
      <c r="M49" s="86"/>
      <c r="N49" s="74"/>
      <c r="AC49" s="43" t="s">
        <v>327</v>
      </c>
    </row>
    <row r="50" spans="1:29" s="40" customFormat="1" ht="22.5" x14ac:dyDescent="0.2">
      <c r="A50" s="69" t="s">
        <v>186</v>
      </c>
      <c r="B50" s="70" t="s">
        <v>328</v>
      </c>
      <c r="C50" s="1785" t="s">
        <v>329</v>
      </c>
      <c r="D50" s="1785"/>
      <c r="E50" s="1785"/>
      <c r="F50" s="71" t="s">
        <v>307</v>
      </c>
      <c r="G50" s="71"/>
      <c r="H50" s="71"/>
      <c r="I50" s="71" t="s">
        <v>330</v>
      </c>
      <c r="J50" s="72"/>
      <c r="K50" s="71"/>
      <c r="L50" s="72"/>
      <c r="M50" s="73"/>
      <c r="N50" s="74"/>
      <c r="W50" s="43" t="s">
        <v>329</v>
      </c>
    </row>
    <row r="51" spans="1:29" s="40" customFormat="1" x14ac:dyDescent="0.2">
      <c r="A51" s="75"/>
      <c r="B51" s="76"/>
      <c r="C51" s="1768" t="s">
        <v>331</v>
      </c>
      <c r="D51" s="1768"/>
      <c r="E51" s="1768"/>
      <c r="F51" s="1768"/>
      <c r="G51" s="1768"/>
      <c r="H51" s="1768"/>
      <c r="I51" s="1768"/>
      <c r="J51" s="1768"/>
      <c r="K51" s="1768"/>
      <c r="L51" s="1768"/>
      <c r="M51" s="1768"/>
      <c r="N51" s="1779"/>
      <c r="X51" s="43" t="s">
        <v>331</v>
      </c>
    </row>
    <row r="52" spans="1:29" s="40" customFormat="1" ht="33.75" x14ac:dyDescent="0.2">
      <c r="A52" s="77"/>
      <c r="B52" s="78" t="s">
        <v>310</v>
      </c>
      <c r="C52" s="1768" t="s">
        <v>311</v>
      </c>
      <c r="D52" s="1768"/>
      <c r="E52" s="1768"/>
      <c r="F52" s="1768"/>
      <c r="G52" s="1768"/>
      <c r="H52" s="1768"/>
      <c r="I52" s="1768"/>
      <c r="J52" s="1768"/>
      <c r="K52" s="1768"/>
      <c r="L52" s="1768"/>
      <c r="M52" s="1768"/>
      <c r="N52" s="1779"/>
      <c r="Y52" s="43" t="s">
        <v>311</v>
      </c>
    </row>
    <row r="53" spans="1:29" s="40" customFormat="1" x14ac:dyDescent="0.2">
      <c r="A53" s="79"/>
      <c r="B53" s="78" t="s">
        <v>185</v>
      </c>
      <c r="C53" s="1768" t="s">
        <v>312</v>
      </c>
      <c r="D53" s="1768"/>
      <c r="E53" s="1768"/>
      <c r="F53" s="80"/>
      <c r="G53" s="80"/>
      <c r="H53" s="80"/>
      <c r="I53" s="80"/>
      <c r="J53" s="81">
        <v>61.29</v>
      </c>
      <c r="K53" s="80" t="s">
        <v>313</v>
      </c>
      <c r="L53" s="81">
        <v>65.12</v>
      </c>
      <c r="M53" s="82"/>
      <c r="N53" s="83"/>
      <c r="Z53" s="43" t="s">
        <v>312</v>
      </c>
    </row>
    <row r="54" spans="1:29" s="40" customFormat="1" x14ac:dyDescent="0.2">
      <c r="A54" s="79"/>
      <c r="B54" s="78"/>
      <c r="C54" s="1768" t="s">
        <v>314</v>
      </c>
      <c r="D54" s="1768"/>
      <c r="E54" s="1768"/>
      <c r="F54" s="80" t="s">
        <v>315</v>
      </c>
      <c r="G54" s="80" t="s">
        <v>332</v>
      </c>
      <c r="H54" s="80" t="s">
        <v>313</v>
      </c>
      <c r="I54" s="80" t="s">
        <v>333</v>
      </c>
      <c r="J54" s="81"/>
      <c r="K54" s="80"/>
      <c r="L54" s="81"/>
      <c r="M54" s="82"/>
      <c r="N54" s="83"/>
      <c r="AA54" s="43" t="s">
        <v>314</v>
      </c>
    </row>
    <row r="55" spans="1:29" s="40" customFormat="1" x14ac:dyDescent="0.2">
      <c r="A55" s="79"/>
      <c r="B55" s="78"/>
      <c r="C55" s="1780" t="s">
        <v>318</v>
      </c>
      <c r="D55" s="1780"/>
      <c r="E55" s="1780"/>
      <c r="F55" s="84"/>
      <c r="G55" s="84"/>
      <c r="H55" s="84"/>
      <c r="I55" s="84"/>
      <c r="J55" s="85">
        <v>61.29</v>
      </c>
      <c r="K55" s="84"/>
      <c r="L55" s="85">
        <v>65.12</v>
      </c>
      <c r="M55" s="86"/>
      <c r="N55" s="87"/>
      <c r="AB55" s="43" t="s">
        <v>318</v>
      </c>
    </row>
    <row r="56" spans="1:29" s="40" customFormat="1" x14ac:dyDescent="0.2">
      <c r="A56" s="79"/>
      <c r="B56" s="78"/>
      <c r="C56" s="1768" t="s">
        <v>319</v>
      </c>
      <c r="D56" s="1768"/>
      <c r="E56" s="1768"/>
      <c r="F56" s="80"/>
      <c r="G56" s="80"/>
      <c r="H56" s="80"/>
      <c r="I56" s="80"/>
      <c r="J56" s="81"/>
      <c r="K56" s="80"/>
      <c r="L56" s="81">
        <v>65.12</v>
      </c>
      <c r="M56" s="82"/>
      <c r="N56" s="83"/>
      <c r="AA56" s="43" t="s">
        <v>319</v>
      </c>
    </row>
    <row r="57" spans="1:29" s="40" customFormat="1" ht="33.75" x14ac:dyDescent="0.2">
      <c r="A57" s="79"/>
      <c r="B57" s="78" t="s">
        <v>320</v>
      </c>
      <c r="C57" s="1768" t="s">
        <v>321</v>
      </c>
      <c r="D57" s="1768"/>
      <c r="E57" s="1768"/>
      <c r="F57" s="80" t="s">
        <v>322</v>
      </c>
      <c r="G57" s="80" t="s">
        <v>323</v>
      </c>
      <c r="H57" s="80"/>
      <c r="I57" s="80" t="s">
        <v>323</v>
      </c>
      <c r="J57" s="81"/>
      <c r="K57" s="80"/>
      <c r="L57" s="81">
        <v>57.96</v>
      </c>
      <c r="M57" s="82"/>
      <c r="N57" s="83"/>
      <c r="AA57" s="43" t="s">
        <v>321</v>
      </c>
    </row>
    <row r="58" spans="1:29" s="40" customFormat="1" ht="33.75" x14ac:dyDescent="0.2">
      <c r="A58" s="79"/>
      <c r="B58" s="78" t="s">
        <v>324</v>
      </c>
      <c r="C58" s="1768" t="s">
        <v>325</v>
      </c>
      <c r="D58" s="1768"/>
      <c r="E58" s="1768"/>
      <c r="F58" s="80" t="s">
        <v>322</v>
      </c>
      <c r="G58" s="80" t="s">
        <v>326</v>
      </c>
      <c r="H58" s="80"/>
      <c r="I58" s="80" t="s">
        <v>326</v>
      </c>
      <c r="J58" s="81"/>
      <c r="K58" s="80"/>
      <c r="L58" s="81">
        <v>26.7</v>
      </c>
      <c r="M58" s="82"/>
      <c r="N58" s="83"/>
      <c r="AA58" s="43" t="s">
        <v>325</v>
      </c>
    </row>
    <row r="59" spans="1:29" s="40" customFormat="1" x14ac:dyDescent="0.2">
      <c r="A59" s="88"/>
      <c r="B59" s="89"/>
      <c r="C59" s="1785" t="s">
        <v>327</v>
      </c>
      <c r="D59" s="1785"/>
      <c r="E59" s="1785"/>
      <c r="F59" s="71"/>
      <c r="G59" s="71"/>
      <c r="H59" s="71"/>
      <c r="I59" s="71"/>
      <c r="J59" s="72"/>
      <c r="K59" s="71"/>
      <c r="L59" s="72">
        <v>149.78</v>
      </c>
      <c r="M59" s="86"/>
      <c r="N59" s="74"/>
      <c r="AC59" s="43" t="s">
        <v>327</v>
      </c>
    </row>
    <row r="60" spans="1:29" s="40" customFormat="1" ht="22.5" x14ac:dyDescent="0.2">
      <c r="A60" s="69" t="s">
        <v>187</v>
      </c>
      <c r="B60" s="70" t="s">
        <v>334</v>
      </c>
      <c r="C60" s="1785" t="s">
        <v>335</v>
      </c>
      <c r="D60" s="1785"/>
      <c r="E60" s="1785"/>
      <c r="F60" s="71" t="s">
        <v>307</v>
      </c>
      <c r="G60" s="71"/>
      <c r="H60" s="71"/>
      <c r="I60" s="71" t="s">
        <v>336</v>
      </c>
      <c r="J60" s="72"/>
      <c r="K60" s="71"/>
      <c r="L60" s="72"/>
      <c r="M60" s="73"/>
      <c r="N60" s="74"/>
      <c r="W60" s="43" t="s">
        <v>335</v>
      </c>
    </row>
    <row r="61" spans="1:29" s="40" customFormat="1" x14ac:dyDescent="0.2">
      <c r="A61" s="75"/>
      <c r="B61" s="76"/>
      <c r="C61" s="1768" t="s">
        <v>337</v>
      </c>
      <c r="D61" s="1768"/>
      <c r="E61" s="1768"/>
      <c r="F61" s="1768"/>
      <c r="G61" s="1768"/>
      <c r="H61" s="1768"/>
      <c r="I61" s="1768"/>
      <c r="J61" s="1768"/>
      <c r="K61" s="1768"/>
      <c r="L61" s="1768"/>
      <c r="M61" s="1768"/>
      <c r="N61" s="1779"/>
      <c r="X61" s="43" t="s">
        <v>337</v>
      </c>
    </row>
    <row r="62" spans="1:29" s="40" customFormat="1" ht="33.75" x14ac:dyDescent="0.2">
      <c r="A62" s="77"/>
      <c r="B62" s="78" t="s">
        <v>310</v>
      </c>
      <c r="C62" s="1768" t="s">
        <v>311</v>
      </c>
      <c r="D62" s="1768"/>
      <c r="E62" s="1768"/>
      <c r="F62" s="1768"/>
      <c r="G62" s="1768"/>
      <c r="H62" s="1768"/>
      <c r="I62" s="1768"/>
      <c r="J62" s="1768"/>
      <c r="K62" s="1768"/>
      <c r="L62" s="1768"/>
      <c r="M62" s="1768"/>
      <c r="N62" s="1779"/>
      <c r="Y62" s="43" t="s">
        <v>311</v>
      </c>
    </row>
    <row r="63" spans="1:29" s="40" customFormat="1" x14ac:dyDescent="0.2">
      <c r="A63" s="79"/>
      <c r="B63" s="78" t="s">
        <v>185</v>
      </c>
      <c r="C63" s="1768" t="s">
        <v>312</v>
      </c>
      <c r="D63" s="1768"/>
      <c r="E63" s="1768"/>
      <c r="F63" s="80"/>
      <c r="G63" s="80"/>
      <c r="H63" s="80"/>
      <c r="I63" s="80"/>
      <c r="J63" s="81">
        <v>79.52</v>
      </c>
      <c r="K63" s="80" t="s">
        <v>313</v>
      </c>
      <c r="L63" s="81">
        <v>63.62</v>
      </c>
      <c r="M63" s="82"/>
      <c r="N63" s="83"/>
      <c r="Z63" s="43" t="s">
        <v>312</v>
      </c>
    </row>
    <row r="64" spans="1:29" s="40" customFormat="1" x14ac:dyDescent="0.2">
      <c r="A64" s="79"/>
      <c r="B64" s="78"/>
      <c r="C64" s="1768" t="s">
        <v>314</v>
      </c>
      <c r="D64" s="1768"/>
      <c r="E64" s="1768"/>
      <c r="F64" s="80" t="s">
        <v>315</v>
      </c>
      <c r="G64" s="80" t="s">
        <v>338</v>
      </c>
      <c r="H64" s="80" t="s">
        <v>313</v>
      </c>
      <c r="I64" s="80" t="s">
        <v>339</v>
      </c>
      <c r="J64" s="81"/>
      <c r="K64" s="80"/>
      <c r="L64" s="81"/>
      <c r="M64" s="82"/>
      <c r="N64" s="83"/>
      <c r="AA64" s="43" t="s">
        <v>314</v>
      </c>
    </row>
    <row r="65" spans="1:29" s="40" customFormat="1" x14ac:dyDescent="0.2">
      <c r="A65" s="79"/>
      <c r="B65" s="78"/>
      <c r="C65" s="1780" t="s">
        <v>318</v>
      </c>
      <c r="D65" s="1780"/>
      <c r="E65" s="1780"/>
      <c r="F65" s="84"/>
      <c r="G65" s="84"/>
      <c r="H65" s="84"/>
      <c r="I65" s="84"/>
      <c r="J65" s="85">
        <v>79.52</v>
      </c>
      <c r="K65" s="84"/>
      <c r="L65" s="85">
        <v>63.62</v>
      </c>
      <c r="M65" s="86"/>
      <c r="N65" s="87"/>
      <c r="AB65" s="43" t="s">
        <v>318</v>
      </c>
    </row>
    <row r="66" spans="1:29" s="40" customFormat="1" x14ac:dyDescent="0.2">
      <c r="A66" s="79"/>
      <c r="B66" s="78"/>
      <c r="C66" s="1768" t="s">
        <v>319</v>
      </c>
      <c r="D66" s="1768"/>
      <c r="E66" s="1768"/>
      <c r="F66" s="80"/>
      <c r="G66" s="80"/>
      <c r="H66" s="80"/>
      <c r="I66" s="80"/>
      <c r="J66" s="81"/>
      <c r="K66" s="80"/>
      <c r="L66" s="81">
        <v>63.62</v>
      </c>
      <c r="M66" s="82"/>
      <c r="N66" s="83"/>
      <c r="AA66" s="43" t="s">
        <v>319</v>
      </c>
    </row>
    <row r="67" spans="1:29" s="40" customFormat="1" ht="33.75" x14ac:dyDescent="0.2">
      <c r="A67" s="79"/>
      <c r="B67" s="78" t="s">
        <v>320</v>
      </c>
      <c r="C67" s="1768" t="s">
        <v>321</v>
      </c>
      <c r="D67" s="1768"/>
      <c r="E67" s="1768"/>
      <c r="F67" s="80" t="s">
        <v>322</v>
      </c>
      <c r="G67" s="80" t="s">
        <v>323</v>
      </c>
      <c r="H67" s="80"/>
      <c r="I67" s="80" t="s">
        <v>323</v>
      </c>
      <c r="J67" s="81"/>
      <c r="K67" s="80"/>
      <c r="L67" s="81">
        <v>56.62</v>
      </c>
      <c r="M67" s="82"/>
      <c r="N67" s="83"/>
      <c r="AA67" s="43" t="s">
        <v>321</v>
      </c>
    </row>
    <row r="68" spans="1:29" s="40" customFormat="1" ht="33.75" x14ac:dyDescent="0.2">
      <c r="A68" s="79"/>
      <c r="B68" s="78" t="s">
        <v>324</v>
      </c>
      <c r="C68" s="1768" t="s">
        <v>325</v>
      </c>
      <c r="D68" s="1768"/>
      <c r="E68" s="1768"/>
      <c r="F68" s="80" t="s">
        <v>322</v>
      </c>
      <c r="G68" s="80" t="s">
        <v>326</v>
      </c>
      <c r="H68" s="80"/>
      <c r="I68" s="80" t="s">
        <v>326</v>
      </c>
      <c r="J68" s="81"/>
      <c r="K68" s="80"/>
      <c r="L68" s="81">
        <v>26.08</v>
      </c>
      <c r="M68" s="82"/>
      <c r="N68" s="83"/>
      <c r="AA68" s="43" t="s">
        <v>325</v>
      </c>
    </row>
    <row r="69" spans="1:29" s="40" customFormat="1" x14ac:dyDescent="0.2">
      <c r="A69" s="88"/>
      <c r="B69" s="89"/>
      <c r="C69" s="1785" t="s">
        <v>327</v>
      </c>
      <c r="D69" s="1785"/>
      <c r="E69" s="1785"/>
      <c r="F69" s="71"/>
      <c r="G69" s="71"/>
      <c r="H69" s="71"/>
      <c r="I69" s="71"/>
      <c r="J69" s="72"/>
      <c r="K69" s="71"/>
      <c r="L69" s="72">
        <v>146.32</v>
      </c>
      <c r="M69" s="86"/>
      <c r="N69" s="74"/>
      <c r="AC69" s="43" t="s">
        <v>327</v>
      </c>
    </row>
    <row r="70" spans="1:29" s="40" customFormat="1" ht="45" x14ac:dyDescent="0.2">
      <c r="A70" s="69" t="s">
        <v>188</v>
      </c>
      <c r="B70" s="70" t="s">
        <v>340</v>
      </c>
      <c r="C70" s="1785" t="s">
        <v>341</v>
      </c>
      <c r="D70" s="1785"/>
      <c r="E70" s="1785"/>
      <c r="F70" s="71" t="s">
        <v>307</v>
      </c>
      <c r="G70" s="71"/>
      <c r="H70" s="71"/>
      <c r="I70" s="71" t="s">
        <v>342</v>
      </c>
      <c r="J70" s="72"/>
      <c r="K70" s="71"/>
      <c r="L70" s="72"/>
      <c r="M70" s="73"/>
      <c r="N70" s="74"/>
      <c r="W70" s="43" t="s">
        <v>341</v>
      </c>
    </row>
    <row r="71" spans="1:29" s="40" customFormat="1" x14ac:dyDescent="0.2">
      <c r="A71" s="75"/>
      <c r="B71" s="76"/>
      <c r="C71" s="1768" t="s">
        <v>343</v>
      </c>
      <c r="D71" s="1768"/>
      <c r="E71" s="1768"/>
      <c r="F71" s="1768"/>
      <c r="G71" s="1768"/>
      <c r="H71" s="1768"/>
      <c r="I71" s="1768"/>
      <c r="J71" s="1768"/>
      <c r="K71" s="1768"/>
      <c r="L71" s="1768"/>
      <c r="M71" s="1768"/>
      <c r="N71" s="1779"/>
      <c r="X71" s="43" t="s">
        <v>343</v>
      </c>
    </row>
    <row r="72" spans="1:29" s="40" customFormat="1" ht="33.75" x14ac:dyDescent="0.2">
      <c r="A72" s="77"/>
      <c r="B72" s="78" t="s">
        <v>310</v>
      </c>
      <c r="C72" s="1768" t="s">
        <v>311</v>
      </c>
      <c r="D72" s="1768"/>
      <c r="E72" s="1768"/>
      <c r="F72" s="1768"/>
      <c r="G72" s="1768"/>
      <c r="H72" s="1768"/>
      <c r="I72" s="1768"/>
      <c r="J72" s="1768"/>
      <c r="K72" s="1768"/>
      <c r="L72" s="1768"/>
      <c r="M72" s="1768"/>
      <c r="N72" s="1779"/>
      <c r="Y72" s="43" t="s">
        <v>311</v>
      </c>
    </row>
    <row r="73" spans="1:29" s="40" customFormat="1" x14ac:dyDescent="0.2">
      <c r="A73" s="79"/>
      <c r="B73" s="78" t="s">
        <v>185</v>
      </c>
      <c r="C73" s="1768" t="s">
        <v>312</v>
      </c>
      <c r="D73" s="1768"/>
      <c r="E73" s="1768"/>
      <c r="F73" s="80"/>
      <c r="G73" s="80"/>
      <c r="H73" s="80"/>
      <c r="I73" s="80"/>
      <c r="J73" s="81">
        <v>115.44</v>
      </c>
      <c r="K73" s="80" t="s">
        <v>313</v>
      </c>
      <c r="L73" s="81">
        <v>523.80999999999995</v>
      </c>
      <c r="M73" s="82"/>
      <c r="N73" s="83"/>
      <c r="Z73" s="43" t="s">
        <v>312</v>
      </c>
    </row>
    <row r="74" spans="1:29" s="40" customFormat="1" x14ac:dyDescent="0.2">
      <c r="A74" s="79"/>
      <c r="B74" s="78" t="s">
        <v>186</v>
      </c>
      <c r="C74" s="1768" t="s">
        <v>344</v>
      </c>
      <c r="D74" s="1768"/>
      <c r="E74" s="1768"/>
      <c r="F74" s="80"/>
      <c r="G74" s="80"/>
      <c r="H74" s="80"/>
      <c r="I74" s="80"/>
      <c r="J74" s="81">
        <v>655.43</v>
      </c>
      <c r="K74" s="80" t="s">
        <v>313</v>
      </c>
      <c r="L74" s="81">
        <v>2974.01</v>
      </c>
      <c r="M74" s="82"/>
      <c r="N74" s="83"/>
      <c r="Z74" s="43" t="s">
        <v>344</v>
      </c>
    </row>
    <row r="75" spans="1:29" s="40" customFormat="1" x14ac:dyDescent="0.2">
      <c r="A75" s="79"/>
      <c r="B75" s="78" t="s">
        <v>187</v>
      </c>
      <c r="C75" s="1768" t="s">
        <v>345</v>
      </c>
      <c r="D75" s="1768"/>
      <c r="E75" s="1768"/>
      <c r="F75" s="80"/>
      <c r="G75" s="80"/>
      <c r="H75" s="80"/>
      <c r="I75" s="80"/>
      <c r="J75" s="81">
        <v>114.62</v>
      </c>
      <c r="K75" s="80" t="s">
        <v>313</v>
      </c>
      <c r="L75" s="81">
        <v>520.09</v>
      </c>
      <c r="M75" s="82"/>
      <c r="N75" s="83"/>
      <c r="Z75" s="43" t="s">
        <v>345</v>
      </c>
    </row>
    <row r="76" spans="1:29" s="40" customFormat="1" x14ac:dyDescent="0.2">
      <c r="A76" s="79"/>
      <c r="B76" s="78"/>
      <c r="C76" s="1768" t="s">
        <v>314</v>
      </c>
      <c r="D76" s="1768"/>
      <c r="E76" s="1768"/>
      <c r="F76" s="80" t="s">
        <v>315</v>
      </c>
      <c r="G76" s="80" t="s">
        <v>346</v>
      </c>
      <c r="H76" s="80" t="s">
        <v>313</v>
      </c>
      <c r="I76" s="80" t="s">
        <v>347</v>
      </c>
      <c r="J76" s="81"/>
      <c r="K76" s="80"/>
      <c r="L76" s="81"/>
      <c r="M76" s="82"/>
      <c r="N76" s="83"/>
      <c r="AA76" s="43" t="s">
        <v>314</v>
      </c>
    </row>
    <row r="77" spans="1:29" s="40" customFormat="1" x14ac:dyDescent="0.2">
      <c r="A77" s="79"/>
      <c r="B77" s="78"/>
      <c r="C77" s="1768" t="s">
        <v>348</v>
      </c>
      <c r="D77" s="1768"/>
      <c r="E77" s="1768"/>
      <c r="F77" s="80" t="s">
        <v>315</v>
      </c>
      <c r="G77" s="80" t="s">
        <v>349</v>
      </c>
      <c r="H77" s="80" t="s">
        <v>313</v>
      </c>
      <c r="I77" s="80" t="s">
        <v>350</v>
      </c>
      <c r="J77" s="81"/>
      <c r="K77" s="80"/>
      <c r="L77" s="81"/>
      <c r="M77" s="82"/>
      <c r="N77" s="83"/>
      <c r="AA77" s="43" t="s">
        <v>348</v>
      </c>
    </row>
    <row r="78" spans="1:29" s="40" customFormat="1" x14ac:dyDescent="0.2">
      <c r="A78" s="79"/>
      <c r="B78" s="78"/>
      <c r="C78" s="1780" t="s">
        <v>318</v>
      </c>
      <c r="D78" s="1780"/>
      <c r="E78" s="1780"/>
      <c r="F78" s="84"/>
      <c r="G78" s="84"/>
      <c r="H78" s="84"/>
      <c r="I78" s="84"/>
      <c r="J78" s="85">
        <v>770.87</v>
      </c>
      <c r="K78" s="84"/>
      <c r="L78" s="85">
        <v>3497.82</v>
      </c>
      <c r="M78" s="86"/>
      <c r="N78" s="87"/>
      <c r="AB78" s="43" t="s">
        <v>318</v>
      </c>
    </row>
    <row r="79" spans="1:29" s="40" customFormat="1" x14ac:dyDescent="0.2">
      <c r="A79" s="79"/>
      <c r="B79" s="78"/>
      <c r="C79" s="1768" t="s">
        <v>319</v>
      </c>
      <c r="D79" s="1768"/>
      <c r="E79" s="1768"/>
      <c r="F79" s="80"/>
      <c r="G79" s="80"/>
      <c r="H79" s="80"/>
      <c r="I79" s="80"/>
      <c r="J79" s="81"/>
      <c r="K79" s="80"/>
      <c r="L79" s="81">
        <v>1043.9000000000001</v>
      </c>
      <c r="M79" s="82"/>
      <c r="N79" s="83"/>
      <c r="AA79" s="43" t="s">
        <v>319</v>
      </c>
    </row>
    <row r="80" spans="1:29" s="40" customFormat="1" ht="33.75" x14ac:dyDescent="0.2">
      <c r="A80" s="79"/>
      <c r="B80" s="78" t="s">
        <v>320</v>
      </c>
      <c r="C80" s="1768" t="s">
        <v>321</v>
      </c>
      <c r="D80" s="1768"/>
      <c r="E80" s="1768"/>
      <c r="F80" s="80" t="s">
        <v>322</v>
      </c>
      <c r="G80" s="80" t="s">
        <v>323</v>
      </c>
      <c r="H80" s="80"/>
      <c r="I80" s="80" t="s">
        <v>323</v>
      </c>
      <c r="J80" s="81"/>
      <c r="K80" s="80"/>
      <c r="L80" s="81">
        <v>929.07</v>
      </c>
      <c r="M80" s="82"/>
      <c r="N80" s="83"/>
      <c r="AA80" s="43" t="s">
        <v>321</v>
      </c>
    </row>
    <row r="81" spans="1:29" s="40" customFormat="1" ht="33.75" x14ac:dyDescent="0.2">
      <c r="A81" s="79"/>
      <c r="B81" s="78" t="s">
        <v>324</v>
      </c>
      <c r="C81" s="1768" t="s">
        <v>325</v>
      </c>
      <c r="D81" s="1768"/>
      <c r="E81" s="1768"/>
      <c r="F81" s="80" t="s">
        <v>322</v>
      </c>
      <c r="G81" s="80" t="s">
        <v>326</v>
      </c>
      <c r="H81" s="80"/>
      <c r="I81" s="80" t="s">
        <v>326</v>
      </c>
      <c r="J81" s="81"/>
      <c r="K81" s="80"/>
      <c r="L81" s="81">
        <v>428</v>
      </c>
      <c r="M81" s="82"/>
      <c r="N81" s="83"/>
      <c r="AA81" s="43" t="s">
        <v>325</v>
      </c>
    </row>
    <row r="82" spans="1:29" s="40" customFormat="1" x14ac:dyDescent="0.2">
      <c r="A82" s="88"/>
      <c r="B82" s="89"/>
      <c r="C82" s="1785" t="s">
        <v>327</v>
      </c>
      <c r="D82" s="1785"/>
      <c r="E82" s="1785"/>
      <c r="F82" s="71"/>
      <c r="G82" s="71"/>
      <c r="H82" s="71"/>
      <c r="I82" s="71"/>
      <c r="J82" s="72"/>
      <c r="K82" s="71"/>
      <c r="L82" s="72">
        <v>4854.8900000000003</v>
      </c>
      <c r="M82" s="86"/>
      <c r="N82" s="74"/>
      <c r="AC82" s="43" t="s">
        <v>327</v>
      </c>
    </row>
    <row r="83" spans="1:29" s="40" customFormat="1" ht="45" x14ac:dyDescent="0.2">
      <c r="A83" s="69" t="s">
        <v>189</v>
      </c>
      <c r="B83" s="70" t="s">
        <v>351</v>
      </c>
      <c r="C83" s="1785" t="s">
        <v>352</v>
      </c>
      <c r="D83" s="1785"/>
      <c r="E83" s="1785"/>
      <c r="F83" s="71" t="s">
        <v>307</v>
      </c>
      <c r="G83" s="71"/>
      <c r="H83" s="71"/>
      <c r="I83" s="71" t="s">
        <v>336</v>
      </c>
      <c r="J83" s="72"/>
      <c r="K83" s="71"/>
      <c r="L83" s="72"/>
      <c r="M83" s="73"/>
      <c r="N83" s="74"/>
      <c r="W83" s="43" t="s">
        <v>352</v>
      </c>
    </row>
    <row r="84" spans="1:29" s="40" customFormat="1" x14ac:dyDescent="0.2">
      <c r="A84" s="75"/>
      <c r="B84" s="76"/>
      <c r="C84" s="1768" t="s">
        <v>337</v>
      </c>
      <c r="D84" s="1768"/>
      <c r="E84" s="1768"/>
      <c r="F84" s="1768"/>
      <c r="G84" s="1768"/>
      <c r="H84" s="1768"/>
      <c r="I84" s="1768"/>
      <c r="J84" s="1768"/>
      <c r="K84" s="1768"/>
      <c r="L84" s="1768"/>
      <c r="M84" s="1768"/>
      <c r="N84" s="1779"/>
      <c r="X84" s="43" t="s">
        <v>337</v>
      </c>
    </row>
    <row r="85" spans="1:29" s="40" customFormat="1" ht="33.75" x14ac:dyDescent="0.2">
      <c r="A85" s="77"/>
      <c r="B85" s="78" t="s">
        <v>310</v>
      </c>
      <c r="C85" s="1768" t="s">
        <v>311</v>
      </c>
      <c r="D85" s="1768"/>
      <c r="E85" s="1768"/>
      <c r="F85" s="1768"/>
      <c r="G85" s="1768"/>
      <c r="H85" s="1768"/>
      <c r="I85" s="1768"/>
      <c r="J85" s="1768"/>
      <c r="K85" s="1768"/>
      <c r="L85" s="1768"/>
      <c r="M85" s="1768"/>
      <c r="N85" s="1779"/>
      <c r="Y85" s="43" t="s">
        <v>311</v>
      </c>
    </row>
    <row r="86" spans="1:29" s="40" customFormat="1" x14ac:dyDescent="0.2">
      <c r="A86" s="79"/>
      <c r="B86" s="78" t="s">
        <v>185</v>
      </c>
      <c r="C86" s="1768" t="s">
        <v>312</v>
      </c>
      <c r="D86" s="1768"/>
      <c r="E86" s="1768"/>
      <c r="F86" s="80"/>
      <c r="G86" s="80"/>
      <c r="H86" s="80"/>
      <c r="I86" s="80"/>
      <c r="J86" s="81">
        <v>201.24</v>
      </c>
      <c r="K86" s="80" t="s">
        <v>313</v>
      </c>
      <c r="L86" s="81">
        <v>160.99</v>
      </c>
      <c r="M86" s="82"/>
      <c r="N86" s="83"/>
      <c r="Z86" s="43" t="s">
        <v>312</v>
      </c>
    </row>
    <row r="87" spans="1:29" s="40" customFormat="1" x14ac:dyDescent="0.2">
      <c r="A87" s="79"/>
      <c r="B87" s="78" t="s">
        <v>186</v>
      </c>
      <c r="C87" s="1768" t="s">
        <v>344</v>
      </c>
      <c r="D87" s="1768"/>
      <c r="E87" s="1768"/>
      <c r="F87" s="80"/>
      <c r="G87" s="80"/>
      <c r="H87" s="80"/>
      <c r="I87" s="80"/>
      <c r="J87" s="81">
        <v>1142.56</v>
      </c>
      <c r="K87" s="80" t="s">
        <v>313</v>
      </c>
      <c r="L87" s="81">
        <v>914.05</v>
      </c>
      <c r="M87" s="82"/>
      <c r="N87" s="83"/>
      <c r="Z87" s="43" t="s">
        <v>344</v>
      </c>
    </row>
    <row r="88" spans="1:29" s="40" customFormat="1" x14ac:dyDescent="0.2">
      <c r="A88" s="79"/>
      <c r="B88" s="78" t="s">
        <v>187</v>
      </c>
      <c r="C88" s="1768" t="s">
        <v>345</v>
      </c>
      <c r="D88" s="1768"/>
      <c r="E88" s="1768"/>
      <c r="F88" s="80"/>
      <c r="G88" s="80"/>
      <c r="H88" s="80"/>
      <c r="I88" s="80"/>
      <c r="J88" s="81">
        <v>199.8</v>
      </c>
      <c r="K88" s="80" t="s">
        <v>313</v>
      </c>
      <c r="L88" s="81">
        <v>159.84</v>
      </c>
      <c r="M88" s="82"/>
      <c r="N88" s="83"/>
      <c r="Z88" s="43" t="s">
        <v>345</v>
      </c>
    </row>
    <row r="89" spans="1:29" s="40" customFormat="1" x14ac:dyDescent="0.2">
      <c r="A89" s="79"/>
      <c r="B89" s="78"/>
      <c r="C89" s="1768" t="s">
        <v>314</v>
      </c>
      <c r="D89" s="1768"/>
      <c r="E89" s="1768"/>
      <c r="F89" s="80" t="s">
        <v>315</v>
      </c>
      <c r="G89" s="80" t="s">
        <v>353</v>
      </c>
      <c r="H89" s="80" t="s">
        <v>313</v>
      </c>
      <c r="I89" s="80" t="s">
        <v>354</v>
      </c>
      <c r="J89" s="81"/>
      <c r="K89" s="80"/>
      <c r="L89" s="81"/>
      <c r="M89" s="82"/>
      <c r="N89" s="83"/>
      <c r="AA89" s="43" t="s">
        <v>314</v>
      </c>
    </row>
    <row r="90" spans="1:29" s="40" customFormat="1" x14ac:dyDescent="0.2">
      <c r="A90" s="79"/>
      <c r="B90" s="78"/>
      <c r="C90" s="1768" t="s">
        <v>348</v>
      </c>
      <c r="D90" s="1768"/>
      <c r="E90" s="1768"/>
      <c r="F90" s="80" t="s">
        <v>315</v>
      </c>
      <c r="G90" s="80" t="s">
        <v>346</v>
      </c>
      <c r="H90" s="80" t="s">
        <v>313</v>
      </c>
      <c r="I90" s="80" t="s">
        <v>355</v>
      </c>
      <c r="J90" s="81"/>
      <c r="K90" s="80"/>
      <c r="L90" s="81"/>
      <c r="M90" s="82"/>
      <c r="N90" s="83"/>
      <c r="AA90" s="43" t="s">
        <v>348</v>
      </c>
    </row>
    <row r="91" spans="1:29" s="40" customFormat="1" x14ac:dyDescent="0.2">
      <c r="A91" s="79"/>
      <c r="B91" s="78"/>
      <c r="C91" s="1780" t="s">
        <v>318</v>
      </c>
      <c r="D91" s="1780"/>
      <c r="E91" s="1780"/>
      <c r="F91" s="84"/>
      <c r="G91" s="84"/>
      <c r="H91" s="84"/>
      <c r="I91" s="84"/>
      <c r="J91" s="85">
        <v>1343.8</v>
      </c>
      <c r="K91" s="84"/>
      <c r="L91" s="85">
        <v>1075.04</v>
      </c>
      <c r="M91" s="86"/>
      <c r="N91" s="87"/>
      <c r="AB91" s="43" t="s">
        <v>318</v>
      </c>
    </row>
    <row r="92" spans="1:29" s="40" customFormat="1" x14ac:dyDescent="0.2">
      <c r="A92" s="79"/>
      <c r="B92" s="78"/>
      <c r="C92" s="1768" t="s">
        <v>319</v>
      </c>
      <c r="D92" s="1768"/>
      <c r="E92" s="1768"/>
      <c r="F92" s="80"/>
      <c r="G92" s="80"/>
      <c r="H92" s="80"/>
      <c r="I92" s="80"/>
      <c r="J92" s="81"/>
      <c r="K92" s="80"/>
      <c r="L92" s="81">
        <v>320.83</v>
      </c>
      <c r="M92" s="82"/>
      <c r="N92" s="83"/>
      <c r="AA92" s="43" t="s">
        <v>319</v>
      </c>
    </row>
    <row r="93" spans="1:29" s="40" customFormat="1" ht="33.75" x14ac:dyDescent="0.2">
      <c r="A93" s="79"/>
      <c r="B93" s="78" t="s">
        <v>320</v>
      </c>
      <c r="C93" s="1768" t="s">
        <v>321</v>
      </c>
      <c r="D93" s="1768"/>
      <c r="E93" s="1768"/>
      <c r="F93" s="80" t="s">
        <v>322</v>
      </c>
      <c r="G93" s="80" t="s">
        <v>323</v>
      </c>
      <c r="H93" s="80"/>
      <c r="I93" s="80" t="s">
        <v>323</v>
      </c>
      <c r="J93" s="81"/>
      <c r="K93" s="80"/>
      <c r="L93" s="81">
        <v>285.54000000000002</v>
      </c>
      <c r="M93" s="82"/>
      <c r="N93" s="83"/>
      <c r="AA93" s="43" t="s">
        <v>321</v>
      </c>
    </row>
    <row r="94" spans="1:29" s="40" customFormat="1" ht="33.75" x14ac:dyDescent="0.2">
      <c r="A94" s="79"/>
      <c r="B94" s="78" t="s">
        <v>324</v>
      </c>
      <c r="C94" s="1768" t="s">
        <v>325</v>
      </c>
      <c r="D94" s="1768"/>
      <c r="E94" s="1768"/>
      <c r="F94" s="80" t="s">
        <v>322</v>
      </c>
      <c r="G94" s="80" t="s">
        <v>326</v>
      </c>
      <c r="H94" s="80"/>
      <c r="I94" s="80" t="s">
        <v>326</v>
      </c>
      <c r="J94" s="81"/>
      <c r="K94" s="80"/>
      <c r="L94" s="81">
        <v>131.54</v>
      </c>
      <c r="M94" s="82"/>
      <c r="N94" s="83"/>
      <c r="AA94" s="43" t="s">
        <v>325</v>
      </c>
    </row>
    <row r="95" spans="1:29" s="40" customFormat="1" x14ac:dyDescent="0.2">
      <c r="A95" s="88"/>
      <c r="B95" s="89"/>
      <c r="C95" s="1785" t="s">
        <v>327</v>
      </c>
      <c r="D95" s="1785"/>
      <c r="E95" s="1785"/>
      <c r="F95" s="71"/>
      <c r="G95" s="71"/>
      <c r="H95" s="71"/>
      <c r="I95" s="71"/>
      <c r="J95" s="72"/>
      <c r="K95" s="71"/>
      <c r="L95" s="72">
        <v>1492.12</v>
      </c>
      <c r="M95" s="86"/>
      <c r="N95" s="74"/>
      <c r="AC95" s="43" t="s">
        <v>327</v>
      </c>
    </row>
    <row r="96" spans="1:29" s="40" customFormat="1" ht="33.75" x14ac:dyDescent="0.2">
      <c r="A96" s="69" t="s">
        <v>190</v>
      </c>
      <c r="B96" s="70" t="s">
        <v>356</v>
      </c>
      <c r="C96" s="1785" t="s">
        <v>357</v>
      </c>
      <c r="D96" s="1785"/>
      <c r="E96" s="1785"/>
      <c r="F96" s="71" t="s">
        <v>358</v>
      </c>
      <c r="G96" s="71"/>
      <c r="H96" s="71"/>
      <c r="I96" s="71" t="s">
        <v>359</v>
      </c>
      <c r="J96" s="72"/>
      <c r="K96" s="71"/>
      <c r="L96" s="72"/>
      <c r="M96" s="73"/>
      <c r="N96" s="74"/>
      <c r="W96" s="43" t="s">
        <v>357</v>
      </c>
    </row>
    <row r="97" spans="1:29" s="40" customFormat="1" x14ac:dyDescent="0.2">
      <c r="A97" s="75"/>
      <c r="B97" s="76"/>
      <c r="C97" s="1768" t="s">
        <v>360</v>
      </c>
      <c r="D97" s="1768"/>
      <c r="E97" s="1768"/>
      <c r="F97" s="1768"/>
      <c r="G97" s="1768"/>
      <c r="H97" s="1768"/>
      <c r="I97" s="1768"/>
      <c r="J97" s="1768"/>
      <c r="K97" s="1768"/>
      <c r="L97" s="1768"/>
      <c r="M97" s="1768"/>
      <c r="N97" s="1779"/>
      <c r="X97" s="43" t="s">
        <v>360</v>
      </c>
    </row>
    <row r="98" spans="1:29" s="40" customFormat="1" x14ac:dyDescent="0.2">
      <c r="A98" s="77"/>
      <c r="B98" s="78" t="s">
        <v>361</v>
      </c>
      <c r="C98" s="1768" t="s">
        <v>362</v>
      </c>
      <c r="D98" s="1768"/>
      <c r="E98" s="1768"/>
      <c r="F98" s="1768"/>
      <c r="G98" s="1768"/>
      <c r="H98" s="1768"/>
      <c r="I98" s="1768"/>
      <c r="J98" s="1768"/>
      <c r="K98" s="1768"/>
      <c r="L98" s="1768"/>
      <c r="M98" s="1768"/>
      <c r="N98" s="1779"/>
      <c r="Y98" s="43" t="s">
        <v>362</v>
      </c>
    </row>
    <row r="99" spans="1:29" s="40" customFormat="1" ht="33.75" x14ac:dyDescent="0.2">
      <c r="A99" s="77"/>
      <c r="B99" s="78" t="s">
        <v>310</v>
      </c>
      <c r="C99" s="1768" t="s">
        <v>311</v>
      </c>
      <c r="D99" s="1768"/>
      <c r="E99" s="1768"/>
      <c r="F99" s="1768"/>
      <c r="G99" s="1768"/>
      <c r="H99" s="1768"/>
      <c r="I99" s="1768"/>
      <c r="J99" s="1768"/>
      <c r="K99" s="1768"/>
      <c r="L99" s="1768"/>
      <c r="M99" s="1768"/>
      <c r="N99" s="1779"/>
      <c r="Y99" s="43" t="s">
        <v>311</v>
      </c>
    </row>
    <row r="100" spans="1:29" s="40" customFormat="1" x14ac:dyDescent="0.2">
      <c r="A100" s="79"/>
      <c r="B100" s="78" t="s">
        <v>185</v>
      </c>
      <c r="C100" s="1768" t="s">
        <v>312</v>
      </c>
      <c r="D100" s="1768"/>
      <c r="E100" s="1768"/>
      <c r="F100" s="80"/>
      <c r="G100" s="80"/>
      <c r="H100" s="80"/>
      <c r="I100" s="80"/>
      <c r="J100" s="81">
        <v>53.63</v>
      </c>
      <c r="K100" s="80" t="s">
        <v>185</v>
      </c>
      <c r="L100" s="81">
        <v>91.71</v>
      </c>
      <c r="M100" s="82"/>
      <c r="N100" s="83"/>
      <c r="Z100" s="43" t="s">
        <v>312</v>
      </c>
    </row>
    <row r="101" spans="1:29" s="40" customFormat="1" x14ac:dyDescent="0.2">
      <c r="A101" s="79"/>
      <c r="B101" s="78"/>
      <c r="C101" s="1768" t="s">
        <v>314</v>
      </c>
      <c r="D101" s="1768"/>
      <c r="E101" s="1768"/>
      <c r="F101" s="80" t="s">
        <v>315</v>
      </c>
      <c r="G101" s="80" t="s">
        <v>363</v>
      </c>
      <c r="H101" s="80" t="s">
        <v>185</v>
      </c>
      <c r="I101" s="80" t="s">
        <v>364</v>
      </c>
      <c r="J101" s="81"/>
      <c r="K101" s="80"/>
      <c r="L101" s="81"/>
      <c r="M101" s="82"/>
      <c r="N101" s="83"/>
      <c r="AA101" s="43" t="s">
        <v>314</v>
      </c>
    </row>
    <row r="102" spans="1:29" s="40" customFormat="1" x14ac:dyDescent="0.2">
      <c r="A102" s="79"/>
      <c r="B102" s="78"/>
      <c r="C102" s="1780" t="s">
        <v>318</v>
      </c>
      <c r="D102" s="1780"/>
      <c r="E102" s="1780"/>
      <c r="F102" s="84"/>
      <c r="G102" s="84"/>
      <c r="H102" s="84"/>
      <c r="I102" s="84"/>
      <c r="J102" s="85">
        <v>53.63</v>
      </c>
      <c r="K102" s="84"/>
      <c r="L102" s="85">
        <v>91.71</v>
      </c>
      <c r="M102" s="86"/>
      <c r="N102" s="87"/>
      <c r="AB102" s="43" t="s">
        <v>318</v>
      </c>
    </row>
    <row r="103" spans="1:29" s="40" customFormat="1" x14ac:dyDescent="0.2">
      <c r="A103" s="79"/>
      <c r="B103" s="78"/>
      <c r="C103" s="1768" t="s">
        <v>319</v>
      </c>
      <c r="D103" s="1768"/>
      <c r="E103" s="1768"/>
      <c r="F103" s="80"/>
      <c r="G103" s="80"/>
      <c r="H103" s="80"/>
      <c r="I103" s="80"/>
      <c r="J103" s="81"/>
      <c r="K103" s="80"/>
      <c r="L103" s="81">
        <v>91.71</v>
      </c>
      <c r="M103" s="82"/>
      <c r="N103" s="83"/>
      <c r="AA103" s="43" t="s">
        <v>319</v>
      </c>
    </row>
    <row r="104" spans="1:29" s="40" customFormat="1" ht="33.75" x14ac:dyDescent="0.2">
      <c r="A104" s="79"/>
      <c r="B104" s="78" t="s">
        <v>320</v>
      </c>
      <c r="C104" s="1768" t="s">
        <v>321</v>
      </c>
      <c r="D104" s="1768"/>
      <c r="E104" s="1768"/>
      <c r="F104" s="80" t="s">
        <v>322</v>
      </c>
      <c r="G104" s="80" t="s">
        <v>323</v>
      </c>
      <c r="H104" s="80"/>
      <c r="I104" s="80" t="s">
        <v>323</v>
      </c>
      <c r="J104" s="81"/>
      <c r="K104" s="80"/>
      <c r="L104" s="81">
        <v>81.62</v>
      </c>
      <c r="M104" s="82"/>
      <c r="N104" s="83"/>
      <c r="AA104" s="43" t="s">
        <v>321</v>
      </c>
    </row>
    <row r="105" spans="1:29" s="40" customFormat="1" ht="33.75" x14ac:dyDescent="0.2">
      <c r="A105" s="79"/>
      <c r="B105" s="78" t="s">
        <v>324</v>
      </c>
      <c r="C105" s="1768" t="s">
        <v>325</v>
      </c>
      <c r="D105" s="1768"/>
      <c r="E105" s="1768"/>
      <c r="F105" s="80" t="s">
        <v>322</v>
      </c>
      <c r="G105" s="80" t="s">
        <v>326</v>
      </c>
      <c r="H105" s="80"/>
      <c r="I105" s="80" t="s">
        <v>326</v>
      </c>
      <c r="J105" s="81"/>
      <c r="K105" s="80"/>
      <c r="L105" s="81">
        <v>37.6</v>
      </c>
      <c r="M105" s="82"/>
      <c r="N105" s="83"/>
      <c r="AA105" s="43" t="s">
        <v>325</v>
      </c>
    </row>
    <row r="106" spans="1:29" s="40" customFormat="1" x14ac:dyDescent="0.2">
      <c r="A106" s="88"/>
      <c r="B106" s="89"/>
      <c r="C106" s="1785" t="s">
        <v>327</v>
      </c>
      <c r="D106" s="1785"/>
      <c r="E106" s="1785"/>
      <c r="F106" s="71"/>
      <c r="G106" s="71"/>
      <c r="H106" s="71"/>
      <c r="I106" s="71"/>
      <c r="J106" s="72"/>
      <c r="K106" s="71"/>
      <c r="L106" s="72">
        <v>210.93</v>
      </c>
      <c r="M106" s="86"/>
      <c r="N106" s="74"/>
      <c r="AC106" s="43" t="s">
        <v>327</v>
      </c>
    </row>
    <row r="107" spans="1:29" s="40" customFormat="1" ht="33.75" x14ac:dyDescent="0.2">
      <c r="A107" s="69" t="s">
        <v>191</v>
      </c>
      <c r="B107" s="70" t="s">
        <v>365</v>
      </c>
      <c r="C107" s="1785" t="s">
        <v>366</v>
      </c>
      <c r="D107" s="1785"/>
      <c r="E107" s="1785"/>
      <c r="F107" s="71" t="s">
        <v>358</v>
      </c>
      <c r="G107" s="71"/>
      <c r="H107" s="71"/>
      <c r="I107" s="71" t="s">
        <v>367</v>
      </c>
      <c r="J107" s="72"/>
      <c r="K107" s="71"/>
      <c r="L107" s="72"/>
      <c r="M107" s="73"/>
      <c r="N107" s="74"/>
      <c r="W107" s="43" t="s">
        <v>366</v>
      </c>
    </row>
    <row r="108" spans="1:29" s="40" customFormat="1" x14ac:dyDescent="0.2">
      <c r="A108" s="75"/>
      <c r="B108" s="76"/>
      <c r="C108" s="1768" t="s">
        <v>368</v>
      </c>
      <c r="D108" s="1768"/>
      <c r="E108" s="1768"/>
      <c r="F108" s="1768"/>
      <c r="G108" s="1768"/>
      <c r="H108" s="1768"/>
      <c r="I108" s="1768"/>
      <c r="J108" s="1768"/>
      <c r="K108" s="1768"/>
      <c r="L108" s="1768"/>
      <c r="M108" s="1768"/>
      <c r="N108" s="1779"/>
      <c r="X108" s="43" t="s">
        <v>368</v>
      </c>
    </row>
    <row r="109" spans="1:29" s="40" customFormat="1" x14ac:dyDescent="0.2">
      <c r="A109" s="77"/>
      <c r="B109" s="78" t="s">
        <v>361</v>
      </c>
      <c r="C109" s="1768" t="s">
        <v>362</v>
      </c>
      <c r="D109" s="1768"/>
      <c r="E109" s="1768"/>
      <c r="F109" s="1768"/>
      <c r="G109" s="1768"/>
      <c r="H109" s="1768"/>
      <c r="I109" s="1768"/>
      <c r="J109" s="1768"/>
      <c r="K109" s="1768"/>
      <c r="L109" s="1768"/>
      <c r="M109" s="1768"/>
      <c r="N109" s="1779"/>
      <c r="Y109" s="43" t="s">
        <v>362</v>
      </c>
    </row>
    <row r="110" spans="1:29" s="40" customFormat="1" ht="33.75" x14ac:dyDescent="0.2">
      <c r="A110" s="77"/>
      <c r="B110" s="78" t="s">
        <v>310</v>
      </c>
      <c r="C110" s="1768" t="s">
        <v>311</v>
      </c>
      <c r="D110" s="1768"/>
      <c r="E110" s="1768"/>
      <c r="F110" s="1768"/>
      <c r="G110" s="1768"/>
      <c r="H110" s="1768"/>
      <c r="I110" s="1768"/>
      <c r="J110" s="1768"/>
      <c r="K110" s="1768"/>
      <c r="L110" s="1768"/>
      <c r="M110" s="1768"/>
      <c r="N110" s="1779"/>
      <c r="Y110" s="43" t="s">
        <v>311</v>
      </c>
    </row>
    <row r="111" spans="1:29" s="40" customFormat="1" x14ac:dyDescent="0.2">
      <c r="A111" s="79"/>
      <c r="B111" s="78" t="s">
        <v>185</v>
      </c>
      <c r="C111" s="1768" t="s">
        <v>312</v>
      </c>
      <c r="D111" s="1768"/>
      <c r="E111" s="1768"/>
      <c r="F111" s="80"/>
      <c r="G111" s="80"/>
      <c r="H111" s="80"/>
      <c r="I111" s="80"/>
      <c r="J111" s="81">
        <v>112.29</v>
      </c>
      <c r="K111" s="80" t="s">
        <v>185</v>
      </c>
      <c r="L111" s="81">
        <v>120.15</v>
      </c>
      <c r="M111" s="82"/>
      <c r="N111" s="83"/>
      <c r="Z111" s="43" t="s">
        <v>312</v>
      </c>
    </row>
    <row r="112" spans="1:29" s="40" customFormat="1" x14ac:dyDescent="0.2">
      <c r="A112" s="79"/>
      <c r="B112" s="78"/>
      <c r="C112" s="1768" t="s">
        <v>314</v>
      </c>
      <c r="D112" s="1768"/>
      <c r="E112" s="1768"/>
      <c r="F112" s="80" t="s">
        <v>315</v>
      </c>
      <c r="G112" s="80" t="s">
        <v>369</v>
      </c>
      <c r="H112" s="80" t="s">
        <v>185</v>
      </c>
      <c r="I112" s="80" t="s">
        <v>370</v>
      </c>
      <c r="J112" s="81"/>
      <c r="K112" s="80"/>
      <c r="L112" s="81"/>
      <c r="M112" s="82"/>
      <c r="N112" s="83"/>
      <c r="AA112" s="43" t="s">
        <v>314</v>
      </c>
    </row>
    <row r="113" spans="1:29" s="40" customFormat="1" x14ac:dyDescent="0.2">
      <c r="A113" s="79"/>
      <c r="B113" s="78"/>
      <c r="C113" s="1780" t="s">
        <v>318</v>
      </c>
      <c r="D113" s="1780"/>
      <c r="E113" s="1780"/>
      <c r="F113" s="84"/>
      <c r="G113" s="84"/>
      <c r="H113" s="84"/>
      <c r="I113" s="84"/>
      <c r="J113" s="85">
        <v>112.29</v>
      </c>
      <c r="K113" s="84"/>
      <c r="L113" s="85">
        <v>120.15</v>
      </c>
      <c r="M113" s="86"/>
      <c r="N113" s="87"/>
      <c r="AB113" s="43" t="s">
        <v>318</v>
      </c>
    </row>
    <row r="114" spans="1:29" s="40" customFormat="1" x14ac:dyDescent="0.2">
      <c r="A114" s="79"/>
      <c r="B114" s="78"/>
      <c r="C114" s="1768" t="s">
        <v>319</v>
      </c>
      <c r="D114" s="1768"/>
      <c r="E114" s="1768"/>
      <c r="F114" s="80"/>
      <c r="G114" s="80"/>
      <c r="H114" s="80"/>
      <c r="I114" s="80"/>
      <c r="J114" s="81"/>
      <c r="K114" s="80"/>
      <c r="L114" s="81">
        <v>120.15</v>
      </c>
      <c r="M114" s="82"/>
      <c r="N114" s="83"/>
      <c r="AA114" s="43" t="s">
        <v>319</v>
      </c>
    </row>
    <row r="115" spans="1:29" s="40" customFormat="1" ht="33.75" x14ac:dyDescent="0.2">
      <c r="A115" s="79"/>
      <c r="B115" s="78" t="s">
        <v>320</v>
      </c>
      <c r="C115" s="1768" t="s">
        <v>321</v>
      </c>
      <c r="D115" s="1768"/>
      <c r="E115" s="1768"/>
      <c r="F115" s="80" t="s">
        <v>322</v>
      </c>
      <c r="G115" s="80" t="s">
        <v>323</v>
      </c>
      <c r="H115" s="80"/>
      <c r="I115" s="80" t="s">
        <v>323</v>
      </c>
      <c r="J115" s="81"/>
      <c r="K115" s="80"/>
      <c r="L115" s="81">
        <v>106.93</v>
      </c>
      <c r="M115" s="82"/>
      <c r="N115" s="83"/>
      <c r="AA115" s="43" t="s">
        <v>321</v>
      </c>
    </row>
    <row r="116" spans="1:29" s="40" customFormat="1" ht="33.75" x14ac:dyDescent="0.2">
      <c r="A116" s="79"/>
      <c r="B116" s="78" t="s">
        <v>324</v>
      </c>
      <c r="C116" s="1768" t="s">
        <v>325</v>
      </c>
      <c r="D116" s="1768"/>
      <c r="E116" s="1768"/>
      <c r="F116" s="80" t="s">
        <v>322</v>
      </c>
      <c r="G116" s="80" t="s">
        <v>326</v>
      </c>
      <c r="H116" s="80"/>
      <c r="I116" s="80" t="s">
        <v>326</v>
      </c>
      <c r="J116" s="81"/>
      <c r="K116" s="80"/>
      <c r="L116" s="81">
        <v>49.26</v>
      </c>
      <c r="M116" s="82"/>
      <c r="N116" s="83"/>
      <c r="AA116" s="43" t="s">
        <v>325</v>
      </c>
    </row>
    <row r="117" spans="1:29" s="40" customFormat="1" x14ac:dyDescent="0.2">
      <c r="A117" s="88"/>
      <c r="B117" s="89"/>
      <c r="C117" s="1785" t="s">
        <v>327</v>
      </c>
      <c r="D117" s="1785"/>
      <c r="E117" s="1785"/>
      <c r="F117" s="71"/>
      <c r="G117" s="71"/>
      <c r="H117" s="71"/>
      <c r="I117" s="71"/>
      <c r="J117" s="72"/>
      <c r="K117" s="71"/>
      <c r="L117" s="72">
        <v>276.33999999999997</v>
      </c>
      <c r="M117" s="86"/>
      <c r="N117" s="74"/>
      <c r="AC117" s="43" t="s">
        <v>327</v>
      </c>
    </row>
    <row r="118" spans="1:29" s="40" customFormat="1" ht="33.75" x14ac:dyDescent="0.2">
      <c r="A118" s="69" t="s">
        <v>192</v>
      </c>
      <c r="B118" s="70" t="s">
        <v>371</v>
      </c>
      <c r="C118" s="1785" t="s">
        <v>372</v>
      </c>
      <c r="D118" s="1785"/>
      <c r="E118" s="1785"/>
      <c r="F118" s="71" t="s">
        <v>358</v>
      </c>
      <c r="G118" s="71"/>
      <c r="H118" s="71"/>
      <c r="I118" s="71" t="s">
        <v>330</v>
      </c>
      <c r="J118" s="72"/>
      <c r="K118" s="71"/>
      <c r="L118" s="72"/>
      <c r="M118" s="73"/>
      <c r="N118" s="74"/>
      <c r="W118" s="43" t="s">
        <v>372</v>
      </c>
    </row>
    <row r="119" spans="1:29" s="40" customFormat="1" x14ac:dyDescent="0.2">
      <c r="A119" s="75"/>
      <c r="B119" s="76"/>
      <c r="C119" s="1768" t="s">
        <v>331</v>
      </c>
      <c r="D119" s="1768"/>
      <c r="E119" s="1768"/>
      <c r="F119" s="1768"/>
      <c r="G119" s="1768"/>
      <c r="H119" s="1768"/>
      <c r="I119" s="1768"/>
      <c r="J119" s="1768"/>
      <c r="K119" s="1768"/>
      <c r="L119" s="1768"/>
      <c r="M119" s="1768"/>
      <c r="N119" s="1779"/>
      <c r="X119" s="43" t="s">
        <v>331</v>
      </c>
    </row>
    <row r="120" spans="1:29" s="40" customFormat="1" x14ac:dyDescent="0.2">
      <c r="A120" s="77"/>
      <c r="B120" s="78" t="s">
        <v>361</v>
      </c>
      <c r="C120" s="1768" t="s">
        <v>362</v>
      </c>
      <c r="D120" s="1768"/>
      <c r="E120" s="1768"/>
      <c r="F120" s="1768"/>
      <c r="G120" s="1768"/>
      <c r="H120" s="1768"/>
      <c r="I120" s="1768"/>
      <c r="J120" s="1768"/>
      <c r="K120" s="1768"/>
      <c r="L120" s="1768"/>
      <c r="M120" s="1768"/>
      <c r="N120" s="1779"/>
      <c r="Y120" s="43" t="s">
        <v>362</v>
      </c>
    </row>
    <row r="121" spans="1:29" s="40" customFormat="1" ht="33.75" x14ac:dyDescent="0.2">
      <c r="A121" s="77"/>
      <c r="B121" s="78" t="s">
        <v>310</v>
      </c>
      <c r="C121" s="1768" t="s">
        <v>311</v>
      </c>
      <c r="D121" s="1768"/>
      <c r="E121" s="1768"/>
      <c r="F121" s="1768"/>
      <c r="G121" s="1768"/>
      <c r="H121" s="1768"/>
      <c r="I121" s="1768"/>
      <c r="J121" s="1768"/>
      <c r="K121" s="1768"/>
      <c r="L121" s="1768"/>
      <c r="M121" s="1768"/>
      <c r="N121" s="1779"/>
      <c r="Y121" s="43" t="s">
        <v>311</v>
      </c>
    </row>
    <row r="122" spans="1:29" s="40" customFormat="1" x14ac:dyDescent="0.2">
      <c r="A122" s="79"/>
      <c r="B122" s="78" t="s">
        <v>185</v>
      </c>
      <c r="C122" s="1768" t="s">
        <v>312</v>
      </c>
      <c r="D122" s="1768"/>
      <c r="E122" s="1768"/>
      <c r="F122" s="80"/>
      <c r="G122" s="80"/>
      <c r="H122" s="80"/>
      <c r="I122" s="80"/>
      <c r="J122" s="81">
        <v>181.01</v>
      </c>
      <c r="K122" s="80" t="s">
        <v>185</v>
      </c>
      <c r="L122" s="81">
        <v>153.86000000000001</v>
      </c>
      <c r="M122" s="82"/>
      <c r="N122" s="83"/>
      <c r="Z122" s="43" t="s">
        <v>312</v>
      </c>
    </row>
    <row r="123" spans="1:29" s="40" customFormat="1" x14ac:dyDescent="0.2">
      <c r="A123" s="79"/>
      <c r="B123" s="78"/>
      <c r="C123" s="1768" t="s">
        <v>314</v>
      </c>
      <c r="D123" s="1768"/>
      <c r="E123" s="1768"/>
      <c r="F123" s="80" t="s">
        <v>315</v>
      </c>
      <c r="G123" s="80" t="s">
        <v>373</v>
      </c>
      <c r="H123" s="80" t="s">
        <v>185</v>
      </c>
      <c r="I123" s="80" t="s">
        <v>374</v>
      </c>
      <c r="J123" s="81"/>
      <c r="K123" s="80"/>
      <c r="L123" s="81"/>
      <c r="M123" s="82"/>
      <c r="N123" s="83"/>
      <c r="AA123" s="43" t="s">
        <v>314</v>
      </c>
    </row>
    <row r="124" spans="1:29" s="40" customFormat="1" x14ac:dyDescent="0.2">
      <c r="A124" s="79"/>
      <c r="B124" s="78"/>
      <c r="C124" s="1780" t="s">
        <v>318</v>
      </c>
      <c r="D124" s="1780"/>
      <c r="E124" s="1780"/>
      <c r="F124" s="84"/>
      <c r="G124" s="84"/>
      <c r="H124" s="84"/>
      <c r="I124" s="84"/>
      <c r="J124" s="85">
        <v>181.01</v>
      </c>
      <c r="K124" s="84"/>
      <c r="L124" s="85">
        <v>153.86000000000001</v>
      </c>
      <c r="M124" s="86"/>
      <c r="N124" s="87"/>
      <c r="AB124" s="43" t="s">
        <v>318</v>
      </c>
    </row>
    <row r="125" spans="1:29" s="40" customFormat="1" x14ac:dyDescent="0.2">
      <c r="A125" s="79"/>
      <c r="B125" s="78"/>
      <c r="C125" s="1768" t="s">
        <v>319</v>
      </c>
      <c r="D125" s="1768"/>
      <c r="E125" s="1768"/>
      <c r="F125" s="80"/>
      <c r="G125" s="80"/>
      <c r="H125" s="80"/>
      <c r="I125" s="80"/>
      <c r="J125" s="81"/>
      <c r="K125" s="80"/>
      <c r="L125" s="81">
        <v>153.86000000000001</v>
      </c>
      <c r="M125" s="82"/>
      <c r="N125" s="83"/>
      <c r="AA125" s="43" t="s">
        <v>319</v>
      </c>
    </row>
    <row r="126" spans="1:29" s="40" customFormat="1" ht="33.75" x14ac:dyDescent="0.2">
      <c r="A126" s="79"/>
      <c r="B126" s="78" t="s">
        <v>320</v>
      </c>
      <c r="C126" s="1768" t="s">
        <v>321</v>
      </c>
      <c r="D126" s="1768"/>
      <c r="E126" s="1768"/>
      <c r="F126" s="80" t="s">
        <v>322</v>
      </c>
      <c r="G126" s="80" t="s">
        <v>323</v>
      </c>
      <c r="H126" s="80"/>
      <c r="I126" s="80" t="s">
        <v>323</v>
      </c>
      <c r="J126" s="81"/>
      <c r="K126" s="80"/>
      <c r="L126" s="81">
        <v>136.94</v>
      </c>
      <c r="M126" s="82"/>
      <c r="N126" s="83"/>
      <c r="AA126" s="43" t="s">
        <v>321</v>
      </c>
    </row>
    <row r="127" spans="1:29" s="40" customFormat="1" ht="33.75" x14ac:dyDescent="0.2">
      <c r="A127" s="79"/>
      <c r="B127" s="78" t="s">
        <v>324</v>
      </c>
      <c r="C127" s="1768" t="s">
        <v>325</v>
      </c>
      <c r="D127" s="1768"/>
      <c r="E127" s="1768"/>
      <c r="F127" s="80" t="s">
        <v>322</v>
      </c>
      <c r="G127" s="80" t="s">
        <v>326</v>
      </c>
      <c r="H127" s="80"/>
      <c r="I127" s="80" t="s">
        <v>326</v>
      </c>
      <c r="J127" s="81"/>
      <c r="K127" s="80"/>
      <c r="L127" s="81">
        <v>63.08</v>
      </c>
      <c r="M127" s="82"/>
      <c r="N127" s="83"/>
      <c r="AA127" s="43" t="s">
        <v>325</v>
      </c>
    </row>
    <row r="128" spans="1:29" s="40" customFormat="1" x14ac:dyDescent="0.2">
      <c r="A128" s="88"/>
      <c r="B128" s="89"/>
      <c r="C128" s="1785" t="s">
        <v>327</v>
      </c>
      <c r="D128" s="1785"/>
      <c r="E128" s="1785"/>
      <c r="F128" s="71"/>
      <c r="G128" s="71"/>
      <c r="H128" s="71"/>
      <c r="I128" s="71"/>
      <c r="J128" s="72"/>
      <c r="K128" s="71"/>
      <c r="L128" s="72">
        <v>353.88</v>
      </c>
      <c r="M128" s="86"/>
      <c r="N128" s="74"/>
      <c r="AC128" s="43" t="s">
        <v>327</v>
      </c>
    </row>
    <row r="129" spans="1:29" s="40" customFormat="1" ht="33.75" x14ac:dyDescent="0.2">
      <c r="A129" s="69" t="s">
        <v>193</v>
      </c>
      <c r="B129" s="70" t="s">
        <v>375</v>
      </c>
      <c r="C129" s="1785" t="s">
        <v>376</v>
      </c>
      <c r="D129" s="1785"/>
      <c r="E129" s="1785"/>
      <c r="F129" s="71" t="s">
        <v>358</v>
      </c>
      <c r="G129" s="71"/>
      <c r="H129" s="71"/>
      <c r="I129" s="71" t="s">
        <v>336</v>
      </c>
      <c r="J129" s="72"/>
      <c r="K129" s="71"/>
      <c r="L129" s="72"/>
      <c r="M129" s="73"/>
      <c r="N129" s="74"/>
      <c r="W129" s="43" t="s">
        <v>376</v>
      </c>
    </row>
    <row r="130" spans="1:29" s="40" customFormat="1" x14ac:dyDescent="0.2">
      <c r="A130" s="75"/>
      <c r="B130" s="76"/>
      <c r="C130" s="1768" t="s">
        <v>337</v>
      </c>
      <c r="D130" s="1768"/>
      <c r="E130" s="1768"/>
      <c r="F130" s="1768"/>
      <c r="G130" s="1768"/>
      <c r="H130" s="1768"/>
      <c r="I130" s="1768"/>
      <c r="J130" s="1768"/>
      <c r="K130" s="1768"/>
      <c r="L130" s="1768"/>
      <c r="M130" s="1768"/>
      <c r="N130" s="1779"/>
      <c r="X130" s="43" t="s">
        <v>337</v>
      </c>
    </row>
    <row r="131" spans="1:29" s="40" customFormat="1" x14ac:dyDescent="0.2">
      <c r="A131" s="77"/>
      <c r="B131" s="78" t="s">
        <v>361</v>
      </c>
      <c r="C131" s="1768" t="s">
        <v>362</v>
      </c>
      <c r="D131" s="1768"/>
      <c r="E131" s="1768"/>
      <c r="F131" s="1768"/>
      <c r="G131" s="1768"/>
      <c r="H131" s="1768"/>
      <c r="I131" s="1768"/>
      <c r="J131" s="1768"/>
      <c r="K131" s="1768"/>
      <c r="L131" s="1768"/>
      <c r="M131" s="1768"/>
      <c r="N131" s="1779"/>
      <c r="Y131" s="43" t="s">
        <v>362</v>
      </c>
    </row>
    <row r="132" spans="1:29" s="40" customFormat="1" ht="33.75" x14ac:dyDescent="0.2">
      <c r="A132" s="77"/>
      <c r="B132" s="78" t="s">
        <v>310</v>
      </c>
      <c r="C132" s="1768" t="s">
        <v>311</v>
      </c>
      <c r="D132" s="1768"/>
      <c r="E132" s="1768"/>
      <c r="F132" s="1768"/>
      <c r="G132" s="1768"/>
      <c r="H132" s="1768"/>
      <c r="I132" s="1768"/>
      <c r="J132" s="1768"/>
      <c r="K132" s="1768"/>
      <c r="L132" s="1768"/>
      <c r="M132" s="1768"/>
      <c r="N132" s="1779"/>
      <c r="Y132" s="43" t="s">
        <v>311</v>
      </c>
    </row>
    <row r="133" spans="1:29" s="40" customFormat="1" x14ac:dyDescent="0.2">
      <c r="A133" s="79"/>
      <c r="B133" s="78" t="s">
        <v>185</v>
      </c>
      <c r="C133" s="1768" t="s">
        <v>312</v>
      </c>
      <c r="D133" s="1768"/>
      <c r="E133" s="1768"/>
      <c r="F133" s="80"/>
      <c r="G133" s="80"/>
      <c r="H133" s="80"/>
      <c r="I133" s="80"/>
      <c r="J133" s="81">
        <v>241.34</v>
      </c>
      <c r="K133" s="80" t="s">
        <v>185</v>
      </c>
      <c r="L133" s="81">
        <v>154.46</v>
      </c>
      <c r="M133" s="82"/>
      <c r="N133" s="83"/>
      <c r="Z133" s="43" t="s">
        <v>312</v>
      </c>
    </row>
    <row r="134" spans="1:29" s="40" customFormat="1" x14ac:dyDescent="0.2">
      <c r="A134" s="79"/>
      <c r="B134" s="78"/>
      <c r="C134" s="1768" t="s">
        <v>314</v>
      </c>
      <c r="D134" s="1768"/>
      <c r="E134" s="1768"/>
      <c r="F134" s="80" t="s">
        <v>315</v>
      </c>
      <c r="G134" s="80" t="s">
        <v>377</v>
      </c>
      <c r="H134" s="80" t="s">
        <v>185</v>
      </c>
      <c r="I134" s="80" t="s">
        <v>378</v>
      </c>
      <c r="J134" s="81"/>
      <c r="K134" s="80"/>
      <c r="L134" s="81"/>
      <c r="M134" s="82"/>
      <c r="N134" s="83"/>
      <c r="AA134" s="43" t="s">
        <v>314</v>
      </c>
    </row>
    <row r="135" spans="1:29" s="40" customFormat="1" x14ac:dyDescent="0.2">
      <c r="A135" s="79"/>
      <c r="B135" s="78"/>
      <c r="C135" s="1780" t="s">
        <v>318</v>
      </c>
      <c r="D135" s="1780"/>
      <c r="E135" s="1780"/>
      <c r="F135" s="84"/>
      <c r="G135" s="84"/>
      <c r="H135" s="84"/>
      <c r="I135" s="84"/>
      <c r="J135" s="85">
        <v>241.34</v>
      </c>
      <c r="K135" s="84"/>
      <c r="L135" s="85">
        <v>154.46</v>
      </c>
      <c r="M135" s="86"/>
      <c r="N135" s="87"/>
      <c r="AB135" s="43" t="s">
        <v>318</v>
      </c>
    </row>
    <row r="136" spans="1:29" s="40" customFormat="1" x14ac:dyDescent="0.2">
      <c r="A136" s="79"/>
      <c r="B136" s="78"/>
      <c r="C136" s="1768" t="s">
        <v>319</v>
      </c>
      <c r="D136" s="1768"/>
      <c r="E136" s="1768"/>
      <c r="F136" s="80"/>
      <c r="G136" s="80"/>
      <c r="H136" s="80"/>
      <c r="I136" s="80"/>
      <c r="J136" s="81"/>
      <c r="K136" s="80"/>
      <c r="L136" s="81">
        <v>154.46</v>
      </c>
      <c r="M136" s="82"/>
      <c r="N136" s="83"/>
      <c r="AA136" s="43" t="s">
        <v>319</v>
      </c>
    </row>
    <row r="137" spans="1:29" s="40" customFormat="1" ht="33.75" x14ac:dyDescent="0.2">
      <c r="A137" s="79"/>
      <c r="B137" s="78" t="s">
        <v>320</v>
      </c>
      <c r="C137" s="1768" t="s">
        <v>321</v>
      </c>
      <c r="D137" s="1768"/>
      <c r="E137" s="1768"/>
      <c r="F137" s="80" t="s">
        <v>322</v>
      </c>
      <c r="G137" s="80" t="s">
        <v>323</v>
      </c>
      <c r="H137" s="80"/>
      <c r="I137" s="80" t="s">
        <v>323</v>
      </c>
      <c r="J137" s="81"/>
      <c r="K137" s="80"/>
      <c r="L137" s="81">
        <v>137.47</v>
      </c>
      <c r="M137" s="82"/>
      <c r="N137" s="83"/>
      <c r="AA137" s="43" t="s">
        <v>321</v>
      </c>
    </row>
    <row r="138" spans="1:29" s="40" customFormat="1" ht="33.75" x14ac:dyDescent="0.2">
      <c r="A138" s="79"/>
      <c r="B138" s="78" t="s">
        <v>324</v>
      </c>
      <c r="C138" s="1768" t="s">
        <v>325</v>
      </c>
      <c r="D138" s="1768"/>
      <c r="E138" s="1768"/>
      <c r="F138" s="80" t="s">
        <v>322</v>
      </c>
      <c r="G138" s="80" t="s">
        <v>326</v>
      </c>
      <c r="H138" s="80"/>
      <c r="I138" s="80" t="s">
        <v>326</v>
      </c>
      <c r="J138" s="81"/>
      <c r="K138" s="80"/>
      <c r="L138" s="81">
        <v>63.33</v>
      </c>
      <c r="M138" s="82"/>
      <c r="N138" s="83"/>
      <c r="AA138" s="43" t="s">
        <v>325</v>
      </c>
    </row>
    <row r="139" spans="1:29" s="40" customFormat="1" x14ac:dyDescent="0.2">
      <c r="A139" s="88"/>
      <c r="B139" s="89"/>
      <c r="C139" s="1785" t="s">
        <v>327</v>
      </c>
      <c r="D139" s="1785"/>
      <c r="E139" s="1785"/>
      <c r="F139" s="71"/>
      <c r="G139" s="71"/>
      <c r="H139" s="71"/>
      <c r="I139" s="71"/>
      <c r="J139" s="72"/>
      <c r="K139" s="71"/>
      <c r="L139" s="72">
        <v>355.26</v>
      </c>
      <c r="M139" s="86"/>
      <c r="N139" s="74"/>
      <c r="AC139" s="43" t="s">
        <v>327</v>
      </c>
    </row>
    <row r="140" spans="1:29" s="40" customFormat="1" ht="56.25" x14ac:dyDescent="0.2">
      <c r="A140" s="69" t="s">
        <v>194</v>
      </c>
      <c r="B140" s="70" t="s">
        <v>379</v>
      </c>
      <c r="C140" s="1785" t="s">
        <v>380</v>
      </c>
      <c r="D140" s="1785"/>
      <c r="E140" s="1785"/>
      <c r="F140" s="71" t="s">
        <v>307</v>
      </c>
      <c r="G140" s="71"/>
      <c r="H140" s="71"/>
      <c r="I140" s="71" t="s">
        <v>381</v>
      </c>
      <c r="J140" s="72"/>
      <c r="K140" s="71"/>
      <c r="L140" s="72"/>
      <c r="M140" s="73"/>
      <c r="N140" s="74"/>
      <c r="W140" s="43" t="s">
        <v>380</v>
      </c>
    </row>
    <row r="141" spans="1:29" s="40" customFormat="1" x14ac:dyDescent="0.2">
      <c r="A141" s="75"/>
      <c r="B141" s="76"/>
      <c r="C141" s="1768" t="s">
        <v>382</v>
      </c>
      <c r="D141" s="1768"/>
      <c r="E141" s="1768"/>
      <c r="F141" s="1768"/>
      <c r="G141" s="1768"/>
      <c r="H141" s="1768"/>
      <c r="I141" s="1768"/>
      <c r="J141" s="1768"/>
      <c r="K141" s="1768"/>
      <c r="L141" s="1768"/>
      <c r="M141" s="1768"/>
      <c r="N141" s="1779"/>
      <c r="X141" s="43" t="s">
        <v>382</v>
      </c>
    </row>
    <row r="142" spans="1:29" s="40" customFormat="1" ht="33.75" x14ac:dyDescent="0.2">
      <c r="A142" s="77"/>
      <c r="B142" s="78" t="s">
        <v>310</v>
      </c>
      <c r="C142" s="1768" t="s">
        <v>311</v>
      </c>
      <c r="D142" s="1768"/>
      <c r="E142" s="1768"/>
      <c r="F142" s="1768"/>
      <c r="G142" s="1768"/>
      <c r="H142" s="1768"/>
      <c r="I142" s="1768"/>
      <c r="J142" s="1768"/>
      <c r="K142" s="1768"/>
      <c r="L142" s="1768"/>
      <c r="M142" s="1768"/>
      <c r="N142" s="1779"/>
      <c r="Y142" s="43" t="s">
        <v>311</v>
      </c>
    </row>
    <row r="143" spans="1:29" s="40" customFormat="1" x14ac:dyDescent="0.2">
      <c r="A143" s="79"/>
      <c r="B143" s="78" t="s">
        <v>186</v>
      </c>
      <c r="C143" s="1768" t="s">
        <v>344</v>
      </c>
      <c r="D143" s="1768"/>
      <c r="E143" s="1768"/>
      <c r="F143" s="80"/>
      <c r="G143" s="80"/>
      <c r="H143" s="80"/>
      <c r="I143" s="80"/>
      <c r="J143" s="81">
        <v>280.52</v>
      </c>
      <c r="K143" s="80" t="s">
        <v>313</v>
      </c>
      <c r="L143" s="81">
        <v>1497.28</v>
      </c>
      <c r="M143" s="82"/>
      <c r="N143" s="83"/>
      <c r="Z143" s="43" t="s">
        <v>344</v>
      </c>
    </row>
    <row r="144" spans="1:29" s="40" customFormat="1" x14ac:dyDescent="0.2">
      <c r="A144" s="79"/>
      <c r="B144" s="78" t="s">
        <v>187</v>
      </c>
      <c r="C144" s="1768" t="s">
        <v>345</v>
      </c>
      <c r="D144" s="1768"/>
      <c r="E144" s="1768"/>
      <c r="F144" s="80"/>
      <c r="G144" s="80"/>
      <c r="H144" s="80"/>
      <c r="I144" s="80"/>
      <c r="J144" s="81">
        <v>27.94</v>
      </c>
      <c r="K144" s="80" t="s">
        <v>313</v>
      </c>
      <c r="L144" s="81">
        <v>149.13</v>
      </c>
      <c r="M144" s="82"/>
      <c r="N144" s="83"/>
      <c r="Z144" s="43" t="s">
        <v>345</v>
      </c>
    </row>
    <row r="145" spans="1:29" s="40" customFormat="1" x14ac:dyDescent="0.2">
      <c r="A145" s="79"/>
      <c r="B145" s="78"/>
      <c r="C145" s="1768" t="s">
        <v>348</v>
      </c>
      <c r="D145" s="1768"/>
      <c r="E145" s="1768"/>
      <c r="F145" s="80" t="s">
        <v>315</v>
      </c>
      <c r="G145" s="80" t="s">
        <v>383</v>
      </c>
      <c r="H145" s="80" t="s">
        <v>313</v>
      </c>
      <c r="I145" s="80" t="s">
        <v>384</v>
      </c>
      <c r="J145" s="81"/>
      <c r="K145" s="80"/>
      <c r="L145" s="81"/>
      <c r="M145" s="82"/>
      <c r="N145" s="83"/>
      <c r="AA145" s="43" t="s">
        <v>348</v>
      </c>
    </row>
    <row r="146" spans="1:29" s="40" customFormat="1" x14ac:dyDescent="0.2">
      <c r="A146" s="79"/>
      <c r="B146" s="78"/>
      <c r="C146" s="1780" t="s">
        <v>318</v>
      </c>
      <c r="D146" s="1780"/>
      <c r="E146" s="1780"/>
      <c r="F146" s="84"/>
      <c r="G146" s="84"/>
      <c r="H146" s="84"/>
      <c r="I146" s="84"/>
      <c r="J146" s="85">
        <v>280.52</v>
      </c>
      <c r="K146" s="84"/>
      <c r="L146" s="85">
        <v>1497.28</v>
      </c>
      <c r="M146" s="86"/>
      <c r="N146" s="87"/>
      <c r="AB146" s="43" t="s">
        <v>318</v>
      </c>
    </row>
    <row r="147" spans="1:29" s="40" customFormat="1" x14ac:dyDescent="0.2">
      <c r="A147" s="79"/>
      <c r="B147" s="78"/>
      <c r="C147" s="1768" t="s">
        <v>319</v>
      </c>
      <c r="D147" s="1768"/>
      <c r="E147" s="1768"/>
      <c r="F147" s="80"/>
      <c r="G147" s="80"/>
      <c r="H147" s="80"/>
      <c r="I147" s="80"/>
      <c r="J147" s="81"/>
      <c r="K147" s="80"/>
      <c r="L147" s="81">
        <v>149.13</v>
      </c>
      <c r="M147" s="82"/>
      <c r="N147" s="83"/>
      <c r="AA147" s="43" t="s">
        <v>319</v>
      </c>
    </row>
    <row r="148" spans="1:29" s="40" customFormat="1" ht="33.75" x14ac:dyDescent="0.2">
      <c r="A148" s="79"/>
      <c r="B148" s="78" t="s">
        <v>320</v>
      </c>
      <c r="C148" s="1768" t="s">
        <v>321</v>
      </c>
      <c r="D148" s="1768"/>
      <c r="E148" s="1768"/>
      <c r="F148" s="80" t="s">
        <v>322</v>
      </c>
      <c r="G148" s="80" t="s">
        <v>323</v>
      </c>
      <c r="H148" s="80"/>
      <c r="I148" s="80" t="s">
        <v>323</v>
      </c>
      <c r="J148" s="81"/>
      <c r="K148" s="80"/>
      <c r="L148" s="81">
        <v>132.72999999999999</v>
      </c>
      <c r="M148" s="82"/>
      <c r="N148" s="83"/>
      <c r="AA148" s="43" t="s">
        <v>321</v>
      </c>
    </row>
    <row r="149" spans="1:29" s="40" customFormat="1" ht="33.75" x14ac:dyDescent="0.2">
      <c r="A149" s="79"/>
      <c r="B149" s="78" t="s">
        <v>324</v>
      </c>
      <c r="C149" s="1768" t="s">
        <v>325</v>
      </c>
      <c r="D149" s="1768"/>
      <c r="E149" s="1768"/>
      <c r="F149" s="80" t="s">
        <v>322</v>
      </c>
      <c r="G149" s="80" t="s">
        <v>326</v>
      </c>
      <c r="H149" s="80"/>
      <c r="I149" s="80" t="s">
        <v>326</v>
      </c>
      <c r="J149" s="81"/>
      <c r="K149" s="80"/>
      <c r="L149" s="81">
        <v>61.14</v>
      </c>
      <c r="M149" s="82"/>
      <c r="N149" s="83"/>
      <c r="AA149" s="43" t="s">
        <v>325</v>
      </c>
    </row>
    <row r="150" spans="1:29" s="40" customFormat="1" x14ac:dyDescent="0.2">
      <c r="A150" s="88"/>
      <c r="B150" s="89"/>
      <c r="C150" s="1785" t="s">
        <v>327</v>
      </c>
      <c r="D150" s="1785"/>
      <c r="E150" s="1785"/>
      <c r="F150" s="71"/>
      <c r="G150" s="71"/>
      <c r="H150" s="71"/>
      <c r="I150" s="71"/>
      <c r="J150" s="72"/>
      <c r="K150" s="71"/>
      <c r="L150" s="72">
        <v>1691.15</v>
      </c>
      <c r="M150" s="86"/>
      <c r="N150" s="74"/>
      <c r="AC150" s="43" t="s">
        <v>327</v>
      </c>
    </row>
    <row r="151" spans="1:29" s="40" customFormat="1" ht="22.5" x14ac:dyDescent="0.2">
      <c r="A151" s="69" t="s">
        <v>195</v>
      </c>
      <c r="B151" s="70" t="s">
        <v>385</v>
      </c>
      <c r="C151" s="1785" t="s">
        <v>386</v>
      </c>
      <c r="D151" s="1785"/>
      <c r="E151" s="1785"/>
      <c r="F151" s="71" t="s">
        <v>307</v>
      </c>
      <c r="G151" s="71"/>
      <c r="H151" s="71"/>
      <c r="I151" s="71" t="s">
        <v>381</v>
      </c>
      <c r="J151" s="72"/>
      <c r="K151" s="71"/>
      <c r="L151" s="72"/>
      <c r="M151" s="73"/>
      <c r="N151" s="74"/>
      <c r="W151" s="43" t="s">
        <v>386</v>
      </c>
    </row>
    <row r="152" spans="1:29" s="40" customFormat="1" x14ac:dyDescent="0.2">
      <c r="A152" s="75"/>
      <c r="B152" s="76"/>
      <c r="C152" s="1768" t="s">
        <v>382</v>
      </c>
      <c r="D152" s="1768"/>
      <c r="E152" s="1768"/>
      <c r="F152" s="1768"/>
      <c r="G152" s="1768"/>
      <c r="H152" s="1768"/>
      <c r="I152" s="1768"/>
      <c r="J152" s="1768"/>
      <c r="K152" s="1768"/>
      <c r="L152" s="1768"/>
      <c r="M152" s="1768"/>
      <c r="N152" s="1779"/>
      <c r="X152" s="43" t="s">
        <v>382</v>
      </c>
    </row>
    <row r="153" spans="1:29" s="40" customFormat="1" ht="33.75" x14ac:dyDescent="0.2">
      <c r="A153" s="77"/>
      <c r="B153" s="78" t="s">
        <v>310</v>
      </c>
      <c r="C153" s="1768" t="s">
        <v>311</v>
      </c>
      <c r="D153" s="1768"/>
      <c r="E153" s="1768"/>
      <c r="F153" s="1768"/>
      <c r="G153" s="1768"/>
      <c r="H153" s="1768"/>
      <c r="I153" s="1768"/>
      <c r="J153" s="1768"/>
      <c r="K153" s="1768"/>
      <c r="L153" s="1768"/>
      <c r="M153" s="1768"/>
      <c r="N153" s="1779"/>
      <c r="Y153" s="43" t="s">
        <v>311</v>
      </c>
    </row>
    <row r="154" spans="1:29" s="40" customFormat="1" x14ac:dyDescent="0.2">
      <c r="A154" s="79"/>
      <c r="B154" s="78" t="s">
        <v>186</v>
      </c>
      <c r="C154" s="1768" t="s">
        <v>344</v>
      </c>
      <c r="D154" s="1768"/>
      <c r="E154" s="1768"/>
      <c r="F154" s="80"/>
      <c r="G154" s="80"/>
      <c r="H154" s="80"/>
      <c r="I154" s="80"/>
      <c r="J154" s="81">
        <v>230.68</v>
      </c>
      <c r="K154" s="80" t="s">
        <v>313</v>
      </c>
      <c r="L154" s="81">
        <v>1231.25</v>
      </c>
      <c r="M154" s="82"/>
      <c r="N154" s="83"/>
      <c r="Z154" s="43" t="s">
        <v>344</v>
      </c>
    </row>
    <row r="155" spans="1:29" s="40" customFormat="1" x14ac:dyDescent="0.2">
      <c r="A155" s="79"/>
      <c r="B155" s="78" t="s">
        <v>187</v>
      </c>
      <c r="C155" s="1768" t="s">
        <v>345</v>
      </c>
      <c r="D155" s="1768"/>
      <c r="E155" s="1768"/>
      <c r="F155" s="80"/>
      <c r="G155" s="80"/>
      <c r="H155" s="80"/>
      <c r="I155" s="80"/>
      <c r="J155" s="81">
        <v>23.9</v>
      </c>
      <c r="K155" s="80" t="s">
        <v>313</v>
      </c>
      <c r="L155" s="81">
        <v>127.57</v>
      </c>
      <c r="M155" s="82"/>
      <c r="N155" s="83"/>
      <c r="Z155" s="43" t="s">
        <v>345</v>
      </c>
    </row>
    <row r="156" spans="1:29" s="40" customFormat="1" x14ac:dyDescent="0.2">
      <c r="A156" s="79"/>
      <c r="B156" s="78"/>
      <c r="C156" s="1768" t="s">
        <v>348</v>
      </c>
      <c r="D156" s="1768"/>
      <c r="E156" s="1768"/>
      <c r="F156" s="80" t="s">
        <v>315</v>
      </c>
      <c r="G156" s="80" t="s">
        <v>387</v>
      </c>
      <c r="H156" s="80" t="s">
        <v>313</v>
      </c>
      <c r="I156" s="80" t="s">
        <v>388</v>
      </c>
      <c r="J156" s="81"/>
      <c r="K156" s="80"/>
      <c r="L156" s="81"/>
      <c r="M156" s="82"/>
      <c r="N156" s="83"/>
      <c r="AA156" s="43" t="s">
        <v>348</v>
      </c>
    </row>
    <row r="157" spans="1:29" s="40" customFormat="1" x14ac:dyDescent="0.2">
      <c r="A157" s="79"/>
      <c r="B157" s="78"/>
      <c r="C157" s="1780" t="s">
        <v>318</v>
      </c>
      <c r="D157" s="1780"/>
      <c r="E157" s="1780"/>
      <c r="F157" s="84"/>
      <c r="G157" s="84"/>
      <c r="H157" s="84"/>
      <c r="I157" s="84"/>
      <c r="J157" s="85">
        <v>230.68</v>
      </c>
      <c r="K157" s="84"/>
      <c r="L157" s="85">
        <v>1231.25</v>
      </c>
      <c r="M157" s="86"/>
      <c r="N157" s="87"/>
      <c r="AB157" s="43" t="s">
        <v>318</v>
      </c>
    </row>
    <row r="158" spans="1:29" s="40" customFormat="1" x14ac:dyDescent="0.2">
      <c r="A158" s="79"/>
      <c r="B158" s="78"/>
      <c r="C158" s="1768" t="s">
        <v>319</v>
      </c>
      <c r="D158" s="1768"/>
      <c r="E158" s="1768"/>
      <c r="F158" s="80"/>
      <c r="G158" s="80"/>
      <c r="H158" s="80"/>
      <c r="I158" s="80"/>
      <c r="J158" s="81"/>
      <c r="K158" s="80"/>
      <c r="L158" s="81">
        <v>127.57</v>
      </c>
      <c r="M158" s="82"/>
      <c r="N158" s="83"/>
      <c r="AA158" s="43" t="s">
        <v>319</v>
      </c>
    </row>
    <row r="159" spans="1:29" s="40" customFormat="1" ht="33.75" x14ac:dyDescent="0.2">
      <c r="A159" s="79"/>
      <c r="B159" s="78" t="s">
        <v>320</v>
      </c>
      <c r="C159" s="1768" t="s">
        <v>321</v>
      </c>
      <c r="D159" s="1768"/>
      <c r="E159" s="1768"/>
      <c r="F159" s="80" t="s">
        <v>322</v>
      </c>
      <c r="G159" s="80" t="s">
        <v>323</v>
      </c>
      <c r="H159" s="80"/>
      <c r="I159" s="80" t="s">
        <v>323</v>
      </c>
      <c r="J159" s="81"/>
      <c r="K159" s="80"/>
      <c r="L159" s="81">
        <v>113.54</v>
      </c>
      <c r="M159" s="82"/>
      <c r="N159" s="83"/>
      <c r="AA159" s="43" t="s">
        <v>321</v>
      </c>
    </row>
    <row r="160" spans="1:29" s="40" customFormat="1" ht="33.75" x14ac:dyDescent="0.2">
      <c r="A160" s="79"/>
      <c r="B160" s="78" t="s">
        <v>324</v>
      </c>
      <c r="C160" s="1768" t="s">
        <v>325</v>
      </c>
      <c r="D160" s="1768"/>
      <c r="E160" s="1768"/>
      <c r="F160" s="80" t="s">
        <v>322</v>
      </c>
      <c r="G160" s="80" t="s">
        <v>326</v>
      </c>
      <c r="H160" s="80"/>
      <c r="I160" s="80" t="s">
        <v>326</v>
      </c>
      <c r="J160" s="81"/>
      <c r="K160" s="80"/>
      <c r="L160" s="81">
        <v>52.3</v>
      </c>
      <c r="M160" s="82"/>
      <c r="N160" s="83"/>
      <c r="AA160" s="43" t="s">
        <v>325</v>
      </c>
    </row>
    <row r="161" spans="1:29" s="40" customFormat="1" x14ac:dyDescent="0.2">
      <c r="A161" s="88"/>
      <c r="B161" s="89"/>
      <c r="C161" s="1785" t="s">
        <v>327</v>
      </c>
      <c r="D161" s="1785"/>
      <c r="E161" s="1785"/>
      <c r="F161" s="71"/>
      <c r="G161" s="71"/>
      <c r="H161" s="71"/>
      <c r="I161" s="71"/>
      <c r="J161" s="72"/>
      <c r="K161" s="71"/>
      <c r="L161" s="72">
        <v>1397.09</v>
      </c>
      <c r="M161" s="86"/>
      <c r="N161" s="74"/>
      <c r="AC161" s="43" t="s">
        <v>327</v>
      </c>
    </row>
    <row r="162" spans="1:29" s="40" customFormat="1" ht="45" x14ac:dyDescent="0.2">
      <c r="A162" s="69" t="s">
        <v>196</v>
      </c>
      <c r="B162" s="70" t="s">
        <v>389</v>
      </c>
      <c r="C162" s="1785" t="s">
        <v>390</v>
      </c>
      <c r="D162" s="1785"/>
      <c r="E162" s="1785"/>
      <c r="F162" s="71" t="s">
        <v>307</v>
      </c>
      <c r="G162" s="71"/>
      <c r="H162" s="71"/>
      <c r="I162" s="71" t="s">
        <v>381</v>
      </c>
      <c r="J162" s="72"/>
      <c r="K162" s="71"/>
      <c r="L162" s="72"/>
      <c r="M162" s="73"/>
      <c r="N162" s="74"/>
      <c r="W162" s="43" t="s">
        <v>390</v>
      </c>
    </row>
    <row r="163" spans="1:29" s="40" customFormat="1" x14ac:dyDescent="0.2">
      <c r="A163" s="75"/>
      <c r="B163" s="76"/>
      <c r="C163" s="1768" t="s">
        <v>382</v>
      </c>
      <c r="D163" s="1768"/>
      <c r="E163" s="1768"/>
      <c r="F163" s="1768"/>
      <c r="G163" s="1768"/>
      <c r="H163" s="1768"/>
      <c r="I163" s="1768"/>
      <c r="J163" s="1768"/>
      <c r="K163" s="1768"/>
      <c r="L163" s="1768"/>
      <c r="M163" s="1768"/>
      <c r="N163" s="1779"/>
      <c r="X163" s="43" t="s">
        <v>382</v>
      </c>
    </row>
    <row r="164" spans="1:29" s="40" customFormat="1" ht="33.75" x14ac:dyDescent="0.2">
      <c r="A164" s="77"/>
      <c r="B164" s="78" t="s">
        <v>310</v>
      </c>
      <c r="C164" s="1768" t="s">
        <v>311</v>
      </c>
      <c r="D164" s="1768"/>
      <c r="E164" s="1768"/>
      <c r="F164" s="1768"/>
      <c r="G164" s="1768"/>
      <c r="H164" s="1768"/>
      <c r="I164" s="1768"/>
      <c r="J164" s="1768"/>
      <c r="K164" s="1768"/>
      <c r="L164" s="1768"/>
      <c r="M164" s="1768"/>
      <c r="N164" s="1779"/>
      <c r="Y164" s="43" t="s">
        <v>311</v>
      </c>
    </row>
    <row r="165" spans="1:29" s="40" customFormat="1" x14ac:dyDescent="0.2">
      <c r="A165" s="79"/>
      <c r="B165" s="78" t="s">
        <v>186</v>
      </c>
      <c r="C165" s="1768" t="s">
        <v>344</v>
      </c>
      <c r="D165" s="1768"/>
      <c r="E165" s="1768"/>
      <c r="F165" s="80"/>
      <c r="G165" s="80"/>
      <c r="H165" s="80"/>
      <c r="I165" s="80"/>
      <c r="J165" s="81">
        <v>61.35</v>
      </c>
      <c r="K165" s="80" t="s">
        <v>313</v>
      </c>
      <c r="L165" s="81">
        <v>327.45999999999998</v>
      </c>
      <c r="M165" s="82"/>
      <c r="N165" s="83"/>
      <c r="Z165" s="43" t="s">
        <v>344</v>
      </c>
    </row>
    <row r="166" spans="1:29" s="40" customFormat="1" x14ac:dyDescent="0.2">
      <c r="A166" s="79"/>
      <c r="B166" s="78" t="s">
        <v>187</v>
      </c>
      <c r="C166" s="1768" t="s">
        <v>345</v>
      </c>
      <c r="D166" s="1768"/>
      <c r="E166" s="1768"/>
      <c r="F166" s="80"/>
      <c r="G166" s="80"/>
      <c r="H166" s="80"/>
      <c r="I166" s="80"/>
      <c r="J166" s="81">
        <v>9.94</v>
      </c>
      <c r="K166" s="80" t="s">
        <v>313</v>
      </c>
      <c r="L166" s="81">
        <v>53.05</v>
      </c>
      <c r="M166" s="82"/>
      <c r="N166" s="83"/>
      <c r="Z166" s="43" t="s">
        <v>345</v>
      </c>
    </row>
    <row r="167" spans="1:29" s="40" customFormat="1" x14ac:dyDescent="0.2">
      <c r="A167" s="79"/>
      <c r="B167" s="78"/>
      <c r="C167" s="1768" t="s">
        <v>348</v>
      </c>
      <c r="D167" s="1768"/>
      <c r="E167" s="1768"/>
      <c r="F167" s="80" t="s">
        <v>315</v>
      </c>
      <c r="G167" s="80" t="s">
        <v>391</v>
      </c>
      <c r="H167" s="80" t="s">
        <v>313</v>
      </c>
      <c r="I167" s="80" t="s">
        <v>392</v>
      </c>
      <c r="J167" s="81"/>
      <c r="K167" s="80"/>
      <c r="L167" s="81"/>
      <c r="M167" s="82"/>
      <c r="N167" s="83"/>
      <c r="AA167" s="43" t="s">
        <v>348</v>
      </c>
    </row>
    <row r="168" spans="1:29" s="40" customFormat="1" x14ac:dyDescent="0.2">
      <c r="A168" s="79"/>
      <c r="B168" s="78"/>
      <c r="C168" s="1780" t="s">
        <v>318</v>
      </c>
      <c r="D168" s="1780"/>
      <c r="E168" s="1780"/>
      <c r="F168" s="84"/>
      <c r="G168" s="84"/>
      <c r="H168" s="84"/>
      <c r="I168" s="84"/>
      <c r="J168" s="85">
        <v>61.35</v>
      </c>
      <c r="K168" s="84"/>
      <c r="L168" s="85">
        <v>327.45999999999998</v>
      </c>
      <c r="M168" s="86"/>
      <c r="N168" s="87"/>
      <c r="AB168" s="43" t="s">
        <v>318</v>
      </c>
    </row>
    <row r="169" spans="1:29" s="40" customFormat="1" x14ac:dyDescent="0.2">
      <c r="A169" s="79"/>
      <c r="B169" s="78"/>
      <c r="C169" s="1768" t="s">
        <v>319</v>
      </c>
      <c r="D169" s="1768"/>
      <c r="E169" s="1768"/>
      <c r="F169" s="80"/>
      <c r="G169" s="80"/>
      <c r="H169" s="80"/>
      <c r="I169" s="80"/>
      <c r="J169" s="81"/>
      <c r="K169" s="80"/>
      <c r="L169" s="81">
        <v>53.05</v>
      </c>
      <c r="M169" s="82"/>
      <c r="N169" s="83"/>
      <c r="AA169" s="43" t="s">
        <v>319</v>
      </c>
    </row>
    <row r="170" spans="1:29" s="40" customFormat="1" ht="33.75" x14ac:dyDescent="0.2">
      <c r="A170" s="79"/>
      <c r="B170" s="78" t="s">
        <v>320</v>
      </c>
      <c r="C170" s="1768" t="s">
        <v>321</v>
      </c>
      <c r="D170" s="1768"/>
      <c r="E170" s="1768"/>
      <c r="F170" s="80" t="s">
        <v>322</v>
      </c>
      <c r="G170" s="80" t="s">
        <v>323</v>
      </c>
      <c r="H170" s="80"/>
      <c r="I170" s="80" t="s">
        <v>323</v>
      </c>
      <c r="J170" s="81"/>
      <c r="K170" s="80"/>
      <c r="L170" s="81">
        <v>47.21</v>
      </c>
      <c r="M170" s="82"/>
      <c r="N170" s="83"/>
      <c r="AA170" s="43" t="s">
        <v>321</v>
      </c>
    </row>
    <row r="171" spans="1:29" s="40" customFormat="1" ht="33.75" x14ac:dyDescent="0.2">
      <c r="A171" s="79"/>
      <c r="B171" s="78" t="s">
        <v>324</v>
      </c>
      <c r="C171" s="1768" t="s">
        <v>325</v>
      </c>
      <c r="D171" s="1768"/>
      <c r="E171" s="1768"/>
      <c r="F171" s="80" t="s">
        <v>322</v>
      </c>
      <c r="G171" s="80" t="s">
        <v>326</v>
      </c>
      <c r="H171" s="80"/>
      <c r="I171" s="80" t="s">
        <v>326</v>
      </c>
      <c r="J171" s="81"/>
      <c r="K171" s="80"/>
      <c r="L171" s="81">
        <v>21.75</v>
      </c>
      <c r="M171" s="82"/>
      <c r="N171" s="83"/>
      <c r="AA171" s="43" t="s">
        <v>325</v>
      </c>
    </row>
    <row r="172" spans="1:29" s="40" customFormat="1" x14ac:dyDescent="0.2">
      <c r="A172" s="88"/>
      <c r="B172" s="89"/>
      <c r="C172" s="1785" t="s">
        <v>327</v>
      </c>
      <c r="D172" s="1785"/>
      <c r="E172" s="1785"/>
      <c r="F172" s="71"/>
      <c r="G172" s="71"/>
      <c r="H172" s="71"/>
      <c r="I172" s="71"/>
      <c r="J172" s="72"/>
      <c r="K172" s="71"/>
      <c r="L172" s="72">
        <v>396.42</v>
      </c>
      <c r="M172" s="86"/>
      <c r="N172" s="74"/>
      <c r="AC172" s="43" t="s">
        <v>327</v>
      </c>
    </row>
    <row r="173" spans="1:29" s="40" customFormat="1" ht="33.75" x14ac:dyDescent="0.2">
      <c r="A173" s="69" t="s">
        <v>197</v>
      </c>
      <c r="B173" s="70" t="s">
        <v>393</v>
      </c>
      <c r="C173" s="1785" t="s">
        <v>394</v>
      </c>
      <c r="D173" s="1785"/>
      <c r="E173" s="1785"/>
      <c r="F173" s="71" t="s">
        <v>307</v>
      </c>
      <c r="G173" s="71"/>
      <c r="H173" s="71"/>
      <c r="I173" s="71" t="s">
        <v>381</v>
      </c>
      <c r="J173" s="72"/>
      <c r="K173" s="71"/>
      <c r="L173" s="72"/>
      <c r="M173" s="73"/>
      <c r="N173" s="74"/>
      <c r="W173" s="43" t="s">
        <v>394</v>
      </c>
    </row>
    <row r="174" spans="1:29" s="40" customFormat="1" x14ac:dyDescent="0.2">
      <c r="A174" s="75"/>
      <c r="B174" s="76"/>
      <c r="C174" s="1768" t="s">
        <v>382</v>
      </c>
      <c r="D174" s="1768"/>
      <c r="E174" s="1768"/>
      <c r="F174" s="1768"/>
      <c r="G174" s="1768"/>
      <c r="H174" s="1768"/>
      <c r="I174" s="1768"/>
      <c r="J174" s="1768"/>
      <c r="K174" s="1768"/>
      <c r="L174" s="1768"/>
      <c r="M174" s="1768"/>
      <c r="N174" s="1779"/>
      <c r="X174" s="43" t="s">
        <v>382</v>
      </c>
    </row>
    <row r="175" spans="1:29" s="40" customFormat="1" ht="33.75" x14ac:dyDescent="0.2">
      <c r="A175" s="77"/>
      <c r="B175" s="78" t="s">
        <v>310</v>
      </c>
      <c r="C175" s="1768" t="s">
        <v>311</v>
      </c>
      <c r="D175" s="1768"/>
      <c r="E175" s="1768"/>
      <c r="F175" s="1768"/>
      <c r="G175" s="1768"/>
      <c r="H175" s="1768"/>
      <c r="I175" s="1768"/>
      <c r="J175" s="1768"/>
      <c r="K175" s="1768"/>
      <c r="L175" s="1768"/>
      <c r="M175" s="1768"/>
      <c r="N175" s="1779"/>
      <c r="Y175" s="43" t="s">
        <v>311</v>
      </c>
    </row>
    <row r="176" spans="1:29" s="40" customFormat="1" x14ac:dyDescent="0.2">
      <c r="A176" s="79"/>
      <c r="B176" s="78" t="s">
        <v>185</v>
      </c>
      <c r="C176" s="1768" t="s">
        <v>312</v>
      </c>
      <c r="D176" s="1768"/>
      <c r="E176" s="1768"/>
      <c r="F176" s="80"/>
      <c r="G176" s="80"/>
      <c r="H176" s="80"/>
      <c r="I176" s="80"/>
      <c r="J176" s="81">
        <v>19.73</v>
      </c>
      <c r="K176" s="80" t="s">
        <v>313</v>
      </c>
      <c r="L176" s="81">
        <v>105.31</v>
      </c>
      <c r="M176" s="82"/>
      <c r="N176" s="83"/>
      <c r="Z176" s="43" t="s">
        <v>312</v>
      </c>
    </row>
    <row r="177" spans="1:31" s="40" customFormat="1" x14ac:dyDescent="0.2">
      <c r="A177" s="79"/>
      <c r="B177" s="78" t="s">
        <v>186</v>
      </c>
      <c r="C177" s="1768" t="s">
        <v>344</v>
      </c>
      <c r="D177" s="1768"/>
      <c r="E177" s="1768"/>
      <c r="F177" s="80"/>
      <c r="G177" s="80"/>
      <c r="H177" s="80"/>
      <c r="I177" s="80"/>
      <c r="J177" s="81">
        <v>126.31</v>
      </c>
      <c r="K177" s="80" t="s">
        <v>313</v>
      </c>
      <c r="L177" s="81">
        <v>674.18</v>
      </c>
      <c r="M177" s="82"/>
      <c r="N177" s="83"/>
      <c r="Z177" s="43" t="s">
        <v>344</v>
      </c>
    </row>
    <row r="178" spans="1:31" s="40" customFormat="1" x14ac:dyDescent="0.2">
      <c r="A178" s="79"/>
      <c r="B178" s="78" t="s">
        <v>187</v>
      </c>
      <c r="C178" s="1768" t="s">
        <v>345</v>
      </c>
      <c r="D178" s="1768"/>
      <c r="E178" s="1768"/>
      <c r="F178" s="80"/>
      <c r="G178" s="80"/>
      <c r="H178" s="80"/>
      <c r="I178" s="80"/>
      <c r="J178" s="81">
        <v>20.88</v>
      </c>
      <c r="K178" s="80" t="s">
        <v>313</v>
      </c>
      <c r="L178" s="81">
        <v>111.45</v>
      </c>
      <c r="M178" s="82"/>
      <c r="N178" s="83"/>
      <c r="Z178" s="43" t="s">
        <v>345</v>
      </c>
    </row>
    <row r="179" spans="1:31" s="40" customFormat="1" x14ac:dyDescent="0.2">
      <c r="A179" s="79"/>
      <c r="B179" s="78"/>
      <c r="C179" s="1768" t="s">
        <v>314</v>
      </c>
      <c r="D179" s="1768"/>
      <c r="E179" s="1768"/>
      <c r="F179" s="80" t="s">
        <v>315</v>
      </c>
      <c r="G179" s="80" t="s">
        <v>395</v>
      </c>
      <c r="H179" s="80" t="s">
        <v>313</v>
      </c>
      <c r="I179" s="80" t="s">
        <v>396</v>
      </c>
      <c r="J179" s="81"/>
      <c r="K179" s="80"/>
      <c r="L179" s="81"/>
      <c r="M179" s="82"/>
      <c r="N179" s="83"/>
      <c r="AA179" s="43" t="s">
        <v>314</v>
      </c>
    </row>
    <row r="180" spans="1:31" s="40" customFormat="1" x14ac:dyDescent="0.2">
      <c r="A180" s="79"/>
      <c r="B180" s="78"/>
      <c r="C180" s="1768" t="s">
        <v>348</v>
      </c>
      <c r="D180" s="1768"/>
      <c r="E180" s="1768"/>
      <c r="F180" s="80" t="s">
        <v>315</v>
      </c>
      <c r="G180" s="80" t="s">
        <v>397</v>
      </c>
      <c r="H180" s="80" t="s">
        <v>313</v>
      </c>
      <c r="I180" s="80" t="s">
        <v>398</v>
      </c>
      <c r="J180" s="81"/>
      <c r="K180" s="80"/>
      <c r="L180" s="81"/>
      <c r="M180" s="82"/>
      <c r="N180" s="83"/>
      <c r="AA180" s="43" t="s">
        <v>348</v>
      </c>
    </row>
    <row r="181" spans="1:31" s="40" customFormat="1" x14ac:dyDescent="0.2">
      <c r="A181" s="79"/>
      <c r="B181" s="78"/>
      <c r="C181" s="1780" t="s">
        <v>318</v>
      </c>
      <c r="D181" s="1780"/>
      <c r="E181" s="1780"/>
      <c r="F181" s="84"/>
      <c r="G181" s="84"/>
      <c r="H181" s="84"/>
      <c r="I181" s="84"/>
      <c r="J181" s="85">
        <v>146.04</v>
      </c>
      <c r="K181" s="84"/>
      <c r="L181" s="85">
        <v>779.49</v>
      </c>
      <c r="M181" s="86"/>
      <c r="N181" s="87"/>
      <c r="AB181" s="43" t="s">
        <v>318</v>
      </c>
    </row>
    <row r="182" spans="1:31" s="40" customFormat="1" x14ac:dyDescent="0.2">
      <c r="A182" s="79"/>
      <c r="B182" s="78"/>
      <c r="C182" s="1768" t="s">
        <v>319</v>
      </c>
      <c r="D182" s="1768"/>
      <c r="E182" s="1768"/>
      <c r="F182" s="80"/>
      <c r="G182" s="80"/>
      <c r="H182" s="80"/>
      <c r="I182" s="80"/>
      <c r="J182" s="81"/>
      <c r="K182" s="80"/>
      <c r="L182" s="81">
        <v>216.76</v>
      </c>
      <c r="M182" s="82"/>
      <c r="N182" s="83"/>
      <c r="AA182" s="43" t="s">
        <v>319</v>
      </c>
    </row>
    <row r="183" spans="1:31" s="40" customFormat="1" ht="33.75" x14ac:dyDescent="0.2">
      <c r="A183" s="79"/>
      <c r="B183" s="78" t="s">
        <v>320</v>
      </c>
      <c r="C183" s="1768" t="s">
        <v>321</v>
      </c>
      <c r="D183" s="1768"/>
      <c r="E183" s="1768"/>
      <c r="F183" s="80" t="s">
        <v>322</v>
      </c>
      <c r="G183" s="80" t="s">
        <v>323</v>
      </c>
      <c r="H183" s="80"/>
      <c r="I183" s="80" t="s">
        <v>323</v>
      </c>
      <c r="J183" s="81"/>
      <c r="K183" s="80"/>
      <c r="L183" s="81">
        <v>192.92</v>
      </c>
      <c r="M183" s="82"/>
      <c r="N183" s="83"/>
      <c r="AA183" s="43" t="s">
        <v>321</v>
      </c>
    </row>
    <row r="184" spans="1:31" s="40" customFormat="1" ht="33.75" x14ac:dyDescent="0.2">
      <c r="A184" s="79"/>
      <c r="B184" s="78" t="s">
        <v>324</v>
      </c>
      <c r="C184" s="1768" t="s">
        <v>325</v>
      </c>
      <c r="D184" s="1768"/>
      <c r="E184" s="1768"/>
      <c r="F184" s="80" t="s">
        <v>322</v>
      </c>
      <c r="G184" s="80" t="s">
        <v>326</v>
      </c>
      <c r="H184" s="80"/>
      <c r="I184" s="80" t="s">
        <v>326</v>
      </c>
      <c r="J184" s="81"/>
      <c r="K184" s="80"/>
      <c r="L184" s="81">
        <v>88.87</v>
      </c>
      <c r="M184" s="82"/>
      <c r="N184" s="83"/>
      <c r="AA184" s="43" t="s">
        <v>325</v>
      </c>
    </row>
    <row r="185" spans="1:31" s="40" customFormat="1" x14ac:dyDescent="0.2">
      <c r="A185" s="88"/>
      <c r="B185" s="89"/>
      <c r="C185" s="1785" t="s">
        <v>327</v>
      </c>
      <c r="D185" s="1785"/>
      <c r="E185" s="1785"/>
      <c r="F185" s="71"/>
      <c r="G185" s="71"/>
      <c r="H185" s="71"/>
      <c r="I185" s="71"/>
      <c r="J185" s="72"/>
      <c r="K185" s="71"/>
      <c r="L185" s="72">
        <v>1061.28</v>
      </c>
      <c r="M185" s="86"/>
      <c r="N185" s="74"/>
      <c r="AC185" s="43" t="s">
        <v>327</v>
      </c>
    </row>
    <row r="186" spans="1:31" s="40" customFormat="1" ht="45" x14ac:dyDescent="0.2">
      <c r="A186" s="69" t="s">
        <v>198</v>
      </c>
      <c r="B186" s="70" t="s">
        <v>399</v>
      </c>
      <c r="C186" s="1785" t="s">
        <v>400</v>
      </c>
      <c r="D186" s="1785"/>
      <c r="E186" s="1785"/>
      <c r="F186" s="71" t="s">
        <v>201</v>
      </c>
      <c r="G186" s="71"/>
      <c r="H186" s="71"/>
      <c r="I186" s="71" t="s">
        <v>401</v>
      </c>
      <c r="J186" s="72">
        <v>3.28</v>
      </c>
      <c r="K186" s="71"/>
      <c r="L186" s="72">
        <v>166.95</v>
      </c>
      <c r="M186" s="73"/>
      <c r="N186" s="74"/>
      <c r="W186" s="43" t="s">
        <v>400</v>
      </c>
    </row>
    <row r="187" spans="1:31" s="652" customFormat="1" ht="45" x14ac:dyDescent="0.2">
      <c r="A187" s="646" t="s">
        <v>199</v>
      </c>
      <c r="B187" s="647" t="s">
        <v>202</v>
      </c>
      <c r="C187" s="1786" t="s">
        <v>203</v>
      </c>
      <c r="D187" s="1786"/>
      <c r="E187" s="1786"/>
      <c r="F187" s="648" t="s">
        <v>201</v>
      </c>
      <c r="G187" s="648"/>
      <c r="H187" s="648"/>
      <c r="I187" s="648" t="s">
        <v>401</v>
      </c>
      <c r="J187" s="649">
        <v>62.59</v>
      </c>
      <c r="K187" s="648"/>
      <c r="L187" s="649">
        <v>3185.83</v>
      </c>
      <c r="M187" s="650"/>
      <c r="N187" s="651"/>
      <c r="W187" s="653" t="s">
        <v>203</v>
      </c>
    </row>
    <row r="188" spans="1:31" s="40" customFormat="1" ht="1.5" customHeight="1" x14ac:dyDescent="0.2">
      <c r="A188" s="90"/>
      <c r="B188" s="89"/>
      <c r="C188" s="89"/>
      <c r="D188" s="89"/>
      <c r="E188" s="89"/>
      <c r="F188" s="90"/>
      <c r="G188" s="90"/>
      <c r="H188" s="90"/>
      <c r="I188" s="90"/>
      <c r="J188" s="91"/>
      <c r="K188" s="90"/>
      <c r="L188" s="91"/>
      <c r="M188" s="80"/>
      <c r="N188" s="91"/>
    </row>
    <row r="189" spans="1:31" s="40" customFormat="1" x14ac:dyDescent="0.2">
      <c r="A189" s="92"/>
      <c r="B189" s="93"/>
      <c r="C189" s="1785" t="s">
        <v>402</v>
      </c>
      <c r="D189" s="1785"/>
      <c r="E189" s="1785"/>
      <c r="F189" s="1785"/>
      <c r="G189" s="1785"/>
      <c r="H189" s="1785"/>
      <c r="I189" s="1785"/>
      <c r="J189" s="1785"/>
      <c r="K189" s="1785"/>
      <c r="L189" s="94"/>
      <c r="M189" s="95"/>
      <c r="N189" s="96"/>
      <c r="AD189" s="43" t="s">
        <v>402</v>
      </c>
    </row>
    <row r="190" spans="1:31" s="40" customFormat="1" x14ac:dyDescent="0.2">
      <c r="A190" s="97"/>
      <c r="B190" s="78"/>
      <c r="C190" s="1768" t="s">
        <v>403</v>
      </c>
      <c r="D190" s="1768"/>
      <c r="E190" s="1768"/>
      <c r="F190" s="1768"/>
      <c r="G190" s="1768"/>
      <c r="H190" s="1768"/>
      <c r="I190" s="1768"/>
      <c r="J190" s="1768"/>
      <c r="K190" s="1768"/>
      <c r="L190" s="98">
        <v>12580.21</v>
      </c>
      <c r="M190" s="99"/>
      <c r="N190" s="100"/>
      <c r="AE190" s="43" t="s">
        <v>403</v>
      </c>
    </row>
    <row r="191" spans="1:31" s="40" customFormat="1" x14ac:dyDescent="0.2">
      <c r="A191" s="97"/>
      <c r="B191" s="78"/>
      <c r="C191" s="1768" t="s">
        <v>204</v>
      </c>
      <c r="D191" s="1768"/>
      <c r="E191" s="1768"/>
      <c r="F191" s="1768"/>
      <c r="G191" s="1768"/>
      <c r="H191" s="1768"/>
      <c r="I191" s="1768"/>
      <c r="J191" s="1768"/>
      <c r="K191" s="1768"/>
      <c r="L191" s="98"/>
      <c r="M191" s="99"/>
      <c r="N191" s="100"/>
      <c r="AE191" s="43" t="s">
        <v>204</v>
      </c>
    </row>
    <row r="192" spans="1:31" s="40" customFormat="1" x14ac:dyDescent="0.2">
      <c r="A192" s="97"/>
      <c r="B192" s="78"/>
      <c r="C192" s="1768" t="s">
        <v>404</v>
      </c>
      <c r="D192" s="1768"/>
      <c r="E192" s="1768"/>
      <c r="F192" s="1768"/>
      <c r="G192" s="1768"/>
      <c r="H192" s="1768"/>
      <c r="I192" s="1768"/>
      <c r="J192" s="1768"/>
      <c r="K192" s="1768"/>
      <c r="L192" s="98">
        <v>1609.2</v>
      </c>
      <c r="M192" s="99"/>
      <c r="N192" s="100"/>
      <c r="AE192" s="43" t="s">
        <v>404</v>
      </c>
    </row>
    <row r="193" spans="1:32" s="40" customFormat="1" x14ac:dyDescent="0.2">
      <c r="A193" s="97"/>
      <c r="B193" s="78"/>
      <c r="C193" s="1768" t="s">
        <v>405</v>
      </c>
      <c r="D193" s="1768"/>
      <c r="E193" s="1768"/>
      <c r="F193" s="1768"/>
      <c r="G193" s="1768"/>
      <c r="H193" s="1768"/>
      <c r="I193" s="1768"/>
      <c r="J193" s="1768"/>
      <c r="K193" s="1768"/>
      <c r="L193" s="98">
        <v>10971.01</v>
      </c>
      <c r="M193" s="99"/>
      <c r="N193" s="100"/>
      <c r="AE193" s="43" t="s">
        <v>405</v>
      </c>
    </row>
    <row r="194" spans="1:32" s="40" customFormat="1" x14ac:dyDescent="0.2">
      <c r="A194" s="97"/>
      <c r="B194" s="78"/>
      <c r="C194" s="1768" t="s">
        <v>406</v>
      </c>
      <c r="D194" s="1768"/>
      <c r="E194" s="1768"/>
      <c r="F194" s="1768"/>
      <c r="G194" s="1768"/>
      <c r="H194" s="1768"/>
      <c r="I194" s="1768"/>
      <c r="J194" s="1768"/>
      <c r="K194" s="1768"/>
      <c r="L194" s="98">
        <v>1121.1300000000001</v>
      </c>
      <c r="M194" s="99"/>
      <c r="N194" s="100"/>
      <c r="AE194" s="43" t="s">
        <v>406</v>
      </c>
    </row>
    <row r="195" spans="1:32" s="40" customFormat="1" x14ac:dyDescent="0.2">
      <c r="A195" s="97"/>
      <c r="B195" s="78"/>
      <c r="C195" s="1768" t="s">
        <v>407</v>
      </c>
      <c r="D195" s="1768"/>
      <c r="E195" s="1768"/>
      <c r="F195" s="1768"/>
      <c r="G195" s="1768"/>
      <c r="H195" s="1768"/>
      <c r="I195" s="1768"/>
      <c r="J195" s="1768"/>
      <c r="K195" s="1768"/>
      <c r="L195" s="98">
        <v>16129.63</v>
      </c>
      <c r="M195" s="99"/>
      <c r="N195" s="100"/>
      <c r="AE195" s="43" t="s">
        <v>407</v>
      </c>
    </row>
    <row r="196" spans="1:32" s="40" customFormat="1" x14ac:dyDescent="0.2">
      <c r="A196" s="97"/>
      <c r="B196" s="78" t="s">
        <v>185</v>
      </c>
      <c r="C196" s="1768" t="s">
        <v>408</v>
      </c>
      <c r="D196" s="1768"/>
      <c r="E196" s="1768"/>
      <c r="F196" s="1768"/>
      <c r="G196" s="1768"/>
      <c r="H196" s="1768"/>
      <c r="I196" s="1768"/>
      <c r="J196" s="1768"/>
      <c r="K196" s="1768"/>
      <c r="L196" s="98">
        <v>12776.85</v>
      </c>
      <c r="M196" s="99"/>
      <c r="N196" s="100"/>
      <c r="AE196" s="43" t="s">
        <v>408</v>
      </c>
    </row>
    <row r="197" spans="1:32" s="40" customFormat="1" x14ac:dyDescent="0.2">
      <c r="A197" s="97"/>
      <c r="B197" s="78"/>
      <c r="C197" s="1768" t="s">
        <v>409</v>
      </c>
      <c r="D197" s="1768"/>
      <c r="E197" s="1768"/>
      <c r="F197" s="1768"/>
      <c r="G197" s="1768"/>
      <c r="H197" s="1768"/>
      <c r="I197" s="1768"/>
      <c r="J197" s="1768"/>
      <c r="K197" s="1768"/>
      <c r="L197" s="98"/>
      <c r="M197" s="99"/>
      <c r="N197" s="100"/>
      <c r="AE197" s="43" t="s">
        <v>409</v>
      </c>
    </row>
    <row r="198" spans="1:32" s="40" customFormat="1" x14ac:dyDescent="0.2">
      <c r="A198" s="97"/>
      <c r="B198" s="78"/>
      <c r="C198" s="1768" t="s">
        <v>410</v>
      </c>
      <c r="D198" s="1768"/>
      <c r="E198" s="1768"/>
      <c r="F198" s="1768"/>
      <c r="G198" s="1768"/>
      <c r="H198" s="1768"/>
      <c r="I198" s="1768"/>
      <c r="J198" s="1768"/>
      <c r="K198" s="1768"/>
      <c r="L198" s="98">
        <v>1609.2</v>
      </c>
      <c r="M198" s="99"/>
      <c r="N198" s="100"/>
      <c r="AE198" s="43" t="s">
        <v>410</v>
      </c>
    </row>
    <row r="199" spans="1:32" s="40" customFormat="1" x14ac:dyDescent="0.2">
      <c r="A199" s="97"/>
      <c r="B199" s="78"/>
      <c r="C199" s="1768" t="s">
        <v>411</v>
      </c>
      <c r="D199" s="1768"/>
      <c r="E199" s="1768"/>
      <c r="F199" s="1768"/>
      <c r="G199" s="1768"/>
      <c r="H199" s="1768"/>
      <c r="I199" s="1768"/>
      <c r="J199" s="1768"/>
      <c r="K199" s="1768"/>
      <c r="L199" s="98">
        <v>7618.23</v>
      </c>
      <c r="M199" s="99"/>
      <c r="N199" s="100"/>
      <c r="AE199" s="43" t="s">
        <v>411</v>
      </c>
    </row>
    <row r="200" spans="1:32" s="40" customFormat="1" x14ac:dyDescent="0.2">
      <c r="A200" s="97"/>
      <c r="B200" s="78"/>
      <c r="C200" s="1768" t="s">
        <v>412</v>
      </c>
      <c r="D200" s="1768"/>
      <c r="E200" s="1768"/>
      <c r="F200" s="1768"/>
      <c r="G200" s="1768"/>
      <c r="H200" s="1768"/>
      <c r="I200" s="1768"/>
      <c r="J200" s="1768"/>
      <c r="K200" s="1768"/>
      <c r="L200" s="98">
        <v>2430</v>
      </c>
      <c r="M200" s="99"/>
      <c r="N200" s="100"/>
      <c r="AE200" s="43" t="s">
        <v>412</v>
      </c>
    </row>
    <row r="201" spans="1:32" s="40" customFormat="1" x14ac:dyDescent="0.2">
      <c r="A201" s="97"/>
      <c r="B201" s="78"/>
      <c r="C201" s="1768" t="s">
        <v>413</v>
      </c>
      <c r="D201" s="1768"/>
      <c r="E201" s="1768"/>
      <c r="F201" s="1768"/>
      <c r="G201" s="1768"/>
      <c r="H201" s="1768"/>
      <c r="I201" s="1768"/>
      <c r="J201" s="1768"/>
      <c r="K201" s="1768"/>
      <c r="L201" s="98">
        <v>1119.42</v>
      </c>
      <c r="M201" s="99"/>
      <c r="N201" s="100"/>
      <c r="AE201" s="43" t="s">
        <v>413</v>
      </c>
    </row>
    <row r="202" spans="1:32" s="40" customFormat="1" x14ac:dyDescent="0.2">
      <c r="A202" s="97"/>
      <c r="B202" s="78" t="s">
        <v>185</v>
      </c>
      <c r="C202" s="1768" t="s">
        <v>414</v>
      </c>
      <c r="D202" s="1768"/>
      <c r="E202" s="1768"/>
      <c r="F202" s="1768"/>
      <c r="G202" s="1768"/>
      <c r="H202" s="1768"/>
      <c r="I202" s="1768"/>
      <c r="J202" s="1768"/>
      <c r="K202" s="1768"/>
      <c r="L202" s="98">
        <v>3352.78</v>
      </c>
      <c r="M202" s="99"/>
      <c r="N202" s="100"/>
      <c r="AE202" s="43" t="s">
        <v>414</v>
      </c>
    </row>
    <row r="203" spans="1:32" s="40" customFormat="1" x14ac:dyDescent="0.2">
      <c r="A203" s="97"/>
      <c r="B203" s="78"/>
      <c r="C203" s="1768" t="s">
        <v>415</v>
      </c>
      <c r="D203" s="1768"/>
      <c r="E203" s="1768"/>
      <c r="F203" s="1768"/>
      <c r="G203" s="1768"/>
      <c r="H203" s="1768"/>
      <c r="I203" s="1768"/>
      <c r="J203" s="1768"/>
      <c r="K203" s="1768"/>
      <c r="L203" s="98">
        <v>2730.33</v>
      </c>
      <c r="M203" s="99"/>
      <c r="N203" s="100"/>
      <c r="AE203" s="43" t="s">
        <v>415</v>
      </c>
    </row>
    <row r="204" spans="1:32" s="40" customFormat="1" x14ac:dyDescent="0.2">
      <c r="A204" s="97"/>
      <c r="B204" s="78"/>
      <c r="C204" s="1768" t="s">
        <v>416</v>
      </c>
      <c r="D204" s="1768"/>
      <c r="E204" s="1768"/>
      <c r="F204" s="1768"/>
      <c r="G204" s="1768"/>
      <c r="H204" s="1768"/>
      <c r="I204" s="1768"/>
      <c r="J204" s="1768"/>
      <c r="K204" s="1768"/>
      <c r="L204" s="98">
        <v>2430</v>
      </c>
      <c r="M204" s="99"/>
      <c r="N204" s="100"/>
      <c r="AE204" s="43" t="s">
        <v>416</v>
      </c>
    </row>
    <row r="205" spans="1:32" s="40" customFormat="1" x14ac:dyDescent="0.2">
      <c r="A205" s="97"/>
      <c r="B205" s="78"/>
      <c r="C205" s="1768" t="s">
        <v>417</v>
      </c>
      <c r="D205" s="1768"/>
      <c r="E205" s="1768"/>
      <c r="F205" s="1768"/>
      <c r="G205" s="1768"/>
      <c r="H205" s="1768"/>
      <c r="I205" s="1768"/>
      <c r="J205" s="1768"/>
      <c r="K205" s="1768"/>
      <c r="L205" s="98">
        <v>1119.42</v>
      </c>
      <c r="M205" s="99"/>
      <c r="N205" s="100"/>
      <c r="AE205" s="43" t="s">
        <v>417</v>
      </c>
    </row>
    <row r="206" spans="1:32" s="40" customFormat="1" x14ac:dyDescent="0.2">
      <c r="A206" s="97"/>
      <c r="B206" s="91"/>
      <c r="C206" s="1787" t="s">
        <v>418</v>
      </c>
      <c r="D206" s="1787"/>
      <c r="E206" s="1787"/>
      <c r="F206" s="1787"/>
      <c r="G206" s="1787"/>
      <c r="H206" s="1787"/>
      <c r="I206" s="1787"/>
      <c r="J206" s="1787"/>
      <c r="K206" s="1787"/>
      <c r="L206" s="102">
        <v>16129.63</v>
      </c>
      <c r="M206" s="103"/>
      <c r="N206" s="104"/>
      <c r="AF206" s="43" t="s">
        <v>418</v>
      </c>
    </row>
    <row r="207" spans="1:32" s="40" customFormat="1" ht="12" x14ac:dyDescent="0.2">
      <c r="A207" s="1782" t="s">
        <v>419</v>
      </c>
      <c r="B207" s="1783"/>
      <c r="C207" s="1783"/>
      <c r="D207" s="1783"/>
      <c r="E207" s="1783"/>
      <c r="F207" s="1783"/>
      <c r="G207" s="1783"/>
      <c r="H207" s="1783"/>
      <c r="I207" s="1783"/>
      <c r="J207" s="1783"/>
      <c r="K207" s="1783"/>
      <c r="L207" s="1783"/>
      <c r="M207" s="1783"/>
      <c r="N207" s="1784"/>
      <c r="V207" s="43" t="s">
        <v>419</v>
      </c>
    </row>
    <row r="208" spans="1:32" s="40" customFormat="1" ht="56.25" x14ac:dyDescent="0.2">
      <c r="A208" s="69" t="s">
        <v>200</v>
      </c>
      <c r="B208" s="70" t="s">
        <v>420</v>
      </c>
      <c r="C208" s="1785" t="s">
        <v>421</v>
      </c>
      <c r="D208" s="1785"/>
      <c r="E208" s="1785"/>
      <c r="F208" s="71" t="s">
        <v>283</v>
      </c>
      <c r="G208" s="71"/>
      <c r="H208" s="71"/>
      <c r="I208" s="71" t="s">
        <v>422</v>
      </c>
      <c r="J208" s="72"/>
      <c r="K208" s="71"/>
      <c r="L208" s="72"/>
      <c r="M208" s="73"/>
      <c r="N208" s="74"/>
      <c r="W208" s="43" t="s">
        <v>421</v>
      </c>
    </row>
    <row r="209" spans="1:29" s="40" customFormat="1" ht="33.75" x14ac:dyDescent="0.2">
      <c r="A209" s="77"/>
      <c r="B209" s="78" t="s">
        <v>310</v>
      </c>
      <c r="C209" s="1768" t="s">
        <v>311</v>
      </c>
      <c r="D209" s="1768"/>
      <c r="E209" s="1768"/>
      <c r="F209" s="1768"/>
      <c r="G209" s="1768"/>
      <c r="H209" s="1768"/>
      <c r="I209" s="1768"/>
      <c r="J209" s="1768"/>
      <c r="K209" s="1768"/>
      <c r="L209" s="1768"/>
      <c r="M209" s="1768"/>
      <c r="N209" s="1779"/>
      <c r="Y209" s="43" t="s">
        <v>311</v>
      </c>
    </row>
    <row r="210" spans="1:29" s="40" customFormat="1" x14ac:dyDescent="0.2">
      <c r="A210" s="79"/>
      <c r="B210" s="78" t="s">
        <v>186</v>
      </c>
      <c r="C210" s="1768" t="s">
        <v>344</v>
      </c>
      <c r="D210" s="1768"/>
      <c r="E210" s="1768"/>
      <c r="F210" s="80"/>
      <c r="G210" s="80"/>
      <c r="H210" s="80"/>
      <c r="I210" s="80"/>
      <c r="J210" s="81">
        <v>733.12</v>
      </c>
      <c r="K210" s="80" t="s">
        <v>313</v>
      </c>
      <c r="L210" s="81">
        <v>3482.32</v>
      </c>
      <c r="M210" s="82"/>
      <c r="N210" s="83"/>
      <c r="Z210" s="43" t="s">
        <v>344</v>
      </c>
    </row>
    <row r="211" spans="1:29" s="40" customFormat="1" x14ac:dyDescent="0.2">
      <c r="A211" s="79"/>
      <c r="B211" s="78" t="s">
        <v>187</v>
      </c>
      <c r="C211" s="1768" t="s">
        <v>345</v>
      </c>
      <c r="D211" s="1768"/>
      <c r="E211" s="1768"/>
      <c r="F211" s="80"/>
      <c r="G211" s="80"/>
      <c r="H211" s="80"/>
      <c r="I211" s="80"/>
      <c r="J211" s="81">
        <v>73.010000000000005</v>
      </c>
      <c r="K211" s="80" t="s">
        <v>313</v>
      </c>
      <c r="L211" s="81">
        <v>346.8</v>
      </c>
      <c r="M211" s="82"/>
      <c r="N211" s="83"/>
      <c r="Z211" s="43" t="s">
        <v>345</v>
      </c>
    </row>
    <row r="212" spans="1:29" s="40" customFormat="1" x14ac:dyDescent="0.2">
      <c r="A212" s="79"/>
      <c r="B212" s="78"/>
      <c r="C212" s="1768" t="s">
        <v>348</v>
      </c>
      <c r="D212" s="1768"/>
      <c r="E212" s="1768"/>
      <c r="F212" s="80" t="s">
        <v>315</v>
      </c>
      <c r="G212" s="80" t="s">
        <v>423</v>
      </c>
      <c r="H212" s="80" t="s">
        <v>313</v>
      </c>
      <c r="I212" s="80" t="s">
        <v>424</v>
      </c>
      <c r="J212" s="81"/>
      <c r="K212" s="80"/>
      <c r="L212" s="81"/>
      <c r="M212" s="82"/>
      <c r="N212" s="83"/>
      <c r="AA212" s="43" t="s">
        <v>348</v>
      </c>
    </row>
    <row r="213" spans="1:29" s="40" customFormat="1" x14ac:dyDescent="0.2">
      <c r="A213" s="79"/>
      <c r="B213" s="78"/>
      <c r="C213" s="1780" t="s">
        <v>318</v>
      </c>
      <c r="D213" s="1780"/>
      <c r="E213" s="1780"/>
      <c r="F213" s="84"/>
      <c r="G213" s="84"/>
      <c r="H213" s="84"/>
      <c r="I213" s="84"/>
      <c r="J213" s="85">
        <v>733.12</v>
      </c>
      <c r="K213" s="84"/>
      <c r="L213" s="85">
        <v>3482.32</v>
      </c>
      <c r="M213" s="86"/>
      <c r="N213" s="87"/>
      <c r="AB213" s="43" t="s">
        <v>318</v>
      </c>
    </row>
    <row r="214" spans="1:29" s="40" customFormat="1" x14ac:dyDescent="0.2">
      <c r="A214" s="79"/>
      <c r="B214" s="78"/>
      <c r="C214" s="1768" t="s">
        <v>319</v>
      </c>
      <c r="D214" s="1768"/>
      <c r="E214" s="1768"/>
      <c r="F214" s="80"/>
      <c r="G214" s="80"/>
      <c r="H214" s="80"/>
      <c r="I214" s="80"/>
      <c r="J214" s="81"/>
      <c r="K214" s="80"/>
      <c r="L214" s="81">
        <v>346.8</v>
      </c>
      <c r="M214" s="82"/>
      <c r="N214" s="83"/>
      <c r="AA214" s="43" t="s">
        <v>319</v>
      </c>
    </row>
    <row r="215" spans="1:29" s="40" customFormat="1" ht="33.75" x14ac:dyDescent="0.2">
      <c r="A215" s="79"/>
      <c r="B215" s="78" t="s">
        <v>320</v>
      </c>
      <c r="C215" s="1768" t="s">
        <v>321</v>
      </c>
      <c r="D215" s="1768"/>
      <c r="E215" s="1768"/>
      <c r="F215" s="80" t="s">
        <v>322</v>
      </c>
      <c r="G215" s="80" t="s">
        <v>323</v>
      </c>
      <c r="H215" s="80"/>
      <c r="I215" s="80" t="s">
        <v>323</v>
      </c>
      <c r="J215" s="81"/>
      <c r="K215" s="80"/>
      <c r="L215" s="81">
        <v>308.64999999999998</v>
      </c>
      <c r="M215" s="82"/>
      <c r="N215" s="83"/>
      <c r="AA215" s="43" t="s">
        <v>321</v>
      </c>
    </row>
    <row r="216" spans="1:29" s="40" customFormat="1" ht="33.75" x14ac:dyDescent="0.2">
      <c r="A216" s="79"/>
      <c r="B216" s="78" t="s">
        <v>324</v>
      </c>
      <c r="C216" s="1768" t="s">
        <v>325</v>
      </c>
      <c r="D216" s="1768"/>
      <c r="E216" s="1768"/>
      <c r="F216" s="80" t="s">
        <v>322</v>
      </c>
      <c r="G216" s="80" t="s">
        <v>326</v>
      </c>
      <c r="H216" s="80"/>
      <c r="I216" s="80" t="s">
        <v>326</v>
      </c>
      <c r="J216" s="81"/>
      <c r="K216" s="80"/>
      <c r="L216" s="81">
        <v>142.19</v>
      </c>
      <c r="M216" s="82"/>
      <c r="N216" s="83"/>
      <c r="AA216" s="43" t="s">
        <v>325</v>
      </c>
    </row>
    <row r="217" spans="1:29" s="40" customFormat="1" x14ac:dyDescent="0.2">
      <c r="A217" s="88"/>
      <c r="B217" s="89"/>
      <c r="C217" s="1785" t="s">
        <v>327</v>
      </c>
      <c r="D217" s="1785"/>
      <c r="E217" s="1785"/>
      <c r="F217" s="71"/>
      <c r="G217" s="71"/>
      <c r="H217" s="71"/>
      <c r="I217" s="71"/>
      <c r="J217" s="72"/>
      <c r="K217" s="71"/>
      <c r="L217" s="72">
        <v>3933.16</v>
      </c>
      <c r="M217" s="86"/>
      <c r="N217" s="74"/>
      <c r="AC217" s="43" t="s">
        <v>327</v>
      </c>
    </row>
    <row r="218" spans="1:29" s="40" customFormat="1" ht="56.25" x14ac:dyDescent="0.2">
      <c r="A218" s="69" t="s">
        <v>425</v>
      </c>
      <c r="B218" s="70" t="s">
        <v>426</v>
      </c>
      <c r="C218" s="1785" t="s">
        <v>427</v>
      </c>
      <c r="D218" s="1785"/>
      <c r="E218" s="1785"/>
      <c r="F218" s="71" t="s">
        <v>283</v>
      </c>
      <c r="G218" s="71"/>
      <c r="H218" s="71"/>
      <c r="I218" s="71" t="s">
        <v>422</v>
      </c>
      <c r="J218" s="72"/>
      <c r="K218" s="71"/>
      <c r="L218" s="72"/>
      <c r="M218" s="73"/>
      <c r="N218" s="74"/>
      <c r="W218" s="43" t="s">
        <v>427</v>
      </c>
    </row>
    <row r="219" spans="1:29" s="40" customFormat="1" ht="33.75" x14ac:dyDescent="0.2">
      <c r="A219" s="77"/>
      <c r="B219" s="78" t="s">
        <v>310</v>
      </c>
      <c r="C219" s="1768" t="s">
        <v>311</v>
      </c>
      <c r="D219" s="1768"/>
      <c r="E219" s="1768"/>
      <c r="F219" s="1768"/>
      <c r="G219" s="1768"/>
      <c r="H219" s="1768"/>
      <c r="I219" s="1768"/>
      <c r="J219" s="1768"/>
      <c r="K219" s="1768"/>
      <c r="L219" s="1768"/>
      <c r="M219" s="1768"/>
      <c r="N219" s="1779"/>
      <c r="Y219" s="43" t="s">
        <v>311</v>
      </c>
    </row>
    <row r="220" spans="1:29" s="40" customFormat="1" x14ac:dyDescent="0.2">
      <c r="A220" s="79"/>
      <c r="B220" s="78" t="s">
        <v>186</v>
      </c>
      <c r="C220" s="1768" t="s">
        <v>344</v>
      </c>
      <c r="D220" s="1768"/>
      <c r="E220" s="1768"/>
      <c r="F220" s="80"/>
      <c r="G220" s="80"/>
      <c r="H220" s="80"/>
      <c r="I220" s="80"/>
      <c r="J220" s="81">
        <v>511.88</v>
      </c>
      <c r="K220" s="80" t="s">
        <v>313</v>
      </c>
      <c r="L220" s="81">
        <v>2431.4299999999998</v>
      </c>
      <c r="M220" s="82"/>
      <c r="N220" s="83"/>
      <c r="Z220" s="43" t="s">
        <v>344</v>
      </c>
    </row>
    <row r="221" spans="1:29" s="40" customFormat="1" x14ac:dyDescent="0.2">
      <c r="A221" s="79"/>
      <c r="B221" s="78" t="s">
        <v>187</v>
      </c>
      <c r="C221" s="1768" t="s">
        <v>345</v>
      </c>
      <c r="D221" s="1768"/>
      <c r="E221" s="1768"/>
      <c r="F221" s="80"/>
      <c r="G221" s="80"/>
      <c r="H221" s="80"/>
      <c r="I221" s="80"/>
      <c r="J221" s="81">
        <v>50.98</v>
      </c>
      <c r="K221" s="80" t="s">
        <v>313</v>
      </c>
      <c r="L221" s="81">
        <v>242.16</v>
      </c>
      <c r="M221" s="82"/>
      <c r="N221" s="83"/>
      <c r="Z221" s="43" t="s">
        <v>345</v>
      </c>
    </row>
    <row r="222" spans="1:29" s="40" customFormat="1" x14ac:dyDescent="0.2">
      <c r="A222" s="79"/>
      <c r="B222" s="78"/>
      <c r="C222" s="1768" t="s">
        <v>348</v>
      </c>
      <c r="D222" s="1768"/>
      <c r="E222" s="1768"/>
      <c r="F222" s="80" t="s">
        <v>315</v>
      </c>
      <c r="G222" s="80" t="s">
        <v>428</v>
      </c>
      <c r="H222" s="80" t="s">
        <v>313</v>
      </c>
      <c r="I222" s="80" t="s">
        <v>429</v>
      </c>
      <c r="J222" s="81"/>
      <c r="K222" s="80"/>
      <c r="L222" s="81"/>
      <c r="M222" s="82"/>
      <c r="N222" s="83"/>
      <c r="AA222" s="43" t="s">
        <v>348</v>
      </c>
    </row>
    <row r="223" spans="1:29" s="40" customFormat="1" x14ac:dyDescent="0.2">
      <c r="A223" s="79"/>
      <c r="B223" s="78"/>
      <c r="C223" s="1780" t="s">
        <v>318</v>
      </c>
      <c r="D223" s="1780"/>
      <c r="E223" s="1780"/>
      <c r="F223" s="84"/>
      <c r="G223" s="84"/>
      <c r="H223" s="84"/>
      <c r="I223" s="84"/>
      <c r="J223" s="85">
        <v>511.88</v>
      </c>
      <c r="K223" s="84"/>
      <c r="L223" s="85">
        <v>2431.4299999999998</v>
      </c>
      <c r="M223" s="86"/>
      <c r="N223" s="87"/>
      <c r="AB223" s="43" t="s">
        <v>318</v>
      </c>
    </row>
    <row r="224" spans="1:29" s="40" customFormat="1" x14ac:dyDescent="0.2">
      <c r="A224" s="79"/>
      <c r="B224" s="78"/>
      <c r="C224" s="1768" t="s">
        <v>319</v>
      </c>
      <c r="D224" s="1768"/>
      <c r="E224" s="1768"/>
      <c r="F224" s="80"/>
      <c r="G224" s="80"/>
      <c r="H224" s="80"/>
      <c r="I224" s="80"/>
      <c r="J224" s="81"/>
      <c r="K224" s="80"/>
      <c r="L224" s="81">
        <v>242.16</v>
      </c>
      <c r="M224" s="82"/>
      <c r="N224" s="83"/>
      <c r="AA224" s="43" t="s">
        <v>319</v>
      </c>
    </row>
    <row r="225" spans="1:29" s="40" customFormat="1" ht="33.75" x14ac:dyDescent="0.2">
      <c r="A225" s="79"/>
      <c r="B225" s="78" t="s">
        <v>320</v>
      </c>
      <c r="C225" s="1768" t="s">
        <v>321</v>
      </c>
      <c r="D225" s="1768"/>
      <c r="E225" s="1768"/>
      <c r="F225" s="80" t="s">
        <v>322</v>
      </c>
      <c r="G225" s="80" t="s">
        <v>323</v>
      </c>
      <c r="H225" s="80"/>
      <c r="I225" s="80" t="s">
        <v>323</v>
      </c>
      <c r="J225" s="81"/>
      <c r="K225" s="80"/>
      <c r="L225" s="81">
        <v>215.52</v>
      </c>
      <c r="M225" s="82"/>
      <c r="N225" s="83"/>
      <c r="AA225" s="43" t="s">
        <v>321</v>
      </c>
    </row>
    <row r="226" spans="1:29" s="40" customFormat="1" ht="33.75" x14ac:dyDescent="0.2">
      <c r="A226" s="79"/>
      <c r="B226" s="78" t="s">
        <v>324</v>
      </c>
      <c r="C226" s="1768" t="s">
        <v>325</v>
      </c>
      <c r="D226" s="1768"/>
      <c r="E226" s="1768"/>
      <c r="F226" s="80" t="s">
        <v>322</v>
      </c>
      <c r="G226" s="80" t="s">
        <v>326</v>
      </c>
      <c r="H226" s="80"/>
      <c r="I226" s="80" t="s">
        <v>326</v>
      </c>
      <c r="J226" s="81"/>
      <c r="K226" s="80"/>
      <c r="L226" s="81">
        <v>99.29</v>
      </c>
      <c r="M226" s="82"/>
      <c r="N226" s="83"/>
      <c r="AA226" s="43" t="s">
        <v>325</v>
      </c>
    </row>
    <row r="227" spans="1:29" s="40" customFormat="1" x14ac:dyDescent="0.2">
      <c r="A227" s="88"/>
      <c r="B227" s="89"/>
      <c r="C227" s="1785" t="s">
        <v>327</v>
      </c>
      <c r="D227" s="1785"/>
      <c r="E227" s="1785"/>
      <c r="F227" s="71"/>
      <c r="G227" s="71"/>
      <c r="H227" s="71"/>
      <c r="I227" s="71"/>
      <c r="J227" s="72"/>
      <c r="K227" s="71"/>
      <c r="L227" s="72">
        <v>2746.24</v>
      </c>
      <c r="M227" s="86"/>
      <c r="N227" s="74"/>
      <c r="AC227" s="43" t="s">
        <v>327</v>
      </c>
    </row>
    <row r="228" spans="1:29" s="40" customFormat="1" ht="33.75" x14ac:dyDescent="0.2">
      <c r="A228" s="69" t="s">
        <v>430</v>
      </c>
      <c r="B228" s="70" t="s">
        <v>431</v>
      </c>
      <c r="C228" s="1785" t="s">
        <v>432</v>
      </c>
      <c r="D228" s="1785"/>
      <c r="E228" s="1785"/>
      <c r="F228" s="71" t="s">
        <v>283</v>
      </c>
      <c r="G228" s="71"/>
      <c r="H228" s="71"/>
      <c r="I228" s="71" t="s">
        <v>422</v>
      </c>
      <c r="J228" s="72"/>
      <c r="K228" s="71"/>
      <c r="L228" s="72"/>
      <c r="M228" s="73"/>
      <c r="N228" s="74"/>
      <c r="W228" s="43" t="s">
        <v>432</v>
      </c>
    </row>
    <row r="229" spans="1:29" s="40" customFormat="1" x14ac:dyDescent="0.2">
      <c r="A229" s="77"/>
      <c r="B229" s="78"/>
      <c r="C229" s="1768" t="s">
        <v>433</v>
      </c>
      <c r="D229" s="1768"/>
      <c r="E229" s="1768"/>
      <c r="F229" s="1768"/>
      <c r="G229" s="1768"/>
      <c r="H229" s="1768"/>
      <c r="I229" s="1768"/>
      <c r="J229" s="1768"/>
      <c r="K229" s="1768"/>
      <c r="L229" s="1768"/>
      <c r="M229" s="1768"/>
      <c r="N229" s="1779"/>
      <c r="Y229" s="43" t="s">
        <v>433</v>
      </c>
    </row>
    <row r="230" spans="1:29" s="40" customFormat="1" ht="33.75" x14ac:dyDescent="0.2">
      <c r="A230" s="77"/>
      <c r="B230" s="78" t="s">
        <v>310</v>
      </c>
      <c r="C230" s="1768" t="s">
        <v>311</v>
      </c>
      <c r="D230" s="1768"/>
      <c r="E230" s="1768"/>
      <c r="F230" s="1768"/>
      <c r="G230" s="1768"/>
      <c r="H230" s="1768"/>
      <c r="I230" s="1768"/>
      <c r="J230" s="1768"/>
      <c r="K230" s="1768"/>
      <c r="L230" s="1768"/>
      <c r="M230" s="1768"/>
      <c r="N230" s="1779"/>
      <c r="Y230" s="43" t="s">
        <v>311</v>
      </c>
    </row>
    <row r="231" spans="1:29" s="40" customFormat="1" x14ac:dyDescent="0.2">
      <c r="A231" s="79"/>
      <c r="B231" s="78" t="s">
        <v>186</v>
      </c>
      <c r="C231" s="1768" t="s">
        <v>344</v>
      </c>
      <c r="D231" s="1768"/>
      <c r="E231" s="1768"/>
      <c r="F231" s="80"/>
      <c r="G231" s="80"/>
      <c r="H231" s="80"/>
      <c r="I231" s="80"/>
      <c r="J231" s="81">
        <v>144.6</v>
      </c>
      <c r="K231" s="80" t="s">
        <v>434</v>
      </c>
      <c r="L231" s="81">
        <v>3434.25</v>
      </c>
      <c r="M231" s="82"/>
      <c r="N231" s="83"/>
      <c r="Z231" s="43" t="s">
        <v>344</v>
      </c>
    </row>
    <row r="232" spans="1:29" s="40" customFormat="1" x14ac:dyDescent="0.2">
      <c r="A232" s="79"/>
      <c r="B232" s="78" t="s">
        <v>187</v>
      </c>
      <c r="C232" s="1768" t="s">
        <v>345</v>
      </c>
      <c r="D232" s="1768"/>
      <c r="E232" s="1768"/>
      <c r="F232" s="80"/>
      <c r="G232" s="80"/>
      <c r="H232" s="80"/>
      <c r="I232" s="80"/>
      <c r="J232" s="81">
        <v>14.4</v>
      </c>
      <c r="K232" s="80" t="s">
        <v>434</v>
      </c>
      <c r="L232" s="81">
        <v>342</v>
      </c>
      <c r="M232" s="82"/>
      <c r="N232" s="83"/>
      <c r="Z232" s="43" t="s">
        <v>345</v>
      </c>
    </row>
    <row r="233" spans="1:29" s="40" customFormat="1" x14ac:dyDescent="0.2">
      <c r="A233" s="79"/>
      <c r="B233" s="78"/>
      <c r="C233" s="1768" t="s">
        <v>348</v>
      </c>
      <c r="D233" s="1768"/>
      <c r="E233" s="1768"/>
      <c r="F233" s="80" t="s">
        <v>315</v>
      </c>
      <c r="G233" s="80" t="s">
        <v>185</v>
      </c>
      <c r="H233" s="80" t="s">
        <v>434</v>
      </c>
      <c r="I233" s="80" t="s">
        <v>435</v>
      </c>
      <c r="J233" s="81"/>
      <c r="K233" s="80"/>
      <c r="L233" s="81"/>
      <c r="M233" s="82"/>
      <c r="N233" s="83"/>
      <c r="AA233" s="43" t="s">
        <v>348</v>
      </c>
    </row>
    <row r="234" spans="1:29" s="40" customFormat="1" x14ac:dyDescent="0.2">
      <c r="A234" s="79"/>
      <c r="B234" s="78"/>
      <c r="C234" s="1780" t="s">
        <v>318</v>
      </c>
      <c r="D234" s="1780"/>
      <c r="E234" s="1780"/>
      <c r="F234" s="84"/>
      <c r="G234" s="84"/>
      <c r="H234" s="84"/>
      <c r="I234" s="84"/>
      <c r="J234" s="85">
        <v>144.6</v>
      </c>
      <c r="K234" s="84"/>
      <c r="L234" s="85">
        <v>3434.25</v>
      </c>
      <c r="M234" s="86"/>
      <c r="N234" s="87"/>
      <c r="AB234" s="43" t="s">
        <v>318</v>
      </c>
    </row>
    <row r="235" spans="1:29" s="40" customFormat="1" x14ac:dyDescent="0.2">
      <c r="A235" s="79"/>
      <c r="B235" s="78"/>
      <c r="C235" s="1768" t="s">
        <v>319</v>
      </c>
      <c r="D235" s="1768"/>
      <c r="E235" s="1768"/>
      <c r="F235" s="80"/>
      <c r="G235" s="80"/>
      <c r="H235" s="80"/>
      <c r="I235" s="80"/>
      <c r="J235" s="81"/>
      <c r="K235" s="80"/>
      <c r="L235" s="81">
        <v>342</v>
      </c>
      <c r="M235" s="82"/>
      <c r="N235" s="83"/>
      <c r="AA235" s="43" t="s">
        <v>319</v>
      </c>
    </row>
    <row r="236" spans="1:29" s="40" customFormat="1" ht="33.75" x14ac:dyDescent="0.2">
      <c r="A236" s="79"/>
      <c r="B236" s="78" t="s">
        <v>320</v>
      </c>
      <c r="C236" s="1768" t="s">
        <v>321</v>
      </c>
      <c r="D236" s="1768"/>
      <c r="E236" s="1768"/>
      <c r="F236" s="80" t="s">
        <v>322</v>
      </c>
      <c r="G236" s="80" t="s">
        <v>323</v>
      </c>
      <c r="H236" s="80"/>
      <c r="I236" s="80" t="s">
        <v>323</v>
      </c>
      <c r="J236" s="81"/>
      <c r="K236" s="80"/>
      <c r="L236" s="81">
        <v>304.38</v>
      </c>
      <c r="M236" s="82"/>
      <c r="N236" s="83"/>
      <c r="AA236" s="43" t="s">
        <v>321</v>
      </c>
    </row>
    <row r="237" spans="1:29" s="40" customFormat="1" ht="33.75" x14ac:dyDescent="0.2">
      <c r="A237" s="79"/>
      <c r="B237" s="78" t="s">
        <v>324</v>
      </c>
      <c r="C237" s="1768" t="s">
        <v>325</v>
      </c>
      <c r="D237" s="1768"/>
      <c r="E237" s="1768"/>
      <c r="F237" s="80" t="s">
        <v>322</v>
      </c>
      <c r="G237" s="80" t="s">
        <v>326</v>
      </c>
      <c r="H237" s="80"/>
      <c r="I237" s="80" t="s">
        <v>326</v>
      </c>
      <c r="J237" s="81"/>
      <c r="K237" s="80"/>
      <c r="L237" s="81">
        <v>140.22</v>
      </c>
      <c r="M237" s="82"/>
      <c r="N237" s="83"/>
      <c r="AA237" s="43" t="s">
        <v>325</v>
      </c>
    </row>
    <row r="238" spans="1:29" s="40" customFormat="1" x14ac:dyDescent="0.2">
      <c r="A238" s="88"/>
      <c r="B238" s="89"/>
      <c r="C238" s="1785" t="s">
        <v>327</v>
      </c>
      <c r="D238" s="1785"/>
      <c r="E238" s="1785"/>
      <c r="F238" s="71"/>
      <c r="G238" s="71"/>
      <c r="H238" s="71"/>
      <c r="I238" s="71"/>
      <c r="J238" s="72"/>
      <c r="K238" s="71"/>
      <c r="L238" s="72">
        <v>3878.85</v>
      </c>
      <c r="M238" s="86"/>
      <c r="N238" s="74"/>
      <c r="AC238" s="43" t="s">
        <v>327</v>
      </c>
    </row>
    <row r="239" spans="1:29" s="40" customFormat="1" ht="56.25" x14ac:dyDescent="0.2">
      <c r="A239" s="69" t="s">
        <v>436</v>
      </c>
      <c r="B239" s="70" t="s">
        <v>437</v>
      </c>
      <c r="C239" s="1785" t="s">
        <v>438</v>
      </c>
      <c r="D239" s="1785"/>
      <c r="E239" s="1785"/>
      <c r="F239" s="71" t="s">
        <v>283</v>
      </c>
      <c r="G239" s="71"/>
      <c r="H239" s="71"/>
      <c r="I239" s="71" t="s">
        <v>422</v>
      </c>
      <c r="J239" s="72"/>
      <c r="K239" s="71"/>
      <c r="L239" s="72"/>
      <c r="M239" s="73"/>
      <c r="N239" s="74"/>
      <c r="W239" s="43" t="s">
        <v>438</v>
      </c>
    </row>
    <row r="240" spans="1:29" s="40" customFormat="1" ht="33.75" x14ac:dyDescent="0.2">
      <c r="A240" s="77"/>
      <c r="B240" s="78" t="s">
        <v>310</v>
      </c>
      <c r="C240" s="1768" t="s">
        <v>311</v>
      </c>
      <c r="D240" s="1768"/>
      <c r="E240" s="1768"/>
      <c r="F240" s="1768"/>
      <c r="G240" s="1768"/>
      <c r="H240" s="1768"/>
      <c r="I240" s="1768"/>
      <c r="J240" s="1768"/>
      <c r="K240" s="1768"/>
      <c r="L240" s="1768"/>
      <c r="M240" s="1768"/>
      <c r="N240" s="1779"/>
      <c r="Y240" s="43" t="s">
        <v>311</v>
      </c>
    </row>
    <row r="241" spans="1:31" s="40" customFormat="1" x14ac:dyDescent="0.2">
      <c r="A241" s="79"/>
      <c r="B241" s="78" t="s">
        <v>186</v>
      </c>
      <c r="C241" s="1768" t="s">
        <v>344</v>
      </c>
      <c r="D241" s="1768"/>
      <c r="E241" s="1768"/>
      <c r="F241" s="80"/>
      <c r="G241" s="80"/>
      <c r="H241" s="80"/>
      <c r="I241" s="80"/>
      <c r="J241" s="81">
        <v>73.75</v>
      </c>
      <c r="K241" s="80" t="s">
        <v>313</v>
      </c>
      <c r="L241" s="81">
        <v>350.31</v>
      </c>
      <c r="M241" s="82"/>
      <c r="N241" s="83"/>
      <c r="Z241" s="43" t="s">
        <v>344</v>
      </c>
    </row>
    <row r="242" spans="1:31" s="40" customFormat="1" x14ac:dyDescent="0.2">
      <c r="A242" s="79"/>
      <c r="B242" s="78" t="s">
        <v>187</v>
      </c>
      <c r="C242" s="1768" t="s">
        <v>345</v>
      </c>
      <c r="D242" s="1768"/>
      <c r="E242" s="1768"/>
      <c r="F242" s="80"/>
      <c r="G242" s="80"/>
      <c r="H242" s="80"/>
      <c r="I242" s="80"/>
      <c r="J242" s="81">
        <v>7.34</v>
      </c>
      <c r="K242" s="80" t="s">
        <v>313</v>
      </c>
      <c r="L242" s="81">
        <v>34.869999999999997</v>
      </c>
      <c r="M242" s="82"/>
      <c r="N242" s="83"/>
      <c r="Z242" s="43" t="s">
        <v>345</v>
      </c>
    </row>
    <row r="243" spans="1:31" s="40" customFormat="1" x14ac:dyDescent="0.2">
      <c r="A243" s="79"/>
      <c r="B243" s="78"/>
      <c r="C243" s="1768" t="s">
        <v>348</v>
      </c>
      <c r="D243" s="1768"/>
      <c r="E243" s="1768"/>
      <c r="F243" s="80" t="s">
        <v>315</v>
      </c>
      <c r="G243" s="80" t="s">
        <v>439</v>
      </c>
      <c r="H243" s="80" t="s">
        <v>313</v>
      </c>
      <c r="I243" s="80" t="s">
        <v>440</v>
      </c>
      <c r="J243" s="81"/>
      <c r="K243" s="80"/>
      <c r="L243" s="81"/>
      <c r="M243" s="82"/>
      <c r="N243" s="83"/>
      <c r="AA243" s="43" t="s">
        <v>348</v>
      </c>
    </row>
    <row r="244" spans="1:31" s="40" customFormat="1" x14ac:dyDescent="0.2">
      <c r="A244" s="79"/>
      <c r="B244" s="78"/>
      <c r="C244" s="1780" t="s">
        <v>318</v>
      </c>
      <c r="D244" s="1780"/>
      <c r="E244" s="1780"/>
      <c r="F244" s="84"/>
      <c r="G244" s="84"/>
      <c r="H244" s="84"/>
      <c r="I244" s="84"/>
      <c r="J244" s="85">
        <v>73.75</v>
      </c>
      <c r="K244" s="84"/>
      <c r="L244" s="85">
        <v>350.31</v>
      </c>
      <c r="M244" s="86"/>
      <c r="N244" s="87"/>
      <c r="AB244" s="43" t="s">
        <v>318</v>
      </c>
    </row>
    <row r="245" spans="1:31" s="40" customFormat="1" x14ac:dyDescent="0.2">
      <c r="A245" s="79"/>
      <c r="B245" s="78"/>
      <c r="C245" s="1768" t="s">
        <v>319</v>
      </c>
      <c r="D245" s="1768"/>
      <c r="E245" s="1768"/>
      <c r="F245" s="80"/>
      <c r="G245" s="80"/>
      <c r="H245" s="80"/>
      <c r="I245" s="80"/>
      <c r="J245" s="81"/>
      <c r="K245" s="80"/>
      <c r="L245" s="81">
        <v>34.869999999999997</v>
      </c>
      <c r="M245" s="82"/>
      <c r="N245" s="83"/>
      <c r="AA245" s="43" t="s">
        <v>319</v>
      </c>
    </row>
    <row r="246" spans="1:31" s="40" customFormat="1" ht="33.75" x14ac:dyDescent="0.2">
      <c r="A246" s="79"/>
      <c r="B246" s="78" t="s">
        <v>320</v>
      </c>
      <c r="C246" s="1768" t="s">
        <v>321</v>
      </c>
      <c r="D246" s="1768"/>
      <c r="E246" s="1768"/>
      <c r="F246" s="80" t="s">
        <v>322</v>
      </c>
      <c r="G246" s="80" t="s">
        <v>323</v>
      </c>
      <c r="H246" s="80"/>
      <c r="I246" s="80" t="s">
        <v>323</v>
      </c>
      <c r="J246" s="81"/>
      <c r="K246" s="80"/>
      <c r="L246" s="81">
        <v>31.03</v>
      </c>
      <c r="M246" s="82"/>
      <c r="N246" s="83"/>
      <c r="AA246" s="43" t="s">
        <v>321</v>
      </c>
    </row>
    <row r="247" spans="1:31" s="40" customFormat="1" ht="33.75" x14ac:dyDescent="0.2">
      <c r="A247" s="79"/>
      <c r="B247" s="78" t="s">
        <v>324</v>
      </c>
      <c r="C247" s="1768" t="s">
        <v>325</v>
      </c>
      <c r="D247" s="1768"/>
      <c r="E247" s="1768"/>
      <c r="F247" s="80" t="s">
        <v>322</v>
      </c>
      <c r="G247" s="80" t="s">
        <v>326</v>
      </c>
      <c r="H247" s="80"/>
      <c r="I247" s="80" t="s">
        <v>326</v>
      </c>
      <c r="J247" s="81"/>
      <c r="K247" s="80"/>
      <c r="L247" s="81">
        <v>14.3</v>
      </c>
      <c r="M247" s="82"/>
      <c r="N247" s="83"/>
      <c r="AA247" s="43" t="s">
        <v>325</v>
      </c>
    </row>
    <row r="248" spans="1:31" s="40" customFormat="1" x14ac:dyDescent="0.2">
      <c r="A248" s="88"/>
      <c r="B248" s="89"/>
      <c r="C248" s="1785" t="s">
        <v>327</v>
      </c>
      <c r="D248" s="1785"/>
      <c r="E248" s="1785"/>
      <c r="F248" s="71"/>
      <c r="G248" s="71"/>
      <c r="H248" s="71"/>
      <c r="I248" s="71"/>
      <c r="J248" s="72"/>
      <c r="K248" s="71"/>
      <c r="L248" s="72">
        <v>395.64</v>
      </c>
      <c r="M248" s="86"/>
      <c r="N248" s="74"/>
      <c r="AC248" s="43" t="s">
        <v>327</v>
      </c>
    </row>
    <row r="249" spans="1:31" s="40" customFormat="1" ht="1.5" customHeight="1" x14ac:dyDescent="0.2">
      <c r="A249" s="90"/>
      <c r="B249" s="89"/>
      <c r="C249" s="89"/>
      <c r="D249" s="89"/>
      <c r="E249" s="89"/>
      <c r="F249" s="90"/>
      <c r="G249" s="90"/>
      <c r="H249" s="90"/>
      <c r="I249" s="90"/>
      <c r="J249" s="91"/>
      <c r="K249" s="90"/>
      <c r="L249" s="91"/>
      <c r="M249" s="80"/>
      <c r="N249" s="91"/>
    </row>
    <row r="250" spans="1:31" s="40" customFormat="1" x14ac:dyDescent="0.2">
      <c r="A250" s="92"/>
      <c r="B250" s="93"/>
      <c r="C250" s="1785" t="s">
        <v>441</v>
      </c>
      <c r="D250" s="1785"/>
      <c r="E250" s="1785"/>
      <c r="F250" s="1785"/>
      <c r="G250" s="1785"/>
      <c r="H250" s="1785"/>
      <c r="I250" s="1785"/>
      <c r="J250" s="1785"/>
      <c r="K250" s="1785"/>
      <c r="L250" s="94"/>
      <c r="M250" s="95"/>
      <c r="N250" s="96"/>
      <c r="AD250" s="43" t="s">
        <v>441</v>
      </c>
    </row>
    <row r="251" spans="1:31" s="40" customFormat="1" x14ac:dyDescent="0.2">
      <c r="A251" s="97"/>
      <c r="B251" s="78"/>
      <c r="C251" s="1768" t="s">
        <v>403</v>
      </c>
      <c r="D251" s="1768"/>
      <c r="E251" s="1768"/>
      <c r="F251" s="1768"/>
      <c r="G251" s="1768"/>
      <c r="H251" s="1768"/>
      <c r="I251" s="1768"/>
      <c r="J251" s="1768"/>
      <c r="K251" s="1768"/>
      <c r="L251" s="98">
        <v>9698.31</v>
      </c>
      <c r="M251" s="99"/>
      <c r="N251" s="100"/>
      <c r="AE251" s="43" t="s">
        <v>403</v>
      </c>
    </row>
    <row r="252" spans="1:31" s="40" customFormat="1" x14ac:dyDescent="0.2">
      <c r="A252" s="97"/>
      <c r="B252" s="78"/>
      <c r="C252" s="1768" t="s">
        <v>204</v>
      </c>
      <c r="D252" s="1768"/>
      <c r="E252" s="1768"/>
      <c r="F252" s="1768"/>
      <c r="G252" s="1768"/>
      <c r="H252" s="1768"/>
      <c r="I252" s="1768"/>
      <c r="J252" s="1768"/>
      <c r="K252" s="1768"/>
      <c r="L252" s="98"/>
      <c r="M252" s="99"/>
      <c r="N252" s="100"/>
      <c r="AE252" s="43" t="s">
        <v>204</v>
      </c>
    </row>
    <row r="253" spans="1:31" s="40" customFormat="1" x14ac:dyDescent="0.2">
      <c r="A253" s="97"/>
      <c r="B253" s="78"/>
      <c r="C253" s="1768" t="s">
        <v>405</v>
      </c>
      <c r="D253" s="1768"/>
      <c r="E253" s="1768"/>
      <c r="F253" s="1768"/>
      <c r="G253" s="1768"/>
      <c r="H253" s="1768"/>
      <c r="I253" s="1768"/>
      <c r="J253" s="1768"/>
      <c r="K253" s="1768"/>
      <c r="L253" s="98">
        <v>9698.31</v>
      </c>
      <c r="M253" s="99"/>
      <c r="N253" s="100"/>
      <c r="AE253" s="43" t="s">
        <v>405</v>
      </c>
    </row>
    <row r="254" spans="1:31" s="40" customFormat="1" x14ac:dyDescent="0.2">
      <c r="A254" s="97"/>
      <c r="B254" s="78"/>
      <c r="C254" s="1768" t="s">
        <v>406</v>
      </c>
      <c r="D254" s="1768"/>
      <c r="E254" s="1768"/>
      <c r="F254" s="1768"/>
      <c r="G254" s="1768"/>
      <c r="H254" s="1768"/>
      <c r="I254" s="1768"/>
      <c r="J254" s="1768"/>
      <c r="K254" s="1768"/>
      <c r="L254" s="98">
        <v>965.83</v>
      </c>
      <c r="M254" s="99"/>
      <c r="N254" s="100"/>
      <c r="AE254" s="43" t="s">
        <v>406</v>
      </c>
    </row>
    <row r="255" spans="1:31" s="40" customFormat="1" x14ac:dyDescent="0.2">
      <c r="A255" s="97"/>
      <c r="B255" s="78" t="s">
        <v>185</v>
      </c>
      <c r="C255" s="1768" t="s">
        <v>407</v>
      </c>
      <c r="D255" s="1768"/>
      <c r="E255" s="1768"/>
      <c r="F255" s="1768"/>
      <c r="G255" s="1768"/>
      <c r="H255" s="1768"/>
      <c r="I255" s="1768"/>
      <c r="J255" s="1768"/>
      <c r="K255" s="1768"/>
      <c r="L255" s="98">
        <v>10953.89</v>
      </c>
      <c r="M255" s="99"/>
      <c r="N255" s="100"/>
      <c r="AE255" s="43" t="s">
        <v>407</v>
      </c>
    </row>
    <row r="256" spans="1:31" s="40" customFormat="1" x14ac:dyDescent="0.2">
      <c r="A256" s="97"/>
      <c r="B256" s="78"/>
      <c r="C256" s="1768" t="s">
        <v>204</v>
      </c>
      <c r="D256" s="1768"/>
      <c r="E256" s="1768"/>
      <c r="F256" s="1768"/>
      <c r="G256" s="1768"/>
      <c r="H256" s="1768"/>
      <c r="I256" s="1768"/>
      <c r="J256" s="1768"/>
      <c r="K256" s="1768"/>
      <c r="L256" s="98"/>
      <c r="M256" s="99"/>
      <c r="N256" s="100"/>
      <c r="AE256" s="43" t="s">
        <v>204</v>
      </c>
    </row>
    <row r="257" spans="1:34" s="40" customFormat="1" x14ac:dyDescent="0.2">
      <c r="A257" s="97"/>
      <c r="B257" s="78"/>
      <c r="C257" s="1768" t="s">
        <v>442</v>
      </c>
      <c r="D257" s="1768"/>
      <c r="E257" s="1768"/>
      <c r="F257" s="1768"/>
      <c r="G257" s="1768"/>
      <c r="H257" s="1768"/>
      <c r="I257" s="1768"/>
      <c r="J257" s="1768"/>
      <c r="K257" s="1768"/>
      <c r="L257" s="98">
        <v>9698.31</v>
      </c>
      <c r="M257" s="99"/>
      <c r="N257" s="100"/>
      <c r="AE257" s="43" t="s">
        <v>442</v>
      </c>
    </row>
    <row r="258" spans="1:34" s="40" customFormat="1" x14ac:dyDescent="0.2">
      <c r="A258" s="97"/>
      <c r="B258" s="78"/>
      <c r="C258" s="1768" t="s">
        <v>443</v>
      </c>
      <c r="D258" s="1768"/>
      <c r="E258" s="1768"/>
      <c r="F258" s="1768"/>
      <c r="G258" s="1768"/>
      <c r="H258" s="1768"/>
      <c r="I258" s="1768"/>
      <c r="J258" s="1768"/>
      <c r="K258" s="1768"/>
      <c r="L258" s="98">
        <v>859.58</v>
      </c>
      <c r="M258" s="99"/>
      <c r="N258" s="100"/>
      <c r="AE258" s="43" t="s">
        <v>443</v>
      </c>
    </row>
    <row r="259" spans="1:34" s="40" customFormat="1" x14ac:dyDescent="0.2">
      <c r="A259" s="97"/>
      <c r="B259" s="78"/>
      <c r="C259" s="1768" t="s">
        <v>444</v>
      </c>
      <c r="D259" s="1768"/>
      <c r="E259" s="1768"/>
      <c r="F259" s="1768"/>
      <c r="G259" s="1768"/>
      <c r="H259" s="1768"/>
      <c r="I259" s="1768"/>
      <c r="J259" s="1768"/>
      <c r="K259" s="1768"/>
      <c r="L259" s="98">
        <v>396</v>
      </c>
      <c r="M259" s="99"/>
      <c r="N259" s="100"/>
      <c r="AE259" s="43" t="s">
        <v>444</v>
      </c>
    </row>
    <row r="260" spans="1:34" s="40" customFormat="1" x14ac:dyDescent="0.2">
      <c r="A260" s="97"/>
      <c r="B260" s="78"/>
      <c r="C260" s="1768" t="s">
        <v>415</v>
      </c>
      <c r="D260" s="1768"/>
      <c r="E260" s="1768"/>
      <c r="F260" s="1768"/>
      <c r="G260" s="1768"/>
      <c r="H260" s="1768"/>
      <c r="I260" s="1768"/>
      <c r="J260" s="1768"/>
      <c r="K260" s="1768"/>
      <c r="L260" s="98">
        <v>965.83</v>
      </c>
      <c r="M260" s="99"/>
      <c r="N260" s="100"/>
      <c r="AE260" s="43" t="s">
        <v>415</v>
      </c>
    </row>
    <row r="261" spans="1:34" s="40" customFormat="1" x14ac:dyDescent="0.2">
      <c r="A261" s="97"/>
      <c r="B261" s="78"/>
      <c r="C261" s="1768" t="s">
        <v>416</v>
      </c>
      <c r="D261" s="1768"/>
      <c r="E261" s="1768"/>
      <c r="F261" s="1768"/>
      <c r="G261" s="1768"/>
      <c r="H261" s="1768"/>
      <c r="I261" s="1768"/>
      <c r="J261" s="1768"/>
      <c r="K261" s="1768"/>
      <c r="L261" s="98">
        <v>859.58</v>
      </c>
      <c r="M261" s="99"/>
      <c r="N261" s="100"/>
      <c r="AE261" s="43" t="s">
        <v>416</v>
      </c>
    </row>
    <row r="262" spans="1:34" s="40" customFormat="1" x14ac:dyDescent="0.2">
      <c r="A262" s="97"/>
      <c r="B262" s="78"/>
      <c r="C262" s="1768" t="s">
        <v>417</v>
      </c>
      <c r="D262" s="1768"/>
      <c r="E262" s="1768"/>
      <c r="F262" s="1768"/>
      <c r="G262" s="1768"/>
      <c r="H262" s="1768"/>
      <c r="I262" s="1768"/>
      <c r="J262" s="1768"/>
      <c r="K262" s="1768"/>
      <c r="L262" s="98">
        <v>396</v>
      </c>
      <c r="M262" s="99"/>
      <c r="N262" s="100"/>
      <c r="AE262" s="43" t="s">
        <v>417</v>
      </c>
    </row>
    <row r="263" spans="1:34" s="40" customFormat="1" x14ac:dyDescent="0.2">
      <c r="A263" s="97"/>
      <c r="B263" s="91"/>
      <c r="C263" s="1787" t="s">
        <v>445</v>
      </c>
      <c r="D263" s="1787"/>
      <c r="E263" s="1787"/>
      <c r="F263" s="1787"/>
      <c r="G263" s="1787"/>
      <c r="H263" s="1787"/>
      <c r="I263" s="1787"/>
      <c r="J263" s="1787"/>
      <c r="K263" s="1787"/>
      <c r="L263" s="102">
        <v>10953.89</v>
      </c>
      <c r="M263" s="103"/>
      <c r="N263" s="104"/>
      <c r="AF263" s="43" t="s">
        <v>445</v>
      </c>
    </row>
    <row r="264" spans="1:34" s="40" customFormat="1" ht="2.25" customHeight="1" x14ac:dyDescent="0.2"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105"/>
      <c r="M264" s="106"/>
      <c r="N264" s="107"/>
    </row>
    <row r="265" spans="1:34" s="40" customFormat="1" x14ac:dyDescent="0.2">
      <c r="A265" s="92"/>
      <c r="B265" s="93"/>
      <c r="C265" s="1785" t="s">
        <v>205</v>
      </c>
      <c r="D265" s="1785"/>
      <c r="E265" s="1785"/>
      <c r="F265" s="1785"/>
      <c r="G265" s="1785"/>
      <c r="H265" s="1785"/>
      <c r="I265" s="1785"/>
      <c r="J265" s="1785"/>
      <c r="K265" s="1785"/>
      <c r="L265" s="94"/>
      <c r="M265" s="95"/>
      <c r="N265" s="96"/>
      <c r="AG265" s="43" t="s">
        <v>205</v>
      </c>
    </row>
    <row r="266" spans="1:34" s="40" customFormat="1" x14ac:dyDescent="0.2">
      <c r="A266" s="97"/>
      <c r="B266" s="78"/>
      <c r="C266" s="1768" t="s">
        <v>403</v>
      </c>
      <c r="D266" s="1768"/>
      <c r="E266" s="1768"/>
      <c r="F266" s="1768"/>
      <c r="G266" s="1768"/>
      <c r="H266" s="1768"/>
      <c r="I266" s="1768"/>
      <c r="J266" s="1768"/>
      <c r="K266" s="1768"/>
      <c r="L266" s="98">
        <v>22278.52</v>
      </c>
      <c r="M266" s="99"/>
      <c r="N266" s="100"/>
      <c r="AH266" s="43" t="s">
        <v>403</v>
      </c>
    </row>
    <row r="267" spans="1:34" s="40" customFormat="1" x14ac:dyDescent="0.2">
      <c r="A267" s="97"/>
      <c r="B267" s="78"/>
      <c r="C267" s="1768" t="s">
        <v>204</v>
      </c>
      <c r="D267" s="1768"/>
      <c r="E267" s="1768"/>
      <c r="F267" s="1768"/>
      <c r="G267" s="1768"/>
      <c r="H267" s="1768"/>
      <c r="I267" s="1768"/>
      <c r="J267" s="1768"/>
      <c r="K267" s="1768"/>
      <c r="L267" s="98"/>
      <c r="M267" s="99"/>
      <c r="N267" s="100"/>
      <c r="AH267" s="43" t="s">
        <v>204</v>
      </c>
    </row>
    <row r="268" spans="1:34" s="40" customFormat="1" x14ac:dyDescent="0.2">
      <c r="A268" s="97"/>
      <c r="B268" s="78"/>
      <c r="C268" s="1768" t="s">
        <v>404</v>
      </c>
      <c r="D268" s="1768"/>
      <c r="E268" s="1768"/>
      <c r="F268" s="1768"/>
      <c r="G268" s="1768"/>
      <c r="H268" s="1768"/>
      <c r="I268" s="1768"/>
      <c r="J268" s="1768"/>
      <c r="K268" s="1768"/>
      <c r="L268" s="98">
        <v>1609.2</v>
      </c>
      <c r="M268" s="99"/>
      <c r="N268" s="100"/>
      <c r="AH268" s="43" t="s">
        <v>404</v>
      </c>
    </row>
    <row r="269" spans="1:34" s="40" customFormat="1" x14ac:dyDescent="0.2">
      <c r="A269" s="97"/>
      <c r="B269" s="78"/>
      <c r="C269" s="1768" t="s">
        <v>405</v>
      </c>
      <c r="D269" s="1768"/>
      <c r="E269" s="1768"/>
      <c r="F269" s="1768"/>
      <c r="G269" s="1768"/>
      <c r="H269" s="1768"/>
      <c r="I269" s="1768"/>
      <c r="J269" s="1768"/>
      <c r="K269" s="1768"/>
      <c r="L269" s="98">
        <v>20669.32</v>
      </c>
      <c r="M269" s="99"/>
      <c r="N269" s="100"/>
      <c r="AH269" s="43" t="s">
        <v>405</v>
      </c>
    </row>
    <row r="270" spans="1:34" s="40" customFormat="1" x14ac:dyDescent="0.2">
      <c r="A270" s="97"/>
      <c r="B270" s="78"/>
      <c r="C270" s="1768" t="s">
        <v>406</v>
      </c>
      <c r="D270" s="1768"/>
      <c r="E270" s="1768"/>
      <c r="F270" s="1768"/>
      <c r="G270" s="1768"/>
      <c r="H270" s="1768"/>
      <c r="I270" s="1768"/>
      <c r="J270" s="1768"/>
      <c r="K270" s="1768"/>
      <c r="L270" s="98">
        <v>2086.96</v>
      </c>
      <c r="M270" s="99"/>
      <c r="N270" s="100"/>
      <c r="AH270" s="43" t="s">
        <v>406</v>
      </c>
    </row>
    <row r="271" spans="1:34" s="40" customFormat="1" x14ac:dyDescent="0.2">
      <c r="A271" s="97"/>
      <c r="B271" s="78"/>
      <c r="C271" s="1768" t="s">
        <v>407</v>
      </c>
      <c r="D271" s="1768"/>
      <c r="E271" s="1768"/>
      <c r="F271" s="1768"/>
      <c r="G271" s="1768"/>
      <c r="H271" s="1768"/>
      <c r="I271" s="1768"/>
      <c r="J271" s="1768"/>
      <c r="K271" s="1768"/>
      <c r="L271" s="98">
        <v>27083.52</v>
      </c>
      <c r="M271" s="99"/>
      <c r="N271" s="100">
        <v>225335</v>
      </c>
      <c r="AH271" s="43" t="s">
        <v>407</v>
      </c>
    </row>
    <row r="272" spans="1:34" s="40" customFormat="1" x14ac:dyDescent="0.2">
      <c r="A272" s="97"/>
      <c r="B272" s="78" t="s">
        <v>185</v>
      </c>
      <c r="C272" s="1768" t="s">
        <v>408</v>
      </c>
      <c r="D272" s="1768"/>
      <c r="E272" s="1768"/>
      <c r="F272" s="1768"/>
      <c r="G272" s="1768"/>
      <c r="H272" s="1768"/>
      <c r="I272" s="1768"/>
      <c r="J272" s="1768"/>
      <c r="K272" s="1768"/>
      <c r="L272" s="98">
        <v>23730.74</v>
      </c>
      <c r="M272" s="99">
        <v>8.32</v>
      </c>
      <c r="N272" s="100">
        <v>197440</v>
      </c>
      <c r="AH272" s="43" t="s">
        <v>408</v>
      </c>
    </row>
    <row r="273" spans="1:36" x14ac:dyDescent="0.2">
      <c r="A273" s="97"/>
      <c r="B273" s="78"/>
      <c r="C273" s="1768" t="s">
        <v>409</v>
      </c>
      <c r="D273" s="1768"/>
      <c r="E273" s="1768"/>
      <c r="F273" s="1768"/>
      <c r="G273" s="1768"/>
      <c r="H273" s="1768"/>
      <c r="I273" s="1768"/>
      <c r="J273" s="1768"/>
      <c r="K273" s="1768"/>
      <c r="L273" s="98"/>
      <c r="M273" s="99"/>
      <c r="N273" s="10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3" t="s">
        <v>409</v>
      </c>
      <c r="AI273" s="40"/>
      <c r="AJ273" s="40"/>
    </row>
    <row r="274" spans="1:36" x14ac:dyDescent="0.2">
      <c r="A274" s="97"/>
      <c r="B274" s="78"/>
      <c r="C274" s="1768" t="s">
        <v>410</v>
      </c>
      <c r="D274" s="1768"/>
      <c r="E274" s="1768"/>
      <c r="F274" s="1768"/>
      <c r="G274" s="1768"/>
      <c r="H274" s="1768"/>
      <c r="I274" s="1768"/>
      <c r="J274" s="1768"/>
      <c r="K274" s="1768"/>
      <c r="L274" s="98">
        <v>1609.2</v>
      </c>
      <c r="M274" s="99"/>
      <c r="N274" s="10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3" t="s">
        <v>410</v>
      </c>
      <c r="AI274" s="40"/>
      <c r="AJ274" s="40"/>
    </row>
    <row r="275" spans="1:36" x14ac:dyDescent="0.2">
      <c r="A275" s="97"/>
      <c r="B275" s="78"/>
      <c r="C275" s="1768" t="s">
        <v>411</v>
      </c>
      <c r="D275" s="1768"/>
      <c r="E275" s="1768"/>
      <c r="F275" s="1768"/>
      <c r="G275" s="1768"/>
      <c r="H275" s="1768"/>
      <c r="I275" s="1768"/>
      <c r="J275" s="1768"/>
      <c r="K275" s="1768"/>
      <c r="L275" s="98">
        <v>17316.54</v>
      </c>
      <c r="M275" s="99"/>
      <c r="N275" s="10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3" t="s">
        <v>411</v>
      </c>
      <c r="AI275" s="40"/>
      <c r="AJ275" s="40"/>
    </row>
    <row r="276" spans="1:36" x14ac:dyDescent="0.2">
      <c r="A276" s="97"/>
      <c r="B276" s="78"/>
      <c r="C276" s="1768" t="s">
        <v>412</v>
      </c>
      <c r="D276" s="1768"/>
      <c r="E276" s="1768"/>
      <c r="F276" s="1768"/>
      <c r="G276" s="1768"/>
      <c r="H276" s="1768"/>
      <c r="I276" s="1768"/>
      <c r="J276" s="1768"/>
      <c r="K276" s="1768"/>
      <c r="L276" s="98">
        <v>3289.58</v>
      </c>
      <c r="M276" s="99"/>
      <c r="N276" s="10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3" t="s">
        <v>412</v>
      </c>
      <c r="AI276" s="40"/>
      <c r="AJ276" s="40"/>
    </row>
    <row r="277" spans="1:36" x14ac:dyDescent="0.2">
      <c r="A277" s="97"/>
      <c r="B277" s="78"/>
      <c r="C277" s="1768" t="s">
        <v>413</v>
      </c>
      <c r="D277" s="1768"/>
      <c r="E277" s="1768"/>
      <c r="F277" s="1768"/>
      <c r="G277" s="1768"/>
      <c r="H277" s="1768"/>
      <c r="I277" s="1768"/>
      <c r="J277" s="1768"/>
      <c r="K277" s="1768"/>
      <c r="L277" s="98">
        <v>1515.42</v>
      </c>
      <c r="M277" s="99"/>
      <c r="N277" s="10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3" t="s">
        <v>413</v>
      </c>
      <c r="AI277" s="40"/>
      <c r="AJ277" s="40"/>
    </row>
    <row r="278" spans="1:36" x14ac:dyDescent="0.2">
      <c r="A278" s="97"/>
      <c r="B278" s="78" t="s">
        <v>185</v>
      </c>
      <c r="C278" s="1768" t="s">
        <v>414</v>
      </c>
      <c r="D278" s="1768"/>
      <c r="E278" s="1768"/>
      <c r="F278" s="1768"/>
      <c r="G278" s="1768"/>
      <c r="H278" s="1768"/>
      <c r="I278" s="1768"/>
      <c r="J278" s="1768"/>
      <c r="K278" s="1768"/>
      <c r="L278" s="98">
        <v>3352.78</v>
      </c>
      <c r="M278" s="99">
        <v>8.32</v>
      </c>
      <c r="N278" s="100">
        <v>27895</v>
      </c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3" t="s">
        <v>414</v>
      </c>
      <c r="AI278" s="40"/>
      <c r="AJ278" s="40"/>
    </row>
    <row r="279" spans="1:36" x14ac:dyDescent="0.2">
      <c r="A279" s="97"/>
      <c r="B279" s="78"/>
      <c r="C279" s="1768" t="s">
        <v>415</v>
      </c>
      <c r="D279" s="1768"/>
      <c r="E279" s="1768"/>
      <c r="F279" s="1768"/>
      <c r="G279" s="1768"/>
      <c r="H279" s="1768"/>
      <c r="I279" s="1768"/>
      <c r="J279" s="1768"/>
      <c r="K279" s="1768"/>
      <c r="L279" s="98">
        <v>3696.16</v>
      </c>
      <c r="M279" s="99"/>
      <c r="N279" s="10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3" t="s">
        <v>415</v>
      </c>
      <c r="AI279" s="40"/>
      <c r="AJ279" s="40"/>
    </row>
    <row r="280" spans="1:36" x14ac:dyDescent="0.2">
      <c r="A280" s="97"/>
      <c r="B280" s="78"/>
      <c r="C280" s="1768" t="s">
        <v>416</v>
      </c>
      <c r="D280" s="1768"/>
      <c r="E280" s="1768"/>
      <c r="F280" s="1768"/>
      <c r="G280" s="1768"/>
      <c r="H280" s="1768"/>
      <c r="I280" s="1768"/>
      <c r="J280" s="1768"/>
      <c r="K280" s="1768"/>
      <c r="L280" s="98">
        <v>3289.58</v>
      </c>
      <c r="M280" s="99"/>
      <c r="N280" s="10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3" t="s">
        <v>416</v>
      </c>
      <c r="AI280" s="40"/>
      <c r="AJ280" s="40"/>
    </row>
    <row r="281" spans="1:36" x14ac:dyDescent="0.2">
      <c r="A281" s="97"/>
      <c r="B281" s="78"/>
      <c r="C281" s="1768" t="s">
        <v>417</v>
      </c>
      <c r="D281" s="1768"/>
      <c r="E281" s="1768"/>
      <c r="F281" s="1768"/>
      <c r="G281" s="1768"/>
      <c r="H281" s="1768"/>
      <c r="I281" s="1768"/>
      <c r="J281" s="1768"/>
      <c r="K281" s="1768"/>
      <c r="L281" s="98">
        <v>1515.42</v>
      </c>
      <c r="M281" s="99"/>
      <c r="N281" s="10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3" t="s">
        <v>417</v>
      </c>
      <c r="AI281" s="40"/>
      <c r="AJ281" s="40"/>
    </row>
    <row r="282" spans="1:36" x14ac:dyDescent="0.2">
      <c r="A282" s="97"/>
      <c r="B282" s="91"/>
      <c r="C282" s="1787" t="s">
        <v>206</v>
      </c>
      <c r="D282" s="1787"/>
      <c r="E282" s="1787"/>
      <c r="F282" s="1787"/>
      <c r="G282" s="1787"/>
      <c r="H282" s="1787"/>
      <c r="I282" s="1787"/>
      <c r="J282" s="1787"/>
      <c r="K282" s="1787"/>
      <c r="L282" s="102">
        <v>27083.52</v>
      </c>
      <c r="M282" s="103"/>
      <c r="N282" s="108">
        <v>225335</v>
      </c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3" t="s">
        <v>206</v>
      </c>
      <c r="AJ282" s="40"/>
    </row>
    <row r="283" spans="1:36" ht="1.5" customHeight="1" x14ac:dyDescent="0.2">
      <c r="B283" s="91"/>
      <c r="C283" s="89"/>
      <c r="D283" s="89"/>
      <c r="E283" s="89"/>
      <c r="F283" s="89"/>
      <c r="G283" s="89"/>
      <c r="H283" s="89"/>
      <c r="I283" s="89"/>
      <c r="J283" s="89"/>
      <c r="K283" s="89"/>
      <c r="L283" s="102"/>
      <c r="M283" s="103"/>
      <c r="N283" s="109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</row>
    <row r="284" spans="1:36" ht="53.25" customHeight="1" x14ac:dyDescent="0.2">
      <c r="A284" s="110"/>
      <c r="B284" s="110"/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</row>
    <row r="285" spans="1:36" x14ac:dyDescent="0.2">
      <c r="B285" s="111" t="s">
        <v>149</v>
      </c>
      <c r="C285" s="1789" t="s">
        <v>446</v>
      </c>
      <c r="D285" s="1789"/>
      <c r="E285" s="1789"/>
      <c r="F285" s="1789"/>
      <c r="G285" s="1789"/>
      <c r="H285" s="1789"/>
      <c r="I285" s="1789"/>
      <c r="J285" s="1789"/>
      <c r="K285" s="1789"/>
      <c r="L285" s="1789"/>
    </row>
    <row r="286" spans="1:36" ht="13.5" customHeight="1" x14ac:dyDescent="0.2">
      <c r="B286" s="41"/>
      <c r="C286" s="1788" t="s">
        <v>150</v>
      </c>
      <c r="D286" s="1788"/>
      <c r="E286" s="1788"/>
      <c r="F286" s="1788"/>
      <c r="G286" s="1788"/>
      <c r="H286" s="1788"/>
      <c r="I286" s="1788"/>
      <c r="J286" s="1788"/>
      <c r="K286" s="1788"/>
      <c r="L286" s="1788"/>
    </row>
    <row r="287" spans="1:36" ht="12.75" customHeight="1" x14ac:dyDescent="0.2">
      <c r="B287" s="111" t="s">
        <v>151</v>
      </c>
      <c r="C287" s="1789" t="s">
        <v>297</v>
      </c>
      <c r="D287" s="1789"/>
      <c r="E287" s="1789"/>
      <c r="F287" s="1789"/>
      <c r="G287" s="1789"/>
      <c r="H287" s="1789"/>
      <c r="I287" s="1789"/>
      <c r="J287" s="1789"/>
      <c r="K287" s="1789"/>
      <c r="L287" s="1789"/>
    </row>
    <row r="288" spans="1:36" ht="13.5" customHeight="1" x14ac:dyDescent="0.2">
      <c r="C288" s="1788" t="s">
        <v>150</v>
      </c>
      <c r="D288" s="1788"/>
      <c r="E288" s="1788"/>
      <c r="F288" s="1788"/>
      <c r="G288" s="1788"/>
      <c r="H288" s="1788"/>
      <c r="I288" s="1788"/>
      <c r="J288" s="1788"/>
      <c r="K288" s="1788"/>
      <c r="L288" s="1788"/>
    </row>
    <row r="290" spans="1:36" x14ac:dyDescent="0.2">
      <c r="A290" s="1790"/>
      <c r="B290" s="1790"/>
      <c r="C290" s="1790"/>
      <c r="D290" s="1790"/>
      <c r="E290" s="1790"/>
      <c r="F290" s="1790"/>
      <c r="G290" s="1790"/>
      <c r="H290" s="1790"/>
      <c r="I290" s="1790"/>
      <c r="J290" s="1790"/>
      <c r="K290" s="1790"/>
      <c r="L290" s="1790"/>
      <c r="M290" s="1790"/>
      <c r="N290" s="179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3" t="s">
        <v>143</v>
      </c>
    </row>
    <row r="291" spans="1:36" x14ac:dyDescent="0.2">
      <c r="B291" s="112"/>
      <c r="D291" s="112"/>
      <c r="F291" s="112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</row>
  </sheetData>
  <mergeCells count="272">
    <mergeCell ref="C286:L286"/>
    <mergeCell ref="C287:L287"/>
    <mergeCell ref="C288:L288"/>
    <mergeCell ref="A290:N290"/>
    <mergeCell ref="C278:K278"/>
    <mergeCell ref="C279:K279"/>
    <mergeCell ref="C280:K280"/>
    <mergeCell ref="C281:K281"/>
    <mergeCell ref="C282:K282"/>
    <mergeCell ref="C285:L285"/>
    <mergeCell ref="C272:K272"/>
    <mergeCell ref="C273:K273"/>
    <mergeCell ref="C274:K274"/>
    <mergeCell ref="C275:K275"/>
    <mergeCell ref="C276:K276"/>
    <mergeCell ref="C277:K277"/>
    <mergeCell ref="C266:K266"/>
    <mergeCell ref="C267:K267"/>
    <mergeCell ref="C268:K268"/>
    <mergeCell ref="C269:K269"/>
    <mergeCell ref="C270:K270"/>
    <mergeCell ref="C271:K271"/>
    <mergeCell ref="C259:K259"/>
    <mergeCell ref="C260:K260"/>
    <mergeCell ref="C261:K261"/>
    <mergeCell ref="C262:K262"/>
    <mergeCell ref="C263:K263"/>
    <mergeCell ref="C265:K265"/>
    <mergeCell ref="C253:K253"/>
    <mergeCell ref="C254:K254"/>
    <mergeCell ref="C255:K255"/>
    <mergeCell ref="C256:K256"/>
    <mergeCell ref="C257:K257"/>
    <mergeCell ref="C258:K258"/>
    <mergeCell ref="C246:E246"/>
    <mergeCell ref="C247:E247"/>
    <mergeCell ref="C248:E248"/>
    <mergeCell ref="C250:K250"/>
    <mergeCell ref="C251:K251"/>
    <mergeCell ref="C252:K252"/>
    <mergeCell ref="C240:N240"/>
    <mergeCell ref="C241:E241"/>
    <mergeCell ref="C242:E242"/>
    <mergeCell ref="C243:E243"/>
    <mergeCell ref="C244:E244"/>
    <mergeCell ref="C245:E245"/>
    <mergeCell ref="C234:E234"/>
    <mergeCell ref="C235:E235"/>
    <mergeCell ref="C236:E236"/>
    <mergeCell ref="C237:E237"/>
    <mergeCell ref="C238:E238"/>
    <mergeCell ref="C239:E239"/>
    <mergeCell ref="C228:E228"/>
    <mergeCell ref="C229:N229"/>
    <mergeCell ref="C230:N230"/>
    <mergeCell ref="C231:E231"/>
    <mergeCell ref="C232:E232"/>
    <mergeCell ref="C233:E233"/>
    <mergeCell ref="C222:E222"/>
    <mergeCell ref="C223:E223"/>
    <mergeCell ref="C224:E224"/>
    <mergeCell ref="C225:E225"/>
    <mergeCell ref="C226:E226"/>
    <mergeCell ref="C227:E227"/>
    <mergeCell ref="C216:E216"/>
    <mergeCell ref="C217:E217"/>
    <mergeCell ref="C218:E218"/>
    <mergeCell ref="C219:N219"/>
    <mergeCell ref="C220:E220"/>
    <mergeCell ref="C221:E221"/>
    <mergeCell ref="C210:E210"/>
    <mergeCell ref="C211:E211"/>
    <mergeCell ref="C212:E212"/>
    <mergeCell ref="C213:E213"/>
    <mergeCell ref="C214:E214"/>
    <mergeCell ref="C215:E215"/>
    <mergeCell ref="C204:K204"/>
    <mergeCell ref="C205:K205"/>
    <mergeCell ref="C206:K206"/>
    <mergeCell ref="A207:N207"/>
    <mergeCell ref="C208:E208"/>
    <mergeCell ref="C209:N209"/>
    <mergeCell ref="C198:K198"/>
    <mergeCell ref="C199:K199"/>
    <mergeCell ref="C200:K200"/>
    <mergeCell ref="C201:K201"/>
    <mergeCell ref="C202:K202"/>
    <mergeCell ref="C203:K203"/>
    <mergeCell ref="C192:K192"/>
    <mergeCell ref="C193:K193"/>
    <mergeCell ref="C194:K194"/>
    <mergeCell ref="C195:K195"/>
    <mergeCell ref="C196:K196"/>
    <mergeCell ref="C197:K197"/>
    <mergeCell ref="C185:E185"/>
    <mergeCell ref="C186:E186"/>
    <mergeCell ref="C187:E187"/>
    <mergeCell ref="C189:K189"/>
    <mergeCell ref="C190:K190"/>
    <mergeCell ref="C191:K191"/>
    <mergeCell ref="C179:E179"/>
    <mergeCell ref="C180:E180"/>
    <mergeCell ref="C181:E181"/>
    <mergeCell ref="C182:E182"/>
    <mergeCell ref="C183:E183"/>
    <mergeCell ref="C184:E184"/>
    <mergeCell ref="C173:E173"/>
    <mergeCell ref="C174:N174"/>
    <mergeCell ref="C175:N175"/>
    <mergeCell ref="C176:E176"/>
    <mergeCell ref="C177:E177"/>
    <mergeCell ref="C178:E178"/>
    <mergeCell ref="C167:E167"/>
    <mergeCell ref="C168:E168"/>
    <mergeCell ref="C169:E169"/>
    <mergeCell ref="C170:E170"/>
    <mergeCell ref="C171:E171"/>
    <mergeCell ref="C172:E172"/>
    <mergeCell ref="C161:E161"/>
    <mergeCell ref="C162:E162"/>
    <mergeCell ref="C163:N163"/>
    <mergeCell ref="C164:N164"/>
    <mergeCell ref="C165:E165"/>
    <mergeCell ref="C166:E166"/>
    <mergeCell ref="C155:E155"/>
    <mergeCell ref="C156:E156"/>
    <mergeCell ref="C157:E157"/>
    <mergeCell ref="C158:E158"/>
    <mergeCell ref="C159:E159"/>
    <mergeCell ref="C160:E160"/>
    <mergeCell ref="C149:E149"/>
    <mergeCell ref="C150:E150"/>
    <mergeCell ref="C151:E151"/>
    <mergeCell ref="C152:N152"/>
    <mergeCell ref="C153:N153"/>
    <mergeCell ref="C154:E154"/>
    <mergeCell ref="C143:E143"/>
    <mergeCell ref="C144:E144"/>
    <mergeCell ref="C145:E145"/>
    <mergeCell ref="C146:E146"/>
    <mergeCell ref="C147:E147"/>
    <mergeCell ref="C148:E148"/>
    <mergeCell ref="C137:E137"/>
    <mergeCell ref="C138:E138"/>
    <mergeCell ref="C139:E139"/>
    <mergeCell ref="C140:E140"/>
    <mergeCell ref="C141:N141"/>
    <mergeCell ref="C142:N142"/>
    <mergeCell ref="C131:N131"/>
    <mergeCell ref="C132:N132"/>
    <mergeCell ref="C133:E133"/>
    <mergeCell ref="C134:E134"/>
    <mergeCell ref="C135:E135"/>
    <mergeCell ref="C136:E136"/>
    <mergeCell ref="C125:E125"/>
    <mergeCell ref="C126:E126"/>
    <mergeCell ref="C127:E127"/>
    <mergeCell ref="C128:E128"/>
    <mergeCell ref="C129:E129"/>
    <mergeCell ref="C130:N130"/>
    <mergeCell ref="C119:N119"/>
    <mergeCell ref="C120:N120"/>
    <mergeCell ref="C121:N121"/>
    <mergeCell ref="C122:E122"/>
    <mergeCell ref="C123:E123"/>
    <mergeCell ref="C124:E124"/>
    <mergeCell ref="C113:E113"/>
    <mergeCell ref="C114:E114"/>
    <mergeCell ref="C115:E115"/>
    <mergeCell ref="C116:E116"/>
    <mergeCell ref="C117:E117"/>
    <mergeCell ref="C118:E118"/>
    <mergeCell ref="C107:E107"/>
    <mergeCell ref="C108:N108"/>
    <mergeCell ref="C109:N109"/>
    <mergeCell ref="C110:N110"/>
    <mergeCell ref="C111:E111"/>
    <mergeCell ref="C112:E112"/>
    <mergeCell ref="C101:E101"/>
    <mergeCell ref="C102:E102"/>
    <mergeCell ref="C103:E103"/>
    <mergeCell ref="C104:E104"/>
    <mergeCell ref="C105:E105"/>
    <mergeCell ref="C106:E106"/>
    <mergeCell ref="C95:E95"/>
    <mergeCell ref="C96:E96"/>
    <mergeCell ref="C97:N97"/>
    <mergeCell ref="C98:N98"/>
    <mergeCell ref="C99:N99"/>
    <mergeCell ref="C100:E100"/>
    <mergeCell ref="C89:E89"/>
    <mergeCell ref="C90:E90"/>
    <mergeCell ref="C91:E91"/>
    <mergeCell ref="C92:E92"/>
    <mergeCell ref="C93:E93"/>
    <mergeCell ref="C94:E94"/>
    <mergeCell ref="C83:E83"/>
    <mergeCell ref="C84:N84"/>
    <mergeCell ref="C85:N85"/>
    <mergeCell ref="C86:E86"/>
    <mergeCell ref="C87:E87"/>
    <mergeCell ref="C88:E88"/>
    <mergeCell ref="C77:E77"/>
    <mergeCell ref="C78:E78"/>
    <mergeCell ref="C79:E79"/>
    <mergeCell ref="C80:E80"/>
    <mergeCell ref="C81:E81"/>
    <mergeCell ref="C82:E82"/>
    <mergeCell ref="C71:N71"/>
    <mergeCell ref="C72:N72"/>
    <mergeCell ref="C73:E73"/>
    <mergeCell ref="C74:E74"/>
    <mergeCell ref="C75:E75"/>
    <mergeCell ref="C76:E76"/>
    <mergeCell ref="C65:E65"/>
    <mergeCell ref="C66:E66"/>
    <mergeCell ref="C67:E67"/>
    <mergeCell ref="C68:E68"/>
    <mergeCell ref="C69:E69"/>
    <mergeCell ref="C70:E70"/>
    <mergeCell ref="C59:E59"/>
    <mergeCell ref="C60:E60"/>
    <mergeCell ref="C61:N61"/>
    <mergeCell ref="C62:N62"/>
    <mergeCell ref="C63:E63"/>
    <mergeCell ref="C64:E64"/>
    <mergeCell ref="C53:E53"/>
    <mergeCell ref="C54:E54"/>
    <mergeCell ref="C55:E55"/>
    <mergeCell ref="C56:E56"/>
    <mergeCell ref="C57:E57"/>
    <mergeCell ref="C58:E58"/>
    <mergeCell ref="C47:E47"/>
    <mergeCell ref="C48:E48"/>
    <mergeCell ref="C49:E49"/>
    <mergeCell ref="C50:E50"/>
    <mergeCell ref="C51:N51"/>
    <mergeCell ref="C52:N52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29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AG108"/>
  <sheetViews>
    <sheetView topLeftCell="A73" zoomScale="115" zoomScaleNormal="115" workbookViewId="0"/>
  </sheetViews>
  <sheetFormatPr defaultColWidth="9.140625" defaultRowHeight="11.25" customHeight="1" x14ac:dyDescent="0.25"/>
  <cols>
    <col min="1" max="1" width="8.140625" style="40" customWidth="1"/>
    <col min="2" max="2" width="20.140625" style="40" customWidth="1"/>
    <col min="3" max="4" width="10.42578125" style="40" customWidth="1"/>
    <col min="5" max="5" width="13.28515625" style="40" customWidth="1"/>
    <col min="6" max="6" width="8.5703125" style="40" customWidth="1"/>
    <col min="7" max="7" width="7.85546875" style="40" customWidth="1"/>
    <col min="8" max="8" width="8.42578125" style="40" customWidth="1"/>
    <col min="9" max="9" width="8.7109375" style="40" customWidth="1"/>
    <col min="10" max="10" width="8.140625" style="40" customWidth="1"/>
    <col min="11" max="11" width="8.5703125" style="40" customWidth="1"/>
    <col min="12" max="12" width="10" style="40" customWidth="1"/>
    <col min="13" max="13" width="6" style="40" customWidth="1"/>
    <col min="14" max="14" width="9.7109375" style="40" customWidth="1"/>
    <col min="15" max="15" width="9.140625" style="113"/>
    <col min="16" max="16" width="49.140625" style="43" hidden="1" customWidth="1"/>
    <col min="17" max="17" width="42.42578125" style="43" hidden="1" customWidth="1"/>
    <col min="18" max="18" width="99.7109375" style="43" hidden="1" customWidth="1"/>
    <col min="19" max="22" width="138.42578125" style="43" hidden="1" customWidth="1"/>
    <col min="23" max="23" width="34.140625" style="43" hidden="1" customWidth="1"/>
    <col min="24" max="25" width="110.140625" style="43" hidden="1" customWidth="1"/>
    <col min="26" max="29" width="34.140625" style="43" hidden="1" customWidth="1"/>
    <col min="30" max="32" width="84.42578125" style="43" hidden="1" customWidth="1"/>
    <col min="33" max="33" width="138.42578125" style="43" hidden="1" customWidth="1"/>
    <col min="34" max="16384" width="9.140625" style="40"/>
  </cols>
  <sheetData>
    <row r="1" spans="1:20" s="40" customFormat="1" x14ac:dyDescent="0.2">
      <c r="N1" s="41" t="s">
        <v>152</v>
      </c>
    </row>
    <row r="2" spans="1:20" s="40" customFormat="1" x14ac:dyDescent="0.2">
      <c r="N2" s="41" t="s">
        <v>141</v>
      </c>
    </row>
    <row r="3" spans="1:20" s="40" customFormat="1" ht="8.25" customHeight="1" x14ac:dyDescent="0.2">
      <c r="N3" s="41"/>
    </row>
    <row r="4" spans="1:20" s="40" customFormat="1" ht="14.25" customHeight="1" x14ac:dyDescent="0.2">
      <c r="A4" s="1772" t="s">
        <v>153</v>
      </c>
      <c r="B4" s="1772"/>
      <c r="C4" s="1772"/>
      <c r="D4" s="42"/>
      <c r="K4" s="1772" t="s">
        <v>154</v>
      </c>
      <c r="L4" s="1772"/>
      <c r="M4" s="1772"/>
      <c r="N4" s="1772"/>
    </row>
    <row r="5" spans="1:20" s="40" customFormat="1" ht="12" customHeight="1" x14ac:dyDescent="0.2">
      <c r="A5" s="1773"/>
      <c r="B5" s="1773"/>
      <c r="C5" s="1773"/>
      <c r="D5" s="1773"/>
      <c r="E5" s="43"/>
      <c r="J5" s="1774"/>
      <c r="K5" s="1774"/>
      <c r="L5" s="1774"/>
      <c r="M5" s="1774"/>
      <c r="N5" s="1774"/>
    </row>
    <row r="6" spans="1:20" s="40" customFormat="1" x14ac:dyDescent="0.2">
      <c r="A6" s="1768"/>
      <c r="B6" s="1768"/>
      <c r="C6" s="1768"/>
      <c r="D6" s="1768"/>
      <c r="J6" s="1768"/>
      <c r="K6" s="1768"/>
      <c r="L6" s="1768"/>
      <c r="M6" s="1768"/>
      <c r="N6" s="1768"/>
      <c r="P6" s="43" t="s">
        <v>143</v>
      </c>
      <c r="Q6" s="43" t="s">
        <v>143</v>
      </c>
    </row>
    <row r="7" spans="1:20" s="40" customFormat="1" ht="17.25" customHeight="1" x14ac:dyDescent="0.2">
      <c r="A7" s="44"/>
      <c r="B7" s="45"/>
      <c r="C7" s="43"/>
      <c r="D7" s="43"/>
      <c r="K7" s="44"/>
      <c r="L7" s="44"/>
      <c r="M7" s="44"/>
      <c r="N7" s="45"/>
    </row>
    <row r="8" spans="1:20" s="40" customFormat="1" ht="16.5" customHeight="1" x14ac:dyDescent="0.2">
      <c r="A8" s="40" t="s">
        <v>155</v>
      </c>
      <c r="B8" s="46"/>
      <c r="C8" s="46"/>
      <c r="D8" s="46"/>
      <c r="L8" s="46"/>
      <c r="M8" s="46"/>
      <c r="N8" s="41" t="s">
        <v>155</v>
      </c>
    </row>
    <row r="9" spans="1:20" s="40" customFormat="1" ht="15.75" customHeight="1" x14ac:dyDescent="0.2">
      <c r="F9" s="47"/>
    </row>
    <row r="10" spans="1:20" s="40" customFormat="1" ht="33.75" x14ac:dyDescent="0.2">
      <c r="A10" s="48" t="s">
        <v>156</v>
      </c>
      <c r="B10" s="46"/>
      <c r="D10" s="1768" t="s">
        <v>157</v>
      </c>
      <c r="E10" s="1768"/>
      <c r="F10" s="1768"/>
      <c r="G10" s="1768"/>
      <c r="H10" s="1768"/>
      <c r="I10" s="1768"/>
      <c r="J10" s="1768"/>
      <c r="K10" s="1768"/>
      <c r="L10" s="1768"/>
      <c r="M10" s="1768"/>
      <c r="N10" s="1768"/>
      <c r="R10" s="43" t="s">
        <v>157</v>
      </c>
    </row>
    <row r="11" spans="1:20" s="40" customFormat="1" ht="15" customHeight="1" x14ac:dyDescent="0.2">
      <c r="A11" s="49" t="s">
        <v>158</v>
      </c>
      <c r="D11" s="44" t="s">
        <v>159</v>
      </c>
      <c r="E11" s="44"/>
      <c r="F11" s="50"/>
      <c r="G11" s="50"/>
      <c r="H11" s="50"/>
      <c r="I11" s="50"/>
      <c r="J11" s="50"/>
      <c r="K11" s="50"/>
      <c r="L11" s="50"/>
      <c r="M11" s="50"/>
      <c r="N11" s="50"/>
    </row>
    <row r="12" spans="1:20" s="40" customFormat="1" ht="8.25" customHeight="1" x14ac:dyDescent="0.2">
      <c r="A12" s="49"/>
      <c r="F12" s="46"/>
      <c r="G12" s="46"/>
      <c r="H12" s="46"/>
      <c r="I12" s="46"/>
      <c r="J12" s="46"/>
      <c r="K12" s="46"/>
      <c r="L12" s="46"/>
      <c r="M12" s="46"/>
      <c r="N12" s="46"/>
    </row>
    <row r="13" spans="1:20" s="40" customFormat="1" x14ac:dyDescent="0.2">
      <c r="A13" s="1769" t="s">
        <v>447</v>
      </c>
      <c r="B13" s="1769"/>
      <c r="C13" s="1769"/>
      <c r="D13" s="1769"/>
      <c r="E13" s="1769"/>
      <c r="F13" s="1769"/>
      <c r="G13" s="1769"/>
      <c r="H13" s="1769"/>
      <c r="I13" s="1769"/>
      <c r="J13" s="1769"/>
      <c r="K13" s="1769"/>
      <c r="L13" s="1769"/>
      <c r="M13" s="1769"/>
      <c r="N13" s="1769"/>
      <c r="S13" s="43" t="s">
        <v>447</v>
      </c>
    </row>
    <row r="14" spans="1:20" s="40" customFormat="1" x14ac:dyDescent="0.2">
      <c r="A14" s="1770" t="s">
        <v>139</v>
      </c>
      <c r="B14" s="1770"/>
      <c r="C14" s="1770"/>
      <c r="D14" s="1770"/>
      <c r="E14" s="1770"/>
      <c r="F14" s="1770"/>
      <c r="G14" s="1770"/>
      <c r="H14" s="1770"/>
      <c r="I14" s="1770"/>
      <c r="J14" s="1770"/>
      <c r="K14" s="1770"/>
      <c r="L14" s="1770"/>
      <c r="M14" s="1770"/>
      <c r="N14" s="1770"/>
    </row>
    <row r="15" spans="1:20" s="40" customFormat="1" ht="8.25" customHeight="1" x14ac:dyDescent="0.2">
      <c r="A15" s="51"/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</row>
    <row r="16" spans="1:20" s="40" customFormat="1" x14ac:dyDescent="0.2">
      <c r="A16" s="1769" t="s">
        <v>15</v>
      </c>
      <c r="B16" s="1769"/>
      <c r="C16" s="1769"/>
      <c r="D16" s="1769"/>
      <c r="E16" s="1769"/>
      <c r="F16" s="1769"/>
      <c r="G16" s="1769"/>
      <c r="H16" s="1769"/>
      <c r="I16" s="1769"/>
      <c r="J16" s="1769"/>
      <c r="K16" s="1769"/>
      <c r="L16" s="1769"/>
      <c r="M16" s="1769"/>
      <c r="N16" s="1769"/>
      <c r="T16" s="43" t="s">
        <v>15</v>
      </c>
    </row>
    <row r="17" spans="1:21" s="40" customFormat="1" x14ac:dyDescent="0.2">
      <c r="A17" s="1770" t="s">
        <v>142</v>
      </c>
      <c r="B17" s="1770"/>
      <c r="C17" s="1770"/>
      <c r="D17" s="1770"/>
      <c r="E17" s="1770"/>
      <c r="F17" s="1770"/>
      <c r="G17" s="1770"/>
      <c r="H17" s="1770"/>
      <c r="I17" s="1770"/>
      <c r="J17" s="1770"/>
      <c r="K17" s="1770"/>
      <c r="L17" s="1770"/>
      <c r="M17" s="1770"/>
      <c r="N17" s="1770"/>
    </row>
    <row r="18" spans="1:21" s="40" customFormat="1" ht="24" customHeight="1" x14ac:dyDescent="0.25">
      <c r="A18" s="1771" t="s">
        <v>448</v>
      </c>
      <c r="B18" s="1771"/>
      <c r="C18" s="1771"/>
      <c r="D18" s="1771"/>
      <c r="E18" s="1771"/>
      <c r="F18" s="1771"/>
      <c r="G18" s="1771"/>
      <c r="H18" s="1771"/>
      <c r="I18" s="1771"/>
      <c r="J18" s="1771"/>
      <c r="K18" s="1771"/>
      <c r="L18" s="1771"/>
      <c r="M18" s="1771"/>
      <c r="N18" s="1771"/>
    </row>
    <row r="19" spans="1:21" s="40" customFormat="1" ht="8.25" customHeight="1" x14ac:dyDescent="0.25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</row>
    <row r="20" spans="1:21" s="40" customFormat="1" x14ac:dyDescent="0.2">
      <c r="A20" s="1775" t="s">
        <v>275</v>
      </c>
      <c r="B20" s="1775"/>
      <c r="C20" s="1775"/>
      <c r="D20" s="1775"/>
      <c r="E20" s="1775"/>
      <c r="F20" s="1775"/>
      <c r="G20" s="1775"/>
      <c r="H20" s="1775"/>
      <c r="I20" s="1775"/>
      <c r="J20" s="1775"/>
      <c r="K20" s="1775"/>
      <c r="L20" s="1775"/>
      <c r="M20" s="1775"/>
      <c r="N20" s="1775"/>
      <c r="U20" s="43" t="s">
        <v>275</v>
      </c>
    </row>
    <row r="21" spans="1:21" s="40" customFormat="1" ht="13.5" customHeight="1" x14ac:dyDescent="0.2">
      <c r="A21" s="1770" t="s">
        <v>160</v>
      </c>
      <c r="B21" s="1770"/>
      <c r="C21" s="1770"/>
      <c r="D21" s="1770"/>
      <c r="E21" s="1770"/>
      <c r="F21" s="1770"/>
      <c r="G21" s="1770"/>
      <c r="H21" s="1770"/>
      <c r="I21" s="1770"/>
      <c r="J21" s="1770"/>
      <c r="K21" s="1770"/>
      <c r="L21" s="1770"/>
      <c r="M21" s="1770"/>
      <c r="N21" s="1770"/>
    </row>
    <row r="22" spans="1:21" s="40" customFormat="1" ht="15" customHeight="1" x14ac:dyDescent="0.2">
      <c r="A22" s="40" t="s">
        <v>161</v>
      </c>
      <c r="B22" s="53" t="s">
        <v>162</v>
      </c>
      <c r="C22" s="40" t="s">
        <v>163</v>
      </c>
      <c r="F22" s="43"/>
      <c r="G22" s="43"/>
      <c r="H22" s="43"/>
      <c r="I22" s="43"/>
      <c r="J22" s="43"/>
      <c r="K22" s="43"/>
      <c r="L22" s="43"/>
      <c r="M22" s="43"/>
      <c r="N22" s="43"/>
    </row>
    <row r="23" spans="1:21" s="40" customFormat="1" ht="18" customHeight="1" x14ac:dyDescent="0.2">
      <c r="A23" s="40" t="s">
        <v>164</v>
      </c>
      <c r="B23" s="1775" t="s">
        <v>449</v>
      </c>
      <c r="C23" s="1775"/>
      <c r="D23" s="1775"/>
      <c r="E23" s="1775"/>
      <c r="F23" s="1775"/>
      <c r="G23" s="43"/>
      <c r="H23" s="43"/>
      <c r="I23" s="43"/>
      <c r="J23" s="43"/>
      <c r="K23" s="43"/>
      <c r="L23" s="43"/>
      <c r="M23" s="43"/>
      <c r="N23" s="43"/>
    </row>
    <row r="24" spans="1:21" s="40" customFormat="1" x14ac:dyDescent="0.2">
      <c r="B24" s="1776" t="s">
        <v>144</v>
      </c>
      <c r="C24" s="1776"/>
      <c r="D24" s="1776"/>
      <c r="E24" s="1776"/>
      <c r="F24" s="1776"/>
      <c r="G24" s="54"/>
      <c r="H24" s="54"/>
      <c r="I24" s="54"/>
      <c r="J24" s="54"/>
      <c r="K24" s="54"/>
      <c r="L24" s="54"/>
      <c r="M24" s="55"/>
      <c r="N24" s="54"/>
    </row>
    <row r="25" spans="1:21" s="40" customFormat="1" ht="9.75" customHeight="1" x14ac:dyDescent="0.2">
      <c r="D25" s="56"/>
      <c r="E25" s="56"/>
      <c r="F25" s="56"/>
      <c r="G25" s="56"/>
      <c r="H25" s="56"/>
      <c r="I25" s="56"/>
      <c r="J25" s="56"/>
      <c r="K25" s="56"/>
      <c r="L25" s="56"/>
      <c r="M25" s="54"/>
      <c r="N25" s="54"/>
    </row>
    <row r="26" spans="1:21" s="40" customFormat="1" x14ac:dyDescent="0.2">
      <c r="A26" s="57" t="s">
        <v>165</v>
      </c>
      <c r="D26" s="44" t="s">
        <v>301</v>
      </c>
      <c r="F26" s="58"/>
      <c r="G26" s="58"/>
      <c r="H26" s="58"/>
      <c r="I26" s="58"/>
      <c r="J26" s="58"/>
      <c r="K26" s="58"/>
      <c r="L26" s="58"/>
      <c r="M26" s="58"/>
      <c r="N26" s="58"/>
    </row>
    <row r="27" spans="1:21" s="40" customFormat="1" ht="9.75" customHeight="1" x14ac:dyDescent="0.2"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</row>
    <row r="28" spans="1:21" s="40" customFormat="1" ht="12.75" customHeight="1" x14ac:dyDescent="0.2">
      <c r="A28" s="57" t="s">
        <v>166</v>
      </c>
      <c r="C28" s="59">
        <v>713.9</v>
      </c>
      <c r="D28" s="60" t="s">
        <v>450</v>
      </c>
      <c r="E28" s="48" t="s">
        <v>167</v>
      </c>
      <c r="L28" s="61"/>
      <c r="M28" s="61"/>
    </row>
    <row r="29" spans="1:21" s="40" customFormat="1" ht="12.75" customHeight="1" x14ac:dyDescent="0.2">
      <c r="B29" s="40" t="s">
        <v>168</v>
      </c>
      <c r="C29" s="62"/>
      <c r="D29" s="63"/>
      <c r="E29" s="48"/>
    </row>
    <row r="30" spans="1:21" s="40" customFormat="1" ht="12.75" customHeight="1" x14ac:dyDescent="0.2">
      <c r="B30" s="40" t="s">
        <v>169</v>
      </c>
      <c r="C30" s="59">
        <v>713.9</v>
      </c>
      <c r="D30" s="60" t="s">
        <v>450</v>
      </c>
      <c r="E30" s="48" t="s">
        <v>167</v>
      </c>
      <c r="G30" s="40" t="s">
        <v>170</v>
      </c>
      <c r="L30" s="59">
        <v>0</v>
      </c>
      <c r="M30" s="60" t="s">
        <v>451</v>
      </c>
      <c r="N30" s="48" t="s">
        <v>167</v>
      </c>
    </row>
    <row r="31" spans="1:21" s="40" customFormat="1" ht="12.75" customHeight="1" x14ac:dyDescent="0.2">
      <c r="B31" s="40" t="s">
        <v>140</v>
      </c>
      <c r="C31" s="59">
        <v>0</v>
      </c>
      <c r="D31" s="64" t="s">
        <v>171</v>
      </c>
      <c r="E31" s="48" t="s">
        <v>167</v>
      </c>
      <c r="G31" s="40" t="s">
        <v>172</v>
      </c>
      <c r="L31" s="65"/>
      <c r="M31" s="65">
        <v>13.09</v>
      </c>
      <c r="N31" s="49" t="s">
        <v>173</v>
      </c>
    </row>
    <row r="32" spans="1:21" s="40" customFormat="1" ht="12.75" customHeight="1" x14ac:dyDescent="0.2">
      <c r="B32" s="40" t="s">
        <v>146</v>
      </c>
      <c r="C32" s="59">
        <v>0</v>
      </c>
      <c r="D32" s="64" t="s">
        <v>171</v>
      </c>
      <c r="E32" s="48" t="s">
        <v>167</v>
      </c>
      <c r="G32" s="40" t="s">
        <v>174</v>
      </c>
      <c r="L32" s="65"/>
      <c r="M32" s="65">
        <v>118.5</v>
      </c>
      <c r="N32" s="49" t="s">
        <v>173</v>
      </c>
    </row>
    <row r="33" spans="1:28" s="40" customFormat="1" ht="12.75" customHeight="1" x14ac:dyDescent="0.2">
      <c r="B33" s="40" t="s">
        <v>147</v>
      </c>
      <c r="C33" s="59">
        <v>0</v>
      </c>
      <c r="D33" s="60" t="s">
        <v>171</v>
      </c>
      <c r="E33" s="48" t="s">
        <v>167</v>
      </c>
      <c r="G33" s="40" t="s">
        <v>175</v>
      </c>
      <c r="L33" s="1777"/>
      <c r="M33" s="1777"/>
    </row>
    <row r="34" spans="1:28" s="40" customFormat="1" ht="9.75" customHeight="1" x14ac:dyDescent="0.2">
      <c r="A34" s="66"/>
    </row>
    <row r="35" spans="1:28" s="40" customFormat="1" ht="36" customHeight="1" x14ac:dyDescent="0.2">
      <c r="A35" s="1778" t="s">
        <v>8</v>
      </c>
      <c r="B35" s="1778" t="s">
        <v>145</v>
      </c>
      <c r="C35" s="1778" t="s">
        <v>176</v>
      </c>
      <c r="D35" s="1778"/>
      <c r="E35" s="1778"/>
      <c r="F35" s="1778" t="s">
        <v>177</v>
      </c>
      <c r="G35" s="1778" t="s">
        <v>178</v>
      </c>
      <c r="H35" s="1778"/>
      <c r="I35" s="1778"/>
      <c r="J35" s="1778" t="s">
        <v>179</v>
      </c>
      <c r="K35" s="1778"/>
      <c r="L35" s="1778"/>
      <c r="M35" s="1778" t="s">
        <v>180</v>
      </c>
      <c r="N35" s="1778" t="s">
        <v>181</v>
      </c>
    </row>
    <row r="36" spans="1:28" s="40" customFormat="1" ht="36.75" customHeight="1" x14ac:dyDescent="0.2">
      <c r="A36" s="1778"/>
      <c r="B36" s="1778"/>
      <c r="C36" s="1778"/>
      <c r="D36" s="1778"/>
      <c r="E36" s="1778"/>
      <c r="F36" s="1778"/>
      <c r="G36" s="1778"/>
      <c r="H36" s="1778"/>
      <c r="I36" s="1778"/>
      <c r="J36" s="1778"/>
      <c r="K36" s="1778"/>
      <c r="L36" s="1778"/>
      <c r="M36" s="1778"/>
      <c r="N36" s="1778"/>
    </row>
    <row r="37" spans="1:28" s="40" customFormat="1" ht="45" x14ac:dyDescent="0.2">
      <c r="A37" s="1778"/>
      <c r="B37" s="1778"/>
      <c r="C37" s="1778"/>
      <c r="D37" s="1778"/>
      <c r="E37" s="1778"/>
      <c r="F37" s="1778"/>
      <c r="G37" s="67" t="s">
        <v>182</v>
      </c>
      <c r="H37" s="67" t="s">
        <v>183</v>
      </c>
      <c r="I37" s="67" t="s">
        <v>184</v>
      </c>
      <c r="J37" s="67" t="s">
        <v>182</v>
      </c>
      <c r="K37" s="67" t="s">
        <v>183</v>
      </c>
      <c r="L37" s="67" t="s">
        <v>148</v>
      </c>
      <c r="M37" s="1778"/>
      <c r="N37" s="1778"/>
    </row>
    <row r="38" spans="1:28" s="40" customFormat="1" x14ac:dyDescent="0.2">
      <c r="A38" s="68">
        <v>1</v>
      </c>
      <c r="B38" s="68">
        <v>2</v>
      </c>
      <c r="C38" s="1781">
        <v>3</v>
      </c>
      <c r="D38" s="1781"/>
      <c r="E38" s="1781"/>
      <c r="F38" s="68">
        <v>4</v>
      </c>
      <c r="G38" s="68">
        <v>5</v>
      </c>
      <c r="H38" s="68">
        <v>6</v>
      </c>
      <c r="I38" s="68">
        <v>7</v>
      </c>
      <c r="J38" s="68">
        <v>8</v>
      </c>
      <c r="K38" s="68">
        <v>9</v>
      </c>
      <c r="L38" s="68">
        <v>10</v>
      </c>
      <c r="M38" s="68">
        <v>11</v>
      </c>
      <c r="N38" s="68">
        <v>12</v>
      </c>
    </row>
    <row r="39" spans="1:28" s="40" customFormat="1" ht="12" x14ac:dyDescent="0.2">
      <c r="A39" s="1782" t="s">
        <v>452</v>
      </c>
      <c r="B39" s="1783"/>
      <c r="C39" s="1783"/>
      <c r="D39" s="1783"/>
      <c r="E39" s="1783"/>
      <c r="F39" s="1783"/>
      <c r="G39" s="1783"/>
      <c r="H39" s="1783"/>
      <c r="I39" s="1783"/>
      <c r="J39" s="1783"/>
      <c r="K39" s="1783"/>
      <c r="L39" s="1783"/>
      <c r="M39" s="1783"/>
      <c r="N39" s="1784"/>
      <c r="V39" s="43" t="s">
        <v>452</v>
      </c>
    </row>
    <row r="40" spans="1:28" s="40" customFormat="1" ht="33.75" x14ac:dyDescent="0.2">
      <c r="A40" s="69" t="s">
        <v>185</v>
      </c>
      <c r="B40" s="70" t="s">
        <v>453</v>
      </c>
      <c r="C40" s="1785" t="s">
        <v>454</v>
      </c>
      <c r="D40" s="1785"/>
      <c r="E40" s="1785"/>
      <c r="F40" s="71" t="s">
        <v>455</v>
      </c>
      <c r="G40" s="71"/>
      <c r="H40" s="71"/>
      <c r="I40" s="71" t="s">
        <v>456</v>
      </c>
      <c r="J40" s="72"/>
      <c r="K40" s="71"/>
      <c r="L40" s="72"/>
      <c r="M40" s="73"/>
      <c r="N40" s="74"/>
      <c r="W40" s="43" t="s">
        <v>454</v>
      </c>
    </row>
    <row r="41" spans="1:28" s="40" customFormat="1" x14ac:dyDescent="0.2">
      <c r="A41" s="75"/>
      <c r="B41" s="76"/>
      <c r="C41" s="1768" t="s">
        <v>457</v>
      </c>
      <c r="D41" s="1768"/>
      <c r="E41" s="1768"/>
      <c r="F41" s="1768"/>
      <c r="G41" s="1768"/>
      <c r="H41" s="1768"/>
      <c r="I41" s="1768"/>
      <c r="J41" s="1768"/>
      <c r="K41" s="1768"/>
      <c r="L41" s="1768"/>
      <c r="M41" s="1768"/>
      <c r="N41" s="1779"/>
      <c r="X41" s="43" t="s">
        <v>457</v>
      </c>
    </row>
    <row r="42" spans="1:28" s="40" customFormat="1" ht="33.75" x14ac:dyDescent="0.2">
      <c r="A42" s="77"/>
      <c r="B42" s="78" t="s">
        <v>310</v>
      </c>
      <c r="C42" s="1768" t="s">
        <v>311</v>
      </c>
      <c r="D42" s="1768"/>
      <c r="E42" s="1768"/>
      <c r="F42" s="1768"/>
      <c r="G42" s="1768"/>
      <c r="H42" s="1768"/>
      <c r="I42" s="1768"/>
      <c r="J42" s="1768"/>
      <c r="K42" s="1768"/>
      <c r="L42" s="1768"/>
      <c r="M42" s="1768"/>
      <c r="N42" s="1779"/>
      <c r="Y42" s="43" t="s">
        <v>311</v>
      </c>
    </row>
    <row r="43" spans="1:28" s="40" customFormat="1" x14ac:dyDescent="0.2">
      <c r="A43" s="79"/>
      <c r="B43" s="78" t="s">
        <v>186</v>
      </c>
      <c r="C43" s="1768" t="s">
        <v>344</v>
      </c>
      <c r="D43" s="1768"/>
      <c r="E43" s="1768"/>
      <c r="F43" s="80"/>
      <c r="G43" s="80"/>
      <c r="H43" s="80"/>
      <c r="I43" s="80"/>
      <c r="J43" s="81">
        <v>632.79</v>
      </c>
      <c r="K43" s="80" t="s">
        <v>313</v>
      </c>
      <c r="L43" s="81">
        <v>3044.51</v>
      </c>
      <c r="M43" s="82"/>
      <c r="N43" s="83"/>
      <c r="Z43" s="43" t="s">
        <v>344</v>
      </c>
    </row>
    <row r="44" spans="1:28" s="40" customFormat="1" x14ac:dyDescent="0.2">
      <c r="A44" s="79"/>
      <c r="B44" s="78" t="s">
        <v>187</v>
      </c>
      <c r="C44" s="1768" t="s">
        <v>345</v>
      </c>
      <c r="D44" s="1768"/>
      <c r="E44" s="1768"/>
      <c r="F44" s="80"/>
      <c r="G44" s="80"/>
      <c r="H44" s="80"/>
      <c r="I44" s="80"/>
      <c r="J44" s="81">
        <v>37.44</v>
      </c>
      <c r="K44" s="80" t="s">
        <v>313</v>
      </c>
      <c r="L44" s="81">
        <v>180.13</v>
      </c>
      <c r="M44" s="82"/>
      <c r="N44" s="83"/>
      <c r="Z44" s="43" t="s">
        <v>345</v>
      </c>
    </row>
    <row r="45" spans="1:28" s="40" customFormat="1" x14ac:dyDescent="0.2">
      <c r="A45" s="79"/>
      <c r="B45" s="78"/>
      <c r="C45" s="1768" t="s">
        <v>348</v>
      </c>
      <c r="D45" s="1768"/>
      <c r="E45" s="1768"/>
      <c r="F45" s="80" t="s">
        <v>315</v>
      </c>
      <c r="G45" s="80" t="s">
        <v>458</v>
      </c>
      <c r="H45" s="80" t="s">
        <v>313</v>
      </c>
      <c r="I45" s="80" t="s">
        <v>459</v>
      </c>
      <c r="J45" s="81"/>
      <c r="K45" s="80"/>
      <c r="L45" s="81"/>
      <c r="M45" s="82"/>
      <c r="N45" s="83"/>
      <c r="AA45" s="43" t="s">
        <v>348</v>
      </c>
    </row>
    <row r="46" spans="1:28" s="40" customFormat="1" x14ac:dyDescent="0.2">
      <c r="A46" s="79"/>
      <c r="B46" s="78"/>
      <c r="C46" s="1780" t="s">
        <v>318</v>
      </c>
      <c r="D46" s="1780"/>
      <c r="E46" s="1780"/>
      <c r="F46" s="84"/>
      <c r="G46" s="84"/>
      <c r="H46" s="84"/>
      <c r="I46" s="84"/>
      <c r="J46" s="85">
        <v>632.79</v>
      </c>
      <c r="K46" s="84"/>
      <c r="L46" s="85">
        <v>3044.51</v>
      </c>
      <c r="M46" s="86"/>
      <c r="N46" s="87"/>
      <c r="AB46" s="43" t="s">
        <v>318</v>
      </c>
    </row>
    <row r="47" spans="1:28" s="40" customFormat="1" x14ac:dyDescent="0.2">
      <c r="A47" s="79"/>
      <c r="B47" s="78"/>
      <c r="C47" s="1768" t="s">
        <v>319</v>
      </c>
      <c r="D47" s="1768"/>
      <c r="E47" s="1768"/>
      <c r="F47" s="80"/>
      <c r="G47" s="80"/>
      <c r="H47" s="80"/>
      <c r="I47" s="80"/>
      <c r="J47" s="81"/>
      <c r="K47" s="80"/>
      <c r="L47" s="81">
        <v>180.13</v>
      </c>
      <c r="M47" s="82"/>
      <c r="N47" s="83"/>
      <c r="AA47" s="43" t="s">
        <v>319</v>
      </c>
    </row>
    <row r="48" spans="1:28" s="40" customFormat="1" ht="33.75" x14ac:dyDescent="0.2">
      <c r="A48" s="79"/>
      <c r="B48" s="78" t="s">
        <v>460</v>
      </c>
      <c r="C48" s="1768" t="s">
        <v>461</v>
      </c>
      <c r="D48" s="1768"/>
      <c r="E48" s="1768"/>
      <c r="F48" s="80" t="s">
        <v>322</v>
      </c>
      <c r="G48" s="80" t="s">
        <v>462</v>
      </c>
      <c r="H48" s="80"/>
      <c r="I48" s="80" t="s">
        <v>462</v>
      </c>
      <c r="J48" s="81"/>
      <c r="K48" s="80"/>
      <c r="L48" s="81">
        <v>165.72</v>
      </c>
      <c r="M48" s="82"/>
      <c r="N48" s="83"/>
      <c r="AA48" s="43" t="s">
        <v>461</v>
      </c>
    </row>
    <row r="49" spans="1:29" s="40" customFormat="1" ht="33.75" x14ac:dyDescent="0.2">
      <c r="A49" s="79"/>
      <c r="B49" s="78" t="s">
        <v>463</v>
      </c>
      <c r="C49" s="1768" t="s">
        <v>464</v>
      </c>
      <c r="D49" s="1768"/>
      <c r="E49" s="1768"/>
      <c r="F49" s="80" t="s">
        <v>322</v>
      </c>
      <c r="G49" s="80" t="s">
        <v>465</v>
      </c>
      <c r="H49" s="80"/>
      <c r="I49" s="80" t="s">
        <v>465</v>
      </c>
      <c r="J49" s="81"/>
      <c r="K49" s="80"/>
      <c r="L49" s="81">
        <v>82.86</v>
      </c>
      <c r="M49" s="82"/>
      <c r="N49" s="83"/>
      <c r="AA49" s="43" t="s">
        <v>464</v>
      </c>
    </row>
    <row r="50" spans="1:29" s="40" customFormat="1" x14ac:dyDescent="0.2">
      <c r="A50" s="88"/>
      <c r="B50" s="89"/>
      <c r="C50" s="1785" t="s">
        <v>327</v>
      </c>
      <c r="D50" s="1785"/>
      <c r="E50" s="1785"/>
      <c r="F50" s="71"/>
      <c r="G50" s="71"/>
      <c r="H50" s="71"/>
      <c r="I50" s="71"/>
      <c r="J50" s="72"/>
      <c r="K50" s="71"/>
      <c r="L50" s="72">
        <v>3293.09</v>
      </c>
      <c r="M50" s="86"/>
      <c r="N50" s="74"/>
      <c r="AC50" s="43" t="s">
        <v>327</v>
      </c>
    </row>
    <row r="51" spans="1:29" s="40" customFormat="1" ht="56.25" x14ac:dyDescent="0.2">
      <c r="A51" s="69" t="s">
        <v>186</v>
      </c>
      <c r="B51" s="70" t="s">
        <v>466</v>
      </c>
      <c r="C51" s="1785" t="s">
        <v>467</v>
      </c>
      <c r="D51" s="1785"/>
      <c r="E51" s="1785"/>
      <c r="F51" s="71" t="s">
        <v>455</v>
      </c>
      <c r="G51" s="71"/>
      <c r="H51" s="71"/>
      <c r="I51" s="71" t="s">
        <v>456</v>
      </c>
      <c r="J51" s="72"/>
      <c r="K51" s="71"/>
      <c r="L51" s="72"/>
      <c r="M51" s="73"/>
      <c r="N51" s="74"/>
      <c r="W51" s="43" t="s">
        <v>467</v>
      </c>
    </row>
    <row r="52" spans="1:29" s="40" customFormat="1" x14ac:dyDescent="0.2">
      <c r="A52" s="75"/>
      <c r="B52" s="76"/>
      <c r="C52" s="1768" t="s">
        <v>457</v>
      </c>
      <c r="D52" s="1768"/>
      <c r="E52" s="1768"/>
      <c r="F52" s="1768"/>
      <c r="G52" s="1768"/>
      <c r="H52" s="1768"/>
      <c r="I52" s="1768"/>
      <c r="J52" s="1768"/>
      <c r="K52" s="1768"/>
      <c r="L52" s="1768"/>
      <c r="M52" s="1768"/>
      <c r="N52" s="1779"/>
      <c r="X52" s="43" t="s">
        <v>457</v>
      </c>
    </row>
    <row r="53" spans="1:29" s="40" customFormat="1" ht="33.75" x14ac:dyDescent="0.2">
      <c r="A53" s="77"/>
      <c r="B53" s="78" t="s">
        <v>310</v>
      </c>
      <c r="C53" s="1768" t="s">
        <v>311</v>
      </c>
      <c r="D53" s="1768"/>
      <c r="E53" s="1768"/>
      <c r="F53" s="1768"/>
      <c r="G53" s="1768"/>
      <c r="H53" s="1768"/>
      <c r="I53" s="1768"/>
      <c r="J53" s="1768"/>
      <c r="K53" s="1768"/>
      <c r="L53" s="1768"/>
      <c r="M53" s="1768"/>
      <c r="N53" s="1779"/>
      <c r="Y53" s="43" t="s">
        <v>311</v>
      </c>
    </row>
    <row r="54" spans="1:29" s="40" customFormat="1" x14ac:dyDescent="0.2">
      <c r="A54" s="79"/>
      <c r="B54" s="78" t="s">
        <v>186</v>
      </c>
      <c r="C54" s="1768" t="s">
        <v>344</v>
      </c>
      <c r="D54" s="1768"/>
      <c r="E54" s="1768"/>
      <c r="F54" s="80"/>
      <c r="G54" s="80"/>
      <c r="H54" s="80"/>
      <c r="I54" s="80"/>
      <c r="J54" s="81">
        <v>2335.1</v>
      </c>
      <c r="K54" s="80" t="s">
        <v>313</v>
      </c>
      <c r="L54" s="81">
        <v>11234.75</v>
      </c>
      <c r="M54" s="82"/>
      <c r="N54" s="83"/>
      <c r="Z54" s="43" t="s">
        <v>344</v>
      </c>
    </row>
    <row r="55" spans="1:29" s="40" customFormat="1" x14ac:dyDescent="0.2">
      <c r="A55" s="79"/>
      <c r="B55" s="78" t="s">
        <v>187</v>
      </c>
      <c r="C55" s="1768" t="s">
        <v>345</v>
      </c>
      <c r="D55" s="1768"/>
      <c r="E55" s="1768"/>
      <c r="F55" s="80"/>
      <c r="G55" s="80"/>
      <c r="H55" s="80"/>
      <c r="I55" s="80"/>
      <c r="J55" s="81">
        <v>256.5</v>
      </c>
      <c r="K55" s="80" t="s">
        <v>313</v>
      </c>
      <c r="L55" s="81">
        <v>1234.0899999999999</v>
      </c>
      <c r="M55" s="82"/>
      <c r="N55" s="83"/>
      <c r="Z55" s="43" t="s">
        <v>345</v>
      </c>
    </row>
    <row r="56" spans="1:29" s="40" customFormat="1" x14ac:dyDescent="0.2">
      <c r="A56" s="79"/>
      <c r="B56" s="78"/>
      <c r="C56" s="1768" t="s">
        <v>348</v>
      </c>
      <c r="D56" s="1768"/>
      <c r="E56" s="1768"/>
      <c r="F56" s="80" t="s">
        <v>315</v>
      </c>
      <c r="G56" s="80" t="s">
        <v>436</v>
      </c>
      <c r="H56" s="80" t="s">
        <v>313</v>
      </c>
      <c r="I56" s="80" t="s">
        <v>468</v>
      </c>
      <c r="J56" s="81"/>
      <c r="K56" s="80"/>
      <c r="L56" s="81"/>
      <c r="M56" s="82"/>
      <c r="N56" s="83"/>
      <c r="AA56" s="43" t="s">
        <v>348</v>
      </c>
    </row>
    <row r="57" spans="1:29" s="40" customFormat="1" x14ac:dyDescent="0.2">
      <c r="A57" s="79"/>
      <c r="B57" s="78"/>
      <c r="C57" s="1780" t="s">
        <v>318</v>
      </c>
      <c r="D57" s="1780"/>
      <c r="E57" s="1780"/>
      <c r="F57" s="84"/>
      <c r="G57" s="84"/>
      <c r="H57" s="84"/>
      <c r="I57" s="84"/>
      <c r="J57" s="85">
        <v>2335.1</v>
      </c>
      <c r="K57" s="84"/>
      <c r="L57" s="85">
        <v>11234.75</v>
      </c>
      <c r="M57" s="86"/>
      <c r="N57" s="87"/>
      <c r="AB57" s="43" t="s">
        <v>318</v>
      </c>
    </row>
    <row r="58" spans="1:29" s="40" customFormat="1" x14ac:dyDescent="0.2">
      <c r="A58" s="79"/>
      <c r="B58" s="78"/>
      <c r="C58" s="1768" t="s">
        <v>319</v>
      </c>
      <c r="D58" s="1768"/>
      <c r="E58" s="1768"/>
      <c r="F58" s="80"/>
      <c r="G58" s="80"/>
      <c r="H58" s="80"/>
      <c r="I58" s="80"/>
      <c r="J58" s="81"/>
      <c r="K58" s="80"/>
      <c r="L58" s="81">
        <v>1234.0899999999999</v>
      </c>
      <c r="M58" s="82"/>
      <c r="N58" s="83"/>
      <c r="AA58" s="43" t="s">
        <v>319</v>
      </c>
    </row>
    <row r="59" spans="1:29" s="40" customFormat="1" ht="33.75" x14ac:dyDescent="0.2">
      <c r="A59" s="79"/>
      <c r="B59" s="78" t="s">
        <v>460</v>
      </c>
      <c r="C59" s="1768" t="s">
        <v>461</v>
      </c>
      <c r="D59" s="1768"/>
      <c r="E59" s="1768"/>
      <c r="F59" s="80" t="s">
        <v>322</v>
      </c>
      <c r="G59" s="80" t="s">
        <v>462</v>
      </c>
      <c r="H59" s="80"/>
      <c r="I59" s="80" t="s">
        <v>462</v>
      </c>
      <c r="J59" s="81"/>
      <c r="K59" s="80"/>
      <c r="L59" s="81">
        <v>1135.3599999999999</v>
      </c>
      <c r="M59" s="82"/>
      <c r="N59" s="83"/>
      <c r="AA59" s="43" t="s">
        <v>461</v>
      </c>
    </row>
    <row r="60" spans="1:29" s="40" customFormat="1" ht="33.75" x14ac:dyDescent="0.2">
      <c r="A60" s="79"/>
      <c r="B60" s="78" t="s">
        <v>463</v>
      </c>
      <c r="C60" s="1768" t="s">
        <v>464</v>
      </c>
      <c r="D60" s="1768"/>
      <c r="E60" s="1768"/>
      <c r="F60" s="80" t="s">
        <v>322</v>
      </c>
      <c r="G60" s="80" t="s">
        <v>465</v>
      </c>
      <c r="H60" s="80"/>
      <c r="I60" s="80" t="s">
        <v>465</v>
      </c>
      <c r="J60" s="81"/>
      <c r="K60" s="80"/>
      <c r="L60" s="81">
        <v>567.67999999999995</v>
      </c>
      <c r="M60" s="82"/>
      <c r="N60" s="83"/>
      <c r="AA60" s="43" t="s">
        <v>464</v>
      </c>
    </row>
    <row r="61" spans="1:29" s="40" customFormat="1" x14ac:dyDescent="0.2">
      <c r="A61" s="88"/>
      <c r="B61" s="89"/>
      <c r="C61" s="1785" t="s">
        <v>327</v>
      </c>
      <c r="D61" s="1785"/>
      <c r="E61" s="1785"/>
      <c r="F61" s="71"/>
      <c r="G61" s="71"/>
      <c r="H61" s="71"/>
      <c r="I61" s="71"/>
      <c r="J61" s="72"/>
      <c r="K61" s="71"/>
      <c r="L61" s="72">
        <v>12937.79</v>
      </c>
      <c r="M61" s="86"/>
      <c r="N61" s="74"/>
      <c r="AC61" s="43" t="s">
        <v>327</v>
      </c>
    </row>
    <row r="62" spans="1:29" s="40" customFormat="1" ht="45" x14ac:dyDescent="0.2">
      <c r="A62" s="69" t="s">
        <v>187</v>
      </c>
      <c r="B62" s="70" t="s">
        <v>469</v>
      </c>
      <c r="C62" s="1785" t="s">
        <v>470</v>
      </c>
      <c r="D62" s="1785"/>
      <c r="E62" s="1785"/>
      <c r="F62" s="71" t="s">
        <v>201</v>
      </c>
      <c r="G62" s="71"/>
      <c r="H62" s="71"/>
      <c r="I62" s="71" t="s">
        <v>471</v>
      </c>
      <c r="J62" s="72">
        <v>12.6</v>
      </c>
      <c r="K62" s="71"/>
      <c r="L62" s="72">
        <v>67896.36</v>
      </c>
      <c r="M62" s="73"/>
      <c r="N62" s="74"/>
      <c r="W62" s="43" t="s">
        <v>470</v>
      </c>
    </row>
    <row r="63" spans="1:29" s="40" customFormat="1" x14ac:dyDescent="0.2">
      <c r="A63" s="75"/>
      <c r="B63" s="76"/>
      <c r="C63" s="1768" t="s">
        <v>472</v>
      </c>
      <c r="D63" s="1768"/>
      <c r="E63" s="1768"/>
      <c r="F63" s="1768"/>
      <c r="G63" s="1768"/>
      <c r="H63" s="1768"/>
      <c r="I63" s="1768"/>
      <c r="J63" s="1768"/>
      <c r="K63" s="1768"/>
      <c r="L63" s="1768"/>
      <c r="M63" s="1768"/>
      <c r="N63" s="1779"/>
      <c r="X63" s="43" t="s">
        <v>472</v>
      </c>
    </row>
    <row r="64" spans="1:29" s="40" customFormat="1" x14ac:dyDescent="0.2">
      <c r="A64" s="69" t="s">
        <v>188</v>
      </c>
      <c r="B64" s="70" t="s">
        <v>473</v>
      </c>
      <c r="C64" s="1785" t="s">
        <v>474</v>
      </c>
      <c r="D64" s="1785"/>
      <c r="E64" s="1785"/>
      <c r="F64" s="71" t="s">
        <v>455</v>
      </c>
      <c r="G64" s="71"/>
      <c r="H64" s="71"/>
      <c r="I64" s="71" t="s">
        <v>456</v>
      </c>
      <c r="J64" s="72"/>
      <c r="K64" s="71"/>
      <c r="L64" s="72"/>
      <c r="M64" s="73"/>
      <c r="N64" s="74"/>
      <c r="W64" s="43" t="s">
        <v>474</v>
      </c>
    </row>
    <row r="65" spans="1:30" s="40" customFormat="1" x14ac:dyDescent="0.2">
      <c r="A65" s="75"/>
      <c r="B65" s="76"/>
      <c r="C65" s="1768" t="s">
        <v>457</v>
      </c>
      <c r="D65" s="1768"/>
      <c r="E65" s="1768"/>
      <c r="F65" s="1768"/>
      <c r="G65" s="1768"/>
      <c r="H65" s="1768"/>
      <c r="I65" s="1768"/>
      <c r="J65" s="1768"/>
      <c r="K65" s="1768"/>
      <c r="L65" s="1768"/>
      <c r="M65" s="1768"/>
      <c r="N65" s="1779"/>
      <c r="X65" s="43" t="s">
        <v>457</v>
      </c>
    </row>
    <row r="66" spans="1:30" s="40" customFormat="1" ht="33.75" x14ac:dyDescent="0.2">
      <c r="A66" s="77"/>
      <c r="B66" s="78" t="s">
        <v>310</v>
      </c>
      <c r="C66" s="1768" t="s">
        <v>311</v>
      </c>
      <c r="D66" s="1768"/>
      <c r="E66" s="1768"/>
      <c r="F66" s="1768"/>
      <c r="G66" s="1768"/>
      <c r="H66" s="1768"/>
      <c r="I66" s="1768"/>
      <c r="J66" s="1768"/>
      <c r="K66" s="1768"/>
      <c r="L66" s="1768"/>
      <c r="M66" s="1768"/>
      <c r="N66" s="1779"/>
      <c r="Y66" s="43" t="s">
        <v>311</v>
      </c>
    </row>
    <row r="67" spans="1:30" s="40" customFormat="1" x14ac:dyDescent="0.2">
      <c r="A67" s="79"/>
      <c r="B67" s="78" t="s">
        <v>185</v>
      </c>
      <c r="C67" s="1768" t="s">
        <v>312</v>
      </c>
      <c r="D67" s="1768"/>
      <c r="E67" s="1768"/>
      <c r="F67" s="80"/>
      <c r="G67" s="80"/>
      <c r="H67" s="80"/>
      <c r="I67" s="80"/>
      <c r="J67" s="81">
        <v>21.22</v>
      </c>
      <c r="K67" s="80" t="s">
        <v>313</v>
      </c>
      <c r="L67" s="81">
        <v>102.09</v>
      </c>
      <c r="M67" s="82"/>
      <c r="N67" s="83"/>
      <c r="Z67" s="43" t="s">
        <v>312</v>
      </c>
    </row>
    <row r="68" spans="1:30" s="40" customFormat="1" x14ac:dyDescent="0.2">
      <c r="A68" s="79"/>
      <c r="B68" s="78" t="s">
        <v>186</v>
      </c>
      <c r="C68" s="1768" t="s">
        <v>344</v>
      </c>
      <c r="D68" s="1768"/>
      <c r="E68" s="1768"/>
      <c r="F68" s="80"/>
      <c r="G68" s="80"/>
      <c r="H68" s="80"/>
      <c r="I68" s="80"/>
      <c r="J68" s="81">
        <v>240.32</v>
      </c>
      <c r="K68" s="80" t="s">
        <v>313</v>
      </c>
      <c r="L68" s="81">
        <v>1156.24</v>
      </c>
      <c r="M68" s="82"/>
      <c r="N68" s="83"/>
      <c r="Z68" s="43" t="s">
        <v>344</v>
      </c>
    </row>
    <row r="69" spans="1:30" s="40" customFormat="1" x14ac:dyDescent="0.2">
      <c r="A69" s="79"/>
      <c r="B69" s="78" t="s">
        <v>187</v>
      </c>
      <c r="C69" s="1768" t="s">
        <v>345</v>
      </c>
      <c r="D69" s="1768"/>
      <c r="E69" s="1768"/>
      <c r="F69" s="80"/>
      <c r="G69" s="80"/>
      <c r="H69" s="80"/>
      <c r="I69" s="80"/>
      <c r="J69" s="81">
        <v>40.770000000000003</v>
      </c>
      <c r="K69" s="80" t="s">
        <v>313</v>
      </c>
      <c r="L69" s="81">
        <v>196.15</v>
      </c>
      <c r="M69" s="82"/>
      <c r="N69" s="83"/>
      <c r="Z69" s="43" t="s">
        <v>345</v>
      </c>
    </row>
    <row r="70" spans="1:30" s="40" customFormat="1" x14ac:dyDescent="0.2">
      <c r="A70" s="79"/>
      <c r="B70" s="78" t="s">
        <v>188</v>
      </c>
      <c r="C70" s="1768" t="s">
        <v>475</v>
      </c>
      <c r="D70" s="1768"/>
      <c r="E70" s="1768"/>
      <c r="F70" s="80"/>
      <c r="G70" s="80"/>
      <c r="H70" s="80"/>
      <c r="I70" s="80"/>
      <c r="J70" s="81">
        <v>2.17</v>
      </c>
      <c r="K70" s="80"/>
      <c r="L70" s="81">
        <v>8.35</v>
      </c>
      <c r="M70" s="82"/>
      <c r="N70" s="83"/>
      <c r="Z70" s="43" t="s">
        <v>475</v>
      </c>
    </row>
    <row r="71" spans="1:30" s="40" customFormat="1" x14ac:dyDescent="0.2">
      <c r="A71" s="79"/>
      <c r="B71" s="78"/>
      <c r="C71" s="1768" t="s">
        <v>314</v>
      </c>
      <c r="D71" s="1768"/>
      <c r="E71" s="1768"/>
      <c r="F71" s="80" t="s">
        <v>315</v>
      </c>
      <c r="G71" s="80" t="s">
        <v>476</v>
      </c>
      <c r="H71" s="80" t="s">
        <v>313</v>
      </c>
      <c r="I71" s="80" t="s">
        <v>477</v>
      </c>
      <c r="J71" s="81"/>
      <c r="K71" s="80"/>
      <c r="L71" s="81"/>
      <c r="M71" s="82"/>
      <c r="N71" s="83"/>
      <c r="AA71" s="43" t="s">
        <v>314</v>
      </c>
    </row>
    <row r="72" spans="1:30" s="40" customFormat="1" ht="22.5" x14ac:dyDescent="0.2">
      <c r="A72" s="79"/>
      <c r="B72" s="78"/>
      <c r="C72" s="1768" t="s">
        <v>348</v>
      </c>
      <c r="D72" s="1768"/>
      <c r="E72" s="1768"/>
      <c r="F72" s="80" t="s">
        <v>315</v>
      </c>
      <c r="G72" s="80" t="s">
        <v>478</v>
      </c>
      <c r="H72" s="80" t="s">
        <v>313</v>
      </c>
      <c r="I72" s="80" t="s">
        <v>479</v>
      </c>
      <c r="J72" s="81"/>
      <c r="K72" s="80"/>
      <c r="L72" s="81"/>
      <c r="M72" s="82"/>
      <c r="N72" s="83"/>
      <c r="AA72" s="43" t="s">
        <v>348</v>
      </c>
    </row>
    <row r="73" spans="1:30" s="40" customFormat="1" x14ac:dyDescent="0.2">
      <c r="A73" s="79"/>
      <c r="B73" s="78"/>
      <c r="C73" s="1780" t="s">
        <v>318</v>
      </c>
      <c r="D73" s="1780"/>
      <c r="E73" s="1780"/>
      <c r="F73" s="84"/>
      <c r="G73" s="84"/>
      <c r="H73" s="84"/>
      <c r="I73" s="84"/>
      <c r="J73" s="85">
        <v>263.70999999999998</v>
      </c>
      <c r="K73" s="84"/>
      <c r="L73" s="85">
        <v>1266.68</v>
      </c>
      <c r="M73" s="86"/>
      <c r="N73" s="87"/>
      <c r="AB73" s="43" t="s">
        <v>318</v>
      </c>
    </row>
    <row r="74" spans="1:30" s="40" customFormat="1" x14ac:dyDescent="0.2">
      <c r="A74" s="79"/>
      <c r="B74" s="78"/>
      <c r="C74" s="1768" t="s">
        <v>319</v>
      </c>
      <c r="D74" s="1768"/>
      <c r="E74" s="1768"/>
      <c r="F74" s="80"/>
      <c r="G74" s="80"/>
      <c r="H74" s="80"/>
      <c r="I74" s="80"/>
      <c r="J74" s="81"/>
      <c r="K74" s="80"/>
      <c r="L74" s="81">
        <v>298.24</v>
      </c>
      <c r="M74" s="82"/>
      <c r="N74" s="83"/>
      <c r="AA74" s="43" t="s">
        <v>319</v>
      </c>
    </row>
    <row r="75" spans="1:30" s="40" customFormat="1" ht="33.75" x14ac:dyDescent="0.2">
      <c r="A75" s="79"/>
      <c r="B75" s="78" t="s">
        <v>460</v>
      </c>
      <c r="C75" s="1768" t="s">
        <v>461</v>
      </c>
      <c r="D75" s="1768"/>
      <c r="E75" s="1768"/>
      <c r="F75" s="80" t="s">
        <v>322</v>
      </c>
      <c r="G75" s="80" t="s">
        <v>462</v>
      </c>
      <c r="H75" s="80"/>
      <c r="I75" s="80" t="s">
        <v>462</v>
      </c>
      <c r="J75" s="81"/>
      <c r="K75" s="80"/>
      <c r="L75" s="81">
        <v>274.38</v>
      </c>
      <c r="M75" s="82"/>
      <c r="N75" s="83"/>
      <c r="AA75" s="43" t="s">
        <v>461</v>
      </c>
    </row>
    <row r="76" spans="1:30" s="40" customFormat="1" ht="33.75" x14ac:dyDescent="0.2">
      <c r="A76" s="79"/>
      <c r="B76" s="78" t="s">
        <v>463</v>
      </c>
      <c r="C76" s="1768" t="s">
        <v>464</v>
      </c>
      <c r="D76" s="1768"/>
      <c r="E76" s="1768"/>
      <c r="F76" s="80" t="s">
        <v>322</v>
      </c>
      <c r="G76" s="80" t="s">
        <v>465</v>
      </c>
      <c r="H76" s="80"/>
      <c r="I76" s="80" t="s">
        <v>465</v>
      </c>
      <c r="J76" s="81"/>
      <c r="K76" s="80"/>
      <c r="L76" s="81">
        <v>137.19</v>
      </c>
      <c r="M76" s="82"/>
      <c r="N76" s="83"/>
      <c r="AA76" s="43" t="s">
        <v>464</v>
      </c>
    </row>
    <row r="77" spans="1:30" s="40" customFormat="1" x14ac:dyDescent="0.2">
      <c r="A77" s="88"/>
      <c r="B77" s="89"/>
      <c r="C77" s="1785" t="s">
        <v>327</v>
      </c>
      <c r="D77" s="1785"/>
      <c r="E77" s="1785"/>
      <c r="F77" s="71"/>
      <c r="G77" s="71"/>
      <c r="H77" s="71"/>
      <c r="I77" s="71"/>
      <c r="J77" s="72"/>
      <c r="K77" s="71"/>
      <c r="L77" s="72">
        <v>1678.25</v>
      </c>
      <c r="M77" s="86"/>
      <c r="N77" s="74"/>
      <c r="AC77" s="43" t="s">
        <v>327</v>
      </c>
    </row>
    <row r="78" spans="1:30" s="40" customFormat="1" ht="1.5" customHeight="1" x14ac:dyDescent="0.2">
      <c r="A78" s="90"/>
      <c r="B78" s="89"/>
      <c r="C78" s="89"/>
      <c r="D78" s="89"/>
      <c r="E78" s="89"/>
      <c r="F78" s="90"/>
      <c r="G78" s="90"/>
      <c r="H78" s="90"/>
      <c r="I78" s="90"/>
      <c r="J78" s="91"/>
      <c r="K78" s="90"/>
      <c r="L78" s="91"/>
      <c r="M78" s="80"/>
      <c r="N78" s="91"/>
    </row>
    <row r="79" spans="1:30" s="40" customFormat="1" ht="2.25" customHeight="1" x14ac:dyDescent="0.2"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105"/>
      <c r="M79" s="106"/>
      <c r="N79" s="107"/>
    </row>
    <row r="80" spans="1:30" s="40" customFormat="1" x14ac:dyDescent="0.2">
      <c r="A80" s="92"/>
      <c r="B80" s="93"/>
      <c r="C80" s="1785" t="s">
        <v>205</v>
      </c>
      <c r="D80" s="1785"/>
      <c r="E80" s="1785"/>
      <c r="F80" s="1785"/>
      <c r="G80" s="1785"/>
      <c r="H80" s="1785"/>
      <c r="I80" s="1785"/>
      <c r="J80" s="1785"/>
      <c r="K80" s="1785"/>
      <c r="L80" s="94"/>
      <c r="M80" s="95"/>
      <c r="N80" s="96"/>
      <c r="AD80" s="43" t="s">
        <v>205</v>
      </c>
    </row>
    <row r="81" spans="1:31" s="40" customFormat="1" x14ac:dyDescent="0.2">
      <c r="A81" s="97"/>
      <c r="B81" s="78"/>
      <c r="C81" s="1768" t="s">
        <v>403</v>
      </c>
      <c r="D81" s="1768"/>
      <c r="E81" s="1768"/>
      <c r="F81" s="1768"/>
      <c r="G81" s="1768"/>
      <c r="H81" s="1768"/>
      <c r="I81" s="1768"/>
      <c r="J81" s="1768"/>
      <c r="K81" s="1768"/>
      <c r="L81" s="98">
        <v>83442.3</v>
      </c>
      <c r="M81" s="99"/>
      <c r="N81" s="100"/>
      <c r="AE81" s="43" t="s">
        <v>403</v>
      </c>
    </row>
    <row r="82" spans="1:31" s="40" customFormat="1" x14ac:dyDescent="0.2">
      <c r="A82" s="97"/>
      <c r="B82" s="78"/>
      <c r="C82" s="1768" t="s">
        <v>204</v>
      </c>
      <c r="D82" s="1768"/>
      <c r="E82" s="1768"/>
      <c r="F82" s="1768"/>
      <c r="G82" s="1768"/>
      <c r="H82" s="1768"/>
      <c r="I82" s="1768"/>
      <c r="J82" s="1768"/>
      <c r="K82" s="1768"/>
      <c r="L82" s="98"/>
      <c r="M82" s="99"/>
      <c r="N82" s="100"/>
      <c r="AE82" s="43" t="s">
        <v>204</v>
      </c>
    </row>
    <row r="83" spans="1:31" s="40" customFormat="1" x14ac:dyDescent="0.2">
      <c r="A83" s="97"/>
      <c r="B83" s="78"/>
      <c r="C83" s="1768" t="s">
        <v>404</v>
      </c>
      <c r="D83" s="1768"/>
      <c r="E83" s="1768"/>
      <c r="F83" s="1768"/>
      <c r="G83" s="1768"/>
      <c r="H83" s="1768"/>
      <c r="I83" s="1768"/>
      <c r="J83" s="1768"/>
      <c r="K83" s="1768"/>
      <c r="L83" s="98">
        <v>102.09</v>
      </c>
      <c r="M83" s="99"/>
      <c r="N83" s="100"/>
      <c r="AE83" s="43" t="s">
        <v>404</v>
      </c>
    </row>
    <row r="84" spans="1:31" s="40" customFormat="1" x14ac:dyDescent="0.2">
      <c r="A84" s="97"/>
      <c r="B84" s="78"/>
      <c r="C84" s="1768" t="s">
        <v>405</v>
      </c>
      <c r="D84" s="1768"/>
      <c r="E84" s="1768"/>
      <c r="F84" s="1768"/>
      <c r="G84" s="1768"/>
      <c r="H84" s="1768"/>
      <c r="I84" s="1768"/>
      <c r="J84" s="1768"/>
      <c r="K84" s="1768"/>
      <c r="L84" s="98">
        <v>83331.86</v>
      </c>
      <c r="M84" s="99"/>
      <c r="N84" s="100"/>
      <c r="AE84" s="43" t="s">
        <v>405</v>
      </c>
    </row>
    <row r="85" spans="1:31" s="40" customFormat="1" x14ac:dyDescent="0.2">
      <c r="A85" s="97"/>
      <c r="B85" s="78"/>
      <c r="C85" s="1768" t="s">
        <v>406</v>
      </c>
      <c r="D85" s="1768"/>
      <c r="E85" s="1768"/>
      <c r="F85" s="1768"/>
      <c r="G85" s="1768"/>
      <c r="H85" s="1768"/>
      <c r="I85" s="1768"/>
      <c r="J85" s="1768"/>
      <c r="K85" s="1768"/>
      <c r="L85" s="98">
        <v>1610.37</v>
      </c>
      <c r="M85" s="99"/>
      <c r="N85" s="100"/>
      <c r="AE85" s="43" t="s">
        <v>406</v>
      </c>
    </row>
    <row r="86" spans="1:31" s="40" customFormat="1" x14ac:dyDescent="0.2">
      <c r="A86" s="97"/>
      <c r="B86" s="78"/>
      <c r="C86" s="1768" t="s">
        <v>480</v>
      </c>
      <c r="D86" s="1768"/>
      <c r="E86" s="1768"/>
      <c r="F86" s="1768"/>
      <c r="G86" s="1768"/>
      <c r="H86" s="1768"/>
      <c r="I86" s="1768"/>
      <c r="J86" s="1768"/>
      <c r="K86" s="1768"/>
      <c r="L86" s="98">
        <v>8.35</v>
      </c>
      <c r="M86" s="99"/>
      <c r="N86" s="100"/>
      <c r="AE86" s="43" t="s">
        <v>480</v>
      </c>
    </row>
    <row r="87" spans="1:31" s="40" customFormat="1" x14ac:dyDescent="0.2">
      <c r="A87" s="97"/>
      <c r="B87" s="78"/>
      <c r="C87" s="1768" t="s">
        <v>407</v>
      </c>
      <c r="D87" s="1768"/>
      <c r="E87" s="1768"/>
      <c r="F87" s="1768"/>
      <c r="G87" s="1768"/>
      <c r="H87" s="1768"/>
      <c r="I87" s="1768"/>
      <c r="J87" s="1768"/>
      <c r="K87" s="1768"/>
      <c r="L87" s="98">
        <v>85805.49</v>
      </c>
      <c r="M87" s="99"/>
      <c r="N87" s="100">
        <v>713902</v>
      </c>
      <c r="AE87" s="43" t="s">
        <v>407</v>
      </c>
    </row>
    <row r="88" spans="1:31" s="40" customFormat="1" x14ac:dyDescent="0.2">
      <c r="A88" s="97"/>
      <c r="B88" s="78" t="s">
        <v>185</v>
      </c>
      <c r="C88" s="1768" t="s">
        <v>408</v>
      </c>
      <c r="D88" s="1768"/>
      <c r="E88" s="1768"/>
      <c r="F88" s="1768"/>
      <c r="G88" s="1768"/>
      <c r="H88" s="1768"/>
      <c r="I88" s="1768"/>
      <c r="J88" s="1768"/>
      <c r="K88" s="1768"/>
      <c r="L88" s="98">
        <v>17909.13</v>
      </c>
      <c r="M88" s="99">
        <v>8.32</v>
      </c>
      <c r="N88" s="100">
        <v>149004</v>
      </c>
      <c r="AE88" s="43" t="s">
        <v>408</v>
      </c>
    </row>
    <row r="89" spans="1:31" s="40" customFormat="1" x14ac:dyDescent="0.2">
      <c r="A89" s="97"/>
      <c r="B89" s="78"/>
      <c r="C89" s="1768" t="s">
        <v>409</v>
      </c>
      <c r="D89" s="1768"/>
      <c r="E89" s="1768"/>
      <c r="F89" s="1768"/>
      <c r="G89" s="1768"/>
      <c r="H89" s="1768"/>
      <c r="I89" s="1768"/>
      <c r="J89" s="1768"/>
      <c r="K89" s="1768"/>
      <c r="L89" s="98"/>
      <c r="M89" s="99"/>
      <c r="N89" s="100"/>
      <c r="AE89" s="43" t="s">
        <v>409</v>
      </c>
    </row>
    <row r="90" spans="1:31" s="40" customFormat="1" x14ac:dyDescent="0.2">
      <c r="A90" s="97"/>
      <c r="B90" s="78"/>
      <c r="C90" s="1768" t="s">
        <v>410</v>
      </c>
      <c r="D90" s="1768"/>
      <c r="E90" s="1768"/>
      <c r="F90" s="1768"/>
      <c r="G90" s="1768"/>
      <c r="H90" s="1768"/>
      <c r="I90" s="1768"/>
      <c r="J90" s="1768"/>
      <c r="K90" s="1768"/>
      <c r="L90" s="98">
        <v>102.09</v>
      </c>
      <c r="M90" s="99"/>
      <c r="N90" s="100"/>
      <c r="AE90" s="43" t="s">
        <v>410</v>
      </c>
    </row>
    <row r="91" spans="1:31" s="40" customFormat="1" x14ac:dyDescent="0.2">
      <c r="A91" s="97"/>
      <c r="B91" s="78"/>
      <c r="C91" s="1768" t="s">
        <v>411</v>
      </c>
      <c r="D91" s="1768"/>
      <c r="E91" s="1768"/>
      <c r="F91" s="1768"/>
      <c r="G91" s="1768"/>
      <c r="H91" s="1768"/>
      <c r="I91" s="1768"/>
      <c r="J91" s="1768"/>
      <c r="K91" s="1768"/>
      <c r="L91" s="98">
        <v>15435.5</v>
      </c>
      <c r="M91" s="99"/>
      <c r="N91" s="100"/>
      <c r="AE91" s="43" t="s">
        <v>411</v>
      </c>
    </row>
    <row r="92" spans="1:31" s="40" customFormat="1" x14ac:dyDescent="0.2">
      <c r="A92" s="97"/>
      <c r="B92" s="78"/>
      <c r="C92" s="1768" t="s">
        <v>481</v>
      </c>
      <c r="D92" s="1768"/>
      <c r="E92" s="1768"/>
      <c r="F92" s="1768"/>
      <c r="G92" s="1768"/>
      <c r="H92" s="1768"/>
      <c r="I92" s="1768"/>
      <c r="J92" s="1768"/>
      <c r="K92" s="1768"/>
      <c r="L92" s="98">
        <v>8.35</v>
      </c>
      <c r="M92" s="99"/>
      <c r="N92" s="100"/>
      <c r="AE92" s="43" t="s">
        <v>481</v>
      </c>
    </row>
    <row r="93" spans="1:31" s="40" customFormat="1" x14ac:dyDescent="0.2">
      <c r="A93" s="97"/>
      <c r="B93" s="78"/>
      <c r="C93" s="1768" t="s">
        <v>412</v>
      </c>
      <c r="D93" s="1768"/>
      <c r="E93" s="1768"/>
      <c r="F93" s="1768"/>
      <c r="G93" s="1768"/>
      <c r="H93" s="1768"/>
      <c r="I93" s="1768"/>
      <c r="J93" s="1768"/>
      <c r="K93" s="1768"/>
      <c r="L93" s="98">
        <v>1575.46</v>
      </c>
      <c r="M93" s="99"/>
      <c r="N93" s="100"/>
      <c r="AE93" s="43" t="s">
        <v>412</v>
      </c>
    </row>
    <row r="94" spans="1:31" s="40" customFormat="1" x14ac:dyDescent="0.2">
      <c r="A94" s="97"/>
      <c r="B94" s="78"/>
      <c r="C94" s="1768" t="s">
        <v>413</v>
      </c>
      <c r="D94" s="1768"/>
      <c r="E94" s="1768"/>
      <c r="F94" s="1768"/>
      <c r="G94" s="1768"/>
      <c r="H94" s="1768"/>
      <c r="I94" s="1768"/>
      <c r="J94" s="1768"/>
      <c r="K94" s="1768"/>
      <c r="L94" s="98">
        <v>787.73</v>
      </c>
      <c r="M94" s="99"/>
      <c r="N94" s="100"/>
      <c r="AE94" s="43" t="s">
        <v>413</v>
      </c>
    </row>
    <row r="95" spans="1:31" s="40" customFormat="1" x14ac:dyDescent="0.2">
      <c r="A95" s="97"/>
      <c r="B95" s="78" t="s">
        <v>185</v>
      </c>
      <c r="C95" s="1768" t="s">
        <v>414</v>
      </c>
      <c r="D95" s="1768"/>
      <c r="E95" s="1768"/>
      <c r="F95" s="1768"/>
      <c r="G95" s="1768"/>
      <c r="H95" s="1768"/>
      <c r="I95" s="1768"/>
      <c r="J95" s="1768"/>
      <c r="K95" s="1768"/>
      <c r="L95" s="98">
        <v>67896.36</v>
      </c>
      <c r="M95" s="99">
        <v>8.32</v>
      </c>
      <c r="N95" s="100">
        <v>564898</v>
      </c>
      <c r="AE95" s="43" t="s">
        <v>414</v>
      </c>
    </row>
    <row r="96" spans="1:31" s="40" customFormat="1" x14ac:dyDescent="0.2">
      <c r="A96" s="97"/>
      <c r="B96" s="78"/>
      <c r="C96" s="1768" t="s">
        <v>415</v>
      </c>
      <c r="D96" s="1768"/>
      <c r="E96" s="1768"/>
      <c r="F96" s="1768"/>
      <c r="G96" s="1768"/>
      <c r="H96" s="1768"/>
      <c r="I96" s="1768"/>
      <c r="J96" s="1768"/>
      <c r="K96" s="1768"/>
      <c r="L96" s="98">
        <v>1712.46</v>
      </c>
      <c r="M96" s="99"/>
      <c r="N96" s="100"/>
      <c r="AE96" s="43" t="s">
        <v>415</v>
      </c>
    </row>
    <row r="97" spans="1:33" x14ac:dyDescent="0.2">
      <c r="A97" s="97"/>
      <c r="B97" s="78"/>
      <c r="C97" s="1768" t="s">
        <v>416</v>
      </c>
      <c r="D97" s="1768"/>
      <c r="E97" s="1768"/>
      <c r="F97" s="1768"/>
      <c r="G97" s="1768"/>
      <c r="H97" s="1768"/>
      <c r="I97" s="1768"/>
      <c r="J97" s="1768"/>
      <c r="K97" s="1768"/>
      <c r="L97" s="98">
        <v>1575.46</v>
      </c>
      <c r="M97" s="99"/>
      <c r="N97" s="10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3" t="s">
        <v>416</v>
      </c>
      <c r="AF97" s="40"/>
      <c r="AG97" s="40"/>
    </row>
    <row r="98" spans="1:33" x14ac:dyDescent="0.2">
      <c r="A98" s="97"/>
      <c r="B98" s="78"/>
      <c r="C98" s="1768" t="s">
        <v>417</v>
      </c>
      <c r="D98" s="1768"/>
      <c r="E98" s="1768"/>
      <c r="F98" s="1768"/>
      <c r="G98" s="1768"/>
      <c r="H98" s="1768"/>
      <c r="I98" s="1768"/>
      <c r="J98" s="1768"/>
      <c r="K98" s="1768"/>
      <c r="L98" s="98">
        <v>787.73</v>
      </c>
      <c r="M98" s="99"/>
      <c r="N98" s="10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3" t="s">
        <v>417</v>
      </c>
      <c r="AF98" s="40"/>
      <c r="AG98" s="40"/>
    </row>
    <row r="99" spans="1:33" x14ac:dyDescent="0.2">
      <c r="A99" s="97"/>
      <c r="B99" s="91"/>
      <c r="C99" s="1787" t="s">
        <v>206</v>
      </c>
      <c r="D99" s="1787"/>
      <c r="E99" s="1787"/>
      <c r="F99" s="1787"/>
      <c r="G99" s="1787"/>
      <c r="H99" s="1787"/>
      <c r="I99" s="1787"/>
      <c r="J99" s="1787"/>
      <c r="K99" s="1787"/>
      <c r="L99" s="102">
        <v>85805.49</v>
      </c>
      <c r="M99" s="103"/>
      <c r="N99" s="108">
        <v>713902</v>
      </c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3" t="s">
        <v>206</v>
      </c>
      <c r="AG99" s="40"/>
    </row>
    <row r="100" spans="1:33" ht="1.5" customHeight="1" x14ac:dyDescent="0.2">
      <c r="B100" s="91"/>
      <c r="C100" s="89"/>
      <c r="D100" s="89"/>
      <c r="E100" s="89"/>
      <c r="F100" s="89"/>
      <c r="G100" s="89"/>
      <c r="H100" s="89"/>
      <c r="I100" s="89"/>
      <c r="J100" s="89"/>
      <c r="K100" s="89"/>
      <c r="L100" s="102"/>
      <c r="M100" s="103"/>
      <c r="N100" s="109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</row>
    <row r="101" spans="1:33" ht="53.25" customHeight="1" x14ac:dyDescent="0.2">
      <c r="A101" s="110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</row>
    <row r="102" spans="1:33" x14ac:dyDescent="0.2">
      <c r="B102" s="111" t="s">
        <v>149</v>
      </c>
      <c r="C102" s="1789" t="s">
        <v>296</v>
      </c>
      <c r="D102" s="1789"/>
      <c r="E102" s="1789"/>
      <c r="F102" s="1789"/>
      <c r="G102" s="1789"/>
      <c r="H102" s="1789"/>
      <c r="I102" s="1789"/>
      <c r="J102" s="1789"/>
      <c r="K102" s="1789"/>
      <c r="L102" s="1789"/>
      <c r="O102" s="40"/>
    </row>
    <row r="103" spans="1:33" ht="13.5" customHeight="1" x14ac:dyDescent="0.2">
      <c r="B103" s="41"/>
      <c r="C103" s="1788" t="s">
        <v>150</v>
      </c>
      <c r="D103" s="1788"/>
      <c r="E103" s="1788"/>
      <c r="F103" s="1788"/>
      <c r="G103" s="1788"/>
      <c r="H103" s="1788"/>
      <c r="I103" s="1788"/>
      <c r="J103" s="1788"/>
      <c r="K103" s="1788"/>
      <c r="L103" s="1788"/>
      <c r="O103" s="40"/>
    </row>
    <row r="104" spans="1:33" ht="12.75" customHeight="1" x14ac:dyDescent="0.2">
      <c r="B104" s="111" t="s">
        <v>151</v>
      </c>
      <c r="C104" s="1789" t="s">
        <v>297</v>
      </c>
      <c r="D104" s="1789"/>
      <c r="E104" s="1789"/>
      <c r="F104" s="1789"/>
      <c r="G104" s="1789"/>
      <c r="H104" s="1789"/>
      <c r="I104" s="1789"/>
      <c r="J104" s="1789"/>
      <c r="K104" s="1789"/>
      <c r="L104" s="1789"/>
      <c r="O104" s="40"/>
    </row>
    <row r="105" spans="1:33" ht="13.5" customHeight="1" x14ac:dyDescent="0.2">
      <c r="C105" s="1788" t="s">
        <v>150</v>
      </c>
      <c r="D105" s="1788"/>
      <c r="E105" s="1788"/>
      <c r="F105" s="1788"/>
      <c r="G105" s="1788"/>
      <c r="H105" s="1788"/>
      <c r="I105" s="1788"/>
      <c r="J105" s="1788"/>
      <c r="K105" s="1788"/>
      <c r="L105" s="1788"/>
      <c r="O105" s="40"/>
    </row>
    <row r="107" spans="1:33" x14ac:dyDescent="0.2">
      <c r="A107" s="1790"/>
      <c r="B107" s="1790"/>
      <c r="C107" s="1790"/>
      <c r="D107" s="1790"/>
      <c r="E107" s="1790"/>
      <c r="F107" s="1790"/>
      <c r="G107" s="1790"/>
      <c r="H107" s="1790"/>
      <c r="I107" s="1790"/>
      <c r="J107" s="1790"/>
      <c r="K107" s="1790"/>
      <c r="L107" s="1790"/>
      <c r="M107" s="1790"/>
      <c r="N107" s="179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3" t="s">
        <v>143</v>
      </c>
    </row>
    <row r="108" spans="1:33" x14ac:dyDescent="0.2">
      <c r="B108" s="112"/>
      <c r="D108" s="112"/>
      <c r="F108" s="112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</row>
  </sheetData>
  <mergeCells count="90">
    <mergeCell ref="C105:L105"/>
    <mergeCell ref="A107:N107"/>
    <mergeCell ref="C97:K97"/>
    <mergeCell ref="C98:K98"/>
    <mergeCell ref="C99:K99"/>
    <mergeCell ref="C102:L102"/>
    <mergeCell ref="C103:L103"/>
    <mergeCell ref="C104:L104"/>
    <mergeCell ref="C96:K96"/>
    <mergeCell ref="C85:K85"/>
    <mergeCell ref="C86:K86"/>
    <mergeCell ref="C87:K87"/>
    <mergeCell ref="C88:K88"/>
    <mergeCell ref="C89:K89"/>
    <mergeCell ref="C90:K90"/>
    <mergeCell ref="C91:K91"/>
    <mergeCell ref="C92:K92"/>
    <mergeCell ref="C93:K93"/>
    <mergeCell ref="C94:K94"/>
    <mergeCell ref="C95:K95"/>
    <mergeCell ref="C84:K84"/>
    <mergeCell ref="C71:E71"/>
    <mergeCell ref="C72:E72"/>
    <mergeCell ref="C73:E73"/>
    <mergeCell ref="C74:E74"/>
    <mergeCell ref="C75:E75"/>
    <mergeCell ref="C76:E76"/>
    <mergeCell ref="C77:E77"/>
    <mergeCell ref="C80:K80"/>
    <mergeCell ref="C81:K81"/>
    <mergeCell ref="C82:K82"/>
    <mergeCell ref="C83:K83"/>
    <mergeCell ref="C46:E46"/>
    <mergeCell ref="C70:E70"/>
    <mergeCell ref="C59:E59"/>
    <mergeCell ref="C60:E60"/>
    <mergeCell ref="C61:E61"/>
    <mergeCell ref="C62:E62"/>
    <mergeCell ref="C63:N63"/>
    <mergeCell ref="C64:E64"/>
    <mergeCell ref="C65:N65"/>
    <mergeCell ref="C66:N66"/>
    <mergeCell ref="C67:E67"/>
    <mergeCell ref="C68:E68"/>
    <mergeCell ref="C69:E69"/>
    <mergeCell ref="C58:E58"/>
    <mergeCell ref="C47:E47"/>
    <mergeCell ref="C48:E48"/>
    <mergeCell ref="C49:E49"/>
    <mergeCell ref="C50:E50"/>
    <mergeCell ref="C51:E51"/>
    <mergeCell ref="C52:N52"/>
    <mergeCell ref="C53:N53"/>
    <mergeCell ref="C54:E54"/>
    <mergeCell ref="C55:E55"/>
    <mergeCell ref="C56:E56"/>
    <mergeCell ref="C57:E57"/>
    <mergeCell ref="N35:N37"/>
    <mergeCell ref="C38:E38"/>
    <mergeCell ref="A39:N39"/>
    <mergeCell ref="G35:I36"/>
    <mergeCell ref="C45:E45"/>
    <mergeCell ref="C41:N41"/>
    <mergeCell ref="C42:N42"/>
    <mergeCell ref="C43:E43"/>
    <mergeCell ref="C44:E44"/>
    <mergeCell ref="C40:E40"/>
    <mergeCell ref="A35:A37"/>
    <mergeCell ref="B35:B37"/>
    <mergeCell ref="C35:E37"/>
    <mergeCell ref="F35:F37"/>
    <mergeCell ref="J35:L36"/>
    <mergeCell ref="M35:M37"/>
    <mergeCell ref="A18:N18"/>
    <mergeCell ref="A20:N20"/>
    <mergeCell ref="A21:N21"/>
    <mergeCell ref="B23:F23"/>
    <mergeCell ref="B24:F24"/>
    <mergeCell ref="L33:M33"/>
    <mergeCell ref="A4:C4"/>
    <mergeCell ref="K4:N4"/>
    <mergeCell ref="A5:D5"/>
    <mergeCell ref="J5:N5"/>
    <mergeCell ref="A6:D6"/>
    <mergeCell ref="J6:N6"/>
    <mergeCell ref="D10:N10"/>
    <mergeCell ref="A13:N13"/>
    <mergeCell ref="A14:N14"/>
    <mergeCell ref="A16:N16"/>
    <mergeCell ref="A17:N17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107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6">
    <pageSetUpPr fitToPage="1"/>
  </sheetPr>
  <dimension ref="B1:I36"/>
  <sheetViews>
    <sheetView showGridLines="0" topLeftCell="B5" zoomScale="115" zoomScaleNormal="115" workbookViewId="0"/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447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 t="s">
        <v>17</v>
      </c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519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482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143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37.409999999999997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507"/>
      <c r="F15" s="508">
        <v>457</v>
      </c>
      <c r="G15" s="509"/>
      <c r="H15" s="9" t="s">
        <v>483</v>
      </c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507"/>
      <c r="F17" s="508">
        <v>0.08</v>
      </c>
      <c r="G17" s="509"/>
      <c r="H17" s="9" t="s">
        <v>279</v>
      </c>
      <c r="I17" s="9"/>
    </row>
    <row r="18" spans="2:9" x14ac:dyDescent="0.2">
      <c r="B18" s="6"/>
      <c r="C18" s="24" t="s">
        <v>286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x14ac:dyDescent="0.2">
      <c r="B26" s="511">
        <v>1</v>
      </c>
      <c r="C26" s="512" t="s">
        <v>485</v>
      </c>
      <c r="D26" s="513" t="s">
        <v>6721</v>
      </c>
      <c r="E26" s="514">
        <v>33.619999999999997</v>
      </c>
      <c r="F26" s="514"/>
      <c r="G26" s="514"/>
      <c r="H26" s="514"/>
      <c r="I26" s="514">
        <v>33.619999999999997</v>
      </c>
    </row>
    <row r="27" spans="2:9" x14ac:dyDescent="0.2">
      <c r="B27" s="511">
        <v>2</v>
      </c>
      <c r="C27" s="512" t="s">
        <v>486</v>
      </c>
      <c r="D27" s="513" t="s">
        <v>6722</v>
      </c>
      <c r="E27" s="514">
        <v>2.06</v>
      </c>
      <c r="F27" s="514"/>
      <c r="G27" s="514"/>
      <c r="H27" s="514"/>
      <c r="I27" s="514">
        <v>2.06</v>
      </c>
    </row>
    <row r="28" spans="2:9" x14ac:dyDescent="0.2">
      <c r="B28" s="511">
        <v>3</v>
      </c>
      <c r="C28" s="512" t="s">
        <v>6723</v>
      </c>
      <c r="D28" s="513" t="s">
        <v>6724</v>
      </c>
      <c r="E28" s="514">
        <v>1.08</v>
      </c>
      <c r="F28" s="514">
        <v>0.65</v>
      </c>
      <c r="G28" s="514"/>
      <c r="H28" s="514"/>
      <c r="I28" s="514">
        <v>1.73</v>
      </c>
    </row>
    <row r="29" spans="2:9" x14ac:dyDescent="0.2">
      <c r="B29" s="511" t="s">
        <v>143</v>
      </c>
      <c r="C29" s="512" t="s">
        <v>143</v>
      </c>
      <c r="D29" s="513" t="s">
        <v>6725</v>
      </c>
      <c r="E29" s="514">
        <v>36.76</v>
      </c>
      <c r="F29" s="514">
        <v>0.65</v>
      </c>
      <c r="G29" s="514"/>
      <c r="H29" s="514"/>
      <c r="I29" s="514">
        <v>37.409999999999997</v>
      </c>
    </row>
    <row r="30" spans="2:9" x14ac:dyDescent="0.2">
      <c r="B30" s="511" t="s">
        <v>143</v>
      </c>
      <c r="C30" s="512" t="s">
        <v>143</v>
      </c>
      <c r="D30" s="515" t="s">
        <v>294</v>
      </c>
      <c r="E30" s="527">
        <v>36.76</v>
      </c>
      <c r="F30" s="527">
        <v>0.65</v>
      </c>
      <c r="G30" s="527"/>
      <c r="H30" s="527"/>
      <c r="I30" s="527">
        <v>37.409999999999997</v>
      </c>
    </row>
    <row r="31" spans="2:9" x14ac:dyDescent="0.2">
      <c r="B31" s="31"/>
      <c r="C31" s="32"/>
      <c r="D31" s="33"/>
      <c r="E31" s="34"/>
      <c r="F31" s="34"/>
      <c r="G31" s="34"/>
      <c r="H31" s="34"/>
      <c r="I31" s="34"/>
    </row>
    <row r="33" spans="2:9" ht="15" x14ac:dyDescent="0.2">
      <c r="B33" s="35" t="s">
        <v>149</v>
      </c>
      <c r="D33" s="516"/>
      <c r="E33" s="517"/>
      <c r="F33" s="516"/>
      <c r="G33" s="516" t="s">
        <v>296</v>
      </c>
      <c r="I33" s="518"/>
    </row>
    <row r="34" spans="2:9" ht="15" x14ac:dyDescent="0.2">
      <c r="C34" s="39"/>
      <c r="D34" s="1793" t="s">
        <v>150</v>
      </c>
      <c r="E34" s="1793"/>
      <c r="F34" s="1793"/>
      <c r="G34" s="1793"/>
      <c r="H34" s="1793"/>
      <c r="I34" s="1793"/>
    </row>
    <row r="35" spans="2:9" ht="15" x14ac:dyDescent="0.2">
      <c r="B35" s="35" t="s">
        <v>151</v>
      </c>
      <c r="D35" s="516"/>
      <c r="E35" s="517"/>
      <c r="F35" s="516"/>
      <c r="G35" s="516" t="s">
        <v>297</v>
      </c>
      <c r="H35" s="517"/>
      <c r="I35" s="518"/>
    </row>
    <row r="36" spans="2:9" x14ac:dyDescent="0.2">
      <c r="D36" s="1793" t="s">
        <v>150</v>
      </c>
      <c r="E36" s="1793"/>
      <c r="F36" s="1793"/>
      <c r="G36" s="1793"/>
      <c r="H36" s="1793"/>
      <c r="I36" s="1793"/>
    </row>
  </sheetData>
  <mergeCells count="18">
    <mergeCell ref="B11:I11"/>
    <mergeCell ref="C3:H3"/>
    <mergeCell ref="D4:G4"/>
    <mergeCell ref="C5:H5"/>
    <mergeCell ref="D6:G6"/>
    <mergeCell ref="D10:H10"/>
    <mergeCell ref="B25:I25"/>
    <mergeCell ref="D34:I34"/>
    <mergeCell ref="D36:I36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"/>
  <sheetViews>
    <sheetView workbookViewId="0">
      <selection activeCell="K25" sqref="K25"/>
    </sheetView>
  </sheetViews>
  <sheetFormatPr defaultRowHeight="15" x14ac:dyDescent="0.25"/>
  <cols>
    <col min="1" max="16384" width="9.140625" style="4"/>
  </cols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7">
    <pageSetUpPr fitToPage="1"/>
  </sheetPr>
  <dimension ref="B1:I37"/>
  <sheetViews>
    <sheetView showGridLines="0" topLeftCell="B12" zoomScale="115" zoomScaleNormal="115" workbookViewId="0">
      <selection activeCell="B26" sqref="B26:I28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447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 t="s">
        <v>17</v>
      </c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519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482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143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313.83999999999997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507"/>
      <c r="F15" s="508">
        <v>457</v>
      </c>
      <c r="G15" s="509"/>
      <c r="H15" s="9" t="s">
        <v>483</v>
      </c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507"/>
      <c r="F17" s="508">
        <v>0.68600000000000005</v>
      </c>
      <c r="G17" s="509"/>
      <c r="H17" s="9" t="s">
        <v>279</v>
      </c>
      <c r="I17" s="9"/>
    </row>
    <row r="18" spans="2:9" x14ac:dyDescent="0.2">
      <c r="B18" s="6"/>
      <c r="C18" s="24" t="s">
        <v>487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x14ac:dyDescent="0.2">
      <c r="B26" s="511">
        <v>1</v>
      </c>
      <c r="C26" s="512" t="s">
        <v>485</v>
      </c>
      <c r="D26" s="513" t="s">
        <v>6721</v>
      </c>
      <c r="E26" s="514">
        <v>279.74</v>
      </c>
      <c r="F26" s="514"/>
      <c r="G26" s="514"/>
      <c r="H26" s="514"/>
      <c r="I26" s="514">
        <v>279.74</v>
      </c>
    </row>
    <row r="27" spans="2:9" x14ac:dyDescent="0.2">
      <c r="B27" s="511">
        <v>2</v>
      </c>
      <c r="C27" s="512" t="s">
        <v>486</v>
      </c>
      <c r="D27" s="513" t="s">
        <v>6722</v>
      </c>
      <c r="E27" s="514">
        <v>17.18</v>
      </c>
      <c r="F27" s="514"/>
      <c r="G27" s="514"/>
      <c r="H27" s="514"/>
      <c r="I27" s="514">
        <v>17.18</v>
      </c>
    </row>
    <row r="28" spans="2:9" x14ac:dyDescent="0.2">
      <c r="B28" s="511">
        <v>3</v>
      </c>
      <c r="C28" s="512" t="s">
        <v>6723</v>
      </c>
      <c r="D28" s="513" t="s">
        <v>6724</v>
      </c>
      <c r="E28" s="514">
        <v>10.53</v>
      </c>
      <c r="F28" s="514">
        <v>6.39</v>
      </c>
      <c r="G28" s="514"/>
      <c r="H28" s="514"/>
      <c r="I28" s="514">
        <v>16.920000000000002</v>
      </c>
    </row>
    <row r="29" spans="2:9" x14ac:dyDescent="0.2">
      <c r="B29" s="511" t="s">
        <v>143</v>
      </c>
      <c r="C29" s="512" t="s">
        <v>143</v>
      </c>
      <c r="D29" s="513" t="s">
        <v>6725</v>
      </c>
      <c r="E29" s="514">
        <v>307.45</v>
      </c>
      <c r="F29" s="514">
        <v>6.39</v>
      </c>
      <c r="G29" s="514"/>
      <c r="H29" s="514"/>
      <c r="I29" s="514">
        <v>313.83999999999997</v>
      </c>
    </row>
    <row r="30" spans="2:9" x14ac:dyDescent="0.2">
      <c r="B30" s="511" t="s">
        <v>143</v>
      </c>
      <c r="C30" s="512" t="s">
        <v>143</v>
      </c>
      <c r="D30" s="515" t="s">
        <v>294</v>
      </c>
      <c r="E30" s="527">
        <v>307.45</v>
      </c>
      <c r="F30" s="527">
        <v>6.39</v>
      </c>
      <c r="G30" s="527"/>
      <c r="H30" s="527"/>
      <c r="I30" s="527">
        <v>313.83999999999997</v>
      </c>
    </row>
    <row r="31" spans="2:9" x14ac:dyDescent="0.2">
      <c r="B31" s="31"/>
      <c r="C31" s="32"/>
      <c r="D31" s="33"/>
      <c r="E31" s="34"/>
      <c r="F31" s="34"/>
      <c r="G31" s="34"/>
      <c r="H31" s="34"/>
      <c r="I31" s="34"/>
    </row>
    <row r="34" spans="2:9" ht="15" x14ac:dyDescent="0.2">
      <c r="B34" s="35" t="s">
        <v>149</v>
      </c>
      <c r="D34" s="516"/>
      <c r="E34" s="517"/>
      <c r="F34" s="516"/>
      <c r="G34" s="516" t="s">
        <v>296</v>
      </c>
      <c r="I34" s="518"/>
    </row>
    <row r="35" spans="2:9" ht="15" x14ac:dyDescent="0.2">
      <c r="C35" s="39"/>
      <c r="D35" s="1793" t="s">
        <v>150</v>
      </c>
      <c r="E35" s="1793"/>
      <c r="F35" s="1793"/>
      <c r="G35" s="1793"/>
      <c r="H35" s="1793"/>
      <c r="I35" s="1793"/>
    </row>
    <row r="36" spans="2:9" ht="15" x14ac:dyDescent="0.2">
      <c r="B36" s="35" t="s">
        <v>151</v>
      </c>
      <c r="D36" s="516"/>
      <c r="E36" s="517"/>
      <c r="F36" s="516"/>
      <c r="G36" s="516" t="s">
        <v>297</v>
      </c>
      <c r="H36" s="517"/>
      <c r="I36" s="518"/>
    </row>
    <row r="37" spans="2:9" x14ac:dyDescent="0.2">
      <c r="D37" s="1793" t="s">
        <v>150</v>
      </c>
      <c r="E37" s="1793"/>
      <c r="F37" s="1793"/>
      <c r="G37" s="1793"/>
      <c r="H37" s="1793"/>
      <c r="I37" s="1793"/>
    </row>
  </sheetData>
  <mergeCells count="18">
    <mergeCell ref="B11:I11"/>
    <mergeCell ref="C3:H3"/>
    <mergeCell ref="D4:G4"/>
    <mergeCell ref="C5:H5"/>
    <mergeCell ref="D6:G6"/>
    <mergeCell ref="D10:H10"/>
    <mergeCell ref="B25:I25"/>
    <mergeCell ref="D35:I35"/>
    <mergeCell ref="D37:I37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2021.1&amp;CДИ</oddHeader>
    <oddFooter>&amp;RСтраница &amp;P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AI127"/>
  <sheetViews>
    <sheetView topLeftCell="A93" zoomScale="115" zoomScaleNormal="115" workbookViewId="0"/>
  </sheetViews>
  <sheetFormatPr defaultColWidth="9.140625" defaultRowHeight="11.25" customHeight="1" x14ac:dyDescent="0.25"/>
  <cols>
    <col min="1" max="1" width="8.140625" style="40" customWidth="1"/>
    <col min="2" max="2" width="20.140625" style="40" customWidth="1"/>
    <col min="3" max="4" width="10.42578125" style="40" customWidth="1"/>
    <col min="5" max="5" width="13.28515625" style="40" customWidth="1"/>
    <col min="6" max="6" width="8.5703125" style="40" customWidth="1"/>
    <col min="7" max="7" width="7.85546875" style="40" customWidth="1"/>
    <col min="8" max="8" width="8.42578125" style="40" customWidth="1"/>
    <col min="9" max="9" width="8.7109375" style="40" customWidth="1"/>
    <col min="10" max="10" width="8.140625" style="40" customWidth="1"/>
    <col min="11" max="11" width="8.5703125" style="40" customWidth="1"/>
    <col min="12" max="12" width="10" style="40" customWidth="1"/>
    <col min="13" max="13" width="6" style="40" customWidth="1"/>
    <col min="14" max="14" width="9.7109375" style="40" customWidth="1"/>
    <col min="15" max="15" width="9.140625" style="113"/>
    <col min="16" max="16" width="49.140625" style="43" hidden="1" customWidth="1"/>
    <col min="17" max="17" width="42.42578125" style="43" hidden="1" customWidth="1"/>
    <col min="18" max="18" width="99.7109375" style="43" hidden="1" customWidth="1"/>
    <col min="19" max="23" width="138.42578125" style="43" hidden="1" customWidth="1"/>
    <col min="24" max="24" width="34.140625" style="43" hidden="1" customWidth="1"/>
    <col min="25" max="26" width="110.140625" style="43" hidden="1" customWidth="1"/>
    <col min="27" max="31" width="34.140625" style="43" hidden="1" customWidth="1"/>
    <col min="32" max="34" width="84.42578125" style="43" hidden="1" customWidth="1"/>
    <col min="35" max="35" width="138.42578125" style="43" hidden="1" customWidth="1"/>
    <col min="36" max="16384" width="9.140625" style="40"/>
  </cols>
  <sheetData>
    <row r="1" spans="1:20" s="40" customFormat="1" x14ac:dyDescent="0.2">
      <c r="N1" s="41" t="s">
        <v>152</v>
      </c>
    </row>
    <row r="2" spans="1:20" s="40" customFormat="1" x14ac:dyDescent="0.2">
      <c r="N2" s="41" t="s">
        <v>141</v>
      </c>
    </row>
    <row r="3" spans="1:20" s="40" customFormat="1" ht="8.25" customHeight="1" x14ac:dyDescent="0.2">
      <c r="N3" s="41"/>
    </row>
    <row r="4" spans="1:20" s="40" customFormat="1" ht="14.25" customHeight="1" x14ac:dyDescent="0.2">
      <c r="A4" s="1772" t="s">
        <v>153</v>
      </c>
      <c r="B4" s="1772"/>
      <c r="C4" s="1772"/>
      <c r="D4" s="42"/>
      <c r="K4" s="1772" t="s">
        <v>154</v>
      </c>
      <c r="L4" s="1772"/>
      <c r="M4" s="1772"/>
      <c r="N4" s="1772"/>
    </row>
    <row r="5" spans="1:20" s="40" customFormat="1" ht="12" customHeight="1" x14ac:dyDescent="0.2">
      <c r="A5" s="1773"/>
      <c r="B5" s="1773"/>
      <c r="C5" s="1773"/>
      <c r="D5" s="1773"/>
      <c r="E5" s="43"/>
      <c r="J5" s="1774"/>
      <c r="K5" s="1774"/>
      <c r="L5" s="1774"/>
      <c r="M5" s="1774"/>
      <c r="N5" s="1774"/>
    </row>
    <row r="6" spans="1:20" s="40" customFormat="1" x14ac:dyDescent="0.2">
      <c r="A6" s="1768"/>
      <c r="B6" s="1768"/>
      <c r="C6" s="1768"/>
      <c r="D6" s="1768"/>
      <c r="J6" s="1768"/>
      <c r="K6" s="1768"/>
      <c r="L6" s="1768"/>
      <c r="M6" s="1768"/>
      <c r="N6" s="1768"/>
      <c r="P6" s="43" t="s">
        <v>143</v>
      </c>
      <c r="Q6" s="43" t="s">
        <v>143</v>
      </c>
    </row>
    <row r="7" spans="1:20" s="40" customFormat="1" ht="17.25" customHeight="1" x14ac:dyDescent="0.2">
      <c r="A7" s="44"/>
      <c r="B7" s="45"/>
      <c r="C7" s="43"/>
      <c r="D7" s="43"/>
      <c r="K7" s="44"/>
      <c r="L7" s="44"/>
      <c r="M7" s="44"/>
      <c r="N7" s="45"/>
    </row>
    <row r="8" spans="1:20" s="40" customFormat="1" ht="16.5" customHeight="1" x14ac:dyDescent="0.2">
      <c r="A8" s="40" t="s">
        <v>155</v>
      </c>
      <c r="B8" s="46"/>
      <c r="C8" s="46"/>
      <c r="D8" s="46"/>
      <c r="L8" s="46"/>
      <c r="M8" s="46"/>
      <c r="N8" s="41" t="s">
        <v>155</v>
      </c>
    </row>
    <row r="9" spans="1:20" s="40" customFormat="1" ht="15.75" customHeight="1" x14ac:dyDescent="0.2">
      <c r="F9" s="47"/>
    </row>
    <row r="10" spans="1:20" s="40" customFormat="1" ht="33.75" x14ac:dyDescent="0.2">
      <c r="A10" s="48" t="s">
        <v>156</v>
      </c>
      <c r="B10" s="46"/>
      <c r="D10" s="1768" t="s">
        <v>157</v>
      </c>
      <c r="E10" s="1768"/>
      <c r="F10" s="1768"/>
      <c r="G10" s="1768"/>
      <c r="H10" s="1768"/>
      <c r="I10" s="1768"/>
      <c r="J10" s="1768"/>
      <c r="K10" s="1768"/>
      <c r="L10" s="1768"/>
      <c r="M10" s="1768"/>
      <c r="N10" s="1768"/>
      <c r="R10" s="43" t="s">
        <v>157</v>
      </c>
    </row>
    <row r="11" spans="1:20" s="40" customFormat="1" ht="15" customHeight="1" x14ac:dyDescent="0.2">
      <c r="A11" s="49" t="s">
        <v>158</v>
      </c>
      <c r="D11" s="44" t="s">
        <v>159</v>
      </c>
      <c r="E11" s="44"/>
      <c r="F11" s="50"/>
      <c r="G11" s="50"/>
      <c r="H11" s="50"/>
      <c r="I11" s="50"/>
      <c r="J11" s="50"/>
      <c r="K11" s="50"/>
      <c r="L11" s="50"/>
      <c r="M11" s="50"/>
      <c r="N11" s="50"/>
    </row>
    <row r="12" spans="1:20" s="40" customFormat="1" ht="8.25" customHeight="1" x14ac:dyDescent="0.2">
      <c r="A12" s="49"/>
      <c r="F12" s="46"/>
      <c r="G12" s="46"/>
      <c r="H12" s="46"/>
      <c r="I12" s="46"/>
      <c r="J12" s="46"/>
      <c r="K12" s="46"/>
      <c r="L12" s="46"/>
      <c r="M12" s="46"/>
      <c r="N12" s="46"/>
    </row>
    <row r="13" spans="1:20" s="40" customFormat="1" x14ac:dyDescent="0.2">
      <c r="A13" s="1769" t="s">
        <v>488</v>
      </c>
      <c r="B13" s="1769"/>
      <c r="C13" s="1769"/>
      <c r="D13" s="1769"/>
      <c r="E13" s="1769"/>
      <c r="F13" s="1769"/>
      <c r="G13" s="1769"/>
      <c r="H13" s="1769"/>
      <c r="I13" s="1769"/>
      <c r="J13" s="1769"/>
      <c r="K13" s="1769"/>
      <c r="L13" s="1769"/>
      <c r="M13" s="1769"/>
      <c r="N13" s="1769"/>
      <c r="S13" s="43" t="s">
        <v>488</v>
      </c>
    </row>
    <row r="14" spans="1:20" s="40" customFormat="1" x14ac:dyDescent="0.2">
      <c r="A14" s="1770" t="s">
        <v>139</v>
      </c>
      <c r="B14" s="1770"/>
      <c r="C14" s="1770"/>
      <c r="D14" s="1770"/>
      <c r="E14" s="1770"/>
      <c r="F14" s="1770"/>
      <c r="G14" s="1770"/>
      <c r="H14" s="1770"/>
      <c r="I14" s="1770"/>
      <c r="J14" s="1770"/>
      <c r="K14" s="1770"/>
      <c r="L14" s="1770"/>
      <c r="M14" s="1770"/>
      <c r="N14" s="1770"/>
    </row>
    <row r="15" spans="1:20" s="40" customFormat="1" ht="8.25" customHeight="1" x14ac:dyDescent="0.2">
      <c r="A15" s="51"/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</row>
    <row r="16" spans="1:20" s="40" customFormat="1" x14ac:dyDescent="0.2">
      <c r="A16" s="1769" t="s">
        <v>15</v>
      </c>
      <c r="B16" s="1769"/>
      <c r="C16" s="1769"/>
      <c r="D16" s="1769"/>
      <c r="E16" s="1769"/>
      <c r="F16" s="1769"/>
      <c r="G16" s="1769"/>
      <c r="H16" s="1769"/>
      <c r="I16" s="1769"/>
      <c r="J16" s="1769"/>
      <c r="K16" s="1769"/>
      <c r="L16" s="1769"/>
      <c r="M16" s="1769"/>
      <c r="N16" s="1769"/>
      <c r="T16" s="43" t="s">
        <v>15</v>
      </c>
    </row>
    <row r="17" spans="1:21" s="40" customFormat="1" x14ac:dyDescent="0.2">
      <c r="A17" s="1770" t="s">
        <v>142</v>
      </c>
      <c r="B17" s="1770"/>
      <c r="C17" s="1770"/>
      <c r="D17" s="1770"/>
      <c r="E17" s="1770"/>
      <c r="F17" s="1770"/>
      <c r="G17" s="1770"/>
      <c r="H17" s="1770"/>
      <c r="I17" s="1770"/>
      <c r="J17" s="1770"/>
      <c r="K17" s="1770"/>
      <c r="L17" s="1770"/>
      <c r="M17" s="1770"/>
      <c r="N17" s="1770"/>
    </row>
    <row r="18" spans="1:21" s="40" customFormat="1" ht="24" customHeight="1" x14ac:dyDescent="0.25">
      <c r="A18" s="1771" t="s">
        <v>489</v>
      </c>
      <c r="B18" s="1771"/>
      <c r="C18" s="1771"/>
      <c r="D18" s="1771"/>
      <c r="E18" s="1771"/>
      <c r="F18" s="1771"/>
      <c r="G18" s="1771"/>
      <c r="H18" s="1771"/>
      <c r="I18" s="1771"/>
      <c r="J18" s="1771"/>
      <c r="K18" s="1771"/>
      <c r="L18" s="1771"/>
      <c r="M18" s="1771"/>
      <c r="N18" s="1771"/>
    </row>
    <row r="19" spans="1:21" s="40" customFormat="1" ht="8.25" customHeight="1" x14ac:dyDescent="0.25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</row>
    <row r="20" spans="1:21" s="40" customFormat="1" x14ac:dyDescent="0.2">
      <c r="A20" s="1775" t="s">
        <v>17</v>
      </c>
      <c r="B20" s="1775"/>
      <c r="C20" s="1775"/>
      <c r="D20" s="1775"/>
      <c r="E20" s="1775"/>
      <c r="F20" s="1775"/>
      <c r="G20" s="1775"/>
      <c r="H20" s="1775"/>
      <c r="I20" s="1775"/>
      <c r="J20" s="1775"/>
      <c r="K20" s="1775"/>
      <c r="L20" s="1775"/>
      <c r="M20" s="1775"/>
      <c r="N20" s="1775"/>
      <c r="U20" s="43" t="s">
        <v>17</v>
      </c>
    </row>
    <row r="21" spans="1:21" s="40" customFormat="1" ht="13.5" customHeight="1" x14ac:dyDescent="0.2">
      <c r="A21" s="1770" t="s">
        <v>160</v>
      </c>
      <c r="B21" s="1770"/>
      <c r="C21" s="1770"/>
      <c r="D21" s="1770"/>
      <c r="E21" s="1770"/>
      <c r="F21" s="1770"/>
      <c r="G21" s="1770"/>
      <c r="H21" s="1770"/>
      <c r="I21" s="1770"/>
      <c r="J21" s="1770"/>
      <c r="K21" s="1770"/>
      <c r="L21" s="1770"/>
      <c r="M21" s="1770"/>
      <c r="N21" s="1770"/>
    </row>
    <row r="22" spans="1:21" s="40" customFormat="1" ht="15" customHeight="1" x14ac:dyDescent="0.2">
      <c r="A22" s="40" t="s">
        <v>161</v>
      </c>
      <c r="B22" s="53" t="s">
        <v>162</v>
      </c>
      <c r="C22" s="40" t="s">
        <v>163</v>
      </c>
      <c r="F22" s="43"/>
      <c r="G22" s="43"/>
      <c r="H22" s="43"/>
      <c r="I22" s="43"/>
      <c r="J22" s="43"/>
      <c r="K22" s="43"/>
      <c r="L22" s="43"/>
      <c r="M22" s="43"/>
      <c r="N22" s="43"/>
    </row>
    <row r="23" spans="1:21" s="40" customFormat="1" ht="18" customHeight="1" x14ac:dyDescent="0.2">
      <c r="A23" s="40" t="s">
        <v>164</v>
      </c>
      <c r="B23" s="1775" t="s">
        <v>490</v>
      </c>
      <c r="C23" s="1775"/>
      <c r="D23" s="1775"/>
      <c r="E23" s="1775"/>
      <c r="F23" s="1775"/>
      <c r="G23" s="43"/>
      <c r="H23" s="43"/>
      <c r="I23" s="43"/>
      <c r="J23" s="43"/>
      <c r="K23" s="43"/>
      <c r="L23" s="43"/>
      <c r="M23" s="43"/>
      <c r="N23" s="43"/>
    </row>
    <row r="24" spans="1:21" s="40" customFormat="1" x14ac:dyDescent="0.2">
      <c r="B24" s="1776" t="s">
        <v>144</v>
      </c>
      <c r="C24" s="1776"/>
      <c r="D24" s="1776"/>
      <c r="E24" s="1776"/>
      <c r="F24" s="1776"/>
      <c r="G24" s="54"/>
      <c r="H24" s="54"/>
      <c r="I24" s="54"/>
      <c r="J24" s="54"/>
      <c r="K24" s="54"/>
      <c r="L24" s="54"/>
      <c r="M24" s="55"/>
      <c r="N24" s="54"/>
    </row>
    <row r="25" spans="1:21" s="40" customFormat="1" ht="9.75" customHeight="1" x14ac:dyDescent="0.2">
      <c r="D25" s="56"/>
      <c r="E25" s="56"/>
      <c r="F25" s="56"/>
      <c r="G25" s="56"/>
      <c r="H25" s="56"/>
      <c r="I25" s="56"/>
      <c r="J25" s="56"/>
      <c r="K25" s="56"/>
      <c r="L25" s="56"/>
      <c r="M25" s="54"/>
      <c r="N25" s="54"/>
    </row>
    <row r="26" spans="1:21" s="40" customFormat="1" x14ac:dyDescent="0.2">
      <c r="A26" s="57" t="s">
        <v>165</v>
      </c>
      <c r="D26" s="44" t="s">
        <v>301</v>
      </c>
      <c r="F26" s="58"/>
      <c r="G26" s="58"/>
      <c r="H26" s="58"/>
      <c r="I26" s="58"/>
      <c r="J26" s="58"/>
      <c r="K26" s="58"/>
      <c r="L26" s="58"/>
      <c r="M26" s="58"/>
      <c r="N26" s="58"/>
    </row>
    <row r="27" spans="1:21" s="40" customFormat="1" ht="9.75" customHeight="1" x14ac:dyDescent="0.2"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</row>
    <row r="28" spans="1:21" s="40" customFormat="1" ht="12.75" customHeight="1" x14ac:dyDescent="0.2">
      <c r="A28" s="57" t="s">
        <v>166</v>
      </c>
      <c r="C28" s="59">
        <v>279.74</v>
      </c>
      <c r="D28" s="60" t="s">
        <v>491</v>
      </c>
      <c r="E28" s="48" t="s">
        <v>167</v>
      </c>
      <c r="L28" s="61"/>
      <c r="M28" s="61"/>
    </row>
    <row r="29" spans="1:21" s="40" customFormat="1" ht="12.75" customHeight="1" x14ac:dyDescent="0.2">
      <c r="B29" s="40" t="s">
        <v>168</v>
      </c>
      <c r="C29" s="62"/>
      <c r="D29" s="63"/>
      <c r="E29" s="48"/>
    </row>
    <row r="30" spans="1:21" s="40" customFormat="1" ht="12.75" customHeight="1" x14ac:dyDescent="0.2">
      <c r="B30" s="40" t="s">
        <v>169</v>
      </c>
      <c r="C30" s="59">
        <v>279.74</v>
      </c>
      <c r="D30" s="60" t="s">
        <v>491</v>
      </c>
      <c r="E30" s="48" t="s">
        <v>167</v>
      </c>
      <c r="G30" s="40" t="s">
        <v>170</v>
      </c>
      <c r="L30" s="59">
        <v>0</v>
      </c>
      <c r="M30" s="60" t="s">
        <v>492</v>
      </c>
      <c r="N30" s="48" t="s">
        <v>167</v>
      </c>
    </row>
    <row r="31" spans="1:21" s="40" customFormat="1" ht="12.75" customHeight="1" x14ac:dyDescent="0.2">
      <c r="B31" s="40" t="s">
        <v>140</v>
      </c>
      <c r="C31" s="59">
        <v>0</v>
      </c>
      <c r="D31" s="64" t="s">
        <v>171</v>
      </c>
      <c r="E31" s="48" t="s">
        <v>167</v>
      </c>
      <c r="G31" s="40" t="s">
        <v>172</v>
      </c>
      <c r="L31" s="65"/>
      <c r="M31" s="65">
        <v>341.96</v>
      </c>
      <c r="N31" s="49" t="s">
        <v>173</v>
      </c>
    </row>
    <row r="32" spans="1:21" s="40" customFormat="1" ht="12.75" customHeight="1" x14ac:dyDescent="0.2">
      <c r="B32" s="40" t="s">
        <v>146</v>
      </c>
      <c r="C32" s="59">
        <v>0</v>
      </c>
      <c r="D32" s="64" t="s">
        <v>171</v>
      </c>
      <c r="E32" s="48" t="s">
        <v>167</v>
      </c>
      <c r="G32" s="40" t="s">
        <v>174</v>
      </c>
      <c r="L32" s="65"/>
      <c r="M32" s="65">
        <v>177.87</v>
      </c>
      <c r="N32" s="49" t="s">
        <v>173</v>
      </c>
    </row>
    <row r="33" spans="1:29" s="40" customFormat="1" ht="12.75" customHeight="1" x14ac:dyDescent="0.2">
      <c r="B33" s="40" t="s">
        <v>147</v>
      </c>
      <c r="C33" s="59">
        <v>0</v>
      </c>
      <c r="D33" s="60" t="s">
        <v>171</v>
      </c>
      <c r="E33" s="48" t="s">
        <v>167</v>
      </c>
      <c r="G33" s="40" t="s">
        <v>175</v>
      </c>
      <c r="L33" s="1777"/>
      <c r="M33" s="1777"/>
    </row>
    <row r="34" spans="1:29" s="40" customFormat="1" ht="9.75" customHeight="1" x14ac:dyDescent="0.2">
      <c r="A34" s="66"/>
    </row>
    <row r="35" spans="1:29" s="40" customFormat="1" ht="36" customHeight="1" x14ac:dyDescent="0.2">
      <c r="A35" s="1778" t="s">
        <v>8</v>
      </c>
      <c r="B35" s="1778" t="s">
        <v>145</v>
      </c>
      <c r="C35" s="1778" t="s">
        <v>176</v>
      </c>
      <c r="D35" s="1778"/>
      <c r="E35" s="1778"/>
      <c r="F35" s="1778" t="s">
        <v>177</v>
      </c>
      <c r="G35" s="1778" t="s">
        <v>178</v>
      </c>
      <c r="H35" s="1778"/>
      <c r="I35" s="1778"/>
      <c r="J35" s="1778" t="s">
        <v>179</v>
      </c>
      <c r="K35" s="1778"/>
      <c r="L35" s="1778"/>
      <c r="M35" s="1778" t="s">
        <v>180</v>
      </c>
      <c r="N35" s="1778" t="s">
        <v>181</v>
      </c>
    </row>
    <row r="36" spans="1:29" s="40" customFormat="1" ht="36.75" customHeight="1" x14ac:dyDescent="0.2">
      <c r="A36" s="1778"/>
      <c r="B36" s="1778"/>
      <c r="C36" s="1778"/>
      <c r="D36" s="1778"/>
      <c r="E36" s="1778"/>
      <c r="F36" s="1778"/>
      <c r="G36" s="1778"/>
      <c r="H36" s="1778"/>
      <c r="I36" s="1778"/>
      <c r="J36" s="1778"/>
      <c r="K36" s="1778"/>
      <c r="L36" s="1778"/>
      <c r="M36" s="1778"/>
      <c r="N36" s="1778"/>
    </row>
    <row r="37" spans="1:29" s="40" customFormat="1" ht="45" x14ac:dyDescent="0.2">
      <c r="A37" s="1778"/>
      <c r="B37" s="1778"/>
      <c r="C37" s="1778"/>
      <c r="D37" s="1778"/>
      <c r="E37" s="1778"/>
      <c r="F37" s="1778"/>
      <c r="G37" s="67" t="s">
        <v>182</v>
      </c>
      <c r="H37" s="67" t="s">
        <v>183</v>
      </c>
      <c r="I37" s="67" t="s">
        <v>184</v>
      </c>
      <c r="J37" s="67" t="s">
        <v>182</v>
      </c>
      <c r="K37" s="67" t="s">
        <v>183</v>
      </c>
      <c r="L37" s="67" t="s">
        <v>148</v>
      </c>
      <c r="M37" s="1778"/>
      <c r="N37" s="1778"/>
    </row>
    <row r="38" spans="1:29" s="40" customFormat="1" x14ac:dyDescent="0.2">
      <c r="A38" s="68">
        <v>1</v>
      </c>
      <c r="B38" s="68">
        <v>2</v>
      </c>
      <c r="C38" s="1781">
        <v>3</v>
      </c>
      <c r="D38" s="1781"/>
      <c r="E38" s="1781"/>
      <c r="F38" s="68">
        <v>4</v>
      </c>
      <c r="G38" s="68">
        <v>5</v>
      </c>
      <c r="H38" s="68">
        <v>6</v>
      </c>
      <c r="I38" s="68">
        <v>7</v>
      </c>
      <c r="J38" s="68">
        <v>8</v>
      </c>
      <c r="K38" s="68">
        <v>9</v>
      </c>
      <c r="L38" s="68">
        <v>10</v>
      </c>
      <c r="M38" s="68">
        <v>11</v>
      </c>
      <c r="N38" s="68">
        <v>12</v>
      </c>
    </row>
    <row r="39" spans="1:29" s="40" customFormat="1" ht="12" x14ac:dyDescent="0.2">
      <c r="A39" s="1782" t="s">
        <v>493</v>
      </c>
      <c r="B39" s="1783"/>
      <c r="C39" s="1783"/>
      <c r="D39" s="1783"/>
      <c r="E39" s="1783"/>
      <c r="F39" s="1783"/>
      <c r="G39" s="1783"/>
      <c r="H39" s="1783"/>
      <c r="I39" s="1783"/>
      <c r="J39" s="1783"/>
      <c r="K39" s="1783"/>
      <c r="L39" s="1783"/>
      <c r="M39" s="1783"/>
      <c r="N39" s="1784"/>
      <c r="V39" s="43" t="s">
        <v>493</v>
      </c>
    </row>
    <row r="40" spans="1:29" s="40" customFormat="1" x14ac:dyDescent="0.2">
      <c r="A40" s="1801" t="s">
        <v>494</v>
      </c>
      <c r="B40" s="1802"/>
      <c r="C40" s="1802"/>
      <c r="D40" s="1802"/>
      <c r="E40" s="1802"/>
      <c r="F40" s="1802"/>
      <c r="G40" s="1802"/>
      <c r="H40" s="1802"/>
      <c r="I40" s="1802"/>
      <c r="J40" s="1802"/>
      <c r="K40" s="1802"/>
      <c r="L40" s="1802"/>
      <c r="M40" s="1802"/>
      <c r="N40" s="1803"/>
      <c r="W40" s="43" t="s">
        <v>494</v>
      </c>
    </row>
    <row r="41" spans="1:29" s="40" customFormat="1" ht="45" x14ac:dyDescent="0.2">
      <c r="A41" s="69" t="s">
        <v>185</v>
      </c>
      <c r="B41" s="70" t="s">
        <v>495</v>
      </c>
      <c r="C41" s="1785" t="s">
        <v>496</v>
      </c>
      <c r="D41" s="1785"/>
      <c r="E41" s="1785"/>
      <c r="F41" s="71" t="s">
        <v>455</v>
      </c>
      <c r="G41" s="71"/>
      <c r="H41" s="71"/>
      <c r="I41" s="71" t="s">
        <v>497</v>
      </c>
      <c r="J41" s="72"/>
      <c r="K41" s="71"/>
      <c r="L41" s="72"/>
      <c r="M41" s="73"/>
      <c r="N41" s="74"/>
      <c r="X41" s="43" t="s">
        <v>496</v>
      </c>
    </row>
    <row r="42" spans="1:29" s="40" customFormat="1" x14ac:dyDescent="0.2">
      <c r="A42" s="75"/>
      <c r="B42" s="76"/>
      <c r="C42" s="1768" t="s">
        <v>498</v>
      </c>
      <c r="D42" s="1768"/>
      <c r="E42" s="1768"/>
      <c r="F42" s="1768"/>
      <c r="G42" s="1768"/>
      <c r="H42" s="1768"/>
      <c r="I42" s="1768"/>
      <c r="J42" s="1768"/>
      <c r="K42" s="1768"/>
      <c r="L42" s="1768"/>
      <c r="M42" s="1768"/>
      <c r="N42" s="1779"/>
      <c r="Y42" s="43" t="s">
        <v>498</v>
      </c>
    </row>
    <row r="43" spans="1:29" s="40" customFormat="1" ht="22.5" x14ac:dyDescent="0.2">
      <c r="A43" s="77"/>
      <c r="B43" s="78" t="s">
        <v>499</v>
      </c>
      <c r="C43" s="1768" t="s">
        <v>500</v>
      </c>
      <c r="D43" s="1768"/>
      <c r="E43" s="1768"/>
      <c r="F43" s="1768"/>
      <c r="G43" s="1768"/>
      <c r="H43" s="1768"/>
      <c r="I43" s="1768"/>
      <c r="J43" s="1768"/>
      <c r="K43" s="1768"/>
      <c r="L43" s="1768"/>
      <c r="M43" s="1768"/>
      <c r="N43" s="1779"/>
      <c r="Z43" s="43" t="s">
        <v>500</v>
      </c>
    </row>
    <row r="44" spans="1:29" s="40" customFormat="1" x14ac:dyDescent="0.2">
      <c r="A44" s="79"/>
      <c r="B44" s="78" t="s">
        <v>186</v>
      </c>
      <c r="C44" s="1768" t="s">
        <v>344</v>
      </c>
      <c r="D44" s="1768"/>
      <c r="E44" s="1768"/>
      <c r="F44" s="80"/>
      <c r="G44" s="80"/>
      <c r="H44" s="80"/>
      <c r="I44" s="80"/>
      <c r="J44" s="81">
        <v>5532.96</v>
      </c>
      <c r="K44" s="80" t="s">
        <v>313</v>
      </c>
      <c r="L44" s="81">
        <v>6258.47</v>
      </c>
      <c r="M44" s="82"/>
      <c r="N44" s="83"/>
      <c r="AA44" s="43" t="s">
        <v>344</v>
      </c>
    </row>
    <row r="45" spans="1:29" s="40" customFormat="1" x14ac:dyDescent="0.2">
      <c r="A45" s="79"/>
      <c r="B45" s="78" t="s">
        <v>187</v>
      </c>
      <c r="C45" s="1768" t="s">
        <v>345</v>
      </c>
      <c r="D45" s="1768"/>
      <c r="E45" s="1768"/>
      <c r="F45" s="80"/>
      <c r="G45" s="80"/>
      <c r="H45" s="80"/>
      <c r="I45" s="80"/>
      <c r="J45" s="81">
        <v>648</v>
      </c>
      <c r="K45" s="80" t="s">
        <v>313</v>
      </c>
      <c r="L45" s="81">
        <v>732.97</v>
      </c>
      <c r="M45" s="82"/>
      <c r="N45" s="83"/>
      <c r="AA45" s="43" t="s">
        <v>345</v>
      </c>
    </row>
    <row r="46" spans="1:29" s="40" customFormat="1" x14ac:dyDescent="0.2">
      <c r="A46" s="79"/>
      <c r="B46" s="78"/>
      <c r="C46" s="1768" t="s">
        <v>348</v>
      </c>
      <c r="D46" s="1768"/>
      <c r="E46" s="1768"/>
      <c r="F46" s="80" t="s">
        <v>315</v>
      </c>
      <c r="G46" s="80" t="s">
        <v>501</v>
      </c>
      <c r="H46" s="80" t="s">
        <v>313</v>
      </c>
      <c r="I46" s="80" t="s">
        <v>502</v>
      </c>
      <c r="J46" s="81"/>
      <c r="K46" s="80"/>
      <c r="L46" s="81"/>
      <c r="M46" s="82"/>
      <c r="N46" s="83"/>
      <c r="AB46" s="43" t="s">
        <v>348</v>
      </c>
    </row>
    <row r="47" spans="1:29" s="40" customFormat="1" x14ac:dyDescent="0.2">
      <c r="A47" s="79"/>
      <c r="B47" s="78"/>
      <c r="C47" s="1780" t="s">
        <v>318</v>
      </c>
      <c r="D47" s="1780"/>
      <c r="E47" s="1780"/>
      <c r="F47" s="84"/>
      <c r="G47" s="84"/>
      <c r="H47" s="84"/>
      <c r="I47" s="84"/>
      <c r="J47" s="85">
        <v>5532.96</v>
      </c>
      <c r="K47" s="84"/>
      <c r="L47" s="85">
        <v>6258.47</v>
      </c>
      <c r="M47" s="86"/>
      <c r="N47" s="87"/>
      <c r="AC47" s="43" t="s">
        <v>318</v>
      </c>
    </row>
    <row r="48" spans="1:29" s="40" customFormat="1" x14ac:dyDescent="0.2">
      <c r="A48" s="79"/>
      <c r="B48" s="78"/>
      <c r="C48" s="1768" t="s">
        <v>319</v>
      </c>
      <c r="D48" s="1768"/>
      <c r="E48" s="1768"/>
      <c r="F48" s="80"/>
      <c r="G48" s="80"/>
      <c r="H48" s="80"/>
      <c r="I48" s="80"/>
      <c r="J48" s="81"/>
      <c r="K48" s="80"/>
      <c r="L48" s="81">
        <v>732.97</v>
      </c>
      <c r="M48" s="82"/>
      <c r="N48" s="83"/>
      <c r="AB48" s="43" t="s">
        <v>319</v>
      </c>
    </row>
    <row r="49" spans="1:30" s="40" customFormat="1" ht="33.75" x14ac:dyDescent="0.2">
      <c r="A49" s="79"/>
      <c r="B49" s="78" t="s">
        <v>460</v>
      </c>
      <c r="C49" s="1768" t="s">
        <v>461</v>
      </c>
      <c r="D49" s="1768"/>
      <c r="E49" s="1768"/>
      <c r="F49" s="80" t="s">
        <v>322</v>
      </c>
      <c r="G49" s="80" t="s">
        <v>462</v>
      </c>
      <c r="H49" s="80"/>
      <c r="I49" s="80" t="s">
        <v>462</v>
      </c>
      <c r="J49" s="81"/>
      <c r="K49" s="80"/>
      <c r="L49" s="81">
        <v>674.33</v>
      </c>
      <c r="M49" s="82"/>
      <c r="N49" s="83"/>
      <c r="AB49" s="43" t="s">
        <v>461</v>
      </c>
    </row>
    <row r="50" spans="1:30" s="40" customFormat="1" ht="33.75" x14ac:dyDescent="0.2">
      <c r="A50" s="79"/>
      <c r="B50" s="78" t="s">
        <v>463</v>
      </c>
      <c r="C50" s="1768" t="s">
        <v>464</v>
      </c>
      <c r="D50" s="1768"/>
      <c r="E50" s="1768"/>
      <c r="F50" s="80" t="s">
        <v>322</v>
      </c>
      <c r="G50" s="80" t="s">
        <v>465</v>
      </c>
      <c r="H50" s="80"/>
      <c r="I50" s="80" t="s">
        <v>465</v>
      </c>
      <c r="J50" s="81"/>
      <c r="K50" s="80"/>
      <c r="L50" s="81">
        <v>337.17</v>
      </c>
      <c r="M50" s="82"/>
      <c r="N50" s="83"/>
      <c r="AB50" s="43" t="s">
        <v>464</v>
      </c>
    </row>
    <row r="51" spans="1:30" s="40" customFormat="1" x14ac:dyDescent="0.2">
      <c r="A51" s="88"/>
      <c r="B51" s="89"/>
      <c r="C51" s="1785" t="s">
        <v>327</v>
      </c>
      <c r="D51" s="1785"/>
      <c r="E51" s="1785"/>
      <c r="F51" s="71"/>
      <c r="G51" s="71"/>
      <c r="H51" s="71"/>
      <c r="I51" s="71"/>
      <c r="J51" s="72"/>
      <c r="K51" s="71"/>
      <c r="L51" s="72">
        <v>7269.97</v>
      </c>
      <c r="M51" s="86"/>
      <c r="N51" s="74"/>
      <c r="AD51" s="43" t="s">
        <v>327</v>
      </c>
    </row>
    <row r="52" spans="1:30" s="40" customFormat="1" ht="45" x14ac:dyDescent="0.2">
      <c r="A52" s="69" t="s">
        <v>186</v>
      </c>
      <c r="B52" s="70" t="s">
        <v>503</v>
      </c>
      <c r="C52" s="1785" t="s">
        <v>504</v>
      </c>
      <c r="D52" s="1785"/>
      <c r="E52" s="1785"/>
      <c r="F52" s="71" t="s">
        <v>455</v>
      </c>
      <c r="G52" s="71"/>
      <c r="H52" s="71"/>
      <c r="I52" s="71" t="s">
        <v>497</v>
      </c>
      <c r="J52" s="72"/>
      <c r="K52" s="71"/>
      <c r="L52" s="72"/>
      <c r="M52" s="73"/>
      <c r="N52" s="74"/>
      <c r="X52" s="43" t="s">
        <v>504</v>
      </c>
    </row>
    <row r="53" spans="1:30" s="40" customFormat="1" x14ac:dyDescent="0.2">
      <c r="A53" s="75"/>
      <c r="B53" s="76"/>
      <c r="C53" s="1768" t="s">
        <v>498</v>
      </c>
      <c r="D53" s="1768"/>
      <c r="E53" s="1768"/>
      <c r="F53" s="1768"/>
      <c r="G53" s="1768"/>
      <c r="H53" s="1768"/>
      <c r="I53" s="1768"/>
      <c r="J53" s="1768"/>
      <c r="K53" s="1768"/>
      <c r="L53" s="1768"/>
      <c r="M53" s="1768"/>
      <c r="N53" s="1779"/>
      <c r="Y53" s="43" t="s">
        <v>498</v>
      </c>
    </row>
    <row r="54" spans="1:30" s="40" customFormat="1" ht="22.5" x14ac:dyDescent="0.2">
      <c r="A54" s="77"/>
      <c r="B54" s="78" t="s">
        <v>499</v>
      </c>
      <c r="C54" s="1768" t="s">
        <v>500</v>
      </c>
      <c r="D54" s="1768"/>
      <c r="E54" s="1768"/>
      <c r="F54" s="1768"/>
      <c r="G54" s="1768"/>
      <c r="H54" s="1768"/>
      <c r="I54" s="1768"/>
      <c r="J54" s="1768"/>
      <c r="K54" s="1768"/>
      <c r="L54" s="1768"/>
      <c r="M54" s="1768"/>
      <c r="N54" s="1779"/>
      <c r="Z54" s="43" t="s">
        <v>500</v>
      </c>
    </row>
    <row r="55" spans="1:30" s="40" customFormat="1" x14ac:dyDescent="0.2">
      <c r="A55" s="79"/>
      <c r="B55" s="78" t="s">
        <v>186</v>
      </c>
      <c r="C55" s="1768" t="s">
        <v>344</v>
      </c>
      <c r="D55" s="1768"/>
      <c r="E55" s="1768"/>
      <c r="F55" s="80"/>
      <c r="G55" s="80"/>
      <c r="H55" s="80"/>
      <c r="I55" s="80"/>
      <c r="J55" s="81">
        <v>3803.91</v>
      </c>
      <c r="K55" s="80" t="s">
        <v>313</v>
      </c>
      <c r="L55" s="81">
        <v>4302.7</v>
      </c>
      <c r="M55" s="82"/>
      <c r="N55" s="83"/>
      <c r="AA55" s="43" t="s">
        <v>344</v>
      </c>
    </row>
    <row r="56" spans="1:30" s="40" customFormat="1" x14ac:dyDescent="0.2">
      <c r="A56" s="79"/>
      <c r="B56" s="78" t="s">
        <v>187</v>
      </c>
      <c r="C56" s="1768" t="s">
        <v>345</v>
      </c>
      <c r="D56" s="1768"/>
      <c r="E56" s="1768"/>
      <c r="F56" s="80"/>
      <c r="G56" s="80"/>
      <c r="H56" s="80"/>
      <c r="I56" s="80"/>
      <c r="J56" s="81">
        <v>445.5</v>
      </c>
      <c r="K56" s="80" t="s">
        <v>313</v>
      </c>
      <c r="L56" s="81">
        <v>503.92</v>
      </c>
      <c r="M56" s="82"/>
      <c r="N56" s="83"/>
      <c r="AA56" s="43" t="s">
        <v>345</v>
      </c>
    </row>
    <row r="57" spans="1:30" s="40" customFormat="1" x14ac:dyDescent="0.2">
      <c r="A57" s="79"/>
      <c r="B57" s="78"/>
      <c r="C57" s="1768" t="s">
        <v>348</v>
      </c>
      <c r="D57" s="1768"/>
      <c r="E57" s="1768"/>
      <c r="F57" s="80" t="s">
        <v>315</v>
      </c>
      <c r="G57" s="80" t="s">
        <v>505</v>
      </c>
      <c r="H57" s="80" t="s">
        <v>313</v>
      </c>
      <c r="I57" s="80" t="s">
        <v>506</v>
      </c>
      <c r="J57" s="81"/>
      <c r="K57" s="80"/>
      <c r="L57" s="81"/>
      <c r="M57" s="82"/>
      <c r="N57" s="83"/>
      <c r="AB57" s="43" t="s">
        <v>348</v>
      </c>
    </row>
    <row r="58" spans="1:30" s="40" customFormat="1" x14ac:dyDescent="0.2">
      <c r="A58" s="79"/>
      <c r="B58" s="78"/>
      <c r="C58" s="1780" t="s">
        <v>318</v>
      </c>
      <c r="D58" s="1780"/>
      <c r="E58" s="1780"/>
      <c r="F58" s="84"/>
      <c r="G58" s="84"/>
      <c r="H58" s="84"/>
      <c r="I58" s="84"/>
      <c r="J58" s="85">
        <v>3803.91</v>
      </c>
      <c r="K58" s="84"/>
      <c r="L58" s="85">
        <v>4302.7</v>
      </c>
      <c r="M58" s="86"/>
      <c r="N58" s="87"/>
      <c r="AC58" s="43" t="s">
        <v>318</v>
      </c>
    </row>
    <row r="59" spans="1:30" s="40" customFormat="1" x14ac:dyDescent="0.2">
      <c r="A59" s="79"/>
      <c r="B59" s="78"/>
      <c r="C59" s="1768" t="s">
        <v>319</v>
      </c>
      <c r="D59" s="1768"/>
      <c r="E59" s="1768"/>
      <c r="F59" s="80"/>
      <c r="G59" s="80"/>
      <c r="H59" s="80"/>
      <c r="I59" s="80"/>
      <c r="J59" s="81"/>
      <c r="K59" s="80"/>
      <c r="L59" s="81">
        <v>503.92</v>
      </c>
      <c r="M59" s="82"/>
      <c r="N59" s="83"/>
      <c r="AB59" s="43" t="s">
        <v>319</v>
      </c>
    </row>
    <row r="60" spans="1:30" s="40" customFormat="1" ht="33.75" x14ac:dyDescent="0.2">
      <c r="A60" s="79"/>
      <c r="B60" s="78" t="s">
        <v>460</v>
      </c>
      <c r="C60" s="1768" t="s">
        <v>461</v>
      </c>
      <c r="D60" s="1768"/>
      <c r="E60" s="1768"/>
      <c r="F60" s="80" t="s">
        <v>322</v>
      </c>
      <c r="G60" s="80" t="s">
        <v>462</v>
      </c>
      <c r="H60" s="80"/>
      <c r="I60" s="80" t="s">
        <v>462</v>
      </c>
      <c r="J60" s="81"/>
      <c r="K60" s="80"/>
      <c r="L60" s="81">
        <v>463.61</v>
      </c>
      <c r="M60" s="82"/>
      <c r="N60" s="83"/>
      <c r="AB60" s="43" t="s">
        <v>461</v>
      </c>
    </row>
    <row r="61" spans="1:30" s="40" customFormat="1" ht="33.75" x14ac:dyDescent="0.2">
      <c r="A61" s="79"/>
      <c r="B61" s="78" t="s">
        <v>463</v>
      </c>
      <c r="C61" s="1768" t="s">
        <v>464</v>
      </c>
      <c r="D61" s="1768"/>
      <c r="E61" s="1768"/>
      <c r="F61" s="80" t="s">
        <v>322</v>
      </c>
      <c r="G61" s="80" t="s">
        <v>465</v>
      </c>
      <c r="H61" s="80"/>
      <c r="I61" s="80" t="s">
        <v>465</v>
      </c>
      <c r="J61" s="81"/>
      <c r="K61" s="80"/>
      <c r="L61" s="81">
        <v>231.8</v>
      </c>
      <c r="M61" s="82"/>
      <c r="N61" s="83"/>
      <c r="AB61" s="43" t="s">
        <v>464</v>
      </c>
    </row>
    <row r="62" spans="1:30" s="40" customFormat="1" x14ac:dyDescent="0.2">
      <c r="A62" s="88"/>
      <c r="B62" s="89"/>
      <c r="C62" s="1785" t="s">
        <v>327</v>
      </c>
      <c r="D62" s="1785"/>
      <c r="E62" s="1785"/>
      <c r="F62" s="71"/>
      <c r="G62" s="71"/>
      <c r="H62" s="71"/>
      <c r="I62" s="71"/>
      <c r="J62" s="72"/>
      <c r="K62" s="71"/>
      <c r="L62" s="72">
        <v>4998.1099999999997</v>
      </c>
      <c r="M62" s="86"/>
      <c r="N62" s="74"/>
      <c r="AD62" s="43" t="s">
        <v>327</v>
      </c>
    </row>
    <row r="63" spans="1:30" s="40" customFormat="1" ht="22.5" x14ac:dyDescent="0.2">
      <c r="A63" s="69" t="s">
        <v>187</v>
      </c>
      <c r="B63" s="70" t="s">
        <v>507</v>
      </c>
      <c r="C63" s="1785" t="s">
        <v>508</v>
      </c>
      <c r="D63" s="1785"/>
      <c r="E63" s="1785"/>
      <c r="F63" s="71" t="s">
        <v>509</v>
      </c>
      <c r="G63" s="71"/>
      <c r="H63" s="71"/>
      <c r="I63" s="71" t="s">
        <v>510</v>
      </c>
      <c r="J63" s="72"/>
      <c r="K63" s="71"/>
      <c r="L63" s="72"/>
      <c r="M63" s="73"/>
      <c r="N63" s="74"/>
      <c r="X63" s="43" t="s">
        <v>508</v>
      </c>
    </row>
    <row r="64" spans="1:30" s="40" customFormat="1" x14ac:dyDescent="0.2">
      <c r="A64" s="75"/>
      <c r="B64" s="76"/>
      <c r="C64" s="1768" t="s">
        <v>511</v>
      </c>
      <c r="D64" s="1768"/>
      <c r="E64" s="1768"/>
      <c r="F64" s="1768"/>
      <c r="G64" s="1768"/>
      <c r="H64" s="1768"/>
      <c r="I64" s="1768"/>
      <c r="J64" s="1768"/>
      <c r="K64" s="1768"/>
      <c r="L64" s="1768"/>
      <c r="M64" s="1768"/>
      <c r="N64" s="1779"/>
      <c r="Y64" s="43" t="s">
        <v>511</v>
      </c>
    </row>
    <row r="65" spans="1:30" s="40" customFormat="1" ht="22.5" x14ac:dyDescent="0.2">
      <c r="A65" s="77"/>
      <c r="B65" s="78" t="s">
        <v>499</v>
      </c>
      <c r="C65" s="1768" t="s">
        <v>500</v>
      </c>
      <c r="D65" s="1768"/>
      <c r="E65" s="1768"/>
      <c r="F65" s="1768"/>
      <c r="G65" s="1768"/>
      <c r="H65" s="1768"/>
      <c r="I65" s="1768"/>
      <c r="J65" s="1768"/>
      <c r="K65" s="1768"/>
      <c r="L65" s="1768"/>
      <c r="M65" s="1768"/>
      <c r="N65" s="1779"/>
      <c r="Z65" s="43" t="s">
        <v>500</v>
      </c>
    </row>
    <row r="66" spans="1:30" s="40" customFormat="1" x14ac:dyDescent="0.2">
      <c r="A66" s="79"/>
      <c r="B66" s="78" t="s">
        <v>185</v>
      </c>
      <c r="C66" s="1768" t="s">
        <v>312</v>
      </c>
      <c r="D66" s="1768"/>
      <c r="E66" s="1768"/>
      <c r="F66" s="80"/>
      <c r="G66" s="80"/>
      <c r="H66" s="80"/>
      <c r="I66" s="80"/>
      <c r="J66" s="81">
        <v>127.61</v>
      </c>
      <c r="K66" s="80" t="s">
        <v>313</v>
      </c>
      <c r="L66" s="81">
        <v>1443.43</v>
      </c>
      <c r="M66" s="82"/>
      <c r="N66" s="83"/>
      <c r="AA66" s="43" t="s">
        <v>312</v>
      </c>
    </row>
    <row r="67" spans="1:30" s="40" customFormat="1" x14ac:dyDescent="0.2">
      <c r="A67" s="79"/>
      <c r="B67" s="78" t="s">
        <v>186</v>
      </c>
      <c r="C67" s="1768" t="s">
        <v>344</v>
      </c>
      <c r="D67" s="1768"/>
      <c r="E67" s="1768"/>
      <c r="F67" s="80"/>
      <c r="G67" s="80"/>
      <c r="H67" s="80"/>
      <c r="I67" s="80"/>
      <c r="J67" s="81">
        <v>288.58</v>
      </c>
      <c r="K67" s="80" t="s">
        <v>313</v>
      </c>
      <c r="L67" s="81">
        <v>3264.2</v>
      </c>
      <c r="M67" s="82"/>
      <c r="N67" s="83"/>
      <c r="AA67" s="43" t="s">
        <v>344</v>
      </c>
    </row>
    <row r="68" spans="1:30" s="40" customFormat="1" x14ac:dyDescent="0.2">
      <c r="A68" s="79"/>
      <c r="B68" s="78" t="s">
        <v>187</v>
      </c>
      <c r="C68" s="1768" t="s">
        <v>345</v>
      </c>
      <c r="D68" s="1768"/>
      <c r="E68" s="1768"/>
      <c r="F68" s="80"/>
      <c r="G68" s="80"/>
      <c r="H68" s="80"/>
      <c r="I68" s="80"/>
      <c r="J68" s="81">
        <v>31.49</v>
      </c>
      <c r="K68" s="80" t="s">
        <v>313</v>
      </c>
      <c r="L68" s="81">
        <v>356.19</v>
      </c>
      <c r="M68" s="82"/>
      <c r="N68" s="83"/>
      <c r="AA68" s="43" t="s">
        <v>345</v>
      </c>
    </row>
    <row r="69" spans="1:30" s="40" customFormat="1" x14ac:dyDescent="0.2">
      <c r="A69" s="79"/>
      <c r="B69" s="78"/>
      <c r="C69" s="1768" t="s">
        <v>314</v>
      </c>
      <c r="D69" s="1768"/>
      <c r="E69" s="1768"/>
      <c r="F69" s="80" t="s">
        <v>315</v>
      </c>
      <c r="G69" s="80" t="s">
        <v>512</v>
      </c>
      <c r="H69" s="80" t="s">
        <v>313</v>
      </c>
      <c r="I69" s="80" t="s">
        <v>513</v>
      </c>
      <c r="J69" s="81"/>
      <c r="K69" s="80"/>
      <c r="L69" s="81"/>
      <c r="M69" s="82"/>
      <c r="N69" s="83"/>
      <c r="AB69" s="43" t="s">
        <v>314</v>
      </c>
    </row>
    <row r="70" spans="1:30" s="40" customFormat="1" ht="22.5" x14ac:dyDescent="0.2">
      <c r="A70" s="79"/>
      <c r="B70" s="78"/>
      <c r="C70" s="1768" t="s">
        <v>348</v>
      </c>
      <c r="D70" s="1768"/>
      <c r="E70" s="1768"/>
      <c r="F70" s="80" t="s">
        <v>315</v>
      </c>
      <c r="G70" s="80" t="s">
        <v>514</v>
      </c>
      <c r="H70" s="80" t="s">
        <v>313</v>
      </c>
      <c r="I70" s="80" t="s">
        <v>515</v>
      </c>
      <c r="J70" s="81"/>
      <c r="K70" s="80"/>
      <c r="L70" s="81"/>
      <c r="M70" s="82"/>
      <c r="N70" s="83"/>
      <c r="AB70" s="43" t="s">
        <v>348</v>
      </c>
    </row>
    <row r="71" spans="1:30" s="40" customFormat="1" x14ac:dyDescent="0.2">
      <c r="A71" s="79"/>
      <c r="B71" s="78"/>
      <c r="C71" s="1780" t="s">
        <v>318</v>
      </c>
      <c r="D71" s="1780"/>
      <c r="E71" s="1780"/>
      <c r="F71" s="84"/>
      <c r="G71" s="84"/>
      <c r="H71" s="84"/>
      <c r="I71" s="84"/>
      <c r="J71" s="85">
        <v>416.19</v>
      </c>
      <c r="K71" s="84"/>
      <c r="L71" s="85">
        <v>4707.63</v>
      </c>
      <c r="M71" s="86"/>
      <c r="N71" s="87"/>
      <c r="AC71" s="43" t="s">
        <v>318</v>
      </c>
    </row>
    <row r="72" spans="1:30" s="40" customFormat="1" x14ac:dyDescent="0.2">
      <c r="A72" s="79"/>
      <c r="B72" s="78"/>
      <c r="C72" s="1768" t="s">
        <v>319</v>
      </c>
      <c r="D72" s="1768"/>
      <c r="E72" s="1768"/>
      <c r="F72" s="80"/>
      <c r="G72" s="80"/>
      <c r="H72" s="80"/>
      <c r="I72" s="80"/>
      <c r="J72" s="81"/>
      <c r="K72" s="80"/>
      <c r="L72" s="81">
        <v>1799.62</v>
      </c>
      <c r="M72" s="82"/>
      <c r="N72" s="83"/>
      <c r="AB72" s="43" t="s">
        <v>319</v>
      </c>
    </row>
    <row r="73" spans="1:30" s="40" customFormat="1" ht="33.75" x14ac:dyDescent="0.2">
      <c r="A73" s="79"/>
      <c r="B73" s="78" t="s">
        <v>460</v>
      </c>
      <c r="C73" s="1768" t="s">
        <v>461</v>
      </c>
      <c r="D73" s="1768"/>
      <c r="E73" s="1768"/>
      <c r="F73" s="80" t="s">
        <v>322</v>
      </c>
      <c r="G73" s="80" t="s">
        <v>462</v>
      </c>
      <c r="H73" s="80"/>
      <c r="I73" s="80" t="s">
        <v>462</v>
      </c>
      <c r="J73" s="81"/>
      <c r="K73" s="80"/>
      <c r="L73" s="81">
        <v>1655.65</v>
      </c>
      <c r="M73" s="82"/>
      <c r="N73" s="83"/>
      <c r="AB73" s="43" t="s">
        <v>461</v>
      </c>
    </row>
    <row r="74" spans="1:30" s="40" customFormat="1" ht="33.75" x14ac:dyDescent="0.2">
      <c r="A74" s="79"/>
      <c r="B74" s="78" t="s">
        <v>463</v>
      </c>
      <c r="C74" s="1768" t="s">
        <v>464</v>
      </c>
      <c r="D74" s="1768"/>
      <c r="E74" s="1768"/>
      <c r="F74" s="80" t="s">
        <v>322</v>
      </c>
      <c r="G74" s="80" t="s">
        <v>465</v>
      </c>
      <c r="H74" s="80"/>
      <c r="I74" s="80" t="s">
        <v>465</v>
      </c>
      <c r="J74" s="81"/>
      <c r="K74" s="80"/>
      <c r="L74" s="81">
        <v>827.83</v>
      </c>
      <c r="M74" s="82"/>
      <c r="N74" s="83"/>
      <c r="AB74" s="43" t="s">
        <v>464</v>
      </c>
    </row>
    <row r="75" spans="1:30" s="40" customFormat="1" x14ac:dyDescent="0.2">
      <c r="A75" s="88"/>
      <c r="B75" s="89"/>
      <c r="C75" s="1785" t="s">
        <v>327</v>
      </c>
      <c r="D75" s="1785"/>
      <c r="E75" s="1785"/>
      <c r="F75" s="71"/>
      <c r="G75" s="71"/>
      <c r="H75" s="71"/>
      <c r="I75" s="71"/>
      <c r="J75" s="72"/>
      <c r="K75" s="71"/>
      <c r="L75" s="72">
        <v>7191.11</v>
      </c>
      <c r="M75" s="86"/>
      <c r="N75" s="74"/>
      <c r="AD75" s="43" t="s">
        <v>327</v>
      </c>
    </row>
    <row r="76" spans="1:30" s="40" customFormat="1" x14ac:dyDescent="0.2">
      <c r="A76" s="1801" t="s">
        <v>516</v>
      </c>
      <c r="B76" s="1802"/>
      <c r="C76" s="1802"/>
      <c r="D76" s="1802"/>
      <c r="E76" s="1802"/>
      <c r="F76" s="1802"/>
      <c r="G76" s="1802"/>
      <c r="H76" s="1802"/>
      <c r="I76" s="1802"/>
      <c r="J76" s="1802"/>
      <c r="K76" s="1802"/>
      <c r="L76" s="1802"/>
      <c r="M76" s="1802"/>
      <c r="N76" s="1803"/>
      <c r="W76" s="43" t="s">
        <v>516</v>
      </c>
    </row>
    <row r="77" spans="1:30" s="40" customFormat="1" ht="45" x14ac:dyDescent="0.2">
      <c r="A77" s="69" t="s">
        <v>188</v>
      </c>
      <c r="B77" s="70" t="s">
        <v>517</v>
      </c>
      <c r="C77" s="1785" t="s">
        <v>518</v>
      </c>
      <c r="D77" s="1785"/>
      <c r="E77" s="1785"/>
      <c r="F77" s="71" t="s">
        <v>519</v>
      </c>
      <c r="G77" s="71"/>
      <c r="H77" s="71"/>
      <c r="I77" s="71" t="s">
        <v>520</v>
      </c>
      <c r="J77" s="72"/>
      <c r="K77" s="71"/>
      <c r="L77" s="72"/>
      <c r="M77" s="73"/>
      <c r="N77" s="74"/>
      <c r="X77" s="43" t="s">
        <v>518</v>
      </c>
    </row>
    <row r="78" spans="1:30" s="40" customFormat="1" x14ac:dyDescent="0.2">
      <c r="A78" s="75"/>
      <c r="B78" s="76"/>
      <c r="C78" s="1768" t="s">
        <v>521</v>
      </c>
      <c r="D78" s="1768"/>
      <c r="E78" s="1768"/>
      <c r="F78" s="1768"/>
      <c r="G78" s="1768"/>
      <c r="H78" s="1768"/>
      <c r="I78" s="1768"/>
      <c r="J78" s="1768"/>
      <c r="K78" s="1768"/>
      <c r="L78" s="1768"/>
      <c r="M78" s="1768"/>
      <c r="N78" s="1779"/>
      <c r="Y78" s="43" t="s">
        <v>521</v>
      </c>
    </row>
    <row r="79" spans="1:30" s="40" customFormat="1" ht="22.5" x14ac:dyDescent="0.2">
      <c r="A79" s="77"/>
      <c r="B79" s="78" t="s">
        <v>522</v>
      </c>
      <c r="C79" s="1768" t="s">
        <v>523</v>
      </c>
      <c r="D79" s="1768"/>
      <c r="E79" s="1768"/>
      <c r="F79" s="1768"/>
      <c r="G79" s="1768"/>
      <c r="H79" s="1768"/>
      <c r="I79" s="1768"/>
      <c r="J79" s="1768"/>
      <c r="K79" s="1768"/>
      <c r="L79" s="1768"/>
      <c r="M79" s="1768"/>
      <c r="N79" s="1779"/>
      <c r="Z79" s="43" t="s">
        <v>523</v>
      </c>
    </row>
    <row r="80" spans="1:30" s="40" customFormat="1" ht="22.5" x14ac:dyDescent="0.2">
      <c r="A80" s="77"/>
      <c r="B80" s="78" t="s">
        <v>499</v>
      </c>
      <c r="C80" s="1768" t="s">
        <v>500</v>
      </c>
      <c r="D80" s="1768"/>
      <c r="E80" s="1768"/>
      <c r="F80" s="1768"/>
      <c r="G80" s="1768"/>
      <c r="H80" s="1768"/>
      <c r="I80" s="1768"/>
      <c r="J80" s="1768"/>
      <c r="K80" s="1768"/>
      <c r="L80" s="1768"/>
      <c r="M80" s="1768"/>
      <c r="N80" s="1779"/>
      <c r="Z80" s="43" t="s">
        <v>500</v>
      </c>
    </row>
    <row r="81" spans="1:31" s="40" customFormat="1" x14ac:dyDescent="0.2">
      <c r="A81" s="79"/>
      <c r="B81" s="78" t="s">
        <v>185</v>
      </c>
      <c r="C81" s="1768" t="s">
        <v>312</v>
      </c>
      <c r="D81" s="1768"/>
      <c r="E81" s="1768"/>
      <c r="F81" s="80"/>
      <c r="G81" s="80"/>
      <c r="H81" s="80"/>
      <c r="I81" s="80"/>
      <c r="J81" s="81">
        <v>5216.3999999999996</v>
      </c>
      <c r="K81" s="80" t="s">
        <v>524</v>
      </c>
      <c r="L81" s="81">
        <v>1787.92</v>
      </c>
      <c r="M81" s="82"/>
      <c r="N81" s="83"/>
      <c r="AA81" s="43" t="s">
        <v>312</v>
      </c>
    </row>
    <row r="82" spans="1:31" s="40" customFormat="1" x14ac:dyDescent="0.2">
      <c r="A82" s="79"/>
      <c r="B82" s="78" t="s">
        <v>186</v>
      </c>
      <c r="C82" s="1768" t="s">
        <v>344</v>
      </c>
      <c r="D82" s="1768"/>
      <c r="E82" s="1768"/>
      <c r="F82" s="80"/>
      <c r="G82" s="80"/>
      <c r="H82" s="80"/>
      <c r="I82" s="80"/>
      <c r="J82" s="81">
        <v>16952.54</v>
      </c>
      <c r="K82" s="80" t="s">
        <v>524</v>
      </c>
      <c r="L82" s="81">
        <v>5810.48</v>
      </c>
      <c r="M82" s="82"/>
      <c r="N82" s="83"/>
      <c r="AA82" s="43" t="s">
        <v>344</v>
      </c>
    </row>
    <row r="83" spans="1:31" s="40" customFormat="1" x14ac:dyDescent="0.2">
      <c r="A83" s="79"/>
      <c r="B83" s="78" t="s">
        <v>187</v>
      </c>
      <c r="C83" s="1768" t="s">
        <v>345</v>
      </c>
      <c r="D83" s="1768"/>
      <c r="E83" s="1768"/>
      <c r="F83" s="80"/>
      <c r="G83" s="80"/>
      <c r="H83" s="80"/>
      <c r="I83" s="80"/>
      <c r="J83" s="81">
        <v>1943.53</v>
      </c>
      <c r="K83" s="80" t="s">
        <v>524</v>
      </c>
      <c r="L83" s="81">
        <v>666.14</v>
      </c>
      <c r="M83" s="82"/>
      <c r="N83" s="83"/>
      <c r="AA83" s="43" t="s">
        <v>345</v>
      </c>
    </row>
    <row r="84" spans="1:31" s="40" customFormat="1" x14ac:dyDescent="0.2">
      <c r="A84" s="79"/>
      <c r="B84" s="78" t="s">
        <v>188</v>
      </c>
      <c r="C84" s="1768" t="s">
        <v>475</v>
      </c>
      <c r="D84" s="1768"/>
      <c r="E84" s="1768"/>
      <c r="F84" s="80"/>
      <c r="G84" s="80"/>
      <c r="H84" s="80"/>
      <c r="I84" s="80"/>
      <c r="J84" s="81">
        <v>3277.04</v>
      </c>
      <c r="K84" s="80" t="s">
        <v>525</v>
      </c>
      <c r="L84" s="81">
        <v>0</v>
      </c>
      <c r="M84" s="82"/>
      <c r="N84" s="83"/>
      <c r="AA84" s="43" t="s">
        <v>475</v>
      </c>
    </row>
    <row r="85" spans="1:31" s="40" customFormat="1" x14ac:dyDescent="0.2">
      <c r="A85" s="75"/>
      <c r="B85" s="114" t="s">
        <v>526</v>
      </c>
      <c r="C85" s="1804" t="s">
        <v>527</v>
      </c>
      <c r="D85" s="1804"/>
      <c r="E85" s="1804"/>
      <c r="F85" s="115" t="s">
        <v>483</v>
      </c>
      <c r="G85" s="115" t="s">
        <v>528</v>
      </c>
      <c r="H85" s="115" t="s">
        <v>525</v>
      </c>
      <c r="I85" s="115" t="s">
        <v>525</v>
      </c>
      <c r="J85" s="78"/>
      <c r="K85" s="80"/>
      <c r="L85" s="81"/>
      <c r="M85" s="80"/>
      <c r="N85" s="116"/>
      <c r="AE85" s="43" t="s">
        <v>527</v>
      </c>
    </row>
    <row r="86" spans="1:31" s="40" customFormat="1" x14ac:dyDescent="0.2">
      <c r="A86" s="79"/>
      <c r="B86" s="78"/>
      <c r="C86" s="1768" t="s">
        <v>314</v>
      </c>
      <c r="D86" s="1768"/>
      <c r="E86" s="1768"/>
      <c r="F86" s="80" t="s">
        <v>315</v>
      </c>
      <c r="G86" s="80" t="s">
        <v>529</v>
      </c>
      <c r="H86" s="80" t="s">
        <v>524</v>
      </c>
      <c r="I86" s="80" t="s">
        <v>530</v>
      </c>
      <c r="J86" s="81"/>
      <c r="K86" s="80"/>
      <c r="L86" s="81"/>
      <c r="M86" s="82"/>
      <c r="N86" s="83"/>
      <c r="AB86" s="43" t="s">
        <v>314</v>
      </c>
    </row>
    <row r="87" spans="1:31" s="40" customFormat="1" x14ac:dyDescent="0.2">
      <c r="A87" s="79"/>
      <c r="B87" s="78"/>
      <c r="C87" s="1768" t="s">
        <v>348</v>
      </c>
      <c r="D87" s="1768"/>
      <c r="E87" s="1768"/>
      <c r="F87" s="80" t="s">
        <v>315</v>
      </c>
      <c r="G87" s="80" t="s">
        <v>531</v>
      </c>
      <c r="H87" s="80" t="s">
        <v>524</v>
      </c>
      <c r="I87" s="80" t="s">
        <v>532</v>
      </c>
      <c r="J87" s="81"/>
      <c r="K87" s="80"/>
      <c r="L87" s="81"/>
      <c r="M87" s="82"/>
      <c r="N87" s="83"/>
      <c r="AB87" s="43" t="s">
        <v>348</v>
      </c>
    </row>
    <row r="88" spans="1:31" s="40" customFormat="1" x14ac:dyDescent="0.2">
      <c r="A88" s="79"/>
      <c r="B88" s="78"/>
      <c r="C88" s="1780" t="s">
        <v>318</v>
      </c>
      <c r="D88" s="1780"/>
      <c r="E88" s="1780"/>
      <c r="F88" s="84"/>
      <c r="G88" s="84"/>
      <c r="H88" s="84"/>
      <c r="I88" s="84"/>
      <c r="J88" s="85">
        <v>25445.98</v>
      </c>
      <c r="K88" s="84"/>
      <c r="L88" s="85">
        <v>7598.4</v>
      </c>
      <c r="M88" s="86"/>
      <c r="N88" s="87"/>
      <c r="AC88" s="43" t="s">
        <v>318</v>
      </c>
    </row>
    <row r="89" spans="1:31" s="40" customFormat="1" x14ac:dyDescent="0.2">
      <c r="A89" s="79"/>
      <c r="B89" s="78"/>
      <c r="C89" s="1768" t="s">
        <v>319</v>
      </c>
      <c r="D89" s="1768"/>
      <c r="E89" s="1768"/>
      <c r="F89" s="80"/>
      <c r="G89" s="80"/>
      <c r="H89" s="80"/>
      <c r="I89" s="80"/>
      <c r="J89" s="81"/>
      <c r="K89" s="80"/>
      <c r="L89" s="81">
        <v>2454.06</v>
      </c>
      <c r="M89" s="82"/>
      <c r="N89" s="83"/>
      <c r="AB89" s="43" t="s">
        <v>319</v>
      </c>
    </row>
    <row r="90" spans="1:31" s="40" customFormat="1" ht="33.75" x14ac:dyDescent="0.2">
      <c r="A90" s="79"/>
      <c r="B90" s="78" t="s">
        <v>533</v>
      </c>
      <c r="C90" s="1768" t="s">
        <v>534</v>
      </c>
      <c r="D90" s="1768"/>
      <c r="E90" s="1768"/>
      <c r="F90" s="80" t="s">
        <v>322</v>
      </c>
      <c r="G90" s="80" t="s">
        <v>535</v>
      </c>
      <c r="H90" s="80"/>
      <c r="I90" s="80" t="s">
        <v>535</v>
      </c>
      <c r="J90" s="81"/>
      <c r="K90" s="80"/>
      <c r="L90" s="81">
        <v>2871.25</v>
      </c>
      <c r="M90" s="82"/>
      <c r="N90" s="83"/>
      <c r="AB90" s="43" t="s">
        <v>534</v>
      </c>
    </row>
    <row r="91" spans="1:31" s="40" customFormat="1" ht="33.75" x14ac:dyDescent="0.2">
      <c r="A91" s="79"/>
      <c r="B91" s="78" t="s">
        <v>536</v>
      </c>
      <c r="C91" s="1768" t="s">
        <v>537</v>
      </c>
      <c r="D91" s="1768"/>
      <c r="E91" s="1768"/>
      <c r="F91" s="80" t="s">
        <v>322</v>
      </c>
      <c r="G91" s="80" t="s">
        <v>538</v>
      </c>
      <c r="H91" s="80"/>
      <c r="I91" s="80" t="s">
        <v>538</v>
      </c>
      <c r="J91" s="81"/>
      <c r="K91" s="80"/>
      <c r="L91" s="81">
        <v>1816</v>
      </c>
      <c r="M91" s="82"/>
      <c r="N91" s="83"/>
      <c r="AB91" s="43" t="s">
        <v>537</v>
      </c>
    </row>
    <row r="92" spans="1:31" s="40" customFormat="1" x14ac:dyDescent="0.2">
      <c r="A92" s="88"/>
      <c r="B92" s="89"/>
      <c r="C92" s="1785" t="s">
        <v>327</v>
      </c>
      <c r="D92" s="1785"/>
      <c r="E92" s="1785"/>
      <c r="F92" s="71"/>
      <c r="G92" s="71"/>
      <c r="H92" s="71"/>
      <c r="I92" s="71"/>
      <c r="J92" s="72"/>
      <c r="K92" s="71"/>
      <c r="L92" s="72">
        <v>12285.65</v>
      </c>
      <c r="M92" s="86"/>
      <c r="N92" s="74"/>
      <c r="AD92" s="43" t="s">
        <v>327</v>
      </c>
    </row>
    <row r="93" spans="1:31" s="40" customFormat="1" ht="45" x14ac:dyDescent="0.2">
      <c r="A93" s="69" t="s">
        <v>189</v>
      </c>
      <c r="B93" s="70" t="s">
        <v>539</v>
      </c>
      <c r="C93" s="1785" t="s">
        <v>540</v>
      </c>
      <c r="D93" s="1785"/>
      <c r="E93" s="1785"/>
      <c r="F93" s="71" t="s">
        <v>201</v>
      </c>
      <c r="G93" s="71"/>
      <c r="H93" s="71"/>
      <c r="I93" s="71" t="s">
        <v>541</v>
      </c>
      <c r="J93" s="72">
        <v>8.36</v>
      </c>
      <c r="K93" s="71"/>
      <c r="L93" s="72">
        <v>151.63999999999999</v>
      </c>
      <c r="M93" s="73"/>
      <c r="N93" s="74"/>
      <c r="X93" s="43" t="s">
        <v>540</v>
      </c>
    </row>
    <row r="94" spans="1:31" s="40" customFormat="1" x14ac:dyDescent="0.2">
      <c r="A94" s="88"/>
      <c r="B94" s="89"/>
      <c r="C94" s="48" t="s">
        <v>542</v>
      </c>
      <c r="D94" s="117"/>
      <c r="E94" s="117"/>
      <c r="F94" s="90"/>
      <c r="G94" s="90"/>
      <c r="H94" s="90"/>
      <c r="I94" s="90"/>
      <c r="J94" s="118"/>
      <c r="K94" s="90"/>
      <c r="L94" s="118"/>
      <c r="M94" s="119"/>
      <c r="N94" s="120"/>
    </row>
    <row r="95" spans="1:31" s="40" customFormat="1" x14ac:dyDescent="0.2">
      <c r="A95" s="75"/>
      <c r="B95" s="76"/>
      <c r="C95" s="1768" t="s">
        <v>543</v>
      </c>
      <c r="D95" s="1768"/>
      <c r="E95" s="1768"/>
      <c r="F95" s="1768"/>
      <c r="G95" s="1768"/>
      <c r="H95" s="1768"/>
      <c r="I95" s="1768"/>
      <c r="J95" s="1768"/>
      <c r="K95" s="1768"/>
      <c r="L95" s="1768"/>
      <c r="M95" s="1768"/>
      <c r="N95" s="1779"/>
      <c r="Y95" s="43" t="s">
        <v>543</v>
      </c>
    </row>
    <row r="96" spans="1:31" s="40" customFormat="1" ht="33.75" x14ac:dyDescent="0.2">
      <c r="A96" s="69" t="s">
        <v>190</v>
      </c>
      <c r="B96" s="70" t="s">
        <v>544</v>
      </c>
      <c r="C96" s="1785" t="s">
        <v>545</v>
      </c>
      <c r="D96" s="1785"/>
      <c r="E96" s="1785"/>
      <c r="F96" s="71" t="s">
        <v>201</v>
      </c>
      <c r="G96" s="71"/>
      <c r="H96" s="71"/>
      <c r="I96" s="71" t="s">
        <v>541</v>
      </c>
      <c r="J96" s="72">
        <v>95.19</v>
      </c>
      <c r="K96" s="71"/>
      <c r="L96" s="72">
        <v>1726.59</v>
      </c>
      <c r="M96" s="73"/>
      <c r="N96" s="74"/>
      <c r="X96" s="43" t="s">
        <v>545</v>
      </c>
    </row>
    <row r="97" spans="1:33" s="40" customFormat="1" x14ac:dyDescent="0.2">
      <c r="A97" s="88"/>
      <c r="B97" s="89"/>
      <c r="C97" s="48" t="s">
        <v>209</v>
      </c>
      <c r="D97" s="117"/>
      <c r="E97" s="117"/>
      <c r="F97" s="90"/>
      <c r="G97" s="90"/>
      <c r="H97" s="90"/>
      <c r="I97" s="90"/>
      <c r="J97" s="118"/>
      <c r="K97" s="90"/>
      <c r="L97" s="118"/>
      <c r="M97" s="119"/>
      <c r="N97" s="120"/>
    </row>
    <row r="98" spans="1:33" s="40" customFormat="1" x14ac:dyDescent="0.2">
      <c r="A98" s="75"/>
      <c r="B98" s="76"/>
      <c r="C98" s="1768" t="s">
        <v>543</v>
      </c>
      <c r="D98" s="1768"/>
      <c r="E98" s="1768"/>
      <c r="F98" s="1768"/>
      <c r="G98" s="1768"/>
      <c r="H98" s="1768"/>
      <c r="I98" s="1768"/>
      <c r="J98" s="1768"/>
      <c r="K98" s="1768"/>
      <c r="L98" s="1768"/>
      <c r="M98" s="1768"/>
      <c r="N98" s="1779"/>
      <c r="Y98" s="43" t="s">
        <v>543</v>
      </c>
    </row>
    <row r="99" spans="1:33" s="40" customFormat="1" ht="1.5" customHeight="1" x14ac:dyDescent="0.2">
      <c r="A99" s="90"/>
      <c r="B99" s="89"/>
      <c r="C99" s="89"/>
      <c r="D99" s="89"/>
      <c r="E99" s="89"/>
      <c r="F99" s="90"/>
      <c r="G99" s="90"/>
      <c r="H99" s="90"/>
      <c r="I99" s="90"/>
      <c r="J99" s="91"/>
      <c r="K99" s="90"/>
      <c r="L99" s="91"/>
      <c r="M99" s="80"/>
      <c r="N99" s="91"/>
    </row>
    <row r="100" spans="1:33" s="40" customFormat="1" ht="2.25" customHeight="1" x14ac:dyDescent="0.2"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105"/>
      <c r="M100" s="106"/>
      <c r="N100" s="107"/>
    </row>
    <row r="101" spans="1:33" s="40" customFormat="1" x14ac:dyDescent="0.2">
      <c r="A101" s="92"/>
      <c r="B101" s="93"/>
      <c r="C101" s="1785" t="s">
        <v>205</v>
      </c>
      <c r="D101" s="1785"/>
      <c r="E101" s="1785"/>
      <c r="F101" s="1785"/>
      <c r="G101" s="1785"/>
      <c r="H101" s="1785"/>
      <c r="I101" s="1785"/>
      <c r="J101" s="1785"/>
      <c r="K101" s="1785"/>
      <c r="L101" s="94"/>
      <c r="M101" s="95"/>
      <c r="N101" s="96"/>
      <c r="AF101" s="43" t="s">
        <v>205</v>
      </c>
    </row>
    <row r="102" spans="1:33" s="40" customFormat="1" x14ac:dyDescent="0.2">
      <c r="A102" s="97"/>
      <c r="B102" s="78"/>
      <c r="C102" s="1768" t="s">
        <v>403</v>
      </c>
      <c r="D102" s="1768"/>
      <c r="E102" s="1768"/>
      <c r="F102" s="1768"/>
      <c r="G102" s="1768"/>
      <c r="H102" s="1768"/>
      <c r="I102" s="1768"/>
      <c r="J102" s="1768"/>
      <c r="K102" s="1768"/>
      <c r="L102" s="98">
        <v>24745.43</v>
      </c>
      <c r="M102" s="99"/>
      <c r="N102" s="100"/>
      <c r="AG102" s="43" t="s">
        <v>403</v>
      </c>
    </row>
    <row r="103" spans="1:33" s="40" customFormat="1" x14ac:dyDescent="0.2">
      <c r="A103" s="97"/>
      <c r="B103" s="78"/>
      <c r="C103" s="1768" t="s">
        <v>204</v>
      </c>
      <c r="D103" s="1768"/>
      <c r="E103" s="1768"/>
      <c r="F103" s="1768"/>
      <c r="G103" s="1768"/>
      <c r="H103" s="1768"/>
      <c r="I103" s="1768"/>
      <c r="J103" s="1768"/>
      <c r="K103" s="1768"/>
      <c r="L103" s="98"/>
      <c r="M103" s="99"/>
      <c r="N103" s="100"/>
      <c r="AG103" s="43" t="s">
        <v>204</v>
      </c>
    </row>
    <row r="104" spans="1:33" s="40" customFormat="1" x14ac:dyDescent="0.2">
      <c r="A104" s="97"/>
      <c r="B104" s="78"/>
      <c r="C104" s="1768" t="s">
        <v>404</v>
      </c>
      <c r="D104" s="1768"/>
      <c r="E104" s="1768"/>
      <c r="F104" s="1768"/>
      <c r="G104" s="1768"/>
      <c r="H104" s="1768"/>
      <c r="I104" s="1768"/>
      <c r="J104" s="1768"/>
      <c r="K104" s="1768"/>
      <c r="L104" s="98">
        <v>3231.35</v>
      </c>
      <c r="M104" s="99"/>
      <c r="N104" s="100"/>
      <c r="AG104" s="43" t="s">
        <v>404</v>
      </c>
    </row>
    <row r="105" spans="1:33" s="40" customFormat="1" x14ac:dyDescent="0.2">
      <c r="A105" s="97"/>
      <c r="B105" s="78"/>
      <c r="C105" s="1768" t="s">
        <v>405</v>
      </c>
      <c r="D105" s="1768"/>
      <c r="E105" s="1768"/>
      <c r="F105" s="1768"/>
      <c r="G105" s="1768"/>
      <c r="H105" s="1768"/>
      <c r="I105" s="1768"/>
      <c r="J105" s="1768"/>
      <c r="K105" s="1768"/>
      <c r="L105" s="98">
        <v>19635.849999999999</v>
      </c>
      <c r="M105" s="99"/>
      <c r="N105" s="100"/>
      <c r="AG105" s="43" t="s">
        <v>405</v>
      </c>
    </row>
    <row r="106" spans="1:33" s="40" customFormat="1" x14ac:dyDescent="0.2">
      <c r="A106" s="97"/>
      <c r="B106" s="78"/>
      <c r="C106" s="1768" t="s">
        <v>406</v>
      </c>
      <c r="D106" s="1768"/>
      <c r="E106" s="1768"/>
      <c r="F106" s="1768"/>
      <c r="G106" s="1768"/>
      <c r="H106" s="1768"/>
      <c r="I106" s="1768"/>
      <c r="J106" s="1768"/>
      <c r="K106" s="1768"/>
      <c r="L106" s="98">
        <v>2259.2199999999998</v>
      </c>
      <c r="M106" s="99"/>
      <c r="N106" s="100"/>
      <c r="AG106" s="43" t="s">
        <v>406</v>
      </c>
    </row>
    <row r="107" spans="1:33" s="40" customFormat="1" x14ac:dyDescent="0.2">
      <c r="A107" s="97"/>
      <c r="B107" s="78"/>
      <c r="C107" s="1768" t="s">
        <v>480</v>
      </c>
      <c r="D107" s="1768"/>
      <c r="E107" s="1768"/>
      <c r="F107" s="1768"/>
      <c r="G107" s="1768"/>
      <c r="H107" s="1768"/>
      <c r="I107" s="1768"/>
      <c r="J107" s="1768"/>
      <c r="K107" s="1768"/>
      <c r="L107" s="98">
        <v>1878.23</v>
      </c>
      <c r="M107" s="99"/>
      <c r="N107" s="100"/>
      <c r="AG107" s="43" t="s">
        <v>480</v>
      </c>
    </row>
    <row r="108" spans="1:33" s="40" customFormat="1" x14ac:dyDescent="0.2">
      <c r="A108" s="97"/>
      <c r="B108" s="78" t="s">
        <v>185</v>
      </c>
      <c r="C108" s="1768" t="s">
        <v>407</v>
      </c>
      <c r="D108" s="1768"/>
      <c r="E108" s="1768"/>
      <c r="F108" s="1768"/>
      <c r="G108" s="1768"/>
      <c r="H108" s="1768"/>
      <c r="I108" s="1768"/>
      <c r="J108" s="1768"/>
      <c r="K108" s="1768"/>
      <c r="L108" s="98">
        <v>33623.07</v>
      </c>
      <c r="M108" s="99">
        <v>8.32</v>
      </c>
      <c r="N108" s="100">
        <v>279744</v>
      </c>
      <c r="AG108" s="43" t="s">
        <v>407</v>
      </c>
    </row>
    <row r="109" spans="1:33" s="40" customFormat="1" x14ac:dyDescent="0.2">
      <c r="A109" s="97"/>
      <c r="B109" s="78"/>
      <c r="C109" s="1768" t="s">
        <v>204</v>
      </c>
      <c r="D109" s="1768"/>
      <c r="E109" s="1768"/>
      <c r="F109" s="1768"/>
      <c r="G109" s="1768"/>
      <c r="H109" s="1768"/>
      <c r="I109" s="1768"/>
      <c r="J109" s="1768"/>
      <c r="K109" s="1768"/>
      <c r="L109" s="98"/>
      <c r="M109" s="99"/>
      <c r="N109" s="100"/>
      <c r="AG109" s="43" t="s">
        <v>204</v>
      </c>
    </row>
    <row r="110" spans="1:33" s="40" customFormat="1" x14ac:dyDescent="0.2">
      <c r="A110" s="97"/>
      <c r="B110" s="78"/>
      <c r="C110" s="1768" t="s">
        <v>546</v>
      </c>
      <c r="D110" s="1768"/>
      <c r="E110" s="1768"/>
      <c r="F110" s="1768"/>
      <c r="G110" s="1768"/>
      <c r="H110" s="1768"/>
      <c r="I110" s="1768"/>
      <c r="J110" s="1768"/>
      <c r="K110" s="1768"/>
      <c r="L110" s="98">
        <v>3231.35</v>
      </c>
      <c r="M110" s="99"/>
      <c r="N110" s="100"/>
      <c r="AG110" s="43" t="s">
        <v>546</v>
      </c>
    </row>
    <row r="111" spans="1:33" s="40" customFormat="1" x14ac:dyDescent="0.2">
      <c r="A111" s="97"/>
      <c r="B111" s="78"/>
      <c r="C111" s="1768" t="s">
        <v>442</v>
      </c>
      <c r="D111" s="1768"/>
      <c r="E111" s="1768"/>
      <c r="F111" s="1768"/>
      <c r="G111" s="1768"/>
      <c r="H111" s="1768"/>
      <c r="I111" s="1768"/>
      <c r="J111" s="1768"/>
      <c r="K111" s="1768"/>
      <c r="L111" s="98">
        <v>19635.849999999999</v>
      </c>
      <c r="M111" s="99"/>
      <c r="N111" s="100"/>
      <c r="AG111" s="43" t="s">
        <v>442</v>
      </c>
    </row>
    <row r="112" spans="1:33" s="40" customFormat="1" x14ac:dyDescent="0.2">
      <c r="A112" s="97"/>
      <c r="B112" s="78"/>
      <c r="C112" s="1768" t="s">
        <v>547</v>
      </c>
      <c r="D112" s="1768"/>
      <c r="E112" s="1768"/>
      <c r="F112" s="1768"/>
      <c r="G112" s="1768"/>
      <c r="H112" s="1768"/>
      <c r="I112" s="1768"/>
      <c r="J112" s="1768"/>
      <c r="K112" s="1768"/>
      <c r="L112" s="98">
        <v>1878.23</v>
      </c>
      <c r="M112" s="99"/>
      <c r="N112" s="100"/>
      <c r="AG112" s="43" t="s">
        <v>547</v>
      </c>
    </row>
    <row r="113" spans="1:35" x14ac:dyDescent="0.2">
      <c r="A113" s="97"/>
      <c r="B113" s="78"/>
      <c r="C113" s="1768" t="s">
        <v>443</v>
      </c>
      <c r="D113" s="1768"/>
      <c r="E113" s="1768"/>
      <c r="F113" s="1768"/>
      <c r="G113" s="1768"/>
      <c r="H113" s="1768"/>
      <c r="I113" s="1768"/>
      <c r="J113" s="1768"/>
      <c r="K113" s="1768"/>
      <c r="L113" s="98">
        <v>5664.84</v>
      </c>
      <c r="M113" s="99"/>
      <c r="N113" s="10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3" t="s">
        <v>443</v>
      </c>
      <c r="AH113" s="40"/>
      <c r="AI113" s="40"/>
    </row>
    <row r="114" spans="1:35" x14ac:dyDescent="0.2">
      <c r="A114" s="97"/>
      <c r="B114" s="78"/>
      <c r="C114" s="1768" t="s">
        <v>444</v>
      </c>
      <c r="D114" s="1768"/>
      <c r="E114" s="1768"/>
      <c r="F114" s="1768"/>
      <c r="G114" s="1768"/>
      <c r="H114" s="1768"/>
      <c r="I114" s="1768"/>
      <c r="J114" s="1768"/>
      <c r="K114" s="1768"/>
      <c r="L114" s="98">
        <v>3212.8</v>
      </c>
      <c r="M114" s="99"/>
      <c r="N114" s="10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3" t="s">
        <v>444</v>
      </c>
      <c r="AH114" s="40"/>
      <c r="AI114" s="40"/>
    </row>
    <row r="115" spans="1:35" x14ac:dyDescent="0.2">
      <c r="A115" s="97"/>
      <c r="B115" s="78"/>
      <c r="C115" s="1768" t="s">
        <v>415</v>
      </c>
      <c r="D115" s="1768"/>
      <c r="E115" s="1768"/>
      <c r="F115" s="1768"/>
      <c r="G115" s="1768"/>
      <c r="H115" s="1768"/>
      <c r="I115" s="1768"/>
      <c r="J115" s="1768"/>
      <c r="K115" s="1768"/>
      <c r="L115" s="98">
        <v>5490.57</v>
      </c>
      <c r="M115" s="99"/>
      <c r="N115" s="10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3" t="s">
        <v>415</v>
      </c>
      <c r="AH115" s="40"/>
      <c r="AI115" s="40"/>
    </row>
    <row r="116" spans="1:35" x14ac:dyDescent="0.2">
      <c r="A116" s="97"/>
      <c r="B116" s="78"/>
      <c r="C116" s="1768" t="s">
        <v>416</v>
      </c>
      <c r="D116" s="1768"/>
      <c r="E116" s="1768"/>
      <c r="F116" s="1768"/>
      <c r="G116" s="1768"/>
      <c r="H116" s="1768"/>
      <c r="I116" s="1768"/>
      <c r="J116" s="1768"/>
      <c r="K116" s="1768"/>
      <c r="L116" s="98">
        <v>5664.84</v>
      </c>
      <c r="M116" s="99"/>
      <c r="N116" s="10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3" t="s">
        <v>416</v>
      </c>
      <c r="AH116" s="40"/>
      <c r="AI116" s="40"/>
    </row>
    <row r="117" spans="1:35" x14ac:dyDescent="0.2">
      <c r="A117" s="97"/>
      <c r="B117" s="78"/>
      <c r="C117" s="1768" t="s">
        <v>417</v>
      </c>
      <c r="D117" s="1768"/>
      <c r="E117" s="1768"/>
      <c r="F117" s="1768"/>
      <c r="G117" s="1768"/>
      <c r="H117" s="1768"/>
      <c r="I117" s="1768"/>
      <c r="J117" s="1768"/>
      <c r="K117" s="1768"/>
      <c r="L117" s="98">
        <v>3212.8</v>
      </c>
      <c r="M117" s="99"/>
      <c r="N117" s="10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3" t="s">
        <v>417</v>
      </c>
      <c r="AH117" s="40"/>
      <c r="AI117" s="40"/>
    </row>
    <row r="118" spans="1:35" x14ac:dyDescent="0.2">
      <c r="A118" s="97"/>
      <c r="B118" s="91"/>
      <c r="C118" s="1787" t="s">
        <v>206</v>
      </c>
      <c r="D118" s="1787"/>
      <c r="E118" s="1787"/>
      <c r="F118" s="1787"/>
      <c r="G118" s="1787"/>
      <c r="H118" s="1787"/>
      <c r="I118" s="1787"/>
      <c r="J118" s="1787"/>
      <c r="K118" s="1787"/>
      <c r="L118" s="102">
        <v>33623.07</v>
      </c>
      <c r="M118" s="103"/>
      <c r="N118" s="108">
        <v>279744</v>
      </c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3" t="s">
        <v>206</v>
      </c>
      <c r="AI118" s="40"/>
    </row>
    <row r="119" spans="1:35" ht="1.5" customHeight="1" x14ac:dyDescent="0.2">
      <c r="B119" s="91"/>
      <c r="C119" s="89"/>
      <c r="D119" s="89"/>
      <c r="E119" s="89"/>
      <c r="F119" s="89"/>
      <c r="G119" s="89"/>
      <c r="H119" s="89"/>
      <c r="I119" s="89"/>
      <c r="J119" s="89"/>
      <c r="K119" s="89"/>
      <c r="L119" s="102"/>
      <c r="M119" s="103"/>
      <c r="N119" s="109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</row>
    <row r="120" spans="1:35" ht="53.25" customHeight="1" x14ac:dyDescent="0.2">
      <c r="A120" s="110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</row>
    <row r="121" spans="1:35" x14ac:dyDescent="0.2">
      <c r="B121" s="111" t="s">
        <v>149</v>
      </c>
      <c r="C121" s="1805" t="s">
        <v>207</v>
      </c>
      <c r="D121" s="1805"/>
      <c r="E121" s="1805"/>
      <c r="F121" s="1805"/>
      <c r="G121" s="1805"/>
      <c r="H121" s="1805"/>
      <c r="I121" s="1805"/>
      <c r="J121" s="1805"/>
      <c r="K121" s="1805"/>
      <c r="L121" s="1805"/>
      <c r="O121" s="40"/>
    </row>
    <row r="122" spans="1:35" ht="13.5" customHeight="1" x14ac:dyDescent="0.2">
      <c r="B122" s="41"/>
      <c r="C122" s="1788" t="s">
        <v>150</v>
      </c>
      <c r="D122" s="1788"/>
      <c r="E122" s="1788"/>
      <c r="F122" s="1788"/>
      <c r="G122" s="1788"/>
      <c r="H122" s="1788"/>
      <c r="I122" s="1788"/>
      <c r="J122" s="1788"/>
      <c r="K122" s="1788"/>
      <c r="L122" s="1788"/>
      <c r="O122" s="40"/>
    </row>
    <row r="123" spans="1:35" ht="12.75" customHeight="1" x14ac:dyDescent="0.2">
      <c r="B123" s="111" t="s">
        <v>151</v>
      </c>
      <c r="C123" s="1805" t="s">
        <v>208</v>
      </c>
      <c r="D123" s="1805"/>
      <c r="E123" s="1805"/>
      <c r="F123" s="1805"/>
      <c r="G123" s="1805"/>
      <c r="H123" s="1805"/>
      <c r="I123" s="1805"/>
      <c r="J123" s="1805"/>
      <c r="K123" s="1805"/>
      <c r="L123" s="1805"/>
      <c r="O123" s="40"/>
    </row>
    <row r="124" spans="1:35" ht="13.5" customHeight="1" x14ac:dyDescent="0.2">
      <c r="C124" s="1788" t="s">
        <v>150</v>
      </c>
      <c r="D124" s="1788"/>
      <c r="E124" s="1788"/>
      <c r="F124" s="1788"/>
      <c r="G124" s="1788"/>
      <c r="H124" s="1788"/>
      <c r="I124" s="1788"/>
      <c r="J124" s="1788"/>
      <c r="K124" s="1788"/>
      <c r="L124" s="1788"/>
      <c r="O124" s="40"/>
    </row>
    <row r="126" spans="1:35" x14ac:dyDescent="0.2">
      <c r="A126" s="1790"/>
      <c r="B126" s="1790"/>
      <c r="C126" s="1790"/>
      <c r="D126" s="1790"/>
      <c r="E126" s="1790"/>
      <c r="F126" s="1790"/>
      <c r="G126" s="1790"/>
      <c r="H126" s="1790"/>
      <c r="I126" s="1790"/>
      <c r="J126" s="1790"/>
      <c r="K126" s="1790"/>
      <c r="L126" s="1790"/>
      <c r="M126" s="1790"/>
      <c r="N126" s="179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3" t="s">
        <v>143</v>
      </c>
    </row>
    <row r="127" spans="1:35" x14ac:dyDescent="0.2">
      <c r="B127" s="112"/>
      <c r="D127" s="112"/>
      <c r="F127" s="112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</row>
  </sheetData>
  <mergeCells count="107">
    <mergeCell ref="A126:N126"/>
    <mergeCell ref="C117:K117"/>
    <mergeCell ref="C118:K118"/>
    <mergeCell ref="C121:L121"/>
    <mergeCell ref="C122:L122"/>
    <mergeCell ref="C123:L123"/>
    <mergeCell ref="C124:L124"/>
    <mergeCell ref="C111:K111"/>
    <mergeCell ref="C112:K112"/>
    <mergeCell ref="C113:K113"/>
    <mergeCell ref="C114:K114"/>
    <mergeCell ref="C115:K115"/>
    <mergeCell ref="C116:K116"/>
    <mergeCell ref="C105:K105"/>
    <mergeCell ref="C106:K106"/>
    <mergeCell ref="C107:K107"/>
    <mergeCell ref="C108:K108"/>
    <mergeCell ref="C109:K109"/>
    <mergeCell ref="C110:K110"/>
    <mergeCell ref="C96:E96"/>
    <mergeCell ref="C98:N98"/>
    <mergeCell ref="C101:K101"/>
    <mergeCell ref="C102:K102"/>
    <mergeCell ref="C103:K103"/>
    <mergeCell ref="C104:K104"/>
    <mergeCell ref="C89:E89"/>
    <mergeCell ref="C90:E90"/>
    <mergeCell ref="C91:E91"/>
    <mergeCell ref="C92:E92"/>
    <mergeCell ref="C93:E93"/>
    <mergeCell ref="C95:N95"/>
    <mergeCell ref="C83:E83"/>
    <mergeCell ref="C84:E84"/>
    <mergeCell ref="C85:E85"/>
    <mergeCell ref="C86:E86"/>
    <mergeCell ref="C87:E87"/>
    <mergeCell ref="C88:E88"/>
    <mergeCell ref="C77:E77"/>
    <mergeCell ref="C78:N78"/>
    <mergeCell ref="C79:N79"/>
    <mergeCell ref="C80:N80"/>
    <mergeCell ref="C81:E81"/>
    <mergeCell ref="C82:E82"/>
    <mergeCell ref="C71:E71"/>
    <mergeCell ref="C72:E72"/>
    <mergeCell ref="C73:E73"/>
    <mergeCell ref="C74:E74"/>
    <mergeCell ref="C75:E75"/>
    <mergeCell ref="A76:N76"/>
    <mergeCell ref="C65:N65"/>
    <mergeCell ref="C66:E66"/>
    <mergeCell ref="C67:E67"/>
    <mergeCell ref="C68:E68"/>
    <mergeCell ref="C69:E69"/>
    <mergeCell ref="C70:E70"/>
    <mergeCell ref="C59:E59"/>
    <mergeCell ref="C60:E60"/>
    <mergeCell ref="C61:E61"/>
    <mergeCell ref="C62:E62"/>
    <mergeCell ref="C63:E63"/>
    <mergeCell ref="C64:N64"/>
    <mergeCell ref="C53:N53"/>
    <mergeCell ref="C54:N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E52"/>
    <mergeCell ref="C41:E41"/>
    <mergeCell ref="C42:N42"/>
    <mergeCell ref="C43:N43"/>
    <mergeCell ref="C44:E44"/>
    <mergeCell ref="C45:E45"/>
    <mergeCell ref="C46:E46"/>
    <mergeCell ref="J35:L36"/>
    <mergeCell ref="M35:M37"/>
    <mergeCell ref="N35:N37"/>
    <mergeCell ref="C38:E38"/>
    <mergeCell ref="A39:N39"/>
    <mergeCell ref="A40:N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12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AG84"/>
  <sheetViews>
    <sheetView topLeftCell="A52" zoomScale="115" zoomScaleNormal="115" workbookViewId="0"/>
  </sheetViews>
  <sheetFormatPr defaultColWidth="9.140625" defaultRowHeight="11.25" customHeight="1" x14ac:dyDescent="0.25"/>
  <cols>
    <col min="1" max="1" width="8.140625" style="40" customWidth="1"/>
    <col min="2" max="2" width="20.140625" style="40" customWidth="1"/>
    <col min="3" max="4" width="10.42578125" style="40" customWidth="1"/>
    <col min="5" max="5" width="13.28515625" style="40" customWidth="1"/>
    <col min="6" max="6" width="8.5703125" style="40" customWidth="1"/>
    <col min="7" max="7" width="7.85546875" style="40" customWidth="1"/>
    <col min="8" max="8" width="8.42578125" style="40" customWidth="1"/>
    <col min="9" max="9" width="8.7109375" style="40" customWidth="1"/>
    <col min="10" max="10" width="8.140625" style="40" customWidth="1"/>
    <col min="11" max="11" width="8.5703125" style="40" customWidth="1"/>
    <col min="12" max="12" width="10" style="40" customWidth="1"/>
    <col min="13" max="13" width="6" style="40" customWidth="1"/>
    <col min="14" max="14" width="9.7109375" style="40" customWidth="1"/>
    <col min="15" max="15" width="9.140625" style="113"/>
    <col min="16" max="16" width="49.140625" style="43" hidden="1" customWidth="1"/>
    <col min="17" max="17" width="42.42578125" style="43" hidden="1" customWidth="1"/>
    <col min="18" max="18" width="99.7109375" style="43" hidden="1" customWidth="1"/>
    <col min="19" max="22" width="138.42578125" style="43" hidden="1" customWidth="1"/>
    <col min="23" max="23" width="34.140625" style="43" hidden="1" customWidth="1"/>
    <col min="24" max="25" width="110.140625" style="43" hidden="1" customWidth="1"/>
    <col min="26" max="29" width="34.140625" style="43" hidden="1" customWidth="1"/>
    <col min="30" max="32" width="84.42578125" style="43" hidden="1" customWidth="1"/>
    <col min="33" max="33" width="138.42578125" style="43" hidden="1" customWidth="1"/>
    <col min="34" max="16384" width="9.140625" style="40"/>
  </cols>
  <sheetData>
    <row r="1" spans="1:20" s="40" customFormat="1" x14ac:dyDescent="0.2">
      <c r="N1" s="41" t="s">
        <v>152</v>
      </c>
    </row>
    <row r="2" spans="1:20" s="40" customFormat="1" x14ac:dyDescent="0.2">
      <c r="N2" s="41" t="s">
        <v>141</v>
      </c>
    </row>
    <row r="3" spans="1:20" s="40" customFormat="1" ht="8.25" customHeight="1" x14ac:dyDescent="0.2">
      <c r="N3" s="41"/>
    </row>
    <row r="4" spans="1:20" s="40" customFormat="1" ht="14.25" customHeight="1" x14ac:dyDescent="0.2">
      <c r="A4" s="1772" t="s">
        <v>153</v>
      </c>
      <c r="B4" s="1772"/>
      <c r="C4" s="1772"/>
      <c r="D4" s="42"/>
      <c r="K4" s="1772" t="s">
        <v>154</v>
      </c>
      <c r="L4" s="1772"/>
      <c r="M4" s="1772"/>
      <c r="N4" s="1772"/>
    </row>
    <row r="5" spans="1:20" s="40" customFormat="1" ht="12" customHeight="1" x14ac:dyDescent="0.2">
      <c r="A5" s="1773"/>
      <c r="B5" s="1773"/>
      <c r="C5" s="1773"/>
      <c r="D5" s="1773"/>
      <c r="E5" s="43"/>
      <c r="J5" s="1774"/>
      <c r="K5" s="1774"/>
      <c r="L5" s="1774"/>
      <c r="M5" s="1774"/>
      <c r="N5" s="1774"/>
    </row>
    <row r="6" spans="1:20" s="40" customFormat="1" x14ac:dyDescent="0.2">
      <c r="A6" s="1768"/>
      <c r="B6" s="1768"/>
      <c r="C6" s="1768"/>
      <c r="D6" s="1768"/>
      <c r="J6" s="1768"/>
      <c r="K6" s="1768"/>
      <c r="L6" s="1768"/>
      <c r="M6" s="1768"/>
      <c r="N6" s="1768"/>
      <c r="P6" s="43" t="s">
        <v>143</v>
      </c>
      <c r="Q6" s="43" t="s">
        <v>143</v>
      </c>
    </row>
    <row r="7" spans="1:20" s="40" customFormat="1" ht="17.25" customHeight="1" x14ac:dyDescent="0.2">
      <c r="A7" s="496"/>
      <c r="B7" s="497"/>
      <c r="C7" s="43"/>
      <c r="D7" s="43"/>
      <c r="K7" s="496"/>
      <c r="L7" s="496"/>
      <c r="M7" s="496"/>
      <c r="N7" s="497"/>
    </row>
    <row r="8" spans="1:20" s="40" customFormat="1" ht="16.5" customHeight="1" x14ac:dyDescent="0.2">
      <c r="A8" s="40" t="s">
        <v>155</v>
      </c>
      <c r="B8" s="46"/>
      <c r="C8" s="46"/>
      <c r="D8" s="46"/>
      <c r="L8" s="46"/>
      <c r="M8" s="46"/>
      <c r="N8" s="41" t="s">
        <v>155</v>
      </c>
    </row>
    <row r="9" spans="1:20" s="40" customFormat="1" ht="15.75" customHeight="1" x14ac:dyDescent="0.2">
      <c r="F9" s="47"/>
    </row>
    <row r="10" spans="1:20" s="40" customFormat="1" ht="33.75" x14ac:dyDescent="0.2">
      <c r="A10" s="522" t="s">
        <v>156</v>
      </c>
      <c r="B10" s="46"/>
      <c r="D10" s="1768" t="s">
        <v>157</v>
      </c>
      <c r="E10" s="1768"/>
      <c r="F10" s="1768"/>
      <c r="G10" s="1768"/>
      <c r="H10" s="1768"/>
      <c r="I10" s="1768"/>
      <c r="J10" s="1768"/>
      <c r="K10" s="1768"/>
      <c r="L10" s="1768"/>
      <c r="M10" s="1768"/>
      <c r="N10" s="1768"/>
      <c r="R10" s="43" t="s">
        <v>157</v>
      </c>
    </row>
    <row r="11" spans="1:20" s="40" customFormat="1" ht="15" customHeight="1" x14ac:dyDescent="0.2">
      <c r="A11" s="49" t="s">
        <v>158</v>
      </c>
      <c r="D11" s="496" t="s">
        <v>159</v>
      </c>
      <c r="E11" s="496"/>
      <c r="F11" s="498"/>
      <c r="G11" s="498"/>
      <c r="H11" s="498"/>
      <c r="I11" s="498"/>
      <c r="J11" s="498"/>
      <c r="K11" s="498"/>
      <c r="L11" s="498"/>
      <c r="M11" s="498"/>
      <c r="N11" s="498"/>
    </row>
    <row r="12" spans="1:20" s="40" customFormat="1" ht="8.25" customHeight="1" x14ac:dyDescent="0.2">
      <c r="A12" s="49"/>
      <c r="F12" s="46"/>
      <c r="G12" s="46"/>
      <c r="H12" s="46"/>
      <c r="I12" s="46"/>
      <c r="J12" s="46"/>
      <c r="K12" s="46"/>
      <c r="L12" s="46"/>
      <c r="M12" s="46"/>
      <c r="N12" s="46"/>
    </row>
    <row r="13" spans="1:20" s="40" customFormat="1" x14ac:dyDescent="0.2">
      <c r="A13" s="1769" t="s">
        <v>488</v>
      </c>
      <c r="B13" s="1769"/>
      <c r="C13" s="1769"/>
      <c r="D13" s="1769"/>
      <c r="E13" s="1769"/>
      <c r="F13" s="1769"/>
      <c r="G13" s="1769"/>
      <c r="H13" s="1769"/>
      <c r="I13" s="1769"/>
      <c r="J13" s="1769"/>
      <c r="K13" s="1769"/>
      <c r="L13" s="1769"/>
      <c r="M13" s="1769"/>
      <c r="N13" s="1769"/>
      <c r="S13" s="43" t="s">
        <v>488</v>
      </c>
    </row>
    <row r="14" spans="1:20" s="40" customFormat="1" x14ac:dyDescent="0.2">
      <c r="A14" s="1816" t="s">
        <v>139</v>
      </c>
      <c r="B14" s="1816"/>
      <c r="C14" s="1816"/>
      <c r="D14" s="1816"/>
      <c r="E14" s="1816"/>
      <c r="F14" s="1816"/>
      <c r="G14" s="1816"/>
      <c r="H14" s="1816"/>
      <c r="I14" s="1816"/>
      <c r="J14" s="1816"/>
      <c r="K14" s="1816"/>
      <c r="L14" s="1816"/>
      <c r="M14" s="1816"/>
      <c r="N14" s="1816"/>
    </row>
    <row r="15" spans="1:20" s="40" customFormat="1" ht="8.25" customHeight="1" x14ac:dyDescent="0.2">
      <c r="A15" s="51"/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</row>
    <row r="16" spans="1:20" s="40" customFormat="1" x14ac:dyDescent="0.2">
      <c r="A16" s="1769" t="s">
        <v>15</v>
      </c>
      <c r="B16" s="1769"/>
      <c r="C16" s="1769"/>
      <c r="D16" s="1769"/>
      <c r="E16" s="1769"/>
      <c r="F16" s="1769"/>
      <c r="G16" s="1769"/>
      <c r="H16" s="1769"/>
      <c r="I16" s="1769"/>
      <c r="J16" s="1769"/>
      <c r="K16" s="1769"/>
      <c r="L16" s="1769"/>
      <c r="M16" s="1769"/>
      <c r="N16" s="1769"/>
      <c r="T16" s="43" t="s">
        <v>15</v>
      </c>
    </row>
    <row r="17" spans="1:21" s="40" customFormat="1" x14ac:dyDescent="0.2">
      <c r="A17" s="1816" t="s">
        <v>142</v>
      </c>
      <c r="B17" s="1816"/>
      <c r="C17" s="1816"/>
      <c r="D17" s="1816"/>
      <c r="E17" s="1816"/>
      <c r="F17" s="1816"/>
      <c r="G17" s="1816"/>
      <c r="H17" s="1816"/>
      <c r="I17" s="1816"/>
      <c r="J17" s="1816"/>
      <c r="K17" s="1816"/>
      <c r="L17" s="1816"/>
      <c r="M17" s="1816"/>
      <c r="N17" s="1816"/>
    </row>
    <row r="18" spans="1:21" s="40" customFormat="1" ht="24" customHeight="1" x14ac:dyDescent="0.25">
      <c r="A18" s="1771" t="s">
        <v>548</v>
      </c>
      <c r="B18" s="1771"/>
      <c r="C18" s="1771"/>
      <c r="D18" s="1771"/>
      <c r="E18" s="1771"/>
      <c r="F18" s="1771"/>
      <c r="G18" s="1771"/>
      <c r="H18" s="1771"/>
      <c r="I18" s="1771"/>
      <c r="J18" s="1771"/>
      <c r="K18" s="1771"/>
      <c r="L18" s="1771"/>
      <c r="M18" s="1771"/>
      <c r="N18" s="1771"/>
    </row>
    <row r="19" spans="1:21" s="40" customFormat="1" ht="8.25" customHeight="1" x14ac:dyDescent="0.25">
      <c r="A19" s="521"/>
      <c r="B19" s="521"/>
      <c r="C19" s="521"/>
      <c r="D19" s="521"/>
      <c r="E19" s="521"/>
      <c r="F19" s="521"/>
      <c r="G19" s="521"/>
      <c r="H19" s="521"/>
      <c r="I19" s="521"/>
      <c r="J19" s="521"/>
      <c r="K19" s="521"/>
      <c r="L19" s="521"/>
      <c r="M19" s="521"/>
      <c r="N19" s="521"/>
    </row>
    <row r="20" spans="1:21" s="40" customFormat="1" x14ac:dyDescent="0.2">
      <c r="A20" s="1815" t="s">
        <v>7074</v>
      </c>
      <c r="B20" s="1815"/>
      <c r="C20" s="1815"/>
      <c r="D20" s="1815"/>
      <c r="E20" s="1815"/>
      <c r="F20" s="1815"/>
      <c r="G20" s="1815"/>
      <c r="H20" s="1815"/>
      <c r="I20" s="1815"/>
      <c r="J20" s="1815"/>
      <c r="K20" s="1815"/>
      <c r="L20" s="1815"/>
      <c r="M20" s="1815"/>
      <c r="N20" s="1815"/>
      <c r="U20" s="43" t="s">
        <v>17</v>
      </c>
    </row>
    <row r="21" spans="1:21" s="40" customFormat="1" ht="13.5" customHeight="1" x14ac:dyDescent="0.2">
      <c r="A21" s="1816" t="s">
        <v>160</v>
      </c>
      <c r="B21" s="1816"/>
      <c r="C21" s="1816"/>
      <c r="D21" s="1816"/>
      <c r="E21" s="1816"/>
      <c r="F21" s="1816"/>
      <c r="G21" s="1816"/>
      <c r="H21" s="1816"/>
      <c r="I21" s="1816"/>
      <c r="J21" s="1816"/>
      <c r="K21" s="1816"/>
      <c r="L21" s="1816"/>
      <c r="M21" s="1816"/>
      <c r="N21" s="1816"/>
    </row>
    <row r="22" spans="1:21" s="40" customFormat="1" ht="15" customHeight="1" x14ac:dyDescent="0.2">
      <c r="A22" s="40" t="s">
        <v>161</v>
      </c>
      <c r="B22" s="499" t="s">
        <v>162</v>
      </c>
      <c r="C22" s="40" t="s">
        <v>163</v>
      </c>
      <c r="F22" s="43"/>
      <c r="G22" s="43"/>
      <c r="H22" s="43"/>
      <c r="I22" s="43"/>
      <c r="J22" s="43"/>
      <c r="K22" s="43"/>
      <c r="L22" s="43"/>
      <c r="M22" s="43"/>
      <c r="N22" s="43"/>
    </row>
    <row r="23" spans="1:21" s="40" customFormat="1" ht="18" customHeight="1" x14ac:dyDescent="0.2">
      <c r="A23" s="40" t="s">
        <v>164</v>
      </c>
      <c r="B23" s="1815" t="s">
        <v>490</v>
      </c>
      <c r="C23" s="1815"/>
      <c r="D23" s="1815"/>
      <c r="E23" s="1815"/>
      <c r="F23" s="1815"/>
      <c r="G23" s="43"/>
      <c r="H23" s="43"/>
      <c r="I23" s="43"/>
      <c r="J23" s="43"/>
      <c r="K23" s="43"/>
      <c r="L23" s="43"/>
      <c r="M23" s="43"/>
      <c r="N23" s="43"/>
    </row>
    <row r="24" spans="1:21" s="40" customFormat="1" x14ac:dyDescent="0.2">
      <c r="B24" s="1817" t="s">
        <v>144</v>
      </c>
      <c r="C24" s="1817"/>
      <c r="D24" s="1817"/>
      <c r="E24" s="1817"/>
      <c r="F24" s="1817"/>
      <c r="G24" s="54"/>
      <c r="H24" s="54"/>
      <c r="I24" s="54"/>
      <c r="J24" s="54"/>
      <c r="K24" s="54"/>
      <c r="L24" s="54"/>
      <c r="M24" s="55"/>
      <c r="N24" s="54"/>
    </row>
    <row r="25" spans="1:21" s="40" customFormat="1" ht="9.75" customHeight="1" x14ac:dyDescent="0.2">
      <c r="D25" s="56"/>
      <c r="E25" s="56"/>
      <c r="F25" s="56"/>
      <c r="G25" s="56"/>
      <c r="H25" s="56"/>
      <c r="I25" s="56"/>
      <c r="J25" s="56"/>
      <c r="K25" s="56"/>
      <c r="L25" s="56"/>
      <c r="M25" s="54"/>
      <c r="N25" s="54"/>
    </row>
    <row r="26" spans="1:21" s="40" customFormat="1" x14ac:dyDescent="0.2">
      <c r="A26" s="57" t="s">
        <v>165</v>
      </c>
      <c r="D26" s="496" t="s">
        <v>301</v>
      </c>
      <c r="F26" s="58"/>
      <c r="G26" s="58"/>
      <c r="H26" s="58"/>
      <c r="I26" s="58"/>
      <c r="J26" s="58"/>
      <c r="K26" s="58"/>
      <c r="L26" s="58"/>
      <c r="M26" s="58"/>
      <c r="N26" s="58"/>
    </row>
    <row r="27" spans="1:21" s="40" customFormat="1" ht="9.75" customHeight="1" x14ac:dyDescent="0.2"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</row>
    <row r="28" spans="1:21" s="40" customFormat="1" ht="12.75" customHeight="1" x14ac:dyDescent="0.2">
      <c r="A28" s="57" t="s">
        <v>166</v>
      </c>
      <c r="C28" s="500">
        <v>17.18</v>
      </c>
      <c r="D28" s="501" t="s">
        <v>6711</v>
      </c>
      <c r="E28" s="522" t="s">
        <v>167</v>
      </c>
      <c r="L28" s="61"/>
      <c r="M28" s="61"/>
    </row>
    <row r="29" spans="1:21" s="40" customFormat="1" ht="12.75" customHeight="1" x14ac:dyDescent="0.2">
      <c r="B29" s="40" t="s">
        <v>168</v>
      </c>
      <c r="C29" s="62"/>
      <c r="D29" s="63"/>
      <c r="E29" s="522"/>
    </row>
    <row r="30" spans="1:21" s="40" customFormat="1" ht="12.75" customHeight="1" x14ac:dyDescent="0.2">
      <c r="B30" s="40" t="s">
        <v>169</v>
      </c>
      <c r="C30" s="500">
        <v>17.18</v>
      </c>
      <c r="D30" s="501" t="s">
        <v>6711</v>
      </c>
      <c r="E30" s="522" t="s">
        <v>167</v>
      </c>
      <c r="G30" s="40" t="s">
        <v>170</v>
      </c>
      <c r="L30" s="500">
        <v>0</v>
      </c>
      <c r="M30" s="501" t="s">
        <v>6712</v>
      </c>
      <c r="N30" s="522" t="s">
        <v>167</v>
      </c>
    </row>
    <row r="31" spans="1:21" s="40" customFormat="1" ht="12.75" customHeight="1" x14ac:dyDescent="0.2">
      <c r="B31" s="40" t="s">
        <v>140</v>
      </c>
      <c r="C31" s="500">
        <v>0</v>
      </c>
      <c r="D31" s="502" t="s">
        <v>171</v>
      </c>
      <c r="E31" s="522" t="s">
        <v>167</v>
      </c>
      <c r="G31" s="40" t="s">
        <v>172</v>
      </c>
      <c r="L31" s="503"/>
      <c r="M31" s="503">
        <v>14.43</v>
      </c>
      <c r="N31" s="49" t="s">
        <v>173</v>
      </c>
    </row>
    <row r="32" spans="1:21" s="40" customFormat="1" ht="12.75" customHeight="1" x14ac:dyDescent="0.2">
      <c r="B32" s="40" t="s">
        <v>146</v>
      </c>
      <c r="C32" s="500">
        <v>0</v>
      </c>
      <c r="D32" s="502" t="s">
        <v>171</v>
      </c>
      <c r="E32" s="522" t="s">
        <v>167</v>
      </c>
      <c r="G32" s="40" t="s">
        <v>174</v>
      </c>
      <c r="L32" s="503"/>
      <c r="M32" s="503">
        <v>3.12</v>
      </c>
      <c r="N32" s="49" t="s">
        <v>173</v>
      </c>
    </row>
    <row r="33" spans="1:28" s="40" customFormat="1" ht="12.75" customHeight="1" x14ac:dyDescent="0.2">
      <c r="B33" s="40" t="s">
        <v>147</v>
      </c>
      <c r="C33" s="500">
        <v>0</v>
      </c>
      <c r="D33" s="501" t="s">
        <v>171</v>
      </c>
      <c r="E33" s="522" t="s">
        <v>167</v>
      </c>
      <c r="G33" s="40" t="s">
        <v>175</v>
      </c>
      <c r="L33" s="1818"/>
      <c r="M33" s="1818"/>
    </row>
    <row r="34" spans="1:28" s="40" customFormat="1" ht="9.75" customHeight="1" x14ac:dyDescent="0.2">
      <c r="A34" s="66"/>
    </row>
    <row r="35" spans="1:28" s="40" customFormat="1" ht="36" customHeight="1" x14ac:dyDescent="0.2">
      <c r="A35" s="1810" t="s">
        <v>8</v>
      </c>
      <c r="B35" s="1810" t="s">
        <v>145</v>
      </c>
      <c r="C35" s="1810" t="s">
        <v>176</v>
      </c>
      <c r="D35" s="1810"/>
      <c r="E35" s="1810"/>
      <c r="F35" s="1810" t="s">
        <v>177</v>
      </c>
      <c r="G35" s="1810" t="s">
        <v>178</v>
      </c>
      <c r="H35" s="1810"/>
      <c r="I35" s="1810"/>
      <c r="J35" s="1810" t="s">
        <v>179</v>
      </c>
      <c r="K35" s="1810"/>
      <c r="L35" s="1810"/>
      <c r="M35" s="1810" t="s">
        <v>180</v>
      </c>
      <c r="N35" s="1810" t="s">
        <v>181</v>
      </c>
    </row>
    <row r="36" spans="1:28" s="40" customFormat="1" ht="36.75" customHeight="1" x14ac:dyDescent="0.2">
      <c r="A36" s="1810"/>
      <c r="B36" s="1810"/>
      <c r="C36" s="1810"/>
      <c r="D36" s="1810"/>
      <c r="E36" s="1810"/>
      <c r="F36" s="1810"/>
      <c r="G36" s="1810"/>
      <c r="H36" s="1810"/>
      <c r="I36" s="1810"/>
      <c r="J36" s="1810"/>
      <c r="K36" s="1810"/>
      <c r="L36" s="1810"/>
      <c r="M36" s="1810"/>
      <c r="N36" s="1810"/>
    </row>
    <row r="37" spans="1:28" s="40" customFormat="1" ht="45" x14ac:dyDescent="0.2">
      <c r="A37" s="1810"/>
      <c r="B37" s="1810"/>
      <c r="C37" s="1810"/>
      <c r="D37" s="1810"/>
      <c r="E37" s="1810"/>
      <c r="F37" s="1810"/>
      <c r="G37" s="525" t="s">
        <v>182</v>
      </c>
      <c r="H37" s="525" t="s">
        <v>183</v>
      </c>
      <c r="I37" s="525" t="s">
        <v>184</v>
      </c>
      <c r="J37" s="525" t="s">
        <v>182</v>
      </c>
      <c r="K37" s="525" t="s">
        <v>183</v>
      </c>
      <c r="L37" s="525" t="s">
        <v>148</v>
      </c>
      <c r="M37" s="1810"/>
      <c r="N37" s="1810"/>
    </row>
    <row r="38" spans="1:28" s="40" customFormat="1" x14ac:dyDescent="0.2">
      <c r="A38" s="526">
        <v>1</v>
      </c>
      <c r="B38" s="526">
        <v>2</v>
      </c>
      <c r="C38" s="1811">
        <v>3</v>
      </c>
      <c r="D38" s="1811"/>
      <c r="E38" s="1811"/>
      <c r="F38" s="526">
        <v>4</v>
      </c>
      <c r="G38" s="526">
        <v>5</v>
      </c>
      <c r="H38" s="526">
        <v>6</v>
      </c>
      <c r="I38" s="526">
        <v>7</v>
      </c>
      <c r="J38" s="526">
        <v>8</v>
      </c>
      <c r="K38" s="526">
        <v>9</v>
      </c>
      <c r="L38" s="526">
        <v>10</v>
      </c>
      <c r="M38" s="526">
        <v>11</v>
      </c>
      <c r="N38" s="526">
        <v>12</v>
      </c>
    </row>
    <row r="39" spans="1:28" s="40" customFormat="1" ht="12" x14ac:dyDescent="0.2">
      <c r="A39" s="1812" t="s">
        <v>549</v>
      </c>
      <c r="B39" s="1813"/>
      <c r="C39" s="1813"/>
      <c r="D39" s="1813"/>
      <c r="E39" s="1813"/>
      <c r="F39" s="1813"/>
      <c r="G39" s="1813"/>
      <c r="H39" s="1813"/>
      <c r="I39" s="1813"/>
      <c r="J39" s="1813"/>
      <c r="K39" s="1813"/>
      <c r="L39" s="1813"/>
      <c r="M39" s="1813"/>
      <c r="N39" s="1814"/>
      <c r="V39" s="43" t="s">
        <v>549</v>
      </c>
    </row>
    <row r="40" spans="1:28" s="40" customFormat="1" ht="22.5" x14ac:dyDescent="0.2">
      <c r="A40" s="163" t="s">
        <v>185</v>
      </c>
      <c r="B40" s="524" t="s">
        <v>550</v>
      </c>
      <c r="C40" s="1809" t="s">
        <v>551</v>
      </c>
      <c r="D40" s="1809"/>
      <c r="E40" s="1809"/>
      <c r="F40" s="165" t="s">
        <v>509</v>
      </c>
      <c r="G40" s="165"/>
      <c r="H40" s="165"/>
      <c r="I40" s="165" t="s">
        <v>6713</v>
      </c>
      <c r="J40" s="166"/>
      <c r="K40" s="165"/>
      <c r="L40" s="166"/>
      <c r="M40" s="167"/>
      <c r="N40" s="168"/>
      <c r="W40" s="43" t="s">
        <v>551</v>
      </c>
    </row>
    <row r="41" spans="1:28" s="40" customFormat="1" x14ac:dyDescent="0.2">
      <c r="A41" s="75"/>
      <c r="B41" s="520"/>
      <c r="C41" s="1768" t="s">
        <v>6714</v>
      </c>
      <c r="D41" s="1768"/>
      <c r="E41" s="1768"/>
      <c r="F41" s="1768"/>
      <c r="G41" s="1768"/>
      <c r="H41" s="1768"/>
      <c r="I41" s="1768"/>
      <c r="J41" s="1768"/>
      <c r="K41" s="1768"/>
      <c r="L41" s="1768"/>
      <c r="M41" s="1768"/>
      <c r="N41" s="1779"/>
      <c r="X41" s="43" t="s">
        <v>6714</v>
      </c>
    </row>
    <row r="42" spans="1:28" s="40" customFormat="1" ht="22.5" x14ac:dyDescent="0.2">
      <c r="A42" s="77"/>
      <c r="B42" s="78" t="s">
        <v>499</v>
      </c>
      <c r="C42" s="1768" t="s">
        <v>500</v>
      </c>
      <c r="D42" s="1768"/>
      <c r="E42" s="1768"/>
      <c r="F42" s="1768"/>
      <c r="G42" s="1768"/>
      <c r="H42" s="1768"/>
      <c r="I42" s="1768"/>
      <c r="J42" s="1768"/>
      <c r="K42" s="1768"/>
      <c r="L42" s="1768"/>
      <c r="M42" s="1768"/>
      <c r="N42" s="1779"/>
      <c r="Y42" s="43" t="s">
        <v>500</v>
      </c>
    </row>
    <row r="43" spans="1:28" s="40" customFormat="1" x14ac:dyDescent="0.2">
      <c r="A43" s="79"/>
      <c r="B43" s="78" t="s">
        <v>185</v>
      </c>
      <c r="C43" s="1768" t="s">
        <v>312</v>
      </c>
      <c r="D43" s="1768"/>
      <c r="E43" s="1768"/>
      <c r="F43" s="80"/>
      <c r="G43" s="80"/>
      <c r="H43" s="80"/>
      <c r="I43" s="80"/>
      <c r="J43" s="81">
        <v>447.88</v>
      </c>
      <c r="K43" s="80" t="s">
        <v>313</v>
      </c>
      <c r="L43" s="81">
        <v>112.53</v>
      </c>
      <c r="M43" s="82"/>
      <c r="N43" s="83"/>
      <c r="Z43" s="43" t="s">
        <v>312</v>
      </c>
    </row>
    <row r="44" spans="1:28" s="40" customFormat="1" x14ac:dyDescent="0.2">
      <c r="A44" s="79"/>
      <c r="B44" s="78" t="s">
        <v>186</v>
      </c>
      <c r="C44" s="1768" t="s">
        <v>344</v>
      </c>
      <c r="D44" s="1768"/>
      <c r="E44" s="1768"/>
      <c r="F44" s="80"/>
      <c r="G44" s="80"/>
      <c r="H44" s="80"/>
      <c r="I44" s="80"/>
      <c r="J44" s="81">
        <v>1318.41</v>
      </c>
      <c r="K44" s="80" t="s">
        <v>313</v>
      </c>
      <c r="L44" s="81">
        <v>331.25</v>
      </c>
      <c r="M44" s="82"/>
      <c r="N44" s="83"/>
      <c r="Z44" s="43" t="s">
        <v>344</v>
      </c>
    </row>
    <row r="45" spans="1:28" s="40" customFormat="1" x14ac:dyDescent="0.2">
      <c r="A45" s="79"/>
      <c r="B45" s="78" t="s">
        <v>187</v>
      </c>
      <c r="C45" s="1768" t="s">
        <v>345</v>
      </c>
      <c r="D45" s="1768"/>
      <c r="E45" s="1768"/>
      <c r="F45" s="80"/>
      <c r="G45" s="80"/>
      <c r="H45" s="80"/>
      <c r="I45" s="80"/>
      <c r="J45" s="81">
        <v>167.81</v>
      </c>
      <c r="K45" s="80" t="s">
        <v>313</v>
      </c>
      <c r="L45" s="81">
        <v>42.16</v>
      </c>
      <c r="M45" s="82"/>
      <c r="N45" s="83"/>
      <c r="Z45" s="43" t="s">
        <v>345</v>
      </c>
    </row>
    <row r="46" spans="1:28" s="40" customFormat="1" x14ac:dyDescent="0.2">
      <c r="A46" s="79"/>
      <c r="B46" s="78"/>
      <c r="C46" s="1768" t="s">
        <v>314</v>
      </c>
      <c r="D46" s="1768"/>
      <c r="E46" s="1768"/>
      <c r="F46" s="80" t="s">
        <v>315</v>
      </c>
      <c r="G46" s="80" t="s">
        <v>552</v>
      </c>
      <c r="H46" s="80" t="s">
        <v>313</v>
      </c>
      <c r="I46" s="80" t="s">
        <v>6715</v>
      </c>
      <c r="J46" s="81"/>
      <c r="K46" s="80"/>
      <c r="L46" s="81"/>
      <c r="M46" s="82"/>
      <c r="N46" s="83"/>
      <c r="AA46" s="43" t="s">
        <v>314</v>
      </c>
    </row>
    <row r="47" spans="1:28" s="40" customFormat="1" x14ac:dyDescent="0.2">
      <c r="A47" s="79"/>
      <c r="B47" s="78"/>
      <c r="C47" s="1768" t="s">
        <v>348</v>
      </c>
      <c r="D47" s="1768"/>
      <c r="E47" s="1768"/>
      <c r="F47" s="80" t="s">
        <v>315</v>
      </c>
      <c r="G47" s="80" t="s">
        <v>553</v>
      </c>
      <c r="H47" s="80" t="s">
        <v>313</v>
      </c>
      <c r="I47" s="80" t="s">
        <v>6716</v>
      </c>
      <c r="J47" s="81"/>
      <c r="K47" s="80"/>
      <c r="L47" s="81"/>
      <c r="M47" s="82"/>
      <c r="N47" s="83"/>
      <c r="AA47" s="43" t="s">
        <v>348</v>
      </c>
    </row>
    <row r="48" spans="1:28" s="40" customFormat="1" x14ac:dyDescent="0.2">
      <c r="A48" s="79"/>
      <c r="B48" s="78"/>
      <c r="C48" s="1808" t="s">
        <v>318</v>
      </c>
      <c r="D48" s="1808"/>
      <c r="E48" s="1808"/>
      <c r="F48" s="169"/>
      <c r="G48" s="169"/>
      <c r="H48" s="169"/>
      <c r="I48" s="169"/>
      <c r="J48" s="170">
        <v>1766.29</v>
      </c>
      <c r="K48" s="169"/>
      <c r="L48" s="170">
        <v>443.78</v>
      </c>
      <c r="M48" s="171"/>
      <c r="N48" s="172"/>
      <c r="AB48" s="43" t="s">
        <v>318</v>
      </c>
    </row>
    <row r="49" spans="1:31" s="40" customFormat="1" x14ac:dyDescent="0.2">
      <c r="A49" s="79"/>
      <c r="B49" s="78"/>
      <c r="C49" s="1768" t="s">
        <v>319</v>
      </c>
      <c r="D49" s="1768"/>
      <c r="E49" s="1768"/>
      <c r="F49" s="80"/>
      <c r="G49" s="80"/>
      <c r="H49" s="80"/>
      <c r="I49" s="80"/>
      <c r="J49" s="81"/>
      <c r="K49" s="80"/>
      <c r="L49" s="81">
        <v>154.69</v>
      </c>
      <c r="M49" s="82"/>
      <c r="N49" s="83"/>
      <c r="AA49" s="43" t="s">
        <v>319</v>
      </c>
    </row>
    <row r="50" spans="1:31" s="40" customFormat="1" ht="33.75" x14ac:dyDescent="0.2">
      <c r="A50" s="79"/>
      <c r="B50" s="78" t="s">
        <v>554</v>
      </c>
      <c r="C50" s="1768" t="s">
        <v>555</v>
      </c>
      <c r="D50" s="1768"/>
      <c r="E50" s="1768"/>
      <c r="F50" s="80" t="s">
        <v>322</v>
      </c>
      <c r="G50" s="80" t="s">
        <v>556</v>
      </c>
      <c r="H50" s="80"/>
      <c r="I50" s="80" t="s">
        <v>556</v>
      </c>
      <c r="J50" s="81"/>
      <c r="K50" s="80"/>
      <c r="L50" s="81">
        <v>194.91</v>
      </c>
      <c r="M50" s="82"/>
      <c r="N50" s="83"/>
      <c r="AA50" s="43" t="s">
        <v>555</v>
      </c>
    </row>
    <row r="51" spans="1:31" s="40" customFormat="1" ht="33.75" x14ac:dyDescent="0.2">
      <c r="A51" s="79"/>
      <c r="B51" s="78" t="s">
        <v>557</v>
      </c>
      <c r="C51" s="1768" t="s">
        <v>558</v>
      </c>
      <c r="D51" s="1768"/>
      <c r="E51" s="1768"/>
      <c r="F51" s="80" t="s">
        <v>322</v>
      </c>
      <c r="G51" s="80" t="s">
        <v>559</v>
      </c>
      <c r="H51" s="80"/>
      <c r="I51" s="80" t="s">
        <v>559</v>
      </c>
      <c r="J51" s="81"/>
      <c r="K51" s="80"/>
      <c r="L51" s="81">
        <v>146.96</v>
      </c>
      <c r="M51" s="82"/>
      <c r="N51" s="83"/>
      <c r="AA51" s="43" t="s">
        <v>558</v>
      </c>
    </row>
    <row r="52" spans="1:31" s="40" customFormat="1" x14ac:dyDescent="0.2">
      <c r="A52" s="88"/>
      <c r="B52" s="523"/>
      <c r="C52" s="1809" t="s">
        <v>327</v>
      </c>
      <c r="D52" s="1809"/>
      <c r="E52" s="1809"/>
      <c r="F52" s="165"/>
      <c r="G52" s="165"/>
      <c r="H52" s="165"/>
      <c r="I52" s="165"/>
      <c r="J52" s="166"/>
      <c r="K52" s="165"/>
      <c r="L52" s="166">
        <v>785.65</v>
      </c>
      <c r="M52" s="171"/>
      <c r="N52" s="168"/>
      <c r="AC52" s="43" t="s">
        <v>327</v>
      </c>
    </row>
    <row r="53" spans="1:31" s="40" customFormat="1" ht="45" x14ac:dyDescent="0.2">
      <c r="A53" s="163" t="s">
        <v>186</v>
      </c>
      <c r="B53" s="524" t="s">
        <v>399</v>
      </c>
      <c r="C53" s="1809" t="s">
        <v>400</v>
      </c>
      <c r="D53" s="1809"/>
      <c r="E53" s="1809"/>
      <c r="F53" s="165" t="s">
        <v>201</v>
      </c>
      <c r="G53" s="165"/>
      <c r="H53" s="165"/>
      <c r="I53" s="165" t="s">
        <v>6717</v>
      </c>
      <c r="J53" s="166">
        <v>3.28</v>
      </c>
      <c r="K53" s="165"/>
      <c r="L53" s="166">
        <v>158.22999999999999</v>
      </c>
      <c r="M53" s="167"/>
      <c r="N53" s="168"/>
      <c r="W53" s="43" t="s">
        <v>400</v>
      </c>
    </row>
    <row r="54" spans="1:31" s="40" customFormat="1" x14ac:dyDescent="0.2">
      <c r="A54" s="75"/>
      <c r="B54" s="520"/>
      <c r="C54" s="1768" t="s">
        <v>6718</v>
      </c>
      <c r="D54" s="1768"/>
      <c r="E54" s="1768"/>
      <c r="F54" s="1768"/>
      <c r="G54" s="1768"/>
      <c r="H54" s="1768"/>
      <c r="I54" s="1768"/>
      <c r="J54" s="1768"/>
      <c r="K54" s="1768"/>
      <c r="L54" s="1768"/>
      <c r="M54" s="1768"/>
      <c r="N54" s="1779"/>
      <c r="X54" s="43" t="s">
        <v>6718</v>
      </c>
    </row>
    <row r="55" spans="1:31" s="40" customFormat="1" ht="45" x14ac:dyDescent="0.2">
      <c r="A55" s="163" t="s">
        <v>187</v>
      </c>
      <c r="B55" s="524" t="s">
        <v>6719</v>
      </c>
      <c r="C55" s="1809" t="s">
        <v>6720</v>
      </c>
      <c r="D55" s="1809"/>
      <c r="E55" s="1809"/>
      <c r="F55" s="165" t="s">
        <v>201</v>
      </c>
      <c r="G55" s="165"/>
      <c r="H55" s="165"/>
      <c r="I55" s="165" t="s">
        <v>6717</v>
      </c>
      <c r="J55" s="166">
        <v>23.23</v>
      </c>
      <c r="K55" s="165"/>
      <c r="L55" s="166">
        <v>1120.6199999999999</v>
      </c>
      <c r="M55" s="167"/>
      <c r="N55" s="168"/>
      <c r="W55" s="43" t="s">
        <v>6720</v>
      </c>
    </row>
    <row r="56" spans="1:31" s="40" customFormat="1" ht="1.5" customHeight="1" x14ac:dyDescent="0.2">
      <c r="A56" s="90"/>
      <c r="B56" s="523"/>
      <c r="C56" s="523"/>
      <c r="D56" s="523"/>
      <c r="E56" s="523"/>
      <c r="F56" s="90"/>
      <c r="G56" s="90"/>
      <c r="H56" s="90"/>
      <c r="I56" s="90"/>
      <c r="J56" s="91"/>
      <c r="K56" s="90"/>
      <c r="L56" s="91"/>
      <c r="M56" s="80"/>
      <c r="N56" s="91"/>
    </row>
    <row r="57" spans="1:31" s="40" customFormat="1" ht="2.25" customHeight="1" x14ac:dyDescent="0.2"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105"/>
      <c r="M57" s="106"/>
      <c r="N57" s="107"/>
    </row>
    <row r="58" spans="1:31" s="40" customFormat="1" x14ac:dyDescent="0.2">
      <c r="A58" s="173"/>
      <c r="B58" s="174"/>
      <c r="C58" s="1809" t="s">
        <v>205</v>
      </c>
      <c r="D58" s="1809"/>
      <c r="E58" s="1809"/>
      <c r="F58" s="1809"/>
      <c r="G58" s="1809"/>
      <c r="H58" s="1809"/>
      <c r="I58" s="1809"/>
      <c r="J58" s="1809"/>
      <c r="K58" s="1809"/>
      <c r="L58" s="175"/>
      <c r="M58" s="176"/>
      <c r="N58" s="177"/>
      <c r="AD58" s="43" t="s">
        <v>205</v>
      </c>
    </row>
    <row r="59" spans="1:31" s="40" customFormat="1" x14ac:dyDescent="0.2">
      <c r="A59" s="97"/>
      <c r="B59" s="78"/>
      <c r="C59" s="1768" t="s">
        <v>403</v>
      </c>
      <c r="D59" s="1768"/>
      <c r="E59" s="1768"/>
      <c r="F59" s="1768"/>
      <c r="G59" s="1768"/>
      <c r="H59" s="1768"/>
      <c r="I59" s="1768"/>
      <c r="J59" s="1768"/>
      <c r="K59" s="1768"/>
      <c r="L59" s="98">
        <v>1722.63</v>
      </c>
      <c r="M59" s="99"/>
      <c r="N59" s="100"/>
      <c r="AE59" s="43" t="s">
        <v>403</v>
      </c>
    </row>
    <row r="60" spans="1:31" s="40" customFormat="1" x14ac:dyDescent="0.2">
      <c r="A60" s="97"/>
      <c r="B60" s="78"/>
      <c r="C60" s="1768" t="s">
        <v>204</v>
      </c>
      <c r="D60" s="1768"/>
      <c r="E60" s="1768"/>
      <c r="F60" s="1768"/>
      <c r="G60" s="1768"/>
      <c r="H60" s="1768"/>
      <c r="I60" s="1768"/>
      <c r="J60" s="1768"/>
      <c r="K60" s="1768"/>
      <c r="L60" s="98"/>
      <c r="M60" s="99"/>
      <c r="N60" s="100"/>
      <c r="AE60" s="43" t="s">
        <v>204</v>
      </c>
    </row>
    <row r="61" spans="1:31" s="40" customFormat="1" x14ac:dyDescent="0.2">
      <c r="A61" s="97"/>
      <c r="B61" s="78"/>
      <c r="C61" s="1768" t="s">
        <v>404</v>
      </c>
      <c r="D61" s="1768"/>
      <c r="E61" s="1768"/>
      <c r="F61" s="1768"/>
      <c r="G61" s="1768"/>
      <c r="H61" s="1768"/>
      <c r="I61" s="1768"/>
      <c r="J61" s="1768"/>
      <c r="K61" s="1768"/>
      <c r="L61" s="98">
        <v>112.53</v>
      </c>
      <c r="M61" s="99"/>
      <c r="N61" s="100"/>
      <c r="AE61" s="43" t="s">
        <v>404</v>
      </c>
    </row>
    <row r="62" spans="1:31" s="40" customFormat="1" x14ac:dyDescent="0.2">
      <c r="A62" s="97"/>
      <c r="B62" s="78"/>
      <c r="C62" s="1768" t="s">
        <v>405</v>
      </c>
      <c r="D62" s="1768"/>
      <c r="E62" s="1768"/>
      <c r="F62" s="1768"/>
      <c r="G62" s="1768"/>
      <c r="H62" s="1768"/>
      <c r="I62" s="1768"/>
      <c r="J62" s="1768"/>
      <c r="K62" s="1768"/>
      <c r="L62" s="98">
        <v>1610.1</v>
      </c>
      <c r="M62" s="99"/>
      <c r="N62" s="100"/>
      <c r="AE62" s="43" t="s">
        <v>405</v>
      </c>
    </row>
    <row r="63" spans="1:31" s="40" customFormat="1" x14ac:dyDescent="0.2">
      <c r="A63" s="97"/>
      <c r="B63" s="78"/>
      <c r="C63" s="1768" t="s">
        <v>406</v>
      </c>
      <c r="D63" s="1768"/>
      <c r="E63" s="1768"/>
      <c r="F63" s="1768"/>
      <c r="G63" s="1768"/>
      <c r="H63" s="1768"/>
      <c r="I63" s="1768"/>
      <c r="J63" s="1768"/>
      <c r="K63" s="1768"/>
      <c r="L63" s="98">
        <v>42.16</v>
      </c>
      <c r="M63" s="99"/>
      <c r="N63" s="100"/>
      <c r="AE63" s="43" t="s">
        <v>406</v>
      </c>
    </row>
    <row r="64" spans="1:31" s="40" customFormat="1" x14ac:dyDescent="0.2">
      <c r="A64" s="97"/>
      <c r="B64" s="78"/>
      <c r="C64" s="1768" t="s">
        <v>407</v>
      </c>
      <c r="D64" s="1768"/>
      <c r="E64" s="1768"/>
      <c r="F64" s="1768"/>
      <c r="G64" s="1768"/>
      <c r="H64" s="1768"/>
      <c r="I64" s="1768"/>
      <c r="J64" s="1768"/>
      <c r="K64" s="1768"/>
      <c r="L64" s="98">
        <v>2064.5</v>
      </c>
      <c r="M64" s="99"/>
      <c r="N64" s="100">
        <v>17177</v>
      </c>
      <c r="AE64" s="43" t="s">
        <v>407</v>
      </c>
    </row>
    <row r="65" spans="1:33" x14ac:dyDescent="0.2">
      <c r="A65" s="97"/>
      <c r="B65" s="78" t="s">
        <v>185</v>
      </c>
      <c r="C65" s="1768" t="s">
        <v>408</v>
      </c>
      <c r="D65" s="1768"/>
      <c r="E65" s="1768"/>
      <c r="F65" s="1768"/>
      <c r="G65" s="1768"/>
      <c r="H65" s="1768"/>
      <c r="I65" s="1768"/>
      <c r="J65" s="1768"/>
      <c r="K65" s="1768"/>
      <c r="L65" s="98">
        <v>785.65</v>
      </c>
      <c r="M65" s="99">
        <v>8.32</v>
      </c>
      <c r="N65" s="100">
        <v>6537</v>
      </c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3" t="s">
        <v>408</v>
      </c>
      <c r="AF65" s="40"/>
      <c r="AG65" s="40"/>
    </row>
    <row r="66" spans="1:33" x14ac:dyDescent="0.2">
      <c r="A66" s="97"/>
      <c r="B66" s="78"/>
      <c r="C66" s="1768" t="s">
        <v>409</v>
      </c>
      <c r="D66" s="1768"/>
      <c r="E66" s="1768"/>
      <c r="F66" s="1768"/>
      <c r="G66" s="1768"/>
      <c r="H66" s="1768"/>
      <c r="I66" s="1768"/>
      <c r="J66" s="1768"/>
      <c r="K66" s="1768"/>
      <c r="L66" s="98"/>
      <c r="M66" s="99"/>
      <c r="N66" s="10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3" t="s">
        <v>409</v>
      </c>
      <c r="AF66" s="40"/>
      <c r="AG66" s="40"/>
    </row>
    <row r="67" spans="1:33" x14ac:dyDescent="0.2">
      <c r="A67" s="97"/>
      <c r="B67" s="78"/>
      <c r="C67" s="1768" t="s">
        <v>410</v>
      </c>
      <c r="D67" s="1768"/>
      <c r="E67" s="1768"/>
      <c r="F67" s="1768"/>
      <c r="G67" s="1768"/>
      <c r="H67" s="1768"/>
      <c r="I67" s="1768"/>
      <c r="J67" s="1768"/>
      <c r="K67" s="1768"/>
      <c r="L67" s="98">
        <v>112.53</v>
      </c>
      <c r="M67" s="99"/>
      <c r="N67" s="10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3" t="s">
        <v>410</v>
      </c>
      <c r="AF67" s="40"/>
      <c r="AG67" s="40"/>
    </row>
    <row r="68" spans="1:33" x14ac:dyDescent="0.2">
      <c r="A68" s="97"/>
      <c r="B68" s="78"/>
      <c r="C68" s="1768" t="s">
        <v>411</v>
      </c>
      <c r="D68" s="1768"/>
      <c r="E68" s="1768"/>
      <c r="F68" s="1768"/>
      <c r="G68" s="1768"/>
      <c r="H68" s="1768"/>
      <c r="I68" s="1768"/>
      <c r="J68" s="1768"/>
      <c r="K68" s="1768"/>
      <c r="L68" s="98">
        <v>331.25</v>
      </c>
      <c r="M68" s="99"/>
      <c r="N68" s="10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3" t="s">
        <v>411</v>
      </c>
      <c r="AF68" s="40"/>
      <c r="AG68" s="40"/>
    </row>
    <row r="69" spans="1:33" x14ac:dyDescent="0.2">
      <c r="A69" s="97"/>
      <c r="B69" s="78"/>
      <c r="C69" s="1768" t="s">
        <v>412</v>
      </c>
      <c r="D69" s="1768"/>
      <c r="E69" s="1768"/>
      <c r="F69" s="1768"/>
      <c r="G69" s="1768"/>
      <c r="H69" s="1768"/>
      <c r="I69" s="1768"/>
      <c r="J69" s="1768"/>
      <c r="K69" s="1768"/>
      <c r="L69" s="98">
        <v>194.91</v>
      </c>
      <c r="M69" s="99"/>
      <c r="N69" s="10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3" t="s">
        <v>412</v>
      </c>
      <c r="AF69" s="40"/>
      <c r="AG69" s="40"/>
    </row>
    <row r="70" spans="1:33" x14ac:dyDescent="0.2">
      <c r="A70" s="97"/>
      <c r="B70" s="78"/>
      <c r="C70" s="1768" t="s">
        <v>413</v>
      </c>
      <c r="D70" s="1768"/>
      <c r="E70" s="1768"/>
      <c r="F70" s="1768"/>
      <c r="G70" s="1768"/>
      <c r="H70" s="1768"/>
      <c r="I70" s="1768"/>
      <c r="J70" s="1768"/>
      <c r="K70" s="1768"/>
      <c r="L70" s="98">
        <v>146.96</v>
      </c>
      <c r="M70" s="99"/>
      <c r="N70" s="10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3" t="s">
        <v>413</v>
      </c>
      <c r="AF70" s="40"/>
      <c r="AG70" s="40"/>
    </row>
    <row r="71" spans="1:33" x14ac:dyDescent="0.2">
      <c r="A71" s="97"/>
      <c r="B71" s="78" t="s">
        <v>185</v>
      </c>
      <c r="C71" s="1768" t="s">
        <v>414</v>
      </c>
      <c r="D71" s="1768"/>
      <c r="E71" s="1768"/>
      <c r="F71" s="1768"/>
      <c r="G71" s="1768"/>
      <c r="H71" s="1768"/>
      <c r="I71" s="1768"/>
      <c r="J71" s="1768"/>
      <c r="K71" s="1768"/>
      <c r="L71" s="98">
        <v>1278.8499999999999</v>
      </c>
      <c r="M71" s="99">
        <v>8.32</v>
      </c>
      <c r="N71" s="100">
        <v>10640</v>
      </c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3" t="s">
        <v>414</v>
      </c>
      <c r="AF71" s="40"/>
      <c r="AG71" s="40"/>
    </row>
    <row r="72" spans="1:33" x14ac:dyDescent="0.2">
      <c r="A72" s="97"/>
      <c r="B72" s="78"/>
      <c r="C72" s="1768" t="s">
        <v>415</v>
      </c>
      <c r="D72" s="1768"/>
      <c r="E72" s="1768"/>
      <c r="F72" s="1768"/>
      <c r="G72" s="1768"/>
      <c r="H72" s="1768"/>
      <c r="I72" s="1768"/>
      <c r="J72" s="1768"/>
      <c r="K72" s="1768"/>
      <c r="L72" s="98">
        <v>154.69</v>
      </c>
      <c r="M72" s="99"/>
      <c r="N72" s="10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3" t="s">
        <v>415</v>
      </c>
      <c r="AF72" s="40"/>
      <c r="AG72" s="40"/>
    </row>
    <row r="73" spans="1:33" x14ac:dyDescent="0.2">
      <c r="A73" s="97"/>
      <c r="B73" s="78"/>
      <c r="C73" s="1768" t="s">
        <v>416</v>
      </c>
      <c r="D73" s="1768"/>
      <c r="E73" s="1768"/>
      <c r="F73" s="1768"/>
      <c r="G73" s="1768"/>
      <c r="H73" s="1768"/>
      <c r="I73" s="1768"/>
      <c r="J73" s="1768"/>
      <c r="K73" s="1768"/>
      <c r="L73" s="98">
        <v>194.91</v>
      </c>
      <c r="M73" s="99"/>
      <c r="N73" s="10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3" t="s">
        <v>416</v>
      </c>
      <c r="AF73" s="40"/>
      <c r="AG73" s="40"/>
    </row>
    <row r="74" spans="1:33" x14ac:dyDescent="0.2">
      <c r="A74" s="97"/>
      <c r="B74" s="78"/>
      <c r="C74" s="1768" t="s">
        <v>417</v>
      </c>
      <c r="D74" s="1768"/>
      <c r="E74" s="1768"/>
      <c r="F74" s="1768"/>
      <c r="G74" s="1768"/>
      <c r="H74" s="1768"/>
      <c r="I74" s="1768"/>
      <c r="J74" s="1768"/>
      <c r="K74" s="1768"/>
      <c r="L74" s="98">
        <v>146.96</v>
      </c>
      <c r="M74" s="99"/>
      <c r="N74" s="10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3" t="s">
        <v>417</v>
      </c>
      <c r="AF74" s="40"/>
      <c r="AG74" s="40"/>
    </row>
    <row r="75" spans="1:33" x14ac:dyDescent="0.2">
      <c r="A75" s="97"/>
      <c r="B75" s="91"/>
      <c r="C75" s="1787" t="s">
        <v>206</v>
      </c>
      <c r="D75" s="1787"/>
      <c r="E75" s="1787"/>
      <c r="F75" s="1787"/>
      <c r="G75" s="1787"/>
      <c r="H75" s="1787"/>
      <c r="I75" s="1787"/>
      <c r="J75" s="1787"/>
      <c r="K75" s="1787"/>
      <c r="L75" s="102">
        <v>2064.5</v>
      </c>
      <c r="M75" s="103"/>
      <c r="N75" s="108">
        <v>17177</v>
      </c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3" t="s">
        <v>206</v>
      </c>
      <c r="AG75" s="40"/>
    </row>
    <row r="76" spans="1:33" ht="1.5" customHeight="1" x14ac:dyDescent="0.2">
      <c r="B76" s="91"/>
      <c r="C76" s="523"/>
      <c r="D76" s="523"/>
      <c r="E76" s="523"/>
      <c r="F76" s="523"/>
      <c r="G76" s="523"/>
      <c r="H76" s="523"/>
      <c r="I76" s="523"/>
      <c r="J76" s="523"/>
      <c r="K76" s="523"/>
      <c r="L76" s="102"/>
      <c r="M76" s="103"/>
      <c r="N76" s="109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</row>
    <row r="77" spans="1:33" ht="53.25" customHeight="1" x14ac:dyDescent="0.2">
      <c r="A77" s="178"/>
      <c r="B77" s="178"/>
      <c r="C77" s="178"/>
      <c r="D77" s="178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</row>
    <row r="78" spans="1:33" x14ac:dyDescent="0.2">
      <c r="B78" s="111" t="s">
        <v>149</v>
      </c>
      <c r="C78" s="1807" t="s">
        <v>207</v>
      </c>
      <c r="D78" s="1807"/>
      <c r="E78" s="1807"/>
      <c r="F78" s="1807"/>
      <c r="G78" s="1807"/>
      <c r="H78" s="1807"/>
      <c r="I78" s="1807"/>
      <c r="J78" s="1807"/>
      <c r="K78" s="1807"/>
      <c r="L78" s="1807"/>
      <c r="O78" s="40"/>
    </row>
    <row r="79" spans="1:33" ht="13.5" customHeight="1" x14ac:dyDescent="0.2">
      <c r="B79" s="41"/>
      <c r="C79" s="1806" t="s">
        <v>150</v>
      </c>
      <c r="D79" s="1806"/>
      <c r="E79" s="1806"/>
      <c r="F79" s="1806"/>
      <c r="G79" s="1806"/>
      <c r="H79" s="1806"/>
      <c r="I79" s="1806"/>
      <c r="J79" s="1806"/>
      <c r="K79" s="1806"/>
      <c r="L79" s="1806"/>
      <c r="O79" s="40"/>
    </row>
    <row r="80" spans="1:33" ht="12.75" customHeight="1" x14ac:dyDescent="0.2">
      <c r="B80" s="111" t="s">
        <v>151</v>
      </c>
      <c r="C80" s="1807" t="s">
        <v>208</v>
      </c>
      <c r="D80" s="1807"/>
      <c r="E80" s="1807"/>
      <c r="F80" s="1807"/>
      <c r="G80" s="1807"/>
      <c r="H80" s="1807"/>
      <c r="I80" s="1807"/>
      <c r="J80" s="1807"/>
      <c r="K80" s="1807"/>
      <c r="L80" s="1807"/>
      <c r="O80" s="40"/>
    </row>
    <row r="81" spans="1:33" ht="13.5" customHeight="1" x14ac:dyDescent="0.2">
      <c r="C81" s="1806" t="s">
        <v>150</v>
      </c>
      <c r="D81" s="1806"/>
      <c r="E81" s="1806"/>
      <c r="F81" s="1806"/>
      <c r="G81" s="1806"/>
      <c r="H81" s="1806"/>
      <c r="I81" s="1806"/>
      <c r="J81" s="1806"/>
      <c r="K81" s="1806"/>
      <c r="L81" s="1806"/>
      <c r="O81" s="40"/>
    </row>
    <row r="83" spans="1:33" x14ac:dyDescent="0.2">
      <c r="A83" s="1790"/>
      <c r="B83" s="1790"/>
      <c r="C83" s="1790"/>
      <c r="D83" s="1790"/>
      <c r="E83" s="1790"/>
      <c r="F83" s="1790"/>
      <c r="G83" s="1790"/>
      <c r="H83" s="1790"/>
      <c r="I83" s="1790"/>
      <c r="J83" s="1790"/>
      <c r="K83" s="1790"/>
      <c r="L83" s="1790"/>
      <c r="M83" s="1790"/>
      <c r="N83" s="179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3" t="s">
        <v>143</v>
      </c>
    </row>
    <row r="84" spans="1:33" x14ac:dyDescent="0.2">
      <c r="B84" s="112"/>
      <c r="D84" s="112"/>
      <c r="F84" s="112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</row>
  </sheetData>
  <mergeCells count="66">
    <mergeCell ref="D10:N10"/>
    <mergeCell ref="A13:N13"/>
    <mergeCell ref="A14:N14"/>
    <mergeCell ref="A16:N16"/>
    <mergeCell ref="A17:N17"/>
    <mergeCell ref="A4:C4"/>
    <mergeCell ref="K4:N4"/>
    <mergeCell ref="A5:D5"/>
    <mergeCell ref="J5:N5"/>
    <mergeCell ref="A6:D6"/>
    <mergeCell ref="J6:N6"/>
    <mergeCell ref="C35:E37"/>
    <mergeCell ref="F35:F37"/>
    <mergeCell ref="J35:L36"/>
    <mergeCell ref="M35:M37"/>
    <mergeCell ref="A18:N18"/>
    <mergeCell ref="A20:N20"/>
    <mergeCell ref="A21:N21"/>
    <mergeCell ref="B23:F23"/>
    <mergeCell ref="B24:F24"/>
    <mergeCell ref="L33:M33"/>
    <mergeCell ref="C54:N54"/>
    <mergeCell ref="C55:E55"/>
    <mergeCell ref="C58:K58"/>
    <mergeCell ref="C59:K59"/>
    <mergeCell ref="N35:N37"/>
    <mergeCell ref="C38:E38"/>
    <mergeCell ref="A39:N39"/>
    <mergeCell ref="G35:I36"/>
    <mergeCell ref="C45:E45"/>
    <mergeCell ref="C41:N41"/>
    <mergeCell ref="C42:N42"/>
    <mergeCell ref="C43:E43"/>
    <mergeCell ref="C44:E44"/>
    <mergeCell ref="C40:E40"/>
    <mergeCell ref="A35:A37"/>
    <mergeCell ref="B35:B37"/>
    <mergeCell ref="C49:E49"/>
    <mergeCell ref="C50:E50"/>
    <mergeCell ref="C51:E51"/>
    <mergeCell ref="C52:E52"/>
    <mergeCell ref="C53:E53"/>
    <mergeCell ref="C46:E46"/>
    <mergeCell ref="C72:K72"/>
    <mergeCell ref="C61:K61"/>
    <mergeCell ref="C62:K62"/>
    <mergeCell ref="C63:K63"/>
    <mergeCell ref="C64:K64"/>
    <mergeCell ref="C65:K65"/>
    <mergeCell ref="C66:K66"/>
    <mergeCell ref="C67:K67"/>
    <mergeCell ref="C68:K68"/>
    <mergeCell ref="C69:K69"/>
    <mergeCell ref="C70:K70"/>
    <mergeCell ref="C71:K71"/>
    <mergeCell ref="C60:K60"/>
    <mergeCell ref="C47:E47"/>
    <mergeCell ref="C48:E48"/>
    <mergeCell ref="C81:L81"/>
    <mergeCell ref="A83:N83"/>
    <mergeCell ref="C73:K73"/>
    <mergeCell ref="C74:K74"/>
    <mergeCell ref="C75:K75"/>
    <mergeCell ref="C78:L78"/>
    <mergeCell ref="C79:L79"/>
    <mergeCell ref="C80:L80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AH137"/>
  <sheetViews>
    <sheetView topLeftCell="A102" zoomScale="115" zoomScaleNormal="115" workbookViewId="0">
      <selection activeCell="A16" sqref="A1:N1048576"/>
    </sheetView>
  </sheetViews>
  <sheetFormatPr defaultColWidth="9.140625" defaultRowHeight="11.25" customHeight="1" x14ac:dyDescent="0.25"/>
  <cols>
    <col min="1" max="1" width="8.140625" style="40" customWidth="1"/>
    <col min="2" max="2" width="20.140625" style="40" customWidth="1"/>
    <col min="3" max="4" width="10.42578125" style="40" customWidth="1"/>
    <col min="5" max="5" width="13.28515625" style="40" customWidth="1"/>
    <col min="6" max="6" width="8.5703125" style="40" customWidth="1"/>
    <col min="7" max="7" width="7.85546875" style="40" customWidth="1"/>
    <col min="8" max="8" width="8.42578125" style="40" customWidth="1"/>
    <col min="9" max="9" width="8.7109375" style="40" customWidth="1"/>
    <col min="10" max="10" width="8.140625" style="40" customWidth="1"/>
    <col min="11" max="11" width="8.5703125" style="40" customWidth="1"/>
    <col min="12" max="12" width="10" style="40" customWidth="1"/>
    <col min="13" max="13" width="6" style="40" customWidth="1"/>
    <col min="14" max="14" width="9.7109375" style="40" customWidth="1"/>
    <col min="15" max="15" width="9.140625" style="113"/>
    <col min="16" max="16" width="49.140625" style="43" hidden="1" customWidth="1"/>
    <col min="17" max="17" width="42.42578125" style="43" hidden="1" customWidth="1"/>
    <col min="18" max="18" width="99.7109375" style="43" hidden="1" customWidth="1"/>
    <col min="19" max="22" width="138.42578125" style="43" hidden="1" customWidth="1"/>
    <col min="23" max="23" width="34.140625" style="43" hidden="1" customWidth="1"/>
    <col min="24" max="25" width="110.140625" style="43" hidden="1" customWidth="1"/>
    <col min="26" max="30" width="34.140625" style="43" hidden="1" customWidth="1"/>
    <col min="31" max="33" width="84.42578125" style="43" hidden="1" customWidth="1"/>
    <col min="34" max="34" width="138.42578125" style="43" hidden="1" customWidth="1"/>
    <col min="35" max="16384" width="9.140625" style="40"/>
  </cols>
  <sheetData>
    <row r="1" spans="1:20" s="40" customFormat="1" x14ac:dyDescent="0.2">
      <c r="N1" s="41" t="s">
        <v>152</v>
      </c>
    </row>
    <row r="2" spans="1:20" s="40" customFormat="1" x14ac:dyDescent="0.2">
      <c r="N2" s="41" t="s">
        <v>141</v>
      </c>
    </row>
    <row r="3" spans="1:20" s="40" customFormat="1" ht="8.25" customHeight="1" x14ac:dyDescent="0.2">
      <c r="N3" s="41"/>
    </row>
    <row r="4" spans="1:20" s="40" customFormat="1" ht="14.25" customHeight="1" x14ac:dyDescent="0.2">
      <c r="A4" s="1772" t="s">
        <v>153</v>
      </c>
      <c r="B4" s="1772"/>
      <c r="C4" s="1772"/>
      <c r="D4" s="42"/>
      <c r="K4" s="1772" t="s">
        <v>154</v>
      </c>
      <c r="L4" s="1772"/>
      <c r="M4" s="1772"/>
      <c r="N4" s="1772"/>
    </row>
    <row r="5" spans="1:20" s="40" customFormat="1" ht="12" customHeight="1" x14ac:dyDescent="0.2">
      <c r="A5" s="1773"/>
      <c r="B5" s="1773"/>
      <c r="C5" s="1773"/>
      <c r="D5" s="1773"/>
      <c r="E5" s="43"/>
      <c r="J5" s="1774"/>
      <c r="K5" s="1774"/>
      <c r="L5" s="1774"/>
      <c r="M5" s="1774"/>
      <c r="N5" s="1774"/>
    </row>
    <row r="6" spans="1:20" s="40" customFormat="1" x14ac:dyDescent="0.2">
      <c r="A6" s="1768"/>
      <c r="B6" s="1768"/>
      <c r="C6" s="1768"/>
      <c r="D6" s="1768"/>
      <c r="J6" s="1768"/>
      <c r="K6" s="1768"/>
      <c r="L6" s="1768"/>
      <c r="M6" s="1768"/>
      <c r="N6" s="1768"/>
      <c r="P6" s="43" t="s">
        <v>143</v>
      </c>
      <c r="Q6" s="43" t="s">
        <v>143</v>
      </c>
    </row>
    <row r="7" spans="1:20" s="40" customFormat="1" ht="17.25" customHeight="1" x14ac:dyDescent="0.2">
      <c r="A7" s="496"/>
      <c r="B7" s="497"/>
      <c r="C7" s="43"/>
      <c r="D7" s="43"/>
      <c r="K7" s="496"/>
      <c r="L7" s="496"/>
      <c r="M7" s="496"/>
      <c r="N7" s="497"/>
    </row>
    <row r="8" spans="1:20" s="40" customFormat="1" ht="16.5" customHeight="1" x14ac:dyDescent="0.2">
      <c r="A8" s="40" t="s">
        <v>155</v>
      </c>
      <c r="B8" s="46"/>
      <c r="C8" s="46"/>
      <c r="D8" s="46"/>
      <c r="L8" s="46"/>
      <c r="M8" s="46"/>
      <c r="N8" s="41" t="s">
        <v>155</v>
      </c>
    </row>
    <row r="9" spans="1:20" s="40" customFormat="1" ht="15.75" customHeight="1" x14ac:dyDescent="0.2">
      <c r="F9" s="47"/>
    </row>
    <row r="10" spans="1:20" s="40" customFormat="1" ht="33.75" x14ac:dyDescent="0.2">
      <c r="A10" s="522" t="s">
        <v>156</v>
      </c>
      <c r="B10" s="46"/>
      <c r="D10" s="1768" t="s">
        <v>157</v>
      </c>
      <c r="E10" s="1768"/>
      <c r="F10" s="1768"/>
      <c r="G10" s="1768"/>
      <c r="H10" s="1768"/>
      <c r="I10" s="1768"/>
      <c r="J10" s="1768"/>
      <c r="K10" s="1768"/>
      <c r="L10" s="1768"/>
      <c r="M10" s="1768"/>
      <c r="N10" s="1768"/>
      <c r="R10" s="43" t="s">
        <v>157</v>
      </c>
    </row>
    <row r="11" spans="1:20" s="40" customFormat="1" ht="15" customHeight="1" x14ac:dyDescent="0.2">
      <c r="A11" s="49" t="s">
        <v>158</v>
      </c>
      <c r="D11" s="496" t="s">
        <v>159</v>
      </c>
      <c r="E11" s="496"/>
      <c r="F11" s="498"/>
      <c r="G11" s="498"/>
      <c r="H11" s="498"/>
      <c r="I11" s="498"/>
      <c r="J11" s="498"/>
      <c r="K11" s="498"/>
      <c r="L11" s="498"/>
      <c r="M11" s="498"/>
      <c r="N11" s="498"/>
    </row>
    <row r="12" spans="1:20" s="40" customFormat="1" ht="8.25" customHeight="1" x14ac:dyDescent="0.2">
      <c r="A12" s="49"/>
      <c r="F12" s="46"/>
      <c r="G12" s="46"/>
      <c r="H12" s="46"/>
      <c r="I12" s="46"/>
      <c r="J12" s="46"/>
      <c r="K12" s="46"/>
      <c r="L12" s="46"/>
      <c r="M12" s="46"/>
      <c r="N12" s="46"/>
    </row>
    <row r="13" spans="1:20" s="40" customFormat="1" x14ac:dyDescent="0.2">
      <c r="A13" s="1769" t="s">
        <v>20</v>
      </c>
      <c r="B13" s="1769"/>
      <c r="C13" s="1769"/>
      <c r="D13" s="1769"/>
      <c r="E13" s="1769"/>
      <c r="F13" s="1769"/>
      <c r="G13" s="1769"/>
      <c r="H13" s="1769"/>
      <c r="I13" s="1769"/>
      <c r="J13" s="1769"/>
      <c r="K13" s="1769"/>
      <c r="L13" s="1769"/>
      <c r="M13" s="1769"/>
      <c r="N13" s="1769"/>
      <c r="S13" s="43" t="s">
        <v>20</v>
      </c>
    </row>
    <row r="14" spans="1:20" s="40" customFormat="1" x14ac:dyDescent="0.2">
      <c r="A14" s="1816" t="s">
        <v>139</v>
      </c>
      <c r="B14" s="1816"/>
      <c r="C14" s="1816"/>
      <c r="D14" s="1816"/>
      <c r="E14" s="1816"/>
      <c r="F14" s="1816"/>
      <c r="G14" s="1816"/>
      <c r="H14" s="1816"/>
      <c r="I14" s="1816"/>
      <c r="J14" s="1816"/>
      <c r="K14" s="1816"/>
      <c r="L14" s="1816"/>
      <c r="M14" s="1816"/>
      <c r="N14" s="1816"/>
    </row>
    <row r="15" spans="1:20" s="40" customFormat="1" ht="8.25" customHeight="1" x14ac:dyDescent="0.2">
      <c r="A15" s="51"/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</row>
    <row r="16" spans="1:20" s="40" customFormat="1" x14ac:dyDescent="0.2">
      <c r="A16" s="1769"/>
      <c r="B16" s="1769"/>
      <c r="C16" s="1769"/>
      <c r="D16" s="1769"/>
      <c r="E16" s="1769"/>
      <c r="F16" s="1769"/>
      <c r="G16" s="1769"/>
      <c r="H16" s="1769"/>
      <c r="I16" s="1769"/>
      <c r="J16" s="1769"/>
      <c r="K16" s="1769"/>
      <c r="L16" s="1769"/>
      <c r="M16" s="1769"/>
      <c r="N16" s="1769"/>
      <c r="T16" s="43" t="s">
        <v>143</v>
      </c>
    </row>
    <row r="17" spans="1:21" s="40" customFormat="1" x14ac:dyDescent="0.2">
      <c r="A17" s="1816" t="s">
        <v>142</v>
      </c>
      <c r="B17" s="1816"/>
      <c r="C17" s="1816"/>
      <c r="D17" s="1816"/>
      <c r="E17" s="1816"/>
      <c r="F17" s="1816"/>
      <c r="G17" s="1816"/>
      <c r="H17" s="1816"/>
      <c r="I17" s="1816"/>
      <c r="J17" s="1816"/>
      <c r="K17" s="1816"/>
      <c r="L17" s="1816"/>
      <c r="M17" s="1816"/>
      <c r="N17" s="1816"/>
    </row>
    <row r="18" spans="1:21" s="40" customFormat="1" ht="24" customHeight="1" x14ac:dyDescent="0.25">
      <c r="A18" s="1771" t="s">
        <v>6671</v>
      </c>
      <c r="B18" s="1771"/>
      <c r="C18" s="1771"/>
      <c r="D18" s="1771"/>
      <c r="E18" s="1771"/>
      <c r="F18" s="1771"/>
      <c r="G18" s="1771"/>
      <c r="H18" s="1771"/>
      <c r="I18" s="1771"/>
      <c r="J18" s="1771"/>
      <c r="K18" s="1771"/>
      <c r="L18" s="1771"/>
      <c r="M18" s="1771"/>
      <c r="N18" s="1771"/>
    </row>
    <row r="19" spans="1:21" s="40" customFormat="1" ht="8.25" customHeight="1" x14ac:dyDescent="0.25">
      <c r="A19" s="521"/>
      <c r="B19" s="521"/>
      <c r="C19" s="521"/>
      <c r="D19" s="521"/>
      <c r="E19" s="521"/>
      <c r="F19" s="521"/>
      <c r="G19" s="521"/>
      <c r="H19" s="521"/>
      <c r="I19" s="521"/>
      <c r="J19" s="521"/>
      <c r="K19" s="521"/>
      <c r="L19" s="521"/>
      <c r="M19" s="521"/>
      <c r="N19" s="521"/>
    </row>
    <row r="20" spans="1:21" s="40" customFormat="1" x14ac:dyDescent="0.2">
      <c r="A20" s="1815" t="s">
        <v>6672</v>
      </c>
      <c r="B20" s="1815"/>
      <c r="C20" s="1815"/>
      <c r="D20" s="1815"/>
      <c r="E20" s="1815"/>
      <c r="F20" s="1815"/>
      <c r="G20" s="1815"/>
      <c r="H20" s="1815"/>
      <c r="I20" s="1815"/>
      <c r="J20" s="1815"/>
      <c r="K20" s="1815"/>
      <c r="L20" s="1815"/>
      <c r="M20" s="1815"/>
      <c r="N20" s="1815"/>
      <c r="U20" s="43" t="s">
        <v>6673</v>
      </c>
    </row>
    <row r="21" spans="1:21" s="40" customFormat="1" ht="13.5" customHeight="1" x14ac:dyDescent="0.2">
      <c r="A21" s="1816" t="s">
        <v>160</v>
      </c>
      <c r="B21" s="1816"/>
      <c r="C21" s="1816"/>
      <c r="D21" s="1816"/>
      <c r="E21" s="1816"/>
      <c r="F21" s="1816"/>
      <c r="G21" s="1816"/>
      <c r="H21" s="1816"/>
      <c r="I21" s="1816"/>
      <c r="J21" s="1816"/>
      <c r="K21" s="1816"/>
      <c r="L21" s="1816"/>
      <c r="M21" s="1816"/>
      <c r="N21" s="1816"/>
    </row>
    <row r="22" spans="1:21" s="40" customFormat="1" ht="15" customHeight="1" x14ac:dyDescent="0.2">
      <c r="A22" s="40" t="s">
        <v>161</v>
      </c>
      <c r="B22" s="499" t="s">
        <v>162</v>
      </c>
      <c r="C22" s="40" t="s">
        <v>163</v>
      </c>
      <c r="F22" s="43"/>
      <c r="G22" s="43"/>
      <c r="H22" s="43"/>
      <c r="I22" s="43"/>
      <c r="J22" s="43"/>
      <c r="K22" s="43"/>
      <c r="L22" s="43"/>
      <c r="M22" s="43"/>
      <c r="N22" s="43"/>
    </row>
    <row r="23" spans="1:21" s="40" customFormat="1" ht="18" customHeight="1" x14ac:dyDescent="0.2">
      <c r="A23" s="40" t="s">
        <v>164</v>
      </c>
      <c r="B23" s="1815" t="s">
        <v>6674</v>
      </c>
      <c r="C23" s="1815"/>
      <c r="D23" s="1815"/>
      <c r="E23" s="1815"/>
      <c r="F23" s="1815"/>
      <c r="G23" s="43"/>
      <c r="H23" s="43"/>
      <c r="I23" s="43"/>
      <c r="J23" s="43"/>
      <c r="K23" s="43"/>
      <c r="L23" s="43"/>
      <c r="M23" s="43"/>
      <c r="N23" s="43"/>
    </row>
    <row r="24" spans="1:21" s="40" customFormat="1" x14ac:dyDescent="0.2">
      <c r="B24" s="1817" t="s">
        <v>144</v>
      </c>
      <c r="C24" s="1817"/>
      <c r="D24" s="1817"/>
      <c r="E24" s="1817"/>
      <c r="F24" s="1817"/>
      <c r="G24" s="54"/>
      <c r="H24" s="54"/>
      <c r="I24" s="54"/>
      <c r="J24" s="54"/>
      <c r="K24" s="54"/>
      <c r="L24" s="54"/>
      <c r="M24" s="55"/>
      <c r="N24" s="54"/>
    </row>
    <row r="25" spans="1:21" s="40" customFormat="1" ht="9.75" customHeight="1" x14ac:dyDescent="0.2">
      <c r="D25" s="56"/>
      <c r="E25" s="56"/>
      <c r="F25" s="56"/>
      <c r="G25" s="56"/>
      <c r="H25" s="56"/>
      <c r="I25" s="56"/>
      <c r="J25" s="56"/>
      <c r="K25" s="56"/>
      <c r="L25" s="56"/>
      <c r="M25" s="54"/>
      <c r="N25" s="54"/>
    </row>
    <row r="26" spans="1:21" s="40" customFormat="1" x14ac:dyDescent="0.2">
      <c r="A26" s="57" t="s">
        <v>165</v>
      </c>
      <c r="D26" s="496" t="s">
        <v>6675</v>
      </c>
      <c r="F26" s="58"/>
      <c r="G26" s="58"/>
      <c r="H26" s="58"/>
      <c r="I26" s="58"/>
      <c r="J26" s="58"/>
      <c r="K26" s="58"/>
      <c r="L26" s="58"/>
      <c r="M26" s="58"/>
      <c r="N26" s="58"/>
    </row>
    <row r="27" spans="1:21" s="40" customFormat="1" ht="9.75" customHeight="1" x14ac:dyDescent="0.2"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</row>
    <row r="28" spans="1:21" s="40" customFormat="1" ht="12.75" customHeight="1" x14ac:dyDescent="0.2">
      <c r="A28" s="57" t="s">
        <v>166</v>
      </c>
      <c r="C28" s="500">
        <v>16.920000000000002</v>
      </c>
      <c r="D28" s="501" t="s">
        <v>6676</v>
      </c>
      <c r="E28" s="522" t="s">
        <v>167</v>
      </c>
      <c r="L28" s="61"/>
      <c r="M28" s="61"/>
    </row>
    <row r="29" spans="1:21" s="40" customFormat="1" ht="12.75" customHeight="1" x14ac:dyDescent="0.2">
      <c r="B29" s="40" t="s">
        <v>168</v>
      </c>
      <c r="C29" s="62"/>
      <c r="D29" s="63"/>
      <c r="E29" s="522"/>
    </row>
    <row r="30" spans="1:21" s="40" customFormat="1" ht="12.75" customHeight="1" x14ac:dyDescent="0.2">
      <c r="B30" s="40" t="s">
        <v>169</v>
      </c>
      <c r="C30" s="500">
        <v>10.53</v>
      </c>
      <c r="D30" s="501" t="s">
        <v>6677</v>
      </c>
      <c r="E30" s="522" t="s">
        <v>167</v>
      </c>
      <c r="G30" s="40" t="s">
        <v>170</v>
      </c>
      <c r="L30" s="500">
        <v>0</v>
      </c>
      <c r="M30" s="501" t="s">
        <v>4951</v>
      </c>
      <c r="N30" s="522" t="s">
        <v>167</v>
      </c>
    </row>
    <row r="31" spans="1:21" s="40" customFormat="1" ht="12.75" customHeight="1" x14ac:dyDescent="0.2">
      <c r="B31" s="40" t="s">
        <v>140</v>
      </c>
      <c r="C31" s="500">
        <v>6.39</v>
      </c>
      <c r="D31" s="502" t="s">
        <v>1347</v>
      </c>
      <c r="E31" s="522" t="s">
        <v>167</v>
      </c>
      <c r="G31" s="40" t="s">
        <v>172</v>
      </c>
      <c r="L31" s="503"/>
      <c r="M31" s="503">
        <v>21.18</v>
      </c>
      <c r="N31" s="49" t="s">
        <v>173</v>
      </c>
    </row>
    <row r="32" spans="1:21" s="40" customFormat="1" ht="12.75" customHeight="1" x14ac:dyDescent="0.2">
      <c r="B32" s="40" t="s">
        <v>146</v>
      </c>
      <c r="C32" s="500">
        <v>0</v>
      </c>
      <c r="D32" s="502" t="s">
        <v>171</v>
      </c>
      <c r="E32" s="522" t="s">
        <v>167</v>
      </c>
      <c r="G32" s="40" t="s">
        <v>174</v>
      </c>
      <c r="L32" s="503"/>
      <c r="M32" s="503">
        <v>9.25</v>
      </c>
      <c r="N32" s="49" t="s">
        <v>173</v>
      </c>
    </row>
    <row r="33" spans="1:27" s="40" customFormat="1" ht="12.75" customHeight="1" x14ac:dyDescent="0.2">
      <c r="B33" s="40" t="s">
        <v>147</v>
      </c>
      <c r="C33" s="500">
        <v>0</v>
      </c>
      <c r="D33" s="501" t="s">
        <v>171</v>
      </c>
      <c r="E33" s="522" t="s">
        <v>167</v>
      </c>
      <c r="G33" s="40" t="s">
        <v>175</v>
      </c>
      <c r="L33" s="1818"/>
      <c r="M33" s="1818"/>
    </row>
    <row r="34" spans="1:27" s="40" customFormat="1" ht="9.75" customHeight="1" x14ac:dyDescent="0.2">
      <c r="A34" s="66"/>
    </row>
    <row r="35" spans="1:27" s="40" customFormat="1" ht="36" customHeight="1" x14ac:dyDescent="0.2">
      <c r="A35" s="1810" t="s">
        <v>8</v>
      </c>
      <c r="B35" s="1810" t="s">
        <v>145</v>
      </c>
      <c r="C35" s="1810" t="s">
        <v>176</v>
      </c>
      <c r="D35" s="1810"/>
      <c r="E35" s="1810"/>
      <c r="F35" s="1810" t="s">
        <v>177</v>
      </c>
      <c r="G35" s="1810" t="s">
        <v>178</v>
      </c>
      <c r="H35" s="1810"/>
      <c r="I35" s="1810"/>
      <c r="J35" s="1810" t="s">
        <v>179</v>
      </c>
      <c r="K35" s="1810"/>
      <c r="L35" s="1810"/>
      <c r="M35" s="1810" t="s">
        <v>180</v>
      </c>
      <c r="N35" s="1810" t="s">
        <v>181</v>
      </c>
    </row>
    <row r="36" spans="1:27" s="40" customFormat="1" ht="36.75" customHeight="1" x14ac:dyDescent="0.2">
      <c r="A36" s="1810"/>
      <c r="B36" s="1810"/>
      <c r="C36" s="1810"/>
      <c r="D36" s="1810"/>
      <c r="E36" s="1810"/>
      <c r="F36" s="1810"/>
      <c r="G36" s="1810"/>
      <c r="H36" s="1810"/>
      <c r="I36" s="1810"/>
      <c r="J36" s="1810"/>
      <c r="K36" s="1810"/>
      <c r="L36" s="1810"/>
      <c r="M36" s="1810"/>
      <c r="N36" s="1810"/>
    </row>
    <row r="37" spans="1:27" s="40" customFormat="1" ht="45" x14ac:dyDescent="0.2">
      <c r="A37" s="1810"/>
      <c r="B37" s="1810"/>
      <c r="C37" s="1810"/>
      <c r="D37" s="1810"/>
      <c r="E37" s="1810"/>
      <c r="F37" s="1810"/>
      <c r="G37" s="525" t="s">
        <v>182</v>
      </c>
      <c r="H37" s="525" t="s">
        <v>183</v>
      </c>
      <c r="I37" s="525" t="s">
        <v>184</v>
      </c>
      <c r="J37" s="525" t="s">
        <v>182</v>
      </c>
      <c r="K37" s="525" t="s">
        <v>183</v>
      </c>
      <c r="L37" s="525" t="s">
        <v>148</v>
      </c>
      <c r="M37" s="1810"/>
      <c r="N37" s="1810"/>
    </row>
    <row r="38" spans="1:27" s="40" customFormat="1" x14ac:dyDescent="0.2">
      <c r="A38" s="526">
        <v>1</v>
      </c>
      <c r="B38" s="526">
        <v>2</v>
      </c>
      <c r="C38" s="1811">
        <v>3</v>
      </c>
      <c r="D38" s="1811"/>
      <c r="E38" s="1811"/>
      <c r="F38" s="526">
        <v>4</v>
      </c>
      <c r="G38" s="526">
        <v>5</v>
      </c>
      <c r="H38" s="526">
        <v>6</v>
      </c>
      <c r="I38" s="526">
        <v>7</v>
      </c>
      <c r="J38" s="526">
        <v>8</v>
      </c>
      <c r="K38" s="526">
        <v>9</v>
      </c>
      <c r="L38" s="526">
        <v>10</v>
      </c>
      <c r="M38" s="526">
        <v>11</v>
      </c>
      <c r="N38" s="526">
        <v>12</v>
      </c>
    </row>
    <row r="39" spans="1:27" s="40" customFormat="1" ht="12" x14ac:dyDescent="0.2">
      <c r="A39" s="1812" t="s">
        <v>6678</v>
      </c>
      <c r="B39" s="1813"/>
      <c r="C39" s="1813"/>
      <c r="D39" s="1813"/>
      <c r="E39" s="1813"/>
      <c r="F39" s="1813"/>
      <c r="G39" s="1813"/>
      <c r="H39" s="1813"/>
      <c r="I39" s="1813"/>
      <c r="J39" s="1813"/>
      <c r="K39" s="1813"/>
      <c r="L39" s="1813"/>
      <c r="M39" s="1813"/>
      <c r="N39" s="1814"/>
      <c r="V39" s="43" t="s">
        <v>6678</v>
      </c>
    </row>
    <row r="40" spans="1:27" s="40" customFormat="1" ht="56.25" x14ac:dyDescent="0.2">
      <c r="A40" s="163" t="s">
        <v>185</v>
      </c>
      <c r="B40" s="524" t="s">
        <v>6679</v>
      </c>
      <c r="C40" s="1809" t="s">
        <v>6680</v>
      </c>
      <c r="D40" s="1809"/>
      <c r="E40" s="1809"/>
      <c r="F40" s="165" t="s">
        <v>1687</v>
      </c>
      <c r="G40" s="165"/>
      <c r="H40" s="165"/>
      <c r="I40" s="165" t="s">
        <v>6681</v>
      </c>
      <c r="J40" s="166"/>
      <c r="K40" s="165"/>
      <c r="L40" s="166"/>
      <c r="M40" s="167"/>
      <c r="N40" s="168"/>
      <c r="W40" s="43" t="s">
        <v>6680</v>
      </c>
    </row>
    <row r="41" spans="1:27" s="40" customFormat="1" x14ac:dyDescent="0.2">
      <c r="A41" s="75"/>
      <c r="B41" s="520"/>
      <c r="C41" s="1768" t="s">
        <v>6682</v>
      </c>
      <c r="D41" s="1768"/>
      <c r="E41" s="1768"/>
      <c r="F41" s="1768"/>
      <c r="G41" s="1768"/>
      <c r="H41" s="1768"/>
      <c r="I41" s="1768"/>
      <c r="J41" s="1768"/>
      <c r="K41" s="1768"/>
      <c r="L41" s="1768"/>
      <c r="M41" s="1768"/>
      <c r="N41" s="1779"/>
      <c r="X41" s="43" t="s">
        <v>6682</v>
      </c>
    </row>
    <row r="42" spans="1:27" s="40" customFormat="1" ht="22.5" x14ac:dyDescent="0.2">
      <c r="A42" s="77"/>
      <c r="B42" s="78" t="s">
        <v>6683</v>
      </c>
      <c r="C42" s="1768" t="s">
        <v>6684</v>
      </c>
      <c r="D42" s="1768"/>
      <c r="E42" s="1768"/>
      <c r="F42" s="1768"/>
      <c r="G42" s="1768"/>
      <c r="H42" s="1768"/>
      <c r="I42" s="1768"/>
      <c r="J42" s="1768"/>
      <c r="K42" s="1768"/>
      <c r="L42" s="1768"/>
      <c r="M42" s="1768"/>
      <c r="N42" s="1779"/>
      <c r="Y42" s="43" t="s">
        <v>6684</v>
      </c>
    </row>
    <row r="43" spans="1:27" s="40" customFormat="1" ht="33.75" x14ac:dyDescent="0.2">
      <c r="A43" s="77"/>
      <c r="B43" s="78" t="s">
        <v>310</v>
      </c>
      <c r="C43" s="1768" t="s">
        <v>311</v>
      </c>
      <c r="D43" s="1768"/>
      <c r="E43" s="1768"/>
      <c r="F43" s="1768"/>
      <c r="G43" s="1768"/>
      <c r="H43" s="1768"/>
      <c r="I43" s="1768"/>
      <c r="J43" s="1768"/>
      <c r="K43" s="1768"/>
      <c r="L43" s="1768"/>
      <c r="M43" s="1768"/>
      <c r="N43" s="1779"/>
      <c r="Y43" s="43" t="s">
        <v>311</v>
      </c>
    </row>
    <row r="44" spans="1:27" s="40" customFormat="1" x14ac:dyDescent="0.2">
      <c r="A44" s="79"/>
      <c r="B44" s="78" t="s">
        <v>185</v>
      </c>
      <c r="C44" s="1768" t="s">
        <v>312</v>
      </c>
      <c r="D44" s="1768"/>
      <c r="E44" s="1768"/>
      <c r="F44" s="80"/>
      <c r="G44" s="80"/>
      <c r="H44" s="80"/>
      <c r="I44" s="80"/>
      <c r="J44" s="81">
        <v>620.42999999999995</v>
      </c>
      <c r="K44" s="80" t="s">
        <v>524</v>
      </c>
      <c r="L44" s="81">
        <v>86.08</v>
      </c>
      <c r="M44" s="82"/>
      <c r="N44" s="83"/>
      <c r="Z44" s="43" t="s">
        <v>312</v>
      </c>
    </row>
    <row r="45" spans="1:27" s="40" customFormat="1" x14ac:dyDescent="0.2">
      <c r="A45" s="79"/>
      <c r="B45" s="78" t="s">
        <v>186</v>
      </c>
      <c r="C45" s="1768" t="s">
        <v>344</v>
      </c>
      <c r="D45" s="1768"/>
      <c r="E45" s="1768"/>
      <c r="F45" s="80"/>
      <c r="G45" s="80"/>
      <c r="H45" s="80"/>
      <c r="I45" s="80"/>
      <c r="J45" s="81">
        <v>3092.82</v>
      </c>
      <c r="K45" s="80" t="s">
        <v>524</v>
      </c>
      <c r="L45" s="81">
        <v>429.13</v>
      </c>
      <c r="M45" s="82"/>
      <c r="N45" s="83"/>
      <c r="Z45" s="43" t="s">
        <v>344</v>
      </c>
    </row>
    <row r="46" spans="1:27" s="40" customFormat="1" x14ac:dyDescent="0.2">
      <c r="A46" s="79"/>
      <c r="B46" s="78" t="s">
        <v>187</v>
      </c>
      <c r="C46" s="1768" t="s">
        <v>345</v>
      </c>
      <c r="D46" s="1768"/>
      <c r="E46" s="1768"/>
      <c r="F46" s="80"/>
      <c r="G46" s="80"/>
      <c r="H46" s="80"/>
      <c r="I46" s="80"/>
      <c r="J46" s="81">
        <v>399.08</v>
      </c>
      <c r="K46" s="80" t="s">
        <v>524</v>
      </c>
      <c r="L46" s="81">
        <v>55.37</v>
      </c>
      <c r="M46" s="82"/>
      <c r="N46" s="83"/>
      <c r="Z46" s="43" t="s">
        <v>345</v>
      </c>
    </row>
    <row r="47" spans="1:27" s="40" customFormat="1" x14ac:dyDescent="0.2">
      <c r="A47" s="79"/>
      <c r="B47" s="78" t="s">
        <v>188</v>
      </c>
      <c r="C47" s="1768" t="s">
        <v>475</v>
      </c>
      <c r="D47" s="1768"/>
      <c r="E47" s="1768"/>
      <c r="F47" s="80"/>
      <c r="G47" s="80"/>
      <c r="H47" s="80"/>
      <c r="I47" s="80"/>
      <c r="J47" s="81">
        <v>7435.74</v>
      </c>
      <c r="K47" s="80" t="s">
        <v>525</v>
      </c>
      <c r="L47" s="81">
        <v>0</v>
      </c>
      <c r="M47" s="82"/>
      <c r="N47" s="83"/>
      <c r="Z47" s="43" t="s">
        <v>475</v>
      </c>
    </row>
    <row r="48" spans="1:27" s="40" customFormat="1" ht="22.5" x14ac:dyDescent="0.2">
      <c r="A48" s="75"/>
      <c r="B48" s="114" t="s">
        <v>6685</v>
      </c>
      <c r="C48" s="1804" t="s">
        <v>6686</v>
      </c>
      <c r="D48" s="1804"/>
      <c r="E48" s="1804"/>
      <c r="F48" s="115" t="s">
        <v>307</v>
      </c>
      <c r="G48" s="115" t="s">
        <v>525</v>
      </c>
      <c r="H48" s="115" t="s">
        <v>525</v>
      </c>
      <c r="I48" s="115" t="s">
        <v>525</v>
      </c>
      <c r="J48" s="78"/>
      <c r="K48" s="80"/>
      <c r="L48" s="81"/>
      <c r="M48" s="80"/>
      <c r="N48" s="116"/>
      <c r="AA48" s="43" t="s">
        <v>6686</v>
      </c>
    </row>
    <row r="49" spans="1:30" s="40" customFormat="1" ht="33.75" x14ac:dyDescent="0.2">
      <c r="A49" s="75"/>
      <c r="B49" s="114" t="s">
        <v>6687</v>
      </c>
      <c r="C49" s="1804" t="s">
        <v>6688</v>
      </c>
      <c r="D49" s="1804"/>
      <c r="E49" s="1804"/>
      <c r="F49" s="115" t="s">
        <v>307</v>
      </c>
      <c r="G49" s="115" t="s">
        <v>525</v>
      </c>
      <c r="H49" s="115" t="s">
        <v>525</v>
      </c>
      <c r="I49" s="115" t="s">
        <v>525</v>
      </c>
      <c r="J49" s="78"/>
      <c r="K49" s="80"/>
      <c r="L49" s="81"/>
      <c r="M49" s="80"/>
      <c r="N49" s="116"/>
      <c r="AA49" s="43" t="s">
        <v>6688</v>
      </c>
    </row>
    <row r="50" spans="1:30" s="40" customFormat="1" x14ac:dyDescent="0.2">
      <c r="A50" s="75"/>
      <c r="B50" s="114" t="s">
        <v>6689</v>
      </c>
      <c r="C50" s="1804" t="s">
        <v>6690</v>
      </c>
      <c r="D50" s="1804"/>
      <c r="E50" s="1804"/>
      <c r="F50" s="115" t="s">
        <v>1687</v>
      </c>
      <c r="G50" s="115" t="s">
        <v>716</v>
      </c>
      <c r="H50" s="115" t="s">
        <v>525</v>
      </c>
      <c r="I50" s="115" t="s">
        <v>525</v>
      </c>
      <c r="J50" s="78"/>
      <c r="K50" s="80"/>
      <c r="L50" s="81"/>
      <c r="M50" s="80"/>
      <c r="N50" s="116"/>
      <c r="AA50" s="43" t="s">
        <v>6690</v>
      </c>
    </row>
    <row r="51" spans="1:30" s="40" customFormat="1" ht="22.5" x14ac:dyDescent="0.2">
      <c r="A51" s="75"/>
      <c r="B51" s="114" t="s">
        <v>6691</v>
      </c>
      <c r="C51" s="1804" t="s">
        <v>6692</v>
      </c>
      <c r="D51" s="1804"/>
      <c r="E51" s="1804"/>
      <c r="F51" s="115" t="s">
        <v>307</v>
      </c>
      <c r="G51" s="115" t="s">
        <v>525</v>
      </c>
      <c r="H51" s="115" t="s">
        <v>525</v>
      </c>
      <c r="I51" s="115" t="s">
        <v>525</v>
      </c>
      <c r="J51" s="78"/>
      <c r="K51" s="80"/>
      <c r="L51" s="81"/>
      <c r="M51" s="80"/>
      <c r="N51" s="116"/>
      <c r="AA51" s="43" t="s">
        <v>6692</v>
      </c>
    </row>
    <row r="52" spans="1:30" s="40" customFormat="1" x14ac:dyDescent="0.2">
      <c r="A52" s="79"/>
      <c r="B52" s="78"/>
      <c r="C52" s="1768" t="s">
        <v>314</v>
      </c>
      <c r="D52" s="1768"/>
      <c r="E52" s="1768"/>
      <c r="F52" s="80" t="s">
        <v>315</v>
      </c>
      <c r="G52" s="80" t="s">
        <v>6693</v>
      </c>
      <c r="H52" s="80" t="s">
        <v>524</v>
      </c>
      <c r="I52" s="80" t="s">
        <v>6694</v>
      </c>
      <c r="J52" s="81"/>
      <c r="K52" s="80"/>
      <c r="L52" s="81"/>
      <c r="M52" s="82"/>
      <c r="N52" s="83"/>
      <c r="AB52" s="43" t="s">
        <v>314</v>
      </c>
    </row>
    <row r="53" spans="1:30" s="40" customFormat="1" x14ac:dyDescent="0.2">
      <c r="A53" s="79"/>
      <c r="B53" s="78"/>
      <c r="C53" s="1768" t="s">
        <v>348</v>
      </c>
      <c r="D53" s="1768"/>
      <c r="E53" s="1768"/>
      <c r="F53" s="80" t="s">
        <v>315</v>
      </c>
      <c r="G53" s="80" t="s">
        <v>6695</v>
      </c>
      <c r="H53" s="80" t="s">
        <v>524</v>
      </c>
      <c r="I53" s="80" t="s">
        <v>6696</v>
      </c>
      <c r="J53" s="81"/>
      <c r="K53" s="80"/>
      <c r="L53" s="81"/>
      <c r="M53" s="82"/>
      <c r="N53" s="83"/>
      <c r="AB53" s="43" t="s">
        <v>348</v>
      </c>
    </row>
    <row r="54" spans="1:30" s="40" customFormat="1" x14ac:dyDescent="0.2">
      <c r="A54" s="79"/>
      <c r="B54" s="78"/>
      <c r="C54" s="1808" t="s">
        <v>318</v>
      </c>
      <c r="D54" s="1808"/>
      <c r="E54" s="1808"/>
      <c r="F54" s="169"/>
      <c r="G54" s="169"/>
      <c r="H54" s="169"/>
      <c r="I54" s="169"/>
      <c r="J54" s="170">
        <v>11148.99</v>
      </c>
      <c r="K54" s="169"/>
      <c r="L54" s="170">
        <v>515.21</v>
      </c>
      <c r="M54" s="171"/>
      <c r="N54" s="172"/>
      <c r="AC54" s="43" t="s">
        <v>318</v>
      </c>
    </row>
    <row r="55" spans="1:30" s="40" customFormat="1" x14ac:dyDescent="0.2">
      <c r="A55" s="79"/>
      <c r="B55" s="78"/>
      <c r="C55" s="1768" t="s">
        <v>319</v>
      </c>
      <c r="D55" s="1768"/>
      <c r="E55" s="1768"/>
      <c r="F55" s="80"/>
      <c r="G55" s="80"/>
      <c r="H55" s="80"/>
      <c r="I55" s="80"/>
      <c r="J55" s="81"/>
      <c r="K55" s="80"/>
      <c r="L55" s="81">
        <v>141.44999999999999</v>
      </c>
      <c r="M55" s="82"/>
      <c r="N55" s="83"/>
      <c r="AB55" s="43" t="s">
        <v>319</v>
      </c>
    </row>
    <row r="56" spans="1:30" s="40" customFormat="1" ht="33.75" x14ac:dyDescent="0.2">
      <c r="A56" s="79"/>
      <c r="B56" s="78" t="s">
        <v>708</v>
      </c>
      <c r="C56" s="1768" t="s">
        <v>709</v>
      </c>
      <c r="D56" s="1768"/>
      <c r="E56" s="1768"/>
      <c r="F56" s="80" t="s">
        <v>322</v>
      </c>
      <c r="G56" s="80" t="s">
        <v>710</v>
      </c>
      <c r="H56" s="80"/>
      <c r="I56" s="80" t="s">
        <v>710</v>
      </c>
      <c r="J56" s="81"/>
      <c r="K56" s="80"/>
      <c r="L56" s="81">
        <v>145.69</v>
      </c>
      <c r="M56" s="82"/>
      <c r="N56" s="83"/>
      <c r="AB56" s="43" t="s">
        <v>709</v>
      </c>
    </row>
    <row r="57" spans="1:30" s="40" customFormat="1" ht="33.75" x14ac:dyDescent="0.2">
      <c r="A57" s="79"/>
      <c r="B57" s="78" t="s">
        <v>711</v>
      </c>
      <c r="C57" s="1768" t="s">
        <v>712</v>
      </c>
      <c r="D57" s="1768"/>
      <c r="E57" s="1768"/>
      <c r="F57" s="80" t="s">
        <v>322</v>
      </c>
      <c r="G57" s="80" t="s">
        <v>713</v>
      </c>
      <c r="H57" s="80"/>
      <c r="I57" s="80" t="s">
        <v>713</v>
      </c>
      <c r="J57" s="81"/>
      <c r="K57" s="80"/>
      <c r="L57" s="81">
        <v>84.87</v>
      </c>
      <c r="M57" s="82"/>
      <c r="N57" s="83"/>
      <c r="AB57" s="43" t="s">
        <v>712</v>
      </c>
    </row>
    <row r="58" spans="1:30" s="40" customFormat="1" x14ac:dyDescent="0.2">
      <c r="A58" s="88"/>
      <c r="B58" s="523"/>
      <c r="C58" s="1809" t="s">
        <v>327</v>
      </c>
      <c r="D58" s="1809"/>
      <c r="E58" s="1809"/>
      <c r="F58" s="165"/>
      <c r="G58" s="165"/>
      <c r="H58" s="165"/>
      <c r="I58" s="165"/>
      <c r="J58" s="166"/>
      <c r="K58" s="165"/>
      <c r="L58" s="166">
        <v>745.77</v>
      </c>
      <c r="M58" s="171"/>
      <c r="N58" s="168"/>
      <c r="AD58" s="43" t="s">
        <v>327</v>
      </c>
    </row>
    <row r="59" spans="1:30" s="40" customFormat="1" ht="33.75" x14ac:dyDescent="0.2">
      <c r="A59" s="163" t="s">
        <v>186</v>
      </c>
      <c r="B59" s="524" t="s">
        <v>6697</v>
      </c>
      <c r="C59" s="1809" t="s">
        <v>6698</v>
      </c>
      <c r="D59" s="1809"/>
      <c r="E59" s="1809"/>
      <c r="F59" s="165" t="s">
        <v>617</v>
      </c>
      <c r="G59" s="165"/>
      <c r="H59" s="165"/>
      <c r="I59" s="165" t="s">
        <v>6699</v>
      </c>
      <c r="J59" s="166"/>
      <c r="K59" s="165"/>
      <c r="L59" s="166"/>
      <c r="M59" s="167"/>
      <c r="N59" s="168"/>
      <c r="W59" s="43" t="s">
        <v>6698</v>
      </c>
    </row>
    <row r="60" spans="1:30" s="40" customFormat="1" ht="22.5" x14ac:dyDescent="0.2">
      <c r="A60" s="77"/>
      <c r="B60" s="78" t="s">
        <v>6683</v>
      </c>
      <c r="C60" s="1768" t="s">
        <v>6684</v>
      </c>
      <c r="D60" s="1768"/>
      <c r="E60" s="1768"/>
      <c r="F60" s="1768"/>
      <c r="G60" s="1768"/>
      <c r="H60" s="1768"/>
      <c r="I60" s="1768"/>
      <c r="J60" s="1768"/>
      <c r="K60" s="1768"/>
      <c r="L60" s="1768"/>
      <c r="M60" s="1768"/>
      <c r="N60" s="1779"/>
      <c r="Y60" s="43" t="s">
        <v>6684</v>
      </c>
    </row>
    <row r="61" spans="1:30" s="40" customFormat="1" ht="33.75" x14ac:dyDescent="0.2">
      <c r="A61" s="77"/>
      <c r="B61" s="78" t="s">
        <v>310</v>
      </c>
      <c r="C61" s="1768" t="s">
        <v>311</v>
      </c>
      <c r="D61" s="1768"/>
      <c r="E61" s="1768"/>
      <c r="F61" s="1768"/>
      <c r="G61" s="1768"/>
      <c r="H61" s="1768"/>
      <c r="I61" s="1768"/>
      <c r="J61" s="1768"/>
      <c r="K61" s="1768"/>
      <c r="L61" s="1768"/>
      <c r="M61" s="1768"/>
      <c r="N61" s="1779"/>
      <c r="Y61" s="43" t="s">
        <v>311</v>
      </c>
    </row>
    <row r="62" spans="1:30" s="40" customFormat="1" x14ac:dyDescent="0.2">
      <c r="A62" s="79"/>
      <c r="B62" s="78" t="s">
        <v>185</v>
      </c>
      <c r="C62" s="1768" t="s">
        <v>312</v>
      </c>
      <c r="D62" s="1768"/>
      <c r="E62" s="1768"/>
      <c r="F62" s="80"/>
      <c r="G62" s="80"/>
      <c r="H62" s="80"/>
      <c r="I62" s="80"/>
      <c r="J62" s="81">
        <v>15.18</v>
      </c>
      <c r="K62" s="80" t="s">
        <v>524</v>
      </c>
      <c r="L62" s="81">
        <v>-11.39</v>
      </c>
      <c r="M62" s="82"/>
      <c r="N62" s="83"/>
      <c r="Z62" s="43" t="s">
        <v>312</v>
      </c>
    </row>
    <row r="63" spans="1:30" s="40" customFormat="1" x14ac:dyDescent="0.2">
      <c r="A63" s="79"/>
      <c r="B63" s="78" t="s">
        <v>186</v>
      </c>
      <c r="C63" s="1768" t="s">
        <v>344</v>
      </c>
      <c r="D63" s="1768"/>
      <c r="E63" s="1768"/>
      <c r="F63" s="80"/>
      <c r="G63" s="80"/>
      <c r="H63" s="80"/>
      <c r="I63" s="80"/>
      <c r="J63" s="81">
        <v>90.92</v>
      </c>
      <c r="K63" s="80" t="s">
        <v>524</v>
      </c>
      <c r="L63" s="81">
        <v>-68.19</v>
      </c>
      <c r="M63" s="82"/>
      <c r="N63" s="83"/>
      <c r="Z63" s="43" t="s">
        <v>344</v>
      </c>
    </row>
    <row r="64" spans="1:30" s="40" customFormat="1" x14ac:dyDescent="0.2">
      <c r="A64" s="79"/>
      <c r="B64" s="78" t="s">
        <v>187</v>
      </c>
      <c r="C64" s="1768" t="s">
        <v>345</v>
      </c>
      <c r="D64" s="1768"/>
      <c r="E64" s="1768"/>
      <c r="F64" s="80"/>
      <c r="G64" s="80"/>
      <c r="H64" s="80"/>
      <c r="I64" s="80"/>
      <c r="J64" s="81">
        <v>11.69</v>
      </c>
      <c r="K64" s="80" t="s">
        <v>524</v>
      </c>
      <c r="L64" s="81">
        <v>-8.77</v>
      </c>
      <c r="M64" s="82"/>
      <c r="N64" s="83"/>
      <c r="Z64" s="43" t="s">
        <v>345</v>
      </c>
    </row>
    <row r="65" spans="1:30" s="40" customFormat="1" x14ac:dyDescent="0.2">
      <c r="A65" s="79"/>
      <c r="B65" s="78" t="s">
        <v>188</v>
      </c>
      <c r="C65" s="1768" t="s">
        <v>475</v>
      </c>
      <c r="D65" s="1768"/>
      <c r="E65" s="1768"/>
      <c r="F65" s="80"/>
      <c r="G65" s="80"/>
      <c r="H65" s="80"/>
      <c r="I65" s="80"/>
      <c r="J65" s="81">
        <v>255.79</v>
      </c>
      <c r="K65" s="80" t="s">
        <v>525</v>
      </c>
      <c r="L65" s="81">
        <v>0</v>
      </c>
      <c r="M65" s="82"/>
      <c r="N65" s="83"/>
      <c r="Z65" s="43" t="s">
        <v>475</v>
      </c>
    </row>
    <row r="66" spans="1:30" s="40" customFormat="1" ht="22.5" x14ac:dyDescent="0.2">
      <c r="A66" s="75"/>
      <c r="B66" s="114" t="s">
        <v>6685</v>
      </c>
      <c r="C66" s="1804" t="s">
        <v>6686</v>
      </c>
      <c r="D66" s="1804"/>
      <c r="E66" s="1804"/>
      <c r="F66" s="115" t="s">
        <v>307</v>
      </c>
      <c r="G66" s="115" t="s">
        <v>525</v>
      </c>
      <c r="H66" s="115" t="s">
        <v>525</v>
      </c>
      <c r="I66" s="115" t="s">
        <v>525</v>
      </c>
      <c r="J66" s="78"/>
      <c r="K66" s="80"/>
      <c r="L66" s="81"/>
      <c r="M66" s="80"/>
      <c r="N66" s="116"/>
      <c r="AA66" s="43" t="s">
        <v>6686</v>
      </c>
    </row>
    <row r="67" spans="1:30" s="40" customFormat="1" ht="22.5" x14ac:dyDescent="0.2">
      <c r="A67" s="75"/>
      <c r="B67" s="114" t="s">
        <v>6691</v>
      </c>
      <c r="C67" s="1804" t="s">
        <v>6692</v>
      </c>
      <c r="D67" s="1804"/>
      <c r="E67" s="1804"/>
      <c r="F67" s="115" t="s">
        <v>307</v>
      </c>
      <c r="G67" s="115" t="s">
        <v>525</v>
      </c>
      <c r="H67" s="115" t="s">
        <v>525</v>
      </c>
      <c r="I67" s="115" t="s">
        <v>525</v>
      </c>
      <c r="J67" s="78"/>
      <c r="K67" s="80"/>
      <c r="L67" s="81"/>
      <c r="M67" s="80"/>
      <c r="N67" s="116"/>
      <c r="AA67" s="43" t="s">
        <v>6692</v>
      </c>
    </row>
    <row r="68" spans="1:30" s="40" customFormat="1" x14ac:dyDescent="0.2">
      <c r="A68" s="79"/>
      <c r="B68" s="78"/>
      <c r="C68" s="1768" t="s">
        <v>314</v>
      </c>
      <c r="D68" s="1768"/>
      <c r="E68" s="1768"/>
      <c r="F68" s="80" t="s">
        <v>315</v>
      </c>
      <c r="G68" s="80" t="s">
        <v>6700</v>
      </c>
      <c r="H68" s="80" t="s">
        <v>524</v>
      </c>
      <c r="I68" s="80" t="s">
        <v>6701</v>
      </c>
      <c r="J68" s="81"/>
      <c r="K68" s="80"/>
      <c r="L68" s="81"/>
      <c r="M68" s="82"/>
      <c r="N68" s="83"/>
      <c r="AB68" s="43" t="s">
        <v>314</v>
      </c>
    </row>
    <row r="69" spans="1:30" s="40" customFormat="1" x14ac:dyDescent="0.2">
      <c r="A69" s="79"/>
      <c r="B69" s="78"/>
      <c r="C69" s="1768" t="s">
        <v>348</v>
      </c>
      <c r="D69" s="1768"/>
      <c r="E69" s="1768"/>
      <c r="F69" s="80" t="s">
        <v>315</v>
      </c>
      <c r="G69" s="80" t="s">
        <v>3165</v>
      </c>
      <c r="H69" s="80" t="s">
        <v>524</v>
      </c>
      <c r="I69" s="80" t="s">
        <v>6702</v>
      </c>
      <c r="J69" s="81"/>
      <c r="K69" s="80"/>
      <c r="L69" s="81"/>
      <c r="M69" s="82"/>
      <c r="N69" s="83"/>
      <c r="AB69" s="43" t="s">
        <v>348</v>
      </c>
    </row>
    <row r="70" spans="1:30" s="40" customFormat="1" x14ac:dyDescent="0.2">
      <c r="A70" s="79"/>
      <c r="B70" s="78"/>
      <c r="C70" s="1808" t="s">
        <v>318</v>
      </c>
      <c r="D70" s="1808"/>
      <c r="E70" s="1808"/>
      <c r="F70" s="169"/>
      <c r="G70" s="169"/>
      <c r="H70" s="169"/>
      <c r="I70" s="169"/>
      <c r="J70" s="170">
        <v>361.89</v>
      </c>
      <c r="K70" s="169"/>
      <c r="L70" s="170">
        <v>-79.58</v>
      </c>
      <c r="M70" s="171"/>
      <c r="N70" s="172"/>
      <c r="AC70" s="43" t="s">
        <v>318</v>
      </c>
    </row>
    <row r="71" spans="1:30" s="40" customFormat="1" x14ac:dyDescent="0.2">
      <c r="A71" s="79"/>
      <c r="B71" s="78"/>
      <c r="C71" s="1768" t="s">
        <v>319</v>
      </c>
      <c r="D71" s="1768"/>
      <c r="E71" s="1768"/>
      <c r="F71" s="80"/>
      <c r="G71" s="80"/>
      <c r="H71" s="80"/>
      <c r="I71" s="80"/>
      <c r="J71" s="81"/>
      <c r="K71" s="80"/>
      <c r="L71" s="81">
        <v>-20.16</v>
      </c>
      <c r="M71" s="82"/>
      <c r="N71" s="83"/>
      <c r="AB71" s="43" t="s">
        <v>319</v>
      </c>
    </row>
    <row r="72" spans="1:30" s="40" customFormat="1" ht="33.75" x14ac:dyDescent="0.2">
      <c r="A72" s="79"/>
      <c r="B72" s="78" t="s">
        <v>708</v>
      </c>
      <c r="C72" s="1768" t="s">
        <v>709</v>
      </c>
      <c r="D72" s="1768"/>
      <c r="E72" s="1768"/>
      <c r="F72" s="80" t="s">
        <v>322</v>
      </c>
      <c r="G72" s="80" t="s">
        <v>710</v>
      </c>
      <c r="H72" s="80"/>
      <c r="I72" s="80" t="s">
        <v>710</v>
      </c>
      <c r="J72" s="81"/>
      <c r="K72" s="80"/>
      <c r="L72" s="81">
        <v>-20.76</v>
      </c>
      <c r="M72" s="82"/>
      <c r="N72" s="83"/>
      <c r="AB72" s="43" t="s">
        <v>709</v>
      </c>
    </row>
    <row r="73" spans="1:30" s="40" customFormat="1" ht="33.75" x14ac:dyDescent="0.2">
      <c r="A73" s="79"/>
      <c r="B73" s="78" t="s">
        <v>711</v>
      </c>
      <c r="C73" s="1768" t="s">
        <v>712</v>
      </c>
      <c r="D73" s="1768"/>
      <c r="E73" s="1768"/>
      <c r="F73" s="80" t="s">
        <v>322</v>
      </c>
      <c r="G73" s="80" t="s">
        <v>713</v>
      </c>
      <c r="H73" s="80"/>
      <c r="I73" s="80" t="s">
        <v>713</v>
      </c>
      <c r="J73" s="81"/>
      <c r="K73" s="80"/>
      <c r="L73" s="81">
        <v>-12.1</v>
      </c>
      <c r="M73" s="82"/>
      <c r="N73" s="83"/>
      <c r="AB73" s="43" t="s">
        <v>712</v>
      </c>
    </row>
    <row r="74" spans="1:30" s="40" customFormat="1" x14ac:dyDescent="0.2">
      <c r="A74" s="88"/>
      <c r="B74" s="523"/>
      <c r="C74" s="1809" t="s">
        <v>327</v>
      </c>
      <c r="D74" s="1809"/>
      <c r="E74" s="1809"/>
      <c r="F74" s="165"/>
      <c r="G74" s="165"/>
      <c r="H74" s="165"/>
      <c r="I74" s="165"/>
      <c r="J74" s="166"/>
      <c r="K74" s="165"/>
      <c r="L74" s="166">
        <v>-112.44</v>
      </c>
      <c r="M74" s="171"/>
      <c r="N74" s="168"/>
      <c r="AD74" s="43" t="s">
        <v>327</v>
      </c>
    </row>
    <row r="75" spans="1:30" s="40" customFormat="1" ht="22.5" x14ac:dyDescent="0.2">
      <c r="A75" s="163" t="s">
        <v>187</v>
      </c>
      <c r="B75" s="524" t="s">
        <v>5431</v>
      </c>
      <c r="C75" s="1809" t="s">
        <v>6703</v>
      </c>
      <c r="D75" s="1809"/>
      <c r="E75" s="1809"/>
      <c r="F75" s="165" t="s">
        <v>617</v>
      </c>
      <c r="G75" s="165"/>
      <c r="H75" s="165"/>
      <c r="I75" s="165" t="s">
        <v>188</v>
      </c>
      <c r="J75" s="166"/>
      <c r="K75" s="165"/>
      <c r="L75" s="166"/>
      <c r="M75" s="167"/>
      <c r="N75" s="168"/>
      <c r="W75" s="43" t="s">
        <v>6703</v>
      </c>
    </row>
    <row r="76" spans="1:30" s="40" customFormat="1" ht="22.5" x14ac:dyDescent="0.2">
      <c r="A76" s="77"/>
      <c r="B76" s="78" t="s">
        <v>6704</v>
      </c>
      <c r="C76" s="1768" t="s">
        <v>6705</v>
      </c>
      <c r="D76" s="1768"/>
      <c r="E76" s="1768"/>
      <c r="F76" s="1768"/>
      <c r="G76" s="1768"/>
      <c r="H76" s="1768"/>
      <c r="I76" s="1768"/>
      <c r="J76" s="1768"/>
      <c r="K76" s="1768"/>
      <c r="L76" s="1768"/>
      <c r="M76" s="1768"/>
      <c r="N76" s="1779"/>
      <c r="Y76" s="43" t="s">
        <v>6705</v>
      </c>
    </row>
    <row r="77" spans="1:30" s="40" customFormat="1" ht="33.75" x14ac:dyDescent="0.2">
      <c r="A77" s="77"/>
      <c r="B77" s="78" t="s">
        <v>310</v>
      </c>
      <c r="C77" s="1768" t="s">
        <v>311</v>
      </c>
      <c r="D77" s="1768"/>
      <c r="E77" s="1768"/>
      <c r="F77" s="1768"/>
      <c r="G77" s="1768"/>
      <c r="H77" s="1768"/>
      <c r="I77" s="1768"/>
      <c r="J77" s="1768"/>
      <c r="K77" s="1768"/>
      <c r="L77" s="1768"/>
      <c r="M77" s="1768"/>
      <c r="N77" s="1779"/>
      <c r="Y77" s="43" t="s">
        <v>311</v>
      </c>
    </row>
    <row r="78" spans="1:30" s="40" customFormat="1" x14ac:dyDescent="0.2">
      <c r="A78" s="79"/>
      <c r="B78" s="78" t="s">
        <v>185</v>
      </c>
      <c r="C78" s="1768" t="s">
        <v>312</v>
      </c>
      <c r="D78" s="1768"/>
      <c r="E78" s="1768"/>
      <c r="F78" s="80"/>
      <c r="G78" s="80"/>
      <c r="H78" s="80"/>
      <c r="I78" s="80"/>
      <c r="J78" s="81">
        <v>12.11</v>
      </c>
      <c r="K78" s="80" t="s">
        <v>6706</v>
      </c>
      <c r="L78" s="81">
        <v>42.39</v>
      </c>
      <c r="M78" s="82"/>
      <c r="N78" s="83"/>
      <c r="Z78" s="43" t="s">
        <v>312</v>
      </c>
    </row>
    <row r="79" spans="1:30" s="40" customFormat="1" x14ac:dyDescent="0.2">
      <c r="A79" s="79"/>
      <c r="B79" s="78" t="s">
        <v>186</v>
      </c>
      <c r="C79" s="1768" t="s">
        <v>344</v>
      </c>
      <c r="D79" s="1768"/>
      <c r="E79" s="1768"/>
      <c r="F79" s="80"/>
      <c r="G79" s="80"/>
      <c r="H79" s="80"/>
      <c r="I79" s="80"/>
      <c r="J79" s="81">
        <v>83.12</v>
      </c>
      <c r="K79" s="80" t="s">
        <v>6706</v>
      </c>
      <c r="L79" s="81">
        <v>290.92</v>
      </c>
      <c r="M79" s="82"/>
      <c r="N79" s="83"/>
      <c r="Z79" s="43" t="s">
        <v>344</v>
      </c>
    </row>
    <row r="80" spans="1:30" s="40" customFormat="1" x14ac:dyDescent="0.2">
      <c r="A80" s="79"/>
      <c r="B80" s="78" t="s">
        <v>187</v>
      </c>
      <c r="C80" s="1768" t="s">
        <v>345</v>
      </c>
      <c r="D80" s="1768"/>
      <c r="E80" s="1768"/>
      <c r="F80" s="80"/>
      <c r="G80" s="80"/>
      <c r="H80" s="80"/>
      <c r="I80" s="80"/>
      <c r="J80" s="81">
        <v>6.96</v>
      </c>
      <c r="K80" s="80" t="s">
        <v>6706</v>
      </c>
      <c r="L80" s="81">
        <v>24.36</v>
      </c>
      <c r="M80" s="82"/>
      <c r="N80" s="83"/>
      <c r="Z80" s="43" t="s">
        <v>345</v>
      </c>
    </row>
    <row r="81" spans="1:30" s="40" customFormat="1" x14ac:dyDescent="0.2">
      <c r="A81" s="75"/>
      <c r="B81" s="114" t="s">
        <v>5434</v>
      </c>
      <c r="C81" s="1804" t="s">
        <v>5435</v>
      </c>
      <c r="D81" s="1804"/>
      <c r="E81" s="1804"/>
      <c r="F81" s="115" t="s">
        <v>617</v>
      </c>
      <c r="G81" s="115" t="s">
        <v>185</v>
      </c>
      <c r="H81" s="115" t="s">
        <v>525</v>
      </c>
      <c r="I81" s="115" t="s">
        <v>525</v>
      </c>
      <c r="J81" s="78"/>
      <c r="K81" s="80"/>
      <c r="L81" s="81"/>
      <c r="M81" s="80"/>
      <c r="N81" s="116"/>
      <c r="AA81" s="43" t="s">
        <v>5435</v>
      </c>
    </row>
    <row r="82" spans="1:30" s="40" customFormat="1" ht="22.5" x14ac:dyDescent="0.2">
      <c r="A82" s="75"/>
      <c r="B82" s="114" t="s">
        <v>5436</v>
      </c>
      <c r="C82" s="1804" t="s">
        <v>5437</v>
      </c>
      <c r="D82" s="1804"/>
      <c r="E82" s="1804"/>
      <c r="F82" s="115" t="s">
        <v>617</v>
      </c>
      <c r="G82" s="115" t="s">
        <v>185</v>
      </c>
      <c r="H82" s="115" t="s">
        <v>525</v>
      </c>
      <c r="I82" s="115" t="s">
        <v>525</v>
      </c>
      <c r="J82" s="78"/>
      <c r="K82" s="80"/>
      <c r="L82" s="81"/>
      <c r="M82" s="80"/>
      <c r="N82" s="116"/>
      <c r="AA82" s="43" t="s">
        <v>5437</v>
      </c>
    </row>
    <row r="83" spans="1:30" s="40" customFormat="1" x14ac:dyDescent="0.2">
      <c r="A83" s="79"/>
      <c r="B83" s="78"/>
      <c r="C83" s="1768" t="s">
        <v>314</v>
      </c>
      <c r="D83" s="1768"/>
      <c r="E83" s="1768"/>
      <c r="F83" s="80" t="s">
        <v>315</v>
      </c>
      <c r="G83" s="80" t="s">
        <v>2870</v>
      </c>
      <c r="H83" s="80" t="s">
        <v>6706</v>
      </c>
      <c r="I83" s="80" t="s">
        <v>6707</v>
      </c>
      <c r="J83" s="81"/>
      <c r="K83" s="80"/>
      <c r="L83" s="81"/>
      <c r="M83" s="82"/>
      <c r="N83" s="83"/>
      <c r="AB83" s="43" t="s">
        <v>314</v>
      </c>
    </row>
    <row r="84" spans="1:30" s="40" customFormat="1" x14ac:dyDescent="0.2">
      <c r="A84" s="79"/>
      <c r="B84" s="78"/>
      <c r="C84" s="1768" t="s">
        <v>348</v>
      </c>
      <c r="D84" s="1768"/>
      <c r="E84" s="1768"/>
      <c r="F84" s="80" t="s">
        <v>315</v>
      </c>
      <c r="G84" s="80" t="s">
        <v>823</v>
      </c>
      <c r="H84" s="80" t="s">
        <v>6706</v>
      </c>
      <c r="I84" s="80" t="s">
        <v>3176</v>
      </c>
      <c r="J84" s="81"/>
      <c r="K84" s="80"/>
      <c r="L84" s="81"/>
      <c r="M84" s="82"/>
      <c r="N84" s="83"/>
      <c r="AB84" s="43" t="s">
        <v>348</v>
      </c>
    </row>
    <row r="85" spans="1:30" s="40" customFormat="1" x14ac:dyDescent="0.2">
      <c r="A85" s="79"/>
      <c r="B85" s="78"/>
      <c r="C85" s="1808" t="s">
        <v>318</v>
      </c>
      <c r="D85" s="1808"/>
      <c r="E85" s="1808"/>
      <c r="F85" s="169"/>
      <c r="G85" s="169"/>
      <c r="H85" s="169"/>
      <c r="I85" s="169"/>
      <c r="J85" s="170">
        <v>95.23</v>
      </c>
      <c r="K85" s="169"/>
      <c r="L85" s="170">
        <v>333.31</v>
      </c>
      <c r="M85" s="171"/>
      <c r="N85" s="172"/>
      <c r="AC85" s="43" t="s">
        <v>318</v>
      </c>
    </row>
    <row r="86" spans="1:30" s="40" customFormat="1" x14ac:dyDescent="0.2">
      <c r="A86" s="79"/>
      <c r="B86" s="78"/>
      <c r="C86" s="1768" t="s">
        <v>319</v>
      </c>
      <c r="D86" s="1768"/>
      <c r="E86" s="1768"/>
      <c r="F86" s="80"/>
      <c r="G86" s="80"/>
      <c r="H86" s="80"/>
      <c r="I86" s="80"/>
      <c r="J86" s="81"/>
      <c r="K86" s="80"/>
      <c r="L86" s="81">
        <v>66.75</v>
      </c>
      <c r="M86" s="82"/>
      <c r="N86" s="83"/>
      <c r="AB86" s="43" t="s">
        <v>319</v>
      </c>
    </row>
    <row r="87" spans="1:30" s="40" customFormat="1" ht="33.75" x14ac:dyDescent="0.2">
      <c r="A87" s="79"/>
      <c r="B87" s="78" t="s">
        <v>708</v>
      </c>
      <c r="C87" s="1768" t="s">
        <v>709</v>
      </c>
      <c r="D87" s="1768"/>
      <c r="E87" s="1768"/>
      <c r="F87" s="80" t="s">
        <v>322</v>
      </c>
      <c r="G87" s="80" t="s">
        <v>710</v>
      </c>
      <c r="H87" s="80"/>
      <c r="I87" s="80" t="s">
        <v>710</v>
      </c>
      <c r="J87" s="81"/>
      <c r="K87" s="80"/>
      <c r="L87" s="81">
        <v>68.75</v>
      </c>
      <c r="M87" s="82"/>
      <c r="N87" s="83"/>
      <c r="AB87" s="43" t="s">
        <v>709</v>
      </c>
    </row>
    <row r="88" spans="1:30" s="40" customFormat="1" ht="33.75" x14ac:dyDescent="0.2">
      <c r="A88" s="79"/>
      <c r="B88" s="78" t="s">
        <v>711</v>
      </c>
      <c r="C88" s="1768" t="s">
        <v>712</v>
      </c>
      <c r="D88" s="1768"/>
      <c r="E88" s="1768"/>
      <c r="F88" s="80" t="s">
        <v>322</v>
      </c>
      <c r="G88" s="80" t="s">
        <v>713</v>
      </c>
      <c r="H88" s="80"/>
      <c r="I88" s="80" t="s">
        <v>713</v>
      </c>
      <c r="J88" s="81"/>
      <c r="K88" s="80"/>
      <c r="L88" s="81">
        <v>40.049999999999997</v>
      </c>
      <c r="M88" s="82"/>
      <c r="N88" s="83"/>
      <c r="AB88" s="43" t="s">
        <v>712</v>
      </c>
    </row>
    <row r="89" spans="1:30" s="40" customFormat="1" x14ac:dyDescent="0.2">
      <c r="A89" s="88"/>
      <c r="B89" s="523"/>
      <c r="C89" s="1809" t="s">
        <v>327</v>
      </c>
      <c r="D89" s="1809"/>
      <c r="E89" s="1809"/>
      <c r="F89" s="165"/>
      <c r="G89" s="165"/>
      <c r="H89" s="165"/>
      <c r="I89" s="165"/>
      <c r="J89" s="166"/>
      <c r="K89" s="165"/>
      <c r="L89" s="166">
        <v>442.11</v>
      </c>
      <c r="M89" s="171"/>
      <c r="N89" s="168"/>
      <c r="AD89" s="43" t="s">
        <v>327</v>
      </c>
    </row>
    <row r="90" spans="1:30" s="40" customFormat="1" ht="33.75" x14ac:dyDescent="0.2">
      <c r="A90" s="163" t="s">
        <v>188</v>
      </c>
      <c r="B90" s="524" t="s">
        <v>5450</v>
      </c>
      <c r="C90" s="1809" t="s">
        <v>6708</v>
      </c>
      <c r="D90" s="1809"/>
      <c r="E90" s="1809"/>
      <c r="F90" s="165" t="s">
        <v>307</v>
      </c>
      <c r="G90" s="165"/>
      <c r="H90" s="165"/>
      <c r="I90" s="165" t="s">
        <v>728</v>
      </c>
      <c r="J90" s="166"/>
      <c r="K90" s="165"/>
      <c r="L90" s="166"/>
      <c r="M90" s="167"/>
      <c r="N90" s="168"/>
      <c r="W90" s="43" t="s">
        <v>6708</v>
      </c>
    </row>
    <row r="91" spans="1:30" s="40" customFormat="1" x14ac:dyDescent="0.2">
      <c r="A91" s="75"/>
      <c r="B91" s="520"/>
      <c r="C91" s="1768" t="s">
        <v>2263</v>
      </c>
      <c r="D91" s="1768"/>
      <c r="E91" s="1768"/>
      <c r="F91" s="1768"/>
      <c r="G91" s="1768"/>
      <c r="H91" s="1768"/>
      <c r="I91" s="1768"/>
      <c r="J91" s="1768"/>
      <c r="K91" s="1768"/>
      <c r="L91" s="1768"/>
      <c r="M91" s="1768"/>
      <c r="N91" s="1779"/>
      <c r="X91" s="43" t="s">
        <v>2263</v>
      </c>
    </row>
    <row r="92" spans="1:30" s="40" customFormat="1" ht="22.5" x14ac:dyDescent="0.2">
      <c r="A92" s="77"/>
      <c r="B92" s="78" t="s">
        <v>6683</v>
      </c>
      <c r="C92" s="1768" t="s">
        <v>6684</v>
      </c>
      <c r="D92" s="1768"/>
      <c r="E92" s="1768"/>
      <c r="F92" s="1768"/>
      <c r="G92" s="1768"/>
      <c r="H92" s="1768"/>
      <c r="I92" s="1768"/>
      <c r="J92" s="1768"/>
      <c r="K92" s="1768"/>
      <c r="L92" s="1768"/>
      <c r="M92" s="1768"/>
      <c r="N92" s="1779"/>
      <c r="Y92" s="43" t="s">
        <v>6684</v>
      </c>
    </row>
    <row r="93" spans="1:30" s="40" customFormat="1" ht="33.75" x14ac:dyDescent="0.2">
      <c r="A93" s="77"/>
      <c r="B93" s="78" t="s">
        <v>310</v>
      </c>
      <c r="C93" s="1768" t="s">
        <v>311</v>
      </c>
      <c r="D93" s="1768"/>
      <c r="E93" s="1768"/>
      <c r="F93" s="1768"/>
      <c r="G93" s="1768"/>
      <c r="H93" s="1768"/>
      <c r="I93" s="1768"/>
      <c r="J93" s="1768"/>
      <c r="K93" s="1768"/>
      <c r="L93" s="1768"/>
      <c r="M93" s="1768"/>
      <c r="N93" s="1779"/>
      <c r="Y93" s="43" t="s">
        <v>311</v>
      </c>
    </row>
    <row r="94" spans="1:30" s="40" customFormat="1" x14ac:dyDescent="0.2">
      <c r="A94" s="79"/>
      <c r="B94" s="78" t="s">
        <v>185</v>
      </c>
      <c r="C94" s="1768" t="s">
        <v>312</v>
      </c>
      <c r="D94" s="1768"/>
      <c r="E94" s="1768"/>
      <c r="F94" s="80"/>
      <c r="G94" s="80"/>
      <c r="H94" s="80"/>
      <c r="I94" s="80"/>
      <c r="J94" s="81">
        <v>2745.86</v>
      </c>
      <c r="K94" s="80" t="s">
        <v>524</v>
      </c>
      <c r="L94" s="81">
        <v>82.38</v>
      </c>
      <c r="M94" s="82"/>
      <c r="N94" s="83"/>
      <c r="Z94" s="43" t="s">
        <v>312</v>
      </c>
    </row>
    <row r="95" spans="1:30" s="40" customFormat="1" x14ac:dyDescent="0.2">
      <c r="A95" s="79"/>
      <c r="B95" s="78" t="s">
        <v>186</v>
      </c>
      <c r="C95" s="1768" t="s">
        <v>344</v>
      </c>
      <c r="D95" s="1768"/>
      <c r="E95" s="1768"/>
      <c r="F95" s="80"/>
      <c r="G95" s="80"/>
      <c r="H95" s="80"/>
      <c r="I95" s="80"/>
      <c r="J95" s="81">
        <v>13091.33</v>
      </c>
      <c r="K95" s="80" t="s">
        <v>524</v>
      </c>
      <c r="L95" s="81">
        <v>392.74</v>
      </c>
      <c r="M95" s="82"/>
      <c r="N95" s="83"/>
      <c r="Z95" s="43" t="s">
        <v>344</v>
      </c>
    </row>
    <row r="96" spans="1:30" s="40" customFormat="1" x14ac:dyDescent="0.2">
      <c r="A96" s="79"/>
      <c r="B96" s="78" t="s">
        <v>187</v>
      </c>
      <c r="C96" s="1768" t="s">
        <v>345</v>
      </c>
      <c r="D96" s="1768"/>
      <c r="E96" s="1768"/>
      <c r="F96" s="80"/>
      <c r="G96" s="80"/>
      <c r="H96" s="80"/>
      <c r="I96" s="80"/>
      <c r="J96" s="81">
        <v>1246.4000000000001</v>
      </c>
      <c r="K96" s="80" t="s">
        <v>524</v>
      </c>
      <c r="L96" s="81">
        <v>37.39</v>
      </c>
      <c r="M96" s="82"/>
      <c r="N96" s="83"/>
      <c r="Z96" s="43" t="s">
        <v>345</v>
      </c>
    </row>
    <row r="97" spans="1:32" s="40" customFormat="1" x14ac:dyDescent="0.2">
      <c r="A97" s="79"/>
      <c r="B97" s="78" t="s">
        <v>188</v>
      </c>
      <c r="C97" s="1768" t="s">
        <v>475</v>
      </c>
      <c r="D97" s="1768"/>
      <c r="E97" s="1768"/>
      <c r="F97" s="80"/>
      <c r="G97" s="80"/>
      <c r="H97" s="80"/>
      <c r="I97" s="80"/>
      <c r="J97" s="81">
        <v>1287.96</v>
      </c>
      <c r="K97" s="80" t="s">
        <v>525</v>
      </c>
      <c r="L97" s="81">
        <v>0</v>
      </c>
      <c r="M97" s="82"/>
      <c r="N97" s="83"/>
      <c r="Z97" s="43" t="s">
        <v>475</v>
      </c>
    </row>
    <row r="98" spans="1:32" s="40" customFormat="1" x14ac:dyDescent="0.2">
      <c r="A98" s="79"/>
      <c r="B98" s="78"/>
      <c r="C98" s="1768" t="s">
        <v>314</v>
      </c>
      <c r="D98" s="1768"/>
      <c r="E98" s="1768"/>
      <c r="F98" s="80" t="s">
        <v>315</v>
      </c>
      <c r="G98" s="80" t="s">
        <v>5453</v>
      </c>
      <c r="H98" s="80" t="s">
        <v>524</v>
      </c>
      <c r="I98" s="80" t="s">
        <v>6709</v>
      </c>
      <c r="J98" s="81"/>
      <c r="K98" s="80"/>
      <c r="L98" s="81"/>
      <c r="M98" s="82"/>
      <c r="N98" s="83"/>
      <c r="AB98" s="43" t="s">
        <v>314</v>
      </c>
    </row>
    <row r="99" spans="1:32" s="40" customFormat="1" x14ac:dyDescent="0.2">
      <c r="A99" s="79"/>
      <c r="B99" s="78"/>
      <c r="C99" s="1768" t="s">
        <v>348</v>
      </c>
      <c r="D99" s="1768"/>
      <c r="E99" s="1768"/>
      <c r="F99" s="80" t="s">
        <v>315</v>
      </c>
      <c r="G99" s="80" t="s">
        <v>5455</v>
      </c>
      <c r="H99" s="80" t="s">
        <v>524</v>
      </c>
      <c r="I99" s="80" t="s">
        <v>6710</v>
      </c>
      <c r="J99" s="81"/>
      <c r="K99" s="80"/>
      <c r="L99" s="81"/>
      <c r="M99" s="82"/>
      <c r="N99" s="83"/>
      <c r="AB99" s="43" t="s">
        <v>348</v>
      </c>
    </row>
    <row r="100" spans="1:32" s="40" customFormat="1" x14ac:dyDescent="0.2">
      <c r="A100" s="79"/>
      <c r="B100" s="78"/>
      <c r="C100" s="1808" t="s">
        <v>318</v>
      </c>
      <c r="D100" s="1808"/>
      <c r="E100" s="1808"/>
      <c r="F100" s="169"/>
      <c r="G100" s="169"/>
      <c r="H100" s="169"/>
      <c r="I100" s="169"/>
      <c r="J100" s="170">
        <v>17125.150000000001</v>
      </c>
      <c r="K100" s="169"/>
      <c r="L100" s="170">
        <v>475.12</v>
      </c>
      <c r="M100" s="171"/>
      <c r="N100" s="172"/>
      <c r="AC100" s="43" t="s">
        <v>318</v>
      </c>
    </row>
    <row r="101" spans="1:32" s="40" customFormat="1" x14ac:dyDescent="0.2">
      <c r="A101" s="79"/>
      <c r="B101" s="78"/>
      <c r="C101" s="1768" t="s">
        <v>319</v>
      </c>
      <c r="D101" s="1768"/>
      <c r="E101" s="1768"/>
      <c r="F101" s="80"/>
      <c r="G101" s="80"/>
      <c r="H101" s="80"/>
      <c r="I101" s="80"/>
      <c r="J101" s="81"/>
      <c r="K101" s="80"/>
      <c r="L101" s="81">
        <v>119.77</v>
      </c>
      <c r="M101" s="82"/>
      <c r="N101" s="83"/>
      <c r="AB101" s="43" t="s">
        <v>319</v>
      </c>
    </row>
    <row r="102" spans="1:32" s="40" customFormat="1" ht="33.75" x14ac:dyDescent="0.2">
      <c r="A102" s="79"/>
      <c r="B102" s="78" t="s">
        <v>1631</v>
      </c>
      <c r="C102" s="1768" t="s">
        <v>1632</v>
      </c>
      <c r="D102" s="1768"/>
      <c r="E102" s="1768"/>
      <c r="F102" s="80" t="s">
        <v>322</v>
      </c>
      <c r="G102" s="80" t="s">
        <v>1633</v>
      </c>
      <c r="H102" s="80"/>
      <c r="I102" s="80" t="s">
        <v>1633</v>
      </c>
      <c r="J102" s="81"/>
      <c r="K102" s="80"/>
      <c r="L102" s="81">
        <v>116.18</v>
      </c>
      <c r="M102" s="82"/>
      <c r="N102" s="83"/>
      <c r="AB102" s="43" t="s">
        <v>1632</v>
      </c>
    </row>
    <row r="103" spans="1:32" s="40" customFormat="1" ht="33.75" x14ac:dyDescent="0.2">
      <c r="A103" s="79"/>
      <c r="B103" s="78" t="s">
        <v>1634</v>
      </c>
      <c r="C103" s="1768" t="s">
        <v>1635</v>
      </c>
      <c r="D103" s="1768"/>
      <c r="E103" s="1768"/>
      <c r="F103" s="80" t="s">
        <v>322</v>
      </c>
      <c r="G103" s="80" t="s">
        <v>786</v>
      </c>
      <c r="H103" s="80"/>
      <c r="I103" s="80" t="s">
        <v>786</v>
      </c>
      <c r="J103" s="81"/>
      <c r="K103" s="80"/>
      <c r="L103" s="81">
        <v>61.08</v>
      </c>
      <c r="M103" s="82"/>
      <c r="N103" s="83"/>
      <c r="AB103" s="43" t="s">
        <v>1635</v>
      </c>
    </row>
    <row r="104" spans="1:32" s="40" customFormat="1" x14ac:dyDescent="0.2">
      <c r="A104" s="88"/>
      <c r="B104" s="523"/>
      <c r="C104" s="1809" t="s">
        <v>327</v>
      </c>
      <c r="D104" s="1809"/>
      <c r="E104" s="1809"/>
      <c r="F104" s="165"/>
      <c r="G104" s="165"/>
      <c r="H104" s="165"/>
      <c r="I104" s="165"/>
      <c r="J104" s="166"/>
      <c r="K104" s="165"/>
      <c r="L104" s="166">
        <v>652.38</v>
      </c>
      <c r="M104" s="171"/>
      <c r="N104" s="168"/>
      <c r="AD104" s="43" t="s">
        <v>327</v>
      </c>
    </row>
    <row r="105" spans="1:32" s="40" customFormat="1" ht="1.5" customHeight="1" x14ac:dyDescent="0.2">
      <c r="A105" s="90"/>
      <c r="B105" s="523"/>
      <c r="C105" s="523"/>
      <c r="D105" s="523"/>
      <c r="E105" s="523"/>
      <c r="F105" s="90"/>
      <c r="G105" s="90"/>
      <c r="H105" s="90"/>
      <c r="I105" s="90"/>
      <c r="J105" s="91"/>
      <c r="K105" s="90"/>
      <c r="L105" s="91"/>
      <c r="M105" s="80"/>
      <c r="N105" s="91"/>
    </row>
    <row r="106" spans="1:32" s="40" customFormat="1" ht="2.25" customHeight="1" x14ac:dyDescent="0.2"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105"/>
      <c r="M106" s="106"/>
      <c r="N106" s="107"/>
    </row>
    <row r="107" spans="1:32" s="40" customFormat="1" x14ac:dyDescent="0.2">
      <c r="A107" s="173"/>
      <c r="B107" s="174"/>
      <c r="C107" s="1809" t="s">
        <v>205</v>
      </c>
      <c r="D107" s="1809"/>
      <c r="E107" s="1809"/>
      <c r="F107" s="1809"/>
      <c r="G107" s="1809"/>
      <c r="H107" s="1809"/>
      <c r="I107" s="1809"/>
      <c r="J107" s="1809"/>
      <c r="K107" s="1809"/>
      <c r="L107" s="175"/>
      <c r="M107" s="176"/>
      <c r="N107" s="177"/>
      <c r="AE107" s="43" t="s">
        <v>205</v>
      </c>
    </row>
    <row r="108" spans="1:32" s="40" customFormat="1" x14ac:dyDescent="0.2">
      <c r="A108" s="97"/>
      <c r="B108" s="78"/>
      <c r="C108" s="1768" t="s">
        <v>403</v>
      </c>
      <c r="D108" s="1768"/>
      <c r="E108" s="1768"/>
      <c r="F108" s="1768"/>
      <c r="G108" s="1768"/>
      <c r="H108" s="1768"/>
      <c r="I108" s="1768"/>
      <c r="J108" s="1768"/>
      <c r="K108" s="1768"/>
      <c r="L108" s="98">
        <v>1244.06</v>
      </c>
      <c r="M108" s="99"/>
      <c r="N108" s="100"/>
      <c r="AF108" s="43" t="s">
        <v>403</v>
      </c>
    </row>
    <row r="109" spans="1:32" s="40" customFormat="1" x14ac:dyDescent="0.2">
      <c r="A109" s="97"/>
      <c r="B109" s="78"/>
      <c r="C109" s="1768" t="s">
        <v>204</v>
      </c>
      <c r="D109" s="1768"/>
      <c r="E109" s="1768"/>
      <c r="F109" s="1768"/>
      <c r="G109" s="1768"/>
      <c r="H109" s="1768"/>
      <c r="I109" s="1768"/>
      <c r="J109" s="1768"/>
      <c r="K109" s="1768"/>
      <c r="L109" s="98"/>
      <c r="M109" s="99"/>
      <c r="N109" s="100"/>
      <c r="AF109" s="43" t="s">
        <v>204</v>
      </c>
    </row>
    <row r="110" spans="1:32" s="40" customFormat="1" x14ac:dyDescent="0.2">
      <c r="A110" s="97"/>
      <c r="B110" s="78"/>
      <c r="C110" s="1768" t="s">
        <v>404</v>
      </c>
      <c r="D110" s="1768"/>
      <c r="E110" s="1768"/>
      <c r="F110" s="1768"/>
      <c r="G110" s="1768"/>
      <c r="H110" s="1768"/>
      <c r="I110" s="1768"/>
      <c r="J110" s="1768"/>
      <c r="K110" s="1768"/>
      <c r="L110" s="98">
        <v>199.46</v>
      </c>
      <c r="M110" s="99"/>
      <c r="N110" s="100"/>
      <c r="AF110" s="43" t="s">
        <v>404</v>
      </c>
    </row>
    <row r="111" spans="1:32" s="40" customFormat="1" x14ac:dyDescent="0.2">
      <c r="A111" s="97"/>
      <c r="B111" s="78"/>
      <c r="C111" s="1768" t="s">
        <v>405</v>
      </c>
      <c r="D111" s="1768"/>
      <c r="E111" s="1768"/>
      <c r="F111" s="1768"/>
      <c r="G111" s="1768"/>
      <c r="H111" s="1768"/>
      <c r="I111" s="1768"/>
      <c r="J111" s="1768"/>
      <c r="K111" s="1768"/>
      <c r="L111" s="98">
        <v>1044.5999999999999</v>
      </c>
      <c r="M111" s="99"/>
      <c r="N111" s="100"/>
      <c r="AF111" s="43" t="s">
        <v>405</v>
      </c>
    </row>
    <row r="112" spans="1:32" s="40" customFormat="1" x14ac:dyDescent="0.2">
      <c r="A112" s="97"/>
      <c r="B112" s="78"/>
      <c r="C112" s="1768" t="s">
        <v>406</v>
      </c>
      <c r="D112" s="1768"/>
      <c r="E112" s="1768"/>
      <c r="F112" s="1768"/>
      <c r="G112" s="1768"/>
      <c r="H112" s="1768"/>
      <c r="I112" s="1768"/>
      <c r="J112" s="1768"/>
      <c r="K112" s="1768"/>
      <c r="L112" s="98">
        <v>108.35</v>
      </c>
      <c r="M112" s="99"/>
      <c r="N112" s="100"/>
      <c r="AF112" s="43" t="s">
        <v>406</v>
      </c>
    </row>
    <row r="113" spans="1:33" s="40" customFormat="1" x14ac:dyDescent="0.2">
      <c r="A113" s="97"/>
      <c r="B113" s="78" t="s">
        <v>185</v>
      </c>
      <c r="C113" s="1768" t="s">
        <v>407</v>
      </c>
      <c r="D113" s="1768"/>
      <c r="E113" s="1768"/>
      <c r="F113" s="1768"/>
      <c r="G113" s="1768"/>
      <c r="H113" s="1768"/>
      <c r="I113" s="1768"/>
      <c r="J113" s="1768"/>
      <c r="K113" s="1768"/>
      <c r="L113" s="98">
        <v>1075.44</v>
      </c>
      <c r="M113" s="99">
        <v>9.7899999999999991</v>
      </c>
      <c r="N113" s="100">
        <v>10529</v>
      </c>
      <c r="AF113" s="43" t="s">
        <v>407</v>
      </c>
    </row>
    <row r="114" spans="1:33" s="40" customFormat="1" x14ac:dyDescent="0.2">
      <c r="A114" s="97"/>
      <c r="B114" s="78"/>
      <c r="C114" s="1768" t="s">
        <v>204</v>
      </c>
      <c r="D114" s="1768"/>
      <c r="E114" s="1768"/>
      <c r="F114" s="1768"/>
      <c r="G114" s="1768"/>
      <c r="H114" s="1768"/>
      <c r="I114" s="1768"/>
      <c r="J114" s="1768"/>
      <c r="K114" s="1768"/>
      <c r="L114" s="98"/>
      <c r="M114" s="99"/>
      <c r="N114" s="100"/>
      <c r="AF114" s="43" t="s">
        <v>204</v>
      </c>
    </row>
    <row r="115" spans="1:33" s="40" customFormat="1" x14ac:dyDescent="0.2">
      <c r="A115" s="97"/>
      <c r="B115" s="78"/>
      <c r="C115" s="1768" t="s">
        <v>546</v>
      </c>
      <c r="D115" s="1768"/>
      <c r="E115" s="1768"/>
      <c r="F115" s="1768"/>
      <c r="G115" s="1768"/>
      <c r="H115" s="1768"/>
      <c r="I115" s="1768"/>
      <c r="J115" s="1768"/>
      <c r="K115" s="1768"/>
      <c r="L115" s="98">
        <v>117.08</v>
      </c>
      <c r="M115" s="99"/>
      <c r="N115" s="100"/>
      <c r="AF115" s="43" t="s">
        <v>546</v>
      </c>
    </row>
    <row r="116" spans="1:33" s="40" customFormat="1" x14ac:dyDescent="0.2">
      <c r="A116" s="97"/>
      <c r="B116" s="78"/>
      <c r="C116" s="1768" t="s">
        <v>442</v>
      </c>
      <c r="D116" s="1768"/>
      <c r="E116" s="1768"/>
      <c r="F116" s="1768"/>
      <c r="G116" s="1768"/>
      <c r="H116" s="1768"/>
      <c r="I116" s="1768"/>
      <c r="J116" s="1768"/>
      <c r="K116" s="1768"/>
      <c r="L116" s="98">
        <v>651.86</v>
      </c>
      <c r="M116" s="99"/>
      <c r="N116" s="100"/>
      <c r="AF116" s="43" t="s">
        <v>442</v>
      </c>
    </row>
    <row r="117" spans="1:33" s="40" customFormat="1" x14ac:dyDescent="0.2">
      <c r="A117" s="97"/>
      <c r="B117" s="78"/>
      <c r="C117" s="1768" t="s">
        <v>443</v>
      </c>
      <c r="D117" s="1768"/>
      <c r="E117" s="1768"/>
      <c r="F117" s="1768"/>
      <c r="G117" s="1768"/>
      <c r="H117" s="1768"/>
      <c r="I117" s="1768"/>
      <c r="J117" s="1768"/>
      <c r="K117" s="1768"/>
      <c r="L117" s="98">
        <v>193.68</v>
      </c>
      <c r="M117" s="99"/>
      <c r="N117" s="100"/>
      <c r="AF117" s="43" t="s">
        <v>443</v>
      </c>
    </row>
    <row r="118" spans="1:33" s="40" customFormat="1" x14ac:dyDescent="0.2">
      <c r="A118" s="97"/>
      <c r="B118" s="78"/>
      <c r="C118" s="1768" t="s">
        <v>444</v>
      </c>
      <c r="D118" s="1768"/>
      <c r="E118" s="1768"/>
      <c r="F118" s="1768"/>
      <c r="G118" s="1768"/>
      <c r="H118" s="1768"/>
      <c r="I118" s="1768"/>
      <c r="J118" s="1768"/>
      <c r="K118" s="1768"/>
      <c r="L118" s="98">
        <v>112.82</v>
      </c>
      <c r="M118" s="99"/>
      <c r="N118" s="100"/>
      <c r="AF118" s="43" t="s">
        <v>444</v>
      </c>
    </row>
    <row r="119" spans="1:33" s="40" customFormat="1" x14ac:dyDescent="0.2">
      <c r="A119" s="97"/>
      <c r="B119" s="78" t="s">
        <v>185</v>
      </c>
      <c r="C119" s="1768" t="s">
        <v>753</v>
      </c>
      <c r="D119" s="1768"/>
      <c r="E119" s="1768"/>
      <c r="F119" s="1768"/>
      <c r="G119" s="1768"/>
      <c r="H119" s="1768"/>
      <c r="I119" s="1768"/>
      <c r="J119" s="1768"/>
      <c r="K119" s="1768"/>
      <c r="L119" s="98">
        <v>652.38</v>
      </c>
      <c r="M119" s="99">
        <v>9.7899999999999991</v>
      </c>
      <c r="N119" s="100">
        <v>6387</v>
      </c>
      <c r="AF119" s="43" t="s">
        <v>753</v>
      </c>
    </row>
    <row r="120" spans="1:33" s="40" customFormat="1" x14ac:dyDescent="0.2">
      <c r="A120" s="97"/>
      <c r="B120" s="78"/>
      <c r="C120" s="1768" t="s">
        <v>204</v>
      </c>
      <c r="D120" s="1768"/>
      <c r="E120" s="1768"/>
      <c r="F120" s="1768"/>
      <c r="G120" s="1768"/>
      <c r="H120" s="1768"/>
      <c r="I120" s="1768"/>
      <c r="J120" s="1768"/>
      <c r="K120" s="1768"/>
      <c r="L120" s="98"/>
      <c r="M120" s="99"/>
      <c r="N120" s="100"/>
      <c r="AF120" s="43" t="s">
        <v>204</v>
      </c>
    </row>
    <row r="121" spans="1:33" s="40" customFormat="1" x14ac:dyDescent="0.2">
      <c r="A121" s="97"/>
      <c r="B121" s="78"/>
      <c r="C121" s="1768" t="s">
        <v>546</v>
      </c>
      <c r="D121" s="1768"/>
      <c r="E121" s="1768"/>
      <c r="F121" s="1768"/>
      <c r="G121" s="1768"/>
      <c r="H121" s="1768"/>
      <c r="I121" s="1768"/>
      <c r="J121" s="1768"/>
      <c r="K121" s="1768"/>
      <c r="L121" s="98">
        <v>82.38</v>
      </c>
      <c r="M121" s="99"/>
      <c r="N121" s="100"/>
      <c r="AF121" s="43" t="s">
        <v>546</v>
      </c>
    </row>
    <row r="122" spans="1:33" s="40" customFormat="1" x14ac:dyDescent="0.2">
      <c r="A122" s="97"/>
      <c r="B122" s="78"/>
      <c r="C122" s="1768" t="s">
        <v>442</v>
      </c>
      <c r="D122" s="1768"/>
      <c r="E122" s="1768"/>
      <c r="F122" s="1768"/>
      <c r="G122" s="1768"/>
      <c r="H122" s="1768"/>
      <c r="I122" s="1768"/>
      <c r="J122" s="1768"/>
      <c r="K122" s="1768"/>
      <c r="L122" s="98">
        <v>392.74</v>
      </c>
      <c r="M122" s="99"/>
      <c r="N122" s="100"/>
      <c r="AF122" s="43" t="s">
        <v>442</v>
      </c>
    </row>
    <row r="123" spans="1:33" s="40" customFormat="1" x14ac:dyDescent="0.2">
      <c r="A123" s="97"/>
      <c r="B123" s="78"/>
      <c r="C123" s="1768" t="s">
        <v>443</v>
      </c>
      <c r="D123" s="1768"/>
      <c r="E123" s="1768"/>
      <c r="F123" s="1768"/>
      <c r="G123" s="1768"/>
      <c r="H123" s="1768"/>
      <c r="I123" s="1768"/>
      <c r="J123" s="1768"/>
      <c r="K123" s="1768"/>
      <c r="L123" s="98">
        <v>116.18</v>
      </c>
      <c r="M123" s="99"/>
      <c r="N123" s="100"/>
      <c r="AF123" s="43" t="s">
        <v>443</v>
      </c>
    </row>
    <row r="124" spans="1:33" s="40" customFormat="1" x14ac:dyDescent="0.2">
      <c r="A124" s="97"/>
      <c r="B124" s="78"/>
      <c r="C124" s="1768" t="s">
        <v>444</v>
      </c>
      <c r="D124" s="1768"/>
      <c r="E124" s="1768"/>
      <c r="F124" s="1768"/>
      <c r="G124" s="1768"/>
      <c r="H124" s="1768"/>
      <c r="I124" s="1768"/>
      <c r="J124" s="1768"/>
      <c r="K124" s="1768"/>
      <c r="L124" s="98">
        <v>61.08</v>
      </c>
      <c r="M124" s="99"/>
      <c r="N124" s="100"/>
      <c r="AF124" s="43" t="s">
        <v>444</v>
      </c>
    </row>
    <row r="125" spans="1:33" s="40" customFormat="1" x14ac:dyDescent="0.2">
      <c r="A125" s="97"/>
      <c r="B125" s="78"/>
      <c r="C125" s="1768" t="s">
        <v>415</v>
      </c>
      <c r="D125" s="1768"/>
      <c r="E125" s="1768"/>
      <c r="F125" s="1768"/>
      <c r="G125" s="1768"/>
      <c r="H125" s="1768"/>
      <c r="I125" s="1768"/>
      <c r="J125" s="1768"/>
      <c r="K125" s="1768"/>
      <c r="L125" s="98">
        <v>307.81</v>
      </c>
      <c r="M125" s="99"/>
      <c r="N125" s="100"/>
      <c r="AF125" s="43" t="s">
        <v>415</v>
      </c>
    </row>
    <row r="126" spans="1:33" s="40" customFormat="1" x14ac:dyDescent="0.2">
      <c r="A126" s="97"/>
      <c r="B126" s="78"/>
      <c r="C126" s="1768" t="s">
        <v>416</v>
      </c>
      <c r="D126" s="1768"/>
      <c r="E126" s="1768"/>
      <c r="F126" s="1768"/>
      <c r="G126" s="1768"/>
      <c r="H126" s="1768"/>
      <c r="I126" s="1768"/>
      <c r="J126" s="1768"/>
      <c r="K126" s="1768"/>
      <c r="L126" s="98">
        <v>309.86</v>
      </c>
      <c r="M126" s="99"/>
      <c r="N126" s="100"/>
      <c r="AF126" s="43" t="s">
        <v>416</v>
      </c>
    </row>
    <row r="127" spans="1:33" s="40" customFormat="1" x14ac:dyDescent="0.2">
      <c r="A127" s="97"/>
      <c r="B127" s="78"/>
      <c r="C127" s="1768" t="s">
        <v>417</v>
      </c>
      <c r="D127" s="1768"/>
      <c r="E127" s="1768"/>
      <c r="F127" s="1768"/>
      <c r="G127" s="1768"/>
      <c r="H127" s="1768"/>
      <c r="I127" s="1768"/>
      <c r="J127" s="1768"/>
      <c r="K127" s="1768"/>
      <c r="L127" s="98">
        <v>173.9</v>
      </c>
      <c r="M127" s="99"/>
      <c r="N127" s="100"/>
      <c r="AF127" s="43" t="s">
        <v>417</v>
      </c>
    </row>
    <row r="128" spans="1:33" s="40" customFormat="1" x14ac:dyDescent="0.2">
      <c r="A128" s="97"/>
      <c r="B128" s="91"/>
      <c r="C128" s="1787" t="s">
        <v>206</v>
      </c>
      <c r="D128" s="1787"/>
      <c r="E128" s="1787"/>
      <c r="F128" s="1787"/>
      <c r="G128" s="1787"/>
      <c r="H128" s="1787"/>
      <c r="I128" s="1787"/>
      <c r="J128" s="1787"/>
      <c r="K128" s="1787"/>
      <c r="L128" s="102">
        <v>1727.82</v>
      </c>
      <c r="M128" s="103"/>
      <c r="N128" s="108">
        <v>16916</v>
      </c>
      <c r="AG128" s="43" t="s">
        <v>206</v>
      </c>
    </row>
    <row r="129" spans="1:34" ht="1.5" customHeight="1" x14ac:dyDescent="0.2">
      <c r="B129" s="91"/>
      <c r="C129" s="523"/>
      <c r="D129" s="523"/>
      <c r="E129" s="523"/>
      <c r="F129" s="523"/>
      <c r="G129" s="523"/>
      <c r="H129" s="523"/>
      <c r="I129" s="523"/>
      <c r="J129" s="523"/>
      <c r="K129" s="523"/>
      <c r="L129" s="102"/>
      <c r="M129" s="103"/>
      <c r="N129" s="109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</row>
    <row r="130" spans="1:34" ht="53.25" customHeight="1" x14ac:dyDescent="0.2">
      <c r="A130" s="178"/>
      <c r="B130" s="178"/>
      <c r="C130" s="178"/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</row>
    <row r="131" spans="1:34" x14ac:dyDescent="0.2">
      <c r="B131" s="111" t="s">
        <v>149</v>
      </c>
      <c r="C131" s="1807" t="s">
        <v>207</v>
      </c>
      <c r="D131" s="1807"/>
      <c r="E131" s="1807"/>
      <c r="F131" s="1807"/>
      <c r="G131" s="1807"/>
      <c r="H131" s="1807"/>
      <c r="I131" s="1807"/>
      <c r="J131" s="1807"/>
      <c r="K131" s="1807"/>
      <c r="L131" s="1807"/>
      <c r="O131" s="40"/>
    </row>
    <row r="132" spans="1:34" ht="13.5" customHeight="1" x14ac:dyDescent="0.2">
      <c r="B132" s="41"/>
      <c r="C132" s="1806" t="s">
        <v>150</v>
      </c>
      <c r="D132" s="1806"/>
      <c r="E132" s="1806"/>
      <c r="F132" s="1806"/>
      <c r="G132" s="1806"/>
      <c r="H132" s="1806"/>
      <c r="I132" s="1806"/>
      <c r="J132" s="1806"/>
      <c r="K132" s="1806"/>
      <c r="L132" s="1806"/>
      <c r="O132" s="40"/>
    </row>
    <row r="133" spans="1:34" ht="12.75" customHeight="1" x14ac:dyDescent="0.2">
      <c r="B133" s="111" t="s">
        <v>151</v>
      </c>
      <c r="C133" s="1807" t="s">
        <v>208</v>
      </c>
      <c r="D133" s="1807"/>
      <c r="E133" s="1807"/>
      <c r="F133" s="1807"/>
      <c r="G133" s="1807"/>
      <c r="H133" s="1807"/>
      <c r="I133" s="1807"/>
      <c r="J133" s="1807"/>
      <c r="K133" s="1807"/>
      <c r="L133" s="1807"/>
      <c r="O133" s="40"/>
    </row>
    <row r="134" spans="1:34" ht="13.5" customHeight="1" x14ac:dyDescent="0.2">
      <c r="C134" s="1806" t="s">
        <v>150</v>
      </c>
      <c r="D134" s="1806"/>
      <c r="E134" s="1806"/>
      <c r="F134" s="1806"/>
      <c r="G134" s="1806"/>
      <c r="H134" s="1806"/>
      <c r="I134" s="1806"/>
      <c r="J134" s="1806"/>
      <c r="K134" s="1806"/>
      <c r="L134" s="1806"/>
      <c r="O134" s="40"/>
    </row>
    <row r="136" spans="1:34" x14ac:dyDescent="0.2">
      <c r="A136" s="1790"/>
      <c r="B136" s="1790"/>
      <c r="C136" s="1790"/>
      <c r="D136" s="1790"/>
      <c r="E136" s="1790"/>
      <c r="F136" s="1790"/>
      <c r="G136" s="1790"/>
      <c r="H136" s="1790"/>
      <c r="I136" s="1790"/>
      <c r="J136" s="1790"/>
      <c r="K136" s="1790"/>
      <c r="L136" s="1790"/>
      <c r="M136" s="1790"/>
      <c r="N136" s="179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3" t="s">
        <v>143</v>
      </c>
    </row>
    <row r="137" spans="1:34" x14ac:dyDescent="0.2">
      <c r="B137" s="112"/>
      <c r="D137" s="112"/>
      <c r="F137" s="112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</row>
  </sheetData>
  <mergeCells count="119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N41"/>
    <mergeCell ref="C42:N42"/>
    <mergeCell ref="C43:N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C53:E53"/>
    <mergeCell ref="C54:E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E52"/>
    <mergeCell ref="C65:E65"/>
    <mergeCell ref="C66:E66"/>
    <mergeCell ref="C67:E67"/>
    <mergeCell ref="C68:E68"/>
    <mergeCell ref="C69:E69"/>
    <mergeCell ref="C70:E70"/>
    <mergeCell ref="C59:E59"/>
    <mergeCell ref="C60:N60"/>
    <mergeCell ref="C61:N61"/>
    <mergeCell ref="C62:E62"/>
    <mergeCell ref="C63:E63"/>
    <mergeCell ref="C64:E64"/>
    <mergeCell ref="C77:N77"/>
    <mergeCell ref="C78:E78"/>
    <mergeCell ref="C79:E79"/>
    <mergeCell ref="C80:E80"/>
    <mergeCell ref="C81:E81"/>
    <mergeCell ref="C82:E82"/>
    <mergeCell ref="C71:E71"/>
    <mergeCell ref="C72:E72"/>
    <mergeCell ref="C73:E73"/>
    <mergeCell ref="C74:E74"/>
    <mergeCell ref="C75:E75"/>
    <mergeCell ref="C76:N76"/>
    <mergeCell ref="C89:E89"/>
    <mergeCell ref="C90:E90"/>
    <mergeCell ref="C91:N91"/>
    <mergeCell ref="C92:N92"/>
    <mergeCell ref="C93:N93"/>
    <mergeCell ref="C94:E94"/>
    <mergeCell ref="C83:E83"/>
    <mergeCell ref="C84:E84"/>
    <mergeCell ref="C85:E85"/>
    <mergeCell ref="C86:E86"/>
    <mergeCell ref="C87:E87"/>
    <mergeCell ref="C88:E88"/>
    <mergeCell ref="C101:E101"/>
    <mergeCell ref="C102:E102"/>
    <mergeCell ref="C103:E103"/>
    <mergeCell ref="C104:E104"/>
    <mergeCell ref="C107:K107"/>
    <mergeCell ref="C108:K108"/>
    <mergeCell ref="C95:E95"/>
    <mergeCell ref="C96:E96"/>
    <mergeCell ref="C97:E97"/>
    <mergeCell ref="C98:E98"/>
    <mergeCell ref="C99:E99"/>
    <mergeCell ref="C100:E100"/>
    <mergeCell ref="C115:K115"/>
    <mergeCell ref="C116:K116"/>
    <mergeCell ref="C117:K117"/>
    <mergeCell ref="C118:K118"/>
    <mergeCell ref="C119:K119"/>
    <mergeCell ref="C120:K120"/>
    <mergeCell ref="C109:K109"/>
    <mergeCell ref="C110:K110"/>
    <mergeCell ref="C111:K111"/>
    <mergeCell ref="C112:K112"/>
    <mergeCell ref="C113:K113"/>
    <mergeCell ref="C114:K114"/>
    <mergeCell ref="A136:N136"/>
    <mergeCell ref="C127:K127"/>
    <mergeCell ref="C128:K128"/>
    <mergeCell ref="C131:L131"/>
    <mergeCell ref="C132:L132"/>
    <mergeCell ref="C133:L133"/>
    <mergeCell ref="C134:L134"/>
    <mergeCell ref="C121:K121"/>
    <mergeCell ref="C122:K122"/>
    <mergeCell ref="C123:K123"/>
    <mergeCell ref="C124:K124"/>
    <mergeCell ref="C125:K125"/>
    <mergeCell ref="C126:K12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13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AI846"/>
  <sheetViews>
    <sheetView topLeftCell="A800" zoomScale="115" zoomScaleNormal="115" workbookViewId="0">
      <selection activeCell="I840" sqref="I840"/>
    </sheetView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 customWidth="1"/>
    <col min="16" max="16" width="99.7109375" style="537" hidden="1" customWidth="1"/>
    <col min="17" max="21" width="138.42578125" style="537" hidden="1" customWidth="1"/>
    <col min="22" max="22" width="34.140625" style="537" hidden="1" customWidth="1"/>
    <col min="23" max="24" width="110.140625" style="537" hidden="1" customWidth="1"/>
    <col min="25" max="28" width="34.140625" style="537" hidden="1" customWidth="1"/>
    <col min="29" max="31" width="84.42578125" style="537" hidden="1" customWidth="1"/>
    <col min="32" max="32" width="34.140625" style="537" hidden="1" customWidth="1"/>
    <col min="33" max="35" width="84.42578125" style="537" hidden="1" customWidth="1"/>
    <col min="36" max="16384" width="9.140625" style="536"/>
  </cols>
  <sheetData>
    <row r="1" spans="1:19" s="536" customFormat="1" x14ac:dyDescent="0.2">
      <c r="N1" s="540" t="s">
        <v>152</v>
      </c>
    </row>
    <row r="2" spans="1:19" s="536" customFormat="1" x14ac:dyDescent="0.2">
      <c r="N2" s="540" t="s">
        <v>141</v>
      </c>
    </row>
    <row r="3" spans="1:19" s="536" customFormat="1" ht="8.25" customHeight="1" x14ac:dyDescent="0.2">
      <c r="N3" s="540"/>
    </row>
    <row r="4" spans="1:19" s="536" customFormat="1" ht="33.75" x14ac:dyDescent="0.2">
      <c r="A4" s="689" t="s">
        <v>156</v>
      </c>
      <c r="B4" s="561"/>
      <c r="D4" s="1822" t="s">
        <v>157</v>
      </c>
      <c r="E4" s="1822"/>
      <c r="F4" s="1822"/>
      <c r="G4" s="1822"/>
      <c r="H4" s="1822"/>
      <c r="I4" s="1822"/>
      <c r="J4" s="1822"/>
      <c r="K4" s="1822"/>
      <c r="L4" s="1822"/>
      <c r="M4" s="1822"/>
      <c r="N4" s="1822"/>
      <c r="P4" s="537" t="s">
        <v>157</v>
      </c>
    </row>
    <row r="5" spans="1:19" s="536" customFormat="1" ht="15" customHeight="1" x14ac:dyDescent="0.2">
      <c r="A5" s="581" t="s">
        <v>158</v>
      </c>
      <c r="D5" s="589" t="s">
        <v>8951</v>
      </c>
      <c r="E5" s="589"/>
      <c r="F5" s="596"/>
      <c r="G5" s="596"/>
      <c r="H5" s="596"/>
      <c r="I5" s="596"/>
      <c r="J5" s="596"/>
      <c r="K5" s="596"/>
      <c r="L5" s="596"/>
      <c r="M5" s="596"/>
      <c r="N5" s="596"/>
    </row>
    <row r="6" spans="1:19" s="536" customFormat="1" ht="8.25" customHeight="1" x14ac:dyDescent="0.2">
      <c r="A6" s="581"/>
      <c r="F6" s="561"/>
      <c r="G6" s="561"/>
      <c r="H6" s="561"/>
      <c r="I6" s="561"/>
      <c r="J6" s="561"/>
      <c r="K6" s="561"/>
      <c r="L6" s="561"/>
      <c r="M6" s="561"/>
      <c r="N6" s="561"/>
    </row>
    <row r="7" spans="1:19" s="536" customFormat="1" x14ac:dyDescent="0.2">
      <c r="A7" s="1837" t="s">
        <v>20</v>
      </c>
      <c r="B7" s="1837"/>
      <c r="C7" s="1837"/>
      <c r="D7" s="1837"/>
      <c r="E7" s="1837"/>
      <c r="F7" s="1837"/>
      <c r="G7" s="1837"/>
      <c r="H7" s="1837"/>
      <c r="I7" s="1837"/>
      <c r="J7" s="1837"/>
      <c r="K7" s="1837"/>
      <c r="L7" s="1837"/>
      <c r="M7" s="1837"/>
      <c r="N7" s="1837"/>
      <c r="Q7" s="537" t="s">
        <v>20</v>
      </c>
    </row>
    <row r="8" spans="1:19" s="536" customFormat="1" x14ac:dyDescent="0.2">
      <c r="A8" s="1838" t="s">
        <v>139</v>
      </c>
      <c r="B8" s="1838"/>
      <c r="C8" s="1838"/>
      <c r="D8" s="1838"/>
      <c r="E8" s="1838"/>
      <c r="F8" s="1838"/>
      <c r="G8" s="1838"/>
      <c r="H8" s="1838"/>
      <c r="I8" s="1838"/>
      <c r="J8" s="1838"/>
      <c r="K8" s="1838"/>
      <c r="L8" s="1838"/>
      <c r="M8" s="1838"/>
      <c r="N8" s="1838"/>
    </row>
    <row r="9" spans="1:19" s="536" customFormat="1" ht="8.25" customHeight="1" x14ac:dyDescent="0.2">
      <c r="A9" s="595"/>
      <c r="B9" s="595"/>
      <c r="C9" s="595"/>
      <c r="D9" s="595"/>
      <c r="E9" s="595"/>
      <c r="F9" s="595"/>
      <c r="G9" s="595"/>
      <c r="H9" s="595"/>
      <c r="I9" s="595"/>
      <c r="J9" s="595"/>
      <c r="K9" s="595"/>
      <c r="L9" s="595"/>
      <c r="M9" s="595"/>
      <c r="N9" s="595"/>
    </row>
    <row r="10" spans="1:19" s="536" customFormat="1" x14ac:dyDescent="0.2">
      <c r="A10" s="1837"/>
      <c r="B10" s="1837"/>
      <c r="C10" s="1837"/>
      <c r="D10" s="1837"/>
      <c r="E10" s="1837"/>
      <c r="F10" s="1837"/>
      <c r="G10" s="1837"/>
      <c r="H10" s="1837"/>
      <c r="I10" s="1837"/>
      <c r="J10" s="1837"/>
      <c r="K10" s="1837"/>
      <c r="L10" s="1837"/>
      <c r="M10" s="1837"/>
      <c r="N10" s="1837"/>
      <c r="R10" s="537" t="s">
        <v>143</v>
      </c>
    </row>
    <row r="11" spans="1:19" s="536" customFormat="1" x14ac:dyDescent="0.2">
      <c r="A11" s="1838" t="s">
        <v>142</v>
      </c>
      <c r="B11" s="1838"/>
      <c r="C11" s="1838"/>
      <c r="D11" s="1838"/>
      <c r="E11" s="1838"/>
      <c r="F11" s="1838"/>
      <c r="G11" s="1838"/>
      <c r="H11" s="1838"/>
      <c r="I11" s="1838"/>
      <c r="J11" s="1838"/>
      <c r="K11" s="1838"/>
      <c r="L11" s="1838"/>
      <c r="M11" s="1838"/>
      <c r="N11" s="1838"/>
    </row>
    <row r="12" spans="1:19" s="536" customFormat="1" ht="24" customHeight="1" x14ac:dyDescent="0.25">
      <c r="A12" s="1839" t="s">
        <v>6726</v>
      </c>
      <c r="B12" s="1839"/>
      <c r="C12" s="1839"/>
      <c r="D12" s="1839"/>
      <c r="E12" s="1839"/>
      <c r="F12" s="1839"/>
      <c r="G12" s="1839"/>
      <c r="H12" s="1839"/>
      <c r="I12" s="1839"/>
      <c r="J12" s="1839"/>
      <c r="K12" s="1839"/>
      <c r="L12" s="1839"/>
      <c r="M12" s="1839"/>
      <c r="N12" s="1839"/>
    </row>
    <row r="13" spans="1:19" s="536" customFormat="1" ht="8.25" customHeight="1" x14ac:dyDescent="0.25">
      <c r="A13" s="687"/>
      <c r="B13" s="687"/>
      <c r="C13" s="687"/>
      <c r="D13" s="687"/>
      <c r="E13" s="687"/>
      <c r="F13" s="687"/>
      <c r="G13" s="687"/>
      <c r="H13" s="687"/>
      <c r="I13" s="687"/>
      <c r="J13" s="687"/>
      <c r="K13" s="687"/>
      <c r="L13" s="687"/>
      <c r="M13" s="687"/>
      <c r="N13" s="687"/>
    </row>
    <row r="14" spans="1:19" s="536" customFormat="1" x14ac:dyDescent="0.2">
      <c r="A14" s="1840" t="s">
        <v>6727</v>
      </c>
      <c r="B14" s="1840"/>
      <c r="C14" s="1840"/>
      <c r="D14" s="1840"/>
      <c r="E14" s="1840"/>
      <c r="F14" s="1840"/>
      <c r="G14" s="1840"/>
      <c r="H14" s="1840"/>
      <c r="I14" s="1840"/>
      <c r="J14" s="1840"/>
      <c r="K14" s="1840"/>
      <c r="L14" s="1840"/>
      <c r="M14" s="1840"/>
      <c r="N14" s="1840"/>
      <c r="S14" s="537" t="s">
        <v>6727</v>
      </c>
    </row>
    <row r="15" spans="1:19" s="536" customFormat="1" ht="13.5" customHeight="1" x14ac:dyDescent="0.2">
      <c r="A15" s="1838" t="s">
        <v>160</v>
      </c>
      <c r="B15" s="1838"/>
      <c r="C15" s="1838"/>
      <c r="D15" s="1838"/>
      <c r="E15" s="1838"/>
      <c r="F15" s="1838"/>
      <c r="G15" s="1838"/>
      <c r="H15" s="1838"/>
      <c r="I15" s="1838"/>
      <c r="J15" s="1838"/>
      <c r="K15" s="1838"/>
      <c r="L15" s="1838"/>
      <c r="M15" s="1838"/>
      <c r="N15" s="1838"/>
    </row>
    <row r="16" spans="1:19" s="536" customFormat="1" ht="15" customHeight="1" x14ac:dyDescent="0.2">
      <c r="A16" s="536" t="s">
        <v>161</v>
      </c>
      <c r="B16" s="593" t="s">
        <v>162</v>
      </c>
      <c r="C16" s="536" t="s">
        <v>163</v>
      </c>
      <c r="F16" s="537"/>
      <c r="G16" s="537"/>
      <c r="H16" s="537"/>
      <c r="I16" s="537"/>
      <c r="J16" s="537"/>
      <c r="K16" s="537"/>
      <c r="L16" s="537"/>
      <c r="M16" s="537"/>
      <c r="N16" s="537"/>
    </row>
    <row r="17" spans="1:14" s="536" customFormat="1" ht="18" customHeight="1" x14ac:dyDescent="0.2">
      <c r="A17" s="536" t="s">
        <v>164</v>
      </c>
      <c r="B17" s="1840"/>
      <c r="C17" s="1840"/>
      <c r="D17" s="1840"/>
      <c r="E17" s="1840"/>
      <c r="F17" s="1840"/>
      <c r="G17" s="537"/>
      <c r="H17" s="537"/>
      <c r="I17" s="537"/>
      <c r="J17" s="537"/>
      <c r="K17" s="537"/>
      <c r="L17" s="537"/>
      <c r="M17" s="537"/>
      <c r="N17" s="537"/>
    </row>
    <row r="18" spans="1:14" s="536" customFormat="1" x14ac:dyDescent="0.2">
      <c r="B18" s="1835" t="s">
        <v>144</v>
      </c>
      <c r="C18" s="1835"/>
      <c r="D18" s="1835"/>
      <c r="E18" s="1835"/>
      <c r="F18" s="1835"/>
      <c r="G18" s="590"/>
      <c r="H18" s="590"/>
      <c r="I18" s="590"/>
      <c r="J18" s="590"/>
      <c r="K18" s="590"/>
      <c r="L18" s="590"/>
      <c r="M18" s="592"/>
      <c r="N18" s="590"/>
    </row>
    <row r="19" spans="1:14" s="536" customFormat="1" ht="9.75" customHeight="1" x14ac:dyDescent="0.2">
      <c r="D19" s="591"/>
      <c r="E19" s="591"/>
      <c r="F19" s="591"/>
      <c r="G19" s="591"/>
      <c r="H19" s="591"/>
      <c r="I19" s="591"/>
      <c r="J19" s="591"/>
      <c r="K19" s="591"/>
      <c r="L19" s="591"/>
      <c r="M19" s="590"/>
      <c r="N19" s="590"/>
    </row>
    <row r="20" spans="1:14" s="536" customFormat="1" x14ac:dyDescent="0.2">
      <c r="A20" s="587" t="s">
        <v>165</v>
      </c>
      <c r="D20" s="589" t="s">
        <v>301</v>
      </c>
      <c r="F20" s="588"/>
      <c r="G20" s="588"/>
      <c r="H20" s="588"/>
      <c r="I20" s="588"/>
      <c r="J20" s="588"/>
      <c r="K20" s="588"/>
      <c r="L20" s="588"/>
      <c r="M20" s="588"/>
      <c r="N20" s="588"/>
    </row>
    <row r="21" spans="1:14" s="536" customFormat="1" ht="9.75" customHeight="1" x14ac:dyDescent="0.2">
      <c r="D21" s="588"/>
      <c r="E21" s="588"/>
      <c r="F21" s="588"/>
      <c r="G21" s="588"/>
      <c r="H21" s="588"/>
      <c r="I21" s="588"/>
      <c r="J21" s="588"/>
      <c r="K21" s="588"/>
      <c r="L21" s="588"/>
      <c r="M21" s="588"/>
      <c r="N21" s="588"/>
    </row>
    <row r="22" spans="1:14" s="536" customFormat="1" ht="12.75" customHeight="1" x14ac:dyDescent="0.2">
      <c r="A22" s="587" t="s">
        <v>166</v>
      </c>
      <c r="C22" s="580">
        <v>1434.59</v>
      </c>
      <c r="D22" s="579" t="s">
        <v>8952</v>
      </c>
      <c r="E22" s="581" t="s">
        <v>167</v>
      </c>
      <c r="L22" s="586"/>
      <c r="M22" s="586"/>
    </row>
    <row r="23" spans="1:14" s="536" customFormat="1" ht="12.75" customHeight="1" x14ac:dyDescent="0.2">
      <c r="B23" s="536" t="s">
        <v>168</v>
      </c>
      <c r="C23" s="585"/>
      <c r="D23" s="584"/>
      <c r="E23" s="581"/>
    </row>
    <row r="24" spans="1:14" s="536" customFormat="1" ht="12.75" customHeight="1" x14ac:dyDescent="0.2">
      <c r="B24" s="536" t="s">
        <v>169</v>
      </c>
      <c r="C24" s="580">
        <v>1431.38</v>
      </c>
      <c r="D24" s="579" t="s">
        <v>8953</v>
      </c>
      <c r="E24" s="581" t="s">
        <v>167</v>
      </c>
      <c r="G24" s="536" t="s">
        <v>170</v>
      </c>
      <c r="L24" s="580">
        <v>0</v>
      </c>
      <c r="M24" s="579" t="s">
        <v>8954</v>
      </c>
      <c r="N24" s="581" t="s">
        <v>167</v>
      </c>
    </row>
    <row r="25" spans="1:14" s="536" customFormat="1" ht="12.75" customHeight="1" x14ac:dyDescent="0.2">
      <c r="B25" s="536" t="s">
        <v>140</v>
      </c>
      <c r="C25" s="580">
        <v>3.21</v>
      </c>
      <c r="D25" s="583" t="s">
        <v>8955</v>
      </c>
      <c r="E25" s="581" t="s">
        <v>167</v>
      </c>
      <c r="G25" s="536" t="s">
        <v>172</v>
      </c>
      <c r="L25" s="582"/>
      <c r="M25" s="582">
        <v>412.58</v>
      </c>
      <c r="N25" s="581" t="s">
        <v>173</v>
      </c>
    </row>
    <row r="26" spans="1:14" s="536" customFormat="1" ht="12.75" customHeight="1" x14ac:dyDescent="0.2">
      <c r="B26" s="536" t="s">
        <v>146</v>
      </c>
      <c r="C26" s="580">
        <v>0</v>
      </c>
      <c r="D26" s="583" t="s">
        <v>171</v>
      </c>
      <c r="E26" s="581" t="s">
        <v>167</v>
      </c>
      <c r="G26" s="536" t="s">
        <v>174</v>
      </c>
      <c r="L26" s="582"/>
      <c r="M26" s="582">
        <v>72.75</v>
      </c>
      <c r="N26" s="581" t="s">
        <v>173</v>
      </c>
    </row>
    <row r="27" spans="1:14" s="536" customFormat="1" ht="12.75" customHeight="1" x14ac:dyDescent="0.2">
      <c r="B27" s="536" t="s">
        <v>147</v>
      </c>
      <c r="C27" s="580">
        <v>0</v>
      </c>
      <c r="D27" s="579" t="s">
        <v>171</v>
      </c>
      <c r="E27" s="581" t="s">
        <v>167</v>
      </c>
      <c r="G27" s="536" t="s">
        <v>175</v>
      </c>
      <c r="L27" s="1836"/>
      <c r="M27" s="1836"/>
    </row>
    <row r="28" spans="1:14" s="536" customFormat="1" ht="9.75" customHeight="1" x14ac:dyDescent="0.2">
      <c r="A28" s="578"/>
    </row>
    <row r="29" spans="1:14" s="536" customFormat="1" ht="36" customHeight="1" x14ac:dyDescent="0.2">
      <c r="A29" s="1833" t="s">
        <v>8</v>
      </c>
      <c r="B29" s="1833" t="s">
        <v>145</v>
      </c>
      <c r="C29" s="1833" t="s">
        <v>176</v>
      </c>
      <c r="D29" s="1833"/>
      <c r="E29" s="1833"/>
      <c r="F29" s="1833" t="s">
        <v>177</v>
      </c>
      <c r="G29" s="1833" t="s">
        <v>178</v>
      </c>
      <c r="H29" s="1833"/>
      <c r="I29" s="1833"/>
      <c r="J29" s="1833" t="s">
        <v>179</v>
      </c>
      <c r="K29" s="1833"/>
      <c r="L29" s="1833"/>
      <c r="M29" s="1833" t="s">
        <v>180</v>
      </c>
      <c r="N29" s="1833" t="s">
        <v>181</v>
      </c>
    </row>
    <row r="30" spans="1:14" s="536" customFormat="1" ht="36.75" customHeight="1" x14ac:dyDescent="0.2">
      <c r="A30" s="1833"/>
      <c r="B30" s="1833"/>
      <c r="C30" s="1833"/>
      <c r="D30" s="1833"/>
      <c r="E30" s="1833"/>
      <c r="F30" s="1833"/>
      <c r="G30" s="1833"/>
      <c r="H30" s="1833"/>
      <c r="I30" s="1833"/>
      <c r="J30" s="1833"/>
      <c r="K30" s="1833"/>
      <c r="L30" s="1833"/>
      <c r="M30" s="1833"/>
      <c r="N30" s="1833"/>
    </row>
    <row r="31" spans="1:14" s="536" customFormat="1" ht="45" x14ac:dyDescent="0.2">
      <c r="A31" s="1833"/>
      <c r="B31" s="1833"/>
      <c r="C31" s="1833"/>
      <c r="D31" s="1833"/>
      <c r="E31" s="1833"/>
      <c r="F31" s="1833"/>
      <c r="G31" s="685" t="s">
        <v>182</v>
      </c>
      <c r="H31" s="685" t="s">
        <v>183</v>
      </c>
      <c r="I31" s="685" t="s">
        <v>184</v>
      </c>
      <c r="J31" s="685" t="s">
        <v>182</v>
      </c>
      <c r="K31" s="685" t="s">
        <v>183</v>
      </c>
      <c r="L31" s="685" t="s">
        <v>148</v>
      </c>
      <c r="M31" s="1833"/>
      <c r="N31" s="1833"/>
    </row>
    <row r="32" spans="1:14" s="536" customFormat="1" x14ac:dyDescent="0.2">
      <c r="A32" s="686">
        <v>1</v>
      </c>
      <c r="B32" s="686">
        <v>2</v>
      </c>
      <c r="C32" s="1834">
        <v>3</v>
      </c>
      <c r="D32" s="1834"/>
      <c r="E32" s="1834"/>
      <c r="F32" s="686">
        <v>4</v>
      </c>
      <c r="G32" s="686">
        <v>5</v>
      </c>
      <c r="H32" s="686">
        <v>6</v>
      </c>
      <c r="I32" s="686">
        <v>7</v>
      </c>
      <c r="J32" s="686">
        <v>8</v>
      </c>
      <c r="K32" s="686">
        <v>9</v>
      </c>
      <c r="L32" s="686">
        <v>10</v>
      </c>
      <c r="M32" s="686">
        <v>11</v>
      </c>
      <c r="N32" s="686">
        <v>12</v>
      </c>
    </row>
    <row r="33" spans="1:28" s="536" customFormat="1" ht="12" x14ac:dyDescent="0.2">
      <c r="A33" s="1824" t="s">
        <v>976</v>
      </c>
      <c r="B33" s="1825"/>
      <c r="C33" s="1825"/>
      <c r="D33" s="1825"/>
      <c r="E33" s="1825"/>
      <c r="F33" s="1825"/>
      <c r="G33" s="1825"/>
      <c r="H33" s="1825"/>
      <c r="I33" s="1825"/>
      <c r="J33" s="1825"/>
      <c r="K33" s="1825"/>
      <c r="L33" s="1825"/>
      <c r="M33" s="1825"/>
      <c r="N33" s="1826"/>
      <c r="T33" s="674" t="s">
        <v>976</v>
      </c>
    </row>
    <row r="34" spans="1:28" s="536" customFormat="1" ht="12" x14ac:dyDescent="0.2">
      <c r="A34" s="1830" t="s">
        <v>6728</v>
      </c>
      <c r="B34" s="1831"/>
      <c r="C34" s="1831"/>
      <c r="D34" s="1831"/>
      <c r="E34" s="1831"/>
      <c r="F34" s="1831"/>
      <c r="G34" s="1831"/>
      <c r="H34" s="1831"/>
      <c r="I34" s="1831"/>
      <c r="J34" s="1831"/>
      <c r="K34" s="1831"/>
      <c r="L34" s="1831"/>
      <c r="M34" s="1831"/>
      <c r="N34" s="1832"/>
      <c r="T34" s="674"/>
      <c r="U34" s="675" t="s">
        <v>6728</v>
      </c>
    </row>
    <row r="35" spans="1:28" s="536" customFormat="1" ht="45" x14ac:dyDescent="0.2">
      <c r="A35" s="575" t="s">
        <v>185</v>
      </c>
      <c r="B35" s="684" t="s">
        <v>6729</v>
      </c>
      <c r="C35" s="1823" t="s">
        <v>6730</v>
      </c>
      <c r="D35" s="1823"/>
      <c r="E35" s="1823"/>
      <c r="F35" s="573" t="s">
        <v>455</v>
      </c>
      <c r="G35" s="573"/>
      <c r="H35" s="573"/>
      <c r="I35" s="573" t="s">
        <v>8956</v>
      </c>
      <c r="J35" s="572"/>
      <c r="K35" s="573"/>
      <c r="L35" s="572"/>
      <c r="M35" s="573"/>
      <c r="N35" s="570"/>
      <c r="T35" s="674"/>
      <c r="U35" s="675"/>
      <c r="V35" s="675" t="s">
        <v>6730</v>
      </c>
    </row>
    <row r="36" spans="1:28" s="536" customFormat="1" ht="12" x14ac:dyDescent="0.2">
      <c r="A36" s="676"/>
      <c r="B36" s="682"/>
      <c r="C36" s="1822" t="s">
        <v>8957</v>
      </c>
      <c r="D36" s="1822"/>
      <c r="E36" s="1822"/>
      <c r="F36" s="1822"/>
      <c r="G36" s="1822"/>
      <c r="H36" s="1822"/>
      <c r="I36" s="1822"/>
      <c r="J36" s="1822"/>
      <c r="K36" s="1822"/>
      <c r="L36" s="1822"/>
      <c r="M36" s="1822"/>
      <c r="N36" s="1827"/>
      <c r="T36" s="674"/>
      <c r="U36" s="675"/>
      <c r="V36" s="675"/>
      <c r="W36" s="537" t="s">
        <v>8957</v>
      </c>
    </row>
    <row r="37" spans="1:28" s="536" customFormat="1" ht="33.75" x14ac:dyDescent="0.2">
      <c r="A37" s="609"/>
      <c r="B37" s="552" t="s">
        <v>310</v>
      </c>
      <c r="C37" s="1822" t="s">
        <v>311</v>
      </c>
      <c r="D37" s="1822"/>
      <c r="E37" s="1822"/>
      <c r="F37" s="1822"/>
      <c r="G37" s="1822"/>
      <c r="H37" s="1822"/>
      <c r="I37" s="1822"/>
      <c r="J37" s="1822"/>
      <c r="K37" s="1822"/>
      <c r="L37" s="1822"/>
      <c r="M37" s="1822"/>
      <c r="N37" s="1827"/>
      <c r="T37" s="674"/>
      <c r="U37" s="675"/>
      <c r="V37" s="675"/>
      <c r="X37" s="537" t="s">
        <v>311</v>
      </c>
    </row>
    <row r="38" spans="1:28" s="536" customFormat="1" ht="12" x14ac:dyDescent="0.2">
      <c r="A38" s="605"/>
      <c r="B38" s="552" t="s">
        <v>186</v>
      </c>
      <c r="C38" s="1822" t="s">
        <v>344</v>
      </c>
      <c r="D38" s="1822"/>
      <c r="E38" s="1822"/>
      <c r="F38" s="562"/>
      <c r="G38" s="562"/>
      <c r="H38" s="562"/>
      <c r="I38" s="562"/>
      <c r="J38" s="604">
        <v>2550</v>
      </c>
      <c r="K38" s="562" t="s">
        <v>313</v>
      </c>
      <c r="L38" s="604">
        <v>319.77</v>
      </c>
      <c r="M38" s="562"/>
      <c r="N38" s="602"/>
      <c r="T38" s="674"/>
      <c r="U38" s="675"/>
      <c r="V38" s="675"/>
      <c r="Y38" s="537" t="s">
        <v>344</v>
      </c>
    </row>
    <row r="39" spans="1:28" s="536" customFormat="1" ht="12" x14ac:dyDescent="0.2">
      <c r="A39" s="605"/>
      <c r="B39" s="552" t="s">
        <v>187</v>
      </c>
      <c r="C39" s="1822" t="s">
        <v>345</v>
      </c>
      <c r="D39" s="1822"/>
      <c r="E39" s="1822"/>
      <c r="F39" s="562"/>
      <c r="G39" s="562"/>
      <c r="H39" s="562"/>
      <c r="I39" s="562"/>
      <c r="J39" s="604">
        <v>344.25</v>
      </c>
      <c r="K39" s="562" t="s">
        <v>313</v>
      </c>
      <c r="L39" s="604">
        <v>43.17</v>
      </c>
      <c r="M39" s="562"/>
      <c r="N39" s="602"/>
      <c r="T39" s="674"/>
      <c r="U39" s="675"/>
      <c r="V39" s="675"/>
      <c r="Y39" s="537" t="s">
        <v>345</v>
      </c>
    </row>
    <row r="40" spans="1:28" s="536" customFormat="1" ht="12" x14ac:dyDescent="0.2">
      <c r="A40" s="605"/>
      <c r="B40" s="552"/>
      <c r="C40" s="1822" t="s">
        <v>348</v>
      </c>
      <c r="D40" s="1822"/>
      <c r="E40" s="1822"/>
      <c r="F40" s="562" t="s">
        <v>315</v>
      </c>
      <c r="G40" s="562" t="s">
        <v>6640</v>
      </c>
      <c r="H40" s="562" t="s">
        <v>313</v>
      </c>
      <c r="I40" s="562" t="s">
        <v>8958</v>
      </c>
      <c r="J40" s="604"/>
      <c r="K40" s="562"/>
      <c r="L40" s="604"/>
      <c r="M40" s="562"/>
      <c r="N40" s="602"/>
      <c r="T40" s="674"/>
      <c r="U40" s="675"/>
      <c r="V40" s="675"/>
      <c r="Z40" s="537" t="s">
        <v>348</v>
      </c>
    </row>
    <row r="41" spans="1:28" s="536" customFormat="1" ht="12" x14ac:dyDescent="0.2">
      <c r="A41" s="605"/>
      <c r="B41" s="552"/>
      <c r="C41" s="1828" t="s">
        <v>318</v>
      </c>
      <c r="D41" s="1828"/>
      <c r="E41" s="1828"/>
      <c r="F41" s="608"/>
      <c r="G41" s="608"/>
      <c r="H41" s="608"/>
      <c r="I41" s="608"/>
      <c r="J41" s="607">
        <v>2550</v>
      </c>
      <c r="K41" s="608"/>
      <c r="L41" s="607">
        <v>319.77</v>
      </c>
      <c r="M41" s="608"/>
      <c r="N41" s="606"/>
      <c r="T41" s="674"/>
      <c r="U41" s="675"/>
      <c r="V41" s="675"/>
      <c r="AA41" s="537" t="s">
        <v>318</v>
      </c>
    </row>
    <row r="42" spans="1:28" s="536" customFormat="1" ht="12" x14ac:dyDescent="0.2">
      <c r="A42" s="605"/>
      <c r="B42" s="552"/>
      <c r="C42" s="1822" t="s">
        <v>319</v>
      </c>
      <c r="D42" s="1822"/>
      <c r="E42" s="1822"/>
      <c r="F42" s="562"/>
      <c r="G42" s="562"/>
      <c r="H42" s="562"/>
      <c r="I42" s="562"/>
      <c r="J42" s="604"/>
      <c r="K42" s="562"/>
      <c r="L42" s="604">
        <v>43.17</v>
      </c>
      <c r="M42" s="562"/>
      <c r="N42" s="602"/>
      <c r="T42" s="674"/>
      <c r="U42" s="675"/>
      <c r="V42" s="675"/>
      <c r="Z42" s="537" t="s">
        <v>319</v>
      </c>
    </row>
    <row r="43" spans="1:28" s="536" customFormat="1" ht="33.75" x14ac:dyDescent="0.2">
      <c r="A43" s="605"/>
      <c r="B43" s="552" t="s">
        <v>460</v>
      </c>
      <c r="C43" s="1822" t="s">
        <v>461</v>
      </c>
      <c r="D43" s="1822"/>
      <c r="E43" s="1822"/>
      <c r="F43" s="562" t="s">
        <v>322</v>
      </c>
      <c r="G43" s="562" t="s">
        <v>462</v>
      </c>
      <c r="H43" s="562"/>
      <c r="I43" s="562" t="s">
        <v>462</v>
      </c>
      <c r="J43" s="604"/>
      <c r="K43" s="562"/>
      <c r="L43" s="604">
        <v>39.72</v>
      </c>
      <c r="M43" s="562"/>
      <c r="N43" s="602"/>
      <c r="T43" s="674"/>
      <c r="U43" s="675"/>
      <c r="V43" s="675"/>
      <c r="Z43" s="537" t="s">
        <v>461</v>
      </c>
    </row>
    <row r="44" spans="1:28" s="536" customFormat="1" ht="33.75" x14ac:dyDescent="0.2">
      <c r="A44" s="605"/>
      <c r="B44" s="552" t="s">
        <v>463</v>
      </c>
      <c r="C44" s="1822" t="s">
        <v>464</v>
      </c>
      <c r="D44" s="1822"/>
      <c r="E44" s="1822"/>
      <c r="F44" s="562" t="s">
        <v>322</v>
      </c>
      <c r="G44" s="562" t="s">
        <v>465</v>
      </c>
      <c r="H44" s="562"/>
      <c r="I44" s="562" t="s">
        <v>465</v>
      </c>
      <c r="J44" s="604"/>
      <c r="K44" s="562"/>
      <c r="L44" s="604">
        <v>19.86</v>
      </c>
      <c r="M44" s="562"/>
      <c r="N44" s="602"/>
      <c r="T44" s="674"/>
      <c r="U44" s="675"/>
      <c r="V44" s="675"/>
      <c r="Z44" s="537" t="s">
        <v>464</v>
      </c>
    </row>
    <row r="45" spans="1:28" s="536" customFormat="1" ht="12" x14ac:dyDescent="0.2">
      <c r="A45" s="569"/>
      <c r="B45" s="683"/>
      <c r="C45" s="1823" t="s">
        <v>327</v>
      </c>
      <c r="D45" s="1823"/>
      <c r="E45" s="1823"/>
      <c r="F45" s="573"/>
      <c r="G45" s="573"/>
      <c r="H45" s="573"/>
      <c r="I45" s="573"/>
      <c r="J45" s="572"/>
      <c r="K45" s="573"/>
      <c r="L45" s="572">
        <v>379.35</v>
      </c>
      <c r="M45" s="608"/>
      <c r="N45" s="570"/>
      <c r="T45" s="674"/>
      <c r="U45" s="675"/>
      <c r="V45" s="675"/>
      <c r="AB45" s="675" t="s">
        <v>327</v>
      </c>
    </row>
    <row r="46" spans="1:28" s="536" customFormat="1" ht="33.75" x14ac:dyDescent="0.2">
      <c r="A46" s="575" t="s">
        <v>186</v>
      </c>
      <c r="B46" s="684" t="s">
        <v>6731</v>
      </c>
      <c r="C46" s="1823" t="s">
        <v>6732</v>
      </c>
      <c r="D46" s="1823"/>
      <c r="E46" s="1823"/>
      <c r="F46" s="573" t="s">
        <v>509</v>
      </c>
      <c r="G46" s="573"/>
      <c r="H46" s="573"/>
      <c r="I46" s="573" t="s">
        <v>6740</v>
      </c>
      <c r="J46" s="572"/>
      <c r="K46" s="573"/>
      <c r="L46" s="572"/>
      <c r="M46" s="573"/>
      <c r="N46" s="570"/>
      <c r="T46" s="674"/>
      <c r="U46" s="675"/>
      <c r="V46" s="675" t="s">
        <v>6732</v>
      </c>
      <c r="AB46" s="675"/>
    </row>
    <row r="47" spans="1:28" s="536" customFormat="1" ht="12" x14ac:dyDescent="0.2">
      <c r="A47" s="676"/>
      <c r="B47" s="682"/>
      <c r="C47" s="1822" t="s">
        <v>6741</v>
      </c>
      <c r="D47" s="1822"/>
      <c r="E47" s="1822"/>
      <c r="F47" s="1822"/>
      <c r="G47" s="1822"/>
      <c r="H47" s="1822"/>
      <c r="I47" s="1822"/>
      <c r="J47" s="1822"/>
      <c r="K47" s="1822"/>
      <c r="L47" s="1822"/>
      <c r="M47" s="1822"/>
      <c r="N47" s="1827"/>
      <c r="T47" s="674"/>
      <c r="U47" s="675"/>
      <c r="V47" s="675"/>
      <c r="W47" s="537" t="s">
        <v>6741</v>
      </c>
      <c r="AB47" s="675"/>
    </row>
    <row r="48" spans="1:28" s="536" customFormat="1" ht="22.5" x14ac:dyDescent="0.2">
      <c r="A48" s="609"/>
      <c r="B48" s="552" t="s">
        <v>1518</v>
      </c>
      <c r="C48" s="1822" t="s">
        <v>1519</v>
      </c>
      <c r="D48" s="1822"/>
      <c r="E48" s="1822"/>
      <c r="F48" s="1822"/>
      <c r="G48" s="1822"/>
      <c r="H48" s="1822"/>
      <c r="I48" s="1822"/>
      <c r="J48" s="1822"/>
      <c r="K48" s="1822"/>
      <c r="L48" s="1822"/>
      <c r="M48" s="1822"/>
      <c r="N48" s="1827"/>
      <c r="T48" s="674"/>
      <c r="U48" s="675"/>
      <c r="V48" s="675"/>
      <c r="X48" s="537" t="s">
        <v>1519</v>
      </c>
      <c r="AB48" s="675"/>
    </row>
    <row r="49" spans="1:28" s="536" customFormat="1" ht="33.75" x14ac:dyDescent="0.2">
      <c r="A49" s="609"/>
      <c r="B49" s="552" t="s">
        <v>310</v>
      </c>
      <c r="C49" s="1822" t="s">
        <v>311</v>
      </c>
      <c r="D49" s="1822"/>
      <c r="E49" s="1822"/>
      <c r="F49" s="1822"/>
      <c r="G49" s="1822"/>
      <c r="H49" s="1822"/>
      <c r="I49" s="1822"/>
      <c r="J49" s="1822"/>
      <c r="K49" s="1822"/>
      <c r="L49" s="1822"/>
      <c r="M49" s="1822"/>
      <c r="N49" s="1827"/>
      <c r="T49" s="674"/>
      <c r="U49" s="675"/>
      <c r="V49" s="675"/>
      <c r="X49" s="537" t="s">
        <v>311</v>
      </c>
      <c r="AB49" s="675"/>
    </row>
    <row r="50" spans="1:28" s="536" customFormat="1" ht="12" x14ac:dyDescent="0.2">
      <c r="A50" s="605"/>
      <c r="B50" s="552" t="s">
        <v>185</v>
      </c>
      <c r="C50" s="1822" t="s">
        <v>312</v>
      </c>
      <c r="D50" s="1822"/>
      <c r="E50" s="1822"/>
      <c r="F50" s="562"/>
      <c r="G50" s="562"/>
      <c r="H50" s="562"/>
      <c r="I50" s="562"/>
      <c r="J50" s="604">
        <v>920.4</v>
      </c>
      <c r="K50" s="562" t="s">
        <v>1520</v>
      </c>
      <c r="L50" s="604">
        <v>83.94</v>
      </c>
      <c r="M50" s="562"/>
      <c r="N50" s="602"/>
      <c r="T50" s="674"/>
      <c r="U50" s="675"/>
      <c r="V50" s="675"/>
      <c r="Y50" s="537" t="s">
        <v>312</v>
      </c>
      <c r="AB50" s="675"/>
    </row>
    <row r="51" spans="1:28" s="536" customFormat="1" ht="12" x14ac:dyDescent="0.2">
      <c r="A51" s="605"/>
      <c r="B51" s="552"/>
      <c r="C51" s="1822" t="s">
        <v>314</v>
      </c>
      <c r="D51" s="1822"/>
      <c r="E51" s="1822"/>
      <c r="F51" s="562" t="s">
        <v>315</v>
      </c>
      <c r="G51" s="562" t="s">
        <v>3045</v>
      </c>
      <c r="H51" s="562" t="s">
        <v>1520</v>
      </c>
      <c r="I51" s="562" t="s">
        <v>6742</v>
      </c>
      <c r="J51" s="604"/>
      <c r="K51" s="562"/>
      <c r="L51" s="604"/>
      <c r="M51" s="562"/>
      <c r="N51" s="602"/>
      <c r="T51" s="674"/>
      <c r="U51" s="675"/>
      <c r="V51" s="675"/>
      <c r="Z51" s="537" t="s">
        <v>314</v>
      </c>
      <c r="AB51" s="675"/>
    </row>
    <row r="52" spans="1:28" s="536" customFormat="1" ht="12" x14ac:dyDescent="0.2">
      <c r="A52" s="605"/>
      <c r="B52" s="552"/>
      <c r="C52" s="1828" t="s">
        <v>318</v>
      </c>
      <c r="D52" s="1828"/>
      <c r="E52" s="1828"/>
      <c r="F52" s="608"/>
      <c r="G52" s="608"/>
      <c r="H52" s="608"/>
      <c r="I52" s="608"/>
      <c r="J52" s="607">
        <v>920.4</v>
      </c>
      <c r="K52" s="608"/>
      <c r="L52" s="607">
        <v>83.94</v>
      </c>
      <c r="M52" s="608"/>
      <c r="N52" s="606"/>
      <c r="T52" s="674"/>
      <c r="U52" s="675"/>
      <c r="V52" s="675"/>
      <c r="AA52" s="537" t="s">
        <v>318</v>
      </c>
      <c r="AB52" s="675"/>
    </row>
    <row r="53" spans="1:28" s="536" customFormat="1" ht="12" x14ac:dyDescent="0.2">
      <c r="A53" s="605"/>
      <c r="B53" s="552"/>
      <c r="C53" s="1822" t="s">
        <v>319</v>
      </c>
      <c r="D53" s="1822"/>
      <c r="E53" s="1822"/>
      <c r="F53" s="562"/>
      <c r="G53" s="562"/>
      <c r="H53" s="562"/>
      <c r="I53" s="562"/>
      <c r="J53" s="604"/>
      <c r="K53" s="562"/>
      <c r="L53" s="604">
        <v>83.94</v>
      </c>
      <c r="M53" s="562"/>
      <c r="N53" s="602"/>
      <c r="T53" s="674"/>
      <c r="U53" s="675"/>
      <c r="V53" s="675"/>
      <c r="Z53" s="537" t="s">
        <v>319</v>
      </c>
      <c r="AB53" s="675"/>
    </row>
    <row r="54" spans="1:28" s="536" customFormat="1" ht="33.75" x14ac:dyDescent="0.2">
      <c r="A54" s="605"/>
      <c r="B54" s="552" t="s">
        <v>673</v>
      </c>
      <c r="C54" s="1822" t="s">
        <v>674</v>
      </c>
      <c r="D54" s="1822"/>
      <c r="E54" s="1822"/>
      <c r="F54" s="562" t="s">
        <v>322</v>
      </c>
      <c r="G54" s="562" t="s">
        <v>323</v>
      </c>
      <c r="H54" s="562"/>
      <c r="I54" s="562" t="s">
        <v>323</v>
      </c>
      <c r="J54" s="604"/>
      <c r="K54" s="562"/>
      <c r="L54" s="604">
        <v>74.709999999999994</v>
      </c>
      <c r="M54" s="562"/>
      <c r="N54" s="602"/>
      <c r="T54" s="674"/>
      <c r="U54" s="675"/>
      <c r="V54" s="675"/>
      <c r="Z54" s="537" t="s">
        <v>674</v>
      </c>
      <c r="AB54" s="675"/>
    </row>
    <row r="55" spans="1:28" s="536" customFormat="1" ht="33.75" x14ac:dyDescent="0.2">
      <c r="A55" s="605"/>
      <c r="B55" s="552" t="s">
        <v>675</v>
      </c>
      <c r="C55" s="1822" t="s">
        <v>676</v>
      </c>
      <c r="D55" s="1822"/>
      <c r="E55" s="1822"/>
      <c r="F55" s="562" t="s">
        <v>322</v>
      </c>
      <c r="G55" s="562" t="s">
        <v>677</v>
      </c>
      <c r="H55" s="562"/>
      <c r="I55" s="562" t="s">
        <v>677</v>
      </c>
      <c r="J55" s="604"/>
      <c r="K55" s="562"/>
      <c r="L55" s="604">
        <v>33.58</v>
      </c>
      <c r="M55" s="562"/>
      <c r="N55" s="602"/>
      <c r="T55" s="674"/>
      <c r="U55" s="675"/>
      <c r="V55" s="675"/>
      <c r="Z55" s="537" t="s">
        <v>676</v>
      </c>
      <c r="AB55" s="675"/>
    </row>
    <row r="56" spans="1:28" s="536" customFormat="1" ht="12" x14ac:dyDescent="0.2">
      <c r="A56" s="569"/>
      <c r="B56" s="683"/>
      <c r="C56" s="1823" t="s">
        <v>327</v>
      </c>
      <c r="D56" s="1823"/>
      <c r="E56" s="1823"/>
      <c r="F56" s="573"/>
      <c r="G56" s="573"/>
      <c r="H56" s="573"/>
      <c r="I56" s="573"/>
      <c r="J56" s="572"/>
      <c r="K56" s="573"/>
      <c r="L56" s="572">
        <v>192.23</v>
      </c>
      <c r="M56" s="608"/>
      <c r="N56" s="570"/>
      <c r="T56" s="674"/>
      <c r="U56" s="675"/>
      <c r="V56" s="675"/>
      <c r="AB56" s="675" t="s">
        <v>327</v>
      </c>
    </row>
    <row r="57" spans="1:28" s="536" customFormat="1" ht="33.75" x14ac:dyDescent="0.2">
      <c r="A57" s="575" t="s">
        <v>187</v>
      </c>
      <c r="B57" s="684" t="s">
        <v>8959</v>
      </c>
      <c r="C57" s="1823" t="s">
        <v>8960</v>
      </c>
      <c r="D57" s="1823"/>
      <c r="E57" s="1823"/>
      <c r="F57" s="573" t="s">
        <v>862</v>
      </c>
      <c r="G57" s="573"/>
      <c r="H57" s="573"/>
      <c r="I57" s="573" t="s">
        <v>8961</v>
      </c>
      <c r="J57" s="572"/>
      <c r="K57" s="573"/>
      <c r="L57" s="572"/>
      <c r="M57" s="573"/>
      <c r="N57" s="570"/>
      <c r="T57" s="674"/>
      <c r="U57" s="675"/>
      <c r="V57" s="675" t="s">
        <v>8960</v>
      </c>
      <c r="AB57" s="675"/>
    </row>
    <row r="58" spans="1:28" s="536" customFormat="1" ht="12" x14ac:dyDescent="0.2">
      <c r="A58" s="676"/>
      <c r="B58" s="682"/>
      <c r="C58" s="1822" t="s">
        <v>8962</v>
      </c>
      <c r="D58" s="1822"/>
      <c r="E58" s="1822"/>
      <c r="F58" s="1822"/>
      <c r="G58" s="1822"/>
      <c r="H58" s="1822"/>
      <c r="I58" s="1822"/>
      <c r="J58" s="1822"/>
      <c r="K58" s="1822"/>
      <c r="L58" s="1822"/>
      <c r="M58" s="1822"/>
      <c r="N58" s="1827"/>
      <c r="T58" s="674"/>
      <c r="U58" s="675"/>
      <c r="V58" s="675"/>
      <c r="W58" s="537" t="s">
        <v>8962</v>
      </c>
      <c r="AB58" s="675"/>
    </row>
    <row r="59" spans="1:28" s="536" customFormat="1" ht="33.75" x14ac:dyDescent="0.2">
      <c r="A59" s="609"/>
      <c r="B59" s="552" t="s">
        <v>310</v>
      </c>
      <c r="C59" s="1822" t="s">
        <v>311</v>
      </c>
      <c r="D59" s="1822"/>
      <c r="E59" s="1822"/>
      <c r="F59" s="1822"/>
      <c r="G59" s="1822"/>
      <c r="H59" s="1822"/>
      <c r="I59" s="1822"/>
      <c r="J59" s="1822"/>
      <c r="K59" s="1822"/>
      <c r="L59" s="1822"/>
      <c r="M59" s="1822"/>
      <c r="N59" s="1827"/>
      <c r="T59" s="674"/>
      <c r="U59" s="675"/>
      <c r="V59" s="675"/>
      <c r="X59" s="537" t="s">
        <v>311</v>
      </c>
      <c r="AB59" s="675"/>
    </row>
    <row r="60" spans="1:28" s="536" customFormat="1" ht="12" x14ac:dyDescent="0.2">
      <c r="A60" s="605"/>
      <c r="B60" s="552" t="s">
        <v>185</v>
      </c>
      <c r="C60" s="1822" t="s">
        <v>312</v>
      </c>
      <c r="D60" s="1822"/>
      <c r="E60" s="1822"/>
      <c r="F60" s="562"/>
      <c r="G60" s="562"/>
      <c r="H60" s="562"/>
      <c r="I60" s="562"/>
      <c r="J60" s="604">
        <v>210.65</v>
      </c>
      <c r="K60" s="562" t="s">
        <v>313</v>
      </c>
      <c r="L60" s="604">
        <v>513.99</v>
      </c>
      <c r="M60" s="562"/>
      <c r="N60" s="602"/>
      <c r="T60" s="674"/>
      <c r="U60" s="675"/>
      <c r="V60" s="675"/>
      <c r="Y60" s="537" t="s">
        <v>312</v>
      </c>
      <c r="AB60" s="675"/>
    </row>
    <row r="61" spans="1:28" s="536" customFormat="1" ht="12" x14ac:dyDescent="0.2">
      <c r="A61" s="605"/>
      <c r="B61" s="552" t="s">
        <v>186</v>
      </c>
      <c r="C61" s="1822" t="s">
        <v>344</v>
      </c>
      <c r="D61" s="1822"/>
      <c r="E61" s="1822"/>
      <c r="F61" s="562"/>
      <c r="G61" s="562"/>
      <c r="H61" s="562"/>
      <c r="I61" s="562"/>
      <c r="J61" s="604">
        <v>57.82</v>
      </c>
      <c r="K61" s="562" t="s">
        <v>313</v>
      </c>
      <c r="L61" s="604">
        <v>141.08000000000001</v>
      </c>
      <c r="M61" s="562"/>
      <c r="N61" s="602"/>
      <c r="T61" s="674"/>
      <c r="U61" s="675"/>
      <c r="V61" s="675"/>
      <c r="Y61" s="537" t="s">
        <v>344</v>
      </c>
      <c r="AB61" s="675"/>
    </row>
    <row r="62" spans="1:28" s="536" customFormat="1" ht="12" x14ac:dyDescent="0.2">
      <c r="A62" s="605"/>
      <c r="B62" s="552" t="s">
        <v>187</v>
      </c>
      <c r="C62" s="1822" t="s">
        <v>345</v>
      </c>
      <c r="D62" s="1822"/>
      <c r="E62" s="1822"/>
      <c r="F62" s="562"/>
      <c r="G62" s="562"/>
      <c r="H62" s="562"/>
      <c r="I62" s="562"/>
      <c r="J62" s="604">
        <v>10.210000000000001</v>
      </c>
      <c r="K62" s="562" t="s">
        <v>313</v>
      </c>
      <c r="L62" s="604">
        <v>24.91</v>
      </c>
      <c r="M62" s="562"/>
      <c r="N62" s="602"/>
      <c r="T62" s="674"/>
      <c r="U62" s="675"/>
      <c r="V62" s="675"/>
      <c r="Y62" s="537" t="s">
        <v>345</v>
      </c>
      <c r="AB62" s="675"/>
    </row>
    <row r="63" spans="1:28" s="536" customFormat="1" ht="12" x14ac:dyDescent="0.2">
      <c r="A63" s="605"/>
      <c r="B63" s="552" t="s">
        <v>188</v>
      </c>
      <c r="C63" s="1822" t="s">
        <v>475</v>
      </c>
      <c r="D63" s="1822"/>
      <c r="E63" s="1822"/>
      <c r="F63" s="562"/>
      <c r="G63" s="562"/>
      <c r="H63" s="562"/>
      <c r="I63" s="562"/>
      <c r="J63" s="604">
        <v>502.79</v>
      </c>
      <c r="K63" s="562"/>
      <c r="L63" s="604">
        <v>981.45</v>
      </c>
      <c r="M63" s="562"/>
      <c r="N63" s="602"/>
      <c r="T63" s="674"/>
      <c r="U63" s="675"/>
      <c r="V63" s="675"/>
      <c r="Y63" s="537" t="s">
        <v>475</v>
      </c>
      <c r="AB63" s="675"/>
    </row>
    <row r="64" spans="1:28" s="536" customFormat="1" ht="12" x14ac:dyDescent="0.2">
      <c r="A64" s="605"/>
      <c r="B64" s="552"/>
      <c r="C64" s="1822" t="s">
        <v>314</v>
      </c>
      <c r="D64" s="1822"/>
      <c r="E64" s="1822"/>
      <c r="F64" s="562" t="s">
        <v>315</v>
      </c>
      <c r="G64" s="562" t="s">
        <v>8963</v>
      </c>
      <c r="H64" s="562" t="s">
        <v>313</v>
      </c>
      <c r="I64" s="562" t="s">
        <v>8964</v>
      </c>
      <c r="J64" s="604"/>
      <c r="K64" s="562"/>
      <c r="L64" s="604"/>
      <c r="M64" s="562"/>
      <c r="N64" s="602"/>
      <c r="T64" s="674"/>
      <c r="U64" s="675"/>
      <c r="V64" s="675"/>
      <c r="Z64" s="537" t="s">
        <v>314</v>
      </c>
      <c r="AB64" s="675"/>
    </row>
    <row r="65" spans="1:28" s="536" customFormat="1" ht="12" x14ac:dyDescent="0.2">
      <c r="A65" s="605"/>
      <c r="B65" s="552"/>
      <c r="C65" s="1822" t="s">
        <v>348</v>
      </c>
      <c r="D65" s="1822"/>
      <c r="E65" s="1822"/>
      <c r="F65" s="562" t="s">
        <v>315</v>
      </c>
      <c r="G65" s="562" t="s">
        <v>2364</v>
      </c>
      <c r="H65" s="562" t="s">
        <v>313</v>
      </c>
      <c r="I65" s="562" t="s">
        <v>8965</v>
      </c>
      <c r="J65" s="604"/>
      <c r="K65" s="562"/>
      <c r="L65" s="604"/>
      <c r="M65" s="562"/>
      <c r="N65" s="602"/>
      <c r="T65" s="674"/>
      <c r="U65" s="675"/>
      <c r="V65" s="675"/>
      <c r="Z65" s="537" t="s">
        <v>348</v>
      </c>
      <c r="AB65" s="675"/>
    </row>
    <row r="66" spans="1:28" s="536" customFormat="1" ht="12" x14ac:dyDescent="0.2">
      <c r="A66" s="605"/>
      <c r="B66" s="552"/>
      <c r="C66" s="1828" t="s">
        <v>318</v>
      </c>
      <c r="D66" s="1828"/>
      <c r="E66" s="1828"/>
      <c r="F66" s="608"/>
      <c r="G66" s="608"/>
      <c r="H66" s="608"/>
      <c r="I66" s="608"/>
      <c r="J66" s="607">
        <v>771.26</v>
      </c>
      <c r="K66" s="608"/>
      <c r="L66" s="607">
        <v>1636.52</v>
      </c>
      <c r="M66" s="608"/>
      <c r="N66" s="606"/>
      <c r="T66" s="674"/>
      <c r="U66" s="675"/>
      <c r="V66" s="675"/>
      <c r="AA66" s="537" t="s">
        <v>318</v>
      </c>
      <c r="AB66" s="675"/>
    </row>
    <row r="67" spans="1:28" s="536" customFormat="1" ht="12" x14ac:dyDescent="0.2">
      <c r="A67" s="605"/>
      <c r="B67" s="552"/>
      <c r="C67" s="1822" t="s">
        <v>319</v>
      </c>
      <c r="D67" s="1822"/>
      <c r="E67" s="1822"/>
      <c r="F67" s="562"/>
      <c r="G67" s="562"/>
      <c r="H67" s="562"/>
      <c r="I67" s="562"/>
      <c r="J67" s="604"/>
      <c r="K67" s="562"/>
      <c r="L67" s="604">
        <v>538.9</v>
      </c>
      <c r="M67" s="562"/>
      <c r="N67" s="602"/>
      <c r="T67" s="674"/>
      <c r="U67" s="675"/>
      <c r="V67" s="675"/>
      <c r="Z67" s="537" t="s">
        <v>319</v>
      </c>
      <c r="AB67" s="675"/>
    </row>
    <row r="68" spans="1:28" s="536" customFormat="1" ht="33.75" x14ac:dyDescent="0.2">
      <c r="A68" s="605"/>
      <c r="B68" s="552" t="s">
        <v>320</v>
      </c>
      <c r="C68" s="1822" t="s">
        <v>321</v>
      </c>
      <c r="D68" s="1822"/>
      <c r="E68" s="1822"/>
      <c r="F68" s="562" t="s">
        <v>322</v>
      </c>
      <c r="G68" s="562" t="s">
        <v>323</v>
      </c>
      <c r="H68" s="562"/>
      <c r="I68" s="562" t="s">
        <v>323</v>
      </c>
      <c r="J68" s="604"/>
      <c r="K68" s="562"/>
      <c r="L68" s="604">
        <v>479.62</v>
      </c>
      <c r="M68" s="562"/>
      <c r="N68" s="602"/>
      <c r="T68" s="674"/>
      <c r="U68" s="675"/>
      <c r="V68" s="675"/>
      <c r="Z68" s="537" t="s">
        <v>321</v>
      </c>
      <c r="AB68" s="675"/>
    </row>
    <row r="69" spans="1:28" s="536" customFormat="1" ht="33.75" x14ac:dyDescent="0.2">
      <c r="A69" s="605"/>
      <c r="B69" s="552" t="s">
        <v>324</v>
      </c>
      <c r="C69" s="1822" t="s">
        <v>325</v>
      </c>
      <c r="D69" s="1822"/>
      <c r="E69" s="1822"/>
      <c r="F69" s="562" t="s">
        <v>322</v>
      </c>
      <c r="G69" s="562" t="s">
        <v>326</v>
      </c>
      <c r="H69" s="562"/>
      <c r="I69" s="562" t="s">
        <v>326</v>
      </c>
      <c r="J69" s="604"/>
      <c r="K69" s="562"/>
      <c r="L69" s="604">
        <v>220.95</v>
      </c>
      <c r="M69" s="562"/>
      <c r="N69" s="602"/>
      <c r="T69" s="674"/>
      <c r="U69" s="675"/>
      <c r="V69" s="675"/>
      <c r="Z69" s="537" t="s">
        <v>325</v>
      </c>
      <c r="AB69" s="675"/>
    </row>
    <row r="70" spans="1:28" s="536" customFormat="1" ht="12" x14ac:dyDescent="0.2">
      <c r="A70" s="569"/>
      <c r="B70" s="683"/>
      <c r="C70" s="1823" t="s">
        <v>327</v>
      </c>
      <c r="D70" s="1823"/>
      <c r="E70" s="1823"/>
      <c r="F70" s="573"/>
      <c r="G70" s="573"/>
      <c r="H70" s="573"/>
      <c r="I70" s="573"/>
      <c r="J70" s="572"/>
      <c r="K70" s="573"/>
      <c r="L70" s="572">
        <v>2337.09</v>
      </c>
      <c r="M70" s="608"/>
      <c r="N70" s="570"/>
      <c r="T70" s="674"/>
      <c r="U70" s="675"/>
      <c r="V70" s="675"/>
      <c r="AB70" s="675" t="s">
        <v>327</v>
      </c>
    </row>
    <row r="71" spans="1:28" s="536" customFormat="1" ht="56.25" x14ac:dyDescent="0.2">
      <c r="A71" s="575" t="s">
        <v>188</v>
      </c>
      <c r="B71" s="684" t="s">
        <v>6733</v>
      </c>
      <c r="C71" s="1823" t="s">
        <v>6734</v>
      </c>
      <c r="D71" s="1823"/>
      <c r="E71" s="1823"/>
      <c r="F71" s="573" t="s">
        <v>455</v>
      </c>
      <c r="G71" s="573"/>
      <c r="H71" s="573"/>
      <c r="I71" s="573" t="s">
        <v>8966</v>
      </c>
      <c r="J71" s="572"/>
      <c r="K71" s="573"/>
      <c r="L71" s="572"/>
      <c r="M71" s="573"/>
      <c r="N71" s="570"/>
      <c r="T71" s="674"/>
      <c r="U71" s="675"/>
      <c r="V71" s="675" t="s">
        <v>6734</v>
      </c>
      <c r="AB71" s="675"/>
    </row>
    <row r="72" spans="1:28" s="536" customFormat="1" ht="12" x14ac:dyDescent="0.2">
      <c r="A72" s="676"/>
      <c r="B72" s="682"/>
      <c r="C72" s="1822" t="s">
        <v>8967</v>
      </c>
      <c r="D72" s="1822"/>
      <c r="E72" s="1822"/>
      <c r="F72" s="1822"/>
      <c r="G72" s="1822"/>
      <c r="H72" s="1822"/>
      <c r="I72" s="1822"/>
      <c r="J72" s="1822"/>
      <c r="K72" s="1822"/>
      <c r="L72" s="1822"/>
      <c r="M72" s="1822"/>
      <c r="N72" s="1827"/>
      <c r="T72" s="674"/>
      <c r="U72" s="675"/>
      <c r="V72" s="675"/>
      <c r="W72" s="537" t="s">
        <v>8967</v>
      </c>
      <c r="AB72" s="675"/>
    </row>
    <row r="73" spans="1:28" s="536" customFormat="1" ht="33.75" x14ac:dyDescent="0.2">
      <c r="A73" s="609"/>
      <c r="B73" s="552" t="s">
        <v>310</v>
      </c>
      <c r="C73" s="1822" t="s">
        <v>311</v>
      </c>
      <c r="D73" s="1822"/>
      <c r="E73" s="1822"/>
      <c r="F73" s="1822"/>
      <c r="G73" s="1822"/>
      <c r="H73" s="1822"/>
      <c r="I73" s="1822"/>
      <c r="J73" s="1822"/>
      <c r="K73" s="1822"/>
      <c r="L73" s="1822"/>
      <c r="M73" s="1822"/>
      <c r="N73" s="1827"/>
      <c r="T73" s="674"/>
      <c r="U73" s="675"/>
      <c r="V73" s="675"/>
      <c r="X73" s="537" t="s">
        <v>311</v>
      </c>
      <c r="AB73" s="675"/>
    </row>
    <row r="74" spans="1:28" s="536" customFormat="1" ht="12" x14ac:dyDescent="0.2">
      <c r="A74" s="605"/>
      <c r="B74" s="552" t="s">
        <v>186</v>
      </c>
      <c r="C74" s="1822" t="s">
        <v>344</v>
      </c>
      <c r="D74" s="1822"/>
      <c r="E74" s="1822"/>
      <c r="F74" s="562"/>
      <c r="G74" s="562"/>
      <c r="H74" s="562"/>
      <c r="I74" s="562"/>
      <c r="J74" s="604">
        <v>2100</v>
      </c>
      <c r="K74" s="562" t="s">
        <v>313</v>
      </c>
      <c r="L74" s="604">
        <v>272.74</v>
      </c>
      <c r="M74" s="562"/>
      <c r="N74" s="602"/>
      <c r="T74" s="674"/>
      <c r="U74" s="675"/>
      <c r="V74" s="675"/>
      <c r="Y74" s="537" t="s">
        <v>344</v>
      </c>
      <c r="AB74" s="675"/>
    </row>
    <row r="75" spans="1:28" s="536" customFormat="1" ht="12" x14ac:dyDescent="0.2">
      <c r="A75" s="605"/>
      <c r="B75" s="552" t="s">
        <v>187</v>
      </c>
      <c r="C75" s="1822" t="s">
        <v>345</v>
      </c>
      <c r="D75" s="1822"/>
      <c r="E75" s="1822"/>
      <c r="F75" s="562"/>
      <c r="G75" s="562"/>
      <c r="H75" s="562"/>
      <c r="I75" s="562"/>
      <c r="J75" s="604">
        <v>283.5</v>
      </c>
      <c r="K75" s="562" t="s">
        <v>313</v>
      </c>
      <c r="L75" s="604">
        <v>36.82</v>
      </c>
      <c r="M75" s="562"/>
      <c r="N75" s="602"/>
      <c r="T75" s="674"/>
      <c r="U75" s="675"/>
      <c r="V75" s="675"/>
      <c r="Y75" s="537" t="s">
        <v>345</v>
      </c>
      <c r="AB75" s="675"/>
    </row>
    <row r="76" spans="1:28" s="536" customFormat="1" ht="12" x14ac:dyDescent="0.2">
      <c r="A76" s="605"/>
      <c r="B76" s="552"/>
      <c r="C76" s="1822" t="s">
        <v>348</v>
      </c>
      <c r="D76" s="1822"/>
      <c r="E76" s="1822"/>
      <c r="F76" s="562" t="s">
        <v>315</v>
      </c>
      <c r="G76" s="562" t="s">
        <v>736</v>
      </c>
      <c r="H76" s="562" t="s">
        <v>313</v>
      </c>
      <c r="I76" s="562" t="s">
        <v>8968</v>
      </c>
      <c r="J76" s="604"/>
      <c r="K76" s="562"/>
      <c r="L76" s="604"/>
      <c r="M76" s="562"/>
      <c r="N76" s="602"/>
      <c r="T76" s="674"/>
      <c r="U76" s="675"/>
      <c r="V76" s="675"/>
      <c r="Z76" s="537" t="s">
        <v>348</v>
      </c>
      <c r="AB76" s="675"/>
    </row>
    <row r="77" spans="1:28" s="536" customFormat="1" ht="12" x14ac:dyDescent="0.2">
      <c r="A77" s="605"/>
      <c r="B77" s="552"/>
      <c r="C77" s="1828" t="s">
        <v>318</v>
      </c>
      <c r="D77" s="1828"/>
      <c r="E77" s="1828"/>
      <c r="F77" s="608"/>
      <c r="G77" s="608"/>
      <c r="H77" s="608"/>
      <c r="I77" s="608"/>
      <c r="J77" s="607">
        <v>2100</v>
      </c>
      <c r="K77" s="608"/>
      <c r="L77" s="607">
        <v>272.74</v>
      </c>
      <c r="M77" s="608"/>
      <c r="N77" s="606"/>
      <c r="T77" s="674"/>
      <c r="U77" s="675"/>
      <c r="V77" s="675"/>
      <c r="AA77" s="537" t="s">
        <v>318</v>
      </c>
      <c r="AB77" s="675"/>
    </row>
    <row r="78" spans="1:28" s="536" customFormat="1" ht="12" x14ac:dyDescent="0.2">
      <c r="A78" s="605"/>
      <c r="B78" s="552"/>
      <c r="C78" s="1822" t="s">
        <v>319</v>
      </c>
      <c r="D78" s="1822"/>
      <c r="E78" s="1822"/>
      <c r="F78" s="562"/>
      <c r="G78" s="562"/>
      <c r="H78" s="562"/>
      <c r="I78" s="562"/>
      <c r="J78" s="604"/>
      <c r="K78" s="562"/>
      <c r="L78" s="604">
        <v>36.82</v>
      </c>
      <c r="M78" s="562"/>
      <c r="N78" s="602"/>
      <c r="T78" s="674"/>
      <c r="U78" s="675"/>
      <c r="V78" s="675"/>
      <c r="Z78" s="537" t="s">
        <v>319</v>
      </c>
      <c r="AB78" s="675"/>
    </row>
    <row r="79" spans="1:28" s="536" customFormat="1" ht="33.75" x14ac:dyDescent="0.2">
      <c r="A79" s="605"/>
      <c r="B79" s="552" t="s">
        <v>460</v>
      </c>
      <c r="C79" s="1822" t="s">
        <v>461</v>
      </c>
      <c r="D79" s="1822"/>
      <c r="E79" s="1822"/>
      <c r="F79" s="562" t="s">
        <v>322</v>
      </c>
      <c r="G79" s="562" t="s">
        <v>462</v>
      </c>
      <c r="H79" s="562"/>
      <c r="I79" s="562" t="s">
        <v>462</v>
      </c>
      <c r="J79" s="604"/>
      <c r="K79" s="562"/>
      <c r="L79" s="604">
        <v>33.869999999999997</v>
      </c>
      <c r="M79" s="562"/>
      <c r="N79" s="602"/>
      <c r="T79" s="674"/>
      <c r="U79" s="675"/>
      <c r="V79" s="675"/>
      <c r="Z79" s="537" t="s">
        <v>461</v>
      </c>
      <c r="AB79" s="675"/>
    </row>
    <row r="80" spans="1:28" s="536" customFormat="1" ht="33.75" x14ac:dyDescent="0.2">
      <c r="A80" s="605"/>
      <c r="B80" s="552" t="s">
        <v>463</v>
      </c>
      <c r="C80" s="1822" t="s">
        <v>464</v>
      </c>
      <c r="D80" s="1822"/>
      <c r="E80" s="1822"/>
      <c r="F80" s="562" t="s">
        <v>322</v>
      </c>
      <c r="G80" s="562" t="s">
        <v>465</v>
      </c>
      <c r="H80" s="562"/>
      <c r="I80" s="562" t="s">
        <v>465</v>
      </c>
      <c r="J80" s="604"/>
      <c r="K80" s="562"/>
      <c r="L80" s="604">
        <v>16.940000000000001</v>
      </c>
      <c r="M80" s="562"/>
      <c r="N80" s="602"/>
      <c r="T80" s="674"/>
      <c r="U80" s="675"/>
      <c r="V80" s="675"/>
      <c r="Z80" s="537" t="s">
        <v>464</v>
      </c>
      <c r="AB80" s="675"/>
    </row>
    <row r="81" spans="1:28" s="536" customFormat="1" ht="12" x14ac:dyDescent="0.2">
      <c r="A81" s="569"/>
      <c r="B81" s="683"/>
      <c r="C81" s="1823" t="s">
        <v>327</v>
      </c>
      <c r="D81" s="1823"/>
      <c r="E81" s="1823"/>
      <c r="F81" s="573"/>
      <c r="G81" s="573"/>
      <c r="H81" s="573"/>
      <c r="I81" s="573"/>
      <c r="J81" s="572"/>
      <c r="K81" s="573"/>
      <c r="L81" s="572">
        <v>323.55</v>
      </c>
      <c r="M81" s="608"/>
      <c r="N81" s="570"/>
      <c r="T81" s="674"/>
      <c r="U81" s="675"/>
      <c r="V81" s="675"/>
      <c r="AB81" s="675" t="s">
        <v>327</v>
      </c>
    </row>
    <row r="82" spans="1:28" s="536" customFormat="1" ht="33.75" x14ac:dyDescent="0.2">
      <c r="A82" s="575" t="s">
        <v>189</v>
      </c>
      <c r="B82" s="684" t="s">
        <v>1095</v>
      </c>
      <c r="C82" s="1823" t="s">
        <v>1096</v>
      </c>
      <c r="D82" s="1823"/>
      <c r="E82" s="1823"/>
      <c r="F82" s="573" t="s">
        <v>641</v>
      </c>
      <c r="G82" s="573"/>
      <c r="H82" s="573"/>
      <c r="I82" s="573" t="s">
        <v>8969</v>
      </c>
      <c r="J82" s="572">
        <v>55.26</v>
      </c>
      <c r="K82" s="573"/>
      <c r="L82" s="572">
        <v>6315.67</v>
      </c>
      <c r="M82" s="573"/>
      <c r="N82" s="570"/>
      <c r="T82" s="674"/>
      <c r="U82" s="675"/>
      <c r="V82" s="675" t="s">
        <v>1096</v>
      </c>
      <c r="AB82" s="675"/>
    </row>
    <row r="83" spans="1:28" s="536" customFormat="1" ht="12" x14ac:dyDescent="0.2">
      <c r="A83" s="569"/>
      <c r="B83" s="683"/>
      <c r="C83" s="689" t="s">
        <v>2820</v>
      </c>
      <c r="D83" s="690"/>
      <c r="E83" s="690"/>
      <c r="F83" s="563"/>
      <c r="G83" s="563"/>
      <c r="H83" s="563"/>
      <c r="I83" s="563"/>
      <c r="J83" s="566"/>
      <c r="K83" s="563"/>
      <c r="L83" s="566"/>
      <c r="M83" s="565"/>
      <c r="N83" s="564"/>
      <c r="T83" s="674"/>
      <c r="U83" s="675"/>
      <c r="V83" s="675"/>
      <c r="AB83" s="675"/>
    </row>
    <row r="84" spans="1:28" s="536" customFormat="1" ht="12" x14ac:dyDescent="0.2">
      <c r="A84" s="676"/>
      <c r="B84" s="682"/>
      <c r="C84" s="1822" t="s">
        <v>8970</v>
      </c>
      <c r="D84" s="1822"/>
      <c r="E84" s="1822"/>
      <c r="F84" s="1822"/>
      <c r="G84" s="1822"/>
      <c r="H84" s="1822"/>
      <c r="I84" s="1822"/>
      <c r="J84" s="1822"/>
      <c r="K84" s="1822"/>
      <c r="L84" s="1822"/>
      <c r="M84" s="1822"/>
      <c r="N84" s="1827"/>
      <c r="T84" s="674"/>
      <c r="U84" s="675"/>
      <c r="V84" s="675"/>
      <c r="W84" s="537" t="s">
        <v>8970</v>
      </c>
      <c r="AB84" s="675"/>
    </row>
    <row r="85" spans="1:28" s="536" customFormat="1" ht="22.5" x14ac:dyDescent="0.2">
      <c r="A85" s="575" t="s">
        <v>190</v>
      </c>
      <c r="B85" s="684" t="s">
        <v>6735</v>
      </c>
      <c r="C85" s="1823" t="s">
        <v>6736</v>
      </c>
      <c r="D85" s="1823"/>
      <c r="E85" s="1823"/>
      <c r="F85" s="573" t="s">
        <v>509</v>
      </c>
      <c r="G85" s="573"/>
      <c r="H85" s="573"/>
      <c r="I85" s="573" t="s">
        <v>8971</v>
      </c>
      <c r="J85" s="572"/>
      <c r="K85" s="573"/>
      <c r="L85" s="572"/>
      <c r="M85" s="573"/>
      <c r="N85" s="570"/>
      <c r="T85" s="674"/>
      <c r="U85" s="675"/>
      <c r="V85" s="675" t="s">
        <v>6736</v>
      </c>
      <c r="AB85" s="675"/>
    </row>
    <row r="86" spans="1:28" s="536" customFormat="1" ht="12" x14ac:dyDescent="0.2">
      <c r="A86" s="676"/>
      <c r="B86" s="682"/>
      <c r="C86" s="1822" t="s">
        <v>8972</v>
      </c>
      <c r="D86" s="1822"/>
      <c r="E86" s="1822"/>
      <c r="F86" s="1822"/>
      <c r="G86" s="1822"/>
      <c r="H86" s="1822"/>
      <c r="I86" s="1822"/>
      <c r="J86" s="1822"/>
      <c r="K86" s="1822"/>
      <c r="L86" s="1822"/>
      <c r="M86" s="1822"/>
      <c r="N86" s="1827"/>
      <c r="T86" s="674"/>
      <c r="U86" s="675"/>
      <c r="V86" s="675"/>
      <c r="W86" s="537" t="s">
        <v>8972</v>
      </c>
      <c r="AB86" s="675"/>
    </row>
    <row r="87" spans="1:28" s="536" customFormat="1" ht="33.75" x14ac:dyDescent="0.2">
      <c r="A87" s="609"/>
      <c r="B87" s="552" t="s">
        <v>310</v>
      </c>
      <c r="C87" s="1822" t="s">
        <v>311</v>
      </c>
      <c r="D87" s="1822"/>
      <c r="E87" s="1822"/>
      <c r="F87" s="1822"/>
      <c r="G87" s="1822"/>
      <c r="H87" s="1822"/>
      <c r="I87" s="1822"/>
      <c r="J87" s="1822"/>
      <c r="K87" s="1822"/>
      <c r="L87" s="1822"/>
      <c r="M87" s="1822"/>
      <c r="N87" s="1827"/>
      <c r="T87" s="674"/>
      <c r="U87" s="675"/>
      <c r="V87" s="675"/>
      <c r="X87" s="537" t="s">
        <v>311</v>
      </c>
      <c r="AB87" s="675"/>
    </row>
    <row r="88" spans="1:28" s="536" customFormat="1" ht="12" x14ac:dyDescent="0.2">
      <c r="A88" s="605"/>
      <c r="B88" s="552" t="s">
        <v>185</v>
      </c>
      <c r="C88" s="1822" t="s">
        <v>312</v>
      </c>
      <c r="D88" s="1822"/>
      <c r="E88" s="1822"/>
      <c r="F88" s="562"/>
      <c r="G88" s="562"/>
      <c r="H88" s="562"/>
      <c r="I88" s="562"/>
      <c r="J88" s="604">
        <v>106.88</v>
      </c>
      <c r="K88" s="562" t="s">
        <v>313</v>
      </c>
      <c r="L88" s="604">
        <v>142.15</v>
      </c>
      <c r="M88" s="562"/>
      <c r="N88" s="602"/>
      <c r="T88" s="674"/>
      <c r="U88" s="675"/>
      <c r="V88" s="675"/>
      <c r="Y88" s="537" t="s">
        <v>312</v>
      </c>
      <c r="AB88" s="675"/>
    </row>
    <row r="89" spans="1:28" s="536" customFormat="1" ht="12" x14ac:dyDescent="0.2">
      <c r="A89" s="605"/>
      <c r="B89" s="552" t="s">
        <v>186</v>
      </c>
      <c r="C89" s="1822" t="s">
        <v>344</v>
      </c>
      <c r="D89" s="1822"/>
      <c r="E89" s="1822"/>
      <c r="F89" s="562"/>
      <c r="G89" s="562"/>
      <c r="H89" s="562"/>
      <c r="I89" s="562"/>
      <c r="J89" s="604">
        <v>241.58</v>
      </c>
      <c r="K89" s="562" t="s">
        <v>313</v>
      </c>
      <c r="L89" s="604">
        <v>321.3</v>
      </c>
      <c r="M89" s="562"/>
      <c r="N89" s="602"/>
      <c r="T89" s="674"/>
      <c r="U89" s="675"/>
      <c r="V89" s="675"/>
      <c r="Y89" s="537" t="s">
        <v>344</v>
      </c>
      <c r="AB89" s="675"/>
    </row>
    <row r="90" spans="1:28" s="536" customFormat="1" ht="12" x14ac:dyDescent="0.2">
      <c r="A90" s="605"/>
      <c r="B90" s="552" t="s">
        <v>187</v>
      </c>
      <c r="C90" s="1822" t="s">
        <v>345</v>
      </c>
      <c r="D90" s="1822"/>
      <c r="E90" s="1822"/>
      <c r="F90" s="562"/>
      <c r="G90" s="562"/>
      <c r="H90" s="562"/>
      <c r="I90" s="562"/>
      <c r="J90" s="604">
        <v>26.36</v>
      </c>
      <c r="K90" s="562" t="s">
        <v>313</v>
      </c>
      <c r="L90" s="604">
        <v>35.06</v>
      </c>
      <c r="M90" s="562"/>
      <c r="N90" s="602"/>
      <c r="T90" s="674"/>
      <c r="U90" s="675"/>
      <c r="V90" s="675"/>
      <c r="Y90" s="537" t="s">
        <v>345</v>
      </c>
      <c r="AB90" s="675"/>
    </row>
    <row r="91" spans="1:28" s="536" customFormat="1" ht="12" x14ac:dyDescent="0.2">
      <c r="A91" s="605"/>
      <c r="B91" s="552"/>
      <c r="C91" s="1822" t="s">
        <v>314</v>
      </c>
      <c r="D91" s="1822"/>
      <c r="E91" s="1822"/>
      <c r="F91" s="562" t="s">
        <v>315</v>
      </c>
      <c r="G91" s="562" t="s">
        <v>6737</v>
      </c>
      <c r="H91" s="562" t="s">
        <v>313</v>
      </c>
      <c r="I91" s="562" t="s">
        <v>8973</v>
      </c>
      <c r="J91" s="604"/>
      <c r="K91" s="562"/>
      <c r="L91" s="604"/>
      <c r="M91" s="562"/>
      <c r="N91" s="602"/>
      <c r="T91" s="674"/>
      <c r="U91" s="675"/>
      <c r="V91" s="675"/>
      <c r="Z91" s="537" t="s">
        <v>314</v>
      </c>
      <c r="AB91" s="675"/>
    </row>
    <row r="92" spans="1:28" s="536" customFormat="1" ht="12" x14ac:dyDescent="0.2">
      <c r="A92" s="605"/>
      <c r="B92" s="552"/>
      <c r="C92" s="1822" t="s">
        <v>348</v>
      </c>
      <c r="D92" s="1822"/>
      <c r="E92" s="1822"/>
      <c r="F92" s="562" t="s">
        <v>315</v>
      </c>
      <c r="G92" s="562" t="s">
        <v>6738</v>
      </c>
      <c r="H92" s="562" t="s">
        <v>313</v>
      </c>
      <c r="I92" s="562" t="s">
        <v>8974</v>
      </c>
      <c r="J92" s="604"/>
      <c r="K92" s="562"/>
      <c r="L92" s="604"/>
      <c r="M92" s="562"/>
      <c r="N92" s="602"/>
      <c r="T92" s="674"/>
      <c r="U92" s="675"/>
      <c r="V92" s="675"/>
      <c r="Z92" s="537" t="s">
        <v>348</v>
      </c>
      <c r="AB92" s="675"/>
    </row>
    <row r="93" spans="1:28" s="536" customFormat="1" ht="12" x14ac:dyDescent="0.2">
      <c r="A93" s="605"/>
      <c r="B93" s="552"/>
      <c r="C93" s="1828" t="s">
        <v>318</v>
      </c>
      <c r="D93" s="1828"/>
      <c r="E93" s="1828"/>
      <c r="F93" s="608"/>
      <c r="G93" s="608"/>
      <c r="H93" s="608"/>
      <c r="I93" s="608"/>
      <c r="J93" s="607">
        <v>348.46</v>
      </c>
      <c r="K93" s="608"/>
      <c r="L93" s="607">
        <v>463.45</v>
      </c>
      <c r="M93" s="608"/>
      <c r="N93" s="606"/>
      <c r="T93" s="674"/>
      <c r="U93" s="675"/>
      <c r="V93" s="675"/>
      <c r="AA93" s="537" t="s">
        <v>318</v>
      </c>
      <c r="AB93" s="675"/>
    </row>
    <row r="94" spans="1:28" s="536" customFormat="1" ht="12" x14ac:dyDescent="0.2">
      <c r="A94" s="605"/>
      <c r="B94" s="552"/>
      <c r="C94" s="1822" t="s">
        <v>319</v>
      </c>
      <c r="D94" s="1822"/>
      <c r="E94" s="1822"/>
      <c r="F94" s="562"/>
      <c r="G94" s="562"/>
      <c r="H94" s="562"/>
      <c r="I94" s="562"/>
      <c r="J94" s="604"/>
      <c r="K94" s="562"/>
      <c r="L94" s="604">
        <v>177.21</v>
      </c>
      <c r="M94" s="562"/>
      <c r="N94" s="602"/>
      <c r="T94" s="674"/>
      <c r="U94" s="675"/>
      <c r="V94" s="675"/>
      <c r="Z94" s="537" t="s">
        <v>319</v>
      </c>
      <c r="AB94" s="675"/>
    </row>
    <row r="95" spans="1:28" s="536" customFormat="1" ht="33.75" x14ac:dyDescent="0.2">
      <c r="A95" s="605"/>
      <c r="B95" s="552" t="s">
        <v>460</v>
      </c>
      <c r="C95" s="1822" t="s">
        <v>461</v>
      </c>
      <c r="D95" s="1822"/>
      <c r="E95" s="1822"/>
      <c r="F95" s="562" t="s">
        <v>322</v>
      </c>
      <c r="G95" s="562" t="s">
        <v>462</v>
      </c>
      <c r="H95" s="562"/>
      <c r="I95" s="562" t="s">
        <v>462</v>
      </c>
      <c r="J95" s="604"/>
      <c r="K95" s="562"/>
      <c r="L95" s="604">
        <v>163.03</v>
      </c>
      <c r="M95" s="562"/>
      <c r="N95" s="602"/>
      <c r="T95" s="674"/>
      <c r="U95" s="675"/>
      <c r="V95" s="675"/>
      <c r="Z95" s="537" t="s">
        <v>461</v>
      </c>
      <c r="AB95" s="675"/>
    </row>
    <row r="96" spans="1:28" s="536" customFormat="1" ht="33.75" x14ac:dyDescent="0.2">
      <c r="A96" s="605"/>
      <c r="B96" s="552" t="s">
        <v>463</v>
      </c>
      <c r="C96" s="1822" t="s">
        <v>464</v>
      </c>
      <c r="D96" s="1822"/>
      <c r="E96" s="1822"/>
      <c r="F96" s="562" t="s">
        <v>322</v>
      </c>
      <c r="G96" s="562" t="s">
        <v>465</v>
      </c>
      <c r="H96" s="562"/>
      <c r="I96" s="562" t="s">
        <v>465</v>
      </c>
      <c r="J96" s="604"/>
      <c r="K96" s="562"/>
      <c r="L96" s="604">
        <v>81.52</v>
      </c>
      <c r="M96" s="562"/>
      <c r="N96" s="602"/>
      <c r="T96" s="674"/>
      <c r="U96" s="675"/>
      <c r="V96" s="675"/>
      <c r="Z96" s="537" t="s">
        <v>464</v>
      </c>
      <c r="AB96" s="675"/>
    </row>
    <row r="97" spans="1:28" s="536" customFormat="1" ht="12" x14ac:dyDescent="0.2">
      <c r="A97" s="569"/>
      <c r="B97" s="683"/>
      <c r="C97" s="1823" t="s">
        <v>327</v>
      </c>
      <c r="D97" s="1823"/>
      <c r="E97" s="1823"/>
      <c r="F97" s="573"/>
      <c r="G97" s="573"/>
      <c r="H97" s="573"/>
      <c r="I97" s="573"/>
      <c r="J97" s="572"/>
      <c r="K97" s="573"/>
      <c r="L97" s="572">
        <v>708</v>
      </c>
      <c r="M97" s="608"/>
      <c r="N97" s="570"/>
      <c r="T97" s="674"/>
      <c r="U97" s="675"/>
      <c r="V97" s="675"/>
      <c r="AB97" s="675" t="s">
        <v>327</v>
      </c>
    </row>
    <row r="98" spans="1:28" s="536" customFormat="1" ht="12" x14ac:dyDescent="0.2">
      <c r="A98" s="1830" t="s">
        <v>6739</v>
      </c>
      <c r="B98" s="1831"/>
      <c r="C98" s="1831"/>
      <c r="D98" s="1831"/>
      <c r="E98" s="1831"/>
      <c r="F98" s="1831"/>
      <c r="G98" s="1831"/>
      <c r="H98" s="1831"/>
      <c r="I98" s="1831"/>
      <c r="J98" s="1831"/>
      <c r="K98" s="1831"/>
      <c r="L98" s="1831"/>
      <c r="M98" s="1831"/>
      <c r="N98" s="1832"/>
      <c r="T98" s="674"/>
      <c r="U98" s="675" t="s">
        <v>6739</v>
      </c>
      <c r="V98" s="675"/>
      <c r="AB98" s="675"/>
    </row>
    <row r="99" spans="1:28" s="536" customFormat="1" ht="45" x14ac:dyDescent="0.2">
      <c r="A99" s="575" t="s">
        <v>191</v>
      </c>
      <c r="B99" s="684" t="s">
        <v>6729</v>
      </c>
      <c r="C99" s="1823" t="s">
        <v>6730</v>
      </c>
      <c r="D99" s="1823"/>
      <c r="E99" s="1823"/>
      <c r="F99" s="573" t="s">
        <v>455</v>
      </c>
      <c r="G99" s="573"/>
      <c r="H99" s="573"/>
      <c r="I99" s="573" t="s">
        <v>8975</v>
      </c>
      <c r="J99" s="572"/>
      <c r="K99" s="573"/>
      <c r="L99" s="572"/>
      <c r="M99" s="573"/>
      <c r="N99" s="570"/>
      <c r="T99" s="674"/>
      <c r="U99" s="675"/>
      <c r="V99" s="675" t="s">
        <v>6730</v>
      </c>
      <c r="AB99" s="675"/>
    </row>
    <row r="100" spans="1:28" s="536" customFormat="1" ht="12" x14ac:dyDescent="0.2">
      <c r="A100" s="676"/>
      <c r="B100" s="682"/>
      <c r="C100" s="1822" t="s">
        <v>8976</v>
      </c>
      <c r="D100" s="1822"/>
      <c r="E100" s="1822"/>
      <c r="F100" s="1822"/>
      <c r="G100" s="1822"/>
      <c r="H100" s="1822"/>
      <c r="I100" s="1822"/>
      <c r="J100" s="1822"/>
      <c r="K100" s="1822"/>
      <c r="L100" s="1822"/>
      <c r="M100" s="1822"/>
      <c r="N100" s="1827"/>
      <c r="T100" s="674"/>
      <c r="U100" s="675"/>
      <c r="V100" s="675"/>
      <c r="W100" s="537" t="s">
        <v>8976</v>
      </c>
      <c r="AB100" s="675"/>
    </row>
    <row r="101" spans="1:28" s="536" customFormat="1" ht="33.75" x14ac:dyDescent="0.2">
      <c r="A101" s="609"/>
      <c r="B101" s="552" t="s">
        <v>310</v>
      </c>
      <c r="C101" s="1822" t="s">
        <v>311</v>
      </c>
      <c r="D101" s="1822"/>
      <c r="E101" s="1822"/>
      <c r="F101" s="1822"/>
      <c r="G101" s="1822"/>
      <c r="H101" s="1822"/>
      <c r="I101" s="1822"/>
      <c r="J101" s="1822"/>
      <c r="K101" s="1822"/>
      <c r="L101" s="1822"/>
      <c r="M101" s="1822"/>
      <c r="N101" s="1827"/>
      <c r="T101" s="674"/>
      <c r="U101" s="675"/>
      <c r="V101" s="675"/>
      <c r="X101" s="537" t="s">
        <v>311</v>
      </c>
      <c r="AB101" s="675"/>
    </row>
    <row r="102" spans="1:28" s="536" customFormat="1" ht="12" x14ac:dyDescent="0.2">
      <c r="A102" s="605"/>
      <c r="B102" s="552" t="s">
        <v>186</v>
      </c>
      <c r="C102" s="1822" t="s">
        <v>344</v>
      </c>
      <c r="D102" s="1822"/>
      <c r="E102" s="1822"/>
      <c r="F102" s="562"/>
      <c r="G102" s="562"/>
      <c r="H102" s="562"/>
      <c r="I102" s="562"/>
      <c r="J102" s="604">
        <v>2550</v>
      </c>
      <c r="K102" s="562" t="s">
        <v>313</v>
      </c>
      <c r="L102" s="604">
        <v>382.82</v>
      </c>
      <c r="M102" s="562"/>
      <c r="N102" s="602"/>
      <c r="T102" s="674"/>
      <c r="U102" s="675"/>
      <c r="V102" s="675"/>
      <c r="Y102" s="537" t="s">
        <v>344</v>
      </c>
      <c r="AB102" s="675"/>
    </row>
    <row r="103" spans="1:28" s="536" customFormat="1" ht="12" x14ac:dyDescent="0.2">
      <c r="A103" s="605"/>
      <c r="B103" s="552" t="s">
        <v>187</v>
      </c>
      <c r="C103" s="1822" t="s">
        <v>345</v>
      </c>
      <c r="D103" s="1822"/>
      <c r="E103" s="1822"/>
      <c r="F103" s="562"/>
      <c r="G103" s="562"/>
      <c r="H103" s="562"/>
      <c r="I103" s="562"/>
      <c r="J103" s="604">
        <v>344.25</v>
      </c>
      <c r="K103" s="562" t="s">
        <v>313</v>
      </c>
      <c r="L103" s="604">
        <v>51.68</v>
      </c>
      <c r="M103" s="562"/>
      <c r="N103" s="602"/>
      <c r="T103" s="674"/>
      <c r="U103" s="675"/>
      <c r="V103" s="675"/>
      <c r="Y103" s="537" t="s">
        <v>345</v>
      </c>
      <c r="AB103" s="675"/>
    </row>
    <row r="104" spans="1:28" s="536" customFormat="1" ht="12" x14ac:dyDescent="0.2">
      <c r="A104" s="605"/>
      <c r="B104" s="552"/>
      <c r="C104" s="1822" t="s">
        <v>348</v>
      </c>
      <c r="D104" s="1822"/>
      <c r="E104" s="1822"/>
      <c r="F104" s="562" t="s">
        <v>315</v>
      </c>
      <c r="G104" s="562" t="s">
        <v>6640</v>
      </c>
      <c r="H104" s="562" t="s">
        <v>313</v>
      </c>
      <c r="I104" s="562" t="s">
        <v>8977</v>
      </c>
      <c r="J104" s="604"/>
      <c r="K104" s="562"/>
      <c r="L104" s="604"/>
      <c r="M104" s="562"/>
      <c r="N104" s="602"/>
      <c r="T104" s="674"/>
      <c r="U104" s="675"/>
      <c r="V104" s="675"/>
      <c r="Z104" s="537" t="s">
        <v>348</v>
      </c>
      <c r="AB104" s="675"/>
    </row>
    <row r="105" spans="1:28" s="536" customFormat="1" ht="12" x14ac:dyDescent="0.2">
      <c r="A105" s="605"/>
      <c r="B105" s="552"/>
      <c r="C105" s="1828" t="s">
        <v>318</v>
      </c>
      <c r="D105" s="1828"/>
      <c r="E105" s="1828"/>
      <c r="F105" s="608"/>
      <c r="G105" s="608"/>
      <c r="H105" s="608"/>
      <c r="I105" s="608"/>
      <c r="J105" s="607">
        <v>2550</v>
      </c>
      <c r="K105" s="608"/>
      <c r="L105" s="607">
        <v>382.82</v>
      </c>
      <c r="M105" s="608"/>
      <c r="N105" s="606"/>
      <c r="T105" s="674"/>
      <c r="U105" s="675"/>
      <c r="V105" s="675"/>
      <c r="AA105" s="537" t="s">
        <v>318</v>
      </c>
      <c r="AB105" s="675"/>
    </row>
    <row r="106" spans="1:28" s="536" customFormat="1" ht="12" x14ac:dyDescent="0.2">
      <c r="A106" s="605"/>
      <c r="B106" s="552"/>
      <c r="C106" s="1822" t="s">
        <v>319</v>
      </c>
      <c r="D106" s="1822"/>
      <c r="E106" s="1822"/>
      <c r="F106" s="562"/>
      <c r="G106" s="562"/>
      <c r="H106" s="562"/>
      <c r="I106" s="562"/>
      <c r="J106" s="604"/>
      <c r="K106" s="562"/>
      <c r="L106" s="604">
        <v>51.68</v>
      </c>
      <c r="M106" s="562"/>
      <c r="N106" s="602"/>
      <c r="T106" s="674"/>
      <c r="U106" s="675"/>
      <c r="V106" s="675"/>
      <c r="Z106" s="537" t="s">
        <v>319</v>
      </c>
      <c r="AB106" s="675"/>
    </row>
    <row r="107" spans="1:28" s="536" customFormat="1" ht="33.75" x14ac:dyDescent="0.2">
      <c r="A107" s="605"/>
      <c r="B107" s="552" t="s">
        <v>460</v>
      </c>
      <c r="C107" s="1822" t="s">
        <v>461</v>
      </c>
      <c r="D107" s="1822"/>
      <c r="E107" s="1822"/>
      <c r="F107" s="562" t="s">
        <v>322</v>
      </c>
      <c r="G107" s="562" t="s">
        <v>462</v>
      </c>
      <c r="H107" s="562"/>
      <c r="I107" s="562" t="s">
        <v>462</v>
      </c>
      <c r="J107" s="604"/>
      <c r="K107" s="562"/>
      <c r="L107" s="604">
        <v>47.55</v>
      </c>
      <c r="M107" s="562"/>
      <c r="N107" s="602"/>
      <c r="T107" s="674"/>
      <c r="U107" s="675"/>
      <c r="V107" s="675"/>
      <c r="Z107" s="537" t="s">
        <v>461</v>
      </c>
      <c r="AB107" s="675"/>
    </row>
    <row r="108" spans="1:28" s="536" customFormat="1" ht="33.75" x14ac:dyDescent="0.2">
      <c r="A108" s="605"/>
      <c r="B108" s="552" t="s">
        <v>463</v>
      </c>
      <c r="C108" s="1822" t="s">
        <v>464</v>
      </c>
      <c r="D108" s="1822"/>
      <c r="E108" s="1822"/>
      <c r="F108" s="562" t="s">
        <v>322</v>
      </c>
      <c r="G108" s="562" t="s">
        <v>465</v>
      </c>
      <c r="H108" s="562"/>
      <c r="I108" s="562" t="s">
        <v>465</v>
      </c>
      <c r="J108" s="604"/>
      <c r="K108" s="562"/>
      <c r="L108" s="604">
        <v>23.77</v>
      </c>
      <c r="M108" s="562"/>
      <c r="N108" s="602"/>
      <c r="T108" s="674"/>
      <c r="U108" s="675"/>
      <c r="V108" s="675"/>
      <c r="Z108" s="537" t="s">
        <v>464</v>
      </c>
      <c r="AB108" s="675"/>
    </row>
    <row r="109" spans="1:28" s="536" customFormat="1" ht="12" x14ac:dyDescent="0.2">
      <c r="A109" s="569"/>
      <c r="B109" s="683"/>
      <c r="C109" s="1823" t="s">
        <v>327</v>
      </c>
      <c r="D109" s="1823"/>
      <c r="E109" s="1823"/>
      <c r="F109" s="573"/>
      <c r="G109" s="573"/>
      <c r="H109" s="573"/>
      <c r="I109" s="573"/>
      <c r="J109" s="572"/>
      <c r="K109" s="573"/>
      <c r="L109" s="572">
        <v>454.14</v>
      </c>
      <c r="M109" s="608"/>
      <c r="N109" s="570"/>
      <c r="T109" s="674"/>
      <c r="U109" s="675"/>
      <c r="V109" s="675"/>
      <c r="AB109" s="675" t="s">
        <v>327</v>
      </c>
    </row>
    <row r="110" spans="1:28" s="536" customFormat="1" ht="33.75" x14ac:dyDescent="0.2">
      <c r="A110" s="575" t="s">
        <v>192</v>
      </c>
      <c r="B110" s="684" t="s">
        <v>6731</v>
      </c>
      <c r="C110" s="1823" t="s">
        <v>6732</v>
      </c>
      <c r="D110" s="1823"/>
      <c r="E110" s="1823"/>
      <c r="F110" s="573" t="s">
        <v>509</v>
      </c>
      <c r="G110" s="573"/>
      <c r="H110" s="573"/>
      <c r="I110" s="573" t="s">
        <v>8622</v>
      </c>
      <c r="J110" s="572"/>
      <c r="K110" s="573"/>
      <c r="L110" s="572"/>
      <c r="M110" s="573"/>
      <c r="N110" s="570"/>
      <c r="T110" s="674"/>
      <c r="U110" s="675"/>
      <c r="V110" s="675" t="s">
        <v>6732</v>
      </c>
      <c r="AB110" s="675"/>
    </row>
    <row r="111" spans="1:28" s="536" customFormat="1" ht="12" x14ac:dyDescent="0.2">
      <c r="A111" s="676"/>
      <c r="B111" s="682"/>
      <c r="C111" s="1822" t="s">
        <v>8978</v>
      </c>
      <c r="D111" s="1822"/>
      <c r="E111" s="1822"/>
      <c r="F111" s="1822"/>
      <c r="G111" s="1822"/>
      <c r="H111" s="1822"/>
      <c r="I111" s="1822"/>
      <c r="J111" s="1822"/>
      <c r="K111" s="1822"/>
      <c r="L111" s="1822"/>
      <c r="M111" s="1822"/>
      <c r="N111" s="1827"/>
      <c r="T111" s="674"/>
      <c r="U111" s="675"/>
      <c r="V111" s="675"/>
      <c r="W111" s="537" t="s">
        <v>8978</v>
      </c>
      <c r="AB111" s="675"/>
    </row>
    <row r="112" spans="1:28" s="536" customFormat="1" ht="22.5" x14ac:dyDescent="0.2">
      <c r="A112" s="609"/>
      <c r="B112" s="552" t="s">
        <v>1518</v>
      </c>
      <c r="C112" s="1822" t="s">
        <v>1519</v>
      </c>
      <c r="D112" s="1822"/>
      <c r="E112" s="1822"/>
      <c r="F112" s="1822"/>
      <c r="G112" s="1822"/>
      <c r="H112" s="1822"/>
      <c r="I112" s="1822"/>
      <c r="J112" s="1822"/>
      <c r="K112" s="1822"/>
      <c r="L112" s="1822"/>
      <c r="M112" s="1822"/>
      <c r="N112" s="1827"/>
      <c r="T112" s="674"/>
      <c r="U112" s="675"/>
      <c r="V112" s="675"/>
      <c r="X112" s="537" t="s">
        <v>1519</v>
      </c>
      <c r="AB112" s="675"/>
    </row>
    <row r="113" spans="1:28" s="536" customFormat="1" ht="33.75" x14ac:dyDescent="0.2">
      <c r="A113" s="609"/>
      <c r="B113" s="552" t="s">
        <v>310</v>
      </c>
      <c r="C113" s="1822" t="s">
        <v>311</v>
      </c>
      <c r="D113" s="1822"/>
      <c r="E113" s="1822"/>
      <c r="F113" s="1822"/>
      <c r="G113" s="1822"/>
      <c r="H113" s="1822"/>
      <c r="I113" s="1822"/>
      <c r="J113" s="1822"/>
      <c r="K113" s="1822"/>
      <c r="L113" s="1822"/>
      <c r="M113" s="1822"/>
      <c r="N113" s="1827"/>
      <c r="T113" s="674"/>
      <c r="U113" s="675"/>
      <c r="V113" s="675"/>
      <c r="X113" s="537" t="s">
        <v>311</v>
      </c>
      <c r="AB113" s="675"/>
    </row>
    <row r="114" spans="1:28" s="536" customFormat="1" ht="12" x14ac:dyDescent="0.2">
      <c r="A114" s="605"/>
      <c r="B114" s="552" t="s">
        <v>185</v>
      </c>
      <c r="C114" s="1822" t="s">
        <v>312</v>
      </c>
      <c r="D114" s="1822"/>
      <c r="E114" s="1822"/>
      <c r="F114" s="562"/>
      <c r="G114" s="562"/>
      <c r="H114" s="562"/>
      <c r="I114" s="562"/>
      <c r="J114" s="604">
        <v>920.4</v>
      </c>
      <c r="K114" s="562" t="s">
        <v>1520</v>
      </c>
      <c r="L114" s="604">
        <v>100.78</v>
      </c>
      <c r="M114" s="562"/>
      <c r="N114" s="602"/>
      <c r="T114" s="674"/>
      <c r="U114" s="675"/>
      <c r="V114" s="675"/>
      <c r="Y114" s="537" t="s">
        <v>312</v>
      </c>
      <c r="AB114" s="675"/>
    </row>
    <row r="115" spans="1:28" s="536" customFormat="1" ht="12" x14ac:dyDescent="0.2">
      <c r="A115" s="605"/>
      <c r="B115" s="552"/>
      <c r="C115" s="1822" t="s">
        <v>314</v>
      </c>
      <c r="D115" s="1822"/>
      <c r="E115" s="1822"/>
      <c r="F115" s="562" t="s">
        <v>315</v>
      </c>
      <c r="G115" s="562" t="s">
        <v>3045</v>
      </c>
      <c r="H115" s="562" t="s">
        <v>1520</v>
      </c>
      <c r="I115" s="562" t="s">
        <v>8979</v>
      </c>
      <c r="J115" s="604"/>
      <c r="K115" s="562"/>
      <c r="L115" s="604"/>
      <c r="M115" s="562"/>
      <c r="N115" s="602"/>
      <c r="T115" s="674"/>
      <c r="U115" s="675"/>
      <c r="V115" s="675"/>
      <c r="Z115" s="537" t="s">
        <v>314</v>
      </c>
      <c r="AB115" s="675"/>
    </row>
    <row r="116" spans="1:28" s="536" customFormat="1" ht="12" x14ac:dyDescent="0.2">
      <c r="A116" s="605"/>
      <c r="B116" s="552"/>
      <c r="C116" s="1828" t="s">
        <v>318</v>
      </c>
      <c r="D116" s="1828"/>
      <c r="E116" s="1828"/>
      <c r="F116" s="608"/>
      <c r="G116" s="608"/>
      <c r="H116" s="608"/>
      <c r="I116" s="608"/>
      <c r="J116" s="607">
        <v>920.4</v>
      </c>
      <c r="K116" s="608"/>
      <c r="L116" s="607">
        <v>100.78</v>
      </c>
      <c r="M116" s="608"/>
      <c r="N116" s="606"/>
      <c r="T116" s="674"/>
      <c r="U116" s="675"/>
      <c r="V116" s="675"/>
      <c r="AA116" s="537" t="s">
        <v>318</v>
      </c>
      <c r="AB116" s="675"/>
    </row>
    <row r="117" spans="1:28" s="536" customFormat="1" ht="12" x14ac:dyDescent="0.2">
      <c r="A117" s="605"/>
      <c r="B117" s="552"/>
      <c r="C117" s="1822" t="s">
        <v>319</v>
      </c>
      <c r="D117" s="1822"/>
      <c r="E117" s="1822"/>
      <c r="F117" s="562"/>
      <c r="G117" s="562"/>
      <c r="H117" s="562"/>
      <c r="I117" s="562"/>
      <c r="J117" s="604"/>
      <c r="K117" s="562"/>
      <c r="L117" s="604">
        <v>100.78</v>
      </c>
      <c r="M117" s="562"/>
      <c r="N117" s="602"/>
      <c r="T117" s="674"/>
      <c r="U117" s="675"/>
      <c r="V117" s="675"/>
      <c r="Z117" s="537" t="s">
        <v>319</v>
      </c>
      <c r="AB117" s="675"/>
    </row>
    <row r="118" spans="1:28" s="536" customFormat="1" ht="33.75" x14ac:dyDescent="0.2">
      <c r="A118" s="605"/>
      <c r="B118" s="552" t="s">
        <v>673</v>
      </c>
      <c r="C118" s="1822" t="s">
        <v>674</v>
      </c>
      <c r="D118" s="1822"/>
      <c r="E118" s="1822"/>
      <c r="F118" s="562" t="s">
        <v>322</v>
      </c>
      <c r="G118" s="562" t="s">
        <v>323</v>
      </c>
      <c r="H118" s="562"/>
      <c r="I118" s="562" t="s">
        <v>323</v>
      </c>
      <c r="J118" s="604"/>
      <c r="K118" s="562"/>
      <c r="L118" s="604">
        <v>89.69</v>
      </c>
      <c r="M118" s="562"/>
      <c r="N118" s="602"/>
      <c r="T118" s="674"/>
      <c r="U118" s="675"/>
      <c r="V118" s="675"/>
      <c r="Z118" s="537" t="s">
        <v>674</v>
      </c>
      <c r="AB118" s="675"/>
    </row>
    <row r="119" spans="1:28" s="536" customFormat="1" ht="33.75" x14ac:dyDescent="0.2">
      <c r="A119" s="605"/>
      <c r="B119" s="552" t="s">
        <v>675</v>
      </c>
      <c r="C119" s="1822" t="s">
        <v>676</v>
      </c>
      <c r="D119" s="1822"/>
      <c r="E119" s="1822"/>
      <c r="F119" s="562" t="s">
        <v>322</v>
      </c>
      <c r="G119" s="562" t="s">
        <v>677</v>
      </c>
      <c r="H119" s="562"/>
      <c r="I119" s="562" t="s">
        <v>677</v>
      </c>
      <c r="J119" s="604"/>
      <c r="K119" s="562"/>
      <c r="L119" s="604">
        <v>40.31</v>
      </c>
      <c r="M119" s="562"/>
      <c r="N119" s="602"/>
      <c r="T119" s="674"/>
      <c r="U119" s="675"/>
      <c r="V119" s="675"/>
      <c r="Z119" s="537" t="s">
        <v>676</v>
      </c>
      <c r="AB119" s="675"/>
    </row>
    <row r="120" spans="1:28" s="536" customFormat="1" ht="12" x14ac:dyDescent="0.2">
      <c r="A120" s="569"/>
      <c r="B120" s="683"/>
      <c r="C120" s="1823" t="s">
        <v>327</v>
      </c>
      <c r="D120" s="1823"/>
      <c r="E120" s="1823"/>
      <c r="F120" s="573"/>
      <c r="G120" s="573"/>
      <c r="H120" s="573"/>
      <c r="I120" s="573"/>
      <c r="J120" s="572"/>
      <c r="K120" s="573"/>
      <c r="L120" s="572">
        <v>230.78</v>
      </c>
      <c r="M120" s="608"/>
      <c r="N120" s="570"/>
      <c r="T120" s="674"/>
      <c r="U120" s="675"/>
      <c r="V120" s="675"/>
      <c r="AB120" s="675" t="s">
        <v>327</v>
      </c>
    </row>
    <row r="121" spans="1:28" s="536" customFormat="1" ht="33.75" x14ac:dyDescent="0.2">
      <c r="A121" s="575" t="s">
        <v>193</v>
      </c>
      <c r="B121" s="684" t="s">
        <v>8959</v>
      </c>
      <c r="C121" s="1823" t="s">
        <v>8960</v>
      </c>
      <c r="D121" s="1823"/>
      <c r="E121" s="1823"/>
      <c r="F121" s="573" t="s">
        <v>862</v>
      </c>
      <c r="G121" s="573"/>
      <c r="H121" s="573"/>
      <c r="I121" s="573" t="s">
        <v>8980</v>
      </c>
      <c r="J121" s="572"/>
      <c r="K121" s="573"/>
      <c r="L121" s="572"/>
      <c r="M121" s="573"/>
      <c r="N121" s="570"/>
      <c r="T121" s="674"/>
      <c r="U121" s="675"/>
      <c r="V121" s="675" t="s">
        <v>8960</v>
      </c>
      <c r="AB121" s="675"/>
    </row>
    <row r="122" spans="1:28" s="536" customFormat="1" ht="12" x14ac:dyDescent="0.2">
      <c r="A122" s="676"/>
      <c r="B122" s="682"/>
      <c r="C122" s="1822" t="s">
        <v>8981</v>
      </c>
      <c r="D122" s="1822"/>
      <c r="E122" s="1822"/>
      <c r="F122" s="1822"/>
      <c r="G122" s="1822"/>
      <c r="H122" s="1822"/>
      <c r="I122" s="1822"/>
      <c r="J122" s="1822"/>
      <c r="K122" s="1822"/>
      <c r="L122" s="1822"/>
      <c r="M122" s="1822"/>
      <c r="N122" s="1827"/>
      <c r="T122" s="674"/>
      <c r="U122" s="675"/>
      <c r="V122" s="675"/>
      <c r="W122" s="537" t="s">
        <v>8981</v>
      </c>
      <c r="AB122" s="675"/>
    </row>
    <row r="123" spans="1:28" s="536" customFormat="1" ht="33.75" x14ac:dyDescent="0.2">
      <c r="A123" s="609"/>
      <c r="B123" s="552" t="s">
        <v>310</v>
      </c>
      <c r="C123" s="1822" t="s">
        <v>311</v>
      </c>
      <c r="D123" s="1822"/>
      <c r="E123" s="1822"/>
      <c r="F123" s="1822"/>
      <c r="G123" s="1822"/>
      <c r="H123" s="1822"/>
      <c r="I123" s="1822"/>
      <c r="J123" s="1822"/>
      <c r="K123" s="1822"/>
      <c r="L123" s="1822"/>
      <c r="M123" s="1822"/>
      <c r="N123" s="1827"/>
      <c r="T123" s="674"/>
      <c r="U123" s="675"/>
      <c r="V123" s="675"/>
      <c r="X123" s="537" t="s">
        <v>311</v>
      </c>
      <c r="AB123" s="675"/>
    </row>
    <row r="124" spans="1:28" s="536" customFormat="1" ht="12" x14ac:dyDescent="0.2">
      <c r="A124" s="605"/>
      <c r="B124" s="552" t="s">
        <v>185</v>
      </c>
      <c r="C124" s="1822" t="s">
        <v>312</v>
      </c>
      <c r="D124" s="1822"/>
      <c r="E124" s="1822"/>
      <c r="F124" s="562"/>
      <c r="G124" s="562"/>
      <c r="H124" s="562"/>
      <c r="I124" s="562"/>
      <c r="J124" s="604">
        <v>210.65</v>
      </c>
      <c r="K124" s="562" t="s">
        <v>313</v>
      </c>
      <c r="L124" s="604">
        <v>670.92</v>
      </c>
      <c r="M124" s="562"/>
      <c r="N124" s="602"/>
      <c r="T124" s="674"/>
      <c r="U124" s="675"/>
      <c r="V124" s="675"/>
      <c r="Y124" s="537" t="s">
        <v>312</v>
      </c>
      <c r="AB124" s="675"/>
    </row>
    <row r="125" spans="1:28" s="536" customFormat="1" ht="12" x14ac:dyDescent="0.2">
      <c r="A125" s="605"/>
      <c r="B125" s="552" t="s">
        <v>186</v>
      </c>
      <c r="C125" s="1822" t="s">
        <v>344</v>
      </c>
      <c r="D125" s="1822"/>
      <c r="E125" s="1822"/>
      <c r="F125" s="562"/>
      <c r="G125" s="562"/>
      <c r="H125" s="562"/>
      <c r="I125" s="562"/>
      <c r="J125" s="604">
        <v>57.82</v>
      </c>
      <c r="K125" s="562" t="s">
        <v>313</v>
      </c>
      <c r="L125" s="604">
        <v>184.16</v>
      </c>
      <c r="M125" s="562"/>
      <c r="N125" s="602"/>
      <c r="T125" s="674"/>
      <c r="U125" s="675"/>
      <c r="V125" s="675"/>
      <c r="Y125" s="537" t="s">
        <v>344</v>
      </c>
      <c r="AB125" s="675"/>
    </row>
    <row r="126" spans="1:28" s="536" customFormat="1" ht="12" x14ac:dyDescent="0.2">
      <c r="A126" s="605"/>
      <c r="B126" s="552" t="s">
        <v>187</v>
      </c>
      <c r="C126" s="1822" t="s">
        <v>345</v>
      </c>
      <c r="D126" s="1822"/>
      <c r="E126" s="1822"/>
      <c r="F126" s="562"/>
      <c r="G126" s="562"/>
      <c r="H126" s="562"/>
      <c r="I126" s="562"/>
      <c r="J126" s="604">
        <v>10.210000000000001</v>
      </c>
      <c r="K126" s="562" t="s">
        <v>313</v>
      </c>
      <c r="L126" s="604">
        <v>32.520000000000003</v>
      </c>
      <c r="M126" s="562"/>
      <c r="N126" s="602"/>
      <c r="T126" s="674"/>
      <c r="U126" s="675"/>
      <c r="V126" s="675"/>
      <c r="Y126" s="537" t="s">
        <v>345</v>
      </c>
      <c r="AB126" s="675"/>
    </row>
    <row r="127" spans="1:28" s="536" customFormat="1" ht="12" x14ac:dyDescent="0.2">
      <c r="A127" s="605"/>
      <c r="B127" s="552" t="s">
        <v>188</v>
      </c>
      <c r="C127" s="1822" t="s">
        <v>475</v>
      </c>
      <c r="D127" s="1822"/>
      <c r="E127" s="1822"/>
      <c r="F127" s="562"/>
      <c r="G127" s="562"/>
      <c r="H127" s="562"/>
      <c r="I127" s="562"/>
      <c r="J127" s="604">
        <v>502.79</v>
      </c>
      <c r="K127" s="562"/>
      <c r="L127" s="604">
        <v>1281.1099999999999</v>
      </c>
      <c r="M127" s="562"/>
      <c r="N127" s="602"/>
      <c r="T127" s="674"/>
      <c r="U127" s="675"/>
      <c r="V127" s="675"/>
      <c r="Y127" s="537" t="s">
        <v>475</v>
      </c>
      <c r="AB127" s="675"/>
    </row>
    <row r="128" spans="1:28" s="536" customFormat="1" ht="12" x14ac:dyDescent="0.2">
      <c r="A128" s="605"/>
      <c r="B128" s="552"/>
      <c r="C128" s="1822" t="s">
        <v>314</v>
      </c>
      <c r="D128" s="1822"/>
      <c r="E128" s="1822"/>
      <c r="F128" s="562" t="s">
        <v>315</v>
      </c>
      <c r="G128" s="562" t="s">
        <v>8963</v>
      </c>
      <c r="H128" s="562" t="s">
        <v>313</v>
      </c>
      <c r="I128" s="562" t="s">
        <v>8982</v>
      </c>
      <c r="J128" s="604"/>
      <c r="K128" s="562"/>
      <c r="L128" s="604"/>
      <c r="M128" s="562"/>
      <c r="N128" s="602"/>
      <c r="T128" s="674"/>
      <c r="U128" s="675"/>
      <c r="V128" s="675"/>
      <c r="Z128" s="537" t="s">
        <v>314</v>
      </c>
      <c r="AB128" s="675"/>
    </row>
    <row r="129" spans="1:28" s="536" customFormat="1" ht="12" x14ac:dyDescent="0.2">
      <c r="A129" s="605"/>
      <c r="B129" s="552"/>
      <c r="C129" s="1822" t="s">
        <v>348</v>
      </c>
      <c r="D129" s="1822"/>
      <c r="E129" s="1822"/>
      <c r="F129" s="562" t="s">
        <v>315</v>
      </c>
      <c r="G129" s="562" t="s">
        <v>2364</v>
      </c>
      <c r="H129" s="562" t="s">
        <v>313</v>
      </c>
      <c r="I129" s="562" t="s">
        <v>8983</v>
      </c>
      <c r="J129" s="604"/>
      <c r="K129" s="562"/>
      <c r="L129" s="604"/>
      <c r="M129" s="562"/>
      <c r="N129" s="602"/>
      <c r="T129" s="674"/>
      <c r="U129" s="675"/>
      <c r="V129" s="675"/>
      <c r="Z129" s="537" t="s">
        <v>348</v>
      </c>
      <c r="AB129" s="675"/>
    </row>
    <row r="130" spans="1:28" s="536" customFormat="1" ht="12" x14ac:dyDescent="0.2">
      <c r="A130" s="605"/>
      <c r="B130" s="552"/>
      <c r="C130" s="1828" t="s">
        <v>318</v>
      </c>
      <c r="D130" s="1828"/>
      <c r="E130" s="1828"/>
      <c r="F130" s="608"/>
      <c r="G130" s="608"/>
      <c r="H130" s="608"/>
      <c r="I130" s="608"/>
      <c r="J130" s="607">
        <v>771.26</v>
      </c>
      <c r="K130" s="608"/>
      <c r="L130" s="607">
        <v>2136.19</v>
      </c>
      <c r="M130" s="608"/>
      <c r="N130" s="606"/>
      <c r="T130" s="674"/>
      <c r="U130" s="675"/>
      <c r="V130" s="675"/>
      <c r="AA130" s="537" t="s">
        <v>318</v>
      </c>
      <c r="AB130" s="675"/>
    </row>
    <row r="131" spans="1:28" s="536" customFormat="1" ht="12" x14ac:dyDescent="0.2">
      <c r="A131" s="605"/>
      <c r="B131" s="552"/>
      <c r="C131" s="1822" t="s">
        <v>319</v>
      </c>
      <c r="D131" s="1822"/>
      <c r="E131" s="1822"/>
      <c r="F131" s="562"/>
      <c r="G131" s="562"/>
      <c r="H131" s="562"/>
      <c r="I131" s="562"/>
      <c r="J131" s="604"/>
      <c r="K131" s="562"/>
      <c r="L131" s="604">
        <v>703.44</v>
      </c>
      <c r="M131" s="562"/>
      <c r="N131" s="602"/>
      <c r="T131" s="674"/>
      <c r="U131" s="675"/>
      <c r="V131" s="675"/>
      <c r="Z131" s="537" t="s">
        <v>319</v>
      </c>
      <c r="AB131" s="675"/>
    </row>
    <row r="132" spans="1:28" s="536" customFormat="1" ht="33.75" x14ac:dyDescent="0.2">
      <c r="A132" s="605"/>
      <c r="B132" s="552" t="s">
        <v>320</v>
      </c>
      <c r="C132" s="1822" t="s">
        <v>321</v>
      </c>
      <c r="D132" s="1822"/>
      <c r="E132" s="1822"/>
      <c r="F132" s="562" t="s">
        <v>322</v>
      </c>
      <c r="G132" s="562" t="s">
        <v>323</v>
      </c>
      <c r="H132" s="562"/>
      <c r="I132" s="562" t="s">
        <v>323</v>
      </c>
      <c r="J132" s="604"/>
      <c r="K132" s="562"/>
      <c r="L132" s="604">
        <v>626.05999999999995</v>
      </c>
      <c r="M132" s="562"/>
      <c r="N132" s="602"/>
      <c r="T132" s="674"/>
      <c r="U132" s="675"/>
      <c r="V132" s="675"/>
      <c r="Z132" s="537" t="s">
        <v>321</v>
      </c>
      <c r="AB132" s="675"/>
    </row>
    <row r="133" spans="1:28" s="536" customFormat="1" ht="33.75" x14ac:dyDescent="0.2">
      <c r="A133" s="605"/>
      <c r="B133" s="552" t="s">
        <v>324</v>
      </c>
      <c r="C133" s="1822" t="s">
        <v>325</v>
      </c>
      <c r="D133" s="1822"/>
      <c r="E133" s="1822"/>
      <c r="F133" s="562" t="s">
        <v>322</v>
      </c>
      <c r="G133" s="562" t="s">
        <v>326</v>
      </c>
      <c r="H133" s="562"/>
      <c r="I133" s="562" t="s">
        <v>326</v>
      </c>
      <c r="J133" s="604"/>
      <c r="K133" s="562"/>
      <c r="L133" s="604">
        <v>288.41000000000003</v>
      </c>
      <c r="M133" s="562"/>
      <c r="N133" s="602"/>
      <c r="T133" s="674"/>
      <c r="U133" s="675"/>
      <c r="V133" s="675"/>
      <c r="Z133" s="537" t="s">
        <v>325</v>
      </c>
      <c r="AB133" s="675"/>
    </row>
    <row r="134" spans="1:28" s="536" customFormat="1" ht="12" x14ac:dyDescent="0.2">
      <c r="A134" s="569"/>
      <c r="B134" s="683"/>
      <c r="C134" s="1823" t="s">
        <v>327</v>
      </c>
      <c r="D134" s="1823"/>
      <c r="E134" s="1823"/>
      <c r="F134" s="573"/>
      <c r="G134" s="573"/>
      <c r="H134" s="573"/>
      <c r="I134" s="573"/>
      <c r="J134" s="572"/>
      <c r="K134" s="573"/>
      <c r="L134" s="572">
        <v>3050.66</v>
      </c>
      <c r="M134" s="608"/>
      <c r="N134" s="570"/>
      <c r="T134" s="674"/>
      <c r="U134" s="675"/>
      <c r="V134" s="675"/>
      <c r="AB134" s="675" t="s">
        <v>327</v>
      </c>
    </row>
    <row r="135" spans="1:28" s="536" customFormat="1" ht="56.25" x14ac:dyDescent="0.2">
      <c r="A135" s="575" t="s">
        <v>194</v>
      </c>
      <c r="B135" s="684" t="s">
        <v>6733</v>
      </c>
      <c r="C135" s="1823" t="s">
        <v>6734</v>
      </c>
      <c r="D135" s="1823"/>
      <c r="E135" s="1823"/>
      <c r="F135" s="573" t="s">
        <v>455</v>
      </c>
      <c r="G135" s="573"/>
      <c r="H135" s="573"/>
      <c r="I135" s="573" t="s">
        <v>8984</v>
      </c>
      <c r="J135" s="572"/>
      <c r="K135" s="573"/>
      <c r="L135" s="572"/>
      <c r="M135" s="573"/>
      <c r="N135" s="570"/>
      <c r="T135" s="674"/>
      <c r="U135" s="675"/>
      <c r="V135" s="675" t="s">
        <v>6734</v>
      </c>
      <c r="AB135" s="675"/>
    </row>
    <row r="136" spans="1:28" s="536" customFormat="1" ht="12" x14ac:dyDescent="0.2">
      <c r="A136" s="676"/>
      <c r="B136" s="682"/>
      <c r="C136" s="1822" t="s">
        <v>8985</v>
      </c>
      <c r="D136" s="1822"/>
      <c r="E136" s="1822"/>
      <c r="F136" s="1822"/>
      <c r="G136" s="1822"/>
      <c r="H136" s="1822"/>
      <c r="I136" s="1822"/>
      <c r="J136" s="1822"/>
      <c r="K136" s="1822"/>
      <c r="L136" s="1822"/>
      <c r="M136" s="1822"/>
      <c r="N136" s="1827"/>
      <c r="T136" s="674"/>
      <c r="U136" s="675"/>
      <c r="V136" s="675"/>
      <c r="W136" s="537" t="s">
        <v>8985</v>
      </c>
      <c r="AB136" s="675"/>
    </row>
    <row r="137" spans="1:28" s="536" customFormat="1" ht="33.75" x14ac:dyDescent="0.2">
      <c r="A137" s="609"/>
      <c r="B137" s="552" t="s">
        <v>310</v>
      </c>
      <c r="C137" s="1822" t="s">
        <v>311</v>
      </c>
      <c r="D137" s="1822"/>
      <c r="E137" s="1822"/>
      <c r="F137" s="1822"/>
      <c r="G137" s="1822"/>
      <c r="H137" s="1822"/>
      <c r="I137" s="1822"/>
      <c r="J137" s="1822"/>
      <c r="K137" s="1822"/>
      <c r="L137" s="1822"/>
      <c r="M137" s="1822"/>
      <c r="N137" s="1827"/>
      <c r="T137" s="674"/>
      <c r="U137" s="675"/>
      <c r="V137" s="675"/>
      <c r="X137" s="537" t="s">
        <v>311</v>
      </c>
      <c r="AB137" s="675"/>
    </row>
    <row r="138" spans="1:28" s="536" customFormat="1" ht="12" x14ac:dyDescent="0.2">
      <c r="A138" s="605"/>
      <c r="B138" s="552" t="s">
        <v>186</v>
      </c>
      <c r="C138" s="1822" t="s">
        <v>344</v>
      </c>
      <c r="D138" s="1822"/>
      <c r="E138" s="1822"/>
      <c r="F138" s="562"/>
      <c r="G138" s="562"/>
      <c r="H138" s="562"/>
      <c r="I138" s="562"/>
      <c r="J138" s="604">
        <v>2100</v>
      </c>
      <c r="K138" s="562" t="s">
        <v>313</v>
      </c>
      <c r="L138" s="604">
        <v>326.55</v>
      </c>
      <c r="M138" s="562"/>
      <c r="N138" s="602"/>
      <c r="T138" s="674"/>
      <c r="U138" s="675"/>
      <c r="V138" s="675"/>
      <c r="Y138" s="537" t="s">
        <v>344</v>
      </c>
      <c r="AB138" s="675"/>
    </row>
    <row r="139" spans="1:28" s="536" customFormat="1" ht="12" x14ac:dyDescent="0.2">
      <c r="A139" s="605"/>
      <c r="B139" s="552" t="s">
        <v>187</v>
      </c>
      <c r="C139" s="1822" t="s">
        <v>345</v>
      </c>
      <c r="D139" s="1822"/>
      <c r="E139" s="1822"/>
      <c r="F139" s="562"/>
      <c r="G139" s="562"/>
      <c r="H139" s="562"/>
      <c r="I139" s="562"/>
      <c r="J139" s="604">
        <v>283.5</v>
      </c>
      <c r="K139" s="562" t="s">
        <v>313</v>
      </c>
      <c r="L139" s="604">
        <v>44.08</v>
      </c>
      <c r="M139" s="562"/>
      <c r="N139" s="602"/>
      <c r="T139" s="674"/>
      <c r="U139" s="675"/>
      <c r="V139" s="675"/>
      <c r="Y139" s="537" t="s">
        <v>345</v>
      </c>
      <c r="AB139" s="675"/>
    </row>
    <row r="140" spans="1:28" s="536" customFormat="1" ht="12" x14ac:dyDescent="0.2">
      <c r="A140" s="605"/>
      <c r="B140" s="552"/>
      <c r="C140" s="1822" t="s">
        <v>348</v>
      </c>
      <c r="D140" s="1822"/>
      <c r="E140" s="1822"/>
      <c r="F140" s="562" t="s">
        <v>315</v>
      </c>
      <c r="G140" s="562" t="s">
        <v>736</v>
      </c>
      <c r="H140" s="562" t="s">
        <v>313</v>
      </c>
      <c r="I140" s="562" t="s">
        <v>8986</v>
      </c>
      <c r="J140" s="604"/>
      <c r="K140" s="562"/>
      <c r="L140" s="604"/>
      <c r="M140" s="562"/>
      <c r="N140" s="602"/>
      <c r="T140" s="674"/>
      <c r="U140" s="675"/>
      <c r="V140" s="675"/>
      <c r="Z140" s="537" t="s">
        <v>348</v>
      </c>
      <c r="AB140" s="675"/>
    </row>
    <row r="141" spans="1:28" s="536" customFormat="1" ht="12" x14ac:dyDescent="0.2">
      <c r="A141" s="605"/>
      <c r="B141" s="552"/>
      <c r="C141" s="1828" t="s">
        <v>318</v>
      </c>
      <c r="D141" s="1828"/>
      <c r="E141" s="1828"/>
      <c r="F141" s="608"/>
      <c r="G141" s="608"/>
      <c r="H141" s="608"/>
      <c r="I141" s="608"/>
      <c r="J141" s="607">
        <v>2100</v>
      </c>
      <c r="K141" s="608"/>
      <c r="L141" s="607">
        <v>326.55</v>
      </c>
      <c r="M141" s="608"/>
      <c r="N141" s="606"/>
      <c r="T141" s="674"/>
      <c r="U141" s="675"/>
      <c r="V141" s="675"/>
      <c r="AA141" s="537" t="s">
        <v>318</v>
      </c>
      <c r="AB141" s="675"/>
    </row>
    <row r="142" spans="1:28" s="536" customFormat="1" ht="12" x14ac:dyDescent="0.2">
      <c r="A142" s="605"/>
      <c r="B142" s="552"/>
      <c r="C142" s="1822" t="s">
        <v>319</v>
      </c>
      <c r="D142" s="1822"/>
      <c r="E142" s="1822"/>
      <c r="F142" s="562"/>
      <c r="G142" s="562"/>
      <c r="H142" s="562"/>
      <c r="I142" s="562"/>
      <c r="J142" s="604"/>
      <c r="K142" s="562"/>
      <c r="L142" s="604">
        <v>44.08</v>
      </c>
      <c r="M142" s="562"/>
      <c r="N142" s="602"/>
      <c r="T142" s="674"/>
      <c r="U142" s="675"/>
      <c r="V142" s="675"/>
      <c r="Z142" s="537" t="s">
        <v>319</v>
      </c>
      <c r="AB142" s="675"/>
    </row>
    <row r="143" spans="1:28" s="536" customFormat="1" ht="33.75" x14ac:dyDescent="0.2">
      <c r="A143" s="605"/>
      <c r="B143" s="552" t="s">
        <v>460</v>
      </c>
      <c r="C143" s="1822" t="s">
        <v>461</v>
      </c>
      <c r="D143" s="1822"/>
      <c r="E143" s="1822"/>
      <c r="F143" s="562" t="s">
        <v>322</v>
      </c>
      <c r="G143" s="562" t="s">
        <v>462</v>
      </c>
      <c r="H143" s="562"/>
      <c r="I143" s="562" t="s">
        <v>462</v>
      </c>
      <c r="J143" s="604"/>
      <c r="K143" s="562"/>
      <c r="L143" s="604">
        <v>40.549999999999997</v>
      </c>
      <c r="M143" s="562"/>
      <c r="N143" s="602"/>
      <c r="T143" s="674"/>
      <c r="U143" s="675"/>
      <c r="V143" s="675"/>
      <c r="Z143" s="537" t="s">
        <v>461</v>
      </c>
      <c r="AB143" s="675"/>
    </row>
    <row r="144" spans="1:28" s="536" customFormat="1" ht="33.75" x14ac:dyDescent="0.2">
      <c r="A144" s="605"/>
      <c r="B144" s="552" t="s">
        <v>463</v>
      </c>
      <c r="C144" s="1822" t="s">
        <v>464</v>
      </c>
      <c r="D144" s="1822"/>
      <c r="E144" s="1822"/>
      <c r="F144" s="562" t="s">
        <v>322</v>
      </c>
      <c r="G144" s="562" t="s">
        <v>465</v>
      </c>
      <c r="H144" s="562"/>
      <c r="I144" s="562" t="s">
        <v>465</v>
      </c>
      <c r="J144" s="604"/>
      <c r="K144" s="562"/>
      <c r="L144" s="604">
        <v>20.28</v>
      </c>
      <c r="M144" s="562"/>
      <c r="N144" s="602"/>
      <c r="T144" s="674"/>
      <c r="U144" s="675"/>
      <c r="V144" s="675"/>
      <c r="Z144" s="537" t="s">
        <v>464</v>
      </c>
      <c r="AB144" s="675"/>
    </row>
    <row r="145" spans="1:28" s="536" customFormat="1" ht="12" x14ac:dyDescent="0.2">
      <c r="A145" s="569"/>
      <c r="B145" s="683"/>
      <c r="C145" s="1823" t="s">
        <v>327</v>
      </c>
      <c r="D145" s="1823"/>
      <c r="E145" s="1823"/>
      <c r="F145" s="573"/>
      <c r="G145" s="573"/>
      <c r="H145" s="573"/>
      <c r="I145" s="573"/>
      <c r="J145" s="572"/>
      <c r="K145" s="573"/>
      <c r="L145" s="572">
        <v>387.38</v>
      </c>
      <c r="M145" s="608"/>
      <c r="N145" s="570"/>
      <c r="T145" s="674"/>
      <c r="U145" s="675"/>
      <c r="V145" s="675"/>
      <c r="AB145" s="675" t="s">
        <v>327</v>
      </c>
    </row>
    <row r="146" spans="1:28" s="536" customFormat="1" ht="33.75" x14ac:dyDescent="0.2">
      <c r="A146" s="575" t="s">
        <v>195</v>
      </c>
      <c r="B146" s="684" t="s">
        <v>1095</v>
      </c>
      <c r="C146" s="1823" t="s">
        <v>1096</v>
      </c>
      <c r="D146" s="1823"/>
      <c r="E146" s="1823"/>
      <c r="F146" s="573" t="s">
        <v>641</v>
      </c>
      <c r="G146" s="573"/>
      <c r="H146" s="573"/>
      <c r="I146" s="573" t="s">
        <v>8987</v>
      </c>
      <c r="J146" s="572">
        <v>55.26</v>
      </c>
      <c r="K146" s="573"/>
      <c r="L146" s="572">
        <v>7561.78</v>
      </c>
      <c r="M146" s="573"/>
      <c r="N146" s="570"/>
      <c r="T146" s="674"/>
      <c r="U146" s="675"/>
      <c r="V146" s="675" t="s">
        <v>1096</v>
      </c>
      <c r="AB146" s="675"/>
    </row>
    <row r="147" spans="1:28" s="536" customFormat="1" ht="12" x14ac:dyDescent="0.2">
      <c r="A147" s="569"/>
      <c r="B147" s="683"/>
      <c r="C147" s="689" t="s">
        <v>2820</v>
      </c>
      <c r="D147" s="690"/>
      <c r="E147" s="690"/>
      <c r="F147" s="563"/>
      <c r="G147" s="563"/>
      <c r="H147" s="563"/>
      <c r="I147" s="563"/>
      <c r="J147" s="566"/>
      <c r="K147" s="563"/>
      <c r="L147" s="566"/>
      <c r="M147" s="565"/>
      <c r="N147" s="564"/>
      <c r="T147" s="674"/>
      <c r="U147" s="675"/>
      <c r="V147" s="675"/>
      <c r="AB147" s="675"/>
    </row>
    <row r="148" spans="1:28" s="536" customFormat="1" ht="12" x14ac:dyDescent="0.2">
      <c r="A148" s="676"/>
      <c r="B148" s="682"/>
      <c r="C148" s="1822" t="s">
        <v>8988</v>
      </c>
      <c r="D148" s="1822"/>
      <c r="E148" s="1822"/>
      <c r="F148" s="1822"/>
      <c r="G148" s="1822"/>
      <c r="H148" s="1822"/>
      <c r="I148" s="1822"/>
      <c r="J148" s="1822"/>
      <c r="K148" s="1822"/>
      <c r="L148" s="1822"/>
      <c r="M148" s="1822"/>
      <c r="N148" s="1827"/>
      <c r="T148" s="674"/>
      <c r="U148" s="675"/>
      <c r="V148" s="675"/>
      <c r="W148" s="537" t="s">
        <v>8988</v>
      </c>
      <c r="AB148" s="675"/>
    </row>
    <row r="149" spans="1:28" s="536" customFormat="1" ht="22.5" x14ac:dyDescent="0.2">
      <c r="A149" s="575" t="s">
        <v>196</v>
      </c>
      <c r="B149" s="684" t="s">
        <v>6735</v>
      </c>
      <c r="C149" s="1823" t="s">
        <v>6736</v>
      </c>
      <c r="D149" s="1823"/>
      <c r="E149" s="1823"/>
      <c r="F149" s="573" t="s">
        <v>509</v>
      </c>
      <c r="G149" s="573"/>
      <c r="H149" s="573"/>
      <c r="I149" s="573" t="s">
        <v>8989</v>
      </c>
      <c r="J149" s="572"/>
      <c r="K149" s="573"/>
      <c r="L149" s="572"/>
      <c r="M149" s="573"/>
      <c r="N149" s="570"/>
      <c r="T149" s="674"/>
      <c r="U149" s="675"/>
      <c r="V149" s="675" t="s">
        <v>6736</v>
      </c>
      <c r="AB149" s="675"/>
    </row>
    <row r="150" spans="1:28" s="536" customFormat="1" ht="12" x14ac:dyDescent="0.2">
      <c r="A150" s="676"/>
      <c r="B150" s="682"/>
      <c r="C150" s="1822" t="s">
        <v>8990</v>
      </c>
      <c r="D150" s="1822"/>
      <c r="E150" s="1822"/>
      <c r="F150" s="1822"/>
      <c r="G150" s="1822"/>
      <c r="H150" s="1822"/>
      <c r="I150" s="1822"/>
      <c r="J150" s="1822"/>
      <c r="K150" s="1822"/>
      <c r="L150" s="1822"/>
      <c r="M150" s="1822"/>
      <c r="N150" s="1827"/>
      <c r="T150" s="674"/>
      <c r="U150" s="675"/>
      <c r="V150" s="675"/>
      <c r="W150" s="537" t="s">
        <v>8990</v>
      </c>
      <c r="AB150" s="675"/>
    </row>
    <row r="151" spans="1:28" s="536" customFormat="1" ht="33.75" x14ac:dyDescent="0.2">
      <c r="A151" s="609"/>
      <c r="B151" s="552" t="s">
        <v>310</v>
      </c>
      <c r="C151" s="1822" t="s">
        <v>311</v>
      </c>
      <c r="D151" s="1822"/>
      <c r="E151" s="1822"/>
      <c r="F151" s="1822"/>
      <c r="G151" s="1822"/>
      <c r="H151" s="1822"/>
      <c r="I151" s="1822"/>
      <c r="J151" s="1822"/>
      <c r="K151" s="1822"/>
      <c r="L151" s="1822"/>
      <c r="M151" s="1822"/>
      <c r="N151" s="1827"/>
      <c r="T151" s="674"/>
      <c r="U151" s="675"/>
      <c r="V151" s="675"/>
      <c r="X151" s="537" t="s">
        <v>311</v>
      </c>
      <c r="AB151" s="675"/>
    </row>
    <row r="152" spans="1:28" s="536" customFormat="1" ht="12" x14ac:dyDescent="0.2">
      <c r="A152" s="605"/>
      <c r="B152" s="552" t="s">
        <v>185</v>
      </c>
      <c r="C152" s="1822" t="s">
        <v>312</v>
      </c>
      <c r="D152" s="1822"/>
      <c r="E152" s="1822"/>
      <c r="F152" s="562"/>
      <c r="G152" s="562"/>
      <c r="H152" s="562"/>
      <c r="I152" s="562"/>
      <c r="J152" s="604">
        <v>106.88</v>
      </c>
      <c r="K152" s="562" t="s">
        <v>313</v>
      </c>
      <c r="L152" s="604">
        <v>170.21</v>
      </c>
      <c r="M152" s="562"/>
      <c r="N152" s="602"/>
      <c r="T152" s="674"/>
      <c r="U152" s="675"/>
      <c r="V152" s="675"/>
      <c r="Y152" s="537" t="s">
        <v>312</v>
      </c>
      <c r="AB152" s="675"/>
    </row>
    <row r="153" spans="1:28" s="536" customFormat="1" ht="12" x14ac:dyDescent="0.2">
      <c r="A153" s="605"/>
      <c r="B153" s="552" t="s">
        <v>186</v>
      </c>
      <c r="C153" s="1822" t="s">
        <v>344</v>
      </c>
      <c r="D153" s="1822"/>
      <c r="E153" s="1822"/>
      <c r="F153" s="562"/>
      <c r="G153" s="562"/>
      <c r="H153" s="562"/>
      <c r="I153" s="562"/>
      <c r="J153" s="604">
        <v>241.58</v>
      </c>
      <c r="K153" s="562" t="s">
        <v>313</v>
      </c>
      <c r="L153" s="604">
        <v>384.72</v>
      </c>
      <c r="M153" s="562"/>
      <c r="N153" s="602"/>
      <c r="T153" s="674"/>
      <c r="U153" s="675"/>
      <c r="V153" s="675"/>
      <c r="Y153" s="537" t="s">
        <v>344</v>
      </c>
      <c r="AB153" s="675"/>
    </row>
    <row r="154" spans="1:28" s="536" customFormat="1" ht="12" x14ac:dyDescent="0.2">
      <c r="A154" s="605"/>
      <c r="B154" s="552" t="s">
        <v>187</v>
      </c>
      <c r="C154" s="1822" t="s">
        <v>345</v>
      </c>
      <c r="D154" s="1822"/>
      <c r="E154" s="1822"/>
      <c r="F154" s="562"/>
      <c r="G154" s="562"/>
      <c r="H154" s="562"/>
      <c r="I154" s="562"/>
      <c r="J154" s="604">
        <v>26.36</v>
      </c>
      <c r="K154" s="562" t="s">
        <v>313</v>
      </c>
      <c r="L154" s="604">
        <v>41.98</v>
      </c>
      <c r="M154" s="562"/>
      <c r="N154" s="602"/>
      <c r="T154" s="674"/>
      <c r="U154" s="675"/>
      <c r="V154" s="675"/>
      <c r="Y154" s="537" t="s">
        <v>345</v>
      </c>
      <c r="AB154" s="675"/>
    </row>
    <row r="155" spans="1:28" s="536" customFormat="1" ht="12" x14ac:dyDescent="0.2">
      <c r="A155" s="605"/>
      <c r="B155" s="552"/>
      <c r="C155" s="1822" t="s">
        <v>314</v>
      </c>
      <c r="D155" s="1822"/>
      <c r="E155" s="1822"/>
      <c r="F155" s="562" t="s">
        <v>315</v>
      </c>
      <c r="G155" s="562" t="s">
        <v>6737</v>
      </c>
      <c r="H155" s="562" t="s">
        <v>313</v>
      </c>
      <c r="I155" s="562" t="s">
        <v>8991</v>
      </c>
      <c r="J155" s="604"/>
      <c r="K155" s="562"/>
      <c r="L155" s="604"/>
      <c r="M155" s="562"/>
      <c r="N155" s="602"/>
      <c r="T155" s="674"/>
      <c r="U155" s="675"/>
      <c r="V155" s="675"/>
      <c r="Z155" s="537" t="s">
        <v>314</v>
      </c>
      <c r="AB155" s="675"/>
    </row>
    <row r="156" spans="1:28" s="536" customFormat="1" ht="12" x14ac:dyDescent="0.2">
      <c r="A156" s="605"/>
      <c r="B156" s="552"/>
      <c r="C156" s="1822" t="s">
        <v>348</v>
      </c>
      <c r="D156" s="1822"/>
      <c r="E156" s="1822"/>
      <c r="F156" s="562" t="s">
        <v>315</v>
      </c>
      <c r="G156" s="562" t="s">
        <v>6738</v>
      </c>
      <c r="H156" s="562" t="s">
        <v>313</v>
      </c>
      <c r="I156" s="562" t="s">
        <v>8992</v>
      </c>
      <c r="J156" s="604"/>
      <c r="K156" s="562"/>
      <c r="L156" s="604"/>
      <c r="M156" s="562"/>
      <c r="N156" s="602"/>
      <c r="T156" s="674"/>
      <c r="U156" s="675"/>
      <c r="V156" s="675"/>
      <c r="Z156" s="537" t="s">
        <v>348</v>
      </c>
      <c r="AB156" s="675"/>
    </row>
    <row r="157" spans="1:28" s="536" customFormat="1" ht="12" x14ac:dyDescent="0.2">
      <c r="A157" s="605"/>
      <c r="B157" s="552"/>
      <c r="C157" s="1828" t="s">
        <v>318</v>
      </c>
      <c r="D157" s="1828"/>
      <c r="E157" s="1828"/>
      <c r="F157" s="608"/>
      <c r="G157" s="608"/>
      <c r="H157" s="608"/>
      <c r="I157" s="608"/>
      <c r="J157" s="607">
        <v>348.46</v>
      </c>
      <c r="K157" s="608"/>
      <c r="L157" s="607">
        <v>554.92999999999995</v>
      </c>
      <c r="M157" s="608"/>
      <c r="N157" s="606"/>
      <c r="T157" s="674"/>
      <c r="U157" s="675"/>
      <c r="V157" s="675"/>
      <c r="AA157" s="537" t="s">
        <v>318</v>
      </c>
      <c r="AB157" s="675"/>
    </row>
    <row r="158" spans="1:28" s="536" customFormat="1" ht="12" x14ac:dyDescent="0.2">
      <c r="A158" s="605"/>
      <c r="B158" s="552"/>
      <c r="C158" s="1822" t="s">
        <v>319</v>
      </c>
      <c r="D158" s="1822"/>
      <c r="E158" s="1822"/>
      <c r="F158" s="562"/>
      <c r="G158" s="562"/>
      <c r="H158" s="562"/>
      <c r="I158" s="562"/>
      <c r="J158" s="604"/>
      <c r="K158" s="562"/>
      <c r="L158" s="604">
        <v>212.19</v>
      </c>
      <c r="M158" s="562"/>
      <c r="N158" s="602"/>
      <c r="T158" s="674"/>
      <c r="U158" s="675"/>
      <c r="V158" s="675"/>
      <c r="Z158" s="537" t="s">
        <v>319</v>
      </c>
      <c r="AB158" s="675"/>
    </row>
    <row r="159" spans="1:28" s="536" customFormat="1" ht="33.75" x14ac:dyDescent="0.2">
      <c r="A159" s="605"/>
      <c r="B159" s="552" t="s">
        <v>460</v>
      </c>
      <c r="C159" s="1822" t="s">
        <v>461</v>
      </c>
      <c r="D159" s="1822"/>
      <c r="E159" s="1822"/>
      <c r="F159" s="562" t="s">
        <v>322</v>
      </c>
      <c r="G159" s="562" t="s">
        <v>462</v>
      </c>
      <c r="H159" s="562"/>
      <c r="I159" s="562" t="s">
        <v>462</v>
      </c>
      <c r="J159" s="604"/>
      <c r="K159" s="562"/>
      <c r="L159" s="604">
        <v>195.21</v>
      </c>
      <c r="M159" s="562"/>
      <c r="N159" s="602"/>
      <c r="T159" s="674"/>
      <c r="U159" s="675"/>
      <c r="V159" s="675"/>
      <c r="Z159" s="537" t="s">
        <v>461</v>
      </c>
      <c r="AB159" s="675"/>
    </row>
    <row r="160" spans="1:28" s="536" customFormat="1" ht="33.75" x14ac:dyDescent="0.2">
      <c r="A160" s="605"/>
      <c r="B160" s="552" t="s">
        <v>463</v>
      </c>
      <c r="C160" s="1822" t="s">
        <v>464</v>
      </c>
      <c r="D160" s="1822"/>
      <c r="E160" s="1822"/>
      <c r="F160" s="562" t="s">
        <v>322</v>
      </c>
      <c r="G160" s="562" t="s">
        <v>465</v>
      </c>
      <c r="H160" s="562"/>
      <c r="I160" s="562" t="s">
        <v>465</v>
      </c>
      <c r="J160" s="604"/>
      <c r="K160" s="562"/>
      <c r="L160" s="604">
        <v>97.61</v>
      </c>
      <c r="M160" s="562"/>
      <c r="N160" s="602"/>
      <c r="T160" s="674"/>
      <c r="U160" s="675"/>
      <c r="V160" s="675"/>
      <c r="Z160" s="537" t="s">
        <v>464</v>
      </c>
      <c r="AB160" s="675"/>
    </row>
    <row r="161" spans="1:30" s="536" customFormat="1" ht="12" x14ac:dyDescent="0.2">
      <c r="A161" s="569"/>
      <c r="B161" s="683"/>
      <c r="C161" s="1823" t="s">
        <v>327</v>
      </c>
      <c r="D161" s="1823"/>
      <c r="E161" s="1823"/>
      <c r="F161" s="573"/>
      <c r="G161" s="573"/>
      <c r="H161" s="573"/>
      <c r="I161" s="573"/>
      <c r="J161" s="572"/>
      <c r="K161" s="573"/>
      <c r="L161" s="572">
        <v>847.75</v>
      </c>
      <c r="M161" s="608"/>
      <c r="N161" s="570"/>
      <c r="T161" s="674"/>
      <c r="U161" s="675"/>
      <c r="V161" s="675"/>
      <c r="AB161" s="675" t="s">
        <v>327</v>
      </c>
    </row>
    <row r="162" spans="1:30" s="536" customFormat="1" ht="1.5" customHeight="1" x14ac:dyDescent="0.2">
      <c r="A162" s="563"/>
      <c r="B162" s="683"/>
      <c r="C162" s="683"/>
      <c r="D162" s="683"/>
      <c r="E162" s="683"/>
      <c r="F162" s="563"/>
      <c r="G162" s="563"/>
      <c r="H162" s="563"/>
      <c r="I162" s="563"/>
      <c r="J162" s="546"/>
      <c r="K162" s="563"/>
      <c r="L162" s="546"/>
      <c r="M162" s="562"/>
      <c r="N162" s="546"/>
      <c r="T162" s="674"/>
      <c r="U162" s="675"/>
      <c r="V162" s="675"/>
      <c r="AB162" s="675"/>
    </row>
    <row r="163" spans="1:30" s="536" customFormat="1" ht="12" x14ac:dyDescent="0.2">
      <c r="A163" s="557"/>
      <c r="B163" s="556"/>
      <c r="C163" s="1823" t="s">
        <v>1021</v>
      </c>
      <c r="D163" s="1823"/>
      <c r="E163" s="1823"/>
      <c r="F163" s="1823"/>
      <c r="G163" s="1823"/>
      <c r="H163" s="1823"/>
      <c r="I163" s="1823"/>
      <c r="J163" s="1823"/>
      <c r="K163" s="1823"/>
      <c r="L163" s="555"/>
      <c r="M163" s="554"/>
      <c r="N163" s="553"/>
      <c r="T163" s="674"/>
      <c r="U163" s="675"/>
      <c r="V163" s="675"/>
      <c r="AB163" s="675"/>
      <c r="AC163" s="675" t="s">
        <v>1021</v>
      </c>
    </row>
    <row r="164" spans="1:30" s="536" customFormat="1" ht="12" x14ac:dyDescent="0.2">
      <c r="A164" s="548"/>
      <c r="B164" s="552"/>
      <c r="C164" s="1822" t="s">
        <v>403</v>
      </c>
      <c r="D164" s="1822"/>
      <c r="E164" s="1822"/>
      <c r="F164" s="1822"/>
      <c r="G164" s="1822"/>
      <c r="H164" s="1822"/>
      <c r="I164" s="1822"/>
      <c r="J164" s="1822"/>
      <c r="K164" s="1822"/>
      <c r="L164" s="551">
        <v>20155.14</v>
      </c>
      <c r="M164" s="550"/>
      <c r="N164" s="549"/>
      <c r="T164" s="674"/>
      <c r="U164" s="675"/>
      <c r="V164" s="675"/>
      <c r="AB164" s="675"/>
      <c r="AC164" s="675"/>
      <c r="AD164" s="537" t="s">
        <v>403</v>
      </c>
    </row>
    <row r="165" spans="1:30" s="536" customFormat="1" ht="12" x14ac:dyDescent="0.2">
      <c r="A165" s="548"/>
      <c r="B165" s="552"/>
      <c r="C165" s="1822" t="s">
        <v>8993</v>
      </c>
      <c r="D165" s="1822"/>
      <c r="E165" s="1822"/>
      <c r="F165" s="1822"/>
      <c r="G165" s="1822"/>
      <c r="H165" s="1822"/>
      <c r="I165" s="1822"/>
      <c r="J165" s="1822"/>
      <c r="K165" s="1822"/>
      <c r="L165" s="551"/>
      <c r="M165" s="550"/>
      <c r="N165" s="549"/>
      <c r="T165" s="674"/>
      <c r="U165" s="675"/>
      <c r="V165" s="675"/>
      <c r="AB165" s="675"/>
      <c r="AC165" s="675"/>
      <c r="AD165" s="537" t="s">
        <v>8993</v>
      </c>
    </row>
    <row r="166" spans="1:30" s="536" customFormat="1" ht="12" x14ac:dyDescent="0.2">
      <c r="A166" s="548"/>
      <c r="B166" s="552"/>
      <c r="C166" s="1822" t="s">
        <v>404</v>
      </c>
      <c r="D166" s="1822"/>
      <c r="E166" s="1822"/>
      <c r="F166" s="1822"/>
      <c r="G166" s="1822"/>
      <c r="H166" s="1822"/>
      <c r="I166" s="1822"/>
      <c r="J166" s="1822"/>
      <c r="K166" s="1822"/>
      <c r="L166" s="551">
        <v>1681.99</v>
      </c>
      <c r="M166" s="550"/>
      <c r="N166" s="549"/>
      <c r="T166" s="674"/>
      <c r="U166" s="675"/>
      <c r="V166" s="675"/>
      <c r="AB166" s="675"/>
      <c r="AC166" s="675"/>
      <c r="AD166" s="537" t="s">
        <v>404</v>
      </c>
    </row>
    <row r="167" spans="1:30" s="536" customFormat="1" ht="12" x14ac:dyDescent="0.2">
      <c r="A167" s="548"/>
      <c r="B167" s="552"/>
      <c r="C167" s="1822" t="s">
        <v>405</v>
      </c>
      <c r="D167" s="1822"/>
      <c r="E167" s="1822"/>
      <c r="F167" s="1822"/>
      <c r="G167" s="1822"/>
      <c r="H167" s="1822"/>
      <c r="I167" s="1822"/>
      <c r="J167" s="1822"/>
      <c r="K167" s="1822"/>
      <c r="L167" s="551">
        <v>2333.14</v>
      </c>
      <c r="M167" s="550"/>
      <c r="N167" s="549"/>
      <c r="T167" s="674"/>
      <c r="U167" s="675"/>
      <c r="V167" s="675"/>
      <c r="AB167" s="675"/>
      <c r="AC167" s="675"/>
      <c r="AD167" s="537" t="s">
        <v>405</v>
      </c>
    </row>
    <row r="168" spans="1:30" s="536" customFormat="1" ht="12" x14ac:dyDescent="0.2">
      <c r="A168" s="548"/>
      <c r="B168" s="552"/>
      <c r="C168" s="1822" t="s">
        <v>8994</v>
      </c>
      <c r="D168" s="1822"/>
      <c r="E168" s="1822"/>
      <c r="F168" s="1822"/>
      <c r="G168" s="1822"/>
      <c r="H168" s="1822"/>
      <c r="I168" s="1822"/>
      <c r="J168" s="1822"/>
      <c r="K168" s="1822"/>
      <c r="L168" s="551">
        <v>310.22000000000003</v>
      </c>
      <c r="M168" s="550"/>
      <c r="N168" s="549"/>
      <c r="T168" s="674"/>
      <c r="U168" s="675"/>
      <c r="V168" s="675"/>
      <c r="AB168" s="675"/>
      <c r="AC168" s="675"/>
      <c r="AD168" s="537" t="s">
        <v>8994</v>
      </c>
    </row>
    <row r="169" spans="1:30" s="536" customFormat="1" ht="12" x14ac:dyDescent="0.2">
      <c r="A169" s="548"/>
      <c r="B169" s="552"/>
      <c r="C169" s="1822" t="s">
        <v>480</v>
      </c>
      <c r="D169" s="1822"/>
      <c r="E169" s="1822"/>
      <c r="F169" s="1822"/>
      <c r="G169" s="1822"/>
      <c r="H169" s="1822"/>
      <c r="I169" s="1822"/>
      <c r="J169" s="1822"/>
      <c r="K169" s="1822"/>
      <c r="L169" s="551">
        <v>16140.01</v>
      </c>
      <c r="M169" s="550"/>
      <c r="N169" s="549"/>
      <c r="T169" s="674"/>
      <c r="U169" s="675"/>
      <c r="V169" s="675"/>
      <c r="AB169" s="675"/>
      <c r="AC169" s="675"/>
      <c r="AD169" s="537" t="s">
        <v>480</v>
      </c>
    </row>
    <row r="170" spans="1:30" s="536" customFormat="1" ht="12" x14ac:dyDescent="0.2">
      <c r="A170" s="548"/>
      <c r="B170" s="552"/>
      <c r="C170" s="1822" t="s">
        <v>407</v>
      </c>
      <c r="D170" s="1822"/>
      <c r="E170" s="1822"/>
      <c r="F170" s="1822"/>
      <c r="G170" s="1822"/>
      <c r="H170" s="1822"/>
      <c r="I170" s="1822"/>
      <c r="J170" s="1822"/>
      <c r="K170" s="1822"/>
      <c r="L170" s="551">
        <v>22788.38</v>
      </c>
      <c r="M170" s="550"/>
      <c r="N170" s="549"/>
      <c r="T170" s="674"/>
      <c r="U170" s="675"/>
      <c r="V170" s="675"/>
      <c r="AB170" s="675"/>
      <c r="AC170" s="675"/>
      <c r="AD170" s="537" t="s">
        <v>407</v>
      </c>
    </row>
    <row r="171" spans="1:30" s="536" customFormat="1" ht="12" x14ac:dyDescent="0.2">
      <c r="A171" s="548"/>
      <c r="B171" s="552"/>
      <c r="C171" s="1822" t="s">
        <v>8993</v>
      </c>
      <c r="D171" s="1822"/>
      <c r="E171" s="1822"/>
      <c r="F171" s="1822"/>
      <c r="G171" s="1822"/>
      <c r="H171" s="1822"/>
      <c r="I171" s="1822"/>
      <c r="J171" s="1822"/>
      <c r="K171" s="1822"/>
      <c r="L171" s="551"/>
      <c r="M171" s="550"/>
      <c r="N171" s="549"/>
      <c r="T171" s="674"/>
      <c r="U171" s="675"/>
      <c r="V171" s="675"/>
      <c r="AB171" s="675"/>
      <c r="AC171" s="675"/>
      <c r="AD171" s="537" t="s">
        <v>8993</v>
      </c>
    </row>
    <row r="172" spans="1:30" s="536" customFormat="1" ht="12" x14ac:dyDescent="0.2">
      <c r="A172" s="548"/>
      <c r="B172" s="552"/>
      <c r="C172" s="1822" t="s">
        <v>546</v>
      </c>
      <c r="D172" s="1822"/>
      <c r="E172" s="1822"/>
      <c r="F172" s="1822"/>
      <c r="G172" s="1822"/>
      <c r="H172" s="1822"/>
      <c r="I172" s="1822"/>
      <c r="J172" s="1822"/>
      <c r="K172" s="1822"/>
      <c r="L172" s="551">
        <v>1681.99</v>
      </c>
      <c r="M172" s="550"/>
      <c r="N172" s="549"/>
      <c r="T172" s="674"/>
      <c r="U172" s="675"/>
      <c r="V172" s="675"/>
      <c r="AB172" s="675"/>
      <c r="AC172" s="675"/>
      <c r="AD172" s="537" t="s">
        <v>546</v>
      </c>
    </row>
    <row r="173" spans="1:30" s="536" customFormat="1" ht="12" x14ac:dyDescent="0.2">
      <c r="A173" s="548"/>
      <c r="B173" s="552"/>
      <c r="C173" s="1822" t="s">
        <v>442</v>
      </c>
      <c r="D173" s="1822"/>
      <c r="E173" s="1822"/>
      <c r="F173" s="1822"/>
      <c r="G173" s="1822"/>
      <c r="H173" s="1822"/>
      <c r="I173" s="1822"/>
      <c r="J173" s="1822"/>
      <c r="K173" s="1822"/>
      <c r="L173" s="551">
        <v>2333.14</v>
      </c>
      <c r="M173" s="550"/>
      <c r="N173" s="549"/>
      <c r="T173" s="674"/>
      <c r="U173" s="675"/>
      <c r="V173" s="675"/>
      <c r="AB173" s="675"/>
      <c r="AC173" s="675"/>
      <c r="AD173" s="537" t="s">
        <v>442</v>
      </c>
    </row>
    <row r="174" spans="1:30" s="536" customFormat="1" ht="12" x14ac:dyDescent="0.2">
      <c r="A174" s="548"/>
      <c r="B174" s="552"/>
      <c r="C174" s="1822" t="s">
        <v>8995</v>
      </c>
      <c r="D174" s="1822"/>
      <c r="E174" s="1822"/>
      <c r="F174" s="1822"/>
      <c r="G174" s="1822"/>
      <c r="H174" s="1822"/>
      <c r="I174" s="1822"/>
      <c r="J174" s="1822"/>
      <c r="K174" s="1822"/>
      <c r="L174" s="551">
        <v>310.22000000000003</v>
      </c>
      <c r="M174" s="550"/>
      <c r="N174" s="549"/>
      <c r="T174" s="674"/>
      <c r="U174" s="675"/>
      <c r="V174" s="675"/>
      <c r="AB174" s="675"/>
      <c r="AC174" s="675"/>
      <c r="AD174" s="537" t="s">
        <v>8995</v>
      </c>
    </row>
    <row r="175" spans="1:30" s="536" customFormat="1" ht="12" x14ac:dyDescent="0.2">
      <c r="A175" s="548"/>
      <c r="B175" s="552"/>
      <c r="C175" s="1822" t="s">
        <v>547</v>
      </c>
      <c r="D175" s="1822"/>
      <c r="E175" s="1822"/>
      <c r="F175" s="1822"/>
      <c r="G175" s="1822"/>
      <c r="H175" s="1822"/>
      <c r="I175" s="1822"/>
      <c r="J175" s="1822"/>
      <c r="K175" s="1822"/>
      <c r="L175" s="551">
        <v>16140.01</v>
      </c>
      <c r="M175" s="550"/>
      <c r="N175" s="549"/>
      <c r="T175" s="674"/>
      <c r="U175" s="675"/>
      <c r="V175" s="675"/>
      <c r="AB175" s="675"/>
      <c r="AC175" s="675"/>
      <c r="AD175" s="537" t="s">
        <v>547</v>
      </c>
    </row>
    <row r="176" spans="1:30" s="536" customFormat="1" ht="12" x14ac:dyDescent="0.2">
      <c r="A176" s="548"/>
      <c r="B176" s="552"/>
      <c r="C176" s="1822" t="s">
        <v>443</v>
      </c>
      <c r="D176" s="1822"/>
      <c r="E176" s="1822"/>
      <c r="F176" s="1822"/>
      <c r="G176" s="1822"/>
      <c r="H176" s="1822"/>
      <c r="I176" s="1822"/>
      <c r="J176" s="1822"/>
      <c r="K176" s="1822"/>
      <c r="L176" s="551">
        <v>1790.01</v>
      </c>
      <c r="M176" s="550"/>
      <c r="N176" s="549"/>
      <c r="T176" s="674"/>
      <c r="U176" s="675"/>
      <c r="V176" s="675"/>
      <c r="AB176" s="675"/>
      <c r="AC176" s="675"/>
      <c r="AD176" s="537" t="s">
        <v>443</v>
      </c>
    </row>
    <row r="177" spans="1:32" s="536" customFormat="1" ht="12" x14ac:dyDescent="0.2">
      <c r="A177" s="548"/>
      <c r="B177" s="552"/>
      <c r="C177" s="1822" t="s">
        <v>444</v>
      </c>
      <c r="D177" s="1822"/>
      <c r="E177" s="1822"/>
      <c r="F177" s="1822"/>
      <c r="G177" s="1822"/>
      <c r="H177" s="1822"/>
      <c r="I177" s="1822"/>
      <c r="J177" s="1822"/>
      <c r="K177" s="1822"/>
      <c r="L177" s="551">
        <v>843.23</v>
      </c>
      <c r="M177" s="550"/>
      <c r="N177" s="549"/>
      <c r="T177" s="674"/>
      <c r="U177" s="675"/>
      <c r="V177" s="675"/>
      <c r="AB177" s="675"/>
      <c r="AC177" s="675"/>
      <c r="AD177" s="537" t="s">
        <v>444</v>
      </c>
    </row>
    <row r="178" spans="1:32" s="536" customFormat="1" ht="12" x14ac:dyDescent="0.2">
      <c r="A178" s="548"/>
      <c r="B178" s="552"/>
      <c r="C178" s="1822" t="s">
        <v>415</v>
      </c>
      <c r="D178" s="1822"/>
      <c r="E178" s="1822"/>
      <c r="F178" s="1822"/>
      <c r="G178" s="1822"/>
      <c r="H178" s="1822"/>
      <c r="I178" s="1822"/>
      <c r="J178" s="1822"/>
      <c r="K178" s="1822"/>
      <c r="L178" s="551">
        <v>1992.21</v>
      </c>
      <c r="M178" s="550"/>
      <c r="N178" s="549"/>
      <c r="T178" s="674"/>
      <c r="U178" s="675"/>
      <c r="V178" s="675"/>
      <c r="AB178" s="675"/>
      <c r="AC178" s="675"/>
      <c r="AD178" s="537" t="s">
        <v>415</v>
      </c>
    </row>
    <row r="179" spans="1:32" s="536" customFormat="1" ht="12" x14ac:dyDescent="0.2">
      <c r="A179" s="548"/>
      <c r="B179" s="552"/>
      <c r="C179" s="1822" t="s">
        <v>416</v>
      </c>
      <c r="D179" s="1822"/>
      <c r="E179" s="1822"/>
      <c r="F179" s="1822"/>
      <c r="G179" s="1822"/>
      <c r="H179" s="1822"/>
      <c r="I179" s="1822"/>
      <c r="J179" s="1822"/>
      <c r="K179" s="1822"/>
      <c r="L179" s="551">
        <v>1790.01</v>
      </c>
      <c r="M179" s="550"/>
      <c r="N179" s="549"/>
      <c r="T179" s="674"/>
      <c r="U179" s="675"/>
      <c r="V179" s="675"/>
      <c r="AB179" s="675"/>
      <c r="AC179" s="675"/>
      <c r="AD179" s="537" t="s">
        <v>416</v>
      </c>
    </row>
    <row r="180" spans="1:32" s="536" customFormat="1" ht="12" x14ac:dyDescent="0.2">
      <c r="A180" s="548"/>
      <c r="B180" s="552"/>
      <c r="C180" s="1822" t="s">
        <v>417</v>
      </c>
      <c r="D180" s="1822"/>
      <c r="E180" s="1822"/>
      <c r="F180" s="1822"/>
      <c r="G180" s="1822"/>
      <c r="H180" s="1822"/>
      <c r="I180" s="1822"/>
      <c r="J180" s="1822"/>
      <c r="K180" s="1822"/>
      <c r="L180" s="551">
        <v>843.23</v>
      </c>
      <c r="M180" s="550"/>
      <c r="N180" s="549"/>
      <c r="T180" s="674"/>
      <c r="U180" s="675"/>
      <c r="V180" s="675"/>
      <c r="AB180" s="675"/>
      <c r="AC180" s="675"/>
      <c r="AD180" s="537" t="s">
        <v>417</v>
      </c>
    </row>
    <row r="181" spans="1:32" s="536" customFormat="1" ht="12" x14ac:dyDescent="0.2">
      <c r="A181" s="548"/>
      <c r="B181" s="546"/>
      <c r="C181" s="1819" t="s">
        <v>1022</v>
      </c>
      <c r="D181" s="1819"/>
      <c r="E181" s="1819"/>
      <c r="F181" s="1819"/>
      <c r="G181" s="1819"/>
      <c r="H181" s="1819"/>
      <c r="I181" s="1819"/>
      <c r="J181" s="1819"/>
      <c r="K181" s="1819"/>
      <c r="L181" s="544">
        <v>22788.38</v>
      </c>
      <c r="M181" s="543"/>
      <c r="N181" s="681"/>
      <c r="T181" s="674"/>
      <c r="U181" s="675"/>
      <c r="V181" s="675"/>
      <c r="AB181" s="675"/>
      <c r="AC181" s="675"/>
      <c r="AE181" s="675" t="s">
        <v>1022</v>
      </c>
    </row>
    <row r="182" spans="1:32" s="536" customFormat="1" ht="12" x14ac:dyDescent="0.2">
      <c r="A182" s="1824" t="s">
        <v>6743</v>
      </c>
      <c r="B182" s="1825"/>
      <c r="C182" s="1825"/>
      <c r="D182" s="1825"/>
      <c r="E182" s="1825"/>
      <c r="F182" s="1825"/>
      <c r="G182" s="1825"/>
      <c r="H182" s="1825"/>
      <c r="I182" s="1825"/>
      <c r="J182" s="1825"/>
      <c r="K182" s="1825"/>
      <c r="L182" s="1825"/>
      <c r="M182" s="1825"/>
      <c r="N182" s="1826"/>
      <c r="T182" s="674" t="s">
        <v>6743</v>
      </c>
      <c r="U182" s="675"/>
      <c r="V182" s="675"/>
      <c r="AB182" s="675"/>
      <c r="AC182" s="675"/>
      <c r="AE182" s="675"/>
    </row>
    <row r="183" spans="1:32" s="536" customFormat="1" ht="12" x14ac:dyDescent="0.2">
      <c r="A183" s="1830" t="s">
        <v>6728</v>
      </c>
      <c r="B183" s="1831"/>
      <c r="C183" s="1831"/>
      <c r="D183" s="1831"/>
      <c r="E183" s="1831"/>
      <c r="F183" s="1831"/>
      <c r="G183" s="1831"/>
      <c r="H183" s="1831"/>
      <c r="I183" s="1831"/>
      <c r="J183" s="1831"/>
      <c r="K183" s="1831"/>
      <c r="L183" s="1831"/>
      <c r="M183" s="1831"/>
      <c r="N183" s="1832"/>
      <c r="T183" s="674"/>
      <c r="U183" s="675" t="s">
        <v>6728</v>
      </c>
      <c r="V183" s="675"/>
      <c r="AB183" s="675"/>
      <c r="AC183" s="675"/>
      <c r="AE183" s="675"/>
    </row>
    <row r="184" spans="1:32" s="536" customFormat="1" ht="56.25" x14ac:dyDescent="0.2">
      <c r="A184" s="575" t="s">
        <v>197</v>
      </c>
      <c r="B184" s="684" t="s">
        <v>6744</v>
      </c>
      <c r="C184" s="1823" t="s">
        <v>6745</v>
      </c>
      <c r="D184" s="1823"/>
      <c r="E184" s="1823"/>
      <c r="F184" s="573" t="s">
        <v>1110</v>
      </c>
      <c r="G184" s="573"/>
      <c r="H184" s="573"/>
      <c r="I184" s="573" t="s">
        <v>2441</v>
      </c>
      <c r="J184" s="572"/>
      <c r="K184" s="573"/>
      <c r="L184" s="572"/>
      <c r="M184" s="573"/>
      <c r="N184" s="570"/>
      <c r="T184" s="674"/>
      <c r="U184" s="675"/>
      <c r="V184" s="675" t="s">
        <v>6745</v>
      </c>
      <c r="AB184" s="675"/>
      <c r="AC184" s="675"/>
      <c r="AE184" s="675"/>
    </row>
    <row r="185" spans="1:32" s="536" customFormat="1" ht="12" x14ac:dyDescent="0.2">
      <c r="A185" s="676"/>
      <c r="B185" s="682"/>
      <c r="C185" s="1822" t="s">
        <v>4655</v>
      </c>
      <c r="D185" s="1822"/>
      <c r="E185" s="1822"/>
      <c r="F185" s="1822"/>
      <c r="G185" s="1822"/>
      <c r="H185" s="1822"/>
      <c r="I185" s="1822"/>
      <c r="J185" s="1822"/>
      <c r="K185" s="1822"/>
      <c r="L185" s="1822"/>
      <c r="M185" s="1822"/>
      <c r="N185" s="1827"/>
      <c r="T185" s="674"/>
      <c r="U185" s="675"/>
      <c r="V185" s="675"/>
      <c r="W185" s="537" t="s">
        <v>4655</v>
      </c>
      <c r="AB185" s="675"/>
      <c r="AC185" s="675"/>
      <c r="AE185" s="675"/>
    </row>
    <row r="186" spans="1:32" s="536" customFormat="1" ht="22.5" x14ac:dyDescent="0.2">
      <c r="A186" s="609"/>
      <c r="B186" s="552" t="s">
        <v>6746</v>
      </c>
      <c r="C186" s="1822" t="s">
        <v>523</v>
      </c>
      <c r="D186" s="1822"/>
      <c r="E186" s="1822"/>
      <c r="F186" s="1822"/>
      <c r="G186" s="1822"/>
      <c r="H186" s="1822"/>
      <c r="I186" s="1822"/>
      <c r="J186" s="1822"/>
      <c r="K186" s="1822"/>
      <c r="L186" s="1822"/>
      <c r="M186" s="1822"/>
      <c r="N186" s="1827"/>
      <c r="T186" s="674"/>
      <c r="U186" s="675"/>
      <c r="V186" s="675"/>
      <c r="X186" s="537" t="s">
        <v>523</v>
      </c>
      <c r="AB186" s="675"/>
      <c r="AC186" s="675"/>
      <c r="AE186" s="675"/>
    </row>
    <row r="187" spans="1:32" s="536" customFormat="1" ht="33.75" x14ac:dyDescent="0.2">
      <c r="A187" s="609"/>
      <c r="B187" s="552" t="s">
        <v>310</v>
      </c>
      <c r="C187" s="1822" t="s">
        <v>311</v>
      </c>
      <c r="D187" s="1822"/>
      <c r="E187" s="1822"/>
      <c r="F187" s="1822"/>
      <c r="G187" s="1822"/>
      <c r="H187" s="1822"/>
      <c r="I187" s="1822"/>
      <c r="J187" s="1822"/>
      <c r="K187" s="1822"/>
      <c r="L187" s="1822"/>
      <c r="M187" s="1822"/>
      <c r="N187" s="1827"/>
      <c r="T187" s="674"/>
      <c r="U187" s="675"/>
      <c r="V187" s="675"/>
      <c r="X187" s="537" t="s">
        <v>311</v>
      </c>
      <c r="AB187" s="675"/>
      <c r="AC187" s="675"/>
      <c r="AE187" s="675"/>
    </row>
    <row r="188" spans="1:32" s="536" customFormat="1" ht="12" x14ac:dyDescent="0.2">
      <c r="A188" s="605"/>
      <c r="B188" s="552" t="s">
        <v>185</v>
      </c>
      <c r="C188" s="1822" t="s">
        <v>312</v>
      </c>
      <c r="D188" s="1822"/>
      <c r="E188" s="1822"/>
      <c r="F188" s="562"/>
      <c r="G188" s="562"/>
      <c r="H188" s="562"/>
      <c r="I188" s="562"/>
      <c r="J188" s="604">
        <v>196.82</v>
      </c>
      <c r="K188" s="562" t="s">
        <v>524</v>
      </c>
      <c r="L188" s="604">
        <v>40.590000000000003</v>
      </c>
      <c r="M188" s="562"/>
      <c r="N188" s="602"/>
      <c r="T188" s="674"/>
      <c r="U188" s="675"/>
      <c r="V188" s="675"/>
      <c r="Y188" s="537" t="s">
        <v>312</v>
      </c>
      <c r="AB188" s="675"/>
      <c r="AC188" s="675"/>
      <c r="AE188" s="675"/>
    </row>
    <row r="189" spans="1:32" s="536" customFormat="1" ht="12" x14ac:dyDescent="0.2">
      <c r="A189" s="605"/>
      <c r="B189" s="552" t="s">
        <v>186</v>
      </c>
      <c r="C189" s="1822" t="s">
        <v>344</v>
      </c>
      <c r="D189" s="1822"/>
      <c r="E189" s="1822"/>
      <c r="F189" s="562"/>
      <c r="G189" s="562"/>
      <c r="H189" s="562"/>
      <c r="I189" s="562"/>
      <c r="J189" s="604">
        <v>750.41</v>
      </c>
      <c r="K189" s="562" t="s">
        <v>524</v>
      </c>
      <c r="L189" s="604">
        <v>154.77000000000001</v>
      </c>
      <c r="M189" s="562"/>
      <c r="N189" s="602"/>
      <c r="T189" s="674"/>
      <c r="U189" s="675"/>
      <c r="V189" s="675"/>
      <c r="Y189" s="537" t="s">
        <v>344</v>
      </c>
      <c r="AB189" s="675"/>
      <c r="AC189" s="675"/>
      <c r="AE189" s="675"/>
    </row>
    <row r="190" spans="1:32" s="536" customFormat="1" ht="12" x14ac:dyDescent="0.2">
      <c r="A190" s="605"/>
      <c r="B190" s="552" t="s">
        <v>187</v>
      </c>
      <c r="C190" s="1822" t="s">
        <v>345</v>
      </c>
      <c r="D190" s="1822"/>
      <c r="E190" s="1822"/>
      <c r="F190" s="562"/>
      <c r="G190" s="562"/>
      <c r="H190" s="562"/>
      <c r="I190" s="562"/>
      <c r="J190" s="604">
        <v>84.38</v>
      </c>
      <c r="K190" s="562" t="s">
        <v>524</v>
      </c>
      <c r="L190" s="604">
        <v>17.399999999999999</v>
      </c>
      <c r="M190" s="562"/>
      <c r="N190" s="602"/>
      <c r="T190" s="674"/>
      <c r="U190" s="675"/>
      <c r="V190" s="675"/>
      <c r="Y190" s="537" t="s">
        <v>345</v>
      </c>
      <c r="AB190" s="675"/>
      <c r="AC190" s="675"/>
      <c r="AE190" s="675"/>
    </row>
    <row r="191" spans="1:32" s="536" customFormat="1" ht="12" x14ac:dyDescent="0.2">
      <c r="A191" s="605"/>
      <c r="B191" s="552" t="s">
        <v>188</v>
      </c>
      <c r="C191" s="1822" t="s">
        <v>475</v>
      </c>
      <c r="D191" s="1822"/>
      <c r="E191" s="1822"/>
      <c r="F191" s="562"/>
      <c r="G191" s="562"/>
      <c r="H191" s="562"/>
      <c r="I191" s="562"/>
      <c r="J191" s="604">
        <v>10.57</v>
      </c>
      <c r="K191" s="562" t="s">
        <v>525</v>
      </c>
      <c r="L191" s="604">
        <v>0</v>
      </c>
      <c r="M191" s="562"/>
      <c r="N191" s="602"/>
      <c r="T191" s="674"/>
      <c r="U191" s="675"/>
      <c r="V191" s="675"/>
      <c r="Y191" s="537" t="s">
        <v>475</v>
      </c>
      <c r="AB191" s="675"/>
      <c r="AC191" s="675"/>
      <c r="AE191" s="675"/>
    </row>
    <row r="192" spans="1:32" s="536" customFormat="1" ht="12" x14ac:dyDescent="0.2">
      <c r="A192" s="676"/>
      <c r="B192" s="677" t="s">
        <v>6747</v>
      </c>
      <c r="C192" s="1829" t="s">
        <v>6748</v>
      </c>
      <c r="D192" s="1829"/>
      <c r="E192" s="1829"/>
      <c r="F192" s="678" t="s">
        <v>483</v>
      </c>
      <c r="G192" s="678" t="s">
        <v>4636</v>
      </c>
      <c r="H192" s="678" t="s">
        <v>525</v>
      </c>
      <c r="I192" s="678" t="s">
        <v>525</v>
      </c>
      <c r="J192" s="552"/>
      <c r="K192" s="562"/>
      <c r="L192" s="604"/>
      <c r="M192" s="562"/>
      <c r="N192" s="679"/>
      <c r="T192" s="674"/>
      <c r="U192" s="675"/>
      <c r="V192" s="675"/>
      <c r="AB192" s="675"/>
      <c r="AC192" s="675"/>
      <c r="AE192" s="675"/>
      <c r="AF192" s="680" t="s">
        <v>6748</v>
      </c>
    </row>
    <row r="193" spans="1:32" s="536" customFormat="1" ht="12" x14ac:dyDescent="0.2">
      <c r="A193" s="605"/>
      <c r="B193" s="552"/>
      <c r="C193" s="1822" t="s">
        <v>314</v>
      </c>
      <c r="D193" s="1822"/>
      <c r="E193" s="1822"/>
      <c r="F193" s="562" t="s">
        <v>315</v>
      </c>
      <c r="G193" s="562" t="s">
        <v>6749</v>
      </c>
      <c r="H193" s="562" t="s">
        <v>524</v>
      </c>
      <c r="I193" s="562" t="s">
        <v>8996</v>
      </c>
      <c r="J193" s="604"/>
      <c r="K193" s="562"/>
      <c r="L193" s="604"/>
      <c r="M193" s="562"/>
      <c r="N193" s="602"/>
      <c r="T193" s="674"/>
      <c r="U193" s="675"/>
      <c r="V193" s="675"/>
      <c r="Z193" s="537" t="s">
        <v>314</v>
      </c>
      <c r="AB193" s="675"/>
      <c r="AC193" s="675"/>
      <c r="AE193" s="675"/>
      <c r="AF193" s="680"/>
    </row>
    <row r="194" spans="1:32" s="536" customFormat="1" ht="12" x14ac:dyDescent="0.2">
      <c r="A194" s="605"/>
      <c r="B194" s="552"/>
      <c r="C194" s="1822" t="s">
        <v>348</v>
      </c>
      <c r="D194" s="1822"/>
      <c r="E194" s="1822"/>
      <c r="F194" s="562" t="s">
        <v>315</v>
      </c>
      <c r="G194" s="562" t="s">
        <v>434</v>
      </c>
      <c r="H194" s="562" t="s">
        <v>524</v>
      </c>
      <c r="I194" s="562" t="s">
        <v>8997</v>
      </c>
      <c r="J194" s="604"/>
      <c r="K194" s="562"/>
      <c r="L194" s="604"/>
      <c r="M194" s="562"/>
      <c r="N194" s="602"/>
      <c r="T194" s="674"/>
      <c r="U194" s="675"/>
      <c r="V194" s="675"/>
      <c r="Z194" s="537" t="s">
        <v>348</v>
      </c>
      <c r="AB194" s="675"/>
      <c r="AC194" s="675"/>
      <c r="AE194" s="675"/>
      <c r="AF194" s="680"/>
    </row>
    <row r="195" spans="1:32" s="536" customFormat="1" ht="12" x14ac:dyDescent="0.2">
      <c r="A195" s="605"/>
      <c r="B195" s="552"/>
      <c r="C195" s="1828" t="s">
        <v>318</v>
      </c>
      <c r="D195" s="1828"/>
      <c r="E195" s="1828"/>
      <c r="F195" s="608"/>
      <c r="G195" s="608"/>
      <c r="H195" s="608"/>
      <c r="I195" s="608"/>
      <c r="J195" s="607">
        <v>957.8</v>
      </c>
      <c r="K195" s="608"/>
      <c r="L195" s="607">
        <v>195.36</v>
      </c>
      <c r="M195" s="608"/>
      <c r="N195" s="606"/>
      <c r="T195" s="674"/>
      <c r="U195" s="675"/>
      <c r="V195" s="675"/>
      <c r="AA195" s="537" t="s">
        <v>318</v>
      </c>
      <c r="AB195" s="675"/>
      <c r="AC195" s="675"/>
      <c r="AE195" s="675"/>
      <c r="AF195" s="680"/>
    </row>
    <row r="196" spans="1:32" s="536" customFormat="1" ht="12" x14ac:dyDescent="0.2">
      <c r="A196" s="605"/>
      <c r="B196" s="552"/>
      <c r="C196" s="1822" t="s">
        <v>319</v>
      </c>
      <c r="D196" s="1822"/>
      <c r="E196" s="1822"/>
      <c r="F196" s="562"/>
      <c r="G196" s="562"/>
      <c r="H196" s="562"/>
      <c r="I196" s="562"/>
      <c r="J196" s="604"/>
      <c r="K196" s="562"/>
      <c r="L196" s="604">
        <v>57.99</v>
      </c>
      <c r="M196" s="562"/>
      <c r="N196" s="602"/>
      <c r="T196" s="674"/>
      <c r="U196" s="675"/>
      <c r="V196" s="675"/>
      <c r="Z196" s="537" t="s">
        <v>319</v>
      </c>
      <c r="AB196" s="675"/>
      <c r="AC196" s="675"/>
      <c r="AE196" s="675"/>
      <c r="AF196" s="680"/>
    </row>
    <row r="197" spans="1:32" s="536" customFormat="1" ht="33.75" x14ac:dyDescent="0.2">
      <c r="A197" s="605"/>
      <c r="B197" s="552" t="s">
        <v>533</v>
      </c>
      <c r="C197" s="1822" t="s">
        <v>534</v>
      </c>
      <c r="D197" s="1822"/>
      <c r="E197" s="1822"/>
      <c r="F197" s="562" t="s">
        <v>322</v>
      </c>
      <c r="G197" s="562" t="s">
        <v>535</v>
      </c>
      <c r="H197" s="562"/>
      <c r="I197" s="562" t="s">
        <v>535</v>
      </c>
      <c r="J197" s="604"/>
      <c r="K197" s="562"/>
      <c r="L197" s="604">
        <v>67.849999999999994</v>
      </c>
      <c r="M197" s="562"/>
      <c r="N197" s="602"/>
      <c r="T197" s="674"/>
      <c r="U197" s="675"/>
      <c r="V197" s="675"/>
      <c r="Z197" s="537" t="s">
        <v>534</v>
      </c>
      <c r="AB197" s="675"/>
      <c r="AC197" s="675"/>
      <c r="AE197" s="675"/>
      <c r="AF197" s="680"/>
    </row>
    <row r="198" spans="1:32" s="536" customFormat="1" ht="33.75" x14ac:dyDescent="0.2">
      <c r="A198" s="605"/>
      <c r="B198" s="552" t="s">
        <v>536</v>
      </c>
      <c r="C198" s="1822" t="s">
        <v>537</v>
      </c>
      <c r="D198" s="1822"/>
      <c r="E198" s="1822"/>
      <c r="F198" s="562" t="s">
        <v>322</v>
      </c>
      <c r="G198" s="562" t="s">
        <v>538</v>
      </c>
      <c r="H198" s="562"/>
      <c r="I198" s="562" t="s">
        <v>538</v>
      </c>
      <c r="J198" s="604"/>
      <c r="K198" s="562"/>
      <c r="L198" s="604">
        <v>42.91</v>
      </c>
      <c r="M198" s="562"/>
      <c r="N198" s="602"/>
      <c r="T198" s="674"/>
      <c r="U198" s="675"/>
      <c r="V198" s="675"/>
      <c r="Z198" s="537" t="s">
        <v>537</v>
      </c>
      <c r="AB198" s="675"/>
      <c r="AC198" s="675"/>
      <c r="AE198" s="675"/>
      <c r="AF198" s="680"/>
    </row>
    <row r="199" spans="1:32" s="536" customFormat="1" ht="12" x14ac:dyDescent="0.2">
      <c r="A199" s="569"/>
      <c r="B199" s="683"/>
      <c r="C199" s="1823" t="s">
        <v>327</v>
      </c>
      <c r="D199" s="1823"/>
      <c r="E199" s="1823"/>
      <c r="F199" s="573"/>
      <c r="G199" s="573"/>
      <c r="H199" s="573"/>
      <c r="I199" s="573"/>
      <c r="J199" s="572"/>
      <c r="K199" s="573"/>
      <c r="L199" s="572">
        <v>306.12</v>
      </c>
      <c r="M199" s="608"/>
      <c r="N199" s="570"/>
      <c r="T199" s="674"/>
      <c r="U199" s="675"/>
      <c r="V199" s="675"/>
      <c r="AB199" s="675" t="s">
        <v>327</v>
      </c>
      <c r="AC199" s="675"/>
      <c r="AE199" s="675"/>
      <c r="AF199" s="680"/>
    </row>
    <row r="200" spans="1:32" s="536" customFormat="1" ht="12" x14ac:dyDescent="0.2">
      <c r="A200" s="1830" t="s">
        <v>6750</v>
      </c>
      <c r="B200" s="1831"/>
      <c r="C200" s="1831"/>
      <c r="D200" s="1831"/>
      <c r="E200" s="1831"/>
      <c r="F200" s="1831"/>
      <c r="G200" s="1831"/>
      <c r="H200" s="1831"/>
      <c r="I200" s="1831"/>
      <c r="J200" s="1831"/>
      <c r="K200" s="1831"/>
      <c r="L200" s="1831"/>
      <c r="M200" s="1831"/>
      <c r="N200" s="1832"/>
      <c r="T200" s="674"/>
      <c r="U200" s="675" t="s">
        <v>6750</v>
      </c>
      <c r="V200" s="675"/>
      <c r="AB200" s="675"/>
      <c r="AC200" s="675"/>
      <c r="AE200" s="675"/>
      <c r="AF200" s="680"/>
    </row>
    <row r="201" spans="1:32" s="536" customFormat="1" ht="56.25" x14ac:dyDescent="0.2">
      <c r="A201" s="575" t="s">
        <v>198</v>
      </c>
      <c r="B201" s="684" t="s">
        <v>6744</v>
      </c>
      <c r="C201" s="1823" t="s">
        <v>6745</v>
      </c>
      <c r="D201" s="1823"/>
      <c r="E201" s="1823"/>
      <c r="F201" s="573" t="s">
        <v>1110</v>
      </c>
      <c r="G201" s="573"/>
      <c r="H201" s="573"/>
      <c r="I201" s="573" t="s">
        <v>8998</v>
      </c>
      <c r="J201" s="572"/>
      <c r="K201" s="573"/>
      <c r="L201" s="572"/>
      <c r="M201" s="573"/>
      <c r="N201" s="570"/>
      <c r="T201" s="674"/>
      <c r="U201" s="675"/>
      <c r="V201" s="675" t="s">
        <v>6745</v>
      </c>
      <c r="AB201" s="675"/>
      <c r="AC201" s="675"/>
      <c r="AE201" s="675"/>
      <c r="AF201" s="680"/>
    </row>
    <row r="202" spans="1:32" s="536" customFormat="1" ht="12" x14ac:dyDescent="0.2">
      <c r="A202" s="676"/>
      <c r="B202" s="682"/>
      <c r="C202" s="1822" t="s">
        <v>8999</v>
      </c>
      <c r="D202" s="1822"/>
      <c r="E202" s="1822"/>
      <c r="F202" s="1822"/>
      <c r="G202" s="1822"/>
      <c r="H202" s="1822"/>
      <c r="I202" s="1822"/>
      <c r="J202" s="1822"/>
      <c r="K202" s="1822"/>
      <c r="L202" s="1822"/>
      <c r="M202" s="1822"/>
      <c r="N202" s="1827"/>
      <c r="T202" s="674"/>
      <c r="U202" s="675"/>
      <c r="V202" s="675"/>
      <c r="W202" s="537" t="s">
        <v>8999</v>
      </c>
      <c r="AB202" s="675"/>
      <c r="AC202" s="675"/>
      <c r="AE202" s="675"/>
      <c r="AF202" s="680"/>
    </row>
    <row r="203" spans="1:32" s="536" customFormat="1" ht="22.5" x14ac:dyDescent="0.2">
      <c r="A203" s="609"/>
      <c r="B203" s="552" t="s">
        <v>6746</v>
      </c>
      <c r="C203" s="1822" t="s">
        <v>523</v>
      </c>
      <c r="D203" s="1822"/>
      <c r="E203" s="1822"/>
      <c r="F203" s="1822"/>
      <c r="G203" s="1822"/>
      <c r="H203" s="1822"/>
      <c r="I203" s="1822"/>
      <c r="J203" s="1822"/>
      <c r="K203" s="1822"/>
      <c r="L203" s="1822"/>
      <c r="M203" s="1822"/>
      <c r="N203" s="1827"/>
      <c r="T203" s="674"/>
      <c r="U203" s="675"/>
      <c r="V203" s="675"/>
      <c r="X203" s="537" t="s">
        <v>523</v>
      </c>
      <c r="AB203" s="675"/>
      <c r="AC203" s="675"/>
      <c r="AE203" s="675"/>
      <c r="AF203" s="680"/>
    </row>
    <row r="204" spans="1:32" s="536" customFormat="1" ht="33.75" x14ac:dyDescent="0.2">
      <c r="A204" s="609"/>
      <c r="B204" s="552" t="s">
        <v>310</v>
      </c>
      <c r="C204" s="1822" t="s">
        <v>311</v>
      </c>
      <c r="D204" s="1822"/>
      <c r="E204" s="1822"/>
      <c r="F204" s="1822"/>
      <c r="G204" s="1822"/>
      <c r="H204" s="1822"/>
      <c r="I204" s="1822"/>
      <c r="J204" s="1822"/>
      <c r="K204" s="1822"/>
      <c r="L204" s="1822"/>
      <c r="M204" s="1822"/>
      <c r="N204" s="1827"/>
      <c r="T204" s="674"/>
      <c r="U204" s="675"/>
      <c r="V204" s="675"/>
      <c r="X204" s="537" t="s">
        <v>311</v>
      </c>
      <c r="AB204" s="675"/>
      <c r="AC204" s="675"/>
      <c r="AE204" s="675"/>
      <c r="AF204" s="680"/>
    </row>
    <row r="205" spans="1:32" s="536" customFormat="1" ht="12" x14ac:dyDescent="0.2">
      <c r="A205" s="605"/>
      <c r="B205" s="552" t="s">
        <v>185</v>
      </c>
      <c r="C205" s="1822" t="s">
        <v>312</v>
      </c>
      <c r="D205" s="1822"/>
      <c r="E205" s="1822"/>
      <c r="F205" s="562"/>
      <c r="G205" s="562"/>
      <c r="H205" s="562"/>
      <c r="I205" s="562"/>
      <c r="J205" s="604">
        <v>196.82</v>
      </c>
      <c r="K205" s="562" t="s">
        <v>524</v>
      </c>
      <c r="L205" s="604">
        <v>49.45</v>
      </c>
      <c r="M205" s="562"/>
      <c r="N205" s="602"/>
      <c r="T205" s="674"/>
      <c r="U205" s="675"/>
      <c r="V205" s="675"/>
      <c r="Y205" s="537" t="s">
        <v>312</v>
      </c>
      <c r="AB205" s="675"/>
      <c r="AC205" s="675"/>
      <c r="AE205" s="675"/>
      <c r="AF205" s="680"/>
    </row>
    <row r="206" spans="1:32" s="536" customFormat="1" ht="12" x14ac:dyDescent="0.2">
      <c r="A206" s="605"/>
      <c r="B206" s="552" t="s">
        <v>186</v>
      </c>
      <c r="C206" s="1822" t="s">
        <v>344</v>
      </c>
      <c r="D206" s="1822"/>
      <c r="E206" s="1822"/>
      <c r="F206" s="562"/>
      <c r="G206" s="562"/>
      <c r="H206" s="562"/>
      <c r="I206" s="562"/>
      <c r="J206" s="604">
        <v>750.41</v>
      </c>
      <c r="K206" s="562" t="s">
        <v>524</v>
      </c>
      <c r="L206" s="604">
        <v>188.54</v>
      </c>
      <c r="M206" s="562"/>
      <c r="N206" s="602"/>
      <c r="T206" s="674"/>
      <c r="U206" s="675"/>
      <c r="V206" s="675"/>
      <c r="Y206" s="537" t="s">
        <v>344</v>
      </c>
      <c r="AB206" s="675"/>
      <c r="AC206" s="675"/>
      <c r="AE206" s="675"/>
      <c r="AF206" s="680"/>
    </row>
    <row r="207" spans="1:32" s="536" customFormat="1" ht="12" x14ac:dyDescent="0.2">
      <c r="A207" s="605"/>
      <c r="B207" s="552" t="s">
        <v>187</v>
      </c>
      <c r="C207" s="1822" t="s">
        <v>345</v>
      </c>
      <c r="D207" s="1822"/>
      <c r="E207" s="1822"/>
      <c r="F207" s="562"/>
      <c r="G207" s="562"/>
      <c r="H207" s="562"/>
      <c r="I207" s="562"/>
      <c r="J207" s="604">
        <v>84.38</v>
      </c>
      <c r="K207" s="562" t="s">
        <v>524</v>
      </c>
      <c r="L207" s="604">
        <v>21.2</v>
      </c>
      <c r="M207" s="562"/>
      <c r="N207" s="602"/>
      <c r="T207" s="674"/>
      <c r="U207" s="675"/>
      <c r="V207" s="675"/>
      <c r="Y207" s="537" t="s">
        <v>345</v>
      </c>
      <c r="AB207" s="675"/>
      <c r="AC207" s="675"/>
      <c r="AE207" s="675"/>
      <c r="AF207" s="680"/>
    </row>
    <row r="208" spans="1:32" s="536" customFormat="1" ht="12" x14ac:dyDescent="0.2">
      <c r="A208" s="605"/>
      <c r="B208" s="552" t="s">
        <v>188</v>
      </c>
      <c r="C208" s="1822" t="s">
        <v>475</v>
      </c>
      <c r="D208" s="1822"/>
      <c r="E208" s="1822"/>
      <c r="F208" s="562"/>
      <c r="G208" s="562"/>
      <c r="H208" s="562"/>
      <c r="I208" s="562"/>
      <c r="J208" s="604">
        <v>10.57</v>
      </c>
      <c r="K208" s="562" t="s">
        <v>525</v>
      </c>
      <c r="L208" s="604">
        <v>0</v>
      </c>
      <c r="M208" s="562"/>
      <c r="N208" s="602"/>
      <c r="T208" s="674"/>
      <c r="U208" s="675"/>
      <c r="V208" s="675"/>
      <c r="Y208" s="537" t="s">
        <v>475</v>
      </c>
      <c r="AB208" s="675"/>
      <c r="AC208" s="675"/>
      <c r="AE208" s="675"/>
      <c r="AF208" s="680"/>
    </row>
    <row r="209" spans="1:32" s="536" customFormat="1" ht="12" x14ac:dyDescent="0.2">
      <c r="A209" s="676"/>
      <c r="B209" s="677" t="s">
        <v>6747</v>
      </c>
      <c r="C209" s="1829" t="s">
        <v>6748</v>
      </c>
      <c r="D209" s="1829"/>
      <c r="E209" s="1829"/>
      <c r="F209" s="678" t="s">
        <v>483</v>
      </c>
      <c r="G209" s="678" t="s">
        <v>4636</v>
      </c>
      <c r="H209" s="678" t="s">
        <v>525</v>
      </c>
      <c r="I209" s="678" t="s">
        <v>525</v>
      </c>
      <c r="J209" s="552"/>
      <c r="K209" s="562"/>
      <c r="L209" s="604"/>
      <c r="M209" s="562"/>
      <c r="N209" s="679"/>
      <c r="T209" s="674"/>
      <c r="U209" s="675"/>
      <c r="V209" s="675"/>
      <c r="AB209" s="675"/>
      <c r="AC209" s="675"/>
      <c r="AE209" s="675"/>
      <c r="AF209" s="680" t="s">
        <v>6748</v>
      </c>
    </row>
    <row r="210" spans="1:32" s="536" customFormat="1" ht="12" x14ac:dyDescent="0.2">
      <c r="A210" s="605"/>
      <c r="B210" s="552"/>
      <c r="C210" s="1822" t="s">
        <v>314</v>
      </c>
      <c r="D210" s="1822"/>
      <c r="E210" s="1822"/>
      <c r="F210" s="562" t="s">
        <v>315</v>
      </c>
      <c r="G210" s="562" t="s">
        <v>6749</v>
      </c>
      <c r="H210" s="562" t="s">
        <v>524</v>
      </c>
      <c r="I210" s="562" t="s">
        <v>9000</v>
      </c>
      <c r="J210" s="604"/>
      <c r="K210" s="562"/>
      <c r="L210" s="604"/>
      <c r="M210" s="562"/>
      <c r="N210" s="602"/>
      <c r="T210" s="674"/>
      <c r="U210" s="675"/>
      <c r="V210" s="675"/>
      <c r="Z210" s="537" t="s">
        <v>314</v>
      </c>
      <c r="AB210" s="675"/>
      <c r="AC210" s="675"/>
      <c r="AE210" s="675"/>
      <c r="AF210" s="680"/>
    </row>
    <row r="211" spans="1:32" s="536" customFormat="1" ht="12" x14ac:dyDescent="0.2">
      <c r="A211" s="605"/>
      <c r="B211" s="552"/>
      <c r="C211" s="1822" t="s">
        <v>348</v>
      </c>
      <c r="D211" s="1822"/>
      <c r="E211" s="1822"/>
      <c r="F211" s="562" t="s">
        <v>315</v>
      </c>
      <c r="G211" s="562" t="s">
        <v>434</v>
      </c>
      <c r="H211" s="562" t="s">
        <v>524</v>
      </c>
      <c r="I211" s="562" t="s">
        <v>9001</v>
      </c>
      <c r="J211" s="604"/>
      <c r="K211" s="562"/>
      <c r="L211" s="604"/>
      <c r="M211" s="562"/>
      <c r="N211" s="602"/>
      <c r="T211" s="674"/>
      <c r="U211" s="675"/>
      <c r="V211" s="675"/>
      <c r="Z211" s="537" t="s">
        <v>348</v>
      </c>
      <c r="AB211" s="675"/>
      <c r="AC211" s="675"/>
      <c r="AE211" s="675"/>
      <c r="AF211" s="680"/>
    </row>
    <row r="212" spans="1:32" s="536" customFormat="1" ht="12" x14ac:dyDescent="0.2">
      <c r="A212" s="605"/>
      <c r="B212" s="552"/>
      <c r="C212" s="1828" t="s">
        <v>318</v>
      </c>
      <c r="D212" s="1828"/>
      <c r="E212" s="1828"/>
      <c r="F212" s="608"/>
      <c r="G212" s="608"/>
      <c r="H212" s="608"/>
      <c r="I212" s="608"/>
      <c r="J212" s="607">
        <v>957.8</v>
      </c>
      <c r="K212" s="608"/>
      <c r="L212" s="607">
        <v>237.99</v>
      </c>
      <c r="M212" s="608"/>
      <c r="N212" s="606"/>
      <c r="T212" s="674"/>
      <c r="U212" s="675"/>
      <c r="V212" s="675"/>
      <c r="AA212" s="537" t="s">
        <v>318</v>
      </c>
      <c r="AB212" s="675"/>
      <c r="AC212" s="675"/>
      <c r="AE212" s="675"/>
      <c r="AF212" s="680"/>
    </row>
    <row r="213" spans="1:32" s="536" customFormat="1" ht="12" x14ac:dyDescent="0.2">
      <c r="A213" s="605"/>
      <c r="B213" s="552"/>
      <c r="C213" s="1822" t="s">
        <v>319</v>
      </c>
      <c r="D213" s="1822"/>
      <c r="E213" s="1822"/>
      <c r="F213" s="562"/>
      <c r="G213" s="562"/>
      <c r="H213" s="562"/>
      <c r="I213" s="562"/>
      <c r="J213" s="604"/>
      <c r="K213" s="562"/>
      <c r="L213" s="604">
        <v>70.650000000000006</v>
      </c>
      <c r="M213" s="562"/>
      <c r="N213" s="602"/>
      <c r="T213" s="674"/>
      <c r="U213" s="675"/>
      <c r="V213" s="675"/>
      <c r="Z213" s="537" t="s">
        <v>319</v>
      </c>
      <c r="AB213" s="675"/>
      <c r="AC213" s="675"/>
      <c r="AE213" s="675"/>
      <c r="AF213" s="680"/>
    </row>
    <row r="214" spans="1:32" s="536" customFormat="1" ht="33.75" x14ac:dyDescent="0.2">
      <c r="A214" s="605"/>
      <c r="B214" s="552" t="s">
        <v>533</v>
      </c>
      <c r="C214" s="1822" t="s">
        <v>534</v>
      </c>
      <c r="D214" s="1822"/>
      <c r="E214" s="1822"/>
      <c r="F214" s="562" t="s">
        <v>322</v>
      </c>
      <c r="G214" s="562" t="s">
        <v>535</v>
      </c>
      <c r="H214" s="562"/>
      <c r="I214" s="562" t="s">
        <v>535</v>
      </c>
      <c r="J214" s="604"/>
      <c r="K214" s="562"/>
      <c r="L214" s="604">
        <v>82.66</v>
      </c>
      <c r="M214" s="562"/>
      <c r="N214" s="602"/>
      <c r="T214" s="674"/>
      <c r="U214" s="675"/>
      <c r="V214" s="675"/>
      <c r="Z214" s="537" t="s">
        <v>534</v>
      </c>
      <c r="AB214" s="675"/>
      <c r="AC214" s="675"/>
      <c r="AE214" s="675"/>
      <c r="AF214" s="680"/>
    </row>
    <row r="215" spans="1:32" s="536" customFormat="1" ht="33.75" x14ac:dyDescent="0.2">
      <c r="A215" s="605"/>
      <c r="B215" s="552" t="s">
        <v>536</v>
      </c>
      <c r="C215" s="1822" t="s">
        <v>537</v>
      </c>
      <c r="D215" s="1822"/>
      <c r="E215" s="1822"/>
      <c r="F215" s="562" t="s">
        <v>322</v>
      </c>
      <c r="G215" s="562" t="s">
        <v>538</v>
      </c>
      <c r="H215" s="562"/>
      <c r="I215" s="562" t="s">
        <v>538</v>
      </c>
      <c r="J215" s="604"/>
      <c r="K215" s="562"/>
      <c r="L215" s="604">
        <v>52.28</v>
      </c>
      <c r="M215" s="562"/>
      <c r="N215" s="602"/>
      <c r="T215" s="674"/>
      <c r="U215" s="675"/>
      <c r="V215" s="675"/>
      <c r="Z215" s="537" t="s">
        <v>537</v>
      </c>
      <c r="AB215" s="675"/>
      <c r="AC215" s="675"/>
      <c r="AE215" s="675"/>
      <c r="AF215" s="680"/>
    </row>
    <row r="216" spans="1:32" s="536" customFormat="1" ht="12" x14ac:dyDescent="0.2">
      <c r="A216" s="569"/>
      <c r="B216" s="683"/>
      <c r="C216" s="1823" t="s">
        <v>327</v>
      </c>
      <c r="D216" s="1823"/>
      <c r="E216" s="1823"/>
      <c r="F216" s="573"/>
      <c r="G216" s="573"/>
      <c r="H216" s="573"/>
      <c r="I216" s="573"/>
      <c r="J216" s="572"/>
      <c r="K216" s="573"/>
      <c r="L216" s="572">
        <v>372.93</v>
      </c>
      <c r="M216" s="608"/>
      <c r="N216" s="570"/>
      <c r="T216" s="674"/>
      <c r="U216" s="675"/>
      <c r="V216" s="675"/>
      <c r="AB216" s="675" t="s">
        <v>327</v>
      </c>
      <c r="AC216" s="675"/>
      <c r="AE216" s="675"/>
      <c r="AF216" s="680"/>
    </row>
    <row r="217" spans="1:32" s="536" customFormat="1" ht="1.5" customHeight="1" x14ac:dyDescent="0.2">
      <c r="A217" s="563"/>
      <c r="B217" s="683"/>
      <c r="C217" s="683"/>
      <c r="D217" s="683"/>
      <c r="E217" s="683"/>
      <c r="F217" s="563"/>
      <c r="G217" s="563"/>
      <c r="H217" s="563"/>
      <c r="I217" s="563"/>
      <c r="J217" s="546"/>
      <c r="K217" s="563"/>
      <c r="L217" s="546"/>
      <c r="M217" s="562"/>
      <c r="N217" s="546"/>
      <c r="T217" s="674"/>
      <c r="U217" s="675"/>
      <c r="V217" s="675"/>
      <c r="AB217" s="675"/>
      <c r="AC217" s="675"/>
      <c r="AE217" s="675"/>
      <c r="AF217" s="680"/>
    </row>
    <row r="218" spans="1:32" s="536" customFormat="1" ht="12" x14ac:dyDescent="0.2">
      <c r="A218" s="557"/>
      <c r="B218" s="556"/>
      <c r="C218" s="1823" t="s">
        <v>6751</v>
      </c>
      <c r="D218" s="1823"/>
      <c r="E218" s="1823"/>
      <c r="F218" s="1823"/>
      <c r="G218" s="1823"/>
      <c r="H218" s="1823"/>
      <c r="I218" s="1823"/>
      <c r="J218" s="1823"/>
      <c r="K218" s="1823"/>
      <c r="L218" s="555"/>
      <c r="M218" s="554"/>
      <c r="N218" s="553"/>
      <c r="T218" s="674"/>
      <c r="U218" s="675"/>
      <c r="V218" s="675"/>
      <c r="AB218" s="675"/>
      <c r="AC218" s="675" t="s">
        <v>6751</v>
      </c>
      <c r="AE218" s="675"/>
      <c r="AF218" s="680"/>
    </row>
    <row r="219" spans="1:32" s="536" customFormat="1" ht="12" x14ac:dyDescent="0.2">
      <c r="A219" s="548"/>
      <c r="B219" s="552"/>
      <c r="C219" s="1822" t="s">
        <v>403</v>
      </c>
      <c r="D219" s="1822"/>
      <c r="E219" s="1822"/>
      <c r="F219" s="1822"/>
      <c r="G219" s="1822"/>
      <c r="H219" s="1822"/>
      <c r="I219" s="1822"/>
      <c r="J219" s="1822"/>
      <c r="K219" s="1822"/>
      <c r="L219" s="551">
        <v>433.35</v>
      </c>
      <c r="M219" s="550"/>
      <c r="N219" s="549"/>
      <c r="T219" s="674"/>
      <c r="U219" s="675"/>
      <c r="V219" s="675"/>
      <c r="AB219" s="675"/>
      <c r="AC219" s="675"/>
      <c r="AD219" s="537" t="s">
        <v>403</v>
      </c>
      <c r="AE219" s="675"/>
      <c r="AF219" s="680"/>
    </row>
    <row r="220" spans="1:32" s="536" customFormat="1" ht="12" x14ac:dyDescent="0.2">
      <c r="A220" s="548"/>
      <c r="B220" s="552"/>
      <c r="C220" s="1822" t="s">
        <v>8993</v>
      </c>
      <c r="D220" s="1822"/>
      <c r="E220" s="1822"/>
      <c r="F220" s="1822"/>
      <c r="G220" s="1822"/>
      <c r="H220" s="1822"/>
      <c r="I220" s="1822"/>
      <c r="J220" s="1822"/>
      <c r="K220" s="1822"/>
      <c r="L220" s="551"/>
      <c r="M220" s="550"/>
      <c r="N220" s="549"/>
      <c r="T220" s="674"/>
      <c r="U220" s="675"/>
      <c r="V220" s="675"/>
      <c r="AB220" s="675"/>
      <c r="AC220" s="675"/>
      <c r="AD220" s="537" t="s">
        <v>8993</v>
      </c>
      <c r="AE220" s="675"/>
      <c r="AF220" s="680"/>
    </row>
    <row r="221" spans="1:32" s="536" customFormat="1" ht="12" x14ac:dyDescent="0.2">
      <c r="A221" s="548"/>
      <c r="B221" s="552"/>
      <c r="C221" s="1822" t="s">
        <v>404</v>
      </c>
      <c r="D221" s="1822"/>
      <c r="E221" s="1822"/>
      <c r="F221" s="1822"/>
      <c r="G221" s="1822"/>
      <c r="H221" s="1822"/>
      <c r="I221" s="1822"/>
      <c r="J221" s="1822"/>
      <c r="K221" s="1822"/>
      <c r="L221" s="551">
        <v>90.04</v>
      </c>
      <c r="M221" s="550"/>
      <c r="N221" s="549"/>
      <c r="T221" s="674"/>
      <c r="U221" s="675"/>
      <c r="V221" s="675"/>
      <c r="AB221" s="675"/>
      <c r="AC221" s="675"/>
      <c r="AD221" s="537" t="s">
        <v>404</v>
      </c>
      <c r="AE221" s="675"/>
      <c r="AF221" s="680"/>
    </row>
    <row r="222" spans="1:32" s="536" customFormat="1" ht="12" x14ac:dyDescent="0.2">
      <c r="A222" s="548"/>
      <c r="B222" s="552"/>
      <c r="C222" s="1822" t="s">
        <v>405</v>
      </c>
      <c r="D222" s="1822"/>
      <c r="E222" s="1822"/>
      <c r="F222" s="1822"/>
      <c r="G222" s="1822"/>
      <c r="H222" s="1822"/>
      <c r="I222" s="1822"/>
      <c r="J222" s="1822"/>
      <c r="K222" s="1822"/>
      <c r="L222" s="551">
        <v>343.31</v>
      </c>
      <c r="M222" s="550"/>
      <c r="N222" s="549"/>
      <c r="T222" s="674"/>
      <c r="U222" s="675"/>
      <c r="V222" s="675"/>
      <c r="AB222" s="675"/>
      <c r="AC222" s="675"/>
      <c r="AD222" s="537" t="s">
        <v>405</v>
      </c>
      <c r="AE222" s="675"/>
      <c r="AF222" s="680"/>
    </row>
    <row r="223" spans="1:32" s="536" customFormat="1" ht="12" x14ac:dyDescent="0.2">
      <c r="A223" s="548"/>
      <c r="B223" s="552"/>
      <c r="C223" s="1822" t="s">
        <v>8994</v>
      </c>
      <c r="D223" s="1822"/>
      <c r="E223" s="1822"/>
      <c r="F223" s="1822"/>
      <c r="G223" s="1822"/>
      <c r="H223" s="1822"/>
      <c r="I223" s="1822"/>
      <c r="J223" s="1822"/>
      <c r="K223" s="1822"/>
      <c r="L223" s="551">
        <v>38.6</v>
      </c>
      <c r="M223" s="550"/>
      <c r="N223" s="549"/>
      <c r="T223" s="674"/>
      <c r="U223" s="675"/>
      <c r="V223" s="675"/>
      <c r="AB223" s="675"/>
      <c r="AC223" s="675"/>
      <c r="AD223" s="537" t="s">
        <v>8994</v>
      </c>
      <c r="AE223" s="675"/>
      <c r="AF223" s="680"/>
    </row>
    <row r="224" spans="1:32" s="536" customFormat="1" ht="12" x14ac:dyDescent="0.2">
      <c r="A224" s="548"/>
      <c r="B224" s="552"/>
      <c r="C224" s="1822" t="s">
        <v>407</v>
      </c>
      <c r="D224" s="1822"/>
      <c r="E224" s="1822"/>
      <c r="F224" s="1822"/>
      <c r="G224" s="1822"/>
      <c r="H224" s="1822"/>
      <c r="I224" s="1822"/>
      <c r="J224" s="1822"/>
      <c r="K224" s="1822"/>
      <c r="L224" s="551">
        <v>679.05</v>
      </c>
      <c r="M224" s="550"/>
      <c r="N224" s="549"/>
      <c r="T224" s="674"/>
      <c r="U224" s="675"/>
      <c r="V224" s="675"/>
      <c r="AB224" s="675"/>
      <c r="AC224" s="675"/>
      <c r="AD224" s="537" t="s">
        <v>407</v>
      </c>
      <c r="AE224" s="675"/>
      <c r="AF224" s="680"/>
    </row>
    <row r="225" spans="1:32" s="536" customFormat="1" ht="12" x14ac:dyDescent="0.2">
      <c r="A225" s="548"/>
      <c r="B225" s="552"/>
      <c r="C225" s="1822" t="s">
        <v>8993</v>
      </c>
      <c r="D225" s="1822"/>
      <c r="E225" s="1822"/>
      <c r="F225" s="1822"/>
      <c r="G225" s="1822"/>
      <c r="H225" s="1822"/>
      <c r="I225" s="1822"/>
      <c r="J225" s="1822"/>
      <c r="K225" s="1822"/>
      <c r="L225" s="551"/>
      <c r="M225" s="550"/>
      <c r="N225" s="549"/>
      <c r="T225" s="674"/>
      <c r="U225" s="675"/>
      <c r="V225" s="675"/>
      <c r="AB225" s="675"/>
      <c r="AC225" s="675"/>
      <c r="AD225" s="537" t="s">
        <v>8993</v>
      </c>
      <c r="AE225" s="675"/>
      <c r="AF225" s="680"/>
    </row>
    <row r="226" spans="1:32" s="536" customFormat="1" ht="12" x14ac:dyDescent="0.2">
      <c r="A226" s="548"/>
      <c r="B226" s="552"/>
      <c r="C226" s="1822" t="s">
        <v>546</v>
      </c>
      <c r="D226" s="1822"/>
      <c r="E226" s="1822"/>
      <c r="F226" s="1822"/>
      <c r="G226" s="1822"/>
      <c r="H226" s="1822"/>
      <c r="I226" s="1822"/>
      <c r="J226" s="1822"/>
      <c r="K226" s="1822"/>
      <c r="L226" s="551">
        <v>90.04</v>
      </c>
      <c r="M226" s="550"/>
      <c r="N226" s="549"/>
      <c r="T226" s="674"/>
      <c r="U226" s="675"/>
      <c r="V226" s="675"/>
      <c r="AB226" s="675"/>
      <c r="AC226" s="675"/>
      <c r="AD226" s="537" t="s">
        <v>546</v>
      </c>
      <c r="AE226" s="675"/>
      <c r="AF226" s="680"/>
    </row>
    <row r="227" spans="1:32" s="536" customFormat="1" ht="12" x14ac:dyDescent="0.2">
      <c r="A227" s="548"/>
      <c r="B227" s="552"/>
      <c r="C227" s="1822" t="s">
        <v>442</v>
      </c>
      <c r="D227" s="1822"/>
      <c r="E227" s="1822"/>
      <c r="F227" s="1822"/>
      <c r="G227" s="1822"/>
      <c r="H227" s="1822"/>
      <c r="I227" s="1822"/>
      <c r="J227" s="1822"/>
      <c r="K227" s="1822"/>
      <c r="L227" s="551">
        <v>343.31</v>
      </c>
      <c r="M227" s="550"/>
      <c r="N227" s="549"/>
      <c r="T227" s="674"/>
      <c r="U227" s="675"/>
      <c r="V227" s="675"/>
      <c r="AB227" s="675"/>
      <c r="AC227" s="675"/>
      <c r="AD227" s="537" t="s">
        <v>442</v>
      </c>
      <c r="AE227" s="675"/>
      <c r="AF227" s="680"/>
    </row>
    <row r="228" spans="1:32" s="536" customFormat="1" ht="12" x14ac:dyDescent="0.2">
      <c r="A228" s="548"/>
      <c r="B228" s="552"/>
      <c r="C228" s="1822" t="s">
        <v>8995</v>
      </c>
      <c r="D228" s="1822"/>
      <c r="E228" s="1822"/>
      <c r="F228" s="1822"/>
      <c r="G228" s="1822"/>
      <c r="H228" s="1822"/>
      <c r="I228" s="1822"/>
      <c r="J228" s="1822"/>
      <c r="K228" s="1822"/>
      <c r="L228" s="551">
        <v>38.6</v>
      </c>
      <c r="M228" s="550"/>
      <c r="N228" s="549"/>
      <c r="T228" s="674"/>
      <c r="U228" s="675"/>
      <c r="V228" s="675"/>
      <c r="AB228" s="675"/>
      <c r="AC228" s="675"/>
      <c r="AD228" s="537" t="s">
        <v>8995</v>
      </c>
      <c r="AE228" s="675"/>
      <c r="AF228" s="680"/>
    </row>
    <row r="229" spans="1:32" s="536" customFormat="1" ht="12" x14ac:dyDescent="0.2">
      <c r="A229" s="548"/>
      <c r="B229" s="552"/>
      <c r="C229" s="1822" t="s">
        <v>443</v>
      </c>
      <c r="D229" s="1822"/>
      <c r="E229" s="1822"/>
      <c r="F229" s="1822"/>
      <c r="G229" s="1822"/>
      <c r="H229" s="1822"/>
      <c r="I229" s="1822"/>
      <c r="J229" s="1822"/>
      <c r="K229" s="1822"/>
      <c r="L229" s="551">
        <v>150.51</v>
      </c>
      <c r="M229" s="550"/>
      <c r="N229" s="549"/>
      <c r="T229" s="674"/>
      <c r="U229" s="675"/>
      <c r="V229" s="675"/>
      <c r="AB229" s="675"/>
      <c r="AC229" s="675"/>
      <c r="AD229" s="537" t="s">
        <v>443</v>
      </c>
      <c r="AE229" s="675"/>
      <c r="AF229" s="680"/>
    </row>
    <row r="230" spans="1:32" s="536" customFormat="1" ht="12" x14ac:dyDescent="0.2">
      <c r="A230" s="548"/>
      <c r="B230" s="552"/>
      <c r="C230" s="1822" t="s">
        <v>444</v>
      </c>
      <c r="D230" s="1822"/>
      <c r="E230" s="1822"/>
      <c r="F230" s="1822"/>
      <c r="G230" s="1822"/>
      <c r="H230" s="1822"/>
      <c r="I230" s="1822"/>
      <c r="J230" s="1822"/>
      <c r="K230" s="1822"/>
      <c r="L230" s="551">
        <v>95.19</v>
      </c>
      <c r="M230" s="550"/>
      <c r="N230" s="549"/>
      <c r="T230" s="674"/>
      <c r="U230" s="675"/>
      <c r="V230" s="675"/>
      <c r="AB230" s="675"/>
      <c r="AC230" s="675"/>
      <c r="AD230" s="537" t="s">
        <v>444</v>
      </c>
      <c r="AE230" s="675"/>
      <c r="AF230" s="680"/>
    </row>
    <row r="231" spans="1:32" s="536" customFormat="1" ht="12" x14ac:dyDescent="0.2">
      <c r="A231" s="548"/>
      <c r="B231" s="552"/>
      <c r="C231" s="1822" t="s">
        <v>415</v>
      </c>
      <c r="D231" s="1822"/>
      <c r="E231" s="1822"/>
      <c r="F231" s="1822"/>
      <c r="G231" s="1822"/>
      <c r="H231" s="1822"/>
      <c r="I231" s="1822"/>
      <c r="J231" s="1822"/>
      <c r="K231" s="1822"/>
      <c r="L231" s="551">
        <v>128.63999999999999</v>
      </c>
      <c r="M231" s="550"/>
      <c r="N231" s="549"/>
      <c r="T231" s="674"/>
      <c r="U231" s="675"/>
      <c r="V231" s="675"/>
      <c r="AB231" s="675"/>
      <c r="AC231" s="675"/>
      <c r="AD231" s="537" t="s">
        <v>415</v>
      </c>
      <c r="AE231" s="675"/>
      <c r="AF231" s="680"/>
    </row>
    <row r="232" spans="1:32" s="536" customFormat="1" ht="12" x14ac:dyDescent="0.2">
      <c r="A232" s="548"/>
      <c r="B232" s="552"/>
      <c r="C232" s="1822" t="s">
        <v>416</v>
      </c>
      <c r="D232" s="1822"/>
      <c r="E232" s="1822"/>
      <c r="F232" s="1822"/>
      <c r="G232" s="1822"/>
      <c r="H232" s="1822"/>
      <c r="I232" s="1822"/>
      <c r="J232" s="1822"/>
      <c r="K232" s="1822"/>
      <c r="L232" s="551">
        <v>150.51</v>
      </c>
      <c r="M232" s="550"/>
      <c r="N232" s="549"/>
      <c r="T232" s="674"/>
      <c r="U232" s="675"/>
      <c r="V232" s="675"/>
      <c r="AB232" s="675"/>
      <c r="AC232" s="675"/>
      <c r="AD232" s="537" t="s">
        <v>416</v>
      </c>
      <c r="AE232" s="675"/>
      <c r="AF232" s="680"/>
    </row>
    <row r="233" spans="1:32" s="536" customFormat="1" ht="12" x14ac:dyDescent="0.2">
      <c r="A233" s="548"/>
      <c r="B233" s="552"/>
      <c r="C233" s="1822" t="s">
        <v>417</v>
      </c>
      <c r="D233" s="1822"/>
      <c r="E233" s="1822"/>
      <c r="F233" s="1822"/>
      <c r="G233" s="1822"/>
      <c r="H233" s="1822"/>
      <c r="I233" s="1822"/>
      <c r="J233" s="1822"/>
      <c r="K233" s="1822"/>
      <c r="L233" s="551">
        <v>95.19</v>
      </c>
      <c r="M233" s="550"/>
      <c r="N233" s="549"/>
      <c r="T233" s="674"/>
      <c r="U233" s="675"/>
      <c r="V233" s="675"/>
      <c r="AB233" s="675"/>
      <c r="AC233" s="675"/>
      <c r="AD233" s="537" t="s">
        <v>417</v>
      </c>
      <c r="AE233" s="675"/>
      <c r="AF233" s="680"/>
    </row>
    <row r="234" spans="1:32" s="536" customFormat="1" ht="12" x14ac:dyDescent="0.2">
      <c r="A234" s="548"/>
      <c r="B234" s="546"/>
      <c r="C234" s="1819" t="s">
        <v>6752</v>
      </c>
      <c r="D234" s="1819"/>
      <c r="E234" s="1819"/>
      <c r="F234" s="1819"/>
      <c r="G234" s="1819"/>
      <c r="H234" s="1819"/>
      <c r="I234" s="1819"/>
      <c r="J234" s="1819"/>
      <c r="K234" s="1819"/>
      <c r="L234" s="544">
        <v>679.05</v>
      </c>
      <c r="M234" s="543"/>
      <c r="N234" s="681"/>
      <c r="T234" s="674"/>
      <c r="U234" s="675"/>
      <c r="V234" s="675"/>
      <c r="AB234" s="675"/>
      <c r="AC234" s="675"/>
      <c r="AE234" s="675" t="s">
        <v>6752</v>
      </c>
      <c r="AF234" s="680"/>
    </row>
    <row r="235" spans="1:32" s="536" customFormat="1" ht="12" x14ac:dyDescent="0.2">
      <c r="A235" s="1824" t="s">
        <v>6753</v>
      </c>
      <c r="B235" s="1825"/>
      <c r="C235" s="1825"/>
      <c r="D235" s="1825"/>
      <c r="E235" s="1825"/>
      <c r="F235" s="1825"/>
      <c r="G235" s="1825"/>
      <c r="H235" s="1825"/>
      <c r="I235" s="1825"/>
      <c r="J235" s="1825"/>
      <c r="K235" s="1825"/>
      <c r="L235" s="1825"/>
      <c r="M235" s="1825"/>
      <c r="N235" s="1826"/>
      <c r="T235" s="674" t="s">
        <v>6753</v>
      </c>
      <c r="U235" s="675"/>
      <c r="V235" s="675"/>
      <c r="AB235" s="675"/>
      <c r="AC235" s="675"/>
      <c r="AE235" s="675"/>
      <c r="AF235" s="680"/>
    </row>
    <row r="236" spans="1:32" s="536" customFormat="1" ht="12" x14ac:dyDescent="0.2">
      <c r="A236" s="1830" t="s">
        <v>6728</v>
      </c>
      <c r="B236" s="1831"/>
      <c r="C236" s="1831"/>
      <c r="D236" s="1831"/>
      <c r="E236" s="1831"/>
      <c r="F236" s="1831"/>
      <c r="G236" s="1831"/>
      <c r="H236" s="1831"/>
      <c r="I236" s="1831"/>
      <c r="J236" s="1831"/>
      <c r="K236" s="1831"/>
      <c r="L236" s="1831"/>
      <c r="M236" s="1831"/>
      <c r="N236" s="1832"/>
      <c r="T236" s="674"/>
      <c r="U236" s="675" t="s">
        <v>6728</v>
      </c>
      <c r="V236" s="675"/>
      <c r="AB236" s="675"/>
      <c r="AC236" s="675"/>
      <c r="AE236" s="675"/>
      <c r="AF236" s="680"/>
    </row>
    <row r="237" spans="1:32" s="536" customFormat="1" ht="12" x14ac:dyDescent="0.2">
      <c r="A237" s="1830" t="s">
        <v>9002</v>
      </c>
      <c r="B237" s="1831"/>
      <c r="C237" s="1831"/>
      <c r="D237" s="1831"/>
      <c r="E237" s="1831"/>
      <c r="F237" s="1831"/>
      <c r="G237" s="1831"/>
      <c r="H237" s="1831"/>
      <c r="I237" s="1831"/>
      <c r="J237" s="1831"/>
      <c r="K237" s="1831"/>
      <c r="L237" s="1831"/>
      <c r="M237" s="1831"/>
      <c r="N237" s="1832"/>
      <c r="T237" s="674"/>
      <c r="U237" s="675" t="s">
        <v>9002</v>
      </c>
      <c r="V237" s="675"/>
      <c r="AB237" s="675"/>
      <c r="AC237" s="675"/>
      <c r="AE237" s="675"/>
      <c r="AF237" s="680"/>
    </row>
    <row r="238" spans="1:32" s="536" customFormat="1" ht="33.75" x14ac:dyDescent="0.2">
      <c r="A238" s="575" t="s">
        <v>199</v>
      </c>
      <c r="B238" s="684" t="s">
        <v>9003</v>
      </c>
      <c r="C238" s="1823" t="s">
        <v>9004</v>
      </c>
      <c r="D238" s="1823"/>
      <c r="E238" s="1823"/>
      <c r="F238" s="573" t="s">
        <v>519</v>
      </c>
      <c r="G238" s="573"/>
      <c r="H238" s="573"/>
      <c r="I238" s="573" t="s">
        <v>8235</v>
      </c>
      <c r="J238" s="572"/>
      <c r="K238" s="573"/>
      <c r="L238" s="572"/>
      <c r="M238" s="573"/>
      <c r="N238" s="570"/>
      <c r="T238" s="674"/>
      <c r="U238" s="675"/>
      <c r="V238" s="675" t="s">
        <v>9004</v>
      </c>
      <c r="AB238" s="675"/>
      <c r="AC238" s="675"/>
      <c r="AE238" s="675"/>
      <c r="AF238" s="680"/>
    </row>
    <row r="239" spans="1:32" s="536" customFormat="1" ht="12" x14ac:dyDescent="0.2">
      <c r="A239" s="676"/>
      <c r="B239" s="682"/>
      <c r="C239" s="1822" t="s">
        <v>9005</v>
      </c>
      <c r="D239" s="1822"/>
      <c r="E239" s="1822"/>
      <c r="F239" s="1822"/>
      <c r="G239" s="1822"/>
      <c r="H239" s="1822"/>
      <c r="I239" s="1822"/>
      <c r="J239" s="1822"/>
      <c r="K239" s="1822"/>
      <c r="L239" s="1822"/>
      <c r="M239" s="1822"/>
      <c r="N239" s="1827"/>
      <c r="T239" s="674"/>
      <c r="U239" s="675"/>
      <c r="V239" s="675"/>
      <c r="W239" s="537" t="s">
        <v>9005</v>
      </c>
      <c r="AB239" s="675"/>
      <c r="AC239" s="675"/>
      <c r="AE239" s="675"/>
      <c r="AF239" s="680"/>
    </row>
    <row r="240" spans="1:32" s="536" customFormat="1" ht="33.75" x14ac:dyDescent="0.2">
      <c r="A240" s="609"/>
      <c r="B240" s="552" t="s">
        <v>310</v>
      </c>
      <c r="C240" s="1822" t="s">
        <v>311</v>
      </c>
      <c r="D240" s="1822"/>
      <c r="E240" s="1822"/>
      <c r="F240" s="1822"/>
      <c r="G240" s="1822"/>
      <c r="H240" s="1822"/>
      <c r="I240" s="1822"/>
      <c r="J240" s="1822"/>
      <c r="K240" s="1822"/>
      <c r="L240" s="1822"/>
      <c r="M240" s="1822"/>
      <c r="N240" s="1827"/>
      <c r="T240" s="674"/>
      <c r="U240" s="675"/>
      <c r="V240" s="675"/>
      <c r="X240" s="537" t="s">
        <v>311</v>
      </c>
      <c r="AB240" s="675"/>
      <c r="AC240" s="675"/>
      <c r="AE240" s="675"/>
      <c r="AF240" s="680"/>
    </row>
    <row r="241" spans="1:32" s="536" customFormat="1" ht="12" x14ac:dyDescent="0.2">
      <c r="A241" s="605"/>
      <c r="B241" s="552" t="s">
        <v>185</v>
      </c>
      <c r="C241" s="1822" t="s">
        <v>312</v>
      </c>
      <c r="D241" s="1822"/>
      <c r="E241" s="1822"/>
      <c r="F241" s="562"/>
      <c r="G241" s="562"/>
      <c r="H241" s="562"/>
      <c r="I241" s="562"/>
      <c r="J241" s="604">
        <v>3124.87</v>
      </c>
      <c r="K241" s="562" t="s">
        <v>313</v>
      </c>
      <c r="L241" s="604">
        <v>107.42</v>
      </c>
      <c r="M241" s="562"/>
      <c r="N241" s="602"/>
      <c r="T241" s="674"/>
      <c r="U241" s="675"/>
      <c r="V241" s="675"/>
      <c r="Y241" s="537" t="s">
        <v>312</v>
      </c>
      <c r="AB241" s="675"/>
      <c r="AC241" s="675"/>
      <c r="AE241" s="675"/>
      <c r="AF241" s="680"/>
    </row>
    <row r="242" spans="1:32" s="536" customFormat="1" ht="12" x14ac:dyDescent="0.2">
      <c r="A242" s="605"/>
      <c r="B242" s="552" t="s">
        <v>186</v>
      </c>
      <c r="C242" s="1822" t="s">
        <v>344</v>
      </c>
      <c r="D242" s="1822"/>
      <c r="E242" s="1822"/>
      <c r="F242" s="562"/>
      <c r="G242" s="562"/>
      <c r="H242" s="562"/>
      <c r="I242" s="562"/>
      <c r="J242" s="604">
        <v>6969.41</v>
      </c>
      <c r="K242" s="562" t="s">
        <v>313</v>
      </c>
      <c r="L242" s="604">
        <v>239.57</v>
      </c>
      <c r="M242" s="562"/>
      <c r="N242" s="602"/>
      <c r="T242" s="674"/>
      <c r="U242" s="675"/>
      <c r="V242" s="675"/>
      <c r="Y242" s="537" t="s">
        <v>344</v>
      </c>
      <c r="AB242" s="675"/>
      <c r="AC242" s="675"/>
      <c r="AE242" s="675"/>
      <c r="AF242" s="680"/>
    </row>
    <row r="243" spans="1:32" s="536" customFormat="1" ht="12" x14ac:dyDescent="0.2">
      <c r="A243" s="605"/>
      <c r="B243" s="552" t="s">
        <v>187</v>
      </c>
      <c r="C243" s="1822" t="s">
        <v>345</v>
      </c>
      <c r="D243" s="1822"/>
      <c r="E243" s="1822"/>
      <c r="F243" s="562"/>
      <c r="G243" s="562"/>
      <c r="H243" s="562"/>
      <c r="I243" s="562"/>
      <c r="J243" s="604">
        <v>844.15</v>
      </c>
      <c r="K243" s="562" t="s">
        <v>313</v>
      </c>
      <c r="L243" s="604">
        <v>29.02</v>
      </c>
      <c r="M243" s="562"/>
      <c r="N243" s="602"/>
      <c r="T243" s="674"/>
      <c r="U243" s="675"/>
      <c r="V243" s="675"/>
      <c r="Y243" s="537" t="s">
        <v>345</v>
      </c>
      <c r="AB243" s="675"/>
      <c r="AC243" s="675"/>
      <c r="AE243" s="675"/>
      <c r="AF243" s="680"/>
    </row>
    <row r="244" spans="1:32" s="536" customFormat="1" ht="12" x14ac:dyDescent="0.2">
      <c r="A244" s="605"/>
      <c r="B244" s="552" t="s">
        <v>188</v>
      </c>
      <c r="C244" s="1822" t="s">
        <v>475</v>
      </c>
      <c r="D244" s="1822"/>
      <c r="E244" s="1822"/>
      <c r="F244" s="562"/>
      <c r="G244" s="562"/>
      <c r="H244" s="562"/>
      <c r="I244" s="562"/>
      <c r="J244" s="604">
        <v>146.13</v>
      </c>
      <c r="K244" s="562"/>
      <c r="L244" s="604">
        <v>4.0199999999999996</v>
      </c>
      <c r="M244" s="562"/>
      <c r="N244" s="602"/>
      <c r="T244" s="674"/>
      <c r="U244" s="675"/>
      <c r="V244" s="675"/>
      <c r="Y244" s="537" t="s">
        <v>475</v>
      </c>
      <c r="AB244" s="675"/>
      <c r="AC244" s="675"/>
      <c r="AE244" s="675"/>
      <c r="AF244" s="680"/>
    </row>
    <row r="245" spans="1:32" s="536" customFormat="1" ht="12" x14ac:dyDescent="0.2">
      <c r="A245" s="676"/>
      <c r="B245" s="677" t="s">
        <v>2458</v>
      </c>
      <c r="C245" s="1829" t="s">
        <v>2459</v>
      </c>
      <c r="D245" s="1829"/>
      <c r="E245" s="1829"/>
      <c r="F245" s="678" t="s">
        <v>483</v>
      </c>
      <c r="G245" s="678" t="s">
        <v>9006</v>
      </c>
      <c r="H245" s="678"/>
      <c r="I245" s="678" t="s">
        <v>9007</v>
      </c>
      <c r="J245" s="552"/>
      <c r="K245" s="562"/>
      <c r="L245" s="604"/>
      <c r="M245" s="562"/>
      <c r="N245" s="679"/>
      <c r="T245" s="674"/>
      <c r="U245" s="675"/>
      <c r="V245" s="675"/>
      <c r="AB245" s="675"/>
      <c r="AC245" s="675"/>
      <c r="AE245" s="675"/>
      <c r="AF245" s="680" t="s">
        <v>2459</v>
      </c>
    </row>
    <row r="246" spans="1:32" s="536" customFormat="1" ht="12" x14ac:dyDescent="0.2">
      <c r="A246" s="605"/>
      <c r="B246" s="552"/>
      <c r="C246" s="1822" t="s">
        <v>314</v>
      </c>
      <c r="D246" s="1822"/>
      <c r="E246" s="1822"/>
      <c r="F246" s="562" t="s">
        <v>315</v>
      </c>
      <c r="G246" s="562" t="s">
        <v>9008</v>
      </c>
      <c r="H246" s="562" t="s">
        <v>313</v>
      </c>
      <c r="I246" s="562" t="s">
        <v>9009</v>
      </c>
      <c r="J246" s="604"/>
      <c r="K246" s="562"/>
      <c r="L246" s="604"/>
      <c r="M246" s="562"/>
      <c r="N246" s="602"/>
      <c r="T246" s="674"/>
      <c r="U246" s="675"/>
      <c r="V246" s="675"/>
      <c r="Z246" s="537" t="s">
        <v>314</v>
      </c>
      <c r="AB246" s="675"/>
      <c r="AC246" s="675"/>
      <c r="AE246" s="675"/>
      <c r="AF246" s="680"/>
    </row>
    <row r="247" spans="1:32" s="536" customFormat="1" ht="12" x14ac:dyDescent="0.2">
      <c r="A247" s="605"/>
      <c r="B247" s="552"/>
      <c r="C247" s="1822" t="s">
        <v>348</v>
      </c>
      <c r="D247" s="1822"/>
      <c r="E247" s="1822"/>
      <c r="F247" s="562" t="s">
        <v>315</v>
      </c>
      <c r="G247" s="562" t="s">
        <v>9010</v>
      </c>
      <c r="H247" s="562" t="s">
        <v>313</v>
      </c>
      <c r="I247" s="562" t="s">
        <v>9011</v>
      </c>
      <c r="J247" s="604"/>
      <c r="K247" s="562"/>
      <c r="L247" s="604"/>
      <c r="M247" s="562"/>
      <c r="N247" s="602"/>
      <c r="T247" s="674"/>
      <c r="U247" s="675"/>
      <c r="V247" s="675"/>
      <c r="Z247" s="537" t="s">
        <v>348</v>
      </c>
      <c r="AB247" s="675"/>
      <c r="AC247" s="675"/>
      <c r="AE247" s="675"/>
      <c r="AF247" s="680"/>
    </row>
    <row r="248" spans="1:32" s="536" customFormat="1" ht="12" x14ac:dyDescent="0.2">
      <c r="A248" s="605"/>
      <c r="B248" s="552"/>
      <c r="C248" s="1828" t="s">
        <v>318</v>
      </c>
      <c r="D248" s="1828"/>
      <c r="E248" s="1828"/>
      <c r="F248" s="608"/>
      <c r="G248" s="608"/>
      <c r="H248" s="608"/>
      <c r="I248" s="608"/>
      <c r="J248" s="607">
        <v>10240.41</v>
      </c>
      <c r="K248" s="608"/>
      <c r="L248" s="607">
        <v>351.01</v>
      </c>
      <c r="M248" s="608"/>
      <c r="N248" s="606"/>
      <c r="T248" s="674"/>
      <c r="U248" s="675"/>
      <c r="V248" s="675"/>
      <c r="AA248" s="537" t="s">
        <v>318</v>
      </c>
      <c r="AB248" s="675"/>
      <c r="AC248" s="675"/>
      <c r="AE248" s="675"/>
      <c r="AF248" s="680"/>
    </row>
    <row r="249" spans="1:32" s="536" customFormat="1" ht="12" x14ac:dyDescent="0.2">
      <c r="A249" s="605"/>
      <c r="B249" s="552"/>
      <c r="C249" s="1822" t="s">
        <v>319</v>
      </c>
      <c r="D249" s="1822"/>
      <c r="E249" s="1822"/>
      <c r="F249" s="562"/>
      <c r="G249" s="562"/>
      <c r="H249" s="562"/>
      <c r="I249" s="562"/>
      <c r="J249" s="604"/>
      <c r="K249" s="562"/>
      <c r="L249" s="604">
        <v>136.44</v>
      </c>
      <c r="M249" s="562"/>
      <c r="N249" s="602"/>
      <c r="T249" s="674"/>
      <c r="U249" s="675"/>
      <c r="V249" s="675"/>
      <c r="Z249" s="537" t="s">
        <v>319</v>
      </c>
      <c r="AB249" s="675"/>
      <c r="AC249" s="675"/>
      <c r="AE249" s="675"/>
      <c r="AF249" s="680"/>
    </row>
    <row r="250" spans="1:32" s="536" customFormat="1" ht="33.75" x14ac:dyDescent="0.2">
      <c r="A250" s="605"/>
      <c r="B250" s="552" t="s">
        <v>533</v>
      </c>
      <c r="C250" s="1822" t="s">
        <v>534</v>
      </c>
      <c r="D250" s="1822"/>
      <c r="E250" s="1822"/>
      <c r="F250" s="562" t="s">
        <v>322</v>
      </c>
      <c r="G250" s="562" t="s">
        <v>535</v>
      </c>
      <c r="H250" s="562"/>
      <c r="I250" s="562" t="s">
        <v>535</v>
      </c>
      <c r="J250" s="604"/>
      <c r="K250" s="562"/>
      <c r="L250" s="604">
        <v>159.63</v>
      </c>
      <c r="M250" s="562"/>
      <c r="N250" s="602"/>
      <c r="T250" s="674"/>
      <c r="U250" s="675"/>
      <c r="V250" s="675"/>
      <c r="Z250" s="537" t="s">
        <v>534</v>
      </c>
      <c r="AB250" s="675"/>
      <c r="AC250" s="675"/>
      <c r="AE250" s="675"/>
      <c r="AF250" s="680"/>
    </row>
    <row r="251" spans="1:32" s="536" customFormat="1" ht="33.75" x14ac:dyDescent="0.2">
      <c r="A251" s="605"/>
      <c r="B251" s="552" t="s">
        <v>536</v>
      </c>
      <c r="C251" s="1822" t="s">
        <v>537</v>
      </c>
      <c r="D251" s="1822"/>
      <c r="E251" s="1822"/>
      <c r="F251" s="562" t="s">
        <v>322</v>
      </c>
      <c r="G251" s="562" t="s">
        <v>538</v>
      </c>
      <c r="H251" s="562"/>
      <c r="I251" s="562" t="s">
        <v>538</v>
      </c>
      <c r="J251" s="604"/>
      <c r="K251" s="562"/>
      <c r="L251" s="604">
        <v>100.97</v>
      </c>
      <c r="M251" s="562"/>
      <c r="N251" s="602"/>
      <c r="T251" s="674"/>
      <c r="U251" s="675"/>
      <c r="V251" s="675"/>
      <c r="Z251" s="537" t="s">
        <v>537</v>
      </c>
      <c r="AB251" s="675"/>
      <c r="AC251" s="675"/>
      <c r="AE251" s="675"/>
      <c r="AF251" s="680"/>
    </row>
    <row r="252" spans="1:32" s="536" customFormat="1" ht="12" x14ac:dyDescent="0.2">
      <c r="A252" s="569"/>
      <c r="B252" s="683"/>
      <c r="C252" s="1823" t="s">
        <v>327</v>
      </c>
      <c r="D252" s="1823"/>
      <c r="E252" s="1823"/>
      <c r="F252" s="573"/>
      <c r="G252" s="573"/>
      <c r="H252" s="573"/>
      <c r="I252" s="573"/>
      <c r="J252" s="572"/>
      <c r="K252" s="573"/>
      <c r="L252" s="572">
        <v>611.61</v>
      </c>
      <c r="M252" s="608"/>
      <c r="N252" s="570"/>
      <c r="T252" s="674"/>
      <c r="U252" s="675"/>
      <c r="V252" s="675"/>
      <c r="AB252" s="675" t="s">
        <v>327</v>
      </c>
      <c r="AC252" s="675"/>
      <c r="AE252" s="675"/>
      <c r="AF252" s="680"/>
    </row>
    <row r="253" spans="1:32" s="536" customFormat="1" ht="45" x14ac:dyDescent="0.2">
      <c r="A253" s="575" t="s">
        <v>200</v>
      </c>
      <c r="B253" s="684" t="s">
        <v>9012</v>
      </c>
      <c r="C253" s="1823" t="s">
        <v>9013</v>
      </c>
      <c r="D253" s="1823"/>
      <c r="E253" s="1823"/>
      <c r="F253" s="573" t="s">
        <v>483</v>
      </c>
      <c r="G253" s="573"/>
      <c r="H253" s="573"/>
      <c r="I253" s="573" t="s">
        <v>9007</v>
      </c>
      <c r="J253" s="572">
        <v>1751.79</v>
      </c>
      <c r="K253" s="573"/>
      <c r="L253" s="572">
        <v>48607.79</v>
      </c>
      <c r="M253" s="573"/>
      <c r="N253" s="570"/>
      <c r="T253" s="674"/>
      <c r="U253" s="675"/>
      <c r="V253" s="675" t="s">
        <v>9013</v>
      </c>
      <c r="AB253" s="675"/>
      <c r="AC253" s="675"/>
      <c r="AE253" s="675"/>
      <c r="AF253" s="680"/>
    </row>
    <row r="254" spans="1:32" s="536" customFormat="1" ht="12" x14ac:dyDescent="0.2">
      <c r="A254" s="569"/>
      <c r="B254" s="683"/>
      <c r="C254" s="689" t="s">
        <v>717</v>
      </c>
      <c r="D254" s="690"/>
      <c r="E254" s="690"/>
      <c r="F254" s="563"/>
      <c r="G254" s="563"/>
      <c r="H254" s="563"/>
      <c r="I254" s="563"/>
      <c r="J254" s="566"/>
      <c r="K254" s="563"/>
      <c r="L254" s="566"/>
      <c r="M254" s="565"/>
      <c r="N254" s="564"/>
      <c r="T254" s="674"/>
      <c r="U254" s="675"/>
      <c r="V254" s="675"/>
      <c r="AB254" s="675"/>
      <c r="AC254" s="675"/>
      <c r="AE254" s="675"/>
      <c r="AF254" s="680"/>
    </row>
    <row r="255" spans="1:32" s="536" customFormat="1" ht="22.5" x14ac:dyDescent="0.2">
      <c r="A255" s="575" t="s">
        <v>425</v>
      </c>
      <c r="B255" s="684" t="s">
        <v>6754</v>
      </c>
      <c r="C255" s="1823" t="s">
        <v>9014</v>
      </c>
      <c r="D255" s="1823"/>
      <c r="E255" s="1823"/>
      <c r="F255" s="573" t="s">
        <v>1110</v>
      </c>
      <c r="G255" s="573"/>
      <c r="H255" s="573"/>
      <c r="I255" s="573" t="s">
        <v>2441</v>
      </c>
      <c r="J255" s="572"/>
      <c r="K255" s="573"/>
      <c r="L255" s="572"/>
      <c r="M255" s="573"/>
      <c r="N255" s="570"/>
      <c r="T255" s="674"/>
      <c r="U255" s="675"/>
      <c r="V255" s="675" t="s">
        <v>9014</v>
      </c>
      <c r="AB255" s="675"/>
      <c r="AC255" s="675"/>
      <c r="AE255" s="675"/>
      <c r="AF255" s="680"/>
    </row>
    <row r="256" spans="1:32" s="536" customFormat="1" ht="12" x14ac:dyDescent="0.2">
      <c r="A256" s="676"/>
      <c r="B256" s="682"/>
      <c r="C256" s="1822" t="s">
        <v>4655</v>
      </c>
      <c r="D256" s="1822"/>
      <c r="E256" s="1822"/>
      <c r="F256" s="1822"/>
      <c r="G256" s="1822"/>
      <c r="H256" s="1822"/>
      <c r="I256" s="1822"/>
      <c r="J256" s="1822"/>
      <c r="K256" s="1822"/>
      <c r="L256" s="1822"/>
      <c r="M256" s="1822"/>
      <c r="N256" s="1827"/>
      <c r="T256" s="674"/>
      <c r="U256" s="675"/>
      <c r="V256" s="675"/>
      <c r="W256" s="537" t="s">
        <v>4655</v>
      </c>
      <c r="AB256" s="675"/>
      <c r="AC256" s="675"/>
      <c r="AE256" s="675"/>
      <c r="AF256" s="680"/>
    </row>
    <row r="257" spans="1:32" s="536" customFormat="1" ht="33.75" x14ac:dyDescent="0.2">
      <c r="A257" s="609"/>
      <c r="B257" s="552" t="s">
        <v>310</v>
      </c>
      <c r="C257" s="1822" t="s">
        <v>311</v>
      </c>
      <c r="D257" s="1822"/>
      <c r="E257" s="1822"/>
      <c r="F257" s="1822"/>
      <c r="G257" s="1822"/>
      <c r="H257" s="1822"/>
      <c r="I257" s="1822"/>
      <c r="J257" s="1822"/>
      <c r="K257" s="1822"/>
      <c r="L257" s="1822"/>
      <c r="M257" s="1822"/>
      <c r="N257" s="1827"/>
      <c r="T257" s="674"/>
      <c r="U257" s="675"/>
      <c r="V257" s="675"/>
      <c r="X257" s="537" t="s">
        <v>311</v>
      </c>
      <c r="AB257" s="675"/>
      <c r="AC257" s="675"/>
      <c r="AE257" s="675"/>
      <c r="AF257" s="680"/>
    </row>
    <row r="258" spans="1:32" s="536" customFormat="1" ht="12" x14ac:dyDescent="0.2">
      <c r="A258" s="605"/>
      <c r="B258" s="552" t="s">
        <v>185</v>
      </c>
      <c r="C258" s="1822" t="s">
        <v>312</v>
      </c>
      <c r="D258" s="1822"/>
      <c r="E258" s="1822"/>
      <c r="F258" s="562"/>
      <c r="G258" s="562"/>
      <c r="H258" s="562"/>
      <c r="I258" s="562"/>
      <c r="J258" s="604">
        <v>811.93</v>
      </c>
      <c r="K258" s="562" t="s">
        <v>313</v>
      </c>
      <c r="L258" s="604">
        <v>279.10000000000002</v>
      </c>
      <c r="M258" s="562"/>
      <c r="N258" s="602"/>
      <c r="T258" s="674"/>
      <c r="U258" s="675"/>
      <c r="V258" s="675"/>
      <c r="Y258" s="537" t="s">
        <v>312</v>
      </c>
      <c r="AB258" s="675"/>
      <c r="AC258" s="675"/>
      <c r="AE258" s="675"/>
      <c r="AF258" s="680"/>
    </row>
    <row r="259" spans="1:32" s="536" customFormat="1" ht="12" x14ac:dyDescent="0.2">
      <c r="A259" s="605"/>
      <c r="B259" s="552" t="s">
        <v>186</v>
      </c>
      <c r="C259" s="1822" t="s">
        <v>344</v>
      </c>
      <c r="D259" s="1822"/>
      <c r="E259" s="1822"/>
      <c r="F259" s="562"/>
      <c r="G259" s="562"/>
      <c r="H259" s="562"/>
      <c r="I259" s="562"/>
      <c r="J259" s="604">
        <v>29.43</v>
      </c>
      <c r="K259" s="562" t="s">
        <v>313</v>
      </c>
      <c r="L259" s="604">
        <v>10.119999999999999</v>
      </c>
      <c r="M259" s="562"/>
      <c r="N259" s="602"/>
      <c r="T259" s="674"/>
      <c r="U259" s="675"/>
      <c r="V259" s="675"/>
      <c r="Y259" s="537" t="s">
        <v>344</v>
      </c>
      <c r="AB259" s="675"/>
      <c r="AC259" s="675"/>
      <c r="AE259" s="675"/>
      <c r="AF259" s="680"/>
    </row>
    <row r="260" spans="1:32" s="536" customFormat="1" ht="12" x14ac:dyDescent="0.2">
      <c r="A260" s="605"/>
      <c r="B260" s="552" t="s">
        <v>187</v>
      </c>
      <c r="C260" s="1822" t="s">
        <v>345</v>
      </c>
      <c r="D260" s="1822"/>
      <c r="E260" s="1822"/>
      <c r="F260" s="562"/>
      <c r="G260" s="562"/>
      <c r="H260" s="562"/>
      <c r="I260" s="562"/>
      <c r="J260" s="604">
        <v>1.97</v>
      </c>
      <c r="K260" s="562" t="s">
        <v>313</v>
      </c>
      <c r="L260" s="604">
        <v>0.68</v>
      </c>
      <c r="M260" s="562"/>
      <c r="N260" s="602"/>
      <c r="T260" s="674"/>
      <c r="U260" s="675"/>
      <c r="V260" s="675"/>
      <c r="Y260" s="537" t="s">
        <v>345</v>
      </c>
      <c r="AB260" s="675"/>
      <c r="AC260" s="675"/>
      <c r="AE260" s="675"/>
      <c r="AF260" s="680"/>
    </row>
    <row r="261" spans="1:32" s="536" customFormat="1" ht="12" x14ac:dyDescent="0.2">
      <c r="A261" s="605"/>
      <c r="B261" s="552" t="s">
        <v>188</v>
      </c>
      <c r="C261" s="1822" t="s">
        <v>475</v>
      </c>
      <c r="D261" s="1822"/>
      <c r="E261" s="1822"/>
      <c r="F261" s="562"/>
      <c r="G261" s="562"/>
      <c r="H261" s="562"/>
      <c r="I261" s="562"/>
      <c r="J261" s="604">
        <v>910.69</v>
      </c>
      <c r="K261" s="562"/>
      <c r="L261" s="604">
        <v>250.44</v>
      </c>
      <c r="M261" s="562"/>
      <c r="N261" s="602"/>
      <c r="T261" s="674"/>
      <c r="U261" s="675"/>
      <c r="V261" s="675"/>
      <c r="Y261" s="537" t="s">
        <v>475</v>
      </c>
      <c r="AB261" s="675"/>
      <c r="AC261" s="675"/>
      <c r="AE261" s="675"/>
      <c r="AF261" s="680"/>
    </row>
    <row r="262" spans="1:32" s="536" customFormat="1" ht="12" x14ac:dyDescent="0.2">
      <c r="A262" s="605"/>
      <c r="B262" s="552"/>
      <c r="C262" s="1822" t="s">
        <v>314</v>
      </c>
      <c r="D262" s="1822"/>
      <c r="E262" s="1822"/>
      <c r="F262" s="562" t="s">
        <v>315</v>
      </c>
      <c r="G262" s="562" t="s">
        <v>6756</v>
      </c>
      <c r="H262" s="562" t="s">
        <v>313</v>
      </c>
      <c r="I262" s="562" t="s">
        <v>9015</v>
      </c>
      <c r="J262" s="604"/>
      <c r="K262" s="562"/>
      <c r="L262" s="604"/>
      <c r="M262" s="562"/>
      <c r="N262" s="602"/>
      <c r="T262" s="674"/>
      <c r="U262" s="675"/>
      <c r="V262" s="675"/>
      <c r="Z262" s="537" t="s">
        <v>314</v>
      </c>
      <c r="AB262" s="675"/>
      <c r="AC262" s="675"/>
      <c r="AE262" s="675"/>
      <c r="AF262" s="680"/>
    </row>
    <row r="263" spans="1:32" s="536" customFormat="1" ht="12" x14ac:dyDescent="0.2">
      <c r="A263" s="605"/>
      <c r="B263" s="552"/>
      <c r="C263" s="1822" t="s">
        <v>348</v>
      </c>
      <c r="D263" s="1822"/>
      <c r="E263" s="1822"/>
      <c r="F263" s="562" t="s">
        <v>315</v>
      </c>
      <c r="G263" s="562" t="s">
        <v>1911</v>
      </c>
      <c r="H263" s="562" t="s">
        <v>313</v>
      </c>
      <c r="I263" s="562" t="s">
        <v>9016</v>
      </c>
      <c r="J263" s="604"/>
      <c r="K263" s="562"/>
      <c r="L263" s="604"/>
      <c r="M263" s="562"/>
      <c r="N263" s="602"/>
      <c r="T263" s="674"/>
      <c r="U263" s="675"/>
      <c r="V263" s="675"/>
      <c r="Z263" s="537" t="s">
        <v>348</v>
      </c>
      <c r="AB263" s="675"/>
      <c r="AC263" s="675"/>
      <c r="AE263" s="675"/>
      <c r="AF263" s="680"/>
    </row>
    <row r="264" spans="1:32" s="536" customFormat="1" ht="12" x14ac:dyDescent="0.2">
      <c r="A264" s="605"/>
      <c r="B264" s="552"/>
      <c r="C264" s="1828" t="s">
        <v>318</v>
      </c>
      <c r="D264" s="1828"/>
      <c r="E264" s="1828"/>
      <c r="F264" s="608"/>
      <c r="G264" s="608"/>
      <c r="H264" s="608"/>
      <c r="I264" s="608"/>
      <c r="J264" s="607">
        <v>1752.05</v>
      </c>
      <c r="K264" s="608"/>
      <c r="L264" s="607">
        <v>539.66</v>
      </c>
      <c r="M264" s="608"/>
      <c r="N264" s="606"/>
      <c r="T264" s="674"/>
      <c r="U264" s="675"/>
      <c r="V264" s="675"/>
      <c r="AA264" s="537" t="s">
        <v>318</v>
      </c>
      <c r="AB264" s="675"/>
      <c r="AC264" s="675"/>
      <c r="AE264" s="675"/>
      <c r="AF264" s="680"/>
    </row>
    <row r="265" spans="1:32" s="536" customFormat="1" ht="12" x14ac:dyDescent="0.2">
      <c r="A265" s="605"/>
      <c r="B265" s="552"/>
      <c r="C265" s="1822" t="s">
        <v>319</v>
      </c>
      <c r="D265" s="1822"/>
      <c r="E265" s="1822"/>
      <c r="F265" s="562"/>
      <c r="G265" s="562"/>
      <c r="H265" s="562"/>
      <c r="I265" s="562"/>
      <c r="J265" s="604"/>
      <c r="K265" s="562"/>
      <c r="L265" s="604">
        <v>279.77999999999997</v>
      </c>
      <c r="M265" s="562"/>
      <c r="N265" s="602"/>
      <c r="T265" s="674"/>
      <c r="U265" s="675"/>
      <c r="V265" s="675"/>
      <c r="Z265" s="537" t="s">
        <v>319</v>
      </c>
      <c r="AB265" s="675"/>
      <c r="AC265" s="675"/>
      <c r="AE265" s="675"/>
      <c r="AF265" s="680"/>
    </row>
    <row r="266" spans="1:32" s="536" customFormat="1" ht="33.75" x14ac:dyDescent="0.2">
      <c r="A266" s="605"/>
      <c r="B266" s="552" t="s">
        <v>533</v>
      </c>
      <c r="C266" s="1822" t="s">
        <v>534</v>
      </c>
      <c r="D266" s="1822"/>
      <c r="E266" s="1822"/>
      <c r="F266" s="562" t="s">
        <v>322</v>
      </c>
      <c r="G266" s="562" t="s">
        <v>535</v>
      </c>
      <c r="H266" s="562"/>
      <c r="I266" s="562" t="s">
        <v>535</v>
      </c>
      <c r="J266" s="604"/>
      <c r="K266" s="562"/>
      <c r="L266" s="604">
        <v>327.33999999999997</v>
      </c>
      <c r="M266" s="562"/>
      <c r="N266" s="602"/>
      <c r="T266" s="674"/>
      <c r="U266" s="675"/>
      <c r="V266" s="675"/>
      <c r="Z266" s="537" t="s">
        <v>534</v>
      </c>
      <c r="AB266" s="675"/>
      <c r="AC266" s="675"/>
      <c r="AE266" s="675"/>
      <c r="AF266" s="680"/>
    </row>
    <row r="267" spans="1:32" s="536" customFormat="1" ht="33.75" x14ac:dyDescent="0.2">
      <c r="A267" s="605"/>
      <c r="B267" s="552" t="s">
        <v>536</v>
      </c>
      <c r="C267" s="1822" t="s">
        <v>537</v>
      </c>
      <c r="D267" s="1822"/>
      <c r="E267" s="1822"/>
      <c r="F267" s="562" t="s">
        <v>322</v>
      </c>
      <c r="G267" s="562" t="s">
        <v>538</v>
      </c>
      <c r="H267" s="562"/>
      <c r="I267" s="562" t="s">
        <v>538</v>
      </c>
      <c r="J267" s="604"/>
      <c r="K267" s="562"/>
      <c r="L267" s="604">
        <v>207.04</v>
      </c>
      <c r="M267" s="562"/>
      <c r="N267" s="602"/>
      <c r="T267" s="674"/>
      <c r="U267" s="675"/>
      <c r="V267" s="675"/>
      <c r="Z267" s="537" t="s">
        <v>537</v>
      </c>
      <c r="AB267" s="675"/>
      <c r="AC267" s="675"/>
      <c r="AE267" s="675"/>
      <c r="AF267" s="680"/>
    </row>
    <row r="268" spans="1:32" s="536" customFormat="1" ht="12" x14ac:dyDescent="0.2">
      <c r="A268" s="569"/>
      <c r="B268" s="683"/>
      <c r="C268" s="1823" t="s">
        <v>327</v>
      </c>
      <c r="D268" s="1823"/>
      <c r="E268" s="1823"/>
      <c r="F268" s="573"/>
      <c r="G268" s="573"/>
      <c r="H268" s="573"/>
      <c r="I268" s="573"/>
      <c r="J268" s="572"/>
      <c r="K268" s="573"/>
      <c r="L268" s="572">
        <v>1074.04</v>
      </c>
      <c r="M268" s="608"/>
      <c r="N268" s="570"/>
      <c r="T268" s="674"/>
      <c r="U268" s="675"/>
      <c r="V268" s="675"/>
      <c r="AB268" s="675" t="s">
        <v>327</v>
      </c>
      <c r="AC268" s="675"/>
      <c r="AE268" s="675"/>
      <c r="AF268" s="680"/>
    </row>
    <row r="269" spans="1:32" s="536" customFormat="1" ht="22.5" x14ac:dyDescent="0.2">
      <c r="A269" s="575" t="s">
        <v>430</v>
      </c>
      <c r="B269" s="684" t="s">
        <v>4330</v>
      </c>
      <c r="C269" s="1823" t="s">
        <v>4331</v>
      </c>
      <c r="D269" s="1823"/>
      <c r="E269" s="1823"/>
      <c r="F269" s="573" t="s">
        <v>694</v>
      </c>
      <c r="G269" s="573"/>
      <c r="H269" s="573"/>
      <c r="I269" s="573" t="s">
        <v>9017</v>
      </c>
      <c r="J269" s="572"/>
      <c r="K269" s="573"/>
      <c r="L269" s="572"/>
      <c r="M269" s="573"/>
      <c r="N269" s="570"/>
      <c r="T269" s="674"/>
      <c r="U269" s="675"/>
      <c r="V269" s="675" t="s">
        <v>4331</v>
      </c>
      <c r="AB269" s="675"/>
      <c r="AC269" s="675"/>
      <c r="AE269" s="675"/>
      <c r="AF269" s="680"/>
    </row>
    <row r="270" spans="1:32" s="536" customFormat="1" ht="12" x14ac:dyDescent="0.2">
      <c r="A270" s="676"/>
      <c r="B270" s="682"/>
      <c r="C270" s="1822" t="s">
        <v>9018</v>
      </c>
      <c r="D270" s="1822"/>
      <c r="E270" s="1822"/>
      <c r="F270" s="1822"/>
      <c r="G270" s="1822"/>
      <c r="H270" s="1822"/>
      <c r="I270" s="1822"/>
      <c r="J270" s="1822"/>
      <c r="K270" s="1822"/>
      <c r="L270" s="1822"/>
      <c r="M270" s="1822"/>
      <c r="N270" s="1827"/>
      <c r="T270" s="674"/>
      <c r="U270" s="675"/>
      <c r="V270" s="675"/>
      <c r="W270" s="537" t="s">
        <v>9018</v>
      </c>
      <c r="AB270" s="675"/>
      <c r="AC270" s="675"/>
      <c r="AE270" s="675"/>
      <c r="AF270" s="680"/>
    </row>
    <row r="271" spans="1:32" s="536" customFormat="1" ht="33.75" x14ac:dyDescent="0.2">
      <c r="A271" s="609"/>
      <c r="B271" s="552" t="s">
        <v>310</v>
      </c>
      <c r="C271" s="1822" t="s">
        <v>311</v>
      </c>
      <c r="D271" s="1822"/>
      <c r="E271" s="1822"/>
      <c r="F271" s="1822"/>
      <c r="G271" s="1822"/>
      <c r="H271" s="1822"/>
      <c r="I271" s="1822"/>
      <c r="J271" s="1822"/>
      <c r="K271" s="1822"/>
      <c r="L271" s="1822"/>
      <c r="M271" s="1822"/>
      <c r="N271" s="1827"/>
      <c r="T271" s="674"/>
      <c r="U271" s="675"/>
      <c r="V271" s="675"/>
      <c r="X271" s="537" t="s">
        <v>311</v>
      </c>
      <c r="AB271" s="675"/>
      <c r="AC271" s="675"/>
      <c r="AE271" s="675"/>
      <c r="AF271" s="680"/>
    </row>
    <row r="272" spans="1:32" s="536" customFormat="1" ht="12" x14ac:dyDescent="0.2">
      <c r="A272" s="605"/>
      <c r="B272" s="552" t="s">
        <v>185</v>
      </c>
      <c r="C272" s="1822" t="s">
        <v>312</v>
      </c>
      <c r="D272" s="1822"/>
      <c r="E272" s="1822"/>
      <c r="F272" s="562"/>
      <c r="G272" s="562"/>
      <c r="H272" s="562"/>
      <c r="I272" s="562"/>
      <c r="J272" s="604">
        <v>3467.84</v>
      </c>
      <c r="K272" s="562" t="s">
        <v>313</v>
      </c>
      <c r="L272" s="604">
        <v>29.48</v>
      </c>
      <c r="M272" s="562"/>
      <c r="N272" s="602"/>
      <c r="T272" s="674"/>
      <c r="U272" s="675"/>
      <c r="V272" s="675"/>
      <c r="Y272" s="537" t="s">
        <v>312</v>
      </c>
      <c r="AB272" s="675"/>
      <c r="AC272" s="675"/>
      <c r="AE272" s="675"/>
      <c r="AF272" s="680"/>
    </row>
    <row r="273" spans="1:32" s="536" customFormat="1" ht="12" x14ac:dyDescent="0.2">
      <c r="A273" s="605"/>
      <c r="B273" s="552" t="s">
        <v>186</v>
      </c>
      <c r="C273" s="1822" t="s">
        <v>344</v>
      </c>
      <c r="D273" s="1822"/>
      <c r="E273" s="1822"/>
      <c r="F273" s="562"/>
      <c r="G273" s="562"/>
      <c r="H273" s="562"/>
      <c r="I273" s="562"/>
      <c r="J273" s="604">
        <v>12472.06</v>
      </c>
      <c r="K273" s="562" t="s">
        <v>313</v>
      </c>
      <c r="L273" s="604">
        <v>106.01</v>
      </c>
      <c r="M273" s="562"/>
      <c r="N273" s="602"/>
      <c r="T273" s="674"/>
      <c r="U273" s="675"/>
      <c r="V273" s="675"/>
      <c r="Y273" s="537" t="s">
        <v>344</v>
      </c>
      <c r="AB273" s="675"/>
      <c r="AC273" s="675"/>
      <c r="AE273" s="675"/>
      <c r="AF273" s="680"/>
    </row>
    <row r="274" spans="1:32" s="536" customFormat="1" ht="12" x14ac:dyDescent="0.2">
      <c r="A274" s="605"/>
      <c r="B274" s="552" t="s">
        <v>187</v>
      </c>
      <c r="C274" s="1822" t="s">
        <v>345</v>
      </c>
      <c r="D274" s="1822"/>
      <c r="E274" s="1822"/>
      <c r="F274" s="562"/>
      <c r="G274" s="562"/>
      <c r="H274" s="562"/>
      <c r="I274" s="562"/>
      <c r="J274" s="604">
        <v>1266.81</v>
      </c>
      <c r="K274" s="562" t="s">
        <v>313</v>
      </c>
      <c r="L274" s="604">
        <v>10.77</v>
      </c>
      <c r="M274" s="562"/>
      <c r="N274" s="602"/>
      <c r="T274" s="674"/>
      <c r="U274" s="675"/>
      <c r="V274" s="675"/>
      <c r="Y274" s="537" t="s">
        <v>345</v>
      </c>
      <c r="AB274" s="675"/>
      <c r="AC274" s="675"/>
      <c r="AE274" s="675"/>
      <c r="AF274" s="680"/>
    </row>
    <row r="275" spans="1:32" s="536" customFormat="1" ht="12" x14ac:dyDescent="0.2">
      <c r="A275" s="605"/>
      <c r="B275" s="552" t="s">
        <v>188</v>
      </c>
      <c r="C275" s="1822" t="s">
        <v>475</v>
      </c>
      <c r="D275" s="1822"/>
      <c r="E275" s="1822"/>
      <c r="F275" s="562"/>
      <c r="G275" s="562"/>
      <c r="H275" s="562"/>
      <c r="I275" s="562"/>
      <c r="J275" s="604">
        <v>6348.16</v>
      </c>
      <c r="K275" s="562"/>
      <c r="L275" s="604">
        <v>43.17</v>
      </c>
      <c r="M275" s="562"/>
      <c r="N275" s="602"/>
      <c r="T275" s="674"/>
      <c r="U275" s="675"/>
      <c r="V275" s="675"/>
      <c r="Y275" s="537" t="s">
        <v>475</v>
      </c>
      <c r="AB275" s="675"/>
      <c r="AC275" s="675"/>
      <c r="AE275" s="675"/>
      <c r="AF275" s="680"/>
    </row>
    <row r="276" spans="1:32" s="536" customFormat="1" ht="12" x14ac:dyDescent="0.2">
      <c r="A276" s="676"/>
      <c r="B276" s="677" t="s">
        <v>4334</v>
      </c>
      <c r="C276" s="1829" t="s">
        <v>4335</v>
      </c>
      <c r="D276" s="1829"/>
      <c r="E276" s="1829"/>
      <c r="F276" s="678" t="s">
        <v>638</v>
      </c>
      <c r="G276" s="678" t="s">
        <v>525</v>
      </c>
      <c r="H276" s="678"/>
      <c r="I276" s="678" t="s">
        <v>525</v>
      </c>
      <c r="J276" s="552"/>
      <c r="K276" s="562"/>
      <c r="L276" s="604"/>
      <c r="M276" s="562"/>
      <c r="N276" s="679"/>
      <c r="T276" s="674"/>
      <c r="U276" s="675"/>
      <c r="V276" s="675"/>
      <c r="AB276" s="675"/>
      <c r="AC276" s="675"/>
      <c r="AE276" s="675"/>
      <c r="AF276" s="680" t="s">
        <v>4335</v>
      </c>
    </row>
    <row r="277" spans="1:32" s="536" customFormat="1" ht="12" x14ac:dyDescent="0.2">
      <c r="A277" s="605"/>
      <c r="B277" s="552"/>
      <c r="C277" s="1822" t="s">
        <v>314</v>
      </c>
      <c r="D277" s="1822"/>
      <c r="E277" s="1822"/>
      <c r="F277" s="562" t="s">
        <v>315</v>
      </c>
      <c r="G277" s="562" t="s">
        <v>4336</v>
      </c>
      <c r="H277" s="562" t="s">
        <v>313</v>
      </c>
      <c r="I277" s="562" t="s">
        <v>9019</v>
      </c>
      <c r="J277" s="604"/>
      <c r="K277" s="562"/>
      <c r="L277" s="604"/>
      <c r="M277" s="562"/>
      <c r="N277" s="602"/>
      <c r="T277" s="674"/>
      <c r="U277" s="675"/>
      <c r="V277" s="675"/>
      <c r="Z277" s="537" t="s">
        <v>314</v>
      </c>
      <c r="AB277" s="675"/>
      <c r="AC277" s="675"/>
      <c r="AE277" s="675"/>
      <c r="AF277" s="680"/>
    </row>
    <row r="278" spans="1:32" s="536" customFormat="1" ht="12" x14ac:dyDescent="0.2">
      <c r="A278" s="605"/>
      <c r="B278" s="552"/>
      <c r="C278" s="1822" t="s">
        <v>348</v>
      </c>
      <c r="D278" s="1822"/>
      <c r="E278" s="1822"/>
      <c r="F278" s="562" t="s">
        <v>315</v>
      </c>
      <c r="G278" s="562" t="s">
        <v>4338</v>
      </c>
      <c r="H278" s="562" t="s">
        <v>313</v>
      </c>
      <c r="I278" s="562" t="s">
        <v>9020</v>
      </c>
      <c r="J278" s="604"/>
      <c r="K278" s="562"/>
      <c r="L278" s="604"/>
      <c r="M278" s="562"/>
      <c r="N278" s="602"/>
      <c r="T278" s="674"/>
      <c r="U278" s="675"/>
      <c r="V278" s="675"/>
      <c r="Z278" s="537" t="s">
        <v>348</v>
      </c>
      <c r="AB278" s="675"/>
      <c r="AC278" s="675"/>
      <c r="AE278" s="675"/>
      <c r="AF278" s="680"/>
    </row>
    <row r="279" spans="1:32" s="536" customFormat="1" ht="12" x14ac:dyDescent="0.2">
      <c r="A279" s="605"/>
      <c r="B279" s="552"/>
      <c r="C279" s="1828" t="s">
        <v>318</v>
      </c>
      <c r="D279" s="1828"/>
      <c r="E279" s="1828"/>
      <c r="F279" s="608"/>
      <c r="G279" s="608"/>
      <c r="H279" s="608"/>
      <c r="I279" s="608"/>
      <c r="J279" s="607">
        <v>22288.06</v>
      </c>
      <c r="K279" s="608"/>
      <c r="L279" s="607">
        <v>178.66</v>
      </c>
      <c r="M279" s="608"/>
      <c r="N279" s="606"/>
      <c r="T279" s="674"/>
      <c r="U279" s="675"/>
      <c r="V279" s="675"/>
      <c r="AA279" s="537" t="s">
        <v>318</v>
      </c>
      <c r="AB279" s="675"/>
      <c r="AC279" s="675"/>
      <c r="AE279" s="675"/>
      <c r="AF279" s="680"/>
    </row>
    <row r="280" spans="1:32" s="536" customFormat="1" ht="12" x14ac:dyDescent="0.2">
      <c r="A280" s="605"/>
      <c r="B280" s="552"/>
      <c r="C280" s="1822" t="s">
        <v>319</v>
      </c>
      <c r="D280" s="1822"/>
      <c r="E280" s="1822"/>
      <c r="F280" s="562"/>
      <c r="G280" s="562"/>
      <c r="H280" s="562"/>
      <c r="I280" s="562"/>
      <c r="J280" s="604"/>
      <c r="K280" s="562"/>
      <c r="L280" s="604">
        <v>40.25</v>
      </c>
      <c r="M280" s="562"/>
      <c r="N280" s="602"/>
      <c r="T280" s="674"/>
      <c r="U280" s="675"/>
      <c r="V280" s="675"/>
      <c r="Z280" s="537" t="s">
        <v>319</v>
      </c>
      <c r="AB280" s="675"/>
      <c r="AC280" s="675"/>
      <c r="AE280" s="675"/>
      <c r="AF280" s="680"/>
    </row>
    <row r="281" spans="1:32" s="536" customFormat="1" ht="33.75" x14ac:dyDescent="0.2">
      <c r="A281" s="605"/>
      <c r="B281" s="552" t="s">
        <v>533</v>
      </c>
      <c r="C281" s="1822" t="s">
        <v>534</v>
      </c>
      <c r="D281" s="1822"/>
      <c r="E281" s="1822"/>
      <c r="F281" s="562" t="s">
        <v>322</v>
      </c>
      <c r="G281" s="562" t="s">
        <v>535</v>
      </c>
      <c r="H281" s="562"/>
      <c r="I281" s="562" t="s">
        <v>535</v>
      </c>
      <c r="J281" s="604"/>
      <c r="K281" s="562"/>
      <c r="L281" s="604">
        <v>47.09</v>
      </c>
      <c r="M281" s="562"/>
      <c r="N281" s="602"/>
      <c r="T281" s="674"/>
      <c r="U281" s="675"/>
      <c r="V281" s="675"/>
      <c r="Z281" s="537" t="s">
        <v>534</v>
      </c>
      <c r="AB281" s="675"/>
      <c r="AC281" s="675"/>
      <c r="AE281" s="675"/>
      <c r="AF281" s="680"/>
    </row>
    <row r="282" spans="1:32" s="536" customFormat="1" ht="33.75" x14ac:dyDescent="0.2">
      <c r="A282" s="605"/>
      <c r="B282" s="552" t="s">
        <v>536</v>
      </c>
      <c r="C282" s="1822" t="s">
        <v>537</v>
      </c>
      <c r="D282" s="1822"/>
      <c r="E282" s="1822"/>
      <c r="F282" s="562" t="s">
        <v>322</v>
      </c>
      <c r="G282" s="562" t="s">
        <v>538</v>
      </c>
      <c r="H282" s="562"/>
      <c r="I282" s="562" t="s">
        <v>538</v>
      </c>
      <c r="J282" s="604"/>
      <c r="K282" s="562"/>
      <c r="L282" s="604">
        <v>29.79</v>
      </c>
      <c r="M282" s="562"/>
      <c r="N282" s="602"/>
      <c r="T282" s="674"/>
      <c r="U282" s="675"/>
      <c r="V282" s="675"/>
      <c r="Z282" s="537" t="s">
        <v>537</v>
      </c>
      <c r="AB282" s="675"/>
      <c r="AC282" s="675"/>
      <c r="AE282" s="675"/>
      <c r="AF282" s="680"/>
    </row>
    <row r="283" spans="1:32" s="536" customFormat="1" ht="12" x14ac:dyDescent="0.2">
      <c r="A283" s="569"/>
      <c r="B283" s="683"/>
      <c r="C283" s="1823" t="s">
        <v>327</v>
      </c>
      <c r="D283" s="1823"/>
      <c r="E283" s="1823"/>
      <c r="F283" s="573"/>
      <c r="G283" s="573"/>
      <c r="H283" s="573"/>
      <c r="I283" s="573"/>
      <c r="J283" s="572"/>
      <c r="K283" s="573"/>
      <c r="L283" s="572">
        <v>255.54</v>
      </c>
      <c r="M283" s="608"/>
      <c r="N283" s="570"/>
      <c r="T283" s="674"/>
      <c r="U283" s="675"/>
      <c r="V283" s="675"/>
      <c r="AB283" s="675" t="s">
        <v>327</v>
      </c>
      <c r="AC283" s="675"/>
      <c r="AE283" s="675"/>
      <c r="AF283" s="680"/>
    </row>
    <row r="284" spans="1:32" s="536" customFormat="1" ht="33.75" x14ac:dyDescent="0.2">
      <c r="A284" s="575" t="s">
        <v>436</v>
      </c>
      <c r="B284" s="684" t="s">
        <v>9021</v>
      </c>
      <c r="C284" s="1823" t="s">
        <v>9022</v>
      </c>
      <c r="D284" s="1823"/>
      <c r="E284" s="1823"/>
      <c r="F284" s="573" t="s">
        <v>617</v>
      </c>
      <c r="G284" s="573"/>
      <c r="H284" s="573"/>
      <c r="I284" s="573" t="s">
        <v>186</v>
      </c>
      <c r="J284" s="572">
        <v>28.54</v>
      </c>
      <c r="K284" s="573"/>
      <c r="L284" s="572">
        <v>57.08</v>
      </c>
      <c r="M284" s="573"/>
      <c r="N284" s="570"/>
      <c r="T284" s="674"/>
      <c r="U284" s="675"/>
      <c r="V284" s="675" t="s">
        <v>9022</v>
      </c>
      <c r="AB284" s="675"/>
      <c r="AC284" s="675"/>
      <c r="AE284" s="675"/>
      <c r="AF284" s="680"/>
    </row>
    <row r="285" spans="1:32" s="536" customFormat="1" ht="12" x14ac:dyDescent="0.2">
      <c r="A285" s="569"/>
      <c r="B285" s="683"/>
      <c r="C285" s="689" t="s">
        <v>717</v>
      </c>
      <c r="D285" s="690"/>
      <c r="E285" s="690"/>
      <c r="F285" s="563"/>
      <c r="G285" s="563"/>
      <c r="H285" s="563"/>
      <c r="I285" s="563"/>
      <c r="J285" s="566"/>
      <c r="K285" s="563"/>
      <c r="L285" s="566"/>
      <c r="M285" s="565"/>
      <c r="N285" s="564"/>
      <c r="T285" s="674"/>
      <c r="U285" s="675"/>
      <c r="V285" s="675"/>
      <c r="AB285" s="675"/>
      <c r="AC285" s="675"/>
      <c r="AE285" s="675"/>
      <c r="AF285" s="680"/>
    </row>
    <row r="286" spans="1:32" s="536" customFormat="1" ht="33.75" x14ac:dyDescent="0.2">
      <c r="A286" s="575" t="s">
        <v>733</v>
      </c>
      <c r="B286" s="684" t="s">
        <v>6744</v>
      </c>
      <c r="C286" s="1823" t="s">
        <v>9023</v>
      </c>
      <c r="D286" s="1823"/>
      <c r="E286" s="1823"/>
      <c r="F286" s="573" t="s">
        <v>1110</v>
      </c>
      <c r="G286" s="573"/>
      <c r="H286" s="573"/>
      <c r="I286" s="573" t="s">
        <v>6824</v>
      </c>
      <c r="J286" s="572"/>
      <c r="K286" s="573"/>
      <c r="L286" s="572"/>
      <c r="M286" s="573"/>
      <c r="N286" s="570"/>
      <c r="T286" s="674"/>
      <c r="U286" s="675"/>
      <c r="V286" s="675" t="s">
        <v>9023</v>
      </c>
      <c r="AB286" s="675"/>
      <c r="AC286" s="675"/>
      <c r="AE286" s="675"/>
      <c r="AF286" s="680"/>
    </row>
    <row r="287" spans="1:32" s="536" customFormat="1" ht="12" x14ac:dyDescent="0.2">
      <c r="A287" s="676"/>
      <c r="B287" s="682"/>
      <c r="C287" s="1822" t="s">
        <v>9024</v>
      </c>
      <c r="D287" s="1822"/>
      <c r="E287" s="1822"/>
      <c r="F287" s="1822"/>
      <c r="G287" s="1822"/>
      <c r="H287" s="1822"/>
      <c r="I287" s="1822"/>
      <c r="J287" s="1822"/>
      <c r="K287" s="1822"/>
      <c r="L287" s="1822"/>
      <c r="M287" s="1822"/>
      <c r="N287" s="1827"/>
      <c r="T287" s="674"/>
      <c r="U287" s="675"/>
      <c r="V287" s="675"/>
      <c r="W287" s="537" t="s">
        <v>9024</v>
      </c>
      <c r="AB287" s="675"/>
      <c r="AC287" s="675"/>
      <c r="AE287" s="675"/>
      <c r="AF287" s="680"/>
    </row>
    <row r="288" spans="1:32" s="536" customFormat="1" ht="33.75" x14ac:dyDescent="0.2">
      <c r="A288" s="609"/>
      <c r="B288" s="552" t="s">
        <v>310</v>
      </c>
      <c r="C288" s="1822" t="s">
        <v>311</v>
      </c>
      <c r="D288" s="1822"/>
      <c r="E288" s="1822"/>
      <c r="F288" s="1822"/>
      <c r="G288" s="1822"/>
      <c r="H288" s="1822"/>
      <c r="I288" s="1822"/>
      <c r="J288" s="1822"/>
      <c r="K288" s="1822"/>
      <c r="L288" s="1822"/>
      <c r="M288" s="1822"/>
      <c r="N288" s="1827"/>
      <c r="T288" s="674"/>
      <c r="U288" s="675"/>
      <c r="V288" s="675"/>
      <c r="X288" s="537" t="s">
        <v>311</v>
      </c>
      <c r="AB288" s="675"/>
      <c r="AC288" s="675"/>
      <c r="AE288" s="675"/>
      <c r="AF288" s="680"/>
    </row>
    <row r="289" spans="1:32" s="536" customFormat="1" ht="12" x14ac:dyDescent="0.2">
      <c r="A289" s="605"/>
      <c r="B289" s="552" t="s">
        <v>185</v>
      </c>
      <c r="C289" s="1822" t="s">
        <v>312</v>
      </c>
      <c r="D289" s="1822"/>
      <c r="E289" s="1822"/>
      <c r="F289" s="562"/>
      <c r="G289" s="562"/>
      <c r="H289" s="562"/>
      <c r="I289" s="562"/>
      <c r="J289" s="604">
        <v>196.82</v>
      </c>
      <c r="K289" s="562" t="s">
        <v>313</v>
      </c>
      <c r="L289" s="604">
        <v>89.8</v>
      </c>
      <c r="M289" s="562"/>
      <c r="N289" s="602"/>
      <c r="T289" s="674"/>
      <c r="U289" s="675"/>
      <c r="V289" s="675"/>
      <c r="Y289" s="537" t="s">
        <v>312</v>
      </c>
      <c r="AB289" s="675"/>
      <c r="AC289" s="675"/>
      <c r="AE289" s="675"/>
      <c r="AF289" s="680"/>
    </row>
    <row r="290" spans="1:32" s="536" customFormat="1" ht="12" x14ac:dyDescent="0.2">
      <c r="A290" s="605"/>
      <c r="B290" s="552" t="s">
        <v>186</v>
      </c>
      <c r="C290" s="1822" t="s">
        <v>344</v>
      </c>
      <c r="D290" s="1822"/>
      <c r="E290" s="1822"/>
      <c r="F290" s="562"/>
      <c r="G290" s="562"/>
      <c r="H290" s="562"/>
      <c r="I290" s="562"/>
      <c r="J290" s="604">
        <v>750.41</v>
      </c>
      <c r="K290" s="562" t="s">
        <v>313</v>
      </c>
      <c r="L290" s="604">
        <v>342.37</v>
      </c>
      <c r="M290" s="562"/>
      <c r="N290" s="602"/>
      <c r="T290" s="674"/>
      <c r="U290" s="675"/>
      <c r="V290" s="675"/>
      <c r="Y290" s="537" t="s">
        <v>344</v>
      </c>
      <c r="AB290" s="675"/>
      <c r="AC290" s="675"/>
      <c r="AE290" s="675"/>
      <c r="AF290" s="680"/>
    </row>
    <row r="291" spans="1:32" s="536" customFormat="1" ht="12" x14ac:dyDescent="0.2">
      <c r="A291" s="605"/>
      <c r="B291" s="552" t="s">
        <v>187</v>
      </c>
      <c r="C291" s="1822" t="s">
        <v>345</v>
      </c>
      <c r="D291" s="1822"/>
      <c r="E291" s="1822"/>
      <c r="F291" s="562"/>
      <c r="G291" s="562"/>
      <c r="H291" s="562"/>
      <c r="I291" s="562"/>
      <c r="J291" s="604">
        <v>84.38</v>
      </c>
      <c r="K291" s="562" t="s">
        <v>313</v>
      </c>
      <c r="L291" s="604">
        <v>38.5</v>
      </c>
      <c r="M291" s="562"/>
      <c r="N291" s="602"/>
      <c r="T291" s="674"/>
      <c r="U291" s="675"/>
      <c r="V291" s="675"/>
      <c r="Y291" s="537" t="s">
        <v>345</v>
      </c>
      <c r="AB291" s="675"/>
      <c r="AC291" s="675"/>
      <c r="AE291" s="675"/>
      <c r="AF291" s="680"/>
    </row>
    <row r="292" spans="1:32" s="536" customFormat="1" ht="12" x14ac:dyDescent="0.2">
      <c r="A292" s="605"/>
      <c r="B292" s="552" t="s">
        <v>188</v>
      </c>
      <c r="C292" s="1822" t="s">
        <v>475</v>
      </c>
      <c r="D292" s="1822"/>
      <c r="E292" s="1822"/>
      <c r="F292" s="562"/>
      <c r="G292" s="562"/>
      <c r="H292" s="562"/>
      <c r="I292" s="562"/>
      <c r="J292" s="604">
        <v>10.57</v>
      </c>
      <c r="K292" s="562"/>
      <c r="L292" s="604">
        <v>3.86</v>
      </c>
      <c r="M292" s="562"/>
      <c r="N292" s="602"/>
      <c r="T292" s="674"/>
      <c r="U292" s="675"/>
      <c r="V292" s="675"/>
      <c r="Y292" s="537" t="s">
        <v>475</v>
      </c>
      <c r="AB292" s="675"/>
      <c r="AC292" s="675"/>
      <c r="AE292" s="675"/>
      <c r="AF292" s="680"/>
    </row>
    <row r="293" spans="1:32" s="536" customFormat="1" ht="12" x14ac:dyDescent="0.2">
      <c r="A293" s="676"/>
      <c r="B293" s="677" t="s">
        <v>6747</v>
      </c>
      <c r="C293" s="1829" t="s">
        <v>6748</v>
      </c>
      <c r="D293" s="1829"/>
      <c r="E293" s="1829"/>
      <c r="F293" s="678" t="s">
        <v>483</v>
      </c>
      <c r="G293" s="678" t="s">
        <v>4636</v>
      </c>
      <c r="H293" s="678"/>
      <c r="I293" s="678" t="s">
        <v>9025</v>
      </c>
      <c r="J293" s="552"/>
      <c r="K293" s="562"/>
      <c r="L293" s="604"/>
      <c r="M293" s="562"/>
      <c r="N293" s="679"/>
      <c r="T293" s="674"/>
      <c r="U293" s="675"/>
      <c r="V293" s="675"/>
      <c r="AB293" s="675"/>
      <c r="AC293" s="675"/>
      <c r="AE293" s="675"/>
      <c r="AF293" s="680" t="s">
        <v>6748</v>
      </c>
    </row>
    <row r="294" spans="1:32" s="536" customFormat="1" ht="12" x14ac:dyDescent="0.2">
      <c r="A294" s="605"/>
      <c r="B294" s="552"/>
      <c r="C294" s="1822" t="s">
        <v>314</v>
      </c>
      <c r="D294" s="1822"/>
      <c r="E294" s="1822"/>
      <c r="F294" s="562" t="s">
        <v>315</v>
      </c>
      <c r="G294" s="562" t="s">
        <v>6749</v>
      </c>
      <c r="H294" s="562" t="s">
        <v>313</v>
      </c>
      <c r="I294" s="562" t="s">
        <v>9026</v>
      </c>
      <c r="J294" s="604"/>
      <c r="K294" s="562"/>
      <c r="L294" s="604"/>
      <c r="M294" s="562"/>
      <c r="N294" s="602"/>
      <c r="T294" s="674"/>
      <c r="U294" s="675"/>
      <c r="V294" s="675"/>
      <c r="Z294" s="537" t="s">
        <v>314</v>
      </c>
      <c r="AB294" s="675"/>
      <c r="AC294" s="675"/>
      <c r="AE294" s="675"/>
      <c r="AF294" s="680"/>
    </row>
    <row r="295" spans="1:32" s="536" customFormat="1" ht="12" x14ac:dyDescent="0.2">
      <c r="A295" s="605"/>
      <c r="B295" s="552"/>
      <c r="C295" s="1822" t="s">
        <v>348</v>
      </c>
      <c r="D295" s="1822"/>
      <c r="E295" s="1822"/>
      <c r="F295" s="562" t="s">
        <v>315</v>
      </c>
      <c r="G295" s="562" t="s">
        <v>434</v>
      </c>
      <c r="H295" s="562" t="s">
        <v>313</v>
      </c>
      <c r="I295" s="562" t="s">
        <v>9027</v>
      </c>
      <c r="J295" s="604"/>
      <c r="K295" s="562"/>
      <c r="L295" s="604"/>
      <c r="M295" s="562"/>
      <c r="N295" s="602"/>
      <c r="T295" s="674"/>
      <c r="U295" s="675"/>
      <c r="V295" s="675"/>
      <c r="Z295" s="537" t="s">
        <v>348</v>
      </c>
      <c r="AB295" s="675"/>
      <c r="AC295" s="675"/>
      <c r="AE295" s="675"/>
      <c r="AF295" s="680"/>
    </row>
    <row r="296" spans="1:32" s="536" customFormat="1" ht="12" x14ac:dyDescent="0.2">
      <c r="A296" s="605"/>
      <c r="B296" s="552"/>
      <c r="C296" s="1828" t="s">
        <v>318</v>
      </c>
      <c r="D296" s="1828"/>
      <c r="E296" s="1828"/>
      <c r="F296" s="608"/>
      <c r="G296" s="608"/>
      <c r="H296" s="608"/>
      <c r="I296" s="608"/>
      <c r="J296" s="607">
        <v>957.8</v>
      </c>
      <c r="K296" s="608"/>
      <c r="L296" s="607">
        <v>436.03</v>
      </c>
      <c r="M296" s="608"/>
      <c r="N296" s="606"/>
      <c r="T296" s="674"/>
      <c r="U296" s="675"/>
      <c r="V296" s="675"/>
      <c r="AA296" s="537" t="s">
        <v>318</v>
      </c>
      <c r="AB296" s="675"/>
      <c r="AC296" s="675"/>
      <c r="AE296" s="675"/>
      <c r="AF296" s="680"/>
    </row>
    <row r="297" spans="1:32" s="536" customFormat="1" ht="12" x14ac:dyDescent="0.2">
      <c r="A297" s="605"/>
      <c r="B297" s="552"/>
      <c r="C297" s="1822" t="s">
        <v>319</v>
      </c>
      <c r="D297" s="1822"/>
      <c r="E297" s="1822"/>
      <c r="F297" s="562"/>
      <c r="G297" s="562"/>
      <c r="H297" s="562"/>
      <c r="I297" s="562"/>
      <c r="J297" s="604"/>
      <c r="K297" s="562"/>
      <c r="L297" s="604">
        <v>128.30000000000001</v>
      </c>
      <c r="M297" s="562"/>
      <c r="N297" s="602"/>
      <c r="T297" s="674"/>
      <c r="U297" s="675"/>
      <c r="V297" s="675"/>
      <c r="Z297" s="537" t="s">
        <v>319</v>
      </c>
      <c r="AB297" s="675"/>
      <c r="AC297" s="675"/>
      <c r="AE297" s="675"/>
      <c r="AF297" s="680"/>
    </row>
    <row r="298" spans="1:32" s="536" customFormat="1" ht="33.75" x14ac:dyDescent="0.2">
      <c r="A298" s="605"/>
      <c r="B298" s="552" t="s">
        <v>533</v>
      </c>
      <c r="C298" s="1822" t="s">
        <v>534</v>
      </c>
      <c r="D298" s="1822"/>
      <c r="E298" s="1822"/>
      <c r="F298" s="562" t="s">
        <v>322</v>
      </c>
      <c r="G298" s="562" t="s">
        <v>535</v>
      </c>
      <c r="H298" s="562"/>
      <c r="I298" s="562" t="s">
        <v>535</v>
      </c>
      <c r="J298" s="604"/>
      <c r="K298" s="562"/>
      <c r="L298" s="604">
        <v>150.11000000000001</v>
      </c>
      <c r="M298" s="562"/>
      <c r="N298" s="602"/>
      <c r="T298" s="674"/>
      <c r="U298" s="675"/>
      <c r="V298" s="675"/>
      <c r="Z298" s="537" t="s">
        <v>534</v>
      </c>
      <c r="AB298" s="675"/>
      <c r="AC298" s="675"/>
      <c r="AE298" s="675"/>
      <c r="AF298" s="680"/>
    </row>
    <row r="299" spans="1:32" s="536" customFormat="1" ht="33.75" x14ac:dyDescent="0.2">
      <c r="A299" s="605"/>
      <c r="B299" s="552" t="s">
        <v>536</v>
      </c>
      <c r="C299" s="1822" t="s">
        <v>537</v>
      </c>
      <c r="D299" s="1822"/>
      <c r="E299" s="1822"/>
      <c r="F299" s="562" t="s">
        <v>322</v>
      </c>
      <c r="G299" s="562" t="s">
        <v>538</v>
      </c>
      <c r="H299" s="562"/>
      <c r="I299" s="562" t="s">
        <v>538</v>
      </c>
      <c r="J299" s="604"/>
      <c r="K299" s="562"/>
      <c r="L299" s="604">
        <v>94.94</v>
      </c>
      <c r="M299" s="562"/>
      <c r="N299" s="602"/>
      <c r="T299" s="674"/>
      <c r="U299" s="675"/>
      <c r="V299" s="675"/>
      <c r="Z299" s="537" t="s">
        <v>537</v>
      </c>
      <c r="AB299" s="675"/>
      <c r="AC299" s="675"/>
      <c r="AE299" s="675"/>
      <c r="AF299" s="680"/>
    </row>
    <row r="300" spans="1:32" s="536" customFormat="1" ht="12" x14ac:dyDescent="0.2">
      <c r="A300" s="569"/>
      <c r="B300" s="683"/>
      <c r="C300" s="1823" t="s">
        <v>327</v>
      </c>
      <c r="D300" s="1823"/>
      <c r="E300" s="1823"/>
      <c r="F300" s="573"/>
      <c r="G300" s="573"/>
      <c r="H300" s="573"/>
      <c r="I300" s="573"/>
      <c r="J300" s="572"/>
      <c r="K300" s="573"/>
      <c r="L300" s="572">
        <v>681.08</v>
      </c>
      <c r="M300" s="608"/>
      <c r="N300" s="570"/>
      <c r="T300" s="674"/>
      <c r="U300" s="675"/>
      <c r="V300" s="675"/>
      <c r="AB300" s="675" t="s">
        <v>327</v>
      </c>
      <c r="AC300" s="675"/>
      <c r="AE300" s="675"/>
      <c r="AF300" s="680"/>
    </row>
    <row r="301" spans="1:32" s="536" customFormat="1" ht="56.25" x14ac:dyDescent="0.2">
      <c r="A301" s="575" t="s">
        <v>736</v>
      </c>
      <c r="B301" s="684" t="s">
        <v>9028</v>
      </c>
      <c r="C301" s="1823" t="s">
        <v>9029</v>
      </c>
      <c r="D301" s="1823"/>
      <c r="E301" s="1823"/>
      <c r="F301" s="573" t="s">
        <v>483</v>
      </c>
      <c r="G301" s="573"/>
      <c r="H301" s="573"/>
      <c r="I301" s="573" t="s">
        <v>9025</v>
      </c>
      <c r="J301" s="572">
        <v>66.95</v>
      </c>
      <c r="K301" s="573"/>
      <c r="L301" s="572">
        <v>2468.11</v>
      </c>
      <c r="M301" s="573"/>
      <c r="N301" s="570"/>
      <c r="T301" s="674"/>
      <c r="U301" s="675"/>
      <c r="V301" s="675" t="s">
        <v>9029</v>
      </c>
      <c r="AB301" s="675"/>
      <c r="AC301" s="675"/>
      <c r="AE301" s="675"/>
      <c r="AF301" s="680"/>
    </row>
    <row r="302" spans="1:32" s="536" customFormat="1" ht="12" x14ac:dyDescent="0.2">
      <c r="A302" s="569"/>
      <c r="B302" s="683"/>
      <c r="C302" s="689" t="s">
        <v>717</v>
      </c>
      <c r="D302" s="690"/>
      <c r="E302" s="690"/>
      <c r="F302" s="563"/>
      <c r="G302" s="563"/>
      <c r="H302" s="563"/>
      <c r="I302" s="563"/>
      <c r="J302" s="566"/>
      <c r="K302" s="563"/>
      <c r="L302" s="566"/>
      <c r="M302" s="565"/>
      <c r="N302" s="564"/>
      <c r="T302" s="674"/>
      <c r="U302" s="675"/>
      <c r="V302" s="675"/>
      <c r="AB302" s="675"/>
      <c r="AC302" s="675"/>
      <c r="AE302" s="675"/>
      <c r="AF302" s="680"/>
    </row>
    <row r="303" spans="1:32" s="536" customFormat="1" ht="33.75" x14ac:dyDescent="0.2">
      <c r="A303" s="575" t="s">
        <v>1067</v>
      </c>
      <c r="B303" s="684" t="s">
        <v>9030</v>
      </c>
      <c r="C303" s="1823" t="s">
        <v>9031</v>
      </c>
      <c r="D303" s="1823"/>
      <c r="E303" s="1823"/>
      <c r="F303" s="573" t="s">
        <v>694</v>
      </c>
      <c r="G303" s="573"/>
      <c r="H303" s="573"/>
      <c r="I303" s="573" t="s">
        <v>9032</v>
      </c>
      <c r="J303" s="572"/>
      <c r="K303" s="573"/>
      <c r="L303" s="572"/>
      <c r="M303" s="573"/>
      <c r="N303" s="570"/>
      <c r="T303" s="674"/>
      <c r="U303" s="675"/>
      <c r="V303" s="675" t="s">
        <v>9031</v>
      </c>
      <c r="AB303" s="675"/>
      <c r="AC303" s="675"/>
      <c r="AE303" s="675"/>
      <c r="AF303" s="680"/>
    </row>
    <row r="304" spans="1:32" s="536" customFormat="1" ht="12" x14ac:dyDescent="0.2">
      <c r="A304" s="676"/>
      <c r="B304" s="682"/>
      <c r="C304" s="1822" t="s">
        <v>9033</v>
      </c>
      <c r="D304" s="1822"/>
      <c r="E304" s="1822"/>
      <c r="F304" s="1822"/>
      <c r="G304" s="1822"/>
      <c r="H304" s="1822"/>
      <c r="I304" s="1822"/>
      <c r="J304" s="1822"/>
      <c r="K304" s="1822"/>
      <c r="L304" s="1822"/>
      <c r="M304" s="1822"/>
      <c r="N304" s="1827"/>
      <c r="T304" s="674"/>
      <c r="U304" s="675"/>
      <c r="V304" s="675"/>
      <c r="W304" s="537" t="s">
        <v>9033</v>
      </c>
      <c r="AB304" s="675"/>
      <c r="AC304" s="675"/>
      <c r="AE304" s="675"/>
      <c r="AF304" s="680"/>
    </row>
    <row r="305" spans="1:32" s="536" customFormat="1" ht="33.75" x14ac:dyDescent="0.2">
      <c r="A305" s="609"/>
      <c r="B305" s="552" t="s">
        <v>310</v>
      </c>
      <c r="C305" s="1822" t="s">
        <v>311</v>
      </c>
      <c r="D305" s="1822"/>
      <c r="E305" s="1822"/>
      <c r="F305" s="1822"/>
      <c r="G305" s="1822"/>
      <c r="H305" s="1822"/>
      <c r="I305" s="1822"/>
      <c r="J305" s="1822"/>
      <c r="K305" s="1822"/>
      <c r="L305" s="1822"/>
      <c r="M305" s="1822"/>
      <c r="N305" s="1827"/>
      <c r="T305" s="674"/>
      <c r="U305" s="675"/>
      <c r="V305" s="675"/>
      <c r="X305" s="537" t="s">
        <v>311</v>
      </c>
      <c r="AB305" s="675"/>
      <c r="AC305" s="675"/>
      <c r="AE305" s="675"/>
      <c r="AF305" s="680"/>
    </row>
    <row r="306" spans="1:32" s="536" customFormat="1" ht="12" x14ac:dyDescent="0.2">
      <c r="A306" s="605"/>
      <c r="B306" s="552" t="s">
        <v>185</v>
      </c>
      <c r="C306" s="1822" t="s">
        <v>312</v>
      </c>
      <c r="D306" s="1822"/>
      <c r="E306" s="1822"/>
      <c r="F306" s="562"/>
      <c r="G306" s="562"/>
      <c r="H306" s="562"/>
      <c r="I306" s="562"/>
      <c r="J306" s="604">
        <v>667.55</v>
      </c>
      <c r="K306" s="562" t="s">
        <v>313</v>
      </c>
      <c r="L306" s="604">
        <v>21.7</v>
      </c>
      <c r="M306" s="562"/>
      <c r="N306" s="602"/>
      <c r="T306" s="674"/>
      <c r="U306" s="675"/>
      <c r="V306" s="675"/>
      <c r="Y306" s="537" t="s">
        <v>312</v>
      </c>
      <c r="AB306" s="675"/>
      <c r="AC306" s="675"/>
      <c r="AE306" s="675"/>
      <c r="AF306" s="680"/>
    </row>
    <row r="307" spans="1:32" s="536" customFormat="1" ht="12" x14ac:dyDescent="0.2">
      <c r="A307" s="605"/>
      <c r="B307" s="552" t="s">
        <v>186</v>
      </c>
      <c r="C307" s="1822" t="s">
        <v>344</v>
      </c>
      <c r="D307" s="1822"/>
      <c r="E307" s="1822"/>
      <c r="F307" s="562"/>
      <c r="G307" s="562"/>
      <c r="H307" s="562"/>
      <c r="I307" s="562"/>
      <c r="J307" s="604">
        <v>252.16</v>
      </c>
      <c r="K307" s="562" t="s">
        <v>313</v>
      </c>
      <c r="L307" s="604">
        <v>8.1999999999999993</v>
      </c>
      <c r="M307" s="562"/>
      <c r="N307" s="602"/>
      <c r="T307" s="674"/>
      <c r="U307" s="675"/>
      <c r="V307" s="675"/>
      <c r="Y307" s="537" t="s">
        <v>344</v>
      </c>
      <c r="AB307" s="675"/>
      <c r="AC307" s="675"/>
      <c r="AE307" s="675"/>
      <c r="AF307" s="680"/>
    </row>
    <row r="308" spans="1:32" s="536" customFormat="1" ht="12" x14ac:dyDescent="0.2">
      <c r="A308" s="605"/>
      <c r="B308" s="552" t="s">
        <v>187</v>
      </c>
      <c r="C308" s="1822" t="s">
        <v>345</v>
      </c>
      <c r="D308" s="1822"/>
      <c r="E308" s="1822"/>
      <c r="F308" s="562"/>
      <c r="G308" s="562"/>
      <c r="H308" s="562"/>
      <c r="I308" s="562"/>
      <c r="J308" s="604">
        <v>3.35</v>
      </c>
      <c r="K308" s="562" t="s">
        <v>313</v>
      </c>
      <c r="L308" s="604">
        <v>0.11</v>
      </c>
      <c r="M308" s="562"/>
      <c r="N308" s="602"/>
      <c r="T308" s="674"/>
      <c r="U308" s="675"/>
      <c r="V308" s="675"/>
      <c r="Y308" s="537" t="s">
        <v>345</v>
      </c>
      <c r="AB308" s="675"/>
      <c r="AC308" s="675"/>
      <c r="AE308" s="675"/>
      <c r="AF308" s="680"/>
    </row>
    <row r="309" spans="1:32" s="536" customFormat="1" ht="12" x14ac:dyDescent="0.2">
      <c r="A309" s="605"/>
      <c r="B309" s="552" t="s">
        <v>188</v>
      </c>
      <c r="C309" s="1822" t="s">
        <v>475</v>
      </c>
      <c r="D309" s="1822"/>
      <c r="E309" s="1822"/>
      <c r="F309" s="562"/>
      <c r="G309" s="562"/>
      <c r="H309" s="562"/>
      <c r="I309" s="562"/>
      <c r="J309" s="604">
        <v>238.18</v>
      </c>
      <c r="K309" s="562"/>
      <c r="L309" s="604">
        <v>6.19</v>
      </c>
      <c r="M309" s="562"/>
      <c r="N309" s="602"/>
      <c r="T309" s="674"/>
      <c r="U309" s="675"/>
      <c r="V309" s="675"/>
      <c r="Y309" s="537" t="s">
        <v>475</v>
      </c>
      <c r="AB309" s="675"/>
      <c r="AC309" s="675"/>
      <c r="AE309" s="675"/>
      <c r="AF309" s="680"/>
    </row>
    <row r="310" spans="1:32" s="536" customFormat="1" ht="12" x14ac:dyDescent="0.2">
      <c r="A310" s="676"/>
      <c r="B310" s="677" t="s">
        <v>5150</v>
      </c>
      <c r="C310" s="1829" t="s">
        <v>1229</v>
      </c>
      <c r="D310" s="1829"/>
      <c r="E310" s="1829"/>
      <c r="F310" s="678" t="s">
        <v>694</v>
      </c>
      <c r="G310" s="678" t="s">
        <v>185</v>
      </c>
      <c r="H310" s="678"/>
      <c r="I310" s="678" t="s">
        <v>9032</v>
      </c>
      <c r="J310" s="552"/>
      <c r="K310" s="562"/>
      <c r="L310" s="604"/>
      <c r="M310" s="562"/>
      <c r="N310" s="679"/>
      <c r="T310" s="674"/>
      <c r="U310" s="675"/>
      <c r="V310" s="675"/>
      <c r="AB310" s="675"/>
      <c r="AC310" s="675"/>
      <c r="AE310" s="675"/>
      <c r="AF310" s="680" t="s">
        <v>1229</v>
      </c>
    </row>
    <row r="311" spans="1:32" s="536" customFormat="1" ht="12" x14ac:dyDescent="0.2">
      <c r="A311" s="605"/>
      <c r="B311" s="552"/>
      <c r="C311" s="1822" t="s">
        <v>314</v>
      </c>
      <c r="D311" s="1822"/>
      <c r="E311" s="1822"/>
      <c r="F311" s="562" t="s">
        <v>315</v>
      </c>
      <c r="G311" s="562" t="s">
        <v>9034</v>
      </c>
      <c r="H311" s="562" t="s">
        <v>313</v>
      </c>
      <c r="I311" s="562" t="s">
        <v>9035</v>
      </c>
      <c r="J311" s="604"/>
      <c r="K311" s="562"/>
      <c r="L311" s="604"/>
      <c r="M311" s="562"/>
      <c r="N311" s="602"/>
      <c r="T311" s="674"/>
      <c r="U311" s="675"/>
      <c r="V311" s="675"/>
      <c r="Z311" s="537" t="s">
        <v>314</v>
      </c>
      <c r="AB311" s="675"/>
      <c r="AC311" s="675"/>
      <c r="AE311" s="675"/>
      <c r="AF311" s="680"/>
    </row>
    <row r="312" spans="1:32" s="536" customFormat="1" ht="12" x14ac:dyDescent="0.2">
      <c r="A312" s="605"/>
      <c r="B312" s="552"/>
      <c r="C312" s="1822" t="s">
        <v>348</v>
      </c>
      <c r="D312" s="1822"/>
      <c r="E312" s="1822"/>
      <c r="F312" s="562" t="s">
        <v>315</v>
      </c>
      <c r="G312" s="562" t="s">
        <v>1846</v>
      </c>
      <c r="H312" s="562" t="s">
        <v>313</v>
      </c>
      <c r="I312" s="562" t="s">
        <v>9036</v>
      </c>
      <c r="J312" s="604"/>
      <c r="K312" s="562"/>
      <c r="L312" s="604"/>
      <c r="M312" s="562"/>
      <c r="N312" s="602"/>
      <c r="T312" s="674"/>
      <c r="U312" s="675"/>
      <c r="V312" s="675"/>
      <c r="Z312" s="537" t="s">
        <v>348</v>
      </c>
      <c r="AB312" s="675"/>
      <c r="AC312" s="675"/>
      <c r="AE312" s="675"/>
      <c r="AF312" s="680"/>
    </row>
    <row r="313" spans="1:32" s="536" customFormat="1" ht="12" x14ac:dyDescent="0.2">
      <c r="A313" s="605"/>
      <c r="B313" s="552"/>
      <c r="C313" s="1828" t="s">
        <v>318</v>
      </c>
      <c r="D313" s="1828"/>
      <c r="E313" s="1828"/>
      <c r="F313" s="608"/>
      <c r="G313" s="608"/>
      <c r="H313" s="608"/>
      <c r="I313" s="608"/>
      <c r="J313" s="607">
        <v>1157.8900000000001</v>
      </c>
      <c r="K313" s="608"/>
      <c r="L313" s="607">
        <v>36.090000000000003</v>
      </c>
      <c r="M313" s="608"/>
      <c r="N313" s="606"/>
      <c r="T313" s="674"/>
      <c r="U313" s="675"/>
      <c r="V313" s="675"/>
      <c r="AA313" s="537" t="s">
        <v>318</v>
      </c>
      <c r="AB313" s="675"/>
      <c r="AC313" s="675"/>
      <c r="AE313" s="675"/>
      <c r="AF313" s="680"/>
    </row>
    <row r="314" spans="1:32" s="536" customFormat="1" ht="12" x14ac:dyDescent="0.2">
      <c r="A314" s="605"/>
      <c r="B314" s="552"/>
      <c r="C314" s="1822" t="s">
        <v>319</v>
      </c>
      <c r="D314" s="1822"/>
      <c r="E314" s="1822"/>
      <c r="F314" s="562"/>
      <c r="G314" s="562"/>
      <c r="H314" s="562"/>
      <c r="I314" s="562"/>
      <c r="J314" s="604"/>
      <c r="K314" s="562"/>
      <c r="L314" s="604">
        <v>21.81</v>
      </c>
      <c r="M314" s="562"/>
      <c r="N314" s="602"/>
      <c r="T314" s="674"/>
      <c r="U314" s="675"/>
      <c r="V314" s="675"/>
      <c r="Z314" s="537" t="s">
        <v>319</v>
      </c>
      <c r="AB314" s="675"/>
      <c r="AC314" s="675"/>
      <c r="AE314" s="675"/>
      <c r="AF314" s="680"/>
    </row>
    <row r="315" spans="1:32" s="536" customFormat="1" ht="33.75" x14ac:dyDescent="0.2">
      <c r="A315" s="605"/>
      <c r="B315" s="552" t="s">
        <v>648</v>
      </c>
      <c r="C315" s="1822" t="s">
        <v>649</v>
      </c>
      <c r="D315" s="1822"/>
      <c r="E315" s="1822"/>
      <c r="F315" s="562" t="s">
        <v>322</v>
      </c>
      <c r="G315" s="562" t="s">
        <v>650</v>
      </c>
      <c r="H315" s="562"/>
      <c r="I315" s="562" t="s">
        <v>650</v>
      </c>
      <c r="J315" s="604"/>
      <c r="K315" s="562"/>
      <c r="L315" s="604">
        <v>20.28</v>
      </c>
      <c r="M315" s="562"/>
      <c r="N315" s="602"/>
      <c r="T315" s="674"/>
      <c r="U315" s="675"/>
      <c r="V315" s="675"/>
      <c r="Z315" s="537" t="s">
        <v>649</v>
      </c>
      <c r="AB315" s="675"/>
      <c r="AC315" s="675"/>
      <c r="AE315" s="675"/>
      <c r="AF315" s="680"/>
    </row>
    <row r="316" spans="1:32" s="536" customFormat="1" ht="33.75" x14ac:dyDescent="0.2">
      <c r="A316" s="605"/>
      <c r="B316" s="552" t="s">
        <v>651</v>
      </c>
      <c r="C316" s="1822" t="s">
        <v>652</v>
      </c>
      <c r="D316" s="1822"/>
      <c r="E316" s="1822"/>
      <c r="F316" s="562" t="s">
        <v>322</v>
      </c>
      <c r="G316" s="562" t="s">
        <v>653</v>
      </c>
      <c r="H316" s="562"/>
      <c r="I316" s="562" t="s">
        <v>653</v>
      </c>
      <c r="J316" s="604"/>
      <c r="K316" s="562"/>
      <c r="L316" s="604">
        <v>13.52</v>
      </c>
      <c r="M316" s="562"/>
      <c r="N316" s="602"/>
      <c r="T316" s="674"/>
      <c r="U316" s="675"/>
      <c r="V316" s="675"/>
      <c r="Z316" s="537" t="s">
        <v>652</v>
      </c>
      <c r="AB316" s="675"/>
      <c r="AC316" s="675"/>
      <c r="AE316" s="675"/>
      <c r="AF316" s="680"/>
    </row>
    <row r="317" spans="1:32" s="536" customFormat="1" ht="12" x14ac:dyDescent="0.2">
      <c r="A317" s="569"/>
      <c r="B317" s="683"/>
      <c r="C317" s="1823" t="s">
        <v>327</v>
      </c>
      <c r="D317" s="1823"/>
      <c r="E317" s="1823"/>
      <c r="F317" s="573"/>
      <c r="G317" s="573"/>
      <c r="H317" s="573"/>
      <c r="I317" s="573"/>
      <c r="J317" s="572"/>
      <c r="K317" s="573"/>
      <c r="L317" s="572">
        <v>69.89</v>
      </c>
      <c r="M317" s="608"/>
      <c r="N317" s="570"/>
      <c r="T317" s="674"/>
      <c r="U317" s="675"/>
      <c r="V317" s="675"/>
      <c r="AB317" s="675" t="s">
        <v>327</v>
      </c>
      <c r="AC317" s="675"/>
      <c r="AE317" s="675"/>
      <c r="AF317" s="680"/>
    </row>
    <row r="318" spans="1:32" s="536" customFormat="1" ht="22.5" x14ac:dyDescent="0.2">
      <c r="A318" s="575" t="s">
        <v>912</v>
      </c>
      <c r="B318" s="684" t="s">
        <v>6757</v>
      </c>
      <c r="C318" s="1823" t="s">
        <v>6758</v>
      </c>
      <c r="D318" s="1823"/>
      <c r="E318" s="1823"/>
      <c r="F318" s="573" t="s">
        <v>694</v>
      </c>
      <c r="G318" s="573"/>
      <c r="H318" s="573"/>
      <c r="I318" s="573" t="s">
        <v>9032</v>
      </c>
      <c r="J318" s="572">
        <v>9719.25</v>
      </c>
      <c r="K318" s="573"/>
      <c r="L318" s="572">
        <v>252.7</v>
      </c>
      <c r="M318" s="573"/>
      <c r="N318" s="570"/>
      <c r="T318" s="674"/>
      <c r="U318" s="675"/>
      <c r="V318" s="675" t="s">
        <v>6758</v>
      </c>
      <c r="AB318" s="675"/>
      <c r="AC318" s="675"/>
      <c r="AE318" s="675"/>
      <c r="AF318" s="680"/>
    </row>
    <row r="319" spans="1:32" s="536" customFormat="1" ht="12" x14ac:dyDescent="0.2">
      <c r="A319" s="569"/>
      <c r="B319" s="683"/>
      <c r="C319" s="689" t="s">
        <v>717</v>
      </c>
      <c r="D319" s="690"/>
      <c r="E319" s="690"/>
      <c r="F319" s="563"/>
      <c r="G319" s="563"/>
      <c r="H319" s="563"/>
      <c r="I319" s="563"/>
      <c r="J319" s="566"/>
      <c r="K319" s="563"/>
      <c r="L319" s="566"/>
      <c r="M319" s="565"/>
      <c r="N319" s="564"/>
      <c r="T319" s="674"/>
      <c r="U319" s="675"/>
      <c r="V319" s="675"/>
      <c r="AB319" s="675"/>
      <c r="AC319" s="675"/>
      <c r="AE319" s="675"/>
      <c r="AF319" s="680"/>
    </row>
    <row r="320" spans="1:32" s="536" customFormat="1" ht="12" x14ac:dyDescent="0.2">
      <c r="A320" s="1830" t="s">
        <v>9037</v>
      </c>
      <c r="B320" s="1831"/>
      <c r="C320" s="1831"/>
      <c r="D320" s="1831"/>
      <c r="E320" s="1831"/>
      <c r="F320" s="1831"/>
      <c r="G320" s="1831"/>
      <c r="H320" s="1831"/>
      <c r="I320" s="1831"/>
      <c r="J320" s="1831"/>
      <c r="K320" s="1831"/>
      <c r="L320" s="1831"/>
      <c r="M320" s="1831"/>
      <c r="N320" s="1832"/>
      <c r="T320" s="674"/>
      <c r="U320" s="675" t="s">
        <v>9037</v>
      </c>
      <c r="V320" s="675"/>
      <c r="AB320" s="675"/>
      <c r="AC320" s="675"/>
      <c r="AE320" s="675"/>
      <c r="AF320" s="680"/>
    </row>
    <row r="321" spans="1:32" s="536" customFormat="1" ht="45" x14ac:dyDescent="0.2">
      <c r="A321" s="575" t="s">
        <v>757</v>
      </c>
      <c r="B321" s="684" t="s">
        <v>9038</v>
      </c>
      <c r="C321" s="1823" t="s">
        <v>9039</v>
      </c>
      <c r="D321" s="1823"/>
      <c r="E321" s="1823"/>
      <c r="F321" s="573" t="s">
        <v>6785</v>
      </c>
      <c r="G321" s="573"/>
      <c r="H321" s="573"/>
      <c r="I321" s="573" t="s">
        <v>189</v>
      </c>
      <c r="J321" s="572"/>
      <c r="K321" s="573"/>
      <c r="L321" s="572"/>
      <c r="M321" s="573"/>
      <c r="N321" s="570"/>
      <c r="T321" s="674"/>
      <c r="U321" s="675"/>
      <c r="V321" s="675" t="s">
        <v>9039</v>
      </c>
      <c r="AB321" s="675"/>
      <c r="AC321" s="675"/>
      <c r="AE321" s="675"/>
      <c r="AF321" s="680"/>
    </row>
    <row r="322" spans="1:32" s="536" customFormat="1" ht="33.75" x14ac:dyDescent="0.2">
      <c r="A322" s="609"/>
      <c r="B322" s="552" t="s">
        <v>310</v>
      </c>
      <c r="C322" s="1822" t="s">
        <v>311</v>
      </c>
      <c r="D322" s="1822"/>
      <c r="E322" s="1822"/>
      <c r="F322" s="1822"/>
      <c r="G322" s="1822"/>
      <c r="H322" s="1822"/>
      <c r="I322" s="1822"/>
      <c r="J322" s="1822"/>
      <c r="K322" s="1822"/>
      <c r="L322" s="1822"/>
      <c r="M322" s="1822"/>
      <c r="N322" s="1827"/>
      <c r="T322" s="674"/>
      <c r="U322" s="675"/>
      <c r="V322" s="675"/>
      <c r="X322" s="537" t="s">
        <v>311</v>
      </c>
      <c r="AB322" s="675"/>
      <c r="AC322" s="675"/>
      <c r="AE322" s="675"/>
      <c r="AF322" s="680"/>
    </row>
    <row r="323" spans="1:32" s="536" customFormat="1" ht="12" x14ac:dyDescent="0.2">
      <c r="A323" s="605"/>
      <c r="B323" s="552" t="s">
        <v>185</v>
      </c>
      <c r="C323" s="1822" t="s">
        <v>312</v>
      </c>
      <c r="D323" s="1822"/>
      <c r="E323" s="1822"/>
      <c r="F323" s="562"/>
      <c r="G323" s="562"/>
      <c r="H323" s="562"/>
      <c r="I323" s="562"/>
      <c r="J323" s="604">
        <v>3.46</v>
      </c>
      <c r="K323" s="562" t="s">
        <v>313</v>
      </c>
      <c r="L323" s="604">
        <v>21.63</v>
      </c>
      <c r="M323" s="562"/>
      <c r="N323" s="602"/>
      <c r="T323" s="674"/>
      <c r="U323" s="675"/>
      <c r="V323" s="675"/>
      <c r="Y323" s="537" t="s">
        <v>312</v>
      </c>
      <c r="AB323" s="675"/>
      <c r="AC323" s="675"/>
      <c r="AE323" s="675"/>
      <c r="AF323" s="680"/>
    </row>
    <row r="324" spans="1:32" s="536" customFormat="1" ht="12" x14ac:dyDescent="0.2">
      <c r="A324" s="605"/>
      <c r="B324" s="552" t="s">
        <v>186</v>
      </c>
      <c r="C324" s="1822" t="s">
        <v>344</v>
      </c>
      <c r="D324" s="1822"/>
      <c r="E324" s="1822"/>
      <c r="F324" s="562"/>
      <c r="G324" s="562"/>
      <c r="H324" s="562"/>
      <c r="I324" s="562"/>
      <c r="J324" s="604">
        <v>9.5500000000000007</v>
      </c>
      <c r="K324" s="562" t="s">
        <v>313</v>
      </c>
      <c r="L324" s="604">
        <v>59.69</v>
      </c>
      <c r="M324" s="562"/>
      <c r="N324" s="602"/>
      <c r="T324" s="674"/>
      <c r="U324" s="675"/>
      <c r="V324" s="675"/>
      <c r="Y324" s="537" t="s">
        <v>344</v>
      </c>
      <c r="AB324" s="675"/>
      <c r="AC324" s="675"/>
      <c r="AE324" s="675"/>
      <c r="AF324" s="680"/>
    </row>
    <row r="325" spans="1:32" s="536" customFormat="1" ht="12" x14ac:dyDescent="0.2">
      <c r="A325" s="605"/>
      <c r="B325" s="552" t="s">
        <v>187</v>
      </c>
      <c r="C325" s="1822" t="s">
        <v>345</v>
      </c>
      <c r="D325" s="1822"/>
      <c r="E325" s="1822"/>
      <c r="F325" s="562"/>
      <c r="G325" s="562"/>
      <c r="H325" s="562"/>
      <c r="I325" s="562"/>
      <c r="J325" s="604">
        <v>2.09</v>
      </c>
      <c r="K325" s="562" t="s">
        <v>313</v>
      </c>
      <c r="L325" s="604">
        <v>13.06</v>
      </c>
      <c r="M325" s="562"/>
      <c r="N325" s="602"/>
      <c r="T325" s="674"/>
      <c r="U325" s="675"/>
      <c r="V325" s="675"/>
      <c r="Y325" s="537" t="s">
        <v>345</v>
      </c>
      <c r="AB325" s="675"/>
      <c r="AC325" s="675"/>
      <c r="AE325" s="675"/>
      <c r="AF325" s="680"/>
    </row>
    <row r="326" spans="1:32" s="536" customFormat="1" ht="12" x14ac:dyDescent="0.2">
      <c r="A326" s="605"/>
      <c r="B326" s="552" t="s">
        <v>188</v>
      </c>
      <c r="C326" s="1822" t="s">
        <v>475</v>
      </c>
      <c r="D326" s="1822"/>
      <c r="E326" s="1822"/>
      <c r="F326" s="562"/>
      <c r="G326" s="562"/>
      <c r="H326" s="562"/>
      <c r="I326" s="562"/>
      <c r="J326" s="604">
        <v>22.67</v>
      </c>
      <c r="K326" s="562"/>
      <c r="L326" s="604">
        <v>113.35</v>
      </c>
      <c r="M326" s="562"/>
      <c r="N326" s="602"/>
      <c r="T326" s="674"/>
      <c r="U326" s="675"/>
      <c r="V326" s="675"/>
      <c r="Y326" s="537" t="s">
        <v>475</v>
      </c>
      <c r="AB326" s="675"/>
      <c r="AC326" s="675"/>
      <c r="AE326" s="675"/>
      <c r="AF326" s="680"/>
    </row>
    <row r="327" spans="1:32" s="536" customFormat="1" ht="12" x14ac:dyDescent="0.2">
      <c r="A327" s="605"/>
      <c r="B327" s="552"/>
      <c r="C327" s="1822" t="s">
        <v>314</v>
      </c>
      <c r="D327" s="1822"/>
      <c r="E327" s="1822"/>
      <c r="F327" s="562" t="s">
        <v>315</v>
      </c>
      <c r="G327" s="562" t="s">
        <v>6812</v>
      </c>
      <c r="H327" s="562" t="s">
        <v>313</v>
      </c>
      <c r="I327" s="562" t="s">
        <v>1753</v>
      </c>
      <c r="J327" s="604"/>
      <c r="K327" s="562"/>
      <c r="L327" s="604"/>
      <c r="M327" s="562"/>
      <c r="N327" s="602"/>
      <c r="T327" s="674"/>
      <c r="U327" s="675"/>
      <c r="V327" s="675"/>
      <c r="Z327" s="537" t="s">
        <v>314</v>
      </c>
      <c r="AB327" s="675"/>
      <c r="AC327" s="675"/>
      <c r="AE327" s="675"/>
      <c r="AF327" s="680"/>
    </row>
    <row r="328" spans="1:32" s="536" customFormat="1" ht="12" x14ac:dyDescent="0.2">
      <c r="A328" s="605"/>
      <c r="B328" s="552"/>
      <c r="C328" s="1822" t="s">
        <v>348</v>
      </c>
      <c r="D328" s="1822"/>
      <c r="E328" s="1822"/>
      <c r="F328" s="562" t="s">
        <v>315</v>
      </c>
      <c r="G328" s="562" t="s">
        <v>1200</v>
      </c>
      <c r="H328" s="562" t="s">
        <v>313</v>
      </c>
      <c r="I328" s="562" t="s">
        <v>643</v>
      </c>
      <c r="J328" s="604"/>
      <c r="K328" s="562"/>
      <c r="L328" s="604"/>
      <c r="M328" s="562"/>
      <c r="N328" s="602"/>
      <c r="T328" s="674"/>
      <c r="U328" s="675"/>
      <c r="V328" s="675"/>
      <c r="Z328" s="537" t="s">
        <v>348</v>
      </c>
      <c r="AB328" s="675"/>
      <c r="AC328" s="675"/>
      <c r="AE328" s="675"/>
      <c r="AF328" s="680"/>
    </row>
    <row r="329" spans="1:32" s="536" customFormat="1" ht="12" x14ac:dyDescent="0.2">
      <c r="A329" s="605"/>
      <c r="B329" s="552"/>
      <c r="C329" s="1828" t="s">
        <v>318</v>
      </c>
      <c r="D329" s="1828"/>
      <c r="E329" s="1828"/>
      <c r="F329" s="608"/>
      <c r="G329" s="608"/>
      <c r="H329" s="608"/>
      <c r="I329" s="608"/>
      <c r="J329" s="607">
        <v>35.68</v>
      </c>
      <c r="K329" s="608"/>
      <c r="L329" s="607">
        <v>194.67</v>
      </c>
      <c r="M329" s="608"/>
      <c r="N329" s="606"/>
      <c r="T329" s="674"/>
      <c r="U329" s="675"/>
      <c r="V329" s="675"/>
      <c r="AA329" s="537" t="s">
        <v>318</v>
      </c>
      <c r="AB329" s="675"/>
      <c r="AC329" s="675"/>
      <c r="AE329" s="675"/>
      <c r="AF329" s="680"/>
    </row>
    <row r="330" spans="1:32" s="536" customFormat="1" ht="12" x14ac:dyDescent="0.2">
      <c r="A330" s="605"/>
      <c r="B330" s="552"/>
      <c r="C330" s="1822" t="s">
        <v>319</v>
      </c>
      <c r="D330" s="1822"/>
      <c r="E330" s="1822"/>
      <c r="F330" s="562"/>
      <c r="G330" s="562"/>
      <c r="H330" s="562"/>
      <c r="I330" s="562"/>
      <c r="J330" s="604"/>
      <c r="K330" s="562"/>
      <c r="L330" s="604">
        <v>34.69</v>
      </c>
      <c r="M330" s="562"/>
      <c r="N330" s="602"/>
      <c r="T330" s="674"/>
      <c r="U330" s="675"/>
      <c r="V330" s="675"/>
      <c r="Z330" s="537" t="s">
        <v>319</v>
      </c>
      <c r="AB330" s="675"/>
      <c r="AC330" s="675"/>
      <c r="AE330" s="675"/>
      <c r="AF330" s="680"/>
    </row>
    <row r="331" spans="1:32" s="536" customFormat="1" ht="33.75" x14ac:dyDescent="0.2">
      <c r="A331" s="605"/>
      <c r="B331" s="552" t="s">
        <v>533</v>
      </c>
      <c r="C331" s="1822" t="s">
        <v>534</v>
      </c>
      <c r="D331" s="1822"/>
      <c r="E331" s="1822"/>
      <c r="F331" s="562" t="s">
        <v>322</v>
      </c>
      <c r="G331" s="562" t="s">
        <v>535</v>
      </c>
      <c r="H331" s="562"/>
      <c r="I331" s="562" t="s">
        <v>535</v>
      </c>
      <c r="J331" s="604"/>
      <c r="K331" s="562"/>
      <c r="L331" s="604">
        <v>40.590000000000003</v>
      </c>
      <c r="M331" s="562"/>
      <c r="N331" s="602"/>
      <c r="T331" s="674"/>
      <c r="U331" s="675"/>
      <c r="V331" s="675"/>
      <c r="Z331" s="537" t="s">
        <v>534</v>
      </c>
      <c r="AB331" s="675"/>
      <c r="AC331" s="675"/>
      <c r="AE331" s="675"/>
      <c r="AF331" s="680"/>
    </row>
    <row r="332" spans="1:32" s="536" customFormat="1" ht="33.75" x14ac:dyDescent="0.2">
      <c r="A332" s="605"/>
      <c r="B332" s="552" t="s">
        <v>536</v>
      </c>
      <c r="C332" s="1822" t="s">
        <v>537</v>
      </c>
      <c r="D332" s="1822"/>
      <c r="E332" s="1822"/>
      <c r="F332" s="562" t="s">
        <v>322</v>
      </c>
      <c r="G332" s="562" t="s">
        <v>538</v>
      </c>
      <c r="H332" s="562"/>
      <c r="I332" s="562" t="s">
        <v>538</v>
      </c>
      <c r="J332" s="604"/>
      <c r="K332" s="562"/>
      <c r="L332" s="604">
        <v>25.67</v>
      </c>
      <c r="M332" s="562"/>
      <c r="N332" s="602"/>
      <c r="T332" s="674"/>
      <c r="U332" s="675"/>
      <c r="V332" s="675"/>
      <c r="Z332" s="537" t="s">
        <v>537</v>
      </c>
      <c r="AB332" s="675"/>
      <c r="AC332" s="675"/>
      <c r="AE332" s="675"/>
      <c r="AF332" s="680"/>
    </row>
    <row r="333" spans="1:32" s="536" customFormat="1" ht="12" x14ac:dyDescent="0.2">
      <c r="A333" s="569"/>
      <c r="B333" s="683"/>
      <c r="C333" s="1823" t="s">
        <v>327</v>
      </c>
      <c r="D333" s="1823"/>
      <c r="E333" s="1823"/>
      <c r="F333" s="573"/>
      <c r="G333" s="573"/>
      <c r="H333" s="573"/>
      <c r="I333" s="573"/>
      <c r="J333" s="572"/>
      <c r="K333" s="573"/>
      <c r="L333" s="572">
        <v>260.93</v>
      </c>
      <c r="M333" s="608"/>
      <c r="N333" s="570"/>
      <c r="T333" s="674"/>
      <c r="U333" s="675"/>
      <c r="V333" s="675"/>
      <c r="AB333" s="675" t="s">
        <v>327</v>
      </c>
      <c r="AC333" s="675"/>
      <c r="AE333" s="675"/>
      <c r="AF333" s="680"/>
    </row>
    <row r="334" spans="1:32" s="536" customFormat="1" ht="22.5" x14ac:dyDescent="0.2">
      <c r="A334" s="575" t="s">
        <v>1079</v>
      </c>
      <c r="B334" s="684" t="s">
        <v>9040</v>
      </c>
      <c r="C334" s="1823" t="s">
        <v>9041</v>
      </c>
      <c r="D334" s="1823"/>
      <c r="E334" s="1823"/>
      <c r="F334" s="573" t="s">
        <v>483</v>
      </c>
      <c r="G334" s="573"/>
      <c r="H334" s="573"/>
      <c r="I334" s="573" t="s">
        <v>9042</v>
      </c>
      <c r="J334" s="572">
        <v>58.2</v>
      </c>
      <c r="K334" s="573"/>
      <c r="L334" s="572">
        <v>-110.58</v>
      </c>
      <c r="M334" s="573"/>
      <c r="N334" s="570"/>
      <c r="T334" s="674"/>
      <c r="U334" s="675"/>
      <c r="V334" s="675" t="s">
        <v>9041</v>
      </c>
      <c r="AB334" s="675"/>
      <c r="AC334" s="675"/>
      <c r="AE334" s="675"/>
      <c r="AF334" s="680"/>
    </row>
    <row r="335" spans="1:32" s="536" customFormat="1" ht="12" x14ac:dyDescent="0.2">
      <c r="A335" s="569"/>
      <c r="B335" s="683"/>
      <c r="C335" s="689" t="s">
        <v>717</v>
      </c>
      <c r="D335" s="690"/>
      <c r="E335" s="690"/>
      <c r="F335" s="563"/>
      <c r="G335" s="563"/>
      <c r="H335" s="563"/>
      <c r="I335" s="563"/>
      <c r="J335" s="566"/>
      <c r="K335" s="563"/>
      <c r="L335" s="566"/>
      <c r="M335" s="565"/>
      <c r="N335" s="564"/>
      <c r="T335" s="674"/>
      <c r="U335" s="675"/>
      <c r="V335" s="675"/>
      <c r="AB335" s="675"/>
      <c r="AC335" s="675"/>
      <c r="AE335" s="675"/>
      <c r="AF335" s="680"/>
    </row>
    <row r="336" spans="1:32" s="536" customFormat="1" ht="33.75" x14ac:dyDescent="0.2">
      <c r="A336" s="575" t="s">
        <v>759</v>
      </c>
      <c r="B336" s="684" t="s">
        <v>9043</v>
      </c>
      <c r="C336" s="1823" t="s">
        <v>9044</v>
      </c>
      <c r="D336" s="1823"/>
      <c r="E336" s="1823"/>
      <c r="F336" s="573" t="s">
        <v>865</v>
      </c>
      <c r="G336" s="573"/>
      <c r="H336" s="573"/>
      <c r="I336" s="573" t="s">
        <v>1177</v>
      </c>
      <c r="J336" s="572">
        <v>30</v>
      </c>
      <c r="K336" s="573"/>
      <c r="L336" s="572">
        <v>2.7</v>
      </c>
      <c r="M336" s="573"/>
      <c r="N336" s="570"/>
      <c r="T336" s="674"/>
      <c r="U336" s="675"/>
      <c r="V336" s="675" t="s">
        <v>9044</v>
      </c>
      <c r="AB336" s="675"/>
      <c r="AC336" s="675"/>
      <c r="AE336" s="675"/>
      <c r="AF336" s="680"/>
    </row>
    <row r="337" spans="1:32" s="536" customFormat="1" ht="12" x14ac:dyDescent="0.2">
      <c r="A337" s="569"/>
      <c r="B337" s="683"/>
      <c r="C337" s="689" t="s">
        <v>717</v>
      </c>
      <c r="D337" s="690"/>
      <c r="E337" s="690"/>
      <c r="F337" s="563"/>
      <c r="G337" s="563"/>
      <c r="H337" s="563"/>
      <c r="I337" s="563"/>
      <c r="J337" s="566"/>
      <c r="K337" s="563"/>
      <c r="L337" s="566"/>
      <c r="M337" s="565"/>
      <c r="N337" s="564"/>
      <c r="T337" s="674"/>
      <c r="U337" s="675"/>
      <c r="V337" s="675"/>
      <c r="AB337" s="675"/>
      <c r="AC337" s="675"/>
      <c r="AE337" s="675"/>
      <c r="AF337" s="680"/>
    </row>
    <row r="338" spans="1:32" s="536" customFormat="1" ht="12" x14ac:dyDescent="0.2">
      <c r="A338" s="676"/>
      <c r="B338" s="682"/>
      <c r="C338" s="1822" t="s">
        <v>9045</v>
      </c>
      <c r="D338" s="1822"/>
      <c r="E338" s="1822"/>
      <c r="F338" s="1822"/>
      <c r="G338" s="1822"/>
      <c r="H338" s="1822"/>
      <c r="I338" s="1822"/>
      <c r="J338" s="1822"/>
      <c r="K338" s="1822"/>
      <c r="L338" s="1822"/>
      <c r="M338" s="1822"/>
      <c r="N338" s="1827"/>
      <c r="T338" s="674"/>
      <c r="U338" s="675"/>
      <c r="V338" s="675"/>
      <c r="W338" s="537" t="s">
        <v>9045</v>
      </c>
      <c r="AB338" s="675"/>
      <c r="AC338" s="675"/>
      <c r="AE338" s="675"/>
      <c r="AF338" s="680"/>
    </row>
    <row r="339" spans="1:32" s="536" customFormat="1" ht="56.25" x14ac:dyDescent="0.2">
      <c r="A339" s="575" t="s">
        <v>917</v>
      </c>
      <c r="B339" s="684" t="s">
        <v>6759</v>
      </c>
      <c r="C339" s="1823" t="s">
        <v>6760</v>
      </c>
      <c r="D339" s="1823"/>
      <c r="E339" s="1823"/>
      <c r="F339" s="573" t="s">
        <v>519</v>
      </c>
      <c r="G339" s="573"/>
      <c r="H339" s="573"/>
      <c r="I339" s="573" t="s">
        <v>1664</v>
      </c>
      <c r="J339" s="572"/>
      <c r="K339" s="573"/>
      <c r="L339" s="572"/>
      <c r="M339" s="573"/>
      <c r="N339" s="570"/>
      <c r="T339" s="674"/>
      <c r="U339" s="675"/>
      <c r="V339" s="675" t="s">
        <v>6760</v>
      </c>
      <c r="AB339" s="675"/>
      <c r="AC339" s="675"/>
      <c r="AE339" s="675"/>
      <c r="AF339" s="680"/>
    </row>
    <row r="340" spans="1:32" s="536" customFormat="1" ht="12" x14ac:dyDescent="0.2">
      <c r="A340" s="676"/>
      <c r="B340" s="682"/>
      <c r="C340" s="1822" t="s">
        <v>9046</v>
      </c>
      <c r="D340" s="1822"/>
      <c r="E340" s="1822"/>
      <c r="F340" s="1822"/>
      <c r="G340" s="1822"/>
      <c r="H340" s="1822"/>
      <c r="I340" s="1822"/>
      <c r="J340" s="1822"/>
      <c r="K340" s="1822"/>
      <c r="L340" s="1822"/>
      <c r="M340" s="1822"/>
      <c r="N340" s="1827"/>
      <c r="T340" s="674"/>
      <c r="U340" s="675"/>
      <c r="V340" s="675"/>
      <c r="W340" s="537" t="s">
        <v>9046</v>
      </c>
      <c r="AB340" s="675"/>
      <c r="AC340" s="675"/>
      <c r="AE340" s="675"/>
      <c r="AF340" s="680"/>
    </row>
    <row r="341" spans="1:32" s="536" customFormat="1" ht="33.75" x14ac:dyDescent="0.2">
      <c r="A341" s="609"/>
      <c r="B341" s="552" t="s">
        <v>310</v>
      </c>
      <c r="C341" s="1822" t="s">
        <v>311</v>
      </c>
      <c r="D341" s="1822"/>
      <c r="E341" s="1822"/>
      <c r="F341" s="1822"/>
      <c r="G341" s="1822"/>
      <c r="H341" s="1822"/>
      <c r="I341" s="1822"/>
      <c r="J341" s="1822"/>
      <c r="K341" s="1822"/>
      <c r="L341" s="1822"/>
      <c r="M341" s="1822"/>
      <c r="N341" s="1827"/>
      <c r="T341" s="674"/>
      <c r="U341" s="675"/>
      <c r="V341" s="675"/>
      <c r="X341" s="537" t="s">
        <v>311</v>
      </c>
      <c r="AB341" s="675"/>
      <c r="AC341" s="675"/>
      <c r="AE341" s="675"/>
      <c r="AF341" s="680"/>
    </row>
    <row r="342" spans="1:32" s="536" customFormat="1" ht="12" x14ac:dyDescent="0.2">
      <c r="A342" s="605"/>
      <c r="B342" s="552" t="s">
        <v>185</v>
      </c>
      <c r="C342" s="1822" t="s">
        <v>312</v>
      </c>
      <c r="D342" s="1822"/>
      <c r="E342" s="1822"/>
      <c r="F342" s="562"/>
      <c r="G342" s="562"/>
      <c r="H342" s="562"/>
      <c r="I342" s="562"/>
      <c r="J342" s="604">
        <v>425.57</v>
      </c>
      <c r="K342" s="562" t="s">
        <v>313</v>
      </c>
      <c r="L342" s="604">
        <v>4.79</v>
      </c>
      <c r="M342" s="562"/>
      <c r="N342" s="602"/>
      <c r="T342" s="674"/>
      <c r="U342" s="675"/>
      <c r="V342" s="675"/>
      <c r="Y342" s="537" t="s">
        <v>312</v>
      </c>
      <c r="AB342" s="675"/>
      <c r="AC342" s="675"/>
      <c r="AE342" s="675"/>
      <c r="AF342" s="680"/>
    </row>
    <row r="343" spans="1:32" s="536" customFormat="1" ht="12" x14ac:dyDescent="0.2">
      <c r="A343" s="605"/>
      <c r="B343" s="552" t="s">
        <v>186</v>
      </c>
      <c r="C343" s="1822" t="s">
        <v>344</v>
      </c>
      <c r="D343" s="1822"/>
      <c r="E343" s="1822"/>
      <c r="F343" s="562"/>
      <c r="G343" s="562"/>
      <c r="H343" s="562"/>
      <c r="I343" s="562"/>
      <c r="J343" s="604">
        <v>725.03</v>
      </c>
      <c r="K343" s="562" t="s">
        <v>313</v>
      </c>
      <c r="L343" s="604">
        <v>8.16</v>
      </c>
      <c r="M343" s="562"/>
      <c r="N343" s="602"/>
      <c r="T343" s="674"/>
      <c r="U343" s="675"/>
      <c r="V343" s="675"/>
      <c r="Y343" s="537" t="s">
        <v>344</v>
      </c>
      <c r="AB343" s="675"/>
      <c r="AC343" s="675"/>
      <c r="AE343" s="675"/>
      <c r="AF343" s="680"/>
    </row>
    <row r="344" spans="1:32" s="536" customFormat="1" ht="12" x14ac:dyDescent="0.2">
      <c r="A344" s="605"/>
      <c r="B344" s="552" t="s">
        <v>187</v>
      </c>
      <c r="C344" s="1822" t="s">
        <v>345</v>
      </c>
      <c r="D344" s="1822"/>
      <c r="E344" s="1822"/>
      <c r="F344" s="562"/>
      <c r="G344" s="562"/>
      <c r="H344" s="562"/>
      <c r="I344" s="562"/>
      <c r="J344" s="604">
        <v>100.1</v>
      </c>
      <c r="K344" s="562" t="s">
        <v>313</v>
      </c>
      <c r="L344" s="604">
        <v>1.1299999999999999</v>
      </c>
      <c r="M344" s="562"/>
      <c r="N344" s="602"/>
      <c r="T344" s="674"/>
      <c r="U344" s="675"/>
      <c r="V344" s="675"/>
      <c r="Y344" s="537" t="s">
        <v>345</v>
      </c>
      <c r="AB344" s="675"/>
      <c r="AC344" s="675"/>
      <c r="AE344" s="675"/>
      <c r="AF344" s="680"/>
    </row>
    <row r="345" spans="1:32" s="536" customFormat="1" ht="12" x14ac:dyDescent="0.2">
      <c r="A345" s="605"/>
      <c r="B345" s="552" t="s">
        <v>188</v>
      </c>
      <c r="C345" s="1822" t="s">
        <v>475</v>
      </c>
      <c r="D345" s="1822"/>
      <c r="E345" s="1822"/>
      <c r="F345" s="562"/>
      <c r="G345" s="562"/>
      <c r="H345" s="562"/>
      <c r="I345" s="562"/>
      <c r="J345" s="604">
        <v>235.09</v>
      </c>
      <c r="K345" s="562"/>
      <c r="L345" s="604">
        <v>2.12</v>
      </c>
      <c r="M345" s="562"/>
      <c r="N345" s="602"/>
      <c r="T345" s="674"/>
      <c r="U345" s="675"/>
      <c r="V345" s="675"/>
      <c r="Y345" s="537" t="s">
        <v>475</v>
      </c>
      <c r="AB345" s="675"/>
      <c r="AC345" s="675"/>
      <c r="AE345" s="675"/>
      <c r="AF345" s="680"/>
    </row>
    <row r="346" spans="1:32" s="536" customFormat="1" ht="12" x14ac:dyDescent="0.2">
      <c r="A346" s="676"/>
      <c r="B346" s="677" t="s">
        <v>6761</v>
      </c>
      <c r="C346" s="1829" t="s">
        <v>6762</v>
      </c>
      <c r="D346" s="1829"/>
      <c r="E346" s="1829"/>
      <c r="F346" s="678" t="s">
        <v>694</v>
      </c>
      <c r="G346" s="678" t="s">
        <v>3171</v>
      </c>
      <c r="H346" s="678"/>
      <c r="I346" s="678" t="s">
        <v>9047</v>
      </c>
      <c r="J346" s="552"/>
      <c r="K346" s="562"/>
      <c r="L346" s="604"/>
      <c r="M346" s="562"/>
      <c r="N346" s="679"/>
      <c r="T346" s="674"/>
      <c r="U346" s="675"/>
      <c r="V346" s="675"/>
      <c r="AB346" s="675"/>
      <c r="AC346" s="675"/>
      <c r="AE346" s="675"/>
      <c r="AF346" s="680" t="s">
        <v>6762</v>
      </c>
    </row>
    <row r="347" spans="1:32" s="536" customFormat="1" ht="12" x14ac:dyDescent="0.2">
      <c r="A347" s="676"/>
      <c r="B347" s="677" t="s">
        <v>4745</v>
      </c>
      <c r="C347" s="1829" t="s">
        <v>5190</v>
      </c>
      <c r="D347" s="1829"/>
      <c r="E347" s="1829"/>
      <c r="F347" s="678" t="s">
        <v>865</v>
      </c>
      <c r="G347" s="678" t="s">
        <v>6763</v>
      </c>
      <c r="H347" s="678"/>
      <c r="I347" s="678" t="s">
        <v>9048</v>
      </c>
      <c r="J347" s="552"/>
      <c r="K347" s="562"/>
      <c r="L347" s="604"/>
      <c r="M347" s="562"/>
      <c r="N347" s="679"/>
      <c r="T347" s="674"/>
      <c r="U347" s="675"/>
      <c r="V347" s="675"/>
      <c r="AB347" s="675"/>
      <c r="AC347" s="675"/>
      <c r="AE347" s="675"/>
      <c r="AF347" s="680" t="s">
        <v>5190</v>
      </c>
    </row>
    <row r="348" spans="1:32" s="536" customFormat="1" ht="12" x14ac:dyDescent="0.2">
      <c r="A348" s="605"/>
      <c r="B348" s="552"/>
      <c r="C348" s="1822" t="s">
        <v>314</v>
      </c>
      <c r="D348" s="1822"/>
      <c r="E348" s="1822"/>
      <c r="F348" s="562" t="s">
        <v>315</v>
      </c>
      <c r="G348" s="562" t="s">
        <v>6764</v>
      </c>
      <c r="H348" s="562" t="s">
        <v>313</v>
      </c>
      <c r="I348" s="562" t="s">
        <v>9049</v>
      </c>
      <c r="J348" s="604"/>
      <c r="K348" s="562"/>
      <c r="L348" s="604"/>
      <c r="M348" s="562"/>
      <c r="N348" s="602"/>
      <c r="T348" s="674"/>
      <c r="U348" s="675"/>
      <c r="V348" s="675"/>
      <c r="Z348" s="537" t="s">
        <v>314</v>
      </c>
      <c r="AB348" s="675"/>
      <c r="AC348" s="675"/>
      <c r="AE348" s="675"/>
      <c r="AF348" s="680"/>
    </row>
    <row r="349" spans="1:32" s="536" customFormat="1" ht="12" x14ac:dyDescent="0.2">
      <c r="A349" s="605"/>
      <c r="B349" s="552"/>
      <c r="C349" s="1822" t="s">
        <v>348</v>
      </c>
      <c r="D349" s="1822"/>
      <c r="E349" s="1822"/>
      <c r="F349" s="562" t="s">
        <v>315</v>
      </c>
      <c r="G349" s="562" t="s">
        <v>6765</v>
      </c>
      <c r="H349" s="562" t="s">
        <v>313</v>
      </c>
      <c r="I349" s="562" t="s">
        <v>9050</v>
      </c>
      <c r="J349" s="604"/>
      <c r="K349" s="562"/>
      <c r="L349" s="604"/>
      <c r="M349" s="562"/>
      <c r="N349" s="602"/>
      <c r="T349" s="674"/>
      <c r="U349" s="675"/>
      <c r="V349" s="675"/>
      <c r="Z349" s="537" t="s">
        <v>348</v>
      </c>
      <c r="AB349" s="675"/>
      <c r="AC349" s="675"/>
      <c r="AE349" s="675"/>
      <c r="AF349" s="680"/>
    </row>
    <row r="350" spans="1:32" s="536" customFormat="1" ht="12" x14ac:dyDescent="0.2">
      <c r="A350" s="605"/>
      <c r="B350" s="552"/>
      <c r="C350" s="1828" t="s">
        <v>318</v>
      </c>
      <c r="D350" s="1828"/>
      <c r="E350" s="1828"/>
      <c r="F350" s="608"/>
      <c r="G350" s="608"/>
      <c r="H350" s="608"/>
      <c r="I350" s="608"/>
      <c r="J350" s="607">
        <v>1385.69</v>
      </c>
      <c r="K350" s="608"/>
      <c r="L350" s="607">
        <v>15.07</v>
      </c>
      <c r="M350" s="608"/>
      <c r="N350" s="606"/>
      <c r="T350" s="674"/>
      <c r="U350" s="675"/>
      <c r="V350" s="675"/>
      <c r="AA350" s="537" t="s">
        <v>318</v>
      </c>
      <c r="AB350" s="675"/>
      <c r="AC350" s="675"/>
      <c r="AE350" s="675"/>
      <c r="AF350" s="680"/>
    </row>
    <row r="351" spans="1:32" s="536" customFormat="1" ht="12" x14ac:dyDescent="0.2">
      <c r="A351" s="605"/>
      <c r="B351" s="552"/>
      <c r="C351" s="1822" t="s">
        <v>319</v>
      </c>
      <c r="D351" s="1822"/>
      <c r="E351" s="1822"/>
      <c r="F351" s="562"/>
      <c r="G351" s="562"/>
      <c r="H351" s="562"/>
      <c r="I351" s="562"/>
      <c r="J351" s="604"/>
      <c r="K351" s="562"/>
      <c r="L351" s="604">
        <v>5.92</v>
      </c>
      <c r="M351" s="562"/>
      <c r="N351" s="602"/>
      <c r="T351" s="674"/>
      <c r="U351" s="675"/>
      <c r="V351" s="675"/>
      <c r="Z351" s="537" t="s">
        <v>319</v>
      </c>
      <c r="AB351" s="675"/>
      <c r="AC351" s="675"/>
      <c r="AE351" s="675"/>
      <c r="AF351" s="680"/>
    </row>
    <row r="352" spans="1:32" s="536" customFormat="1" ht="33.75" x14ac:dyDescent="0.2">
      <c r="A352" s="605"/>
      <c r="B352" s="552" t="s">
        <v>533</v>
      </c>
      <c r="C352" s="1822" t="s">
        <v>534</v>
      </c>
      <c r="D352" s="1822"/>
      <c r="E352" s="1822"/>
      <c r="F352" s="562" t="s">
        <v>322</v>
      </c>
      <c r="G352" s="562" t="s">
        <v>535</v>
      </c>
      <c r="H352" s="562"/>
      <c r="I352" s="562" t="s">
        <v>535</v>
      </c>
      <c r="J352" s="604"/>
      <c r="K352" s="562"/>
      <c r="L352" s="604">
        <v>6.93</v>
      </c>
      <c r="M352" s="562"/>
      <c r="N352" s="602"/>
      <c r="T352" s="674"/>
      <c r="U352" s="675"/>
      <c r="V352" s="675"/>
      <c r="Z352" s="537" t="s">
        <v>534</v>
      </c>
      <c r="AB352" s="675"/>
      <c r="AC352" s="675"/>
      <c r="AE352" s="675"/>
      <c r="AF352" s="680"/>
    </row>
    <row r="353" spans="1:32" s="536" customFormat="1" ht="33.75" x14ac:dyDescent="0.2">
      <c r="A353" s="605"/>
      <c r="B353" s="552" t="s">
        <v>536</v>
      </c>
      <c r="C353" s="1822" t="s">
        <v>537</v>
      </c>
      <c r="D353" s="1822"/>
      <c r="E353" s="1822"/>
      <c r="F353" s="562" t="s">
        <v>322</v>
      </c>
      <c r="G353" s="562" t="s">
        <v>538</v>
      </c>
      <c r="H353" s="562"/>
      <c r="I353" s="562" t="s">
        <v>538</v>
      </c>
      <c r="J353" s="604"/>
      <c r="K353" s="562"/>
      <c r="L353" s="604">
        <v>4.38</v>
      </c>
      <c r="M353" s="562"/>
      <c r="N353" s="602"/>
      <c r="T353" s="674"/>
      <c r="U353" s="675"/>
      <c r="V353" s="675"/>
      <c r="Z353" s="537" t="s">
        <v>537</v>
      </c>
      <c r="AB353" s="675"/>
      <c r="AC353" s="675"/>
      <c r="AE353" s="675"/>
      <c r="AF353" s="680"/>
    </row>
    <row r="354" spans="1:32" s="536" customFormat="1" ht="12" x14ac:dyDescent="0.2">
      <c r="A354" s="569"/>
      <c r="B354" s="683"/>
      <c r="C354" s="1823" t="s">
        <v>327</v>
      </c>
      <c r="D354" s="1823"/>
      <c r="E354" s="1823"/>
      <c r="F354" s="573"/>
      <c r="G354" s="573"/>
      <c r="H354" s="573"/>
      <c r="I354" s="573"/>
      <c r="J354" s="572"/>
      <c r="K354" s="573"/>
      <c r="L354" s="572">
        <v>26.38</v>
      </c>
      <c r="M354" s="608"/>
      <c r="N354" s="570"/>
      <c r="T354" s="674"/>
      <c r="U354" s="675"/>
      <c r="V354" s="675"/>
      <c r="AB354" s="675" t="s">
        <v>327</v>
      </c>
      <c r="AC354" s="675"/>
      <c r="AE354" s="675"/>
      <c r="AF354" s="680"/>
    </row>
    <row r="355" spans="1:32" s="536" customFormat="1" ht="12" x14ac:dyDescent="0.2">
      <c r="A355" s="575" t="s">
        <v>761</v>
      </c>
      <c r="B355" s="684" t="s">
        <v>6766</v>
      </c>
      <c r="C355" s="1823" t="s">
        <v>6767</v>
      </c>
      <c r="D355" s="1823"/>
      <c r="E355" s="1823"/>
      <c r="F355" s="573" t="s">
        <v>694</v>
      </c>
      <c r="G355" s="573"/>
      <c r="H355" s="573"/>
      <c r="I355" s="573" t="s">
        <v>9047</v>
      </c>
      <c r="J355" s="572">
        <v>7515.68</v>
      </c>
      <c r="K355" s="573"/>
      <c r="L355" s="572">
        <v>4.7300000000000004</v>
      </c>
      <c r="M355" s="573"/>
      <c r="N355" s="570"/>
      <c r="T355" s="674"/>
      <c r="U355" s="675"/>
      <c r="V355" s="675" t="s">
        <v>6767</v>
      </c>
      <c r="AB355" s="675"/>
      <c r="AC355" s="675"/>
      <c r="AE355" s="675"/>
      <c r="AF355" s="680"/>
    </row>
    <row r="356" spans="1:32" s="536" customFormat="1" ht="12" x14ac:dyDescent="0.2">
      <c r="A356" s="569"/>
      <c r="B356" s="683"/>
      <c r="C356" s="689" t="s">
        <v>717</v>
      </c>
      <c r="D356" s="690"/>
      <c r="E356" s="690"/>
      <c r="F356" s="563"/>
      <c r="G356" s="563"/>
      <c r="H356" s="563"/>
      <c r="I356" s="563"/>
      <c r="J356" s="566"/>
      <c r="K356" s="563"/>
      <c r="L356" s="566"/>
      <c r="M356" s="565"/>
      <c r="N356" s="564"/>
      <c r="T356" s="674"/>
      <c r="U356" s="675"/>
      <c r="V356" s="675"/>
      <c r="AB356" s="675"/>
      <c r="AC356" s="675"/>
      <c r="AE356" s="675"/>
      <c r="AF356" s="680"/>
    </row>
    <row r="357" spans="1:32" s="536" customFormat="1" ht="12" x14ac:dyDescent="0.2">
      <c r="A357" s="575" t="s">
        <v>762</v>
      </c>
      <c r="B357" s="684" t="s">
        <v>6768</v>
      </c>
      <c r="C357" s="1823" t="s">
        <v>6769</v>
      </c>
      <c r="D357" s="1823"/>
      <c r="E357" s="1823"/>
      <c r="F357" s="573" t="s">
        <v>865</v>
      </c>
      <c r="G357" s="573"/>
      <c r="H357" s="573"/>
      <c r="I357" s="573" t="s">
        <v>9048</v>
      </c>
      <c r="J357" s="572">
        <v>35.21</v>
      </c>
      <c r="K357" s="573"/>
      <c r="L357" s="572">
        <v>6.18</v>
      </c>
      <c r="M357" s="573"/>
      <c r="N357" s="570"/>
      <c r="T357" s="674"/>
      <c r="U357" s="675"/>
      <c r="V357" s="675" t="s">
        <v>6769</v>
      </c>
      <c r="AB357" s="675"/>
      <c r="AC357" s="675"/>
      <c r="AE357" s="675"/>
      <c r="AF357" s="680"/>
    </row>
    <row r="358" spans="1:32" s="536" customFormat="1" ht="12" x14ac:dyDescent="0.2">
      <c r="A358" s="569"/>
      <c r="B358" s="683"/>
      <c r="C358" s="689" t="s">
        <v>717</v>
      </c>
      <c r="D358" s="690"/>
      <c r="E358" s="690"/>
      <c r="F358" s="563"/>
      <c r="G358" s="563"/>
      <c r="H358" s="563"/>
      <c r="I358" s="563"/>
      <c r="J358" s="566"/>
      <c r="K358" s="563"/>
      <c r="L358" s="566"/>
      <c r="M358" s="565"/>
      <c r="N358" s="564"/>
      <c r="T358" s="674"/>
      <c r="U358" s="675"/>
      <c r="V358" s="675"/>
      <c r="AB358" s="675"/>
      <c r="AC358" s="675"/>
      <c r="AE358" s="675"/>
      <c r="AF358" s="680"/>
    </row>
    <row r="359" spans="1:32" s="536" customFormat="1" ht="22.5" x14ac:dyDescent="0.2">
      <c r="A359" s="575" t="s">
        <v>763</v>
      </c>
      <c r="B359" s="684" t="s">
        <v>6770</v>
      </c>
      <c r="C359" s="1823" t="s">
        <v>6771</v>
      </c>
      <c r="D359" s="1823"/>
      <c r="E359" s="1823"/>
      <c r="F359" s="573" t="s">
        <v>6772</v>
      </c>
      <c r="G359" s="573"/>
      <c r="H359" s="573"/>
      <c r="I359" s="573" t="s">
        <v>185</v>
      </c>
      <c r="J359" s="572"/>
      <c r="K359" s="573"/>
      <c r="L359" s="572"/>
      <c r="M359" s="573"/>
      <c r="N359" s="570"/>
      <c r="T359" s="674"/>
      <c r="U359" s="675"/>
      <c r="V359" s="675" t="s">
        <v>6771</v>
      </c>
      <c r="AB359" s="675"/>
      <c r="AC359" s="675"/>
      <c r="AE359" s="675"/>
      <c r="AF359" s="680"/>
    </row>
    <row r="360" spans="1:32" s="536" customFormat="1" ht="33.75" x14ac:dyDescent="0.2">
      <c r="A360" s="609"/>
      <c r="B360" s="552" t="s">
        <v>310</v>
      </c>
      <c r="C360" s="1822" t="s">
        <v>311</v>
      </c>
      <c r="D360" s="1822"/>
      <c r="E360" s="1822"/>
      <c r="F360" s="1822"/>
      <c r="G360" s="1822"/>
      <c r="H360" s="1822"/>
      <c r="I360" s="1822"/>
      <c r="J360" s="1822"/>
      <c r="K360" s="1822"/>
      <c r="L360" s="1822"/>
      <c r="M360" s="1822"/>
      <c r="N360" s="1827"/>
      <c r="T360" s="674"/>
      <c r="U360" s="675"/>
      <c r="V360" s="675"/>
      <c r="X360" s="537" t="s">
        <v>311</v>
      </c>
      <c r="AB360" s="675"/>
      <c r="AC360" s="675"/>
      <c r="AE360" s="675"/>
      <c r="AF360" s="680"/>
    </row>
    <row r="361" spans="1:32" s="536" customFormat="1" ht="12" x14ac:dyDescent="0.2">
      <c r="A361" s="605"/>
      <c r="B361" s="552" t="s">
        <v>185</v>
      </c>
      <c r="C361" s="1822" t="s">
        <v>312</v>
      </c>
      <c r="D361" s="1822"/>
      <c r="E361" s="1822"/>
      <c r="F361" s="562"/>
      <c r="G361" s="562"/>
      <c r="H361" s="562"/>
      <c r="I361" s="562"/>
      <c r="J361" s="604">
        <v>25.92</v>
      </c>
      <c r="K361" s="562" t="s">
        <v>313</v>
      </c>
      <c r="L361" s="604">
        <v>32.4</v>
      </c>
      <c r="M361" s="562"/>
      <c r="N361" s="602"/>
      <c r="T361" s="674"/>
      <c r="U361" s="675"/>
      <c r="V361" s="675"/>
      <c r="Y361" s="537" t="s">
        <v>312</v>
      </c>
      <c r="AB361" s="675"/>
      <c r="AC361" s="675"/>
      <c r="AE361" s="675"/>
      <c r="AF361" s="680"/>
    </row>
    <row r="362" spans="1:32" s="536" customFormat="1" ht="12" x14ac:dyDescent="0.2">
      <c r="A362" s="605"/>
      <c r="B362" s="552" t="s">
        <v>186</v>
      </c>
      <c r="C362" s="1822" t="s">
        <v>344</v>
      </c>
      <c r="D362" s="1822"/>
      <c r="E362" s="1822"/>
      <c r="F362" s="562"/>
      <c r="G362" s="562"/>
      <c r="H362" s="562"/>
      <c r="I362" s="562"/>
      <c r="J362" s="604">
        <v>38.909999999999997</v>
      </c>
      <c r="K362" s="562" t="s">
        <v>313</v>
      </c>
      <c r="L362" s="604">
        <v>48.64</v>
      </c>
      <c r="M362" s="562"/>
      <c r="N362" s="602"/>
      <c r="T362" s="674"/>
      <c r="U362" s="675"/>
      <c r="V362" s="675"/>
      <c r="Y362" s="537" t="s">
        <v>344</v>
      </c>
      <c r="AB362" s="675"/>
      <c r="AC362" s="675"/>
      <c r="AE362" s="675"/>
      <c r="AF362" s="680"/>
    </row>
    <row r="363" spans="1:32" s="536" customFormat="1" ht="12" x14ac:dyDescent="0.2">
      <c r="A363" s="605"/>
      <c r="B363" s="552" t="s">
        <v>187</v>
      </c>
      <c r="C363" s="1822" t="s">
        <v>345</v>
      </c>
      <c r="D363" s="1822"/>
      <c r="E363" s="1822"/>
      <c r="F363" s="562"/>
      <c r="G363" s="562"/>
      <c r="H363" s="562"/>
      <c r="I363" s="562"/>
      <c r="J363" s="604">
        <v>0.46</v>
      </c>
      <c r="K363" s="562" t="s">
        <v>313</v>
      </c>
      <c r="L363" s="604">
        <v>0.57999999999999996</v>
      </c>
      <c r="M363" s="562"/>
      <c r="N363" s="602"/>
      <c r="T363" s="674"/>
      <c r="U363" s="675"/>
      <c r="V363" s="675"/>
      <c r="Y363" s="537" t="s">
        <v>345</v>
      </c>
      <c r="AB363" s="675"/>
      <c r="AC363" s="675"/>
      <c r="AE363" s="675"/>
      <c r="AF363" s="680"/>
    </row>
    <row r="364" spans="1:32" s="536" customFormat="1" ht="12" x14ac:dyDescent="0.2">
      <c r="A364" s="605"/>
      <c r="B364" s="552" t="s">
        <v>188</v>
      </c>
      <c r="C364" s="1822" t="s">
        <v>475</v>
      </c>
      <c r="D364" s="1822"/>
      <c r="E364" s="1822"/>
      <c r="F364" s="562"/>
      <c r="G364" s="562"/>
      <c r="H364" s="562"/>
      <c r="I364" s="562"/>
      <c r="J364" s="604">
        <v>149.13</v>
      </c>
      <c r="K364" s="562"/>
      <c r="L364" s="604">
        <v>149.13</v>
      </c>
      <c r="M364" s="562"/>
      <c r="N364" s="602"/>
      <c r="T364" s="674"/>
      <c r="U364" s="675"/>
      <c r="V364" s="675"/>
      <c r="Y364" s="537" t="s">
        <v>475</v>
      </c>
      <c r="AB364" s="675"/>
      <c r="AC364" s="675"/>
      <c r="AE364" s="675"/>
      <c r="AF364" s="680"/>
    </row>
    <row r="365" spans="1:32" s="536" customFormat="1" ht="22.5" x14ac:dyDescent="0.2">
      <c r="A365" s="676"/>
      <c r="B365" s="677" t="s">
        <v>6773</v>
      </c>
      <c r="C365" s="1829" t="s">
        <v>6774</v>
      </c>
      <c r="D365" s="1829"/>
      <c r="E365" s="1829"/>
      <c r="F365" s="678" t="s">
        <v>694</v>
      </c>
      <c r="G365" s="678" t="s">
        <v>525</v>
      </c>
      <c r="H365" s="678"/>
      <c r="I365" s="678" t="s">
        <v>525</v>
      </c>
      <c r="J365" s="552"/>
      <c r="K365" s="562"/>
      <c r="L365" s="604"/>
      <c r="M365" s="562"/>
      <c r="N365" s="679"/>
      <c r="T365" s="674"/>
      <c r="U365" s="675"/>
      <c r="V365" s="675"/>
      <c r="AB365" s="675"/>
      <c r="AC365" s="675"/>
      <c r="AE365" s="675"/>
      <c r="AF365" s="680" t="s">
        <v>6774</v>
      </c>
    </row>
    <row r="366" spans="1:32" s="536" customFormat="1" ht="12" x14ac:dyDescent="0.2">
      <c r="A366" s="605"/>
      <c r="B366" s="552"/>
      <c r="C366" s="1822" t="s">
        <v>314</v>
      </c>
      <c r="D366" s="1822"/>
      <c r="E366" s="1822"/>
      <c r="F366" s="562" t="s">
        <v>315</v>
      </c>
      <c r="G366" s="562" t="s">
        <v>6775</v>
      </c>
      <c r="H366" s="562" t="s">
        <v>313</v>
      </c>
      <c r="I366" s="562" t="s">
        <v>6776</v>
      </c>
      <c r="J366" s="604"/>
      <c r="K366" s="562"/>
      <c r="L366" s="604"/>
      <c r="M366" s="562"/>
      <c r="N366" s="602"/>
      <c r="T366" s="674"/>
      <c r="U366" s="675"/>
      <c r="V366" s="675"/>
      <c r="Z366" s="537" t="s">
        <v>314</v>
      </c>
      <c r="AB366" s="675"/>
      <c r="AC366" s="675"/>
      <c r="AE366" s="675"/>
      <c r="AF366" s="680"/>
    </row>
    <row r="367" spans="1:32" s="536" customFormat="1" ht="12" x14ac:dyDescent="0.2">
      <c r="A367" s="605"/>
      <c r="B367" s="552"/>
      <c r="C367" s="1822" t="s">
        <v>348</v>
      </c>
      <c r="D367" s="1822"/>
      <c r="E367" s="1822"/>
      <c r="F367" s="562" t="s">
        <v>315</v>
      </c>
      <c r="G367" s="562" t="s">
        <v>728</v>
      </c>
      <c r="H367" s="562" t="s">
        <v>313</v>
      </c>
      <c r="I367" s="562" t="s">
        <v>856</v>
      </c>
      <c r="J367" s="604"/>
      <c r="K367" s="562"/>
      <c r="L367" s="604"/>
      <c r="M367" s="562"/>
      <c r="N367" s="602"/>
      <c r="T367" s="674"/>
      <c r="U367" s="675"/>
      <c r="V367" s="675"/>
      <c r="Z367" s="537" t="s">
        <v>348</v>
      </c>
      <c r="AB367" s="675"/>
      <c r="AC367" s="675"/>
      <c r="AE367" s="675"/>
      <c r="AF367" s="680"/>
    </row>
    <row r="368" spans="1:32" s="536" customFormat="1" ht="12" x14ac:dyDescent="0.2">
      <c r="A368" s="605"/>
      <c r="B368" s="552"/>
      <c r="C368" s="1828" t="s">
        <v>318</v>
      </c>
      <c r="D368" s="1828"/>
      <c r="E368" s="1828"/>
      <c r="F368" s="608"/>
      <c r="G368" s="608"/>
      <c r="H368" s="608"/>
      <c r="I368" s="608"/>
      <c r="J368" s="607">
        <v>213.96</v>
      </c>
      <c r="K368" s="608"/>
      <c r="L368" s="607">
        <v>230.17</v>
      </c>
      <c r="M368" s="608"/>
      <c r="N368" s="606"/>
      <c r="T368" s="674"/>
      <c r="U368" s="675"/>
      <c r="V368" s="675"/>
      <c r="AA368" s="537" t="s">
        <v>318</v>
      </c>
      <c r="AB368" s="675"/>
      <c r="AC368" s="675"/>
      <c r="AE368" s="675"/>
      <c r="AF368" s="680"/>
    </row>
    <row r="369" spans="1:32" s="536" customFormat="1" ht="12" x14ac:dyDescent="0.2">
      <c r="A369" s="605"/>
      <c r="B369" s="552"/>
      <c r="C369" s="1822" t="s">
        <v>319</v>
      </c>
      <c r="D369" s="1822"/>
      <c r="E369" s="1822"/>
      <c r="F369" s="562"/>
      <c r="G369" s="562"/>
      <c r="H369" s="562"/>
      <c r="I369" s="562"/>
      <c r="J369" s="604"/>
      <c r="K369" s="562"/>
      <c r="L369" s="604">
        <v>32.979999999999997</v>
      </c>
      <c r="M369" s="562"/>
      <c r="N369" s="602"/>
      <c r="T369" s="674"/>
      <c r="U369" s="675"/>
      <c r="V369" s="675"/>
      <c r="Z369" s="537" t="s">
        <v>319</v>
      </c>
      <c r="AB369" s="675"/>
      <c r="AC369" s="675"/>
      <c r="AE369" s="675"/>
      <c r="AF369" s="680"/>
    </row>
    <row r="370" spans="1:32" s="536" customFormat="1" ht="33.75" x14ac:dyDescent="0.2">
      <c r="A370" s="605"/>
      <c r="B370" s="552" t="s">
        <v>533</v>
      </c>
      <c r="C370" s="1822" t="s">
        <v>534</v>
      </c>
      <c r="D370" s="1822"/>
      <c r="E370" s="1822"/>
      <c r="F370" s="562" t="s">
        <v>322</v>
      </c>
      <c r="G370" s="562" t="s">
        <v>535</v>
      </c>
      <c r="H370" s="562"/>
      <c r="I370" s="562" t="s">
        <v>535</v>
      </c>
      <c r="J370" s="604"/>
      <c r="K370" s="562"/>
      <c r="L370" s="604">
        <v>38.590000000000003</v>
      </c>
      <c r="M370" s="562"/>
      <c r="N370" s="602"/>
      <c r="T370" s="674"/>
      <c r="U370" s="675"/>
      <c r="V370" s="675"/>
      <c r="Z370" s="537" t="s">
        <v>534</v>
      </c>
      <c r="AB370" s="675"/>
      <c r="AC370" s="675"/>
      <c r="AE370" s="675"/>
      <c r="AF370" s="680"/>
    </row>
    <row r="371" spans="1:32" s="536" customFormat="1" ht="33.75" x14ac:dyDescent="0.2">
      <c r="A371" s="605"/>
      <c r="B371" s="552" t="s">
        <v>536</v>
      </c>
      <c r="C371" s="1822" t="s">
        <v>537</v>
      </c>
      <c r="D371" s="1822"/>
      <c r="E371" s="1822"/>
      <c r="F371" s="562" t="s">
        <v>322</v>
      </c>
      <c r="G371" s="562" t="s">
        <v>538</v>
      </c>
      <c r="H371" s="562"/>
      <c r="I371" s="562" t="s">
        <v>538</v>
      </c>
      <c r="J371" s="604"/>
      <c r="K371" s="562"/>
      <c r="L371" s="604">
        <v>24.41</v>
      </c>
      <c r="M371" s="562"/>
      <c r="N371" s="602"/>
      <c r="T371" s="674"/>
      <c r="U371" s="675"/>
      <c r="V371" s="675"/>
      <c r="Z371" s="537" t="s">
        <v>537</v>
      </c>
      <c r="AB371" s="675"/>
      <c r="AC371" s="675"/>
      <c r="AE371" s="675"/>
      <c r="AF371" s="680"/>
    </row>
    <row r="372" spans="1:32" s="536" customFormat="1" ht="12" x14ac:dyDescent="0.2">
      <c r="A372" s="569"/>
      <c r="B372" s="683"/>
      <c r="C372" s="1823" t="s">
        <v>327</v>
      </c>
      <c r="D372" s="1823"/>
      <c r="E372" s="1823"/>
      <c r="F372" s="573"/>
      <c r="G372" s="573"/>
      <c r="H372" s="573"/>
      <c r="I372" s="573"/>
      <c r="J372" s="572"/>
      <c r="K372" s="573"/>
      <c r="L372" s="572">
        <v>293.17</v>
      </c>
      <c r="M372" s="608"/>
      <c r="N372" s="570"/>
      <c r="T372" s="674"/>
      <c r="U372" s="675"/>
      <c r="V372" s="675"/>
      <c r="AB372" s="675" t="s">
        <v>327</v>
      </c>
      <c r="AC372" s="675"/>
      <c r="AE372" s="675"/>
      <c r="AF372" s="680"/>
    </row>
    <row r="373" spans="1:32" s="536" customFormat="1" ht="45" x14ac:dyDescent="0.2">
      <c r="A373" s="575" t="s">
        <v>922</v>
      </c>
      <c r="B373" s="684" t="s">
        <v>6777</v>
      </c>
      <c r="C373" s="1823" t="s">
        <v>6778</v>
      </c>
      <c r="D373" s="1823"/>
      <c r="E373" s="1823"/>
      <c r="F373" s="573" t="s">
        <v>1110</v>
      </c>
      <c r="G373" s="573"/>
      <c r="H373" s="573"/>
      <c r="I373" s="573" t="s">
        <v>6824</v>
      </c>
      <c r="J373" s="572"/>
      <c r="K373" s="573"/>
      <c r="L373" s="572"/>
      <c r="M373" s="573"/>
      <c r="N373" s="570"/>
      <c r="T373" s="674"/>
      <c r="U373" s="675"/>
      <c r="V373" s="675" t="s">
        <v>6778</v>
      </c>
      <c r="AB373" s="675"/>
      <c r="AC373" s="675"/>
      <c r="AE373" s="675"/>
      <c r="AF373" s="680"/>
    </row>
    <row r="374" spans="1:32" s="536" customFormat="1" ht="12" x14ac:dyDescent="0.2">
      <c r="A374" s="676"/>
      <c r="B374" s="682"/>
      <c r="C374" s="1822" t="s">
        <v>9024</v>
      </c>
      <c r="D374" s="1822"/>
      <c r="E374" s="1822"/>
      <c r="F374" s="1822"/>
      <c r="G374" s="1822"/>
      <c r="H374" s="1822"/>
      <c r="I374" s="1822"/>
      <c r="J374" s="1822"/>
      <c r="K374" s="1822"/>
      <c r="L374" s="1822"/>
      <c r="M374" s="1822"/>
      <c r="N374" s="1827"/>
      <c r="T374" s="674"/>
      <c r="U374" s="675"/>
      <c r="V374" s="675"/>
      <c r="W374" s="537" t="s">
        <v>9024</v>
      </c>
      <c r="AB374" s="675"/>
      <c r="AC374" s="675"/>
      <c r="AE374" s="675"/>
      <c r="AF374" s="680"/>
    </row>
    <row r="375" spans="1:32" s="536" customFormat="1" ht="33.75" x14ac:dyDescent="0.2">
      <c r="A375" s="609"/>
      <c r="B375" s="552" t="s">
        <v>310</v>
      </c>
      <c r="C375" s="1822" t="s">
        <v>311</v>
      </c>
      <c r="D375" s="1822"/>
      <c r="E375" s="1822"/>
      <c r="F375" s="1822"/>
      <c r="G375" s="1822"/>
      <c r="H375" s="1822"/>
      <c r="I375" s="1822"/>
      <c r="J375" s="1822"/>
      <c r="K375" s="1822"/>
      <c r="L375" s="1822"/>
      <c r="M375" s="1822"/>
      <c r="N375" s="1827"/>
      <c r="T375" s="674"/>
      <c r="U375" s="675"/>
      <c r="V375" s="675"/>
      <c r="X375" s="537" t="s">
        <v>311</v>
      </c>
      <c r="AB375" s="675"/>
      <c r="AC375" s="675"/>
      <c r="AE375" s="675"/>
      <c r="AF375" s="680"/>
    </row>
    <row r="376" spans="1:32" s="536" customFormat="1" ht="12" x14ac:dyDescent="0.2">
      <c r="A376" s="605"/>
      <c r="B376" s="552" t="s">
        <v>185</v>
      </c>
      <c r="C376" s="1822" t="s">
        <v>312</v>
      </c>
      <c r="D376" s="1822"/>
      <c r="E376" s="1822"/>
      <c r="F376" s="562"/>
      <c r="G376" s="562"/>
      <c r="H376" s="562"/>
      <c r="I376" s="562"/>
      <c r="J376" s="604">
        <v>1.1499999999999999</v>
      </c>
      <c r="K376" s="562" t="s">
        <v>313</v>
      </c>
      <c r="L376" s="604">
        <v>0.52</v>
      </c>
      <c r="M376" s="562"/>
      <c r="N376" s="602"/>
      <c r="T376" s="674"/>
      <c r="U376" s="675"/>
      <c r="V376" s="675"/>
      <c r="Y376" s="537" t="s">
        <v>312</v>
      </c>
      <c r="AB376" s="675"/>
      <c r="AC376" s="675"/>
      <c r="AE376" s="675"/>
      <c r="AF376" s="680"/>
    </row>
    <row r="377" spans="1:32" s="536" customFormat="1" ht="12" x14ac:dyDescent="0.2">
      <c r="A377" s="605"/>
      <c r="B377" s="552" t="s">
        <v>186</v>
      </c>
      <c r="C377" s="1822" t="s">
        <v>344</v>
      </c>
      <c r="D377" s="1822"/>
      <c r="E377" s="1822"/>
      <c r="F377" s="562"/>
      <c r="G377" s="562"/>
      <c r="H377" s="562"/>
      <c r="I377" s="562"/>
      <c r="J377" s="604">
        <v>9.1999999999999993</v>
      </c>
      <c r="K377" s="562" t="s">
        <v>313</v>
      </c>
      <c r="L377" s="604">
        <v>4.2</v>
      </c>
      <c r="M377" s="562"/>
      <c r="N377" s="602"/>
      <c r="T377" s="674"/>
      <c r="U377" s="675"/>
      <c r="V377" s="675"/>
      <c r="Y377" s="537" t="s">
        <v>344</v>
      </c>
      <c r="AB377" s="675"/>
      <c r="AC377" s="675"/>
      <c r="AE377" s="675"/>
      <c r="AF377" s="680"/>
    </row>
    <row r="378" spans="1:32" s="536" customFormat="1" ht="12" x14ac:dyDescent="0.2">
      <c r="A378" s="605"/>
      <c r="B378" s="552" t="s">
        <v>187</v>
      </c>
      <c r="C378" s="1822" t="s">
        <v>345</v>
      </c>
      <c r="D378" s="1822"/>
      <c r="E378" s="1822"/>
      <c r="F378" s="562"/>
      <c r="G378" s="562"/>
      <c r="H378" s="562"/>
      <c r="I378" s="562"/>
      <c r="J378" s="604">
        <v>0.87</v>
      </c>
      <c r="K378" s="562" t="s">
        <v>313</v>
      </c>
      <c r="L378" s="604">
        <v>0.4</v>
      </c>
      <c r="M378" s="562"/>
      <c r="N378" s="602"/>
      <c r="T378" s="674"/>
      <c r="U378" s="675"/>
      <c r="V378" s="675"/>
      <c r="Y378" s="537" t="s">
        <v>345</v>
      </c>
      <c r="AB378" s="675"/>
      <c r="AC378" s="675"/>
      <c r="AE378" s="675"/>
      <c r="AF378" s="680"/>
    </row>
    <row r="379" spans="1:32" s="536" customFormat="1" ht="12" x14ac:dyDescent="0.2">
      <c r="A379" s="605"/>
      <c r="B379" s="552"/>
      <c r="C379" s="1822" t="s">
        <v>314</v>
      </c>
      <c r="D379" s="1822"/>
      <c r="E379" s="1822"/>
      <c r="F379" s="562" t="s">
        <v>315</v>
      </c>
      <c r="G379" s="562" t="s">
        <v>646</v>
      </c>
      <c r="H379" s="562" t="s">
        <v>313</v>
      </c>
      <c r="I379" s="562" t="s">
        <v>9051</v>
      </c>
      <c r="J379" s="604"/>
      <c r="K379" s="562"/>
      <c r="L379" s="604"/>
      <c r="M379" s="562"/>
      <c r="N379" s="602"/>
      <c r="T379" s="674"/>
      <c r="U379" s="675"/>
      <c r="V379" s="675"/>
      <c r="Z379" s="537" t="s">
        <v>314</v>
      </c>
      <c r="AB379" s="675"/>
      <c r="AC379" s="675"/>
      <c r="AE379" s="675"/>
      <c r="AF379" s="680"/>
    </row>
    <row r="380" spans="1:32" s="536" customFormat="1" ht="12" x14ac:dyDescent="0.2">
      <c r="A380" s="605"/>
      <c r="B380" s="552"/>
      <c r="C380" s="1822" t="s">
        <v>348</v>
      </c>
      <c r="D380" s="1822"/>
      <c r="E380" s="1822"/>
      <c r="F380" s="562" t="s">
        <v>315</v>
      </c>
      <c r="G380" s="562" t="s">
        <v>2247</v>
      </c>
      <c r="H380" s="562" t="s">
        <v>313</v>
      </c>
      <c r="I380" s="562" t="s">
        <v>9052</v>
      </c>
      <c r="J380" s="604"/>
      <c r="K380" s="562"/>
      <c r="L380" s="604"/>
      <c r="M380" s="562"/>
      <c r="N380" s="602"/>
      <c r="T380" s="674"/>
      <c r="U380" s="675"/>
      <c r="V380" s="675"/>
      <c r="Z380" s="537" t="s">
        <v>348</v>
      </c>
      <c r="AB380" s="675"/>
      <c r="AC380" s="675"/>
      <c r="AE380" s="675"/>
      <c r="AF380" s="680"/>
    </row>
    <row r="381" spans="1:32" s="536" customFormat="1" ht="12" x14ac:dyDescent="0.2">
      <c r="A381" s="605"/>
      <c r="B381" s="552"/>
      <c r="C381" s="1828" t="s">
        <v>318</v>
      </c>
      <c r="D381" s="1828"/>
      <c r="E381" s="1828"/>
      <c r="F381" s="608"/>
      <c r="G381" s="608"/>
      <c r="H381" s="608"/>
      <c r="I381" s="608"/>
      <c r="J381" s="607">
        <v>10.35</v>
      </c>
      <c r="K381" s="608"/>
      <c r="L381" s="607">
        <v>4.72</v>
      </c>
      <c r="M381" s="608"/>
      <c r="N381" s="606"/>
      <c r="T381" s="674"/>
      <c r="U381" s="675"/>
      <c r="V381" s="675"/>
      <c r="AA381" s="537" t="s">
        <v>318</v>
      </c>
      <c r="AB381" s="675"/>
      <c r="AC381" s="675"/>
      <c r="AE381" s="675"/>
      <c r="AF381" s="680"/>
    </row>
    <row r="382" spans="1:32" s="536" customFormat="1" ht="12" x14ac:dyDescent="0.2">
      <c r="A382" s="605"/>
      <c r="B382" s="552"/>
      <c r="C382" s="1822" t="s">
        <v>319</v>
      </c>
      <c r="D382" s="1822"/>
      <c r="E382" s="1822"/>
      <c r="F382" s="562"/>
      <c r="G382" s="562"/>
      <c r="H382" s="562"/>
      <c r="I382" s="562"/>
      <c r="J382" s="604"/>
      <c r="K382" s="562"/>
      <c r="L382" s="604">
        <v>0.92</v>
      </c>
      <c r="M382" s="562"/>
      <c r="N382" s="602"/>
      <c r="T382" s="674"/>
      <c r="U382" s="675"/>
      <c r="V382" s="675"/>
      <c r="Z382" s="537" t="s">
        <v>319</v>
      </c>
      <c r="AB382" s="675"/>
      <c r="AC382" s="675"/>
      <c r="AE382" s="675"/>
      <c r="AF382" s="680"/>
    </row>
    <row r="383" spans="1:32" s="536" customFormat="1" ht="33.75" x14ac:dyDescent="0.2">
      <c r="A383" s="605"/>
      <c r="B383" s="552" t="s">
        <v>533</v>
      </c>
      <c r="C383" s="1822" t="s">
        <v>534</v>
      </c>
      <c r="D383" s="1822"/>
      <c r="E383" s="1822"/>
      <c r="F383" s="562" t="s">
        <v>322</v>
      </c>
      <c r="G383" s="562" t="s">
        <v>535</v>
      </c>
      <c r="H383" s="562"/>
      <c r="I383" s="562" t="s">
        <v>535</v>
      </c>
      <c r="J383" s="604"/>
      <c r="K383" s="562"/>
      <c r="L383" s="604">
        <v>1.08</v>
      </c>
      <c r="M383" s="562"/>
      <c r="N383" s="602"/>
      <c r="T383" s="674"/>
      <c r="U383" s="675"/>
      <c r="V383" s="675"/>
      <c r="Z383" s="537" t="s">
        <v>534</v>
      </c>
      <c r="AB383" s="675"/>
      <c r="AC383" s="675"/>
      <c r="AE383" s="675"/>
      <c r="AF383" s="680"/>
    </row>
    <row r="384" spans="1:32" s="536" customFormat="1" ht="33.75" x14ac:dyDescent="0.2">
      <c r="A384" s="605"/>
      <c r="B384" s="552" t="s">
        <v>536</v>
      </c>
      <c r="C384" s="1822" t="s">
        <v>537</v>
      </c>
      <c r="D384" s="1822"/>
      <c r="E384" s="1822"/>
      <c r="F384" s="562" t="s">
        <v>322</v>
      </c>
      <c r="G384" s="562" t="s">
        <v>538</v>
      </c>
      <c r="H384" s="562"/>
      <c r="I384" s="562" t="s">
        <v>538</v>
      </c>
      <c r="J384" s="604"/>
      <c r="K384" s="562"/>
      <c r="L384" s="604">
        <v>0.68</v>
      </c>
      <c r="M384" s="562"/>
      <c r="N384" s="602"/>
      <c r="T384" s="674"/>
      <c r="U384" s="675"/>
      <c r="V384" s="675"/>
      <c r="Z384" s="537" t="s">
        <v>537</v>
      </c>
      <c r="AB384" s="675"/>
      <c r="AC384" s="675"/>
      <c r="AE384" s="675"/>
      <c r="AF384" s="680"/>
    </row>
    <row r="385" spans="1:32" s="536" customFormat="1" ht="12" x14ac:dyDescent="0.2">
      <c r="A385" s="569"/>
      <c r="B385" s="683"/>
      <c r="C385" s="1823" t="s">
        <v>327</v>
      </c>
      <c r="D385" s="1823"/>
      <c r="E385" s="1823"/>
      <c r="F385" s="573"/>
      <c r="G385" s="573"/>
      <c r="H385" s="573"/>
      <c r="I385" s="573"/>
      <c r="J385" s="572"/>
      <c r="K385" s="573"/>
      <c r="L385" s="572">
        <v>6.48</v>
      </c>
      <c r="M385" s="608"/>
      <c r="N385" s="570"/>
      <c r="T385" s="674"/>
      <c r="U385" s="675"/>
      <c r="V385" s="675"/>
      <c r="AB385" s="675" t="s">
        <v>327</v>
      </c>
      <c r="AC385" s="675"/>
      <c r="AE385" s="675"/>
      <c r="AF385" s="680"/>
    </row>
    <row r="386" spans="1:32" s="536" customFormat="1" ht="45" x14ac:dyDescent="0.2">
      <c r="A386" s="575" t="s">
        <v>765</v>
      </c>
      <c r="B386" s="684" t="s">
        <v>6779</v>
      </c>
      <c r="C386" s="1823" t="s">
        <v>6780</v>
      </c>
      <c r="D386" s="1823"/>
      <c r="E386" s="1823"/>
      <c r="F386" s="573" t="s">
        <v>3872</v>
      </c>
      <c r="G386" s="573"/>
      <c r="H386" s="573"/>
      <c r="I386" s="573" t="s">
        <v>185</v>
      </c>
      <c r="J386" s="572"/>
      <c r="K386" s="573"/>
      <c r="L386" s="572"/>
      <c r="M386" s="573"/>
      <c r="N386" s="570"/>
      <c r="T386" s="674"/>
      <c r="U386" s="675"/>
      <c r="V386" s="675" t="s">
        <v>6780</v>
      </c>
      <c r="AB386" s="675"/>
      <c r="AC386" s="675"/>
      <c r="AE386" s="675"/>
      <c r="AF386" s="680"/>
    </row>
    <row r="387" spans="1:32" s="536" customFormat="1" ht="33.75" x14ac:dyDescent="0.2">
      <c r="A387" s="609"/>
      <c r="B387" s="552" t="s">
        <v>310</v>
      </c>
      <c r="C387" s="1822" t="s">
        <v>311</v>
      </c>
      <c r="D387" s="1822"/>
      <c r="E387" s="1822"/>
      <c r="F387" s="1822"/>
      <c r="G387" s="1822"/>
      <c r="H387" s="1822"/>
      <c r="I387" s="1822"/>
      <c r="J387" s="1822"/>
      <c r="K387" s="1822"/>
      <c r="L387" s="1822"/>
      <c r="M387" s="1822"/>
      <c r="N387" s="1827"/>
      <c r="T387" s="674"/>
      <c r="U387" s="675"/>
      <c r="V387" s="675"/>
      <c r="X387" s="537" t="s">
        <v>311</v>
      </c>
      <c r="AB387" s="675"/>
      <c r="AC387" s="675"/>
      <c r="AE387" s="675"/>
      <c r="AF387" s="680"/>
    </row>
    <row r="388" spans="1:32" s="536" customFormat="1" ht="12" x14ac:dyDescent="0.2">
      <c r="A388" s="605"/>
      <c r="B388" s="552" t="s">
        <v>185</v>
      </c>
      <c r="C388" s="1822" t="s">
        <v>312</v>
      </c>
      <c r="D388" s="1822"/>
      <c r="E388" s="1822"/>
      <c r="F388" s="562"/>
      <c r="G388" s="562"/>
      <c r="H388" s="562"/>
      <c r="I388" s="562"/>
      <c r="J388" s="604">
        <v>134.68</v>
      </c>
      <c r="K388" s="562" t="s">
        <v>313</v>
      </c>
      <c r="L388" s="604">
        <v>168.35</v>
      </c>
      <c r="M388" s="562"/>
      <c r="N388" s="602"/>
      <c r="T388" s="674"/>
      <c r="U388" s="675"/>
      <c r="V388" s="675"/>
      <c r="Y388" s="537" t="s">
        <v>312</v>
      </c>
      <c r="AB388" s="675"/>
      <c r="AC388" s="675"/>
      <c r="AE388" s="675"/>
      <c r="AF388" s="680"/>
    </row>
    <row r="389" spans="1:32" s="536" customFormat="1" ht="12" x14ac:dyDescent="0.2">
      <c r="A389" s="605"/>
      <c r="B389" s="552" t="s">
        <v>186</v>
      </c>
      <c r="C389" s="1822" t="s">
        <v>344</v>
      </c>
      <c r="D389" s="1822"/>
      <c r="E389" s="1822"/>
      <c r="F389" s="562"/>
      <c r="G389" s="562"/>
      <c r="H389" s="562"/>
      <c r="I389" s="562"/>
      <c r="J389" s="604">
        <v>1161.8599999999999</v>
      </c>
      <c r="K389" s="562" t="s">
        <v>313</v>
      </c>
      <c r="L389" s="604">
        <v>1452.33</v>
      </c>
      <c r="M389" s="562"/>
      <c r="N389" s="602"/>
      <c r="T389" s="674"/>
      <c r="U389" s="675"/>
      <c r="V389" s="675"/>
      <c r="Y389" s="537" t="s">
        <v>344</v>
      </c>
      <c r="AB389" s="675"/>
      <c r="AC389" s="675"/>
      <c r="AE389" s="675"/>
      <c r="AF389" s="680"/>
    </row>
    <row r="390" spans="1:32" s="536" customFormat="1" ht="12" x14ac:dyDescent="0.2">
      <c r="A390" s="605"/>
      <c r="B390" s="552" t="s">
        <v>187</v>
      </c>
      <c r="C390" s="1822" t="s">
        <v>345</v>
      </c>
      <c r="D390" s="1822"/>
      <c r="E390" s="1822"/>
      <c r="F390" s="562"/>
      <c r="G390" s="562"/>
      <c r="H390" s="562"/>
      <c r="I390" s="562"/>
      <c r="J390" s="604">
        <v>108.22</v>
      </c>
      <c r="K390" s="562" t="s">
        <v>313</v>
      </c>
      <c r="L390" s="604">
        <v>135.28</v>
      </c>
      <c r="M390" s="562"/>
      <c r="N390" s="602"/>
      <c r="T390" s="674"/>
      <c r="U390" s="675"/>
      <c r="V390" s="675"/>
      <c r="Y390" s="537" t="s">
        <v>345</v>
      </c>
      <c r="AB390" s="675"/>
      <c r="AC390" s="675"/>
      <c r="AE390" s="675"/>
      <c r="AF390" s="680"/>
    </row>
    <row r="391" spans="1:32" s="536" customFormat="1" ht="12" x14ac:dyDescent="0.2">
      <c r="A391" s="605"/>
      <c r="B391" s="552"/>
      <c r="C391" s="1822" t="s">
        <v>314</v>
      </c>
      <c r="D391" s="1822"/>
      <c r="E391" s="1822"/>
      <c r="F391" s="562" t="s">
        <v>315</v>
      </c>
      <c r="G391" s="562" t="s">
        <v>198</v>
      </c>
      <c r="H391" s="562" t="s">
        <v>313</v>
      </c>
      <c r="I391" s="562" t="s">
        <v>2406</v>
      </c>
      <c r="J391" s="604"/>
      <c r="K391" s="562"/>
      <c r="L391" s="604"/>
      <c r="M391" s="562"/>
      <c r="N391" s="602"/>
      <c r="T391" s="674"/>
      <c r="U391" s="675"/>
      <c r="V391" s="675"/>
      <c r="Z391" s="537" t="s">
        <v>314</v>
      </c>
      <c r="AB391" s="675"/>
      <c r="AC391" s="675"/>
      <c r="AE391" s="675"/>
      <c r="AF391" s="680"/>
    </row>
    <row r="392" spans="1:32" s="536" customFormat="1" ht="12" x14ac:dyDescent="0.2">
      <c r="A392" s="605"/>
      <c r="B392" s="552"/>
      <c r="C392" s="1822" t="s">
        <v>348</v>
      </c>
      <c r="D392" s="1822"/>
      <c r="E392" s="1822"/>
      <c r="F392" s="562" t="s">
        <v>315</v>
      </c>
      <c r="G392" s="562" t="s">
        <v>6781</v>
      </c>
      <c r="H392" s="562" t="s">
        <v>313</v>
      </c>
      <c r="I392" s="562" t="s">
        <v>6782</v>
      </c>
      <c r="J392" s="604"/>
      <c r="K392" s="562"/>
      <c r="L392" s="604"/>
      <c r="M392" s="562"/>
      <c r="N392" s="602"/>
      <c r="T392" s="674"/>
      <c r="U392" s="675"/>
      <c r="V392" s="675"/>
      <c r="Z392" s="537" t="s">
        <v>348</v>
      </c>
      <c r="AB392" s="675"/>
      <c r="AC392" s="675"/>
      <c r="AE392" s="675"/>
      <c r="AF392" s="680"/>
    </row>
    <row r="393" spans="1:32" s="536" customFormat="1" ht="12" x14ac:dyDescent="0.2">
      <c r="A393" s="605"/>
      <c r="B393" s="552"/>
      <c r="C393" s="1828" t="s">
        <v>318</v>
      </c>
      <c r="D393" s="1828"/>
      <c r="E393" s="1828"/>
      <c r="F393" s="608"/>
      <c r="G393" s="608"/>
      <c r="H393" s="608"/>
      <c r="I393" s="608"/>
      <c r="J393" s="607">
        <v>1296.54</v>
      </c>
      <c r="K393" s="608"/>
      <c r="L393" s="607">
        <v>1620.68</v>
      </c>
      <c r="M393" s="608"/>
      <c r="N393" s="606"/>
      <c r="T393" s="674"/>
      <c r="U393" s="675"/>
      <c r="V393" s="675"/>
      <c r="AA393" s="537" t="s">
        <v>318</v>
      </c>
      <c r="AB393" s="675"/>
      <c r="AC393" s="675"/>
      <c r="AE393" s="675"/>
      <c r="AF393" s="680"/>
    </row>
    <row r="394" spans="1:32" s="536" customFormat="1" ht="12" x14ac:dyDescent="0.2">
      <c r="A394" s="605"/>
      <c r="B394" s="552"/>
      <c r="C394" s="1822" t="s">
        <v>319</v>
      </c>
      <c r="D394" s="1822"/>
      <c r="E394" s="1822"/>
      <c r="F394" s="562"/>
      <c r="G394" s="562"/>
      <c r="H394" s="562"/>
      <c r="I394" s="562"/>
      <c r="J394" s="604"/>
      <c r="K394" s="562"/>
      <c r="L394" s="604">
        <v>303.63</v>
      </c>
      <c r="M394" s="562"/>
      <c r="N394" s="602"/>
      <c r="T394" s="674"/>
      <c r="U394" s="675"/>
      <c r="V394" s="675"/>
      <c r="Z394" s="537" t="s">
        <v>319</v>
      </c>
      <c r="AB394" s="675"/>
      <c r="AC394" s="675"/>
      <c r="AE394" s="675"/>
      <c r="AF394" s="680"/>
    </row>
    <row r="395" spans="1:32" s="536" customFormat="1" ht="33.75" x14ac:dyDescent="0.2">
      <c r="A395" s="605"/>
      <c r="B395" s="552" t="s">
        <v>533</v>
      </c>
      <c r="C395" s="1822" t="s">
        <v>534</v>
      </c>
      <c r="D395" s="1822"/>
      <c r="E395" s="1822"/>
      <c r="F395" s="562" t="s">
        <v>322</v>
      </c>
      <c r="G395" s="562" t="s">
        <v>535</v>
      </c>
      <c r="H395" s="562"/>
      <c r="I395" s="562" t="s">
        <v>535</v>
      </c>
      <c r="J395" s="604"/>
      <c r="K395" s="562"/>
      <c r="L395" s="604">
        <v>355.25</v>
      </c>
      <c r="M395" s="562"/>
      <c r="N395" s="602"/>
      <c r="T395" s="674"/>
      <c r="U395" s="675"/>
      <c r="V395" s="675"/>
      <c r="Z395" s="537" t="s">
        <v>534</v>
      </c>
      <c r="AB395" s="675"/>
      <c r="AC395" s="675"/>
      <c r="AE395" s="675"/>
      <c r="AF395" s="680"/>
    </row>
    <row r="396" spans="1:32" s="536" customFormat="1" ht="33.75" x14ac:dyDescent="0.2">
      <c r="A396" s="605"/>
      <c r="B396" s="552" t="s">
        <v>536</v>
      </c>
      <c r="C396" s="1822" t="s">
        <v>537</v>
      </c>
      <c r="D396" s="1822"/>
      <c r="E396" s="1822"/>
      <c r="F396" s="562" t="s">
        <v>322</v>
      </c>
      <c r="G396" s="562" t="s">
        <v>538</v>
      </c>
      <c r="H396" s="562"/>
      <c r="I396" s="562" t="s">
        <v>538</v>
      </c>
      <c r="J396" s="604"/>
      <c r="K396" s="562"/>
      <c r="L396" s="604">
        <v>224.69</v>
      </c>
      <c r="M396" s="562"/>
      <c r="N396" s="602"/>
      <c r="T396" s="674"/>
      <c r="U396" s="675"/>
      <c r="V396" s="675"/>
      <c r="Z396" s="537" t="s">
        <v>537</v>
      </c>
      <c r="AB396" s="675"/>
      <c r="AC396" s="675"/>
      <c r="AE396" s="675"/>
      <c r="AF396" s="680"/>
    </row>
    <row r="397" spans="1:32" s="536" customFormat="1" ht="12" x14ac:dyDescent="0.2">
      <c r="A397" s="569"/>
      <c r="B397" s="683"/>
      <c r="C397" s="1823" t="s">
        <v>327</v>
      </c>
      <c r="D397" s="1823"/>
      <c r="E397" s="1823"/>
      <c r="F397" s="573"/>
      <c r="G397" s="573"/>
      <c r="H397" s="573"/>
      <c r="I397" s="573"/>
      <c r="J397" s="572"/>
      <c r="K397" s="573"/>
      <c r="L397" s="572">
        <v>2200.62</v>
      </c>
      <c r="M397" s="608"/>
      <c r="N397" s="570"/>
      <c r="T397" s="674"/>
      <c r="U397" s="675"/>
      <c r="V397" s="675"/>
      <c r="AB397" s="675" t="s">
        <v>327</v>
      </c>
      <c r="AC397" s="675"/>
      <c r="AE397" s="675"/>
      <c r="AF397" s="680"/>
    </row>
    <row r="398" spans="1:32" s="536" customFormat="1" ht="101.25" x14ac:dyDescent="0.2">
      <c r="A398" s="575" t="s">
        <v>505</v>
      </c>
      <c r="B398" s="684" t="s">
        <v>6783</v>
      </c>
      <c r="C398" s="1823" t="s">
        <v>6784</v>
      </c>
      <c r="D398" s="1823"/>
      <c r="E398" s="1823"/>
      <c r="F398" s="573" t="s">
        <v>6785</v>
      </c>
      <c r="G398" s="573"/>
      <c r="H398" s="573"/>
      <c r="I398" s="573" t="s">
        <v>186</v>
      </c>
      <c r="J398" s="572"/>
      <c r="K398" s="573"/>
      <c r="L398" s="572"/>
      <c r="M398" s="573"/>
      <c r="N398" s="570"/>
      <c r="T398" s="674"/>
      <c r="U398" s="675"/>
      <c r="V398" s="675" t="s">
        <v>6784</v>
      </c>
      <c r="AB398" s="675"/>
      <c r="AC398" s="675"/>
      <c r="AE398" s="675"/>
      <c r="AF398" s="680"/>
    </row>
    <row r="399" spans="1:32" s="536" customFormat="1" ht="33.75" x14ac:dyDescent="0.2">
      <c r="A399" s="609"/>
      <c r="B399" s="552" t="s">
        <v>310</v>
      </c>
      <c r="C399" s="1822" t="s">
        <v>311</v>
      </c>
      <c r="D399" s="1822"/>
      <c r="E399" s="1822"/>
      <c r="F399" s="1822"/>
      <c r="G399" s="1822"/>
      <c r="H399" s="1822"/>
      <c r="I399" s="1822"/>
      <c r="J399" s="1822"/>
      <c r="K399" s="1822"/>
      <c r="L399" s="1822"/>
      <c r="M399" s="1822"/>
      <c r="N399" s="1827"/>
      <c r="T399" s="674"/>
      <c r="U399" s="675"/>
      <c r="V399" s="675"/>
      <c r="X399" s="537" t="s">
        <v>311</v>
      </c>
      <c r="AB399" s="675"/>
      <c r="AC399" s="675"/>
      <c r="AE399" s="675"/>
      <c r="AF399" s="680"/>
    </row>
    <row r="400" spans="1:32" s="536" customFormat="1" ht="12" x14ac:dyDescent="0.2">
      <c r="A400" s="605"/>
      <c r="B400" s="552" t="s">
        <v>185</v>
      </c>
      <c r="C400" s="1822" t="s">
        <v>312</v>
      </c>
      <c r="D400" s="1822"/>
      <c r="E400" s="1822"/>
      <c r="F400" s="562"/>
      <c r="G400" s="562"/>
      <c r="H400" s="562"/>
      <c r="I400" s="562"/>
      <c r="J400" s="604">
        <v>5.8</v>
      </c>
      <c r="K400" s="562" t="s">
        <v>313</v>
      </c>
      <c r="L400" s="604">
        <v>14.5</v>
      </c>
      <c r="M400" s="562"/>
      <c r="N400" s="602"/>
      <c r="T400" s="674"/>
      <c r="U400" s="675"/>
      <c r="V400" s="675"/>
      <c r="Y400" s="537" t="s">
        <v>312</v>
      </c>
      <c r="AB400" s="675"/>
      <c r="AC400" s="675"/>
      <c r="AE400" s="675"/>
      <c r="AF400" s="680"/>
    </row>
    <row r="401" spans="1:32" s="536" customFormat="1" ht="12" x14ac:dyDescent="0.2">
      <c r="A401" s="605"/>
      <c r="B401" s="552" t="s">
        <v>188</v>
      </c>
      <c r="C401" s="1822" t="s">
        <v>475</v>
      </c>
      <c r="D401" s="1822"/>
      <c r="E401" s="1822"/>
      <c r="F401" s="562"/>
      <c r="G401" s="562"/>
      <c r="H401" s="562"/>
      <c r="I401" s="562"/>
      <c r="J401" s="604">
        <v>0.12</v>
      </c>
      <c r="K401" s="562"/>
      <c r="L401" s="604">
        <v>0.24</v>
      </c>
      <c r="M401" s="562"/>
      <c r="N401" s="602"/>
      <c r="T401" s="674"/>
      <c r="U401" s="675"/>
      <c r="V401" s="675"/>
      <c r="Y401" s="537" t="s">
        <v>475</v>
      </c>
      <c r="AB401" s="675"/>
      <c r="AC401" s="675"/>
      <c r="AE401" s="675"/>
      <c r="AF401" s="680"/>
    </row>
    <row r="402" spans="1:32" s="536" customFormat="1" ht="12" x14ac:dyDescent="0.2">
      <c r="A402" s="605"/>
      <c r="B402" s="552"/>
      <c r="C402" s="1822" t="s">
        <v>314</v>
      </c>
      <c r="D402" s="1822"/>
      <c r="E402" s="1822"/>
      <c r="F402" s="562" t="s">
        <v>315</v>
      </c>
      <c r="G402" s="562" t="s">
        <v>6786</v>
      </c>
      <c r="H402" s="562" t="s">
        <v>313</v>
      </c>
      <c r="I402" s="562" t="s">
        <v>3808</v>
      </c>
      <c r="J402" s="604"/>
      <c r="K402" s="562"/>
      <c r="L402" s="604"/>
      <c r="M402" s="562"/>
      <c r="N402" s="602"/>
      <c r="T402" s="674"/>
      <c r="U402" s="675"/>
      <c r="V402" s="675"/>
      <c r="Z402" s="537" t="s">
        <v>314</v>
      </c>
      <c r="AB402" s="675"/>
      <c r="AC402" s="675"/>
      <c r="AE402" s="675"/>
      <c r="AF402" s="680"/>
    </row>
    <row r="403" spans="1:32" s="536" customFormat="1" ht="12" x14ac:dyDescent="0.2">
      <c r="A403" s="605"/>
      <c r="B403" s="552"/>
      <c r="C403" s="1828" t="s">
        <v>318</v>
      </c>
      <c r="D403" s="1828"/>
      <c r="E403" s="1828"/>
      <c r="F403" s="608"/>
      <c r="G403" s="608"/>
      <c r="H403" s="608"/>
      <c r="I403" s="608"/>
      <c r="J403" s="607">
        <v>5.92</v>
      </c>
      <c r="K403" s="608"/>
      <c r="L403" s="607">
        <v>14.74</v>
      </c>
      <c r="M403" s="608"/>
      <c r="N403" s="606"/>
      <c r="T403" s="674"/>
      <c r="U403" s="675"/>
      <c r="V403" s="675"/>
      <c r="AA403" s="537" t="s">
        <v>318</v>
      </c>
      <c r="AB403" s="675"/>
      <c r="AC403" s="675"/>
      <c r="AE403" s="675"/>
      <c r="AF403" s="680"/>
    </row>
    <row r="404" spans="1:32" s="536" customFormat="1" ht="12" x14ac:dyDescent="0.2">
      <c r="A404" s="605"/>
      <c r="B404" s="552"/>
      <c r="C404" s="1822" t="s">
        <v>319</v>
      </c>
      <c r="D404" s="1822"/>
      <c r="E404" s="1822"/>
      <c r="F404" s="562"/>
      <c r="G404" s="562"/>
      <c r="H404" s="562"/>
      <c r="I404" s="562"/>
      <c r="J404" s="604"/>
      <c r="K404" s="562"/>
      <c r="L404" s="604">
        <v>14.5</v>
      </c>
      <c r="M404" s="562"/>
      <c r="N404" s="602"/>
      <c r="T404" s="674"/>
      <c r="U404" s="675"/>
      <c r="V404" s="675"/>
      <c r="Z404" s="537" t="s">
        <v>319</v>
      </c>
      <c r="AB404" s="675"/>
      <c r="AC404" s="675"/>
      <c r="AE404" s="675"/>
      <c r="AF404" s="680"/>
    </row>
    <row r="405" spans="1:32" s="536" customFormat="1" ht="33.75" x14ac:dyDescent="0.2">
      <c r="A405" s="605"/>
      <c r="B405" s="552" t="s">
        <v>6787</v>
      </c>
      <c r="C405" s="1822" t="s">
        <v>6788</v>
      </c>
      <c r="D405" s="1822"/>
      <c r="E405" s="1822"/>
      <c r="F405" s="562" t="s">
        <v>322</v>
      </c>
      <c r="G405" s="562" t="s">
        <v>323</v>
      </c>
      <c r="H405" s="562"/>
      <c r="I405" s="562" t="s">
        <v>323</v>
      </c>
      <c r="J405" s="604"/>
      <c r="K405" s="562"/>
      <c r="L405" s="604">
        <v>12.91</v>
      </c>
      <c r="M405" s="562"/>
      <c r="N405" s="602"/>
      <c r="T405" s="674"/>
      <c r="U405" s="675"/>
      <c r="V405" s="675"/>
      <c r="Z405" s="537" t="s">
        <v>6788</v>
      </c>
      <c r="AB405" s="675"/>
      <c r="AC405" s="675"/>
      <c r="AE405" s="675"/>
      <c r="AF405" s="680"/>
    </row>
    <row r="406" spans="1:32" s="536" customFormat="1" ht="33.75" x14ac:dyDescent="0.2">
      <c r="A406" s="605"/>
      <c r="B406" s="552" t="s">
        <v>6789</v>
      </c>
      <c r="C406" s="1822" t="s">
        <v>6790</v>
      </c>
      <c r="D406" s="1822"/>
      <c r="E406" s="1822"/>
      <c r="F406" s="562" t="s">
        <v>322</v>
      </c>
      <c r="G406" s="562" t="s">
        <v>931</v>
      </c>
      <c r="H406" s="562"/>
      <c r="I406" s="562" t="s">
        <v>931</v>
      </c>
      <c r="J406" s="604"/>
      <c r="K406" s="562"/>
      <c r="L406" s="604">
        <v>6.53</v>
      </c>
      <c r="M406" s="562"/>
      <c r="N406" s="602"/>
      <c r="T406" s="674"/>
      <c r="U406" s="675"/>
      <c r="V406" s="675"/>
      <c r="Z406" s="537" t="s">
        <v>6790</v>
      </c>
      <c r="AB406" s="675"/>
      <c r="AC406" s="675"/>
      <c r="AE406" s="675"/>
      <c r="AF406" s="680"/>
    </row>
    <row r="407" spans="1:32" s="536" customFormat="1" ht="12" x14ac:dyDescent="0.2">
      <c r="A407" s="569"/>
      <c r="B407" s="683"/>
      <c r="C407" s="1823" t="s">
        <v>327</v>
      </c>
      <c r="D407" s="1823"/>
      <c r="E407" s="1823"/>
      <c r="F407" s="573"/>
      <c r="G407" s="573"/>
      <c r="H407" s="573"/>
      <c r="I407" s="573"/>
      <c r="J407" s="572"/>
      <c r="K407" s="573"/>
      <c r="L407" s="572">
        <v>34.18</v>
      </c>
      <c r="M407" s="608"/>
      <c r="N407" s="570"/>
      <c r="T407" s="674"/>
      <c r="U407" s="675"/>
      <c r="V407" s="675"/>
      <c r="AB407" s="675" t="s">
        <v>327</v>
      </c>
      <c r="AC407" s="675"/>
      <c r="AE407" s="675"/>
      <c r="AF407" s="680"/>
    </row>
    <row r="408" spans="1:32" s="536" customFormat="1" ht="78.75" x14ac:dyDescent="0.2">
      <c r="A408" s="575" t="s">
        <v>767</v>
      </c>
      <c r="B408" s="684" t="s">
        <v>6791</v>
      </c>
      <c r="C408" s="1823" t="s">
        <v>6792</v>
      </c>
      <c r="D408" s="1823"/>
      <c r="E408" s="1823"/>
      <c r="F408" s="573" t="s">
        <v>6785</v>
      </c>
      <c r="G408" s="573"/>
      <c r="H408" s="573"/>
      <c r="I408" s="573" t="s">
        <v>192</v>
      </c>
      <c r="J408" s="572"/>
      <c r="K408" s="573"/>
      <c r="L408" s="572"/>
      <c r="M408" s="573"/>
      <c r="N408" s="570"/>
      <c r="T408" s="674"/>
      <c r="U408" s="675"/>
      <c r="V408" s="675" t="s">
        <v>6792</v>
      </c>
      <c r="AB408" s="675"/>
      <c r="AC408" s="675"/>
      <c r="AE408" s="675"/>
      <c r="AF408" s="680"/>
    </row>
    <row r="409" spans="1:32" s="536" customFormat="1" ht="33.75" x14ac:dyDescent="0.2">
      <c r="A409" s="609"/>
      <c r="B409" s="552" t="s">
        <v>310</v>
      </c>
      <c r="C409" s="1822" t="s">
        <v>311</v>
      </c>
      <c r="D409" s="1822"/>
      <c r="E409" s="1822"/>
      <c r="F409" s="1822"/>
      <c r="G409" s="1822"/>
      <c r="H409" s="1822"/>
      <c r="I409" s="1822"/>
      <c r="J409" s="1822"/>
      <c r="K409" s="1822"/>
      <c r="L409" s="1822"/>
      <c r="M409" s="1822"/>
      <c r="N409" s="1827"/>
      <c r="T409" s="674"/>
      <c r="U409" s="675"/>
      <c r="V409" s="675"/>
      <c r="X409" s="537" t="s">
        <v>311</v>
      </c>
      <c r="AB409" s="675"/>
      <c r="AC409" s="675"/>
      <c r="AE409" s="675"/>
      <c r="AF409" s="680"/>
    </row>
    <row r="410" spans="1:32" s="536" customFormat="1" ht="12" x14ac:dyDescent="0.2">
      <c r="A410" s="605"/>
      <c r="B410" s="552" t="s">
        <v>185</v>
      </c>
      <c r="C410" s="1822" t="s">
        <v>312</v>
      </c>
      <c r="D410" s="1822"/>
      <c r="E410" s="1822"/>
      <c r="F410" s="562"/>
      <c r="G410" s="562"/>
      <c r="H410" s="562"/>
      <c r="I410" s="562"/>
      <c r="J410" s="604">
        <v>5.4</v>
      </c>
      <c r="K410" s="562" t="s">
        <v>313</v>
      </c>
      <c r="L410" s="604">
        <v>54</v>
      </c>
      <c r="M410" s="562"/>
      <c r="N410" s="602"/>
      <c r="T410" s="674"/>
      <c r="U410" s="675"/>
      <c r="V410" s="675"/>
      <c r="Y410" s="537" t="s">
        <v>312</v>
      </c>
      <c r="AB410" s="675"/>
      <c r="AC410" s="675"/>
      <c r="AE410" s="675"/>
      <c r="AF410" s="680"/>
    </row>
    <row r="411" spans="1:32" s="536" customFormat="1" ht="12" x14ac:dyDescent="0.2">
      <c r="A411" s="605"/>
      <c r="B411" s="552" t="s">
        <v>186</v>
      </c>
      <c r="C411" s="1822" t="s">
        <v>344</v>
      </c>
      <c r="D411" s="1822"/>
      <c r="E411" s="1822"/>
      <c r="F411" s="562"/>
      <c r="G411" s="562"/>
      <c r="H411" s="562"/>
      <c r="I411" s="562"/>
      <c r="J411" s="604">
        <v>1.8</v>
      </c>
      <c r="K411" s="562" t="s">
        <v>313</v>
      </c>
      <c r="L411" s="604">
        <v>18</v>
      </c>
      <c r="M411" s="562"/>
      <c r="N411" s="602"/>
      <c r="T411" s="674"/>
      <c r="U411" s="675"/>
      <c r="V411" s="675"/>
      <c r="Y411" s="537" t="s">
        <v>344</v>
      </c>
      <c r="AB411" s="675"/>
      <c r="AC411" s="675"/>
      <c r="AE411" s="675"/>
      <c r="AF411" s="680"/>
    </row>
    <row r="412" spans="1:32" s="536" customFormat="1" ht="12" x14ac:dyDescent="0.2">
      <c r="A412" s="605"/>
      <c r="B412" s="552" t="s">
        <v>188</v>
      </c>
      <c r="C412" s="1822" t="s">
        <v>475</v>
      </c>
      <c r="D412" s="1822"/>
      <c r="E412" s="1822"/>
      <c r="F412" s="562"/>
      <c r="G412" s="562"/>
      <c r="H412" s="562"/>
      <c r="I412" s="562"/>
      <c r="J412" s="604">
        <v>1.81</v>
      </c>
      <c r="K412" s="562"/>
      <c r="L412" s="604">
        <v>14.48</v>
      </c>
      <c r="M412" s="562"/>
      <c r="N412" s="602"/>
      <c r="T412" s="674"/>
      <c r="U412" s="675"/>
      <c r="V412" s="675"/>
      <c r="Y412" s="537" t="s">
        <v>475</v>
      </c>
      <c r="AB412" s="675"/>
      <c r="AC412" s="675"/>
      <c r="AE412" s="675"/>
      <c r="AF412" s="680"/>
    </row>
    <row r="413" spans="1:32" s="536" customFormat="1" ht="12" x14ac:dyDescent="0.2">
      <c r="A413" s="605"/>
      <c r="B413" s="552"/>
      <c r="C413" s="1822" t="s">
        <v>314</v>
      </c>
      <c r="D413" s="1822"/>
      <c r="E413" s="1822"/>
      <c r="F413" s="562" t="s">
        <v>315</v>
      </c>
      <c r="G413" s="562" t="s">
        <v>1692</v>
      </c>
      <c r="H413" s="562" t="s">
        <v>313</v>
      </c>
      <c r="I413" s="562" t="s">
        <v>189</v>
      </c>
      <c r="J413" s="604"/>
      <c r="K413" s="562"/>
      <c r="L413" s="604"/>
      <c r="M413" s="562"/>
      <c r="N413" s="602"/>
      <c r="T413" s="674"/>
      <c r="U413" s="675"/>
      <c r="V413" s="675"/>
      <c r="Z413" s="537" t="s">
        <v>314</v>
      </c>
      <c r="AB413" s="675"/>
      <c r="AC413" s="675"/>
      <c r="AE413" s="675"/>
      <c r="AF413" s="680"/>
    </row>
    <row r="414" spans="1:32" s="536" customFormat="1" ht="12" x14ac:dyDescent="0.2">
      <c r="A414" s="605"/>
      <c r="B414" s="552"/>
      <c r="C414" s="1828" t="s">
        <v>318</v>
      </c>
      <c r="D414" s="1828"/>
      <c r="E414" s="1828"/>
      <c r="F414" s="608"/>
      <c r="G414" s="608"/>
      <c r="H414" s="608"/>
      <c r="I414" s="608"/>
      <c r="J414" s="607">
        <v>9.01</v>
      </c>
      <c r="K414" s="608"/>
      <c r="L414" s="607">
        <v>86.48</v>
      </c>
      <c r="M414" s="608"/>
      <c r="N414" s="606"/>
      <c r="T414" s="674"/>
      <c r="U414" s="675"/>
      <c r="V414" s="675"/>
      <c r="AA414" s="537" t="s">
        <v>318</v>
      </c>
      <c r="AB414" s="675"/>
      <c r="AC414" s="675"/>
      <c r="AE414" s="675"/>
      <c r="AF414" s="680"/>
    </row>
    <row r="415" spans="1:32" s="536" customFormat="1" ht="12" x14ac:dyDescent="0.2">
      <c r="A415" s="605"/>
      <c r="B415" s="552"/>
      <c r="C415" s="1822" t="s">
        <v>319</v>
      </c>
      <c r="D415" s="1822"/>
      <c r="E415" s="1822"/>
      <c r="F415" s="562"/>
      <c r="G415" s="562"/>
      <c r="H415" s="562"/>
      <c r="I415" s="562"/>
      <c r="J415" s="604"/>
      <c r="K415" s="562"/>
      <c r="L415" s="604">
        <v>54</v>
      </c>
      <c r="M415" s="562"/>
      <c r="N415" s="602"/>
      <c r="T415" s="674"/>
      <c r="U415" s="675"/>
      <c r="V415" s="675"/>
      <c r="Z415" s="537" t="s">
        <v>319</v>
      </c>
      <c r="AB415" s="675"/>
      <c r="AC415" s="675"/>
      <c r="AE415" s="675"/>
      <c r="AF415" s="680"/>
    </row>
    <row r="416" spans="1:32" s="536" customFormat="1" ht="33.75" x14ac:dyDescent="0.2">
      <c r="A416" s="605"/>
      <c r="B416" s="552" t="s">
        <v>6787</v>
      </c>
      <c r="C416" s="1822" t="s">
        <v>6788</v>
      </c>
      <c r="D416" s="1822"/>
      <c r="E416" s="1822"/>
      <c r="F416" s="562" t="s">
        <v>322</v>
      </c>
      <c r="G416" s="562" t="s">
        <v>323</v>
      </c>
      <c r="H416" s="562"/>
      <c r="I416" s="562" t="s">
        <v>323</v>
      </c>
      <c r="J416" s="604"/>
      <c r="K416" s="562"/>
      <c r="L416" s="604">
        <v>48.06</v>
      </c>
      <c r="M416" s="562"/>
      <c r="N416" s="602"/>
      <c r="T416" s="674"/>
      <c r="U416" s="675"/>
      <c r="V416" s="675"/>
      <c r="Z416" s="537" t="s">
        <v>6788</v>
      </c>
      <c r="AB416" s="675"/>
      <c r="AC416" s="675"/>
      <c r="AE416" s="675"/>
      <c r="AF416" s="680"/>
    </row>
    <row r="417" spans="1:32" s="536" customFormat="1" ht="33.75" x14ac:dyDescent="0.2">
      <c r="A417" s="605"/>
      <c r="B417" s="552" t="s">
        <v>6789</v>
      </c>
      <c r="C417" s="1822" t="s">
        <v>6790</v>
      </c>
      <c r="D417" s="1822"/>
      <c r="E417" s="1822"/>
      <c r="F417" s="562" t="s">
        <v>322</v>
      </c>
      <c r="G417" s="562" t="s">
        <v>931</v>
      </c>
      <c r="H417" s="562"/>
      <c r="I417" s="562" t="s">
        <v>931</v>
      </c>
      <c r="J417" s="604"/>
      <c r="K417" s="562"/>
      <c r="L417" s="604">
        <v>24.3</v>
      </c>
      <c r="M417" s="562"/>
      <c r="N417" s="602"/>
      <c r="T417" s="674"/>
      <c r="U417" s="675"/>
      <c r="V417" s="675"/>
      <c r="Z417" s="537" t="s">
        <v>6790</v>
      </c>
      <c r="AB417" s="675"/>
      <c r="AC417" s="675"/>
      <c r="AE417" s="675"/>
      <c r="AF417" s="680"/>
    </row>
    <row r="418" spans="1:32" s="536" customFormat="1" ht="12" x14ac:dyDescent="0.2">
      <c r="A418" s="569"/>
      <c r="B418" s="683"/>
      <c r="C418" s="1823" t="s">
        <v>327</v>
      </c>
      <c r="D418" s="1823"/>
      <c r="E418" s="1823"/>
      <c r="F418" s="573"/>
      <c r="G418" s="573"/>
      <c r="H418" s="573"/>
      <c r="I418" s="573"/>
      <c r="J418" s="572"/>
      <c r="K418" s="573"/>
      <c r="L418" s="572">
        <v>158.84</v>
      </c>
      <c r="M418" s="608"/>
      <c r="N418" s="570"/>
      <c r="T418" s="674"/>
      <c r="U418" s="675"/>
      <c r="V418" s="675"/>
      <c r="AB418" s="675" t="s">
        <v>327</v>
      </c>
      <c r="AC418" s="675"/>
      <c r="AE418" s="675"/>
      <c r="AF418" s="680"/>
    </row>
    <row r="419" spans="1:32" s="536" customFormat="1" ht="12" x14ac:dyDescent="0.2">
      <c r="A419" s="1830" t="s">
        <v>9053</v>
      </c>
      <c r="B419" s="1831"/>
      <c r="C419" s="1831"/>
      <c r="D419" s="1831"/>
      <c r="E419" s="1831"/>
      <c r="F419" s="1831"/>
      <c r="G419" s="1831"/>
      <c r="H419" s="1831"/>
      <c r="I419" s="1831"/>
      <c r="J419" s="1831"/>
      <c r="K419" s="1831"/>
      <c r="L419" s="1831"/>
      <c r="M419" s="1831"/>
      <c r="N419" s="1832"/>
      <c r="T419" s="674"/>
      <c r="U419" s="675" t="s">
        <v>9053</v>
      </c>
      <c r="V419" s="675"/>
      <c r="AB419" s="675"/>
      <c r="AC419" s="675"/>
      <c r="AE419" s="675"/>
      <c r="AF419" s="680"/>
    </row>
    <row r="420" spans="1:32" s="536" customFormat="1" ht="33.75" x14ac:dyDescent="0.2">
      <c r="A420" s="575" t="s">
        <v>768</v>
      </c>
      <c r="B420" s="684" t="s">
        <v>9054</v>
      </c>
      <c r="C420" s="1823" t="s">
        <v>9055</v>
      </c>
      <c r="D420" s="1823"/>
      <c r="E420" s="1823"/>
      <c r="F420" s="573" t="s">
        <v>617</v>
      </c>
      <c r="G420" s="573"/>
      <c r="H420" s="573"/>
      <c r="I420" s="573" t="s">
        <v>185</v>
      </c>
      <c r="J420" s="572"/>
      <c r="K420" s="573"/>
      <c r="L420" s="572"/>
      <c r="M420" s="573"/>
      <c r="N420" s="570"/>
      <c r="T420" s="674"/>
      <c r="U420" s="675"/>
      <c r="V420" s="675" t="s">
        <v>9055</v>
      </c>
      <c r="AB420" s="675"/>
      <c r="AC420" s="675"/>
      <c r="AE420" s="675"/>
      <c r="AF420" s="680"/>
    </row>
    <row r="421" spans="1:32" s="536" customFormat="1" ht="33.75" x14ac:dyDescent="0.2">
      <c r="A421" s="609"/>
      <c r="B421" s="552" t="s">
        <v>310</v>
      </c>
      <c r="C421" s="1822" t="s">
        <v>311</v>
      </c>
      <c r="D421" s="1822"/>
      <c r="E421" s="1822"/>
      <c r="F421" s="1822"/>
      <c r="G421" s="1822"/>
      <c r="H421" s="1822"/>
      <c r="I421" s="1822"/>
      <c r="J421" s="1822"/>
      <c r="K421" s="1822"/>
      <c r="L421" s="1822"/>
      <c r="M421" s="1822"/>
      <c r="N421" s="1827"/>
      <c r="T421" s="674"/>
      <c r="U421" s="675"/>
      <c r="V421" s="675"/>
      <c r="X421" s="537" t="s">
        <v>311</v>
      </c>
      <c r="AB421" s="675"/>
      <c r="AC421" s="675"/>
      <c r="AE421" s="675"/>
      <c r="AF421" s="680"/>
    </row>
    <row r="422" spans="1:32" s="536" customFormat="1" ht="12" x14ac:dyDescent="0.2">
      <c r="A422" s="605"/>
      <c r="B422" s="552" t="s">
        <v>185</v>
      </c>
      <c r="C422" s="1822" t="s">
        <v>312</v>
      </c>
      <c r="D422" s="1822"/>
      <c r="E422" s="1822"/>
      <c r="F422" s="562"/>
      <c r="G422" s="562"/>
      <c r="H422" s="562"/>
      <c r="I422" s="562"/>
      <c r="J422" s="604">
        <v>3.81</v>
      </c>
      <c r="K422" s="562" t="s">
        <v>313</v>
      </c>
      <c r="L422" s="604">
        <v>4.76</v>
      </c>
      <c r="M422" s="562"/>
      <c r="N422" s="602"/>
      <c r="T422" s="674"/>
      <c r="U422" s="675"/>
      <c r="V422" s="675"/>
      <c r="Y422" s="537" t="s">
        <v>312</v>
      </c>
      <c r="AB422" s="675"/>
      <c r="AC422" s="675"/>
      <c r="AE422" s="675"/>
      <c r="AF422" s="680"/>
    </row>
    <row r="423" spans="1:32" s="536" customFormat="1" ht="12" x14ac:dyDescent="0.2">
      <c r="A423" s="605"/>
      <c r="B423" s="552" t="s">
        <v>186</v>
      </c>
      <c r="C423" s="1822" t="s">
        <v>344</v>
      </c>
      <c r="D423" s="1822"/>
      <c r="E423" s="1822"/>
      <c r="F423" s="562"/>
      <c r="G423" s="562"/>
      <c r="H423" s="562"/>
      <c r="I423" s="562"/>
      <c r="J423" s="604">
        <v>1.78</v>
      </c>
      <c r="K423" s="562" t="s">
        <v>313</v>
      </c>
      <c r="L423" s="604">
        <v>2.23</v>
      </c>
      <c r="M423" s="562"/>
      <c r="N423" s="602"/>
      <c r="T423" s="674"/>
      <c r="U423" s="675"/>
      <c r="V423" s="675"/>
      <c r="Y423" s="537" t="s">
        <v>344</v>
      </c>
      <c r="AB423" s="675"/>
      <c r="AC423" s="675"/>
      <c r="AE423" s="675"/>
      <c r="AF423" s="680"/>
    </row>
    <row r="424" spans="1:32" s="536" customFormat="1" ht="12" x14ac:dyDescent="0.2">
      <c r="A424" s="605"/>
      <c r="B424" s="552" t="s">
        <v>188</v>
      </c>
      <c r="C424" s="1822" t="s">
        <v>475</v>
      </c>
      <c r="D424" s="1822"/>
      <c r="E424" s="1822"/>
      <c r="F424" s="562"/>
      <c r="G424" s="562"/>
      <c r="H424" s="562"/>
      <c r="I424" s="562"/>
      <c r="J424" s="604">
        <v>0.72</v>
      </c>
      <c r="K424" s="562"/>
      <c r="L424" s="604">
        <v>0.72</v>
      </c>
      <c r="M424" s="562"/>
      <c r="N424" s="602"/>
      <c r="T424" s="674"/>
      <c r="U424" s="675"/>
      <c r="V424" s="675"/>
      <c r="Y424" s="537" t="s">
        <v>475</v>
      </c>
      <c r="AB424" s="675"/>
      <c r="AC424" s="675"/>
      <c r="AE424" s="675"/>
      <c r="AF424" s="680"/>
    </row>
    <row r="425" spans="1:32" s="536" customFormat="1" ht="22.5" x14ac:dyDescent="0.2">
      <c r="A425" s="676"/>
      <c r="B425" s="677" t="s">
        <v>9056</v>
      </c>
      <c r="C425" s="1829" t="s">
        <v>9057</v>
      </c>
      <c r="D425" s="1829"/>
      <c r="E425" s="1829"/>
      <c r="F425" s="678" t="s">
        <v>617</v>
      </c>
      <c r="G425" s="678" t="s">
        <v>185</v>
      </c>
      <c r="H425" s="678"/>
      <c r="I425" s="678" t="s">
        <v>185</v>
      </c>
      <c r="J425" s="552"/>
      <c r="K425" s="562"/>
      <c r="L425" s="604"/>
      <c r="M425" s="562"/>
      <c r="N425" s="679"/>
      <c r="T425" s="674"/>
      <c r="U425" s="675"/>
      <c r="V425" s="675"/>
      <c r="AB425" s="675"/>
      <c r="AC425" s="675"/>
      <c r="AE425" s="675"/>
      <c r="AF425" s="680" t="s">
        <v>9057</v>
      </c>
    </row>
    <row r="426" spans="1:32" s="536" customFormat="1" ht="22.5" x14ac:dyDescent="0.2">
      <c r="A426" s="676"/>
      <c r="B426" s="677" t="s">
        <v>9058</v>
      </c>
      <c r="C426" s="1829" t="s">
        <v>9059</v>
      </c>
      <c r="D426" s="1829"/>
      <c r="E426" s="1829"/>
      <c r="F426" s="678" t="s">
        <v>617</v>
      </c>
      <c r="G426" s="678" t="s">
        <v>185</v>
      </c>
      <c r="H426" s="678"/>
      <c r="I426" s="678" t="s">
        <v>185</v>
      </c>
      <c r="J426" s="552"/>
      <c r="K426" s="562"/>
      <c r="L426" s="604"/>
      <c r="M426" s="562"/>
      <c r="N426" s="679"/>
      <c r="T426" s="674"/>
      <c r="U426" s="675"/>
      <c r="V426" s="675"/>
      <c r="AB426" s="675"/>
      <c r="AC426" s="675"/>
      <c r="AE426" s="675"/>
      <c r="AF426" s="680" t="s">
        <v>9059</v>
      </c>
    </row>
    <row r="427" spans="1:32" s="536" customFormat="1" ht="12" x14ac:dyDescent="0.2">
      <c r="A427" s="605"/>
      <c r="B427" s="552"/>
      <c r="C427" s="1822" t="s">
        <v>314</v>
      </c>
      <c r="D427" s="1822"/>
      <c r="E427" s="1822"/>
      <c r="F427" s="562" t="s">
        <v>315</v>
      </c>
      <c r="G427" s="562" t="s">
        <v>4123</v>
      </c>
      <c r="H427" s="562" t="s">
        <v>313</v>
      </c>
      <c r="I427" s="562" t="s">
        <v>9060</v>
      </c>
      <c r="J427" s="604"/>
      <c r="K427" s="562"/>
      <c r="L427" s="604"/>
      <c r="M427" s="562"/>
      <c r="N427" s="602"/>
      <c r="T427" s="674"/>
      <c r="U427" s="675"/>
      <c r="V427" s="675"/>
      <c r="Z427" s="537" t="s">
        <v>314</v>
      </c>
      <c r="AB427" s="675"/>
      <c r="AC427" s="675"/>
      <c r="AE427" s="675"/>
      <c r="AF427" s="680"/>
    </row>
    <row r="428" spans="1:32" s="536" customFormat="1" ht="12" x14ac:dyDescent="0.2">
      <c r="A428" s="605"/>
      <c r="B428" s="552"/>
      <c r="C428" s="1828" t="s">
        <v>318</v>
      </c>
      <c r="D428" s="1828"/>
      <c r="E428" s="1828"/>
      <c r="F428" s="608"/>
      <c r="G428" s="608"/>
      <c r="H428" s="608"/>
      <c r="I428" s="608"/>
      <c r="J428" s="607">
        <v>6.31</v>
      </c>
      <c r="K428" s="608"/>
      <c r="L428" s="607">
        <v>7.71</v>
      </c>
      <c r="M428" s="608"/>
      <c r="N428" s="606"/>
      <c r="T428" s="674"/>
      <c r="U428" s="675"/>
      <c r="V428" s="675"/>
      <c r="AA428" s="537" t="s">
        <v>318</v>
      </c>
      <c r="AB428" s="675"/>
      <c r="AC428" s="675"/>
      <c r="AE428" s="675"/>
      <c r="AF428" s="680"/>
    </row>
    <row r="429" spans="1:32" s="536" customFormat="1" ht="12" x14ac:dyDescent="0.2">
      <c r="A429" s="605"/>
      <c r="B429" s="552"/>
      <c r="C429" s="1822" t="s">
        <v>319</v>
      </c>
      <c r="D429" s="1822"/>
      <c r="E429" s="1822"/>
      <c r="F429" s="562"/>
      <c r="G429" s="562"/>
      <c r="H429" s="562"/>
      <c r="I429" s="562"/>
      <c r="J429" s="604"/>
      <c r="K429" s="562"/>
      <c r="L429" s="604">
        <v>4.76</v>
      </c>
      <c r="M429" s="562"/>
      <c r="N429" s="602"/>
      <c r="T429" s="674"/>
      <c r="U429" s="675"/>
      <c r="V429" s="675"/>
      <c r="Z429" s="537" t="s">
        <v>319</v>
      </c>
      <c r="AB429" s="675"/>
      <c r="AC429" s="675"/>
      <c r="AE429" s="675"/>
      <c r="AF429" s="680"/>
    </row>
    <row r="430" spans="1:32" s="536" customFormat="1" ht="33.75" x14ac:dyDescent="0.2">
      <c r="A430" s="605"/>
      <c r="B430" s="552" t="s">
        <v>533</v>
      </c>
      <c r="C430" s="1822" t="s">
        <v>534</v>
      </c>
      <c r="D430" s="1822"/>
      <c r="E430" s="1822"/>
      <c r="F430" s="562" t="s">
        <v>322</v>
      </c>
      <c r="G430" s="562" t="s">
        <v>535</v>
      </c>
      <c r="H430" s="562"/>
      <c r="I430" s="562" t="s">
        <v>535</v>
      </c>
      <c r="J430" s="604"/>
      <c r="K430" s="562"/>
      <c r="L430" s="604">
        <v>5.57</v>
      </c>
      <c r="M430" s="562"/>
      <c r="N430" s="602"/>
      <c r="T430" s="674"/>
      <c r="U430" s="675"/>
      <c r="V430" s="675"/>
      <c r="Z430" s="537" t="s">
        <v>534</v>
      </c>
      <c r="AB430" s="675"/>
      <c r="AC430" s="675"/>
      <c r="AE430" s="675"/>
      <c r="AF430" s="680"/>
    </row>
    <row r="431" spans="1:32" s="536" customFormat="1" ht="33.75" x14ac:dyDescent="0.2">
      <c r="A431" s="605"/>
      <c r="B431" s="552" t="s">
        <v>536</v>
      </c>
      <c r="C431" s="1822" t="s">
        <v>537</v>
      </c>
      <c r="D431" s="1822"/>
      <c r="E431" s="1822"/>
      <c r="F431" s="562" t="s">
        <v>322</v>
      </c>
      <c r="G431" s="562" t="s">
        <v>538</v>
      </c>
      <c r="H431" s="562"/>
      <c r="I431" s="562" t="s">
        <v>538</v>
      </c>
      <c r="J431" s="604"/>
      <c r="K431" s="562"/>
      <c r="L431" s="604">
        <v>3.52</v>
      </c>
      <c r="M431" s="562"/>
      <c r="N431" s="602"/>
      <c r="T431" s="674"/>
      <c r="U431" s="675"/>
      <c r="V431" s="675"/>
      <c r="Z431" s="537" t="s">
        <v>537</v>
      </c>
      <c r="AB431" s="675"/>
      <c r="AC431" s="675"/>
      <c r="AE431" s="675"/>
      <c r="AF431" s="680"/>
    </row>
    <row r="432" spans="1:32" s="536" customFormat="1" ht="12" x14ac:dyDescent="0.2">
      <c r="A432" s="569"/>
      <c r="B432" s="683"/>
      <c r="C432" s="1823" t="s">
        <v>327</v>
      </c>
      <c r="D432" s="1823"/>
      <c r="E432" s="1823"/>
      <c r="F432" s="573"/>
      <c r="G432" s="573"/>
      <c r="H432" s="573"/>
      <c r="I432" s="573"/>
      <c r="J432" s="572"/>
      <c r="K432" s="573"/>
      <c r="L432" s="572">
        <v>16.8</v>
      </c>
      <c r="M432" s="608"/>
      <c r="N432" s="570"/>
      <c r="T432" s="674"/>
      <c r="U432" s="675"/>
      <c r="V432" s="675"/>
      <c r="AB432" s="675" t="s">
        <v>327</v>
      </c>
      <c r="AC432" s="675"/>
      <c r="AE432" s="675"/>
      <c r="AF432" s="680"/>
    </row>
    <row r="433" spans="1:32" s="536" customFormat="1" ht="45" x14ac:dyDescent="0.2">
      <c r="A433" s="575" t="s">
        <v>769</v>
      </c>
      <c r="B433" s="684" t="s">
        <v>9061</v>
      </c>
      <c r="C433" s="1823" t="s">
        <v>9062</v>
      </c>
      <c r="D433" s="1823"/>
      <c r="E433" s="1823"/>
      <c r="F433" s="573" t="s">
        <v>617</v>
      </c>
      <c r="G433" s="573"/>
      <c r="H433" s="573"/>
      <c r="I433" s="573" t="s">
        <v>185</v>
      </c>
      <c r="J433" s="572">
        <v>212</v>
      </c>
      <c r="K433" s="573"/>
      <c r="L433" s="572">
        <v>212</v>
      </c>
      <c r="M433" s="573"/>
      <c r="N433" s="570"/>
      <c r="T433" s="674"/>
      <c r="U433" s="675"/>
      <c r="V433" s="675" t="s">
        <v>9062</v>
      </c>
      <c r="AB433" s="675"/>
      <c r="AC433" s="675"/>
      <c r="AE433" s="675"/>
      <c r="AF433" s="680"/>
    </row>
    <row r="434" spans="1:32" s="536" customFormat="1" ht="12" x14ac:dyDescent="0.2">
      <c r="A434" s="569"/>
      <c r="B434" s="683"/>
      <c r="C434" s="689" t="s">
        <v>717</v>
      </c>
      <c r="D434" s="690"/>
      <c r="E434" s="690"/>
      <c r="F434" s="563"/>
      <c r="G434" s="563"/>
      <c r="H434" s="563"/>
      <c r="I434" s="563"/>
      <c r="J434" s="566"/>
      <c r="K434" s="563"/>
      <c r="L434" s="566"/>
      <c r="M434" s="565"/>
      <c r="N434" s="564"/>
      <c r="T434" s="674"/>
      <c r="U434" s="675"/>
      <c r="V434" s="675"/>
      <c r="AB434" s="675"/>
      <c r="AC434" s="675"/>
      <c r="AE434" s="675"/>
      <c r="AF434" s="680"/>
    </row>
    <row r="435" spans="1:32" s="536" customFormat="1" ht="22.5" x14ac:dyDescent="0.2">
      <c r="A435" s="575" t="s">
        <v>770</v>
      </c>
      <c r="B435" s="684" t="s">
        <v>9063</v>
      </c>
      <c r="C435" s="1823" t="s">
        <v>9064</v>
      </c>
      <c r="D435" s="1823"/>
      <c r="E435" s="1823"/>
      <c r="F435" s="573" t="s">
        <v>617</v>
      </c>
      <c r="G435" s="573"/>
      <c r="H435" s="573"/>
      <c r="I435" s="573" t="s">
        <v>185</v>
      </c>
      <c r="J435" s="572">
        <v>68.75</v>
      </c>
      <c r="K435" s="573"/>
      <c r="L435" s="572">
        <v>68.75</v>
      </c>
      <c r="M435" s="573"/>
      <c r="N435" s="570"/>
      <c r="T435" s="674"/>
      <c r="U435" s="675"/>
      <c r="V435" s="675" t="s">
        <v>9064</v>
      </c>
      <c r="AB435" s="675"/>
      <c r="AC435" s="675"/>
      <c r="AE435" s="675"/>
      <c r="AF435" s="680"/>
    </row>
    <row r="436" spans="1:32" s="536" customFormat="1" ht="12" x14ac:dyDescent="0.2">
      <c r="A436" s="569"/>
      <c r="B436" s="683"/>
      <c r="C436" s="689" t="s">
        <v>717</v>
      </c>
      <c r="D436" s="690"/>
      <c r="E436" s="690"/>
      <c r="F436" s="563"/>
      <c r="G436" s="563"/>
      <c r="H436" s="563"/>
      <c r="I436" s="563"/>
      <c r="J436" s="566"/>
      <c r="K436" s="563"/>
      <c r="L436" s="566"/>
      <c r="M436" s="565"/>
      <c r="N436" s="564"/>
      <c r="T436" s="674"/>
      <c r="U436" s="675"/>
      <c r="V436" s="675"/>
      <c r="AB436" s="675"/>
      <c r="AC436" s="675"/>
      <c r="AE436" s="675"/>
      <c r="AF436" s="680"/>
    </row>
    <row r="437" spans="1:32" s="536" customFormat="1" ht="56.25" x14ac:dyDescent="0.2">
      <c r="A437" s="575" t="s">
        <v>771</v>
      </c>
      <c r="B437" s="684" t="s">
        <v>9065</v>
      </c>
      <c r="C437" s="1823" t="s">
        <v>9066</v>
      </c>
      <c r="D437" s="1823"/>
      <c r="E437" s="1823"/>
      <c r="F437" s="573" t="s">
        <v>9067</v>
      </c>
      <c r="G437" s="573"/>
      <c r="H437" s="573"/>
      <c r="I437" s="573" t="s">
        <v>185</v>
      </c>
      <c r="J437" s="572"/>
      <c r="K437" s="573"/>
      <c r="L437" s="572"/>
      <c r="M437" s="573"/>
      <c r="N437" s="570"/>
      <c r="T437" s="674"/>
      <c r="U437" s="675"/>
      <c r="V437" s="675" t="s">
        <v>9066</v>
      </c>
      <c r="AB437" s="675"/>
      <c r="AC437" s="675"/>
      <c r="AE437" s="675"/>
      <c r="AF437" s="680"/>
    </row>
    <row r="438" spans="1:32" s="536" customFormat="1" ht="33.75" x14ac:dyDescent="0.2">
      <c r="A438" s="609"/>
      <c r="B438" s="552" t="s">
        <v>310</v>
      </c>
      <c r="C438" s="1822" t="s">
        <v>311</v>
      </c>
      <c r="D438" s="1822"/>
      <c r="E438" s="1822"/>
      <c r="F438" s="1822"/>
      <c r="G438" s="1822"/>
      <c r="H438" s="1822"/>
      <c r="I438" s="1822"/>
      <c r="J438" s="1822"/>
      <c r="K438" s="1822"/>
      <c r="L438" s="1822"/>
      <c r="M438" s="1822"/>
      <c r="N438" s="1827"/>
      <c r="T438" s="674"/>
      <c r="U438" s="675"/>
      <c r="V438" s="675"/>
      <c r="X438" s="537" t="s">
        <v>311</v>
      </c>
      <c r="AB438" s="675"/>
      <c r="AC438" s="675"/>
      <c r="AE438" s="675"/>
      <c r="AF438" s="680"/>
    </row>
    <row r="439" spans="1:32" s="536" customFormat="1" ht="12" x14ac:dyDescent="0.2">
      <c r="A439" s="605"/>
      <c r="B439" s="552" t="s">
        <v>185</v>
      </c>
      <c r="C439" s="1822" t="s">
        <v>312</v>
      </c>
      <c r="D439" s="1822"/>
      <c r="E439" s="1822"/>
      <c r="F439" s="562"/>
      <c r="G439" s="562"/>
      <c r="H439" s="562"/>
      <c r="I439" s="562"/>
      <c r="J439" s="604">
        <v>14.49</v>
      </c>
      <c r="K439" s="562" t="s">
        <v>313</v>
      </c>
      <c r="L439" s="604">
        <v>18.11</v>
      </c>
      <c r="M439" s="562"/>
      <c r="N439" s="602"/>
      <c r="T439" s="674"/>
      <c r="U439" s="675"/>
      <c r="V439" s="675"/>
      <c r="Y439" s="537" t="s">
        <v>312</v>
      </c>
      <c r="AB439" s="675"/>
      <c r="AC439" s="675"/>
      <c r="AE439" s="675"/>
      <c r="AF439" s="680"/>
    </row>
    <row r="440" spans="1:32" s="536" customFormat="1" ht="12" x14ac:dyDescent="0.2">
      <c r="A440" s="605"/>
      <c r="B440" s="552" t="s">
        <v>186</v>
      </c>
      <c r="C440" s="1822" t="s">
        <v>344</v>
      </c>
      <c r="D440" s="1822"/>
      <c r="E440" s="1822"/>
      <c r="F440" s="562"/>
      <c r="G440" s="562"/>
      <c r="H440" s="562"/>
      <c r="I440" s="562"/>
      <c r="J440" s="604">
        <v>0.56999999999999995</v>
      </c>
      <c r="K440" s="562" t="s">
        <v>313</v>
      </c>
      <c r="L440" s="604">
        <v>0.71</v>
      </c>
      <c r="M440" s="562"/>
      <c r="N440" s="602"/>
      <c r="T440" s="674"/>
      <c r="U440" s="675"/>
      <c r="V440" s="675"/>
      <c r="Y440" s="537" t="s">
        <v>344</v>
      </c>
      <c r="AB440" s="675"/>
      <c r="AC440" s="675"/>
      <c r="AE440" s="675"/>
      <c r="AF440" s="680"/>
    </row>
    <row r="441" spans="1:32" s="536" customFormat="1" ht="12" x14ac:dyDescent="0.2">
      <c r="A441" s="605"/>
      <c r="B441" s="552" t="s">
        <v>188</v>
      </c>
      <c r="C441" s="1822" t="s">
        <v>475</v>
      </c>
      <c r="D441" s="1822"/>
      <c r="E441" s="1822"/>
      <c r="F441" s="562"/>
      <c r="G441" s="562"/>
      <c r="H441" s="562"/>
      <c r="I441" s="562"/>
      <c r="J441" s="604">
        <v>1.56</v>
      </c>
      <c r="K441" s="562"/>
      <c r="L441" s="604">
        <v>1.56</v>
      </c>
      <c r="M441" s="562"/>
      <c r="N441" s="602"/>
      <c r="T441" s="674"/>
      <c r="U441" s="675"/>
      <c r="V441" s="675"/>
      <c r="Y441" s="537" t="s">
        <v>475</v>
      </c>
      <c r="AB441" s="675"/>
      <c r="AC441" s="675"/>
      <c r="AE441" s="675"/>
      <c r="AF441" s="680"/>
    </row>
    <row r="442" spans="1:32" s="536" customFormat="1" ht="22.5" x14ac:dyDescent="0.2">
      <c r="A442" s="676"/>
      <c r="B442" s="677" t="s">
        <v>9068</v>
      </c>
      <c r="C442" s="1829" t="s">
        <v>9069</v>
      </c>
      <c r="D442" s="1829"/>
      <c r="E442" s="1829"/>
      <c r="F442" s="678" t="s">
        <v>617</v>
      </c>
      <c r="G442" s="678" t="s">
        <v>185</v>
      </c>
      <c r="H442" s="678"/>
      <c r="I442" s="678" t="s">
        <v>185</v>
      </c>
      <c r="J442" s="552"/>
      <c r="K442" s="562"/>
      <c r="L442" s="604"/>
      <c r="M442" s="562"/>
      <c r="N442" s="679"/>
      <c r="T442" s="674"/>
      <c r="U442" s="675"/>
      <c r="V442" s="675"/>
      <c r="AB442" s="675"/>
      <c r="AC442" s="675"/>
      <c r="AE442" s="675"/>
      <c r="AF442" s="680" t="s">
        <v>9069</v>
      </c>
    </row>
    <row r="443" spans="1:32" s="536" customFormat="1" ht="12" x14ac:dyDescent="0.2">
      <c r="A443" s="605"/>
      <c r="B443" s="552"/>
      <c r="C443" s="1822" t="s">
        <v>314</v>
      </c>
      <c r="D443" s="1822"/>
      <c r="E443" s="1822"/>
      <c r="F443" s="562" t="s">
        <v>315</v>
      </c>
      <c r="G443" s="562" t="s">
        <v>9070</v>
      </c>
      <c r="H443" s="562" t="s">
        <v>313</v>
      </c>
      <c r="I443" s="562" t="s">
        <v>1654</v>
      </c>
      <c r="J443" s="604"/>
      <c r="K443" s="562"/>
      <c r="L443" s="604"/>
      <c r="M443" s="562"/>
      <c r="N443" s="602"/>
      <c r="T443" s="674"/>
      <c r="U443" s="675"/>
      <c r="V443" s="675"/>
      <c r="Z443" s="537" t="s">
        <v>314</v>
      </c>
      <c r="AB443" s="675"/>
      <c r="AC443" s="675"/>
      <c r="AE443" s="675"/>
      <c r="AF443" s="680"/>
    </row>
    <row r="444" spans="1:32" s="536" customFormat="1" ht="12" x14ac:dyDescent="0.2">
      <c r="A444" s="605"/>
      <c r="B444" s="552"/>
      <c r="C444" s="1828" t="s">
        <v>318</v>
      </c>
      <c r="D444" s="1828"/>
      <c r="E444" s="1828"/>
      <c r="F444" s="608"/>
      <c r="G444" s="608"/>
      <c r="H444" s="608"/>
      <c r="I444" s="608"/>
      <c r="J444" s="607">
        <v>16.62</v>
      </c>
      <c r="K444" s="608"/>
      <c r="L444" s="607">
        <v>20.38</v>
      </c>
      <c r="M444" s="608"/>
      <c r="N444" s="606"/>
      <c r="T444" s="674"/>
      <c r="U444" s="675"/>
      <c r="V444" s="675"/>
      <c r="AA444" s="537" t="s">
        <v>318</v>
      </c>
      <c r="AB444" s="675"/>
      <c r="AC444" s="675"/>
      <c r="AE444" s="675"/>
      <c r="AF444" s="680"/>
    </row>
    <row r="445" spans="1:32" s="536" customFormat="1" ht="12" x14ac:dyDescent="0.2">
      <c r="A445" s="605"/>
      <c r="B445" s="552"/>
      <c r="C445" s="1822" t="s">
        <v>319</v>
      </c>
      <c r="D445" s="1822"/>
      <c r="E445" s="1822"/>
      <c r="F445" s="562"/>
      <c r="G445" s="562"/>
      <c r="H445" s="562"/>
      <c r="I445" s="562"/>
      <c r="J445" s="604"/>
      <c r="K445" s="562"/>
      <c r="L445" s="604">
        <v>18.11</v>
      </c>
      <c r="M445" s="562"/>
      <c r="N445" s="602"/>
      <c r="T445" s="674"/>
      <c r="U445" s="675"/>
      <c r="V445" s="675"/>
      <c r="Z445" s="537" t="s">
        <v>319</v>
      </c>
      <c r="AB445" s="675"/>
      <c r="AC445" s="675"/>
      <c r="AE445" s="675"/>
      <c r="AF445" s="680"/>
    </row>
    <row r="446" spans="1:32" s="536" customFormat="1" ht="33.75" x14ac:dyDescent="0.2">
      <c r="A446" s="605"/>
      <c r="B446" s="552" t="s">
        <v>533</v>
      </c>
      <c r="C446" s="1822" t="s">
        <v>534</v>
      </c>
      <c r="D446" s="1822"/>
      <c r="E446" s="1822"/>
      <c r="F446" s="562" t="s">
        <v>322</v>
      </c>
      <c r="G446" s="562" t="s">
        <v>535</v>
      </c>
      <c r="H446" s="562"/>
      <c r="I446" s="562" t="s">
        <v>535</v>
      </c>
      <c r="J446" s="604"/>
      <c r="K446" s="562"/>
      <c r="L446" s="604">
        <v>21.19</v>
      </c>
      <c r="M446" s="562"/>
      <c r="N446" s="602"/>
      <c r="T446" s="674"/>
      <c r="U446" s="675"/>
      <c r="V446" s="675"/>
      <c r="Z446" s="537" t="s">
        <v>534</v>
      </c>
      <c r="AB446" s="675"/>
      <c r="AC446" s="675"/>
      <c r="AE446" s="675"/>
      <c r="AF446" s="680"/>
    </row>
    <row r="447" spans="1:32" s="536" customFormat="1" ht="33.75" x14ac:dyDescent="0.2">
      <c r="A447" s="605"/>
      <c r="B447" s="552" t="s">
        <v>536</v>
      </c>
      <c r="C447" s="1822" t="s">
        <v>537</v>
      </c>
      <c r="D447" s="1822"/>
      <c r="E447" s="1822"/>
      <c r="F447" s="562" t="s">
        <v>322</v>
      </c>
      <c r="G447" s="562" t="s">
        <v>538</v>
      </c>
      <c r="H447" s="562"/>
      <c r="I447" s="562" t="s">
        <v>538</v>
      </c>
      <c r="J447" s="604"/>
      <c r="K447" s="562"/>
      <c r="L447" s="604">
        <v>13.4</v>
      </c>
      <c r="M447" s="562"/>
      <c r="N447" s="602"/>
      <c r="T447" s="674"/>
      <c r="U447" s="675"/>
      <c r="V447" s="675"/>
      <c r="Z447" s="537" t="s">
        <v>537</v>
      </c>
      <c r="AB447" s="675"/>
      <c r="AC447" s="675"/>
      <c r="AE447" s="675"/>
      <c r="AF447" s="680"/>
    </row>
    <row r="448" spans="1:32" s="536" customFormat="1" ht="12" x14ac:dyDescent="0.2">
      <c r="A448" s="569"/>
      <c r="B448" s="683"/>
      <c r="C448" s="1823" t="s">
        <v>327</v>
      </c>
      <c r="D448" s="1823"/>
      <c r="E448" s="1823"/>
      <c r="F448" s="573"/>
      <c r="G448" s="573"/>
      <c r="H448" s="573"/>
      <c r="I448" s="573"/>
      <c r="J448" s="572"/>
      <c r="K448" s="573"/>
      <c r="L448" s="572">
        <v>54.97</v>
      </c>
      <c r="M448" s="608"/>
      <c r="N448" s="570"/>
      <c r="T448" s="674"/>
      <c r="U448" s="675"/>
      <c r="V448" s="675"/>
      <c r="AB448" s="675" t="s">
        <v>327</v>
      </c>
      <c r="AC448" s="675"/>
      <c r="AE448" s="675"/>
      <c r="AF448" s="680"/>
    </row>
    <row r="449" spans="1:32" s="536" customFormat="1" ht="45" x14ac:dyDescent="0.2">
      <c r="A449" s="575" t="s">
        <v>772</v>
      </c>
      <c r="B449" s="684" t="s">
        <v>9071</v>
      </c>
      <c r="C449" s="1823" t="s">
        <v>9072</v>
      </c>
      <c r="D449" s="1823"/>
      <c r="E449" s="1823"/>
      <c r="F449" s="573" t="s">
        <v>617</v>
      </c>
      <c r="G449" s="573"/>
      <c r="H449" s="573"/>
      <c r="I449" s="573" t="s">
        <v>185</v>
      </c>
      <c r="J449" s="572">
        <v>427.58</v>
      </c>
      <c r="K449" s="573"/>
      <c r="L449" s="572">
        <v>427.58</v>
      </c>
      <c r="M449" s="573"/>
      <c r="N449" s="570"/>
      <c r="T449" s="674"/>
      <c r="U449" s="675"/>
      <c r="V449" s="675" t="s">
        <v>9072</v>
      </c>
      <c r="AB449" s="675"/>
      <c r="AC449" s="675"/>
      <c r="AE449" s="675"/>
      <c r="AF449" s="680"/>
    </row>
    <row r="450" spans="1:32" s="536" customFormat="1" ht="12" x14ac:dyDescent="0.2">
      <c r="A450" s="569"/>
      <c r="B450" s="683"/>
      <c r="C450" s="689" t="s">
        <v>717</v>
      </c>
      <c r="D450" s="690"/>
      <c r="E450" s="690"/>
      <c r="F450" s="563"/>
      <c r="G450" s="563"/>
      <c r="H450" s="563"/>
      <c r="I450" s="563"/>
      <c r="J450" s="566"/>
      <c r="K450" s="563"/>
      <c r="L450" s="566"/>
      <c r="M450" s="565"/>
      <c r="N450" s="564"/>
      <c r="T450" s="674"/>
      <c r="U450" s="675"/>
      <c r="V450" s="675"/>
      <c r="AB450" s="675"/>
      <c r="AC450" s="675"/>
      <c r="AE450" s="675"/>
      <c r="AF450" s="680"/>
    </row>
    <row r="451" spans="1:32" s="536" customFormat="1" ht="22.5" x14ac:dyDescent="0.2">
      <c r="A451" s="575" t="s">
        <v>677</v>
      </c>
      <c r="B451" s="684" t="s">
        <v>9073</v>
      </c>
      <c r="C451" s="1823" t="s">
        <v>9074</v>
      </c>
      <c r="D451" s="1823"/>
      <c r="E451" s="1823"/>
      <c r="F451" s="573" t="s">
        <v>9075</v>
      </c>
      <c r="G451" s="573"/>
      <c r="H451" s="573"/>
      <c r="I451" s="573" t="s">
        <v>185</v>
      </c>
      <c r="J451" s="572"/>
      <c r="K451" s="573"/>
      <c r="L451" s="572"/>
      <c r="M451" s="573"/>
      <c r="N451" s="570"/>
      <c r="T451" s="674"/>
      <c r="U451" s="675"/>
      <c r="V451" s="675" t="s">
        <v>9074</v>
      </c>
      <c r="AB451" s="675"/>
      <c r="AC451" s="675"/>
      <c r="AE451" s="675"/>
      <c r="AF451" s="680"/>
    </row>
    <row r="452" spans="1:32" s="536" customFormat="1" ht="33.75" x14ac:dyDescent="0.2">
      <c r="A452" s="609"/>
      <c r="B452" s="552" t="s">
        <v>310</v>
      </c>
      <c r="C452" s="1822" t="s">
        <v>311</v>
      </c>
      <c r="D452" s="1822"/>
      <c r="E452" s="1822"/>
      <c r="F452" s="1822"/>
      <c r="G452" s="1822"/>
      <c r="H452" s="1822"/>
      <c r="I452" s="1822"/>
      <c r="J452" s="1822"/>
      <c r="K452" s="1822"/>
      <c r="L452" s="1822"/>
      <c r="M452" s="1822"/>
      <c r="N452" s="1827"/>
      <c r="T452" s="674"/>
      <c r="U452" s="675"/>
      <c r="V452" s="675"/>
      <c r="X452" s="537" t="s">
        <v>311</v>
      </c>
      <c r="AB452" s="675"/>
      <c r="AC452" s="675"/>
      <c r="AE452" s="675"/>
      <c r="AF452" s="680"/>
    </row>
    <row r="453" spans="1:32" s="536" customFormat="1" ht="12" x14ac:dyDescent="0.2">
      <c r="A453" s="605"/>
      <c r="B453" s="552" t="s">
        <v>185</v>
      </c>
      <c r="C453" s="1822" t="s">
        <v>312</v>
      </c>
      <c r="D453" s="1822"/>
      <c r="E453" s="1822"/>
      <c r="F453" s="562"/>
      <c r="G453" s="562"/>
      <c r="H453" s="562"/>
      <c r="I453" s="562"/>
      <c r="J453" s="604">
        <v>14.48</v>
      </c>
      <c r="K453" s="562" t="s">
        <v>313</v>
      </c>
      <c r="L453" s="604">
        <v>18.100000000000001</v>
      </c>
      <c r="M453" s="562"/>
      <c r="N453" s="602"/>
      <c r="T453" s="674"/>
      <c r="U453" s="675"/>
      <c r="V453" s="675"/>
      <c r="Y453" s="537" t="s">
        <v>312</v>
      </c>
      <c r="AB453" s="675"/>
      <c r="AC453" s="675"/>
      <c r="AE453" s="675"/>
      <c r="AF453" s="680"/>
    </row>
    <row r="454" spans="1:32" s="536" customFormat="1" ht="12" x14ac:dyDescent="0.2">
      <c r="A454" s="605"/>
      <c r="B454" s="552" t="s">
        <v>186</v>
      </c>
      <c r="C454" s="1822" t="s">
        <v>344</v>
      </c>
      <c r="D454" s="1822"/>
      <c r="E454" s="1822"/>
      <c r="F454" s="562"/>
      <c r="G454" s="562"/>
      <c r="H454" s="562"/>
      <c r="I454" s="562"/>
      <c r="J454" s="604">
        <v>47.29</v>
      </c>
      <c r="K454" s="562" t="s">
        <v>313</v>
      </c>
      <c r="L454" s="604">
        <v>59.11</v>
      </c>
      <c r="M454" s="562"/>
      <c r="N454" s="602"/>
      <c r="T454" s="674"/>
      <c r="U454" s="675"/>
      <c r="V454" s="675"/>
      <c r="Y454" s="537" t="s">
        <v>344</v>
      </c>
      <c r="AB454" s="675"/>
      <c r="AC454" s="675"/>
      <c r="AE454" s="675"/>
      <c r="AF454" s="680"/>
    </row>
    <row r="455" spans="1:32" s="536" customFormat="1" ht="12" x14ac:dyDescent="0.2">
      <c r="A455" s="605"/>
      <c r="B455" s="552" t="s">
        <v>187</v>
      </c>
      <c r="C455" s="1822" t="s">
        <v>345</v>
      </c>
      <c r="D455" s="1822"/>
      <c r="E455" s="1822"/>
      <c r="F455" s="562"/>
      <c r="G455" s="562"/>
      <c r="H455" s="562"/>
      <c r="I455" s="562"/>
      <c r="J455" s="604">
        <v>6.05</v>
      </c>
      <c r="K455" s="562" t="s">
        <v>313</v>
      </c>
      <c r="L455" s="604">
        <v>7.56</v>
      </c>
      <c r="M455" s="562"/>
      <c r="N455" s="602"/>
      <c r="T455" s="674"/>
      <c r="U455" s="675"/>
      <c r="V455" s="675"/>
      <c r="Y455" s="537" t="s">
        <v>345</v>
      </c>
      <c r="AB455" s="675"/>
      <c r="AC455" s="675"/>
      <c r="AE455" s="675"/>
      <c r="AF455" s="680"/>
    </row>
    <row r="456" spans="1:32" s="536" customFormat="1" ht="12" x14ac:dyDescent="0.2">
      <c r="A456" s="605"/>
      <c r="B456" s="552" t="s">
        <v>188</v>
      </c>
      <c r="C456" s="1822" t="s">
        <v>475</v>
      </c>
      <c r="D456" s="1822"/>
      <c r="E456" s="1822"/>
      <c r="F456" s="562"/>
      <c r="G456" s="562"/>
      <c r="H456" s="562"/>
      <c r="I456" s="562"/>
      <c r="J456" s="604">
        <v>24.16</v>
      </c>
      <c r="K456" s="562"/>
      <c r="L456" s="604">
        <v>24.16</v>
      </c>
      <c r="M456" s="562"/>
      <c r="N456" s="602"/>
      <c r="T456" s="674"/>
      <c r="U456" s="675"/>
      <c r="V456" s="675"/>
      <c r="Y456" s="537" t="s">
        <v>475</v>
      </c>
      <c r="AB456" s="675"/>
      <c r="AC456" s="675"/>
      <c r="AE456" s="675"/>
      <c r="AF456" s="680"/>
    </row>
    <row r="457" spans="1:32" s="536" customFormat="1" ht="22.5" x14ac:dyDescent="0.2">
      <c r="A457" s="676"/>
      <c r="B457" s="677" t="s">
        <v>4539</v>
      </c>
      <c r="C457" s="1829" t="s">
        <v>9076</v>
      </c>
      <c r="D457" s="1829"/>
      <c r="E457" s="1829"/>
      <c r="F457" s="678" t="s">
        <v>641</v>
      </c>
      <c r="G457" s="678" t="s">
        <v>728</v>
      </c>
      <c r="H457" s="678"/>
      <c r="I457" s="678" t="s">
        <v>728</v>
      </c>
      <c r="J457" s="552"/>
      <c r="K457" s="562"/>
      <c r="L457" s="604"/>
      <c r="M457" s="562"/>
      <c r="N457" s="679"/>
      <c r="T457" s="674"/>
      <c r="U457" s="675"/>
      <c r="V457" s="675"/>
      <c r="AB457" s="675"/>
      <c r="AC457" s="675"/>
      <c r="AE457" s="675"/>
      <c r="AF457" s="680" t="s">
        <v>9076</v>
      </c>
    </row>
    <row r="458" spans="1:32" s="536" customFormat="1" ht="12" x14ac:dyDescent="0.2">
      <c r="A458" s="676"/>
      <c r="B458" s="677" t="s">
        <v>9077</v>
      </c>
      <c r="C458" s="1829" t="s">
        <v>9078</v>
      </c>
      <c r="D458" s="1829"/>
      <c r="E458" s="1829"/>
      <c r="F458" s="678" t="s">
        <v>617</v>
      </c>
      <c r="G458" s="678" t="s">
        <v>185</v>
      </c>
      <c r="H458" s="678"/>
      <c r="I458" s="678" t="s">
        <v>185</v>
      </c>
      <c r="J458" s="552"/>
      <c r="K458" s="562"/>
      <c r="L458" s="604"/>
      <c r="M458" s="562"/>
      <c r="N458" s="679"/>
      <c r="T458" s="674"/>
      <c r="U458" s="675"/>
      <c r="V458" s="675"/>
      <c r="AB458" s="675"/>
      <c r="AC458" s="675"/>
      <c r="AE458" s="675"/>
      <c r="AF458" s="680" t="s">
        <v>9078</v>
      </c>
    </row>
    <row r="459" spans="1:32" s="536" customFormat="1" ht="12" x14ac:dyDescent="0.2">
      <c r="A459" s="676"/>
      <c r="B459" s="677" t="s">
        <v>9079</v>
      </c>
      <c r="C459" s="1829" t="s">
        <v>9080</v>
      </c>
      <c r="D459" s="1829"/>
      <c r="E459" s="1829"/>
      <c r="F459" s="678" t="s">
        <v>638</v>
      </c>
      <c r="G459" s="678" t="s">
        <v>185</v>
      </c>
      <c r="H459" s="678"/>
      <c r="I459" s="678" t="s">
        <v>185</v>
      </c>
      <c r="J459" s="552"/>
      <c r="K459" s="562"/>
      <c r="L459" s="604"/>
      <c r="M459" s="562"/>
      <c r="N459" s="679"/>
      <c r="T459" s="674"/>
      <c r="U459" s="675"/>
      <c r="V459" s="675"/>
      <c r="AB459" s="675"/>
      <c r="AC459" s="675"/>
      <c r="AE459" s="675"/>
      <c r="AF459" s="680" t="s">
        <v>9080</v>
      </c>
    </row>
    <row r="460" spans="1:32" s="536" customFormat="1" ht="12" x14ac:dyDescent="0.2">
      <c r="A460" s="605"/>
      <c r="B460" s="552"/>
      <c r="C460" s="1822" t="s">
        <v>314</v>
      </c>
      <c r="D460" s="1822"/>
      <c r="E460" s="1822"/>
      <c r="F460" s="562" t="s">
        <v>315</v>
      </c>
      <c r="G460" s="562" t="s">
        <v>2815</v>
      </c>
      <c r="H460" s="562" t="s">
        <v>313</v>
      </c>
      <c r="I460" s="562" t="s">
        <v>9081</v>
      </c>
      <c r="J460" s="604"/>
      <c r="K460" s="562"/>
      <c r="L460" s="604"/>
      <c r="M460" s="562"/>
      <c r="N460" s="602"/>
      <c r="T460" s="674"/>
      <c r="U460" s="675"/>
      <c r="V460" s="675"/>
      <c r="Z460" s="537" t="s">
        <v>314</v>
      </c>
      <c r="AB460" s="675"/>
      <c r="AC460" s="675"/>
      <c r="AE460" s="675"/>
      <c r="AF460" s="680"/>
    </row>
    <row r="461" spans="1:32" s="536" customFormat="1" ht="12" x14ac:dyDescent="0.2">
      <c r="A461" s="605"/>
      <c r="B461" s="552"/>
      <c r="C461" s="1822" t="s">
        <v>348</v>
      </c>
      <c r="D461" s="1822"/>
      <c r="E461" s="1822"/>
      <c r="F461" s="562" t="s">
        <v>315</v>
      </c>
      <c r="G461" s="562" t="s">
        <v>8731</v>
      </c>
      <c r="H461" s="562" t="s">
        <v>313</v>
      </c>
      <c r="I461" s="562" t="s">
        <v>823</v>
      </c>
      <c r="J461" s="604"/>
      <c r="K461" s="562"/>
      <c r="L461" s="604"/>
      <c r="M461" s="562"/>
      <c r="N461" s="602"/>
      <c r="T461" s="674"/>
      <c r="U461" s="675"/>
      <c r="V461" s="675"/>
      <c r="Z461" s="537" t="s">
        <v>348</v>
      </c>
      <c r="AB461" s="675"/>
      <c r="AC461" s="675"/>
      <c r="AE461" s="675"/>
      <c r="AF461" s="680"/>
    </row>
    <row r="462" spans="1:32" s="536" customFormat="1" ht="12" x14ac:dyDescent="0.2">
      <c r="A462" s="605"/>
      <c r="B462" s="552"/>
      <c r="C462" s="1828" t="s">
        <v>318</v>
      </c>
      <c r="D462" s="1828"/>
      <c r="E462" s="1828"/>
      <c r="F462" s="608"/>
      <c r="G462" s="608"/>
      <c r="H462" s="608"/>
      <c r="I462" s="608"/>
      <c r="J462" s="607">
        <v>85.93</v>
      </c>
      <c r="K462" s="608"/>
      <c r="L462" s="607">
        <v>101.37</v>
      </c>
      <c r="M462" s="608"/>
      <c r="N462" s="606"/>
      <c r="T462" s="674"/>
      <c r="U462" s="675"/>
      <c r="V462" s="675"/>
      <c r="AA462" s="537" t="s">
        <v>318</v>
      </c>
      <c r="AB462" s="675"/>
      <c r="AC462" s="675"/>
      <c r="AE462" s="675"/>
      <c r="AF462" s="680"/>
    </row>
    <row r="463" spans="1:32" s="536" customFormat="1" ht="12" x14ac:dyDescent="0.2">
      <c r="A463" s="605"/>
      <c r="B463" s="552"/>
      <c r="C463" s="1822" t="s">
        <v>319</v>
      </c>
      <c r="D463" s="1822"/>
      <c r="E463" s="1822"/>
      <c r="F463" s="562"/>
      <c r="G463" s="562"/>
      <c r="H463" s="562"/>
      <c r="I463" s="562"/>
      <c r="J463" s="604"/>
      <c r="K463" s="562"/>
      <c r="L463" s="604">
        <v>25.66</v>
      </c>
      <c r="M463" s="562"/>
      <c r="N463" s="602"/>
      <c r="T463" s="674"/>
      <c r="U463" s="675"/>
      <c r="V463" s="675"/>
      <c r="Z463" s="537" t="s">
        <v>319</v>
      </c>
      <c r="AB463" s="675"/>
      <c r="AC463" s="675"/>
      <c r="AE463" s="675"/>
      <c r="AF463" s="680"/>
    </row>
    <row r="464" spans="1:32" s="536" customFormat="1" ht="33.75" x14ac:dyDescent="0.2">
      <c r="A464" s="605"/>
      <c r="B464" s="552" t="s">
        <v>533</v>
      </c>
      <c r="C464" s="1822" t="s">
        <v>534</v>
      </c>
      <c r="D464" s="1822"/>
      <c r="E464" s="1822"/>
      <c r="F464" s="562" t="s">
        <v>322</v>
      </c>
      <c r="G464" s="562" t="s">
        <v>535</v>
      </c>
      <c r="H464" s="562"/>
      <c r="I464" s="562" t="s">
        <v>535</v>
      </c>
      <c r="J464" s="604"/>
      <c r="K464" s="562"/>
      <c r="L464" s="604">
        <v>30.02</v>
      </c>
      <c r="M464" s="562"/>
      <c r="N464" s="602"/>
      <c r="T464" s="674"/>
      <c r="U464" s="675"/>
      <c r="V464" s="675"/>
      <c r="Z464" s="537" t="s">
        <v>534</v>
      </c>
      <c r="AB464" s="675"/>
      <c r="AC464" s="675"/>
      <c r="AE464" s="675"/>
      <c r="AF464" s="680"/>
    </row>
    <row r="465" spans="1:32" s="536" customFormat="1" ht="33.75" x14ac:dyDescent="0.2">
      <c r="A465" s="605"/>
      <c r="B465" s="552" t="s">
        <v>536</v>
      </c>
      <c r="C465" s="1822" t="s">
        <v>537</v>
      </c>
      <c r="D465" s="1822"/>
      <c r="E465" s="1822"/>
      <c r="F465" s="562" t="s">
        <v>322</v>
      </c>
      <c r="G465" s="562" t="s">
        <v>538</v>
      </c>
      <c r="H465" s="562"/>
      <c r="I465" s="562" t="s">
        <v>538</v>
      </c>
      <c r="J465" s="604"/>
      <c r="K465" s="562"/>
      <c r="L465" s="604">
        <v>18.989999999999998</v>
      </c>
      <c r="M465" s="562"/>
      <c r="N465" s="602"/>
      <c r="T465" s="674"/>
      <c r="U465" s="675"/>
      <c r="V465" s="675"/>
      <c r="Z465" s="537" t="s">
        <v>537</v>
      </c>
      <c r="AB465" s="675"/>
      <c r="AC465" s="675"/>
      <c r="AE465" s="675"/>
      <c r="AF465" s="680"/>
    </row>
    <row r="466" spans="1:32" s="536" customFormat="1" ht="12" x14ac:dyDescent="0.2">
      <c r="A466" s="569"/>
      <c r="B466" s="683"/>
      <c r="C466" s="1823" t="s">
        <v>327</v>
      </c>
      <c r="D466" s="1823"/>
      <c r="E466" s="1823"/>
      <c r="F466" s="573"/>
      <c r="G466" s="573"/>
      <c r="H466" s="573"/>
      <c r="I466" s="573"/>
      <c r="J466" s="572"/>
      <c r="K466" s="573"/>
      <c r="L466" s="572">
        <v>150.38</v>
      </c>
      <c r="M466" s="608"/>
      <c r="N466" s="570"/>
      <c r="T466" s="674"/>
      <c r="U466" s="675"/>
      <c r="V466" s="675"/>
      <c r="AB466" s="675" t="s">
        <v>327</v>
      </c>
      <c r="AC466" s="675"/>
      <c r="AE466" s="675"/>
      <c r="AF466" s="680"/>
    </row>
    <row r="467" spans="1:32" s="536" customFormat="1" ht="90" x14ac:dyDescent="0.2">
      <c r="A467" s="575" t="s">
        <v>326</v>
      </c>
      <c r="B467" s="684" t="s">
        <v>9082</v>
      </c>
      <c r="C467" s="1823" t="s">
        <v>9083</v>
      </c>
      <c r="D467" s="1823"/>
      <c r="E467" s="1823"/>
      <c r="F467" s="573" t="s">
        <v>694</v>
      </c>
      <c r="G467" s="573"/>
      <c r="H467" s="573"/>
      <c r="I467" s="573" t="s">
        <v>9084</v>
      </c>
      <c r="J467" s="572">
        <v>10045</v>
      </c>
      <c r="K467" s="573"/>
      <c r="L467" s="572">
        <v>713.2</v>
      </c>
      <c r="M467" s="573"/>
      <c r="N467" s="570"/>
      <c r="T467" s="674"/>
      <c r="U467" s="675"/>
      <c r="V467" s="675" t="s">
        <v>9083</v>
      </c>
      <c r="AB467" s="675"/>
      <c r="AC467" s="675"/>
      <c r="AE467" s="675"/>
      <c r="AF467" s="680"/>
    </row>
    <row r="468" spans="1:32" s="536" customFormat="1" ht="12" x14ac:dyDescent="0.2">
      <c r="A468" s="569"/>
      <c r="B468" s="683"/>
      <c r="C468" s="689" t="s">
        <v>717</v>
      </c>
      <c r="D468" s="690"/>
      <c r="E468" s="690"/>
      <c r="F468" s="563"/>
      <c r="G468" s="563"/>
      <c r="H468" s="563"/>
      <c r="I468" s="563"/>
      <c r="J468" s="566"/>
      <c r="K468" s="563"/>
      <c r="L468" s="566"/>
      <c r="M468" s="565"/>
      <c r="N468" s="564"/>
      <c r="T468" s="674"/>
      <c r="U468" s="675"/>
      <c r="V468" s="675"/>
      <c r="AB468" s="675"/>
      <c r="AC468" s="675"/>
      <c r="AE468" s="675"/>
      <c r="AF468" s="680"/>
    </row>
    <row r="469" spans="1:32" s="536" customFormat="1" ht="12" x14ac:dyDescent="0.2">
      <c r="A469" s="676"/>
      <c r="B469" s="682"/>
      <c r="C469" s="1822" t="s">
        <v>9085</v>
      </c>
      <c r="D469" s="1822"/>
      <c r="E469" s="1822"/>
      <c r="F469" s="1822"/>
      <c r="G469" s="1822"/>
      <c r="H469" s="1822"/>
      <c r="I469" s="1822"/>
      <c r="J469" s="1822"/>
      <c r="K469" s="1822"/>
      <c r="L469" s="1822"/>
      <c r="M469" s="1822"/>
      <c r="N469" s="1827"/>
      <c r="T469" s="674"/>
      <c r="U469" s="675"/>
      <c r="V469" s="675"/>
      <c r="W469" s="537" t="s">
        <v>9085</v>
      </c>
      <c r="AB469" s="675"/>
      <c r="AC469" s="675"/>
      <c r="AE469" s="675"/>
      <c r="AF469" s="680"/>
    </row>
    <row r="470" spans="1:32" s="536" customFormat="1" ht="67.5" x14ac:dyDescent="0.2">
      <c r="A470" s="575" t="s">
        <v>774</v>
      </c>
      <c r="B470" s="684" t="s">
        <v>9086</v>
      </c>
      <c r="C470" s="1823" t="s">
        <v>9087</v>
      </c>
      <c r="D470" s="1823"/>
      <c r="E470" s="1823"/>
      <c r="F470" s="573" t="s">
        <v>483</v>
      </c>
      <c r="G470" s="573"/>
      <c r="H470" s="573"/>
      <c r="I470" s="573" t="s">
        <v>186</v>
      </c>
      <c r="J470" s="572">
        <v>37.58</v>
      </c>
      <c r="K470" s="573"/>
      <c r="L470" s="572">
        <v>75.16</v>
      </c>
      <c r="M470" s="573"/>
      <c r="N470" s="570"/>
      <c r="T470" s="674"/>
      <c r="U470" s="675"/>
      <c r="V470" s="675" t="s">
        <v>9087</v>
      </c>
      <c r="AB470" s="675"/>
      <c r="AC470" s="675"/>
      <c r="AE470" s="675"/>
      <c r="AF470" s="680"/>
    </row>
    <row r="471" spans="1:32" s="536" customFormat="1" ht="12" x14ac:dyDescent="0.2">
      <c r="A471" s="569"/>
      <c r="B471" s="683"/>
      <c r="C471" s="689" t="s">
        <v>717</v>
      </c>
      <c r="D471" s="690"/>
      <c r="E471" s="690"/>
      <c r="F471" s="563"/>
      <c r="G471" s="563"/>
      <c r="H471" s="563"/>
      <c r="I471" s="563"/>
      <c r="J471" s="566"/>
      <c r="K471" s="563"/>
      <c r="L471" s="566"/>
      <c r="M471" s="565"/>
      <c r="N471" s="564"/>
      <c r="T471" s="674"/>
      <c r="U471" s="675"/>
      <c r="V471" s="675"/>
      <c r="AB471" s="675"/>
      <c r="AC471" s="675"/>
      <c r="AE471" s="675"/>
      <c r="AF471" s="680"/>
    </row>
    <row r="472" spans="1:32" s="536" customFormat="1" ht="22.5" x14ac:dyDescent="0.2">
      <c r="A472" s="575" t="s">
        <v>775</v>
      </c>
      <c r="B472" s="684" t="s">
        <v>9088</v>
      </c>
      <c r="C472" s="1823" t="s">
        <v>9089</v>
      </c>
      <c r="D472" s="1823"/>
      <c r="E472" s="1823"/>
      <c r="F472" s="573" t="s">
        <v>509</v>
      </c>
      <c r="G472" s="573"/>
      <c r="H472" s="573"/>
      <c r="I472" s="573" t="s">
        <v>9090</v>
      </c>
      <c r="J472" s="572"/>
      <c r="K472" s="573"/>
      <c r="L472" s="572"/>
      <c r="M472" s="573"/>
      <c r="N472" s="570"/>
      <c r="T472" s="674"/>
      <c r="U472" s="675"/>
      <c r="V472" s="675" t="s">
        <v>9089</v>
      </c>
      <c r="AB472" s="675"/>
      <c r="AC472" s="675"/>
      <c r="AE472" s="675"/>
      <c r="AF472" s="680"/>
    </row>
    <row r="473" spans="1:32" s="536" customFormat="1" ht="12" x14ac:dyDescent="0.2">
      <c r="A473" s="605"/>
      <c r="B473" s="552" t="s">
        <v>185</v>
      </c>
      <c r="C473" s="1822" t="s">
        <v>312</v>
      </c>
      <c r="D473" s="1822"/>
      <c r="E473" s="1822"/>
      <c r="F473" s="562"/>
      <c r="G473" s="562"/>
      <c r="H473" s="562"/>
      <c r="I473" s="562"/>
      <c r="J473" s="604">
        <v>1567.8</v>
      </c>
      <c r="K473" s="562"/>
      <c r="L473" s="604">
        <v>1.6</v>
      </c>
      <c r="M473" s="562"/>
      <c r="N473" s="602"/>
      <c r="T473" s="674"/>
      <c r="U473" s="675"/>
      <c r="V473" s="675"/>
      <c r="Y473" s="537" t="s">
        <v>312</v>
      </c>
      <c r="AB473" s="675"/>
      <c r="AC473" s="675"/>
      <c r="AE473" s="675"/>
      <c r="AF473" s="680"/>
    </row>
    <row r="474" spans="1:32" s="536" customFormat="1" ht="12" x14ac:dyDescent="0.2">
      <c r="A474" s="605"/>
      <c r="B474" s="552" t="s">
        <v>186</v>
      </c>
      <c r="C474" s="1822" t="s">
        <v>344</v>
      </c>
      <c r="D474" s="1822"/>
      <c r="E474" s="1822"/>
      <c r="F474" s="562"/>
      <c r="G474" s="562"/>
      <c r="H474" s="562"/>
      <c r="I474" s="562"/>
      <c r="J474" s="604">
        <v>1818.56</v>
      </c>
      <c r="K474" s="562"/>
      <c r="L474" s="604">
        <v>1.85</v>
      </c>
      <c r="M474" s="562"/>
      <c r="N474" s="602"/>
      <c r="T474" s="674"/>
      <c r="U474" s="675"/>
      <c r="V474" s="675"/>
      <c r="Y474" s="537" t="s">
        <v>344</v>
      </c>
      <c r="AB474" s="675"/>
      <c r="AC474" s="675"/>
      <c r="AE474" s="675"/>
      <c r="AF474" s="680"/>
    </row>
    <row r="475" spans="1:32" s="536" customFormat="1" ht="12" x14ac:dyDescent="0.2">
      <c r="A475" s="605"/>
      <c r="B475" s="552" t="s">
        <v>187</v>
      </c>
      <c r="C475" s="1822" t="s">
        <v>345</v>
      </c>
      <c r="D475" s="1822"/>
      <c r="E475" s="1822"/>
      <c r="F475" s="562"/>
      <c r="G475" s="562"/>
      <c r="H475" s="562"/>
      <c r="I475" s="562"/>
      <c r="J475" s="604">
        <v>458.64</v>
      </c>
      <c r="K475" s="562"/>
      <c r="L475" s="604">
        <v>0.47</v>
      </c>
      <c r="M475" s="562"/>
      <c r="N475" s="602"/>
      <c r="T475" s="674"/>
      <c r="U475" s="675"/>
      <c r="V475" s="675"/>
      <c r="Y475" s="537" t="s">
        <v>345</v>
      </c>
      <c r="AB475" s="675"/>
      <c r="AC475" s="675"/>
      <c r="AE475" s="675"/>
      <c r="AF475" s="680"/>
    </row>
    <row r="476" spans="1:32" s="536" customFormat="1" ht="12" x14ac:dyDescent="0.2">
      <c r="A476" s="605"/>
      <c r="B476" s="552" t="s">
        <v>188</v>
      </c>
      <c r="C476" s="1822" t="s">
        <v>475</v>
      </c>
      <c r="D476" s="1822"/>
      <c r="E476" s="1822"/>
      <c r="F476" s="562"/>
      <c r="G476" s="562"/>
      <c r="H476" s="562"/>
      <c r="I476" s="562"/>
      <c r="J476" s="604">
        <v>14175.6</v>
      </c>
      <c r="K476" s="562"/>
      <c r="L476" s="604">
        <v>14.46</v>
      </c>
      <c r="M476" s="562"/>
      <c r="N476" s="602"/>
      <c r="T476" s="674"/>
      <c r="U476" s="675"/>
      <c r="V476" s="675"/>
      <c r="Y476" s="537" t="s">
        <v>475</v>
      </c>
      <c r="AB476" s="675"/>
      <c r="AC476" s="675"/>
      <c r="AE476" s="675"/>
      <c r="AF476" s="680"/>
    </row>
    <row r="477" spans="1:32" s="536" customFormat="1" ht="22.5" x14ac:dyDescent="0.2">
      <c r="A477" s="676"/>
      <c r="B477" s="677" t="s">
        <v>1090</v>
      </c>
      <c r="C477" s="1829" t="s">
        <v>1091</v>
      </c>
      <c r="D477" s="1829"/>
      <c r="E477" s="1829"/>
      <c r="F477" s="678" t="s">
        <v>641</v>
      </c>
      <c r="G477" s="678" t="s">
        <v>3039</v>
      </c>
      <c r="H477" s="678"/>
      <c r="I477" s="678" t="s">
        <v>9091</v>
      </c>
      <c r="J477" s="552"/>
      <c r="K477" s="562"/>
      <c r="L477" s="604"/>
      <c r="M477" s="562"/>
      <c r="N477" s="679"/>
      <c r="T477" s="674"/>
      <c r="U477" s="675"/>
      <c r="V477" s="675"/>
      <c r="AB477" s="675"/>
      <c r="AC477" s="675"/>
      <c r="AE477" s="675"/>
      <c r="AF477" s="680" t="s">
        <v>1091</v>
      </c>
    </row>
    <row r="478" spans="1:32" s="536" customFormat="1" ht="12" x14ac:dyDescent="0.2">
      <c r="A478" s="605"/>
      <c r="B478" s="552"/>
      <c r="C478" s="1822" t="s">
        <v>314</v>
      </c>
      <c r="D478" s="1822"/>
      <c r="E478" s="1822"/>
      <c r="F478" s="562" t="s">
        <v>315</v>
      </c>
      <c r="G478" s="562" t="s">
        <v>9092</v>
      </c>
      <c r="H478" s="562"/>
      <c r="I478" s="562" t="s">
        <v>9093</v>
      </c>
      <c r="J478" s="604"/>
      <c r="K478" s="562"/>
      <c r="L478" s="604"/>
      <c r="M478" s="562"/>
      <c r="N478" s="602"/>
      <c r="T478" s="674"/>
      <c r="U478" s="675"/>
      <c r="V478" s="675"/>
      <c r="Z478" s="537" t="s">
        <v>314</v>
      </c>
      <c r="AB478" s="675"/>
      <c r="AC478" s="675"/>
      <c r="AE478" s="675"/>
      <c r="AF478" s="680"/>
    </row>
    <row r="479" spans="1:32" s="536" customFormat="1" ht="12" x14ac:dyDescent="0.2">
      <c r="A479" s="605"/>
      <c r="B479" s="552"/>
      <c r="C479" s="1822" t="s">
        <v>348</v>
      </c>
      <c r="D479" s="1822"/>
      <c r="E479" s="1822"/>
      <c r="F479" s="562" t="s">
        <v>315</v>
      </c>
      <c r="G479" s="562" t="s">
        <v>9094</v>
      </c>
      <c r="H479" s="562"/>
      <c r="I479" s="562" t="s">
        <v>9095</v>
      </c>
      <c r="J479" s="604"/>
      <c r="K479" s="562"/>
      <c r="L479" s="604"/>
      <c r="M479" s="562"/>
      <c r="N479" s="602"/>
      <c r="T479" s="674"/>
      <c r="U479" s="675"/>
      <c r="V479" s="675"/>
      <c r="Z479" s="537" t="s">
        <v>348</v>
      </c>
      <c r="AB479" s="675"/>
      <c r="AC479" s="675"/>
      <c r="AE479" s="675"/>
      <c r="AF479" s="680"/>
    </row>
    <row r="480" spans="1:32" s="536" customFormat="1" ht="12" x14ac:dyDescent="0.2">
      <c r="A480" s="605"/>
      <c r="B480" s="552"/>
      <c r="C480" s="1828" t="s">
        <v>318</v>
      </c>
      <c r="D480" s="1828"/>
      <c r="E480" s="1828"/>
      <c r="F480" s="608"/>
      <c r="G480" s="608"/>
      <c r="H480" s="608"/>
      <c r="I480" s="608"/>
      <c r="J480" s="607">
        <v>17561.96</v>
      </c>
      <c r="K480" s="608"/>
      <c r="L480" s="607">
        <v>17.91</v>
      </c>
      <c r="M480" s="608"/>
      <c r="N480" s="606"/>
      <c r="T480" s="674"/>
      <c r="U480" s="675"/>
      <c r="V480" s="675"/>
      <c r="AA480" s="537" t="s">
        <v>318</v>
      </c>
      <c r="AB480" s="675"/>
      <c r="AC480" s="675"/>
      <c r="AE480" s="675"/>
      <c r="AF480" s="680"/>
    </row>
    <row r="481" spans="1:32" s="536" customFormat="1" ht="12" x14ac:dyDescent="0.2">
      <c r="A481" s="605"/>
      <c r="B481" s="552"/>
      <c r="C481" s="1822" t="s">
        <v>319</v>
      </c>
      <c r="D481" s="1822"/>
      <c r="E481" s="1822"/>
      <c r="F481" s="562"/>
      <c r="G481" s="562"/>
      <c r="H481" s="562"/>
      <c r="I481" s="562"/>
      <c r="J481" s="604"/>
      <c r="K481" s="562"/>
      <c r="L481" s="604">
        <v>2.0699999999999998</v>
      </c>
      <c r="M481" s="562"/>
      <c r="N481" s="602"/>
      <c r="T481" s="674"/>
      <c r="U481" s="675"/>
      <c r="V481" s="675"/>
      <c r="Z481" s="537" t="s">
        <v>319</v>
      </c>
      <c r="AB481" s="675"/>
      <c r="AC481" s="675"/>
      <c r="AE481" s="675"/>
      <c r="AF481" s="680"/>
    </row>
    <row r="482" spans="1:32" s="536" customFormat="1" ht="45" x14ac:dyDescent="0.2">
      <c r="A482" s="605"/>
      <c r="B482" s="552" t="s">
        <v>9096</v>
      </c>
      <c r="C482" s="1822" t="s">
        <v>9097</v>
      </c>
      <c r="D482" s="1822"/>
      <c r="E482" s="1822"/>
      <c r="F482" s="562" t="s">
        <v>322</v>
      </c>
      <c r="G482" s="562" t="s">
        <v>817</v>
      </c>
      <c r="H482" s="562"/>
      <c r="I482" s="562" t="s">
        <v>817</v>
      </c>
      <c r="J482" s="604"/>
      <c r="K482" s="562"/>
      <c r="L482" s="604">
        <v>1.51</v>
      </c>
      <c r="M482" s="562"/>
      <c r="N482" s="602"/>
      <c r="T482" s="674"/>
      <c r="U482" s="675"/>
      <c r="V482" s="675"/>
      <c r="Z482" s="537" t="s">
        <v>9097</v>
      </c>
      <c r="AB482" s="675"/>
      <c r="AC482" s="675"/>
      <c r="AE482" s="675"/>
      <c r="AF482" s="680"/>
    </row>
    <row r="483" spans="1:32" s="536" customFormat="1" ht="45" x14ac:dyDescent="0.2">
      <c r="A483" s="605"/>
      <c r="B483" s="552" t="s">
        <v>9098</v>
      </c>
      <c r="C483" s="1822" t="s">
        <v>9099</v>
      </c>
      <c r="D483" s="1822"/>
      <c r="E483" s="1822"/>
      <c r="F483" s="562" t="s">
        <v>322</v>
      </c>
      <c r="G483" s="562" t="s">
        <v>767</v>
      </c>
      <c r="H483" s="562"/>
      <c r="I483" s="562" t="s">
        <v>767</v>
      </c>
      <c r="J483" s="604"/>
      <c r="K483" s="562"/>
      <c r="L483" s="604">
        <v>0.7</v>
      </c>
      <c r="M483" s="562"/>
      <c r="N483" s="602"/>
      <c r="T483" s="674"/>
      <c r="U483" s="675"/>
      <c r="V483" s="675"/>
      <c r="Z483" s="537" t="s">
        <v>9099</v>
      </c>
      <c r="AB483" s="675"/>
      <c r="AC483" s="675"/>
      <c r="AE483" s="675"/>
      <c r="AF483" s="680"/>
    </row>
    <row r="484" spans="1:32" s="536" customFormat="1" ht="12" x14ac:dyDescent="0.2">
      <c r="A484" s="569"/>
      <c r="B484" s="683"/>
      <c r="C484" s="1823" t="s">
        <v>327</v>
      </c>
      <c r="D484" s="1823"/>
      <c r="E484" s="1823"/>
      <c r="F484" s="573"/>
      <c r="G484" s="573"/>
      <c r="H484" s="573"/>
      <c r="I484" s="573"/>
      <c r="J484" s="572"/>
      <c r="K484" s="573"/>
      <c r="L484" s="572">
        <v>20.12</v>
      </c>
      <c r="M484" s="608"/>
      <c r="N484" s="570"/>
      <c r="T484" s="674"/>
      <c r="U484" s="675"/>
      <c r="V484" s="675"/>
      <c r="AB484" s="675" t="s">
        <v>327</v>
      </c>
      <c r="AC484" s="675"/>
      <c r="AE484" s="675"/>
      <c r="AF484" s="680"/>
    </row>
    <row r="485" spans="1:32" s="536" customFormat="1" ht="22.5" x14ac:dyDescent="0.2">
      <c r="A485" s="575" t="s">
        <v>776</v>
      </c>
      <c r="B485" s="684" t="s">
        <v>1368</v>
      </c>
      <c r="C485" s="1823" t="s">
        <v>9100</v>
      </c>
      <c r="D485" s="1823"/>
      <c r="E485" s="1823"/>
      <c r="F485" s="573" t="s">
        <v>509</v>
      </c>
      <c r="G485" s="573"/>
      <c r="H485" s="573"/>
      <c r="I485" s="573" t="s">
        <v>9101</v>
      </c>
      <c r="J485" s="572"/>
      <c r="K485" s="573"/>
      <c r="L485" s="572"/>
      <c r="M485" s="573"/>
      <c r="N485" s="570"/>
      <c r="T485" s="674"/>
      <c r="U485" s="675"/>
      <c r="V485" s="675" t="s">
        <v>9100</v>
      </c>
      <c r="AB485" s="675"/>
      <c r="AC485" s="675"/>
      <c r="AE485" s="675"/>
      <c r="AF485" s="680"/>
    </row>
    <row r="486" spans="1:32" s="536" customFormat="1" ht="12" x14ac:dyDescent="0.2">
      <c r="A486" s="676"/>
      <c r="B486" s="682"/>
      <c r="C486" s="1822" t="s">
        <v>9102</v>
      </c>
      <c r="D486" s="1822"/>
      <c r="E486" s="1822"/>
      <c r="F486" s="1822"/>
      <c r="G486" s="1822"/>
      <c r="H486" s="1822"/>
      <c r="I486" s="1822"/>
      <c r="J486" s="1822"/>
      <c r="K486" s="1822"/>
      <c r="L486" s="1822"/>
      <c r="M486" s="1822"/>
      <c r="N486" s="1827"/>
      <c r="T486" s="674"/>
      <c r="U486" s="675"/>
      <c r="V486" s="675"/>
      <c r="W486" s="537" t="s">
        <v>9102</v>
      </c>
      <c r="AB486" s="675"/>
      <c r="AC486" s="675"/>
      <c r="AE486" s="675"/>
      <c r="AF486" s="680"/>
    </row>
    <row r="487" spans="1:32" s="536" customFormat="1" ht="33.75" x14ac:dyDescent="0.2">
      <c r="A487" s="609"/>
      <c r="B487" s="552" t="s">
        <v>310</v>
      </c>
      <c r="C487" s="1822" t="s">
        <v>311</v>
      </c>
      <c r="D487" s="1822"/>
      <c r="E487" s="1822"/>
      <c r="F487" s="1822"/>
      <c r="G487" s="1822"/>
      <c r="H487" s="1822"/>
      <c r="I487" s="1822"/>
      <c r="J487" s="1822"/>
      <c r="K487" s="1822"/>
      <c r="L487" s="1822"/>
      <c r="M487" s="1822"/>
      <c r="N487" s="1827"/>
      <c r="T487" s="674"/>
      <c r="U487" s="675"/>
      <c r="V487" s="675"/>
      <c r="X487" s="537" t="s">
        <v>311</v>
      </c>
      <c r="AB487" s="675"/>
      <c r="AC487" s="675"/>
      <c r="AE487" s="675"/>
      <c r="AF487" s="680"/>
    </row>
    <row r="488" spans="1:32" s="536" customFormat="1" ht="12" x14ac:dyDescent="0.2">
      <c r="A488" s="605"/>
      <c r="B488" s="552" t="s">
        <v>185</v>
      </c>
      <c r="C488" s="1822" t="s">
        <v>312</v>
      </c>
      <c r="D488" s="1822"/>
      <c r="E488" s="1822"/>
      <c r="F488" s="562"/>
      <c r="G488" s="562"/>
      <c r="H488" s="562"/>
      <c r="I488" s="562"/>
      <c r="J488" s="604">
        <v>1053</v>
      </c>
      <c r="K488" s="562" t="s">
        <v>313</v>
      </c>
      <c r="L488" s="604">
        <v>0.01</v>
      </c>
      <c r="M488" s="562"/>
      <c r="N488" s="602"/>
      <c r="T488" s="674"/>
      <c r="U488" s="675"/>
      <c r="V488" s="675"/>
      <c r="Y488" s="537" t="s">
        <v>312</v>
      </c>
      <c r="AB488" s="675"/>
      <c r="AC488" s="675"/>
      <c r="AE488" s="675"/>
      <c r="AF488" s="680"/>
    </row>
    <row r="489" spans="1:32" s="536" customFormat="1" ht="12" x14ac:dyDescent="0.2">
      <c r="A489" s="605"/>
      <c r="B489" s="552" t="s">
        <v>186</v>
      </c>
      <c r="C489" s="1822" t="s">
        <v>344</v>
      </c>
      <c r="D489" s="1822"/>
      <c r="E489" s="1822"/>
      <c r="F489" s="562"/>
      <c r="G489" s="562"/>
      <c r="H489" s="562"/>
      <c r="I489" s="562"/>
      <c r="J489" s="604">
        <v>1566.06</v>
      </c>
      <c r="K489" s="562" t="s">
        <v>313</v>
      </c>
      <c r="L489" s="604">
        <v>0.02</v>
      </c>
      <c r="M489" s="562"/>
      <c r="N489" s="602"/>
      <c r="T489" s="674"/>
      <c r="U489" s="675"/>
      <c r="V489" s="675"/>
      <c r="Y489" s="537" t="s">
        <v>344</v>
      </c>
      <c r="AB489" s="675"/>
      <c r="AC489" s="675"/>
      <c r="AE489" s="675"/>
      <c r="AF489" s="680"/>
    </row>
    <row r="490" spans="1:32" s="536" customFormat="1" ht="12" x14ac:dyDescent="0.2">
      <c r="A490" s="605"/>
      <c r="B490" s="552" t="s">
        <v>187</v>
      </c>
      <c r="C490" s="1822" t="s">
        <v>345</v>
      </c>
      <c r="D490" s="1822"/>
      <c r="E490" s="1822"/>
      <c r="F490" s="562"/>
      <c r="G490" s="562"/>
      <c r="H490" s="562"/>
      <c r="I490" s="562"/>
      <c r="J490" s="604">
        <v>244.39</v>
      </c>
      <c r="K490" s="562" t="s">
        <v>313</v>
      </c>
      <c r="L490" s="604">
        <v>0</v>
      </c>
      <c r="M490" s="562"/>
      <c r="N490" s="602"/>
      <c r="T490" s="674"/>
      <c r="U490" s="675"/>
      <c r="V490" s="675"/>
      <c r="Y490" s="537" t="s">
        <v>345</v>
      </c>
      <c r="AB490" s="675"/>
      <c r="AC490" s="675"/>
      <c r="AE490" s="675"/>
      <c r="AF490" s="680"/>
    </row>
    <row r="491" spans="1:32" s="536" customFormat="1" ht="12" x14ac:dyDescent="0.2">
      <c r="A491" s="605"/>
      <c r="B491" s="552" t="s">
        <v>188</v>
      </c>
      <c r="C491" s="1822" t="s">
        <v>475</v>
      </c>
      <c r="D491" s="1822"/>
      <c r="E491" s="1822"/>
      <c r="F491" s="562"/>
      <c r="G491" s="562"/>
      <c r="H491" s="562"/>
      <c r="I491" s="562"/>
      <c r="J491" s="604">
        <v>909.27</v>
      </c>
      <c r="K491" s="562"/>
      <c r="L491" s="604">
        <v>0.01</v>
      </c>
      <c r="M491" s="562"/>
      <c r="N491" s="602"/>
      <c r="T491" s="674"/>
      <c r="U491" s="675"/>
      <c r="V491" s="675"/>
      <c r="Y491" s="537" t="s">
        <v>475</v>
      </c>
      <c r="AB491" s="675"/>
      <c r="AC491" s="675"/>
      <c r="AE491" s="675"/>
      <c r="AF491" s="680"/>
    </row>
    <row r="492" spans="1:32" s="536" customFormat="1" ht="12" x14ac:dyDescent="0.2">
      <c r="A492" s="676"/>
      <c r="B492" s="677" t="s">
        <v>639</v>
      </c>
      <c r="C492" s="1829" t="s">
        <v>640</v>
      </c>
      <c r="D492" s="1829"/>
      <c r="E492" s="1829"/>
      <c r="F492" s="678" t="s">
        <v>641</v>
      </c>
      <c r="G492" s="678" t="s">
        <v>680</v>
      </c>
      <c r="H492" s="678"/>
      <c r="I492" s="678" t="s">
        <v>9090</v>
      </c>
      <c r="J492" s="552"/>
      <c r="K492" s="562"/>
      <c r="L492" s="604"/>
      <c r="M492" s="562"/>
      <c r="N492" s="679"/>
      <c r="T492" s="674"/>
      <c r="U492" s="675"/>
      <c r="V492" s="675"/>
      <c r="AB492" s="675"/>
      <c r="AC492" s="675"/>
      <c r="AE492" s="675"/>
      <c r="AF492" s="680" t="s">
        <v>640</v>
      </c>
    </row>
    <row r="493" spans="1:32" s="536" customFormat="1" ht="12" x14ac:dyDescent="0.2">
      <c r="A493" s="605"/>
      <c r="B493" s="552"/>
      <c r="C493" s="1822" t="s">
        <v>314</v>
      </c>
      <c r="D493" s="1822"/>
      <c r="E493" s="1822"/>
      <c r="F493" s="562" t="s">
        <v>315</v>
      </c>
      <c r="G493" s="562" t="s">
        <v>1373</v>
      </c>
      <c r="H493" s="562" t="s">
        <v>313</v>
      </c>
      <c r="I493" s="562" t="s">
        <v>9103</v>
      </c>
      <c r="J493" s="604"/>
      <c r="K493" s="562"/>
      <c r="L493" s="604"/>
      <c r="M493" s="562"/>
      <c r="N493" s="602"/>
      <c r="T493" s="674"/>
      <c r="U493" s="675"/>
      <c r="V493" s="675"/>
      <c r="Z493" s="537" t="s">
        <v>314</v>
      </c>
      <c r="AB493" s="675"/>
      <c r="AC493" s="675"/>
      <c r="AE493" s="675"/>
      <c r="AF493" s="680"/>
    </row>
    <row r="494" spans="1:32" s="536" customFormat="1" ht="12" x14ac:dyDescent="0.2">
      <c r="A494" s="605"/>
      <c r="B494" s="552"/>
      <c r="C494" s="1822" t="s">
        <v>348</v>
      </c>
      <c r="D494" s="1822"/>
      <c r="E494" s="1822"/>
      <c r="F494" s="562" t="s">
        <v>315</v>
      </c>
      <c r="G494" s="562" t="s">
        <v>1375</v>
      </c>
      <c r="H494" s="562" t="s">
        <v>313</v>
      </c>
      <c r="I494" s="562" t="s">
        <v>9104</v>
      </c>
      <c r="J494" s="604"/>
      <c r="K494" s="562"/>
      <c r="L494" s="604"/>
      <c r="M494" s="562"/>
      <c r="N494" s="602"/>
      <c r="T494" s="674"/>
      <c r="U494" s="675"/>
      <c r="V494" s="675"/>
      <c r="Z494" s="537" t="s">
        <v>348</v>
      </c>
      <c r="AB494" s="675"/>
      <c r="AC494" s="675"/>
      <c r="AE494" s="675"/>
      <c r="AF494" s="680"/>
    </row>
    <row r="495" spans="1:32" s="536" customFormat="1" ht="12" x14ac:dyDescent="0.2">
      <c r="A495" s="605"/>
      <c r="B495" s="552"/>
      <c r="C495" s="1828" t="s">
        <v>318</v>
      </c>
      <c r="D495" s="1828"/>
      <c r="E495" s="1828"/>
      <c r="F495" s="608"/>
      <c r="G495" s="608"/>
      <c r="H495" s="608"/>
      <c r="I495" s="608"/>
      <c r="J495" s="607">
        <v>3528.33</v>
      </c>
      <c r="K495" s="608"/>
      <c r="L495" s="607">
        <v>0.04</v>
      </c>
      <c r="M495" s="608"/>
      <c r="N495" s="606"/>
      <c r="T495" s="674"/>
      <c r="U495" s="675"/>
      <c r="V495" s="675"/>
      <c r="AA495" s="537" t="s">
        <v>318</v>
      </c>
      <c r="AB495" s="675"/>
      <c r="AC495" s="675"/>
      <c r="AE495" s="675"/>
      <c r="AF495" s="680"/>
    </row>
    <row r="496" spans="1:32" s="536" customFormat="1" ht="12" x14ac:dyDescent="0.2">
      <c r="A496" s="605"/>
      <c r="B496" s="552"/>
      <c r="C496" s="1822" t="s">
        <v>319</v>
      </c>
      <c r="D496" s="1822"/>
      <c r="E496" s="1822"/>
      <c r="F496" s="562"/>
      <c r="G496" s="562"/>
      <c r="H496" s="562"/>
      <c r="I496" s="562"/>
      <c r="J496" s="604"/>
      <c r="K496" s="562"/>
      <c r="L496" s="604">
        <v>0.01</v>
      </c>
      <c r="M496" s="562"/>
      <c r="N496" s="602"/>
      <c r="T496" s="674"/>
      <c r="U496" s="675"/>
      <c r="V496" s="675"/>
      <c r="Z496" s="537" t="s">
        <v>319</v>
      </c>
      <c r="AB496" s="675"/>
      <c r="AC496" s="675"/>
      <c r="AE496" s="675"/>
      <c r="AF496" s="680"/>
    </row>
    <row r="497" spans="1:32" s="536" customFormat="1" ht="33.75" x14ac:dyDescent="0.2">
      <c r="A497" s="605"/>
      <c r="B497" s="552" t="s">
        <v>686</v>
      </c>
      <c r="C497" s="1822" t="s">
        <v>687</v>
      </c>
      <c r="D497" s="1822"/>
      <c r="E497" s="1822"/>
      <c r="F497" s="562" t="s">
        <v>322</v>
      </c>
      <c r="G497" s="562" t="s">
        <v>680</v>
      </c>
      <c r="H497" s="562"/>
      <c r="I497" s="562" t="s">
        <v>680</v>
      </c>
      <c r="J497" s="604"/>
      <c r="K497" s="562"/>
      <c r="L497" s="604">
        <v>0.01</v>
      </c>
      <c r="M497" s="562"/>
      <c r="N497" s="602"/>
      <c r="T497" s="674"/>
      <c r="U497" s="675"/>
      <c r="V497" s="675"/>
      <c r="Z497" s="537" t="s">
        <v>687</v>
      </c>
      <c r="AB497" s="675"/>
      <c r="AC497" s="675"/>
      <c r="AE497" s="675"/>
      <c r="AF497" s="680"/>
    </row>
    <row r="498" spans="1:32" s="536" customFormat="1" ht="33.75" x14ac:dyDescent="0.2">
      <c r="A498" s="605"/>
      <c r="B498" s="552" t="s">
        <v>688</v>
      </c>
      <c r="C498" s="1822" t="s">
        <v>689</v>
      </c>
      <c r="D498" s="1822"/>
      <c r="E498" s="1822"/>
      <c r="F498" s="562" t="s">
        <v>322</v>
      </c>
      <c r="G498" s="562" t="s">
        <v>690</v>
      </c>
      <c r="H498" s="562"/>
      <c r="I498" s="562" t="s">
        <v>690</v>
      </c>
      <c r="J498" s="604"/>
      <c r="K498" s="562"/>
      <c r="L498" s="604">
        <v>0.01</v>
      </c>
      <c r="M498" s="562"/>
      <c r="N498" s="602"/>
      <c r="T498" s="674"/>
      <c r="U498" s="675"/>
      <c r="V498" s="675"/>
      <c r="Z498" s="537" t="s">
        <v>689</v>
      </c>
      <c r="AB498" s="675"/>
      <c r="AC498" s="675"/>
      <c r="AE498" s="675"/>
      <c r="AF498" s="680"/>
    </row>
    <row r="499" spans="1:32" s="536" customFormat="1" ht="12" x14ac:dyDescent="0.2">
      <c r="A499" s="569"/>
      <c r="B499" s="683"/>
      <c r="C499" s="1823" t="s">
        <v>327</v>
      </c>
      <c r="D499" s="1823"/>
      <c r="E499" s="1823"/>
      <c r="F499" s="573"/>
      <c r="G499" s="573"/>
      <c r="H499" s="573"/>
      <c r="I499" s="573"/>
      <c r="J499" s="572"/>
      <c r="K499" s="573"/>
      <c r="L499" s="572">
        <v>0.06</v>
      </c>
      <c r="M499" s="608"/>
      <c r="N499" s="570"/>
      <c r="T499" s="674"/>
      <c r="U499" s="675"/>
      <c r="V499" s="675"/>
      <c r="AB499" s="675" t="s">
        <v>327</v>
      </c>
      <c r="AC499" s="675"/>
      <c r="AE499" s="675"/>
      <c r="AF499" s="680"/>
    </row>
    <row r="500" spans="1:32" s="536" customFormat="1" ht="22.5" x14ac:dyDescent="0.2">
      <c r="A500" s="575" t="s">
        <v>931</v>
      </c>
      <c r="B500" s="684" t="s">
        <v>9105</v>
      </c>
      <c r="C500" s="1823" t="s">
        <v>9106</v>
      </c>
      <c r="D500" s="1823"/>
      <c r="E500" s="1823"/>
      <c r="F500" s="573" t="s">
        <v>641</v>
      </c>
      <c r="G500" s="573"/>
      <c r="H500" s="573"/>
      <c r="I500" s="573" t="s">
        <v>9090</v>
      </c>
      <c r="J500" s="572">
        <v>600</v>
      </c>
      <c r="K500" s="573"/>
      <c r="L500" s="572">
        <v>0.61</v>
      </c>
      <c r="M500" s="573"/>
      <c r="N500" s="570"/>
      <c r="T500" s="674"/>
      <c r="U500" s="675"/>
      <c r="V500" s="675" t="s">
        <v>9106</v>
      </c>
      <c r="AB500" s="675"/>
      <c r="AC500" s="675"/>
      <c r="AE500" s="675"/>
      <c r="AF500" s="680"/>
    </row>
    <row r="501" spans="1:32" s="536" customFormat="1" ht="12" x14ac:dyDescent="0.2">
      <c r="A501" s="569"/>
      <c r="B501" s="683"/>
      <c r="C501" s="689" t="s">
        <v>717</v>
      </c>
      <c r="D501" s="690"/>
      <c r="E501" s="690"/>
      <c r="F501" s="563"/>
      <c r="G501" s="563"/>
      <c r="H501" s="563"/>
      <c r="I501" s="563"/>
      <c r="J501" s="566"/>
      <c r="K501" s="563"/>
      <c r="L501" s="566"/>
      <c r="M501" s="565"/>
      <c r="N501" s="564"/>
      <c r="T501" s="674"/>
      <c r="U501" s="675"/>
      <c r="V501" s="675"/>
      <c r="AB501" s="675"/>
      <c r="AC501" s="675"/>
      <c r="AE501" s="675"/>
      <c r="AF501" s="680"/>
    </row>
    <row r="502" spans="1:32" s="536" customFormat="1" ht="33.75" x14ac:dyDescent="0.2">
      <c r="A502" s="575" t="s">
        <v>465</v>
      </c>
      <c r="B502" s="684" t="s">
        <v>1095</v>
      </c>
      <c r="C502" s="1823" t="s">
        <v>1096</v>
      </c>
      <c r="D502" s="1823"/>
      <c r="E502" s="1823"/>
      <c r="F502" s="573" t="s">
        <v>641</v>
      </c>
      <c r="G502" s="573"/>
      <c r="H502" s="573"/>
      <c r="I502" s="573" t="s">
        <v>9091</v>
      </c>
      <c r="J502" s="572">
        <v>55.26</v>
      </c>
      <c r="K502" s="573"/>
      <c r="L502" s="572">
        <v>6.54</v>
      </c>
      <c r="M502" s="573"/>
      <c r="N502" s="570"/>
      <c r="T502" s="674"/>
      <c r="U502" s="675"/>
      <c r="V502" s="675" t="s">
        <v>1096</v>
      </c>
      <c r="AB502" s="675"/>
      <c r="AC502" s="675"/>
      <c r="AE502" s="675"/>
      <c r="AF502" s="680"/>
    </row>
    <row r="503" spans="1:32" s="536" customFormat="1" ht="12" x14ac:dyDescent="0.2">
      <c r="A503" s="569"/>
      <c r="B503" s="683"/>
      <c r="C503" s="689" t="s">
        <v>2820</v>
      </c>
      <c r="D503" s="690"/>
      <c r="E503" s="690"/>
      <c r="F503" s="563"/>
      <c r="G503" s="563"/>
      <c r="H503" s="563"/>
      <c r="I503" s="563"/>
      <c r="J503" s="566"/>
      <c r="K503" s="563"/>
      <c r="L503" s="566"/>
      <c r="M503" s="565"/>
      <c r="N503" s="564"/>
      <c r="T503" s="674"/>
      <c r="U503" s="675"/>
      <c r="V503" s="675"/>
      <c r="AB503" s="675"/>
      <c r="AC503" s="675"/>
      <c r="AE503" s="675"/>
      <c r="AF503" s="680"/>
    </row>
    <row r="504" spans="1:32" s="536" customFormat="1" ht="12" x14ac:dyDescent="0.2">
      <c r="A504" s="1830" t="s">
        <v>6750</v>
      </c>
      <c r="B504" s="1831"/>
      <c r="C504" s="1831"/>
      <c r="D504" s="1831"/>
      <c r="E504" s="1831"/>
      <c r="F504" s="1831"/>
      <c r="G504" s="1831"/>
      <c r="H504" s="1831"/>
      <c r="I504" s="1831"/>
      <c r="J504" s="1831"/>
      <c r="K504" s="1831"/>
      <c r="L504" s="1831"/>
      <c r="M504" s="1831"/>
      <c r="N504" s="1832"/>
      <c r="T504" s="674"/>
      <c r="U504" s="675" t="s">
        <v>6750</v>
      </c>
      <c r="V504" s="675"/>
      <c r="AB504" s="675"/>
      <c r="AC504" s="675"/>
      <c r="AE504" s="675"/>
      <c r="AF504" s="680"/>
    </row>
    <row r="505" spans="1:32" s="536" customFormat="1" ht="12" x14ac:dyDescent="0.2">
      <c r="A505" s="1830" t="s">
        <v>9002</v>
      </c>
      <c r="B505" s="1831"/>
      <c r="C505" s="1831"/>
      <c r="D505" s="1831"/>
      <c r="E505" s="1831"/>
      <c r="F505" s="1831"/>
      <c r="G505" s="1831"/>
      <c r="H505" s="1831"/>
      <c r="I505" s="1831"/>
      <c r="J505" s="1831"/>
      <c r="K505" s="1831"/>
      <c r="L505" s="1831"/>
      <c r="M505" s="1831"/>
      <c r="N505" s="1832"/>
      <c r="T505" s="674"/>
      <c r="U505" s="675" t="s">
        <v>9002</v>
      </c>
      <c r="V505" s="675"/>
      <c r="AB505" s="675"/>
      <c r="AC505" s="675"/>
      <c r="AE505" s="675"/>
      <c r="AF505" s="680"/>
    </row>
    <row r="506" spans="1:32" s="536" customFormat="1" ht="33.75" x14ac:dyDescent="0.2">
      <c r="A506" s="575" t="s">
        <v>782</v>
      </c>
      <c r="B506" s="684" t="s">
        <v>9003</v>
      </c>
      <c r="C506" s="1823" t="s">
        <v>9004</v>
      </c>
      <c r="D506" s="1823"/>
      <c r="E506" s="1823"/>
      <c r="F506" s="573" t="s">
        <v>519</v>
      </c>
      <c r="G506" s="573"/>
      <c r="H506" s="573"/>
      <c r="I506" s="573" t="s">
        <v>3720</v>
      </c>
      <c r="J506" s="572"/>
      <c r="K506" s="573"/>
      <c r="L506" s="572"/>
      <c r="M506" s="573"/>
      <c r="N506" s="570"/>
      <c r="T506" s="674"/>
      <c r="U506" s="675"/>
      <c r="V506" s="675" t="s">
        <v>9004</v>
      </c>
      <c r="AB506" s="675"/>
      <c r="AC506" s="675"/>
      <c r="AE506" s="675"/>
      <c r="AF506" s="680"/>
    </row>
    <row r="507" spans="1:32" s="536" customFormat="1" ht="12" x14ac:dyDescent="0.2">
      <c r="A507" s="676"/>
      <c r="B507" s="682"/>
      <c r="C507" s="1822" t="s">
        <v>9107</v>
      </c>
      <c r="D507" s="1822"/>
      <c r="E507" s="1822"/>
      <c r="F507" s="1822"/>
      <c r="G507" s="1822"/>
      <c r="H507" s="1822"/>
      <c r="I507" s="1822"/>
      <c r="J507" s="1822"/>
      <c r="K507" s="1822"/>
      <c r="L507" s="1822"/>
      <c r="M507" s="1822"/>
      <c r="N507" s="1827"/>
      <c r="T507" s="674"/>
      <c r="U507" s="675"/>
      <c r="V507" s="675"/>
      <c r="W507" s="537" t="s">
        <v>9107</v>
      </c>
      <c r="AB507" s="675"/>
      <c r="AC507" s="675"/>
      <c r="AE507" s="675"/>
      <c r="AF507" s="680"/>
    </row>
    <row r="508" spans="1:32" s="536" customFormat="1" ht="33.75" x14ac:dyDescent="0.2">
      <c r="A508" s="609"/>
      <c r="B508" s="552" t="s">
        <v>310</v>
      </c>
      <c r="C508" s="1822" t="s">
        <v>311</v>
      </c>
      <c r="D508" s="1822"/>
      <c r="E508" s="1822"/>
      <c r="F508" s="1822"/>
      <c r="G508" s="1822"/>
      <c r="H508" s="1822"/>
      <c r="I508" s="1822"/>
      <c r="J508" s="1822"/>
      <c r="K508" s="1822"/>
      <c r="L508" s="1822"/>
      <c r="M508" s="1822"/>
      <c r="N508" s="1827"/>
      <c r="T508" s="674"/>
      <c r="U508" s="675"/>
      <c r="V508" s="675"/>
      <c r="X508" s="537" t="s">
        <v>311</v>
      </c>
      <c r="AB508" s="675"/>
      <c r="AC508" s="675"/>
      <c r="AE508" s="675"/>
      <c r="AF508" s="680"/>
    </row>
    <row r="509" spans="1:32" s="536" customFormat="1" ht="12" x14ac:dyDescent="0.2">
      <c r="A509" s="605"/>
      <c r="B509" s="552" t="s">
        <v>185</v>
      </c>
      <c r="C509" s="1822" t="s">
        <v>312</v>
      </c>
      <c r="D509" s="1822"/>
      <c r="E509" s="1822"/>
      <c r="F509" s="562"/>
      <c r="G509" s="562"/>
      <c r="H509" s="562"/>
      <c r="I509" s="562"/>
      <c r="J509" s="604">
        <v>3124.87</v>
      </c>
      <c r="K509" s="562" t="s">
        <v>313</v>
      </c>
      <c r="L509" s="604">
        <v>132.03</v>
      </c>
      <c r="M509" s="562"/>
      <c r="N509" s="602"/>
      <c r="T509" s="674"/>
      <c r="U509" s="675"/>
      <c r="V509" s="675"/>
      <c r="Y509" s="537" t="s">
        <v>312</v>
      </c>
      <c r="AB509" s="675"/>
      <c r="AC509" s="675"/>
      <c r="AE509" s="675"/>
      <c r="AF509" s="680"/>
    </row>
    <row r="510" spans="1:32" s="536" customFormat="1" ht="12" x14ac:dyDescent="0.2">
      <c r="A510" s="605"/>
      <c r="B510" s="552" t="s">
        <v>186</v>
      </c>
      <c r="C510" s="1822" t="s">
        <v>344</v>
      </c>
      <c r="D510" s="1822"/>
      <c r="E510" s="1822"/>
      <c r="F510" s="562"/>
      <c r="G510" s="562"/>
      <c r="H510" s="562"/>
      <c r="I510" s="562"/>
      <c r="J510" s="604">
        <v>6969.41</v>
      </c>
      <c r="K510" s="562" t="s">
        <v>313</v>
      </c>
      <c r="L510" s="604">
        <v>294.45999999999998</v>
      </c>
      <c r="M510" s="562"/>
      <c r="N510" s="602"/>
      <c r="T510" s="674"/>
      <c r="U510" s="675"/>
      <c r="V510" s="675"/>
      <c r="Y510" s="537" t="s">
        <v>344</v>
      </c>
      <c r="AB510" s="675"/>
      <c r="AC510" s="675"/>
      <c r="AE510" s="675"/>
      <c r="AF510" s="680"/>
    </row>
    <row r="511" spans="1:32" s="536" customFormat="1" ht="12" x14ac:dyDescent="0.2">
      <c r="A511" s="605"/>
      <c r="B511" s="552" t="s">
        <v>187</v>
      </c>
      <c r="C511" s="1822" t="s">
        <v>345</v>
      </c>
      <c r="D511" s="1822"/>
      <c r="E511" s="1822"/>
      <c r="F511" s="562"/>
      <c r="G511" s="562"/>
      <c r="H511" s="562"/>
      <c r="I511" s="562"/>
      <c r="J511" s="604">
        <v>844.15</v>
      </c>
      <c r="K511" s="562" t="s">
        <v>313</v>
      </c>
      <c r="L511" s="604">
        <v>35.67</v>
      </c>
      <c r="M511" s="562"/>
      <c r="N511" s="602"/>
      <c r="T511" s="674"/>
      <c r="U511" s="675"/>
      <c r="V511" s="675"/>
      <c r="Y511" s="537" t="s">
        <v>345</v>
      </c>
      <c r="AB511" s="675"/>
      <c r="AC511" s="675"/>
      <c r="AE511" s="675"/>
      <c r="AF511" s="680"/>
    </row>
    <row r="512" spans="1:32" s="536" customFormat="1" ht="12" x14ac:dyDescent="0.2">
      <c r="A512" s="605"/>
      <c r="B512" s="552" t="s">
        <v>188</v>
      </c>
      <c r="C512" s="1822" t="s">
        <v>475</v>
      </c>
      <c r="D512" s="1822"/>
      <c r="E512" s="1822"/>
      <c r="F512" s="562"/>
      <c r="G512" s="562"/>
      <c r="H512" s="562"/>
      <c r="I512" s="562"/>
      <c r="J512" s="604">
        <v>146.13</v>
      </c>
      <c r="K512" s="562"/>
      <c r="L512" s="604">
        <v>4.9400000000000004</v>
      </c>
      <c r="M512" s="562"/>
      <c r="N512" s="602"/>
      <c r="T512" s="674"/>
      <c r="U512" s="675"/>
      <c r="V512" s="675"/>
      <c r="Y512" s="537" t="s">
        <v>475</v>
      </c>
      <c r="AB512" s="675"/>
      <c r="AC512" s="675"/>
      <c r="AE512" s="675"/>
      <c r="AF512" s="680"/>
    </row>
    <row r="513" spans="1:32" s="536" customFormat="1" ht="12" x14ac:dyDescent="0.2">
      <c r="A513" s="676"/>
      <c r="B513" s="677" t="s">
        <v>2458</v>
      </c>
      <c r="C513" s="1829" t="s">
        <v>2459</v>
      </c>
      <c r="D513" s="1829"/>
      <c r="E513" s="1829"/>
      <c r="F513" s="678" t="s">
        <v>483</v>
      </c>
      <c r="G513" s="678" t="s">
        <v>9006</v>
      </c>
      <c r="H513" s="678"/>
      <c r="I513" s="678" t="s">
        <v>9108</v>
      </c>
      <c r="J513" s="552"/>
      <c r="K513" s="562"/>
      <c r="L513" s="604"/>
      <c r="M513" s="562"/>
      <c r="N513" s="679"/>
      <c r="T513" s="674"/>
      <c r="U513" s="675"/>
      <c r="V513" s="675"/>
      <c r="AB513" s="675"/>
      <c r="AC513" s="675"/>
      <c r="AE513" s="675"/>
      <c r="AF513" s="680" t="s">
        <v>2459</v>
      </c>
    </row>
    <row r="514" spans="1:32" s="536" customFormat="1" ht="12" x14ac:dyDescent="0.2">
      <c r="A514" s="605"/>
      <c r="B514" s="552"/>
      <c r="C514" s="1822" t="s">
        <v>314</v>
      </c>
      <c r="D514" s="1822"/>
      <c r="E514" s="1822"/>
      <c r="F514" s="562" t="s">
        <v>315</v>
      </c>
      <c r="G514" s="562" t="s">
        <v>9008</v>
      </c>
      <c r="H514" s="562" t="s">
        <v>313</v>
      </c>
      <c r="I514" s="562" t="s">
        <v>9109</v>
      </c>
      <c r="J514" s="604"/>
      <c r="K514" s="562"/>
      <c r="L514" s="604"/>
      <c r="M514" s="562"/>
      <c r="N514" s="602"/>
      <c r="T514" s="674"/>
      <c r="U514" s="675"/>
      <c r="V514" s="675"/>
      <c r="Z514" s="537" t="s">
        <v>314</v>
      </c>
      <c r="AB514" s="675"/>
      <c r="AC514" s="675"/>
      <c r="AE514" s="675"/>
      <c r="AF514" s="680"/>
    </row>
    <row r="515" spans="1:32" s="536" customFormat="1" ht="12" x14ac:dyDescent="0.2">
      <c r="A515" s="605"/>
      <c r="B515" s="552"/>
      <c r="C515" s="1822" t="s">
        <v>348</v>
      </c>
      <c r="D515" s="1822"/>
      <c r="E515" s="1822"/>
      <c r="F515" s="562" t="s">
        <v>315</v>
      </c>
      <c r="G515" s="562" t="s">
        <v>9010</v>
      </c>
      <c r="H515" s="562" t="s">
        <v>313</v>
      </c>
      <c r="I515" s="562" t="s">
        <v>9110</v>
      </c>
      <c r="J515" s="604"/>
      <c r="K515" s="562"/>
      <c r="L515" s="604"/>
      <c r="M515" s="562"/>
      <c r="N515" s="602"/>
      <c r="T515" s="674"/>
      <c r="U515" s="675"/>
      <c r="V515" s="675"/>
      <c r="Z515" s="537" t="s">
        <v>348</v>
      </c>
      <c r="AB515" s="675"/>
      <c r="AC515" s="675"/>
      <c r="AE515" s="675"/>
      <c r="AF515" s="680"/>
    </row>
    <row r="516" spans="1:32" s="536" customFormat="1" ht="12" x14ac:dyDescent="0.2">
      <c r="A516" s="605"/>
      <c r="B516" s="552"/>
      <c r="C516" s="1828" t="s">
        <v>318</v>
      </c>
      <c r="D516" s="1828"/>
      <c r="E516" s="1828"/>
      <c r="F516" s="608"/>
      <c r="G516" s="608"/>
      <c r="H516" s="608"/>
      <c r="I516" s="608"/>
      <c r="J516" s="607">
        <v>10240.41</v>
      </c>
      <c r="K516" s="608"/>
      <c r="L516" s="607">
        <v>431.43</v>
      </c>
      <c r="M516" s="608"/>
      <c r="N516" s="606"/>
      <c r="T516" s="674"/>
      <c r="U516" s="675"/>
      <c r="V516" s="675"/>
      <c r="AA516" s="537" t="s">
        <v>318</v>
      </c>
      <c r="AB516" s="675"/>
      <c r="AC516" s="675"/>
      <c r="AE516" s="675"/>
      <c r="AF516" s="680"/>
    </row>
    <row r="517" spans="1:32" s="536" customFormat="1" ht="12" x14ac:dyDescent="0.2">
      <c r="A517" s="605"/>
      <c r="B517" s="552"/>
      <c r="C517" s="1822" t="s">
        <v>319</v>
      </c>
      <c r="D517" s="1822"/>
      <c r="E517" s="1822"/>
      <c r="F517" s="562"/>
      <c r="G517" s="562"/>
      <c r="H517" s="562"/>
      <c r="I517" s="562"/>
      <c r="J517" s="604"/>
      <c r="K517" s="562"/>
      <c r="L517" s="604">
        <v>167.7</v>
      </c>
      <c r="M517" s="562"/>
      <c r="N517" s="602"/>
      <c r="T517" s="674"/>
      <c r="U517" s="675"/>
      <c r="V517" s="675"/>
      <c r="Z517" s="537" t="s">
        <v>319</v>
      </c>
      <c r="AB517" s="675"/>
      <c r="AC517" s="675"/>
      <c r="AE517" s="675"/>
      <c r="AF517" s="680"/>
    </row>
    <row r="518" spans="1:32" s="536" customFormat="1" ht="33.75" x14ac:dyDescent="0.2">
      <c r="A518" s="605"/>
      <c r="B518" s="552" t="s">
        <v>533</v>
      </c>
      <c r="C518" s="1822" t="s">
        <v>534</v>
      </c>
      <c r="D518" s="1822"/>
      <c r="E518" s="1822"/>
      <c r="F518" s="562" t="s">
        <v>322</v>
      </c>
      <c r="G518" s="562" t="s">
        <v>535</v>
      </c>
      <c r="H518" s="562"/>
      <c r="I518" s="562" t="s">
        <v>535</v>
      </c>
      <c r="J518" s="604"/>
      <c r="K518" s="562"/>
      <c r="L518" s="604">
        <v>196.21</v>
      </c>
      <c r="M518" s="562"/>
      <c r="N518" s="602"/>
      <c r="T518" s="674"/>
      <c r="U518" s="675"/>
      <c r="V518" s="675"/>
      <c r="Z518" s="537" t="s">
        <v>534</v>
      </c>
      <c r="AB518" s="675"/>
      <c r="AC518" s="675"/>
      <c r="AE518" s="675"/>
      <c r="AF518" s="680"/>
    </row>
    <row r="519" spans="1:32" s="536" customFormat="1" ht="33.75" x14ac:dyDescent="0.2">
      <c r="A519" s="605"/>
      <c r="B519" s="552" t="s">
        <v>536</v>
      </c>
      <c r="C519" s="1822" t="s">
        <v>537</v>
      </c>
      <c r="D519" s="1822"/>
      <c r="E519" s="1822"/>
      <c r="F519" s="562" t="s">
        <v>322</v>
      </c>
      <c r="G519" s="562" t="s">
        <v>538</v>
      </c>
      <c r="H519" s="562"/>
      <c r="I519" s="562" t="s">
        <v>538</v>
      </c>
      <c r="J519" s="604"/>
      <c r="K519" s="562"/>
      <c r="L519" s="604">
        <v>124.1</v>
      </c>
      <c r="M519" s="562"/>
      <c r="N519" s="602"/>
      <c r="T519" s="674"/>
      <c r="U519" s="675"/>
      <c r="V519" s="675"/>
      <c r="Z519" s="537" t="s">
        <v>537</v>
      </c>
      <c r="AB519" s="675"/>
      <c r="AC519" s="675"/>
      <c r="AE519" s="675"/>
      <c r="AF519" s="680"/>
    </row>
    <row r="520" spans="1:32" s="536" customFormat="1" ht="12" x14ac:dyDescent="0.2">
      <c r="A520" s="569"/>
      <c r="B520" s="683"/>
      <c r="C520" s="1823" t="s">
        <v>327</v>
      </c>
      <c r="D520" s="1823"/>
      <c r="E520" s="1823"/>
      <c r="F520" s="573"/>
      <c r="G520" s="573"/>
      <c r="H520" s="573"/>
      <c r="I520" s="573"/>
      <c r="J520" s="572"/>
      <c r="K520" s="573"/>
      <c r="L520" s="572">
        <v>751.74</v>
      </c>
      <c r="M520" s="608"/>
      <c r="N520" s="570"/>
      <c r="T520" s="674"/>
      <c r="U520" s="675"/>
      <c r="V520" s="675"/>
      <c r="AB520" s="675" t="s">
        <v>327</v>
      </c>
      <c r="AC520" s="675"/>
      <c r="AE520" s="675"/>
      <c r="AF520" s="680"/>
    </row>
    <row r="521" spans="1:32" s="536" customFormat="1" ht="45" x14ac:dyDescent="0.2">
      <c r="A521" s="575" t="s">
        <v>501</v>
      </c>
      <c r="B521" s="684" t="s">
        <v>9012</v>
      </c>
      <c r="C521" s="1823" t="s">
        <v>9013</v>
      </c>
      <c r="D521" s="1823"/>
      <c r="E521" s="1823"/>
      <c r="F521" s="573" t="s">
        <v>483</v>
      </c>
      <c r="G521" s="573"/>
      <c r="H521" s="573"/>
      <c r="I521" s="573" t="s">
        <v>9108</v>
      </c>
      <c r="J521" s="572">
        <v>1751.79</v>
      </c>
      <c r="K521" s="573"/>
      <c r="L521" s="572">
        <v>59743.4</v>
      </c>
      <c r="M521" s="573"/>
      <c r="N521" s="570"/>
      <c r="T521" s="674"/>
      <c r="U521" s="675"/>
      <c r="V521" s="675" t="s">
        <v>9013</v>
      </c>
      <c r="AB521" s="675"/>
      <c r="AC521" s="675"/>
      <c r="AE521" s="675"/>
      <c r="AF521" s="680"/>
    </row>
    <row r="522" spans="1:32" s="536" customFormat="1" ht="12" x14ac:dyDescent="0.2">
      <c r="A522" s="569"/>
      <c r="B522" s="683"/>
      <c r="C522" s="689" t="s">
        <v>717</v>
      </c>
      <c r="D522" s="690"/>
      <c r="E522" s="690"/>
      <c r="F522" s="563"/>
      <c r="G522" s="563"/>
      <c r="H522" s="563"/>
      <c r="I522" s="563"/>
      <c r="J522" s="566"/>
      <c r="K522" s="563"/>
      <c r="L522" s="566"/>
      <c r="M522" s="565"/>
      <c r="N522" s="564"/>
      <c r="T522" s="674"/>
      <c r="U522" s="675"/>
      <c r="V522" s="675"/>
      <c r="AB522" s="675"/>
      <c r="AC522" s="675"/>
      <c r="AE522" s="675"/>
      <c r="AF522" s="680"/>
    </row>
    <row r="523" spans="1:32" s="536" customFormat="1" ht="33.75" x14ac:dyDescent="0.2">
      <c r="A523" s="575" t="s">
        <v>784</v>
      </c>
      <c r="B523" s="684" t="s">
        <v>6744</v>
      </c>
      <c r="C523" s="1823" t="s">
        <v>6793</v>
      </c>
      <c r="D523" s="1823"/>
      <c r="E523" s="1823"/>
      <c r="F523" s="573" t="s">
        <v>1110</v>
      </c>
      <c r="G523" s="573"/>
      <c r="H523" s="573"/>
      <c r="I523" s="573" t="s">
        <v>642</v>
      </c>
      <c r="J523" s="572"/>
      <c r="K523" s="573"/>
      <c r="L523" s="572"/>
      <c r="M523" s="573"/>
      <c r="N523" s="570"/>
      <c r="T523" s="674"/>
      <c r="U523" s="675"/>
      <c r="V523" s="675" t="s">
        <v>6793</v>
      </c>
      <c r="AB523" s="675"/>
      <c r="AC523" s="675"/>
      <c r="AE523" s="675"/>
      <c r="AF523" s="680"/>
    </row>
    <row r="524" spans="1:32" s="536" customFormat="1" ht="12" x14ac:dyDescent="0.2">
      <c r="A524" s="676"/>
      <c r="B524" s="682"/>
      <c r="C524" s="1822" t="s">
        <v>9111</v>
      </c>
      <c r="D524" s="1822"/>
      <c r="E524" s="1822"/>
      <c r="F524" s="1822"/>
      <c r="G524" s="1822"/>
      <c r="H524" s="1822"/>
      <c r="I524" s="1822"/>
      <c r="J524" s="1822"/>
      <c r="K524" s="1822"/>
      <c r="L524" s="1822"/>
      <c r="M524" s="1822"/>
      <c r="N524" s="1827"/>
      <c r="T524" s="674"/>
      <c r="U524" s="675"/>
      <c r="V524" s="675"/>
      <c r="W524" s="537" t="s">
        <v>9111</v>
      </c>
      <c r="AB524" s="675"/>
      <c r="AC524" s="675"/>
      <c r="AE524" s="675"/>
      <c r="AF524" s="680"/>
    </row>
    <row r="525" spans="1:32" s="536" customFormat="1" ht="33.75" x14ac:dyDescent="0.2">
      <c r="A525" s="609"/>
      <c r="B525" s="552" t="s">
        <v>310</v>
      </c>
      <c r="C525" s="1822" t="s">
        <v>311</v>
      </c>
      <c r="D525" s="1822"/>
      <c r="E525" s="1822"/>
      <c r="F525" s="1822"/>
      <c r="G525" s="1822"/>
      <c r="H525" s="1822"/>
      <c r="I525" s="1822"/>
      <c r="J525" s="1822"/>
      <c r="K525" s="1822"/>
      <c r="L525" s="1822"/>
      <c r="M525" s="1822"/>
      <c r="N525" s="1827"/>
      <c r="T525" s="674"/>
      <c r="U525" s="675"/>
      <c r="V525" s="675"/>
      <c r="X525" s="537" t="s">
        <v>311</v>
      </c>
      <c r="AB525" s="675"/>
      <c r="AC525" s="675"/>
      <c r="AE525" s="675"/>
      <c r="AF525" s="680"/>
    </row>
    <row r="526" spans="1:32" s="536" customFormat="1" ht="12" x14ac:dyDescent="0.2">
      <c r="A526" s="605"/>
      <c r="B526" s="552" t="s">
        <v>185</v>
      </c>
      <c r="C526" s="1822" t="s">
        <v>312</v>
      </c>
      <c r="D526" s="1822"/>
      <c r="E526" s="1822"/>
      <c r="F526" s="562"/>
      <c r="G526" s="562"/>
      <c r="H526" s="562"/>
      <c r="I526" s="562"/>
      <c r="J526" s="604">
        <v>196.82</v>
      </c>
      <c r="K526" s="562" t="s">
        <v>313</v>
      </c>
      <c r="L526" s="604">
        <v>92.26</v>
      </c>
      <c r="M526" s="562"/>
      <c r="N526" s="602"/>
      <c r="T526" s="674"/>
      <c r="U526" s="675"/>
      <c r="V526" s="675"/>
      <c r="Y526" s="537" t="s">
        <v>312</v>
      </c>
      <c r="AB526" s="675"/>
      <c r="AC526" s="675"/>
      <c r="AE526" s="675"/>
      <c r="AF526" s="680"/>
    </row>
    <row r="527" spans="1:32" s="536" customFormat="1" ht="12" x14ac:dyDescent="0.2">
      <c r="A527" s="605"/>
      <c r="B527" s="552" t="s">
        <v>186</v>
      </c>
      <c r="C527" s="1822" t="s">
        <v>344</v>
      </c>
      <c r="D527" s="1822"/>
      <c r="E527" s="1822"/>
      <c r="F527" s="562"/>
      <c r="G527" s="562"/>
      <c r="H527" s="562"/>
      <c r="I527" s="562"/>
      <c r="J527" s="604">
        <v>750.41</v>
      </c>
      <c r="K527" s="562" t="s">
        <v>313</v>
      </c>
      <c r="L527" s="604">
        <v>351.75</v>
      </c>
      <c r="M527" s="562"/>
      <c r="N527" s="602"/>
      <c r="T527" s="674"/>
      <c r="U527" s="675"/>
      <c r="V527" s="675"/>
      <c r="Y527" s="537" t="s">
        <v>344</v>
      </c>
      <c r="AB527" s="675"/>
      <c r="AC527" s="675"/>
      <c r="AE527" s="675"/>
      <c r="AF527" s="680"/>
    </row>
    <row r="528" spans="1:32" s="536" customFormat="1" ht="12" x14ac:dyDescent="0.2">
      <c r="A528" s="605"/>
      <c r="B528" s="552" t="s">
        <v>187</v>
      </c>
      <c r="C528" s="1822" t="s">
        <v>345</v>
      </c>
      <c r="D528" s="1822"/>
      <c r="E528" s="1822"/>
      <c r="F528" s="562"/>
      <c r="G528" s="562"/>
      <c r="H528" s="562"/>
      <c r="I528" s="562"/>
      <c r="J528" s="604">
        <v>84.38</v>
      </c>
      <c r="K528" s="562" t="s">
        <v>313</v>
      </c>
      <c r="L528" s="604">
        <v>39.549999999999997</v>
      </c>
      <c r="M528" s="562"/>
      <c r="N528" s="602"/>
      <c r="T528" s="674"/>
      <c r="U528" s="675"/>
      <c r="V528" s="675"/>
      <c r="Y528" s="537" t="s">
        <v>345</v>
      </c>
      <c r="AB528" s="675"/>
      <c r="AC528" s="675"/>
      <c r="AE528" s="675"/>
      <c r="AF528" s="680"/>
    </row>
    <row r="529" spans="1:32" s="536" customFormat="1" ht="12" x14ac:dyDescent="0.2">
      <c r="A529" s="605"/>
      <c r="B529" s="552" t="s">
        <v>188</v>
      </c>
      <c r="C529" s="1822" t="s">
        <v>475</v>
      </c>
      <c r="D529" s="1822"/>
      <c r="E529" s="1822"/>
      <c r="F529" s="562"/>
      <c r="G529" s="562"/>
      <c r="H529" s="562"/>
      <c r="I529" s="562"/>
      <c r="J529" s="604">
        <v>10.57</v>
      </c>
      <c r="K529" s="562"/>
      <c r="L529" s="604">
        <v>3.96</v>
      </c>
      <c r="M529" s="562"/>
      <c r="N529" s="602"/>
      <c r="T529" s="674"/>
      <c r="U529" s="675"/>
      <c r="V529" s="675"/>
      <c r="Y529" s="537" t="s">
        <v>475</v>
      </c>
      <c r="AB529" s="675"/>
      <c r="AC529" s="675"/>
      <c r="AE529" s="675"/>
      <c r="AF529" s="680"/>
    </row>
    <row r="530" spans="1:32" s="536" customFormat="1" ht="12" x14ac:dyDescent="0.2">
      <c r="A530" s="676"/>
      <c r="B530" s="677" t="s">
        <v>6747</v>
      </c>
      <c r="C530" s="1829" t="s">
        <v>6748</v>
      </c>
      <c r="D530" s="1829"/>
      <c r="E530" s="1829"/>
      <c r="F530" s="678" t="s">
        <v>483</v>
      </c>
      <c r="G530" s="678" t="s">
        <v>4636</v>
      </c>
      <c r="H530" s="678"/>
      <c r="I530" s="678" t="s">
        <v>9112</v>
      </c>
      <c r="J530" s="552"/>
      <c r="K530" s="562"/>
      <c r="L530" s="604"/>
      <c r="M530" s="562"/>
      <c r="N530" s="679"/>
      <c r="T530" s="674"/>
      <c r="U530" s="675"/>
      <c r="V530" s="675"/>
      <c r="AB530" s="675"/>
      <c r="AC530" s="675"/>
      <c r="AE530" s="675"/>
      <c r="AF530" s="680" t="s">
        <v>6748</v>
      </c>
    </row>
    <row r="531" spans="1:32" s="536" customFormat="1" ht="12" x14ac:dyDescent="0.2">
      <c r="A531" s="605"/>
      <c r="B531" s="552"/>
      <c r="C531" s="1822" t="s">
        <v>314</v>
      </c>
      <c r="D531" s="1822"/>
      <c r="E531" s="1822"/>
      <c r="F531" s="562" t="s">
        <v>315</v>
      </c>
      <c r="G531" s="562" t="s">
        <v>6749</v>
      </c>
      <c r="H531" s="562" t="s">
        <v>313</v>
      </c>
      <c r="I531" s="562" t="s">
        <v>9113</v>
      </c>
      <c r="J531" s="604"/>
      <c r="K531" s="562"/>
      <c r="L531" s="604"/>
      <c r="M531" s="562"/>
      <c r="N531" s="602"/>
      <c r="T531" s="674"/>
      <c r="U531" s="675"/>
      <c r="V531" s="675"/>
      <c r="Z531" s="537" t="s">
        <v>314</v>
      </c>
      <c r="AB531" s="675"/>
      <c r="AC531" s="675"/>
      <c r="AE531" s="675"/>
      <c r="AF531" s="680"/>
    </row>
    <row r="532" spans="1:32" s="536" customFormat="1" ht="12" x14ac:dyDescent="0.2">
      <c r="A532" s="605"/>
      <c r="B532" s="552"/>
      <c r="C532" s="1822" t="s">
        <v>348</v>
      </c>
      <c r="D532" s="1822"/>
      <c r="E532" s="1822"/>
      <c r="F532" s="562" t="s">
        <v>315</v>
      </c>
      <c r="G532" s="562" t="s">
        <v>434</v>
      </c>
      <c r="H532" s="562" t="s">
        <v>313</v>
      </c>
      <c r="I532" s="562" t="s">
        <v>9114</v>
      </c>
      <c r="J532" s="604"/>
      <c r="K532" s="562"/>
      <c r="L532" s="604"/>
      <c r="M532" s="562"/>
      <c r="N532" s="602"/>
      <c r="T532" s="674"/>
      <c r="U532" s="675"/>
      <c r="V532" s="675"/>
      <c r="Z532" s="537" t="s">
        <v>348</v>
      </c>
      <c r="AB532" s="675"/>
      <c r="AC532" s="675"/>
      <c r="AE532" s="675"/>
      <c r="AF532" s="680"/>
    </row>
    <row r="533" spans="1:32" s="536" customFormat="1" ht="12" x14ac:dyDescent="0.2">
      <c r="A533" s="605"/>
      <c r="B533" s="552"/>
      <c r="C533" s="1828" t="s">
        <v>318</v>
      </c>
      <c r="D533" s="1828"/>
      <c r="E533" s="1828"/>
      <c r="F533" s="608"/>
      <c r="G533" s="608"/>
      <c r="H533" s="608"/>
      <c r="I533" s="608"/>
      <c r="J533" s="607">
        <v>957.8</v>
      </c>
      <c r="K533" s="608"/>
      <c r="L533" s="607">
        <v>447.97</v>
      </c>
      <c r="M533" s="608"/>
      <c r="N533" s="606"/>
      <c r="T533" s="674"/>
      <c r="U533" s="675"/>
      <c r="V533" s="675"/>
      <c r="AA533" s="537" t="s">
        <v>318</v>
      </c>
      <c r="AB533" s="675"/>
      <c r="AC533" s="675"/>
      <c r="AE533" s="675"/>
      <c r="AF533" s="680"/>
    </row>
    <row r="534" spans="1:32" s="536" customFormat="1" ht="12" x14ac:dyDescent="0.2">
      <c r="A534" s="605"/>
      <c r="B534" s="552"/>
      <c r="C534" s="1822" t="s">
        <v>319</v>
      </c>
      <c r="D534" s="1822"/>
      <c r="E534" s="1822"/>
      <c r="F534" s="562"/>
      <c r="G534" s="562"/>
      <c r="H534" s="562"/>
      <c r="I534" s="562"/>
      <c r="J534" s="604"/>
      <c r="K534" s="562"/>
      <c r="L534" s="604">
        <v>131.81</v>
      </c>
      <c r="M534" s="562"/>
      <c r="N534" s="602"/>
      <c r="T534" s="674"/>
      <c r="U534" s="675"/>
      <c r="V534" s="675"/>
      <c r="Z534" s="537" t="s">
        <v>319</v>
      </c>
      <c r="AB534" s="675"/>
      <c r="AC534" s="675"/>
      <c r="AE534" s="675"/>
      <c r="AF534" s="680"/>
    </row>
    <row r="535" spans="1:32" s="536" customFormat="1" ht="33.75" x14ac:dyDescent="0.2">
      <c r="A535" s="605"/>
      <c r="B535" s="552" t="s">
        <v>533</v>
      </c>
      <c r="C535" s="1822" t="s">
        <v>534</v>
      </c>
      <c r="D535" s="1822"/>
      <c r="E535" s="1822"/>
      <c r="F535" s="562" t="s">
        <v>322</v>
      </c>
      <c r="G535" s="562" t="s">
        <v>535</v>
      </c>
      <c r="H535" s="562"/>
      <c r="I535" s="562" t="s">
        <v>535</v>
      </c>
      <c r="J535" s="604"/>
      <c r="K535" s="562"/>
      <c r="L535" s="604">
        <v>154.22</v>
      </c>
      <c r="M535" s="562"/>
      <c r="N535" s="602"/>
      <c r="T535" s="674"/>
      <c r="U535" s="675"/>
      <c r="V535" s="675"/>
      <c r="Z535" s="537" t="s">
        <v>534</v>
      </c>
      <c r="AB535" s="675"/>
      <c r="AC535" s="675"/>
      <c r="AE535" s="675"/>
      <c r="AF535" s="680"/>
    </row>
    <row r="536" spans="1:32" s="536" customFormat="1" ht="33.75" x14ac:dyDescent="0.2">
      <c r="A536" s="605"/>
      <c r="B536" s="552" t="s">
        <v>536</v>
      </c>
      <c r="C536" s="1822" t="s">
        <v>537</v>
      </c>
      <c r="D536" s="1822"/>
      <c r="E536" s="1822"/>
      <c r="F536" s="562" t="s">
        <v>322</v>
      </c>
      <c r="G536" s="562" t="s">
        <v>538</v>
      </c>
      <c r="H536" s="562"/>
      <c r="I536" s="562" t="s">
        <v>538</v>
      </c>
      <c r="J536" s="604"/>
      <c r="K536" s="562"/>
      <c r="L536" s="604">
        <v>97.54</v>
      </c>
      <c r="M536" s="562"/>
      <c r="N536" s="602"/>
      <c r="T536" s="674"/>
      <c r="U536" s="675"/>
      <c r="V536" s="675"/>
      <c r="Z536" s="537" t="s">
        <v>537</v>
      </c>
      <c r="AB536" s="675"/>
      <c r="AC536" s="675"/>
      <c r="AE536" s="675"/>
      <c r="AF536" s="680"/>
    </row>
    <row r="537" spans="1:32" s="536" customFormat="1" ht="12" x14ac:dyDescent="0.2">
      <c r="A537" s="569"/>
      <c r="B537" s="683"/>
      <c r="C537" s="1823" t="s">
        <v>327</v>
      </c>
      <c r="D537" s="1823"/>
      <c r="E537" s="1823"/>
      <c r="F537" s="573"/>
      <c r="G537" s="573"/>
      <c r="H537" s="573"/>
      <c r="I537" s="573"/>
      <c r="J537" s="572"/>
      <c r="K537" s="573"/>
      <c r="L537" s="572">
        <v>699.73</v>
      </c>
      <c r="M537" s="608"/>
      <c r="N537" s="570"/>
      <c r="T537" s="674"/>
      <c r="U537" s="675"/>
      <c r="V537" s="675"/>
      <c r="AB537" s="675" t="s">
        <v>327</v>
      </c>
      <c r="AC537" s="675"/>
      <c r="AE537" s="675"/>
      <c r="AF537" s="680"/>
    </row>
    <row r="538" spans="1:32" s="536" customFormat="1" ht="22.5" x14ac:dyDescent="0.2">
      <c r="A538" s="575" t="s">
        <v>1679</v>
      </c>
      <c r="B538" s="684" t="s">
        <v>6754</v>
      </c>
      <c r="C538" s="1823" t="s">
        <v>6755</v>
      </c>
      <c r="D538" s="1823"/>
      <c r="E538" s="1823"/>
      <c r="F538" s="573" t="s">
        <v>1110</v>
      </c>
      <c r="G538" s="573"/>
      <c r="H538" s="573"/>
      <c r="I538" s="573" t="s">
        <v>8998</v>
      </c>
      <c r="J538" s="572"/>
      <c r="K538" s="573"/>
      <c r="L538" s="572"/>
      <c r="M538" s="573"/>
      <c r="N538" s="570"/>
      <c r="T538" s="674"/>
      <c r="U538" s="675"/>
      <c r="V538" s="675" t="s">
        <v>6755</v>
      </c>
      <c r="AB538" s="675"/>
      <c r="AC538" s="675"/>
      <c r="AE538" s="675"/>
      <c r="AF538" s="680"/>
    </row>
    <row r="539" spans="1:32" s="536" customFormat="1" ht="12" x14ac:dyDescent="0.2">
      <c r="A539" s="676"/>
      <c r="B539" s="682"/>
      <c r="C539" s="1822" t="s">
        <v>8999</v>
      </c>
      <c r="D539" s="1822"/>
      <c r="E539" s="1822"/>
      <c r="F539" s="1822"/>
      <c r="G539" s="1822"/>
      <c r="H539" s="1822"/>
      <c r="I539" s="1822"/>
      <c r="J539" s="1822"/>
      <c r="K539" s="1822"/>
      <c r="L539" s="1822"/>
      <c r="M539" s="1822"/>
      <c r="N539" s="1827"/>
      <c r="T539" s="674"/>
      <c r="U539" s="675"/>
      <c r="V539" s="675"/>
      <c r="W539" s="537" t="s">
        <v>8999</v>
      </c>
      <c r="AB539" s="675"/>
      <c r="AC539" s="675"/>
      <c r="AE539" s="675"/>
      <c r="AF539" s="680"/>
    </row>
    <row r="540" spans="1:32" s="536" customFormat="1" ht="33.75" x14ac:dyDescent="0.2">
      <c r="A540" s="609"/>
      <c r="B540" s="552" t="s">
        <v>310</v>
      </c>
      <c r="C540" s="1822" t="s">
        <v>311</v>
      </c>
      <c r="D540" s="1822"/>
      <c r="E540" s="1822"/>
      <c r="F540" s="1822"/>
      <c r="G540" s="1822"/>
      <c r="H540" s="1822"/>
      <c r="I540" s="1822"/>
      <c r="J540" s="1822"/>
      <c r="K540" s="1822"/>
      <c r="L540" s="1822"/>
      <c r="M540" s="1822"/>
      <c r="N540" s="1827"/>
      <c r="T540" s="674"/>
      <c r="U540" s="675"/>
      <c r="V540" s="675"/>
      <c r="X540" s="537" t="s">
        <v>311</v>
      </c>
      <c r="AB540" s="675"/>
      <c r="AC540" s="675"/>
      <c r="AE540" s="675"/>
      <c r="AF540" s="680"/>
    </row>
    <row r="541" spans="1:32" s="536" customFormat="1" ht="12" x14ac:dyDescent="0.2">
      <c r="A541" s="605"/>
      <c r="B541" s="552" t="s">
        <v>185</v>
      </c>
      <c r="C541" s="1822" t="s">
        <v>312</v>
      </c>
      <c r="D541" s="1822"/>
      <c r="E541" s="1822"/>
      <c r="F541" s="562"/>
      <c r="G541" s="562"/>
      <c r="H541" s="562"/>
      <c r="I541" s="562"/>
      <c r="J541" s="604">
        <v>811.93</v>
      </c>
      <c r="K541" s="562" t="s">
        <v>313</v>
      </c>
      <c r="L541" s="604">
        <v>340</v>
      </c>
      <c r="M541" s="562"/>
      <c r="N541" s="602"/>
      <c r="T541" s="674"/>
      <c r="U541" s="675"/>
      <c r="V541" s="675"/>
      <c r="Y541" s="537" t="s">
        <v>312</v>
      </c>
      <c r="AB541" s="675"/>
      <c r="AC541" s="675"/>
      <c r="AE541" s="675"/>
      <c r="AF541" s="680"/>
    </row>
    <row r="542" spans="1:32" s="536" customFormat="1" ht="12" x14ac:dyDescent="0.2">
      <c r="A542" s="605"/>
      <c r="B542" s="552" t="s">
        <v>186</v>
      </c>
      <c r="C542" s="1822" t="s">
        <v>344</v>
      </c>
      <c r="D542" s="1822"/>
      <c r="E542" s="1822"/>
      <c r="F542" s="562"/>
      <c r="G542" s="562"/>
      <c r="H542" s="562"/>
      <c r="I542" s="562"/>
      <c r="J542" s="604">
        <v>29.43</v>
      </c>
      <c r="K542" s="562" t="s">
        <v>313</v>
      </c>
      <c r="L542" s="604">
        <v>12.32</v>
      </c>
      <c r="M542" s="562"/>
      <c r="N542" s="602"/>
      <c r="T542" s="674"/>
      <c r="U542" s="675"/>
      <c r="V542" s="675"/>
      <c r="Y542" s="537" t="s">
        <v>344</v>
      </c>
      <c r="AB542" s="675"/>
      <c r="AC542" s="675"/>
      <c r="AE542" s="675"/>
      <c r="AF542" s="680"/>
    </row>
    <row r="543" spans="1:32" s="536" customFormat="1" ht="12" x14ac:dyDescent="0.2">
      <c r="A543" s="605"/>
      <c r="B543" s="552" t="s">
        <v>187</v>
      </c>
      <c r="C543" s="1822" t="s">
        <v>345</v>
      </c>
      <c r="D543" s="1822"/>
      <c r="E543" s="1822"/>
      <c r="F543" s="562"/>
      <c r="G543" s="562"/>
      <c r="H543" s="562"/>
      <c r="I543" s="562"/>
      <c r="J543" s="604">
        <v>1.97</v>
      </c>
      <c r="K543" s="562" t="s">
        <v>313</v>
      </c>
      <c r="L543" s="604">
        <v>0.82</v>
      </c>
      <c r="M543" s="562"/>
      <c r="N543" s="602"/>
      <c r="T543" s="674"/>
      <c r="U543" s="675"/>
      <c r="V543" s="675"/>
      <c r="Y543" s="537" t="s">
        <v>345</v>
      </c>
      <c r="AB543" s="675"/>
      <c r="AC543" s="675"/>
      <c r="AE543" s="675"/>
      <c r="AF543" s="680"/>
    </row>
    <row r="544" spans="1:32" s="536" customFormat="1" ht="12" x14ac:dyDescent="0.2">
      <c r="A544" s="605"/>
      <c r="B544" s="552" t="s">
        <v>188</v>
      </c>
      <c r="C544" s="1822" t="s">
        <v>475</v>
      </c>
      <c r="D544" s="1822"/>
      <c r="E544" s="1822"/>
      <c r="F544" s="562"/>
      <c r="G544" s="562"/>
      <c r="H544" s="562"/>
      <c r="I544" s="562"/>
      <c r="J544" s="604">
        <v>910.69</v>
      </c>
      <c r="K544" s="562"/>
      <c r="L544" s="604">
        <v>305.08</v>
      </c>
      <c r="M544" s="562"/>
      <c r="N544" s="602"/>
      <c r="T544" s="674"/>
      <c r="U544" s="675"/>
      <c r="V544" s="675"/>
      <c r="Y544" s="537" t="s">
        <v>475</v>
      </c>
      <c r="AB544" s="675"/>
      <c r="AC544" s="675"/>
      <c r="AE544" s="675"/>
      <c r="AF544" s="680"/>
    </row>
    <row r="545" spans="1:32" s="536" customFormat="1" ht="12" x14ac:dyDescent="0.2">
      <c r="A545" s="605"/>
      <c r="B545" s="552"/>
      <c r="C545" s="1822" t="s">
        <v>314</v>
      </c>
      <c r="D545" s="1822"/>
      <c r="E545" s="1822"/>
      <c r="F545" s="562" t="s">
        <v>315</v>
      </c>
      <c r="G545" s="562" t="s">
        <v>6756</v>
      </c>
      <c r="H545" s="562" t="s">
        <v>313</v>
      </c>
      <c r="I545" s="562" t="s">
        <v>9115</v>
      </c>
      <c r="J545" s="604"/>
      <c r="K545" s="562"/>
      <c r="L545" s="604"/>
      <c r="M545" s="562"/>
      <c r="N545" s="602"/>
      <c r="T545" s="674"/>
      <c r="U545" s="675"/>
      <c r="V545" s="675"/>
      <c r="Z545" s="537" t="s">
        <v>314</v>
      </c>
      <c r="AB545" s="675"/>
      <c r="AC545" s="675"/>
      <c r="AE545" s="675"/>
      <c r="AF545" s="680"/>
    </row>
    <row r="546" spans="1:32" s="536" customFormat="1" ht="12" x14ac:dyDescent="0.2">
      <c r="A546" s="605"/>
      <c r="B546" s="552"/>
      <c r="C546" s="1822" t="s">
        <v>348</v>
      </c>
      <c r="D546" s="1822"/>
      <c r="E546" s="1822"/>
      <c r="F546" s="562" t="s">
        <v>315</v>
      </c>
      <c r="G546" s="562" t="s">
        <v>1911</v>
      </c>
      <c r="H546" s="562" t="s">
        <v>313</v>
      </c>
      <c r="I546" s="562" t="s">
        <v>9116</v>
      </c>
      <c r="J546" s="604"/>
      <c r="K546" s="562"/>
      <c r="L546" s="604"/>
      <c r="M546" s="562"/>
      <c r="N546" s="602"/>
      <c r="T546" s="674"/>
      <c r="U546" s="675"/>
      <c r="V546" s="675"/>
      <c r="Z546" s="537" t="s">
        <v>348</v>
      </c>
      <c r="AB546" s="675"/>
      <c r="AC546" s="675"/>
      <c r="AE546" s="675"/>
      <c r="AF546" s="680"/>
    </row>
    <row r="547" spans="1:32" s="536" customFormat="1" ht="12" x14ac:dyDescent="0.2">
      <c r="A547" s="605"/>
      <c r="B547" s="552"/>
      <c r="C547" s="1828" t="s">
        <v>318</v>
      </c>
      <c r="D547" s="1828"/>
      <c r="E547" s="1828"/>
      <c r="F547" s="608"/>
      <c r="G547" s="608"/>
      <c r="H547" s="608"/>
      <c r="I547" s="608"/>
      <c r="J547" s="607">
        <v>1752.05</v>
      </c>
      <c r="K547" s="608"/>
      <c r="L547" s="607">
        <v>657.4</v>
      </c>
      <c r="M547" s="608"/>
      <c r="N547" s="606"/>
      <c r="T547" s="674"/>
      <c r="U547" s="675"/>
      <c r="V547" s="675"/>
      <c r="AA547" s="537" t="s">
        <v>318</v>
      </c>
      <c r="AB547" s="675"/>
      <c r="AC547" s="675"/>
      <c r="AE547" s="675"/>
      <c r="AF547" s="680"/>
    </row>
    <row r="548" spans="1:32" s="536" customFormat="1" ht="12" x14ac:dyDescent="0.2">
      <c r="A548" s="605"/>
      <c r="B548" s="552"/>
      <c r="C548" s="1822" t="s">
        <v>319</v>
      </c>
      <c r="D548" s="1822"/>
      <c r="E548" s="1822"/>
      <c r="F548" s="562"/>
      <c r="G548" s="562"/>
      <c r="H548" s="562"/>
      <c r="I548" s="562"/>
      <c r="J548" s="604"/>
      <c r="K548" s="562"/>
      <c r="L548" s="604">
        <v>340.82</v>
      </c>
      <c r="M548" s="562"/>
      <c r="N548" s="602"/>
      <c r="T548" s="674"/>
      <c r="U548" s="675"/>
      <c r="V548" s="675"/>
      <c r="Z548" s="537" t="s">
        <v>319</v>
      </c>
      <c r="AB548" s="675"/>
      <c r="AC548" s="675"/>
      <c r="AE548" s="675"/>
      <c r="AF548" s="680"/>
    </row>
    <row r="549" spans="1:32" s="536" customFormat="1" ht="33.75" x14ac:dyDescent="0.2">
      <c r="A549" s="605"/>
      <c r="B549" s="552" t="s">
        <v>533</v>
      </c>
      <c r="C549" s="1822" t="s">
        <v>534</v>
      </c>
      <c r="D549" s="1822"/>
      <c r="E549" s="1822"/>
      <c r="F549" s="562" t="s">
        <v>322</v>
      </c>
      <c r="G549" s="562" t="s">
        <v>535</v>
      </c>
      <c r="H549" s="562"/>
      <c r="I549" s="562" t="s">
        <v>535</v>
      </c>
      <c r="J549" s="604"/>
      <c r="K549" s="562"/>
      <c r="L549" s="604">
        <v>398.76</v>
      </c>
      <c r="M549" s="562"/>
      <c r="N549" s="602"/>
      <c r="T549" s="674"/>
      <c r="U549" s="675"/>
      <c r="V549" s="675"/>
      <c r="Z549" s="537" t="s">
        <v>534</v>
      </c>
      <c r="AB549" s="675"/>
      <c r="AC549" s="675"/>
      <c r="AE549" s="675"/>
      <c r="AF549" s="680"/>
    </row>
    <row r="550" spans="1:32" s="536" customFormat="1" ht="33.75" x14ac:dyDescent="0.2">
      <c r="A550" s="605"/>
      <c r="B550" s="552" t="s">
        <v>536</v>
      </c>
      <c r="C550" s="1822" t="s">
        <v>537</v>
      </c>
      <c r="D550" s="1822"/>
      <c r="E550" s="1822"/>
      <c r="F550" s="562" t="s">
        <v>322</v>
      </c>
      <c r="G550" s="562" t="s">
        <v>538</v>
      </c>
      <c r="H550" s="562"/>
      <c r="I550" s="562" t="s">
        <v>538</v>
      </c>
      <c r="J550" s="604"/>
      <c r="K550" s="562"/>
      <c r="L550" s="604">
        <v>252.21</v>
      </c>
      <c r="M550" s="562"/>
      <c r="N550" s="602"/>
      <c r="T550" s="674"/>
      <c r="U550" s="675"/>
      <c r="V550" s="675"/>
      <c r="Z550" s="537" t="s">
        <v>537</v>
      </c>
      <c r="AB550" s="675"/>
      <c r="AC550" s="675"/>
      <c r="AE550" s="675"/>
      <c r="AF550" s="680"/>
    </row>
    <row r="551" spans="1:32" s="536" customFormat="1" ht="12" x14ac:dyDescent="0.2">
      <c r="A551" s="569"/>
      <c r="B551" s="683"/>
      <c r="C551" s="1823" t="s">
        <v>327</v>
      </c>
      <c r="D551" s="1823"/>
      <c r="E551" s="1823"/>
      <c r="F551" s="573"/>
      <c r="G551" s="573"/>
      <c r="H551" s="573"/>
      <c r="I551" s="573"/>
      <c r="J551" s="572"/>
      <c r="K551" s="573"/>
      <c r="L551" s="572">
        <v>1308.3699999999999</v>
      </c>
      <c r="M551" s="608"/>
      <c r="N551" s="570"/>
      <c r="T551" s="674"/>
      <c r="U551" s="675"/>
      <c r="V551" s="675"/>
      <c r="AB551" s="675" t="s">
        <v>327</v>
      </c>
      <c r="AC551" s="675"/>
      <c r="AE551" s="675"/>
      <c r="AF551" s="680"/>
    </row>
    <row r="552" spans="1:32" s="536" customFormat="1" ht="22.5" x14ac:dyDescent="0.2">
      <c r="A552" s="575" t="s">
        <v>786</v>
      </c>
      <c r="B552" s="684" t="s">
        <v>4330</v>
      </c>
      <c r="C552" s="1823" t="s">
        <v>4331</v>
      </c>
      <c r="D552" s="1823"/>
      <c r="E552" s="1823"/>
      <c r="F552" s="573" t="s">
        <v>694</v>
      </c>
      <c r="G552" s="573"/>
      <c r="H552" s="573"/>
      <c r="I552" s="573" t="s">
        <v>9017</v>
      </c>
      <c r="J552" s="572"/>
      <c r="K552" s="573"/>
      <c r="L552" s="572"/>
      <c r="M552" s="573"/>
      <c r="N552" s="570"/>
      <c r="T552" s="674"/>
      <c r="U552" s="675"/>
      <c r="V552" s="675" t="s">
        <v>4331</v>
      </c>
      <c r="AB552" s="675"/>
      <c r="AC552" s="675"/>
      <c r="AE552" s="675"/>
      <c r="AF552" s="680"/>
    </row>
    <row r="553" spans="1:32" s="536" customFormat="1" ht="12" x14ac:dyDescent="0.2">
      <c r="A553" s="676"/>
      <c r="B553" s="682"/>
      <c r="C553" s="1822" t="s">
        <v>9018</v>
      </c>
      <c r="D553" s="1822"/>
      <c r="E553" s="1822"/>
      <c r="F553" s="1822"/>
      <c r="G553" s="1822"/>
      <c r="H553" s="1822"/>
      <c r="I553" s="1822"/>
      <c r="J553" s="1822"/>
      <c r="K553" s="1822"/>
      <c r="L553" s="1822"/>
      <c r="M553" s="1822"/>
      <c r="N553" s="1827"/>
      <c r="T553" s="674"/>
      <c r="U553" s="675"/>
      <c r="V553" s="675"/>
      <c r="W553" s="537" t="s">
        <v>9018</v>
      </c>
      <c r="AB553" s="675"/>
      <c r="AC553" s="675"/>
      <c r="AE553" s="675"/>
      <c r="AF553" s="680"/>
    </row>
    <row r="554" spans="1:32" s="536" customFormat="1" ht="33.75" x14ac:dyDescent="0.2">
      <c r="A554" s="609"/>
      <c r="B554" s="552" t="s">
        <v>310</v>
      </c>
      <c r="C554" s="1822" t="s">
        <v>311</v>
      </c>
      <c r="D554" s="1822"/>
      <c r="E554" s="1822"/>
      <c r="F554" s="1822"/>
      <c r="G554" s="1822"/>
      <c r="H554" s="1822"/>
      <c r="I554" s="1822"/>
      <c r="J554" s="1822"/>
      <c r="K554" s="1822"/>
      <c r="L554" s="1822"/>
      <c r="M554" s="1822"/>
      <c r="N554" s="1827"/>
      <c r="T554" s="674"/>
      <c r="U554" s="675"/>
      <c r="V554" s="675"/>
      <c r="X554" s="537" t="s">
        <v>311</v>
      </c>
      <c r="AB554" s="675"/>
      <c r="AC554" s="675"/>
      <c r="AE554" s="675"/>
      <c r="AF554" s="680"/>
    </row>
    <row r="555" spans="1:32" s="536" customFormat="1" ht="12" x14ac:dyDescent="0.2">
      <c r="A555" s="605"/>
      <c r="B555" s="552" t="s">
        <v>185</v>
      </c>
      <c r="C555" s="1822" t="s">
        <v>312</v>
      </c>
      <c r="D555" s="1822"/>
      <c r="E555" s="1822"/>
      <c r="F555" s="562"/>
      <c r="G555" s="562"/>
      <c r="H555" s="562"/>
      <c r="I555" s="562"/>
      <c r="J555" s="604">
        <v>3467.84</v>
      </c>
      <c r="K555" s="562" t="s">
        <v>313</v>
      </c>
      <c r="L555" s="604">
        <v>29.48</v>
      </c>
      <c r="M555" s="562"/>
      <c r="N555" s="602"/>
      <c r="T555" s="674"/>
      <c r="U555" s="675"/>
      <c r="V555" s="675"/>
      <c r="Y555" s="537" t="s">
        <v>312</v>
      </c>
      <c r="AB555" s="675"/>
      <c r="AC555" s="675"/>
      <c r="AE555" s="675"/>
      <c r="AF555" s="680"/>
    </row>
    <row r="556" spans="1:32" s="536" customFormat="1" ht="12" x14ac:dyDescent="0.2">
      <c r="A556" s="605"/>
      <c r="B556" s="552" t="s">
        <v>186</v>
      </c>
      <c r="C556" s="1822" t="s">
        <v>344</v>
      </c>
      <c r="D556" s="1822"/>
      <c r="E556" s="1822"/>
      <c r="F556" s="562"/>
      <c r="G556" s="562"/>
      <c r="H556" s="562"/>
      <c r="I556" s="562"/>
      <c r="J556" s="604">
        <v>12472.06</v>
      </c>
      <c r="K556" s="562" t="s">
        <v>313</v>
      </c>
      <c r="L556" s="604">
        <v>106.01</v>
      </c>
      <c r="M556" s="562"/>
      <c r="N556" s="602"/>
      <c r="T556" s="674"/>
      <c r="U556" s="675"/>
      <c r="V556" s="675"/>
      <c r="Y556" s="537" t="s">
        <v>344</v>
      </c>
      <c r="AB556" s="675"/>
      <c r="AC556" s="675"/>
      <c r="AE556" s="675"/>
      <c r="AF556" s="680"/>
    </row>
    <row r="557" spans="1:32" s="536" customFormat="1" ht="12" x14ac:dyDescent="0.2">
      <c r="A557" s="605"/>
      <c r="B557" s="552" t="s">
        <v>187</v>
      </c>
      <c r="C557" s="1822" t="s">
        <v>345</v>
      </c>
      <c r="D557" s="1822"/>
      <c r="E557" s="1822"/>
      <c r="F557" s="562"/>
      <c r="G557" s="562"/>
      <c r="H557" s="562"/>
      <c r="I557" s="562"/>
      <c r="J557" s="604">
        <v>1266.81</v>
      </c>
      <c r="K557" s="562" t="s">
        <v>313</v>
      </c>
      <c r="L557" s="604">
        <v>10.77</v>
      </c>
      <c r="M557" s="562"/>
      <c r="N557" s="602"/>
      <c r="T557" s="674"/>
      <c r="U557" s="675"/>
      <c r="V557" s="675"/>
      <c r="Y557" s="537" t="s">
        <v>345</v>
      </c>
      <c r="AB557" s="675"/>
      <c r="AC557" s="675"/>
      <c r="AE557" s="675"/>
      <c r="AF557" s="680"/>
    </row>
    <row r="558" spans="1:32" s="536" customFormat="1" ht="12" x14ac:dyDescent="0.2">
      <c r="A558" s="605"/>
      <c r="B558" s="552" t="s">
        <v>188</v>
      </c>
      <c r="C558" s="1822" t="s">
        <v>475</v>
      </c>
      <c r="D558" s="1822"/>
      <c r="E558" s="1822"/>
      <c r="F558" s="562"/>
      <c r="G558" s="562"/>
      <c r="H558" s="562"/>
      <c r="I558" s="562"/>
      <c r="J558" s="604">
        <v>6348.16</v>
      </c>
      <c r="K558" s="562"/>
      <c r="L558" s="604">
        <v>43.17</v>
      </c>
      <c r="M558" s="562"/>
      <c r="N558" s="602"/>
      <c r="T558" s="674"/>
      <c r="U558" s="675"/>
      <c r="V558" s="675"/>
      <c r="Y558" s="537" t="s">
        <v>475</v>
      </c>
      <c r="AB558" s="675"/>
      <c r="AC558" s="675"/>
      <c r="AE558" s="675"/>
      <c r="AF558" s="680"/>
    </row>
    <row r="559" spans="1:32" s="536" customFormat="1" ht="12" x14ac:dyDescent="0.2">
      <c r="A559" s="676"/>
      <c r="B559" s="677" t="s">
        <v>4334</v>
      </c>
      <c r="C559" s="1829" t="s">
        <v>4335</v>
      </c>
      <c r="D559" s="1829"/>
      <c r="E559" s="1829"/>
      <c r="F559" s="678" t="s">
        <v>638</v>
      </c>
      <c r="G559" s="678" t="s">
        <v>525</v>
      </c>
      <c r="H559" s="678"/>
      <c r="I559" s="678" t="s">
        <v>525</v>
      </c>
      <c r="J559" s="552"/>
      <c r="K559" s="562"/>
      <c r="L559" s="604"/>
      <c r="M559" s="562"/>
      <c r="N559" s="679"/>
      <c r="T559" s="674"/>
      <c r="U559" s="675"/>
      <c r="V559" s="675"/>
      <c r="AB559" s="675"/>
      <c r="AC559" s="675"/>
      <c r="AE559" s="675"/>
      <c r="AF559" s="680" t="s">
        <v>4335</v>
      </c>
    </row>
    <row r="560" spans="1:32" s="536" customFormat="1" ht="12" x14ac:dyDescent="0.2">
      <c r="A560" s="605"/>
      <c r="B560" s="552"/>
      <c r="C560" s="1822" t="s">
        <v>314</v>
      </c>
      <c r="D560" s="1822"/>
      <c r="E560" s="1822"/>
      <c r="F560" s="562" t="s">
        <v>315</v>
      </c>
      <c r="G560" s="562" t="s">
        <v>4336</v>
      </c>
      <c r="H560" s="562" t="s">
        <v>313</v>
      </c>
      <c r="I560" s="562" t="s">
        <v>9019</v>
      </c>
      <c r="J560" s="604"/>
      <c r="K560" s="562"/>
      <c r="L560" s="604"/>
      <c r="M560" s="562"/>
      <c r="N560" s="602"/>
      <c r="T560" s="674"/>
      <c r="U560" s="675"/>
      <c r="V560" s="675"/>
      <c r="Z560" s="537" t="s">
        <v>314</v>
      </c>
      <c r="AB560" s="675"/>
      <c r="AC560" s="675"/>
      <c r="AE560" s="675"/>
      <c r="AF560" s="680"/>
    </row>
    <row r="561" spans="1:32" s="536" customFormat="1" ht="12" x14ac:dyDescent="0.2">
      <c r="A561" s="605"/>
      <c r="B561" s="552"/>
      <c r="C561" s="1822" t="s">
        <v>348</v>
      </c>
      <c r="D561" s="1822"/>
      <c r="E561" s="1822"/>
      <c r="F561" s="562" t="s">
        <v>315</v>
      </c>
      <c r="G561" s="562" t="s">
        <v>4338</v>
      </c>
      <c r="H561" s="562" t="s">
        <v>313</v>
      </c>
      <c r="I561" s="562" t="s">
        <v>9020</v>
      </c>
      <c r="J561" s="604"/>
      <c r="K561" s="562"/>
      <c r="L561" s="604"/>
      <c r="M561" s="562"/>
      <c r="N561" s="602"/>
      <c r="T561" s="674"/>
      <c r="U561" s="675"/>
      <c r="V561" s="675"/>
      <c r="Z561" s="537" t="s">
        <v>348</v>
      </c>
      <c r="AB561" s="675"/>
      <c r="AC561" s="675"/>
      <c r="AE561" s="675"/>
      <c r="AF561" s="680"/>
    </row>
    <row r="562" spans="1:32" s="536" customFormat="1" ht="12" x14ac:dyDescent="0.2">
      <c r="A562" s="605"/>
      <c r="B562" s="552"/>
      <c r="C562" s="1828" t="s">
        <v>318</v>
      </c>
      <c r="D562" s="1828"/>
      <c r="E562" s="1828"/>
      <c r="F562" s="608"/>
      <c r="G562" s="608"/>
      <c r="H562" s="608"/>
      <c r="I562" s="608"/>
      <c r="J562" s="607">
        <v>22288.06</v>
      </c>
      <c r="K562" s="608"/>
      <c r="L562" s="607">
        <v>178.66</v>
      </c>
      <c r="M562" s="608"/>
      <c r="N562" s="606"/>
      <c r="T562" s="674"/>
      <c r="U562" s="675"/>
      <c r="V562" s="675"/>
      <c r="AA562" s="537" t="s">
        <v>318</v>
      </c>
      <c r="AB562" s="675"/>
      <c r="AC562" s="675"/>
      <c r="AE562" s="675"/>
      <c r="AF562" s="680"/>
    </row>
    <row r="563" spans="1:32" s="536" customFormat="1" ht="12" x14ac:dyDescent="0.2">
      <c r="A563" s="605"/>
      <c r="B563" s="552"/>
      <c r="C563" s="1822" t="s">
        <v>319</v>
      </c>
      <c r="D563" s="1822"/>
      <c r="E563" s="1822"/>
      <c r="F563" s="562"/>
      <c r="G563" s="562"/>
      <c r="H563" s="562"/>
      <c r="I563" s="562"/>
      <c r="J563" s="604"/>
      <c r="K563" s="562"/>
      <c r="L563" s="604">
        <v>40.25</v>
      </c>
      <c r="M563" s="562"/>
      <c r="N563" s="602"/>
      <c r="T563" s="674"/>
      <c r="U563" s="675"/>
      <c r="V563" s="675"/>
      <c r="Z563" s="537" t="s">
        <v>319</v>
      </c>
      <c r="AB563" s="675"/>
      <c r="AC563" s="675"/>
      <c r="AE563" s="675"/>
      <c r="AF563" s="680"/>
    </row>
    <row r="564" spans="1:32" s="536" customFormat="1" ht="33.75" x14ac:dyDescent="0.2">
      <c r="A564" s="605"/>
      <c r="B564" s="552" t="s">
        <v>533</v>
      </c>
      <c r="C564" s="1822" t="s">
        <v>534</v>
      </c>
      <c r="D564" s="1822"/>
      <c r="E564" s="1822"/>
      <c r="F564" s="562" t="s">
        <v>322</v>
      </c>
      <c r="G564" s="562" t="s">
        <v>535</v>
      </c>
      <c r="H564" s="562"/>
      <c r="I564" s="562" t="s">
        <v>535</v>
      </c>
      <c r="J564" s="604"/>
      <c r="K564" s="562"/>
      <c r="L564" s="604">
        <v>47.09</v>
      </c>
      <c r="M564" s="562"/>
      <c r="N564" s="602"/>
      <c r="T564" s="674"/>
      <c r="U564" s="675"/>
      <c r="V564" s="675"/>
      <c r="Z564" s="537" t="s">
        <v>534</v>
      </c>
      <c r="AB564" s="675"/>
      <c r="AC564" s="675"/>
      <c r="AE564" s="675"/>
      <c r="AF564" s="680"/>
    </row>
    <row r="565" spans="1:32" s="536" customFormat="1" ht="33.75" x14ac:dyDescent="0.2">
      <c r="A565" s="605"/>
      <c r="B565" s="552" t="s">
        <v>536</v>
      </c>
      <c r="C565" s="1822" t="s">
        <v>537</v>
      </c>
      <c r="D565" s="1822"/>
      <c r="E565" s="1822"/>
      <c r="F565" s="562" t="s">
        <v>322</v>
      </c>
      <c r="G565" s="562" t="s">
        <v>538</v>
      </c>
      <c r="H565" s="562"/>
      <c r="I565" s="562" t="s">
        <v>538</v>
      </c>
      <c r="J565" s="604"/>
      <c r="K565" s="562"/>
      <c r="L565" s="604">
        <v>29.79</v>
      </c>
      <c r="M565" s="562"/>
      <c r="N565" s="602"/>
      <c r="T565" s="674"/>
      <c r="U565" s="675"/>
      <c r="V565" s="675"/>
      <c r="Z565" s="537" t="s">
        <v>537</v>
      </c>
      <c r="AB565" s="675"/>
      <c r="AC565" s="675"/>
      <c r="AE565" s="675"/>
      <c r="AF565" s="680"/>
    </row>
    <row r="566" spans="1:32" s="536" customFormat="1" ht="12" x14ac:dyDescent="0.2">
      <c r="A566" s="569"/>
      <c r="B566" s="683"/>
      <c r="C566" s="1823" t="s">
        <v>327</v>
      </c>
      <c r="D566" s="1823"/>
      <c r="E566" s="1823"/>
      <c r="F566" s="573"/>
      <c r="G566" s="573"/>
      <c r="H566" s="573"/>
      <c r="I566" s="573"/>
      <c r="J566" s="572"/>
      <c r="K566" s="573"/>
      <c r="L566" s="572">
        <v>255.54</v>
      </c>
      <c r="M566" s="608"/>
      <c r="N566" s="570"/>
      <c r="T566" s="674"/>
      <c r="U566" s="675"/>
      <c r="V566" s="675"/>
      <c r="AB566" s="675" t="s">
        <v>327</v>
      </c>
      <c r="AC566" s="675"/>
      <c r="AE566" s="675"/>
      <c r="AF566" s="680"/>
    </row>
    <row r="567" spans="1:32" s="536" customFormat="1" ht="33.75" x14ac:dyDescent="0.2">
      <c r="A567" s="575" t="s">
        <v>787</v>
      </c>
      <c r="B567" s="684" t="s">
        <v>9021</v>
      </c>
      <c r="C567" s="1823" t="s">
        <v>9022</v>
      </c>
      <c r="D567" s="1823"/>
      <c r="E567" s="1823"/>
      <c r="F567" s="573" t="s">
        <v>617</v>
      </c>
      <c r="G567" s="573"/>
      <c r="H567" s="573"/>
      <c r="I567" s="573" t="s">
        <v>186</v>
      </c>
      <c r="J567" s="572">
        <v>28.54</v>
      </c>
      <c r="K567" s="573"/>
      <c r="L567" s="572">
        <v>57.08</v>
      </c>
      <c r="M567" s="573"/>
      <c r="N567" s="570"/>
      <c r="T567" s="674"/>
      <c r="U567" s="675"/>
      <c r="V567" s="675" t="s">
        <v>9022</v>
      </c>
      <c r="AB567" s="675"/>
      <c r="AC567" s="675"/>
      <c r="AE567" s="675"/>
      <c r="AF567" s="680"/>
    </row>
    <row r="568" spans="1:32" s="536" customFormat="1" ht="12" x14ac:dyDescent="0.2">
      <c r="A568" s="569"/>
      <c r="B568" s="683"/>
      <c r="C568" s="689" t="s">
        <v>717</v>
      </c>
      <c r="D568" s="690"/>
      <c r="E568" s="690"/>
      <c r="F568" s="563"/>
      <c r="G568" s="563"/>
      <c r="H568" s="563"/>
      <c r="I568" s="563"/>
      <c r="J568" s="566"/>
      <c r="K568" s="563"/>
      <c r="L568" s="566"/>
      <c r="M568" s="565"/>
      <c r="N568" s="564"/>
      <c r="T568" s="674"/>
      <c r="U568" s="675"/>
      <c r="V568" s="675"/>
      <c r="AB568" s="675"/>
      <c r="AC568" s="675"/>
      <c r="AE568" s="675"/>
      <c r="AF568" s="680"/>
    </row>
    <row r="569" spans="1:32" s="536" customFormat="1" ht="33.75" x14ac:dyDescent="0.2">
      <c r="A569" s="575" t="s">
        <v>624</v>
      </c>
      <c r="B569" s="684" t="s">
        <v>6744</v>
      </c>
      <c r="C569" s="1823" t="s">
        <v>9023</v>
      </c>
      <c r="D569" s="1823"/>
      <c r="E569" s="1823"/>
      <c r="F569" s="573" t="s">
        <v>1110</v>
      </c>
      <c r="G569" s="573"/>
      <c r="H569" s="573"/>
      <c r="I569" s="573" t="s">
        <v>2761</v>
      </c>
      <c r="J569" s="572"/>
      <c r="K569" s="573"/>
      <c r="L569" s="572"/>
      <c r="M569" s="573"/>
      <c r="N569" s="570"/>
      <c r="T569" s="674"/>
      <c r="U569" s="675"/>
      <c r="V569" s="675" t="s">
        <v>9023</v>
      </c>
      <c r="AB569" s="675"/>
      <c r="AC569" s="675"/>
      <c r="AE569" s="675"/>
      <c r="AF569" s="680"/>
    </row>
    <row r="570" spans="1:32" s="536" customFormat="1" ht="12" x14ac:dyDescent="0.2">
      <c r="A570" s="676"/>
      <c r="B570" s="682"/>
      <c r="C570" s="1822" t="s">
        <v>9117</v>
      </c>
      <c r="D570" s="1822"/>
      <c r="E570" s="1822"/>
      <c r="F570" s="1822"/>
      <c r="G570" s="1822"/>
      <c r="H570" s="1822"/>
      <c r="I570" s="1822"/>
      <c r="J570" s="1822"/>
      <c r="K570" s="1822"/>
      <c r="L570" s="1822"/>
      <c r="M570" s="1822"/>
      <c r="N570" s="1827"/>
      <c r="T570" s="674"/>
      <c r="U570" s="675"/>
      <c r="V570" s="675"/>
      <c r="W570" s="537" t="s">
        <v>9117</v>
      </c>
      <c r="AB570" s="675"/>
      <c r="AC570" s="675"/>
      <c r="AE570" s="675"/>
      <c r="AF570" s="680"/>
    </row>
    <row r="571" spans="1:32" s="536" customFormat="1" ht="33.75" x14ac:dyDescent="0.2">
      <c r="A571" s="609"/>
      <c r="B571" s="552" t="s">
        <v>310</v>
      </c>
      <c r="C571" s="1822" t="s">
        <v>311</v>
      </c>
      <c r="D571" s="1822"/>
      <c r="E571" s="1822"/>
      <c r="F571" s="1822"/>
      <c r="G571" s="1822"/>
      <c r="H571" s="1822"/>
      <c r="I571" s="1822"/>
      <c r="J571" s="1822"/>
      <c r="K571" s="1822"/>
      <c r="L571" s="1822"/>
      <c r="M571" s="1822"/>
      <c r="N571" s="1827"/>
      <c r="T571" s="674"/>
      <c r="U571" s="675"/>
      <c r="V571" s="675"/>
      <c r="X571" s="537" t="s">
        <v>311</v>
      </c>
      <c r="AB571" s="675"/>
      <c r="AC571" s="675"/>
      <c r="AE571" s="675"/>
      <c r="AF571" s="680"/>
    </row>
    <row r="572" spans="1:32" s="536" customFormat="1" ht="12" x14ac:dyDescent="0.2">
      <c r="A572" s="605"/>
      <c r="B572" s="552" t="s">
        <v>185</v>
      </c>
      <c r="C572" s="1822" t="s">
        <v>312</v>
      </c>
      <c r="D572" s="1822"/>
      <c r="E572" s="1822"/>
      <c r="F572" s="562"/>
      <c r="G572" s="562"/>
      <c r="H572" s="562"/>
      <c r="I572" s="562"/>
      <c r="J572" s="604">
        <v>196.82</v>
      </c>
      <c r="K572" s="562" t="s">
        <v>313</v>
      </c>
      <c r="L572" s="604">
        <v>104.56</v>
      </c>
      <c r="M572" s="562"/>
      <c r="N572" s="602"/>
      <c r="T572" s="674"/>
      <c r="U572" s="675"/>
      <c r="V572" s="675"/>
      <c r="Y572" s="537" t="s">
        <v>312</v>
      </c>
      <c r="AB572" s="675"/>
      <c r="AC572" s="675"/>
      <c r="AE572" s="675"/>
      <c r="AF572" s="680"/>
    </row>
    <row r="573" spans="1:32" s="536" customFormat="1" ht="12" x14ac:dyDescent="0.2">
      <c r="A573" s="605"/>
      <c r="B573" s="552" t="s">
        <v>186</v>
      </c>
      <c r="C573" s="1822" t="s">
        <v>344</v>
      </c>
      <c r="D573" s="1822"/>
      <c r="E573" s="1822"/>
      <c r="F573" s="562"/>
      <c r="G573" s="562"/>
      <c r="H573" s="562"/>
      <c r="I573" s="562"/>
      <c r="J573" s="604">
        <v>750.41</v>
      </c>
      <c r="K573" s="562" t="s">
        <v>313</v>
      </c>
      <c r="L573" s="604">
        <v>398.66</v>
      </c>
      <c r="M573" s="562"/>
      <c r="N573" s="602"/>
      <c r="T573" s="674"/>
      <c r="U573" s="675"/>
      <c r="V573" s="675"/>
      <c r="Y573" s="537" t="s">
        <v>344</v>
      </c>
      <c r="AB573" s="675"/>
      <c r="AC573" s="675"/>
      <c r="AE573" s="675"/>
      <c r="AF573" s="680"/>
    </row>
    <row r="574" spans="1:32" s="536" customFormat="1" ht="12" x14ac:dyDescent="0.2">
      <c r="A574" s="605"/>
      <c r="B574" s="552" t="s">
        <v>187</v>
      </c>
      <c r="C574" s="1822" t="s">
        <v>345</v>
      </c>
      <c r="D574" s="1822"/>
      <c r="E574" s="1822"/>
      <c r="F574" s="562"/>
      <c r="G574" s="562"/>
      <c r="H574" s="562"/>
      <c r="I574" s="562"/>
      <c r="J574" s="604">
        <v>84.38</v>
      </c>
      <c r="K574" s="562" t="s">
        <v>313</v>
      </c>
      <c r="L574" s="604">
        <v>44.83</v>
      </c>
      <c r="M574" s="562"/>
      <c r="N574" s="602"/>
      <c r="T574" s="674"/>
      <c r="U574" s="675"/>
      <c r="V574" s="675"/>
      <c r="Y574" s="537" t="s">
        <v>345</v>
      </c>
      <c r="AB574" s="675"/>
      <c r="AC574" s="675"/>
      <c r="AE574" s="675"/>
      <c r="AF574" s="680"/>
    </row>
    <row r="575" spans="1:32" s="536" customFormat="1" ht="12" x14ac:dyDescent="0.2">
      <c r="A575" s="605"/>
      <c r="B575" s="552" t="s">
        <v>188</v>
      </c>
      <c r="C575" s="1822" t="s">
        <v>475</v>
      </c>
      <c r="D575" s="1822"/>
      <c r="E575" s="1822"/>
      <c r="F575" s="562"/>
      <c r="G575" s="562"/>
      <c r="H575" s="562"/>
      <c r="I575" s="562"/>
      <c r="J575" s="604">
        <v>10.57</v>
      </c>
      <c r="K575" s="562"/>
      <c r="L575" s="604">
        <v>4.49</v>
      </c>
      <c r="M575" s="562"/>
      <c r="N575" s="602"/>
      <c r="T575" s="674"/>
      <c r="U575" s="675"/>
      <c r="V575" s="675"/>
      <c r="Y575" s="537" t="s">
        <v>475</v>
      </c>
      <c r="AB575" s="675"/>
      <c r="AC575" s="675"/>
      <c r="AE575" s="675"/>
      <c r="AF575" s="680"/>
    </row>
    <row r="576" spans="1:32" s="536" customFormat="1" ht="12" x14ac:dyDescent="0.2">
      <c r="A576" s="676"/>
      <c r="B576" s="677" t="s">
        <v>6747</v>
      </c>
      <c r="C576" s="1829" t="s">
        <v>6748</v>
      </c>
      <c r="D576" s="1829"/>
      <c r="E576" s="1829"/>
      <c r="F576" s="678" t="s">
        <v>483</v>
      </c>
      <c r="G576" s="678" t="s">
        <v>4636</v>
      </c>
      <c r="H576" s="678"/>
      <c r="I576" s="678" t="s">
        <v>4417</v>
      </c>
      <c r="J576" s="552"/>
      <c r="K576" s="562"/>
      <c r="L576" s="604"/>
      <c r="M576" s="562"/>
      <c r="N576" s="679"/>
      <c r="T576" s="674"/>
      <c r="U576" s="675"/>
      <c r="V576" s="675"/>
      <c r="AB576" s="675"/>
      <c r="AC576" s="675"/>
      <c r="AE576" s="675"/>
      <c r="AF576" s="680" t="s">
        <v>6748</v>
      </c>
    </row>
    <row r="577" spans="1:32" s="536" customFormat="1" ht="12" x14ac:dyDescent="0.2">
      <c r="A577" s="605"/>
      <c r="B577" s="552"/>
      <c r="C577" s="1822" t="s">
        <v>314</v>
      </c>
      <c r="D577" s="1822"/>
      <c r="E577" s="1822"/>
      <c r="F577" s="562" t="s">
        <v>315</v>
      </c>
      <c r="G577" s="562" t="s">
        <v>6749</v>
      </c>
      <c r="H577" s="562" t="s">
        <v>313</v>
      </c>
      <c r="I577" s="562" t="s">
        <v>9118</v>
      </c>
      <c r="J577" s="604"/>
      <c r="K577" s="562"/>
      <c r="L577" s="604"/>
      <c r="M577" s="562"/>
      <c r="N577" s="602"/>
      <c r="T577" s="674"/>
      <c r="U577" s="675"/>
      <c r="V577" s="675"/>
      <c r="Z577" s="537" t="s">
        <v>314</v>
      </c>
      <c r="AB577" s="675"/>
      <c r="AC577" s="675"/>
      <c r="AE577" s="675"/>
      <c r="AF577" s="680"/>
    </row>
    <row r="578" spans="1:32" s="536" customFormat="1" ht="12" x14ac:dyDescent="0.2">
      <c r="A578" s="605"/>
      <c r="B578" s="552"/>
      <c r="C578" s="1822" t="s">
        <v>348</v>
      </c>
      <c r="D578" s="1822"/>
      <c r="E578" s="1822"/>
      <c r="F578" s="562" t="s">
        <v>315</v>
      </c>
      <c r="G578" s="562" t="s">
        <v>434</v>
      </c>
      <c r="H578" s="562" t="s">
        <v>313</v>
      </c>
      <c r="I578" s="562" t="s">
        <v>9119</v>
      </c>
      <c r="J578" s="604"/>
      <c r="K578" s="562"/>
      <c r="L578" s="604"/>
      <c r="M578" s="562"/>
      <c r="N578" s="602"/>
      <c r="T578" s="674"/>
      <c r="U578" s="675"/>
      <c r="V578" s="675"/>
      <c r="Z578" s="537" t="s">
        <v>348</v>
      </c>
      <c r="AB578" s="675"/>
      <c r="AC578" s="675"/>
      <c r="AE578" s="675"/>
      <c r="AF578" s="680"/>
    </row>
    <row r="579" spans="1:32" s="536" customFormat="1" ht="12" x14ac:dyDescent="0.2">
      <c r="A579" s="605"/>
      <c r="B579" s="552"/>
      <c r="C579" s="1828" t="s">
        <v>318</v>
      </c>
      <c r="D579" s="1828"/>
      <c r="E579" s="1828"/>
      <c r="F579" s="608"/>
      <c r="G579" s="608"/>
      <c r="H579" s="608"/>
      <c r="I579" s="608"/>
      <c r="J579" s="607">
        <v>957.8</v>
      </c>
      <c r="K579" s="608"/>
      <c r="L579" s="607">
        <v>507.71</v>
      </c>
      <c r="M579" s="608"/>
      <c r="N579" s="606"/>
      <c r="T579" s="674"/>
      <c r="U579" s="675"/>
      <c r="V579" s="675"/>
      <c r="AA579" s="537" t="s">
        <v>318</v>
      </c>
      <c r="AB579" s="675"/>
      <c r="AC579" s="675"/>
      <c r="AE579" s="675"/>
      <c r="AF579" s="680"/>
    </row>
    <row r="580" spans="1:32" s="536" customFormat="1" ht="12" x14ac:dyDescent="0.2">
      <c r="A580" s="605"/>
      <c r="B580" s="552"/>
      <c r="C580" s="1822" t="s">
        <v>319</v>
      </c>
      <c r="D580" s="1822"/>
      <c r="E580" s="1822"/>
      <c r="F580" s="562"/>
      <c r="G580" s="562"/>
      <c r="H580" s="562"/>
      <c r="I580" s="562"/>
      <c r="J580" s="604"/>
      <c r="K580" s="562"/>
      <c r="L580" s="604">
        <v>149.38999999999999</v>
      </c>
      <c r="M580" s="562"/>
      <c r="N580" s="602"/>
      <c r="T580" s="674"/>
      <c r="U580" s="675"/>
      <c r="V580" s="675"/>
      <c r="Z580" s="537" t="s">
        <v>319</v>
      </c>
      <c r="AB580" s="675"/>
      <c r="AC580" s="675"/>
      <c r="AE580" s="675"/>
      <c r="AF580" s="680"/>
    </row>
    <row r="581" spans="1:32" s="536" customFormat="1" ht="33.75" x14ac:dyDescent="0.2">
      <c r="A581" s="605"/>
      <c r="B581" s="552" t="s">
        <v>533</v>
      </c>
      <c r="C581" s="1822" t="s">
        <v>534</v>
      </c>
      <c r="D581" s="1822"/>
      <c r="E581" s="1822"/>
      <c r="F581" s="562" t="s">
        <v>322</v>
      </c>
      <c r="G581" s="562" t="s">
        <v>535</v>
      </c>
      <c r="H581" s="562"/>
      <c r="I581" s="562" t="s">
        <v>535</v>
      </c>
      <c r="J581" s="604"/>
      <c r="K581" s="562"/>
      <c r="L581" s="604">
        <v>174.79</v>
      </c>
      <c r="M581" s="562"/>
      <c r="N581" s="602"/>
      <c r="T581" s="674"/>
      <c r="U581" s="675"/>
      <c r="V581" s="675"/>
      <c r="Z581" s="537" t="s">
        <v>534</v>
      </c>
      <c r="AB581" s="675"/>
      <c r="AC581" s="675"/>
      <c r="AE581" s="675"/>
      <c r="AF581" s="680"/>
    </row>
    <row r="582" spans="1:32" s="536" customFormat="1" ht="33.75" x14ac:dyDescent="0.2">
      <c r="A582" s="605"/>
      <c r="B582" s="552" t="s">
        <v>536</v>
      </c>
      <c r="C582" s="1822" t="s">
        <v>537</v>
      </c>
      <c r="D582" s="1822"/>
      <c r="E582" s="1822"/>
      <c r="F582" s="562" t="s">
        <v>322</v>
      </c>
      <c r="G582" s="562" t="s">
        <v>538</v>
      </c>
      <c r="H582" s="562"/>
      <c r="I582" s="562" t="s">
        <v>538</v>
      </c>
      <c r="J582" s="604"/>
      <c r="K582" s="562"/>
      <c r="L582" s="604">
        <v>110.55</v>
      </c>
      <c r="M582" s="562"/>
      <c r="N582" s="602"/>
      <c r="T582" s="674"/>
      <c r="U582" s="675"/>
      <c r="V582" s="675"/>
      <c r="Z582" s="537" t="s">
        <v>537</v>
      </c>
      <c r="AB582" s="675"/>
      <c r="AC582" s="675"/>
      <c r="AE582" s="675"/>
      <c r="AF582" s="680"/>
    </row>
    <row r="583" spans="1:32" s="536" customFormat="1" ht="12" x14ac:dyDescent="0.2">
      <c r="A583" s="569"/>
      <c r="B583" s="683"/>
      <c r="C583" s="1823" t="s">
        <v>327</v>
      </c>
      <c r="D583" s="1823"/>
      <c r="E583" s="1823"/>
      <c r="F583" s="573"/>
      <c r="G583" s="573"/>
      <c r="H583" s="573"/>
      <c r="I583" s="573"/>
      <c r="J583" s="572"/>
      <c r="K583" s="573"/>
      <c r="L583" s="572">
        <v>793.05</v>
      </c>
      <c r="M583" s="608"/>
      <c r="N583" s="570"/>
      <c r="T583" s="674"/>
      <c r="U583" s="675"/>
      <c r="V583" s="675"/>
      <c r="AB583" s="675" t="s">
        <v>327</v>
      </c>
      <c r="AC583" s="675"/>
      <c r="AE583" s="675"/>
      <c r="AF583" s="680"/>
    </row>
    <row r="584" spans="1:32" s="536" customFormat="1" ht="56.25" x14ac:dyDescent="0.2">
      <c r="A584" s="575" t="s">
        <v>1784</v>
      </c>
      <c r="B584" s="684" t="s">
        <v>9028</v>
      </c>
      <c r="C584" s="1823" t="s">
        <v>9029</v>
      </c>
      <c r="D584" s="1823"/>
      <c r="E584" s="1823"/>
      <c r="F584" s="573" t="s">
        <v>483</v>
      </c>
      <c r="G584" s="573"/>
      <c r="H584" s="573"/>
      <c r="I584" s="573" t="s">
        <v>4417</v>
      </c>
      <c r="J584" s="572">
        <v>66.95</v>
      </c>
      <c r="K584" s="573"/>
      <c r="L584" s="572">
        <v>2873.83</v>
      </c>
      <c r="M584" s="573"/>
      <c r="N584" s="570"/>
      <c r="T584" s="674"/>
      <c r="U584" s="675"/>
      <c r="V584" s="675" t="s">
        <v>9029</v>
      </c>
      <c r="AB584" s="675"/>
      <c r="AC584" s="675"/>
      <c r="AE584" s="675"/>
      <c r="AF584" s="680"/>
    </row>
    <row r="585" spans="1:32" s="536" customFormat="1" ht="12" x14ac:dyDescent="0.2">
      <c r="A585" s="569"/>
      <c r="B585" s="683"/>
      <c r="C585" s="689" t="s">
        <v>717</v>
      </c>
      <c r="D585" s="690"/>
      <c r="E585" s="690"/>
      <c r="F585" s="563"/>
      <c r="G585" s="563"/>
      <c r="H585" s="563"/>
      <c r="I585" s="563"/>
      <c r="J585" s="566"/>
      <c r="K585" s="563"/>
      <c r="L585" s="566"/>
      <c r="M585" s="565"/>
      <c r="N585" s="564"/>
      <c r="T585" s="674"/>
      <c r="U585" s="675"/>
      <c r="V585" s="675"/>
      <c r="AB585" s="675"/>
      <c r="AC585" s="675"/>
      <c r="AE585" s="675"/>
      <c r="AF585" s="680"/>
    </row>
    <row r="586" spans="1:32" s="536" customFormat="1" ht="33.75" x14ac:dyDescent="0.2">
      <c r="A586" s="575" t="s">
        <v>789</v>
      </c>
      <c r="B586" s="684" t="s">
        <v>9030</v>
      </c>
      <c r="C586" s="1823" t="s">
        <v>9031</v>
      </c>
      <c r="D586" s="1823"/>
      <c r="E586" s="1823"/>
      <c r="F586" s="573" t="s">
        <v>694</v>
      </c>
      <c r="G586" s="573"/>
      <c r="H586" s="573"/>
      <c r="I586" s="573" t="s">
        <v>9120</v>
      </c>
      <c r="J586" s="572"/>
      <c r="K586" s="573"/>
      <c r="L586" s="572"/>
      <c r="M586" s="573"/>
      <c r="N586" s="570"/>
      <c r="T586" s="674"/>
      <c r="U586" s="675"/>
      <c r="V586" s="675" t="s">
        <v>9031</v>
      </c>
      <c r="AB586" s="675"/>
      <c r="AC586" s="675"/>
      <c r="AE586" s="675"/>
      <c r="AF586" s="680"/>
    </row>
    <row r="587" spans="1:32" s="536" customFormat="1" ht="12" x14ac:dyDescent="0.2">
      <c r="A587" s="676"/>
      <c r="B587" s="682"/>
      <c r="C587" s="1822" t="s">
        <v>9121</v>
      </c>
      <c r="D587" s="1822"/>
      <c r="E587" s="1822"/>
      <c r="F587" s="1822"/>
      <c r="G587" s="1822"/>
      <c r="H587" s="1822"/>
      <c r="I587" s="1822"/>
      <c r="J587" s="1822"/>
      <c r="K587" s="1822"/>
      <c r="L587" s="1822"/>
      <c r="M587" s="1822"/>
      <c r="N587" s="1827"/>
      <c r="T587" s="674"/>
      <c r="U587" s="675"/>
      <c r="V587" s="675"/>
      <c r="W587" s="537" t="s">
        <v>9121</v>
      </c>
      <c r="AB587" s="675"/>
      <c r="AC587" s="675"/>
      <c r="AE587" s="675"/>
      <c r="AF587" s="680"/>
    </row>
    <row r="588" spans="1:32" s="536" customFormat="1" ht="33.75" x14ac:dyDescent="0.2">
      <c r="A588" s="609"/>
      <c r="B588" s="552" t="s">
        <v>310</v>
      </c>
      <c r="C588" s="1822" t="s">
        <v>311</v>
      </c>
      <c r="D588" s="1822"/>
      <c r="E588" s="1822"/>
      <c r="F588" s="1822"/>
      <c r="G588" s="1822"/>
      <c r="H588" s="1822"/>
      <c r="I588" s="1822"/>
      <c r="J588" s="1822"/>
      <c r="K588" s="1822"/>
      <c r="L588" s="1822"/>
      <c r="M588" s="1822"/>
      <c r="N588" s="1827"/>
      <c r="T588" s="674"/>
      <c r="U588" s="675"/>
      <c r="V588" s="675"/>
      <c r="X588" s="537" t="s">
        <v>311</v>
      </c>
      <c r="AB588" s="675"/>
      <c r="AC588" s="675"/>
      <c r="AE588" s="675"/>
      <c r="AF588" s="680"/>
    </row>
    <row r="589" spans="1:32" s="536" customFormat="1" ht="12" x14ac:dyDescent="0.2">
      <c r="A589" s="605"/>
      <c r="B589" s="552" t="s">
        <v>185</v>
      </c>
      <c r="C589" s="1822" t="s">
        <v>312</v>
      </c>
      <c r="D589" s="1822"/>
      <c r="E589" s="1822"/>
      <c r="F589" s="562"/>
      <c r="G589" s="562"/>
      <c r="H589" s="562"/>
      <c r="I589" s="562"/>
      <c r="J589" s="604">
        <v>667.55</v>
      </c>
      <c r="K589" s="562" t="s">
        <v>313</v>
      </c>
      <c r="L589" s="604">
        <v>25.87</v>
      </c>
      <c r="M589" s="562"/>
      <c r="N589" s="602"/>
      <c r="T589" s="674"/>
      <c r="U589" s="675"/>
      <c r="V589" s="675"/>
      <c r="Y589" s="537" t="s">
        <v>312</v>
      </c>
      <c r="AB589" s="675"/>
      <c r="AC589" s="675"/>
      <c r="AE589" s="675"/>
      <c r="AF589" s="680"/>
    </row>
    <row r="590" spans="1:32" s="536" customFormat="1" ht="12" x14ac:dyDescent="0.2">
      <c r="A590" s="605"/>
      <c r="B590" s="552" t="s">
        <v>186</v>
      </c>
      <c r="C590" s="1822" t="s">
        <v>344</v>
      </c>
      <c r="D590" s="1822"/>
      <c r="E590" s="1822"/>
      <c r="F590" s="562"/>
      <c r="G590" s="562"/>
      <c r="H590" s="562"/>
      <c r="I590" s="562"/>
      <c r="J590" s="604">
        <v>252.16</v>
      </c>
      <c r="K590" s="562" t="s">
        <v>313</v>
      </c>
      <c r="L590" s="604">
        <v>9.77</v>
      </c>
      <c r="M590" s="562"/>
      <c r="N590" s="602"/>
      <c r="T590" s="674"/>
      <c r="U590" s="675"/>
      <c r="V590" s="675"/>
      <c r="Y590" s="537" t="s">
        <v>344</v>
      </c>
      <c r="AB590" s="675"/>
      <c r="AC590" s="675"/>
      <c r="AE590" s="675"/>
      <c r="AF590" s="680"/>
    </row>
    <row r="591" spans="1:32" s="536" customFormat="1" ht="12" x14ac:dyDescent="0.2">
      <c r="A591" s="605"/>
      <c r="B591" s="552" t="s">
        <v>187</v>
      </c>
      <c r="C591" s="1822" t="s">
        <v>345</v>
      </c>
      <c r="D591" s="1822"/>
      <c r="E591" s="1822"/>
      <c r="F591" s="562"/>
      <c r="G591" s="562"/>
      <c r="H591" s="562"/>
      <c r="I591" s="562"/>
      <c r="J591" s="604">
        <v>3.35</v>
      </c>
      <c r="K591" s="562" t="s">
        <v>313</v>
      </c>
      <c r="L591" s="604">
        <v>0.13</v>
      </c>
      <c r="M591" s="562"/>
      <c r="N591" s="602"/>
      <c r="T591" s="674"/>
      <c r="U591" s="675"/>
      <c r="V591" s="675"/>
      <c r="Y591" s="537" t="s">
        <v>345</v>
      </c>
      <c r="AB591" s="675"/>
      <c r="AC591" s="675"/>
      <c r="AE591" s="675"/>
      <c r="AF591" s="680"/>
    </row>
    <row r="592" spans="1:32" s="536" customFormat="1" ht="12" x14ac:dyDescent="0.2">
      <c r="A592" s="605"/>
      <c r="B592" s="552" t="s">
        <v>188</v>
      </c>
      <c r="C592" s="1822" t="s">
        <v>475</v>
      </c>
      <c r="D592" s="1822"/>
      <c r="E592" s="1822"/>
      <c r="F592" s="562"/>
      <c r="G592" s="562"/>
      <c r="H592" s="562"/>
      <c r="I592" s="562"/>
      <c r="J592" s="604">
        <v>238.18</v>
      </c>
      <c r="K592" s="562"/>
      <c r="L592" s="604">
        <v>7.38</v>
      </c>
      <c r="M592" s="562"/>
      <c r="N592" s="602"/>
      <c r="T592" s="674"/>
      <c r="U592" s="675"/>
      <c r="V592" s="675"/>
      <c r="Y592" s="537" t="s">
        <v>475</v>
      </c>
      <c r="AB592" s="675"/>
      <c r="AC592" s="675"/>
      <c r="AE592" s="675"/>
      <c r="AF592" s="680"/>
    </row>
    <row r="593" spans="1:32" s="536" customFormat="1" ht="12" x14ac:dyDescent="0.2">
      <c r="A593" s="676"/>
      <c r="B593" s="677" t="s">
        <v>5150</v>
      </c>
      <c r="C593" s="1829" t="s">
        <v>1229</v>
      </c>
      <c r="D593" s="1829"/>
      <c r="E593" s="1829"/>
      <c r="F593" s="678" t="s">
        <v>694</v>
      </c>
      <c r="G593" s="678" t="s">
        <v>185</v>
      </c>
      <c r="H593" s="678"/>
      <c r="I593" s="678" t="s">
        <v>9120</v>
      </c>
      <c r="J593" s="552"/>
      <c r="K593" s="562"/>
      <c r="L593" s="604"/>
      <c r="M593" s="562"/>
      <c r="N593" s="679"/>
      <c r="T593" s="674"/>
      <c r="U593" s="675"/>
      <c r="V593" s="675"/>
      <c r="AB593" s="675"/>
      <c r="AC593" s="675"/>
      <c r="AE593" s="675"/>
      <c r="AF593" s="680" t="s">
        <v>1229</v>
      </c>
    </row>
    <row r="594" spans="1:32" s="536" customFormat="1" ht="12" x14ac:dyDescent="0.2">
      <c r="A594" s="605"/>
      <c r="B594" s="552"/>
      <c r="C594" s="1822" t="s">
        <v>314</v>
      </c>
      <c r="D594" s="1822"/>
      <c r="E594" s="1822"/>
      <c r="F594" s="562" t="s">
        <v>315</v>
      </c>
      <c r="G594" s="562" t="s">
        <v>9034</v>
      </c>
      <c r="H594" s="562" t="s">
        <v>313</v>
      </c>
      <c r="I594" s="562" t="s">
        <v>9122</v>
      </c>
      <c r="J594" s="604"/>
      <c r="K594" s="562"/>
      <c r="L594" s="604"/>
      <c r="M594" s="562"/>
      <c r="N594" s="602"/>
      <c r="T594" s="674"/>
      <c r="U594" s="675"/>
      <c r="V594" s="675"/>
      <c r="Z594" s="537" t="s">
        <v>314</v>
      </c>
      <c r="AB594" s="675"/>
      <c r="AC594" s="675"/>
      <c r="AE594" s="675"/>
      <c r="AF594" s="680"/>
    </row>
    <row r="595" spans="1:32" s="536" customFormat="1" ht="12" x14ac:dyDescent="0.2">
      <c r="A595" s="605"/>
      <c r="B595" s="552"/>
      <c r="C595" s="1822" t="s">
        <v>348</v>
      </c>
      <c r="D595" s="1822"/>
      <c r="E595" s="1822"/>
      <c r="F595" s="562" t="s">
        <v>315</v>
      </c>
      <c r="G595" s="562" t="s">
        <v>1846</v>
      </c>
      <c r="H595" s="562" t="s">
        <v>313</v>
      </c>
      <c r="I595" s="562" t="s">
        <v>9123</v>
      </c>
      <c r="J595" s="604"/>
      <c r="K595" s="562"/>
      <c r="L595" s="604"/>
      <c r="M595" s="562"/>
      <c r="N595" s="602"/>
      <c r="T595" s="674"/>
      <c r="U595" s="675"/>
      <c r="V595" s="675"/>
      <c r="Z595" s="537" t="s">
        <v>348</v>
      </c>
      <c r="AB595" s="675"/>
      <c r="AC595" s="675"/>
      <c r="AE595" s="675"/>
      <c r="AF595" s="680"/>
    </row>
    <row r="596" spans="1:32" s="536" customFormat="1" ht="12" x14ac:dyDescent="0.2">
      <c r="A596" s="605"/>
      <c r="B596" s="552"/>
      <c r="C596" s="1828" t="s">
        <v>318</v>
      </c>
      <c r="D596" s="1828"/>
      <c r="E596" s="1828"/>
      <c r="F596" s="608"/>
      <c r="G596" s="608"/>
      <c r="H596" s="608"/>
      <c r="I596" s="608"/>
      <c r="J596" s="607">
        <v>1157.8900000000001</v>
      </c>
      <c r="K596" s="608"/>
      <c r="L596" s="607">
        <v>43.02</v>
      </c>
      <c r="M596" s="608"/>
      <c r="N596" s="606"/>
      <c r="T596" s="674"/>
      <c r="U596" s="675"/>
      <c r="V596" s="675"/>
      <c r="AA596" s="537" t="s">
        <v>318</v>
      </c>
      <c r="AB596" s="675"/>
      <c r="AC596" s="675"/>
      <c r="AE596" s="675"/>
      <c r="AF596" s="680"/>
    </row>
    <row r="597" spans="1:32" s="536" customFormat="1" ht="12" x14ac:dyDescent="0.2">
      <c r="A597" s="605"/>
      <c r="B597" s="552"/>
      <c r="C597" s="1822" t="s">
        <v>319</v>
      </c>
      <c r="D597" s="1822"/>
      <c r="E597" s="1822"/>
      <c r="F597" s="562"/>
      <c r="G597" s="562"/>
      <c r="H597" s="562"/>
      <c r="I597" s="562"/>
      <c r="J597" s="604"/>
      <c r="K597" s="562"/>
      <c r="L597" s="604">
        <v>26</v>
      </c>
      <c r="M597" s="562"/>
      <c r="N597" s="602"/>
      <c r="T597" s="674"/>
      <c r="U597" s="675"/>
      <c r="V597" s="675"/>
      <c r="Z597" s="537" t="s">
        <v>319</v>
      </c>
      <c r="AB597" s="675"/>
      <c r="AC597" s="675"/>
      <c r="AE597" s="675"/>
      <c r="AF597" s="680"/>
    </row>
    <row r="598" spans="1:32" s="536" customFormat="1" ht="33.75" x14ac:dyDescent="0.2">
      <c r="A598" s="605"/>
      <c r="B598" s="552" t="s">
        <v>648</v>
      </c>
      <c r="C598" s="1822" t="s">
        <v>649</v>
      </c>
      <c r="D598" s="1822"/>
      <c r="E598" s="1822"/>
      <c r="F598" s="562" t="s">
        <v>322</v>
      </c>
      <c r="G598" s="562" t="s">
        <v>650</v>
      </c>
      <c r="H598" s="562"/>
      <c r="I598" s="562" t="s">
        <v>650</v>
      </c>
      <c r="J598" s="604"/>
      <c r="K598" s="562"/>
      <c r="L598" s="604">
        <v>24.18</v>
      </c>
      <c r="M598" s="562"/>
      <c r="N598" s="602"/>
      <c r="T598" s="674"/>
      <c r="U598" s="675"/>
      <c r="V598" s="675"/>
      <c r="Z598" s="537" t="s">
        <v>649</v>
      </c>
      <c r="AB598" s="675"/>
      <c r="AC598" s="675"/>
      <c r="AE598" s="675"/>
      <c r="AF598" s="680"/>
    </row>
    <row r="599" spans="1:32" s="536" customFormat="1" ht="33.75" x14ac:dyDescent="0.2">
      <c r="A599" s="605"/>
      <c r="B599" s="552" t="s">
        <v>651</v>
      </c>
      <c r="C599" s="1822" t="s">
        <v>652</v>
      </c>
      <c r="D599" s="1822"/>
      <c r="E599" s="1822"/>
      <c r="F599" s="562" t="s">
        <v>322</v>
      </c>
      <c r="G599" s="562" t="s">
        <v>653</v>
      </c>
      <c r="H599" s="562"/>
      <c r="I599" s="562" t="s">
        <v>653</v>
      </c>
      <c r="J599" s="604"/>
      <c r="K599" s="562"/>
      <c r="L599" s="604">
        <v>16.12</v>
      </c>
      <c r="M599" s="562"/>
      <c r="N599" s="602"/>
      <c r="T599" s="674"/>
      <c r="U599" s="675"/>
      <c r="V599" s="675"/>
      <c r="Z599" s="537" t="s">
        <v>652</v>
      </c>
      <c r="AB599" s="675"/>
      <c r="AC599" s="675"/>
      <c r="AE599" s="675"/>
      <c r="AF599" s="680"/>
    </row>
    <row r="600" spans="1:32" s="536" customFormat="1" ht="12" x14ac:dyDescent="0.2">
      <c r="A600" s="569"/>
      <c r="B600" s="683"/>
      <c r="C600" s="1823" t="s">
        <v>327</v>
      </c>
      <c r="D600" s="1823"/>
      <c r="E600" s="1823"/>
      <c r="F600" s="573"/>
      <c r="G600" s="573"/>
      <c r="H600" s="573"/>
      <c r="I600" s="573"/>
      <c r="J600" s="572"/>
      <c r="K600" s="573"/>
      <c r="L600" s="572">
        <v>83.32</v>
      </c>
      <c r="M600" s="608"/>
      <c r="N600" s="570"/>
      <c r="T600" s="674"/>
      <c r="U600" s="675"/>
      <c r="V600" s="675"/>
      <c r="AB600" s="675" t="s">
        <v>327</v>
      </c>
      <c r="AC600" s="675"/>
      <c r="AE600" s="675"/>
      <c r="AF600" s="680"/>
    </row>
    <row r="601" spans="1:32" s="536" customFormat="1" ht="22.5" x14ac:dyDescent="0.2">
      <c r="A601" s="575" t="s">
        <v>2339</v>
      </c>
      <c r="B601" s="684" t="s">
        <v>6757</v>
      </c>
      <c r="C601" s="1823" t="s">
        <v>6758</v>
      </c>
      <c r="D601" s="1823"/>
      <c r="E601" s="1823"/>
      <c r="F601" s="573" t="s">
        <v>694</v>
      </c>
      <c r="G601" s="573"/>
      <c r="H601" s="573"/>
      <c r="I601" s="573" t="s">
        <v>1292</v>
      </c>
      <c r="J601" s="572">
        <v>9719.25</v>
      </c>
      <c r="K601" s="573"/>
      <c r="L601" s="572">
        <v>291.58</v>
      </c>
      <c r="M601" s="573"/>
      <c r="N601" s="570"/>
      <c r="T601" s="674"/>
      <c r="U601" s="675"/>
      <c r="V601" s="675" t="s">
        <v>6758</v>
      </c>
      <c r="AB601" s="675"/>
      <c r="AC601" s="675"/>
      <c r="AE601" s="675"/>
      <c r="AF601" s="680"/>
    </row>
    <row r="602" spans="1:32" s="536" customFormat="1" ht="12" x14ac:dyDescent="0.2">
      <c r="A602" s="569"/>
      <c r="B602" s="683"/>
      <c r="C602" s="689" t="s">
        <v>717</v>
      </c>
      <c r="D602" s="690"/>
      <c r="E602" s="690"/>
      <c r="F602" s="563"/>
      <c r="G602" s="563"/>
      <c r="H602" s="563"/>
      <c r="I602" s="563"/>
      <c r="J602" s="566"/>
      <c r="K602" s="563"/>
      <c r="L602" s="566"/>
      <c r="M602" s="565"/>
      <c r="N602" s="564"/>
      <c r="T602" s="674"/>
      <c r="U602" s="675"/>
      <c r="V602" s="675"/>
      <c r="AB602" s="675"/>
      <c r="AC602" s="675"/>
      <c r="AE602" s="675"/>
      <c r="AF602" s="680"/>
    </row>
    <row r="603" spans="1:32" s="536" customFormat="1" ht="12" x14ac:dyDescent="0.2">
      <c r="A603" s="676"/>
      <c r="B603" s="682"/>
      <c r="C603" s="1822" t="s">
        <v>6794</v>
      </c>
      <c r="D603" s="1822"/>
      <c r="E603" s="1822"/>
      <c r="F603" s="1822"/>
      <c r="G603" s="1822"/>
      <c r="H603" s="1822"/>
      <c r="I603" s="1822"/>
      <c r="J603" s="1822"/>
      <c r="K603" s="1822"/>
      <c r="L603" s="1822"/>
      <c r="M603" s="1822"/>
      <c r="N603" s="1827"/>
      <c r="T603" s="674"/>
      <c r="U603" s="675"/>
      <c r="V603" s="675"/>
      <c r="W603" s="537" t="s">
        <v>6794</v>
      </c>
      <c r="AB603" s="675"/>
      <c r="AC603" s="675"/>
      <c r="AE603" s="675"/>
      <c r="AF603" s="680"/>
    </row>
    <row r="604" spans="1:32" s="536" customFormat="1" ht="12" x14ac:dyDescent="0.2">
      <c r="A604" s="1830" t="s">
        <v>9037</v>
      </c>
      <c r="B604" s="1831"/>
      <c r="C604" s="1831"/>
      <c r="D604" s="1831"/>
      <c r="E604" s="1831"/>
      <c r="F604" s="1831"/>
      <c r="G604" s="1831"/>
      <c r="H604" s="1831"/>
      <c r="I604" s="1831"/>
      <c r="J604" s="1831"/>
      <c r="K604" s="1831"/>
      <c r="L604" s="1831"/>
      <c r="M604" s="1831"/>
      <c r="N604" s="1832"/>
      <c r="T604" s="674"/>
      <c r="U604" s="675" t="s">
        <v>9037</v>
      </c>
      <c r="V604" s="675"/>
      <c r="AB604" s="675"/>
      <c r="AC604" s="675"/>
      <c r="AE604" s="675"/>
      <c r="AF604" s="680"/>
    </row>
    <row r="605" spans="1:32" s="536" customFormat="1" ht="45" x14ac:dyDescent="0.2">
      <c r="A605" s="575" t="s">
        <v>791</v>
      </c>
      <c r="B605" s="684" t="s">
        <v>9038</v>
      </c>
      <c r="C605" s="1823" t="s">
        <v>9039</v>
      </c>
      <c r="D605" s="1823"/>
      <c r="E605" s="1823"/>
      <c r="F605" s="573" t="s">
        <v>6785</v>
      </c>
      <c r="G605" s="573"/>
      <c r="H605" s="573"/>
      <c r="I605" s="573" t="s">
        <v>190</v>
      </c>
      <c r="J605" s="572"/>
      <c r="K605" s="573"/>
      <c r="L605" s="572"/>
      <c r="M605" s="573"/>
      <c r="N605" s="570"/>
      <c r="T605" s="674"/>
      <c r="U605" s="675"/>
      <c r="V605" s="675" t="s">
        <v>9039</v>
      </c>
      <c r="AB605" s="675"/>
      <c r="AC605" s="675"/>
      <c r="AE605" s="675"/>
      <c r="AF605" s="680"/>
    </row>
    <row r="606" spans="1:32" s="536" customFormat="1" ht="33.75" x14ac:dyDescent="0.2">
      <c r="A606" s="609"/>
      <c r="B606" s="552" t="s">
        <v>310</v>
      </c>
      <c r="C606" s="1822" t="s">
        <v>311</v>
      </c>
      <c r="D606" s="1822"/>
      <c r="E606" s="1822"/>
      <c r="F606" s="1822"/>
      <c r="G606" s="1822"/>
      <c r="H606" s="1822"/>
      <c r="I606" s="1822"/>
      <c r="J606" s="1822"/>
      <c r="K606" s="1822"/>
      <c r="L606" s="1822"/>
      <c r="M606" s="1822"/>
      <c r="N606" s="1827"/>
      <c r="T606" s="674"/>
      <c r="U606" s="675"/>
      <c r="V606" s="675"/>
      <c r="X606" s="537" t="s">
        <v>311</v>
      </c>
      <c r="AB606" s="675"/>
      <c r="AC606" s="675"/>
      <c r="AE606" s="675"/>
      <c r="AF606" s="680"/>
    </row>
    <row r="607" spans="1:32" s="536" customFormat="1" ht="12" x14ac:dyDescent="0.2">
      <c r="A607" s="605"/>
      <c r="B607" s="552" t="s">
        <v>185</v>
      </c>
      <c r="C607" s="1822" t="s">
        <v>312</v>
      </c>
      <c r="D607" s="1822"/>
      <c r="E607" s="1822"/>
      <c r="F607" s="562"/>
      <c r="G607" s="562"/>
      <c r="H607" s="562"/>
      <c r="I607" s="562"/>
      <c r="J607" s="604">
        <v>3.46</v>
      </c>
      <c r="K607" s="562" t="s">
        <v>313</v>
      </c>
      <c r="L607" s="604">
        <v>25.95</v>
      </c>
      <c r="M607" s="562"/>
      <c r="N607" s="602"/>
      <c r="T607" s="674"/>
      <c r="U607" s="675"/>
      <c r="V607" s="675"/>
      <c r="Y607" s="537" t="s">
        <v>312</v>
      </c>
      <c r="AB607" s="675"/>
      <c r="AC607" s="675"/>
      <c r="AE607" s="675"/>
      <c r="AF607" s="680"/>
    </row>
    <row r="608" spans="1:32" s="536" customFormat="1" ht="12" x14ac:dyDescent="0.2">
      <c r="A608" s="605"/>
      <c r="B608" s="552" t="s">
        <v>186</v>
      </c>
      <c r="C608" s="1822" t="s">
        <v>344</v>
      </c>
      <c r="D608" s="1822"/>
      <c r="E608" s="1822"/>
      <c r="F608" s="562"/>
      <c r="G608" s="562"/>
      <c r="H608" s="562"/>
      <c r="I608" s="562"/>
      <c r="J608" s="604">
        <v>9.5500000000000007</v>
      </c>
      <c r="K608" s="562" t="s">
        <v>313</v>
      </c>
      <c r="L608" s="604">
        <v>71.63</v>
      </c>
      <c r="M608" s="562"/>
      <c r="N608" s="602"/>
      <c r="T608" s="674"/>
      <c r="U608" s="675"/>
      <c r="V608" s="675"/>
      <c r="Y608" s="537" t="s">
        <v>344</v>
      </c>
      <c r="AB608" s="675"/>
      <c r="AC608" s="675"/>
      <c r="AE608" s="675"/>
      <c r="AF608" s="680"/>
    </row>
    <row r="609" spans="1:32" s="536" customFormat="1" ht="12" x14ac:dyDescent="0.2">
      <c r="A609" s="605"/>
      <c r="B609" s="552" t="s">
        <v>187</v>
      </c>
      <c r="C609" s="1822" t="s">
        <v>345</v>
      </c>
      <c r="D609" s="1822"/>
      <c r="E609" s="1822"/>
      <c r="F609" s="562"/>
      <c r="G609" s="562"/>
      <c r="H609" s="562"/>
      <c r="I609" s="562"/>
      <c r="J609" s="604">
        <v>2.09</v>
      </c>
      <c r="K609" s="562" t="s">
        <v>313</v>
      </c>
      <c r="L609" s="604">
        <v>15.68</v>
      </c>
      <c r="M609" s="562"/>
      <c r="N609" s="602"/>
      <c r="T609" s="674"/>
      <c r="U609" s="675"/>
      <c r="V609" s="675"/>
      <c r="Y609" s="537" t="s">
        <v>345</v>
      </c>
      <c r="AB609" s="675"/>
      <c r="AC609" s="675"/>
      <c r="AE609" s="675"/>
      <c r="AF609" s="680"/>
    </row>
    <row r="610" spans="1:32" s="536" customFormat="1" ht="12" x14ac:dyDescent="0.2">
      <c r="A610" s="605"/>
      <c r="B610" s="552" t="s">
        <v>188</v>
      </c>
      <c r="C610" s="1822" t="s">
        <v>475</v>
      </c>
      <c r="D610" s="1822"/>
      <c r="E610" s="1822"/>
      <c r="F610" s="562"/>
      <c r="G610" s="562"/>
      <c r="H610" s="562"/>
      <c r="I610" s="562"/>
      <c r="J610" s="604">
        <v>22.67</v>
      </c>
      <c r="K610" s="562"/>
      <c r="L610" s="604">
        <v>136.02000000000001</v>
      </c>
      <c r="M610" s="562"/>
      <c r="N610" s="602"/>
      <c r="T610" s="674"/>
      <c r="U610" s="675"/>
      <c r="V610" s="675"/>
      <c r="Y610" s="537" t="s">
        <v>475</v>
      </c>
      <c r="AB610" s="675"/>
      <c r="AC610" s="675"/>
      <c r="AE610" s="675"/>
      <c r="AF610" s="680"/>
    </row>
    <row r="611" spans="1:32" s="536" customFormat="1" ht="12" x14ac:dyDescent="0.2">
      <c r="A611" s="605"/>
      <c r="B611" s="552"/>
      <c r="C611" s="1822" t="s">
        <v>314</v>
      </c>
      <c r="D611" s="1822"/>
      <c r="E611" s="1822"/>
      <c r="F611" s="562" t="s">
        <v>315</v>
      </c>
      <c r="G611" s="562" t="s">
        <v>6812</v>
      </c>
      <c r="H611" s="562" t="s">
        <v>313</v>
      </c>
      <c r="I611" s="562" t="s">
        <v>1217</v>
      </c>
      <c r="J611" s="604"/>
      <c r="K611" s="562"/>
      <c r="L611" s="604"/>
      <c r="M611" s="562"/>
      <c r="N611" s="602"/>
      <c r="T611" s="674"/>
      <c r="U611" s="675"/>
      <c r="V611" s="675"/>
      <c r="Z611" s="537" t="s">
        <v>314</v>
      </c>
      <c r="AB611" s="675"/>
      <c r="AC611" s="675"/>
      <c r="AE611" s="675"/>
      <c r="AF611" s="680"/>
    </row>
    <row r="612" spans="1:32" s="536" customFormat="1" ht="12" x14ac:dyDescent="0.2">
      <c r="A612" s="605"/>
      <c r="B612" s="552"/>
      <c r="C612" s="1822" t="s">
        <v>348</v>
      </c>
      <c r="D612" s="1822"/>
      <c r="E612" s="1822"/>
      <c r="F612" s="562" t="s">
        <v>315</v>
      </c>
      <c r="G612" s="562" t="s">
        <v>1200</v>
      </c>
      <c r="H612" s="562" t="s">
        <v>313</v>
      </c>
      <c r="I612" s="562" t="s">
        <v>1201</v>
      </c>
      <c r="J612" s="604"/>
      <c r="K612" s="562"/>
      <c r="L612" s="604"/>
      <c r="M612" s="562"/>
      <c r="N612" s="602"/>
      <c r="T612" s="674"/>
      <c r="U612" s="675"/>
      <c r="V612" s="675"/>
      <c r="Z612" s="537" t="s">
        <v>348</v>
      </c>
      <c r="AB612" s="675"/>
      <c r="AC612" s="675"/>
      <c r="AE612" s="675"/>
      <c r="AF612" s="680"/>
    </row>
    <row r="613" spans="1:32" s="536" customFormat="1" ht="12" x14ac:dyDescent="0.2">
      <c r="A613" s="605"/>
      <c r="B613" s="552"/>
      <c r="C613" s="1828" t="s">
        <v>318</v>
      </c>
      <c r="D613" s="1828"/>
      <c r="E613" s="1828"/>
      <c r="F613" s="608"/>
      <c r="G613" s="608"/>
      <c r="H613" s="608"/>
      <c r="I613" s="608"/>
      <c r="J613" s="607">
        <v>35.68</v>
      </c>
      <c r="K613" s="608"/>
      <c r="L613" s="607">
        <v>233.6</v>
      </c>
      <c r="M613" s="608"/>
      <c r="N613" s="606"/>
      <c r="T613" s="674"/>
      <c r="U613" s="675"/>
      <c r="V613" s="675"/>
      <c r="AA613" s="537" t="s">
        <v>318</v>
      </c>
      <c r="AB613" s="675"/>
      <c r="AC613" s="675"/>
      <c r="AE613" s="675"/>
      <c r="AF613" s="680"/>
    </row>
    <row r="614" spans="1:32" s="536" customFormat="1" ht="12" x14ac:dyDescent="0.2">
      <c r="A614" s="605"/>
      <c r="B614" s="552"/>
      <c r="C614" s="1822" t="s">
        <v>319</v>
      </c>
      <c r="D614" s="1822"/>
      <c r="E614" s="1822"/>
      <c r="F614" s="562"/>
      <c r="G614" s="562"/>
      <c r="H614" s="562"/>
      <c r="I614" s="562"/>
      <c r="J614" s="604"/>
      <c r="K614" s="562"/>
      <c r="L614" s="604">
        <v>41.63</v>
      </c>
      <c r="M614" s="562"/>
      <c r="N614" s="602"/>
      <c r="T614" s="674"/>
      <c r="U614" s="675"/>
      <c r="V614" s="675"/>
      <c r="Z614" s="537" t="s">
        <v>319</v>
      </c>
      <c r="AB614" s="675"/>
      <c r="AC614" s="675"/>
      <c r="AE614" s="675"/>
      <c r="AF614" s="680"/>
    </row>
    <row r="615" spans="1:32" s="536" customFormat="1" ht="33.75" x14ac:dyDescent="0.2">
      <c r="A615" s="605"/>
      <c r="B615" s="552" t="s">
        <v>533</v>
      </c>
      <c r="C615" s="1822" t="s">
        <v>534</v>
      </c>
      <c r="D615" s="1822"/>
      <c r="E615" s="1822"/>
      <c r="F615" s="562" t="s">
        <v>322</v>
      </c>
      <c r="G615" s="562" t="s">
        <v>535</v>
      </c>
      <c r="H615" s="562"/>
      <c r="I615" s="562" t="s">
        <v>535</v>
      </c>
      <c r="J615" s="604"/>
      <c r="K615" s="562"/>
      <c r="L615" s="604">
        <v>48.71</v>
      </c>
      <c r="M615" s="562"/>
      <c r="N615" s="602"/>
      <c r="T615" s="674"/>
      <c r="U615" s="675"/>
      <c r="V615" s="675"/>
      <c r="Z615" s="537" t="s">
        <v>534</v>
      </c>
      <c r="AB615" s="675"/>
      <c r="AC615" s="675"/>
      <c r="AE615" s="675"/>
      <c r="AF615" s="680"/>
    </row>
    <row r="616" spans="1:32" s="536" customFormat="1" ht="33.75" x14ac:dyDescent="0.2">
      <c r="A616" s="605"/>
      <c r="B616" s="552" t="s">
        <v>536</v>
      </c>
      <c r="C616" s="1822" t="s">
        <v>537</v>
      </c>
      <c r="D616" s="1822"/>
      <c r="E616" s="1822"/>
      <c r="F616" s="562" t="s">
        <v>322</v>
      </c>
      <c r="G616" s="562" t="s">
        <v>538</v>
      </c>
      <c r="H616" s="562"/>
      <c r="I616" s="562" t="s">
        <v>538</v>
      </c>
      <c r="J616" s="604"/>
      <c r="K616" s="562"/>
      <c r="L616" s="604">
        <v>30.81</v>
      </c>
      <c r="M616" s="562"/>
      <c r="N616" s="602"/>
      <c r="T616" s="674"/>
      <c r="U616" s="675"/>
      <c r="V616" s="675"/>
      <c r="Z616" s="537" t="s">
        <v>537</v>
      </c>
      <c r="AB616" s="675"/>
      <c r="AC616" s="675"/>
      <c r="AE616" s="675"/>
      <c r="AF616" s="680"/>
    </row>
    <row r="617" spans="1:32" s="536" customFormat="1" ht="12" x14ac:dyDescent="0.2">
      <c r="A617" s="569"/>
      <c r="B617" s="683"/>
      <c r="C617" s="1823" t="s">
        <v>327</v>
      </c>
      <c r="D617" s="1823"/>
      <c r="E617" s="1823"/>
      <c r="F617" s="573"/>
      <c r="G617" s="573"/>
      <c r="H617" s="573"/>
      <c r="I617" s="573"/>
      <c r="J617" s="572"/>
      <c r="K617" s="573"/>
      <c r="L617" s="572">
        <v>313.12</v>
      </c>
      <c r="M617" s="608"/>
      <c r="N617" s="570"/>
      <c r="T617" s="674"/>
      <c r="U617" s="675"/>
      <c r="V617" s="675"/>
      <c r="AB617" s="675" t="s">
        <v>327</v>
      </c>
      <c r="AC617" s="675"/>
      <c r="AE617" s="675"/>
      <c r="AF617" s="680"/>
    </row>
    <row r="618" spans="1:32" s="536" customFormat="1" ht="56.25" x14ac:dyDescent="0.2">
      <c r="A618" s="575" t="s">
        <v>690</v>
      </c>
      <c r="B618" s="684" t="s">
        <v>6759</v>
      </c>
      <c r="C618" s="1823" t="s">
        <v>6760</v>
      </c>
      <c r="D618" s="1823"/>
      <c r="E618" s="1823"/>
      <c r="F618" s="573" t="s">
        <v>519</v>
      </c>
      <c r="G618" s="573"/>
      <c r="H618" s="573"/>
      <c r="I618" s="573" t="s">
        <v>1664</v>
      </c>
      <c r="J618" s="572"/>
      <c r="K618" s="573"/>
      <c r="L618" s="572"/>
      <c r="M618" s="573"/>
      <c r="N618" s="570"/>
      <c r="T618" s="674"/>
      <c r="U618" s="675"/>
      <c r="V618" s="675" t="s">
        <v>6760</v>
      </c>
      <c r="AB618" s="675"/>
      <c r="AC618" s="675"/>
      <c r="AE618" s="675"/>
      <c r="AF618" s="680"/>
    </row>
    <row r="619" spans="1:32" s="536" customFormat="1" ht="12" x14ac:dyDescent="0.2">
      <c r="A619" s="676"/>
      <c r="B619" s="682"/>
      <c r="C619" s="1822" t="s">
        <v>9046</v>
      </c>
      <c r="D619" s="1822"/>
      <c r="E619" s="1822"/>
      <c r="F619" s="1822"/>
      <c r="G619" s="1822"/>
      <c r="H619" s="1822"/>
      <c r="I619" s="1822"/>
      <c r="J619" s="1822"/>
      <c r="K619" s="1822"/>
      <c r="L619" s="1822"/>
      <c r="M619" s="1822"/>
      <c r="N619" s="1827"/>
      <c r="T619" s="674"/>
      <c r="U619" s="675"/>
      <c r="V619" s="675"/>
      <c r="W619" s="537" t="s">
        <v>9046</v>
      </c>
      <c r="AB619" s="675"/>
      <c r="AC619" s="675"/>
      <c r="AE619" s="675"/>
      <c r="AF619" s="680"/>
    </row>
    <row r="620" spans="1:32" s="536" customFormat="1" ht="33.75" x14ac:dyDescent="0.2">
      <c r="A620" s="609"/>
      <c r="B620" s="552" t="s">
        <v>310</v>
      </c>
      <c r="C620" s="1822" t="s">
        <v>311</v>
      </c>
      <c r="D620" s="1822"/>
      <c r="E620" s="1822"/>
      <c r="F620" s="1822"/>
      <c r="G620" s="1822"/>
      <c r="H620" s="1822"/>
      <c r="I620" s="1822"/>
      <c r="J620" s="1822"/>
      <c r="K620" s="1822"/>
      <c r="L620" s="1822"/>
      <c r="M620" s="1822"/>
      <c r="N620" s="1827"/>
      <c r="T620" s="674"/>
      <c r="U620" s="675"/>
      <c r="V620" s="675"/>
      <c r="X620" s="537" t="s">
        <v>311</v>
      </c>
      <c r="AB620" s="675"/>
      <c r="AC620" s="675"/>
      <c r="AE620" s="675"/>
      <c r="AF620" s="680"/>
    </row>
    <row r="621" spans="1:32" s="536" customFormat="1" ht="12" x14ac:dyDescent="0.2">
      <c r="A621" s="605"/>
      <c r="B621" s="552" t="s">
        <v>185</v>
      </c>
      <c r="C621" s="1822" t="s">
        <v>312</v>
      </c>
      <c r="D621" s="1822"/>
      <c r="E621" s="1822"/>
      <c r="F621" s="562"/>
      <c r="G621" s="562"/>
      <c r="H621" s="562"/>
      <c r="I621" s="562"/>
      <c r="J621" s="604">
        <v>425.57</v>
      </c>
      <c r="K621" s="562" t="s">
        <v>313</v>
      </c>
      <c r="L621" s="604">
        <v>4.79</v>
      </c>
      <c r="M621" s="562"/>
      <c r="N621" s="602"/>
      <c r="T621" s="674"/>
      <c r="U621" s="675"/>
      <c r="V621" s="675"/>
      <c r="Y621" s="537" t="s">
        <v>312</v>
      </c>
      <c r="AB621" s="675"/>
      <c r="AC621" s="675"/>
      <c r="AE621" s="675"/>
      <c r="AF621" s="680"/>
    </row>
    <row r="622" spans="1:32" s="536" customFormat="1" ht="12" x14ac:dyDescent="0.2">
      <c r="A622" s="605"/>
      <c r="B622" s="552" t="s">
        <v>186</v>
      </c>
      <c r="C622" s="1822" t="s">
        <v>344</v>
      </c>
      <c r="D622" s="1822"/>
      <c r="E622" s="1822"/>
      <c r="F622" s="562"/>
      <c r="G622" s="562"/>
      <c r="H622" s="562"/>
      <c r="I622" s="562"/>
      <c r="J622" s="604">
        <v>725.03</v>
      </c>
      <c r="K622" s="562" t="s">
        <v>313</v>
      </c>
      <c r="L622" s="604">
        <v>8.16</v>
      </c>
      <c r="M622" s="562"/>
      <c r="N622" s="602"/>
      <c r="T622" s="674"/>
      <c r="U622" s="675"/>
      <c r="V622" s="675"/>
      <c r="Y622" s="537" t="s">
        <v>344</v>
      </c>
      <c r="AB622" s="675"/>
      <c r="AC622" s="675"/>
      <c r="AE622" s="675"/>
      <c r="AF622" s="680"/>
    </row>
    <row r="623" spans="1:32" s="536" customFormat="1" ht="12" x14ac:dyDescent="0.2">
      <c r="A623" s="605"/>
      <c r="B623" s="552" t="s">
        <v>187</v>
      </c>
      <c r="C623" s="1822" t="s">
        <v>345</v>
      </c>
      <c r="D623" s="1822"/>
      <c r="E623" s="1822"/>
      <c r="F623" s="562"/>
      <c r="G623" s="562"/>
      <c r="H623" s="562"/>
      <c r="I623" s="562"/>
      <c r="J623" s="604">
        <v>100.1</v>
      </c>
      <c r="K623" s="562" t="s">
        <v>313</v>
      </c>
      <c r="L623" s="604">
        <v>1.1299999999999999</v>
      </c>
      <c r="M623" s="562"/>
      <c r="N623" s="602"/>
      <c r="T623" s="674"/>
      <c r="U623" s="675"/>
      <c r="V623" s="675"/>
      <c r="Y623" s="537" t="s">
        <v>345</v>
      </c>
      <c r="AB623" s="675"/>
      <c r="AC623" s="675"/>
      <c r="AE623" s="675"/>
      <c r="AF623" s="680"/>
    </row>
    <row r="624" spans="1:32" s="536" customFormat="1" ht="12" x14ac:dyDescent="0.2">
      <c r="A624" s="605"/>
      <c r="B624" s="552" t="s">
        <v>188</v>
      </c>
      <c r="C624" s="1822" t="s">
        <v>475</v>
      </c>
      <c r="D624" s="1822"/>
      <c r="E624" s="1822"/>
      <c r="F624" s="562"/>
      <c r="G624" s="562"/>
      <c r="H624" s="562"/>
      <c r="I624" s="562"/>
      <c r="J624" s="604">
        <v>235.09</v>
      </c>
      <c r="K624" s="562"/>
      <c r="L624" s="604">
        <v>2.12</v>
      </c>
      <c r="M624" s="562"/>
      <c r="N624" s="602"/>
      <c r="T624" s="674"/>
      <c r="U624" s="675"/>
      <c r="V624" s="675"/>
      <c r="Y624" s="537" t="s">
        <v>475</v>
      </c>
      <c r="AB624" s="675"/>
      <c r="AC624" s="675"/>
      <c r="AE624" s="675"/>
      <c r="AF624" s="680"/>
    </row>
    <row r="625" spans="1:32" s="536" customFormat="1" ht="12" x14ac:dyDescent="0.2">
      <c r="A625" s="676"/>
      <c r="B625" s="677" t="s">
        <v>6761</v>
      </c>
      <c r="C625" s="1829" t="s">
        <v>6762</v>
      </c>
      <c r="D625" s="1829"/>
      <c r="E625" s="1829"/>
      <c r="F625" s="678" t="s">
        <v>694</v>
      </c>
      <c r="G625" s="678" t="s">
        <v>3171</v>
      </c>
      <c r="H625" s="678"/>
      <c r="I625" s="678" t="s">
        <v>9047</v>
      </c>
      <c r="J625" s="552"/>
      <c r="K625" s="562"/>
      <c r="L625" s="604"/>
      <c r="M625" s="562"/>
      <c r="N625" s="679"/>
      <c r="T625" s="674"/>
      <c r="U625" s="675"/>
      <c r="V625" s="675"/>
      <c r="AB625" s="675"/>
      <c r="AC625" s="675"/>
      <c r="AE625" s="675"/>
      <c r="AF625" s="680" t="s">
        <v>6762</v>
      </c>
    </row>
    <row r="626" spans="1:32" s="536" customFormat="1" ht="12" x14ac:dyDescent="0.2">
      <c r="A626" s="676"/>
      <c r="B626" s="677" t="s">
        <v>4745</v>
      </c>
      <c r="C626" s="1829" t="s">
        <v>5190</v>
      </c>
      <c r="D626" s="1829"/>
      <c r="E626" s="1829"/>
      <c r="F626" s="678" t="s">
        <v>865</v>
      </c>
      <c r="G626" s="678" t="s">
        <v>6763</v>
      </c>
      <c r="H626" s="678"/>
      <c r="I626" s="678" t="s">
        <v>9048</v>
      </c>
      <c r="J626" s="552"/>
      <c r="K626" s="562"/>
      <c r="L626" s="604"/>
      <c r="M626" s="562"/>
      <c r="N626" s="679"/>
      <c r="T626" s="674"/>
      <c r="U626" s="675"/>
      <c r="V626" s="675"/>
      <c r="AB626" s="675"/>
      <c r="AC626" s="675"/>
      <c r="AE626" s="675"/>
      <c r="AF626" s="680" t="s">
        <v>5190</v>
      </c>
    </row>
    <row r="627" spans="1:32" s="536" customFormat="1" ht="12" x14ac:dyDescent="0.2">
      <c r="A627" s="605"/>
      <c r="B627" s="552"/>
      <c r="C627" s="1822" t="s">
        <v>314</v>
      </c>
      <c r="D627" s="1822"/>
      <c r="E627" s="1822"/>
      <c r="F627" s="562" t="s">
        <v>315</v>
      </c>
      <c r="G627" s="562" t="s">
        <v>6764</v>
      </c>
      <c r="H627" s="562" t="s">
        <v>313</v>
      </c>
      <c r="I627" s="562" t="s">
        <v>9049</v>
      </c>
      <c r="J627" s="604"/>
      <c r="K627" s="562"/>
      <c r="L627" s="604"/>
      <c r="M627" s="562"/>
      <c r="N627" s="602"/>
      <c r="T627" s="674"/>
      <c r="U627" s="675"/>
      <c r="V627" s="675"/>
      <c r="Z627" s="537" t="s">
        <v>314</v>
      </c>
      <c r="AB627" s="675"/>
      <c r="AC627" s="675"/>
      <c r="AE627" s="675"/>
      <c r="AF627" s="680"/>
    </row>
    <row r="628" spans="1:32" s="536" customFormat="1" ht="12" x14ac:dyDescent="0.2">
      <c r="A628" s="605"/>
      <c r="B628" s="552"/>
      <c r="C628" s="1822" t="s">
        <v>348</v>
      </c>
      <c r="D628" s="1822"/>
      <c r="E628" s="1822"/>
      <c r="F628" s="562" t="s">
        <v>315</v>
      </c>
      <c r="G628" s="562" t="s">
        <v>6765</v>
      </c>
      <c r="H628" s="562" t="s">
        <v>313</v>
      </c>
      <c r="I628" s="562" t="s">
        <v>9050</v>
      </c>
      <c r="J628" s="604"/>
      <c r="K628" s="562"/>
      <c r="L628" s="604"/>
      <c r="M628" s="562"/>
      <c r="N628" s="602"/>
      <c r="T628" s="674"/>
      <c r="U628" s="675"/>
      <c r="V628" s="675"/>
      <c r="Z628" s="537" t="s">
        <v>348</v>
      </c>
      <c r="AB628" s="675"/>
      <c r="AC628" s="675"/>
      <c r="AE628" s="675"/>
      <c r="AF628" s="680"/>
    </row>
    <row r="629" spans="1:32" s="536" customFormat="1" ht="12" x14ac:dyDescent="0.2">
      <c r="A629" s="605"/>
      <c r="B629" s="552"/>
      <c r="C629" s="1828" t="s">
        <v>318</v>
      </c>
      <c r="D629" s="1828"/>
      <c r="E629" s="1828"/>
      <c r="F629" s="608"/>
      <c r="G629" s="608"/>
      <c r="H629" s="608"/>
      <c r="I629" s="608"/>
      <c r="J629" s="607">
        <v>1385.69</v>
      </c>
      <c r="K629" s="608"/>
      <c r="L629" s="607">
        <v>15.07</v>
      </c>
      <c r="M629" s="608"/>
      <c r="N629" s="606"/>
      <c r="T629" s="674"/>
      <c r="U629" s="675"/>
      <c r="V629" s="675"/>
      <c r="AA629" s="537" t="s">
        <v>318</v>
      </c>
      <c r="AB629" s="675"/>
      <c r="AC629" s="675"/>
      <c r="AE629" s="675"/>
      <c r="AF629" s="680"/>
    </row>
    <row r="630" spans="1:32" s="536" customFormat="1" ht="12" x14ac:dyDescent="0.2">
      <c r="A630" s="605"/>
      <c r="B630" s="552"/>
      <c r="C630" s="1822" t="s">
        <v>319</v>
      </c>
      <c r="D630" s="1822"/>
      <c r="E630" s="1822"/>
      <c r="F630" s="562"/>
      <c r="G630" s="562"/>
      <c r="H630" s="562"/>
      <c r="I630" s="562"/>
      <c r="J630" s="604"/>
      <c r="K630" s="562"/>
      <c r="L630" s="604">
        <v>5.92</v>
      </c>
      <c r="M630" s="562"/>
      <c r="N630" s="602"/>
      <c r="T630" s="674"/>
      <c r="U630" s="675"/>
      <c r="V630" s="675"/>
      <c r="Z630" s="537" t="s">
        <v>319</v>
      </c>
      <c r="AB630" s="675"/>
      <c r="AC630" s="675"/>
      <c r="AE630" s="675"/>
      <c r="AF630" s="680"/>
    </row>
    <row r="631" spans="1:32" s="536" customFormat="1" ht="33.75" x14ac:dyDescent="0.2">
      <c r="A631" s="605"/>
      <c r="B631" s="552" t="s">
        <v>533</v>
      </c>
      <c r="C631" s="1822" t="s">
        <v>534</v>
      </c>
      <c r="D631" s="1822"/>
      <c r="E631" s="1822"/>
      <c r="F631" s="562" t="s">
        <v>322</v>
      </c>
      <c r="G631" s="562" t="s">
        <v>535</v>
      </c>
      <c r="H631" s="562"/>
      <c r="I631" s="562" t="s">
        <v>535</v>
      </c>
      <c r="J631" s="604"/>
      <c r="K631" s="562"/>
      <c r="L631" s="604">
        <v>6.93</v>
      </c>
      <c r="M631" s="562"/>
      <c r="N631" s="602"/>
      <c r="T631" s="674"/>
      <c r="U631" s="675"/>
      <c r="V631" s="675"/>
      <c r="Z631" s="537" t="s">
        <v>534</v>
      </c>
      <c r="AB631" s="675"/>
      <c r="AC631" s="675"/>
      <c r="AE631" s="675"/>
      <c r="AF631" s="680"/>
    </row>
    <row r="632" spans="1:32" s="536" customFormat="1" ht="33.75" x14ac:dyDescent="0.2">
      <c r="A632" s="605"/>
      <c r="B632" s="552" t="s">
        <v>536</v>
      </c>
      <c r="C632" s="1822" t="s">
        <v>537</v>
      </c>
      <c r="D632" s="1822"/>
      <c r="E632" s="1822"/>
      <c r="F632" s="562" t="s">
        <v>322</v>
      </c>
      <c r="G632" s="562" t="s">
        <v>538</v>
      </c>
      <c r="H632" s="562"/>
      <c r="I632" s="562" t="s">
        <v>538</v>
      </c>
      <c r="J632" s="604"/>
      <c r="K632" s="562"/>
      <c r="L632" s="604">
        <v>4.38</v>
      </c>
      <c r="M632" s="562"/>
      <c r="N632" s="602"/>
      <c r="T632" s="674"/>
      <c r="U632" s="675"/>
      <c r="V632" s="675"/>
      <c r="Z632" s="537" t="s">
        <v>537</v>
      </c>
      <c r="AB632" s="675"/>
      <c r="AC632" s="675"/>
      <c r="AE632" s="675"/>
      <c r="AF632" s="680"/>
    </row>
    <row r="633" spans="1:32" s="536" customFormat="1" ht="12" x14ac:dyDescent="0.2">
      <c r="A633" s="569"/>
      <c r="B633" s="683"/>
      <c r="C633" s="1823" t="s">
        <v>327</v>
      </c>
      <c r="D633" s="1823"/>
      <c r="E633" s="1823"/>
      <c r="F633" s="573"/>
      <c r="G633" s="573"/>
      <c r="H633" s="573"/>
      <c r="I633" s="573"/>
      <c r="J633" s="572"/>
      <c r="K633" s="573"/>
      <c r="L633" s="572">
        <v>26.38</v>
      </c>
      <c r="M633" s="608"/>
      <c r="N633" s="570"/>
      <c r="T633" s="674"/>
      <c r="U633" s="675"/>
      <c r="V633" s="675"/>
      <c r="AB633" s="675" t="s">
        <v>327</v>
      </c>
      <c r="AC633" s="675"/>
      <c r="AE633" s="675"/>
      <c r="AF633" s="680"/>
    </row>
    <row r="634" spans="1:32" s="536" customFormat="1" ht="12" x14ac:dyDescent="0.2">
      <c r="A634" s="575" t="s">
        <v>792</v>
      </c>
      <c r="B634" s="684" t="s">
        <v>6766</v>
      </c>
      <c r="C634" s="1823" t="s">
        <v>6767</v>
      </c>
      <c r="D634" s="1823"/>
      <c r="E634" s="1823"/>
      <c r="F634" s="573" t="s">
        <v>694</v>
      </c>
      <c r="G634" s="573"/>
      <c r="H634" s="573"/>
      <c r="I634" s="573" t="s">
        <v>9124</v>
      </c>
      <c r="J634" s="572">
        <v>7515.68</v>
      </c>
      <c r="K634" s="573"/>
      <c r="L634" s="572">
        <v>4.51</v>
      </c>
      <c r="M634" s="573"/>
      <c r="N634" s="570"/>
      <c r="T634" s="674"/>
      <c r="U634" s="675"/>
      <c r="V634" s="675" t="s">
        <v>6767</v>
      </c>
      <c r="AB634" s="675"/>
      <c r="AC634" s="675"/>
      <c r="AE634" s="675"/>
      <c r="AF634" s="680"/>
    </row>
    <row r="635" spans="1:32" s="536" customFormat="1" ht="12" x14ac:dyDescent="0.2">
      <c r="A635" s="569"/>
      <c r="B635" s="683"/>
      <c r="C635" s="689" t="s">
        <v>717</v>
      </c>
      <c r="D635" s="690"/>
      <c r="E635" s="690"/>
      <c r="F635" s="563"/>
      <c r="G635" s="563"/>
      <c r="H635" s="563"/>
      <c r="I635" s="563"/>
      <c r="J635" s="566"/>
      <c r="K635" s="563"/>
      <c r="L635" s="566"/>
      <c r="M635" s="565"/>
      <c r="N635" s="564"/>
      <c r="T635" s="674"/>
      <c r="U635" s="675"/>
      <c r="V635" s="675"/>
      <c r="AB635" s="675"/>
      <c r="AC635" s="675"/>
      <c r="AE635" s="675"/>
      <c r="AF635" s="680"/>
    </row>
    <row r="636" spans="1:32" s="536" customFormat="1" ht="12" x14ac:dyDescent="0.2">
      <c r="A636" s="575" t="s">
        <v>713</v>
      </c>
      <c r="B636" s="684" t="s">
        <v>6768</v>
      </c>
      <c r="C636" s="1823" t="s">
        <v>6769</v>
      </c>
      <c r="D636" s="1823"/>
      <c r="E636" s="1823"/>
      <c r="F636" s="573" t="s">
        <v>865</v>
      </c>
      <c r="G636" s="573"/>
      <c r="H636" s="573"/>
      <c r="I636" s="573" t="s">
        <v>9048</v>
      </c>
      <c r="J636" s="572">
        <v>35.21</v>
      </c>
      <c r="K636" s="573"/>
      <c r="L636" s="572">
        <v>6.18</v>
      </c>
      <c r="M636" s="573"/>
      <c r="N636" s="570"/>
      <c r="T636" s="674"/>
      <c r="U636" s="675"/>
      <c r="V636" s="675" t="s">
        <v>6769</v>
      </c>
      <c r="AB636" s="675"/>
      <c r="AC636" s="675"/>
      <c r="AE636" s="675"/>
      <c r="AF636" s="680"/>
    </row>
    <row r="637" spans="1:32" s="536" customFormat="1" ht="12" x14ac:dyDescent="0.2">
      <c r="A637" s="569"/>
      <c r="B637" s="683"/>
      <c r="C637" s="689" t="s">
        <v>717</v>
      </c>
      <c r="D637" s="690"/>
      <c r="E637" s="690"/>
      <c r="F637" s="563"/>
      <c r="G637" s="563"/>
      <c r="H637" s="563"/>
      <c r="I637" s="563"/>
      <c r="J637" s="566"/>
      <c r="K637" s="563"/>
      <c r="L637" s="566"/>
      <c r="M637" s="565"/>
      <c r="N637" s="564"/>
      <c r="T637" s="674"/>
      <c r="U637" s="675"/>
      <c r="V637" s="675"/>
      <c r="AB637" s="675"/>
      <c r="AC637" s="675"/>
      <c r="AE637" s="675"/>
      <c r="AF637" s="680"/>
    </row>
    <row r="638" spans="1:32" s="536" customFormat="1" ht="22.5" x14ac:dyDescent="0.2">
      <c r="A638" s="575" t="s">
        <v>793</v>
      </c>
      <c r="B638" s="684" t="s">
        <v>6770</v>
      </c>
      <c r="C638" s="1823" t="s">
        <v>6771</v>
      </c>
      <c r="D638" s="1823"/>
      <c r="E638" s="1823"/>
      <c r="F638" s="573" t="s">
        <v>6772</v>
      </c>
      <c r="G638" s="573"/>
      <c r="H638" s="573"/>
      <c r="I638" s="573" t="s">
        <v>185</v>
      </c>
      <c r="J638" s="572"/>
      <c r="K638" s="573"/>
      <c r="L638" s="572"/>
      <c r="M638" s="573"/>
      <c r="N638" s="570"/>
      <c r="T638" s="674"/>
      <c r="U638" s="675"/>
      <c r="V638" s="675" t="s">
        <v>6771</v>
      </c>
      <c r="AB638" s="675"/>
      <c r="AC638" s="675"/>
      <c r="AE638" s="675"/>
      <c r="AF638" s="680"/>
    </row>
    <row r="639" spans="1:32" s="536" customFormat="1" ht="33.75" x14ac:dyDescent="0.2">
      <c r="A639" s="609"/>
      <c r="B639" s="552" t="s">
        <v>310</v>
      </c>
      <c r="C639" s="1822" t="s">
        <v>311</v>
      </c>
      <c r="D639" s="1822"/>
      <c r="E639" s="1822"/>
      <c r="F639" s="1822"/>
      <c r="G639" s="1822"/>
      <c r="H639" s="1822"/>
      <c r="I639" s="1822"/>
      <c r="J639" s="1822"/>
      <c r="K639" s="1822"/>
      <c r="L639" s="1822"/>
      <c r="M639" s="1822"/>
      <c r="N639" s="1827"/>
      <c r="T639" s="674"/>
      <c r="U639" s="675"/>
      <c r="V639" s="675"/>
      <c r="X639" s="537" t="s">
        <v>311</v>
      </c>
      <c r="AB639" s="675"/>
      <c r="AC639" s="675"/>
      <c r="AE639" s="675"/>
      <c r="AF639" s="680"/>
    </row>
    <row r="640" spans="1:32" s="536" customFormat="1" ht="12" x14ac:dyDescent="0.2">
      <c r="A640" s="605"/>
      <c r="B640" s="552" t="s">
        <v>185</v>
      </c>
      <c r="C640" s="1822" t="s">
        <v>312</v>
      </c>
      <c r="D640" s="1822"/>
      <c r="E640" s="1822"/>
      <c r="F640" s="562"/>
      <c r="G640" s="562"/>
      <c r="H640" s="562"/>
      <c r="I640" s="562"/>
      <c r="J640" s="604">
        <v>25.92</v>
      </c>
      <c r="K640" s="562" t="s">
        <v>313</v>
      </c>
      <c r="L640" s="604">
        <v>32.4</v>
      </c>
      <c r="M640" s="562"/>
      <c r="N640" s="602"/>
      <c r="T640" s="674"/>
      <c r="U640" s="675"/>
      <c r="V640" s="675"/>
      <c r="Y640" s="537" t="s">
        <v>312</v>
      </c>
      <c r="AB640" s="675"/>
      <c r="AC640" s="675"/>
      <c r="AE640" s="675"/>
      <c r="AF640" s="680"/>
    </row>
    <row r="641" spans="1:32" s="536" customFormat="1" ht="12" x14ac:dyDescent="0.2">
      <c r="A641" s="605"/>
      <c r="B641" s="552" t="s">
        <v>186</v>
      </c>
      <c r="C641" s="1822" t="s">
        <v>344</v>
      </c>
      <c r="D641" s="1822"/>
      <c r="E641" s="1822"/>
      <c r="F641" s="562"/>
      <c r="G641" s="562"/>
      <c r="H641" s="562"/>
      <c r="I641" s="562"/>
      <c r="J641" s="604">
        <v>38.909999999999997</v>
      </c>
      <c r="K641" s="562" t="s">
        <v>313</v>
      </c>
      <c r="L641" s="604">
        <v>48.64</v>
      </c>
      <c r="M641" s="562"/>
      <c r="N641" s="602"/>
      <c r="T641" s="674"/>
      <c r="U641" s="675"/>
      <c r="V641" s="675"/>
      <c r="Y641" s="537" t="s">
        <v>344</v>
      </c>
      <c r="AB641" s="675"/>
      <c r="AC641" s="675"/>
      <c r="AE641" s="675"/>
      <c r="AF641" s="680"/>
    </row>
    <row r="642" spans="1:32" s="536" customFormat="1" ht="12" x14ac:dyDescent="0.2">
      <c r="A642" s="605"/>
      <c r="B642" s="552" t="s">
        <v>187</v>
      </c>
      <c r="C642" s="1822" t="s">
        <v>345</v>
      </c>
      <c r="D642" s="1822"/>
      <c r="E642" s="1822"/>
      <c r="F642" s="562"/>
      <c r="G642" s="562"/>
      <c r="H642" s="562"/>
      <c r="I642" s="562"/>
      <c r="J642" s="604">
        <v>0.46</v>
      </c>
      <c r="K642" s="562" t="s">
        <v>313</v>
      </c>
      <c r="L642" s="604">
        <v>0.57999999999999996</v>
      </c>
      <c r="M642" s="562"/>
      <c r="N642" s="602"/>
      <c r="T642" s="674"/>
      <c r="U642" s="675"/>
      <c r="V642" s="675"/>
      <c r="Y642" s="537" t="s">
        <v>345</v>
      </c>
      <c r="AB642" s="675"/>
      <c r="AC642" s="675"/>
      <c r="AE642" s="675"/>
      <c r="AF642" s="680"/>
    </row>
    <row r="643" spans="1:32" s="536" customFormat="1" ht="12" x14ac:dyDescent="0.2">
      <c r="A643" s="605"/>
      <c r="B643" s="552" t="s">
        <v>188</v>
      </c>
      <c r="C643" s="1822" t="s">
        <v>475</v>
      </c>
      <c r="D643" s="1822"/>
      <c r="E643" s="1822"/>
      <c r="F643" s="562"/>
      <c r="G643" s="562"/>
      <c r="H643" s="562"/>
      <c r="I643" s="562"/>
      <c r="J643" s="604">
        <v>149.13</v>
      </c>
      <c r="K643" s="562"/>
      <c r="L643" s="604">
        <v>149.13</v>
      </c>
      <c r="M643" s="562"/>
      <c r="N643" s="602"/>
      <c r="T643" s="674"/>
      <c r="U643" s="675"/>
      <c r="V643" s="675"/>
      <c r="Y643" s="537" t="s">
        <v>475</v>
      </c>
      <c r="AB643" s="675"/>
      <c r="AC643" s="675"/>
      <c r="AE643" s="675"/>
      <c r="AF643" s="680"/>
    </row>
    <row r="644" spans="1:32" s="536" customFormat="1" ht="22.5" x14ac:dyDescent="0.2">
      <c r="A644" s="676"/>
      <c r="B644" s="677" t="s">
        <v>6773</v>
      </c>
      <c r="C644" s="1829" t="s">
        <v>6774</v>
      </c>
      <c r="D644" s="1829"/>
      <c r="E644" s="1829"/>
      <c r="F644" s="678" t="s">
        <v>694</v>
      </c>
      <c r="G644" s="678" t="s">
        <v>525</v>
      </c>
      <c r="H644" s="678"/>
      <c r="I644" s="678" t="s">
        <v>525</v>
      </c>
      <c r="J644" s="552"/>
      <c r="K644" s="562"/>
      <c r="L644" s="604"/>
      <c r="M644" s="562"/>
      <c r="N644" s="679"/>
      <c r="T644" s="674"/>
      <c r="U644" s="675"/>
      <c r="V644" s="675"/>
      <c r="AB644" s="675"/>
      <c r="AC644" s="675"/>
      <c r="AE644" s="675"/>
      <c r="AF644" s="680" t="s">
        <v>6774</v>
      </c>
    </row>
    <row r="645" spans="1:32" s="536" customFormat="1" ht="12" x14ac:dyDescent="0.2">
      <c r="A645" s="605"/>
      <c r="B645" s="552"/>
      <c r="C645" s="1822" t="s">
        <v>314</v>
      </c>
      <c r="D645" s="1822"/>
      <c r="E645" s="1822"/>
      <c r="F645" s="562" t="s">
        <v>315</v>
      </c>
      <c r="G645" s="562" t="s">
        <v>6775</v>
      </c>
      <c r="H645" s="562" t="s">
        <v>313</v>
      </c>
      <c r="I645" s="562" t="s">
        <v>6776</v>
      </c>
      <c r="J645" s="604"/>
      <c r="K645" s="562"/>
      <c r="L645" s="604"/>
      <c r="M645" s="562"/>
      <c r="N645" s="602"/>
      <c r="T645" s="674"/>
      <c r="U645" s="675"/>
      <c r="V645" s="675"/>
      <c r="Z645" s="537" t="s">
        <v>314</v>
      </c>
      <c r="AB645" s="675"/>
      <c r="AC645" s="675"/>
      <c r="AE645" s="675"/>
      <c r="AF645" s="680"/>
    </row>
    <row r="646" spans="1:32" s="536" customFormat="1" ht="12" x14ac:dyDescent="0.2">
      <c r="A646" s="605"/>
      <c r="B646" s="552"/>
      <c r="C646" s="1822" t="s">
        <v>348</v>
      </c>
      <c r="D646" s="1822"/>
      <c r="E646" s="1822"/>
      <c r="F646" s="562" t="s">
        <v>315</v>
      </c>
      <c r="G646" s="562" t="s">
        <v>728</v>
      </c>
      <c r="H646" s="562" t="s">
        <v>313</v>
      </c>
      <c r="I646" s="562" t="s">
        <v>856</v>
      </c>
      <c r="J646" s="604"/>
      <c r="K646" s="562"/>
      <c r="L646" s="604"/>
      <c r="M646" s="562"/>
      <c r="N646" s="602"/>
      <c r="T646" s="674"/>
      <c r="U646" s="675"/>
      <c r="V646" s="675"/>
      <c r="Z646" s="537" t="s">
        <v>348</v>
      </c>
      <c r="AB646" s="675"/>
      <c r="AC646" s="675"/>
      <c r="AE646" s="675"/>
      <c r="AF646" s="680"/>
    </row>
    <row r="647" spans="1:32" s="536" customFormat="1" ht="12" x14ac:dyDescent="0.2">
      <c r="A647" s="605"/>
      <c r="B647" s="552"/>
      <c r="C647" s="1828" t="s">
        <v>318</v>
      </c>
      <c r="D647" s="1828"/>
      <c r="E647" s="1828"/>
      <c r="F647" s="608"/>
      <c r="G647" s="608"/>
      <c r="H647" s="608"/>
      <c r="I647" s="608"/>
      <c r="J647" s="607">
        <v>213.96</v>
      </c>
      <c r="K647" s="608"/>
      <c r="L647" s="607">
        <v>230.17</v>
      </c>
      <c r="M647" s="608"/>
      <c r="N647" s="606"/>
      <c r="T647" s="674"/>
      <c r="U647" s="675"/>
      <c r="V647" s="675"/>
      <c r="AA647" s="537" t="s">
        <v>318</v>
      </c>
      <c r="AB647" s="675"/>
      <c r="AC647" s="675"/>
      <c r="AE647" s="675"/>
      <c r="AF647" s="680"/>
    </row>
    <row r="648" spans="1:32" s="536" customFormat="1" ht="12" x14ac:dyDescent="0.2">
      <c r="A648" s="605"/>
      <c r="B648" s="552"/>
      <c r="C648" s="1822" t="s">
        <v>319</v>
      </c>
      <c r="D648" s="1822"/>
      <c r="E648" s="1822"/>
      <c r="F648" s="562"/>
      <c r="G648" s="562"/>
      <c r="H648" s="562"/>
      <c r="I648" s="562"/>
      <c r="J648" s="604"/>
      <c r="K648" s="562"/>
      <c r="L648" s="604">
        <v>32.979999999999997</v>
      </c>
      <c r="M648" s="562"/>
      <c r="N648" s="602"/>
      <c r="T648" s="674"/>
      <c r="U648" s="675"/>
      <c r="V648" s="675"/>
      <c r="Z648" s="537" t="s">
        <v>319</v>
      </c>
      <c r="AB648" s="675"/>
      <c r="AC648" s="675"/>
      <c r="AE648" s="675"/>
      <c r="AF648" s="680"/>
    </row>
    <row r="649" spans="1:32" s="536" customFormat="1" ht="33.75" x14ac:dyDescent="0.2">
      <c r="A649" s="605"/>
      <c r="B649" s="552" t="s">
        <v>533</v>
      </c>
      <c r="C649" s="1822" t="s">
        <v>534</v>
      </c>
      <c r="D649" s="1822"/>
      <c r="E649" s="1822"/>
      <c r="F649" s="562" t="s">
        <v>322</v>
      </c>
      <c r="G649" s="562" t="s">
        <v>535</v>
      </c>
      <c r="H649" s="562"/>
      <c r="I649" s="562" t="s">
        <v>535</v>
      </c>
      <c r="J649" s="604"/>
      <c r="K649" s="562"/>
      <c r="L649" s="604">
        <v>38.590000000000003</v>
      </c>
      <c r="M649" s="562"/>
      <c r="N649" s="602"/>
      <c r="T649" s="674"/>
      <c r="U649" s="675"/>
      <c r="V649" s="675"/>
      <c r="Z649" s="537" t="s">
        <v>534</v>
      </c>
      <c r="AB649" s="675"/>
      <c r="AC649" s="675"/>
      <c r="AE649" s="675"/>
      <c r="AF649" s="680"/>
    </row>
    <row r="650" spans="1:32" s="536" customFormat="1" ht="33.75" x14ac:dyDescent="0.2">
      <c r="A650" s="605"/>
      <c r="B650" s="552" t="s">
        <v>536</v>
      </c>
      <c r="C650" s="1822" t="s">
        <v>537</v>
      </c>
      <c r="D650" s="1822"/>
      <c r="E650" s="1822"/>
      <c r="F650" s="562" t="s">
        <v>322</v>
      </c>
      <c r="G650" s="562" t="s">
        <v>538</v>
      </c>
      <c r="H650" s="562"/>
      <c r="I650" s="562" t="s">
        <v>538</v>
      </c>
      <c r="J650" s="604"/>
      <c r="K650" s="562"/>
      <c r="L650" s="604">
        <v>24.41</v>
      </c>
      <c r="M650" s="562"/>
      <c r="N650" s="602"/>
      <c r="T650" s="674"/>
      <c r="U650" s="675"/>
      <c r="V650" s="675"/>
      <c r="Z650" s="537" t="s">
        <v>537</v>
      </c>
      <c r="AB650" s="675"/>
      <c r="AC650" s="675"/>
      <c r="AE650" s="675"/>
      <c r="AF650" s="680"/>
    </row>
    <row r="651" spans="1:32" s="536" customFormat="1" ht="12" x14ac:dyDescent="0.2">
      <c r="A651" s="569"/>
      <c r="B651" s="683"/>
      <c r="C651" s="1823" t="s">
        <v>327</v>
      </c>
      <c r="D651" s="1823"/>
      <c r="E651" s="1823"/>
      <c r="F651" s="573"/>
      <c r="G651" s="573"/>
      <c r="H651" s="573"/>
      <c r="I651" s="573"/>
      <c r="J651" s="572"/>
      <c r="K651" s="573"/>
      <c r="L651" s="572">
        <v>293.17</v>
      </c>
      <c r="M651" s="608"/>
      <c r="N651" s="570"/>
      <c r="T651" s="674"/>
      <c r="U651" s="675"/>
      <c r="V651" s="675"/>
      <c r="AB651" s="675" t="s">
        <v>327</v>
      </c>
      <c r="AC651" s="675"/>
      <c r="AE651" s="675"/>
      <c r="AF651" s="680"/>
    </row>
    <row r="652" spans="1:32" s="536" customFormat="1" ht="45" x14ac:dyDescent="0.2">
      <c r="A652" s="575" t="s">
        <v>653</v>
      </c>
      <c r="B652" s="684" t="s">
        <v>6777</v>
      </c>
      <c r="C652" s="1823" t="s">
        <v>6778</v>
      </c>
      <c r="D652" s="1823"/>
      <c r="E652" s="1823"/>
      <c r="F652" s="573" t="s">
        <v>1110</v>
      </c>
      <c r="G652" s="573"/>
      <c r="H652" s="573"/>
      <c r="I652" s="573" t="s">
        <v>2761</v>
      </c>
      <c r="J652" s="572"/>
      <c r="K652" s="573"/>
      <c r="L652" s="572"/>
      <c r="M652" s="573"/>
      <c r="N652" s="570"/>
      <c r="T652" s="674"/>
      <c r="U652" s="675"/>
      <c r="V652" s="675" t="s">
        <v>6778</v>
      </c>
      <c r="AB652" s="675"/>
      <c r="AC652" s="675"/>
      <c r="AE652" s="675"/>
      <c r="AF652" s="680"/>
    </row>
    <row r="653" spans="1:32" s="536" customFormat="1" ht="12" x14ac:dyDescent="0.2">
      <c r="A653" s="676"/>
      <c r="B653" s="682"/>
      <c r="C653" s="1822" t="s">
        <v>9117</v>
      </c>
      <c r="D653" s="1822"/>
      <c r="E653" s="1822"/>
      <c r="F653" s="1822"/>
      <c r="G653" s="1822"/>
      <c r="H653" s="1822"/>
      <c r="I653" s="1822"/>
      <c r="J653" s="1822"/>
      <c r="K653" s="1822"/>
      <c r="L653" s="1822"/>
      <c r="M653" s="1822"/>
      <c r="N653" s="1827"/>
      <c r="T653" s="674"/>
      <c r="U653" s="675"/>
      <c r="V653" s="675"/>
      <c r="W653" s="537" t="s">
        <v>9117</v>
      </c>
      <c r="AB653" s="675"/>
      <c r="AC653" s="675"/>
      <c r="AE653" s="675"/>
      <c r="AF653" s="680"/>
    </row>
    <row r="654" spans="1:32" s="536" customFormat="1" ht="33.75" x14ac:dyDescent="0.2">
      <c r="A654" s="609"/>
      <c r="B654" s="552" t="s">
        <v>310</v>
      </c>
      <c r="C654" s="1822" t="s">
        <v>311</v>
      </c>
      <c r="D654" s="1822"/>
      <c r="E654" s="1822"/>
      <c r="F654" s="1822"/>
      <c r="G654" s="1822"/>
      <c r="H654" s="1822"/>
      <c r="I654" s="1822"/>
      <c r="J654" s="1822"/>
      <c r="K654" s="1822"/>
      <c r="L654" s="1822"/>
      <c r="M654" s="1822"/>
      <c r="N654" s="1827"/>
      <c r="T654" s="674"/>
      <c r="U654" s="675"/>
      <c r="V654" s="675"/>
      <c r="X654" s="537" t="s">
        <v>311</v>
      </c>
      <c r="AB654" s="675"/>
      <c r="AC654" s="675"/>
      <c r="AE654" s="675"/>
      <c r="AF654" s="680"/>
    </row>
    <row r="655" spans="1:32" s="536" customFormat="1" ht="12" x14ac:dyDescent="0.2">
      <c r="A655" s="605"/>
      <c r="B655" s="552" t="s">
        <v>185</v>
      </c>
      <c r="C655" s="1822" t="s">
        <v>312</v>
      </c>
      <c r="D655" s="1822"/>
      <c r="E655" s="1822"/>
      <c r="F655" s="562"/>
      <c r="G655" s="562"/>
      <c r="H655" s="562"/>
      <c r="I655" s="562"/>
      <c r="J655" s="604">
        <v>1.1499999999999999</v>
      </c>
      <c r="K655" s="562" t="s">
        <v>313</v>
      </c>
      <c r="L655" s="604">
        <v>0.61</v>
      </c>
      <c r="M655" s="562"/>
      <c r="N655" s="602"/>
      <c r="T655" s="674"/>
      <c r="U655" s="675"/>
      <c r="V655" s="675"/>
      <c r="Y655" s="537" t="s">
        <v>312</v>
      </c>
      <c r="AB655" s="675"/>
      <c r="AC655" s="675"/>
      <c r="AE655" s="675"/>
      <c r="AF655" s="680"/>
    </row>
    <row r="656" spans="1:32" s="536" customFormat="1" ht="12" x14ac:dyDescent="0.2">
      <c r="A656" s="605"/>
      <c r="B656" s="552" t="s">
        <v>186</v>
      </c>
      <c r="C656" s="1822" t="s">
        <v>344</v>
      </c>
      <c r="D656" s="1822"/>
      <c r="E656" s="1822"/>
      <c r="F656" s="562"/>
      <c r="G656" s="562"/>
      <c r="H656" s="562"/>
      <c r="I656" s="562"/>
      <c r="J656" s="604">
        <v>9.1999999999999993</v>
      </c>
      <c r="K656" s="562" t="s">
        <v>313</v>
      </c>
      <c r="L656" s="604">
        <v>4.8899999999999997</v>
      </c>
      <c r="M656" s="562"/>
      <c r="N656" s="602"/>
      <c r="T656" s="674"/>
      <c r="U656" s="675"/>
      <c r="V656" s="675"/>
      <c r="Y656" s="537" t="s">
        <v>344</v>
      </c>
      <c r="AB656" s="675"/>
      <c r="AC656" s="675"/>
      <c r="AE656" s="675"/>
      <c r="AF656" s="680"/>
    </row>
    <row r="657" spans="1:32" s="536" customFormat="1" ht="12" x14ac:dyDescent="0.2">
      <c r="A657" s="605"/>
      <c r="B657" s="552" t="s">
        <v>187</v>
      </c>
      <c r="C657" s="1822" t="s">
        <v>345</v>
      </c>
      <c r="D657" s="1822"/>
      <c r="E657" s="1822"/>
      <c r="F657" s="562"/>
      <c r="G657" s="562"/>
      <c r="H657" s="562"/>
      <c r="I657" s="562"/>
      <c r="J657" s="604">
        <v>0.87</v>
      </c>
      <c r="K657" s="562" t="s">
        <v>313</v>
      </c>
      <c r="L657" s="604">
        <v>0.46</v>
      </c>
      <c r="M657" s="562"/>
      <c r="N657" s="602"/>
      <c r="T657" s="674"/>
      <c r="U657" s="675"/>
      <c r="V657" s="675"/>
      <c r="Y657" s="537" t="s">
        <v>345</v>
      </c>
      <c r="AB657" s="675"/>
      <c r="AC657" s="675"/>
      <c r="AE657" s="675"/>
      <c r="AF657" s="680"/>
    </row>
    <row r="658" spans="1:32" s="536" customFormat="1" ht="12" x14ac:dyDescent="0.2">
      <c r="A658" s="605"/>
      <c r="B658" s="552"/>
      <c r="C658" s="1822" t="s">
        <v>314</v>
      </c>
      <c r="D658" s="1822"/>
      <c r="E658" s="1822"/>
      <c r="F658" s="562" t="s">
        <v>315</v>
      </c>
      <c r="G658" s="562" t="s">
        <v>646</v>
      </c>
      <c r="H658" s="562" t="s">
        <v>313</v>
      </c>
      <c r="I658" s="562" t="s">
        <v>9125</v>
      </c>
      <c r="J658" s="604"/>
      <c r="K658" s="562"/>
      <c r="L658" s="604"/>
      <c r="M658" s="562"/>
      <c r="N658" s="602"/>
      <c r="T658" s="674"/>
      <c r="U658" s="675"/>
      <c r="V658" s="675"/>
      <c r="Z658" s="537" t="s">
        <v>314</v>
      </c>
      <c r="AB658" s="675"/>
      <c r="AC658" s="675"/>
      <c r="AE658" s="675"/>
      <c r="AF658" s="680"/>
    </row>
    <row r="659" spans="1:32" s="536" customFormat="1" ht="12" x14ac:dyDescent="0.2">
      <c r="A659" s="605"/>
      <c r="B659" s="552"/>
      <c r="C659" s="1822" t="s">
        <v>348</v>
      </c>
      <c r="D659" s="1822"/>
      <c r="E659" s="1822"/>
      <c r="F659" s="562" t="s">
        <v>315</v>
      </c>
      <c r="G659" s="562" t="s">
        <v>2247</v>
      </c>
      <c r="H659" s="562" t="s">
        <v>313</v>
      </c>
      <c r="I659" s="562" t="s">
        <v>4415</v>
      </c>
      <c r="J659" s="604"/>
      <c r="K659" s="562"/>
      <c r="L659" s="604"/>
      <c r="M659" s="562"/>
      <c r="N659" s="602"/>
      <c r="T659" s="674"/>
      <c r="U659" s="675"/>
      <c r="V659" s="675"/>
      <c r="Z659" s="537" t="s">
        <v>348</v>
      </c>
      <c r="AB659" s="675"/>
      <c r="AC659" s="675"/>
      <c r="AE659" s="675"/>
      <c r="AF659" s="680"/>
    </row>
    <row r="660" spans="1:32" s="536" customFormat="1" ht="12" x14ac:dyDescent="0.2">
      <c r="A660" s="605"/>
      <c r="B660" s="552"/>
      <c r="C660" s="1828" t="s">
        <v>318</v>
      </c>
      <c r="D660" s="1828"/>
      <c r="E660" s="1828"/>
      <c r="F660" s="608"/>
      <c r="G660" s="608"/>
      <c r="H660" s="608"/>
      <c r="I660" s="608"/>
      <c r="J660" s="607">
        <v>10.35</v>
      </c>
      <c r="K660" s="608"/>
      <c r="L660" s="607">
        <v>5.5</v>
      </c>
      <c r="M660" s="608"/>
      <c r="N660" s="606"/>
      <c r="T660" s="674"/>
      <c r="U660" s="675"/>
      <c r="V660" s="675"/>
      <c r="AA660" s="537" t="s">
        <v>318</v>
      </c>
      <c r="AB660" s="675"/>
      <c r="AC660" s="675"/>
      <c r="AE660" s="675"/>
      <c r="AF660" s="680"/>
    </row>
    <row r="661" spans="1:32" s="536" customFormat="1" ht="12" x14ac:dyDescent="0.2">
      <c r="A661" s="605"/>
      <c r="B661" s="552"/>
      <c r="C661" s="1822" t="s">
        <v>319</v>
      </c>
      <c r="D661" s="1822"/>
      <c r="E661" s="1822"/>
      <c r="F661" s="562"/>
      <c r="G661" s="562"/>
      <c r="H661" s="562"/>
      <c r="I661" s="562"/>
      <c r="J661" s="604"/>
      <c r="K661" s="562"/>
      <c r="L661" s="604">
        <v>1.07</v>
      </c>
      <c r="M661" s="562"/>
      <c r="N661" s="602"/>
      <c r="T661" s="674"/>
      <c r="U661" s="675"/>
      <c r="V661" s="675"/>
      <c r="Z661" s="537" t="s">
        <v>319</v>
      </c>
      <c r="AB661" s="675"/>
      <c r="AC661" s="675"/>
      <c r="AE661" s="675"/>
      <c r="AF661" s="680"/>
    </row>
    <row r="662" spans="1:32" s="536" customFormat="1" ht="33.75" x14ac:dyDescent="0.2">
      <c r="A662" s="605"/>
      <c r="B662" s="552" t="s">
        <v>533</v>
      </c>
      <c r="C662" s="1822" t="s">
        <v>534</v>
      </c>
      <c r="D662" s="1822"/>
      <c r="E662" s="1822"/>
      <c r="F662" s="562" t="s">
        <v>322</v>
      </c>
      <c r="G662" s="562" t="s">
        <v>535</v>
      </c>
      <c r="H662" s="562"/>
      <c r="I662" s="562" t="s">
        <v>535</v>
      </c>
      <c r="J662" s="604"/>
      <c r="K662" s="562"/>
      <c r="L662" s="604">
        <v>1.25</v>
      </c>
      <c r="M662" s="562"/>
      <c r="N662" s="602"/>
      <c r="T662" s="674"/>
      <c r="U662" s="675"/>
      <c r="V662" s="675"/>
      <c r="Z662" s="537" t="s">
        <v>534</v>
      </c>
      <c r="AB662" s="675"/>
      <c r="AC662" s="675"/>
      <c r="AE662" s="675"/>
      <c r="AF662" s="680"/>
    </row>
    <row r="663" spans="1:32" s="536" customFormat="1" ht="33.75" x14ac:dyDescent="0.2">
      <c r="A663" s="605"/>
      <c r="B663" s="552" t="s">
        <v>536</v>
      </c>
      <c r="C663" s="1822" t="s">
        <v>537</v>
      </c>
      <c r="D663" s="1822"/>
      <c r="E663" s="1822"/>
      <c r="F663" s="562" t="s">
        <v>322</v>
      </c>
      <c r="G663" s="562" t="s">
        <v>538</v>
      </c>
      <c r="H663" s="562"/>
      <c r="I663" s="562" t="s">
        <v>538</v>
      </c>
      <c r="J663" s="604"/>
      <c r="K663" s="562"/>
      <c r="L663" s="604">
        <v>0.79</v>
      </c>
      <c r="M663" s="562"/>
      <c r="N663" s="602"/>
      <c r="T663" s="674"/>
      <c r="U663" s="675"/>
      <c r="V663" s="675"/>
      <c r="Z663" s="537" t="s">
        <v>537</v>
      </c>
      <c r="AB663" s="675"/>
      <c r="AC663" s="675"/>
      <c r="AE663" s="675"/>
      <c r="AF663" s="680"/>
    </row>
    <row r="664" spans="1:32" s="536" customFormat="1" ht="12" x14ac:dyDescent="0.2">
      <c r="A664" s="569"/>
      <c r="B664" s="683"/>
      <c r="C664" s="1823" t="s">
        <v>327</v>
      </c>
      <c r="D664" s="1823"/>
      <c r="E664" s="1823"/>
      <c r="F664" s="573"/>
      <c r="G664" s="573"/>
      <c r="H664" s="573"/>
      <c r="I664" s="573"/>
      <c r="J664" s="572"/>
      <c r="K664" s="573"/>
      <c r="L664" s="572">
        <v>7.54</v>
      </c>
      <c r="M664" s="608"/>
      <c r="N664" s="570"/>
      <c r="T664" s="674"/>
      <c r="U664" s="675"/>
      <c r="V664" s="675"/>
      <c r="AB664" s="675" t="s">
        <v>327</v>
      </c>
      <c r="AC664" s="675"/>
      <c r="AE664" s="675"/>
      <c r="AF664" s="680"/>
    </row>
    <row r="665" spans="1:32" s="536" customFormat="1" ht="45" x14ac:dyDescent="0.2">
      <c r="A665" s="575" t="s">
        <v>794</v>
      </c>
      <c r="B665" s="684" t="s">
        <v>6779</v>
      </c>
      <c r="C665" s="1823" t="s">
        <v>6780</v>
      </c>
      <c r="D665" s="1823"/>
      <c r="E665" s="1823"/>
      <c r="F665" s="573" t="s">
        <v>3872</v>
      </c>
      <c r="G665" s="573"/>
      <c r="H665" s="573"/>
      <c r="I665" s="573" t="s">
        <v>185</v>
      </c>
      <c r="J665" s="572"/>
      <c r="K665" s="573"/>
      <c r="L665" s="572"/>
      <c r="M665" s="573"/>
      <c r="N665" s="570"/>
      <c r="T665" s="674"/>
      <c r="U665" s="675"/>
      <c r="V665" s="675" t="s">
        <v>6780</v>
      </c>
      <c r="AB665" s="675"/>
      <c r="AC665" s="675"/>
      <c r="AE665" s="675"/>
      <c r="AF665" s="680"/>
    </row>
    <row r="666" spans="1:32" s="536" customFormat="1" ht="33.75" x14ac:dyDescent="0.2">
      <c r="A666" s="609"/>
      <c r="B666" s="552" t="s">
        <v>310</v>
      </c>
      <c r="C666" s="1822" t="s">
        <v>311</v>
      </c>
      <c r="D666" s="1822"/>
      <c r="E666" s="1822"/>
      <c r="F666" s="1822"/>
      <c r="G666" s="1822"/>
      <c r="H666" s="1822"/>
      <c r="I666" s="1822"/>
      <c r="J666" s="1822"/>
      <c r="K666" s="1822"/>
      <c r="L666" s="1822"/>
      <c r="M666" s="1822"/>
      <c r="N666" s="1827"/>
      <c r="T666" s="674"/>
      <c r="U666" s="675"/>
      <c r="V666" s="675"/>
      <c r="X666" s="537" t="s">
        <v>311</v>
      </c>
      <c r="AB666" s="675"/>
      <c r="AC666" s="675"/>
      <c r="AE666" s="675"/>
      <c r="AF666" s="680"/>
    </row>
    <row r="667" spans="1:32" s="536" customFormat="1" ht="12" x14ac:dyDescent="0.2">
      <c r="A667" s="605"/>
      <c r="B667" s="552" t="s">
        <v>185</v>
      </c>
      <c r="C667" s="1822" t="s">
        <v>312</v>
      </c>
      <c r="D667" s="1822"/>
      <c r="E667" s="1822"/>
      <c r="F667" s="562"/>
      <c r="G667" s="562"/>
      <c r="H667" s="562"/>
      <c r="I667" s="562"/>
      <c r="J667" s="604">
        <v>134.68</v>
      </c>
      <c r="K667" s="562" t="s">
        <v>313</v>
      </c>
      <c r="L667" s="604">
        <v>168.35</v>
      </c>
      <c r="M667" s="562"/>
      <c r="N667" s="602"/>
      <c r="T667" s="674"/>
      <c r="U667" s="675"/>
      <c r="V667" s="675"/>
      <c r="Y667" s="537" t="s">
        <v>312</v>
      </c>
      <c r="AB667" s="675"/>
      <c r="AC667" s="675"/>
      <c r="AE667" s="675"/>
      <c r="AF667" s="680"/>
    </row>
    <row r="668" spans="1:32" s="536" customFormat="1" ht="12" x14ac:dyDescent="0.2">
      <c r="A668" s="605"/>
      <c r="B668" s="552" t="s">
        <v>186</v>
      </c>
      <c r="C668" s="1822" t="s">
        <v>344</v>
      </c>
      <c r="D668" s="1822"/>
      <c r="E668" s="1822"/>
      <c r="F668" s="562"/>
      <c r="G668" s="562"/>
      <c r="H668" s="562"/>
      <c r="I668" s="562"/>
      <c r="J668" s="604">
        <v>1161.8599999999999</v>
      </c>
      <c r="K668" s="562" t="s">
        <v>313</v>
      </c>
      <c r="L668" s="604">
        <v>1452.33</v>
      </c>
      <c r="M668" s="562"/>
      <c r="N668" s="602"/>
      <c r="T668" s="674"/>
      <c r="U668" s="675"/>
      <c r="V668" s="675"/>
      <c r="Y668" s="537" t="s">
        <v>344</v>
      </c>
      <c r="AB668" s="675"/>
      <c r="AC668" s="675"/>
      <c r="AE668" s="675"/>
      <c r="AF668" s="680"/>
    </row>
    <row r="669" spans="1:32" s="536" customFormat="1" ht="12" x14ac:dyDescent="0.2">
      <c r="A669" s="605"/>
      <c r="B669" s="552" t="s">
        <v>187</v>
      </c>
      <c r="C669" s="1822" t="s">
        <v>345</v>
      </c>
      <c r="D669" s="1822"/>
      <c r="E669" s="1822"/>
      <c r="F669" s="562"/>
      <c r="G669" s="562"/>
      <c r="H669" s="562"/>
      <c r="I669" s="562"/>
      <c r="J669" s="604">
        <v>108.22</v>
      </c>
      <c r="K669" s="562" t="s">
        <v>313</v>
      </c>
      <c r="L669" s="604">
        <v>135.28</v>
      </c>
      <c r="M669" s="562"/>
      <c r="N669" s="602"/>
      <c r="T669" s="674"/>
      <c r="U669" s="675"/>
      <c r="V669" s="675"/>
      <c r="Y669" s="537" t="s">
        <v>345</v>
      </c>
      <c r="AB669" s="675"/>
      <c r="AC669" s="675"/>
      <c r="AE669" s="675"/>
      <c r="AF669" s="680"/>
    </row>
    <row r="670" spans="1:32" s="536" customFormat="1" ht="12" x14ac:dyDescent="0.2">
      <c r="A670" s="605"/>
      <c r="B670" s="552"/>
      <c r="C670" s="1822" t="s">
        <v>314</v>
      </c>
      <c r="D670" s="1822"/>
      <c r="E670" s="1822"/>
      <c r="F670" s="562" t="s">
        <v>315</v>
      </c>
      <c r="G670" s="562" t="s">
        <v>198</v>
      </c>
      <c r="H670" s="562" t="s">
        <v>313</v>
      </c>
      <c r="I670" s="562" t="s">
        <v>2406</v>
      </c>
      <c r="J670" s="604"/>
      <c r="K670" s="562"/>
      <c r="L670" s="604"/>
      <c r="M670" s="562"/>
      <c r="N670" s="602"/>
      <c r="T670" s="674"/>
      <c r="U670" s="675"/>
      <c r="V670" s="675"/>
      <c r="Z670" s="537" t="s">
        <v>314</v>
      </c>
      <c r="AB670" s="675"/>
      <c r="AC670" s="675"/>
      <c r="AE670" s="675"/>
      <c r="AF670" s="680"/>
    </row>
    <row r="671" spans="1:32" s="536" customFormat="1" ht="12" x14ac:dyDescent="0.2">
      <c r="A671" s="605"/>
      <c r="B671" s="552"/>
      <c r="C671" s="1822" t="s">
        <v>348</v>
      </c>
      <c r="D671" s="1822"/>
      <c r="E671" s="1822"/>
      <c r="F671" s="562" t="s">
        <v>315</v>
      </c>
      <c r="G671" s="562" t="s">
        <v>6781</v>
      </c>
      <c r="H671" s="562" t="s">
        <v>313</v>
      </c>
      <c r="I671" s="562" t="s">
        <v>6782</v>
      </c>
      <c r="J671" s="604"/>
      <c r="K671" s="562"/>
      <c r="L671" s="604"/>
      <c r="M671" s="562"/>
      <c r="N671" s="602"/>
      <c r="T671" s="674"/>
      <c r="U671" s="675"/>
      <c r="V671" s="675"/>
      <c r="Z671" s="537" t="s">
        <v>348</v>
      </c>
      <c r="AB671" s="675"/>
      <c r="AC671" s="675"/>
      <c r="AE671" s="675"/>
      <c r="AF671" s="680"/>
    </row>
    <row r="672" spans="1:32" s="536" customFormat="1" ht="12" x14ac:dyDescent="0.2">
      <c r="A672" s="605"/>
      <c r="B672" s="552"/>
      <c r="C672" s="1828" t="s">
        <v>318</v>
      </c>
      <c r="D672" s="1828"/>
      <c r="E672" s="1828"/>
      <c r="F672" s="608"/>
      <c r="G672" s="608"/>
      <c r="H672" s="608"/>
      <c r="I672" s="608"/>
      <c r="J672" s="607">
        <v>1296.54</v>
      </c>
      <c r="K672" s="608"/>
      <c r="L672" s="607">
        <v>1620.68</v>
      </c>
      <c r="M672" s="608"/>
      <c r="N672" s="606"/>
      <c r="T672" s="674"/>
      <c r="U672" s="675"/>
      <c r="V672" s="675"/>
      <c r="AA672" s="537" t="s">
        <v>318</v>
      </c>
      <c r="AB672" s="675"/>
      <c r="AC672" s="675"/>
      <c r="AE672" s="675"/>
      <c r="AF672" s="680"/>
    </row>
    <row r="673" spans="1:32" s="536" customFormat="1" ht="12" x14ac:dyDescent="0.2">
      <c r="A673" s="605"/>
      <c r="B673" s="552"/>
      <c r="C673" s="1822" t="s">
        <v>319</v>
      </c>
      <c r="D673" s="1822"/>
      <c r="E673" s="1822"/>
      <c r="F673" s="562"/>
      <c r="G673" s="562"/>
      <c r="H673" s="562"/>
      <c r="I673" s="562"/>
      <c r="J673" s="604"/>
      <c r="K673" s="562"/>
      <c r="L673" s="604">
        <v>303.63</v>
      </c>
      <c r="M673" s="562"/>
      <c r="N673" s="602"/>
      <c r="T673" s="674"/>
      <c r="U673" s="675"/>
      <c r="V673" s="675"/>
      <c r="Z673" s="537" t="s">
        <v>319</v>
      </c>
      <c r="AB673" s="675"/>
      <c r="AC673" s="675"/>
      <c r="AE673" s="675"/>
      <c r="AF673" s="680"/>
    </row>
    <row r="674" spans="1:32" s="536" customFormat="1" ht="33.75" x14ac:dyDescent="0.2">
      <c r="A674" s="605"/>
      <c r="B674" s="552" t="s">
        <v>533</v>
      </c>
      <c r="C674" s="1822" t="s">
        <v>534</v>
      </c>
      <c r="D674" s="1822"/>
      <c r="E674" s="1822"/>
      <c r="F674" s="562" t="s">
        <v>322</v>
      </c>
      <c r="G674" s="562" t="s">
        <v>535</v>
      </c>
      <c r="H674" s="562"/>
      <c r="I674" s="562" t="s">
        <v>535</v>
      </c>
      <c r="J674" s="604"/>
      <c r="K674" s="562"/>
      <c r="L674" s="604">
        <v>355.25</v>
      </c>
      <c r="M674" s="562"/>
      <c r="N674" s="602"/>
      <c r="T674" s="674"/>
      <c r="U674" s="675"/>
      <c r="V674" s="675"/>
      <c r="Z674" s="537" t="s">
        <v>534</v>
      </c>
      <c r="AB674" s="675"/>
      <c r="AC674" s="675"/>
      <c r="AE674" s="675"/>
      <c r="AF674" s="680"/>
    </row>
    <row r="675" spans="1:32" s="536" customFormat="1" ht="33.75" x14ac:dyDescent="0.2">
      <c r="A675" s="605"/>
      <c r="B675" s="552" t="s">
        <v>536</v>
      </c>
      <c r="C675" s="1822" t="s">
        <v>537</v>
      </c>
      <c r="D675" s="1822"/>
      <c r="E675" s="1822"/>
      <c r="F675" s="562" t="s">
        <v>322</v>
      </c>
      <c r="G675" s="562" t="s">
        <v>538</v>
      </c>
      <c r="H675" s="562"/>
      <c r="I675" s="562" t="s">
        <v>538</v>
      </c>
      <c r="J675" s="604"/>
      <c r="K675" s="562"/>
      <c r="L675" s="604">
        <v>224.69</v>
      </c>
      <c r="M675" s="562"/>
      <c r="N675" s="602"/>
      <c r="T675" s="674"/>
      <c r="U675" s="675"/>
      <c r="V675" s="675"/>
      <c r="Z675" s="537" t="s">
        <v>537</v>
      </c>
      <c r="AB675" s="675"/>
      <c r="AC675" s="675"/>
      <c r="AE675" s="675"/>
      <c r="AF675" s="680"/>
    </row>
    <row r="676" spans="1:32" s="536" customFormat="1" ht="12" x14ac:dyDescent="0.2">
      <c r="A676" s="569"/>
      <c r="B676" s="683"/>
      <c r="C676" s="1823" t="s">
        <v>327</v>
      </c>
      <c r="D676" s="1823"/>
      <c r="E676" s="1823"/>
      <c r="F676" s="573"/>
      <c r="G676" s="573"/>
      <c r="H676" s="573"/>
      <c r="I676" s="573"/>
      <c r="J676" s="572"/>
      <c r="K676" s="573"/>
      <c r="L676" s="572">
        <v>2200.62</v>
      </c>
      <c r="M676" s="608"/>
      <c r="N676" s="570"/>
      <c r="T676" s="674"/>
      <c r="U676" s="675"/>
      <c r="V676" s="675"/>
      <c r="AB676" s="675" t="s">
        <v>327</v>
      </c>
      <c r="AC676" s="675"/>
      <c r="AE676" s="675"/>
      <c r="AF676" s="680"/>
    </row>
    <row r="677" spans="1:32" s="536" customFormat="1" ht="101.25" x14ac:dyDescent="0.2">
      <c r="A677" s="575" t="s">
        <v>2347</v>
      </c>
      <c r="B677" s="684" t="s">
        <v>6783</v>
      </c>
      <c r="C677" s="1823" t="s">
        <v>6784</v>
      </c>
      <c r="D677" s="1823"/>
      <c r="E677" s="1823"/>
      <c r="F677" s="573" t="s">
        <v>6785</v>
      </c>
      <c r="G677" s="573"/>
      <c r="H677" s="573"/>
      <c r="I677" s="573" t="s">
        <v>186</v>
      </c>
      <c r="J677" s="572"/>
      <c r="K677" s="573"/>
      <c r="L677" s="572"/>
      <c r="M677" s="573"/>
      <c r="N677" s="570"/>
      <c r="T677" s="674"/>
      <c r="U677" s="675"/>
      <c r="V677" s="675" t="s">
        <v>6784</v>
      </c>
      <c r="AB677" s="675"/>
      <c r="AC677" s="675"/>
      <c r="AE677" s="675"/>
      <c r="AF677" s="680"/>
    </row>
    <row r="678" spans="1:32" s="536" customFormat="1" ht="33.75" x14ac:dyDescent="0.2">
      <c r="A678" s="609"/>
      <c r="B678" s="552" t="s">
        <v>310</v>
      </c>
      <c r="C678" s="1822" t="s">
        <v>311</v>
      </c>
      <c r="D678" s="1822"/>
      <c r="E678" s="1822"/>
      <c r="F678" s="1822"/>
      <c r="G678" s="1822"/>
      <c r="H678" s="1822"/>
      <c r="I678" s="1822"/>
      <c r="J678" s="1822"/>
      <c r="K678" s="1822"/>
      <c r="L678" s="1822"/>
      <c r="M678" s="1822"/>
      <c r="N678" s="1827"/>
      <c r="T678" s="674"/>
      <c r="U678" s="675"/>
      <c r="V678" s="675"/>
      <c r="X678" s="537" t="s">
        <v>311</v>
      </c>
      <c r="AB678" s="675"/>
      <c r="AC678" s="675"/>
      <c r="AE678" s="675"/>
      <c r="AF678" s="680"/>
    </row>
    <row r="679" spans="1:32" s="536" customFormat="1" ht="12" x14ac:dyDescent="0.2">
      <c r="A679" s="605"/>
      <c r="B679" s="552" t="s">
        <v>185</v>
      </c>
      <c r="C679" s="1822" t="s">
        <v>312</v>
      </c>
      <c r="D679" s="1822"/>
      <c r="E679" s="1822"/>
      <c r="F679" s="562"/>
      <c r="G679" s="562"/>
      <c r="H679" s="562"/>
      <c r="I679" s="562"/>
      <c r="J679" s="604">
        <v>5.8</v>
      </c>
      <c r="K679" s="562" t="s">
        <v>313</v>
      </c>
      <c r="L679" s="604">
        <v>14.5</v>
      </c>
      <c r="M679" s="562"/>
      <c r="N679" s="602"/>
      <c r="T679" s="674"/>
      <c r="U679" s="675"/>
      <c r="V679" s="675"/>
      <c r="Y679" s="537" t="s">
        <v>312</v>
      </c>
      <c r="AB679" s="675"/>
      <c r="AC679" s="675"/>
      <c r="AE679" s="675"/>
      <c r="AF679" s="680"/>
    </row>
    <row r="680" spans="1:32" s="536" customFormat="1" ht="12" x14ac:dyDescent="0.2">
      <c r="A680" s="605"/>
      <c r="B680" s="552" t="s">
        <v>188</v>
      </c>
      <c r="C680" s="1822" t="s">
        <v>475</v>
      </c>
      <c r="D680" s="1822"/>
      <c r="E680" s="1822"/>
      <c r="F680" s="562"/>
      <c r="G680" s="562"/>
      <c r="H680" s="562"/>
      <c r="I680" s="562"/>
      <c r="J680" s="604">
        <v>0.12</v>
      </c>
      <c r="K680" s="562"/>
      <c r="L680" s="604">
        <v>0.24</v>
      </c>
      <c r="M680" s="562"/>
      <c r="N680" s="602"/>
      <c r="T680" s="674"/>
      <c r="U680" s="675"/>
      <c r="V680" s="675"/>
      <c r="Y680" s="537" t="s">
        <v>475</v>
      </c>
      <c r="AB680" s="675"/>
      <c r="AC680" s="675"/>
      <c r="AE680" s="675"/>
      <c r="AF680" s="680"/>
    </row>
    <row r="681" spans="1:32" s="536" customFormat="1" ht="12" x14ac:dyDescent="0.2">
      <c r="A681" s="605"/>
      <c r="B681" s="552"/>
      <c r="C681" s="1822" t="s">
        <v>314</v>
      </c>
      <c r="D681" s="1822"/>
      <c r="E681" s="1822"/>
      <c r="F681" s="562" t="s">
        <v>315</v>
      </c>
      <c r="G681" s="562" t="s">
        <v>6786</v>
      </c>
      <c r="H681" s="562" t="s">
        <v>313</v>
      </c>
      <c r="I681" s="562" t="s">
        <v>3808</v>
      </c>
      <c r="J681" s="604"/>
      <c r="K681" s="562"/>
      <c r="L681" s="604"/>
      <c r="M681" s="562"/>
      <c r="N681" s="602"/>
      <c r="T681" s="674"/>
      <c r="U681" s="675"/>
      <c r="V681" s="675"/>
      <c r="Z681" s="537" t="s">
        <v>314</v>
      </c>
      <c r="AB681" s="675"/>
      <c r="AC681" s="675"/>
      <c r="AE681" s="675"/>
      <c r="AF681" s="680"/>
    </row>
    <row r="682" spans="1:32" s="536" customFormat="1" ht="12" x14ac:dyDescent="0.2">
      <c r="A682" s="605"/>
      <c r="B682" s="552"/>
      <c r="C682" s="1828" t="s">
        <v>318</v>
      </c>
      <c r="D682" s="1828"/>
      <c r="E682" s="1828"/>
      <c r="F682" s="608"/>
      <c r="G682" s="608"/>
      <c r="H682" s="608"/>
      <c r="I682" s="608"/>
      <c r="J682" s="607">
        <v>5.92</v>
      </c>
      <c r="K682" s="608"/>
      <c r="L682" s="607">
        <v>14.74</v>
      </c>
      <c r="M682" s="608"/>
      <c r="N682" s="606"/>
      <c r="T682" s="674"/>
      <c r="U682" s="675"/>
      <c r="V682" s="675"/>
      <c r="AA682" s="537" t="s">
        <v>318</v>
      </c>
      <c r="AB682" s="675"/>
      <c r="AC682" s="675"/>
      <c r="AE682" s="675"/>
      <c r="AF682" s="680"/>
    </row>
    <row r="683" spans="1:32" s="536" customFormat="1" ht="12" x14ac:dyDescent="0.2">
      <c r="A683" s="605"/>
      <c r="B683" s="552"/>
      <c r="C683" s="1822" t="s">
        <v>319</v>
      </c>
      <c r="D683" s="1822"/>
      <c r="E683" s="1822"/>
      <c r="F683" s="562"/>
      <c r="G683" s="562"/>
      <c r="H683" s="562"/>
      <c r="I683" s="562"/>
      <c r="J683" s="604"/>
      <c r="K683" s="562"/>
      <c r="L683" s="604">
        <v>14.5</v>
      </c>
      <c r="M683" s="562"/>
      <c r="N683" s="602"/>
      <c r="T683" s="674"/>
      <c r="U683" s="675"/>
      <c r="V683" s="675"/>
      <c r="Z683" s="537" t="s">
        <v>319</v>
      </c>
      <c r="AB683" s="675"/>
      <c r="AC683" s="675"/>
      <c r="AE683" s="675"/>
      <c r="AF683" s="680"/>
    </row>
    <row r="684" spans="1:32" s="536" customFormat="1" ht="33.75" x14ac:dyDescent="0.2">
      <c r="A684" s="605"/>
      <c r="B684" s="552" t="s">
        <v>6787</v>
      </c>
      <c r="C684" s="1822" t="s">
        <v>6788</v>
      </c>
      <c r="D684" s="1822"/>
      <c r="E684" s="1822"/>
      <c r="F684" s="562" t="s">
        <v>322</v>
      </c>
      <c r="G684" s="562" t="s">
        <v>323</v>
      </c>
      <c r="H684" s="562"/>
      <c r="I684" s="562" t="s">
        <v>323</v>
      </c>
      <c r="J684" s="604"/>
      <c r="K684" s="562"/>
      <c r="L684" s="604">
        <v>12.91</v>
      </c>
      <c r="M684" s="562"/>
      <c r="N684" s="602"/>
      <c r="T684" s="674"/>
      <c r="U684" s="675"/>
      <c r="V684" s="675"/>
      <c r="Z684" s="537" t="s">
        <v>6788</v>
      </c>
      <c r="AB684" s="675"/>
      <c r="AC684" s="675"/>
      <c r="AE684" s="675"/>
      <c r="AF684" s="680"/>
    </row>
    <row r="685" spans="1:32" s="536" customFormat="1" ht="33.75" x14ac:dyDescent="0.2">
      <c r="A685" s="605"/>
      <c r="B685" s="552" t="s">
        <v>6789</v>
      </c>
      <c r="C685" s="1822" t="s">
        <v>6790</v>
      </c>
      <c r="D685" s="1822"/>
      <c r="E685" s="1822"/>
      <c r="F685" s="562" t="s">
        <v>322</v>
      </c>
      <c r="G685" s="562" t="s">
        <v>931</v>
      </c>
      <c r="H685" s="562"/>
      <c r="I685" s="562" t="s">
        <v>931</v>
      </c>
      <c r="J685" s="604"/>
      <c r="K685" s="562"/>
      <c r="L685" s="604">
        <v>6.53</v>
      </c>
      <c r="M685" s="562"/>
      <c r="N685" s="602"/>
      <c r="T685" s="674"/>
      <c r="U685" s="675"/>
      <c r="V685" s="675"/>
      <c r="Z685" s="537" t="s">
        <v>6790</v>
      </c>
      <c r="AB685" s="675"/>
      <c r="AC685" s="675"/>
      <c r="AE685" s="675"/>
      <c r="AF685" s="680"/>
    </row>
    <row r="686" spans="1:32" s="536" customFormat="1" ht="12" x14ac:dyDescent="0.2">
      <c r="A686" s="569"/>
      <c r="B686" s="683"/>
      <c r="C686" s="1823" t="s">
        <v>327</v>
      </c>
      <c r="D686" s="1823"/>
      <c r="E686" s="1823"/>
      <c r="F686" s="573"/>
      <c r="G686" s="573"/>
      <c r="H686" s="573"/>
      <c r="I686" s="573"/>
      <c r="J686" s="572"/>
      <c r="K686" s="573"/>
      <c r="L686" s="572">
        <v>34.18</v>
      </c>
      <c r="M686" s="608"/>
      <c r="N686" s="570"/>
      <c r="T686" s="674"/>
      <c r="U686" s="675"/>
      <c r="V686" s="675"/>
      <c r="AB686" s="675" t="s">
        <v>327</v>
      </c>
      <c r="AC686" s="675"/>
      <c r="AE686" s="675"/>
      <c r="AF686" s="680"/>
    </row>
    <row r="687" spans="1:32" s="536" customFormat="1" ht="78.75" x14ac:dyDescent="0.2">
      <c r="A687" s="575" t="s">
        <v>796</v>
      </c>
      <c r="B687" s="684" t="s">
        <v>6791</v>
      </c>
      <c r="C687" s="1823" t="s">
        <v>6792</v>
      </c>
      <c r="D687" s="1823"/>
      <c r="E687" s="1823"/>
      <c r="F687" s="573" t="s">
        <v>6785</v>
      </c>
      <c r="G687" s="573"/>
      <c r="H687" s="573"/>
      <c r="I687" s="573" t="s">
        <v>192</v>
      </c>
      <c r="J687" s="572"/>
      <c r="K687" s="573"/>
      <c r="L687" s="572"/>
      <c r="M687" s="573"/>
      <c r="N687" s="570"/>
      <c r="T687" s="674"/>
      <c r="U687" s="675"/>
      <c r="V687" s="675" t="s">
        <v>6792</v>
      </c>
      <c r="AB687" s="675"/>
      <c r="AC687" s="675"/>
      <c r="AE687" s="675"/>
      <c r="AF687" s="680"/>
    </row>
    <row r="688" spans="1:32" s="536" customFormat="1" ht="33.75" x14ac:dyDescent="0.2">
      <c r="A688" s="609"/>
      <c r="B688" s="552" t="s">
        <v>310</v>
      </c>
      <c r="C688" s="1822" t="s">
        <v>311</v>
      </c>
      <c r="D688" s="1822"/>
      <c r="E688" s="1822"/>
      <c r="F688" s="1822"/>
      <c r="G688" s="1822"/>
      <c r="H688" s="1822"/>
      <c r="I688" s="1822"/>
      <c r="J688" s="1822"/>
      <c r="K688" s="1822"/>
      <c r="L688" s="1822"/>
      <c r="M688" s="1822"/>
      <c r="N688" s="1827"/>
      <c r="T688" s="674"/>
      <c r="U688" s="675"/>
      <c r="V688" s="675"/>
      <c r="X688" s="537" t="s">
        <v>311</v>
      </c>
      <c r="AB688" s="675"/>
      <c r="AC688" s="675"/>
      <c r="AE688" s="675"/>
      <c r="AF688" s="680"/>
    </row>
    <row r="689" spans="1:32" s="536" customFormat="1" ht="12" x14ac:dyDescent="0.2">
      <c r="A689" s="605"/>
      <c r="B689" s="552" t="s">
        <v>185</v>
      </c>
      <c r="C689" s="1822" t="s">
        <v>312</v>
      </c>
      <c r="D689" s="1822"/>
      <c r="E689" s="1822"/>
      <c r="F689" s="562"/>
      <c r="G689" s="562"/>
      <c r="H689" s="562"/>
      <c r="I689" s="562"/>
      <c r="J689" s="604">
        <v>5.4</v>
      </c>
      <c r="K689" s="562" t="s">
        <v>313</v>
      </c>
      <c r="L689" s="604">
        <v>54</v>
      </c>
      <c r="M689" s="562"/>
      <c r="N689" s="602"/>
      <c r="T689" s="674"/>
      <c r="U689" s="675"/>
      <c r="V689" s="675"/>
      <c r="Y689" s="537" t="s">
        <v>312</v>
      </c>
      <c r="AB689" s="675"/>
      <c r="AC689" s="675"/>
      <c r="AE689" s="675"/>
      <c r="AF689" s="680"/>
    </row>
    <row r="690" spans="1:32" s="536" customFormat="1" ht="12" x14ac:dyDescent="0.2">
      <c r="A690" s="605"/>
      <c r="B690" s="552" t="s">
        <v>186</v>
      </c>
      <c r="C690" s="1822" t="s">
        <v>344</v>
      </c>
      <c r="D690" s="1822"/>
      <c r="E690" s="1822"/>
      <c r="F690" s="562"/>
      <c r="G690" s="562"/>
      <c r="H690" s="562"/>
      <c r="I690" s="562"/>
      <c r="J690" s="604">
        <v>1.8</v>
      </c>
      <c r="K690" s="562" t="s">
        <v>313</v>
      </c>
      <c r="L690" s="604">
        <v>18</v>
      </c>
      <c r="M690" s="562"/>
      <c r="N690" s="602"/>
      <c r="T690" s="674"/>
      <c r="U690" s="675"/>
      <c r="V690" s="675"/>
      <c r="Y690" s="537" t="s">
        <v>344</v>
      </c>
      <c r="AB690" s="675"/>
      <c r="AC690" s="675"/>
      <c r="AE690" s="675"/>
      <c r="AF690" s="680"/>
    </row>
    <row r="691" spans="1:32" s="536" customFormat="1" ht="12" x14ac:dyDescent="0.2">
      <c r="A691" s="605"/>
      <c r="B691" s="552" t="s">
        <v>188</v>
      </c>
      <c r="C691" s="1822" t="s">
        <v>475</v>
      </c>
      <c r="D691" s="1822"/>
      <c r="E691" s="1822"/>
      <c r="F691" s="562"/>
      <c r="G691" s="562"/>
      <c r="H691" s="562"/>
      <c r="I691" s="562"/>
      <c r="J691" s="604">
        <v>1.81</v>
      </c>
      <c r="K691" s="562"/>
      <c r="L691" s="604">
        <v>14.48</v>
      </c>
      <c r="M691" s="562"/>
      <c r="N691" s="602"/>
      <c r="T691" s="674"/>
      <c r="U691" s="675"/>
      <c r="V691" s="675"/>
      <c r="Y691" s="537" t="s">
        <v>475</v>
      </c>
      <c r="AB691" s="675"/>
      <c r="AC691" s="675"/>
      <c r="AE691" s="675"/>
      <c r="AF691" s="680"/>
    </row>
    <row r="692" spans="1:32" s="536" customFormat="1" ht="12" x14ac:dyDescent="0.2">
      <c r="A692" s="605"/>
      <c r="B692" s="552"/>
      <c r="C692" s="1822" t="s">
        <v>314</v>
      </c>
      <c r="D692" s="1822"/>
      <c r="E692" s="1822"/>
      <c r="F692" s="562" t="s">
        <v>315</v>
      </c>
      <c r="G692" s="562" t="s">
        <v>1692</v>
      </c>
      <c r="H692" s="562" t="s">
        <v>313</v>
      </c>
      <c r="I692" s="562" t="s">
        <v>189</v>
      </c>
      <c r="J692" s="604"/>
      <c r="K692" s="562"/>
      <c r="L692" s="604"/>
      <c r="M692" s="562"/>
      <c r="N692" s="602"/>
      <c r="T692" s="674"/>
      <c r="U692" s="675"/>
      <c r="V692" s="675"/>
      <c r="Z692" s="537" t="s">
        <v>314</v>
      </c>
      <c r="AB692" s="675"/>
      <c r="AC692" s="675"/>
      <c r="AE692" s="675"/>
      <c r="AF692" s="680"/>
    </row>
    <row r="693" spans="1:32" s="536" customFormat="1" ht="12" x14ac:dyDescent="0.2">
      <c r="A693" s="605"/>
      <c r="B693" s="552"/>
      <c r="C693" s="1828" t="s">
        <v>318</v>
      </c>
      <c r="D693" s="1828"/>
      <c r="E693" s="1828"/>
      <c r="F693" s="608"/>
      <c r="G693" s="608"/>
      <c r="H693" s="608"/>
      <c r="I693" s="608"/>
      <c r="J693" s="607">
        <v>9.01</v>
      </c>
      <c r="K693" s="608"/>
      <c r="L693" s="607">
        <v>86.48</v>
      </c>
      <c r="M693" s="608"/>
      <c r="N693" s="606"/>
      <c r="T693" s="674"/>
      <c r="U693" s="675"/>
      <c r="V693" s="675"/>
      <c r="AA693" s="537" t="s">
        <v>318</v>
      </c>
      <c r="AB693" s="675"/>
      <c r="AC693" s="675"/>
      <c r="AE693" s="675"/>
      <c r="AF693" s="680"/>
    </row>
    <row r="694" spans="1:32" s="536" customFormat="1" ht="12" x14ac:dyDescent="0.2">
      <c r="A694" s="605"/>
      <c r="B694" s="552"/>
      <c r="C694" s="1822" t="s">
        <v>319</v>
      </c>
      <c r="D694" s="1822"/>
      <c r="E694" s="1822"/>
      <c r="F694" s="562"/>
      <c r="G694" s="562"/>
      <c r="H694" s="562"/>
      <c r="I694" s="562"/>
      <c r="J694" s="604"/>
      <c r="K694" s="562"/>
      <c r="L694" s="604">
        <v>54</v>
      </c>
      <c r="M694" s="562"/>
      <c r="N694" s="602"/>
      <c r="T694" s="674"/>
      <c r="U694" s="675"/>
      <c r="V694" s="675"/>
      <c r="Z694" s="537" t="s">
        <v>319</v>
      </c>
      <c r="AB694" s="675"/>
      <c r="AC694" s="675"/>
      <c r="AE694" s="675"/>
      <c r="AF694" s="680"/>
    </row>
    <row r="695" spans="1:32" s="536" customFormat="1" ht="33.75" x14ac:dyDescent="0.2">
      <c r="A695" s="605"/>
      <c r="B695" s="552" t="s">
        <v>6787</v>
      </c>
      <c r="C695" s="1822" t="s">
        <v>6788</v>
      </c>
      <c r="D695" s="1822"/>
      <c r="E695" s="1822"/>
      <c r="F695" s="562" t="s">
        <v>322</v>
      </c>
      <c r="G695" s="562" t="s">
        <v>323</v>
      </c>
      <c r="H695" s="562"/>
      <c r="I695" s="562" t="s">
        <v>323</v>
      </c>
      <c r="J695" s="604"/>
      <c r="K695" s="562"/>
      <c r="L695" s="604">
        <v>48.06</v>
      </c>
      <c r="M695" s="562"/>
      <c r="N695" s="602"/>
      <c r="T695" s="674"/>
      <c r="U695" s="675"/>
      <c r="V695" s="675"/>
      <c r="Z695" s="537" t="s">
        <v>6788</v>
      </c>
      <c r="AB695" s="675"/>
      <c r="AC695" s="675"/>
      <c r="AE695" s="675"/>
      <c r="AF695" s="680"/>
    </row>
    <row r="696" spans="1:32" s="536" customFormat="1" ht="33.75" x14ac:dyDescent="0.2">
      <c r="A696" s="605"/>
      <c r="B696" s="552" t="s">
        <v>6789</v>
      </c>
      <c r="C696" s="1822" t="s">
        <v>6790</v>
      </c>
      <c r="D696" s="1822"/>
      <c r="E696" s="1822"/>
      <c r="F696" s="562" t="s">
        <v>322</v>
      </c>
      <c r="G696" s="562" t="s">
        <v>931</v>
      </c>
      <c r="H696" s="562"/>
      <c r="I696" s="562" t="s">
        <v>931</v>
      </c>
      <c r="J696" s="604"/>
      <c r="K696" s="562"/>
      <c r="L696" s="604">
        <v>24.3</v>
      </c>
      <c r="M696" s="562"/>
      <c r="N696" s="602"/>
      <c r="T696" s="674"/>
      <c r="U696" s="675"/>
      <c r="V696" s="675"/>
      <c r="Z696" s="537" t="s">
        <v>6790</v>
      </c>
      <c r="AB696" s="675"/>
      <c r="AC696" s="675"/>
      <c r="AE696" s="675"/>
      <c r="AF696" s="680"/>
    </row>
    <row r="697" spans="1:32" s="536" customFormat="1" ht="12" x14ac:dyDescent="0.2">
      <c r="A697" s="569"/>
      <c r="B697" s="683"/>
      <c r="C697" s="1823" t="s">
        <v>327</v>
      </c>
      <c r="D697" s="1823"/>
      <c r="E697" s="1823"/>
      <c r="F697" s="573"/>
      <c r="G697" s="573"/>
      <c r="H697" s="573"/>
      <c r="I697" s="573"/>
      <c r="J697" s="572"/>
      <c r="K697" s="573"/>
      <c r="L697" s="572">
        <v>158.84</v>
      </c>
      <c r="M697" s="608"/>
      <c r="N697" s="570"/>
      <c r="T697" s="674"/>
      <c r="U697" s="675"/>
      <c r="V697" s="675"/>
      <c r="AB697" s="675" t="s">
        <v>327</v>
      </c>
      <c r="AC697" s="675"/>
      <c r="AE697" s="675"/>
      <c r="AF697" s="680"/>
    </row>
    <row r="698" spans="1:32" s="536" customFormat="1" ht="12" x14ac:dyDescent="0.2">
      <c r="A698" s="1830" t="s">
        <v>9053</v>
      </c>
      <c r="B698" s="1831"/>
      <c r="C698" s="1831"/>
      <c r="D698" s="1831"/>
      <c r="E698" s="1831"/>
      <c r="F698" s="1831"/>
      <c r="G698" s="1831"/>
      <c r="H698" s="1831"/>
      <c r="I698" s="1831"/>
      <c r="J698" s="1831"/>
      <c r="K698" s="1831"/>
      <c r="L698" s="1831"/>
      <c r="M698" s="1831"/>
      <c r="N698" s="1832"/>
      <c r="T698" s="674"/>
      <c r="U698" s="675" t="s">
        <v>9053</v>
      </c>
      <c r="V698" s="675"/>
      <c r="AB698" s="675"/>
      <c r="AC698" s="675"/>
      <c r="AE698" s="675"/>
      <c r="AF698" s="680"/>
    </row>
    <row r="699" spans="1:32" s="536" customFormat="1" ht="33.75" x14ac:dyDescent="0.2">
      <c r="A699" s="575" t="s">
        <v>797</v>
      </c>
      <c r="B699" s="684" t="s">
        <v>9054</v>
      </c>
      <c r="C699" s="1823" t="s">
        <v>9055</v>
      </c>
      <c r="D699" s="1823"/>
      <c r="E699" s="1823"/>
      <c r="F699" s="573" t="s">
        <v>617</v>
      </c>
      <c r="G699" s="573"/>
      <c r="H699" s="573"/>
      <c r="I699" s="573" t="s">
        <v>185</v>
      </c>
      <c r="J699" s="572"/>
      <c r="K699" s="573"/>
      <c r="L699" s="572"/>
      <c r="M699" s="573"/>
      <c r="N699" s="570"/>
      <c r="T699" s="674"/>
      <c r="U699" s="675"/>
      <c r="V699" s="675" t="s">
        <v>9055</v>
      </c>
      <c r="AB699" s="675"/>
      <c r="AC699" s="675"/>
      <c r="AE699" s="675"/>
      <c r="AF699" s="680"/>
    </row>
    <row r="700" spans="1:32" s="536" customFormat="1" ht="33.75" x14ac:dyDescent="0.2">
      <c r="A700" s="609"/>
      <c r="B700" s="552" t="s">
        <v>310</v>
      </c>
      <c r="C700" s="1822" t="s">
        <v>311</v>
      </c>
      <c r="D700" s="1822"/>
      <c r="E700" s="1822"/>
      <c r="F700" s="1822"/>
      <c r="G700" s="1822"/>
      <c r="H700" s="1822"/>
      <c r="I700" s="1822"/>
      <c r="J700" s="1822"/>
      <c r="K700" s="1822"/>
      <c r="L700" s="1822"/>
      <c r="M700" s="1822"/>
      <c r="N700" s="1827"/>
      <c r="T700" s="674"/>
      <c r="U700" s="675"/>
      <c r="V700" s="675"/>
      <c r="X700" s="537" t="s">
        <v>311</v>
      </c>
      <c r="AB700" s="675"/>
      <c r="AC700" s="675"/>
      <c r="AE700" s="675"/>
      <c r="AF700" s="680"/>
    </row>
    <row r="701" spans="1:32" s="536" customFormat="1" ht="12" x14ac:dyDescent="0.2">
      <c r="A701" s="605"/>
      <c r="B701" s="552" t="s">
        <v>185</v>
      </c>
      <c r="C701" s="1822" t="s">
        <v>312</v>
      </c>
      <c r="D701" s="1822"/>
      <c r="E701" s="1822"/>
      <c r="F701" s="562"/>
      <c r="G701" s="562"/>
      <c r="H701" s="562"/>
      <c r="I701" s="562"/>
      <c r="J701" s="604">
        <v>3.81</v>
      </c>
      <c r="K701" s="562" t="s">
        <v>313</v>
      </c>
      <c r="L701" s="604">
        <v>4.76</v>
      </c>
      <c r="M701" s="562"/>
      <c r="N701" s="602"/>
      <c r="T701" s="674"/>
      <c r="U701" s="675"/>
      <c r="V701" s="675"/>
      <c r="Y701" s="537" t="s">
        <v>312</v>
      </c>
      <c r="AB701" s="675"/>
      <c r="AC701" s="675"/>
      <c r="AE701" s="675"/>
      <c r="AF701" s="680"/>
    </row>
    <row r="702" spans="1:32" s="536" customFormat="1" ht="12" x14ac:dyDescent="0.2">
      <c r="A702" s="605"/>
      <c r="B702" s="552" t="s">
        <v>186</v>
      </c>
      <c r="C702" s="1822" t="s">
        <v>344</v>
      </c>
      <c r="D702" s="1822"/>
      <c r="E702" s="1822"/>
      <c r="F702" s="562"/>
      <c r="G702" s="562"/>
      <c r="H702" s="562"/>
      <c r="I702" s="562"/>
      <c r="J702" s="604">
        <v>1.78</v>
      </c>
      <c r="K702" s="562" t="s">
        <v>313</v>
      </c>
      <c r="L702" s="604">
        <v>2.23</v>
      </c>
      <c r="M702" s="562"/>
      <c r="N702" s="602"/>
      <c r="T702" s="674"/>
      <c r="U702" s="675"/>
      <c r="V702" s="675"/>
      <c r="Y702" s="537" t="s">
        <v>344</v>
      </c>
      <c r="AB702" s="675"/>
      <c r="AC702" s="675"/>
      <c r="AE702" s="675"/>
      <c r="AF702" s="680"/>
    </row>
    <row r="703" spans="1:32" s="536" customFormat="1" ht="12" x14ac:dyDescent="0.2">
      <c r="A703" s="605"/>
      <c r="B703" s="552" t="s">
        <v>188</v>
      </c>
      <c r="C703" s="1822" t="s">
        <v>475</v>
      </c>
      <c r="D703" s="1822"/>
      <c r="E703" s="1822"/>
      <c r="F703" s="562"/>
      <c r="G703" s="562"/>
      <c r="H703" s="562"/>
      <c r="I703" s="562"/>
      <c r="J703" s="604">
        <v>0.72</v>
      </c>
      <c r="K703" s="562"/>
      <c r="L703" s="604">
        <v>0.72</v>
      </c>
      <c r="M703" s="562"/>
      <c r="N703" s="602"/>
      <c r="T703" s="674"/>
      <c r="U703" s="675"/>
      <c r="V703" s="675"/>
      <c r="Y703" s="537" t="s">
        <v>475</v>
      </c>
      <c r="AB703" s="675"/>
      <c r="AC703" s="675"/>
      <c r="AE703" s="675"/>
      <c r="AF703" s="680"/>
    </row>
    <row r="704" spans="1:32" s="536" customFormat="1" ht="22.5" x14ac:dyDescent="0.2">
      <c r="A704" s="676"/>
      <c r="B704" s="677" t="s">
        <v>9056</v>
      </c>
      <c r="C704" s="1829" t="s">
        <v>9057</v>
      </c>
      <c r="D704" s="1829"/>
      <c r="E704" s="1829"/>
      <c r="F704" s="678" t="s">
        <v>617</v>
      </c>
      <c r="G704" s="678" t="s">
        <v>185</v>
      </c>
      <c r="H704" s="678"/>
      <c r="I704" s="678" t="s">
        <v>185</v>
      </c>
      <c r="J704" s="552"/>
      <c r="K704" s="562"/>
      <c r="L704" s="604"/>
      <c r="M704" s="562"/>
      <c r="N704" s="679"/>
      <c r="T704" s="674"/>
      <c r="U704" s="675"/>
      <c r="V704" s="675"/>
      <c r="AB704" s="675"/>
      <c r="AC704" s="675"/>
      <c r="AE704" s="675"/>
      <c r="AF704" s="680" t="s">
        <v>9057</v>
      </c>
    </row>
    <row r="705" spans="1:32" s="536" customFormat="1" ht="22.5" x14ac:dyDescent="0.2">
      <c r="A705" s="676"/>
      <c r="B705" s="677" t="s">
        <v>9058</v>
      </c>
      <c r="C705" s="1829" t="s">
        <v>9059</v>
      </c>
      <c r="D705" s="1829"/>
      <c r="E705" s="1829"/>
      <c r="F705" s="678" t="s">
        <v>617</v>
      </c>
      <c r="G705" s="678" t="s">
        <v>185</v>
      </c>
      <c r="H705" s="678"/>
      <c r="I705" s="678" t="s">
        <v>185</v>
      </c>
      <c r="J705" s="552"/>
      <c r="K705" s="562"/>
      <c r="L705" s="604"/>
      <c r="M705" s="562"/>
      <c r="N705" s="679"/>
      <c r="T705" s="674"/>
      <c r="U705" s="675"/>
      <c r="V705" s="675"/>
      <c r="AB705" s="675"/>
      <c r="AC705" s="675"/>
      <c r="AE705" s="675"/>
      <c r="AF705" s="680" t="s">
        <v>9059</v>
      </c>
    </row>
    <row r="706" spans="1:32" s="536" customFormat="1" ht="12" x14ac:dyDescent="0.2">
      <c r="A706" s="605"/>
      <c r="B706" s="552"/>
      <c r="C706" s="1822" t="s">
        <v>314</v>
      </c>
      <c r="D706" s="1822"/>
      <c r="E706" s="1822"/>
      <c r="F706" s="562" t="s">
        <v>315</v>
      </c>
      <c r="G706" s="562" t="s">
        <v>4123</v>
      </c>
      <c r="H706" s="562" t="s">
        <v>313</v>
      </c>
      <c r="I706" s="562" t="s">
        <v>9060</v>
      </c>
      <c r="J706" s="604"/>
      <c r="K706" s="562"/>
      <c r="L706" s="604"/>
      <c r="M706" s="562"/>
      <c r="N706" s="602"/>
      <c r="T706" s="674"/>
      <c r="U706" s="675"/>
      <c r="V706" s="675"/>
      <c r="Z706" s="537" t="s">
        <v>314</v>
      </c>
      <c r="AB706" s="675"/>
      <c r="AC706" s="675"/>
      <c r="AE706" s="675"/>
      <c r="AF706" s="680"/>
    </row>
    <row r="707" spans="1:32" s="536" customFormat="1" ht="12" x14ac:dyDescent="0.2">
      <c r="A707" s="605"/>
      <c r="B707" s="552"/>
      <c r="C707" s="1828" t="s">
        <v>318</v>
      </c>
      <c r="D707" s="1828"/>
      <c r="E707" s="1828"/>
      <c r="F707" s="608"/>
      <c r="G707" s="608"/>
      <c r="H707" s="608"/>
      <c r="I707" s="608"/>
      <c r="J707" s="607">
        <v>6.31</v>
      </c>
      <c r="K707" s="608"/>
      <c r="L707" s="607">
        <v>7.71</v>
      </c>
      <c r="M707" s="608"/>
      <c r="N707" s="606"/>
      <c r="T707" s="674"/>
      <c r="U707" s="675"/>
      <c r="V707" s="675"/>
      <c r="AA707" s="537" t="s">
        <v>318</v>
      </c>
      <c r="AB707" s="675"/>
      <c r="AC707" s="675"/>
      <c r="AE707" s="675"/>
      <c r="AF707" s="680"/>
    </row>
    <row r="708" spans="1:32" s="536" customFormat="1" ht="12" x14ac:dyDescent="0.2">
      <c r="A708" s="605"/>
      <c r="B708" s="552"/>
      <c r="C708" s="1822" t="s">
        <v>319</v>
      </c>
      <c r="D708" s="1822"/>
      <c r="E708" s="1822"/>
      <c r="F708" s="562"/>
      <c r="G708" s="562"/>
      <c r="H708" s="562"/>
      <c r="I708" s="562"/>
      <c r="J708" s="604"/>
      <c r="K708" s="562"/>
      <c r="L708" s="604">
        <v>4.76</v>
      </c>
      <c r="M708" s="562"/>
      <c r="N708" s="602"/>
      <c r="T708" s="674"/>
      <c r="U708" s="675"/>
      <c r="V708" s="675"/>
      <c r="Z708" s="537" t="s">
        <v>319</v>
      </c>
      <c r="AB708" s="675"/>
      <c r="AC708" s="675"/>
      <c r="AE708" s="675"/>
      <c r="AF708" s="680"/>
    </row>
    <row r="709" spans="1:32" s="536" customFormat="1" ht="33.75" x14ac:dyDescent="0.2">
      <c r="A709" s="605"/>
      <c r="B709" s="552" t="s">
        <v>533</v>
      </c>
      <c r="C709" s="1822" t="s">
        <v>534</v>
      </c>
      <c r="D709" s="1822"/>
      <c r="E709" s="1822"/>
      <c r="F709" s="562" t="s">
        <v>322</v>
      </c>
      <c r="G709" s="562" t="s">
        <v>535</v>
      </c>
      <c r="H709" s="562"/>
      <c r="I709" s="562" t="s">
        <v>535</v>
      </c>
      <c r="J709" s="604"/>
      <c r="K709" s="562"/>
      <c r="L709" s="604">
        <v>5.57</v>
      </c>
      <c r="M709" s="562"/>
      <c r="N709" s="602"/>
      <c r="T709" s="674"/>
      <c r="U709" s="675"/>
      <c r="V709" s="675"/>
      <c r="Z709" s="537" t="s">
        <v>534</v>
      </c>
      <c r="AB709" s="675"/>
      <c r="AC709" s="675"/>
      <c r="AE709" s="675"/>
      <c r="AF709" s="680"/>
    </row>
    <row r="710" spans="1:32" s="536" customFormat="1" ht="33.75" x14ac:dyDescent="0.2">
      <c r="A710" s="605"/>
      <c r="B710" s="552" t="s">
        <v>536</v>
      </c>
      <c r="C710" s="1822" t="s">
        <v>537</v>
      </c>
      <c r="D710" s="1822"/>
      <c r="E710" s="1822"/>
      <c r="F710" s="562" t="s">
        <v>322</v>
      </c>
      <c r="G710" s="562" t="s">
        <v>538</v>
      </c>
      <c r="H710" s="562"/>
      <c r="I710" s="562" t="s">
        <v>538</v>
      </c>
      <c r="J710" s="604"/>
      <c r="K710" s="562"/>
      <c r="L710" s="604">
        <v>3.52</v>
      </c>
      <c r="M710" s="562"/>
      <c r="N710" s="602"/>
      <c r="T710" s="674"/>
      <c r="U710" s="675"/>
      <c r="V710" s="675"/>
      <c r="Z710" s="537" t="s">
        <v>537</v>
      </c>
      <c r="AB710" s="675"/>
      <c r="AC710" s="675"/>
      <c r="AE710" s="675"/>
      <c r="AF710" s="680"/>
    </row>
    <row r="711" spans="1:32" s="536" customFormat="1" ht="12" x14ac:dyDescent="0.2">
      <c r="A711" s="569"/>
      <c r="B711" s="683"/>
      <c r="C711" s="1823" t="s">
        <v>327</v>
      </c>
      <c r="D711" s="1823"/>
      <c r="E711" s="1823"/>
      <c r="F711" s="573"/>
      <c r="G711" s="573"/>
      <c r="H711" s="573"/>
      <c r="I711" s="573"/>
      <c r="J711" s="572"/>
      <c r="K711" s="573"/>
      <c r="L711" s="572">
        <v>16.8</v>
      </c>
      <c r="M711" s="608"/>
      <c r="N711" s="570"/>
      <c r="T711" s="674"/>
      <c r="U711" s="675"/>
      <c r="V711" s="675"/>
      <c r="AB711" s="675" t="s">
        <v>327</v>
      </c>
      <c r="AC711" s="675"/>
      <c r="AE711" s="675"/>
      <c r="AF711" s="680"/>
    </row>
    <row r="712" spans="1:32" s="536" customFormat="1" ht="45" x14ac:dyDescent="0.2">
      <c r="A712" s="575" t="s">
        <v>798</v>
      </c>
      <c r="B712" s="684" t="s">
        <v>9061</v>
      </c>
      <c r="C712" s="1823" t="s">
        <v>9062</v>
      </c>
      <c r="D712" s="1823"/>
      <c r="E712" s="1823"/>
      <c r="F712" s="573" t="s">
        <v>617</v>
      </c>
      <c r="G712" s="573"/>
      <c r="H712" s="573"/>
      <c r="I712" s="573" t="s">
        <v>185</v>
      </c>
      <c r="J712" s="572">
        <v>212</v>
      </c>
      <c r="K712" s="573"/>
      <c r="L712" s="572">
        <v>212</v>
      </c>
      <c r="M712" s="573"/>
      <c r="N712" s="570"/>
      <c r="T712" s="674"/>
      <c r="U712" s="675"/>
      <c r="V712" s="675" t="s">
        <v>9062</v>
      </c>
      <c r="AB712" s="675"/>
      <c r="AC712" s="675"/>
      <c r="AE712" s="675"/>
      <c r="AF712" s="680"/>
    </row>
    <row r="713" spans="1:32" s="536" customFormat="1" ht="12" x14ac:dyDescent="0.2">
      <c r="A713" s="569"/>
      <c r="B713" s="683"/>
      <c r="C713" s="689" t="s">
        <v>717</v>
      </c>
      <c r="D713" s="690"/>
      <c r="E713" s="690"/>
      <c r="F713" s="563"/>
      <c r="G713" s="563"/>
      <c r="H713" s="563"/>
      <c r="I713" s="563"/>
      <c r="J713" s="566"/>
      <c r="K713" s="563"/>
      <c r="L713" s="566"/>
      <c r="M713" s="565"/>
      <c r="N713" s="564"/>
      <c r="T713" s="674"/>
      <c r="U713" s="675"/>
      <c r="V713" s="675"/>
      <c r="AB713" s="675"/>
      <c r="AC713" s="675"/>
      <c r="AE713" s="675"/>
      <c r="AF713" s="680"/>
    </row>
    <row r="714" spans="1:32" s="536" customFormat="1" ht="22.5" x14ac:dyDescent="0.2">
      <c r="A714" s="575" t="s">
        <v>2349</v>
      </c>
      <c r="B714" s="684" t="s">
        <v>9063</v>
      </c>
      <c r="C714" s="1823" t="s">
        <v>9064</v>
      </c>
      <c r="D714" s="1823"/>
      <c r="E714" s="1823"/>
      <c r="F714" s="573" t="s">
        <v>617</v>
      </c>
      <c r="G714" s="573"/>
      <c r="H714" s="573"/>
      <c r="I714" s="573" t="s">
        <v>185</v>
      </c>
      <c r="J714" s="572">
        <v>68.75</v>
      </c>
      <c r="K714" s="573"/>
      <c r="L714" s="572">
        <v>68.75</v>
      </c>
      <c r="M714" s="573"/>
      <c r="N714" s="570"/>
      <c r="T714" s="674"/>
      <c r="U714" s="675"/>
      <c r="V714" s="675" t="s">
        <v>9064</v>
      </c>
      <c r="AB714" s="675"/>
      <c r="AC714" s="675"/>
      <c r="AE714" s="675"/>
      <c r="AF714" s="680"/>
    </row>
    <row r="715" spans="1:32" s="536" customFormat="1" ht="12" x14ac:dyDescent="0.2">
      <c r="A715" s="569"/>
      <c r="B715" s="683"/>
      <c r="C715" s="689" t="s">
        <v>717</v>
      </c>
      <c r="D715" s="690"/>
      <c r="E715" s="690"/>
      <c r="F715" s="563"/>
      <c r="G715" s="563"/>
      <c r="H715" s="563"/>
      <c r="I715" s="563"/>
      <c r="J715" s="566"/>
      <c r="K715" s="563"/>
      <c r="L715" s="566"/>
      <c r="M715" s="565"/>
      <c r="N715" s="564"/>
      <c r="T715" s="674"/>
      <c r="U715" s="675"/>
      <c r="V715" s="675"/>
      <c r="AB715" s="675"/>
      <c r="AC715" s="675"/>
      <c r="AE715" s="675"/>
      <c r="AF715" s="680"/>
    </row>
    <row r="716" spans="1:32" s="536" customFormat="1" ht="56.25" x14ac:dyDescent="0.2">
      <c r="A716" s="575" t="s">
        <v>2037</v>
      </c>
      <c r="B716" s="684" t="s">
        <v>9065</v>
      </c>
      <c r="C716" s="1823" t="s">
        <v>9066</v>
      </c>
      <c r="D716" s="1823"/>
      <c r="E716" s="1823"/>
      <c r="F716" s="573" t="s">
        <v>9067</v>
      </c>
      <c r="G716" s="573"/>
      <c r="H716" s="573"/>
      <c r="I716" s="573" t="s">
        <v>185</v>
      </c>
      <c r="J716" s="572"/>
      <c r="K716" s="573"/>
      <c r="L716" s="572"/>
      <c r="M716" s="573"/>
      <c r="N716" s="570"/>
      <c r="T716" s="674"/>
      <c r="U716" s="675"/>
      <c r="V716" s="675" t="s">
        <v>9066</v>
      </c>
      <c r="AB716" s="675"/>
      <c r="AC716" s="675"/>
      <c r="AE716" s="675"/>
      <c r="AF716" s="680"/>
    </row>
    <row r="717" spans="1:32" s="536" customFormat="1" ht="33.75" x14ac:dyDescent="0.2">
      <c r="A717" s="609"/>
      <c r="B717" s="552" t="s">
        <v>310</v>
      </c>
      <c r="C717" s="1822" t="s">
        <v>311</v>
      </c>
      <c r="D717" s="1822"/>
      <c r="E717" s="1822"/>
      <c r="F717" s="1822"/>
      <c r="G717" s="1822"/>
      <c r="H717" s="1822"/>
      <c r="I717" s="1822"/>
      <c r="J717" s="1822"/>
      <c r="K717" s="1822"/>
      <c r="L717" s="1822"/>
      <c r="M717" s="1822"/>
      <c r="N717" s="1827"/>
      <c r="T717" s="674"/>
      <c r="U717" s="675"/>
      <c r="V717" s="675"/>
      <c r="X717" s="537" t="s">
        <v>311</v>
      </c>
      <c r="AB717" s="675"/>
      <c r="AC717" s="675"/>
      <c r="AE717" s="675"/>
      <c r="AF717" s="680"/>
    </row>
    <row r="718" spans="1:32" s="536" customFormat="1" ht="12" x14ac:dyDescent="0.2">
      <c r="A718" s="605"/>
      <c r="B718" s="552" t="s">
        <v>185</v>
      </c>
      <c r="C718" s="1822" t="s">
        <v>312</v>
      </c>
      <c r="D718" s="1822"/>
      <c r="E718" s="1822"/>
      <c r="F718" s="562"/>
      <c r="G718" s="562"/>
      <c r="H718" s="562"/>
      <c r="I718" s="562"/>
      <c r="J718" s="604">
        <v>14.49</v>
      </c>
      <c r="K718" s="562" t="s">
        <v>313</v>
      </c>
      <c r="L718" s="604">
        <v>18.11</v>
      </c>
      <c r="M718" s="562"/>
      <c r="N718" s="602"/>
      <c r="T718" s="674"/>
      <c r="U718" s="675"/>
      <c r="V718" s="675"/>
      <c r="Y718" s="537" t="s">
        <v>312</v>
      </c>
      <c r="AB718" s="675"/>
      <c r="AC718" s="675"/>
      <c r="AE718" s="675"/>
      <c r="AF718" s="680"/>
    </row>
    <row r="719" spans="1:32" s="536" customFormat="1" ht="12" x14ac:dyDescent="0.2">
      <c r="A719" s="605"/>
      <c r="B719" s="552" t="s">
        <v>186</v>
      </c>
      <c r="C719" s="1822" t="s">
        <v>344</v>
      </c>
      <c r="D719" s="1822"/>
      <c r="E719" s="1822"/>
      <c r="F719" s="562"/>
      <c r="G719" s="562"/>
      <c r="H719" s="562"/>
      <c r="I719" s="562"/>
      <c r="J719" s="604">
        <v>0.56999999999999995</v>
      </c>
      <c r="K719" s="562" t="s">
        <v>313</v>
      </c>
      <c r="L719" s="604">
        <v>0.71</v>
      </c>
      <c r="M719" s="562"/>
      <c r="N719" s="602"/>
      <c r="T719" s="674"/>
      <c r="U719" s="675"/>
      <c r="V719" s="675"/>
      <c r="Y719" s="537" t="s">
        <v>344</v>
      </c>
      <c r="AB719" s="675"/>
      <c r="AC719" s="675"/>
      <c r="AE719" s="675"/>
      <c r="AF719" s="680"/>
    </row>
    <row r="720" spans="1:32" s="536" customFormat="1" ht="12" x14ac:dyDescent="0.2">
      <c r="A720" s="605"/>
      <c r="B720" s="552" t="s">
        <v>188</v>
      </c>
      <c r="C720" s="1822" t="s">
        <v>475</v>
      </c>
      <c r="D720" s="1822"/>
      <c r="E720" s="1822"/>
      <c r="F720" s="562"/>
      <c r="G720" s="562"/>
      <c r="H720" s="562"/>
      <c r="I720" s="562"/>
      <c r="J720" s="604">
        <v>1.56</v>
      </c>
      <c r="K720" s="562"/>
      <c r="L720" s="604">
        <v>1.56</v>
      </c>
      <c r="M720" s="562"/>
      <c r="N720" s="602"/>
      <c r="T720" s="674"/>
      <c r="U720" s="675"/>
      <c r="V720" s="675"/>
      <c r="Y720" s="537" t="s">
        <v>475</v>
      </c>
      <c r="AB720" s="675"/>
      <c r="AC720" s="675"/>
      <c r="AE720" s="675"/>
      <c r="AF720" s="680"/>
    </row>
    <row r="721" spans="1:32" s="536" customFormat="1" ht="22.5" x14ac:dyDescent="0.2">
      <c r="A721" s="676"/>
      <c r="B721" s="677" t="s">
        <v>9068</v>
      </c>
      <c r="C721" s="1829" t="s">
        <v>9069</v>
      </c>
      <c r="D721" s="1829"/>
      <c r="E721" s="1829"/>
      <c r="F721" s="678" t="s">
        <v>617</v>
      </c>
      <c r="G721" s="678" t="s">
        <v>185</v>
      </c>
      <c r="H721" s="678"/>
      <c r="I721" s="678" t="s">
        <v>185</v>
      </c>
      <c r="J721" s="552"/>
      <c r="K721" s="562"/>
      <c r="L721" s="604"/>
      <c r="M721" s="562"/>
      <c r="N721" s="679"/>
      <c r="T721" s="674"/>
      <c r="U721" s="675"/>
      <c r="V721" s="675"/>
      <c r="AB721" s="675"/>
      <c r="AC721" s="675"/>
      <c r="AE721" s="675"/>
      <c r="AF721" s="680" t="s">
        <v>9069</v>
      </c>
    </row>
    <row r="722" spans="1:32" s="536" customFormat="1" ht="12" x14ac:dyDescent="0.2">
      <c r="A722" s="605"/>
      <c r="B722" s="552"/>
      <c r="C722" s="1822" t="s">
        <v>314</v>
      </c>
      <c r="D722" s="1822"/>
      <c r="E722" s="1822"/>
      <c r="F722" s="562" t="s">
        <v>315</v>
      </c>
      <c r="G722" s="562" t="s">
        <v>9070</v>
      </c>
      <c r="H722" s="562" t="s">
        <v>313</v>
      </c>
      <c r="I722" s="562" t="s">
        <v>1654</v>
      </c>
      <c r="J722" s="604"/>
      <c r="K722" s="562"/>
      <c r="L722" s="604"/>
      <c r="M722" s="562"/>
      <c r="N722" s="602"/>
      <c r="T722" s="674"/>
      <c r="U722" s="675"/>
      <c r="V722" s="675"/>
      <c r="Z722" s="537" t="s">
        <v>314</v>
      </c>
      <c r="AB722" s="675"/>
      <c r="AC722" s="675"/>
      <c r="AE722" s="675"/>
      <c r="AF722" s="680"/>
    </row>
    <row r="723" spans="1:32" s="536" customFormat="1" ht="12" x14ac:dyDescent="0.2">
      <c r="A723" s="605"/>
      <c r="B723" s="552"/>
      <c r="C723" s="1828" t="s">
        <v>318</v>
      </c>
      <c r="D723" s="1828"/>
      <c r="E723" s="1828"/>
      <c r="F723" s="608"/>
      <c r="G723" s="608"/>
      <c r="H723" s="608"/>
      <c r="I723" s="608"/>
      <c r="J723" s="607">
        <v>16.62</v>
      </c>
      <c r="K723" s="608"/>
      <c r="L723" s="607">
        <v>20.38</v>
      </c>
      <c r="M723" s="608"/>
      <c r="N723" s="606"/>
      <c r="T723" s="674"/>
      <c r="U723" s="675"/>
      <c r="V723" s="675"/>
      <c r="AA723" s="537" t="s">
        <v>318</v>
      </c>
      <c r="AB723" s="675"/>
      <c r="AC723" s="675"/>
      <c r="AE723" s="675"/>
      <c r="AF723" s="680"/>
    </row>
    <row r="724" spans="1:32" s="536" customFormat="1" ht="12" x14ac:dyDescent="0.2">
      <c r="A724" s="605"/>
      <c r="B724" s="552"/>
      <c r="C724" s="1822" t="s">
        <v>319</v>
      </c>
      <c r="D724" s="1822"/>
      <c r="E724" s="1822"/>
      <c r="F724" s="562"/>
      <c r="G724" s="562"/>
      <c r="H724" s="562"/>
      <c r="I724" s="562"/>
      <c r="J724" s="604"/>
      <c r="K724" s="562"/>
      <c r="L724" s="604">
        <v>18.11</v>
      </c>
      <c r="M724" s="562"/>
      <c r="N724" s="602"/>
      <c r="T724" s="674"/>
      <c r="U724" s="675"/>
      <c r="V724" s="675"/>
      <c r="Z724" s="537" t="s">
        <v>319</v>
      </c>
      <c r="AB724" s="675"/>
      <c r="AC724" s="675"/>
      <c r="AE724" s="675"/>
      <c r="AF724" s="680"/>
    </row>
    <row r="725" spans="1:32" s="536" customFormat="1" ht="33.75" x14ac:dyDescent="0.2">
      <c r="A725" s="605"/>
      <c r="B725" s="552" t="s">
        <v>533</v>
      </c>
      <c r="C725" s="1822" t="s">
        <v>534</v>
      </c>
      <c r="D725" s="1822"/>
      <c r="E725" s="1822"/>
      <c r="F725" s="562" t="s">
        <v>322</v>
      </c>
      <c r="G725" s="562" t="s">
        <v>535</v>
      </c>
      <c r="H725" s="562"/>
      <c r="I725" s="562" t="s">
        <v>535</v>
      </c>
      <c r="J725" s="604"/>
      <c r="K725" s="562"/>
      <c r="L725" s="604">
        <v>21.19</v>
      </c>
      <c r="M725" s="562"/>
      <c r="N725" s="602"/>
      <c r="T725" s="674"/>
      <c r="U725" s="675"/>
      <c r="V725" s="675"/>
      <c r="Z725" s="537" t="s">
        <v>534</v>
      </c>
      <c r="AB725" s="675"/>
      <c r="AC725" s="675"/>
      <c r="AE725" s="675"/>
      <c r="AF725" s="680"/>
    </row>
    <row r="726" spans="1:32" s="536" customFormat="1" ht="33.75" x14ac:dyDescent="0.2">
      <c r="A726" s="605"/>
      <c r="B726" s="552" t="s">
        <v>536</v>
      </c>
      <c r="C726" s="1822" t="s">
        <v>537</v>
      </c>
      <c r="D726" s="1822"/>
      <c r="E726" s="1822"/>
      <c r="F726" s="562" t="s">
        <v>322</v>
      </c>
      <c r="G726" s="562" t="s">
        <v>538</v>
      </c>
      <c r="H726" s="562"/>
      <c r="I726" s="562" t="s">
        <v>538</v>
      </c>
      <c r="J726" s="604"/>
      <c r="K726" s="562"/>
      <c r="L726" s="604">
        <v>13.4</v>
      </c>
      <c r="M726" s="562"/>
      <c r="N726" s="602"/>
      <c r="T726" s="674"/>
      <c r="U726" s="675"/>
      <c r="V726" s="675"/>
      <c r="Z726" s="537" t="s">
        <v>537</v>
      </c>
      <c r="AB726" s="675"/>
      <c r="AC726" s="675"/>
      <c r="AE726" s="675"/>
      <c r="AF726" s="680"/>
    </row>
    <row r="727" spans="1:32" s="536" customFormat="1" ht="12" x14ac:dyDescent="0.2">
      <c r="A727" s="569"/>
      <c r="B727" s="683"/>
      <c r="C727" s="1823" t="s">
        <v>327</v>
      </c>
      <c r="D727" s="1823"/>
      <c r="E727" s="1823"/>
      <c r="F727" s="573"/>
      <c r="G727" s="573"/>
      <c r="H727" s="573"/>
      <c r="I727" s="573"/>
      <c r="J727" s="572"/>
      <c r="K727" s="573"/>
      <c r="L727" s="572">
        <v>54.97</v>
      </c>
      <c r="M727" s="608"/>
      <c r="N727" s="570"/>
      <c r="T727" s="674"/>
      <c r="U727" s="675"/>
      <c r="V727" s="675"/>
      <c r="AB727" s="675" t="s">
        <v>327</v>
      </c>
      <c r="AC727" s="675"/>
      <c r="AE727" s="675"/>
      <c r="AF727" s="680"/>
    </row>
    <row r="728" spans="1:32" s="536" customFormat="1" ht="45" x14ac:dyDescent="0.2">
      <c r="A728" s="575" t="s">
        <v>804</v>
      </c>
      <c r="B728" s="684" t="s">
        <v>9126</v>
      </c>
      <c r="C728" s="1823" t="s">
        <v>9127</v>
      </c>
      <c r="D728" s="1823"/>
      <c r="E728" s="1823"/>
      <c r="F728" s="573" t="s">
        <v>617</v>
      </c>
      <c r="G728" s="573"/>
      <c r="H728" s="573"/>
      <c r="I728" s="573" t="s">
        <v>185</v>
      </c>
      <c r="J728" s="572">
        <v>584.73</v>
      </c>
      <c r="K728" s="573"/>
      <c r="L728" s="572">
        <v>584.73</v>
      </c>
      <c r="M728" s="573"/>
      <c r="N728" s="570"/>
      <c r="T728" s="674"/>
      <c r="U728" s="675"/>
      <c r="V728" s="675" t="s">
        <v>9127</v>
      </c>
      <c r="AB728" s="675"/>
      <c r="AC728" s="675"/>
      <c r="AE728" s="675"/>
      <c r="AF728" s="680"/>
    </row>
    <row r="729" spans="1:32" s="536" customFormat="1" ht="12" x14ac:dyDescent="0.2">
      <c r="A729" s="569"/>
      <c r="B729" s="683"/>
      <c r="C729" s="689" t="s">
        <v>717</v>
      </c>
      <c r="D729" s="690"/>
      <c r="E729" s="690"/>
      <c r="F729" s="563"/>
      <c r="G729" s="563"/>
      <c r="H729" s="563"/>
      <c r="I729" s="563"/>
      <c r="J729" s="566"/>
      <c r="K729" s="563"/>
      <c r="L729" s="566"/>
      <c r="M729" s="565"/>
      <c r="N729" s="564"/>
      <c r="T729" s="674"/>
      <c r="U729" s="675"/>
      <c r="V729" s="675"/>
      <c r="AB729" s="675"/>
      <c r="AC729" s="675"/>
      <c r="AE729" s="675"/>
      <c r="AF729" s="680"/>
    </row>
    <row r="730" spans="1:32" s="536" customFormat="1" ht="22.5" x14ac:dyDescent="0.2">
      <c r="A730" s="575" t="s">
        <v>2352</v>
      </c>
      <c r="B730" s="684" t="s">
        <v>9073</v>
      </c>
      <c r="C730" s="1823" t="s">
        <v>9074</v>
      </c>
      <c r="D730" s="1823"/>
      <c r="E730" s="1823"/>
      <c r="F730" s="573" t="s">
        <v>9075</v>
      </c>
      <c r="G730" s="573"/>
      <c r="H730" s="573"/>
      <c r="I730" s="573" t="s">
        <v>185</v>
      </c>
      <c r="J730" s="572"/>
      <c r="K730" s="573"/>
      <c r="L730" s="572"/>
      <c r="M730" s="573"/>
      <c r="N730" s="570"/>
      <c r="T730" s="674"/>
      <c r="U730" s="675"/>
      <c r="V730" s="675" t="s">
        <v>9074</v>
      </c>
      <c r="AB730" s="675"/>
      <c r="AC730" s="675"/>
      <c r="AE730" s="675"/>
      <c r="AF730" s="680"/>
    </row>
    <row r="731" spans="1:32" s="536" customFormat="1" ht="33.75" x14ac:dyDescent="0.2">
      <c r="A731" s="609"/>
      <c r="B731" s="552" t="s">
        <v>310</v>
      </c>
      <c r="C731" s="1822" t="s">
        <v>311</v>
      </c>
      <c r="D731" s="1822"/>
      <c r="E731" s="1822"/>
      <c r="F731" s="1822"/>
      <c r="G731" s="1822"/>
      <c r="H731" s="1822"/>
      <c r="I731" s="1822"/>
      <c r="J731" s="1822"/>
      <c r="K731" s="1822"/>
      <c r="L731" s="1822"/>
      <c r="M731" s="1822"/>
      <c r="N731" s="1827"/>
      <c r="T731" s="674"/>
      <c r="U731" s="675"/>
      <c r="V731" s="675"/>
      <c r="X731" s="537" t="s">
        <v>311</v>
      </c>
      <c r="AB731" s="675"/>
      <c r="AC731" s="675"/>
      <c r="AE731" s="675"/>
      <c r="AF731" s="680"/>
    </row>
    <row r="732" spans="1:32" s="536" customFormat="1" ht="12" x14ac:dyDescent="0.2">
      <c r="A732" s="605"/>
      <c r="B732" s="552" t="s">
        <v>185</v>
      </c>
      <c r="C732" s="1822" t="s">
        <v>312</v>
      </c>
      <c r="D732" s="1822"/>
      <c r="E732" s="1822"/>
      <c r="F732" s="562"/>
      <c r="G732" s="562"/>
      <c r="H732" s="562"/>
      <c r="I732" s="562"/>
      <c r="J732" s="604">
        <v>14.48</v>
      </c>
      <c r="K732" s="562" t="s">
        <v>313</v>
      </c>
      <c r="L732" s="604">
        <v>18.100000000000001</v>
      </c>
      <c r="M732" s="562"/>
      <c r="N732" s="602"/>
      <c r="T732" s="674"/>
      <c r="U732" s="675"/>
      <c r="V732" s="675"/>
      <c r="Y732" s="537" t="s">
        <v>312</v>
      </c>
      <c r="AB732" s="675"/>
      <c r="AC732" s="675"/>
      <c r="AE732" s="675"/>
      <c r="AF732" s="680"/>
    </row>
    <row r="733" spans="1:32" s="536" customFormat="1" ht="12" x14ac:dyDescent="0.2">
      <c r="A733" s="605"/>
      <c r="B733" s="552" t="s">
        <v>186</v>
      </c>
      <c r="C733" s="1822" t="s">
        <v>344</v>
      </c>
      <c r="D733" s="1822"/>
      <c r="E733" s="1822"/>
      <c r="F733" s="562"/>
      <c r="G733" s="562"/>
      <c r="H733" s="562"/>
      <c r="I733" s="562"/>
      <c r="J733" s="604">
        <v>47.29</v>
      </c>
      <c r="K733" s="562" t="s">
        <v>313</v>
      </c>
      <c r="L733" s="604">
        <v>59.11</v>
      </c>
      <c r="M733" s="562"/>
      <c r="N733" s="602"/>
      <c r="T733" s="674"/>
      <c r="U733" s="675"/>
      <c r="V733" s="675"/>
      <c r="Y733" s="537" t="s">
        <v>344</v>
      </c>
      <c r="AB733" s="675"/>
      <c r="AC733" s="675"/>
      <c r="AE733" s="675"/>
      <c r="AF733" s="680"/>
    </row>
    <row r="734" spans="1:32" s="536" customFormat="1" ht="12" x14ac:dyDescent="0.2">
      <c r="A734" s="605"/>
      <c r="B734" s="552" t="s">
        <v>187</v>
      </c>
      <c r="C734" s="1822" t="s">
        <v>345</v>
      </c>
      <c r="D734" s="1822"/>
      <c r="E734" s="1822"/>
      <c r="F734" s="562"/>
      <c r="G734" s="562"/>
      <c r="H734" s="562"/>
      <c r="I734" s="562"/>
      <c r="J734" s="604">
        <v>6.05</v>
      </c>
      <c r="K734" s="562" t="s">
        <v>313</v>
      </c>
      <c r="L734" s="604">
        <v>7.56</v>
      </c>
      <c r="M734" s="562"/>
      <c r="N734" s="602"/>
      <c r="T734" s="674"/>
      <c r="U734" s="675"/>
      <c r="V734" s="675"/>
      <c r="Y734" s="537" t="s">
        <v>345</v>
      </c>
      <c r="AB734" s="675"/>
      <c r="AC734" s="675"/>
      <c r="AE734" s="675"/>
      <c r="AF734" s="680"/>
    </row>
    <row r="735" spans="1:32" s="536" customFormat="1" ht="12" x14ac:dyDescent="0.2">
      <c r="A735" s="605"/>
      <c r="B735" s="552" t="s">
        <v>188</v>
      </c>
      <c r="C735" s="1822" t="s">
        <v>475</v>
      </c>
      <c r="D735" s="1822"/>
      <c r="E735" s="1822"/>
      <c r="F735" s="562"/>
      <c r="G735" s="562"/>
      <c r="H735" s="562"/>
      <c r="I735" s="562"/>
      <c r="J735" s="604">
        <v>24.16</v>
      </c>
      <c r="K735" s="562"/>
      <c r="L735" s="604">
        <v>24.16</v>
      </c>
      <c r="M735" s="562"/>
      <c r="N735" s="602"/>
      <c r="T735" s="674"/>
      <c r="U735" s="675"/>
      <c r="V735" s="675"/>
      <c r="Y735" s="537" t="s">
        <v>475</v>
      </c>
      <c r="AB735" s="675"/>
      <c r="AC735" s="675"/>
      <c r="AE735" s="675"/>
      <c r="AF735" s="680"/>
    </row>
    <row r="736" spans="1:32" s="536" customFormat="1" ht="22.5" x14ac:dyDescent="0.2">
      <c r="A736" s="676"/>
      <c r="B736" s="677" t="s">
        <v>4539</v>
      </c>
      <c r="C736" s="1829" t="s">
        <v>9076</v>
      </c>
      <c r="D736" s="1829"/>
      <c r="E736" s="1829"/>
      <c r="F736" s="678" t="s">
        <v>641</v>
      </c>
      <c r="G736" s="678" t="s">
        <v>728</v>
      </c>
      <c r="H736" s="678"/>
      <c r="I736" s="678" t="s">
        <v>728</v>
      </c>
      <c r="J736" s="552"/>
      <c r="K736" s="562"/>
      <c r="L736" s="604"/>
      <c r="M736" s="562"/>
      <c r="N736" s="679"/>
      <c r="T736" s="674"/>
      <c r="U736" s="675"/>
      <c r="V736" s="675"/>
      <c r="AB736" s="675"/>
      <c r="AC736" s="675"/>
      <c r="AE736" s="675"/>
      <c r="AF736" s="680" t="s">
        <v>9076</v>
      </c>
    </row>
    <row r="737" spans="1:32" s="536" customFormat="1" ht="12" x14ac:dyDescent="0.2">
      <c r="A737" s="676"/>
      <c r="B737" s="677" t="s">
        <v>9077</v>
      </c>
      <c r="C737" s="1829" t="s">
        <v>9078</v>
      </c>
      <c r="D737" s="1829"/>
      <c r="E737" s="1829"/>
      <c r="F737" s="678" t="s">
        <v>617</v>
      </c>
      <c r="G737" s="678" t="s">
        <v>185</v>
      </c>
      <c r="H737" s="678"/>
      <c r="I737" s="678" t="s">
        <v>185</v>
      </c>
      <c r="J737" s="552"/>
      <c r="K737" s="562"/>
      <c r="L737" s="604"/>
      <c r="M737" s="562"/>
      <c r="N737" s="679"/>
      <c r="T737" s="674"/>
      <c r="U737" s="675"/>
      <c r="V737" s="675"/>
      <c r="AB737" s="675"/>
      <c r="AC737" s="675"/>
      <c r="AE737" s="675"/>
      <c r="AF737" s="680" t="s">
        <v>9078</v>
      </c>
    </row>
    <row r="738" spans="1:32" s="536" customFormat="1" ht="12" x14ac:dyDescent="0.2">
      <c r="A738" s="676"/>
      <c r="B738" s="677" t="s">
        <v>9079</v>
      </c>
      <c r="C738" s="1829" t="s">
        <v>9080</v>
      </c>
      <c r="D738" s="1829"/>
      <c r="E738" s="1829"/>
      <c r="F738" s="678" t="s">
        <v>638</v>
      </c>
      <c r="G738" s="678" t="s">
        <v>185</v>
      </c>
      <c r="H738" s="678"/>
      <c r="I738" s="678" t="s">
        <v>185</v>
      </c>
      <c r="J738" s="552"/>
      <c r="K738" s="562"/>
      <c r="L738" s="604"/>
      <c r="M738" s="562"/>
      <c r="N738" s="679"/>
      <c r="T738" s="674"/>
      <c r="U738" s="675"/>
      <c r="V738" s="675"/>
      <c r="AB738" s="675"/>
      <c r="AC738" s="675"/>
      <c r="AE738" s="675"/>
      <c r="AF738" s="680" t="s">
        <v>9080</v>
      </c>
    </row>
    <row r="739" spans="1:32" s="536" customFormat="1" ht="12" x14ac:dyDescent="0.2">
      <c r="A739" s="605"/>
      <c r="B739" s="552"/>
      <c r="C739" s="1822" t="s">
        <v>314</v>
      </c>
      <c r="D739" s="1822"/>
      <c r="E739" s="1822"/>
      <c r="F739" s="562" t="s">
        <v>315</v>
      </c>
      <c r="G739" s="562" t="s">
        <v>2815</v>
      </c>
      <c r="H739" s="562" t="s">
        <v>313</v>
      </c>
      <c r="I739" s="562" t="s">
        <v>9081</v>
      </c>
      <c r="J739" s="604"/>
      <c r="K739" s="562"/>
      <c r="L739" s="604"/>
      <c r="M739" s="562"/>
      <c r="N739" s="602"/>
      <c r="T739" s="674"/>
      <c r="U739" s="675"/>
      <c r="V739" s="675"/>
      <c r="Z739" s="537" t="s">
        <v>314</v>
      </c>
      <c r="AB739" s="675"/>
      <c r="AC739" s="675"/>
      <c r="AE739" s="675"/>
      <c r="AF739" s="680"/>
    </row>
    <row r="740" spans="1:32" s="536" customFormat="1" ht="12" x14ac:dyDescent="0.2">
      <c r="A740" s="605"/>
      <c r="B740" s="552"/>
      <c r="C740" s="1822" t="s">
        <v>348</v>
      </c>
      <c r="D740" s="1822"/>
      <c r="E740" s="1822"/>
      <c r="F740" s="562" t="s">
        <v>315</v>
      </c>
      <c r="G740" s="562" t="s">
        <v>8731</v>
      </c>
      <c r="H740" s="562" t="s">
        <v>313</v>
      </c>
      <c r="I740" s="562" t="s">
        <v>823</v>
      </c>
      <c r="J740" s="604"/>
      <c r="K740" s="562"/>
      <c r="L740" s="604"/>
      <c r="M740" s="562"/>
      <c r="N740" s="602"/>
      <c r="T740" s="674"/>
      <c r="U740" s="675"/>
      <c r="V740" s="675"/>
      <c r="Z740" s="537" t="s">
        <v>348</v>
      </c>
      <c r="AB740" s="675"/>
      <c r="AC740" s="675"/>
      <c r="AE740" s="675"/>
      <c r="AF740" s="680"/>
    </row>
    <row r="741" spans="1:32" s="536" customFormat="1" ht="12" x14ac:dyDescent="0.2">
      <c r="A741" s="605"/>
      <c r="B741" s="552"/>
      <c r="C741" s="1828" t="s">
        <v>318</v>
      </c>
      <c r="D741" s="1828"/>
      <c r="E741" s="1828"/>
      <c r="F741" s="608"/>
      <c r="G741" s="608"/>
      <c r="H741" s="608"/>
      <c r="I741" s="608"/>
      <c r="J741" s="607">
        <v>85.93</v>
      </c>
      <c r="K741" s="608"/>
      <c r="L741" s="607">
        <v>101.37</v>
      </c>
      <c r="M741" s="608"/>
      <c r="N741" s="606"/>
      <c r="T741" s="674"/>
      <c r="U741" s="675"/>
      <c r="V741" s="675"/>
      <c r="AA741" s="537" t="s">
        <v>318</v>
      </c>
      <c r="AB741" s="675"/>
      <c r="AC741" s="675"/>
      <c r="AE741" s="675"/>
      <c r="AF741" s="680"/>
    </row>
    <row r="742" spans="1:32" s="536" customFormat="1" ht="12" x14ac:dyDescent="0.2">
      <c r="A742" s="605"/>
      <c r="B742" s="552"/>
      <c r="C742" s="1822" t="s">
        <v>319</v>
      </c>
      <c r="D742" s="1822"/>
      <c r="E742" s="1822"/>
      <c r="F742" s="562"/>
      <c r="G742" s="562"/>
      <c r="H742" s="562"/>
      <c r="I742" s="562"/>
      <c r="J742" s="604"/>
      <c r="K742" s="562"/>
      <c r="L742" s="604">
        <v>25.66</v>
      </c>
      <c r="M742" s="562"/>
      <c r="N742" s="602"/>
      <c r="T742" s="674"/>
      <c r="U742" s="675"/>
      <c r="V742" s="675"/>
      <c r="Z742" s="537" t="s">
        <v>319</v>
      </c>
      <c r="AB742" s="675"/>
      <c r="AC742" s="675"/>
      <c r="AE742" s="675"/>
      <c r="AF742" s="680"/>
    </row>
    <row r="743" spans="1:32" s="536" customFormat="1" ht="33.75" x14ac:dyDescent="0.2">
      <c r="A743" s="605"/>
      <c r="B743" s="552" t="s">
        <v>533</v>
      </c>
      <c r="C743" s="1822" t="s">
        <v>534</v>
      </c>
      <c r="D743" s="1822"/>
      <c r="E743" s="1822"/>
      <c r="F743" s="562" t="s">
        <v>322</v>
      </c>
      <c r="G743" s="562" t="s">
        <v>535</v>
      </c>
      <c r="H743" s="562"/>
      <c r="I743" s="562" t="s">
        <v>535</v>
      </c>
      <c r="J743" s="604"/>
      <c r="K743" s="562"/>
      <c r="L743" s="604">
        <v>30.02</v>
      </c>
      <c r="M743" s="562"/>
      <c r="N743" s="602"/>
      <c r="T743" s="674"/>
      <c r="U743" s="675"/>
      <c r="V743" s="675"/>
      <c r="Z743" s="537" t="s">
        <v>534</v>
      </c>
      <c r="AB743" s="675"/>
      <c r="AC743" s="675"/>
      <c r="AE743" s="675"/>
      <c r="AF743" s="680"/>
    </row>
    <row r="744" spans="1:32" s="536" customFormat="1" ht="33.75" x14ac:dyDescent="0.2">
      <c r="A744" s="605"/>
      <c r="B744" s="552" t="s">
        <v>536</v>
      </c>
      <c r="C744" s="1822" t="s">
        <v>537</v>
      </c>
      <c r="D744" s="1822"/>
      <c r="E744" s="1822"/>
      <c r="F744" s="562" t="s">
        <v>322</v>
      </c>
      <c r="G744" s="562" t="s">
        <v>538</v>
      </c>
      <c r="H744" s="562"/>
      <c r="I744" s="562" t="s">
        <v>538</v>
      </c>
      <c r="J744" s="604"/>
      <c r="K744" s="562"/>
      <c r="L744" s="604">
        <v>18.989999999999998</v>
      </c>
      <c r="M744" s="562"/>
      <c r="N744" s="602"/>
      <c r="T744" s="674"/>
      <c r="U744" s="675"/>
      <c r="V744" s="675"/>
      <c r="Z744" s="537" t="s">
        <v>537</v>
      </c>
      <c r="AB744" s="675"/>
      <c r="AC744" s="675"/>
      <c r="AE744" s="675"/>
      <c r="AF744" s="680"/>
    </row>
    <row r="745" spans="1:32" s="536" customFormat="1" ht="12" x14ac:dyDescent="0.2">
      <c r="A745" s="569"/>
      <c r="B745" s="683"/>
      <c r="C745" s="1823" t="s">
        <v>327</v>
      </c>
      <c r="D745" s="1823"/>
      <c r="E745" s="1823"/>
      <c r="F745" s="573"/>
      <c r="G745" s="573"/>
      <c r="H745" s="573"/>
      <c r="I745" s="573"/>
      <c r="J745" s="572"/>
      <c r="K745" s="573"/>
      <c r="L745" s="572">
        <v>150.38</v>
      </c>
      <c r="M745" s="608"/>
      <c r="N745" s="570"/>
      <c r="T745" s="674"/>
      <c r="U745" s="675"/>
      <c r="V745" s="675"/>
      <c r="AB745" s="675" t="s">
        <v>327</v>
      </c>
      <c r="AC745" s="675"/>
      <c r="AE745" s="675"/>
      <c r="AF745" s="680"/>
    </row>
    <row r="746" spans="1:32" s="536" customFormat="1" ht="90" x14ac:dyDescent="0.2">
      <c r="A746" s="575" t="s">
        <v>897</v>
      </c>
      <c r="B746" s="684" t="s">
        <v>9082</v>
      </c>
      <c r="C746" s="1823" t="s">
        <v>9083</v>
      </c>
      <c r="D746" s="1823"/>
      <c r="E746" s="1823"/>
      <c r="F746" s="573" t="s">
        <v>694</v>
      </c>
      <c r="G746" s="573"/>
      <c r="H746" s="573"/>
      <c r="I746" s="573" t="s">
        <v>9084</v>
      </c>
      <c r="J746" s="572">
        <v>10045</v>
      </c>
      <c r="K746" s="573"/>
      <c r="L746" s="572">
        <v>713.2</v>
      </c>
      <c r="M746" s="573"/>
      <c r="N746" s="570"/>
      <c r="T746" s="674"/>
      <c r="U746" s="675"/>
      <c r="V746" s="675" t="s">
        <v>9083</v>
      </c>
      <c r="AB746" s="675"/>
      <c r="AC746" s="675"/>
      <c r="AE746" s="675"/>
      <c r="AF746" s="680"/>
    </row>
    <row r="747" spans="1:32" s="536" customFormat="1" ht="12" x14ac:dyDescent="0.2">
      <c r="A747" s="569"/>
      <c r="B747" s="683"/>
      <c r="C747" s="689" t="s">
        <v>717</v>
      </c>
      <c r="D747" s="690"/>
      <c r="E747" s="690"/>
      <c r="F747" s="563"/>
      <c r="G747" s="563"/>
      <c r="H747" s="563"/>
      <c r="I747" s="563"/>
      <c r="J747" s="566"/>
      <c r="K747" s="563"/>
      <c r="L747" s="566"/>
      <c r="M747" s="565"/>
      <c r="N747" s="564"/>
      <c r="T747" s="674"/>
      <c r="U747" s="675"/>
      <c r="V747" s="675"/>
      <c r="AB747" s="675"/>
      <c r="AC747" s="675"/>
      <c r="AE747" s="675"/>
      <c r="AF747" s="680"/>
    </row>
    <row r="748" spans="1:32" s="536" customFormat="1" ht="12" x14ac:dyDescent="0.2">
      <c r="A748" s="676"/>
      <c r="B748" s="682"/>
      <c r="C748" s="1822" t="s">
        <v>9085</v>
      </c>
      <c r="D748" s="1822"/>
      <c r="E748" s="1822"/>
      <c r="F748" s="1822"/>
      <c r="G748" s="1822"/>
      <c r="H748" s="1822"/>
      <c r="I748" s="1822"/>
      <c r="J748" s="1822"/>
      <c r="K748" s="1822"/>
      <c r="L748" s="1822"/>
      <c r="M748" s="1822"/>
      <c r="N748" s="1827"/>
      <c r="T748" s="674"/>
      <c r="U748" s="675"/>
      <c r="V748" s="675"/>
      <c r="W748" s="537" t="s">
        <v>9085</v>
      </c>
      <c r="AB748" s="675"/>
      <c r="AC748" s="675"/>
      <c r="AE748" s="675"/>
      <c r="AF748" s="680"/>
    </row>
    <row r="749" spans="1:32" s="536" customFormat="1" ht="67.5" x14ac:dyDescent="0.2">
      <c r="A749" s="575" t="s">
        <v>817</v>
      </c>
      <c r="B749" s="684" t="s">
        <v>9086</v>
      </c>
      <c r="C749" s="1823" t="s">
        <v>9087</v>
      </c>
      <c r="D749" s="1823"/>
      <c r="E749" s="1823"/>
      <c r="F749" s="573" t="s">
        <v>483</v>
      </c>
      <c r="G749" s="573"/>
      <c r="H749" s="573"/>
      <c r="I749" s="573" t="s">
        <v>186</v>
      </c>
      <c r="J749" s="572">
        <v>37.58</v>
      </c>
      <c r="K749" s="573"/>
      <c r="L749" s="572">
        <v>75.16</v>
      </c>
      <c r="M749" s="573"/>
      <c r="N749" s="570"/>
      <c r="T749" s="674"/>
      <c r="U749" s="675"/>
      <c r="V749" s="675" t="s">
        <v>9087</v>
      </c>
      <c r="AB749" s="675"/>
      <c r="AC749" s="675"/>
      <c r="AE749" s="675"/>
      <c r="AF749" s="680"/>
    </row>
    <row r="750" spans="1:32" s="536" customFormat="1" ht="12" x14ac:dyDescent="0.2">
      <c r="A750" s="569"/>
      <c r="B750" s="683"/>
      <c r="C750" s="689" t="s">
        <v>717</v>
      </c>
      <c r="D750" s="690"/>
      <c r="E750" s="690"/>
      <c r="F750" s="563"/>
      <c r="G750" s="563"/>
      <c r="H750" s="563"/>
      <c r="I750" s="563"/>
      <c r="J750" s="566"/>
      <c r="K750" s="563"/>
      <c r="L750" s="566"/>
      <c r="M750" s="565"/>
      <c r="N750" s="564"/>
      <c r="T750" s="674"/>
      <c r="U750" s="675"/>
      <c r="V750" s="675"/>
      <c r="AB750" s="675"/>
      <c r="AC750" s="675"/>
      <c r="AE750" s="675"/>
      <c r="AF750" s="680"/>
    </row>
    <row r="751" spans="1:32" s="536" customFormat="1" ht="1.5" customHeight="1" x14ac:dyDescent="0.2">
      <c r="A751" s="563"/>
      <c r="B751" s="683"/>
      <c r="C751" s="683"/>
      <c r="D751" s="683"/>
      <c r="E751" s="683"/>
      <c r="F751" s="563"/>
      <c r="G751" s="563"/>
      <c r="H751" s="563"/>
      <c r="I751" s="563"/>
      <c r="J751" s="546"/>
      <c r="K751" s="563"/>
      <c r="L751" s="546"/>
      <c r="M751" s="562"/>
      <c r="N751" s="546"/>
      <c r="T751" s="674"/>
      <c r="U751" s="675"/>
      <c r="V751" s="675"/>
      <c r="AB751" s="675"/>
      <c r="AC751" s="675"/>
      <c r="AE751" s="675"/>
      <c r="AF751" s="680"/>
    </row>
    <row r="752" spans="1:32" s="536" customFormat="1" ht="12" x14ac:dyDescent="0.2">
      <c r="A752" s="557"/>
      <c r="B752" s="556"/>
      <c r="C752" s="1823" t="s">
        <v>6795</v>
      </c>
      <c r="D752" s="1823"/>
      <c r="E752" s="1823"/>
      <c r="F752" s="1823"/>
      <c r="G752" s="1823"/>
      <c r="H752" s="1823"/>
      <c r="I752" s="1823"/>
      <c r="J752" s="1823"/>
      <c r="K752" s="1823"/>
      <c r="L752" s="555"/>
      <c r="M752" s="554"/>
      <c r="N752" s="553"/>
      <c r="T752" s="674"/>
      <c r="U752" s="675"/>
      <c r="V752" s="675"/>
      <c r="AB752" s="675"/>
      <c r="AC752" s="675" t="s">
        <v>6795</v>
      </c>
      <c r="AE752" s="675"/>
      <c r="AF752" s="680"/>
    </row>
    <row r="753" spans="1:32" s="536" customFormat="1" ht="12" x14ac:dyDescent="0.2">
      <c r="A753" s="548"/>
      <c r="B753" s="552"/>
      <c r="C753" s="1822" t="s">
        <v>403</v>
      </c>
      <c r="D753" s="1822"/>
      <c r="E753" s="1822"/>
      <c r="F753" s="1822"/>
      <c r="G753" s="1822"/>
      <c r="H753" s="1822"/>
      <c r="I753" s="1822"/>
      <c r="J753" s="1822"/>
      <c r="K753" s="1822"/>
      <c r="L753" s="551">
        <v>125880.25</v>
      </c>
      <c r="M753" s="550"/>
      <c r="N753" s="549"/>
      <c r="T753" s="674"/>
      <c r="U753" s="675"/>
      <c r="V753" s="675"/>
      <c r="AB753" s="675"/>
      <c r="AC753" s="675"/>
      <c r="AD753" s="537" t="s">
        <v>403</v>
      </c>
      <c r="AE753" s="675"/>
      <c r="AF753" s="680"/>
    </row>
    <row r="754" spans="1:32" s="536" customFormat="1" ht="12" x14ac:dyDescent="0.2">
      <c r="A754" s="548"/>
      <c r="B754" s="552"/>
      <c r="C754" s="1822" t="s">
        <v>8993</v>
      </c>
      <c r="D754" s="1822"/>
      <c r="E754" s="1822"/>
      <c r="F754" s="1822"/>
      <c r="G754" s="1822"/>
      <c r="H754" s="1822"/>
      <c r="I754" s="1822"/>
      <c r="J754" s="1822"/>
      <c r="K754" s="1822"/>
      <c r="L754" s="551"/>
      <c r="M754" s="550"/>
      <c r="N754" s="549"/>
      <c r="T754" s="674"/>
      <c r="U754" s="675"/>
      <c r="V754" s="675"/>
      <c r="AB754" s="675"/>
      <c r="AC754" s="675"/>
      <c r="AD754" s="537" t="s">
        <v>8993</v>
      </c>
      <c r="AE754" s="675"/>
      <c r="AF754" s="680"/>
    </row>
    <row r="755" spans="1:32" s="536" customFormat="1" ht="12" x14ac:dyDescent="0.2">
      <c r="A755" s="548"/>
      <c r="B755" s="552"/>
      <c r="C755" s="1822" t="s">
        <v>404</v>
      </c>
      <c r="D755" s="1822"/>
      <c r="E755" s="1822"/>
      <c r="F755" s="1822"/>
      <c r="G755" s="1822"/>
      <c r="H755" s="1822"/>
      <c r="I755" s="1822"/>
      <c r="J755" s="1822"/>
      <c r="K755" s="1822"/>
      <c r="L755" s="551">
        <v>1932.04</v>
      </c>
      <c r="M755" s="550"/>
      <c r="N755" s="549"/>
      <c r="T755" s="674"/>
      <c r="U755" s="675"/>
      <c r="V755" s="675"/>
      <c r="AB755" s="675"/>
      <c r="AC755" s="675"/>
      <c r="AD755" s="537" t="s">
        <v>404</v>
      </c>
      <c r="AE755" s="675"/>
      <c r="AF755" s="680"/>
    </row>
    <row r="756" spans="1:32" s="536" customFormat="1" ht="12" x14ac:dyDescent="0.2">
      <c r="A756" s="548"/>
      <c r="B756" s="552"/>
      <c r="C756" s="1822" t="s">
        <v>405</v>
      </c>
      <c r="D756" s="1822"/>
      <c r="E756" s="1822"/>
      <c r="F756" s="1822"/>
      <c r="G756" s="1822"/>
      <c r="H756" s="1822"/>
      <c r="I756" s="1822"/>
      <c r="J756" s="1822"/>
      <c r="K756" s="1822"/>
      <c r="L756" s="551">
        <v>5199.88</v>
      </c>
      <c r="M756" s="550"/>
      <c r="N756" s="549"/>
      <c r="T756" s="674"/>
      <c r="U756" s="675"/>
      <c r="V756" s="675"/>
      <c r="AB756" s="675"/>
      <c r="AC756" s="675"/>
      <c r="AD756" s="537" t="s">
        <v>405</v>
      </c>
      <c r="AE756" s="675"/>
      <c r="AF756" s="680"/>
    </row>
    <row r="757" spans="1:32" s="536" customFormat="1" ht="12" x14ac:dyDescent="0.2">
      <c r="A757" s="548"/>
      <c r="B757" s="552"/>
      <c r="C757" s="1822" t="s">
        <v>8994</v>
      </c>
      <c r="D757" s="1822"/>
      <c r="E757" s="1822"/>
      <c r="F757" s="1822"/>
      <c r="G757" s="1822"/>
      <c r="H757" s="1822"/>
      <c r="I757" s="1822"/>
      <c r="J757" s="1822"/>
      <c r="K757" s="1822"/>
      <c r="L757" s="551">
        <v>530.02</v>
      </c>
      <c r="M757" s="550"/>
      <c r="N757" s="549"/>
      <c r="T757" s="674"/>
      <c r="U757" s="675"/>
      <c r="V757" s="675"/>
      <c r="AB757" s="675"/>
      <c r="AC757" s="675"/>
      <c r="AD757" s="537" t="s">
        <v>8994</v>
      </c>
      <c r="AE757" s="675"/>
      <c r="AF757" s="680"/>
    </row>
    <row r="758" spans="1:32" s="536" customFormat="1" ht="12" x14ac:dyDescent="0.2">
      <c r="A758" s="548"/>
      <c r="B758" s="552"/>
      <c r="C758" s="1822" t="s">
        <v>480</v>
      </c>
      <c r="D758" s="1822"/>
      <c r="E758" s="1822"/>
      <c r="F758" s="1822"/>
      <c r="G758" s="1822"/>
      <c r="H758" s="1822"/>
      <c r="I758" s="1822"/>
      <c r="J758" s="1822"/>
      <c r="K758" s="1822"/>
      <c r="L758" s="551">
        <v>118748.33</v>
      </c>
      <c r="M758" s="550"/>
      <c r="N758" s="549"/>
      <c r="T758" s="674"/>
      <c r="U758" s="675"/>
      <c r="V758" s="675"/>
      <c r="AB758" s="675"/>
      <c r="AC758" s="675"/>
      <c r="AD758" s="537" t="s">
        <v>480</v>
      </c>
      <c r="AE758" s="675"/>
      <c r="AF758" s="680"/>
    </row>
    <row r="759" spans="1:32" s="536" customFormat="1" ht="12" x14ac:dyDescent="0.2">
      <c r="A759" s="548"/>
      <c r="B759" s="552"/>
      <c r="C759" s="1822" t="s">
        <v>407</v>
      </c>
      <c r="D759" s="1822"/>
      <c r="E759" s="1822"/>
      <c r="F759" s="1822"/>
      <c r="G759" s="1822"/>
      <c r="H759" s="1822"/>
      <c r="I759" s="1822"/>
      <c r="J759" s="1822"/>
      <c r="K759" s="1822"/>
      <c r="L759" s="551">
        <v>130099.77</v>
      </c>
      <c r="M759" s="550"/>
      <c r="N759" s="549"/>
      <c r="T759" s="674"/>
      <c r="U759" s="675"/>
      <c r="V759" s="675"/>
      <c r="AB759" s="675"/>
      <c r="AC759" s="675"/>
      <c r="AD759" s="537" t="s">
        <v>407</v>
      </c>
      <c r="AE759" s="675"/>
      <c r="AF759" s="680"/>
    </row>
    <row r="760" spans="1:32" s="536" customFormat="1" ht="12" x14ac:dyDescent="0.2">
      <c r="A760" s="548"/>
      <c r="B760" s="552"/>
      <c r="C760" s="1822" t="s">
        <v>408</v>
      </c>
      <c r="D760" s="1822"/>
      <c r="E760" s="1822"/>
      <c r="F760" s="1822"/>
      <c r="G760" s="1822"/>
      <c r="H760" s="1822"/>
      <c r="I760" s="1822"/>
      <c r="J760" s="1822"/>
      <c r="K760" s="1822"/>
      <c r="L760" s="551">
        <v>130079.65</v>
      </c>
      <c r="M760" s="550"/>
      <c r="N760" s="549"/>
      <c r="T760" s="674"/>
      <c r="U760" s="675"/>
      <c r="V760" s="675"/>
      <c r="AB760" s="675"/>
      <c r="AC760" s="675"/>
      <c r="AD760" s="537" t="s">
        <v>408</v>
      </c>
      <c r="AE760" s="675"/>
      <c r="AF760" s="680"/>
    </row>
    <row r="761" spans="1:32" s="536" customFormat="1" ht="12" x14ac:dyDescent="0.2">
      <c r="A761" s="548"/>
      <c r="B761" s="552"/>
      <c r="C761" s="1822" t="s">
        <v>9128</v>
      </c>
      <c r="D761" s="1822"/>
      <c r="E761" s="1822"/>
      <c r="F761" s="1822"/>
      <c r="G761" s="1822"/>
      <c r="H761" s="1822"/>
      <c r="I761" s="1822"/>
      <c r="J761" s="1822"/>
      <c r="K761" s="1822"/>
      <c r="L761" s="551"/>
      <c r="M761" s="550"/>
      <c r="N761" s="549"/>
      <c r="T761" s="674"/>
      <c r="U761" s="675"/>
      <c r="V761" s="675"/>
      <c r="AB761" s="675"/>
      <c r="AC761" s="675"/>
      <c r="AD761" s="537" t="s">
        <v>9128</v>
      </c>
      <c r="AE761" s="675"/>
      <c r="AF761" s="680"/>
    </row>
    <row r="762" spans="1:32" s="536" customFormat="1" ht="12" x14ac:dyDescent="0.2">
      <c r="A762" s="548"/>
      <c r="B762" s="552"/>
      <c r="C762" s="1822" t="s">
        <v>410</v>
      </c>
      <c r="D762" s="1822"/>
      <c r="E762" s="1822"/>
      <c r="F762" s="1822"/>
      <c r="G762" s="1822"/>
      <c r="H762" s="1822"/>
      <c r="I762" s="1822"/>
      <c r="J762" s="1822"/>
      <c r="K762" s="1822"/>
      <c r="L762" s="551">
        <v>1793.44</v>
      </c>
      <c r="M762" s="550"/>
      <c r="N762" s="549"/>
      <c r="T762" s="674"/>
      <c r="U762" s="675"/>
      <c r="V762" s="675"/>
      <c r="AB762" s="675"/>
      <c r="AC762" s="675"/>
      <c r="AD762" s="537" t="s">
        <v>410</v>
      </c>
      <c r="AE762" s="675"/>
      <c r="AF762" s="680"/>
    </row>
    <row r="763" spans="1:32" s="536" customFormat="1" ht="12" x14ac:dyDescent="0.2">
      <c r="A763" s="548"/>
      <c r="B763" s="552"/>
      <c r="C763" s="1822" t="s">
        <v>411</v>
      </c>
      <c r="D763" s="1822"/>
      <c r="E763" s="1822"/>
      <c r="F763" s="1822"/>
      <c r="G763" s="1822"/>
      <c r="H763" s="1822"/>
      <c r="I763" s="1822"/>
      <c r="J763" s="1822"/>
      <c r="K763" s="1822"/>
      <c r="L763" s="551">
        <v>5162.03</v>
      </c>
      <c r="M763" s="550"/>
      <c r="N763" s="549"/>
      <c r="T763" s="674"/>
      <c r="U763" s="675"/>
      <c r="V763" s="675"/>
      <c r="AB763" s="675"/>
      <c r="AC763" s="675"/>
      <c r="AD763" s="537" t="s">
        <v>411</v>
      </c>
      <c r="AE763" s="675"/>
      <c r="AF763" s="680"/>
    </row>
    <row r="764" spans="1:32" s="536" customFormat="1" ht="12" x14ac:dyDescent="0.2">
      <c r="A764" s="548"/>
      <c r="B764" s="552"/>
      <c r="C764" s="1822" t="s">
        <v>9129</v>
      </c>
      <c r="D764" s="1822"/>
      <c r="E764" s="1822"/>
      <c r="F764" s="1822"/>
      <c r="G764" s="1822"/>
      <c r="H764" s="1822"/>
      <c r="I764" s="1822"/>
      <c r="J764" s="1822"/>
      <c r="K764" s="1822"/>
      <c r="L764" s="551">
        <v>529.54999999999995</v>
      </c>
      <c r="M764" s="550"/>
      <c r="N764" s="549"/>
      <c r="T764" s="674"/>
      <c r="U764" s="675"/>
      <c r="V764" s="675"/>
      <c r="AB764" s="675"/>
      <c r="AC764" s="675"/>
      <c r="AD764" s="537" t="s">
        <v>9129</v>
      </c>
      <c r="AE764" s="675"/>
      <c r="AF764" s="680"/>
    </row>
    <row r="765" spans="1:32" s="536" customFormat="1" ht="12" x14ac:dyDescent="0.2">
      <c r="A765" s="548"/>
      <c r="B765" s="552"/>
      <c r="C765" s="1822" t="s">
        <v>481</v>
      </c>
      <c r="D765" s="1822"/>
      <c r="E765" s="1822"/>
      <c r="F765" s="1822"/>
      <c r="G765" s="1822"/>
      <c r="H765" s="1822"/>
      <c r="I765" s="1822"/>
      <c r="J765" s="1822"/>
      <c r="K765" s="1822"/>
      <c r="L765" s="551">
        <v>118704.43</v>
      </c>
      <c r="M765" s="550"/>
      <c r="N765" s="549"/>
      <c r="T765" s="674"/>
      <c r="U765" s="675"/>
      <c r="V765" s="675"/>
      <c r="AB765" s="675"/>
      <c r="AC765" s="675"/>
      <c r="AD765" s="537" t="s">
        <v>481</v>
      </c>
      <c r="AE765" s="675"/>
      <c r="AF765" s="680"/>
    </row>
    <row r="766" spans="1:32" s="536" customFormat="1" ht="12" x14ac:dyDescent="0.2">
      <c r="A766" s="548"/>
      <c r="B766" s="552"/>
      <c r="C766" s="1822" t="s">
        <v>412</v>
      </c>
      <c r="D766" s="1822"/>
      <c r="E766" s="1822"/>
      <c r="F766" s="1822"/>
      <c r="G766" s="1822"/>
      <c r="H766" s="1822"/>
      <c r="I766" s="1822"/>
      <c r="J766" s="1822"/>
      <c r="K766" s="1822"/>
      <c r="L766" s="551">
        <v>2706.44</v>
      </c>
      <c r="M766" s="550"/>
      <c r="N766" s="549"/>
      <c r="T766" s="674"/>
      <c r="U766" s="675"/>
      <c r="V766" s="675"/>
      <c r="AB766" s="675"/>
      <c r="AC766" s="675"/>
      <c r="AD766" s="537" t="s">
        <v>412</v>
      </c>
      <c r="AE766" s="675"/>
      <c r="AF766" s="680"/>
    </row>
    <row r="767" spans="1:32" s="536" customFormat="1" ht="12" x14ac:dyDescent="0.2">
      <c r="A767" s="548"/>
      <c r="B767" s="552"/>
      <c r="C767" s="1822" t="s">
        <v>413</v>
      </c>
      <c r="D767" s="1822"/>
      <c r="E767" s="1822"/>
      <c r="F767" s="1822"/>
      <c r="G767" s="1822"/>
      <c r="H767" s="1822"/>
      <c r="I767" s="1822"/>
      <c r="J767" s="1822"/>
      <c r="K767" s="1822"/>
      <c r="L767" s="551">
        <v>1713.31</v>
      </c>
      <c r="M767" s="550"/>
      <c r="N767" s="549"/>
      <c r="T767" s="674"/>
      <c r="U767" s="675"/>
      <c r="V767" s="675"/>
      <c r="AB767" s="675"/>
      <c r="AC767" s="675"/>
      <c r="AD767" s="537" t="s">
        <v>413</v>
      </c>
      <c r="AE767" s="675"/>
      <c r="AF767" s="680"/>
    </row>
    <row r="768" spans="1:32" s="536" customFormat="1" ht="12" x14ac:dyDescent="0.2">
      <c r="A768" s="548"/>
      <c r="B768" s="552"/>
      <c r="C768" s="1822" t="s">
        <v>9130</v>
      </c>
      <c r="D768" s="1822"/>
      <c r="E768" s="1822"/>
      <c r="F768" s="1822"/>
      <c r="G768" s="1822"/>
      <c r="H768" s="1822"/>
      <c r="I768" s="1822"/>
      <c r="J768" s="1822"/>
      <c r="K768" s="1822"/>
      <c r="L768" s="551">
        <v>20.12</v>
      </c>
      <c r="M768" s="550"/>
      <c r="N768" s="549"/>
      <c r="T768" s="674"/>
      <c r="U768" s="675"/>
      <c r="V768" s="675"/>
      <c r="AB768" s="675"/>
      <c r="AC768" s="675"/>
      <c r="AD768" s="537" t="s">
        <v>9130</v>
      </c>
      <c r="AE768" s="675"/>
      <c r="AF768" s="680"/>
    </row>
    <row r="769" spans="1:32" s="536" customFormat="1" ht="12" x14ac:dyDescent="0.2">
      <c r="A769" s="548"/>
      <c r="B769" s="552"/>
      <c r="C769" s="1822" t="s">
        <v>9128</v>
      </c>
      <c r="D769" s="1822"/>
      <c r="E769" s="1822"/>
      <c r="F769" s="1822"/>
      <c r="G769" s="1822"/>
      <c r="H769" s="1822"/>
      <c r="I769" s="1822"/>
      <c r="J769" s="1822"/>
      <c r="K769" s="1822"/>
      <c r="L769" s="551"/>
      <c r="M769" s="550"/>
      <c r="N769" s="549"/>
      <c r="T769" s="674"/>
      <c r="U769" s="675"/>
      <c r="V769" s="675"/>
      <c r="AB769" s="675"/>
      <c r="AC769" s="675"/>
      <c r="AD769" s="537" t="s">
        <v>9128</v>
      </c>
      <c r="AE769" s="675"/>
      <c r="AF769" s="680"/>
    </row>
    <row r="770" spans="1:32" s="536" customFormat="1" ht="12" x14ac:dyDescent="0.2">
      <c r="A770" s="548"/>
      <c r="B770" s="552"/>
      <c r="C770" s="1822" t="s">
        <v>410</v>
      </c>
      <c r="D770" s="1822"/>
      <c r="E770" s="1822"/>
      <c r="F770" s="1822"/>
      <c r="G770" s="1822"/>
      <c r="H770" s="1822"/>
      <c r="I770" s="1822"/>
      <c r="J770" s="1822"/>
      <c r="K770" s="1822"/>
      <c r="L770" s="551">
        <v>1.6</v>
      </c>
      <c r="M770" s="550"/>
      <c r="N770" s="549"/>
      <c r="T770" s="674"/>
      <c r="U770" s="675"/>
      <c r="V770" s="675"/>
      <c r="AB770" s="675"/>
      <c r="AC770" s="675"/>
      <c r="AD770" s="537" t="s">
        <v>410</v>
      </c>
      <c r="AE770" s="675"/>
      <c r="AF770" s="680"/>
    </row>
    <row r="771" spans="1:32" s="536" customFormat="1" ht="12" x14ac:dyDescent="0.2">
      <c r="A771" s="548"/>
      <c r="B771" s="552"/>
      <c r="C771" s="1822" t="s">
        <v>411</v>
      </c>
      <c r="D771" s="1822"/>
      <c r="E771" s="1822"/>
      <c r="F771" s="1822"/>
      <c r="G771" s="1822"/>
      <c r="H771" s="1822"/>
      <c r="I771" s="1822"/>
      <c r="J771" s="1822"/>
      <c r="K771" s="1822"/>
      <c r="L771" s="551">
        <v>1.85</v>
      </c>
      <c r="M771" s="550"/>
      <c r="N771" s="549"/>
      <c r="T771" s="674"/>
      <c r="U771" s="675"/>
      <c r="V771" s="675"/>
      <c r="AB771" s="675"/>
      <c r="AC771" s="675"/>
      <c r="AD771" s="537" t="s">
        <v>411</v>
      </c>
      <c r="AE771" s="675"/>
      <c r="AF771" s="680"/>
    </row>
    <row r="772" spans="1:32" s="536" customFormat="1" ht="12" x14ac:dyDescent="0.2">
      <c r="A772" s="548"/>
      <c r="B772" s="552"/>
      <c r="C772" s="1822" t="s">
        <v>9129</v>
      </c>
      <c r="D772" s="1822"/>
      <c r="E772" s="1822"/>
      <c r="F772" s="1822"/>
      <c r="G772" s="1822"/>
      <c r="H772" s="1822"/>
      <c r="I772" s="1822"/>
      <c r="J772" s="1822"/>
      <c r="K772" s="1822"/>
      <c r="L772" s="551">
        <v>0.47</v>
      </c>
      <c r="M772" s="550"/>
      <c r="N772" s="549"/>
      <c r="T772" s="674"/>
      <c r="U772" s="675"/>
      <c r="V772" s="675"/>
      <c r="AB772" s="675"/>
      <c r="AC772" s="675"/>
      <c r="AD772" s="537" t="s">
        <v>9129</v>
      </c>
      <c r="AE772" s="675"/>
      <c r="AF772" s="680"/>
    </row>
    <row r="773" spans="1:32" s="536" customFormat="1" ht="12" x14ac:dyDescent="0.2">
      <c r="A773" s="548"/>
      <c r="B773" s="552"/>
      <c r="C773" s="1822" t="s">
        <v>481</v>
      </c>
      <c r="D773" s="1822"/>
      <c r="E773" s="1822"/>
      <c r="F773" s="1822"/>
      <c r="G773" s="1822"/>
      <c r="H773" s="1822"/>
      <c r="I773" s="1822"/>
      <c r="J773" s="1822"/>
      <c r="K773" s="1822"/>
      <c r="L773" s="551">
        <v>14.46</v>
      </c>
      <c r="M773" s="550"/>
      <c r="N773" s="549"/>
      <c r="T773" s="674"/>
      <c r="U773" s="675"/>
      <c r="V773" s="675"/>
      <c r="AB773" s="675"/>
      <c r="AC773" s="675"/>
      <c r="AD773" s="537" t="s">
        <v>481</v>
      </c>
      <c r="AE773" s="675"/>
      <c r="AF773" s="680"/>
    </row>
    <row r="774" spans="1:32" s="536" customFormat="1" ht="12" x14ac:dyDescent="0.2">
      <c r="A774" s="548"/>
      <c r="B774" s="552"/>
      <c r="C774" s="1822" t="s">
        <v>412</v>
      </c>
      <c r="D774" s="1822"/>
      <c r="E774" s="1822"/>
      <c r="F774" s="1822"/>
      <c r="G774" s="1822"/>
      <c r="H774" s="1822"/>
      <c r="I774" s="1822"/>
      <c r="J774" s="1822"/>
      <c r="K774" s="1822"/>
      <c r="L774" s="551">
        <v>1.51</v>
      </c>
      <c r="M774" s="550"/>
      <c r="N774" s="549"/>
      <c r="T774" s="674"/>
      <c r="U774" s="675"/>
      <c r="V774" s="675"/>
      <c r="AB774" s="675"/>
      <c r="AC774" s="675"/>
      <c r="AD774" s="537" t="s">
        <v>412</v>
      </c>
      <c r="AE774" s="675"/>
      <c r="AF774" s="680"/>
    </row>
    <row r="775" spans="1:32" s="536" customFormat="1" ht="12" x14ac:dyDescent="0.2">
      <c r="A775" s="548"/>
      <c r="B775" s="552"/>
      <c r="C775" s="1822" t="s">
        <v>413</v>
      </c>
      <c r="D775" s="1822"/>
      <c r="E775" s="1822"/>
      <c r="F775" s="1822"/>
      <c r="G775" s="1822"/>
      <c r="H775" s="1822"/>
      <c r="I775" s="1822"/>
      <c r="J775" s="1822"/>
      <c r="K775" s="1822"/>
      <c r="L775" s="551">
        <v>0.7</v>
      </c>
      <c r="M775" s="550"/>
      <c r="N775" s="549"/>
      <c r="T775" s="674"/>
      <c r="U775" s="675"/>
      <c r="V775" s="675"/>
      <c r="AB775" s="675"/>
      <c r="AC775" s="675"/>
      <c r="AD775" s="537" t="s">
        <v>413</v>
      </c>
      <c r="AE775" s="675"/>
      <c r="AF775" s="680"/>
    </row>
    <row r="776" spans="1:32" s="536" customFormat="1" ht="12" x14ac:dyDescent="0.2">
      <c r="A776" s="548"/>
      <c r="B776" s="552"/>
      <c r="C776" s="1822" t="s">
        <v>753</v>
      </c>
      <c r="D776" s="1822"/>
      <c r="E776" s="1822"/>
      <c r="F776" s="1822"/>
      <c r="G776" s="1822"/>
      <c r="H776" s="1822"/>
      <c r="I776" s="1822"/>
      <c r="J776" s="1822"/>
      <c r="K776" s="1822"/>
      <c r="L776" s="551">
        <v>386.04</v>
      </c>
      <c r="M776" s="550"/>
      <c r="N776" s="549"/>
      <c r="T776" s="674"/>
      <c r="U776" s="675"/>
      <c r="V776" s="675"/>
      <c r="AB776" s="675"/>
      <c r="AC776" s="675"/>
      <c r="AD776" s="537" t="s">
        <v>753</v>
      </c>
      <c r="AE776" s="675"/>
      <c r="AF776" s="680"/>
    </row>
    <row r="777" spans="1:32" s="536" customFormat="1" ht="12" x14ac:dyDescent="0.2">
      <c r="A777" s="548"/>
      <c r="B777" s="552"/>
      <c r="C777" s="1822" t="s">
        <v>8993</v>
      </c>
      <c r="D777" s="1822"/>
      <c r="E777" s="1822"/>
      <c r="F777" s="1822"/>
      <c r="G777" s="1822"/>
      <c r="H777" s="1822"/>
      <c r="I777" s="1822"/>
      <c r="J777" s="1822"/>
      <c r="K777" s="1822"/>
      <c r="L777" s="551"/>
      <c r="M777" s="550"/>
      <c r="N777" s="549"/>
      <c r="T777" s="674"/>
      <c r="U777" s="675"/>
      <c r="V777" s="675"/>
      <c r="AB777" s="675"/>
      <c r="AC777" s="675"/>
      <c r="AD777" s="537" t="s">
        <v>8993</v>
      </c>
      <c r="AE777" s="675"/>
      <c r="AF777" s="680"/>
    </row>
    <row r="778" spans="1:32" s="536" customFormat="1" ht="12" x14ac:dyDescent="0.2">
      <c r="A778" s="548"/>
      <c r="B778" s="552"/>
      <c r="C778" s="1822" t="s">
        <v>546</v>
      </c>
      <c r="D778" s="1822"/>
      <c r="E778" s="1822"/>
      <c r="F778" s="1822"/>
      <c r="G778" s="1822"/>
      <c r="H778" s="1822"/>
      <c r="I778" s="1822"/>
      <c r="J778" s="1822"/>
      <c r="K778" s="1822"/>
      <c r="L778" s="551">
        <v>137</v>
      </c>
      <c r="M778" s="550"/>
      <c r="N778" s="549"/>
      <c r="T778" s="674"/>
      <c r="U778" s="675"/>
      <c r="V778" s="675"/>
      <c r="AB778" s="675"/>
      <c r="AC778" s="675"/>
      <c r="AD778" s="537" t="s">
        <v>546</v>
      </c>
      <c r="AE778" s="675"/>
      <c r="AF778" s="680"/>
    </row>
    <row r="779" spans="1:32" s="536" customFormat="1" ht="12" x14ac:dyDescent="0.2">
      <c r="A779" s="548"/>
      <c r="B779" s="552"/>
      <c r="C779" s="1822" t="s">
        <v>442</v>
      </c>
      <c r="D779" s="1822"/>
      <c r="E779" s="1822"/>
      <c r="F779" s="1822"/>
      <c r="G779" s="1822"/>
      <c r="H779" s="1822"/>
      <c r="I779" s="1822"/>
      <c r="J779" s="1822"/>
      <c r="K779" s="1822"/>
      <c r="L779" s="551">
        <v>36</v>
      </c>
      <c r="M779" s="550"/>
      <c r="N779" s="549"/>
      <c r="T779" s="674"/>
      <c r="U779" s="675"/>
      <c r="V779" s="675"/>
      <c r="AB779" s="675"/>
      <c r="AC779" s="675"/>
      <c r="AD779" s="537" t="s">
        <v>442</v>
      </c>
      <c r="AE779" s="675"/>
      <c r="AF779" s="680"/>
    </row>
    <row r="780" spans="1:32" s="536" customFormat="1" ht="12" x14ac:dyDescent="0.2">
      <c r="A780" s="548"/>
      <c r="B780" s="552"/>
      <c r="C780" s="1822" t="s">
        <v>547</v>
      </c>
      <c r="D780" s="1822"/>
      <c r="E780" s="1822"/>
      <c r="F780" s="1822"/>
      <c r="G780" s="1822"/>
      <c r="H780" s="1822"/>
      <c r="I780" s="1822"/>
      <c r="J780" s="1822"/>
      <c r="K780" s="1822"/>
      <c r="L780" s="551">
        <v>29.44</v>
      </c>
      <c r="M780" s="550"/>
      <c r="N780" s="549"/>
      <c r="T780" s="674"/>
      <c r="U780" s="675"/>
      <c r="V780" s="675"/>
      <c r="AB780" s="675"/>
      <c r="AC780" s="675"/>
      <c r="AD780" s="537" t="s">
        <v>547</v>
      </c>
      <c r="AE780" s="675"/>
      <c r="AF780" s="680"/>
    </row>
    <row r="781" spans="1:32" s="536" customFormat="1" ht="12" x14ac:dyDescent="0.2">
      <c r="A781" s="548"/>
      <c r="B781" s="552"/>
      <c r="C781" s="1822" t="s">
        <v>443</v>
      </c>
      <c r="D781" s="1822"/>
      <c r="E781" s="1822"/>
      <c r="F781" s="1822"/>
      <c r="G781" s="1822"/>
      <c r="H781" s="1822"/>
      <c r="I781" s="1822"/>
      <c r="J781" s="1822"/>
      <c r="K781" s="1822"/>
      <c r="L781" s="551">
        <v>121.94</v>
      </c>
      <c r="M781" s="550"/>
      <c r="N781" s="549"/>
      <c r="T781" s="674"/>
      <c r="U781" s="675"/>
      <c r="V781" s="675"/>
      <c r="AB781" s="675"/>
      <c r="AC781" s="675"/>
      <c r="AD781" s="537" t="s">
        <v>443</v>
      </c>
      <c r="AE781" s="675"/>
      <c r="AF781" s="680"/>
    </row>
    <row r="782" spans="1:32" s="536" customFormat="1" ht="12" x14ac:dyDescent="0.2">
      <c r="A782" s="548"/>
      <c r="B782" s="552"/>
      <c r="C782" s="1822" t="s">
        <v>444</v>
      </c>
      <c r="D782" s="1822"/>
      <c r="E782" s="1822"/>
      <c r="F782" s="1822"/>
      <c r="G782" s="1822"/>
      <c r="H782" s="1822"/>
      <c r="I782" s="1822"/>
      <c r="J782" s="1822"/>
      <c r="K782" s="1822"/>
      <c r="L782" s="551">
        <v>61.66</v>
      </c>
      <c r="M782" s="550"/>
      <c r="N782" s="549"/>
      <c r="T782" s="674"/>
      <c r="U782" s="675"/>
      <c r="V782" s="675"/>
      <c r="AB782" s="675"/>
      <c r="AC782" s="675"/>
      <c r="AD782" s="537" t="s">
        <v>444</v>
      </c>
      <c r="AE782" s="675"/>
      <c r="AF782" s="680"/>
    </row>
    <row r="783" spans="1:32" s="536" customFormat="1" ht="12" x14ac:dyDescent="0.2">
      <c r="A783" s="548"/>
      <c r="B783" s="552"/>
      <c r="C783" s="1822" t="s">
        <v>415</v>
      </c>
      <c r="D783" s="1822"/>
      <c r="E783" s="1822"/>
      <c r="F783" s="1822"/>
      <c r="G783" s="1822"/>
      <c r="H783" s="1822"/>
      <c r="I783" s="1822"/>
      <c r="J783" s="1822"/>
      <c r="K783" s="1822"/>
      <c r="L783" s="551">
        <v>2462.06</v>
      </c>
      <c r="M783" s="550"/>
      <c r="N783" s="549"/>
      <c r="T783" s="674"/>
      <c r="U783" s="675"/>
      <c r="V783" s="675"/>
      <c r="AB783" s="675"/>
      <c r="AC783" s="675"/>
      <c r="AD783" s="537" t="s">
        <v>415</v>
      </c>
      <c r="AE783" s="675"/>
      <c r="AF783" s="680"/>
    </row>
    <row r="784" spans="1:32" s="536" customFormat="1" ht="12" x14ac:dyDescent="0.2">
      <c r="A784" s="548"/>
      <c r="B784" s="552"/>
      <c r="C784" s="1822" t="s">
        <v>416</v>
      </c>
      <c r="D784" s="1822"/>
      <c r="E784" s="1822"/>
      <c r="F784" s="1822"/>
      <c r="G784" s="1822"/>
      <c r="H784" s="1822"/>
      <c r="I784" s="1822"/>
      <c r="J784" s="1822"/>
      <c r="K784" s="1822"/>
      <c r="L784" s="551">
        <v>2829.89</v>
      </c>
      <c r="M784" s="550"/>
      <c r="N784" s="549"/>
      <c r="T784" s="674"/>
      <c r="U784" s="675"/>
      <c r="V784" s="675"/>
      <c r="AB784" s="675"/>
      <c r="AC784" s="675"/>
      <c r="AD784" s="537" t="s">
        <v>416</v>
      </c>
      <c r="AE784" s="675"/>
      <c r="AF784" s="680"/>
    </row>
    <row r="785" spans="1:32" s="536" customFormat="1" ht="12" x14ac:dyDescent="0.2">
      <c r="A785" s="548"/>
      <c r="B785" s="552"/>
      <c r="C785" s="1822" t="s">
        <v>417</v>
      </c>
      <c r="D785" s="1822"/>
      <c r="E785" s="1822"/>
      <c r="F785" s="1822"/>
      <c r="G785" s="1822"/>
      <c r="H785" s="1822"/>
      <c r="I785" s="1822"/>
      <c r="J785" s="1822"/>
      <c r="K785" s="1822"/>
      <c r="L785" s="551">
        <v>1775.67</v>
      </c>
      <c r="M785" s="550"/>
      <c r="N785" s="549"/>
      <c r="T785" s="674"/>
      <c r="U785" s="675"/>
      <c r="V785" s="675"/>
      <c r="AB785" s="675"/>
      <c r="AC785" s="675"/>
      <c r="AD785" s="537" t="s">
        <v>417</v>
      </c>
      <c r="AE785" s="675"/>
      <c r="AF785" s="680"/>
    </row>
    <row r="786" spans="1:32" s="536" customFormat="1" ht="12" x14ac:dyDescent="0.2">
      <c r="A786" s="548"/>
      <c r="B786" s="546"/>
      <c r="C786" s="1819" t="s">
        <v>6796</v>
      </c>
      <c r="D786" s="1819"/>
      <c r="E786" s="1819"/>
      <c r="F786" s="1819"/>
      <c r="G786" s="1819"/>
      <c r="H786" s="1819"/>
      <c r="I786" s="1819"/>
      <c r="J786" s="1819"/>
      <c r="K786" s="1819"/>
      <c r="L786" s="544">
        <v>130485.81</v>
      </c>
      <c r="M786" s="543"/>
      <c r="N786" s="681"/>
      <c r="T786" s="674"/>
      <c r="U786" s="675"/>
      <c r="V786" s="675"/>
      <c r="AB786" s="675"/>
      <c r="AC786" s="675"/>
      <c r="AE786" s="675" t="s">
        <v>6796</v>
      </c>
      <c r="AF786" s="680"/>
    </row>
    <row r="787" spans="1:32" s="536" customFormat="1" ht="12" x14ac:dyDescent="0.2">
      <c r="A787" s="1824" t="s">
        <v>1614</v>
      </c>
      <c r="B787" s="1825"/>
      <c r="C787" s="1825"/>
      <c r="D787" s="1825"/>
      <c r="E787" s="1825"/>
      <c r="F787" s="1825"/>
      <c r="G787" s="1825"/>
      <c r="H787" s="1825"/>
      <c r="I787" s="1825"/>
      <c r="J787" s="1825"/>
      <c r="K787" s="1825"/>
      <c r="L787" s="1825"/>
      <c r="M787" s="1825"/>
      <c r="N787" s="1826"/>
      <c r="T787" s="674" t="s">
        <v>1614</v>
      </c>
      <c r="U787" s="675"/>
      <c r="V787" s="675"/>
      <c r="AB787" s="675"/>
      <c r="AC787" s="675"/>
      <c r="AE787" s="675"/>
      <c r="AF787" s="680"/>
    </row>
    <row r="788" spans="1:32" s="536" customFormat="1" ht="78.75" x14ac:dyDescent="0.2">
      <c r="A788" s="575" t="s">
        <v>538</v>
      </c>
      <c r="B788" s="684" t="s">
        <v>1133</v>
      </c>
      <c r="C788" s="1823" t="s">
        <v>5639</v>
      </c>
      <c r="D788" s="1823"/>
      <c r="E788" s="1823"/>
      <c r="F788" s="573" t="s">
        <v>201</v>
      </c>
      <c r="G788" s="573"/>
      <c r="H788" s="573"/>
      <c r="I788" s="573" t="s">
        <v>9131</v>
      </c>
      <c r="J788" s="572">
        <v>48.81</v>
      </c>
      <c r="K788" s="573"/>
      <c r="L788" s="572">
        <v>18395.12</v>
      </c>
      <c r="M788" s="573"/>
      <c r="N788" s="570"/>
      <c r="T788" s="674"/>
      <c r="U788" s="675"/>
      <c r="V788" s="675" t="s">
        <v>5639</v>
      </c>
      <c r="AB788" s="675"/>
      <c r="AC788" s="675"/>
      <c r="AE788" s="675"/>
      <c r="AF788" s="680"/>
    </row>
    <row r="789" spans="1:32" s="536" customFormat="1" ht="12" x14ac:dyDescent="0.2">
      <c r="A789" s="569"/>
      <c r="B789" s="683"/>
      <c r="C789" s="689" t="s">
        <v>717</v>
      </c>
      <c r="D789" s="690"/>
      <c r="E789" s="690"/>
      <c r="F789" s="563"/>
      <c r="G789" s="563"/>
      <c r="H789" s="563"/>
      <c r="I789" s="563"/>
      <c r="J789" s="566"/>
      <c r="K789" s="563"/>
      <c r="L789" s="566"/>
      <c r="M789" s="565"/>
      <c r="N789" s="564"/>
      <c r="T789" s="674"/>
      <c r="U789" s="675"/>
      <c r="V789" s="675"/>
      <c r="AB789" s="675"/>
      <c r="AC789" s="675"/>
      <c r="AE789" s="675"/>
      <c r="AF789" s="680"/>
    </row>
    <row r="790" spans="1:32" s="536" customFormat="1" ht="12" x14ac:dyDescent="0.2">
      <c r="A790" s="676"/>
      <c r="B790" s="682"/>
      <c r="C790" s="1822" t="s">
        <v>9132</v>
      </c>
      <c r="D790" s="1822"/>
      <c r="E790" s="1822"/>
      <c r="F790" s="1822"/>
      <c r="G790" s="1822"/>
      <c r="H790" s="1822"/>
      <c r="I790" s="1822"/>
      <c r="J790" s="1822"/>
      <c r="K790" s="1822"/>
      <c r="L790" s="1822"/>
      <c r="M790" s="1822"/>
      <c r="N790" s="1827"/>
      <c r="T790" s="674"/>
      <c r="U790" s="675"/>
      <c r="V790" s="675"/>
      <c r="W790" s="537" t="s">
        <v>9132</v>
      </c>
      <c r="AB790" s="675"/>
      <c r="AC790" s="675"/>
      <c r="AE790" s="675"/>
      <c r="AF790" s="680"/>
    </row>
    <row r="791" spans="1:32" s="536" customFormat="1" ht="78.75" x14ac:dyDescent="0.2">
      <c r="A791" s="575" t="s">
        <v>966</v>
      </c>
      <c r="B791" s="684" t="s">
        <v>1497</v>
      </c>
      <c r="C791" s="1823" t="s">
        <v>9133</v>
      </c>
      <c r="D791" s="1823"/>
      <c r="E791" s="1823"/>
      <c r="F791" s="573" t="s">
        <v>201</v>
      </c>
      <c r="G791" s="573"/>
      <c r="H791" s="573"/>
      <c r="I791" s="573" t="s">
        <v>9134</v>
      </c>
      <c r="J791" s="572">
        <v>76.88</v>
      </c>
      <c r="K791" s="573"/>
      <c r="L791" s="572">
        <v>78.34</v>
      </c>
      <c r="M791" s="573"/>
      <c r="N791" s="570"/>
      <c r="T791" s="674"/>
      <c r="U791" s="675"/>
      <c r="V791" s="675" t="s">
        <v>9133</v>
      </c>
      <c r="AB791" s="675"/>
      <c r="AC791" s="675"/>
      <c r="AE791" s="675"/>
      <c r="AF791" s="680"/>
    </row>
    <row r="792" spans="1:32" s="536" customFormat="1" ht="12" x14ac:dyDescent="0.2">
      <c r="A792" s="569"/>
      <c r="B792" s="683"/>
      <c r="C792" s="689" t="s">
        <v>717</v>
      </c>
      <c r="D792" s="690"/>
      <c r="E792" s="690"/>
      <c r="F792" s="563"/>
      <c r="G792" s="563"/>
      <c r="H792" s="563"/>
      <c r="I792" s="563"/>
      <c r="J792" s="566"/>
      <c r="K792" s="563"/>
      <c r="L792" s="566"/>
      <c r="M792" s="565"/>
      <c r="N792" s="564"/>
      <c r="T792" s="674"/>
      <c r="U792" s="675"/>
      <c r="V792" s="675"/>
      <c r="AB792" s="675"/>
      <c r="AC792" s="675"/>
      <c r="AE792" s="675"/>
      <c r="AF792" s="680"/>
    </row>
    <row r="793" spans="1:32" s="536" customFormat="1" ht="12" x14ac:dyDescent="0.2">
      <c r="A793" s="676"/>
      <c r="B793" s="682"/>
      <c r="C793" s="1822" t="s">
        <v>9135</v>
      </c>
      <c r="D793" s="1822"/>
      <c r="E793" s="1822"/>
      <c r="F793" s="1822"/>
      <c r="G793" s="1822"/>
      <c r="H793" s="1822"/>
      <c r="I793" s="1822"/>
      <c r="J793" s="1822"/>
      <c r="K793" s="1822"/>
      <c r="L793" s="1822"/>
      <c r="M793" s="1822"/>
      <c r="N793" s="1827"/>
      <c r="T793" s="674"/>
      <c r="U793" s="675"/>
      <c r="V793" s="675"/>
      <c r="W793" s="537" t="s">
        <v>9135</v>
      </c>
      <c r="AB793" s="675"/>
      <c r="AC793" s="675"/>
      <c r="AE793" s="675"/>
      <c r="AF793" s="680"/>
    </row>
    <row r="794" spans="1:32" s="536" customFormat="1" ht="1.5" customHeight="1" x14ac:dyDescent="0.2">
      <c r="A794" s="563"/>
      <c r="B794" s="683"/>
      <c r="C794" s="683"/>
      <c r="D794" s="683"/>
      <c r="E794" s="683"/>
      <c r="F794" s="563"/>
      <c r="G794" s="563"/>
      <c r="H794" s="563"/>
      <c r="I794" s="563"/>
      <c r="J794" s="546"/>
      <c r="K794" s="563"/>
      <c r="L794" s="546"/>
      <c r="M794" s="562"/>
      <c r="N794" s="546"/>
      <c r="T794" s="674"/>
      <c r="U794" s="675"/>
      <c r="V794" s="675"/>
      <c r="AB794" s="675"/>
      <c r="AC794" s="675"/>
      <c r="AE794" s="675"/>
      <c r="AF794" s="680"/>
    </row>
    <row r="795" spans="1:32" s="536" customFormat="1" ht="22.5" x14ac:dyDescent="0.2">
      <c r="A795" s="557"/>
      <c r="B795" s="556"/>
      <c r="C795" s="1823" t="s">
        <v>1620</v>
      </c>
      <c r="D795" s="1823"/>
      <c r="E795" s="1823"/>
      <c r="F795" s="1823"/>
      <c r="G795" s="1823"/>
      <c r="H795" s="1823"/>
      <c r="I795" s="1823"/>
      <c r="J795" s="1823"/>
      <c r="K795" s="1823"/>
      <c r="L795" s="555"/>
      <c r="M795" s="554"/>
      <c r="N795" s="553"/>
      <c r="T795" s="674"/>
      <c r="U795" s="675"/>
      <c r="V795" s="675"/>
      <c r="AB795" s="675"/>
      <c r="AC795" s="675" t="s">
        <v>1620</v>
      </c>
      <c r="AE795" s="675"/>
      <c r="AF795" s="680"/>
    </row>
    <row r="796" spans="1:32" s="536" customFormat="1" ht="12" x14ac:dyDescent="0.2">
      <c r="A796" s="548"/>
      <c r="B796" s="552"/>
      <c r="C796" s="1822" t="s">
        <v>403</v>
      </c>
      <c r="D796" s="1822"/>
      <c r="E796" s="1822"/>
      <c r="F796" s="1822"/>
      <c r="G796" s="1822"/>
      <c r="H796" s="1822"/>
      <c r="I796" s="1822"/>
      <c r="J796" s="1822"/>
      <c r="K796" s="1822"/>
      <c r="L796" s="551">
        <v>18473.46</v>
      </c>
      <c r="M796" s="550"/>
      <c r="N796" s="549"/>
      <c r="T796" s="674"/>
      <c r="U796" s="675"/>
      <c r="V796" s="675"/>
      <c r="AB796" s="675"/>
      <c r="AC796" s="675"/>
      <c r="AD796" s="537" t="s">
        <v>403</v>
      </c>
      <c r="AE796" s="675"/>
      <c r="AF796" s="680"/>
    </row>
    <row r="797" spans="1:32" s="536" customFormat="1" ht="12" x14ac:dyDescent="0.2">
      <c r="A797" s="548"/>
      <c r="B797" s="552"/>
      <c r="C797" s="1822" t="s">
        <v>8993</v>
      </c>
      <c r="D797" s="1822"/>
      <c r="E797" s="1822"/>
      <c r="F797" s="1822"/>
      <c r="G797" s="1822"/>
      <c r="H797" s="1822"/>
      <c r="I797" s="1822"/>
      <c r="J797" s="1822"/>
      <c r="K797" s="1822"/>
      <c r="L797" s="551"/>
      <c r="M797" s="550"/>
      <c r="N797" s="549"/>
      <c r="T797" s="674"/>
      <c r="U797" s="675"/>
      <c r="V797" s="675"/>
      <c r="AB797" s="675"/>
      <c r="AC797" s="675"/>
      <c r="AD797" s="537" t="s">
        <v>8993</v>
      </c>
      <c r="AE797" s="675"/>
      <c r="AF797" s="680"/>
    </row>
    <row r="798" spans="1:32" s="536" customFormat="1" ht="12" x14ac:dyDescent="0.2">
      <c r="A798" s="548"/>
      <c r="B798" s="552"/>
      <c r="C798" s="1822" t="s">
        <v>480</v>
      </c>
      <c r="D798" s="1822"/>
      <c r="E798" s="1822"/>
      <c r="F798" s="1822"/>
      <c r="G798" s="1822"/>
      <c r="H798" s="1822"/>
      <c r="I798" s="1822"/>
      <c r="J798" s="1822"/>
      <c r="K798" s="1822"/>
      <c r="L798" s="551">
        <v>18473.46</v>
      </c>
      <c r="M798" s="550"/>
      <c r="N798" s="549"/>
      <c r="T798" s="674"/>
      <c r="U798" s="675"/>
      <c r="V798" s="675"/>
      <c r="AB798" s="675"/>
      <c r="AC798" s="675"/>
      <c r="AD798" s="537" t="s">
        <v>480</v>
      </c>
      <c r="AE798" s="675"/>
      <c r="AF798" s="680"/>
    </row>
    <row r="799" spans="1:32" s="536" customFormat="1" ht="12" x14ac:dyDescent="0.2">
      <c r="A799" s="548"/>
      <c r="B799" s="552"/>
      <c r="C799" s="1822" t="s">
        <v>407</v>
      </c>
      <c r="D799" s="1822"/>
      <c r="E799" s="1822"/>
      <c r="F799" s="1822"/>
      <c r="G799" s="1822"/>
      <c r="H799" s="1822"/>
      <c r="I799" s="1822"/>
      <c r="J799" s="1822"/>
      <c r="K799" s="1822"/>
      <c r="L799" s="551">
        <v>18473.46</v>
      </c>
      <c r="M799" s="550"/>
      <c r="N799" s="549"/>
      <c r="T799" s="674"/>
      <c r="U799" s="675"/>
      <c r="V799" s="675"/>
      <c r="AB799" s="675"/>
      <c r="AC799" s="675"/>
      <c r="AD799" s="537" t="s">
        <v>407</v>
      </c>
      <c r="AE799" s="675"/>
      <c r="AF799" s="680"/>
    </row>
    <row r="800" spans="1:32" s="536" customFormat="1" ht="12" x14ac:dyDescent="0.2">
      <c r="A800" s="548"/>
      <c r="B800" s="552"/>
      <c r="C800" s="1822" t="s">
        <v>8993</v>
      </c>
      <c r="D800" s="1822"/>
      <c r="E800" s="1822"/>
      <c r="F800" s="1822"/>
      <c r="G800" s="1822"/>
      <c r="H800" s="1822"/>
      <c r="I800" s="1822"/>
      <c r="J800" s="1822"/>
      <c r="K800" s="1822"/>
      <c r="L800" s="551"/>
      <c r="M800" s="550"/>
      <c r="N800" s="549"/>
      <c r="T800" s="674"/>
      <c r="U800" s="675"/>
      <c r="V800" s="675"/>
      <c r="AB800" s="675"/>
      <c r="AC800" s="675"/>
      <c r="AD800" s="537" t="s">
        <v>8993</v>
      </c>
      <c r="AE800" s="675"/>
      <c r="AF800" s="680"/>
    </row>
    <row r="801" spans="1:34" s="536" customFormat="1" ht="12" x14ac:dyDescent="0.2">
      <c r="A801" s="548"/>
      <c r="B801" s="552"/>
      <c r="C801" s="1822" t="s">
        <v>547</v>
      </c>
      <c r="D801" s="1822"/>
      <c r="E801" s="1822"/>
      <c r="F801" s="1822"/>
      <c r="G801" s="1822"/>
      <c r="H801" s="1822"/>
      <c r="I801" s="1822"/>
      <c r="J801" s="1822"/>
      <c r="K801" s="1822"/>
      <c r="L801" s="551">
        <v>18473.46</v>
      </c>
      <c r="M801" s="550"/>
      <c r="N801" s="549"/>
      <c r="T801" s="674"/>
      <c r="U801" s="675"/>
      <c r="V801" s="675"/>
      <c r="AB801" s="675"/>
      <c r="AC801" s="675"/>
      <c r="AD801" s="537" t="s">
        <v>547</v>
      </c>
      <c r="AE801" s="675"/>
      <c r="AF801" s="680"/>
    </row>
    <row r="802" spans="1:34" s="536" customFormat="1" ht="22.5" x14ac:dyDescent="0.2">
      <c r="A802" s="548"/>
      <c r="B802" s="546"/>
      <c r="C802" s="1819" t="s">
        <v>1621</v>
      </c>
      <c r="D802" s="1819"/>
      <c r="E802" s="1819"/>
      <c r="F802" s="1819"/>
      <c r="G802" s="1819"/>
      <c r="H802" s="1819"/>
      <c r="I802" s="1819"/>
      <c r="J802" s="1819"/>
      <c r="K802" s="1819"/>
      <c r="L802" s="544">
        <v>18473.46</v>
      </c>
      <c r="M802" s="543"/>
      <c r="N802" s="681"/>
      <c r="T802" s="674"/>
      <c r="U802" s="675"/>
      <c r="V802" s="675"/>
      <c r="AB802" s="675"/>
      <c r="AC802" s="675"/>
      <c r="AE802" s="675" t="s">
        <v>1621</v>
      </c>
      <c r="AF802" s="680"/>
    </row>
    <row r="803" spans="1:34" s="536" customFormat="1" ht="2.25" customHeight="1" x14ac:dyDescent="0.2">
      <c r="B803" s="561"/>
      <c r="C803" s="561"/>
      <c r="D803" s="561"/>
      <c r="E803" s="561"/>
      <c r="F803" s="561"/>
      <c r="G803" s="561"/>
      <c r="H803" s="561"/>
      <c r="I803" s="561"/>
      <c r="J803" s="561"/>
      <c r="K803" s="561"/>
      <c r="L803" s="560"/>
      <c r="M803" s="559"/>
      <c r="N803" s="558"/>
    </row>
    <row r="804" spans="1:34" s="536" customFormat="1" x14ac:dyDescent="0.2">
      <c r="A804" s="557"/>
      <c r="B804" s="556"/>
      <c r="C804" s="1823" t="s">
        <v>205</v>
      </c>
      <c r="D804" s="1823"/>
      <c r="E804" s="1823"/>
      <c r="F804" s="1823"/>
      <c r="G804" s="1823"/>
      <c r="H804" s="1823"/>
      <c r="I804" s="1823"/>
      <c r="J804" s="1823"/>
      <c r="K804" s="1823"/>
      <c r="L804" s="555"/>
      <c r="M804" s="694"/>
      <c r="N804" s="553"/>
      <c r="AG804" s="675" t="s">
        <v>205</v>
      </c>
    </row>
    <row r="805" spans="1:34" s="536" customFormat="1" x14ac:dyDescent="0.2">
      <c r="A805" s="548"/>
      <c r="B805" s="552"/>
      <c r="C805" s="1822" t="s">
        <v>403</v>
      </c>
      <c r="D805" s="1822"/>
      <c r="E805" s="1822"/>
      <c r="F805" s="1822"/>
      <c r="G805" s="1822"/>
      <c r="H805" s="1822"/>
      <c r="I805" s="1822"/>
      <c r="J805" s="1822"/>
      <c r="K805" s="1822"/>
      <c r="L805" s="551">
        <v>164942.20000000001</v>
      </c>
      <c r="M805" s="695"/>
      <c r="N805" s="549"/>
      <c r="AG805" s="675"/>
      <c r="AH805" s="537" t="s">
        <v>403</v>
      </c>
    </row>
    <row r="806" spans="1:34" s="536" customFormat="1" x14ac:dyDescent="0.2">
      <c r="A806" s="548"/>
      <c r="B806" s="552"/>
      <c r="C806" s="1822" t="s">
        <v>8993</v>
      </c>
      <c r="D806" s="1822"/>
      <c r="E806" s="1822"/>
      <c r="F806" s="1822"/>
      <c r="G806" s="1822"/>
      <c r="H806" s="1822"/>
      <c r="I806" s="1822"/>
      <c r="J806" s="1822"/>
      <c r="K806" s="1822"/>
      <c r="L806" s="551"/>
      <c r="M806" s="695"/>
      <c r="N806" s="549"/>
      <c r="AG806" s="675"/>
      <c r="AH806" s="537" t="s">
        <v>8993</v>
      </c>
    </row>
    <row r="807" spans="1:34" s="536" customFormat="1" x14ac:dyDescent="0.2">
      <c r="A807" s="548"/>
      <c r="B807" s="552"/>
      <c r="C807" s="1822" t="s">
        <v>404</v>
      </c>
      <c r="D807" s="1822"/>
      <c r="E807" s="1822"/>
      <c r="F807" s="1822"/>
      <c r="G807" s="1822"/>
      <c r="H807" s="1822"/>
      <c r="I807" s="1822"/>
      <c r="J807" s="1822"/>
      <c r="K807" s="1822"/>
      <c r="L807" s="551">
        <v>3704.07</v>
      </c>
      <c r="M807" s="695"/>
      <c r="N807" s="549"/>
      <c r="AG807" s="675"/>
      <c r="AH807" s="537" t="s">
        <v>404</v>
      </c>
    </row>
    <row r="808" spans="1:34" s="536" customFormat="1" x14ac:dyDescent="0.2">
      <c r="A808" s="548"/>
      <c r="B808" s="552"/>
      <c r="C808" s="1822" t="s">
        <v>405</v>
      </c>
      <c r="D808" s="1822"/>
      <c r="E808" s="1822"/>
      <c r="F808" s="1822"/>
      <c r="G808" s="1822"/>
      <c r="H808" s="1822"/>
      <c r="I808" s="1822"/>
      <c r="J808" s="1822"/>
      <c r="K808" s="1822"/>
      <c r="L808" s="551">
        <v>7876.33</v>
      </c>
      <c r="M808" s="695"/>
      <c r="N808" s="549"/>
      <c r="AG808" s="675"/>
      <c r="AH808" s="537" t="s">
        <v>405</v>
      </c>
    </row>
    <row r="809" spans="1:34" s="536" customFormat="1" x14ac:dyDescent="0.2">
      <c r="A809" s="548"/>
      <c r="B809" s="552"/>
      <c r="C809" s="1822" t="s">
        <v>8994</v>
      </c>
      <c r="D809" s="1822"/>
      <c r="E809" s="1822"/>
      <c r="F809" s="1822"/>
      <c r="G809" s="1822"/>
      <c r="H809" s="1822"/>
      <c r="I809" s="1822"/>
      <c r="J809" s="1822"/>
      <c r="K809" s="1822"/>
      <c r="L809" s="551">
        <v>878.84</v>
      </c>
      <c r="M809" s="695"/>
      <c r="N809" s="549"/>
      <c r="AG809" s="675"/>
      <c r="AH809" s="537" t="s">
        <v>8994</v>
      </c>
    </row>
    <row r="810" spans="1:34" s="536" customFormat="1" x14ac:dyDescent="0.2">
      <c r="A810" s="548"/>
      <c r="B810" s="552"/>
      <c r="C810" s="1822" t="s">
        <v>480</v>
      </c>
      <c r="D810" s="1822"/>
      <c r="E810" s="1822"/>
      <c r="F810" s="1822"/>
      <c r="G810" s="1822"/>
      <c r="H810" s="1822"/>
      <c r="I810" s="1822"/>
      <c r="J810" s="1822"/>
      <c r="K810" s="1822"/>
      <c r="L810" s="551">
        <v>153361.79999999999</v>
      </c>
      <c r="M810" s="695"/>
      <c r="N810" s="549"/>
      <c r="AG810" s="675"/>
      <c r="AH810" s="537" t="s">
        <v>480</v>
      </c>
    </row>
    <row r="811" spans="1:34" s="536" customFormat="1" x14ac:dyDescent="0.2">
      <c r="A811" s="548"/>
      <c r="B811" s="552"/>
      <c r="C811" s="1822" t="s">
        <v>407</v>
      </c>
      <c r="D811" s="1822"/>
      <c r="E811" s="1822"/>
      <c r="F811" s="1822"/>
      <c r="G811" s="1822"/>
      <c r="H811" s="1822"/>
      <c r="I811" s="1822"/>
      <c r="J811" s="1822"/>
      <c r="K811" s="1822"/>
      <c r="L811" s="551">
        <v>172040.66</v>
      </c>
      <c r="M811" s="695"/>
      <c r="N811" s="549">
        <v>1431378</v>
      </c>
      <c r="AG811" s="675"/>
      <c r="AH811" s="537" t="s">
        <v>407</v>
      </c>
    </row>
    <row r="812" spans="1:34" s="536" customFormat="1" x14ac:dyDescent="0.2">
      <c r="A812" s="548"/>
      <c r="B812" s="552" t="s">
        <v>185</v>
      </c>
      <c r="C812" s="1822" t="s">
        <v>408</v>
      </c>
      <c r="D812" s="1822"/>
      <c r="E812" s="1822"/>
      <c r="F812" s="1822"/>
      <c r="G812" s="1822"/>
      <c r="H812" s="1822"/>
      <c r="I812" s="1822"/>
      <c r="J812" s="1822"/>
      <c r="K812" s="1822"/>
      <c r="L812" s="551">
        <v>172020.54</v>
      </c>
      <c r="M812" s="695" t="s">
        <v>9136</v>
      </c>
      <c r="N812" s="549">
        <v>1431211</v>
      </c>
      <c r="AG812" s="675"/>
      <c r="AH812" s="537" t="s">
        <v>408</v>
      </c>
    </row>
    <row r="813" spans="1:34" s="536" customFormat="1" x14ac:dyDescent="0.2">
      <c r="A813" s="548"/>
      <c r="B813" s="552"/>
      <c r="C813" s="1822" t="s">
        <v>9128</v>
      </c>
      <c r="D813" s="1822"/>
      <c r="E813" s="1822"/>
      <c r="F813" s="1822"/>
      <c r="G813" s="1822"/>
      <c r="H813" s="1822"/>
      <c r="I813" s="1822"/>
      <c r="J813" s="1822"/>
      <c r="K813" s="1822"/>
      <c r="L813" s="551"/>
      <c r="M813" s="695"/>
      <c r="N813" s="549"/>
      <c r="AG813" s="675"/>
      <c r="AH813" s="537" t="s">
        <v>9128</v>
      </c>
    </row>
    <row r="814" spans="1:34" s="536" customFormat="1" x14ac:dyDescent="0.2">
      <c r="A814" s="548"/>
      <c r="B814" s="552"/>
      <c r="C814" s="1822" t="s">
        <v>410</v>
      </c>
      <c r="D814" s="1822"/>
      <c r="E814" s="1822"/>
      <c r="F814" s="1822"/>
      <c r="G814" s="1822"/>
      <c r="H814" s="1822"/>
      <c r="I814" s="1822"/>
      <c r="J814" s="1822"/>
      <c r="K814" s="1822"/>
      <c r="L814" s="551">
        <v>3565.47</v>
      </c>
      <c r="M814" s="695"/>
      <c r="N814" s="549"/>
      <c r="AG814" s="675"/>
      <c r="AH814" s="537" t="s">
        <v>410</v>
      </c>
    </row>
    <row r="815" spans="1:34" s="536" customFormat="1" x14ac:dyDescent="0.2">
      <c r="A815" s="548"/>
      <c r="B815" s="552"/>
      <c r="C815" s="1822" t="s">
        <v>411</v>
      </c>
      <c r="D815" s="1822"/>
      <c r="E815" s="1822"/>
      <c r="F815" s="1822"/>
      <c r="G815" s="1822"/>
      <c r="H815" s="1822"/>
      <c r="I815" s="1822"/>
      <c r="J815" s="1822"/>
      <c r="K815" s="1822"/>
      <c r="L815" s="551">
        <v>7838.48</v>
      </c>
      <c r="M815" s="695"/>
      <c r="N815" s="549"/>
      <c r="AG815" s="675"/>
      <c r="AH815" s="537" t="s">
        <v>411</v>
      </c>
    </row>
    <row r="816" spans="1:34" s="536" customFormat="1" x14ac:dyDescent="0.2">
      <c r="A816" s="548"/>
      <c r="B816" s="552"/>
      <c r="C816" s="1822" t="s">
        <v>9129</v>
      </c>
      <c r="D816" s="1822"/>
      <c r="E816" s="1822"/>
      <c r="F816" s="1822"/>
      <c r="G816" s="1822"/>
      <c r="H816" s="1822"/>
      <c r="I816" s="1822"/>
      <c r="J816" s="1822"/>
      <c r="K816" s="1822"/>
      <c r="L816" s="551">
        <v>878.37</v>
      </c>
      <c r="M816" s="695"/>
      <c r="N816" s="549"/>
      <c r="AG816" s="675"/>
      <c r="AH816" s="537" t="s">
        <v>9129</v>
      </c>
    </row>
    <row r="817" spans="1:34" s="536" customFormat="1" x14ac:dyDescent="0.2">
      <c r="A817" s="548"/>
      <c r="B817" s="552"/>
      <c r="C817" s="1822" t="s">
        <v>481</v>
      </c>
      <c r="D817" s="1822"/>
      <c r="E817" s="1822"/>
      <c r="F817" s="1822"/>
      <c r="G817" s="1822"/>
      <c r="H817" s="1822"/>
      <c r="I817" s="1822"/>
      <c r="J817" s="1822"/>
      <c r="K817" s="1822"/>
      <c r="L817" s="551">
        <v>153317.9</v>
      </c>
      <c r="M817" s="695"/>
      <c r="N817" s="549"/>
      <c r="AG817" s="675"/>
      <c r="AH817" s="537" t="s">
        <v>481</v>
      </c>
    </row>
    <row r="818" spans="1:34" s="536" customFormat="1" x14ac:dyDescent="0.2">
      <c r="A818" s="548"/>
      <c r="B818" s="552"/>
      <c r="C818" s="1822" t="s">
        <v>412</v>
      </c>
      <c r="D818" s="1822"/>
      <c r="E818" s="1822"/>
      <c r="F818" s="1822"/>
      <c r="G818" s="1822"/>
      <c r="H818" s="1822"/>
      <c r="I818" s="1822"/>
      <c r="J818" s="1822"/>
      <c r="K818" s="1822"/>
      <c r="L818" s="551">
        <v>4646.96</v>
      </c>
      <c r="M818" s="695"/>
      <c r="N818" s="549"/>
      <c r="AG818" s="675"/>
      <c r="AH818" s="537" t="s">
        <v>412</v>
      </c>
    </row>
    <row r="819" spans="1:34" s="536" customFormat="1" x14ac:dyDescent="0.2">
      <c r="A819" s="548"/>
      <c r="B819" s="552"/>
      <c r="C819" s="1822" t="s">
        <v>413</v>
      </c>
      <c r="D819" s="1822"/>
      <c r="E819" s="1822"/>
      <c r="F819" s="1822"/>
      <c r="G819" s="1822"/>
      <c r="H819" s="1822"/>
      <c r="I819" s="1822"/>
      <c r="J819" s="1822"/>
      <c r="K819" s="1822"/>
      <c r="L819" s="551">
        <v>2651.73</v>
      </c>
      <c r="M819" s="695"/>
      <c r="N819" s="549"/>
      <c r="AG819" s="675"/>
      <c r="AH819" s="537" t="s">
        <v>413</v>
      </c>
    </row>
    <row r="820" spans="1:34" s="536" customFormat="1" x14ac:dyDescent="0.2">
      <c r="A820" s="548"/>
      <c r="B820" s="552" t="s">
        <v>185</v>
      </c>
      <c r="C820" s="1822" t="s">
        <v>9130</v>
      </c>
      <c r="D820" s="1822"/>
      <c r="E820" s="1822"/>
      <c r="F820" s="1822"/>
      <c r="G820" s="1822"/>
      <c r="H820" s="1822"/>
      <c r="I820" s="1822"/>
      <c r="J820" s="1822"/>
      <c r="K820" s="1822"/>
      <c r="L820" s="551">
        <v>20.12</v>
      </c>
      <c r="M820" s="695" t="s">
        <v>9136</v>
      </c>
      <c r="N820" s="549">
        <v>167</v>
      </c>
      <c r="AG820" s="675"/>
      <c r="AH820" s="537" t="s">
        <v>9130</v>
      </c>
    </row>
    <row r="821" spans="1:34" s="536" customFormat="1" x14ac:dyDescent="0.2">
      <c r="A821" s="548"/>
      <c r="B821" s="552"/>
      <c r="C821" s="1822" t="s">
        <v>9128</v>
      </c>
      <c r="D821" s="1822"/>
      <c r="E821" s="1822"/>
      <c r="F821" s="1822"/>
      <c r="G821" s="1822"/>
      <c r="H821" s="1822"/>
      <c r="I821" s="1822"/>
      <c r="J821" s="1822"/>
      <c r="K821" s="1822"/>
      <c r="L821" s="551"/>
      <c r="M821" s="695"/>
      <c r="N821" s="549"/>
      <c r="AG821" s="675"/>
      <c r="AH821" s="537" t="s">
        <v>9128</v>
      </c>
    </row>
    <row r="822" spans="1:34" s="536" customFormat="1" x14ac:dyDescent="0.2">
      <c r="A822" s="548"/>
      <c r="B822" s="552"/>
      <c r="C822" s="1822" t="s">
        <v>410</v>
      </c>
      <c r="D822" s="1822"/>
      <c r="E822" s="1822"/>
      <c r="F822" s="1822"/>
      <c r="G822" s="1822"/>
      <c r="H822" s="1822"/>
      <c r="I822" s="1822"/>
      <c r="J822" s="1822"/>
      <c r="K822" s="1822"/>
      <c r="L822" s="551">
        <v>1.6</v>
      </c>
      <c r="M822" s="695"/>
      <c r="N822" s="549"/>
      <c r="AG822" s="675"/>
      <c r="AH822" s="537" t="s">
        <v>410</v>
      </c>
    </row>
    <row r="823" spans="1:34" s="536" customFormat="1" x14ac:dyDescent="0.2">
      <c r="A823" s="548"/>
      <c r="B823" s="552"/>
      <c r="C823" s="1822" t="s">
        <v>411</v>
      </c>
      <c r="D823" s="1822"/>
      <c r="E823" s="1822"/>
      <c r="F823" s="1822"/>
      <c r="G823" s="1822"/>
      <c r="H823" s="1822"/>
      <c r="I823" s="1822"/>
      <c r="J823" s="1822"/>
      <c r="K823" s="1822"/>
      <c r="L823" s="551">
        <v>1.85</v>
      </c>
      <c r="M823" s="695"/>
      <c r="N823" s="549"/>
      <c r="AG823" s="675"/>
      <c r="AH823" s="537" t="s">
        <v>411</v>
      </c>
    </row>
    <row r="824" spans="1:34" s="536" customFormat="1" x14ac:dyDescent="0.2">
      <c r="A824" s="548"/>
      <c r="B824" s="552"/>
      <c r="C824" s="1822" t="s">
        <v>9129</v>
      </c>
      <c r="D824" s="1822"/>
      <c r="E824" s="1822"/>
      <c r="F824" s="1822"/>
      <c r="G824" s="1822"/>
      <c r="H824" s="1822"/>
      <c r="I824" s="1822"/>
      <c r="J824" s="1822"/>
      <c r="K824" s="1822"/>
      <c r="L824" s="551">
        <v>0.47</v>
      </c>
      <c r="M824" s="695"/>
      <c r="N824" s="549"/>
      <c r="AG824" s="675"/>
      <c r="AH824" s="537" t="s">
        <v>9129</v>
      </c>
    </row>
    <row r="825" spans="1:34" s="536" customFormat="1" x14ac:dyDescent="0.2">
      <c r="A825" s="548"/>
      <c r="B825" s="552"/>
      <c r="C825" s="1822" t="s">
        <v>481</v>
      </c>
      <c r="D825" s="1822"/>
      <c r="E825" s="1822"/>
      <c r="F825" s="1822"/>
      <c r="G825" s="1822"/>
      <c r="H825" s="1822"/>
      <c r="I825" s="1822"/>
      <c r="J825" s="1822"/>
      <c r="K825" s="1822"/>
      <c r="L825" s="551">
        <v>14.46</v>
      </c>
      <c r="M825" s="695"/>
      <c r="N825" s="549"/>
      <c r="AG825" s="675"/>
      <c r="AH825" s="537" t="s">
        <v>481</v>
      </c>
    </row>
    <row r="826" spans="1:34" s="536" customFormat="1" x14ac:dyDescent="0.2">
      <c r="A826" s="548"/>
      <c r="B826" s="552"/>
      <c r="C826" s="1822" t="s">
        <v>412</v>
      </c>
      <c r="D826" s="1822"/>
      <c r="E826" s="1822"/>
      <c r="F826" s="1822"/>
      <c r="G826" s="1822"/>
      <c r="H826" s="1822"/>
      <c r="I826" s="1822"/>
      <c r="J826" s="1822"/>
      <c r="K826" s="1822"/>
      <c r="L826" s="551">
        <v>1.51</v>
      </c>
      <c r="M826" s="695"/>
      <c r="N826" s="549"/>
      <c r="AG826" s="675"/>
      <c r="AH826" s="537" t="s">
        <v>412</v>
      </c>
    </row>
    <row r="827" spans="1:34" s="536" customFormat="1" x14ac:dyDescent="0.2">
      <c r="A827" s="548"/>
      <c r="B827" s="552"/>
      <c r="C827" s="1822" t="s">
        <v>413</v>
      </c>
      <c r="D827" s="1822"/>
      <c r="E827" s="1822"/>
      <c r="F827" s="1822"/>
      <c r="G827" s="1822"/>
      <c r="H827" s="1822"/>
      <c r="I827" s="1822"/>
      <c r="J827" s="1822"/>
      <c r="K827" s="1822"/>
      <c r="L827" s="551">
        <v>0.7</v>
      </c>
      <c r="M827" s="695"/>
      <c r="N827" s="549"/>
      <c r="AG827" s="675"/>
      <c r="AH827" s="537" t="s">
        <v>413</v>
      </c>
    </row>
    <row r="828" spans="1:34" s="536" customFormat="1" x14ac:dyDescent="0.2">
      <c r="A828" s="548"/>
      <c r="B828" s="552" t="s">
        <v>185</v>
      </c>
      <c r="C828" s="1822" t="s">
        <v>753</v>
      </c>
      <c r="D828" s="1822"/>
      <c r="E828" s="1822"/>
      <c r="F828" s="1822"/>
      <c r="G828" s="1822"/>
      <c r="H828" s="1822"/>
      <c r="I828" s="1822"/>
      <c r="J828" s="1822"/>
      <c r="K828" s="1822"/>
      <c r="L828" s="551">
        <v>386.04</v>
      </c>
      <c r="M828" s="695" t="s">
        <v>9136</v>
      </c>
      <c r="N828" s="549">
        <v>3212</v>
      </c>
      <c r="AG828" s="675"/>
      <c r="AH828" s="537" t="s">
        <v>753</v>
      </c>
    </row>
    <row r="829" spans="1:34" s="536" customFormat="1" x14ac:dyDescent="0.2">
      <c r="A829" s="548"/>
      <c r="B829" s="552"/>
      <c r="C829" s="1822" t="s">
        <v>8993</v>
      </c>
      <c r="D829" s="1822"/>
      <c r="E829" s="1822"/>
      <c r="F829" s="1822"/>
      <c r="G829" s="1822"/>
      <c r="H829" s="1822"/>
      <c r="I829" s="1822"/>
      <c r="J829" s="1822"/>
      <c r="K829" s="1822"/>
      <c r="L829" s="551"/>
      <c r="M829" s="695"/>
      <c r="N829" s="549"/>
      <c r="AG829" s="675"/>
      <c r="AH829" s="537" t="s">
        <v>8993</v>
      </c>
    </row>
    <row r="830" spans="1:34" s="536" customFormat="1" x14ac:dyDescent="0.2">
      <c r="A830" s="548"/>
      <c r="B830" s="552"/>
      <c r="C830" s="1822" t="s">
        <v>546</v>
      </c>
      <c r="D830" s="1822"/>
      <c r="E830" s="1822"/>
      <c r="F830" s="1822"/>
      <c r="G830" s="1822"/>
      <c r="H830" s="1822"/>
      <c r="I830" s="1822"/>
      <c r="J830" s="1822"/>
      <c r="K830" s="1822"/>
      <c r="L830" s="551">
        <v>137</v>
      </c>
      <c r="M830" s="695"/>
      <c r="N830" s="549"/>
      <c r="AG830" s="675"/>
      <c r="AH830" s="537" t="s">
        <v>546</v>
      </c>
    </row>
    <row r="831" spans="1:34" s="536" customFormat="1" x14ac:dyDescent="0.2">
      <c r="A831" s="548"/>
      <c r="B831" s="552"/>
      <c r="C831" s="1822" t="s">
        <v>442</v>
      </c>
      <c r="D831" s="1822"/>
      <c r="E831" s="1822"/>
      <c r="F831" s="1822"/>
      <c r="G831" s="1822"/>
      <c r="H831" s="1822"/>
      <c r="I831" s="1822"/>
      <c r="J831" s="1822"/>
      <c r="K831" s="1822"/>
      <c r="L831" s="551">
        <v>36</v>
      </c>
      <c r="M831" s="695"/>
      <c r="N831" s="549"/>
      <c r="AG831" s="675"/>
      <c r="AH831" s="537" t="s">
        <v>442</v>
      </c>
    </row>
    <row r="832" spans="1:34" s="536" customFormat="1" x14ac:dyDescent="0.2">
      <c r="A832" s="548"/>
      <c r="B832" s="552"/>
      <c r="C832" s="1822" t="s">
        <v>547</v>
      </c>
      <c r="D832" s="1822"/>
      <c r="E832" s="1822"/>
      <c r="F832" s="1822"/>
      <c r="G832" s="1822"/>
      <c r="H832" s="1822"/>
      <c r="I832" s="1822"/>
      <c r="J832" s="1822"/>
      <c r="K832" s="1822"/>
      <c r="L832" s="551">
        <v>29.44</v>
      </c>
      <c r="M832" s="695"/>
      <c r="N832" s="549"/>
      <c r="AG832" s="675"/>
      <c r="AH832" s="537" t="s">
        <v>547</v>
      </c>
    </row>
    <row r="833" spans="1:35" x14ac:dyDescent="0.2">
      <c r="A833" s="548"/>
      <c r="B833" s="552"/>
      <c r="C833" s="1822" t="s">
        <v>443</v>
      </c>
      <c r="D833" s="1822"/>
      <c r="E833" s="1822"/>
      <c r="F833" s="1822"/>
      <c r="G833" s="1822"/>
      <c r="H833" s="1822"/>
      <c r="I833" s="1822"/>
      <c r="J833" s="1822"/>
      <c r="K833" s="1822"/>
      <c r="L833" s="551">
        <v>121.94</v>
      </c>
      <c r="M833" s="695"/>
      <c r="N833" s="549"/>
      <c r="P833" s="536"/>
      <c r="Q833" s="536"/>
      <c r="R833" s="536"/>
      <c r="S833" s="536"/>
      <c r="T833" s="536"/>
      <c r="U833" s="536"/>
      <c r="V833" s="536"/>
      <c r="W833" s="536"/>
      <c r="X833" s="536"/>
      <c r="Y833" s="536"/>
      <c r="Z833" s="536"/>
      <c r="AA833" s="536"/>
      <c r="AB833" s="536"/>
      <c r="AC833" s="536"/>
      <c r="AD833" s="536"/>
      <c r="AE833" s="536"/>
      <c r="AF833" s="536"/>
      <c r="AG833" s="675"/>
      <c r="AH833" s="537" t="s">
        <v>443</v>
      </c>
      <c r="AI833" s="536"/>
    </row>
    <row r="834" spans="1:35" x14ac:dyDescent="0.2">
      <c r="A834" s="548"/>
      <c r="B834" s="552"/>
      <c r="C834" s="1822" t="s">
        <v>444</v>
      </c>
      <c r="D834" s="1822"/>
      <c r="E834" s="1822"/>
      <c r="F834" s="1822"/>
      <c r="G834" s="1822"/>
      <c r="H834" s="1822"/>
      <c r="I834" s="1822"/>
      <c r="J834" s="1822"/>
      <c r="K834" s="1822"/>
      <c r="L834" s="551">
        <v>61.66</v>
      </c>
      <c r="M834" s="695"/>
      <c r="N834" s="549"/>
      <c r="P834" s="536"/>
      <c r="Q834" s="536"/>
      <c r="R834" s="536"/>
      <c r="S834" s="536"/>
      <c r="T834" s="536"/>
      <c r="U834" s="536"/>
      <c r="V834" s="536"/>
      <c r="W834" s="536"/>
      <c r="X834" s="536"/>
      <c r="Y834" s="536"/>
      <c r="Z834" s="536"/>
      <c r="AA834" s="536"/>
      <c r="AB834" s="536"/>
      <c r="AC834" s="536"/>
      <c r="AD834" s="536"/>
      <c r="AE834" s="536"/>
      <c r="AF834" s="536"/>
      <c r="AG834" s="675"/>
      <c r="AH834" s="537" t="s">
        <v>444</v>
      </c>
      <c r="AI834" s="536"/>
    </row>
    <row r="835" spans="1:35" x14ac:dyDescent="0.2">
      <c r="A835" s="548"/>
      <c r="B835" s="552"/>
      <c r="C835" s="1822" t="s">
        <v>415</v>
      </c>
      <c r="D835" s="1822"/>
      <c r="E835" s="1822"/>
      <c r="F835" s="1822"/>
      <c r="G835" s="1822"/>
      <c r="H835" s="1822"/>
      <c r="I835" s="1822"/>
      <c r="J835" s="1822"/>
      <c r="K835" s="1822"/>
      <c r="L835" s="551">
        <v>4582.91</v>
      </c>
      <c r="M835" s="695"/>
      <c r="N835" s="549"/>
      <c r="P835" s="536"/>
      <c r="Q835" s="536"/>
      <c r="R835" s="536"/>
      <c r="S835" s="536"/>
      <c r="T835" s="536"/>
      <c r="U835" s="536"/>
      <c r="V835" s="536"/>
      <c r="W835" s="536"/>
      <c r="X835" s="536"/>
      <c r="Y835" s="536"/>
      <c r="Z835" s="536"/>
      <c r="AA835" s="536"/>
      <c r="AB835" s="536"/>
      <c r="AC835" s="536"/>
      <c r="AD835" s="536"/>
      <c r="AE835" s="536"/>
      <c r="AF835" s="536"/>
      <c r="AG835" s="675"/>
      <c r="AH835" s="537" t="s">
        <v>415</v>
      </c>
      <c r="AI835" s="536"/>
    </row>
    <row r="836" spans="1:35" x14ac:dyDescent="0.2">
      <c r="A836" s="548"/>
      <c r="B836" s="552"/>
      <c r="C836" s="1822" t="s">
        <v>416</v>
      </c>
      <c r="D836" s="1822"/>
      <c r="E836" s="1822"/>
      <c r="F836" s="1822"/>
      <c r="G836" s="1822"/>
      <c r="H836" s="1822"/>
      <c r="I836" s="1822"/>
      <c r="J836" s="1822"/>
      <c r="K836" s="1822"/>
      <c r="L836" s="551">
        <v>4770.41</v>
      </c>
      <c r="M836" s="695"/>
      <c r="N836" s="549"/>
      <c r="P836" s="536"/>
      <c r="Q836" s="536"/>
      <c r="R836" s="536"/>
      <c r="S836" s="536"/>
      <c r="T836" s="536"/>
      <c r="U836" s="536"/>
      <c r="V836" s="536"/>
      <c r="W836" s="536"/>
      <c r="X836" s="536"/>
      <c r="Y836" s="536"/>
      <c r="Z836" s="536"/>
      <c r="AA836" s="536"/>
      <c r="AB836" s="536"/>
      <c r="AC836" s="536"/>
      <c r="AD836" s="536"/>
      <c r="AE836" s="536"/>
      <c r="AF836" s="536"/>
      <c r="AG836" s="675"/>
      <c r="AH836" s="537" t="s">
        <v>416</v>
      </c>
      <c r="AI836" s="536"/>
    </row>
    <row r="837" spans="1:35" x14ac:dyDescent="0.2">
      <c r="A837" s="548"/>
      <c r="B837" s="552"/>
      <c r="C837" s="1822" t="s">
        <v>417</v>
      </c>
      <c r="D837" s="1822"/>
      <c r="E837" s="1822"/>
      <c r="F837" s="1822"/>
      <c r="G837" s="1822"/>
      <c r="H837" s="1822"/>
      <c r="I837" s="1822"/>
      <c r="J837" s="1822"/>
      <c r="K837" s="1822"/>
      <c r="L837" s="551">
        <v>2714.09</v>
      </c>
      <c r="M837" s="695"/>
      <c r="N837" s="549"/>
      <c r="P837" s="536"/>
      <c r="Q837" s="536"/>
      <c r="R837" s="536"/>
      <c r="S837" s="536"/>
      <c r="T837" s="536"/>
      <c r="U837" s="536"/>
      <c r="V837" s="536"/>
      <c r="W837" s="536"/>
      <c r="X837" s="536"/>
      <c r="Y837" s="536"/>
      <c r="Z837" s="536"/>
      <c r="AA837" s="536"/>
      <c r="AB837" s="536"/>
      <c r="AC837" s="536"/>
      <c r="AD837" s="536"/>
      <c r="AE837" s="536"/>
      <c r="AF837" s="536"/>
      <c r="AG837" s="675"/>
      <c r="AH837" s="537" t="s">
        <v>417</v>
      </c>
      <c r="AI837" s="536"/>
    </row>
    <row r="838" spans="1:35" x14ac:dyDescent="0.2">
      <c r="A838" s="548"/>
      <c r="B838" s="546"/>
      <c r="C838" s="1819" t="s">
        <v>206</v>
      </c>
      <c r="D838" s="1819"/>
      <c r="E838" s="1819"/>
      <c r="F838" s="1819"/>
      <c r="G838" s="1819"/>
      <c r="H838" s="1819"/>
      <c r="I838" s="1819"/>
      <c r="J838" s="1819"/>
      <c r="K838" s="1819"/>
      <c r="L838" s="544">
        <v>172426.7</v>
      </c>
      <c r="M838" s="688"/>
      <c r="N838" s="547">
        <v>1434590</v>
      </c>
      <c r="P838" s="536"/>
      <c r="Q838" s="536"/>
      <c r="R838" s="536"/>
      <c r="S838" s="536"/>
      <c r="T838" s="536"/>
      <c r="U838" s="536"/>
      <c r="V838" s="536"/>
      <c r="W838" s="536"/>
      <c r="X838" s="536"/>
      <c r="Y838" s="536"/>
      <c r="Z838" s="536"/>
      <c r="AA838" s="536"/>
      <c r="AB838" s="536"/>
      <c r="AC838" s="536"/>
      <c r="AD838" s="536"/>
      <c r="AE838" s="536"/>
      <c r="AF838" s="536"/>
      <c r="AG838" s="675"/>
      <c r="AH838" s="536"/>
      <c r="AI838" s="675" t="s">
        <v>206</v>
      </c>
    </row>
    <row r="839" spans="1:35" ht="1.5" customHeight="1" x14ac:dyDescent="0.2">
      <c r="B839" s="546"/>
      <c r="C839" s="683"/>
      <c r="D839" s="683"/>
      <c r="E839" s="683"/>
      <c r="F839" s="683"/>
      <c r="G839" s="683"/>
      <c r="H839" s="683"/>
      <c r="I839" s="683"/>
      <c r="J839" s="683"/>
      <c r="K839" s="683"/>
      <c r="L839" s="544"/>
      <c r="M839" s="543"/>
      <c r="N839" s="542"/>
      <c r="P839" s="536"/>
      <c r="Q839" s="536"/>
      <c r="R839" s="536"/>
      <c r="S839" s="536"/>
      <c r="T839" s="536"/>
      <c r="U839" s="536"/>
      <c r="V839" s="536"/>
      <c r="W839" s="536"/>
      <c r="X839" s="536"/>
      <c r="Y839" s="536"/>
      <c r="Z839" s="536"/>
      <c r="AA839" s="536"/>
      <c r="AB839" s="536"/>
      <c r="AC839" s="536"/>
      <c r="AD839" s="536"/>
      <c r="AE839" s="536"/>
      <c r="AF839" s="536"/>
      <c r="AG839" s="536"/>
      <c r="AH839" s="536"/>
      <c r="AI839" s="536"/>
    </row>
    <row r="840" spans="1:35" ht="53.25" customHeight="1" x14ac:dyDescent="0.2">
      <c r="A840" s="541"/>
      <c r="B840" s="541"/>
      <c r="C840" s="541"/>
      <c r="D840" s="541"/>
      <c r="E840" s="541"/>
      <c r="F840" s="541"/>
      <c r="G840" s="541"/>
      <c r="H840" s="541"/>
      <c r="I840" s="541"/>
      <c r="J840" s="541"/>
      <c r="K840" s="541"/>
      <c r="L840" s="541"/>
      <c r="M840" s="541"/>
      <c r="N840" s="541"/>
      <c r="P840" s="536"/>
      <c r="Q840" s="536"/>
      <c r="R840" s="536"/>
      <c r="S840" s="536"/>
      <c r="T840" s="536"/>
      <c r="U840" s="536"/>
      <c r="V840" s="536"/>
      <c r="W840" s="536"/>
      <c r="X840" s="536"/>
      <c r="Y840" s="536"/>
      <c r="Z840" s="536"/>
      <c r="AA840" s="536"/>
      <c r="AB840" s="536"/>
      <c r="AC840" s="536"/>
      <c r="AD840" s="536"/>
      <c r="AE840" s="536"/>
      <c r="AF840" s="536"/>
      <c r="AG840" s="536"/>
      <c r="AH840" s="536"/>
      <c r="AI840" s="536"/>
    </row>
    <row r="841" spans="1:35" x14ac:dyDescent="0.2">
      <c r="B841" s="539" t="s">
        <v>149</v>
      </c>
      <c r="C841" s="1820" t="s">
        <v>296</v>
      </c>
      <c r="D841" s="1820"/>
      <c r="E841" s="1820"/>
      <c r="F841" s="1820"/>
      <c r="G841" s="1820"/>
      <c r="H841" s="1820"/>
      <c r="I841" s="1820"/>
      <c r="J841" s="1820"/>
      <c r="K841" s="1820"/>
      <c r="L841" s="1820"/>
    </row>
    <row r="842" spans="1:35" ht="13.5" customHeight="1" x14ac:dyDescent="0.2">
      <c r="B842" s="540"/>
      <c r="C842" s="1821" t="s">
        <v>150</v>
      </c>
      <c r="D842" s="1821"/>
      <c r="E842" s="1821"/>
      <c r="F842" s="1821"/>
      <c r="G842" s="1821"/>
      <c r="H842" s="1821"/>
      <c r="I842" s="1821"/>
      <c r="J842" s="1821"/>
      <c r="K842" s="1821"/>
      <c r="L842" s="1821"/>
    </row>
    <row r="843" spans="1:35" ht="12.75" customHeight="1" x14ac:dyDescent="0.2">
      <c r="B843" s="539" t="s">
        <v>151</v>
      </c>
      <c r="C843" s="1820" t="s">
        <v>297</v>
      </c>
      <c r="D843" s="1820"/>
      <c r="E843" s="1820"/>
      <c r="F843" s="1820"/>
      <c r="G843" s="1820"/>
      <c r="H843" s="1820"/>
      <c r="I843" s="1820"/>
      <c r="J843" s="1820"/>
      <c r="K843" s="1820"/>
      <c r="L843" s="1820"/>
    </row>
    <row r="844" spans="1:35" ht="13.5" customHeight="1" x14ac:dyDescent="0.2">
      <c r="C844" s="1821" t="s">
        <v>150</v>
      </c>
      <c r="D844" s="1821"/>
      <c r="E844" s="1821"/>
      <c r="F844" s="1821"/>
      <c r="G844" s="1821"/>
      <c r="H844" s="1821"/>
      <c r="I844" s="1821"/>
      <c r="J844" s="1821"/>
      <c r="K844" s="1821"/>
      <c r="L844" s="1821"/>
    </row>
    <row r="846" spans="1:35" x14ac:dyDescent="0.2">
      <c r="B846" s="538"/>
      <c r="D846" s="538"/>
      <c r="F846" s="538"/>
      <c r="P846" s="536"/>
      <c r="Q846" s="536"/>
      <c r="R846" s="536"/>
      <c r="S846" s="536"/>
      <c r="T846" s="536"/>
      <c r="U846" s="536"/>
      <c r="V846" s="536"/>
      <c r="W846" s="536"/>
      <c r="X846" s="536"/>
      <c r="Y846" s="536"/>
      <c r="Z846" s="536"/>
      <c r="AA846" s="536"/>
      <c r="AB846" s="536"/>
      <c r="AC846" s="536"/>
      <c r="AD846" s="536"/>
      <c r="AE846" s="536"/>
      <c r="AF846" s="536"/>
      <c r="AG846" s="536"/>
      <c r="AH846" s="536"/>
      <c r="AI846" s="536"/>
    </row>
  </sheetData>
  <mergeCells count="795">
    <mergeCell ref="D4:N4"/>
    <mergeCell ref="A7:N7"/>
    <mergeCell ref="A8:N8"/>
    <mergeCell ref="A10:N10"/>
    <mergeCell ref="A11:N11"/>
    <mergeCell ref="A12:N12"/>
    <mergeCell ref="A14:N14"/>
    <mergeCell ref="A15:N15"/>
    <mergeCell ref="B17:F17"/>
    <mergeCell ref="B18:F18"/>
    <mergeCell ref="L27:M27"/>
    <mergeCell ref="A29:A31"/>
    <mergeCell ref="B29:B31"/>
    <mergeCell ref="C29:E31"/>
    <mergeCell ref="F29:F31"/>
    <mergeCell ref="G29:I30"/>
    <mergeCell ref="C35:E35"/>
    <mergeCell ref="C36:N36"/>
    <mergeCell ref="C37:N37"/>
    <mergeCell ref="C38:E38"/>
    <mergeCell ref="C39:E39"/>
    <mergeCell ref="C40:E40"/>
    <mergeCell ref="J29:L30"/>
    <mergeCell ref="M29:M31"/>
    <mergeCell ref="N29:N31"/>
    <mergeCell ref="C32:E32"/>
    <mergeCell ref="A33:N33"/>
    <mergeCell ref="A34:N34"/>
    <mergeCell ref="C47:N47"/>
    <mergeCell ref="C48:N48"/>
    <mergeCell ref="C49:N49"/>
    <mergeCell ref="C50:E50"/>
    <mergeCell ref="C51:E51"/>
    <mergeCell ref="C52:E52"/>
    <mergeCell ref="C41:E41"/>
    <mergeCell ref="C42:E42"/>
    <mergeCell ref="C43:E43"/>
    <mergeCell ref="C44:E44"/>
    <mergeCell ref="C45:E45"/>
    <mergeCell ref="C46:E46"/>
    <mergeCell ref="C59:N59"/>
    <mergeCell ref="C60:E60"/>
    <mergeCell ref="C61:E61"/>
    <mergeCell ref="C62:E62"/>
    <mergeCell ref="C63:E63"/>
    <mergeCell ref="C64:E64"/>
    <mergeCell ref="C53:E53"/>
    <mergeCell ref="C54:E54"/>
    <mergeCell ref="C55:E55"/>
    <mergeCell ref="C56:E56"/>
    <mergeCell ref="C57:E57"/>
    <mergeCell ref="C58:N58"/>
    <mergeCell ref="C71:E71"/>
    <mergeCell ref="C72:N72"/>
    <mergeCell ref="C73:N73"/>
    <mergeCell ref="C74:E74"/>
    <mergeCell ref="C75:E75"/>
    <mergeCell ref="C76:E76"/>
    <mergeCell ref="C65:E65"/>
    <mergeCell ref="C66:E66"/>
    <mergeCell ref="C67:E67"/>
    <mergeCell ref="C68:E68"/>
    <mergeCell ref="C69:E69"/>
    <mergeCell ref="C70:E70"/>
    <mergeCell ref="C84:N84"/>
    <mergeCell ref="C85:E85"/>
    <mergeCell ref="C86:N86"/>
    <mergeCell ref="C87:N87"/>
    <mergeCell ref="C88:E88"/>
    <mergeCell ref="C89:E89"/>
    <mergeCell ref="C77:E77"/>
    <mergeCell ref="C78:E78"/>
    <mergeCell ref="C79:E79"/>
    <mergeCell ref="C80:E80"/>
    <mergeCell ref="C81:E81"/>
    <mergeCell ref="C82:E82"/>
    <mergeCell ref="C96:E96"/>
    <mergeCell ref="C97:E97"/>
    <mergeCell ref="A98:N98"/>
    <mergeCell ref="C99:E99"/>
    <mergeCell ref="C100:N100"/>
    <mergeCell ref="C101:N101"/>
    <mergeCell ref="C90:E90"/>
    <mergeCell ref="C91:E91"/>
    <mergeCell ref="C92:E92"/>
    <mergeCell ref="C93:E93"/>
    <mergeCell ref="C94:E94"/>
    <mergeCell ref="C95:E95"/>
    <mergeCell ref="C108:E108"/>
    <mergeCell ref="C109:E109"/>
    <mergeCell ref="C110:E110"/>
    <mergeCell ref="C111:N111"/>
    <mergeCell ref="C112:N112"/>
    <mergeCell ref="C113:N113"/>
    <mergeCell ref="C102:E102"/>
    <mergeCell ref="C103:E103"/>
    <mergeCell ref="C104:E104"/>
    <mergeCell ref="C105:E105"/>
    <mergeCell ref="C106:E106"/>
    <mergeCell ref="C107:E107"/>
    <mergeCell ref="C120:E120"/>
    <mergeCell ref="C121:E121"/>
    <mergeCell ref="C122:N122"/>
    <mergeCell ref="C123:N123"/>
    <mergeCell ref="C124:E124"/>
    <mergeCell ref="C125:E125"/>
    <mergeCell ref="C114:E114"/>
    <mergeCell ref="C115:E115"/>
    <mergeCell ref="C116:E116"/>
    <mergeCell ref="C117:E117"/>
    <mergeCell ref="C118:E118"/>
    <mergeCell ref="C119:E119"/>
    <mergeCell ref="C132:E132"/>
    <mergeCell ref="C133:E133"/>
    <mergeCell ref="C134:E134"/>
    <mergeCell ref="C135:E135"/>
    <mergeCell ref="C136:N136"/>
    <mergeCell ref="C137:N137"/>
    <mergeCell ref="C126:E126"/>
    <mergeCell ref="C127:E127"/>
    <mergeCell ref="C128:E128"/>
    <mergeCell ref="C129:E129"/>
    <mergeCell ref="C130:E130"/>
    <mergeCell ref="C131:E131"/>
    <mergeCell ref="C144:E144"/>
    <mergeCell ref="C145:E145"/>
    <mergeCell ref="C146:E146"/>
    <mergeCell ref="C148:N148"/>
    <mergeCell ref="C149:E149"/>
    <mergeCell ref="C150:N150"/>
    <mergeCell ref="C138:E138"/>
    <mergeCell ref="C139:E139"/>
    <mergeCell ref="C140:E140"/>
    <mergeCell ref="C141:E141"/>
    <mergeCell ref="C142:E142"/>
    <mergeCell ref="C143:E143"/>
    <mergeCell ref="C157:E157"/>
    <mergeCell ref="C158:E158"/>
    <mergeCell ref="C159:E159"/>
    <mergeCell ref="C160:E160"/>
    <mergeCell ref="C161:E161"/>
    <mergeCell ref="C163:K163"/>
    <mergeCell ref="C151:N151"/>
    <mergeCell ref="C152:E152"/>
    <mergeCell ref="C153:E153"/>
    <mergeCell ref="C154:E154"/>
    <mergeCell ref="C155:E155"/>
    <mergeCell ref="C156:E156"/>
    <mergeCell ref="C170:K170"/>
    <mergeCell ref="C171:K171"/>
    <mergeCell ref="C172:K172"/>
    <mergeCell ref="C173:K173"/>
    <mergeCell ref="C174:K174"/>
    <mergeCell ref="C175:K175"/>
    <mergeCell ref="C164:K164"/>
    <mergeCell ref="C165:K165"/>
    <mergeCell ref="C166:K166"/>
    <mergeCell ref="C167:K167"/>
    <mergeCell ref="C168:K168"/>
    <mergeCell ref="C169:K169"/>
    <mergeCell ref="A182:N182"/>
    <mergeCell ref="A183:N183"/>
    <mergeCell ref="C184:E184"/>
    <mergeCell ref="C185:N185"/>
    <mergeCell ref="C186:N186"/>
    <mergeCell ref="C187:N187"/>
    <mergeCell ref="C176:K176"/>
    <mergeCell ref="C177:K177"/>
    <mergeCell ref="C178:K178"/>
    <mergeCell ref="C179:K179"/>
    <mergeCell ref="C180:K180"/>
    <mergeCell ref="C181:K181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206:E206"/>
    <mergeCell ref="C207:E207"/>
    <mergeCell ref="C208:E208"/>
    <mergeCell ref="C209:E209"/>
    <mergeCell ref="C210:E210"/>
    <mergeCell ref="C211:E211"/>
    <mergeCell ref="A200:N200"/>
    <mergeCell ref="C201:E201"/>
    <mergeCell ref="C202:N202"/>
    <mergeCell ref="C203:N203"/>
    <mergeCell ref="C204:N204"/>
    <mergeCell ref="C205:E205"/>
    <mergeCell ref="C219:K219"/>
    <mergeCell ref="C220:K220"/>
    <mergeCell ref="C221:K221"/>
    <mergeCell ref="C222:K222"/>
    <mergeCell ref="C223:K223"/>
    <mergeCell ref="C224:K224"/>
    <mergeCell ref="C212:E212"/>
    <mergeCell ref="C213:E213"/>
    <mergeCell ref="C214:E214"/>
    <mergeCell ref="C215:E215"/>
    <mergeCell ref="C216:E216"/>
    <mergeCell ref="C218:K218"/>
    <mergeCell ref="C231:K231"/>
    <mergeCell ref="C232:K232"/>
    <mergeCell ref="C233:K233"/>
    <mergeCell ref="C234:K234"/>
    <mergeCell ref="A235:N235"/>
    <mergeCell ref="A236:N236"/>
    <mergeCell ref="C225:K225"/>
    <mergeCell ref="C226:K226"/>
    <mergeCell ref="C227:K227"/>
    <mergeCell ref="C228:K228"/>
    <mergeCell ref="C229:K229"/>
    <mergeCell ref="C230:K230"/>
    <mergeCell ref="C243:E243"/>
    <mergeCell ref="C244:E244"/>
    <mergeCell ref="C245:E245"/>
    <mergeCell ref="C246:E246"/>
    <mergeCell ref="C247:E247"/>
    <mergeCell ref="C248:E248"/>
    <mergeCell ref="A237:N237"/>
    <mergeCell ref="C238:E238"/>
    <mergeCell ref="C239:N239"/>
    <mergeCell ref="C240:N240"/>
    <mergeCell ref="C241:E241"/>
    <mergeCell ref="C242:E242"/>
    <mergeCell ref="C256:N256"/>
    <mergeCell ref="C257:N257"/>
    <mergeCell ref="C258:E258"/>
    <mergeCell ref="C259:E259"/>
    <mergeCell ref="C260:E260"/>
    <mergeCell ref="C261:E261"/>
    <mergeCell ref="C249:E249"/>
    <mergeCell ref="C250:E250"/>
    <mergeCell ref="C251:E251"/>
    <mergeCell ref="C252:E252"/>
    <mergeCell ref="C253:E253"/>
    <mergeCell ref="C255:E255"/>
    <mergeCell ref="C268:E268"/>
    <mergeCell ref="C269:E269"/>
    <mergeCell ref="C270:N270"/>
    <mergeCell ref="C271:N271"/>
    <mergeCell ref="C272:E272"/>
    <mergeCell ref="C273:E273"/>
    <mergeCell ref="C262:E262"/>
    <mergeCell ref="C263:E263"/>
    <mergeCell ref="C264:E264"/>
    <mergeCell ref="C265:E265"/>
    <mergeCell ref="C266:E266"/>
    <mergeCell ref="C267:E267"/>
    <mergeCell ref="C280:E280"/>
    <mergeCell ref="C281:E281"/>
    <mergeCell ref="C282:E282"/>
    <mergeCell ref="C283:E283"/>
    <mergeCell ref="C284:E284"/>
    <mergeCell ref="C286:E286"/>
    <mergeCell ref="C274:E274"/>
    <mergeCell ref="C275:E275"/>
    <mergeCell ref="C276:E276"/>
    <mergeCell ref="C277:E277"/>
    <mergeCell ref="C278:E278"/>
    <mergeCell ref="C279:E279"/>
    <mergeCell ref="C293:E293"/>
    <mergeCell ref="C294:E294"/>
    <mergeCell ref="C295:E295"/>
    <mergeCell ref="C296:E296"/>
    <mergeCell ref="C297:E297"/>
    <mergeCell ref="C298:E298"/>
    <mergeCell ref="C287:N287"/>
    <mergeCell ref="C288:N288"/>
    <mergeCell ref="C289:E289"/>
    <mergeCell ref="C290:E290"/>
    <mergeCell ref="C291:E291"/>
    <mergeCell ref="C292:E292"/>
    <mergeCell ref="C306:E306"/>
    <mergeCell ref="C307:E307"/>
    <mergeCell ref="C308:E308"/>
    <mergeCell ref="C309:E309"/>
    <mergeCell ref="C310:E310"/>
    <mergeCell ref="C311:E311"/>
    <mergeCell ref="C299:E299"/>
    <mergeCell ref="C300:E300"/>
    <mergeCell ref="C301:E301"/>
    <mergeCell ref="C303:E303"/>
    <mergeCell ref="C304:N304"/>
    <mergeCell ref="C305:N305"/>
    <mergeCell ref="C318:E318"/>
    <mergeCell ref="A320:N320"/>
    <mergeCell ref="C321:E321"/>
    <mergeCell ref="C322:N322"/>
    <mergeCell ref="C323:E323"/>
    <mergeCell ref="C324:E324"/>
    <mergeCell ref="C312:E312"/>
    <mergeCell ref="C313:E313"/>
    <mergeCell ref="C314:E314"/>
    <mergeCell ref="C315:E315"/>
    <mergeCell ref="C316:E316"/>
    <mergeCell ref="C317:E317"/>
    <mergeCell ref="C331:E331"/>
    <mergeCell ref="C332:E332"/>
    <mergeCell ref="C333:E333"/>
    <mergeCell ref="C334:E334"/>
    <mergeCell ref="C336:E336"/>
    <mergeCell ref="C338:N338"/>
    <mergeCell ref="C325:E325"/>
    <mergeCell ref="C326:E326"/>
    <mergeCell ref="C327:E327"/>
    <mergeCell ref="C328:E328"/>
    <mergeCell ref="C329:E329"/>
    <mergeCell ref="C330:E330"/>
    <mergeCell ref="C345:E345"/>
    <mergeCell ref="C346:E346"/>
    <mergeCell ref="C347:E347"/>
    <mergeCell ref="C348:E348"/>
    <mergeCell ref="C349:E349"/>
    <mergeCell ref="C350:E350"/>
    <mergeCell ref="C339:E339"/>
    <mergeCell ref="C340:N340"/>
    <mergeCell ref="C341:N341"/>
    <mergeCell ref="C342:E342"/>
    <mergeCell ref="C343:E343"/>
    <mergeCell ref="C344:E344"/>
    <mergeCell ref="C359:E359"/>
    <mergeCell ref="C360:N360"/>
    <mergeCell ref="C361:E361"/>
    <mergeCell ref="C362:E362"/>
    <mergeCell ref="C363:E363"/>
    <mergeCell ref="C364:E364"/>
    <mergeCell ref="C351:E351"/>
    <mergeCell ref="C352:E352"/>
    <mergeCell ref="C353:E353"/>
    <mergeCell ref="C354:E354"/>
    <mergeCell ref="C355:E355"/>
    <mergeCell ref="C357:E357"/>
    <mergeCell ref="C371:E371"/>
    <mergeCell ref="C372:E372"/>
    <mergeCell ref="C373:E373"/>
    <mergeCell ref="C374:N374"/>
    <mergeCell ref="C375:N375"/>
    <mergeCell ref="C376:E376"/>
    <mergeCell ref="C365:E365"/>
    <mergeCell ref="C366:E366"/>
    <mergeCell ref="C367:E367"/>
    <mergeCell ref="C368:E368"/>
    <mergeCell ref="C369:E369"/>
    <mergeCell ref="C370:E370"/>
    <mergeCell ref="C383:E383"/>
    <mergeCell ref="C384:E384"/>
    <mergeCell ref="C385:E385"/>
    <mergeCell ref="C386:E386"/>
    <mergeCell ref="C387:N387"/>
    <mergeCell ref="C388:E388"/>
    <mergeCell ref="C377:E377"/>
    <mergeCell ref="C378:E378"/>
    <mergeCell ref="C379:E379"/>
    <mergeCell ref="C380:E380"/>
    <mergeCell ref="C381:E381"/>
    <mergeCell ref="C382:E382"/>
    <mergeCell ref="C395:E395"/>
    <mergeCell ref="C396:E396"/>
    <mergeCell ref="C397:E397"/>
    <mergeCell ref="C398:E398"/>
    <mergeCell ref="C399:N399"/>
    <mergeCell ref="C400:E400"/>
    <mergeCell ref="C389:E389"/>
    <mergeCell ref="C390:E390"/>
    <mergeCell ref="C391:E391"/>
    <mergeCell ref="C392:E392"/>
    <mergeCell ref="C393:E393"/>
    <mergeCell ref="C394:E394"/>
    <mergeCell ref="C407:E407"/>
    <mergeCell ref="C408:E408"/>
    <mergeCell ref="C409:N409"/>
    <mergeCell ref="C410:E410"/>
    <mergeCell ref="C411:E411"/>
    <mergeCell ref="C412:E412"/>
    <mergeCell ref="C401:E401"/>
    <mergeCell ref="C402:E402"/>
    <mergeCell ref="C403:E403"/>
    <mergeCell ref="C404:E404"/>
    <mergeCell ref="C405:E405"/>
    <mergeCell ref="C406:E406"/>
    <mergeCell ref="A419:N419"/>
    <mergeCell ref="C420:E420"/>
    <mergeCell ref="C421:N421"/>
    <mergeCell ref="C422:E422"/>
    <mergeCell ref="C423:E423"/>
    <mergeCell ref="C424:E424"/>
    <mergeCell ref="C413:E413"/>
    <mergeCell ref="C414:E414"/>
    <mergeCell ref="C415:E415"/>
    <mergeCell ref="C416:E416"/>
    <mergeCell ref="C417:E417"/>
    <mergeCell ref="C418:E418"/>
    <mergeCell ref="C431:E431"/>
    <mergeCell ref="C432:E432"/>
    <mergeCell ref="C433:E433"/>
    <mergeCell ref="C435:E435"/>
    <mergeCell ref="C437:E437"/>
    <mergeCell ref="C438:N438"/>
    <mergeCell ref="C425:E425"/>
    <mergeCell ref="C426:E426"/>
    <mergeCell ref="C427:E427"/>
    <mergeCell ref="C428:E428"/>
    <mergeCell ref="C429:E429"/>
    <mergeCell ref="C430:E430"/>
    <mergeCell ref="C445:E445"/>
    <mergeCell ref="C446:E446"/>
    <mergeCell ref="C447:E447"/>
    <mergeCell ref="C448:E448"/>
    <mergeCell ref="C449:E449"/>
    <mergeCell ref="C451:E451"/>
    <mergeCell ref="C439:E439"/>
    <mergeCell ref="C440:E440"/>
    <mergeCell ref="C441:E441"/>
    <mergeCell ref="C442:E442"/>
    <mergeCell ref="C443:E443"/>
    <mergeCell ref="C444:E444"/>
    <mergeCell ref="C458:E458"/>
    <mergeCell ref="C459:E459"/>
    <mergeCell ref="C460:E460"/>
    <mergeCell ref="C461:E461"/>
    <mergeCell ref="C462:E462"/>
    <mergeCell ref="C463:E463"/>
    <mergeCell ref="C452:N452"/>
    <mergeCell ref="C453:E453"/>
    <mergeCell ref="C454:E454"/>
    <mergeCell ref="C455:E455"/>
    <mergeCell ref="C456:E456"/>
    <mergeCell ref="C457:E457"/>
    <mergeCell ref="C472:E472"/>
    <mergeCell ref="C473:E473"/>
    <mergeCell ref="C474:E474"/>
    <mergeCell ref="C475:E475"/>
    <mergeCell ref="C476:E476"/>
    <mergeCell ref="C477:E477"/>
    <mergeCell ref="C464:E464"/>
    <mergeCell ref="C465:E465"/>
    <mergeCell ref="C466:E466"/>
    <mergeCell ref="C467:E467"/>
    <mergeCell ref="C469:N469"/>
    <mergeCell ref="C470:E470"/>
    <mergeCell ref="C484:E484"/>
    <mergeCell ref="C485:E485"/>
    <mergeCell ref="C486:N486"/>
    <mergeCell ref="C487:N487"/>
    <mergeCell ref="C488:E488"/>
    <mergeCell ref="C489:E489"/>
    <mergeCell ref="C478:E478"/>
    <mergeCell ref="C479:E479"/>
    <mergeCell ref="C480:E480"/>
    <mergeCell ref="C481:E481"/>
    <mergeCell ref="C482:E482"/>
    <mergeCell ref="C483:E483"/>
    <mergeCell ref="C496:E496"/>
    <mergeCell ref="C497:E497"/>
    <mergeCell ref="C498:E498"/>
    <mergeCell ref="C499:E499"/>
    <mergeCell ref="C500:E500"/>
    <mergeCell ref="C502:E502"/>
    <mergeCell ref="C490:E490"/>
    <mergeCell ref="C491:E491"/>
    <mergeCell ref="C492:E492"/>
    <mergeCell ref="C493:E493"/>
    <mergeCell ref="C494:E494"/>
    <mergeCell ref="C495:E495"/>
    <mergeCell ref="C510:E510"/>
    <mergeCell ref="C511:E511"/>
    <mergeCell ref="C512:E512"/>
    <mergeCell ref="C513:E513"/>
    <mergeCell ref="C514:E514"/>
    <mergeCell ref="C515:E515"/>
    <mergeCell ref="A504:N504"/>
    <mergeCell ref="A505:N505"/>
    <mergeCell ref="C506:E506"/>
    <mergeCell ref="C507:N507"/>
    <mergeCell ref="C508:N508"/>
    <mergeCell ref="C509:E509"/>
    <mergeCell ref="C523:E523"/>
    <mergeCell ref="C524:N524"/>
    <mergeCell ref="C525:N525"/>
    <mergeCell ref="C526:E526"/>
    <mergeCell ref="C527:E527"/>
    <mergeCell ref="C528:E528"/>
    <mergeCell ref="C516:E516"/>
    <mergeCell ref="C517:E517"/>
    <mergeCell ref="C518:E518"/>
    <mergeCell ref="C519:E519"/>
    <mergeCell ref="C520:E520"/>
    <mergeCell ref="C521:E521"/>
    <mergeCell ref="C535:E535"/>
    <mergeCell ref="C536:E536"/>
    <mergeCell ref="C537:E537"/>
    <mergeCell ref="C538:E538"/>
    <mergeCell ref="C539:N539"/>
    <mergeCell ref="C540:N540"/>
    <mergeCell ref="C529:E529"/>
    <mergeCell ref="C530:E530"/>
    <mergeCell ref="C531:E531"/>
    <mergeCell ref="C532:E532"/>
    <mergeCell ref="C533:E533"/>
    <mergeCell ref="C534:E534"/>
    <mergeCell ref="C547:E547"/>
    <mergeCell ref="C548:E548"/>
    <mergeCell ref="C549:E549"/>
    <mergeCell ref="C550:E550"/>
    <mergeCell ref="C551:E551"/>
    <mergeCell ref="C552:E552"/>
    <mergeCell ref="C541:E541"/>
    <mergeCell ref="C542:E542"/>
    <mergeCell ref="C543:E543"/>
    <mergeCell ref="C544:E544"/>
    <mergeCell ref="C545:E545"/>
    <mergeCell ref="C546:E546"/>
    <mergeCell ref="C559:E559"/>
    <mergeCell ref="C560:E560"/>
    <mergeCell ref="C561:E561"/>
    <mergeCell ref="C562:E562"/>
    <mergeCell ref="C563:E563"/>
    <mergeCell ref="C564:E564"/>
    <mergeCell ref="C553:N553"/>
    <mergeCell ref="C554:N554"/>
    <mergeCell ref="C555:E555"/>
    <mergeCell ref="C556:E556"/>
    <mergeCell ref="C557:E557"/>
    <mergeCell ref="C558:E558"/>
    <mergeCell ref="C572:E572"/>
    <mergeCell ref="C573:E573"/>
    <mergeCell ref="C574:E574"/>
    <mergeCell ref="C575:E575"/>
    <mergeCell ref="C576:E576"/>
    <mergeCell ref="C577:E577"/>
    <mergeCell ref="C565:E565"/>
    <mergeCell ref="C566:E566"/>
    <mergeCell ref="C567:E567"/>
    <mergeCell ref="C569:E569"/>
    <mergeCell ref="C570:N570"/>
    <mergeCell ref="C571:N571"/>
    <mergeCell ref="C584:E584"/>
    <mergeCell ref="C586:E586"/>
    <mergeCell ref="C587:N587"/>
    <mergeCell ref="C588:N588"/>
    <mergeCell ref="C589:E589"/>
    <mergeCell ref="C590:E590"/>
    <mergeCell ref="C578:E578"/>
    <mergeCell ref="C579:E579"/>
    <mergeCell ref="C580:E580"/>
    <mergeCell ref="C581:E581"/>
    <mergeCell ref="C582:E582"/>
    <mergeCell ref="C583:E583"/>
    <mergeCell ref="C597:E597"/>
    <mergeCell ref="C598:E598"/>
    <mergeCell ref="C599:E599"/>
    <mergeCell ref="C600:E600"/>
    <mergeCell ref="C601:E601"/>
    <mergeCell ref="C603:N603"/>
    <mergeCell ref="C591:E591"/>
    <mergeCell ref="C592:E592"/>
    <mergeCell ref="C593:E593"/>
    <mergeCell ref="C594:E594"/>
    <mergeCell ref="C595:E595"/>
    <mergeCell ref="C596:E596"/>
    <mergeCell ref="C610:E610"/>
    <mergeCell ref="C611:E611"/>
    <mergeCell ref="C612:E612"/>
    <mergeCell ref="C613:E613"/>
    <mergeCell ref="C614:E614"/>
    <mergeCell ref="C615:E615"/>
    <mergeCell ref="A604:N604"/>
    <mergeCell ref="C605:E605"/>
    <mergeCell ref="C606:N606"/>
    <mergeCell ref="C607:E607"/>
    <mergeCell ref="C608:E608"/>
    <mergeCell ref="C609:E609"/>
    <mergeCell ref="C622:E622"/>
    <mergeCell ref="C623:E623"/>
    <mergeCell ref="C624:E624"/>
    <mergeCell ref="C625:E625"/>
    <mergeCell ref="C626:E626"/>
    <mergeCell ref="C627:E627"/>
    <mergeCell ref="C616:E616"/>
    <mergeCell ref="C617:E617"/>
    <mergeCell ref="C618:E618"/>
    <mergeCell ref="C619:N619"/>
    <mergeCell ref="C620:N620"/>
    <mergeCell ref="C621:E621"/>
    <mergeCell ref="C634:E634"/>
    <mergeCell ref="C636:E636"/>
    <mergeCell ref="C638:E638"/>
    <mergeCell ref="C639:N639"/>
    <mergeCell ref="C640:E640"/>
    <mergeCell ref="C641:E641"/>
    <mergeCell ref="C628:E628"/>
    <mergeCell ref="C629:E629"/>
    <mergeCell ref="C630:E630"/>
    <mergeCell ref="C631:E631"/>
    <mergeCell ref="C632:E632"/>
    <mergeCell ref="C633:E633"/>
    <mergeCell ref="C648:E648"/>
    <mergeCell ref="C649:E649"/>
    <mergeCell ref="C650:E650"/>
    <mergeCell ref="C651:E651"/>
    <mergeCell ref="C652:E652"/>
    <mergeCell ref="C653:N653"/>
    <mergeCell ref="C642:E642"/>
    <mergeCell ref="C643:E643"/>
    <mergeCell ref="C644:E644"/>
    <mergeCell ref="C645:E645"/>
    <mergeCell ref="C646:E646"/>
    <mergeCell ref="C647:E647"/>
    <mergeCell ref="C660:E660"/>
    <mergeCell ref="C661:E661"/>
    <mergeCell ref="C662:E662"/>
    <mergeCell ref="C663:E663"/>
    <mergeCell ref="C664:E664"/>
    <mergeCell ref="C665:E665"/>
    <mergeCell ref="C654:N654"/>
    <mergeCell ref="C655:E655"/>
    <mergeCell ref="C656:E656"/>
    <mergeCell ref="C657:E657"/>
    <mergeCell ref="C658:E658"/>
    <mergeCell ref="C659:E659"/>
    <mergeCell ref="C672:E672"/>
    <mergeCell ref="C673:E673"/>
    <mergeCell ref="C674:E674"/>
    <mergeCell ref="C675:E675"/>
    <mergeCell ref="C676:E676"/>
    <mergeCell ref="C677:E677"/>
    <mergeCell ref="C666:N666"/>
    <mergeCell ref="C667:E667"/>
    <mergeCell ref="C668:E668"/>
    <mergeCell ref="C669:E669"/>
    <mergeCell ref="C670:E670"/>
    <mergeCell ref="C671:E671"/>
    <mergeCell ref="C684:E684"/>
    <mergeCell ref="C685:E685"/>
    <mergeCell ref="C686:E686"/>
    <mergeCell ref="C687:E687"/>
    <mergeCell ref="C688:N688"/>
    <mergeCell ref="C689:E689"/>
    <mergeCell ref="C678:N678"/>
    <mergeCell ref="C679:E679"/>
    <mergeCell ref="C680:E680"/>
    <mergeCell ref="C681:E681"/>
    <mergeCell ref="C682:E682"/>
    <mergeCell ref="C683:E683"/>
    <mergeCell ref="C696:E696"/>
    <mergeCell ref="C697:E697"/>
    <mergeCell ref="A698:N698"/>
    <mergeCell ref="C699:E699"/>
    <mergeCell ref="C700:N700"/>
    <mergeCell ref="C701:E701"/>
    <mergeCell ref="C690:E690"/>
    <mergeCell ref="C691:E691"/>
    <mergeCell ref="C692:E692"/>
    <mergeCell ref="C693:E693"/>
    <mergeCell ref="C694:E694"/>
    <mergeCell ref="C695:E695"/>
    <mergeCell ref="C708:E708"/>
    <mergeCell ref="C709:E709"/>
    <mergeCell ref="C710:E710"/>
    <mergeCell ref="C711:E711"/>
    <mergeCell ref="C712:E712"/>
    <mergeCell ref="C714:E714"/>
    <mergeCell ref="C702:E702"/>
    <mergeCell ref="C703:E703"/>
    <mergeCell ref="C704:E704"/>
    <mergeCell ref="C705:E705"/>
    <mergeCell ref="C706:E706"/>
    <mergeCell ref="C707:E707"/>
    <mergeCell ref="C722:E722"/>
    <mergeCell ref="C723:E723"/>
    <mergeCell ref="C724:E724"/>
    <mergeCell ref="C725:E725"/>
    <mergeCell ref="C726:E726"/>
    <mergeCell ref="C727:E727"/>
    <mergeCell ref="C716:E716"/>
    <mergeCell ref="C717:N717"/>
    <mergeCell ref="C718:E718"/>
    <mergeCell ref="C719:E719"/>
    <mergeCell ref="C720:E720"/>
    <mergeCell ref="C721:E721"/>
    <mergeCell ref="C735:E735"/>
    <mergeCell ref="C736:E736"/>
    <mergeCell ref="C737:E737"/>
    <mergeCell ref="C738:E738"/>
    <mergeCell ref="C739:E739"/>
    <mergeCell ref="C740:E740"/>
    <mergeCell ref="C728:E728"/>
    <mergeCell ref="C730:E730"/>
    <mergeCell ref="C731:N731"/>
    <mergeCell ref="C732:E732"/>
    <mergeCell ref="C733:E733"/>
    <mergeCell ref="C734:E734"/>
    <mergeCell ref="C748:N748"/>
    <mergeCell ref="C749:E749"/>
    <mergeCell ref="C752:K752"/>
    <mergeCell ref="C753:K753"/>
    <mergeCell ref="C754:K754"/>
    <mergeCell ref="C755:K755"/>
    <mergeCell ref="C741:E741"/>
    <mergeCell ref="C742:E742"/>
    <mergeCell ref="C743:E743"/>
    <mergeCell ref="C744:E744"/>
    <mergeCell ref="C745:E745"/>
    <mergeCell ref="C746:E746"/>
    <mergeCell ref="C762:K762"/>
    <mergeCell ref="C763:K763"/>
    <mergeCell ref="C764:K764"/>
    <mergeCell ref="C765:K765"/>
    <mergeCell ref="C766:K766"/>
    <mergeCell ref="C767:K767"/>
    <mergeCell ref="C756:K756"/>
    <mergeCell ref="C757:K757"/>
    <mergeCell ref="C758:K758"/>
    <mergeCell ref="C759:K759"/>
    <mergeCell ref="C760:K760"/>
    <mergeCell ref="C761:K761"/>
    <mergeCell ref="C774:K774"/>
    <mergeCell ref="C775:K775"/>
    <mergeCell ref="C776:K776"/>
    <mergeCell ref="C777:K777"/>
    <mergeCell ref="C778:K778"/>
    <mergeCell ref="C779:K779"/>
    <mergeCell ref="C768:K768"/>
    <mergeCell ref="C769:K769"/>
    <mergeCell ref="C770:K770"/>
    <mergeCell ref="C771:K771"/>
    <mergeCell ref="C772:K772"/>
    <mergeCell ref="C773:K773"/>
    <mergeCell ref="C786:K786"/>
    <mergeCell ref="A787:N787"/>
    <mergeCell ref="C788:E788"/>
    <mergeCell ref="C790:N790"/>
    <mergeCell ref="C791:E791"/>
    <mergeCell ref="C793:N793"/>
    <mergeCell ref="C780:K780"/>
    <mergeCell ref="C781:K781"/>
    <mergeCell ref="C782:K782"/>
    <mergeCell ref="C783:K783"/>
    <mergeCell ref="C784:K784"/>
    <mergeCell ref="C785:K785"/>
    <mergeCell ref="C801:K801"/>
    <mergeCell ref="C802:K802"/>
    <mergeCell ref="C804:K804"/>
    <mergeCell ref="C805:K805"/>
    <mergeCell ref="C806:K806"/>
    <mergeCell ref="C807:K807"/>
    <mergeCell ref="C795:K795"/>
    <mergeCell ref="C796:K796"/>
    <mergeCell ref="C797:K797"/>
    <mergeCell ref="C798:K798"/>
    <mergeCell ref="C799:K799"/>
    <mergeCell ref="C800:K800"/>
    <mergeCell ref="C814:K814"/>
    <mergeCell ref="C815:K815"/>
    <mergeCell ref="C816:K816"/>
    <mergeCell ref="C817:K817"/>
    <mergeCell ref="C818:K818"/>
    <mergeCell ref="C819:K819"/>
    <mergeCell ref="C808:K808"/>
    <mergeCell ref="C809:K809"/>
    <mergeCell ref="C810:K810"/>
    <mergeCell ref="C811:K811"/>
    <mergeCell ref="C812:K812"/>
    <mergeCell ref="C813:K813"/>
    <mergeCell ref="C826:K826"/>
    <mergeCell ref="C827:K827"/>
    <mergeCell ref="C828:K828"/>
    <mergeCell ref="C829:K829"/>
    <mergeCell ref="C830:K830"/>
    <mergeCell ref="C831:K831"/>
    <mergeCell ref="C820:K820"/>
    <mergeCell ref="C821:K821"/>
    <mergeCell ref="C822:K822"/>
    <mergeCell ref="C823:K823"/>
    <mergeCell ref="C824:K824"/>
    <mergeCell ref="C825:K825"/>
    <mergeCell ref="C838:K838"/>
    <mergeCell ref="C841:L841"/>
    <mergeCell ref="C842:L842"/>
    <mergeCell ref="C843:L843"/>
    <mergeCell ref="C844:L844"/>
    <mergeCell ref="C832:K832"/>
    <mergeCell ref="C833:K833"/>
    <mergeCell ref="C834:K834"/>
    <mergeCell ref="C835:K835"/>
    <mergeCell ref="C836:K836"/>
    <mergeCell ref="C837:K837"/>
  </mergeCells>
  <printOptions horizontalCentered="1"/>
  <pageMargins left="0.39370077848434398" right="0.23622047901153601" top="0.35433071851730302" bottom="0.31496062874794001" header="0.118110239505768" footer="0.118110239505768"/>
  <pageSetup paperSize="9" orientation="landscape" r:id="rId1"/>
  <headerFooter>
    <oddHeader>&amp;LГРАНД-Смета, версия 2021.2</oddHeader>
    <oddFooter>&amp;R&amp;8Страница &amp;P</oddFooter>
  </headerFooter>
  <rowBreaks count="1" manualBreakCount="1">
    <brk id="28" max="84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Q30"/>
  <sheetViews>
    <sheetView topLeftCell="A9" zoomScaleNormal="100" workbookViewId="0">
      <selection activeCell="M21" sqref="M21:N21"/>
    </sheetView>
  </sheetViews>
  <sheetFormatPr defaultColWidth="9.140625" defaultRowHeight="15" x14ac:dyDescent="0.2"/>
  <cols>
    <col min="1" max="1" width="3.7109375" style="697" customWidth="1"/>
    <col min="2" max="2" width="14.42578125" style="696" customWidth="1"/>
    <col min="3" max="3" width="5.140625" style="696" customWidth="1"/>
    <col min="4" max="4" width="25.140625" style="696" customWidth="1"/>
    <col min="5" max="5" width="3.5703125" style="696" customWidth="1"/>
    <col min="6" max="6" width="6.140625" style="696" customWidth="1"/>
    <col min="7" max="7" width="12.140625" style="696" customWidth="1"/>
    <col min="8" max="8" width="15.140625" style="696" customWidth="1"/>
    <col min="9" max="11" width="6.85546875" style="696" customWidth="1"/>
    <col min="12" max="12" width="9" style="696" customWidth="1"/>
    <col min="13" max="13" width="11.28515625" style="696" customWidth="1"/>
    <col min="14" max="14" width="9.140625" style="696" customWidth="1"/>
    <col min="15" max="15" width="15" style="696" customWidth="1"/>
    <col min="16" max="16" width="18.28515625" style="696" customWidth="1"/>
    <col min="17" max="16384" width="9.140625" style="696"/>
  </cols>
  <sheetData>
    <row r="1" spans="1:17" s="697" customFormat="1" ht="28.15" customHeight="1" x14ac:dyDescent="0.2">
      <c r="A1" s="1930" t="s">
        <v>9172</v>
      </c>
      <c r="B1" s="1930"/>
      <c r="C1" s="1930"/>
      <c r="D1" s="1930"/>
      <c r="E1" s="1930"/>
      <c r="F1" s="1930"/>
      <c r="G1" s="1930"/>
      <c r="H1" s="1930"/>
      <c r="I1" s="1930"/>
      <c r="J1" s="1930"/>
      <c r="K1" s="1930"/>
      <c r="L1" s="1930"/>
      <c r="M1" s="1930"/>
      <c r="N1" s="1930"/>
      <c r="O1" s="715"/>
      <c r="P1" s="715"/>
      <c r="Q1" s="715"/>
    </row>
    <row r="2" spans="1:17" s="697" customFormat="1" ht="1.35" customHeight="1" x14ac:dyDescent="0.2">
      <c r="A2" s="742"/>
      <c r="B2" s="742"/>
      <c r="C2" s="742"/>
      <c r="D2" s="742"/>
      <c r="E2" s="742"/>
      <c r="F2" s="742"/>
      <c r="G2" s="742"/>
      <c r="H2" s="742"/>
      <c r="I2" s="742"/>
      <c r="J2" s="742"/>
      <c r="K2" s="742"/>
      <c r="L2" s="742"/>
      <c r="M2" s="742"/>
      <c r="N2" s="742"/>
      <c r="O2" s="715"/>
      <c r="P2" s="715"/>
      <c r="Q2" s="715"/>
    </row>
    <row r="3" spans="1:17" s="697" customFormat="1" ht="28.15" customHeight="1" x14ac:dyDescent="0.2">
      <c r="A3" s="1931" t="s">
        <v>7123</v>
      </c>
      <c r="B3" s="1932"/>
      <c r="C3" s="1932"/>
      <c r="D3" s="1932"/>
      <c r="E3" s="1932"/>
      <c r="F3" s="1932"/>
      <c r="G3" s="1932"/>
      <c r="H3" s="1932"/>
      <c r="I3" s="1932"/>
      <c r="J3" s="1932"/>
      <c r="K3" s="1932"/>
      <c r="L3" s="1932"/>
      <c r="M3" s="1932"/>
      <c r="N3" s="1932"/>
      <c r="O3" s="715"/>
      <c r="P3" s="715"/>
      <c r="Q3" s="715"/>
    </row>
    <row r="4" spans="1:17" s="697" customFormat="1" ht="19.7" customHeight="1" x14ac:dyDescent="0.2">
      <c r="A4" s="1933" t="s">
        <v>9171</v>
      </c>
      <c r="B4" s="1933"/>
      <c r="C4" s="1933"/>
      <c r="D4" s="1933"/>
      <c r="E4" s="1933"/>
      <c r="F4" s="1933"/>
      <c r="G4" s="1933"/>
      <c r="H4" s="1933"/>
      <c r="I4" s="1933"/>
      <c r="J4" s="1933"/>
      <c r="K4" s="1933"/>
      <c r="L4" s="1933"/>
      <c r="M4" s="1933"/>
      <c r="N4" s="1933"/>
      <c r="O4" s="715"/>
      <c r="P4" s="715"/>
      <c r="Q4" s="715"/>
    </row>
    <row r="5" spans="1:17" s="697" customFormat="1" ht="11.85" customHeight="1" x14ac:dyDescent="0.2">
      <c r="A5" s="1863" t="s">
        <v>9170</v>
      </c>
      <c r="B5" s="1863"/>
      <c r="C5" s="1863"/>
      <c r="D5" s="1863"/>
      <c r="E5" s="1863"/>
      <c r="F5" s="1863"/>
      <c r="G5" s="1863"/>
      <c r="H5" s="1863"/>
      <c r="I5" s="1863"/>
      <c r="J5" s="1863"/>
      <c r="K5" s="1863"/>
      <c r="L5" s="1863"/>
      <c r="M5" s="1863"/>
      <c r="N5" s="1863"/>
      <c r="O5" s="715"/>
      <c r="P5" s="715"/>
      <c r="Q5" s="715"/>
    </row>
    <row r="6" spans="1:17" s="737" customFormat="1" ht="15.75" customHeight="1" x14ac:dyDescent="0.2">
      <c r="A6" s="741">
        <v>1</v>
      </c>
      <c r="B6" s="1886">
        <v>2</v>
      </c>
      <c r="C6" s="1887"/>
      <c r="D6" s="1888"/>
      <c r="E6" s="1886">
        <v>3</v>
      </c>
      <c r="F6" s="1888"/>
      <c r="G6" s="740">
        <v>4</v>
      </c>
      <c r="H6" s="740">
        <v>5</v>
      </c>
      <c r="I6" s="1889">
        <v>6</v>
      </c>
      <c r="J6" s="1890"/>
      <c r="K6" s="1890"/>
      <c r="L6" s="1888"/>
      <c r="M6" s="1891">
        <v>7</v>
      </c>
      <c r="N6" s="1892"/>
      <c r="O6" s="739"/>
      <c r="P6" s="739"/>
      <c r="Q6" s="738"/>
    </row>
    <row r="7" spans="1:17" ht="34.5" customHeight="1" x14ac:dyDescent="0.2">
      <c r="A7" s="1864">
        <v>1</v>
      </c>
      <c r="B7" s="1934" t="s">
        <v>9169</v>
      </c>
      <c r="C7" s="1935"/>
      <c r="D7" s="1936"/>
      <c r="E7" s="1884" t="s">
        <v>9168</v>
      </c>
      <c r="F7" s="1885"/>
      <c r="G7" s="706">
        <v>1.121</v>
      </c>
      <c r="H7" s="706" t="s">
        <v>9167</v>
      </c>
      <c r="I7" s="720">
        <v>6283</v>
      </c>
      <c r="J7" s="719">
        <v>1.2</v>
      </c>
      <c r="K7" s="719"/>
      <c r="L7" s="736">
        <f>G7</f>
        <v>1.121</v>
      </c>
      <c r="M7" s="731" t="s">
        <v>9162</v>
      </c>
      <c r="N7" s="732">
        <f>G7*I7*J7</f>
        <v>8451.89</v>
      </c>
      <c r="O7" s="728"/>
      <c r="P7" s="728"/>
      <c r="Q7" s="699"/>
    </row>
    <row r="8" spans="1:17" ht="27" customHeight="1" x14ac:dyDescent="0.2">
      <c r="A8" s="1866"/>
      <c r="B8" s="1937"/>
      <c r="C8" s="1938"/>
      <c r="D8" s="1939"/>
      <c r="E8" s="735"/>
      <c r="F8" s="734"/>
      <c r="G8" s="726"/>
      <c r="H8" s="726"/>
      <c r="I8" s="720">
        <v>1708</v>
      </c>
      <c r="J8" s="720"/>
      <c r="K8" s="720"/>
      <c r="L8" s="733"/>
      <c r="M8" s="731" t="s">
        <v>9166</v>
      </c>
      <c r="N8" s="732">
        <f>G7*I8</f>
        <v>1914.67</v>
      </c>
      <c r="O8" s="728"/>
      <c r="P8" s="728"/>
      <c r="Q8" s="699"/>
    </row>
    <row r="9" spans="1:17" ht="16.5" customHeight="1" x14ac:dyDescent="0.2">
      <c r="A9" s="1864">
        <v>2</v>
      </c>
      <c r="B9" s="1875" t="s">
        <v>9165</v>
      </c>
      <c r="C9" s="1876"/>
      <c r="D9" s="1877"/>
      <c r="E9" s="1841" t="s">
        <v>9164</v>
      </c>
      <c r="F9" s="1842"/>
      <c r="G9" s="1847">
        <v>5</v>
      </c>
      <c r="H9" s="1850" t="s">
        <v>9163</v>
      </c>
      <c r="I9" s="1872"/>
      <c r="J9" s="1873"/>
      <c r="K9" s="1873"/>
      <c r="L9" s="1874"/>
      <c r="M9" s="1853"/>
      <c r="N9" s="1854"/>
      <c r="O9" s="728"/>
      <c r="P9" s="728"/>
      <c r="Q9" s="699"/>
    </row>
    <row r="10" spans="1:17" x14ac:dyDescent="0.2">
      <c r="A10" s="1865"/>
      <c r="B10" s="1878"/>
      <c r="C10" s="1879"/>
      <c r="D10" s="1880"/>
      <c r="E10" s="1843"/>
      <c r="F10" s="1844"/>
      <c r="G10" s="1848"/>
      <c r="H10" s="1851"/>
      <c r="I10" s="720">
        <v>1638</v>
      </c>
      <c r="J10" s="719">
        <v>1.2</v>
      </c>
      <c r="K10" s="718"/>
      <c r="L10" s="717">
        <f>G9</f>
        <v>5</v>
      </c>
      <c r="M10" s="731" t="s">
        <v>9162</v>
      </c>
      <c r="N10" s="730">
        <f>I10*J10*L10</f>
        <v>9828</v>
      </c>
      <c r="O10" s="728"/>
      <c r="P10" s="728"/>
      <c r="Q10" s="699"/>
    </row>
    <row r="11" spans="1:17" ht="21" customHeight="1" x14ac:dyDescent="0.2">
      <c r="A11" s="1866"/>
      <c r="B11" s="1881"/>
      <c r="C11" s="1882"/>
      <c r="D11" s="1883"/>
      <c r="E11" s="1845"/>
      <c r="F11" s="1846"/>
      <c r="G11" s="1849"/>
      <c r="H11" s="1852"/>
      <c r="I11" s="720">
        <v>355</v>
      </c>
      <c r="J11" s="718"/>
      <c r="K11" s="718"/>
      <c r="L11" s="717">
        <f>G9</f>
        <v>5</v>
      </c>
      <c r="M11" s="731" t="s">
        <v>9161</v>
      </c>
      <c r="N11" s="730">
        <f>I11*L11</f>
        <v>1775</v>
      </c>
      <c r="O11" s="728"/>
      <c r="P11" s="728"/>
      <c r="Q11" s="699"/>
    </row>
    <row r="12" spans="1:17" ht="42" customHeight="1" x14ac:dyDescent="0.2">
      <c r="A12" s="708">
        <v>3</v>
      </c>
      <c r="B12" s="1855" t="s">
        <v>9160</v>
      </c>
      <c r="C12" s="1856"/>
      <c r="D12" s="1857"/>
      <c r="E12" s="1884" t="s">
        <v>9159</v>
      </c>
      <c r="F12" s="1885"/>
      <c r="G12" s="729">
        <v>6</v>
      </c>
      <c r="H12" s="706" t="s">
        <v>9158</v>
      </c>
      <c r="I12" s="720">
        <v>213</v>
      </c>
      <c r="J12" s="718">
        <v>1.2</v>
      </c>
      <c r="K12" s="718"/>
      <c r="L12" s="717">
        <f>G12</f>
        <v>6</v>
      </c>
      <c r="M12" s="1893">
        <f>I12*G12*J12</f>
        <v>1533.6</v>
      </c>
      <c r="N12" s="1894"/>
      <c r="O12" s="728"/>
      <c r="P12" s="728"/>
      <c r="Q12" s="699"/>
    </row>
    <row r="13" spans="1:17" ht="50.25" customHeight="1" x14ac:dyDescent="0.2">
      <c r="A13" s="727">
        <v>4</v>
      </c>
      <c r="B13" s="1855" t="s">
        <v>9157</v>
      </c>
      <c r="C13" s="1856"/>
      <c r="D13" s="1857"/>
      <c r="E13" s="1922" t="s">
        <v>9154</v>
      </c>
      <c r="F13" s="1874"/>
      <c r="G13" s="726">
        <v>1</v>
      </c>
      <c r="H13" s="725" t="s">
        <v>9156</v>
      </c>
      <c r="I13" s="724">
        <v>1555</v>
      </c>
      <c r="J13" s="724">
        <v>1.2</v>
      </c>
      <c r="K13" s="711"/>
      <c r="L13" s="717">
        <f>G13</f>
        <v>1</v>
      </c>
      <c r="M13" s="1858">
        <f>G13*I13*J13</f>
        <v>1866</v>
      </c>
      <c r="N13" s="1859"/>
      <c r="O13" s="716"/>
      <c r="P13" s="715"/>
      <c r="Q13" s="699"/>
    </row>
    <row r="14" spans="1:17" ht="15.75" customHeight="1" x14ac:dyDescent="0.2">
      <c r="A14" s="1864">
        <v>5</v>
      </c>
      <c r="B14" s="1875" t="s">
        <v>9155</v>
      </c>
      <c r="C14" s="1876"/>
      <c r="D14" s="1877"/>
      <c r="E14" s="1841" t="s">
        <v>9154</v>
      </c>
      <c r="F14" s="1842"/>
      <c r="G14" s="1850">
        <v>1</v>
      </c>
      <c r="H14" s="1868" t="s">
        <v>9153</v>
      </c>
      <c r="I14" s="723"/>
      <c r="J14" s="722"/>
      <c r="K14" s="722"/>
      <c r="L14" s="721"/>
      <c r="M14" s="1853"/>
      <c r="N14" s="1854"/>
      <c r="O14" s="716"/>
      <c r="P14" s="715"/>
      <c r="Q14" s="699"/>
    </row>
    <row r="15" spans="1:17" ht="26.25" customHeight="1" x14ac:dyDescent="0.2">
      <c r="A15" s="1865"/>
      <c r="B15" s="1878"/>
      <c r="C15" s="1879"/>
      <c r="D15" s="1880"/>
      <c r="E15" s="1843"/>
      <c r="F15" s="1844"/>
      <c r="G15" s="1867"/>
      <c r="H15" s="1869"/>
      <c r="I15" s="720">
        <v>629</v>
      </c>
      <c r="J15" s="719">
        <v>1.2</v>
      </c>
      <c r="K15" s="718"/>
      <c r="L15" s="717">
        <f>G14</f>
        <v>1</v>
      </c>
      <c r="M15" s="1870">
        <f>G14*I15*J15</f>
        <v>754.8</v>
      </c>
      <c r="N15" s="1871"/>
      <c r="O15" s="716"/>
      <c r="P15" s="715"/>
      <c r="Q15" s="699"/>
    </row>
    <row r="16" spans="1:17" ht="15" customHeight="1" x14ac:dyDescent="0.2">
      <c r="A16" s="714"/>
      <c r="B16" s="1860" t="s">
        <v>9152</v>
      </c>
      <c r="C16" s="1861"/>
      <c r="D16" s="1861"/>
      <c r="E16" s="1861"/>
      <c r="F16" s="1861"/>
      <c r="G16" s="1861"/>
      <c r="H16" s="1861"/>
      <c r="I16" s="1861"/>
      <c r="J16" s="1861"/>
      <c r="K16" s="1861"/>
      <c r="L16" s="1862"/>
      <c r="M16" s="1920">
        <f>(N7+N10+M12+M13+M15)*0.85</f>
        <v>19069.150000000001</v>
      </c>
      <c r="N16" s="1921"/>
      <c r="O16" s="701"/>
      <c r="P16" s="700"/>
      <c r="Q16" s="699"/>
    </row>
    <row r="17" spans="1:17" ht="15" customHeight="1" x14ac:dyDescent="0.2">
      <c r="A17" s="708"/>
      <c r="B17" s="1926" t="s">
        <v>9151</v>
      </c>
      <c r="C17" s="1927"/>
      <c r="D17" s="1927"/>
      <c r="E17" s="1927"/>
      <c r="F17" s="1927"/>
      <c r="G17" s="1927"/>
      <c r="H17" s="1927"/>
      <c r="I17" s="1927"/>
      <c r="J17" s="1927"/>
      <c r="K17" s="1927"/>
      <c r="L17" s="1928"/>
      <c r="M17" s="1920">
        <f>N8+N11</f>
        <v>3689.67</v>
      </c>
      <c r="N17" s="1921"/>
      <c r="O17" s="701"/>
      <c r="P17" s="700"/>
      <c r="Q17" s="699"/>
    </row>
    <row r="18" spans="1:17" ht="25.5" customHeight="1" x14ac:dyDescent="0.2">
      <c r="A18" s="708">
        <v>6</v>
      </c>
      <c r="B18" s="1895" t="s">
        <v>9150</v>
      </c>
      <c r="C18" s="1896"/>
      <c r="D18" s="1897"/>
      <c r="E18" s="1884" t="s">
        <v>6134</v>
      </c>
      <c r="F18" s="1874"/>
      <c r="G18" s="707">
        <f>M16+M17</f>
        <v>22758.82</v>
      </c>
      <c r="H18" s="706" t="s">
        <v>9149</v>
      </c>
      <c r="I18" s="712">
        <v>3.4000000000000002E-2</v>
      </c>
      <c r="J18" s="711">
        <v>0.5</v>
      </c>
      <c r="K18" s="710"/>
      <c r="L18" s="713"/>
      <c r="M18" s="1925">
        <f>G18*I18*J18</f>
        <v>386.9</v>
      </c>
      <c r="N18" s="1901"/>
      <c r="O18" s="701"/>
      <c r="P18" s="700"/>
      <c r="Q18" s="699"/>
    </row>
    <row r="19" spans="1:17" ht="22.7" customHeight="1" x14ac:dyDescent="0.2">
      <c r="A19" s="708">
        <v>7</v>
      </c>
      <c r="B19" s="1895" t="s">
        <v>9148</v>
      </c>
      <c r="C19" s="1896"/>
      <c r="D19" s="1897"/>
      <c r="E19" s="1884" t="s">
        <v>9147</v>
      </c>
      <c r="F19" s="1874"/>
      <c r="G19" s="707">
        <f>M16+M17</f>
        <v>22758.82</v>
      </c>
      <c r="H19" s="706" t="s">
        <v>9146</v>
      </c>
      <c r="I19" s="712">
        <v>6.6000000000000003E-2</v>
      </c>
      <c r="J19" s="711">
        <v>0.5</v>
      </c>
      <c r="K19" s="710"/>
      <c r="L19" s="709"/>
      <c r="M19" s="1900">
        <f>G19*I19*J19</f>
        <v>751.04</v>
      </c>
      <c r="N19" s="1901"/>
      <c r="O19" s="701"/>
      <c r="P19" s="700"/>
      <c r="Q19" s="699"/>
    </row>
    <row r="20" spans="1:17" ht="24.75" customHeight="1" x14ac:dyDescent="0.2">
      <c r="A20" s="708">
        <v>8</v>
      </c>
      <c r="B20" s="1895" t="s">
        <v>9145</v>
      </c>
      <c r="C20" s="1896"/>
      <c r="D20" s="1897"/>
      <c r="E20" s="1884" t="s">
        <v>322</v>
      </c>
      <c r="F20" s="1874"/>
      <c r="G20" s="707">
        <f>M16</f>
        <v>19069.150000000001</v>
      </c>
      <c r="H20" s="706" t="s">
        <v>9144</v>
      </c>
      <c r="I20" s="1898">
        <v>0.13750000000000001</v>
      </c>
      <c r="J20" s="1899"/>
      <c r="K20" s="1899"/>
      <c r="L20" s="1874"/>
      <c r="M20" s="1900">
        <f>G20*I20</f>
        <v>2622.01</v>
      </c>
      <c r="N20" s="1901"/>
      <c r="O20" s="701"/>
      <c r="P20" s="700"/>
      <c r="Q20" s="699"/>
    </row>
    <row r="21" spans="1:17" ht="65.25" customHeight="1" x14ac:dyDescent="0.2">
      <c r="A21" s="708">
        <v>9</v>
      </c>
      <c r="B21" s="1895" t="s">
        <v>9143</v>
      </c>
      <c r="C21" s="1896"/>
      <c r="D21" s="1897"/>
      <c r="E21" s="1884" t="s">
        <v>322</v>
      </c>
      <c r="F21" s="1874"/>
      <c r="G21" s="707">
        <f>M16+M20</f>
        <v>21691.16</v>
      </c>
      <c r="H21" s="706" t="s">
        <v>9142</v>
      </c>
      <c r="I21" s="1898">
        <v>0.19600000000000001</v>
      </c>
      <c r="J21" s="1899"/>
      <c r="K21" s="1899"/>
      <c r="L21" s="1874"/>
      <c r="M21" s="1900">
        <f>G21*I21</f>
        <v>4251.47</v>
      </c>
      <c r="N21" s="1901"/>
      <c r="O21" s="701"/>
      <c r="P21" s="700"/>
      <c r="Q21" s="699"/>
    </row>
    <row r="22" spans="1:17" ht="25.5" customHeight="1" x14ac:dyDescent="0.2">
      <c r="A22" s="708">
        <v>10</v>
      </c>
      <c r="B22" s="1895" t="s">
        <v>9141</v>
      </c>
      <c r="C22" s="1896"/>
      <c r="D22" s="1897"/>
      <c r="E22" s="1884" t="s">
        <v>322</v>
      </c>
      <c r="F22" s="1874"/>
      <c r="G22" s="707">
        <f>M16+M20</f>
        <v>21691.16</v>
      </c>
      <c r="H22" s="706" t="s">
        <v>9140</v>
      </c>
      <c r="I22" s="1929">
        <v>0.06</v>
      </c>
      <c r="J22" s="1899"/>
      <c r="K22" s="1899"/>
      <c r="L22" s="1874"/>
      <c r="M22" s="1900">
        <f>G22*I22</f>
        <v>1301.47</v>
      </c>
      <c r="N22" s="1901"/>
      <c r="O22" s="701"/>
      <c r="P22" s="700"/>
      <c r="Q22" s="699"/>
    </row>
    <row r="23" spans="1:17" ht="18.399999999999999" customHeight="1" x14ac:dyDescent="0.2">
      <c r="A23" s="705"/>
      <c r="B23" s="1910" t="s">
        <v>5970</v>
      </c>
      <c r="C23" s="1923"/>
      <c r="D23" s="1923"/>
      <c r="E23" s="1923"/>
      <c r="F23" s="1923"/>
      <c r="G23" s="1923"/>
      <c r="H23" s="1923"/>
      <c r="I23" s="1923"/>
      <c r="J23" s="1923"/>
      <c r="K23" s="1923"/>
      <c r="L23" s="1924"/>
      <c r="M23" s="1907">
        <f>M16+M17+M18+M19+M20+M21+M22</f>
        <v>32071.71</v>
      </c>
      <c r="N23" s="1908"/>
      <c r="O23" s="701"/>
      <c r="P23" s="700"/>
      <c r="Q23" s="699"/>
    </row>
    <row r="24" spans="1:17" ht="64.900000000000006" customHeight="1" x14ac:dyDescent="0.2">
      <c r="A24" s="705">
        <v>11</v>
      </c>
      <c r="B24" s="1910" t="s">
        <v>9139</v>
      </c>
      <c r="C24" s="1911"/>
      <c r="D24" s="1912"/>
      <c r="E24" s="1917" t="s">
        <v>9138</v>
      </c>
      <c r="F24" s="1918"/>
      <c r="G24" s="1918"/>
      <c r="H24" s="1918"/>
      <c r="I24" s="1918"/>
      <c r="J24" s="1918"/>
      <c r="K24" s="1918"/>
      <c r="L24" s="704">
        <v>1.266</v>
      </c>
      <c r="M24" s="1913">
        <f>M23/1.266</f>
        <v>25333.1</v>
      </c>
      <c r="N24" s="1914"/>
      <c r="O24" s="701"/>
      <c r="P24" s="700"/>
      <c r="Q24" s="699"/>
    </row>
    <row r="25" spans="1:17" ht="53.25" customHeight="1" x14ac:dyDescent="0.2">
      <c r="A25" s="703">
        <v>12</v>
      </c>
      <c r="B25" s="1902" t="s">
        <v>589</v>
      </c>
      <c r="C25" s="1903"/>
      <c r="D25" s="1904"/>
      <c r="E25" s="1917" t="s">
        <v>5974</v>
      </c>
      <c r="F25" s="1918"/>
      <c r="G25" s="1918"/>
      <c r="H25" s="1918"/>
      <c r="I25" s="1918"/>
      <c r="J25" s="1918"/>
      <c r="K25" s="1918"/>
      <c r="L25" s="702" t="s">
        <v>9137</v>
      </c>
      <c r="M25" s="1905">
        <f>M23*L25</f>
        <v>149454.17000000001</v>
      </c>
      <c r="N25" s="1906"/>
      <c r="O25" s="701"/>
      <c r="P25" s="700"/>
      <c r="Q25" s="699"/>
    </row>
    <row r="26" spans="1:17" ht="22.7" customHeight="1" x14ac:dyDescent="0.2">
      <c r="A26" s="1915"/>
      <c r="B26" s="1915"/>
      <c r="C26" s="1915"/>
      <c r="D26" s="1915"/>
      <c r="E26" s="1915"/>
      <c r="F26" s="1915"/>
      <c r="G26" s="1915"/>
      <c r="H26" s="1915"/>
      <c r="I26" s="1915"/>
      <c r="J26" s="1915"/>
      <c r="K26" s="1915"/>
      <c r="L26" s="1915"/>
      <c r="M26" s="1915"/>
      <c r="N26" s="1915"/>
      <c r="O26" s="699"/>
      <c r="P26" s="699"/>
      <c r="Q26" s="699"/>
    </row>
    <row r="27" spans="1:17" ht="17.25" customHeight="1" x14ac:dyDescent="0.2">
      <c r="A27" s="1916"/>
      <c r="B27" s="1916"/>
      <c r="C27" s="1916"/>
      <c r="D27" s="1916"/>
      <c r="E27" s="1916"/>
      <c r="F27" s="1916"/>
      <c r="G27" s="1916"/>
      <c r="H27" s="1916"/>
      <c r="I27" s="1916"/>
      <c r="J27" s="1916"/>
      <c r="K27" s="1916"/>
      <c r="L27" s="1916"/>
      <c r="M27" s="1916"/>
      <c r="N27" s="1916"/>
      <c r="O27" s="699"/>
      <c r="P27" s="699"/>
      <c r="Q27" s="699"/>
    </row>
    <row r="28" spans="1:17" ht="14.25" customHeight="1" x14ac:dyDescent="0.2">
      <c r="A28" s="1919"/>
      <c r="B28" s="1919"/>
      <c r="C28" s="1919"/>
      <c r="D28" s="1919"/>
      <c r="E28" s="1919"/>
      <c r="F28" s="1919"/>
      <c r="G28" s="1919"/>
      <c r="H28" s="1919"/>
      <c r="I28" s="1919"/>
      <c r="J28" s="1919"/>
      <c r="K28" s="1919"/>
      <c r="L28" s="1919"/>
      <c r="M28" s="1919"/>
      <c r="N28" s="1919"/>
    </row>
    <row r="29" spans="1:17" ht="15" customHeight="1" x14ac:dyDescent="0.2">
      <c r="A29" s="1909"/>
      <c r="B29" s="1909"/>
      <c r="C29" s="1909"/>
      <c r="D29" s="1909"/>
      <c r="E29" s="1909"/>
      <c r="F29" s="1909"/>
      <c r="G29" s="1909"/>
      <c r="H29" s="1909"/>
      <c r="I29" s="1909"/>
      <c r="J29" s="1909"/>
      <c r="K29" s="1909"/>
      <c r="L29" s="1909"/>
      <c r="M29" s="1909"/>
      <c r="N29" s="1909"/>
    </row>
    <row r="30" spans="1:17" x14ac:dyDescent="0.2">
      <c r="A30" s="698"/>
      <c r="B30" s="698"/>
      <c r="C30" s="698"/>
      <c r="D30" s="698"/>
      <c r="E30" s="698"/>
      <c r="F30" s="698"/>
      <c r="G30" s="698"/>
      <c r="H30" s="698"/>
      <c r="I30" s="698"/>
      <c r="J30" s="698"/>
      <c r="K30" s="698"/>
      <c r="L30" s="698"/>
      <c r="M30" s="698"/>
      <c r="N30" s="698"/>
    </row>
  </sheetData>
  <mergeCells count="65">
    <mergeCell ref="A1:N1"/>
    <mergeCell ref="A3:N3"/>
    <mergeCell ref="A4:N4"/>
    <mergeCell ref="A7:A8"/>
    <mergeCell ref="E7:F7"/>
    <mergeCell ref="B7:D8"/>
    <mergeCell ref="M17:N17"/>
    <mergeCell ref="B18:D18"/>
    <mergeCell ref="E13:F13"/>
    <mergeCell ref="B23:L23"/>
    <mergeCell ref="M18:N18"/>
    <mergeCell ref="B17:L17"/>
    <mergeCell ref="B22:D22"/>
    <mergeCell ref="E22:F22"/>
    <mergeCell ref="I22:L22"/>
    <mergeCell ref="M22:N22"/>
    <mergeCell ref="B19:D19"/>
    <mergeCell ref="E19:F19"/>
    <mergeCell ref="E18:F18"/>
    <mergeCell ref="M16:N16"/>
    <mergeCell ref="B14:D15"/>
    <mergeCell ref="E14:F15"/>
    <mergeCell ref="M19:N19"/>
    <mergeCell ref="B20:D20"/>
    <mergeCell ref="E20:F20"/>
    <mergeCell ref="I20:L20"/>
    <mergeCell ref="M20:N20"/>
    <mergeCell ref="A29:N29"/>
    <mergeCell ref="B24:D24"/>
    <mergeCell ref="M24:N24"/>
    <mergeCell ref="A26:N26"/>
    <mergeCell ref="A27:N27"/>
    <mergeCell ref="E24:K24"/>
    <mergeCell ref="E25:K25"/>
    <mergeCell ref="A28:N28"/>
    <mergeCell ref="B21:D21"/>
    <mergeCell ref="E21:F21"/>
    <mergeCell ref="I21:L21"/>
    <mergeCell ref="M21:N21"/>
    <mergeCell ref="B25:D25"/>
    <mergeCell ref="M25:N25"/>
    <mergeCell ref="M23:N23"/>
    <mergeCell ref="B16:L16"/>
    <mergeCell ref="A5:N5"/>
    <mergeCell ref="A9:A11"/>
    <mergeCell ref="A14:A15"/>
    <mergeCell ref="G14:G15"/>
    <mergeCell ref="H14:H15"/>
    <mergeCell ref="M15:N15"/>
    <mergeCell ref="I9:L9"/>
    <mergeCell ref="M9:N9"/>
    <mergeCell ref="B9:D11"/>
    <mergeCell ref="E12:F12"/>
    <mergeCell ref="B6:D6"/>
    <mergeCell ref="E6:F6"/>
    <mergeCell ref="I6:L6"/>
    <mergeCell ref="M6:N6"/>
    <mergeCell ref="M12:N12"/>
    <mergeCell ref="E9:F11"/>
    <mergeCell ref="G9:G11"/>
    <mergeCell ref="H9:H11"/>
    <mergeCell ref="M14:N14"/>
    <mergeCell ref="B13:D13"/>
    <mergeCell ref="B12:D12"/>
    <mergeCell ref="M13:N13"/>
  </mergeCells>
  <pageMargins left="0.7" right="0.7" top="0.75" bottom="0.75" header="0.3" footer="0.3"/>
  <pageSetup paperSize="2058" orientation="portrait" horizontalDpi="4294967294" verticalDpi="4294967294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3">
    <pageSetUpPr fitToPage="1"/>
  </sheetPr>
  <dimension ref="B1:I41"/>
  <sheetViews>
    <sheetView showGridLines="0" topLeftCell="B14" zoomScale="115" zoomScaleNormal="115" workbookViewId="0">
      <selection activeCell="E15" sqref="E15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20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 t="s">
        <v>595</v>
      </c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770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596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143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16810.52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1173">
        <v>2.4300000000000002</v>
      </c>
      <c r="F15" s="508"/>
      <c r="G15" s="509"/>
      <c r="H15" s="9" t="s">
        <v>283</v>
      </c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1174">
        <f>I34/E15</f>
        <v>6917.91</v>
      </c>
      <c r="F17" s="508"/>
      <c r="G17" s="509"/>
      <c r="H17" s="9" t="s">
        <v>279</v>
      </c>
      <c r="I17" s="9"/>
    </row>
    <row r="18" spans="2:9" x14ac:dyDescent="0.2">
      <c r="B18" s="6"/>
      <c r="C18" s="24" t="s">
        <v>286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ht="25.5" x14ac:dyDescent="0.2">
      <c r="B26" s="511">
        <v>1</v>
      </c>
      <c r="C26" s="512" t="s">
        <v>597</v>
      </c>
      <c r="D26" s="513" t="s">
        <v>598</v>
      </c>
      <c r="E26" s="514">
        <v>25.94</v>
      </c>
      <c r="F26" s="514">
        <v>19.350000000000001</v>
      </c>
      <c r="G26" s="514">
        <v>2323.84</v>
      </c>
      <c r="H26" s="514"/>
      <c r="I26" s="514">
        <v>2369.13</v>
      </c>
    </row>
    <row r="27" spans="2:9" x14ac:dyDescent="0.2">
      <c r="B27" s="511">
        <v>2</v>
      </c>
      <c r="C27" s="512" t="s">
        <v>599</v>
      </c>
      <c r="D27" s="513" t="s">
        <v>600</v>
      </c>
      <c r="E27" s="514">
        <v>0.76</v>
      </c>
      <c r="F27" s="514">
        <v>0.13</v>
      </c>
      <c r="G27" s="514">
        <v>109.52</v>
      </c>
      <c r="H27" s="514"/>
      <c r="I27" s="514">
        <v>110.41</v>
      </c>
    </row>
    <row r="28" spans="2:9" ht="25.5" x14ac:dyDescent="0.2">
      <c r="B28" s="511">
        <v>3</v>
      </c>
      <c r="C28" s="512" t="s">
        <v>601</v>
      </c>
      <c r="D28" s="513" t="s">
        <v>602</v>
      </c>
      <c r="E28" s="514">
        <v>8473.91</v>
      </c>
      <c r="F28" s="514"/>
      <c r="G28" s="514"/>
      <c r="H28" s="514"/>
      <c r="I28" s="514">
        <v>8473.91</v>
      </c>
    </row>
    <row r="29" spans="2:9" x14ac:dyDescent="0.2">
      <c r="B29" s="511">
        <v>4</v>
      </c>
      <c r="C29" s="512" t="s">
        <v>603</v>
      </c>
      <c r="D29" s="513" t="s">
        <v>604</v>
      </c>
      <c r="E29" s="514">
        <v>51.38</v>
      </c>
      <c r="F29" s="514"/>
      <c r="G29" s="514"/>
      <c r="H29" s="514"/>
      <c r="I29" s="514">
        <v>51.38</v>
      </c>
    </row>
    <row r="30" spans="2:9" x14ac:dyDescent="0.2">
      <c r="B30" s="511">
        <v>5</v>
      </c>
      <c r="C30" s="512" t="s">
        <v>605</v>
      </c>
      <c r="D30" s="513" t="s">
        <v>606</v>
      </c>
      <c r="E30" s="514">
        <v>33.700000000000003</v>
      </c>
      <c r="F30" s="514"/>
      <c r="G30" s="514"/>
      <c r="H30" s="514"/>
      <c r="I30" s="514">
        <v>33.700000000000003</v>
      </c>
    </row>
    <row r="31" spans="2:9" ht="25.5" x14ac:dyDescent="0.2">
      <c r="B31" s="511">
        <v>6</v>
      </c>
      <c r="C31" s="512" t="s">
        <v>607</v>
      </c>
      <c r="D31" s="513" t="s">
        <v>9239</v>
      </c>
      <c r="E31" s="514">
        <v>5286.69</v>
      </c>
      <c r="F31" s="514"/>
      <c r="G31" s="514"/>
      <c r="H31" s="514"/>
      <c r="I31" s="514">
        <v>5286.69</v>
      </c>
    </row>
    <row r="32" spans="2:9" ht="25.5" x14ac:dyDescent="0.2">
      <c r="B32" s="511">
        <v>7</v>
      </c>
      <c r="C32" s="512" t="s">
        <v>608</v>
      </c>
      <c r="D32" s="513" t="s">
        <v>609</v>
      </c>
      <c r="E32" s="514"/>
      <c r="F32" s="514">
        <v>108</v>
      </c>
      <c r="G32" s="514">
        <v>377.3</v>
      </c>
      <c r="H32" s="514"/>
      <c r="I32" s="514">
        <v>485.3</v>
      </c>
    </row>
    <row r="33" spans="2:9" x14ac:dyDescent="0.2">
      <c r="B33" s="511" t="s">
        <v>143</v>
      </c>
      <c r="C33" s="512" t="s">
        <v>143</v>
      </c>
      <c r="D33" s="513" t="s">
        <v>6725</v>
      </c>
      <c r="E33" s="514">
        <v>13872.38</v>
      </c>
      <c r="F33" s="514">
        <v>127.48</v>
      </c>
      <c r="G33" s="514">
        <v>2810.66</v>
      </c>
      <c r="H33" s="514"/>
      <c r="I33" s="514">
        <v>16810.52</v>
      </c>
    </row>
    <row r="34" spans="2:9" x14ac:dyDescent="0.2">
      <c r="B34" s="511" t="s">
        <v>143</v>
      </c>
      <c r="C34" s="512" t="s">
        <v>143</v>
      </c>
      <c r="D34" s="515" t="s">
        <v>294</v>
      </c>
      <c r="E34" s="527">
        <v>13872.38</v>
      </c>
      <c r="F34" s="527">
        <v>127.48</v>
      </c>
      <c r="G34" s="527">
        <v>2810.66</v>
      </c>
      <c r="H34" s="527"/>
      <c r="I34" s="527">
        <v>16810.52</v>
      </c>
    </row>
    <row r="35" spans="2:9" x14ac:dyDescent="0.2">
      <c r="B35" s="31"/>
      <c r="C35" s="32"/>
      <c r="D35" s="33"/>
      <c r="E35" s="34"/>
      <c r="F35" s="34"/>
      <c r="G35" s="34"/>
      <c r="H35" s="34"/>
      <c r="I35" s="34"/>
    </row>
    <row r="38" spans="2:9" ht="15" x14ac:dyDescent="0.2">
      <c r="B38" s="35" t="s">
        <v>149</v>
      </c>
      <c r="D38" s="516"/>
      <c r="E38" s="517"/>
      <c r="F38" s="516"/>
      <c r="G38" s="516" t="s">
        <v>296</v>
      </c>
      <c r="I38" s="518"/>
    </row>
    <row r="39" spans="2:9" ht="15" x14ac:dyDescent="0.2">
      <c r="C39" s="39"/>
      <c r="D39" s="1793" t="s">
        <v>150</v>
      </c>
      <c r="E39" s="1793"/>
      <c r="F39" s="1793"/>
      <c r="G39" s="1793"/>
      <c r="H39" s="1793"/>
      <c r="I39" s="1793"/>
    </row>
    <row r="40" spans="2:9" ht="15" x14ac:dyDescent="0.2">
      <c r="B40" s="35" t="s">
        <v>151</v>
      </c>
      <c r="D40" s="516"/>
      <c r="E40" s="517"/>
      <c r="F40" s="516"/>
      <c r="G40" s="516" t="s">
        <v>297</v>
      </c>
      <c r="H40" s="517"/>
      <c r="I40" s="518"/>
    </row>
    <row r="41" spans="2:9" x14ac:dyDescent="0.2">
      <c r="D41" s="1793" t="s">
        <v>150</v>
      </c>
      <c r="E41" s="1793"/>
      <c r="F41" s="1793"/>
      <c r="G41" s="1793"/>
      <c r="H41" s="1793"/>
      <c r="I41" s="1793"/>
    </row>
  </sheetData>
  <mergeCells count="18">
    <mergeCell ref="B11:I11"/>
    <mergeCell ref="C3:H3"/>
    <mergeCell ref="D4:G4"/>
    <mergeCell ref="C5:H5"/>
    <mergeCell ref="D6:G6"/>
    <mergeCell ref="D10:H10"/>
    <mergeCell ref="B25:I25"/>
    <mergeCell ref="D39:I39"/>
    <mergeCell ref="D41:I41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4">
    <pageSetUpPr fitToPage="1"/>
  </sheetPr>
  <dimension ref="B1:I41"/>
  <sheetViews>
    <sheetView showGridLines="0" topLeftCell="B17" zoomScale="115" zoomScaleNormal="115" workbookViewId="0">
      <selection activeCell="B26" sqref="B26:I32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20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 t="s">
        <v>595</v>
      </c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770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596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143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129379.76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1173">
        <v>2.4300000000000002</v>
      </c>
      <c r="F15" s="508"/>
      <c r="G15" s="509"/>
      <c r="H15" s="9" t="s">
        <v>283</v>
      </c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1174">
        <f>I34/E15</f>
        <v>53242.7</v>
      </c>
      <c r="F17" s="508"/>
      <c r="G17" s="509"/>
      <c r="H17" s="9" t="s">
        <v>279</v>
      </c>
      <c r="I17" s="9"/>
    </row>
    <row r="18" spans="2:9" x14ac:dyDescent="0.2">
      <c r="B18" s="6"/>
      <c r="C18" s="24" t="s">
        <v>487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ht="25.5" x14ac:dyDescent="0.2">
      <c r="B26" s="511">
        <v>1</v>
      </c>
      <c r="C26" s="512" t="s">
        <v>597</v>
      </c>
      <c r="D26" s="513" t="s">
        <v>598</v>
      </c>
      <c r="E26" s="514">
        <v>215.83</v>
      </c>
      <c r="F26" s="514">
        <v>160.97</v>
      </c>
      <c r="G26" s="514">
        <v>10666.42</v>
      </c>
      <c r="H26" s="514"/>
      <c r="I26" s="514">
        <v>11043.22</v>
      </c>
    </row>
    <row r="27" spans="2:9" x14ac:dyDescent="0.2">
      <c r="B27" s="511">
        <v>2</v>
      </c>
      <c r="C27" s="512" t="s">
        <v>599</v>
      </c>
      <c r="D27" s="513" t="s">
        <v>600</v>
      </c>
      <c r="E27" s="514">
        <v>6.35</v>
      </c>
      <c r="F27" s="514">
        <v>1.06</v>
      </c>
      <c r="G27" s="514">
        <v>502.69</v>
      </c>
      <c r="H27" s="514"/>
      <c r="I27" s="514">
        <v>510.1</v>
      </c>
    </row>
    <row r="28" spans="2:9" ht="25.5" x14ac:dyDescent="0.2">
      <c r="B28" s="511">
        <v>3</v>
      </c>
      <c r="C28" s="512" t="s">
        <v>601</v>
      </c>
      <c r="D28" s="513" t="s">
        <v>602</v>
      </c>
      <c r="E28" s="514">
        <v>70502.95</v>
      </c>
      <c r="F28" s="514"/>
      <c r="G28" s="514"/>
      <c r="H28" s="514"/>
      <c r="I28" s="514">
        <v>70502.95</v>
      </c>
    </row>
    <row r="29" spans="2:9" x14ac:dyDescent="0.2">
      <c r="B29" s="511">
        <v>4</v>
      </c>
      <c r="C29" s="512" t="s">
        <v>603</v>
      </c>
      <c r="D29" s="513" t="s">
        <v>604</v>
      </c>
      <c r="E29" s="514">
        <v>427.45</v>
      </c>
      <c r="F29" s="514"/>
      <c r="G29" s="514"/>
      <c r="H29" s="514"/>
      <c r="I29" s="514">
        <v>427.45</v>
      </c>
    </row>
    <row r="30" spans="2:9" x14ac:dyDescent="0.2">
      <c r="B30" s="511">
        <v>5</v>
      </c>
      <c r="C30" s="512" t="s">
        <v>605</v>
      </c>
      <c r="D30" s="513" t="s">
        <v>606</v>
      </c>
      <c r="E30" s="514">
        <v>280.36</v>
      </c>
      <c r="F30" s="514"/>
      <c r="G30" s="514"/>
      <c r="H30" s="514"/>
      <c r="I30" s="514">
        <v>280.36</v>
      </c>
    </row>
    <row r="31" spans="2:9" ht="25.5" x14ac:dyDescent="0.2">
      <c r="B31" s="511">
        <v>6</v>
      </c>
      <c r="C31" s="512" t="s">
        <v>607</v>
      </c>
      <c r="D31" s="513" t="s">
        <v>9239</v>
      </c>
      <c r="E31" s="514">
        <v>43985.279999999999</v>
      </c>
      <c r="F31" s="514"/>
      <c r="G31" s="514"/>
      <c r="H31" s="514"/>
      <c r="I31" s="514">
        <v>43985.279999999999</v>
      </c>
    </row>
    <row r="32" spans="2:9" ht="25.5" x14ac:dyDescent="0.2">
      <c r="B32" s="511">
        <v>7</v>
      </c>
      <c r="C32" s="512" t="s">
        <v>608</v>
      </c>
      <c r="D32" s="513" t="s">
        <v>609</v>
      </c>
      <c r="E32" s="514"/>
      <c r="F32" s="514">
        <v>898.58</v>
      </c>
      <c r="G32" s="514">
        <v>1731.82</v>
      </c>
      <c r="H32" s="514"/>
      <c r="I32" s="514">
        <v>2630.4</v>
      </c>
    </row>
    <row r="33" spans="2:9" x14ac:dyDescent="0.2">
      <c r="B33" s="511" t="s">
        <v>143</v>
      </c>
      <c r="C33" s="512" t="s">
        <v>143</v>
      </c>
      <c r="D33" s="513" t="s">
        <v>6725</v>
      </c>
      <c r="E33" s="514">
        <v>115418.22</v>
      </c>
      <c r="F33" s="514">
        <v>1060.6099999999999</v>
      </c>
      <c r="G33" s="514">
        <v>12900.93</v>
      </c>
      <c r="H33" s="514"/>
      <c r="I33" s="514">
        <v>129379.76</v>
      </c>
    </row>
    <row r="34" spans="2:9" x14ac:dyDescent="0.2">
      <c r="B34" s="511" t="s">
        <v>143</v>
      </c>
      <c r="C34" s="512" t="s">
        <v>143</v>
      </c>
      <c r="D34" s="515" t="s">
        <v>294</v>
      </c>
      <c r="E34" s="527">
        <v>115418.22</v>
      </c>
      <c r="F34" s="527">
        <v>1060.6099999999999</v>
      </c>
      <c r="G34" s="527">
        <v>12900.93</v>
      </c>
      <c r="H34" s="527"/>
      <c r="I34" s="527">
        <v>129379.76</v>
      </c>
    </row>
    <row r="35" spans="2:9" x14ac:dyDescent="0.2">
      <c r="B35" s="31"/>
      <c r="C35" s="32"/>
      <c r="D35" s="33"/>
      <c r="E35" s="34"/>
      <c r="F35" s="34"/>
      <c r="G35" s="34"/>
      <c r="H35" s="34"/>
      <c r="I35" s="34"/>
    </row>
    <row r="38" spans="2:9" ht="15" x14ac:dyDescent="0.2">
      <c r="B38" s="35" t="s">
        <v>149</v>
      </c>
      <c r="D38" s="516"/>
      <c r="E38" s="517"/>
      <c r="F38" s="516"/>
      <c r="G38" s="516" t="s">
        <v>296</v>
      </c>
      <c r="I38" s="518"/>
    </row>
    <row r="39" spans="2:9" ht="15" x14ac:dyDescent="0.2">
      <c r="C39" s="39"/>
      <c r="D39" s="1793" t="s">
        <v>150</v>
      </c>
      <c r="E39" s="1793"/>
      <c r="F39" s="1793"/>
      <c r="G39" s="1793"/>
      <c r="H39" s="1793"/>
      <c r="I39" s="1793"/>
    </row>
    <row r="40" spans="2:9" ht="15" x14ac:dyDescent="0.2">
      <c r="B40" s="35" t="s">
        <v>151</v>
      </c>
      <c r="D40" s="516"/>
      <c r="E40" s="517"/>
      <c r="F40" s="516"/>
      <c r="G40" s="516" t="s">
        <v>297</v>
      </c>
      <c r="H40" s="517"/>
      <c r="I40" s="518"/>
    </row>
    <row r="41" spans="2:9" x14ac:dyDescent="0.2">
      <c r="D41" s="1793" t="s">
        <v>150</v>
      </c>
      <c r="E41" s="1793"/>
      <c r="F41" s="1793"/>
      <c r="G41" s="1793"/>
      <c r="H41" s="1793"/>
      <c r="I41" s="1793"/>
    </row>
  </sheetData>
  <mergeCells count="18">
    <mergeCell ref="B11:I11"/>
    <mergeCell ref="C3:H3"/>
    <mergeCell ref="D4:G4"/>
    <mergeCell ref="C5:H5"/>
    <mergeCell ref="D6:G6"/>
    <mergeCell ref="D10:H10"/>
    <mergeCell ref="B25:I25"/>
    <mergeCell ref="D39:I39"/>
    <mergeCell ref="D41:I41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AK735"/>
  <sheetViews>
    <sheetView topLeftCell="A697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12.570312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4" width="110.140625" style="537" hidden="1" customWidth="1"/>
    <col min="25" max="29" width="34.140625" style="537" hidden="1" customWidth="1"/>
    <col min="30" max="31" width="110.140625" style="537" hidden="1" customWidth="1"/>
    <col min="32" max="37" width="84.42578125" style="537" hidden="1" customWidth="1"/>
    <col min="38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89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610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610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611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87"/>
      <c r="B19" s="687"/>
      <c r="C19" s="687"/>
      <c r="D19" s="687"/>
      <c r="E19" s="687"/>
      <c r="F19" s="687"/>
      <c r="G19" s="687"/>
      <c r="H19" s="687"/>
      <c r="I19" s="687"/>
      <c r="J19" s="687"/>
      <c r="K19" s="687"/>
      <c r="L19" s="687"/>
      <c r="M19" s="687"/>
      <c r="N19" s="687"/>
    </row>
    <row r="20" spans="1:21" s="536" customFormat="1" x14ac:dyDescent="0.2">
      <c r="A20" s="1840" t="s">
        <v>598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598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612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613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11043.21</v>
      </c>
      <c r="D28" s="579" t="s">
        <v>9202</v>
      </c>
      <c r="E28" s="689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89"/>
    </row>
    <row r="30" spans="1:21" s="536" customFormat="1" ht="12.75" customHeight="1" x14ac:dyDescent="0.2">
      <c r="B30" s="536" t="s">
        <v>169</v>
      </c>
      <c r="C30" s="580">
        <v>215.83</v>
      </c>
      <c r="D30" s="579" t="s">
        <v>614</v>
      </c>
      <c r="E30" s="689" t="s">
        <v>167</v>
      </c>
      <c r="G30" s="536" t="s">
        <v>170</v>
      </c>
      <c r="L30" s="580">
        <v>0</v>
      </c>
      <c r="M30" s="579" t="s">
        <v>9201</v>
      </c>
      <c r="N30" s="689" t="s">
        <v>167</v>
      </c>
    </row>
    <row r="31" spans="1:21" s="536" customFormat="1" ht="12.75" customHeight="1" x14ac:dyDescent="0.2">
      <c r="B31" s="536" t="s">
        <v>140</v>
      </c>
      <c r="C31" s="580">
        <v>160.97</v>
      </c>
      <c r="D31" s="583" t="s">
        <v>9200</v>
      </c>
      <c r="E31" s="689" t="s">
        <v>167</v>
      </c>
      <c r="G31" s="536" t="s">
        <v>172</v>
      </c>
      <c r="L31" s="582"/>
      <c r="M31" s="582">
        <v>709.18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10666.42</v>
      </c>
      <c r="D32" s="583" t="s">
        <v>615</v>
      </c>
      <c r="E32" s="689" t="s">
        <v>167</v>
      </c>
      <c r="G32" s="536" t="s">
        <v>174</v>
      </c>
      <c r="L32" s="582"/>
      <c r="M32" s="582">
        <v>11.56</v>
      </c>
      <c r="N32" s="581" t="s">
        <v>173</v>
      </c>
    </row>
    <row r="33" spans="1:27" s="536" customFormat="1" ht="12.75" customHeight="1" x14ac:dyDescent="0.2">
      <c r="B33" s="536" t="s">
        <v>147</v>
      </c>
      <c r="C33" s="580">
        <v>0</v>
      </c>
      <c r="D33" s="579" t="s">
        <v>171</v>
      </c>
      <c r="E33" s="689" t="s">
        <v>167</v>
      </c>
      <c r="G33" s="536" t="s">
        <v>175</v>
      </c>
      <c r="L33" s="1836"/>
      <c r="M33" s="1836"/>
    </row>
    <row r="34" spans="1:27" s="536" customFormat="1" ht="9.75" customHeight="1" x14ac:dyDescent="0.2">
      <c r="A34" s="578"/>
    </row>
    <row r="35" spans="1:27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7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7" s="536" customFormat="1" ht="45" x14ac:dyDescent="0.2">
      <c r="A37" s="1833"/>
      <c r="B37" s="1833"/>
      <c r="C37" s="1833"/>
      <c r="D37" s="1833"/>
      <c r="E37" s="1833"/>
      <c r="F37" s="1833"/>
      <c r="G37" s="685" t="s">
        <v>182</v>
      </c>
      <c r="H37" s="685" t="s">
        <v>183</v>
      </c>
      <c r="I37" s="685" t="s">
        <v>184</v>
      </c>
      <c r="J37" s="685" t="s">
        <v>182</v>
      </c>
      <c r="K37" s="685" t="s">
        <v>183</v>
      </c>
      <c r="L37" s="685" t="s">
        <v>148</v>
      </c>
      <c r="M37" s="1833"/>
      <c r="N37" s="1833"/>
    </row>
    <row r="38" spans="1:27" s="536" customFormat="1" x14ac:dyDescent="0.2">
      <c r="A38" s="686">
        <v>1</v>
      </c>
      <c r="B38" s="686">
        <v>2</v>
      </c>
      <c r="C38" s="1834">
        <v>3</v>
      </c>
      <c r="D38" s="1834"/>
      <c r="E38" s="1834"/>
      <c r="F38" s="686">
        <v>4</v>
      </c>
      <c r="G38" s="686">
        <v>5</v>
      </c>
      <c r="H38" s="686">
        <v>6</v>
      </c>
      <c r="I38" s="686">
        <v>7</v>
      </c>
      <c r="J38" s="686">
        <v>8</v>
      </c>
      <c r="K38" s="686">
        <v>9</v>
      </c>
      <c r="L38" s="686">
        <v>10</v>
      </c>
      <c r="M38" s="686">
        <v>11</v>
      </c>
      <c r="N38" s="686">
        <v>12</v>
      </c>
    </row>
    <row r="39" spans="1:27" s="536" customFormat="1" ht="12" x14ac:dyDescent="0.2">
      <c r="A39" s="1824" t="s">
        <v>616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616</v>
      </c>
    </row>
    <row r="40" spans="1:27" s="536" customFormat="1" ht="33.75" x14ac:dyDescent="0.2">
      <c r="A40" s="575" t="s">
        <v>185</v>
      </c>
      <c r="B40" s="684" t="s">
        <v>9199</v>
      </c>
      <c r="C40" s="1823" t="s">
        <v>9198</v>
      </c>
      <c r="D40" s="1823"/>
      <c r="E40" s="1823"/>
      <c r="F40" s="573" t="s">
        <v>617</v>
      </c>
      <c r="G40" s="573"/>
      <c r="H40" s="573"/>
      <c r="I40" s="573" t="s">
        <v>186</v>
      </c>
      <c r="J40" s="572"/>
      <c r="K40" s="573"/>
      <c r="L40" s="572"/>
      <c r="M40" s="571"/>
      <c r="N40" s="570"/>
      <c r="V40" s="674"/>
      <c r="W40" s="675" t="s">
        <v>9198</v>
      </c>
    </row>
    <row r="41" spans="1:27" s="536" customFormat="1" ht="22.5" x14ac:dyDescent="0.2">
      <c r="A41" s="609"/>
      <c r="B41" s="552" t="s">
        <v>499</v>
      </c>
      <c r="C41" s="1822" t="s">
        <v>500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500</v>
      </c>
    </row>
    <row r="42" spans="1:27" s="536" customFormat="1" ht="12" x14ac:dyDescent="0.2">
      <c r="A42" s="605"/>
      <c r="B42" s="552" t="s">
        <v>185</v>
      </c>
      <c r="C42" s="1822" t="s">
        <v>312</v>
      </c>
      <c r="D42" s="1822"/>
      <c r="E42" s="1822"/>
      <c r="F42" s="562"/>
      <c r="G42" s="562"/>
      <c r="H42" s="562"/>
      <c r="I42" s="562"/>
      <c r="J42" s="604">
        <v>236.88</v>
      </c>
      <c r="K42" s="562" t="s">
        <v>313</v>
      </c>
      <c r="L42" s="604">
        <v>592.20000000000005</v>
      </c>
      <c r="M42" s="603"/>
      <c r="N42" s="602"/>
      <c r="V42" s="674"/>
      <c r="W42" s="675"/>
      <c r="Y42" s="537" t="s">
        <v>312</v>
      </c>
    </row>
    <row r="43" spans="1:27" s="536" customFormat="1" ht="12" x14ac:dyDescent="0.2">
      <c r="A43" s="605"/>
      <c r="B43" s="552" t="s">
        <v>186</v>
      </c>
      <c r="C43" s="1822" t="s">
        <v>344</v>
      </c>
      <c r="D43" s="1822"/>
      <c r="E43" s="1822"/>
      <c r="F43" s="562"/>
      <c r="G43" s="562"/>
      <c r="H43" s="562"/>
      <c r="I43" s="562"/>
      <c r="J43" s="604">
        <v>66.58</v>
      </c>
      <c r="K43" s="562" t="s">
        <v>313</v>
      </c>
      <c r="L43" s="604">
        <v>166.45</v>
      </c>
      <c r="M43" s="603"/>
      <c r="N43" s="602"/>
      <c r="V43" s="674"/>
      <c r="W43" s="675"/>
      <c r="Y43" s="537" t="s">
        <v>344</v>
      </c>
    </row>
    <row r="44" spans="1:27" s="536" customFormat="1" ht="12" x14ac:dyDescent="0.2">
      <c r="A44" s="605"/>
      <c r="B44" s="552" t="s">
        <v>187</v>
      </c>
      <c r="C44" s="1822" t="s">
        <v>345</v>
      </c>
      <c r="D44" s="1822"/>
      <c r="E44" s="1822"/>
      <c r="F44" s="562"/>
      <c r="G44" s="562"/>
      <c r="H44" s="562"/>
      <c r="I44" s="562"/>
      <c r="J44" s="604">
        <v>5.1100000000000003</v>
      </c>
      <c r="K44" s="562" t="s">
        <v>313</v>
      </c>
      <c r="L44" s="604">
        <v>12.78</v>
      </c>
      <c r="M44" s="603"/>
      <c r="N44" s="602"/>
      <c r="V44" s="674"/>
      <c r="W44" s="675"/>
      <c r="Y44" s="537" t="s">
        <v>345</v>
      </c>
    </row>
    <row r="45" spans="1:27" s="536" customFormat="1" ht="12" x14ac:dyDescent="0.2">
      <c r="A45" s="605"/>
      <c r="B45" s="552" t="s">
        <v>188</v>
      </c>
      <c r="C45" s="1822" t="s">
        <v>475</v>
      </c>
      <c r="D45" s="1822"/>
      <c r="E45" s="1822"/>
      <c r="F45" s="562"/>
      <c r="G45" s="562"/>
      <c r="H45" s="562"/>
      <c r="I45" s="562"/>
      <c r="J45" s="604">
        <v>248.17</v>
      </c>
      <c r="K45" s="562"/>
      <c r="L45" s="604">
        <v>496.34</v>
      </c>
      <c r="M45" s="603"/>
      <c r="N45" s="602"/>
      <c r="V45" s="674"/>
      <c r="W45" s="675"/>
      <c r="Y45" s="537" t="s">
        <v>475</v>
      </c>
    </row>
    <row r="46" spans="1:27" s="536" customFormat="1" ht="12" x14ac:dyDescent="0.2">
      <c r="A46" s="605"/>
      <c r="B46" s="552"/>
      <c r="C46" s="1822" t="s">
        <v>314</v>
      </c>
      <c r="D46" s="1822"/>
      <c r="E46" s="1822"/>
      <c r="F46" s="562" t="s">
        <v>315</v>
      </c>
      <c r="G46" s="562" t="s">
        <v>9197</v>
      </c>
      <c r="H46" s="562" t="s">
        <v>313</v>
      </c>
      <c r="I46" s="562" t="s">
        <v>794</v>
      </c>
      <c r="J46" s="604"/>
      <c r="K46" s="562"/>
      <c r="L46" s="604"/>
      <c r="M46" s="603"/>
      <c r="N46" s="602"/>
      <c r="V46" s="674"/>
      <c r="W46" s="675"/>
      <c r="Z46" s="537" t="s">
        <v>314</v>
      </c>
    </row>
    <row r="47" spans="1:27" s="536" customFormat="1" ht="12" x14ac:dyDescent="0.2">
      <c r="A47" s="605"/>
      <c r="B47" s="552"/>
      <c r="C47" s="1822" t="s">
        <v>348</v>
      </c>
      <c r="D47" s="1822"/>
      <c r="E47" s="1822"/>
      <c r="F47" s="562" t="s">
        <v>315</v>
      </c>
      <c r="G47" s="562" t="s">
        <v>4123</v>
      </c>
      <c r="H47" s="562" t="s">
        <v>313</v>
      </c>
      <c r="I47" s="562" t="s">
        <v>9196</v>
      </c>
      <c r="J47" s="604"/>
      <c r="K47" s="562"/>
      <c r="L47" s="604"/>
      <c r="M47" s="603"/>
      <c r="N47" s="602"/>
      <c r="V47" s="674"/>
      <c r="W47" s="675"/>
      <c r="Z47" s="537" t="s">
        <v>348</v>
      </c>
    </row>
    <row r="48" spans="1:27" s="536" customFormat="1" ht="12" x14ac:dyDescent="0.2">
      <c r="A48" s="605"/>
      <c r="B48" s="552"/>
      <c r="C48" s="1828" t="s">
        <v>318</v>
      </c>
      <c r="D48" s="1828"/>
      <c r="E48" s="1828"/>
      <c r="F48" s="608"/>
      <c r="G48" s="608"/>
      <c r="H48" s="608"/>
      <c r="I48" s="608"/>
      <c r="J48" s="607">
        <v>551.63</v>
      </c>
      <c r="K48" s="608"/>
      <c r="L48" s="607">
        <v>1254.99</v>
      </c>
      <c r="M48" s="601"/>
      <c r="N48" s="606"/>
      <c r="V48" s="674"/>
      <c r="W48" s="675"/>
      <c r="AA48" s="537" t="s">
        <v>318</v>
      </c>
    </row>
    <row r="49" spans="1:28" s="536" customFormat="1" ht="12" x14ac:dyDescent="0.2">
      <c r="A49" s="605"/>
      <c r="B49" s="552"/>
      <c r="C49" s="1822" t="s">
        <v>319</v>
      </c>
      <c r="D49" s="1822"/>
      <c r="E49" s="1822"/>
      <c r="F49" s="562"/>
      <c r="G49" s="562"/>
      <c r="H49" s="562"/>
      <c r="I49" s="562"/>
      <c r="J49" s="604"/>
      <c r="K49" s="562"/>
      <c r="L49" s="604">
        <v>604.98</v>
      </c>
      <c r="M49" s="603"/>
      <c r="N49" s="602"/>
      <c r="V49" s="674"/>
      <c r="W49" s="675"/>
      <c r="Z49" s="537" t="s">
        <v>319</v>
      </c>
    </row>
    <row r="50" spans="1:28" s="536" customFormat="1" ht="33.75" x14ac:dyDescent="0.2">
      <c r="A50" s="605"/>
      <c r="B50" s="552" t="s">
        <v>2050</v>
      </c>
      <c r="C50" s="1822" t="s">
        <v>2051</v>
      </c>
      <c r="D50" s="1822"/>
      <c r="E50" s="1822"/>
      <c r="F50" s="562" t="s">
        <v>322</v>
      </c>
      <c r="G50" s="562" t="s">
        <v>462</v>
      </c>
      <c r="H50" s="562"/>
      <c r="I50" s="562" t="s">
        <v>462</v>
      </c>
      <c r="J50" s="604"/>
      <c r="K50" s="562"/>
      <c r="L50" s="604">
        <v>556.58000000000004</v>
      </c>
      <c r="M50" s="603"/>
      <c r="N50" s="602"/>
      <c r="V50" s="674"/>
      <c r="W50" s="675"/>
      <c r="Z50" s="537" t="s">
        <v>2051</v>
      </c>
    </row>
    <row r="51" spans="1:28" s="536" customFormat="1" ht="33.75" x14ac:dyDescent="0.2">
      <c r="A51" s="605"/>
      <c r="B51" s="552" t="s">
        <v>2052</v>
      </c>
      <c r="C51" s="1822" t="s">
        <v>2053</v>
      </c>
      <c r="D51" s="1822"/>
      <c r="E51" s="1822"/>
      <c r="F51" s="562" t="s">
        <v>322</v>
      </c>
      <c r="G51" s="562" t="s">
        <v>784</v>
      </c>
      <c r="H51" s="562"/>
      <c r="I51" s="562" t="s">
        <v>784</v>
      </c>
      <c r="J51" s="604"/>
      <c r="K51" s="562"/>
      <c r="L51" s="604">
        <v>296.44</v>
      </c>
      <c r="M51" s="603"/>
      <c r="N51" s="602"/>
      <c r="V51" s="674"/>
      <c r="W51" s="675"/>
      <c r="Z51" s="537" t="s">
        <v>2053</v>
      </c>
    </row>
    <row r="52" spans="1:28" s="536" customFormat="1" ht="12" x14ac:dyDescent="0.2">
      <c r="A52" s="569"/>
      <c r="B52" s="683"/>
      <c r="C52" s="1823" t="s">
        <v>327</v>
      </c>
      <c r="D52" s="1823"/>
      <c r="E52" s="1823"/>
      <c r="F52" s="573"/>
      <c r="G52" s="573"/>
      <c r="H52" s="573"/>
      <c r="I52" s="573"/>
      <c r="J52" s="572"/>
      <c r="K52" s="573"/>
      <c r="L52" s="572">
        <v>2108.0100000000002</v>
      </c>
      <c r="M52" s="601"/>
      <c r="N52" s="570"/>
      <c r="V52" s="674"/>
      <c r="W52" s="675"/>
      <c r="AB52" s="675" t="s">
        <v>327</v>
      </c>
    </row>
    <row r="53" spans="1:28" s="536" customFormat="1" ht="33.75" x14ac:dyDescent="0.2">
      <c r="A53" s="575" t="s">
        <v>625</v>
      </c>
      <c r="B53" s="684" t="s">
        <v>626</v>
      </c>
      <c r="C53" s="1823" t="s">
        <v>627</v>
      </c>
      <c r="D53" s="1823"/>
      <c r="E53" s="1823"/>
      <c r="F53" s="573" t="s">
        <v>628</v>
      </c>
      <c r="G53" s="573"/>
      <c r="H53" s="573"/>
      <c r="I53" s="573" t="s">
        <v>186</v>
      </c>
      <c r="J53" s="572">
        <v>276532.5</v>
      </c>
      <c r="K53" s="573" t="s">
        <v>629</v>
      </c>
      <c r="L53" s="572">
        <v>121939.43</v>
      </c>
      <c r="M53" s="571">
        <v>4.59</v>
      </c>
      <c r="N53" s="570">
        <v>559702</v>
      </c>
      <c r="V53" s="674"/>
      <c r="W53" s="675" t="s">
        <v>627</v>
      </c>
      <c r="AB53" s="675"/>
    </row>
    <row r="54" spans="1:28" s="536" customFormat="1" ht="12" x14ac:dyDescent="0.2">
      <c r="A54" s="569"/>
      <c r="B54" s="683"/>
      <c r="C54" s="689" t="s">
        <v>630</v>
      </c>
      <c r="D54" s="690"/>
      <c r="E54" s="690"/>
      <c r="F54" s="563"/>
      <c r="G54" s="563"/>
      <c r="H54" s="563"/>
      <c r="I54" s="563"/>
      <c r="J54" s="566"/>
      <c r="K54" s="563"/>
      <c r="L54" s="566"/>
      <c r="M54" s="565"/>
      <c r="N54" s="564"/>
      <c r="V54" s="674"/>
      <c r="W54" s="675"/>
      <c r="AB54" s="675"/>
    </row>
    <row r="55" spans="1:28" s="536" customFormat="1" ht="22.5" x14ac:dyDescent="0.2">
      <c r="A55" s="609"/>
      <c r="B55" s="552" t="s">
        <v>631</v>
      </c>
      <c r="C55" s="1822" t="s">
        <v>632</v>
      </c>
      <c r="D55" s="1822"/>
      <c r="E55" s="1822"/>
      <c r="F55" s="1822"/>
      <c r="G55" s="1822"/>
      <c r="H55" s="1822"/>
      <c r="I55" s="1822"/>
      <c r="J55" s="1822"/>
      <c r="K55" s="1822"/>
      <c r="L55" s="1822"/>
      <c r="M55" s="1822"/>
      <c r="N55" s="1827"/>
      <c r="V55" s="674"/>
      <c r="W55" s="675"/>
      <c r="X55" s="537" t="s">
        <v>632</v>
      </c>
      <c r="AB55" s="675"/>
    </row>
    <row r="56" spans="1:28" s="536" customFormat="1" ht="33.75" x14ac:dyDescent="0.2">
      <c r="A56" s="575" t="s">
        <v>187</v>
      </c>
      <c r="B56" s="684" t="s">
        <v>9199</v>
      </c>
      <c r="C56" s="1823" t="s">
        <v>9198</v>
      </c>
      <c r="D56" s="1823"/>
      <c r="E56" s="1823"/>
      <c r="F56" s="573" t="s">
        <v>617</v>
      </c>
      <c r="G56" s="573"/>
      <c r="H56" s="573"/>
      <c r="I56" s="573" t="s">
        <v>186</v>
      </c>
      <c r="J56" s="572"/>
      <c r="K56" s="573"/>
      <c r="L56" s="572"/>
      <c r="M56" s="571"/>
      <c r="N56" s="570"/>
      <c r="V56" s="674"/>
      <c r="W56" s="675" t="s">
        <v>9198</v>
      </c>
      <c r="AB56" s="675"/>
    </row>
    <row r="57" spans="1:28" s="536" customFormat="1" ht="22.5" x14ac:dyDescent="0.2">
      <c r="A57" s="609"/>
      <c r="B57" s="552" t="s">
        <v>499</v>
      </c>
      <c r="C57" s="1822" t="s">
        <v>500</v>
      </c>
      <c r="D57" s="1822"/>
      <c r="E57" s="1822"/>
      <c r="F57" s="1822"/>
      <c r="G57" s="1822"/>
      <c r="H57" s="1822"/>
      <c r="I57" s="1822"/>
      <c r="J57" s="1822"/>
      <c r="K57" s="1822"/>
      <c r="L57" s="1822"/>
      <c r="M57" s="1822"/>
      <c r="N57" s="1827"/>
      <c r="V57" s="674"/>
      <c r="W57" s="675"/>
      <c r="X57" s="537" t="s">
        <v>500</v>
      </c>
      <c r="AB57" s="675"/>
    </row>
    <row r="58" spans="1:28" s="536" customFormat="1" ht="12" x14ac:dyDescent="0.2">
      <c r="A58" s="605"/>
      <c r="B58" s="552" t="s">
        <v>185</v>
      </c>
      <c r="C58" s="1822" t="s">
        <v>312</v>
      </c>
      <c r="D58" s="1822"/>
      <c r="E58" s="1822"/>
      <c r="F58" s="562"/>
      <c r="G58" s="562"/>
      <c r="H58" s="562"/>
      <c r="I58" s="562"/>
      <c r="J58" s="604">
        <v>236.88</v>
      </c>
      <c r="K58" s="562" t="s">
        <v>313</v>
      </c>
      <c r="L58" s="604">
        <v>592.20000000000005</v>
      </c>
      <c r="M58" s="603"/>
      <c r="N58" s="602"/>
      <c r="V58" s="674"/>
      <c r="W58" s="675"/>
      <c r="Y58" s="537" t="s">
        <v>312</v>
      </c>
      <c r="AB58" s="675"/>
    </row>
    <row r="59" spans="1:28" s="536" customFormat="1" ht="12" x14ac:dyDescent="0.2">
      <c r="A59" s="605"/>
      <c r="B59" s="552" t="s">
        <v>186</v>
      </c>
      <c r="C59" s="1822" t="s">
        <v>344</v>
      </c>
      <c r="D59" s="1822"/>
      <c r="E59" s="1822"/>
      <c r="F59" s="562"/>
      <c r="G59" s="562"/>
      <c r="H59" s="562"/>
      <c r="I59" s="562"/>
      <c r="J59" s="604">
        <v>66.58</v>
      </c>
      <c r="K59" s="562" t="s">
        <v>313</v>
      </c>
      <c r="L59" s="604">
        <v>166.45</v>
      </c>
      <c r="M59" s="603"/>
      <c r="N59" s="602"/>
      <c r="V59" s="674"/>
      <c r="W59" s="675"/>
      <c r="Y59" s="537" t="s">
        <v>344</v>
      </c>
      <c r="AB59" s="675"/>
    </row>
    <row r="60" spans="1:28" s="536" customFormat="1" ht="12" x14ac:dyDescent="0.2">
      <c r="A60" s="605"/>
      <c r="B60" s="552" t="s">
        <v>187</v>
      </c>
      <c r="C60" s="1822" t="s">
        <v>345</v>
      </c>
      <c r="D60" s="1822"/>
      <c r="E60" s="1822"/>
      <c r="F60" s="562"/>
      <c r="G60" s="562"/>
      <c r="H60" s="562"/>
      <c r="I60" s="562"/>
      <c r="J60" s="604">
        <v>5.1100000000000003</v>
      </c>
      <c r="K60" s="562" t="s">
        <v>313</v>
      </c>
      <c r="L60" s="604">
        <v>12.78</v>
      </c>
      <c r="M60" s="603"/>
      <c r="N60" s="602"/>
      <c r="V60" s="674"/>
      <c r="W60" s="675"/>
      <c r="Y60" s="537" t="s">
        <v>345</v>
      </c>
      <c r="AB60" s="675"/>
    </row>
    <row r="61" spans="1:28" s="536" customFormat="1" ht="12" x14ac:dyDescent="0.2">
      <c r="A61" s="605"/>
      <c r="B61" s="552" t="s">
        <v>188</v>
      </c>
      <c r="C61" s="1822" t="s">
        <v>475</v>
      </c>
      <c r="D61" s="1822"/>
      <c r="E61" s="1822"/>
      <c r="F61" s="562"/>
      <c r="G61" s="562"/>
      <c r="H61" s="562"/>
      <c r="I61" s="562"/>
      <c r="J61" s="604">
        <v>248.17</v>
      </c>
      <c r="K61" s="562"/>
      <c r="L61" s="604">
        <v>496.34</v>
      </c>
      <c r="M61" s="603"/>
      <c r="N61" s="602"/>
      <c r="V61" s="674"/>
      <c r="W61" s="675"/>
      <c r="Y61" s="537" t="s">
        <v>475</v>
      </c>
      <c r="AB61" s="675"/>
    </row>
    <row r="62" spans="1:28" s="536" customFormat="1" ht="12" x14ac:dyDescent="0.2">
      <c r="A62" s="605"/>
      <c r="B62" s="552"/>
      <c r="C62" s="1822" t="s">
        <v>314</v>
      </c>
      <c r="D62" s="1822"/>
      <c r="E62" s="1822"/>
      <c r="F62" s="562" t="s">
        <v>315</v>
      </c>
      <c r="G62" s="562" t="s">
        <v>9197</v>
      </c>
      <c r="H62" s="562" t="s">
        <v>313</v>
      </c>
      <c r="I62" s="562" t="s">
        <v>794</v>
      </c>
      <c r="J62" s="604"/>
      <c r="K62" s="562"/>
      <c r="L62" s="604"/>
      <c r="M62" s="603"/>
      <c r="N62" s="602"/>
      <c r="V62" s="674"/>
      <c r="W62" s="675"/>
      <c r="Z62" s="537" t="s">
        <v>314</v>
      </c>
      <c r="AB62" s="675"/>
    </row>
    <row r="63" spans="1:28" s="536" customFormat="1" ht="12" x14ac:dyDescent="0.2">
      <c r="A63" s="605"/>
      <c r="B63" s="552"/>
      <c r="C63" s="1822" t="s">
        <v>348</v>
      </c>
      <c r="D63" s="1822"/>
      <c r="E63" s="1822"/>
      <c r="F63" s="562" t="s">
        <v>315</v>
      </c>
      <c r="G63" s="562" t="s">
        <v>4123</v>
      </c>
      <c r="H63" s="562" t="s">
        <v>313</v>
      </c>
      <c r="I63" s="562" t="s">
        <v>9196</v>
      </c>
      <c r="J63" s="604"/>
      <c r="K63" s="562"/>
      <c r="L63" s="604"/>
      <c r="M63" s="603"/>
      <c r="N63" s="602"/>
      <c r="V63" s="674"/>
      <c r="W63" s="675"/>
      <c r="Z63" s="537" t="s">
        <v>348</v>
      </c>
      <c r="AB63" s="675"/>
    </row>
    <row r="64" spans="1:28" s="536" customFormat="1" ht="12" x14ac:dyDescent="0.2">
      <c r="A64" s="605"/>
      <c r="B64" s="552"/>
      <c r="C64" s="1828" t="s">
        <v>318</v>
      </c>
      <c r="D64" s="1828"/>
      <c r="E64" s="1828"/>
      <c r="F64" s="608"/>
      <c r="G64" s="608"/>
      <c r="H64" s="608"/>
      <c r="I64" s="608"/>
      <c r="J64" s="607">
        <v>551.63</v>
      </c>
      <c r="K64" s="608"/>
      <c r="L64" s="607">
        <v>1254.99</v>
      </c>
      <c r="M64" s="601"/>
      <c r="N64" s="606"/>
      <c r="V64" s="674"/>
      <c r="W64" s="675"/>
      <c r="AA64" s="537" t="s">
        <v>318</v>
      </c>
      <c r="AB64" s="675"/>
    </row>
    <row r="65" spans="1:29" s="536" customFormat="1" ht="12" x14ac:dyDescent="0.2">
      <c r="A65" s="605"/>
      <c r="B65" s="552"/>
      <c r="C65" s="1822" t="s">
        <v>319</v>
      </c>
      <c r="D65" s="1822"/>
      <c r="E65" s="1822"/>
      <c r="F65" s="562"/>
      <c r="G65" s="562"/>
      <c r="H65" s="562"/>
      <c r="I65" s="562"/>
      <c r="J65" s="604"/>
      <c r="K65" s="562"/>
      <c r="L65" s="604">
        <v>604.98</v>
      </c>
      <c r="M65" s="603"/>
      <c r="N65" s="602"/>
      <c r="V65" s="674"/>
      <c r="W65" s="675"/>
      <c r="Z65" s="537" t="s">
        <v>319</v>
      </c>
      <c r="AB65" s="675"/>
    </row>
    <row r="66" spans="1:29" s="536" customFormat="1" ht="33.75" x14ac:dyDescent="0.2">
      <c r="A66" s="605"/>
      <c r="B66" s="552" t="s">
        <v>2050</v>
      </c>
      <c r="C66" s="1822" t="s">
        <v>2051</v>
      </c>
      <c r="D66" s="1822"/>
      <c r="E66" s="1822"/>
      <c r="F66" s="562" t="s">
        <v>322</v>
      </c>
      <c r="G66" s="562" t="s">
        <v>462</v>
      </c>
      <c r="H66" s="562"/>
      <c r="I66" s="562" t="s">
        <v>462</v>
      </c>
      <c r="J66" s="604"/>
      <c r="K66" s="562"/>
      <c r="L66" s="604">
        <v>556.58000000000004</v>
      </c>
      <c r="M66" s="603"/>
      <c r="N66" s="602"/>
      <c r="V66" s="674"/>
      <c r="W66" s="675"/>
      <c r="Z66" s="537" t="s">
        <v>2051</v>
      </c>
      <c r="AB66" s="675"/>
    </row>
    <row r="67" spans="1:29" s="536" customFormat="1" ht="33.75" x14ac:dyDescent="0.2">
      <c r="A67" s="605"/>
      <c r="B67" s="552" t="s">
        <v>2052</v>
      </c>
      <c r="C67" s="1822" t="s">
        <v>2053</v>
      </c>
      <c r="D67" s="1822"/>
      <c r="E67" s="1822"/>
      <c r="F67" s="562" t="s">
        <v>322</v>
      </c>
      <c r="G67" s="562" t="s">
        <v>784</v>
      </c>
      <c r="H67" s="562"/>
      <c r="I67" s="562" t="s">
        <v>784</v>
      </c>
      <c r="J67" s="604"/>
      <c r="K67" s="562"/>
      <c r="L67" s="604">
        <v>296.44</v>
      </c>
      <c r="M67" s="603"/>
      <c r="N67" s="602"/>
      <c r="V67" s="674"/>
      <c r="W67" s="675"/>
      <c r="Z67" s="537" t="s">
        <v>2053</v>
      </c>
      <c r="AB67" s="675"/>
    </row>
    <row r="68" spans="1:29" s="536" customFormat="1" ht="12" x14ac:dyDescent="0.2">
      <c r="A68" s="569"/>
      <c r="B68" s="683"/>
      <c r="C68" s="1823" t="s">
        <v>327</v>
      </c>
      <c r="D68" s="1823"/>
      <c r="E68" s="1823"/>
      <c r="F68" s="573"/>
      <c r="G68" s="573"/>
      <c r="H68" s="573"/>
      <c r="I68" s="573"/>
      <c r="J68" s="572"/>
      <c r="K68" s="573"/>
      <c r="L68" s="572">
        <v>2108.0100000000002</v>
      </c>
      <c r="M68" s="601"/>
      <c r="N68" s="570"/>
      <c r="V68" s="674"/>
      <c r="W68" s="675"/>
      <c r="AB68" s="675" t="s">
        <v>327</v>
      </c>
    </row>
    <row r="69" spans="1:29" s="536" customFormat="1" ht="33.75" x14ac:dyDescent="0.2">
      <c r="A69" s="575" t="s">
        <v>633</v>
      </c>
      <c r="B69" s="684" t="s">
        <v>634</v>
      </c>
      <c r="C69" s="1823" t="s">
        <v>635</v>
      </c>
      <c r="D69" s="1823"/>
      <c r="E69" s="1823"/>
      <c r="F69" s="573" t="s">
        <v>628</v>
      </c>
      <c r="G69" s="573"/>
      <c r="H69" s="573"/>
      <c r="I69" s="573" t="s">
        <v>186</v>
      </c>
      <c r="J69" s="572">
        <v>240760.83</v>
      </c>
      <c r="K69" s="573" t="s">
        <v>629</v>
      </c>
      <c r="L69" s="572">
        <v>106165.58</v>
      </c>
      <c r="M69" s="571">
        <v>4.59</v>
      </c>
      <c r="N69" s="570">
        <v>487300</v>
      </c>
      <c r="V69" s="674"/>
      <c r="W69" s="675" t="s">
        <v>635</v>
      </c>
      <c r="AB69" s="675"/>
    </row>
    <row r="70" spans="1:29" s="536" customFormat="1" ht="12" x14ac:dyDescent="0.2">
      <c r="A70" s="569"/>
      <c r="B70" s="683"/>
      <c r="C70" s="689" t="s">
        <v>630</v>
      </c>
      <c r="D70" s="690"/>
      <c r="E70" s="690"/>
      <c r="F70" s="563"/>
      <c r="G70" s="563"/>
      <c r="H70" s="563"/>
      <c r="I70" s="563"/>
      <c r="J70" s="566"/>
      <c r="K70" s="563"/>
      <c r="L70" s="566"/>
      <c r="M70" s="565"/>
      <c r="N70" s="564"/>
      <c r="V70" s="674"/>
      <c r="W70" s="675"/>
      <c r="AB70" s="675"/>
    </row>
    <row r="71" spans="1:29" s="536" customFormat="1" ht="22.5" x14ac:dyDescent="0.2">
      <c r="A71" s="609"/>
      <c r="B71" s="552" t="s">
        <v>631</v>
      </c>
      <c r="C71" s="1822" t="s">
        <v>632</v>
      </c>
      <c r="D71" s="1822"/>
      <c r="E71" s="1822"/>
      <c r="F71" s="1822"/>
      <c r="G71" s="1822"/>
      <c r="H71" s="1822"/>
      <c r="I71" s="1822"/>
      <c r="J71" s="1822"/>
      <c r="K71" s="1822"/>
      <c r="L71" s="1822"/>
      <c r="M71" s="1822"/>
      <c r="N71" s="1827"/>
      <c r="V71" s="674"/>
      <c r="W71" s="675"/>
      <c r="X71" s="537" t="s">
        <v>632</v>
      </c>
      <c r="AB71" s="675"/>
    </row>
    <row r="72" spans="1:29" s="536" customFormat="1" ht="33.75" x14ac:dyDescent="0.2">
      <c r="A72" s="575" t="s">
        <v>189</v>
      </c>
      <c r="B72" s="684" t="s">
        <v>636</v>
      </c>
      <c r="C72" s="1823" t="s">
        <v>637</v>
      </c>
      <c r="D72" s="1823"/>
      <c r="E72" s="1823"/>
      <c r="F72" s="573" t="s">
        <v>638</v>
      </c>
      <c r="G72" s="573"/>
      <c r="H72" s="573"/>
      <c r="I72" s="573" t="s">
        <v>187</v>
      </c>
      <c r="J72" s="572"/>
      <c r="K72" s="573"/>
      <c r="L72" s="572"/>
      <c r="M72" s="571"/>
      <c r="N72" s="570"/>
      <c r="V72" s="674"/>
      <c r="W72" s="675" t="s">
        <v>637</v>
      </c>
      <c r="AB72" s="675"/>
    </row>
    <row r="73" spans="1:29" s="536" customFormat="1" ht="22.5" x14ac:dyDescent="0.2">
      <c r="A73" s="609"/>
      <c r="B73" s="552" t="s">
        <v>499</v>
      </c>
      <c r="C73" s="1822" t="s">
        <v>500</v>
      </c>
      <c r="D73" s="1822"/>
      <c r="E73" s="1822"/>
      <c r="F73" s="1822"/>
      <c r="G73" s="1822"/>
      <c r="H73" s="1822"/>
      <c r="I73" s="1822"/>
      <c r="J73" s="1822"/>
      <c r="K73" s="1822"/>
      <c r="L73" s="1822"/>
      <c r="M73" s="1822"/>
      <c r="N73" s="1827"/>
      <c r="V73" s="674"/>
      <c r="W73" s="675"/>
      <c r="X73" s="537" t="s">
        <v>500</v>
      </c>
      <c r="AB73" s="675"/>
    </row>
    <row r="74" spans="1:29" s="536" customFormat="1" ht="12" x14ac:dyDescent="0.2">
      <c r="A74" s="605"/>
      <c r="B74" s="552" t="s">
        <v>185</v>
      </c>
      <c r="C74" s="1822" t="s">
        <v>312</v>
      </c>
      <c r="D74" s="1822"/>
      <c r="E74" s="1822"/>
      <c r="F74" s="562"/>
      <c r="G74" s="562"/>
      <c r="H74" s="562"/>
      <c r="I74" s="562"/>
      <c r="J74" s="604">
        <v>52.67</v>
      </c>
      <c r="K74" s="562" t="s">
        <v>313</v>
      </c>
      <c r="L74" s="604">
        <v>197.51</v>
      </c>
      <c r="M74" s="603"/>
      <c r="N74" s="602"/>
      <c r="V74" s="674"/>
      <c r="W74" s="675"/>
      <c r="Y74" s="537" t="s">
        <v>312</v>
      </c>
      <c r="AB74" s="675"/>
    </row>
    <row r="75" spans="1:29" s="536" customFormat="1" ht="12" x14ac:dyDescent="0.2">
      <c r="A75" s="605"/>
      <c r="B75" s="552" t="s">
        <v>186</v>
      </c>
      <c r="C75" s="1822" t="s">
        <v>344</v>
      </c>
      <c r="D75" s="1822"/>
      <c r="E75" s="1822"/>
      <c r="F75" s="562"/>
      <c r="G75" s="562"/>
      <c r="H75" s="562"/>
      <c r="I75" s="562"/>
      <c r="J75" s="604">
        <v>2.35</v>
      </c>
      <c r="K75" s="562" t="s">
        <v>313</v>
      </c>
      <c r="L75" s="604">
        <v>8.81</v>
      </c>
      <c r="M75" s="603"/>
      <c r="N75" s="602"/>
      <c r="V75" s="674"/>
      <c r="W75" s="675"/>
      <c r="Y75" s="537" t="s">
        <v>344</v>
      </c>
      <c r="AB75" s="675"/>
    </row>
    <row r="76" spans="1:29" s="536" customFormat="1" ht="12" x14ac:dyDescent="0.2">
      <c r="A76" s="605"/>
      <c r="B76" s="552" t="s">
        <v>187</v>
      </c>
      <c r="C76" s="1822" t="s">
        <v>345</v>
      </c>
      <c r="D76" s="1822"/>
      <c r="E76" s="1822"/>
      <c r="F76" s="562"/>
      <c r="G76" s="562"/>
      <c r="H76" s="562"/>
      <c r="I76" s="562"/>
      <c r="J76" s="604">
        <v>1.21</v>
      </c>
      <c r="K76" s="562" t="s">
        <v>313</v>
      </c>
      <c r="L76" s="604">
        <v>4.54</v>
      </c>
      <c r="M76" s="603"/>
      <c r="N76" s="602"/>
      <c r="V76" s="674"/>
      <c r="W76" s="675"/>
      <c r="Y76" s="537" t="s">
        <v>345</v>
      </c>
      <c r="AB76" s="675"/>
    </row>
    <row r="77" spans="1:29" s="536" customFormat="1" ht="12" x14ac:dyDescent="0.2">
      <c r="A77" s="605"/>
      <c r="B77" s="552" t="s">
        <v>188</v>
      </c>
      <c r="C77" s="1822" t="s">
        <v>475</v>
      </c>
      <c r="D77" s="1822"/>
      <c r="E77" s="1822"/>
      <c r="F77" s="562"/>
      <c r="G77" s="562"/>
      <c r="H77" s="562"/>
      <c r="I77" s="562"/>
      <c r="J77" s="604">
        <v>193.71</v>
      </c>
      <c r="K77" s="562"/>
      <c r="L77" s="604">
        <v>581.13</v>
      </c>
      <c r="M77" s="603"/>
      <c r="N77" s="602"/>
      <c r="V77" s="674"/>
      <c r="W77" s="675"/>
      <c r="Y77" s="537" t="s">
        <v>475</v>
      </c>
      <c r="AB77" s="675"/>
    </row>
    <row r="78" spans="1:29" s="536" customFormat="1" ht="12" x14ac:dyDescent="0.2">
      <c r="A78" s="676"/>
      <c r="B78" s="677" t="s">
        <v>639</v>
      </c>
      <c r="C78" s="1829" t="s">
        <v>640</v>
      </c>
      <c r="D78" s="1829"/>
      <c r="E78" s="1829"/>
      <c r="F78" s="678" t="s">
        <v>641</v>
      </c>
      <c r="G78" s="678" t="s">
        <v>642</v>
      </c>
      <c r="H78" s="678"/>
      <c r="I78" s="678" t="s">
        <v>643</v>
      </c>
      <c r="J78" s="552"/>
      <c r="K78" s="562"/>
      <c r="L78" s="604"/>
      <c r="M78" s="562"/>
      <c r="N78" s="679"/>
      <c r="V78" s="674"/>
      <c r="W78" s="675"/>
      <c r="AB78" s="675"/>
      <c r="AC78" s="680" t="s">
        <v>640</v>
      </c>
    </row>
    <row r="79" spans="1:29" s="536" customFormat="1" ht="12" x14ac:dyDescent="0.2">
      <c r="A79" s="605"/>
      <c r="B79" s="552"/>
      <c r="C79" s="1822" t="s">
        <v>314</v>
      </c>
      <c r="D79" s="1822"/>
      <c r="E79" s="1822"/>
      <c r="F79" s="562" t="s">
        <v>315</v>
      </c>
      <c r="G79" s="562" t="s">
        <v>644</v>
      </c>
      <c r="H79" s="562" t="s">
        <v>313</v>
      </c>
      <c r="I79" s="562" t="s">
        <v>645</v>
      </c>
      <c r="J79" s="604"/>
      <c r="K79" s="562"/>
      <c r="L79" s="604"/>
      <c r="M79" s="603"/>
      <c r="N79" s="602"/>
      <c r="V79" s="674"/>
      <c r="W79" s="675"/>
      <c r="Z79" s="537" t="s">
        <v>314</v>
      </c>
      <c r="AB79" s="675"/>
      <c r="AC79" s="680"/>
    </row>
    <row r="80" spans="1:29" s="536" customFormat="1" ht="12" x14ac:dyDescent="0.2">
      <c r="A80" s="605"/>
      <c r="B80" s="552"/>
      <c r="C80" s="1822" t="s">
        <v>348</v>
      </c>
      <c r="D80" s="1822"/>
      <c r="E80" s="1822"/>
      <c r="F80" s="562" t="s">
        <v>315</v>
      </c>
      <c r="G80" s="562" t="s">
        <v>646</v>
      </c>
      <c r="H80" s="562" t="s">
        <v>313</v>
      </c>
      <c r="I80" s="562" t="s">
        <v>647</v>
      </c>
      <c r="J80" s="604"/>
      <c r="K80" s="562"/>
      <c r="L80" s="604"/>
      <c r="M80" s="603"/>
      <c r="N80" s="602"/>
      <c r="V80" s="674"/>
      <c r="W80" s="675"/>
      <c r="Z80" s="537" t="s">
        <v>348</v>
      </c>
      <c r="AB80" s="675"/>
      <c r="AC80" s="680"/>
    </row>
    <row r="81" spans="1:30" s="536" customFormat="1" ht="12" x14ac:dyDescent="0.2">
      <c r="A81" s="605"/>
      <c r="B81" s="552"/>
      <c r="C81" s="1828" t="s">
        <v>318</v>
      </c>
      <c r="D81" s="1828"/>
      <c r="E81" s="1828"/>
      <c r="F81" s="608"/>
      <c r="G81" s="608"/>
      <c r="H81" s="608"/>
      <c r="I81" s="608"/>
      <c r="J81" s="607">
        <v>248.73</v>
      </c>
      <c r="K81" s="608"/>
      <c r="L81" s="607">
        <v>787.45</v>
      </c>
      <c r="M81" s="601"/>
      <c r="N81" s="606"/>
      <c r="V81" s="674"/>
      <c r="W81" s="675"/>
      <c r="AA81" s="537" t="s">
        <v>318</v>
      </c>
      <c r="AB81" s="675"/>
      <c r="AC81" s="680"/>
    </row>
    <row r="82" spans="1:30" s="536" customFormat="1" ht="12" x14ac:dyDescent="0.2">
      <c r="A82" s="605"/>
      <c r="B82" s="552"/>
      <c r="C82" s="1822" t="s">
        <v>319</v>
      </c>
      <c r="D82" s="1822"/>
      <c r="E82" s="1822"/>
      <c r="F82" s="562"/>
      <c r="G82" s="562"/>
      <c r="H82" s="562"/>
      <c r="I82" s="562"/>
      <c r="J82" s="604"/>
      <c r="K82" s="562"/>
      <c r="L82" s="604">
        <v>202.05</v>
      </c>
      <c r="M82" s="603"/>
      <c r="N82" s="602"/>
      <c r="V82" s="674"/>
      <c r="W82" s="675"/>
      <c r="Z82" s="537" t="s">
        <v>319</v>
      </c>
      <c r="AB82" s="675"/>
      <c r="AC82" s="680"/>
    </row>
    <row r="83" spans="1:30" s="536" customFormat="1" ht="33.75" x14ac:dyDescent="0.2">
      <c r="A83" s="605"/>
      <c r="B83" s="552" t="s">
        <v>648</v>
      </c>
      <c r="C83" s="1822" t="s">
        <v>649</v>
      </c>
      <c r="D83" s="1822"/>
      <c r="E83" s="1822"/>
      <c r="F83" s="562" t="s">
        <v>322</v>
      </c>
      <c r="G83" s="562" t="s">
        <v>650</v>
      </c>
      <c r="H83" s="562"/>
      <c r="I83" s="562" t="s">
        <v>650</v>
      </c>
      <c r="J83" s="604"/>
      <c r="K83" s="562"/>
      <c r="L83" s="604">
        <v>187.91</v>
      </c>
      <c r="M83" s="603"/>
      <c r="N83" s="602"/>
      <c r="V83" s="674"/>
      <c r="W83" s="675"/>
      <c r="Z83" s="537" t="s">
        <v>649</v>
      </c>
      <c r="AB83" s="675"/>
      <c r="AC83" s="680"/>
    </row>
    <row r="84" spans="1:30" s="536" customFormat="1" ht="33.75" x14ac:dyDescent="0.2">
      <c r="A84" s="605"/>
      <c r="B84" s="552" t="s">
        <v>651</v>
      </c>
      <c r="C84" s="1822" t="s">
        <v>652</v>
      </c>
      <c r="D84" s="1822"/>
      <c r="E84" s="1822"/>
      <c r="F84" s="562" t="s">
        <v>322</v>
      </c>
      <c r="G84" s="562" t="s">
        <v>653</v>
      </c>
      <c r="H84" s="562"/>
      <c r="I84" s="562" t="s">
        <v>653</v>
      </c>
      <c r="J84" s="604"/>
      <c r="K84" s="562"/>
      <c r="L84" s="604">
        <v>125.27</v>
      </c>
      <c r="M84" s="603"/>
      <c r="N84" s="602"/>
      <c r="V84" s="674"/>
      <c r="W84" s="675"/>
      <c r="Z84" s="537" t="s">
        <v>652</v>
      </c>
      <c r="AB84" s="675"/>
      <c r="AC84" s="680"/>
    </row>
    <row r="85" spans="1:30" s="536" customFormat="1" ht="12" x14ac:dyDescent="0.2">
      <c r="A85" s="569"/>
      <c r="B85" s="683"/>
      <c r="C85" s="1823" t="s">
        <v>327</v>
      </c>
      <c r="D85" s="1823"/>
      <c r="E85" s="1823"/>
      <c r="F85" s="573"/>
      <c r="G85" s="573"/>
      <c r="H85" s="573"/>
      <c r="I85" s="573"/>
      <c r="J85" s="572"/>
      <c r="K85" s="573"/>
      <c r="L85" s="572">
        <v>1100.6300000000001</v>
      </c>
      <c r="M85" s="601"/>
      <c r="N85" s="570"/>
      <c r="V85" s="674"/>
      <c r="W85" s="675"/>
      <c r="AB85" s="675" t="s">
        <v>327</v>
      </c>
      <c r="AC85" s="680"/>
    </row>
    <row r="86" spans="1:30" s="536" customFormat="1" ht="22.5" x14ac:dyDescent="0.2">
      <c r="A86" s="575" t="s">
        <v>190</v>
      </c>
      <c r="B86" s="684" t="s">
        <v>654</v>
      </c>
      <c r="C86" s="1823" t="s">
        <v>655</v>
      </c>
      <c r="D86" s="1823"/>
      <c r="E86" s="1823"/>
      <c r="F86" s="573" t="s">
        <v>641</v>
      </c>
      <c r="G86" s="573"/>
      <c r="H86" s="573"/>
      <c r="I86" s="573" t="s">
        <v>643</v>
      </c>
      <c r="J86" s="572">
        <v>592.76</v>
      </c>
      <c r="K86" s="573"/>
      <c r="L86" s="572">
        <v>666.86</v>
      </c>
      <c r="M86" s="571"/>
      <c r="N86" s="570"/>
      <c r="V86" s="674"/>
      <c r="W86" s="675" t="s">
        <v>655</v>
      </c>
      <c r="AB86" s="675"/>
      <c r="AC86" s="680"/>
    </row>
    <row r="87" spans="1:30" s="536" customFormat="1" ht="12" x14ac:dyDescent="0.2">
      <c r="A87" s="569"/>
      <c r="B87" s="683"/>
      <c r="C87" s="689" t="s">
        <v>656</v>
      </c>
      <c r="D87" s="690"/>
      <c r="E87" s="690"/>
      <c r="F87" s="563"/>
      <c r="G87" s="563"/>
      <c r="H87" s="563"/>
      <c r="I87" s="563"/>
      <c r="J87" s="566"/>
      <c r="K87" s="563"/>
      <c r="L87" s="566"/>
      <c r="M87" s="565"/>
      <c r="N87" s="564"/>
      <c r="V87" s="674"/>
      <c r="W87" s="675"/>
      <c r="AB87" s="675"/>
      <c r="AC87" s="680"/>
    </row>
    <row r="88" spans="1:30" s="536" customFormat="1" ht="22.5" x14ac:dyDescent="0.2">
      <c r="A88" s="609"/>
      <c r="B88" s="552" t="s">
        <v>499</v>
      </c>
      <c r="C88" s="1822" t="s">
        <v>500</v>
      </c>
      <c r="D88" s="1822"/>
      <c r="E88" s="1822"/>
      <c r="F88" s="1822"/>
      <c r="G88" s="1822"/>
      <c r="H88" s="1822"/>
      <c r="I88" s="1822"/>
      <c r="J88" s="1822"/>
      <c r="K88" s="1822"/>
      <c r="L88" s="1822"/>
      <c r="M88" s="1822"/>
      <c r="N88" s="1827"/>
      <c r="V88" s="674"/>
      <c r="W88" s="675"/>
      <c r="X88" s="537" t="s">
        <v>500</v>
      </c>
      <c r="AB88" s="675"/>
      <c r="AC88" s="680"/>
    </row>
    <row r="89" spans="1:30" s="536" customFormat="1" ht="33.75" x14ac:dyDescent="0.2">
      <c r="A89" s="575" t="s">
        <v>191</v>
      </c>
      <c r="B89" s="684" t="s">
        <v>657</v>
      </c>
      <c r="C89" s="1823" t="s">
        <v>658</v>
      </c>
      <c r="D89" s="1823"/>
      <c r="E89" s="1823"/>
      <c r="F89" s="573" t="s">
        <v>641</v>
      </c>
      <c r="G89" s="573"/>
      <c r="H89" s="573"/>
      <c r="I89" s="573" t="s">
        <v>643</v>
      </c>
      <c r="J89" s="572">
        <v>18.04</v>
      </c>
      <c r="K89" s="573"/>
      <c r="L89" s="572">
        <v>20.3</v>
      </c>
      <c r="M89" s="571"/>
      <c r="N89" s="570"/>
      <c r="V89" s="674"/>
      <c r="W89" s="675" t="s">
        <v>658</v>
      </c>
      <c r="AB89" s="675"/>
      <c r="AC89" s="680"/>
    </row>
    <row r="90" spans="1:30" s="536" customFormat="1" ht="12" x14ac:dyDescent="0.2">
      <c r="A90" s="569"/>
      <c r="B90" s="683"/>
      <c r="C90" s="689" t="s">
        <v>656</v>
      </c>
      <c r="D90" s="690"/>
      <c r="E90" s="690"/>
      <c r="F90" s="563"/>
      <c r="G90" s="563"/>
      <c r="H90" s="563"/>
      <c r="I90" s="563"/>
      <c r="J90" s="566"/>
      <c r="K90" s="563"/>
      <c r="L90" s="566"/>
      <c r="M90" s="565"/>
      <c r="N90" s="564"/>
      <c r="V90" s="674"/>
      <c r="W90" s="675"/>
      <c r="AB90" s="675"/>
      <c r="AC90" s="680"/>
    </row>
    <row r="91" spans="1:30" s="536" customFormat="1" ht="12" x14ac:dyDescent="0.2">
      <c r="A91" s="676"/>
      <c r="B91" s="682"/>
      <c r="C91" s="1822" t="s">
        <v>659</v>
      </c>
      <c r="D91" s="1822"/>
      <c r="E91" s="1822"/>
      <c r="F91" s="1822"/>
      <c r="G91" s="1822"/>
      <c r="H91" s="1822"/>
      <c r="I91" s="1822"/>
      <c r="J91" s="1822"/>
      <c r="K91" s="1822"/>
      <c r="L91" s="1822"/>
      <c r="M91" s="1822"/>
      <c r="N91" s="1827"/>
      <c r="V91" s="674"/>
      <c r="W91" s="675"/>
      <c r="AB91" s="675"/>
      <c r="AC91" s="680"/>
      <c r="AD91" s="537" t="s">
        <v>659</v>
      </c>
    </row>
    <row r="92" spans="1:30" s="536" customFormat="1" ht="22.5" x14ac:dyDescent="0.2">
      <c r="A92" s="609"/>
      <c r="B92" s="552" t="s">
        <v>499</v>
      </c>
      <c r="C92" s="1822" t="s">
        <v>500</v>
      </c>
      <c r="D92" s="1822"/>
      <c r="E92" s="1822"/>
      <c r="F92" s="1822"/>
      <c r="G92" s="1822"/>
      <c r="H92" s="1822"/>
      <c r="I92" s="1822"/>
      <c r="J92" s="1822"/>
      <c r="K92" s="1822"/>
      <c r="L92" s="1822"/>
      <c r="M92" s="1822"/>
      <c r="N92" s="1827"/>
      <c r="V92" s="674"/>
      <c r="W92" s="675"/>
      <c r="X92" s="537" t="s">
        <v>500</v>
      </c>
      <c r="AB92" s="675"/>
      <c r="AC92" s="680"/>
    </row>
    <row r="93" spans="1:30" s="536" customFormat="1" ht="33.75" x14ac:dyDescent="0.2">
      <c r="A93" s="575" t="s">
        <v>660</v>
      </c>
      <c r="B93" s="684" t="s">
        <v>661</v>
      </c>
      <c r="C93" s="1823" t="s">
        <v>662</v>
      </c>
      <c r="D93" s="1823"/>
      <c r="E93" s="1823"/>
      <c r="F93" s="573" t="s">
        <v>663</v>
      </c>
      <c r="G93" s="573"/>
      <c r="H93" s="573"/>
      <c r="I93" s="573" t="s">
        <v>187</v>
      </c>
      <c r="J93" s="572">
        <v>143023.32999999999</v>
      </c>
      <c r="K93" s="573" t="s">
        <v>629</v>
      </c>
      <c r="L93" s="572">
        <v>94601.09</v>
      </c>
      <c r="M93" s="571">
        <v>4.59</v>
      </c>
      <c r="N93" s="570">
        <v>434219</v>
      </c>
      <c r="V93" s="674"/>
      <c r="W93" s="675" t="s">
        <v>662</v>
      </c>
      <c r="AB93" s="675"/>
      <c r="AC93" s="680"/>
    </row>
    <row r="94" spans="1:30" s="536" customFormat="1" ht="12" x14ac:dyDescent="0.2">
      <c r="A94" s="569"/>
      <c r="B94" s="683"/>
      <c r="C94" s="689" t="s">
        <v>630</v>
      </c>
      <c r="D94" s="690"/>
      <c r="E94" s="690"/>
      <c r="F94" s="563"/>
      <c r="G94" s="563"/>
      <c r="H94" s="563"/>
      <c r="I94" s="563"/>
      <c r="J94" s="566"/>
      <c r="K94" s="563"/>
      <c r="L94" s="566"/>
      <c r="M94" s="565"/>
      <c r="N94" s="564"/>
      <c r="V94" s="674"/>
      <c r="W94" s="675"/>
      <c r="AB94" s="675"/>
      <c r="AC94" s="680"/>
    </row>
    <row r="95" spans="1:30" s="536" customFormat="1" ht="22.5" x14ac:dyDescent="0.2">
      <c r="A95" s="609"/>
      <c r="B95" s="552" t="s">
        <v>631</v>
      </c>
      <c r="C95" s="1822" t="s">
        <v>632</v>
      </c>
      <c r="D95" s="1822"/>
      <c r="E95" s="1822"/>
      <c r="F95" s="1822"/>
      <c r="G95" s="1822"/>
      <c r="H95" s="1822"/>
      <c r="I95" s="1822"/>
      <c r="J95" s="1822"/>
      <c r="K95" s="1822"/>
      <c r="L95" s="1822"/>
      <c r="M95" s="1822"/>
      <c r="N95" s="1827"/>
      <c r="V95" s="674"/>
      <c r="W95" s="675"/>
      <c r="X95" s="537" t="s">
        <v>632</v>
      </c>
      <c r="AB95" s="675"/>
      <c r="AC95" s="680"/>
    </row>
    <row r="96" spans="1:30" s="536" customFormat="1" ht="33.75" x14ac:dyDescent="0.2">
      <c r="A96" s="575" t="s">
        <v>193</v>
      </c>
      <c r="B96" s="684" t="s">
        <v>9199</v>
      </c>
      <c r="C96" s="1823" t="s">
        <v>9198</v>
      </c>
      <c r="D96" s="1823"/>
      <c r="E96" s="1823"/>
      <c r="F96" s="573" t="s">
        <v>617</v>
      </c>
      <c r="G96" s="573"/>
      <c r="H96" s="573"/>
      <c r="I96" s="573" t="s">
        <v>186</v>
      </c>
      <c r="J96" s="572"/>
      <c r="K96" s="573"/>
      <c r="L96" s="572"/>
      <c r="M96" s="571"/>
      <c r="N96" s="570"/>
      <c r="V96" s="674"/>
      <c r="W96" s="675" t="s">
        <v>9198</v>
      </c>
      <c r="AB96" s="675"/>
      <c r="AC96" s="680"/>
    </row>
    <row r="97" spans="1:29" s="536" customFormat="1" ht="22.5" x14ac:dyDescent="0.2">
      <c r="A97" s="609"/>
      <c r="B97" s="552" t="s">
        <v>499</v>
      </c>
      <c r="C97" s="1822" t="s">
        <v>500</v>
      </c>
      <c r="D97" s="1822"/>
      <c r="E97" s="1822"/>
      <c r="F97" s="1822"/>
      <c r="G97" s="1822"/>
      <c r="H97" s="1822"/>
      <c r="I97" s="1822"/>
      <c r="J97" s="1822"/>
      <c r="K97" s="1822"/>
      <c r="L97" s="1822"/>
      <c r="M97" s="1822"/>
      <c r="N97" s="1827"/>
      <c r="V97" s="674"/>
      <c r="W97" s="675"/>
      <c r="X97" s="537" t="s">
        <v>500</v>
      </c>
      <c r="AB97" s="675"/>
      <c r="AC97" s="680"/>
    </row>
    <row r="98" spans="1:29" s="536" customFormat="1" ht="12" x14ac:dyDescent="0.2">
      <c r="A98" s="605"/>
      <c r="B98" s="552" t="s">
        <v>185</v>
      </c>
      <c r="C98" s="1822" t="s">
        <v>312</v>
      </c>
      <c r="D98" s="1822"/>
      <c r="E98" s="1822"/>
      <c r="F98" s="562"/>
      <c r="G98" s="562"/>
      <c r="H98" s="562"/>
      <c r="I98" s="562"/>
      <c r="J98" s="604">
        <v>236.88</v>
      </c>
      <c r="K98" s="562" t="s">
        <v>313</v>
      </c>
      <c r="L98" s="604">
        <v>592.20000000000005</v>
      </c>
      <c r="M98" s="603"/>
      <c r="N98" s="602"/>
      <c r="V98" s="674"/>
      <c r="W98" s="675"/>
      <c r="Y98" s="537" t="s">
        <v>312</v>
      </c>
      <c r="AB98" s="675"/>
      <c r="AC98" s="680"/>
    </row>
    <row r="99" spans="1:29" s="536" customFormat="1" ht="12" x14ac:dyDescent="0.2">
      <c r="A99" s="605"/>
      <c r="B99" s="552" t="s">
        <v>186</v>
      </c>
      <c r="C99" s="1822" t="s">
        <v>344</v>
      </c>
      <c r="D99" s="1822"/>
      <c r="E99" s="1822"/>
      <c r="F99" s="562"/>
      <c r="G99" s="562"/>
      <c r="H99" s="562"/>
      <c r="I99" s="562"/>
      <c r="J99" s="604">
        <v>66.58</v>
      </c>
      <c r="K99" s="562" t="s">
        <v>313</v>
      </c>
      <c r="L99" s="604">
        <v>166.45</v>
      </c>
      <c r="M99" s="603"/>
      <c r="N99" s="602"/>
      <c r="V99" s="674"/>
      <c r="W99" s="675"/>
      <c r="Y99" s="537" t="s">
        <v>344</v>
      </c>
      <c r="AB99" s="675"/>
      <c r="AC99" s="680"/>
    </row>
    <row r="100" spans="1:29" s="536" customFormat="1" ht="12" x14ac:dyDescent="0.2">
      <c r="A100" s="605"/>
      <c r="B100" s="552" t="s">
        <v>187</v>
      </c>
      <c r="C100" s="1822" t="s">
        <v>345</v>
      </c>
      <c r="D100" s="1822"/>
      <c r="E100" s="1822"/>
      <c r="F100" s="562"/>
      <c r="G100" s="562"/>
      <c r="H100" s="562"/>
      <c r="I100" s="562"/>
      <c r="J100" s="604">
        <v>5.1100000000000003</v>
      </c>
      <c r="K100" s="562" t="s">
        <v>313</v>
      </c>
      <c r="L100" s="604">
        <v>12.78</v>
      </c>
      <c r="M100" s="603"/>
      <c r="N100" s="602"/>
      <c r="V100" s="674"/>
      <c r="W100" s="675"/>
      <c r="Y100" s="537" t="s">
        <v>345</v>
      </c>
      <c r="AB100" s="675"/>
      <c r="AC100" s="680"/>
    </row>
    <row r="101" spans="1:29" s="536" customFormat="1" ht="12" x14ac:dyDescent="0.2">
      <c r="A101" s="605"/>
      <c r="B101" s="552" t="s">
        <v>188</v>
      </c>
      <c r="C101" s="1822" t="s">
        <v>475</v>
      </c>
      <c r="D101" s="1822"/>
      <c r="E101" s="1822"/>
      <c r="F101" s="562"/>
      <c r="G101" s="562"/>
      <c r="H101" s="562"/>
      <c r="I101" s="562"/>
      <c r="J101" s="604">
        <v>248.17</v>
      </c>
      <c r="K101" s="562"/>
      <c r="L101" s="604">
        <v>496.34</v>
      </c>
      <c r="M101" s="603"/>
      <c r="N101" s="602"/>
      <c r="V101" s="674"/>
      <c r="W101" s="675"/>
      <c r="Y101" s="537" t="s">
        <v>475</v>
      </c>
      <c r="AB101" s="675"/>
      <c r="AC101" s="680"/>
    </row>
    <row r="102" spans="1:29" s="536" customFormat="1" ht="12" x14ac:dyDescent="0.2">
      <c r="A102" s="605"/>
      <c r="B102" s="552"/>
      <c r="C102" s="1822" t="s">
        <v>314</v>
      </c>
      <c r="D102" s="1822"/>
      <c r="E102" s="1822"/>
      <c r="F102" s="562" t="s">
        <v>315</v>
      </c>
      <c r="G102" s="562" t="s">
        <v>9197</v>
      </c>
      <c r="H102" s="562" t="s">
        <v>313</v>
      </c>
      <c r="I102" s="562" t="s">
        <v>794</v>
      </c>
      <c r="J102" s="604"/>
      <c r="K102" s="562"/>
      <c r="L102" s="604"/>
      <c r="M102" s="603"/>
      <c r="N102" s="602"/>
      <c r="V102" s="674"/>
      <c r="W102" s="675"/>
      <c r="Z102" s="537" t="s">
        <v>314</v>
      </c>
      <c r="AB102" s="675"/>
      <c r="AC102" s="680"/>
    </row>
    <row r="103" spans="1:29" s="536" customFormat="1" ht="12" x14ac:dyDescent="0.2">
      <c r="A103" s="605"/>
      <c r="B103" s="552"/>
      <c r="C103" s="1822" t="s">
        <v>348</v>
      </c>
      <c r="D103" s="1822"/>
      <c r="E103" s="1822"/>
      <c r="F103" s="562" t="s">
        <v>315</v>
      </c>
      <c r="G103" s="562" t="s">
        <v>4123</v>
      </c>
      <c r="H103" s="562" t="s">
        <v>313</v>
      </c>
      <c r="I103" s="562" t="s">
        <v>9196</v>
      </c>
      <c r="J103" s="604"/>
      <c r="K103" s="562"/>
      <c r="L103" s="604"/>
      <c r="M103" s="603"/>
      <c r="N103" s="602"/>
      <c r="V103" s="674"/>
      <c r="W103" s="675"/>
      <c r="Z103" s="537" t="s">
        <v>348</v>
      </c>
      <c r="AB103" s="675"/>
      <c r="AC103" s="680"/>
    </row>
    <row r="104" spans="1:29" s="536" customFormat="1" ht="12" x14ac:dyDescent="0.2">
      <c r="A104" s="605"/>
      <c r="B104" s="552"/>
      <c r="C104" s="1828" t="s">
        <v>318</v>
      </c>
      <c r="D104" s="1828"/>
      <c r="E104" s="1828"/>
      <c r="F104" s="608"/>
      <c r="G104" s="608"/>
      <c r="H104" s="608"/>
      <c r="I104" s="608"/>
      <c r="J104" s="607">
        <v>551.63</v>
      </c>
      <c r="K104" s="608"/>
      <c r="L104" s="607">
        <v>1254.99</v>
      </c>
      <c r="M104" s="601"/>
      <c r="N104" s="606"/>
      <c r="V104" s="674"/>
      <c r="W104" s="675"/>
      <c r="AA104" s="537" t="s">
        <v>318</v>
      </c>
      <c r="AB104" s="675"/>
      <c r="AC104" s="680"/>
    </row>
    <row r="105" spans="1:29" s="536" customFormat="1" ht="12" x14ac:dyDescent="0.2">
      <c r="A105" s="605"/>
      <c r="B105" s="552"/>
      <c r="C105" s="1822" t="s">
        <v>319</v>
      </c>
      <c r="D105" s="1822"/>
      <c r="E105" s="1822"/>
      <c r="F105" s="562"/>
      <c r="G105" s="562"/>
      <c r="H105" s="562"/>
      <c r="I105" s="562"/>
      <c r="J105" s="604"/>
      <c r="K105" s="562"/>
      <c r="L105" s="604">
        <v>604.98</v>
      </c>
      <c r="M105" s="603"/>
      <c r="N105" s="602"/>
      <c r="V105" s="674"/>
      <c r="W105" s="675"/>
      <c r="Z105" s="537" t="s">
        <v>319</v>
      </c>
      <c r="AB105" s="675"/>
      <c r="AC105" s="680"/>
    </row>
    <row r="106" spans="1:29" s="536" customFormat="1" ht="33.75" x14ac:dyDescent="0.2">
      <c r="A106" s="605"/>
      <c r="B106" s="552" t="s">
        <v>2050</v>
      </c>
      <c r="C106" s="1822" t="s">
        <v>2051</v>
      </c>
      <c r="D106" s="1822"/>
      <c r="E106" s="1822"/>
      <c r="F106" s="562" t="s">
        <v>322</v>
      </c>
      <c r="G106" s="562" t="s">
        <v>462</v>
      </c>
      <c r="H106" s="562"/>
      <c r="I106" s="562" t="s">
        <v>462</v>
      </c>
      <c r="J106" s="604"/>
      <c r="K106" s="562"/>
      <c r="L106" s="604">
        <v>556.58000000000004</v>
      </c>
      <c r="M106" s="603"/>
      <c r="N106" s="602"/>
      <c r="V106" s="674"/>
      <c r="W106" s="675"/>
      <c r="Z106" s="537" t="s">
        <v>2051</v>
      </c>
      <c r="AB106" s="675"/>
      <c r="AC106" s="680"/>
    </row>
    <row r="107" spans="1:29" s="536" customFormat="1" ht="33.75" x14ac:dyDescent="0.2">
      <c r="A107" s="605"/>
      <c r="B107" s="552" t="s">
        <v>2052</v>
      </c>
      <c r="C107" s="1822" t="s">
        <v>2053</v>
      </c>
      <c r="D107" s="1822"/>
      <c r="E107" s="1822"/>
      <c r="F107" s="562" t="s">
        <v>322</v>
      </c>
      <c r="G107" s="562" t="s">
        <v>784</v>
      </c>
      <c r="H107" s="562"/>
      <c r="I107" s="562" t="s">
        <v>784</v>
      </c>
      <c r="J107" s="604"/>
      <c r="K107" s="562"/>
      <c r="L107" s="604">
        <v>296.44</v>
      </c>
      <c r="M107" s="603"/>
      <c r="N107" s="602"/>
      <c r="V107" s="674"/>
      <c r="W107" s="675"/>
      <c r="Z107" s="537" t="s">
        <v>2053</v>
      </c>
      <c r="AB107" s="675"/>
      <c r="AC107" s="680"/>
    </row>
    <row r="108" spans="1:29" s="536" customFormat="1" ht="12" x14ac:dyDescent="0.2">
      <c r="A108" s="569"/>
      <c r="B108" s="683"/>
      <c r="C108" s="1823" t="s">
        <v>327</v>
      </c>
      <c r="D108" s="1823"/>
      <c r="E108" s="1823"/>
      <c r="F108" s="573"/>
      <c r="G108" s="573"/>
      <c r="H108" s="573"/>
      <c r="I108" s="573"/>
      <c r="J108" s="572"/>
      <c r="K108" s="573"/>
      <c r="L108" s="572">
        <v>2108.0100000000002</v>
      </c>
      <c r="M108" s="601"/>
      <c r="N108" s="570"/>
      <c r="V108" s="674"/>
      <c r="W108" s="675"/>
      <c r="AB108" s="675" t="s">
        <v>327</v>
      </c>
      <c r="AC108" s="680"/>
    </row>
    <row r="109" spans="1:29" s="536" customFormat="1" ht="33.75" x14ac:dyDescent="0.2">
      <c r="A109" s="575" t="s">
        <v>664</v>
      </c>
      <c r="B109" s="684" t="s">
        <v>665</v>
      </c>
      <c r="C109" s="1823" t="s">
        <v>666</v>
      </c>
      <c r="D109" s="1823"/>
      <c r="E109" s="1823"/>
      <c r="F109" s="573" t="s">
        <v>663</v>
      </c>
      <c r="G109" s="573"/>
      <c r="H109" s="573"/>
      <c r="I109" s="573" t="s">
        <v>186</v>
      </c>
      <c r="J109" s="572">
        <v>791100</v>
      </c>
      <c r="K109" s="573" t="s">
        <v>629</v>
      </c>
      <c r="L109" s="572">
        <v>348842.27</v>
      </c>
      <c r="M109" s="571">
        <v>4.59</v>
      </c>
      <c r="N109" s="570">
        <v>1601186</v>
      </c>
      <c r="V109" s="674"/>
      <c r="W109" s="675" t="s">
        <v>666</v>
      </c>
      <c r="AB109" s="675"/>
      <c r="AC109" s="680"/>
    </row>
    <row r="110" spans="1:29" s="536" customFormat="1" ht="12" x14ac:dyDescent="0.2">
      <c r="A110" s="569"/>
      <c r="B110" s="683"/>
      <c r="C110" s="689" t="s">
        <v>630</v>
      </c>
      <c r="D110" s="690"/>
      <c r="E110" s="690"/>
      <c r="F110" s="563"/>
      <c r="G110" s="563"/>
      <c r="H110" s="563"/>
      <c r="I110" s="563"/>
      <c r="J110" s="566"/>
      <c r="K110" s="563"/>
      <c r="L110" s="566"/>
      <c r="M110" s="565"/>
      <c r="N110" s="564"/>
      <c r="V110" s="674"/>
      <c r="W110" s="675"/>
      <c r="AB110" s="675"/>
      <c r="AC110" s="680"/>
    </row>
    <row r="111" spans="1:29" s="536" customFormat="1" ht="22.5" x14ac:dyDescent="0.2">
      <c r="A111" s="609"/>
      <c r="B111" s="552" t="s">
        <v>631</v>
      </c>
      <c r="C111" s="1822" t="s">
        <v>632</v>
      </c>
      <c r="D111" s="1822"/>
      <c r="E111" s="1822"/>
      <c r="F111" s="1822"/>
      <c r="G111" s="1822"/>
      <c r="H111" s="1822"/>
      <c r="I111" s="1822"/>
      <c r="J111" s="1822"/>
      <c r="K111" s="1822"/>
      <c r="L111" s="1822"/>
      <c r="M111" s="1822"/>
      <c r="N111" s="1827"/>
      <c r="V111" s="674"/>
      <c r="W111" s="675"/>
      <c r="X111" s="537" t="s">
        <v>632</v>
      </c>
      <c r="AB111" s="675"/>
      <c r="AC111" s="680"/>
    </row>
    <row r="112" spans="1:29" s="536" customFormat="1" ht="33.75" x14ac:dyDescent="0.2">
      <c r="A112" s="575" t="s">
        <v>195</v>
      </c>
      <c r="B112" s="684" t="s">
        <v>667</v>
      </c>
      <c r="C112" s="1823" t="s">
        <v>668</v>
      </c>
      <c r="D112" s="1823"/>
      <c r="E112" s="1823"/>
      <c r="F112" s="573" t="s">
        <v>509</v>
      </c>
      <c r="G112" s="573"/>
      <c r="H112" s="573"/>
      <c r="I112" s="573" t="s">
        <v>669</v>
      </c>
      <c r="J112" s="572"/>
      <c r="K112" s="573"/>
      <c r="L112" s="572"/>
      <c r="M112" s="571"/>
      <c r="N112" s="570"/>
      <c r="V112" s="674"/>
      <c r="W112" s="675" t="s">
        <v>668</v>
      </c>
      <c r="AB112" s="675"/>
      <c r="AC112" s="680"/>
    </row>
    <row r="113" spans="1:31" s="536" customFormat="1" ht="12" x14ac:dyDescent="0.2">
      <c r="A113" s="676"/>
      <c r="B113" s="682"/>
      <c r="C113" s="1822" t="s">
        <v>670</v>
      </c>
      <c r="D113" s="1822"/>
      <c r="E113" s="1822"/>
      <c r="F113" s="1822"/>
      <c r="G113" s="1822"/>
      <c r="H113" s="1822"/>
      <c r="I113" s="1822"/>
      <c r="J113" s="1822"/>
      <c r="K113" s="1822"/>
      <c r="L113" s="1822"/>
      <c r="M113" s="1822"/>
      <c r="N113" s="1827"/>
      <c r="V113" s="674"/>
      <c r="W113" s="675"/>
      <c r="AB113" s="675"/>
      <c r="AC113" s="680"/>
      <c r="AE113" s="537" t="s">
        <v>670</v>
      </c>
    </row>
    <row r="114" spans="1:31" s="536" customFormat="1" ht="22.5" x14ac:dyDescent="0.2">
      <c r="A114" s="609"/>
      <c r="B114" s="552" t="s">
        <v>499</v>
      </c>
      <c r="C114" s="1822" t="s">
        <v>500</v>
      </c>
      <c r="D114" s="1822"/>
      <c r="E114" s="1822"/>
      <c r="F114" s="1822"/>
      <c r="G114" s="1822"/>
      <c r="H114" s="1822"/>
      <c r="I114" s="1822"/>
      <c r="J114" s="1822"/>
      <c r="K114" s="1822"/>
      <c r="L114" s="1822"/>
      <c r="M114" s="1822"/>
      <c r="N114" s="1827"/>
      <c r="V114" s="674"/>
      <c r="W114" s="675"/>
      <c r="X114" s="537" t="s">
        <v>500</v>
      </c>
      <c r="AB114" s="675"/>
      <c r="AC114" s="680"/>
    </row>
    <row r="115" spans="1:31" s="536" customFormat="1" ht="12" x14ac:dyDescent="0.2">
      <c r="A115" s="605"/>
      <c r="B115" s="552" t="s">
        <v>185</v>
      </c>
      <c r="C115" s="1822" t="s">
        <v>312</v>
      </c>
      <c r="D115" s="1822"/>
      <c r="E115" s="1822"/>
      <c r="F115" s="562"/>
      <c r="G115" s="562"/>
      <c r="H115" s="562"/>
      <c r="I115" s="562"/>
      <c r="J115" s="604">
        <v>5245.95</v>
      </c>
      <c r="K115" s="562" t="s">
        <v>313</v>
      </c>
      <c r="L115" s="604">
        <v>22.95</v>
      </c>
      <c r="M115" s="603"/>
      <c r="N115" s="602"/>
      <c r="V115" s="674"/>
      <c r="W115" s="675"/>
      <c r="Y115" s="537" t="s">
        <v>312</v>
      </c>
      <c r="AB115" s="675"/>
      <c r="AC115" s="680"/>
    </row>
    <row r="116" spans="1:31" s="536" customFormat="1" ht="12" x14ac:dyDescent="0.2">
      <c r="A116" s="605"/>
      <c r="B116" s="552"/>
      <c r="C116" s="1822" t="s">
        <v>314</v>
      </c>
      <c r="D116" s="1822"/>
      <c r="E116" s="1822"/>
      <c r="F116" s="562" t="s">
        <v>315</v>
      </c>
      <c r="G116" s="562" t="s">
        <v>671</v>
      </c>
      <c r="H116" s="562" t="s">
        <v>313</v>
      </c>
      <c r="I116" s="562" t="s">
        <v>672</v>
      </c>
      <c r="J116" s="604"/>
      <c r="K116" s="562"/>
      <c r="L116" s="604"/>
      <c r="M116" s="603"/>
      <c r="N116" s="602"/>
      <c r="V116" s="674"/>
      <c r="W116" s="675"/>
      <c r="Z116" s="537" t="s">
        <v>314</v>
      </c>
      <c r="AB116" s="675"/>
      <c r="AC116" s="680"/>
    </row>
    <row r="117" spans="1:31" s="536" customFormat="1" ht="12" x14ac:dyDescent="0.2">
      <c r="A117" s="605"/>
      <c r="B117" s="552"/>
      <c r="C117" s="1828" t="s">
        <v>318</v>
      </c>
      <c r="D117" s="1828"/>
      <c r="E117" s="1828"/>
      <c r="F117" s="608"/>
      <c r="G117" s="608"/>
      <c r="H117" s="608"/>
      <c r="I117" s="608"/>
      <c r="J117" s="607">
        <v>5245.95</v>
      </c>
      <c r="K117" s="608"/>
      <c r="L117" s="607">
        <v>22.95</v>
      </c>
      <c r="M117" s="601"/>
      <c r="N117" s="606"/>
      <c r="V117" s="674"/>
      <c r="W117" s="675"/>
      <c r="AA117" s="537" t="s">
        <v>318</v>
      </c>
      <c r="AB117" s="675"/>
      <c r="AC117" s="680"/>
    </row>
    <row r="118" spans="1:31" s="536" customFormat="1" ht="12" x14ac:dyDescent="0.2">
      <c r="A118" s="605"/>
      <c r="B118" s="552"/>
      <c r="C118" s="1822" t="s">
        <v>319</v>
      </c>
      <c r="D118" s="1822"/>
      <c r="E118" s="1822"/>
      <c r="F118" s="562"/>
      <c r="G118" s="562"/>
      <c r="H118" s="562"/>
      <c r="I118" s="562"/>
      <c r="J118" s="604"/>
      <c r="K118" s="562"/>
      <c r="L118" s="604">
        <v>22.95</v>
      </c>
      <c r="M118" s="603"/>
      <c r="N118" s="602"/>
      <c r="V118" s="674"/>
      <c r="W118" s="675"/>
      <c r="Z118" s="537" t="s">
        <v>319</v>
      </c>
      <c r="AB118" s="675"/>
      <c r="AC118" s="680"/>
    </row>
    <row r="119" spans="1:31" s="536" customFormat="1" ht="33.75" x14ac:dyDescent="0.2">
      <c r="A119" s="605"/>
      <c r="B119" s="552" t="s">
        <v>673</v>
      </c>
      <c r="C119" s="1822" t="s">
        <v>674</v>
      </c>
      <c r="D119" s="1822"/>
      <c r="E119" s="1822"/>
      <c r="F119" s="562" t="s">
        <v>322</v>
      </c>
      <c r="G119" s="562" t="s">
        <v>323</v>
      </c>
      <c r="H119" s="562"/>
      <c r="I119" s="562" t="s">
        <v>323</v>
      </c>
      <c r="J119" s="604"/>
      <c r="K119" s="562"/>
      <c r="L119" s="604">
        <v>20.43</v>
      </c>
      <c r="M119" s="603"/>
      <c r="N119" s="602"/>
      <c r="V119" s="674"/>
      <c r="W119" s="675"/>
      <c r="Z119" s="537" t="s">
        <v>674</v>
      </c>
      <c r="AB119" s="675"/>
      <c r="AC119" s="680"/>
    </row>
    <row r="120" spans="1:31" s="536" customFormat="1" ht="33.75" x14ac:dyDescent="0.2">
      <c r="A120" s="605"/>
      <c r="B120" s="552" t="s">
        <v>675</v>
      </c>
      <c r="C120" s="1822" t="s">
        <v>676</v>
      </c>
      <c r="D120" s="1822"/>
      <c r="E120" s="1822"/>
      <c r="F120" s="562" t="s">
        <v>322</v>
      </c>
      <c r="G120" s="562" t="s">
        <v>677</v>
      </c>
      <c r="H120" s="562"/>
      <c r="I120" s="562" t="s">
        <v>677</v>
      </c>
      <c r="J120" s="604"/>
      <c r="K120" s="562"/>
      <c r="L120" s="604">
        <v>9.18</v>
      </c>
      <c r="M120" s="603"/>
      <c r="N120" s="602"/>
      <c r="V120" s="674"/>
      <c r="W120" s="675"/>
      <c r="Z120" s="537" t="s">
        <v>676</v>
      </c>
      <c r="AB120" s="675"/>
      <c r="AC120" s="680"/>
    </row>
    <row r="121" spans="1:31" s="536" customFormat="1" ht="12" x14ac:dyDescent="0.2">
      <c r="A121" s="569"/>
      <c r="B121" s="683"/>
      <c r="C121" s="1823" t="s">
        <v>327</v>
      </c>
      <c r="D121" s="1823"/>
      <c r="E121" s="1823"/>
      <c r="F121" s="573"/>
      <c r="G121" s="573"/>
      <c r="H121" s="573"/>
      <c r="I121" s="573"/>
      <c r="J121" s="572"/>
      <c r="K121" s="573"/>
      <c r="L121" s="572">
        <v>52.56</v>
      </c>
      <c r="M121" s="601"/>
      <c r="N121" s="570"/>
      <c r="V121" s="674"/>
      <c r="W121" s="675"/>
      <c r="AB121" s="675" t="s">
        <v>327</v>
      </c>
      <c r="AC121" s="680"/>
    </row>
    <row r="122" spans="1:31" s="536" customFormat="1" ht="22.5" x14ac:dyDescent="0.2">
      <c r="A122" s="575" t="s">
        <v>196</v>
      </c>
      <c r="B122" s="684" t="s">
        <v>678</v>
      </c>
      <c r="C122" s="1823" t="s">
        <v>679</v>
      </c>
      <c r="D122" s="1823"/>
      <c r="E122" s="1823"/>
      <c r="F122" s="573" t="s">
        <v>509</v>
      </c>
      <c r="G122" s="573"/>
      <c r="H122" s="573"/>
      <c r="I122" s="573" t="s">
        <v>669</v>
      </c>
      <c r="J122" s="572"/>
      <c r="K122" s="573"/>
      <c r="L122" s="572"/>
      <c r="M122" s="571"/>
      <c r="N122" s="570"/>
      <c r="V122" s="674"/>
      <c r="W122" s="675" t="s">
        <v>679</v>
      </c>
      <c r="AB122" s="675"/>
      <c r="AC122" s="680"/>
    </row>
    <row r="123" spans="1:31" s="536" customFormat="1" ht="12" x14ac:dyDescent="0.2">
      <c r="A123" s="676"/>
      <c r="B123" s="682"/>
      <c r="C123" s="1822" t="s">
        <v>670</v>
      </c>
      <c r="D123" s="1822"/>
      <c r="E123" s="1822"/>
      <c r="F123" s="1822"/>
      <c r="G123" s="1822"/>
      <c r="H123" s="1822"/>
      <c r="I123" s="1822"/>
      <c r="J123" s="1822"/>
      <c r="K123" s="1822"/>
      <c r="L123" s="1822"/>
      <c r="M123" s="1822"/>
      <c r="N123" s="1827"/>
      <c r="V123" s="674"/>
      <c r="W123" s="675"/>
      <c r="AB123" s="675"/>
      <c r="AC123" s="680"/>
      <c r="AE123" s="537" t="s">
        <v>670</v>
      </c>
    </row>
    <row r="124" spans="1:31" s="536" customFormat="1" ht="22.5" x14ac:dyDescent="0.2">
      <c r="A124" s="609"/>
      <c r="B124" s="552" t="s">
        <v>499</v>
      </c>
      <c r="C124" s="1822" t="s">
        <v>500</v>
      </c>
      <c r="D124" s="1822"/>
      <c r="E124" s="1822"/>
      <c r="F124" s="1822"/>
      <c r="G124" s="1822"/>
      <c r="H124" s="1822"/>
      <c r="I124" s="1822"/>
      <c r="J124" s="1822"/>
      <c r="K124" s="1822"/>
      <c r="L124" s="1822"/>
      <c r="M124" s="1822"/>
      <c r="N124" s="1827"/>
      <c r="V124" s="674"/>
      <c r="W124" s="675"/>
      <c r="X124" s="537" t="s">
        <v>500</v>
      </c>
      <c r="AB124" s="675"/>
      <c r="AC124" s="680"/>
    </row>
    <row r="125" spans="1:31" s="536" customFormat="1" ht="12" x14ac:dyDescent="0.2">
      <c r="A125" s="605"/>
      <c r="B125" s="552" t="s">
        <v>185</v>
      </c>
      <c r="C125" s="1822" t="s">
        <v>312</v>
      </c>
      <c r="D125" s="1822"/>
      <c r="E125" s="1822"/>
      <c r="F125" s="562"/>
      <c r="G125" s="562"/>
      <c r="H125" s="562"/>
      <c r="I125" s="562"/>
      <c r="J125" s="604">
        <v>3333.24</v>
      </c>
      <c r="K125" s="562" t="s">
        <v>313</v>
      </c>
      <c r="L125" s="604">
        <v>14.58</v>
      </c>
      <c r="M125" s="603"/>
      <c r="N125" s="602"/>
      <c r="V125" s="674"/>
      <c r="W125" s="675"/>
      <c r="Y125" s="537" t="s">
        <v>312</v>
      </c>
      <c r="AB125" s="675"/>
      <c r="AC125" s="680"/>
    </row>
    <row r="126" spans="1:31" s="536" customFormat="1" ht="12" x14ac:dyDescent="0.2">
      <c r="A126" s="605"/>
      <c r="B126" s="552" t="s">
        <v>186</v>
      </c>
      <c r="C126" s="1822" t="s">
        <v>344</v>
      </c>
      <c r="D126" s="1822"/>
      <c r="E126" s="1822"/>
      <c r="F126" s="562"/>
      <c r="G126" s="562"/>
      <c r="H126" s="562"/>
      <c r="I126" s="562"/>
      <c r="J126" s="604">
        <v>3487.73</v>
      </c>
      <c r="K126" s="562" t="s">
        <v>313</v>
      </c>
      <c r="L126" s="604">
        <v>15.26</v>
      </c>
      <c r="M126" s="603"/>
      <c r="N126" s="602"/>
      <c r="V126" s="674"/>
      <c r="W126" s="675"/>
      <c r="Y126" s="537" t="s">
        <v>344</v>
      </c>
      <c r="AB126" s="675"/>
      <c r="AC126" s="680"/>
    </row>
    <row r="127" spans="1:31" s="536" customFormat="1" ht="12" x14ac:dyDescent="0.2">
      <c r="A127" s="605"/>
      <c r="B127" s="552" t="s">
        <v>187</v>
      </c>
      <c r="C127" s="1822" t="s">
        <v>345</v>
      </c>
      <c r="D127" s="1822"/>
      <c r="E127" s="1822"/>
      <c r="F127" s="562"/>
      <c r="G127" s="562"/>
      <c r="H127" s="562"/>
      <c r="I127" s="562"/>
      <c r="J127" s="604">
        <v>480.73</v>
      </c>
      <c r="K127" s="562" t="s">
        <v>313</v>
      </c>
      <c r="L127" s="604">
        <v>2.1</v>
      </c>
      <c r="M127" s="603"/>
      <c r="N127" s="602"/>
      <c r="V127" s="674"/>
      <c r="W127" s="675"/>
      <c r="Y127" s="537" t="s">
        <v>345</v>
      </c>
      <c r="AB127" s="675"/>
      <c r="AC127" s="680"/>
    </row>
    <row r="128" spans="1:31" s="536" customFormat="1" ht="12" x14ac:dyDescent="0.2">
      <c r="A128" s="605"/>
      <c r="B128" s="552" t="s">
        <v>188</v>
      </c>
      <c r="C128" s="1822" t="s">
        <v>475</v>
      </c>
      <c r="D128" s="1822"/>
      <c r="E128" s="1822"/>
      <c r="F128" s="562"/>
      <c r="G128" s="562"/>
      <c r="H128" s="562"/>
      <c r="I128" s="562"/>
      <c r="J128" s="604">
        <v>3878.26</v>
      </c>
      <c r="K128" s="562"/>
      <c r="L128" s="604">
        <v>13.57</v>
      </c>
      <c r="M128" s="603"/>
      <c r="N128" s="602"/>
      <c r="V128" s="674"/>
      <c r="W128" s="675"/>
      <c r="Y128" s="537" t="s">
        <v>475</v>
      </c>
      <c r="AB128" s="675"/>
      <c r="AC128" s="680"/>
    </row>
    <row r="129" spans="1:30" s="536" customFormat="1" ht="12" x14ac:dyDescent="0.2">
      <c r="A129" s="676"/>
      <c r="B129" s="677" t="s">
        <v>639</v>
      </c>
      <c r="C129" s="1829" t="s">
        <v>640</v>
      </c>
      <c r="D129" s="1829"/>
      <c r="E129" s="1829"/>
      <c r="F129" s="678" t="s">
        <v>641</v>
      </c>
      <c r="G129" s="678" t="s">
        <v>680</v>
      </c>
      <c r="H129" s="678"/>
      <c r="I129" s="678" t="s">
        <v>681</v>
      </c>
      <c r="J129" s="552"/>
      <c r="K129" s="562"/>
      <c r="L129" s="604"/>
      <c r="M129" s="562"/>
      <c r="N129" s="679"/>
      <c r="V129" s="674"/>
      <c r="W129" s="675"/>
      <c r="AB129" s="675"/>
      <c r="AC129" s="680" t="s">
        <v>640</v>
      </c>
    </row>
    <row r="130" spans="1:30" s="536" customFormat="1" ht="12" x14ac:dyDescent="0.2">
      <c r="A130" s="605"/>
      <c r="B130" s="552"/>
      <c r="C130" s="1822" t="s">
        <v>314</v>
      </c>
      <c r="D130" s="1822"/>
      <c r="E130" s="1822"/>
      <c r="F130" s="562" t="s">
        <v>315</v>
      </c>
      <c r="G130" s="562" t="s">
        <v>682</v>
      </c>
      <c r="H130" s="562" t="s">
        <v>313</v>
      </c>
      <c r="I130" s="562" t="s">
        <v>683</v>
      </c>
      <c r="J130" s="604"/>
      <c r="K130" s="562"/>
      <c r="L130" s="604"/>
      <c r="M130" s="603"/>
      <c r="N130" s="602"/>
      <c r="V130" s="674"/>
      <c r="W130" s="675"/>
      <c r="Z130" s="537" t="s">
        <v>314</v>
      </c>
      <c r="AB130" s="675"/>
      <c r="AC130" s="680"/>
    </row>
    <row r="131" spans="1:30" s="536" customFormat="1" ht="12" x14ac:dyDescent="0.2">
      <c r="A131" s="605"/>
      <c r="B131" s="552"/>
      <c r="C131" s="1822" t="s">
        <v>348</v>
      </c>
      <c r="D131" s="1822"/>
      <c r="E131" s="1822"/>
      <c r="F131" s="562" t="s">
        <v>315</v>
      </c>
      <c r="G131" s="562" t="s">
        <v>684</v>
      </c>
      <c r="H131" s="562" t="s">
        <v>313</v>
      </c>
      <c r="I131" s="562" t="s">
        <v>685</v>
      </c>
      <c r="J131" s="604"/>
      <c r="K131" s="562"/>
      <c r="L131" s="604"/>
      <c r="M131" s="603"/>
      <c r="N131" s="602"/>
      <c r="V131" s="674"/>
      <c r="W131" s="675"/>
      <c r="Z131" s="537" t="s">
        <v>348</v>
      </c>
      <c r="AB131" s="675"/>
      <c r="AC131" s="680"/>
    </row>
    <row r="132" spans="1:30" s="536" customFormat="1" ht="12" x14ac:dyDescent="0.2">
      <c r="A132" s="605"/>
      <c r="B132" s="552"/>
      <c r="C132" s="1828" t="s">
        <v>318</v>
      </c>
      <c r="D132" s="1828"/>
      <c r="E132" s="1828"/>
      <c r="F132" s="608"/>
      <c r="G132" s="608"/>
      <c r="H132" s="608"/>
      <c r="I132" s="608"/>
      <c r="J132" s="607">
        <v>10699.23</v>
      </c>
      <c r="K132" s="608"/>
      <c r="L132" s="607">
        <v>43.41</v>
      </c>
      <c r="M132" s="601"/>
      <c r="N132" s="606"/>
      <c r="V132" s="674"/>
      <c r="W132" s="675"/>
      <c r="AA132" s="537" t="s">
        <v>318</v>
      </c>
      <c r="AB132" s="675"/>
      <c r="AC132" s="680"/>
    </row>
    <row r="133" spans="1:30" s="536" customFormat="1" ht="12" x14ac:dyDescent="0.2">
      <c r="A133" s="605"/>
      <c r="B133" s="552"/>
      <c r="C133" s="1822" t="s">
        <v>319</v>
      </c>
      <c r="D133" s="1822"/>
      <c r="E133" s="1822"/>
      <c r="F133" s="562"/>
      <c r="G133" s="562"/>
      <c r="H133" s="562"/>
      <c r="I133" s="562"/>
      <c r="J133" s="604"/>
      <c r="K133" s="562"/>
      <c r="L133" s="604">
        <v>16.68</v>
      </c>
      <c r="M133" s="603"/>
      <c r="N133" s="602"/>
      <c r="V133" s="674"/>
      <c r="W133" s="675"/>
      <c r="Z133" s="537" t="s">
        <v>319</v>
      </c>
      <c r="AB133" s="675"/>
      <c r="AC133" s="680"/>
    </row>
    <row r="134" spans="1:30" s="536" customFormat="1" ht="33.75" x14ac:dyDescent="0.2">
      <c r="A134" s="605"/>
      <c r="B134" s="552" t="s">
        <v>686</v>
      </c>
      <c r="C134" s="1822" t="s">
        <v>687</v>
      </c>
      <c r="D134" s="1822"/>
      <c r="E134" s="1822"/>
      <c r="F134" s="562" t="s">
        <v>322</v>
      </c>
      <c r="G134" s="562" t="s">
        <v>680</v>
      </c>
      <c r="H134" s="562"/>
      <c r="I134" s="562" t="s">
        <v>680</v>
      </c>
      <c r="J134" s="604"/>
      <c r="K134" s="562"/>
      <c r="L134" s="604">
        <v>17.010000000000002</v>
      </c>
      <c r="M134" s="603"/>
      <c r="N134" s="602"/>
      <c r="V134" s="674"/>
      <c r="W134" s="675"/>
      <c r="Z134" s="537" t="s">
        <v>687</v>
      </c>
      <c r="AB134" s="675"/>
      <c r="AC134" s="680"/>
    </row>
    <row r="135" spans="1:30" s="536" customFormat="1" ht="33.75" x14ac:dyDescent="0.2">
      <c r="A135" s="605"/>
      <c r="B135" s="552" t="s">
        <v>688</v>
      </c>
      <c r="C135" s="1822" t="s">
        <v>689</v>
      </c>
      <c r="D135" s="1822"/>
      <c r="E135" s="1822"/>
      <c r="F135" s="562" t="s">
        <v>322</v>
      </c>
      <c r="G135" s="562" t="s">
        <v>690</v>
      </c>
      <c r="H135" s="562"/>
      <c r="I135" s="562" t="s">
        <v>690</v>
      </c>
      <c r="J135" s="604"/>
      <c r="K135" s="562"/>
      <c r="L135" s="604">
        <v>9.67</v>
      </c>
      <c r="M135" s="603"/>
      <c r="N135" s="602"/>
      <c r="V135" s="674"/>
      <c r="W135" s="675"/>
      <c r="Z135" s="537" t="s">
        <v>689</v>
      </c>
      <c r="AB135" s="675"/>
      <c r="AC135" s="680"/>
    </row>
    <row r="136" spans="1:30" s="536" customFormat="1" ht="12" x14ac:dyDescent="0.2">
      <c r="A136" s="569"/>
      <c r="B136" s="683"/>
      <c r="C136" s="1823" t="s">
        <v>327</v>
      </c>
      <c r="D136" s="1823"/>
      <c r="E136" s="1823"/>
      <c r="F136" s="573"/>
      <c r="G136" s="573"/>
      <c r="H136" s="573"/>
      <c r="I136" s="573"/>
      <c r="J136" s="572"/>
      <c r="K136" s="573"/>
      <c r="L136" s="572">
        <v>70.09</v>
      </c>
      <c r="M136" s="601"/>
      <c r="N136" s="570"/>
      <c r="V136" s="674"/>
      <c r="W136" s="675"/>
      <c r="AB136" s="675" t="s">
        <v>327</v>
      </c>
      <c r="AC136" s="680"/>
    </row>
    <row r="137" spans="1:30" s="536" customFormat="1" ht="22.5" x14ac:dyDescent="0.2">
      <c r="A137" s="575" t="s">
        <v>197</v>
      </c>
      <c r="B137" s="684" t="s">
        <v>654</v>
      </c>
      <c r="C137" s="1823" t="s">
        <v>655</v>
      </c>
      <c r="D137" s="1823"/>
      <c r="E137" s="1823"/>
      <c r="F137" s="573" t="s">
        <v>641</v>
      </c>
      <c r="G137" s="573"/>
      <c r="H137" s="573"/>
      <c r="I137" s="573" t="s">
        <v>681</v>
      </c>
      <c r="J137" s="572">
        <v>592.76</v>
      </c>
      <c r="K137" s="573"/>
      <c r="L137" s="572">
        <v>211.62</v>
      </c>
      <c r="M137" s="571"/>
      <c r="N137" s="570"/>
      <c r="V137" s="674"/>
      <c r="W137" s="675" t="s">
        <v>655</v>
      </c>
      <c r="AB137" s="675"/>
      <c r="AC137" s="680"/>
    </row>
    <row r="138" spans="1:30" s="536" customFormat="1" ht="12" x14ac:dyDescent="0.2">
      <c r="A138" s="569"/>
      <c r="B138" s="683"/>
      <c r="C138" s="689" t="s">
        <v>656</v>
      </c>
      <c r="D138" s="690"/>
      <c r="E138" s="690"/>
      <c r="F138" s="563"/>
      <c r="G138" s="563"/>
      <c r="H138" s="563"/>
      <c r="I138" s="563"/>
      <c r="J138" s="566"/>
      <c r="K138" s="563"/>
      <c r="L138" s="566"/>
      <c r="M138" s="565"/>
      <c r="N138" s="564"/>
      <c r="V138" s="674"/>
      <c r="W138" s="675"/>
      <c r="AB138" s="675"/>
      <c r="AC138" s="680"/>
    </row>
    <row r="139" spans="1:30" s="536" customFormat="1" ht="22.5" x14ac:dyDescent="0.2">
      <c r="A139" s="609"/>
      <c r="B139" s="552" t="s">
        <v>499</v>
      </c>
      <c r="C139" s="1822" t="s">
        <v>500</v>
      </c>
      <c r="D139" s="1822"/>
      <c r="E139" s="1822"/>
      <c r="F139" s="1822"/>
      <c r="G139" s="1822"/>
      <c r="H139" s="1822"/>
      <c r="I139" s="1822"/>
      <c r="J139" s="1822"/>
      <c r="K139" s="1822"/>
      <c r="L139" s="1822"/>
      <c r="M139" s="1822"/>
      <c r="N139" s="1827"/>
      <c r="V139" s="674"/>
      <c r="W139" s="675"/>
      <c r="X139" s="537" t="s">
        <v>500</v>
      </c>
      <c r="AB139" s="675"/>
      <c r="AC139" s="680"/>
    </row>
    <row r="140" spans="1:30" s="536" customFormat="1" ht="33.75" x14ac:dyDescent="0.2">
      <c r="A140" s="575" t="s">
        <v>198</v>
      </c>
      <c r="B140" s="684" t="s">
        <v>657</v>
      </c>
      <c r="C140" s="1823" t="s">
        <v>658</v>
      </c>
      <c r="D140" s="1823"/>
      <c r="E140" s="1823"/>
      <c r="F140" s="573" t="s">
        <v>641</v>
      </c>
      <c r="G140" s="573"/>
      <c r="H140" s="573"/>
      <c r="I140" s="573" t="s">
        <v>691</v>
      </c>
      <c r="J140" s="572">
        <v>18.04</v>
      </c>
      <c r="K140" s="573"/>
      <c r="L140" s="572">
        <v>6.31</v>
      </c>
      <c r="M140" s="571"/>
      <c r="N140" s="570"/>
      <c r="V140" s="674"/>
      <c r="W140" s="675" t="s">
        <v>658</v>
      </c>
      <c r="AB140" s="675"/>
      <c r="AC140" s="680"/>
    </row>
    <row r="141" spans="1:30" s="536" customFormat="1" ht="12" x14ac:dyDescent="0.2">
      <c r="A141" s="569"/>
      <c r="B141" s="683"/>
      <c r="C141" s="689" t="s">
        <v>656</v>
      </c>
      <c r="D141" s="690"/>
      <c r="E141" s="690"/>
      <c r="F141" s="563"/>
      <c r="G141" s="563"/>
      <c r="H141" s="563"/>
      <c r="I141" s="563"/>
      <c r="J141" s="566"/>
      <c r="K141" s="563"/>
      <c r="L141" s="566"/>
      <c r="M141" s="565"/>
      <c r="N141" s="564"/>
      <c r="V141" s="674"/>
      <c r="W141" s="675"/>
      <c r="AB141" s="675"/>
      <c r="AC141" s="680"/>
    </row>
    <row r="142" spans="1:30" s="536" customFormat="1" ht="12" x14ac:dyDescent="0.2">
      <c r="A142" s="676"/>
      <c r="B142" s="682"/>
      <c r="C142" s="1822" t="s">
        <v>659</v>
      </c>
      <c r="D142" s="1822"/>
      <c r="E142" s="1822"/>
      <c r="F142" s="1822"/>
      <c r="G142" s="1822"/>
      <c r="H142" s="1822"/>
      <c r="I142" s="1822"/>
      <c r="J142" s="1822"/>
      <c r="K142" s="1822"/>
      <c r="L142" s="1822"/>
      <c r="M142" s="1822"/>
      <c r="N142" s="1827"/>
      <c r="V142" s="674"/>
      <c r="W142" s="675"/>
      <c r="AB142" s="675"/>
      <c r="AC142" s="680"/>
      <c r="AD142" s="537" t="s">
        <v>659</v>
      </c>
    </row>
    <row r="143" spans="1:30" s="536" customFormat="1" ht="22.5" x14ac:dyDescent="0.2">
      <c r="A143" s="609"/>
      <c r="B143" s="552" t="s">
        <v>499</v>
      </c>
      <c r="C143" s="1822" t="s">
        <v>500</v>
      </c>
      <c r="D143" s="1822"/>
      <c r="E143" s="1822"/>
      <c r="F143" s="1822"/>
      <c r="G143" s="1822"/>
      <c r="H143" s="1822"/>
      <c r="I143" s="1822"/>
      <c r="J143" s="1822"/>
      <c r="K143" s="1822"/>
      <c r="L143" s="1822"/>
      <c r="M143" s="1822"/>
      <c r="N143" s="1827"/>
      <c r="V143" s="674"/>
      <c r="W143" s="675"/>
      <c r="X143" s="537" t="s">
        <v>500</v>
      </c>
      <c r="AB143" s="675"/>
      <c r="AC143" s="680"/>
    </row>
    <row r="144" spans="1:30" s="536" customFormat="1" ht="22.5" x14ac:dyDescent="0.2">
      <c r="A144" s="575" t="s">
        <v>199</v>
      </c>
      <c r="B144" s="684" t="s">
        <v>692</v>
      </c>
      <c r="C144" s="1823" t="s">
        <v>693</v>
      </c>
      <c r="D144" s="1823"/>
      <c r="E144" s="1823"/>
      <c r="F144" s="573" t="s">
        <v>694</v>
      </c>
      <c r="G144" s="573"/>
      <c r="H144" s="573"/>
      <c r="I144" s="573" t="s">
        <v>695</v>
      </c>
      <c r="J144" s="572"/>
      <c r="K144" s="573"/>
      <c r="L144" s="572"/>
      <c r="M144" s="571"/>
      <c r="N144" s="570"/>
      <c r="V144" s="674"/>
      <c r="W144" s="675" t="s">
        <v>693</v>
      </c>
      <c r="AB144" s="675"/>
      <c r="AC144" s="680"/>
    </row>
    <row r="145" spans="1:31" s="536" customFormat="1" ht="12" x14ac:dyDescent="0.2">
      <c r="A145" s="676"/>
      <c r="B145" s="682"/>
      <c r="C145" s="1822" t="s">
        <v>696</v>
      </c>
      <c r="D145" s="1822"/>
      <c r="E145" s="1822"/>
      <c r="F145" s="1822"/>
      <c r="G145" s="1822"/>
      <c r="H145" s="1822"/>
      <c r="I145" s="1822"/>
      <c r="J145" s="1822"/>
      <c r="K145" s="1822"/>
      <c r="L145" s="1822"/>
      <c r="M145" s="1822"/>
      <c r="N145" s="1827"/>
      <c r="V145" s="674"/>
      <c r="W145" s="675"/>
      <c r="AB145" s="675"/>
      <c r="AC145" s="680"/>
      <c r="AE145" s="537" t="s">
        <v>696</v>
      </c>
    </row>
    <row r="146" spans="1:31" s="536" customFormat="1" ht="22.5" x14ac:dyDescent="0.2">
      <c r="A146" s="609"/>
      <c r="B146" s="552" t="s">
        <v>499</v>
      </c>
      <c r="C146" s="1822" t="s">
        <v>500</v>
      </c>
      <c r="D146" s="1822"/>
      <c r="E146" s="1822"/>
      <c r="F146" s="1822"/>
      <c r="G146" s="1822"/>
      <c r="H146" s="1822"/>
      <c r="I146" s="1822"/>
      <c r="J146" s="1822"/>
      <c r="K146" s="1822"/>
      <c r="L146" s="1822"/>
      <c r="M146" s="1822"/>
      <c r="N146" s="1827"/>
      <c r="V146" s="674"/>
      <c r="W146" s="675"/>
      <c r="X146" s="537" t="s">
        <v>500</v>
      </c>
      <c r="AB146" s="675"/>
      <c r="AC146" s="680"/>
    </row>
    <row r="147" spans="1:31" s="536" customFormat="1" ht="12" x14ac:dyDescent="0.2">
      <c r="A147" s="605"/>
      <c r="B147" s="552" t="s">
        <v>185</v>
      </c>
      <c r="C147" s="1822" t="s">
        <v>312</v>
      </c>
      <c r="D147" s="1822"/>
      <c r="E147" s="1822"/>
      <c r="F147" s="562"/>
      <c r="G147" s="562"/>
      <c r="H147" s="562"/>
      <c r="I147" s="562"/>
      <c r="J147" s="604">
        <v>170.9</v>
      </c>
      <c r="K147" s="562" t="s">
        <v>313</v>
      </c>
      <c r="L147" s="604">
        <v>4.2699999999999996</v>
      </c>
      <c r="M147" s="603"/>
      <c r="N147" s="602"/>
      <c r="V147" s="674"/>
      <c r="W147" s="675"/>
      <c r="Y147" s="537" t="s">
        <v>312</v>
      </c>
      <c r="AB147" s="675"/>
      <c r="AC147" s="680"/>
    </row>
    <row r="148" spans="1:31" s="536" customFormat="1" ht="12" x14ac:dyDescent="0.2">
      <c r="A148" s="605"/>
      <c r="B148" s="552" t="s">
        <v>186</v>
      </c>
      <c r="C148" s="1822" t="s">
        <v>344</v>
      </c>
      <c r="D148" s="1822"/>
      <c r="E148" s="1822"/>
      <c r="F148" s="562"/>
      <c r="G148" s="562"/>
      <c r="H148" s="562"/>
      <c r="I148" s="562"/>
      <c r="J148" s="604">
        <v>598.98</v>
      </c>
      <c r="K148" s="562" t="s">
        <v>313</v>
      </c>
      <c r="L148" s="604">
        <v>14.97</v>
      </c>
      <c r="M148" s="603"/>
      <c r="N148" s="602"/>
      <c r="V148" s="674"/>
      <c r="W148" s="675"/>
      <c r="Y148" s="537" t="s">
        <v>344</v>
      </c>
      <c r="AB148" s="675"/>
      <c r="AC148" s="680"/>
    </row>
    <row r="149" spans="1:31" s="536" customFormat="1" ht="12" x14ac:dyDescent="0.2">
      <c r="A149" s="605"/>
      <c r="B149" s="552" t="s">
        <v>187</v>
      </c>
      <c r="C149" s="1822" t="s">
        <v>345</v>
      </c>
      <c r="D149" s="1822"/>
      <c r="E149" s="1822"/>
      <c r="F149" s="562"/>
      <c r="G149" s="562"/>
      <c r="H149" s="562"/>
      <c r="I149" s="562"/>
      <c r="J149" s="604">
        <v>63.14</v>
      </c>
      <c r="K149" s="562" t="s">
        <v>313</v>
      </c>
      <c r="L149" s="604">
        <v>1.58</v>
      </c>
      <c r="M149" s="603"/>
      <c r="N149" s="602"/>
      <c r="V149" s="674"/>
      <c r="W149" s="675"/>
      <c r="Y149" s="537" t="s">
        <v>345</v>
      </c>
      <c r="AB149" s="675"/>
      <c r="AC149" s="680"/>
    </row>
    <row r="150" spans="1:31" s="536" customFormat="1" ht="12" x14ac:dyDescent="0.2">
      <c r="A150" s="605"/>
      <c r="B150" s="552" t="s">
        <v>188</v>
      </c>
      <c r="C150" s="1822" t="s">
        <v>475</v>
      </c>
      <c r="D150" s="1822"/>
      <c r="E150" s="1822"/>
      <c r="F150" s="562"/>
      <c r="G150" s="562"/>
      <c r="H150" s="562"/>
      <c r="I150" s="562"/>
      <c r="J150" s="604">
        <v>123.78</v>
      </c>
      <c r="K150" s="562"/>
      <c r="L150" s="604">
        <v>2.48</v>
      </c>
      <c r="M150" s="603"/>
      <c r="N150" s="602"/>
      <c r="V150" s="674"/>
      <c r="W150" s="675"/>
      <c r="Y150" s="537" t="s">
        <v>475</v>
      </c>
      <c r="AB150" s="675"/>
      <c r="AC150" s="680"/>
    </row>
    <row r="151" spans="1:31" s="536" customFormat="1" ht="22.5" x14ac:dyDescent="0.2">
      <c r="A151" s="676"/>
      <c r="B151" s="677" t="s">
        <v>697</v>
      </c>
      <c r="C151" s="1829" t="s">
        <v>698</v>
      </c>
      <c r="D151" s="1829"/>
      <c r="E151" s="1829"/>
      <c r="F151" s="678" t="s">
        <v>699</v>
      </c>
      <c r="G151" s="678" t="s">
        <v>525</v>
      </c>
      <c r="H151" s="678"/>
      <c r="I151" s="678" t="s">
        <v>525</v>
      </c>
      <c r="J151" s="552"/>
      <c r="K151" s="562"/>
      <c r="L151" s="604"/>
      <c r="M151" s="562"/>
      <c r="N151" s="679"/>
      <c r="V151" s="674"/>
      <c r="W151" s="675"/>
      <c r="AB151" s="675"/>
      <c r="AC151" s="680" t="s">
        <v>698</v>
      </c>
    </row>
    <row r="152" spans="1:31" s="536" customFormat="1" ht="22.5" x14ac:dyDescent="0.2">
      <c r="A152" s="676"/>
      <c r="B152" s="677" t="s">
        <v>700</v>
      </c>
      <c r="C152" s="1829" t="s">
        <v>701</v>
      </c>
      <c r="D152" s="1829"/>
      <c r="E152" s="1829"/>
      <c r="F152" s="678" t="s">
        <v>694</v>
      </c>
      <c r="G152" s="678" t="s">
        <v>702</v>
      </c>
      <c r="H152" s="678"/>
      <c r="I152" s="678" t="s">
        <v>703</v>
      </c>
      <c r="J152" s="552"/>
      <c r="K152" s="562"/>
      <c r="L152" s="604"/>
      <c r="M152" s="562"/>
      <c r="N152" s="679"/>
      <c r="V152" s="674"/>
      <c r="W152" s="675"/>
      <c r="AB152" s="675"/>
      <c r="AC152" s="680" t="s">
        <v>701</v>
      </c>
    </row>
    <row r="153" spans="1:31" s="536" customFormat="1" ht="12" x14ac:dyDescent="0.2">
      <c r="A153" s="605"/>
      <c r="B153" s="552"/>
      <c r="C153" s="1822" t="s">
        <v>314</v>
      </c>
      <c r="D153" s="1822"/>
      <c r="E153" s="1822"/>
      <c r="F153" s="562" t="s">
        <v>315</v>
      </c>
      <c r="G153" s="562" t="s">
        <v>704</v>
      </c>
      <c r="H153" s="562" t="s">
        <v>313</v>
      </c>
      <c r="I153" s="562" t="s">
        <v>705</v>
      </c>
      <c r="J153" s="604"/>
      <c r="K153" s="562"/>
      <c r="L153" s="604"/>
      <c r="M153" s="603"/>
      <c r="N153" s="602"/>
      <c r="V153" s="674"/>
      <c r="W153" s="675"/>
      <c r="Z153" s="537" t="s">
        <v>314</v>
      </c>
      <c r="AB153" s="675"/>
      <c r="AC153" s="680"/>
    </row>
    <row r="154" spans="1:31" s="536" customFormat="1" ht="12" x14ac:dyDescent="0.2">
      <c r="A154" s="605"/>
      <c r="B154" s="552"/>
      <c r="C154" s="1822" t="s">
        <v>348</v>
      </c>
      <c r="D154" s="1822"/>
      <c r="E154" s="1822"/>
      <c r="F154" s="562" t="s">
        <v>315</v>
      </c>
      <c r="G154" s="562" t="s">
        <v>706</v>
      </c>
      <c r="H154" s="562" t="s">
        <v>313</v>
      </c>
      <c r="I154" s="562" t="s">
        <v>707</v>
      </c>
      <c r="J154" s="604"/>
      <c r="K154" s="562"/>
      <c r="L154" s="604"/>
      <c r="M154" s="603"/>
      <c r="N154" s="602"/>
      <c r="V154" s="674"/>
      <c r="W154" s="675"/>
      <c r="Z154" s="537" t="s">
        <v>348</v>
      </c>
      <c r="AB154" s="675"/>
      <c r="AC154" s="680"/>
    </row>
    <row r="155" spans="1:31" s="536" customFormat="1" ht="12" x14ac:dyDescent="0.2">
      <c r="A155" s="605"/>
      <c r="B155" s="552"/>
      <c r="C155" s="1828" t="s">
        <v>318</v>
      </c>
      <c r="D155" s="1828"/>
      <c r="E155" s="1828"/>
      <c r="F155" s="608"/>
      <c r="G155" s="608"/>
      <c r="H155" s="608"/>
      <c r="I155" s="608"/>
      <c r="J155" s="607">
        <v>893.66</v>
      </c>
      <c r="K155" s="608"/>
      <c r="L155" s="607">
        <v>21.72</v>
      </c>
      <c r="M155" s="601"/>
      <c r="N155" s="606"/>
      <c r="V155" s="674"/>
      <c r="W155" s="675"/>
      <c r="AA155" s="537" t="s">
        <v>318</v>
      </c>
      <c r="AB155" s="675"/>
      <c r="AC155" s="680"/>
    </row>
    <row r="156" spans="1:31" s="536" customFormat="1" ht="12" x14ac:dyDescent="0.2">
      <c r="A156" s="605"/>
      <c r="B156" s="552"/>
      <c r="C156" s="1822" t="s">
        <v>319</v>
      </c>
      <c r="D156" s="1822"/>
      <c r="E156" s="1822"/>
      <c r="F156" s="562"/>
      <c r="G156" s="562"/>
      <c r="H156" s="562"/>
      <c r="I156" s="562"/>
      <c r="J156" s="604"/>
      <c r="K156" s="562"/>
      <c r="L156" s="604">
        <v>5.85</v>
      </c>
      <c r="M156" s="603"/>
      <c r="N156" s="602"/>
      <c r="V156" s="674"/>
      <c r="W156" s="675"/>
      <c r="Z156" s="537" t="s">
        <v>319</v>
      </c>
      <c r="AB156" s="675"/>
      <c r="AC156" s="680"/>
    </row>
    <row r="157" spans="1:31" s="536" customFormat="1" ht="33.75" x14ac:dyDescent="0.2">
      <c r="A157" s="605"/>
      <c r="B157" s="552" t="s">
        <v>708</v>
      </c>
      <c r="C157" s="1822" t="s">
        <v>709</v>
      </c>
      <c r="D157" s="1822"/>
      <c r="E157" s="1822"/>
      <c r="F157" s="562" t="s">
        <v>322</v>
      </c>
      <c r="G157" s="562" t="s">
        <v>710</v>
      </c>
      <c r="H157" s="562"/>
      <c r="I157" s="562" t="s">
        <v>710</v>
      </c>
      <c r="J157" s="604"/>
      <c r="K157" s="562"/>
      <c r="L157" s="604">
        <v>6.03</v>
      </c>
      <c r="M157" s="603"/>
      <c r="N157" s="602"/>
      <c r="V157" s="674"/>
      <c r="W157" s="675"/>
      <c r="Z157" s="537" t="s">
        <v>709</v>
      </c>
      <c r="AB157" s="675"/>
      <c r="AC157" s="680"/>
    </row>
    <row r="158" spans="1:31" s="536" customFormat="1" ht="33.75" x14ac:dyDescent="0.2">
      <c r="A158" s="605"/>
      <c r="B158" s="552" t="s">
        <v>711</v>
      </c>
      <c r="C158" s="1822" t="s">
        <v>712</v>
      </c>
      <c r="D158" s="1822"/>
      <c r="E158" s="1822"/>
      <c r="F158" s="562" t="s">
        <v>322</v>
      </c>
      <c r="G158" s="562" t="s">
        <v>713</v>
      </c>
      <c r="H158" s="562"/>
      <c r="I158" s="562" t="s">
        <v>713</v>
      </c>
      <c r="J158" s="604"/>
      <c r="K158" s="562"/>
      <c r="L158" s="604">
        <v>3.51</v>
      </c>
      <c r="M158" s="603"/>
      <c r="N158" s="602"/>
      <c r="V158" s="674"/>
      <c r="W158" s="675"/>
      <c r="Z158" s="537" t="s">
        <v>712</v>
      </c>
      <c r="AB158" s="675"/>
      <c r="AC158" s="680"/>
    </row>
    <row r="159" spans="1:31" s="536" customFormat="1" ht="12" x14ac:dyDescent="0.2">
      <c r="A159" s="569"/>
      <c r="B159" s="683"/>
      <c r="C159" s="1823" t="s">
        <v>327</v>
      </c>
      <c r="D159" s="1823"/>
      <c r="E159" s="1823"/>
      <c r="F159" s="573"/>
      <c r="G159" s="573"/>
      <c r="H159" s="573"/>
      <c r="I159" s="573"/>
      <c r="J159" s="572"/>
      <c r="K159" s="573"/>
      <c r="L159" s="572">
        <v>31.26</v>
      </c>
      <c r="M159" s="601"/>
      <c r="N159" s="570"/>
      <c r="V159" s="674"/>
      <c r="W159" s="675"/>
      <c r="AB159" s="675" t="s">
        <v>327</v>
      </c>
      <c r="AC159" s="680"/>
    </row>
    <row r="160" spans="1:31" s="536" customFormat="1" ht="33.75" x14ac:dyDescent="0.2">
      <c r="A160" s="575" t="s">
        <v>200</v>
      </c>
      <c r="B160" s="684" t="s">
        <v>714</v>
      </c>
      <c r="C160" s="1823" t="s">
        <v>715</v>
      </c>
      <c r="D160" s="1823"/>
      <c r="E160" s="1823"/>
      <c r="F160" s="573" t="s">
        <v>628</v>
      </c>
      <c r="G160" s="573"/>
      <c r="H160" s="573"/>
      <c r="I160" s="573" t="s">
        <v>185</v>
      </c>
      <c r="J160" s="572">
        <v>9081.67</v>
      </c>
      <c r="K160" s="573" t="s">
        <v>716</v>
      </c>
      <c r="L160" s="572">
        <v>1113.3399999999999</v>
      </c>
      <c r="M160" s="571">
        <v>8.32</v>
      </c>
      <c r="N160" s="570">
        <v>9263</v>
      </c>
      <c r="V160" s="674"/>
      <c r="W160" s="675" t="s">
        <v>715</v>
      </c>
      <c r="AB160" s="675"/>
      <c r="AC160" s="680"/>
    </row>
    <row r="161" spans="1:29" s="536" customFormat="1" ht="12" x14ac:dyDescent="0.2">
      <c r="A161" s="569"/>
      <c r="B161" s="683"/>
      <c r="C161" s="689" t="s">
        <v>717</v>
      </c>
      <c r="D161" s="690"/>
      <c r="E161" s="690"/>
      <c r="F161" s="563"/>
      <c r="G161" s="563"/>
      <c r="H161" s="563"/>
      <c r="I161" s="563"/>
      <c r="J161" s="566"/>
      <c r="K161" s="563"/>
      <c r="L161" s="566"/>
      <c r="M161" s="565"/>
      <c r="N161" s="564"/>
      <c r="V161" s="674"/>
      <c r="W161" s="675"/>
      <c r="AB161" s="675"/>
      <c r="AC161" s="680"/>
    </row>
    <row r="162" spans="1:29" s="536" customFormat="1" ht="22.5" x14ac:dyDescent="0.2">
      <c r="A162" s="609"/>
      <c r="B162" s="552" t="s">
        <v>718</v>
      </c>
      <c r="C162" s="1822" t="s">
        <v>719</v>
      </c>
      <c r="D162" s="1822"/>
      <c r="E162" s="1822"/>
      <c r="F162" s="1822"/>
      <c r="G162" s="1822"/>
      <c r="H162" s="1822"/>
      <c r="I162" s="1822"/>
      <c r="J162" s="1822"/>
      <c r="K162" s="1822"/>
      <c r="L162" s="1822"/>
      <c r="M162" s="1822"/>
      <c r="N162" s="1827"/>
      <c r="V162" s="674"/>
      <c r="W162" s="675"/>
      <c r="X162" s="537" t="s">
        <v>719</v>
      </c>
      <c r="AB162" s="675"/>
      <c r="AC162" s="680"/>
    </row>
    <row r="163" spans="1:29" s="536" customFormat="1" ht="12" x14ac:dyDescent="0.2">
      <c r="A163" s="575" t="s">
        <v>425</v>
      </c>
      <c r="B163" s="684" t="s">
        <v>720</v>
      </c>
      <c r="C163" s="1823" t="s">
        <v>721</v>
      </c>
      <c r="D163" s="1823"/>
      <c r="E163" s="1823"/>
      <c r="F163" s="573" t="s">
        <v>617</v>
      </c>
      <c r="G163" s="573"/>
      <c r="H163" s="573"/>
      <c r="I163" s="573" t="s">
        <v>185</v>
      </c>
      <c r="J163" s="572"/>
      <c r="K163" s="573"/>
      <c r="L163" s="572"/>
      <c r="M163" s="571"/>
      <c r="N163" s="570"/>
      <c r="V163" s="674"/>
      <c r="W163" s="675" t="s">
        <v>721</v>
      </c>
      <c r="AB163" s="675"/>
      <c r="AC163" s="680"/>
    </row>
    <row r="164" spans="1:29" s="536" customFormat="1" ht="22.5" x14ac:dyDescent="0.2">
      <c r="A164" s="609"/>
      <c r="B164" s="552" t="s">
        <v>499</v>
      </c>
      <c r="C164" s="1822" t="s">
        <v>500</v>
      </c>
      <c r="D164" s="1822"/>
      <c r="E164" s="1822"/>
      <c r="F164" s="1822"/>
      <c r="G164" s="1822"/>
      <c r="H164" s="1822"/>
      <c r="I164" s="1822"/>
      <c r="J164" s="1822"/>
      <c r="K164" s="1822"/>
      <c r="L164" s="1822"/>
      <c r="M164" s="1822"/>
      <c r="N164" s="1827"/>
      <c r="V164" s="674"/>
      <c r="W164" s="675"/>
      <c r="X164" s="537" t="s">
        <v>500</v>
      </c>
      <c r="AB164" s="675"/>
      <c r="AC164" s="680"/>
    </row>
    <row r="165" spans="1:29" s="536" customFormat="1" ht="12" x14ac:dyDescent="0.2">
      <c r="A165" s="605"/>
      <c r="B165" s="552" t="s">
        <v>185</v>
      </c>
      <c r="C165" s="1822" t="s">
        <v>312</v>
      </c>
      <c r="D165" s="1822"/>
      <c r="E165" s="1822"/>
      <c r="F165" s="562"/>
      <c r="G165" s="562"/>
      <c r="H165" s="562"/>
      <c r="I165" s="562"/>
      <c r="J165" s="604">
        <v>19.239999999999998</v>
      </c>
      <c r="K165" s="562" t="s">
        <v>313</v>
      </c>
      <c r="L165" s="604">
        <v>24.05</v>
      </c>
      <c r="M165" s="603"/>
      <c r="N165" s="602"/>
      <c r="V165" s="674"/>
      <c r="W165" s="675"/>
      <c r="Y165" s="537" t="s">
        <v>312</v>
      </c>
      <c r="AB165" s="675"/>
      <c r="AC165" s="680"/>
    </row>
    <row r="166" spans="1:29" s="536" customFormat="1" ht="12" x14ac:dyDescent="0.2">
      <c r="A166" s="605"/>
      <c r="B166" s="552" t="s">
        <v>188</v>
      </c>
      <c r="C166" s="1822" t="s">
        <v>475</v>
      </c>
      <c r="D166" s="1822"/>
      <c r="E166" s="1822"/>
      <c r="F166" s="562"/>
      <c r="G166" s="562"/>
      <c r="H166" s="562"/>
      <c r="I166" s="562"/>
      <c r="J166" s="604">
        <v>2.41</v>
      </c>
      <c r="K166" s="562"/>
      <c r="L166" s="604">
        <v>2.41</v>
      </c>
      <c r="M166" s="603"/>
      <c r="N166" s="602"/>
      <c r="V166" s="674"/>
      <c r="W166" s="675"/>
      <c r="Y166" s="537" t="s">
        <v>475</v>
      </c>
      <c r="AB166" s="675"/>
      <c r="AC166" s="680"/>
    </row>
    <row r="167" spans="1:29" s="536" customFormat="1" ht="12" x14ac:dyDescent="0.2">
      <c r="A167" s="605"/>
      <c r="B167" s="552"/>
      <c r="C167" s="1822" t="s">
        <v>314</v>
      </c>
      <c r="D167" s="1822"/>
      <c r="E167" s="1822"/>
      <c r="F167" s="562" t="s">
        <v>315</v>
      </c>
      <c r="G167" s="562" t="s">
        <v>186</v>
      </c>
      <c r="H167" s="562" t="s">
        <v>313</v>
      </c>
      <c r="I167" s="562" t="s">
        <v>722</v>
      </c>
      <c r="J167" s="604"/>
      <c r="K167" s="562"/>
      <c r="L167" s="604"/>
      <c r="M167" s="603"/>
      <c r="N167" s="602"/>
      <c r="V167" s="674"/>
      <c r="W167" s="675"/>
      <c r="Z167" s="537" t="s">
        <v>314</v>
      </c>
      <c r="AB167" s="675"/>
      <c r="AC167" s="680"/>
    </row>
    <row r="168" spans="1:29" s="536" customFormat="1" ht="12" x14ac:dyDescent="0.2">
      <c r="A168" s="605"/>
      <c r="B168" s="552"/>
      <c r="C168" s="1828" t="s">
        <v>318</v>
      </c>
      <c r="D168" s="1828"/>
      <c r="E168" s="1828"/>
      <c r="F168" s="608"/>
      <c r="G168" s="608"/>
      <c r="H168" s="608"/>
      <c r="I168" s="608"/>
      <c r="J168" s="607">
        <v>21.65</v>
      </c>
      <c r="K168" s="608"/>
      <c r="L168" s="607">
        <v>26.46</v>
      </c>
      <c r="M168" s="601"/>
      <c r="N168" s="606"/>
      <c r="V168" s="674"/>
      <c r="W168" s="675"/>
      <c r="AA168" s="537" t="s">
        <v>318</v>
      </c>
      <c r="AB168" s="675"/>
      <c r="AC168" s="680"/>
    </row>
    <row r="169" spans="1:29" s="536" customFormat="1" ht="12" x14ac:dyDescent="0.2">
      <c r="A169" s="605"/>
      <c r="B169" s="552"/>
      <c r="C169" s="1822" t="s">
        <v>319</v>
      </c>
      <c r="D169" s="1822"/>
      <c r="E169" s="1822"/>
      <c r="F169" s="562"/>
      <c r="G169" s="562"/>
      <c r="H169" s="562"/>
      <c r="I169" s="562"/>
      <c r="J169" s="604"/>
      <c r="K169" s="562"/>
      <c r="L169" s="604">
        <v>24.05</v>
      </c>
      <c r="M169" s="603"/>
      <c r="N169" s="602"/>
      <c r="V169" s="674"/>
      <c r="W169" s="675"/>
      <c r="Z169" s="537" t="s">
        <v>319</v>
      </c>
      <c r="AB169" s="675"/>
      <c r="AC169" s="680"/>
    </row>
    <row r="170" spans="1:29" s="536" customFormat="1" ht="33.75" x14ac:dyDescent="0.2">
      <c r="A170" s="605"/>
      <c r="B170" s="552" t="s">
        <v>620</v>
      </c>
      <c r="C170" s="1822" t="s">
        <v>621</v>
      </c>
      <c r="D170" s="1822"/>
      <c r="E170" s="1822"/>
      <c r="F170" s="562" t="s">
        <v>322</v>
      </c>
      <c r="G170" s="562" t="s">
        <v>559</v>
      </c>
      <c r="H170" s="562"/>
      <c r="I170" s="562" t="s">
        <v>559</v>
      </c>
      <c r="J170" s="604"/>
      <c r="K170" s="562"/>
      <c r="L170" s="604">
        <v>22.85</v>
      </c>
      <c r="M170" s="603"/>
      <c r="N170" s="602"/>
      <c r="V170" s="674"/>
      <c r="W170" s="675"/>
      <c r="Z170" s="537" t="s">
        <v>621</v>
      </c>
      <c r="AB170" s="675"/>
      <c r="AC170" s="680"/>
    </row>
    <row r="171" spans="1:29" s="536" customFormat="1" ht="33.75" x14ac:dyDescent="0.2">
      <c r="A171" s="605"/>
      <c r="B171" s="552" t="s">
        <v>622</v>
      </c>
      <c r="C171" s="1822" t="s">
        <v>623</v>
      </c>
      <c r="D171" s="1822"/>
      <c r="E171" s="1822"/>
      <c r="F171" s="562" t="s">
        <v>322</v>
      </c>
      <c r="G171" s="562" t="s">
        <v>624</v>
      </c>
      <c r="H171" s="562"/>
      <c r="I171" s="562" t="s">
        <v>624</v>
      </c>
      <c r="J171" s="604"/>
      <c r="K171" s="562"/>
      <c r="L171" s="604">
        <v>12.75</v>
      </c>
      <c r="M171" s="603"/>
      <c r="N171" s="602"/>
      <c r="V171" s="674"/>
      <c r="W171" s="675"/>
      <c r="Z171" s="537" t="s">
        <v>623</v>
      </c>
      <c r="AB171" s="675"/>
      <c r="AC171" s="680"/>
    </row>
    <row r="172" spans="1:29" s="536" customFormat="1" ht="12" x14ac:dyDescent="0.2">
      <c r="A172" s="569"/>
      <c r="B172" s="683"/>
      <c r="C172" s="1823" t="s">
        <v>327</v>
      </c>
      <c r="D172" s="1823"/>
      <c r="E172" s="1823"/>
      <c r="F172" s="573"/>
      <c r="G172" s="573"/>
      <c r="H172" s="573"/>
      <c r="I172" s="573"/>
      <c r="J172" s="572"/>
      <c r="K172" s="573"/>
      <c r="L172" s="572">
        <v>62.06</v>
      </c>
      <c r="M172" s="601"/>
      <c r="N172" s="570"/>
      <c r="V172" s="674"/>
      <c r="W172" s="675"/>
      <c r="AB172" s="675" t="s">
        <v>327</v>
      </c>
      <c r="AC172" s="680"/>
    </row>
    <row r="173" spans="1:29" s="536" customFormat="1" ht="33.75" x14ac:dyDescent="0.2">
      <c r="A173" s="575" t="s">
        <v>723</v>
      </c>
      <c r="B173" s="684" t="s">
        <v>724</v>
      </c>
      <c r="C173" s="1823" t="s">
        <v>725</v>
      </c>
      <c r="D173" s="1823"/>
      <c r="E173" s="1823"/>
      <c r="F173" s="573" t="s">
        <v>628</v>
      </c>
      <c r="G173" s="573"/>
      <c r="H173" s="573"/>
      <c r="I173" s="573" t="s">
        <v>185</v>
      </c>
      <c r="J173" s="572">
        <v>35895</v>
      </c>
      <c r="K173" s="573" t="s">
        <v>629</v>
      </c>
      <c r="L173" s="572">
        <v>7914.16</v>
      </c>
      <c r="M173" s="571">
        <v>4.59</v>
      </c>
      <c r="N173" s="570">
        <v>36326</v>
      </c>
      <c r="V173" s="674"/>
      <c r="W173" s="675" t="s">
        <v>725</v>
      </c>
      <c r="AB173" s="675"/>
      <c r="AC173" s="680"/>
    </row>
    <row r="174" spans="1:29" s="536" customFormat="1" ht="12" x14ac:dyDescent="0.2">
      <c r="A174" s="569"/>
      <c r="B174" s="683"/>
      <c r="C174" s="689" t="s">
        <v>630</v>
      </c>
      <c r="D174" s="690"/>
      <c r="E174" s="690"/>
      <c r="F174" s="563"/>
      <c r="G174" s="563"/>
      <c r="H174" s="563"/>
      <c r="I174" s="563"/>
      <c r="J174" s="566"/>
      <c r="K174" s="563"/>
      <c r="L174" s="566"/>
      <c r="M174" s="565"/>
      <c r="N174" s="564"/>
      <c r="V174" s="674"/>
      <c r="W174" s="675"/>
      <c r="AB174" s="675"/>
      <c r="AC174" s="680"/>
    </row>
    <row r="175" spans="1:29" s="536" customFormat="1" ht="22.5" x14ac:dyDescent="0.2">
      <c r="A175" s="609"/>
      <c r="B175" s="552" t="s">
        <v>631</v>
      </c>
      <c r="C175" s="1822" t="s">
        <v>632</v>
      </c>
      <c r="D175" s="1822"/>
      <c r="E175" s="1822"/>
      <c r="F175" s="1822"/>
      <c r="G175" s="1822"/>
      <c r="H175" s="1822"/>
      <c r="I175" s="1822"/>
      <c r="J175" s="1822"/>
      <c r="K175" s="1822"/>
      <c r="L175" s="1822"/>
      <c r="M175" s="1822"/>
      <c r="N175" s="1827"/>
      <c r="V175" s="674"/>
      <c r="W175" s="675"/>
      <c r="X175" s="537" t="s">
        <v>632</v>
      </c>
      <c r="AB175" s="675"/>
      <c r="AC175" s="680"/>
    </row>
    <row r="176" spans="1:29" s="536" customFormat="1" ht="22.5" x14ac:dyDescent="0.2">
      <c r="A176" s="575" t="s">
        <v>436</v>
      </c>
      <c r="B176" s="684" t="s">
        <v>726</v>
      </c>
      <c r="C176" s="1823" t="s">
        <v>727</v>
      </c>
      <c r="D176" s="1823"/>
      <c r="E176" s="1823"/>
      <c r="F176" s="573" t="s">
        <v>694</v>
      </c>
      <c r="G176" s="573"/>
      <c r="H176" s="573"/>
      <c r="I176" s="573" t="s">
        <v>728</v>
      </c>
      <c r="J176" s="572"/>
      <c r="K176" s="573"/>
      <c r="L176" s="572"/>
      <c r="M176" s="571"/>
      <c r="N176" s="570"/>
      <c r="V176" s="674"/>
      <c r="W176" s="675" t="s">
        <v>727</v>
      </c>
      <c r="AB176" s="675"/>
      <c r="AC176" s="680"/>
    </row>
    <row r="177" spans="1:31" s="536" customFormat="1" ht="12" x14ac:dyDescent="0.2">
      <c r="A177" s="676"/>
      <c r="B177" s="682"/>
      <c r="C177" s="1822" t="s">
        <v>729</v>
      </c>
      <c r="D177" s="1822"/>
      <c r="E177" s="1822"/>
      <c r="F177" s="1822"/>
      <c r="G177" s="1822"/>
      <c r="H177" s="1822"/>
      <c r="I177" s="1822"/>
      <c r="J177" s="1822"/>
      <c r="K177" s="1822"/>
      <c r="L177" s="1822"/>
      <c r="M177" s="1822"/>
      <c r="N177" s="1827"/>
      <c r="V177" s="674"/>
      <c r="W177" s="675"/>
      <c r="AB177" s="675"/>
      <c r="AC177" s="680"/>
      <c r="AE177" s="537" t="s">
        <v>729</v>
      </c>
    </row>
    <row r="178" spans="1:31" s="536" customFormat="1" ht="22.5" x14ac:dyDescent="0.2">
      <c r="A178" s="609"/>
      <c r="B178" s="552" t="s">
        <v>499</v>
      </c>
      <c r="C178" s="1822" t="s">
        <v>500</v>
      </c>
      <c r="D178" s="1822"/>
      <c r="E178" s="1822"/>
      <c r="F178" s="1822"/>
      <c r="G178" s="1822"/>
      <c r="H178" s="1822"/>
      <c r="I178" s="1822"/>
      <c r="J178" s="1822"/>
      <c r="K178" s="1822"/>
      <c r="L178" s="1822"/>
      <c r="M178" s="1822"/>
      <c r="N178" s="1827"/>
      <c r="V178" s="674"/>
      <c r="W178" s="675"/>
      <c r="X178" s="537" t="s">
        <v>500</v>
      </c>
      <c r="AB178" s="675"/>
      <c r="AC178" s="680"/>
    </row>
    <row r="179" spans="1:31" s="536" customFormat="1" ht="12" x14ac:dyDescent="0.2">
      <c r="A179" s="605"/>
      <c r="B179" s="552" t="s">
        <v>185</v>
      </c>
      <c r="C179" s="1822" t="s">
        <v>312</v>
      </c>
      <c r="D179" s="1822"/>
      <c r="E179" s="1822"/>
      <c r="F179" s="562"/>
      <c r="G179" s="562"/>
      <c r="H179" s="562"/>
      <c r="I179" s="562"/>
      <c r="J179" s="604">
        <v>211.11</v>
      </c>
      <c r="K179" s="562" t="s">
        <v>313</v>
      </c>
      <c r="L179" s="604">
        <v>10.56</v>
      </c>
      <c r="M179" s="603"/>
      <c r="N179" s="602"/>
      <c r="V179" s="674"/>
      <c r="W179" s="675"/>
      <c r="Y179" s="537" t="s">
        <v>312</v>
      </c>
      <c r="AB179" s="675"/>
      <c r="AC179" s="680"/>
    </row>
    <row r="180" spans="1:31" s="536" customFormat="1" ht="22.5" x14ac:dyDescent="0.2">
      <c r="A180" s="676"/>
      <c r="B180" s="677" t="s">
        <v>697</v>
      </c>
      <c r="C180" s="1829" t="s">
        <v>698</v>
      </c>
      <c r="D180" s="1829"/>
      <c r="E180" s="1829"/>
      <c r="F180" s="678" t="s">
        <v>699</v>
      </c>
      <c r="G180" s="678" t="s">
        <v>525</v>
      </c>
      <c r="H180" s="678"/>
      <c r="I180" s="678" t="s">
        <v>525</v>
      </c>
      <c r="J180" s="552"/>
      <c r="K180" s="562"/>
      <c r="L180" s="604"/>
      <c r="M180" s="562"/>
      <c r="N180" s="679"/>
      <c r="V180" s="674"/>
      <c r="W180" s="675"/>
      <c r="AB180" s="675"/>
      <c r="AC180" s="680" t="s">
        <v>698</v>
      </c>
    </row>
    <row r="181" spans="1:31" s="536" customFormat="1" ht="22.5" x14ac:dyDescent="0.2">
      <c r="A181" s="676"/>
      <c r="B181" s="677" t="s">
        <v>700</v>
      </c>
      <c r="C181" s="1829" t="s">
        <v>701</v>
      </c>
      <c r="D181" s="1829"/>
      <c r="E181" s="1829"/>
      <c r="F181" s="678" t="s">
        <v>694</v>
      </c>
      <c r="G181" s="678" t="s">
        <v>702</v>
      </c>
      <c r="H181" s="678"/>
      <c r="I181" s="678" t="s">
        <v>730</v>
      </c>
      <c r="J181" s="552"/>
      <c r="K181" s="562"/>
      <c r="L181" s="604"/>
      <c r="M181" s="562"/>
      <c r="N181" s="679"/>
      <c r="V181" s="674"/>
      <c r="W181" s="675"/>
      <c r="AB181" s="675"/>
      <c r="AC181" s="680" t="s">
        <v>701</v>
      </c>
    </row>
    <row r="182" spans="1:31" s="536" customFormat="1" ht="12" x14ac:dyDescent="0.2">
      <c r="A182" s="605"/>
      <c r="B182" s="552"/>
      <c r="C182" s="1822" t="s">
        <v>314</v>
      </c>
      <c r="D182" s="1822"/>
      <c r="E182" s="1822"/>
      <c r="F182" s="562" t="s">
        <v>315</v>
      </c>
      <c r="G182" s="562" t="s">
        <v>731</v>
      </c>
      <c r="H182" s="562" t="s">
        <v>313</v>
      </c>
      <c r="I182" s="562" t="s">
        <v>732</v>
      </c>
      <c r="J182" s="604"/>
      <c r="K182" s="562"/>
      <c r="L182" s="604"/>
      <c r="M182" s="603"/>
      <c r="N182" s="602"/>
      <c r="V182" s="674"/>
      <c r="W182" s="675"/>
      <c r="Z182" s="537" t="s">
        <v>314</v>
      </c>
      <c r="AB182" s="675"/>
      <c r="AC182" s="680"/>
    </row>
    <row r="183" spans="1:31" s="536" customFormat="1" ht="12" x14ac:dyDescent="0.2">
      <c r="A183" s="605"/>
      <c r="B183" s="552"/>
      <c r="C183" s="1828" t="s">
        <v>318</v>
      </c>
      <c r="D183" s="1828"/>
      <c r="E183" s="1828"/>
      <c r="F183" s="608"/>
      <c r="G183" s="608"/>
      <c r="H183" s="608"/>
      <c r="I183" s="608"/>
      <c r="J183" s="607">
        <v>211.11</v>
      </c>
      <c r="K183" s="608"/>
      <c r="L183" s="607">
        <v>10.56</v>
      </c>
      <c r="M183" s="601"/>
      <c r="N183" s="606"/>
      <c r="V183" s="674"/>
      <c r="W183" s="675"/>
      <c r="AA183" s="537" t="s">
        <v>318</v>
      </c>
      <c r="AB183" s="675"/>
      <c r="AC183" s="680"/>
    </row>
    <row r="184" spans="1:31" s="536" customFormat="1" ht="12" x14ac:dyDescent="0.2">
      <c r="A184" s="605"/>
      <c r="B184" s="552"/>
      <c r="C184" s="1822" t="s">
        <v>319</v>
      </c>
      <c r="D184" s="1822"/>
      <c r="E184" s="1822"/>
      <c r="F184" s="562"/>
      <c r="G184" s="562"/>
      <c r="H184" s="562"/>
      <c r="I184" s="562"/>
      <c r="J184" s="604"/>
      <c r="K184" s="562"/>
      <c r="L184" s="604">
        <v>10.56</v>
      </c>
      <c r="M184" s="603"/>
      <c r="N184" s="602"/>
      <c r="V184" s="674"/>
      <c r="W184" s="675"/>
      <c r="Z184" s="537" t="s">
        <v>319</v>
      </c>
      <c r="AB184" s="675"/>
      <c r="AC184" s="680"/>
    </row>
    <row r="185" spans="1:31" s="536" customFormat="1" ht="33.75" x14ac:dyDescent="0.2">
      <c r="A185" s="605"/>
      <c r="B185" s="552" t="s">
        <v>708</v>
      </c>
      <c r="C185" s="1822" t="s">
        <v>709</v>
      </c>
      <c r="D185" s="1822"/>
      <c r="E185" s="1822"/>
      <c r="F185" s="562" t="s">
        <v>322</v>
      </c>
      <c r="G185" s="562" t="s">
        <v>710</v>
      </c>
      <c r="H185" s="562"/>
      <c r="I185" s="562" t="s">
        <v>710</v>
      </c>
      <c r="J185" s="604"/>
      <c r="K185" s="562"/>
      <c r="L185" s="604">
        <v>10.88</v>
      </c>
      <c r="M185" s="603"/>
      <c r="N185" s="602"/>
      <c r="V185" s="674"/>
      <c r="W185" s="675"/>
      <c r="Z185" s="537" t="s">
        <v>709</v>
      </c>
      <c r="AB185" s="675"/>
      <c r="AC185" s="680"/>
    </row>
    <row r="186" spans="1:31" s="536" customFormat="1" ht="33.75" x14ac:dyDescent="0.2">
      <c r="A186" s="605"/>
      <c r="B186" s="552" t="s">
        <v>711</v>
      </c>
      <c r="C186" s="1822" t="s">
        <v>712</v>
      </c>
      <c r="D186" s="1822"/>
      <c r="E186" s="1822"/>
      <c r="F186" s="562" t="s">
        <v>322</v>
      </c>
      <c r="G186" s="562" t="s">
        <v>713</v>
      </c>
      <c r="H186" s="562"/>
      <c r="I186" s="562" t="s">
        <v>713</v>
      </c>
      <c r="J186" s="604"/>
      <c r="K186" s="562"/>
      <c r="L186" s="604">
        <v>6.34</v>
      </c>
      <c r="M186" s="603"/>
      <c r="N186" s="602"/>
      <c r="V186" s="674"/>
      <c r="W186" s="675"/>
      <c r="Z186" s="537" t="s">
        <v>712</v>
      </c>
      <c r="AB186" s="675"/>
      <c r="AC186" s="680"/>
    </row>
    <row r="187" spans="1:31" s="536" customFormat="1" ht="12" x14ac:dyDescent="0.2">
      <c r="A187" s="569"/>
      <c r="B187" s="683"/>
      <c r="C187" s="1823" t="s">
        <v>327</v>
      </c>
      <c r="D187" s="1823"/>
      <c r="E187" s="1823"/>
      <c r="F187" s="573"/>
      <c r="G187" s="573"/>
      <c r="H187" s="573"/>
      <c r="I187" s="573"/>
      <c r="J187" s="572"/>
      <c r="K187" s="573"/>
      <c r="L187" s="572">
        <v>27.78</v>
      </c>
      <c r="M187" s="601"/>
      <c r="N187" s="570"/>
      <c r="V187" s="674"/>
      <c r="W187" s="675"/>
      <c r="AB187" s="675" t="s">
        <v>327</v>
      </c>
      <c r="AC187" s="680"/>
    </row>
    <row r="188" spans="1:31" s="536" customFormat="1" ht="33.75" x14ac:dyDescent="0.2">
      <c r="A188" s="575" t="s">
        <v>733</v>
      </c>
      <c r="B188" s="684" t="s">
        <v>734</v>
      </c>
      <c r="C188" s="1823" t="s">
        <v>735</v>
      </c>
      <c r="D188" s="1823"/>
      <c r="E188" s="1823"/>
      <c r="F188" s="573" t="s">
        <v>628</v>
      </c>
      <c r="G188" s="573"/>
      <c r="H188" s="573"/>
      <c r="I188" s="573" t="s">
        <v>188</v>
      </c>
      <c r="J188" s="572">
        <v>10008.33</v>
      </c>
      <c r="K188" s="573" t="s">
        <v>716</v>
      </c>
      <c r="L188" s="572">
        <v>4907.93</v>
      </c>
      <c r="M188" s="571">
        <v>8.32</v>
      </c>
      <c r="N188" s="570">
        <v>40834</v>
      </c>
      <c r="V188" s="674"/>
      <c r="W188" s="675" t="s">
        <v>735</v>
      </c>
      <c r="AB188" s="675"/>
      <c r="AC188" s="680"/>
    </row>
    <row r="189" spans="1:31" s="536" customFormat="1" ht="12" x14ac:dyDescent="0.2">
      <c r="A189" s="569"/>
      <c r="B189" s="683"/>
      <c r="C189" s="689" t="s">
        <v>717</v>
      </c>
      <c r="D189" s="690"/>
      <c r="E189" s="690"/>
      <c r="F189" s="563"/>
      <c r="G189" s="563"/>
      <c r="H189" s="563"/>
      <c r="I189" s="563"/>
      <c r="J189" s="566"/>
      <c r="K189" s="563"/>
      <c r="L189" s="566"/>
      <c r="M189" s="565"/>
      <c r="N189" s="564"/>
      <c r="V189" s="674"/>
      <c r="W189" s="675"/>
      <c r="AB189" s="675"/>
      <c r="AC189" s="680"/>
    </row>
    <row r="190" spans="1:31" s="536" customFormat="1" ht="22.5" x14ac:dyDescent="0.2">
      <c r="A190" s="609"/>
      <c r="B190" s="552" t="s">
        <v>718</v>
      </c>
      <c r="C190" s="1822" t="s">
        <v>719</v>
      </c>
      <c r="D190" s="1822"/>
      <c r="E190" s="1822"/>
      <c r="F190" s="1822"/>
      <c r="G190" s="1822"/>
      <c r="H190" s="1822"/>
      <c r="I190" s="1822"/>
      <c r="J190" s="1822"/>
      <c r="K190" s="1822"/>
      <c r="L190" s="1822"/>
      <c r="M190" s="1822"/>
      <c r="N190" s="1827"/>
      <c r="V190" s="674"/>
      <c r="W190" s="675"/>
      <c r="X190" s="537" t="s">
        <v>719</v>
      </c>
      <c r="AB190" s="675"/>
      <c r="AC190" s="680"/>
    </row>
    <row r="191" spans="1:31" s="536" customFormat="1" ht="22.5" x14ac:dyDescent="0.2">
      <c r="A191" s="575" t="s">
        <v>736</v>
      </c>
      <c r="B191" s="684" t="s">
        <v>737</v>
      </c>
      <c r="C191" s="1823" t="s">
        <v>738</v>
      </c>
      <c r="D191" s="1823"/>
      <c r="E191" s="1823"/>
      <c r="F191" s="573" t="s">
        <v>617</v>
      </c>
      <c r="G191" s="573"/>
      <c r="H191" s="573"/>
      <c r="I191" s="573" t="s">
        <v>188</v>
      </c>
      <c r="J191" s="572"/>
      <c r="K191" s="573"/>
      <c r="L191" s="572"/>
      <c r="M191" s="571"/>
      <c r="N191" s="570"/>
      <c r="V191" s="674"/>
      <c r="W191" s="675" t="s">
        <v>738</v>
      </c>
      <c r="AB191" s="675"/>
      <c r="AC191" s="680"/>
    </row>
    <row r="192" spans="1:31" s="536" customFormat="1" ht="22.5" x14ac:dyDescent="0.2">
      <c r="A192" s="609"/>
      <c r="B192" s="552" t="s">
        <v>499</v>
      </c>
      <c r="C192" s="1822" t="s">
        <v>500</v>
      </c>
      <c r="D192" s="1822"/>
      <c r="E192" s="1822"/>
      <c r="F192" s="1822"/>
      <c r="G192" s="1822"/>
      <c r="H192" s="1822"/>
      <c r="I192" s="1822"/>
      <c r="J192" s="1822"/>
      <c r="K192" s="1822"/>
      <c r="L192" s="1822"/>
      <c r="M192" s="1822"/>
      <c r="N192" s="1827"/>
      <c r="V192" s="674"/>
      <c r="W192" s="675"/>
      <c r="X192" s="537" t="s">
        <v>500</v>
      </c>
      <c r="AB192" s="675"/>
      <c r="AC192" s="680"/>
    </row>
    <row r="193" spans="1:32" s="536" customFormat="1" ht="12" x14ac:dyDescent="0.2">
      <c r="A193" s="605"/>
      <c r="B193" s="552" t="s">
        <v>185</v>
      </c>
      <c r="C193" s="1822" t="s">
        <v>312</v>
      </c>
      <c r="D193" s="1822"/>
      <c r="E193" s="1822"/>
      <c r="F193" s="562"/>
      <c r="G193" s="562"/>
      <c r="H193" s="562"/>
      <c r="I193" s="562"/>
      <c r="J193" s="604">
        <v>34.020000000000003</v>
      </c>
      <c r="K193" s="562" t="s">
        <v>313</v>
      </c>
      <c r="L193" s="604">
        <v>170.1</v>
      </c>
      <c r="M193" s="603"/>
      <c r="N193" s="602"/>
      <c r="V193" s="674"/>
      <c r="W193" s="675"/>
      <c r="Y193" s="537" t="s">
        <v>312</v>
      </c>
      <c r="AB193" s="675"/>
      <c r="AC193" s="680"/>
    </row>
    <row r="194" spans="1:32" s="536" customFormat="1" ht="12" x14ac:dyDescent="0.2">
      <c r="A194" s="605"/>
      <c r="B194" s="552" t="s">
        <v>188</v>
      </c>
      <c r="C194" s="1822" t="s">
        <v>475</v>
      </c>
      <c r="D194" s="1822"/>
      <c r="E194" s="1822"/>
      <c r="F194" s="562"/>
      <c r="G194" s="562"/>
      <c r="H194" s="562"/>
      <c r="I194" s="562"/>
      <c r="J194" s="604">
        <v>0.68</v>
      </c>
      <c r="K194" s="562"/>
      <c r="L194" s="604">
        <v>2.72</v>
      </c>
      <c r="M194" s="603"/>
      <c r="N194" s="602"/>
      <c r="V194" s="674"/>
      <c r="W194" s="675"/>
      <c r="Y194" s="537" t="s">
        <v>475</v>
      </c>
      <c r="AB194" s="675"/>
      <c r="AC194" s="680"/>
    </row>
    <row r="195" spans="1:32" s="536" customFormat="1" ht="12" x14ac:dyDescent="0.2">
      <c r="A195" s="605"/>
      <c r="B195" s="552"/>
      <c r="C195" s="1822" t="s">
        <v>314</v>
      </c>
      <c r="D195" s="1822"/>
      <c r="E195" s="1822"/>
      <c r="F195" s="562" t="s">
        <v>315</v>
      </c>
      <c r="G195" s="562" t="s">
        <v>739</v>
      </c>
      <c r="H195" s="562" t="s">
        <v>313</v>
      </c>
      <c r="I195" s="562" t="s">
        <v>740</v>
      </c>
      <c r="J195" s="604"/>
      <c r="K195" s="562"/>
      <c r="L195" s="604"/>
      <c r="M195" s="603"/>
      <c r="N195" s="602"/>
      <c r="V195" s="674"/>
      <c r="W195" s="675"/>
      <c r="Z195" s="537" t="s">
        <v>314</v>
      </c>
      <c r="AB195" s="675"/>
      <c r="AC195" s="680"/>
    </row>
    <row r="196" spans="1:32" s="536" customFormat="1" ht="12" x14ac:dyDescent="0.2">
      <c r="A196" s="605"/>
      <c r="B196" s="552"/>
      <c r="C196" s="1828" t="s">
        <v>318</v>
      </c>
      <c r="D196" s="1828"/>
      <c r="E196" s="1828"/>
      <c r="F196" s="608"/>
      <c r="G196" s="608"/>
      <c r="H196" s="608"/>
      <c r="I196" s="608"/>
      <c r="J196" s="607">
        <v>34.700000000000003</v>
      </c>
      <c r="K196" s="608"/>
      <c r="L196" s="607">
        <v>172.82</v>
      </c>
      <c r="M196" s="601"/>
      <c r="N196" s="606"/>
      <c r="V196" s="674"/>
      <c r="W196" s="675"/>
      <c r="AA196" s="537" t="s">
        <v>318</v>
      </c>
      <c r="AB196" s="675"/>
      <c r="AC196" s="680"/>
    </row>
    <row r="197" spans="1:32" s="536" customFormat="1" ht="12" x14ac:dyDescent="0.2">
      <c r="A197" s="605"/>
      <c r="B197" s="552"/>
      <c r="C197" s="1822" t="s">
        <v>319</v>
      </c>
      <c r="D197" s="1822"/>
      <c r="E197" s="1822"/>
      <c r="F197" s="562"/>
      <c r="G197" s="562"/>
      <c r="H197" s="562"/>
      <c r="I197" s="562"/>
      <c r="J197" s="604"/>
      <c r="K197" s="562"/>
      <c r="L197" s="604">
        <v>170.1</v>
      </c>
      <c r="M197" s="603"/>
      <c r="N197" s="602"/>
      <c r="V197" s="674"/>
      <c r="W197" s="675"/>
      <c r="Z197" s="537" t="s">
        <v>319</v>
      </c>
      <c r="AB197" s="675"/>
      <c r="AC197" s="680"/>
    </row>
    <row r="198" spans="1:32" s="536" customFormat="1" ht="33.75" x14ac:dyDescent="0.2">
      <c r="A198" s="605"/>
      <c r="B198" s="552" t="s">
        <v>741</v>
      </c>
      <c r="C198" s="1822" t="s">
        <v>742</v>
      </c>
      <c r="D198" s="1822"/>
      <c r="E198" s="1822"/>
      <c r="F198" s="562" t="s">
        <v>322</v>
      </c>
      <c r="G198" s="562" t="s">
        <v>743</v>
      </c>
      <c r="H198" s="562"/>
      <c r="I198" s="562" t="s">
        <v>743</v>
      </c>
      <c r="J198" s="604"/>
      <c r="K198" s="562"/>
      <c r="L198" s="604">
        <v>166.7</v>
      </c>
      <c r="M198" s="603"/>
      <c r="N198" s="602"/>
      <c r="V198" s="674"/>
      <c r="W198" s="675"/>
      <c r="Z198" s="537" t="s">
        <v>742</v>
      </c>
      <c r="AB198" s="675"/>
      <c r="AC198" s="680"/>
    </row>
    <row r="199" spans="1:32" s="536" customFormat="1" ht="33.75" x14ac:dyDescent="0.2">
      <c r="A199" s="605"/>
      <c r="B199" s="552" t="s">
        <v>744</v>
      </c>
      <c r="C199" s="1822" t="s">
        <v>745</v>
      </c>
      <c r="D199" s="1822"/>
      <c r="E199" s="1822"/>
      <c r="F199" s="562" t="s">
        <v>322</v>
      </c>
      <c r="G199" s="562" t="s">
        <v>690</v>
      </c>
      <c r="H199" s="562"/>
      <c r="I199" s="562" t="s">
        <v>690</v>
      </c>
      <c r="J199" s="604"/>
      <c r="K199" s="562"/>
      <c r="L199" s="604">
        <v>98.66</v>
      </c>
      <c r="M199" s="603"/>
      <c r="N199" s="602"/>
      <c r="V199" s="674"/>
      <c r="W199" s="675"/>
      <c r="Z199" s="537" t="s">
        <v>745</v>
      </c>
      <c r="AB199" s="675"/>
      <c r="AC199" s="680"/>
    </row>
    <row r="200" spans="1:32" s="536" customFormat="1" ht="12" x14ac:dyDescent="0.2">
      <c r="A200" s="569"/>
      <c r="B200" s="683"/>
      <c r="C200" s="1823" t="s">
        <v>327</v>
      </c>
      <c r="D200" s="1823"/>
      <c r="E200" s="1823"/>
      <c r="F200" s="573"/>
      <c r="G200" s="573"/>
      <c r="H200" s="573"/>
      <c r="I200" s="573"/>
      <c r="J200" s="572"/>
      <c r="K200" s="573"/>
      <c r="L200" s="572">
        <v>438.18</v>
      </c>
      <c r="M200" s="601"/>
      <c r="N200" s="570"/>
      <c r="V200" s="674"/>
      <c r="W200" s="675"/>
      <c r="AB200" s="675" t="s">
        <v>327</v>
      </c>
      <c r="AC200" s="680"/>
    </row>
    <row r="201" spans="1:32" s="536" customFormat="1" ht="33.75" x14ac:dyDescent="0.2">
      <c r="A201" s="575" t="s">
        <v>746</v>
      </c>
      <c r="B201" s="684" t="s">
        <v>747</v>
      </c>
      <c r="C201" s="1823" t="s">
        <v>748</v>
      </c>
      <c r="D201" s="1823"/>
      <c r="E201" s="1823"/>
      <c r="F201" s="573" t="s">
        <v>628</v>
      </c>
      <c r="G201" s="573"/>
      <c r="H201" s="573"/>
      <c r="I201" s="573" t="s">
        <v>188</v>
      </c>
      <c r="J201" s="572">
        <v>26071.67</v>
      </c>
      <c r="K201" s="573" t="s">
        <v>629</v>
      </c>
      <c r="L201" s="572">
        <v>22993.03</v>
      </c>
      <c r="M201" s="571">
        <v>4.59</v>
      </c>
      <c r="N201" s="570">
        <v>105538</v>
      </c>
      <c r="V201" s="674"/>
      <c r="W201" s="675" t="s">
        <v>748</v>
      </c>
      <c r="AB201" s="675"/>
      <c r="AC201" s="680"/>
    </row>
    <row r="202" spans="1:32" s="536" customFormat="1" ht="12" x14ac:dyDescent="0.2">
      <c r="A202" s="569"/>
      <c r="B202" s="683"/>
      <c r="C202" s="689" t="s">
        <v>630</v>
      </c>
      <c r="D202" s="690"/>
      <c r="E202" s="690"/>
      <c r="F202" s="563"/>
      <c r="G202" s="563"/>
      <c r="H202" s="563"/>
      <c r="I202" s="563"/>
      <c r="J202" s="566"/>
      <c r="K202" s="563"/>
      <c r="L202" s="566"/>
      <c r="M202" s="565"/>
      <c r="N202" s="564"/>
      <c r="V202" s="674"/>
      <c r="W202" s="675"/>
      <c r="AB202" s="675"/>
      <c r="AC202" s="680"/>
    </row>
    <row r="203" spans="1:32" s="536" customFormat="1" ht="22.5" x14ac:dyDescent="0.2">
      <c r="A203" s="609"/>
      <c r="B203" s="552" t="s">
        <v>631</v>
      </c>
      <c r="C203" s="1822" t="s">
        <v>632</v>
      </c>
      <c r="D203" s="1822"/>
      <c r="E203" s="1822"/>
      <c r="F203" s="1822"/>
      <c r="G203" s="1822"/>
      <c r="H203" s="1822"/>
      <c r="I203" s="1822"/>
      <c r="J203" s="1822"/>
      <c r="K203" s="1822"/>
      <c r="L203" s="1822"/>
      <c r="M203" s="1822"/>
      <c r="N203" s="1827"/>
      <c r="V203" s="674"/>
      <c r="W203" s="675"/>
      <c r="X203" s="537" t="s">
        <v>632</v>
      </c>
      <c r="AB203" s="675"/>
      <c r="AC203" s="680"/>
    </row>
    <row r="204" spans="1:32" s="536" customFormat="1" ht="33.75" x14ac:dyDescent="0.2">
      <c r="A204" s="575" t="s">
        <v>749</v>
      </c>
      <c r="B204" s="684" t="s">
        <v>750</v>
      </c>
      <c r="C204" s="1823" t="s">
        <v>751</v>
      </c>
      <c r="D204" s="1823"/>
      <c r="E204" s="1823"/>
      <c r="F204" s="573" t="s">
        <v>628</v>
      </c>
      <c r="G204" s="573"/>
      <c r="H204" s="573"/>
      <c r="I204" s="573" t="s">
        <v>188</v>
      </c>
      <c r="J204" s="572">
        <v>46459.17</v>
      </c>
      <c r="K204" s="573" t="s">
        <v>629</v>
      </c>
      <c r="L204" s="572">
        <v>40973.199999999997</v>
      </c>
      <c r="M204" s="571">
        <v>4.59</v>
      </c>
      <c r="N204" s="570">
        <v>188067</v>
      </c>
      <c r="V204" s="674"/>
      <c r="W204" s="675" t="s">
        <v>751</v>
      </c>
      <c r="AB204" s="675"/>
      <c r="AC204" s="680"/>
    </row>
    <row r="205" spans="1:32" s="536" customFormat="1" ht="12" x14ac:dyDescent="0.2">
      <c r="A205" s="569"/>
      <c r="B205" s="683"/>
      <c r="C205" s="689" t="s">
        <v>630</v>
      </c>
      <c r="D205" s="690"/>
      <c r="E205" s="690"/>
      <c r="F205" s="563"/>
      <c r="G205" s="563"/>
      <c r="H205" s="563"/>
      <c r="I205" s="563"/>
      <c r="J205" s="566"/>
      <c r="K205" s="563"/>
      <c r="L205" s="566"/>
      <c r="M205" s="565"/>
      <c r="N205" s="564"/>
      <c r="V205" s="674"/>
      <c r="W205" s="675"/>
      <c r="AB205" s="675"/>
      <c r="AC205" s="680"/>
    </row>
    <row r="206" spans="1:32" s="536" customFormat="1" ht="22.5" x14ac:dyDescent="0.2">
      <c r="A206" s="609"/>
      <c r="B206" s="552" t="s">
        <v>631</v>
      </c>
      <c r="C206" s="1822" t="s">
        <v>632</v>
      </c>
      <c r="D206" s="1822"/>
      <c r="E206" s="1822"/>
      <c r="F206" s="1822"/>
      <c r="G206" s="1822"/>
      <c r="H206" s="1822"/>
      <c r="I206" s="1822"/>
      <c r="J206" s="1822"/>
      <c r="K206" s="1822"/>
      <c r="L206" s="1822"/>
      <c r="M206" s="1822"/>
      <c r="N206" s="1827"/>
      <c r="V206" s="674"/>
      <c r="W206" s="675"/>
      <c r="X206" s="537" t="s">
        <v>632</v>
      </c>
      <c r="AB206" s="675"/>
      <c r="AC206" s="680"/>
    </row>
    <row r="207" spans="1:32" s="536" customFormat="1" ht="1.5" customHeight="1" x14ac:dyDescent="0.2">
      <c r="A207" s="563"/>
      <c r="B207" s="683"/>
      <c r="C207" s="683"/>
      <c r="D207" s="683"/>
      <c r="E207" s="683"/>
      <c r="F207" s="563"/>
      <c r="G207" s="563"/>
      <c r="H207" s="563"/>
      <c r="I207" s="563"/>
      <c r="J207" s="546"/>
      <c r="K207" s="563"/>
      <c r="L207" s="546"/>
      <c r="M207" s="562"/>
      <c r="N207" s="546"/>
      <c r="V207" s="674"/>
      <c r="W207" s="675"/>
      <c r="AB207" s="675"/>
      <c r="AC207" s="680"/>
    </row>
    <row r="208" spans="1:32" s="536" customFormat="1" ht="12" x14ac:dyDescent="0.2">
      <c r="A208" s="557"/>
      <c r="B208" s="556"/>
      <c r="C208" s="1823" t="s">
        <v>752</v>
      </c>
      <c r="D208" s="1823"/>
      <c r="E208" s="1823"/>
      <c r="F208" s="1823"/>
      <c r="G208" s="1823"/>
      <c r="H208" s="1823"/>
      <c r="I208" s="1823"/>
      <c r="J208" s="1823"/>
      <c r="K208" s="1823"/>
      <c r="L208" s="555"/>
      <c r="M208" s="554"/>
      <c r="N208" s="553"/>
      <c r="V208" s="674"/>
      <c r="W208" s="675"/>
      <c r="AB208" s="675"/>
      <c r="AC208" s="680"/>
      <c r="AF208" s="675" t="s">
        <v>752</v>
      </c>
    </row>
    <row r="209" spans="1:33" s="536" customFormat="1" ht="12" x14ac:dyDescent="0.2">
      <c r="A209" s="548"/>
      <c r="B209" s="552"/>
      <c r="C209" s="1822" t="s">
        <v>403</v>
      </c>
      <c r="D209" s="1822"/>
      <c r="E209" s="1822"/>
      <c r="F209" s="1822"/>
      <c r="G209" s="1822"/>
      <c r="H209" s="1822"/>
      <c r="I209" s="1822"/>
      <c r="J209" s="1822"/>
      <c r="K209" s="1822"/>
      <c r="L209" s="551">
        <v>11776.7</v>
      </c>
      <c r="M209" s="550"/>
      <c r="N209" s="549"/>
      <c r="V209" s="674"/>
      <c r="W209" s="675"/>
      <c r="AB209" s="675"/>
      <c r="AC209" s="680"/>
      <c r="AF209" s="675"/>
      <c r="AG209" s="537" t="s">
        <v>403</v>
      </c>
    </row>
    <row r="210" spans="1:33" s="536" customFormat="1" ht="12" x14ac:dyDescent="0.2">
      <c r="A210" s="548"/>
      <c r="B210" s="552"/>
      <c r="C210" s="1822" t="s">
        <v>204</v>
      </c>
      <c r="D210" s="1822"/>
      <c r="E210" s="1822"/>
      <c r="F210" s="1822"/>
      <c r="G210" s="1822"/>
      <c r="H210" s="1822"/>
      <c r="I210" s="1822"/>
      <c r="J210" s="1822"/>
      <c r="K210" s="1822"/>
      <c r="L210" s="551"/>
      <c r="M210" s="550"/>
      <c r="N210" s="549"/>
      <c r="V210" s="674"/>
      <c r="W210" s="675"/>
      <c r="AB210" s="675"/>
      <c r="AC210" s="680"/>
      <c r="AF210" s="675"/>
      <c r="AG210" s="537" t="s">
        <v>204</v>
      </c>
    </row>
    <row r="211" spans="1:33" s="536" customFormat="1" ht="12" x14ac:dyDescent="0.2">
      <c r="A211" s="548"/>
      <c r="B211" s="552"/>
      <c r="C211" s="1822" t="s">
        <v>404</v>
      </c>
      <c r="D211" s="1822"/>
      <c r="E211" s="1822"/>
      <c r="F211" s="1822"/>
      <c r="G211" s="1822"/>
      <c r="H211" s="1822"/>
      <c r="I211" s="1822"/>
      <c r="J211" s="1822"/>
      <c r="K211" s="1822"/>
      <c r="L211" s="551">
        <v>2220.62</v>
      </c>
      <c r="M211" s="550"/>
      <c r="N211" s="549"/>
      <c r="V211" s="674"/>
      <c r="W211" s="675"/>
      <c r="AB211" s="675"/>
      <c r="AC211" s="680"/>
      <c r="AF211" s="675"/>
      <c r="AG211" s="537" t="s">
        <v>404</v>
      </c>
    </row>
    <row r="212" spans="1:33" s="536" customFormat="1" ht="12" x14ac:dyDescent="0.2">
      <c r="A212" s="548"/>
      <c r="B212" s="552"/>
      <c r="C212" s="1822" t="s">
        <v>405</v>
      </c>
      <c r="D212" s="1822"/>
      <c r="E212" s="1822"/>
      <c r="F212" s="1822"/>
      <c r="G212" s="1822"/>
      <c r="H212" s="1822"/>
      <c r="I212" s="1822"/>
      <c r="J212" s="1822"/>
      <c r="K212" s="1822"/>
      <c r="L212" s="551">
        <v>538.39</v>
      </c>
      <c r="M212" s="550"/>
      <c r="N212" s="549"/>
      <c r="V212" s="674"/>
      <c r="W212" s="675"/>
      <c r="AB212" s="675"/>
      <c r="AC212" s="680"/>
      <c r="AF212" s="675"/>
      <c r="AG212" s="537" t="s">
        <v>405</v>
      </c>
    </row>
    <row r="213" spans="1:33" s="536" customFormat="1" ht="12" x14ac:dyDescent="0.2">
      <c r="A213" s="548"/>
      <c r="B213" s="552"/>
      <c r="C213" s="1822" t="s">
        <v>406</v>
      </c>
      <c r="D213" s="1822"/>
      <c r="E213" s="1822"/>
      <c r="F213" s="1822"/>
      <c r="G213" s="1822"/>
      <c r="H213" s="1822"/>
      <c r="I213" s="1822"/>
      <c r="J213" s="1822"/>
      <c r="K213" s="1822"/>
      <c r="L213" s="551">
        <v>46.56</v>
      </c>
      <c r="M213" s="550"/>
      <c r="N213" s="549"/>
      <c r="V213" s="674"/>
      <c r="W213" s="675"/>
      <c r="AB213" s="675"/>
      <c r="AC213" s="680"/>
      <c r="AF213" s="675"/>
      <c r="AG213" s="537" t="s">
        <v>406</v>
      </c>
    </row>
    <row r="214" spans="1:33" s="536" customFormat="1" ht="12" x14ac:dyDescent="0.2">
      <c r="A214" s="548"/>
      <c r="B214" s="552"/>
      <c r="C214" s="1822" t="s">
        <v>480</v>
      </c>
      <c r="D214" s="1822"/>
      <c r="E214" s="1822"/>
      <c r="F214" s="1822"/>
      <c r="G214" s="1822"/>
      <c r="H214" s="1822"/>
      <c r="I214" s="1822"/>
      <c r="J214" s="1822"/>
      <c r="K214" s="1822"/>
      <c r="L214" s="551">
        <v>9017.69</v>
      </c>
      <c r="M214" s="550"/>
      <c r="N214" s="549"/>
      <c r="V214" s="674"/>
      <c r="W214" s="675"/>
      <c r="AB214" s="675"/>
      <c r="AC214" s="680"/>
      <c r="AF214" s="675"/>
      <c r="AG214" s="537" t="s">
        <v>480</v>
      </c>
    </row>
    <row r="215" spans="1:33" s="536" customFormat="1" ht="12" x14ac:dyDescent="0.2">
      <c r="A215" s="548"/>
      <c r="B215" s="552"/>
      <c r="C215" s="1822" t="s">
        <v>407</v>
      </c>
      <c r="D215" s="1822"/>
      <c r="E215" s="1822"/>
      <c r="F215" s="1822"/>
      <c r="G215" s="1822"/>
      <c r="H215" s="1822"/>
      <c r="I215" s="1822"/>
      <c r="J215" s="1822"/>
      <c r="K215" s="1822"/>
      <c r="L215" s="551">
        <v>8646.86</v>
      </c>
      <c r="M215" s="550"/>
      <c r="N215" s="549"/>
      <c r="V215" s="674"/>
      <c r="W215" s="675"/>
      <c r="AB215" s="675"/>
      <c r="AC215" s="680"/>
      <c r="AF215" s="675"/>
      <c r="AG215" s="537" t="s">
        <v>407</v>
      </c>
    </row>
    <row r="216" spans="1:33" s="536" customFormat="1" ht="12" x14ac:dyDescent="0.2">
      <c r="A216" s="548"/>
      <c r="B216" s="552"/>
      <c r="C216" s="1822" t="s">
        <v>204</v>
      </c>
      <c r="D216" s="1822"/>
      <c r="E216" s="1822"/>
      <c r="F216" s="1822"/>
      <c r="G216" s="1822"/>
      <c r="H216" s="1822"/>
      <c r="I216" s="1822"/>
      <c r="J216" s="1822"/>
      <c r="K216" s="1822"/>
      <c r="L216" s="551"/>
      <c r="M216" s="550"/>
      <c r="N216" s="549"/>
      <c r="V216" s="674"/>
      <c r="W216" s="675"/>
      <c r="AB216" s="675"/>
      <c r="AC216" s="680"/>
      <c r="AF216" s="675"/>
      <c r="AG216" s="537" t="s">
        <v>204</v>
      </c>
    </row>
    <row r="217" spans="1:33" s="536" customFormat="1" ht="12" x14ac:dyDescent="0.2">
      <c r="A217" s="548"/>
      <c r="B217" s="552"/>
      <c r="C217" s="1822" t="s">
        <v>546</v>
      </c>
      <c r="D217" s="1822"/>
      <c r="E217" s="1822"/>
      <c r="F217" s="1822"/>
      <c r="G217" s="1822"/>
      <c r="H217" s="1822"/>
      <c r="I217" s="1822"/>
      <c r="J217" s="1822"/>
      <c r="K217" s="1822"/>
      <c r="L217" s="551">
        <v>419.97</v>
      </c>
      <c r="M217" s="550"/>
      <c r="N217" s="549"/>
      <c r="V217" s="674"/>
      <c r="W217" s="675"/>
      <c r="AB217" s="675"/>
      <c r="AC217" s="680"/>
      <c r="AF217" s="675"/>
      <c r="AG217" s="537" t="s">
        <v>546</v>
      </c>
    </row>
    <row r="218" spans="1:33" s="536" customFormat="1" ht="12" x14ac:dyDescent="0.2">
      <c r="A218" s="548"/>
      <c r="B218" s="552"/>
      <c r="C218" s="1822" t="s">
        <v>442</v>
      </c>
      <c r="D218" s="1822"/>
      <c r="E218" s="1822"/>
      <c r="F218" s="1822"/>
      <c r="G218" s="1822"/>
      <c r="H218" s="1822"/>
      <c r="I218" s="1822"/>
      <c r="J218" s="1822"/>
      <c r="K218" s="1822"/>
      <c r="L218" s="551">
        <v>39.04</v>
      </c>
      <c r="M218" s="550"/>
      <c r="N218" s="549"/>
      <c r="V218" s="674"/>
      <c r="W218" s="675"/>
      <c r="AB218" s="675"/>
      <c r="AC218" s="680"/>
      <c r="AF218" s="675"/>
      <c r="AG218" s="537" t="s">
        <v>442</v>
      </c>
    </row>
    <row r="219" spans="1:33" s="536" customFormat="1" ht="12" x14ac:dyDescent="0.2">
      <c r="A219" s="548"/>
      <c r="B219" s="552"/>
      <c r="C219" s="1822" t="s">
        <v>547</v>
      </c>
      <c r="D219" s="1822"/>
      <c r="E219" s="1822"/>
      <c r="F219" s="1822"/>
      <c r="G219" s="1822"/>
      <c r="H219" s="1822"/>
      <c r="I219" s="1822"/>
      <c r="J219" s="1822"/>
      <c r="K219" s="1822"/>
      <c r="L219" s="551">
        <v>7526.26</v>
      </c>
      <c r="M219" s="550"/>
      <c r="N219" s="549"/>
      <c r="V219" s="674"/>
      <c r="W219" s="675"/>
      <c r="AB219" s="675"/>
      <c r="AC219" s="680"/>
      <c r="AF219" s="675"/>
      <c r="AG219" s="537" t="s">
        <v>547</v>
      </c>
    </row>
    <row r="220" spans="1:33" s="536" customFormat="1" ht="12" x14ac:dyDescent="0.2">
      <c r="A220" s="548"/>
      <c r="B220" s="552"/>
      <c r="C220" s="1822" t="s">
        <v>443</v>
      </c>
      <c r="D220" s="1822"/>
      <c r="E220" s="1822"/>
      <c r="F220" s="1822"/>
      <c r="G220" s="1822"/>
      <c r="H220" s="1822"/>
      <c r="I220" s="1822"/>
      <c r="J220" s="1822"/>
      <c r="K220" s="1822"/>
      <c r="L220" s="551">
        <v>408.96</v>
      </c>
      <c r="M220" s="550"/>
      <c r="N220" s="549"/>
      <c r="V220" s="674"/>
      <c r="W220" s="675"/>
      <c r="AB220" s="675"/>
      <c r="AC220" s="680"/>
      <c r="AF220" s="675"/>
      <c r="AG220" s="537" t="s">
        <v>443</v>
      </c>
    </row>
    <row r="221" spans="1:33" s="536" customFormat="1" ht="12" x14ac:dyDescent="0.2">
      <c r="A221" s="548"/>
      <c r="B221" s="552"/>
      <c r="C221" s="1822" t="s">
        <v>444</v>
      </c>
      <c r="D221" s="1822"/>
      <c r="E221" s="1822"/>
      <c r="F221" s="1822"/>
      <c r="G221" s="1822"/>
      <c r="H221" s="1822"/>
      <c r="I221" s="1822"/>
      <c r="J221" s="1822"/>
      <c r="K221" s="1822"/>
      <c r="L221" s="551">
        <v>252.63</v>
      </c>
      <c r="M221" s="550"/>
      <c r="N221" s="549"/>
      <c r="V221" s="674"/>
      <c r="W221" s="675"/>
      <c r="AB221" s="675"/>
      <c r="AC221" s="680"/>
      <c r="AF221" s="675"/>
      <c r="AG221" s="537" t="s">
        <v>444</v>
      </c>
    </row>
    <row r="222" spans="1:33" s="536" customFormat="1" ht="12" x14ac:dyDescent="0.2">
      <c r="A222" s="548"/>
      <c r="B222" s="552"/>
      <c r="C222" s="1822" t="s">
        <v>753</v>
      </c>
      <c r="D222" s="1822"/>
      <c r="E222" s="1822"/>
      <c r="F222" s="1822"/>
      <c r="G222" s="1822"/>
      <c r="H222" s="1822"/>
      <c r="I222" s="1822"/>
      <c r="J222" s="1822"/>
      <c r="K222" s="1822"/>
      <c r="L222" s="551">
        <v>6386.09</v>
      </c>
      <c r="M222" s="550"/>
      <c r="N222" s="549"/>
      <c r="V222" s="674"/>
      <c r="W222" s="675"/>
      <c r="AB222" s="675"/>
      <c r="AC222" s="680"/>
      <c r="AF222" s="675"/>
      <c r="AG222" s="537" t="s">
        <v>753</v>
      </c>
    </row>
    <row r="223" spans="1:33" s="536" customFormat="1" ht="12" x14ac:dyDescent="0.2">
      <c r="A223" s="548"/>
      <c r="B223" s="552"/>
      <c r="C223" s="1822" t="s">
        <v>204</v>
      </c>
      <c r="D223" s="1822"/>
      <c r="E223" s="1822"/>
      <c r="F223" s="1822"/>
      <c r="G223" s="1822"/>
      <c r="H223" s="1822"/>
      <c r="I223" s="1822"/>
      <c r="J223" s="1822"/>
      <c r="K223" s="1822"/>
      <c r="L223" s="551"/>
      <c r="M223" s="550"/>
      <c r="N223" s="549"/>
      <c r="V223" s="674"/>
      <c r="W223" s="675"/>
      <c r="AB223" s="675"/>
      <c r="AC223" s="680"/>
      <c r="AF223" s="675"/>
      <c r="AG223" s="537" t="s">
        <v>204</v>
      </c>
    </row>
    <row r="224" spans="1:33" s="536" customFormat="1" ht="12" x14ac:dyDescent="0.2">
      <c r="A224" s="548"/>
      <c r="B224" s="552"/>
      <c r="C224" s="1822" t="s">
        <v>546</v>
      </c>
      <c r="D224" s="1822"/>
      <c r="E224" s="1822"/>
      <c r="F224" s="1822"/>
      <c r="G224" s="1822"/>
      <c r="H224" s="1822"/>
      <c r="I224" s="1822"/>
      <c r="J224" s="1822"/>
      <c r="K224" s="1822"/>
      <c r="L224" s="551">
        <v>1800.65</v>
      </c>
      <c r="M224" s="550"/>
      <c r="N224" s="549"/>
      <c r="V224" s="674"/>
      <c r="W224" s="675"/>
      <c r="AB224" s="675"/>
      <c r="AC224" s="680"/>
      <c r="AF224" s="675"/>
      <c r="AG224" s="537" t="s">
        <v>546</v>
      </c>
    </row>
    <row r="225" spans="1:34" s="536" customFormat="1" ht="12" x14ac:dyDescent="0.2">
      <c r="A225" s="548"/>
      <c r="B225" s="552"/>
      <c r="C225" s="1822" t="s">
        <v>442</v>
      </c>
      <c r="D225" s="1822"/>
      <c r="E225" s="1822"/>
      <c r="F225" s="1822"/>
      <c r="G225" s="1822"/>
      <c r="H225" s="1822"/>
      <c r="I225" s="1822"/>
      <c r="J225" s="1822"/>
      <c r="K225" s="1822"/>
      <c r="L225" s="551">
        <v>499.35</v>
      </c>
      <c r="M225" s="550"/>
      <c r="N225" s="549"/>
      <c r="V225" s="674"/>
      <c r="W225" s="675"/>
      <c r="AB225" s="675"/>
      <c r="AC225" s="680"/>
      <c r="AF225" s="675"/>
      <c r="AG225" s="537" t="s">
        <v>442</v>
      </c>
    </row>
    <row r="226" spans="1:34" s="536" customFormat="1" ht="12" x14ac:dyDescent="0.2">
      <c r="A226" s="548"/>
      <c r="B226" s="552"/>
      <c r="C226" s="1822" t="s">
        <v>547</v>
      </c>
      <c r="D226" s="1822"/>
      <c r="E226" s="1822"/>
      <c r="F226" s="1822"/>
      <c r="G226" s="1822"/>
      <c r="H226" s="1822"/>
      <c r="I226" s="1822"/>
      <c r="J226" s="1822"/>
      <c r="K226" s="1822"/>
      <c r="L226" s="551">
        <v>1491.43</v>
      </c>
      <c r="M226" s="550"/>
      <c r="N226" s="549"/>
      <c r="V226" s="674"/>
      <c r="W226" s="675"/>
      <c r="AB226" s="675"/>
      <c r="AC226" s="680"/>
      <c r="AF226" s="675"/>
      <c r="AG226" s="537" t="s">
        <v>547</v>
      </c>
    </row>
    <row r="227" spans="1:34" s="536" customFormat="1" ht="12" x14ac:dyDescent="0.2">
      <c r="A227" s="548"/>
      <c r="B227" s="552"/>
      <c r="C227" s="1822" t="s">
        <v>443</v>
      </c>
      <c r="D227" s="1822"/>
      <c r="E227" s="1822"/>
      <c r="F227" s="1822"/>
      <c r="G227" s="1822"/>
      <c r="H227" s="1822"/>
      <c r="I227" s="1822"/>
      <c r="J227" s="1822"/>
      <c r="K227" s="1822"/>
      <c r="L227" s="551">
        <v>1692.59</v>
      </c>
      <c r="M227" s="550"/>
      <c r="N227" s="549"/>
      <c r="V227" s="674"/>
      <c r="W227" s="675"/>
      <c r="AB227" s="675"/>
      <c r="AC227" s="680"/>
      <c r="AF227" s="675"/>
      <c r="AG227" s="537" t="s">
        <v>443</v>
      </c>
    </row>
    <row r="228" spans="1:34" s="536" customFormat="1" ht="12" x14ac:dyDescent="0.2">
      <c r="A228" s="548"/>
      <c r="B228" s="552"/>
      <c r="C228" s="1822" t="s">
        <v>444</v>
      </c>
      <c r="D228" s="1822"/>
      <c r="E228" s="1822"/>
      <c r="F228" s="1822"/>
      <c r="G228" s="1822"/>
      <c r="H228" s="1822"/>
      <c r="I228" s="1822"/>
      <c r="J228" s="1822"/>
      <c r="K228" s="1822"/>
      <c r="L228" s="551">
        <v>902.07</v>
      </c>
      <c r="M228" s="550"/>
      <c r="N228" s="549"/>
      <c r="V228" s="674"/>
      <c r="W228" s="675"/>
      <c r="AB228" s="675"/>
      <c r="AC228" s="680"/>
      <c r="AF228" s="675"/>
      <c r="AG228" s="537" t="s">
        <v>444</v>
      </c>
    </row>
    <row r="229" spans="1:34" s="536" customFormat="1" ht="12" x14ac:dyDescent="0.2">
      <c r="A229" s="548"/>
      <c r="B229" s="552"/>
      <c r="C229" s="1822" t="s">
        <v>754</v>
      </c>
      <c r="D229" s="1822"/>
      <c r="E229" s="1822"/>
      <c r="F229" s="1822"/>
      <c r="G229" s="1822"/>
      <c r="H229" s="1822"/>
      <c r="I229" s="1822"/>
      <c r="J229" s="1822"/>
      <c r="K229" s="1822"/>
      <c r="L229" s="551">
        <v>743428.76</v>
      </c>
      <c r="M229" s="550"/>
      <c r="N229" s="549"/>
      <c r="V229" s="674"/>
      <c r="W229" s="675"/>
      <c r="AB229" s="675"/>
      <c r="AC229" s="680"/>
      <c r="AF229" s="675"/>
      <c r="AG229" s="537" t="s">
        <v>754</v>
      </c>
    </row>
    <row r="230" spans="1:34" s="536" customFormat="1" ht="12" x14ac:dyDescent="0.2">
      <c r="A230" s="548"/>
      <c r="B230" s="552"/>
      <c r="C230" s="1822" t="s">
        <v>415</v>
      </c>
      <c r="D230" s="1822"/>
      <c r="E230" s="1822"/>
      <c r="F230" s="1822"/>
      <c r="G230" s="1822"/>
      <c r="H230" s="1822"/>
      <c r="I230" s="1822"/>
      <c r="J230" s="1822"/>
      <c r="K230" s="1822"/>
      <c r="L230" s="551">
        <v>2267.1799999999998</v>
      </c>
      <c r="M230" s="550"/>
      <c r="N230" s="549"/>
      <c r="V230" s="674"/>
      <c r="W230" s="675"/>
      <c r="AB230" s="675"/>
      <c r="AC230" s="680"/>
      <c r="AF230" s="675"/>
      <c r="AG230" s="537" t="s">
        <v>415</v>
      </c>
    </row>
    <row r="231" spans="1:34" s="536" customFormat="1" ht="12" x14ac:dyDescent="0.2">
      <c r="A231" s="548"/>
      <c r="B231" s="552"/>
      <c r="C231" s="1822" t="s">
        <v>416</v>
      </c>
      <c r="D231" s="1822"/>
      <c r="E231" s="1822"/>
      <c r="F231" s="1822"/>
      <c r="G231" s="1822"/>
      <c r="H231" s="1822"/>
      <c r="I231" s="1822"/>
      <c r="J231" s="1822"/>
      <c r="K231" s="1822"/>
      <c r="L231" s="551">
        <v>2101.5500000000002</v>
      </c>
      <c r="M231" s="550"/>
      <c r="N231" s="549"/>
      <c r="V231" s="674"/>
      <c r="W231" s="675"/>
      <c r="AB231" s="675"/>
      <c r="AC231" s="680"/>
      <c r="AF231" s="675"/>
      <c r="AG231" s="537" t="s">
        <v>416</v>
      </c>
    </row>
    <row r="232" spans="1:34" s="536" customFormat="1" ht="12" x14ac:dyDescent="0.2">
      <c r="A232" s="548"/>
      <c r="B232" s="552"/>
      <c r="C232" s="1822" t="s">
        <v>417</v>
      </c>
      <c r="D232" s="1822"/>
      <c r="E232" s="1822"/>
      <c r="F232" s="1822"/>
      <c r="G232" s="1822"/>
      <c r="H232" s="1822"/>
      <c r="I232" s="1822"/>
      <c r="J232" s="1822"/>
      <c r="K232" s="1822"/>
      <c r="L232" s="551">
        <v>1154.7</v>
      </c>
      <c r="M232" s="550"/>
      <c r="N232" s="549"/>
      <c r="V232" s="674"/>
      <c r="W232" s="675"/>
      <c r="AB232" s="675"/>
      <c r="AC232" s="680"/>
      <c r="AF232" s="675"/>
      <c r="AG232" s="537" t="s">
        <v>417</v>
      </c>
    </row>
    <row r="233" spans="1:34" s="536" customFormat="1" ht="12" x14ac:dyDescent="0.2">
      <c r="A233" s="548"/>
      <c r="B233" s="546"/>
      <c r="C233" s="1819" t="s">
        <v>755</v>
      </c>
      <c r="D233" s="1819"/>
      <c r="E233" s="1819"/>
      <c r="F233" s="1819"/>
      <c r="G233" s="1819"/>
      <c r="H233" s="1819"/>
      <c r="I233" s="1819"/>
      <c r="J233" s="1819"/>
      <c r="K233" s="1819"/>
      <c r="L233" s="544">
        <v>758461.71</v>
      </c>
      <c r="M233" s="543"/>
      <c r="N233" s="681"/>
      <c r="V233" s="674"/>
      <c r="W233" s="675"/>
      <c r="AB233" s="675"/>
      <c r="AC233" s="680"/>
      <c r="AF233" s="675"/>
      <c r="AH233" s="675" t="s">
        <v>755</v>
      </c>
    </row>
    <row r="234" spans="1:34" s="536" customFormat="1" ht="12" x14ac:dyDescent="0.2">
      <c r="A234" s="548"/>
      <c r="B234" s="552"/>
      <c r="C234" s="1822" t="s">
        <v>204</v>
      </c>
      <c r="D234" s="1822"/>
      <c r="E234" s="1822"/>
      <c r="F234" s="1822"/>
      <c r="G234" s="1822"/>
      <c r="H234" s="1822"/>
      <c r="I234" s="1822"/>
      <c r="J234" s="1822"/>
      <c r="K234" s="1822"/>
      <c r="L234" s="551"/>
      <c r="M234" s="550"/>
      <c r="N234" s="549"/>
      <c r="V234" s="674"/>
      <c r="W234" s="675"/>
      <c r="AB234" s="675"/>
      <c r="AC234" s="680"/>
      <c r="AF234" s="675"/>
      <c r="AG234" s="537" t="s">
        <v>204</v>
      </c>
      <c r="AH234" s="675"/>
    </row>
    <row r="235" spans="1:34" s="536" customFormat="1" ht="12" x14ac:dyDescent="0.2">
      <c r="A235" s="548"/>
      <c r="B235" s="552"/>
      <c r="C235" s="1822" t="s">
        <v>8095</v>
      </c>
      <c r="D235" s="1822"/>
      <c r="E235" s="1822"/>
      <c r="F235" s="1822"/>
      <c r="G235" s="1822"/>
      <c r="H235" s="1822"/>
      <c r="I235" s="1822"/>
      <c r="J235" s="1822"/>
      <c r="K235" s="1822"/>
      <c r="L235" s="551">
        <v>6021.27</v>
      </c>
      <c r="M235" s="550"/>
      <c r="N235" s="549"/>
      <c r="V235" s="674"/>
      <c r="W235" s="675"/>
      <c r="AB235" s="675"/>
      <c r="AC235" s="680"/>
      <c r="AF235" s="675"/>
      <c r="AG235" s="537" t="s">
        <v>8095</v>
      </c>
      <c r="AH235" s="675"/>
    </row>
    <row r="236" spans="1:34" s="536" customFormat="1" ht="12" x14ac:dyDescent="0.2">
      <c r="A236" s="548"/>
      <c r="B236" s="552"/>
      <c r="C236" s="1822" t="s">
        <v>8097</v>
      </c>
      <c r="D236" s="1822"/>
      <c r="E236" s="1822"/>
      <c r="F236" s="1822"/>
      <c r="G236" s="1822"/>
      <c r="H236" s="1822"/>
      <c r="I236" s="1822"/>
      <c r="J236" s="1822"/>
      <c r="K236" s="1822"/>
      <c r="L236" s="551">
        <v>743428.76</v>
      </c>
      <c r="M236" s="550"/>
      <c r="N236" s="549"/>
      <c r="V236" s="674"/>
      <c r="W236" s="675"/>
      <c r="AB236" s="675"/>
      <c r="AC236" s="680"/>
      <c r="AF236" s="675"/>
      <c r="AG236" s="537" t="s">
        <v>8097</v>
      </c>
      <c r="AH236" s="675"/>
    </row>
    <row r="237" spans="1:34" s="536" customFormat="1" ht="12" x14ac:dyDescent="0.2">
      <c r="A237" s="1824" t="s">
        <v>756</v>
      </c>
      <c r="B237" s="1825"/>
      <c r="C237" s="1825"/>
      <c r="D237" s="1825"/>
      <c r="E237" s="1825"/>
      <c r="F237" s="1825"/>
      <c r="G237" s="1825"/>
      <c r="H237" s="1825"/>
      <c r="I237" s="1825"/>
      <c r="J237" s="1825"/>
      <c r="K237" s="1825"/>
      <c r="L237" s="1825"/>
      <c r="M237" s="1825"/>
      <c r="N237" s="1826"/>
      <c r="V237" s="674" t="s">
        <v>756</v>
      </c>
      <c r="W237" s="675"/>
      <c r="AB237" s="675"/>
      <c r="AC237" s="680"/>
      <c r="AF237" s="675"/>
      <c r="AH237" s="675"/>
    </row>
    <row r="238" spans="1:34" s="536" customFormat="1" ht="33.75" x14ac:dyDescent="0.2">
      <c r="A238" s="575" t="s">
        <v>757</v>
      </c>
      <c r="B238" s="684" t="s">
        <v>9199</v>
      </c>
      <c r="C238" s="1823" t="s">
        <v>9198</v>
      </c>
      <c r="D238" s="1823"/>
      <c r="E238" s="1823"/>
      <c r="F238" s="573" t="s">
        <v>617</v>
      </c>
      <c r="G238" s="573"/>
      <c r="H238" s="573"/>
      <c r="I238" s="573" t="s">
        <v>186</v>
      </c>
      <c r="J238" s="572"/>
      <c r="K238" s="573"/>
      <c r="L238" s="572"/>
      <c r="M238" s="571"/>
      <c r="N238" s="570"/>
      <c r="V238" s="674"/>
      <c r="W238" s="675" t="s">
        <v>9198</v>
      </c>
      <c r="AB238" s="675"/>
      <c r="AC238" s="680"/>
      <c r="AF238" s="675"/>
      <c r="AH238" s="675"/>
    </row>
    <row r="239" spans="1:34" s="536" customFormat="1" ht="22.5" x14ac:dyDescent="0.2">
      <c r="A239" s="609"/>
      <c r="B239" s="552" t="s">
        <v>499</v>
      </c>
      <c r="C239" s="1822" t="s">
        <v>500</v>
      </c>
      <c r="D239" s="1822"/>
      <c r="E239" s="1822"/>
      <c r="F239" s="1822"/>
      <c r="G239" s="1822"/>
      <c r="H239" s="1822"/>
      <c r="I239" s="1822"/>
      <c r="J239" s="1822"/>
      <c r="K239" s="1822"/>
      <c r="L239" s="1822"/>
      <c r="M239" s="1822"/>
      <c r="N239" s="1827"/>
      <c r="V239" s="674"/>
      <c r="W239" s="675"/>
      <c r="X239" s="537" t="s">
        <v>500</v>
      </c>
      <c r="AB239" s="675"/>
      <c r="AC239" s="680"/>
      <c r="AF239" s="675"/>
      <c r="AH239" s="675"/>
    </row>
    <row r="240" spans="1:34" s="536" customFormat="1" ht="12" x14ac:dyDescent="0.2">
      <c r="A240" s="605"/>
      <c r="B240" s="552" t="s">
        <v>185</v>
      </c>
      <c r="C240" s="1822" t="s">
        <v>312</v>
      </c>
      <c r="D240" s="1822"/>
      <c r="E240" s="1822"/>
      <c r="F240" s="562"/>
      <c r="G240" s="562"/>
      <c r="H240" s="562"/>
      <c r="I240" s="562"/>
      <c r="J240" s="604">
        <v>236.88</v>
      </c>
      <c r="K240" s="562" t="s">
        <v>313</v>
      </c>
      <c r="L240" s="604">
        <v>592.20000000000005</v>
      </c>
      <c r="M240" s="603"/>
      <c r="N240" s="602"/>
      <c r="V240" s="674"/>
      <c r="W240" s="675"/>
      <c r="Y240" s="537" t="s">
        <v>312</v>
      </c>
      <c r="AB240" s="675"/>
      <c r="AC240" s="680"/>
      <c r="AF240" s="675"/>
      <c r="AH240" s="675"/>
    </row>
    <row r="241" spans="1:34" s="536" customFormat="1" ht="12" x14ac:dyDescent="0.2">
      <c r="A241" s="605"/>
      <c r="B241" s="552" t="s">
        <v>186</v>
      </c>
      <c r="C241" s="1822" t="s">
        <v>344</v>
      </c>
      <c r="D241" s="1822"/>
      <c r="E241" s="1822"/>
      <c r="F241" s="562"/>
      <c r="G241" s="562"/>
      <c r="H241" s="562"/>
      <c r="I241" s="562"/>
      <c r="J241" s="604">
        <v>66.58</v>
      </c>
      <c r="K241" s="562" t="s">
        <v>313</v>
      </c>
      <c r="L241" s="604">
        <v>166.45</v>
      </c>
      <c r="M241" s="603"/>
      <c r="N241" s="602"/>
      <c r="V241" s="674"/>
      <c r="W241" s="675"/>
      <c r="Y241" s="537" t="s">
        <v>344</v>
      </c>
      <c r="AB241" s="675"/>
      <c r="AC241" s="680"/>
      <c r="AF241" s="675"/>
      <c r="AH241" s="675"/>
    </row>
    <row r="242" spans="1:34" s="536" customFormat="1" ht="12" x14ac:dyDescent="0.2">
      <c r="A242" s="605"/>
      <c r="B242" s="552" t="s">
        <v>187</v>
      </c>
      <c r="C242" s="1822" t="s">
        <v>345</v>
      </c>
      <c r="D242" s="1822"/>
      <c r="E242" s="1822"/>
      <c r="F242" s="562"/>
      <c r="G242" s="562"/>
      <c r="H242" s="562"/>
      <c r="I242" s="562"/>
      <c r="J242" s="604">
        <v>5.1100000000000003</v>
      </c>
      <c r="K242" s="562" t="s">
        <v>313</v>
      </c>
      <c r="L242" s="604">
        <v>12.78</v>
      </c>
      <c r="M242" s="603"/>
      <c r="N242" s="602"/>
      <c r="V242" s="674"/>
      <c r="W242" s="675"/>
      <c r="Y242" s="537" t="s">
        <v>345</v>
      </c>
      <c r="AB242" s="675"/>
      <c r="AC242" s="680"/>
      <c r="AF242" s="675"/>
      <c r="AH242" s="675"/>
    </row>
    <row r="243" spans="1:34" s="536" customFormat="1" ht="12" x14ac:dyDescent="0.2">
      <c r="A243" s="605"/>
      <c r="B243" s="552" t="s">
        <v>188</v>
      </c>
      <c r="C243" s="1822" t="s">
        <v>475</v>
      </c>
      <c r="D243" s="1822"/>
      <c r="E243" s="1822"/>
      <c r="F243" s="562"/>
      <c r="G243" s="562"/>
      <c r="H243" s="562"/>
      <c r="I243" s="562"/>
      <c r="J243" s="604">
        <v>248.17</v>
      </c>
      <c r="K243" s="562"/>
      <c r="L243" s="604">
        <v>496.34</v>
      </c>
      <c r="M243" s="603"/>
      <c r="N243" s="602"/>
      <c r="V243" s="674"/>
      <c r="W243" s="675"/>
      <c r="Y243" s="537" t="s">
        <v>475</v>
      </c>
      <c r="AB243" s="675"/>
      <c r="AC243" s="680"/>
      <c r="AF243" s="675"/>
      <c r="AH243" s="675"/>
    </row>
    <row r="244" spans="1:34" s="536" customFormat="1" ht="12" x14ac:dyDescent="0.2">
      <c r="A244" s="605"/>
      <c r="B244" s="552"/>
      <c r="C244" s="1822" t="s">
        <v>314</v>
      </c>
      <c r="D244" s="1822"/>
      <c r="E244" s="1822"/>
      <c r="F244" s="562" t="s">
        <v>315</v>
      </c>
      <c r="G244" s="562" t="s">
        <v>9197</v>
      </c>
      <c r="H244" s="562" t="s">
        <v>313</v>
      </c>
      <c r="I244" s="562" t="s">
        <v>794</v>
      </c>
      <c r="J244" s="604"/>
      <c r="K244" s="562"/>
      <c r="L244" s="604"/>
      <c r="M244" s="603"/>
      <c r="N244" s="602"/>
      <c r="V244" s="674"/>
      <c r="W244" s="675"/>
      <c r="Z244" s="537" t="s">
        <v>314</v>
      </c>
      <c r="AB244" s="675"/>
      <c r="AC244" s="680"/>
      <c r="AF244" s="675"/>
      <c r="AH244" s="675"/>
    </row>
    <row r="245" spans="1:34" s="536" customFormat="1" ht="12" x14ac:dyDescent="0.2">
      <c r="A245" s="605"/>
      <c r="B245" s="552"/>
      <c r="C245" s="1822" t="s">
        <v>348</v>
      </c>
      <c r="D245" s="1822"/>
      <c r="E245" s="1822"/>
      <c r="F245" s="562" t="s">
        <v>315</v>
      </c>
      <c r="G245" s="562" t="s">
        <v>4123</v>
      </c>
      <c r="H245" s="562" t="s">
        <v>313</v>
      </c>
      <c r="I245" s="562" t="s">
        <v>9196</v>
      </c>
      <c r="J245" s="604"/>
      <c r="K245" s="562"/>
      <c r="L245" s="604"/>
      <c r="M245" s="603"/>
      <c r="N245" s="602"/>
      <c r="V245" s="674"/>
      <c r="W245" s="675"/>
      <c r="Z245" s="537" t="s">
        <v>348</v>
      </c>
      <c r="AB245" s="675"/>
      <c r="AC245" s="680"/>
      <c r="AF245" s="675"/>
      <c r="AH245" s="675"/>
    </row>
    <row r="246" spans="1:34" s="536" customFormat="1" ht="12" x14ac:dyDescent="0.2">
      <c r="A246" s="605"/>
      <c r="B246" s="552"/>
      <c r="C246" s="1828" t="s">
        <v>318</v>
      </c>
      <c r="D246" s="1828"/>
      <c r="E246" s="1828"/>
      <c r="F246" s="608"/>
      <c r="G246" s="608"/>
      <c r="H246" s="608"/>
      <c r="I246" s="608"/>
      <c r="J246" s="607">
        <v>551.63</v>
      </c>
      <c r="K246" s="608"/>
      <c r="L246" s="607">
        <v>1254.99</v>
      </c>
      <c r="M246" s="601"/>
      <c r="N246" s="606"/>
      <c r="V246" s="674"/>
      <c r="W246" s="675"/>
      <c r="AA246" s="537" t="s">
        <v>318</v>
      </c>
      <c r="AB246" s="675"/>
      <c r="AC246" s="680"/>
      <c r="AF246" s="675"/>
      <c r="AH246" s="675"/>
    </row>
    <row r="247" spans="1:34" s="536" customFormat="1" ht="12" x14ac:dyDescent="0.2">
      <c r="A247" s="605"/>
      <c r="B247" s="552"/>
      <c r="C247" s="1822" t="s">
        <v>319</v>
      </c>
      <c r="D247" s="1822"/>
      <c r="E247" s="1822"/>
      <c r="F247" s="562"/>
      <c r="G247" s="562"/>
      <c r="H247" s="562"/>
      <c r="I247" s="562"/>
      <c r="J247" s="604"/>
      <c r="K247" s="562"/>
      <c r="L247" s="604">
        <v>604.98</v>
      </c>
      <c r="M247" s="603"/>
      <c r="N247" s="602"/>
      <c r="V247" s="674"/>
      <c r="W247" s="675"/>
      <c r="Z247" s="537" t="s">
        <v>319</v>
      </c>
      <c r="AB247" s="675"/>
      <c r="AC247" s="680"/>
      <c r="AF247" s="675"/>
      <c r="AH247" s="675"/>
    </row>
    <row r="248" spans="1:34" s="536" customFormat="1" ht="33.75" x14ac:dyDescent="0.2">
      <c r="A248" s="605"/>
      <c r="B248" s="552" t="s">
        <v>2050</v>
      </c>
      <c r="C248" s="1822" t="s">
        <v>2051</v>
      </c>
      <c r="D248" s="1822"/>
      <c r="E248" s="1822"/>
      <c r="F248" s="562" t="s">
        <v>322</v>
      </c>
      <c r="G248" s="562" t="s">
        <v>462</v>
      </c>
      <c r="H248" s="562"/>
      <c r="I248" s="562" t="s">
        <v>462</v>
      </c>
      <c r="J248" s="604"/>
      <c r="K248" s="562"/>
      <c r="L248" s="604">
        <v>556.58000000000004</v>
      </c>
      <c r="M248" s="603"/>
      <c r="N248" s="602"/>
      <c r="V248" s="674"/>
      <c r="W248" s="675"/>
      <c r="Z248" s="537" t="s">
        <v>2051</v>
      </c>
      <c r="AB248" s="675"/>
      <c r="AC248" s="680"/>
      <c r="AF248" s="675"/>
      <c r="AH248" s="675"/>
    </row>
    <row r="249" spans="1:34" s="536" customFormat="1" ht="33.75" x14ac:dyDescent="0.2">
      <c r="A249" s="605"/>
      <c r="B249" s="552" t="s">
        <v>2052</v>
      </c>
      <c r="C249" s="1822" t="s">
        <v>2053</v>
      </c>
      <c r="D249" s="1822"/>
      <c r="E249" s="1822"/>
      <c r="F249" s="562" t="s">
        <v>322</v>
      </c>
      <c r="G249" s="562" t="s">
        <v>784</v>
      </c>
      <c r="H249" s="562"/>
      <c r="I249" s="562" t="s">
        <v>784</v>
      </c>
      <c r="J249" s="604"/>
      <c r="K249" s="562"/>
      <c r="L249" s="604">
        <v>296.44</v>
      </c>
      <c r="M249" s="603"/>
      <c r="N249" s="602"/>
      <c r="V249" s="674"/>
      <c r="W249" s="675"/>
      <c r="Z249" s="537" t="s">
        <v>2053</v>
      </c>
      <c r="AB249" s="675"/>
      <c r="AC249" s="680"/>
      <c r="AF249" s="675"/>
      <c r="AH249" s="675"/>
    </row>
    <row r="250" spans="1:34" s="536" customFormat="1" ht="12" x14ac:dyDescent="0.2">
      <c r="A250" s="569"/>
      <c r="B250" s="683"/>
      <c r="C250" s="1823" t="s">
        <v>327</v>
      </c>
      <c r="D250" s="1823"/>
      <c r="E250" s="1823"/>
      <c r="F250" s="573"/>
      <c r="G250" s="573"/>
      <c r="H250" s="573"/>
      <c r="I250" s="573"/>
      <c r="J250" s="572"/>
      <c r="K250" s="573"/>
      <c r="L250" s="572">
        <v>2108.0100000000002</v>
      </c>
      <c r="M250" s="601"/>
      <c r="N250" s="570"/>
      <c r="V250" s="674"/>
      <c r="W250" s="675"/>
      <c r="AB250" s="675" t="s">
        <v>327</v>
      </c>
      <c r="AC250" s="680"/>
      <c r="AF250" s="675"/>
      <c r="AH250" s="675"/>
    </row>
    <row r="251" spans="1:34" s="536" customFormat="1" ht="33.75" x14ac:dyDescent="0.2">
      <c r="A251" s="575" t="s">
        <v>758</v>
      </c>
      <c r="B251" s="684" t="s">
        <v>626</v>
      </c>
      <c r="C251" s="1823" t="s">
        <v>627</v>
      </c>
      <c r="D251" s="1823"/>
      <c r="E251" s="1823"/>
      <c r="F251" s="573" t="s">
        <v>628</v>
      </c>
      <c r="G251" s="573"/>
      <c r="H251" s="573"/>
      <c r="I251" s="573" t="s">
        <v>186</v>
      </c>
      <c r="J251" s="572">
        <v>276532.5</v>
      </c>
      <c r="K251" s="573" t="s">
        <v>629</v>
      </c>
      <c r="L251" s="572">
        <v>121939.43</v>
      </c>
      <c r="M251" s="571">
        <v>4.59</v>
      </c>
      <c r="N251" s="570">
        <v>559702</v>
      </c>
      <c r="V251" s="674"/>
      <c r="W251" s="675" t="s">
        <v>627</v>
      </c>
      <c r="AB251" s="675"/>
      <c r="AC251" s="680"/>
      <c r="AF251" s="675"/>
      <c r="AH251" s="675"/>
    </row>
    <row r="252" spans="1:34" s="536" customFormat="1" ht="12" x14ac:dyDescent="0.2">
      <c r="A252" s="569"/>
      <c r="B252" s="683"/>
      <c r="C252" s="689" t="s">
        <v>630</v>
      </c>
      <c r="D252" s="690"/>
      <c r="E252" s="690"/>
      <c r="F252" s="563"/>
      <c r="G252" s="563"/>
      <c r="H252" s="563"/>
      <c r="I252" s="563"/>
      <c r="J252" s="566"/>
      <c r="K252" s="563"/>
      <c r="L252" s="566"/>
      <c r="M252" s="565"/>
      <c r="N252" s="564"/>
      <c r="V252" s="674"/>
      <c r="W252" s="675"/>
      <c r="AB252" s="675"/>
      <c r="AC252" s="680"/>
      <c r="AF252" s="675"/>
      <c r="AH252" s="675"/>
    </row>
    <row r="253" spans="1:34" s="536" customFormat="1" ht="22.5" x14ac:dyDescent="0.2">
      <c r="A253" s="609"/>
      <c r="B253" s="552" t="s">
        <v>631</v>
      </c>
      <c r="C253" s="1822" t="s">
        <v>632</v>
      </c>
      <c r="D253" s="1822"/>
      <c r="E253" s="1822"/>
      <c r="F253" s="1822"/>
      <c r="G253" s="1822"/>
      <c r="H253" s="1822"/>
      <c r="I253" s="1822"/>
      <c r="J253" s="1822"/>
      <c r="K253" s="1822"/>
      <c r="L253" s="1822"/>
      <c r="M253" s="1822"/>
      <c r="N253" s="1827"/>
      <c r="V253" s="674"/>
      <c r="W253" s="675"/>
      <c r="X253" s="537" t="s">
        <v>632</v>
      </c>
      <c r="AB253" s="675"/>
      <c r="AC253" s="680"/>
      <c r="AF253" s="675"/>
      <c r="AH253" s="675"/>
    </row>
    <row r="254" spans="1:34" s="536" customFormat="1" ht="33.75" x14ac:dyDescent="0.2">
      <c r="A254" s="575" t="s">
        <v>759</v>
      </c>
      <c r="B254" s="684" t="s">
        <v>9199</v>
      </c>
      <c r="C254" s="1823" t="s">
        <v>9198</v>
      </c>
      <c r="D254" s="1823"/>
      <c r="E254" s="1823"/>
      <c r="F254" s="573" t="s">
        <v>617</v>
      </c>
      <c r="G254" s="573"/>
      <c r="H254" s="573"/>
      <c r="I254" s="573" t="s">
        <v>186</v>
      </c>
      <c r="J254" s="572"/>
      <c r="K254" s="573"/>
      <c r="L254" s="572"/>
      <c r="M254" s="571"/>
      <c r="N254" s="570"/>
      <c r="V254" s="674"/>
      <c r="W254" s="675" t="s">
        <v>9198</v>
      </c>
      <c r="AB254" s="675"/>
      <c r="AC254" s="680"/>
      <c r="AF254" s="675"/>
      <c r="AH254" s="675"/>
    </row>
    <row r="255" spans="1:34" s="536" customFormat="1" ht="22.5" x14ac:dyDescent="0.2">
      <c r="A255" s="609"/>
      <c r="B255" s="552" t="s">
        <v>499</v>
      </c>
      <c r="C255" s="1822" t="s">
        <v>500</v>
      </c>
      <c r="D255" s="1822"/>
      <c r="E255" s="1822"/>
      <c r="F255" s="1822"/>
      <c r="G255" s="1822"/>
      <c r="H255" s="1822"/>
      <c r="I255" s="1822"/>
      <c r="J255" s="1822"/>
      <c r="K255" s="1822"/>
      <c r="L255" s="1822"/>
      <c r="M255" s="1822"/>
      <c r="N255" s="1827"/>
      <c r="V255" s="674"/>
      <c r="W255" s="675"/>
      <c r="X255" s="537" t="s">
        <v>500</v>
      </c>
      <c r="AB255" s="675"/>
      <c r="AC255" s="680"/>
      <c r="AF255" s="675"/>
      <c r="AH255" s="675"/>
    </row>
    <row r="256" spans="1:34" s="536" customFormat="1" ht="12" x14ac:dyDescent="0.2">
      <c r="A256" s="605"/>
      <c r="B256" s="552" t="s">
        <v>185</v>
      </c>
      <c r="C256" s="1822" t="s">
        <v>312</v>
      </c>
      <c r="D256" s="1822"/>
      <c r="E256" s="1822"/>
      <c r="F256" s="562"/>
      <c r="G256" s="562"/>
      <c r="H256" s="562"/>
      <c r="I256" s="562"/>
      <c r="J256" s="604">
        <v>236.88</v>
      </c>
      <c r="K256" s="562" t="s">
        <v>313</v>
      </c>
      <c r="L256" s="604">
        <v>592.20000000000005</v>
      </c>
      <c r="M256" s="603"/>
      <c r="N256" s="602"/>
      <c r="V256" s="674"/>
      <c r="W256" s="675"/>
      <c r="Y256" s="537" t="s">
        <v>312</v>
      </c>
      <c r="AB256" s="675"/>
      <c r="AC256" s="680"/>
      <c r="AF256" s="675"/>
      <c r="AH256" s="675"/>
    </row>
    <row r="257" spans="1:34" s="536" customFormat="1" ht="12" x14ac:dyDescent="0.2">
      <c r="A257" s="605"/>
      <c r="B257" s="552" t="s">
        <v>186</v>
      </c>
      <c r="C257" s="1822" t="s">
        <v>344</v>
      </c>
      <c r="D257" s="1822"/>
      <c r="E257" s="1822"/>
      <c r="F257" s="562"/>
      <c r="G257" s="562"/>
      <c r="H257" s="562"/>
      <c r="I257" s="562"/>
      <c r="J257" s="604">
        <v>66.58</v>
      </c>
      <c r="K257" s="562" t="s">
        <v>313</v>
      </c>
      <c r="L257" s="604">
        <v>166.45</v>
      </c>
      <c r="M257" s="603"/>
      <c r="N257" s="602"/>
      <c r="V257" s="674"/>
      <c r="W257" s="675"/>
      <c r="Y257" s="537" t="s">
        <v>344</v>
      </c>
      <c r="AB257" s="675"/>
      <c r="AC257" s="680"/>
      <c r="AF257" s="675"/>
      <c r="AH257" s="675"/>
    </row>
    <row r="258" spans="1:34" s="536" customFormat="1" ht="12" x14ac:dyDescent="0.2">
      <c r="A258" s="605"/>
      <c r="B258" s="552" t="s">
        <v>187</v>
      </c>
      <c r="C258" s="1822" t="s">
        <v>345</v>
      </c>
      <c r="D258" s="1822"/>
      <c r="E258" s="1822"/>
      <c r="F258" s="562"/>
      <c r="G258" s="562"/>
      <c r="H258" s="562"/>
      <c r="I258" s="562"/>
      <c r="J258" s="604">
        <v>5.1100000000000003</v>
      </c>
      <c r="K258" s="562" t="s">
        <v>313</v>
      </c>
      <c r="L258" s="604">
        <v>12.78</v>
      </c>
      <c r="M258" s="603"/>
      <c r="N258" s="602"/>
      <c r="V258" s="674"/>
      <c r="W258" s="675"/>
      <c r="Y258" s="537" t="s">
        <v>345</v>
      </c>
      <c r="AB258" s="675"/>
      <c r="AC258" s="680"/>
      <c r="AF258" s="675"/>
      <c r="AH258" s="675"/>
    </row>
    <row r="259" spans="1:34" s="536" customFormat="1" ht="12" x14ac:dyDescent="0.2">
      <c r="A259" s="605"/>
      <c r="B259" s="552" t="s">
        <v>188</v>
      </c>
      <c r="C259" s="1822" t="s">
        <v>475</v>
      </c>
      <c r="D259" s="1822"/>
      <c r="E259" s="1822"/>
      <c r="F259" s="562"/>
      <c r="G259" s="562"/>
      <c r="H259" s="562"/>
      <c r="I259" s="562"/>
      <c r="J259" s="604">
        <v>248.17</v>
      </c>
      <c r="K259" s="562"/>
      <c r="L259" s="604">
        <v>496.34</v>
      </c>
      <c r="M259" s="603"/>
      <c r="N259" s="602"/>
      <c r="V259" s="674"/>
      <c r="W259" s="675"/>
      <c r="Y259" s="537" t="s">
        <v>475</v>
      </c>
      <c r="AB259" s="675"/>
      <c r="AC259" s="680"/>
      <c r="AF259" s="675"/>
      <c r="AH259" s="675"/>
    </row>
    <row r="260" spans="1:34" s="536" customFormat="1" ht="12" x14ac:dyDescent="0.2">
      <c r="A260" s="605"/>
      <c r="B260" s="552"/>
      <c r="C260" s="1822" t="s">
        <v>314</v>
      </c>
      <c r="D260" s="1822"/>
      <c r="E260" s="1822"/>
      <c r="F260" s="562" t="s">
        <v>315</v>
      </c>
      <c r="G260" s="562" t="s">
        <v>9197</v>
      </c>
      <c r="H260" s="562" t="s">
        <v>313</v>
      </c>
      <c r="I260" s="562" t="s">
        <v>794</v>
      </c>
      <c r="J260" s="604"/>
      <c r="K260" s="562"/>
      <c r="L260" s="604"/>
      <c r="M260" s="603"/>
      <c r="N260" s="602"/>
      <c r="V260" s="674"/>
      <c r="W260" s="675"/>
      <c r="Z260" s="537" t="s">
        <v>314</v>
      </c>
      <c r="AB260" s="675"/>
      <c r="AC260" s="680"/>
      <c r="AF260" s="675"/>
      <c r="AH260" s="675"/>
    </row>
    <row r="261" spans="1:34" s="536" customFormat="1" ht="12" x14ac:dyDescent="0.2">
      <c r="A261" s="605"/>
      <c r="B261" s="552"/>
      <c r="C261" s="1822" t="s">
        <v>348</v>
      </c>
      <c r="D261" s="1822"/>
      <c r="E261" s="1822"/>
      <c r="F261" s="562" t="s">
        <v>315</v>
      </c>
      <c r="G261" s="562" t="s">
        <v>4123</v>
      </c>
      <c r="H261" s="562" t="s">
        <v>313</v>
      </c>
      <c r="I261" s="562" t="s">
        <v>9196</v>
      </c>
      <c r="J261" s="604"/>
      <c r="K261" s="562"/>
      <c r="L261" s="604"/>
      <c r="M261" s="603"/>
      <c r="N261" s="602"/>
      <c r="V261" s="674"/>
      <c r="W261" s="675"/>
      <c r="Z261" s="537" t="s">
        <v>348</v>
      </c>
      <c r="AB261" s="675"/>
      <c r="AC261" s="680"/>
      <c r="AF261" s="675"/>
      <c r="AH261" s="675"/>
    </row>
    <row r="262" spans="1:34" s="536" customFormat="1" ht="12" x14ac:dyDescent="0.2">
      <c r="A262" s="605"/>
      <c r="B262" s="552"/>
      <c r="C262" s="1828" t="s">
        <v>318</v>
      </c>
      <c r="D262" s="1828"/>
      <c r="E262" s="1828"/>
      <c r="F262" s="608"/>
      <c r="G262" s="608"/>
      <c r="H262" s="608"/>
      <c r="I262" s="608"/>
      <c r="J262" s="607">
        <v>551.63</v>
      </c>
      <c r="K262" s="608"/>
      <c r="L262" s="607">
        <v>1254.99</v>
      </c>
      <c r="M262" s="601"/>
      <c r="N262" s="606"/>
      <c r="V262" s="674"/>
      <c r="W262" s="675"/>
      <c r="AA262" s="537" t="s">
        <v>318</v>
      </c>
      <c r="AB262" s="675"/>
      <c r="AC262" s="680"/>
      <c r="AF262" s="675"/>
      <c r="AH262" s="675"/>
    </row>
    <row r="263" spans="1:34" s="536" customFormat="1" ht="12" x14ac:dyDescent="0.2">
      <c r="A263" s="605"/>
      <c r="B263" s="552"/>
      <c r="C263" s="1822" t="s">
        <v>319</v>
      </c>
      <c r="D263" s="1822"/>
      <c r="E263" s="1822"/>
      <c r="F263" s="562"/>
      <c r="G263" s="562"/>
      <c r="H263" s="562"/>
      <c r="I263" s="562"/>
      <c r="J263" s="604"/>
      <c r="K263" s="562"/>
      <c r="L263" s="604">
        <v>604.98</v>
      </c>
      <c r="M263" s="603"/>
      <c r="N263" s="602"/>
      <c r="V263" s="674"/>
      <c r="W263" s="675"/>
      <c r="Z263" s="537" t="s">
        <v>319</v>
      </c>
      <c r="AB263" s="675"/>
      <c r="AC263" s="680"/>
      <c r="AF263" s="675"/>
      <c r="AH263" s="675"/>
    </row>
    <row r="264" spans="1:34" s="536" customFormat="1" ht="33.75" x14ac:dyDescent="0.2">
      <c r="A264" s="605"/>
      <c r="B264" s="552" t="s">
        <v>2050</v>
      </c>
      <c r="C264" s="1822" t="s">
        <v>2051</v>
      </c>
      <c r="D264" s="1822"/>
      <c r="E264" s="1822"/>
      <c r="F264" s="562" t="s">
        <v>322</v>
      </c>
      <c r="G264" s="562" t="s">
        <v>462</v>
      </c>
      <c r="H264" s="562"/>
      <c r="I264" s="562" t="s">
        <v>462</v>
      </c>
      <c r="J264" s="604"/>
      <c r="K264" s="562"/>
      <c r="L264" s="604">
        <v>556.58000000000004</v>
      </c>
      <c r="M264" s="603"/>
      <c r="N264" s="602"/>
      <c r="V264" s="674"/>
      <c r="W264" s="675"/>
      <c r="Z264" s="537" t="s">
        <v>2051</v>
      </c>
      <c r="AB264" s="675"/>
      <c r="AC264" s="680"/>
      <c r="AF264" s="675"/>
      <c r="AH264" s="675"/>
    </row>
    <row r="265" spans="1:34" s="536" customFormat="1" ht="33.75" x14ac:dyDescent="0.2">
      <c r="A265" s="605"/>
      <c r="B265" s="552" t="s">
        <v>2052</v>
      </c>
      <c r="C265" s="1822" t="s">
        <v>2053</v>
      </c>
      <c r="D265" s="1822"/>
      <c r="E265" s="1822"/>
      <c r="F265" s="562" t="s">
        <v>322</v>
      </c>
      <c r="G265" s="562" t="s">
        <v>784</v>
      </c>
      <c r="H265" s="562"/>
      <c r="I265" s="562" t="s">
        <v>784</v>
      </c>
      <c r="J265" s="604"/>
      <c r="K265" s="562"/>
      <c r="L265" s="604">
        <v>296.44</v>
      </c>
      <c r="M265" s="603"/>
      <c r="N265" s="602"/>
      <c r="V265" s="674"/>
      <c r="W265" s="675"/>
      <c r="Z265" s="537" t="s">
        <v>2053</v>
      </c>
      <c r="AB265" s="675"/>
      <c r="AC265" s="680"/>
      <c r="AF265" s="675"/>
      <c r="AH265" s="675"/>
    </row>
    <row r="266" spans="1:34" s="536" customFormat="1" ht="12" x14ac:dyDescent="0.2">
      <c r="A266" s="569"/>
      <c r="B266" s="683"/>
      <c r="C266" s="1823" t="s">
        <v>327</v>
      </c>
      <c r="D266" s="1823"/>
      <c r="E266" s="1823"/>
      <c r="F266" s="573"/>
      <c r="G266" s="573"/>
      <c r="H266" s="573"/>
      <c r="I266" s="573"/>
      <c r="J266" s="572"/>
      <c r="K266" s="573"/>
      <c r="L266" s="572">
        <v>2108.0100000000002</v>
      </c>
      <c r="M266" s="601"/>
      <c r="N266" s="570"/>
      <c r="V266" s="674"/>
      <c r="W266" s="675"/>
      <c r="AB266" s="675" t="s">
        <v>327</v>
      </c>
      <c r="AC266" s="680"/>
      <c r="AF266" s="675"/>
      <c r="AH266" s="675"/>
    </row>
    <row r="267" spans="1:34" s="536" customFormat="1" ht="33.75" x14ac:dyDescent="0.2">
      <c r="A267" s="575" t="s">
        <v>760</v>
      </c>
      <c r="B267" s="684" t="s">
        <v>634</v>
      </c>
      <c r="C267" s="1823" t="s">
        <v>635</v>
      </c>
      <c r="D267" s="1823"/>
      <c r="E267" s="1823"/>
      <c r="F267" s="573" t="s">
        <v>628</v>
      </c>
      <c r="G267" s="573"/>
      <c r="H267" s="573"/>
      <c r="I267" s="573" t="s">
        <v>186</v>
      </c>
      <c r="J267" s="572">
        <v>240760.83</v>
      </c>
      <c r="K267" s="573" t="s">
        <v>629</v>
      </c>
      <c r="L267" s="572">
        <v>106165.58</v>
      </c>
      <c r="M267" s="571">
        <v>4.59</v>
      </c>
      <c r="N267" s="570">
        <v>487300</v>
      </c>
      <c r="V267" s="674"/>
      <c r="W267" s="675" t="s">
        <v>635</v>
      </c>
      <c r="AB267" s="675"/>
      <c r="AC267" s="680"/>
      <c r="AF267" s="675"/>
      <c r="AH267" s="675"/>
    </row>
    <row r="268" spans="1:34" s="536" customFormat="1" ht="12" x14ac:dyDescent="0.2">
      <c r="A268" s="569"/>
      <c r="B268" s="683"/>
      <c r="C268" s="689" t="s">
        <v>630</v>
      </c>
      <c r="D268" s="690"/>
      <c r="E268" s="690"/>
      <c r="F268" s="563"/>
      <c r="G268" s="563"/>
      <c r="H268" s="563"/>
      <c r="I268" s="563"/>
      <c r="J268" s="566"/>
      <c r="K268" s="563"/>
      <c r="L268" s="566"/>
      <c r="M268" s="565"/>
      <c r="N268" s="564"/>
      <c r="V268" s="674"/>
      <c r="W268" s="675"/>
      <c r="AB268" s="675"/>
      <c r="AC268" s="680"/>
      <c r="AF268" s="675"/>
      <c r="AH268" s="675"/>
    </row>
    <row r="269" spans="1:34" s="536" customFormat="1" ht="22.5" x14ac:dyDescent="0.2">
      <c r="A269" s="609"/>
      <c r="B269" s="552" t="s">
        <v>631</v>
      </c>
      <c r="C269" s="1822" t="s">
        <v>632</v>
      </c>
      <c r="D269" s="1822"/>
      <c r="E269" s="1822"/>
      <c r="F269" s="1822"/>
      <c r="G269" s="1822"/>
      <c r="H269" s="1822"/>
      <c r="I269" s="1822"/>
      <c r="J269" s="1822"/>
      <c r="K269" s="1822"/>
      <c r="L269" s="1822"/>
      <c r="M269" s="1822"/>
      <c r="N269" s="1827"/>
      <c r="V269" s="674"/>
      <c r="W269" s="675"/>
      <c r="X269" s="537" t="s">
        <v>632</v>
      </c>
      <c r="AB269" s="675"/>
      <c r="AC269" s="680"/>
      <c r="AF269" s="675"/>
      <c r="AH269" s="675"/>
    </row>
    <row r="270" spans="1:34" s="536" customFormat="1" ht="33.75" x14ac:dyDescent="0.2">
      <c r="A270" s="575" t="s">
        <v>761</v>
      </c>
      <c r="B270" s="684" t="s">
        <v>636</v>
      </c>
      <c r="C270" s="1823" t="s">
        <v>637</v>
      </c>
      <c r="D270" s="1823"/>
      <c r="E270" s="1823"/>
      <c r="F270" s="573" t="s">
        <v>638</v>
      </c>
      <c r="G270" s="573"/>
      <c r="H270" s="573"/>
      <c r="I270" s="573" t="s">
        <v>187</v>
      </c>
      <c r="J270" s="572"/>
      <c r="K270" s="573"/>
      <c r="L270" s="572"/>
      <c r="M270" s="571"/>
      <c r="N270" s="570"/>
      <c r="V270" s="674"/>
      <c r="W270" s="675" t="s">
        <v>637</v>
      </c>
      <c r="AB270" s="675"/>
      <c r="AC270" s="680"/>
      <c r="AF270" s="675"/>
      <c r="AH270" s="675"/>
    </row>
    <row r="271" spans="1:34" s="536" customFormat="1" ht="22.5" x14ac:dyDescent="0.2">
      <c r="A271" s="609"/>
      <c r="B271" s="552" t="s">
        <v>499</v>
      </c>
      <c r="C271" s="1822" t="s">
        <v>500</v>
      </c>
      <c r="D271" s="1822"/>
      <c r="E271" s="1822"/>
      <c r="F271" s="1822"/>
      <c r="G271" s="1822"/>
      <c r="H271" s="1822"/>
      <c r="I271" s="1822"/>
      <c r="J271" s="1822"/>
      <c r="K271" s="1822"/>
      <c r="L271" s="1822"/>
      <c r="M271" s="1822"/>
      <c r="N271" s="1827"/>
      <c r="V271" s="674"/>
      <c r="W271" s="675"/>
      <c r="X271" s="537" t="s">
        <v>500</v>
      </c>
      <c r="AB271" s="675"/>
      <c r="AC271" s="680"/>
      <c r="AF271" s="675"/>
      <c r="AH271" s="675"/>
    </row>
    <row r="272" spans="1:34" s="536" customFormat="1" ht="12" x14ac:dyDescent="0.2">
      <c r="A272" s="605"/>
      <c r="B272" s="552" t="s">
        <v>185</v>
      </c>
      <c r="C272" s="1822" t="s">
        <v>312</v>
      </c>
      <c r="D272" s="1822"/>
      <c r="E272" s="1822"/>
      <c r="F272" s="562"/>
      <c r="G272" s="562"/>
      <c r="H272" s="562"/>
      <c r="I272" s="562"/>
      <c r="J272" s="604">
        <v>52.67</v>
      </c>
      <c r="K272" s="562" t="s">
        <v>313</v>
      </c>
      <c r="L272" s="604">
        <v>197.51</v>
      </c>
      <c r="M272" s="603"/>
      <c r="N272" s="602"/>
      <c r="V272" s="674"/>
      <c r="W272" s="675"/>
      <c r="Y272" s="537" t="s">
        <v>312</v>
      </c>
      <c r="AB272" s="675"/>
      <c r="AC272" s="680"/>
      <c r="AF272" s="675"/>
      <c r="AH272" s="675"/>
    </row>
    <row r="273" spans="1:34" s="536" customFormat="1" ht="12" x14ac:dyDescent="0.2">
      <c r="A273" s="605"/>
      <c r="B273" s="552" t="s">
        <v>186</v>
      </c>
      <c r="C273" s="1822" t="s">
        <v>344</v>
      </c>
      <c r="D273" s="1822"/>
      <c r="E273" s="1822"/>
      <c r="F273" s="562"/>
      <c r="G273" s="562"/>
      <c r="H273" s="562"/>
      <c r="I273" s="562"/>
      <c r="J273" s="604">
        <v>2.35</v>
      </c>
      <c r="K273" s="562" t="s">
        <v>313</v>
      </c>
      <c r="L273" s="604">
        <v>8.81</v>
      </c>
      <c r="M273" s="603"/>
      <c r="N273" s="602"/>
      <c r="V273" s="674"/>
      <c r="W273" s="675"/>
      <c r="Y273" s="537" t="s">
        <v>344</v>
      </c>
      <c r="AB273" s="675"/>
      <c r="AC273" s="680"/>
      <c r="AF273" s="675"/>
      <c r="AH273" s="675"/>
    </row>
    <row r="274" spans="1:34" s="536" customFormat="1" ht="12" x14ac:dyDescent="0.2">
      <c r="A274" s="605"/>
      <c r="B274" s="552" t="s">
        <v>187</v>
      </c>
      <c r="C274" s="1822" t="s">
        <v>345</v>
      </c>
      <c r="D274" s="1822"/>
      <c r="E274" s="1822"/>
      <c r="F274" s="562"/>
      <c r="G274" s="562"/>
      <c r="H274" s="562"/>
      <c r="I274" s="562"/>
      <c r="J274" s="604">
        <v>1.21</v>
      </c>
      <c r="K274" s="562" t="s">
        <v>313</v>
      </c>
      <c r="L274" s="604">
        <v>4.54</v>
      </c>
      <c r="M274" s="603"/>
      <c r="N274" s="602"/>
      <c r="V274" s="674"/>
      <c r="W274" s="675"/>
      <c r="Y274" s="537" t="s">
        <v>345</v>
      </c>
      <c r="AB274" s="675"/>
      <c r="AC274" s="680"/>
      <c r="AF274" s="675"/>
      <c r="AH274" s="675"/>
    </row>
    <row r="275" spans="1:34" s="536" customFormat="1" ht="12" x14ac:dyDescent="0.2">
      <c r="A275" s="605"/>
      <c r="B275" s="552" t="s">
        <v>188</v>
      </c>
      <c r="C275" s="1822" t="s">
        <v>475</v>
      </c>
      <c r="D275" s="1822"/>
      <c r="E275" s="1822"/>
      <c r="F275" s="562"/>
      <c r="G275" s="562"/>
      <c r="H275" s="562"/>
      <c r="I275" s="562"/>
      <c r="J275" s="604">
        <v>193.71</v>
      </c>
      <c r="K275" s="562"/>
      <c r="L275" s="604">
        <v>581.13</v>
      </c>
      <c r="M275" s="603"/>
      <c r="N275" s="602"/>
      <c r="V275" s="674"/>
      <c r="W275" s="675"/>
      <c r="Y275" s="537" t="s">
        <v>475</v>
      </c>
      <c r="AB275" s="675"/>
      <c r="AC275" s="680"/>
      <c r="AF275" s="675"/>
      <c r="AH275" s="675"/>
    </row>
    <row r="276" spans="1:34" s="536" customFormat="1" ht="12" x14ac:dyDescent="0.2">
      <c r="A276" s="676"/>
      <c r="B276" s="677" t="s">
        <v>639</v>
      </c>
      <c r="C276" s="1829" t="s">
        <v>640</v>
      </c>
      <c r="D276" s="1829"/>
      <c r="E276" s="1829"/>
      <c r="F276" s="678" t="s">
        <v>641</v>
      </c>
      <c r="G276" s="678" t="s">
        <v>642</v>
      </c>
      <c r="H276" s="678"/>
      <c r="I276" s="678" t="s">
        <v>643</v>
      </c>
      <c r="J276" s="552"/>
      <c r="K276" s="562"/>
      <c r="L276" s="604"/>
      <c r="M276" s="562"/>
      <c r="N276" s="679"/>
      <c r="V276" s="674"/>
      <c r="W276" s="675"/>
      <c r="AB276" s="675"/>
      <c r="AC276" s="680" t="s">
        <v>640</v>
      </c>
      <c r="AF276" s="675"/>
      <c r="AH276" s="675"/>
    </row>
    <row r="277" spans="1:34" s="536" customFormat="1" ht="12" x14ac:dyDescent="0.2">
      <c r="A277" s="605"/>
      <c r="B277" s="552"/>
      <c r="C277" s="1822" t="s">
        <v>314</v>
      </c>
      <c r="D277" s="1822"/>
      <c r="E277" s="1822"/>
      <c r="F277" s="562" t="s">
        <v>315</v>
      </c>
      <c r="G277" s="562" t="s">
        <v>644</v>
      </c>
      <c r="H277" s="562" t="s">
        <v>313</v>
      </c>
      <c r="I277" s="562" t="s">
        <v>645</v>
      </c>
      <c r="J277" s="604"/>
      <c r="K277" s="562"/>
      <c r="L277" s="604"/>
      <c r="M277" s="603"/>
      <c r="N277" s="602"/>
      <c r="V277" s="674"/>
      <c r="W277" s="675"/>
      <c r="Z277" s="537" t="s">
        <v>314</v>
      </c>
      <c r="AB277" s="675"/>
      <c r="AC277" s="680"/>
      <c r="AF277" s="675"/>
      <c r="AH277" s="675"/>
    </row>
    <row r="278" spans="1:34" s="536" customFormat="1" ht="12" x14ac:dyDescent="0.2">
      <c r="A278" s="605"/>
      <c r="B278" s="552"/>
      <c r="C278" s="1822" t="s">
        <v>348</v>
      </c>
      <c r="D278" s="1822"/>
      <c r="E278" s="1822"/>
      <c r="F278" s="562" t="s">
        <v>315</v>
      </c>
      <c r="G278" s="562" t="s">
        <v>646</v>
      </c>
      <c r="H278" s="562" t="s">
        <v>313</v>
      </c>
      <c r="I278" s="562" t="s">
        <v>647</v>
      </c>
      <c r="J278" s="604"/>
      <c r="K278" s="562"/>
      <c r="L278" s="604"/>
      <c r="M278" s="603"/>
      <c r="N278" s="602"/>
      <c r="V278" s="674"/>
      <c r="W278" s="675"/>
      <c r="Z278" s="537" t="s">
        <v>348</v>
      </c>
      <c r="AB278" s="675"/>
      <c r="AC278" s="680"/>
      <c r="AF278" s="675"/>
      <c r="AH278" s="675"/>
    </row>
    <row r="279" spans="1:34" s="536" customFormat="1" ht="12" x14ac:dyDescent="0.2">
      <c r="A279" s="605"/>
      <c r="B279" s="552"/>
      <c r="C279" s="1828" t="s">
        <v>318</v>
      </c>
      <c r="D279" s="1828"/>
      <c r="E279" s="1828"/>
      <c r="F279" s="608"/>
      <c r="G279" s="608"/>
      <c r="H279" s="608"/>
      <c r="I279" s="608"/>
      <c r="J279" s="607">
        <v>248.73</v>
      </c>
      <c r="K279" s="608"/>
      <c r="L279" s="607">
        <v>787.45</v>
      </c>
      <c r="M279" s="601"/>
      <c r="N279" s="606"/>
      <c r="V279" s="674"/>
      <c r="W279" s="675"/>
      <c r="AA279" s="537" t="s">
        <v>318</v>
      </c>
      <c r="AB279" s="675"/>
      <c r="AC279" s="680"/>
      <c r="AF279" s="675"/>
      <c r="AH279" s="675"/>
    </row>
    <row r="280" spans="1:34" s="536" customFormat="1" ht="12" x14ac:dyDescent="0.2">
      <c r="A280" s="605"/>
      <c r="B280" s="552"/>
      <c r="C280" s="1822" t="s">
        <v>319</v>
      </c>
      <c r="D280" s="1822"/>
      <c r="E280" s="1822"/>
      <c r="F280" s="562"/>
      <c r="G280" s="562"/>
      <c r="H280" s="562"/>
      <c r="I280" s="562"/>
      <c r="J280" s="604"/>
      <c r="K280" s="562"/>
      <c r="L280" s="604">
        <v>202.05</v>
      </c>
      <c r="M280" s="603"/>
      <c r="N280" s="602"/>
      <c r="V280" s="674"/>
      <c r="W280" s="675"/>
      <c r="Z280" s="537" t="s">
        <v>319</v>
      </c>
      <c r="AB280" s="675"/>
      <c r="AC280" s="680"/>
      <c r="AF280" s="675"/>
      <c r="AH280" s="675"/>
    </row>
    <row r="281" spans="1:34" s="536" customFormat="1" ht="33.75" x14ac:dyDescent="0.2">
      <c r="A281" s="605"/>
      <c r="B281" s="552" t="s">
        <v>648</v>
      </c>
      <c r="C281" s="1822" t="s">
        <v>649</v>
      </c>
      <c r="D281" s="1822"/>
      <c r="E281" s="1822"/>
      <c r="F281" s="562" t="s">
        <v>322</v>
      </c>
      <c r="G281" s="562" t="s">
        <v>650</v>
      </c>
      <c r="H281" s="562"/>
      <c r="I281" s="562" t="s">
        <v>650</v>
      </c>
      <c r="J281" s="604"/>
      <c r="K281" s="562"/>
      <c r="L281" s="604">
        <v>187.91</v>
      </c>
      <c r="M281" s="603"/>
      <c r="N281" s="602"/>
      <c r="V281" s="674"/>
      <c r="W281" s="675"/>
      <c r="Z281" s="537" t="s">
        <v>649</v>
      </c>
      <c r="AB281" s="675"/>
      <c r="AC281" s="680"/>
      <c r="AF281" s="675"/>
      <c r="AH281" s="675"/>
    </row>
    <row r="282" spans="1:34" s="536" customFormat="1" ht="33.75" x14ac:dyDescent="0.2">
      <c r="A282" s="605"/>
      <c r="B282" s="552" t="s">
        <v>651</v>
      </c>
      <c r="C282" s="1822" t="s">
        <v>652</v>
      </c>
      <c r="D282" s="1822"/>
      <c r="E282" s="1822"/>
      <c r="F282" s="562" t="s">
        <v>322</v>
      </c>
      <c r="G282" s="562" t="s">
        <v>653</v>
      </c>
      <c r="H282" s="562"/>
      <c r="I282" s="562" t="s">
        <v>653</v>
      </c>
      <c r="J282" s="604"/>
      <c r="K282" s="562"/>
      <c r="L282" s="604">
        <v>125.27</v>
      </c>
      <c r="M282" s="603"/>
      <c r="N282" s="602"/>
      <c r="V282" s="674"/>
      <c r="W282" s="675"/>
      <c r="Z282" s="537" t="s">
        <v>652</v>
      </c>
      <c r="AB282" s="675"/>
      <c r="AC282" s="680"/>
      <c r="AF282" s="675"/>
      <c r="AH282" s="675"/>
    </row>
    <row r="283" spans="1:34" s="536" customFormat="1" ht="12" x14ac:dyDescent="0.2">
      <c r="A283" s="569"/>
      <c r="B283" s="683"/>
      <c r="C283" s="1823" t="s">
        <v>327</v>
      </c>
      <c r="D283" s="1823"/>
      <c r="E283" s="1823"/>
      <c r="F283" s="573"/>
      <c r="G283" s="573"/>
      <c r="H283" s="573"/>
      <c r="I283" s="573"/>
      <c r="J283" s="572"/>
      <c r="K283" s="573"/>
      <c r="L283" s="572">
        <v>1100.6300000000001</v>
      </c>
      <c r="M283" s="601"/>
      <c r="N283" s="570"/>
      <c r="V283" s="674"/>
      <c r="W283" s="675"/>
      <c r="AB283" s="675" t="s">
        <v>327</v>
      </c>
      <c r="AC283" s="680"/>
      <c r="AF283" s="675"/>
      <c r="AH283" s="675"/>
    </row>
    <row r="284" spans="1:34" s="536" customFormat="1" ht="22.5" x14ac:dyDescent="0.2">
      <c r="A284" s="575" t="s">
        <v>762</v>
      </c>
      <c r="B284" s="684" t="s">
        <v>654</v>
      </c>
      <c r="C284" s="1823" t="s">
        <v>655</v>
      </c>
      <c r="D284" s="1823"/>
      <c r="E284" s="1823"/>
      <c r="F284" s="573" t="s">
        <v>641</v>
      </c>
      <c r="G284" s="573"/>
      <c r="H284" s="573"/>
      <c r="I284" s="573" t="s">
        <v>643</v>
      </c>
      <c r="J284" s="572">
        <v>592.76</v>
      </c>
      <c r="K284" s="573"/>
      <c r="L284" s="572">
        <v>666.86</v>
      </c>
      <c r="M284" s="571"/>
      <c r="N284" s="570"/>
      <c r="V284" s="674"/>
      <c r="W284" s="675" t="s">
        <v>655</v>
      </c>
      <c r="AB284" s="675"/>
      <c r="AC284" s="680"/>
      <c r="AF284" s="675"/>
      <c r="AH284" s="675"/>
    </row>
    <row r="285" spans="1:34" s="536" customFormat="1" ht="12" x14ac:dyDescent="0.2">
      <c r="A285" s="569"/>
      <c r="B285" s="683"/>
      <c r="C285" s="689" t="s">
        <v>656</v>
      </c>
      <c r="D285" s="690"/>
      <c r="E285" s="690"/>
      <c r="F285" s="563"/>
      <c r="G285" s="563"/>
      <c r="H285" s="563"/>
      <c r="I285" s="563"/>
      <c r="J285" s="566"/>
      <c r="K285" s="563"/>
      <c r="L285" s="566"/>
      <c r="M285" s="565"/>
      <c r="N285" s="564"/>
      <c r="V285" s="674"/>
      <c r="W285" s="675"/>
      <c r="AB285" s="675"/>
      <c r="AC285" s="680"/>
      <c r="AF285" s="675"/>
      <c r="AH285" s="675"/>
    </row>
    <row r="286" spans="1:34" s="536" customFormat="1" ht="22.5" x14ac:dyDescent="0.2">
      <c r="A286" s="609"/>
      <c r="B286" s="552" t="s">
        <v>499</v>
      </c>
      <c r="C286" s="1822" t="s">
        <v>500</v>
      </c>
      <c r="D286" s="1822"/>
      <c r="E286" s="1822"/>
      <c r="F286" s="1822"/>
      <c r="G286" s="1822"/>
      <c r="H286" s="1822"/>
      <c r="I286" s="1822"/>
      <c r="J286" s="1822"/>
      <c r="K286" s="1822"/>
      <c r="L286" s="1822"/>
      <c r="M286" s="1822"/>
      <c r="N286" s="1827"/>
      <c r="V286" s="674"/>
      <c r="W286" s="675"/>
      <c r="X286" s="537" t="s">
        <v>500</v>
      </c>
      <c r="AB286" s="675"/>
      <c r="AC286" s="680"/>
      <c r="AF286" s="675"/>
      <c r="AH286" s="675"/>
    </row>
    <row r="287" spans="1:34" s="536" customFormat="1" ht="33.75" x14ac:dyDescent="0.2">
      <c r="A287" s="575" t="s">
        <v>763</v>
      </c>
      <c r="B287" s="684" t="s">
        <v>657</v>
      </c>
      <c r="C287" s="1823" t="s">
        <v>658</v>
      </c>
      <c r="D287" s="1823"/>
      <c r="E287" s="1823"/>
      <c r="F287" s="573" t="s">
        <v>641</v>
      </c>
      <c r="G287" s="573"/>
      <c r="H287" s="573"/>
      <c r="I287" s="573" t="s">
        <v>643</v>
      </c>
      <c r="J287" s="572">
        <v>18.04</v>
      </c>
      <c r="K287" s="573"/>
      <c r="L287" s="572">
        <v>20.3</v>
      </c>
      <c r="M287" s="571"/>
      <c r="N287" s="570"/>
      <c r="V287" s="674"/>
      <c r="W287" s="675" t="s">
        <v>658</v>
      </c>
      <c r="AB287" s="675"/>
      <c r="AC287" s="680"/>
      <c r="AF287" s="675"/>
      <c r="AH287" s="675"/>
    </row>
    <row r="288" spans="1:34" s="536" customFormat="1" ht="12" x14ac:dyDescent="0.2">
      <c r="A288" s="569"/>
      <c r="B288" s="683"/>
      <c r="C288" s="689" t="s">
        <v>656</v>
      </c>
      <c r="D288" s="690"/>
      <c r="E288" s="690"/>
      <c r="F288" s="563"/>
      <c r="G288" s="563"/>
      <c r="H288" s="563"/>
      <c r="I288" s="563"/>
      <c r="J288" s="566"/>
      <c r="K288" s="563"/>
      <c r="L288" s="566"/>
      <c r="M288" s="565"/>
      <c r="N288" s="564"/>
      <c r="V288" s="674"/>
      <c r="W288" s="675"/>
      <c r="AB288" s="675"/>
      <c r="AC288" s="680"/>
      <c r="AF288" s="675"/>
      <c r="AH288" s="675"/>
    </row>
    <row r="289" spans="1:34" s="536" customFormat="1" ht="12" x14ac:dyDescent="0.2">
      <c r="A289" s="676"/>
      <c r="B289" s="682"/>
      <c r="C289" s="1822" t="s">
        <v>659</v>
      </c>
      <c r="D289" s="1822"/>
      <c r="E289" s="1822"/>
      <c r="F289" s="1822"/>
      <c r="G289" s="1822"/>
      <c r="H289" s="1822"/>
      <c r="I289" s="1822"/>
      <c r="J289" s="1822"/>
      <c r="K289" s="1822"/>
      <c r="L289" s="1822"/>
      <c r="M289" s="1822"/>
      <c r="N289" s="1827"/>
      <c r="V289" s="674"/>
      <c r="W289" s="675"/>
      <c r="AB289" s="675"/>
      <c r="AC289" s="680"/>
      <c r="AD289" s="537" t="s">
        <v>659</v>
      </c>
      <c r="AF289" s="675"/>
      <c r="AH289" s="675"/>
    </row>
    <row r="290" spans="1:34" s="536" customFormat="1" ht="22.5" x14ac:dyDescent="0.2">
      <c r="A290" s="609"/>
      <c r="B290" s="552" t="s">
        <v>499</v>
      </c>
      <c r="C290" s="1822" t="s">
        <v>500</v>
      </c>
      <c r="D290" s="1822"/>
      <c r="E290" s="1822"/>
      <c r="F290" s="1822"/>
      <c r="G290" s="1822"/>
      <c r="H290" s="1822"/>
      <c r="I290" s="1822"/>
      <c r="J290" s="1822"/>
      <c r="K290" s="1822"/>
      <c r="L290" s="1822"/>
      <c r="M290" s="1822"/>
      <c r="N290" s="1827"/>
      <c r="V290" s="674"/>
      <c r="W290" s="675"/>
      <c r="X290" s="537" t="s">
        <v>500</v>
      </c>
      <c r="AB290" s="675"/>
      <c r="AC290" s="680"/>
      <c r="AF290" s="675"/>
      <c r="AH290" s="675"/>
    </row>
    <row r="291" spans="1:34" s="536" customFormat="1" ht="33.75" x14ac:dyDescent="0.2">
      <c r="A291" s="575" t="s">
        <v>764</v>
      </c>
      <c r="B291" s="684" t="s">
        <v>661</v>
      </c>
      <c r="C291" s="1823" t="s">
        <v>662</v>
      </c>
      <c r="D291" s="1823"/>
      <c r="E291" s="1823"/>
      <c r="F291" s="573" t="s">
        <v>663</v>
      </c>
      <c r="G291" s="573"/>
      <c r="H291" s="573"/>
      <c r="I291" s="573" t="s">
        <v>187</v>
      </c>
      <c r="J291" s="572">
        <v>143023.32999999999</v>
      </c>
      <c r="K291" s="573" t="s">
        <v>629</v>
      </c>
      <c r="L291" s="572">
        <v>94601.09</v>
      </c>
      <c r="M291" s="571">
        <v>4.59</v>
      </c>
      <c r="N291" s="570">
        <v>434219</v>
      </c>
      <c r="V291" s="674"/>
      <c r="W291" s="675" t="s">
        <v>662</v>
      </c>
      <c r="AB291" s="675"/>
      <c r="AC291" s="680"/>
      <c r="AF291" s="675"/>
      <c r="AH291" s="675"/>
    </row>
    <row r="292" spans="1:34" s="536" customFormat="1" ht="12" x14ac:dyDescent="0.2">
      <c r="A292" s="569"/>
      <c r="B292" s="683"/>
      <c r="C292" s="689" t="s">
        <v>630</v>
      </c>
      <c r="D292" s="690"/>
      <c r="E292" s="690"/>
      <c r="F292" s="563"/>
      <c r="G292" s="563"/>
      <c r="H292" s="563"/>
      <c r="I292" s="563"/>
      <c r="J292" s="566"/>
      <c r="K292" s="563"/>
      <c r="L292" s="566"/>
      <c r="M292" s="565"/>
      <c r="N292" s="564"/>
      <c r="V292" s="674"/>
      <c r="W292" s="675"/>
      <c r="AB292" s="675"/>
      <c r="AC292" s="680"/>
      <c r="AF292" s="675"/>
      <c r="AH292" s="675"/>
    </row>
    <row r="293" spans="1:34" s="536" customFormat="1" ht="22.5" x14ac:dyDescent="0.2">
      <c r="A293" s="609"/>
      <c r="B293" s="552" t="s">
        <v>631</v>
      </c>
      <c r="C293" s="1822" t="s">
        <v>632</v>
      </c>
      <c r="D293" s="1822"/>
      <c r="E293" s="1822"/>
      <c r="F293" s="1822"/>
      <c r="G293" s="1822"/>
      <c r="H293" s="1822"/>
      <c r="I293" s="1822"/>
      <c r="J293" s="1822"/>
      <c r="K293" s="1822"/>
      <c r="L293" s="1822"/>
      <c r="M293" s="1822"/>
      <c r="N293" s="1827"/>
      <c r="V293" s="674"/>
      <c r="W293" s="675"/>
      <c r="X293" s="537" t="s">
        <v>632</v>
      </c>
      <c r="AB293" s="675"/>
      <c r="AC293" s="680"/>
      <c r="AF293" s="675"/>
      <c r="AH293" s="675"/>
    </row>
    <row r="294" spans="1:34" s="536" customFormat="1" ht="33.75" x14ac:dyDescent="0.2">
      <c r="A294" s="575" t="s">
        <v>765</v>
      </c>
      <c r="B294" s="684" t="s">
        <v>9199</v>
      </c>
      <c r="C294" s="1823" t="s">
        <v>9198</v>
      </c>
      <c r="D294" s="1823"/>
      <c r="E294" s="1823"/>
      <c r="F294" s="573" t="s">
        <v>617</v>
      </c>
      <c r="G294" s="573"/>
      <c r="H294" s="573"/>
      <c r="I294" s="573" t="s">
        <v>186</v>
      </c>
      <c r="J294" s="572"/>
      <c r="K294" s="573"/>
      <c r="L294" s="572"/>
      <c r="M294" s="571"/>
      <c r="N294" s="570"/>
      <c r="V294" s="674"/>
      <c r="W294" s="675" t="s">
        <v>9198</v>
      </c>
      <c r="AB294" s="675"/>
      <c r="AC294" s="680"/>
      <c r="AF294" s="675"/>
      <c r="AH294" s="675"/>
    </row>
    <row r="295" spans="1:34" s="536" customFormat="1" ht="22.5" x14ac:dyDescent="0.2">
      <c r="A295" s="609"/>
      <c r="B295" s="552" t="s">
        <v>499</v>
      </c>
      <c r="C295" s="1822" t="s">
        <v>500</v>
      </c>
      <c r="D295" s="1822"/>
      <c r="E295" s="1822"/>
      <c r="F295" s="1822"/>
      <c r="G295" s="1822"/>
      <c r="H295" s="1822"/>
      <c r="I295" s="1822"/>
      <c r="J295" s="1822"/>
      <c r="K295" s="1822"/>
      <c r="L295" s="1822"/>
      <c r="M295" s="1822"/>
      <c r="N295" s="1827"/>
      <c r="V295" s="674"/>
      <c r="W295" s="675"/>
      <c r="X295" s="537" t="s">
        <v>500</v>
      </c>
      <c r="AB295" s="675"/>
      <c r="AC295" s="680"/>
      <c r="AF295" s="675"/>
      <c r="AH295" s="675"/>
    </row>
    <row r="296" spans="1:34" s="536" customFormat="1" ht="12" x14ac:dyDescent="0.2">
      <c r="A296" s="605"/>
      <c r="B296" s="552" t="s">
        <v>185</v>
      </c>
      <c r="C296" s="1822" t="s">
        <v>312</v>
      </c>
      <c r="D296" s="1822"/>
      <c r="E296" s="1822"/>
      <c r="F296" s="562"/>
      <c r="G296" s="562"/>
      <c r="H296" s="562"/>
      <c r="I296" s="562"/>
      <c r="J296" s="604">
        <v>236.88</v>
      </c>
      <c r="K296" s="562" t="s">
        <v>313</v>
      </c>
      <c r="L296" s="604">
        <v>592.20000000000005</v>
      </c>
      <c r="M296" s="603"/>
      <c r="N296" s="602"/>
      <c r="V296" s="674"/>
      <c r="W296" s="675"/>
      <c r="Y296" s="537" t="s">
        <v>312</v>
      </c>
      <c r="AB296" s="675"/>
      <c r="AC296" s="680"/>
      <c r="AF296" s="675"/>
      <c r="AH296" s="675"/>
    </row>
    <row r="297" spans="1:34" s="536" customFormat="1" ht="12" x14ac:dyDescent="0.2">
      <c r="A297" s="605"/>
      <c r="B297" s="552" t="s">
        <v>186</v>
      </c>
      <c r="C297" s="1822" t="s">
        <v>344</v>
      </c>
      <c r="D297" s="1822"/>
      <c r="E297" s="1822"/>
      <c r="F297" s="562"/>
      <c r="G297" s="562"/>
      <c r="H297" s="562"/>
      <c r="I297" s="562"/>
      <c r="J297" s="604">
        <v>66.58</v>
      </c>
      <c r="K297" s="562" t="s">
        <v>313</v>
      </c>
      <c r="L297" s="604">
        <v>166.45</v>
      </c>
      <c r="M297" s="603"/>
      <c r="N297" s="602"/>
      <c r="V297" s="674"/>
      <c r="W297" s="675"/>
      <c r="Y297" s="537" t="s">
        <v>344</v>
      </c>
      <c r="AB297" s="675"/>
      <c r="AC297" s="680"/>
      <c r="AF297" s="675"/>
      <c r="AH297" s="675"/>
    </row>
    <row r="298" spans="1:34" s="536" customFormat="1" ht="12" x14ac:dyDescent="0.2">
      <c r="A298" s="605"/>
      <c r="B298" s="552" t="s">
        <v>187</v>
      </c>
      <c r="C298" s="1822" t="s">
        <v>345</v>
      </c>
      <c r="D298" s="1822"/>
      <c r="E298" s="1822"/>
      <c r="F298" s="562"/>
      <c r="G298" s="562"/>
      <c r="H298" s="562"/>
      <c r="I298" s="562"/>
      <c r="J298" s="604">
        <v>5.1100000000000003</v>
      </c>
      <c r="K298" s="562" t="s">
        <v>313</v>
      </c>
      <c r="L298" s="604">
        <v>12.78</v>
      </c>
      <c r="M298" s="603"/>
      <c r="N298" s="602"/>
      <c r="V298" s="674"/>
      <c r="W298" s="675"/>
      <c r="Y298" s="537" t="s">
        <v>345</v>
      </c>
      <c r="AB298" s="675"/>
      <c r="AC298" s="680"/>
      <c r="AF298" s="675"/>
      <c r="AH298" s="675"/>
    </row>
    <row r="299" spans="1:34" s="536" customFormat="1" ht="12" x14ac:dyDescent="0.2">
      <c r="A299" s="605"/>
      <c r="B299" s="552" t="s">
        <v>188</v>
      </c>
      <c r="C299" s="1822" t="s">
        <v>475</v>
      </c>
      <c r="D299" s="1822"/>
      <c r="E299" s="1822"/>
      <c r="F299" s="562"/>
      <c r="G299" s="562"/>
      <c r="H299" s="562"/>
      <c r="I299" s="562"/>
      <c r="J299" s="604">
        <v>248.17</v>
      </c>
      <c r="K299" s="562"/>
      <c r="L299" s="604">
        <v>496.34</v>
      </c>
      <c r="M299" s="603"/>
      <c r="N299" s="602"/>
      <c r="V299" s="674"/>
      <c r="W299" s="675"/>
      <c r="Y299" s="537" t="s">
        <v>475</v>
      </c>
      <c r="AB299" s="675"/>
      <c r="AC299" s="680"/>
      <c r="AF299" s="675"/>
      <c r="AH299" s="675"/>
    </row>
    <row r="300" spans="1:34" s="536" customFormat="1" ht="12" x14ac:dyDescent="0.2">
      <c r="A300" s="605"/>
      <c r="B300" s="552"/>
      <c r="C300" s="1822" t="s">
        <v>314</v>
      </c>
      <c r="D300" s="1822"/>
      <c r="E300" s="1822"/>
      <c r="F300" s="562" t="s">
        <v>315</v>
      </c>
      <c r="G300" s="562" t="s">
        <v>9197</v>
      </c>
      <c r="H300" s="562" t="s">
        <v>313</v>
      </c>
      <c r="I300" s="562" t="s">
        <v>794</v>
      </c>
      <c r="J300" s="604"/>
      <c r="K300" s="562"/>
      <c r="L300" s="604"/>
      <c r="M300" s="603"/>
      <c r="N300" s="602"/>
      <c r="V300" s="674"/>
      <c r="W300" s="675"/>
      <c r="Z300" s="537" t="s">
        <v>314</v>
      </c>
      <c r="AB300" s="675"/>
      <c r="AC300" s="680"/>
      <c r="AF300" s="675"/>
      <c r="AH300" s="675"/>
    </row>
    <row r="301" spans="1:34" s="536" customFormat="1" ht="12" x14ac:dyDescent="0.2">
      <c r="A301" s="605"/>
      <c r="B301" s="552"/>
      <c r="C301" s="1822" t="s">
        <v>348</v>
      </c>
      <c r="D301" s="1822"/>
      <c r="E301" s="1822"/>
      <c r="F301" s="562" t="s">
        <v>315</v>
      </c>
      <c r="G301" s="562" t="s">
        <v>4123</v>
      </c>
      <c r="H301" s="562" t="s">
        <v>313</v>
      </c>
      <c r="I301" s="562" t="s">
        <v>9196</v>
      </c>
      <c r="J301" s="604"/>
      <c r="K301" s="562"/>
      <c r="L301" s="604"/>
      <c r="M301" s="603"/>
      <c r="N301" s="602"/>
      <c r="V301" s="674"/>
      <c r="W301" s="675"/>
      <c r="Z301" s="537" t="s">
        <v>348</v>
      </c>
      <c r="AB301" s="675"/>
      <c r="AC301" s="680"/>
      <c r="AF301" s="675"/>
      <c r="AH301" s="675"/>
    </row>
    <row r="302" spans="1:34" s="536" customFormat="1" ht="12" x14ac:dyDescent="0.2">
      <c r="A302" s="605"/>
      <c r="B302" s="552"/>
      <c r="C302" s="1828" t="s">
        <v>318</v>
      </c>
      <c r="D302" s="1828"/>
      <c r="E302" s="1828"/>
      <c r="F302" s="608"/>
      <c r="G302" s="608"/>
      <c r="H302" s="608"/>
      <c r="I302" s="608"/>
      <c r="J302" s="607">
        <v>551.63</v>
      </c>
      <c r="K302" s="608"/>
      <c r="L302" s="607">
        <v>1254.99</v>
      </c>
      <c r="M302" s="601"/>
      <c r="N302" s="606"/>
      <c r="V302" s="674"/>
      <c r="W302" s="675"/>
      <c r="AA302" s="537" t="s">
        <v>318</v>
      </c>
      <c r="AB302" s="675"/>
      <c r="AC302" s="680"/>
      <c r="AF302" s="675"/>
      <c r="AH302" s="675"/>
    </row>
    <row r="303" spans="1:34" s="536" customFormat="1" ht="12" x14ac:dyDescent="0.2">
      <c r="A303" s="605"/>
      <c r="B303" s="552"/>
      <c r="C303" s="1822" t="s">
        <v>319</v>
      </c>
      <c r="D303" s="1822"/>
      <c r="E303" s="1822"/>
      <c r="F303" s="562"/>
      <c r="G303" s="562"/>
      <c r="H303" s="562"/>
      <c r="I303" s="562"/>
      <c r="J303" s="604"/>
      <c r="K303" s="562"/>
      <c r="L303" s="604">
        <v>604.98</v>
      </c>
      <c r="M303" s="603"/>
      <c r="N303" s="602"/>
      <c r="V303" s="674"/>
      <c r="W303" s="675"/>
      <c r="Z303" s="537" t="s">
        <v>319</v>
      </c>
      <c r="AB303" s="675"/>
      <c r="AC303" s="680"/>
      <c r="AF303" s="675"/>
      <c r="AH303" s="675"/>
    </row>
    <row r="304" spans="1:34" s="536" customFormat="1" ht="33.75" x14ac:dyDescent="0.2">
      <c r="A304" s="605"/>
      <c r="B304" s="552" t="s">
        <v>2050</v>
      </c>
      <c r="C304" s="1822" t="s">
        <v>2051</v>
      </c>
      <c r="D304" s="1822"/>
      <c r="E304" s="1822"/>
      <c r="F304" s="562" t="s">
        <v>322</v>
      </c>
      <c r="G304" s="562" t="s">
        <v>462</v>
      </c>
      <c r="H304" s="562"/>
      <c r="I304" s="562" t="s">
        <v>462</v>
      </c>
      <c r="J304" s="604"/>
      <c r="K304" s="562"/>
      <c r="L304" s="604">
        <v>556.58000000000004</v>
      </c>
      <c r="M304" s="603"/>
      <c r="N304" s="602"/>
      <c r="V304" s="674"/>
      <c r="W304" s="675"/>
      <c r="Z304" s="537" t="s">
        <v>2051</v>
      </c>
      <c r="AB304" s="675"/>
      <c r="AC304" s="680"/>
      <c r="AF304" s="675"/>
      <c r="AH304" s="675"/>
    </row>
    <row r="305" spans="1:34" s="536" customFormat="1" ht="33.75" x14ac:dyDescent="0.2">
      <c r="A305" s="605"/>
      <c r="B305" s="552" t="s">
        <v>2052</v>
      </c>
      <c r="C305" s="1822" t="s">
        <v>2053</v>
      </c>
      <c r="D305" s="1822"/>
      <c r="E305" s="1822"/>
      <c r="F305" s="562" t="s">
        <v>322</v>
      </c>
      <c r="G305" s="562" t="s">
        <v>784</v>
      </c>
      <c r="H305" s="562"/>
      <c r="I305" s="562" t="s">
        <v>784</v>
      </c>
      <c r="J305" s="604"/>
      <c r="K305" s="562"/>
      <c r="L305" s="604">
        <v>296.44</v>
      </c>
      <c r="M305" s="603"/>
      <c r="N305" s="602"/>
      <c r="V305" s="674"/>
      <c r="W305" s="675"/>
      <c r="Z305" s="537" t="s">
        <v>2053</v>
      </c>
      <c r="AB305" s="675"/>
      <c r="AC305" s="680"/>
      <c r="AF305" s="675"/>
      <c r="AH305" s="675"/>
    </row>
    <row r="306" spans="1:34" s="536" customFormat="1" ht="12" x14ac:dyDescent="0.2">
      <c r="A306" s="569"/>
      <c r="B306" s="683"/>
      <c r="C306" s="1823" t="s">
        <v>327</v>
      </c>
      <c r="D306" s="1823"/>
      <c r="E306" s="1823"/>
      <c r="F306" s="573"/>
      <c r="G306" s="573"/>
      <c r="H306" s="573"/>
      <c r="I306" s="573"/>
      <c r="J306" s="572"/>
      <c r="K306" s="573"/>
      <c r="L306" s="572">
        <v>2108.0100000000002</v>
      </c>
      <c r="M306" s="601"/>
      <c r="N306" s="570"/>
      <c r="V306" s="674"/>
      <c r="W306" s="675"/>
      <c r="AB306" s="675" t="s">
        <v>327</v>
      </c>
      <c r="AC306" s="680"/>
      <c r="AF306" s="675"/>
      <c r="AH306" s="675"/>
    </row>
    <row r="307" spans="1:34" s="536" customFormat="1" ht="33.75" x14ac:dyDescent="0.2">
      <c r="A307" s="575" t="s">
        <v>766</v>
      </c>
      <c r="B307" s="684" t="s">
        <v>665</v>
      </c>
      <c r="C307" s="1823" t="s">
        <v>666</v>
      </c>
      <c r="D307" s="1823"/>
      <c r="E307" s="1823"/>
      <c r="F307" s="573" t="s">
        <v>663</v>
      </c>
      <c r="G307" s="573"/>
      <c r="H307" s="573"/>
      <c r="I307" s="573" t="s">
        <v>186</v>
      </c>
      <c r="J307" s="572">
        <v>791100</v>
      </c>
      <c r="K307" s="573" t="s">
        <v>629</v>
      </c>
      <c r="L307" s="572">
        <v>348842.27</v>
      </c>
      <c r="M307" s="571">
        <v>4.59</v>
      </c>
      <c r="N307" s="570">
        <v>1601186</v>
      </c>
      <c r="V307" s="674"/>
      <c r="W307" s="675" t="s">
        <v>666</v>
      </c>
      <c r="AB307" s="675"/>
      <c r="AC307" s="680"/>
      <c r="AF307" s="675"/>
      <c r="AH307" s="675"/>
    </row>
    <row r="308" spans="1:34" s="536" customFormat="1" ht="12" x14ac:dyDescent="0.2">
      <c r="A308" s="569"/>
      <c r="B308" s="683"/>
      <c r="C308" s="689" t="s">
        <v>630</v>
      </c>
      <c r="D308" s="690"/>
      <c r="E308" s="690"/>
      <c r="F308" s="563"/>
      <c r="G308" s="563"/>
      <c r="H308" s="563"/>
      <c r="I308" s="563"/>
      <c r="J308" s="566"/>
      <c r="K308" s="563"/>
      <c r="L308" s="566"/>
      <c r="M308" s="565"/>
      <c r="N308" s="564"/>
      <c r="V308" s="674"/>
      <c r="W308" s="675"/>
      <c r="AB308" s="675"/>
      <c r="AC308" s="680"/>
      <c r="AF308" s="675"/>
      <c r="AH308" s="675"/>
    </row>
    <row r="309" spans="1:34" s="536" customFormat="1" ht="22.5" x14ac:dyDescent="0.2">
      <c r="A309" s="609"/>
      <c r="B309" s="552" t="s">
        <v>631</v>
      </c>
      <c r="C309" s="1822" t="s">
        <v>632</v>
      </c>
      <c r="D309" s="1822"/>
      <c r="E309" s="1822"/>
      <c r="F309" s="1822"/>
      <c r="G309" s="1822"/>
      <c r="H309" s="1822"/>
      <c r="I309" s="1822"/>
      <c r="J309" s="1822"/>
      <c r="K309" s="1822"/>
      <c r="L309" s="1822"/>
      <c r="M309" s="1822"/>
      <c r="N309" s="1827"/>
      <c r="V309" s="674"/>
      <c r="W309" s="675"/>
      <c r="X309" s="537" t="s">
        <v>632</v>
      </c>
      <c r="AB309" s="675"/>
      <c r="AC309" s="680"/>
      <c r="AF309" s="675"/>
      <c r="AH309" s="675"/>
    </row>
    <row r="310" spans="1:34" s="536" customFormat="1" ht="33.75" x14ac:dyDescent="0.2">
      <c r="A310" s="575" t="s">
        <v>767</v>
      </c>
      <c r="B310" s="684" t="s">
        <v>667</v>
      </c>
      <c r="C310" s="1823" t="s">
        <v>668</v>
      </c>
      <c r="D310" s="1823"/>
      <c r="E310" s="1823"/>
      <c r="F310" s="573" t="s">
        <v>509</v>
      </c>
      <c r="G310" s="573"/>
      <c r="H310" s="573"/>
      <c r="I310" s="573" t="s">
        <v>669</v>
      </c>
      <c r="J310" s="572"/>
      <c r="K310" s="573"/>
      <c r="L310" s="572"/>
      <c r="M310" s="571"/>
      <c r="N310" s="570"/>
      <c r="V310" s="674"/>
      <c r="W310" s="675" t="s">
        <v>668</v>
      </c>
      <c r="AB310" s="675"/>
      <c r="AC310" s="680"/>
      <c r="AF310" s="675"/>
      <c r="AH310" s="675"/>
    </row>
    <row r="311" spans="1:34" s="536" customFormat="1" ht="12" x14ac:dyDescent="0.2">
      <c r="A311" s="676"/>
      <c r="B311" s="682"/>
      <c r="C311" s="1822" t="s">
        <v>670</v>
      </c>
      <c r="D311" s="1822"/>
      <c r="E311" s="1822"/>
      <c r="F311" s="1822"/>
      <c r="G311" s="1822"/>
      <c r="H311" s="1822"/>
      <c r="I311" s="1822"/>
      <c r="J311" s="1822"/>
      <c r="K311" s="1822"/>
      <c r="L311" s="1822"/>
      <c r="M311" s="1822"/>
      <c r="N311" s="1827"/>
      <c r="V311" s="674"/>
      <c r="W311" s="675"/>
      <c r="AB311" s="675"/>
      <c r="AC311" s="680"/>
      <c r="AE311" s="537" t="s">
        <v>670</v>
      </c>
      <c r="AF311" s="675"/>
      <c r="AH311" s="675"/>
    </row>
    <row r="312" spans="1:34" s="536" customFormat="1" ht="22.5" x14ac:dyDescent="0.2">
      <c r="A312" s="609"/>
      <c r="B312" s="552" t="s">
        <v>499</v>
      </c>
      <c r="C312" s="1822" t="s">
        <v>500</v>
      </c>
      <c r="D312" s="1822"/>
      <c r="E312" s="1822"/>
      <c r="F312" s="1822"/>
      <c r="G312" s="1822"/>
      <c r="H312" s="1822"/>
      <c r="I312" s="1822"/>
      <c r="J312" s="1822"/>
      <c r="K312" s="1822"/>
      <c r="L312" s="1822"/>
      <c r="M312" s="1822"/>
      <c r="N312" s="1827"/>
      <c r="V312" s="674"/>
      <c r="W312" s="675"/>
      <c r="X312" s="537" t="s">
        <v>500</v>
      </c>
      <c r="AB312" s="675"/>
      <c r="AC312" s="680"/>
      <c r="AF312" s="675"/>
      <c r="AH312" s="675"/>
    </row>
    <row r="313" spans="1:34" s="536" customFormat="1" ht="12" x14ac:dyDescent="0.2">
      <c r="A313" s="605"/>
      <c r="B313" s="552" t="s">
        <v>185</v>
      </c>
      <c r="C313" s="1822" t="s">
        <v>312</v>
      </c>
      <c r="D313" s="1822"/>
      <c r="E313" s="1822"/>
      <c r="F313" s="562"/>
      <c r="G313" s="562"/>
      <c r="H313" s="562"/>
      <c r="I313" s="562"/>
      <c r="J313" s="604">
        <v>5245.95</v>
      </c>
      <c r="K313" s="562" t="s">
        <v>313</v>
      </c>
      <c r="L313" s="604">
        <v>22.95</v>
      </c>
      <c r="M313" s="603"/>
      <c r="N313" s="602"/>
      <c r="V313" s="674"/>
      <c r="W313" s="675"/>
      <c r="Y313" s="537" t="s">
        <v>312</v>
      </c>
      <c r="AB313" s="675"/>
      <c r="AC313" s="680"/>
      <c r="AF313" s="675"/>
      <c r="AH313" s="675"/>
    </row>
    <row r="314" spans="1:34" s="536" customFormat="1" ht="12" x14ac:dyDescent="0.2">
      <c r="A314" s="605"/>
      <c r="B314" s="552"/>
      <c r="C314" s="1822" t="s">
        <v>314</v>
      </c>
      <c r="D314" s="1822"/>
      <c r="E314" s="1822"/>
      <c r="F314" s="562" t="s">
        <v>315</v>
      </c>
      <c r="G314" s="562" t="s">
        <v>671</v>
      </c>
      <c r="H314" s="562" t="s">
        <v>313</v>
      </c>
      <c r="I314" s="562" t="s">
        <v>672</v>
      </c>
      <c r="J314" s="604"/>
      <c r="K314" s="562"/>
      <c r="L314" s="604"/>
      <c r="M314" s="603"/>
      <c r="N314" s="602"/>
      <c r="V314" s="674"/>
      <c r="W314" s="675"/>
      <c r="Z314" s="537" t="s">
        <v>314</v>
      </c>
      <c r="AB314" s="675"/>
      <c r="AC314" s="680"/>
      <c r="AF314" s="675"/>
      <c r="AH314" s="675"/>
    </row>
    <row r="315" spans="1:34" s="536" customFormat="1" ht="12" x14ac:dyDescent="0.2">
      <c r="A315" s="605"/>
      <c r="B315" s="552"/>
      <c r="C315" s="1828" t="s">
        <v>318</v>
      </c>
      <c r="D315" s="1828"/>
      <c r="E315" s="1828"/>
      <c r="F315" s="608"/>
      <c r="G315" s="608"/>
      <c r="H315" s="608"/>
      <c r="I315" s="608"/>
      <c r="J315" s="607">
        <v>5245.95</v>
      </c>
      <c r="K315" s="608"/>
      <c r="L315" s="607">
        <v>22.95</v>
      </c>
      <c r="M315" s="601"/>
      <c r="N315" s="606"/>
      <c r="V315" s="674"/>
      <c r="W315" s="675"/>
      <c r="AA315" s="537" t="s">
        <v>318</v>
      </c>
      <c r="AB315" s="675"/>
      <c r="AC315" s="680"/>
      <c r="AF315" s="675"/>
      <c r="AH315" s="675"/>
    </row>
    <row r="316" spans="1:34" s="536" customFormat="1" ht="12" x14ac:dyDescent="0.2">
      <c r="A316" s="605"/>
      <c r="B316" s="552"/>
      <c r="C316" s="1822" t="s">
        <v>319</v>
      </c>
      <c r="D316" s="1822"/>
      <c r="E316" s="1822"/>
      <c r="F316" s="562"/>
      <c r="G316" s="562"/>
      <c r="H316" s="562"/>
      <c r="I316" s="562"/>
      <c r="J316" s="604"/>
      <c r="K316" s="562"/>
      <c r="L316" s="604">
        <v>22.95</v>
      </c>
      <c r="M316" s="603"/>
      <c r="N316" s="602"/>
      <c r="V316" s="674"/>
      <c r="W316" s="675"/>
      <c r="Z316" s="537" t="s">
        <v>319</v>
      </c>
      <c r="AB316" s="675"/>
      <c r="AC316" s="680"/>
      <c r="AF316" s="675"/>
      <c r="AH316" s="675"/>
    </row>
    <row r="317" spans="1:34" s="536" customFormat="1" ht="33.75" x14ac:dyDescent="0.2">
      <c r="A317" s="605"/>
      <c r="B317" s="552" t="s">
        <v>673</v>
      </c>
      <c r="C317" s="1822" t="s">
        <v>674</v>
      </c>
      <c r="D317" s="1822"/>
      <c r="E317" s="1822"/>
      <c r="F317" s="562" t="s">
        <v>322</v>
      </c>
      <c r="G317" s="562" t="s">
        <v>323</v>
      </c>
      <c r="H317" s="562"/>
      <c r="I317" s="562" t="s">
        <v>323</v>
      </c>
      <c r="J317" s="604"/>
      <c r="K317" s="562"/>
      <c r="L317" s="604">
        <v>20.43</v>
      </c>
      <c r="M317" s="603"/>
      <c r="N317" s="602"/>
      <c r="V317" s="674"/>
      <c r="W317" s="675"/>
      <c r="Z317" s="537" t="s">
        <v>674</v>
      </c>
      <c r="AB317" s="675"/>
      <c r="AC317" s="680"/>
      <c r="AF317" s="675"/>
      <c r="AH317" s="675"/>
    </row>
    <row r="318" spans="1:34" s="536" customFormat="1" ht="33.75" x14ac:dyDescent="0.2">
      <c r="A318" s="605"/>
      <c r="B318" s="552" t="s">
        <v>675</v>
      </c>
      <c r="C318" s="1822" t="s">
        <v>676</v>
      </c>
      <c r="D318" s="1822"/>
      <c r="E318" s="1822"/>
      <c r="F318" s="562" t="s">
        <v>322</v>
      </c>
      <c r="G318" s="562" t="s">
        <v>677</v>
      </c>
      <c r="H318" s="562"/>
      <c r="I318" s="562" t="s">
        <v>677</v>
      </c>
      <c r="J318" s="604"/>
      <c r="K318" s="562"/>
      <c r="L318" s="604">
        <v>9.18</v>
      </c>
      <c r="M318" s="603"/>
      <c r="N318" s="602"/>
      <c r="V318" s="674"/>
      <c r="W318" s="675"/>
      <c r="Z318" s="537" t="s">
        <v>676</v>
      </c>
      <c r="AB318" s="675"/>
      <c r="AC318" s="680"/>
      <c r="AF318" s="675"/>
      <c r="AH318" s="675"/>
    </row>
    <row r="319" spans="1:34" s="536" customFormat="1" ht="12" x14ac:dyDescent="0.2">
      <c r="A319" s="569"/>
      <c r="B319" s="683"/>
      <c r="C319" s="1823" t="s">
        <v>327</v>
      </c>
      <c r="D319" s="1823"/>
      <c r="E319" s="1823"/>
      <c r="F319" s="573"/>
      <c r="G319" s="573"/>
      <c r="H319" s="573"/>
      <c r="I319" s="573"/>
      <c r="J319" s="572"/>
      <c r="K319" s="573"/>
      <c r="L319" s="572">
        <v>52.56</v>
      </c>
      <c r="M319" s="601"/>
      <c r="N319" s="570"/>
      <c r="V319" s="674"/>
      <c r="W319" s="675"/>
      <c r="AB319" s="675" t="s">
        <v>327</v>
      </c>
      <c r="AC319" s="680"/>
      <c r="AF319" s="675"/>
      <c r="AH319" s="675"/>
    </row>
    <row r="320" spans="1:34" s="536" customFormat="1" ht="22.5" x14ac:dyDescent="0.2">
      <c r="A320" s="575" t="s">
        <v>768</v>
      </c>
      <c r="B320" s="684" t="s">
        <v>678</v>
      </c>
      <c r="C320" s="1823" t="s">
        <v>679</v>
      </c>
      <c r="D320" s="1823"/>
      <c r="E320" s="1823"/>
      <c r="F320" s="573" t="s">
        <v>509</v>
      </c>
      <c r="G320" s="573"/>
      <c r="H320" s="573"/>
      <c r="I320" s="573" t="s">
        <v>669</v>
      </c>
      <c r="J320" s="572"/>
      <c r="K320" s="573"/>
      <c r="L320" s="572"/>
      <c r="M320" s="571"/>
      <c r="N320" s="570"/>
      <c r="V320" s="674"/>
      <c r="W320" s="675" t="s">
        <v>679</v>
      </c>
      <c r="AB320" s="675"/>
      <c r="AC320" s="680"/>
      <c r="AF320" s="675"/>
      <c r="AH320" s="675"/>
    </row>
    <row r="321" spans="1:34" s="536" customFormat="1" ht="12" x14ac:dyDescent="0.2">
      <c r="A321" s="676"/>
      <c r="B321" s="682"/>
      <c r="C321" s="1822" t="s">
        <v>670</v>
      </c>
      <c r="D321" s="1822"/>
      <c r="E321" s="1822"/>
      <c r="F321" s="1822"/>
      <c r="G321" s="1822"/>
      <c r="H321" s="1822"/>
      <c r="I321" s="1822"/>
      <c r="J321" s="1822"/>
      <c r="K321" s="1822"/>
      <c r="L321" s="1822"/>
      <c r="M321" s="1822"/>
      <c r="N321" s="1827"/>
      <c r="V321" s="674"/>
      <c r="W321" s="675"/>
      <c r="AB321" s="675"/>
      <c r="AC321" s="680"/>
      <c r="AE321" s="537" t="s">
        <v>670</v>
      </c>
      <c r="AF321" s="675"/>
      <c r="AH321" s="675"/>
    </row>
    <row r="322" spans="1:34" s="536" customFormat="1" ht="22.5" x14ac:dyDescent="0.2">
      <c r="A322" s="609"/>
      <c r="B322" s="552" t="s">
        <v>499</v>
      </c>
      <c r="C322" s="1822" t="s">
        <v>500</v>
      </c>
      <c r="D322" s="1822"/>
      <c r="E322" s="1822"/>
      <c r="F322" s="1822"/>
      <c r="G322" s="1822"/>
      <c r="H322" s="1822"/>
      <c r="I322" s="1822"/>
      <c r="J322" s="1822"/>
      <c r="K322" s="1822"/>
      <c r="L322" s="1822"/>
      <c r="M322" s="1822"/>
      <c r="N322" s="1827"/>
      <c r="V322" s="674"/>
      <c r="W322" s="675"/>
      <c r="X322" s="537" t="s">
        <v>500</v>
      </c>
      <c r="AB322" s="675"/>
      <c r="AC322" s="680"/>
      <c r="AF322" s="675"/>
      <c r="AH322" s="675"/>
    </row>
    <row r="323" spans="1:34" s="536" customFormat="1" ht="12" x14ac:dyDescent="0.2">
      <c r="A323" s="605"/>
      <c r="B323" s="552" t="s">
        <v>185</v>
      </c>
      <c r="C323" s="1822" t="s">
        <v>312</v>
      </c>
      <c r="D323" s="1822"/>
      <c r="E323" s="1822"/>
      <c r="F323" s="562"/>
      <c r="G323" s="562"/>
      <c r="H323" s="562"/>
      <c r="I323" s="562"/>
      <c r="J323" s="604">
        <v>3333.24</v>
      </c>
      <c r="K323" s="562" t="s">
        <v>313</v>
      </c>
      <c r="L323" s="604">
        <v>14.58</v>
      </c>
      <c r="M323" s="603"/>
      <c r="N323" s="602"/>
      <c r="V323" s="674"/>
      <c r="W323" s="675"/>
      <c r="Y323" s="537" t="s">
        <v>312</v>
      </c>
      <c r="AB323" s="675"/>
      <c r="AC323" s="680"/>
      <c r="AF323" s="675"/>
      <c r="AH323" s="675"/>
    </row>
    <row r="324" spans="1:34" s="536" customFormat="1" ht="12" x14ac:dyDescent="0.2">
      <c r="A324" s="605"/>
      <c r="B324" s="552" t="s">
        <v>186</v>
      </c>
      <c r="C324" s="1822" t="s">
        <v>344</v>
      </c>
      <c r="D324" s="1822"/>
      <c r="E324" s="1822"/>
      <c r="F324" s="562"/>
      <c r="G324" s="562"/>
      <c r="H324" s="562"/>
      <c r="I324" s="562"/>
      <c r="J324" s="604">
        <v>3487.73</v>
      </c>
      <c r="K324" s="562" t="s">
        <v>313</v>
      </c>
      <c r="L324" s="604">
        <v>15.26</v>
      </c>
      <c r="M324" s="603"/>
      <c r="N324" s="602"/>
      <c r="V324" s="674"/>
      <c r="W324" s="675"/>
      <c r="Y324" s="537" t="s">
        <v>344</v>
      </c>
      <c r="AB324" s="675"/>
      <c r="AC324" s="680"/>
      <c r="AF324" s="675"/>
      <c r="AH324" s="675"/>
    </row>
    <row r="325" spans="1:34" s="536" customFormat="1" ht="12" x14ac:dyDescent="0.2">
      <c r="A325" s="605"/>
      <c r="B325" s="552" t="s">
        <v>187</v>
      </c>
      <c r="C325" s="1822" t="s">
        <v>345</v>
      </c>
      <c r="D325" s="1822"/>
      <c r="E325" s="1822"/>
      <c r="F325" s="562"/>
      <c r="G325" s="562"/>
      <c r="H325" s="562"/>
      <c r="I325" s="562"/>
      <c r="J325" s="604">
        <v>480.73</v>
      </c>
      <c r="K325" s="562" t="s">
        <v>313</v>
      </c>
      <c r="L325" s="604">
        <v>2.1</v>
      </c>
      <c r="M325" s="603"/>
      <c r="N325" s="602"/>
      <c r="V325" s="674"/>
      <c r="W325" s="675"/>
      <c r="Y325" s="537" t="s">
        <v>345</v>
      </c>
      <c r="AB325" s="675"/>
      <c r="AC325" s="680"/>
      <c r="AF325" s="675"/>
      <c r="AH325" s="675"/>
    </row>
    <row r="326" spans="1:34" s="536" customFormat="1" ht="12" x14ac:dyDescent="0.2">
      <c r="A326" s="605"/>
      <c r="B326" s="552" t="s">
        <v>188</v>
      </c>
      <c r="C326" s="1822" t="s">
        <v>475</v>
      </c>
      <c r="D326" s="1822"/>
      <c r="E326" s="1822"/>
      <c r="F326" s="562"/>
      <c r="G326" s="562"/>
      <c r="H326" s="562"/>
      <c r="I326" s="562"/>
      <c r="J326" s="604">
        <v>3878.26</v>
      </c>
      <c r="K326" s="562"/>
      <c r="L326" s="604">
        <v>13.57</v>
      </c>
      <c r="M326" s="603"/>
      <c r="N326" s="602"/>
      <c r="V326" s="674"/>
      <c r="W326" s="675"/>
      <c r="Y326" s="537" t="s">
        <v>475</v>
      </c>
      <c r="AB326" s="675"/>
      <c r="AC326" s="680"/>
      <c r="AF326" s="675"/>
      <c r="AH326" s="675"/>
    </row>
    <row r="327" spans="1:34" s="536" customFormat="1" ht="12" x14ac:dyDescent="0.2">
      <c r="A327" s="676"/>
      <c r="B327" s="677" t="s">
        <v>639</v>
      </c>
      <c r="C327" s="1829" t="s">
        <v>640</v>
      </c>
      <c r="D327" s="1829"/>
      <c r="E327" s="1829"/>
      <c r="F327" s="678" t="s">
        <v>641</v>
      </c>
      <c r="G327" s="678" t="s">
        <v>680</v>
      </c>
      <c r="H327" s="678"/>
      <c r="I327" s="678" t="s">
        <v>681</v>
      </c>
      <c r="J327" s="552"/>
      <c r="K327" s="562"/>
      <c r="L327" s="604"/>
      <c r="M327" s="562"/>
      <c r="N327" s="679"/>
      <c r="V327" s="674"/>
      <c r="W327" s="675"/>
      <c r="AB327" s="675"/>
      <c r="AC327" s="680" t="s">
        <v>640</v>
      </c>
      <c r="AF327" s="675"/>
      <c r="AH327" s="675"/>
    </row>
    <row r="328" spans="1:34" s="536" customFormat="1" ht="12" x14ac:dyDescent="0.2">
      <c r="A328" s="605"/>
      <c r="B328" s="552"/>
      <c r="C328" s="1822" t="s">
        <v>314</v>
      </c>
      <c r="D328" s="1822"/>
      <c r="E328" s="1822"/>
      <c r="F328" s="562" t="s">
        <v>315</v>
      </c>
      <c r="G328" s="562" t="s">
        <v>682</v>
      </c>
      <c r="H328" s="562" t="s">
        <v>313</v>
      </c>
      <c r="I328" s="562" t="s">
        <v>683</v>
      </c>
      <c r="J328" s="604"/>
      <c r="K328" s="562"/>
      <c r="L328" s="604"/>
      <c r="M328" s="603"/>
      <c r="N328" s="602"/>
      <c r="V328" s="674"/>
      <c r="W328" s="675"/>
      <c r="Z328" s="537" t="s">
        <v>314</v>
      </c>
      <c r="AB328" s="675"/>
      <c r="AC328" s="680"/>
      <c r="AF328" s="675"/>
      <c r="AH328" s="675"/>
    </row>
    <row r="329" spans="1:34" s="536" customFormat="1" ht="12" x14ac:dyDescent="0.2">
      <c r="A329" s="605"/>
      <c r="B329" s="552"/>
      <c r="C329" s="1822" t="s">
        <v>348</v>
      </c>
      <c r="D329" s="1822"/>
      <c r="E329" s="1822"/>
      <c r="F329" s="562" t="s">
        <v>315</v>
      </c>
      <c r="G329" s="562" t="s">
        <v>684</v>
      </c>
      <c r="H329" s="562" t="s">
        <v>313</v>
      </c>
      <c r="I329" s="562" t="s">
        <v>685</v>
      </c>
      <c r="J329" s="604"/>
      <c r="K329" s="562"/>
      <c r="L329" s="604"/>
      <c r="M329" s="603"/>
      <c r="N329" s="602"/>
      <c r="V329" s="674"/>
      <c r="W329" s="675"/>
      <c r="Z329" s="537" t="s">
        <v>348</v>
      </c>
      <c r="AB329" s="675"/>
      <c r="AC329" s="680"/>
      <c r="AF329" s="675"/>
      <c r="AH329" s="675"/>
    </row>
    <row r="330" spans="1:34" s="536" customFormat="1" ht="12" x14ac:dyDescent="0.2">
      <c r="A330" s="605"/>
      <c r="B330" s="552"/>
      <c r="C330" s="1828" t="s">
        <v>318</v>
      </c>
      <c r="D330" s="1828"/>
      <c r="E330" s="1828"/>
      <c r="F330" s="608"/>
      <c r="G330" s="608"/>
      <c r="H330" s="608"/>
      <c r="I330" s="608"/>
      <c r="J330" s="607">
        <v>10699.23</v>
      </c>
      <c r="K330" s="608"/>
      <c r="L330" s="607">
        <v>43.41</v>
      </c>
      <c r="M330" s="601"/>
      <c r="N330" s="606"/>
      <c r="V330" s="674"/>
      <c r="W330" s="675"/>
      <c r="AA330" s="537" t="s">
        <v>318</v>
      </c>
      <c r="AB330" s="675"/>
      <c r="AC330" s="680"/>
      <c r="AF330" s="675"/>
      <c r="AH330" s="675"/>
    </row>
    <row r="331" spans="1:34" s="536" customFormat="1" ht="12" x14ac:dyDescent="0.2">
      <c r="A331" s="605"/>
      <c r="B331" s="552"/>
      <c r="C331" s="1822" t="s">
        <v>319</v>
      </c>
      <c r="D331" s="1822"/>
      <c r="E331" s="1822"/>
      <c r="F331" s="562"/>
      <c r="G331" s="562"/>
      <c r="H331" s="562"/>
      <c r="I331" s="562"/>
      <c r="J331" s="604"/>
      <c r="K331" s="562"/>
      <c r="L331" s="604">
        <v>16.68</v>
      </c>
      <c r="M331" s="603"/>
      <c r="N331" s="602"/>
      <c r="V331" s="674"/>
      <c r="W331" s="675"/>
      <c r="Z331" s="537" t="s">
        <v>319</v>
      </c>
      <c r="AB331" s="675"/>
      <c r="AC331" s="680"/>
      <c r="AF331" s="675"/>
      <c r="AH331" s="675"/>
    </row>
    <row r="332" spans="1:34" s="536" customFormat="1" ht="33.75" x14ac:dyDescent="0.2">
      <c r="A332" s="605"/>
      <c r="B332" s="552" t="s">
        <v>686</v>
      </c>
      <c r="C332" s="1822" t="s">
        <v>687</v>
      </c>
      <c r="D332" s="1822"/>
      <c r="E332" s="1822"/>
      <c r="F332" s="562" t="s">
        <v>322</v>
      </c>
      <c r="G332" s="562" t="s">
        <v>680</v>
      </c>
      <c r="H332" s="562"/>
      <c r="I332" s="562" t="s">
        <v>680</v>
      </c>
      <c r="J332" s="604"/>
      <c r="K332" s="562"/>
      <c r="L332" s="604">
        <v>17.010000000000002</v>
      </c>
      <c r="M332" s="603"/>
      <c r="N332" s="602"/>
      <c r="V332" s="674"/>
      <c r="W332" s="675"/>
      <c r="Z332" s="537" t="s">
        <v>687</v>
      </c>
      <c r="AB332" s="675"/>
      <c r="AC332" s="680"/>
      <c r="AF332" s="675"/>
      <c r="AH332" s="675"/>
    </row>
    <row r="333" spans="1:34" s="536" customFormat="1" ht="33.75" x14ac:dyDescent="0.2">
      <c r="A333" s="605"/>
      <c r="B333" s="552" t="s">
        <v>688</v>
      </c>
      <c r="C333" s="1822" t="s">
        <v>689</v>
      </c>
      <c r="D333" s="1822"/>
      <c r="E333" s="1822"/>
      <c r="F333" s="562" t="s">
        <v>322</v>
      </c>
      <c r="G333" s="562" t="s">
        <v>690</v>
      </c>
      <c r="H333" s="562"/>
      <c r="I333" s="562" t="s">
        <v>690</v>
      </c>
      <c r="J333" s="604"/>
      <c r="K333" s="562"/>
      <c r="L333" s="604">
        <v>9.67</v>
      </c>
      <c r="M333" s="603"/>
      <c r="N333" s="602"/>
      <c r="V333" s="674"/>
      <c r="W333" s="675"/>
      <c r="Z333" s="537" t="s">
        <v>689</v>
      </c>
      <c r="AB333" s="675"/>
      <c r="AC333" s="680"/>
      <c r="AF333" s="675"/>
      <c r="AH333" s="675"/>
    </row>
    <row r="334" spans="1:34" s="536" customFormat="1" ht="12" x14ac:dyDescent="0.2">
      <c r="A334" s="569"/>
      <c r="B334" s="683"/>
      <c r="C334" s="1823" t="s">
        <v>327</v>
      </c>
      <c r="D334" s="1823"/>
      <c r="E334" s="1823"/>
      <c r="F334" s="573"/>
      <c r="G334" s="573"/>
      <c r="H334" s="573"/>
      <c r="I334" s="573"/>
      <c r="J334" s="572"/>
      <c r="K334" s="573"/>
      <c r="L334" s="572">
        <v>70.09</v>
      </c>
      <c r="M334" s="601"/>
      <c r="N334" s="570"/>
      <c r="V334" s="674"/>
      <c r="W334" s="675"/>
      <c r="AB334" s="675" t="s">
        <v>327</v>
      </c>
      <c r="AC334" s="680"/>
      <c r="AF334" s="675"/>
      <c r="AH334" s="675"/>
    </row>
    <row r="335" spans="1:34" s="536" customFormat="1" ht="22.5" x14ac:dyDescent="0.2">
      <c r="A335" s="575" t="s">
        <v>769</v>
      </c>
      <c r="B335" s="684" t="s">
        <v>654</v>
      </c>
      <c r="C335" s="1823" t="s">
        <v>655</v>
      </c>
      <c r="D335" s="1823"/>
      <c r="E335" s="1823"/>
      <c r="F335" s="573" t="s">
        <v>641</v>
      </c>
      <c r="G335" s="573"/>
      <c r="H335" s="573"/>
      <c r="I335" s="573" t="s">
        <v>681</v>
      </c>
      <c r="J335" s="572">
        <v>592.76</v>
      </c>
      <c r="K335" s="573"/>
      <c r="L335" s="572">
        <v>211.62</v>
      </c>
      <c r="M335" s="571"/>
      <c r="N335" s="570"/>
      <c r="V335" s="674"/>
      <c r="W335" s="675" t="s">
        <v>655</v>
      </c>
      <c r="AB335" s="675"/>
      <c r="AC335" s="680"/>
      <c r="AF335" s="675"/>
      <c r="AH335" s="675"/>
    </row>
    <row r="336" spans="1:34" s="536" customFormat="1" ht="12" x14ac:dyDescent="0.2">
      <c r="A336" s="569"/>
      <c r="B336" s="683"/>
      <c r="C336" s="689" t="s">
        <v>656</v>
      </c>
      <c r="D336" s="690"/>
      <c r="E336" s="690"/>
      <c r="F336" s="563"/>
      <c r="G336" s="563"/>
      <c r="H336" s="563"/>
      <c r="I336" s="563"/>
      <c r="J336" s="566"/>
      <c r="K336" s="563"/>
      <c r="L336" s="566"/>
      <c r="M336" s="565"/>
      <c r="N336" s="564"/>
      <c r="V336" s="674"/>
      <c r="W336" s="675"/>
      <c r="AB336" s="675"/>
      <c r="AC336" s="680"/>
      <c r="AF336" s="675"/>
      <c r="AH336" s="675"/>
    </row>
    <row r="337" spans="1:34" s="536" customFormat="1" ht="22.5" x14ac:dyDescent="0.2">
      <c r="A337" s="609"/>
      <c r="B337" s="552" t="s">
        <v>499</v>
      </c>
      <c r="C337" s="1822" t="s">
        <v>500</v>
      </c>
      <c r="D337" s="1822"/>
      <c r="E337" s="1822"/>
      <c r="F337" s="1822"/>
      <c r="G337" s="1822"/>
      <c r="H337" s="1822"/>
      <c r="I337" s="1822"/>
      <c r="J337" s="1822"/>
      <c r="K337" s="1822"/>
      <c r="L337" s="1822"/>
      <c r="M337" s="1822"/>
      <c r="N337" s="1827"/>
      <c r="V337" s="674"/>
      <c r="W337" s="675"/>
      <c r="X337" s="537" t="s">
        <v>500</v>
      </c>
      <c r="AB337" s="675"/>
      <c r="AC337" s="680"/>
      <c r="AF337" s="675"/>
      <c r="AH337" s="675"/>
    </row>
    <row r="338" spans="1:34" s="536" customFormat="1" ht="33.75" x14ac:dyDescent="0.2">
      <c r="A338" s="575" t="s">
        <v>770</v>
      </c>
      <c r="B338" s="684" t="s">
        <v>657</v>
      </c>
      <c r="C338" s="1823" t="s">
        <v>658</v>
      </c>
      <c r="D338" s="1823"/>
      <c r="E338" s="1823"/>
      <c r="F338" s="573" t="s">
        <v>641</v>
      </c>
      <c r="G338" s="573"/>
      <c r="H338" s="573"/>
      <c r="I338" s="573" t="s">
        <v>691</v>
      </c>
      <c r="J338" s="572">
        <v>18.04</v>
      </c>
      <c r="K338" s="573"/>
      <c r="L338" s="572">
        <v>6.31</v>
      </c>
      <c r="M338" s="571"/>
      <c r="N338" s="570"/>
      <c r="V338" s="674"/>
      <c r="W338" s="675" t="s">
        <v>658</v>
      </c>
      <c r="AB338" s="675"/>
      <c r="AC338" s="680"/>
      <c r="AF338" s="675"/>
      <c r="AH338" s="675"/>
    </row>
    <row r="339" spans="1:34" s="536" customFormat="1" ht="12" x14ac:dyDescent="0.2">
      <c r="A339" s="569"/>
      <c r="B339" s="683"/>
      <c r="C339" s="689" t="s">
        <v>656</v>
      </c>
      <c r="D339" s="690"/>
      <c r="E339" s="690"/>
      <c r="F339" s="563"/>
      <c r="G339" s="563"/>
      <c r="H339" s="563"/>
      <c r="I339" s="563"/>
      <c r="J339" s="566"/>
      <c r="K339" s="563"/>
      <c r="L339" s="566"/>
      <c r="M339" s="565"/>
      <c r="N339" s="564"/>
      <c r="V339" s="674"/>
      <c r="W339" s="675"/>
      <c r="AB339" s="675"/>
      <c r="AC339" s="680"/>
      <c r="AF339" s="675"/>
      <c r="AH339" s="675"/>
    </row>
    <row r="340" spans="1:34" s="536" customFormat="1" ht="12" x14ac:dyDescent="0.2">
      <c r="A340" s="676"/>
      <c r="B340" s="682"/>
      <c r="C340" s="1822" t="s">
        <v>659</v>
      </c>
      <c r="D340" s="1822"/>
      <c r="E340" s="1822"/>
      <c r="F340" s="1822"/>
      <c r="G340" s="1822"/>
      <c r="H340" s="1822"/>
      <c r="I340" s="1822"/>
      <c r="J340" s="1822"/>
      <c r="K340" s="1822"/>
      <c r="L340" s="1822"/>
      <c r="M340" s="1822"/>
      <c r="N340" s="1827"/>
      <c r="V340" s="674"/>
      <c r="W340" s="675"/>
      <c r="AB340" s="675"/>
      <c r="AC340" s="680"/>
      <c r="AD340" s="537" t="s">
        <v>659</v>
      </c>
      <c r="AF340" s="675"/>
      <c r="AH340" s="675"/>
    </row>
    <row r="341" spans="1:34" s="536" customFormat="1" ht="22.5" x14ac:dyDescent="0.2">
      <c r="A341" s="609"/>
      <c r="B341" s="552" t="s">
        <v>499</v>
      </c>
      <c r="C341" s="1822" t="s">
        <v>500</v>
      </c>
      <c r="D341" s="1822"/>
      <c r="E341" s="1822"/>
      <c r="F341" s="1822"/>
      <c r="G341" s="1822"/>
      <c r="H341" s="1822"/>
      <c r="I341" s="1822"/>
      <c r="J341" s="1822"/>
      <c r="K341" s="1822"/>
      <c r="L341" s="1822"/>
      <c r="M341" s="1822"/>
      <c r="N341" s="1827"/>
      <c r="V341" s="674"/>
      <c r="W341" s="675"/>
      <c r="X341" s="537" t="s">
        <v>500</v>
      </c>
      <c r="AB341" s="675"/>
      <c r="AC341" s="680"/>
      <c r="AF341" s="675"/>
      <c r="AH341" s="675"/>
    </row>
    <row r="342" spans="1:34" s="536" customFormat="1" ht="22.5" x14ac:dyDescent="0.2">
      <c r="A342" s="575" t="s">
        <v>771</v>
      </c>
      <c r="B342" s="684" t="s">
        <v>692</v>
      </c>
      <c r="C342" s="1823" t="s">
        <v>693</v>
      </c>
      <c r="D342" s="1823"/>
      <c r="E342" s="1823"/>
      <c r="F342" s="573" t="s">
        <v>694</v>
      </c>
      <c r="G342" s="573"/>
      <c r="H342" s="573"/>
      <c r="I342" s="573" t="s">
        <v>695</v>
      </c>
      <c r="J342" s="572"/>
      <c r="K342" s="573"/>
      <c r="L342" s="572"/>
      <c r="M342" s="571"/>
      <c r="N342" s="570"/>
      <c r="V342" s="674"/>
      <c r="W342" s="675" t="s">
        <v>693</v>
      </c>
      <c r="AB342" s="675"/>
      <c r="AC342" s="680"/>
      <c r="AF342" s="675"/>
      <c r="AH342" s="675"/>
    </row>
    <row r="343" spans="1:34" s="536" customFormat="1" ht="12" x14ac:dyDescent="0.2">
      <c r="A343" s="676"/>
      <c r="B343" s="682"/>
      <c r="C343" s="1822" t="s">
        <v>696</v>
      </c>
      <c r="D343" s="1822"/>
      <c r="E343" s="1822"/>
      <c r="F343" s="1822"/>
      <c r="G343" s="1822"/>
      <c r="H343" s="1822"/>
      <c r="I343" s="1822"/>
      <c r="J343" s="1822"/>
      <c r="K343" s="1822"/>
      <c r="L343" s="1822"/>
      <c r="M343" s="1822"/>
      <c r="N343" s="1827"/>
      <c r="V343" s="674"/>
      <c r="W343" s="675"/>
      <c r="AB343" s="675"/>
      <c r="AC343" s="680"/>
      <c r="AE343" s="537" t="s">
        <v>696</v>
      </c>
      <c r="AF343" s="675"/>
      <c r="AH343" s="675"/>
    </row>
    <row r="344" spans="1:34" s="536" customFormat="1" ht="22.5" x14ac:dyDescent="0.2">
      <c r="A344" s="609"/>
      <c r="B344" s="552" t="s">
        <v>499</v>
      </c>
      <c r="C344" s="1822" t="s">
        <v>500</v>
      </c>
      <c r="D344" s="1822"/>
      <c r="E344" s="1822"/>
      <c r="F344" s="1822"/>
      <c r="G344" s="1822"/>
      <c r="H344" s="1822"/>
      <c r="I344" s="1822"/>
      <c r="J344" s="1822"/>
      <c r="K344" s="1822"/>
      <c r="L344" s="1822"/>
      <c r="M344" s="1822"/>
      <c r="N344" s="1827"/>
      <c r="V344" s="674"/>
      <c r="W344" s="675"/>
      <c r="X344" s="537" t="s">
        <v>500</v>
      </c>
      <c r="AB344" s="675"/>
      <c r="AC344" s="680"/>
      <c r="AF344" s="675"/>
      <c r="AH344" s="675"/>
    </row>
    <row r="345" spans="1:34" s="536" customFormat="1" ht="12" x14ac:dyDescent="0.2">
      <c r="A345" s="605"/>
      <c r="B345" s="552" t="s">
        <v>185</v>
      </c>
      <c r="C345" s="1822" t="s">
        <v>312</v>
      </c>
      <c r="D345" s="1822"/>
      <c r="E345" s="1822"/>
      <c r="F345" s="562"/>
      <c r="G345" s="562"/>
      <c r="H345" s="562"/>
      <c r="I345" s="562"/>
      <c r="J345" s="604">
        <v>170.9</v>
      </c>
      <c r="K345" s="562" t="s">
        <v>313</v>
      </c>
      <c r="L345" s="604">
        <v>4.2699999999999996</v>
      </c>
      <c r="M345" s="603"/>
      <c r="N345" s="602"/>
      <c r="V345" s="674"/>
      <c r="W345" s="675"/>
      <c r="Y345" s="537" t="s">
        <v>312</v>
      </c>
      <c r="AB345" s="675"/>
      <c r="AC345" s="680"/>
      <c r="AF345" s="675"/>
      <c r="AH345" s="675"/>
    </row>
    <row r="346" spans="1:34" s="536" customFormat="1" ht="12" x14ac:dyDescent="0.2">
      <c r="A346" s="605"/>
      <c r="B346" s="552" t="s">
        <v>186</v>
      </c>
      <c r="C346" s="1822" t="s">
        <v>344</v>
      </c>
      <c r="D346" s="1822"/>
      <c r="E346" s="1822"/>
      <c r="F346" s="562"/>
      <c r="G346" s="562"/>
      <c r="H346" s="562"/>
      <c r="I346" s="562"/>
      <c r="J346" s="604">
        <v>598.98</v>
      </c>
      <c r="K346" s="562" t="s">
        <v>313</v>
      </c>
      <c r="L346" s="604">
        <v>14.97</v>
      </c>
      <c r="M346" s="603"/>
      <c r="N346" s="602"/>
      <c r="V346" s="674"/>
      <c r="W346" s="675"/>
      <c r="Y346" s="537" t="s">
        <v>344</v>
      </c>
      <c r="AB346" s="675"/>
      <c r="AC346" s="680"/>
      <c r="AF346" s="675"/>
      <c r="AH346" s="675"/>
    </row>
    <row r="347" spans="1:34" s="536" customFormat="1" ht="12" x14ac:dyDescent="0.2">
      <c r="A347" s="605"/>
      <c r="B347" s="552" t="s">
        <v>187</v>
      </c>
      <c r="C347" s="1822" t="s">
        <v>345</v>
      </c>
      <c r="D347" s="1822"/>
      <c r="E347" s="1822"/>
      <c r="F347" s="562"/>
      <c r="G347" s="562"/>
      <c r="H347" s="562"/>
      <c r="I347" s="562"/>
      <c r="J347" s="604">
        <v>63.14</v>
      </c>
      <c r="K347" s="562" t="s">
        <v>313</v>
      </c>
      <c r="L347" s="604">
        <v>1.58</v>
      </c>
      <c r="M347" s="603"/>
      <c r="N347" s="602"/>
      <c r="V347" s="674"/>
      <c r="W347" s="675"/>
      <c r="Y347" s="537" t="s">
        <v>345</v>
      </c>
      <c r="AB347" s="675"/>
      <c r="AC347" s="680"/>
      <c r="AF347" s="675"/>
      <c r="AH347" s="675"/>
    </row>
    <row r="348" spans="1:34" s="536" customFormat="1" ht="12" x14ac:dyDescent="0.2">
      <c r="A348" s="605"/>
      <c r="B348" s="552" t="s">
        <v>188</v>
      </c>
      <c r="C348" s="1822" t="s">
        <v>475</v>
      </c>
      <c r="D348" s="1822"/>
      <c r="E348" s="1822"/>
      <c r="F348" s="562"/>
      <c r="G348" s="562"/>
      <c r="H348" s="562"/>
      <c r="I348" s="562"/>
      <c r="J348" s="604">
        <v>123.78</v>
      </c>
      <c r="K348" s="562"/>
      <c r="L348" s="604">
        <v>2.48</v>
      </c>
      <c r="M348" s="603"/>
      <c r="N348" s="602"/>
      <c r="V348" s="674"/>
      <c r="W348" s="675"/>
      <c r="Y348" s="537" t="s">
        <v>475</v>
      </c>
      <c r="AB348" s="675"/>
      <c r="AC348" s="680"/>
      <c r="AF348" s="675"/>
      <c r="AH348" s="675"/>
    </row>
    <row r="349" spans="1:34" s="536" customFormat="1" ht="22.5" x14ac:dyDescent="0.2">
      <c r="A349" s="676"/>
      <c r="B349" s="677" t="s">
        <v>697</v>
      </c>
      <c r="C349" s="1829" t="s">
        <v>698</v>
      </c>
      <c r="D349" s="1829"/>
      <c r="E349" s="1829"/>
      <c r="F349" s="678" t="s">
        <v>699</v>
      </c>
      <c r="G349" s="678" t="s">
        <v>525</v>
      </c>
      <c r="H349" s="678"/>
      <c r="I349" s="678" t="s">
        <v>525</v>
      </c>
      <c r="J349" s="552"/>
      <c r="K349" s="562"/>
      <c r="L349" s="604"/>
      <c r="M349" s="562"/>
      <c r="N349" s="679"/>
      <c r="V349" s="674"/>
      <c r="W349" s="675"/>
      <c r="AB349" s="675"/>
      <c r="AC349" s="680" t="s">
        <v>698</v>
      </c>
      <c r="AF349" s="675"/>
      <c r="AH349" s="675"/>
    </row>
    <row r="350" spans="1:34" s="536" customFormat="1" ht="22.5" x14ac:dyDescent="0.2">
      <c r="A350" s="676"/>
      <c r="B350" s="677" t="s">
        <v>700</v>
      </c>
      <c r="C350" s="1829" t="s">
        <v>701</v>
      </c>
      <c r="D350" s="1829"/>
      <c r="E350" s="1829"/>
      <c r="F350" s="678" t="s">
        <v>694</v>
      </c>
      <c r="G350" s="678" t="s">
        <v>702</v>
      </c>
      <c r="H350" s="678"/>
      <c r="I350" s="678" t="s">
        <v>703</v>
      </c>
      <c r="J350" s="552"/>
      <c r="K350" s="562"/>
      <c r="L350" s="604"/>
      <c r="M350" s="562"/>
      <c r="N350" s="679"/>
      <c r="V350" s="674"/>
      <c r="W350" s="675"/>
      <c r="AB350" s="675"/>
      <c r="AC350" s="680" t="s">
        <v>701</v>
      </c>
      <c r="AF350" s="675"/>
      <c r="AH350" s="675"/>
    </row>
    <row r="351" spans="1:34" s="536" customFormat="1" ht="12" x14ac:dyDescent="0.2">
      <c r="A351" s="605"/>
      <c r="B351" s="552"/>
      <c r="C351" s="1822" t="s">
        <v>314</v>
      </c>
      <c r="D351" s="1822"/>
      <c r="E351" s="1822"/>
      <c r="F351" s="562" t="s">
        <v>315</v>
      </c>
      <c r="G351" s="562" t="s">
        <v>704</v>
      </c>
      <c r="H351" s="562" t="s">
        <v>313</v>
      </c>
      <c r="I351" s="562" t="s">
        <v>705</v>
      </c>
      <c r="J351" s="604"/>
      <c r="K351" s="562"/>
      <c r="L351" s="604"/>
      <c r="M351" s="603"/>
      <c r="N351" s="602"/>
      <c r="V351" s="674"/>
      <c r="W351" s="675"/>
      <c r="Z351" s="537" t="s">
        <v>314</v>
      </c>
      <c r="AB351" s="675"/>
      <c r="AC351" s="680"/>
      <c r="AF351" s="675"/>
      <c r="AH351" s="675"/>
    </row>
    <row r="352" spans="1:34" s="536" customFormat="1" ht="12" x14ac:dyDescent="0.2">
      <c r="A352" s="605"/>
      <c r="B352" s="552"/>
      <c r="C352" s="1822" t="s">
        <v>348</v>
      </c>
      <c r="D352" s="1822"/>
      <c r="E352" s="1822"/>
      <c r="F352" s="562" t="s">
        <v>315</v>
      </c>
      <c r="G352" s="562" t="s">
        <v>706</v>
      </c>
      <c r="H352" s="562" t="s">
        <v>313</v>
      </c>
      <c r="I352" s="562" t="s">
        <v>707</v>
      </c>
      <c r="J352" s="604"/>
      <c r="K352" s="562"/>
      <c r="L352" s="604"/>
      <c r="M352" s="603"/>
      <c r="N352" s="602"/>
      <c r="V352" s="674"/>
      <c r="W352" s="675"/>
      <c r="Z352" s="537" t="s">
        <v>348</v>
      </c>
      <c r="AB352" s="675"/>
      <c r="AC352" s="680"/>
      <c r="AF352" s="675"/>
      <c r="AH352" s="675"/>
    </row>
    <row r="353" spans="1:34" s="536" customFormat="1" ht="12" x14ac:dyDescent="0.2">
      <c r="A353" s="605"/>
      <c r="B353" s="552"/>
      <c r="C353" s="1828" t="s">
        <v>318</v>
      </c>
      <c r="D353" s="1828"/>
      <c r="E353" s="1828"/>
      <c r="F353" s="608"/>
      <c r="G353" s="608"/>
      <c r="H353" s="608"/>
      <c r="I353" s="608"/>
      <c r="J353" s="607">
        <v>893.66</v>
      </c>
      <c r="K353" s="608"/>
      <c r="L353" s="607">
        <v>21.72</v>
      </c>
      <c r="M353" s="601"/>
      <c r="N353" s="606"/>
      <c r="V353" s="674"/>
      <c r="W353" s="675"/>
      <c r="AA353" s="537" t="s">
        <v>318</v>
      </c>
      <c r="AB353" s="675"/>
      <c r="AC353" s="680"/>
      <c r="AF353" s="675"/>
      <c r="AH353" s="675"/>
    </row>
    <row r="354" spans="1:34" s="536" customFormat="1" ht="12" x14ac:dyDescent="0.2">
      <c r="A354" s="605"/>
      <c r="B354" s="552"/>
      <c r="C354" s="1822" t="s">
        <v>319</v>
      </c>
      <c r="D354" s="1822"/>
      <c r="E354" s="1822"/>
      <c r="F354" s="562"/>
      <c r="G354" s="562"/>
      <c r="H354" s="562"/>
      <c r="I354" s="562"/>
      <c r="J354" s="604"/>
      <c r="K354" s="562"/>
      <c r="L354" s="604">
        <v>5.85</v>
      </c>
      <c r="M354" s="603"/>
      <c r="N354" s="602"/>
      <c r="V354" s="674"/>
      <c r="W354" s="675"/>
      <c r="Z354" s="537" t="s">
        <v>319</v>
      </c>
      <c r="AB354" s="675"/>
      <c r="AC354" s="680"/>
      <c r="AF354" s="675"/>
      <c r="AH354" s="675"/>
    </row>
    <row r="355" spans="1:34" s="536" customFormat="1" ht="33.75" x14ac:dyDescent="0.2">
      <c r="A355" s="605"/>
      <c r="B355" s="552" t="s">
        <v>708</v>
      </c>
      <c r="C355" s="1822" t="s">
        <v>709</v>
      </c>
      <c r="D355" s="1822"/>
      <c r="E355" s="1822"/>
      <c r="F355" s="562" t="s">
        <v>322</v>
      </c>
      <c r="G355" s="562" t="s">
        <v>710</v>
      </c>
      <c r="H355" s="562"/>
      <c r="I355" s="562" t="s">
        <v>710</v>
      </c>
      <c r="J355" s="604"/>
      <c r="K355" s="562"/>
      <c r="L355" s="604">
        <v>6.03</v>
      </c>
      <c r="M355" s="603"/>
      <c r="N355" s="602"/>
      <c r="V355" s="674"/>
      <c r="W355" s="675"/>
      <c r="Z355" s="537" t="s">
        <v>709</v>
      </c>
      <c r="AB355" s="675"/>
      <c r="AC355" s="680"/>
      <c r="AF355" s="675"/>
      <c r="AH355" s="675"/>
    </row>
    <row r="356" spans="1:34" s="536" customFormat="1" ht="33.75" x14ac:dyDescent="0.2">
      <c r="A356" s="605"/>
      <c r="B356" s="552" t="s">
        <v>711</v>
      </c>
      <c r="C356" s="1822" t="s">
        <v>712</v>
      </c>
      <c r="D356" s="1822"/>
      <c r="E356" s="1822"/>
      <c r="F356" s="562" t="s">
        <v>322</v>
      </c>
      <c r="G356" s="562" t="s">
        <v>713</v>
      </c>
      <c r="H356" s="562"/>
      <c r="I356" s="562" t="s">
        <v>713</v>
      </c>
      <c r="J356" s="604"/>
      <c r="K356" s="562"/>
      <c r="L356" s="604">
        <v>3.51</v>
      </c>
      <c r="M356" s="603"/>
      <c r="N356" s="602"/>
      <c r="V356" s="674"/>
      <c r="W356" s="675"/>
      <c r="Z356" s="537" t="s">
        <v>712</v>
      </c>
      <c r="AB356" s="675"/>
      <c r="AC356" s="680"/>
      <c r="AF356" s="675"/>
      <c r="AH356" s="675"/>
    </row>
    <row r="357" spans="1:34" s="536" customFormat="1" ht="12" x14ac:dyDescent="0.2">
      <c r="A357" s="569"/>
      <c r="B357" s="683"/>
      <c r="C357" s="1823" t="s">
        <v>327</v>
      </c>
      <c r="D357" s="1823"/>
      <c r="E357" s="1823"/>
      <c r="F357" s="573"/>
      <c r="G357" s="573"/>
      <c r="H357" s="573"/>
      <c r="I357" s="573"/>
      <c r="J357" s="572"/>
      <c r="K357" s="573"/>
      <c r="L357" s="572">
        <v>31.26</v>
      </c>
      <c r="M357" s="601"/>
      <c r="N357" s="570"/>
      <c r="V357" s="674"/>
      <c r="W357" s="675"/>
      <c r="AB357" s="675" t="s">
        <v>327</v>
      </c>
      <c r="AC357" s="680"/>
      <c r="AF357" s="675"/>
      <c r="AH357" s="675"/>
    </row>
    <row r="358" spans="1:34" s="536" customFormat="1" ht="33.75" x14ac:dyDescent="0.2">
      <c r="A358" s="575" t="s">
        <v>772</v>
      </c>
      <c r="B358" s="684" t="s">
        <v>714</v>
      </c>
      <c r="C358" s="1823" t="s">
        <v>715</v>
      </c>
      <c r="D358" s="1823"/>
      <c r="E358" s="1823"/>
      <c r="F358" s="573" t="s">
        <v>628</v>
      </c>
      <c r="G358" s="573"/>
      <c r="H358" s="573"/>
      <c r="I358" s="573" t="s">
        <v>185</v>
      </c>
      <c r="J358" s="572">
        <v>9081.67</v>
      </c>
      <c r="K358" s="573" t="s">
        <v>716</v>
      </c>
      <c r="L358" s="572">
        <v>1113.3399999999999</v>
      </c>
      <c r="M358" s="571">
        <v>8.32</v>
      </c>
      <c r="N358" s="570">
        <v>9263</v>
      </c>
      <c r="V358" s="674"/>
      <c r="W358" s="675" t="s">
        <v>715</v>
      </c>
      <c r="AB358" s="675"/>
      <c r="AC358" s="680"/>
      <c r="AF358" s="675"/>
      <c r="AH358" s="675"/>
    </row>
    <row r="359" spans="1:34" s="536" customFormat="1" ht="12" x14ac:dyDescent="0.2">
      <c r="A359" s="569"/>
      <c r="B359" s="683"/>
      <c r="C359" s="689" t="s">
        <v>717</v>
      </c>
      <c r="D359" s="690"/>
      <c r="E359" s="690"/>
      <c r="F359" s="563"/>
      <c r="G359" s="563"/>
      <c r="H359" s="563"/>
      <c r="I359" s="563"/>
      <c r="J359" s="566"/>
      <c r="K359" s="563"/>
      <c r="L359" s="566"/>
      <c r="M359" s="565"/>
      <c r="N359" s="564"/>
      <c r="V359" s="674"/>
      <c r="W359" s="675"/>
      <c r="AB359" s="675"/>
      <c r="AC359" s="680"/>
      <c r="AF359" s="675"/>
      <c r="AH359" s="675"/>
    </row>
    <row r="360" spans="1:34" s="536" customFormat="1" ht="22.5" x14ac:dyDescent="0.2">
      <c r="A360" s="609"/>
      <c r="B360" s="552" t="s">
        <v>718</v>
      </c>
      <c r="C360" s="1822" t="s">
        <v>719</v>
      </c>
      <c r="D360" s="1822"/>
      <c r="E360" s="1822"/>
      <c r="F360" s="1822"/>
      <c r="G360" s="1822"/>
      <c r="H360" s="1822"/>
      <c r="I360" s="1822"/>
      <c r="J360" s="1822"/>
      <c r="K360" s="1822"/>
      <c r="L360" s="1822"/>
      <c r="M360" s="1822"/>
      <c r="N360" s="1827"/>
      <c r="V360" s="674"/>
      <c r="W360" s="675"/>
      <c r="X360" s="537" t="s">
        <v>719</v>
      </c>
      <c r="AB360" s="675"/>
      <c r="AC360" s="680"/>
      <c r="AF360" s="675"/>
      <c r="AH360" s="675"/>
    </row>
    <row r="361" spans="1:34" s="536" customFormat="1" ht="12" x14ac:dyDescent="0.2">
      <c r="A361" s="575" t="s">
        <v>677</v>
      </c>
      <c r="B361" s="684" t="s">
        <v>720</v>
      </c>
      <c r="C361" s="1823" t="s">
        <v>721</v>
      </c>
      <c r="D361" s="1823"/>
      <c r="E361" s="1823"/>
      <c r="F361" s="573" t="s">
        <v>617</v>
      </c>
      <c r="G361" s="573"/>
      <c r="H361" s="573"/>
      <c r="I361" s="573" t="s">
        <v>185</v>
      </c>
      <c r="J361" s="572"/>
      <c r="K361" s="573"/>
      <c r="L361" s="572"/>
      <c r="M361" s="571"/>
      <c r="N361" s="570"/>
      <c r="V361" s="674"/>
      <c r="W361" s="675" t="s">
        <v>721</v>
      </c>
      <c r="AB361" s="675"/>
      <c r="AC361" s="680"/>
      <c r="AF361" s="675"/>
      <c r="AH361" s="675"/>
    </row>
    <row r="362" spans="1:34" s="536" customFormat="1" ht="22.5" x14ac:dyDescent="0.2">
      <c r="A362" s="609"/>
      <c r="B362" s="552" t="s">
        <v>499</v>
      </c>
      <c r="C362" s="1822" t="s">
        <v>500</v>
      </c>
      <c r="D362" s="1822"/>
      <c r="E362" s="1822"/>
      <c r="F362" s="1822"/>
      <c r="G362" s="1822"/>
      <c r="H362" s="1822"/>
      <c r="I362" s="1822"/>
      <c r="J362" s="1822"/>
      <c r="K362" s="1822"/>
      <c r="L362" s="1822"/>
      <c r="M362" s="1822"/>
      <c r="N362" s="1827"/>
      <c r="V362" s="674"/>
      <c r="W362" s="675"/>
      <c r="X362" s="537" t="s">
        <v>500</v>
      </c>
      <c r="AB362" s="675"/>
      <c r="AC362" s="680"/>
      <c r="AF362" s="675"/>
      <c r="AH362" s="675"/>
    </row>
    <row r="363" spans="1:34" s="536" customFormat="1" ht="12" x14ac:dyDescent="0.2">
      <c r="A363" s="605"/>
      <c r="B363" s="552" t="s">
        <v>185</v>
      </c>
      <c r="C363" s="1822" t="s">
        <v>312</v>
      </c>
      <c r="D363" s="1822"/>
      <c r="E363" s="1822"/>
      <c r="F363" s="562"/>
      <c r="G363" s="562"/>
      <c r="H363" s="562"/>
      <c r="I363" s="562"/>
      <c r="J363" s="604">
        <v>19.239999999999998</v>
      </c>
      <c r="K363" s="562" t="s">
        <v>313</v>
      </c>
      <c r="L363" s="604">
        <v>24.05</v>
      </c>
      <c r="M363" s="603"/>
      <c r="N363" s="602"/>
      <c r="V363" s="674"/>
      <c r="W363" s="675"/>
      <c r="Y363" s="537" t="s">
        <v>312</v>
      </c>
      <c r="AB363" s="675"/>
      <c r="AC363" s="680"/>
      <c r="AF363" s="675"/>
      <c r="AH363" s="675"/>
    </row>
    <row r="364" spans="1:34" s="536" customFormat="1" ht="12" x14ac:dyDescent="0.2">
      <c r="A364" s="605"/>
      <c r="B364" s="552" t="s">
        <v>188</v>
      </c>
      <c r="C364" s="1822" t="s">
        <v>475</v>
      </c>
      <c r="D364" s="1822"/>
      <c r="E364" s="1822"/>
      <c r="F364" s="562"/>
      <c r="G364" s="562"/>
      <c r="H364" s="562"/>
      <c r="I364" s="562"/>
      <c r="J364" s="604">
        <v>2.41</v>
      </c>
      <c r="K364" s="562"/>
      <c r="L364" s="604">
        <v>2.41</v>
      </c>
      <c r="M364" s="603"/>
      <c r="N364" s="602"/>
      <c r="V364" s="674"/>
      <c r="W364" s="675"/>
      <c r="Y364" s="537" t="s">
        <v>475</v>
      </c>
      <c r="AB364" s="675"/>
      <c r="AC364" s="680"/>
      <c r="AF364" s="675"/>
      <c r="AH364" s="675"/>
    </row>
    <row r="365" spans="1:34" s="536" customFormat="1" ht="12" x14ac:dyDescent="0.2">
      <c r="A365" s="605"/>
      <c r="B365" s="552"/>
      <c r="C365" s="1822" t="s">
        <v>314</v>
      </c>
      <c r="D365" s="1822"/>
      <c r="E365" s="1822"/>
      <c r="F365" s="562" t="s">
        <v>315</v>
      </c>
      <c r="G365" s="562" t="s">
        <v>186</v>
      </c>
      <c r="H365" s="562" t="s">
        <v>313</v>
      </c>
      <c r="I365" s="562" t="s">
        <v>722</v>
      </c>
      <c r="J365" s="604"/>
      <c r="K365" s="562"/>
      <c r="L365" s="604"/>
      <c r="M365" s="603"/>
      <c r="N365" s="602"/>
      <c r="V365" s="674"/>
      <c r="W365" s="675"/>
      <c r="Z365" s="537" t="s">
        <v>314</v>
      </c>
      <c r="AB365" s="675"/>
      <c r="AC365" s="680"/>
      <c r="AF365" s="675"/>
      <c r="AH365" s="675"/>
    </row>
    <row r="366" spans="1:34" s="536" customFormat="1" ht="12" x14ac:dyDescent="0.2">
      <c r="A366" s="605"/>
      <c r="B366" s="552"/>
      <c r="C366" s="1828" t="s">
        <v>318</v>
      </c>
      <c r="D366" s="1828"/>
      <c r="E366" s="1828"/>
      <c r="F366" s="608"/>
      <c r="G366" s="608"/>
      <c r="H366" s="608"/>
      <c r="I366" s="608"/>
      <c r="J366" s="607">
        <v>21.65</v>
      </c>
      <c r="K366" s="608"/>
      <c r="L366" s="607">
        <v>26.46</v>
      </c>
      <c r="M366" s="601"/>
      <c r="N366" s="606"/>
      <c r="V366" s="674"/>
      <c r="W366" s="675"/>
      <c r="AA366" s="537" t="s">
        <v>318</v>
      </c>
      <c r="AB366" s="675"/>
      <c r="AC366" s="680"/>
      <c r="AF366" s="675"/>
      <c r="AH366" s="675"/>
    </row>
    <row r="367" spans="1:34" s="536" customFormat="1" ht="12" x14ac:dyDescent="0.2">
      <c r="A367" s="605"/>
      <c r="B367" s="552"/>
      <c r="C367" s="1822" t="s">
        <v>319</v>
      </c>
      <c r="D367" s="1822"/>
      <c r="E367" s="1822"/>
      <c r="F367" s="562"/>
      <c r="G367" s="562"/>
      <c r="H367" s="562"/>
      <c r="I367" s="562"/>
      <c r="J367" s="604"/>
      <c r="K367" s="562"/>
      <c r="L367" s="604">
        <v>24.05</v>
      </c>
      <c r="M367" s="603"/>
      <c r="N367" s="602"/>
      <c r="V367" s="674"/>
      <c r="W367" s="675"/>
      <c r="Z367" s="537" t="s">
        <v>319</v>
      </c>
      <c r="AB367" s="675"/>
      <c r="AC367" s="680"/>
      <c r="AF367" s="675"/>
      <c r="AH367" s="675"/>
    </row>
    <row r="368" spans="1:34" s="536" customFormat="1" ht="33.75" x14ac:dyDescent="0.2">
      <c r="A368" s="605"/>
      <c r="B368" s="552" t="s">
        <v>620</v>
      </c>
      <c r="C368" s="1822" t="s">
        <v>621</v>
      </c>
      <c r="D368" s="1822"/>
      <c r="E368" s="1822"/>
      <c r="F368" s="562" t="s">
        <v>322</v>
      </c>
      <c r="G368" s="562" t="s">
        <v>559</v>
      </c>
      <c r="H368" s="562"/>
      <c r="I368" s="562" t="s">
        <v>559</v>
      </c>
      <c r="J368" s="604"/>
      <c r="K368" s="562"/>
      <c r="L368" s="604">
        <v>22.85</v>
      </c>
      <c r="M368" s="603"/>
      <c r="N368" s="602"/>
      <c r="V368" s="674"/>
      <c r="W368" s="675"/>
      <c r="Z368" s="537" t="s">
        <v>621</v>
      </c>
      <c r="AB368" s="675"/>
      <c r="AC368" s="680"/>
      <c r="AF368" s="675"/>
      <c r="AH368" s="675"/>
    </row>
    <row r="369" spans="1:34" s="536" customFormat="1" ht="33.75" x14ac:dyDescent="0.2">
      <c r="A369" s="605"/>
      <c r="B369" s="552" t="s">
        <v>622</v>
      </c>
      <c r="C369" s="1822" t="s">
        <v>623</v>
      </c>
      <c r="D369" s="1822"/>
      <c r="E369" s="1822"/>
      <c r="F369" s="562" t="s">
        <v>322</v>
      </c>
      <c r="G369" s="562" t="s">
        <v>624</v>
      </c>
      <c r="H369" s="562"/>
      <c r="I369" s="562" t="s">
        <v>624</v>
      </c>
      <c r="J369" s="604"/>
      <c r="K369" s="562"/>
      <c r="L369" s="604">
        <v>12.75</v>
      </c>
      <c r="M369" s="603"/>
      <c r="N369" s="602"/>
      <c r="V369" s="674"/>
      <c r="W369" s="675"/>
      <c r="Z369" s="537" t="s">
        <v>623</v>
      </c>
      <c r="AB369" s="675"/>
      <c r="AC369" s="680"/>
      <c r="AF369" s="675"/>
      <c r="AH369" s="675"/>
    </row>
    <row r="370" spans="1:34" s="536" customFormat="1" ht="12" x14ac:dyDescent="0.2">
      <c r="A370" s="569"/>
      <c r="B370" s="683"/>
      <c r="C370" s="1823" t="s">
        <v>327</v>
      </c>
      <c r="D370" s="1823"/>
      <c r="E370" s="1823"/>
      <c r="F370" s="573"/>
      <c r="G370" s="573"/>
      <c r="H370" s="573"/>
      <c r="I370" s="573"/>
      <c r="J370" s="572"/>
      <c r="K370" s="573"/>
      <c r="L370" s="572">
        <v>62.06</v>
      </c>
      <c r="M370" s="601"/>
      <c r="N370" s="570"/>
      <c r="V370" s="674"/>
      <c r="W370" s="675"/>
      <c r="AB370" s="675" t="s">
        <v>327</v>
      </c>
      <c r="AC370" s="680"/>
      <c r="AF370" s="675"/>
      <c r="AH370" s="675"/>
    </row>
    <row r="371" spans="1:34" s="536" customFormat="1" ht="33.75" x14ac:dyDescent="0.2">
      <c r="A371" s="575" t="s">
        <v>773</v>
      </c>
      <c r="B371" s="684" t="s">
        <v>724</v>
      </c>
      <c r="C371" s="1823" t="s">
        <v>725</v>
      </c>
      <c r="D371" s="1823"/>
      <c r="E371" s="1823"/>
      <c r="F371" s="573" t="s">
        <v>628</v>
      </c>
      <c r="G371" s="573"/>
      <c r="H371" s="573"/>
      <c r="I371" s="573" t="s">
        <v>185</v>
      </c>
      <c r="J371" s="572">
        <v>35895</v>
      </c>
      <c r="K371" s="573" t="s">
        <v>629</v>
      </c>
      <c r="L371" s="572">
        <v>7914.16</v>
      </c>
      <c r="M371" s="571">
        <v>4.59</v>
      </c>
      <c r="N371" s="570">
        <v>36326</v>
      </c>
      <c r="V371" s="674"/>
      <c r="W371" s="675" t="s">
        <v>725</v>
      </c>
      <c r="AB371" s="675"/>
      <c r="AC371" s="680"/>
      <c r="AF371" s="675"/>
      <c r="AH371" s="675"/>
    </row>
    <row r="372" spans="1:34" s="536" customFormat="1" ht="12" x14ac:dyDescent="0.2">
      <c r="A372" s="569"/>
      <c r="B372" s="683"/>
      <c r="C372" s="689" t="s">
        <v>630</v>
      </c>
      <c r="D372" s="690"/>
      <c r="E372" s="690"/>
      <c r="F372" s="563"/>
      <c r="G372" s="563"/>
      <c r="H372" s="563"/>
      <c r="I372" s="563"/>
      <c r="J372" s="566"/>
      <c r="K372" s="563"/>
      <c r="L372" s="566"/>
      <c r="M372" s="565"/>
      <c r="N372" s="564"/>
      <c r="V372" s="674"/>
      <c r="W372" s="675"/>
      <c r="AB372" s="675"/>
      <c r="AC372" s="680"/>
      <c r="AF372" s="675"/>
      <c r="AH372" s="675"/>
    </row>
    <row r="373" spans="1:34" s="536" customFormat="1" ht="22.5" x14ac:dyDescent="0.2">
      <c r="A373" s="609"/>
      <c r="B373" s="552" t="s">
        <v>631</v>
      </c>
      <c r="C373" s="1822" t="s">
        <v>632</v>
      </c>
      <c r="D373" s="1822"/>
      <c r="E373" s="1822"/>
      <c r="F373" s="1822"/>
      <c r="G373" s="1822"/>
      <c r="H373" s="1822"/>
      <c r="I373" s="1822"/>
      <c r="J373" s="1822"/>
      <c r="K373" s="1822"/>
      <c r="L373" s="1822"/>
      <c r="M373" s="1822"/>
      <c r="N373" s="1827"/>
      <c r="V373" s="674"/>
      <c r="W373" s="675"/>
      <c r="X373" s="537" t="s">
        <v>632</v>
      </c>
      <c r="AB373" s="675"/>
      <c r="AC373" s="680"/>
      <c r="AF373" s="675"/>
      <c r="AH373" s="675"/>
    </row>
    <row r="374" spans="1:34" s="536" customFormat="1" ht="22.5" x14ac:dyDescent="0.2">
      <c r="A374" s="575" t="s">
        <v>774</v>
      </c>
      <c r="B374" s="684" t="s">
        <v>726</v>
      </c>
      <c r="C374" s="1823" t="s">
        <v>727</v>
      </c>
      <c r="D374" s="1823"/>
      <c r="E374" s="1823"/>
      <c r="F374" s="573" t="s">
        <v>694</v>
      </c>
      <c r="G374" s="573"/>
      <c r="H374" s="573"/>
      <c r="I374" s="573" t="s">
        <v>728</v>
      </c>
      <c r="J374" s="572"/>
      <c r="K374" s="573"/>
      <c r="L374" s="572"/>
      <c r="M374" s="571"/>
      <c r="N374" s="570"/>
      <c r="V374" s="674"/>
      <c r="W374" s="675" t="s">
        <v>727</v>
      </c>
      <c r="AB374" s="675"/>
      <c r="AC374" s="680"/>
      <c r="AF374" s="675"/>
      <c r="AH374" s="675"/>
    </row>
    <row r="375" spans="1:34" s="536" customFormat="1" ht="12" x14ac:dyDescent="0.2">
      <c r="A375" s="676"/>
      <c r="B375" s="682"/>
      <c r="C375" s="1822" t="s">
        <v>729</v>
      </c>
      <c r="D375" s="1822"/>
      <c r="E375" s="1822"/>
      <c r="F375" s="1822"/>
      <c r="G375" s="1822"/>
      <c r="H375" s="1822"/>
      <c r="I375" s="1822"/>
      <c r="J375" s="1822"/>
      <c r="K375" s="1822"/>
      <c r="L375" s="1822"/>
      <c r="M375" s="1822"/>
      <c r="N375" s="1827"/>
      <c r="V375" s="674"/>
      <c r="W375" s="675"/>
      <c r="AB375" s="675"/>
      <c r="AC375" s="680"/>
      <c r="AE375" s="537" t="s">
        <v>729</v>
      </c>
      <c r="AF375" s="675"/>
      <c r="AH375" s="675"/>
    </row>
    <row r="376" spans="1:34" s="536" customFormat="1" ht="22.5" x14ac:dyDescent="0.2">
      <c r="A376" s="609"/>
      <c r="B376" s="552" t="s">
        <v>499</v>
      </c>
      <c r="C376" s="1822" t="s">
        <v>500</v>
      </c>
      <c r="D376" s="1822"/>
      <c r="E376" s="1822"/>
      <c r="F376" s="1822"/>
      <c r="G376" s="1822"/>
      <c r="H376" s="1822"/>
      <c r="I376" s="1822"/>
      <c r="J376" s="1822"/>
      <c r="K376" s="1822"/>
      <c r="L376" s="1822"/>
      <c r="M376" s="1822"/>
      <c r="N376" s="1827"/>
      <c r="V376" s="674"/>
      <c r="W376" s="675"/>
      <c r="X376" s="537" t="s">
        <v>500</v>
      </c>
      <c r="AB376" s="675"/>
      <c r="AC376" s="680"/>
      <c r="AF376" s="675"/>
      <c r="AH376" s="675"/>
    </row>
    <row r="377" spans="1:34" s="536" customFormat="1" ht="12" x14ac:dyDescent="0.2">
      <c r="A377" s="605"/>
      <c r="B377" s="552" t="s">
        <v>185</v>
      </c>
      <c r="C377" s="1822" t="s">
        <v>312</v>
      </c>
      <c r="D377" s="1822"/>
      <c r="E377" s="1822"/>
      <c r="F377" s="562"/>
      <c r="G377" s="562"/>
      <c r="H377" s="562"/>
      <c r="I377" s="562"/>
      <c r="J377" s="604">
        <v>211.11</v>
      </c>
      <c r="K377" s="562" t="s">
        <v>313</v>
      </c>
      <c r="L377" s="604">
        <v>10.56</v>
      </c>
      <c r="M377" s="603"/>
      <c r="N377" s="602"/>
      <c r="V377" s="674"/>
      <c r="W377" s="675"/>
      <c r="Y377" s="537" t="s">
        <v>312</v>
      </c>
      <c r="AB377" s="675"/>
      <c r="AC377" s="680"/>
      <c r="AF377" s="675"/>
      <c r="AH377" s="675"/>
    </row>
    <row r="378" spans="1:34" s="536" customFormat="1" ht="22.5" x14ac:dyDescent="0.2">
      <c r="A378" s="676"/>
      <c r="B378" s="677" t="s">
        <v>697</v>
      </c>
      <c r="C378" s="1829" t="s">
        <v>698</v>
      </c>
      <c r="D378" s="1829"/>
      <c r="E378" s="1829"/>
      <c r="F378" s="678" t="s">
        <v>699</v>
      </c>
      <c r="G378" s="678" t="s">
        <v>525</v>
      </c>
      <c r="H378" s="678"/>
      <c r="I378" s="678" t="s">
        <v>525</v>
      </c>
      <c r="J378" s="552"/>
      <c r="K378" s="562"/>
      <c r="L378" s="604"/>
      <c r="M378" s="562"/>
      <c r="N378" s="679"/>
      <c r="V378" s="674"/>
      <c r="W378" s="675"/>
      <c r="AB378" s="675"/>
      <c r="AC378" s="680" t="s">
        <v>698</v>
      </c>
      <c r="AF378" s="675"/>
      <c r="AH378" s="675"/>
    </row>
    <row r="379" spans="1:34" s="536" customFormat="1" ht="22.5" x14ac:dyDescent="0.2">
      <c r="A379" s="676"/>
      <c r="B379" s="677" t="s">
        <v>700</v>
      </c>
      <c r="C379" s="1829" t="s">
        <v>701</v>
      </c>
      <c r="D379" s="1829"/>
      <c r="E379" s="1829"/>
      <c r="F379" s="678" t="s">
        <v>694</v>
      </c>
      <c r="G379" s="678" t="s">
        <v>702</v>
      </c>
      <c r="H379" s="678"/>
      <c r="I379" s="678" t="s">
        <v>730</v>
      </c>
      <c r="J379" s="552"/>
      <c r="K379" s="562"/>
      <c r="L379" s="604"/>
      <c r="M379" s="562"/>
      <c r="N379" s="679"/>
      <c r="V379" s="674"/>
      <c r="W379" s="675"/>
      <c r="AB379" s="675"/>
      <c r="AC379" s="680" t="s">
        <v>701</v>
      </c>
      <c r="AF379" s="675"/>
      <c r="AH379" s="675"/>
    </row>
    <row r="380" spans="1:34" s="536" customFormat="1" ht="12" x14ac:dyDescent="0.2">
      <c r="A380" s="605"/>
      <c r="B380" s="552"/>
      <c r="C380" s="1822" t="s">
        <v>314</v>
      </c>
      <c r="D380" s="1822"/>
      <c r="E380" s="1822"/>
      <c r="F380" s="562" t="s">
        <v>315</v>
      </c>
      <c r="G380" s="562" t="s">
        <v>731</v>
      </c>
      <c r="H380" s="562" t="s">
        <v>313</v>
      </c>
      <c r="I380" s="562" t="s">
        <v>732</v>
      </c>
      <c r="J380" s="604"/>
      <c r="K380" s="562"/>
      <c r="L380" s="604"/>
      <c r="M380" s="603"/>
      <c r="N380" s="602"/>
      <c r="V380" s="674"/>
      <c r="W380" s="675"/>
      <c r="Z380" s="537" t="s">
        <v>314</v>
      </c>
      <c r="AB380" s="675"/>
      <c r="AC380" s="680"/>
      <c r="AF380" s="675"/>
      <c r="AH380" s="675"/>
    </row>
    <row r="381" spans="1:34" s="536" customFormat="1" ht="12" x14ac:dyDescent="0.2">
      <c r="A381" s="605"/>
      <c r="B381" s="552"/>
      <c r="C381" s="1828" t="s">
        <v>318</v>
      </c>
      <c r="D381" s="1828"/>
      <c r="E381" s="1828"/>
      <c r="F381" s="608"/>
      <c r="G381" s="608"/>
      <c r="H381" s="608"/>
      <c r="I381" s="608"/>
      <c r="J381" s="607">
        <v>211.11</v>
      </c>
      <c r="K381" s="608"/>
      <c r="L381" s="607">
        <v>10.56</v>
      </c>
      <c r="M381" s="601"/>
      <c r="N381" s="606"/>
      <c r="V381" s="674"/>
      <c r="W381" s="675"/>
      <c r="AA381" s="537" t="s">
        <v>318</v>
      </c>
      <c r="AB381" s="675"/>
      <c r="AC381" s="680"/>
      <c r="AF381" s="675"/>
      <c r="AH381" s="675"/>
    </row>
    <row r="382" spans="1:34" s="536" customFormat="1" ht="12" x14ac:dyDescent="0.2">
      <c r="A382" s="605"/>
      <c r="B382" s="552"/>
      <c r="C382" s="1822" t="s">
        <v>319</v>
      </c>
      <c r="D382" s="1822"/>
      <c r="E382" s="1822"/>
      <c r="F382" s="562"/>
      <c r="G382" s="562"/>
      <c r="H382" s="562"/>
      <c r="I382" s="562"/>
      <c r="J382" s="604"/>
      <c r="K382" s="562"/>
      <c r="L382" s="604">
        <v>10.56</v>
      </c>
      <c r="M382" s="603"/>
      <c r="N382" s="602"/>
      <c r="V382" s="674"/>
      <c r="W382" s="675"/>
      <c r="Z382" s="537" t="s">
        <v>319</v>
      </c>
      <c r="AB382" s="675"/>
      <c r="AC382" s="680"/>
      <c r="AF382" s="675"/>
      <c r="AH382" s="675"/>
    </row>
    <row r="383" spans="1:34" s="536" customFormat="1" ht="33.75" x14ac:dyDescent="0.2">
      <c r="A383" s="605"/>
      <c r="B383" s="552" t="s">
        <v>708</v>
      </c>
      <c r="C383" s="1822" t="s">
        <v>709</v>
      </c>
      <c r="D383" s="1822"/>
      <c r="E383" s="1822"/>
      <c r="F383" s="562" t="s">
        <v>322</v>
      </c>
      <c r="G383" s="562" t="s">
        <v>710</v>
      </c>
      <c r="H383" s="562"/>
      <c r="I383" s="562" t="s">
        <v>710</v>
      </c>
      <c r="J383" s="604"/>
      <c r="K383" s="562"/>
      <c r="L383" s="604">
        <v>10.88</v>
      </c>
      <c r="M383" s="603"/>
      <c r="N383" s="602"/>
      <c r="V383" s="674"/>
      <c r="W383" s="675"/>
      <c r="Z383" s="537" t="s">
        <v>709</v>
      </c>
      <c r="AB383" s="675"/>
      <c r="AC383" s="680"/>
      <c r="AF383" s="675"/>
      <c r="AH383" s="675"/>
    </row>
    <row r="384" spans="1:34" s="536" customFormat="1" ht="33.75" x14ac:dyDescent="0.2">
      <c r="A384" s="605"/>
      <c r="B384" s="552" t="s">
        <v>711</v>
      </c>
      <c r="C384" s="1822" t="s">
        <v>712</v>
      </c>
      <c r="D384" s="1822"/>
      <c r="E384" s="1822"/>
      <c r="F384" s="562" t="s">
        <v>322</v>
      </c>
      <c r="G384" s="562" t="s">
        <v>713</v>
      </c>
      <c r="H384" s="562"/>
      <c r="I384" s="562" t="s">
        <v>713</v>
      </c>
      <c r="J384" s="604"/>
      <c r="K384" s="562"/>
      <c r="L384" s="604">
        <v>6.34</v>
      </c>
      <c r="M384" s="603"/>
      <c r="N384" s="602"/>
      <c r="V384" s="674"/>
      <c r="W384" s="675"/>
      <c r="Z384" s="537" t="s">
        <v>712</v>
      </c>
      <c r="AB384" s="675"/>
      <c r="AC384" s="680"/>
      <c r="AF384" s="675"/>
      <c r="AH384" s="675"/>
    </row>
    <row r="385" spans="1:34" s="536" customFormat="1" ht="12" x14ac:dyDescent="0.2">
      <c r="A385" s="569"/>
      <c r="B385" s="683"/>
      <c r="C385" s="1823" t="s">
        <v>327</v>
      </c>
      <c r="D385" s="1823"/>
      <c r="E385" s="1823"/>
      <c r="F385" s="573"/>
      <c r="G385" s="573"/>
      <c r="H385" s="573"/>
      <c r="I385" s="573"/>
      <c r="J385" s="572"/>
      <c r="K385" s="573"/>
      <c r="L385" s="572">
        <v>27.78</v>
      </c>
      <c r="M385" s="601"/>
      <c r="N385" s="570"/>
      <c r="V385" s="674"/>
      <c r="W385" s="675"/>
      <c r="AB385" s="675" t="s">
        <v>327</v>
      </c>
      <c r="AC385" s="680"/>
      <c r="AF385" s="675"/>
      <c r="AH385" s="675"/>
    </row>
    <row r="386" spans="1:34" s="536" customFormat="1" ht="33.75" x14ac:dyDescent="0.2">
      <c r="A386" s="575" t="s">
        <v>775</v>
      </c>
      <c r="B386" s="684" t="s">
        <v>734</v>
      </c>
      <c r="C386" s="1823" t="s">
        <v>735</v>
      </c>
      <c r="D386" s="1823"/>
      <c r="E386" s="1823"/>
      <c r="F386" s="573" t="s">
        <v>628</v>
      </c>
      <c r="G386" s="573"/>
      <c r="H386" s="573"/>
      <c r="I386" s="573" t="s">
        <v>188</v>
      </c>
      <c r="J386" s="572">
        <v>10008.33</v>
      </c>
      <c r="K386" s="573" t="s">
        <v>716</v>
      </c>
      <c r="L386" s="572">
        <v>4907.93</v>
      </c>
      <c r="M386" s="571">
        <v>8.32</v>
      </c>
      <c r="N386" s="570">
        <v>40834</v>
      </c>
      <c r="V386" s="674"/>
      <c r="W386" s="675" t="s">
        <v>735</v>
      </c>
      <c r="AB386" s="675"/>
      <c r="AC386" s="680"/>
      <c r="AF386" s="675"/>
      <c r="AH386" s="675"/>
    </row>
    <row r="387" spans="1:34" s="536" customFormat="1" ht="12" x14ac:dyDescent="0.2">
      <c r="A387" s="569"/>
      <c r="B387" s="683"/>
      <c r="C387" s="689" t="s">
        <v>717</v>
      </c>
      <c r="D387" s="690"/>
      <c r="E387" s="690"/>
      <c r="F387" s="563"/>
      <c r="G387" s="563"/>
      <c r="H387" s="563"/>
      <c r="I387" s="563"/>
      <c r="J387" s="566"/>
      <c r="K387" s="563"/>
      <c r="L387" s="566"/>
      <c r="M387" s="565"/>
      <c r="N387" s="564"/>
      <c r="V387" s="674"/>
      <c r="W387" s="675"/>
      <c r="AB387" s="675"/>
      <c r="AC387" s="680"/>
      <c r="AF387" s="675"/>
      <c r="AH387" s="675"/>
    </row>
    <row r="388" spans="1:34" s="536" customFormat="1" ht="22.5" x14ac:dyDescent="0.2">
      <c r="A388" s="609"/>
      <c r="B388" s="552" t="s">
        <v>718</v>
      </c>
      <c r="C388" s="1822" t="s">
        <v>719</v>
      </c>
      <c r="D388" s="1822"/>
      <c r="E388" s="1822"/>
      <c r="F388" s="1822"/>
      <c r="G388" s="1822"/>
      <c r="H388" s="1822"/>
      <c r="I388" s="1822"/>
      <c r="J388" s="1822"/>
      <c r="K388" s="1822"/>
      <c r="L388" s="1822"/>
      <c r="M388" s="1822"/>
      <c r="N388" s="1827"/>
      <c r="V388" s="674"/>
      <c r="W388" s="675"/>
      <c r="X388" s="537" t="s">
        <v>719</v>
      </c>
      <c r="AB388" s="675"/>
      <c r="AC388" s="680"/>
      <c r="AF388" s="675"/>
      <c r="AH388" s="675"/>
    </row>
    <row r="389" spans="1:34" s="536" customFormat="1" ht="22.5" x14ac:dyDescent="0.2">
      <c r="A389" s="575" t="s">
        <v>776</v>
      </c>
      <c r="B389" s="684" t="s">
        <v>737</v>
      </c>
      <c r="C389" s="1823" t="s">
        <v>738</v>
      </c>
      <c r="D389" s="1823"/>
      <c r="E389" s="1823"/>
      <c r="F389" s="573" t="s">
        <v>617</v>
      </c>
      <c r="G389" s="573"/>
      <c r="H389" s="573"/>
      <c r="I389" s="573" t="s">
        <v>188</v>
      </c>
      <c r="J389" s="572"/>
      <c r="K389" s="573"/>
      <c r="L389" s="572"/>
      <c r="M389" s="571"/>
      <c r="N389" s="570"/>
      <c r="V389" s="674"/>
      <c r="W389" s="675" t="s">
        <v>738</v>
      </c>
      <c r="AB389" s="675"/>
      <c r="AC389" s="680"/>
      <c r="AF389" s="675"/>
      <c r="AH389" s="675"/>
    </row>
    <row r="390" spans="1:34" s="536" customFormat="1" ht="22.5" x14ac:dyDescent="0.2">
      <c r="A390" s="609"/>
      <c r="B390" s="552" t="s">
        <v>499</v>
      </c>
      <c r="C390" s="1822" t="s">
        <v>500</v>
      </c>
      <c r="D390" s="1822"/>
      <c r="E390" s="1822"/>
      <c r="F390" s="1822"/>
      <c r="G390" s="1822"/>
      <c r="H390" s="1822"/>
      <c r="I390" s="1822"/>
      <c r="J390" s="1822"/>
      <c r="K390" s="1822"/>
      <c r="L390" s="1822"/>
      <c r="M390" s="1822"/>
      <c r="N390" s="1827"/>
      <c r="V390" s="674"/>
      <c r="W390" s="675"/>
      <c r="X390" s="537" t="s">
        <v>500</v>
      </c>
      <c r="AB390" s="675"/>
      <c r="AC390" s="680"/>
      <c r="AF390" s="675"/>
      <c r="AH390" s="675"/>
    </row>
    <row r="391" spans="1:34" s="536" customFormat="1" ht="12" x14ac:dyDescent="0.2">
      <c r="A391" s="605"/>
      <c r="B391" s="552" t="s">
        <v>185</v>
      </c>
      <c r="C391" s="1822" t="s">
        <v>312</v>
      </c>
      <c r="D391" s="1822"/>
      <c r="E391" s="1822"/>
      <c r="F391" s="562"/>
      <c r="G391" s="562"/>
      <c r="H391" s="562"/>
      <c r="I391" s="562"/>
      <c r="J391" s="604">
        <v>34.020000000000003</v>
      </c>
      <c r="K391" s="562" t="s">
        <v>313</v>
      </c>
      <c r="L391" s="604">
        <v>170.1</v>
      </c>
      <c r="M391" s="603"/>
      <c r="N391" s="602"/>
      <c r="V391" s="674"/>
      <c r="W391" s="675"/>
      <c r="Y391" s="537" t="s">
        <v>312</v>
      </c>
      <c r="AB391" s="675"/>
      <c r="AC391" s="680"/>
      <c r="AF391" s="675"/>
      <c r="AH391" s="675"/>
    </row>
    <row r="392" spans="1:34" s="536" customFormat="1" ht="12" x14ac:dyDescent="0.2">
      <c r="A392" s="605"/>
      <c r="B392" s="552" t="s">
        <v>188</v>
      </c>
      <c r="C392" s="1822" t="s">
        <v>475</v>
      </c>
      <c r="D392" s="1822"/>
      <c r="E392" s="1822"/>
      <c r="F392" s="562"/>
      <c r="G392" s="562"/>
      <c r="H392" s="562"/>
      <c r="I392" s="562"/>
      <c r="J392" s="604">
        <v>0.68</v>
      </c>
      <c r="K392" s="562"/>
      <c r="L392" s="604">
        <v>2.72</v>
      </c>
      <c r="M392" s="603"/>
      <c r="N392" s="602"/>
      <c r="V392" s="674"/>
      <c r="W392" s="675"/>
      <c r="Y392" s="537" t="s">
        <v>475</v>
      </c>
      <c r="AB392" s="675"/>
      <c r="AC392" s="680"/>
      <c r="AF392" s="675"/>
      <c r="AH392" s="675"/>
    </row>
    <row r="393" spans="1:34" s="536" customFormat="1" ht="12" x14ac:dyDescent="0.2">
      <c r="A393" s="605"/>
      <c r="B393" s="552"/>
      <c r="C393" s="1822" t="s">
        <v>314</v>
      </c>
      <c r="D393" s="1822"/>
      <c r="E393" s="1822"/>
      <c r="F393" s="562" t="s">
        <v>315</v>
      </c>
      <c r="G393" s="562" t="s">
        <v>739</v>
      </c>
      <c r="H393" s="562" t="s">
        <v>313</v>
      </c>
      <c r="I393" s="562" t="s">
        <v>740</v>
      </c>
      <c r="J393" s="604"/>
      <c r="K393" s="562"/>
      <c r="L393" s="604"/>
      <c r="M393" s="603"/>
      <c r="N393" s="602"/>
      <c r="V393" s="674"/>
      <c r="W393" s="675"/>
      <c r="Z393" s="537" t="s">
        <v>314</v>
      </c>
      <c r="AB393" s="675"/>
      <c r="AC393" s="680"/>
      <c r="AF393" s="675"/>
      <c r="AH393" s="675"/>
    </row>
    <row r="394" spans="1:34" s="536" customFormat="1" ht="12" x14ac:dyDescent="0.2">
      <c r="A394" s="605"/>
      <c r="B394" s="552"/>
      <c r="C394" s="1828" t="s">
        <v>318</v>
      </c>
      <c r="D394" s="1828"/>
      <c r="E394" s="1828"/>
      <c r="F394" s="608"/>
      <c r="G394" s="608"/>
      <c r="H394" s="608"/>
      <c r="I394" s="608"/>
      <c r="J394" s="607">
        <v>34.700000000000003</v>
      </c>
      <c r="K394" s="608"/>
      <c r="L394" s="607">
        <v>172.82</v>
      </c>
      <c r="M394" s="601"/>
      <c r="N394" s="606"/>
      <c r="V394" s="674"/>
      <c r="W394" s="675"/>
      <c r="AA394" s="537" t="s">
        <v>318</v>
      </c>
      <c r="AB394" s="675"/>
      <c r="AC394" s="680"/>
      <c r="AF394" s="675"/>
      <c r="AH394" s="675"/>
    </row>
    <row r="395" spans="1:34" s="536" customFormat="1" ht="12" x14ac:dyDescent="0.2">
      <c r="A395" s="605"/>
      <c r="B395" s="552"/>
      <c r="C395" s="1822" t="s">
        <v>319</v>
      </c>
      <c r="D395" s="1822"/>
      <c r="E395" s="1822"/>
      <c r="F395" s="562"/>
      <c r="G395" s="562"/>
      <c r="H395" s="562"/>
      <c r="I395" s="562"/>
      <c r="J395" s="604"/>
      <c r="K395" s="562"/>
      <c r="L395" s="604">
        <v>170.1</v>
      </c>
      <c r="M395" s="603"/>
      <c r="N395" s="602"/>
      <c r="V395" s="674"/>
      <c r="W395" s="675"/>
      <c r="Z395" s="537" t="s">
        <v>319</v>
      </c>
      <c r="AB395" s="675"/>
      <c r="AC395" s="680"/>
      <c r="AF395" s="675"/>
      <c r="AH395" s="675"/>
    </row>
    <row r="396" spans="1:34" s="536" customFormat="1" ht="33.75" x14ac:dyDescent="0.2">
      <c r="A396" s="605"/>
      <c r="B396" s="552" t="s">
        <v>741</v>
      </c>
      <c r="C396" s="1822" t="s">
        <v>742</v>
      </c>
      <c r="D396" s="1822"/>
      <c r="E396" s="1822"/>
      <c r="F396" s="562" t="s">
        <v>322</v>
      </c>
      <c r="G396" s="562" t="s">
        <v>743</v>
      </c>
      <c r="H396" s="562"/>
      <c r="I396" s="562" t="s">
        <v>743</v>
      </c>
      <c r="J396" s="604"/>
      <c r="K396" s="562"/>
      <c r="L396" s="604">
        <v>166.7</v>
      </c>
      <c r="M396" s="603"/>
      <c r="N396" s="602"/>
      <c r="V396" s="674"/>
      <c r="W396" s="675"/>
      <c r="Z396" s="537" t="s">
        <v>742</v>
      </c>
      <c r="AB396" s="675"/>
      <c r="AC396" s="680"/>
      <c r="AF396" s="675"/>
      <c r="AH396" s="675"/>
    </row>
    <row r="397" spans="1:34" s="536" customFormat="1" ht="33.75" x14ac:dyDescent="0.2">
      <c r="A397" s="605"/>
      <c r="B397" s="552" t="s">
        <v>744</v>
      </c>
      <c r="C397" s="1822" t="s">
        <v>745</v>
      </c>
      <c r="D397" s="1822"/>
      <c r="E397" s="1822"/>
      <c r="F397" s="562" t="s">
        <v>322</v>
      </c>
      <c r="G397" s="562" t="s">
        <v>690</v>
      </c>
      <c r="H397" s="562"/>
      <c r="I397" s="562" t="s">
        <v>690</v>
      </c>
      <c r="J397" s="604"/>
      <c r="K397" s="562"/>
      <c r="L397" s="604">
        <v>98.66</v>
      </c>
      <c r="M397" s="603"/>
      <c r="N397" s="602"/>
      <c r="V397" s="674"/>
      <c r="W397" s="675"/>
      <c r="Z397" s="537" t="s">
        <v>745</v>
      </c>
      <c r="AB397" s="675"/>
      <c r="AC397" s="680"/>
      <c r="AF397" s="675"/>
      <c r="AH397" s="675"/>
    </row>
    <row r="398" spans="1:34" s="536" customFormat="1" ht="12" x14ac:dyDescent="0.2">
      <c r="A398" s="569"/>
      <c r="B398" s="683"/>
      <c r="C398" s="1823" t="s">
        <v>327</v>
      </c>
      <c r="D398" s="1823"/>
      <c r="E398" s="1823"/>
      <c r="F398" s="573"/>
      <c r="G398" s="573"/>
      <c r="H398" s="573"/>
      <c r="I398" s="573"/>
      <c r="J398" s="572"/>
      <c r="K398" s="573"/>
      <c r="L398" s="572">
        <v>438.18</v>
      </c>
      <c r="M398" s="601"/>
      <c r="N398" s="570"/>
      <c r="V398" s="674"/>
      <c r="W398" s="675"/>
      <c r="AB398" s="675" t="s">
        <v>327</v>
      </c>
      <c r="AC398" s="680"/>
      <c r="AF398" s="675"/>
      <c r="AH398" s="675"/>
    </row>
    <row r="399" spans="1:34" s="536" customFormat="1" ht="33.75" x14ac:dyDescent="0.2">
      <c r="A399" s="575" t="s">
        <v>777</v>
      </c>
      <c r="B399" s="684" t="s">
        <v>747</v>
      </c>
      <c r="C399" s="1823" t="s">
        <v>748</v>
      </c>
      <c r="D399" s="1823"/>
      <c r="E399" s="1823"/>
      <c r="F399" s="573" t="s">
        <v>628</v>
      </c>
      <c r="G399" s="573"/>
      <c r="H399" s="573"/>
      <c r="I399" s="573" t="s">
        <v>188</v>
      </c>
      <c r="J399" s="572">
        <v>26071.67</v>
      </c>
      <c r="K399" s="573" t="s">
        <v>629</v>
      </c>
      <c r="L399" s="572">
        <v>22993.03</v>
      </c>
      <c r="M399" s="571">
        <v>4.59</v>
      </c>
      <c r="N399" s="570">
        <v>105538</v>
      </c>
      <c r="V399" s="674"/>
      <c r="W399" s="675" t="s">
        <v>748</v>
      </c>
      <c r="AB399" s="675"/>
      <c r="AC399" s="680"/>
      <c r="AF399" s="675"/>
      <c r="AH399" s="675"/>
    </row>
    <row r="400" spans="1:34" s="536" customFormat="1" ht="12" x14ac:dyDescent="0.2">
      <c r="A400" s="569"/>
      <c r="B400" s="683"/>
      <c r="C400" s="689" t="s">
        <v>630</v>
      </c>
      <c r="D400" s="690"/>
      <c r="E400" s="690"/>
      <c r="F400" s="563"/>
      <c r="G400" s="563"/>
      <c r="H400" s="563"/>
      <c r="I400" s="563"/>
      <c r="J400" s="566"/>
      <c r="K400" s="563"/>
      <c r="L400" s="566"/>
      <c r="M400" s="565"/>
      <c r="N400" s="564"/>
      <c r="V400" s="674"/>
      <c r="W400" s="675"/>
      <c r="AB400" s="675"/>
      <c r="AC400" s="680"/>
      <c r="AF400" s="675"/>
      <c r="AH400" s="675"/>
    </row>
    <row r="401" spans="1:34" s="536" customFormat="1" ht="22.5" x14ac:dyDescent="0.2">
      <c r="A401" s="609"/>
      <c r="B401" s="552" t="s">
        <v>631</v>
      </c>
      <c r="C401" s="1822" t="s">
        <v>632</v>
      </c>
      <c r="D401" s="1822"/>
      <c r="E401" s="1822"/>
      <c r="F401" s="1822"/>
      <c r="G401" s="1822"/>
      <c r="H401" s="1822"/>
      <c r="I401" s="1822"/>
      <c r="J401" s="1822"/>
      <c r="K401" s="1822"/>
      <c r="L401" s="1822"/>
      <c r="M401" s="1822"/>
      <c r="N401" s="1827"/>
      <c r="V401" s="674"/>
      <c r="W401" s="675"/>
      <c r="X401" s="537" t="s">
        <v>632</v>
      </c>
      <c r="AB401" s="675"/>
      <c r="AC401" s="680"/>
      <c r="AF401" s="675"/>
      <c r="AH401" s="675"/>
    </row>
    <row r="402" spans="1:34" s="536" customFormat="1" ht="33.75" x14ac:dyDescent="0.2">
      <c r="A402" s="575" t="s">
        <v>778</v>
      </c>
      <c r="B402" s="684" t="s">
        <v>750</v>
      </c>
      <c r="C402" s="1823" t="s">
        <v>751</v>
      </c>
      <c r="D402" s="1823"/>
      <c r="E402" s="1823"/>
      <c r="F402" s="573" t="s">
        <v>628</v>
      </c>
      <c r="G402" s="573"/>
      <c r="H402" s="573"/>
      <c r="I402" s="573" t="s">
        <v>188</v>
      </c>
      <c r="J402" s="572">
        <v>46459.17</v>
      </c>
      <c r="K402" s="573" t="s">
        <v>629</v>
      </c>
      <c r="L402" s="572">
        <v>40973.199999999997</v>
      </c>
      <c r="M402" s="571">
        <v>4.59</v>
      </c>
      <c r="N402" s="570">
        <v>188067</v>
      </c>
      <c r="V402" s="674"/>
      <c r="W402" s="675" t="s">
        <v>751</v>
      </c>
      <c r="AB402" s="675"/>
      <c r="AC402" s="680"/>
      <c r="AF402" s="675"/>
      <c r="AH402" s="675"/>
    </row>
    <row r="403" spans="1:34" s="536" customFormat="1" ht="12" x14ac:dyDescent="0.2">
      <c r="A403" s="569"/>
      <c r="B403" s="683"/>
      <c r="C403" s="689" t="s">
        <v>630</v>
      </c>
      <c r="D403" s="690"/>
      <c r="E403" s="690"/>
      <c r="F403" s="563"/>
      <c r="G403" s="563"/>
      <c r="H403" s="563"/>
      <c r="I403" s="563"/>
      <c r="J403" s="566"/>
      <c r="K403" s="563"/>
      <c r="L403" s="566"/>
      <c r="M403" s="565"/>
      <c r="N403" s="564"/>
      <c r="V403" s="674"/>
      <c r="W403" s="675"/>
      <c r="AB403" s="675"/>
      <c r="AC403" s="680"/>
      <c r="AF403" s="675"/>
      <c r="AH403" s="675"/>
    </row>
    <row r="404" spans="1:34" s="536" customFormat="1" ht="22.5" x14ac:dyDescent="0.2">
      <c r="A404" s="609"/>
      <c r="B404" s="552" t="s">
        <v>631</v>
      </c>
      <c r="C404" s="1822" t="s">
        <v>632</v>
      </c>
      <c r="D404" s="1822"/>
      <c r="E404" s="1822"/>
      <c r="F404" s="1822"/>
      <c r="G404" s="1822"/>
      <c r="H404" s="1822"/>
      <c r="I404" s="1822"/>
      <c r="J404" s="1822"/>
      <c r="K404" s="1822"/>
      <c r="L404" s="1822"/>
      <c r="M404" s="1822"/>
      <c r="N404" s="1827"/>
      <c r="V404" s="674"/>
      <c r="W404" s="675"/>
      <c r="X404" s="537" t="s">
        <v>632</v>
      </c>
      <c r="AB404" s="675"/>
      <c r="AC404" s="680"/>
      <c r="AF404" s="675"/>
      <c r="AH404" s="675"/>
    </row>
    <row r="405" spans="1:34" s="536" customFormat="1" ht="1.5" customHeight="1" x14ac:dyDescent="0.2">
      <c r="A405" s="563"/>
      <c r="B405" s="683"/>
      <c r="C405" s="683"/>
      <c r="D405" s="683"/>
      <c r="E405" s="683"/>
      <c r="F405" s="563"/>
      <c r="G405" s="563"/>
      <c r="H405" s="563"/>
      <c r="I405" s="563"/>
      <c r="J405" s="546"/>
      <c r="K405" s="563"/>
      <c r="L405" s="546"/>
      <c r="M405" s="562"/>
      <c r="N405" s="546"/>
      <c r="V405" s="674"/>
      <c r="W405" s="675"/>
      <c r="AB405" s="675"/>
      <c r="AC405" s="680"/>
      <c r="AF405" s="675"/>
      <c r="AH405" s="675"/>
    </row>
    <row r="406" spans="1:34" s="536" customFormat="1" ht="12" x14ac:dyDescent="0.2">
      <c r="A406" s="557"/>
      <c r="B406" s="556"/>
      <c r="C406" s="1823" t="s">
        <v>779</v>
      </c>
      <c r="D406" s="1823"/>
      <c r="E406" s="1823"/>
      <c r="F406" s="1823"/>
      <c r="G406" s="1823"/>
      <c r="H406" s="1823"/>
      <c r="I406" s="1823"/>
      <c r="J406" s="1823"/>
      <c r="K406" s="1823"/>
      <c r="L406" s="555"/>
      <c r="M406" s="554"/>
      <c r="N406" s="553"/>
      <c r="V406" s="674"/>
      <c r="W406" s="675"/>
      <c r="AB406" s="675"/>
      <c r="AC406" s="680"/>
      <c r="AF406" s="675" t="s">
        <v>779</v>
      </c>
      <c r="AH406" s="675"/>
    </row>
    <row r="407" spans="1:34" s="536" customFormat="1" ht="12" x14ac:dyDescent="0.2">
      <c r="A407" s="548"/>
      <c r="B407" s="552"/>
      <c r="C407" s="1822" t="s">
        <v>403</v>
      </c>
      <c r="D407" s="1822"/>
      <c r="E407" s="1822"/>
      <c r="F407" s="1822"/>
      <c r="G407" s="1822"/>
      <c r="H407" s="1822"/>
      <c r="I407" s="1822"/>
      <c r="J407" s="1822"/>
      <c r="K407" s="1822"/>
      <c r="L407" s="551">
        <v>11776.7</v>
      </c>
      <c r="M407" s="550"/>
      <c r="N407" s="549"/>
      <c r="V407" s="674"/>
      <c r="W407" s="675"/>
      <c r="AB407" s="675"/>
      <c r="AC407" s="680"/>
      <c r="AF407" s="675"/>
      <c r="AG407" s="537" t="s">
        <v>403</v>
      </c>
      <c r="AH407" s="675"/>
    </row>
    <row r="408" spans="1:34" s="536" customFormat="1" ht="12" x14ac:dyDescent="0.2">
      <c r="A408" s="548"/>
      <c r="B408" s="552"/>
      <c r="C408" s="1822" t="s">
        <v>204</v>
      </c>
      <c r="D408" s="1822"/>
      <c r="E408" s="1822"/>
      <c r="F408" s="1822"/>
      <c r="G408" s="1822"/>
      <c r="H408" s="1822"/>
      <c r="I408" s="1822"/>
      <c r="J408" s="1822"/>
      <c r="K408" s="1822"/>
      <c r="L408" s="551"/>
      <c r="M408" s="550"/>
      <c r="N408" s="549"/>
      <c r="V408" s="674"/>
      <c r="W408" s="675"/>
      <c r="AB408" s="675"/>
      <c r="AC408" s="680"/>
      <c r="AF408" s="675"/>
      <c r="AG408" s="537" t="s">
        <v>204</v>
      </c>
      <c r="AH408" s="675"/>
    </row>
    <row r="409" spans="1:34" s="536" customFormat="1" ht="12" x14ac:dyDescent="0.2">
      <c r="A409" s="548"/>
      <c r="B409" s="552"/>
      <c r="C409" s="1822" t="s">
        <v>404</v>
      </c>
      <c r="D409" s="1822"/>
      <c r="E409" s="1822"/>
      <c r="F409" s="1822"/>
      <c r="G409" s="1822"/>
      <c r="H409" s="1822"/>
      <c r="I409" s="1822"/>
      <c r="J409" s="1822"/>
      <c r="K409" s="1822"/>
      <c r="L409" s="551">
        <v>2220.62</v>
      </c>
      <c r="M409" s="550"/>
      <c r="N409" s="549"/>
      <c r="V409" s="674"/>
      <c r="W409" s="675"/>
      <c r="AB409" s="675"/>
      <c r="AC409" s="680"/>
      <c r="AF409" s="675"/>
      <c r="AG409" s="537" t="s">
        <v>404</v>
      </c>
      <c r="AH409" s="675"/>
    </row>
    <row r="410" spans="1:34" s="536" customFormat="1" ht="12" x14ac:dyDescent="0.2">
      <c r="A410" s="548"/>
      <c r="B410" s="552"/>
      <c r="C410" s="1822" t="s">
        <v>405</v>
      </c>
      <c r="D410" s="1822"/>
      <c r="E410" s="1822"/>
      <c r="F410" s="1822"/>
      <c r="G410" s="1822"/>
      <c r="H410" s="1822"/>
      <c r="I410" s="1822"/>
      <c r="J410" s="1822"/>
      <c r="K410" s="1822"/>
      <c r="L410" s="551">
        <v>538.39</v>
      </c>
      <c r="M410" s="550"/>
      <c r="N410" s="549"/>
      <c r="V410" s="674"/>
      <c r="W410" s="675"/>
      <c r="AB410" s="675"/>
      <c r="AC410" s="680"/>
      <c r="AF410" s="675"/>
      <c r="AG410" s="537" t="s">
        <v>405</v>
      </c>
      <c r="AH410" s="675"/>
    </row>
    <row r="411" spans="1:34" s="536" customFormat="1" ht="12" x14ac:dyDescent="0.2">
      <c r="A411" s="548"/>
      <c r="B411" s="552"/>
      <c r="C411" s="1822" t="s">
        <v>406</v>
      </c>
      <c r="D411" s="1822"/>
      <c r="E411" s="1822"/>
      <c r="F411" s="1822"/>
      <c r="G411" s="1822"/>
      <c r="H411" s="1822"/>
      <c r="I411" s="1822"/>
      <c r="J411" s="1822"/>
      <c r="K411" s="1822"/>
      <c r="L411" s="551">
        <v>46.56</v>
      </c>
      <c r="M411" s="550"/>
      <c r="N411" s="549"/>
      <c r="V411" s="674"/>
      <c r="W411" s="675"/>
      <c r="AB411" s="675"/>
      <c r="AC411" s="680"/>
      <c r="AF411" s="675"/>
      <c r="AG411" s="537" t="s">
        <v>406</v>
      </c>
      <c r="AH411" s="675"/>
    </row>
    <row r="412" spans="1:34" s="536" customFormat="1" ht="12" x14ac:dyDescent="0.2">
      <c r="A412" s="548"/>
      <c r="B412" s="552"/>
      <c r="C412" s="1822" t="s">
        <v>480</v>
      </c>
      <c r="D412" s="1822"/>
      <c r="E412" s="1822"/>
      <c r="F412" s="1822"/>
      <c r="G412" s="1822"/>
      <c r="H412" s="1822"/>
      <c r="I412" s="1822"/>
      <c r="J412" s="1822"/>
      <c r="K412" s="1822"/>
      <c r="L412" s="551">
        <v>9017.69</v>
      </c>
      <c r="M412" s="550"/>
      <c r="N412" s="549"/>
      <c r="V412" s="674"/>
      <c r="W412" s="675"/>
      <c r="AB412" s="675"/>
      <c r="AC412" s="680"/>
      <c r="AF412" s="675"/>
      <c r="AG412" s="537" t="s">
        <v>480</v>
      </c>
      <c r="AH412" s="675"/>
    </row>
    <row r="413" spans="1:34" s="536" customFormat="1" ht="12" x14ac:dyDescent="0.2">
      <c r="A413" s="548"/>
      <c r="B413" s="552"/>
      <c r="C413" s="1822" t="s">
        <v>407</v>
      </c>
      <c r="D413" s="1822"/>
      <c r="E413" s="1822"/>
      <c r="F413" s="1822"/>
      <c r="G413" s="1822"/>
      <c r="H413" s="1822"/>
      <c r="I413" s="1822"/>
      <c r="J413" s="1822"/>
      <c r="K413" s="1822"/>
      <c r="L413" s="551">
        <v>8646.86</v>
      </c>
      <c r="M413" s="550"/>
      <c r="N413" s="549"/>
      <c r="V413" s="674"/>
      <c r="W413" s="675"/>
      <c r="AB413" s="675"/>
      <c r="AC413" s="680"/>
      <c r="AF413" s="675"/>
      <c r="AG413" s="537" t="s">
        <v>407</v>
      </c>
      <c r="AH413" s="675"/>
    </row>
    <row r="414" spans="1:34" s="536" customFormat="1" ht="12" x14ac:dyDescent="0.2">
      <c r="A414" s="548"/>
      <c r="B414" s="552"/>
      <c r="C414" s="1822" t="s">
        <v>204</v>
      </c>
      <c r="D414" s="1822"/>
      <c r="E414" s="1822"/>
      <c r="F414" s="1822"/>
      <c r="G414" s="1822"/>
      <c r="H414" s="1822"/>
      <c r="I414" s="1822"/>
      <c r="J414" s="1822"/>
      <c r="K414" s="1822"/>
      <c r="L414" s="551"/>
      <c r="M414" s="550"/>
      <c r="N414" s="549"/>
      <c r="V414" s="674"/>
      <c r="W414" s="675"/>
      <c r="AB414" s="675"/>
      <c r="AC414" s="680"/>
      <c r="AF414" s="675"/>
      <c r="AG414" s="537" t="s">
        <v>204</v>
      </c>
      <c r="AH414" s="675"/>
    </row>
    <row r="415" spans="1:34" s="536" customFormat="1" ht="12" x14ac:dyDescent="0.2">
      <c r="A415" s="548"/>
      <c r="B415" s="552"/>
      <c r="C415" s="1822" t="s">
        <v>546</v>
      </c>
      <c r="D415" s="1822"/>
      <c r="E415" s="1822"/>
      <c r="F415" s="1822"/>
      <c r="G415" s="1822"/>
      <c r="H415" s="1822"/>
      <c r="I415" s="1822"/>
      <c r="J415" s="1822"/>
      <c r="K415" s="1822"/>
      <c r="L415" s="551">
        <v>419.97</v>
      </c>
      <c r="M415" s="550"/>
      <c r="N415" s="549"/>
      <c r="V415" s="674"/>
      <c r="W415" s="675"/>
      <c r="AB415" s="675"/>
      <c r="AC415" s="680"/>
      <c r="AF415" s="675"/>
      <c r="AG415" s="537" t="s">
        <v>546</v>
      </c>
      <c r="AH415" s="675"/>
    </row>
    <row r="416" spans="1:34" s="536" customFormat="1" ht="12" x14ac:dyDescent="0.2">
      <c r="A416" s="548"/>
      <c r="B416" s="552"/>
      <c r="C416" s="1822" t="s">
        <v>442</v>
      </c>
      <c r="D416" s="1822"/>
      <c r="E416" s="1822"/>
      <c r="F416" s="1822"/>
      <c r="G416" s="1822"/>
      <c r="H416" s="1822"/>
      <c r="I416" s="1822"/>
      <c r="J416" s="1822"/>
      <c r="K416" s="1822"/>
      <c r="L416" s="551">
        <v>39.04</v>
      </c>
      <c r="M416" s="550"/>
      <c r="N416" s="549"/>
      <c r="V416" s="674"/>
      <c r="W416" s="675"/>
      <c r="AB416" s="675"/>
      <c r="AC416" s="680"/>
      <c r="AF416" s="675"/>
      <c r="AG416" s="537" t="s">
        <v>442</v>
      </c>
      <c r="AH416" s="675"/>
    </row>
    <row r="417" spans="1:34" s="536" customFormat="1" ht="12" x14ac:dyDescent="0.2">
      <c r="A417" s="548"/>
      <c r="B417" s="552"/>
      <c r="C417" s="1822" t="s">
        <v>547</v>
      </c>
      <c r="D417" s="1822"/>
      <c r="E417" s="1822"/>
      <c r="F417" s="1822"/>
      <c r="G417" s="1822"/>
      <c r="H417" s="1822"/>
      <c r="I417" s="1822"/>
      <c r="J417" s="1822"/>
      <c r="K417" s="1822"/>
      <c r="L417" s="551">
        <v>7526.26</v>
      </c>
      <c r="M417" s="550"/>
      <c r="N417" s="549"/>
      <c r="V417" s="674"/>
      <c r="W417" s="675"/>
      <c r="AB417" s="675"/>
      <c r="AC417" s="680"/>
      <c r="AF417" s="675"/>
      <c r="AG417" s="537" t="s">
        <v>547</v>
      </c>
      <c r="AH417" s="675"/>
    </row>
    <row r="418" spans="1:34" s="536" customFormat="1" ht="12" x14ac:dyDescent="0.2">
      <c r="A418" s="548"/>
      <c r="B418" s="552"/>
      <c r="C418" s="1822" t="s">
        <v>443</v>
      </c>
      <c r="D418" s="1822"/>
      <c r="E418" s="1822"/>
      <c r="F418" s="1822"/>
      <c r="G418" s="1822"/>
      <c r="H418" s="1822"/>
      <c r="I418" s="1822"/>
      <c r="J418" s="1822"/>
      <c r="K418" s="1822"/>
      <c r="L418" s="551">
        <v>408.96</v>
      </c>
      <c r="M418" s="550"/>
      <c r="N418" s="549"/>
      <c r="V418" s="674"/>
      <c r="W418" s="675"/>
      <c r="AB418" s="675"/>
      <c r="AC418" s="680"/>
      <c r="AF418" s="675"/>
      <c r="AG418" s="537" t="s">
        <v>443</v>
      </c>
      <c r="AH418" s="675"/>
    </row>
    <row r="419" spans="1:34" s="536" customFormat="1" ht="12" x14ac:dyDescent="0.2">
      <c r="A419" s="548"/>
      <c r="B419" s="552"/>
      <c r="C419" s="1822" t="s">
        <v>444</v>
      </c>
      <c r="D419" s="1822"/>
      <c r="E419" s="1822"/>
      <c r="F419" s="1822"/>
      <c r="G419" s="1822"/>
      <c r="H419" s="1822"/>
      <c r="I419" s="1822"/>
      <c r="J419" s="1822"/>
      <c r="K419" s="1822"/>
      <c r="L419" s="551">
        <v>252.63</v>
      </c>
      <c r="M419" s="550"/>
      <c r="N419" s="549"/>
      <c r="V419" s="674"/>
      <c r="W419" s="675"/>
      <c r="AB419" s="675"/>
      <c r="AC419" s="680"/>
      <c r="AF419" s="675"/>
      <c r="AG419" s="537" t="s">
        <v>444</v>
      </c>
      <c r="AH419" s="675"/>
    </row>
    <row r="420" spans="1:34" s="536" customFormat="1" ht="12" x14ac:dyDescent="0.2">
      <c r="A420" s="548"/>
      <c r="B420" s="552"/>
      <c r="C420" s="1822" t="s">
        <v>753</v>
      </c>
      <c r="D420" s="1822"/>
      <c r="E420" s="1822"/>
      <c r="F420" s="1822"/>
      <c r="G420" s="1822"/>
      <c r="H420" s="1822"/>
      <c r="I420" s="1822"/>
      <c r="J420" s="1822"/>
      <c r="K420" s="1822"/>
      <c r="L420" s="551">
        <v>6386.09</v>
      </c>
      <c r="M420" s="550"/>
      <c r="N420" s="549"/>
      <c r="V420" s="674"/>
      <c r="W420" s="675"/>
      <c r="AB420" s="675"/>
      <c r="AC420" s="680"/>
      <c r="AF420" s="675"/>
      <c r="AG420" s="537" t="s">
        <v>753</v>
      </c>
      <c r="AH420" s="675"/>
    </row>
    <row r="421" spans="1:34" s="536" customFormat="1" ht="12" x14ac:dyDescent="0.2">
      <c r="A421" s="548"/>
      <c r="B421" s="552"/>
      <c r="C421" s="1822" t="s">
        <v>204</v>
      </c>
      <c r="D421" s="1822"/>
      <c r="E421" s="1822"/>
      <c r="F421" s="1822"/>
      <c r="G421" s="1822"/>
      <c r="H421" s="1822"/>
      <c r="I421" s="1822"/>
      <c r="J421" s="1822"/>
      <c r="K421" s="1822"/>
      <c r="L421" s="551"/>
      <c r="M421" s="550"/>
      <c r="N421" s="549"/>
      <c r="V421" s="674"/>
      <c r="W421" s="675"/>
      <c r="AB421" s="675"/>
      <c r="AC421" s="680"/>
      <c r="AF421" s="675"/>
      <c r="AG421" s="537" t="s">
        <v>204</v>
      </c>
      <c r="AH421" s="675"/>
    </row>
    <row r="422" spans="1:34" s="536" customFormat="1" ht="12" x14ac:dyDescent="0.2">
      <c r="A422" s="548"/>
      <c r="B422" s="552"/>
      <c r="C422" s="1822" t="s">
        <v>546</v>
      </c>
      <c r="D422" s="1822"/>
      <c r="E422" s="1822"/>
      <c r="F422" s="1822"/>
      <c r="G422" s="1822"/>
      <c r="H422" s="1822"/>
      <c r="I422" s="1822"/>
      <c r="J422" s="1822"/>
      <c r="K422" s="1822"/>
      <c r="L422" s="551">
        <v>1800.65</v>
      </c>
      <c r="M422" s="550"/>
      <c r="N422" s="549"/>
      <c r="V422" s="674"/>
      <c r="W422" s="675"/>
      <c r="AB422" s="675"/>
      <c r="AC422" s="680"/>
      <c r="AF422" s="675"/>
      <c r="AG422" s="537" t="s">
        <v>546</v>
      </c>
      <c r="AH422" s="675"/>
    </row>
    <row r="423" spans="1:34" s="536" customFormat="1" ht="12" x14ac:dyDescent="0.2">
      <c r="A423" s="548"/>
      <c r="B423" s="552"/>
      <c r="C423" s="1822" t="s">
        <v>442</v>
      </c>
      <c r="D423" s="1822"/>
      <c r="E423" s="1822"/>
      <c r="F423" s="1822"/>
      <c r="G423" s="1822"/>
      <c r="H423" s="1822"/>
      <c r="I423" s="1822"/>
      <c r="J423" s="1822"/>
      <c r="K423" s="1822"/>
      <c r="L423" s="551">
        <v>499.35</v>
      </c>
      <c r="M423" s="550"/>
      <c r="N423" s="549"/>
      <c r="V423" s="674"/>
      <c r="W423" s="675"/>
      <c r="AB423" s="675"/>
      <c r="AC423" s="680"/>
      <c r="AF423" s="675"/>
      <c r="AG423" s="537" t="s">
        <v>442</v>
      </c>
      <c r="AH423" s="675"/>
    </row>
    <row r="424" spans="1:34" s="536" customFormat="1" ht="12" x14ac:dyDescent="0.2">
      <c r="A424" s="548"/>
      <c r="B424" s="552"/>
      <c r="C424" s="1822" t="s">
        <v>547</v>
      </c>
      <c r="D424" s="1822"/>
      <c r="E424" s="1822"/>
      <c r="F424" s="1822"/>
      <c r="G424" s="1822"/>
      <c r="H424" s="1822"/>
      <c r="I424" s="1822"/>
      <c r="J424" s="1822"/>
      <c r="K424" s="1822"/>
      <c r="L424" s="551">
        <v>1491.43</v>
      </c>
      <c r="M424" s="550"/>
      <c r="N424" s="549"/>
      <c r="V424" s="674"/>
      <c r="W424" s="675"/>
      <c r="AB424" s="675"/>
      <c r="AC424" s="680"/>
      <c r="AF424" s="675"/>
      <c r="AG424" s="537" t="s">
        <v>547</v>
      </c>
      <c r="AH424" s="675"/>
    </row>
    <row r="425" spans="1:34" s="536" customFormat="1" ht="12" x14ac:dyDescent="0.2">
      <c r="A425" s="548"/>
      <c r="B425" s="552"/>
      <c r="C425" s="1822" t="s">
        <v>443</v>
      </c>
      <c r="D425" s="1822"/>
      <c r="E425" s="1822"/>
      <c r="F425" s="1822"/>
      <c r="G425" s="1822"/>
      <c r="H425" s="1822"/>
      <c r="I425" s="1822"/>
      <c r="J425" s="1822"/>
      <c r="K425" s="1822"/>
      <c r="L425" s="551">
        <v>1692.59</v>
      </c>
      <c r="M425" s="550"/>
      <c r="N425" s="549"/>
      <c r="V425" s="674"/>
      <c r="W425" s="675"/>
      <c r="AB425" s="675"/>
      <c r="AC425" s="680"/>
      <c r="AF425" s="675"/>
      <c r="AG425" s="537" t="s">
        <v>443</v>
      </c>
      <c r="AH425" s="675"/>
    </row>
    <row r="426" spans="1:34" s="536" customFormat="1" ht="12" x14ac:dyDescent="0.2">
      <c r="A426" s="548"/>
      <c r="B426" s="552"/>
      <c r="C426" s="1822" t="s">
        <v>444</v>
      </c>
      <c r="D426" s="1822"/>
      <c r="E426" s="1822"/>
      <c r="F426" s="1822"/>
      <c r="G426" s="1822"/>
      <c r="H426" s="1822"/>
      <c r="I426" s="1822"/>
      <c r="J426" s="1822"/>
      <c r="K426" s="1822"/>
      <c r="L426" s="551">
        <v>902.07</v>
      </c>
      <c r="M426" s="550"/>
      <c r="N426" s="549"/>
      <c r="V426" s="674"/>
      <c r="W426" s="675"/>
      <c r="AB426" s="675"/>
      <c r="AC426" s="680"/>
      <c r="AF426" s="675"/>
      <c r="AG426" s="537" t="s">
        <v>444</v>
      </c>
      <c r="AH426" s="675"/>
    </row>
    <row r="427" spans="1:34" s="536" customFormat="1" ht="12" x14ac:dyDescent="0.2">
      <c r="A427" s="548"/>
      <c r="B427" s="552"/>
      <c r="C427" s="1822" t="s">
        <v>754</v>
      </c>
      <c r="D427" s="1822"/>
      <c r="E427" s="1822"/>
      <c r="F427" s="1822"/>
      <c r="G427" s="1822"/>
      <c r="H427" s="1822"/>
      <c r="I427" s="1822"/>
      <c r="J427" s="1822"/>
      <c r="K427" s="1822"/>
      <c r="L427" s="551">
        <v>743428.76</v>
      </c>
      <c r="M427" s="550"/>
      <c r="N427" s="549"/>
      <c r="V427" s="674"/>
      <c r="W427" s="675"/>
      <c r="AB427" s="675"/>
      <c r="AC427" s="680"/>
      <c r="AF427" s="675"/>
      <c r="AG427" s="537" t="s">
        <v>754</v>
      </c>
      <c r="AH427" s="675"/>
    </row>
    <row r="428" spans="1:34" s="536" customFormat="1" ht="12" x14ac:dyDescent="0.2">
      <c r="A428" s="548"/>
      <c r="B428" s="552"/>
      <c r="C428" s="1822" t="s">
        <v>415</v>
      </c>
      <c r="D428" s="1822"/>
      <c r="E428" s="1822"/>
      <c r="F428" s="1822"/>
      <c r="G428" s="1822"/>
      <c r="H428" s="1822"/>
      <c r="I428" s="1822"/>
      <c r="J428" s="1822"/>
      <c r="K428" s="1822"/>
      <c r="L428" s="551">
        <v>2267.1799999999998</v>
      </c>
      <c r="M428" s="550"/>
      <c r="N428" s="549"/>
      <c r="V428" s="674"/>
      <c r="W428" s="675"/>
      <c r="AB428" s="675"/>
      <c r="AC428" s="680"/>
      <c r="AF428" s="675"/>
      <c r="AG428" s="537" t="s">
        <v>415</v>
      </c>
      <c r="AH428" s="675"/>
    </row>
    <row r="429" spans="1:34" s="536" customFormat="1" ht="12" x14ac:dyDescent="0.2">
      <c r="A429" s="548"/>
      <c r="B429" s="552"/>
      <c r="C429" s="1822" t="s">
        <v>416</v>
      </c>
      <c r="D429" s="1822"/>
      <c r="E429" s="1822"/>
      <c r="F429" s="1822"/>
      <c r="G429" s="1822"/>
      <c r="H429" s="1822"/>
      <c r="I429" s="1822"/>
      <c r="J429" s="1822"/>
      <c r="K429" s="1822"/>
      <c r="L429" s="551">
        <v>2101.5500000000002</v>
      </c>
      <c r="M429" s="550"/>
      <c r="N429" s="549"/>
      <c r="V429" s="674"/>
      <c r="W429" s="675"/>
      <c r="AB429" s="675"/>
      <c r="AC429" s="680"/>
      <c r="AF429" s="675"/>
      <c r="AG429" s="537" t="s">
        <v>416</v>
      </c>
      <c r="AH429" s="675"/>
    </row>
    <row r="430" spans="1:34" s="536" customFormat="1" ht="12" x14ac:dyDescent="0.2">
      <c r="A430" s="548"/>
      <c r="B430" s="552"/>
      <c r="C430" s="1822" t="s">
        <v>417</v>
      </c>
      <c r="D430" s="1822"/>
      <c r="E430" s="1822"/>
      <c r="F430" s="1822"/>
      <c r="G430" s="1822"/>
      <c r="H430" s="1822"/>
      <c r="I430" s="1822"/>
      <c r="J430" s="1822"/>
      <c r="K430" s="1822"/>
      <c r="L430" s="551">
        <v>1154.7</v>
      </c>
      <c r="M430" s="550"/>
      <c r="N430" s="549"/>
      <c r="V430" s="674"/>
      <c r="W430" s="675"/>
      <c r="AB430" s="675"/>
      <c r="AC430" s="680"/>
      <c r="AF430" s="675"/>
      <c r="AG430" s="537" t="s">
        <v>417</v>
      </c>
      <c r="AH430" s="675"/>
    </row>
    <row r="431" spans="1:34" s="536" customFormat="1" ht="12" x14ac:dyDescent="0.2">
      <c r="A431" s="548"/>
      <c r="B431" s="546"/>
      <c r="C431" s="1819" t="s">
        <v>780</v>
      </c>
      <c r="D431" s="1819"/>
      <c r="E431" s="1819"/>
      <c r="F431" s="1819"/>
      <c r="G431" s="1819"/>
      <c r="H431" s="1819"/>
      <c r="I431" s="1819"/>
      <c r="J431" s="1819"/>
      <c r="K431" s="1819"/>
      <c r="L431" s="544">
        <v>758461.71</v>
      </c>
      <c r="M431" s="543"/>
      <c r="N431" s="681"/>
      <c r="V431" s="674"/>
      <c r="W431" s="675"/>
      <c r="AB431" s="675"/>
      <c r="AC431" s="680"/>
      <c r="AF431" s="675"/>
      <c r="AH431" s="675" t="s">
        <v>780</v>
      </c>
    </row>
    <row r="432" spans="1:34" s="536" customFormat="1" ht="12" x14ac:dyDescent="0.2">
      <c r="A432" s="548"/>
      <c r="B432" s="552"/>
      <c r="C432" s="1822" t="s">
        <v>204</v>
      </c>
      <c r="D432" s="1822"/>
      <c r="E432" s="1822"/>
      <c r="F432" s="1822"/>
      <c r="G432" s="1822"/>
      <c r="H432" s="1822"/>
      <c r="I432" s="1822"/>
      <c r="J432" s="1822"/>
      <c r="K432" s="1822"/>
      <c r="L432" s="551"/>
      <c r="M432" s="550"/>
      <c r="N432" s="549"/>
      <c r="V432" s="674"/>
      <c r="W432" s="675"/>
      <c r="AB432" s="675"/>
      <c r="AC432" s="680"/>
      <c r="AF432" s="675"/>
      <c r="AG432" s="537" t="s">
        <v>204</v>
      </c>
      <c r="AH432" s="675"/>
    </row>
    <row r="433" spans="1:34" s="536" customFormat="1" ht="12" x14ac:dyDescent="0.2">
      <c r="A433" s="548"/>
      <c r="B433" s="552"/>
      <c r="C433" s="1822" t="s">
        <v>8095</v>
      </c>
      <c r="D433" s="1822"/>
      <c r="E433" s="1822"/>
      <c r="F433" s="1822"/>
      <c r="G433" s="1822"/>
      <c r="H433" s="1822"/>
      <c r="I433" s="1822"/>
      <c r="J433" s="1822"/>
      <c r="K433" s="1822"/>
      <c r="L433" s="551">
        <v>6021.27</v>
      </c>
      <c r="M433" s="550"/>
      <c r="N433" s="549"/>
      <c r="V433" s="674"/>
      <c r="W433" s="675"/>
      <c r="AB433" s="675"/>
      <c r="AC433" s="680"/>
      <c r="AF433" s="675"/>
      <c r="AG433" s="537" t="s">
        <v>8095</v>
      </c>
      <c r="AH433" s="675"/>
    </row>
    <row r="434" spans="1:34" s="536" customFormat="1" ht="12" x14ac:dyDescent="0.2">
      <c r="A434" s="548"/>
      <c r="B434" s="552"/>
      <c r="C434" s="1822" t="s">
        <v>8097</v>
      </c>
      <c r="D434" s="1822"/>
      <c r="E434" s="1822"/>
      <c r="F434" s="1822"/>
      <c r="G434" s="1822"/>
      <c r="H434" s="1822"/>
      <c r="I434" s="1822"/>
      <c r="J434" s="1822"/>
      <c r="K434" s="1822"/>
      <c r="L434" s="551">
        <v>743428.76</v>
      </c>
      <c r="M434" s="550"/>
      <c r="N434" s="549"/>
      <c r="V434" s="674"/>
      <c r="W434" s="675"/>
      <c r="AB434" s="675"/>
      <c r="AC434" s="680"/>
      <c r="AF434" s="675"/>
      <c r="AG434" s="537" t="s">
        <v>8097</v>
      </c>
      <c r="AH434" s="675"/>
    </row>
    <row r="435" spans="1:34" s="536" customFormat="1" ht="12" x14ac:dyDescent="0.2">
      <c r="A435" s="1824" t="s">
        <v>781</v>
      </c>
      <c r="B435" s="1825"/>
      <c r="C435" s="1825"/>
      <c r="D435" s="1825"/>
      <c r="E435" s="1825"/>
      <c r="F435" s="1825"/>
      <c r="G435" s="1825"/>
      <c r="H435" s="1825"/>
      <c r="I435" s="1825"/>
      <c r="J435" s="1825"/>
      <c r="K435" s="1825"/>
      <c r="L435" s="1825"/>
      <c r="M435" s="1825"/>
      <c r="N435" s="1826"/>
      <c r="V435" s="674" t="s">
        <v>781</v>
      </c>
      <c r="W435" s="675"/>
      <c r="AB435" s="675"/>
      <c r="AC435" s="680"/>
      <c r="AF435" s="675"/>
      <c r="AH435" s="675"/>
    </row>
    <row r="436" spans="1:34" s="536" customFormat="1" ht="33.75" x14ac:dyDescent="0.2">
      <c r="A436" s="575" t="s">
        <v>782</v>
      </c>
      <c r="B436" s="684" t="s">
        <v>9199</v>
      </c>
      <c r="C436" s="1823" t="s">
        <v>9198</v>
      </c>
      <c r="D436" s="1823"/>
      <c r="E436" s="1823"/>
      <c r="F436" s="573" t="s">
        <v>617</v>
      </c>
      <c r="G436" s="573"/>
      <c r="H436" s="573"/>
      <c r="I436" s="573" t="s">
        <v>186</v>
      </c>
      <c r="J436" s="572"/>
      <c r="K436" s="573"/>
      <c r="L436" s="572"/>
      <c r="M436" s="571"/>
      <c r="N436" s="570"/>
      <c r="V436" s="674"/>
      <c r="W436" s="675" t="s">
        <v>9198</v>
      </c>
      <c r="AB436" s="675"/>
      <c r="AC436" s="680"/>
      <c r="AF436" s="675"/>
      <c r="AH436" s="675"/>
    </row>
    <row r="437" spans="1:34" s="536" customFormat="1" ht="22.5" x14ac:dyDescent="0.2">
      <c r="A437" s="609"/>
      <c r="B437" s="552" t="s">
        <v>499</v>
      </c>
      <c r="C437" s="1822" t="s">
        <v>500</v>
      </c>
      <c r="D437" s="1822"/>
      <c r="E437" s="1822"/>
      <c r="F437" s="1822"/>
      <c r="G437" s="1822"/>
      <c r="H437" s="1822"/>
      <c r="I437" s="1822"/>
      <c r="J437" s="1822"/>
      <c r="K437" s="1822"/>
      <c r="L437" s="1822"/>
      <c r="M437" s="1822"/>
      <c r="N437" s="1827"/>
      <c r="V437" s="674"/>
      <c r="W437" s="675"/>
      <c r="X437" s="537" t="s">
        <v>500</v>
      </c>
      <c r="AB437" s="675"/>
      <c r="AC437" s="680"/>
      <c r="AF437" s="675"/>
      <c r="AH437" s="675"/>
    </row>
    <row r="438" spans="1:34" s="536" customFormat="1" ht="12" x14ac:dyDescent="0.2">
      <c r="A438" s="605"/>
      <c r="B438" s="552" t="s">
        <v>185</v>
      </c>
      <c r="C438" s="1822" t="s">
        <v>312</v>
      </c>
      <c r="D438" s="1822"/>
      <c r="E438" s="1822"/>
      <c r="F438" s="562"/>
      <c r="G438" s="562"/>
      <c r="H438" s="562"/>
      <c r="I438" s="562"/>
      <c r="J438" s="604">
        <v>236.88</v>
      </c>
      <c r="K438" s="562" t="s">
        <v>313</v>
      </c>
      <c r="L438" s="604">
        <v>592.20000000000005</v>
      </c>
      <c r="M438" s="603"/>
      <c r="N438" s="602"/>
      <c r="V438" s="674"/>
      <c r="W438" s="675"/>
      <c r="Y438" s="537" t="s">
        <v>312</v>
      </c>
      <c r="AB438" s="675"/>
      <c r="AC438" s="680"/>
      <c r="AF438" s="675"/>
      <c r="AH438" s="675"/>
    </row>
    <row r="439" spans="1:34" s="536" customFormat="1" ht="12" x14ac:dyDescent="0.2">
      <c r="A439" s="605"/>
      <c r="B439" s="552" t="s">
        <v>186</v>
      </c>
      <c r="C439" s="1822" t="s">
        <v>344</v>
      </c>
      <c r="D439" s="1822"/>
      <c r="E439" s="1822"/>
      <c r="F439" s="562"/>
      <c r="G439" s="562"/>
      <c r="H439" s="562"/>
      <c r="I439" s="562"/>
      <c r="J439" s="604">
        <v>66.58</v>
      </c>
      <c r="K439" s="562" t="s">
        <v>313</v>
      </c>
      <c r="L439" s="604">
        <v>166.45</v>
      </c>
      <c r="M439" s="603"/>
      <c r="N439" s="602"/>
      <c r="V439" s="674"/>
      <c r="W439" s="675"/>
      <c r="Y439" s="537" t="s">
        <v>344</v>
      </c>
      <c r="AB439" s="675"/>
      <c r="AC439" s="680"/>
      <c r="AF439" s="675"/>
      <c r="AH439" s="675"/>
    </row>
    <row r="440" spans="1:34" s="536" customFormat="1" ht="12" x14ac:dyDescent="0.2">
      <c r="A440" s="605"/>
      <c r="B440" s="552" t="s">
        <v>187</v>
      </c>
      <c r="C440" s="1822" t="s">
        <v>345</v>
      </c>
      <c r="D440" s="1822"/>
      <c r="E440" s="1822"/>
      <c r="F440" s="562"/>
      <c r="G440" s="562"/>
      <c r="H440" s="562"/>
      <c r="I440" s="562"/>
      <c r="J440" s="604">
        <v>5.1100000000000003</v>
      </c>
      <c r="K440" s="562" t="s">
        <v>313</v>
      </c>
      <c r="L440" s="604">
        <v>12.78</v>
      </c>
      <c r="M440" s="603"/>
      <c r="N440" s="602"/>
      <c r="V440" s="674"/>
      <c r="W440" s="675"/>
      <c r="Y440" s="537" t="s">
        <v>345</v>
      </c>
      <c r="AB440" s="675"/>
      <c r="AC440" s="680"/>
      <c r="AF440" s="675"/>
      <c r="AH440" s="675"/>
    </row>
    <row r="441" spans="1:34" s="536" customFormat="1" ht="12" x14ac:dyDescent="0.2">
      <c r="A441" s="605"/>
      <c r="B441" s="552" t="s">
        <v>188</v>
      </c>
      <c r="C441" s="1822" t="s">
        <v>475</v>
      </c>
      <c r="D441" s="1822"/>
      <c r="E441" s="1822"/>
      <c r="F441" s="562"/>
      <c r="G441" s="562"/>
      <c r="H441" s="562"/>
      <c r="I441" s="562"/>
      <c r="J441" s="604">
        <v>248.17</v>
      </c>
      <c r="K441" s="562"/>
      <c r="L441" s="604">
        <v>496.34</v>
      </c>
      <c r="M441" s="603"/>
      <c r="N441" s="602"/>
      <c r="V441" s="674"/>
      <c r="W441" s="675"/>
      <c r="Y441" s="537" t="s">
        <v>475</v>
      </c>
      <c r="AB441" s="675"/>
      <c r="AC441" s="680"/>
      <c r="AF441" s="675"/>
      <c r="AH441" s="675"/>
    </row>
    <row r="442" spans="1:34" s="536" customFormat="1" ht="12" x14ac:dyDescent="0.2">
      <c r="A442" s="605"/>
      <c r="B442" s="552"/>
      <c r="C442" s="1822" t="s">
        <v>314</v>
      </c>
      <c r="D442" s="1822"/>
      <c r="E442" s="1822"/>
      <c r="F442" s="562" t="s">
        <v>315</v>
      </c>
      <c r="G442" s="562" t="s">
        <v>9197</v>
      </c>
      <c r="H442" s="562" t="s">
        <v>313</v>
      </c>
      <c r="I442" s="562" t="s">
        <v>794</v>
      </c>
      <c r="J442" s="604"/>
      <c r="K442" s="562"/>
      <c r="L442" s="604"/>
      <c r="M442" s="603"/>
      <c r="N442" s="602"/>
      <c r="V442" s="674"/>
      <c r="W442" s="675"/>
      <c r="Z442" s="537" t="s">
        <v>314</v>
      </c>
      <c r="AB442" s="675"/>
      <c r="AC442" s="680"/>
      <c r="AF442" s="675"/>
      <c r="AH442" s="675"/>
    </row>
    <row r="443" spans="1:34" s="536" customFormat="1" ht="12" x14ac:dyDescent="0.2">
      <c r="A443" s="605"/>
      <c r="B443" s="552"/>
      <c r="C443" s="1822" t="s">
        <v>348</v>
      </c>
      <c r="D443" s="1822"/>
      <c r="E443" s="1822"/>
      <c r="F443" s="562" t="s">
        <v>315</v>
      </c>
      <c r="G443" s="562" t="s">
        <v>4123</v>
      </c>
      <c r="H443" s="562" t="s">
        <v>313</v>
      </c>
      <c r="I443" s="562" t="s">
        <v>9196</v>
      </c>
      <c r="J443" s="604"/>
      <c r="K443" s="562"/>
      <c r="L443" s="604"/>
      <c r="M443" s="603"/>
      <c r="N443" s="602"/>
      <c r="V443" s="674"/>
      <c r="W443" s="675"/>
      <c r="Z443" s="537" t="s">
        <v>348</v>
      </c>
      <c r="AB443" s="675"/>
      <c r="AC443" s="680"/>
      <c r="AF443" s="675"/>
      <c r="AH443" s="675"/>
    </row>
    <row r="444" spans="1:34" s="536" customFormat="1" ht="12" x14ac:dyDescent="0.2">
      <c r="A444" s="605"/>
      <c r="B444" s="552"/>
      <c r="C444" s="1828" t="s">
        <v>318</v>
      </c>
      <c r="D444" s="1828"/>
      <c r="E444" s="1828"/>
      <c r="F444" s="608"/>
      <c r="G444" s="608"/>
      <c r="H444" s="608"/>
      <c r="I444" s="608"/>
      <c r="J444" s="607">
        <v>551.63</v>
      </c>
      <c r="K444" s="608"/>
      <c r="L444" s="607">
        <v>1254.99</v>
      </c>
      <c r="M444" s="601"/>
      <c r="N444" s="606"/>
      <c r="V444" s="674"/>
      <c r="W444" s="675"/>
      <c r="AA444" s="537" t="s">
        <v>318</v>
      </c>
      <c r="AB444" s="675"/>
      <c r="AC444" s="680"/>
      <c r="AF444" s="675"/>
      <c r="AH444" s="675"/>
    </row>
    <row r="445" spans="1:34" s="536" customFormat="1" ht="12" x14ac:dyDescent="0.2">
      <c r="A445" s="605"/>
      <c r="B445" s="552"/>
      <c r="C445" s="1822" t="s">
        <v>319</v>
      </c>
      <c r="D445" s="1822"/>
      <c r="E445" s="1822"/>
      <c r="F445" s="562"/>
      <c r="G445" s="562"/>
      <c r="H445" s="562"/>
      <c r="I445" s="562"/>
      <c r="J445" s="604"/>
      <c r="K445" s="562"/>
      <c r="L445" s="604">
        <v>604.98</v>
      </c>
      <c r="M445" s="603"/>
      <c r="N445" s="602"/>
      <c r="V445" s="674"/>
      <c r="W445" s="675"/>
      <c r="Z445" s="537" t="s">
        <v>319</v>
      </c>
      <c r="AB445" s="675"/>
      <c r="AC445" s="680"/>
      <c r="AF445" s="675"/>
      <c r="AH445" s="675"/>
    </row>
    <row r="446" spans="1:34" s="536" customFormat="1" ht="33.75" x14ac:dyDescent="0.2">
      <c r="A446" s="605"/>
      <c r="B446" s="552" t="s">
        <v>2050</v>
      </c>
      <c r="C446" s="1822" t="s">
        <v>2051</v>
      </c>
      <c r="D446" s="1822"/>
      <c r="E446" s="1822"/>
      <c r="F446" s="562" t="s">
        <v>322</v>
      </c>
      <c r="G446" s="562" t="s">
        <v>462</v>
      </c>
      <c r="H446" s="562"/>
      <c r="I446" s="562" t="s">
        <v>462</v>
      </c>
      <c r="J446" s="604"/>
      <c r="K446" s="562"/>
      <c r="L446" s="604">
        <v>556.58000000000004</v>
      </c>
      <c r="M446" s="603"/>
      <c r="N446" s="602"/>
      <c r="V446" s="674"/>
      <c r="W446" s="675"/>
      <c r="Z446" s="537" t="s">
        <v>2051</v>
      </c>
      <c r="AB446" s="675"/>
      <c r="AC446" s="680"/>
      <c r="AF446" s="675"/>
      <c r="AH446" s="675"/>
    </row>
    <row r="447" spans="1:34" s="536" customFormat="1" ht="33.75" x14ac:dyDescent="0.2">
      <c r="A447" s="605"/>
      <c r="B447" s="552" t="s">
        <v>2052</v>
      </c>
      <c r="C447" s="1822" t="s">
        <v>2053</v>
      </c>
      <c r="D447" s="1822"/>
      <c r="E447" s="1822"/>
      <c r="F447" s="562" t="s">
        <v>322</v>
      </c>
      <c r="G447" s="562" t="s">
        <v>784</v>
      </c>
      <c r="H447" s="562"/>
      <c r="I447" s="562" t="s">
        <v>784</v>
      </c>
      <c r="J447" s="604"/>
      <c r="K447" s="562"/>
      <c r="L447" s="604">
        <v>296.44</v>
      </c>
      <c r="M447" s="603"/>
      <c r="N447" s="602"/>
      <c r="V447" s="674"/>
      <c r="W447" s="675"/>
      <c r="Z447" s="537" t="s">
        <v>2053</v>
      </c>
      <c r="AB447" s="675"/>
      <c r="AC447" s="680"/>
      <c r="AF447" s="675"/>
      <c r="AH447" s="675"/>
    </row>
    <row r="448" spans="1:34" s="536" customFormat="1" ht="12" x14ac:dyDescent="0.2">
      <c r="A448" s="569"/>
      <c r="B448" s="683"/>
      <c r="C448" s="1823" t="s">
        <v>327</v>
      </c>
      <c r="D448" s="1823"/>
      <c r="E448" s="1823"/>
      <c r="F448" s="573"/>
      <c r="G448" s="573"/>
      <c r="H448" s="573"/>
      <c r="I448" s="573"/>
      <c r="J448" s="572"/>
      <c r="K448" s="573"/>
      <c r="L448" s="572">
        <v>2108.0100000000002</v>
      </c>
      <c r="M448" s="601"/>
      <c r="N448" s="570"/>
      <c r="V448" s="674"/>
      <c r="W448" s="675"/>
      <c r="AB448" s="675" t="s">
        <v>327</v>
      </c>
      <c r="AC448" s="680"/>
      <c r="AF448" s="675"/>
      <c r="AH448" s="675"/>
    </row>
    <row r="449" spans="1:34" s="536" customFormat="1" ht="33.75" x14ac:dyDescent="0.2">
      <c r="A449" s="575" t="s">
        <v>783</v>
      </c>
      <c r="B449" s="684" t="s">
        <v>626</v>
      </c>
      <c r="C449" s="1823" t="s">
        <v>627</v>
      </c>
      <c r="D449" s="1823"/>
      <c r="E449" s="1823"/>
      <c r="F449" s="573" t="s">
        <v>628</v>
      </c>
      <c r="G449" s="573"/>
      <c r="H449" s="573"/>
      <c r="I449" s="573" t="s">
        <v>186</v>
      </c>
      <c r="J449" s="572">
        <v>276532.5</v>
      </c>
      <c r="K449" s="573" t="s">
        <v>629</v>
      </c>
      <c r="L449" s="572">
        <v>121939.43</v>
      </c>
      <c r="M449" s="571">
        <v>4.59</v>
      </c>
      <c r="N449" s="570">
        <v>559702</v>
      </c>
      <c r="V449" s="674"/>
      <c r="W449" s="675" t="s">
        <v>627</v>
      </c>
      <c r="AB449" s="675"/>
      <c r="AC449" s="680"/>
      <c r="AF449" s="675"/>
      <c r="AH449" s="675"/>
    </row>
    <row r="450" spans="1:34" s="536" customFormat="1" ht="12" x14ac:dyDescent="0.2">
      <c r="A450" s="569"/>
      <c r="B450" s="683"/>
      <c r="C450" s="689" t="s">
        <v>630</v>
      </c>
      <c r="D450" s="690"/>
      <c r="E450" s="690"/>
      <c r="F450" s="563"/>
      <c r="G450" s="563"/>
      <c r="H450" s="563"/>
      <c r="I450" s="563"/>
      <c r="J450" s="566"/>
      <c r="K450" s="563"/>
      <c r="L450" s="566"/>
      <c r="M450" s="565"/>
      <c r="N450" s="564"/>
      <c r="V450" s="674"/>
      <c r="W450" s="675"/>
      <c r="AB450" s="675"/>
      <c r="AC450" s="680"/>
      <c r="AF450" s="675"/>
      <c r="AH450" s="675"/>
    </row>
    <row r="451" spans="1:34" s="536" customFormat="1" ht="22.5" x14ac:dyDescent="0.2">
      <c r="A451" s="609"/>
      <c r="B451" s="552" t="s">
        <v>631</v>
      </c>
      <c r="C451" s="1822" t="s">
        <v>632</v>
      </c>
      <c r="D451" s="1822"/>
      <c r="E451" s="1822"/>
      <c r="F451" s="1822"/>
      <c r="G451" s="1822"/>
      <c r="H451" s="1822"/>
      <c r="I451" s="1822"/>
      <c r="J451" s="1822"/>
      <c r="K451" s="1822"/>
      <c r="L451" s="1822"/>
      <c r="M451" s="1822"/>
      <c r="N451" s="1827"/>
      <c r="V451" s="674"/>
      <c r="W451" s="675"/>
      <c r="X451" s="537" t="s">
        <v>632</v>
      </c>
      <c r="AB451" s="675"/>
      <c r="AC451" s="680"/>
      <c r="AF451" s="675"/>
      <c r="AH451" s="675"/>
    </row>
    <row r="452" spans="1:34" s="536" customFormat="1" ht="33.75" x14ac:dyDescent="0.2">
      <c r="A452" s="575" t="s">
        <v>784</v>
      </c>
      <c r="B452" s="684" t="s">
        <v>9199</v>
      </c>
      <c r="C452" s="1823" t="s">
        <v>9198</v>
      </c>
      <c r="D452" s="1823"/>
      <c r="E452" s="1823"/>
      <c r="F452" s="573" t="s">
        <v>617</v>
      </c>
      <c r="G452" s="573"/>
      <c r="H452" s="573"/>
      <c r="I452" s="573" t="s">
        <v>186</v>
      </c>
      <c r="J452" s="572"/>
      <c r="K452" s="573"/>
      <c r="L452" s="572"/>
      <c r="M452" s="571"/>
      <c r="N452" s="570"/>
      <c r="V452" s="674"/>
      <c r="W452" s="675" t="s">
        <v>9198</v>
      </c>
      <c r="AB452" s="675"/>
      <c r="AC452" s="680"/>
      <c r="AF452" s="675"/>
      <c r="AH452" s="675"/>
    </row>
    <row r="453" spans="1:34" s="536" customFormat="1" ht="22.5" x14ac:dyDescent="0.2">
      <c r="A453" s="609"/>
      <c r="B453" s="552" t="s">
        <v>499</v>
      </c>
      <c r="C453" s="1822" t="s">
        <v>500</v>
      </c>
      <c r="D453" s="1822"/>
      <c r="E453" s="1822"/>
      <c r="F453" s="1822"/>
      <c r="G453" s="1822"/>
      <c r="H453" s="1822"/>
      <c r="I453" s="1822"/>
      <c r="J453" s="1822"/>
      <c r="K453" s="1822"/>
      <c r="L453" s="1822"/>
      <c r="M453" s="1822"/>
      <c r="N453" s="1827"/>
      <c r="V453" s="674"/>
      <c r="W453" s="675"/>
      <c r="X453" s="537" t="s">
        <v>500</v>
      </c>
      <c r="AB453" s="675"/>
      <c r="AC453" s="680"/>
      <c r="AF453" s="675"/>
      <c r="AH453" s="675"/>
    </row>
    <row r="454" spans="1:34" s="536" customFormat="1" ht="12" x14ac:dyDescent="0.2">
      <c r="A454" s="605"/>
      <c r="B454" s="552" t="s">
        <v>185</v>
      </c>
      <c r="C454" s="1822" t="s">
        <v>312</v>
      </c>
      <c r="D454" s="1822"/>
      <c r="E454" s="1822"/>
      <c r="F454" s="562"/>
      <c r="G454" s="562"/>
      <c r="H454" s="562"/>
      <c r="I454" s="562"/>
      <c r="J454" s="604">
        <v>236.88</v>
      </c>
      <c r="K454" s="562" t="s">
        <v>313</v>
      </c>
      <c r="L454" s="604">
        <v>592.20000000000005</v>
      </c>
      <c r="M454" s="603"/>
      <c r="N454" s="602"/>
      <c r="V454" s="674"/>
      <c r="W454" s="675"/>
      <c r="Y454" s="537" t="s">
        <v>312</v>
      </c>
      <c r="AB454" s="675"/>
      <c r="AC454" s="680"/>
      <c r="AF454" s="675"/>
      <c r="AH454" s="675"/>
    </row>
    <row r="455" spans="1:34" s="536" customFormat="1" ht="12" x14ac:dyDescent="0.2">
      <c r="A455" s="605"/>
      <c r="B455" s="552" t="s">
        <v>186</v>
      </c>
      <c r="C455" s="1822" t="s">
        <v>344</v>
      </c>
      <c r="D455" s="1822"/>
      <c r="E455" s="1822"/>
      <c r="F455" s="562"/>
      <c r="G455" s="562"/>
      <c r="H455" s="562"/>
      <c r="I455" s="562"/>
      <c r="J455" s="604">
        <v>66.58</v>
      </c>
      <c r="K455" s="562" t="s">
        <v>313</v>
      </c>
      <c r="L455" s="604">
        <v>166.45</v>
      </c>
      <c r="M455" s="603"/>
      <c r="N455" s="602"/>
      <c r="V455" s="674"/>
      <c r="W455" s="675"/>
      <c r="Y455" s="537" t="s">
        <v>344</v>
      </c>
      <c r="AB455" s="675"/>
      <c r="AC455" s="680"/>
      <c r="AF455" s="675"/>
      <c r="AH455" s="675"/>
    </row>
    <row r="456" spans="1:34" s="536" customFormat="1" ht="12" x14ac:dyDescent="0.2">
      <c r="A456" s="605"/>
      <c r="B456" s="552" t="s">
        <v>187</v>
      </c>
      <c r="C456" s="1822" t="s">
        <v>345</v>
      </c>
      <c r="D456" s="1822"/>
      <c r="E456" s="1822"/>
      <c r="F456" s="562"/>
      <c r="G456" s="562"/>
      <c r="H456" s="562"/>
      <c r="I456" s="562"/>
      <c r="J456" s="604">
        <v>5.1100000000000003</v>
      </c>
      <c r="K456" s="562" t="s">
        <v>313</v>
      </c>
      <c r="L456" s="604">
        <v>12.78</v>
      </c>
      <c r="M456" s="603"/>
      <c r="N456" s="602"/>
      <c r="V456" s="674"/>
      <c r="W456" s="675"/>
      <c r="Y456" s="537" t="s">
        <v>345</v>
      </c>
      <c r="AB456" s="675"/>
      <c r="AC456" s="680"/>
      <c r="AF456" s="675"/>
      <c r="AH456" s="675"/>
    </row>
    <row r="457" spans="1:34" s="536" customFormat="1" ht="12" x14ac:dyDescent="0.2">
      <c r="A457" s="605"/>
      <c r="B457" s="552" t="s">
        <v>188</v>
      </c>
      <c r="C457" s="1822" t="s">
        <v>475</v>
      </c>
      <c r="D457" s="1822"/>
      <c r="E457" s="1822"/>
      <c r="F457" s="562"/>
      <c r="G457" s="562"/>
      <c r="H457" s="562"/>
      <c r="I457" s="562"/>
      <c r="J457" s="604">
        <v>248.17</v>
      </c>
      <c r="K457" s="562"/>
      <c r="L457" s="604">
        <v>496.34</v>
      </c>
      <c r="M457" s="603"/>
      <c r="N457" s="602"/>
      <c r="V457" s="674"/>
      <c r="W457" s="675"/>
      <c r="Y457" s="537" t="s">
        <v>475</v>
      </c>
      <c r="AB457" s="675"/>
      <c r="AC457" s="680"/>
      <c r="AF457" s="675"/>
      <c r="AH457" s="675"/>
    </row>
    <row r="458" spans="1:34" s="536" customFormat="1" ht="12" x14ac:dyDescent="0.2">
      <c r="A458" s="605"/>
      <c r="B458" s="552"/>
      <c r="C458" s="1822" t="s">
        <v>314</v>
      </c>
      <c r="D458" s="1822"/>
      <c r="E458" s="1822"/>
      <c r="F458" s="562" t="s">
        <v>315</v>
      </c>
      <c r="G458" s="562" t="s">
        <v>9197</v>
      </c>
      <c r="H458" s="562" t="s">
        <v>313</v>
      </c>
      <c r="I458" s="562" t="s">
        <v>794</v>
      </c>
      <c r="J458" s="604"/>
      <c r="K458" s="562"/>
      <c r="L458" s="604"/>
      <c r="M458" s="603"/>
      <c r="N458" s="602"/>
      <c r="V458" s="674"/>
      <c r="W458" s="675"/>
      <c r="Z458" s="537" t="s">
        <v>314</v>
      </c>
      <c r="AB458" s="675"/>
      <c r="AC458" s="680"/>
      <c r="AF458" s="675"/>
      <c r="AH458" s="675"/>
    </row>
    <row r="459" spans="1:34" s="536" customFormat="1" ht="12" x14ac:dyDescent="0.2">
      <c r="A459" s="605"/>
      <c r="B459" s="552"/>
      <c r="C459" s="1822" t="s">
        <v>348</v>
      </c>
      <c r="D459" s="1822"/>
      <c r="E459" s="1822"/>
      <c r="F459" s="562" t="s">
        <v>315</v>
      </c>
      <c r="G459" s="562" t="s">
        <v>4123</v>
      </c>
      <c r="H459" s="562" t="s">
        <v>313</v>
      </c>
      <c r="I459" s="562" t="s">
        <v>9196</v>
      </c>
      <c r="J459" s="604"/>
      <c r="K459" s="562"/>
      <c r="L459" s="604"/>
      <c r="M459" s="603"/>
      <c r="N459" s="602"/>
      <c r="V459" s="674"/>
      <c r="W459" s="675"/>
      <c r="Z459" s="537" t="s">
        <v>348</v>
      </c>
      <c r="AB459" s="675"/>
      <c r="AC459" s="680"/>
      <c r="AF459" s="675"/>
      <c r="AH459" s="675"/>
    </row>
    <row r="460" spans="1:34" s="536" customFormat="1" ht="12" x14ac:dyDescent="0.2">
      <c r="A460" s="605"/>
      <c r="B460" s="552"/>
      <c r="C460" s="1828" t="s">
        <v>318</v>
      </c>
      <c r="D460" s="1828"/>
      <c r="E460" s="1828"/>
      <c r="F460" s="608"/>
      <c r="G460" s="608"/>
      <c r="H460" s="608"/>
      <c r="I460" s="608"/>
      <c r="J460" s="607">
        <v>551.63</v>
      </c>
      <c r="K460" s="608"/>
      <c r="L460" s="607">
        <v>1254.99</v>
      </c>
      <c r="M460" s="601"/>
      <c r="N460" s="606"/>
      <c r="V460" s="674"/>
      <c r="W460" s="675"/>
      <c r="AA460" s="537" t="s">
        <v>318</v>
      </c>
      <c r="AB460" s="675"/>
      <c r="AC460" s="680"/>
      <c r="AF460" s="675"/>
      <c r="AH460" s="675"/>
    </row>
    <row r="461" spans="1:34" s="536" customFormat="1" ht="12" x14ac:dyDescent="0.2">
      <c r="A461" s="605"/>
      <c r="B461" s="552"/>
      <c r="C461" s="1822" t="s">
        <v>319</v>
      </c>
      <c r="D461" s="1822"/>
      <c r="E461" s="1822"/>
      <c r="F461" s="562"/>
      <c r="G461" s="562"/>
      <c r="H461" s="562"/>
      <c r="I461" s="562"/>
      <c r="J461" s="604"/>
      <c r="K461" s="562"/>
      <c r="L461" s="604">
        <v>604.98</v>
      </c>
      <c r="M461" s="603"/>
      <c r="N461" s="602"/>
      <c r="V461" s="674"/>
      <c r="W461" s="675"/>
      <c r="Z461" s="537" t="s">
        <v>319</v>
      </c>
      <c r="AB461" s="675"/>
      <c r="AC461" s="680"/>
      <c r="AF461" s="675"/>
      <c r="AH461" s="675"/>
    </row>
    <row r="462" spans="1:34" s="536" customFormat="1" ht="33.75" x14ac:dyDescent="0.2">
      <c r="A462" s="605"/>
      <c r="B462" s="552" t="s">
        <v>2050</v>
      </c>
      <c r="C462" s="1822" t="s">
        <v>2051</v>
      </c>
      <c r="D462" s="1822"/>
      <c r="E462" s="1822"/>
      <c r="F462" s="562" t="s">
        <v>322</v>
      </c>
      <c r="G462" s="562" t="s">
        <v>462</v>
      </c>
      <c r="H462" s="562"/>
      <c r="I462" s="562" t="s">
        <v>462</v>
      </c>
      <c r="J462" s="604"/>
      <c r="K462" s="562"/>
      <c r="L462" s="604">
        <v>556.58000000000004</v>
      </c>
      <c r="M462" s="603"/>
      <c r="N462" s="602"/>
      <c r="V462" s="674"/>
      <c r="W462" s="675"/>
      <c r="Z462" s="537" t="s">
        <v>2051</v>
      </c>
      <c r="AB462" s="675"/>
      <c r="AC462" s="680"/>
      <c r="AF462" s="675"/>
      <c r="AH462" s="675"/>
    </row>
    <row r="463" spans="1:34" s="536" customFormat="1" ht="33.75" x14ac:dyDescent="0.2">
      <c r="A463" s="605"/>
      <c r="B463" s="552" t="s">
        <v>2052</v>
      </c>
      <c r="C463" s="1822" t="s">
        <v>2053</v>
      </c>
      <c r="D463" s="1822"/>
      <c r="E463" s="1822"/>
      <c r="F463" s="562" t="s">
        <v>322</v>
      </c>
      <c r="G463" s="562" t="s">
        <v>784</v>
      </c>
      <c r="H463" s="562"/>
      <c r="I463" s="562" t="s">
        <v>784</v>
      </c>
      <c r="J463" s="604"/>
      <c r="K463" s="562"/>
      <c r="L463" s="604">
        <v>296.44</v>
      </c>
      <c r="M463" s="603"/>
      <c r="N463" s="602"/>
      <c r="V463" s="674"/>
      <c r="W463" s="675"/>
      <c r="Z463" s="537" t="s">
        <v>2053</v>
      </c>
      <c r="AB463" s="675"/>
      <c r="AC463" s="680"/>
      <c r="AF463" s="675"/>
      <c r="AH463" s="675"/>
    </row>
    <row r="464" spans="1:34" s="536" customFormat="1" ht="12" x14ac:dyDescent="0.2">
      <c r="A464" s="569"/>
      <c r="B464" s="683"/>
      <c r="C464" s="1823" t="s">
        <v>327</v>
      </c>
      <c r="D464" s="1823"/>
      <c r="E464" s="1823"/>
      <c r="F464" s="573"/>
      <c r="G464" s="573"/>
      <c r="H464" s="573"/>
      <c r="I464" s="573"/>
      <c r="J464" s="572"/>
      <c r="K464" s="573"/>
      <c r="L464" s="572">
        <v>2108.0100000000002</v>
      </c>
      <c r="M464" s="601"/>
      <c r="N464" s="570"/>
      <c r="V464" s="674"/>
      <c r="W464" s="675"/>
      <c r="AB464" s="675" t="s">
        <v>327</v>
      </c>
      <c r="AC464" s="680"/>
      <c r="AF464" s="675"/>
      <c r="AH464" s="675"/>
    </row>
    <row r="465" spans="1:34" s="536" customFormat="1" ht="33.75" x14ac:dyDescent="0.2">
      <c r="A465" s="575" t="s">
        <v>785</v>
      </c>
      <c r="B465" s="684" t="s">
        <v>634</v>
      </c>
      <c r="C465" s="1823" t="s">
        <v>635</v>
      </c>
      <c r="D465" s="1823"/>
      <c r="E465" s="1823"/>
      <c r="F465" s="573" t="s">
        <v>628</v>
      </c>
      <c r="G465" s="573"/>
      <c r="H465" s="573"/>
      <c r="I465" s="573" t="s">
        <v>186</v>
      </c>
      <c r="J465" s="572">
        <v>240760.83</v>
      </c>
      <c r="K465" s="573" t="s">
        <v>629</v>
      </c>
      <c r="L465" s="572">
        <v>106165.58</v>
      </c>
      <c r="M465" s="571">
        <v>4.59</v>
      </c>
      <c r="N465" s="570">
        <v>487300</v>
      </c>
      <c r="V465" s="674"/>
      <c r="W465" s="675" t="s">
        <v>635</v>
      </c>
      <c r="AB465" s="675"/>
      <c r="AC465" s="680"/>
      <c r="AF465" s="675"/>
      <c r="AH465" s="675"/>
    </row>
    <row r="466" spans="1:34" s="536" customFormat="1" ht="12" x14ac:dyDescent="0.2">
      <c r="A466" s="569"/>
      <c r="B466" s="683"/>
      <c r="C466" s="689" t="s">
        <v>630</v>
      </c>
      <c r="D466" s="690"/>
      <c r="E466" s="690"/>
      <c r="F466" s="563"/>
      <c r="G466" s="563"/>
      <c r="H466" s="563"/>
      <c r="I466" s="563"/>
      <c r="J466" s="566"/>
      <c r="K466" s="563"/>
      <c r="L466" s="566"/>
      <c r="M466" s="565"/>
      <c r="N466" s="564"/>
      <c r="V466" s="674"/>
      <c r="W466" s="675"/>
      <c r="AB466" s="675"/>
      <c r="AC466" s="680"/>
      <c r="AF466" s="675"/>
      <c r="AH466" s="675"/>
    </row>
    <row r="467" spans="1:34" s="536" customFormat="1" ht="22.5" x14ac:dyDescent="0.2">
      <c r="A467" s="609"/>
      <c r="B467" s="552" t="s">
        <v>631</v>
      </c>
      <c r="C467" s="1822" t="s">
        <v>632</v>
      </c>
      <c r="D467" s="1822"/>
      <c r="E467" s="1822"/>
      <c r="F467" s="1822"/>
      <c r="G467" s="1822"/>
      <c r="H467" s="1822"/>
      <c r="I467" s="1822"/>
      <c r="J467" s="1822"/>
      <c r="K467" s="1822"/>
      <c r="L467" s="1822"/>
      <c r="M467" s="1822"/>
      <c r="N467" s="1827"/>
      <c r="V467" s="674"/>
      <c r="W467" s="675"/>
      <c r="X467" s="537" t="s">
        <v>632</v>
      </c>
      <c r="AB467" s="675"/>
      <c r="AC467" s="680"/>
      <c r="AF467" s="675"/>
      <c r="AH467" s="675"/>
    </row>
    <row r="468" spans="1:34" s="536" customFormat="1" ht="33.75" x14ac:dyDescent="0.2">
      <c r="A468" s="575" t="s">
        <v>786</v>
      </c>
      <c r="B468" s="684" t="s">
        <v>636</v>
      </c>
      <c r="C468" s="1823" t="s">
        <v>637</v>
      </c>
      <c r="D468" s="1823"/>
      <c r="E468" s="1823"/>
      <c r="F468" s="573" t="s">
        <v>638</v>
      </c>
      <c r="G468" s="573"/>
      <c r="H468" s="573"/>
      <c r="I468" s="573" t="s">
        <v>187</v>
      </c>
      <c r="J468" s="572"/>
      <c r="K468" s="573"/>
      <c r="L468" s="572"/>
      <c r="M468" s="571"/>
      <c r="N468" s="570"/>
      <c r="V468" s="674"/>
      <c r="W468" s="675" t="s">
        <v>637</v>
      </c>
      <c r="AB468" s="675"/>
      <c r="AC468" s="680"/>
      <c r="AF468" s="675"/>
      <c r="AH468" s="675"/>
    </row>
    <row r="469" spans="1:34" s="536" customFormat="1" ht="22.5" x14ac:dyDescent="0.2">
      <c r="A469" s="609"/>
      <c r="B469" s="552" t="s">
        <v>499</v>
      </c>
      <c r="C469" s="1822" t="s">
        <v>500</v>
      </c>
      <c r="D469" s="1822"/>
      <c r="E469" s="1822"/>
      <c r="F469" s="1822"/>
      <c r="G469" s="1822"/>
      <c r="H469" s="1822"/>
      <c r="I469" s="1822"/>
      <c r="J469" s="1822"/>
      <c r="K469" s="1822"/>
      <c r="L469" s="1822"/>
      <c r="M469" s="1822"/>
      <c r="N469" s="1827"/>
      <c r="V469" s="674"/>
      <c r="W469" s="675"/>
      <c r="X469" s="537" t="s">
        <v>500</v>
      </c>
      <c r="AB469" s="675"/>
      <c r="AC469" s="680"/>
      <c r="AF469" s="675"/>
      <c r="AH469" s="675"/>
    </row>
    <row r="470" spans="1:34" s="536" customFormat="1" ht="12" x14ac:dyDescent="0.2">
      <c r="A470" s="605"/>
      <c r="B470" s="552" t="s">
        <v>185</v>
      </c>
      <c r="C470" s="1822" t="s">
        <v>312</v>
      </c>
      <c r="D470" s="1822"/>
      <c r="E470" s="1822"/>
      <c r="F470" s="562"/>
      <c r="G470" s="562"/>
      <c r="H470" s="562"/>
      <c r="I470" s="562"/>
      <c r="J470" s="604">
        <v>52.67</v>
      </c>
      <c r="K470" s="562" t="s">
        <v>313</v>
      </c>
      <c r="L470" s="604">
        <v>197.51</v>
      </c>
      <c r="M470" s="603"/>
      <c r="N470" s="602"/>
      <c r="V470" s="674"/>
      <c r="W470" s="675"/>
      <c r="Y470" s="537" t="s">
        <v>312</v>
      </c>
      <c r="AB470" s="675"/>
      <c r="AC470" s="680"/>
      <c r="AF470" s="675"/>
      <c r="AH470" s="675"/>
    </row>
    <row r="471" spans="1:34" s="536" customFormat="1" ht="12" x14ac:dyDescent="0.2">
      <c r="A471" s="605"/>
      <c r="B471" s="552" t="s">
        <v>186</v>
      </c>
      <c r="C471" s="1822" t="s">
        <v>344</v>
      </c>
      <c r="D471" s="1822"/>
      <c r="E471" s="1822"/>
      <c r="F471" s="562"/>
      <c r="G471" s="562"/>
      <c r="H471" s="562"/>
      <c r="I471" s="562"/>
      <c r="J471" s="604">
        <v>2.35</v>
      </c>
      <c r="K471" s="562" t="s">
        <v>313</v>
      </c>
      <c r="L471" s="604">
        <v>8.81</v>
      </c>
      <c r="M471" s="603"/>
      <c r="N471" s="602"/>
      <c r="V471" s="674"/>
      <c r="W471" s="675"/>
      <c r="Y471" s="537" t="s">
        <v>344</v>
      </c>
      <c r="AB471" s="675"/>
      <c r="AC471" s="680"/>
      <c r="AF471" s="675"/>
      <c r="AH471" s="675"/>
    </row>
    <row r="472" spans="1:34" s="536" customFormat="1" ht="12" x14ac:dyDescent="0.2">
      <c r="A472" s="605"/>
      <c r="B472" s="552" t="s">
        <v>187</v>
      </c>
      <c r="C472" s="1822" t="s">
        <v>345</v>
      </c>
      <c r="D472" s="1822"/>
      <c r="E472" s="1822"/>
      <c r="F472" s="562"/>
      <c r="G472" s="562"/>
      <c r="H472" s="562"/>
      <c r="I472" s="562"/>
      <c r="J472" s="604">
        <v>1.21</v>
      </c>
      <c r="K472" s="562" t="s">
        <v>313</v>
      </c>
      <c r="L472" s="604">
        <v>4.54</v>
      </c>
      <c r="M472" s="603"/>
      <c r="N472" s="602"/>
      <c r="V472" s="674"/>
      <c r="W472" s="675"/>
      <c r="Y472" s="537" t="s">
        <v>345</v>
      </c>
      <c r="AB472" s="675"/>
      <c r="AC472" s="680"/>
      <c r="AF472" s="675"/>
      <c r="AH472" s="675"/>
    </row>
    <row r="473" spans="1:34" s="536" customFormat="1" ht="12" x14ac:dyDescent="0.2">
      <c r="A473" s="605"/>
      <c r="B473" s="552" t="s">
        <v>188</v>
      </c>
      <c r="C473" s="1822" t="s">
        <v>475</v>
      </c>
      <c r="D473" s="1822"/>
      <c r="E473" s="1822"/>
      <c r="F473" s="562"/>
      <c r="G473" s="562"/>
      <c r="H473" s="562"/>
      <c r="I473" s="562"/>
      <c r="J473" s="604">
        <v>193.71</v>
      </c>
      <c r="K473" s="562"/>
      <c r="L473" s="604">
        <v>581.13</v>
      </c>
      <c r="M473" s="603"/>
      <c r="N473" s="602"/>
      <c r="V473" s="674"/>
      <c r="W473" s="675"/>
      <c r="Y473" s="537" t="s">
        <v>475</v>
      </c>
      <c r="AB473" s="675"/>
      <c r="AC473" s="680"/>
      <c r="AF473" s="675"/>
      <c r="AH473" s="675"/>
    </row>
    <row r="474" spans="1:34" s="536" customFormat="1" ht="12" x14ac:dyDescent="0.2">
      <c r="A474" s="676"/>
      <c r="B474" s="677" t="s">
        <v>639</v>
      </c>
      <c r="C474" s="1829" t="s">
        <v>640</v>
      </c>
      <c r="D474" s="1829"/>
      <c r="E474" s="1829"/>
      <c r="F474" s="678" t="s">
        <v>641</v>
      </c>
      <c r="G474" s="678" t="s">
        <v>642</v>
      </c>
      <c r="H474" s="678"/>
      <c r="I474" s="678" t="s">
        <v>643</v>
      </c>
      <c r="J474" s="552"/>
      <c r="K474" s="562"/>
      <c r="L474" s="604"/>
      <c r="M474" s="562"/>
      <c r="N474" s="679"/>
      <c r="V474" s="674"/>
      <c r="W474" s="675"/>
      <c r="AB474" s="675"/>
      <c r="AC474" s="680" t="s">
        <v>640</v>
      </c>
      <c r="AF474" s="675"/>
      <c r="AH474" s="675"/>
    </row>
    <row r="475" spans="1:34" s="536" customFormat="1" ht="12" x14ac:dyDescent="0.2">
      <c r="A475" s="605"/>
      <c r="B475" s="552"/>
      <c r="C475" s="1822" t="s">
        <v>314</v>
      </c>
      <c r="D475" s="1822"/>
      <c r="E475" s="1822"/>
      <c r="F475" s="562" t="s">
        <v>315</v>
      </c>
      <c r="G475" s="562" t="s">
        <v>644</v>
      </c>
      <c r="H475" s="562" t="s">
        <v>313</v>
      </c>
      <c r="I475" s="562" t="s">
        <v>645</v>
      </c>
      <c r="J475" s="604"/>
      <c r="K475" s="562"/>
      <c r="L475" s="604"/>
      <c r="M475" s="603"/>
      <c r="N475" s="602"/>
      <c r="V475" s="674"/>
      <c r="W475" s="675"/>
      <c r="Z475" s="537" t="s">
        <v>314</v>
      </c>
      <c r="AB475" s="675"/>
      <c r="AC475" s="680"/>
      <c r="AF475" s="675"/>
      <c r="AH475" s="675"/>
    </row>
    <row r="476" spans="1:34" s="536" customFormat="1" ht="12" x14ac:dyDescent="0.2">
      <c r="A476" s="605"/>
      <c r="B476" s="552"/>
      <c r="C476" s="1822" t="s">
        <v>348</v>
      </c>
      <c r="D476" s="1822"/>
      <c r="E476" s="1822"/>
      <c r="F476" s="562" t="s">
        <v>315</v>
      </c>
      <c r="G476" s="562" t="s">
        <v>646</v>
      </c>
      <c r="H476" s="562" t="s">
        <v>313</v>
      </c>
      <c r="I476" s="562" t="s">
        <v>647</v>
      </c>
      <c r="J476" s="604"/>
      <c r="K476" s="562"/>
      <c r="L476" s="604"/>
      <c r="M476" s="603"/>
      <c r="N476" s="602"/>
      <c r="V476" s="674"/>
      <c r="W476" s="675"/>
      <c r="Z476" s="537" t="s">
        <v>348</v>
      </c>
      <c r="AB476" s="675"/>
      <c r="AC476" s="680"/>
      <c r="AF476" s="675"/>
      <c r="AH476" s="675"/>
    </row>
    <row r="477" spans="1:34" s="536" customFormat="1" ht="12" x14ac:dyDescent="0.2">
      <c r="A477" s="605"/>
      <c r="B477" s="552"/>
      <c r="C477" s="1828" t="s">
        <v>318</v>
      </c>
      <c r="D477" s="1828"/>
      <c r="E477" s="1828"/>
      <c r="F477" s="608"/>
      <c r="G477" s="608"/>
      <c r="H477" s="608"/>
      <c r="I477" s="608"/>
      <c r="J477" s="607">
        <v>248.73</v>
      </c>
      <c r="K477" s="608"/>
      <c r="L477" s="607">
        <v>787.45</v>
      </c>
      <c r="M477" s="601"/>
      <c r="N477" s="606"/>
      <c r="V477" s="674"/>
      <c r="W477" s="675"/>
      <c r="AA477" s="537" t="s">
        <v>318</v>
      </c>
      <c r="AB477" s="675"/>
      <c r="AC477" s="680"/>
      <c r="AF477" s="675"/>
      <c r="AH477" s="675"/>
    </row>
    <row r="478" spans="1:34" s="536" customFormat="1" ht="12" x14ac:dyDescent="0.2">
      <c r="A478" s="605"/>
      <c r="B478" s="552"/>
      <c r="C478" s="1822" t="s">
        <v>319</v>
      </c>
      <c r="D478" s="1822"/>
      <c r="E478" s="1822"/>
      <c r="F478" s="562"/>
      <c r="G478" s="562"/>
      <c r="H478" s="562"/>
      <c r="I478" s="562"/>
      <c r="J478" s="604"/>
      <c r="K478" s="562"/>
      <c r="L478" s="604">
        <v>202.05</v>
      </c>
      <c r="M478" s="603"/>
      <c r="N478" s="602"/>
      <c r="V478" s="674"/>
      <c r="W478" s="675"/>
      <c r="Z478" s="537" t="s">
        <v>319</v>
      </c>
      <c r="AB478" s="675"/>
      <c r="AC478" s="680"/>
      <c r="AF478" s="675"/>
      <c r="AH478" s="675"/>
    </row>
    <row r="479" spans="1:34" s="536" customFormat="1" ht="33.75" x14ac:dyDescent="0.2">
      <c r="A479" s="605"/>
      <c r="B479" s="552" t="s">
        <v>648</v>
      </c>
      <c r="C479" s="1822" t="s">
        <v>649</v>
      </c>
      <c r="D479" s="1822"/>
      <c r="E479" s="1822"/>
      <c r="F479" s="562" t="s">
        <v>322</v>
      </c>
      <c r="G479" s="562" t="s">
        <v>650</v>
      </c>
      <c r="H479" s="562"/>
      <c r="I479" s="562" t="s">
        <v>650</v>
      </c>
      <c r="J479" s="604"/>
      <c r="K479" s="562"/>
      <c r="L479" s="604">
        <v>187.91</v>
      </c>
      <c r="M479" s="603"/>
      <c r="N479" s="602"/>
      <c r="V479" s="674"/>
      <c r="W479" s="675"/>
      <c r="Z479" s="537" t="s">
        <v>649</v>
      </c>
      <c r="AB479" s="675"/>
      <c r="AC479" s="680"/>
      <c r="AF479" s="675"/>
      <c r="AH479" s="675"/>
    </row>
    <row r="480" spans="1:34" s="536" customFormat="1" ht="33.75" x14ac:dyDescent="0.2">
      <c r="A480" s="605"/>
      <c r="B480" s="552" t="s">
        <v>651</v>
      </c>
      <c r="C480" s="1822" t="s">
        <v>652</v>
      </c>
      <c r="D480" s="1822"/>
      <c r="E480" s="1822"/>
      <c r="F480" s="562" t="s">
        <v>322</v>
      </c>
      <c r="G480" s="562" t="s">
        <v>653</v>
      </c>
      <c r="H480" s="562"/>
      <c r="I480" s="562" t="s">
        <v>653</v>
      </c>
      <c r="J480" s="604"/>
      <c r="K480" s="562"/>
      <c r="L480" s="604">
        <v>125.27</v>
      </c>
      <c r="M480" s="603"/>
      <c r="N480" s="602"/>
      <c r="V480" s="674"/>
      <c r="W480" s="675"/>
      <c r="Z480" s="537" t="s">
        <v>652</v>
      </c>
      <c r="AB480" s="675"/>
      <c r="AC480" s="680"/>
      <c r="AF480" s="675"/>
      <c r="AH480" s="675"/>
    </row>
    <row r="481" spans="1:34" s="536" customFormat="1" ht="12" x14ac:dyDescent="0.2">
      <c r="A481" s="569"/>
      <c r="B481" s="683"/>
      <c r="C481" s="1823" t="s">
        <v>327</v>
      </c>
      <c r="D481" s="1823"/>
      <c r="E481" s="1823"/>
      <c r="F481" s="573"/>
      <c r="G481" s="573"/>
      <c r="H481" s="573"/>
      <c r="I481" s="573"/>
      <c r="J481" s="572"/>
      <c r="K481" s="573"/>
      <c r="L481" s="572">
        <v>1100.6300000000001</v>
      </c>
      <c r="M481" s="601"/>
      <c r="N481" s="570"/>
      <c r="V481" s="674"/>
      <c r="W481" s="675"/>
      <c r="AB481" s="675" t="s">
        <v>327</v>
      </c>
      <c r="AC481" s="680"/>
      <c r="AF481" s="675"/>
      <c r="AH481" s="675"/>
    </row>
    <row r="482" spans="1:34" s="536" customFormat="1" ht="22.5" x14ac:dyDescent="0.2">
      <c r="A482" s="575" t="s">
        <v>787</v>
      </c>
      <c r="B482" s="684" t="s">
        <v>654</v>
      </c>
      <c r="C482" s="1823" t="s">
        <v>655</v>
      </c>
      <c r="D482" s="1823"/>
      <c r="E482" s="1823"/>
      <c r="F482" s="573" t="s">
        <v>641</v>
      </c>
      <c r="G482" s="573"/>
      <c r="H482" s="573"/>
      <c r="I482" s="573" t="s">
        <v>643</v>
      </c>
      <c r="J482" s="572">
        <v>592.76</v>
      </c>
      <c r="K482" s="573"/>
      <c r="L482" s="572">
        <v>666.86</v>
      </c>
      <c r="M482" s="571"/>
      <c r="N482" s="570"/>
      <c r="V482" s="674"/>
      <c r="W482" s="675" t="s">
        <v>655</v>
      </c>
      <c r="AB482" s="675"/>
      <c r="AC482" s="680"/>
      <c r="AF482" s="675"/>
      <c r="AH482" s="675"/>
    </row>
    <row r="483" spans="1:34" s="536" customFormat="1" ht="12" x14ac:dyDescent="0.2">
      <c r="A483" s="569"/>
      <c r="B483" s="683"/>
      <c r="C483" s="689" t="s">
        <v>656</v>
      </c>
      <c r="D483" s="690"/>
      <c r="E483" s="690"/>
      <c r="F483" s="563"/>
      <c r="G483" s="563"/>
      <c r="H483" s="563"/>
      <c r="I483" s="563"/>
      <c r="J483" s="566"/>
      <c r="K483" s="563"/>
      <c r="L483" s="566"/>
      <c r="M483" s="565"/>
      <c r="N483" s="564"/>
      <c r="V483" s="674"/>
      <c r="W483" s="675"/>
      <c r="AB483" s="675"/>
      <c r="AC483" s="680"/>
      <c r="AF483" s="675"/>
      <c r="AH483" s="675"/>
    </row>
    <row r="484" spans="1:34" s="536" customFormat="1" ht="22.5" x14ac:dyDescent="0.2">
      <c r="A484" s="609"/>
      <c r="B484" s="552" t="s">
        <v>499</v>
      </c>
      <c r="C484" s="1822" t="s">
        <v>500</v>
      </c>
      <c r="D484" s="1822"/>
      <c r="E484" s="1822"/>
      <c r="F484" s="1822"/>
      <c r="G484" s="1822"/>
      <c r="H484" s="1822"/>
      <c r="I484" s="1822"/>
      <c r="J484" s="1822"/>
      <c r="K484" s="1822"/>
      <c r="L484" s="1822"/>
      <c r="M484" s="1822"/>
      <c r="N484" s="1827"/>
      <c r="V484" s="674"/>
      <c r="W484" s="675"/>
      <c r="X484" s="537" t="s">
        <v>500</v>
      </c>
      <c r="AB484" s="675"/>
      <c r="AC484" s="680"/>
      <c r="AF484" s="675"/>
      <c r="AH484" s="675"/>
    </row>
    <row r="485" spans="1:34" s="536" customFormat="1" ht="33.75" x14ac:dyDescent="0.2">
      <c r="A485" s="575" t="s">
        <v>624</v>
      </c>
      <c r="B485" s="684" t="s">
        <v>657</v>
      </c>
      <c r="C485" s="1823" t="s">
        <v>658</v>
      </c>
      <c r="D485" s="1823"/>
      <c r="E485" s="1823"/>
      <c r="F485" s="573" t="s">
        <v>641</v>
      </c>
      <c r="G485" s="573"/>
      <c r="H485" s="573"/>
      <c r="I485" s="573" t="s">
        <v>643</v>
      </c>
      <c r="J485" s="572">
        <v>18.04</v>
      </c>
      <c r="K485" s="573"/>
      <c r="L485" s="572">
        <v>20.3</v>
      </c>
      <c r="M485" s="571"/>
      <c r="N485" s="570"/>
      <c r="V485" s="674"/>
      <c r="W485" s="675" t="s">
        <v>658</v>
      </c>
      <c r="AB485" s="675"/>
      <c r="AC485" s="680"/>
      <c r="AF485" s="675"/>
      <c r="AH485" s="675"/>
    </row>
    <row r="486" spans="1:34" s="536" customFormat="1" ht="12" x14ac:dyDescent="0.2">
      <c r="A486" s="569"/>
      <c r="B486" s="683"/>
      <c r="C486" s="689" t="s">
        <v>656</v>
      </c>
      <c r="D486" s="690"/>
      <c r="E486" s="690"/>
      <c r="F486" s="563"/>
      <c r="G486" s="563"/>
      <c r="H486" s="563"/>
      <c r="I486" s="563"/>
      <c r="J486" s="566"/>
      <c r="K486" s="563"/>
      <c r="L486" s="566"/>
      <c r="M486" s="565"/>
      <c r="N486" s="564"/>
      <c r="V486" s="674"/>
      <c r="W486" s="675"/>
      <c r="AB486" s="675"/>
      <c r="AC486" s="680"/>
      <c r="AF486" s="675"/>
      <c r="AH486" s="675"/>
    </row>
    <row r="487" spans="1:34" s="536" customFormat="1" ht="12" x14ac:dyDescent="0.2">
      <c r="A487" s="676"/>
      <c r="B487" s="682"/>
      <c r="C487" s="1822" t="s">
        <v>659</v>
      </c>
      <c r="D487" s="1822"/>
      <c r="E487" s="1822"/>
      <c r="F487" s="1822"/>
      <c r="G487" s="1822"/>
      <c r="H487" s="1822"/>
      <c r="I487" s="1822"/>
      <c r="J487" s="1822"/>
      <c r="K487" s="1822"/>
      <c r="L487" s="1822"/>
      <c r="M487" s="1822"/>
      <c r="N487" s="1827"/>
      <c r="V487" s="674"/>
      <c r="W487" s="675"/>
      <c r="AB487" s="675"/>
      <c r="AC487" s="680"/>
      <c r="AD487" s="537" t="s">
        <v>659</v>
      </c>
      <c r="AF487" s="675"/>
      <c r="AH487" s="675"/>
    </row>
    <row r="488" spans="1:34" s="536" customFormat="1" ht="22.5" x14ac:dyDescent="0.2">
      <c r="A488" s="609"/>
      <c r="B488" s="552" t="s">
        <v>499</v>
      </c>
      <c r="C488" s="1822" t="s">
        <v>500</v>
      </c>
      <c r="D488" s="1822"/>
      <c r="E488" s="1822"/>
      <c r="F488" s="1822"/>
      <c r="G488" s="1822"/>
      <c r="H488" s="1822"/>
      <c r="I488" s="1822"/>
      <c r="J488" s="1822"/>
      <c r="K488" s="1822"/>
      <c r="L488" s="1822"/>
      <c r="M488" s="1822"/>
      <c r="N488" s="1827"/>
      <c r="V488" s="674"/>
      <c r="W488" s="675"/>
      <c r="X488" s="537" t="s">
        <v>500</v>
      </c>
      <c r="AB488" s="675"/>
      <c r="AC488" s="680"/>
      <c r="AF488" s="675"/>
      <c r="AH488" s="675"/>
    </row>
    <row r="489" spans="1:34" s="536" customFormat="1" ht="33.75" x14ac:dyDescent="0.2">
      <c r="A489" s="575" t="s">
        <v>788</v>
      </c>
      <c r="B489" s="684" t="s">
        <v>661</v>
      </c>
      <c r="C489" s="1823" t="s">
        <v>662</v>
      </c>
      <c r="D489" s="1823"/>
      <c r="E489" s="1823"/>
      <c r="F489" s="573" t="s">
        <v>663</v>
      </c>
      <c r="G489" s="573"/>
      <c r="H489" s="573"/>
      <c r="I489" s="573" t="s">
        <v>187</v>
      </c>
      <c r="J489" s="572">
        <v>143023.32999999999</v>
      </c>
      <c r="K489" s="573" t="s">
        <v>629</v>
      </c>
      <c r="L489" s="572">
        <v>94601.09</v>
      </c>
      <c r="M489" s="571">
        <v>4.59</v>
      </c>
      <c r="N489" s="570">
        <v>434219</v>
      </c>
      <c r="V489" s="674"/>
      <c r="W489" s="675" t="s">
        <v>662</v>
      </c>
      <c r="AB489" s="675"/>
      <c r="AC489" s="680"/>
      <c r="AF489" s="675"/>
      <c r="AH489" s="675"/>
    </row>
    <row r="490" spans="1:34" s="536" customFormat="1" ht="12" x14ac:dyDescent="0.2">
      <c r="A490" s="569"/>
      <c r="B490" s="683"/>
      <c r="C490" s="689" t="s">
        <v>630</v>
      </c>
      <c r="D490" s="690"/>
      <c r="E490" s="690"/>
      <c r="F490" s="563"/>
      <c r="G490" s="563"/>
      <c r="H490" s="563"/>
      <c r="I490" s="563"/>
      <c r="J490" s="566"/>
      <c r="K490" s="563"/>
      <c r="L490" s="566"/>
      <c r="M490" s="565"/>
      <c r="N490" s="564"/>
      <c r="V490" s="674"/>
      <c r="W490" s="675"/>
      <c r="AB490" s="675"/>
      <c r="AC490" s="680"/>
      <c r="AF490" s="675"/>
      <c r="AH490" s="675"/>
    </row>
    <row r="491" spans="1:34" s="536" customFormat="1" ht="22.5" x14ac:dyDescent="0.2">
      <c r="A491" s="609"/>
      <c r="B491" s="552" t="s">
        <v>631</v>
      </c>
      <c r="C491" s="1822" t="s">
        <v>632</v>
      </c>
      <c r="D491" s="1822"/>
      <c r="E491" s="1822"/>
      <c r="F491" s="1822"/>
      <c r="G491" s="1822"/>
      <c r="H491" s="1822"/>
      <c r="I491" s="1822"/>
      <c r="J491" s="1822"/>
      <c r="K491" s="1822"/>
      <c r="L491" s="1822"/>
      <c r="M491" s="1822"/>
      <c r="N491" s="1827"/>
      <c r="V491" s="674"/>
      <c r="W491" s="675"/>
      <c r="X491" s="537" t="s">
        <v>632</v>
      </c>
      <c r="AB491" s="675"/>
      <c r="AC491" s="680"/>
      <c r="AF491" s="675"/>
      <c r="AH491" s="675"/>
    </row>
    <row r="492" spans="1:34" s="536" customFormat="1" ht="33.75" x14ac:dyDescent="0.2">
      <c r="A492" s="575" t="s">
        <v>789</v>
      </c>
      <c r="B492" s="684" t="s">
        <v>9199</v>
      </c>
      <c r="C492" s="1823" t="s">
        <v>9198</v>
      </c>
      <c r="D492" s="1823"/>
      <c r="E492" s="1823"/>
      <c r="F492" s="573" t="s">
        <v>617</v>
      </c>
      <c r="G492" s="573"/>
      <c r="H492" s="573"/>
      <c r="I492" s="573" t="s">
        <v>186</v>
      </c>
      <c r="J492" s="572"/>
      <c r="K492" s="573"/>
      <c r="L492" s="572"/>
      <c r="M492" s="571"/>
      <c r="N492" s="570"/>
      <c r="V492" s="674"/>
      <c r="W492" s="675" t="s">
        <v>9198</v>
      </c>
      <c r="AB492" s="675"/>
      <c r="AC492" s="680"/>
      <c r="AF492" s="675"/>
      <c r="AH492" s="675"/>
    </row>
    <row r="493" spans="1:34" s="536" customFormat="1" ht="22.5" x14ac:dyDescent="0.2">
      <c r="A493" s="609"/>
      <c r="B493" s="552" t="s">
        <v>499</v>
      </c>
      <c r="C493" s="1822" t="s">
        <v>500</v>
      </c>
      <c r="D493" s="1822"/>
      <c r="E493" s="1822"/>
      <c r="F493" s="1822"/>
      <c r="G493" s="1822"/>
      <c r="H493" s="1822"/>
      <c r="I493" s="1822"/>
      <c r="J493" s="1822"/>
      <c r="K493" s="1822"/>
      <c r="L493" s="1822"/>
      <c r="M493" s="1822"/>
      <c r="N493" s="1827"/>
      <c r="V493" s="674"/>
      <c r="W493" s="675"/>
      <c r="X493" s="537" t="s">
        <v>500</v>
      </c>
      <c r="AB493" s="675"/>
      <c r="AC493" s="680"/>
      <c r="AF493" s="675"/>
      <c r="AH493" s="675"/>
    </row>
    <row r="494" spans="1:34" s="536" customFormat="1" ht="12" x14ac:dyDescent="0.2">
      <c r="A494" s="605"/>
      <c r="B494" s="552" t="s">
        <v>185</v>
      </c>
      <c r="C494" s="1822" t="s">
        <v>312</v>
      </c>
      <c r="D494" s="1822"/>
      <c r="E494" s="1822"/>
      <c r="F494" s="562"/>
      <c r="G494" s="562"/>
      <c r="H494" s="562"/>
      <c r="I494" s="562"/>
      <c r="J494" s="604">
        <v>236.88</v>
      </c>
      <c r="K494" s="562" t="s">
        <v>313</v>
      </c>
      <c r="L494" s="604">
        <v>592.20000000000005</v>
      </c>
      <c r="M494" s="603"/>
      <c r="N494" s="602"/>
      <c r="V494" s="674"/>
      <c r="W494" s="675"/>
      <c r="Y494" s="537" t="s">
        <v>312</v>
      </c>
      <c r="AB494" s="675"/>
      <c r="AC494" s="680"/>
      <c r="AF494" s="675"/>
      <c r="AH494" s="675"/>
    </row>
    <row r="495" spans="1:34" s="536" customFormat="1" ht="12" x14ac:dyDescent="0.2">
      <c r="A495" s="605"/>
      <c r="B495" s="552" t="s">
        <v>186</v>
      </c>
      <c r="C495" s="1822" t="s">
        <v>344</v>
      </c>
      <c r="D495" s="1822"/>
      <c r="E495" s="1822"/>
      <c r="F495" s="562"/>
      <c r="G495" s="562"/>
      <c r="H495" s="562"/>
      <c r="I495" s="562"/>
      <c r="J495" s="604">
        <v>66.58</v>
      </c>
      <c r="K495" s="562" t="s">
        <v>313</v>
      </c>
      <c r="L495" s="604">
        <v>166.45</v>
      </c>
      <c r="M495" s="603"/>
      <c r="N495" s="602"/>
      <c r="V495" s="674"/>
      <c r="W495" s="675"/>
      <c r="Y495" s="537" t="s">
        <v>344</v>
      </c>
      <c r="AB495" s="675"/>
      <c r="AC495" s="680"/>
      <c r="AF495" s="675"/>
      <c r="AH495" s="675"/>
    </row>
    <row r="496" spans="1:34" s="536" customFormat="1" ht="12" x14ac:dyDescent="0.2">
      <c r="A496" s="605"/>
      <c r="B496" s="552" t="s">
        <v>187</v>
      </c>
      <c r="C496" s="1822" t="s">
        <v>345</v>
      </c>
      <c r="D496" s="1822"/>
      <c r="E496" s="1822"/>
      <c r="F496" s="562"/>
      <c r="G496" s="562"/>
      <c r="H496" s="562"/>
      <c r="I496" s="562"/>
      <c r="J496" s="604">
        <v>5.1100000000000003</v>
      </c>
      <c r="K496" s="562" t="s">
        <v>313</v>
      </c>
      <c r="L496" s="604">
        <v>12.78</v>
      </c>
      <c r="M496" s="603"/>
      <c r="N496" s="602"/>
      <c r="V496" s="674"/>
      <c r="W496" s="675"/>
      <c r="Y496" s="537" t="s">
        <v>345</v>
      </c>
      <c r="AB496" s="675"/>
      <c r="AC496" s="680"/>
      <c r="AF496" s="675"/>
      <c r="AH496" s="675"/>
    </row>
    <row r="497" spans="1:34" s="536" customFormat="1" ht="12" x14ac:dyDescent="0.2">
      <c r="A497" s="605"/>
      <c r="B497" s="552" t="s">
        <v>188</v>
      </c>
      <c r="C497" s="1822" t="s">
        <v>475</v>
      </c>
      <c r="D497" s="1822"/>
      <c r="E497" s="1822"/>
      <c r="F497" s="562"/>
      <c r="G497" s="562"/>
      <c r="H497" s="562"/>
      <c r="I497" s="562"/>
      <c r="J497" s="604">
        <v>248.17</v>
      </c>
      <c r="K497" s="562"/>
      <c r="L497" s="604">
        <v>496.34</v>
      </c>
      <c r="M497" s="603"/>
      <c r="N497" s="602"/>
      <c r="V497" s="674"/>
      <c r="W497" s="675"/>
      <c r="Y497" s="537" t="s">
        <v>475</v>
      </c>
      <c r="AB497" s="675"/>
      <c r="AC497" s="680"/>
      <c r="AF497" s="675"/>
      <c r="AH497" s="675"/>
    </row>
    <row r="498" spans="1:34" s="536" customFormat="1" ht="12" x14ac:dyDescent="0.2">
      <c r="A498" s="605"/>
      <c r="B498" s="552"/>
      <c r="C498" s="1822" t="s">
        <v>314</v>
      </c>
      <c r="D498" s="1822"/>
      <c r="E498" s="1822"/>
      <c r="F498" s="562" t="s">
        <v>315</v>
      </c>
      <c r="G498" s="562" t="s">
        <v>9197</v>
      </c>
      <c r="H498" s="562" t="s">
        <v>313</v>
      </c>
      <c r="I498" s="562" t="s">
        <v>794</v>
      </c>
      <c r="J498" s="604"/>
      <c r="K498" s="562"/>
      <c r="L498" s="604"/>
      <c r="M498" s="603"/>
      <c r="N498" s="602"/>
      <c r="V498" s="674"/>
      <c r="W498" s="675"/>
      <c r="Z498" s="537" t="s">
        <v>314</v>
      </c>
      <c r="AB498" s="675"/>
      <c r="AC498" s="680"/>
      <c r="AF498" s="675"/>
      <c r="AH498" s="675"/>
    </row>
    <row r="499" spans="1:34" s="536" customFormat="1" ht="12" x14ac:dyDescent="0.2">
      <c r="A499" s="605"/>
      <c r="B499" s="552"/>
      <c r="C499" s="1822" t="s">
        <v>348</v>
      </c>
      <c r="D499" s="1822"/>
      <c r="E499" s="1822"/>
      <c r="F499" s="562" t="s">
        <v>315</v>
      </c>
      <c r="G499" s="562" t="s">
        <v>4123</v>
      </c>
      <c r="H499" s="562" t="s">
        <v>313</v>
      </c>
      <c r="I499" s="562" t="s">
        <v>9196</v>
      </c>
      <c r="J499" s="604"/>
      <c r="K499" s="562"/>
      <c r="L499" s="604"/>
      <c r="M499" s="603"/>
      <c r="N499" s="602"/>
      <c r="V499" s="674"/>
      <c r="W499" s="675"/>
      <c r="Z499" s="537" t="s">
        <v>348</v>
      </c>
      <c r="AB499" s="675"/>
      <c r="AC499" s="680"/>
      <c r="AF499" s="675"/>
      <c r="AH499" s="675"/>
    </row>
    <row r="500" spans="1:34" s="536" customFormat="1" ht="12" x14ac:dyDescent="0.2">
      <c r="A500" s="605"/>
      <c r="B500" s="552"/>
      <c r="C500" s="1828" t="s">
        <v>318</v>
      </c>
      <c r="D500" s="1828"/>
      <c r="E500" s="1828"/>
      <c r="F500" s="608"/>
      <c r="G500" s="608"/>
      <c r="H500" s="608"/>
      <c r="I500" s="608"/>
      <c r="J500" s="607">
        <v>551.63</v>
      </c>
      <c r="K500" s="608"/>
      <c r="L500" s="607">
        <v>1254.99</v>
      </c>
      <c r="M500" s="601"/>
      <c r="N500" s="606"/>
      <c r="V500" s="674"/>
      <c r="W500" s="675"/>
      <c r="AA500" s="537" t="s">
        <v>318</v>
      </c>
      <c r="AB500" s="675"/>
      <c r="AC500" s="680"/>
      <c r="AF500" s="675"/>
      <c r="AH500" s="675"/>
    </row>
    <row r="501" spans="1:34" s="536" customFormat="1" ht="12" x14ac:dyDescent="0.2">
      <c r="A501" s="605"/>
      <c r="B501" s="552"/>
      <c r="C501" s="1822" t="s">
        <v>319</v>
      </c>
      <c r="D501" s="1822"/>
      <c r="E501" s="1822"/>
      <c r="F501" s="562"/>
      <c r="G501" s="562"/>
      <c r="H501" s="562"/>
      <c r="I501" s="562"/>
      <c r="J501" s="604"/>
      <c r="K501" s="562"/>
      <c r="L501" s="604">
        <v>604.98</v>
      </c>
      <c r="M501" s="603"/>
      <c r="N501" s="602"/>
      <c r="V501" s="674"/>
      <c r="W501" s="675"/>
      <c r="Z501" s="537" t="s">
        <v>319</v>
      </c>
      <c r="AB501" s="675"/>
      <c r="AC501" s="680"/>
      <c r="AF501" s="675"/>
      <c r="AH501" s="675"/>
    </row>
    <row r="502" spans="1:34" s="536" customFormat="1" ht="33.75" x14ac:dyDescent="0.2">
      <c r="A502" s="605"/>
      <c r="B502" s="552" t="s">
        <v>2050</v>
      </c>
      <c r="C502" s="1822" t="s">
        <v>2051</v>
      </c>
      <c r="D502" s="1822"/>
      <c r="E502" s="1822"/>
      <c r="F502" s="562" t="s">
        <v>322</v>
      </c>
      <c r="G502" s="562" t="s">
        <v>462</v>
      </c>
      <c r="H502" s="562"/>
      <c r="I502" s="562" t="s">
        <v>462</v>
      </c>
      <c r="J502" s="604"/>
      <c r="K502" s="562"/>
      <c r="L502" s="604">
        <v>556.58000000000004</v>
      </c>
      <c r="M502" s="603"/>
      <c r="N502" s="602"/>
      <c r="V502" s="674"/>
      <c r="W502" s="675"/>
      <c r="Z502" s="537" t="s">
        <v>2051</v>
      </c>
      <c r="AB502" s="675"/>
      <c r="AC502" s="680"/>
      <c r="AF502" s="675"/>
      <c r="AH502" s="675"/>
    </row>
    <row r="503" spans="1:34" s="536" customFormat="1" ht="33.75" x14ac:dyDescent="0.2">
      <c r="A503" s="605"/>
      <c r="B503" s="552" t="s">
        <v>2052</v>
      </c>
      <c r="C503" s="1822" t="s">
        <v>2053</v>
      </c>
      <c r="D503" s="1822"/>
      <c r="E503" s="1822"/>
      <c r="F503" s="562" t="s">
        <v>322</v>
      </c>
      <c r="G503" s="562" t="s">
        <v>784</v>
      </c>
      <c r="H503" s="562"/>
      <c r="I503" s="562" t="s">
        <v>784</v>
      </c>
      <c r="J503" s="604"/>
      <c r="K503" s="562"/>
      <c r="L503" s="604">
        <v>296.44</v>
      </c>
      <c r="M503" s="603"/>
      <c r="N503" s="602"/>
      <c r="V503" s="674"/>
      <c r="W503" s="675"/>
      <c r="Z503" s="537" t="s">
        <v>2053</v>
      </c>
      <c r="AB503" s="675"/>
      <c r="AC503" s="680"/>
      <c r="AF503" s="675"/>
      <c r="AH503" s="675"/>
    </row>
    <row r="504" spans="1:34" s="536" customFormat="1" ht="12" x14ac:dyDescent="0.2">
      <c r="A504" s="569"/>
      <c r="B504" s="683"/>
      <c r="C504" s="1823" t="s">
        <v>327</v>
      </c>
      <c r="D504" s="1823"/>
      <c r="E504" s="1823"/>
      <c r="F504" s="573"/>
      <c r="G504" s="573"/>
      <c r="H504" s="573"/>
      <c r="I504" s="573"/>
      <c r="J504" s="572"/>
      <c r="K504" s="573"/>
      <c r="L504" s="572">
        <v>2108.0100000000002</v>
      </c>
      <c r="M504" s="601"/>
      <c r="N504" s="570"/>
      <c r="V504" s="674"/>
      <c r="W504" s="675"/>
      <c r="AB504" s="675" t="s">
        <v>327</v>
      </c>
      <c r="AC504" s="680"/>
      <c r="AF504" s="675"/>
      <c r="AH504" s="675"/>
    </row>
    <row r="505" spans="1:34" s="536" customFormat="1" ht="33.75" x14ac:dyDescent="0.2">
      <c r="A505" s="575" t="s">
        <v>790</v>
      </c>
      <c r="B505" s="684" t="s">
        <v>665</v>
      </c>
      <c r="C505" s="1823" t="s">
        <v>666</v>
      </c>
      <c r="D505" s="1823"/>
      <c r="E505" s="1823"/>
      <c r="F505" s="573" t="s">
        <v>663</v>
      </c>
      <c r="G505" s="573"/>
      <c r="H505" s="573"/>
      <c r="I505" s="573" t="s">
        <v>186</v>
      </c>
      <c r="J505" s="572">
        <v>791100</v>
      </c>
      <c r="K505" s="573" t="s">
        <v>629</v>
      </c>
      <c r="L505" s="572">
        <v>348842.27</v>
      </c>
      <c r="M505" s="571">
        <v>4.59</v>
      </c>
      <c r="N505" s="570">
        <v>1601186</v>
      </c>
      <c r="V505" s="674"/>
      <c r="W505" s="675" t="s">
        <v>666</v>
      </c>
      <c r="AB505" s="675"/>
      <c r="AC505" s="680"/>
      <c r="AF505" s="675"/>
      <c r="AH505" s="675"/>
    </row>
    <row r="506" spans="1:34" s="536" customFormat="1" ht="12" x14ac:dyDescent="0.2">
      <c r="A506" s="569"/>
      <c r="B506" s="683"/>
      <c r="C506" s="689" t="s">
        <v>630</v>
      </c>
      <c r="D506" s="690"/>
      <c r="E506" s="690"/>
      <c r="F506" s="563"/>
      <c r="G506" s="563"/>
      <c r="H506" s="563"/>
      <c r="I506" s="563"/>
      <c r="J506" s="566"/>
      <c r="K506" s="563"/>
      <c r="L506" s="566"/>
      <c r="M506" s="565"/>
      <c r="N506" s="564"/>
      <c r="V506" s="674"/>
      <c r="W506" s="675"/>
      <c r="AB506" s="675"/>
      <c r="AC506" s="680"/>
      <c r="AF506" s="675"/>
      <c r="AH506" s="675"/>
    </row>
    <row r="507" spans="1:34" s="536" customFormat="1" ht="22.5" x14ac:dyDescent="0.2">
      <c r="A507" s="609"/>
      <c r="B507" s="552" t="s">
        <v>631</v>
      </c>
      <c r="C507" s="1822" t="s">
        <v>632</v>
      </c>
      <c r="D507" s="1822"/>
      <c r="E507" s="1822"/>
      <c r="F507" s="1822"/>
      <c r="G507" s="1822"/>
      <c r="H507" s="1822"/>
      <c r="I507" s="1822"/>
      <c r="J507" s="1822"/>
      <c r="K507" s="1822"/>
      <c r="L507" s="1822"/>
      <c r="M507" s="1822"/>
      <c r="N507" s="1827"/>
      <c r="V507" s="674"/>
      <c r="W507" s="675"/>
      <c r="X507" s="537" t="s">
        <v>632</v>
      </c>
      <c r="AB507" s="675"/>
      <c r="AC507" s="680"/>
      <c r="AF507" s="675"/>
      <c r="AH507" s="675"/>
    </row>
    <row r="508" spans="1:34" s="536" customFormat="1" ht="33.75" x14ac:dyDescent="0.2">
      <c r="A508" s="575" t="s">
        <v>791</v>
      </c>
      <c r="B508" s="684" t="s">
        <v>667</v>
      </c>
      <c r="C508" s="1823" t="s">
        <v>668</v>
      </c>
      <c r="D508" s="1823"/>
      <c r="E508" s="1823"/>
      <c r="F508" s="573" t="s">
        <v>509</v>
      </c>
      <c r="G508" s="573"/>
      <c r="H508" s="573"/>
      <c r="I508" s="573" t="s">
        <v>669</v>
      </c>
      <c r="J508" s="572"/>
      <c r="K508" s="573"/>
      <c r="L508" s="572"/>
      <c r="M508" s="571"/>
      <c r="N508" s="570"/>
      <c r="V508" s="674"/>
      <c r="W508" s="675" t="s">
        <v>668</v>
      </c>
      <c r="AB508" s="675"/>
      <c r="AC508" s="680"/>
      <c r="AF508" s="675"/>
      <c r="AH508" s="675"/>
    </row>
    <row r="509" spans="1:34" s="536" customFormat="1" ht="12" x14ac:dyDescent="0.2">
      <c r="A509" s="676"/>
      <c r="B509" s="682"/>
      <c r="C509" s="1822" t="s">
        <v>670</v>
      </c>
      <c r="D509" s="1822"/>
      <c r="E509" s="1822"/>
      <c r="F509" s="1822"/>
      <c r="G509" s="1822"/>
      <c r="H509" s="1822"/>
      <c r="I509" s="1822"/>
      <c r="J509" s="1822"/>
      <c r="K509" s="1822"/>
      <c r="L509" s="1822"/>
      <c r="M509" s="1822"/>
      <c r="N509" s="1827"/>
      <c r="V509" s="674"/>
      <c r="W509" s="675"/>
      <c r="AB509" s="675"/>
      <c r="AC509" s="680"/>
      <c r="AE509" s="537" t="s">
        <v>670</v>
      </c>
      <c r="AF509" s="675"/>
      <c r="AH509" s="675"/>
    </row>
    <row r="510" spans="1:34" s="536" customFormat="1" ht="22.5" x14ac:dyDescent="0.2">
      <c r="A510" s="609"/>
      <c r="B510" s="552" t="s">
        <v>499</v>
      </c>
      <c r="C510" s="1822" t="s">
        <v>500</v>
      </c>
      <c r="D510" s="1822"/>
      <c r="E510" s="1822"/>
      <c r="F510" s="1822"/>
      <c r="G510" s="1822"/>
      <c r="H510" s="1822"/>
      <c r="I510" s="1822"/>
      <c r="J510" s="1822"/>
      <c r="K510" s="1822"/>
      <c r="L510" s="1822"/>
      <c r="M510" s="1822"/>
      <c r="N510" s="1827"/>
      <c r="V510" s="674"/>
      <c r="W510" s="675"/>
      <c r="X510" s="537" t="s">
        <v>500</v>
      </c>
      <c r="AB510" s="675"/>
      <c r="AC510" s="680"/>
      <c r="AF510" s="675"/>
      <c r="AH510" s="675"/>
    </row>
    <row r="511" spans="1:34" s="536" customFormat="1" ht="12" x14ac:dyDescent="0.2">
      <c r="A511" s="605"/>
      <c r="B511" s="552" t="s">
        <v>185</v>
      </c>
      <c r="C511" s="1822" t="s">
        <v>312</v>
      </c>
      <c r="D511" s="1822"/>
      <c r="E511" s="1822"/>
      <c r="F511" s="562"/>
      <c r="G511" s="562"/>
      <c r="H511" s="562"/>
      <c r="I511" s="562"/>
      <c r="J511" s="604">
        <v>5245.95</v>
      </c>
      <c r="K511" s="562" t="s">
        <v>313</v>
      </c>
      <c r="L511" s="604">
        <v>22.95</v>
      </c>
      <c r="M511" s="603"/>
      <c r="N511" s="602"/>
      <c r="V511" s="674"/>
      <c r="W511" s="675"/>
      <c r="Y511" s="537" t="s">
        <v>312</v>
      </c>
      <c r="AB511" s="675"/>
      <c r="AC511" s="680"/>
      <c r="AF511" s="675"/>
      <c r="AH511" s="675"/>
    </row>
    <row r="512" spans="1:34" s="536" customFormat="1" ht="12" x14ac:dyDescent="0.2">
      <c r="A512" s="605"/>
      <c r="B512" s="552"/>
      <c r="C512" s="1822" t="s">
        <v>314</v>
      </c>
      <c r="D512" s="1822"/>
      <c r="E512" s="1822"/>
      <c r="F512" s="562" t="s">
        <v>315</v>
      </c>
      <c r="G512" s="562" t="s">
        <v>671</v>
      </c>
      <c r="H512" s="562" t="s">
        <v>313</v>
      </c>
      <c r="I512" s="562" t="s">
        <v>672</v>
      </c>
      <c r="J512" s="604"/>
      <c r="K512" s="562"/>
      <c r="L512" s="604"/>
      <c r="M512" s="603"/>
      <c r="N512" s="602"/>
      <c r="V512" s="674"/>
      <c r="W512" s="675"/>
      <c r="Z512" s="537" t="s">
        <v>314</v>
      </c>
      <c r="AB512" s="675"/>
      <c r="AC512" s="680"/>
      <c r="AF512" s="675"/>
      <c r="AH512" s="675"/>
    </row>
    <row r="513" spans="1:34" s="536" customFormat="1" ht="12" x14ac:dyDescent="0.2">
      <c r="A513" s="605"/>
      <c r="B513" s="552"/>
      <c r="C513" s="1828" t="s">
        <v>318</v>
      </c>
      <c r="D513" s="1828"/>
      <c r="E513" s="1828"/>
      <c r="F513" s="608"/>
      <c r="G513" s="608"/>
      <c r="H513" s="608"/>
      <c r="I513" s="608"/>
      <c r="J513" s="607">
        <v>5245.95</v>
      </c>
      <c r="K513" s="608"/>
      <c r="L513" s="607">
        <v>22.95</v>
      </c>
      <c r="M513" s="601"/>
      <c r="N513" s="606"/>
      <c r="V513" s="674"/>
      <c r="W513" s="675"/>
      <c r="AA513" s="537" t="s">
        <v>318</v>
      </c>
      <c r="AB513" s="675"/>
      <c r="AC513" s="680"/>
      <c r="AF513" s="675"/>
      <c r="AH513" s="675"/>
    </row>
    <row r="514" spans="1:34" s="536" customFormat="1" ht="12" x14ac:dyDescent="0.2">
      <c r="A514" s="605"/>
      <c r="B514" s="552"/>
      <c r="C514" s="1822" t="s">
        <v>319</v>
      </c>
      <c r="D514" s="1822"/>
      <c r="E514" s="1822"/>
      <c r="F514" s="562"/>
      <c r="G514" s="562"/>
      <c r="H514" s="562"/>
      <c r="I514" s="562"/>
      <c r="J514" s="604"/>
      <c r="K514" s="562"/>
      <c r="L514" s="604">
        <v>22.95</v>
      </c>
      <c r="M514" s="603"/>
      <c r="N514" s="602"/>
      <c r="V514" s="674"/>
      <c r="W514" s="675"/>
      <c r="Z514" s="537" t="s">
        <v>319</v>
      </c>
      <c r="AB514" s="675"/>
      <c r="AC514" s="680"/>
      <c r="AF514" s="675"/>
      <c r="AH514" s="675"/>
    </row>
    <row r="515" spans="1:34" s="536" customFormat="1" ht="33.75" x14ac:dyDescent="0.2">
      <c r="A515" s="605"/>
      <c r="B515" s="552" t="s">
        <v>673</v>
      </c>
      <c r="C515" s="1822" t="s">
        <v>674</v>
      </c>
      <c r="D515" s="1822"/>
      <c r="E515" s="1822"/>
      <c r="F515" s="562" t="s">
        <v>322</v>
      </c>
      <c r="G515" s="562" t="s">
        <v>323</v>
      </c>
      <c r="H515" s="562"/>
      <c r="I515" s="562" t="s">
        <v>323</v>
      </c>
      <c r="J515" s="604"/>
      <c r="K515" s="562"/>
      <c r="L515" s="604">
        <v>20.43</v>
      </c>
      <c r="M515" s="603"/>
      <c r="N515" s="602"/>
      <c r="V515" s="674"/>
      <c r="W515" s="675"/>
      <c r="Z515" s="537" t="s">
        <v>674</v>
      </c>
      <c r="AB515" s="675"/>
      <c r="AC515" s="680"/>
      <c r="AF515" s="675"/>
      <c r="AH515" s="675"/>
    </row>
    <row r="516" spans="1:34" s="536" customFormat="1" ht="33.75" x14ac:dyDescent="0.2">
      <c r="A516" s="605"/>
      <c r="B516" s="552" t="s">
        <v>675</v>
      </c>
      <c r="C516" s="1822" t="s">
        <v>676</v>
      </c>
      <c r="D516" s="1822"/>
      <c r="E516" s="1822"/>
      <c r="F516" s="562" t="s">
        <v>322</v>
      </c>
      <c r="G516" s="562" t="s">
        <v>677</v>
      </c>
      <c r="H516" s="562"/>
      <c r="I516" s="562" t="s">
        <v>677</v>
      </c>
      <c r="J516" s="604"/>
      <c r="K516" s="562"/>
      <c r="L516" s="604">
        <v>9.18</v>
      </c>
      <c r="M516" s="603"/>
      <c r="N516" s="602"/>
      <c r="V516" s="674"/>
      <c r="W516" s="675"/>
      <c r="Z516" s="537" t="s">
        <v>676</v>
      </c>
      <c r="AB516" s="675"/>
      <c r="AC516" s="680"/>
      <c r="AF516" s="675"/>
      <c r="AH516" s="675"/>
    </row>
    <row r="517" spans="1:34" s="536" customFormat="1" ht="12" x14ac:dyDescent="0.2">
      <c r="A517" s="569"/>
      <c r="B517" s="683"/>
      <c r="C517" s="1823" t="s">
        <v>327</v>
      </c>
      <c r="D517" s="1823"/>
      <c r="E517" s="1823"/>
      <c r="F517" s="573"/>
      <c r="G517" s="573"/>
      <c r="H517" s="573"/>
      <c r="I517" s="573"/>
      <c r="J517" s="572"/>
      <c r="K517" s="573"/>
      <c r="L517" s="572">
        <v>52.56</v>
      </c>
      <c r="M517" s="601"/>
      <c r="N517" s="570"/>
      <c r="V517" s="674"/>
      <c r="W517" s="675"/>
      <c r="AB517" s="675" t="s">
        <v>327</v>
      </c>
      <c r="AC517" s="680"/>
      <c r="AF517" s="675"/>
      <c r="AH517" s="675"/>
    </row>
    <row r="518" spans="1:34" s="536" customFormat="1" ht="22.5" x14ac:dyDescent="0.2">
      <c r="A518" s="575" t="s">
        <v>690</v>
      </c>
      <c r="B518" s="684" t="s">
        <v>678</v>
      </c>
      <c r="C518" s="1823" t="s">
        <v>679</v>
      </c>
      <c r="D518" s="1823"/>
      <c r="E518" s="1823"/>
      <c r="F518" s="573" t="s">
        <v>509</v>
      </c>
      <c r="G518" s="573"/>
      <c r="H518" s="573"/>
      <c r="I518" s="573" t="s">
        <v>669</v>
      </c>
      <c r="J518" s="572"/>
      <c r="K518" s="573"/>
      <c r="L518" s="572"/>
      <c r="M518" s="571"/>
      <c r="N518" s="570"/>
      <c r="V518" s="674"/>
      <c r="W518" s="675" t="s">
        <v>679</v>
      </c>
      <c r="AB518" s="675"/>
      <c r="AC518" s="680"/>
      <c r="AF518" s="675"/>
      <c r="AH518" s="675"/>
    </row>
    <row r="519" spans="1:34" s="536" customFormat="1" ht="12" x14ac:dyDescent="0.2">
      <c r="A519" s="676"/>
      <c r="B519" s="682"/>
      <c r="C519" s="1822" t="s">
        <v>670</v>
      </c>
      <c r="D519" s="1822"/>
      <c r="E519" s="1822"/>
      <c r="F519" s="1822"/>
      <c r="G519" s="1822"/>
      <c r="H519" s="1822"/>
      <c r="I519" s="1822"/>
      <c r="J519" s="1822"/>
      <c r="K519" s="1822"/>
      <c r="L519" s="1822"/>
      <c r="M519" s="1822"/>
      <c r="N519" s="1827"/>
      <c r="V519" s="674"/>
      <c r="W519" s="675"/>
      <c r="AB519" s="675"/>
      <c r="AC519" s="680"/>
      <c r="AE519" s="537" t="s">
        <v>670</v>
      </c>
      <c r="AF519" s="675"/>
      <c r="AH519" s="675"/>
    </row>
    <row r="520" spans="1:34" s="536" customFormat="1" ht="22.5" x14ac:dyDescent="0.2">
      <c r="A520" s="609"/>
      <c r="B520" s="552" t="s">
        <v>499</v>
      </c>
      <c r="C520" s="1822" t="s">
        <v>500</v>
      </c>
      <c r="D520" s="1822"/>
      <c r="E520" s="1822"/>
      <c r="F520" s="1822"/>
      <c r="G520" s="1822"/>
      <c r="H520" s="1822"/>
      <c r="I520" s="1822"/>
      <c r="J520" s="1822"/>
      <c r="K520" s="1822"/>
      <c r="L520" s="1822"/>
      <c r="M520" s="1822"/>
      <c r="N520" s="1827"/>
      <c r="V520" s="674"/>
      <c r="W520" s="675"/>
      <c r="X520" s="537" t="s">
        <v>500</v>
      </c>
      <c r="AB520" s="675"/>
      <c r="AC520" s="680"/>
      <c r="AF520" s="675"/>
      <c r="AH520" s="675"/>
    </row>
    <row r="521" spans="1:34" s="536" customFormat="1" ht="12" x14ac:dyDescent="0.2">
      <c r="A521" s="605"/>
      <c r="B521" s="552" t="s">
        <v>185</v>
      </c>
      <c r="C521" s="1822" t="s">
        <v>312</v>
      </c>
      <c r="D521" s="1822"/>
      <c r="E521" s="1822"/>
      <c r="F521" s="562"/>
      <c r="G521" s="562"/>
      <c r="H521" s="562"/>
      <c r="I521" s="562"/>
      <c r="J521" s="604">
        <v>3333.24</v>
      </c>
      <c r="K521" s="562" t="s">
        <v>313</v>
      </c>
      <c r="L521" s="604">
        <v>14.58</v>
      </c>
      <c r="M521" s="603"/>
      <c r="N521" s="602"/>
      <c r="V521" s="674"/>
      <c r="W521" s="675"/>
      <c r="Y521" s="537" t="s">
        <v>312</v>
      </c>
      <c r="AB521" s="675"/>
      <c r="AC521" s="680"/>
      <c r="AF521" s="675"/>
      <c r="AH521" s="675"/>
    </row>
    <row r="522" spans="1:34" s="536" customFormat="1" ht="12" x14ac:dyDescent="0.2">
      <c r="A522" s="605"/>
      <c r="B522" s="552" t="s">
        <v>186</v>
      </c>
      <c r="C522" s="1822" t="s">
        <v>344</v>
      </c>
      <c r="D522" s="1822"/>
      <c r="E522" s="1822"/>
      <c r="F522" s="562"/>
      <c r="G522" s="562"/>
      <c r="H522" s="562"/>
      <c r="I522" s="562"/>
      <c r="J522" s="604">
        <v>3487.73</v>
      </c>
      <c r="K522" s="562" t="s">
        <v>313</v>
      </c>
      <c r="L522" s="604">
        <v>15.26</v>
      </c>
      <c r="M522" s="603"/>
      <c r="N522" s="602"/>
      <c r="V522" s="674"/>
      <c r="W522" s="675"/>
      <c r="Y522" s="537" t="s">
        <v>344</v>
      </c>
      <c r="AB522" s="675"/>
      <c r="AC522" s="680"/>
      <c r="AF522" s="675"/>
      <c r="AH522" s="675"/>
    </row>
    <row r="523" spans="1:34" s="536" customFormat="1" ht="12" x14ac:dyDescent="0.2">
      <c r="A523" s="605"/>
      <c r="B523" s="552" t="s">
        <v>187</v>
      </c>
      <c r="C523" s="1822" t="s">
        <v>345</v>
      </c>
      <c r="D523" s="1822"/>
      <c r="E523" s="1822"/>
      <c r="F523" s="562"/>
      <c r="G523" s="562"/>
      <c r="H523" s="562"/>
      <c r="I523" s="562"/>
      <c r="J523" s="604">
        <v>480.73</v>
      </c>
      <c r="K523" s="562" t="s">
        <v>313</v>
      </c>
      <c r="L523" s="604">
        <v>2.1</v>
      </c>
      <c r="M523" s="603"/>
      <c r="N523" s="602"/>
      <c r="V523" s="674"/>
      <c r="W523" s="675"/>
      <c r="Y523" s="537" t="s">
        <v>345</v>
      </c>
      <c r="AB523" s="675"/>
      <c r="AC523" s="680"/>
      <c r="AF523" s="675"/>
      <c r="AH523" s="675"/>
    </row>
    <row r="524" spans="1:34" s="536" customFormat="1" ht="12" x14ac:dyDescent="0.2">
      <c r="A524" s="605"/>
      <c r="B524" s="552" t="s">
        <v>188</v>
      </c>
      <c r="C524" s="1822" t="s">
        <v>475</v>
      </c>
      <c r="D524" s="1822"/>
      <c r="E524" s="1822"/>
      <c r="F524" s="562"/>
      <c r="G524" s="562"/>
      <c r="H524" s="562"/>
      <c r="I524" s="562"/>
      <c r="J524" s="604">
        <v>3878.26</v>
      </c>
      <c r="K524" s="562"/>
      <c r="L524" s="604">
        <v>13.57</v>
      </c>
      <c r="M524" s="603"/>
      <c r="N524" s="602"/>
      <c r="V524" s="674"/>
      <c r="W524" s="675"/>
      <c r="Y524" s="537" t="s">
        <v>475</v>
      </c>
      <c r="AB524" s="675"/>
      <c r="AC524" s="680"/>
      <c r="AF524" s="675"/>
      <c r="AH524" s="675"/>
    </row>
    <row r="525" spans="1:34" s="536" customFormat="1" ht="12" x14ac:dyDescent="0.2">
      <c r="A525" s="676"/>
      <c r="B525" s="677" t="s">
        <v>639</v>
      </c>
      <c r="C525" s="1829" t="s">
        <v>640</v>
      </c>
      <c r="D525" s="1829"/>
      <c r="E525" s="1829"/>
      <c r="F525" s="678" t="s">
        <v>641</v>
      </c>
      <c r="G525" s="678" t="s">
        <v>680</v>
      </c>
      <c r="H525" s="678"/>
      <c r="I525" s="678" t="s">
        <v>681</v>
      </c>
      <c r="J525" s="552"/>
      <c r="K525" s="562"/>
      <c r="L525" s="604"/>
      <c r="M525" s="562"/>
      <c r="N525" s="679"/>
      <c r="V525" s="674"/>
      <c r="W525" s="675"/>
      <c r="AB525" s="675"/>
      <c r="AC525" s="680" t="s">
        <v>640</v>
      </c>
      <c r="AF525" s="675"/>
      <c r="AH525" s="675"/>
    </row>
    <row r="526" spans="1:34" s="536" customFormat="1" ht="12" x14ac:dyDescent="0.2">
      <c r="A526" s="605"/>
      <c r="B526" s="552"/>
      <c r="C526" s="1822" t="s">
        <v>314</v>
      </c>
      <c r="D526" s="1822"/>
      <c r="E526" s="1822"/>
      <c r="F526" s="562" t="s">
        <v>315</v>
      </c>
      <c r="G526" s="562" t="s">
        <v>682</v>
      </c>
      <c r="H526" s="562" t="s">
        <v>313</v>
      </c>
      <c r="I526" s="562" t="s">
        <v>683</v>
      </c>
      <c r="J526" s="604"/>
      <c r="K526" s="562"/>
      <c r="L526" s="604"/>
      <c r="M526" s="603"/>
      <c r="N526" s="602"/>
      <c r="V526" s="674"/>
      <c r="W526" s="675"/>
      <c r="Z526" s="537" t="s">
        <v>314</v>
      </c>
      <c r="AB526" s="675"/>
      <c r="AC526" s="680"/>
      <c r="AF526" s="675"/>
      <c r="AH526" s="675"/>
    </row>
    <row r="527" spans="1:34" s="536" customFormat="1" ht="12" x14ac:dyDescent="0.2">
      <c r="A527" s="605"/>
      <c r="B527" s="552"/>
      <c r="C527" s="1822" t="s">
        <v>348</v>
      </c>
      <c r="D527" s="1822"/>
      <c r="E527" s="1822"/>
      <c r="F527" s="562" t="s">
        <v>315</v>
      </c>
      <c r="G527" s="562" t="s">
        <v>684</v>
      </c>
      <c r="H527" s="562" t="s">
        <v>313</v>
      </c>
      <c r="I527" s="562" t="s">
        <v>685</v>
      </c>
      <c r="J527" s="604"/>
      <c r="K527" s="562"/>
      <c r="L527" s="604"/>
      <c r="M527" s="603"/>
      <c r="N527" s="602"/>
      <c r="V527" s="674"/>
      <c r="W527" s="675"/>
      <c r="Z527" s="537" t="s">
        <v>348</v>
      </c>
      <c r="AB527" s="675"/>
      <c r="AC527" s="680"/>
      <c r="AF527" s="675"/>
      <c r="AH527" s="675"/>
    </row>
    <row r="528" spans="1:34" s="536" customFormat="1" ht="12" x14ac:dyDescent="0.2">
      <c r="A528" s="605"/>
      <c r="B528" s="552"/>
      <c r="C528" s="1828" t="s">
        <v>318</v>
      </c>
      <c r="D528" s="1828"/>
      <c r="E528" s="1828"/>
      <c r="F528" s="608"/>
      <c r="G528" s="608"/>
      <c r="H528" s="608"/>
      <c r="I528" s="608"/>
      <c r="J528" s="607">
        <v>10699.23</v>
      </c>
      <c r="K528" s="608"/>
      <c r="L528" s="607">
        <v>43.41</v>
      </c>
      <c r="M528" s="601"/>
      <c r="N528" s="606"/>
      <c r="V528" s="674"/>
      <c r="W528" s="675"/>
      <c r="AA528" s="537" t="s">
        <v>318</v>
      </c>
      <c r="AB528" s="675"/>
      <c r="AC528" s="680"/>
      <c r="AF528" s="675"/>
      <c r="AH528" s="675"/>
    </row>
    <row r="529" spans="1:34" s="536" customFormat="1" ht="12" x14ac:dyDescent="0.2">
      <c r="A529" s="605"/>
      <c r="B529" s="552"/>
      <c r="C529" s="1822" t="s">
        <v>319</v>
      </c>
      <c r="D529" s="1822"/>
      <c r="E529" s="1822"/>
      <c r="F529" s="562"/>
      <c r="G529" s="562"/>
      <c r="H529" s="562"/>
      <c r="I529" s="562"/>
      <c r="J529" s="604"/>
      <c r="K529" s="562"/>
      <c r="L529" s="604">
        <v>16.68</v>
      </c>
      <c r="M529" s="603"/>
      <c r="N529" s="602"/>
      <c r="V529" s="674"/>
      <c r="W529" s="675"/>
      <c r="Z529" s="537" t="s">
        <v>319</v>
      </c>
      <c r="AB529" s="675"/>
      <c r="AC529" s="680"/>
      <c r="AF529" s="675"/>
      <c r="AH529" s="675"/>
    </row>
    <row r="530" spans="1:34" s="536" customFormat="1" ht="33.75" x14ac:dyDescent="0.2">
      <c r="A530" s="605"/>
      <c r="B530" s="552" t="s">
        <v>686</v>
      </c>
      <c r="C530" s="1822" t="s">
        <v>687</v>
      </c>
      <c r="D530" s="1822"/>
      <c r="E530" s="1822"/>
      <c r="F530" s="562" t="s">
        <v>322</v>
      </c>
      <c r="G530" s="562" t="s">
        <v>680</v>
      </c>
      <c r="H530" s="562"/>
      <c r="I530" s="562" t="s">
        <v>680</v>
      </c>
      <c r="J530" s="604"/>
      <c r="K530" s="562"/>
      <c r="L530" s="604">
        <v>17.010000000000002</v>
      </c>
      <c r="M530" s="603"/>
      <c r="N530" s="602"/>
      <c r="V530" s="674"/>
      <c r="W530" s="675"/>
      <c r="Z530" s="537" t="s">
        <v>687</v>
      </c>
      <c r="AB530" s="675"/>
      <c r="AC530" s="680"/>
      <c r="AF530" s="675"/>
      <c r="AH530" s="675"/>
    </row>
    <row r="531" spans="1:34" s="536" customFormat="1" ht="33.75" x14ac:dyDescent="0.2">
      <c r="A531" s="605"/>
      <c r="B531" s="552" t="s">
        <v>688</v>
      </c>
      <c r="C531" s="1822" t="s">
        <v>689</v>
      </c>
      <c r="D531" s="1822"/>
      <c r="E531" s="1822"/>
      <c r="F531" s="562" t="s">
        <v>322</v>
      </c>
      <c r="G531" s="562" t="s">
        <v>690</v>
      </c>
      <c r="H531" s="562"/>
      <c r="I531" s="562" t="s">
        <v>690</v>
      </c>
      <c r="J531" s="604"/>
      <c r="K531" s="562"/>
      <c r="L531" s="604">
        <v>9.67</v>
      </c>
      <c r="M531" s="603"/>
      <c r="N531" s="602"/>
      <c r="V531" s="674"/>
      <c r="W531" s="675"/>
      <c r="Z531" s="537" t="s">
        <v>689</v>
      </c>
      <c r="AB531" s="675"/>
      <c r="AC531" s="680"/>
      <c r="AF531" s="675"/>
      <c r="AH531" s="675"/>
    </row>
    <row r="532" spans="1:34" s="536" customFormat="1" ht="12" x14ac:dyDescent="0.2">
      <c r="A532" s="569"/>
      <c r="B532" s="683"/>
      <c r="C532" s="1823" t="s">
        <v>327</v>
      </c>
      <c r="D532" s="1823"/>
      <c r="E532" s="1823"/>
      <c r="F532" s="573"/>
      <c r="G532" s="573"/>
      <c r="H532" s="573"/>
      <c r="I532" s="573"/>
      <c r="J532" s="572"/>
      <c r="K532" s="573"/>
      <c r="L532" s="572">
        <v>70.09</v>
      </c>
      <c r="M532" s="601"/>
      <c r="N532" s="570"/>
      <c r="V532" s="674"/>
      <c r="W532" s="675"/>
      <c r="AB532" s="675" t="s">
        <v>327</v>
      </c>
      <c r="AC532" s="680"/>
      <c r="AF532" s="675"/>
      <c r="AH532" s="675"/>
    </row>
    <row r="533" spans="1:34" s="536" customFormat="1" ht="22.5" x14ac:dyDescent="0.2">
      <c r="A533" s="575" t="s">
        <v>792</v>
      </c>
      <c r="B533" s="684" t="s">
        <v>654</v>
      </c>
      <c r="C533" s="1823" t="s">
        <v>655</v>
      </c>
      <c r="D533" s="1823"/>
      <c r="E533" s="1823"/>
      <c r="F533" s="573" t="s">
        <v>641</v>
      </c>
      <c r="G533" s="573"/>
      <c r="H533" s="573"/>
      <c r="I533" s="573" t="s">
        <v>681</v>
      </c>
      <c r="J533" s="572">
        <v>592.76</v>
      </c>
      <c r="K533" s="573"/>
      <c r="L533" s="572">
        <v>211.62</v>
      </c>
      <c r="M533" s="571"/>
      <c r="N533" s="570"/>
      <c r="V533" s="674"/>
      <c r="W533" s="675" t="s">
        <v>655</v>
      </c>
      <c r="AB533" s="675"/>
      <c r="AC533" s="680"/>
      <c r="AF533" s="675"/>
      <c r="AH533" s="675"/>
    </row>
    <row r="534" spans="1:34" s="536" customFormat="1" ht="12" x14ac:dyDescent="0.2">
      <c r="A534" s="569"/>
      <c r="B534" s="683"/>
      <c r="C534" s="689" t="s">
        <v>656</v>
      </c>
      <c r="D534" s="690"/>
      <c r="E534" s="690"/>
      <c r="F534" s="563"/>
      <c r="G534" s="563"/>
      <c r="H534" s="563"/>
      <c r="I534" s="563"/>
      <c r="J534" s="566"/>
      <c r="K534" s="563"/>
      <c r="L534" s="566"/>
      <c r="M534" s="565"/>
      <c r="N534" s="564"/>
      <c r="V534" s="674"/>
      <c r="W534" s="675"/>
      <c r="AB534" s="675"/>
      <c r="AC534" s="680"/>
      <c r="AF534" s="675"/>
      <c r="AH534" s="675"/>
    </row>
    <row r="535" spans="1:34" s="536" customFormat="1" ht="22.5" x14ac:dyDescent="0.2">
      <c r="A535" s="609"/>
      <c r="B535" s="552" t="s">
        <v>499</v>
      </c>
      <c r="C535" s="1822" t="s">
        <v>500</v>
      </c>
      <c r="D535" s="1822"/>
      <c r="E535" s="1822"/>
      <c r="F535" s="1822"/>
      <c r="G535" s="1822"/>
      <c r="H535" s="1822"/>
      <c r="I535" s="1822"/>
      <c r="J535" s="1822"/>
      <c r="K535" s="1822"/>
      <c r="L535" s="1822"/>
      <c r="M535" s="1822"/>
      <c r="N535" s="1827"/>
      <c r="V535" s="674"/>
      <c r="W535" s="675"/>
      <c r="X535" s="537" t="s">
        <v>500</v>
      </c>
      <c r="AB535" s="675"/>
      <c r="AC535" s="680"/>
      <c r="AF535" s="675"/>
      <c r="AH535" s="675"/>
    </row>
    <row r="536" spans="1:34" s="536" customFormat="1" ht="33.75" x14ac:dyDescent="0.2">
      <c r="A536" s="575" t="s">
        <v>713</v>
      </c>
      <c r="B536" s="684" t="s">
        <v>657</v>
      </c>
      <c r="C536" s="1823" t="s">
        <v>658</v>
      </c>
      <c r="D536" s="1823"/>
      <c r="E536" s="1823"/>
      <c r="F536" s="573" t="s">
        <v>641</v>
      </c>
      <c r="G536" s="573"/>
      <c r="H536" s="573"/>
      <c r="I536" s="573" t="s">
        <v>691</v>
      </c>
      <c r="J536" s="572">
        <v>18.04</v>
      </c>
      <c r="K536" s="573"/>
      <c r="L536" s="572">
        <v>6.31</v>
      </c>
      <c r="M536" s="571"/>
      <c r="N536" s="570"/>
      <c r="V536" s="674"/>
      <c r="W536" s="675" t="s">
        <v>658</v>
      </c>
      <c r="AB536" s="675"/>
      <c r="AC536" s="680"/>
      <c r="AF536" s="675"/>
      <c r="AH536" s="675"/>
    </row>
    <row r="537" spans="1:34" s="536" customFormat="1" ht="12" x14ac:dyDescent="0.2">
      <c r="A537" s="569"/>
      <c r="B537" s="683"/>
      <c r="C537" s="689" t="s">
        <v>656</v>
      </c>
      <c r="D537" s="690"/>
      <c r="E537" s="690"/>
      <c r="F537" s="563"/>
      <c r="G537" s="563"/>
      <c r="H537" s="563"/>
      <c r="I537" s="563"/>
      <c r="J537" s="566"/>
      <c r="K537" s="563"/>
      <c r="L537" s="566"/>
      <c r="M537" s="565"/>
      <c r="N537" s="564"/>
      <c r="V537" s="674"/>
      <c r="W537" s="675"/>
      <c r="AB537" s="675"/>
      <c r="AC537" s="680"/>
      <c r="AF537" s="675"/>
      <c r="AH537" s="675"/>
    </row>
    <row r="538" spans="1:34" s="536" customFormat="1" ht="12" x14ac:dyDescent="0.2">
      <c r="A538" s="676"/>
      <c r="B538" s="682"/>
      <c r="C538" s="1822" t="s">
        <v>659</v>
      </c>
      <c r="D538" s="1822"/>
      <c r="E538" s="1822"/>
      <c r="F538" s="1822"/>
      <c r="G538" s="1822"/>
      <c r="H538" s="1822"/>
      <c r="I538" s="1822"/>
      <c r="J538" s="1822"/>
      <c r="K538" s="1822"/>
      <c r="L538" s="1822"/>
      <c r="M538" s="1822"/>
      <c r="N538" s="1827"/>
      <c r="V538" s="674"/>
      <c r="W538" s="675"/>
      <c r="AB538" s="675"/>
      <c r="AC538" s="680"/>
      <c r="AD538" s="537" t="s">
        <v>659</v>
      </c>
      <c r="AF538" s="675"/>
      <c r="AH538" s="675"/>
    </row>
    <row r="539" spans="1:34" s="536" customFormat="1" ht="22.5" x14ac:dyDescent="0.2">
      <c r="A539" s="609"/>
      <c r="B539" s="552" t="s">
        <v>499</v>
      </c>
      <c r="C539" s="1822" t="s">
        <v>500</v>
      </c>
      <c r="D539" s="1822"/>
      <c r="E539" s="1822"/>
      <c r="F539" s="1822"/>
      <c r="G539" s="1822"/>
      <c r="H539" s="1822"/>
      <c r="I539" s="1822"/>
      <c r="J539" s="1822"/>
      <c r="K539" s="1822"/>
      <c r="L539" s="1822"/>
      <c r="M539" s="1822"/>
      <c r="N539" s="1827"/>
      <c r="V539" s="674"/>
      <c r="W539" s="675"/>
      <c r="X539" s="537" t="s">
        <v>500</v>
      </c>
      <c r="AB539" s="675"/>
      <c r="AC539" s="680"/>
      <c r="AF539" s="675"/>
      <c r="AH539" s="675"/>
    </row>
    <row r="540" spans="1:34" s="536" customFormat="1" ht="22.5" x14ac:dyDescent="0.2">
      <c r="A540" s="575" t="s">
        <v>793</v>
      </c>
      <c r="B540" s="684" t="s">
        <v>692</v>
      </c>
      <c r="C540" s="1823" t="s">
        <v>693</v>
      </c>
      <c r="D540" s="1823"/>
      <c r="E540" s="1823"/>
      <c r="F540" s="573" t="s">
        <v>694</v>
      </c>
      <c r="G540" s="573"/>
      <c r="H540" s="573"/>
      <c r="I540" s="573" t="s">
        <v>695</v>
      </c>
      <c r="J540" s="572"/>
      <c r="K540" s="573"/>
      <c r="L540" s="572"/>
      <c r="M540" s="571"/>
      <c r="N540" s="570"/>
      <c r="V540" s="674"/>
      <c r="W540" s="675" t="s">
        <v>693</v>
      </c>
      <c r="AB540" s="675"/>
      <c r="AC540" s="680"/>
      <c r="AF540" s="675"/>
      <c r="AH540" s="675"/>
    </row>
    <row r="541" spans="1:34" s="536" customFormat="1" ht="12" x14ac:dyDescent="0.2">
      <c r="A541" s="676"/>
      <c r="B541" s="682"/>
      <c r="C541" s="1822" t="s">
        <v>696</v>
      </c>
      <c r="D541" s="1822"/>
      <c r="E541" s="1822"/>
      <c r="F541" s="1822"/>
      <c r="G541" s="1822"/>
      <c r="H541" s="1822"/>
      <c r="I541" s="1822"/>
      <c r="J541" s="1822"/>
      <c r="K541" s="1822"/>
      <c r="L541" s="1822"/>
      <c r="M541" s="1822"/>
      <c r="N541" s="1827"/>
      <c r="V541" s="674"/>
      <c r="W541" s="675"/>
      <c r="AB541" s="675"/>
      <c r="AC541" s="680"/>
      <c r="AE541" s="537" t="s">
        <v>696</v>
      </c>
      <c r="AF541" s="675"/>
      <c r="AH541" s="675"/>
    </row>
    <row r="542" spans="1:34" s="536" customFormat="1" ht="22.5" x14ac:dyDescent="0.2">
      <c r="A542" s="609"/>
      <c r="B542" s="552" t="s">
        <v>499</v>
      </c>
      <c r="C542" s="1822" t="s">
        <v>500</v>
      </c>
      <c r="D542" s="1822"/>
      <c r="E542" s="1822"/>
      <c r="F542" s="1822"/>
      <c r="G542" s="1822"/>
      <c r="H542" s="1822"/>
      <c r="I542" s="1822"/>
      <c r="J542" s="1822"/>
      <c r="K542" s="1822"/>
      <c r="L542" s="1822"/>
      <c r="M542" s="1822"/>
      <c r="N542" s="1827"/>
      <c r="V542" s="674"/>
      <c r="W542" s="675"/>
      <c r="X542" s="537" t="s">
        <v>500</v>
      </c>
      <c r="AB542" s="675"/>
      <c r="AC542" s="680"/>
      <c r="AF542" s="675"/>
      <c r="AH542" s="675"/>
    </row>
    <row r="543" spans="1:34" s="536" customFormat="1" ht="12" x14ac:dyDescent="0.2">
      <c r="A543" s="605"/>
      <c r="B543" s="552" t="s">
        <v>185</v>
      </c>
      <c r="C543" s="1822" t="s">
        <v>312</v>
      </c>
      <c r="D543" s="1822"/>
      <c r="E543" s="1822"/>
      <c r="F543" s="562"/>
      <c r="G543" s="562"/>
      <c r="H543" s="562"/>
      <c r="I543" s="562"/>
      <c r="J543" s="604">
        <v>170.9</v>
      </c>
      <c r="K543" s="562" t="s">
        <v>313</v>
      </c>
      <c r="L543" s="604">
        <v>4.2699999999999996</v>
      </c>
      <c r="M543" s="603"/>
      <c r="N543" s="602"/>
      <c r="V543" s="674"/>
      <c r="W543" s="675"/>
      <c r="Y543" s="537" t="s">
        <v>312</v>
      </c>
      <c r="AB543" s="675"/>
      <c r="AC543" s="680"/>
      <c r="AF543" s="675"/>
      <c r="AH543" s="675"/>
    </row>
    <row r="544" spans="1:34" s="536" customFormat="1" ht="12" x14ac:dyDescent="0.2">
      <c r="A544" s="605"/>
      <c r="B544" s="552" t="s">
        <v>186</v>
      </c>
      <c r="C544" s="1822" t="s">
        <v>344</v>
      </c>
      <c r="D544" s="1822"/>
      <c r="E544" s="1822"/>
      <c r="F544" s="562"/>
      <c r="G544" s="562"/>
      <c r="H544" s="562"/>
      <c r="I544" s="562"/>
      <c r="J544" s="604">
        <v>598.98</v>
      </c>
      <c r="K544" s="562" t="s">
        <v>313</v>
      </c>
      <c r="L544" s="604">
        <v>14.97</v>
      </c>
      <c r="M544" s="603"/>
      <c r="N544" s="602"/>
      <c r="V544" s="674"/>
      <c r="W544" s="675"/>
      <c r="Y544" s="537" t="s">
        <v>344</v>
      </c>
      <c r="AB544" s="675"/>
      <c r="AC544" s="680"/>
      <c r="AF544" s="675"/>
      <c r="AH544" s="675"/>
    </row>
    <row r="545" spans="1:34" s="536" customFormat="1" ht="12" x14ac:dyDescent="0.2">
      <c r="A545" s="605"/>
      <c r="B545" s="552" t="s">
        <v>187</v>
      </c>
      <c r="C545" s="1822" t="s">
        <v>345</v>
      </c>
      <c r="D545" s="1822"/>
      <c r="E545" s="1822"/>
      <c r="F545" s="562"/>
      <c r="G545" s="562"/>
      <c r="H545" s="562"/>
      <c r="I545" s="562"/>
      <c r="J545" s="604">
        <v>63.14</v>
      </c>
      <c r="K545" s="562" t="s">
        <v>313</v>
      </c>
      <c r="L545" s="604">
        <v>1.58</v>
      </c>
      <c r="M545" s="603"/>
      <c r="N545" s="602"/>
      <c r="V545" s="674"/>
      <c r="W545" s="675"/>
      <c r="Y545" s="537" t="s">
        <v>345</v>
      </c>
      <c r="AB545" s="675"/>
      <c r="AC545" s="680"/>
      <c r="AF545" s="675"/>
      <c r="AH545" s="675"/>
    </row>
    <row r="546" spans="1:34" s="536" customFormat="1" ht="12" x14ac:dyDescent="0.2">
      <c r="A546" s="605"/>
      <c r="B546" s="552" t="s">
        <v>188</v>
      </c>
      <c r="C546" s="1822" t="s">
        <v>475</v>
      </c>
      <c r="D546" s="1822"/>
      <c r="E546" s="1822"/>
      <c r="F546" s="562"/>
      <c r="G546" s="562"/>
      <c r="H546" s="562"/>
      <c r="I546" s="562"/>
      <c r="J546" s="604">
        <v>123.78</v>
      </c>
      <c r="K546" s="562"/>
      <c r="L546" s="604">
        <v>2.48</v>
      </c>
      <c r="M546" s="603"/>
      <c r="N546" s="602"/>
      <c r="V546" s="674"/>
      <c r="W546" s="675"/>
      <c r="Y546" s="537" t="s">
        <v>475</v>
      </c>
      <c r="AB546" s="675"/>
      <c r="AC546" s="680"/>
      <c r="AF546" s="675"/>
      <c r="AH546" s="675"/>
    </row>
    <row r="547" spans="1:34" s="536" customFormat="1" ht="22.5" x14ac:dyDescent="0.2">
      <c r="A547" s="676"/>
      <c r="B547" s="677" t="s">
        <v>697</v>
      </c>
      <c r="C547" s="1829" t="s">
        <v>698</v>
      </c>
      <c r="D547" s="1829"/>
      <c r="E547" s="1829"/>
      <c r="F547" s="678" t="s">
        <v>699</v>
      </c>
      <c r="G547" s="678" t="s">
        <v>525</v>
      </c>
      <c r="H547" s="678"/>
      <c r="I547" s="678" t="s">
        <v>525</v>
      </c>
      <c r="J547" s="552"/>
      <c r="K547" s="562"/>
      <c r="L547" s="604"/>
      <c r="M547" s="562"/>
      <c r="N547" s="679"/>
      <c r="V547" s="674"/>
      <c r="W547" s="675"/>
      <c r="AB547" s="675"/>
      <c r="AC547" s="680" t="s">
        <v>698</v>
      </c>
      <c r="AF547" s="675"/>
      <c r="AH547" s="675"/>
    </row>
    <row r="548" spans="1:34" s="536" customFormat="1" ht="22.5" x14ac:dyDescent="0.2">
      <c r="A548" s="676"/>
      <c r="B548" s="677" t="s">
        <v>700</v>
      </c>
      <c r="C548" s="1829" t="s">
        <v>701</v>
      </c>
      <c r="D548" s="1829"/>
      <c r="E548" s="1829"/>
      <c r="F548" s="678" t="s">
        <v>694</v>
      </c>
      <c r="G548" s="678" t="s">
        <v>702</v>
      </c>
      <c r="H548" s="678"/>
      <c r="I548" s="678" t="s">
        <v>703</v>
      </c>
      <c r="J548" s="552"/>
      <c r="K548" s="562"/>
      <c r="L548" s="604"/>
      <c r="M548" s="562"/>
      <c r="N548" s="679"/>
      <c r="V548" s="674"/>
      <c r="W548" s="675"/>
      <c r="AB548" s="675"/>
      <c r="AC548" s="680" t="s">
        <v>701</v>
      </c>
      <c r="AF548" s="675"/>
      <c r="AH548" s="675"/>
    </row>
    <row r="549" spans="1:34" s="536" customFormat="1" ht="12" x14ac:dyDescent="0.2">
      <c r="A549" s="605"/>
      <c r="B549" s="552"/>
      <c r="C549" s="1822" t="s">
        <v>314</v>
      </c>
      <c r="D549" s="1822"/>
      <c r="E549" s="1822"/>
      <c r="F549" s="562" t="s">
        <v>315</v>
      </c>
      <c r="G549" s="562" t="s">
        <v>704</v>
      </c>
      <c r="H549" s="562" t="s">
        <v>313</v>
      </c>
      <c r="I549" s="562" t="s">
        <v>705</v>
      </c>
      <c r="J549" s="604"/>
      <c r="K549" s="562"/>
      <c r="L549" s="604"/>
      <c r="M549" s="603"/>
      <c r="N549" s="602"/>
      <c r="V549" s="674"/>
      <c r="W549" s="675"/>
      <c r="Z549" s="537" t="s">
        <v>314</v>
      </c>
      <c r="AB549" s="675"/>
      <c r="AC549" s="680"/>
      <c r="AF549" s="675"/>
      <c r="AH549" s="675"/>
    </row>
    <row r="550" spans="1:34" s="536" customFormat="1" ht="12" x14ac:dyDescent="0.2">
      <c r="A550" s="605"/>
      <c r="B550" s="552"/>
      <c r="C550" s="1822" t="s">
        <v>348</v>
      </c>
      <c r="D550" s="1822"/>
      <c r="E550" s="1822"/>
      <c r="F550" s="562" t="s">
        <v>315</v>
      </c>
      <c r="G550" s="562" t="s">
        <v>706</v>
      </c>
      <c r="H550" s="562" t="s">
        <v>313</v>
      </c>
      <c r="I550" s="562" t="s">
        <v>707</v>
      </c>
      <c r="J550" s="604"/>
      <c r="K550" s="562"/>
      <c r="L550" s="604"/>
      <c r="M550" s="603"/>
      <c r="N550" s="602"/>
      <c r="V550" s="674"/>
      <c r="W550" s="675"/>
      <c r="Z550" s="537" t="s">
        <v>348</v>
      </c>
      <c r="AB550" s="675"/>
      <c r="AC550" s="680"/>
      <c r="AF550" s="675"/>
      <c r="AH550" s="675"/>
    </row>
    <row r="551" spans="1:34" s="536" customFormat="1" ht="12" x14ac:dyDescent="0.2">
      <c r="A551" s="605"/>
      <c r="B551" s="552"/>
      <c r="C551" s="1828" t="s">
        <v>318</v>
      </c>
      <c r="D551" s="1828"/>
      <c r="E551" s="1828"/>
      <c r="F551" s="608"/>
      <c r="G551" s="608"/>
      <c r="H551" s="608"/>
      <c r="I551" s="608"/>
      <c r="J551" s="607">
        <v>893.66</v>
      </c>
      <c r="K551" s="608"/>
      <c r="L551" s="607">
        <v>21.72</v>
      </c>
      <c r="M551" s="601"/>
      <c r="N551" s="606"/>
      <c r="V551" s="674"/>
      <c r="W551" s="675"/>
      <c r="AA551" s="537" t="s">
        <v>318</v>
      </c>
      <c r="AB551" s="675"/>
      <c r="AC551" s="680"/>
      <c r="AF551" s="675"/>
      <c r="AH551" s="675"/>
    </row>
    <row r="552" spans="1:34" s="536" customFormat="1" ht="12" x14ac:dyDescent="0.2">
      <c r="A552" s="605"/>
      <c r="B552" s="552"/>
      <c r="C552" s="1822" t="s">
        <v>319</v>
      </c>
      <c r="D552" s="1822"/>
      <c r="E552" s="1822"/>
      <c r="F552" s="562"/>
      <c r="G552" s="562"/>
      <c r="H552" s="562"/>
      <c r="I552" s="562"/>
      <c r="J552" s="604"/>
      <c r="K552" s="562"/>
      <c r="L552" s="604">
        <v>5.85</v>
      </c>
      <c r="M552" s="603"/>
      <c r="N552" s="602"/>
      <c r="V552" s="674"/>
      <c r="W552" s="675"/>
      <c r="Z552" s="537" t="s">
        <v>319</v>
      </c>
      <c r="AB552" s="675"/>
      <c r="AC552" s="680"/>
      <c r="AF552" s="675"/>
      <c r="AH552" s="675"/>
    </row>
    <row r="553" spans="1:34" s="536" customFormat="1" ht="33.75" x14ac:dyDescent="0.2">
      <c r="A553" s="605"/>
      <c r="B553" s="552" t="s">
        <v>708</v>
      </c>
      <c r="C553" s="1822" t="s">
        <v>709</v>
      </c>
      <c r="D553" s="1822"/>
      <c r="E553" s="1822"/>
      <c r="F553" s="562" t="s">
        <v>322</v>
      </c>
      <c r="G553" s="562" t="s">
        <v>710</v>
      </c>
      <c r="H553" s="562"/>
      <c r="I553" s="562" t="s">
        <v>710</v>
      </c>
      <c r="J553" s="604"/>
      <c r="K553" s="562"/>
      <c r="L553" s="604">
        <v>6.03</v>
      </c>
      <c r="M553" s="603"/>
      <c r="N553" s="602"/>
      <c r="V553" s="674"/>
      <c r="W553" s="675"/>
      <c r="Z553" s="537" t="s">
        <v>709</v>
      </c>
      <c r="AB553" s="675"/>
      <c r="AC553" s="680"/>
      <c r="AF553" s="675"/>
      <c r="AH553" s="675"/>
    </row>
    <row r="554" spans="1:34" s="536" customFormat="1" ht="33.75" x14ac:dyDescent="0.2">
      <c r="A554" s="605"/>
      <c r="B554" s="552" t="s">
        <v>711</v>
      </c>
      <c r="C554" s="1822" t="s">
        <v>712</v>
      </c>
      <c r="D554" s="1822"/>
      <c r="E554" s="1822"/>
      <c r="F554" s="562" t="s">
        <v>322</v>
      </c>
      <c r="G554" s="562" t="s">
        <v>713</v>
      </c>
      <c r="H554" s="562"/>
      <c r="I554" s="562" t="s">
        <v>713</v>
      </c>
      <c r="J554" s="604"/>
      <c r="K554" s="562"/>
      <c r="L554" s="604">
        <v>3.51</v>
      </c>
      <c r="M554" s="603"/>
      <c r="N554" s="602"/>
      <c r="V554" s="674"/>
      <c r="W554" s="675"/>
      <c r="Z554" s="537" t="s">
        <v>712</v>
      </c>
      <c r="AB554" s="675"/>
      <c r="AC554" s="680"/>
      <c r="AF554" s="675"/>
      <c r="AH554" s="675"/>
    </row>
    <row r="555" spans="1:34" s="536" customFormat="1" ht="12" x14ac:dyDescent="0.2">
      <c r="A555" s="569"/>
      <c r="B555" s="683"/>
      <c r="C555" s="1823" t="s">
        <v>327</v>
      </c>
      <c r="D555" s="1823"/>
      <c r="E555" s="1823"/>
      <c r="F555" s="573"/>
      <c r="G555" s="573"/>
      <c r="H555" s="573"/>
      <c r="I555" s="573"/>
      <c r="J555" s="572"/>
      <c r="K555" s="573"/>
      <c r="L555" s="572">
        <v>31.26</v>
      </c>
      <c r="M555" s="601"/>
      <c r="N555" s="570"/>
      <c r="V555" s="674"/>
      <c r="W555" s="675"/>
      <c r="AB555" s="675" t="s">
        <v>327</v>
      </c>
      <c r="AC555" s="680"/>
      <c r="AF555" s="675"/>
      <c r="AH555" s="675"/>
    </row>
    <row r="556" spans="1:34" s="536" customFormat="1" ht="33.75" x14ac:dyDescent="0.2">
      <c r="A556" s="575" t="s">
        <v>653</v>
      </c>
      <c r="B556" s="684" t="s">
        <v>714</v>
      </c>
      <c r="C556" s="1823" t="s">
        <v>715</v>
      </c>
      <c r="D556" s="1823"/>
      <c r="E556" s="1823"/>
      <c r="F556" s="573" t="s">
        <v>628</v>
      </c>
      <c r="G556" s="573"/>
      <c r="H556" s="573"/>
      <c r="I556" s="573" t="s">
        <v>185</v>
      </c>
      <c r="J556" s="572">
        <v>9081.67</v>
      </c>
      <c r="K556" s="573" t="s">
        <v>716</v>
      </c>
      <c r="L556" s="572">
        <v>1113.3399999999999</v>
      </c>
      <c r="M556" s="571">
        <v>8.32</v>
      </c>
      <c r="N556" s="570">
        <v>9263</v>
      </c>
      <c r="V556" s="674"/>
      <c r="W556" s="675" t="s">
        <v>715</v>
      </c>
      <c r="AB556" s="675"/>
      <c r="AC556" s="680"/>
      <c r="AF556" s="675"/>
      <c r="AH556" s="675"/>
    </row>
    <row r="557" spans="1:34" s="536" customFormat="1" ht="12" x14ac:dyDescent="0.2">
      <c r="A557" s="569"/>
      <c r="B557" s="683"/>
      <c r="C557" s="689" t="s">
        <v>717</v>
      </c>
      <c r="D557" s="690"/>
      <c r="E557" s="690"/>
      <c r="F557" s="563"/>
      <c r="G557" s="563"/>
      <c r="H557" s="563"/>
      <c r="I557" s="563"/>
      <c r="J557" s="566"/>
      <c r="K557" s="563"/>
      <c r="L557" s="566"/>
      <c r="M557" s="565"/>
      <c r="N557" s="564"/>
      <c r="V557" s="674"/>
      <c r="W557" s="675"/>
      <c r="AB557" s="675"/>
      <c r="AC557" s="680"/>
      <c r="AF557" s="675"/>
      <c r="AH557" s="675"/>
    </row>
    <row r="558" spans="1:34" s="536" customFormat="1" ht="22.5" x14ac:dyDescent="0.2">
      <c r="A558" s="609"/>
      <c r="B558" s="552" t="s">
        <v>718</v>
      </c>
      <c r="C558" s="1822" t="s">
        <v>719</v>
      </c>
      <c r="D558" s="1822"/>
      <c r="E558" s="1822"/>
      <c r="F558" s="1822"/>
      <c r="G558" s="1822"/>
      <c r="H558" s="1822"/>
      <c r="I558" s="1822"/>
      <c r="J558" s="1822"/>
      <c r="K558" s="1822"/>
      <c r="L558" s="1822"/>
      <c r="M558" s="1822"/>
      <c r="N558" s="1827"/>
      <c r="V558" s="674"/>
      <c r="W558" s="675"/>
      <c r="X558" s="537" t="s">
        <v>719</v>
      </c>
      <c r="AB558" s="675"/>
      <c r="AC558" s="680"/>
      <c r="AF558" s="675"/>
      <c r="AH558" s="675"/>
    </row>
    <row r="559" spans="1:34" s="536" customFormat="1" ht="12" x14ac:dyDescent="0.2">
      <c r="A559" s="575" t="s">
        <v>794</v>
      </c>
      <c r="B559" s="684" t="s">
        <v>720</v>
      </c>
      <c r="C559" s="1823" t="s">
        <v>721</v>
      </c>
      <c r="D559" s="1823"/>
      <c r="E559" s="1823"/>
      <c r="F559" s="573" t="s">
        <v>617</v>
      </c>
      <c r="G559" s="573"/>
      <c r="H559" s="573"/>
      <c r="I559" s="573" t="s">
        <v>185</v>
      </c>
      <c r="J559" s="572"/>
      <c r="K559" s="573"/>
      <c r="L559" s="572"/>
      <c r="M559" s="571"/>
      <c r="N559" s="570"/>
      <c r="V559" s="674"/>
      <c r="W559" s="675" t="s">
        <v>721</v>
      </c>
      <c r="AB559" s="675"/>
      <c r="AC559" s="680"/>
      <c r="AF559" s="675"/>
      <c r="AH559" s="675"/>
    </row>
    <row r="560" spans="1:34" s="536" customFormat="1" ht="22.5" x14ac:dyDescent="0.2">
      <c r="A560" s="609"/>
      <c r="B560" s="552" t="s">
        <v>499</v>
      </c>
      <c r="C560" s="1822" t="s">
        <v>500</v>
      </c>
      <c r="D560" s="1822"/>
      <c r="E560" s="1822"/>
      <c r="F560" s="1822"/>
      <c r="G560" s="1822"/>
      <c r="H560" s="1822"/>
      <c r="I560" s="1822"/>
      <c r="J560" s="1822"/>
      <c r="K560" s="1822"/>
      <c r="L560" s="1822"/>
      <c r="M560" s="1822"/>
      <c r="N560" s="1827"/>
      <c r="V560" s="674"/>
      <c r="W560" s="675"/>
      <c r="X560" s="537" t="s">
        <v>500</v>
      </c>
      <c r="AB560" s="675"/>
      <c r="AC560" s="680"/>
      <c r="AF560" s="675"/>
      <c r="AH560" s="675"/>
    </row>
    <row r="561" spans="1:34" s="536" customFormat="1" ht="12" x14ac:dyDescent="0.2">
      <c r="A561" s="605"/>
      <c r="B561" s="552" t="s">
        <v>185</v>
      </c>
      <c r="C561" s="1822" t="s">
        <v>312</v>
      </c>
      <c r="D561" s="1822"/>
      <c r="E561" s="1822"/>
      <c r="F561" s="562"/>
      <c r="G561" s="562"/>
      <c r="H561" s="562"/>
      <c r="I561" s="562"/>
      <c r="J561" s="604">
        <v>19.239999999999998</v>
      </c>
      <c r="K561" s="562" t="s">
        <v>313</v>
      </c>
      <c r="L561" s="604">
        <v>24.05</v>
      </c>
      <c r="M561" s="603"/>
      <c r="N561" s="602"/>
      <c r="V561" s="674"/>
      <c r="W561" s="675"/>
      <c r="Y561" s="537" t="s">
        <v>312</v>
      </c>
      <c r="AB561" s="675"/>
      <c r="AC561" s="680"/>
      <c r="AF561" s="675"/>
      <c r="AH561" s="675"/>
    </row>
    <row r="562" spans="1:34" s="536" customFormat="1" ht="12" x14ac:dyDescent="0.2">
      <c r="A562" s="605"/>
      <c r="B562" s="552" t="s">
        <v>188</v>
      </c>
      <c r="C562" s="1822" t="s">
        <v>475</v>
      </c>
      <c r="D562" s="1822"/>
      <c r="E562" s="1822"/>
      <c r="F562" s="562"/>
      <c r="G562" s="562"/>
      <c r="H562" s="562"/>
      <c r="I562" s="562"/>
      <c r="J562" s="604">
        <v>2.41</v>
      </c>
      <c r="K562" s="562"/>
      <c r="L562" s="604">
        <v>2.41</v>
      </c>
      <c r="M562" s="603"/>
      <c r="N562" s="602"/>
      <c r="V562" s="674"/>
      <c r="W562" s="675"/>
      <c r="Y562" s="537" t="s">
        <v>475</v>
      </c>
      <c r="AB562" s="675"/>
      <c r="AC562" s="680"/>
      <c r="AF562" s="675"/>
      <c r="AH562" s="675"/>
    </row>
    <row r="563" spans="1:34" s="536" customFormat="1" ht="12" x14ac:dyDescent="0.2">
      <c r="A563" s="605"/>
      <c r="B563" s="552"/>
      <c r="C563" s="1822" t="s">
        <v>314</v>
      </c>
      <c r="D563" s="1822"/>
      <c r="E563" s="1822"/>
      <c r="F563" s="562" t="s">
        <v>315</v>
      </c>
      <c r="G563" s="562" t="s">
        <v>186</v>
      </c>
      <c r="H563" s="562" t="s">
        <v>313</v>
      </c>
      <c r="I563" s="562" t="s">
        <v>722</v>
      </c>
      <c r="J563" s="604"/>
      <c r="K563" s="562"/>
      <c r="L563" s="604"/>
      <c r="M563" s="603"/>
      <c r="N563" s="602"/>
      <c r="V563" s="674"/>
      <c r="W563" s="675"/>
      <c r="Z563" s="537" t="s">
        <v>314</v>
      </c>
      <c r="AB563" s="675"/>
      <c r="AC563" s="680"/>
      <c r="AF563" s="675"/>
      <c r="AH563" s="675"/>
    </row>
    <row r="564" spans="1:34" s="536" customFormat="1" ht="12" x14ac:dyDescent="0.2">
      <c r="A564" s="605"/>
      <c r="B564" s="552"/>
      <c r="C564" s="1828" t="s">
        <v>318</v>
      </c>
      <c r="D564" s="1828"/>
      <c r="E564" s="1828"/>
      <c r="F564" s="608"/>
      <c r="G564" s="608"/>
      <c r="H564" s="608"/>
      <c r="I564" s="608"/>
      <c r="J564" s="607">
        <v>21.65</v>
      </c>
      <c r="K564" s="608"/>
      <c r="L564" s="607">
        <v>26.46</v>
      </c>
      <c r="M564" s="601"/>
      <c r="N564" s="606"/>
      <c r="V564" s="674"/>
      <c r="W564" s="675"/>
      <c r="AA564" s="537" t="s">
        <v>318</v>
      </c>
      <c r="AB564" s="675"/>
      <c r="AC564" s="680"/>
      <c r="AF564" s="675"/>
      <c r="AH564" s="675"/>
    </row>
    <row r="565" spans="1:34" s="536" customFormat="1" ht="12" x14ac:dyDescent="0.2">
      <c r="A565" s="605"/>
      <c r="B565" s="552"/>
      <c r="C565" s="1822" t="s">
        <v>319</v>
      </c>
      <c r="D565" s="1822"/>
      <c r="E565" s="1822"/>
      <c r="F565" s="562"/>
      <c r="G565" s="562"/>
      <c r="H565" s="562"/>
      <c r="I565" s="562"/>
      <c r="J565" s="604"/>
      <c r="K565" s="562"/>
      <c r="L565" s="604">
        <v>24.05</v>
      </c>
      <c r="M565" s="603"/>
      <c r="N565" s="602"/>
      <c r="V565" s="674"/>
      <c r="W565" s="675"/>
      <c r="Z565" s="537" t="s">
        <v>319</v>
      </c>
      <c r="AB565" s="675"/>
      <c r="AC565" s="680"/>
      <c r="AF565" s="675"/>
      <c r="AH565" s="675"/>
    </row>
    <row r="566" spans="1:34" s="536" customFormat="1" ht="33.75" x14ac:dyDescent="0.2">
      <c r="A566" s="605"/>
      <c r="B566" s="552" t="s">
        <v>620</v>
      </c>
      <c r="C566" s="1822" t="s">
        <v>621</v>
      </c>
      <c r="D566" s="1822"/>
      <c r="E566" s="1822"/>
      <c r="F566" s="562" t="s">
        <v>322</v>
      </c>
      <c r="G566" s="562" t="s">
        <v>559</v>
      </c>
      <c r="H566" s="562"/>
      <c r="I566" s="562" t="s">
        <v>559</v>
      </c>
      <c r="J566" s="604"/>
      <c r="K566" s="562"/>
      <c r="L566" s="604">
        <v>22.85</v>
      </c>
      <c r="M566" s="603"/>
      <c r="N566" s="602"/>
      <c r="V566" s="674"/>
      <c r="W566" s="675"/>
      <c r="Z566" s="537" t="s">
        <v>621</v>
      </c>
      <c r="AB566" s="675"/>
      <c r="AC566" s="680"/>
      <c r="AF566" s="675"/>
      <c r="AH566" s="675"/>
    </row>
    <row r="567" spans="1:34" s="536" customFormat="1" ht="33.75" x14ac:dyDescent="0.2">
      <c r="A567" s="605"/>
      <c r="B567" s="552" t="s">
        <v>622</v>
      </c>
      <c r="C567" s="1822" t="s">
        <v>623</v>
      </c>
      <c r="D567" s="1822"/>
      <c r="E567" s="1822"/>
      <c r="F567" s="562" t="s">
        <v>322</v>
      </c>
      <c r="G567" s="562" t="s">
        <v>624</v>
      </c>
      <c r="H567" s="562"/>
      <c r="I567" s="562" t="s">
        <v>624</v>
      </c>
      <c r="J567" s="604"/>
      <c r="K567" s="562"/>
      <c r="L567" s="604">
        <v>12.75</v>
      </c>
      <c r="M567" s="603"/>
      <c r="N567" s="602"/>
      <c r="V567" s="674"/>
      <c r="W567" s="675"/>
      <c r="Z567" s="537" t="s">
        <v>623</v>
      </c>
      <c r="AB567" s="675"/>
      <c r="AC567" s="680"/>
      <c r="AF567" s="675"/>
      <c r="AH567" s="675"/>
    </row>
    <row r="568" spans="1:34" s="536" customFormat="1" ht="12" x14ac:dyDescent="0.2">
      <c r="A568" s="569"/>
      <c r="B568" s="683"/>
      <c r="C568" s="1823" t="s">
        <v>327</v>
      </c>
      <c r="D568" s="1823"/>
      <c r="E568" s="1823"/>
      <c r="F568" s="573"/>
      <c r="G568" s="573"/>
      <c r="H568" s="573"/>
      <c r="I568" s="573"/>
      <c r="J568" s="572"/>
      <c r="K568" s="573"/>
      <c r="L568" s="572">
        <v>62.06</v>
      </c>
      <c r="M568" s="601"/>
      <c r="N568" s="570"/>
      <c r="V568" s="674"/>
      <c r="W568" s="675"/>
      <c r="AB568" s="675" t="s">
        <v>327</v>
      </c>
      <c r="AC568" s="680"/>
      <c r="AF568" s="675"/>
      <c r="AH568" s="675"/>
    </row>
    <row r="569" spans="1:34" s="536" customFormat="1" ht="33.75" x14ac:dyDescent="0.2">
      <c r="A569" s="575" t="s">
        <v>795</v>
      </c>
      <c r="B569" s="684" t="s">
        <v>724</v>
      </c>
      <c r="C569" s="1823" t="s">
        <v>725</v>
      </c>
      <c r="D569" s="1823"/>
      <c r="E569" s="1823"/>
      <c r="F569" s="573" t="s">
        <v>628</v>
      </c>
      <c r="G569" s="573"/>
      <c r="H569" s="573"/>
      <c r="I569" s="573" t="s">
        <v>185</v>
      </c>
      <c r="J569" s="572">
        <v>35895</v>
      </c>
      <c r="K569" s="573" t="s">
        <v>629</v>
      </c>
      <c r="L569" s="572">
        <v>7914.16</v>
      </c>
      <c r="M569" s="571">
        <v>4.59</v>
      </c>
      <c r="N569" s="570">
        <v>36326</v>
      </c>
      <c r="V569" s="674"/>
      <c r="W569" s="675" t="s">
        <v>725</v>
      </c>
      <c r="AB569" s="675"/>
      <c r="AC569" s="680"/>
      <c r="AF569" s="675"/>
      <c r="AH569" s="675"/>
    </row>
    <row r="570" spans="1:34" s="536" customFormat="1" ht="12" x14ac:dyDescent="0.2">
      <c r="A570" s="569"/>
      <c r="B570" s="683"/>
      <c r="C570" s="689" t="s">
        <v>630</v>
      </c>
      <c r="D570" s="690"/>
      <c r="E570" s="690"/>
      <c r="F570" s="563"/>
      <c r="G570" s="563"/>
      <c r="H570" s="563"/>
      <c r="I570" s="563"/>
      <c r="J570" s="566"/>
      <c r="K570" s="563"/>
      <c r="L570" s="566"/>
      <c r="M570" s="565"/>
      <c r="N570" s="564"/>
      <c r="V570" s="674"/>
      <c r="W570" s="675"/>
      <c r="AB570" s="675"/>
      <c r="AC570" s="680"/>
      <c r="AF570" s="675"/>
      <c r="AH570" s="675"/>
    </row>
    <row r="571" spans="1:34" s="536" customFormat="1" ht="22.5" x14ac:dyDescent="0.2">
      <c r="A571" s="609"/>
      <c r="B571" s="552" t="s">
        <v>631</v>
      </c>
      <c r="C571" s="1822" t="s">
        <v>632</v>
      </c>
      <c r="D571" s="1822"/>
      <c r="E571" s="1822"/>
      <c r="F571" s="1822"/>
      <c r="G571" s="1822"/>
      <c r="H571" s="1822"/>
      <c r="I571" s="1822"/>
      <c r="J571" s="1822"/>
      <c r="K571" s="1822"/>
      <c r="L571" s="1822"/>
      <c r="M571" s="1822"/>
      <c r="N571" s="1827"/>
      <c r="V571" s="674"/>
      <c r="W571" s="675"/>
      <c r="X571" s="537" t="s">
        <v>632</v>
      </c>
      <c r="AB571" s="675"/>
      <c r="AC571" s="680"/>
      <c r="AF571" s="675"/>
      <c r="AH571" s="675"/>
    </row>
    <row r="572" spans="1:34" s="536" customFormat="1" ht="22.5" x14ac:dyDescent="0.2">
      <c r="A572" s="575" t="s">
        <v>796</v>
      </c>
      <c r="B572" s="684" t="s">
        <v>726</v>
      </c>
      <c r="C572" s="1823" t="s">
        <v>727</v>
      </c>
      <c r="D572" s="1823"/>
      <c r="E572" s="1823"/>
      <c r="F572" s="573" t="s">
        <v>694</v>
      </c>
      <c r="G572" s="573"/>
      <c r="H572" s="573"/>
      <c r="I572" s="573" t="s">
        <v>728</v>
      </c>
      <c r="J572" s="572"/>
      <c r="K572" s="573"/>
      <c r="L572" s="572"/>
      <c r="M572" s="571"/>
      <c r="N572" s="570"/>
      <c r="V572" s="674"/>
      <c r="W572" s="675" t="s">
        <v>727</v>
      </c>
      <c r="AB572" s="675"/>
      <c r="AC572" s="680"/>
      <c r="AF572" s="675"/>
      <c r="AH572" s="675"/>
    </row>
    <row r="573" spans="1:34" s="536" customFormat="1" ht="12" x14ac:dyDescent="0.2">
      <c r="A573" s="676"/>
      <c r="B573" s="682"/>
      <c r="C573" s="1822" t="s">
        <v>729</v>
      </c>
      <c r="D573" s="1822"/>
      <c r="E573" s="1822"/>
      <c r="F573" s="1822"/>
      <c r="G573" s="1822"/>
      <c r="H573" s="1822"/>
      <c r="I573" s="1822"/>
      <c r="J573" s="1822"/>
      <c r="K573" s="1822"/>
      <c r="L573" s="1822"/>
      <c r="M573" s="1822"/>
      <c r="N573" s="1827"/>
      <c r="V573" s="674"/>
      <c r="W573" s="675"/>
      <c r="AB573" s="675"/>
      <c r="AC573" s="680"/>
      <c r="AE573" s="537" t="s">
        <v>729</v>
      </c>
      <c r="AF573" s="675"/>
      <c r="AH573" s="675"/>
    </row>
    <row r="574" spans="1:34" s="536" customFormat="1" ht="22.5" x14ac:dyDescent="0.2">
      <c r="A574" s="609"/>
      <c r="B574" s="552" t="s">
        <v>499</v>
      </c>
      <c r="C574" s="1822" t="s">
        <v>500</v>
      </c>
      <c r="D574" s="1822"/>
      <c r="E574" s="1822"/>
      <c r="F574" s="1822"/>
      <c r="G574" s="1822"/>
      <c r="H574" s="1822"/>
      <c r="I574" s="1822"/>
      <c r="J574" s="1822"/>
      <c r="K574" s="1822"/>
      <c r="L574" s="1822"/>
      <c r="M574" s="1822"/>
      <c r="N574" s="1827"/>
      <c r="V574" s="674"/>
      <c r="W574" s="675"/>
      <c r="X574" s="537" t="s">
        <v>500</v>
      </c>
      <c r="AB574" s="675"/>
      <c r="AC574" s="680"/>
      <c r="AF574" s="675"/>
      <c r="AH574" s="675"/>
    </row>
    <row r="575" spans="1:34" s="536" customFormat="1" ht="12" x14ac:dyDescent="0.2">
      <c r="A575" s="605"/>
      <c r="B575" s="552" t="s">
        <v>185</v>
      </c>
      <c r="C575" s="1822" t="s">
        <v>312</v>
      </c>
      <c r="D575" s="1822"/>
      <c r="E575" s="1822"/>
      <c r="F575" s="562"/>
      <c r="G575" s="562"/>
      <c r="H575" s="562"/>
      <c r="I575" s="562"/>
      <c r="J575" s="604">
        <v>211.11</v>
      </c>
      <c r="K575" s="562" t="s">
        <v>313</v>
      </c>
      <c r="L575" s="604">
        <v>10.56</v>
      </c>
      <c r="M575" s="603"/>
      <c r="N575" s="602"/>
      <c r="V575" s="674"/>
      <c r="W575" s="675"/>
      <c r="Y575" s="537" t="s">
        <v>312</v>
      </c>
      <c r="AB575" s="675"/>
      <c r="AC575" s="680"/>
      <c r="AF575" s="675"/>
      <c r="AH575" s="675"/>
    </row>
    <row r="576" spans="1:34" s="536" customFormat="1" ht="22.5" x14ac:dyDescent="0.2">
      <c r="A576" s="676"/>
      <c r="B576" s="677" t="s">
        <v>697</v>
      </c>
      <c r="C576" s="1829" t="s">
        <v>698</v>
      </c>
      <c r="D576" s="1829"/>
      <c r="E576" s="1829"/>
      <c r="F576" s="678" t="s">
        <v>699</v>
      </c>
      <c r="G576" s="678" t="s">
        <v>525</v>
      </c>
      <c r="H576" s="678"/>
      <c r="I576" s="678" t="s">
        <v>525</v>
      </c>
      <c r="J576" s="552"/>
      <c r="K576" s="562"/>
      <c r="L576" s="604"/>
      <c r="M576" s="562"/>
      <c r="N576" s="679"/>
      <c r="V576" s="674"/>
      <c r="W576" s="675"/>
      <c r="AB576" s="675"/>
      <c r="AC576" s="680" t="s">
        <v>698</v>
      </c>
      <c r="AF576" s="675"/>
      <c r="AH576" s="675"/>
    </row>
    <row r="577" spans="1:34" s="536" customFormat="1" ht="22.5" x14ac:dyDescent="0.2">
      <c r="A577" s="676"/>
      <c r="B577" s="677" t="s">
        <v>700</v>
      </c>
      <c r="C577" s="1829" t="s">
        <v>701</v>
      </c>
      <c r="D577" s="1829"/>
      <c r="E577" s="1829"/>
      <c r="F577" s="678" t="s">
        <v>694</v>
      </c>
      <c r="G577" s="678" t="s">
        <v>702</v>
      </c>
      <c r="H577" s="678"/>
      <c r="I577" s="678" t="s">
        <v>730</v>
      </c>
      <c r="J577" s="552"/>
      <c r="K577" s="562"/>
      <c r="L577" s="604"/>
      <c r="M577" s="562"/>
      <c r="N577" s="679"/>
      <c r="V577" s="674"/>
      <c r="W577" s="675"/>
      <c r="AB577" s="675"/>
      <c r="AC577" s="680" t="s">
        <v>701</v>
      </c>
      <c r="AF577" s="675"/>
      <c r="AH577" s="675"/>
    </row>
    <row r="578" spans="1:34" s="536" customFormat="1" ht="12" x14ac:dyDescent="0.2">
      <c r="A578" s="605"/>
      <c r="B578" s="552"/>
      <c r="C578" s="1822" t="s">
        <v>314</v>
      </c>
      <c r="D578" s="1822"/>
      <c r="E578" s="1822"/>
      <c r="F578" s="562" t="s">
        <v>315</v>
      </c>
      <c r="G578" s="562" t="s">
        <v>731</v>
      </c>
      <c r="H578" s="562" t="s">
        <v>313</v>
      </c>
      <c r="I578" s="562" t="s">
        <v>732</v>
      </c>
      <c r="J578" s="604"/>
      <c r="K578" s="562"/>
      <c r="L578" s="604"/>
      <c r="M578" s="603"/>
      <c r="N578" s="602"/>
      <c r="V578" s="674"/>
      <c r="W578" s="675"/>
      <c r="Z578" s="537" t="s">
        <v>314</v>
      </c>
      <c r="AB578" s="675"/>
      <c r="AC578" s="680"/>
      <c r="AF578" s="675"/>
      <c r="AH578" s="675"/>
    </row>
    <row r="579" spans="1:34" s="536" customFormat="1" ht="12" x14ac:dyDescent="0.2">
      <c r="A579" s="605"/>
      <c r="B579" s="552"/>
      <c r="C579" s="1828" t="s">
        <v>318</v>
      </c>
      <c r="D579" s="1828"/>
      <c r="E579" s="1828"/>
      <c r="F579" s="608"/>
      <c r="G579" s="608"/>
      <c r="H579" s="608"/>
      <c r="I579" s="608"/>
      <c r="J579" s="607">
        <v>211.11</v>
      </c>
      <c r="K579" s="608"/>
      <c r="L579" s="607">
        <v>10.56</v>
      </c>
      <c r="M579" s="601"/>
      <c r="N579" s="606"/>
      <c r="V579" s="674"/>
      <c r="W579" s="675"/>
      <c r="AA579" s="537" t="s">
        <v>318</v>
      </c>
      <c r="AB579" s="675"/>
      <c r="AC579" s="680"/>
      <c r="AF579" s="675"/>
      <c r="AH579" s="675"/>
    </row>
    <row r="580" spans="1:34" s="536" customFormat="1" ht="12" x14ac:dyDescent="0.2">
      <c r="A580" s="605"/>
      <c r="B580" s="552"/>
      <c r="C580" s="1822" t="s">
        <v>319</v>
      </c>
      <c r="D580" s="1822"/>
      <c r="E580" s="1822"/>
      <c r="F580" s="562"/>
      <c r="G580" s="562"/>
      <c r="H580" s="562"/>
      <c r="I580" s="562"/>
      <c r="J580" s="604"/>
      <c r="K580" s="562"/>
      <c r="L580" s="604">
        <v>10.56</v>
      </c>
      <c r="M580" s="603"/>
      <c r="N580" s="602"/>
      <c r="V580" s="674"/>
      <c r="W580" s="675"/>
      <c r="Z580" s="537" t="s">
        <v>319</v>
      </c>
      <c r="AB580" s="675"/>
      <c r="AC580" s="680"/>
      <c r="AF580" s="675"/>
      <c r="AH580" s="675"/>
    </row>
    <row r="581" spans="1:34" s="536" customFormat="1" ht="33.75" x14ac:dyDescent="0.2">
      <c r="A581" s="605"/>
      <c r="B581" s="552" t="s">
        <v>708</v>
      </c>
      <c r="C581" s="1822" t="s">
        <v>709</v>
      </c>
      <c r="D581" s="1822"/>
      <c r="E581" s="1822"/>
      <c r="F581" s="562" t="s">
        <v>322</v>
      </c>
      <c r="G581" s="562" t="s">
        <v>710</v>
      </c>
      <c r="H581" s="562"/>
      <c r="I581" s="562" t="s">
        <v>710</v>
      </c>
      <c r="J581" s="604"/>
      <c r="K581" s="562"/>
      <c r="L581" s="604">
        <v>10.88</v>
      </c>
      <c r="M581" s="603"/>
      <c r="N581" s="602"/>
      <c r="V581" s="674"/>
      <c r="W581" s="675"/>
      <c r="Z581" s="537" t="s">
        <v>709</v>
      </c>
      <c r="AB581" s="675"/>
      <c r="AC581" s="680"/>
      <c r="AF581" s="675"/>
      <c r="AH581" s="675"/>
    </row>
    <row r="582" spans="1:34" s="536" customFormat="1" ht="33.75" x14ac:dyDescent="0.2">
      <c r="A582" s="605"/>
      <c r="B582" s="552" t="s">
        <v>711</v>
      </c>
      <c r="C582" s="1822" t="s">
        <v>712</v>
      </c>
      <c r="D582" s="1822"/>
      <c r="E582" s="1822"/>
      <c r="F582" s="562" t="s">
        <v>322</v>
      </c>
      <c r="G582" s="562" t="s">
        <v>713</v>
      </c>
      <c r="H582" s="562"/>
      <c r="I582" s="562" t="s">
        <v>713</v>
      </c>
      <c r="J582" s="604"/>
      <c r="K582" s="562"/>
      <c r="L582" s="604">
        <v>6.34</v>
      </c>
      <c r="M582" s="603"/>
      <c r="N582" s="602"/>
      <c r="V582" s="674"/>
      <c r="W582" s="675"/>
      <c r="Z582" s="537" t="s">
        <v>712</v>
      </c>
      <c r="AB582" s="675"/>
      <c r="AC582" s="680"/>
      <c r="AF582" s="675"/>
      <c r="AH582" s="675"/>
    </row>
    <row r="583" spans="1:34" s="536" customFormat="1" ht="12" x14ac:dyDescent="0.2">
      <c r="A583" s="569"/>
      <c r="B583" s="683"/>
      <c r="C583" s="1823" t="s">
        <v>327</v>
      </c>
      <c r="D583" s="1823"/>
      <c r="E583" s="1823"/>
      <c r="F583" s="573"/>
      <c r="G583" s="573"/>
      <c r="H583" s="573"/>
      <c r="I583" s="573"/>
      <c r="J583" s="572"/>
      <c r="K583" s="573"/>
      <c r="L583" s="572">
        <v>27.78</v>
      </c>
      <c r="M583" s="601"/>
      <c r="N583" s="570"/>
      <c r="V583" s="674"/>
      <c r="W583" s="675"/>
      <c r="AB583" s="675" t="s">
        <v>327</v>
      </c>
      <c r="AC583" s="680"/>
      <c r="AF583" s="675"/>
      <c r="AH583" s="675"/>
    </row>
    <row r="584" spans="1:34" s="536" customFormat="1" ht="33.75" x14ac:dyDescent="0.2">
      <c r="A584" s="575" t="s">
        <v>797</v>
      </c>
      <c r="B584" s="684" t="s">
        <v>734</v>
      </c>
      <c r="C584" s="1823" t="s">
        <v>735</v>
      </c>
      <c r="D584" s="1823"/>
      <c r="E584" s="1823"/>
      <c r="F584" s="573" t="s">
        <v>628</v>
      </c>
      <c r="G584" s="573"/>
      <c r="H584" s="573"/>
      <c r="I584" s="573" t="s">
        <v>188</v>
      </c>
      <c r="J584" s="572">
        <v>10008.33</v>
      </c>
      <c r="K584" s="573" t="s">
        <v>716</v>
      </c>
      <c r="L584" s="572">
        <v>4907.93</v>
      </c>
      <c r="M584" s="571">
        <v>8.32</v>
      </c>
      <c r="N584" s="570">
        <v>40834</v>
      </c>
      <c r="V584" s="674"/>
      <c r="W584" s="675" t="s">
        <v>735</v>
      </c>
      <c r="AB584" s="675"/>
      <c r="AC584" s="680"/>
      <c r="AF584" s="675"/>
      <c r="AH584" s="675"/>
    </row>
    <row r="585" spans="1:34" s="536" customFormat="1" ht="12" x14ac:dyDescent="0.2">
      <c r="A585" s="569"/>
      <c r="B585" s="683"/>
      <c r="C585" s="689" t="s">
        <v>717</v>
      </c>
      <c r="D585" s="690"/>
      <c r="E585" s="690"/>
      <c r="F585" s="563"/>
      <c r="G585" s="563"/>
      <c r="H585" s="563"/>
      <c r="I585" s="563"/>
      <c r="J585" s="566"/>
      <c r="K585" s="563"/>
      <c r="L585" s="566"/>
      <c r="M585" s="565"/>
      <c r="N585" s="564"/>
      <c r="V585" s="674"/>
      <c r="W585" s="675"/>
      <c r="AB585" s="675"/>
      <c r="AC585" s="680"/>
      <c r="AF585" s="675"/>
      <c r="AH585" s="675"/>
    </row>
    <row r="586" spans="1:34" s="536" customFormat="1" ht="22.5" x14ac:dyDescent="0.2">
      <c r="A586" s="609"/>
      <c r="B586" s="552" t="s">
        <v>718</v>
      </c>
      <c r="C586" s="1822" t="s">
        <v>719</v>
      </c>
      <c r="D586" s="1822"/>
      <c r="E586" s="1822"/>
      <c r="F586" s="1822"/>
      <c r="G586" s="1822"/>
      <c r="H586" s="1822"/>
      <c r="I586" s="1822"/>
      <c r="J586" s="1822"/>
      <c r="K586" s="1822"/>
      <c r="L586" s="1822"/>
      <c r="M586" s="1822"/>
      <c r="N586" s="1827"/>
      <c r="V586" s="674"/>
      <c r="W586" s="675"/>
      <c r="X586" s="537" t="s">
        <v>719</v>
      </c>
      <c r="AB586" s="675"/>
      <c r="AC586" s="680"/>
      <c r="AF586" s="675"/>
      <c r="AH586" s="675"/>
    </row>
    <row r="587" spans="1:34" s="536" customFormat="1" ht="22.5" x14ac:dyDescent="0.2">
      <c r="A587" s="575" t="s">
        <v>798</v>
      </c>
      <c r="B587" s="684" t="s">
        <v>737</v>
      </c>
      <c r="C587" s="1823" t="s">
        <v>738</v>
      </c>
      <c r="D587" s="1823"/>
      <c r="E587" s="1823"/>
      <c r="F587" s="573" t="s">
        <v>617</v>
      </c>
      <c r="G587" s="573"/>
      <c r="H587" s="573"/>
      <c r="I587" s="573" t="s">
        <v>188</v>
      </c>
      <c r="J587" s="572"/>
      <c r="K587" s="573"/>
      <c r="L587" s="572"/>
      <c r="M587" s="571"/>
      <c r="N587" s="570"/>
      <c r="V587" s="674"/>
      <c r="W587" s="675" t="s">
        <v>738</v>
      </c>
      <c r="AB587" s="675"/>
      <c r="AC587" s="680"/>
      <c r="AF587" s="675"/>
      <c r="AH587" s="675"/>
    </row>
    <row r="588" spans="1:34" s="536" customFormat="1" ht="22.5" x14ac:dyDescent="0.2">
      <c r="A588" s="609"/>
      <c r="B588" s="552" t="s">
        <v>499</v>
      </c>
      <c r="C588" s="1822" t="s">
        <v>500</v>
      </c>
      <c r="D588" s="1822"/>
      <c r="E588" s="1822"/>
      <c r="F588" s="1822"/>
      <c r="G588" s="1822"/>
      <c r="H588" s="1822"/>
      <c r="I588" s="1822"/>
      <c r="J588" s="1822"/>
      <c r="K588" s="1822"/>
      <c r="L588" s="1822"/>
      <c r="M588" s="1822"/>
      <c r="N588" s="1827"/>
      <c r="V588" s="674"/>
      <c r="W588" s="675"/>
      <c r="X588" s="537" t="s">
        <v>500</v>
      </c>
      <c r="AB588" s="675"/>
      <c r="AC588" s="680"/>
      <c r="AF588" s="675"/>
      <c r="AH588" s="675"/>
    </row>
    <row r="589" spans="1:34" s="536" customFormat="1" ht="12" x14ac:dyDescent="0.2">
      <c r="A589" s="605"/>
      <c r="B589" s="552" t="s">
        <v>185</v>
      </c>
      <c r="C589" s="1822" t="s">
        <v>312</v>
      </c>
      <c r="D589" s="1822"/>
      <c r="E589" s="1822"/>
      <c r="F589" s="562"/>
      <c r="G589" s="562"/>
      <c r="H589" s="562"/>
      <c r="I589" s="562"/>
      <c r="J589" s="604">
        <v>34.020000000000003</v>
      </c>
      <c r="K589" s="562" t="s">
        <v>313</v>
      </c>
      <c r="L589" s="604">
        <v>170.1</v>
      </c>
      <c r="M589" s="603"/>
      <c r="N589" s="602"/>
      <c r="V589" s="674"/>
      <c r="W589" s="675"/>
      <c r="Y589" s="537" t="s">
        <v>312</v>
      </c>
      <c r="AB589" s="675"/>
      <c r="AC589" s="680"/>
      <c r="AF589" s="675"/>
      <c r="AH589" s="675"/>
    </row>
    <row r="590" spans="1:34" s="536" customFormat="1" ht="12" x14ac:dyDescent="0.2">
      <c r="A590" s="605"/>
      <c r="B590" s="552" t="s">
        <v>188</v>
      </c>
      <c r="C590" s="1822" t="s">
        <v>475</v>
      </c>
      <c r="D590" s="1822"/>
      <c r="E590" s="1822"/>
      <c r="F590" s="562"/>
      <c r="G590" s="562"/>
      <c r="H590" s="562"/>
      <c r="I590" s="562"/>
      <c r="J590" s="604">
        <v>0.68</v>
      </c>
      <c r="K590" s="562"/>
      <c r="L590" s="604">
        <v>2.72</v>
      </c>
      <c r="M590" s="603"/>
      <c r="N590" s="602"/>
      <c r="V590" s="674"/>
      <c r="W590" s="675"/>
      <c r="Y590" s="537" t="s">
        <v>475</v>
      </c>
      <c r="AB590" s="675"/>
      <c r="AC590" s="680"/>
      <c r="AF590" s="675"/>
      <c r="AH590" s="675"/>
    </row>
    <row r="591" spans="1:34" s="536" customFormat="1" ht="12" x14ac:dyDescent="0.2">
      <c r="A591" s="605"/>
      <c r="B591" s="552"/>
      <c r="C591" s="1822" t="s">
        <v>314</v>
      </c>
      <c r="D591" s="1822"/>
      <c r="E591" s="1822"/>
      <c r="F591" s="562" t="s">
        <v>315</v>
      </c>
      <c r="G591" s="562" t="s">
        <v>739</v>
      </c>
      <c r="H591" s="562" t="s">
        <v>313</v>
      </c>
      <c r="I591" s="562" t="s">
        <v>740</v>
      </c>
      <c r="J591" s="604"/>
      <c r="K591" s="562"/>
      <c r="L591" s="604"/>
      <c r="M591" s="603"/>
      <c r="N591" s="602"/>
      <c r="V591" s="674"/>
      <c r="W591" s="675"/>
      <c r="Z591" s="537" t="s">
        <v>314</v>
      </c>
      <c r="AB591" s="675"/>
      <c r="AC591" s="680"/>
      <c r="AF591" s="675"/>
      <c r="AH591" s="675"/>
    </row>
    <row r="592" spans="1:34" s="536" customFormat="1" ht="12" x14ac:dyDescent="0.2">
      <c r="A592" s="605"/>
      <c r="B592" s="552"/>
      <c r="C592" s="1828" t="s">
        <v>318</v>
      </c>
      <c r="D592" s="1828"/>
      <c r="E592" s="1828"/>
      <c r="F592" s="608"/>
      <c r="G592" s="608"/>
      <c r="H592" s="608"/>
      <c r="I592" s="608"/>
      <c r="J592" s="607">
        <v>34.700000000000003</v>
      </c>
      <c r="K592" s="608"/>
      <c r="L592" s="607">
        <v>172.82</v>
      </c>
      <c r="M592" s="601"/>
      <c r="N592" s="606"/>
      <c r="V592" s="674"/>
      <c r="W592" s="675"/>
      <c r="AA592" s="537" t="s">
        <v>318</v>
      </c>
      <c r="AB592" s="675"/>
      <c r="AC592" s="680"/>
      <c r="AF592" s="675"/>
      <c r="AH592" s="675"/>
    </row>
    <row r="593" spans="1:34" s="536" customFormat="1" ht="12" x14ac:dyDescent="0.2">
      <c r="A593" s="605"/>
      <c r="B593" s="552"/>
      <c r="C593" s="1822" t="s">
        <v>319</v>
      </c>
      <c r="D593" s="1822"/>
      <c r="E593" s="1822"/>
      <c r="F593" s="562"/>
      <c r="G593" s="562"/>
      <c r="H593" s="562"/>
      <c r="I593" s="562"/>
      <c r="J593" s="604"/>
      <c r="K593" s="562"/>
      <c r="L593" s="604">
        <v>170.1</v>
      </c>
      <c r="M593" s="603"/>
      <c r="N593" s="602"/>
      <c r="V593" s="674"/>
      <c r="W593" s="675"/>
      <c r="Z593" s="537" t="s">
        <v>319</v>
      </c>
      <c r="AB593" s="675"/>
      <c r="AC593" s="680"/>
      <c r="AF593" s="675"/>
      <c r="AH593" s="675"/>
    </row>
    <row r="594" spans="1:34" s="536" customFormat="1" ht="33.75" x14ac:dyDescent="0.2">
      <c r="A594" s="605"/>
      <c r="B594" s="552" t="s">
        <v>741</v>
      </c>
      <c r="C594" s="1822" t="s">
        <v>742</v>
      </c>
      <c r="D594" s="1822"/>
      <c r="E594" s="1822"/>
      <c r="F594" s="562" t="s">
        <v>322</v>
      </c>
      <c r="G594" s="562" t="s">
        <v>743</v>
      </c>
      <c r="H594" s="562"/>
      <c r="I594" s="562" t="s">
        <v>743</v>
      </c>
      <c r="J594" s="604"/>
      <c r="K594" s="562"/>
      <c r="L594" s="604">
        <v>166.7</v>
      </c>
      <c r="M594" s="603"/>
      <c r="N594" s="602"/>
      <c r="V594" s="674"/>
      <c r="W594" s="675"/>
      <c r="Z594" s="537" t="s">
        <v>742</v>
      </c>
      <c r="AB594" s="675"/>
      <c r="AC594" s="680"/>
      <c r="AF594" s="675"/>
      <c r="AH594" s="675"/>
    </row>
    <row r="595" spans="1:34" s="536" customFormat="1" ht="33.75" x14ac:dyDescent="0.2">
      <c r="A595" s="605"/>
      <c r="B595" s="552" t="s">
        <v>744</v>
      </c>
      <c r="C595" s="1822" t="s">
        <v>745</v>
      </c>
      <c r="D595" s="1822"/>
      <c r="E595" s="1822"/>
      <c r="F595" s="562" t="s">
        <v>322</v>
      </c>
      <c r="G595" s="562" t="s">
        <v>690</v>
      </c>
      <c r="H595" s="562"/>
      <c r="I595" s="562" t="s">
        <v>690</v>
      </c>
      <c r="J595" s="604"/>
      <c r="K595" s="562"/>
      <c r="L595" s="604">
        <v>98.66</v>
      </c>
      <c r="M595" s="603"/>
      <c r="N595" s="602"/>
      <c r="V595" s="674"/>
      <c r="W595" s="675"/>
      <c r="Z595" s="537" t="s">
        <v>745</v>
      </c>
      <c r="AB595" s="675"/>
      <c r="AC595" s="680"/>
      <c r="AF595" s="675"/>
      <c r="AH595" s="675"/>
    </row>
    <row r="596" spans="1:34" s="536" customFormat="1" ht="12" x14ac:dyDescent="0.2">
      <c r="A596" s="569"/>
      <c r="B596" s="683"/>
      <c r="C596" s="1823" t="s">
        <v>327</v>
      </c>
      <c r="D596" s="1823"/>
      <c r="E596" s="1823"/>
      <c r="F596" s="573"/>
      <c r="G596" s="573"/>
      <c r="H596" s="573"/>
      <c r="I596" s="573"/>
      <c r="J596" s="572"/>
      <c r="K596" s="573"/>
      <c r="L596" s="572">
        <v>438.18</v>
      </c>
      <c r="M596" s="601"/>
      <c r="N596" s="570"/>
      <c r="V596" s="674"/>
      <c r="W596" s="675"/>
      <c r="AB596" s="675" t="s">
        <v>327</v>
      </c>
      <c r="AC596" s="680"/>
      <c r="AF596" s="675"/>
      <c r="AH596" s="675"/>
    </row>
    <row r="597" spans="1:34" s="536" customFormat="1" ht="33.75" x14ac:dyDescent="0.2">
      <c r="A597" s="575" t="s">
        <v>799</v>
      </c>
      <c r="B597" s="684" t="s">
        <v>747</v>
      </c>
      <c r="C597" s="1823" t="s">
        <v>748</v>
      </c>
      <c r="D597" s="1823"/>
      <c r="E597" s="1823"/>
      <c r="F597" s="573" t="s">
        <v>628</v>
      </c>
      <c r="G597" s="573"/>
      <c r="H597" s="573"/>
      <c r="I597" s="573" t="s">
        <v>188</v>
      </c>
      <c r="J597" s="572">
        <v>26071.67</v>
      </c>
      <c r="K597" s="573" t="s">
        <v>629</v>
      </c>
      <c r="L597" s="572">
        <v>22993.03</v>
      </c>
      <c r="M597" s="571">
        <v>4.59</v>
      </c>
      <c r="N597" s="570">
        <v>105538</v>
      </c>
      <c r="V597" s="674"/>
      <c r="W597" s="675" t="s">
        <v>748</v>
      </c>
      <c r="AB597" s="675"/>
      <c r="AC597" s="680"/>
      <c r="AF597" s="675"/>
      <c r="AH597" s="675"/>
    </row>
    <row r="598" spans="1:34" s="536" customFormat="1" ht="12" x14ac:dyDescent="0.2">
      <c r="A598" s="569"/>
      <c r="B598" s="683"/>
      <c r="C598" s="689" t="s">
        <v>630</v>
      </c>
      <c r="D598" s="690"/>
      <c r="E598" s="690"/>
      <c r="F598" s="563"/>
      <c r="G598" s="563"/>
      <c r="H598" s="563"/>
      <c r="I598" s="563"/>
      <c r="J598" s="566"/>
      <c r="K598" s="563"/>
      <c r="L598" s="566"/>
      <c r="M598" s="565"/>
      <c r="N598" s="564"/>
      <c r="V598" s="674"/>
      <c r="W598" s="675"/>
      <c r="AB598" s="675"/>
      <c r="AC598" s="680"/>
      <c r="AF598" s="675"/>
      <c r="AH598" s="675"/>
    </row>
    <row r="599" spans="1:34" s="536" customFormat="1" ht="22.5" x14ac:dyDescent="0.2">
      <c r="A599" s="609"/>
      <c r="B599" s="552" t="s">
        <v>631</v>
      </c>
      <c r="C599" s="1822" t="s">
        <v>632</v>
      </c>
      <c r="D599" s="1822"/>
      <c r="E599" s="1822"/>
      <c r="F599" s="1822"/>
      <c r="G599" s="1822"/>
      <c r="H599" s="1822"/>
      <c r="I599" s="1822"/>
      <c r="J599" s="1822"/>
      <c r="K599" s="1822"/>
      <c r="L599" s="1822"/>
      <c r="M599" s="1822"/>
      <c r="N599" s="1827"/>
      <c r="V599" s="674"/>
      <c r="W599" s="675"/>
      <c r="X599" s="537" t="s">
        <v>632</v>
      </c>
      <c r="AB599" s="675"/>
      <c r="AC599" s="680"/>
      <c r="AF599" s="675"/>
      <c r="AH599" s="675"/>
    </row>
    <row r="600" spans="1:34" s="536" customFormat="1" ht="33.75" x14ac:dyDescent="0.2">
      <c r="A600" s="575" t="s">
        <v>800</v>
      </c>
      <c r="B600" s="684" t="s">
        <v>750</v>
      </c>
      <c r="C600" s="1823" t="s">
        <v>751</v>
      </c>
      <c r="D600" s="1823"/>
      <c r="E600" s="1823"/>
      <c r="F600" s="573" t="s">
        <v>628</v>
      </c>
      <c r="G600" s="573"/>
      <c r="H600" s="573"/>
      <c r="I600" s="573" t="s">
        <v>188</v>
      </c>
      <c r="J600" s="572">
        <v>46459.17</v>
      </c>
      <c r="K600" s="573" t="s">
        <v>629</v>
      </c>
      <c r="L600" s="572">
        <v>40973.199999999997</v>
      </c>
      <c r="M600" s="571">
        <v>4.59</v>
      </c>
      <c r="N600" s="570">
        <v>188067</v>
      </c>
      <c r="V600" s="674"/>
      <c r="W600" s="675" t="s">
        <v>751</v>
      </c>
      <c r="AB600" s="675"/>
      <c r="AC600" s="680"/>
      <c r="AF600" s="675"/>
      <c r="AH600" s="675"/>
    </row>
    <row r="601" spans="1:34" s="536" customFormat="1" ht="12" x14ac:dyDescent="0.2">
      <c r="A601" s="569"/>
      <c r="B601" s="683"/>
      <c r="C601" s="689" t="s">
        <v>630</v>
      </c>
      <c r="D601" s="690"/>
      <c r="E601" s="690"/>
      <c r="F601" s="563"/>
      <c r="G601" s="563"/>
      <c r="H601" s="563"/>
      <c r="I601" s="563"/>
      <c r="J601" s="566"/>
      <c r="K601" s="563"/>
      <c r="L601" s="566"/>
      <c r="M601" s="565"/>
      <c r="N601" s="564"/>
      <c r="V601" s="674"/>
      <c r="W601" s="675"/>
      <c r="AB601" s="675"/>
      <c r="AC601" s="680"/>
      <c r="AF601" s="675"/>
      <c r="AH601" s="675"/>
    </row>
    <row r="602" spans="1:34" s="536" customFormat="1" ht="22.5" x14ac:dyDescent="0.2">
      <c r="A602" s="609"/>
      <c r="B602" s="552" t="s">
        <v>631</v>
      </c>
      <c r="C602" s="1822" t="s">
        <v>632</v>
      </c>
      <c r="D602" s="1822"/>
      <c r="E602" s="1822"/>
      <c r="F602" s="1822"/>
      <c r="G602" s="1822"/>
      <c r="H602" s="1822"/>
      <c r="I602" s="1822"/>
      <c r="J602" s="1822"/>
      <c r="K602" s="1822"/>
      <c r="L602" s="1822"/>
      <c r="M602" s="1822"/>
      <c r="N602" s="1827"/>
      <c r="V602" s="674"/>
      <c r="W602" s="675"/>
      <c r="X602" s="537" t="s">
        <v>632</v>
      </c>
      <c r="AB602" s="675"/>
      <c r="AC602" s="680"/>
      <c r="AF602" s="675"/>
      <c r="AH602" s="675"/>
    </row>
    <row r="603" spans="1:34" s="536" customFormat="1" ht="1.5" customHeight="1" x14ac:dyDescent="0.2">
      <c r="A603" s="563"/>
      <c r="B603" s="683"/>
      <c r="C603" s="683"/>
      <c r="D603" s="683"/>
      <c r="E603" s="683"/>
      <c r="F603" s="563"/>
      <c r="G603" s="563"/>
      <c r="H603" s="563"/>
      <c r="I603" s="563"/>
      <c r="J603" s="546"/>
      <c r="K603" s="563"/>
      <c r="L603" s="546"/>
      <c r="M603" s="562"/>
      <c r="N603" s="546"/>
      <c r="V603" s="674"/>
      <c r="W603" s="675"/>
      <c r="AB603" s="675"/>
      <c r="AC603" s="680"/>
      <c r="AF603" s="675"/>
      <c r="AH603" s="675"/>
    </row>
    <row r="604" spans="1:34" s="536" customFormat="1" ht="12" x14ac:dyDescent="0.2">
      <c r="A604" s="557"/>
      <c r="B604" s="556"/>
      <c r="C604" s="1823" t="s">
        <v>801</v>
      </c>
      <c r="D604" s="1823"/>
      <c r="E604" s="1823"/>
      <c r="F604" s="1823"/>
      <c r="G604" s="1823"/>
      <c r="H604" s="1823"/>
      <c r="I604" s="1823"/>
      <c r="J604" s="1823"/>
      <c r="K604" s="1823"/>
      <c r="L604" s="555"/>
      <c r="M604" s="554"/>
      <c r="N604" s="553"/>
      <c r="V604" s="674"/>
      <c r="W604" s="675"/>
      <c r="AB604" s="675"/>
      <c r="AC604" s="680"/>
      <c r="AF604" s="675" t="s">
        <v>801</v>
      </c>
      <c r="AH604" s="675"/>
    </row>
    <row r="605" spans="1:34" s="536" customFormat="1" ht="12" x14ac:dyDescent="0.2">
      <c r="A605" s="548"/>
      <c r="B605" s="552"/>
      <c r="C605" s="1822" t="s">
        <v>403</v>
      </c>
      <c r="D605" s="1822"/>
      <c r="E605" s="1822"/>
      <c r="F605" s="1822"/>
      <c r="G605" s="1822"/>
      <c r="H605" s="1822"/>
      <c r="I605" s="1822"/>
      <c r="J605" s="1822"/>
      <c r="K605" s="1822"/>
      <c r="L605" s="551">
        <v>11776.7</v>
      </c>
      <c r="M605" s="550"/>
      <c r="N605" s="549"/>
      <c r="V605" s="674"/>
      <c r="W605" s="675"/>
      <c r="AB605" s="675"/>
      <c r="AC605" s="680"/>
      <c r="AF605" s="675"/>
      <c r="AG605" s="537" t="s">
        <v>403</v>
      </c>
      <c r="AH605" s="675"/>
    </row>
    <row r="606" spans="1:34" s="536" customFormat="1" ht="12" x14ac:dyDescent="0.2">
      <c r="A606" s="548"/>
      <c r="B606" s="552"/>
      <c r="C606" s="1822" t="s">
        <v>204</v>
      </c>
      <c r="D606" s="1822"/>
      <c r="E606" s="1822"/>
      <c r="F606" s="1822"/>
      <c r="G606" s="1822"/>
      <c r="H606" s="1822"/>
      <c r="I606" s="1822"/>
      <c r="J606" s="1822"/>
      <c r="K606" s="1822"/>
      <c r="L606" s="551"/>
      <c r="M606" s="550"/>
      <c r="N606" s="549"/>
      <c r="V606" s="674"/>
      <c r="W606" s="675"/>
      <c r="AB606" s="675"/>
      <c r="AC606" s="680"/>
      <c r="AF606" s="675"/>
      <c r="AG606" s="537" t="s">
        <v>204</v>
      </c>
      <c r="AH606" s="675"/>
    </row>
    <row r="607" spans="1:34" s="536" customFormat="1" ht="12" x14ac:dyDescent="0.2">
      <c r="A607" s="548"/>
      <c r="B607" s="552"/>
      <c r="C607" s="1822" t="s">
        <v>404</v>
      </c>
      <c r="D607" s="1822"/>
      <c r="E607" s="1822"/>
      <c r="F607" s="1822"/>
      <c r="G607" s="1822"/>
      <c r="H607" s="1822"/>
      <c r="I607" s="1822"/>
      <c r="J607" s="1822"/>
      <c r="K607" s="1822"/>
      <c r="L607" s="551">
        <v>2220.62</v>
      </c>
      <c r="M607" s="550"/>
      <c r="N607" s="549"/>
      <c r="V607" s="674"/>
      <c r="W607" s="675"/>
      <c r="AB607" s="675"/>
      <c r="AC607" s="680"/>
      <c r="AF607" s="675"/>
      <c r="AG607" s="537" t="s">
        <v>404</v>
      </c>
      <c r="AH607" s="675"/>
    </row>
    <row r="608" spans="1:34" s="536" customFormat="1" ht="12" x14ac:dyDescent="0.2">
      <c r="A608" s="548"/>
      <c r="B608" s="552"/>
      <c r="C608" s="1822" t="s">
        <v>405</v>
      </c>
      <c r="D608" s="1822"/>
      <c r="E608" s="1822"/>
      <c r="F608" s="1822"/>
      <c r="G608" s="1822"/>
      <c r="H608" s="1822"/>
      <c r="I608" s="1822"/>
      <c r="J608" s="1822"/>
      <c r="K608" s="1822"/>
      <c r="L608" s="551">
        <v>538.39</v>
      </c>
      <c r="M608" s="550"/>
      <c r="N608" s="549"/>
      <c r="V608" s="674"/>
      <c r="W608" s="675"/>
      <c r="AB608" s="675"/>
      <c r="AC608" s="680"/>
      <c r="AF608" s="675"/>
      <c r="AG608" s="537" t="s">
        <v>405</v>
      </c>
      <c r="AH608" s="675"/>
    </row>
    <row r="609" spans="1:34" s="536" customFormat="1" ht="12" x14ac:dyDescent="0.2">
      <c r="A609" s="548"/>
      <c r="B609" s="552"/>
      <c r="C609" s="1822" t="s">
        <v>406</v>
      </c>
      <c r="D609" s="1822"/>
      <c r="E609" s="1822"/>
      <c r="F609" s="1822"/>
      <c r="G609" s="1822"/>
      <c r="H609" s="1822"/>
      <c r="I609" s="1822"/>
      <c r="J609" s="1822"/>
      <c r="K609" s="1822"/>
      <c r="L609" s="551">
        <v>46.56</v>
      </c>
      <c r="M609" s="550"/>
      <c r="N609" s="549"/>
      <c r="V609" s="674"/>
      <c r="W609" s="675"/>
      <c r="AB609" s="675"/>
      <c r="AC609" s="680"/>
      <c r="AF609" s="675"/>
      <c r="AG609" s="537" t="s">
        <v>406</v>
      </c>
      <c r="AH609" s="675"/>
    </row>
    <row r="610" spans="1:34" s="536" customFormat="1" ht="12" x14ac:dyDescent="0.2">
      <c r="A610" s="548"/>
      <c r="B610" s="552"/>
      <c r="C610" s="1822" t="s">
        <v>480</v>
      </c>
      <c r="D610" s="1822"/>
      <c r="E610" s="1822"/>
      <c r="F610" s="1822"/>
      <c r="G610" s="1822"/>
      <c r="H610" s="1822"/>
      <c r="I610" s="1822"/>
      <c r="J610" s="1822"/>
      <c r="K610" s="1822"/>
      <c r="L610" s="551">
        <v>9017.69</v>
      </c>
      <c r="M610" s="550"/>
      <c r="N610" s="549"/>
      <c r="V610" s="674"/>
      <c r="W610" s="675"/>
      <c r="AB610" s="675"/>
      <c r="AC610" s="680"/>
      <c r="AF610" s="675"/>
      <c r="AG610" s="537" t="s">
        <v>480</v>
      </c>
      <c r="AH610" s="675"/>
    </row>
    <row r="611" spans="1:34" s="536" customFormat="1" ht="12" x14ac:dyDescent="0.2">
      <c r="A611" s="548"/>
      <c r="B611" s="552"/>
      <c r="C611" s="1822" t="s">
        <v>407</v>
      </c>
      <c r="D611" s="1822"/>
      <c r="E611" s="1822"/>
      <c r="F611" s="1822"/>
      <c r="G611" s="1822"/>
      <c r="H611" s="1822"/>
      <c r="I611" s="1822"/>
      <c r="J611" s="1822"/>
      <c r="K611" s="1822"/>
      <c r="L611" s="551">
        <v>8646.86</v>
      </c>
      <c r="M611" s="550"/>
      <c r="N611" s="549"/>
      <c r="V611" s="674"/>
      <c r="W611" s="675"/>
      <c r="AB611" s="675"/>
      <c r="AC611" s="680"/>
      <c r="AF611" s="675"/>
      <c r="AG611" s="537" t="s">
        <v>407</v>
      </c>
      <c r="AH611" s="675"/>
    </row>
    <row r="612" spans="1:34" s="536" customFormat="1" ht="12" x14ac:dyDescent="0.2">
      <c r="A612" s="548"/>
      <c r="B612" s="552"/>
      <c r="C612" s="1822" t="s">
        <v>204</v>
      </c>
      <c r="D612" s="1822"/>
      <c r="E612" s="1822"/>
      <c r="F612" s="1822"/>
      <c r="G612" s="1822"/>
      <c r="H612" s="1822"/>
      <c r="I612" s="1822"/>
      <c r="J612" s="1822"/>
      <c r="K612" s="1822"/>
      <c r="L612" s="551"/>
      <c r="M612" s="550"/>
      <c r="N612" s="549"/>
      <c r="V612" s="674"/>
      <c r="W612" s="675"/>
      <c r="AB612" s="675"/>
      <c r="AC612" s="680"/>
      <c r="AF612" s="675"/>
      <c r="AG612" s="537" t="s">
        <v>204</v>
      </c>
      <c r="AH612" s="675"/>
    </row>
    <row r="613" spans="1:34" s="536" customFormat="1" ht="12" x14ac:dyDescent="0.2">
      <c r="A613" s="548"/>
      <c r="B613" s="552"/>
      <c r="C613" s="1822" t="s">
        <v>546</v>
      </c>
      <c r="D613" s="1822"/>
      <c r="E613" s="1822"/>
      <c r="F613" s="1822"/>
      <c r="G613" s="1822"/>
      <c r="H613" s="1822"/>
      <c r="I613" s="1822"/>
      <c r="J613" s="1822"/>
      <c r="K613" s="1822"/>
      <c r="L613" s="551">
        <v>419.97</v>
      </c>
      <c r="M613" s="550"/>
      <c r="N613" s="549"/>
      <c r="V613" s="674"/>
      <c r="W613" s="675"/>
      <c r="AB613" s="675"/>
      <c r="AC613" s="680"/>
      <c r="AF613" s="675"/>
      <c r="AG613" s="537" t="s">
        <v>546</v>
      </c>
      <c r="AH613" s="675"/>
    </row>
    <row r="614" spans="1:34" s="536" customFormat="1" ht="12" x14ac:dyDescent="0.2">
      <c r="A614" s="548"/>
      <c r="B614" s="552"/>
      <c r="C614" s="1822" t="s">
        <v>442</v>
      </c>
      <c r="D614" s="1822"/>
      <c r="E614" s="1822"/>
      <c r="F614" s="1822"/>
      <c r="G614" s="1822"/>
      <c r="H614" s="1822"/>
      <c r="I614" s="1822"/>
      <c r="J614" s="1822"/>
      <c r="K614" s="1822"/>
      <c r="L614" s="551">
        <v>39.04</v>
      </c>
      <c r="M614" s="550"/>
      <c r="N614" s="549"/>
      <c r="V614" s="674"/>
      <c r="W614" s="675"/>
      <c r="AB614" s="675"/>
      <c r="AC614" s="680"/>
      <c r="AF614" s="675"/>
      <c r="AG614" s="537" t="s">
        <v>442</v>
      </c>
      <c r="AH614" s="675"/>
    </row>
    <row r="615" spans="1:34" s="536" customFormat="1" ht="12" x14ac:dyDescent="0.2">
      <c r="A615" s="548"/>
      <c r="B615" s="552"/>
      <c r="C615" s="1822" t="s">
        <v>547</v>
      </c>
      <c r="D615" s="1822"/>
      <c r="E615" s="1822"/>
      <c r="F615" s="1822"/>
      <c r="G615" s="1822"/>
      <c r="H615" s="1822"/>
      <c r="I615" s="1822"/>
      <c r="J615" s="1822"/>
      <c r="K615" s="1822"/>
      <c r="L615" s="551">
        <v>7526.26</v>
      </c>
      <c r="M615" s="550"/>
      <c r="N615" s="549"/>
      <c r="V615" s="674"/>
      <c r="W615" s="675"/>
      <c r="AB615" s="675"/>
      <c r="AC615" s="680"/>
      <c r="AF615" s="675"/>
      <c r="AG615" s="537" t="s">
        <v>547</v>
      </c>
      <c r="AH615" s="675"/>
    </row>
    <row r="616" spans="1:34" s="536" customFormat="1" ht="12" x14ac:dyDescent="0.2">
      <c r="A616" s="548"/>
      <c r="B616" s="552"/>
      <c r="C616" s="1822" t="s">
        <v>443</v>
      </c>
      <c r="D616" s="1822"/>
      <c r="E616" s="1822"/>
      <c r="F616" s="1822"/>
      <c r="G616" s="1822"/>
      <c r="H616" s="1822"/>
      <c r="I616" s="1822"/>
      <c r="J616" s="1822"/>
      <c r="K616" s="1822"/>
      <c r="L616" s="551">
        <v>408.96</v>
      </c>
      <c r="M616" s="550"/>
      <c r="N616" s="549"/>
      <c r="V616" s="674"/>
      <c r="W616" s="675"/>
      <c r="AB616" s="675"/>
      <c r="AC616" s="680"/>
      <c r="AF616" s="675"/>
      <c r="AG616" s="537" t="s">
        <v>443</v>
      </c>
      <c r="AH616" s="675"/>
    </row>
    <row r="617" spans="1:34" s="536" customFormat="1" ht="12" x14ac:dyDescent="0.2">
      <c r="A617" s="548"/>
      <c r="B617" s="552"/>
      <c r="C617" s="1822" t="s">
        <v>444</v>
      </c>
      <c r="D617" s="1822"/>
      <c r="E617" s="1822"/>
      <c r="F617" s="1822"/>
      <c r="G617" s="1822"/>
      <c r="H617" s="1822"/>
      <c r="I617" s="1822"/>
      <c r="J617" s="1822"/>
      <c r="K617" s="1822"/>
      <c r="L617" s="551">
        <v>252.63</v>
      </c>
      <c r="M617" s="550"/>
      <c r="N617" s="549"/>
      <c r="V617" s="674"/>
      <c r="W617" s="675"/>
      <c r="AB617" s="675"/>
      <c r="AC617" s="680"/>
      <c r="AF617" s="675"/>
      <c r="AG617" s="537" t="s">
        <v>444</v>
      </c>
      <c r="AH617" s="675"/>
    </row>
    <row r="618" spans="1:34" s="536" customFormat="1" ht="12" x14ac:dyDescent="0.2">
      <c r="A618" s="548"/>
      <c r="B618" s="552"/>
      <c r="C618" s="1822" t="s">
        <v>753</v>
      </c>
      <c r="D618" s="1822"/>
      <c r="E618" s="1822"/>
      <c r="F618" s="1822"/>
      <c r="G618" s="1822"/>
      <c r="H618" s="1822"/>
      <c r="I618" s="1822"/>
      <c r="J618" s="1822"/>
      <c r="K618" s="1822"/>
      <c r="L618" s="551">
        <v>6386.09</v>
      </c>
      <c r="M618" s="550"/>
      <c r="N618" s="549"/>
      <c r="V618" s="674"/>
      <c r="W618" s="675"/>
      <c r="AB618" s="675"/>
      <c r="AC618" s="680"/>
      <c r="AF618" s="675"/>
      <c r="AG618" s="537" t="s">
        <v>753</v>
      </c>
      <c r="AH618" s="675"/>
    </row>
    <row r="619" spans="1:34" s="536" customFormat="1" ht="12" x14ac:dyDescent="0.2">
      <c r="A619" s="548"/>
      <c r="B619" s="552"/>
      <c r="C619" s="1822" t="s">
        <v>204</v>
      </c>
      <c r="D619" s="1822"/>
      <c r="E619" s="1822"/>
      <c r="F619" s="1822"/>
      <c r="G619" s="1822"/>
      <c r="H619" s="1822"/>
      <c r="I619" s="1822"/>
      <c r="J619" s="1822"/>
      <c r="K619" s="1822"/>
      <c r="L619" s="551"/>
      <c r="M619" s="550"/>
      <c r="N619" s="549"/>
      <c r="V619" s="674"/>
      <c r="W619" s="675"/>
      <c r="AB619" s="675"/>
      <c r="AC619" s="680"/>
      <c r="AF619" s="675"/>
      <c r="AG619" s="537" t="s">
        <v>204</v>
      </c>
      <c r="AH619" s="675"/>
    </row>
    <row r="620" spans="1:34" s="536" customFormat="1" ht="12" x14ac:dyDescent="0.2">
      <c r="A620" s="548"/>
      <c r="B620" s="552"/>
      <c r="C620" s="1822" t="s">
        <v>546</v>
      </c>
      <c r="D620" s="1822"/>
      <c r="E620" s="1822"/>
      <c r="F620" s="1822"/>
      <c r="G620" s="1822"/>
      <c r="H620" s="1822"/>
      <c r="I620" s="1822"/>
      <c r="J620" s="1822"/>
      <c r="K620" s="1822"/>
      <c r="L620" s="551">
        <v>1800.65</v>
      </c>
      <c r="M620" s="550"/>
      <c r="N620" s="549"/>
      <c r="V620" s="674"/>
      <c r="W620" s="675"/>
      <c r="AB620" s="675"/>
      <c r="AC620" s="680"/>
      <c r="AF620" s="675"/>
      <c r="AG620" s="537" t="s">
        <v>546</v>
      </c>
      <c r="AH620" s="675"/>
    </row>
    <row r="621" spans="1:34" s="536" customFormat="1" ht="12" x14ac:dyDescent="0.2">
      <c r="A621" s="548"/>
      <c r="B621" s="552"/>
      <c r="C621" s="1822" t="s">
        <v>442</v>
      </c>
      <c r="D621" s="1822"/>
      <c r="E621" s="1822"/>
      <c r="F621" s="1822"/>
      <c r="G621" s="1822"/>
      <c r="H621" s="1822"/>
      <c r="I621" s="1822"/>
      <c r="J621" s="1822"/>
      <c r="K621" s="1822"/>
      <c r="L621" s="551">
        <v>499.35</v>
      </c>
      <c r="M621" s="550"/>
      <c r="N621" s="549"/>
      <c r="V621" s="674"/>
      <c r="W621" s="675"/>
      <c r="AB621" s="675"/>
      <c r="AC621" s="680"/>
      <c r="AF621" s="675"/>
      <c r="AG621" s="537" t="s">
        <v>442</v>
      </c>
      <c r="AH621" s="675"/>
    </row>
    <row r="622" spans="1:34" s="536" customFormat="1" ht="12" x14ac:dyDescent="0.2">
      <c r="A622" s="548"/>
      <c r="B622" s="552"/>
      <c r="C622" s="1822" t="s">
        <v>547</v>
      </c>
      <c r="D622" s="1822"/>
      <c r="E622" s="1822"/>
      <c r="F622" s="1822"/>
      <c r="G622" s="1822"/>
      <c r="H622" s="1822"/>
      <c r="I622" s="1822"/>
      <c r="J622" s="1822"/>
      <c r="K622" s="1822"/>
      <c r="L622" s="551">
        <v>1491.43</v>
      </c>
      <c r="M622" s="550"/>
      <c r="N622" s="549"/>
      <c r="V622" s="674"/>
      <c r="W622" s="675"/>
      <c r="AB622" s="675"/>
      <c r="AC622" s="680"/>
      <c r="AF622" s="675"/>
      <c r="AG622" s="537" t="s">
        <v>547</v>
      </c>
      <c r="AH622" s="675"/>
    </row>
    <row r="623" spans="1:34" s="536" customFormat="1" ht="12" x14ac:dyDescent="0.2">
      <c r="A623" s="548"/>
      <c r="B623" s="552"/>
      <c r="C623" s="1822" t="s">
        <v>443</v>
      </c>
      <c r="D623" s="1822"/>
      <c r="E623" s="1822"/>
      <c r="F623" s="1822"/>
      <c r="G623" s="1822"/>
      <c r="H623" s="1822"/>
      <c r="I623" s="1822"/>
      <c r="J623" s="1822"/>
      <c r="K623" s="1822"/>
      <c r="L623" s="551">
        <v>1692.59</v>
      </c>
      <c r="M623" s="550"/>
      <c r="N623" s="549"/>
      <c r="V623" s="674"/>
      <c r="W623" s="675"/>
      <c r="AB623" s="675"/>
      <c r="AC623" s="680"/>
      <c r="AF623" s="675"/>
      <c r="AG623" s="537" t="s">
        <v>443</v>
      </c>
      <c r="AH623" s="675"/>
    </row>
    <row r="624" spans="1:34" s="536" customFormat="1" ht="12" x14ac:dyDescent="0.2">
      <c r="A624" s="548"/>
      <c r="B624" s="552"/>
      <c r="C624" s="1822" t="s">
        <v>444</v>
      </c>
      <c r="D624" s="1822"/>
      <c r="E624" s="1822"/>
      <c r="F624" s="1822"/>
      <c r="G624" s="1822"/>
      <c r="H624" s="1822"/>
      <c r="I624" s="1822"/>
      <c r="J624" s="1822"/>
      <c r="K624" s="1822"/>
      <c r="L624" s="551">
        <v>902.07</v>
      </c>
      <c r="M624" s="550"/>
      <c r="N624" s="549"/>
      <c r="V624" s="674"/>
      <c r="W624" s="675"/>
      <c r="AB624" s="675"/>
      <c r="AC624" s="680"/>
      <c r="AF624" s="675"/>
      <c r="AG624" s="537" t="s">
        <v>444</v>
      </c>
      <c r="AH624" s="675"/>
    </row>
    <row r="625" spans="1:34" s="536" customFormat="1" ht="12" x14ac:dyDescent="0.2">
      <c r="A625" s="548"/>
      <c r="B625" s="552"/>
      <c r="C625" s="1822" t="s">
        <v>754</v>
      </c>
      <c r="D625" s="1822"/>
      <c r="E625" s="1822"/>
      <c r="F625" s="1822"/>
      <c r="G625" s="1822"/>
      <c r="H625" s="1822"/>
      <c r="I625" s="1822"/>
      <c r="J625" s="1822"/>
      <c r="K625" s="1822"/>
      <c r="L625" s="551">
        <v>743428.76</v>
      </c>
      <c r="M625" s="550"/>
      <c r="N625" s="549"/>
      <c r="V625" s="674"/>
      <c r="W625" s="675"/>
      <c r="AB625" s="675"/>
      <c r="AC625" s="680"/>
      <c r="AF625" s="675"/>
      <c r="AG625" s="537" t="s">
        <v>754</v>
      </c>
      <c r="AH625" s="675"/>
    </row>
    <row r="626" spans="1:34" s="536" customFormat="1" ht="12" x14ac:dyDescent="0.2">
      <c r="A626" s="548"/>
      <c r="B626" s="552"/>
      <c r="C626" s="1822" t="s">
        <v>415</v>
      </c>
      <c r="D626" s="1822"/>
      <c r="E626" s="1822"/>
      <c r="F626" s="1822"/>
      <c r="G626" s="1822"/>
      <c r="H626" s="1822"/>
      <c r="I626" s="1822"/>
      <c r="J626" s="1822"/>
      <c r="K626" s="1822"/>
      <c r="L626" s="551">
        <v>2267.1799999999998</v>
      </c>
      <c r="M626" s="550"/>
      <c r="N626" s="549"/>
      <c r="V626" s="674"/>
      <c r="W626" s="675"/>
      <c r="AB626" s="675"/>
      <c r="AC626" s="680"/>
      <c r="AF626" s="675"/>
      <c r="AG626" s="537" t="s">
        <v>415</v>
      </c>
      <c r="AH626" s="675"/>
    </row>
    <row r="627" spans="1:34" s="536" customFormat="1" ht="12" x14ac:dyDescent="0.2">
      <c r="A627" s="548"/>
      <c r="B627" s="552"/>
      <c r="C627" s="1822" t="s">
        <v>416</v>
      </c>
      <c r="D627" s="1822"/>
      <c r="E627" s="1822"/>
      <c r="F627" s="1822"/>
      <c r="G627" s="1822"/>
      <c r="H627" s="1822"/>
      <c r="I627" s="1822"/>
      <c r="J627" s="1822"/>
      <c r="K627" s="1822"/>
      <c r="L627" s="551">
        <v>2101.5500000000002</v>
      </c>
      <c r="M627" s="550"/>
      <c r="N627" s="549"/>
      <c r="V627" s="674"/>
      <c r="W627" s="675"/>
      <c r="AB627" s="675"/>
      <c r="AC627" s="680"/>
      <c r="AF627" s="675"/>
      <c r="AG627" s="537" t="s">
        <v>416</v>
      </c>
      <c r="AH627" s="675"/>
    </row>
    <row r="628" spans="1:34" s="536" customFormat="1" ht="12" x14ac:dyDescent="0.2">
      <c r="A628" s="548"/>
      <c r="B628" s="552"/>
      <c r="C628" s="1822" t="s">
        <v>417</v>
      </c>
      <c r="D628" s="1822"/>
      <c r="E628" s="1822"/>
      <c r="F628" s="1822"/>
      <c r="G628" s="1822"/>
      <c r="H628" s="1822"/>
      <c r="I628" s="1822"/>
      <c r="J628" s="1822"/>
      <c r="K628" s="1822"/>
      <c r="L628" s="551">
        <v>1154.7</v>
      </c>
      <c r="M628" s="550"/>
      <c r="N628" s="549"/>
      <c r="V628" s="674"/>
      <c r="W628" s="675"/>
      <c r="AB628" s="675"/>
      <c r="AC628" s="680"/>
      <c r="AF628" s="675"/>
      <c r="AG628" s="537" t="s">
        <v>417</v>
      </c>
      <c r="AH628" s="675"/>
    </row>
    <row r="629" spans="1:34" s="536" customFormat="1" ht="12" x14ac:dyDescent="0.2">
      <c r="A629" s="548"/>
      <c r="B629" s="546"/>
      <c r="C629" s="1819" t="s">
        <v>802</v>
      </c>
      <c r="D629" s="1819"/>
      <c r="E629" s="1819"/>
      <c r="F629" s="1819"/>
      <c r="G629" s="1819"/>
      <c r="H629" s="1819"/>
      <c r="I629" s="1819"/>
      <c r="J629" s="1819"/>
      <c r="K629" s="1819"/>
      <c r="L629" s="544">
        <v>758461.71</v>
      </c>
      <c r="M629" s="543"/>
      <c r="N629" s="681"/>
      <c r="V629" s="674"/>
      <c r="W629" s="675"/>
      <c r="AB629" s="675"/>
      <c r="AC629" s="680"/>
      <c r="AF629" s="675"/>
      <c r="AH629" s="675" t="s">
        <v>802</v>
      </c>
    </row>
    <row r="630" spans="1:34" s="536" customFormat="1" ht="12" x14ac:dyDescent="0.2">
      <c r="A630" s="548"/>
      <c r="B630" s="552"/>
      <c r="C630" s="1822" t="s">
        <v>204</v>
      </c>
      <c r="D630" s="1822"/>
      <c r="E630" s="1822"/>
      <c r="F630" s="1822"/>
      <c r="G630" s="1822"/>
      <c r="H630" s="1822"/>
      <c r="I630" s="1822"/>
      <c r="J630" s="1822"/>
      <c r="K630" s="1822"/>
      <c r="L630" s="551"/>
      <c r="M630" s="550"/>
      <c r="N630" s="549"/>
      <c r="V630" s="674"/>
      <c r="W630" s="675"/>
      <c r="AB630" s="675"/>
      <c r="AC630" s="680"/>
      <c r="AF630" s="675"/>
      <c r="AG630" s="537" t="s">
        <v>204</v>
      </c>
      <c r="AH630" s="675"/>
    </row>
    <row r="631" spans="1:34" s="536" customFormat="1" ht="12" x14ac:dyDescent="0.2">
      <c r="A631" s="548"/>
      <c r="B631" s="552"/>
      <c r="C631" s="1822" t="s">
        <v>8095</v>
      </c>
      <c r="D631" s="1822"/>
      <c r="E631" s="1822"/>
      <c r="F631" s="1822"/>
      <c r="G631" s="1822"/>
      <c r="H631" s="1822"/>
      <c r="I631" s="1822"/>
      <c r="J631" s="1822"/>
      <c r="K631" s="1822"/>
      <c r="L631" s="551">
        <v>6021.27</v>
      </c>
      <c r="M631" s="550"/>
      <c r="N631" s="549"/>
      <c r="V631" s="674"/>
      <c r="W631" s="675"/>
      <c r="AB631" s="675"/>
      <c r="AC631" s="680"/>
      <c r="AF631" s="675"/>
      <c r="AG631" s="537" t="s">
        <v>8095</v>
      </c>
      <c r="AH631" s="675"/>
    </row>
    <row r="632" spans="1:34" s="536" customFormat="1" ht="12" x14ac:dyDescent="0.2">
      <c r="A632" s="548"/>
      <c r="B632" s="552"/>
      <c r="C632" s="1822" t="s">
        <v>8097</v>
      </c>
      <c r="D632" s="1822"/>
      <c r="E632" s="1822"/>
      <c r="F632" s="1822"/>
      <c r="G632" s="1822"/>
      <c r="H632" s="1822"/>
      <c r="I632" s="1822"/>
      <c r="J632" s="1822"/>
      <c r="K632" s="1822"/>
      <c r="L632" s="551">
        <v>743428.76</v>
      </c>
      <c r="M632" s="550"/>
      <c r="N632" s="549"/>
      <c r="V632" s="674"/>
      <c r="W632" s="675"/>
      <c r="AB632" s="675"/>
      <c r="AC632" s="680"/>
      <c r="AF632" s="675"/>
      <c r="AG632" s="537" t="s">
        <v>8097</v>
      </c>
      <c r="AH632" s="675"/>
    </row>
    <row r="633" spans="1:34" s="536" customFormat="1" ht="12" x14ac:dyDescent="0.2">
      <c r="A633" s="1824" t="s">
        <v>803</v>
      </c>
      <c r="B633" s="1825"/>
      <c r="C633" s="1825"/>
      <c r="D633" s="1825"/>
      <c r="E633" s="1825"/>
      <c r="F633" s="1825"/>
      <c r="G633" s="1825"/>
      <c r="H633" s="1825"/>
      <c r="I633" s="1825"/>
      <c r="J633" s="1825"/>
      <c r="K633" s="1825"/>
      <c r="L633" s="1825"/>
      <c r="M633" s="1825"/>
      <c r="N633" s="1826"/>
      <c r="V633" s="674" t="s">
        <v>803</v>
      </c>
      <c r="W633" s="675"/>
      <c r="AB633" s="675"/>
      <c r="AC633" s="680"/>
      <c r="AF633" s="675"/>
      <c r="AH633" s="675"/>
    </row>
    <row r="634" spans="1:34" s="536" customFormat="1" ht="22.5" x14ac:dyDescent="0.2">
      <c r="A634" s="575" t="s">
        <v>804</v>
      </c>
      <c r="B634" s="684" t="s">
        <v>805</v>
      </c>
      <c r="C634" s="1823" t="s">
        <v>806</v>
      </c>
      <c r="D634" s="1823"/>
      <c r="E634" s="1823"/>
      <c r="F634" s="573" t="s">
        <v>617</v>
      </c>
      <c r="G634" s="573"/>
      <c r="H634" s="573"/>
      <c r="I634" s="573" t="s">
        <v>185</v>
      </c>
      <c r="J634" s="572"/>
      <c r="K634" s="573"/>
      <c r="L634" s="572"/>
      <c r="M634" s="571"/>
      <c r="N634" s="570"/>
      <c r="V634" s="674"/>
      <c r="W634" s="675" t="s">
        <v>806</v>
      </c>
      <c r="AB634" s="675"/>
      <c r="AC634" s="680"/>
      <c r="AF634" s="675"/>
      <c r="AH634" s="675"/>
    </row>
    <row r="635" spans="1:34" s="536" customFormat="1" ht="22.5" x14ac:dyDescent="0.2">
      <c r="A635" s="609"/>
      <c r="B635" s="552" t="s">
        <v>499</v>
      </c>
      <c r="C635" s="1822" t="s">
        <v>500</v>
      </c>
      <c r="D635" s="1822"/>
      <c r="E635" s="1822"/>
      <c r="F635" s="1822"/>
      <c r="G635" s="1822"/>
      <c r="H635" s="1822"/>
      <c r="I635" s="1822"/>
      <c r="J635" s="1822"/>
      <c r="K635" s="1822"/>
      <c r="L635" s="1822"/>
      <c r="M635" s="1822"/>
      <c r="N635" s="1827"/>
      <c r="V635" s="674"/>
      <c r="W635" s="675"/>
      <c r="X635" s="537" t="s">
        <v>500</v>
      </c>
      <c r="AB635" s="675"/>
      <c r="AC635" s="680"/>
      <c r="AF635" s="675"/>
      <c r="AH635" s="675"/>
    </row>
    <row r="636" spans="1:34" s="536" customFormat="1" ht="12" x14ac:dyDescent="0.2">
      <c r="A636" s="605"/>
      <c r="B636" s="552" t="s">
        <v>185</v>
      </c>
      <c r="C636" s="1822" t="s">
        <v>312</v>
      </c>
      <c r="D636" s="1822"/>
      <c r="E636" s="1822"/>
      <c r="F636" s="562"/>
      <c r="G636" s="562"/>
      <c r="H636" s="562"/>
      <c r="I636" s="562"/>
      <c r="J636" s="604">
        <v>17.8</v>
      </c>
      <c r="K636" s="562" t="s">
        <v>313</v>
      </c>
      <c r="L636" s="604">
        <v>22.25</v>
      </c>
      <c r="M636" s="603"/>
      <c r="N636" s="602"/>
      <c r="V636" s="674"/>
      <c r="W636" s="675"/>
      <c r="Y636" s="537" t="s">
        <v>312</v>
      </c>
      <c r="AB636" s="675"/>
      <c r="AC636" s="680"/>
      <c r="AF636" s="675"/>
      <c r="AH636" s="675"/>
    </row>
    <row r="637" spans="1:34" s="536" customFormat="1" ht="12" x14ac:dyDescent="0.2">
      <c r="A637" s="605"/>
      <c r="B637" s="552" t="s">
        <v>186</v>
      </c>
      <c r="C637" s="1822" t="s">
        <v>344</v>
      </c>
      <c r="D637" s="1822"/>
      <c r="E637" s="1822"/>
      <c r="F637" s="562"/>
      <c r="G637" s="562"/>
      <c r="H637" s="562"/>
      <c r="I637" s="562"/>
      <c r="J637" s="604">
        <v>0.66</v>
      </c>
      <c r="K637" s="562" t="s">
        <v>313</v>
      </c>
      <c r="L637" s="604">
        <v>0.83</v>
      </c>
      <c r="M637" s="603"/>
      <c r="N637" s="602"/>
      <c r="V637" s="674"/>
      <c r="W637" s="675"/>
      <c r="Y637" s="537" t="s">
        <v>344</v>
      </c>
      <c r="AB637" s="675"/>
      <c r="AC637" s="680"/>
      <c r="AF637" s="675"/>
      <c r="AH637" s="675"/>
    </row>
    <row r="638" spans="1:34" s="536" customFormat="1" ht="12" x14ac:dyDescent="0.2">
      <c r="A638" s="605"/>
      <c r="B638" s="552" t="s">
        <v>187</v>
      </c>
      <c r="C638" s="1822" t="s">
        <v>345</v>
      </c>
      <c r="D638" s="1822"/>
      <c r="E638" s="1822"/>
      <c r="F638" s="562"/>
      <c r="G638" s="562"/>
      <c r="H638" s="562"/>
      <c r="I638" s="562"/>
      <c r="J638" s="604">
        <v>0.12</v>
      </c>
      <c r="K638" s="562" t="s">
        <v>313</v>
      </c>
      <c r="L638" s="604">
        <v>0.15</v>
      </c>
      <c r="M638" s="603"/>
      <c r="N638" s="602"/>
      <c r="V638" s="674"/>
      <c r="W638" s="675"/>
      <c r="Y638" s="537" t="s">
        <v>345</v>
      </c>
      <c r="AB638" s="675"/>
      <c r="AC638" s="680"/>
      <c r="AF638" s="675"/>
      <c r="AH638" s="675"/>
    </row>
    <row r="639" spans="1:34" s="536" customFormat="1" ht="12" x14ac:dyDescent="0.2">
      <c r="A639" s="605"/>
      <c r="B639" s="552" t="s">
        <v>188</v>
      </c>
      <c r="C639" s="1822" t="s">
        <v>475</v>
      </c>
      <c r="D639" s="1822"/>
      <c r="E639" s="1822"/>
      <c r="F639" s="562"/>
      <c r="G639" s="562"/>
      <c r="H639" s="562"/>
      <c r="I639" s="562"/>
      <c r="J639" s="604">
        <v>0.36</v>
      </c>
      <c r="K639" s="562"/>
      <c r="L639" s="604">
        <v>0.36</v>
      </c>
      <c r="M639" s="603"/>
      <c r="N639" s="602"/>
      <c r="V639" s="674"/>
      <c r="W639" s="675"/>
      <c r="Y639" s="537" t="s">
        <v>475</v>
      </c>
      <c r="AB639" s="675"/>
      <c r="AC639" s="680"/>
      <c r="AF639" s="675"/>
      <c r="AH639" s="675"/>
    </row>
    <row r="640" spans="1:34" s="536" customFormat="1" ht="12" x14ac:dyDescent="0.2">
      <c r="A640" s="605"/>
      <c r="B640" s="552"/>
      <c r="C640" s="1822" t="s">
        <v>314</v>
      </c>
      <c r="D640" s="1822"/>
      <c r="E640" s="1822"/>
      <c r="F640" s="562" t="s">
        <v>315</v>
      </c>
      <c r="G640" s="562" t="s">
        <v>807</v>
      </c>
      <c r="H640" s="562" t="s">
        <v>313</v>
      </c>
      <c r="I640" s="562" t="s">
        <v>808</v>
      </c>
      <c r="J640" s="604"/>
      <c r="K640" s="562"/>
      <c r="L640" s="604"/>
      <c r="M640" s="603"/>
      <c r="N640" s="602"/>
      <c r="V640" s="674"/>
      <c r="W640" s="675"/>
      <c r="Z640" s="537" t="s">
        <v>314</v>
      </c>
      <c r="AB640" s="675"/>
      <c r="AC640" s="680"/>
      <c r="AF640" s="675"/>
      <c r="AH640" s="675"/>
    </row>
    <row r="641" spans="1:34" s="536" customFormat="1" ht="12" x14ac:dyDescent="0.2">
      <c r="A641" s="605"/>
      <c r="B641" s="552"/>
      <c r="C641" s="1822" t="s">
        <v>348</v>
      </c>
      <c r="D641" s="1822"/>
      <c r="E641" s="1822"/>
      <c r="F641" s="562" t="s">
        <v>315</v>
      </c>
      <c r="G641" s="562" t="s">
        <v>809</v>
      </c>
      <c r="H641" s="562" t="s">
        <v>313</v>
      </c>
      <c r="I641" s="562" t="s">
        <v>810</v>
      </c>
      <c r="J641" s="604"/>
      <c r="K641" s="562"/>
      <c r="L641" s="604"/>
      <c r="M641" s="603"/>
      <c r="N641" s="602"/>
      <c r="V641" s="674"/>
      <c r="W641" s="675"/>
      <c r="Z641" s="537" t="s">
        <v>348</v>
      </c>
      <c r="AB641" s="675"/>
      <c r="AC641" s="680"/>
      <c r="AF641" s="675"/>
      <c r="AH641" s="675"/>
    </row>
    <row r="642" spans="1:34" s="536" customFormat="1" ht="12" x14ac:dyDescent="0.2">
      <c r="A642" s="605"/>
      <c r="B642" s="552"/>
      <c r="C642" s="1828" t="s">
        <v>318</v>
      </c>
      <c r="D642" s="1828"/>
      <c r="E642" s="1828"/>
      <c r="F642" s="608"/>
      <c r="G642" s="608"/>
      <c r="H642" s="608"/>
      <c r="I642" s="608"/>
      <c r="J642" s="607">
        <v>18.82</v>
      </c>
      <c r="K642" s="608"/>
      <c r="L642" s="607">
        <v>23.44</v>
      </c>
      <c r="M642" s="601"/>
      <c r="N642" s="606"/>
      <c r="V642" s="674"/>
      <c r="W642" s="675"/>
      <c r="AA642" s="537" t="s">
        <v>318</v>
      </c>
      <c r="AB642" s="675"/>
      <c r="AC642" s="680"/>
      <c r="AF642" s="675"/>
      <c r="AH642" s="675"/>
    </row>
    <row r="643" spans="1:34" s="536" customFormat="1" ht="12" x14ac:dyDescent="0.2">
      <c r="A643" s="605"/>
      <c r="B643" s="552"/>
      <c r="C643" s="1822" t="s">
        <v>319</v>
      </c>
      <c r="D643" s="1822"/>
      <c r="E643" s="1822"/>
      <c r="F643" s="562"/>
      <c r="G643" s="562"/>
      <c r="H643" s="562"/>
      <c r="I643" s="562"/>
      <c r="J643" s="604"/>
      <c r="K643" s="562"/>
      <c r="L643" s="604">
        <v>22.4</v>
      </c>
      <c r="M643" s="603"/>
      <c r="N643" s="602"/>
      <c r="V643" s="674"/>
      <c r="W643" s="675"/>
      <c r="Z643" s="537" t="s">
        <v>319</v>
      </c>
      <c r="AB643" s="675"/>
      <c r="AC643" s="680"/>
      <c r="AF643" s="675"/>
      <c r="AH643" s="675"/>
    </row>
    <row r="644" spans="1:34" s="536" customFormat="1" ht="33.75" x14ac:dyDescent="0.2">
      <c r="A644" s="605"/>
      <c r="B644" s="552" t="s">
        <v>620</v>
      </c>
      <c r="C644" s="1822" t="s">
        <v>621</v>
      </c>
      <c r="D644" s="1822"/>
      <c r="E644" s="1822"/>
      <c r="F644" s="562" t="s">
        <v>322</v>
      </c>
      <c r="G644" s="562" t="s">
        <v>559</v>
      </c>
      <c r="H644" s="562"/>
      <c r="I644" s="562" t="s">
        <v>559</v>
      </c>
      <c r="J644" s="604"/>
      <c r="K644" s="562"/>
      <c r="L644" s="604">
        <v>21.28</v>
      </c>
      <c r="M644" s="603"/>
      <c r="N644" s="602"/>
      <c r="V644" s="674"/>
      <c r="W644" s="675"/>
      <c r="Z644" s="537" t="s">
        <v>621</v>
      </c>
      <c r="AB644" s="675"/>
      <c r="AC644" s="680"/>
      <c r="AF644" s="675"/>
      <c r="AH644" s="675"/>
    </row>
    <row r="645" spans="1:34" s="536" customFormat="1" ht="33.75" x14ac:dyDescent="0.2">
      <c r="A645" s="605"/>
      <c r="B645" s="552" t="s">
        <v>622</v>
      </c>
      <c r="C645" s="1822" t="s">
        <v>623</v>
      </c>
      <c r="D645" s="1822"/>
      <c r="E645" s="1822"/>
      <c r="F645" s="562" t="s">
        <v>322</v>
      </c>
      <c r="G645" s="562" t="s">
        <v>624</v>
      </c>
      <c r="H645" s="562"/>
      <c r="I645" s="562" t="s">
        <v>624</v>
      </c>
      <c r="J645" s="604"/>
      <c r="K645" s="562"/>
      <c r="L645" s="604">
        <v>11.87</v>
      </c>
      <c r="M645" s="603"/>
      <c r="N645" s="602"/>
      <c r="V645" s="674"/>
      <c r="W645" s="675"/>
      <c r="Z645" s="537" t="s">
        <v>623</v>
      </c>
      <c r="AB645" s="675"/>
      <c r="AC645" s="680"/>
      <c r="AF645" s="675"/>
      <c r="AH645" s="675"/>
    </row>
    <row r="646" spans="1:34" s="536" customFormat="1" ht="12" x14ac:dyDescent="0.2">
      <c r="A646" s="569"/>
      <c r="B646" s="683"/>
      <c r="C646" s="1823" t="s">
        <v>327</v>
      </c>
      <c r="D646" s="1823"/>
      <c r="E646" s="1823"/>
      <c r="F646" s="573"/>
      <c r="G646" s="573"/>
      <c r="H646" s="573"/>
      <c r="I646" s="573"/>
      <c r="J646" s="572"/>
      <c r="K646" s="573"/>
      <c r="L646" s="572">
        <v>56.59</v>
      </c>
      <c r="M646" s="601"/>
      <c r="N646" s="570"/>
      <c r="V646" s="674"/>
      <c r="W646" s="675"/>
      <c r="AB646" s="675" t="s">
        <v>327</v>
      </c>
      <c r="AC646" s="680"/>
      <c r="AF646" s="675"/>
      <c r="AH646" s="675"/>
    </row>
    <row r="647" spans="1:34" s="536" customFormat="1" ht="33.75" x14ac:dyDescent="0.2">
      <c r="A647" s="575" t="s">
        <v>811</v>
      </c>
      <c r="B647" s="684" t="s">
        <v>812</v>
      </c>
      <c r="C647" s="1823" t="s">
        <v>813</v>
      </c>
      <c r="D647" s="1823"/>
      <c r="E647" s="1823"/>
      <c r="F647" s="573" t="s">
        <v>628</v>
      </c>
      <c r="G647" s="573"/>
      <c r="H647" s="573"/>
      <c r="I647" s="573" t="s">
        <v>185</v>
      </c>
      <c r="J647" s="572">
        <v>53452.5</v>
      </c>
      <c r="K647" s="573" t="s">
        <v>629</v>
      </c>
      <c r="L647" s="572">
        <v>11785.19</v>
      </c>
      <c r="M647" s="571">
        <v>4.59</v>
      </c>
      <c r="N647" s="570">
        <v>54094</v>
      </c>
      <c r="V647" s="674"/>
      <c r="W647" s="675" t="s">
        <v>813</v>
      </c>
      <c r="AB647" s="675"/>
      <c r="AC647" s="680"/>
      <c r="AF647" s="675"/>
      <c r="AH647" s="675"/>
    </row>
    <row r="648" spans="1:34" s="536" customFormat="1" ht="12" x14ac:dyDescent="0.2">
      <c r="A648" s="569"/>
      <c r="B648" s="683"/>
      <c r="C648" s="689" t="s">
        <v>630</v>
      </c>
      <c r="D648" s="690"/>
      <c r="E648" s="690"/>
      <c r="F648" s="563"/>
      <c r="G648" s="563"/>
      <c r="H648" s="563"/>
      <c r="I648" s="563"/>
      <c r="J648" s="566"/>
      <c r="K648" s="563"/>
      <c r="L648" s="566"/>
      <c r="M648" s="565"/>
      <c r="N648" s="564"/>
      <c r="V648" s="674"/>
      <c r="W648" s="675"/>
      <c r="AB648" s="675"/>
      <c r="AC648" s="680"/>
      <c r="AF648" s="675"/>
      <c r="AH648" s="675"/>
    </row>
    <row r="649" spans="1:34" s="536" customFormat="1" ht="22.5" x14ac:dyDescent="0.2">
      <c r="A649" s="609"/>
      <c r="B649" s="552" t="s">
        <v>631</v>
      </c>
      <c r="C649" s="1822" t="s">
        <v>632</v>
      </c>
      <c r="D649" s="1822"/>
      <c r="E649" s="1822"/>
      <c r="F649" s="1822"/>
      <c r="G649" s="1822"/>
      <c r="H649" s="1822"/>
      <c r="I649" s="1822"/>
      <c r="J649" s="1822"/>
      <c r="K649" s="1822"/>
      <c r="L649" s="1822"/>
      <c r="M649" s="1822"/>
      <c r="N649" s="1827"/>
      <c r="V649" s="674"/>
      <c r="W649" s="675"/>
      <c r="X649" s="537" t="s">
        <v>632</v>
      </c>
      <c r="AB649" s="675"/>
      <c r="AC649" s="680"/>
      <c r="AF649" s="675"/>
      <c r="AH649" s="675"/>
    </row>
    <row r="650" spans="1:34" s="536" customFormat="1" ht="33.75" x14ac:dyDescent="0.2">
      <c r="A650" s="575" t="s">
        <v>814</v>
      </c>
      <c r="B650" s="684" t="s">
        <v>815</v>
      </c>
      <c r="C650" s="1823" t="s">
        <v>816</v>
      </c>
      <c r="D650" s="1823"/>
      <c r="E650" s="1823"/>
      <c r="F650" s="573" t="s">
        <v>628</v>
      </c>
      <c r="G650" s="573"/>
      <c r="H650" s="573"/>
      <c r="I650" s="573" t="s">
        <v>185</v>
      </c>
      <c r="J650" s="572">
        <v>158333.32999999999</v>
      </c>
      <c r="K650" s="573" t="s">
        <v>629</v>
      </c>
      <c r="L650" s="572">
        <v>34909.15</v>
      </c>
      <c r="M650" s="571">
        <v>4.59</v>
      </c>
      <c r="N650" s="570">
        <v>160233</v>
      </c>
      <c r="V650" s="674"/>
      <c r="W650" s="675" t="s">
        <v>816</v>
      </c>
      <c r="AB650" s="675"/>
      <c r="AC650" s="680"/>
      <c r="AF650" s="675"/>
      <c r="AH650" s="675"/>
    </row>
    <row r="651" spans="1:34" s="536" customFormat="1" ht="12" x14ac:dyDescent="0.2">
      <c r="A651" s="569"/>
      <c r="B651" s="683"/>
      <c r="C651" s="689" t="s">
        <v>630</v>
      </c>
      <c r="D651" s="690"/>
      <c r="E651" s="690"/>
      <c r="F651" s="563"/>
      <c r="G651" s="563"/>
      <c r="H651" s="563"/>
      <c r="I651" s="563"/>
      <c r="J651" s="566"/>
      <c r="K651" s="563"/>
      <c r="L651" s="566"/>
      <c r="M651" s="565"/>
      <c r="N651" s="564"/>
      <c r="V651" s="674"/>
      <c r="W651" s="675"/>
      <c r="AB651" s="675"/>
      <c r="AC651" s="680"/>
      <c r="AF651" s="675"/>
      <c r="AH651" s="675"/>
    </row>
    <row r="652" spans="1:34" s="536" customFormat="1" ht="22.5" x14ac:dyDescent="0.2">
      <c r="A652" s="609"/>
      <c r="B652" s="552" t="s">
        <v>631</v>
      </c>
      <c r="C652" s="1822" t="s">
        <v>632</v>
      </c>
      <c r="D652" s="1822"/>
      <c r="E652" s="1822"/>
      <c r="F652" s="1822"/>
      <c r="G652" s="1822"/>
      <c r="H652" s="1822"/>
      <c r="I652" s="1822"/>
      <c r="J652" s="1822"/>
      <c r="K652" s="1822"/>
      <c r="L652" s="1822"/>
      <c r="M652" s="1822"/>
      <c r="N652" s="1827"/>
      <c r="V652" s="674"/>
      <c r="W652" s="675"/>
      <c r="X652" s="537" t="s">
        <v>632</v>
      </c>
      <c r="AB652" s="675"/>
      <c r="AC652" s="680"/>
      <c r="AF652" s="675"/>
      <c r="AH652" s="675"/>
    </row>
    <row r="653" spans="1:34" s="536" customFormat="1" ht="22.5" x14ac:dyDescent="0.2">
      <c r="A653" s="575" t="s">
        <v>817</v>
      </c>
      <c r="B653" s="684" t="s">
        <v>818</v>
      </c>
      <c r="C653" s="1823" t="s">
        <v>819</v>
      </c>
      <c r="D653" s="1823"/>
      <c r="E653" s="1823"/>
      <c r="F653" s="573" t="s">
        <v>617</v>
      </c>
      <c r="G653" s="573"/>
      <c r="H653" s="573"/>
      <c r="I653" s="573" t="s">
        <v>187</v>
      </c>
      <c r="J653" s="572"/>
      <c r="K653" s="573"/>
      <c r="L653" s="572"/>
      <c r="M653" s="571"/>
      <c r="N653" s="570"/>
      <c r="V653" s="674"/>
      <c r="W653" s="675" t="s">
        <v>819</v>
      </c>
      <c r="AB653" s="675"/>
      <c r="AC653" s="680"/>
      <c r="AF653" s="675"/>
      <c r="AH653" s="675"/>
    </row>
    <row r="654" spans="1:34" s="536" customFormat="1" ht="12" x14ac:dyDescent="0.2">
      <c r="A654" s="676"/>
      <c r="B654" s="682"/>
      <c r="C654" s="1822" t="s">
        <v>820</v>
      </c>
      <c r="D654" s="1822"/>
      <c r="E654" s="1822"/>
      <c r="F654" s="1822"/>
      <c r="G654" s="1822"/>
      <c r="H654" s="1822"/>
      <c r="I654" s="1822"/>
      <c r="J654" s="1822"/>
      <c r="K654" s="1822"/>
      <c r="L654" s="1822"/>
      <c r="M654" s="1822"/>
      <c r="N654" s="1827"/>
      <c r="V654" s="674"/>
      <c r="W654" s="675"/>
      <c r="AB654" s="675"/>
      <c r="AC654" s="680"/>
      <c r="AE654" s="537" t="s">
        <v>820</v>
      </c>
      <c r="AF654" s="675"/>
      <c r="AH654" s="675"/>
    </row>
    <row r="655" spans="1:34" s="536" customFormat="1" ht="22.5" x14ac:dyDescent="0.2">
      <c r="A655" s="609"/>
      <c r="B655" s="552" t="s">
        <v>499</v>
      </c>
      <c r="C655" s="1822" t="s">
        <v>500</v>
      </c>
      <c r="D655" s="1822"/>
      <c r="E655" s="1822"/>
      <c r="F655" s="1822"/>
      <c r="G655" s="1822"/>
      <c r="H655" s="1822"/>
      <c r="I655" s="1822"/>
      <c r="J655" s="1822"/>
      <c r="K655" s="1822"/>
      <c r="L655" s="1822"/>
      <c r="M655" s="1822"/>
      <c r="N655" s="1827"/>
      <c r="V655" s="674"/>
      <c r="W655" s="675"/>
      <c r="X655" s="537" t="s">
        <v>500</v>
      </c>
      <c r="AB655" s="675"/>
      <c r="AC655" s="680"/>
      <c r="AF655" s="675"/>
      <c r="AH655" s="675"/>
    </row>
    <row r="656" spans="1:34" s="536" customFormat="1" ht="12" x14ac:dyDescent="0.2">
      <c r="A656" s="605"/>
      <c r="B656" s="552" t="s">
        <v>185</v>
      </c>
      <c r="C656" s="1822" t="s">
        <v>312</v>
      </c>
      <c r="D656" s="1822"/>
      <c r="E656" s="1822"/>
      <c r="F656" s="562"/>
      <c r="G656" s="562"/>
      <c r="H656" s="562"/>
      <c r="I656" s="562"/>
      <c r="J656" s="604">
        <v>8.7899999999999991</v>
      </c>
      <c r="K656" s="562" t="s">
        <v>313</v>
      </c>
      <c r="L656" s="604">
        <v>32.96</v>
      </c>
      <c r="M656" s="603"/>
      <c r="N656" s="602"/>
      <c r="V656" s="674"/>
      <c r="W656" s="675"/>
      <c r="Y656" s="537" t="s">
        <v>312</v>
      </c>
      <c r="AB656" s="675"/>
      <c r="AC656" s="680"/>
      <c r="AF656" s="675"/>
      <c r="AH656" s="675"/>
    </row>
    <row r="657" spans="1:34" s="536" customFormat="1" ht="12" x14ac:dyDescent="0.2">
      <c r="A657" s="605"/>
      <c r="B657" s="552" t="s">
        <v>186</v>
      </c>
      <c r="C657" s="1822" t="s">
        <v>344</v>
      </c>
      <c r="D657" s="1822"/>
      <c r="E657" s="1822"/>
      <c r="F657" s="562"/>
      <c r="G657" s="562"/>
      <c r="H657" s="562"/>
      <c r="I657" s="562"/>
      <c r="J657" s="604">
        <v>10.51</v>
      </c>
      <c r="K657" s="562" t="s">
        <v>313</v>
      </c>
      <c r="L657" s="604">
        <v>39.409999999999997</v>
      </c>
      <c r="M657" s="603"/>
      <c r="N657" s="602"/>
      <c r="V657" s="674"/>
      <c r="W657" s="675"/>
      <c r="Y657" s="537" t="s">
        <v>344</v>
      </c>
      <c r="AB657" s="675"/>
      <c r="AC657" s="680"/>
      <c r="AF657" s="675"/>
      <c r="AH657" s="675"/>
    </row>
    <row r="658" spans="1:34" s="536" customFormat="1" ht="12" x14ac:dyDescent="0.2">
      <c r="A658" s="605"/>
      <c r="B658" s="552" t="s">
        <v>187</v>
      </c>
      <c r="C658" s="1822" t="s">
        <v>345</v>
      </c>
      <c r="D658" s="1822"/>
      <c r="E658" s="1822"/>
      <c r="F658" s="562"/>
      <c r="G658" s="562"/>
      <c r="H658" s="562"/>
      <c r="I658" s="562"/>
      <c r="J658" s="604">
        <v>1.86</v>
      </c>
      <c r="K658" s="562" t="s">
        <v>313</v>
      </c>
      <c r="L658" s="604">
        <v>6.98</v>
      </c>
      <c r="M658" s="603"/>
      <c r="N658" s="602"/>
      <c r="V658" s="674"/>
      <c r="W658" s="675"/>
      <c r="Y658" s="537" t="s">
        <v>345</v>
      </c>
      <c r="AB658" s="675"/>
      <c r="AC658" s="680"/>
      <c r="AF658" s="675"/>
      <c r="AH658" s="675"/>
    </row>
    <row r="659" spans="1:34" s="536" customFormat="1" ht="12" x14ac:dyDescent="0.2">
      <c r="A659" s="605"/>
      <c r="B659" s="552" t="s">
        <v>188</v>
      </c>
      <c r="C659" s="1822" t="s">
        <v>475</v>
      </c>
      <c r="D659" s="1822"/>
      <c r="E659" s="1822"/>
      <c r="F659" s="562"/>
      <c r="G659" s="562"/>
      <c r="H659" s="562"/>
      <c r="I659" s="562"/>
      <c r="J659" s="604">
        <v>0.18</v>
      </c>
      <c r="K659" s="562"/>
      <c r="L659" s="604">
        <v>0.54</v>
      </c>
      <c r="M659" s="603"/>
      <c r="N659" s="602"/>
      <c r="V659" s="674"/>
      <c r="W659" s="675"/>
      <c r="Y659" s="537" t="s">
        <v>475</v>
      </c>
      <c r="AB659" s="675"/>
      <c r="AC659" s="680"/>
      <c r="AF659" s="675"/>
      <c r="AH659" s="675"/>
    </row>
    <row r="660" spans="1:34" s="536" customFormat="1" ht="12" x14ac:dyDescent="0.2">
      <c r="A660" s="605"/>
      <c r="B660" s="552"/>
      <c r="C660" s="1822" t="s">
        <v>314</v>
      </c>
      <c r="D660" s="1822"/>
      <c r="E660" s="1822"/>
      <c r="F660" s="562" t="s">
        <v>315</v>
      </c>
      <c r="G660" s="562" t="s">
        <v>702</v>
      </c>
      <c r="H660" s="562" t="s">
        <v>313</v>
      </c>
      <c r="I660" s="562" t="s">
        <v>821</v>
      </c>
      <c r="J660" s="604"/>
      <c r="K660" s="562"/>
      <c r="L660" s="604"/>
      <c r="M660" s="603"/>
      <c r="N660" s="602"/>
      <c r="V660" s="674"/>
      <c r="W660" s="675"/>
      <c r="Z660" s="537" t="s">
        <v>314</v>
      </c>
      <c r="AB660" s="675"/>
      <c r="AC660" s="680"/>
      <c r="AF660" s="675"/>
      <c r="AH660" s="675"/>
    </row>
    <row r="661" spans="1:34" s="536" customFormat="1" ht="12" x14ac:dyDescent="0.2">
      <c r="A661" s="605"/>
      <c r="B661" s="552"/>
      <c r="C661" s="1822" t="s">
        <v>348</v>
      </c>
      <c r="D661" s="1822"/>
      <c r="E661" s="1822"/>
      <c r="F661" s="562" t="s">
        <v>315</v>
      </c>
      <c r="G661" s="562" t="s">
        <v>822</v>
      </c>
      <c r="H661" s="562" t="s">
        <v>313</v>
      </c>
      <c r="I661" s="562" t="s">
        <v>823</v>
      </c>
      <c r="J661" s="604"/>
      <c r="K661" s="562"/>
      <c r="L661" s="604"/>
      <c r="M661" s="603"/>
      <c r="N661" s="602"/>
      <c r="V661" s="674"/>
      <c r="W661" s="675"/>
      <c r="Z661" s="537" t="s">
        <v>348</v>
      </c>
      <c r="AB661" s="675"/>
      <c r="AC661" s="680"/>
      <c r="AF661" s="675"/>
      <c r="AH661" s="675"/>
    </row>
    <row r="662" spans="1:34" s="536" customFormat="1" ht="12" x14ac:dyDescent="0.2">
      <c r="A662" s="605"/>
      <c r="B662" s="552"/>
      <c r="C662" s="1828" t="s">
        <v>318</v>
      </c>
      <c r="D662" s="1828"/>
      <c r="E662" s="1828"/>
      <c r="F662" s="608"/>
      <c r="G662" s="608"/>
      <c r="H662" s="608"/>
      <c r="I662" s="608"/>
      <c r="J662" s="607">
        <v>19.48</v>
      </c>
      <c r="K662" s="608"/>
      <c r="L662" s="607">
        <v>72.91</v>
      </c>
      <c r="M662" s="601"/>
      <c r="N662" s="606"/>
      <c r="V662" s="674"/>
      <c r="W662" s="675"/>
      <c r="AA662" s="537" t="s">
        <v>318</v>
      </c>
      <c r="AB662" s="675"/>
      <c r="AC662" s="680"/>
      <c r="AF662" s="675"/>
      <c r="AH662" s="675"/>
    </row>
    <row r="663" spans="1:34" s="536" customFormat="1" ht="12" x14ac:dyDescent="0.2">
      <c r="A663" s="605"/>
      <c r="B663" s="552"/>
      <c r="C663" s="1822" t="s">
        <v>319</v>
      </c>
      <c r="D663" s="1822"/>
      <c r="E663" s="1822"/>
      <c r="F663" s="562"/>
      <c r="G663" s="562"/>
      <c r="H663" s="562"/>
      <c r="I663" s="562"/>
      <c r="J663" s="604"/>
      <c r="K663" s="562"/>
      <c r="L663" s="604">
        <v>39.94</v>
      </c>
      <c r="M663" s="603"/>
      <c r="N663" s="602"/>
      <c r="V663" s="674"/>
      <c r="W663" s="675"/>
      <c r="Z663" s="537" t="s">
        <v>319</v>
      </c>
      <c r="AB663" s="675"/>
      <c r="AC663" s="680"/>
      <c r="AF663" s="675"/>
      <c r="AH663" s="675"/>
    </row>
    <row r="664" spans="1:34" s="536" customFormat="1" ht="33.75" x14ac:dyDescent="0.2">
      <c r="A664" s="605"/>
      <c r="B664" s="552" t="s">
        <v>620</v>
      </c>
      <c r="C664" s="1822" t="s">
        <v>621</v>
      </c>
      <c r="D664" s="1822"/>
      <c r="E664" s="1822"/>
      <c r="F664" s="562" t="s">
        <v>322</v>
      </c>
      <c r="G664" s="562" t="s">
        <v>559</v>
      </c>
      <c r="H664" s="562"/>
      <c r="I664" s="562" t="s">
        <v>559</v>
      </c>
      <c r="J664" s="604"/>
      <c r="K664" s="562"/>
      <c r="L664" s="604">
        <v>37.94</v>
      </c>
      <c r="M664" s="603"/>
      <c r="N664" s="602"/>
      <c r="V664" s="674"/>
      <c r="W664" s="675"/>
      <c r="Z664" s="537" t="s">
        <v>621</v>
      </c>
      <c r="AB664" s="675"/>
      <c r="AC664" s="680"/>
      <c r="AF664" s="675"/>
      <c r="AH664" s="675"/>
    </row>
    <row r="665" spans="1:34" s="536" customFormat="1" ht="33.75" x14ac:dyDescent="0.2">
      <c r="A665" s="605"/>
      <c r="B665" s="552" t="s">
        <v>622</v>
      </c>
      <c r="C665" s="1822" t="s">
        <v>623</v>
      </c>
      <c r="D665" s="1822"/>
      <c r="E665" s="1822"/>
      <c r="F665" s="562" t="s">
        <v>322</v>
      </c>
      <c r="G665" s="562" t="s">
        <v>624</v>
      </c>
      <c r="H665" s="562"/>
      <c r="I665" s="562" t="s">
        <v>624</v>
      </c>
      <c r="J665" s="604"/>
      <c r="K665" s="562"/>
      <c r="L665" s="604">
        <v>21.17</v>
      </c>
      <c r="M665" s="603"/>
      <c r="N665" s="602"/>
      <c r="V665" s="674"/>
      <c r="W665" s="675"/>
      <c r="Z665" s="537" t="s">
        <v>623</v>
      </c>
      <c r="AB665" s="675"/>
      <c r="AC665" s="680"/>
      <c r="AF665" s="675"/>
      <c r="AH665" s="675"/>
    </row>
    <row r="666" spans="1:34" s="536" customFormat="1" ht="12" x14ac:dyDescent="0.2">
      <c r="A666" s="569"/>
      <c r="B666" s="683"/>
      <c r="C666" s="1823" t="s">
        <v>327</v>
      </c>
      <c r="D666" s="1823"/>
      <c r="E666" s="1823"/>
      <c r="F666" s="573"/>
      <c r="G666" s="573"/>
      <c r="H666" s="573"/>
      <c r="I666" s="573"/>
      <c r="J666" s="572"/>
      <c r="K666" s="573"/>
      <c r="L666" s="572">
        <v>132.02000000000001</v>
      </c>
      <c r="M666" s="601"/>
      <c r="N666" s="570"/>
      <c r="V666" s="674"/>
      <c r="W666" s="675"/>
      <c r="AB666" s="675" t="s">
        <v>327</v>
      </c>
      <c r="AC666" s="680"/>
      <c r="AF666" s="675"/>
      <c r="AH666" s="675"/>
    </row>
    <row r="667" spans="1:34" s="536" customFormat="1" ht="33.75" x14ac:dyDescent="0.2">
      <c r="A667" s="575" t="s">
        <v>824</v>
      </c>
      <c r="B667" s="684" t="s">
        <v>825</v>
      </c>
      <c r="C667" s="1823" t="s">
        <v>826</v>
      </c>
      <c r="D667" s="1823"/>
      <c r="E667" s="1823"/>
      <c r="F667" s="573" t="s">
        <v>663</v>
      </c>
      <c r="G667" s="573"/>
      <c r="H667" s="573"/>
      <c r="I667" s="573" t="s">
        <v>185</v>
      </c>
      <c r="J667" s="572">
        <v>60669.17</v>
      </c>
      <c r="K667" s="573" t="s">
        <v>629</v>
      </c>
      <c r="L667" s="572">
        <v>13376.25</v>
      </c>
      <c r="M667" s="571">
        <v>4.59</v>
      </c>
      <c r="N667" s="570">
        <v>61397</v>
      </c>
      <c r="V667" s="674"/>
      <c r="W667" s="675" t="s">
        <v>826</v>
      </c>
      <c r="AB667" s="675"/>
      <c r="AC667" s="680"/>
      <c r="AF667" s="675"/>
      <c r="AH667" s="675"/>
    </row>
    <row r="668" spans="1:34" s="536" customFormat="1" ht="12" x14ac:dyDescent="0.2">
      <c r="A668" s="569"/>
      <c r="B668" s="683"/>
      <c r="C668" s="689" t="s">
        <v>630</v>
      </c>
      <c r="D668" s="690"/>
      <c r="E668" s="690"/>
      <c r="F668" s="563"/>
      <c r="G668" s="563"/>
      <c r="H668" s="563"/>
      <c r="I668" s="563"/>
      <c r="J668" s="566"/>
      <c r="K668" s="563"/>
      <c r="L668" s="566"/>
      <c r="M668" s="565"/>
      <c r="N668" s="564"/>
      <c r="V668" s="674"/>
      <c r="W668" s="675"/>
      <c r="AB668" s="675"/>
      <c r="AC668" s="680"/>
      <c r="AF668" s="675"/>
      <c r="AH668" s="675"/>
    </row>
    <row r="669" spans="1:34" s="536" customFormat="1" ht="22.5" x14ac:dyDescent="0.2">
      <c r="A669" s="609"/>
      <c r="B669" s="552" t="s">
        <v>631</v>
      </c>
      <c r="C669" s="1822" t="s">
        <v>632</v>
      </c>
      <c r="D669" s="1822"/>
      <c r="E669" s="1822"/>
      <c r="F669" s="1822"/>
      <c r="G669" s="1822"/>
      <c r="H669" s="1822"/>
      <c r="I669" s="1822"/>
      <c r="J669" s="1822"/>
      <c r="K669" s="1822"/>
      <c r="L669" s="1822"/>
      <c r="M669" s="1822"/>
      <c r="N669" s="1827"/>
      <c r="V669" s="674"/>
      <c r="W669" s="675"/>
      <c r="X669" s="537" t="s">
        <v>632</v>
      </c>
      <c r="AB669" s="675"/>
      <c r="AC669" s="680"/>
      <c r="AF669" s="675"/>
      <c r="AH669" s="675"/>
    </row>
    <row r="670" spans="1:34" s="536" customFormat="1" ht="33.75" x14ac:dyDescent="0.2">
      <c r="A670" s="575" t="s">
        <v>827</v>
      </c>
      <c r="B670" s="684" t="s">
        <v>828</v>
      </c>
      <c r="C670" s="1823" t="s">
        <v>829</v>
      </c>
      <c r="D670" s="1823"/>
      <c r="E670" s="1823"/>
      <c r="F670" s="573" t="s">
        <v>617</v>
      </c>
      <c r="G670" s="573"/>
      <c r="H670" s="573"/>
      <c r="I670" s="573" t="s">
        <v>185</v>
      </c>
      <c r="J670" s="572">
        <v>51030.83</v>
      </c>
      <c r="K670" s="573" t="s">
        <v>629</v>
      </c>
      <c r="L670" s="572">
        <v>11251.2</v>
      </c>
      <c r="M670" s="571">
        <v>4.59</v>
      </c>
      <c r="N670" s="570">
        <v>51643</v>
      </c>
      <c r="V670" s="674"/>
      <c r="W670" s="675" t="s">
        <v>829</v>
      </c>
      <c r="AB670" s="675"/>
      <c r="AC670" s="680"/>
      <c r="AF670" s="675"/>
      <c r="AH670" s="675"/>
    </row>
    <row r="671" spans="1:34" s="536" customFormat="1" ht="12" x14ac:dyDescent="0.2">
      <c r="A671" s="569"/>
      <c r="B671" s="683"/>
      <c r="C671" s="689" t="s">
        <v>630</v>
      </c>
      <c r="D671" s="690"/>
      <c r="E671" s="690"/>
      <c r="F671" s="563"/>
      <c r="G671" s="563"/>
      <c r="H671" s="563"/>
      <c r="I671" s="563"/>
      <c r="J671" s="566"/>
      <c r="K671" s="563"/>
      <c r="L671" s="566"/>
      <c r="M671" s="565"/>
      <c r="N671" s="564"/>
      <c r="V671" s="674"/>
      <c r="W671" s="675"/>
      <c r="AB671" s="675"/>
      <c r="AC671" s="680"/>
      <c r="AF671" s="675"/>
      <c r="AH671" s="675"/>
    </row>
    <row r="672" spans="1:34" s="536" customFormat="1" ht="22.5" x14ac:dyDescent="0.2">
      <c r="A672" s="609"/>
      <c r="B672" s="552" t="s">
        <v>631</v>
      </c>
      <c r="C672" s="1822" t="s">
        <v>632</v>
      </c>
      <c r="D672" s="1822"/>
      <c r="E672" s="1822"/>
      <c r="F672" s="1822"/>
      <c r="G672" s="1822"/>
      <c r="H672" s="1822"/>
      <c r="I672" s="1822"/>
      <c r="J672" s="1822"/>
      <c r="K672" s="1822"/>
      <c r="L672" s="1822"/>
      <c r="M672" s="1822"/>
      <c r="N672" s="1827"/>
      <c r="V672" s="674"/>
      <c r="W672" s="675"/>
      <c r="X672" s="537" t="s">
        <v>632</v>
      </c>
      <c r="AB672" s="675"/>
      <c r="AC672" s="680"/>
      <c r="AF672" s="675"/>
      <c r="AH672" s="675"/>
    </row>
    <row r="673" spans="1:34" s="536" customFormat="1" ht="33.75" x14ac:dyDescent="0.2">
      <c r="A673" s="575" t="s">
        <v>830</v>
      </c>
      <c r="B673" s="684" t="s">
        <v>831</v>
      </c>
      <c r="C673" s="1823" t="s">
        <v>832</v>
      </c>
      <c r="D673" s="1823"/>
      <c r="E673" s="1823"/>
      <c r="F673" s="573" t="s">
        <v>617</v>
      </c>
      <c r="G673" s="573"/>
      <c r="H673" s="573"/>
      <c r="I673" s="573" t="s">
        <v>185</v>
      </c>
      <c r="J673" s="572">
        <v>100826.67</v>
      </c>
      <c r="K673" s="573" t="s">
        <v>629</v>
      </c>
      <c r="L673" s="572">
        <v>22230.28</v>
      </c>
      <c r="M673" s="571">
        <v>4.59</v>
      </c>
      <c r="N673" s="570">
        <v>102037</v>
      </c>
      <c r="V673" s="674"/>
      <c r="W673" s="675" t="s">
        <v>832</v>
      </c>
      <c r="AB673" s="675"/>
      <c r="AC673" s="680"/>
      <c r="AF673" s="675"/>
      <c r="AH673" s="675"/>
    </row>
    <row r="674" spans="1:34" s="536" customFormat="1" ht="12" x14ac:dyDescent="0.2">
      <c r="A674" s="569"/>
      <c r="B674" s="683"/>
      <c r="C674" s="689" t="s">
        <v>630</v>
      </c>
      <c r="D674" s="690"/>
      <c r="E674" s="690"/>
      <c r="F674" s="563"/>
      <c r="G674" s="563"/>
      <c r="H674" s="563"/>
      <c r="I674" s="563"/>
      <c r="J674" s="566"/>
      <c r="K674" s="563"/>
      <c r="L674" s="566"/>
      <c r="M674" s="565"/>
      <c r="N674" s="564"/>
      <c r="V674" s="674"/>
      <c r="W674" s="675"/>
      <c r="AB674" s="675"/>
      <c r="AC674" s="680"/>
      <c r="AF674" s="675"/>
      <c r="AH674" s="675"/>
    </row>
    <row r="675" spans="1:34" s="536" customFormat="1" ht="22.5" x14ac:dyDescent="0.2">
      <c r="A675" s="609"/>
      <c r="B675" s="552" t="s">
        <v>631</v>
      </c>
      <c r="C675" s="1822" t="s">
        <v>632</v>
      </c>
      <c r="D675" s="1822"/>
      <c r="E675" s="1822"/>
      <c r="F675" s="1822"/>
      <c r="G675" s="1822"/>
      <c r="H675" s="1822"/>
      <c r="I675" s="1822"/>
      <c r="J675" s="1822"/>
      <c r="K675" s="1822"/>
      <c r="L675" s="1822"/>
      <c r="M675" s="1822"/>
      <c r="N675" s="1827"/>
      <c r="V675" s="674"/>
      <c r="W675" s="675"/>
      <c r="X675" s="537" t="s">
        <v>632</v>
      </c>
      <c r="AB675" s="675"/>
      <c r="AC675" s="680"/>
      <c r="AF675" s="675"/>
      <c r="AH675" s="675"/>
    </row>
    <row r="676" spans="1:34" s="536" customFormat="1" ht="1.5" customHeight="1" x14ac:dyDescent="0.2">
      <c r="A676" s="563"/>
      <c r="B676" s="683"/>
      <c r="C676" s="683"/>
      <c r="D676" s="683"/>
      <c r="E676" s="683"/>
      <c r="F676" s="563"/>
      <c r="G676" s="563"/>
      <c r="H676" s="563"/>
      <c r="I676" s="563"/>
      <c r="J676" s="546"/>
      <c r="K676" s="563"/>
      <c r="L676" s="546"/>
      <c r="M676" s="562"/>
      <c r="N676" s="546"/>
      <c r="V676" s="674"/>
      <c r="W676" s="675"/>
      <c r="AB676" s="675"/>
      <c r="AC676" s="680"/>
      <c r="AF676" s="675"/>
      <c r="AH676" s="675"/>
    </row>
    <row r="677" spans="1:34" s="536" customFormat="1" ht="12" x14ac:dyDescent="0.2">
      <c r="A677" s="557"/>
      <c r="B677" s="556"/>
      <c r="C677" s="1823" t="s">
        <v>833</v>
      </c>
      <c r="D677" s="1823"/>
      <c r="E677" s="1823"/>
      <c r="F677" s="1823"/>
      <c r="G677" s="1823"/>
      <c r="H677" s="1823"/>
      <c r="I677" s="1823"/>
      <c r="J677" s="1823"/>
      <c r="K677" s="1823"/>
      <c r="L677" s="555"/>
      <c r="M677" s="554"/>
      <c r="N677" s="553"/>
      <c r="V677" s="674"/>
      <c r="W677" s="675"/>
      <c r="AB677" s="675"/>
      <c r="AC677" s="680"/>
      <c r="AF677" s="675" t="s">
        <v>833</v>
      </c>
      <c r="AH677" s="675"/>
    </row>
    <row r="678" spans="1:34" s="536" customFormat="1" ht="12" x14ac:dyDescent="0.2">
      <c r="A678" s="548"/>
      <c r="B678" s="552"/>
      <c r="C678" s="1822" t="s">
        <v>403</v>
      </c>
      <c r="D678" s="1822"/>
      <c r="E678" s="1822"/>
      <c r="F678" s="1822"/>
      <c r="G678" s="1822"/>
      <c r="H678" s="1822"/>
      <c r="I678" s="1822"/>
      <c r="J678" s="1822"/>
      <c r="K678" s="1822"/>
      <c r="L678" s="551">
        <v>96.35</v>
      </c>
      <c r="M678" s="550"/>
      <c r="N678" s="549"/>
      <c r="V678" s="674"/>
      <c r="W678" s="675"/>
      <c r="AB678" s="675"/>
      <c r="AC678" s="680"/>
      <c r="AF678" s="675"/>
      <c r="AG678" s="537" t="s">
        <v>403</v>
      </c>
      <c r="AH678" s="675"/>
    </row>
    <row r="679" spans="1:34" s="536" customFormat="1" ht="12" x14ac:dyDescent="0.2">
      <c r="A679" s="548"/>
      <c r="B679" s="552"/>
      <c r="C679" s="1822" t="s">
        <v>204</v>
      </c>
      <c r="D679" s="1822"/>
      <c r="E679" s="1822"/>
      <c r="F679" s="1822"/>
      <c r="G679" s="1822"/>
      <c r="H679" s="1822"/>
      <c r="I679" s="1822"/>
      <c r="J679" s="1822"/>
      <c r="K679" s="1822"/>
      <c r="L679" s="551"/>
      <c r="M679" s="550"/>
      <c r="N679" s="549"/>
      <c r="V679" s="674"/>
      <c r="W679" s="675"/>
      <c r="AB679" s="675"/>
      <c r="AC679" s="680"/>
      <c r="AF679" s="675"/>
      <c r="AG679" s="537" t="s">
        <v>204</v>
      </c>
      <c r="AH679" s="675"/>
    </row>
    <row r="680" spans="1:34" s="536" customFormat="1" ht="12" x14ac:dyDescent="0.2">
      <c r="A680" s="548"/>
      <c r="B680" s="552"/>
      <c r="C680" s="1822" t="s">
        <v>404</v>
      </c>
      <c r="D680" s="1822"/>
      <c r="E680" s="1822"/>
      <c r="F680" s="1822"/>
      <c r="G680" s="1822"/>
      <c r="H680" s="1822"/>
      <c r="I680" s="1822"/>
      <c r="J680" s="1822"/>
      <c r="K680" s="1822"/>
      <c r="L680" s="551">
        <v>55.21</v>
      </c>
      <c r="M680" s="550"/>
      <c r="N680" s="549"/>
      <c r="V680" s="674"/>
      <c r="W680" s="675"/>
      <c r="AB680" s="675"/>
      <c r="AC680" s="680"/>
      <c r="AF680" s="675"/>
      <c r="AG680" s="537" t="s">
        <v>404</v>
      </c>
      <c r="AH680" s="675"/>
    </row>
    <row r="681" spans="1:34" s="536" customFormat="1" ht="12" x14ac:dyDescent="0.2">
      <c r="A681" s="548"/>
      <c r="B681" s="552"/>
      <c r="C681" s="1822" t="s">
        <v>405</v>
      </c>
      <c r="D681" s="1822"/>
      <c r="E681" s="1822"/>
      <c r="F681" s="1822"/>
      <c r="G681" s="1822"/>
      <c r="H681" s="1822"/>
      <c r="I681" s="1822"/>
      <c r="J681" s="1822"/>
      <c r="K681" s="1822"/>
      <c r="L681" s="551">
        <v>40.24</v>
      </c>
      <c r="M681" s="550"/>
      <c r="N681" s="549"/>
      <c r="V681" s="674"/>
      <c r="W681" s="675"/>
      <c r="AB681" s="675"/>
      <c r="AC681" s="680"/>
      <c r="AF681" s="675"/>
      <c r="AG681" s="537" t="s">
        <v>405</v>
      </c>
      <c r="AH681" s="675"/>
    </row>
    <row r="682" spans="1:34" s="536" customFormat="1" ht="12" x14ac:dyDescent="0.2">
      <c r="A682" s="548"/>
      <c r="B682" s="552"/>
      <c r="C682" s="1822" t="s">
        <v>406</v>
      </c>
      <c r="D682" s="1822"/>
      <c r="E682" s="1822"/>
      <c r="F682" s="1822"/>
      <c r="G682" s="1822"/>
      <c r="H682" s="1822"/>
      <c r="I682" s="1822"/>
      <c r="J682" s="1822"/>
      <c r="K682" s="1822"/>
      <c r="L682" s="551">
        <v>7.13</v>
      </c>
      <c r="M682" s="550"/>
      <c r="N682" s="549"/>
      <c r="V682" s="674"/>
      <c r="W682" s="675"/>
      <c r="AB682" s="675"/>
      <c r="AC682" s="680"/>
      <c r="AF682" s="675"/>
      <c r="AG682" s="537" t="s">
        <v>406</v>
      </c>
      <c r="AH682" s="675"/>
    </row>
    <row r="683" spans="1:34" s="536" customFormat="1" ht="12" x14ac:dyDescent="0.2">
      <c r="A683" s="548"/>
      <c r="B683" s="552"/>
      <c r="C683" s="1822" t="s">
        <v>480</v>
      </c>
      <c r="D683" s="1822"/>
      <c r="E683" s="1822"/>
      <c r="F683" s="1822"/>
      <c r="G683" s="1822"/>
      <c r="H683" s="1822"/>
      <c r="I683" s="1822"/>
      <c r="J683" s="1822"/>
      <c r="K683" s="1822"/>
      <c r="L683" s="551">
        <v>0.9</v>
      </c>
      <c r="M683" s="550"/>
      <c r="N683" s="549"/>
      <c r="V683" s="674"/>
      <c r="W683" s="675"/>
      <c r="AB683" s="675"/>
      <c r="AC683" s="680"/>
      <c r="AF683" s="675"/>
      <c r="AG683" s="537" t="s">
        <v>480</v>
      </c>
      <c r="AH683" s="675"/>
    </row>
    <row r="684" spans="1:34" s="536" customFormat="1" ht="12" x14ac:dyDescent="0.2">
      <c r="A684" s="548"/>
      <c r="B684" s="552"/>
      <c r="C684" s="1822" t="s">
        <v>753</v>
      </c>
      <c r="D684" s="1822"/>
      <c r="E684" s="1822"/>
      <c r="F684" s="1822"/>
      <c r="G684" s="1822"/>
      <c r="H684" s="1822"/>
      <c r="I684" s="1822"/>
      <c r="J684" s="1822"/>
      <c r="K684" s="1822"/>
      <c r="L684" s="551">
        <v>188.61</v>
      </c>
      <c r="M684" s="550"/>
      <c r="N684" s="549"/>
      <c r="V684" s="674"/>
      <c r="W684" s="675"/>
      <c r="AB684" s="675"/>
      <c r="AC684" s="680"/>
      <c r="AF684" s="675"/>
      <c r="AG684" s="537" t="s">
        <v>753</v>
      </c>
      <c r="AH684" s="675"/>
    </row>
    <row r="685" spans="1:34" s="536" customFormat="1" ht="12" x14ac:dyDescent="0.2">
      <c r="A685" s="548"/>
      <c r="B685" s="552"/>
      <c r="C685" s="1822" t="s">
        <v>204</v>
      </c>
      <c r="D685" s="1822"/>
      <c r="E685" s="1822"/>
      <c r="F685" s="1822"/>
      <c r="G685" s="1822"/>
      <c r="H685" s="1822"/>
      <c r="I685" s="1822"/>
      <c r="J685" s="1822"/>
      <c r="K685" s="1822"/>
      <c r="L685" s="551"/>
      <c r="M685" s="550"/>
      <c r="N685" s="549"/>
      <c r="V685" s="674"/>
      <c r="W685" s="675"/>
      <c r="AB685" s="675"/>
      <c r="AC685" s="680"/>
      <c r="AF685" s="675"/>
      <c r="AG685" s="537" t="s">
        <v>204</v>
      </c>
      <c r="AH685" s="675"/>
    </row>
    <row r="686" spans="1:34" s="536" customFormat="1" ht="12" x14ac:dyDescent="0.2">
      <c r="A686" s="548"/>
      <c r="B686" s="552"/>
      <c r="C686" s="1822" t="s">
        <v>546</v>
      </c>
      <c r="D686" s="1822"/>
      <c r="E686" s="1822"/>
      <c r="F686" s="1822"/>
      <c r="G686" s="1822"/>
      <c r="H686" s="1822"/>
      <c r="I686" s="1822"/>
      <c r="J686" s="1822"/>
      <c r="K686" s="1822"/>
      <c r="L686" s="551">
        <v>55.21</v>
      </c>
      <c r="M686" s="550"/>
      <c r="N686" s="549"/>
      <c r="V686" s="674"/>
      <c r="W686" s="675"/>
      <c r="AB686" s="675"/>
      <c r="AC686" s="680"/>
      <c r="AF686" s="675"/>
      <c r="AG686" s="537" t="s">
        <v>546</v>
      </c>
      <c r="AH686" s="675"/>
    </row>
    <row r="687" spans="1:34" s="536" customFormat="1" ht="12" x14ac:dyDescent="0.2">
      <c r="A687" s="548"/>
      <c r="B687" s="552"/>
      <c r="C687" s="1822" t="s">
        <v>442</v>
      </c>
      <c r="D687" s="1822"/>
      <c r="E687" s="1822"/>
      <c r="F687" s="1822"/>
      <c r="G687" s="1822"/>
      <c r="H687" s="1822"/>
      <c r="I687" s="1822"/>
      <c r="J687" s="1822"/>
      <c r="K687" s="1822"/>
      <c r="L687" s="551">
        <v>40.24</v>
      </c>
      <c r="M687" s="550"/>
      <c r="N687" s="549"/>
      <c r="V687" s="674"/>
      <c r="W687" s="675"/>
      <c r="AB687" s="675"/>
      <c r="AC687" s="680"/>
      <c r="AF687" s="675"/>
      <c r="AG687" s="537" t="s">
        <v>442</v>
      </c>
      <c r="AH687" s="675"/>
    </row>
    <row r="688" spans="1:34" s="536" customFormat="1" ht="12" x14ac:dyDescent="0.2">
      <c r="A688" s="548"/>
      <c r="B688" s="552"/>
      <c r="C688" s="1822" t="s">
        <v>547</v>
      </c>
      <c r="D688" s="1822"/>
      <c r="E688" s="1822"/>
      <c r="F688" s="1822"/>
      <c r="G688" s="1822"/>
      <c r="H688" s="1822"/>
      <c r="I688" s="1822"/>
      <c r="J688" s="1822"/>
      <c r="K688" s="1822"/>
      <c r="L688" s="551">
        <v>0.9</v>
      </c>
      <c r="M688" s="550"/>
      <c r="N688" s="549"/>
      <c r="V688" s="674"/>
      <c r="W688" s="675"/>
      <c r="AB688" s="675"/>
      <c r="AC688" s="680"/>
      <c r="AF688" s="675"/>
      <c r="AG688" s="537" t="s">
        <v>547</v>
      </c>
      <c r="AH688" s="675"/>
    </row>
    <row r="689" spans="1:36" s="536" customFormat="1" ht="12" x14ac:dyDescent="0.2">
      <c r="A689" s="548"/>
      <c r="B689" s="552"/>
      <c r="C689" s="1822" t="s">
        <v>443</v>
      </c>
      <c r="D689" s="1822"/>
      <c r="E689" s="1822"/>
      <c r="F689" s="1822"/>
      <c r="G689" s="1822"/>
      <c r="H689" s="1822"/>
      <c r="I689" s="1822"/>
      <c r="J689" s="1822"/>
      <c r="K689" s="1822"/>
      <c r="L689" s="551">
        <v>59.22</v>
      </c>
      <c r="M689" s="550"/>
      <c r="N689" s="549"/>
      <c r="V689" s="674"/>
      <c r="W689" s="675"/>
      <c r="AB689" s="675"/>
      <c r="AC689" s="680"/>
      <c r="AF689" s="675"/>
      <c r="AG689" s="537" t="s">
        <v>443</v>
      </c>
      <c r="AH689" s="675"/>
    </row>
    <row r="690" spans="1:36" s="536" customFormat="1" ht="12" x14ac:dyDescent="0.2">
      <c r="A690" s="548"/>
      <c r="B690" s="552"/>
      <c r="C690" s="1822" t="s">
        <v>444</v>
      </c>
      <c r="D690" s="1822"/>
      <c r="E690" s="1822"/>
      <c r="F690" s="1822"/>
      <c r="G690" s="1822"/>
      <c r="H690" s="1822"/>
      <c r="I690" s="1822"/>
      <c r="J690" s="1822"/>
      <c r="K690" s="1822"/>
      <c r="L690" s="551">
        <v>33.04</v>
      </c>
      <c r="M690" s="550"/>
      <c r="N690" s="549"/>
      <c r="V690" s="674"/>
      <c r="W690" s="675"/>
      <c r="AB690" s="675"/>
      <c r="AC690" s="680"/>
      <c r="AF690" s="675"/>
      <c r="AG690" s="537" t="s">
        <v>444</v>
      </c>
      <c r="AH690" s="675"/>
    </row>
    <row r="691" spans="1:36" s="536" customFormat="1" ht="12" x14ac:dyDescent="0.2">
      <c r="A691" s="548"/>
      <c r="B691" s="552"/>
      <c r="C691" s="1822" t="s">
        <v>754</v>
      </c>
      <c r="D691" s="1822"/>
      <c r="E691" s="1822"/>
      <c r="F691" s="1822"/>
      <c r="G691" s="1822"/>
      <c r="H691" s="1822"/>
      <c r="I691" s="1822"/>
      <c r="J691" s="1822"/>
      <c r="K691" s="1822"/>
      <c r="L691" s="551">
        <v>93552.07</v>
      </c>
      <c r="M691" s="550"/>
      <c r="N691" s="549"/>
      <c r="V691" s="674"/>
      <c r="W691" s="675"/>
      <c r="AB691" s="675"/>
      <c r="AC691" s="680"/>
      <c r="AF691" s="675"/>
      <c r="AG691" s="537" t="s">
        <v>754</v>
      </c>
      <c r="AH691" s="675"/>
    </row>
    <row r="692" spans="1:36" s="536" customFormat="1" ht="12" x14ac:dyDescent="0.2">
      <c r="A692" s="548"/>
      <c r="B692" s="552"/>
      <c r="C692" s="1822" t="s">
        <v>415</v>
      </c>
      <c r="D692" s="1822"/>
      <c r="E692" s="1822"/>
      <c r="F692" s="1822"/>
      <c r="G692" s="1822"/>
      <c r="H692" s="1822"/>
      <c r="I692" s="1822"/>
      <c r="J692" s="1822"/>
      <c r="K692" s="1822"/>
      <c r="L692" s="551">
        <v>62.34</v>
      </c>
      <c r="M692" s="550"/>
      <c r="N692" s="549"/>
      <c r="V692" s="674"/>
      <c r="W692" s="675"/>
      <c r="AB692" s="675"/>
      <c r="AC692" s="680"/>
      <c r="AF692" s="675"/>
      <c r="AG692" s="537" t="s">
        <v>415</v>
      </c>
      <c r="AH692" s="675"/>
    </row>
    <row r="693" spans="1:36" s="536" customFormat="1" ht="12" x14ac:dyDescent="0.2">
      <c r="A693" s="548"/>
      <c r="B693" s="552"/>
      <c r="C693" s="1822" t="s">
        <v>416</v>
      </c>
      <c r="D693" s="1822"/>
      <c r="E693" s="1822"/>
      <c r="F693" s="1822"/>
      <c r="G693" s="1822"/>
      <c r="H693" s="1822"/>
      <c r="I693" s="1822"/>
      <c r="J693" s="1822"/>
      <c r="K693" s="1822"/>
      <c r="L693" s="551">
        <v>59.22</v>
      </c>
      <c r="M693" s="550"/>
      <c r="N693" s="549"/>
      <c r="V693" s="674"/>
      <c r="W693" s="675"/>
      <c r="AB693" s="675"/>
      <c r="AC693" s="680"/>
      <c r="AF693" s="675"/>
      <c r="AG693" s="537" t="s">
        <v>416</v>
      </c>
      <c r="AH693" s="675"/>
    </row>
    <row r="694" spans="1:36" s="536" customFormat="1" ht="12" x14ac:dyDescent="0.2">
      <c r="A694" s="548"/>
      <c r="B694" s="552"/>
      <c r="C694" s="1822" t="s">
        <v>417</v>
      </c>
      <c r="D694" s="1822"/>
      <c r="E694" s="1822"/>
      <c r="F694" s="1822"/>
      <c r="G694" s="1822"/>
      <c r="H694" s="1822"/>
      <c r="I694" s="1822"/>
      <c r="J694" s="1822"/>
      <c r="K694" s="1822"/>
      <c r="L694" s="551">
        <v>33.04</v>
      </c>
      <c r="M694" s="550"/>
      <c r="N694" s="549"/>
      <c r="V694" s="674"/>
      <c r="W694" s="675"/>
      <c r="AB694" s="675"/>
      <c r="AC694" s="680"/>
      <c r="AF694" s="675"/>
      <c r="AG694" s="537" t="s">
        <v>417</v>
      </c>
      <c r="AH694" s="675"/>
    </row>
    <row r="695" spans="1:36" s="536" customFormat="1" ht="12" x14ac:dyDescent="0.2">
      <c r="A695" s="548"/>
      <c r="B695" s="546"/>
      <c r="C695" s="1819" t="s">
        <v>834</v>
      </c>
      <c r="D695" s="1819"/>
      <c r="E695" s="1819"/>
      <c r="F695" s="1819"/>
      <c r="G695" s="1819"/>
      <c r="H695" s="1819"/>
      <c r="I695" s="1819"/>
      <c r="J695" s="1819"/>
      <c r="K695" s="1819"/>
      <c r="L695" s="544">
        <v>93740.68</v>
      </c>
      <c r="M695" s="543"/>
      <c r="N695" s="681"/>
      <c r="V695" s="674"/>
      <c r="W695" s="675"/>
      <c r="AB695" s="675"/>
      <c r="AC695" s="680"/>
      <c r="AF695" s="675"/>
      <c r="AH695" s="675" t="s">
        <v>834</v>
      </c>
    </row>
    <row r="696" spans="1:36" s="536" customFormat="1" ht="12" x14ac:dyDescent="0.2">
      <c r="A696" s="548"/>
      <c r="B696" s="552"/>
      <c r="C696" s="1822" t="s">
        <v>204</v>
      </c>
      <c r="D696" s="1822"/>
      <c r="E696" s="1822"/>
      <c r="F696" s="1822"/>
      <c r="G696" s="1822"/>
      <c r="H696" s="1822"/>
      <c r="I696" s="1822"/>
      <c r="J696" s="1822"/>
      <c r="K696" s="1822"/>
      <c r="L696" s="551"/>
      <c r="M696" s="550"/>
      <c r="N696" s="549"/>
      <c r="V696" s="674"/>
      <c r="W696" s="675"/>
      <c r="AB696" s="675"/>
      <c r="AC696" s="680"/>
      <c r="AF696" s="675"/>
      <c r="AG696" s="537" t="s">
        <v>204</v>
      </c>
      <c r="AH696" s="675"/>
    </row>
    <row r="697" spans="1:36" s="536" customFormat="1" ht="12" x14ac:dyDescent="0.2">
      <c r="A697" s="548"/>
      <c r="B697" s="552"/>
      <c r="C697" s="1822" t="s">
        <v>8097</v>
      </c>
      <c r="D697" s="1822"/>
      <c r="E697" s="1822"/>
      <c r="F697" s="1822"/>
      <c r="G697" s="1822"/>
      <c r="H697" s="1822"/>
      <c r="I697" s="1822"/>
      <c r="J697" s="1822"/>
      <c r="K697" s="1822"/>
      <c r="L697" s="551">
        <v>93552.07</v>
      </c>
      <c r="M697" s="550"/>
      <c r="N697" s="549"/>
      <c r="V697" s="674"/>
      <c r="W697" s="675"/>
      <c r="AB697" s="675"/>
      <c r="AC697" s="680"/>
      <c r="AF697" s="675"/>
      <c r="AG697" s="537" t="s">
        <v>8097</v>
      </c>
      <c r="AH697" s="675"/>
    </row>
    <row r="698" spans="1:36" s="536" customFormat="1" ht="2.25" customHeight="1" x14ac:dyDescent="0.2">
      <c r="B698" s="561"/>
      <c r="C698" s="561"/>
      <c r="D698" s="561"/>
      <c r="E698" s="561"/>
      <c r="F698" s="561"/>
      <c r="G698" s="561"/>
      <c r="H698" s="561"/>
      <c r="I698" s="561"/>
      <c r="J698" s="561"/>
      <c r="K698" s="561"/>
      <c r="L698" s="560"/>
      <c r="M698" s="559"/>
      <c r="N698" s="558"/>
    </row>
    <row r="699" spans="1:36" s="536" customFormat="1" x14ac:dyDescent="0.2">
      <c r="A699" s="557"/>
      <c r="B699" s="556"/>
      <c r="C699" s="1823" t="s">
        <v>205</v>
      </c>
      <c r="D699" s="1823"/>
      <c r="E699" s="1823"/>
      <c r="F699" s="1823"/>
      <c r="G699" s="1823"/>
      <c r="H699" s="1823"/>
      <c r="I699" s="1823"/>
      <c r="J699" s="1823"/>
      <c r="K699" s="1823"/>
      <c r="L699" s="555"/>
      <c r="M699" s="554"/>
      <c r="N699" s="553"/>
      <c r="AI699" s="675" t="s">
        <v>205</v>
      </c>
    </row>
    <row r="700" spans="1:36" s="536" customFormat="1" x14ac:dyDescent="0.2">
      <c r="A700" s="548"/>
      <c r="B700" s="552"/>
      <c r="C700" s="1822" t="s">
        <v>403</v>
      </c>
      <c r="D700" s="1822"/>
      <c r="E700" s="1822"/>
      <c r="F700" s="1822"/>
      <c r="G700" s="1822"/>
      <c r="H700" s="1822"/>
      <c r="I700" s="1822"/>
      <c r="J700" s="1822"/>
      <c r="K700" s="1822"/>
      <c r="L700" s="551">
        <v>35426.449999999997</v>
      </c>
      <c r="M700" s="550"/>
      <c r="N700" s="549"/>
      <c r="AI700" s="675"/>
      <c r="AJ700" s="537" t="s">
        <v>403</v>
      </c>
    </row>
    <row r="701" spans="1:36" s="536" customFormat="1" x14ac:dyDescent="0.2">
      <c r="A701" s="548"/>
      <c r="B701" s="552"/>
      <c r="C701" s="1822" t="s">
        <v>204</v>
      </c>
      <c r="D701" s="1822"/>
      <c r="E701" s="1822"/>
      <c r="F701" s="1822"/>
      <c r="G701" s="1822"/>
      <c r="H701" s="1822"/>
      <c r="I701" s="1822"/>
      <c r="J701" s="1822"/>
      <c r="K701" s="1822"/>
      <c r="L701" s="551"/>
      <c r="M701" s="550"/>
      <c r="N701" s="549"/>
      <c r="AI701" s="675"/>
      <c r="AJ701" s="537" t="s">
        <v>204</v>
      </c>
    </row>
    <row r="702" spans="1:36" s="536" customFormat="1" x14ac:dyDescent="0.2">
      <c r="A702" s="548"/>
      <c r="B702" s="552"/>
      <c r="C702" s="1822" t="s">
        <v>404</v>
      </c>
      <c r="D702" s="1822"/>
      <c r="E702" s="1822"/>
      <c r="F702" s="1822"/>
      <c r="G702" s="1822"/>
      <c r="H702" s="1822"/>
      <c r="I702" s="1822"/>
      <c r="J702" s="1822"/>
      <c r="K702" s="1822"/>
      <c r="L702" s="551">
        <v>6717.07</v>
      </c>
      <c r="M702" s="550"/>
      <c r="N702" s="549"/>
      <c r="AI702" s="675"/>
      <c r="AJ702" s="537" t="s">
        <v>404</v>
      </c>
    </row>
    <row r="703" spans="1:36" s="536" customFormat="1" x14ac:dyDescent="0.2">
      <c r="A703" s="548"/>
      <c r="B703" s="552"/>
      <c r="C703" s="1822" t="s">
        <v>405</v>
      </c>
      <c r="D703" s="1822"/>
      <c r="E703" s="1822"/>
      <c r="F703" s="1822"/>
      <c r="G703" s="1822"/>
      <c r="H703" s="1822"/>
      <c r="I703" s="1822"/>
      <c r="J703" s="1822"/>
      <c r="K703" s="1822"/>
      <c r="L703" s="551">
        <v>1655.41</v>
      </c>
      <c r="M703" s="550"/>
      <c r="N703" s="549"/>
      <c r="AI703" s="675"/>
      <c r="AJ703" s="537" t="s">
        <v>405</v>
      </c>
    </row>
    <row r="704" spans="1:36" s="536" customFormat="1" x14ac:dyDescent="0.2">
      <c r="A704" s="548"/>
      <c r="B704" s="552"/>
      <c r="C704" s="1822" t="s">
        <v>406</v>
      </c>
      <c r="D704" s="1822"/>
      <c r="E704" s="1822"/>
      <c r="F704" s="1822"/>
      <c r="G704" s="1822"/>
      <c r="H704" s="1822"/>
      <c r="I704" s="1822"/>
      <c r="J704" s="1822"/>
      <c r="K704" s="1822"/>
      <c r="L704" s="551">
        <v>146.81</v>
      </c>
      <c r="M704" s="550"/>
      <c r="N704" s="549"/>
      <c r="AI704" s="675"/>
      <c r="AJ704" s="537" t="s">
        <v>406</v>
      </c>
    </row>
    <row r="705" spans="1:36" s="536" customFormat="1" x14ac:dyDescent="0.2">
      <c r="A705" s="548"/>
      <c r="B705" s="552"/>
      <c r="C705" s="1822" t="s">
        <v>480</v>
      </c>
      <c r="D705" s="1822"/>
      <c r="E705" s="1822"/>
      <c r="F705" s="1822"/>
      <c r="G705" s="1822"/>
      <c r="H705" s="1822"/>
      <c r="I705" s="1822"/>
      <c r="J705" s="1822"/>
      <c r="K705" s="1822"/>
      <c r="L705" s="551">
        <v>27053.97</v>
      </c>
      <c r="M705" s="550"/>
      <c r="N705" s="549"/>
      <c r="AI705" s="675"/>
      <c r="AJ705" s="537" t="s">
        <v>480</v>
      </c>
    </row>
    <row r="706" spans="1:36" s="536" customFormat="1" x14ac:dyDescent="0.2">
      <c r="A706" s="548"/>
      <c r="B706" s="552" t="s">
        <v>185</v>
      </c>
      <c r="C706" s="1822" t="s">
        <v>407</v>
      </c>
      <c r="D706" s="1822"/>
      <c r="E706" s="1822"/>
      <c r="F706" s="1822"/>
      <c r="G706" s="1822"/>
      <c r="H706" s="1822"/>
      <c r="I706" s="1822"/>
      <c r="J706" s="1822"/>
      <c r="K706" s="1822"/>
      <c r="L706" s="551">
        <v>25940.58</v>
      </c>
      <c r="M706" s="550">
        <v>8.32</v>
      </c>
      <c r="N706" s="549">
        <v>215826</v>
      </c>
      <c r="AI706" s="675"/>
      <c r="AJ706" s="537" t="s">
        <v>407</v>
      </c>
    </row>
    <row r="707" spans="1:36" s="536" customFormat="1" x14ac:dyDescent="0.2">
      <c r="A707" s="548"/>
      <c r="B707" s="552"/>
      <c r="C707" s="1822" t="s">
        <v>204</v>
      </c>
      <c r="D707" s="1822"/>
      <c r="E707" s="1822"/>
      <c r="F707" s="1822"/>
      <c r="G707" s="1822"/>
      <c r="H707" s="1822"/>
      <c r="I707" s="1822"/>
      <c r="J707" s="1822"/>
      <c r="K707" s="1822"/>
      <c r="L707" s="551"/>
      <c r="M707" s="550"/>
      <c r="N707" s="549"/>
      <c r="AI707" s="675"/>
      <c r="AJ707" s="537" t="s">
        <v>204</v>
      </c>
    </row>
    <row r="708" spans="1:36" s="536" customFormat="1" x14ac:dyDescent="0.2">
      <c r="A708" s="548"/>
      <c r="B708" s="552"/>
      <c r="C708" s="1822" t="s">
        <v>546</v>
      </c>
      <c r="D708" s="1822"/>
      <c r="E708" s="1822"/>
      <c r="F708" s="1822"/>
      <c r="G708" s="1822"/>
      <c r="H708" s="1822"/>
      <c r="I708" s="1822"/>
      <c r="J708" s="1822"/>
      <c r="K708" s="1822"/>
      <c r="L708" s="551">
        <v>1259.9100000000001</v>
      </c>
      <c r="M708" s="550"/>
      <c r="N708" s="549"/>
      <c r="AI708" s="675"/>
      <c r="AJ708" s="537" t="s">
        <v>546</v>
      </c>
    </row>
    <row r="709" spans="1:36" s="536" customFormat="1" x14ac:dyDescent="0.2">
      <c r="A709" s="548"/>
      <c r="B709" s="552"/>
      <c r="C709" s="1822" t="s">
        <v>442</v>
      </c>
      <c r="D709" s="1822"/>
      <c r="E709" s="1822"/>
      <c r="F709" s="1822"/>
      <c r="G709" s="1822"/>
      <c r="H709" s="1822"/>
      <c r="I709" s="1822"/>
      <c r="J709" s="1822"/>
      <c r="K709" s="1822"/>
      <c r="L709" s="551">
        <v>117.12</v>
      </c>
      <c r="M709" s="550"/>
      <c r="N709" s="549"/>
      <c r="AI709" s="675"/>
      <c r="AJ709" s="537" t="s">
        <v>442</v>
      </c>
    </row>
    <row r="710" spans="1:36" s="536" customFormat="1" x14ac:dyDescent="0.2">
      <c r="A710" s="548"/>
      <c r="B710" s="552"/>
      <c r="C710" s="1822" t="s">
        <v>547</v>
      </c>
      <c r="D710" s="1822"/>
      <c r="E710" s="1822"/>
      <c r="F710" s="1822"/>
      <c r="G710" s="1822"/>
      <c r="H710" s="1822"/>
      <c r="I710" s="1822"/>
      <c r="J710" s="1822"/>
      <c r="K710" s="1822"/>
      <c r="L710" s="551">
        <v>22578.78</v>
      </c>
      <c r="M710" s="550"/>
      <c r="N710" s="549"/>
      <c r="AI710" s="675"/>
      <c r="AJ710" s="537" t="s">
        <v>547</v>
      </c>
    </row>
    <row r="711" spans="1:36" s="536" customFormat="1" x14ac:dyDescent="0.2">
      <c r="A711" s="548"/>
      <c r="B711" s="552"/>
      <c r="C711" s="1822" t="s">
        <v>443</v>
      </c>
      <c r="D711" s="1822"/>
      <c r="E711" s="1822"/>
      <c r="F711" s="1822"/>
      <c r="G711" s="1822"/>
      <c r="H711" s="1822"/>
      <c r="I711" s="1822"/>
      <c r="J711" s="1822"/>
      <c r="K711" s="1822"/>
      <c r="L711" s="551">
        <v>1226.8800000000001</v>
      </c>
      <c r="M711" s="550"/>
      <c r="N711" s="549"/>
      <c r="AI711" s="675"/>
      <c r="AJ711" s="537" t="s">
        <v>443</v>
      </c>
    </row>
    <row r="712" spans="1:36" s="536" customFormat="1" x14ac:dyDescent="0.2">
      <c r="A712" s="548"/>
      <c r="B712" s="552"/>
      <c r="C712" s="1822" t="s">
        <v>444</v>
      </c>
      <c r="D712" s="1822"/>
      <c r="E712" s="1822"/>
      <c r="F712" s="1822"/>
      <c r="G712" s="1822"/>
      <c r="H712" s="1822"/>
      <c r="I712" s="1822"/>
      <c r="J712" s="1822"/>
      <c r="K712" s="1822"/>
      <c r="L712" s="551">
        <v>757.89</v>
      </c>
      <c r="M712" s="550"/>
      <c r="N712" s="549"/>
      <c r="AI712" s="675"/>
      <c r="AJ712" s="537" t="s">
        <v>444</v>
      </c>
    </row>
    <row r="713" spans="1:36" s="536" customFormat="1" x14ac:dyDescent="0.2">
      <c r="A713" s="548"/>
      <c r="B713" s="552" t="s">
        <v>185</v>
      </c>
      <c r="C713" s="1822" t="s">
        <v>753</v>
      </c>
      <c r="D713" s="1822"/>
      <c r="E713" s="1822"/>
      <c r="F713" s="1822"/>
      <c r="G713" s="1822"/>
      <c r="H713" s="1822"/>
      <c r="I713" s="1822"/>
      <c r="J713" s="1822"/>
      <c r="K713" s="1822"/>
      <c r="L713" s="551">
        <v>19346.88</v>
      </c>
      <c r="M713" s="550">
        <v>8.32</v>
      </c>
      <c r="N713" s="549">
        <v>160966</v>
      </c>
      <c r="AI713" s="675"/>
      <c r="AJ713" s="537" t="s">
        <v>753</v>
      </c>
    </row>
    <row r="714" spans="1:36" s="536" customFormat="1" x14ac:dyDescent="0.2">
      <c r="A714" s="548"/>
      <c r="B714" s="552"/>
      <c r="C714" s="1822" t="s">
        <v>204</v>
      </c>
      <c r="D714" s="1822"/>
      <c r="E714" s="1822"/>
      <c r="F714" s="1822"/>
      <c r="G714" s="1822"/>
      <c r="H714" s="1822"/>
      <c r="I714" s="1822"/>
      <c r="J714" s="1822"/>
      <c r="K714" s="1822"/>
      <c r="L714" s="551"/>
      <c r="M714" s="550"/>
      <c r="N714" s="549"/>
      <c r="AI714" s="675"/>
      <c r="AJ714" s="537" t="s">
        <v>204</v>
      </c>
    </row>
    <row r="715" spans="1:36" s="536" customFormat="1" x14ac:dyDescent="0.2">
      <c r="A715" s="548"/>
      <c r="B715" s="552"/>
      <c r="C715" s="1822" t="s">
        <v>546</v>
      </c>
      <c r="D715" s="1822"/>
      <c r="E715" s="1822"/>
      <c r="F715" s="1822"/>
      <c r="G715" s="1822"/>
      <c r="H715" s="1822"/>
      <c r="I715" s="1822"/>
      <c r="J715" s="1822"/>
      <c r="K715" s="1822"/>
      <c r="L715" s="551">
        <v>5457.16</v>
      </c>
      <c r="M715" s="550"/>
      <c r="N715" s="549"/>
      <c r="AI715" s="675"/>
      <c r="AJ715" s="537" t="s">
        <v>546</v>
      </c>
    </row>
    <row r="716" spans="1:36" s="536" customFormat="1" x14ac:dyDescent="0.2">
      <c r="A716" s="548"/>
      <c r="B716" s="552"/>
      <c r="C716" s="1822" t="s">
        <v>442</v>
      </c>
      <c r="D716" s="1822"/>
      <c r="E716" s="1822"/>
      <c r="F716" s="1822"/>
      <c r="G716" s="1822"/>
      <c r="H716" s="1822"/>
      <c r="I716" s="1822"/>
      <c r="J716" s="1822"/>
      <c r="K716" s="1822"/>
      <c r="L716" s="551">
        <v>1538.29</v>
      </c>
      <c r="M716" s="550"/>
      <c r="N716" s="549"/>
      <c r="AI716" s="675"/>
      <c r="AJ716" s="537" t="s">
        <v>442</v>
      </c>
    </row>
    <row r="717" spans="1:36" s="536" customFormat="1" x14ac:dyDescent="0.2">
      <c r="A717" s="548"/>
      <c r="B717" s="552"/>
      <c r="C717" s="1822" t="s">
        <v>547</v>
      </c>
      <c r="D717" s="1822"/>
      <c r="E717" s="1822"/>
      <c r="F717" s="1822"/>
      <c r="G717" s="1822"/>
      <c r="H717" s="1822"/>
      <c r="I717" s="1822"/>
      <c r="J717" s="1822"/>
      <c r="K717" s="1822"/>
      <c r="L717" s="551">
        <v>4475.1899999999996</v>
      </c>
      <c r="M717" s="550"/>
      <c r="N717" s="549"/>
      <c r="AI717" s="675"/>
      <c r="AJ717" s="537" t="s">
        <v>547</v>
      </c>
    </row>
    <row r="718" spans="1:36" s="536" customFormat="1" x14ac:dyDescent="0.2">
      <c r="A718" s="548"/>
      <c r="B718" s="552"/>
      <c r="C718" s="1822" t="s">
        <v>443</v>
      </c>
      <c r="D718" s="1822"/>
      <c r="E718" s="1822"/>
      <c r="F718" s="1822"/>
      <c r="G718" s="1822"/>
      <c r="H718" s="1822"/>
      <c r="I718" s="1822"/>
      <c r="J718" s="1822"/>
      <c r="K718" s="1822"/>
      <c r="L718" s="551">
        <v>5136.99</v>
      </c>
      <c r="M718" s="550"/>
      <c r="N718" s="549"/>
      <c r="AI718" s="675"/>
      <c r="AJ718" s="537" t="s">
        <v>443</v>
      </c>
    </row>
    <row r="719" spans="1:36" s="536" customFormat="1" x14ac:dyDescent="0.2">
      <c r="A719" s="548"/>
      <c r="B719" s="552"/>
      <c r="C719" s="1822" t="s">
        <v>444</v>
      </c>
      <c r="D719" s="1822"/>
      <c r="E719" s="1822"/>
      <c r="F719" s="1822"/>
      <c r="G719" s="1822"/>
      <c r="H719" s="1822"/>
      <c r="I719" s="1822"/>
      <c r="J719" s="1822"/>
      <c r="K719" s="1822"/>
      <c r="L719" s="551">
        <v>2739.25</v>
      </c>
      <c r="M719" s="550"/>
      <c r="N719" s="549"/>
      <c r="AI719" s="675"/>
      <c r="AJ719" s="537" t="s">
        <v>444</v>
      </c>
    </row>
    <row r="720" spans="1:36" s="536" customFormat="1" x14ac:dyDescent="0.2">
      <c r="A720" s="548"/>
      <c r="B720" s="552" t="s">
        <v>186</v>
      </c>
      <c r="C720" s="1822" t="s">
        <v>754</v>
      </c>
      <c r="D720" s="1822"/>
      <c r="E720" s="1822"/>
      <c r="F720" s="1822"/>
      <c r="G720" s="1822"/>
      <c r="H720" s="1822"/>
      <c r="I720" s="1822"/>
      <c r="J720" s="1822"/>
      <c r="K720" s="1822"/>
      <c r="L720" s="551">
        <v>2323838.35</v>
      </c>
      <c r="M720" s="550">
        <v>4.59</v>
      </c>
      <c r="N720" s="549">
        <v>10666418</v>
      </c>
      <c r="AI720" s="675"/>
      <c r="AJ720" s="537" t="s">
        <v>754</v>
      </c>
    </row>
    <row r="721" spans="1:37" x14ac:dyDescent="0.2">
      <c r="A721" s="548"/>
      <c r="B721" s="552"/>
      <c r="C721" s="1822" t="s">
        <v>415</v>
      </c>
      <c r="D721" s="1822"/>
      <c r="E721" s="1822"/>
      <c r="F721" s="1822"/>
      <c r="G721" s="1822"/>
      <c r="H721" s="1822"/>
      <c r="I721" s="1822"/>
      <c r="J721" s="1822"/>
      <c r="K721" s="1822"/>
      <c r="L721" s="551">
        <v>6863.88</v>
      </c>
      <c r="M721" s="550"/>
      <c r="N721" s="549"/>
      <c r="P721" s="536"/>
      <c r="Q721" s="536"/>
      <c r="R721" s="536"/>
      <c r="S721" s="536"/>
      <c r="T721" s="536"/>
      <c r="U721" s="536"/>
      <c r="V721" s="536"/>
      <c r="W721" s="536"/>
      <c r="X721" s="536"/>
      <c r="Y721" s="536"/>
      <c r="Z721" s="536"/>
      <c r="AA721" s="536"/>
      <c r="AB721" s="536"/>
      <c r="AC721" s="536"/>
      <c r="AD721" s="536"/>
      <c r="AE721" s="536"/>
      <c r="AF721" s="536"/>
      <c r="AG721" s="536"/>
      <c r="AH721" s="536"/>
      <c r="AI721" s="675"/>
      <c r="AJ721" s="537" t="s">
        <v>415</v>
      </c>
      <c r="AK721" s="536"/>
    </row>
    <row r="722" spans="1:37" x14ac:dyDescent="0.2">
      <c r="A722" s="548"/>
      <c r="B722" s="552"/>
      <c r="C722" s="1822" t="s">
        <v>416</v>
      </c>
      <c r="D722" s="1822"/>
      <c r="E722" s="1822"/>
      <c r="F722" s="1822"/>
      <c r="G722" s="1822"/>
      <c r="H722" s="1822"/>
      <c r="I722" s="1822"/>
      <c r="J722" s="1822"/>
      <c r="K722" s="1822"/>
      <c r="L722" s="551">
        <v>6363.87</v>
      </c>
      <c r="M722" s="550"/>
      <c r="N722" s="549"/>
      <c r="P722" s="536"/>
      <c r="Q722" s="536"/>
      <c r="R722" s="536"/>
      <c r="S722" s="536"/>
      <c r="T722" s="536"/>
      <c r="U722" s="536"/>
      <c r="V722" s="536"/>
      <c r="W722" s="536"/>
      <c r="X722" s="536"/>
      <c r="Y722" s="536"/>
      <c r="Z722" s="536"/>
      <c r="AA722" s="536"/>
      <c r="AB722" s="536"/>
      <c r="AC722" s="536"/>
      <c r="AD722" s="536"/>
      <c r="AE722" s="536"/>
      <c r="AF722" s="536"/>
      <c r="AG722" s="536"/>
      <c r="AH722" s="536"/>
      <c r="AI722" s="675"/>
      <c r="AJ722" s="537" t="s">
        <v>416</v>
      </c>
      <c r="AK722" s="536"/>
    </row>
    <row r="723" spans="1:37" x14ac:dyDescent="0.2">
      <c r="A723" s="548"/>
      <c r="B723" s="552"/>
      <c r="C723" s="1822" t="s">
        <v>417</v>
      </c>
      <c r="D723" s="1822"/>
      <c r="E723" s="1822"/>
      <c r="F723" s="1822"/>
      <c r="G723" s="1822"/>
      <c r="H723" s="1822"/>
      <c r="I723" s="1822"/>
      <c r="J723" s="1822"/>
      <c r="K723" s="1822"/>
      <c r="L723" s="551">
        <v>3497.14</v>
      </c>
      <c r="M723" s="550"/>
      <c r="N723" s="549"/>
      <c r="P723" s="536"/>
      <c r="Q723" s="536"/>
      <c r="R723" s="536"/>
      <c r="S723" s="536"/>
      <c r="T723" s="536"/>
      <c r="U723" s="536"/>
      <c r="V723" s="536"/>
      <c r="W723" s="536"/>
      <c r="X723" s="536"/>
      <c r="Y723" s="536"/>
      <c r="Z723" s="536"/>
      <c r="AA723" s="536"/>
      <c r="AB723" s="536"/>
      <c r="AC723" s="536"/>
      <c r="AD723" s="536"/>
      <c r="AE723" s="536"/>
      <c r="AF723" s="536"/>
      <c r="AG723" s="536"/>
      <c r="AH723" s="536"/>
      <c r="AI723" s="675"/>
      <c r="AJ723" s="537" t="s">
        <v>417</v>
      </c>
      <c r="AK723" s="536"/>
    </row>
    <row r="724" spans="1:37" x14ac:dyDescent="0.2">
      <c r="A724" s="548"/>
      <c r="B724" s="546"/>
      <c r="C724" s="1819" t="s">
        <v>206</v>
      </c>
      <c r="D724" s="1819"/>
      <c r="E724" s="1819"/>
      <c r="F724" s="1819"/>
      <c r="G724" s="1819"/>
      <c r="H724" s="1819"/>
      <c r="I724" s="1819"/>
      <c r="J724" s="1819"/>
      <c r="K724" s="1819"/>
      <c r="L724" s="544">
        <v>2369125.81</v>
      </c>
      <c r="M724" s="543"/>
      <c r="N724" s="547">
        <v>11043210</v>
      </c>
      <c r="P724" s="536"/>
      <c r="Q724" s="536"/>
      <c r="R724" s="536"/>
      <c r="S724" s="536"/>
      <c r="T724" s="536"/>
      <c r="U724" s="536"/>
      <c r="V724" s="536"/>
      <c r="W724" s="536"/>
      <c r="X724" s="536"/>
      <c r="Y724" s="536"/>
      <c r="Z724" s="536"/>
      <c r="AA724" s="536"/>
      <c r="AB724" s="536"/>
      <c r="AC724" s="536"/>
      <c r="AD724" s="536"/>
      <c r="AE724" s="536"/>
      <c r="AF724" s="536"/>
      <c r="AG724" s="536"/>
      <c r="AH724" s="536"/>
      <c r="AI724" s="675"/>
      <c r="AJ724" s="536"/>
      <c r="AK724" s="675" t="s">
        <v>206</v>
      </c>
    </row>
    <row r="725" spans="1:37" x14ac:dyDescent="0.2">
      <c r="A725" s="548"/>
      <c r="B725" s="552"/>
      <c r="C725" s="1822" t="s">
        <v>204</v>
      </c>
      <c r="D725" s="1822"/>
      <c r="E725" s="1822"/>
      <c r="F725" s="1822"/>
      <c r="G725" s="1822"/>
      <c r="H725" s="1822"/>
      <c r="I725" s="1822"/>
      <c r="J725" s="1822"/>
      <c r="K725" s="1822"/>
      <c r="L725" s="551"/>
      <c r="M725" s="550"/>
      <c r="N725" s="549"/>
      <c r="P725" s="536"/>
      <c r="Q725" s="536"/>
      <c r="R725" s="536"/>
      <c r="S725" s="536"/>
      <c r="T725" s="536"/>
      <c r="U725" s="536"/>
      <c r="V725" s="536"/>
      <c r="W725" s="536"/>
      <c r="X725" s="536"/>
      <c r="Y725" s="536"/>
      <c r="Z725" s="536"/>
      <c r="AA725" s="536"/>
      <c r="AB725" s="536"/>
      <c r="AC725" s="536"/>
      <c r="AD725" s="536"/>
      <c r="AE725" s="536"/>
      <c r="AF725" s="536"/>
      <c r="AG725" s="536"/>
      <c r="AH725" s="536"/>
      <c r="AI725" s="675"/>
      <c r="AJ725" s="537" t="s">
        <v>204</v>
      </c>
      <c r="AK725" s="675"/>
    </row>
    <row r="726" spans="1:37" x14ac:dyDescent="0.2">
      <c r="A726" s="548"/>
      <c r="B726" s="552"/>
      <c r="C726" s="1822" t="s">
        <v>8095</v>
      </c>
      <c r="D726" s="1822"/>
      <c r="E726" s="1822"/>
      <c r="F726" s="1822"/>
      <c r="G726" s="1822"/>
      <c r="H726" s="1822"/>
      <c r="I726" s="1822"/>
      <c r="J726" s="1822"/>
      <c r="K726" s="1822"/>
      <c r="L726" s="551">
        <v>18063.810000000001</v>
      </c>
      <c r="M726" s="550"/>
      <c r="N726" s="549">
        <v>150291</v>
      </c>
      <c r="P726" s="536"/>
      <c r="Q726" s="536"/>
      <c r="R726" s="536"/>
      <c r="S726" s="536"/>
      <c r="T726" s="536"/>
      <c r="U726" s="536"/>
      <c r="V726" s="536"/>
      <c r="W726" s="536"/>
      <c r="X726" s="536"/>
      <c r="Y726" s="536"/>
      <c r="Z726" s="536"/>
      <c r="AA726" s="536"/>
      <c r="AB726" s="536"/>
      <c r="AC726" s="536"/>
      <c r="AD726" s="536"/>
      <c r="AE726" s="536"/>
      <c r="AF726" s="536"/>
      <c r="AG726" s="536"/>
      <c r="AH726" s="536"/>
      <c r="AI726" s="675"/>
      <c r="AJ726" s="537" t="s">
        <v>8095</v>
      </c>
      <c r="AK726" s="675"/>
    </row>
    <row r="727" spans="1:37" x14ac:dyDescent="0.2">
      <c r="A727" s="548"/>
      <c r="B727" s="552"/>
      <c r="C727" s="1822" t="s">
        <v>8097</v>
      </c>
      <c r="D727" s="1822"/>
      <c r="E727" s="1822"/>
      <c r="F727" s="1822"/>
      <c r="G727" s="1822"/>
      <c r="H727" s="1822"/>
      <c r="I727" s="1822"/>
      <c r="J727" s="1822"/>
      <c r="K727" s="1822"/>
      <c r="L727" s="551"/>
      <c r="M727" s="550"/>
      <c r="N727" s="549">
        <v>10666418</v>
      </c>
      <c r="P727" s="536"/>
      <c r="Q727" s="536"/>
      <c r="R727" s="536"/>
      <c r="S727" s="536"/>
      <c r="T727" s="536"/>
      <c r="U727" s="536"/>
      <c r="V727" s="536"/>
      <c r="W727" s="536"/>
      <c r="X727" s="536"/>
      <c r="Y727" s="536"/>
      <c r="Z727" s="536"/>
      <c r="AA727" s="536"/>
      <c r="AB727" s="536"/>
      <c r="AC727" s="536"/>
      <c r="AD727" s="536"/>
      <c r="AE727" s="536"/>
      <c r="AF727" s="536"/>
      <c r="AG727" s="536"/>
      <c r="AH727" s="536"/>
      <c r="AI727" s="675"/>
      <c r="AJ727" s="537" t="s">
        <v>8097</v>
      </c>
      <c r="AK727" s="675"/>
    </row>
    <row r="728" spans="1:37" ht="1.5" customHeight="1" x14ac:dyDescent="0.2">
      <c r="B728" s="546"/>
      <c r="C728" s="683"/>
      <c r="D728" s="683"/>
      <c r="E728" s="683"/>
      <c r="F728" s="683"/>
      <c r="G728" s="683"/>
      <c r="H728" s="683"/>
      <c r="I728" s="683"/>
      <c r="J728" s="683"/>
      <c r="K728" s="683"/>
      <c r="L728" s="544"/>
      <c r="M728" s="543"/>
      <c r="N728" s="542"/>
      <c r="P728" s="536"/>
      <c r="Q728" s="536"/>
      <c r="R728" s="536"/>
      <c r="S728" s="536"/>
      <c r="T728" s="536"/>
      <c r="U728" s="536"/>
      <c r="V728" s="536"/>
      <c r="W728" s="536"/>
      <c r="X728" s="536"/>
      <c r="Y728" s="536"/>
      <c r="Z728" s="536"/>
      <c r="AA728" s="536"/>
      <c r="AB728" s="536"/>
      <c r="AC728" s="536"/>
      <c r="AD728" s="536"/>
      <c r="AE728" s="536"/>
      <c r="AF728" s="536"/>
      <c r="AG728" s="536"/>
      <c r="AH728" s="536"/>
      <c r="AI728" s="536"/>
      <c r="AJ728" s="536"/>
      <c r="AK728" s="536"/>
    </row>
    <row r="729" spans="1:37" ht="53.25" customHeight="1" x14ac:dyDescent="0.2">
      <c r="A729" s="541"/>
      <c r="B729" s="541"/>
      <c r="C729" s="541"/>
      <c r="D729" s="541"/>
      <c r="E729" s="541"/>
      <c r="F729" s="541"/>
      <c r="G729" s="541"/>
      <c r="H729" s="541"/>
      <c r="I729" s="541"/>
      <c r="J729" s="541"/>
      <c r="K729" s="541"/>
      <c r="L729" s="541"/>
      <c r="M729" s="541"/>
      <c r="N729" s="541"/>
      <c r="P729" s="536"/>
      <c r="Q729" s="536"/>
      <c r="R729" s="536"/>
      <c r="S729" s="536"/>
      <c r="T729" s="536"/>
      <c r="U729" s="536"/>
      <c r="V729" s="536"/>
      <c r="W729" s="536"/>
      <c r="X729" s="536"/>
      <c r="Y729" s="536"/>
      <c r="Z729" s="536"/>
      <c r="AA729" s="536"/>
      <c r="AB729" s="536"/>
      <c r="AC729" s="536"/>
      <c r="AD729" s="536"/>
      <c r="AE729" s="536"/>
      <c r="AF729" s="536"/>
      <c r="AG729" s="536"/>
      <c r="AH729" s="536"/>
      <c r="AI729" s="536"/>
      <c r="AJ729" s="536"/>
      <c r="AK729" s="536"/>
    </row>
    <row r="730" spans="1:37" x14ac:dyDescent="0.2">
      <c r="B730" s="539" t="s">
        <v>149</v>
      </c>
      <c r="C730" s="1943" t="s">
        <v>207</v>
      </c>
      <c r="D730" s="1943"/>
      <c r="E730" s="1943"/>
      <c r="F730" s="1943"/>
      <c r="G730" s="1943"/>
      <c r="H730" s="1943"/>
      <c r="I730" s="1943"/>
      <c r="J730" s="1943"/>
      <c r="K730" s="1943"/>
      <c r="L730" s="1943"/>
    </row>
    <row r="731" spans="1:37" ht="13.5" customHeight="1" x14ac:dyDescent="0.2">
      <c r="B731" s="540"/>
      <c r="C731" s="1821" t="s">
        <v>150</v>
      </c>
      <c r="D731" s="1821"/>
      <c r="E731" s="1821"/>
      <c r="F731" s="1821"/>
      <c r="G731" s="1821"/>
      <c r="H731" s="1821"/>
      <c r="I731" s="1821"/>
      <c r="J731" s="1821"/>
      <c r="K731" s="1821"/>
      <c r="L731" s="1821"/>
    </row>
    <row r="732" spans="1:37" ht="12.75" customHeight="1" x14ac:dyDescent="0.2">
      <c r="B732" s="539" t="s">
        <v>151</v>
      </c>
      <c r="C732" s="1943" t="s">
        <v>208</v>
      </c>
      <c r="D732" s="1943"/>
      <c r="E732" s="1943"/>
      <c r="F732" s="1943"/>
      <c r="G732" s="1943"/>
      <c r="H732" s="1943"/>
      <c r="I732" s="1943"/>
      <c r="J732" s="1943"/>
      <c r="K732" s="1943"/>
      <c r="L732" s="1943"/>
    </row>
    <row r="733" spans="1:37" ht="13.5" customHeight="1" x14ac:dyDescent="0.2">
      <c r="C733" s="1821" t="s">
        <v>150</v>
      </c>
      <c r="D733" s="1821"/>
      <c r="E733" s="1821"/>
      <c r="F733" s="1821"/>
      <c r="G733" s="1821"/>
      <c r="H733" s="1821"/>
      <c r="I733" s="1821"/>
      <c r="J733" s="1821"/>
      <c r="K733" s="1821"/>
      <c r="L733" s="1821"/>
    </row>
    <row r="735" spans="1:37" x14ac:dyDescent="0.2">
      <c r="B735" s="538"/>
      <c r="D735" s="538"/>
      <c r="F735" s="538"/>
      <c r="P735" s="536"/>
      <c r="Q735" s="536"/>
      <c r="R735" s="536"/>
      <c r="S735" s="536"/>
      <c r="T735" s="536"/>
      <c r="U735" s="536"/>
      <c r="V735" s="536"/>
      <c r="W735" s="536"/>
      <c r="X735" s="536"/>
      <c r="Y735" s="536"/>
      <c r="Z735" s="536"/>
      <c r="AA735" s="536"/>
      <c r="AB735" s="536"/>
      <c r="AC735" s="536"/>
      <c r="AD735" s="536"/>
      <c r="AE735" s="536"/>
      <c r="AF735" s="536"/>
      <c r="AG735" s="536"/>
      <c r="AH735" s="536"/>
      <c r="AI735" s="536"/>
      <c r="AJ735" s="536"/>
      <c r="AK735" s="536"/>
    </row>
  </sheetData>
  <mergeCells count="670">
    <mergeCell ref="C732:L732"/>
    <mergeCell ref="C731:L731"/>
    <mergeCell ref="C733:L733"/>
    <mergeCell ref="N35:N37"/>
    <mergeCell ref="J35:L36"/>
    <mergeCell ref="C38:E38"/>
    <mergeCell ref="C42:E42"/>
    <mergeCell ref="C43:E43"/>
    <mergeCell ref="A21:N21"/>
    <mergeCell ref="B23:F23"/>
    <mergeCell ref="B24:F24"/>
    <mergeCell ref="C730:L730"/>
    <mergeCell ref="C53:E53"/>
    <mergeCell ref="C55:N55"/>
    <mergeCell ref="C56:E56"/>
    <mergeCell ref="C63:E63"/>
    <mergeCell ref="C64:E64"/>
    <mergeCell ref="C66:E66"/>
    <mergeCell ref="C67:E67"/>
    <mergeCell ref="C74:E74"/>
    <mergeCell ref="C75:E75"/>
    <mergeCell ref="C76:E76"/>
    <mergeCell ref="C77:E77"/>
    <mergeCell ref="C78:E78"/>
    <mergeCell ref="K4:N4"/>
    <mergeCell ref="A4:C4"/>
    <mergeCell ref="A5:D5"/>
    <mergeCell ref="J5:N5"/>
    <mergeCell ref="A6:D6"/>
    <mergeCell ref="J6:N6"/>
    <mergeCell ref="C50:E50"/>
    <mergeCell ref="C51:E51"/>
    <mergeCell ref="C52:E52"/>
    <mergeCell ref="C44:E44"/>
    <mergeCell ref="C45:E45"/>
    <mergeCell ref="C46:E46"/>
    <mergeCell ref="C47:E47"/>
    <mergeCell ref="C48:E48"/>
    <mergeCell ref="C49:E49"/>
    <mergeCell ref="M35:M37"/>
    <mergeCell ref="G35:I36"/>
    <mergeCell ref="A14:N14"/>
    <mergeCell ref="A17:N17"/>
    <mergeCell ref="A18:N18"/>
    <mergeCell ref="B35:B37"/>
    <mergeCell ref="F35:F37"/>
    <mergeCell ref="A35:A37"/>
    <mergeCell ref="D10:N10"/>
    <mergeCell ref="A13:N13"/>
    <mergeCell ref="A16:N16"/>
    <mergeCell ref="A20:N20"/>
    <mergeCell ref="A39:N39"/>
    <mergeCell ref="C40:E40"/>
    <mergeCell ref="C57:N57"/>
    <mergeCell ref="L33:M33"/>
    <mergeCell ref="C35:E37"/>
    <mergeCell ref="C65:E65"/>
    <mergeCell ref="C58:E58"/>
    <mergeCell ref="C59:E59"/>
    <mergeCell ref="C60:E60"/>
    <mergeCell ref="C61:E61"/>
    <mergeCell ref="C62:E62"/>
    <mergeCell ref="C41:N41"/>
    <mergeCell ref="C68:E68"/>
    <mergeCell ref="C69:E69"/>
    <mergeCell ref="C71:N71"/>
    <mergeCell ref="C72:E72"/>
    <mergeCell ref="C73:N73"/>
    <mergeCell ref="C84:E84"/>
    <mergeCell ref="C85:E85"/>
    <mergeCell ref="C86:E86"/>
    <mergeCell ref="C88:N88"/>
    <mergeCell ref="C89:E89"/>
    <mergeCell ref="C79:E79"/>
    <mergeCell ref="C80:E80"/>
    <mergeCell ref="C81:E81"/>
    <mergeCell ref="C82:E82"/>
    <mergeCell ref="C83:E83"/>
    <mergeCell ref="C97:N97"/>
    <mergeCell ref="C98:E98"/>
    <mergeCell ref="C99:E99"/>
    <mergeCell ref="C100:E100"/>
    <mergeCell ref="C101:E101"/>
    <mergeCell ref="C91:N91"/>
    <mergeCell ref="C92:N92"/>
    <mergeCell ref="C93:E93"/>
    <mergeCell ref="C95:N95"/>
    <mergeCell ref="C96:E96"/>
    <mergeCell ref="C107:E107"/>
    <mergeCell ref="C108:E108"/>
    <mergeCell ref="C109:E109"/>
    <mergeCell ref="C111:N111"/>
    <mergeCell ref="C112:E112"/>
    <mergeCell ref="C102:E102"/>
    <mergeCell ref="C103:E103"/>
    <mergeCell ref="C104:E104"/>
    <mergeCell ref="C105:E105"/>
    <mergeCell ref="C106:E106"/>
    <mergeCell ref="C118:E118"/>
    <mergeCell ref="C119:E119"/>
    <mergeCell ref="C120:E120"/>
    <mergeCell ref="C121:E121"/>
    <mergeCell ref="C122:E122"/>
    <mergeCell ref="C113:N113"/>
    <mergeCell ref="C114:N114"/>
    <mergeCell ref="C115:E115"/>
    <mergeCell ref="C116:E116"/>
    <mergeCell ref="C117:E117"/>
    <mergeCell ref="C128:E128"/>
    <mergeCell ref="C129:E129"/>
    <mergeCell ref="C130:E130"/>
    <mergeCell ref="C131:E131"/>
    <mergeCell ref="C132:E132"/>
    <mergeCell ref="C123:N123"/>
    <mergeCell ref="C124:N124"/>
    <mergeCell ref="C125:E125"/>
    <mergeCell ref="C126:E126"/>
    <mergeCell ref="C127:E127"/>
    <mergeCell ref="C139:N139"/>
    <mergeCell ref="C140:E140"/>
    <mergeCell ref="C142:N142"/>
    <mergeCell ref="C143:N143"/>
    <mergeCell ref="C144:E144"/>
    <mergeCell ref="C133:E133"/>
    <mergeCell ref="C134:E134"/>
    <mergeCell ref="C135:E135"/>
    <mergeCell ref="C136:E136"/>
    <mergeCell ref="C137:E137"/>
    <mergeCell ref="C150:E150"/>
    <mergeCell ref="C151:E151"/>
    <mergeCell ref="C152:E152"/>
    <mergeCell ref="C153:E153"/>
    <mergeCell ref="C154:E154"/>
    <mergeCell ref="C145:N145"/>
    <mergeCell ref="C146:N146"/>
    <mergeCell ref="C147:E147"/>
    <mergeCell ref="C148:E148"/>
    <mergeCell ref="C149:E149"/>
    <mergeCell ref="C160:E160"/>
    <mergeCell ref="C162:N162"/>
    <mergeCell ref="C163:E163"/>
    <mergeCell ref="C164:N164"/>
    <mergeCell ref="C165:E165"/>
    <mergeCell ref="C155:E155"/>
    <mergeCell ref="C156:E156"/>
    <mergeCell ref="C157:E157"/>
    <mergeCell ref="C158:E158"/>
    <mergeCell ref="C159:E159"/>
    <mergeCell ref="C171:E171"/>
    <mergeCell ref="C172:E172"/>
    <mergeCell ref="C173:E173"/>
    <mergeCell ref="C175:N175"/>
    <mergeCell ref="C176:E176"/>
    <mergeCell ref="C166:E166"/>
    <mergeCell ref="C167:E167"/>
    <mergeCell ref="C168:E168"/>
    <mergeCell ref="C169:E169"/>
    <mergeCell ref="C170:E170"/>
    <mergeCell ref="C182:E182"/>
    <mergeCell ref="C183:E183"/>
    <mergeCell ref="C184:E184"/>
    <mergeCell ref="C185:E185"/>
    <mergeCell ref="C186:E186"/>
    <mergeCell ref="C177:N177"/>
    <mergeCell ref="C178:N178"/>
    <mergeCell ref="C179:E179"/>
    <mergeCell ref="C180:E180"/>
    <mergeCell ref="C181:E181"/>
    <mergeCell ref="C193:E193"/>
    <mergeCell ref="C194:E194"/>
    <mergeCell ref="C195:E195"/>
    <mergeCell ref="C196:E196"/>
    <mergeCell ref="C197:E197"/>
    <mergeCell ref="C187:E187"/>
    <mergeCell ref="C188:E188"/>
    <mergeCell ref="C190:N190"/>
    <mergeCell ref="C191:E191"/>
    <mergeCell ref="C192:N192"/>
    <mergeCell ref="C204:E204"/>
    <mergeCell ref="C206:N206"/>
    <mergeCell ref="C208:K208"/>
    <mergeCell ref="C209:K209"/>
    <mergeCell ref="C210:K210"/>
    <mergeCell ref="C198:E198"/>
    <mergeCell ref="C199:E199"/>
    <mergeCell ref="C200:E200"/>
    <mergeCell ref="C201:E201"/>
    <mergeCell ref="C203:N203"/>
    <mergeCell ref="C216:K216"/>
    <mergeCell ref="C217:K217"/>
    <mergeCell ref="C218:K218"/>
    <mergeCell ref="C219:K219"/>
    <mergeCell ref="C220:K220"/>
    <mergeCell ref="C211:K211"/>
    <mergeCell ref="C212:K212"/>
    <mergeCell ref="C213:K213"/>
    <mergeCell ref="C214:K214"/>
    <mergeCell ref="C215:K215"/>
    <mergeCell ref="C226:K226"/>
    <mergeCell ref="C227:K227"/>
    <mergeCell ref="C228:K228"/>
    <mergeCell ref="C229:K229"/>
    <mergeCell ref="C230:K230"/>
    <mergeCell ref="C221:K221"/>
    <mergeCell ref="C222:K222"/>
    <mergeCell ref="C223:K223"/>
    <mergeCell ref="C224:K224"/>
    <mergeCell ref="C225:K225"/>
    <mergeCell ref="C236:K236"/>
    <mergeCell ref="A237:N237"/>
    <mergeCell ref="C238:E238"/>
    <mergeCell ref="C239:N239"/>
    <mergeCell ref="C240:E240"/>
    <mergeCell ref="C231:K231"/>
    <mergeCell ref="C232:K232"/>
    <mergeCell ref="C233:K233"/>
    <mergeCell ref="C234:K234"/>
    <mergeCell ref="C235:K235"/>
    <mergeCell ref="C246:E246"/>
    <mergeCell ref="C247:E247"/>
    <mergeCell ref="C248:E248"/>
    <mergeCell ref="C249:E249"/>
    <mergeCell ref="C250:E250"/>
    <mergeCell ref="C241:E241"/>
    <mergeCell ref="C242:E242"/>
    <mergeCell ref="C243:E243"/>
    <mergeCell ref="C244:E244"/>
    <mergeCell ref="C245:E245"/>
    <mergeCell ref="C257:E257"/>
    <mergeCell ref="C258:E258"/>
    <mergeCell ref="C259:E259"/>
    <mergeCell ref="C260:E260"/>
    <mergeCell ref="C261:E261"/>
    <mergeCell ref="C251:E251"/>
    <mergeCell ref="C253:N253"/>
    <mergeCell ref="C254:E254"/>
    <mergeCell ref="C255:N255"/>
    <mergeCell ref="C256:E256"/>
    <mergeCell ref="C267:E267"/>
    <mergeCell ref="C269:N269"/>
    <mergeCell ref="C270:E270"/>
    <mergeCell ref="C271:N271"/>
    <mergeCell ref="C272:E272"/>
    <mergeCell ref="C262:E262"/>
    <mergeCell ref="C263:E263"/>
    <mergeCell ref="C264:E264"/>
    <mergeCell ref="C265:E265"/>
    <mergeCell ref="C266:E266"/>
    <mergeCell ref="C278:E278"/>
    <mergeCell ref="C279:E279"/>
    <mergeCell ref="C280:E280"/>
    <mergeCell ref="C281:E281"/>
    <mergeCell ref="C282:E282"/>
    <mergeCell ref="C273:E273"/>
    <mergeCell ref="C274:E274"/>
    <mergeCell ref="C275:E275"/>
    <mergeCell ref="C276:E276"/>
    <mergeCell ref="C277:E277"/>
    <mergeCell ref="C290:N290"/>
    <mergeCell ref="C291:E291"/>
    <mergeCell ref="C293:N293"/>
    <mergeCell ref="C294:E294"/>
    <mergeCell ref="C295:N295"/>
    <mergeCell ref="C283:E283"/>
    <mergeCell ref="C284:E284"/>
    <mergeCell ref="C286:N286"/>
    <mergeCell ref="C287:E287"/>
    <mergeCell ref="C289:N289"/>
    <mergeCell ref="C301:E301"/>
    <mergeCell ref="C302:E302"/>
    <mergeCell ref="C303:E303"/>
    <mergeCell ref="C304:E304"/>
    <mergeCell ref="C305:E305"/>
    <mergeCell ref="C296:E296"/>
    <mergeCell ref="C297:E297"/>
    <mergeCell ref="C298:E298"/>
    <mergeCell ref="C299:E299"/>
    <mergeCell ref="C300:E300"/>
    <mergeCell ref="C312:N312"/>
    <mergeCell ref="C313:E313"/>
    <mergeCell ref="C314:E314"/>
    <mergeCell ref="C315:E315"/>
    <mergeCell ref="C316:E316"/>
    <mergeCell ref="C306:E306"/>
    <mergeCell ref="C307:E307"/>
    <mergeCell ref="C309:N309"/>
    <mergeCell ref="C310:E310"/>
    <mergeCell ref="C311:N311"/>
    <mergeCell ref="C322:N322"/>
    <mergeCell ref="C323:E323"/>
    <mergeCell ref="C324:E324"/>
    <mergeCell ref="C325:E325"/>
    <mergeCell ref="C326:E326"/>
    <mergeCell ref="C317:E317"/>
    <mergeCell ref="C318:E318"/>
    <mergeCell ref="C319:E319"/>
    <mergeCell ref="C320:E320"/>
    <mergeCell ref="C321:N321"/>
    <mergeCell ref="C332:E332"/>
    <mergeCell ref="C333:E333"/>
    <mergeCell ref="C334:E334"/>
    <mergeCell ref="C335:E335"/>
    <mergeCell ref="C337:N337"/>
    <mergeCell ref="C327:E327"/>
    <mergeCell ref="C328:E328"/>
    <mergeCell ref="C329:E329"/>
    <mergeCell ref="C330:E330"/>
    <mergeCell ref="C331:E331"/>
    <mergeCell ref="C344:N344"/>
    <mergeCell ref="C345:E345"/>
    <mergeCell ref="C346:E346"/>
    <mergeCell ref="C347:E347"/>
    <mergeCell ref="C348:E348"/>
    <mergeCell ref="C338:E338"/>
    <mergeCell ref="C340:N340"/>
    <mergeCell ref="C341:N341"/>
    <mergeCell ref="C342:E342"/>
    <mergeCell ref="C343:N343"/>
    <mergeCell ref="C354:E354"/>
    <mergeCell ref="C355:E355"/>
    <mergeCell ref="C356:E356"/>
    <mergeCell ref="C357:E357"/>
    <mergeCell ref="C358:E358"/>
    <mergeCell ref="C349:E349"/>
    <mergeCell ref="C350:E350"/>
    <mergeCell ref="C351:E351"/>
    <mergeCell ref="C352:E352"/>
    <mergeCell ref="C353:E353"/>
    <mergeCell ref="C365:E365"/>
    <mergeCell ref="C366:E366"/>
    <mergeCell ref="C367:E367"/>
    <mergeCell ref="C368:E368"/>
    <mergeCell ref="C369:E369"/>
    <mergeCell ref="C360:N360"/>
    <mergeCell ref="C361:E361"/>
    <mergeCell ref="C362:N362"/>
    <mergeCell ref="C363:E363"/>
    <mergeCell ref="C364:E364"/>
    <mergeCell ref="C376:N376"/>
    <mergeCell ref="C377:E377"/>
    <mergeCell ref="C378:E378"/>
    <mergeCell ref="C379:E379"/>
    <mergeCell ref="C380:E380"/>
    <mergeCell ref="C370:E370"/>
    <mergeCell ref="C371:E371"/>
    <mergeCell ref="C373:N373"/>
    <mergeCell ref="C374:E374"/>
    <mergeCell ref="C375:N375"/>
    <mergeCell ref="C386:E386"/>
    <mergeCell ref="C388:N388"/>
    <mergeCell ref="C389:E389"/>
    <mergeCell ref="C390:N390"/>
    <mergeCell ref="C391:E391"/>
    <mergeCell ref="C381:E381"/>
    <mergeCell ref="C382:E382"/>
    <mergeCell ref="C383:E383"/>
    <mergeCell ref="C384:E384"/>
    <mergeCell ref="C385:E385"/>
    <mergeCell ref="C397:E397"/>
    <mergeCell ref="C398:E398"/>
    <mergeCell ref="C399:E399"/>
    <mergeCell ref="C401:N401"/>
    <mergeCell ref="C402:E402"/>
    <mergeCell ref="C392:E392"/>
    <mergeCell ref="C393:E393"/>
    <mergeCell ref="C394:E394"/>
    <mergeCell ref="C395:E395"/>
    <mergeCell ref="C396:E396"/>
    <mergeCell ref="C410:K410"/>
    <mergeCell ref="C411:K411"/>
    <mergeCell ref="C412:K412"/>
    <mergeCell ref="C413:K413"/>
    <mergeCell ref="C414:K414"/>
    <mergeCell ref="C404:N404"/>
    <mergeCell ref="C406:K406"/>
    <mergeCell ref="C407:K407"/>
    <mergeCell ref="C408:K408"/>
    <mergeCell ref="C409:K409"/>
    <mergeCell ref="C420:K420"/>
    <mergeCell ref="C421:K421"/>
    <mergeCell ref="C422:K422"/>
    <mergeCell ref="C423:K423"/>
    <mergeCell ref="C424:K424"/>
    <mergeCell ref="C415:K415"/>
    <mergeCell ref="C416:K416"/>
    <mergeCell ref="C417:K417"/>
    <mergeCell ref="C418:K418"/>
    <mergeCell ref="C419:K419"/>
    <mergeCell ref="C430:K430"/>
    <mergeCell ref="C431:K431"/>
    <mergeCell ref="C432:K432"/>
    <mergeCell ref="C433:K433"/>
    <mergeCell ref="C434:K434"/>
    <mergeCell ref="C425:K425"/>
    <mergeCell ref="C426:K426"/>
    <mergeCell ref="C427:K427"/>
    <mergeCell ref="C428:K428"/>
    <mergeCell ref="C429:K429"/>
    <mergeCell ref="C440:E440"/>
    <mergeCell ref="C441:E441"/>
    <mergeCell ref="C442:E442"/>
    <mergeCell ref="C443:E443"/>
    <mergeCell ref="C444:E444"/>
    <mergeCell ref="A435:N435"/>
    <mergeCell ref="C436:E436"/>
    <mergeCell ref="C437:N437"/>
    <mergeCell ref="C438:E438"/>
    <mergeCell ref="C439:E439"/>
    <mergeCell ref="C451:N451"/>
    <mergeCell ref="C452:E452"/>
    <mergeCell ref="C453:N453"/>
    <mergeCell ref="C454:E454"/>
    <mergeCell ref="C455:E455"/>
    <mergeCell ref="C445:E445"/>
    <mergeCell ref="C446:E446"/>
    <mergeCell ref="C447:E447"/>
    <mergeCell ref="C448:E448"/>
    <mergeCell ref="C449:E449"/>
    <mergeCell ref="C461:E461"/>
    <mergeCell ref="C462:E462"/>
    <mergeCell ref="C463:E463"/>
    <mergeCell ref="C464:E464"/>
    <mergeCell ref="C465:E465"/>
    <mergeCell ref="C456:E456"/>
    <mergeCell ref="C457:E457"/>
    <mergeCell ref="C458:E458"/>
    <mergeCell ref="C459:E459"/>
    <mergeCell ref="C460:E460"/>
    <mergeCell ref="C472:E472"/>
    <mergeCell ref="C473:E473"/>
    <mergeCell ref="C474:E474"/>
    <mergeCell ref="C475:E475"/>
    <mergeCell ref="C476:E476"/>
    <mergeCell ref="C467:N467"/>
    <mergeCell ref="C468:E468"/>
    <mergeCell ref="C469:N469"/>
    <mergeCell ref="C470:E470"/>
    <mergeCell ref="C471:E471"/>
    <mergeCell ref="C482:E482"/>
    <mergeCell ref="C484:N484"/>
    <mergeCell ref="C485:E485"/>
    <mergeCell ref="C487:N487"/>
    <mergeCell ref="C488:N488"/>
    <mergeCell ref="C477:E477"/>
    <mergeCell ref="C478:E478"/>
    <mergeCell ref="C479:E479"/>
    <mergeCell ref="C480:E480"/>
    <mergeCell ref="C481:E481"/>
    <mergeCell ref="C495:E495"/>
    <mergeCell ref="C496:E496"/>
    <mergeCell ref="C497:E497"/>
    <mergeCell ref="C498:E498"/>
    <mergeCell ref="C499:E499"/>
    <mergeCell ref="C489:E489"/>
    <mergeCell ref="C491:N491"/>
    <mergeCell ref="C492:E492"/>
    <mergeCell ref="C493:N493"/>
    <mergeCell ref="C494:E494"/>
    <mergeCell ref="C505:E505"/>
    <mergeCell ref="C507:N507"/>
    <mergeCell ref="C508:E508"/>
    <mergeCell ref="C509:N509"/>
    <mergeCell ref="C510:N510"/>
    <mergeCell ref="C500:E500"/>
    <mergeCell ref="C501:E501"/>
    <mergeCell ref="C502:E502"/>
    <mergeCell ref="C503:E503"/>
    <mergeCell ref="C504:E504"/>
    <mergeCell ref="C516:E516"/>
    <mergeCell ref="C517:E517"/>
    <mergeCell ref="C518:E518"/>
    <mergeCell ref="C519:N519"/>
    <mergeCell ref="C520:N520"/>
    <mergeCell ref="C511:E511"/>
    <mergeCell ref="C512:E512"/>
    <mergeCell ref="C513:E513"/>
    <mergeCell ref="C514:E514"/>
    <mergeCell ref="C515:E515"/>
    <mergeCell ref="C526:E526"/>
    <mergeCell ref="C527:E527"/>
    <mergeCell ref="C528:E528"/>
    <mergeCell ref="C529:E529"/>
    <mergeCell ref="C530:E530"/>
    <mergeCell ref="C521:E521"/>
    <mergeCell ref="C522:E522"/>
    <mergeCell ref="C523:E523"/>
    <mergeCell ref="C524:E524"/>
    <mergeCell ref="C525:E525"/>
    <mergeCell ref="C538:N538"/>
    <mergeCell ref="C539:N539"/>
    <mergeCell ref="C540:E540"/>
    <mergeCell ref="C541:N541"/>
    <mergeCell ref="C542:N542"/>
    <mergeCell ref="C531:E531"/>
    <mergeCell ref="C532:E532"/>
    <mergeCell ref="C533:E533"/>
    <mergeCell ref="C535:N535"/>
    <mergeCell ref="C536:E536"/>
    <mergeCell ref="C548:E548"/>
    <mergeCell ref="C549:E549"/>
    <mergeCell ref="C550:E550"/>
    <mergeCell ref="C551:E551"/>
    <mergeCell ref="C552:E552"/>
    <mergeCell ref="C543:E543"/>
    <mergeCell ref="C544:E544"/>
    <mergeCell ref="C545:E545"/>
    <mergeCell ref="C546:E546"/>
    <mergeCell ref="C547:E547"/>
    <mergeCell ref="C559:E559"/>
    <mergeCell ref="C560:N560"/>
    <mergeCell ref="C561:E561"/>
    <mergeCell ref="C562:E562"/>
    <mergeCell ref="C563:E563"/>
    <mergeCell ref="C553:E553"/>
    <mergeCell ref="C554:E554"/>
    <mergeCell ref="C555:E555"/>
    <mergeCell ref="C556:E556"/>
    <mergeCell ref="C558:N558"/>
    <mergeCell ref="C569:E569"/>
    <mergeCell ref="C571:N571"/>
    <mergeCell ref="C572:E572"/>
    <mergeCell ref="C573:N573"/>
    <mergeCell ref="C574:N574"/>
    <mergeCell ref="C564:E564"/>
    <mergeCell ref="C565:E565"/>
    <mergeCell ref="C566:E566"/>
    <mergeCell ref="C567:E567"/>
    <mergeCell ref="C568:E568"/>
    <mergeCell ref="C580:E580"/>
    <mergeCell ref="C581:E581"/>
    <mergeCell ref="C582:E582"/>
    <mergeCell ref="C583:E583"/>
    <mergeCell ref="C584:E584"/>
    <mergeCell ref="C575:E575"/>
    <mergeCell ref="C576:E576"/>
    <mergeCell ref="C577:E577"/>
    <mergeCell ref="C578:E578"/>
    <mergeCell ref="C579:E579"/>
    <mergeCell ref="C591:E591"/>
    <mergeCell ref="C592:E592"/>
    <mergeCell ref="C593:E593"/>
    <mergeCell ref="C594:E594"/>
    <mergeCell ref="C595:E595"/>
    <mergeCell ref="C586:N586"/>
    <mergeCell ref="C587:E587"/>
    <mergeCell ref="C588:N588"/>
    <mergeCell ref="C589:E589"/>
    <mergeCell ref="C590:E590"/>
    <mergeCell ref="C604:K604"/>
    <mergeCell ref="C605:K605"/>
    <mergeCell ref="C606:K606"/>
    <mergeCell ref="C607:K607"/>
    <mergeCell ref="C608:K608"/>
    <mergeCell ref="C596:E596"/>
    <mergeCell ref="C597:E597"/>
    <mergeCell ref="C599:N599"/>
    <mergeCell ref="C600:E600"/>
    <mergeCell ref="C602:N602"/>
    <mergeCell ref="C614:K614"/>
    <mergeCell ref="C615:K615"/>
    <mergeCell ref="C616:K616"/>
    <mergeCell ref="C617:K617"/>
    <mergeCell ref="C618:K618"/>
    <mergeCell ref="C609:K609"/>
    <mergeCell ref="C610:K610"/>
    <mergeCell ref="C611:K611"/>
    <mergeCell ref="C612:K612"/>
    <mergeCell ref="C613:K613"/>
    <mergeCell ref="C624:K624"/>
    <mergeCell ref="C625:K625"/>
    <mergeCell ref="C626:K626"/>
    <mergeCell ref="C627:K627"/>
    <mergeCell ref="C628:K628"/>
    <mergeCell ref="C619:K619"/>
    <mergeCell ref="C620:K620"/>
    <mergeCell ref="C621:K621"/>
    <mergeCell ref="C622:K622"/>
    <mergeCell ref="C623:K623"/>
    <mergeCell ref="C634:E634"/>
    <mergeCell ref="C635:N635"/>
    <mergeCell ref="C636:E636"/>
    <mergeCell ref="C637:E637"/>
    <mergeCell ref="C638:E638"/>
    <mergeCell ref="C629:K629"/>
    <mergeCell ref="C630:K630"/>
    <mergeCell ref="C631:K631"/>
    <mergeCell ref="C632:K632"/>
    <mergeCell ref="A633:N633"/>
    <mergeCell ref="C644:E644"/>
    <mergeCell ref="C645:E645"/>
    <mergeCell ref="C646:E646"/>
    <mergeCell ref="C647:E647"/>
    <mergeCell ref="C649:N649"/>
    <mergeCell ref="C639:E639"/>
    <mergeCell ref="C640:E640"/>
    <mergeCell ref="C641:E641"/>
    <mergeCell ref="C642:E642"/>
    <mergeCell ref="C643:E643"/>
    <mergeCell ref="C656:E656"/>
    <mergeCell ref="C657:E657"/>
    <mergeCell ref="C658:E658"/>
    <mergeCell ref="C659:E659"/>
    <mergeCell ref="C660:E660"/>
    <mergeCell ref="C650:E650"/>
    <mergeCell ref="C652:N652"/>
    <mergeCell ref="C653:E653"/>
    <mergeCell ref="C654:N654"/>
    <mergeCell ref="C655:N655"/>
    <mergeCell ref="C666:E666"/>
    <mergeCell ref="C667:E667"/>
    <mergeCell ref="C669:N669"/>
    <mergeCell ref="C670:E670"/>
    <mergeCell ref="C672:N672"/>
    <mergeCell ref="C661:E661"/>
    <mergeCell ref="C662:E662"/>
    <mergeCell ref="C663:E663"/>
    <mergeCell ref="C664:E664"/>
    <mergeCell ref="C665:E665"/>
    <mergeCell ref="C680:K680"/>
    <mergeCell ref="C681:K681"/>
    <mergeCell ref="C682:K682"/>
    <mergeCell ref="C683:K683"/>
    <mergeCell ref="C684:K684"/>
    <mergeCell ref="C673:E673"/>
    <mergeCell ref="C675:N675"/>
    <mergeCell ref="C677:K677"/>
    <mergeCell ref="C678:K678"/>
    <mergeCell ref="C679:K679"/>
    <mergeCell ref="C690:K690"/>
    <mergeCell ref="C691:K691"/>
    <mergeCell ref="C692:K692"/>
    <mergeCell ref="C693:K693"/>
    <mergeCell ref="C694:K694"/>
    <mergeCell ref="C685:K685"/>
    <mergeCell ref="C686:K686"/>
    <mergeCell ref="C687:K687"/>
    <mergeCell ref="C688:K688"/>
    <mergeCell ref="C689:K689"/>
    <mergeCell ref="C701:K701"/>
    <mergeCell ref="C702:K702"/>
    <mergeCell ref="C703:K703"/>
    <mergeCell ref="C704:K704"/>
    <mergeCell ref="C705:K705"/>
    <mergeCell ref="C695:K695"/>
    <mergeCell ref="C696:K696"/>
    <mergeCell ref="C697:K697"/>
    <mergeCell ref="C699:K699"/>
    <mergeCell ref="C700:K700"/>
    <mergeCell ref="C711:K711"/>
    <mergeCell ref="C712:K712"/>
    <mergeCell ref="C713:K713"/>
    <mergeCell ref="C714:K714"/>
    <mergeCell ref="C715:K715"/>
    <mergeCell ref="C706:K706"/>
    <mergeCell ref="C707:K707"/>
    <mergeCell ref="C708:K708"/>
    <mergeCell ref="C709:K709"/>
    <mergeCell ref="C710:K710"/>
    <mergeCell ref="C716:K716"/>
    <mergeCell ref="C717:K717"/>
    <mergeCell ref="C718:K718"/>
    <mergeCell ref="C719:K719"/>
    <mergeCell ref="C720:K720"/>
    <mergeCell ref="C726:K726"/>
    <mergeCell ref="C727:K727"/>
    <mergeCell ref="C721:K721"/>
    <mergeCell ref="C722:K722"/>
    <mergeCell ref="C723:K723"/>
    <mergeCell ref="C724:K724"/>
    <mergeCell ref="C725:K725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734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AH404"/>
  <sheetViews>
    <sheetView topLeftCell="A367" zoomScale="115" zoomScaleNormal="115" workbookViewId="0">
      <selection activeCell="A376" sqref="A1:N1048576"/>
    </sheetView>
  </sheetViews>
  <sheetFormatPr defaultColWidth="9.140625" defaultRowHeight="11.25" customHeight="1" x14ac:dyDescent="0.25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600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3" width="138.42578125" style="537" hidden="1" customWidth="1"/>
    <col min="24" max="24" width="34.140625" style="537" hidden="1" customWidth="1"/>
    <col min="25" max="26" width="110.140625" style="537" hidden="1" customWidth="1"/>
    <col min="27" max="31" width="34.140625" style="537" hidden="1" customWidth="1"/>
    <col min="32" max="34" width="84.42578125" style="537" hidden="1" customWidth="1"/>
    <col min="35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89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835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835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836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836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837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87"/>
      <c r="B19" s="687"/>
      <c r="C19" s="687"/>
      <c r="D19" s="687"/>
      <c r="E19" s="687"/>
      <c r="F19" s="687"/>
      <c r="G19" s="687"/>
      <c r="H19" s="687"/>
      <c r="I19" s="687"/>
      <c r="J19" s="687"/>
      <c r="K19" s="687"/>
      <c r="L19" s="687"/>
      <c r="M19" s="687"/>
      <c r="N19" s="687"/>
    </row>
    <row r="20" spans="1:21" s="536" customFormat="1" x14ac:dyDescent="0.2">
      <c r="A20" s="1840" t="s">
        <v>600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600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838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510.1</v>
      </c>
      <c r="D28" s="579" t="s">
        <v>7126</v>
      </c>
      <c r="E28" s="689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89"/>
    </row>
    <row r="30" spans="1:21" s="536" customFormat="1" ht="12.75" customHeight="1" x14ac:dyDescent="0.2">
      <c r="B30" s="536" t="s">
        <v>169</v>
      </c>
      <c r="C30" s="580">
        <v>6.35</v>
      </c>
      <c r="D30" s="579" t="s">
        <v>3159</v>
      </c>
      <c r="E30" s="689" t="s">
        <v>167</v>
      </c>
      <c r="G30" s="536" t="s">
        <v>170</v>
      </c>
      <c r="L30" s="580">
        <v>0</v>
      </c>
      <c r="M30" s="579" t="s">
        <v>7127</v>
      </c>
      <c r="N30" s="689" t="s">
        <v>167</v>
      </c>
    </row>
    <row r="31" spans="1:21" s="536" customFormat="1" ht="12.75" customHeight="1" x14ac:dyDescent="0.2">
      <c r="B31" s="536" t="s">
        <v>140</v>
      </c>
      <c r="C31" s="580">
        <v>1.06</v>
      </c>
      <c r="D31" s="583" t="s">
        <v>7128</v>
      </c>
      <c r="E31" s="689" t="s">
        <v>167</v>
      </c>
      <c r="G31" s="536" t="s">
        <v>172</v>
      </c>
      <c r="L31" s="582"/>
      <c r="M31" s="582">
        <v>21.62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502.69</v>
      </c>
      <c r="D32" s="583" t="s">
        <v>7129</v>
      </c>
      <c r="E32" s="689" t="s">
        <v>167</v>
      </c>
      <c r="G32" s="536" t="s">
        <v>174</v>
      </c>
      <c r="L32" s="582"/>
      <c r="M32" s="582">
        <v>1.65</v>
      </c>
      <c r="N32" s="581" t="s">
        <v>173</v>
      </c>
    </row>
    <row r="33" spans="1:28" s="536" customFormat="1" ht="12.75" customHeight="1" x14ac:dyDescent="0.2">
      <c r="B33" s="536" t="s">
        <v>147</v>
      </c>
      <c r="C33" s="580">
        <v>0</v>
      </c>
      <c r="D33" s="579" t="s">
        <v>171</v>
      </c>
      <c r="E33" s="689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685" t="s">
        <v>182</v>
      </c>
      <c r="H37" s="685" t="s">
        <v>183</v>
      </c>
      <c r="I37" s="685" t="s">
        <v>184</v>
      </c>
      <c r="J37" s="685" t="s">
        <v>182</v>
      </c>
      <c r="K37" s="685" t="s">
        <v>183</v>
      </c>
      <c r="L37" s="685" t="s">
        <v>148</v>
      </c>
      <c r="M37" s="1833"/>
      <c r="N37" s="1833"/>
    </row>
    <row r="38" spans="1:28" s="536" customFormat="1" x14ac:dyDescent="0.2">
      <c r="A38" s="686">
        <v>1</v>
      </c>
      <c r="B38" s="686">
        <v>2</v>
      </c>
      <c r="C38" s="1834">
        <v>3</v>
      </c>
      <c r="D38" s="1834"/>
      <c r="E38" s="1834"/>
      <c r="F38" s="686">
        <v>4</v>
      </c>
      <c r="G38" s="686">
        <v>5</v>
      </c>
      <c r="H38" s="686">
        <v>6</v>
      </c>
      <c r="I38" s="686">
        <v>7</v>
      </c>
      <c r="J38" s="686">
        <v>8</v>
      </c>
      <c r="K38" s="686">
        <v>9</v>
      </c>
      <c r="L38" s="686">
        <v>10</v>
      </c>
      <c r="M38" s="686">
        <v>11</v>
      </c>
      <c r="N38" s="686">
        <v>12</v>
      </c>
    </row>
    <row r="39" spans="1:28" s="536" customFormat="1" ht="12" x14ac:dyDescent="0.2">
      <c r="A39" s="1824" t="s">
        <v>839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839</v>
      </c>
    </row>
    <row r="40" spans="1:28" s="536" customFormat="1" ht="12" x14ac:dyDescent="0.2">
      <c r="A40" s="1830" t="s">
        <v>840</v>
      </c>
      <c r="B40" s="1831"/>
      <c r="C40" s="1831"/>
      <c r="D40" s="1831"/>
      <c r="E40" s="1831"/>
      <c r="F40" s="1831"/>
      <c r="G40" s="1831"/>
      <c r="H40" s="1831"/>
      <c r="I40" s="1831"/>
      <c r="J40" s="1831"/>
      <c r="K40" s="1831"/>
      <c r="L40" s="1831"/>
      <c r="M40" s="1831"/>
      <c r="N40" s="1832"/>
      <c r="V40" s="674"/>
      <c r="W40" s="675" t="s">
        <v>840</v>
      </c>
    </row>
    <row r="41" spans="1:28" s="536" customFormat="1" ht="22.5" x14ac:dyDescent="0.2">
      <c r="A41" s="575" t="s">
        <v>185</v>
      </c>
      <c r="B41" s="684" t="s">
        <v>841</v>
      </c>
      <c r="C41" s="1823" t="s">
        <v>842</v>
      </c>
      <c r="D41" s="1823"/>
      <c r="E41" s="1823"/>
      <c r="F41" s="573" t="s">
        <v>307</v>
      </c>
      <c r="G41" s="573"/>
      <c r="H41" s="573"/>
      <c r="I41" s="573" t="s">
        <v>809</v>
      </c>
      <c r="J41" s="572"/>
      <c r="K41" s="573"/>
      <c r="L41" s="572"/>
      <c r="M41" s="571"/>
      <c r="N41" s="570"/>
      <c r="V41" s="674"/>
      <c r="W41" s="675"/>
      <c r="X41" s="675" t="s">
        <v>842</v>
      </c>
    </row>
    <row r="42" spans="1:28" s="536" customFormat="1" ht="12" x14ac:dyDescent="0.2">
      <c r="A42" s="676"/>
      <c r="B42" s="682"/>
      <c r="C42" s="1822" t="s">
        <v>843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X42" s="675"/>
      <c r="Y42" s="537" t="s">
        <v>843</v>
      </c>
    </row>
    <row r="43" spans="1:28" s="536" customFormat="1" ht="22.5" x14ac:dyDescent="0.2">
      <c r="A43" s="609"/>
      <c r="B43" s="552" t="s">
        <v>499</v>
      </c>
      <c r="C43" s="1822" t="s">
        <v>500</v>
      </c>
      <c r="D43" s="1822"/>
      <c r="E43" s="1822"/>
      <c r="F43" s="1822"/>
      <c r="G43" s="1822"/>
      <c r="H43" s="1822"/>
      <c r="I43" s="1822"/>
      <c r="J43" s="1822"/>
      <c r="K43" s="1822"/>
      <c r="L43" s="1822"/>
      <c r="M43" s="1822"/>
      <c r="N43" s="1827"/>
      <c r="V43" s="674"/>
      <c r="W43" s="675"/>
      <c r="X43" s="675"/>
      <c r="Z43" s="537" t="s">
        <v>500</v>
      </c>
    </row>
    <row r="44" spans="1:28" s="536" customFormat="1" ht="12" x14ac:dyDescent="0.2">
      <c r="A44" s="605"/>
      <c r="B44" s="552" t="s">
        <v>185</v>
      </c>
      <c r="C44" s="1822" t="s">
        <v>312</v>
      </c>
      <c r="D44" s="1822"/>
      <c r="E44" s="1822"/>
      <c r="F44" s="562"/>
      <c r="G44" s="562"/>
      <c r="H44" s="562"/>
      <c r="I44" s="562"/>
      <c r="J44" s="604">
        <v>542.95000000000005</v>
      </c>
      <c r="K44" s="562" t="s">
        <v>313</v>
      </c>
      <c r="L44" s="604">
        <v>6.79</v>
      </c>
      <c r="M44" s="603"/>
      <c r="N44" s="602"/>
      <c r="V44" s="674"/>
      <c r="W44" s="675"/>
      <c r="X44" s="675"/>
      <c r="AA44" s="537" t="s">
        <v>312</v>
      </c>
    </row>
    <row r="45" spans="1:28" s="536" customFormat="1" ht="12" x14ac:dyDescent="0.2">
      <c r="A45" s="605"/>
      <c r="B45" s="552" t="s">
        <v>186</v>
      </c>
      <c r="C45" s="1822" t="s">
        <v>344</v>
      </c>
      <c r="D45" s="1822"/>
      <c r="E45" s="1822"/>
      <c r="F45" s="562"/>
      <c r="G45" s="562"/>
      <c r="H45" s="562"/>
      <c r="I45" s="562"/>
      <c r="J45" s="604">
        <v>216.38</v>
      </c>
      <c r="K45" s="562" t="s">
        <v>313</v>
      </c>
      <c r="L45" s="604">
        <v>2.7</v>
      </c>
      <c r="M45" s="603"/>
      <c r="N45" s="602"/>
      <c r="V45" s="674"/>
      <c r="W45" s="675"/>
      <c r="X45" s="675"/>
      <c r="AA45" s="537" t="s">
        <v>344</v>
      </c>
    </row>
    <row r="46" spans="1:28" s="536" customFormat="1" ht="12" x14ac:dyDescent="0.2">
      <c r="A46" s="605"/>
      <c r="B46" s="552" t="s">
        <v>187</v>
      </c>
      <c r="C46" s="1822" t="s">
        <v>345</v>
      </c>
      <c r="D46" s="1822"/>
      <c r="E46" s="1822"/>
      <c r="F46" s="562"/>
      <c r="G46" s="562"/>
      <c r="H46" s="562"/>
      <c r="I46" s="562"/>
      <c r="J46" s="604">
        <v>52.01</v>
      </c>
      <c r="K46" s="562" t="s">
        <v>313</v>
      </c>
      <c r="L46" s="604">
        <v>0.65</v>
      </c>
      <c r="M46" s="603"/>
      <c r="N46" s="602"/>
      <c r="V46" s="674"/>
      <c r="W46" s="675"/>
      <c r="X46" s="675"/>
      <c r="AA46" s="537" t="s">
        <v>345</v>
      </c>
    </row>
    <row r="47" spans="1:28" s="536" customFormat="1" ht="12" x14ac:dyDescent="0.2">
      <c r="A47" s="605"/>
      <c r="B47" s="552" t="s">
        <v>188</v>
      </c>
      <c r="C47" s="1822" t="s">
        <v>475</v>
      </c>
      <c r="D47" s="1822"/>
      <c r="E47" s="1822"/>
      <c r="F47" s="562"/>
      <c r="G47" s="562"/>
      <c r="H47" s="562"/>
      <c r="I47" s="562"/>
      <c r="J47" s="604">
        <v>1633.36</v>
      </c>
      <c r="K47" s="562"/>
      <c r="L47" s="604">
        <v>16.329999999999998</v>
      </c>
      <c r="M47" s="603"/>
      <c r="N47" s="602"/>
      <c r="V47" s="674"/>
      <c r="W47" s="675"/>
      <c r="X47" s="675"/>
      <c r="AA47" s="537" t="s">
        <v>475</v>
      </c>
    </row>
    <row r="48" spans="1:28" s="536" customFormat="1" ht="12" x14ac:dyDescent="0.2">
      <c r="A48" s="676"/>
      <c r="B48" s="677" t="s">
        <v>9203</v>
      </c>
      <c r="C48" s="1829" t="s">
        <v>9204</v>
      </c>
      <c r="D48" s="1829"/>
      <c r="E48" s="1829"/>
      <c r="F48" s="678" t="s">
        <v>617</v>
      </c>
      <c r="G48" s="678" t="s">
        <v>844</v>
      </c>
      <c r="H48" s="678"/>
      <c r="I48" s="678" t="s">
        <v>185</v>
      </c>
      <c r="J48" s="552"/>
      <c r="K48" s="562"/>
      <c r="L48" s="604"/>
      <c r="M48" s="562"/>
      <c r="N48" s="679"/>
      <c r="V48" s="674"/>
      <c r="W48" s="675"/>
      <c r="X48" s="675"/>
      <c r="AB48" s="680" t="s">
        <v>9204</v>
      </c>
    </row>
    <row r="49" spans="1:31" s="536" customFormat="1" ht="12" x14ac:dyDescent="0.2">
      <c r="A49" s="605"/>
      <c r="B49" s="552"/>
      <c r="C49" s="1822" t="s">
        <v>314</v>
      </c>
      <c r="D49" s="1822"/>
      <c r="E49" s="1822"/>
      <c r="F49" s="562" t="s">
        <v>315</v>
      </c>
      <c r="G49" s="562" t="s">
        <v>845</v>
      </c>
      <c r="H49" s="562" t="s">
        <v>313</v>
      </c>
      <c r="I49" s="562" t="s">
        <v>846</v>
      </c>
      <c r="J49" s="604"/>
      <c r="K49" s="562"/>
      <c r="L49" s="604"/>
      <c r="M49" s="603"/>
      <c r="N49" s="602"/>
      <c r="V49" s="674"/>
      <c r="W49" s="675"/>
      <c r="X49" s="675"/>
      <c r="AB49" s="680"/>
      <c r="AC49" s="537" t="s">
        <v>314</v>
      </c>
    </row>
    <row r="50" spans="1:31" s="536" customFormat="1" ht="12" x14ac:dyDescent="0.2">
      <c r="A50" s="605"/>
      <c r="B50" s="552"/>
      <c r="C50" s="1822" t="s">
        <v>348</v>
      </c>
      <c r="D50" s="1822"/>
      <c r="E50" s="1822"/>
      <c r="F50" s="562" t="s">
        <v>315</v>
      </c>
      <c r="G50" s="562" t="s">
        <v>847</v>
      </c>
      <c r="H50" s="562" t="s">
        <v>313</v>
      </c>
      <c r="I50" s="562" t="s">
        <v>848</v>
      </c>
      <c r="J50" s="604"/>
      <c r="K50" s="562"/>
      <c r="L50" s="604"/>
      <c r="M50" s="603"/>
      <c r="N50" s="602"/>
      <c r="V50" s="674"/>
      <c r="W50" s="675"/>
      <c r="X50" s="675"/>
      <c r="AB50" s="680"/>
      <c r="AC50" s="537" t="s">
        <v>348</v>
      </c>
    </row>
    <row r="51" spans="1:31" s="536" customFormat="1" ht="12" x14ac:dyDescent="0.2">
      <c r="A51" s="605"/>
      <c r="B51" s="552"/>
      <c r="C51" s="1828" t="s">
        <v>318</v>
      </c>
      <c r="D51" s="1828"/>
      <c r="E51" s="1828"/>
      <c r="F51" s="608"/>
      <c r="G51" s="608"/>
      <c r="H51" s="608"/>
      <c r="I51" s="608"/>
      <c r="J51" s="607">
        <v>2392.69</v>
      </c>
      <c r="K51" s="608"/>
      <c r="L51" s="607">
        <v>25.82</v>
      </c>
      <c r="M51" s="601"/>
      <c r="N51" s="606"/>
      <c r="V51" s="674"/>
      <c r="W51" s="675"/>
      <c r="X51" s="675"/>
      <c r="AB51" s="680"/>
      <c r="AD51" s="537" t="s">
        <v>318</v>
      </c>
    </row>
    <row r="52" spans="1:31" s="536" customFormat="1" ht="12" x14ac:dyDescent="0.2">
      <c r="A52" s="605"/>
      <c r="B52" s="552"/>
      <c r="C52" s="1822" t="s">
        <v>319</v>
      </c>
      <c r="D52" s="1822"/>
      <c r="E52" s="1822"/>
      <c r="F52" s="562"/>
      <c r="G52" s="562"/>
      <c r="H52" s="562"/>
      <c r="I52" s="562"/>
      <c r="J52" s="604"/>
      <c r="K52" s="562"/>
      <c r="L52" s="604">
        <v>7.44</v>
      </c>
      <c r="M52" s="603"/>
      <c r="N52" s="602"/>
      <c r="V52" s="674"/>
      <c r="W52" s="675"/>
      <c r="X52" s="675"/>
      <c r="AB52" s="680"/>
      <c r="AC52" s="537" t="s">
        <v>319</v>
      </c>
    </row>
    <row r="53" spans="1:31" s="536" customFormat="1" ht="33.75" x14ac:dyDescent="0.2">
      <c r="A53" s="605"/>
      <c r="B53" s="552" t="s">
        <v>849</v>
      </c>
      <c r="C53" s="1822" t="s">
        <v>850</v>
      </c>
      <c r="D53" s="1822"/>
      <c r="E53" s="1822"/>
      <c r="F53" s="562" t="s">
        <v>322</v>
      </c>
      <c r="G53" s="562" t="s">
        <v>851</v>
      </c>
      <c r="H53" s="562"/>
      <c r="I53" s="562" t="s">
        <v>851</v>
      </c>
      <c r="J53" s="604"/>
      <c r="K53" s="562"/>
      <c r="L53" s="604">
        <v>8.0399999999999991</v>
      </c>
      <c r="M53" s="603"/>
      <c r="N53" s="602"/>
      <c r="V53" s="674"/>
      <c r="W53" s="675"/>
      <c r="X53" s="675"/>
      <c r="AB53" s="680"/>
      <c r="AC53" s="537" t="s">
        <v>850</v>
      </c>
    </row>
    <row r="54" spans="1:31" s="536" customFormat="1" ht="33.75" x14ac:dyDescent="0.2">
      <c r="A54" s="605"/>
      <c r="B54" s="552" t="s">
        <v>852</v>
      </c>
      <c r="C54" s="1822" t="s">
        <v>853</v>
      </c>
      <c r="D54" s="1822"/>
      <c r="E54" s="1822"/>
      <c r="F54" s="562" t="s">
        <v>322</v>
      </c>
      <c r="G54" s="562" t="s">
        <v>789</v>
      </c>
      <c r="H54" s="562"/>
      <c r="I54" s="562" t="s">
        <v>789</v>
      </c>
      <c r="J54" s="604"/>
      <c r="K54" s="562"/>
      <c r="L54" s="604">
        <v>4.09</v>
      </c>
      <c r="M54" s="603"/>
      <c r="N54" s="602"/>
      <c r="V54" s="674"/>
      <c r="W54" s="675"/>
      <c r="X54" s="675"/>
      <c r="AB54" s="680"/>
      <c r="AC54" s="537" t="s">
        <v>853</v>
      </c>
    </row>
    <row r="55" spans="1:31" s="536" customFormat="1" ht="12" x14ac:dyDescent="0.2">
      <c r="A55" s="569"/>
      <c r="B55" s="683"/>
      <c r="C55" s="1823" t="s">
        <v>327</v>
      </c>
      <c r="D55" s="1823"/>
      <c r="E55" s="1823"/>
      <c r="F55" s="573"/>
      <c r="G55" s="573"/>
      <c r="H55" s="573"/>
      <c r="I55" s="573"/>
      <c r="J55" s="572"/>
      <c r="K55" s="573"/>
      <c r="L55" s="572">
        <v>37.950000000000003</v>
      </c>
      <c r="M55" s="601"/>
      <c r="N55" s="570"/>
      <c r="V55" s="674"/>
      <c r="W55" s="675"/>
      <c r="X55" s="675"/>
      <c r="AB55" s="680"/>
      <c r="AE55" s="675" t="s">
        <v>327</v>
      </c>
    </row>
    <row r="56" spans="1:31" s="536" customFormat="1" ht="33.75" x14ac:dyDescent="0.2">
      <c r="A56" s="575" t="s">
        <v>625</v>
      </c>
      <c r="B56" s="684" t="s">
        <v>854</v>
      </c>
      <c r="C56" s="1823" t="s">
        <v>855</v>
      </c>
      <c r="D56" s="1823"/>
      <c r="E56" s="1823"/>
      <c r="F56" s="573" t="s">
        <v>617</v>
      </c>
      <c r="G56" s="573"/>
      <c r="H56" s="573"/>
      <c r="I56" s="573" t="s">
        <v>185</v>
      </c>
      <c r="J56" s="572">
        <v>17390.09</v>
      </c>
      <c r="K56" s="573" t="s">
        <v>629</v>
      </c>
      <c r="L56" s="572">
        <v>3834.2</v>
      </c>
      <c r="M56" s="571">
        <v>4.59</v>
      </c>
      <c r="N56" s="570">
        <v>17599</v>
      </c>
      <c r="V56" s="674"/>
      <c r="W56" s="675"/>
      <c r="X56" s="675" t="s">
        <v>855</v>
      </c>
      <c r="AB56" s="680"/>
      <c r="AE56" s="675"/>
    </row>
    <row r="57" spans="1:31" s="536" customFormat="1" ht="12" x14ac:dyDescent="0.2">
      <c r="A57" s="569"/>
      <c r="B57" s="683"/>
      <c r="C57" s="689" t="s">
        <v>630</v>
      </c>
      <c r="D57" s="690"/>
      <c r="E57" s="690"/>
      <c r="F57" s="563"/>
      <c r="G57" s="563"/>
      <c r="H57" s="563"/>
      <c r="I57" s="563"/>
      <c r="J57" s="566"/>
      <c r="K57" s="563"/>
      <c r="L57" s="566"/>
      <c r="M57" s="565"/>
      <c r="N57" s="564"/>
      <c r="V57" s="674"/>
      <c r="W57" s="675"/>
      <c r="X57" s="675"/>
      <c r="AB57" s="680"/>
      <c r="AE57" s="675"/>
    </row>
    <row r="58" spans="1:31" s="536" customFormat="1" ht="22.5" x14ac:dyDescent="0.2">
      <c r="A58" s="609"/>
      <c r="B58" s="552" t="s">
        <v>631</v>
      </c>
      <c r="C58" s="1822" t="s">
        <v>632</v>
      </c>
      <c r="D58" s="1822"/>
      <c r="E58" s="1822"/>
      <c r="F58" s="1822"/>
      <c r="G58" s="1822"/>
      <c r="H58" s="1822"/>
      <c r="I58" s="1822"/>
      <c r="J58" s="1822"/>
      <c r="K58" s="1822"/>
      <c r="L58" s="1822"/>
      <c r="M58" s="1822"/>
      <c r="N58" s="1827"/>
      <c r="V58" s="674"/>
      <c r="W58" s="675"/>
      <c r="X58" s="675"/>
      <c r="Z58" s="537" t="s">
        <v>632</v>
      </c>
      <c r="AB58" s="680"/>
      <c r="AE58" s="675"/>
    </row>
    <row r="59" spans="1:31" s="536" customFormat="1" ht="22.5" x14ac:dyDescent="0.2">
      <c r="A59" s="575" t="s">
        <v>187</v>
      </c>
      <c r="B59" s="684" t="s">
        <v>841</v>
      </c>
      <c r="C59" s="1823" t="s">
        <v>842</v>
      </c>
      <c r="D59" s="1823"/>
      <c r="E59" s="1823"/>
      <c r="F59" s="573" t="s">
        <v>307</v>
      </c>
      <c r="G59" s="573"/>
      <c r="H59" s="573"/>
      <c r="I59" s="573" t="s">
        <v>856</v>
      </c>
      <c r="J59" s="572"/>
      <c r="K59" s="573"/>
      <c r="L59" s="572"/>
      <c r="M59" s="571"/>
      <c r="N59" s="570"/>
      <c r="V59" s="674"/>
      <c r="W59" s="675"/>
      <c r="X59" s="675" t="s">
        <v>842</v>
      </c>
      <c r="AB59" s="680"/>
      <c r="AE59" s="675"/>
    </row>
    <row r="60" spans="1:31" s="536" customFormat="1" ht="12" x14ac:dyDescent="0.2">
      <c r="A60" s="676"/>
      <c r="B60" s="682"/>
      <c r="C60" s="1822" t="s">
        <v>857</v>
      </c>
      <c r="D60" s="1822"/>
      <c r="E60" s="1822"/>
      <c r="F60" s="1822"/>
      <c r="G60" s="1822"/>
      <c r="H60" s="1822"/>
      <c r="I60" s="1822"/>
      <c r="J60" s="1822"/>
      <c r="K60" s="1822"/>
      <c r="L60" s="1822"/>
      <c r="M60" s="1822"/>
      <c r="N60" s="1827"/>
      <c r="V60" s="674"/>
      <c r="W60" s="675"/>
      <c r="X60" s="675"/>
      <c r="Y60" s="537" t="s">
        <v>857</v>
      </c>
      <c r="AB60" s="680"/>
      <c r="AE60" s="675"/>
    </row>
    <row r="61" spans="1:31" s="536" customFormat="1" ht="22.5" x14ac:dyDescent="0.2">
      <c r="A61" s="609"/>
      <c r="B61" s="552" t="s">
        <v>499</v>
      </c>
      <c r="C61" s="1822" t="s">
        <v>500</v>
      </c>
      <c r="D61" s="1822"/>
      <c r="E61" s="1822"/>
      <c r="F61" s="1822"/>
      <c r="G61" s="1822"/>
      <c r="H61" s="1822"/>
      <c r="I61" s="1822"/>
      <c r="J61" s="1822"/>
      <c r="K61" s="1822"/>
      <c r="L61" s="1822"/>
      <c r="M61" s="1822"/>
      <c r="N61" s="1827"/>
      <c r="V61" s="674"/>
      <c r="W61" s="675"/>
      <c r="X61" s="675"/>
      <c r="Z61" s="537" t="s">
        <v>500</v>
      </c>
      <c r="AB61" s="680"/>
      <c r="AE61" s="675"/>
    </row>
    <row r="62" spans="1:31" s="536" customFormat="1" ht="12" x14ac:dyDescent="0.2">
      <c r="A62" s="605"/>
      <c r="B62" s="552" t="s">
        <v>185</v>
      </c>
      <c r="C62" s="1822" t="s">
        <v>312</v>
      </c>
      <c r="D62" s="1822"/>
      <c r="E62" s="1822"/>
      <c r="F62" s="562"/>
      <c r="G62" s="562"/>
      <c r="H62" s="562"/>
      <c r="I62" s="562"/>
      <c r="J62" s="604">
        <v>542.95000000000005</v>
      </c>
      <c r="K62" s="562" t="s">
        <v>313</v>
      </c>
      <c r="L62" s="604">
        <v>33.93</v>
      </c>
      <c r="M62" s="603"/>
      <c r="N62" s="602"/>
      <c r="V62" s="674"/>
      <c r="W62" s="675"/>
      <c r="X62" s="675"/>
      <c r="AA62" s="537" t="s">
        <v>312</v>
      </c>
      <c r="AB62" s="680"/>
      <c r="AE62" s="675"/>
    </row>
    <row r="63" spans="1:31" s="536" customFormat="1" ht="12" x14ac:dyDescent="0.2">
      <c r="A63" s="605"/>
      <c r="B63" s="552" t="s">
        <v>186</v>
      </c>
      <c r="C63" s="1822" t="s">
        <v>344</v>
      </c>
      <c r="D63" s="1822"/>
      <c r="E63" s="1822"/>
      <c r="F63" s="562"/>
      <c r="G63" s="562"/>
      <c r="H63" s="562"/>
      <c r="I63" s="562"/>
      <c r="J63" s="604">
        <v>216.38</v>
      </c>
      <c r="K63" s="562" t="s">
        <v>313</v>
      </c>
      <c r="L63" s="604">
        <v>13.52</v>
      </c>
      <c r="M63" s="603"/>
      <c r="N63" s="602"/>
      <c r="V63" s="674"/>
      <c r="W63" s="675"/>
      <c r="X63" s="675"/>
      <c r="AA63" s="537" t="s">
        <v>344</v>
      </c>
      <c r="AB63" s="680"/>
      <c r="AE63" s="675"/>
    </row>
    <row r="64" spans="1:31" s="536" customFormat="1" ht="12" x14ac:dyDescent="0.2">
      <c r="A64" s="605"/>
      <c r="B64" s="552" t="s">
        <v>187</v>
      </c>
      <c r="C64" s="1822" t="s">
        <v>345</v>
      </c>
      <c r="D64" s="1822"/>
      <c r="E64" s="1822"/>
      <c r="F64" s="562"/>
      <c r="G64" s="562"/>
      <c r="H64" s="562"/>
      <c r="I64" s="562"/>
      <c r="J64" s="604">
        <v>52.01</v>
      </c>
      <c r="K64" s="562" t="s">
        <v>313</v>
      </c>
      <c r="L64" s="604">
        <v>3.25</v>
      </c>
      <c r="M64" s="603"/>
      <c r="N64" s="602"/>
      <c r="V64" s="674"/>
      <c r="W64" s="675"/>
      <c r="X64" s="675"/>
      <c r="AA64" s="537" t="s">
        <v>345</v>
      </c>
      <c r="AB64" s="680"/>
      <c r="AE64" s="675"/>
    </row>
    <row r="65" spans="1:31" s="536" customFormat="1" ht="12" x14ac:dyDescent="0.2">
      <c r="A65" s="605"/>
      <c r="B65" s="552" t="s">
        <v>188</v>
      </c>
      <c r="C65" s="1822" t="s">
        <v>475</v>
      </c>
      <c r="D65" s="1822"/>
      <c r="E65" s="1822"/>
      <c r="F65" s="562"/>
      <c r="G65" s="562"/>
      <c r="H65" s="562"/>
      <c r="I65" s="562"/>
      <c r="J65" s="604">
        <v>1633.36</v>
      </c>
      <c r="K65" s="562"/>
      <c r="L65" s="604">
        <v>81.67</v>
      </c>
      <c r="M65" s="603"/>
      <c r="N65" s="602"/>
      <c r="V65" s="674"/>
      <c r="W65" s="675"/>
      <c r="X65" s="675"/>
      <c r="AA65" s="537" t="s">
        <v>475</v>
      </c>
      <c r="AB65" s="680"/>
      <c r="AE65" s="675"/>
    </row>
    <row r="66" spans="1:31" s="536" customFormat="1" ht="12" x14ac:dyDescent="0.2">
      <c r="A66" s="676"/>
      <c r="B66" s="677" t="s">
        <v>9203</v>
      </c>
      <c r="C66" s="1829" t="s">
        <v>9204</v>
      </c>
      <c r="D66" s="1829"/>
      <c r="E66" s="1829"/>
      <c r="F66" s="678" t="s">
        <v>617</v>
      </c>
      <c r="G66" s="678" t="s">
        <v>844</v>
      </c>
      <c r="H66" s="678"/>
      <c r="I66" s="678" t="s">
        <v>189</v>
      </c>
      <c r="J66" s="552"/>
      <c r="K66" s="562"/>
      <c r="L66" s="604"/>
      <c r="M66" s="562"/>
      <c r="N66" s="679"/>
      <c r="V66" s="674"/>
      <c r="W66" s="675"/>
      <c r="X66" s="675"/>
      <c r="AB66" s="680" t="s">
        <v>9204</v>
      </c>
      <c r="AE66" s="675"/>
    </row>
    <row r="67" spans="1:31" s="536" customFormat="1" ht="12" x14ac:dyDescent="0.2">
      <c r="A67" s="605"/>
      <c r="B67" s="552"/>
      <c r="C67" s="1822" t="s">
        <v>314</v>
      </c>
      <c r="D67" s="1822"/>
      <c r="E67" s="1822"/>
      <c r="F67" s="562" t="s">
        <v>315</v>
      </c>
      <c r="G67" s="562" t="s">
        <v>845</v>
      </c>
      <c r="H67" s="562" t="s">
        <v>313</v>
      </c>
      <c r="I67" s="562" t="s">
        <v>858</v>
      </c>
      <c r="J67" s="604"/>
      <c r="K67" s="562"/>
      <c r="L67" s="604"/>
      <c r="M67" s="603"/>
      <c r="N67" s="602"/>
      <c r="V67" s="674"/>
      <c r="W67" s="675"/>
      <c r="X67" s="675"/>
      <c r="AB67" s="680"/>
      <c r="AC67" s="537" t="s">
        <v>314</v>
      </c>
      <c r="AE67" s="675"/>
    </row>
    <row r="68" spans="1:31" s="536" customFormat="1" ht="12" x14ac:dyDescent="0.2">
      <c r="A68" s="605"/>
      <c r="B68" s="552"/>
      <c r="C68" s="1822" t="s">
        <v>348</v>
      </c>
      <c r="D68" s="1822"/>
      <c r="E68" s="1822"/>
      <c r="F68" s="562" t="s">
        <v>315</v>
      </c>
      <c r="G68" s="562" t="s">
        <v>847</v>
      </c>
      <c r="H68" s="562" t="s">
        <v>313</v>
      </c>
      <c r="I68" s="562" t="s">
        <v>859</v>
      </c>
      <c r="J68" s="604"/>
      <c r="K68" s="562"/>
      <c r="L68" s="604"/>
      <c r="M68" s="603"/>
      <c r="N68" s="602"/>
      <c r="V68" s="674"/>
      <c r="W68" s="675"/>
      <c r="X68" s="675"/>
      <c r="AB68" s="680"/>
      <c r="AC68" s="537" t="s">
        <v>348</v>
      </c>
      <c r="AE68" s="675"/>
    </row>
    <row r="69" spans="1:31" s="536" customFormat="1" ht="12" x14ac:dyDescent="0.2">
      <c r="A69" s="605"/>
      <c r="B69" s="552"/>
      <c r="C69" s="1828" t="s">
        <v>318</v>
      </c>
      <c r="D69" s="1828"/>
      <c r="E69" s="1828"/>
      <c r="F69" s="608"/>
      <c r="G69" s="608"/>
      <c r="H69" s="608"/>
      <c r="I69" s="608"/>
      <c r="J69" s="607">
        <v>2392.69</v>
      </c>
      <c r="K69" s="608"/>
      <c r="L69" s="607">
        <v>129.12</v>
      </c>
      <c r="M69" s="601"/>
      <c r="N69" s="606"/>
      <c r="V69" s="674"/>
      <c r="W69" s="675"/>
      <c r="X69" s="675"/>
      <c r="AB69" s="680"/>
      <c r="AD69" s="537" t="s">
        <v>318</v>
      </c>
      <c r="AE69" s="675"/>
    </row>
    <row r="70" spans="1:31" s="536" customFormat="1" ht="12" x14ac:dyDescent="0.2">
      <c r="A70" s="605"/>
      <c r="B70" s="552"/>
      <c r="C70" s="1822" t="s">
        <v>319</v>
      </c>
      <c r="D70" s="1822"/>
      <c r="E70" s="1822"/>
      <c r="F70" s="562"/>
      <c r="G70" s="562"/>
      <c r="H70" s="562"/>
      <c r="I70" s="562"/>
      <c r="J70" s="604"/>
      <c r="K70" s="562"/>
      <c r="L70" s="604">
        <v>37.18</v>
      </c>
      <c r="M70" s="603"/>
      <c r="N70" s="602"/>
      <c r="V70" s="674"/>
      <c r="W70" s="675"/>
      <c r="X70" s="675"/>
      <c r="AB70" s="680"/>
      <c r="AC70" s="537" t="s">
        <v>319</v>
      </c>
      <c r="AE70" s="675"/>
    </row>
    <row r="71" spans="1:31" s="536" customFormat="1" ht="33.75" x14ac:dyDescent="0.2">
      <c r="A71" s="605"/>
      <c r="B71" s="552" t="s">
        <v>849</v>
      </c>
      <c r="C71" s="1822" t="s">
        <v>850</v>
      </c>
      <c r="D71" s="1822"/>
      <c r="E71" s="1822"/>
      <c r="F71" s="562" t="s">
        <v>322</v>
      </c>
      <c r="G71" s="562" t="s">
        <v>851</v>
      </c>
      <c r="H71" s="562"/>
      <c r="I71" s="562" t="s">
        <v>851</v>
      </c>
      <c r="J71" s="604"/>
      <c r="K71" s="562"/>
      <c r="L71" s="604">
        <v>40.15</v>
      </c>
      <c r="M71" s="603"/>
      <c r="N71" s="602"/>
      <c r="V71" s="674"/>
      <c r="W71" s="675"/>
      <c r="X71" s="675"/>
      <c r="AB71" s="680"/>
      <c r="AC71" s="537" t="s">
        <v>850</v>
      </c>
      <c r="AE71" s="675"/>
    </row>
    <row r="72" spans="1:31" s="536" customFormat="1" ht="33.75" x14ac:dyDescent="0.2">
      <c r="A72" s="605"/>
      <c r="B72" s="552" t="s">
        <v>852</v>
      </c>
      <c r="C72" s="1822" t="s">
        <v>853</v>
      </c>
      <c r="D72" s="1822"/>
      <c r="E72" s="1822"/>
      <c r="F72" s="562" t="s">
        <v>322</v>
      </c>
      <c r="G72" s="562" t="s">
        <v>789</v>
      </c>
      <c r="H72" s="562"/>
      <c r="I72" s="562" t="s">
        <v>789</v>
      </c>
      <c r="J72" s="604"/>
      <c r="K72" s="562"/>
      <c r="L72" s="604">
        <v>20.45</v>
      </c>
      <c r="M72" s="603"/>
      <c r="N72" s="602"/>
      <c r="V72" s="674"/>
      <c r="W72" s="675"/>
      <c r="X72" s="675"/>
      <c r="AB72" s="680"/>
      <c r="AC72" s="537" t="s">
        <v>853</v>
      </c>
      <c r="AE72" s="675"/>
    </row>
    <row r="73" spans="1:31" s="536" customFormat="1" ht="12" x14ac:dyDescent="0.2">
      <c r="A73" s="569"/>
      <c r="B73" s="683"/>
      <c r="C73" s="1823" t="s">
        <v>327</v>
      </c>
      <c r="D73" s="1823"/>
      <c r="E73" s="1823"/>
      <c r="F73" s="573"/>
      <c r="G73" s="573"/>
      <c r="H73" s="573"/>
      <c r="I73" s="573"/>
      <c r="J73" s="572"/>
      <c r="K73" s="573"/>
      <c r="L73" s="572">
        <v>189.72</v>
      </c>
      <c r="M73" s="601"/>
      <c r="N73" s="570"/>
      <c r="V73" s="674"/>
      <c r="W73" s="675"/>
      <c r="X73" s="675"/>
      <c r="AB73" s="680"/>
      <c r="AE73" s="675" t="s">
        <v>327</v>
      </c>
    </row>
    <row r="74" spans="1:31" s="536" customFormat="1" ht="22.5" x14ac:dyDescent="0.2">
      <c r="A74" s="575" t="s">
        <v>188</v>
      </c>
      <c r="B74" s="684" t="s">
        <v>860</v>
      </c>
      <c r="C74" s="1823" t="s">
        <v>861</v>
      </c>
      <c r="D74" s="1823"/>
      <c r="E74" s="1823"/>
      <c r="F74" s="573" t="s">
        <v>862</v>
      </c>
      <c r="G74" s="573"/>
      <c r="H74" s="573"/>
      <c r="I74" s="573" t="s">
        <v>863</v>
      </c>
      <c r="J74" s="572"/>
      <c r="K74" s="573"/>
      <c r="L74" s="572"/>
      <c r="M74" s="571"/>
      <c r="N74" s="570"/>
      <c r="V74" s="674"/>
      <c r="W74" s="675"/>
      <c r="X74" s="675" t="s">
        <v>861</v>
      </c>
      <c r="AB74" s="680"/>
      <c r="AE74" s="675"/>
    </row>
    <row r="75" spans="1:31" s="536" customFormat="1" ht="12" x14ac:dyDescent="0.2">
      <c r="A75" s="676"/>
      <c r="B75" s="682"/>
      <c r="C75" s="1822" t="s">
        <v>864</v>
      </c>
      <c r="D75" s="1822"/>
      <c r="E75" s="1822"/>
      <c r="F75" s="1822"/>
      <c r="G75" s="1822"/>
      <c r="H75" s="1822"/>
      <c r="I75" s="1822"/>
      <c r="J75" s="1822"/>
      <c r="K75" s="1822"/>
      <c r="L75" s="1822"/>
      <c r="M75" s="1822"/>
      <c r="N75" s="1827"/>
      <c r="V75" s="674"/>
      <c r="W75" s="675"/>
      <c r="X75" s="675"/>
      <c r="Y75" s="537" t="s">
        <v>864</v>
      </c>
      <c r="AB75" s="680"/>
      <c r="AE75" s="675"/>
    </row>
    <row r="76" spans="1:31" s="536" customFormat="1" ht="22.5" x14ac:dyDescent="0.2">
      <c r="A76" s="609"/>
      <c r="B76" s="552" t="s">
        <v>499</v>
      </c>
      <c r="C76" s="1822" t="s">
        <v>500</v>
      </c>
      <c r="D76" s="1822"/>
      <c r="E76" s="1822"/>
      <c r="F76" s="1822"/>
      <c r="G76" s="1822"/>
      <c r="H76" s="1822"/>
      <c r="I76" s="1822"/>
      <c r="J76" s="1822"/>
      <c r="K76" s="1822"/>
      <c r="L76" s="1822"/>
      <c r="M76" s="1822"/>
      <c r="N76" s="1827"/>
      <c r="V76" s="674"/>
      <c r="W76" s="675"/>
      <c r="X76" s="675"/>
      <c r="Z76" s="537" t="s">
        <v>500</v>
      </c>
      <c r="AB76" s="680"/>
      <c r="AE76" s="675"/>
    </row>
    <row r="77" spans="1:31" s="536" customFormat="1" ht="12" x14ac:dyDescent="0.2">
      <c r="A77" s="605"/>
      <c r="B77" s="552" t="s">
        <v>185</v>
      </c>
      <c r="C77" s="1822" t="s">
        <v>312</v>
      </c>
      <c r="D77" s="1822"/>
      <c r="E77" s="1822"/>
      <c r="F77" s="562"/>
      <c r="G77" s="562"/>
      <c r="H77" s="562"/>
      <c r="I77" s="562"/>
      <c r="J77" s="604">
        <v>1013.08</v>
      </c>
      <c r="K77" s="562" t="s">
        <v>313</v>
      </c>
      <c r="L77" s="604">
        <v>6.84</v>
      </c>
      <c r="M77" s="603"/>
      <c r="N77" s="602"/>
      <c r="V77" s="674"/>
      <c r="W77" s="675"/>
      <c r="X77" s="675"/>
      <c r="AA77" s="537" t="s">
        <v>312</v>
      </c>
      <c r="AB77" s="680"/>
      <c r="AE77" s="675"/>
    </row>
    <row r="78" spans="1:31" s="536" customFormat="1" ht="12" x14ac:dyDescent="0.2">
      <c r="A78" s="605"/>
      <c r="B78" s="552" t="s">
        <v>186</v>
      </c>
      <c r="C78" s="1822" t="s">
        <v>344</v>
      </c>
      <c r="D78" s="1822"/>
      <c r="E78" s="1822"/>
      <c r="F78" s="562"/>
      <c r="G78" s="562"/>
      <c r="H78" s="562"/>
      <c r="I78" s="562"/>
      <c r="J78" s="604">
        <v>277.06</v>
      </c>
      <c r="K78" s="562" t="s">
        <v>313</v>
      </c>
      <c r="L78" s="604">
        <v>1.87</v>
      </c>
      <c r="M78" s="603"/>
      <c r="N78" s="602"/>
      <c r="V78" s="674"/>
      <c r="W78" s="675"/>
      <c r="X78" s="675"/>
      <c r="AA78" s="537" t="s">
        <v>344</v>
      </c>
      <c r="AB78" s="680"/>
      <c r="AE78" s="675"/>
    </row>
    <row r="79" spans="1:31" s="536" customFormat="1" ht="12" x14ac:dyDescent="0.2">
      <c r="A79" s="605"/>
      <c r="B79" s="552" t="s">
        <v>187</v>
      </c>
      <c r="C79" s="1822" t="s">
        <v>345</v>
      </c>
      <c r="D79" s="1822"/>
      <c r="E79" s="1822"/>
      <c r="F79" s="562"/>
      <c r="G79" s="562"/>
      <c r="H79" s="562"/>
      <c r="I79" s="562"/>
      <c r="J79" s="604">
        <v>46.04</v>
      </c>
      <c r="K79" s="562" t="s">
        <v>313</v>
      </c>
      <c r="L79" s="604">
        <v>0.31</v>
      </c>
      <c r="M79" s="603"/>
      <c r="N79" s="602"/>
      <c r="V79" s="674"/>
      <c r="W79" s="675"/>
      <c r="X79" s="675"/>
      <c r="AA79" s="537" t="s">
        <v>345</v>
      </c>
      <c r="AB79" s="680"/>
      <c r="AE79" s="675"/>
    </row>
    <row r="80" spans="1:31" s="536" customFormat="1" ht="12" x14ac:dyDescent="0.2">
      <c r="A80" s="605"/>
      <c r="B80" s="552" t="s">
        <v>188</v>
      </c>
      <c r="C80" s="1822" t="s">
        <v>475</v>
      </c>
      <c r="D80" s="1822"/>
      <c r="E80" s="1822"/>
      <c r="F80" s="562"/>
      <c r="G80" s="562"/>
      <c r="H80" s="562"/>
      <c r="I80" s="562"/>
      <c r="J80" s="604">
        <v>118.49</v>
      </c>
      <c r="K80" s="562"/>
      <c r="L80" s="604">
        <v>0.64</v>
      </c>
      <c r="M80" s="603"/>
      <c r="N80" s="602"/>
      <c r="V80" s="674"/>
      <c r="W80" s="675"/>
      <c r="X80" s="675"/>
      <c r="AA80" s="537" t="s">
        <v>475</v>
      </c>
      <c r="AB80" s="680"/>
      <c r="AE80" s="675"/>
    </row>
    <row r="81" spans="1:31" s="536" customFormat="1" ht="12" x14ac:dyDescent="0.2">
      <c r="A81" s="676"/>
      <c r="B81" s="677" t="s">
        <v>9205</v>
      </c>
      <c r="C81" s="1829" t="s">
        <v>9206</v>
      </c>
      <c r="D81" s="1829"/>
      <c r="E81" s="1829"/>
      <c r="F81" s="678" t="s">
        <v>865</v>
      </c>
      <c r="G81" s="678" t="s">
        <v>844</v>
      </c>
      <c r="H81" s="678"/>
      <c r="I81" s="678" t="s">
        <v>866</v>
      </c>
      <c r="J81" s="552"/>
      <c r="K81" s="562"/>
      <c r="L81" s="604"/>
      <c r="M81" s="562"/>
      <c r="N81" s="679"/>
      <c r="V81" s="674"/>
      <c r="W81" s="675"/>
      <c r="X81" s="675"/>
      <c r="AB81" s="680" t="s">
        <v>9206</v>
      </c>
      <c r="AE81" s="675"/>
    </row>
    <row r="82" spans="1:31" s="536" customFormat="1" ht="12" x14ac:dyDescent="0.2">
      <c r="A82" s="605"/>
      <c r="B82" s="552"/>
      <c r="C82" s="1822" t="s">
        <v>314</v>
      </c>
      <c r="D82" s="1822"/>
      <c r="E82" s="1822"/>
      <c r="F82" s="562" t="s">
        <v>315</v>
      </c>
      <c r="G82" s="562" t="s">
        <v>867</v>
      </c>
      <c r="H82" s="562" t="s">
        <v>313</v>
      </c>
      <c r="I82" s="562" t="s">
        <v>868</v>
      </c>
      <c r="J82" s="604"/>
      <c r="K82" s="562"/>
      <c r="L82" s="604"/>
      <c r="M82" s="603"/>
      <c r="N82" s="602"/>
      <c r="V82" s="674"/>
      <c r="W82" s="675"/>
      <c r="X82" s="675"/>
      <c r="AB82" s="680"/>
      <c r="AC82" s="537" t="s">
        <v>314</v>
      </c>
      <c r="AE82" s="675"/>
    </row>
    <row r="83" spans="1:31" s="536" customFormat="1" ht="12" x14ac:dyDescent="0.2">
      <c r="A83" s="605"/>
      <c r="B83" s="552"/>
      <c r="C83" s="1822" t="s">
        <v>348</v>
      </c>
      <c r="D83" s="1822"/>
      <c r="E83" s="1822"/>
      <c r="F83" s="562" t="s">
        <v>315</v>
      </c>
      <c r="G83" s="562" t="s">
        <v>869</v>
      </c>
      <c r="H83" s="562" t="s">
        <v>313</v>
      </c>
      <c r="I83" s="562" t="s">
        <v>870</v>
      </c>
      <c r="J83" s="604"/>
      <c r="K83" s="562"/>
      <c r="L83" s="604"/>
      <c r="M83" s="603"/>
      <c r="N83" s="602"/>
      <c r="V83" s="674"/>
      <c r="W83" s="675"/>
      <c r="X83" s="675"/>
      <c r="AB83" s="680"/>
      <c r="AC83" s="537" t="s">
        <v>348</v>
      </c>
      <c r="AE83" s="675"/>
    </row>
    <row r="84" spans="1:31" s="536" customFormat="1" ht="12" x14ac:dyDescent="0.2">
      <c r="A84" s="605"/>
      <c r="B84" s="552"/>
      <c r="C84" s="1828" t="s">
        <v>318</v>
      </c>
      <c r="D84" s="1828"/>
      <c r="E84" s="1828"/>
      <c r="F84" s="608"/>
      <c r="G84" s="608"/>
      <c r="H84" s="608"/>
      <c r="I84" s="608"/>
      <c r="J84" s="607">
        <v>1408.63</v>
      </c>
      <c r="K84" s="608"/>
      <c r="L84" s="607">
        <v>9.35</v>
      </c>
      <c r="M84" s="601"/>
      <c r="N84" s="606"/>
      <c r="V84" s="674"/>
      <c r="W84" s="675"/>
      <c r="X84" s="675"/>
      <c r="AB84" s="680"/>
      <c r="AD84" s="537" t="s">
        <v>318</v>
      </c>
      <c r="AE84" s="675"/>
    </row>
    <row r="85" spans="1:31" s="536" customFormat="1" ht="12" x14ac:dyDescent="0.2">
      <c r="A85" s="605"/>
      <c r="B85" s="552"/>
      <c r="C85" s="1822" t="s">
        <v>319</v>
      </c>
      <c r="D85" s="1822"/>
      <c r="E85" s="1822"/>
      <c r="F85" s="562"/>
      <c r="G85" s="562"/>
      <c r="H85" s="562"/>
      <c r="I85" s="562"/>
      <c r="J85" s="604"/>
      <c r="K85" s="562"/>
      <c r="L85" s="604">
        <v>7.15</v>
      </c>
      <c r="M85" s="603"/>
      <c r="N85" s="602"/>
      <c r="V85" s="674"/>
      <c r="W85" s="675"/>
      <c r="X85" s="675"/>
      <c r="AB85" s="680"/>
      <c r="AC85" s="537" t="s">
        <v>319</v>
      </c>
      <c r="AE85" s="675"/>
    </row>
    <row r="86" spans="1:31" s="536" customFormat="1" ht="33.75" x14ac:dyDescent="0.2">
      <c r="A86" s="605"/>
      <c r="B86" s="552" t="s">
        <v>849</v>
      </c>
      <c r="C86" s="1822" t="s">
        <v>850</v>
      </c>
      <c r="D86" s="1822"/>
      <c r="E86" s="1822"/>
      <c r="F86" s="562" t="s">
        <v>322</v>
      </c>
      <c r="G86" s="562" t="s">
        <v>851</v>
      </c>
      <c r="H86" s="562"/>
      <c r="I86" s="562" t="s">
        <v>851</v>
      </c>
      <c r="J86" s="604"/>
      <c r="K86" s="562"/>
      <c r="L86" s="604">
        <v>7.72</v>
      </c>
      <c r="M86" s="603"/>
      <c r="N86" s="602"/>
      <c r="V86" s="674"/>
      <c r="W86" s="675"/>
      <c r="X86" s="675"/>
      <c r="AB86" s="680"/>
      <c r="AC86" s="537" t="s">
        <v>850</v>
      </c>
      <c r="AE86" s="675"/>
    </row>
    <row r="87" spans="1:31" s="536" customFormat="1" ht="33.75" x14ac:dyDescent="0.2">
      <c r="A87" s="605"/>
      <c r="B87" s="552" t="s">
        <v>852</v>
      </c>
      <c r="C87" s="1822" t="s">
        <v>853</v>
      </c>
      <c r="D87" s="1822"/>
      <c r="E87" s="1822"/>
      <c r="F87" s="562" t="s">
        <v>322</v>
      </c>
      <c r="G87" s="562" t="s">
        <v>789</v>
      </c>
      <c r="H87" s="562"/>
      <c r="I87" s="562" t="s">
        <v>789</v>
      </c>
      <c r="J87" s="604"/>
      <c r="K87" s="562"/>
      <c r="L87" s="604">
        <v>3.93</v>
      </c>
      <c r="M87" s="603"/>
      <c r="N87" s="602"/>
      <c r="V87" s="674"/>
      <c r="W87" s="675"/>
      <c r="X87" s="675"/>
      <c r="AB87" s="680"/>
      <c r="AC87" s="537" t="s">
        <v>853</v>
      </c>
      <c r="AE87" s="675"/>
    </row>
    <row r="88" spans="1:31" s="536" customFormat="1" ht="12" x14ac:dyDescent="0.2">
      <c r="A88" s="569"/>
      <c r="B88" s="683"/>
      <c r="C88" s="1823" t="s">
        <v>327</v>
      </c>
      <c r="D88" s="1823"/>
      <c r="E88" s="1823"/>
      <c r="F88" s="573"/>
      <c r="G88" s="573"/>
      <c r="H88" s="573"/>
      <c r="I88" s="573"/>
      <c r="J88" s="572"/>
      <c r="K88" s="573"/>
      <c r="L88" s="572">
        <v>21</v>
      </c>
      <c r="M88" s="601"/>
      <c r="N88" s="570"/>
      <c r="V88" s="674"/>
      <c r="W88" s="675"/>
      <c r="X88" s="675"/>
      <c r="AB88" s="680"/>
      <c r="AE88" s="675" t="s">
        <v>327</v>
      </c>
    </row>
    <row r="89" spans="1:31" s="536" customFormat="1" ht="90" x14ac:dyDescent="0.2">
      <c r="A89" s="575" t="s">
        <v>871</v>
      </c>
      <c r="B89" s="684" t="s">
        <v>872</v>
      </c>
      <c r="C89" s="1823" t="s">
        <v>873</v>
      </c>
      <c r="D89" s="1823"/>
      <c r="E89" s="1823"/>
      <c r="F89" s="573" t="s">
        <v>617</v>
      </c>
      <c r="G89" s="573"/>
      <c r="H89" s="573"/>
      <c r="I89" s="573" t="s">
        <v>185</v>
      </c>
      <c r="J89" s="572">
        <v>34147.410000000003</v>
      </c>
      <c r="K89" s="573" t="s">
        <v>629</v>
      </c>
      <c r="L89" s="572">
        <v>7528.76</v>
      </c>
      <c r="M89" s="571">
        <v>4.59</v>
      </c>
      <c r="N89" s="570">
        <v>34557</v>
      </c>
      <c r="V89" s="674"/>
      <c r="W89" s="675"/>
      <c r="X89" s="675" t="s">
        <v>873</v>
      </c>
      <c r="AB89" s="680"/>
      <c r="AE89" s="675"/>
    </row>
    <row r="90" spans="1:31" s="536" customFormat="1" ht="12" x14ac:dyDescent="0.2">
      <c r="A90" s="569"/>
      <c r="B90" s="683"/>
      <c r="C90" s="689" t="s">
        <v>630</v>
      </c>
      <c r="D90" s="690"/>
      <c r="E90" s="690"/>
      <c r="F90" s="563"/>
      <c r="G90" s="563"/>
      <c r="H90" s="563"/>
      <c r="I90" s="563"/>
      <c r="J90" s="566"/>
      <c r="K90" s="563"/>
      <c r="L90" s="566"/>
      <c r="M90" s="565"/>
      <c r="N90" s="564"/>
      <c r="V90" s="674"/>
      <c r="W90" s="675"/>
      <c r="X90" s="675"/>
      <c r="AB90" s="680"/>
      <c r="AE90" s="675"/>
    </row>
    <row r="91" spans="1:31" s="536" customFormat="1" ht="22.5" x14ac:dyDescent="0.2">
      <c r="A91" s="609"/>
      <c r="B91" s="552" t="s">
        <v>631</v>
      </c>
      <c r="C91" s="1822" t="s">
        <v>632</v>
      </c>
      <c r="D91" s="1822"/>
      <c r="E91" s="1822"/>
      <c r="F91" s="1822"/>
      <c r="G91" s="1822"/>
      <c r="H91" s="1822"/>
      <c r="I91" s="1822"/>
      <c r="J91" s="1822"/>
      <c r="K91" s="1822"/>
      <c r="L91" s="1822"/>
      <c r="M91" s="1822"/>
      <c r="N91" s="1827"/>
      <c r="V91" s="674"/>
      <c r="W91" s="675"/>
      <c r="X91" s="675"/>
      <c r="Z91" s="537" t="s">
        <v>632</v>
      </c>
      <c r="AB91" s="680"/>
      <c r="AE91" s="675"/>
    </row>
    <row r="92" spans="1:31" s="536" customFormat="1" ht="33.75" x14ac:dyDescent="0.2">
      <c r="A92" s="575" t="s">
        <v>874</v>
      </c>
      <c r="B92" s="684" t="s">
        <v>877</v>
      </c>
      <c r="C92" s="1823" t="s">
        <v>878</v>
      </c>
      <c r="D92" s="1823"/>
      <c r="E92" s="1823"/>
      <c r="F92" s="573" t="s">
        <v>617</v>
      </c>
      <c r="G92" s="573"/>
      <c r="H92" s="573"/>
      <c r="I92" s="573" t="s">
        <v>185</v>
      </c>
      <c r="J92" s="572">
        <v>5052.1899999999996</v>
      </c>
      <c r="K92" s="573" t="s">
        <v>629</v>
      </c>
      <c r="L92" s="572">
        <v>1113.94</v>
      </c>
      <c r="M92" s="571">
        <v>4.59</v>
      </c>
      <c r="N92" s="570">
        <v>5113</v>
      </c>
      <c r="V92" s="674"/>
      <c r="W92" s="675"/>
      <c r="X92" s="675" t="s">
        <v>878</v>
      </c>
      <c r="AB92" s="680"/>
      <c r="AE92" s="675"/>
    </row>
    <row r="93" spans="1:31" s="536" customFormat="1" ht="12" x14ac:dyDescent="0.2">
      <c r="A93" s="569"/>
      <c r="B93" s="683"/>
      <c r="C93" s="689" t="s">
        <v>630</v>
      </c>
      <c r="D93" s="690"/>
      <c r="E93" s="690"/>
      <c r="F93" s="563"/>
      <c r="G93" s="563"/>
      <c r="H93" s="563"/>
      <c r="I93" s="563"/>
      <c r="J93" s="566"/>
      <c r="K93" s="563"/>
      <c r="L93" s="566"/>
      <c r="M93" s="565"/>
      <c r="N93" s="564"/>
      <c r="V93" s="674"/>
      <c r="W93" s="675"/>
      <c r="X93" s="675"/>
      <c r="AB93" s="680"/>
      <c r="AE93" s="675"/>
    </row>
    <row r="94" spans="1:31" s="536" customFormat="1" ht="22.5" x14ac:dyDescent="0.2">
      <c r="A94" s="609"/>
      <c r="B94" s="552" t="s">
        <v>631</v>
      </c>
      <c r="C94" s="1822" t="s">
        <v>632</v>
      </c>
      <c r="D94" s="1822"/>
      <c r="E94" s="1822"/>
      <c r="F94" s="1822"/>
      <c r="G94" s="1822"/>
      <c r="H94" s="1822"/>
      <c r="I94" s="1822"/>
      <c r="J94" s="1822"/>
      <c r="K94" s="1822"/>
      <c r="L94" s="1822"/>
      <c r="M94" s="1822"/>
      <c r="N94" s="1827"/>
      <c r="V94" s="674"/>
      <c r="W94" s="675"/>
      <c r="X94" s="675"/>
      <c r="Z94" s="537" t="s">
        <v>632</v>
      </c>
      <c r="AB94" s="680"/>
      <c r="AE94" s="675"/>
    </row>
    <row r="95" spans="1:31" s="536" customFormat="1" ht="33.75" x14ac:dyDescent="0.2">
      <c r="A95" s="575" t="s">
        <v>875</v>
      </c>
      <c r="B95" s="684" t="s">
        <v>879</v>
      </c>
      <c r="C95" s="1823" t="s">
        <v>880</v>
      </c>
      <c r="D95" s="1823"/>
      <c r="E95" s="1823"/>
      <c r="F95" s="573" t="s">
        <v>617</v>
      </c>
      <c r="G95" s="573"/>
      <c r="H95" s="573"/>
      <c r="I95" s="573" t="s">
        <v>188</v>
      </c>
      <c r="J95" s="572">
        <v>1622.66</v>
      </c>
      <c r="K95" s="573" t="s">
        <v>629</v>
      </c>
      <c r="L95" s="572">
        <v>1431.15</v>
      </c>
      <c r="M95" s="571">
        <v>4.59</v>
      </c>
      <c r="N95" s="570">
        <v>6569</v>
      </c>
      <c r="V95" s="674"/>
      <c r="W95" s="675"/>
      <c r="X95" s="675" t="s">
        <v>880</v>
      </c>
      <c r="AB95" s="680"/>
      <c r="AE95" s="675"/>
    </row>
    <row r="96" spans="1:31" s="536" customFormat="1" ht="12" x14ac:dyDescent="0.2">
      <c r="A96" s="569"/>
      <c r="B96" s="683"/>
      <c r="C96" s="689" t="s">
        <v>630</v>
      </c>
      <c r="D96" s="690"/>
      <c r="E96" s="690"/>
      <c r="F96" s="563"/>
      <c r="G96" s="563"/>
      <c r="H96" s="563"/>
      <c r="I96" s="563"/>
      <c r="J96" s="566"/>
      <c r="K96" s="563"/>
      <c r="L96" s="566"/>
      <c r="M96" s="565"/>
      <c r="N96" s="564"/>
      <c r="V96" s="674"/>
      <c r="W96" s="675"/>
      <c r="X96" s="675"/>
      <c r="AB96" s="680"/>
      <c r="AE96" s="675"/>
    </row>
    <row r="97" spans="1:31" s="536" customFormat="1" ht="22.5" x14ac:dyDescent="0.2">
      <c r="A97" s="609"/>
      <c r="B97" s="552" t="s">
        <v>631</v>
      </c>
      <c r="C97" s="1822" t="s">
        <v>632</v>
      </c>
      <c r="D97" s="1822"/>
      <c r="E97" s="1822"/>
      <c r="F97" s="1822"/>
      <c r="G97" s="1822"/>
      <c r="H97" s="1822"/>
      <c r="I97" s="1822"/>
      <c r="J97" s="1822"/>
      <c r="K97" s="1822"/>
      <c r="L97" s="1822"/>
      <c r="M97" s="1822"/>
      <c r="N97" s="1827"/>
      <c r="V97" s="674"/>
      <c r="W97" s="675"/>
      <c r="X97" s="675"/>
      <c r="Z97" s="537" t="s">
        <v>632</v>
      </c>
      <c r="AB97" s="680"/>
      <c r="AE97" s="675"/>
    </row>
    <row r="98" spans="1:31" s="536" customFormat="1" ht="33.75" x14ac:dyDescent="0.2">
      <c r="A98" s="575" t="s">
        <v>660</v>
      </c>
      <c r="B98" s="684" t="s">
        <v>882</v>
      </c>
      <c r="C98" s="1823" t="s">
        <v>883</v>
      </c>
      <c r="D98" s="1823"/>
      <c r="E98" s="1823"/>
      <c r="F98" s="573" t="s">
        <v>617</v>
      </c>
      <c r="G98" s="573"/>
      <c r="H98" s="573"/>
      <c r="I98" s="573" t="s">
        <v>185</v>
      </c>
      <c r="J98" s="572">
        <v>27879.09</v>
      </c>
      <c r="K98" s="573" t="s">
        <v>629</v>
      </c>
      <c r="L98" s="572">
        <v>6146.84</v>
      </c>
      <c r="M98" s="571">
        <v>4.59</v>
      </c>
      <c r="N98" s="570">
        <v>28214</v>
      </c>
      <c r="V98" s="674"/>
      <c r="W98" s="675"/>
      <c r="X98" s="675" t="s">
        <v>883</v>
      </c>
      <c r="AB98" s="680"/>
      <c r="AE98" s="675"/>
    </row>
    <row r="99" spans="1:31" s="536" customFormat="1" ht="12" x14ac:dyDescent="0.2">
      <c r="A99" s="569"/>
      <c r="B99" s="683"/>
      <c r="C99" s="689" t="s">
        <v>630</v>
      </c>
      <c r="D99" s="690"/>
      <c r="E99" s="690"/>
      <c r="F99" s="563"/>
      <c r="G99" s="563"/>
      <c r="H99" s="563"/>
      <c r="I99" s="563"/>
      <c r="J99" s="566"/>
      <c r="K99" s="563"/>
      <c r="L99" s="566"/>
      <c r="M99" s="565"/>
      <c r="N99" s="564"/>
      <c r="V99" s="674"/>
      <c r="W99" s="675"/>
      <c r="X99" s="675"/>
      <c r="AB99" s="680"/>
      <c r="AE99" s="675"/>
    </row>
    <row r="100" spans="1:31" s="536" customFormat="1" ht="22.5" x14ac:dyDescent="0.2">
      <c r="A100" s="609"/>
      <c r="B100" s="552" t="s">
        <v>631</v>
      </c>
      <c r="C100" s="1822" t="s">
        <v>632</v>
      </c>
      <c r="D100" s="1822"/>
      <c r="E100" s="1822"/>
      <c r="F100" s="1822"/>
      <c r="G100" s="1822"/>
      <c r="H100" s="1822"/>
      <c r="I100" s="1822"/>
      <c r="J100" s="1822"/>
      <c r="K100" s="1822"/>
      <c r="L100" s="1822"/>
      <c r="M100" s="1822"/>
      <c r="N100" s="1827"/>
      <c r="V100" s="674"/>
      <c r="W100" s="675"/>
      <c r="X100" s="675"/>
      <c r="Z100" s="537" t="s">
        <v>632</v>
      </c>
      <c r="AB100" s="680"/>
      <c r="AE100" s="675"/>
    </row>
    <row r="101" spans="1:31" s="536" customFormat="1" ht="12" x14ac:dyDescent="0.2">
      <c r="A101" s="1830" t="s">
        <v>900</v>
      </c>
      <c r="B101" s="1831"/>
      <c r="C101" s="1831"/>
      <c r="D101" s="1831"/>
      <c r="E101" s="1831"/>
      <c r="F101" s="1831"/>
      <c r="G101" s="1831"/>
      <c r="H101" s="1831"/>
      <c r="I101" s="1831"/>
      <c r="J101" s="1831"/>
      <c r="K101" s="1831"/>
      <c r="L101" s="1831"/>
      <c r="M101" s="1831"/>
      <c r="N101" s="1832"/>
      <c r="V101" s="674"/>
      <c r="W101" s="675" t="s">
        <v>900</v>
      </c>
      <c r="X101" s="675"/>
      <c r="AB101" s="680"/>
      <c r="AE101" s="675"/>
    </row>
    <row r="102" spans="1:31" s="536" customFormat="1" ht="78.75" x14ac:dyDescent="0.2">
      <c r="A102" s="575" t="s">
        <v>876</v>
      </c>
      <c r="B102" s="684" t="s">
        <v>901</v>
      </c>
      <c r="C102" s="1823" t="s">
        <v>902</v>
      </c>
      <c r="D102" s="1823"/>
      <c r="E102" s="1823"/>
      <c r="F102" s="573" t="s">
        <v>617</v>
      </c>
      <c r="G102" s="573"/>
      <c r="H102" s="573"/>
      <c r="I102" s="573" t="s">
        <v>186</v>
      </c>
      <c r="J102" s="572">
        <v>30656.560000000001</v>
      </c>
      <c r="K102" s="573" t="s">
        <v>903</v>
      </c>
      <c r="L102" s="572">
        <v>14059.04</v>
      </c>
      <c r="M102" s="571">
        <v>4.59</v>
      </c>
      <c r="N102" s="570">
        <v>64531</v>
      </c>
      <c r="V102" s="674"/>
      <c r="W102" s="675"/>
      <c r="X102" s="675" t="s">
        <v>902</v>
      </c>
      <c r="AB102" s="680"/>
      <c r="AE102" s="675"/>
    </row>
    <row r="103" spans="1:31" s="536" customFormat="1" ht="12" x14ac:dyDescent="0.2">
      <c r="A103" s="569"/>
      <c r="B103" s="683"/>
      <c r="C103" s="689" t="s">
        <v>630</v>
      </c>
      <c r="D103" s="690"/>
      <c r="E103" s="690"/>
      <c r="F103" s="563"/>
      <c r="G103" s="563"/>
      <c r="H103" s="563"/>
      <c r="I103" s="563"/>
      <c r="J103" s="566"/>
      <c r="K103" s="563"/>
      <c r="L103" s="566"/>
      <c r="M103" s="565"/>
      <c r="N103" s="564"/>
      <c r="V103" s="674"/>
      <c r="W103" s="675"/>
      <c r="X103" s="675"/>
      <c r="AB103" s="680"/>
      <c r="AE103" s="675"/>
    </row>
    <row r="104" spans="1:31" s="536" customFormat="1" ht="67.5" x14ac:dyDescent="0.2">
      <c r="A104" s="609"/>
      <c r="B104" s="552" t="s">
        <v>904</v>
      </c>
      <c r="C104" s="1822" t="s">
        <v>905</v>
      </c>
      <c r="D104" s="1822"/>
      <c r="E104" s="1822"/>
      <c r="F104" s="1822"/>
      <c r="G104" s="1822"/>
      <c r="H104" s="1822"/>
      <c r="I104" s="1822"/>
      <c r="J104" s="1822"/>
      <c r="K104" s="1822"/>
      <c r="L104" s="1822"/>
      <c r="M104" s="1822"/>
      <c r="N104" s="1827"/>
      <c r="V104" s="674"/>
      <c r="W104" s="675"/>
      <c r="X104" s="675"/>
      <c r="Z104" s="537" t="s">
        <v>905</v>
      </c>
      <c r="AB104" s="680"/>
      <c r="AE104" s="675"/>
    </row>
    <row r="105" spans="1:31" s="536" customFormat="1" ht="22.5" x14ac:dyDescent="0.2">
      <c r="A105" s="609"/>
      <c r="B105" s="552" t="s">
        <v>631</v>
      </c>
      <c r="C105" s="1822" t="s">
        <v>632</v>
      </c>
      <c r="D105" s="1822"/>
      <c r="E105" s="1822"/>
      <c r="F105" s="1822"/>
      <c r="G105" s="1822"/>
      <c r="H105" s="1822"/>
      <c r="I105" s="1822"/>
      <c r="J105" s="1822"/>
      <c r="K105" s="1822"/>
      <c r="L105" s="1822"/>
      <c r="M105" s="1822"/>
      <c r="N105" s="1827"/>
      <c r="V105" s="674"/>
      <c r="W105" s="675"/>
      <c r="X105" s="675"/>
      <c r="Z105" s="537" t="s">
        <v>632</v>
      </c>
      <c r="AB105" s="680"/>
      <c r="AE105" s="675"/>
    </row>
    <row r="106" spans="1:31" s="536" customFormat="1" ht="12" x14ac:dyDescent="0.2">
      <c r="A106" s="1830" t="s">
        <v>906</v>
      </c>
      <c r="B106" s="1831"/>
      <c r="C106" s="1831"/>
      <c r="D106" s="1831"/>
      <c r="E106" s="1831"/>
      <c r="F106" s="1831"/>
      <c r="G106" s="1831"/>
      <c r="H106" s="1831"/>
      <c r="I106" s="1831"/>
      <c r="J106" s="1831"/>
      <c r="K106" s="1831"/>
      <c r="L106" s="1831"/>
      <c r="M106" s="1831"/>
      <c r="N106" s="1832"/>
      <c r="V106" s="674"/>
      <c r="W106" s="675" t="s">
        <v>906</v>
      </c>
      <c r="X106" s="675"/>
      <c r="AB106" s="680"/>
      <c r="AE106" s="675"/>
    </row>
    <row r="107" spans="1:31" s="536" customFormat="1" ht="33.75" x14ac:dyDescent="0.2">
      <c r="A107" s="575" t="s">
        <v>664</v>
      </c>
      <c r="B107" s="684" t="s">
        <v>908</v>
      </c>
      <c r="C107" s="1823" t="s">
        <v>909</v>
      </c>
      <c r="D107" s="1823"/>
      <c r="E107" s="1823"/>
      <c r="F107" s="573" t="s">
        <v>617</v>
      </c>
      <c r="G107" s="573"/>
      <c r="H107" s="573"/>
      <c r="I107" s="573" t="s">
        <v>185</v>
      </c>
      <c r="J107" s="572">
        <v>9648.34</v>
      </c>
      <c r="K107" s="573" t="s">
        <v>903</v>
      </c>
      <c r="L107" s="572">
        <v>2212.42</v>
      </c>
      <c r="M107" s="571">
        <v>4.59</v>
      </c>
      <c r="N107" s="570">
        <v>10155</v>
      </c>
      <c r="V107" s="674"/>
      <c r="W107" s="675"/>
      <c r="X107" s="675" t="s">
        <v>909</v>
      </c>
      <c r="AB107" s="680"/>
      <c r="AE107" s="675"/>
    </row>
    <row r="108" spans="1:31" s="536" customFormat="1" ht="12" x14ac:dyDescent="0.2">
      <c r="A108" s="569"/>
      <c r="B108" s="683"/>
      <c r="C108" s="689" t="s">
        <v>630</v>
      </c>
      <c r="D108" s="690"/>
      <c r="E108" s="690"/>
      <c r="F108" s="563"/>
      <c r="G108" s="563"/>
      <c r="H108" s="563"/>
      <c r="I108" s="563"/>
      <c r="J108" s="566"/>
      <c r="K108" s="563"/>
      <c r="L108" s="566"/>
      <c r="M108" s="565"/>
      <c r="N108" s="564"/>
      <c r="V108" s="674"/>
      <c r="W108" s="675"/>
      <c r="X108" s="675"/>
      <c r="AB108" s="680"/>
      <c r="AE108" s="675"/>
    </row>
    <row r="109" spans="1:31" s="536" customFormat="1" ht="67.5" x14ac:dyDescent="0.2">
      <c r="A109" s="609"/>
      <c r="B109" s="552" t="s">
        <v>904</v>
      </c>
      <c r="C109" s="1822" t="s">
        <v>905</v>
      </c>
      <c r="D109" s="1822"/>
      <c r="E109" s="1822"/>
      <c r="F109" s="1822"/>
      <c r="G109" s="1822"/>
      <c r="H109" s="1822"/>
      <c r="I109" s="1822"/>
      <c r="J109" s="1822"/>
      <c r="K109" s="1822"/>
      <c r="L109" s="1822"/>
      <c r="M109" s="1822"/>
      <c r="N109" s="1827"/>
      <c r="V109" s="674"/>
      <c r="W109" s="675"/>
      <c r="X109" s="675"/>
      <c r="Z109" s="537" t="s">
        <v>905</v>
      </c>
      <c r="AB109" s="680"/>
      <c r="AE109" s="675"/>
    </row>
    <row r="110" spans="1:31" s="536" customFormat="1" ht="22.5" x14ac:dyDescent="0.2">
      <c r="A110" s="609"/>
      <c r="B110" s="552" t="s">
        <v>631</v>
      </c>
      <c r="C110" s="1822" t="s">
        <v>632</v>
      </c>
      <c r="D110" s="1822"/>
      <c r="E110" s="1822"/>
      <c r="F110" s="1822"/>
      <c r="G110" s="1822"/>
      <c r="H110" s="1822"/>
      <c r="I110" s="1822"/>
      <c r="J110" s="1822"/>
      <c r="K110" s="1822"/>
      <c r="L110" s="1822"/>
      <c r="M110" s="1822"/>
      <c r="N110" s="1827"/>
      <c r="V110" s="674"/>
      <c r="W110" s="675"/>
      <c r="X110" s="675"/>
      <c r="Z110" s="537" t="s">
        <v>632</v>
      </c>
      <c r="AB110" s="680"/>
      <c r="AE110" s="675"/>
    </row>
    <row r="111" spans="1:31" s="536" customFormat="1" ht="12" x14ac:dyDescent="0.2">
      <c r="A111" s="1830" t="s">
        <v>911</v>
      </c>
      <c r="B111" s="1831"/>
      <c r="C111" s="1831"/>
      <c r="D111" s="1831"/>
      <c r="E111" s="1831"/>
      <c r="F111" s="1831"/>
      <c r="G111" s="1831"/>
      <c r="H111" s="1831"/>
      <c r="I111" s="1831"/>
      <c r="J111" s="1831"/>
      <c r="K111" s="1831"/>
      <c r="L111" s="1831"/>
      <c r="M111" s="1831"/>
      <c r="N111" s="1832"/>
      <c r="V111" s="674"/>
      <c r="W111" s="675" t="s">
        <v>911</v>
      </c>
      <c r="X111" s="675"/>
      <c r="AB111" s="680"/>
      <c r="AE111" s="675"/>
    </row>
    <row r="112" spans="1:31" s="536" customFormat="1" ht="12" x14ac:dyDescent="0.2">
      <c r="A112" s="1830" t="s">
        <v>7130</v>
      </c>
      <c r="B112" s="1831"/>
      <c r="C112" s="1831"/>
      <c r="D112" s="1831"/>
      <c r="E112" s="1831"/>
      <c r="F112" s="1831"/>
      <c r="G112" s="1831"/>
      <c r="H112" s="1831"/>
      <c r="I112" s="1831"/>
      <c r="J112" s="1831"/>
      <c r="K112" s="1831"/>
      <c r="L112" s="1831"/>
      <c r="M112" s="1831"/>
      <c r="N112" s="1832"/>
      <c r="V112" s="674"/>
      <c r="W112" s="675" t="s">
        <v>7130</v>
      </c>
      <c r="X112" s="675"/>
      <c r="AB112" s="680"/>
      <c r="AE112" s="675"/>
    </row>
    <row r="113" spans="1:31" s="536" customFormat="1" ht="12" x14ac:dyDescent="0.2">
      <c r="A113" s="1830" t="s">
        <v>921</v>
      </c>
      <c r="B113" s="1831"/>
      <c r="C113" s="1831"/>
      <c r="D113" s="1831"/>
      <c r="E113" s="1831"/>
      <c r="F113" s="1831"/>
      <c r="G113" s="1831"/>
      <c r="H113" s="1831"/>
      <c r="I113" s="1831"/>
      <c r="J113" s="1831"/>
      <c r="K113" s="1831"/>
      <c r="L113" s="1831"/>
      <c r="M113" s="1831"/>
      <c r="N113" s="1832"/>
      <c r="V113" s="674"/>
      <c r="W113" s="675" t="s">
        <v>921</v>
      </c>
      <c r="X113" s="675"/>
      <c r="AB113" s="680"/>
      <c r="AE113" s="675"/>
    </row>
    <row r="114" spans="1:31" s="536" customFormat="1" ht="22.5" x14ac:dyDescent="0.2">
      <c r="A114" s="575" t="s">
        <v>195</v>
      </c>
      <c r="B114" s="684" t="s">
        <v>841</v>
      </c>
      <c r="C114" s="1823" t="s">
        <v>842</v>
      </c>
      <c r="D114" s="1823"/>
      <c r="E114" s="1823"/>
      <c r="F114" s="573" t="s">
        <v>307</v>
      </c>
      <c r="G114" s="573"/>
      <c r="H114" s="573"/>
      <c r="I114" s="573" t="s">
        <v>809</v>
      </c>
      <c r="J114" s="572"/>
      <c r="K114" s="573"/>
      <c r="L114" s="572"/>
      <c r="M114" s="571"/>
      <c r="N114" s="570"/>
      <c r="V114" s="674"/>
      <c r="W114" s="675"/>
      <c r="X114" s="675" t="s">
        <v>842</v>
      </c>
      <c r="AB114" s="680"/>
      <c r="AE114" s="675"/>
    </row>
    <row r="115" spans="1:31" s="536" customFormat="1" ht="12" x14ac:dyDescent="0.2">
      <c r="A115" s="676"/>
      <c r="B115" s="682"/>
      <c r="C115" s="1822" t="s">
        <v>843</v>
      </c>
      <c r="D115" s="1822"/>
      <c r="E115" s="1822"/>
      <c r="F115" s="1822"/>
      <c r="G115" s="1822"/>
      <c r="H115" s="1822"/>
      <c r="I115" s="1822"/>
      <c r="J115" s="1822"/>
      <c r="K115" s="1822"/>
      <c r="L115" s="1822"/>
      <c r="M115" s="1822"/>
      <c r="N115" s="1827"/>
      <c r="V115" s="674"/>
      <c r="W115" s="675"/>
      <c r="X115" s="675"/>
      <c r="Y115" s="537" t="s">
        <v>843</v>
      </c>
      <c r="AB115" s="680"/>
      <c r="AE115" s="675"/>
    </row>
    <row r="116" spans="1:31" s="536" customFormat="1" ht="22.5" x14ac:dyDescent="0.2">
      <c r="A116" s="609"/>
      <c r="B116" s="552" t="s">
        <v>499</v>
      </c>
      <c r="C116" s="1822" t="s">
        <v>500</v>
      </c>
      <c r="D116" s="1822"/>
      <c r="E116" s="1822"/>
      <c r="F116" s="1822"/>
      <c r="G116" s="1822"/>
      <c r="H116" s="1822"/>
      <c r="I116" s="1822"/>
      <c r="J116" s="1822"/>
      <c r="K116" s="1822"/>
      <c r="L116" s="1822"/>
      <c r="M116" s="1822"/>
      <c r="N116" s="1827"/>
      <c r="V116" s="674"/>
      <c r="W116" s="675"/>
      <c r="X116" s="675"/>
      <c r="Z116" s="537" t="s">
        <v>500</v>
      </c>
      <c r="AB116" s="680"/>
      <c r="AE116" s="675"/>
    </row>
    <row r="117" spans="1:31" s="536" customFormat="1" ht="12" x14ac:dyDescent="0.2">
      <c r="A117" s="605"/>
      <c r="B117" s="552" t="s">
        <v>185</v>
      </c>
      <c r="C117" s="1822" t="s">
        <v>312</v>
      </c>
      <c r="D117" s="1822"/>
      <c r="E117" s="1822"/>
      <c r="F117" s="562"/>
      <c r="G117" s="562"/>
      <c r="H117" s="562"/>
      <c r="I117" s="562"/>
      <c r="J117" s="604">
        <v>542.95000000000005</v>
      </c>
      <c r="K117" s="562" t="s">
        <v>313</v>
      </c>
      <c r="L117" s="604">
        <v>6.79</v>
      </c>
      <c r="M117" s="603"/>
      <c r="N117" s="602"/>
      <c r="V117" s="674"/>
      <c r="W117" s="675"/>
      <c r="X117" s="675"/>
      <c r="AA117" s="537" t="s">
        <v>312</v>
      </c>
      <c r="AB117" s="680"/>
      <c r="AE117" s="675"/>
    </row>
    <row r="118" spans="1:31" s="536" customFormat="1" ht="12" x14ac:dyDescent="0.2">
      <c r="A118" s="605"/>
      <c r="B118" s="552" t="s">
        <v>186</v>
      </c>
      <c r="C118" s="1822" t="s">
        <v>344</v>
      </c>
      <c r="D118" s="1822"/>
      <c r="E118" s="1822"/>
      <c r="F118" s="562"/>
      <c r="G118" s="562"/>
      <c r="H118" s="562"/>
      <c r="I118" s="562"/>
      <c r="J118" s="604">
        <v>216.38</v>
      </c>
      <c r="K118" s="562" t="s">
        <v>313</v>
      </c>
      <c r="L118" s="604">
        <v>2.7</v>
      </c>
      <c r="M118" s="603"/>
      <c r="N118" s="602"/>
      <c r="V118" s="674"/>
      <c r="W118" s="675"/>
      <c r="X118" s="675"/>
      <c r="AA118" s="537" t="s">
        <v>344</v>
      </c>
      <c r="AB118" s="680"/>
      <c r="AE118" s="675"/>
    </row>
    <row r="119" spans="1:31" s="536" customFormat="1" ht="12" x14ac:dyDescent="0.2">
      <c r="A119" s="605"/>
      <c r="B119" s="552" t="s">
        <v>187</v>
      </c>
      <c r="C119" s="1822" t="s">
        <v>345</v>
      </c>
      <c r="D119" s="1822"/>
      <c r="E119" s="1822"/>
      <c r="F119" s="562"/>
      <c r="G119" s="562"/>
      <c r="H119" s="562"/>
      <c r="I119" s="562"/>
      <c r="J119" s="604">
        <v>52.01</v>
      </c>
      <c r="K119" s="562" t="s">
        <v>313</v>
      </c>
      <c r="L119" s="604">
        <v>0.65</v>
      </c>
      <c r="M119" s="603"/>
      <c r="N119" s="602"/>
      <c r="V119" s="674"/>
      <c r="W119" s="675"/>
      <c r="X119" s="675"/>
      <c r="AA119" s="537" t="s">
        <v>345</v>
      </c>
      <c r="AB119" s="680"/>
      <c r="AE119" s="675"/>
    </row>
    <row r="120" spans="1:31" s="536" customFormat="1" ht="12" x14ac:dyDescent="0.2">
      <c r="A120" s="605"/>
      <c r="B120" s="552" t="s">
        <v>188</v>
      </c>
      <c r="C120" s="1822" t="s">
        <v>475</v>
      </c>
      <c r="D120" s="1822"/>
      <c r="E120" s="1822"/>
      <c r="F120" s="562"/>
      <c r="G120" s="562"/>
      <c r="H120" s="562"/>
      <c r="I120" s="562"/>
      <c r="J120" s="604">
        <v>1633.36</v>
      </c>
      <c r="K120" s="562"/>
      <c r="L120" s="604">
        <v>16.329999999999998</v>
      </c>
      <c r="M120" s="603"/>
      <c r="N120" s="602"/>
      <c r="V120" s="674"/>
      <c r="W120" s="675"/>
      <c r="X120" s="675"/>
      <c r="AA120" s="537" t="s">
        <v>475</v>
      </c>
      <c r="AB120" s="680"/>
      <c r="AE120" s="675"/>
    </row>
    <row r="121" spans="1:31" s="536" customFormat="1" ht="12" x14ac:dyDescent="0.2">
      <c r="A121" s="676"/>
      <c r="B121" s="677" t="s">
        <v>9203</v>
      </c>
      <c r="C121" s="1829" t="s">
        <v>9204</v>
      </c>
      <c r="D121" s="1829"/>
      <c r="E121" s="1829"/>
      <c r="F121" s="678" t="s">
        <v>617</v>
      </c>
      <c r="G121" s="678" t="s">
        <v>844</v>
      </c>
      <c r="H121" s="678"/>
      <c r="I121" s="678" t="s">
        <v>185</v>
      </c>
      <c r="J121" s="552"/>
      <c r="K121" s="562"/>
      <c r="L121" s="604"/>
      <c r="M121" s="562"/>
      <c r="N121" s="679"/>
      <c r="V121" s="674"/>
      <c r="W121" s="675"/>
      <c r="X121" s="675"/>
      <c r="AB121" s="680" t="s">
        <v>9204</v>
      </c>
      <c r="AE121" s="675"/>
    </row>
    <row r="122" spans="1:31" s="536" customFormat="1" ht="12" x14ac:dyDescent="0.2">
      <c r="A122" s="605"/>
      <c r="B122" s="552"/>
      <c r="C122" s="1822" t="s">
        <v>314</v>
      </c>
      <c r="D122" s="1822"/>
      <c r="E122" s="1822"/>
      <c r="F122" s="562" t="s">
        <v>315</v>
      </c>
      <c r="G122" s="562" t="s">
        <v>845</v>
      </c>
      <c r="H122" s="562" t="s">
        <v>313</v>
      </c>
      <c r="I122" s="562" t="s">
        <v>846</v>
      </c>
      <c r="J122" s="604"/>
      <c r="K122" s="562"/>
      <c r="L122" s="604"/>
      <c r="M122" s="603"/>
      <c r="N122" s="602"/>
      <c r="V122" s="674"/>
      <c r="W122" s="675"/>
      <c r="X122" s="675"/>
      <c r="AB122" s="680"/>
      <c r="AC122" s="537" t="s">
        <v>314</v>
      </c>
      <c r="AE122" s="675"/>
    </row>
    <row r="123" spans="1:31" s="536" customFormat="1" ht="12" x14ac:dyDescent="0.2">
      <c r="A123" s="605"/>
      <c r="B123" s="552"/>
      <c r="C123" s="1822" t="s">
        <v>348</v>
      </c>
      <c r="D123" s="1822"/>
      <c r="E123" s="1822"/>
      <c r="F123" s="562" t="s">
        <v>315</v>
      </c>
      <c r="G123" s="562" t="s">
        <v>847</v>
      </c>
      <c r="H123" s="562" t="s">
        <v>313</v>
      </c>
      <c r="I123" s="562" t="s">
        <v>848</v>
      </c>
      <c r="J123" s="604"/>
      <c r="K123" s="562"/>
      <c r="L123" s="604"/>
      <c r="M123" s="603"/>
      <c r="N123" s="602"/>
      <c r="V123" s="674"/>
      <c r="W123" s="675"/>
      <c r="X123" s="675"/>
      <c r="AB123" s="680"/>
      <c r="AC123" s="537" t="s">
        <v>348</v>
      </c>
      <c r="AE123" s="675"/>
    </row>
    <row r="124" spans="1:31" s="536" customFormat="1" ht="12" x14ac:dyDescent="0.2">
      <c r="A124" s="605"/>
      <c r="B124" s="552"/>
      <c r="C124" s="1828" t="s">
        <v>318</v>
      </c>
      <c r="D124" s="1828"/>
      <c r="E124" s="1828"/>
      <c r="F124" s="608"/>
      <c r="G124" s="608"/>
      <c r="H124" s="608"/>
      <c r="I124" s="608"/>
      <c r="J124" s="607">
        <v>2392.69</v>
      </c>
      <c r="K124" s="608"/>
      <c r="L124" s="607">
        <v>25.82</v>
      </c>
      <c r="M124" s="601"/>
      <c r="N124" s="606"/>
      <c r="V124" s="674"/>
      <c r="W124" s="675"/>
      <c r="X124" s="675"/>
      <c r="AB124" s="680"/>
      <c r="AD124" s="537" t="s">
        <v>318</v>
      </c>
      <c r="AE124" s="675"/>
    </row>
    <row r="125" spans="1:31" s="536" customFormat="1" ht="12" x14ac:dyDescent="0.2">
      <c r="A125" s="605"/>
      <c r="B125" s="552"/>
      <c r="C125" s="1822" t="s">
        <v>319</v>
      </c>
      <c r="D125" s="1822"/>
      <c r="E125" s="1822"/>
      <c r="F125" s="562"/>
      <c r="G125" s="562"/>
      <c r="H125" s="562"/>
      <c r="I125" s="562"/>
      <c r="J125" s="604"/>
      <c r="K125" s="562"/>
      <c r="L125" s="604">
        <v>7.44</v>
      </c>
      <c r="M125" s="603"/>
      <c r="N125" s="602"/>
      <c r="V125" s="674"/>
      <c r="W125" s="675"/>
      <c r="X125" s="675"/>
      <c r="AB125" s="680"/>
      <c r="AC125" s="537" t="s">
        <v>319</v>
      </c>
      <c r="AE125" s="675"/>
    </row>
    <row r="126" spans="1:31" s="536" customFormat="1" ht="33.75" x14ac:dyDescent="0.2">
      <c r="A126" s="605"/>
      <c r="B126" s="552" t="s">
        <v>849</v>
      </c>
      <c r="C126" s="1822" t="s">
        <v>850</v>
      </c>
      <c r="D126" s="1822"/>
      <c r="E126" s="1822"/>
      <c r="F126" s="562" t="s">
        <v>322</v>
      </c>
      <c r="G126" s="562" t="s">
        <v>851</v>
      </c>
      <c r="H126" s="562"/>
      <c r="I126" s="562" t="s">
        <v>851</v>
      </c>
      <c r="J126" s="604"/>
      <c r="K126" s="562"/>
      <c r="L126" s="604">
        <v>8.0399999999999991</v>
      </c>
      <c r="M126" s="603"/>
      <c r="N126" s="602"/>
      <c r="V126" s="674"/>
      <c r="W126" s="675"/>
      <c r="X126" s="675"/>
      <c r="AB126" s="680"/>
      <c r="AC126" s="537" t="s">
        <v>850</v>
      </c>
      <c r="AE126" s="675"/>
    </row>
    <row r="127" spans="1:31" s="536" customFormat="1" ht="33.75" x14ac:dyDescent="0.2">
      <c r="A127" s="605"/>
      <c r="B127" s="552" t="s">
        <v>852</v>
      </c>
      <c r="C127" s="1822" t="s">
        <v>853</v>
      </c>
      <c r="D127" s="1822"/>
      <c r="E127" s="1822"/>
      <c r="F127" s="562" t="s">
        <v>322</v>
      </c>
      <c r="G127" s="562" t="s">
        <v>789</v>
      </c>
      <c r="H127" s="562"/>
      <c r="I127" s="562" t="s">
        <v>789</v>
      </c>
      <c r="J127" s="604"/>
      <c r="K127" s="562"/>
      <c r="L127" s="604">
        <v>4.09</v>
      </c>
      <c r="M127" s="603"/>
      <c r="N127" s="602"/>
      <c r="V127" s="674"/>
      <c r="W127" s="675"/>
      <c r="X127" s="675"/>
      <c r="AB127" s="680"/>
      <c r="AC127" s="537" t="s">
        <v>853</v>
      </c>
      <c r="AE127" s="675"/>
    </row>
    <row r="128" spans="1:31" s="536" customFormat="1" ht="12" x14ac:dyDescent="0.2">
      <c r="A128" s="569"/>
      <c r="B128" s="683"/>
      <c r="C128" s="1823" t="s">
        <v>327</v>
      </c>
      <c r="D128" s="1823"/>
      <c r="E128" s="1823"/>
      <c r="F128" s="573"/>
      <c r="G128" s="573"/>
      <c r="H128" s="573"/>
      <c r="I128" s="573"/>
      <c r="J128" s="572"/>
      <c r="K128" s="573"/>
      <c r="L128" s="572">
        <v>37.950000000000003</v>
      </c>
      <c r="M128" s="601"/>
      <c r="N128" s="570"/>
      <c r="V128" s="674"/>
      <c r="W128" s="675"/>
      <c r="X128" s="675"/>
      <c r="AB128" s="680"/>
      <c r="AE128" s="675" t="s">
        <v>327</v>
      </c>
    </row>
    <row r="129" spans="1:31" s="536" customFormat="1" ht="33.75" x14ac:dyDescent="0.2">
      <c r="A129" s="575" t="s">
        <v>2795</v>
      </c>
      <c r="B129" s="684" t="s">
        <v>854</v>
      </c>
      <c r="C129" s="1823" t="s">
        <v>855</v>
      </c>
      <c r="D129" s="1823"/>
      <c r="E129" s="1823"/>
      <c r="F129" s="573" t="s">
        <v>617</v>
      </c>
      <c r="G129" s="573"/>
      <c r="H129" s="573"/>
      <c r="I129" s="573" t="s">
        <v>185</v>
      </c>
      <c r="J129" s="572">
        <v>17390.09</v>
      </c>
      <c r="K129" s="573" t="s">
        <v>629</v>
      </c>
      <c r="L129" s="572">
        <v>3834.2</v>
      </c>
      <c r="M129" s="571">
        <v>4.59</v>
      </c>
      <c r="N129" s="570">
        <v>17599</v>
      </c>
      <c r="V129" s="674"/>
      <c r="W129" s="675"/>
      <c r="X129" s="675" t="s">
        <v>855</v>
      </c>
      <c r="AB129" s="680"/>
      <c r="AE129" s="675"/>
    </row>
    <row r="130" spans="1:31" s="536" customFormat="1" ht="12" x14ac:dyDescent="0.2">
      <c r="A130" s="569"/>
      <c r="B130" s="683"/>
      <c r="C130" s="689" t="s">
        <v>630</v>
      </c>
      <c r="D130" s="690"/>
      <c r="E130" s="690"/>
      <c r="F130" s="563"/>
      <c r="G130" s="563"/>
      <c r="H130" s="563"/>
      <c r="I130" s="563"/>
      <c r="J130" s="566"/>
      <c r="K130" s="563"/>
      <c r="L130" s="566"/>
      <c r="M130" s="565"/>
      <c r="N130" s="564"/>
      <c r="V130" s="674"/>
      <c r="W130" s="675"/>
      <c r="X130" s="675"/>
      <c r="AB130" s="680"/>
      <c r="AE130" s="675"/>
    </row>
    <row r="131" spans="1:31" s="536" customFormat="1" ht="22.5" x14ac:dyDescent="0.2">
      <c r="A131" s="609"/>
      <c r="B131" s="552" t="s">
        <v>631</v>
      </c>
      <c r="C131" s="1822" t="s">
        <v>632</v>
      </c>
      <c r="D131" s="1822"/>
      <c r="E131" s="1822"/>
      <c r="F131" s="1822"/>
      <c r="G131" s="1822"/>
      <c r="H131" s="1822"/>
      <c r="I131" s="1822"/>
      <c r="J131" s="1822"/>
      <c r="K131" s="1822"/>
      <c r="L131" s="1822"/>
      <c r="M131" s="1822"/>
      <c r="N131" s="1827"/>
      <c r="V131" s="674"/>
      <c r="W131" s="675"/>
      <c r="X131" s="675"/>
      <c r="Z131" s="537" t="s">
        <v>632</v>
      </c>
      <c r="AB131" s="680"/>
      <c r="AE131" s="675"/>
    </row>
    <row r="132" spans="1:31" s="536" customFormat="1" ht="22.5" x14ac:dyDescent="0.2">
      <c r="A132" s="575" t="s">
        <v>197</v>
      </c>
      <c r="B132" s="684" t="s">
        <v>841</v>
      </c>
      <c r="C132" s="1823" t="s">
        <v>842</v>
      </c>
      <c r="D132" s="1823"/>
      <c r="E132" s="1823"/>
      <c r="F132" s="573" t="s">
        <v>307</v>
      </c>
      <c r="G132" s="573"/>
      <c r="H132" s="573"/>
      <c r="I132" s="573" t="s">
        <v>856</v>
      </c>
      <c r="J132" s="572"/>
      <c r="K132" s="573"/>
      <c r="L132" s="572"/>
      <c r="M132" s="571"/>
      <c r="N132" s="570"/>
      <c r="V132" s="674"/>
      <c r="W132" s="675"/>
      <c r="X132" s="675" t="s">
        <v>842</v>
      </c>
      <c r="AB132" s="680"/>
      <c r="AE132" s="675"/>
    </row>
    <row r="133" spans="1:31" s="536" customFormat="1" ht="12" x14ac:dyDescent="0.2">
      <c r="A133" s="676"/>
      <c r="B133" s="682"/>
      <c r="C133" s="1822" t="s">
        <v>857</v>
      </c>
      <c r="D133" s="1822"/>
      <c r="E133" s="1822"/>
      <c r="F133" s="1822"/>
      <c r="G133" s="1822"/>
      <c r="H133" s="1822"/>
      <c r="I133" s="1822"/>
      <c r="J133" s="1822"/>
      <c r="K133" s="1822"/>
      <c r="L133" s="1822"/>
      <c r="M133" s="1822"/>
      <c r="N133" s="1827"/>
      <c r="V133" s="674"/>
      <c r="W133" s="675"/>
      <c r="X133" s="675"/>
      <c r="Y133" s="537" t="s">
        <v>857</v>
      </c>
      <c r="AB133" s="680"/>
      <c r="AE133" s="675"/>
    </row>
    <row r="134" spans="1:31" s="536" customFormat="1" ht="22.5" x14ac:dyDescent="0.2">
      <c r="A134" s="609"/>
      <c r="B134" s="552" t="s">
        <v>499</v>
      </c>
      <c r="C134" s="1822" t="s">
        <v>500</v>
      </c>
      <c r="D134" s="1822"/>
      <c r="E134" s="1822"/>
      <c r="F134" s="1822"/>
      <c r="G134" s="1822"/>
      <c r="H134" s="1822"/>
      <c r="I134" s="1822"/>
      <c r="J134" s="1822"/>
      <c r="K134" s="1822"/>
      <c r="L134" s="1822"/>
      <c r="M134" s="1822"/>
      <c r="N134" s="1827"/>
      <c r="V134" s="674"/>
      <c r="W134" s="675"/>
      <c r="X134" s="675"/>
      <c r="Z134" s="537" t="s">
        <v>500</v>
      </c>
      <c r="AB134" s="680"/>
      <c r="AE134" s="675"/>
    </row>
    <row r="135" spans="1:31" s="536" customFormat="1" ht="12" x14ac:dyDescent="0.2">
      <c r="A135" s="605"/>
      <c r="B135" s="552" t="s">
        <v>185</v>
      </c>
      <c r="C135" s="1822" t="s">
        <v>312</v>
      </c>
      <c r="D135" s="1822"/>
      <c r="E135" s="1822"/>
      <c r="F135" s="562"/>
      <c r="G135" s="562"/>
      <c r="H135" s="562"/>
      <c r="I135" s="562"/>
      <c r="J135" s="604">
        <v>542.95000000000005</v>
      </c>
      <c r="K135" s="562" t="s">
        <v>313</v>
      </c>
      <c r="L135" s="604">
        <v>33.93</v>
      </c>
      <c r="M135" s="603"/>
      <c r="N135" s="602"/>
      <c r="V135" s="674"/>
      <c r="W135" s="675"/>
      <c r="X135" s="675"/>
      <c r="AA135" s="537" t="s">
        <v>312</v>
      </c>
      <c r="AB135" s="680"/>
      <c r="AE135" s="675"/>
    </row>
    <row r="136" spans="1:31" s="536" customFormat="1" ht="12" x14ac:dyDescent="0.2">
      <c r="A136" s="605"/>
      <c r="B136" s="552" t="s">
        <v>186</v>
      </c>
      <c r="C136" s="1822" t="s">
        <v>344</v>
      </c>
      <c r="D136" s="1822"/>
      <c r="E136" s="1822"/>
      <c r="F136" s="562"/>
      <c r="G136" s="562"/>
      <c r="H136" s="562"/>
      <c r="I136" s="562"/>
      <c r="J136" s="604">
        <v>216.38</v>
      </c>
      <c r="K136" s="562" t="s">
        <v>313</v>
      </c>
      <c r="L136" s="604">
        <v>13.52</v>
      </c>
      <c r="M136" s="603"/>
      <c r="N136" s="602"/>
      <c r="V136" s="674"/>
      <c r="W136" s="675"/>
      <c r="X136" s="675"/>
      <c r="AA136" s="537" t="s">
        <v>344</v>
      </c>
      <c r="AB136" s="680"/>
      <c r="AE136" s="675"/>
    </row>
    <row r="137" spans="1:31" s="536" customFormat="1" ht="12" x14ac:dyDescent="0.2">
      <c r="A137" s="605"/>
      <c r="B137" s="552" t="s">
        <v>187</v>
      </c>
      <c r="C137" s="1822" t="s">
        <v>345</v>
      </c>
      <c r="D137" s="1822"/>
      <c r="E137" s="1822"/>
      <c r="F137" s="562"/>
      <c r="G137" s="562"/>
      <c r="H137" s="562"/>
      <c r="I137" s="562"/>
      <c r="J137" s="604">
        <v>52.01</v>
      </c>
      <c r="K137" s="562" t="s">
        <v>313</v>
      </c>
      <c r="L137" s="604">
        <v>3.25</v>
      </c>
      <c r="M137" s="603"/>
      <c r="N137" s="602"/>
      <c r="V137" s="674"/>
      <c r="W137" s="675"/>
      <c r="X137" s="675"/>
      <c r="AA137" s="537" t="s">
        <v>345</v>
      </c>
      <c r="AB137" s="680"/>
      <c r="AE137" s="675"/>
    </row>
    <row r="138" spans="1:31" s="536" customFormat="1" ht="12" x14ac:dyDescent="0.2">
      <c r="A138" s="605"/>
      <c r="B138" s="552" t="s">
        <v>188</v>
      </c>
      <c r="C138" s="1822" t="s">
        <v>475</v>
      </c>
      <c r="D138" s="1822"/>
      <c r="E138" s="1822"/>
      <c r="F138" s="562"/>
      <c r="G138" s="562"/>
      <c r="H138" s="562"/>
      <c r="I138" s="562"/>
      <c r="J138" s="604">
        <v>1633.36</v>
      </c>
      <c r="K138" s="562"/>
      <c r="L138" s="604">
        <v>81.67</v>
      </c>
      <c r="M138" s="603"/>
      <c r="N138" s="602"/>
      <c r="V138" s="674"/>
      <c r="W138" s="675"/>
      <c r="X138" s="675"/>
      <c r="AA138" s="537" t="s">
        <v>475</v>
      </c>
      <c r="AB138" s="680"/>
      <c r="AE138" s="675"/>
    </row>
    <row r="139" spans="1:31" s="536" customFormat="1" ht="12" x14ac:dyDescent="0.2">
      <c r="A139" s="676"/>
      <c r="B139" s="677" t="s">
        <v>9203</v>
      </c>
      <c r="C139" s="1829" t="s">
        <v>9204</v>
      </c>
      <c r="D139" s="1829"/>
      <c r="E139" s="1829"/>
      <c r="F139" s="678" t="s">
        <v>617</v>
      </c>
      <c r="G139" s="678" t="s">
        <v>844</v>
      </c>
      <c r="H139" s="678"/>
      <c r="I139" s="678" t="s">
        <v>189</v>
      </c>
      <c r="J139" s="552"/>
      <c r="K139" s="562"/>
      <c r="L139" s="604"/>
      <c r="M139" s="562"/>
      <c r="N139" s="679"/>
      <c r="V139" s="674"/>
      <c r="W139" s="675"/>
      <c r="X139" s="675"/>
      <c r="AB139" s="680" t="s">
        <v>9204</v>
      </c>
      <c r="AE139" s="675"/>
    </row>
    <row r="140" spans="1:31" s="536" customFormat="1" ht="12" x14ac:dyDescent="0.2">
      <c r="A140" s="605"/>
      <c r="B140" s="552"/>
      <c r="C140" s="1822" t="s">
        <v>314</v>
      </c>
      <c r="D140" s="1822"/>
      <c r="E140" s="1822"/>
      <c r="F140" s="562" t="s">
        <v>315</v>
      </c>
      <c r="G140" s="562" t="s">
        <v>845</v>
      </c>
      <c r="H140" s="562" t="s">
        <v>313</v>
      </c>
      <c r="I140" s="562" t="s">
        <v>858</v>
      </c>
      <c r="J140" s="604"/>
      <c r="K140" s="562"/>
      <c r="L140" s="604"/>
      <c r="M140" s="603"/>
      <c r="N140" s="602"/>
      <c r="V140" s="674"/>
      <c r="W140" s="675"/>
      <c r="X140" s="675"/>
      <c r="AB140" s="680"/>
      <c r="AC140" s="537" t="s">
        <v>314</v>
      </c>
      <c r="AE140" s="675"/>
    </row>
    <row r="141" spans="1:31" s="536" customFormat="1" ht="12" x14ac:dyDescent="0.2">
      <c r="A141" s="605"/>
      <c r="B141" s="552"/>
      <c r="C141" s="1822" t="s">
        <v>348</v>
      </c>
      <c r="D141" s="1822"/>
      <c r="E141" s="1822"/>
      <c r="F141" s="562" t="s">
        <v>315</v>
      </c>
      <c r="G141" s="562" t="s">
        <v>847</v>
      </c>
      <c r="H141" s="562" t="s">
        <v>313</v>
      </c>
      <c r="I141" s="562" t="s">
        <v>859</v>
      </c>
      <c r="J141" s="604"/>
      <c r="K141" s="562"/>
      <c r="L141" s="604"/>
      <c r="M141" s="603"/>
      <c r="N141" s="602"/>
      <c r="V141" s="674"/>
      <c r="W141" s="675"/>
      <c r="X141" s="675"/>
      <c r="AB141" s="680"/>
      <c r="AC141" s="537" t="s">
        <v>348</v>
      </c>
      <c r="AE141" s="675"/>
    </row>
    <row r="142" spans="1:31" s="536" customFormat="1" ht="12" x14ac:dyDescent="0.2">
      <c r="A142" s="605"/>
      <c r="B142" s="552"/>
      <c r="C142" s="1828" t="s">
        <v>318</v>
      </c>
      <c r="D142" s="1828"/>
      <c r="E142" s="1828"/>
      <c r="F142" s="608"/>
      <c r="G142" s="608"/>
      <c r="H142" s="608"/>
      <c r="I142" s="608"/>
      <c r="J142" s="607">
        <v>2392.69</v>
      </c>
      <c r="K142" s="608"/>
      <c r="L142" s="607">
        <v>129.12</v>
      </c>
      <c r="M142" s="601"/>
      <c r="N142" s="606"/>
      <c r="V142" s="674"/>
      <c r="W142" s="675"/>
      <c r="X142" s="675"/>
      <c r="AB142" s="680"/>
      <c r="AD142" s="537" t="s">
        <v>318</v>
      </c>
      <c r="AE142" s="675"/>
    </row>
    <row r="143" spans="1:31" s="536" customFormat="1" ht="12" x14ac:dyDescent="0.2">
      <c r="A143" s="605"/>
      <c r="B143" s="552"/>
      <c r="C143" s="1822" t="s">
        <v>319</v>
      </c>
      <c r="D143" s="1822"/>
      <c r="E143" s="1822"/>
      <c r="F143" s="562"/>
      <c r="G143" s="562"/>
      <c r="H143" s="562"/>
      <c r="I143" s="562"/>
      <c r="J143" s="604"/>
      <c r="K143" s="562"/>
      <c r="L143" s="604">
        <v>37.18</v>
      </c>
      <c r="M143" s="603"/>
      <c r="N143" s="602"/>
      <c r="V143" s="674"/>
      <c r="W143" s="675"/>
      <c r="X143" s="675"/>
      <c r="AB143" s="680"/>
      <c r="AC143" s="537" t="s">
        <v>319</v>
      </c>
      <c r="AE143" s="675"/>
    </row>
    <row r="144" spans="1:31" s="536" customFormat="1" ht="33.75" x14ac:dyDescent="0.2">
      <c r="A144" s="605"/>
      <c r="B144" s="552" t="s">
        <v>849</v>
      </c>
      <c r="C144" s="1822" t="s">
        <v>850</v>
      </c>
      <c r="D144" s="1822"/>
      <c r="E144" s="1822"/>
      <c r="F144" s="562" t="s">
        <v>322</v>
      </c>
      <c r="G144" s="562" t="s">
        <v>851</v>
      </c>
      <c r="H144" s="562"/>
      <c r="I144" s="562" t="s">
        <v>851</v>
      </c>
      <c r="J144" s="604"/>
      <c r="K144" s="562"/>
      <c r="L144" s="604">
        <v>40.15</v>
      </c>
      <c r="M144" s="603"/>
      <c r="N144" s="602"/>
      <c r="V144" s="674"/>
      <c r="W144" s="675"/>
      <c r="X144" s="675"/>
      <c r="AB144" s="680"/>
      <c r="AC144" s="537" t="s">
        <v>850</v>
      </c>
      <c r="AE144" s="675"/>
    </row>
    <row r="145" spans="1:31" s="536" customFormat="1" ht="33.75" x14ac:dyDescent="0.2">
      <c r="A145" s="605"/>
      <c r="B145" s="552" t="s">
        <v>852</v>
      </c>
      <c r="C145" s="1822" t="s">
        <v>853</v>
      </c>
      <c r="D145" s="1822"/>
      <c r="E145" s="1822"/>
      <c r="F145" s="562" t="s">
        <v>322</v>
      </c>
      <c r="G145" s="562" t="s">
        <v>789</v>
      </c>
      <c r="H145" s="562"/>
      <c r="I145" s="562" t="s">
        <v>789</v>
      </c>
      <c r="J145" s="604"/>
      <c r="K145" s="562"/>
      <c r="L145" s="604">
        <v>20.45</v>
      </c>
      <c r="M145" s="603"/>
      <c r="N145" s="602"/>
      <c r="V145" s="674"/>
      <c r="W145" s="675"/>
      <c r="X145" s="675"/>
      <c r="AB145" s="680"/>
      <c r="AC145" s="537" t="s">
        <v>853</v>
      </c>
      <c r="AE145" s="675"/>
    </row>
    <row r="146" spans="1:31" s="536" customFormat="1" ht="12" x14ac:dyDescent="0.2">
      <c r="A146" s="569"/>
      <c r="B146" s="683"/>
      <c r="C146" s="1823" t="s">
        <v>327</v>
      </c>
      <c r="D146" s="1823"/>
      <c r="E146" s="1823"/>
      <c r="F146" s="573"/>
      <c r="G146" s="573"/>
      <c r="H146" s="573"/>
      <c r="I146" s="573"/>
      <c r="J146" s="572"/>
      <c r="K146" s="573"/>
      <c r="L146" s="572">
        <v>189.72</v>
      </c>
      <c r="M146" s="601"/>
      <c r="N146" s="570"/>
      <c r="V146" s="674"/>
      <c r="W146" s="675"/>
      <c r="X146" s="675"/>
      <c r="AB146" s="680"/>
      <c r="AE146" s="675" t="s">
        <v>327</v>
      </c>
    </row>
    <row r="147" spans="1:31" s="536" customFormat="1" ht="22.5" x14ac:dyDescent="0.2">
      <c r="A147" s="575" t="s">
        <v>198</v>
      </c>
      <c r="B147" s="684" t="s">
        <v>860</v>
      </c>
      <c r="C147" s="1823" t="s">
        <v>861</v>
      </c>
      <c r="D147" s="1823"/>
      <c r="E147" s="1823"/>
      <c r="F147" s="573" t="s">
        <v>862</v>
      </c>
      <c r="G147" s="573"/>
      <c r="H147" s="573"/>
      <c r="I147" s="573" t="s">
        <v>863</v>
      </c>
      <c r="J147" s="572"/>
      <c r="K147" s="573"/>
      <c r="L147" s="572"/>
      <c r="M147" s="571"/>
      <c r="N147" s="570"/>
      <c r="V147" s="674"/>
      <c r="W147" s="675"/>
      <c r="X147" s="675" t="s">
        <v>861</v>
      </c>
      <c r="AB147" s="680"/>
      <c r="AE147" s="675"/>
    </row>
    <row r="148" spans="1:31" s="536" customFormat="1" ht="12" x14ac:dyDescent="0.2">
      <c r="A148" s="676"/>
      <c r="B148" s="682"/>
      <c r="C148" s="1822" t="s">
        <v>864</v>
      </c>
      <c r="D148" s="1822"/>
      <c r="E148" s="1822"/>
      <c r="F148" s="1822"/>
      <c r="G148" s="1822"/>
      <c r="H148" s="1822"/>
      <c r="I148" s="1822"/>
      <c r="J148" s="1822"/>
      <c r="K148" s="1822"/>
      <c r="L148" s="1822"/>
      <c r="M148" s="1822"/>
      <c r="N148" s="1827"/>
      <c r="V148" s="674"/>
      <c r="W148" s="675"/>
      <c r="X148" s="675"/>
      <c r="Y148" s="537" t="s">
        <v>864</v>
      </c>
      <c r="AB148" s="680"/>
      <c r="AE148" s="675"/>
    </row>
    <row r="149" spans="1:31" s="536" customFormat="1" ht="22.5" x14ac:dyDescent="0.2">
      <c r="A149" s="609"/>
      <c r="B149" s="552" t="s">
        <v>499</v>
      </c>
      <c r="C149" s="1822" t="s">
        <v>500</v>
      </c>
      <c r="D149" s="1822"/>
      <c r="E149" s="1822"/>
      <c r="F149" s="1822"/>
      <c r="G149" s="1822"/>
      <c r="H149" s="1822"/>
      <c r="I149" s="1822"/>
      <c r="J149" s="1822"/>
      <c r="K149" s="1822"/>
      <c r="L149" s="1822"/>
      <c r="M149" s="1822"/>
      <c r="N149" s="1827"/>
      <c r="V149" s="674"/>
      <c r="W149" s="675"/>
      <c r="X149" s="675"/>
      <c r="Z149" s="537" t="s">
        <v>500</v>
      </c>
      <c r="AB149" s="680"/>
      <c r="AE149" s="675"/>
    </row>
    <row r="150" spans="1:31" s="536" customFormat="1" ht="12" x14ac:dyDescent="0.2">
      <c r="A150" s="605"/>
      <c r="B150" s="552" t="s">
        <v>185</v>
      </c>
      <c r="C150" s="1822" t="s">
        <v>312</v>
      </c>
      <c r="D150" s="1822"/>
      <c r="E150" s="1822"/>
      <c r="F150" s="562"/>
      <c r="G150" s="562"/>
      <c r="H150" s="562"/>
      <c r="I150" s="562"/>
      <c r="J150" s="604">
        <v>1013.08</v>
      </c>
      <c r="K150" s="562" t="s">
        <v>313</v>
      </c>
      <c r="L150" s="604">
        <v>6.84</v>
      </c>
      <c r="M150" s="603"/>
      <c r="N150" s="602"/>
      <c r="V150" s="674"/>
      <c r="W150" s="675"/>
      <c r="X150" s="675"/>
      <c r="AA150" s="537" t="s">
        <v>312</v>
      </c>
      <c r="AB150" s="680"/>
      <c r="AE150" s="675"/>
    </row>
    <row r="151" spans="1:31" s="536" customFormat="1" ht="12" x14ac:dyDescent="0.2">
      <c r="A151" s="605"/>
      <c r="B151" s="552" t="s">
        <v>186</v>
      </c>
      <c r="C151" s="1822" t="s">
        <v>344</v>
      </c>
      <c r="D151" s="1822"/>
      <c r="E151" s="1822"/>
      <c r="F151" s="562"/>
      <c r="G151" s="562"/>
      <c r="H151" s="562"/>
      <c r="I151" s="562"/>
      <c r="J151" s="604">
        <v>277.06</v>
      </c>
      <c r="K151" s="562" t="s">
        <v>313</v>
      </c>
      <c r="L151" s="604">
        <v>1.87</v>
      </c>
      <c r="M151" s="603"/>
      <c r="N151" s="602"/>
      <c r="V151" s="674"/>
      <c r="W151" s="675"/>
      <c r="X151" s="675"/>
      <c r="AA151" s="537" t="s">
        <v>344</v>
      </c>
      <c r="AB151" s="680"/>
      <c r="AE151" s="675"/>
    </row>
    <row r="152" spans="1:31" s="536" customFormat="1" ht="12" x14ac:dyDescent="0.2">
      <c r="A152" s="605"/>
      <c r="B152" s="552" t="s">
        <v>187</v>
      </c>
      <c r="C152" s="1822" t="s">
        <v>345</v>
      </c>
      <c r="D152" s="1822"/>
      <c r="E152" s="1822"/>
      <c r="F152" s="562"/>
      <c r="G152" s="562"/>
      <c r="H152" s="562"/>
      <c r="I152" s="562"/>
      <c r="J152" s="604">
        <v>46.04</v>
      </c>
      <c r="K152" s="562" t="s">
        <v>313</v>
      </c>
      <c r="L152" s="604">
        <v>0.31</v>
      </c>
      <c r="M152" s="603"/>
      <c r="N152" s="602"/>
      <c r="V152" s="674"/>
      <c r="W152" s="675"/>
      <c r="X152" s="675"/>
      <c r="AA152" s="537" t="s">
        <v>345</v>
      </c>
      <c r="AB152" s="680"/>
      <c r="AE152" s="675"/>
    </row>
    <row r="153" spans="1:31" s="536" customFormat="1" ht="12" x14ac:dyDescent="0.2">
      <c r="A153" s="605"/>
      <c r="B153" s="552" t="s">
        <v>188</v>
      </c>
      <c r="C153" s="1822" t="s">
        <v>475</v>
      </c>
      <c r="D153" s="1822"/>
      <c r="E153" s="1822"/>
      <c r="F153" s="562"/>
      <c r="G153" s="562"/>
      <c r="H153" s="562"/>
      <c r="I153" s="562"/>
      <c r="J153" s="604">
        <v>118.49</v>
      </c>
      <c r="K153" s="562"/>
      <c r="L153" s="604">
        <v>0.64</v>
      </c>
      <c r="M153" s="603"/>
      <c r="N153" s="602"/>
      <c r="V153" s="674"/>
      <c r="W153" s="675"/>
      <c r="X153" s="675"/>
      <c r="AA153" s="537" t="s">
        <v>475</v>
      </c>
      <c r="AB153" s="680"/>
      <c r="AE153" s="675"/>
    </row>
    <row r="154" spans="1:31" s="536" customFormat="1" ht="12" x14ac:dyDescent="0.2">
      <c r="A154" s="676"/>
      <c r="B154" s="677" t="s">
        <v>9205</v>
      </c>
      <c r="C154" s="1829" t="s">
        <v>9206</v>
      </c>
      <c r="D154" s="1829"/>
      <c r="E154" s="1829"/>
      <c r="F154" s="678" t="s">
        <v>865</v>
      </c>
      <c r="G154" s="678" t="s">
        <v>844</v>
      </c>
      <c r="H154" s="678"/>
      <c r="I154" s="678" t="s">
        <v>866</v>
      </c>
      <c r="J154" s="552"/>
      <c r="K154" s="562"/>
      <c r="L154" s="604"/>
      <c r="M154" s="562"/>
      <c r="N154" s="679"/>
      <c r="V154" s="674"/>
      <c r="W154" s="675"/>
      <c r="X154" s="675"/>
      <c r="AB154" s="680" t="s">
        <v>9206</v>
      </c>
      <c r="AE154" s="675"/>
    </row>
    <row r="155" spans="1:31" s="536" customFormat="1" ht="12" x14ac:dyDescent="0.2">
      <c r="A155" s="605"/>
      <c r="B155" s="552"/>
      <c r="C155" s="1822" t="s">
        <v>314</v>
      </c>
      <c r="D155" s="1822"/>
      <c r="E155" s="1822"/>
      <c r="F155" s="562" t="s">
        <v>315</v>
      </c>
      <c r="G155" s="562" t="s">
        <v>867</v>
      </c>
      <c r="H155" s="562" t="s">
        <v>313</v>
      </c>
      <c r="I155" s="562" t="s">
        <v>868</v>
      </c>
      <c r="J155" s="604"/>
      <c r="K155" s="562"/>
      <c r="L155" s="604"/>
      <c r="M155" s="603"/>
      <c r="N155" s="602"/>
      <c r="V155" s="674"/>
      <c r="W155" s="675"/>
      <c r="X155" s="675"/>
      <c r="AB155" s="680"/>
      <c r="AC155" s="537" t="s">
        <v>314</v>
      </c>
      <c r="AE155" s="675"/>
    </row>
    <row r="156" spans="1:31" s="536" customFormat="1" ht="12" x14ac:dyDescent="0.2">
      <c r="A156" s="605"/>
      <c r="B156" s="552"/>
      <c r="C156" s="1822" t="s">
        <v>348</v>
      </c>
      <c r="D156" s="1822"/>
      <c r="E156" s="1822"/>
      <c r="F156" s="562" t="s">
        <v>315</v>
      </c>
      <c r="G156" s="562" t="s">
        <v>869</v>
      </c>
      <c r="H156" s="562" t="s">
        <v>313</v>
      </c>
      <c r="I156" s="562" t="s">
        <v>870</v>
      </c>
      <c r="J156" s="604"/>
      <c r="K156" s="562"/>
      <c r="L156" s="604"/>
      <c r="M156" s="603"/>
      <c r="N156" s="602"/>
      <c r="V156" s="674"/>
      <c r="W156" s="675"/>
      <c r="X156" s="675"/>
      <c r="AB156" s="680"/>
      <c r="AC156" s="537" t="s">
        <v>348</v>
      </c>
      <c r="AE156" s="675"/>
    </row>
    <row r="157" spans="1:31" s="536" customFormat="1" ht="12" x14ac:dyDescent="0.2">
      <c r="A157" s="605"/>
      <c r="B157" s="552"/>
      <c r="C157" s="1828" t="s">
        <v>318</v>
      </c>
      <c r="D157" s="1828"/>
      <c r="E157" s="1828"/>
      <c r="F157" s="608"/>
      <c r="G157" s="608"/>
      <c r="H157" s="608"/>
      <c r="I157" s="608"/>
      <c r="J157" s="607">
        <v>1408.63</v>
      </c>
      <c r="K157" s="608"/>
      <c r="L157" s="607">
        <v>9.35</v>
      </c>
      <c r="M157" s="601"/>
      <c r="N157" s="606"/>
      <c r="V157" s="674"/>
      <c r="W157" s="675"/>
      <c r="X157" s="675"/>
      <c r="AB157" s="680"/>
      <c r="AD157" s="537" t="s">
        <v>318</v>
      </c>
      <c r="AE157" s="675"/>
    </row>
    <row r="158" spans="1:31" s="536" customFormat="1" ht="12" x14ac:dyDescent="0.2">
      <c r="A158" s="605"/>
      <c r="B158" s="552"/>
      <c r="C158" s="1822" t="s">
        <v>319</v>
      </c>
      <c r="D158" s="1822"/>
      <c r="E158" s="1822"/>
      <c r="F158" s="562"/>
      <c r="G158" s="562"/>
      <c r="H158" s="562"/>
      <c r="I158" s="562"/>
      <c r="J158" s="604"/>
      <c r="K158" s="562"/>
      <c r="L158" s="604">
        <v>7.15</v>
      </c>
      <c r="M158" s="603"/>
      <c r="N158" s="602"/>
      <c r="V158" s="674"/>
      <c r="W158" s="675"/>
      <c r="X158" s="675"/>
      <c r="AB158" s="680"/>
      <c r="AC158" s="537" t="s">
        <v>319</v>
      </c>
      <c r="AE158" s="675"/>
    </row>
    <row r="159" spans="1:31" s="536" customFormat="1" ht="33.75" x14ac:dyDescent="0.2">
      <c r="A159" s="605"/>
      <c r="B159" s="552" t="s">
        <v>849</v>
      </c>
      <c r="C159" s="1822" t="s">
        <v>850</v>
      </c>
      <c r="D159" s="1822"/>
      <c r="E159" s="1822"/>
      <c r="F159" s="562" t="s">
        <v>322</v>
      </c>
      <c r="G159" s="562" t="s">
        <v>851</v>
      </c>
      <c r="H159" s="562"/>
      <c r="I159" s="562" t="s">
        <v>851</v>
      </c>
      <c r="J159" s="604"/>
      <c r="K159" s="562"/>
      <c r="L159" s="604">
        <v>7.72</v>
      </c>
      <c r="M159" s="603"/>
      <c r="N159" s="602"/>
      <c r="V159" s="674"/>
      <c r="W159" s="675"/>
      <c r="X159" s="675"/>
      <c r="AB159" s="680"/>
      <c r="AC159" s="537" t="s">
        <v>850</v>
      </c>
      <c r="AE159" s="675"/>
    </row>
    <row r="160" spans="1:31" s="536" customFormat="1" ht="33.75" x14ac:dyDescent="0.2">
      <c r="A160" s="605"/>
      <c r="B160" s="552" t="s">
        <v>852</v>
      </c>
      <c r="C160" s="1822" t="s">
        <v>853</v>
      </c>
      <c r="D160" s="1822"/>
      <c r="E160" s="1822"/>
      <c r="F160" s="562" t="s">
        <v>322</v>
      </c>
      <c r="G160" s="562" t="s">
        <v>789</v>
      </c>
      <c r="H160" s="562"/>
      <c r="I160" s="562" t="s">
        <v>789</v>
      </c>
      <c r="J160" s="604"/>
      <c r="K160" s="562"/>
      <c r="L160" s="604">
        <v>3.93</v>
      </c>
      <c r="M160" s="603"/>
      <c r="N160" s="602"/>
      <c r="V160" s="674"/>
      <c r="W160" s="675"/>
      <c r="X160" s="675"/>
      <c r="AB160" s="680"/>
      <c r="AC160" s="537" t="s">
        <v>853</v>
      </c>
      <c r="AE160" s="675"/>
    </row>
    <row r="161" spans="1:31" s="536" customFormat="1" ht="12" x14ac:dyDescent="0.2">
      <c r="A161" s="569"/>
      <c r="B161" s="683"/>
      <c r="C161" s="1823" t="s">
        <v>327</v>
      </c>
      <c r="D161" s="1823"/>
      <c r="E161" s="1823"/>
      <c r="F161" s="573"/>
      <c r="G161" s="573"/>
      <c r="H161" s="573"/>
      <c r="I161" s="573"/>
      <c r="J161" s="572"/>
      <c r="K161" s="573"/>
      <c r="L161" s="572">
        <v>21</v>
      </c>
      <c r="M161" s="601"/>
      <c r="N161" s="570"/>
      <c r="V161" s="674"/>
      <c r="W161" s="675"/>
      <c r="X161" s="675"/>
      <c r="AB161" s="680"/>
      <c r="AE161" s="675" t="s">
        <v>327</v>
      </c>
    </row>
    <row r="162" spans="1:31" s="536" customFormat="1" ht="90" x14ac:dyDescent="0.2">
      <c r="A162" s="575" t="s">
        <v>3164</v>
      </c>
      <c r="B162" s="684" t="s">
        <v>872</v>
      </c>
      <c r="C162" s="1823" t="s">
        <v>873</v>
      </c>
      <c r="D162" s="1823"/>
      <c r="E162" s="1823"/>
      <c r="F162" s="573" t="s">
        <v>617</v>
      </c>
      <c r="G162" s="573"/>
      <c r="H162" s="573"/>
      <c r="I162" s="573" t="s">
        <v>185</v>
      </c>
      <c r="J162" s="572">
        <v>34147.410000000003</v>
      </c>
      <c r="K162" s="573" t="s">
        <v>629</v>
      </c>
      <c r="L162" s="572">
        <v>7528.76</v>
      </c>
      <c r="M162" s="571">
        <v>4.59</v>
      </c>
      <c r="N162" s="570">
        <v>34557</v>
      </c>
      <c r="V162" s="674"/>
      <c r="W162" s="675"/>
      <c r="X162" s="675" t="s">
        <v>873</v>
      </c>
      <c r="AB162" s="680"/>
      <c r="AE162" s="675"/>
    </row>
    <row r="163" spans="1:31" s="536" customFormat="1" ht="12" x14ac:dyDescent="0.2">
      <c r="A163" s="569"/>
      <c r="B163" s="683"/>
      <c r="C163" s="689" t="s">
        <v>630</v>
      </c>
      <c r="D163" s="690"/>
      <c r="E163" s="690"/>
      <c r="F163" s="563"/>
      <c r="G163" s="563"/>
      <c r="H163" s="563"/>
      <c r="I163" s="563"/>
      <c r="J163" s="566"/>
      <c r="K163" s="563"/>
      <c r="L163" s="566"/>
      <c r="M163" s="565"/>
      <c r="N163" s="564"/>
      <c r="V163" s="674"/>
      <c r="W163" s="675"/>
      <c r="X163" s="675"/>
      <c r="AB163" s="680"/>
      <c r="AE163" s="675"/>
    </row>
    <row r="164" spans="1:31" s="536" customFormat="1" ht="22.5" x14ac:dyDescent="0.2">
      <c r="A164" s="609"/>
      <c r="B164" s="552" t="s">
        <v>631</v>
      </c>
      <c r="C164" s="1822" t="s">
        <v>632</v>
      </c>
      <c r="D164" s="1822"/>
      <c r="E164" s="1822"/>
      <c r="F164" s="1822"/>
      <c r="G164" s="1822"/>
      <c r="H164" s="1822"/>
      <c r="I164" s="1822"/>
      <c r="J164" s="1822"/>
      <c r="K164" s="1822"/>
      <c r="L164" s="1822"/>
      <c r="M164" s="1822"/>
      <c r="N164" s="1827"/>
      <c r="V164" s="674"/>
      <c r="W164" s="675"/>
      <c r="X164" s="675"/>
      <c r="Z164" s="537" t="s">
        <v>632</v>
      </c>
      <c r="AB164" s="680"/>
      <c r="AE164" s="675"/>
    </row>
    <row r="165" spans="1:31" s="536" customFormat="1" ht="33.75" x14ac:dyDescent="0.2">
      <c r="A165" s="575" t="s">
        <v>898</v>
      </c>
      <c r="B165" s="684" t="s">
        <v>877</v>
      </c>
      <c r="C165" s="1823" t="s">
        <v>878</v>
      </c>
      <c r="D165" s="1823"/>
      <c r="E165" s="1823"/>
      <c r="F165" s="573" t="s">
        <v>617</v>
      </c>
      <c r="G165" s="573"/>
      <c r="H165" s="573"/>
      <c r="I165" s="573" t="s">
        <v>185</v>
      </c>
      <c r="J165" s="572">
        <v>5052.1899999999996</v>
      </c>
      <c r="K165" s="573" t="s">
        <v>629</v>
      </c>
      <c r="L165" s="572">
        <v>1113.94</v>
      </c>
      <c r="M165" s="571">
        <v>4.59</v>
      </c>
      <c r="N165" s="570">
        <v>5113</v>
      </c>
      <c r="V165" s="674"/>
      <c r="W165" s="675"/>
      <c r="X165" s="675" t="s">
        <v>878</v>
      </c>
      <c r="AB165" s="680"/>
      <c r="AE165" s="675"/>
    </row>
    <row r="166" spans="1:31" s="536" customFormat="1" ht="12" x14ac:dyDescent="0.2">
      <c r="A166" s="569"/>
      <c r="B166" s="683"/>
      <c r="C166" s="689" t="s">
        <v>630</v>
      </c>
      <c r="D166" s="690"/>
      <c r="E166" s="690"/>
      <c r="F166" s="563"/>
      <c r="G166" s="563"/>
      <c r="H166" s="563"/>
      <c r="I166" s="563"/>
      <c r="J166" s="566"/>
      <c r="K166" s="563"/>
      <c r="L166" s="566"/>
      <c r="M166" s="565"/>
      <c r="N166" s="564"/>
      <c r="V166" s="674"/>
      <c r="W166" s="675"/>
      <c r="X166" s="675"/>
      <c r="AB166" s="680"/>
      <c r="AE166" s="675"/>
    </row>
    <row r="167" spans="1:31" s="536" customFormat="1" ht="22.5" x14ac:dyDescent="0.2">
      <c r="A167" s="609"/>
      <c r="B167" s="552" t="s">
        <v>631</v>
      </c>
      <c r="C167" s="1822" t="s">
        <v>632</v>
      </c>
      <c r="D167" s="1822"/>
      <c r="E167" s="1822"/>
      <c r="F167" s="1822"/>
      <c r="G167" s="1822"/>
      <c r="H167" s="1822"/>
      <c r="I167" s="1822"/>
      <c r="J167" s="1822"/>
      <c r="K167" s="1822"/>
      <c r="L167" s="1822"/>
      <c r="M167" s="1822"/>
      <c r="N167" s="1827"/>
      <c r="V167" s="674"/>
      <c r="W167" s="675"/>
      <c r="X167" s="675"/>
      <c r="Z167" s="537" t="s">
        <v>632</v>
      </c>
      <c r="AB167" s="680"/>
      <c r="AE167" s="675"/>
    </row>
    <row r="168" spans="1:31" s="536" customFormat="1" ht="33.75" x14ac:dyDescent="0.2">
      <c r="A168" s="575" t="s">
        <v>899</v>
      </c>
      <c r="B168" s="684" t="s">
        <v>879</v>
      </c>
      <c r="C168" s="1823" t="s">
        <v>880</v>
      </c>
      <c r="D168" s="1823"/>
      <c r="E168" s="1823"/>
      <c r="F168" s="573" t="s">
        <v>617</v>
      </c>
      <c r="G168" s="573"/>
      <c r="H168" s="573"/>
      <c r="I168" s="573" t="s">
        <v>188</v>
      </c>
      <c r="J168" s="572">
        <v>1622.66</v>
      </c>
      <c r="K168" s="573" t="s">
        <v>629</v>
      </c>
      <c r="L168" s="572">
        <v>1431.15</v>
      </c>
      <c r="M168" s="571">
        <v>4.59</v>
      </c>
      <c r="N168" s="570">
        <v>6569</v>
      </c>
      <c r="V168" s="674"/>
      <c r="W168" s="675"/>
      <c r="X168" s="675" t="s">
        <v>880</v>
      </c>
      <c r="AB168" s="680"/>
      <c r="AE168" s="675"/>
    </row>
    <row r="169" spans="1:31" s="536" customFormat="1" ht="12" x14ac:dyDescent="0.2">
      <c r="A169" s="569"/>
      <c r="B169" s="683"/>
      <c r="C169" s="689" t="s">
        <v>630</v>
      </c>
      <c r="D169" s="690"/>
      <c r="E169" s="690"/>
      <c r="F169" s="563"/>
      <c r="G169" s="563"/>
      <c r="H169" s="563"/>
      <c r="I169" s="563"/>
      <c r="J169" s="566"/>
      <c r="K169" s="563"/>
      <c r="L169" s="566"/>
      <c r="M169" s="565"/>
      <c r="N169" s="564"/>
      <c r="V169" s="674"/>
      <c r="W169" s="675"/>
      <c r="X169" s="675"/>
      <c r="AB169" s="680"/>
      <c r="AE169" s="675"/>
    </row>
    <row r="170" spans="1:31" s="536" customFormat="1" ht="22.5" x14ac:dyDescent="0.2">
      <c r="A170" s="609"/>
      <c r="B170" s="552" t="s">
        <v>631</v>
      </c>
      <c r="C170" s="1822" t="s">
        <v>632</v>
      </c>
      <c r="D170" s="1822"/>
      <c r="E170" s="1822"/>
      <c r="F170" s="1822"/>
      <c r="G170" s="1822"/>
      <c r="H170" s="1822"/>
      <c r="I170" s="1822"/>
      <c r="J170" s="1822"/>
      <c r="K170" s="1822"/>
      <c r="L170" s="1822"/>
      <c r="M170" s="1822"/>
      <c r="N170" s="1827"/>
      <c r="V170" s="674"/>
      <c r="W170" s="675"/>
      <c r="X170" s="675"/>
      <c r="Z170" s="537" t="s">
        <v>632</v>
      </c>
      <c r="AB170" s="680"/>
      <c r="AE170" s="675"/>
    </row>
    <row r="171" spans="1:31" s="536" customFormat="1" ht="33.75" x14ac:dyDescent="0.2">
      <c r="A171" s="575" t="s">
        <v>723</v>
      </c>
      <c r="B171" s="684" t="s">
        <v>882</v>
      </c>
      <c r="C171" s="1823" t="s">
        <v>883</v>
      </c>
      <c r="D171" s="1823"/>
      <c r="E171" s="1823"/>
      <c r="F171" s="573" t="s">
        <v>617</v>
      </c>
      <c r="G171" s="573"/>
      <c r="H171" s="573"/>
      <c r="I171" s="573" t="s">
        <v>185</v>
      </c>
      <c r="J171" s="572">
        <v>27879.09</v>
      </c>
      <c r="K171" s="573" t="s">
        <v>629</v>
      </c>
      <c r="L171" s="572">
        <v>6146.84</v>
      </c>
      <c r="M171" s="571">
        <v>4.59</v>
      </c>
      <c r="N171" s="570">
        <v>28214</v>
      </c>
      <c r="V171" s="674"/>
      <c r="W171" s="675"/>
      <c r="X171" s="675" t="s">
        <v>883</v>
      </c>
      <c r="AB171" s="680"/>
      <c r="AE171" s="675"/>
    </row>
    <row r="172" spans="1:31" s="536" customFormat="1" ht="12" x14ac:dyDescent="0.2">
      <c r="A172" s="569"/>
      <c r="B172" s="683"/>
      <c r="C172" s="689" t="s">
        <v>630</v>
      </c>
      <c r="D172" s="690"/>
      <c r="E172" s="690"/>
      <c r="F172" s="563"/>
      <c r="G172" s="563"/>
      <c r="H172" s="563"/>
      <c r="I172" s="563"/>
      <c r="J172" s="566"/>
      <c r="K172" s="563"/>
      <c r="L172" s="566"/>
      <c r="M172" s="565"/>
      <c r="N172" s="564"/>
      <c r="V172" s="674"/>
      <c r="W172" s="675"/>
      <c r="X172" s="675"/>
      <c r="AB172" s="680"/>
      <c r="AE172" s="675"/>
    </row>
    <row r="173" spans="1:31" s="536" customFormat="1" ht="22.5" x14ac:dyDescent="0.2">
      <c r="A173" s="609"/>
      <c r="B173" s="552" t="s">
        <v>631</v>
      </c>
      <c r="C173" s="1822" t="s">
        <v>632</v>
      </c>
      <c r="D173" s="1822"/>
      <c r="E173" s="1822"/>
      <c r="F173" s="1822"/>
      <c r="G173" s="1822"/>
      <c r="H173" s="1822"/>
      <c r="I173" s="1822"/>
      <c r="J173" s="1822"/>
      <c r="K173" s="1822"/>
      <c r="L173" s="1822"/>
      <c r="M173" s="1822"/>
      <c r="N173" s="1827"/>
      <c r="V173" s="674"/>
      <c r="W173" s="675"/>
      <c r="X173" s="675"/>
      <c r="Z173" s="537" t="s">
        <v>632</v>
      </c>
      <c r="AB173" s="680"/>
      <c r="AE173" s="675"/>
    </row>
    <row r="174" spans="1:31" s="536" customFormat="1" ht="12" x14ac:dyDescent="0.2">
      <c r="A174" s="1830" t="s">
        <v>933</v>
      </c>
      <c r="B174" s="1831"/>
      <c r="C174" s="1831"/>
      <c r="D174" s="1831"/>
      <c r="E174" s="1831"/>
      <c r="F174" s="1831"/>
      <c r="G174" s="1831"/>
      <c r="H174" s="1831"/>
      <c r="I174" s="1831"/>
      <c r="J174" s="1831"/>
      <c r="K174" s="1831"/>
      <c r="L174" s="1831"/>
      <c r="M174" s="1831"/>
      <c r="N174" s="1832"/>
      <c r="V174" s="674"/>
      <c r="W174" s="675" t="s">
        <v>933</v>
      </c>
      <c r="X174" s="675"/>
      <c r="AB174" s="680"/>
      <c r="AE174" s="675"/>
    </row>
    <row r="175" spans="1:31" s="536" customFormat="1" ht="78.75" x14ac:dyDescent="0.2">
      <c r="A175" s="575" t="s">
        <v>907</v>
      </c>
      <c r="B175" s="684" t="s">
        <v>901</v>
      </c>
      <c r="C175" s="1823" t="s">
        <v>902</v>
      </c>
      <c r="D175" s="1823"/>
      <c r="E175" s="1823"/>
      <c r="F175" s="573" t="s">
        <v>617</v>
      </c>
      <c r="G175" s="573"/>
      <c r="H175" s="573"/>
      <c r="I175" s="573" t="s">
        <v>186</v>
      </c>
      <c r="J175" s="572">
        <v>30656.560000000001</v>
      </c>
      <c r="K175" s="573" t="s">
        <v>903</v>
      </c>
      <c r="L175" s="572">
        <v>14059.04</v>
      </c>
      <c r="M175" s="571">
        <v>4.59</v>
      </c>
      <c r="N175" s="570">
        <v>64531</v>
      </c>
      <c r="V175" s="674"/>
      <c r="W175" s="675"/>
      <c r="X175" s="675" t="s">
        <v>902</v>
      </c>
      <c r="AB175" s="680"/>
      <c r="AE175" s="675"/>
    </row>
    <row r="176" spans="1:31" s="536" customFormat="1" ht="12" x14ac:dyDescent="0.2">
      <c r="A176" s="569"/>
      <c r="B176" s="683"/>
      <c r="C176" s="689" t="s">
        <v>630</v>
      </c>
      <c r="D176" s="690"/>
      <c r="E176" s="690"/>
      <c r="F176" s="563"/>
      <c r="G176" s="563"/>
      <c r="H176" s="563"/>
      <c r="I176" s="563"/>
      <c r="J176" s="566"/>
      <c r="K176" s="563"/>
      <c r="L176" s="566"/>
      <c r="M176" s="565"/>
      <c r="N176" s="564"/>
      <c r="V176" s="674"/>
      <c r="W176" s="675"/>
      <c r="X176" s="675"/>
      <c r="AB176" s="680"/>
      <c r="AE176" s="675"/>
    </row>
    <row r="177" spans="1:31" s="536" customFormat="1" ht="67.5" x14ac:dyDescent="0.2">
      <c r="A177" s="609"/>
      <c r="B177" s="552" t="s">
        <v>904</v>
      </c>
      <c r="C177" s="1822" t="s">
        <v>905</v>
      </c>
      <c r="D177" s="1822"/>
      <c r="E177" s="1822"/>
      <c r="F177" s="1822"/>
      <c r="G177" s="1822"/>
      <c r="H177" s="1822"/>
      <c r="I177" s="1822"/>
      <c r="J177" s="1822"/>
      <c r="K177" s="1822"/>
      <c r="L177" s="1822"/>
      <c r="M177" s="1822"/>
      <c r="N177" s="1827"/>
      <c r="V177" s="674"/>
      <c r="W177" s="675"/>
      <c r="X177" s="675"/>
      <c r="Z177" s="537" t="s">
        <v>905</v>
      </c>
      <c r="AB177" s="680"/>
      <c r="AE177" s="675"/>
    </row>
    <row r="178" spans="1:31" s="536" customFormat="1" ht="22.5" x14ac:dyDescent="0.2">
      <c r="A178" s="609"/>
      <c r="B178" s="552" t="s">
        <v>631</v>
      </c>
      <c r="C178" s="1822" t="s">
        <v>632</v>
      </c>
      <c r="D178" s="1822"/>
      <c r="E178" s="1822"/>
      <c r="F178" s="1822"/>
      <c r="G178" s="1822"/>
      <c r="H178" s="1822"/>
      <c r="I178" s="1822"/>
      <c r="J178" s="1822"/>
      <c r="K178" s="1822"/>
      <c r="L178" s="1822"/>
      <c r="M178" s="1822"/>
      <c r="N178" s="1827"/>
      <c r="V178" s="674"/>
      <c r="W178" s="675"/>
      <c r="X178" s="675"/>
      <c r="Z178" s="537" t="s">
        <v>632</v>
      </c>
      <c r="AB178" s="680"/>
      <c r="AE178" s="675"/>
    </row>
    <row r="179" spans="1:31" s="536" customFormat="1" ht="12" x14ac:dyDescent="0.2">
      <c r="A179" s="1830" t="s">
        <v>934</v>
      </c>
      <c r="B179" s="1831"/>
      <c r="C179" s="1831"/>
      <c r="D179" s="1831"/>
      <c r="E179" s="1831"/>
      <c r="F179" s="1831"/>
      <c r="G179" s="1831"/>
      <c r="H179" s="1831"/>
      <c r="I179" s="1831"/>
      <c r="J179" s="1831"/>
      <c r="K179" s="1831"/>
      <c r="L179" s="1831"/>
      <c r="M179" s="1831"/>
      <c r="N179" s="1832"/>
      <c r="V179" s="674"/>
      <c r="W179" s="675" t="s">
        <v>934</v>
      </c>
      <c r="X179" s="675"/>
      <c r="AB179" s="680"/>
      <c r="AE179" s="675"/>
    </row>
    <row r="180" spans="1:31" s="536" customFormat="1" ht="12" x14ac:dyDescent="0.2">
      <c r="A180" s="1830" t="s">
        <v>937</v>
      </c>
      <c r="B180" s="1831"/>
      <c r="C180" s="1831"/>
      <c r="D180" s="1831"/>
      <c r="E180" s="1831"/>
      <c r="F180" s="1831"/>
      <c r="G180" s="1831"/>
      <c r="H180" s="1831"/>
      <c r="I180" s="1831"/>
      <c r="J180" s="1831"/>
      <c r="K180" s="1831"/>
      <c r="L180" s="1831"/>
      <c r="M180" s="1831"/>
      <c r="N180" s="1832"/>
      <c r="V180" s="674"/>
      <c r="W180" s="675" t="s">
        <v>937</v>
      </c>
      <c r="X180" s="675"/>
      <c r="AB180" s="680"/>
      <c r="AE180" s="675"/>
    </row>
    <row r="181" spans="1:31" s="536" customFormat="1" ht="33.75" x14ac:dyDescent="0.2">
      <c r="A181" s="575" t="s">
        <v>3143</v>
      </c>
      <c r="B181" s="684" t="s">
        <v>879</v>
      </c>
      <c r="C181" s="1823" t="s">
        <v>880</v>
      </c>
      <c r="D181" s="1823"/>
      <c r="E181" s="1823"/>
      <c r="F181" s="573" t="s">
        <v>617</v>
      </c>
      <c r="G181" s="573"/>
      <c r="H181" s="573"/>
      <c r="I181" s="573" t="s">
        <v>185</v>
      </c>
      <c r="J181" s="572">
        <v>1622.66</v>
      </c>
      <c r="K181" s="573" t="s">
        <v>629</v>
      </c>
      <c r="L181" s="572">
        <v>357.73</v>
      </c>
      <c r="M181" s="571">
        <v>4.59</v>
      </c>
      <c r="N181" s="570">
        <v>1642</v>
      </c>
      <c r="V181" s="674"/>
      <c r="W181" s="675"/>
      <c r="X181" s="675" t="s">
        <v>880</v>
      </c>
      <c r="AB181" s="680"/>
      <c r="AE181" s="675"/>
    </row>
    <row r="182" spans="1:31" s="536" customFormat="1" ht="12" x14ac:dyDescent="0.2">
      <c r="A182" s="569"/>
      <c r="B182" s="683"/>
      <c r="C182" s="689" t="s">
        <v>630</v>
      </c>
      <c r="D182" s="690"/>
      <c r="E182" s="690"/>
      <c r="F182" s="563"/>
      <c r="G182" s="563"/>
      <c r="H182" s="563"/>
      <c r="I182" s="563"/>
      <c r="J182" s="566"/>
      <c r="K182" s="563"/>
      <c r="L182" s="566"/>
      <c r="M182" s="565"/>
      <c r="N182" s="564"/>
      <c r="V182" s="674"/>
      <c r="W182" s="675"/>
      <c r="X182" s="675"/>
      <c r="AB182" s="680"/>
      <c r="AE182" s="675"/>
    </row>
    <row r="183" spans="1:31" s="536" customFormat="1" ht="22.5" x14ac:dyDescent="0.2">
      <c r="A183" s="609"/>
      <c r="B183" s="552" t="s">
        <v>631</v>
      </c>
      <c r="C183" s="1822" t="s">
        <v>632</v>
      </c>
      <c r="D183" s="1822"/>
      <c r="E183" s="1822"/>
      <c r="F183" s="1822"/>
      <c r="G183" s="1822"/>
      <c r="H183" s="1822"/>
      <c r="I183" s="1822"/>
      <c r="J183" s="1822"/>
      <c r="K183" s="1822"/>
      <c r="L183" s="1822"/>
      <c r="M183" s="1822"/>
      <c r="N183" s="1827"/>
      <c r="V183" s="674"/>
      <c r="W183" s="675"/>
      <c r="X183" s="675"/>
      <c r="Z183" s="537" t="s">
        <v>632</v>
      </c>
      <c r="AB183" s="680"/>
      <c r="AE183" s="675"/>
    </row>
    <row r="184" spans="1:31" s="536" customFormat="1" ht="33.75" x14ac:dyDescent="0.2">
      <c r="A184" s="575" t="s">
        <v>910</v>
      </c>
      <c r="B184" s="684" t="s">
        <v>882</v>
      </c>
      <c r="C184" s="1823" t="s">
        <v>883</v>
      </c>
      <c r="D184" s="1823"/>
      <c r="E184" s="1823"/>
      <c r="F184" s="573" t="s">
        <v>617</v>
      </c>
      <c r="G184" s="573"/>
      <c r="H184" s="573"/>
      <c r="I184" s="573" t="s">
        <v>185</v>
      </c>
      <c r="J184" s="572">
        <v>27879.09</v>
      </c>
      <c r="K184" s="573" t="s">
        <v>629</v>
      </c>
      <c r="L184" s="572">
        <v>6146.84</v>
      </c>
      <c r="M184" s="571">
        <v>4.59</v>
      </c>
      <c r="N184" s="570">
        <v>28214</v>
      </c>
      <c r="V184" s="674"/>
      <c r="W184" s="675"/>
      <c r="X184" s="675" t="s">
        <v>883</v>
      </c>
      <c r="AB184" s="680"/>
      <c r="AE184" s="675"/>
    </row>
    <row r="185" spans="1:31" s="536" customFormat="1" ht="12" x14ac:dyDescent="0.2">
      <c r="A185" s="569"/>
      <c r="B185" s="683"/>
      <c r="C185" s="689" t="s">
        <v>630</v>
      </c>
      <c r="D185" s="690"/>
      <c r="E185" s="690"/>
      <c r="F185" s="563"/>
      <c r="G185" s="563"/>
      <c r="H185" s="563"/>
      <c r="I185" s="563"/>
      <c r="J185" s="566"/>
      <c r="K185" s="563"/>
      <c r="L185" s="566"/>
      <c r="M185" s="565"/>
      <c r="N185" s="564"/>
      <c r="V185" s="674"/>
      <c r="W185" s="675"/>
      <c r="X185" s="675"/>
      <c r="AB185" s="680"/>
      <c r="AE185" s="675"/>
    </row>
    <row r="186" spans="1:31" s="536" customFormat="1" ht="22.5" x14ac:dyDescent="0.2">
      <c r="A186" s="609"/>
      <c r="B186" s="552" t="s">
        <v>631</v>
      </c>
      <c r="C186" s="1822" t="s">
        <v>632</v>
      </c>
      <c r="D186" s="1822"/>
      <c r="E186" s="1822"/>
      <c r="F186" s="1822"/>
      <c r="G186" s="1822"/>
      <c r="H186" s="1822"/>
      <c r="I186" s="1822"/>
      <c r="J186" s="1822"/>
      <c r="K186" s="1822"/>
      <c r="L186" s="1822"/>
      <c r="M186" s="1822"/>
      <c r="N186" s="1827"/>
      <c r="V186" s="674"/>
      <c r="W186" s="675"/>
      <c r="X186" s="675"/>
      <c r="Z186" s="537" t="s">
        <v>632</v>
      </c>
      <c r="AB186" s="680"/>
      <c r="AE186" s="675"/>
    </row>
    <row r="187" spans="1:31" s="536" customFormat="1" ht="33.75" x14ac:dyDescent="0.2">
      <c r="A187" s="575" t="s">
        <v>746</v>
      </c>
      <c r="B187" s="684" t="s">
        <v>939</v>
      </c>
      <c r="C187" s="1823" t="s">
        <v>940</v>
      </c>
      <c r="D187" s="1823"/>
      <c r="E187" s="1823"/>
      <c r="F187" s="573" t="s">
        <v>617</v>
      </c>
      <c r="G187" s="573"/>
      <c r="H187" s="573"/>
      <c r="I187" s="573" t="s">
        <v>185</v>
      </c>
      <c r="J187" s="572">
        <v>5439.56</v>
      </c>
      <c r="K187" s="573" t="s">
        <v>629</v>
      </c>
      <c r="L187" s="572">
        <v>1199.3499999999999</v>
      </c>
      <c r="M187" s="571">
        <v>4.59</v>
      </c>
      <c r="N187" s="570">
        <v>5505</v>
      </c>
      <c r="V187" s="674"/>
      <c r="W187" s="675"/>
      <c r="X187" s="675" t="s">
        <v>940</v>
      </c>
      <c r="AB187" s="680"/>
      <c r="AE187" s="675"/>
    </row>
    <row r="188" spans="1:31" s="536" customFormat="1" ht="12" x14ac:dyDescent="0.2">
      <c r="A188" s="569"/>
      <c r="B188" s="683"/>
      <c r="C188" s="689" t="s">
        <v>630</v>
      </c>
      <c r="D188" s="690"/>
      <c r="E188" s="690"/>
      <c r="F188" s="563"/>
      <c r="G188" s="563"/>
      <c r="H188" s="563"/>
      <c r="I188" s="563"/>
      <c r="J188" s="566"/>
      <c r="K188" s="563"/>
      <c r="L188" s="566"/>
      <c r="M188" s="565"/>
      <c r="N188" s="564"/>
      <c r="V188" s="674"/>
      <c r="W188" s="675"/>
      <c r="X188" s="675"/>
      <c r="AB188" s="680"/>
      <c r="AE188" s="675"/>
    </row>
    <row r="189" spans="1:31" s="536" customFormat="1" ht="22.5" x14ac:dyDescent="0.2">
      <c r="A189" s="609"/>
      <c r="B189" s="552" t="s">
        <v>631</v>
      </c>
      <c r="C189" s="1822" t="s">
        <v>632</v>
      </c>
      <c r="D189" s="1822"/>
      <c r="E189" s="1822"/>
      <c r="F189" s="1822"/>
      <c r="G189" s="1822"/>
      <c r="H189" s="1822"/>
      <c r="I189" s="1822"/>
      <c r="J189" s="1822"/>
      <c r="K189" s="1822"/>
      <c r="L189" s="1822"/>
      <c r="M189" s="1822"/>
      <c r="N189" s="1827"/>
      <c r="V189" s="674"/>
      <c r="W189" s="675"/>
      <c r="X189" s="675"/>
      <c r="Z189" s="537" t="s">
        <v>632</v>
      </c>
      <c r="AB189" s="680"/>
      <c r="AE189" s="675"/>
    </row>
    <row r="190" spans="1:31" s="536" customFormat="1" ht="33.75" x14ac:dyDescent="0.2">
      <c r="A190" s="575" t="s">
        <v>749</v>
      </c>
      <c r="B190" s="684" t="s">
        <v>941</v>
      </c>
      <c r="C190" s="1823" t="s">
        <v>942</v>
      </c>
      <c r="D190" s="1823"/>
      <c r="E190" s="1823"/>
      <c r="F190" s="573" t="s">
        <v>617</v>
      </c>
      <c r="G190" s="573"/>
      <c r="H190" s="573"/>
      <c r="I190" s="573" t="s">
        <v>185</v>
      </c>
      <c r="J190" s="572">
        <v>735.35</v>
      </c>
      <c r="K190" s="573" t="s">
        <v>629</v>
      </c>
      <c r="L190" s="572">
        <v>162.09</v>
      </c>
      <c r="M190" s="571">
        <v>4.59</v>
      </c>
      <c r="N190" s="570">
        <v>744</v>
      </c>
      <c r="V190" s="674"/>
      <c r="W190" s="675"/>
      <c r="X190" s="675" t="s">
        <v>942</v>
      </c>
      <c r="AB190" s="680"/>
      <c r="AE190" s="675"/>
    </row>
    <row r="191" spans="1:31" s="536" customFormat="1" ht="12" x14ac:dyDescent="0.2">
      <c r="A191" s="569"/>
      <c r="B191" s="683"/>
      <c r="C191" s="689" t="s">
        <v>630</v>
      </c>
      <c r="D191" s="690"/>
      <c r="E191" s="690"/>
      <c r="F191" s="563"/>
      <c r="G191" s="563"/>
      <c r="H191" s="563"/>
      <c r="I191" s="563"/>
      <c r="J191" s="566"/>
      <c r="K191" s="563"/>
      <c r="L191" s="566"/>
      <c r="M191" s="565"/>
      <c r="N191" s="564"/>
      <c r="V191" s="674"/>
      <c r="W191" s="675"/>
      <c r="X191" s="675"/>
      <c r="AB191" s="680"/>
      <c r="AE191" s="675"/>
    </row>
    <row r="192" spans="1:31" s="536" customFormat="1" ht="22.5" x14ac:dyDescent="0.2">
      <c r="A192" s="609"/>
      <c r="B192" s="552" t="s">
        <v>631</v>
      </c>
      <c r="C192" s="1822" t="s">
        <v>632</v>
      </c>
      <c r="D192" s="1822"/>
      <c r="E192" s="1822"/>
      <c r="F192" s="1822"/>
      <c r="G192" s="1822"/>
      <c r="H192" s="1822"/>
      <c r="I192" s="1822"/>
      <c r="J192" s="1822"/>
      <c r="K192" s="1822"/>
      <c r="L192" s="1822"/>
      <c r="M192" s="1822"/>
      <c r="N192" s="1827"/>
      <c r="V192" s="674"/>
      <c r="W192" s="675"/>
      <c r="X192" s="675"/>
      <c r="Z192" s="537" t="s">
        <v>632</v>
      </c>
      <c r="AB192" s="680"/>
      <c r="AE192" s="675"/>
    </row>
    <row r="193" spans="1:31" s="536" customFormat="1" ht="33.75" x14ac:dyDescent="0.2">
      <c r="A193" s="575" t="s">
        <v>915</v>
      </c>
      <c r="B193" s="684" t="s">
        <v>943</v>
      </c>
      <c r="C193" s="1823" t="s">
        <v>944</v>
      </c>
      <c r="D193" s="1823"/>
      <c r="E193" s="1823"/>
      <c r="F193" s="573" t="s">
        <v>617</v>
      </c>
      <c r="G193" s="573"/>
      <c r="H193" s="573"/>
      <c r="I193" s="573" t="s">
        <v>186</v>
      </c>
      <c r="J193" s="572">
        <v>4111.72</v>
      </c>
      <c r="K193" s="573" t="s">
        <v>629</v>
      </c>
      <c r="L193" s="572">
        <v>1813.07</v>
      </c>
      <c r="M193" s="571">
        <v>4.59</v>
      </c>
      <c r="N193" s="570">
        <v>8322</v>
      </c>
      <c r="V193" s="674"/>
      <c r="W193" s="675"/>
      <c r="X193" s="675" t="s">
        <v>944</v>
      </c>
      <c r="AB193" s="680"/>
      <c r="AE193" s="675"/>
    </row>
    <row r="194" spans="1:31" s="536" customFormat="1" ht="12" x14ac:dyDescent="0.2">
      <c r="A194" s="569"/>
      <c r="B194" s="683"/>
      <c r="C194" s="689" t="s">
        <v>630</v>
      </c>
      <c r="D194" s="690"/>
      <c r="E194" s="690"/>
      <c r="F194" s="563"/>
      <c r="G194" s="563"/>
      <c r="H194" s="563"/>
      <c r="I194" s="563"/>
      <c r="J194" s="566"/>
      <c r="K194" s="563"/>
      <c r="L194" s="566"/>
      <c r="M194" s="565"/>
      <c r="N194" s="564"/>
      <c r="V194" s="674"/>
      <c r="W194" s="675"/>
      <c r="X194" s="675"/>
      <c r="AB194" s="680"/>
      <c r="AE194" s="675"/>
    </row>
    <row r="195" spans="1:31" s="536" customFormat="1" ht="22.5" x14ac:dyDescent="0.2">
      <c r="A195" s="609"/>
      <c r="B195" s="552" t="s">
        <v>631</v>
      </c>
      <c r="C195" s="1822" t="s">
        <v>632</v>
      </c>
      <c r="D195" s="1822"/>
      <c r="E195" s="1822"/>
      <c r="F195" s="1822"/>
      <c r="G195" s="1822"/>
      <c r="H195" s="1822"/>
      <c r="I195" s="1822"/>
      <c r="J195" s="1822"/>
      <c r="K195" s="1822"/>
      <c r="L195" s="1822"/>
      <c r="M195" s="1822"/>
      <c r="N195" s="1827"/>
      <c r="V195" s="674"/>
      <c r="W195" s="675"/>
      <c r="X195" s="675"/>
      <c r="Z195" s="537" t="s">
        <v>632</v>
      </c>
      <c r="AB195" s="680"/>
      <c r="AE195" s="675"/>
    </row>
    <row r="196" spans="1:31" s="536" customFormat="1" ht="12" x14ac:dyDescent="0.2">
      <c r="A196" s="575" t="s">
        <v>1079</v>
      </c>
      <c r="B196" s="684" t="s">
        <v>818</v>
      </c>
      <c r="C196" s="1823" t="s">
        <v>945</v>
      </c>
      <c r="D196" s="1823"/>
      <c r="E196" s="1823"/>
      <c r="F196" s="573" t="s">
        <v>617</v>
      </c>
      <c r="G196" s="573"/>
      <c r="H196" s="573"/>
      <c r="I196" s="573" t="s">
        <v>185</v>
      </c>
      <c r="J196" s="572"/>
      <c r="K196" s="573"/>
      <c r="L196" s="572"/>
      <c r="M196" s="571"/>
      <c r="N196" s="570"/>
      <c r="V196" s="674"/>
      <c r="W196" s="675"/>
      <c r="X196" s="675" t="s">
        <v>945</v>
      </c>
      <c r="AB196" s="680"/>
      <c r="AE196" s="675"/>
    </row>
    <row r="197" spans="1:31" s="536" customFormat="1" ht="22.5" x14ac:dyDescent="0.2">
      <c r="A197" s="609"/>
      <c r="B197" s="552" t="s">
        <v>499</v>
      </c>
      <c r="C197" s="1822" t="s">
        <v>500</v>
      </c>
      <c r="D197" s="1822"/>
      <c r="E197" s="1822"/>
      <c r="F197" s="1822"/>
      <c r="G197" s="1822"/>
      <c r="H197" s="1822"/>
      <c r="I197" s="1822"/>
      <c r="J197" s="1822"/>
      <c r="K197" s="1822"/>
      <c r="L197" s="1822"/>
      <c r="M197" s="1822"/>
      <c r="N197" s="1827"/>
      <c r="V197" s="674"/>
      <c r="W197" s="675"/>
      <c r="X197" s="675"/>
      <c r="Z197" s="537" t="s">
        <v>500</v>
      </c>
      <c r="AB197" s="680"/>
      <c r="AE197" s="675"/>
    </row>
    <row r="198" spans="1:31" s="536" customFormat="1" ht="12" x14ac:dyDescent="0.2">
      <c r="A198" s="605"/>
      <c r="B198" s="552" t="s">
        <v>185</v>
      </c>
      <c r="C198" s="1822" t="s">
        <v>312</v>
      </c>
      <c r="D198" s="1822"/>
      <c r="E198" s="1822"/>
      <c r="F198" s="562"/>
      <c r="G198" s="562"/>
      <c r="H198" s="562"/>
      <c r="I198" s="562"/>
      <c r="J198" s="604">
        <v>8.7899999999999991</v>
      </c>
      <c r="K198" s="562" t="s">
        <v>313</v>
      </c>
      <c r="L198" s="604">
        <v>10.99</v>
      </c>
      <c r="M198" s="603"/>
      <c r="N198" s="602"/>
      <c r="V198" s="674"/>
      <c r="W198" s="675"/>
      <c r="X198" s="675"/>
      <c r="AA198" s="537" t="s">
        <v>312</v>
      </c>
      <c r="AB198" s="680"/>
      <c r="AE198" s="675"/>
    </row>
    <row r="199" spans="1:31" s="536" customFormat="1" ht="12" x14ac:dyDescent="0.2">
      <c r="A199" s="605"/>
      <c r="B199" s="552" t="s">
        <v>186</v>
      </c>
      <c r="C199" s="1822" t="s">
        <v>344</v>
      </c>
      <c r="D199" s="1822"/>
      <c r="E199" s="1822"/>
      <c r="F199" s="562"/>
      <c r="G199" s="562"/>
      <c r="H199" s="562"/>
      <c r="I199" s="562"/>
      <c r="J199" s="604">
        <v>10.51</v>
      </c>
      <c r="K199" s="562" t="s">
        <v>313</v>
      </c>
      <c r="L199" s="604">
        <v>13.14</v>
      </c>
      <c r="M199" s="603"/>
      <c r="N199" s="602"/>
      <c r="V199" s="674"/>
      <c r="W199" s="675"/>
      <c r="X199" s="675"/>
      <c r="AA199" s="537" t="s">
        <v>344</v>
      </c>
      <c r="AB199" s="680"/>
      <c r="AE199" s="675"/>
    </row>
    <row r="200" spans="1:31" s="536" customFormat="1" ht="12" x14ac:dyDescent="0.2">
      <c r="A200" s="605"/>
      <c r="B200" s="552" t="s">
        <v>187</v>
      </c>
      <c r="C200" s="1822" t="s">
        <v>345</v>
      </c>
      <c r="D200" s="1822"/>
      <c r="E200" s="1822"/>
      <c r="F200" s="562"/>
      <c r="G200" s="562"/>
      <c r="H200" s="562"/>
      <c r="I200" s="562"/>
      <c r="J200" s="604">
        <v>1.86</v>
      </c>
      <c r="K200" s="562" t="s">
        <v>313</v>
      </c>
      <c r="L200" s="604">
        <v>2.33</v>
      </c>
      <c r="M200" s="603"/>
      <c r="N200" s="602"/>
      <c r="V200" s="674"/>
      <c r="W200" s="675"/>
      <c r="X200" s="675"/>
      <c r="AA200" s="537" t="s">
        <v>345</v>
      </c>
      <c r="AB200" s="680"/>
      <c r="AE200" s="675"/>
    </row>
    <row r="201" spans="1:31" s="536" customFormat="1" ht="12" x14ac:dyDescent="0.2">
      <c r="A201" s="605"/>
      <c r="B201" s="552" t="s">
        <v>188</v>
      </c>
      <c r="C201" s="1822" t="s">
        <v>475</v>
      </c>
      <c r="D201" s="1822"/>
      <c r="E201" s="1822"/>
      <c r="F201" s="562"/>
      <c r="G201" s="562"/>
      <c r="H201" s="562"/>
      <c r="I201" s="562"/>
      <c r="J201" s="604">
        <v>0.18</v>
      </c>
      <c r="K201" s="562"/>
      <c r="L201" s="604">
        <v>0.18</v>
      </c>
      <c r="M201" s="603"/>
      <c r="N201" s="602"/>
      <c r="V201" s="674"/>
      <c r="W201" s="675"/>
      <c r="X201" s="675"/>
      <c r="AA201" s="537" t="s">
        <v>475</v>
      </c>
      <c r="AB201" s="680"/>
      <c r="AE201" s="675"/>
    </row>
    <row r="202" spans="1:31" s="536" customFormat="1" ht="12" x14ac:dyDescent="0.2">
      <c r="A202" s="605"/>
      <c r="B202" s="552"/>
      <c r="C202" s="1822" t="s">
        <v>314</v>
      </c>
      <c r="D202" s="1822"/>
      <c r="E202" s="1822"/>
      <c r="F202" s="562" t="s">
        <v>315</v>
      </c>
      <c r="G202" s="562" t="s">
        <v>702</v>
      </c>
      <c r="H202" s="562" t="s">
        <v>313</v>
      </c>
      <c r="I202" s="562" t="s">
        <v>3173</v>
      </c>
      <c r="J202" s="604"/>
      <c r="K202" s="562"/>
      <c r="L202" s="604"/>
      <c r="M202" s="603"/>
      <c r="N202" s="602"/>
      <c r="V202" s="674"/>
      <c r="W202" s="675"/>
      <c r="X202" s="675"/>
      <c r="AB202" s="680"/>
      <c r="AC202" s="537" t="s">
        <v>314</v>
      </c>
      <c r="AE202" s="675"/>
    </row>
    <row r="203" spans="1:31" s="536" customFormat="1" ht="12" x14ac:dyDescent="0.2">
      <c r="A203" s="605"/>
      <c r="B203" s="552"/>
      <c r="C203" s="1822" t="s">
        <v>348</v>
      </c>
      <c r="D203" s="1822"/>
      <c r="E203" s="1822"/>
      <c r="F203" s="562" t="s">
        <v>315</v>
      </c>
      <c r="G203" s="562" t="s">
        <v>822</v>
      </c>
      <c r="H203" s="562" t="s">
        <v>313</v>
      </c>
      <c r="I203" s="562" t="s">
        <v>890</v>
      </c>
      <c r="J203" s="604"/>
      <c r="K203" s="562"/>
      <c r="L203" s="604"/>
      <c r="M203" s="603"/>
      <c r="N203" s="602"/>
      <c r="V203" s="674"/>
      <c r="W203" s="675"/>
      <c r="X203" s="675"/>
      <c r="AB203" s="680"/>
      <c r="AC203" s="537" t="s">
        <v>348</v>
      </c>
      <c r="AE203" s="675"/>
    </row>
    <row r="204" spans="1:31" s="536" customFormat="1" ht="12" x14ac:dyDescent="0.2">
      <c r="A204" s="605"/>
      <c r="B204" s="552"/>
      <c r="C204" s="1828" t="s">
        <v>318</v>
      </c>
      <c r="D204" s="1828"/>
      <c r="E204" s="1828"/>
      <c r="F204" s="608"/>
      <c r="G204" s="608"/>
      <c r="H204" s="608"/>
      <c r="I204" s="608"/>
      <c r="J204" s="607">
        <v>19.48</v>
      </c>
      <c r="K204" s="608"/>
      <c r="L204" s="607">
        <v>24.31</v>
      </c>
      <c r="M204" s="601"/>
      <c r="N204" s="606"/>
      <c r="V204" s="674"/>
      <c r="W204" s="675"/>
      <c r="X204" s="675"/>
      <c r="AB204" s="680"/>
      <c r="AD204" s="537" t="s">
        <v>318</v>
      </c>
      <c r="AE204" s="675"/>
    </row>
    <row r="205" spans="1:31" s="536" customFormat="1" ht="12" x14ac:dyDescent="0.2">
      <c r="A205" s="605"/>
      <c r="B205" s="552"/>
      <c r="C205" s="1822" t="s">
        <v>319</v>
      </c>
      <c r="D205" s="1822"/>
      <c r="E205" s="1822"/>
      <c r="F205" s="562"/>
      <c r="G205" s="562"/>
      <c r="H205" s="562"/>
      <c r="I205" s="562"/>
      <c r="J205" s="604"/>
      <c r="K205" s="562"/>
      <c r="L205" s="604">
        <v>13.32</v>
      </c>
      <c r="M205" s="603"/>
      <c r="N205" s="602"/>
      <c r="V205" s="674"/>
      <c r="W205" s="675"/>
      <c r="X205" s="675"/>
      <c r="AB205" s="680"/>
      <c r="AC205" s="537" t="s">
        <v>319</v>
      </c>
      <c r="AE205" s="675"/>
    </row>
    <row r="206" spans="1:31" s="536" customFormat="1" ht="33.75" x14ac:dyDescent="0.2">
      <c r="A206" s="605"/>
      <c r="B206" s="552" t="s">
        <v>948</v>
      </c>
      <c r="C206" s="1822" t="s">
        <v>949</v>
      </c>
      <c r="D206" s="1822"/>
      <c r="E206" s="1822"/>
      <c r="F206" s="562" t="s">
        <v>322</v>
      </c>
      <c r="G206" s="562" t="s">
        <v>886</v>
      </c>
      <c r="H206" s="562"/>
      <c r="I206" s="562" t="s">
        <v>886</v>
      </c>
      <c r="J206" s="604"/>
      <c r="K206" s="562"/>
      <c r="L206" s="604">
        <v>11.99</v>
      </c>
      <c r="M206" s="603"/>
      <c r="N206" s="602"/>
      <c r="V206" s="674"/>
      <c r="W206" s="675"/>
      <c r="X206" s="675"/>
      <c r="AB206" s="680"/>
      <c r="AC206" s="537" t="s">
        <v>949</v>
      </c>
      <c r="AE206" s="675"/>
    </row>
    <row r="207" spans="1:31" s="536" customFormat="1" ht="33.75" x14ac:dyDescent="0.2">
      <c r="A207" s="605"/>
      <c r="B207" s="552" t="s">
        <v>950</v>
      </c>
      <c r="C207" s="1822" t="s">
        <v>951</v>
      </c>
      <c r="D207" s="1822"/>
      <c r="E207" s="1822"/>
      <c r="F207" s="562" t="s">
        <v>322</v>
      </c>
      <c r="G207" s="562" t="s">
        <v>465</v>
      </c>
      <c r="H207" s="562"/>
      <c r="I207" s="562" t="s">
        <v>465</v>
      </c>
      <c r="J207" s="604"/>
      <c r="K207" s="562"/>
      <c r="L207" s="604">
        <v>6.13</v>
      </c>
      <c r="M207" s="603"/>
      <c r="N207" s="602"/>
      <c r="V207" s="674"/>
      <c r="W207" s="675"/>
      <c r="X207" s="675"/>
      <c r="AB207" s="680"/>
      <c r="AC207" s="537" t="s">
        <v>951</v>
      </c>
      <c r="AE207" s="675"/>
    </row>
    <row r="208" spans="1:31" s="536" customFormat="1" ht="12" x14ac:dyDescent="0.2">
      <c r="A208" s="569"/>
      <c r="B208" s="683"/>
      <c r="C208" s="1823" t="s">
        <v>327</v>
      </c>
      <c r="D208" s="1823"/>
      <c r="E208" s="1823"/>
      <c r="F208" s="573"/>
      <c r="G208" s="573"/>
      <c r="H208" s="573"/>
      <c r="I208" s="573"/>
      <c r="J208" s="572"/>
      <c r="K208" s="573"/>
      <c r="L208" s="572">
        <v>42.43</v>
      </c>
      <c r="M208" s="601"/>
      <c r="N208" s="570"/>
      <c r="V208" s="674"/>
      <c r="W208" s="675"/>
      <c r="X208" s="675"/>
      <c r="AB208" s="680"/>
      <c r="AE208" s="675" t="s">
        <v>327</v>
      </c>
    </row>
    <row r="209" spans="1:31" s="536" customFormat="1" ht="33.75" x14ac:dyDescent="0.2">
      <c r="A209" s="575" t="s">
        <v>916</v>
      </c>
      <c r="B209" s="684" t="s">
        <v>952</v>
      </c>
      <c r="C209" s="1823" t="s">
        <v>953</v>
      </c>
      <c r="D209" s="1823"/>
      <c r="E209" s="1823"/>
      <c r="F209" s="573" t="s">
        <v>617</v>
      </c>
      <c r="G209" s="573"/>
      <c r="H209" s="573"/>
      <c r="I209" s="573" t="s">
        <v>185</v>
      </c>
      <c r="J209" s="572">
        <v>6401.09</v>
      </c>
      <c r="K209" s="573" t="s">
        <v>629</v>
      </c>
      <c r="L209" s="572">
        <v>1411.33</v>
      </c>
      <c r="M209" s="571">
        <v>4.59</v>
      </c>
      <c r="N209" s="570">
        <v>6478</v>
      </c>
      <c r="V209" s="674"/>
      <c r="W209" s="675"/>
      <c r="X209" s="675" t="s">
        <v>953</v>
      </c>
      <c r="AB209" s="680"/>
      <c r="AE209" s="675"/>
    </row>
    <row r="210" spans="1:31" s="536" customFormat="1" ht="12" x14ac:dyDescent="0.2">
      <c r="A210" s="569"/>
      <c r="B210" s="683"/>
      <c r="C210" s="689" t="s">
        <v>630</v>
      </c>
      <c r="D210" s="690"/>
      <c r="E210" s="690"/>
      <c r="F210" s="563"/>
      <c r="G210" s="563"/>
      <c r="H210" s="563"/>
      <c r="I210" s="563"/>
      <c r="J210" s="566"/>
      <c r="K210" s="563"/>
      <c r="L210" s="566"/>
      <c r="M210" s="565"/>
      <c r="N210" s="564"/>
      <c r="V210" s="674"/>
      <c r="W210" s="675"/>
      <c r="X210" s="675"/>
      <c r="AB210" s="680"/>
      <c r="AE210" s="675"/>
    </row>
    <row r="211" spans="1:31" s="536" customFormat="1" ht="22.5" x14ac:dyDescent="0.2">
      <c r="A211" s="609"/>
      <c r="B211" s="552" t="s">
        <v>631</v>
      </c>
      <c r="C211" s="1822" t="s">
        <v>632</v>
      </c>
      <c r="D211" s="1822"/>
      <c r="E211" s="1822"/>
      <c r="F211" s="1822"/>
      <c r="G211" s="1822"/>
      <c r="H211" s="1822"/>
      <c r="I211" s="1822"/>
      <c r="J211" s="1822"/>
      <c r="K211" s="1822"/>
      <c r="L211" s="1822"/>
      <c r="M211" s="1822"/>
      <c r="N211" s="1827"/>
      <c r="V211" s="674"/>
      <c r="W211" s="675"/>
      <c r="X211" s="675"/>
      <c r="Z211" s="537" t="s">
        <v>632</v>
      </c>
      <c r="AB211" s="680"/>
      <c r="AE211" s="675"/>
    </row>
    <row r="212" spans="1:31" s="536" customFormat="1" ht="33.75" x14ac:dyDescent="0.2">
      <c r="A212" s="575" t="s">
        <v>760</v>
      </c>
      <c r="B212" s="684" t="s">
        <v>954</v>
      </c>
      <c r="C212" s="1823" t="s">
        <v>955</v>
      </c>
      <c r="D212" s="1823"/>
      <c r="E212" s="1823"/>
      <c r="F212" s="573" t="s">
        <v>617</v>
      </c>
      <c r="G212" s="573"/>
      <c r="H212" s="573"/>
      <c r="I212" s="573" t="s">
        <v>185</v>
      </c>
      <c r="J212" s="572">
        <v>8095.23</v>
      </c>
      <c r="K212" s="573" t="s">
        <v>629</v>
      </c>
      <c r="L212" s="572">
        <v>1784.75</v>
      </c>
      <c r="M212" s="571">
        <v>4.59</v>
      </c>
      <c r="N212" s="570">
        <v>8192</v>
      </c>
      <c r="V212" s="674"/>
      <c r="W212" s="675"/>
      <c r="X212" s="675" t="s">
        <v>955</v>
      </c>
      <c r="AB212" s="680"/>
      <c r="AE212" s="675"/>
    </row>
    <row r="213" spans="1:31" s="536" customFormat="1" ht="12" x14ac:dyDescent="0.2">
      <c r="A213" s="569"/>
      <c r="B213" s="683"/>
      <c r="C213" s="689" t="s">
        <v>630</v>
      </c>
      <c r="D213" s="690"/>
      <c r="E213" s="690"/>
      <c r="F213" s="563"/>
      <c r="G213" s="563"/>
      <c r="H213" s="563"/>
      <c r="I213" s="563"/>
      <c r="J213" s="566"/>
      <c r="K213" s="563"/>
      <c r="L213" s="566"/>
      <c r="M213" s="565"/>
      <c r="N213" s="564"/>
      <c r="V213" s="674"/>
      <c r="W213" s="675"/>
      <c r="X213" s="675"/>
      <c r="AB213" s="680"/>
      <c r="AE213" s="675"/>
    </row>
    <row r="214" spans="1:31" s="536" customFormat="1" ht="22.5" x14ac:dyDescent="0.2">
      <c r="A214" s="609"/>
      <c r="B214" s="552" t="s">
        <v>631</v>
      </c>
      <c r="C214" s="1822" t="s">
        <v>632</v>
      </c>
      <c r="D214" s="1822"/>
      <c r="E214" s="1822"/>
      <c r="F214" s="1822"/>
      <c r="G214" s="1822"/>
      <c r="H214" s="1822"/>
      <c r="I214" s="1822"/>
      <c r="J214" s="1822"/>
      <c r="K214" s="1822"/>
      <c r="L214" s="1822"/>
      <c r="M214" s="1822"/>
      <c r="N214" s="1827"/>
      <c r="V214" s="674"/>
      <c r="W214" s="675"/>
      <c r="X214" s="675"/>
      <c r="Z214" s="537" t="s">
        <v>632</v>
      </c>
      <c r="AB214" s="680"/>
      <c r="AE214" s="675"/>
    </row>
    <row r="215" spans="1:31" s="536" customFormat="1" ht="33.75" x14ac:dyDescent="0.2">
      <c r="A215" s="575" t="s">
        <v>918</v>
      </c>
      <c r="B215" s="684" t="s">
        <v>956</v>
      </c>
      <c r="C215" s="1823" t="s">
        <v>957</v>
      </c>
      <c r="D215" s="1823"/>
      <c r="E215" s="1823"/>
      <c r="F215" s="573" t="s">
        <v>617</v>
      </c>
      <c r="G215" s="573"/>
      <c r="H215" s="573"/>
      <c r="I215" s="573" t="s">
        <v>185</v>
      </c>
      <c r="J215" s="572">
        <v>1238.1099999999999</v>
      </c>
      <c r="K215" s="573" t="s">
        <v>629</v>
      </c>
      <c r="L215" s="572">
        <v>272.98</v>
      </c>
      <c r="M215" s="571">
        <v>4.59</v>
      </c>
      <c r="N215" s="570">
        <v>1253</v>
      </c>
      <c r="V215" s="674"/>
      <c r="W215" s="675"/>
      <c r="X215" s="675" t="s">
        <v>957</v>
      </c>
      <c r="AB215" s="680"/>
      <c r="AE215" s="675"/>
    </row>
    <row r="216" spans="1:31" s="536" customFormat="1" ht="12" x14ac:dyDescent="0.2">
      <c r="A216" s="569"/>
      <c r="B216" s="683"/>
      <c r="C216" s="689" t="s">
        <v>630</v>
      </c>
      <c r="D216" s="690"/>
      <c r="E216" s="690"/>
      <c r="F216" s="563"/>
      <c r="G216" s="563"/>
      <c r="H216" s="563"/>
      <c r="I216" s="563"/>
      <c r="J216" s="566"/>
      <c r="K216" s="563"/>
      <c r="L216" s="566"/>
      <c r="M216" s="565"/>
      <c r="N216" s="564"/>
      <c r="V216" s="674"/>
      <c r="W216" s="675"/>
      <c r="X216" s="675"/>
      <c r="AB216" s="680"/>
      <c r="AE216" s="675"/>
    </row>
    <row r="217" spans="1:31" s="536" customFormat="1" ht="22.5" x14ac:dyDescent="0.2">
      <c r="A217" s="609"/>
      <c r="B217" s="552" t="s">
        <v>631</v>
      </c>
      <c r="C217" s="1822" t="s">
        <v>632</v>
      </c>
      <c r="D217" s="1822"/>
      <c r="E217" s="1822"/>
      <c r="F217" s="1822"/>
      <c r="G217" s="1822"/>
      <c r="H217" s="1822"/>
      <c r="I217" s="1822"/>
      <c r="J217" s="1822"/>
      <c r="K217" s="1822"/>
      <c r="L217" s="1822"/>
      <c r="M217" s="1822"/>
      <c r="N217" s="1827"/>
      <c r="V217" s="674"/>
      <c r="W217" s="675"/>
      <c r="X217" s="675"/>
      <c r="Z217" s="537" t="s">
        <v>632</v>
      </c>
      <c r="AB217" s="680"/>
      <c r="AE217" s="675"/>
    </row>
    <row r="218" spans="1:31" s="536" customFormat="1" ht="22.5" x14ac:dyDescent="0.2">
      <c r="A218" s="575" t="s">
        <v>762</v>
      </c>
      <c r="B218" s="684" t="s">
        <v>841</v>
      </c>
      <c r="C218" s="1823" t="s">
        <v>842</v>
      </c>
      <c r="D218" s="1823"/>
      <c r="E218" s="1823"/>
      <c r="F218" s="573" t="s">
        <v>307</v>
      </c>
      <c r="G218" s="573"/>
      <c r="H218" s="573"/>
      <c r="I218" s="573" t="s">
        <v>695</v>
      </c>
      <c r="J218" s="572"/>
      <c r="K218" s="573"/>
      <c r="L218" s="572"/>
      <c r="M218" s="571"/>
      <c r="N218" s="570"/>
      <c r="V218" s="674"/>
      <c r="W218" s="675"/>
      <c r="X218" s="675" t="s">
        <v>842</v>
      </c>
      <c r="AB218" s="680"/>
      <c r="AE218" s="675"/>
    </row>
    <row r="219" spans="1:31" s="536" customFormat="1" ht="12" x14ac:dyDescent="0.2">
      <c r="A219" s="676"/>
      <c r="B219" s="682"/>
      <c r="C219" s="1822" t="s">
        <v>958</v>
      </c>
      <c r="D219" s="1822"/>
      <c r="E219" s="1822"/>
      <c r="F219" s="1822"/>
      <c r="G219" s="1822"/>
      <c r="H219" s="1822"/>
      <c r="I219" s="1822"/>
      <c r="J219" s="1822"/>
      <c r="K219" s="1822"/>
      <c r="L219" s="1822"/>
      <c r="M219" s="1822"/>
      <c r="N219" s="1827"/>
      <c r="V219" s="674"/>
      <c r="W219" s="675"/>
      <c r="X219" s="675"/>
      <c r="Y219" s="537" t="s">
        <v>958</v>
      </c>
      <c r="AB219" s="680"/>
      <c r="AE219" s="675"/>
    </row>
    <row r="220" spans="1:31" s="536" customFormat="1" ht="22.5" x14ac:dyDescent="0.2">
      <c r="A220" s="609"/>
      <c r="B220" s="552" t="s">
        <v>499</v>
      </c>
      <c r="C220" s="1822" t="s">
        <v>500</v>
      </c>
      <c r="D220" s="1822"/>
      <c r="E220" s="1822"/>
      <c r="F220" s="1822"/>
      <c r="G220" s="1822"/>
      <c r="H220" s="1822"/>
      <c r="I220" s="1822"/>
      <c r="J220" s="1822"/>
      <c r="K220" s="1822"/>
      <c r="L220" s="1822"/>
      <c r="M220" s="1822"/>
      <c r="N220" s="1827"/>
      <c r="V220" s="674"/>
      <c r="W220" s="675"/>
      <c r="X220" s="675"/>
      <c r="Z220" s="537" t="s">
        <v>500</v>
      </c>
      <c r="AB220" s="680"/>
      <c r="AE220" s="675"/>
    </row>
    <row r="221" spans="1:31" s="536" customFormat="1" ht="12" x14ac:dyDescent="0.2">
      <c r="A221" s="605"/>
      <c r="B221" s="552" t="s">
        <v>185</v>
      </c>
      <c r="C221" s="1822" t="s">
        <v>312</v>
      </c>
      <c r="D221" s="1822"/>
      <c r="E221" s="1822"/>
      <c r="F221" s="562"/>
      <c r="G221" s="562"/>
      <c r="H221" s="562"/>
      <c r="I221" s="562"/>
      <c r="J221" s="604">
        <v>542.95000000000005</v>
      </c>
      <c r="K221" s="562" t="s">
        <v>313</v>
      </c>
      <c r="L221" s="604">
        <v>13.57</v>
      </c>
      <c r="M221" s="603"/>
      <c r="N221" s="602"/>
      <c r="V221" s="674"/>
      <c r="W221" s="675"/>
      <c r="X221" s="675"/>
      <c r="AA221" s="537" t="s">
        <v>312</v>
      </c>
      <c r="AB221" s="680"/>
      <c r="AE221" s="675"/>
    </row>
    <row r="222" spans="1:31" s="536" customFormat="1" ht="12" x14ac:dyDescent="0.2">
      <c r="A222" s="605"/>
      <c r="B222" s="552" t="s">
        <v>186</v>
      </c>
      <c r="C222" s="1822" t="s">
        <v>344</v>
      </c>
      <c r="D222" s="1822"/>
      <c r="E222" s="1822"/>
      <c r="F222" s="562"/>
      <c r="G222" s="562"/>
      <c r="H222" s="562"/>
      <c r="I222" s="562"/>
      <c r="J222" s="604">
        <v>216.38</v>
      </c>
      <c r="K222" s="562" t="s">
        <v>313</v>
      </c>
      <c r="L222" s="604">
        <v>5.41</v>
      </c>
      <c r="M222" s="603"/>
      <c r="N222" s="602"/>
      <c r="V222" s="674"/>
      <c r="W222" s="675"/>
      <c r="X222" s="675"/>
      <c r="AA222" s="537" t="s">
        <v>344</v>
      </c>
      <c r="AB222" s="680"/>
      <c r="AE222" s="675"/>
    </row>
    <row r="223" spans="1:31" s="536" customFormat="1" ht="12" x14ac:dyDescent="0.2">
      <c r="A223" s="605"/>
      <c r="B223" s="552" t="s">
        <v>187</v>
      </c>
      <c r="C223" s="1822" t="s">
        <v>345</v>
      </c>
      <c r="D223" s="1822"/>
      <c r="E223" s="1822"/>
      <c r="F223" s="562"/>
      <c r="G223" s="562"/>
      <c r="H223" s="562"/>
      <c r="I223" s="562"/>
      <c r="J223" s="604">
        <v>52.01</v>
      </c>
      <c r="K223" s="562" t="s">
        <v>313</v>
      </c>
      <c r="L223" s="604">
        <v>1.3</v>
      </c>
      <c r="M223" s="603"/>
      <c r="N223" s="602"/>
      <c r="V223" s="674"/>
      <c r="W223" s="675"/>
      <c r="X223" s="675"/>
      <c r="AA223" s="537" t="s">
        <v>345</v>
      </c>
      <c r="AB223" s="680"/>
      <c r="AE223" s="675"/>
    </row>
    <row r="224" spans="1:31" s="536" customFormat="1" ht="12" x14ac:dyDescent="0.2">
      <c r="A224" s="605"/>
      <c r="B224" s="552" t="s">
        <v>188</v>
      </c>
      <c r="C224" s="1822" t="s">
        <v>475</v>
      </c>
      <c r="D224" s="1822"/>
      <c r="E224" s="1822"/>
      <c r="F224" s="562"/>
      <c r="G224" s="562"/>
      <c r="H224" s="562"/>
      <c r="I224" s="562"/>
      <c r="J224" s="604">
        <v>1633.36</v>
      </c>
      <c r="K224" s="562"/>
      <c r="L224" s="604">
        <v>32.67</v>
      </c>
      <c r="M224" s="603"/>
      <c r="N224" s="602"/>
      <c r="V224" s="674"/>
      <c r="W224" s="675"/>
      <c r="X224" s="675"/>
      <c r="AA224" s="537" t="s">
        <v>475</v>
      </c>
      <c r="AB224" s="680"/>
      <c r="AE224" s="675"/>
    </row>
    <row r="225" spans="1:31" s="536" customFormat="1" ht="12" x14ac:dyDescent="0.2">
      <c r="A225" s="676"/>
      <c r="B225" s="677" t="s">
        <v>9203</v>
      </c>
      <c r="C225" s="1829" t="s">
        <v>9204</v>
      </c>
      <c r="D225" s="1829"/>
      <c r="E225" s="1829"/>
      <c r="F225" s="678" t="s">
        <v>617</v>
      </c>
      <c r="G225" s="678" t="s">
        <v>844</v>
      </c>
      <c r="H225" s="678"/>
      <c r="I225" s="678" t="s">
        <v>186</v>
      </c>
      <c r="J225" s="552"/>
      <c r="K225" s="562"/>
      <c r="L225" s="604"/>
      <c r="M225" s="562"/>
      <c r="N225" s="679"/>
      <c r="V225" s="674"/>
      <c r="W225" s="675"/>
      <c r="X225" s="675"/>
      <c r="AB225" s="680" t="s">
        <v>9204</v>
      </c>
      <c r="AE225" s="675"/>
    </row>
    <row r="226" spans="1:31" s="536" customFormat="1" ht="12" x14ac:dyDescent="0.2">
      <c r="A226" s="605"/>
      <c r="B226" s="552"/>
      <c r="C226" s="1822" t="s">
        <v>314</v>
      </c>
      <c r="D226" s="1822"/>
      <c r="E226" s="1822"/>
      <c r="F226" s="562" t="s">
        <v>315</v>
      </c>
      <c r="G226" s="562" t="s">
        <v>845</v>
      </c>
      <c r="H226" s="562" t="s">
        <v>313</v>
      </c>
      <c r="I226" s="562" t="s">
        <v>959</v>
      </c>
      <c r="J226" s="604"/>
      <c r="K226" s="562"/>
      <c r="L226" s="604"/>
      <c r="M226" s="603"/>
      <c r="N226" s="602"/>
      <c r="V226" s="674"/>
      <c r="W226" s="675"/>
      <c r="X226" s="675"/>
      <c r="AB226" s="680"/>
      <c r="AC226" s="537" t="s">
        <v>314</v>
      </c>
      <c r="AE226" s="675"/>
    </row>
    <row r="227" spans="1:31" s="536" customFormat="1" ht="12" x14ac:dyDescent="0.2">
      <c r="A227" s="605"/>
      <c r="B227" s="552"/>
      <c r="C227" s="1822" t="s">
        <v>348</v>
      </c>
      <c r="D227" s="1822"/>
      <c r="E227" s="1822"/>
      <c r="F227" s="562" t="s">
        <v>315</v>
      </c>
      <c r="G227" s="562" t="s">
        <v>847</v>
      </c>
      <c r="H227" s="562" t="s">
        <v>313</v>
      </c>
      <c r="I227" s="562" t="s">
        <v>960</v>
      </c>
      <c r="J227" s="604"/>
      <c r="K227" s="562"/>
      <c r="L227" s="604"/>
      <c r="M227" s="603"/>
      <c r="N227" s="602"/>
      <c r="V227" s="674"/>
      <c r="W227" s="675"/>
      <c r="X227" s="675"/>
      <c r="AB227" s="680"/>
      <c r="AC227" s="537" t="s">
        <v>348</v>
      </c>
      <c r="AE227" s="675"/>
    </row>
    <row r="228" spans="1:31" s="536" customFormat="1" ht="12" x14ac:dyDescent="0.2">
      <c r="A228" s="605"/>
      <c r="B228" s="552"/>
      <c r="C228" s="1828" t="s">
        <v>318</v>
      </c>
      <c r="D228" s="1828"/>
      <c r="E228" s="1828"/>
      <c r="F228" s="608"/>
      <c r="G228" s="608"/>
      <c r="H228" s="608"/>
      <c r="I228" s="608"/>
      <c r="J228" s="607">
        <v>2392.69</v>
      </c>
      <c r="K228" s="608"/>
      <c r="L228" s="607">
        <v>51.65</v>
      </c>
      <c r="M228" s="601"/>
      <c r="N228" s="606"/>
      <c r="V228" s="674"/>
      <c r="W228" s="675"/>
      <c r="X228" s="675"/>
      <c r="AB228" s="680"/>
      <c r="AD228" s="537" t="s">
        <v>318</v>
      </c>
      <c r="AE228" s="675"/>
    </row>
    <row r="229" spans="1:31" s="536" customFormat="1" ht="12" x14ac:dyDescent="0.2">
      <c r="A229" s="605"/>
      <c r="B229" s="552"/>
      <c r="C229" s="1822" t="s">
        <v>319</v>
      </c>
      <c r="D229" s="1822"/>
      <c r="E229" s="1822"/>
      <c r="F229" s="562"/>
      <c r="G229" s="562"/>
      <c r="H229" s="562"/>
      <c r="I229" s="562"/>
      <c r="J229" s="604"/>
      <c r="K229" s="562"/>
      <c r="L229" s="604">
        <v>14.87</v>
      </c>
      <c r="M229" s="603"/>
      <c r="N229" s="602"/>
      <c r="V229" s="674"/>
      <c r="W229" s="675"/>
      <c r="X229" s="675"/>
      <c r="AB229" s="680"/>
      <c r="AC229" s="537" t="s">
        <v>319</v>
      </c>
      <c r="AE229" s="675"/>
    </row>
    <row r="230" spans="1:31" s="536" customFormat="1" ht="33.75" x14ac:dyDescent="0.2">
      <c r="A230" s="605"/>
      <c r="B230" s="552" t="s">
        <v>849</v>
      </c>
      <c r="C230" s="1822" t="s">
        <v>850</v>
      </c>
      <c r="D230" s="1822"/>
      <c r="E230" s="1822"/>
      <c r="F230" s="562" t="s">
        <v>322</v>
      </c>
      <c r="G230" s="562" t="s">
        <v>851</v>
      </c>
      <c r="H230" s="562"/>
      <c r="I230" s="562" t="s">
        <v>851</v>
      </c>
      <c r="J230" s="604"/>
      <c r="K230" s="562"/>
      <c r="L230" s="604">
        <v>16.059999999999999</v>
      </c>
      <c r="M230" s="603"/>
      <c r="N230" s="602"/>
      <c r="V230" s="674"/>
      <c r="W230" s="675"/>
      <c r="X230" s="675"/>
      <c r="AB230" s="680"/>
      <c r="AC230" s="537" t="s">
        <v>850</v>
      </c>
      <c r="AE230" s="675"/>
    </row>
    <row r="231" spans="1:31" s="536" customFormat="1" ht="33.75" x14ac:dyDescent="0.2">
      <c r="A231" s="605"/>
      <c r="B231" s="552" t="s">
        <v>852</v>
      </c>
      <c r="C231" s="1822" t="s">
        <v>853</v>
      </c>
      <c r="D231" s="1822"/>
      <c r="E231" s="1822"/>
      <c r="F231" s="562" t="s">
        <v>322</v>
      </c>
      <c r="G231" s="562" t="s">
        <v>789</v>
      </c>
      <c r="H231" s="562"/>
      <c r="I231" s="562" t="s">
        <v>789</v>
      </c>
      <c r="J231" s="604"/>
      <c r="K231" s="562"/>
      <c r="L231" s="604">
        <v>8.18</v>
      </c>
      <c r="M231" s="603"/>
      <c r="N231" s="602"/>
      <c r="V231" s="674"/>
      <c r="W231" s="675"/>
      <c r="X231" s="675"/>
      <c r="AB231" s="680"/>
      <c r="AC231" s="537" t="s">
        <v>853</v>
      </c>
      <c r="AE231" s="675"/>
    </row>
    <row r="232" spans="1:31" s="536" customFormat="1" ht="12" x14ac:dyDescent="0.2">
      <c r="A232" s="569"/>
      <c r="B232" s="683"/>
      <c r="C232" s="1823" t="s">
        <v>327</v>
      </c>
      <c r="D232" s="1823"/>
      <c r="E232" s="1823"/>
      <c r="F232" s="573"/>
      <c r="G232" s="573"/>
      <c r="H232" s="573"/>
      <c r="I232" s="573"/>
      <c r="J232" s="572"/>
      <c r="K232" s="573"/>
      <c r="L232" s="572">
        <v>75.89</v>
      </c>
      <c r="M232" s="601"/>
      <c r="N232" s="570"/>
      <c r="V232" s="674"/>
      <c r="W232" s="675"/>
      <c r="X232" s="675"/>
      <c r="AB232" s="680"/>
      <c r="AE232" s="675" t="s">
        <v>327</v>
      </c>
    </row>
    <row r="233" spans="1:31" s="536" customFormat="1" ht="33.75" x14ac:dyDescent="0.2">
      <c r="A233" s="575" t="s">
        <v>920</v>
      </c>
      <c r="B233" s="684" t="s">
        <v>961</v>
      </c>
      <c r="C233" s="1823" t="s">
        <v>962</v>
      </c>
      <c r="D233" s="1823"/>
      <c r="E233" s="1823"/>
      <c r="F233" s="573" t="s">
        <v>617</v>
      </c>
      <c r="G233" s="573"/>
      <c r="H233" s="573"/>
      <c r="I233" s="573" t="s">
        <v>185</v>
      </c>
      <c r="J233" s="572">
        <v>7508.23</v>
      </c>
      <c r="K233" s="573" t="s">
        <v>629</v>
      </c>
      <c r="L233" s="572">
        <v>1655.34</v>
      </c>
      <c r="M233" s="571">
        <v>4.59</v>
      </c>
      <c r="N233" s="570">
        <v>7598</v>
      </c>
      <c r="V233" s="674"/>
      <c r="W233" s="675"/>
      <c r="X233" s="675" t="s">
        <v>962</v>
      </c>
      <c r="AB233" s="680"/>
      <c r="AE233" s="675"/>
    </row>
    <row r="234" spans="1:31" s="536" customFormat="1" ht="12" x14ac:dyDescent="0.2">
      <c r="A234" s="569"/>
      <c r="B234" s="683"/>
      <c r="C234" s="689" t="s">
        <v>630</v>
      </c>
      <c r="D234" s="690"/>
      <c r="E234" s="690"/>
      <c r="F234" s="563"/>
      <c r="G234" s="563"/>
      <c r="H234" s="563"/>
      <c r="I234" s="563"/>
      <c r="J234" s="566"/>
      <c r="K234" s="563"/>
      <c r="L234" s="566"/>
      <c r="M234" s="565"/>
      <c r="N234" s="564"/>
      <c r="V234" s="674"/>
      <c r="W234" s="675"/>
      <c r="X234" s="675"/>
      <c r="AB234" s="680"/>
      <c r="AE234" s="675"/>
    </row>
    <row r="235" spans="1:31" s="536" customFormat="1" ht="22.5" x14ac:dyDescent="0.2">
      <c r="A235" s="609"/>
      <c r="B235" s="552" t="s">
        <v>631</v>
      </c>
      <c r="C235" s="1822" t="s">
        <v>632</v>
      </c>
      <c r="D235" s="1822"/>
      <c r="E235" s="1822"/>
      <c r="F235" s="1822"/>
      <c r="G235" s="1822"/>
      <c r="H235" s="1822"/>
      <c r="I235" s="1822"/>
      <c r="J235" s="1822"/>
      <c r="K235" s="1822"/>
      <c r="L235" s="1822"/>
      <c r="M235" s="1822"/>
      <c r="N235" s="1827"/>
      <c r="V235" s="674"/>
      <c r="W235" s="675"/>
      <c r="X235" s="675"/>
      <c r="Z235" s="537" t="s">
        <v>632</v>
      </c>
      <c r="AB235" s="680"/>
      <c r="AE235" s="675"/>
    </row>
    <row r="236" spans="1:31" s="536" customFormat="1" ht="33.75" x14ac:dyDescent="0.2">
      <c r="A236" s="575" t="s">
        <v>764</v>
      </c>
      <c r="B236" s="684" t="s">
        <v>963</v>
      </c>
      <c r="C236" s="1823" t="s">
        <v>964</v>
      </c>
      <c r="D236" s="1823"/>
      <c r="E236" s="1823"/>
      <c r="F236" s="573" t="s">
        <v>617</v>
      </c>
      <c r="G236" s="573"/>
      <c r="H236" s="573"/>
      <c r="I236" s="573" t="s">
        <v>185</v>
      </c>
      <c r="J236" s="572">
        <v>7796.67</v>
      </c>
      <c r="K236" s="573" t="s">
        <v>629</v>
      </c>
      <c r="L236" s="572">
        <v>1718.95</v>
      </c>
      <c r="M236" s="571">
        <v>4.59</v>
      </c>
      <c r="N236" s="570">
        <v>7890</v>
      </c>
      <c r="V236" s="674"/>
      <c r="W236" s="675"/>
      <c r="X236" s="675" t="s">
        <v>964</v>
      </c>
      <c r="AB236" s="680"/>
      <c r="AE236" s="675"/>
    </row>
    <row r="237" spans="1:31" s="536" customFormat="1" ht="12" x14ac:dyDescent="0.2">
      <c r="A237" s="569"/>
      <c r="B237" s="683"/>
      <c r="C237" s="689" t="s">
        <v>630</v>
      </c>
      <c r="D237" s="690"/>
      <c r="E237" s="690"/>
      <c r="F237" s="563"/>
      <c r="G237" s="563"/>
      <c r="H237" s="563"/>
      <c r="I237" s="563"/>
      <c r="J237" s="566"/>
      <c r="K237" s="563"/>
      <c r="L237" s="566"/>
      <c r="M237" s="565"/>
      <c r="N237" s="564"/>
      <c r="V237" s="674"/>
      <c r="W237" s="675"/>
      <c r="X237" s="675"/>
      <c r="AB237" s="680"/>
      <c r="AE237" s="675"/>
    </row>
    <row r="238" spans="1:31" s="536" customFormat="1" ht="22.5" x14ac:dyDescent="0.2">
      <c r="A238" s="609"/>
      <c r="B238" s="552" t="s">
        <v>631</v>
      </c>
      <c r="C238" s="1822" t="s">
        <v>632</v>
      </c>
      <c r="D238" s="1822"/>
      <c r="E238" s="1822"/>
      <c r="F238" s="1822"/>
      <c r="G238" s="1822"/>
      <c r="H238" s="1822"/>
      <c r="I238" s="1822"/>
      <c r="J238" s="1822"/>
      <c r="K238" s="1822"/>
      <c r="L238" s="1822"/>
      <c r="M238" s="1822"/>
      <c r="N238" s="1827"/>
      <c r="V238" s="674"/>
      <c r="W238" s="675"/>
      <c r="X238" s="675"/>
      <c r="Z238" s="537" t="s">
        <v>632</v>
      </c>
      <c r="AB238" s="680"/>
      <c r="AE238" s="675"/>
    </row>
    <row r="239" spans="1:31" s="536" customFormat="1" ht="33.75" x14ac:dyDescent="0.2">
      <c r="A239" s="575" t="s">
        <v>923</v>
      </c>
      <c r="B239" s="684" t="s">
        <v>877</v>
      </c>
      <c r="C239" s="1823" t="s">
        <v>878</v>
      </c>
      <c r="D239" s="1823"/>
      <c r="E239" s="1823"/>
      <c r="F239" s="573" t="s">
        <v>617</v>
      </c>
      <c r="G239" s="573"/>
      <c r="H239" s="573"/>
      <c r="I239" s="573" t="s">
        <v>185</v>
      </c>
      <c r="J239" s="572">
        <v>5052.1899999999996</v>
      </c>
      <c r="K239" s="573" t="s">
        <v>629</v>
      </c>
      <c r="L239" s="572">
        <v>1113.94</v>
      </c>
      <c r="M239" s="571">
        <v>4.59</v>
      </c>
      <c r="N239" s="570">
        <v>5113</v>
      </c>
      <c r="V239" s="674"/>
      <c r="W239" s="675"/>
      <c r="X239" s="675" t="s">
        <v>878</v>
      </c>
      <c r="AB239" s="680"/>
      <c r="AE239" s="675"/>
    </row>
    <row r="240" spans="1:31" s="536" customFormat="1" ht="12" x14ac:dyDescent="0.2">
      <c r="A240" s="569"/>
      <c r="B240" s="683"/>
      <c r="C240" s="689" t="s">
        <v>630</v>
      </c>
      <c r="D240" s="690"/>
      <c r="E240" s="690"/>
      <c r="F240" s="563"/>
      <c r="G240" s="563"/>
      <c r="H240" s="563"/>
      <c r="I240" s="563"/>
      <c r="J240" s="566"/>
      <c r="K240" s="563"/>
      <c r="L240" s="566"/>
      <c r="M240" s="565"/>
      <c r="N240" s="564"/>
      <c r="V240" s="674"/>
      <c r="W240" s="675"/>
      <c r="X240" s="675"/>
      <c r="AB240" s="680"/>
      <c r="AE240" s="675"/>
    </row>
    <row r="241" spans="1:31" s="536" customFormat="1" ht="22.5" x14ac:dyDescent="0.2">
      <c r="A241" s="609"/>
      <c r="B241" s="552" t="s">
        <v>631</v>
      </c>
      <c r="C241" s="1822" t="s">
        <v>632</v>
      </c>
      <c r="D241" s="1822"/>
      <c r="E241" s="1822"/>
      <c r="F241" s="1822"/>
      <c r="G241" s="1822"/>
      <c r="H241" s="1822"/>
      <c r="I241" s="1822"/>
      <c r="J241" s="1822"/>
      <c r="K241" s="1822"/>
      <c r="L241" s="1822"/>
      <c r="M241" s="1822"/>
      <c r="N241" s="1827"/>
      <c r="V241" s="674"/>
      <c r="W241" s="675"/>
      <c r="X241" s="675"/>
      <c r="Z241" s="537" t="s">
        <v>632</v>
      </c>
      <c r="AB241" s="680"/>
      <c r="AE241" s="675"/>
    </row>
    <row r="242" spans="1:31" s="536" customFormat="1" ht="12" x14ac:dyDescent="0.2">
      <c r="A242" s="1830" t="s">
        <v>965</v>
      </c>
      <c r="B242" s="1831"/>
      <c r="C242" s="1831"/>
      <c r="D242" s="1831"/>
      <c r="E242" s="1831"/>
      <c r="F242" s="1831"/>
      <c r="G242" s="1831"/>
      <c r="H242" s="1831"/>
      <c r="I242" s="1831"/>
      <c r="J242" s="1831"/>
      <c r="K242" s="1831"/>
      <c r="L242" s="1831"/>
      <c r="M242" s="1831"/>
      <c r="N242" s="1832"/>
      <c r="V242" s="674"/>
      <c r="W242" s="675" t="s">
        <v>965</v>
      </c>
      <c r="X242" s="675"/>
      <c r="AB242" s="680"/>
      <c r="AE242" s="675"/>
    </row>
    <row r="243" spans="1:31" s="536" customFormat="1" ht="33.75" x14ac:dyDescent="0.2">
      <c r="A243" s="575" t="s">
        <v>766</v>
      </c>
      <c r="B243" s="684" t="s">
        <v>939</v>
      </c>
      <c r="C243" s="1823" t="s">
        <v>940</v>
      </c>
      <c r="D243" s="1823"/>
      <c r="E243" s="1823"/>
      <c r="F243" s="573" t="s">
        <v>617</v>
      </c>
      <c r="G243" s="573"/>
      <c r="H243" s="573"/>
      <c r="I243" s="573" t="s">
        <v>185</v>
      </c>
      <c r="J243" s="572">
        <v>5439.56</v>
      </c>
      <c r="K243" s="573" t="s">
        <v>629</v>
      </c>
      <c r="L243" s="572">
        <v>1199.3499999999999</v>
      </c>
      <c r="M243" s="571">
        <v>4.59</v>
      </c>
      <c r="N243" s="570">
        <v>5505</v>
      </c>
      <c r="V243" s="674"/>
      <c r="W243" s="675"/>
      <c r="X243" s="675" t="s">
        <v>940</v>
      </c>
      <c r="AB243" s="680"/>
      <c r="AE243" s="675"/>
    </row>
    <row r="244" spans="1:31" s="536" customFormat="1" ht="12" x14ac:dyDescent="0.2">
      <c r="A244" s="569"/>
      <c r="B244" s="683"/>
      <c r="C244" s="689" t="s">
        <v>630</v>
      </c>
      <c r="D244" s="690"/>
      <c r="E244" s="690"/>
      <c r="F244" s="563"/>
      <c r="G244" s="563"/>
      <c r="H244" s="563"/>
      <c r="I244" s="563"/>
      <c r="J244" s="566"/>
      <c r="K244" s="563"/>
      <c r="L244" s="566"/>
      <c r="M244" s="565"/>
      <c r="N244" s="564"/>
      <c r="V244" s="674"/>
      <c r="W244" s="675"/>
      <c r="X244" s="675"/>
      <c r="AB244" s="680"/>
      <c r="AE244" s="675"/>
    </row>
    <row r="245" spans="1:31" s="536" customFormat="1" ht="22.5" x14ac:dyDescent="0.2">
      <c r="A245" s="609"/>
      <c r="B245" s="552" t="s">
        <v>631</v>
      </c>
      <c r="C245" s="1822" t="s">
        <v>632</v>
      </c>
      <c r="D245" s="1822"/>
      <c r="E245" s="1822"/>
      <c r="F245" s="1822"/>
      <c r="G245" s="1822"/>
      <c r="H245" s="1822"/>
      <c r="I245" s="1822"/>
      <c r="J245" s="1822"/>
      <c r="K245" s="1822"/>
      <c r="L245" s="1822"/>
      <c r="M245" s="1822"/>
      <c r="N245" s="1827"/>
      <c r="V245" s="674"/>
      <c r="W245" s="675"/>
      <c r="X245" s="675"/>
      <c r="Z245" s="537" t="s">
        <v>632</v>
      </c>
      <c r="AB245" s="680"/>
      <c r="AE245" s="675"/>
    </row>
    <row r="246" spans="1:31" s="536" customFormat="1" ht="33.75" x14ac:dyDescent="0.2">
      <c r="A246" s="575" t="s">
        <v>3174</v>
      </c>
      <c r="B246" s="684" t="s">
        <v>941</v>
      </c>
      <c r="C246" s="1823" t="s">
        <v>942</v>
      </c>
      <c r="D246" s="1823"/>
      <c r="E246" s="1823"/>
      <c r="F246" s="573" t="s">
        <v>617</v>
      </c>
      <c r="G246" s="573"/>
      <c r="H246" s="573"/>
      <c r="I246" s="573" t="s">
        <v>185</v>
      </c>
      <c r="J246" s="572">
        <v>735.35</v>
      </c>
      <c r="K246" s="573" t="s">
        <v>629</v>
      </c>
      <c r="L246" s="572">
        <v>162.09</v>
      </c>
      <c r="M246" s="571">
        <v>4.59</v>
      </c>
      <c r="N246" s="570">
        <v>744</v>
      </c>
      <c r="V246" s="674"/>
      <c r="W246" s="675"/>
      <c r="X246" s="675" t="s">
        <v>942</v>
      </c>
      <c r="AB246" s="680"/>
      <c r="AE246" s="675"/>
    </row>
    <row r="247" spans="1:31" s="536" customFormat="1" ht="12" x14ac:dyDescent="0.2">
      <c r="A247" s="569"/>
      <c r="B247" s="683"/>
      <c r="C247" s="689" t="s">
        <v>630</v>
      </c>
      <c r="D247" s="690"/>
      <c r="E247" s="690"/>
      <c r="F247" s="563"/>
      <c r="G247" s="563"/>
      <c r="H247" s="563"/>
      <c r="I247" s="563"/>
      <c r="J247" s="566"/>
      <c r="K247" s="563"/>
      <c r="L247" s="566"/>
      <c r="M247" s="565"/>
      <c r="N247" s="564"/>
      <c r="V247" s="674"/>
      <c r="W247" s="675"/>
      <c r="X247" s="675"/>
      <c r="AB247" s="680"/>
      <c r="AE247" s="675"/>
    </row>
    <row r="248" spans="1:31" s="536" customFormat="1" ht="22.5" x14ac:dyDescent="0.2">
      <c r="A248" s="609"/>
      <c r="B248" s="552" t="s">
        <v>631</v>
      </c>
      <c r="C248" s="1822" t="s">
        <v>632</v>
      </c>
      <c r="D248" s="1822"/>
      <c r="E248" s="1822"/>
      <c r="F248" s="1822"/>
      <c r="G248" s="1822"/>
      <c r="H248" s="1822"/>
      <c r="I248" s="1822"/>
      <c r="J248" s="1822"/>
      <c r="K248" s="1822"/>
      <c r="L248" s="1822"/>
      <c r="M248" s="1822"/>
      <c r="N248" s="1827"/>
      <c r="V248" s="674"/>
      <c r="W248" s="675"/>
      <c r="X248" s="675"/>
      <c r="Z248" s="537" t="s">
        <v>632</v>
      </c>
      <c r="AB248" s="680"/>
      <c r="AE248" s="675"/>
    </row>
    <row r="249" spans="1:31" s="536" customFormat="1" ht="33.75" x14ac:dyDescent="0.2">
      <c r="A249" s="575" t="s">
        <v>924</v>
      </c>
      <c r="B249" s="684" t="s">
        <v>943</v>
      </c>
      <c r="C249" s="1823" t="s">
        <v>944</v>
      </c>
      <c r="D249" s="1823"/>
      <c r="E249" s="1823"/>
      <c r="F249" s="573" t="s">
        <v>617</v>
      </c>
      <c r="G249" s="573"/>
      <c r="H249" s="573"/>
      <c r="I249" s="573" t="s">
        <v>185</v>
      </c>
      <c r="J249" s="572">
        <v>4111.72</v>
      </c>
      <c r="K249" s="573" t="s">
        <v>629</v>
      </c>
      <c r="L249" s="572">
        <v>906.54</v>
      </c>
      <c r="M249" s="571">
        <v>4.59</v>
      </c>
      <c r="N249" s="570">
        <v>4161</v>
      </c>
      <c r="V249" s="674"/>
      <c r="W249" s="675"/>
      <c r="X249" s="675" t="s">
        <v>944</v>
      </c>
      <c r="AB249" s="680"/>
      <c r="AE249" s="675"/>
    </row>
    <row r="250" spans="1:31" s="536" customFormat="1" ht="12" x14ac:dyDescent="0.2">
      <c r="A250" s="569"/>
      <c r="B250" s="683"/>
      <c r="C250" s="689" t="s">
        <v>630</v>
      </c>
      <c r="D250" s="690"/>
      <c r="E250" s="690"/>
      <c r="F250" s="563"/>
      <c r="G250" s="563"/>
      <c r="H250" s="563"/>
      <c r="I250" s="563"/>
      <c r="J250" s="566"/>
      <c r="K250" s="563"/>
      <c r="L250" s="566"/>
      <c r="M250" s="565"/>
      <c r="N250" s="564"/>
      <c r="V250" s="674"/>
      <c r="W250" s="675"/>
      <c r="X250" s="675"/>
      <c r="AB250" s="680"/>
      <c r="AE250" s="675"/>
    </row>
    <row r="251" spans="1:31" s="536" customFormat="1" ht="22.5" x14ac:dyDescent="0.2">
      <c r="A251" s="609"/>
      <c r="B251" s="552" t="s">
        <v>631</v>
      </c>
      <c r="C251" s="1822" t="s">
        <v>632</v>
      </c>
      <c r="D251" s="1822"/>
      <c r="E251" s="1822"/>
      <c r="F251" s="1822"/>
      <c r="G251" s="1822"/>
      <c r="H251" s="1822"/>
      <c r="I251" s="1822"/>
      <c r="J251" s="1822"/>
      <c r="K251" s="1822"/>
      <c r="L251" s="1822"/>
      <c r="M251" s="1822"/>
      <c r="N251" s="1827"/>
      <c r="V251" s="674"/>
      <c r="W251" s="675"/>
      <c r="X251" s="675"/>
      <c r="Z251" s="537" t="s">
        <v>632</v>
      </c>
      <c r="AB251" s="680"/>
      <c r="AE251" s="675"/>
    </row>
    <row r="252" spans="1:31" s="536" customFormat="1" ht="12" x14ac:dyDescent="0.2">
      <c r="A252" s="575" t="s">
        <v>769</v>
      </c>
      <c r="B252" s="684" t="s">
        <v>818</v>
      </c>
      <c r="C252" s="1823" t="s">
        <v>945</v>
      </c>
      <c r="D252" s="1823"/>
      <c r="E252" s="1823"/>
      <c r="F252" s="573" t="s">
        <v>617</v>
      </c>
      <c r="G252" s="573"/>
      <c r="H252" s="573"/>
      <c r="I252" s="573" t="s">
        <v>185</v>
      </c>
      <c r="J252" s="572"/>
      <c r="K252" s="573"/>
      <c r="L252" s="572"/>
      <c r="M252" s="571"/>
      <c r="N252" s="570"/>
      <c r="V252" s="674"/>
      <c r="W252" s="675"/>
      <c r="X252" s="675" t="s">
        <v>945</v>
      </c>
      <c r="AB252" s="680"/>
      <c r="AE252" s="675"/>
    </row>
    <row r="253" spans="1:31" s="536" customFormat="1" ht="22.5" x14ac:dyDescent="0.2">
      <c r="A253" s="609"/>
      <c r="B253" s="552" t="s">
        <v>499</v>
      </c>
      <c r="C253" s="1822" t="s">
        <v>500</v>
      </c>
      <c r="D253" s="1822"/>
      <c r="E253" s="1822"/>
      <c r="F253" s="1822"/>
      <c r="G253" s="1822"/>
      <c r="H253" s="1822"/>
      <c r="I253" s="1822"/>
      <c r="J253" s="1822"/>
      <c r="K253" s="1822"/>
      <c r="L253" s="1822"/>
      <c r="M253" s="1822"/>
      <c r="N253" s="1827"/>
      <c r="V253" s="674"/>
      <c r="W253" s="675"/>
      <c r="X253" s="675"/>
      <c r="Z253" s="537" t="s">
        <v>500</v>
      </c>
      <c r="AB253" s="680"/>
      <c r="AE253" s="675"/>
    </row>
    <row r="254" spans="1:31" s="536" customFormat="1" ht="12" x14ac:dyDescent="0.2">
      <c r="A254" s="605"/>
      <c r="B254" s="552" t="s">
        <v>185</v>
      </c>
      <c r="C254" s="1822" t="s">
        <v>312</v>
      </c>
      <c r="D254" s="1822"/>
      <c r="E254" s="1822"/>
      <c r="F254" s="562"/>
      <c r="G254" s="562"/>
      <c r="H254" s="562"/>
      <c r="I254" s="562"/>
      <c r="J254" s="604">
        <v>8.7899999999999991</v>
      </c>
      <c r="K254" s="562" t="s">
        <v>313</v>
      </c>
      <c r="L254" s="604">
        <v>10.99</v>
      </c>
      <c r="M254" s="603"/>
      <c r="N254" s="602"/>
      <c r="V254" s="674"/>
      <c r="W254" s="675"/>
      <c r="X254" s="675"/>
      <c r="AA254" s="537" t="s">
        <v>312</v>
      </c>
      <c r="AB254" s="680"/>
      <c r="AE254" s="675"/>
    </row>
    <row r="255" spans="1:31" s="536" customFormat="1" ht="12" x14ac:dyDescent="0.2">
      <c r="A255" s="605"/>
      <c r="B255" s="552" t="s">
        <v>186</v>
      </c>
      <c r="C255" s="1822" t="s">
        <v>344</v>
      </c>
      <c r="D255" s="1822"/>
      <c r="E255" s="1822"/>
      <c r="F255" s="562"/>
      <c r="G255" s="562"/>
      <c r="H255" s="562"/>
      <c r="I255" s="562"/>
      <c r="J255" s="604">
        <v>10.51</v>
      </c>
      <c r="K255" s="562" t="s">
        <v>313</v>
      </c>
      <c r="L255" s="604">
        <v>13.14</v>
      </c>
      <c r="M255" s="603"/>
      <c r="N255" s="602"/>
      <c r="V255" s="674"/>
      <c r="W255" s="675"/>
      <c r="X255" s="675"/>
      <c r="AA255" s="537" t="s">
        <v>344</v>
      </c>
      <c r="AB255" s="680"/>
      <c r="AE255" s="675"/>
    </row>
    <row r="256" spans="1:31" s="536" customFormat="1" ht="12" x14ac:dyDescent="0.2">
      <c r="A256" s="605"/>
      <c r="B256" s="552" t="s">
        <v>187</v>
      </c>
      <c r="C256" s="1822" t="s">
        <v>345</v>
      </c>
      <c r="D256" s="1822"/>
      <c r="E256" s="1822"/>
      <c r="F256" s="562"/>
      <c r="G256" s="562"/>
      <c r="H256" s="562"/>
      <c r="I256" s="562"/>
      <c r="J256" s="604">
        <v>1.86</v>
      </c>
      <c r="K256" s="562" t="s">
        <v>313</v>
      </c>
      <c r="L256" s="604">
        <v>2.33</v>
      </c>
      <c r="M256" s="603"/>
      <c r="N256" s="602"/>
      <c r="V256" s="674"/>
      <c r="W256" s="675"/>
      <c r="X256" s="675"/>
      <c r="AA256" s="537" t="s">
        <v>345</v>
      </c>
      <c r="AB256" s="680"/>
      <c r="AE256" s="675"/>
    </row>
    <row r="257" spans="1:31" s="536" customFormat="1" ht="12" x14ac:dyDescent="0.2">
      <c r="A257" s="605"/>
      <c r="B257" s="552" t="s">
        <v>188</v>
      </c>
      <c r="C257" s="1822" t="s">
        <v>475</v>
      </c>
      <c r="D257" s="1822"/>
      <c r="E257" s="1822"/>
      <c r="F257" s="562"/>
      <c r="G257" s="562"/>
      <c r="H257" s="562"/>
      <c r="I257" s="562"/>
      <c r="J257" s="604">
        <v>0.18</v>
      </c>
      <c r="K257" s="562"/>
      <c r="L257" s="604">
        <v>0.18</v>
      </c>
      <c r="M257" s="603"/>
      <c r="N257" s="602"/>
      <c r="V257" s="674"/>
      <c r="W257" s="675"/>
      <c r="X257" s="675"/>
      <c r="AA257" s="537" t="s">
        <v>475</v>
      </c>
      <c r="AB257" s="680"/>
      <c r="AE257" s="675"/>
    </row>
    <row r="258" spans="1:31" s="536" customFormat="1" ht="12" x14ac:dyDescent="0.2">
      <c r="A258" s="605"/>
      <c r="B258" s="552"/>
      <c r="C258" s="1822" t="s">
        <v>314</v>
      </c>
      <c r="D258" s="1822"/>
      <c r="E258" s="1822"/>
      <c r="F258" s="562" t="s">
        <v>315</v>
      </c>
      <c r="G258" s="562" t="s">
        <v>702</v>
      </c>
      <c r="H258" s="562" t="s">
        <v>313</v>
      </c>
      <c r="I258" s="562" t="s">
        <v>3173</v>
      </c>
      <c r="J258" s="604"/>
      <c r="K258" s="562"/>
      <c r="L258" s="604"/>
      <c r="M258" s="603"/>
      <c r="N258" s="602"/>
      <c r="V258" s="674"/>
      <c r="W258" s="675"/>
      <c r="X258" s="675"/>
      <c r="AB258" s="680"/>
      <c r="AC258" s="537" t="s">
        <v>314</v>
      </c>
      <c r="AE258" s="675"/>
    </row>
    <row r="259" spans="1:31" s="536" customFormat="1" ht="12" x14ac:dyDescent="0.2">
      <c r="A259" s="605"/>
      <c r="B259" s="552"/>
      <c r="C259" s="1822" t="s">
        <v>348</v>
      </c>
      <c r="D259" s="1822"/>
      <c r="E259" s="1822"/>
      <c r="F259" s="562" t="s">
        <v>315</v>
      </c>
      <c r="G259" s="562" t="s">
        <v>822</v>
      </c>
      <c r="H259" s="562" t="s">
        <v>313</v>
      </c>
      <c r="I259" s="562" t="s">
        <v>890</v>
      </c>
      <c r="J259" s="604"/>
      <c r="K259" s="562"/>
      <c r="L259" s="604"/>
      <c r="M259" s="603"/>
      <c r="N259" s="602"/>
      <c r="V259" s="674"/>
      <c r="W259" s="675"/>
      <c r="X259" s="675"/>
      <c r="AB259" s="680"/>
      <c r="AC259" s="537" t="s">
        <v>348</v>
      </c>
      <c r="AE259" s="675"/>
    </row>
    <row r="260" spans="1:31" s="536" customFormat="1" ht="12" x14ac:dyDescent="0.2">
      <c r="A260" s="605"/>
      <c r="B260" s="552"/>
      <c r="C260" s="1828" t="s">
        <v>318</v>
      </c>
      <c r="D260" s="1828"/>
      <c r="E260" s="1828"/>
      <c r="F260" s="608"/>
      <c r="G260" s="608"/>
      <c r="H260" s="608"/>
      <c r="I260" s="608"/>
      <c r="J260" s="607">
        <v>19.48</v>
      </c>
      <c r="K260" s="608"/>
      <c r="L260" s="607">
        <v>24.31</v>
      </c>
      <c r="M260" s="601"/>
      <c r="N260" s="606"/>
      <c r="V260" s="674"/>
      <c r="W260" s="675"/>
      <c r="X260" s="675"/>
      <c r="AB260" s="680"/>
      <c r="AD260" s="537" t="s">
        <v>318</v>
      </c>
      <c r="AE260" s="675"/>
    </row>
    <row r="261" spans="1:31" s="536" customFormat="1" ht="12" x14ac:dyDescent="0.2">
      <c r="A261" s="605"/>
      <c r="B261" s="552"/>
      <c r="C261" s="1822" t="s">
        <v>319</v>
      </c>
      <c r="D261" s="1822"/>
      <c r="E261" s="1822"/>
      <c r="F261" s="562"/>
      <c r="G261" s="562"/>
      <c r="H261" s="562"/>
      <c r="I261" s="562"/>
      <c r="J261" s="604"/>
      <c r="K261" s="562"/>
      <c r="L261" s="604">
        <v>13.32</v>
      </c>
      <c r="M261" s="603"/>
      <c r="N261" s="602"/>
      <c r="V261" s="674"/>
      <c r="W261" s="675"/>
      <c r="X261" s="675"/>
      <c r="AB261" s="680"/>
      <c r="AC261" s="537" t="s">
        <v>319</v>
      </c>
      <c r="AE261" s="675"/>
    </row>
    <row r="262" spans="1:31" s="536" customFormat="1" ht="33.75" x14ac:dyDescent="0.2">
      <c r="A262" s="605"/>
      <c r="B262" s="552" t="s">
        <v>948</v>
      </c>
      <c r="C262" s="1822" t="s">
        <v>949</v>
      </c>
      <c r="D262" s="1822"/>
      <c r="E262" s="1822"/>
      <c r="F262" s="562" t="s">
        <v>322</v>
      </c>
      <c r="G262" s="562" t="s">
        <v>886</v>
      </c>
      <c r="H262" s="562"/>
      <c r="I262" s="562" t="s">
        <v>886</v>
      </c>
      <c r="J262" s="604"/>
      <c r="K262" s="562"/>
      <c r="L262" s="604">
        <v>11.99</v>
      </c>
      <c r="M262" s="603"/>
      <c r="N262" s="602"/>
      <c r="V262" s="674"/>
      <c r="W262" s="675"/>
      <c r="X262" s="675"/>
      <c r="AB262" s="680"/>
      <c r="AC262" s="537" t="s">
        <v>949</v>
      </c>
      <c r="AE262" s="675"/>
    </row>
    <row r="263" spans="1:31" s="536" customFormat="1" ht="33.75" x14ac:dyDescent="0.2">
      <c r="A263" s="605"/>
      <c r="B263" s="552" t="s">
        <v>950</v>
      </c>
      <c r="C263" s="1822" t="s">
        <v>951</v>
      </c>
      <c r="D263" s="1822"/>
      <c r="E263" s="1822"/>
      <c r="F263" s="562" t="s">
        <v>322</v>
      </c>
      <c r="G263" s="562" t="s">
        <v>465</v>
      </c>
      <c r="H263" s="562"/>
      <c r="I263" s="562" t="s">
        <v>465</v>
      </c>
      <c r="J263" s="604"/>
      <c r="K263" s="562"/>
      <c r="L263" s="604">
        <v>6.13</v>
      </c>
      <c r="M263" s="603"/>
      <c r="N263" s="602"/>
      <c r="V263" s="674"/>
      <c r="W263" s="675"/>
      <c r="X263" s="675"/>
      <c r="AB263" s="680"/>
      <c r="AC263" s="537" t="s">
        <v>951</v>
      </c>
      <c r="AE263" s="675"/>
    </row>
    <row r="264" spans="1:31" s="536" customFormat="1" ht="12" x14ac:dyDescent="0.2">
      <c r="A264" s="569"/>
      <c r="B264" s="683"/>
      <c r="C264" s="1823" t="s">
        <v>327</v>
      </c>
      <c r="D264" s="1823"/>
      <c r="E264" s="1823"/>
      <c r="F264" s="573"/>
      <c r="G264" s="573"/>
      <c r="H264" s="573"/>
      <c r="I264" s="573"/>
      <c r="J264" s="572"/>
      <c r="K264" s="573"/>
      <c r="L264" s="572">
        <v>42.43</v>
      </c>
      <c r="M264" s="601"/>
      <c r="N264" s="570"/>
      <c r="V264" s="674"/>
      <c r="W264" s="675"/>
      <c r="X264" s="675"/>
      <c r="AB264" s="680"/>
      <c r="AE264" s="675" t="s">
        <v>327</v>
      </c>
    </row>
    <row r="265" spans="1:31" s="536" customFormat="1" ht="33.75" x14ac:dyDescent="0.2">
      <c r="A265" s="575" t="s">
        <v>926</v>
      </c>
      <c r="B265" s="684" t="s">
        <v>952</v>
      </c>
      <c r="C265" s="1823" t="s">
        <v>953</v>
      </c>
      <c r="D265" s="1823"/>
      <c r="E265" s="1823"/>
      <c r="F265" s="573" t="s">
        <v>617</v>
      </c>
      <c r="G265" s="573"/>
      <c r="H265" s="573"/>
      <c r="I265" s="573" t="s">
        <v>185</v>
      </c>
      <c r="J265" s="572">
        <v>6401.09</v>
      </c>
      <c r="K265" s="573" t="s">
        <v>629</v>
      </c>
      <c r="L265" s="572">
        <v>1411.33</v>
      </c>
      <c r="M265" s="571">
        <v>4.59</v>
      </c>
      <c r="N265" s="570">
        <v>6478</v>
      </c>
      <c r="V265" s="674"/>
      <c r="W265" s="675"/>
      <c r="X265" s="675" t="s">
        <v>953</v>
      </c>
      <c r="AB265" s="680"/>
      <c r="AE265" s="675"/>
    </row>
    <row r="266" spans="1:31" s="536" customFormat="1" ht="12" x14ac:dyDescent="0.2">
      <c r="A266" s="569"/>
      <c r="B266" s="683"/>
      <c r="C266" s="689" t="s">
        <v>630</v>
      </c>
      <c r="D266" s="690"/>
      <c r="E266" s="690"/>
      <c r="F266" s="563"/>
      <c r="G266" s="563"/>
      <c r="H266" s="563"/>
      <c r="I266" s="563"/>
      <c r="J266" s="566"/>
      <c r="K266" s="563"/>
      <c r="L266" s="566"/>
      <c r="M266" s="565"/>
      <c r="N266" s="564"/>
      <c r="V266" s="674"/>
      <c r="W266" s="675"/>
      <c r="X266" s="675"/>
      <c r="AB266" s="680"/>
      <c r="AE266" s="675"/>
    </row>
    <row r="267" spans="1:31" s="536" customFormat="1" ht="22.5" x14ac:dyDescent="0.2">
      <c r="A267" s="609"/>
      <c r="B267" s="552" t="s">
        <v>631</v>
      </c>
      <c r="C267" s="1822" t="s">
        <v>632</v>
      </c>
      <c r="D267" s="1822"/>
      <c r="E267" s="1822"/>
      <c r="F267" s="1822"/>
      <c r="G267" s="1822"/>
      <c r="H267" s="1822"/>
      <c r="I267" s="1822"/>
      <c r="J267" s="1822"/>
      <c r="K267" s="1822"/>
      <c r="L267" s="1822"/>
      <c r="M267" s="1822"/>
      <c r="N267" s="1827"/>
      <c r="V267" s="674"/>
      <c r="W267" s="675"/>
      <c r="X267" s="675"/>
      <c r="Z267" s="537" t="s">
        <v>632</v>
      </c>
      <c r="AB267" s="680"/>
      <c r="AE267" s="675"/>
    </row>
    <row r="268" spans="1:31" s="536" customFormat="1" ht="33.75" x14ac:dyDescent="0.2">
      <c r="A268" s="575" t="s">
        <v>927</v>
      </c>
      <c r="B268" s="684" t="s">
        <v>954</v>
      </c>
      <c r="C268" s="1823" t="s">
        <v>955</v>
      </c>
      <c r="D268" s="1823"/>
      <c r="E268" s="1823"/>
      <c r="F268" s="573" t="s">
        <v>617</v>
      </c>
      <c r="G268" s="573"/>
      <c r="H268" s="573"/>
      <c r="I268" s="573" t="s">
        <v>185</v>
      </c>
      <c r="J268" s="572">
        <v>8095.23</v>
      </c>
      <c r="K268" s="573" t="s">
        <v>629</v>
      </c>
      <c r="L268" s="572">
        <v>1784.75</v>
      </c>
      <c r="M268" s="571">
        <v>4.59</v>
      </c>
      <c r="N268" s="570">
        <v>8192</v>
      </c>
      <c r="V268" s="674"/>
      <c r="W268" s="675"/>
      <c r="X268" s="675" t="s">
        <v>955</v>
      </c>
      <c r="AB268" s="680"/>
      <c r="AE268" s="675"/>
    </row>
    <row r="269" spans="1:31" s="536" customFormat="1" ht="12" x14ac:dyDescent="0.2">
      <c r="A269" s="569"/>
      <c r="B269" s="683"/>
      <c r="C269" s="689" t="s">
        <v>630</v>
      </c>
      <c r="D269" s="690"/>
      <c r="E269" s="690"/>
      <c r="F269" s="563"/>
      <c r="G269" s="563"/>
      <c r="H269" s="563"/>
      <c r="I269" s="563"/>
      <c r="J269" s="566"/>
      <c r="K269" s="563"/>
      <c r="L269" s="566"/>
      <c r="M269" s="565"/>
      <c r="N269" s="564"/>
      <c r="V269" s="674"/>
      <c r="W269" s="675"/>
      <c r="X269" s="675"/>
      <c r="AB269" s="680"/>
      <c r="AE269" s="675"/>
    </row>
    <row r="270" spans="1:31" s="536" customFormat="1" ht="22.5" x14ac:dyDescent="0.2">
      <c r="A270" s="609"/>
      <c r="B270" s="552" t="s">
        <v>631</v>
      </c>
      <c r="C270" s="1822" t="s">
        <v>632</v>
      </c>
      <c r="D270" s="1822"/>
      <c r="E270" s="1822"/>
      <c r="F270" s="1822"/>
      <c r="G270" s="1822"/>
      <c r="H270" s="1822"/>
      <c r="I270" s="1822"/>
      <c r="J270" s="1822"/>
      <c r="K270" s="1822"/>
      <c r="L270" s="1822"/>
      <c r="M270" s="1822"/>
      <c r="N270" s="1827"/>
      <c r="V270" s="674"/>
      <c r="W270" s="675"/>
      <c r="X270" s="675"/>
      <c r="Z270" s="537" t="s">
        <v>632</v>
      </c>
      <c r="AB270" s="680"/>
      <c r="AE270" s="675"/>
    </row>
    <row r="271" spans="1:31" s="536" customFormat="1" ht="33.75" x14ac:dyDescent="0.2">
      <c r="A271" s="575" t="s">
        <v>928</v>
      </c>
      <c r="B271" s="684" t="s">
        <v>956</v>
      </c>
      <c r="C271" s="1823" t="s">
        <v>957</v>
      </c>
      <c r="D271" s="1823"/>
      <c r="E271" s="1823"/>
      <c r="F271" s="573" t="s">
        <v>617</v>
      </c>
      <c r="G271" s="573"/>
      <c r="H271" s="573"/>
      <c r="I271" s="573" t="s">
        <v>186</v>
      </c>
      <c r="J271" s="572">
        <v>1238.1099999999999</v>
      </c>
      <c r="K271" s="573" t="s">
        <v>629</v>
      </c>
      <c r="L271" s="572">
        <v>545.97</v>
      </c>
      <c r="M271" s="571">
        <v>4.59</v>
      </c>
      <c r="N271" s="570">
        <v>2506</v>
      </c>
      <c r="V271" s="674"/>
      <c r="W271" s="675"/>
      <c r="X271" s="675" t="s">
        <v>957</v>
      </c>
      <c r="AB271" s="680"/>
      <c r="AE271" s="675"/>
    </row>
    <row r="272" spans="1:31" s="536" customFormat="1" ht="12" x14ac:dyDescent="0.2">
      <c r="A272" s="569"/>
      <c r="B272" s="683"/>
      <c r="C272" s="689" t="s">
        <v>630</v>
      </c>
      <c r="D272" s="690"/>
      <c r="E272" s="690"/>
      <c r="F272" s="563"/>
      <c r="G272" s="563"/>
      <c r="H272" s="563"/>
      <c r="I272" s="563"/>
      <c r="J272" s="566"/>
      <c r="K272" s="563"/>
      <c r="L272" s="566"/>
      <c r="M272" s="565"/>
      <c r="N272" s="564"/>
      <c r="V272" s="674"/>
      <c r="W272" s="675"/>
      <c r="X272" s="675"/>
      <c r="AB272" s="680"/>
      <c r="AE272" s="675"/>
    </row>
    <row r="273" spans="1:31" s="536" customFormat="1" ht="22.5" x14ac:dyDescent="0.2">
      <c r="A273" s="609"/>
      <c r="B273" s="552" t="s">
        <v>631</v>
      </c>
      <c r="C273" s="1822" t="s">
        <v>632</v>
      </c>
      <c r="D273" s="1822"/>
      <c r="E273" s="1822"/>
      <c r="F273" s="1822"/>
      <c r="G273" s="1822"/>
      <c r="H273" s="1822"/>
      <c r="I273" s="1822"/>
      <c r="J273" s="1822"/>
      <c r="K273" s="1822"/>
      <c r="L273" s="1822"/>
      <c r="M273" s="1822"/>
      <c r="N273" s="1827"/>
      <c r="V273" s="674"/>
      <c r="W273" s="675"/>
      <c r="X273" s="675"/>
      <c r="Z273" s="537" t="s">
        <v>632</v>
      </c>
      <c r="AB273" s="680"/>
      <c r="AE273" s="675"/>
    </row>
    <row r="274" spans="1:31" s="536" customFormat="1" ht="22.5" x14ac:dyDescent="0.2">
      <c r="A274" s="575" t="s">
        <v>677</v>
      </c>
      <c r="B274" s="684" t="s">
        <v>841</v>
      </c>
      <c r="C274" s="1823" t="s">
        <v>842</v>
      </c>
      <c r="D274" s="1823"/>
      <c r="E274" s="1823"/>
      <c r="F274" s="573" t="s">
        <v>307</v>
      </c>
      <c r="G274" s="573"/>
      <c r="H274" s="573"/>
      <c r="I274" s="573" t="s">
        <v>695</v>
      </c>
      <c r="J274" s="572"/>
      <c r="K274" s="573"/>
      <c r="L274" s="572"/>
      <c r="M274" s="571"/>
      <c r="N274" s="570"/>
      <c r="V274" s="674"/>
      <c r="W274" s="675"/>
      <c r="X274" s="675" t="s">
        <v>842</v>
      </c>
      <c r="AB274" s="680"/>
      <c r="AE274" s="675"/>
    </row>
    <row r="275" spans="1:31" s="536" customFormat="1" ht="12" x14ac:dyDescent="0.2">
      <c r="A275" s="676"/>
      <c r="B275" s="682"/>
      <c r="C275" s="1822" t="s">
        <v>958</v>
      </c>
      <c r="D275" s="1822"/>
      <c r="E275" s="1822"/>
      <c r="F275" s="1822"/>
      <c r="G275" s="1822"/>
      <c r="H275" s="1822"/>
      <c r="I275" s="1822"/>
      <c r="J275" s="1822"/>
      <c r="K275" s="1822"/>
      <c r="L275" s="1822"/>
      <c r="M275" s="1822"/>
      <c r="N275" s="1827"/>
      <c r="V275" s="674"/>
      <c r="W275" s="675"/>
      <c r="X275" s="675"/>
      <c r="Y275" s="537" t="s">
        <v>958</v>
      </c>
      <c r="AB275" s="680"/>
      <c r="AE275" s="675"/>
    </row>
    <row r="276" spans="1:31" s="536" customFormat="1" ht="22.5" x14ac:dyDescent="0.2">
      <c r="A276" s="609"/>
      <c r="B276" s="552" t="s">
        <v>499</v>
      </c>
      <c r="C276" s="1822" t="s">
        <v>500</v>
      </c>
      <c r="D276" s="1822"/>
      <c r="E276" s="1822"/>
      <c r="F276" s="1822"/>
      <c r="G276" s="1822"/>
      <c r="H276" s="1822"/>
      <c r="I276" s="1822"/>
      <c r="J276" s="1822"/>
      <c r="K276" s="1822"/>
      <c r="L276" s="1822"/>
      <c r="M276" s="1822"/>
      <c r="N276" s="1827"/>
      <c r="V276" s="674"/>
      <c r="W276" s="675"/>
      <c r="X276" s="675"/>
      <c r="Z276" s="537" t="s">
        <v>500</v>
      </c>
      <c r="AB276" s="680"/>
      <c r="AE276" s="675"/>
    </row>
    <row r="277" spans="1:31" s="536" customFormat="1" ht="12" x14ac:dyDescent="0.2">
      <c r="A277" s="605"/>
      <c r="B277" s="552" t="s">
        <v>185</v>
      </c>
      <c r="C277" s="1822" t="s">
        <v>312</v>
      </c>
      <c r="D277" s="1822"/>
      <c r="E277" s="1822"/>
      <c r="F277" s="562"/>
      <c r="G277" s="562"/>
      <c r="H277" s="562"/>
      <c r="I277" s="562"/>
      <c r="J277" s="604">
        <v>542.95000000000005</v>
      </c>
      <c r="K277" s="562" t="s">
        <v>313</v>
      </c>
      <c r="L277" s="604">
        <v>13.57</v>
      </c>
      <c r="M277" s="603"/>
      <c r="N277" s="602"/>
      <c r="V277" s="674"/>
      <c r="W277" s="675"/>
      <c r="X277" s="675"/>
      <c r="AA277" s="537" t="s">
        <v>312</v>
      </c>
      <c r="AB277" s="680"/>
      <c r="AE277" s="675"/>
    </row>
    <row r="278" spans="1:31" s="536" customFormat="1" ht="12" x14ac:dyDescent="0.2">
      <c r="A278" s="605"/>
      <c r="B278" s="552" t="s">
        <v>186</v>
      </c>
      <c r="C278" s="1822" t="s">
        <v>344</v>
      </c>
      <c r="D278" s="1822"/>
      <c r="E278" s="1822"/>
      <c r="F278" s="562"/>
      <c r="G278" s="562"/>
      <c r="H278" s="562"/>
      <c r="I278" s="562"/>
      <c r="J278" s="604">
        <v>216.38</v>
      </c>
      <c r="K278" s="562" t="s">
        <v>313</v>
      </c>
      <c r="L278" s="604">
        <v>5.41</v>
      </c>
      <c r="M278" s="603"/>
      <c r="N278" s="602"/>
      <c r="V278" s="674"/>
      <c r="W278" s="675"/>
      <c r="X278" s="675"/>
      <c r="AA278" s="537" t="s">
        <v>344</v>
      </c>
      <c r="AB278" s="680"/>
      <c r="AE278" s="675"/>
    </row>
    <row r="279" spans="1:31" s="536" customFormat="1" ht="12" x14ac:dyDescent="0.2">
      <c r="A279" s="605"/>
      <c r="B279" s="552" t="s">
        <v>187</v>
      </c>
      <c r="C279" s="1822" t="s">
        <v>345</v>
      </c>
      <c r="D279" s="1822"/>
      <c r="E279" s="1822"/>
      <c r="F279" s="562"/>
      <c r="G279" s="562"/>
      <c r="H279" s="562"/>
      <c r="I279" s="562"/>
      <c r="J279" s="604">
        <v>52.01</v>
      </c>
      <c r="K279" s="562" t="s">
        <v>313</v>
      </c>
      <c r="L279" s="604">
        <v>1.3</v>
      </c>
      <c r="M279" s="603"/>
      <c r="N279" s="602"/>
      <c r="V279" s="674"/>
      <c r="W279" s="675"/>
      <c r="X279" s="675"/>
      <c r="AA279" s="537" t="s">
        <v>345</v>
      </c>
      <c r="AB279" s="680"/>
      <c r="AE279" s="675"/>
    </row>
    <row r="280" spans="1:31" s="536" customFormat="1" ht="12" x14ac:dyDescent="0.2">
      <c r="A280" s="605"/>
      <c r="B280" s="552" t="s">
        <v>188</v>
      </c>
      <c r="C280" s="1822" t="s">
        <v>475</v>
      </c>
      <c r="D280" s="1822"/>
      <c r="E280" s="1822"/>
      <c r="F280" s="562"/>
      <c r="G280" s="562"/>
      <c r="H280" s="562"/>
      <c r="I280" s="562"/>
      <c r="J280" s="604">
        <v>1633.36</v>
      </c>
      <c r="K280" s="562"/>
      <c r="L280" s="604">
        <v>32.67</v>
      </c>
      <c r="M280" s="603"/>
      <c r="N280" s="602"/>
      <c r="V280" s="674"/>
      <c r="W280" s="675"/>
      <c r="X280" s="675"/>
      <c r="AA280" s="537" t="s">
        <v>475</v>
      </c>
      <c r="AB280" s="680"/>
      <c r="AE280" s="675"/>
    </row>
    <row r="281" spans="1:31" s="536" customFormat="1" ht="12" x14ac:dyDescent="0.2">
      <c r="A281" s="676"/>
      <c r="B281" s="677" t="s">
        <v>9203</v>
      </c>
      <c r="C281" s="1829" t="s">
        <v>9204</v>
      </c>
      <c r="D281" s="1829"/>
      <c r="E281" s="1829"/>
      <c r="F281" s="678" t="s">
        <v>617</v>
      </c>
      <c r="G281" s="678" t="s">
        <v>844</v>
      </c>
      <c r="H281" s="678"/>
      <c r="I281" s="678" t="s">
        <v>186</v>
      </c>
      <c r="J281" s="552"/>
      <c r="K281" s="562"/>
      <c r="L281" s="604"/>
      <c r="M281" s="562"/>
      <c r="N281" s="679"/>
      <c r="V281" s="674"/>
      <c r="W281" s="675"/>
      <c r="X281" s="675"/>
      <c r="AB281" s="680" t="s">
        <v>9204</v>
      </c>
      <c r="AE281" s="675"/>
    </row>
    <row r="282" spans="1:31" s="536" customFormat="1" ht="12" x14ac:dyDescent="0.2">
      <c r="A282" s="605"/>
      <c r="B282" s="552"/>
      <c r="C282" s="1822" t="s">
        <v>314</v>
      </c>
      <c r="D282" s="1822"/>
      <c r="E282" s="1822"/>
      <c r="F282" s="562" t="s">
        <v>315</v>
      </c>
      <c r="G282" s="562" t="s">
        <v>845</v>
      </c>
      <c r="H282" s="562" t="s">
        <v>313</v>
      </c>
      <c r="I282" s="562" t="s">
        <v>959</v>
      </c>
      <c r="J282" s="604"/>
      <c r="K282" s="562"/>
      <c r="L282" s="604"/>
      <c r="M282" s="603"/>
      <c r="N282" s="602"/>
      <c r="V282" s="674"/>
      <c r="W282" s="675"/>
      <c r="X282" s="675"/>
      <c r="AB282" s="680"/>
      <c r="AC282" s="537" t="s">
        <v>314</v>
      </c>
      <c r="AE282" s="675"/>
    </row>
    <row r="283" spans="1:31" s="536" customFormat="1" ht="12" x14ac:dyDescent="0.2">
      <c r="A283" s="605"/>
      <c r="B283" s="552"/>
      <c r="C283" s="1822" t="s">
        <v>348</v>
      </c>
      <c r="D283" s="1822"/>
      <c r="E283" s="1822"/>
      <c r="F283" s="562" t="s">
        <v>315</v>
      </c>
      <c r="G283" s="562" t="s">
        <v>847</v>
      </c>
      <c r="H283" s="562" t="s">
        <v>313</v>
      </c>
      <c r="I283" s="562" t="s">
        <v>960</v>
      </c>
      <c r="J283" s="604"/>
      <c r="K283" s="562"/>
      <c r="L283" s="604"/>
      <c r="M283" s="603"/>
      <c r="N283" s="602"/>
      <c r="V283" s="674"/>
      <c r="W283" s="675"/>
      <c r="X283" s="675"/>
      <c r="AB283" s="680"/>
      <c r="AC283" s="537" t="s">
        <v>348</v>
      </c>
      <c r="AE283" s="675"/>
    </row>
    <row r="284" spans="1:31" s="536" customFormat="1" ht="12" x14ac:dyDescent="0.2">
      <c r="A284" s="605"/>
      <c r="B284" s="552"/>
      <c r="C284" s="1828" t="s">
        <v>318</v>
      </c>
      <c r="D284" s="1828"/>
      <c r="E284" s="1828"/>
      <c r="F284" s="608"/>
      <c r="G284" s="608"/>
      <c r="H284" s="608"/>
      <c r="I284" s="608"/>
      <c r="J284" s="607">
        <v>2392.69</v>
      </c>
      <c r="K284" s="608"/>
      <c r="L284" s="607">
        <v>51.65</v>
      </c>
      <c r="M284" s="601"/>
      <c r="N284" s="606"/>
      <c r="V284" s="674"/>
      <c r="W284" s="675"/>
      <c r="X284" s="675"/>
      <c r="AB284" s="680"/>
      <c r="AD284" s="537" t="s">
        <v>318</v>
      </c>
      <c r="AE284" s="675"/>
    </row>
    <row r="285" spans="1:31" s="536" customFormat="1" ht="12" x14ac:dyDescent="0.2">
      <c r="A285" s="605"/>
      <c r="B285" s="552"/>
      <c r="C285" s="1822" t="s">
        <v>319</v>
      </c>
      <c r="D285" s="1822"/>
      <c r="E285" s="1822"/>
      <c r="F285" s="562"/>
      <c r="G285" s="562"/>
      <c r="H285" s="562"/>
      <c r="I285" s="562"/>
      <c r="J285" s="604"/>
      <c r="K285" s="562"/>
      <c r="L285" s="604">
        <v>14.87</v>
      </c>
      <c r="M285" s="603"/>
      <c r="N285" s="602"/>
      <c r="V285" s="674"/>
      <c r="W285" s="675"/>
      <c r="X285" s="675"/>
      <c r="AB285" s="680"/>
      <c r="AC285" s="537" t="s">
        <v>319</v>
      </c>
      <c r="AE285" s="675"/>
    </row>
    <row r="286" spans="1:31" s="536" customFormat="1" ht="33.75" x14ac:dyDescent="0.2">
      <c r="A286" s="605"/>
      <c r="B286" s="552" t="s">
        <v>849</v>
      </c>
      <c r="C286" s="1822" t="s">
        <v>850</v>
      </c>
      <c r="D286" s="1822"/>
      <c r="E286" s="1822"/>
      <c r="F286" s="562" t="s">
        <v>322</v>
      </c>
      <c r="G286" s="562" t="s">
        <v>851</v>
      </c>
      <c r="H286" s="562"/>
      <c r="I286" s="562" t="s">
        <v>851</v>
      </c>
      <c r="J286" s="604"/>
      <c r="K286" s="562"/>
      <c r="L286" s="604">
        <v>16.059999999999999</v>
      </c>
      <c r="M286" s="603"/>
      <c r="N286" s="602"/>
      <c r="V286" s="674"/>
      <c r="W286" s="675"/>
      <c r="X286" s="675"/>
      <c r="AB286" s="680"/>
      <c r="AC286" s="537" t="s">
        <v>850</v>
      </c>
      <c r="AE286" s="675"/>
    </row>
    <row r="287" spans="1:31" s="536" customFormat="1" ht="33.75" x14ac:dyDescent="0.2">
      <c r="A287" s="605"/>
      <c r="B287" s="552" t="s">
        <v>852</v>
      </c>
      <c r="C287" s="1822" t="s">
        <v>853</v>
      </c>
      <c r="D287" s="1822"/>
      <c r="E287" s="1822"/>
      <c r="F287" s="562" t="s">
        <v>322</v>
      </c>
      <c r="G287" s="562" t="s">
        <v>789</v>
      </c>
      <c r="H287" s="562"/>
      <c r="I287" s="562" t="s">
        <v>789</v>
      </c>
      <c r="J287" s="604"/>
      <c r="K287" s="562"/>
      <c r="L287" s="604">
        <v>8.18</v>
      </c>
      <c r="M287" s="603"/>
      <c r="N287" s="602"/>
      <c r="V287" s="674"/>
      <c r="W287" s="675"/>
      <c r="X287" s="675"/>
      <c r="AB287" s="680"/>
      <c r="AC287" s="537" t="s">
        <v>853</v>
      </c>
      <c r="AE287" s="675"/>
    </row>
    <row r="288" spans="1:31" s="536" customFormat="1" ht="12" x14ac:dyDescent="0.2">
      <c r="A288" s="569"/>
      <c r="B288" s="683"/>
      <c r="C288" s="1823" t="s">
        <v>327</v>
      </c>
      <c r="D288" s="1823"/>
      <c r="E288" s="1823"/>
      <c r="F288" s="573"/>
      <c r="G288" s="573"/>
      <c r="H288" s="573"/>
      <c r="I288" s="573"/>
      <c r="J288" s="572"/>
      <c r="K288" s="573"/>
      <c r="L288" s="572">
        <v>75.89</v>
      </c>
      <c r="M288" s="601"/>
      <c r="N288" s="570"/>
      <c r="V288" s="674"/>
      <c r="W288" s="675"/>
      <c r="X288" s="675"/>
      <c r="AB288" s="680"/>
      <c r="AE288" s="675" t="s">
        <v>327</v>
      </c>
    </row>
    <row r="289" spans="1:31" s="536" customFormat="1" ht="33.75" x14ac:dyDescent="0.2">
      <c r="A289" s="575" t="s">
        <v>773</v>
      </c>
      <c r="B289" s="684" t="s">
        <v>961</v>
      </c>
      <c r="C289" s="1823" t="s">
        <v>962</v>
      </c>
      <c r="D289" s="1823"/>
      <c r="E289" s="1823"/>
      <c r="F289" s="573" t="s">
        <v>617</v>
      </c>
      <c r="G289" s="573"/>
      <c r="H289" s="573"/>
      <c r="I289" s="573" t="s">
        <v>185</v>
      </c>
      <c r="J289" s="572">
        <v>7508.23</v>
      </c>
      <c r="K289" s="573" t="s">
        <v>629</v>
      </c>
      <c r="L289" s="572">
        <v>1655.34</v>
      </c>
      <c r="M289" s="571">
        <v>4.59</v>
      </c>
      <c r="N289" s="570">
        <v>7598</v>
      </c>
      <c r="V289" s="674"/>
      <c r="W289" s="675"/>
      <c r="X289" s="675" t="s">
        <v>962</v>
      </c>
      <c r="AB289" s="680"/>
      <c r="AE289" s="675"/>
    </row>
    <row r="290" spans="1:31" s="536" customFormat="1" ht="12" x14ac:dyDescent="0.2">
      <c r="A290" s="569"/>
      <c r="B290" s="683"/>
      <c r="C290" s="689" t="s">
        <v>630</v>
      </c>
      <c r="D290" s="690"/>
      <c r="E290" s="690"/>
      <c r="F290" s="563"/>
      <c r="G290" s="563"/>
      <c r="H290" s="563"/>
      <c r="I290" s="563"/>
      <c r="J290" s="566"/>
      <c r="K290" s="563"/>
      <c r="L290" s="566"/>
      <c r="M290" s="565"/>
      <c r="N290" s="564"/>
      <c r="V290" s="674"/>
      <c r="W290" s="675"/>
      <c r="X290" s="675"/>
      <c r="AB290" s="680"/>
      <c r="AE290" s="675"/>
    </row>
    <row r="291" spans="1:31" s="536" customFormat="1" ht="22.5" x14ac:dyDescent="0.2">
      <c r="A291" s="609"/>
      <c r="B291" s="552" t="s">
        <v>631</v>
      </c>
      <c r="C291" s="1822" t="s">
        <v>632</v>
      </c>
      <c r="D291" s="1822"/>
      <c r="E291" s="1822"/>
      <c r="F291" s="1822"/>
      <c r="G291" s="1822"/>
      <c r="H291" s="1822"/>
      <c r="I291" s="1822"/>
      <c r="J291" s="1822"/>
      <c r="K291" s="1822"/>
      <c r="L291" s="1822"/>
      <c r="M291" s="1822"/>
      <c r="N291" s="1827"/>
      <c r="V291" s="674"/>
      <c r="W291" s="675"/>
      <c r="X291" s="675"/>
      <c r="Z291" s="537" t="s">
        <v>632</v>
      </c>
      <c r="AB291" s="680"/>
      <c r="AE291" s="675"/>
    </row>
    <row r="292" spans="1:31" s="536" customFormat="1" ht="33.75" x14ac:dyDescent="0.2">
      <c r="A292" s="575" t="s">
        <v>7131</v>
      </c>
      <c r="B292" s="684" t="s">
        <v>963</v>
      </c>
      <c r="C292" s="1823" t="s">
        <v>964</v>
      </c>
      <c r="D292" s="1823"/>
      <c r="E292" s="1823"/>
      <c r="F292" s="573" t="s">
        <v>617</v>
      </c>
      <c r="G292" s="573"/>
      <c r="H292" s="573"/>
      <c r="I292" s="573" t="s">
        <v>185</v>
      </c>
      <c r="J292" s="572">
        <v>7796.67</v>
      </c>
      <c r="K292" s="573" t="s">
        <v>629</v>
      </c>
      <c r="L292" s="572">
        <v>1718.95</v>
      </c>
      <c r="M292" s="571">
        <v>4.59</v>
      </c>
      <c r="N292" s="570">
        <v>7890</v>
      </c>
      <c r="V292" s="674"/>
      <c r="W292" s="675"/>
      <c r="X292" s="675" t="s">
        <v>964</v>
      </c>
      <c r="AB292" s="680"/>
      <c r="AE292" s="675"/>
    </row>
    <row r="293" spans="1:31" s="536" customFormat="1" ht="12" x14ac:dyDescent="0.2">
      <c r="A293" s="569"/>
      <c r="B293" s="683"/>
      <c r="C293" s="689" t="s">
        <v>630</v>
      </c>
      <c r="D293" s="690"/>
      <c r="E293" s="690"/>
      <c r="F293" s="563"/>
      <c r="G293" s="563"/>
      <c r="H293" s="563"/>
      <c r="I293" s="563"/>
      <c r="J293" s="566"/>
      <c r="K293" s="563"/>
      <c r="L293" s="566"/>
      <c r="M293" s="565"/>
      <c r="N293" s="564"/>
      <c r="V293" s="674"/>
      <c r="W293" s="675"/>
      <c r="X293" s="675"/>
      <c r="AB293" s="680"/>
      <c r="AE293" s="675"/>
    </row>
    <row r="294" spans="1:31" s="536" customFormat="1" ht="22.5" x14ac:dyDescent="0.2">
      <c r="A294" s="609"/>
      <c r="B294" s="552" t="s">
        <v>631</v>
      </c>
      <c r="C294" s="1822" t="s">
        <v>632</v>
      </c>
      <c r="D294" s="1822"/>
      <c r="E294" s="1822"/>
      <c r="F294" s="1822"/>
      <c r="G294" s="1822"/>
      <c r="H294" s="1822"/>
      <c r="I294" s="1822"/>
      <c r="J294" s="1822"/>
      <c r="K294" s="1822"/>
      <c r="L294" s="1822"/>
      <c r="M294" s="1822"/>
      <c r="N294" s="1827"/>
      <c r="V294" s="674"/>
      <c r="W294" s="675"/>
      <c r="X294" s="675"/>
      <c r="Z294" s="537" t="s">
        <v>632</v>
      </c>
      <c r="AB294" s="680"/>
      <c r="AE294" s="675"/>
    </row>
    <row r="295" spans="1:31" s="536" customFormat="1" ht="12" x14ac:dyDescent="0.2">
      <c r="A295" s="1830" t="s">
        <v>967</v>
      </c>
      <c r="B295" s="1831"/>
      <c r="C295" s="1831"/>
      <c r="D295" s="1831"/>
      <c r="E295" s="1831"/>
      <c r="F295" s="1831"/>
      <c r="G295" s="1831"/>
      <c r="H295" s="1831"/>
      <c r="I295" s="1831"/>
      <c r="J295" s="1831"/>
      <c r="K295" s="1831"/>
      <c r="L295" s="1831"/>
      <c r="M295" s="1831"/>
      <c r="N295" s="1832"/>
      <c r="V295" s="674"/>
      <c r="W295" s="675" t="s">
        <v>967</v>
      </c>
      <c r="X295" s="675"/>
      <c r="AB295" s="680"/>
      <c r="AE295" s="675"/>
    </row>
    <row r="296" spans="1:31" s="536" customFormat="1" ht="33.75" x14ac:dyDescent="0.2">
      <c r="A296" s="575" t="s">
        <v>929</v>
      </c>
      <c r="B296" s="684" t="s">
        <v>939</v>
      </c>
      <c r="C296" s="1823" t="s">
        <v>940</v>
      </c>
      <c r="D296" s="1823"/>
      <c r="E296" s="1823"/>
      <c r="F296" s="573" t="s">
        <v>617</v>
      </c>
      <c r="G296" s="573"/>
      <c r="H296" s="573"/>
      <c r="I296" s="573" t="s">
        <v>185</v>
      </c>
      <c r="J296" s="572">
        <v>5439.56</v>
      </c>
      <c r="K296" s="573" t="s">
        <v>629</v>
      </c>
      <c r="L296" s="572">
        <v>1199.3499999999999</v>
      </c>
      <c r="M296" s="571">
        <v>4.59</v>
      </c>
      <c r="N296" s="570">
        <v>5505</v>
      </c>
      <c r="V296" s="674"/>
      <c r="W296" s="675"/>
      <c r="X296" s="675" t="s">
        <v>940</v>
      </c>
      <c r="AB296" s="680"/>
      <c r="AE296" s="675"/>
    </row>
    <row r="297" spans="1:31" s="536" customFormat="1" ht="12" x14ac:dyDescent="0.2">
      <c r="A297" s="569"/>
      <c r="B297" s="683"/>
      <c r="C297" s="689" t="s">
        <v>630</v>
      </c>
      <c r="D297" s="690"/>
      <c r="E297" s="690"/>
      <c r="F297" s="563"/>
      <c r="G297" s="563"/>
      <c r="H297" s="563"/>
      <c r="I297" s="563"/>
      <c r="J297" s="566"/>
      <c r="K297" s="563"/>
      <c r="L297" s="566"/>
      <c r="M297" s="565"/>
      <c r="N297" s="564"/>
      <c r="V297" s="674"/>
      <c r="W297" s="675"/>
      <c r="X297" s="675"/>
      <c r="AB297" s="680"/>
      <c r="AE297" s="675"/>
    </row>
    <row r="298" spans="1:31" s="536" customFormat="1" ht="22.5" x14ac:dyDescent="0.2">
      <c r="A298" s="609"/>
      <c r="B298" s="552" t="s">
        <v>631</v>
      </c>
      <c r="C298" s="1822" t="s">
        <v>632</v>
      </c>
      <c r="D298" s="1822"/>
      <c r="E298" s="1822"/>
      <c r="F298" s="1822"/>
      <c r="G298" s="1822"/>
      <c r="H298" s="1822"/>
      <c r="I298" s="1822"/>
      <c r="J298" s="1822"/>
      <c r="K298" s="1822"/>
      <c r="L298" s="1822"/>
      <c r="M298" s="1822"/>
      <c r="N298" s="1827"/>
      <c r="V298" s="674"/>
      <c r="W298" s="675"/>
      <c r="X298" s="675"/>
      <c r="Z298" s="537" t="s">
        <v>632</v>
      </c>
      <c r="AB298" s="680"/>
      <c r="AE298" s="675"/>
    </row>
    <row r="299" spans="1:31" s="536" customFormat="1" ht="33.75" x14ac:dyDescent="0.2">
      <c r="A299" s="575" t="s">
        <v>930</v>
      </c>
      <c r="B299" s="684" t="s">
        <v>941</v>
      </c>
      <c r="C299" s="1823" t="s">
        <v>942</v>
      </c>
      <c r="D299" s="1823"/>
      <c r="E299" s="1823"/>
      <c r="F299" s="573" t="s">
        <v>617</v>
      </c>
      <c r="G299" s="573"/>
      <c r="H299" s="573"/>
      <c r="I299" s="573" t="s">
        <v>185</v>
      </c>
      <c r="J299" s="572">
        <v>735.35</v>
      </c>
      <c r="K299" s="573" t="s">
        <v>629</v>
      </c>
      <c r="L299" s="572">
        <v>162.09</v>
      </c>
      <c r="M299" s="571">
        <v>4.59</v>
      </c>
      <c r="N299" s="570">
        <v>744</v>
      </c>
      <c r="V299" s="674"/>
      <c r="W299" s="675"/>
      <c r="X299" s="675" t="s">
        <v>942</v>
      </c>
      <c r="AB299" s="680"/>
      <c r="AE299" s="675"/>
    </row>
    <row r="300" spans="1:31" s="536" customFormat="1" ht="12" x14ac:dyDescent="0.2">
      <c r="A300" s="569"/>
      <c r="B300" s="683"/>
      <c r="C300" s="689" t="s">
        <v>630</v>
      </c>
      <c r="D300" s="690"/>
      <c r="E300" s="690"/>
      <c r="F300" s="563"/>
      <c r="G300" s="563"/>
      <c r="H300" s="563"/>
      <c r="I300" s="563"/>
      <c r="J300" s="566"/>
      <c r="K300" s="563"/>
      <c r="L300" s="566"/>
      <c r="M300" s="565"/>
      <c r="N300" s="564"/>
      <c r="V300" s="674"/>
      <c r="W300" s="675"/>
      <c r="X300" s="675"/>
      <c r="AB300" s="680"/>
      <c r="AE300" s="675"/>
    </row>
    <row r="301" spans="1:31" s="536" customFormat="1" ht="22.5" x14ac:dyDescent="0.2">
      <c r="A301" s="609"/>
      <c r="B301" s="552" t="s">
        <v>631</v>
      </c>
      <c r="C301" s="1822" t="s">
        <v>632</v>
      </c>
      <c r="D301" s="1822"/>
      <c r="E301" s="1822"/>
      <c r="F301" s="1822"/>
      <c r="G301" s="1822"/>
      <c r="H301" s="1822"/>
      <c r="I301" s="1822"/>
      <c r="J301" s="1822"/>
      <c r="K301" s="1822"/>
      <c r="L301" s="1822"/>
      <c r="M301" s="1822"/>
      <c r="N301" s="1827"/>
      <c r="V301" s="674"/>
      <c r="W301" s="675"/>
      <c r="X301" s="675"/>
      <c r="Z301" s="537" t="s">
        <v>632</v>
      </c>
      <c r="AB301" s="680"/>
      <c r="AE301" s="675"/>
    </row>
    <row r="302" spans="1:31" s="536" customFormat="1" ht="33.75" x14ac:dyDescent="0.2">
      <c r="A302" s="575" t="s">
        <v>777</v>
      </c>
      <c r="B302" s="684" t="s">
        <v>943</v>
      </c>
      <c r="C302" s="1823" t="s">
        <v>944</v>
      </c>
      <c r="D302" s="1823"/>
      <c r="E302" s="1823"/>
      <c r="F302" s="573" t="s">
        <v>617</v>
      </c>
      <c r="G302" s="573"/>
      <c r="H302" s="573"/>
      <c r="I302" s="573" t="s">
        <v>185</v>
      </c>
      <c r="J302" s="572">
        <v>4111.72</v>
      </c>
      <c r="K302" s="573" t="s">
        <v>629</v>
      </c>
      <c r="L302" s="572">
        <v>906.54</v>
      </c>
      <c r="M302" s="571">
        <v>4.59</v>
      </c>
      <c r="N302" s="570">
        <v>4161</v>
      </c>
      <c r="V302" s="674"/>
      <c r="W302" s="675"/>
      <c r="X302" s="675" t="s">
        <v>944</v>
      </c>
      <c r="AB302" s="680"/>
      <c r="AE302" s="675"/>
    </row>
    <row r="303" spans="1:31" s="536" customFormat="1" ht="12" x14ac:dyDescent="0.2">
      <c r="A303" s="569"/>
      <c r="B303" s="683"/>
      <c r="C303" s="689" t="s">
        <v>630</v>
      </c>
      <c r="D303" s="690"/>
      <c r="E303" s="690"/>
      <c r="F303" s="563"/>
      <c r="G303" s="563"/>
      <c r="H303" s="563"/>
      <c r="I303" s="563"/>
      <c r="J303" s="566"/>
      <c r="K303" s="563"/>
      <c r="L303" s="566"/>
      <c r="M303" s="565"/>
      <c r="N303" s="564"/>
      <c r="V303" s="674"/>
      <c r="W303" s="675"/>
      <c r="X303" s="675"/>
      <c r="AB303" s="680"/>
      <c r="AE303" s="675"/>
    </row>
    <row r="304" spans="1:31" s="536" customFormat="1" ht="22.5" x14ac:dyDescent="0.2">
      <c r="A304" s="609"/>
      <c r="B304" s="552" t="s">
        <v>631</v>
      </c>
      <c r="C304" s="1822" t="s">
        <v>632</v>
      </c>
      <c r="D304" s="1822"/>
      <c r="E304" s="1822"/>
      <c r="F304" s="1822"/>
      <c r="G304" s="1822"/>
      <c r="H304" s="1822"/>
      <c r="I304" s="1822"/>
      <c r="J304" s="1822"/>
      <c r="K304" s="1822"/>
      <c r="L304" s="1822"/>
      <c r="M304" s="1822"/>
      <c r="N304" s="1827"/>
      <c r="V304" s="674"/>
      <c r="W304" s="675"/>
      <c r="X304" s="675"/>
      <c r="Z304" s="537" t="s">
        <v>632</v>
      </c>
      <c r="AB304" s="680"/>
      <c r="AE304" s="675"/>
    </row>
    <row r="305" spans="1:31" s="536" customFormat="1" ht="12" x14ac:dyDescent="0.2">
      <c r="A305" s="575" t="s">
        <v>465</v>
      </c>
      <c r="B305" s="684" t="s">
        <v>818</v>
      </c>
      <c r="C305" s="1823" t="s">
        <v>945</v>
      </c>
      <c r="D305" s="1823"/>
      <c r="E305" s="1823"/>
      <c r="F305" s="573" t="s">
        <v>617</v>
      </c>
      <c r="G305" s="573"/>
      <c r="H305" s="573"/>
      <c r="I305" s="573" t="s">
        <v>185</v>
      </c>
      <c r="J305" s="572"/>
      <c r="K305" s="573"/>
      <c r="L305" s="572"/>
      <c r="M305" s="571"/>
      <c r="N305" s="570"/>
      <c r="V305" s="674"/>
      <c r="W305" s="675"/>
      <c r="X305" s="675" t="s">
        <v>945</v>
      </c>
      <c r="AB305" s="680"/>
      <c r="AE305" s="675"/>
    </row>
    <row r="306" spans="1:31" s="536" customFormat="1" ht="22.5" x14ac:dyDescent="0.2">
      <c r="A306" s="609"/>
      <c r="B306" s="552" t="s">
        <v>499</v>
      </c>
      <c r="C306" s="1822" t="s">
        <v>500</v>
      </c>
      <c r="D306" s="1822"/>
      <c r="E306" s="1822"/>
      <c r="F306" s="1822"/>
      <c r="G306" s="1822"/>
      <c r="H306" s="1822"/>
      <c r="I306" s="1822"/>
      <c r="J306" s="1822"/>
      <c r="K306" s="1822"/>
      <c r="L306" s="1822"/>
      <c r="M306" s="1822"/>
      <c r="N306" s="1827"/>
      <c r="V306" s="674"/>
      <c r="W306" s="675"/>
      <c r="X306" s="675"/>
      <c r="Z306" s="537" t="s">
        <v>500</v>
      </c>
      <c r="AB306" s="680"/>
      <c r="AE306" s="675"/>
    </row>
    <row r="307" spans="1:31" s="536" customFormat="1" ht="12" x14ac:dyDescent="0.2">
      <c r="A307" s="605"/>
      <c r="B307" s="552" t="s">
        <v>185</v>
      </c>
      <c r="C307" s="1822" t="s">
        <v>312</v>
      </c>
      <c r="D307" s="1822"/>
      <c r="E307" s="1822"/>
      <c r="F307" s="562"/>
      <c r="G307" s="562"/>
      <c r="H307" s="562"/>
      <c r="I307" s="562"/>
      <c r="J307" s="604">
        <v>8.7899999999999991</v>
      </c>
      <c r="K307" s="562" t="s">
        <v>313</v>
      </c>
      <c r="L307" s="604">
        <v>10.99</v>
      </c>
      <c r="M307" s="603"/>
      <c r="N307" s="602"/>
      <c r="V307" s="674"/>
      <c r="W307" s="675"/>
      <c r="X307" s="675"/>
      <c r="AA307" s="537" t="s">
        <v>312</v>
      </c>
      <c r="AB307" s="680"/>
      <c r="AE307" s="675"/>
    </row>
    <row r="308" spans="1:31" s="536" customFormat="1" ht="12" x14ac:dyDescent="0.2">
      <c r="A308" s="605"/>
      <c r="B308" s="552" t="s">
        <v>186</v>
      </c>
      <c r="C308" s="1822" t="s">
        <v>344</v>
      </c>
      <c r="D308" s="1822"/>
      <c r="E308" s="1822"/>
      <c r="F308" s="562"/>
      <c r="G308" s="562"/>
      <c r="H308" s="562"/>
      <c r="I308" s="562"/>
      <c r="J308" s="604">
        <v>10.51</v>
      </c>
      <c r="K308" s="562" t="s">
        <v>313</v>
      </c>
      <c r="L308" s="604">
        <v>13.14</v>
      </c>
      <c r="M308" s="603"/>
      <c r="N308" s="602"/>
      <c r="V308" s="674"/>
      <c r="W308" s="675"/>
      <c r="X308" s="675"/>
      <c r="AA308" s="537" t="s">
        <v>344</v>
      </c>
      <c r="AB308" s="680"/>
      <c r="AE308" s="675"/>
    </row>
    <row r="309" spans="1:31" s="536" customFormat="1" ht="12" x14ac:dyDescent="0.2">
      <c r="A309" s="605"/>
      <c r="B309" s="552" t="s">
        <v>187</v>
      </c>
      <c r="C309" s="1822" t="s">
        <v>345</v>
      </c>
      <c r="D309" s="1822"/>
      <c r="E309" s="1822"/>
      <c r="F309" s="562"/>
      <c r="G309" s="562"/>
      <c r="H309" s="562"/>
      <c r="I309" s="562"/>
      <c r="J309" s="604">
        <v>1.86</v>
      </c>
      <c r="K309" s="562" t="s">
        <v>313</v>
      </c>
      <c r="L309" s="604">
        <v>2.33</v>
      </c>
      <c r="M309" s="603"/>
      <c r="N309" s="602"/>
      <c r="V309" s="674"/>
      <c r="W309" s="675"/>
      <c r="X309" s="675"/>
      <c r="AA309" s="537" t="s">
        <v>345</v>
      </c>
      <c r="AB309" s="680"/>
      <c r="AE309" s="675"/>
    </row>
    <row r="310" spans="1:31" s="536" customFormat="1" ht="12" x14ac:dyDescent="0.2">
      <c r="A310" s="605"/>
      <c r="B310" s="552" t="s">
        <v>188</v>
      </c>
      <c r="C310" s="1822" t="s">
        <v>475</v>
      </c>
      <c r="D310" s="1822"/>
      <c r="E310" s="1822"/>
      <c r="F310" s="562"/>
      <c r="G310" s="562"/>
      <c r="H310" s="562"/>
      <c r="I310" s="562"/>
      <c r="J310" s="604">
        <v>0.18</v>
      </c>
      <c r="K310" s="562"/>
      <c r="L310" s="604">
        <v>0.18</v>
      </c>
      <c r="M310" s="603"/>
      <c r="N310" s="602"/>
      <c r="V310" s="674"/>
      <c r="W310" s="675"/>
      <c r="X310" s="675"/>
      <c r="AA310" s="537" t="s">
        <v>475</v>
      </c>
      <c r="AB310" s="680"/>
      <c r="AE310" s="675"/>
    </row>
    <row r="311" spans="1:31" s="536" customFormat="1" ht="12" x14ac:dyDescent="0.2">
      <c r="A311" s="605"/>
      <c r="B311" s="552"/>
      <c r="C311" s="1822" t="s">
        <v>314</v>
      </c>
      <c r="D311" s="1822"/>
      <c r="E311" s="1822"/>
      <c r="F311" s="562" t="s">
        <v>315</v>
      </c>
      <c r="G311" s="562" t="s">
        <v>702</v>
      </c>
      <c r="H311" s="562" t="s">
        <v>313</v>
      </c>
      <c r="I311" s="562" t="s">
        <v>3173</v>
      </c>
      <c r="J311" s="604"/>
      <c r="K311" s="562"/>
      <c r="L311" s="604"/>
      <c r="M311" s="603"/>
      <c r="N311" s="602"/>
      <c r="V311" s="674"/>
      <c r="W311" s="675"/>
      <c r="X311" s="675"/>
      <c r="AB311" s="680"/>
      <c r="AC311" s="537" t="s">
        <v>314</v>
      </c>
      <c r="AE311" s="675"/>
    </row>
    <row r="312" spans="1:31" s="536" customFormat="1" ht="12" x14ac:dyDescent="0.2">
      <c r="A312" s="605"/>
      <c r="B312" s="552"/>
      <c r="C312" s="1822" t="s">
        <v>348</v>
      </c>
      <c r="D312" s="1822"/>
      <c r="E312" s="1822"/>
      <c r="F312" s="562" t="s">
        <v>315</v>
      </c>
      <c r="G312" s="562" t="s">
        <v>822</v>
      </c>
      <c r="H312" s="562" t="s">
        <v>313</v>
      </c>
      <c r="I312" s="562" t="s">
        <v>890</v>
      </c>
      <c r="J312" s="604"/>
      <c r="K312" s="562"/>
      <c r="L312" s="604"/>
      <c r="M312" s="603"/>
      <c r="N312" s="602"/>
      <c r="V312" s="674"/>
      <c r="W312" s="675"/>
      <c r="X312" s="675"/>
      <c r="AB312" s="680"/>
      <c r="AC312" s="537" t="s">
        <v>348</v>
      </c>
      <c r="AE312" s="675"/>
    </row>
    <row r="313" spans="1:31" s="536" customFormat="1" ht="12" x14ac:dyDescent="0.2">
      <c r="A313" s="605"/>
      <c r="B313" s="552"/>
      <c r="C313" s="1828" t="s">
        <v>318</v>
      </c>
      <c r="D313" s="1828"/>
      <c r="E313" s="1828"/>
      <c r="F313" s="608"/>
      <c r="G313" s="608"/>
      <c r="H313" s="608"/>
      <c r="I313" s="608"/>
      <c r="J313" s="607">
        <v>19.48</v>
      </c>
      <c r="K313" s="608"/>
      <c r="L313" s="607">
        <v>24.31</v>
      </c>
      <c r="M313" s="601"/>
      <c r="N313" s="606"/>
      <c r="V313" s="674"/>
      <c r="W313" s="675"/>
      <c r="X313" s="675"/>
      <c r="AB313" s="680"/>
      <c r="AD313" s="537" t="s">
        <v>318</v>
      </c>
      <c r="AE313" s="675"/>
    </row>
    <row r="314" spans="1:31" s="536" customFormat="1" ht="12" x14ac:dyDescent="0.2">
      <c r="A314" s="605"/>
      <c r="B314" s="552"/>
      <c r="C314" s="1822" t="s">
        <v>319</v>
      </c>
      <c r="D314" s="1822"/>
      <c r="E314" s="1822"/>
      <c r="F314" s="562"/>
      <c r="G314" s="562"/>
      <c r="H314" s="562"/>
      <c r="I314" s="562"/>
      <c r="J314" s="604"/>
      <c r="K314" s="562"/>
      <c r="L314" s="604">
        <v>13.32</v>
      </c>
      <c r="M314" s="603"/>
      <c r="N314" s="602"/>
      <c r="V314" s="674"/>
      <c r="W314" s="675"/>
      <c r="X314" s="675"/>
      <c r="AB314" s="680"/>
      <c r="AC314" s="537" t="s">
        <v>319</v>
      </c>
      <c r="AE314" s="675"/>
    </row>
    <row r="315" spans="1:31" s="536" customFormat="1" ht="33.75" x14ac:dyDescent="0.2">
      <c r="A315" s="605"/>
      <c r="B315" s="552" t="s">
        <v>948</v>
      </c>
      <c r="C315" s="1822" t="s">
        <v>949</v>
      </c>
      <c r="D315" s="1822"/>
      <c r="E315" s="1822"/>
      <c r="F315" s="562" t="s">
        <v>322</v>
      </c>
      <c r="G315" s="562" t="s">
        <v>886</v>
      </c>
      <c r="H315" s="562"/>
      <c r="I315" s="562" t="s">
        <v>886</v>
      </c>
      <c r="J315" s="604"/>
      <c r="K315" s="562"/>
      <c r="L315" s="604">
        <v>11.99</v>
      </c>
      <c r="M315" s="603"/>
      <c r="N315" s="602"/>
      <c r="V315" s="674"/>
      <c r="W315" s="675"/>
      <c r="X315" s="675"/>
      <c r="AB315" s="680"/>
      <c r="AC315" s="537" t="s">
        <v>949</v>
      </c>
      <c r="AE315" s="675"/>
    </row>
    <row r="316" spans="1:31" s="536" customFormat="1" ht="33.75" x14ac:dyDescent="0.2">
      <c r="A316" s="605"/>
      <c r="B316" s="552" t="s">
        <v>950</v>
      </c>
      <c r="C316" s="1822" t="s">
        <v>951</v>
      </c>
      <c r="D316" s="1822"/>
      <c r="E316" s="1822"/>
      <c r="F316" s="562" t="s">
        <v>322</v>
      </c>
      <c r="G316" s="562" t="s">
        <v>465</v>
      </c>
      <c r="H316" s="562"/>
      <c r="I316" s="562" t="s">
        <v>465</v>
      </c>
      <c r="J316" s="604"/>
      <c r="K316" s="562"/>
      <c r="L316" s="604">
        <v>6.13</v>
      </c>
      <c r="M316" s="603"/>
      <c r="N316" s="602"/>
      <c r="V316" s="674"/>
      <c r="W316" s="675"/>
      <c r="X316" s="675"/>
      <c r="AB316" s="680"/>
      <c r="AC316" s="537" t="s">
        <v>951</v>
      </c>
      <c r="AE316" s="675"/>
    </row>
    <row r="317" spans="1:31" s="536" customFormat="1" ht="12" x14ac:dyDescent="0.2">
      <c r="A317" s="569"/>
      <c r="B317" s="683"/>
      <c r="C317" s="1823" t="s">
        <v>327</v>
      </c>
      <c r="D317" s="1823"/>
      <c r="E317" s="1823"/>
      <c r="F317" s="573"/>
      <c r="G317" s="573"/>
      <c r="H317" s="573"/>
      <c r="I317" s="573"/>
      <c r="J317" s="572"/>
      <c r="K317" s="573"/>
      <c r="L317" s="572">
        <v>42.43</v>
      </c>
      <c r="M317" s="601"/>
      <c r="N317" s="570"/>
      <c r="V317" s="674"/>
      <c r="W317" s="675"/>
      <c r="X317" s="675"/>
      <c r="AB317" s="680"/>
      <c r="AE317" s="675" t="s">
        <v>327</v>
      </c>
    </row>
    <row r="318" spans="1:31" s="536" customFormat="1" ht="33.75" x14ac:dyDescent="0.2">
      <c r="A318" s="575" t="s">
        <v>932</v>
      </c>
      <c r="B318" s="684" t="s">
        <v>952</v>
      </c>
      <c r="C318" s="1823" t="s">
        <v>953</v>
      </c>
      <c r="D318" s="1823"/>
      <c r="E318" s="1823"/>
      <c r="F318" s="573" t="s">
        <v>617</v>
      </c>
      <c r="G318" s="573"/>
      <c r="H318" s="573"/>
      <c r="I318" s="573" t="s">
        <v>185</v>
      </c>
      <c r="J318" s="572">
        <v>6401.09</v>
      </c>
      <c r="K318" s="573" t="s">
        <v>629</v>
      </c>
      <c r="L318" s="572">
        <v>1411.33</v>
      </c>
      <c r="M318" s="571">
        <v>4.59</v>
      </c>
      <c r="N318" s="570">
        <v>6478</v>
      </c>
      <c r="V318" s="674"/>
      <c r="W318" s="675"/>
      <c r="X318" s="675" t="s">
        <v>953</v>
      </c>
      <c r="AB318" s="680"/>
      <c r="AE318" s="675"/>
    </row>
    <row r="319" spans="1:31" s="536" customFormat="1" ht="12" x14ac:dyDescent="0.2">
      <c r="A319" s="569"/>
      <c r="B319" s="683"/>
      <c r="C319" s="689" t="s">
        <v>630</v>
      </c>
      <c r="D319" s="690"/>
      <c r="E319" s="690"/>
      <c r="F319" s="563"/>
      <c r="G319" s="563"/>
      <c r="H319" s="563"/>
      <c r="I319" s="563"/>
      <c r="J319" s="566"/>
      <c r="K319" s="563"/>
      <c r="L319" s="566"/>
      <c r="M319" s="565"/>
      <c r="N319" s="564"/>
      <c r="V319" s="674"/>
      <c r="W319" s="675"/>
      <c r="X319" s="675"/>
      <c r="AB319" s="680"/>
      <c r="AE319" s="675"/>
    </row>
    <row r="320" spans="1:31" s="536" customFormat="1" ht="22.5" x14ac:dyDescent="0.2">
      <c r="A320" s="609"/>
      <c r="B320" s="552" t="s">
        <v>631</v>
      </c>
      <c r="C320" s="1822" t="s">
        <v>632</v>
      </c>
      <c r="D320" s="1822"/>
      <c r="E320" s="1822"/>
      <c r="F320" s="1822"/>
      <c r="G320" s="1822"/>
      <c r="H320" s="1822"/>
      <c r="I320" s="1822"/>
      <c r="J320" s="1822"/>
      <c r="K320" s="1822"/>
      <c r="L320" s="1822"/>
      <c r="M320" s="1822"/>
      <c r="N320" s="1827"/>
      <c r="V320" s="674"/>
      <c r="W320" s="675"/>
      <c r="X320" s="675"/>
      <c r="Z320" s="537" t="s">
        <v>632</v>
      </c>
      <c r="AB320" s="680"/>
      <c r="AE320" s="675"/>
    </row>
    <row r="321" spans="1:31" s="536" customFormat="1" ht="33.75" x14ac:dyDescent="0.2">
      <c r="A321" s="575" t="s">
        <v>783</v>
      </c>
      <c r="B321" s="684" t="s">
        <v>954</v>
      </c>
      <c r="C321" s="1823" t="s">
        <v>955</v>
      </c>
      <c r="D321" s="1823"/>
      <c r="E321" s="1823"/>
      <c r="F321" s="573" t="s">
        <v>617</v>
      </c>
      <c r="G321" s="573"/>
      <c r="H321" s="573"/>
      <c r="I321" s="573" t="s">
        <v>185</v>
      </c>
      <c r="J321" s="572">
        <v>8095.23</v>
      </c>
      <c r="K321" s="573" t="s">
        <v>629</v>
      </c>
      <c r="L321" s="572">
        <v>1784.75</v>
      </c>
      <c r="M321" s="571">
        <v>4.59</v>
      </c>
      <c r="N321" s="570">
        <v>8192</v>
      </c>
      <c r="V321" s="674"/>
      <c r="W321" s="675"/>
      <c r="X321" s="675" t="s">
        <v>955</v>
      </c>
      <c r="AB321" s="680"/>
      <c r="AE321" s="675"/>
    </row>
    <row r="322" spans="1:31" s="536" customFormat="1" ht="12" x14ac:dyDescent="0.2">
      <c r="A322" s="569"/>
      <c r="B322" s="683"/>
      <c r="C322" s="689" t="s">
        <v>630</v>
      </c>
      <c r="D322" s="690"/>
      <c r="E322" s="690"/>
      <c r="F322" s="563"/>
      <c r="G322" s="563"/>
      <c r="H322" s="563"/>
      <c r="I322" s="563"/>
      <c r="J322" s="566"/>
      <c r="K322" s="563"/>
      <c r="L322" s="566"/>
      <c r="M322" s="565"/>
      <c r="N322" s="564"/>
      <c r="V322" s="674"/>
      <c r="W322" s="675"/>
      <c r="X322" s="675"/>
      <c r="AB322" s="680"/>
      <c r="AE322" s="675"/>
    </row>
    <row r="323" spans="1:31" s="536" customFormat="1" ht="22.5" x14ac:dyDescent="0.2">
      <c r="A323" s="609"/>
      <c r="B323" s="552" t="s">
        <v>631</v>
      </c>
      <c r="C323" s="1822" t="s">
        <v>632</v>
      </c>
      <c r="D323" s="1822"/>
      <c r="E323" s="1822"/>
      <c r="F323" s="1822"/>
      <c r="G323" s="1822"/>
      <c r="H323" s="1822"/>
      <c r="I323" s="1822"/>
      <c r="J323" s="1822"/>
      <c r="K323" s="1822"/>
      <c r="L323" s="1822"/>
      <c r="M323" s="1822"/>
      <c r="N323" s="1827"/>
      <c r="V323" s="674"/>
      <c r="W323" s="675"/>
      <c r="X323" s="675"/>
      <c r="Z323" s="537" t="s">
        <v>632</v>
      </c>
      <c r="AB323" s="680"/>
      <c r="AE323" s="675"/>
    </row>
    <row r="324" spans="1:31" s="536" customFormat="1" ht="33.75" x14ac:dyDescent="0.2">
      <c r="A324" s="575" t="s">
        <v>7132</v>
      </c>
      <c r="B324" s="684" t="s">
        <v>956</v>
      </c>
      <c r="C324" s="1823" t="s">
        <v>957</v>
      </c>
      <c r="D324" s="1823"/>
      <c r="E324" s="1823"/>
      <c r="F324" s="573" t="s">
        <v>617</v>
      </c>
      <c r="G324" s="573"/>
      <c r="H324" s="573"/>
      <c r="I324" s="573" t="s">
        <v>186</v>
      </c>
      <c r="J324" s="572">
        <v>1238.1099999999999</v>
      </c>
      <c r="K324" s="573" t="s">
        <v>629</v>
      </c>
      <c r="L324" s="572">
        <v>545.97</v>
      </c>
      <c r="M324" s="571">
        <v>4.59</v>
      </c>
      <c r="N324" s="570">
        <v>2506</v>
      </c>
      <c r="V324" s="674"/>
      <c r="W324" s="675"/>
      <c r="X324" s="675" t="s">
        <v>957</v>
      </c>
      <c r="AB324" s="680"/>
      <c r="AE324" s="675"/>
    </row>
    <row r="325" spans="1:31" s="536" customFormat="1" ht="12" x14ac:dyDescent="0.2">
      <c r="A325" s="569"/>
      <c r="B325" s="683"/>
      <c r="C325" s="689" t="s">
        <v>630</v>
      </c>
      <c r="D325" s="690"/>
      <c r="E325" s="690"/>
      <c r="F325" s="563"/>
      <c r="G325" s="563"/>
      <c r="H325" s="563"/>
      <c r="I325" s="563"/>
      <c r="J325" s="566"/>
      <c r="K325" s="563"/>
      <c r="L325" s="566"/>
      <c r="M325" s="565"/>
      <c r="N325" s="564"/>
      <c r="V325" s="674"/>
      <c r="W325" s="675"/>
      <c r="X325" s="675"/>
      <c r="AB325" s="680"/>
      <c r="AE325" s="675"/>
    </row>
    <row r="326" spans="1:31" s="536" customFormat="1" ht="22.5" x14ac:dyDescent="0.2">
      <c r="A326" s="609"/>
      <c r="B326" s="552" t="s">
        <v>631</v>
      </c>
      <c r="C326" s="1822" t="s">
        <v>632</v>
      </c>
      <c r="D326" s="1822"/>
      <c r="E326" s="1822"/>
      <c r="F326" s="1822"/>
      <c r="G326" s="1822"/>
      <c r="H326" s="1822"/>
      <c r="I326" s="1822"/>
      <c r="J326" s="1822"/>
      <c r="K326" s="1822"/>
      <c r="L326" s="1822"/>
      <c r="M326" s="1822"/>
      <c r="N326" s="1827"/>
      <c r="V326" s="674"/>
      <c r="W326" s="675"/>
      <c r="X326" s="675"/>
      <c r="Z326" s="537" t="s">
        <v>632</v>
      </c>
      <c r="AB326" s="680"/>
      <c r="AE326" s="675"/>
    </row>
    <row r="327" spans="1:31" s="536" customFormat="1" ht="22.5" x14ac:dyDescent="0.2">
      <c r="A327" s="575" t="s">
        <v>1679</v>
      </c>
      <c r="B327" s="684" t="s">
        <v>841</v>
      </c>
      <c r="C327" s="1823" t="s">
        <v>842</v>
      </c>
      <c r="D327" s="1823"/>
      <c r="E327" s="1823"/>
      <c r="F327" s="573" t="s">
        <v>307</v>
      </c>
      <c r="G327" s="573"/>
      <c r="H327" s="573"/>
      <c r="I327" s="573" t="s">
        <v>695</v>
      </c>
      <c r="J327" s="572"/>
      <c r="K327" s="573"/>
      <c r="L327" s="572"/>
      <c r="M327" s="571"/>
      <c r="N327" s="570"/>
      <c r="V327" s="674"/>
      <c r="W327" s="675"/>
      <c r="X327" s="675" t="s">
        <v>842</v>
      </c>
      <c r="AB327" s="680"/>
      <c r="AE327" s="675"/>
    </row>
    <row r="328" spans="1:31" s="536" customFormat="1" ht="12" x14ac:dyDescent="0.2">
      <c r="A328" s="676"/>
      <c r="B328" s="682"/>
      <c r="C328" s="1822" t="s">
        <v>958</v>
      </c>
      <c r="D328" s="1822"/>
      <c r="E328" s="1822"/>
      <c r="F328" s="1822"/>
      <c r="G328" s="1822"/>
      <c r="H328" s="1822"/>
      <c r="I328" s="1822"/>
      <c r="J328" s="1822"/>
      <c r="K328" s="1822"/>
      <c r="L328" s="1822"/>
      <c r="M328" s="1822"/>
      <c r="N328" s="1827"/>
      <c r="V328" s="674"/>
      <c r="W328" s="675"/>
      <c r="X328" s="675"/>
      <c r="Y328" s="537" t="s">
        <v>958</v>
      </c>
      <c r="AB328" s="680"/>
      <c r="AE328" s="675"/>
    </row>
    <row r="329" spans="1:31" s="536" customFormat="1" ht="22.5" x14ac:dyDescent="0.2">
      <c r="A329" s="609"/>
      <c r="B329" s="552" t="s">
        <v>499</v>
      </c>
      <c r="C329" s="1822" t="s">
        <v>500</v>
      </c>
      <c r="D329" s="1822"/>
      <c r="E329" s="1822"/>
      <c r="F329" s="1822"/>
      <c r="G329" s="1822"/>
      <c r="H329" s="1822"/>
      <c r="I329" s="1822"/>
      <c r="J329" s="1822"/>
      <c r="K329" s="1822"/>
      <c r="L329" s="1822"/>
      <c r="M329" s="1822"/>
      <c r="N329" s="1827"/>
      <c r="V329" s="674"/>
      <c r="W329" s="675"/>
      <c r="X329" s="675"/>
      <c r="Z329" s="537" t="s">
        <v>500</v>
      </c>
      <c r="AB329" s="680"/>
      <c r="AE329" s="675"/>
    </row>
    <row r="330" spans="1:31" s="536" customFormat="1" ht="12" x14ac:dyDescent="0.2">
      <c r="A330" s="605"/>
      <c r="B330" s="552" t="s">
        <v>185</v>
      </c>
      <c r="C330" s="1822" t="s">
        <v>312</v>
      </c>
      <c r="D330" s="1822"/>
      <c r="E330" s="1822"/>
      <c r="F330" s="562"/>
      <c r="G330" s="562"/>
      <c r="H330" s="562"/>
      <c r="I330" s="562"/>
      <c r="J330" s="604">
        <v>542.95000000000005</v>
      </c>
      <c r="K330" s="562" t="s">
        <v>313</v>
      </c>
      <c r="L330" s="604">
        <v>13.57</v>
      </c>
      <c r="M330" s="603"/>
      <c r="N330" s="602"/>
      <c r="V330" s="674"/>
      <c r="W330" s="675"/>
      <c r="X330" s="675"/>
      <c r="AA330" s="537" t="s">
        <v>312</v>
      </c>
      <c r="AB330" s="680"/>
      <c r="AE330" s="675"/>
    </row>
    <row r="331" spans="1:31" s="536" customFormat="1" ht="12" x14ac:dyDescent="0.2">
      <c r="A331" s="605"/>
      <c r="B331" s="552" t="s">
        <v>186</v>
      </c>
      <c r="C331" s="1822" t="s">
        <v>344</v>
      </c>
      <c r="D331" s="1822"/>
      <c r="E331" s="1822"/>
      <c r="F331" s="562"/>
      <c r="G331" s="562"/>
      <c r="H331" s="562"/>
      <c r="I331" s="562"/>
      <c r="J331" s="604">
        <v>216.38</v>
      </c>
      <c r="K331" s="562" t="s">
        <v>313</v>
      </c>
      <c r="L331" s="604">
        <v>5.41</v>
      </c>
      <c r="M331" s="603"/>
      <c r="N331" s="602"/>
      <c r="V331" s="674"/>
      <c r="W331" s="675"/>
      <c r="X331" s="675"/>
      <c r="AA331" s="537" t="s">
        <v>344</v>
      </c>
      <c r="AB331" s="680"/>
      <c r="AE331" s="675"/>
    </row>
    <row r="332" spans="1:31" s="536" customFormat="1" ht="12" x14ac:dyDescent="0.2">
      <c r="A332" s="605"/>
      <c r="B332" s="552" t="s">
        <v>187</v>
      </c>
      <c r="C332" s="1822" t="s">
        <v>345</v>
      </c>
      <c r="D332" s="1822"/>
      <c r="E332" s="1822"/>
      <c r="F332" s="562"/>
      <c r="G332" s="562"/>
      <c r="H332" s="562"/>
      <c r="I332" s="562"/>
      <c r="J332" s="604">
        <v>52.01</v>
      </c>
      <c r="K332" s="562" t="s">
        <v>313</v>
      </c>
      <c r="L332" s="604">
        <v>1.3</v>
      </c>
      <c r="M332" s="603"/>
      <c r="N332" s="602"/>
      <c r="V332" s="674"/>
      <c r="W332" s="675"/>
      <c r="X332" s="675"/>
      <c r="AA332" s="537" t="s">
        <v>345</v>
      </c>
      <c r="AB332" s="680"/>
      <c r="AE332" s="675"/>
    </row>
    <row r="333" spans="1:31" s="536" customFormat="1" ht="12" x14ac:dyDescent="0.2">
      <c r="A333" s="605"/>
      <c r="B333" s="552" t="s">
        <v>188</v>
      </c>
      <c r="C333" s="1822" t="s">
        <v>475</v>
      </c>
      <c r="D333" s="1822"/>
      <c r="E333" s="1822"/>
      <c r="F333" s="562"/>
      <c r="G333" s="562"/>
      <c r="H333" s="562"/>
      <c r="I333" s="562"/>
      <c r="J333" s="604">
        <v>1633.36</v>
      </c>
      <c r="K333" s="562"/>
      <c r="L333" s="604">
        <v>32.67</v>
      </c>
      <c r="M333" s="603"/>
      <c r="N333" s="602"/>
      <c r="V333" s="674"/>
      <c r="W333" s="675"/>
      <c r="X333" s="675"/>
      <c r="AA333" s="537" t="s">
        <v>475</v>
      </c>
      <c r="AB333" s="680"/>
      <c r="AE333" s="675"/>
    </row>
    <row r="334" spans="1:31" s="536" customFormat="1" ht="12" x14ac:dyDescent="0.2">
      <c r="A334" s="676"/>
      <c r="B334" s="677" t="s">
        <v>9203</v>
      </c>
      <c r="C334" s="1829" t="s">
        <v>9204</v>
      </c>
      <c r="D334" s="1829"/>
      <c r="E334" s="1829"/>
      <c r="F334" s="678" t="s">
        <v>617</v>
      </c>
      <c r="G334" s="678" t="s">
        <v>844</v>
      </c>
      <c r="H334" s="678"/>
      <c r="I334" s="678" t="s">
        <v>186</v>
      </c>
      <c r="J334" s="552"/>
      <c r="K334" s="562"/>
      <c r="L334" s="604"/>
      <c r="M334" s="562"/>
      <c r="N334" s="679"/>
      <c r="V334" s="674"/>
      <c r="W334" s="675"/>
      <c r="X334" s="675"/>
      <c r="AB334" s="680" t="s">
        <v>9204</v>
      </c>
      <c r="AE334" s="675"/>
    </row>
    <row r="335" spans="1:31" s="536" customFormat="1" ht="12" x14ac:dyDescent="0.2">
      <c r="A335" s="605"/>
      <c r="B335" s="552"/>
      <c r="C335" s="1822" t="s">
        <v>314</v>
      </c>
      <c r="D335" s="1822"/>
      <c r="E335" s="1822"/>
      <c r="F335" s="562" t="s">
        <v>315</v>
      </c>
      <c r="G335" s="562" t="s">
        <v>845</v>
      </c>
      <c r="H335" s="562" t="s">
        <v>313</v>
      </c>
      <c r="I335" s="562" t="s">
        <v>959</v>
      </c>
      <c r="J335" s="604"/>
      <c r="K335" s="562"/>
      <c r="L335" s="604"/>
      <c r="M335" s="603"/>
      <c r="N335" s="602"/>
      <c r="V335" s="674"/>
      <c r="W335" s="675"/>
      <c r="X335" s="675"/>
      <c r="AB335" s="680"/>
      <c r="AC335" s="537" t="s">
        <v>314</v>
      </c>
      <c r="AE335" s="675"/>
    </row>
    <row r="336" spans="1:31" s="536" customFormat="1" ht="12" x14ac:dyDescent="0.2">
      <c r="A336" s="605"/>
      <c r="B336" s="552"/>
      <c r="C336" s="1822" t="s">
        <v>348</v>
      </c>
      <c r="D336" s="1822"/>
      <c r="E336" s="1822"/>
      <c r="F336" s="562" t="s">
        <v>315</v>
      </c>
      <c r="G336" s="562" t="s">
        <v>847</v>
      </c>
      <c r="H336" s="562" t="s">
        <v>313</v>
      </c>
      <c r="I336" s="562" t="s">
        <v>960</v>
      </c>
      <c r="J336" s="604"/>
      <c r="K336" s="562"/>
      <c r="L336" s="604"/>
      <c r="M336" s="603"/>
      <c r="N336" s="602"/>
      <c r="V336" s="674"/>
      <c r="W336" s="675"/>
      <c r="X336" s="675"/>
      <c r="AB336" s="680"/>
      <c r="AC336" s="537" t="s">
        <v>348</v>
      </c>
      <c r="AE336" s="675"/>
    </row>
    <row r="337" spans="1:31" s="536" customFormat="1" ht="12" x14ac:dyDescent="0.2">
      <c r="A337" s="605"/>
      <c r="B337" s="552"/>
      <c r="C337" s="1828" t="s">
        <v>318</v>
      </c>
      <c r="D337" s="1828"/>
      <c r="E337" s="1828"/>
      <c r="F337" s="608"/>
      <c r="G337" s="608"/>
      <c r="H337" s="608"/>
      <c r="I337" s="608"/>
      <c r="J337" s="607">
        <v>2392.69</v>
      </c>
      <c r="K337" s="608"/>
      <c r="L337" s="607">
        <v>51.65</v>
      </c>
      <c r="M337" s="601"/>
      <c r="N337" s="606"/>
      <c r="V337" s="674"/>
      <c r="W337" s="675"/>
      <c r="X337" s="675"/>
      <c r="AB337" s="680"/>
      <c r="AD337" s="537" t="s">
        <v>318</v>
      </c>
      <c r="AE337" s="675"/>
    </row>
    <row r="338" spans="1:31" s="536" customFormat="1" ht="12" x14ac:dyDescent="0.2">
      <c r="A338" s="605"/>
      <c r="B338" s="552"/>
      <c r="C338" s="1822" t="s">
        <v>319</v>
      </c>
      <c r="D338" s="1822"/>
      <c r="E338" s="1822"/>
      <c r="F338" s="562"/>
      <c r="G338" s="562"/>
      <c r="H338" s="562"/>
      <c r="I338" s="562"/>
      <c r="J338" s="604"/>
      <c r="K338" s="562"/>
      <c r="L338" s="604">
        <v>14.87</v>
      </c>
      <c r="M338" s="603"/>
      <c r="N338" s="602"/>
      <c r="V338" s="674"/>
      <c r="W338" s="675"/>
      <c r="X338" s="675"/>
      <c r="AB338" s="680"/>
      <c r="AC338" s="537" t="s">
        <v>319</v>
      </c>
      <c r="AE338" s="675"/>
    </row>
    <row r="339" spans="1:31" s="536" customFormat="1" ht="33.75" x14ac:dyDescent="0.2">
      <c r="A339" s="605"/>
      <c r="B339" s="552" t="s">
        <v>849</v>
      </c>
      <c r="C339" s="1822" t="s">
        <v>850</v>
      </c>
      <c r="D339" s="1822"/>
      <c r="E339" s="1822"/>
      <c r="F339" s="562" t="s">
        <v>322</v>
      </c>
      <c r="G339" s="562" t="s">
        <v>851</v>
      </c>
      <c r="H339" s="562"/>
      <c r="I339" s="562" t="s">
        <v>851</v>
      </c>
      <c r="J339" s="604"/>
      <c r="K339" s="562"/>
      <c r="L339" s="604">
        <v>16.059999999999999</v>
      </c>
      <c r="M339" s="603"/>
      <c r="N339" s="602"/>
      <c r="V339" s="674"/>
      <c r="W339" s="675"/>
      <c r="X339" s="675"/>
      <c r="AB339" s="680"/>
      <c r="AC339" s="537" t="s">
        <v>850</v>
      </c>
      <c r="AE339" s="675"/>
    </row>
    <row r="340" spans="1:31" s="536" customFormat="1" ht="33.75" x14ac:dyDescent="0.2">
      <c r="A340" s="605"/>
      <c r="B340" s="552" t="s">
        <v>852</v>
      </c>
      <c r="C340" s="1822" t="s">
        <v>853</v>
      </c>
      <c r="D340" s="1822"/>
      <c r="E340" s="1822"/>
      <c r="F340" s="562" t="s">
        <v>322</v>
      </c>
      <c r="G340" s="562" t="s">
        <v>789</v>
      </c>
      <c r="H340" s="562"/>
      <c r="I340" s="562" t="s">
        <v>789</v>
      </c>
      <c r="J340" s="604"/>
      <c r="K340" s="562"/>
      <c r="L340" s="604">
        <v>8.18</v>
      </c>
      <c r="M340" s="603"/>
      <c r="N340" s="602"/>
      <c r="V340" s="674"/>
      <c r="W340" s="675"/>
      <c r="X340" s="675"/>
      <c r="AB340" s="680"/>
      <c r="AC340" s="537" t="s">
        <v>853</v>
      </c>
      <c r="AE340" s="675"/>
    </row>
    <row r="341" spans="1:31" s="536" customFormat="1" ht="12" x14ac:dyDescent="0.2">
      <c r="A341" s="569"/>
      <c r="B341" s="683"/>
      <c r="C341" s="1823" t="s">
        <v>327</v>
      </c>
      <c r="D341" s="1823"/>
      <c r="E341" s="1823"/>
      <c r="F341" s="573"/>
      <c r="G341" s="573"/>
      <c r="H341" s="573"/>
      <c r="I341" s="573"/>
      <c r="J341" s="572"/>
      <c r="K341" s="573"/>
      <c r="L341" s="572">
        <v>75.89</v>
      </c>
      <c r="M341" s="601"/>
      <c r="N341" s="570"/>
      <c r="V341" s="674"/>
      <c r="W341" s="675"/>
      <c r="X341" s="675"/>
      <c r="AB341" s="680"/>
      <c r="AE341" s="675" t="s">
        <v>327</v>
      </c>
    </row>
    <row r="342" spans="1:31" s="536" customFormat="1" ht="33.75" x14ac:dyDescent="0.2">
      <c r="A342" s="575" t="s">
        <v>935</v>
      </c>
      <c r="B342" s="684" t="s">
        <v>961</v>
      </c>
      <c r="C342" s="1823" t="s">
        <v>962</v>
      </c>
      <c r="D342" s="1823"/>
      <c r="E342" s="1823"/>
      <c r="F342" s="573" t="s">
        <v>617</v>
      </c>
      <c r="G342" s="573"/>
      <c r="H342" s="573"/>
      <c r="I342" s="573" t="s">
        <v>185</v>
      </c>
      <c r="J342" s="572">
        <v>7508.23</v>
      </c>
      <c r="K342" s="573" t="s">
        <v>629</v>
      </c>
      <c r="L342" s="572">
        <v>1655.34</v>
      </c>
      <c r="M342" s="571">
        <v>4.59</v>
      </c>
      <c r="N342" s="570">
        <v>7598</v>
      </c>
      <c r="V342" s="674"/>
      <c r="W342" s="675"/>
      <c r="X342" s="675" t="s">
        <v>962</v>
      </c>
      <c r="AB342" s="680"/>
      <c r="AE342" s="675"/>
    </row>
    <row r="343" spans="1:31" s="536" customFormat="1" ht="12" x14ac:dyDescent="0.2">
      <c r="A343" s="569"/>
      <c r="B343" s="683"/>
      <c r="C343" s="689" t="s">
        <v>630</v>
      </c>
      <c r="D343" s="690"/>
      <c r="E343" s="690"/>
      <c r="F343" s="563"/>
      <c r="G343" s="563"/>
      <c r="H343" s="563"/>
      <c r="I343" s="563"/>
      <c r="J343" s="566"/>
      <c r="K343" s="563"/>
      <c r="L343" s="566"/>
      <c r="M343" s="565"/>
      <c r="N343" s="564"/>
      <c r="V343" s="674"/>
      <c r="W343" s="675"/>
      <c r="X343" s="675"/>
      <c r="AB343" s="680"/>
      <c r="AE343" s="675"/>
    </row>
    <row r="344" spans="1:31" s="536" customFormat="1" ht="22.5" x14ac:dyDescent="0.2">
      <c r="A344" s="609"/>
      <c r="B344" s="552" t="s">
        <v>631</v>
      </c>
      <c r="C344" s="1822" t="s">
        <v>632</v>
      </c>
      <c r="D344" s="1822"/>
      <c r="E344" s="1822"/>
      <c r="F344" s="1822"/>
      <c r="G344" s="1822"/>
      <c r="H344" s="1822"/>
      <c r="I344" s="1822"/>
      <c r="J344" s="1822"/>
      <c r="K344" s="1822"/>
      <c r="L344" s="1822"/>
      <c r="M344" s="1822"/>
      <c r="N344" s="1827"/>
      <c r="V344" s="674"/>
      <c r="W344" s="675"/>
      <c r="X344" s="675"/>
      <c r="Z344" s="537" t="s">
        <v>632</v>
      </c>
      <c r="AB344" s="680"/>
      <c r="AE344" s="675"/>
    </row>
    <row r="345" spans="1:31" s="536" customFormat="1" ht="33.75" x14ac:dyDescent="0.2">
      <c r="A345" s="575" t="s">
        <v>936</v>
      </c>
      <c r="B345" s="684" t="s">
        <v>963</v>
      </c>
      <c r="C345" s="1823" t="s">
        <v>964</v>
      </c>
      <c r="D345" s="1823"/>
      <c r="E345" s="1823"/>
      <c r="F345" s="573" t="s">
        <v>617</v>
      </c>
      <c r="G345" s="573"/>
      <c r="H345" s="573"/>
      <c r="I345" s="573" t="s">
        <v>185</v>
      </c>
      <c r="J345" s="572">
        <v>7796.67</v>
      </c>
      <c r="K345" s="573" t="s">
        <v>629</v>
      </c>
      <c r="L345" s="572">
        <v>1718.95</v>
      </c>
      <c r="M345" s="571">
        <v>4.59</v>
      </c>
      <c r="N345" s="570">
        <v>7890</v>
      </c>
      <c r="V345" s="674"/>
      <c r="W345" s="675"/>
      <c r="X345" s="675" t="s">
        <v>964</v>
      </c>
      <c r="AB345" s="680"/>
      <c r="AE345" s="675"/>
    </row>
    <row r="346" spans="1:31" s="536" customFormat="1" ht="12" x14ac:dyDescent="0.2">
      <c r="A346" s="569"/>
      <c r="B346" s="683"/>
      <c r="C346" s="689" t="s">
        <v>630</v>
      </c>
      <c r="D346" s="690"/>
      <c r="E346" s="690"/>
      <c r="F346" s="563"/>
      <c r="G346" s="563"/>
      <c r="H346" s="563"/>
      <c r="I346" s="563"/>
      <c r="J346" s="566"/>
      <c r="K346" s="563"/>
      <c r="L346" s="566"/>
      <c r="M346" s="565"/>
      <c r="N346" s="564"/>
      <c r="V346" s="674"/>
      <c r="W346" s="675"/>
      <c r="X346" s="675"/>
      <c r="AB346" s="680"/>
      <c r="AE346" s="675"/>
    </row>
    <row r="347" spans="1:31" s="536" customFormat="1" ht="22.5" x14ac:dyDescent="0.2">
      <c r="A347" s="609"/>
      <c r="B347" s="552" t="s">
        <v>631</v>
      </c>
      <c r="C347" s="1822" t="s">
        <v>632</v>
      </c>
      <c r="D347" s="1822"/>
      <c r="E347" s="1822"/>
      <c r="F347" s="1822"/>
      <c r="G347" s="1822"/>
      <c r="H347" s="1822"/>
      <c r="I347" s="1822"/>
      <c r="J347" s="1822"/>
      <c r="K347" s="1822"/>
      <c r="L347" s="1822"/>
      <c r="M347" s="1822"/>
      <c r="N347" s="1827"/>
      <c r="V347" s="674"/>
      <c r="W347" s="675"/>
      <c r="X347" s="675"/>
      <c r="Z347" s="537" t="s">
        <v>632</v>
      </c>
      <c r="AB347" s="680"/>
      <c r="AE347" s="675"/>
    </row>
    <row r="348" spans="1:31" s="536" customFormat="1" ht="12" x14ac:dyDescent="0.2">
      <c r="A348" s="1830" t="s">
        <v>7133</v>
      </c>
      <c r="B348" s="1831"/>
      <c r="C348" s="1831"/>
      <c r="D348" s="1831"/>
      <c r="E348" s="1831"/>
      <c r="F348" s="1831"/>
      <c r="G348" s="1831"/>
      <c r="H348" s="1831"/>
      <c r="I348" s="1831"/>
      <c r="J348" s="1831"/>
      <c r="K348" s="1831"/>
      <c r="L348" s="1831"/>
      <c r="M348" s="1831"/>
      <c r="N348" s="1832"/>
      <c r="V348" s="674"/>
      <c r="W348" s="675" t="s">
        <v>7133</v>
      </c>
      <c r="X348" s="675"/>
      <c r="AB348" s="680"/>
      <c r="AE348" s="675"/>
    </row>
    <row r="349" spans="1:31" s="536" customFormat="1" ht="33.75" x14ac:dyDescent="0.2">
      <c r="A349" s="575" t="s">
        <v>624</v>
      </c>
      <c r="B349" s="684" t="s">
        <v>841</v>
      </c>
      <c r="C349" s="1823" t="s">
        <v>970</v>
      </c>
      <c r="D349" s="1823"/>
      <c r="E349" s="1823"/>
      <c r="F349" s="573" t="s">
        <v>307</v>
      </c>
      <c r="G349" s="573"/>
      <c r="H349" s="573"/>
      <c r="I349" s="573" t="s">
        <v>809</v>
      </c>
      <c r="J349" s="572"/>
      <c r="K349" s="573"/>
      <c r="L349" s="572"/>
      <c r="M349" s="571"/>
      <c r="N349" s="570"/>
      <c r="V349" s="674"/>
      <c r="W349" s="675"/>
      <c r="X349" s="675" t="s">
        <v>970</v>
      </c>
      <c r="AB349" s="680"/>
      <c r="AE349" s="675"/>
    </row>
    <row r="350" spans="1:31" s="536" customFormat="1" ht="12" x14ac:dyDescent="0.2">
      <c r="A350" s="676"/>
      <c r="B350" s="682"/>
      <c r="C350" s="1822" t="s">
        <v>843</v>
      </c>
      <c r="D350" s="1822"/>
      <c r="E350" s="1822"/>
      <c r="F350" s="1822"/>
      <c r="G350" s="1822"/>
      <c r="H350" s="1822"/>
      <c r="I350" s="1822"/>
      <c r="J350" s="1822"/>
      <c r="K350" s="1822"/>
      <c r="L350" s="1822"/>
      <c r="M350" s="1822"/>
      <c r="N350" s="1827"/>
      <c r="V350" s="674"/>
      <c r="W350" s="675"/>
      <c r="X350" s="675"/>
      <c r="Y350" s="537" t="s">
        <v>843</v>
      </c>
      <c r="AB350" s="680"/>
      <c r="AE350" s="675"/>
    </row>
    <row r="351" spans="1:31" s="536" customFormat="1" ht="22.5" x14ac:dyDescent="0.2">
      <c r="A351" s="609"/>
      <c r="B351" s="552" t="s">
        <v>499</v>
      </c>
      <c r="C351" s="1822" t="s">
        <v>500</v>
      </c>
      <c r="D351" s="1822"/>
      <c r="E351" s="1822"/>
      <c r="F351" s="1822"/>
      <c r="G351" s="1822"/>
      <c r="H351" s="1822"/>
      <c r="I351" s="1822"/>
      <c r="J351" s="1822"/>
      <c r="K351" s="1822"/>
      <c r="L351" s="1822"/>
      <c r="M351" s="1822"/>
      <c r="N351" s="1827"/>
      <c r="V351" s="674"/>
      <c r="W351" s="675"/>
      <c r="X351" s="675"/>
      <c r="Z351" s="537" t="s">
        <v>500</v>
      </c>
      <c r="AB351" s="680"/>
      <c r="AE351" s="675"/>
    </row>
    <row r="352" spans="1:31" s="536" customFormat="1" ht="12" x14ac:dyDescent="0.2">
      <c r="A352" s="605"/>
      <c r="B352" s="552" t="s">
        <v>185</v>
      </c>
      <c r="C352" s="1822" t="s">
        <v>312</v>
      </c>
      <c r="D352" s="1822"/>
      <c r="E352" s="1822"/>
      <c r="F352" s="562"/>
      <c r="G352" s="562"/>
      <c r="H352" s="562"/>
      <c r="I352" s="562"/>
      <c r="J352" s="604">
        <v>542.95000000000005</v>
      </c>
      <c r="K352" s="562" t="s">
        <v>313</v>
      </c>
      <c r="L352" s="604">
        <v>6.79</v>
      </c>
      <c r="M352" s="603"/>
      <c r="N352" s="602"/>
      <c r="V352" s="674"/>
      <c r="W352" s="675"/>
      <c r="X352" s="675"/>
      <c r="AA352" s="537" t="s">
        <v>312</v>
      </c>
      <c r="AB352" s="680"/>
      <c r="AE352" s="675"/>
    </row>
    <row r="353" spans="1:31" s="536" customFormat="1" ht="12" x14ac:dyDescent="0.2">
      <c r="A353" s="605"/>
      <c r="B353" s="552" t="s">
        <v>186</v>
      </c>
      <c r="C353" s="1822" t="s">
        <v>344</v>
      </c>
      <c r="D353" s="1822"/>
      <c r="E353" s="1822"/>
      <c r="F353" s="562"/>
      <c r="G353" s="562"/>
      <c r="H353" s="562"/>
      <c r="I353" s="562"/>
      <c r="J353" s="604">
        <v>216.38</v>
      </c>
      <c r="K353" s="562" t="s">
        <v>313</v>
      </c>
      <c r="L353" s="604">
        <v>2.7</v>
      </c>
      <c r="M353" s="603"/>
      <c r="N353" s="602"/>
      <c r="V353" s="674"/>
      <c r="W353" s="675"/>
      <c r="X353" s="675"/>
      <c r="AA353" s="537" t="s">
        <v>344</v>
      </c>
      <c r="AB353" s="680"/>
      <c r="AE353" s="675"/>
    </row>
    <row r="354" spans="1:31" s="536" customFormat="1" ht="12" x14ac:dyDescent="0.2">
      <c r="A354" s="605"/>
      <c r="B354" s="552" t="s">
        <v>187</v>
      </c>
      <c r="C354" s="1822" t="s">
        <v>345</v>
      </c>
      <c r="D354" s="1822"/>
      <c r="E354" s="1822"/>
      <c r="F354" s="562"/>
      <c r="G354" s="562"/>
      <c r="H354" s="562"/>
      <c r="I354" s="562"/>
      <c r="J354" s="604">
        <v>52.01</v>
      </c>
      <c r="K354" s="562" t="s">
        <v>313</v>
      </c>
      <c r="L354" s="604">
        <v>0.65</v>
      </c>
      <c r="M354" s="603"/>
      <c r="N354" s="602"/>
      <c r="V354" s="674"/>
      <c r="W354" s="675"/>
      <c r="X354" s="675"/>
      <c r="AA354" s="537" t="s">
        <v>345</v>
      </c>
      <c r="AB354" s="680"/>
      <c r="AE354" s="675"/>
    </row>
    <row r="355" spans="1:31" s="536" customFormat="1" ht="12" x14ac:dyDescent="0.2">
      <c r="A355" s="605"/>
      <c r="B355" s="552" t="s">
        <v>188</v>
      </c>
      <c r="C355" s="1822" t="s">
        <v>475</v>
      </c>
      <c r="D355" s="1822"/>
      <c r="E355" s="1822"/>
      <c r="F355" s="562"/>
      <c r="G355" s="562"/>
      <c r="H355" s="562"/>
      <c r="I355" s="562"/>
      <c r="J355" s="604">
        <v>1633.36</v>
      </c>
      <c r="K355" s="562"/>
      <c r="L355" s="604">
        <v>16.329999999999998</v>
      </c>
      <c r="M355" s="603"/>
      <c r="N355" s="602"/>
      <c r="V355" s="674"/>
      <c r="W355" s="675"/>
      <c r="X355" s="675"/>
      <c r="AA355" s="537" t="s">
        <v>475</v>
      </c>
      <c r="AB355" s="680"/>
      <c r="AE355" s="675"/>
    </row>
    <row r="356" spans="1:31" s="536" customFormat="1" ht="12" x14ac:dyDescent="0.2">
      <c r="A356" s="676"/>
      <c r="B356" s="677" t="s">
        <v>9203</v>
      </c>
      <c r="C356" s="1829" t="s">
        <v>9204</v>
      </c>
      <c r="D356" s="1829"/>
      <c r="E356" s="1829"/>
      <c r="F356" s="678" t="s">
        <v>617</v>
      </c>
      <c r="G356" s="678" t="s">
        <v>844</v>
      </c>
      <c r="H356" s="678"/>
      <c r="I356" s="678" t="s">
        <v>185</v>
      </c>
      <c r="J356" s="552"/>
      <c r="K356" s="562"/>
      <c r="L356" s="604"/>
      <c r="M356" s="562"/>
      <c r="N356" s="679"/>
      <c r="V356" s="674"/>
      <c r="W356" s="675"/>
      <c r="X356" s="675"/>
      <c r="AB356" s="680" t="s">
        <v>9204</v>
      </c>
      <c r="AE356" s="675"/>
    </row>
    <row r="357" spans="1:31" s="536" customFormat="1" ht="12" x14ac:dyDescent="0.2">
      <c r="A357" s="605"/>
      <c r="B357" s="552"/>
      <c r="C357" s="1822" t="s">
        <v>314</v>
      </c>
      <c r="D357" s="1822"/>
      <c r="E357" s="1822"/>
      <c r="F357" s="562" t="s">
        <v>315</v>
      </c>
      <c r="G357" s="562" t="s">
        <v>845</v>
      </c>
      <c r="H357" s="562" t="s">
        <v>313</v>
      </c>
      <c r="I357" s="562" t="s">
        <v>846</v>
      </c>
      <c r="J357" s="604"/>
      <c r="K357" s="562"/>
      <c r="L357" s="604"/>
      <c r="M357" s="603"/>
      <c r="N357" s="602"/>
      <c r="V357" s="674"/>
      <c r="W357" s="675"/>
      <c r="X357" s="675"/>
      <c r="AB357" s="680"/>
      <c r="AC357" s="537" t="s">
        <v>314</v>
      </c>
      <c r="AE357" s="675"/>
    </row>
    <row r="358" spans="1:31" s="536" customFormat="1" ht="12" x14ac:dyDescent="0.2">
      <c r="A358" s="605"/>
      <c r="B358" s="552"/>
      <c r="C358" s="1822" t="s">
        <v>348</v>
      </c>
      <c r="D358" s="1822"/>
      <c r="E358" s="1822"/>
      <c r="F358" s="562" t="s">
        <v>315</v>
      </c>
      <c r="G358" s="562" t="s">
        <v>847</v>
      </c>
      <c r="H358" s="562" t="s">
        <v>313</v>
      </c>
      <c r="I358" s="562" t="s">
        <v>848</v>
      </c>
      <c r="J358" s="604"/>
      <c r="K358" s="562"/>
      <c r="L358" s="604"/>
      <c r="M358" s="603"/>
      <c r="N358" s="602"/>
      <c r="V358" s="674"/>
      <c r="W358" s="675"/>
      <c r="X358" s="675"/>
      <c r="AB358" s="680"/>
      <c r="AC358" s="537" t="s">
        <v>348</v>
      </c>
      <c r="AE358" s="675"/>
    </row>
    <row r="359" spans="1:31" s="536" customFormat="1" ht="12" x14ac:dyDescent="0.2">
      <c r="A359" s="605"/>
      <c r="B359" s="552"/>
      <c r="C359" s="1828" t="s">
        <v>318</v>
      </c>
      <c r="D359" s="1828"/>
      <c r="E359" s="1828"/>
      <c r="F359" s="608"/>
      <c r="G359" s="608"/>
      <c r="H359" s="608"/>
      <c r="I359" s="608"/>
      <c r="J359" s="607">
        <v>2392.69</v>
      </c>
      <c r="K359" s="608"/>
      <c r="L359" s="607">
        <v>25.82</v>
      </c>
      <c r="M359" s="601"/>
      <c r="N359" s="606"/>
      <c r="V359" s="674"/>
      <c r="W359" s="675"/>
      <c r="X359" s="675"/>
      <c r="AB359" s="680"/>
      <c r="AD359" s="537" t="s">
        <v>318</v>
      </c>
      <c r="AE359" s="675"/>
    </row>
    <row r="360" spans="1:31" s="536" customFormat="1" ht="12" x14ac:dyDescent="0.2">
      <c r="A360" s="605"/>
      <c r="B360" s="552"/>
      <c r="C360" s="1822" t="s">
        <v>319</v>
      </c>
      <c r="D360" s="1822"/>
      <c r="E360" s="1822"/>
      <c r="F360" s="562"/>
      <c r="G360" s="562"/>
      <c r="H360" s="562"/>
      <c r="I360" s="562"/>
      <c r="J360" s="604"/>
      <c r="K360" s="562"/>
      <c r="L360" s="604">
        <v>7.44</v>
      </c>
      <c r="M360" s="603"/>
      <c r="N360" s="602"/>
      <c r="V360" s="674"/>
      <c r="W360" s="675"/>
      <c r="X360" s="675"/>
      <c r="AB360" s="680"/>
      <c r="AC360" s="537" t="s">
        <v>319</v>
      </c>
      <c r="AE360" s="675"/>
    </row>
    <row r="361" spans="1:31" s="536" customFormat="1" ht="33.75" x14ac:dyDescent="0.2">
      <c r="A361" s="605"/>
      <c r="B361" s="552" t="s">
        <v>849</v>
      </c>
      <c r="C361" s="1822" t="s">
        <v>850</v>
      </c>
      <c r="D361" s="1822"/>
      <c r="E361" s="1822"/>
      <c r="F361" s="562" t="s">
        <v>322</v>
      </c>
      <c r="G361" s="562" t="s">
        <v>851</v>
      </c>
      <c r="H361" s="562"/>
      <c r="I361" s="562" t="s">
        <v>851</v>
      </c>
      <c r="J361" s="604"/>
      <c r="K361" s="562"/>
      <c r="L361" s="604">
        <v>8.0399999999999991</v>
      </c>
      <c r="M361" s="603"/>
      <c r="N361" s="602"/>
      <c r="V361" s="674"/>
      <c r="W361" s="675"/>
      <c r="X361" s="675"/>
      <c r="AB361" s="680"/>
      <c r="AC361" s="537" t="s">
        <v>850</v>
      </c>
      <c r="AE361" s="675"/>
    </row>
    <row r="362" spans="1:31" s="536" customFormat="1" ht="33.75" x14ac:dyDescent="0.2">
      <c r="A362" s="605"/>
      <c r="B362" s="552" t="s">
        <v>852</v>
      </c>
      <c r="C362" s="1822" t="s">
        <v>853</v>
      </c>
      <c r="D362" s="1822"/>
      <c r="E362" s="1822"/>
      <c r="F362" s="562" t="s">
        <v>322</v>
      </c>
      <c r="G362" s="562" t="s">
        <v>789</v>
      </c>
      <c r="H362" s="562"/>
      <c r="I362" s="562" t="s">
        <v>789</v>
      </c>
      <c r="J362" s="604"/>
      <c r="K362" s="562"/>
      <c r="L362" s="604">
        <v>4.09</v>
      </c>
      <c r="M362" s="603"/>
      <c r="N362" s="602"/>
      <c r="V362" s="674"/>
      <c r="W362" s="675"/>
      <c r="X362" s="675"/>
      <c r="AB362" s="680"/>
      <c r="AC362" s="537" t="s">
        <v>853</v>
      </c>
      <c r="AE362" s="675"/>
    </row>
    <row r="363" spans="1:31" s="536" customFormat="1" ht="12" x14ac:dyDescent="0.2">
      <c r="A363" s="569"/>
      <c r="B363" s="683"/>
      <c r="C363" s="1823" t="s">
        <v>327</v>
      </c>
      <c r="D363" s="1823"/>
      <c r="E363" s="1823"/>
      <c r="F363" s="573"/>
      <c r="G363" s="573"/>
      <c r="H363" s="573"/>
      <c r="I363" s="573"/>
      <c r="J363" s="572"/>
      <c r="K363" s="573"/>
      <c r="L363" s="572">
        <v>37.950000000000003</v>
      </c>
      <c r="M363" s="601"/>
      <c r="N363" s="570"/>
      <c r="V363" s="674"/>
      <c r="W363" s="675"/>
      <c r="X363" s="675"/>
      <c r="AB363" s="680"/>
      <c r="AE363" s="675" t="s">
        <v>327</v>
      </c>
    </row>
    <row r="364" spans="1:31" s="536" customFormat="1" ht="33.75" x14ac:dyDescent="0.2">
      <c r="A364" s="575" t="s">
        <v>788</v>
      </c>
      <c r="B364" s="684" t="s">
        <v>972</v>
      </c>
      <c r="C364" s="1823" t="s">
        <v>973</v>
      </c>
      <c r="D364" s="1823"/>
      <c r="E364" s="1823"/>
      <c r="F364" s="573" t="s">
        <v>617</v>
      </c>
      <c r="G364" s="573"/>
      <c r="H364" s="573"/>
      <c r="I364" s="573" t="s">
        <v>185</v>
      </c>
      <c r="J364" s="572">
        <v>12122.84</v>
      </c>
      <c r="K364" s="573" t="s">
        <v>629</v>
      </c>
      <c r="L364" s="572">
        <v>2672.77</v>
      </c>
      <c r="M364" s="571">
        <v>4.59</v>
      </c>
      <c r="N364" s="570">
        <v>12268</v>
      </c>
      <c r="V364" s="674"/>
      <c r="W364" s="675"/>
      <c r="X364" s="675" t="s">
        <v>973</v>
      </c>
      <c r="AB364" s="680"/>
      <c r="AE364" s="675"/>
    </row>
    <row r="365" spans="1:31" s="536" customFormat="1" ht="12" x14ac:dyDescent="0.2">
      <c r="A365" s="569"/>
      <c r="B365" s="683"/>
      <c r="C365" s="689" t="s">
        <v>630</v>
      </c>
      <c r="D365" s="690"/>
      <c r="E365" s="690"/>
      <c r="F365" s="563"/>
      <c r="G365" s="563"/>
      <c r="H365" s="563"/>
      <c r="I365" s="563"/>
      <c r="J365" s="566"/>
      <c r="K365" s="563"/>
      <c r="L365" s="566"/>
      <c r="M365" s="565"/>
      <c r="N365" s="564"/>
      <c r="V365" s="674"/>
      <c r="W365" s="675"/>
      <c r="X365" s="675"/>
      <c r="AB365" s="680"/>
      <c r="AE365" s="675"/>
    </row>
    <row r="366" spans="1:31" s="536" customFormat="1" ht="22.5" x14ac:dyDescent="0.2">
      <c r="A366" s="609"/>
      <c r="B366" s="552" t="s">
        <v>631</v>
      </c>
      <c r="C366" s="1822" t="s">
        <v>632</v>
      </c>
      <c r="D366" s="1822"/>
      <c r="E366" s="1822"/>
      <c r="F366" s="1822"/>
      <c r="G366" s="1822"/>
      <c r="H366" s="1822"/>
      <c r="I366" s="1822"/>
      <c r="J366" s="1822"/>
      <c r="K366" s="1822"/>
      <c r="L366" s="1822"/>
      <c r="M366" s="1822"/>
      <c r="N366" s="1827"/>
      <c r="V366" s="674"/>
      <c r="W366" s="675"/>
      <c r="X366" s="675"/>
      <c r="Z366" s="537" t="s">
        <v>632</v>
      </c>
      <c r="AB366" s="680"/>
      <c r="AE366" s="675"/>
    </row>
    <row r="367" spans="1:31" s="536" customFormat="1" ht="1.5" customHeight="1" x14ac:dyDescent="0.2">
      <c r="A367" s="563"/>
      <c r="B367" s="683"/>
      <c r="C367" s="683"/>
      <c r="D367" s="683"/>
      <c r="E367" s="683"/>
      <c r="F367" s="563"/>
      <c r="G367" s="563"/>
      <c r="H367" s="563"/>
      <c r="I367" s="563"/>
      <c r="J367" s="546"/>
      <c r="K367" s="563"/>
      <c r="L367" s="546"/>
      <c r="M367" s="562"/>
      <c r="N367" s="546"/>
      <c r="V367" s="674"/>
      <c r="W367" s="675"/>
      <c r="X367" s="675"/>
      <c r="AB367" s="680"/>
      <c r="AE367" s="675"/>
    </row>
    <row r="368" spans="1:31" s="536" customFormat="1" ht="2.25" customHeight="1" x14ac:dyDescent="0.2">
      <c r="B368" s="561"/>
      <c r="C368" s="561"/>
      <c r="D368" s="561"/>
      <c r="E368" s="561"/>
      <c r="F368" s="561"/>
      <c r="G368" s="561"/>
      <c r="H368" s="561"/>
      <c r="I368" s="561"/>
      <c r="J368" s="561"/>
      <c r="K368" s="561"/>
      <c r="L368" s="560"/>
      <c r="M368" s="559"/>
      <c r="N368" s="558"/>
    </row>
    <row r="369" spans="1:33" s="536" customFormat="1" x14ac:dyDescent="0.2">
      <c r="A369" s="557"/>
      <c r="B369" s="556"/>
      <c r="C369" s="1823" t="s">
        <v>205</v>
      </c>
      <c r="D369" s="1823"/>
      <c r="E369" s="1823"/>
      <c r="F369" s="1823"/>
      <c r="G369" s="1823"/>
      <c r="H369" s="1823"/>
      <c r="I369" s="1823"/>
      <c r="J369" s="1823"/>
      <c r="K369" s="1823"/>
      <c r="L369" s="555"/>
      <c r="M369" s="554"/>
      <c r="N369" s="553"/>
      <c r="AF369" s="675" t="s">
        <v>205</v>
      </c>
    </row>
    <row r="370" spans="1:33" s="536" customFormat="1" x14ac:dyDescent="0.2">
      <c r="A370" s="548"/>
      <c r="B370" s="552"/>
      <c r="C370" s="1822" t="s">
        <v>403</v>
      </c>
      <c r="D370" s="1822"/>
      <c r="E370" s="1822"/>
      <c r="F370" s="1822"/>
      <c r="G370" s="1822"/>
      <c r="H370" s="1822"/>
      <c r="I370" s="1822"/>
      <c r="J370" s="1822"/>
      <c r="K370" s="1822"/>
      <c r="L370" s="551">
        <v>582.28</v>
      </c>
      <c r="M370" s="550"/>
      <c r="N370" s="549"/>
      <c r="AF370" s="675"/>
      <c r="AG370" s="537" t="s">
        <v>403</v>
      </c>
    </row>
    <row r="371" spans="1:33" s="536" customFormat="1" x14ac:dyDescent="0.2">
      <c r="A371" s="548"/>
      <c r="B371" s="552"/>
      <c r="C371" s="1822" t="s">
        <v>204</v>
      </c>
      <c r="D371" s="1822"/>
      <c r="E371" s="1822"/>
      <c r="F371" s="1822"/>
      <c r="G371" s="1822"/>
      <c r="H371" s="1822"/>
      <c r="I371" s="1822"/>
      <c r="J371" s="1822"/>
      <c r="K371" s="1822"/>
      <c r="L371" s="551"/>
      <c r="M371" s="550"/>
      <c r="N371" s="549"/>
      <c r="AF371" s="675"/>
      <c r="AG371" s="537" t="s">
        <v>204</v>
      </c>
    </row>
    <row r="372" spans="1:33" s="536" customFormat="1" x14ac:dyDescent="0.2">
      <c r="A372" s="548"/>
      <c r="B372" s="552"/>
      <c r="C372" s="1822" t="s">
        <v>404</v>
      </c>
      <c r="D372" s="1822"/>
      <c r="E372" s="1822"/>
      <c r="F372" s="1822"/>
      <c r="G372" s="1822"/>
      <c r="H372" s="1822"/>
      <c r="I372" s="1822"/>
      <c r="J372" s="1822"/>
      <c r="K372" s="1822"/>
      <c r="L372" s="551">
        <v>175.59</v>
      </c>
      <c r="M372" s="550"/>
      <c r="N372" s="549"/>
      <c r="AF372" s="675"/>
      <c r="AG372" s="537" t="s">
        <v>404</v>
      </c>
    </row>
    <row r="373" spans="1:33" s="536" customFormat="1" x14ac:dyDescent="0.2">
      <c r="A373" s="548"/>
      <c r="B373" s="552"/>
      <c r="C373" s="1822" t="s">
        <v>405</v>
      </c>
      <c r="D373" s="1822"/>
      <c r="E373" s="1822"/>
      <c r="F373" s="1822"/>
      <c r="G373" s="1822"/>
      <c r="H373" s="1822"/>
      <c r="I373" s="1822"/>
      <c r="J373" s="1822"/>
      <c r="K373" s="1822"/>
      <c r="L373" s="551">
        <v>94.53</v>
      </c>
      <c r="M373" s="550"/>
      <c r="N373" s="549"/>
      <c r="AF373" s="675"/>
      <c r="AG373" s="537" t="s">
        <v>405</v>
      </c>
    </row>
    <row r="374" spans="1:33" s="536" customFormat="1" x14ac:dyDescent="0.2">
      <c r="A374" s="548"/>
      <c r="B374" s="552"/>
      <c r="C374" s="1822" t="s">
        <v>406</v>
      </c>
      <c r="D374" s="1822"/>
      <c r="E374" s="1822"/>
      <c r="F374" s="1822"/>
      <c r="G374" s="1822"/>
      <c r="H374" s="1822"/>
      <c r="I374" s="1822"/>
      <c r="J374" s="1822"/>
      <c r="K374" s="1822"/>
      <c r="L374" s="551">
        <v>19.96</v>
      </c>
      <c r="M374" s="550"/>
      <c r="N374" s="549"/>
      <c r="AF374" s="675"/>
      <c r="AG374" s="537" t="s">
        <v>406</v>
      </c>
    </row>
    <row r="375" spans="1:33" s="536" customFormat="1" x14ac:dyDescent="0.2">
      <c r="A375" s="548"/>
      <c r="B375" s="552"/>
      <c r="C375" s="1822" t="s">
        <v>480</v>
      </c>
      <c r="D375" s="1822"/>
      <c r="E375" s="1822"/>
      <c r="F375" s="1822"/>
      <c r="G375" s="1822"/>
      <c r="H375" s="1822"/>
      <c r="I375" s="1822"/>
      <c r="J375" s="1822"/>
      <c r="K375" s="1822"/>
      <c r="L375" s="551">
        <v>312.16000000000003</v>
      </c>
      <c r="M375" s="550"/>
      <c r="N375" s="549"/>
      <c r="AF375" s="675"/>
      <c r="AG375" s="537" t="s">
        <v>480</v>
      </c>
    </row>
    <row r="376" spans="1:33" s="536" customFormat="1" x14ac:dyDescent="0.2">
      <c r="A376" s="548"/>
      <c r="B376" s="552" t="s">
        <v>185</v>
      </c>
      <c r="C376" s="1822" t="s">
        <v>407</v>
      </c>
      <c r="D376" s="1822"/>
      <c r="E376" s="1822"/>
      <c r="F376" s="1822"/>
      <c r="G376" s="1822"/>
      <c r="H376" s="1822"/>
      <c r="I376" s="1822"/>
      <c r="J376" s="1822"/>
      <c r="K376" s="1822"/>
      <c r="L376" s="551">
        <v>762.96</v>
      </c>
      <c r="M376" s="550">
        <v>8.32</v>
      </c>
      <c r="N376" s="549">
        <v>6348</v>
      </c>
      <c r="AF376" s="675"/>
      <c r="AG376" s="537" t="s">
        <v>407</v>
      </c>
    </row>
    <row r="377" spans="1:33" s="536" customFormat="1" x14ac:dyDescent="0.2">
      <c r="A377" s="548"/>
      <c r="B377" s="552"/>
      <c r="C377" s="1822" t="s">
        <v>204</v>
      </c>
      <c r="D377" s="1822"/>
      <c r="E377" s="1822"/>
      <c r="F377" s="1822"/>
      <c r="G377" s="1822"/>
      <c r="H377" s="1822"/>
      <c r="I377" s="1822"/>
      <c r="J377" s="1822"/>
      <c r="K377" s="1822"/>
      <c r="L377" s="551"/>
      <c r="M377" s="550"/>
      <c r="N377" s="549"/>
      <c r="AF377" s="675"/>
      <c r="AG377" s="537" t="s">
        <v>204</v>
      </c>
    </row>
    <row r="378" spans="1:33" s="536" customFormat="1" x14ac:dyDescent="0.2">
      <c r="A378" s="548"/>
      <c r="B378" s="552"/>
      <c r="C378" s="1822" t="s">
        <v>546</v>
      </c>
      <c r="D378" s="1822"/>
      <c r="E378" s="1822"/>
      <c r="F378" s="1822"/>
      <c r="G378" s="1822"/>
      <c r="H378" s="1822"/>
      <c r="I378" s="1822"/>
      <c r="J378" s="1822"/>
      <c r="K378" s="1822"/>
      <c r="L378" s="551">
        <v>142.62</v>
      </c>
      <c r="M378" s="550"/>
      <c r="N378" s="549"/>
      <c r="AF378" s="675"/>
      <c r="AG378" s="537" t="s">
        <v>546</v>
      </c>
    </row>
    <row r="379" spans="1:33" s="536" customFormat="1" x14ac:dyDescent="0.2">
      <c r="A379" s="548"/>
      <c r="B379" s="552"/>
      <c r="C379" s="1822" t="s">
        <v>442</v>
      </c>
      <c r="D379" s="1822"/>
      <c r="E379" s="1822"/>
      <c r="F379" s="1822"/>
      <c r="G379" s="1822"/>
      <c r="H379" s="1822"/>
      <c r="I379" s="1822"/>
      <c r="J379" s="1822"/>
      <c r="K379" s="1822"/>
      <c r="L379" s="551">
        <v>55.11</v>
      </c>
      <c r="M379" s="550"/>
      <c r="N379" s="549"/>
      <c r="AF379" s="675"/>
      <c r="AG379" s="537" t="s">
        <v>442</v>
      </c>
    </row>
    <row r="380" spans="1:33" s="536" customFormat="1" x14ac:dyDescent="0.2">
      <c r="A380" s="548"/>
      <c r="B380" s="552"/>
      <c r="C380" s="1822" t="s">
        <v>547</v>
      </c>
      <c r="D380" s="1822"/>
      <c r="E380" s="1822"/>
      <c r="F380" s="1822"/>
      <c r="G380" s="1822"/>
      <c r="H380" s="1822"/>
      <c r="I380" s="1822"/>
      <c r="J380" s="1822"/>
      <c r="K380" s="1822"/>
      <c r="L380" s="551">
        <v>311.62</v>
      </c>
      <c r="M380" s="550"/>
      <c r="N380" s="549"/>
      <c r="AF380" s="675"/>
      <c r="AG380" s="537" t="s">
        <v>547</v>
      </c>
    </row>
    <row r="381" spans="1:33" s="536" customFormat="1" x14ac:dyDescent="0.2">
      <c r="A381" s="548"/>
      <c r="B381" s="552"/>
      <c r="C381" s="1822" t="s">
        <v>443</v>
      </c>
      <c r="D381" s="1822"/>
      <c r="E381" s="1822"/>
      <c r="F381" s="1822"/>
      <c r="G381" s="1822"/>
      <c r="H381" s="1822"/>
      <c r="I381" s="1822"/>
      <c r="J381" s="1822"/>
      <c r="K381" s="1822"/>
      <c r="L381" s="551">
        <v>168.04</v>
      </c>
      <c r="M381" s="550"/>
      <c r="N381" s="549"/>
      <c r="AF381" s="675"/>
      <c r="AG381" s="537" t="s">
        <v>443</v>
      </c>
    </row>
    <row r="382" spans="1:33" s="536" customFormat="1" x14ac:dyDescent="0.2">
      <c r="A382" s="548"/>
      <c r="B382" s="552"/>
      <c r="C382" s="1822" t="s">
        <v>444</v>
      </c>
      <c r="D382" s="1822"/>
      <c r="E382" s="1822"/>
      <c r="F382" s="1822"/>
      <c r="G382" s="1822"/>
      <c r="H382" s="1822"/>
      <c r="I382" s="1822"/>
      <c r="J382" s="1822"/>
      <c r="K382" s="1822"/>
      <c r="L382" s="551">
        <v>85.57</v>
      </c>
      <c r="M382" s="550"/>
      <c r="N382" s="549"/>
      <c r="AF382" s="675"/>
      <c r="AG382" s="537" t="s">
        <v>444</v>
      </c>
    </row>
    <row r="383" spans="1:33" s="536" customFormat="1" x14ac:dyDescent="0.2">
      <c r="A383" s="548"/>
      <c r="B383" s="552" t="s">
        <v>185</v>
      </c>
      <c r="C383" s="1822" t="s">
        <v>753</v>
      </c>
      <c r="D383" s="1822"/>
      <c r="E383" s="1822"/>
      <c r="F383" s="1822"/>
      <c r="G383" s="1822"/>
      <c r="H383" s="1822"/>
      <c r="I383" s="1822"/>
      <c r="J383" s="1822"/>
      <c r="K383" s="1822"/>
      <c r="L383" s="551">
        <v>127.29</v>
      </c>
      <c r="M383" s="550">
        <v>8.32</v>
      </c>
      <c r="N383" s="549">
        <v>1059</v>
      </c>
      <c r="AF383" s="675"/>
      <c r="AG383" s="537" t="s">
        <v>753</v>
      </c>
    </row>
    <row r="384" spans="1:33" s="536" customFormat="1" x14ac:dyDescent="0.2">
      <c r="A384" s="548"/>
      <c r="B384" s="552"/>
      <c r="C384" s="1822" t="s">
        <v>204</v>
      </c>
      <c r="D384" s="1822"/>
      <c r="E384" s="1822"/>
      <c r="F384" s="1822"/>
      <c r="G384" s="1822"/>
      <c r="H384" s="1822"/>
      <c r="I384" s="1822"/>
      <c r="J384" s="1822"/>
      <c r="K384" s="1822"/>
      <c r="L384" s="551"/>
      <c r="M384" s="550"/>
      <c r="N384" s="549"/>
      <c r="AF384" s="675"/>
      <c r="AG384" s="537" t="s">
        <v>204</v>
      </c>
    </row>
    <row r="385" spans="1:34" x14ac:dyDescent="0.2">
      <c r="A385" s="548"/>
      <c r="B385" s="552"/>
      <c r="C385" s="1822" t="s">
        <v>546</v>
      </c>
      <c r="D385" s="1822"/>
      <c r="E385" s="1822"/>
      <c r="F385" s="1822"/>
      <c r="G385" s="1822"/>
      <c r="H385" s="1822"/>
      <c r="I385" s="1822"/>
      <c r="J385" s="1822"/>
      <c r="K385" s="1822"/>
      <c r="L385" s="551">
        <v>32.97</v>
      </c>
      <c r="M385" s="550"/>
      <c r="N385" s="549"/>
      <c r="O385" s="536"/>
      <c r="P385" s="536"/>
      <c r="Q385" s="536"/>
      <c r="R385" s="536"/>
      <c r="S385" s="536"/>
      <c r="T385" s="536"/>
      <c r="U385" s="536"/>
      <c r="V385" s="536"/>
      <c r="W385" s="536"/>
      <c r="X385" s="536"/>
      <c r="Y385" s="536"/>
      <c r="Z385" s="536"/>
      <c r="AA385" s="536"/>
      <c r="AB385" s="536"/>
      <c r="AC385" s="536"/>
      <c r="AD385" s="536"/>
      <c r="AE385" s="536"/>
      <c r="AF385" s="675"/>
      <c r="AG385" s="537" t="s">
        <v>546</v>
      </c>
      <c r="AH385" s="536"/>
    </row>
    <row r="386" spans="1:34" x14ac:dyDescent="0.2">
      <c r="A386" s="548"/>
      <c r="B386" s="552"/>
      <c r="C386" s="1822" t="s">
        <v>442</v>
      </c>
      <c r="D386" s="1822"/>
      <c r="E386" s="1822"/>
      <c r="F386" s="1822"/>
      <c r="G386" s="1822"/>
      <c r="H386" s="1822"/>
      <c r="I386" s="1822"/>
      <c r="J386" s="1822"/>
      <c r="K386" s="1822"/>
      <c r="L386" s="551">
        <v>39.42</v>
      </c>
      <c r="M386" s="550"/>
      <c r="N386" s="549"/>
      <c r="O386" s="536"/>
      <c r="P386" s="536"/>
      <c r="Q386" s="536"/>
      <c r="R386" s="536"/>
      <c r="S386" s="536"/>
      <c r="T386" s="536"/>
      <c r="U386" s="536"/>
      <c r="V386" s="536"/>
      <c r="W386" s="536"/>
      <c r="X386" s="536"/>
      <c r="Y386" s="536"/>
      <c r="Z386" s="536"/>
      <c r="AA386" s="536"/>
      <c r="AB386" s="536"/>
      <c r="AC386" s="536"/>
      <c r="AD386" s="536"/>
      <c r="AE386" s="536"/>
      <c r="AF386" s="675"/>
      <c r="AG386" s="537" t="s">
        <v>442</v>
      </c>
      <c r="AH386" s="536"/>
    </row>
    <row r="387" spans="1:34" x14ac:dyDescent="0.2">
      <c r="A387" s="548"/>
      <c r="B387" s="552"/>
      <c r="C387" s="1822" t="s">
        <v>547</v>
      </c>
      <c r="D387" s="1822"/>
      <c r="E387" s="1822"/>
      <c r="F387" s="1822"/>
      <c r="G387" s="1822"/>
      <c r="H387" s="1822"/>
      <c r="I387" s="1822"/>
      <c r="J387" s="1822"/>
      <c r="K387" s="1822"/>
      <c r="L387" s="551">
        <v>0.54</v>
      </c>
      <c r="M387" s="550"/>
      <c r="N387" s="549"/>
      <c r="O387" s="536"/>
      <c r="P387" s="536"/>
      <c r="Q387" s="536"/>
      <c r="R387" s="536"/>
      <c r="S387" s="536"/>
      <c r="T387" s="536"/>
      <c r="U387" s="536"/>
      <c r="V387" s="536"/>
      <c r="W387" s="536"/>
      <c r="X387" s="536"/>
      <c r="Y387" s="536"/>
      <c r="Z387" s="536"/>
      <c r="AA387" s="536"/>
      <c r="AB387" s="536"/>
      <c r="AC387" s="536"/>
      <c r="AD387" s="536"/>
      <c r="AE387" s="536"/>
      <c r="AF387" s="675"/>
      <c r="AG387" s="537" t="s">
        <v>547</v>
      </c>
      <c r="AH387" s="536"/>
    </row>
    <row r="388" spans="1:34" x14ac:dyDescent="0.2">
      <c r="A388" s="548"/>
      <c r="B388" s="552"/>
      <c r="C388" s="1822" t="s">
        <v>443</v>
      </c>
      <c r="D388" s="1822"/>
      <c r="E388" s="1822"/>
      <c r="F388" s="1822"/>
      <c r="G388" s="1822"/>
      <c r="H388" s="1822"/>
      <c r="I388" s="1822"/>
      <c r="J388" s="1822"/>
      <c r="K388" s="1822"/>
      <c r="L388" s="551">
        <v>35.97</v>
      </c>
      <c r="M388" s="550"/>
      <c r="N388" s="549"/>
      <c r="O388" s="536"/>
      <c r="P388" s="536"/>
      <c r="Q388" s="536"/>
      <c r="R388" s="536"/>
      <c r="S388" s="536"/>
      <c r="T388" s="536"/>
      <c r="U388" s="536"/>
      <c r="V388" s="536"/>
      <c r="W388" s="536"/>
      <c r="X388" s="536"/>
      <c r="Y388" s="536"/>
      <c r="Z388" s="536"/>
      <c r="AA388" s="536"/>
      <c r="AB388" s="536"/>
      <c r="AC388" s="536"/>
      <c r="AD388" s="536"/>
      <c r="AE388" s="536"/>
      <c r="AF388" s="675"/>
      <c r="AG388" s="537" t="s">
        <v>443</v>
      </c>
      <c r="AH388" s="536"/>
    </row>
    <row r="389" spans="1:34" x14ac:dyDescent="0.2">
      <c r="A389" s="548"/>
      <c r="B389" s="552"/>
      <c r="C389" s="1822" t="s">
        <v>444</v>
      </c>
      <c r="D389" s="1822"/>
      <c r="E389" s="1822"/>
      <c r="F389" s="1822"/>
      <c r="G389" s="1822"/>
      <c r="H389" s="1822"/>
      <c r="I389" s="1822"/>
      <c r="J389" s="1822"/>
      <c r="K389" s="1822"/>
      <c r="L389" s="551">
        <v>18.39</v>
      </c>
      <c r="M389" s="550"/>
      <c r="N389" s="549"/>
      <c r="O389" s="536"/>
      <c r="P389" s="536"/>
      <c r="Q389" s="536"/>
      <c r="R389" s="536"/>
      <c r="S389" s="536"/>
      <c r="T389" s="536"/>
      <c r="U389" s="536"/>
      <c r="V389" s="536"/>
      <c r="W389" s="536"/>
      <c r="X389" s="536"/>
      <c r="Y389" s="536"/>
      <c r="Z389" s="536"/>
      <c r="AA389" s="536"/>
      <c r="AB389" s="536"/>
      <c r="AC389" s="536"/>
      <c r="AD389" s="536"/>
      <c r="AE389" s="536"/>
      <c r="AF389" s="675"/>
      <c r="AG389" s="537" t="s">
        <v>444</v>
      </c>
      <c r="AH389" s="536"/>
    </row>
    <row r="390" spans="1:34" x14ac:dyDescent="0.2">
      <c r="A390" s="548"/>
      <c r="B390" s="552" t="s">
        <v>186</v>
      </c>
      <c r="C390" s="1822" t="s">
        <v>754</v>
      </c>
      <c r="D390" s="1822"/>
      <c r="E390" s="1822"/>
      <c r="F390" s="1822"/>
      <c r="G390" s="1822"/>
      <c r="H390" s="1822"/>
      <c r="I390" s="1822"/>
      <c r="J390" s="1822"/>
      <c r="K390" s="1822"/>
      <c r="L390" s="551">
        <v>109518.06</v>
      </c>
      <c r="M390" s="550">
        <v>4.59</v>
      </c>
      <c r="N390" s="549">
        <v>502688</v>
      </c>
      <c r="O390" s="536"/>
      <c r="P390" s="536"/>
      <c r="Q390" s="536"/>
      <c r="R390" s="536"/>
      <c r="S390" s="536"/>
      <c r="T390" s="536"/>
      <c r="U390" s="536"/>
      <c r="V390" s="536"/>
      <c r="W390" s="536"/>
      <c r="X390" s="536"/>
      <c r="Y390" s="536"/>
      <c r="Z390" s="536"/>
      <c r="AA390" s="536"/>
      <c r="AB390" s="536"/>
      <c r="AC390" s="536"/>
      <c r="AD390" s="536"/>
      <c r="AE390" s="536"/>
      <c r="AF390" s="675"/>
      <c r="AG390" s="537" t="s">
        <v>754</v>
      </c>
      <c r="AH390" s="536"/>
    </row>
    <row r="391" spans="1:34" x14ac:dyDescent="0.2">
      <c r="A391" s="548"/>
      <c r="B391" s="552"/>
      <c r="C391" s="1822" t="s">
        <v>415</v>
      </c>
      <c r="D391" s="1822"/>
      <c r="E391" s="1822"/>
      <c r="F391" s="1822"/>
      <c r="G391" s="1822"/>
      <c r="H391" s="1822"/>
      <c r="I391" s="1822"/>
      <c r="J391" s="1822"/>
      <c r="K391" s="1822"/>
      <c r="L391" s="551">
        <v>195.55</v>
      </c>
      <c r="M391" s="550"/>
      <c r="N391" s="549"/>
      <c r="O391" s="536"/>
      <c r="P391" s="536"/>
      <c r="Q391" s="536"/>
      <c r="R391" s="536"/>
      <c r="S391" s="536"/>
      <c r="T391" s="536"/>
      <c r="U391" s="536"/>
      <c r="V391" s="536"/>
      <c r="W391" s="536"/>
      <c r="X391" s="536"/>
      <c r="Y391" s="536"/>
      <c r="Z391" s="536"/>
      <c r="AA391" s="536"/>
      <c r="AB391" s="536"/>
      <c r="AC391" s="536"/>
      <c r="AD391" s="536"/>
      <c r="AE391" s="536"/>
      <c r="AF391" s="675"/>
      <c r="AG391" s="537" t="s">
        <v>415</v>
      </c>
      <c r="AH391" s="536"/>
    </row>
    <row r="392" spans="1:34" x14ac:dyDescent="0.2">
      <c r="A392" s="548"/>
      <c r="B392" s="552"/>
      <c r="C392" s="1822" t="s">
        <v>416</v>
      </c>
      <c r="D392" s="1822"/>
      <c r="E392" s="1822"/>
      <c r="F392" s="1822"/>
      <c r="G392" s="1822"/>
      <c r="H392" s="1822"/>
      <c r="I392" s="1822"/>
      <c r="J392" s="1822"/>
      <c r="K392" s="1822"/>
      <c r="L392" s="551">
        <v>204.01</v>
      </c>
      <c r="M392" s="550"/>
      <c r="N392" s="549"/>
      <c r="O392" s="536"/>
      <c r="P392" s="536"/>
      <c r="Q392" s="536"/>
      <c r="R392" s="536"/>
      <c r="S392" s="536"/>
      <c r="T392" s="536"/>
      <c r="U392" s="536"/>
      <c r="V392" s="536"/>
      <c r="W392" s="536"/>
      <c r="X392" s="536"/>
      <c r="Y392" s="536"/>
      <c r="Z392" s="536"/>
      <c r="AA392" s="536"/>
      <c r="AB392" s="536"/>
      <c r="AC392" s="536"/>
      <c r="AD392" s="536"/>
      <c r="AE392" s="536"/>
      <c r="AF392" s="675"/>
      <c r="AG392" s="537" t="s">
        <v>416</v>
      </c>
      <c r="AH392" s="536"/>
    </row>
    <row r="393" spans="1:34" x14ac:dyDescent="0.2">
      <c r="A393" s="548"/>
      <c r="B393" s="552"/>
      <c r="C393" s="1822" t="s">
        <v>417</v>
      </c>
      <c r="D393" s="1822"/>
      <c r="E393" s="1822"/>
      <c r="F393" s="1822"/>
      <c r="G393" s="1822"/>
      <c r="H393" s="1822"/>
      <c r="I393" s="1822"/>
      <c r="J393" s="1822"/>
      <c r="K393" s="1822"/>
      <c r="L393" s="551">
        <v>103.96</v>
      </c>
      <c r="M393" s="550"/>
      <c r="N393" s="549"/>
      <c r="O393" s="536"/>
      <c r="P393" s="536"/>
      <c r="Q393" s="536"/>
      <c r="R393" s="536"/>
      <c r="S393" s="536"/>
      <c r="T393" s="536"/>
      <c r="U393" s="536"/>
      <c r="V393" s="536"/>
      <c r="W393" s="536"/>
      <c r="X393" s="536"/>
      <c r="Y393" s="536"/>
      <c r="Z393" s="536"/>
      <c r="AA393" s="536"/>
      <c r="AB393" s="536"/>
      <c r="AC393" s="536"/>
      <c r="AD393" s="536"/>
      <c r="AE393" s="536"/>
      <c r="AF393" s="675"/>
      <c r="AG393" s="537" t="s">
        <v>417</v>
      </c>
      <c r="AH393" s="536"/>
    </row>
    <row r="394" spans="1:34" x14ac:dyDescent="0.2">
      <c r="A394" s="548"/>
      <c r="B394" s="546"/>
      <c r="C394" s="1819" t="s">
        <v>206</v>
      </c>
      <c r="D394" s="1819"/>
      <c r="E394" s="1819"/>
      <c r="F394" s="1819"/>
      <c r="G394" s="1819"/>
      <c r="H394" s="1819"/>
      <c r="I394" s="1819"/>
      <c r="J394" s="1819"/>
      <c r="K394" s="1819"/>
      <c r="L394" s="544">
        <v>110408.31</v>
      </c>
      <c r="M394" s="543"/>
      <c r="N394" s="547">
        <v>510095</v>
      </c>
      <c r="O394" s="536"/>
      <c r="P394" s="536"/>
      <c r="Q394" s="536"/>
      <c r="R394" s="536"/>
      <c r="S394" s="536"/>
      <c r="T394" s="536"/>
      <c r="U394" s="536"/>
      <c r="V394" s="536"/>
      <c r="W394" s="536"/>
      <c r="X394" s="536"/>
      <c r="Y394" s="536"/>
      <c r="Z394" s="536"/>
      <c r="AA394" s="536"/>
      <c r="AB394" s="536"/>
      <c r="AC394" s="536"/>
      <c r="AD394" s="536"/>
      <c r="AE394" s="536"/>
      <c r="AF394" s="675"/>
      <c r="AG394" s="536"/>
      <c r="AH394" s="675" t="s">
        <v>206</v>
      </c>
    </row>
    <row r="395" spans="1:34" x14ac:dyDescent="0.2">
      <c r="A395" s="548"/>
      <c r="B395" s="552"/>
      <c r="C395" s="1822" t="s">
        <v>204</v>
      </c>
      <c r="D395" s="1822"/>
      <c r="E395" s="1822"/>
      <c r="F395" s="1822"/>
      <c r="G395" s="1822"/>
      <c r="H395" s="1822"/>
      <c r="I395" s="1822"/>
      <c r="J395" s="1822"/>
      <c r="K395" s="1822"/>
      <c r="L395" s="551"/>
      <c r="M395" s="550"/>
      <c r="N395" s="549"/>
      <c r="O395" s="536"/>
      <c r="P395" s="536"/>
      <c r="Q395" s="536"/>
      <c r="R395" s="536"/>
      <c r="S395" s="536"/>
      <c r="T395" s="536"/>
      <c r="U395" s="536"/>
      <c r="V395" s="536"/>
      <c r="W395" s="536"/>
      <c r="X395" s="536"/>
      <c r="Y395" s="536"/>
      <c r="Z395" s="536"/>
      <c r="AA395" s="536"/>
      <c r="AB395" s="536"/>
      <c r="AC395" s="536"/>
      <c r="AD395" s="536"/>
      <c r="AE395" s="536"/>
      <c r="AF395" s="675"/>
      <c r="AG395" s="537" t="s">
        <v>204</v>
      </c>
      <c r="AH395" s="675"/>
    </row>
    <row r="396" spans="1:34" x14ac:dyDescent="0.2">
      <c r="A396" s="548"/>
      <c r="B396" s="552"/>
      <c r="C396" s="1822" t="s">
        <v>8097</v>
      </c>
      <c r="D396" s="1822"/>
      <c r="E396" s="1822"/>
      <c r="F396" s="1822"/>
      <c r="G396" s="1822"/>
      <c r="H396" s="1822"/>
      <c r="I396" s="1822"/>
      <c r="J396" s="1822"/>
      <c r="K396" s="1822"/>
      <c r="L396" s="551"/>
      <c r="M396" s="550"/>
      <c r="N396" s="549">
        <v>502688</v>
      </c>
      <c r="O396" s="536"/>
      <c r="P396" s="536"/>
      <c r="Q396" s="536"/>
      <c r="R396" s="536"/>
      <c r="S396" s="536"/>
      <c r="T396" s="536"/>
      <c r="U396" s="536"/>
      <c r="V396" s="536"/>
      <c r="W396" s="536"/>
      <c r="X396" s="536"/>
      <c r="Y396" s="536"/>
      <c r="Z396" s="536"/>
      <c r="AA396" s="536"/>
      <c r="AB396" s="536"/>
      <c r="AC396" s="536"/>
      <c r="AD396" s="536"/>
      <c r="AE396" s="536"/>
      <c r="AF396" s="675"/>
      <c r="AG396" s="537" t="s">
        <v>8097</v>
      </c>
      <c r="AH396" s="675"/>
    </row>
    <row r="397" spans="1:34" ht="1.5" customHeight="1" x14ac:dyDescent="0.2">
      <c r="B397" s="546"/>
      <c r="C397" s="683"/>
      <c r="D397" s="683"/>
      <c r="E397" s="683"/>
      <c r="F397" s="683"/>
      <c r="G397" s="683"/>
      <c r="H397" s="683"/>
      <c r="I397" s="683"/>
      <c r="J397" s="683"/>
      <c r="K397" s="683"/>
      <c r="L397" s="544"/>
      <c r="M397" s="543"/>
      <c r="N397" s="542"/>
      <c r="O397" s="536"/>
      <c r="P397" s="536"/>
      <c r="Q397" s="536"/>
      <c r="R397" s="536"/>
      <c r="S397" s="536"/>
      <c r="T397" s="536"/>
      <c r="U397" s="536"/>
      <c r="V397" s="536"/>
      <c r="W397" s="536"/>
      <c r="X397" s="536"/>
      <c r="Y397" s="536"/>
      <c r="Z397" s="536"/>
      <c r="AA397" s="536"/>
      <c r="AB397" s="536"/>
      <c r="AC397" s="536"/>
      <c r="AD397" s="536"/>
      <c r="AE397" s="536"/>
      <c r="AF397" s="536"/>
      <c r="AG397" s="536"/>
      <c r="AH397" s="536"/>
    </row>
    <row r="398" spans="1:34" ht="53.25" customHeight="1" x14ac:dyDescent="0.2">
      <c r="A398" s="541"/>
      <c r="B398" s="541"/>
      <c r="C398" s="541"/>
      <c r="D398" s="541"/>
      <c r="E398" s="541"/>
      <c r="F398" s="541"/>
      <c r="G398" s="541"/>
      <c r="H398" s="541"/>
      <c r="I398" s="541"/>
      <c r="J398" s="541"/>
      <c r="K398" s="541"/>
      <c r="L398" s="541"/>
      <c r="M398" s="541"/>
      <c r="N398" s="541"/>
      <c r="O398" s="536"/>
      <c r="P398" s="536"/>
      <c r="Q398" s="536"/>
      <c r="R398" s="536"/>
      <c r="S398" s="536"/>
      <c r="T398" s="536"/>
      <c r="U398" s="536"/>
      <c r="V398" s="536"/>
      <c r="W398" s="536"/>
      <c r="X398" s="536"/>
      <c r="Y398" s="536"/>
      <c r="Z398" s="536"/>
      <c r="AA398" s="536"/>
      <c r="AB398" s="536"/>
      <c r="AC398" s="536"/>
      <c r="AD398" s="536"/>
      <c r="AE398" s="536"/>
      <c r="AF398" s="536"/>
      <c r="AG398" s="536"/>
      <c r="AH398" s="536"/>
    </row>
    <row r="399" spans="1:34" x14ac:dyDescent="0.2">
      <c r="B399" s="539" t="s">
        <v>149</v>
      </c>
      <c r="C399" s="1943" t="s">
        <v>207</v>
      </c>
      <c r="D399" s="1943"/>
      <c r="E399" s="1943"/>
      <c r="F399" s="1943"/>
      <c r="G399" s="1943"/>
      <c r="H399" s="1943"/>
      <c r="I399" s="1943"/>
      <c r="J399" s="1943"/>
      <c r="K399" s="1943"/>
      <c r="L399" s="1943"/>
      <c r="O399" s="536"/>
    </row>
    <row r="400" spans="1:34" ht="13.5" customHeight="1" x14ac:dyDescent="0.2">
      <c r="B400" s="540"/>
      <c r="C400" s="1821" t="s">
        <v>150</v>
      </c>
      <c r="D400" s="1821"/>
      <c r="E400" s="1821"/>
      <c r="F400" s="1821"/>
      <c r="G400" s="1821"/>
      <c r="H400" s="1821"/>
      <c r="I400" s="1821"/>
      <c r="J400" s="1821"/>
      <c r="K400" s="1821"/>
      <c r="L400" s="1821"/>
      <c r="O400" s="536"/>
    </row>
    <row r="401" spans="2:34" ht="12.75" customHeight="1" x14ac:dyDescent="0.2">
      <c r="B401" s="539" t="s">
        <v>151</v>
      </c>
      <c r="C401" s="1943" t="s">
        <v>208</v>
      </c>
      <c r="D401" s="1943"/>
      <c r="E401" s="1943"/>
      <c r="F401" s="1943"/>
      <c r="G401" s="1943"/>
      <c r="H401" s="1943"/>
      <c r="I401" s="1943"/>
      <c r="J401" s="1943"/>
      <c r="K401" s="1943"/>
      <c r="L401" s="1943"/>
      <c r="O401" s="536"/>
    </row>
    <row r="402" spans="2:34" ht="13.5" customHeight="1" x14ac:dyDescent="0.2">
      <c r="C402" s="1821" t="s">
        <v>150</v>
      </c>
      <c r="D402" s="1821"/>
      <c r="E402" s="1821"/>
      <c r="F402" s="1821"/>
      <c r="G402" s="1821"/>
      <c r="H402" s="1821"/>
      <c r="I402" s="1821"/>
      <c r="J402" s="1821"/>
      <c r="K402" s="1821"/>
      <c r="L402" s="1821"/>
      <c r="O402" s="536"/>
    </row>
    <row r="404" spans="2:34" x14ac:dyDescent="0.2">
      <c r="B404" s="538"/>
      <c r="D404" s="538"/>
      <c r="F404" s="538"/>
      <c r="O404" s="536"/>
      <c r="P404" s="536"/>
      <c r="Q404" s="536"/>
      <c r="R404" s="536"/>
      <c r="S404" s="536"/>
      <c r="T404" s="536"/>
      <c r="U404" s="536"/>
      <c r="V404" s="536"/>
      <c r="W404" s="536"/>
      <c r="X404" s="536"/>
      <c r="Y404" s="536"/>
      <c r="Z404" s="536"/>
      <c r="AA404" s="536"/>
      <c r="AB404" s="536"/>
      <c r="AC404" s="536"/>
      <c r="AD404" s="536"/>
      <c r="AE404" s="536"/>
      <c r="AF404" s="536"/>
      <c r="AG404" s="536"/>
      <c r="AH404" s="536"/>
    </row>
  </sheetData>
  <mergeCells count="345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E41"/>
    <mergeCell ref="C42:N42"/>
    <mergeCell ref="C43:N43"/>
    <mergeCell ref="C44:E44"/>
    <mergeCell ref="C45:E45"/>
    <mergeCell ref="C46:E46"/>
    <mergeCell ref="J35:L36"/>
    <mergeCell ref="M35:M37"/>
    <mergeCell ref="N35:N37"/>
    <mergeCell ref="C38:E38"/>
    <mergeCell ref="A39:N39"/>
    <mergeCell ref="A40:N40"/>
    <mergeCell ref="C53:E53"/>
    <mergeCell ref="C54:E54"/>
    <mergeCell ref="C55:E55"/>
    <mergeCell ref="C56:E56"/>
    <mergeCell ref="C58:N58"/>
    <mergeCell ref="C59:E59"/>
    <mergeCell ref="C47:E47"/>
    <mergeCell ref="C48:E48"/>
    <mergeCell ref="C49:E49"/>
    <mergeCell ref="C50:E50"/>
    <mergeCell ref="C51:E51"/>
    <mergeCell ref="C52:E52"/>
    <mergeCell ref="C66:E66"/>
    <mergeCell ref="C67:E67"/>
    <mergeCell ref="C68:E68"/>
    <mergeCell ref="C69:E69"/>
    <mergeCell ref="C70:E70"/>
    <mergeCell ref="C71:E71"/>
    <mergeCell ref="C60:N60"/>
    <mergeCell ref="C61:N61"/>
    <mergeCell ref="C62:E62"/>
    <mergeCell ref="C63:E63"/>
    <mergeCell ref="C64:E64"/>
    <mergeCell ref="C65:E65"/>
    <mergeCell ref="C78:E78"/>
    <mergeCell ref="C79:E79"/>
    <mergeCell ref="C80:E80"/>
    <mergeCell ref="C81:E81"/>
    <mergeCell ref="C82:E82"/>
    <mergeCell ref="C83:E83"/>
    <mergeCell ref="C72:E72"/>
    <mergeCell ref="C73:E73"/>
    <mergeCell ref="C74:E74"/>
    <mergeCell ref="C75:N75"/>
    <mergeCell ref="C76:N76"/>
    <mergeCell ref="C77:E77"/>
    <mergeCell ref="C91:N91"/>
    <mergeCell ref="C92:E92"/>
    <mergeCell ref="C94:N94"/>
    <mergeCell ref="C95:E95"/>
    <mergeCell ref="C97:N97"/>
    <mergeCell ref="C98:E98"/>
    <mergeCell ref="C84:E84"/>
    <mergeCell ref="C85:E85"/>
    <mergeCell ref="C86:E86"/>
    <mergeCell ref="C87:E87"/>
    <mergeCell ref="C88:E88"/>
    <mergeCell ref="C89:E89"/>
    <mergeCell ref="C107:E107"/>
    <mergeCell ref="C109:N109"/>
    <mergeCell ref="C110:N110"/>
    <mergeCell ref="A111:N111"/>
    <mergeCell ref="A112:N112"/>
    <mergeCell ref="A113:N113"/>
    <mergeCell ref="C100:N100"/>
    <mergeCell ref="A101:N101"/>
    <mergeCell ref="C102:E102"/>
    <mergeCell ref="C104:N104"/>
    <mergeCell ref="C105:N105"/>
    <mergeCell ref="A106:N106"/>
    <mergeCell ref="C120:E120"/>
    <mergeCell ref="C121:E121"/>
    <mergeCell ref="C122:E122"/>
    <mergeCell ref="C123:E123"/>
    <mergeCell ref="C124:E124"/>
    <mergeCell ref="C125:E125"/>
    <mergeCell ref="C114:E114"/>
    <mergeCell ref="C115:N115"/>
    <mergeCell ref="C116:N116"/>
    <mergeCell ref="C117:E117"/>
    <mergeCell ref="C118:E118"/>
    <mergeCell ref="C119:E119"/>
    <mergeCell ref="C133:N133"/>
    <mergeCell ref="C134:N134"/>
    <mergeCell ref="C135:E135"/>
    <mergeCell ref="C136:E136"/>
    <mergeCell ref="C137:E137"/>
    <mergeCell ref="C138:E138"/>
    <mergeCell ref="C126:E126"/>
    <mergeCell ref="C127:E127"/>
    <mergeCell ref="C128:E128"/>
    <mergeCell ref="C129:E129"/>
    <mergeCell ref="C131:N131"/>
    <mergeCell ref="C132:E132"/>
    <mergeCell ref="C145:E145"/>
    <mergeCell ref="C146:E146"/>
    <mergeCell ref="C147:E147"/>
    <mergeCell ref="C148:N148"/>
    <mergeCell ref="C149:N149"/>
    <mergeCell ref="C150:E150"/>
    <mergeCell ref="C139:E139"/>
    <mergeCell ref="C140:E140"/>
    <mergeCell ref="C141:E141"/>
    <mergeCell ref="C142:E142"/>
    <mergeCell ref="C143:E143"/>
    <mergeCell ref="C144:E144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C154:E154"/>
    <mergeCell ref="C155:E155"/>
    <mergeCell ref="C156:E156"/>
    <mergeCell ref="C173:N173"/>
    <mergeCell ref="A174:N174"/>
    <mergeCell ref="C175:E175"/>
    <mergeCell ref="C177:N177"/>
    <mergeCell ref="C178:N178"/>
    <mergeCell ref="A179:N179"/>
    <mergeCell ref="C164:N164"/>
    <mergeCell ref="C165:E165"/>
    <mergeCell ref="C167:N167"/>
    <mergeCell ref="C168:E168"/>
    <mergeCell ref="C170:N170"/>
    <mergeCell ref="C171:E171"/>
    <mergeCell ref="C189:N189"/>
    <mergeCell ref="C190:E190"/>
    <mergeCell ref="C192:N192"/>
    <mergeCell ref="C193:E193"/>
    <mergeCell ref="C195:N195"/>
    <mergeCell ref="C196:E196"/>
    <mergeCell ref="A180:N180"/>
    <mergeCell ref="C181:E181"/>
    <mergeCell ref="C183:N183"/>
    <mergeCell ref="C184:E184"/>
    <mergeCell ref="C186:N186"/>
    <mergeCell ref="C187:E187"/>
    <mergeCell ref="C203:E203"/>
    <mergeCell ref="C204:E204"/>
    <mergeCell ref="C205:E205"/>
    <mergeCell ref="C206:E206"/>
    <mergeCell ref="C207:E207"/>
    <mergeCell ref="C208:E208"/>
    <mergeCell ref="C197:N197"/>
    <mergeCell ref="C198:E198"/>
    <mergeCell ref="C199:E199"/>
    <mergeCell ref="C200:E200"/>
    <mergeCell ref="C201:E201"/>
    <mergeCell ref="C202:E202"/>
    <mergeCell ref="C218:E218"/>
    <mergeCell ref="C219:N219"/>
    <mergeCell ref="C220:N220"/>
    <mergeCell ref="C221:E221"/>
    <mergeCell ref="C222:E222"/>
    <mergeCell ref="C223:E223"/>
    <mergeCell ref="C209:E209"/>
    <mergeCell ref="C211:N211"/>
    <mergeCell ref="C212:E212"/>
    <mergeCell ref="C214:N214"/>
    <mergeCell ref="C215:E215"/>
    <mergeCell ref="C217:N217"/>
    <mergeCell ref="C230:E230"/>
    <mergeCell ref="C231:E231"/>
    <mergeCell ref="C232:E232"/>
    <mergeCell ref="C233:E233"/>
    <mergeCell ref="C235:N235"/>
    <mergeCell ref="C236:E236"/>
    <mergeCell ref="C224:E224"/>
    <mergeCell ref="C225:E225"/>
    <mergeCell ref="C226:E226"/>
    <mergeCell ref="C227:E227"/>
    <mergeCell ref="C228:E228"/>
    <mergeCell ref="C229:E229"/>
    <mergeCell ref="C246:E246"/>
    <mergeCell ref="C248:N248"/>
    <mergeCell ref="C249:E249"/>
    <mergeCell ref="C251:N251"/>
    <mergeCell ref="C252:E252"/>
    <mergeCell ref="C253:N253"/>
    <mergeCell ref="C238:N238"/>
    <mergeCell ref="C239:E239"/>
    <mergeCell ref="C241:N241"/>
    <mergeCell ref="A242:N242"/>
    <mergeCell ref="C243:E243"/>
    <mergeCell ref="C245:N245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C256:E256"/>
    <mergeCell ref="C257:E257"/>
    <mergeCell ref="C258:E258"/>
    <mergeCell ref="C259:E259"/>
    <mergeCell ref="C275:N275"/>
    <mergeCell ref="C276:N276"/>
    <mergeCell ref="C277:E277"/>
    <mergeCell ref="C278:E278"/>
    <mergeCell ref="C279:E279"/>
    <mergeCell ref="C280:E280"/>
    <mergeCell ref="C267:N267"/>
    <mergeCell ref="C268:E268"/>
    <mergeCell ref="C270:N270"/>
    <mergeCell ref="C271:E271"/>
    <mergeCell ref="C273:N273"/>
    <mergeCell ref="C274:E274"/>
    <mergeCell ref="C287:E287"/>
    <mergeCell ref="C288:E288"/>
    <mergeCell ref="C289:E289"/>
    <mergeCell ref="C291:N291"/>
    <mergeCell ref="C292:E292"/>
    <mergeCell ref="C294:N294"/>
    <mergeCell ref="C281:E281"/>
    <mergeCell ref="C282:E282"/>
    <mergeCell ref="C283:E283"/>
    <mergeCell ref="C284:E284"/>
    <mergeCell ref="C285:E285"/>
    <mergeCell ref="C286:E286"/>
    <mergeCell ref="C304:N304"/>
    <mergeCell ref="C305:E305"/>
    <mergeCell ref="C306:N306"/>
    <mergeCell ref="C307:E307"/>
    <mergeCell ref="C308:E308"/>
    <mergeCell ref="C309:E309"/>
    <mergeCell ref="A295:N295"/>
    <mergeCell ref="C296:E296"/>
    <mergeCell ref="C298:N298"/>
    <mergeCell ref="C299:E299"/>
    <mergeCell ref="C301:N301"/>
    <mergeCell ref="C302:E302"/>
    <mergeCell ref="C316:E316"/>
    <mergeCell ref="C317:E317"/>
    <mergeCell ref="C318:E318"/>
    <mergeCell ref="C320:N320"/>
    <mergeCell ref="C321:E321"/>
    <mergeCell ref="C323:N323"/>
    <mergeCell ref="C310:E310"/>
    <mergeCell ref="C311:E311"/>
    <mergeCell ref="C312:E312"/>
    <mergeCell ref="C313:E313"/>
    <mergeCell ref="C314:E314"/>
    <mergeCell ref="C315:E315"/>
    <mergeCell ref="C331:E331"/>
    <mergeCell ref="C332:E332"/>
    <mergeCell ref="C333:E333"/>
    <mergeCell ref="C334:E334"/>
    <mergeCell ref="C335:E335"/>
    <mergeCell ref="C336:E336"/>
    <mergeCell ref="C324:E324"/>
    <mergeCell ref="C326:N326"/>
    <mergeCell ref="C327:E327"/>
    <mergeCell ref="C328:N328"/>
    <mergeCell ref="C329:N329"/>
    <mergeCell ref="C330:E330"/>
    <mergeCell ref="C344:N344"/>
    <mergeCell ref="C345:E345"/>
    <mergeCell ref="C347:N347"/>
    <mergeCell ref="A348:N348"/>
    <mergeCell ref="C349:E349"/>
    <mergeCell ref="C350:N350"/>
    <mergeCell ref="C337:E337"/>
    <mergeCell ref="C338:E338"/>
    <mergeCell ref="C339:E339"/>
    <mergeCell ref="C340:E340"/>
    <mergeCell ref="C341:E341"/>
    <mergeCell ref="C342:E342"/>
    <mergeCell ref="C357:E357"/>
    <mergeCell ref="C358:E358"/>
    <mergeCell ref="C359:E359"/>
    <mergeCell ref="C360:E360"/>
    <mergeCell ref="C361:E361"/>
    <mergeCell ref="C362:E362"/>
    <mergeCell ref="C351:N351"/>
    <mergeCell ref="C352:E352"/>
    <mergeCell ref="C353:E353"/>
    <mergeCell ref="C354:E354"/>
    <mergeCell ref="C355:E355"/>
    <mergeCell ref="C356:E356"/>
    <mergeCell ref="C372:K372"/>
    <mergeCell ref="C373:K373"/>
    <mergeCell ref="C374:K374"/>
    <mergeCell ref="C375:K375"/>
    <mergeCell ref="C376:K376"/>
    <mergeCell ref="C377:K377"/>
    <mergeCell ref="C363:E363"/>
    <mergeCell ref="C364:E364"/>
    <mergeCell ref="C366:N366"/>
    <mergeCell ref="C369:K369"/>
    <mergeCell ref="C370:K370"/>
    <mergeCell ref="C371:K371"/>
    <mergeCell ref="C384:K384"/>
    <mergeCell ref="C385:K385"/>
    <mergeCell ref="C386:K386"/>
    <mergeCell ref="C387:K387"/>
    <mergeCell ref="C388:K388"/>
    <mergeCell ref="C389:K389"/>
    <mergeCell ref="C378:K378"/>
    <mergeCell ref="C379:K379"/>
    <mergeCell ref="C380:K380"/>
    <mergeCell ref="C381:K381"/>
    <mergeCell ref="C382:K382"/>
    <mergeCell ref="C383:K383"/>
    <mergeCell ref="C396:K396"/>
    <mergeCell ref="C399:L399"/>
    <mergeCell ref="C400:L400"/>
    <mergeCell ref="C401:L401"/>
    <mergeCell ref="C402:L402"/>
    <mergeCell ref="C390:K390"/>
    <mergeCell ref="C391:K391"/>
    <mergeCell ref="C392:K392"/>
    <mergeCell ref="C393:K393"/>
    <mergeCell ref="C394:K394"/>
    <mergeCell ref="C395:K395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40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S89"/>
  <sheetViews>
    <sheetView topLeftCell="A67" workbookViewId="0">
      <selection activeCell="C77" sqref="C77"/>
    </sheetView>
  </sheetViews>
  <sheetFormatPr defaultColWidth="9.140625" defaultRowHeight="12" x14ac:dyDescent="0.2"/>
  <cols>
    <col min="1" max="1" width="5" style="613" customWidth="1"/>
    <col min="2" max="2" width="12.42578125" style="614" customWidth="1"/>
    <col min="3" max="3" width="31.85546875" style="614" customWidth="1"/>
    <col min="4" max="4" width="13.140625" style="615" customWidth="1"/>
    <col min="5" max="5" width="13" style="615" customWidth="1"/>
    <col min="6" max="6" width="13.42578125" style="615" customWidth="1"/>
    <col min="7" max="7" width="12.5703125" style="615" customWidth="1"/>
    <col min="8" max="8" width="14.85546875" style="615" customWidth="1"/>
    <col min="9" max="9" width="13.140625" style="615" customWidth="1"/>
    <col min="10" max="10" width="13" style="615" customWidth="1"/>
    <col min="11" max="11" width="13.42578125" style="615" customWidth="1"/>
    <col min="12" max="12" width="12.5703125" style="615" customWidth="1"/>
    <col min="13" max="13" width="17.140625" style="615" customWidth="1"/>
    <col min="14" max="14" width="12.140625" style="615" customWidth="1"/>
    <col min="15" max="15" width="13" style="615" customWidth="1"/>
    <col min="16" max="16" width="13.42578125" style="615" customWidth="1"/>
    <col min="17" max="17" width="12.5703125" style="615" customWidth="1"/>
    <col min="18" max="18" width="16.85546875" style="615" customWidth="1"/>
    <col min="19" max="19" width="49.7109375" style="612" customWidth="1"/>
    <col min="20" max="16384" width="9.140625" style="612"/>
  </cols>
  <sheetData>
    <row r="1" spans="1:19" x14ac:dyDescent="0.2">
      <c r="A1" s="1663" t="s">
        <v>8080</v>
      </c>
      <c r="B1" s="1664"/>
      <c r="C1" s="1664"/>
      <c r="D1" s="1664"/>
      <c r="E1" s="1664"/>
      <c r="F1" s="1664"/>
      <c r="G1" s="1664"/>
      <c r="H1" s="1664"/>
      <c r="I1" s="1665"/>
      <c r="J1" s="1665"/>
      <c r="K1" s="1665"/>
      <c r="L1" s="1665"/>
      <c r="M1" s="1665"/>
      <c r="N1" s="1665"/>
      <c r="O1" s="1665"/>
      <c r="P1" s="1665"/>
      <c r="Q1" s="1665"/>
      <c r="R1" s="1665"/>
      <c r="S1" s="1665"/>
    </row>
    <row r="2" spans="1:19" ht="44.1" customHeight="1" x14ac:dyDescent="0.2">
      <c r="A2" s="1663" t="s">
        <v>5885</v>
      </c>
      <c r="B2" s="1664"/>
      <c r="C2" s="1664"/>
      <c r="D2" s="1664"/>
      <c r="E2" s="1664"/>
      <c r="F2" s="1664"/>
      <c r="G2" s="1664"/>
      <c r="H2" s="1664"/>
      <c r="I2" s="1665"/>
      <c r="J2" s="1665"/>
      <c r="K2" s="1665"/>
      <c r="L2" s="1665"/>
      <c r="M2" s="1665"/>
      <c r="N2" s="1665"/>
      <c r="O2" s="1665"/>
      <c r="P2" s="1665"/>
      <c r="Q2" s="1665"/>
      <c r="R2" s="1665"/>
      <c r="S2" s="1665"/>
    </row>
    <row r="3" spans="1:19" x14ac:dyDescent="0.2">
      <c r="D3" s="612"/>
      <c r="F3" s="616"/>
      <c r="G3" s="616"/>
      <c r="H3" s="616"/>
      <c r="I3" s="461"/>
      <c r="K3" s="461" t="s">
        <v>139</v>
      </c>
      <c r="L3" s="616"/>
      <c r="M3" s="616"/>
      <c r="N3" s="461"/>
      <c r="P3" s="616"/>
      <c r="Q3" s="616"/>
      <c r="R3" s="616"/>
    </row>
    <row r="4" spans="1:19" x14ac:dyDescent="0.2">
      <c r="H4" s="616"/>
      <c r="M4" s="616"/>
      <c r="R4" s="616"/>
    </row>
    <row r="5" spans="1:19" x14ac:dyDescent="0.2">
      <c r="B5" s="614" t="s">
        <v>6530</v>
      </c>
      <c r="D5" s="617"/>
      <c r="E5" s="616"/>
      <c r="F5" s="616"/>
      <c r="G5" s="616"/>
      <c r="H5" s="616"/>
      <c r="I5" s="617"/>
      <c r="J5" s="616"/>
      <c r="K5" s="616"/>
      <c r="L5" s="616"/>
      <c r="M5" s="616"/>
      <c r="N5" s="617"/>
      <c r="O5" s="616"/>
      <c r="P5" s="616"/>
      <c r="Q5" s="616"/>
      <c r="R5" s="616"/>
    </row>
    <row r="6" spans="1:19" x14ac:dyDescent="0.2">
      <c r="D6" s="616"/>
      <c r="E6" s="616"/>
      <c r="F6" s="616"/>
      <c r="G6" s="616"/>
      <c r="H6" s="616"/>
      <c r="I6" s="616"/>
      <c r="J6" s="616"/>
      <c r="K6" s="616"/>
      <c r="L6" s="616"/>
      <c r="M6" s="616"/>
      <c r="N6" s="616"/>
      <c r="O6" s="616"/>
      <c r="P6" s="616"/>
      <c r="Q6" s="616"/>
      <c r="R6" s="616"/>
    </row>
    <row r="7" spans="1:19" ht="35.25" customHeight="1" x14ac:dyDescent="0.2">
      <c r="A7" s="1666" t="s">
        <v>287</v>
      </c>
      <c r="B7" s="1667" t="s">
        <v>6454</v>
      </c>
      <c r="C7" s="1667" t="s">
        <v>6455</v>
      </c>
      <c r="D7" s="1668" t="s">
        <v>8081</v>
      </c>
      <c r="E7" s="1669"/>
      <c r="F7" s="1669"/>
      <c r="G7" s="1669"/>
      <c r="H7" s="1670"/>
      <c r="I7" s="1668" t="s">
        <v>8082</v>
      </c>
      <c r="J7" s="1669"/>
      <c r="K7" s="1669"/>
      <c r="L7" s="1669"/>
      <c r="M7" s="1670"/>
      <c r="N7" s="1668" t="s">
        <v>8083</v>
      </c>
      <c r="O7" s="1669"/>
      <c r="P7" s="1669"/>
      <c r="Q7" s="1669"/>
      <c r="R7" s="1669"/>
      <c r="S7" s="1666" t="s">
        <v>8084</v>
      </c>
    </row>
    <row r="8" spans="1:19" x14ac:dyDescent="0.2">
      <c r="A8" s="1666"/>
      <c r="B8" s="1667"/>
      <c r="C8" s="1667"/>
      <c r="D8" s="1666" t="s">
        <v>6457</v>
      </c>
      <c r="E8" s="1666" t="s">
        <v>140</v>
      </c>
      <c r="F8" s="1666" t="s">
        <v>6458</v>
      </c>
      <c r="G8" s="1666" t="s">
        <v>6459</v>
      </c>
      <c r="H8" s="1677" t="s">
        <v>6456</v>
      </c>
      <c r="I8" s="1666" t="s">
        <v>6457</v>
      </c>
      <c r="J8" s="1666" t="s">
        <v>140</v>
      </c>
      <c r="K8" s="1666" t="s">
        <v>6458</v>
      </c>
      <c r="L8" s="1666" t="s">
        <v>6459</v>
      </c>
      <c r="M8" s="1677" t="s">
        <v>6456</v>
      </c>
      <c r="N8" s="1666" t="s">
        <v>6457</v>
      </c>
      <c r="O8" s="1666" t="s">
        <v>140</v>
      </c>
      <c r="P8" s="1666" t="s">
        <v>6458</v>
      </c>
      <c r="Q8" s="1666" t="s">
        <v>6459</v>
      </c>
      <c r="R8" s="1672" t="s">
        <v>6456</v>
      </c>
      <c r="S8" s="1671"/>
    </row>
    <row r="9" spans="1:19" x14ac:dyDescent="0.2">
      <c r="A9" s="1666"/>
      <c r="B9" s="1667"/>
      <c r="C9" s="1667"/>
      <c r="D9" s="1666"/>
      <c r="E9" s="1666"/>
      <c r="F9" s="1666"/>
      <c r="G9" s="1666"/>
      <c r="H9" s="1678"/>
      <c r="I9" s="1666"/>
      <c r="J9" s="1666"/>
      <c r="K9" s="1666"/>
      <c r="L9" s="1666"/>
      <c r="M9" s="1678"/>
      <c r="N9" s="1666"/>
      <c r="O9" s="1666"/>
      <c r="P9" s="1666"/>
      <c r="Q9" s="1666"/>
      <c r="R9" s="1673"/>
      <c r="S9" s="1671"/>
    </row>
    <row r="10" spans="1:19" x14ac:dyDescent="0.2">
      <c r="A10" s="1666"/>
      <c r="B10" s="1667"/>
      <c r="C10" s="1667"/>
      <c r="D10" s="1666"/>
      <c r="E10" s="1666"/>
      <c r="F10" s="1666"/>
      <c r="G10" s="1666"/>
      <c r="H10" s="1679"/>
      <c r="I10" s="1666"/>
      <c r="J10" s="1666"/>
      <c r="K10" s="1666"/>
      <c r="L10" s="1666"/>
      <c r="M10" s="1679"/>
      <c r="N10" s="1666"/>
      <c r="O10" s="1666"/>
      <c r="P10" s="1666"/>
      <c r="Q10" s="1666"/>
      <c r="R10" s="1674"/>
      <c r="S10" s="1671"/>
    </row>
    <row r="11" spans="1:19" x14ac:dyDescent="0.2">
      <c r="A11" s="618">
        <v>1</v>
      </c>
      <c r="B11" s="619">
        <v>2</v>
      </c>
      <c r="C11" s="619">
        <v>3</v>
      </c>
      <c r="D11" s="618">
        <v>4</v>
      </c>
      <c r="E11" s="618">
        <v>5</v>
      </c>
      <c r="F11" s="618">
        <v>6</v>
      </c>
      <c r="G11" s="618">
        <v>7</v>
      </c>
      <c r="H11" s="618">
        <v>8</v>
      </c>
      <c r="I11" s="1090">
        <v>4</v>
      </c>
      <c r="J11" s="1090">
        <v>5</v>
      </c>
      <c r="K11" s="1090">
        <v>6</v>
      </c>
      <c r="L11" s="1090">
        <v>7</v>
      </c>
      <c r="M11" s="1090">
        <v>8</v>
      </c>
      <c r="N11" s="1090">
        <v>4</v>
      </c>
      <c r="O11" s="1090">
        <v>5</v>
      </c>
      <c r="P11" s="1090">
        <v>6</v>
      </c>
      <c r="Q11" s="1090">
        <v>7</v>
      </c>
      <c r="R11" s="1091">
        <v>8</v>
      </c>
      <c r="S11" s="629"/>
    </row>
    <row r="12" spans="1:19" x14ac:dyDescent="0.2">
      <c r="A12" s="1680" t="s">
        <v>6460</v>
      </c>
      <c r="B12" s="1681"/>
      <c r="C12" s="1681"/>
      <c r="D12" s="1681"/>
      <c r="E12" s="1681"/>
      <c r="F12" s="1681"/>
      <c r="G12" s="1681"/>
      <c r="H12" s="1681"/>
      <c r="I12" s="612"/>
      <c r="J12" s="612"/>
      <c r="K12" s="612"/>
      <c r="L12" s="612"/>
      <c r="M12" s="629"/>
      <c r="N12" s="612"/>
      <c r="O12" s="612"/>
      <c r="P12" s="612"/>
      <c r="Q12" s="612"/>
      <c r="R12" s="1092"/>
      <c r="S12" s="629"/>
    </row>
    <row r="13" spans="1:19" ht="24" x14ac:dyDescent="0.2">
      <c r="A13" s="630">
        <v>1</v>
      </c>
      <c r="B13" s="631" t="s">
        <v>6461</v>
      </c>
      <c r="C13" s="631" t="s">
        <v>18</v>
      </c>
      <c r="D13" s="623">
        <v>939.24</v>
      </c>
      <c r="E13" s="622"/>
      <c r="F13" s="622"/>
      <c r="G13" s="622"/>
      <c r="H13" s="623">
        <f>SUM(D13:G13)</f>
        <v>939.24</v>
      </c>
      <c r="I13" s="465">
        <v>939.24</v>
      </c>
      <c r="J13" s="466"/>
      <c r="K13" s="466"/>
      <c r="L13" s="466"/>
      <c r="M13" s="623">
        <f>SUM(I13:L13)</f>
        <v>939.24</v>
      </c>
      <c r="N13" s="623">
        <f>I13-D13</f>
        <v>0</v>
      </c>
      <c r="O13" s="622">
        <f>J13-E13</f>
        <v>0</v>
      </c>
      <c r="P13" s="622">
        <f>K13-F13</f>
        <v>0</v>
      </c>
      <c r="Q13" s="622">
        <f>L13-G13</f>
        <v>0</v>
      </c>
      <c r="R13" s="624">
        <f>M13-H13</f>
        <v>0</v>
      </c>
      <c r="S13" s="629"/>
    </row>
    <row r="14" spans="1:19" ht="36" x14ac:dyDescent="0.2">
      <c r="A14" s="630">
        <v>2</v>
      </c>
      <c r="B14" s="631" t="s">
        <v>6462</v>
      </c>
      <c r="C14" s="631" t="s">
        <v>17</v>
      </c>
      <c r="D14" s="623">
        <v>300.57</v>
      </c>
      <c r="E14" s="622"/>
      <c r="F14" s="622"/>
      <c r="G14" s="622"/>
      <c r="H14" s="623">
        <f>SUM(D14:G14)</f>
        <v>300.57</v>
      </c>
      <c r="I14" s="465">
        <v>307.45</v>
      </c>
      <c r="J14" s="466">
        <v>6.39</v>
      </c>
      <c r="K14" s="466"/>
      <c r="L14" s="466"/>
      <c r="M14" s="623">
        <f>SUM(I14:L14)</f>
        <v>313.83999999999997</v>
      </c>
      <c r="N14" s="623">
        <f t="shared" ref="N14:R16" si="0">I14-D14</f>
        <v>6.88</v>
      </c>
      <c r="O14" s="622">
        <f t="shared" si="0"/>
        <v>6.39</v>
      </c>
      <c r="P14" s="622">
        <f t="shared" si="0"/>
        <v>0</v>
      </c>
      <c r="Q14" s="622">
        <f t="shared" si="0"/>
        <v>0</v>
      </c>
      <c r="R14" s="624">
        <f t="shared" si="0"/>
        <v>13.27</v>
      </c>
      <c r="S14" s="625" t="s">
        <v>8085</v>
      </c>
    </row>
    <row r="15" spans="1:19" ht="36" x14ac:dyDescent="0.2">
      <c r="A15" s="630">
        <v>3</v>
      </c>
      <c r="B15" s="631" t="s">
        <v>7079</v>
      </c>
      <c r="C15" s="631" t="s">
        <v>7075</v>
      </c>
      <c r="D15" s="623"/>
      <c r="E15" s="622"/>
      <c r="F15" s="622"/>
      <c r="G15" s="620"/>
      <c r="H15" s="623">
        <f>SUM(D15:G15)</f>
        <v>0</v>
      </c>
      <c r="I15" s="465">
        <v>1431.38</v>
      </c>
      <c r="J15" s="466">
        <v>3.21</v>
      </c>
      <c r="K15" s="466"/>
      <c r="L15" s="532"/>
      <c r="M15" s="623">
        <f>SUM(I15:L15)</f>
        <v>1434.59</v>
      </c>
      <c r="N15" s="623">
        <f t="shared" si="0"/>
        <v>1431.38</v>
      </c>
      <c r="O15" s="622">
        <f t="shared" si="0"/>
        <v>3.21</v>
      </c>
      <c r="P15" s="622">
        <f t="shared" si="0"/>
        <v>0</v>
      </c>
      <c r="Q15" s="622">
        <f t="shared" si="0"/>
        <v>0</v>
      </c>
      <c r="R15" s="624">
        <f t="shared" si="0"/>
        <v>1434.59</v>
      </c>
      <c r="S15" s="625" t="s">
        <v>8086</v>
      </c>
    </row>
    <row r="16" spans="1:19" ht="24" x14ac:dyDescent="0.2">
      <c r="A16" s="630">
        <v>4</v>
      </c>
      <c r="B16" s="631" t="s">
        <v>6463</v>
      </c>
      <c r="C16" s="631" t="s">
        <v>6531</v>
      </c>
      <c r="D16" s="622"/>
      <c r="E16" s="622"/>
      <c r="F16" s="622"/>
      <c r="G16" s="621">
        <v>64.209999999999994</v>
      </c>
      <c r="H16" s="622">
        <f>SUM(D16:G16)</f>
        <v>64.209999999999994</v>
      </c>
      <c r="I16" s="466"/>
      <c r="J16" s="466"/>
      <c r="K16" s="466"/>
      <c r="L16" s="1093">
        <v>149.44999999999999</v>
      </c>
      <c r="M16" s="622">
        <f>SUM(I16:L16)</f>
        <v>149.44999999999999</v>
      </c>
      <c r="N16" s="623">
        <f t="shared" si="0"/>
        <v>0</v>
      </c>
      <c r="O16" s="622">
        <f t="shared" si="0"/>
        <v>0</v>
      </c>
      <c r="P16" s="622">
        <f t="shared" si="0"/>
        <v>0</v>
      </c>
      <c r="Q16" s="622">
        <f>L16-G16</f>
        <v>85.24</v>
      </c>
      <c r="R16" s="624">
        <f>M16-H16</f>
        <v>85.24</v>
      </c>
      <c r="S16" s="625" t="s">
        <v>8087</v>
      </c>
    </row>
    <row r="17" spans="1:19" ht="44.1" customHeight="1" x14ac:dyDescent="0.2">
      <c r="A17" s="626"/>
      <c r="B17" s="1675" t="s">
        <v>6464</v>
      </c>
      <c r="C17" s="1676"/>
      <c r="D17" s="627">
        <f>SUM(D13:D16)</f>
        <v>1239.81</v>
      </c>
      <c r="E17" s="627">
        <f t="shared" ref="E17:R17" si="1">SUM(E13:E16)</f>
        <v>0</v>
      </c>
      <c r="F17" s="627">
        <f t="shared" si="1"/>
        <v>0</v>
      </c>
      <c r="G17" s="627">
        <f>SUM(G13:G16)</f>
        <v>64.209999999999994</v>
      </c>
      <c r="H17" s="627">
        <f>SUM(H13:H16)</f>
        <v>1304.02</v>
      </c>
      <c r="I17" s="627">
        <f t="shared" si="1"/>
        <v>2678.07</v>
      </c>
      <c r="J17" s="627">
        <f t="shared" si="1"/>
        <v>9.6</v>
      </c>
      <c r="K17" s="627">
        <f t="shared" si="1"/>
        <v>0</v>
      </c>
      <c r="L17" s="627">
        <f t="shared" si="1"/>
        <v>149.44999999999999</v>
      </c>
      <c r="M17" s="627">
        <f t="shared" si="1"/>
        <v>2837.12</v>
      </c>
      <c r="N17" s="627">
        <f t="shared" si="1"/>
        <v>1438.26</v>
      </c>
      <c r="O17" s="627">
        <f t="shared" si="1"/>
        <v>9.6</v>
      </c>
      <c r="P17" s="627">
        <f t="shared" si="1"/>
        <v>0</v>
      </c>
      <c r="Q17" s="627">
        <f t="shared" si="1"/>
        <v>85.24</v>
      </c>
      <c r="R17" s="628">
        <f t="shared" si="1"/>
        <v>1533.1</v>
      </c>
      <c r="S17" s="629"/>
    </row>
    <row r="18" spans="1:19" x14ac:dyDescent="0.2">
      <c r="A18" s="1680" t="s">
        <v>6465</v>
      </c>
      <c r="B18" s="1681"/>
      <c r="C18" s="1681"/>
      <c r="D18" s="1681"/>
      <c r="E18" s="1681"/>
      <c r="F18" s="1681"/>
      <c r="G18" s="1681"/>
      <c r="H18" s="1681"/>
      <c r="I18" s="612"/>
      <c r="J18" s="612"/>
      <c r="K18" s="612"/>
      <c r="L18" s="612"/>
      <c r="M18" s="612"/>
      <c r="N18" s="612"/>
      <c r="O18" s="612"/>
      <c r="P18" s="612"/>
      <c r="Q18" s="612"/>
      <c r="R18" s="612"/>
      <c r="S18" s="629"/>
    </row>
    <row r="19" spans="1:19" ht="36" x14ac:dyDescent="0.2">
      <c r="A19" s="630">
        <v>5</v>
      </c>
      <c r="B19" s="631" t="s">
        <v>6466</v>
      </c>
      <c r="C19" s="631" t="s">
        <v>19</v>
      </c>
      <c r="D19" s="623">
        <v>78058.03</v>
      </c>
      <c r="E19" s="632">
        <v>965.57</v>
      </c>
      <c r="F19" s="623">
        <v>13029.94</v>
      </c>
      <c r="G19" s="622"/>
      <c r="H19" s="623">
        <f>SUM(D19:G19)</f>
        <v>92053.54</v>
      </c>
      <c r="I19" s="465">
        <v>115418.22</v>
      </c>
      <c r="J19" s="1094">
        <v>1060.6099999999999</v>
      </c>
      <c r="K19" s="465">
        <v>12900.93</v>
      </c>
      <c r="L19" s="622"/>
      <c r="M19" s="623">
        <f>SUM(I19:L19)</f>
        <v>129379.76</v>
      </c>
      <c r="N19" s="623">
        <f>I19-D19</f>
        <v>37360.19</v>
      </c>
      <c r="O19" s="632">
        <f>J19-E19</f>
        <v>95.039999999999793</v>
      </c>
      <c r="P19" s="623">
        <f>K19-F19</f>
        <v>-129.01</v>
      </c>
      <c r="Q19" s="622"/>
      <c r="R19" s="624">
        <f>SUM(N19:Q19)</f>
        <v>37326.22</v>
      </c>
      <c r="S19" s="625" t="s">
        <v>8088</v>
      </c>
    </row>
    <row r="20" spans="1:19" ht="44.1" customHeight="1" x14ac:dyDescent="0.2">
      <c r="A20" s="626"/>
      <c r="B20" s="1675" t="s">
        <v>6467</v>
      </c>
      <c r="C20" s="1676"/>
      <c r="D20" s="627">
        <f>D19</f>
        <v>78058.03</v>
      </c>
      <c r="E20" s="627">
        <f>E19</f>
        <v>965.57</v>
      </c>
      <c r="F20" s="627">
        <f>F19</f>
        <v>13029.94</v>
      </c>
      <c r="G20" s="627">
        <f t="shared" ref="G20" si="2">G19</f>
        <v>0</v>
      </c>
      <c r="H20" s="627">
        <f>SUM(H19)</f>
        <v>92053.54</v>
      </c>
      <c r="I20" s="627">
        <f>I19</f>
        <v>115418.22</v>
      </c>
      <c r="J20" s="627">
        <f>J19</f>
        <v>1060.6099999999999</v>
      </c>
      <c r="K20" s="627">
        <f>K19</f>
        <v>12900.93</v>
      </c>
      <c r="L20" s="627">
        <f t="shared" ref="L20" si="3">L19</f>
        <v>0</v>
      </c>
      <c r="M20" s="627">
        <f>SUM(M19)</f>
        <v>129379.76</v>
      </c>
      <c r="N20" s="627">
        <f>N19</f>
        <v>37360.19</v>
      </c>
      <c r="O20" s="627">
        <f>O19</f>
        <v>95.04</v>
      </c>
      <c r="P20" s="627">
        <f>P19</f>
        <v>-129.01</v>
      </c>
      <c r="Q20" s="627">
        <f t="shared" ref="Q20" si="4">Q19</f>
        <v>0</v>
      </c>
      <c r="R20" s="628">
        <f>SUM(R19)</f>
        <v>37326.22</v>
      </c>
      <c r="S20" s="629"/>
    </row>
    <row r="21" spans="1:19" x14ac:dyDescent="0.2">
      <c r="A21" s="1680" t="s">
        <v>6468</v>
      </c>
      <c r="B21" s="1681"/>
      <c r="C21" s="1681"/>
      <c r="D21" s="1681"/>
      <c r="E21" s="1681"/>
      <c r="F21" s="1681"/>
      <c r="G21" s="1681"/>
      <c r="H21" s="1681"/>
      <c r="I21" s="612"/>
      <c r="J21" s="612"/>
      <c r="K21" s="612"/>
      <c r="L21" s="612"/>
      <c r="M21" s="612"/>
      <c r="N21" s="612"/>
      <c r="O21" s="612"/>
      <c r="P21" s="612"/>
      <c r="Q21" s="612"/>
      <c r="R21" s="612"/>
      <c r="S21" s="629"/>
    </row>
    <row r="22" spans="1:19" ht="36" x14ac:dyDescent="0.2">
      <c r="A22" s="630">
        <v>6</v>
      </c>
      <c r="B22" s="631" t="s">
        <v>6469</v>
      </c>
      <c r="C22" s="631" t="s">
        <v>31</v>
      </c>
      <c r="D22" s="623">
        <v>6254.67</v>
      </c>
      <c r="E22" s="623">
        <v>2171.79</v>
      </c>
      <c r="F22" s="623">
        <v>10941.15</v>
      </c>
      <c r="G22" s="622"/>
      <c r="H22" s="623">
        <f>SUM(D22:G22)</f>
        <v>19367.61</v>
      </c>
      <c r="I22" s="465">
        <v>6547.52</v>
      </c>
      <c r="J22" s="465">
        <v>2171.39</v>
      </c>
      <c r="K22" s="465">
        <v>10884.95</v>
      </c>
      <c r="L22" s="622"/>
      <c r="M22" s="623">
        <f>SUM(I22:L22)</f>
        <v>19603.86</v>
      </c>
      <c r="N22" s="623">
        <f>I22-D22</f>
        <v>292.85000000000002</v>
      </c>
      <c r="O22" s="623">
        <f>J22-E22</f>
        <v>-0.4</v>
      </c>
      <c r="P22" s="623">
        <f>J22-E22</f>
        <v>-0.4</v>
      </c>
      <c r="Q22" s="622"/>
      <c r="R22" s="624">
        <f>SUM(N22:Q22)</f>
        <v>292.05</v>
      </c>
      <c r="S22" s="625" t="s">
        <v>8088</v>
      </c>
    </row>
    <row r="23" spans="1:19" ht="36" x14ac:dyDescent="0.2">
      <c r="A23" s="630">
        <v>7</v>
      </c>
      <c r="B23" s="631" t="s">
        <v>6470</v>
      </c>
      <c r="C23" s="631" t="s">
        <v>55</v>
      </c>
      <c r="D23" s="623">
        <v>3141.43</v>
      </c>
      <c r="E23" s="622">
        <v>507.68</v>
      </c>
      <c r="F23" s="622">
        <v>398.96</v>
      </c>
      <c r="G23" s="622"/>
      <c r="H23" s="623">
        <f>SUM(D23:G23)</f>
        <v>4048.07</v>
      </c>
      <c r="I23" s="465">
        <v>3171.98</v>
      </c>
      <c r="J23" s="466">
        <v>486.81</v>
      </c>
      <c r="K23" s="466">
        <v>398.96</v>
      </c>
      <c r="L23" s="622"/>
      <c r="M23" s="623">
        <f>SUM(I23:L23)</f>
        <v>4057.75</v>
      </c>
      <c r="N23" s="623">
        <f t="shared" ref="N23:O25" si="5">I23-D23</f>
        <v>30.55</v>
      </c>
      <c r="O23" s="623">
        <f t="shared" si="5"/>
        <v>-20.87</v>
      </c>
      <c r="P23" s="623">
        <f t="shared" ref="P23:P25" si="6">J23-E23</f>
        <v>-20.87</v>
      </c>
      <c r="Q23" s="622"/>
      <c r="R23" s="624">
        <f>SUM(N23:Q23)</f>
        <v>-11.19</v>
      </c>
      <c r="S23" s="625" t="s">
        <v>8088</v>
      </c>
    </row>
    <row r="24" spans="1:19" ht="36" x14ac:dyDescent="0.2">
      <c r="A24" s="630">
        <v>8</v>
      </c>
      <c r="B24" s="631" t="s">
        <v>6471</v>
      </c>
      <c r="C24" s="631" t="s">
        <v>61</v>
      </c>
      <c r="D24" s="623">
        <v>1048.6400000000001</v>
      </c>
      <c r="E24" s="623">
        <v>414.64</v>
      </c>
      <c r="F24" s="623">
        <v>2898.18</v>
      </c>
      <c r="G24" s="622"/>
      <c r="H24" s="623">
        <f>SUM(D24:G24)</f>
        <v>4361.46</v>
      </c>
      <c r="I24" s="465">
        <v>1048.6300000000001</v>
      </c>
      <c r="J24" s="465">
        <v>414.71</v>
      </c>
      <c r="K24" s="465">
        <v>2859.2</v>
      </c>
      <c r="L24" s="622"/>
      <c r="M24" s="623">
        <f>SUM(I24:L24)</f>
        <v>4322.54</v>
      </c>
      <c r="N24" s="623">
        <f t="shared" si="5"/>
        <v>-0.01</v>
      </c>
      <c r="O24" s="623">
        <f t="shared" si="5"/>
        <v>7.0000000000000007E-2</v>
      </c>
      <c r="P24" s="623">
        <f t="shared" si="6"/>
        <v>7.0000000000000007E-2</v>
      </c>
      <c r="Q24" s="622"/>
      <c r="R24" s="624">
        <f>SUM(N24:Q24)</f>
        <v>0.13</v>
      </c>
      <c r="S24" s="625" t="s">
        <v>8088</v>
      </c>
    </row>
    <row r="25" spans="1:19" ht="12.75" x14ac:dyDescent="0.2">
      <c r="A25" s="630">
        <v>9</v>
      </c>
      <c r="B25" s="631" t="s">
        <v>6472</v>
      </c>
      <c r="C25" s="631" t="s">
        <v>3591</v>
      </c>
      <c r="D25" s="623">
        <v>339.23</v>
      </c>
      <c r="E25" s="622"/>
      <c r="F25" s="622"/>
      <c r="G25" s="622"/>
      <c r="H25" s="623">
        <f>SUM(D25:G25)</f>
        <v>339.23</v>
      </c>
      <c r="I25" s="465">
        <v>339.23</v>
      </c>
      <c r="J25" s="466"/>
      <c r="K25" s="466"/>
      <c r="L25" s="622"/>
      <c r="M25" s="623">
        <f>SUM(I25:L25)</f>
        <v>339.23</v>
      </c>
      <c r="N25" s="623">
        <f t="shared" si="5"/>
        <v>0</v>
      </c>
      <c r="O25" s="623">
        <f t="shared" si="5"/>
        <v>0</v>
      </c>
      <c r="P25" s="623">
        <f t="shared" si="6"/>
        <v>0</v>
      </c>
      <c r="Q25" s="622"/>
      <c r="R25" s="624">
        <f>SUM(N25:Q25)</f>
        <v>0</v>
      </c>
      <c r="S25" s="629"/>
    </row>
    <row r="26" spans="1:19" ht="44.1" customHeight="1" x14ac:dyDescent="0.2">
      <c r="A26" s="626"/>
      <c r="B26" s="1675" t="s">
        <v>6473</v>
      </c>
      <c r="C26" s="1676"/>
      <c r="D26" s="627">
        <f t="shared" ref="D26:R26" si="7">SUM(D22:D25)</f>
        <v>10783.97</v>
      </c>
      <c r="E26" s="627">
        <f t="shared" si="7"/>
        <v>3094.11</v>
      </c>
      <c r="F26" s="627">
        <f t="shared" si="7"/>
        <v>14238.29</v>
      </c>
      <c r="G26" s="627">
        <f t="shared" si="7"/>
        <v>0</v>
      </c>
      <c r="H26" s="627">
        <f t="shared" si="7"/>
        <v>28116.37</v>
      </c>
      <c r="I26" s="627">
        <f t="shared" si="7"/>
        <v>11107.36</v>
      </c>
      <c r="J26" s="627">
        <f t="shared" si="7"/>
        <v>3072.91</v>
      </c>
      <c r="K26" s="627">
        <f t="shared" si="7"/>
        <v>14143.11</v>
      </c>
      <c r="L26" s="627">
        <f t="shared" si="7"/>
        <v>0</v>
      </c>
      <c r="M26" s="627">
        <f t="shared" si="7"/>
        <v>28323.38</v>
      </c>
      <c r="N26" s="627">
        <f t="shared" si="7"/>
        <v>323.39</v>
      </c>
      <c r="O26" s="627">
        <f t="shared" si="7"/>
        <v>-21.2</v>
      </c>
      <c r="P26" s="627">
        <f t="shared" si="7"/>
        <v>-21.2</v>
      </c>
      <c r="Q26" s="627">
        <f t="shared" si="7"/>
        <v>0</v>
      </c>
      <c r="R26" s="628">
        <f t="shared" si="7"/>
        <v>280.99</v>
      </c>
      <c r="S26" s="629"/>
    </row>
    <row r="27" spans="1:19" x14ac:dyDescent="0.2">
      <c r="A27" s="1680" t="s">
        <v>6474</v>
      </c>
      <c r="B27" s="1681"/>
      <c r="C27" s="1681"/>
      <c r="D27" s="1681"/>
      <c r="E27" s="1681"/>
      <c r="F27" s="1681"/>
      <c r="G27" s="1681"/>
      <c r="H27" s="1681"/>
      <c r="I27" s="612"/>
      <c r="J27" s="612"/>
      <c r="K27" s="612"/>
      <c r="L27" s="612"/>
      <c r="M27" s="612"/>
      <c r="N27" s="612"/>
      <c r="O27" s="612"/>
      <c r="P27" s="612"/>
      <c r="Q27" s="612"/>
      <c r="R27" s="612"/>
      <c r="S27" s="629"/>
    </row>
    <row r="28" spans="1:19" ht="36" x14ac:dyDescent="0.2">
      <c r="A28" s="630">
        <v>10</v>
      </c>
      <c r="B28" s="631" t="s">
        <v>6475</v>
      </c>
      <c r="C28" s="631" t="s">
        <v>6476</v>
      </c>
      <c r="D28" s="623">
        <v>204.14</v>
      </c>
      <c r="E28" s="623">
        <v>10.74</v>
      </c>
      <c r="F28" s="623">
        <v>7032.8</v>
      </c>
      <c r="G28" s="622"/>
      <c r="H28" s="623">
        <f>SUM(D28:G28)</f>
        <v>7247.68</v>
      </c>
      <c r="I28" s="465">
        <v>794.5</v>
      </c>
      <c r="J28" s="465">
        <v>397.37</v>
      </c>
      <c r="K28" s="465">
        <v>7021.78</v>
      </c>
      <c r="L28" s="622"/>
      <c r="M28" s="623">
        <f>SUM(I28:L28)</f>
        <v>8213.65</v>
      </c>
      <c r="N28" s="623">
        <f t="shared" ref="N28:P29" si="8">I28-D28</f>
        <v>590.36</v>
      </c>
      <c r="O28" s="623">
        <f t="shared" si="8"/>
        <v>386.63</v>
      </c>
      <c r="P28" s="623">
        <f t="shared" si="8"/>
        <v>-11.02</v>
      </c>
      <c r="Q28" s="622"/>
      <c r="R28" s="624">
        <f>SUM(N28:Q28)</f>
        <v>965.97</v>
      </c>
      <c r="S28" s="625" t="s">
        <v>8086</v>
      </c>
    </row>
    <row r="29" spans="1:19" ht="24" x14ac:dyDescent="0.2">
      <c r="A29" s="630">
        <v>11</v>
      </c>
      <c r="B29" s="1095" t="s">
        <v>8093</v>
      </c>
      <c r="C29" s="464" t="s">
        <v>8094</v>
      </c>
      <c r="D29" s="629"/>
      <c r="E29" s="629"/>
      <c r="F29" s="629"/>
      <c r="G29" s="629"/>
      <c r="H29" s="623"/>
      <c r="I29" s="1096">
        <v>131.88999999999999</v>
      </c>
      <c r="J29" s="1096">
        <v>12649.77</v>
      </c>
      <c r="K29" s="465">
        <v>35619.54</v>
      </c>
      <c r="L29" s="466"/>
      <c r="M29" s="623">
        <f>SUM(I29:L29)</f>
        <v>48401.2</v>
      </c>
      <c r="N29" s="623">
        <f t="shared" si="8"/>
        <v>131.88999999999999</v>
      </c>
      <c r="O29" s="623">
        <f t="shared" si="8"/>
        <v>12649.77</v>
      </c>
      <c r="P29" s="623">
        <f t="shared" si="8"/>
        <v>35619.54</v>
      </c>
      <c r="Q29" s="622"/>
      <c r="R29" s="624">
        <f>SUM(N29:Q29)</f>
        <v>48401.2</v>
      </c>
      <c r="S29" s="625" t="s">
        <v>9622</v>
      </c>
    </row>
    <row r="30" spans="1:19" ht="44.1" customHeight="1" x14ac:dyDescent="0.2">
      <c r="A30" s="626"/>
      <c r="B30" s="1675" t="s">
        <v>6477</v>
      </c>
      <c r="C30" s="1676"/>
      <c r="D30" s="627">
        <f t="shared" ref="D30:Q30" si="9">SUM(D28)</f>
        <v>204.14</v>
      </c>
      <c r="E30" s="627">
        <f t="shared" si="9"/>
        <v>10.74</v>
      </c>
      <c r="F30" s="627">
        <f t="shared" si="9"/>
        <v>7032.8</v>
      </c>
      <c r="G30" s="627">
        <f t="shared" si="9"/>
        <v>0</v>
      </c>
      <c r="H30" s="627">
        <f t="shared" si="9"/>
        <v>7247.68</v>
      </c>
      <c r="I30" s="627">
        <f>SUM(I28:I29)</f>
        <v>926.39</v>
      </c>
      <c r="J30" s="627">
        <f t="shared" ref="J30:K30" si="10">SUM(J28:J29)</f>
        <v>13047.14</v>
      </c>
      <c r="K30" s="627">
        <f t="shared" si="10"/>
        <v>42641.32</v>
      </c>
      <c r="L30" s="627">
        <f t="shared" si="9"/>
        <v>0</v>
      </c>
      <c r="M30" s="627">
        <f>SUM(M28:M29)</f>
        <v>56614.85</v>
      </c>
      <c r="N30" s="627">
        <f>SUM(N28:N29)</f>
        <v>722.25</v>
      </c>
      <c r="O30" s="627">
        <f>SUM(O28:O29)</f>
        <v>13036.4</v>
      </c>
      <c r="P30" s="627">
        <f>SUM(P28:P29)</f>
        <v>35608.519999999997</v>
      </c>
      <c r="Q30" s="627">
        <f t="shared" si="9"/>
        <v>0</v>
      </c>
      <c r="R30" s="628">
        <f>SUM(R28:R29)</f>
        <v>49367.17</v>
      </c>
      <c r="S30" s="629"/>
    </row>
    <row r="31" spans="1:19" x14ac:dyDescent="0.2">
      <c r="A31" s="1680" t="s">
        <v>6478</v>
      </c>
      <c r="B31" s="1681"/>
      <c r="C31" s="1681"/>
      <c r="D31" s="1681"/>
      <c r="E31" s="1681"/>
      <c r="F31" s="1681"/>
      <c r="G31" s="1681"/>
      <c r="H31" s="1681"/>
      <c r="I31" s="612"/>
      <c r="J31" s="612"/>
      <c r="K31" s="612"/>
      <c r="L31" s="612"/>
      <c r="M31" s="612"/>
      <c r="N31" s="612"/>
      <c r="O31" s="612"/>
      <c r="P31" s="612"/>
      <c r="Q31" s="612"/>
      <c r="R31" s="612"/>
      <c r="S31" s="629"/>
    </row>
    <row r="32" spans="1:19" ht="36" x14ac:dyDescent="0.2">
      <c r="A32" s="630">
        <v>12</v>
      </c>
      <c r="B32" s="631" t="s">
        <v>6479</v>
      </c>
      <c r="C32" s="631" t="s">
        <v>3771</v>
      </c>
      <c r="D32" s="623">
        <v>4960.79</v>
      </c>
      <c r="E32" s="623">
        <v>512.44000000000005</v>
      </c>
      <c r="F32" s="622">
        <v>11.28</v>
      </c>
      <c r="G32" s="622"/>
      <c r="H32" s="623">
        <f>SUM(D32:G32)</f>
        <v>5484.51</v>
      </c>
      <c r="I32" s="465">
        <v>4987.76</v>
      </c>
      <c r="J32" s="465">
        <v>698.71</v>
      </c>
      <c r="K32" s="466">
        <v>11.28</v>
      </c>
      <c r="L32" s="622"/>
      <c r="M32" s="623">
        <f>SUM(I32:L32)</f>
        <v>5697.75</v>
      </c>
      <c r="N32" s="623">
        <f t="shared" ref="N32:P34" si="11">I32-D32</f>
        <v>26.97</v>
      </c>
      <c r="O32" s="623">
        <f t="shared" si="11"/>
        <v>186.27</v>
      </c>
      <c r="P32" s="622">
        <f t="shared" si="11"/>
        <v>0</v>
      </c>
      <c r="Q32" s="622"/>
      <c r="R32" s="624">
        <f>SUM(N32:Q32)</f>
        <v>213.24</v>
      </c>
      <c r="S32" s="625" t="s">
        <v>8088</v>
      </c>
    </row>
    <row r="33" spans="1:19" ht="36" x14ac:dyDescent="0.2">
      <c r="A33" s="630">
        <v>13</v>
      </c>
      <c r="B33" s="631" t="s">
        <v>6480</v>
      </c>
      <c r="C33" s="631" t="s">
        <v>71</v>
      </c>
      <c r="D33" s="623">
        <v>994.54</v>
      </c>
      <c r="E33" s="622">
        <v>303.45</v>
      </c>
      <c r="F33" s="622">
        <v>331.36</v>
      </c>
      <c r="G33" s="622"/>
      <c r="H33" s="623">
        <f>SUM(D33:G33)</f>
        <v>1629.35</v>
      </c>
      <c r="I33" s="465">
        <v>994.54</v>
      </c>
      <c r="J33" s="466">
        <v>303.69</v>
      </c>
      <c r="K33" s="466">
        <v>333.12</v>
      </c>
      <c r="L33" s="622"/>
      <c r="M33" s="623">
        <f>SUM(I33:L33)</f>
        <v>1631.35</v>
      </c>
      <c r="N33" s="623">
        <f t="shared" si="11"/>
        <v>0</v>
      </c>
      <c r="O33" s="623">
        <f t="shared" si="11"/>
        <v>0.24</v>
      </c>
      <c r="P33" s="622">
        <f t="shared" si="11"/>
        <v>1.76</v>
      </c>
      <c r="Q33" s="622"/>
      <c r="R33" s="624">
        <f>SUM(N33:Q33)</f>
        <v>2</v>
      </c>
      <c r="S33" s="625" t="s">
        <v>8088</v>
      </c>
    </row>
    <row r="34" spans="1:19" ht="36" x14ac:dyDescent="0.2">
      <c r="A34" s="630">
        <v>14</v>
      </c>
      <c r="B34" s="631" t="s">
        <v>6481</v>
      </c>
      <c r="C34" s="631" t="s">
        <v>4060</v>
      </c>
      <c r="D34" s="623">
        <v>27054.41</v>
      </c>
      <c r="E34" s="622"/>
      <c r="F34" s="622"/>
      <c r="G34" s="622"/>
      <c r="H34" s="623">
        <f>SUM(D34:G34)</f>
        <v>27054.41</v>
      </c>
      <c r="I34" s="465">
        <v>29649.71</v>
      </c>
      <c r="J34" s="466"/>
      <c r="K34" s="466"/>
      <c r="L34" s="622"/>
      <c r="M34" s="623">
        <f>SUM(I34:L34)</f>
        <v>29649.71</v>
      </c>
      <c r="N34" s="623">
        <f>I34-D34</f>
        <v>2595.3000000000002</v>
      </c>
      <c r="O34" s="623">
        <f t="shared" si="11"/>
        <v>0</v>
      </c>
      <c r="P34" s="623">
        <f t="shared" si="11"/>
        <v>0</v>
      </c>
      <c r="Q34" s="622"/>
      <c r="R34" s="624">
        <f>SUM(N34:Q34)</f>
        <v>2595.3000000000002</v>
      </c>
      <c r="S34" s="625" t="s">
        <v>8086</v>
      </c>
    </row>
    <row r="35" spans="1:19" ht="44.1" customHeight="1" x14ac:dyDescent="0.2">
      <c r="A35" s="626"/>
      <c r="B35" s="1675" t="s">
        <v>6482</v>
      </c>
      <c r="C35" s="1676"/>
      <c r="D35" s="627">
        <f>SUM(D32:D34)</f>
        <v>33009.74</v>
      </c>
      <c r="E35" s="627">
        <f>SUM(E32:E34)</f>
        <v>815.89</v>
      </c>
      <c r="F35" s="627">
        <f>SUM(F32:F34)</f>
        <v>342.64</v>
      </c>
      <c r="G35" s="627">
        <f t="shared" ref="G35" si="12">SUM(G32:G33)</f>
        <v>0</v>
      </c>
      <c r="H35" s="627">
        <f>SUM(H32:H34)</f>
        <v>34168.269999999997</v>
      </c>
      <c r="I35" s="627">
        <f>SUM(I32:I34)</f>
        <v>35632.01</v>
      </c>
      <c r="J35" s="627">
        <f>SUM(J32:J34)</f>
        <v>1002.4</v>
      </c>
      <c r="K35" s="627">
        <f>SUM(K32:K34)</f>
        <v>344.4</v>
      </c>
      <c r="L35" s="627">
        <f t="shared" ref="L35" si="13">SUM(L32:L33)</f>
        <v>0</v>
      </c>
      <c r="M35" s="627">
        <f>SUM(M32:M34)</f>
        <v>36978.81</v>
      </c>
      <c r="N35" s="627">
        <f>SUM(N32:N34)</f>
        <v>2622.27</v>
      </c>
      <c r="O35" s="627">
        <f>SUM(O32:O34)</f>
        <v>186.51</v>
      </c>
      <c r="P35" s="627">
        <f>SUM(P32:P34)</f>
        <v>1.76</v>
      </c>
      <c r="Q35" s="627">
        <f t="shared" ref="Q35" si="14">SUM(Q32:Q33)</f>
        <v>0</v>
      </c>
      <c r="R35" s="628">
        <f>SUM(R32:R34)</f>
        <v>2810.54</v>
      </c>
      <c r="S35" s="629"/>
    </row>
    <row r="36" spans="1:19" x14ac:dyDescent="0.2">
      <c r="A36" s="1680" t="s">
        <v>6483</v>
      </c>
      <c r="B36" s="1681"/>
      <c r="C36" s="1681"/>
      <c r="D36" s="1681"/>
      <c r="E36" s="1681"/>
      <c r="F36" s="1681"/>
      <c r="G36" s="1681"/>
      <c r="H36" s="1681"/>
      <c r="I36" s="612"/>
      <c r="J36" s="612"/>
      <c r="K36" s="612"/>
      <c r="L36" s="612"/>
      <c r="M36" s="612"/>
      <c r="N36" s="612"/>
      <c r="O36" s="612"/>
      <c r="P36" s="612"/>
      <c r="Q36" s="612"/>
      <c r="R36" s="612"/>
      <c r="S36" s="629"/>
    </row>
    <row r="37" spans="1:19" ht="36" x14ac:dyDescent="0.2">
      <c r="A37" s="630">
        <v>15</v>
      </c>
      <c r="B37" s="631" t="s">
        <v>6484</v>
      </c>
      <c r="C37" s="631" t="s">
        <v>78</v>
      </c>
      <c r="D37" s="623">
        <v>3574.46</v>
      </c>
      <c r="E37" s="622"/>
      <c r="F37" s="622"/>
      <c r="G37" s="622"/>
      <c r="H37" s="623">
        <f>SUM(D37:G37)</f>
        <v>3574.46</v>
      </c>
      <c r="I37" s="465">
        <v>3708.21</v>
      </c>
      <c r="J37" s="466"/>
      <c r="K37" s="466"/>
      <c r="L37" s="622"/>
      <c r="M37" s="623">
        <f>SUM(I37:L37)</f>
        <v>3708.21</v>
      </c>
      <c r="N37" s="623">
        <f>I37-D37</f>
        <v>133.75</v>
      </c>
      <c r="O37" s="622">
        <f>J37-E37</f>
        <v>0</v>
      </c>
      <c r="P37" s="622">
        <f>K37-F37</f>
        <v>0</v>
      </c>
      <c r="Q37" s="622">
        <f>L37-G37</f>
        <v>0</v>
      </c>
      <c r="R37" s="622">
        <f>M37-H37</f>
        <v>133.75</v>
      </c>
      <c r="S37" s="625" t="s">
        <v>8088</v>
      </c>
    </row>
    <row r="38" spans="1:19" ht="36" x14ac:dyDescent="0.2">
      <c r="A38" s="630">
        <v>16</v>
      </c>
      <c r="B38" s="631" t="s">
        <v>6485</v>
      </c>
      <c r="C38" s="631" t="s">
        <v>79</v>
      </c>
      <c r="D38" s="623">
        <v>38670.129999999997</v>
      </c>
      <c r="E38" s="623">
        <v>125.76</v>
      </c>
      <c r="F38" s="623">
        <v>5050.25</v>
      </c>
      <c r="G38" s="622"/>
      <c r="H38" s="623">
        <f>SUM(D38:G38)</f>
        <v>43846.14</v>
      </c>
      <c r="I38" s="465">
        <v>38559.47</v>
      </c>
      <c r="J38" s="465">
        <v>125.76</v>
      </c>
      <c r="K38" s="465">
        <v>5050.25</v>
      </c>
      <c r="L38" s="622"/>
      <c r="M38" s="623">
        <f>SUM(I38:L38)</f>
        <v>43735.48</v>
      </c>
      <c r="N38" s="623">
        <f>I38-D38</f>
        <v>-110.66</v>
      </c>
      <c r="O38" s="622">
        <f>J38-E38</f>
        <v>0</v>
      </c>
      <c r="P38" s="622">
        <f>K38-F38</f>
        <v>0</v>
      </c>
      <c r="Q38" s="622">
        <f>L38-G38</f>
        <v>0</v>
      </c>
      <c r="R38" s="624">
        <f>SUM(N38:Q38)</f>
        <v>-110.66</v>
      </c>
      <c r="S38" s="625" t="s">
        <v>8088</v>
      </c>
    </row>
    <row r="39" spans="1:19" ht="66" customHeight="1" x14ac:dyDescent="0.2">
      <c r="A39" s="626"/>
      <c r="B39" s="1675" t="s">
        <v>6486</v>
      </c>
      <c r="C39" s="1676"/>
      <c r="D39" s="627">
        <f>SUM(D37:D38)</f>
        <v>42244.59</v>
      </c>
      <c r="E39" s="627">
        <f t="shared" ref="E39:G39" si="15">SUM(E37:E38)</f>
        <v>125.76</v>
      </c>
      <c r="F39" s="627">
        <f t="shared" si="15"/>
        <v>5050.25</v>
      </c>
      <c r="G39" s="627">
        <f t="shared" si="15"/>
        <v>0</v>
      </c>
      <c r="H39" s="627">
        <f>SUM(H37:H38)</f>
        <v>47420.6</v>
      </c>
      <c r="I39" s="627">
        <f>SUM(I37:I38)</f>
        <v>42267.68</v>
      </c>
      <c r="J39" s="627">
        <f t="shared" ref="J39:L39" si="16">SUM(J37:J38)</f>
        <v>125.76</v>
      </c>
      <c r="K39" s="627">
        <f t="shared" si="16"/>
        <v>5050.25</v>
      </c>
      <c r="L39" s="627">
        <f t="shared" si="16"/>
        <v>0</v>
      </c>
      <c r="M39" s="627">
        <f>SUM(M37:M38)</f>
        <v>47443.69</v>
      </c>
      <c r="N39" s="627">
        <f>SUM(N37:N38)</f>
        <v>23.09</v>
      </c>
      <c r="O39" s="627">
        <f t="shared" ref="O39:Q39" si="17">SUM(O37:O38)</f>
        <v>0</v>
      </c>
      <c r="P39" s="627">
        <f t="shared" si="17"/>
        <v>0</v>
      </c>
      <c r="Q39" s="627">
        <f t="shared" si="17"/>
        <v>0</v>
      </c>
      <c r="R39" s="628">
        <f>SUM(R37:R38)</f>
        <v>23.09</v>
      </c>
      <c r="S39" s="629"/>
    </row>
    <row r="40" spans="1:19" x14ac:dyDescent="0.2">
      <c r="A40" s="1680" t="s">
        <v>6487</v>
      </c>
      <c r="B40" s="1681"/>
      <c r="C40" s="1681"/>
      <c r="D40" s="1681"/>
      <c r="E40" s="1681"/>
      <c r="F40" s="1681"/>
      <c r="G40" s="1681"/>
      <c r="H40" s="1681"/>
      <c r="I40" s="612"/>
      <c r="J40" s="612"/>
      <c r="K40" s="612"/>
      <c r="L40" s="612"/>
      <c r="M40" s="612"/>
      <c r="N40" s="612"/>
      <c r="O40" s="612"/>
      <c r="P40" s="612"/>
      <c r="Q40" s="612"/>
      <c r="R40" s="612"/>
      <c r="S40" s="629"/>
    </row>
    <row r="41" spans="1:19" ht="36" x14ac:dyDescent="0.2">
      <c r="A41" s="630">
        <v>17</v>
      </c>
      <c r="B41" s="631" t="s">
        <v>6488</v>
      </c>
      <c r="C41" s="631" t="s">
        <v>90</v>
      </c>
      <c r="D41" s="623">
        <v>22672.86</v>
      </c>
      <c r="E41" s="622"/>
      <c r="F41" s="622"/>
      <c r="G41" s="622"/>
      <c r="H41" s="623">
        <f>SUM(D41:G41)</f>
        <v>22672.86</v>
      </c>
      <c r="I41" s="465">
        <v>22669.040000000001</v>
      </c>
      <c r="J41" s="466"/>
      <c r="K41" s="466"/>
      <c r="L41" s="622"/>
      <c r="M41" s="623">
        <f>SUM(I41:L41)</f>
        <v>22669.040000000001</v>
      </c>
      <c r="N41" s="623">
        <f>I41-D41</f>
        <v>-3.82</v>
      </c>
      <c r="O41" s="623">
        <f t="shared" ref="O41:R42" si="18">J41-E41</f>
        <v>0</v>
      </c>
      <c r="P41" s="623">
        <f t="shared" si="18"/>
        <v>0</v>
      </c>
      <c r="Q41" s="623">
        <f t="shared" si="18"/>
        <v>0</v>
      </c>
      <c r="R41" s="623">
        <f t="shared" si="18"/>
        <v>-3.82</v>
      </c>
      <c r="S41" s="625" t="s">
        <v>8086</v>
      </c>
    </row>
    <row r="42" spans="1:19" ht="36" x14ac:dyDescent="0.2">
      <c r="A42" s="630">
        <v>18</v>
      </c>
      <c r="B42" s="631" t="s">
        <v>6670</v>
      </c>
      <c r="C42" s="631" t="s">
        <v>100</v>
      </c>
      <c r="D42" s="623">
        <v>6057.29</v>
      </c>
      <c r="E42" s="622">
        <v>13882.38</v>
      </c>
      <c r="F42" s="622">
        <v>125.85</v>
      </c>
      <c r="G42" s="622"/>
      <c r="H42" s="623">
        <f>SUM(D42:G42)</f>
        <v>20065.52</v>
      </c>
      <c r="I42" s="465">
        <v>6099.75</v>
      </c>
      <c r="J42" s="466">
        <v>13979.24</v>
      </c>
      <c r="K42" s="466">
        <v>125.86</v>
      </c>
      <c r="L42" s="622"/>
      <c r="M42" s="623">
        <f>SUM(I42:L42)</f>
        <v>20204.849999999999</v>
      </c>
      <c r="N42" s="623">
        <f>I42-D42</f>
        <v>42.46</v>
      </c>
      <c r="O42" s="623">
        <f t="shared" si="18"/>
        <v>96.86</v>
      </c>
      <c r="P42" s="623">
        <f t="shared" si="18"/>
        <v>0.01</v>
      </c>
      <c r="Q42" s="623">
        <f t="shared" si="18"/>
        <v>0</v>
      </c>
      <c r="R42" s="624">
        <f>SUM(N42:Q42)</f>
        <v>139.33000000000001</v>
      </c>
      <c r="S42" s="625" t="s">
        <v>8086</v>
      </c>
    </row>
    <row r="43" spans="1:19" ht="44.1" customHeight="1" x14ac:dyDescent="0.2">
      <c r="A43" s="626"/>
      <c r="B43" s="1675" t="s">
        <v>6489</v>
      </c>
      <c r="C43" s="1676"/>
      <c r="D43" s="627">
        <f>SUM(D41:D42)</f>
        <v>28730.15</v>
      </c>
      <c r="E43" s="627">
        <f>SUM(E41:E42)</f>
        <v>13882.38</v>
      </c>
      <c r="F43" s="627">
        <f t="shared" ref="F43:G43" si="19">SUM(F41:F42)</f>
        <v>125.85</v>
      </c>
      <c r="G43" s="627">
        <f t="shared" si="19"/>
        <v>0</v>
      </c>
      <c r="H43" s="627">
        <f>SUM(H41:H42)</f>
        <v>42738.38</v>
      </c>
      <c r="I43" s="627">
        <f>SUM(I41:I42)</f>
        <v>28768.79</v>
      </c>
      <c r="J43" s="627">
        <f>SUM(J41:J42)</f>
        <v>13979.24</v>
      </c>
      <c r="K43" s="627">
        <f t="shared" ref="K43:L43" si="20">SUM(K41:K42)</f>
        <v>125.86</v>
      </c>
      <c r="L43" s="627">
        <f t="shared" si="20"/>
        <v>0</v>
      </c>
      <c r="M43" s="627">
        <f>SUM(M41:M42)</f>
        <v>42873.89</v>
      </c>
      <c r="N43" s="627">
        <f>SUM(N41:N42)</f>
        <v>38.64</v>
      </c>
      <c r="O43" s="627">
        <f>SUM(O41:O42)</f>
        <v>96.86</v>
      </c>
      <c r="P43" s="627">
        <f t="shared" ref="P43:Q43" si="21">SUM(P41:P42)</f>
        <v>0.01</v>
      </c>
      <c r="Q43" s="627">
        <f t="shared" si="21"/>
        <v>0</v>
      </c>
      <c r="R43" s="628">
        <f>SUM(R41:R42)</f>
        <v>135.51</v>
      </c>
      <c r="S43" s="629"/>
    </row>
    <row r="44" spans="1:19" x14ac:dyDescent="0.2">
      <c r="A44" s="626"/>
      <c r="B44" s="1675" t="s">
        <v>6490</v>
      </c>
      <c r="C44" s="1676"/>
      <c r="D44" s="627">
        <f t="shared" ref="D44:R44" si="22">D17++D20+D26+D30+D35+D39+D43</f>
        <v>194270.43</v>
      </c>
      <c r="E44" s="627">
        <f t="shared" si="22"/>
        <v>18894.45</v>
      </c>
      <c r="F44" s="627">
        <f t="shared" si="22"/>
        <v>39819.769999999997</v>
      </c>
      <c r="G44" s="627">
        <f t="shared" si="22"/>
        <v>64.209999999999994</v>
      </c>
      <c r="H44" s="627">
        <f t="shared" si="22"/>
        <v>253048.86</v>
      </c>
      <c r="I44" s="627">
        <f t="shared" si="22"/>
        <v>236798.52</v>
      </c>
      <c r="J44" s="627">
        <f t="shared" si="22"/>
        <v>32297.66</v>
      </c>
      <c r="K44" s="627">
        <f t="shared" si="22"/>
        <v>75205.87</v>
      </c>
      <c r="L44" s="627">
        <f t="shared" si="22"/>
        <v>149.44999999999999</v>
      </c>
      <c r="M44" s="627">
        <f t="shared" si="22"/>
        <v>344451.5</v>
      </c>
      <c r="N44" s="627">
        <f t="shared" si="22"/>
        <v>42528.09</v>
      </c>
      <c r="O44" s="627">
        <f t="shared" si="22"/>
        <v>13403.21</v>
      </c>
      <c r="P44" s="627">
        <f t="shared" si="22"/>
        <v>35460.080000000002</v>
      </c>
      <c r="Q44" s="627">
        <f t="shared" si="22"/>
        <v>85.24</v>
      </c>
      <c r="R44" s="628">
        <f t="shared" si="22"/>
        <v>91476.62</v>
      </c>
      <c r="S44" s="629"/>
    </row>
    <row r="45" spans="1:19" x14ac:dyDescent="0.2">
      <c r="A45" s="1680" t="s">
        <v>6491</v>
      </c>
      <c r="B45" s="1681"/>
      <c r="C45" s="1681"/>
      <c r="D45" s="1681"/>
      <c r="E45" s="1681"/>
      <c r="F45" s="1681"/>
      <c r="G45" s="1681"/>
      <c r="H45" s="1681"/>
      <c r="I45" s="612"/>
      <c r="J45" s="612"/>
      <c r="K45" s="612"/>
      <c r="L45" s="612"/>
      <c r="M45" s="612"/>
      <c r="N45" s="612"/>
      <c r="O45" s="612"/>
      <c r="P45" s="612"/>
      <c r="Q45" s="612"/>
      <c r="R45" s="612"/>
      <c r="S45" s="629"/>
    </row>
    <row r="46" spans="1:19" ht="84" x14ac:dyDescent="0.2">
      <c r="A46" s="630">
        <v>19</v>
      </c>
      <c r="B46" s="631" t="s">
        <v>6492</v>
      </c>
      <c r="C46" s="631" t="s">
        <v>6493</v>
      </c>
      <c r="D46" s="623">
        <f>ROUND(D44*3.1%,2)</f>
        <v>6022.38</v>
      </c>
      <c r="E46" s="623">
        <f>ROUND(E44*3.1%,2)</f>
        <v>585.73</v>
      </c>
      <c r="F46" s="622"/>
      <c r="G46" s="622"/>
      <c r="H46" s="623">
        <f>SUM(D46:G46)</f>
        <v>6608.11</v>
      </c>
      <c r="I46" s="623">
        <f>ROUND(I44*3.1%,2)</f>
        <v>7340.75</v>
      </c>
      <c r="J46" s="623">
        <f>ROUND(J44*3.1%,2)</f>
        <v>1001.23</v>
      </c>
      <c r="K46" s="622"/>
      <c r="L46" s="622"/>
      <c r="M46" s="623">
        <f>SUM(I46:L46)</f>
        <v>8341.98</v>
      </c>
      <c r="N46" s="623">
        <f>ROUND(N44*3.1%,2)</f>
        <v>1318.37</v>
      </c>
      <c r="O46" s="623">
        <f>ROUND(O44*3.1%,2)</f>
        <v>415.5</v>
      </c>
      <c r="P46" s="622"/>
      <c r="Q46" s="622"/>
      <c r="R46" s="624">
        <f>SUM(N46:Q46)</f>
        <v>1733.87</v>
      </c>
      <c r="S46" s="625" t="s">
        <v>8089</v>
      </c>
    </row>
    <row r="47" spans="1:19" ht="44.1" customHeight="1" x14ac:dyDescent="0.2">
      <c r="A47" s="626"/>
      <c r="B47" s="1675" t="s">
        <v>6494</v>
      </c>
      <c r="C47" s="1676"/>
      <c r="D47" s="623">
        <f>D46</f>
        <v>6022.38</v>
      </c>
      <c r="E47" s="623">
        <f>E46</f>
        <v>585.73</v>
      </c>
      <c r="F47" s="622"/>
      <c r="G47" s="622"/>
      <c r="H47" s="623">
        <f>H46</f>
        <v>6608.11</v>
      </c>
      <c r="I47" s="623">
        <f>I46</f>
        <v>7340.75</v>
      </c>
      <c r="J47" s="623">
        <f>J46</f>
        <v>1001.23</v>
      </c>
      <c r="K47" s="622"/>
      <c r="L47" s="622"/>
      <c r="M47" s="623">
        <f>M46</f>
        <v>8341.98</v>
      </c>
      <c r="N47" s="623">
        <f>N46:N46</f>
        <v>1318.37</v>
      </c>
      <c r="O47" s="623">
        <f>O46</f>
        <v>415.5</v>
      </c>
      <c r="P47" s="622"/>
      <c r="Q47" s="622"/>
      <c r="R47" s="624">
        <f>R46</f>
        <v>1733.87</v>
      </c>
      <c r="S47" s="625" t="s">
        <v>8089</v>
      </c>
    </row>
    <row r="48" spans="1:19" x14ac:dyDescent="0.2">
      <c r="A48" s="626"/>
      <c r="B48" s="1675" t="s">
        <v>6495</v>
      </c>
      <c r="C48" s="1676"/>
      <c r="D48" s="627">
        <f t="shared" ref="D48:R48" si="23">D47+D44</f>
        <v>200292.81</v>
      </c>
      <c r="E48" s="627">
        <f t="shared" si="23"/>
        <v>19480.18</v>
      </c>
      <c r="F48" s="627">
        <f t="shared" si="23"/>
        <v>39819.769999999997</v>
      </c>
      <c r="G48" s="627">
        <f t="shared" si="23"/>
        <v>64.209999999999994</v>
      </c>
      <c r="H48" s="627">
        <f t="shared" si="23"/>
        <v>259656.97</v>
      </c>
      <c r="I48" s="627">
        <f t="shared" si="23"/>
        <v>244139.27</v>
      </c>
      <c r="J48" s="627">
        <f t="shared" si="23"/>
        <v>33298.89</v>
      </c>
      <c r="K48" s="627">
        <f t="shared" si="23"/>
        <v>75205.87</v>
      </c>
      <c r="L48" s="627">
        <f t="shared" si="23"/>
        <v>149.44999999999999</v>
      </c>
      <c r="M48" s="627">
        <f t="shared" si="23"/>
        <v>352793.48</v>
      </c>
      <c r="N48" s="627">
        <f t="shared" si="23"/>
        <v>43846.46</v>
      </c>
      <c r="O48" s="627">
        <f t="shared" si="23"/>
        <v>13818.71</v>
      </c>
      <c r="P48" s="627">
        <f t="shared" si="23"/>
        <v>35460.080000000002</v>
      </c>
      <c r="Q48" s="627">
        <f t="shared" si="23"/>
        <v>85.24</v>
      </c>
      <c r="R48" s="628">
        <f t="shared" si="23"/>
        <v>93210.49</v>
      </c>
      <c r="S48" s="629"/>
    </row>
    <row r="49" spans="1:19" x14ac:dyDescent="0.2">
      <c r="A49" s="1680" t="s">
        <v>6496</v>
      </c>
      <c r="B49" s="1681"/>
      <c r="C49" s="1681"/>
      <c r="D49" s="1681"/>
      <c r="E49" s="1681"/>
      <c r="F49" s="1681"/>
      <c r="G49" s="1681"/>
      <c r="H49" s="1681"/>
      <c r="I49" s="612"/>
      <c r="J49" s="612"/>
      <c r="K49" s="612"/>
      <c r="L49" s="612"/>
      <c r="M49" s="612"/>
      <c r="N49" s="612"/>
      <c r="O49" s="612"/>
      <c r="P49" s="612"/>
      <c r="Q49" s="612"/>
      <c r="R49" s="612"/>
      <c r="S49" s="629"/>
    </row>
    <row r="50" spans="1:19" ht="24" x14ac:dyDescent="0.2">
      <c r="A50" s="630">
        <v>20</v>
      </c>
      <c r="B50" s="631" t="s">
        <v>6497</v>
      </c>
      <c r="C50" s="631" t="s">
        <v>6498</v>
      </c>
      <c r="D50" s="632">
        <f>ROUND(D48*0.5%,2)</f>
        <v>1001.46</v>
      </c>
      <c r="E50" s="632">
        <f>ROUND(E48*0.5%,2)</f>
        <v>97.4</v>
      </c>
      <c r="F50" s="633"/>
      <c r="G50" s="633"/>
      <c r="H50" s="632">
        <f>SUM(D50:G50)</f>
        <v>1098.8599999999999</v>
      </c>
      <c r="I50" s="632">
        <f>ROUND(I48*0.5%,2)</f>
        <v>1220.7</v>
      </c>
      <c r="J50" s="632">
        <f>ROUND(J48*0.5%,2)</f>
        <v>166.49</v>
      </c>
      <c r="K50" s="633"/>
      <c r="L50" s="633"/>
      <c r="M50" s="632">
        <f>SUM(I50:L50)</f>
        <v>1387.19</v>
      </c>
      <c r="N50" s="632">
        <f>ROUND(N48*0.5%,2)</f>
        <v>219.23</v>
      </c>
      <c r="O50" s="632">
        <f>ROUND(O48*0.5%,2)</f>
        <v>69.09</v>
      </c>
      <c r="P50" s="633"/>
      <c r="Q50" s="633"/>
      <c r="R50" s="634">
        <f>SUM(N50:Q50)</f>
        <v>288.32</v>
      </c>
      <c r="S50" s="625" t="s">
        <v>8090</v>
      </c>
    </row>
    <row r="51" spans="1:19" ht="25.5" x14ac:dyDescent="0.2">
      <c r="A51" s="630">
        <v>21</v>
      </c>
      <c r="B51" s="464" t="s">
        <v>6499</v>
      </c>
      <c r="C51" s="464" t="s">
        <v>101</v>
      </c>
      <c r="D51" s="633"/>
      <c r="E51" s="633"/>
      <c r="F51" s="633"/>
      <c r="G51" s="635">
        <v>1070.06</v>
      </c>
      <c r="H51" s="623">
        <f>G51</f>
        <v>1070.06</v>
      </c>
      <c r="I51" s="470"/>
      <c r="J51" s="470"/>
      <c r="K51" s="470"/>
      <c r="L51" s="471">
        <v>1070.06</v>
      </c>
      <c r="M51" s="623">
        <f>L51</f>
        <v>1070.06</v>
      </c>
      <c r="N51" s="622">
        <f>I51-D51</f>
        <v>0</v>
      </c>
      <c r="O51" s="622">
        <f t="shared" ref="O51:Q58" si="24">J51-E51</f>
        <v>0</v>
      </c>
      <c r="P51" s="622">
        <f t="shared" si="24"/>
        <v>0</v>
      </c>
      <c r="Q51" s="622">
        <f t="shared" si="24"/>
        <v>0</v>
      </c>
      <c r="R51" s="624">
        <f>Q51</f>
        <v>0</v>
      </c>
      <c r="S51" s="629"/>
    </row>
    <row r="52" spans="1:19" ht="25.5" x14ac:dyDescent="0.2">
      <c r="A52" s="630">
        <v>22</v>
      </c>
      <c r="B52" s="464" t="s">
        <v>6500</v>
      </c>
      <c r="C52" s="464" t="s">
        <v>102</v>
      </c>
      <c r="D52" s="622"/>
      <c r="E52" s="622"/>
      <c r="F52" s="622"/>
      <c r="G52" s="622">
        <v>34.799999999999997</v>
      </c>
      <c r="H52" s="623">
        <f>SUM(D52:G52)</f>
        <v>34.799999999999997</v>
      </c>
      <c r="I52" s="466"/>
      <c r="J52" s="466"/>
      <c r="K52" s="466"/>
      <c r="L52" s="466">
        <v>11.55</v>
      </c>
      <c r="M52" s="623">
        <f>SUM(I52:L52)</f>
        <v>11.55</v>
      </c>
      <c r="N52" s="622">
        <f t="shared" ref="N52:N58" si="25">I52-D52</f>
        <v>0</v>
      </c>
      <c r="O52" s="622">
        <f t="shared" si="24"/>
        <v>0</v>
      </c>
      <c r="P52" s="622">
        <f t="shared" si="24"/>
        <v>0</v>
      </c>
      <c r="Q52" s="622">
        <f t="shared" si="24"/>
        <v>-23.25</v>
      </c>
      <c r="R52" s="624">
        <f>SUM(N52:Q52)</f>
        <v>-23.25</v>
      </c>
      <c r="S52" s="625" t="s">
        <v>8087</v>
      </c>
    </row>
    <row r="53" spans="1:19" ht="36" x14ac:dyDescent="0.2">
      <c r="A53" s="630">
        <v>23</v>
      </c>
      <c r="B53" s="464" t="s">
        <v>6501</v>
      </c>
      <c r="C53" s="464" t="s">
        <v>103</v>
      </c>
      <c r="D53" s="622"/>
      <c r="E53" s="622"/>
      <c r="F53" s="622"/>
      <c r="G53" s="622">
        <v>2384.71</v>
      </c>
      <c r="H53" s="623">
        <f t="shared" ref="H53:H56" si="26">SUM(D53:G53)</f>
        <v>2384.71</v>
      </c>
      <c r="I53" s="466"/>
      <c r="J53" s="466"/>
      <c r="K53" s="466"/>
      <c r="L53" s="466">
        <v>12711.95</v>
      </c>
      <c r="M53" s="623">
        <f t="shared" ref="M53:M56" si="27">SUM(I53:L53)</f>
        <v>12711.95</v>
      </c>
      <c r="N53" s="622">
        <f t="shared" si="25"/>
        <v>0</v>
      </c>
      <c r="O53" s="622">
        <f t="shared" si="24"/>
        <v>0</v>
      </c>
      <c r="P53" s="622">
        <f t="shared" si="24"/>
        <v>0</v>
      </c>
      <c r="Q53" s="622">
        <f t="shared" si="24"/>
        <v>10327.24</v>
      </c>
      <c r="R53" s="624">
        <f t="shared" ref="R53:R56" si="28">SUM(N53:Q53)</f>
        <v>10327.24</v>
      </c>
      <c r="S53" s="636" t="s">
        <v>9623</v>
      </c>
    </row>
    <row r="54" spans="1:19" ht="25.5" x14ac:dyDescent="0.2">
      <c r="A54" s="630">
        <v>24</v>
      </c>
      <c r="B54" s="464" t="s">
        <v>6502</v>
      </c>
      <c r="C54" s="464" t="s">
        <v>104</v>
      </c>
      <c r="D54" s="622"/>
      <c r="E54" s="622"/>
      <c r="F54" s="622"/>
      <c r="G54" s="622">
        <v>85.89</v>
      </c>
      <c r="H54" s="623">
        <f t="shared" si="26"/>
        <v>85.89</v>
      </c>
      <c r="I54" s="466"/>
      <c r="J54" s="466"/>
      <c r="K54" s="466"/>
      <c r="L54" s="466">
        <v>68.709999999999994</v>
      </c>
      <c r="M54" s="623">
        <f t="shared" si="27"/>
        <v>68.709999999999994</v>
      </c>
      <c r="N54" s="622">
        <f t="shared" si="25"/>
        <v>0</v>
      </c>
      <c r="O54" s="622">
        <f t="shared" si="24"/>
        <v>0</v>
      </c>
      <c r="P54" s="622">
        <f t="shared" si="24"/>
        <v>0</v>
      </c>
      <c r="Q54" s="622">
        <f t="shared" si="24"/>
        <v>-17.18</v>
      </c>
      <c r="R54" s="624">
        <f t="shared" si="28"/>
        <v>-17.18</v>
      </c>
      <c r="S54" s="625" t="s">
        <v>8087</v>
      </c>
    </row>
    <row r="55" spans="1:19" ht="55.5" customHeight="1" x14ac:dyDescent="0.2">
      <c r="A55" s="630">
        <v>25</v>
      </c>
      <c r="B55" s="464" t="s">
        <v>6503</v>
      </c>
      <c r="C55" s="464" t="s">
        <v>110</v>
      </c>
      <c r="D55" s="622"/>
      <c r="E55" s="622"/>
      <c r="F55" s="622"/>
      <c r="G55" s="622">
        <v>1270.6400000000001</v>
      </c>
      <c r="H55" s="623">
        <f t="shared" si="26"/>
        <v>1270.6400000000001</v>
      </c>
      <c r="I55" s="466"/>
      <c r="J55" s="466"/>
      <c r="K55" s="466"/>
      <c r="L55" s="466">
        <v>627.80999999999995</v>
      </c>
      <c r="M55" s="623">
        <f t="shared" si="27"/>
        <v>627.80999999999995</v>
      </c>
      <c r="N55" s="622">
        <f t="shared" si="25"/>
        <v>0</v>
      </c>
      <c r="O55" s="622">
        <f t="shared" si="24"/>
        <v>0</v>
      </c>
      <c r="P55" s="622">
        <f t="shared" si="24"/>
        <v>0</v>
      </c>
      <c r="Q55" s="622">
        <f t="shared" si="24"/>
        <v>-642.83000000000004</v>
      </c>
      <c r="R55" s="624">
        <f t="shared" si="28"/>
        <v>-642.83000000000004</v>
      </c>
      <c r="S55" s="625" t="s">
        <v>8087</v>
      </c>
    </row>
    <row r="56" spans="1:19" ht="38.25" x14ac:dyDescent="0.2">
      <c r="A56" s="630">
        <v>26</v>
      </c>
      <c r="B56" s="464" t="s">
        <v>6504</v>
      </c>
      <c r="C56" s="472" t="s">
        <v>9240</v>
      </c>
      <c r="D56" s="622"/>
      <c r="E56" s="622"/>
      <c r="F56" s="622"/>
      <c r="G56" s="622">
        <f>29.94326/1.2</f>
        <v>24.95</v>
      </c>
      <c r="H56" s="623">
        <f t="shared" si="26"/>
        <v>24.95</v>
      </c>
      <c r="I56" s="466"/>
      <c r="J56" s="466"/>
      <c r="K56" s="466"/>
      <c r="L56" s="466">
        <v>24.95</v>
      </c>
      <c r="M56" s="623">
        <f t="shared" si="27"/>
        <v>24.95</v>
      </c>
      <c r="N56" s="622">
        <f t="shared" si="25"/>
        <v>0</v>
      </c>
      <c r="O56" s="622">
        <f t="shared" si="24"/>
        <v>0</v>
      </c>
      <c r="P56" s="622">
        <f t="shared" si="24"/>
        <v>0</v>
      </c>
      <c r="Q56" s="622">
        <f t="shared" si="24"/>
        <v>0</v>
      </c>
      <c r="R56" s="624">
        <f t="shared" si="28"/>
        <v>0</v>
      </c>
      <c r="S56" s="629"/>
    </row>
    <row r="57" spans="1:19" ht="25.5" x14ac:dyDescent="0.2">
      <c r="A57" s="630">
        <v>27</v>
      </c>
      <c r="B57" s="464" t="s">
        <v>6505</v>
      </c>
      <c r="C57" s="473" t="s">
        <v>113</v>
      </c>
      <c r="D57" s="622"/>
      <c r="E57" s="622"/>
      <c r="F57" s="622"/>
      <c r="G57" s="622">
        <v>207.86</v>
      </c>
      <c r="H57" s="623">
        <f>SUM(D57:G57)</f>
        <v>207.86</v>
      </c>
      <c r="I57" s="466"/>
      <c r="J57" s="466"/>
      <c r="K57" s="466"/>
      <c r="L57" s="466">
        <v>207.86</v>
      </c>
      <c r="M57" s="623">
        <f>SUM(I57:L57)</f>
        <v>207.86</v>
      </c>
      <c r="N57" s="622">
        <f t="shared" si="25"/>
        <v>0</v>
      </c>
      <c r="O57" s="622">
        <f t="shared" si="24"/>
        <v>0</v>
      </c>
      <c r="P57" s="622">
        <f t="shared" si="24"/>
        <v>0</v>
      </c>
      <c r="Q57" s="622">
        <f t="shared" si="24"/>
        <v>0</v>
      </c>
      <c r="R57" s="624">
        <f>SUM(N57:Q57)</f>
        <v>0</v>
      </c>
      <c r="S57" s="629"/>
    </row>
    <row r="58" spans="1:19" ht="48" x14ac:dyDescent="0.2">
      <c r="A58" s="630">
        <v>28</v>
      </c>
      <c r="B58" s="464" t="s">
        <v>9624</v>
      </c>
      <c r="C58" s="473" t="s">
        <v>9625</v>
      </c>
      <c r="D58" s="622"/>
      <c r="E58" s="622"/>
      <c r="F58" s="622"/>
      <c r="G58" s="622"/>
      <c r="H58" s="623"/>
      <c r="I58" s="466"/>
      <c r="J58" s="466"/>
      <c r="K58" s="466"/>
      <c r="L58" s="466">
        <v>500831.57</v>
      </c>
      <c r="M58" s="623">
        <f>SUM(I58:L58)</f>
        <v>500831.57</v>
      </c>
      <c r="N58" s="622">
        <f t="shared" si="25"/>
        <v>0</v>
      </c>
      <c r="O58" s="622">
        <f t="shared" si="24"/>
        <v>0</v>
      </c>
      <c r="P58" s="622">
        <f t="shared" si="24"/>
        <v>0</v>
      </c>
      <c r="Q58" s="622">
        <f t="shared" si="24"/>
        <v>500831.57</v>
      </c>
      <c r="R58" s="624">
        <f>SUM(N58:Q58)</f>
        <v>500831.57</v>
      </c>
      <c r="S58" s="625" t="s">
        <v>9626</v>
      </c>
    </row>
    <row r="59" spans="1:19" ht="44.1" customHeight="1" x14ac:dyDescent="0.2">
      <c r="A59" s="626"/>
      <c r="B59" s="1675" t="s">
        <v>6506</v>
      </c>
      <c r="C59" s="1676"/>
      <c r="D59" s="632">
        <f>SUM(D50:D57)</f>
        <v>1001.46</v>
      </c>
      <c r="E59" s="632">
        <f>SUM(E50:E57)</f>
        <v>97.4</v>
      </c>
      <c r="F59" s="632">
        <f>SUM(F50:F57)</f>
        <v>0</v>
      </c>
      <c r="G59" s="622">
        <f>SUM(G50:G57)</f>
        <v>5078.91</v>
      </c>
      <c r="H59" s="623">
        <f>SUM(D59:G59)</f>
        <v>6177.77</v>
      </c>
      <c r="I59" s="632">
        <f>SUM(I50:I58)</f>
        <v>1220.7</v>
      </c>
      <c r="J59" s="632">
        <f>SUM(J50:J58)</f>
        <v>166.49</v>
      </c>
      <c r="K59" s="632">
        <f>SUM(K50:K58)</f>
        <v>0</v>
      </c>
      <c r="L59" s="622">
        <f>SUM(L50:L58)</f>
        <v>515554.46</v>
      </c>
      <c r="M59" s="623">
        <f>SUM(I59:L59)</f>
        <v>516941.65</v>
      </c>
      <c r="N59" s="622">
        <f>I59-D59</f>
        <v>219.24</v>
      </c>
      <c r="O59" s="622">
        <f>J59-E59</f>
        <v>69.09</v>
      </c>
      <c r="P59" s="622">
        <f>K59-F59</f>
        <v>0</v>
      </c>
      <c r="Q59" s="622">
        <f>L59-G59</f>
        <v>510475.55</v>
      </c>
      <c r="R59" s="624">
        <f>SUM(N59:Q59)</f>
        <v>510763.88</v>
      </c>
      <c r="S59" s="629"/>
    </row>
    <row r="60" spans="1:19" x14ac:dyDescent="0.2">
      <c r="A60" s="626"/>
      <c r="B60" s="1675" t="s">
        <v>6507</v>
      </c>
      <c r="C60" s="1676"/>
      <c r="D60" s="627">
        <f t="shared" ref="D60:Q60" si="29">D59+D48</f>
        <v>201294.27</v>
      </c>
      <c r="E60" s="627">
        <f t="shared" si="29"/>
        <v>19577.580000000002</v>
      </c>
      <c r="F60" s="627">
        <f t="shared" si="29"/>
        <v>39819.769999999997</v>
      </c>
      <c r="G60" s="637">
        <f t="shared" si="29"/>
        <v>5143.12</v>
      </c>
      <c r="H60" s="637">
        <f t="shared" si="29"/>
        <v>265834.74</v>
      </c>
      <c r="I60" s="627">
        <f t="shared" si="29"/>
        <v>245359.97</v>
      </c>
      <c r="J60" s="627">
        <f t="shared" si="29"/>
        <v>33465.379999999997</v>
      </c>
      <c r="K60" s="627">
        <f t="shared" si="29"/>
        <v>75205.87</v>
      </c>
      <c r="L60" s="637">
        <f>L59+L48</f>
        <v>515703.91</v>
      </c>
      <c r="M60" s="637">
        <f t="shared" si="29"/>
        <v>869735.13</v>
      </c>
      <c r="N60" s="627">
        <f t="shared" si="29"/>
        <v>44065.7</v>
      </c>
      <c r="O60" s="627">
        <f t="shared" si="29"/>
        <v>13887.8</v>
      </c>
      <c r="P60" s="627">
        <f t="shared" si="29"/>
        <v>35460.080000000002</v>
      </c>
      <c r="Q60" s="637">
        <f t="shared" si="29"/>
        <v>510560.79</v>
      </c>
      <c r="R60" s="638">
        <f>R59+R48</f>
        <v>603974.37</v>
      </c>
      <c r="S60" s="629"/>
    </row>
    <row r="61" spans="1:19" x14ac:dyDescent="0.2">
      <c r="A61" s="1680" t="s">
        <v>6508</v>
      </c>
      <c r="B61" s="1681"/>
      <c r="C61" s="1681"/>
      <c r="D61" s="1681"/>
      <c r="E61" s="1681"/>
      <c r="F61" s="1681"/>
      <c r="G61" s="1681"/>
      <c r="H61" s="1681"/>
      <c r="I61" s="612"/>
      <c r="J61" s="612"/>
      <c r="K61" s="612"/>
      <c r="L61" s="612"/>
      <c r="M61" s="612"/>
      <c r="N61" s="612"/>
      <c r="O61" s="612"/>
      <c r="P61" s="612"/>
      <c r="Q61" s="612"/>
      <c r="R61" s="612"/>
      <c r="S61" s="629"/>
    </row>
    <row r="62" spans="1:19" ht="36" x14ac:dyDescent="0.2">
      <c r="A62" s="630">
        <v>29</v>
      </c>
      <c r="B62" s="631" t="s">
        <v>6509</v>
      </c>
      <c r="C62" s="631" t="s">
        <v>9627</v>
      </c>
      <c r="D62" s="622"/>
      <c r="E62" s="622"/>
      <c r="F62" s="622"/>
      <c r="G62" s="623">
        <f>ROUND((D60+E60+F60)*1.93%,2)</f>
        <v>5031.3500000000004</v>
      </c>
      <c r="H62" s="623">
        <f>SUM(D62:G62)</f>
        <v>5031.3500000000004</v>
      </c>
      <c r="I62" s="622"/>
      <c r="J62" s="622"/>
      <c r="K62" s="622"/>
      <c r="L62" s="623">
        <f>ROUND((I60+J60+K60)*1.61%,2)</f>
        <v>5699.9</v>
      </c>
      <c r="M62" s="623">
        <f>SUM(I62:L62)</f>
        <v>5699.9</v>
      </c>
      <c r="N62" s="622"/>
      <c r="O62" s="622"/>
      <c r="P62" s="622"/>
      <c r="Q62" s="623">
        <f>ROUND((N60+O60+P60)*1.93%,2)</f>
        <v>1802.88</v>
      </c>
      <c r="R62" s="624">
        <f>SUM(N62:Q62)</f>
        <v>1802.88</v>
      </c>
      <c r="S62" s="625" t="s">
        <v>9628</v>
      </c>
    </row>
    <row r="63" spans="1:19" ht="44.1" customHeight="1" x14ac:dyDescent="0.2">
      <c r="A63" s="626"/>
      <c r="B63" s="1675" t="s">
        <v>6510</v>
      </c>
      <c r="C63" s="1676"/>
      <c r="D63" s="622">
        <f t="shared" ref="D63:R63" si="30">D62</f>
        <v>0</v>
      </c>
      <c r="E63" s="622">
        <f t="shared" si="30"/>
        <v>0</v>
      </c>
      <c r="F63" s="622">
        <f t="shared" si="30"/>
        <v>0</v>
      </c>
      <c r="G63" s="622">
        <f t="shared" si="30"/>
        <v>5031.3500000000004</v>
      </c>
      <c r="H63" s="622">
        <f t="shared" si="30"/>
        <v>5031.3500000000004</v>
      </c>
      <c r="I63" s="622">
        <f t="shared" si="30"/>
        <v>0</v>
      </c>
      <c r="J63" s="622">
        <f t="shared" si="30"/>
        <v>0</v>
      </c>
      <c r="K63" s="622">
        <f t="shared" si="30"/>
        <v>0</v>
      </c>
      <c r="L63" s="622">
        <f t="shared" si="30"/>
        <v>5699.9</v>
      </c>
      <c r="M63" s="622">
        <f t="shared" si="30"/>
        <v>5699.9</v>
      </c>
      <c r="N63" s="622">
        <f t="shared" si="30"/>
        <v>0</v>
      </c>
      <c r="O63" s="622">
        <f t="shared" si="30"/>
        <v>0</v>
      </c>
      <c r="P63" s="622">
        <f t="shared" si="30"/>
        <v>0</v>
      </c>
      <c r="Q63" s="622">
        <f t="shared" si="30"/>
        <v>1802.88</v>
      </c>
      <c r="R63" s="639">
        <f t="shared" si="30"/>
        <v>1802.88</v>
      </c>
      <c r="S63" s="629"/>
    </row>
    <row r="64" spans="1:19" ht="70.5" customHeight="1" x14ac:dyDescent="0.2">
      <c r="A64" s="1680" t="s">
        <v>6511</v>
      </c>
      <c r="B64" s="1681"/>
      <c r="C64" s="1681"/>
      <c r="D64" s="1681"/>
      <c r="E64" s="1681"/>
      <c r="F64" s="1681"/>
      <c r="G64" s="1681"/>
      <c r="H64" s="1681"/>
      <c r="I64" s="612"/>
      <c r="J64" s="612"/>
      <c r="K64" s="612"/>
      <c r="L64" s="612"/>
      <c r="M64" s="612"/>
      <c r="N64" s="612"/>
      <c r="O64" s="612"/>
      <c r="P64" s="612"/>
      <c r="Q64" s="612"/>
      <c r="R64" s="612"/>
      <c r="S64" s="629"/>
    </row>
    <row r="65" spans="1:19" ht="24" x14ac:dyDescent="0.2">
      <c r="A65" s="630">
        <v>30</v>
      </c>
      <c r="B65" s="631" t="s">
        <v>6512</v>
      </c>
      <c r="C65" s="631" t="s">
        <v>116</v>
      </c>
      <c r="D65" s="633"/>
      <c r="E65" s="633"/>
      <c r="F65" s="633"/>
      <c r="G65" s="624">
        <v>8229.2199999999993</v>
      </c>
      <c r="H65" s="623">
        <f>SUM(D65:G65)</f>
        <v>8229.2199999999993</v>
      </c>
      <c r="I65" s="633"/>
      <c r="J65" s="633"/>
      <c r="K65" s="633"/>
      <c r="L65" s="475">
        <v>7654.29</v>
      </c>
      <c r="M65" s="623">
        <f>SUM(I65:L65)</f>
        <v>7654.29</v>
      </c>
      <c r="N65" s="633">
        <f>I65-D65</f>
        <v>0</v>
      </c>
      <c r="O65" s="633">
        <f t="shared" ref="O65:R73" si="31">J65-E65</f>
        <v>0</v>
      </c>
      <c r="P65" s="633">
        <f t="shared" si="31"/>
        <v>0</v>
      </c>
      <c r="Q65" s="622">
        <f t="shared" si="31"/>
        <v>-574.92999999999995</v>
      </c>
      <c r="R65" s="633">
        <f t="shared" si="31"/>
        <v>-574.92999999999904</v>
      </c>
      <c r="S65" s="625" t="s">
        <v>8087</v>
      </c>
    </row>
    <row r="66" spans="1:19" ht="24" x14ac:dyDescent="0.2">
      <c r="A66" s="630">
        <v>31</v>
      </c>
      <c r="B66" s="631" t="s">
        <v>6513</v>
      </c>
      <c r="C66" s="631" t="s">
        <v>118</v>
      </c>
      <c r="D66" s="633"/>
      <c r="E66" s="633"/>
      <c r="F66" s="633"/>
      <c r="G66" s="640">
        <v>8723.31</v>
      </c>
      <c r="H66" s="641">
        <f t="shared" ref="H66:H68" si="32">SUM(D66:G66)</f>
        <v>8723.31</v>
      </c>
      <c r="I66" s="633"/>
      <c r="J66" s="633"/>
      <c r="K66" s="633"/>
      <c r="L66" s="611">
        <v>10852.92</v>
      </c>
      <c r="M66" s="641">
        <f t="shared" ref="M66:M68" si="33">SUM(I66:L66)</f>
        <v>10852.92</v>
      </c>
      <c r="N66" s="633">
        <f t="shared" ref="N66:N73" si="34">I66-D66</f>
        <v>0</v>
      </c>
      <c r="O66" s="633">
        <f t="shared" si="31"/>
        <v>0</v>
      </c>
      <c r="P66" s="633">
        <f t="shared" si="31"/>
        <v>0</v>
      </c>
      <c r="Q66" s="622">
        <f t="shared" si="31"/>
        <v>2129.61</v>
      </c>
      <c r="R66" s="642">
        <f t="shared" ref="R66:R68" si="35">SUM(N66:Q66)</f>
        <v>2129.61</v>
      </c>
      <c r="S66" s="625" t="s">
        <v>9629</v>
      </c>
    </row>
    <row r="67" spans="1:19" ht="24" x14ac:dyDescent="0.2">
      <c r="A67" s="630">
        <v>32</v>
      </c>
      <c r="B67" s="631" t="s">
        <v>6514</v>
      </c>
      <c r="C67" s="631" t="s">
        <v>119</v>
      </c>
      <c r="D67" s="633"/>
      <c r="E67" s="633"/>
      <c r="F67" s="633"/>
      <c r="G67" s="624">
        <v>10163.61</v>
      </c>
      <c r="H67" s="641">
        <f t="shared" si="32"/>
        <v>10163.61</v>
      </c>
      <c r="I67" s="633"/>
      <c r="J67" s="633"/>
      <c r="K67" s="633"/>
      <c r="L67" s="475">
        <v>12820.83</v>
      </c>
      <c r="M67" s="641">
        <f t="shared" si="33"/>
        <v>12820.83</v>
      </c>
      <c r="N67" s="633">
        <f t="shared" si="34"/>
        <v>0</v>
      </c>
      <c r="O67" s="633">
        <f t="shared" si="31"/>
        <v>0</v>
      </c>
      <c r="P67" s="633">
        <f t="shared" si="31"/>
        <v>0</v>
      </c>
      <c r="Q67" s="622">
        <f t="shared" si="31"/>
        <v>2657.22</v>
      </c>
      <c r="R67" s="642">
        <f t="shared" si="35"/>
        <v>2657.22</v>
      </c>
      <c r="S67" s="625" t="s">
        <v>9629</v>
      </c>
    </row>
    <row r="68" spans="1:19" ht="60" x14ac:dyDescent="0.2">
      <c r="A68" s="630">
        <v>33</v>
      </c>
      <c r="B68" s="631" t="s">
        <v>6515</v>
      </c>
      <c r="C68" s="631" t="s">
        <v>121</v>
      </c>
      <c r="D68" s="633"/>
      <c r="E68" s="633"/>
      <c r="F68" s="633"/>
      <c r="G68" s="624">
        <v>2299.5500000000002</v>
      </c>
      <c r="H68" s="622">
        <f t="shared" si="32"/>
        <v>2299.5500000000002</v>
      </c>
      <c r="I68" s="633"/>
      <c r="J68" s="633"/>
      <c r="K68" s="633"/>
      <c r="L68" s="475">
        <v>2029.11</v>
      </c>
      <c r="M68" s="622">
        <f t="shared" si="33"/>
        <v>2029.11</v>
      </c>
      <c r="N68" s="633">
        <f t="shared" si="34"/>
        <v>0</v>
      </c>
      <c r="O68" s="633">
        <f t="shared" si="31"/>
        <v>0</v>
      </c>
      <c r="P68" s="633">
        <f t="shared" si="31"/>
        <v>0</v>
      </c>
      <c r="Q68" s="622">
        <f t="shared" si="31"/>
        <v>-270.44</v>
      </c>
      <c r="R68" s="639">
        <f t="shared" si="35"/>
        <v>-270.44</v>
      </c>
      <c r="S68" s="625" t="s">
        <v>8087</v>
      </c>
    </row>
    <row r="69" spans="1:19" ht="36" x14ac:dyDescent="0.2">
      <c r="A69" s="630">
        <v>34</v>
      </c>
      <c r="B69" s="643" t="s">
        <v>6516</v>
      </c>
      <c r="C69" s="631" t="s">
        <v>6517</v>
      </c>
      <c r="D69" s="633"/>
      <c r="E69" s="633"/>
      <c r="F69" s="633"/>
      <c r="G69" s="623">
        <f>ROUND(H60*0.2%,2)</f>
        <v>531.66999999999996</v>
      </c>
      <c r="H69" s="623">
        <f>SUM(D69:G69)</f>
        <v>531.66999999999996</v>
      </c>
      <c r="I69" s="633"/>
      <c r="J69" s="633"/>
      <c r="K69" s="633"/>
      <c r="L69" s="465">
        <f>ROUND(M60*0.2%,2)</f>
        <v>1739.47</v>
      </c>
      <c r="M69" s="623">
        <f>SUM(I69:L69)</f>
        <v>1739.47</v>
      </c>
      <c r="N69" s="633">
        <f t="shared" si="34"/>
        <v>0</v>
      </c>
      <c r="O69" s="633">
        <f t="shared" si="31"/>
        <v>0</v>
      </c>
      <c r="P69" s="633">
        <f t="shared" si="31"/>
        <v>0</v>
      </c>
      <c r="Q69" s="622">
        <f t="shared" si="31"/>
        <v>1207.8</v>
      </c>
      <c r="R69" s="624">
        <f>SUM(N69:Q69)</f>
        <v>1207.8</v>
      </c>
      <c r="S69" s="625" t="s">
        <v>9628</v>
      </c>
    </row>
    <row r="70" spans="1:19" ht="24" x14ac:dyDescent="0.2">
      <c r="A70" s="630">
        <v>35</v>
      </c>
      <c r="B70" s="644" t="s">
        <v>6518</v>
      </c>
      <c r="C70" s="631" t="s">
        <v>122</v>
      </c>
      <c r="D70" s="633"/>
      <c r="E70" s="633"/>
      <c r="F70" s="633"/>
      <c r="G70" s="623">
        <v>228.04</v>
      </c>
      <c r="H70" s="623">
        <f>SUM(D70:G70)</f>
        <v>228.04</v>
      </c>
      <c r="I70" s="633"/>
      <c r="J70" s="633"/>
      <c r="K70" s="633"/>
      <c r="L70" s="465">
        <v>228.04</v>
      </c>
      <c r="M70" s="623">
        <f>SUM(I70:L70)</f>
        <v>228.04</v>
      </c>
      <c r="N70" s="633">
        <f t="shared" si="34"/>
        <v>0</v>
      </c>
      <c r="O70" s="633">
        <f t="shared" si="31"/>
        <v>0</v>
      </c>
      <c r="P70" s="633">
        <f t="shared" si="31"/>
        <v>0</v>
      </c>
      <c r="Q70" s="622">
        <f t="shared" si="31"/>
        <v>0</v>
      </c>
      <c r="R70" s="624">
        <f>SUM(N70:Q70)</f>
        <v>0</v>
      </c>
      <c r="S70" s="629"/>
    </row>
    <row r="71" spans="1:19" ht="36" x14ac:dyDescent="0.2">
      <c r="A71" s="630">
        <v>36</v>
      </c>
      <c r="B71" s="644" t="s">
        <v>6519</v>
      </c>
      <c r="C71" s="631" t="s">
        <v>134</v>
      </c>
      <c r="D71" s="633"/>
      <c r="E71" s="633"/>
      <c r="F71" s="633"/>
      <c r="G71" s="623">
        <v>335.54</v>
      </c>
      <c r="H71" s="623">
        <f>SUM(D71:G71)</f>
        <v>335.54</v>
      </c>
      <c r="I71" s="633"/>
      <c r="J71" s="633"/>
      <c r="K71" s="633"/>
      <c r="L71" s="465">
        <v>335.54</v>
      </c>
      <c r="M71" s="623">
        <f>SUM(I71:L71)</f>
        <v>335.54</v>
      </c>
      <c r="N71" s="633">
        <f t="shared" si="34"/>
        <v>0</v>
      </c>
      <c r="O71" s="633">
        <f t="shared" si="31"/>
        <v>0</v>
      </c>
      <c r="P71" s="633">
        <f t="shared" si="31"/>
        <v>0</v>
      </c>
      <c r="Q71" s="622">
        <f t="shared" si="31"/>
        <v>0</v>
      </c>
      <c r="R71" s="624">
        <f>SUM(N71:Q71)</f>
        <v>0</v>
      </c>
      <c r="S71" s="629"/>
    </row>
    <row r="72" spans="1:19" ht="25.5" x14ac:dyDescent="0.2">
      <c r="A72" s="630">
        <v>37</v>
      </c>
      <c r="B72" s="477" t="s">
        <v>9630</v>
      </c>
      <c r="C72" s="464" t="s">
        <v>9631</v>
      </c>
      <c r="D72" s="633"/>
      <c r="E72" s="633"/>
      <c r="F72" s="633"/>
      <c r="G72" s="623"/>
      <c r="H72" s="623"/>
      <c r="I72" s="633"/>
      <c r="J72" s="633"/>
      <c r="K72" s="633"/>
      <c r="L72" s="465">
        <v>202.67</v>
      </c>
      <c r="M72" s="623">
        <f t="shared" ref="M72:M73" si="36">SUM(I72:L72)</f>
        <v>202.67</v>
      </c>
      <c r="N72" s="633">
        <f t="shared" si="34"/>
        <v>0</v>
      </c>
      <c r="O72" s="633">
        <f t="shared" si="31"/>
        <v>0</v>
      </c>
      <c r="P72" s="633">
        <f t="shared" si="31"/>
        <v>0</v>
      </c>
      <c r="Q72" s="622">
        <f t="shared" si="31"/>
        <v>202.67</v>
      </c>
      <c r="R72" s="624">
        <f t="shared" ref="R72:R73" si="37">SUM(N72:Q72)</f>
        <v>202.67</v>
      </c>
      <c r="S72" s="629" t="s">
        <v>9632</v>
      </c>
    </row>
    <row r="73" spans="1:19" ht="25.5" x14ac:dyDescent="0.2">
      <c r="A73" s="630">
        <v>38</v>
      </c>
      <c r="B73" s="477" t="s">
        <v>9633</v>
      </c>
      <c r="C73" s="464" t="s">
        <v>9634</v>
      </c>
      <c r="D73" s="633"/>
      <c r="E73" s="633"/>
      <c r="F73" s="633"/>
      <c r="G73" s="623"/>
      <c r="H73" s="623"/>
      <c r="I73" s="633"/>
      <c r="J73" s="633"/>
      <c r="K73" s="633"/>
      <c r="L73" s="465">
        <v>191.22</v>
      </c>
      <c r="M73" s="623">
        <f t="shared" si="36"/>
        <v>191.22</v>
      </c>
      <c r="N73" s="633">
        <f t="shared" si="34"/>
        <v>0</v>
      </c>
      <c r="O73" s="633">
        <f t="shared" si="31"/>
        <v>0</v>
      </c>
      <c r="P73" s="633">
        <f t="shared" si="31"/>
        <v>0</v>
      </c>
      <c r="Q73" s="633">
        <f t="shared" si="31"/>
        <v>191.22</v>
      </c>
      <c r="R73" s="624">
        <f t="shared" si="37"/>
        <v>191.22</v>
      </c>
      <c r="S73" s="629" t="s">
        <v>9635</v>
      </c>
    </row>
    <row r="74" spans="1:19" ht="118.5" customHeight="1" x14ac:dyDescent="0.2">
      <c r="A74" s="626"/>
      <c r="B74" s="1675" t="s">
        <v>6520</v>
      </c>
      <c r="C74" s="1676"/>
      <c r="D74" s="633"/>
      <c r="E74" s="633"/>
      <c r="F74" s="633"/>
      <c r="G74" s="623">
        <f>SUM(G65:G73)</f>
        <v>30510.94</v>
      </c>
      <c r="H74" s="623">
        <f>SUM(H65:H73)</f>
        <v>30510.94</v>
      </c>
      <c r="I74" s="633"/>
      <c r="J74" s="633"/>
      <c r="K74" s="633"/>
      <c r="L74" s="623">
        <f>SUM(L65:L73)</f>
        <v>36054.089999999997</v>
      </c>
      <c r="M74" s="623">
        <f>SUM(M65:M73)</f>
        <v>36054.089999999997</v>
      </c>
      <c r="N74" s="633"/>
      <c r="O74" s="633"/>
      <c r="P74" s="633"/>
      <c r="Q74" s="623">
        <f>SUM(Q65:Q73)</f>
        <v>5543.15</v>
      </c>
      <c r="R74" s="624">
        <f>SUM(R65:R73)</f>
        <v>5543.15</v>
      </c>
      <c r="S74" s="629"/>
    </row>
    <row r="75" spans="1:19" x14ac:dyDescent="0.2">
      <c r="A75" s="626"/>
      <c r="B75" s="1675" t="s">
        <v>6521</v>
      </c>
      <c r="C75" s="1676"/>
      <c r="D75" s="627">
        <f t="shared" ref="D75:R75" si="38">D60+D63+D74</f>
        <v>201294.27</v>
      </c>
      <c r="E75" s="627">
        <f t="shared" si="38"/>
        <v>19577.580000000002</v>
      </c>
      <c r="F75" s="627">
        <f t="shared" si="38"/>
        <v>39819.769999999997</v>
      </c>
      <c r="G75" s="627">
        <f>G60+G63+G74</f>
        <v>40685.410000000003</v>
      </c>
      <c r="H75" s="627">
        <f t="shared" si="38"/>
        <v>301377.03000000003</v>
      </c>
      <c r="I75" s="627">
        <f t="shared" si="38"/>
        <v>245359.97</v>
      </c>
      <c r="J75" s="627">
        <f t="shared" si="38"/>
        <v>33465.379999999997</v>
      </c>
      <c r="K75" s="627">
        <f t="shared" si="38"/>
        <v>75205.87</v>
      </c>
      <c r="L75" s="627">
        <f t="shared" si="38"/>
        <v>557457.9</v>
      </c>
      <c r="M75" s="627">
        <f t="shared" si="38"/>
        <v>911489.12</v>
      </c>
      <c r="N75" s="627">
        <f t="shared" si="38"/>
        <v>44065.7</v>
      </c>
      <c r="O75" s="627">
        <f t="shared" si="38"/>
        <v>13887.8</v>
      </c>
      <c r="P75" s="627">
        <f t="shared" si="38"/>
        <v>35460.080000000002</v>
      </c>
      <c r="Q75" s="627">
        <f>Q60+Q63+Q74</f>
        <v>517906.82</v>
      </c>
      <c r="R75" s="628">
        <f t="shared" si="38"/>
        <v>611320.4</v>
      </c>
      <c r="S75" s="629"/>
    </row>
    <row r="76" spans="1:19" x14ac:dyDescent="0.2">
      <c r="A76" s="1680" t="s">
        <v>6522</v>
      </c>
      <c r="B76" s="1681"/>
      <c r="C76" s="1681"/>
      <c r="D76" s="1681"/>
      <c r="E76" s="1681"/>
      <c r="F76" s="1681"/>
      <c r="G76" s="1681"/>
      <c r="H76" s="1681"/>
      <c r="I76" s="612"/>
      <c r="J76" s="612"/>
      <c r="K76" s="612"/>
      <c r="L76" s="612"/>
      <c r="M76" s="612"/>
      <c r="N76" s="612"/>
      <c r="O76" s="612"/>
      <c r="P76" s="612"/>
      <c r="Q76" s="612"/>
      <c r="R76" s="612"/>
      <c r="S76" s="629"/>
    </row>
    <row r="77" spans="1:19" ht="36" x14ac:dyDescent="0.2">
      <c r="A77" s="630">
        <v>39</v>
      </c>
      <c r="B77" s="631" t="s">
        <v>6523</v>
      </c>
      <c r="C77" s="631" t="s">
        <v>6524</v>
      </c>
      <c r="D77" s="623">
        <f>ROUND(D75*2%,2)</f>
        <v>4025.89</v>
      </c>
      <c r="E77" s="623">
        <f t="shared" ref="E77:F77" si="39">ROUND(E75*2%,2)</f>
        <v>391.55</v>
      </c>
      <c r="F77" s="623">
        <f t="shared" si="39"/>
        <v>796.4</v>
      </c>
      <c r="G77" s="623">
        <f>ROUND(G75*2%,2)</f>
        <v>813.71</v>
      </c>
      <c r="H77" s="623">
        <f>SUM(D77:G77)</f>
        <v>6027.55</v>
      </c>
      <c r="I77" s="623">
        <f>ROUND(I75*2%,2)</f>
        <v>4907.2</v>
      </c>
      <c r="J77" s="623">
        <f t="shared" ref="J77" si="40">ROUND(J75*2%,2)</f>
        <v>669.31</v>
      </c>
      <c r="K77" s="623">
        <f>ROUND(K75*2%,2)</f>
        <v>1504.12</v>
      </c>
      <c r="L77" s="623">
        <f>ROUND(L75*2%,2)</f>
        <v>11149.16</v>
      </c>
      <c r="M77" s="623">
        <f>SUM(I77:L77)</f>
        <v>18229.79</v>
      </c>
      <c r="N77" s="623">
        <f>ROUND(N75*2%,2)</f>
        <v>881.31</v>
      </c>
      <c r="O77" s="623">
        <f t="shared" ref="O77:P77" si="41">ROUND(O75*2%,2)</f>
        <v>277.76</v>
      </c>
      <c r="P77" s="623">
        <f t="shared" si="41"/>
        <v>709.2</v>
      </c>
      <c r="Q77" s="623">
        <f>ROUND(Q75*2%,2)</f>
        <v>10358.14</v>
      </c>
      <c r="R77" s="624">
        <f>SUM(N77:Q77)</f>
        <v>12226.41</v>
      </c>
      <c r="S77" s="625" t="s">
        <v>8091</v>
      </c>
    </row>
    <row r="78" spans="1:19" x14ac:dyDescent="0.2">
      <c r="A78" s="626"/>
      <c r="B78" s="1675" t="s">
        <v>6525</v>
      </c>
      <c r="C78" s="1676"/>
      <c r="D78" s="627">
        <f>D77</f>
        <v>4025.89</v>
      </c>
      <c r="E78" s="627">
        <f t="shared" ref="E78:G78" si="42">E77</f>
        <v>391.55</v>
      </c>
      <c r="F78" s="627">
        <f t="shared" si="42"/>
        <v>796.4</v>
      </c>
      <c r="G78" s="627">
        <f t="shared" si="42"/>
        <v>813.71</v>
      </c>
      <c r="H78" s="627">
        <f>H77</f>
        <v>6027.55</v>
      </c>
      <c r="I78" s="627">
        <f>I77</f>
        <v>4907.2</v>
      </c>
      <c r="J78" s="627">
        <f t="shared" ref="J78:L78" si="43">J77</f>
        <v>669.31</v>
      </c>
      <c r="K78" s="627">
        <f t="shared" si="43"/>
        <v>1504.12</v>
      </c>
      <c r="L78" s="627">
        <f t="shared" si="43"/>
        <v>11149.16</v>
      </c>
      <c r="M78" s="627">
        <f>M77</f>
        <v>18229.79</v>
      </c>
      <c r="N78" s="627">
        <f>N77</f>
        <v>881.31</v>
      </c>
      <c r="O78" s="627">
        <f t="shared" ref="O78:Q78" si="44">O77</f>
        <v>277.76</v>
      </c>
      <c r="P78" s="627">
        <f t="shared" si="44"/>
        <v>709.2</v>
      </c>
      <c r="Q78" s="627">
        <f t="shared" si="44"/>
        <v>10358.14</v>
      </c>
      <c r="R78" s="628">
        <f>R77</f>
        <v>12226.41</v>
      </c>
      <c r="S78" s="629"/>
    </row>
    <row r="79" spans="1:19" ht="44.1" customHeight="1" x14ac:dyDescent="0.2">
      <c r="A79" s="626"/>
      <c r="B79" s="1675" t="s">
        <v>6526</v>
      </c>
      <c r="C79" s="1676"/>
      <c r="D79" s="627">
        <f>D75+D78</f>
        <v>205320.16</v>
      </c>
      <c r="E79" s="627">
        <f t="shared" ref="E79:F79" si="45">E75+E78</f>
        <v>19969.13</v>
      </c>
      <c r="F79" s="627">
        <f t="shared" si="45"/>
        <v>40616.17</v>
      </c>
      <c r="G79" s="627">
        <f>G75+G78</f>
        <v>41499.120000000003</v>
      </c>
      <c r="H79" s="627">
        <f>H75+H78</f>
        <v>307404.58</v>
      </c>
      <c r="I79" s="627">
        <f>I75+I78</f>
        <v>250267.17</v>
      </c>
      <c r="J79" s="627">
        <f t="shared" ref="J79:K79" si="46">J75+J78</f>
        <v>34134.69</v>
      </c>
      <c r="K79" s="627">
        <f t="shared" si="46"/>
        <v>76709.990000000005</v>
      </c>
      <c r="L79" s="627">
        <f>L75+L78</f>
        <v>568607.06000000006</v>
      </c>
      <c r="M79" s="627">
        <f>M75+M78</f>
        <v>929718.91</v>
      </c>
      <c r="N79" s="627">
        <f>N75+N78</f>
        <v>44947.01</v>
      </c>
      <c r="O79" s="627">
        <f t="shared" ref="O79:P79" si="47">O75+O78</f>
        <v>14165.56</v>
      </c>
      <c r="P79" s="627">
        <f t="shared" si="47"/>
        <v>36169.279999999999</v>
      </c>
      <c r="Q79" s="627">
        <f>Q75+Q78</f>
        <v>528264.95999999996</v>
      </c>
      <c r="R79" s="628">
        <f>R75+R78</f>
        <v>623546.81000000006</v>
      </c>
      <c r="S79" s="629"/>
    </row>
    <row r="80" spans="1:19" x14ac:dyDescent="0.2">
      <c r="A80" s="1680" t="s">
        <v>6532</v>
      </c>
      <c r="B80" s="1681"/>
      <c r="C80" s="1681"/>
      <c r="D80" s="1681"/>
      <c r="E80" s="1681"/>
      <c r="F80" s="1681"/>
      <c r="G80" s="1681"/>
      <c r="H80" s="1681"/>
      <c r="I80" s="612"/>
      <c r="J80" s="612"/>
      <c r="K80" s="612"/>
      <c r="L80" s="612"/>
      <c r="M80" s="612"/>
      <c r="N80" s="612"/>
      <c r="O80" s="612"/>
      <c r="P80" s="612"/>
      <c r="Q80" s="612"/>
      <c r="R80" s="612"/>
      <c r="S80" s="629"/>
    </row>
    <row r="81" spans="1:19" ht="36" x14ac:dyDescent="0.2">
      <c r="A81" s="630">
        <v>40</v>
      </c>
      <c r="B81" s="631" t="s">
        <v>6533</v>
      </c>
      <c r="C81" s="631" t="s">
        <v>6534</v>
      </c>
      <c r="D81" s="623">
        <f>ROUND(D79*20%,2)</f>
        <v>41064.03</v>
      </c>
      <c r="E81" s="623">
        <f t="shared" ref="E81:F81" si="48">ROUND(E79*20%,2)</f>
        <v>3993.83</v>
      </c>
      <c r="F81" s="623">
        <f t="shared" si="48"/>
        <v>8123.23</v>
      </c>
      <c r="G81" s="623">
        <f>ROUND((G79-G53-G52-G55-G70)*20%,2)</f>
        <v>7516.19</v>
      </c>
      <c r="H81" s="623">
        <f>SUM(D81:G81)</f>
        <v>60697.279999999999</v>
      </c>
      <c r="I81" s="623">
        <f>ROUND(I79*20%,2)</f>
        <v>50053.43</v>
      </c>
      <c r="J81" s="623">
        <f t="shared" ref="J81:K81" si="49">ROUND(J79*20%,2)</f>
        <v>6826.94</v>
      </c>
      <c r="K81" s="623">
        <f t="shared" si="49"/>
        <v>15342</v>
      </c>
      <c r="L81" s="623">
        <f>ROUND((L79-L53-L52-L55-L70)*20%,2)</f>
        <v>111005.54</v>
      </c>
      <c r="M81" s="623">
        <f>SUM(I81:L81)</f>
        <v>183227.91</v>
      </c>
      <c r="N81" s="623">
        <f>ROUND(N79*20%,2)</f>
        <v>8989.4</v>
      </c>
      <c r="O81" s="623">
        <f t="shared" ref="O81:P81" si="50">ROUND(O79*20%,2)</f>
        <v>2833.11</v>
      </c>
      <c r="P81" s="623">
        <f t="shared" si="50"/>
        <v>7233.86</v>
      </c>
      <c r="Q81" s="623">
        <f>ROUND((Q79-Q53-Q52-Q55-Q70)*20%,2)</f>
        <v>103720.76</v>
      </c>
      <c r="R81" s="624">
        <f>SUM(N81:Q81)</f>
        <v>122777.13</v>
      </c>
      <c r="S81" s="625" t="s">
        <v>8092</v>
      </c>
    </row>
    <row r="82" spans="1:19" ht="44.1" customHeight="1" x14ac:dyDescent="0.2">
      <c r="A82" s="626"/>
      <c r="B82" s="1675" t="s">
        <v>6535</v>
      </c>
      <c r="C82" s="1676"/>
      <c r="D82" s="627">
        <f>D81</f>
        <v>41064.03</v>
      </c>
      <c r="E82" s="627">
        <f t="shared" ref="E82:H82" si="51">E81</f>
        <v>3993.83</v>
      </c>
      <c r="F82" s="627">
        <f t="shared" si="51"/>
        <v>8123.23</v>
      </c>
      <c r="G82" s="627">
        <f t="shared" si="51"/>
        <v>7516.19</v>
      </c>
      <c r="H82" s="627">
        <f t="shared" si="51"/>
        <v>60697.279999999999</v>
      </c>
      <c r="I82" s="627">
        <f>I81</f>
        <v>50053.43</v>
      </c>
      <c r="J82" s="627">
        <f t="shared" ref="J82:M82" si="52">J81</f>
        <v>6826.94</v>
      </c>
      <c r="K82" s="627">
        <f t="shared" si="52"/>
        <v>15342</v>
      </c>
      <c r="L82" s="627">
        <f t="shared" si="52"/>
        <v>111005.54</v>
      </c>
      <c r="M82" s="627">
        <f t="shared" si="52"/>
        <v>183227.91</v>
      </c>
      <c r="N82" s="627">
        <f>N81</f>
        <v>8989.4</v>
      </c>
      <c r="O82" s="627">
        <f t="shared" ref="O82:R82" si="53">O81</f>
        <v>2833.11</v>
      </c>
      <c r="P82" s="627">
        <f t="shared" si="53"/>
        <v>7233.86</v>
      </c>
      <c r="Q82" s="627">
        <f t="shared" si="53"/>
        <v>103720.76</v>
      </c>
      <c r="R82" s="628">
        <f t="shared" si="53"/>
        <v>122777.13</v>
      </c>
      <c r="S82" s="629"/>
    </row>
    <row r="83" spans="1:19" x14ac:dyDescent="0.2">
      <c r="A83" s="626"/>
      <c r="B83" s="1675" t="s">
        <v>6527</v>
      </c>
      <c r="C83" s="1676"/>
      <c r="D83" s="627">
        <f>D79+D82</f>
        <v>246384.19</v>
      </c>
      <c r="E83" s="627">
        <f t="shared" ref="E83:F83" si="54">E79+E82</f>
        <v>23962.959999999999</v>
      </c>
      <c r="F83" s="627">
        <f t="shared" si="54"/>
        <v>48739.4</v>
      </c>
      <c r="G83" s="627">
        <f>G79+G82</f>
        <v>49015.31</v>
      </c>
      <c r="H83" s="627">
        <f>H79+H82</f>
        <v>368101.86</v>
      </c>
      <c r="I83" s="627">
        <f>I79+I82</f>
        <v>300320.59999999998</v>
      </c>
      <c r="J83" s="627">
        <f t="shared" ref="J83:K83" si="55">J79+J82</f>
        <v>40961.629999999997</v>
      </c>
      <c r="K83" s="627">
        <f t="shared" si="55"/>
        <v>92051.99</v>
      </c>
      <c r="L83" s="627">
        <f>L79+L82</f>
        <v>679612.6</v>
      </c>
      <c r="M83" s="627">
        <f>M79+M82</f>
        <v>1112946.82</v>
      </c>
      <c r="N83" s="627">
        <f>N79+N82</f>
        <v>53936.41</v>
      </c>
      <c r="O83" s="627">
        <f t="shared" ref="O83:P83" si="56">O79+O82</f>
        <v>16998.669999999998</v>
      </c>
      <c r="P83" s="627">
        <f t="shared" si="56"/>
        <v>43403.14</v>
      </c>
      <c r="Q83" s="627">
        <f>Q79+Q82</f>
        <v>631985.72</v>
      </c>
      <c r="R83" s="628">
        <f>R79+R82</f>
        <v>746323.94</v>
      </c>
      <c r="S83" s="629"/>
    </row>
    <row r="85" spans="1:19" x14ac:dyDescent="0.2">
      <c r="C85" s="645"/>
    </row>
    <row r="87" spans="1:19" x14ac:dyDescent="0.2">
      <c r="C87" s="615" t="s">
        <v>9636</v>
      </c>
      <c r="E87" s="615" t="s">
        <v>6528</v>
      </c>
    </row>
    <row r="88" spans="1:19" x14ac:dyDescent="0.2">
      <c r="C88" s="615"/>
    </row>
    <row r="89" spans="1:19" ht="12.75" customHeight="1" x14ac:dyDescent="0.2">
      <c r="A89" s="1682" t="s">
        <v>9637</v>
      </c>
      <c r="B89" s="1683"/>
      <c r="C89" s="1683"/>
      <c r="D89" s="1683"/>
      <c r="E89" s="615" t="s">
        <v>6529</v>
      </c>
    </row>
  </sheetData>
  <mergeCells count="57">
    <mergeCell ref="B79:C79"/>
    <mergeCell ref="A80:H80"/>
    <mergeCell ref="B82:C82"/>
    <mergeCell ref="B83:C83"/>
    <mergeCell ref="A89:D89"/>
    <mergeCell ref="B78:C78"/>
    <mergeCell ref="B47:C47"/>
    <mergeCell ref="B48:C48"/>
    <mergeCell ref="A49:H49"/>
    <mergeCell ref="B59:C59"/>
    <mergeCell ref="B60:C60"/>
    <mergeCell ref="A61:H61"/>
    <mergeCell ref="B63:C63"/>
    <mergeCell ref="A64:H64"/>
    <mergeCell ref="B74:C74"/>
    <mergeCell ref="B75:C75"/>
    <mergeCell ref="A76:H76"/>
    <mergeCell ref="A45:H45"/>
    <mergeCell ref="A21:H21"/>
    <mergeCell ref="B26:C26"/>
    <mergeCell ref="A27:H27"/>
    <mergeCell ref="B30:C30"/>
    <mergeCell ref="A31:H31"/>
    <mergeCell ref="B35:C35"/>
    <mergeCell ref="A36:H36"/>
    <mergeCell ref="B39:C39"/>
    <mergeCell ref="A40:H40"/>
    <mergeCell ref="B43:C43"/>
    <mergeCell ref="B44:C44"/>
    <mergeCell ref="B20:C20"/>
    <mergeCell ref="K8:K10"/>
    <mergeCell ref="L8:L10"/>
    <mergeCell ref="M8:M10"/>
    <mergeCell ref="N8:N10"/>
    <mergeCell ref="E8:E10"/>
    <mergeCell ref="F8:F10"/>
    <mergeCell ref="G8:G10"/>
    <mergeCell ref="H8:H10"/>
    <mergeCell ref="I8:I10"/>
    <mergeCell ref="J8:J10"/>
    <mergeCell ref="A12:H12"/>
    <mergeCell ref="B17:C17"/>
    <mergeCell ref="A18:H18"/>
    <mergeCell ref="A1:S1"/>
    <mergeCell ref="A2:S2"/>
    <mergeCell ref="A7:A10"/>
    <mergeCell ref="B7:B10"/>
    <mergeCell ref="C7:C10"/>
    <mergeCell ref="D7:H7"/>
    <mergeCell ref="I7:M7"/>
    <mergeCell ref="N7:R7"/>
    <mergeCell ref="S7:S10"/>
    <mergeCell ref="D8:D10"/>
    <mergeCell ref="Q8:Q10"/>
    <mergeCell ref="R8:R10"/>
    <mergeCell ref="O8:O10"/>
    <mergeCell ref="P8:P10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AK434"/>
  <sheetViews>
    <sheetView topLeftCell="A397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.42578125" style="536" customWidth="1"/>
    <col min="14" max="14" width="12.2851562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3" width="138.42578125" style="537" hidden="1" customWidth="1"/>
    <col min="24" max="24" width="34.140625" style="537" hidden="1" customWidth="1"/>
    <col min="25" max="26" width="110.140625" style="537" hidden="1" customWidth="1"/>
    <col min="27" max="30" width="34.140625" style="537" hidden="1" customWidth="1"/>
    <col min="31" max="33" width="84.42578125" style="537" hidden="1" customWidth="1"/>
    <col min="34" max="34" width="34.140625" style="537" hidden="1" customWidth="1"/>
    <col min="35" max="37" width="84.42578125" style="537" hidden="1" customWidth="1"/>
    <col min="38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89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274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274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974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974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975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87"/>
      <c r="B19" s="687"/>
      <c r="C19" s="687"/>
      <c r="D19" s="687"/>
      <c r="E19" s="687"/>
      <c r="F19" s="687"/>
      <c r="G19" s="687"/>
      <c r="H19" s="687"/>
      <c r="I19" s="687"/>
      <c r="J19" s="687"/>
      <c r="K19" s="687"/>
      <c r="L19" s="687"/>
      <c r="M19" s="687"/>
      <c r="N19" s="687"/>
    </row>
    <row r="20" spans="1:21" s="536" customFormat="1" x14ac:dyDescent="0.2">
      <c r="A20" s="1840" t="s">
        <v>602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602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449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70502.95</v>
      </c>
      <c r="D28" s="579" t="s">
        <v>9207</v>
      </c>
      <c r="E28" s="689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89"/>
    </row>
    <row r="30" spans="1:21" s="536" customFormat="1" ht="12.75" customHeight="1" x14ac:dyDescent="0.2">
      <c r="B30" s="536" t="s">
        <v>169</v>
      </c>
      <c r="C30" s="580">
        <v>70502.95</v>
      </c>
      <c r="D30" s="579" t="s">
        <v>9207</v>
      </c>
      <c r="E30" s="689" t="s">
        <v>167</v>
      </c>
      <c r="G30" s="536" t="s">
        <v>170</v>
      </c>
      <c r="L30" s="580">
        <v>0</v>
      </c>
      <c r="M30" s="579" t="s">
        <v>9208</v>
      </c>
      <c r="N30" s="689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689" t="s">
        <v>167</v>
      </c>
      <c r="G31" s="536" t="s">
        <v>172</v>
      </c>
      <c r="L31" s="582"/>
      <c r="M31" s="582">
        <v>5995.38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689" t="s">
        <v>167</v>
      </c>
      <c r="G32" s="536" t="s">
        <v>174</v>
      </c>
      <c r="L32" s="582"/>
      <c r="M32" s="582">
        <v>7065.2</v>
      </c>
      <c r="N32" s="581" t="s">
        <v>173</v>
      </c>
    </row>
    <row r="33" spans="1:29" s="536" customFormat="1" ht="12.75" customHeight="1" x14ac:dyDescent="0.2">
      <c r="B33" s="536" t="s">
        <v>147</v>
      </c>
      <c r="C33" s="580">
        <v>0</v>
      </c>
      <c r="D33" s="579" t="s">
        <v>171</v>
      </c>
      <c r="E33" s="689" t="s">
        <v>167</v>
      </c>
      <c r="G33" s="536" t="s">
        <v>175</v>
      </c>
      <c r="L33" s="1836"/>
      <c r="M33" s="1836"/>
    </row>
    <row r="34" spans="1:29" s="536" customFormat="1" ht="9.75" customHeight="1" x14ac:dyDescent="0.2">
      <c r="A34" s="578"/>
    </row>
    <row r="35" spans="1:29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9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9" s="536" customFormat="1" ht="45" x14ac:dyDescent="0.2">
      <c r="A37" s="1833"/>
      <c r="B37" s="1833"/>
      <c r="C37" s="1833"/>
      <c r="D37" s="1833"/>
      <c r="E37" s="1833"/>
      <c r="F37" s="1833"/>
      <c r="G37" s="685" t="s">
        <v>182</v>
      </c>
      <c r="H37" s="685" t="s">
        <v>183</v>
      </c>
      <c r="I37" s="685" t="s">
        <v>184</v>
      </c>
      <c r="J37" s="685" t="s">
        <v>182</v>
      </c>
      <c r="K37" s="685" t="s">
        <v>183</v>
      </c>
      <c r="L37" s="685" t="s">
        <v>148</v>
      </c>
      <c r="M37" s="1833"/>
      <c r="N37" s="1833"/>
    </row>
    <row r="38" spans="1:29" s="536" customFormat="1" x14ac:dyDescent="0.2">
      <c r="A38" s="686">
        <v>1</v>
      </c>
      <c r="B38" s="686">
        <v>2</v>
      </c>
      <c r="C38" s="1834">
        <v>3</v>
      </c>
      <c r="D38" s="1834"/>
      <c r="E38" s="1834"/>
      <c r="F38" s="686">
        <v>4</v>
      </c>
      <c r="G38" s="686">
        <v>5</v>
      </c>
      <c r="H38" s="686">
        <v>6</v>
      </c>
      <c r="I38" s="686">
        <v>7</v>
      </c>
      <c r="J38" s="686">
        <v>8</v>
      </c>
      <c r="K38" s="686">
        <v>9</v>
      </c>
      <c r="L38" s="686">
        <v>10</v>
      </c>
      <c r="M38" s="686">
        <v>11</v>
      </c>
      <c r="N38" s="686">
        <v>12</v>
      </c>
    </row>
    <row r="39" spans="1:29" s="536" customFormat="1" ht="12" x14ac:dyDescent="0.2">
      <c r="A39" s="1824" t="s">
        <v>976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976</v>
      </c>
    </row>
    <row r="40" spans="1:29" s="536" customFormat="1" ht="12" x14ac:dyDescent="0.2">
      <c r="A40" s="1830" t="s">
        <v>977</v>
      </c>
      <c r="B40" s="1831"/>
      <c r="C40" s="1831"/>
      <c r="D40" s="1831"/>
      <c r="E40" s="1831"/>
      <c r="F40" s="1831"/>
      <c r="G40" s="1831"/>
      <c r="H40" s="1831"/>
      <c r="I40" s="1831"/>
      <c r="J40" s="1831"/>
      <c r="K40" s="1831"/>
      <c r="L40" s="1831"/>
      <c r="M40" s="1831"/>
      <c r="N40" s="1832"/>
      <c r="V40" s="674"/>
      <c r="W40" s="675" t="s">
        <v>977</v>
      </c>
    </row>
    <row r="41" spans="1:29" s="536" customFormat="1" ht="33.75" x14ac:dyDescent="0.2">
      <c r="A41" s="575" t="s">
        <v>185</v>
      </c>
      <c r="B41" s="684" t="s">
        <v>978</v>
      </c>
      <c r="C41" s="1823" t="s">
        <v>979</v>
      </c>
      <c r="D41" s="1823"/>
      <c r="E41" s="1823"/>
      <c r="F41" s="573" t="s">
        <v>455</v>
      </c>
      <c r="G41" s="573"/>
      <c r="H41" s="573"/>
      <c r="I41" s="573" t="s">
        <v>980</v>
      </c>
      <c r="J41" s="572"/>
      <c r="K41" s="573"/>
      <c r="L41" s="572"/>
      <c r="M41" s="571"/>
      <c r="N41" s="570"/>
      <c r="V41" s="674"/>
      <c r="W41" s="675"/>
      <c r="X41" s="675" t="s">
        <v>979</v>
      </c>
    </row>
    <row r="42" spans="1:29" s="536" customFormat="1" ht="12" x14ac:dyDescent="0.2">
      <c r="A42" s="676"/>
      <c r="B42" s="682"/>
      <c r="C42" s="1822" t="s">
        <v>981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X42" s="675"/>
      <c r="Y42" s="537" t="s">
        <v>981</v>
      </c>
    </row>
    <row r="43" spans="1:29" s="536" customFormat="1" ht="33.75" x14ac:dyDescent="0.2">
      <c r="A43" s="609"/>
      <c r="B43" s="552" t="s">
        <v>310</v>
      </c>
      <c r="C43" s="1822" t="s">
        <v>311</v>
      </c>
      <c r="D43" s="1822"/>
      <c r="E43" s="1822"/>
      <c r="F43" s="1822"/>
      <c r="G43" s="1822"/>
      <c r="H43" s="1822"/>
      <c r="I43" s="1822"/>
      <c r="J43" s="1822"/>
      <c r="K43" s="1822"/>
      <c r="L43" s="1822"/>
      <c r="M43" s="1822"/>
      <c r="N43" s="1827"/>
      <c r="V43" s="674"/>
      <c r="W43" s="675"/>
      <c r="X43" s="675"/>
      <c r="Z43" s="537" t="s">
        <v>311</v>
      </c>
    </row>
    <row r="44" spans="1:29" s="536" customFormat="1" ht="12" x14ac:dyDescent="0.2">
      <c r="A44" s="605"/>
      <c r="B44" s="552" t="s">
        <v>186</v>
      </c>
      <c r="C44" s="1822" t="s">
        <v>344</v>
      </c>
      <c r="D44" s="1822"/>
      <c r="E44" s="1822"/>
      <c r="F44" s="562"/>
      <c r="G44" s="562"/>
      <c r="H44" s="562"/>
      <c r="I44" s="562"/>
      <c r="J44" s="604">
        <v>1874.03</v>
      </c>
      <c r="K44" s="562" t="s">
        <v>313</v>
      </c>
      <c r="L44" s="604">
        <v>97318.38</v>
      </c>
      <c r="M44" s="603"/>
      <c r="N44" s="602"/>
      <c r="V44" s="674"/>
      <c r="W44" s="675"/>
      <c r="X44" s="675"/>
      <c r="AA44" s="537" t="s">
        <v>344</v>
      </c>
    </row>
    <row r="45" spans="1:29" s="536" customFormat="1" ht="12" x14ac:dyDescent="0.2">
      <c r="A45" s="605"/>
      <c r="B45" s="552" t="s">
        <v>187</v>
      </c>
      <c r="C45" s="1822" t="s">
        <v>345</v>
      </c>
      <c r="D45" s="1822"/>
      <c r="E45" s="1822"/>
      <c r="F45" s="562"/>
      <c r="G45" s="562"/>
      <c r="H45" s="562"/>
      <c r="I45" s="562"/>
      <c r="J45" s="604">
        <v>110.88</v>
      </c>
      <c r="K45" s="562" t="s">
        <v>313</v>
      </c>
      <c r="L45" s="604">
        <v>5758</v>
      </c>
      <c r="M45" s="603"/>
      <c r="N45" s="602"/>
      <c r="V45" s="674"/>
      <c r="W45" s="675"/>
      <c r="X45" s="675"/>
      <c r="AA45" s="537" t="s">
        <v>345</v>
      </c>
    </row>
    <row r="46" spans="1:29" s="536" customFormat="1" ht="12" x14ac:dyDescent="0.2">
      <c r="A46" s="605"/>
      <c r="B46" s="552"/>
      <c r="C46" s="1822" t="s">
        <v>348</v>
      </c>
      <c r="D46" s="1822"/>
      <c r="E46" s="1822"/>
      <c r="F46" s="562" t="s">
        <v>315</v>
      </c>
      <c r="G46" s="562" t="s">
        <v>982</v>
      </c>
      <c r="H46" s="562" t="s">
        <v>313</v>
      </c>
      <c r="I46" s="562" t="s">
        <v>983</v>
      </c>
      <c r="J46" s="604"/>
      <c r="K46" s="562"/>
      <c r="L46" s="604"/>
      <c r="M46" s="603"/>
      <c r="N46" s="602"/>
      <c r="V46" s="674"/>
      <c r="W46" s="675"/>
      <c r="X46" s="675"/>
      <c r="AB46" s="537" t="s">
        <v>348</v>
      </c>
    </row>
    <row r="47" spans="1:29" s="536" customFormat="1" ht="12" x14ac:dyDescent="0.2">
      <c r="A47" s="605"/>
      <c r="B47" s="552"/>
      <c r="C47" s="1828" t="s">
        <v>318</v>
      </c>
      <c r="D47" s="1828"/>
      <c r="E47" s="1828"/>
      <c r="F47" s="608"/>
      <c r="G47" s="608"/>
      <c r="H47" s="608"/>
      <c r="I47" s="608"/>
      <c r="J47" s="607">
        <v>1874.03</v>
      </c>
      <c r="K47" s="608"/>
      <c r="L47" s="607">
        <v>97318.38</v>
      </c>
      <c r="M47" s="601"/>
      <c r="N47" s="606"/>
      <c r="V47" s="674"/>
      <c r="W47" s="675"/>
      <c r="X47" s="675"/>
      <c r="AC47" s="537" t="s">
        <v>318</v>
      </c>
    </row>
    <row r="48" spans="1:29" s="536" customFormat="1" ht="12" x14ac:dyDescent="0.2">
      <c r="A48" s="605"/>
      <c r="B48" s="552"/>
      <c r="C48" s="1822" t="s">
        <v>319</v>
      </c>
      <c r="D48" s="1822"/>
      <c r="E48" s="1822"/>
      <c r="F48" s="562"/>
      <c r="G48" s="562"/>
      <c r="H48" s="562"/>
      <c r="I48" s="562"/>
      <c r="J48" s="604"/>
      <c r="K48" s="562"/>
      <c r="L48" s="604">
        <v>5758</v>
      </c>
      <c r="M48" s="603"/>
      <c r="N48" s="602"/>
      <c r="V48" s="674"/>
      <c r="W48" s="675"/>
      <c r="X48" s="675"/>
      <c r="AB48" s="537" t="s">
        <v>319</v>
      </c>
    </row>
    <row r="49" spans="1:30" s="536" customFormat="1" ht="33.75" x14ac:dyDescent="0.2">
      <c r="A49" s="605"/>
      <c r="B49" s="552" t="s">
        <v>460</v>
      </c>
      <c r="C49" s="1822" t="s">
        <v>461</v>
      </c>
      <c r="D49" s="1822"/>
      <c r="E49" s="1822"/>
      <c r="F49" s="562" t="s">
        <v>322</v>
      </c>
      <c r="G49" s="562" t="s">
        <v>462</v>
      </c>
      <c r="H49" s="562"/>
      <c r="I49" s="562" t="s">
        <v>462</v>
      </c>
      <c r="J49" s="604"/>
      <c r="K49" s="562"/>
      <c r="L49" s="604">
        <v>5297.36</v>
      </c>
      <c r="M49" s="603"/>
      <c r="N49" s="602"/>
      <c r="V49" s="674"/>
      <c r="W49" s="675"/>
      <c r="X49" s="675"/>
      <c r="AB49" s="537" t="s">
        <v>461</v>
      </c>
    </row>
    <row r="50" spans="1:30" s="536" customFormat="1" ht="33.75" x14ac:dyDescent="0.2">
      <c r="A50" s="605"/>
      <c r="B50" s="552" t="s">
        <v>463</v>
      </c>
      <c r="C50" s="1822" t="s">
        <v>464</v>
      </c>
      <c r="D50" s="1822"/>
      <c r="E50" s="1822"/>
      <c r="F50" s="562" t="s">
        <v>322</v>
      </c>
      <c r="G50" s="562" t="s">
        <v>465</v>
      </c>
      <c r="H50" s="562"/>
      <c r="I50" s="562" t="s">
        <v>465</v>
      </c>
      <c r="J50" s="604"/>
      <c r="K50" s="562"/>
      <c r="L50" s="604">
        <v>2648.68</v>
      </c>
      <c r="M50" s="603"/>
      <c r="N50" s="602"/>
      <c r="V50" s="674"/>
      <c r="W50" s="675"/>
      <c r="X50" s="675"/>
      <c r="AB50" s="537" t="s">
        <v>464</v>
      </c>
    </row>
    <row r="51" spans="1:30" s="536" customFormat="1" ht="12" x14ac:dyDescent="0.2">
      <c r="A51" s="569"/>
      <c r="B51" s="683"/>
      <c r="C51" s="1823" t="s">
        <v>327</v>
      </c>
      <c r="D51" s="1823"/>
      <c r="E51" s="1823"/>
      <c r="F51" s="573"/>
      <c r="G51" s="573"/>
      <c r="H51" s="573"/>
      <c r="I51" s="573"/>
      <c r="J51" s="572"/>
      <c r="K51" s="573"/>
      <c r="L51" s="572">
        <v>105264.42</v>
      </c>
      <c r="M51" s="601"/>
      <c r="N51" s="570"/>
      <c r="V51" s="674"/>
      <c r="W51" s="675"/>
      <c r="X51" s="675"/>
      <c r="AD51" s="675" t="s">
        <v>327</v>
      </c>
    </row>
    <row r="52" spans="1:30" s="536" customFormat="1" ht="33.75" x14ac:dyDescent="0.2">
      <c r="A52" s="575" t="s">
        <v>186</v>
      </c>
      <c r="B52" s="684" t="s">
        <v>984</v>
      </c>
      <c r="C52" s="1823" t="s">
        <v>985</v>
      </c>
      <c r="D52" s="1823"/>
      <c r="E52" s="1823"/>
      <c r="F52" s="573" t="s">
        <v>455</v>
      </c>
      <c r="G52" s="573"/>
      <c r="H52" s="573"/>
      <c r="I52" s="573" t="s">
        <v>986</v>
      </c>
      <c r="J52" s="572"/>
      <c r="K52" s="573"/>
      <c r="L52" s="572"/>
      <c r="M52" s="571"/>
      <c r="N52" s="570"/>
      <c r="V52" s="674"/>
      <c r="W52" s="675"/>
      <c r="X52" s="675" t="s">
        <v>985</v>
      </c>
      <c r="AD52" s="675"/>
    </row>
    <row r="53" spans="1:30" s="536" customFormat="1" ht="12" x14ac:dyDescent="0.2">
      <c r="A53" s="676"/>
      <c r="B53" s="682"/>
      <c r="C53" s="1822" t="s">
        <v>987</v>
      </c>
      <c r="D53" s="1822"/>
      <c r="E53" s="1822"/>
      <c r="F53" s="1822"/>
      <c r="G53" s="1822"/>
      <c r="H53" s="1822"/>
      <c r="I53" s="1822"/>
      <c r="J53" s="1822"/>
      <c r="K53" s="1822"/>
      <c r="L53" s="1822"/>
      <c r="M53" s="1822"/>
      <c r="N53" s="1827"/>
      <c r="V53" s="674"/>
      <c r="W53" s="675"/>
      <c r="X53" s="675"/>
      <c r="Y53" s="537" t="s">
        <v>987</v>
      </c>
      <c r="AD53" s="675"/>
    </row>
    <row r="54" spans="1:30" s="536" customFormat="1" ht="33.75" x14ac:dyDescent="0.2">
      <c r="A54" s="609"/>
      <c r="B54" s="552" t="s">
        <v>310</v>
      </c>
      <c r="C54" s="1822" t="s">
        <v>311</v>
      </c>
      <c r="D54" s="1822"/>
      <c r="E54" s="1822"/>
      <c r="F54" s="1822"/>
      <c r="G54" s="1822"/>
      <c r="H54" s="1822"/>
      <c r="I54" s="1822"/>
      <c r="J54" s="1822"/>
      <c r="K54" s="1822"/>
      <c r="L54" s="1822"/>
      <c r="M54" s="1822"/>
      <c r="N54" s="1827"/>
      <c r="V54" s="674"/>
      <c r="W54" s="675"/>
      <c r="X54" s="675"/>
      <c r="Z54" s="537" t="s">
        <v>311</v>
      </c>
      <c r="AD54" s="675"/>
    </row>
    <row r="55" spans="1:30" s="536" customFormat="1" ht="12" x14ac:dyDescent="0.2">
      <c r="A55" s="605"/>
      <c r="B55" s="552" t="s">
        <v>186</v>
      </c>
      <c r="C55" s="1822" t="s">
        <v>344</v>
      </c>
      <c r="D55" s="1822"/>
      <c r="E55" s="1822"/>
      <c r="F55" s="562"/>
      <c r="G55" s="562"/>
      <c r="H55" s="562"/>
      <c r="I55" s="562"/>
      <c r="J55" s="604">
        <v>1323.57</v>
      </c>
      <c r="K55" s="562" t="s">
        <v>313</v>
      </c>
      <c r="L55" s="604">
        <v>58184.14</v>
      </c>
      <c r="M55" s="603"/>
      <c r="N55" s="602"/>
      <c r="V55" s="674"/>
      <c r="W55" s="675"/>
      <c r="X55" s="675"/>
      <c r="AA55" s="537" t="s">
        <v>344</v>
      </c>
      <c r="AD55" s="675"/>
    </row>
    <row r="56" spans="1:30" s="536" customFormat="1" ht="12" x14ac:dyDescent="0.2">
      <c r="A56" s="605"/>
      <c r="B56" s="552" t="s">
        <v>187</v>
      </c>
      <c r="C56" s="1822" t="s">
        <v>345</v>
      </c>
      <c r="D56" s="1822"/>
      <c r="E56" s="1822"/>
      <c r="F56" s="562"/>
      <c r="G56" s="562"/>
      <c r="H56" s="562"/>
      <c r="I56" s="562"/>
      <c r="J56" s="604">
        <v>224.71</v>
      </c>
      <c r="K56" s="562" t="s">
        <v>313</v>
      </c>
      <c r="L56" s="604">
        <v>9878.25</v>
      </c>
      <c r="M56" s="603"/>
      <c r="N56" s="602"/>
      <c r="V56" s="674"/>
      <c r="W56" s="675"/>
      <c r="X56" s="675"/>
      <c r="AA56" s="537" t="s">
        <v>345</v>
      </c>
      <c r="AD56" s="675"/>
    </row>
    <row r="57" spans="1:30" s="536" customFormat="1" ht="12" x14ac:dyDescent="0.2">
      <c r="A57" s="605"/>
      <c r="B57" s="552"/>
      <c r="C57" s="1822" t="s">
        <v>348</v>
      </c>
      <c r="D57" s="1822"/>
      <c r="E57" s="1822"/>
      <c r="F57" s="562" t="s">
        <v>315</v>
      </c>
      <c r="G57" s="562" t="s">
        <v>988</v>
      </c>
      <c r="H57" s="562" t="s">
        <v>313</v>
      </c>
      <c r="I57" s="562" t="s">
        <v>989</v>
      </c>
      <c r="J57" s="604"/>
      <c r="K57" s="562"/>
      <c r="L57" s="604"/>
      <c r="M57" s="603"/>
      <c r="N57" s="602"/>
      <c r="V57" s="674"/>
      <c r="W57" s="675"/>
      <c r="X57" s="675"/>
      <c r="AB57" s="537" t="s">
        <v>348</v>
      </c>
      <c r="AD57" s="675"/>
    </row>
    <row r="58" spans="1:30" s="536" customFormat="1" ht="12" x14ac:dyDescent="0.2">
      <c r="A58" s="605"/>
      <c r="B58" s="552"/>
      <c r="C58" s="1828" t="s">
        <v>318</v>
      </c>
      <c r="D58" s="1828"/>
      <c r="E58" s="1828"/>
      <c r="F58" s="608"/>
      <c r="G58" s="608"/>
      <c r="H58" s="608"/>
      <c r="I58" s="608"/>
      <c r="J58" s="607">
        <v>1323.57</v>
      </c>
      <c r="K58" s="608"/>
      <c r="L58" s="607">
        <v>58184.14</v>
      </c>
      <c r="M58" s="601"/>
      <c r="N58" s="606"/>
      <c r="V58" s="674"/>
      <c r="W58" s="675"/>
      <c r="X58" s="675"/>
      <c r="AC58" s="537" t="s">
        <v>318</v>
      </c>
      <c r="AD58" s="675"/>
    </row>
    <row r="59" spans="1:30" s="536" customFormat="1" ht="12" x14ac:dyDescent="0.2">
      <c r="A59" s="605"/>
      <c r="B59" s="552"/>
      <c r="C59" s="1822" t="s">
        <v>319</v>
      </c>
      <c r="D59" s="1822"/>
      <c r="E59" s="1822"/>
      <c r="F59" s="562"/>
      <c r="G59" s="562"/>
      <c r="H59" s="562"/>
      <c r="I59" s="562"/>
      <c r="J59" s="604"/>
      <c r="K59" s="562"/>
      <c r="L59" s="604">
        <v>9878.25</v>
      </c>
      <c r="M59" s="603"/>
      <c r="N59" s="602"/>
      <c r="V59" s="674"/>
      <c r="W59" s="675"/>
      <c r="X59" s="675"/>
      <c r="AB59" s="537" t="s">
        <v>319</v>
      </c>
      <c r="AD59" s="675"/>
    </row>
    <row r="60" spans="1:30" s="536" customFormat="1" ht="33.75" x14ac:dyDescent="0.2">
      <c r="A60" s="605"/>
      <c r="B60" s="552" t="s">
        <v>460</v>
      </c>
      <c r="C60" s="1822" t="s">
        <v>461</v>
      </c>
      <c r="D60" s="1822"/>
      <c r="E60" s="1822"/>
      <c r="F60" s="562" t="s">
        <v>322</v>
      </c>
      <c r="G60" s="562" t="s">
        <v>462</v>
      </c>
      <c r="H60" s="562"/>
      <c r="I60" s="562" t="s">
        <v>462</v>
      </c>
      <c r="J60" s="604"/>
      <c r="K60" s="562"/>
      <c r="L60" s="604">
        <v>9087.99</v>
      </c>
      <c r="M60" s="603"/>
      <c r="N60" s="602"/>
      <c r="V60" s="674"/>
      <c r="W60" s="675"/>
      <c r="X60" s="675"/>
      <c r="AB60" s="537" t="s">
        <v>461</v>
      </c>
      <c r="AD60" s="675"/>
    </row>
    <row r="61" spans="1:30" s="536" customFormat="1" ht="33.75" x14ac:dyDescent="0.2">
      <c r="A61" s="605"/>
      <c r="B61" s="552" t="s">
        <v>463</v>
      </c>
      <c r="C61" s="1822" t="s">
        <v>464</v>
      </c>
      <c r="D61" s="1822"/>
      <c r="E61" s="1822"/>
      <c r="F61" s="562" t="s">
        <v>322</v>
      </c>
      <c r="G61" s="562" t="s">
        <v>465</v>
      </c>
      <c r="H61" s="562"/>
      <c r="I61" s="562" t="s">
        <v>465</v>
      </c>
      <c r="J61" s="604"/>
      <c r="K61" s="562"/>
      <c r="L61" s="604">
        <v>4544</v>
      </c>
      <c r="M61" s="603"/>
      <c r="N61" s="602"/>
      <c r="V61" s="674"/>
      <c r="W61" s="675"/>
      <c r="X61" s="675"/>
      <c r="AB61" s="537" t="s">
        <v>464</v>
      </c>
      <c r="AD61" s="675"/>
    </row>
    <row r="62" spans="1:30" s="536" customFormat="1" ht="12" x14ac:dyDescent="0.2">
      <c r="A62" s="569"/>
      <c r="B62" s="683"/>
      <c r="C62" s="1823" t="s">
        <v>327</v>
      </c>
      <c r="D62" s="1823"/>
      <c r="E62" s="1823"/>
      <c r="F62" s="573"/>
      <c r="G62" s="573"/>
      <c r="H62" s="573"/>
      <c r="I62" s="573"/>
      <c r="J62" s="572"/>
      <c r="K62" s="573"/>
      <c r="L62" s="572">
        <v>71816.13</v>
      </c>
      <c r="M62" s="601"/>
      <c r="N62" s="570"/>
      <c r="V62" s="674"/>
      <c r="W62" s="675"/>
      <c r="X62" s="675"/>
      <c r="AD62" s="675" t="s">
        <v>327</v>
      </c>
    </row>
    <row r="63" spans="1:30" s="536" customFormat="1" ht="45" x14ac:dyDescent="0.2">
      <c r="A63" s="575" t="s">
        <v>187</v>
      </c>
      <c r="B63" s="684" t="s">
        <v>990</v>
      </c>
      <c r="C63" s="1823" t="s">
        <v>991</v>
      </c>
      <c r="D63" s="1823"/>
      <c r="E63" s="1823"/>
      <c r="F63" s="573" t="s">
        <v>455</v>
      </c>
      <c r="G63" s="573"/>
      <c r="H63" s="573"/>
      <c r="I63" s="573" t="s">
        <v>986</v>
      </c>
      <c r="J63" s="572"/>
      <c r="K63" s="573"/>
      <c r="L63" s="572"/>
      <c r="M63" s="571"/>
      <c r="N63" s="570"/>
      <c r="V63" s="674"/>
      <c r="W63" s="675"/>
      <c r="X63" s="675" t="s">
        <v>991</v>
      </c>
      <c r="AD63" s="675"/>
    </row>
    <row r="64" spans="1:30" s="536" customFormat="1" ht="12" x14ac:dyDescent="0.2">
      <c r="A64" s="676"/>
      <c r="B64" s="682"/>
      <c r="C64" s="1822" t="s">
        <v>987</v>
      </c>
      <c r="D64" s="1822"/>
      <c r="E64" s="1822"/>
      <c r="F64" s="1822"/>
      <c r="G64" s="1822"/>
      <c r="H64" s="1822"/>
      <c r="I64" s="1822"/>
      <c r="J64" s="1822"/>
      <c r="K64" s="1822"/>
      <c r="L64" s="1822"/>
      <c r="M64" s="1822"/>
      <c r="N64" s="1827"/>
      <c r="V64" s="674"/>
      <c r="W64" s="675"/>
      <c r="X64" s="675"/>
      <c r="Y64" s="537" t="s">
        <v>987</v>
      </c>
      <c r="AD64" s="675"/>
    </row>
    <row r="65" spans="1:30" s="536" customFormat="1" ht="33.75" x14ac:dyDescent="0.2">
      <c r="A65" s="609"/>
      <c r="B65" s="552" t="s">
        <v>310</v>
      </c>
      <c r="C65" s="1822" t="s">
        <v>311</v>
      </c>
      <c r="D65" s="1822"/>
      <c r="E65" s="1822"/>
      <c r="F65" s="1822"/>
      <c r="G65" s="1822"/>
      <c r="H65" s="1822"/>
      <c r="I65" s="1822"/>
      <c r="J65" s="1822"/>
      <c r="K65" s="1822"/>
      <c r="L65" s="1822"/>
      <c r="M65" s="1822"/>
      <c r="N65" s="1827"/>
      <c r="V65" s="674"/>
      <c r="W65" s="675"/>
      <c r="X65" s="675"/>
      <c r="Z65" s="537" t="s">
        <v>311</v>
      </c>
      <c r="AD65" s="675"/>
    </row>
    <row r="66" spans="1:30" s="536" customFormat="1" ht="12" x14ac:dyDescent="0.2">
      <c r="A66" s="605"/>
      <c r="B66" s="552" t="s">
        <v>186</v>
      </c>
      <c r="C66" s="1822" t="s">
        <v>344</v>
      </c>
      <c r="D66" s="1822"/>
      <c r="E66" s="1822"/>
      <c r="F66" s="562"/>
      <c r="G66" s="562"/>
      <c r="H66" s="562"/>
      <c r="I66" s="562"/>
      <c r="J66" s="604">
        <v>1299.08</v>
      </c>
      <c r="K66" s="562" t="s">
        <v>313</v>
      </c>
      <c r="L66" s="604">
        <v>57107.56</v>
      </c>
      <c r="M66" s="603"/>
      <c r="N66" s="602"/>
      <c r="V66" s="674"/>
      <c r="W66" s="675"/>
      <c r="X66" s="675"/>
      <c r="AA66" s="537" t="s">
        <v>344</v>
      </c>
      <c r="AD66" s="675"/>
    </row>
    <row r="67" spans="1:30" s="536" customFormat="1" ht="12" x14ac:dyDescent="0.2">
      <c r="A67" s="605"/>
      <c r="B67" s="552" t="s">
        <v>187</v>
      </c>
      <c r="C67" s="1822" t="s">
        <v>345</v>
      </c>
      <c r="D67" s="1822"/>
      <c r="E67" s="1822"/>
      <c r="F67" s="562"/>
      <c r="G67" s="562"/>
      <c r="H67" s="562"/>
      <c r="I67" s="562"/>
      <c r="J67" s="604">
        <v>212.78</v>
      </c>
      <c r="K67" s="562" t="s">
        <v>313</v>
      </c>
      <c r="L67" s="604">
        <v>9353.81</v>
      </c>
      <c r="M67" s="603"/>
      <c r="N67" s="602"/>
      <c r="V67" s="674"/>
      <c r="W67" s="675"/>
      <c r="X67" s="675"/>
      <c r="AA67" s="537" t="s">
        <v>345</v>
      </c>
      <c r="AD67" s="675"/>
    </row>
    <row r="68" spans="1:30" s="536" customFormat="1" ht="12" x14ac:dyDescent="0.2">
      <c r="A68" s="605"/>
      <c r="B68" s="552"/>
      <c r="C68" s="1822" t="s">
        <v>348</v>
      </c>
      <c r="D68" s="1822"/>
      <c r="E68" s="1822"/>
      <c r="F68" s="562" t="s">
        <v>315</v>
      </c>
      <c r="G68" s="562" t="s">
        <v>992</v>
      </c>
      <c r="H68" s="562" t="s">
        <v>313</v>
      </c>
      <c r="I68" s="562" t="s">
        <v>993</v>
      </c>
      <c r="J68" s="604"/>
      <c r="K68" s="562"/>
      <c r="L68" s="604"/>
      <c r="M68" s="603"/>
      <c r="N68" s="602"/>
      <c r="V68" s="674"/>
      <c r="W68" s="675"/>
      <c r="X68" s="675"/>
      <c r="AB68" s="537" t="s">
        <v>348</v>
      </c>
      <c r="AD68" s="675"/>
    </row>
    <row r="69" spans="1:30" s="536" customFormat="1" ht="12" x14ac:dyDescent="0.2">
      <c r="A69" s="605"/>
      <c r="B69" s="552"/>
      <c r="C69" s="1828" t="s">
        <v>318</v>
      </c>
      <c r="D69" s="1828"/>
      <c r="E69" s="1828"/>
      <c r="F69" s="608"/>
      <c r="G69" s="608"/>
      <c r="H69" s="608"/>
      <c r="I69" s="608"/>
      <c r="J69" s="607">
        <v>1299.08</v>
      </c>
      <c r="K69" s="608"/>
      <c r="L69" s="607">
        <v>57107.56</v>
      </c>
      <c r="M69" s="601"/>
      <c r="N69" s="606"/>
      <c r="V69" s="674"/>
      <c r="W69" s="675"/>
      <c r="X69" s="675"/>
      <c r="AC69" s="537" t="s">
        <v>318</v>
      </c>
      <c r="AD69" s="675"/>
    </row>
    <row r="70" spans="1:30" s="536" customFormat="1" ht="12" x14ac:dyDescent="0.2">
      <c r="A70" s="605"/>
      <c r="B70" s="552"/>
      <c r="C70" s="1822" t="s">
        <v>319</v>
      </c>
      <c r="D70" s="1822"/>
      <c r="E70" s="1822"/>
      <c r="F70" s="562"/>
      <c r="G70" s="562"/>
      <c r="H70" s="562"/>
      <c r="I70" s="562"/>
      <c r="J70" s="604"/>
      <c r="K70" s="562"/>
      <c r="L70" s="604">
        <v>9353.81</v>
      </c>
      <c r="M70" s="603"/>
      <c r="N70" s="602"/>
      <c r="V70" s="674"/>
      <c r="W70" s="675"/>
      <c r="X70" s="675"/>
      <c r="AB70" s="537" t="s">
        <v>319</v>
      </c>
      <c r="AD70" s="675"/>
    </row>
    <row r="71" spans="1:30" s="536" customFormat="1" ht="33.75" x14ac:dyDescent="0.2">
      <c r="A71" s="605"/>
      <c r="B71" s="552" t="s">
        <v>460</v>
      </c>
      <c r="C71" s="1822" t="s">
        <v>461</v>
      </c>
      <c r="D71" s="1822"/>
      <c r="E71" s="1822"/>
      <c r="F71" s="562" t="s">
        <v>322</v>
      </c>
      <c r="G71" s="562" t="s">
        <v>462</v>
      </c>
      <c r="H71" s="562"/>
      <c r="I71" s="562" t="s">
        <v>462</v>
      </c>
      <c r="J71" s="604"/>
      <c r="K71" s="562"/>
      <c r="L71" s="604">
        <v>8605.51</v>
      </c>
      <c r="M71" s="603"/>
      <c r="N71" s="602"/>
      <c r="V71" s="674"/>
      <c r="W71" s="675"/>
      <c r="X71" s="675"/>
      <c r="AB71" s="537" t="s">
        <v>461</v>
      </c>
      <c r="AD71" s="675"/>
    </row>
    <row r="72" spans="1:30" s="536" customFormat="1" ht="33.75" x14ac:dyDescent="0.2">
      <c r="A72" s="605"/>
      <c r="B72" s="552" t="s">
        <v>463</v>
      </c>
      <c r="C72" s="1822" t="s">
        <v>464</v>
      </c>
      <c r="D72" s="1822"/>
      <c r="E72" s="1822"/>
      <c r="F72" s="562" t="s">
        <v>322</v>
      </c>
      <c r="G72" s="562" t="s">
        <v>465</v>
      </c>
      <c r="H72" s="562"/>
      <c r="I72" s="562" t="s">
        <v>465</v>
      </c>
      <c r="J72" s="604"/>
      <c r="K72" s="562"/>
      <c r="L72" s="604">
        <v>4302.75</v>
      </c>
      <c r="M72" s="603"/>
      <c r="N72" s="602"/>
      <c r="V72" s="674"/>
      <c r="W72" s="675"/>
      <c r="X72" s="675"/>
      <c r="AB72" s="537" t="s">
        <v>464</v>
      </c>
      <c r="AD72" s="675"/>
    </row>
    <row r="73" spans="1:30" s="536" customFormat="1" ht="12" x14ac:dyDescent="0.2">
      <c r="A73" s="569"/>
      <c r="B73" s="683"/>
      <c r="C73" s="1823" t="s">
        <v>327</v>
      </c>
      <c r="D73" s="1823"/>
      <c r="E73" s="1823"/>
      <c r="F73" s="573"/>
      <c r="G73" s="573"/>
      <c r="H73" s="573"/>
      <c r="I73" s="573"/>
      <c r="J73" s="572"/>
      <c r="K73" s="573"/>
      <c r="L73" s="572">
        <v>70015.820000000007</v>
      </c>
      <c r="M73" s="601"/>
      <c r="N73" s="570"/>
      <c r="V73" s="674"/>
      <c r="W73" s="675"/>
      <c r="X73" s="675"/>
      <c r="AD73" s="675" t="s">
        <v>327</v>
      </c>
    </row>
    <row r="74" spans="1:30" s="536" customFormat="1" ht="33.75" x14ac:dyDescent="0.2">
      <c r="A74" s="575" t="s">
        <v>188</v>
      </c>
      <c r="B74" s="684" t="s">
        <v>994</v>
      </c>
      <c r="C74" s="1823" t="s">
        <v>995</v>
      </c>
      <c r="D74" s="1823"/>
      <c r="E74" s="1823"/>
      <c r="F74" s="573" t="s">
        <v>455</v>
      </c>
      <c r="G74" s="573"/>
      <c r="H74" s="573"/>
      <c r="I74" s="573" t="s">
        <v>986</v>
      </c>
      <c r="J74" s="572"/>
      <c r="K74" s="573"/>
      <c r="L74" s="572"/>
      <c r="M74" s="571"/>
      <c r="N74" s="570"/>
      <c r="V74" s="674"/>
      <c r="W74" s="675"/>
      <c r="X74" s="675" t="s">
        <v>995</v>
      </c>
      <c r="AD74" s="675"/>
    </row>
    <row r="75" spans="1:30" s="536" customFormat="1" ht="12" x14ac:dyDescent="0.2">
      <c r="A75" s="676"/>
      <c r="B75" s="682"/>
      <c r="C75" s="1822" t="s">
        <v>987</v>
      </c>
      <c r="D75" s="1822"/>
      <c r="E75" s="1822"/>
      <c r="F75" s="1822"/>
      <c r="G75" s="1822"/>
      <c r="H75" s="1822"/>
      <c r="I75" s="1822"/>
      <c r="J75" s="1822"/>
      <c r="K75" s="1822"/>
      <c r="L75" s="1822"/>
      <c r="M75" s="1822"/>
      <c r="N75" s="1827"/>
      <c r="V75" s="674"/>
      <c r="W75" s="675"/>
      <c r="X75" s="675"/>
      <c r="Y75" s="537" t="s">
        <v>987</v>
      </c>
      <c r="AD75" s="675"/>
    </row>
    <row r="76" spans="1:30" s="536" customFormat="1" ht="12" x14ac:dyDescent="0.2">
      <c r="A76" s="609"/>
      <c r="B76" s="552"/>
      <c r="C76" s="1822" t="s">
        <v>996</v>
      </c>
      <c r="D76" s="1822"/>
      <c r="E76" s="1822"/>
      <c r="F76" s="1822"/>
      <c r="G76" s="1822"/>
      <c r="H76" s="1822"/>
      <c r="I76" s="1822"/>
      <c r="J76" s="1822"/>
      <c r="K76" s="1822"/>
      <c r="L76" s="1822"/>
      <c r="M76" s="1822"/>
      <c r="N76" s="1827"/>
      <c r="V76" s="674"/>
      <c r="W76" s="675"/>
      <c r="X76" s="675"/>
      <c r="Z76" s="537" t="s">
        <v>996</v>
      </c>
      <c r="AD76" s="675"/>
    </row>
    <row r="77" spans="1:30" s="536" customFormat="1" ht="33.75" x14ac:dyDescent="0.2">
      <c r="A77" s="609"/>
      <c r="B77" s="552" t="s">
        <v>310</v>
      </c>
      <c r="C77" s="1822" t="s">
        <v>311</v>
      </c>
      <c r="D77" s="1822"/>
      <c r="E77" s="1822"/>
      <c r="F77" s="1822"/>
      <c r="G77" s="1822"/>
      <c r="H77" s="1822"/>
      <c r="I77" s="1822"/>
      <c r="J77" s="1822"/>
      <c r="K77" s="1822"/>
      <c r="L77" s="1822"/>
      <c r="M77" s="1822"/>
      <c r="N77" s="1827"/>
      <c r="V77" s="674"/>
      <c r="W77" s="675"/>
      <c r="X77" s="675"/>
      <c r="Z77" s="537" t="s">
        <v>311</v>
      </c>
      <c r="AD77" s="675"/>
    </row>
    <row r="78" spans="1:30" s="536" customFormat="1" ht="12" x14ac:dyDescent="0.2">
      <c r="A78" s="605"/>
      <c r="B78" s="552" t="s">
        <v>186</v>
      </c>
      <c r="C78" s="1822" t="s">
        <v>344</v>
      </c>
      <c r="D78" s="1822"/>
      <c r="E78" s="1822"/>
      <c r="F78" s="562"/>
      <c r="G78" s="562"/>
      <c r="H78" s="562"/>
      <c r="I78" s="562"/>
      <c r="J78" s="604">
        <v>168.38</v>
      </c>
      <c r="K78" s="562" t="s">
        <v>997</v>
      </c>
      <c r="L78" s="604">
        <v>51813.89</v>
      </c>
      <c r="M78" s="603"/>
      <c r="N78" s="602"/>
      <c r="V78" s="674"/>
      <c r="W78" s="675"/>
      <c r="X78" s="675"/>
      <c r="AA78" s="537" t="s">
        <v>344</v>
      </c>
      <c r="AD78" s="675"/>
    </row>
    <row r="79" spans="1:30" s="536" customFormat="1" ht="12" x14ac:dyDescent="0.2">
      <c r="A79" s="605"/>
      <c r="B79" s="552" t="s">
        <v>187</v>
      </c>
      <c r="C79" s="1822" t="s">
        <v>345</v>
      </c>
      <c r="D79" s="1822"/>
      <c r="E79" s="1822"/>
      <c r="F79" s="562"/>
      <c r="G79" s="562"/>
      <c r="H79" s="562"/>
      <c r="I79" s="562"/>
      <c r="J79" s="604">
        <v>19.73</v>
      </c>
      <c r="K79" s="562" t="s">
        <v>997</v>
      </c>
      <c r="L79" s="604">
        <v>6071.32</v>
      </c>
      <c r="M79" s="603"/>
      <c r="N79" s="602"/>
      <c r="V79" s="674"/>
      <c r="W79" s="675"/>
      <c r="X79" s="675"/>
      <c r="AA79" s="537" t="s">
        <v>345</v>
      </c>
      <c r="AD79" s="675"/>
    </row>
    <row r="80" spans="1:30" s="536" customFormat="1" ht="12" x14ac:dyDescent="0.2">
      <c r="A80" s="605"/>
      <c r="B80" s="552"/>
      <c r="C80" s="1822" t="s">
        <v>348</v>
      </c>
      <c r="D80" s="1822"/>
      <c r="E80" s="1822"/>
      <c r="F80" s="562" t="s">
        <v>315</v>
      </c>
      <c r="G80" s="562" t="s">
        <v>998</v>
      </c>
      <c r="H80" s="562" t="s">
        <v>997</v>
      </c>
      <c r="I80" s="562" t="s">
        <v>999</v>
      </c>
      <c r="J80" s="604"/>
      <c r="K80" s="562"/>
      <c r="L80" s="604"/>
      <c r="M80" s="603"/>
      <c r="N80" s="602"/>
      <c r="V80" s="674"/>
      <c r="W80" s="675"/>
      <c r="X80" s="675"/>
      <c r="AB80" s="537" t="s">
        <v>348</v>
      </c>
      <c r="AD80" s="675"/>
    </row>
    <row r="81" spans="1:30" s="536" customFormat="1" ht="12" x14ac:dyDescent="0.2">
      <c r="A81" s="605"/>
      <c r="B81" s="552"/>
      <c r="C81" s="1828" t="s">
        <v>318</v>
      </c>
      <c r="D81" s="1828"/>
      <c r="E81" s="1828"/>
      <c r="F81" s="608"/>
      <c r="G81" s="608"/>
      <c r="H81" s="608"/>
      <c r="I81" s="608"/>
      <c r="J81" s="607">
        <v>168.38</v>
      </c>
      <c r="K81" s="608"/>
      <c r="L81" s="607">
        <v>51813.89</v>
      </c>
      <c r="M81" s="601"/>
      <c r="N81" s="606"/>
      <c r="V81" s="674"/>
      <c r="W81" s="675"/>
      <c r="X81" s="675"/>
      <c r="AC81" s="537" t="s">
        <v>318</v>
      </c>
      <c r="AD81" s="675"/>
    </row>
    <row r="82" spans="1:30" s="536" customFormat="1" ht="12" x14ac:dyDescent="0.2">
      <c r="A82" s="605"/>
      <c r="B82" s="552"/>
      <c r="C82" s="1822" t="s">
        <v>319</v>
      </c>
      <c r="D82" s="1822"/>
      <c r="E82" s="1822"/>
      <c r="F82" s="562"/>
      <c r="G82" s="562"/>
      <c r="H82" s="562"/>
      <c r="I82" s="562"/>
      <c r="J82" s="604"/>
      <c r="K82" s="562"/>
      <c r="L82" s="604">
        <v>6071.32</v>
      </c>
      <c r="M82" s="603"/>
      <c r="N82" s="602"/>
      <c r="V82" s="674"/>
      <c r="W82" s="675"/>
      <c r="X82" s="675"/>
      <c r="AB82" s="537" t="s">
        <v>319</v>
      </c>
      <c r="AD82" s="675"/>
    </row>
    <row r="83" spans="1:30" s="536" customFormat="1" ht="33.75" x14ac:dyDescent="0.2">
      <c r="A83" s="605"/>
      <c r="B83" s="552" t="s">
        <v>460</v>
      </c>
      <c r="C83" s="1822" t="s">
        <v>461</v>
      </c>
      <c r="D83" s="1822"/>
      <c r="E83" s="1822"/>
      <c r="F83" s="562" t="s">
        <v>322</v>
      </c>
      <c r="G83" s="562" t="s">
        <v>462</v>
      </c>
      <c r="H83" s="562"/>
      <c r="I83" s="562" t="s">
        <v>462</v>
      </c>
      <c r="J83" s="604"/>
      <c r="K83" s="562"/>
      <c r="L83" s="604">
        <v>5585.61</v>
      </c>
      <c r="M83" s="603"/>
      <c r="N83" s="602"/>
      <c r="V83" s="674"/>
      <c r="W83" s="675"/>
      <c r="X83" s="675"/>
      <c r="AB83" s="537" t="s">
        <v>461</v>
      </c>
      <c r="AD83" s="675"/>
    </row>
    <row r="84" spans="1:30" s="536" customFormat="1" ht="33.75" x14ac:dyDescent="0.2">
      <c r="A84" s="605"/>
      <c r="B84" s="552" t="s">
        <v>463</v>
      </c>
      <c r="C84" s="1822" t="s">
        <v>464</v>
      </c>
      <c r="D84" s="1822"/>
      <c r="E84" s="1822"/>
      <c r="F84" s="562" t="s">
        <v>322</v>
      </c>
      <c r="G84" s="562" t="s">
        <v>465</v>
      </c>
      <c r="H84" s="562"/>
      <c r="I84" s="562" t="s">
        <v>465</v>
      </c>
      <c r="J84" s="604"/>
      <c r="K84" s="562"/>
      <c r="L84" s="604">
        <v>2792.81</v>
      </c>
      <c r="M84" s="603"/>
      <c r="N84" s="602"/>
      <c r="V84" s="674"/>
      <c r="W84" s="675"/>
      <c r="X84" s="675"/>
      <c r="AB84" s="537" t="s">
        <v>464</v>
      </c>
      <c r="AD84" s="675"/>
    </row>
    <row r="85" spans="1:30" s="536" customFormat="1" ht="12" x14ac:dyDescent="0.2">
      <c r="A85" s="569"/>
      <c r="B85" s="683"/>
      <c r="C85" s="1823" t="s">
        <v>327</v>
      </c>
      <c r="D85" s="1823"/>
      <c r="E85" s="1823"/>
      <c r="F85" s="573"/>
      <c r="G85" s="573"/>
      <c r="H85" s="573"/>
      <c r="I85" s="573"/>
      <c r="J85" s="572"/>
      <c r="K85" s="573"/>
      <c r="L85" s="572">
        <v>60192.31</v>
      </c>
      <c r="M85" s="601"/>
      <c r="N85" s="570"/>
      <c r="V85" s="674"/>
      <c r="W85" s="675"/>
      <c r="X85" s="675"/>
      <c r="AD85" s="675" t="s">
        <v>327</v>
      </c>
    </row>
    <row r="86" spans="1:30" s="536" customFormat="1" ht="56.25" x14ac:dyDescent="0.2">
      <c r="A86" s="575" t="s">
        <v>189</v>
      </c>
      <c r="B86" s="684" t="s">
        <v>1000</v>
      </c>
      <c r="C86" s="1823" t="s">
        <v>1001</v>
      </c>
      <c r="D86" s="1823"/>
      <c r="E86" s="1823"/>
      <c r="F86" s="573" t="s">
        <v>455</v>
      </c>
      <c r="G86" s="573"/>
      <c r="H86" s="573"/>
      <c r="I86" s="573" t="s">
        <v>1002</v>
      </c>
      <c r="J86" s="572"/>
      <c r="K86" s="573"/>
      <c r="L86" s="572"/>
      <c r="M86" s="571"/>
      <c r="N86" s="570"/>
      <c r="V86" s="674"/>
      <c r="W86" s="675"/>
      <c r="X86" s="675" t="s">
        <v>1001</v>
      </c>
      <c r="AD86" s="675"/>
    </row>
    <row r="87" spans="1:30" s="536" customFormat="1" ht="12" x14ac:dyDescent="0.2">
      <c r="A87" s="676"/>
      <c r="B87" s="682"/>
      <c r="C87" s="1822" t="s">
        <v>1003</v>
      </c>
      <c r="D87" s="1822"/>
      <c r="E87" s="1822"/>
      <c r="F87" s="1822"/>
      <c r="G87" s="1822"/>
      <c r="H87" s="1822"/>
      <c r="I87" s="1822"/>
      <c r="J87" s="1822"/>
      <c r="K87" s="1822"/>
      <c r="L87" s="1822"/>
      <c r="M87" s="1822"/>
      <c r="N87" s="1827"/>
      <c r="V87" s="674"/>
      <c r="W87" s="675"/>
      <c r="X87" s="675"/>
      <c r="Y87" s="537" t="s">
        <v>1003</v>
      </c>
      <c r="AD87" s="675"/>
    </row>
    <row r="88" spans="1:30" s="536" customFormat="1" ht="33.75" x14ac:dyDescent="0.2">
      <c r="A88" s="609"/>
      <c r="B88" s="552" t="s">
        <v>310</v>
      </c>
      <c r="C88" s="1822" t="s">
        <v>311</v>
      </c>
      <c r="D88" s="1822"/>
      <c r="E88" s="1822"/>
      <c r="F88" s="1822"/>
      <c r="G88" s="1822"/>
      <c r="H88" s="1822"/>
      <c r="I88" s="1822"/>
      <c r="J88" s="1822"/>
      <c r="K88" s="1822"/>
      <c r="L88" s="1822"/>
      <c r="M88" s="1822"/>
      <c r="N88" s="1827"/>
      <c r="V88" s="674"/>
      <c r="W88" s="675"/>
      <c r="X88" s="675"/>
      <c r="Z88" s="537" t="s">
        <v>311</v>
      </c>
      <c r="AD88" s="675"/>
    </row>
    <row r="89" spans="1:30" s="536" customFormat="1" ht="12" x14ac:dyDescent="0.2">
      <c r="A89" s="605"/>
      <c r="B89" s="552" t="s">
        <v>186</v>
      </c>
      <c r="C89" s="1822" t="s">
        <v>344</v>
      </c>
      <c r="D89" s="1822"/>
      <c r="E89" s="1822"/>
      <c r="F89" s="562"/>
      <c r="G89" s="562"/>
      <c r="H89" s="562"/>
      <c r="I89" s="562"/>
      <c r="J89" s="604">
        <v>5700</v>
      </c>
      <c r="K89" s="562" t="s">
        <v>313</v>
      </c>
      <c r="L89" s="604">
        <v>45429</v>
      </c>
      <c r="M89" s="603"/>
      <c r="N89" s="602"/>
      <c r="V89" s="674"/>
      <c r="W89" s="675"/>
      <c r="X89" s="675"/>
      <c r="AA89" s="537" t="s">
        <v>344</v>
      </c>
      <c r="AD89" s="675"/>
    </row>
    <row r="90" spans="1:30" s="536" customFormat="1" ht="12" x14ac:dyDescent="0.2">
      <c r="A90" s="605"/>
      <c r="B90" s="552" t="s">
        <v>187</v>
      </c>
      <c r="C90" s="1822" t="s">
        <v>345</v>
      </c>
      <c r="D90" s="1822"/>
      <c r="E90" s="1822"/>
      <c r="F90" s="562"/>
      <c r="G90" s="562"/>
      <c r="H90" s="562"/>
      <c r="I90" s="562"/>
      <c r="J90" s="604">
        <v>769.5</v>
      </c>
      <c r="K90" s="562" t="s">
        <v>313</v>
      </c>
      <c r="L90" s="604">
        <v>6132.92</v>
      </c>
      <c r="M90" s="603"/>
      <c r="N90" s="602"/>
      <c r="V90" s="674"/>
      <c r="W90" s="675"/>
      <c r="X90" s="675"/>
      <c r="AA90" s="537" t="s">
        <v>345</v>
      </c>
      <c r="AD90" s="675"/>
    </row>
    <row r="91" spans="1:30" s="536" customFormat="1" ht="12" x14ac:dyDescent="0.2">
      <c r="A91" s="605"/>
      <c r="B91" s="552"/>
      <c r="C91" s="1822" t="s">
        <v>348</v>
      </c>
      <c r="D91" s="1822"/>
      <c r="E91" s="1822"/>
      <c r="F91" s="562" t="s">
        <v>315</v>
      </c>
      <c r="G91" s="562" t="s">
        <v>791</v>
      </c>
      <c r="H91" s="562" t="s">
        <v>313</v>
      </c>
      <c r="I91" s="562" t="s">
        <v>1004</v>
      </c>
      <c r="J91" s="604"/>
      <c r="K91" s="562"/>
      <c r="L91" s="604"/>
      <c r="M91" s="603"/>
      <c r="N91" s="602"/>
      <c r="V91" s="674"/>
      <c r="W91" s="675"/>
      <c r="X91" s="675"/>
      <c r="AB91" s="537" t="s">
        <v>348</v>
      </c>
      <c r="AD91" s="675"/>
    </row>
    <row r="92" spans="1:30" s="536" customFormat="1" ht="12" x14ac:dyDescent="0.2">
      <c r="A92" s="605"/>
      <c r="B92" s="552"/>
      <c r="C92" s="1828" t="s">
        <v>318</v>
      </c>
      <c r="D92" s="1828"/>
      <c r="E92" s="1828"/>
      <c r="F92" s="608"/>
      <c r="G92" s="608"/>
      <c r="H92" s="608"/>
      <c r="I92" s="608"/>
      <c r="J92" s="607">
        <v>5700</v>
      </c>
      <c r="K92" s="608"/>
      <c r="L92" s="607">
        <v>45429</v>
      </c>
      <c r="M92" s="601"/>
      <c r="N92" s="606"/>
      <c r="V92" s="674"/>
      <c r="W92" s="675"/>
      <c r="X92" s="675"/>
      <c r="AC92" s="537" t="s">
        <v>318</v>
      </c>
      <c r="AD92" s="675"/>
    </row>
    <row r="93" spans="1:30" s="536" customFormat="1" ht="12" x14ac:dyDescent="0.2">
      <c r="A93" s="605"/>
      <c r="B93" s="552"/>
      <c r="C93" s="1822" t="s">
        <v>319</v>
      </c>
      <c r="D93" s="1822"/>
      <c r="E93" s="1822"/>
      <c r="F93" s="562"/>
      <c r="G93" s="562"/>
      <c r="H93" s="562"/>
      <c r="I93" s="562"/>
      <c r="J93" s="604"/>
      <c r="K93" s="562"/>
      <c r="L93" s="604">
        <v>6132.92</v>
      </c>
      <c r="M93" s="603"/>
      <c r="N93" s="602"/>
      <c r="V93" s="674"/>
      <c r="W93" s="675"/>
      <c r="X93" s="675"/>
      <c r="AB93" s="537" t="s">
        <v>319</v>
      </c>
      <c r="AD93" s="675"/>
    </row>
    <row r="94" spans="1:30" s="536" customFormat="1" ht="33.75" x14ac:dyDescent="0.2">
      <c r="A94" s="605"/>
      <c r="B94" s="552" t="s">
        <v>460</v>
      </c>
      <c r="C94" s="1822" t="s">
        <v>461</v>
      </c>
      <c r="D94" s="1822"/>
      <c r="E94" s="1822"/>
      <c r="F94" s="562" t="s">
        <v>322</v>
      </c>
      <c r="G94" s="562" t="s">
        <v>462</v>
      </c>
      <c r="H94" s="562"/>
      <c r="I94" s="562" t="s">
        <v>462</v>
      </c>
      <c r="J94" s="604"/>
      <c r="K94" s="562"/>
      <c r="L94" s="604">
        <v>5642.29</v>
      </c>
      <c r="M94" s="603"/>
      <c r="N94" s="602"/>
      <c r="V94" s="674"/>
      <c r="W94" s="675"/>
      <c r="X94" s="675"/>
      <c r="AB94" s="537" t="s">
        <v>461</v>
      </c>
      <c r="AD94" s="675"/>
    </row>
    <row r="95" spans="1:30" s="536" customFormat="1" ht="33.75" x14ac:dyDescent="0.2">
      <c r="A95" s="605"/>
      <c r="B95" s="552" t="s">
        <v>463</v>
      </c>
      <c r="C95" s="1822" t="s">
        <v>464</v>
      </c>
      <c r="D95" s="1822"/>
      <c r="E95" s="1822"/>
      <c r="F95" s="562" t="s">
        <v>322</v>
      </c>
      <c r="G95" s="562" t="s">
        <v>465</v>
      </c>
      <c r="H95" s="562"/>
      <c r="I95" s="562" t="s">
        <v>465</v>
      </c>
      <c r="J95" s="604"/>
      <c r="K95" s="562"/>
      <c r="L95" s="604">
        <v>2821.14</v>
      </c>
      <c r="M95" s="603"/>
      <c r="N95" s="602"/>
      <c r="V95" s="674"/>
      <c r="W95" s="675"/>
      <c r="X95" s="675"/>
      <c r="AB95" s="537" t="s">
        <v>464</v>
      </c>
      <c r="AD95" s="675"/>
    </row>
    <row r="96" spans="1:30" s="536" customFormat="1" ht="12" x14ac:dyDescent="0.2">
      <c r="A96" s="569"/>
      <c r="B96" s="683"/>
      <c r="C96" s="1823" t="s">
        <v>327</v>
      </c>
      <c r="D96" s="1823"/>
      <c r="E96" s="1823"/>
      <c r="F96" s="573"/>
      <c r="G96" s="573"/>
      <c r="H96" s="573"/>
      <c r="I96" s="573"/>
      <c r="J96" s="572"/>
      <c r="K96" s="573"/>
      <c r="L96" s="572">
        <v>53892.43</v>
      </c>
      <c r="M96" s="601"/>
      <c r="N96" s="570"/>
      <c r="V96" s="674"/>
      <c r="W96" s="675"/>
      <c r="X96" s="675"/>
      <c r="AD96" s="675" t="s">
        <v>327</v>
      </c>
    </row>
    <row r="97" spans="1:30" s="536" customFormat="1" ht="45" x14ac:dyDescent="0.2">
      <c r="A97" s="575" t="s">
        <v>190</v>
      </c>
      <c r="B97" s="684" t="s">
        <v>1005</v>
      </c>
      <c r="C97" s="1823" t="s">
        <v>1006</v>
      </c>
      <c r="D97" s="1823"/>
      <c r="E97" s="1823"/>
      <c r="F97" s="573" t="s">
        <v>201</v>
      </c>
      <c r="G97" s="573"/>
      <c r="H97" s="573"/>
      <c r="I97" s="573" t="s">
        <v>1007</v>
      </c>
      <c r="J97" s="572">
        <v>2.91</v>
      </c>
      <c r="K97" s="573"/>
      <c r="L97" s="572">
        <v>42674.57</v>
      </c>
      <c r="M97" s="571"/>
      <c r="N97" s="570"/>
      <c r="V97" s="674"/>
      <c r="W97" s="675"/>
      <c r="X97" s="675" t="s">
        <v>1006</v>
      </c>
      <c r="AD97" s="675"/>
    </row>
    <row r="98" spans="1:30" s="536" customFormat="1" ht="12" x14ac:dyDescent="0.2">
      <c r="A98" s="676"/>
      <c r="B98" s="682"/>
      <c r="C98" s="1822" t="s">
        <v>1008</v>
      </c>
      <c r="D98" s="1822"/>
      <c r="E98" s="1822"/>
      <c r="F98" s="1822"/>
      <c r="G98" s="1822"/>
      <c r="H98" s="1822"/>
      <c r="I98" s="1822"/>
      <c r="J98" s="1822"/>
      <c r="K98" s="1822"/>
      <c r="L98" s="1822"/>
      <c r="M98" s="1822"/>
      <c r="N98" s="1827"/>
      <c r="V98" s="674"/>
      <c r="W98" s="675"/>
      <c r="X98" s="675"/>
      <c r="Y98" s="537" t="s">
        <v>1008</v>
      </c>
      <c r="AD98" s="675"/>
    </row>
    <row r="99" spans="1:30" s="536" customFormat="1" ht="45" x14ac:dyDescent="0.2">
      <c r="A99" s="575" t="s">
        <v>191</v>
      </c>
      <c r="B99" s="684" t="s">
        <v>1009</v>
      </c>
      <c r="C99" s="1823" t="s">
        <v>1010</v>
      </c>
      <c r="D99" s="1823"/>
      <c r="E99" s="1823"/>
      <c r="F99" s="573" t="s">
        <v>201</v>
      </c>
      <c r="G99" s="573"/>
      <c r="H99" s="573"/>
      <c r="I99" s="573" t="s">
        <v>1011</v>
      </c>
      <c r="J99" s="572">
        <v>3.96</v>
      </c>
      <c r="K99" s="573"/>
      <c r="L99" s="572">
        <v>1119.8900000000001</v>
      </c>
      <c r="M99" s="571"/>
      <c r="N99" s="570"/>
      <c r="V99" s="674"/>
      <c r="W99" s="675"/>
      <c r="X99" s="675" t="s">
        <v>1010</v>
      </c>
      <c r="AD99" s="675"/>
    </row>
    <row r="100" spans="1:30" s="536" customFormat="1" ht="12" x14ac:dyDescent="0.2">
      <c r="A100" s="569"/>
      <c r="B100" s="683"/>
      <c r="C100" s="689" t="s">
        <v>542</v>
      </c>
      <c r="D100" s="690"/>
      <c r="E100" s="690"/>
      <c r="F100" s="563"/>
      <c r="G100" s="563"/>
      <c r="H100" s="563"/>
      <c r="I100" s="563"/>
      <c r="J100" s="566"/>
      <c r="K100" s="563"/>
      <c r="L100" s="566"/>
      <c r="M100" s="565"/>
      <c r="N100" s="564"/>
      <c r="V100" s="674"/>
      <c r="W100" s="675"/>
      <c r="X100" s="675"/>
      <c r="AD100" s="675"/>
    </row>
    <row r="101" spans="1:30" s="536" customFormat="1" ht="12" x14ac:dyDescent="0.2">
      <c r="A101" s="676"/>
      <c r="B101" s="682"/>
      <c r="C101" s="1822" t="s">
        <v>1012</v>
      </c>
      <c r="D101" s="1822"/>
      <c r="E101" s="1822"/>
      <c r="F101" s="1822"/>
      <c r="G101" s="1822"/>
      <c r="H101" s="1822"/>
      <c r="I101" s="1822"/>
      <c r="J101" s="1822"/>
      <c r="K101" s="1822"/>
      <c r="L101" s="1822"/>
      <c r="M101" s="1822"/>
      <c r="N101" s="1827"/>
      <c r="V101" s="674"/>
      <c r="W101" s="675"/>
      <c r="X101" s="675"/>
      <c r="Y101" s="537" t="s">
        <v>1012</v>
      </c>
      <c r="AD101" s="675"/>
    </row>
    <row r="102" spans="1:30" s="536" customFormat="1" ht="45" x14ac:dyDescent="0.2">
      <c r="A102" s="575" t="s">
        <v>192</v>
      </c>
      <c r="B102" s="684" t="s">
        <v>469</v>
      </c>
      <c r="C102" s="1823" t="s">
        <v>470</v>
      </c>
      <c r="D102" s="1823"/>
      <c r="E102" s="1823"/>
      <c r="F102" s="573" t="s">
        <v>201</v>
      </c>
      <c r="G102" s="573"/>
      <c r="H102" s="573"/>
      <c r="I102" s="573" t="s">
        <v>1011</v>
      </c>
      <c r="J102" s="572">
        <v>12.6</v>
      </c>
      <c r="K102" s="573"/>
      <c r="L102" s="572">
        <v>3563.28</v>
      </c>
      <c r="M102" s="571"/>
      <c r="N102" s="570"/>
      <c r="V102" s="674"/>
      <c r="W102" s="675"/>
      <c r="X102" s="675" t="s">
        <v>470</v>
      </c>
      <c r="AD102" s="675"/>
    </row>
    <row r="103" spans="1:30" s="536" customFormat="1" ht="12" x14ac:dyDescent="0.2">
      <c r="A103" s="676"/>
      <c r="B103" s="682"/>
      <c r="C103" s="1822" t="s">
        <v>1012</v>
      </c>
      <c r="D103" s="1822"/>
      <c r="E103" s="1822"/>
      <c r="F103" s="1822"/>
      <c r="G103" s="1822"/>
      <c r="H103" s="1822"/>
      <c r="I103" s="1822"/>
      <c r="J103" s="1822"/>
      <c r="K103" s="1822"/>
      <c r="L103" s="1822"/>
      <c r="M103" s="1822"/>
      <c r="N103" s="1827"/>
      <c r="V103" s="674"/>
      <c r="W103" s="675"/>
      <c r="X103" s="675"/>
      <c r="Y103" s="537" t="s">
        <v>1012</v>
      </c>
      <c r="AD103" s="675"/>
    </row>
    <row r="104" spans="1:30" s="536" customFormat="1" ht="56.25" x14ac:dyDescent="0.2">
      <c r="A104" s="575" t="s">
        <v>193</v>
      </c>
      <c r="B104" s="684" t="s">
        <v>1013</v>
      </c>
      <c r="C104" s="1823" t="s">
        <v>1014</v>
      </c>
      <c r="D104" s="1823"/>
      <c r="E104" s="1823"/>
      <c r="F104" s="573" t="s">
        <v>455</v>
      </c>
      <c r="G104" s="573"/>
      <c r="H104" s="573"/>
      <c r="I104" s="573" t="s">
        <v>1015</v>
      </c>
      <c r="J104" s="572"/>
      <c r="K104" s="573"/>
      <c r="L104" s="572"/>
      <c r="M104" s="571"/>
      <c r="N104" s="570"/>
      <c r="V104" s="674"/>
      <c r="W104" s="675"/>
      <c r="X104" s="675" t="s">
        <v>1014</v>
      </c>
      <c r="AD104" s="675"/>
    </row>
    <row r="105" spans="1:30" s="536" customFormat="1" ht="12" x14ac:dyDescent="0.2">
      <c r="A105" s="676"/>
      <c r="B105" s="682"/>
      <c r="C105" s="1822" t="s">
        <v>1016</v>
      </c>
      <c r="D105" s="1822"/>
      <c r="E105" s="1822"/>
      <c r="F105" s="1822"/>
      <c r="G105" s="1822"/>
      <c r="H105" s="1822"/>
      <c r="I105" s="1822"/>
      <c r="J105" s="1822"/>
      <c r="K105" s="1822"/>
      <c r="L105" s="1822"/>
      <c r="M105" s="1822"/>
      <c r="N105" s="1827"/>
      <c r="V105" s="674"/>
      <c r="W105" s="675"/>
      <c r="X105" s="675"/>
      <c r="Y105" s="537" t="s">
        <v>1016</v>
      </c>
      <c r="AD105" s="675"/>
    </row>
    <row r="106" spans="1:30" s="536" customFormat="1" ht="33.75" x14ac:dyDescent="0.2">
      <c r="A106" s="609"/>
      <c r="B106" s="552" t="s">
        <v>310</v>
      </c>
      <c r="C106" s="1822" t="s">
        <v>311</v>
      </c>
      <c r="D106" s="1822"/>
      <c r="E106" s="1822"/>
      <c r="F106" s="1822"/>
      <c r="G106" s="1822"/>
      <c r="H106" s="1822"/>
      <c r="I106" s="1822"/>
      <c r="J106" s="1822"/>
      <c r="K106" s="1822"/>
      <c r="L106" s="1822"/>
      <c r="M106" s="1822"/>
      <c r="N106" s="1827"/>
      <c r="V106" s="674"/>
      <c r="W106" s="675"/>
      <c r="X106" s="675"/>
      <c r="Z106" s="537" t="s">
        <v>311</v>
      </c>
      <c r="AD106" s="675"/>
    </row>
    <row r="107" spans="1:30" s="536" customFormat="1" ht="12" x14ac:dyDescent="0.2">
      <c r="A107" s="605"/>
      <c r="B107" s="552" t="s">
        <v>186</v>
      </c>
      <c r="C107" s="1822" t="s">
        <v>344</v>
      </c>
      <c r="D107" s="1822"/>
      <c r="E107" s="1822"/>
      <c r="F107" s="562"/>
      <c r="G107" s="562"/>
      <c r="H107" s="562"/>
      <c r="I107" s="562"/>
      <c r="J107" s="604">
        <v>386.97</v>
      </c>
      <c r="K107" s="562" t="s">
        <v>313</v>
      </c>
      <c r="L107" s="604">
        <v>97.71</v>
      </c>
      <c r="M107" s="603"/>
      <c r="N107" s="602"/>
      <c r="V107" s="674"/>
      <c r="W107" s="675"/>
      <c r="X107" s="675"/>
      <c r="AA107" s="537" t="s">
        <v>344</v>
      </c>
      <c r="AD107" s="675"/>
    </row>
    <row r="108" spans="1:30" s="536" customFormat="1" ht="12" x14ac:dyDescent="0.2">
      <c r="A108" s="605"/>
      <c r="B108" s="552" t="s">
        <v>187</v>
      </c>
      <c r="C108" s="1822" t="s">
        <v>345</v>
      </c>
      <c r="D108" s="1822"/>
      <c r="E108" s="1822"/>
      <c r="F108" s="562"/>
      <c r="G108" s="562"/>
      <c r="H108" s="562"/>
      <c r="I108" s="562"/>
      <c r="J108" s="604">
        <v>22.9</v>
      </c>
      <c r="K108" s="562" t="s">
        <v>313</v>
      </c>
      <c r="L108" s="604">
        <v>5.78</v>
      </c>
      <c r="M108" s="603"/>
      <c r="N108" s="602"/>
      <c r="V108" s="674"/>
      <c r="W108" s="675"/>
      <c r="X108" s="675"/>
      <c r="AA108" s="537" t="s">
        <v>345</v>
      </c>
      <c r="AD108" s="675"/>
    </row>
    <row r="109" spans="1:30" s="536" customFormat="1" ht="12" x14ac:dyDescent="0.2">
      <c r="A109" s="605"/>
      <c r="B109" s="552"/>
      <c r="C109" s="1822" t="s">
        <v>348</v>
      </c>
      <c r="D109" s="1822"/>
      <c r="E109" s="1822"/>
      <c r="F109" s="562" t="s">
        <v>315</v>
      </c>
      <c r="G109" s="562" t="s">
        <v>1017</v>
      </c>
      <c r="H109" s="562" t="s">
        <v>313</v>
      </c>
      <c r="I109" s="562" t="s">
        <v>1018</v>
      </c>
      <c r="J109" s="604"/>
      <c r="K109" s="562"/>
      <c r="L109" s="604"/>
      <c r="M109" s="603"/>
      <c r="N109" s="602"/>
      <c r="V109" s="674"/>
      <c r="W109" s="675"/>
      <c r="X109" s="675"/>
      <c r="AB109" s="537" t="s">
        <v>348</v>
      </c>
      <c r="AD109" s="675"/>
    </row>
    <row r="110" spans="1:30" s="536" customFormat="1" ht="12" x14ac:dyDescent="0.2">
      <c r="A110" s="605"/>
      <c r="B110" s="552"/>
      <c r="C110" s="1828" t="s">
        <v>318</v>
      </c>
      <c r="D110" s="1828"/>
      <c r="E110" s="1828"/>
      <c r="F110" s="608"/>
      <c r="G110" s="608"/>
      <c r="H110" s="608"/>
      <c r="I110" s="608"/>
      <c r="J110" s="607">
        <v>386.97</v>
      </c>
      <c r="K110" s="608"/>
      <c r="L110" s="607">
        <v>97.71</v>
      </c>
      <c r="M110" s="601"/>
      <c r="N110" s="606"/>
      <c r="V110" s="674"/>
      <c r="W110" s="675"/>
      <c r="X110" s="675"/>
      <c r="AC110" s="537" t="s">
        <v>318</v>
      </c>
      <c r="AD110" s="675"/>
    </row>
    <row r="111" spans="1:30" s="536" customFormat="1" ht="12" x14ac:dyDescent="0.2">
      <c r="A111" s="605"/>
      <c r="B111" s="552"/>
      <c r="C111" s="1822" t="s">
        <v>319</v>
      </c>
      <c r="D111" s="1822"/>
      <c r="E111" s="1822"/>
      <c r="F111" s="562"/>
      <c r="G111" s="562"/>
      <c r="H111" s="562"/>
      <c r="I111" s="562"/>
      <c r="J111" s="604"/>
      <c r="K111" s="562"/>
      <c r="L111" s="604">
        <v>5.78</v>
      </c>
      <c r="M111" s="603"/>
      <c r="N111" s="602"/>
      <c r="V111" s="674"/>
      <c r="W111" s="675"/>
      <c r="X111" s="675"/>
      <c r="AB111" s="537" t="s">
        <v>319</v>
      </c>
      <c r="AD111" s="675"/>
    </row>
    <row r="112" spans="1:30" s="536" customFormat="1" ht="33.75" x14ac:dyDescent="0.2">
      <c r="A112" s="605"/>
      <c r="B112" s="552" t="s">
        <v>460</v>
      </c>
      <c r="C112" s="1822" t="s">
        <v>461</v>
      </c>
      <c r="D112" s="1822"/>
      <c r="E112" s="1822"/>
      <c r="F112" s="562" t="s">
        <v>322</v>
      </c>
      <c r="G112" s="562" t="s">
        <v>462</v>
      </c>
      <c r="H112" s="562"/>
      <c r="I112" s="562" t="s">
        <v>462</v>
      </c>
      <c r="J112" s="604"/>
      <c r="K112" s="562"/>
      <c r="L112" s="604">
        <v>5.32</v>
      </c>
      <c r="M112" s="603"/>
      <c r="N112" s="602"/>
      <c r="V112" s="674"/>
      <c r="W112" s="675"/>
      <c r="X112" s="675"/>
      <c r="AB112" s="537" t="s">
        <v>461</v>
      </c>
      <c r="AD112" s="675"/>
    </row>
    <row r="113" spans="1:32" s="536" customFormat="1" ht="33.75" x14ac:dyDescent="0.2">
      <c r="A113" s="605"/>
      <c r="B113" s="552" t="s">
        <v>463</v>
      </c>
      <c r="C113" s="1822" t="s">
        <v>464</v>
      </c>
      <c r="D113" s="1822"/>
      <c r="E113" s="1822"/>
      <c r="F113" s="562" t="s">
        <v>322</v>
      </c>
      <c r="G113" s="562" t="s">
        <v>465</v>
      </c>
      <c r="H113" s="562"/>
      <c r="I113" s="562" t="s">
        <v>465</v>
      </c>
      <c r="J113" s="604"/>
      <c r="K113" s="562"/>
      <c r="L113" s="604">
        <v>2.66</v>
      </c>
      <c r="M113" s="603"/>
      <c r="N113" s="602"/>
      <c r="V113" s="674"/>
      <c r="W113" s="675"/>
      <c r="X113" s="675"/>
      <c r="AB113" s="537" t="s">
        <v>464</v>
      </c>
      <c r="AD113" s="675"/>
    </row>
    <row r="114" spans="1:32" s="536" customFormat="1" ht="12" x14ac:dyDescent="0.2">
      <c r="A114" s="569"/>
      <c r="B114" s="683"/>
      <c r="C114" s="1823" t="s">
        <v>327</v>
      </c>
      <c r="D114" s="1823"/>
      <c r="E114" s="1823"/>
      <c r="F114" s="573"/>
      <c r="G114" s="573"/>
      <c r="H114" s="573"/>
      <c r="I114" s="573"/>
      <c r="J114" s="572"/>
      <c r="K114" s="573"/>
      <c r="L114" s="572">
        <v>105.69</v>
      </c>
      <c r="M114" s="601"/>
      <c r="N114" s="570"/>
      <c r="V114" s="674"/>
      <c r="W114" s="675"/>
      <c r="X114" s="675"/>
      <c r="AD114" s="675" t="s">
        <v>327</v>
      </c>
    </row>
    <row r="115" spans="1:32" s="536" customFormat="1" ht="1.5" customHeight="1" x14ac:dyDescent="0.2">
      <c r="A115" s="563"/>
      <c r="B115" s="683"/>
      <c r="C115" s="683"/>
      <c r="D115" s="683"/>
      <c r="E115" s="683"/>
      <c r="F115" s="563"/>
      <c r="G115" s="563"/>
      <c r="H115" s="563"/>
      <c r="I115" s="563"/>
      <c r="J115" s="546"/>
      <c r="K115" s="563"/>
      <c r="L115" s="546"/>
      <c r="M115" s="562"/>
      <c r="N115" s="546"/>
      <c r="V115" s="674"/>
      <c r="W115" s="675"/>
      <c r="X115" s="675"/>
      <c r="AD115" s="675"/>
    </row>
    <row r="116" spans="1:32" s="536" customFormat="1" ht="12" x14ac:dyDescent="0.2">
      <c r="A116" s="557"/>
      <c r="B116" s="556"/>
      <c r="C116" s="1823" t="s">
        <v>1021</v>
      </c>
      <c r="D116" s="1823"/>
      <c r="E116" s="1823"/>
      <c r="F116" s="1823"/>
      <c r="G116" s="1823"/>
      <c r="H116" s="1823"/>
      <c r="I116" s="1823"/>
      <c r="J116" s="1823"/>
      <c r="K116" s="1823"/>
      <c r="L116" s="555"/>
      <c r="M116" s="554"/>
      <c r="N116" s="553"/>
      <c r="V116" s="674"/>
      <c r="W116" s="675"/>
      <c r="X116" s="675"/>
      <c r="AD116" s="675"/>
      <c r="AE116" s="675" t="s">
        <v>1021</v>
      </c>
    </row>
    <row r="117" spans="1:32" s="536" customFormat="1" ht="12" x14ac:dyDescent="0.2">
      <c r="A117" s="548"/>
      <c r="B117" s="552"/>
      <c r="C117" s="1822" t="s">
        <v>403</v>
      </c>
      <c r="D117" s="1822"/>
      <c r="E117" s="1822"/>
      <c r="F117" s="1822"/>
      <c r="G117" s="1822"/>
      <c r="H117" s="1822"/>
      <c r="I117" s="1822"/>
      <c r="J117" s="1822"/>
      <c r="K117" s="1822"/>
      <c r="L117" s="551">
        <v>357308.42</v>
      </c>
      <c r="M117" s="550"/>
      <c r="N117" s="549"/>
      <c r="V117" s="674"/>
      <c r="W117" s="675"/>
      <c r="X117" s="675"/>
      <c r="AD117" s="675"/>
      <c r="AE117" s="675"/>
      <c r="AF117" s="537" t="s">
        <v>403</v>
      </c>
    </row>
    <row r="118" spans="1:32" s="536" customFormat="1" ht="12" x14ac:dyDescent="0.2">
      <c r="A118" s="548"/>
      <c r="B118" s="552"/>
      <c r="C118" s="1822" t="s">
        <v>204</v>
      </c>
      <c r="D118" s="1822"/>
      <c r="E118" s="1822"/>
      <c r="F118" s="1822"/>
      <c r="G118" s="1822"/>
      <c r="H118" s="1822"/>
      <c r="I118" s="1822"/>
      <c r="J118" s="1822"/>
      <c r="K118" s="1822"/>
      <c r="L118" s="551"/>
      <c r="M118" s="550"/>
      <c r="N118" s="549"/>
      <c r="V118" s="674"/>
      <c r="W118" s="675"/>
      <c r="X118" s="675"/>
      <c r="AD118" s="675"/>
      <c r="AE118" s="675"/>
      <c r="AF118" s="537" t="s">
        <v>204</v>
      </c>
    </row>
    <row r="119" spans="1:32" s="536" customFormat="1" ht="12" x14ac:dyDescent="0.2">
      <c r="A119" s="548"/>
      <c r="B119" s="552"/>
      <c r="C119" s="1822" t="s">
        <v>405</v>
      </c>
      <c r="D119" s="1822"/>
      <c r="E119" s="1822"/>
      <c r="F119" s="1822"/>
      <c r="G119" s="1822"/>
      <c r="H119" s="1822"/>
      <c r="I119" s="1822"/>
      <c r="J119" s="1822"/>
      <c r="K119" s="1822"/>
      <c r="L119" s="551">
        <v>356188.53</v>
      </c>
      <c r="M119" s="550"/>
      <c r="N119" s="549"/>
      <c r="V119" s="674"/>
      <c r="W119" s="675"/>
      <c r="X119" s="675"/>
      <c r="AD119" s="675"/>
      <c r="AE119" s="675"/>
      <c r="AF119" s="537" t="s">
        <v>405</v>
      </c>
    </row>
    <row r="120" spans="1:32" s="536" customFormat="1" ht="12" x14ac:dyDescent="0.2">
      <c r="A120" s="548"/>
      <c r="B120" s="552"/>
      <c r="C120" s="1822" t="s">
        <v>406</v>
      </c>
      <c r="D120" s="1822"/>
      <c r="E120" s="1822"/>
      <c r="F120" s="1822"/>
      <c r="G120" s="1822"/>
      <c r="H120" s="1822"/>
      <c r="I120" s="1822"/>
      <c r="J120" s="1822"/>
      <c r="K120" s="1822"/>
      <c r="L120" s="551">
        <v>37200.080000000002</v>
      </c>
      <c r="M120" s="550"/>
      <c r="N120" s="549"/>
      <c r="V120" s="674"/>
      <c r="W120" s="675"/>
      <c r="X120" s="675"/>
      <c r="AD120" s="675"/>
      <c r="AE120" s="675"/>
      <c r="AF120" s="537" t="s">
        <v>406</v>
      </c>
    </row>
    <row r="121" spans="1:32" s="536" customFormat="1" ht="12" x14ac:dyDescent="0.2">
      <c r="A121" s="548"/>
      <c r="B121" s="552"/>
      <c r="C121" s="1822" t="s">
        <v>480</v>
      </c>
      <c r="D121" s="1822"/>
      <c r="E121" s="1822"/>
      <c r="F121" s="1822"/>
      <c r="G121" s="1822"/>
      <c r="H121" s="1822"/>
      <c r="I121" s="1822"/>
      <c r="J121" s="1822"/>
      <c r="K121" s="1822"/>
      <c r="L121" s="551">
        <v>1119.8900000000001</v>
      </c>
      <c r="M121" s="550"/>
      <c r="N121" s="549"/>
      <c r="V121" s="674"/>
      <c r="W121" s="675"/>
      <c r="X121" s="675"/>
      <c r="AD121" s="675"/>
      <c r="AE121" s="675"/>
      <c r="AF121" s="537" t="s">
        <v>480</v>
      </c>
    </row>
    <row r="122" spans="1:32" s="536" customFormat="1" ht="12" x14ac:dyDescent="0.2">
      <c r="A122" s="548"/>
      <c r="B122" s="552"/>
      <c r="C122" s="1822" t="s">
        <v>407</v>
      </c>
      <c r="D122" s="1822"/>
      <c r="E122" s="1822"/>
      <c r="F122" s="1822"/>
      <c r="G122" s="1822"/>
      <c r="H122" s="1822"/>
      <c r="I122" s="1822"/>
      <c r="J122" s="1822"/>
      <c r="K122" s="1822"/>
      <c r="L122" s="551">
        <v>408644.54</v>
      </c>
      <c r="M122" s="550"/>
      <c r="N122" s="549"/>
      <c r="V122" s="674"/>
      <c r="W122" s="675"/>
      <c r="X122" s="675"/>
      <c r="AD122" s="675"/>
      <c r="AE122" s="675"/>
      <c r="AF122" s="537" t="s">
        <v>407</v>
      </c>
    </row>
    <row r="123" spans="1:32" s="536" customFormat="1" ht="12" x14ac:dyDescent="0.2">
      <c r="A123" s="548"/>
      <c r="B123" s="552"/>
      <c r="C123" s="1822" t="s">
        <v>408</v>
      </c>
      <c r="D123" s="1822"/>
      <c r="E123" s="1822"/>
      <c r="F123" s="1822"/>
      <c r="G123" s="1822"/>
      <c r="H123" s="1822"/>
      <c r="I123" s="1822"/>
      <c r="J123" s="1822"/>
      <c r="K123" s="1822"/>
      <c r="L123" s="551">
        <v>362406.69</v>
      </c>
      <c r="M123" s="550"/>
      <c r="N123" s="549"/>
      <c r="V123" s="674"/>
      <c r="W123" s="675"/>
      <c r="X123" s="675"/>
      <c r="AD123" s="675"/>
      <c r="AE123" s="675"/>
      <c r="AF123" s="537" t="s">
        <v>408</v>
      </c>
    </row>
    <row r="124" spans="1:32" s="536" customFormat="1" ht="12" x14ac:dyDescent="0.2">
      <c r="A124" s="548"/>
      <c r="B124" s="552"/>
      <c r="C124" s="1822" t="s">
        <v>409</v>
      </c>
      <c r="D124" s="1822"/>
      <c r="E124" s="1822"/>
      <c r="F124" s="1822"/>
      <c r="G124" s="1822"/>
      <c r="H124" s="1822"/>
      <c r="I124" s="1822"/>
      <c r="J124" s="1822"/>
      <c r="K124" s="1822"/>
      <c r="L124" s="551"/>
      <c r="M124" s="550"/>
      <c r="N124" s="549"/>
      <c r="V124" s="674"/>
      <c r="W124" s="675"/>
      <c r="X124" s="675"/>
      <c r="AD124" s="675"/>
      <c r="AE124" s="675"/>
      <c r="AF124" s="537" t="s">
        <v>409</v>
      </c>
    </row>
    <row r="125" spans="1:32" s="536" customFormat="1" ht="12" x14ac:dyDescent="0.2">
      <c r="A125" s="548"/>
      <c r="B125" s="552"/>
      <c r="C125" s="1822" t="s">
        <v>411</v>
      </c>
      <c r="D125" s="1822"/>
      <c r="E125" s="1822"/>
      <c r="F125" s="1822"/>
      <c r="G125" s="1822"/>
      <c r="H125" s="1822"/>
      <c r="I125" s="1822"/>
      <c r="J125" s="1822"/>
      <c r="K125" s="1822"/>
      <c r="L125" s="551">
        <v>309950.68</v>
      </c>
      <c r="M125" s="550"/>
      <c r="N125" s="549"/>
      <c r="V125" s="674"/>
      <c r="W125" s="675"/>
      <c r="X125" s="675"/>
      <c r="AD125" s="675"/>
      <c r="AE125" s="675"/>
      <c r="AF125" s="537" t="s">
        <v>411</v>
      </c>
    </row>
    <row r="126" spans="1:32" s="536" customFormat="1" ht="12" x14ac:dyDescent="0.2">
      <c r="A126" s="548"/>
      <c r="B126" s="552"/>
      <c r="C126" s="1822" t="s">
        <v>481</v>
      </c>
      <c r="D126" s="1822"/>
      <c r="E126" s="1822"/>
      <c r="F126" s="1822"/>
      <c r="G126" s="1822"/>
      <c r="H126" s="1822"/>
      <c r="I126" s="1822"/>
      <c r="J126" s="1822"/>
      <c r="K126" s="1822"/>
      <c r="L126" s="551">
        <v>1119.8900000000001</v>
      </c>
      <c r="M126" s="550"/>
      <c r="N126" s="549"/>
      <c r="V126" s="674"/>
      <c r="W126" s="675"/>
      <c r="X126" s="675"/>
      <c r="AD126" s="675"/>
      <c r="AE126" s="675"/>
      <c r="AF126" s="537" t="s">
        <v>481</v>
      </c>
    </row>
    <row r="127" spans="1:32" s="536" customFormat="1" ht="12" x14ac:dyDescent="0.2">
      <c r="A127" s="548"/>
      <c r="B127" s="552"/>
      <c r="C127" s="1822" t="s">
        <v>412</v>
      </c>
      <c r="D127" s="1822"/>
      <c r="E127" s="1822"/>
      <c r="F127" s="1822"/>
      <c r="G127" s="1822"/>
      <c r="H127" s="1822"/>
      <c r="I127" s="1822"/>
      <c r="J127" s="1822"/>
      <c r="K127" s="1822"/>
      <c r="L127" s="551">
        <v>34224.080000000002</v>
      </c>
      <c r="M127" s="550"/>
      <c r="N127" s="549"/>
      <c r="V127" s="674"/>
      <c r="W127" s="675"/>
      <c r="X127" s="675"/>
      <c r="AD127" s="675"/>
      <c r="AE127" s="675"/>
      <c r="AF127" s="537" t="s">
        <v>412</v>
      </c>
    </row>
    <row r="128" spans="1:32" s="536" customFormat="1" ht="12" x14ac:dyDescent="0.2">
      <c r="A128" s="548"/>
      <c r="B128" s="552"/>
      <c r="C128" s="1822" t="s">
        <v>413</v>
      </c>
      <c r="D128" s="1822"/>
      <c r="E128" s="1822"/>
      <c r="F128" s="1822"/>
      <c r="G128" s="1822"/>
      <c r="H128" s="1822"/>
      <c r="I128" s="1822"/>
      <c r="J128" s="1822"/>
      <c r="K128" s="1822"/>
      <c r="L128" s="551">
        <v>17112.04</v>
      </c>
      <c r="M128" s="550"/>
      <c r="N128" s="549"/>
      <c r="V128" s="674"/>
      <c r="W128" s="675"/>
      <c r="X128" s="675"/>
      <c r="AD128" s="675"/>
      <c r="AE128" s="675"/>
      <c r="AF128" s="537" t="s">
        <v>413</v>
      </c>
    </row>
    <row r="129" spans="1:34" s="536" customFormat="1" ht="12" x14ac:dyDescent="0.2">
      <c r="A129" s="548"/>
      <c r="B129" s="552"/>
      <c r="C129" s="1822" t="s">
        <v>414</v>
      </c>
      <c r="D129" s="1822"/>
      <c r="E129" s="1822"/>
      <c r="F129" s="1822"/>
      <c r="G129" s="1822"/>
      <c r="H129" s="1822"/>
      <c r="I129" s="1822"/>
      <c r="J129" s="1822"/>
      <c r="K129" s="1822"/>
      <c r="L129" s="551">
        <v>46237.85</v>
      </c>
      <c r="M129" s="550"/>
      <c r="N129" s="549"/>
      <c r="V129" s="674"/>
      <c r="W129" s="675"/>
      <c r="X129" s="675"/>
      <c r="AD129" s="675"/>
      <c r="AE129" s="675"/>
      <c r="AF129" s="537" t="s">
        <v>414</v>
      </c>
    </row>
    <row r="130" spans="1:34" s="536" customFormat="1" ht="12" x14ac:dyDescent="0.2">
      <c r="A130" s="548"/>
      <c r="B130" s="552"/>
      <c r="C130" s="1822" t="s">
        <v>415</v>
      </c>
      <c r="D130" s="1822"/>
      <c r="E130" s="1822"/>
      <c r="F130" s="1822"/>
      <c r="G130" s="1822"/>
      <c r="H130" s="1822"/>
      <c r="I130" s="1822"/>
      <c r="J130" s="1822"/>
      <c r="K130" s="1822"/>
      <c r="L130" s="551">
        <v>37200.080000000002</v>
      </c>
      <c r="M130" s="550"/>
      <c r="N130" s="549"/>
      <c r="V130" s="674"/>
      <c r="W130" s="675"/>
      <c r="X130" s="675"/>
      <c r="AD130" s="675"/>
      <c r="AE130" s="675"/>
      <c r="AF130" s="537" t="s">
        <v>415</v>
      </c>
    </row>
    <row r="131" spans="1:34" s="536" customFormat="1" ht="12" x14ac:dyDescent="0.2">
      <c r="A131" s="548"/>
      <c r="B131" s="552"/>
      <c r="C131" s="1822" t="s">
        <v>416</v>
      </c>
      <c r="D131" s="1822"/>
      <c r="E131" s="1822"/>
      <c r="F131" s="1822"/>
      <c r="G131" s="1822"/>
      <c r="H131" s="1822"/>
      <c r="I131" s="1822"/>
      <c r="J131" s="1822"/>
      <c r="K131" s="1822"/>
      <c r="L131" s="551">
        <v>34224.080000000002</v>
      </c>
      <c r="M131" s="550"/>
      <c r="N131" s="549"/>
      <c r="V131" s="674"/>
      <c r="W131" s="675"/>
      <c r="X131" s="675"/>
      <c r="AD131" s="675"/>
      <c r="AE131" s="675"/>
      <c r="AF131" s="537" t="s">
        <v>416</v>
      </c>
    </row>
    <row r="132" spans="1:34" s="536" customFormat="1" ht="12" x14ac:dyDescent="0.2">
      <c r="A132" s="548"/>
      <c r="B132" s="552"/>
      <c r="C132" s="1822" t="s">
        <v>417</v>
      </c>
      <c r="D132" s="1822"/>
      <c r="E132" s="1822"/>
      <c r="F132" s="1822"/>
      <c r="G132" s="1822"/>
      <c r="H132" s="1822"/>
      <c r="I132" s="1822"/>
      <c r="J132" s="1822"/>
      <c r="K132" s="1822"/>
      <c r="L132" s="551">
        <v>17112.04</v>
      </c>
      <c r="M132" s="550"/>
      <c r="N132" s="549"/>
      <c r="V132" s="674"/>
      <c r="W132" s="675"/>
      <c r="X132" s="675"/>
      <c r="AD132" s="675"/>
      <c r="AE132" s="675"/>
      <c r="AF132" s="537" t="s">
        <v>417</v>
      </c>
    </row>
    <row r="133" spans="1:34" s="536" customFormat="1" ht="12" x14ac:dyDescent="0.2">
      <c r="A133" s="548"/>
      <c r="B133" s="546"/>
      <c r="C133" s="1819" t="s">
        <v>1022</v>
      </c>
      <c r="D133" s="1819"/>
      <c r="E133" s="1819"/>
      <c r="F133" s="1819"/>
      <c r="G133" s="1819"/>
      <c r="H133" s="1819"/>
      <c r="I133" s="1819"/>
      <c r="J133" s="1819"/>
      <c r="K133" s="1819"/>
      <c r="L133" s="544">
        <v>408644.54</v>
      </c>
      <c r="M133" s="543"/>
      <c r="N133" s="681"/>
      <c r="V133" s="674"/>
      <c r="W133" s="675"/>
      <c r="X133" s="675"/>
      <c r="AD133" s="675"/>
      <c r="AE133" s="675"/>
      <c r="AG133" s="675" t="s">
        <v>1022</v>
      </c>
    </row>
    <row r="134" spans="1:34" s="536" customFormat="1" ht="12" x14ac:dyDescent="0.2">
      <c r="A134" s="1824" t="s">
        <v>1023</v>
      </c>
      <c r="B134" s="1825"/>
      <c r="C134" s="1825"/>
      <c r="D134" s="1825"/>
      <c r="E134" s="1825"/>
      <c r="F134" s="1825"/>
      <c r="G134" s="1825"/>
      <c r="H134" s="1825"/>
      <c r="I134" s="1825"/>
      <c r="J134" s="1825"/>
      <c r="K134" s="1825"/>
      <c r="L134" s="1825"/>
      <c r="M134" s="1825"/>
      <c r="N134" s="1826"/>
      <c r="V134" s="674" t="s">
        <v>1023</v>
      </c>
      <c r="W134" s="675"/>
      <c r="X134" s="675"/>
      <c r="AD134" s="675"/>
      <c r="AE134" s="675"/>
      <c r="AG134" s="675"/>
    </row>
    <row r="135" spans="1:34" s="536" customFormat="1" ht="33.75" x14ac:dyDescent="0.2">
      <c r="A135" s="575" t="s">
        <v>194</v>
      </c>
      <c r="B135" s="684" t="s">
        <v>1024</v>
      </c>
      <c r="C135" s="1823" t="s">
        <v>1025</v>
      </c>
      <c r="D135" s="1823"/>
      <c r="E135" s="1823"/>
      <c r="F135" s="573" t="s">
        <v>509</v>
      </c>
      <c r="G135" s="573"/>
      <c r="H135" s="573"/>
      <c r="I135" s="573" t="s">
        <v>9209</v>
      </c>
      <c r="J135" s="572"/>
      <c r="K135" s="573"/>
      <c r="L135" s="572"/>
      <c r="M135" s="571"/>
      <c r="N135" s="570"/>
      <c r="V135" s="674"/>
      <c r="W135" s="675"/>
      <c r="X135" s="675" t="s">
        <v>1025</v>
      </c>
      <c r="AD135" s="675"/>
      <c r="AE135" s="675"/>
      <c r="AG135" s="675"/>
    </row>
    <row r="136" spans="1:34" s="536" customFormat="1" ht="12" x14ac:dyDescent="0.2">
      <c r="A136" s="676"/>
      <c r="B136" s="682"/>
      <c r="C136" s="1822" t="s">
        <v>9210</v>
      </c>
      <c r="D136" s="1822"/>
      <c r="E136" s="1822"/>
      <c r="F136" s="1822"/>
      <c r="G136" s="1822"/>
      <c r="H136" s="1822"/>
      <c r="I136" s="1822"/>
      <c r="J136" s="1822"/>
      <c r="K136" s="1822"/>
      <c r="L136" s="1822"/>
      <c r="M136" s="1822"/>
      <c r="N136" s="1827"/>
      <c r="V136" s="674"/>
      <c r="W136" s="675"/>
      <c r="X136" s="675"/>
      <c r="Y136" s="537" t="s">
        <v>9210</v>
      </c>
      <c r="AD136" s="675"/>
      <c r="AE136" s="675"/>
      <c r="AG136" s="675"/>
    </row>
    <row r="137" spans="1:34" s="536" customFormat="1" ht="33.75" x14ac:dyDescent="0.2">
      <c r="A137" s="609"/>
      <c r="B137" s="552" t="s">
        <v>310</v>
      </c>
      <c r="C137" s="1822" t="s">
        <v>311</v>
      </c>
      <c r="D137" s="1822"/>
      <c r="E137" s="1822"/>
      <c r="F137" s="1822"/>
      <c r="G137" s="1822"/>
      <c r="H137" s="1822"/>
      <c r="I137" s="1822"/>
      <c r="J137" s="1822"/>
      <c r="K137" s="1822"/>
      <c r="L137" s="1822"/>
      <c r="M137" s="1822"/>
      <c r="N137" s="1827"/>
      <c r="V137" s="674"/>
      <c r="W137" s="675"/>
      <c r="X137" s="675"/>
      <c r="Z137" s="537" t="s">
        <v>311</v>
      </c>
      <c r="AD137" s="675"/>
      <c r="AE137" s="675"/>
      <c r="AG137" s="675"/>
    </row>
    <row r="138" spans="1:34" s="536" customFormat="1" ht="12" x14ac:dyDescent="0.2">
      <c r="A138" s="605"/>
      <c r="B138" s="552" t="s">
        <v>185</v>
      </c>
      <c r="C138" s="1822" t="s">
        <v>312</v>
      </c>
      <c r="D138" s="1822"/>
      <c r="E138" s="1822"/>
      <c r="F138" s="562"/>
      <c r="G138" s="562"/>
      <c r="H138" s="562"/>
      <c r="I138" s="562"/>
      <c r="J138" s="604">
        <v>115.49</v>
      </c>
      <c r="K138" s="562" t="s">
        <v>313</v>
      </c>
      <c r="L138" s="604">
        <v>5263.46</v>
      </c>
      <c r="M138" s="603"/>
      <c r="N138" s="602"/>
      <c r="V138" s="674"/>
      <c r="W138" s="675"/>
      <c r="X138" s="675"/>
      <c r="AA138" s="537" t="s">
        <v>312</v>
      </c>
      <c r="AD138" s="675"/>
      <c r="AE138" s="675"/>
      <c r="AG138" s="675"/>
    </row>
    <row r="139" spans="1:34" s="536" customFormat="1" ht="12" x14ac:dyDescent="0.2">
      <c r="A139" s="605"/>
      <c r="B139" s="552" t="s">
        <v>186</v>
      </c>
      <c r="C139" s="1822" t="s">
        <v>344</v>
      </c>
      <c r="D139" s="1822"/>
      <c r="E139" s="1822"/>
      <c r="F139" s="562"/>
      <c r="G139" s="562"/>
      <c r="H139" s="562"/>
      <c r="I139" s="562"/>
      <c r="J139" s="604">
        <v>3357.76</v>
      </c>
      <c r="K139" s="562" t="s">
        <v>313</v>
      </c>
      <c r="L139" s="604">
        <v>153029.91</v>
      </c>
      <c r="M139" s="603"/>
      <c r="N139" s="602"/>
      <c r="V139" s="674"/>
      <c r="W139" s="675"/>
      <c r="X139" s="675"/>
      <c r="AA139" s="537" t="s">
        <v>344</v>
      </c>
      <c r="AD139" s="675"/>
      <c r="AE139" s="675"/>
      <c r="AG139" s="675"/>
    </row>
    <row r="140" spans="1:34" s="536" customFormat="1" ht="12" x14ac:dyDescent="0.2">
      <c r="A140" s="605"/>
      <c r="B140" s="552" t="s">
        <v>187</v>
      </c>
      <c r="C140" s="1822" t="s">
        <v>345</v>
      </c>
      <c r="D140" s="1822"/>
      <c r="E140" s="1822"/>
      <c r="F140" s="562"/>
      <c r="G140" s="562"/>
      <c r="H140" s="562"/>
      <c r="I140" s="562"/>
      <c r="J140" s="604">
        <v>181.59</v>
      </c>
      <c r="K140" s="562" t="s">
        <v>313</v>
      </c>
      <c r="L140" s="604">
        <v>8275.9599999999991</v>
      </c>
      <c r="M140" s="603"/>
      <c r="N140" s="602"/>
      <c r="V140" s="674"/>
      <c r="W140" s="675"/>
      <c r="X140" s="675"/>
      <c r="AA140" s="537" t="s">
        <v>345</v>
      </c>
      <c r="AD140" s="675"/>
      <c r="AE140" s="675"/>
      <c r="AG140" s="675"/>
    </row>
    <row r="141" spans="1:34" s="536" customFormat="1" ht="12" x14ac:dyDescent="0.2">
      <c r="A141" s="605"/>
      <c r="B141" s="552" t="s">
        <v>188</v>
      </c>
      <c r="C141" s="1822" t="s">
        <v>475</v>
      </c>
      <c r="D141" s="1822"/>
      <c r="E141" s="1822"/>
      <c r="F141" s="562"/>
      <c r="G141" s="562"/>
      <c r="H141" s="562"/>
      <c r="I141" s="562"/>
      <c r="J141" s="604">
        <v>17.079999999999998</v>
      </c>
      <c r="K141" s="562"/>
      <c r="L141" s="604">
        <v>622.74</v>
      </c>
      <c r="M141" s="603"/>
      <c r="N141" s="602"/>
      <c r="V141" s="674"/>
      <c r="W141" s="675"/>
      <c r="X141" s="675"/>
      <c r="AA141" s="537" t="s">
        <v>475</v>
      </c>
      <c r="AD141" s="675"/>
      <c r="AE141" s="675"/>
      <c r="AG141" s="675"/>
    </row>
    <row r="142" spans="1:34" s="536" customFormat="1" ht="12" x14ac:dyDescent="0.2">
      <c r="A142" s="676"/>
      <c r="B142" s="677" t="s">
        <v>1026</v>
      </c>
      <c r="C142" s="1829" t="s">
        <v>1027</v>
      </c>
      <c r="D142" s="1829"/>
      <c r="E142" s="1829"/>
      <c r="F142" s="678" t="s">
        <v>641</v>
      </c>
      <c r="G142" s="678" t="s">
        <v>525</v>
      </c>
      <c r="H142" s="678"/>
      <c r="I142" s="678" t="s">
        <v>525</v>
      </c>
      <c r="J142" s="552"/>
      <c r="K142" s="562"/>
      <c r="L142" s="604"/>
      <c r="M142" s="562"/>
      <c r="N142" s="679"/>
      <c r="V142" s="674"/>
      <c r="W142" s="675"/>
      <c r="X142" s="675"/>
      <c r="AD142" s="675"/>
      <c r="AE142" s="675"/>
      <c r="AG142" s="675"/>
      <c r="AH142" s="680" t="s">
        <v>1027</v>
      </c>
    </row>
    <row r="143" spans="1:34" s="536" customFormat="1" ht="12" x14ac:dyDescent="0.2">
      <c r="A143" s="605"/>
      <c r="B143" s="552"/>
      <c r="C143" s="1822" t="s">
        <v>314</v>
      </c>
      <c r="D143" s="1822"/>
      <c r="E143" s="1822"/>
      <c r="F143" s="562" t="s">
        <v>315</v>
      </c>
      <c r="G143" s="562" t="s">
        <v>1028</v>
      </c>
      <c r="H143" s="562" t="s">
        <v>313</v>
      </c>
      <c r="I143" s="562" t="s">
        <v>9211</v>
      </c>
      <c r="J143" s="604"/>
      <c r="K143" s="562"/>
      <c r="L143" s="604"/>
      <c r="M143" s="603"/>
      <c r="N143" s="602"/>
      <c r="V143" s="674"/>
      <c r="W143" s="675"/>
      <c r="X143" s="675"/>
      <c r="AB143" s="537" t="s">
        <v>314</v>
      </c>
      <c r="AD143" s="675"/>
      <c r="AE143" s="675"/>
      <c r="AG143" s="675"/>
      <c r="AH143" s="680"/>
    </row>
    <row r="144" spans="1:34" s="536" customFormat="1" ht="12" x14ac:dyDescent="0.2">
      <c r="A144" s="605"/>
      <c r="B144" s="552"/>
      <c r="C144" s="1822" t="s">
        <v>348</v>
      </c>
      <c r="D144" s="1822"/>
      <c r="E144" s="1822"/>
      <c r="F144" s="562" t="s">
        <v>315</v>
      </c>
      <c r="G144" s="562" t="s">
        <v>1029</v>
      </c>
      <c r="H144" s="562" t="s">
        <v>313</v>
      </c>
      <c r="I144" s="562" t="s">
        <v>9212</v>
      </c>
      <c r="J144" s="604"/>
      <c r="K144" s="562"/>
      <c r="L144" s="604"/>
      <c r="M144" s="603"/>
      <c r="N144" s="602"/>
      <c r="V144" s="674"/>
      <c r="W144" s="675"/>
      <c r="X144" s="675"/>
      <c r="AB144" s="537" t="s">
        <v>348</v>
      </c>
      <c r="AD144" s="675"/>
      <c r="AE144" s="675"/>
      <c r="AG144" s="675"/>
      <c r="AH144" s="680"/>
    </row>
    <row r="145" spans="1:34" s="536" customFormat="1" ht="12" x14ac:dyDescent="0.2">
      <c r="A145" s="605"/>
      <c r="B145" s="552"/>
      <c r="C145" s="1828" t="s">
        <v>318</v>
      </c>
      <c r="D145" s="1828"/>
      <c r="E145" s="1828"/>
      <c r="F145" s="608"/>
      <c r="G145" s="608"/>
      <c r="H145" s="608"/>
      <c r="I145" s="608"/>
      <c r="J145" s="607">
        <v>3490.33</v>
      </c>
      <c r="K145" s="608"/>
      <c r="L145" s="607">
        <v>158916.10999999999</v>
      </c>
      <c r="M145" s="601"/>
      <c r="N145" s="606"/>
      <c r="V145" s="674"/>
      <c r="W145" s="675"/>
      <c r="X145" s="675"/>
      <c r="AC145" s="537" t="s">
        <v>318</v>
      </c>
      <c r="AD145" s="675"/>
      <c r="AE145" s="675"/>
      <c r="AG145" s="675"/>
      <c r="AH145" s="680"/>
    </row>
    <row r="146" spans="1:34" s="536" customFormat="1" ht="12" x14ac:dyDescent="0.2">
      <c r="A146" s="605"/>
      <c r="B146" s="552"/>
      <c r="C146" s="1822" t="s">
        <v>319</v>
      </c>
      <c r="D146" s="1822"/>
      <c r="E146" s="1822"/>
      <c r="F146" s="562"/>
      <c r="G146" s="562"/>
      <c r="H146" s="562"/>
      <c r="I146" s="562"/>
      <c r="J146" s="604"/>
      <c r="K146" s="562"/>
      <c r="L146" s="604">
        <v>13539.42</v>
      </c>
      <c r="M146" s="603"/>
      <c r="N146" s="602"/>
      <c r="V146" s="674"/>
      <c r="W146" s="675"/>
      <c r="X146" s="675"/>
      <c r="AB146" s="537" t="s">
        <v>319</v>
      </c>
      <c r="AD146" s="675"/>
      <c r="AE146" s="675"/>
      <c r="AG146" s="675"/>
      <c r="AH146" s="680"/>
    </row>
    <row r="147" spans="1:34" s="536" customFormat="1" ht="33.75" x14ac:dyDescent="0.2">
      <c r="A147" s="605"/>
      <c r="B147" s="552" t="s">
        <v>554</v>
      </c>
      <c r="C147" s="1822" t="s">
        <v>555</v>
      </c>
      <c r="D147" s="1822"/>
      <c r="E147" s="1822"/>
      <c r="F147" s="562" t="s">
        <v>322</v>
      </c>
      <c r="G147" s="562" t="s">
        <v>556</v>
      </c>
      <c r="H147" s="562"/>
      <c r="I147" s="562" t="s">
        <v>556</v>
      </c>
      <c r="J147" s="604"/>
      <c r="K147" s="562"/>
      <c r="L147" s="604">
        <v>17059.669999999998</v>
      </c>
      <c r="M147" s="603"/>
      <c r="N147" s="602"/>
      <c r="V147" s="674"/>
      <c r="W147" s="675"/>
      <c r="X147" s="675"/>
      <c r="AB147" s="537" t="s">
        <v>555</v>
      </c>
      <c r="AD147" s="675"/>
      <c r="AE147" s="675"/>
      <c r="AG147" s="675"/>
      <c r="AH147" s="680"/>
    </row>
    <row r="148" spans="1:34" s="536" customFormat="1" ht="33.75" x14ac:dyDescent="0.2">
      <c r="A148" s="605"/>
      <c r="B148" s="552" t="s">
        <v>557</v>
      </c>
      <c r="C148" s="1822" t="s">
        <v>558</v>
      </c>
      <c r="D148" s="1822"/>
      <c r="E148" s="1822"/>
      <c r="F148" s="562" t="s">
        <v>322</v>
      </c>
      <c r="G148" s="562" t="s">
        <v>559</v>
      </c>
      <c r="H148" s="562"/>
      <c r="I148" s="562" t="s">
        <v>559</v>
      </c>
      <c r="J148" s="604"/>
      <c r="K148" s="562"/>
      <c r="L148" s="604">
        <v>12862.45</v>
      </c>
      <c r="M148" s="603"/>
      <c r="N148" s="602"/>
      <c r="V148" s="674"/>
      <c r="W148" s="675"/>
      <c r="X148" s="675"/>
      <c r="AB148" s="537" t="s">
        <v>558</v>
      </c>
      <c r="AD148" s="675"/>
      <c r="AE148" s="675"/>
      <c r="AG148" s="675"/>
      <c r="AH148" s="680"/>
    </row>
    <row r="149" spans="1:34" s="536" customFormat="1" ht="12" x14ac:dyDescent="0.2">
      <c r="A149" s="569"/>
      <c r="B149" s="683"/>
      <c r="C149" s="1823" t="s">
        <v>327</v>
      </c>
      <c r="D149" s="1823"/>
      <c r="E149" s="1823"/>
      <c r="F149" s="573"/>
      <c r="G149" s="573"/>
      <c r="H149" s="573"/>
      <c r="I149" s="573"/>
      <c r="J149" s="572"/>
      <c r="K149" s="573"/>
      <c r="L149" s="572">
        <v>188838.23</v>
      </c>
      <c r="M149" s="601"/>
      <c r="N149" s="570"/>
      <c r="V149" s="674"/>
      <c r="W149" s="675"/>
      <c r="X149" s="675"/>
      <c r="AD149" s="675" t="s">
        <v>327</v>
      </c>
      <c r="AE149" s="675"/>
      <c r="AG149" s="675"/>
      <c r="AH149" s="680"/>
    </row>
    <row r="150" spans="1:34" s="536" customFormat="1" ht="12" x14ac:dyDescent="0.2">
      <c r="A150" s="575" t="s">
        <v>195</v>
      </c>
      <c r="B150" s="684" t="s">
        <v>1030</v>
      </c>
      <c r="C150" s="1823" t="s">
        <v>1031</v>
      </c>
      <c r="D150" s="1823"/>
      <c r="E150" s="1823"/>
      <c r="F150" s="573" t="s">
        <v>641</v>
      </c>
      <c r="G150" s="573"/>
      <c r="H150" s="573"/>
      <c r="I150" s="573" t="s">
        <v>9213</v>
      </c>
      <c r="J150" s="572">
        <v>60</v>
      </c>
      <c r="K150" s="573"/>
      <c r="L150" s="572">
        <v>240636</v>
      </c>
      <c r="M150" s="571"/>
      <c r="N150" s="570"/>
      <c r="V150" s="674"/>
      <c r="W150" s="675"/>
      <c r="X150" s="675" t="s">
        <v>1031</v>
      </c>
      <c r="AD150" s="675"/>
      <c r="AE150" s="675"/>
      <c r="AG150" s="675"/>
      <c r="AH150" s="680"/>
    </row>
    <row r="151" spans="1:34" s="536" customFormat="1" ht="12" x14ac:dyDescent="0.2">
      <c r="A151" s="569"/>
      <c r="B151" s="683"/>
      <c r="C151" s="689" t="s">
        <v>717</v>
      </c>
      <c r="D151" s="690"/>
      <c r="E151" s="690"/>
      <c r="F151" s="563"/>
      <c r="G151" s="563"/>
      <c r="H151" s="563"/>
      <c r="I151" s="563"/>
      <c r="J151" s="566"/>
      <c r="K151" s="563"/>
      <c r="L151" s="566"/>
      <c r="M151" s="565"/>
      <c r="N151" s="564"/>
      <c r="V151" s="674"/>
      <c r="W151" s="675"/>
      <c r="X151" s="675"/>
      <c r="AD151" s="675"/>
      <c r="AE151" s="675"/>
      <c r="AG151" s="675"/>
      <c r="AH151" s="680"/>
    </row>
    <row r="152" spans="1:34" s="536" customFormat="1" ht="12" x14ac:dyDescent="0.2">
      <c r="A152" s="676"/>
      <c r="B152" s="682"/>
      <c r="C152" s="1822" t="s">
        <v>9214</v>
      </c>
      <c r="D152" s="1822"/>
      <c r="E152" s="1822"/>
      <c r="F152" s="1822"/>
      <c r="G152" s="1822"/>
      <c r="H152" s="1822"/>
      <c r="I152" s="1822"/>
      <c r="J152" s="1822"/>
      <c r="K152" s="1822"/>
      <c r="L152" s="1822"/>
      <c r="M152" s="1822"/>
      <c r="N152" s="1827"/>
      <c r="V152" s="674"/>
      <c r="W152" s="675"/>
      <c r="X152" s="675"/>
      <c r="Y152" s="537" t="s">
        <v>9214</v>
      </c>
      <c r="AD152" s="675"/>
      <c r="AE152" s="675"/>
      <c r="AG152" s="675"/>
      <c r="AH152" s="680"/>
    </row>
    <row r="153" spans="1:34" s="536" customFormat="1" ht="56.25" x14ac:dyDescent="0.2">
      <c r="A153" s="575" t="s">
        <v>196</v>
      </c>
      <c r="B153" s="684" t="s">
        <v>1032</v>
      </c>
      <c r="C153" s="1823" t="s">
        <v>1033</v>
      </c>
      <c r="D153" s="1823"/>
      <c r="E153" s="1823"/>
      <c r="F153" s="573" t="s">
        <v>1034</v>
      </c>
      <c r="G153" s="573"/>
      <c r="H153" s="573"/>
      <c r="I153" s="573" t="s">
        <v>9215</v>
      </c>
      <c r="J153" s="572"/>
      <c r="K153" s="573"/>
      <c r="L153" s="572"/>
      <c r="M153" s="571"/>
      <c r="N153" s="570"/>
      <c r="V153" s="674"/>
      <c r="W153" s="675"/>
      <c r="X153" s="675" t="s">
        <v>1033</v>
      </c>
      <c r="AD153" s="675"/>
      <c r="AE153" s="675"/>
      <c r="AG153" s="675"/>
      <c r="AH153" s="680"/>
    </row>
    <row r="154" spans="1:34" s="536" customFormat="1" ht="12" x14ac:dyDescent="0.2">
      <c r="A154" s="676"/>
      <c r="B154" s="682"/>
      <c r="C154" s="1822" t="s">
        <v>9216</v>
      </c>
      <c r="D154" s="1822"/>
      <c r="E154" s="1822"/>
      <c r="F154" s="1822"/>
      <c r="G154" s="1822"/>
      <c r="H154" s="1822"/>
      <c r="I154" s="1822"/>
      <c r="J154" s="1822"/>
      <c r="K154" s="1822"/>
      <c r="L154" s="1822"/>
      <c r="M154" s="1822"/>
      <c r="N154" s="1827"/>
      <c r="V154" s="674"/>
      <c r="W154" s="675"/>
      <c r="X154" s="675"/>
      <c r="Y154" s="537" t="s">
        <v>9216</v>
      </c>
      <c r="AD154" s="675"/>
      <c r="AE154" s="675"/>
      <c r="AG154" s="675"/>
      <c r="AH154" s="680"/>
    </row>
    <row r="155" spans="1:34" s="536" customFormat="1" ht="33.75" x14ac:dyDescent="0.2">
      <c r="A155" s="609"/>
      <c r="B155" s="552" t="s">
        <v>310</v>
      </c>
      <c r="C155" s="1822" t="s">
        <v>311</v>
      </c>
      <c r="D155" s="1822"/>
      <c r="E155" s="1822"/>
      <c r="F155" s="1822"/>
      <c r="G155" s="1822"/>
      <c r="H155" s="1822"/>
      <c r="I155" s="1822"/>
      <c r="J155" s="1822"/>
      <c r="K155" s="1822"/>
      <c r="L155" s="1822"/>
      <c r="M155" s="1822"/>
      <c r="N155" s="1827"/>
      <c r="V155" s="674"/>
      <c r="W155" s="675"/>
      <c r="X155" s="675"/>
      <c r="Z155" s="537" t="s">
        <v>311</v>
      </c>
      <c r="AD155" s="675"/>
      <c r="AE155" s="675"/>
      <c r="AG155" s="675"/>
      <c r="AH155" s="680"/>
    </row>
    <row r="156" spans="1:34" s="536" customFormat="1" ht="12" x14ac:dyDescent="0.2">
      <c r="A156" s="605"/>
      <c r="B156" s="552" t="s">
        <v>185</v>
      </c>
      <c r="C156" s="1822" t="s">
        <v>312</v>
      </c>
      <c r="D156" s="1822"/>
      <c r="E156" s="1822"/>
      <c r="F156" s="562"/>
      <c r="G156" s="562"/>
      <c r="H156" s="562"/>
      <c r="I156" s="562"/>
      <c r="J156" s="604">
        <v>253.43</v>
      </c>
      <c r="K156" s="562" t="s">
        <v>313</v>
      </c>
      <c r="L156" s="604">
        <v>7699.52</v>
      </c>
      <c r="M156" s="603"/>
      <c r="N156" s="602"/>
      <c r="V156" s="674"/>
      <c r="W156" s="675"/>
      <c r="X156" s="675"/>
      <c r="AA156" s="537" t="s">
        <v>312</v>
      </c>
      <c r="AD156" s="675"/>
      <c r="AE156" s="675"/>
      <c r="AG156" s="675"/>
      <c r="AH156" s="680"/>
    </row>
    <row r="157" spans="1:34" s="536" customFormat="1" ht="12" x14ac:dyDescent="0.2">
      <c r="A157" s="605"/>
      <c r="B157" s="552" t="s">
        <v>186</v>
      </c>
      <c r="C157" s="1822" t="s">
        <v>344</v>
      </c>
      <c r="D157" s="1822"/>
      <c r="E157" s="1822"/>
      <c r="F157" s="562"/>
      <c r="G157" s="562"/>
      <c r="H157" s="562"/>
      <c r="I157" s="562"/>
      <c r="J157" s="604">
        <v>4745.3</v>
      </c>
      <c r="K157" s="562" t="s">
        <v>313</v>
      </c>
      <c r="L157" s="604">
        <v>144168.15</v>
      </c>
      <c r="M157" s="603"/>
      <c r="N157" s="602"/>
      <c r="V157" s="674"/>
      <c r="W157" s="675"/>
      <c r="X157" s="675"/>
      <c r="AA157" s="537" t="s">
        <v>344</v>
      </c>
      <c r="AD157" s="675"/>
      <c r="AE157" s="675"/>
      <c r="AG157" s="675"/>
      <c r="AH157" s="680"/>
    </row>
    <row r="158" spans="1:34" s="536" customFormat="1" ht="12" x14ac:dyDescent="0.2">
      <c r="A158" s="605"/>
      <c r="B158" s="552" t="s">
        <v>187</v>
      </c>
      <c r="C158" s="1822" t="s">
        <v>345</v>
      </c>
      <c r="D158" s="1822"/>
      <c r="E158" s="1822"/>
      <c r="F158" s="562"/>
      <c r="G158" s="562"/>
      <c r="H158" s="562"/>
      <c r="I158" s="562"/>
      <c r="J158" s="604">
        <v>263.3</v>
      </c>
      <c r="K158" s="562" t="s">
        <v>313</v>
      </c>
      <c r="L158" s="604">
        <v>7999.38</v>
      </c>
      <c r="M158" s="603"/>
      <c r="N158" s="602"/>
      <c r="V158" s="674"/>
      <c r="W158" s="675"/>
      <c r="X158" s="675"/>
      <c r="AA158" s="537" t="s">
        <v>345</v>
      </c>
      <c r="AD158" s="675"/>
      <c r="AE158" s="675"/>
      <c r="AG158" s="675"/>
      <c r="AH158" s="680"/>
    </row>
    <row r="159" spans="1:34" s="536" customFormat="1" ht="12" x14ac:dyDescent="0.2">
      <c r="A159" s="605"/>
      <c r="B159" s="552" t="s">
        <v>188</v>
      </c>
      <c r="C159" s="1822" t="s">
        <v>475</v>
      </c>
      <c r="D159" s="1822"/>
      <c r="E159" s="1822"/>
      <c r="F159" s="562"/>
      <c r="G159" s="562"/>
      <c r="H159" s="562"/>
      <c r="I159" s="562"/>
      <c r="J159" s="604">
        <v>61</v>
      </c>
      <c r="K159" s="562"/>
      <c r="L159" s="604">
        <v>1482.61</v>
      </c>
      <c r="M159" s="603"/>
      <c r="N159" s="602"/>
      <c r="V159" s="674"/>
      <c r="W159" s="675"/>
      <c r="X159" s="675"/>
      <c r="AA159" s="537" t="s">
        <v>475</v>
      </c>
      <c r="AD159" s="675"/>
      <c r="AE159" s="675"/>
      <c r="AG159" s="675"/>
      <c r="AH159" s="680"/>
    </row>
    <row r="160" spans="1:34" s="536" customFormat="1" ht="22.5" x14ac:dyDescent="0.2">
      <c r="A160" s="676"/>
      <c r="B160" s="677" t="s">
        <v>1026</v>
      </c>
      <c r="C160" s="1829" t="s">
        <v>1035</v>
      </c>
      <c r="D160" s="1829"/>
      <c r="E160" s="1829"/>
      <c r="F160" s="678" t="s">
        <v>641</v>
      </c>
      <c r="G160" s="678" t="s">
        <v>525</v>
      </c>
      <c r="H160" s="678"/>
      <c r="I160" s="678" t="s">
        <v>525</v>
      </c>
      <c r="J160" s="552"/>
      <c r="K160" s="562"/>
      <c r="L160" s="604"/>
      <c r="M160" s="562"/>
      <c r="N160" s="679"/>
      <c r="V160" s="674"/>
      <c r="W160" s="675"/>
      <c r="X160" s="675"/>
      <c r="AD160" s="675"/>
      <c r="AE160" s="675"/>
      <c r="AG160" s="675"/>
      <c r="AH160" s="680" t="s">
        <v>1035</v>
      </c>
    </row>
    <row r="161" spans="1:34" s="536" customFormat="1" ht="22.5" x14ac:dyDescent="0.2">
      <c r="A161" s="605"/>
      <c r="B161" s="552"/>
      <c r="C161" s="1822" t="s">
        <v>314</v>
      </c>
      <c r="D161" s="1822"/>
      <c r="E161" s="1822"/>
      <c r="F161" s="562" t="s">
        <v>315</v>
      </c>
      <c r="G161" s="562" t="s">
        <v>1036</v>
      </c>
      <c r="H161" s="562" t="s">
        <v>313</v>
      </c>
      <c r="I161" s="562" t="s">
        <v>9217</v>
      </c>
      <c r="J161" s="604"/>
      <c r="K161" s="562"/>
      <c r="L161" s="604"/>
      <c r="M161" s="603"/>
      <c r="N161" s="602"/>
      <c r="V161" s="674"/>
      <c r="W161" s="675"/>
      <c r="X161" s="675"/>
      <c r="AB161" s="537" t="s">
        <v>314</v>
      </c>
      <c r="AD161" s="675"/>
      <c r="AE161" s="675"/>
      <c r="AG161" s="675"/>
      <c r="AH161" s="680"/>
    </row>
    <row r="162" spans="1:34" s="536" customFormat="1" ht="22.5" x14ac:dyDescent="0.2">
      <c r="A162" s="605"/>
      <c r="B162" s="552"/>
      <c r="C162" s="1822" t="s">
        <v>348</v>
      </c>
      <c r="D162" s="1822"/>
      <c r="E162" s="1822"/>
      <c r="F162" s="562" t="s">
        <v>315</v>
      </c>
      <c r="G162" s="562" t="s">
        <v>1037</v>
      </c>
      <c r="H162" s="562" t="s">
        <v>313</v>
      </c>
      <c r="I162" s="562" t="s">
        <v>9218</v>
      </c>
      <c r="J162" s="604"/>
      <c r="K162" s="562"/>
      <c r="L162" s="604"/>
      <c r="M162" s="603"/>
      <c r="N162" s="602"/>
      <c r="V162" s="674"/>
      <c r="W162" s="675"/>
      <c r="X162" s="675"/>
      <c r="AB162" s="537" t="s">
        <v>348</v>
      </c>
      <c r="AD162" s="675"/>
      <c r="AE162" s="675"/>
      <c r="AG162" s="675"/>
      <c r="AH162" s="680"/>
    </row>
    <row r="163" spans="1:34" s="536" customFormat="1" ht="12" x14ac:dyDescent="0.2">
      <c r="A163" s="605"/>
      <c r="B163" s="552"/>
      <c r="C163" s="1828" t="s">
        <v>318</v>
      </c>
      <c r="D163" s="1828"/>
      <c r="E163" s="1828"/>
      <c r="F163" s="608"/>
      <c r="G163" s="608"/>
      <c r="H163" s="608"/>
      <c r="I163" s="608"/>
      <c r="J163" s="607">
        <v>5059.7299999999996</v>
      </c>
      <c r="K163" s="608"/>
      <c r="L163" s="607">
        <v>153350.28</v>
      </c>
      <c r="M163" s="601"/>
      <c r="N163" s="606"/>
      <c r="V163" s="674"/>
      <c r="W163" s="675"/>
      <c r="X163" s="675"/>
      <c r="AC163" s="537" t="s">
        <v>318</v>
      </c>
      <c r="AD163" s="675"/>
      <c r="AE163" s="675"/>
      <c r="AG163" s="675"/>
      <c r="AH163" s="680"/>
    </row>
    <row r="164" spans="1:34" s="536" customFormat="1" ht="12" x14ac:dyDescent="0.2">
      <c r="A164" s="605"/>
      <c r="B164" s="552"/>
      <c r="C164" s="1822" t="s">
        <v>319</v>
      </c>
      <c r="D164" s="1822"/>
      <c r="E164" s="1822"/>
      <c r="F164" s="562"/>
      <c r="G164" s="562"/>
      <c r="H164" s="562"/>
      <c r="I164" s="562"/>
      <c r="J164" s="604"/>
      <c r="K164" s="562"/>
      <c r="L164" s="604">
        <v>15698.9</v>
      </c>
      <c r="M164" s="603"/>
      <c r="N164" s="602"/>
      <c r="V164" s="674"/>
      <c r="W164" s="675"/>
      <c r="X164" s="675"/>
      <c r="AB164" s="537" t="s">
        <v>319</v>
      </c>
      <c r="AD164" s="675"/>
      <c r="AE164" s="675"/>
      <c r="AG164" s="675"/>
      <c r="AH164" s="680"/>
    </row>
    <row r="165" spans="1:34" s="536" customFormat="1" ht="33.75" x14ac:dyDescent="0.2">
      <c r="A165" s="605"/>
      <c r="B165" s="552" t="s">
        <v>554</v>
      </c>
      <c r="C165" s="1822" t="s">
        <v>555</v>
      </c>
      <c r="D165" s="1822"/>
      <c r="E165" s="1822"/>
      <c r="F165" s="562" t="s">
        <v>322</v>
      </c>
      <c r="G165" s="562" t="s">
        <v>556</v>
      </c>
      <c r="H165" s="562"/>
      <c r="I165" s="562" t="s">
        <v>556</v>
      </c>
      <c r="J165" s="604"/>
      <c r="K165" s="562"/>
      <c r="L165" s="604">
        <v>19780.61</v>
      </c>
      <c r="M165" s="603"/>
      <c r="N165" s="602"/>
      <c r="V165" s="674"/>
      <c r="W165" s="675"/>
      <c r="X165" s="675"/>
      <c r="AB165" s="537" t="s">
        <v>555</v>
      </c>
      <c r="AD165" s="675"/>
      <c r="AE165" s="675"/>
      <c r="AG165" s="675"/>
      <c r="AH165" s="680"/>
    </row>
    <row r="166" spans="1:34" s="536" customFormat="1" ht="33.75" x14ac:dyDescent="0.2">
      <c r="A166" s="605"/>
      <c r="B166" s="552" t="s">
        <v>557</v>
      </c>
      <c r="C166" s="1822" t="s">
        <v>558</v>
      </c>
      <c r="D166" s="1822"/>
      <c r="E166" s="1822"/>
      <c r="F166" s="562" t="s">
        <v>322</v>
      </c>
      <c r="G166" s="562" t="s">
        <v>559</v>
      </c>
      <c r="H166" s="562"/>
      <c r="I166" s="562" t="s">
        <v>559</v>
      </c>
      <c r="J166" s="604"/>
      <c r="K166" s="562"/>
      <c r="L166" s="604">
        <v>14913.96</v>
      </c>
      <c r="M166" s="603"/>
      <c r="N166" s="602"/>
      <c r="V166" s="674"/>
      <c r="W166" s="675"/>
      <c r="X166" s="675"/>
      <c r="AB166" s="537" t="s">
        <v>558</v>
      </c>
      <c r="AD166" s="675"/>
      <c r="AE166" s="675"/>
      <c r="AG166" s="675"/>
      <c r="AH166" s="680"/>
    </row>
    <row r="167" spans="1:34" s="536" customFormat="1" ht="12" x14ac:dyDescent="0.2">
      <c r="A167" s="569"/>
      <c r="B167" s="683"/>
      <c r="C167" s="1823" t="s">
        <v>327</v>
      </c>
      <c r="D167" s="1823"/>
      <c r="E167" s="1823"/>
      <c r="F167" s="573"/>
      <c r="G167" s="573"/>
      <c r="H167" s="573"/>
      <c r="I167" s="573"/>
      <c r="J167" s="572"/>
      <c r="K167" s="573"/>
      <c r="L167" s="572">
        <v>188044.85</v>
      </c>
      <c r="M167" s="601"/>
      <c r="N167" s="570"/>
      <c r="V167" s="674"/>
      <c r="W167" s="675"/>
      <c r="X167" s="675"/>
      <c r="AD167" s="675" t="s">
        <v>327</v>
      </c>
      <c r="AE167" s="675"/>
      <c r="AG167" s="675"/>
      <c r="AH167" s="680"/>
    </row>
    <row r="168" spans="1:34" s="536" customFormat="1" ht="45" x14ac:dyDescent="0.2">
      <c r="A168" s="575" t="s">
        <v>197</v>
      </c>
      <c r="B168" s="684" t="s">
        <v>1038</v>
      </c>
      <c r="C168" s="1823" t="s">
        <v>1039</v>
      </c>
      <c r="D168" s="1823"/>
      <c r="E168" s="1823"/>
      <c r="F168" s="573" t="s">
        <v>1034</v>
      </c>
      <c r="G168" s="573"/>
      <c r="H168" s="573"/>
      <c r="I168" s="573" t="s">
        <v>9215</v>
      </c>
      <c r="J168" s="572"/>
      <c r="K168" s="573"/>
      <c r="L168" s="572"/>
      <c r="M168" s="571"/>
      <c r="N168" s="570"/>
      <c r="V168" s="674"/>
      <c r="W168" s="675"/>
      <c r="X168" s="675" t="s">
        <v>1039</v>
      </c>
      <c r="AD168" s="675"/>
      <c r="AE168" s="675"/>
      <c r="AG168" s="675"/>
      <c r="AH168" s="680"/>
    </row>
    <row r="169" spans="1:34" s="536" customFormat="1" ht="12" x14ac:dyDescent="0.2">
      <c r="A169" s="676"/>
      <c r="B169" s="682"/>
      <c r="C169" s="1822" t="s">
        <v>9216</v>
      </c>
      <c r="D169" s="1822"/>
      <c r="E169" s="1822"/>
      <c r="F169" s="1822"/>
      <c r="G169" s="1822"/>
      <c r="H169" s="1822"/>
      <c r="I169" s="1822"/>
      <c r="J169" s="1822"/>
      <c r="K169" s="1822"/>
      <c r="L169" s="1822"/>
      <c r="M169" s="1822"/>
      <c r="N169" s="1827"/>
      <c r="V169" s="674"/>
      <c r="W169" s="675"/>
      <c r="X169" s="675"/>
      <c r="Y169" s="537" t="s">
        <v>9216</v>
      </c>
      <c r="AD169" s="675"/>
      <c r="AE169" s="675"/>
      <c r="AG169" s="675"/>
      <c r="AH169" s="680"/>
    </row>
    <row r="170" spans="1:34" s="536" customFormat="1" ht="12" x14ac:dyDescent="0.2">
      <c r="A170" s="609"/>
      <c r="B170" s="552"/>
      <c r="C170" s="1822" t="s">
        <v>1040</v>
      </c>
      <c r="D170" s="1822"/>
      <c r="E170" s="1822"/>
      <c r="F170" s="1822"/>
      <c r="G170" s="1822"/>
      <c r="H170" s="1822"/>
      <c r="I170" s="1822"/>
      <c r="J170" s="1822"/>
      <c r="K170" s="1822"/>
      <c r="L170" s="1822"/>
      <c r="M170" s="1822"/>
      <c r="N170" s="1827"/>
      <c r="V170" s="674"/>
      <c r="W170" s="675"/>
      <c r="X170" s="675"/>
      <c r="Z170" s="537" t="s">
        <v>1040</v>
      </c>
      <c r="AD170" s="675"/>
      <c r="AE170" s="675"/>
      <c r="AG170" s="675"/>
      <c r="AH170" s="680"/>
    </row>
    <row r="171" spans="1:34" s="536" customFormat="1" ht="33.75" x14ac:dyDescent="0.2">
      <c r="A171" s="609"/>
      <c r="B171" s="552" t="s">
        <v>310</v>
      </c>
      <c r="C171" s="1822" t="s">
        <v>311</v>
      </c>
      <c r="D171" s="1822"/>
      <c r="E171" s="1822"/>
      <c r="F171" s="1822"/>
      <c r="G171" s="1822"/>
      <c r="H171" s="1822"/>
      <c r="I171" s="1822"/>
      <c r="J171" s="1822"/>
      <c r="K171" s="1822"/>
      <c r="L171" s="1822"/>
      <c r="M171" s="1822"/>
      <c r="N171" s="1827"/>
      <c r="V171" s="674"/>
      <c r="W171" s="675"/>
      <c r="X171" s="675"/>
      <c r="Z171" s="537" t="s">
        <v>311</v>
      </c>
      <c r="AD171" s="675"/>
      <c r="AE171" s="675"/>
      <c r="AG171" s="675"/>
      <c r="AH171" s="680"/>
    </row>
    <row r="172" spans="1:34" s="536" customFormat="1" ht="12" x14ac:dyDescent="0.2">
      <c r="A172" s="605"/>
      <c r="B172" s="552" t="s">
        <v>186</v>
      </c>
      <c r="C172" s="1822" t="s">
        <v>344</v>
      </c>
      <c r="D172" s="1822"/>
      <c r="E172" s="1822"/>
      <c r="F172" s="562"/>
      <c r="G172" s="562"/>
      <c r="H172" s="562"/>
      <c r="I172" s="562"/>
      <c r="J172" s="604">
        <v>119.54</v>
      </c>
      <c r="K172" s="562" t="s">
        <v>1041</v>
      </c>
      <c r="L172" s="604">
        <v>54476.62</v>
      </c>
      <c r="M172" s="603"/>
      <c r="N172" s="602"/>
      <c r="V172" s="674"/>
      <c r="W172" s="675"/>
      <c r="X172" s="675"/>
      <c r="AA172" s="537" t="s">
        <v>344</v>
      </c>
      <c r="AD172" s="675"/>
      <c r="AE172" s="675"/>
      <c r="AG172" s="675"/>
      <c r="AH172" s="680"/>
    </row>
    <row r="173" spans="1:34" s="536" customFormat="1" ht="12" x14ac:dyDescent="0.2">
      <c r="A173" s="605"/>
      <c r="B173" s="552" t="s">
        <v>187</v>
      </c>
      <c r="C173" s="1822" t="s">
        <v>345</v>
      </c>
      <c r="D173" s="1822"/>
      <c r="E173" s="1822"/>
      <c r="F173" s="562"/>
      <c r="G173" s="562"/>
      <c r="H173" s="562"/>
      <c r="I173" s="562"/>
      <c r="J173" s="604">
        <v>5.78</v>
      </c>
      <c r="K173" s="562" t="s">
        <v>1041</v>
      </c>
      <c r="L173" s="604">
        <v>2634.05</v>
      </c>
      <c r="M173" s="603"/>
      <c r="N173" s="602"/>
      <c r="V173" s="674"/>
      <c r="W173" s="675"/>
      <c r="X173" s="675"/>
      <c r="AA173" s="537" t="s">
        <v>345</v>
      </c>
      <c r="AD173" s="675"/>
      <c r="AE173" s="675"/>
      <c r="AG173" s="675"/>
      <c r="AH173" s="680"/>
    </row>
    <row r="174" spans="1:34" s="536" customFormat="1" ht="22.5" x14ac:dyDescent="0.2">
      <c r="A174" s="676"/>
      <c r="B174" s="677" t="s">
        <v>1026</v>
      </c>
      <c r="C174" s="1829" t="s">
        <v>1035</v>
      </c>
      <c r="D174" s="1829"/>
      <c r="E174" s="1829"/>
      <c r="F174" s="678" t="s">
        <v>641</v>
      </c>
      <c r="G174" s="678" t="s">
        <v>525</v>
      </c>
      <c r="H174" s="678" t="s">
        <v>199</v>
      </c>
      <c r="I174" s="678" t="s">
        <v>525</v>
      </c>
      <c r="J174" s="552"/>
      <c r="K174" s="562"/>
      <c r="L174" s="604"/>
      <c r="M174" s="562"/>
      <c r="N174" s="679"/>
      <c r="V174" s="674"/>
      <c r="W174" s="675"/>
      <c r="X174" s="675"/>
      <c r="AD174" s="675"/>
      <c r="AE174" s="675"/>
      <c r="AG174" s="675"/>
      <c r="AH174" s="680" t="s">
        <v>1035</v>
      </c>
    </row>
    <row r="175" spans="1:34" s="536" customFormat="1" ht="22.5" x14ac:dyDescent="0.2">
      <c r="A175" s="605"/>
      <c r="B175" s="552"/>
      <c r="C175" s="1822" t="s">
        <v>348</v>
      </c>
      <c r="D175" s="1822"/>
      <c r="E175" s="1822"/>
      <c r="F175" s="562" t="s">
        <v>315</v>
      </c>
      <c r="G175" s="562" t="s">
        <v>1042</v>
      </c>
      <c r="H175" s="562" t="s">
        <v>1041</v>
      </c>
      <c r="I175" s="562" t="s">
        <v>9219</v>
      </c>
      <c r="J175" s="604"/>
      <c r="K175" s="562"/>
      <c r="L175" s="604"/>
      <c r="M175" s="603"/>
      <c r="N175" s="602"/>
      <c r="V175" s="674"/>
      <c r="W175" s="675"/>
      <c r="X175" s="675"/>
      <c r="AB175" s="537" t="s">
        <v>348</v>
      </c>
      <c r="AD175" s="675"/>
      <c r="AE175" s="675"/>
      <c r="AG175" s="675"/>
      <c r="AH175" s="680"/>
    </row>
    <row r="176" spans="1:34" s="536" customFormat="1" ht="12" x14ac:dyDescent="0.2">
      <c r="A176" s="605"/>
      <c r="B176" s="552"/>
      <c r="C176" s="1828" t="s">
        <v>318</v>
      </c>
      <c r="D176" s="1828"/>
      <c r="E176" s="1828"/>
      <c r="F176" s="608"/>
      <c r="G176" s="608"/>
      <c r="H176" s="608"/>
      <c r="I176" s="608"/>
      <c r="J176" s="607">
        <v>119.54</v>
      </c>
      <c r="K176" s="608"/>
      <c r="L176" s="607">
        <v>54476.62</v>
      </c>
      <c r="M176" s="601"/>
      <c r="N176" s="606"/>
      <c r="V176" s="674"/>
      <c r="W176" s="675"/>
      <c r="X176" s="675"/>
      <c r="AC176" s="537" t="s">
        <v>318</v>
      </c>
      <c r="AD176" s="675"/>
      <c r="AE176" s="675"/>
      <c r="AG176" s="675"/>
      <c r="AH176" s="680"/>
    </row>
    <row r="177" spans="1:34" s="536" customFormat="1" ht="12" x14ac:dyDescent="0.2">
      <c r="A177" s="605"/>
      <c r="B177" s="552"/>
      <c r="C177" s="1822" t="s">
        <v>319</v>
      </c>
      <c r="D177" s="1822"/>
      <c r="E177" s="1822"/>
      <c r="F177" s="562"/>
      <c r="G177" s="562"/>
      <c r="H177" s="562"/>
      <c r="I177" s="562"/>
      <c r="J177" s="604"/>
      <c r="K177" s="562"/>
      <c r="L177" s="604">
        <v>2634.05</v>
      </c>
      <c r="M177" s="603"/>
      <c r="N177" s="602"/>
      <c r="V177" s="674"/>
      <c r="W177" s="675"/>
      <c r="X177" s="675"/>
      <c r="AB177" s="537" t="s">
        <v>319</v>
      </c>
      <c r="AD177" s="675"/>
      <c r="AE177" s="675"/>
      <c r="AG177" s="675"/>
      <c r="AH177" s="680"/>
    </row>
    <row r="178" spans="1:34" s="536" customFormat="1" ht="33.75" x14ac:dyDescent="0.2">
      <c r="A178" s="605"/>
      <c r="B178" s="552" t="s">
        <v>554</v>
      </c>
      <c r="C178" s="1822" t="s">
        <v>555</v>
      </c>
      <c r="D178" s="1822"/>
      <c r="E178" s="1822"/>
      <c r="F178" s="562" t="s">
        <v>322</v>
      </c>
      <c r="G178" s="562" t="s">
        <v>556</v>
      </c>
      <c r="H178" s="562"/>
      <c r="I178" s="562" t="s">
        <v>556</v>
      </c>
      <c r="J178" s="604"/>
      <c r="K178" s="562"/>
      <c r="L178" s="604">
        <v>3318.9</v>
      </c>
      <c r="M178" s="603"/>
      <c r="N178" s="602"/>
      <c r="V178" s="674"/>
      <c r="W178" s="675"/>
      <c r="X178" s="675"/>
      <c r="AB178" s="537" t="s">
        <v>555</v>
      </c>
      <c r="AD178" s="675"/>
      <c r="AE178" s="675"/>
      <c r="AG178" s="675"/>
      <c r="AH178" s="680"/>
    </row>
    <row r="179" spans="1:34" s="536" customFormat="1" ht="33.75" x14ac:dyDescent="0.2">
      <c r="A179" s="605"/>
      <c r="B179" s="552" t="s">
        <v>557</v>
      </c>
      <c r="C179" s="1822" t="s">
        <v>558</v>
      </c>
      <c r="D179" s="1822"/>
      <c r="E179" s="1822"/>
      <c r="F179" s="562" t="s">
        <v>322</v>
      </c>
      <c r="G179" s="562" t="s">
        <v>559</v>
      </c>
      <c r="H179" s="562"/>
      <c r="I179" s="562" t="s">
        <v>559</v>
      </c>
      <c r="J179" s="604"/>
      <c r="K179" s="562"/>
      <c r="L179" s="604">
        <v>2502.35</v>
      </c>
      <c r="M179" s="603"/>
      <c r="N179" s="602"/>
      <c r="V179" s="674"/>
      <c r="W179" s="675"/>
      <c r="X179" s="675"/>
      <c r="AB179" s="537" t="s">
        <v>558</v>
      </c>
      <c r="AD179" s="675"/>
      <c r="AE179" s="675"/>
      <c r="AG179" s="675"/>
      <c r="AH179" s="680"/>
    </row>
    <row r="180" spans="1:34" s="536" customFormat="1" ht="12" x14ac:dyDescent="0.2">
      <c r="A180" s="569"/>
      <c r="B180" s="683"/>
      <c r="C180" s="1823" t="s">
        <v>327</v>
      </c>
      <c r="D180" s="1823"/>
      <c r="E180" s="1823"/>
      <c r="F180" s="573"/>
      <c r="G180" s="573"/>
      <c r="H180" s="573"/>
      <c r="I180" s="573"/>
      <c r="J180" s="572"/>
      <c r="K180" s="573"/>
      <c r="L180" s="572">
        <v>60297.87</v>
      </c>
      <c r="M180" s="601"/>
      <c r="N180" s="570"/>
      <c r="V180" s="674"/>
      <c r="W180" s="675"/>
      <c r="X180" s="675"/>
      <c r="AD180" s="675" t="s">
        <v>327</v>
      </c>
      <c r="AE180" s="675"/>
      <c r="AG180" s="675"/>
      <c r="AH180" s="680"/>
    </row>
    <row r="181" spans="1:34" s="536" customFormat="1" ht="45" x14ac:dyDescent="0.2">
      <c r="A181" s="575" t="s">
        <v>198</v>
      </c>
      <c r="B181" s="684" t="s">
        <v>1043</v>
      </c>
      <c r="C181" s="1823" t="s">
        <v>1044</v>
      </c>
      <c r="D181" s="1823"/>
      <c r="E181" s="1823"/>
      <c r="F181" s="573" t="s">
        <v>641</v>
      </c>
      <c r="G181" s="573"/>
      <c r="H181" s="573"/>
      <c r="I181" s="573" t="s">
        <v>9220</v>
      </c>
      <c r="J181" s="572">
        <v>168.78</v>
      </c>
      <c r="K181" s="573"/>
      <c r="L181" s="572">
        <v>1353818.14</v>
      </c>
      <c r="M181" s="571"/>
      <c r="N181" s="570"/>
      <c r="V181" s="674"/>
      <c r="W181" s="675"/>
      <c r="X181" s="675" t="s">
        <v>1044</v>
      </c>
      <c r="AD181" s="675"/>
      <c r="AE181" s="675"/>
      <c r="AG181" s="675"/>
      <c r="AH181" s="680"/>
    </row>
    <row r="182" spans="1:34" s="536" customFormat="1" ht="12" x14ac:dyDescent="0.2">
      <c r="A182" s="569"/>
      <c r="B182" s="683"/>
      <c r="C182" s="689" t="s">
        <v>717</v>
      </c>
      <c r="D182" s="690"/>
      <c r="E182" s="690"/>
      <c r="F182" s="563"/>
      <c r="G182" s="563"/>
      <c r="H182" s="563"/>
      <c r="I182" s="563"/>
      <c r="J182" s="566"/>
      <c r="K182" s="563"/>
      <c r="L182" s="566"/>
      <c r="M182" s="565"/>
      <c r="N182" s="564"/>
      <c r="V182" s="674"/>
      <c r="W182" s="675"/>
      <c r="X182" s="675"/>
      <c r="AD182" s="675"/>
      <c r="AE182" s="675"/>
      <c r="AG182" s="675"/>
      <c r="AH182" s="680"/>
    </row>
    <row r="183" spans="1:34" s="536" customFormat="1" ht="12" x14ac:dyDescent="0.2">
      <c r="A183" s="676"/>
      <c r="B183" s="682"/>
      <c r="C183" s="1822" t="s">
        <v>9221</v>
      </c>
      <c r="D183" s="1822"/>
      <c r="E183" s="1822"/>
      <c r="F183" s="1822"/>
      <c r="G183" s="1822"/>
      <c r="H183" s="1822"/>
      <c r="I183" s="1822"/>
      <c r="J183" s="1822"/>
      <c r="K183" s="1822"/>
      <c r="L183" s="1822"/>
      <c r="M183" s="1822"/>
      <c r="N183" s="1827"/>
      <c r="V183" s="674"/>
      <c r="W183" s="675"/>
      <c r="X183" s="675"/>
      <c r="Y183" s="537" t="s">
        <v>9221</v>
      </c>
      <c r="AD183" s="675"/>
      <c r="AE183" s="675"/>
      <c r="AG183" s="675"/>
      <c r="AH183" s="680"/>
    </row>
    <row r="184" spans="1:34" s="536" customFormat="1" ht="67.5" x14ac:dyDescent="0.2">
      <c r="A184" s="575" t="s">
        <v>199</v>
      </c>
      <c r="B184" s="684" t="s">
        <v>1045</v>
      </c>
      <c r="C184" s="1823" t="s">
        <v>1046</v>
      </c>
      <c r="D184" s="1823"/>
      <c r="E184" s="1823"/>
      <c r="F184" s="573" t="s">
        <v>1034</v>
      </c>
      <c r="G184" s="573"/>
      <c r="H184" s="573"/>
      <c r="I184" s="573" t="s">
        <v>9215</v>
      </c>
      <c r="J184" s="572"/>
      <c r="K184" s="573"/>
      <c r="L184" s="572"/>
      <c r="M184" s="571"/>
      <c r="N184" s="570"/>
      <c r="V184" s="674"/>
      <c r="W184" s="675"/>
      <c r="X184" s="675" t="s">
        <v>1046</v>
      </c>
      <c r="AD184" s="675"/>
      <c r="AE184" s="675"/>
      <c r="AG184" s="675"/>
      <c r="AH184" s="680"/>
    </row>
    <row r="185" spans="1:34" s="536" customFormat="1" ht="12" x14ac:dyDescent="0.2">
      <c r="A185" s="676"/>
      <c r="B185" s="682"/>
      <c r="C185" s="1822" t="s">
        <v>9216</v>
      </c>
      <c r="D185" s="1822"/>
      <c r="E185" s="1822"/>
      <c r="F185" s="1822"/>
      <c r="G185" s="1822"/>
      <c r="H185" s="1822"/>
      <c r="I185" s="1822"/>
      <c r="J185" s="1822"/>
      <c r="K185" s="1822"/>
      <c r="L185" s="1822"/>
      <c r="M185" s="1822"/>
      <c r="N185" s="1827"/>
      <c r="V185" s="674"/>
      <c r="W185" s="675"/>
      <c r="X185" s="675"/>
      <c r="Y185" s="537" t="s">
        <v>9216</v>
      </c>
      <c r="AD185" s="675"/>
      <c r="AE185" s="675"/>
      <c r="AG185" s="675"/>
      <c r="AH185" s="680"/>
    </row>
    <row r="186" spans="1:34" s="536" customFormat="1" ht="33.75" x14ac:dyDescent="0.2">
      <c r="A186" s="609"/>
      <c r="B186" s="552" t="s">
        <v>310</v>
      </c>
      <c r="C186" s="1822" t="s">
        <v>311</v>
      </c>
      <c r="D186" s="1822"/>
      <c r="E186" s="1822"/>
      <c r="F186" s="1822"/>
      <c r="G186" s="1822"/>
      <c r="H186" s="1822"/>
      <c r="I186" s="1822"/>
      <c r="J186" s="1822"/>
      <c r="K186" s="1822"/>
      <c r="L186" s="1822"/>
      <c r="M186" s="1822"/>
      <c r="N186" s="1827"/>
      <c r="V186" s="674"/>
      <c r="W186" s="675"/>
      <c r="X186" s="675"/>
      <c r="Z186" s="537" t="s">
        <v>311</v>
      </c>
      <c r="AD186" s="675"/>
      <c r="AE186" s="675"/>
      <c r="AG186" s="675"/>
      <c r="AH186" s="680"/>
    </row>
    <row r="187" spans="1:34" s="536" customFormat="1" ht="12" x14ac:dyDescent="0.2">
      <c r="A187" s="605"/>
      <c r="B187" s="552" t="s">
        <v>185</v>
      </c>
      <c r="C187" s="1822" t="s">
        <v>312</v>
      </c>
      <c r="D187" s="1822"/>
      <c r="E187" s="1822"/>
      <c r="F187" s="562"/>
      <c r="G187" s="562"/>
      <c r="H187" s="562"/>
      <c r="I187" s="562"/>
      <c r="J187" s="604">
        <v>269.61</v>
      </c>
      <c r="K187" s="562" t="s">
        <v>313</v>
      </c>
      <c r="L187" s="604">
        <v>8191.09</v>
      </c>
      <c r="M187" s="603"/>
      <c r="N187" s="602"/>
      <c r="V187" s="674"/>
      <c r="W187" s="675"/>
      <c r="X187" s="675"/>
      <c r="AA187" s="537" t="s">
        <v>312</v>
      </c>
      <c r="AD187" s="675"/>
      <c r="AE187" s="675"/>
      <c r="AG187" s="675"/>
      <c r="AH187" s="680"/>
    </row>
    <row r="188" spans="1:34" s="536" customFormat="1" ht="12" x14ac:dyDescent="0.2">
      <c r="A188" s="605"/>
      <c r="B188" s="552" t="s">
        <v>186</v>
      </c>
      <c r="C188" s="1822" t="s">
        <v>344</v>
      </c>
      <c r="D188" s="1822"/>
      <c r="E188" s="1822"/>
      <c r="F188" s="562"/>
      <c r="G188" s="562"/>
      <c r="H188" s="562"/>
      <c r="I188" s="562"/>
      <c r="J188" s="604">
        <v>7442.38</v>
      </c>
      <c r="K188" s="562" t="s">
        <v>313</v>
      </c>
      <c r="L188" s="604">
        <v>226108.81</v>
      </c>
      <c r="M188" s="603"/>
      <c r="N188" s="602"/>
      <c r="V188" s="674"/>
      <c r="W188" s="675"/>
      <c r="X188" s="675"/>
      <c r="AA188" s="537" t="s">
        <v>344</v>
      </c>
      <c r="AD188" s="675"/>
      <c r="AE188" s="675"/>
      <c r="AG188" s="675"/>
      <c r="AH188" s="680"/>
    </row>
    <row r="189" spans="1:34" s="536" customFormat="1" ht="12" x14ac:dyDescent="0.2">
      <c r="A189" s="605"/>
      <c r="B189" s="552" t="s">
        <v>187</v>
      </c>
      <c r="C189" s="1822" t="s">
        <v>345</v>
      </c>
      <c r="D189" s="1822"/>
      <c r="E189" s="1822"/>
      <c r="F189" s="562"/>
      <c r="G189" s="562"/>
      <c r="H189" s="562"/>
      <c r="I189" s="562"/>
      <c r="J189" s="604">
        <v>429.14</v>
      </c>
      <c r="K189" s="562" t="s">
        <v>313</v>
      </c>
      <c r="L189" s="604">
        <v>13037.81</v>
      </c>
      <c r="M189" s="603"/>
      <c r="N189" s="602"/>
      <c r="V189" s="674"/>
      <c r="W189" s="675"/>
      <c r="X189" s="675"/>
      <c r="AA189" s="537" t="s">
        <v>345</v>
      </c>
      <c r="AD189" s="675"/>
      <c r="AE189" s="675"/>
      <c r="AG189" s="675"/>
      <c r="AH189" s="680"/>
    </row>
    <row r="190" spans="1:34" s="536" customFormat="1" ht="12" x14ac:dyDescent="0.2">
      <c r="A190" s="605"/>
      <c r="B190" s="552" t="s">
        <v>188</v>
      </c>
      <c r="C190" s="1822" t="s">
        <v>475</v>
      </c>
      <c r="D190" s="1822"/>
      <c r="E190" s="1822"/>
      <c r="F190" s="562"/>
      <c r="G190" s="562"/>
      <c r="H190" s="562"/>
      <c r="I190" s="562"/>
      <c r="J190" s="604">
        <v>22322.55</v>
      </c>
      <c r="K190" s="562"/>
      <c r="L190" s="604">
        <v>542549.57999999996</v>
      </c>
      <c r="M190" s="603"/>
      <c r="N190" s="602"/>
      <c r="V190" s="674"/>
      <c r="W190" s="675"/>
      <c r="X190" s="675"/>
      <c r="AA190" s="537" t="s">
        <v>475</v>
      </c>
      <c r="AD190" s="675"/>
      <c r="AE190" s="675"/>
      <c r="AG190" s="675"/>
      <c r="AH190" s="680"/>
    </row>
    <row r="191" spans="1:34" s="536" customFormat="1" ht="22.5" x14ac:dyDescent="0.2">
      <c r="A191" s="605"/>
      <c r="B191" s="552"/>
      <c r="C191" s="1822" t="s">
        <v>314</v>
      </c>
      <c r="D191" s="1822"/>
      <c r="E191" s="1822"/>
      <c r="F191" s="562" t="s">
        <v>315</v>
      </c>
      <c r="G191" s="562" t="s">
        <v>505</v>
      </c>
      <c r="H191" s="562" t="s">
        <v>313</v>
      </c>
      <c r="I191" s="562" t="s">
        <v>9222</v>
      </c>
      <c r="J191" s="604"/>
      <c r="K191" s="562"/>
      <c r="L191" s="604"/>
      <c r="M191" s="603"/>
      <c r="N191" s="602"/>
      <c r="V191" s="674"/>
      <c r="W191" s="675"/>
      <c r="X191" s="675"/>
      <c r="AB191" s="537" t="s">
        <v>314</v>
      </c>
      <c r="AD191" s="675"/>
      <c r="AE191" s="675"/>
      <c r="AG191" s="675"/>
      <c r="AH191" s="680"/>
    </row>
    <row r="192" spans="1:34" s="536" customFormat="1" ht="22.5" x14ac:dyDescent="0.2">
      <c r="A192" s="605"/>
      <c r="B192" s="552"/>
      <c r="C192" s="1822" t="s">
        <v>348</v>
      </c>
      <c r="D192" s="1822"/>
      <c r="E192" s="1822"/>
      <c r="F192" s="562" t="s">
        <v>315</v>
      </c>
      <c r="G192" s="562" t="s">
        <v>1047</v>
      </c>
      <c r="H192" s="562" t="s">
        <v>313</v>
      </c>
      <c r="I192" s="562" t="s">
        <v>9223</v>
      </c>
      <c r="J192" s="604"/>
      <c r="K192" s="562"/>
      <c r="L192" s="604"/>
      <c r="M192" s="603"/>
      <c r="N192" s="602"/>
      <c r="V192" s="674"/>
      <c r="W192" s="675"/>
      <c r="X192" s="675"/>
      <c r="AB192" s="537" t="s">
        <v>348</v>
      </c>
      <c r="AD192" s="675"/>
      <c r="AE192" s="675"/>
      <c r="AG192" s="675"/>
      <c r="AH192" s="680"/>
    </row>
    <row r="193" spans="1:34" s="536" customFormat="1" ht="12" x14ac:dyDescent="0.2">
      <c r="A193" s="605"/>
      <c r="B193" s="552"/>
      <c r="C193" s="1828" t="s">
        <v>318</v>
      </c>
      <c r="D193" s="1828"/>
      <c r="E193" s="1828"/>
      <c r="F193" s="608"/>
      <c r="G193" s="608"/>
      <c r="H193" s="608"/>
      <c r="I193" s="608"/>
      <c r="J193" s="607">
        <v>30034.54</v>
      </c>
      <c r="K193" s="608"/>
      <c r="L193" s="607">
        <v>776849.48</v>
      </c>
      <c r="M193" s="601"/>
      <c r="N193" s="606"/>
      <c r="V193" s="674"/>
      <c r="W193" s="675"/>
      <c r="X193" s="675"/>
      <c r="AC193" s="537" t="s">
        <v>318</v>
      </c>
      <c r="AD193" s="675"/>
      <c r="AE193" s="675"/>
      <c r="AG193" s="675"/>
      <c r="AH193" s="680"/>
    </row>
    <row r="194" spans="1:34" s="536" customFormat="1" ht="12" x14ac:dyDescent="0.2">
      <c r="A194" s="605"/>
      <c r="B194" s="552"/>
      <c r="C194" s="1822" t="s">
        <v>319</v>
      </c>
      <c r="D194" s="1822"/>
      <c r="E194" s="1822"/>
      <c r="F194" s="562"/>
      <c r="G194" s="562"/>
      <c r="H194" s="562"/>
      <c r="I194" s="562"/>
      <c r="J194" s="604"/>
      <c r="K194" s="562"/>
      <c r="L194" s="604">
        <v>21228.9</v>
      </c>
      <c r="M194" s="603"/>
      <c r="N194" s="602"/>
      <c r="V194" s="674"/>
      <c r="W194" s="675"/>
      <c r="X194" s="675"/>
      <c r="AB194" s="537" t="s">
        <v>319</v>
      </c>
      <c r="AD194" s="675"/>
      <c r="AE194" s="675"/>
      <c r="AG194" s="675"/>
      <c r="AH194" s="680"/>
    </row>
    <row r="195" spans="1:34" s="536" customFormat="1" ht="33.75" x14ac:dyDescent="0.2">
      <c r="A195" s="605"/>
      <c r="B195" s="552" t="s">
        <v>554</v>
      </c>
      <c r="C195" s="1822" t="s">
        <v>555</v>
      </c>
      <c r="D195" s="1822"/>
      <c r="E195" s="1822"/>
      <c r="F195" s="562" t="s">
        <v>322</v>
      </c>
      <c r="G195" s="562" t="s">
        <v>556</v>
      </c>
      <c r="H195" s="562"/>
      <c r="I195" s="562" t="s">
        <v>556</v>
      </c>
      <c r="J195" s="604"/>
      <c r="K195" s="562"/>
      <c r="L195" s="604">
        <v>26748.41</v>
      </c>
      <c r="M195" s="603"/>
      <c r="N195" s="602"/>
      <c r="V195" s="674"/>
      <c r="W195" s="675"/>
      <c r="X195" s="675"/>
      <c r="AB195" s="537" t="s">
        <v>555</v>
      </c>
      <c r="AD195" s="675"/>
      <c r="AE195" s="675"/>
      <c r="AG195" s="675"/>
      <c r="AH195" s="680"/>
    </row>
    <row r="196" spans="1:34" s="536" customFormat="1" ht="33.75" x14ac:dyDescent="0.2">
      <c r="A196" s="605"/>
      <c r="B196" s="552" t="s">
        <v>557</v>
      </c>
      <c r="C196" s="1822" t="s">
        <v>558</v>
      </c>
      <c r="D196" s="1822"/>
      <c r="E196" s="1822"/>
      <c r="F196" s="562" t="s">
        <v>322</v>
      </c>
      <c r="G196" s="562" t="s">
        <v>559</v>
      </c>
      <c r="H196" s="562"/>
      <c r="I196" s="562" t="s">
        <v>559</v>
      </c>
      <c r="J196" s="604"/>
      <c r="K196" s="562"/>
      <c r="L196" s="604">
        <v>20167.46</v>
      </c>
      <c r="M196" s="603"/>
      <c r="N196" s="602"/>
      <c r="V196" s="674"/>
      <c r="W196" s="675"/>
      <c r="X196" s="675"/>
      <c r="AB196" s="537" t="s">
        <v>558</v>
      </c>
      <c r="AD196" s="675"/>
      <c r="AE196" s="675"/>
      <c r="AG196" s="675"/>
      <c r="AH196" s="680"/>
    </row>
    <row r="197" spans="1:34" s="536" customFormat="1" ht="12" x14ac:dyDescent="0.2">
      <c r="A197" s="569"/>
      <c r="B197" s="683"/>
      <c r="C197" s="1823" t="s">
        <v>327</v>
      </c>
      <c r="D197" s="1823"/>
      <c r="E197" s="1823"/>
      <c r="F197" s="573"/>
      <c r="G197" s="573"/>
      <c r="H197" s="573"/>
      <c r="I197" s="573"/>
      <c r="J197" s="572"/>
      <c r="K197" s="573"/>
      <c r="L197" s="572">
        <v>823765.35</v>
      </c>
      <c r="M197" s="601"/>
      <c r="N197" s="570"/>
      <c r="V197" s="674"/>
      <c r="W197" s="675"/>
      <c r="X197" s="675"/>
      <c r="AD197" s="675" t="s">
        <v>327</v>
      </c>
      <c r="AE197" s="675"/>
      <c r="AG197" s="675"/>
      <c r="AH197" s="680"/>
    </row>
    <row r="198" spans="1:34" s="536" customFormat="1" ht="45" x14ac:dyDescent="0.2">
      <c r="A198" s="575" t="s">
        <v>200</v>
      </c>
      <c r="B198" s="684" t="s">
        <v>1048</v>
      </c>
      <c r="C198" s="1823" t="s">
        <v>1049</v>
      </c>
      <c r="D198" s="1823"/>
      <c r="E198" s="1823"/>
      <c r="F198" s="573" t="s">
        <v>1034</v>
      </c>
      <c r="G198" s="573"/>
      <c r="H198" s="573"/>
      <c r="I198" s="573" t="s">
        <v>9215</v>
      </c>
      <c r="J198" s="572"/>
      <c r="K198" s="573"/>
      <c r="L198" s="572"/>
      <c r="M198" s="571"/>
      <c r="N198" s="570"/>
      <c r="V198" s="674"/>
      <c r="W198" s="675"/>
      <c r="X198" s="675" t="s">
        <v>1049</v>
      </c>
      <c r="AD198" s="675"/>
      <c r="AE198" s="675"/>
      <c r="AG198" s="675"/>
      <c r="AH198" s="680"/>
    </row>
    <row r="199" spans="1:34" s="536" customFormat="1" ht="12" x14ac:dyDescent="0.2">
      <c r="A199" s="676"/>
      <c r="B199" s="682"/>
      <c r="C199" s="1822" t="s">
        <v>9216</v>
      </c>
      <c r="D199" s="1822"/>
      <c r="E199" s="1822"/>
      <c r="F199" s="1822"/>
      <c r="G199" s="1822"/>
      <c r="H199" s="1822"/>
      <c r="I199" s="1822"/>
      <c r="J199" s="1822"/>
      <c r="K199" s="1822"/>
      <c r="L199" s="1822"/>
      <c r="M199" s="1822"/>
      <c r="N199" s="1827"/>
      <c r="V199" s="674"/>
      <c r="W199" s="675"/>
      <c r="X199" s="675"/>
      <c r="Y199" s="537" t="s">
        <v>9216</v>
      </c>
      <c r="AD199" s="675"/>
      <c r="AE199" s="675"/>
      <c r="AG199" s="675"/>
      <c r="AH199" s="680"/>
    </row>
    <row r="200" spans="1:34" s="536" customFormat="1" ht="12" x14ac:dyDescent="0.2">
      <c r="A200" s="609"/>
      <c r="B200" s="552"/>
      <c r="C200" s="1822" t="s">
        <v>1050</v>
      </c>
      <c r="D200" s="1822"/>
      <c r="E200" s="1822"/>
      <c r="F200" s="1822"/>
      <c r="G200" s="1822"/>
      <c r="H200" s="1822"/>
      <c r="I200" s="1822"/>
      <c r="J200" s="1822"/>
      <c r="K200" s="1822"/>
      <c r="L200" s="1822"/>
      <c r="M200" s="1822"/>
      <c r="N200" s="1827"/>
      <c r="V200" s="674"/>
      <c r="W200" s="675"/>
      <c r="X200" s="675"/>
      <c r="Z200" s="537" t="s">
        <v>1050</v>
      </c>
      <c r="AD200" s="675"/>
      <c r="AE200" s="675"/>
      <c r="AG200" s="675"/>
      <c r="AH200" s="680"/>
    </row>
    <row r="201" spans="1:34" s="536" customFormat="1" ht="33.75" x14ac:dyDescent="0.2">
      <c r="A201" s="609"/>
      <c r="B201" s="552" t="s">
        <v>310</v>
      </c>
      <c r="C201" s="1822" t="s">
        <v>311</v>
      </c>
      <c r="D201" s="1822"/>
      <c r="E201" s="1822"/>
      <c r="F201" s="1822"/>
      <c r="G201" s="1822"/>
      <c r="H201" s="1822"/>
      <c r="I201" s="1822"/>
      <c r="J201" s="1822"/>
      <c r="K201" s="1822"/>
      <c r="L201" s="1822"/>
      <c r="M201" s="1822"/>
      <c r="N201" s="1827"/>
      <c r="V201" s="674"/>
      <c r="W201" s="675"/>
      <c r="X201" s="675"/>
      <c r="Z201" s="537" t="s">
        <v>311</v>
      </c>
      <c r="AD201" s="675"/>
      <c r="AE201" s="675"/>
      <c r="AG201" s="675"/>
      <c r="AH201" s="680"/>
    </row>
    <row r="202" spans="1:34" s="536" customFormat="1" ht="12" x14ac:dyDescent="0.2">
      <c r="A202" s="605"/>
      <c r="B202" s="552" t="s">
        <v>186</v>
      </c>
      <c r="C202" s="1822" t="s">
        <v>344</v>
      </c>
      <c r="D202" s="1822"/>
      <c r="E202" s="1822"/>
      <c r="F202" s="562"/>
      <c r="G202" s="562"/>
      <c r="H202" s="562"/>
      <c r="I202" s="562"/>
      <c r="J202" s="604">
        <v>468.89</v>
      </c>
      <c r="K202" s="562" t="s">
        <v>1051</v>
      </c>
      <c r="L202" s="604">
        <v>42736.39</v>
      </c>
      <c r="M202" s="603"/>
      <c r="N202" s="602"/>
      <c r="V202" s="674"/>
      <c r="W202" s="675"/>
      <c r="X202" s="675"/>
      <c r="AA202" s="537" t="s">
        <v>344</v>
      </c>
      <c r="AD202" s="675"/>
      <c r="AE202" s="675"/>
      <c r="AG202" s="675"/>
      <c r="AH202" s="680"/>
    </row>
    <row r="203" spans="1:34" s="536" customFormat="1" ht="12" x14ac:dyDescent="0.2">
      <c r="A203" s="605"/>
      <c r="B203" s="552" t="s">
        <v>187</v>
      </c>
      <c r="C203" s="1822" t="s">
        <v>345</v>
      </c>
      <c r="D203" s="1822"/>
      <c r="E203" s="1822"/>
      <c r="F203" s="562"/>
      <c r="G203" s="562"/>
      <c r="H203" s="562"/>
      <c r="I203" s="562"/>
      <c r="J203" s="604">
        <v>27.84</v>
      </c>
      <c r="K203" s="562" t="s">
        <v>1051</v>
      </c>
      <c r="L203" s="604">
        <v>2537.44</v>
      </c>
      <c r="M203" s="603"/>
      <c r="N203" s="602"/>
      <c r="V203" s="674"/>
      <c r="W203" s="675"/>
      <c r="X203" s="675"/>
      <c r="AA203" s="537" t="s">
        <v>345</v>
      </c>
      <c r="AD203" s="675"/>
      <c r="AE203" s="675"/>
      <c r="AG203" s="675"/>
      <c r="AH203" s="680"/>
    </row>
    <row r="204" spans="1:34" s="536" customFormat="1" ht="12" x14ac:dyDescent="0.2">
      <c r="A204" s="605"/>
      <c r="B204" s="552" t="s">
        <v>188</v>
      </c>
      <c r="C204" s="1822" t="s">
        <v>475</v>
      </c>
      <c r="D204" s="1822"/>
      <c r="E204" s="1822"/>
      <c r="F204" s="562"/>
      <c r="G204" s="562"/>
      <c r="H204" s="562"/>
      <c r="I204" s="562"/>
      <c r="J204" s="604">
        <v>1297.8</v>
      </c>
      <c r="K204" s="562" t="s">
        <v>187</v>
      </c>
      <c r="L204" s="604">
        <v>94629.09</v>
      </c>
      <c r="M204" s="603"/>
      <c r="N204" s="602"/>
      <c r="V204" s="674"/>
      <c r="W204" s="675"/>
      <c r="X204" s="675"/>
      <c r="AA204" s="537" t="s">
        <v>475</v>
      </c>
      <c r="AD204" s="675"/>
      <c r="AE204" s="675"/>
      <c r="AG204" s="675"/>
      <c r="AH204" s="680"/>
    </row>
    <row r="205" spans="1:34" s="536" customFormat="1" ht="22.5" x14ac:dyDescent="0.2">
      <c r="A205" s="605"/>
      <c r="B205" s="552"/>
      <c r="C205" s="1822" t="s">
        <v>348</v>
      </c>
      <c r="D205" s="1822"/>
      <c r="E205" s="1822"/>
      <c r="F205" s="562" t="s">
        <v>315</v>
      </c>
      <c r="G205" s="562" t="s">
        <v>1052</v>
      </c>
      <c r="H205" s="562" t="s">
        <v>1051</v>
      </c>
      <c r="I205" s="562" t="s">
        <v>9224</v>
      </c>
      <c r="J205" s="604"/>
      <c r="K205" s="562"/>
      <c r="L205" s="604"/>
      <c r="M205" s="603"/>
      <c r="N205" s="602"/>
      <c r="V205" s="674"/>
      <c r="W205" s="675"/>
      <c r="X205" s="675"/>
      <c r="AB205" s="537" t="s">
        <v>348</v>
      </c>
      <c r="AD205" s="675"/>
      <c r="AE205" s="675"/>
      <c r="AG205" s="675"/>
      <c r="AH205" s="680"/>
    </row>
    <row r="206" spans="1:34" s="536" customFormat="1" ht="12" x14ac:dyDescent="0.2">
      <c r="A206" s="605"/>
      <c r="B206" s="552"/>
      <c r="C206" s="1828" t="s">
        <v>318</v>
      </c>
      <c r="D206" s="1828"/>
      <c r="E206" s="1828"/>
      <c r="F206" s="608"/>
      <c r="G206" s="608"/>
      <c r="H206" s="608"/>
      <c r="I206" s="608"/>
      <c r="J206" s="607">
        <v>1766.69</v>
      </c>
      <c r="K206" s="608"/>
      <c r="L206" s="607">
        <v>137365.48000000001</v>
      </c>
      <c r="M206" s="601"/>
      <c r="N206" s="606"/>
      <c r="V206" s="674"/>
      <c r="W206" s="675"/>
      <c r="X206" s="675"/>
      <c r="AC206" s="537" t="s">
        <v>318</v>
      </c>
      <c r="AD206" s="675"/>
      <c r="AE206" s="675"/>
      <c r="AG206" s="675"/>
      <c r="AH206" s="680"/>
    </row>
    <row r="207" spans="1:34" s="536" customFormat="1" ht="12" x14ac:dyDescent="0.2">
      <c r="A207" s="605"/>
      <c r="B207" s="552"/>
      <c r="C207" s="1822" t="s">
        <v>319</v>
      </c>
      <c r="D207" s="1822"/>
      <c r="E207" s="1822"/>
      <c r="F207" s="562"/>
      <c r="G207" s="562"/>
      <c r="H207" s="562"/>
      <c r="I207" s="562"/>
      <c r="J207" s="604"/>
      <c r="K207" s="562"/>
      <c r="L207" s="604">
        <v>2537.44</v>
      </c>
      <c r="M207" s="603"/>
      <c r="N207" s="602"/>
      <c r="V207" s="674"/>
      <c r="W207" s="675"/>
      <c r="X207" s="675"/>
      <c r="AB207" s="537" t="s">
        <v>319</v>
      </c>
      <c r="AD207" s="675"/>
      <c r="AE207" s="675"/>
      <c r="AG207" s="675"/>
      <c r="AH207" s="680"/>
    </row>
    <row r="208" spans="1:34" s="536" customFormat="1" ht="33.75" x14ac:dyDescent="0.2">
      <c r="A208" s="605"/>
      <c r="B208" s="552" t="s">
        <v>554</v>
      </c>
      <c r="C208" s="1822" t="s">
        <v>555</v>
      </c>
      <c r="D208" s="1822"/>
      <c r="E208" s="1822"/>
      <c r="F208" s="562" t="s">
        <v>322</v>
      </c>
      <c r="G208" s="562" t="s">
        <v>556</v>
      </c>
      <c r="H208" s="562"/>
      <c r="I208" s="562" t="s">
        <v>556</v>
      </c>
      <c r="J208" s="604"/>
      <c r="K208" s="562"/>
      <c r="L208" s="604">
        <v>3197.17</v>
      </c>
      <c r="M208" s="603"/>
      <c r="N208" s="602"/>
      <c r="V208" s="674"/>
      <c r="W208" s="675"/>
      <c r="X208" s="675"/>
      <c r="AB208" s="537" t="s">
        <v>555</v>
      </c>
      <c r="AD208" s="675"/>
      <c r="AE208" s="675"/>
      <c r="AG208" s="675"/>
      <c r="AH208" s="680"/>
    </row>
    <row r="209" spans="1:34" s="536" customFormat="1" ht="33.75" x14ac:dyDescent="0.2">
      <c r="A209" s="605"/>
      <c r="B209" s="552" t="s">
        <v>557</v>
      </c>
      <c r="C209" s="1822" t="s">
        <v>558</v>
      </c>
      <c r="D209" s="1822"/>
      <c r="E209" s="1822"/>
      <c r="F209" s="562" t="s">
        <v>322</v>
      </c>
      <c r="G209" s="562" t="s">
        <v>559</v>
      </c>
      <c r="H209" s="562"/>
      <c r="I209" s="562" t="s">
        <v>559</v>
      </c>
      <c r="J209" s="604"/>
      <c r="K209" s="562"/>
      <c r="L209" s="604">
        <v>2410.5700000000002</v>
      </c>
      <c r="M209" s="603"/>
      <c r="N209" s="602"/>
      <c r="V209" s="674"/>
      <c r="W209" s="675"/>
      <c r="X209" s="675"/>
      <c r="AB209" s="537" t="s">
        <v>558</v>
      </c>
      <c r="AD209" s="675"/>
      <c r="AE209" s="675"/>
      <c r="AG209" s="675"/>
      <c r="AH209" s="680"/>
    </row>
    <row r="210" spans="1:34" s="536" customFormat="1" ht="12" x14ac:dyDescent="0.2">
      <c r="A210" s="569"/>
      <c r="B210" s="683"/>
      <c r="C210" s="1823" t="s">
        <v>327</v>
      </c>
      <c r="D210" s="1823"/>
      <c r="E210" s="1823"/>
      <c r="F210" s="573"/>
      <c r="G210" s="573"/>
      <c r="H210" s="573"/>
      <c r="I210" s="573"/>
      <c r="J210" s="572"/>
      <c r="K210" s="573"/>
      <c r="L210" s="572">
        <v>142973.22</v>
      </c>
      <c r="M210" s="601"/>
      <c r="N210" s="570"/>
      <c r="V210" s="674"/>
      <c r="W210" s="675"/>
      <c r="X210" s="675"/>
      <c r="AD210" s="675" t="s">
        <v>327</v>
      </c>
      <c r="AE210" s="675"/>
      <c r="AG210" s="675"/>
      <c r="AH210" s="680"/>
    </row>
    <row r="211" spans="1:34" s="536" customFormat="1" ht="12" x14ac:dyDescent="0.2">
      <c r="A211" s="575" t="s">
        <v>425</v>
      </c>
      <c r="B211" s="684" t="s">
        <v>1053</v>
      </c>
      <c r="C211" s="1823" t="s">
        <v>1054</v>
      </c>
      <c r="D211" s="1823"/>
      <c r="E211" s="1823"/>
      <c r="F211" s="573" t="s">
        <v>694</v>
      </c>
      <c r="G211" s="573"/>
      <c r="H211" s="573"/>
      <c r="I211" s="573" t="s">
        <v>425</v>
      </c>
      <c r="J211" s="572"/>
      <c r="K211" s="573"/>
      <c r="L211" s="572"/>
      <c r="M211" s="571"/>
      <c r="N211" s="570"/>
      <c r="V211" s="674"/>
      <c r="W211" s="675"/>
      <c r="X211" s="675" t="s">
        <v>1054</v>
      </c>
      <c r="AD211" s="675"/>
      <c r="AE211" s="675"/>
      <c r="AG211" s="675"/>
      <c r="AH211" s="680"/>
    </row>
    <row r="212" spans="1:34" s="536" customFormat="1" ht="33.75" x14ac:dyDescent="0.2">
      <c r="A212" s="609"/>
      <c r="B212" s="552" t="s">
        <v>310</v>
      </c>
      <c r="C212" s="1822" t="s">
        <v>311</v>
      </c>
      <c r="D212" s="1822"/>
      <c r="E212" s="1822"/>
      <c r="F212" s="1822"/>
      <c r="G212" s="1822"/>
      <c r="H212" s="1822"/>
      <c r="I212" s="1822"/>
      <c r="J212" s="1822"/>
      <c r="K212" s="1822"/>
      <c r="L212" s="1822"/>
      <c r="M212" s="1822"/>
      <c r="N212" s="1827"/>
      <c r="V212" s="674"/>
      <c r="W212" s="675"/>
      <c r="X212" s="675"/>
      <c r="Z212" s="537" t="s">
        <v>311</v>
      </c>
      <c r="AD212" s="675"/>
      <c r="AE212" s="675"/>
      <c r="AG212" s="675"/>
      <c r="AH212" s="680"/>
    </row>
    <row r="213" spans="1:34" s="536" customFormat="1" ht="12" x14ac:dyDescent="0.2">
      <c r="A213" s="605"/>
      <c r="B213" s="552" t="s">
        <v>186</v>
      </c>
      <c r="C213" s="1822" t="s">
        <v>344</v>
      </c>
      <c r="D213" s="1822"/>
      <c r="E213" s="1822"/>
      <c r="F213" s="562"/>
      <c r="G213" s="562"/>
      <c r="H213" s="562"/>
      <c r="I213" s="562"/>
      <c r="J213" s="604">
        <v>39.1</v>
      </c>
      <c r="K213" s="562" t="s">
        <v>313</v>
      </c>
      <c r="L213" s="604">
        <v>830.88</v>
      </c>
      <c r="M213" s="603"/>
      <c r="N213" s="602"/>
      <c r="V213" s="674"/>
      <c r="W213" s="675"/>
      <c r="X213" s="675"/>
      <c r="AA213" s="537" t="s">
        <v>344</v>
      </c>
      <c r="AD213" s="675"/>
      <c r="AE213" s="675"/>
      <c r="AG213" s="675"/>
      <c r="AH213" s="680"/>
    </row>
    <row r="214" spans="1:34" s="536" customFormat="1" ht="12" x14ac:dyDescent="0.2">
      <c r="A214" s="605"/>
      <c r="B214" s="552" t="s">
        <v>187</v>
      </c>
      <c r="C214" s="1822" t="s">
        <v>345</v>
      </c>
      <c r="D214" s="1822"/>
      <c r="E214" s="1822"/>
      <c r="F214" s="562"/>
      <c r="G214" s="562"/>
      <c r="H214" s="562"/>
      <c r="I214" s="562"/>
      <c r="J214" s="604">
        <v>7.15</v>
      </c>
      <c r="K214" s="562" t="s">
        <v>313</v>
      </c>
      <c r="L214" s="604">
        <v>151.94</v>
      </c>
      <c r="M214" s="603"/>
      <c r="N214" s="602"/>
      <c r="V214" s="674"/>
      <c r="W214" s="675"/>
      <c r="X214" s="675"/>
      <c r="AA214" s="537" t="s">
        <v>345</v>
      </c>
      <c r="AD214" s="675"/>
      <c r="AE214" s="675"/>
      <c r="AG214" s="675"/>
      <c r="AH214" s="680"/>
    </row>
    <row r="215" spans="1:34" s="536" customFormat="1" ht="12" x14ac:dyDescent="0.2">
      <c r="A215" s="676"/>
      <c r="B215" s="677" t="s">
        <v>1055</v>
      </c>
      <c r="C215" s="1829" t="s">
        <v>1056</v>
      </c>
      <c r="D215" s="1829"/>
      <c r="E215" s="1829"/>
      <c r="F215" s="678" t="s">
        <v>694</v>
      </c>
      <c r="G215" s="678" t="s">
        <v>702</v>
      </c>
      <c r="H215" s="678"/>
      <c r="I215" s="678" t="s">
        <v>704</v>
      </c>
      <c r="J215" s="552"/>
      <c r="K215" s="562"/>
      <c r="L215" s="604"/>
      <c r="M215" s="562"/>
      <c r="N215" s="679"/>
      <c r="V215" s="674"/>
      <c r="W215" s="675"/>
      <c r="X215" s="675"/>
      <c r="AD215" s="675"/>
      <c r="AE215" s="675"/>
      <c r="AG215" s="675"/>
      <c r="AH215" s="680" t="s">
        <v>1056</v>
      </c>
    </row>
    <row r="216" spans="1:34" s="536" customFormat="1" ht="12" x14ac:dyDescent="0.2">
      <c r="A216" s="605"/>
      <c r="B216" s="552"/>
      <c r="C216" s="1822" t="s">
        <v>348</v>
      </c>
      <c r="D216" s="1822"/>
      <c r="E216" s="1822"/>
      <c r="F216" s="562" t="s">
        <v>315</v>
      </c>
      <c r="G216" s="562" t="s">
        <v>1057</v>
      </c>
      <c r="H216" s="562" t="s">
        <v>313</v>
      </c>
      <c r="I216" s="562" t="s">
        <v>1058</v>
      </c>
      <c r="J216" s="604"/>
      <c r="K216" s="562"/>
      <c r="L216" s="604"/>
      <c r="M216" s="603"/>
      <c r="N216" s="602"/>
      <c r="V216" s="674"/>
      <c r="W216" s="675"/>
      <c r="X216" s="675"/>
      <c r="AB216" s="537" t="s">
        <v>348</v>
      </c>
      <c r="AD216" s="675"/>
      <c r="AE216" s="675"/>
      <c r="AG216" s="675"/>
      <c r="AH216" s="680"/>
    </row>
    <row r="217" spans="1:34" s="536" customFormat="1" ht="12" x14ac:dyDescent="0.2">
      <c r="A217" s="605"/>
      <c r="B217" s="552"/>
      <c r="C217" s="1828" t="s">
        <v>318</v>
      </c>
      <c r="D217" s="1828"/>
      <c r="E217" s="1828"/>
      <c r="F217" s="608"/>
      <c r="G217" s="608"/>
      <c r="H217" s="608"/>
      <c r="I217" s="608"/>
      <c r="J217" s="607">
        <v>39.1</v>
      </c>
      <c r="K217" s="608"/>
      <c r="L217" s="607">
        <v>830.88</v>
      </c>
      <c r="M217" s="601"/>
      <c r="N217" s="606"/>
      <c r="V217" s="674"/>
      <c r="W217" s="675"/>
      <c r="X217" s="675"/>
      <c r="AC217" s="537" t="s">
        <v>318</v>
      </c>
      <c r="AD217" s="675"/>
      <c r="AE217" s="675"/>
      <c r="AG217" s="675"/>
      <c r="AH217" s="680"/>
    </row>
    <row r="218" spans="1:34" s="536" customFormat="1" ht="12" x14ac:dyDescent="0.2">
      <c r="A218" s="605"/>
      <c r="B218" s="552"/>
      <c r="C218" s="1822" t="s">
        <v>319</v>
      </c>
      <c r="D218" s="1822"/>
      <c r="E218" s="1822"/>
      <c r="F218" s="562"/>
      <c r="G218" s="562"/>
      <c r="H218" s="562"/>
      <c r="I218" s="562"/>
      <c r="J218" s="604"/>
      <c r="K218" s="562"/>
      <c r="L218" s="604">
        <v>151.94</v>
      </c>
      <c r="M218" s="603"/>
      <c r="N218" s="602"/>
      <c r="V218" s="674"/>
      <c r="W218" s="675"/>
      <c r="X218" s="675"/>
      <c r="AB218" s="537" t="s">
        <v>319</v>
      </c>
      <c r="AD218" s="675"/>
      <c r="AE218" s="675"/>
      <c r="AG218" s="675"/>
      <c r="AH218" s="680"/>
    </row>
    <row r="219" spans="1:34" s="536" customFormat="1" ht="33.75" x14ac:dyDescent="0.2">
      <c r="A219" s="605"/>
      <c r="B219" s="552" t="s">
        <v>554</v>
      </c>
      <c r="C219" s="1822" t="s">
        <v>555</v>
      </c>
      <c r="D219" s="1822"/>
      <c r="E219" s="1822"/>
      <c r="F219" s="562" t="s">
        <v>322</v>
      </c>
      <c r="G219" s="562" t="s">
        <v>556</v>
      </c>
      <c r="H219" s="562"/>
      <c r="I219" s="562" t="s">
        <v>556</v>
      </c>
      <c r="J219" s="604"/>
      <c r="K219" s="562"/>
      <c r="L219" s="604">
        <v>191.44</v>
      </c>
      <c r="M219" s="603"/>
      <c r="N219" s="602"/>
      <c r="V219" s="674"/>
      <c r="W219" s="675"/>
      <c r="X219" s="675"/>
      <c r="AB219" s="537" t="s">
        <v>555</v>
      </c>
      <c r="AD219" s="675"/>
      <c r="AE219" s="675"/>
      <c r="AG219" s="675"/>
      <c r="AH219" s="680"/>
    </row>
    <row r="220" spans="1:34" s="536" customFormat="1" ht="33.75" x14ac:dyDescent="0.2">
      <c r="A220" s="605"/>
      <c r="B220" s="552" t="s">
        <v>557</v>
      </c>
      <c r="C220" s="1822" t="s">
        <v>558</v>
      </c>
      <c r="D220" s="1822"/>
      <c r="E220" s="1822"/>
      <c r="F220" s="562" t="s">
        <v>322</v>
      </c>
      <c r="G220" s="562" t="s">
        <v>559</v>
      </c>
      <c r="H220" s="562"/>
      <c r="I220" s="562" t="s">
        <v>559</v>
      </c>
      <c r="J220" s="604"/>
      <c r="K220" s="562"/>
      <c r="L220" s="604">
        <v>144.34</v>
      </c>
      <c r="M220" s="603"/>
      <c r="N220" s="602"/>
      <c r="V220" s="674"/>
      <c r="W220" s="675"/>
      <c r="X220" s="675"/>
      <c r="AB220" s="537" t="s">
        <v>558</v>
      </c>
      <c r="AD220" s="675"/>
      <c r="AE220" s="675"/>
      <c r="AG220" s="675"/>
      <c r="AH220" s="680"/>
    </row>
    <row r="221" spans="1:34" s="536" customFormat="1" ht="12" x14ac:dyDescent="0.2">
      <c r="A221" s="569"/>
      <c r="B221" s="683"/>
      <c r="C221" s="1823" t="s">
        <v>327</v>
      </c>
      <c r="D221" s="1823"/>
      <c r="E221" s="1823"/>
      <c r="F221" s="573"/>
      <c r="G221" s="573"/>
      <c r="H221" s="573"/>
      <c r="I221" s="573"/>
      <c r="J221" s="572"/>
      <c r="K221" s="573"/>
      <c r="L221" s="572">
        <v>1166.6600000000001</v>
      </c>
      <c r="M221" s="601"/>
      <c r="N221" s="570"/>
      <c r="V221" s="674"/>
      <c r="W221" s="675"/>
      <c r="X221" s="675"/>
      <c r="AD221" s="675" t="s">
        <v>327</v>
      </c>
      <c r="AE221" s="675"/>
      <c r="AG221" s="675"/>
      <c r="AH221" s="680"/>
    </row>
    <row r="222" spans="1:34" s="536" customFormat="1" ht="12" x14ac:dyDescent="0.2">
      <c r="A222" s="575" t="s">
        <v>430</v>
      </c>
      <c r="B222" s="684" t="s">
        <v>1059</v>
      </c>
      <c r="C222" s="1823" t="s">
        <v>1060</v>
      </c>
      <c r="D222" s="1823"/>
      <c r="E222" s="1823"/>
      <c r="F222" s="573" t="s">
        <v>694</v>
      </c>
      <c r="G222" s="573"/>
      <c r="H222" s="573"/>
      <c r="I222" s="573" t="s">
        <v>704</v>
      </c>
      <c r="J222" s="572">
        <v>2723.2</v>
      </c>
      <c r="K222" s="573"/>
      <c r="L222" s="572">
        <v>47683.23</v>
      </c>
      <c r="M222" s="571"/>
      <c r="N222" s="570"/>
      <c r="V222" s="674"/>
      <c r="W222" s="675"/>
      <c r="X222" s="675" t="s">
        <v>1060</v>
      </c>
      <c r="AD222" s="675"/>
      <c r="AE222" s="675"/>
      <c r="AG222" s="675"/>
      <c r="AH222" s="680"/>
    </row>
    <row r="223" spans="1:34" s="536" customFormat="1" ht="12" x14ac:dyDescent="0.2">
      <c r="A223" s="569"/>
      <c r="B223" s="683"/>
      <c r="C223" s="689" t="s">
        <v>717</v>
      </c>
      <c r="D223" s="690"/>
      <c r="E223" s="690"/>
      <c r="F223" s="563"/>
      <c r="G223" s="563"/>
      <c r="H223" s="563"/>
      <c r="I223" s="563"/>
      <c r="J223" s="566"/>
      <c r="K223" s="563"/>
      <c r="L223" s="566"/>
      <c r="M223" s="565"/>
      <c r="N223" s="564"/>
      <c r="V223" s="674"/>
      <c r="W223" s="675"/>
      <c r="X223" s="675"/>
      <c r="AD223" s="675"/>
      <c r="AE223" s="675"/>
      <c r="AG223" s="675"/>
      <c r="AH223" s="680"/>
    </row>
    <row r="224" spans="1:34" s="536" customFormat="1" ht="45" x14ac:dyDescent="0.2">
      <c r="A224" s="575" t="s">
        <v>436</v>
      </c>
      <c r="B224" s="684" t="s">
        <v>1061</v>
      </c>
      <c r="C224" s="1823" t="s">
        <v>1062</v>
      </c>
      <c r="D224" s="1823"/>
      <c r="E224" s="1823"/>
      <c r="F224" s="573" t="s">
        <v>1034</v>
      </c>
      <c r="G224" s="573"/>
      <c r="H224" s="573"/>
      <c r="I224" s="573" t="s">
        <v>9215</v>
      </c>
      <c r="J224" s="572"/>
      <c r="K224" s="573"/>
      <c r="L224" s="572"/>
      <c r="M224" s="571"/>
      <c r="N224" s="570"/>
      <c r="V224" s="674"/>
      <c r="W224" s="675"/>
      <c r="X224" s="675" t="s">
        <v>1062</v>
      </c>
      <c r="AD224" s="675"/>
      <c r="AE224" s="675"/>
      <c r="AG224" s="675"/>
      <c r="AH224" s="680"/>
    </row>
    <row r="225" spans="1:34" s="536" customFormat="1" ht="12" x14ac:dyDescent="0.2">
      <c r="A225" s="676"/>
      <c r="B225" s="682"/>
      <c r="C225" s="1822" t="s">
        <v>9216</v>
      </c>
      <c r="D225" s="1822"/>
      <c r="E225" s="1822"/>
      <c r="F225" s="1822"/>
      <c r="G225" s="1822"/>
      <c r="H225" s="1822"/>
      <c r="I225" s="1822"/>
      <c r="J225" s="1822"/>
      <c r="K225" s="1822"/>
      <c r="L225" s="1822"/>
      <c r="M225" s="1822"/>
      <c r="N225" s="1827"/>
      <c r="V225" s="674"/>
      <c r="W225" s="675"/>
      <c r="X225" s="675"/>
      <c r="Y225" s="537" t="s">
        <v>9216</v>
      </c>
      <c r="AD225" s="675"/>
      <c r="AE225" s="675"/>
      <c r="AG225" s="675"/>
      <c r="AH225" s="680"/>
    </row>
    <row r="226" spans="1:34" s="536" customFormat="1" ht="33.75" x14ac:dyDescent="0.2">
      <c r="A226" s="609"/>
      <c r="B226" s="552" t="s">
        <v>310</v>
      </c>
      <c r="C226" s="1822" t="s">
        <v>311</v>
      </c>
      <c r="D226" s="1822"/>
      <c r="E226" s="1822"/>
      <c r="F226" s="1822"/>
      <c r="G226" s="1822"/>
      <c r="H226" s="1822"/>
      <c r="I226" s="1822"/>
      <c r="J226" s="1822"/>
      <c r="K226" s="1822"/>
      <c r="L226" s="1822"/>
      <c r="M226" s="1822"/>
      <c r="N226" s="1827"/>
      <c r="V226" s="674"/>
      <c r="W226" s="675"/>
      <c r="X226" s="675"/>
      <c r="Z226" s="537" t="s">
        <v>311</v>
      </c>
      <c r="AD226" s="675"/>
      <c r="AE226" s="675"/>
      <c r="AG226" s="675"/>
      <c r="AH226" s="680"/>
    </row>
    <row r="227" spans="1:34" s="536" customFormat="1" ht="12" x14ac:dyDescent="0.2">
      <c r="A227" s="605"/>
      <c r="B227" s="552" t="s">
        <v>185</v>
      </c>
      <c r="C227" s="1822" t="s">
        <v>312</v>
      </c>
      <c r="D227" s="1822"/>
      <c r="E227" s="1822"/>
      <c r="F227" s="562"/>
      <c r="G227" s="562"/>
      <c r="H227" s="562"/>
      <c r="I227" s="562"/>
      <c r="J227" s="604">
        <v>182.32</v>
      </c>
      <c r="K227" s="562" t="s">
        <v>313</v>
      </c>
      <c r="L227" s="604">
        <v>5539.11</v>
      </c>
      <c r="M227" s="603"/>
      <c r="N227" s="602"/>
      <c r="V227" s="674"/>
      <c r="W227" s="675"/>
      <c r="X227" s="675"/>
      <c r="AA227" s="537" t="s">
        <v>312</v>
      </c>
      <c r="AD227" s="675"/>
      <c r="AE227" s="675"/>
      <c r="AG227" s="675"/>
      <c r="AH227" s="680"/>
    </row>
    <row r="228" spans="1:34" s="536" customFormat="1" ht="12" x14ac:dyDescent="0.2">
      <c r="A228" s="605"/>
      <c r="B228" s="552" t="s">
        <v>186</v>
      </c>
      <c r="C228" s="1822" t="s">
        <v>344</v>
      </c>
      <c r="D228" s="1822"/>
      <c r="E228" s="1822"/>
      <c r="F228" s="562"/>
      <c r="G228" s="562"/>
      <c r="H228" s="562"/>
      <c r="I228" s="562"/>
      <c r="J228" s="604">
        <v>7479.03</v>
      </c>
      <c r="K228" s="562" t="s">
        <v>313</v>
      </c>
      <c r="L228" s="604">
        <v>227222.28</v>
      </c>
      <c r="M228" s="603"/>
      <c r="N228" s="602"/>
      <c r="V228" s="674"/>
      <c r="W228" s="675"/>
      <c r="X228" s="675"/>
      <c r="AA228" s="537" t="s">
        <v>344</v>
      </c>
      <c r="AD228" s="675"/>
      <c r="AE228" s="675"/>
      <c r="AG228" s="675"/>
      <c r="AH228" s="680"/>
    </row>
    <row r="229" spans="1:34" s="536" customFormat="1" ht="12" x14ac:dyDescent="0.2">
      <c r="A229" s="605"/>
      <c r="B229" s="552" t="s">
        <v>187</v>
      </c>
      <c r="C229" s="1822" t="s">
        <v>345</v>
      </c>
      <c r="D229" s="1822"/>
      <c r="E229" s="1822"/>
      <c r="F229" s="562"/>
      <c r="G229" s="562"/>
      <c r="H229" s="562"/>
      <c r="I229" s="562"/>
      <c r="J229" s="604">
        <v>234.46</v>
      </c>
      <c r="K229" s="562" t="s">
        <v>313</v>
      </c>
      <c r="L229" s="604">
        <v>7123.19</v>
      </c>
      <c r="M229" s="603"/>
      <c r="N229" s="602"/>
      <c r="V229" s="674"/>
      <c r="W229" s="675"/>
      <c r="X229" s="675"/>
      <c r="AA229" s="537" t="s">
        <v>345</v>
      </c>
      <c r="AD229" s="675"/>
      <c r="AE229" s="675"/>
      <c r="AG229" s="675"/>
      <c r="AH229" s="680"/>
    </row>
    <row r="230" spans="1:34" s="536" customFormat="1" ht="12" x14ac:dyDescent="0.2">
      <c r="A230" s="605"/>
      <c r="B230" s="552" t="s">
        <v>188</v>
      </c>
      <c r="C230" s="1822" t="s">
        <v>475</v>
      </c>
      <c r="D230" s="1822"/>
      <c r="E230" s="1822"/>
      <c r="F230" s="562"/>
      <c r="G230" s="562"/>
      <c r="H230" s="562"/>
      <c r="I230" s="562"/>
      <c r="J230" s="604">
        <v>874.78</v>
      </c>
      <c r="K230" s="562"/>
      <c r="L230" s="604">
        <v>21261.53</v>
      </c>
      <c r="M230" s="603"/>
      <c r="N230" s="602"/>
      <c r="V230" s="674"/>
      <c r="W230" s="675"/>
      <c r="X230" s="675"/>
      <c r="AA230" s="537" t="s">
        <v>475</v>
      </c>
      <c r="AD230" s="675"/>
      <c r="AE230" s="675"/>
      <c r="AG230" s="675"/>
      <c r="AH230" s="680"/>
    </row>
    <row r="231" spans="1:34" s="536" customFormat="1" ht="12" x14ac:dyDescent="0.2">
      <c r="A231" s="676"/>
      <c r="B231" s="677" t="s">
        <v>1063</v>
      </c>
      <c r="C231" s="1829" t="s">
        <v>1064</v>
      </c>
      <c r="D231" s="1829"/>
      <c r="E231" s="1829"/>
      <c r="F231" s="678" t="s">
        <v>694</v>
      </c>
      <c r="G231" s="678" t="s">
        <v>525</v>
      </c>
      <c r="H231" s="678"/>
      <c r="I231" s="678" t="s">
        <v>525</v>
      </c>
      <c r="J231" s="552"/>
      <c r="K231" s="562"/>
      <c r="L231" s="604"/>
      <c r="M231" s="562"/>
      <c r="N231" s="679"/>
      <c r="V231" s="674"/>
      <c r="W231" s="675"/>
      <c r="X231" s="675"/>
      <c r="AD231" s="675"/>
      <c r="AE231" s="675"/>
      <c r="AG231" s="675"/>
      <c r="AH231" s="680" t="s">
        <v>1064</v>
      </c>
    </row>
    <row r="232" spans="1:34" s="536" customFormat="1" ht="22.5" x14ac:dyDescent="0.2">
      <c r="A232" s="605"/>
      <c r="B232" s="552"/>
      <c r="C232" s="1822" t="s">
        <v>314</v>
      </c>
      <c r="D232" s="1822"/>
      <c r="E232" s="1822"/>
      <c r="F232" s="562" t="s">
        <v>315</v>
      </c>
      <c r="G232" s="562" t="s">
        <v>1065</v>
      </c>
      <c r="H232" s="562" t="s">
        <v>313</v>
      </c>
      <c r="I232" s="562" t="s">
        <v>9225</v>
      </c>
      <c r="J232" s="604"/>
      <c r="K232" s="562"/>
      <c r="L232" s="604"/>
      <c r="M232" s="603"/>
      <c r="N232" s="602"/>
      <c r="V232" s="674"/>
      <c r="W232" s="675"/>
      <c r="X232" s="675"/>
      <c r="AB232" s="537" t="s">
        <v>314</v>
      </c>
      <c r="AD232" s="675"/>
      <c r="AE232" s="675"/>
      <c r="AG232" s="675"/>
      <c r="AH232" s="680"/>
    </row>
    <row r="233" spans="1:34" s="536" customFormat="1" ht="22.5" x14ac:dyDescent="0.2">
      <c r="A233" s="605"/>
      <c r="B233" s="552"/>
      <c r="C233" s="1822" t="s">
        <v>348</v>
      </c>
      <c r="D233" s="1822"/>
      <c r="E233" s="1822"/>
      <c r="F233" s="562" t="s">
        <v>315</v>
      </c>
      <c r="G233" s="562" t="s">
        <v>1066</v>
      </c>
      <c r="H233" s="562" t="s">
        <v>313</v>
      </c>
      <c r="I233" s="562" t="s">
        <v>9226</v>
      </c>
      <c r="J233" s="604"/>
      <c r="K233" s="562"/>
      <c r="L233" s="604"/>
      <c r="M233" s="603"/>
      <c r="N233" s="602"/>
      <c r="V233" s="674"/>
      <c r="W233" s="675"/>
      <c r="X233" s="675"/>
      <c r="AB233" s="537" t="s">
        <v>348</v>
      </c>
      <c r="AD233" s="675"/>
      <c r="AE233" s="675"/>
      <c r="AG233" s="675"/>
      <c r="AH233" s="680"/>
    </row>
    <row r="234" spans="1:34" s="536" customFormat="1" ht="12" x14ac:dyDescent="0.2">
      <c r="A234" s="605"/>
      <c r="B234" s="552"/>
      <c r="C234" s="1828" t="s">
        <v>318</v>
      </c>
      <c r="D234" s="1828"/>
      <c r="E234" s="1828"/>
      <c r="F234" s="608"/>
      <c r="G234" s="608"/>
      <c r="H234" s="608"/>
      <c r="I234" s="608"/>
      <c r="J234" s="607">
        <v>8536.1299999999992</v>
      </c>
      <c r="K234" s="608"/>
      <c r="L234" s="607">
        <v>254022.92</v>
      </c>
      <c r="M234" s="601"/>
      <c r="N234" s="606"/>
      <c r="V234" s="674"/>
      <c r="W234" s="675"/>
      <c r="X234" s="675"/>
      <c r="AC234" s="537" t="s">
        <v>318</v>
      </c>
      <c r="AD234" s="675"/>
      <c r="AE234" s="675"/>
      <c r="AG234" s="675"/>
      <c r="AH234" s="680"/>
    </row>
    <row r="235" spans="1:34" s="536" customFormat="1" ht="12" x14ac:dyDescent="0.2">
      <c r="A235" s="605"/>
      <c r="B235" s="552"/>
      <c r="C235" s="1822" t="s">
        <v>319</v>
      </c>
      <c r="D235" s="1822"/>
      <c r="E235" s="1822"/>
      <c r="F235" s="562"/>
      <c r="G235" s="562"/>
      <c r="H235" s="562"/>
      <c r="I235" s="562"/>
      <c r="J235" s="604"/>
      <c r="K235" s="562"/>
      <c r="L235" s="604">
        <v>12662.3</v>
      </c>
      <c r="M235" s="603"/>
      <c r="N235" s="602"/>
      <c r="V235" s="674"/>
      <c r="W235" s="675"/>
      <c r="X235" s="675"/>
      <c r="AB235" s="537" t="s">
        <v>319</v>
      </c>
      <c r="AD235" s="675"/>
      <c r="AE235" s="675"/>
      <c r="AG235" s="675"/>
      <c r="AH235" s="680"/>
    </row>
    <row r="236" spans="1:34" s="536" customFormat="1" ht="33.75" x14ac:dyDescent="0.2">
      <c r="A236" s="605"/>
      <c r="B236" s="552" t="s">
        <v>554</v>
      </c>
      <c r="C236" s="1822" t="s">
        <v>555</v>
      </c>
      <c r="D236" s="1822"/>
      <c r="E236" s="1822"/>
      <c r="F236" s="562" t="s">
        <v>322</v>
      </c>
      <c r="G236" s="562" t="s">
        <v>556</v>
      </c>
      <c r="H236" s="562"/>
      <c r="I236" s="562" t="s">
        <v>556</v>
      </c>
      <c r="J236" s="604"/>
      <c r="K236" s="562"/>
      <c r="L236" s="604">
        <v>15954.5</v>
      </c>
      <c r="M236" s="603"/>
      <c r="N236" s="602"/>
      <c r="V236" s="674"/>
      <c r="W236" s="675"/>
      <c r="X236" s="675"/>
      <c r="AB236" s="537" t="s">
        <v>555</v>
      </c>
      <c r="AD236" s="675"/>
      <c r="AE236" s="675"/>
      <c r="AG236" s="675"/>
      <c r="AH236" s="680"/>
    </row>
    <row r="237" spans="1:34" s="536" customFormat="1" ht="33.75" x14ac:dyDescent="0.2">
      <c r="A237" s="605"/>
      <c r="B237" s="552" t="s">
        <v>557</v>
      </c>
      <c r="C237" s="1822" t="s">
        <v>558</v>
      </c>
      <c r="D237" s="1822"/>
      <c r="E237" s="1822"/>
      <c r="F237" s="562" t="s">
        <v>322</v>
      </c>
      <c r="G237" s="562" t="s">
        <v>559</v>
      </c>
      <c r="H237" s="562"/>
      <c r="I237" s="562" t="s">
        <v>559</v>
      </c>
      <c r="J237" s="604"/>
      <c r="K237" s="562"/>
      <c r="L237" s="604">
        <v>12029.19</v>
      </c>
      <c r="M237" s="603"/>
      <c r="N237" s="602"/>
      <c r="V237" s="674"/>
      <c r="W237" s="675"/>
      <c r="X237" s="675"/>
      <c r="AB237" s="537" t="s">
        <v>558</v>
      </c>
      <c r="AD237" s="675"/>
      <c r="AE237" s="675"/>
      <c r="AG237" s="675"/>
      <c r="AH237" s="680"/>
    </row>
    <row r="238" spans="1:34" s="536" customFormat="1" ht="12" x14ac:dyDescent="0.2">
      <c r="A238" s="569"/>
      <c r="B238" s="683"/>
      <c r="C238" s="1823" t="s">
        <v>327</v>
      </c>
      <c r="D238" s="1823"/>
      <c r="E238" s="1823"/>
      <c r="F238" s="573"/>
      <c r="G238" s="573"/>
      <c r="H238" s="573"/>
      <c r="I238" s="573"/>
      <c r="J238" s="572"/>
      <c r="K238" s="573"/>
      <c r="L238" s="572">
        <v>282006.61</v>
      </c>
      <c r="M238" s="601"/>
      <c r="N238" s="570"/>
      <c r="V238" s="674"/>
      <c r="W238" s="675"/>
      <c r="X238" s="675"/>
      <c r="AD238" s="675" t="s">
        <v>327</v>
      </c>
      <c r="AE238" s="675"/>
      <c r="AG238" s="675"/>
      <c r="AH238" s="680"/>
    </row>
    <row r="239" spans="1:34" s="536" customFormat="1" ht="33.75" x14ac:dyDescent="0.2">
      <c r="A239" s="575" t="s">
        <v>733</v>
      </c>
      <c r="B239" s="684" t="s">
        <v>1068</v>
      </c>
      <c r="C239" s="1823" t="s">
        <v>1069</v>
      </c>
      <c r="D239" s="1823"/>
      <c r="E239" s="1823"/>
      <c r="F239" s="573" t="s">
        <v>1034</v>
      </c>
      <c r="G239" s="573"/>
      <c r="H239" s="573"/>
      <c r="I239" s="573" t="s">
        <v>9215</v>
      </c>
      <c r="J239" s="572"/>
      <c r="K239" s="573"/>
      <c r="L239" s="572"/>
      <c r="M239" s="571"/>
      <c r="N239" s="570"/>
      <c r="V239" s="674"/>
      <c r="W239" s="675"/>
      <c r="X239" s="675" t="s">
        <v>1069</v>
      </c>
      <c r="AD239" s="675"/>
      <c r="AE239" s="675"/>
      <c r="AG239" s="675"/>
      <c r="AH239" s="680"/>
    </row>
    <row r="240" spans="1:34" s="536" customFormat="1" ht="12" x14ac:dyDescent="0.2">
      <c r="A240" s="676"/>
      <c r="B240" s="682"/>
      <c r="C240" s="1822" t="s">
        <v>9216</v>
      </c>
      <c r="D240" s="1822"/>
      <c r="E240" s="1822"/>
      <c r="F240" s="1822"/>
      <c r="G240" s="1822"/>
      <c r="H240" s="1822"/>
      <c r="I240" s="1822"/>
      <c r="J240" s="1822"/>
      <c r="K240" s="1822"/>
      <c r="L240" s="1822"/>
      <c r="M240" s="1822"/>
      <c r="N240" s="1827"/>
      <c r="V240" s="674"/>
      <c r="W240" s="675"/>
      <c r="X240" s="675"/>
      <c r="Y240" s="537" t="s">
        <v>9216</v>
      </c>
      <c r="AD240" s="675"/>
      <c r="AE240" s="675"/>
      <c r="AG240" s="675"/>
      <c r="AH240" s="680"/>
    </row>
    <row r="241" spans="1:34" s="536" customFormat="1" ht="12" x14ac:dyDescent="0.2">
      <c r="A241" s="609"/>
      <c r="B241" s="552"/>
      <c r="C241" s="1822" t="s">
        <v>1070</v>
      </c>
      <c r="D241" s="1822"/>
      <c r="E241" s="1822"/>
      <c r="F241" s="1822"/>
      <c r="G241" s="1822"/>
      <c r="H241" s="1822"/>
      <c r="I241" s="1822"/>
      <c r="J241" s="1822"/>
      <c r="K241" s="1822"/>
      <c r="L241" s="1822"/>
      <c r="M241" s="1822"/>
      <c r="N241" s="1827"/>
      <c r="V241" s="674"/>
      <c r="W241" s="675"/>
      <c r="X241" s="675"/>
      <c r="Z241" s="537" t="s">
        <v>1070</v>
      </c>
      <c r="AD241" s="675"/>
      <c r="AE241" s="675"/>
      <c r="AG241" s="675"/>
      <c r="AH241" s="680"/>
    </row>
    <row r="242" spans="1:34" s="536" customFormat="1" ht="33.75" x14ac:dyDescent="0.2">
      <c r="A242" s="609"/>
      <c r="B242" s="552" t="s">
        <v>310</v>
      </c>
      <c r="C242" s="1822" t="s">
        <v>311</v>
      </c>
      <c r="D242" s="1822"/>
      <c r="E242" s="1822"/>
      <c r="F242" s="1822"/>
      <c r="G242" s="1822"/>
      <c r="H242" s="1822"/>
      <c r="I242" s="1822"/>
      <c r="J242" s="1822"/>
      <c r="K242" s="1822"/>
      <c r="L242" s="1822"/>
      <c r="M242" s="1822"/>
      <c r="N242" s="1827"/>
      <c r="V242" s="674"/>
      <c r="W242" s="675"/>
      <c r="X242" s="675"/>
      <c r="Z242" s="537" t="s">
        <v>311</v>
      </c>
      <c r="AD242" s="675"/>
      <c r="AE242" s="675"/>
      <c r="AG242" s="675"/>
      <c r="AH242" s="680"/>
    </row>
    <row r="243" spans="1:34" s="536" customFormat="1" ht="12" x14ac:dyDescent="0.2">
      <c r="A243" s="605"/>
      <c r="B243" s="552" t="s">
        <v>185</v>
      </c>
      <c r="C243" s="1822" t="s">
        <v>312</v>
      </c>
      <c r="D243" s="1822"/>
      <c r="E243" s="1822"/>
      <c r="F243" s="562"/>
      <c r="G243" s="562"/>
      <c r="H243" s="562"/>
      <c r="I243" s="562"/>
      <c r="J243" s="604">
        <v>3.29</v>
      </c>
      <c r="K243" s="562" t="s">
        <v>1071</v>
      </c>
      <c r="L243" s="604">
        <v>599.73</v>
      </c>
      <c r="M243" s="603"/>
      <c r="N243" s="602"/>
      <c r="V243" s="674"/>
      <c r="W243" s="675"/>
      <c r="X243" s="675"/>
      <c r="AA243" s="537" t="s">
        <v>312</v>
      </c>
      <c r="AD243" s="675"/>
      <c r="AE243" s="675"/>
      <c r="AG243" s="675"/>
      <c r="AH243" s="680"/>
    </row>
    <row r="244" spans="1:34" s="536" customFormat="1" ht="12" x14ac:dyDescent="0.2">
      <c r="A244" s="605"/>
      <c r="B244" s="552" t="s">
        <v>186</v>
      </c>
      <c r="C244" s="1822" t="s">
        <v>344</v>
      </c>
      <c r="D244" s="1822"/>
      <c r="E244" s="1822"/>
      <c r="F244" s="562"/>
      <c r="G244" s="562"/>
      <c r="H244" s="562"/>
      <c r="I244" s="562"/>
      <c r="J244" s="604">
        <v>254.89</v>
      </c>
      <c r="K244" s="562" t="s">
        <v>1071</v>
      </c>
      <c r="L244" s="604">
        <v>46463.26</v>
      </c>
      <c r="M244" s="603"/>
      <c r="N244" s="602"/>
      <c r="V244" s="674"/>
      <c r="W244" s="675"/>
      <c r="X244" s="675"/>
      <c r="AA244" s="537" t="s">
        <v>344</v>
      </c>
      <c r="AD244" s="675"/>
      <c r="AE244" s="675"/>
      <c r="AG244" s="675"/>
      <c r="AH244" s="680"/>
    </row>
    <row r="245" spans="1:34" s="536" customFormat="1" ht="12" x14ac:dyDescent="0.2">
      <c r="A245" s="605"/>
      <c r="B245" s="552" t="s">
        <v>187</v>
      </c>
      <c r="C245" s="1822" t="s">
        <v>345</v>
      </c>
      <c r="D245" s="1822"/>
      <c r="E245" s="1822"/>
      <c r="F245" s="562"/>
      <c r="G245" s="562"/>
      <c r="H245" s="562"/>
      <c r="I245" s="562"/>
      <c r="J245" s="604">
        <v>5.95</v>
      </c>
      <c r="K245" s="562" t="s">
        <v>1071</v>
      </c>
      <c r="L245" s="604">
        <v>1084.6099999999999</v>
      </c>
      <c r="M245" s="603"/>
      <c r="N245" s="602"/>
      <c r="V245" s="674"/>
      <c r="W245" s="675"/>
      <c r="X245" s="675"/>
      <c r="AA245" s="537" t="s">
        <v>345</v>
      </c>
      <c r="AD245" s="675"/>
      <c r="AE245" s="675"/>
      <c r="AG245" s="675"/>
      <c r="AH245" s="680"/>
    </row>
    <row r="246" spans="1:34" s="536" customFormat="1" ht="12" x14ac:dyDescent="0.2">
      <c r="A246" s="605"/>
      <c r="B246" s="552" t="s">
        <v>188</v>
      </c>
      <c r="C246" s="1822" t="s">
        <v>475</v>
      </c>
      <c r="D246" s="1822"/>
      <c r="E246" s="1822"/>
      <c r="F246" s="562"/>
      <c r="G246" s="562"/>
      <c r="H246" s="562"/>
      <c r="I246" s="562"/>
      <c r="J246" s="604">
        <v>2.94</v>
      </c>
      <c r="K246" s="562" t="s">
        <v>190</v>
      </c>
      <c r="L246" s="604">
        <v>428.74</v>
      </c>
      <c r="M246" s="603"/>
      <c r="N246" s="602"/>
      <c r="V246" s="674"/>
      <c r="W246" s="675"/>
      <c r="X246" s="675"/>
      <c r="AA246" s="537" t="s">
        <v>475</v>
      </c>
      <c r="AD246" s="675"/>
      <c r="AE246" s="675"/>
      <c r="AG246" s="675"/>
      <c r="AH246" s="680"/>
    </row>
    <row r="247" spans="1:34" s="536" customFormat="1" ht="12" x14ac:dyDescent="0.2">
      <c r="A247" s="676"/>
      <c r="B247" s="677" t="s">
        <v>1063</v>
      </c>
      <c r="C247" s="1829" t="s">
        <v>1064</v>
      </c>
      <c r="D247" s="1829"/>
      <c r="E247" s="1829"/>
      <c r="F247" s="678" t="s">
        <v>694</v>
      </c>
      <c r="G247" s="678" t="s">
        <v>525</v>
      </c>
      <c r="H247" s="678" t="s">
        <v>190</v>
      </c>
      <c r="I247" s="678" t="s">
        <v>525</v>
      </c>
      <c r="J247" s="552"/>
      <c r="K247" s="562"/>
      <c r="L247" s="604"/>
      <c r="M247" s="562"/>
      <c r="N247" s="679"/>
      <c r="V247" s="674"/>
      <c r="W247" s="675"/>
      <c r="X247" s="675"/>
      <c r="AD247" s="675"/>
      <c r="AE247" s="675"/>
      <c r="AG247" s="675"/>
      <c r="AH247" s="680" t="s">
        <v>1064</v>
      </c>
    </row>
    <row r="248" spans="1:34" s="536" customFormat="1" ht="12" x14ac:dyDescent="0.2">
      <c r="A248" s="605"/>
      <c r="B248" s="552"/>
      <c r="C248" s="1822" t="s">
        <v>314</v>
      </c>
      <c r="D248" s="1822"/>
      <c r="E248" s="1822"/>
      <c r="F248" s="562" t="s">
        <v>315</v>
      </c>
      <c r="G248" s="562" t="s">
        <v>691</v>
      </c>
      <c r="H248" s="562" t="s">
        <v>1071</v>
      </c>
      <c r="I248" s="562" t="s">
        <v>9227</v>
      </c>
      <c r="J248" s="604"/>
      <c r="K248" s="562"/>
      <c r="L248" s="604"/>
      <c r="M248" s="603"/>
      <c r="N248" s="602"/>
      <c r="V248" s="674"/>
      <c r="W248" s="675"/>
      <c r="X248" s="675"/>
      <c r="AB248" s="537" t="s">
        <v>314</v>
      </c>
      <c r="AD248" s="675"/>
      <c r="AE248" s="675"/>
      <c r="AG248" s="675"/>
      <c r="AH248" s="680"/>
    </row>
    <row r="249" spans="1:34" s="536" customFormat="1" ht="12" x14ac:dyDescent="0.2">
      <c r="A249" s="605"/>
      <c r="B249" s="552"/>
      <c r="C249" s="1822" t="s">
        <v>348</v>
      </c>
      <c r="D249" s="1822"/>
      <c r="E249" s="1822"/>
      <c r="F249" s="562" t="s">
        <v>315</v>
      </c>
      <c r="G249" s="562" t="s">
        <v>1072</v>
      </c>
      <c r="H249" s="562" t="s">
        <v>1071</v>
      </c>
      <c r="I249" s="562" t="s">
        <v>9228</v>
      </c>
      <c r="J249" s="604"/>
      <c r="K249" s="562"/>
      <c r="L249" s="604"/>
      <c r="M249" s="603"/>
      <c r="N249" s="602"/>
      <c r="V249" s="674"/>
      <c r="W249" s="675"/>
      <c r="X249" s="675"/>
      <c r="AB249" s="537" t="s">
        <v>348</v>
      </c>
      <c r="AD249" s="675"/>
      <c r="AE249" s="675"/>
      <c r="AG249" s="675"/>
      <c r="AH249" s="680"/>
    </row>
    <row r="250" spans="1:34" s="536" customFormat="1" ht="12" x14ac:dyDescent="0.2">
      <c r="A250" s="605"/>
      <c r="B250" s="552"/>
      <c r="C250" s="1828" t="s">
        <v>318</v>
      </c>
      <c r="D250" s="1828"/>
      <c r="E250" s="1828"/>
      <c r="F250" s="608"/>
      <c r="G250" s="608"/>
      <c r="H250" s="608"/>
      <c r="I250" s="608"/>
      <c r="J250" s="607">
        <v>261.12</v>
      </c>
      <c r="K250" s="608"/>
      <c r="L250" s="607">
        <v>47491.73</v>
      </c>
      <c r="M250" s="601"/>
      <c r="N250" s="606"/>
      <c r="V250" s="674"/>
      <c r="W250" s="675"/>
      <c r="X250" s="675"/>
      <c r="AC250" s="537" t="s">
        <v>318</v>
      </c>
      <c r="AD250" s="675"/>
      <c r="AE250" s="675"/>
      <c r="AG250" s="675"/>
      <c r="AH250" s="680"/>
    </row>
    <row r="251" spans="1:34" s="536" customFormat="1" ht="12" x14ac:dyDescent="0.2">
      <c r="A251" s="605"/>
      <c r="B251" s="552"/>
      <c r="C251" s="1822" t="s">
        <v>319</v>
      </c>
      <c r="D251" s="1822"/>
      <c r="E251" s="1822"/>
      <c r="F251" s="562"/>
      <c r="G251" s="562"/>
      <c r="H251" s="562"/>
      <c r="I251" s="562"/>
      <c r="J251" s="604"/>
      <c r="K251" s="562"/>
      <c r="L251" s="604">
        <v>1684.34</v>
      </c>
      <c r="M251" s="603"/>
      <c r="N251" s="602"/>
      <c r="V251" s="674"/>
      <c r="W251" s="675"/>
      <c r="X251" s="675"/>
      <c r="AB251" s="537" t="s">
        <v>319</v>
      </c>
      <c r="AD251" s="675"/>
      <c r="AE251" s="675"/>
      <c r="AG251" s="675"/>
      <c r="AH251" s="680"/>
    </row>
    <row r="252" spans="1:34" s="536" customFormat="1" ht="33.75" x14ac:dyDescent="0.2">
      <c r="A252" s="605"/>
      <c r="B252" s="552" t="s">
        <v>554</v>
      </c>
      <c r="C252" s="1822" t="s">
        <v>555</v>
      </c>
      <c r="D252" s="1822"/>
      <c r="E252" s="1822"/>
      <c r="F252" s="562" t="s">
        <v>322</v>
      </c>
      <c r="G252" s="562" t="s">
        <v>556</v>
      </c>
      <c r="H252" s="562"/>
      <c r="I252" s="562" t="s">
        <v>556</v>
      </c>
      <c r="J252" s="604"/>
      <c r="K252" s="562"/>
      <c r="L252" s="604">
        <v>2122.27</v>
      </c>
      <c r="M252" s="603"/>
      <c r="N252" s="602"/>
      <c r="V252" s="674"/>
      <c r="W252" s="675"/>
      <c r="X252" s="675"/>
      <c r="AB252" s="537" t="s">
        <v>555</v>
      </c>
      <c r="AD252" s="675"/>
      <c r="AE252" s="675"/>
      <c r="AG252" s="675"/>
      <c r="AH252" s="680"/>
    </row>
    <row r="253" spans="1:34" s="536" customFormat="1" ht="33.75" x14ac:dyDescent="0.2">
      <c r="A253" s="605"/>
      <c r="B253" s="552" t="s">
        <v>557</v>
      </c>
      <c r="C253" s="1822" t="s">
        <v>558</v>
      </c>
      <c r="D253" s="1822"/>
      <c r="E253" s="1822"/>
      <c r="F253" s="562" t="s">
        <v>322</v>
      </c>
      <c r="G253" s="562" t="s">
        <v>559</v>
      </c>
      <c r="H253" s="562"/>
      <c r="I253" s="562" t="s">
        <v>559</v>
      </c>
      <c r="J253" s="604"/>
      <c r="K253" s="562"/>
      <c r="L253" s="604">
        <v>1600.12</v>
      </c>
      <c r="M253" s="603"/>
      <c r="N253" s="602"/>
      <c r="V253" s="674"/>
      <c r="W253" s="675"/>
      <c r="X253" s="675"/>
      <c r="AB253" s="537" t="s">
        <v>558</v>
      </c>
      <c r="AD253" s="675"/>
      <c r="AE253" s="675"/>
      <c r="AG253" s="675"/>
      <c r="AH253" s="680"/>
    </row>
    <row r="254" spans="1:34" s="536" customFormat="1" ht="12" x14ac:dyDescent="0.2">
      <c r="A254" s="569"/>
      <c r="B254" s="683"/>
      <c r="C254" s="1823" t="s">
        <v>327</v>
      </c>
      <c r="D254" s="1823"/>
      <c r="E254" s="1823"/>
      <c r="F254" s="573"/>
      <c r="G254" s="573"/>
      <c r="H254" s="573"/>
      <c r="I254" s="573"/>
      <c r="J254" s="572"/>
      <c r="K254" s="573"/>
      <c r="L254" s="572">
        <v>51214.12</v>
      </c>
      <c r="M254" s="601"/>
      <c r="N254" s="570"/>
      <c r="V254" s="674"/>
      <c r="W254" s="675"/>
      <c r="X254" s="675"/>
      <c r="AD254" s="675" t="s">
        <v>327</v>
      </c>
      <c r="AE254" s="675"/>
      <c r="AG254" s="675"/>
      <c r="AH254" s="680"/>
    </row>
    <row r="255" spans="1:34" s="536" customFormat="1" ht="33.75" x14ac:dyDescent="0.2">
      <c r="A255" s="575" t="s">
        <v>736</v>
      </c>
      <c r="B255" s="684" t="s">
        <v>1073</v>
      </c>
      <c r="C255" s="1823" t="s">
        <v>1074</v>
      </c>
      <c r="D255" s="1823"/>
      <c r="E255" s="1823"/>
      <c r="F255" s="573" t="s">
        <v>694</v>
      </c>
      <c r="G255" s="573"/>
      <c r="H255" s="573"/>
      <c r="I255" s="573" t="s">
        <v>1075</v>
      </c>
      <c r="J255" s="572">
        <v>469.8</v>
      </c>
      <c r="K255" s="573"/>
      <c r="L255" s="572">
        <v>1853830.8</v>
      </c>
      <c r="M255" s="571"/>
      <c r="N255" s="570"/>
      <c r="V255" s="674"/>
      <c r="W255" s="675"/>
      <c r="X255" s="675" t="s">
        <v>1074</v>
      </c>
      <c r="AD255" s="675"/>
      <c r="AE255" s="675"/>
      <c r="AG255" s="675"/>
      <c r="AH255" s="680"/>
    </row>
    <row r="256" spans="1:34" s="536" customFormat="1" ht="12" x14ac:dyDescent="0.2">
      <c r="A256" s="569"/>
      <c r="B256" s="683"/>
      <c r="C256" s="689" t="s">
        <v>717</v>
      </c>
      <c r="D256" s="690"/>
      <c r="E256" s="690"/>
      <c r="F256" s="563"/>
      <c r="G256" s="563"/>
      <c r="H256" s="563"/>
      <c r="I256" s="563"/>
      <c r="J256" s="566"/>
      <c r="K256" s="563"/>
      <c r="L256" s="566"/>
      <c r="M256" s="565"/>
      <c r="N256" s="564"/>
      <c r="V256" s="674"/>
      <c r="W256" s="675"/>
      <c r="X256" s="675"/>
      <c r="AD256" s="675"/>
      <c r="AE256" s="675"/>
      <c r="AG256" s="675"/>
      <c r="AH256" s="680"/>
    </row>
    <row r="257" spans="1:34" s="536" customFormat="1" ht="12" x14ac:dyDescent="0.2">
      <c r="A257" s="575" t="s">
        <v>1067</v>
      </c>
      <c r="B257" s="684" t="s">
        <v>1053</v>
      </c>
      <c r="C257" s="1823" t="s">
        <v>1054</v>
      </c>
      <c r="D257" s="1823"/>
      <c r="E257" s="1823"/>
      <c r="F257" s="573" t="s">
        <v>694</v>
      </c>
      <c r="G257" s="573"/>
      <c r="H257" s="573"/>
      <c r="I257" s="573" t="s">
        <v>1076</v>
      </c>
      <c r="J257" s="572"/>
      <c r="K257" s="573"/>
      <c r="L257" s="572"/>
      <c r="M257" s="571"/>
      <c r="N257" s="570"/>
      <c r="V257" s="674"/>
      <c r="W257" s="675"/>
      <c r="X257" s="675" t="s">
        <v>1054</v>
      </c>
      <c r="AD257" s="675"/>
      <c r="AE257" s="675"/>
      <c r="AG257" s="675"/>
      <c r="AH257" s="680"/>
    </row>
    <row r="258" spans="1:34" s="536" customFormat="1" ht="33.75" x14ac:dyDescent="0.2">
      <c r="A258" s="609"/>
      <c r="B258" s="552" t="s">
        <v>310</v>
      </c>
      <c r="C258" s="1822" t="s">
        <v>311</v>
      </c>
      <c r="D258" s="1822"/>
      <c r="E258" s="1822"/>
      <c r="F258" s="1822"/>
      <c r="G258" s="1822"/>
      <c r="H258" s="1822"/>
      <c r="I258" s="1822"/>
      <c r="J258" s="1822"/>
      <c r="K258" s="1822"/>
      <c r="L258" s="1822"/>
      <c r="M258" s="1822"/>
      <c r="N258" s="1827"/>
      <c r="V258" s="674"/>
      <c r="W258" s="675"/>
      <c r="X258" s="675"/>
      <c r="Z258" s="537" t="s">
        <v>311</v>
      </c>
      <c r="AD258" s="675"/>
      <c r="AE258" s="675"/>
      <c r="AG258" s="675"/>
      <c r="AH258" s="680"/>
    </row>
    <row r="259" spans="1:34" s="536" customFormat="1" ht="12" x14ac:dyDescent="0.2">
      <c r="A259" s="605"/>
      <c r="B259" s="552" t="s">
        <v>186</v>
      </c>
      <c r="C259" s="1822" t="s">
        <v>344</v>
      </c>
      <c r="D259" s="1822"/>
      <c r="E259" s="1822"/>
      <c r="F259" s="562"/>
      <c r="G259" s="562"/>
      <c r="H259" s="562"/>
      <c r="I259" s="562"/>
      <c r="J259" s="604">
        <v>39.1</v>
      </c>
      <c r="K259" s="562" t="s">
        <v>313</v>
      </c>
      <c r="L259" s="604">
        <v>356.79</v>
      </c>
      <c r="M259" s="603"/>
      <c r="N259" s="602"/>
      <c r="V259" s="674"/>
      <c r="W259" s="675"/>
      <c r="X259" s="675"/>
      <c r="AA259" s="537" t="s">
        <v>344</v>
      </c>
      <c r="AD259" s="675"/>
      <c r="AE259" s="675"/>
      <c r="AG259" s="675"/>
      <c r="AH259" s="680"/>
    </row>
    <row r="260" spans="1:34" s="536" customFormat="1" ht="12" x14ac:dyDescent="0.2">
      <c r="A260" s="605"/>
      <c r="B260" s="552" t="s">
        <v>187</v>
      </c>
      <c r="C260" s="1822" t="s">
        <v>345</v>
      </c>
      <c r="D260" s="1822"/>
      <c r="E260" s="1822"/>
      <c r="F260" s="562"/>
      <c r="G260" s="562"/>
      <c r="H260" s="562"/>
      <c r="I260" s="562"/>
      <c r="J260" s="604">
        <v>7.15</v>
      </c>
      <c r="K260" s="562" t="s">
        <v>313</v>
      </c>
      <c r="L260" s="604">
        <v>65.239999999999995</v>
      </c>
      <c r="M260" s="603"/>
      <c r="N260" s="602"/>
      <c r="V260" s="674"/>
      <c r="W260" s="675"/>
      <c r="X260" s="675"/>
      <c r="AA260" s="537" t="s">
        <v>345</v>
      </c>
      <c r="AD260" s="675"/>
      <c r="AE260" s="675"/>
      <c r="AG260" s="675"/>
      <c r="AH260" s="680"/>
    </row>
    <row r="261" spans="1:34" s="536" customFormat="1" ht="12" x14ac:dyDescent="0.2">
      <c r="A261" s="676"/>
      <c r="B261" s="677" t="s">
        <v>1055</v>
      </c>
      <c r="C261" s="1829" t="s">
        <v>1056</v>
      </c>
      <c r="D261" s="1829"/>
      <c r="E261" s="1829"/>
      <c r="F261" s="678" t="s">
        <v>694</v>
      </c>
      <c r="G261" s="678" t="s">
        <v>702</v>
      </c>
      <c r="H261" s="678"/>
      <c r="I261" s="678" t="s">
        <v>1077</v>
      </c>
      <c r="J261" s="552"/>
      <c r="K261" s="562"/>
      <c r="L261" s="604"/>
      <c r="M261" s="562"/>
      <c r="N261" s="679"/>
      <c r="V261" s="674"/>
      <c r="W261" s="675"/>
      <c r="X261" s="675"/>
      <c r="AD261" s="675"/>
      <c r="AE261" s="675"/>
      <c r="AG261" s="675"/>
      <c r="AH261" s="680" t="s">
        <v>1056</v>
      </c>
    </row>
    <row r="262" spans="1:34" s="536" customFormat="1" ht="12" x14ac:dyDescent="0.2">
      <c r="A262" s="605"/>
      <c r="B262" s="552"/>
      <c r="C262" s="1822" t="s">
        <v>348</v>
      </c>
      <c r="D262" s="1822"/>
      <c r="E262" s="1822"/>
      <c r="F262" s="562" t="s">
        <v>315</v>
      </c>
      <c r="G262" s="562" t="s">
        <v>1057</v>
      </c>
      <c r="H262" s="562" t="s">
        <v>313</v>
      </c>
      <c r="I262" s="562" t="s">
        <v>1078</v>
      </c>
      <c r="J262" s="604"/>
      <c r="K262" s="562"/>
      <c r="L262" s="604"/>
      <c r="M262" s="603"/>
      <c r="N262" s="602"/>
      <c r="V262" s="674"/>
      <c r="W262" s="675"/>
      <c r="X262" s="675"/>
      <c r="AB262" s="537" t="s">
        <v>348</v>
      </c>
      <c r="AD262" s="675"/>
      <c r="AE262" s="675"/>
      <c r="AG262" s="675"/>
      <c r="AH262" s="680"/>
    </row>
    <row r="263" spans="1:34" s="536" customFormat="1" ht="12" x14ac:dyDescent="0.2">
      <c r="A263" s="605"/>
      <c r="B263" s="552"/>
      <c r="C263" s="1828" t="s">
        <v>318</v>
      </c>
      <c r="D263" s="1828"/>
      <c r="E263" s="1828"/>
      <c r="F263" s="608"/>
      <c r="G263" s="608"/>
      <c r="H263" s="608"/>
      <c r="I263" s="608"/>
      <c r="J263" s="607">
        <v>39.1</v>
      </c>
      <c r="K263" s="608"/>
      <c r="L263" s="607">
        <v>356.79</v>
      </c>
      <c r="M263" s="601"/>
      <c r="N263" s="606"/>
      <c r="V263" s="674"/>
      <c r="W263" s="675"/>
      <c r="X263" s="675"/>
      <c r="AC263" s="537" t="s">
        <v>318</v>
      </c>
      <c r="AD263" s="675"/>
      <c r="AE263" s="675"/>
      <c r="AG263" s="675"/>
      <c r="AH263" s="680"/>
    </row>
    <row r="264" spans="1:34" s="536" customFormat="1" ht="12" x14ac:dyDescent="0.2">
      <c r="A264" s="605"/>
      <c r="B264" s="552"/>
      <c r="C264" s="1822" t="s">
        <v>319</v>
      </c>
      <c r="D264" s="1822"/>
      <c r="E264" s="1822"/>
      <c r="F264" s="562"/>
      <c r="G264" s="562"/>
      <c r="H264" s="562"/>
      <c r="I264" s="562"/>
      <c r="J264" s="604"/>
      <c r="K264" s="562"/>
      <c r="L264" s="604">
        <v>65.239999999999995</v>
      </c>
      <c r="M264" s="603"/>
      <c r="N264" s="602"/>
      <c r="V264" s="674"/>
      <c r="W264" s="675"/>
      <c r="X264" s="675"/>
      <c r="AB264" s="537" t="s">
        <v>319</v>
      </c>
      <c r="AD264" s="675"/>
      <c r="AE264" s="675"/>
      <c r="AG264" s="675"/>
      <c r="AH264" s="680"/>
    </row>
    <row r="265" spans="1:34" s="536" customFormat="1" ht="33.75" x14ac:dyDescent="0.2">
      <c r="A265" s="605"/>
      <c r="B265" s="552" t="s">
        <v>554</v>
      </c>
      <c r="C265" s="1822" t="s">
        <v>555</v>
      </c>
      <c r="D265" s="1822"/>
      <c r="E265" s="1822"/>
      <c r="F265" s="562" t="s">
        <v>322</v>
      </c>
      <c r="G265" s="562" t="s">
        <v>556</v>
      </c>
      <c r="H265" s="562"/>
      <c r="I265" s="562" t="s">
        <v>556</v>
      </c>
      <c r="J265" s="604"/>
      <c r="K265" s="562"/>
      <c r="L265" s="604">
        <v>82.2</v>
      </c>
      <c r="M265" s="603"/>
      <c r="N265" s="602"/>
      <c r="V265" s="674"/>
      <c r="W265" s="675"/>
      <c r="X265" s="675"/>
      <c r="AB265" s="537" t="s">
        <v>555</v>
      </c>
      <c r="AD265" s="675"/>
      <c r="AE265" s="675"/>
      <c r="AG265" s="675"/>
      <c r="AH265" s="680"/>
    </row>
    <row r="266" spans="1:34" s="536" customFormat="1" ht="33.75" x14ac:dyDescent="0.2">
      <c r="A266" s="605"/>
      <c r="B266" s="552" t="s">
        <v>557</v>
      </c>
      <c r="C266" s="1822" t="s">
        <v>558</v>
      </c>
      <c r="D266" s="1822"/>
      <c r="E266" s="1822"/>
      <c r="F266" s="562" t="s">
        <v>322</v>
      </c>
      <c r="G266" s="562" t="s">
        <v>559</v>
      </c>
      <c r="H266" s="562"/>
      <c r="I266" s="562" t="s">
        <v>559</v>
      </c>
      <c r="J266" s="604"/>
      <c r="K266" s="562"/>
      <c r="L266" s="604">
        <v>61.98</v>
      </c>
      <c r="M266" s="603"/>
      <c r="N266" s="602"/>
      <c r="V266" s="674"/>
      <c r="W266" s="675"/>
      <c r="X266" s="675"/>
      <c r="AB266" s="537" t="s">
        <v>558</v>
      </c>
      <c r="AD266" s="675"/>
      <c r="AE266" s="675"/>
      <c r="AG266" s="675"/>
      <c r="AH266" s="680"/>
    </row>
    <row r="267" spans="1:34" s="536" customFormat="1" ht="12" x14ac:dyDescent="0.2">
      <c r="A267" s="569"/>
      <c r="B267" s="683"/>
      <c r="C267" s="1823" t="s">
        <v>327</v>
      </c>
      <c r="D267" s="1823"/>
      <c r="E267" s="1823"/>
      <c r="F267" s="573"/>
      <c r="G267" s="573"/>
      <c r="H267" s="573"/>
      <c r="I267" s="573"/>
      <c r="J267" s="572"/>
      <c r="K267" s="573"/>
      <c r="L267" s="572">
        <v>500.97</v>
      </c>
      <c r="M267" s="601"/>
      <c r="N267" s="570"/>
      <c r="V267" s="674"/>
      <c r="W267" s="675"/>
      <c r="X267" s="675"/>
      <c r="AD267" s="675" t="s">
        <v>327</v>
      </c>
      <c r="AE267" s="675"/>
      <c r="AG267" s="675"/>
      <c r="AH267" s="680"/>
    </row>
    <row r="268" spans="1:34" s="536" customFormat="1" ht="12" x14ac:dyDescent="0.2">
      <c r="A268" s="575" t="s">
        <v>912</v>
      </c>
      <c r="B268" s="684" t="s">
        <v>1059</v>
      </c>
      <c r="C268" s="1823" t="s">
        <v>1060</v>
      </c>
      <c r="D268" s="1823"/>
      <c r="E268" s="1823"/>
      <c r="F268" s="573" t="s">
        <v>694</v>
      </c>
      <c r="G268" s="573"/>
      <c r="H268" s="573"/>
      <c r="I268" s="573" t="s">
        <v>1077</v>
      </c>
      <c r="J268" s="572">
        <v>2723.2</v>
      </c>
      <c r="K268" s="573"/>
      <c r="L268" s="572">
        <v>20475.740000000002</v>
      </c>
      <c r="M268" s="571"/>
      <c r="N268" s="570"/>
      <c r="V268" s="674"/>
      <c r="W268" s="675"/>
      <c r="X268" s="675" t="s">
        <v>1060</v>
      </c>
      <c r="AD268" s="675"/>
      <c r="AE268" s="675"/>
      <c r="AG268" s="675"/>
      <c r="AH268" s="680"/>
    </row>
    <row r="269" spans="1:34" s="536" customFormat="1" ht="12" x14ac:dyDescent="0.2">
      <c r="A269" s="569"/>
      <c r="B269" s="683"/>
      <c r="C269" s="689" t="s">
        <v>717</v>
      </c>
      <c r="D269" s="690"/>
      <c r="E269" s="690"/>
      <c r="F269" s="563"/>
      <c r="G269" s="563"/>
      <c r="H269" s="563"/>
      <c r="I269" s="563"/>
      <c r="J269" s="566"/>
      <c r="K269" s="563"/>
      <c r="L269" s="566"/>
      <c r="M269" s="565"/>
      <c r="N269" s="564"/>
      <c r="V269" s="674"/>
      <c r="W269" s="675"/>
      <c r="X269" s="675"/>
      <c r="AD269" s="675"/>
      <c r="AE269" s="675"/>
      <c r="AG269" s="675"/>
      <c r="AH269" s="680"/>
    </row>
    <row r="270" spans="1:34" s="536" customFormat="1" ht="45" x14ac:dyDescent="0.2">
      <c r="A270" s="575" t="s">
        <v>757</v>
      </c>
      <c r="B270" s="684" t="s">
        <v>1061</v>
      </c>
      <c r="C270" s="1823" t="s">
        <v>1062</v>
      </c>
      <c r="D270" s="1823"/>
      <c r="E270" s="1823"/>
      <c r="F270" s="573" t="s">
        <v>1034</v>
      </c>
      <c r="G270" s="573"/>
      <c r="H270" s="573"/>
      <c r="I270" s="573" t="s">
        <v>9215</v>
      </c>
      <c r="J270" s="572"/>
      <c r="K270" s="573"/>
      <c r="L270" s="572"/>
      <c r="M270" s="571"/>
      <c r="N270" s="570"/>
      <c r="V270" s="674"/>
      <c r="W270" s="675"/>
      <c r="X270" s="675" t="s">
        <v>1062</v>
      </c>
      <c r="AD270" s="675"/>
      <c r="AE270" s="675"/>
      <c r="AG270" s="675"/>
      <c r="AH270" s="680"/>
    </row>
    <row r="271" spans="1:34" s="536" customFormat="1" ht="12" x14ac:dyDescent="0.2">
      <c r="A271" s="676"/>
      <c r="B271" s="682"/>
      <c r="C271" s="1822" t="s">
        <v>9216</v>
      </c>
      <c r="D271" s="1822"/>
      <c r="E271" s="1822"/>
      <c r="F271" s="1822"/>
      <c r="G271" s="1822"/>
      <c r="H271" s="1822"/>
      <c r="I271" s="1822"/>
      <c r="J271" s="1822"/>
      <c r="K271" s="1822"/>
      <c r="L271" s="1822"/>
      <c r="M271" s="1822"/>
      <c r="N271" s="1827"/>
      <c r="V271" s="674"/>
      <c r="W271" s="675"/>
      <c r="X271" s="675"/>
      <c r="Y271" s="537" t="s">
        <v>9216</v>
      </c>
      <c r="AD271" s="675"/>
      <c r="AE271" s="675"/>
      <c r="AG271" s="675"/>
      <c r="AH271" s="680"/>
    </row>
    <row r="272" spans="1:34" s="536" customFormat="1" ht="33.75" x14ac:dyDescent="0.2">
      <c r="A272" s="609"/>
      <c r="B272" s="552" t="s">
        <v>310</v>
      </c>
      <c r="C272" s="1822" t="s">
        <v>311</v>
      </c>
      <c r="D272" s="1822"/>
      <c r="E272" s="1822"/>
      <c r="F272" s="1822"/>
      <c r="G272" s="1822"/>
      <c r="H272" s="1822"/>
      <c r="I272" s="1822"/>
      <c r="J272" s="1822"/>
      <c r="K272" s="1822"/>
      <c r="L272" s="1822"/>
      <c r="M272" s="1822"/>
      <c r="N272" s="1827"/>
      <c r="V272" s="674"/>
      <c r="W272" s="675"/>
      <c r="X272" s="675"/>
      <c r="Z272" s="537" t="s">
        <v>311</v>
      </c>
      <c r="AD272" s="675"/>
      <c r="AE272" s="675"/>
      <c r="AG272" s="675"/>
      <c r="AH272" s="680"/>
    </row>
    <row r="273" spans="1:34" s="536" customFormat="1" ht="12" x14ac:dyDescent="0.2">
      <c r="A273" s="605"/>
      <c r="B273" s="552" t="s">
        <v>185</v>
      </c>
      <c r="C273" s="1822" t="s">
        <v>312</v>
      </c>
      <c r="D273" s="1822"/>
      <c r="E273" s="1822"/>
      <c r="F273" s="562"/>
      <c r="G273" s="562"/>
      <c r="H273" s="562"/>
      <c r="I273" s="562"/>
      <c r="J273" s="604">
        <v>182.32</v>
      </c>
      <c r="K273" s="562" t="s">
        <v>313</v>
      </c>
      <c r="L273" s="604">
        <v>5539.11</v>
      </c>
      <c r="M273" s="603"/>
      <c r="N273" s="602"/>
      <c r="V273" s="674"/>
      <c r="W273" s="675"/>
      <c r="X273" s="675"/>
      <c r="AA273" s="537" t="s">
        <v>312</v>
      </c>
      <c r="AD273" s="675"/>
      <c r="AE273" s="675"/>
      <c r="AG273" s="675"/>
      <c r="AH273" s="680"/>
    </row>
    <row r="274" spans="1:34" s="536" customFormat="1" ht="12" x14ac:dyDescent="0.2">
      <c r="A274" s="605"/>
      <c r="B274" s="552" t="s">
        <v>186</v>
      </c>
      <c r="C274" s="1822" t="s">
        <v>344</v>
      </c>
      <c r="D274" s="1822"/>
      <c r="E274" s="1822"/>
      <c r="F274" s="562"/>
      <c r="G274" s="562"/>
      <c r="H274" s="562"/>
      <c r="I274" s="562"/>
      <c r="J274" s="604">
        <v>7479.03</v>
      </c>
      <c r="K274" s="562" t="s">
        <v>313</v>
      </c>
      <c r="L274" s="604">
        <v>227222.28</v>
      </c>
      <c r="M274" s="603"/>
      <c r="N274" s="602"/>
      <c r="V274" s="674"/>
      <c r="W274" s="675"/>
      <c r="X274" s="675"/>
      <c r="AA274" s="537" t="s">
        <v>344</v>
      </c>
      <c r="AD274" s="675"/>
      <c r="AE274" s="675"/>
      <c r="AG274" s="675"/>
      <c r="AH274" s="680"/>
    </row>
    <row r="275" spans="1:34" s="536" customFormat="1" ht="12" x14ac:dyDescent="0.2">
      <c r="A275" s="605"/>
      <c r="B275" s="552" t="s">
        <v>187</v>
      </c>
      <c r="C275" s="1822" t="s">
        <v>345</v>
      </c>
      <c r="D275" s="1822"/>
      <c r="E275" s="1822"/>
      <c r="F275" s="562"/>
      <c r="G275" s="562"/>
      <c r="H275" s="562"/>
      <c r="I275" s="562"/>
      <c r="J275" s="604">
        <v>234.46</v>
      </c>
      <c r="K275" s="562" t="s">
        <v>313</v>
      </c>
      <c r="L275" s="604">
        <v>7123.19</v>
      </c>
      <c r="M275" s="603"/>
      <c r="N275" s="602"/>
      <c r="V275" s="674"/>
      <c r="W275" s="675"/>
      <c r="X275" s="675"/>
      <c r="AA275" s="537" t="s">
        <v>345</v>
      </c>
      <c r="AD275" s="675"/>
      <c r="AE275" s="675"/>
      <c r="AG275" s="675"/>
      <c r="AH275" s="680"/>
    </row>
    <row r="276" spans="1:34" s="536" customFormat="1" ht="12" x14ac:dyDescent="0.2">
      <c r="A276" s="605"/>
      <c r="B276" s="552" t="s">
        <v>188</v>
      </c>
      <c r="C276" s="1822" t="s">
        <v>475</v>
      </c>
      <c r="D276" s="1822"/>
      <c r="E276" s="1822"/>
      <c r="F276" s="562"/>
      <c r="G276" s="562"/>
      <c r="H276" s="562"/>
      <c r="I276" s="562"/>
      <c r="J276" s="604">
        <v>874.78</v>
      </c>
      <c r="K276" s="562"/>
      <c r="L276" s="604">
        <v>21261.53</v>
      </c>
      <c r="M276" s="603"/>
      <c r="N276" s="602"/>
      <c r="V276" s="674"/>
      <c r="W276" s="675"/>
      <c r="X276" s="675"/>
      <c r="AA276" s="537" t="s">
        <v>475</v>
      </c>
      <c r="AD276" s="675"/>
      <c r="AE276" s="675"/>
      <c r="AG276" s="675"/>
      <c r="AH276" s="680"/>
    </row>
    <row r="277" spans="1:34" s="536" customFormat="1" ht="12" x14ac:dyDescent="0.2">
      <c r="A277" s="676"/>
      <c r="B277" s="677" t="s">
        <v>1063</v>
      </c>
      <c r="C277" s="1829" t="s">
        <v>1064</v>
      </c>
      <c r="D277" s="1829"/>
      <c r="E277" s="1829"/>
      <c r="F277" s="678" t="s">
        <v>694</v>
      </c>
      <c r="G277" s="678" t="s">
        <v>525</v>
      </c>
      <c r="H277" s="678"/>
      <c r="I277" s="678" t="s">
        <v>525</v>
      </c>
      <c r="J277" s="552"/>
      <c r="K277" s="562"/>
      <c r="L277" s="604"/>
      <c r="M277" s="562"/>
      <c r="N277" s="679"/>
      <c r="V277" s="674"/>
      <c r="W277" s="675"/>
      <c r="X277" s="675"/>
      <c r="AD277" s="675"/>
      <c r="AE277" s="675"/>
      <c r="AG277" s="675"/>
      <c r="AH277" s="680" t="s">
        <v>1064</v>
      </c>
    </row>
    <row r="278" spans="1:34" s="536" customFormat="1" ht="22.5" x14ac:dyDescent="0.2">
      <c r="A278" s="605"/>
      <c r="B278" s="552"/>
      <c r="C278" s="1822" t="s">
        <v>314</v>
      </c>
      <c r="D278" s="1822"/>
      <c r="E278" s="1822"/>
      <c r="F278" s="562" t="s">
        <v>315</v>
      </c>
      <c r="G278" s="562" t="s">
        <v>1065</v>
      </c>
      <c r="H278" s="562" t="s">
        <v>313</v>
      </c>
      <c r="I278" s="562" t="s">
        <v>9225</v>
      </c>
      <c r="J278" s="604"/>
      <c r="K278" s="562"/>
      <c r="L278" s="604"/>
      <c r="M278" s="603"/>
      <c r="N278" s="602"/>
      <c r="V278" s="674"/>
      <c r="W278" s="675"/>
      <c r="X278" s="675"/>
      <c r="AB278" s="537" t="s">
        <v>314</v>
      </c>
      <c r="AD278" s="675"/>
      <c r="AE278" s="675"/>
      <c r="AG278" s="675"/>
      <c r="AH278" s="680"/>
    </row>
    <row r="279" spans="1:34" s="536" customFormat="1" ht="22.5" x14ac:dyDescent="0.2">
      <c r="A279" s="605"/>
      <c r="B279" s="552"/>
      <c r="C279" s="1822" t="s">
        <v>348</v>
      </c>
      <c r="D279" s="1822"/>
      <c r="E279" s="1822"/>
      <c r="F279" s="562" t="s">
        <v>315</v>
      </c>
      <c r="G279" s="562" t="s">
        <v>1066</v>
      </c>
      <c r="H279" s="562" t="s">
        <v>313</v>
      </c>
      <c r="I279" s="562" t="s">
        <v>9226</v>
      </c>
      <c r="J279" s="604"/>
      <c r="K279" s="562"/>
      <c r="L279" s="604"/>
      <c r="M279" s="603"/>
      <c r="N279" s="602"/>
      <c r="V279" s="674"/>
      <c r="W279" s="675"/>
      <c r="X279" s="675"/>
      <c r="AB279" s="537" t="s">
        <v>348</v>
      </c>
      <c r="AD279" s="675"/>
      <c r="AE279" s="675"/>
      <c r="AG279" s="675"/>
      <c r="AH279" s="680"/>
    </row>
    <row r="280" spans="1:34" s="536" customFormat="1" ht="12" x14ac:dyDescent="0.2">
      <c r="A280" s="605"/>
      <c r="B280" s="552"/>
      <c r="C280" s="1828" t="s">
        <v>318</v>
      </c>
      <c r="D280" s="1828"/>
      <c r="E280" s="1828"/>
      <c r="F280" s="608"/>
      <c r="G280" s="608"/>
      <c r="H280" s="608"/>
      <c r="I280" s="608"/>
      <c r="J280" s="607">
        <v>8536.1299999999992</v>
      </c>
      <c r="K280" s="608"/>
      <c r="L280" s="607">
        <v>254022.92</v>
      </c>
      <c r="M280" s="601"/>
      <c r="N280" s="606"/>
      <c r="V280" s="674"/>
      <c r="W280" s="675"/>
      <c r="X280" s="675"/>
      <c r="AC280" s="537" t="s">
        <v>318</v>
      </c>
      <c r="AD280" s="675"/>
      <c r="AE280" s="675"/>
      <c r="AG280" s="675"/>
      <c r="AH280" s="680"/>
    </row>
    <row r="281" spans="1:34" s="536" customFormat="1" ht="12" x14ac:dyDescent="0.2">
      <c r="A281" s="605"/>
      <c r="B281" s="552"/>
      <c r="C281" s="1822" t="s">
        <v>319</v>
      </c>
      <c r="D281" s="1822"/>
      <c r="E281" s="1822"/>
      <c r="F281" s="562"/>
      <c r="G281" s="562"/>
      <c r="H281" s="562"/>
      <c r="I281" s="562"/>
      <c r="J281" s="604"/>
      <c r="K281" s="562"/>
      <c r="L281" s="604">
        <v>12662.3</v>
      </c>
      <c r="M281" s="603"/>
      <c r="N281" s="602"/>
      <c r="V281" s="674"/>
      <c r="W281" s="675"/>
      <c r="X281" s="675"/>
      <c r="AB281" s="537" t="s">
        <v>319</v>
      </c>
      <c r="AD281" s="675"/>
      <c r="AE281" s="675"/>
      <c r="AG281" s="675"/>
      <c r="AH281" s="680"/>
    </row>
    <row r="282" spans="1:34" s="536" customFormat="1" ht="33.75" x14ac:dyDescent="0.2">
      <c r="A282" s="605"/>
      <c r="B282" s="552" t="s">
        <v>554</v>
      </c>
      <c r="C282" s="1822" t="s">
        <v>555</v>
      </c>
      <c r="D282" s="1822"/>
      <c r="E282" s="1822"/>
      <c r="F282" s="562" t="s">
        <v>322</v>
      </c>
      <c r="G282" s="562" t="s">
        <v>556</v>
      </c>
      <c r="H282" s="562"/>
      <c r="I282" s="562" t="s">
        <v>556</v>
      </c>
      <c r="J282" s="604"/>
      <c r="K282" s="562"/>
      <c r="L282" s="604">
        <v>15954.5</v>
      </c>
      <c r="M282" s="603"/>
      <c r="N282" s="602"/>
      <c r="V282" s="674"/>
      <c r="W282" s="675"/>
      <c r="X282" s="675"/>
      <c r="AB282" s="537" t="s">
        <v>555</v>
      </c>
      <c r="AD282" s="675"/>
      <c r="AE282" s="675"/>
      <c r="AG282" s="675"/>
      <c r="AH282" s="680"/>
    </row>
    <row r="283" spans="1:34" s="536" customFormat="1" ht="33.75" x14ac:dyDescent="0.2">
      <c r="A283" s="605"/>
      <c r="B283" s="552" t="s">
        <v>557</v>
      </c>
      <c r="C283" s="1822" t="s">
        <v>558</v>
      </c>
      <c r="D283" s="1822"/>
      <c r="E283" s="1822"/>
      <c r="F283" s="562" t="s">
        <v>322</v>
      </c>
      <c r="G283" s="562" t="s">
        <v>559</v>
      </c>
      <c r="H283" s="562"/>
      <c r="I283" s="562" t="s">
        <v>559</v>
      </c>
      <c r="J283" s="604"/>
      <c r="K283" s="562"/>
      <c r="L283" s="604">
        <v>12029.19</v>
      </c>
      <c r="M283" s="603"/>
      <c r="N283" s="602"/>
      <c r="V283" s="674"/>
      <c r="W283" s="675"/>
      <c r="X283" s="675"/>
      <c r="AB283" s="537" t="s">
        <v>558</v>
      </c>
      <c r="AD283" s="675"/>
      <c r="AE283" s="675"/>
      <c r="AG283" s="675"/>
      <c r="AH283" s="680"/>
    </row>
    <row r="284" spans="1:34" s="536" customFormat="1" ht="12" x14ac:dyDescent="0.2">
      <c r="A284" s="569"/>
      <c r="B284" s="683"/>
      <c r="C284" s="1823" t="s">
        <v>327</v>
      </c>
      <c r="D284" s="1823"/>
      <c r="E284" s="1823"/>
      <c r="F284" s="573"/>
      <c r="G284" s="573"/>
      <c r="H284" s="573"/>
      <c r="I284" s="573"/>
      <c r="J284" s="572"/>
      <c r="K284" s="573"/>
      <c r="L284" s="572">
        <v>282006.61</v>
      </c>
      <c r="M284" s="601"/>
      <c r="N284" s="570"/>
      <c r="V284" s="674"/>
      <c r="W284" s="675"/>
      <c r="X284" s="675"/>
      <c r="AD284" s="675" t="s">
        <v>327</v>
      </c>
      <c r="AE284" s="675"/>
      <c r="AG284" s="675"/>
      <c r="AH284" s="680"/>
    </row>
    <row r="285" spans="1:34" s="536" customFormat="1" ht="33.75" x14ac:dyDescent="0.2">
      <c r="A285" s="575" t="s">
        <v>1079</v>
      </c>
      <c r="B285" s="684" t="s">
        <v>1068</v>
      </c>
      <c r="C285" s="1823" t="s">
        <v>1080</v>
      </c>
      <c r="D285" s="1823"/>
      <c r="E285" s="1823"/>
      <c r="F285" s="573" t="s">
        <v>1034</v>
      </c>
      <c r="G285" s="573"/>
      <c r="H285" s="573"/>
      <c r="I285" s="573" t="s">
        <v>9215</v>
      </c>
      <c r="J285" s="572"/>
      <c r="K285" s="573"/>
      <c r="L285" s="572"/>
      <c r="M285" s="571"/>
      <c r="N285" s="570"/>
      <c r="V285" s="674"/>
      <c r="W285" s="675"/>
      <c r="X285" s="675" t="s">
        <v>1080</v>
      </c>
      <c r="AD285" s="675"/>
      <c r="AE285" s="675"/>
      <c r="AG285" s="675"/>
      <c r="AH285" s="680"/>
    </row>
    <row r="286" spans="1:34" s="536" customFormat="1" ht="12" x14ac:dyDescent="0.2">
      <c r="A286" s="676"/>
      <c r="B286" s="682"/>
      <c r="C286" s="1822" t="s">
        <v>9216</v>
      </c>
      <c r="D286" s="1822"/>
      <c r="E286" s="1822"/>
      <c r="F286" s="1822"/>
      <c r="G286" s="1822"/>
      <c r="H286" s="1822"/>
      <c r="I286" s="1822"/>
      <c r="J286" s="1822"/>
      <c r="K286" s="1822"/>
      <c r="L286" s="1822"/>
      <c r="M286" s="1822"/>
      <c r="N286" s="1827"/>
      <c r="V286" s="674"/>
      <c r="W286" s="675"/>
      <c r="X286" s="675"/>
      <c r="Y286" s="537" t="s">
        <v>9216</v>
      </c>
      <c r="AD286" s="675"/>
      <c r="AE286" s="675"/>
      <c r="AG286" s="675"/>
      <c r="AH286" s="680"/>
    </row>
    <row r="287" spans="1:34" s="536" customFormat="1" ht="12" x14ac:dyDescent="0.2">
      <c r="A287" s="609"/>
      <c r="B287" s="552"/>
      <c r="C287" s="1822" t="s">
        <v>1081</v>
      </c>
      <c r="D287" s="1822"/>
      <c r="E287" s="1822"/>
      <c r="F287" s="1822"/>
      <c r="G287" s="1822"/>
      <c r="H287" s="1822"/>
      <c r="I287" s="1822"/>
      <c r="J287" s="1822"/>
      <c r="K287" s="1822"/>
      <c r="L287" s="1822"/>
      <c r="M287" s="1822"/>
      <c r="N287" s="1827"/>
      <c r="V287" s="674"/>
      <c r="W287" s="675"/>
      <c r="X287" s="675"/>
      <c r="Z287" s="537" t="s">
        <v>1081</v>
      </c>
      <c r="AD287" s="675"/>
      <c r="AE287" s="675"/>
      <c r="AG287" s="675"/>
      <c r="AH287" s="680"/>
    </row>
    <row r="288" spans="1:34" s="536" customFormat="1" ht="33.75" x14ac:dyDescent="0.2">
      <c r="A288" s="609"/>
      <c r="B288" s="552" t="s">
        <v>310</v>
      </c>
      <c r="C288" s="1822" t="s">
        <v>311</v>
      </c>
      <c r="D288" s="1822"/>
      <c r="E288" s="1822"/>
      <c r="F288" s="1822"/>
      <c r="G288" s="1822"/>
      <c r="H288" s="1822"/>
      <c r="I288" s="1822"/>
      <c r="J288" s="1822"/>
      <c r="K288" s="1822"/>
      <c r="L288" s="1822"/>
      <c r="M288" s="1822"/>
      <c r="N288" s="1827"/>
      <c r="V288" s="674"/>
      <c r="W288" s="675"/>
      <c r="X288" s="675"/>
      <c r="Z288" s="537" t="s">
        <v>311</v>
      </c>
      <c r="AD288" s="675"/>
      <c r="AE288" s="675"/>
      <c r="AG288" s="675"/>
      <c r="AH288" s="680"/>
    </row>
    <row r="289" spans="1:34" s="536" customFormat="1" ht="12" x14ac:dyDescent="0.2">
      <c r="A289" s="605"/>
      <c r="B289" s="552" t="s">
        <v>185</v>
      </c>
      <c r="C289" s="1822" t="s">
        <v>312</v>
      </c>
      <c r="D289" s="1822"/>
      <c r="E289" s="1822"/>
      <c r="F289" s="562"/>
      <c r="G289" s="562"/>
      <c r="H289" s="562"/>
      <c r="I289" s="562"/>
      <c r="J289" s="604">
        <v>3.29</v>
      </c>
      <c r="K289" s="562" t="s">
        <v>189</v>
      </c>
      <c r="L289" s="604">
        <v>399.82</v>
      </c>
      <c r="M289" s="603"/>
      <c r="N289" s="602"/>
      <c r="V289" s="674"/>
      <c r="W289" s="675"/>
      <c r="X289" s="675"/>
      <c r="AA289" s="537" t="s">
        <v>312</v>
      </c>
      <c r="AD289" s="675"/>
      <c r="AE289" s="675"/>
      <c r="AG289" s="675"/>
      <c r="AH289" s="680"/>
    </row>
    <row r="290" spans="1:34" s="536" customFormat="1" ht="12" x14ac:dyDescent="0.2">
      <c r="A290" s="605"/>
      <c r="B290" s="552" t="s">
        <v>186</v>
      </c>
      <c r="C290" s="1822" t="s">
        <v>344</v>
      </c>
      <c r="D290" s="1822"/>
      <c r="E290" s="1822"/>
      <c r="F290" s="562"/>
      <c r="G290" s="562"/>
      <c r="H290" s="562"/>
      <c r="I290" s="562"/>
      <c r="J290" s="604">
        <v>254.89</v>
      </c>
      <c r="K290" s="562" t="s">
        <v>189</v>
      </c>
      <c r="L290" s="604">
        <v>30975.51</v>
      </c>
      <c r="M290" s="603"/>
      <c r="N290" s="602"/>
      <c r="V290" s="674"/>
      <c r="W290" s="675"/>
      <c r="X290" s="675"/>
      <c r="AA290" s="537" t="s">
        <v>344</v>
      </c>
      <c r="AD290" s="675"/>
      <c r="AE290" s="675"/>
      <c r="AG290" s="675"/>
      <c r="AH290" s="680"/>
    </row>
    <row r="291" spans="1:34" s="536" customFormat="1" ht="12" x14ac:dyDescent="0.2">
      <c r="A291" s="605"/>
      <c r="B291" s="552" t="s">
        <v>187</v>
      </c>
      <c r="C291" s="1822" t="s">
        <v>345</v>
      </c>
      <c r="D291" s="1822"/>
      <c r="E291" s="1822"/>
      <c r="F291" s="562"/>
      <c r="G291" s="562"/>
      <c r="H291" s="562"/>
      <c r="I291" s="562"/>
      <c r="J291" s="604">
        <v>5.95</v>
      </c>
      <c r="K291" s="562" t="s">
        <v>189</v>
      </c>
      <c r="L291" s="604">
        <v>723.07</v>
      </c>
      <c r="M291" s="603"/>
      <c r="N291" s="602"/>
      <c r="V291" s="674"/>
      <c r="W291" s="675"/>
      <c r="X291" s="675"/>
      <c r="AA291" s="537" t="s">
        <v>345</v>
      </c>
      <c r="AD291" s="675"/>
      <c r="AE291" s="675"/>
      <c r="AG291" s="675"/>
      <c r="AH291" s="680"/>
    </row>
    <row r="292" spans="1:34" s="536" customFormat="1" ht="12" x14ac:dyDescent="0.2">
      <c r="A292" s="605"/>
      <c r="B292" s="552" t="s">
        <v>188</v>
      </c>
      <c r="C292" s="1822" t="s">
        <v>475</v>
      </c>
      <c r="D292" s="1822"/>
      <c r="E292" s="1822"/>
      <c r="F292" s="562"/>
      <c r="G292" s="562"/>
      <c r="H292" s="562"/>
      <c r="I292" s="562"/>
      <c r="J292" s="604">
        <v>2.94</v>
      </c>
      <c r="K292" s="562" t="s">
        <v>188</v>
      </c>
      <c r="L292" s="604">
        <v>285.83</v>
      </c>
      <c r="M292" s="603"/>
      <c r="N292" s="602"/>
      <c r="V292" s="674"/>
      <c r="W292" s="675"/>
      <c r="X292" s="675"/>
      <c r="AA292" s="537" t="s">
        <v>475</v>
      </c>
      <c r="AD292" s="675"/>
      <c r="AE292" s="675"/>
      <c r="AG292" s="675"/>
      <c r="AH292" s="680"/>
    </row>
    <row r="293" spans="1:34" s="536" customFormat="1" ht="12" x14ac:dyDescent="0.2">
      <c r="A293" s="676"/>
      <c r="B293" s="677" t="s">
        <v>1063</v>
      </c>
      <c r="C293" s="1829" t="s">
        <v>1064</v>
      </c>
      <c r="D293" s="1829"/>
      <c r="E293" s="1829"/>
      <c r="F293" s="678" t="s">
        <v>694</v>
      </c>
      <c r="G293" s="678" t="s">
        <v>525</v>
      </c>
      <c r="H293" s="678" t="s">
        <v>188</v>
      </c>
      <c r="I293" s="678" t="s">
        <v>525</v>
      </c>
      <c r="J293" s="552"/>
      <c r="K293" s="562"/>
      <c r="L293" s="604"/>
      <c r="M293" s="562"/>
      <c r="N293" s="679"/>
      <c r="V293" s="674"/>
      <c r="W293" s="675"/>
      <c r="X293" s="675"/>
      <c r="AD293" s="675"/>
      <c r="AE293" s="675"/>
      <c r="AG293" s="675"/>
      <c r="AH293" s="680" t="s">
        <v>1064</v>
      </c>
    </row>
    <row r="294" spans="1:34" s="536" customFormat="1" ht="12" x14ac:dyDescent="0.2">
      <c r="A294" s="605"/>
      <c r="B294" s="552"/>
      <c r="C294" s="1822" t="s">
        <v>314</v>
      </c>
      <c r="D294" s="1822"/>
      <c r="E294" s="1822"/>
      <c r="F294" s="562" t="s">
        <v>315</v>
      </c>
      <c r="G294" s="562" t="s">
        <v>691</v>
      </c>
      <c r="H294" s="562" t="s">
        <v>189</v>
      </c>
      <c r="I294" s="562" t="s">
        <v>9229</v>
      </c>
      <c r="J294" s="604"/>
      <c r="K294" s="562"/>
      <c r="L294" s="604"/>
      <c r="M294" s="603"/>
      <c r="N294" s="602"/>
      <c r="V294" s="674"/>
      <c r="W294" s="675"/>
      <c r="X294" s="675"/>
      <c r="AB294" s="537" t="s">
        <v>314</v>
      </c>
      <c r="AD294" s="675"/>
      <c r="AE294" s="675"/>
      <c r="AG294" s="675"/>
      <c r="AH294" s="680"/>
    </row>
    <row r="295" spans="1:34" s="536" customFormat="1" ht="12" x14ac:dyDescent="0.2">
      <c r="A295" s="605"/>
      <c r="B295" s="552"/>
      <c r="C295" s="1822" t="s">
        <v>348</v>
      </c>
      <c r="D295" s="1822"/>
      <c r="E295" s="1822"/>
      <c r="F295" s="562" t="s">
        <v>315</v>
      </c>
      <c r="G295" s="562" t="s">
        <v>1072</v>
      </c>
      <c r="H295" s="562" t="s">
        <v>189</v>
      </c>
      <c r="I295" s="562" t="s">
        <v>9230</v>
      </c>
      <c r="J295" s="604"/>
      <c r="K295" s="562"/>
      <c r="L295" s="604"/>
      <c r="M295" s="603"/>
      <c r="N295" s="602"/>
      <c r="V295" s="674"/>
      <c r="W295" s="675"/>
      <c r="X295" s="675"/>
      <c r="AB295" s="537" t="s">
        <v>348</v>
      </c>
      <c r="AD295" s="675"/>
      <c r="AE295" s="675"/>
      <c r="AG295" s="675"/>
      <c r="AH295" s="680"/>
    </row>
    <row r="296" spans="1:34" s="536" customFormat="1" ht="12" x14ac:dyDescent="0.2">
      <c r="A296" s="605"/>
      <c r="B296" s="552"/>
      <c r="C296" s="1828" t="s">
        <v>318</v>
      </c>
      <c r="D296" s="1828"/>
      <c r="E296" s="1828"/>
      <c r="F296" s="608"/>
      <c r="G296" s="608"/>
      <c r="H296" s="608"/>
      <c r="I296" s="608"/>
      <c r="J296" s="607">
        <v>261.12</v>
      </c>
      <c r="K296" s="608"/>
      <c r="L296" s="607">
        <v>31661.16</v>
      </c>
      <c r="M296" s="601"/>
      <c r="N296" s="606"/>
      <c r="V296" s="674"/>
      <c r="W296" s="675"/>
      <c r="X296" s="675"/>
      <c r="AC296" s="537" t="s">
        <v>318</v>
      </c>
      <c r="AD296" s="675"/>
      <c r="AE296" s="675"/>
      <c r="AG296" s="675"/>
      <c r="AH296" s="680"/>
    </row>
    <row r="297" spans="1:34" s="536" customFormat="1" ht="12" x14ac:dyDescent="0.2">
      <c r="A297" s="605"/>
      <c r="B297" s="552"/>
      <c r="C297" s="1822" t="s">
        <v>319</v>
      </c>
      <c r="D297" s="1822"/>
      <c r="E297" s="1822"/>
      <c r="F297" s="562"/>
      <c r="G297" s="562"/>
      <c r="H297" s="562"/>
      <c r="I297" s="562"/>
      <c r="J297" s="604"/>
      <c r="K297" s="562"/>
      <c r="L297" s="604">
        <v>1122.8900000000001</v>
      </c>
      <c r="M297" s="603"/>
      <c r="N297" s="602"/>
      <c r="V297" s="674"/>
      <c r="W297" s="675"/>
      <c r="X297" s="675"/>
      <c r="AB297" s="537" t="s">
        <v>319</v>
      </c>
      <c r="AD297" s="675"/>
      <c r="AE297" s="675"/>
      <c r="AG297" s="675"/>
      <c r="AH297" s="680"/>
    </row>
    <row r="298" spans="1:34" s="536" customFormat="1" ht="33.75" x14ac:dyDescent="0.2">
      <c r="A298" s="605"/>
      <c r="B298" s="552" t="s">
        <v>554</v>
      </c>
      <c r="C298" s="1822" t="s">
        <v>555</v>
      </c>
      <c r="D298" s="1822"/>
      <c r="E298" s="1822"/>
      <c r="F298" s="562" t="s">
        <v>322</v>
      </c>
      <c r="G298" s="562" t="s">
        <v>556</v>
      </c>
      <c r="H298" s="562"/>
      <c r="I298" s="562" t="s">
        <v>556</v>
      </c>
      <c r="J298" s="604"/>
      <c r="K298" s="562"/>
      <c r="L298" s="604">
        <v>1414.84</v>
      </c>
      <c r="M298" s="603"/>
      <c r="N298" s="602"/>
      <c r="V298" s="674"/>
      <c r="W298" s="675"/>
      <c r="X298" s="675"/>
      <c r="AB298" s="537" t="s">
        <v>555</v>
      </c>
      <c r="AD298" s="675"/>
      <c r="AE298" s="675"/>
      <c r="AG298" s="675"/>
      <c r="AH298" s="680"/>
    </row>
    <row r="299" spans="1:34" s="536" customFormat="1" ht="33.75" x14ac:dyDescent="0.2">
      <c r="A299" s="605"/>
      <c r="B299" s="552" t="s">
        <v>557</v>
      </c>
      <c r="C299" s="1822" t="s">
        <v>558</v>
      </c>
      <c r="D299" s="1822"/>
      <c r="E299" s="1822"/>
      <c r="F299" s="562" t="s">
        <v>322</v>
      </c>
      <c r="G299" s="562" t="s">
        <v>559</v>
      </c>
      <c r="H299" s="562"/>
      <c r="I299" s="562" t="s">
        <v>559</v>
      </c>
      <c r="J299" s="604"/>
      <c r="K299" s="562"/>
      <c r="L299" s="604">
        <v>1066.75</v>
      </c>
      <c r="M299" s="603"/>
      <c r="N299" s="602"/>
      <c r="V299" s="674"/>
      <c r="W299" s="675"/>
      <c r="X299" s="675"/>
      <c r="AB299" s="537" t="s">
        <v>558</v>
      </c>
      <c r="AD299" s="675"/>
      <c r="AE299" s="675"/>
      <c r="AG299" s="675"/>
      <c r="AH299" s="680"/>
    </row>
    <row r="300" spans="1:34" s="536" customFormat="1" ht="12" x14ac:dyDescent="0.2">
      <c r="A300" s="569"/>
      <c r="B300" s="683"/>
      <c r="C300" s="1823" t="s">
        <v>327</v>
      </c>
      <c r="D300" s="1823"/>
      <c r="E300" s="1823"/>
      <c r="F300" s="573"/>
      <c r="G300" s="573"/>
      <c r="H300" s="573"/>
      <c r="I300" s="573"/>
      <c r="J300" s="572"/>
      <c r="K300" s="573"/>
      <c r="L300" s="572">
        <v>34142.75</v>
      </c>
      <c r="M300" s="601"/>
      <c r="N300" s="570"/>
      <c r="V300" s="674"/>
      <c r="W300" s="675"/>
      <c r="X300" s="675"/>
      <c r="AD300" s="675" t="s">
        <v>327</v>
      </c>
      <c r="AE300" s="675"/>
      <c r="AG300" s="675"/>
      <c r="AH300" s="680"/>
    </row>
    <row r="301" spans="1:34" s="536" customFormat="1" ht="22.5" x14ac:dyDescent="0.2">
      <c r="A301" s="575" t="s">
        <v>759</v>
      </c>
      <c r="B301" s="684" t="s">
        <v>1082</v>
      </c>
      <c r="C301" s="1823" t="s">
        <v>1083</v>
      </c>
      <c r="D301" s="1823"/>
      <c r="E301" s="1823"/>
      <c r="F301" s="573" t="s">
        <v>694</v>
      </c>
      <c r="G301" s="573"/>
      <c r="H301" s="573"/>
      <c r="I301" s="573" t="s">
        <v>1084</v>
      </c>
      <c r="J301" s="572">
        <v>503.58</v>
      </c>
      <c r="K301" s="573"/>
      <c r="L301" s="572">
        <v>1481028.78</v>
      </c>
      <c r="M301" s="571"/>
      <c r="N301" s="570"/>
      <c r="V301" s="674"/>
      <c r="W301" s="675"/>
      <c r="X301" s="675" t="s">
        <v>1083</v>
      </c>
      <c r="AD301" s="675"/>
      <c r="AE301" s="675"/>
      <c r="AG301" s="675"/>
      <c r="AH301" s="680"/>
    </row>
    <row r="302" spans="1:34" s="536" customFormat="1" ht="12" x14ac:dyDescent="0.2">
      <c r="A302" s="569"/>
      <c r="B302" s="683"/>
      <c r="C302" s="689" t="s">
        <v>717</v>
      </c>
      <c r="D302" s="690"/>
      <c r="E302" s="690"/>
      <c r="F302" s="563"/>
      <c r="G302" s="563"/>
      <c r="H302" s="563"/>
      <c r="I302" s="563"/>
      <c r="J302" s="566"/>
      <c r="K302" s="563"/>
      <c r="L302" s="566"/>
      <c r="M302" s="565"/>
      <c r="N302" s="564"/>
      <c r="V302" s="674"/>
      <c r="W302" s="675"/>
      <c r="X302" s="675"/>
      <c r="AD302" s="675"/>
      <c r="AE302" s="675"/>
      <c r="AG302" s="675"/>
      <c r="AH302" s="680"/>
    </row>
    <row r="303" spans="1:34" s="536" customFormat="1" ht="12" x14ac:dyDescent="0.2">
      <c r="A303" s="1830" t="s">
        <v>1085</v>
      </c>
      <c r="B303" s="1831"/>
      <c r="C303" s="1831"/>
      <c r="D303" s="1831"/>
      <c r="E303" s="1831"/>
      <c r="F303" s="1831"/>
      <c r="G303" s="1831"/>
      <c r="H303" s="1831"/>
      <c r="I303" s="1831"/>
      <c r="J303" s="1831"/>
      <c r="K303" s="1831"/>
      <c r="L303" s="1831"/>
      <c r="M303" s="1831"/>
      <c r="N303" s="1832"/>
      <c r="V303" s="674"/>
      <c r="W303" s="675" t="s">
        <v>1085</v>
      </c>
      <c r="X303" s="675"/>
      <c r="AD303" s="675"/>
      <c r="AE303" s="675"/>
      <c r="AG303" s="675"/>
      <c r="AH303" s="680"/>
    </row>
    <row r="304" spans="1:34" s="536" customFormat="1" ht="33.75" x14ac:dyDescent="0.2">
      <c r="A304" s="575" t="s">
        <v>917</v>
      </c>
      <c r="B304" s="684" t="s">
        <v>1086</v>
      </c>
      <c r="C304" s="1823" t="s">
        <v>1087</v>
      </c>
      <c r="D304" s="1823"/>
      <c r="E304" s="1823"/>
      <c r="F304" s="573" t="s">
        <v>509</v>
      </c>
      <c r="G304" s="573"/>
      <c r="H304" s="573"/>
      <c r="I304" s="573" t="s">
        <v>1088</v>
      </c>
      <c r="J304" s="572"/>
      <c r="K304" s="573"/>
      <c r="L304" s="572"/>
      <c r="M304" s="571"/>
      <c r="N304" s="570"/>
      <c r="V304" s="674"/>
      <c r="W304" s="675"/>
      <c r="X304" s="675" t="s">
        <v>1087</v>
      </c>
      <c r="AD304" s="675"/>
      <c r="AE304" s="675"/>
      <c r="AG304" s="675"/>
      <c r="AH304" s="680"/>
    </row>
    <row r="305" spans="1:34" s="536" customFormat="1" ht="12" x14ac:dyDescent="0.2">
      <c r="A305" s="676"/>
      <c r="B305" s="682"/>
      <c r="C305" s="1822" t="s">
        <v>1089</v>
      </c>
      <c r="D305" s="1822"/>
      <c r="E305" s="1822"/>
      <c r="F305" s="1822"/>
      <c r="G305" s="1822"/>
      <c r="H305" s="1822"/>
      <c r="I305" s="1822"/>
      <c r="J305" s="1822"/>
      <c r="K305" s="1822"/>
      <c r="L305" s="1822"/>
      <c r="M305" s="1822"/>
      <c r="N305" s="1827"/>
      <c r="V305" s="674"/>
      <c r="W305" s="675"/>
      <c r="X305" s="675"/>
      <c r="Y305" s="537" t="s">
        <v>1089</v>
      </c>
      <c r="AD305" s="675"/>
      <c r="AE305" s="675"/>
      <c r="AG305" s="675"/>
      <c r="AH305" s="680"/>
    </row>
    <row r="306" spans="1:34" s="536" customFormat="1" ht="33.75" x14ac:dyDescent="0.2">
      <c r="A306" s="609"/>
      <c r="B306" s="552" t="s">
        <v>310</v>
      </c>
      <c r="C306" s="1822" t="s">
        <v>311</v>
      </c>
      <c r="D306" s="1822"/>
      <c r="E306" s="1822"/>
      <c r="F306" s="1822"/>
      <c r="G306" s="1822"/>
      <c r="H306" s="1822"/>
      <c r="I306" s="1822"/>
      <c r="J306" s="1822"/>
      <c r="K306" s="1822"/>
      <c r="L306" s="1822"/>
      <c r="M306" s="1822"/>
      <c r="N306" s="1827"/>
      <c r="V306" s="674"/>
      <c r="W306" s="675"/>
      <c r="X306" s="675"/>
      <c r="Z306" s="537" t="s">
        <v>311</v>
      </c>
      <c r="AD306" s="675"/>
      <c r="AE306" s="675"/>
      <c r="AG306" s="675"/>
      <c r="AH306" s="680"/>
    </row>
    <row r="307" spans="1:34" s="536" customFormat="1" ht="12" x14ac:dyDescent="0.2">
      <c r="A307" s="605"/>
      <c r="B307" s="552" t="s">
        <v>185</v>
      </c>
      <c r="C307" s="1822" t="s">
        <v>312</v>
      </c>
      <c r="D307" s="1822"/>
      <c r="E307" s="1822"/>
      <c r="F307" s="562"/>
      <c r="G307" s="562"/>
      <c r="H307" s="562"/>
      <c r="I307" s="562"/>
      <c r="J307" s="604">
        <v>115.49</v>
      </c>
      <c r="K307" s="562" t="s">
        <v>313</v>
      </c>
      <c r="L307" s="604">
        <v>538.47</v>
      </c>
      <c r="M307" s="603"/>
      <c r="N307" s="602"/>
      <c r="V307" s="674"/>
      <c r="W307" s="675"/>
      <c r="X307" s="675"/>
      <c r="AA307" s="537" t="s">
        <v>312</v>
      </c>
      <c r="AD307" s="675"/>
      <c r="AE307" s="675"/>
      <c r="AG307" s="675"/>
      <c r="AH307" s="680"/>
    </row>
    <row r="308" spans="1:34" s="536" customFormat="1" ht="12" x14ac:dyDescent="0.2">
      <c r="A308" s="605"/>
      <c r="B308" s="552" t="s">
        <v>186</v>
      </c>
      <c r="C308" s="1822" t="s">
        <v>344</v>
      </c>
      <c r="D308" s="1822"/>
      <c r="E308" s="1822"/>
      <c r="F308" s="562"/>
      <c r="G308" s="562"/>
      <c r="H308" s="562"/>
      <c r="I308" s="562"/>
      <c r="J308" s="604">
        <v>3262.79</v>
      </c>
      <c r="K308" s="562" t="s">
        <v>313</v>
      </c>
      <c r="L308" s="604">
        <v>15212.76</v>
      </c>
      <c r="M308" s="603"/>
      <c r="N308" s="602"/>
      <c r="V308" s="674"/>
      <c r="W308" s="675"/>
      <c r="X308" s="675"/>
      <c r="AA308" s="537" t="s">
        <v>344</v>
      </c>
      <c r="AD308" s="675"/>
      <c r="AE308" s="675"/>
      <c r="AG308" s="675"/>
      <c r="AH308" s="680"/>
    </row>
    <row r="309" spans="1:34" s="536" customFormat="1" ht="12" x14ac:dyDescent="0.2">
      <c r="A309" s="605"/>
      <c r="B309" s="552" t="s">
        <v>187</v>
      </c>
      <c r="C309" s="1822" t="s">
        <v>345</v>
      </c>
      <c r="D309" s="1822"/>
      <c r="E309" s="1822"/>
      <c r="F309" s="562"/>
      <c r="G309" s="562"/>
      <c r="H309" s="562"/>
      <c r="I309" s="562"/>
      <c r="J309" s="604">
        <v>171.22</v>
      </c>
      <c r="K309" s="562" t="s">
        <v>313</v>
      </c>
      <c r="L309" s="604">
        <v>798.31</v>
      </c>
      <c r="M309" s="603"/>
      <c r="N309" s="602"/>
      <c r="V309" s="674"/>
      <c r="W309" s="675"/>
      <c r="X309" s="675"/>
      <c r="AA309" s="537" t="s">
        <v>345</v>
      </c>
      <c r="AD309" s="675"/>
      <c r="AE309" s="675"/>
      <c r="AG309" s="675"/>
      <c r="AH309" s="680"/>
    </row>
    <row r="310" spans="1:34" s="536" customFormat="1" ht="12" x14ac:dyDescent="0.2">
      <c r="A310" s="605"/>
      <c r="B310" s="552" t="s">
        <v>188</v>
      </c>
      <c r="C310" s="1822" t="s">
        <v>475</v>
      </c>
      <c r="D310" s="1822"/>
      <c r="E310" s="1822"/>
      <c r="F310" s="562"/>
      <c r="G310" s="562"/>
      <c r="H310" s="562"/>
      <c r="I310" s="562"/>
      <c r="J310" s="604">
        <v>12.2</v>
      </c>
      <c r="K310" s="562"/>
      <c r="L310" s="604">
        <v>45.51</v>
      </c>
      <c r="M310" s="603"/>
      <c r="N310" s="602"/>
      <c r="V310" s="674"/>
      <c r="W310" s="675"/>
      <c r="X310" s="675"/>
      <c r="AA310" s="537" t="s">
        <v>475</v>
      </c>
      <c r="AD310" s="675"/>
      <c r="AE310" s="675"/>
      <c r="AG310" s="675"/>
      <c r="AH310" s="680"/>
    </row>
    <row r="311" spans="1:34" s="536" customFormat="1" ht="22.5" x14ac:dyDescent="0.2">
      <c r="A311" s="676"/>
      <c r="B311" s="677" t="s">
        <v>1090</v>
      </c>
      <c r="C311" s="1829" t="s">
        <v>1091</v>
      </c>
      <c r="D311" s="1829"/>
      <c r="E311" s="1829"/>
      <c r="F311" s="678" t="s">
        <v>641</v>
      </c>
      <c r="G311" s="678" t="s">
        <v>525</v>
      </c>
      <c r="H311" s="678"/>
      <c r="I311" s="678" t="s">
        <v>525</v>
      </c>
      <c r="J311" s="552"/>
      <c r="K311" s="562"/>
      <c r="L311" s="604"/>
      <c r="M311" s="562"/>
      <c r="N311" s="679"/>
      <c r="V311" s="674"/>
      <c r="W311" s="675"/>
      <c r="X311" s="675"/>
      <c r="AD311" s="675"/>
      <c r="AE311" s="675"/>
      <c r="AG311" s="675"/>
      <c r="AH311" s="680" t="s">
        <v>1091</v>
      </c>
    </row>
    <row r="312" spans="1:34" s="536" customFormat="1" ht="12" x14ac:dyDescent="0.2">
      <c r="A312" s="605"/>
      <c r="B312" s="552"/>
      <c r="C312" s="1822" t="s">
        <v>314</v>
      </c>
      <c r="D312" s="1822"/>
      <c r="E312" s="1822"/>
      <c r="F312" s="562" t="s">
        <v>315</v>
      </c>
      <c r="G312" s="562" t="s">
        <v>1028</v>
      </c>
      <c r="H312" s="562" t="s">
        <v>313</v>
      </c>
      <c r="I312" s="562" t="s">
        <v>1092</v>
      </c>
      <c r="J312" s="604"/>
      <c r="K312" s="562"/>
      <c r="L312" s="604"/>
      <c r="M312" s="603"/>
      <c r="N312" s="602"/>
      <c r="V312" s="674"/>
      <c r="W312" s="675"/>
      <c r="X312" s="675"/>
      <c r="AB312" s="537" t="s">
        <v>314</v>
      </c>
      <c r="AD312" s="675"/>
      <c r="AE312" s="675"/>
      <c r="AG312" s="675"/>
      <c r="AH312" s="680"/>
    </row>
    <row r="313" spans="1:34" s="536" customFormat="1" ht="12" x14ac:dyDescent="0.2">
      <c r="A313" s="605"/>
      <c r="B313" s="552"/>
      <c r="C313" s="1822" t="s">
        <v>348</v>
      </c>
      <c r="D313" s="1822"/>
      <c r="E313" s="1822"/>
      <c r="F313" s="562" t="s">
        <v>315</v>
      </c>
      <c r="G313" s="562" t="s">
        <v>1093</v>
      </c>
      <c r="H313" s="562" t="s">
        <v>313</v>
      </c>
      <c r="I313" s="562" t="s">
        <v>1094</v>
      </c>
      <c r="J313" s="604"/>
      <c r="K313" s="562"/>
      <c r="L313" s="604"/>
      <c r="M313" s="603"/>
      <c r="N313" s="602"/>
      <c r="V313" s="674"/>
      <c r="W313" s="675"/>
      <c r="X313" s="675"/>
      <c r="AB313" s="537" t="s">
        <v>348</v>
      </c>
      <c r="AD313" s="675"/>
      <c r="AE313" s="675"/>
      <c r="AG313" s="675"/>
      <c r="AH313" s="680"/>
    </row>
    <row r="314" spans="1:34" s="536" customFormat="1" ht="12" x14ac:dyDescent="0.2">
      <c r="A314" s="605"/>
      <c r="B314" s="552"/>
      <c r="C314" s="1828" t="s">
        <v>318</v>
      </c>
      <c r="D314" s="1828"/>
      <c r="E314" s="1828"/>
      <c r="F314" s="608"/>
      <c r="G314" s="608"/>
      <c r="H314" s="608"/>
      <c r="I314" s="608"/>
      <c r="J314" s="607">
        <v>3390.48</v>
      </c>
      <c r="K314" s="608"/>
      <c r="L314" s="607">
        <v>15796.74</v>
      </c>
      <c r="M314" s="601"/>
      <c r="N314" s="606"/>
      <c r="V314" s="674"/>
      <c r="W314" s="675"/>
      <c r="X314" s="675"/>
      <c r="AC314" s="537" t="s">
        <v>318</v>
      </c>
      <c r="AD314" s="675"/>
      <c r="AE314" s="675"/>
      <c r="AG314" s="675"/>
      <c r="AH314" s="680"/>
    </row>
    <row r="315" spans="1:34" s="536" customFormat="1" ht="12" x14ac:dyDescent="0.2">
      <c r="A315" s="605"/>
      <c r="B315" s="552"/>
      <c r="C315" s="1822" t="s">
        <v>319</v>
      </c>
      <c r="D315" s="1822"/>
      <c r="E315" s="1822"/>
      <c r="F315" s="562"/>
      <c r="G315" s="562"/>
      <c r="H315" s="562"/>
      <c r="I315" s="562"/>
      <c r="J315" s="604"/>
      <c r="K315" s="562"/>
      <c r="L315" s="604">
        <v>1336.78</v>
      </c>
      <c r="M315" s="603"/>
      <c r="N315" s="602"/>
      <c r="V315" s="674"/>
      <c r="W315" s="675"/>
      <c r="X315" s="675"/>
      <c r="AB315" s="537" t="s">
        <v>319</v>
      </c>
      <c r="AD315" s="675"/>
      <c r="AE315" s="675"/>
      <c r="AG315" s="675"/>
      <c r="AH315" s="680"/>
    </row>
    <row r="316" spans="1:34" s="536" customFormat="1" ht="33.75" x14ac:dyDescent="0.2">
      <c r="A316" s="605"/>
      <c r="B316" s="552" t="s">
        <v>554</v>
      </c>
      <c r="C316" s="1822" t="s">
        <v>555</v>
      </c>
      <c r="D316" s="1822"/>
      <c r="E316" s="1822"/>
      <c r="F316" s="562" t="s">
        <v>322</v>
      </c>
      <c r="G316" s="562" t="s">
        <v>556</v>
      </c>
      <c r="H316" s="562"/>
      <c r="I316" s="562" t="s">
        <v>556</v>
      </c>
      <c r="J316" s="604"/>
      <c r="K316" s="562"/>
      <c r="L316" s="604">
        <v>1684.34</v>
      </c>
      <c r="M316" s="603"/>
      <c r="N316" s="602"/>
      <c r="V316" s="674"/>
      <c r="W316" s="675"/>
      <c r="X316" s="675"/>
      <c r="AB316" s="537" t="s">
        <v>555</v>
      </c>
      <c r="AD316" s="675"/>
      <c r="AE316" s="675"/>
      <c r="AG316" s="675"/>
      <c r="AH316" s="680"/>
    </row>
    <row r="317" spans="1:34" s="536" customFormat="1" ht="33.75" x14ac:dyDescent="0.2">
      <c r="A317" s="605"/>
      <c r="B317" s="552" t="s">
        <v>557</v>
      </c>
      <c r="C317" s="1822" t="s">
        <v>558</v>
      </c>
      <c r="D317" s="1822"/>
      <c r="E317" s="1822"/>
      <c r="F317" s="562" t="s">
        <v>322</v>
      </c>
      <c r="G317" s="562" t="s">
        <v>559</v>
      </c>
      <c r="H317" s="562"/>
      <c r="I317" s="562" t="s">
        <v>559</v>
      </c>
      <c r="J317" s="604"/>
      <c r="K317" s="562"/>
      <c r="L317" s="604">
        <v>1269.94</v>
      </c>
      <c r="M317" s="603"/>
      <c r="N317" s="602"/>
      <c r="V317" s="674"/>
      <c r="W317" s="675"/>
      <c r="X317" s="675"/>
      <c r="AB317" s="537" t="s">
        <v>558</v>
      </c>
      <c r="AD317" s="675"/>
      <c r="AE317" s="675"/>
      <c r="AG317" s="675"/>
      <c r="AH317" s="680"/>
    </row>
    <row r="318" spans="1:34" s="536" customFormat="1" ht="12" x14ac:dyDescent="0.2">
      <c r="A318" s="569"/>
      <c r="B318" s="683"/>
      <c r="C318" s="1823" t="s">
        <v>327</v>
      </c>
      <c r="D318" s="1823"/>
      <c r="E318" s="1823"/>
      <c r="F318" s="573"/>
      <c r="G318" s="573"/>
      <c r="H318" s="573"/>
      <c r="I318" s="573"/>
      <c r="J318" s="572"/>
      <c r="K318" s="573"/>
      <c r="L318" s="572">
        <v>18751.02</v>
      </c>
      <c r="M318" s="601"/>
      <c r="N318" s="570"/>
      <c r="V318" s="674"/>
      <c r="W318" s="675"/>
      <c r="X318" s="675"/>
      <c r="AD318" s="675" t="s">
        <v>327</v>
      </c>
      <c r="AE318" s="675"/>
      <c r="AG318" s="675"/>
      <c r="AH318" s="680"/>
    </row>
    <row r="319" spans="1:34" s="536" customFormat="1" ht="33.75" x14ac:dyDescent="0.2">
      <c r="A319" s="575" t="s">
        <v>761</v>
      </c>
      <c r="B319" s="684" t="s">
        <v>1095</v>
      </c>
      <c r="C319" s="1823" t="s">
        <v>1096</v>
      </c>
      <c r="D319" s="1823"/>
      <c r="E319" s="1823"/>
      <c r="F319" s="573" t="s">
        <v>641</v>
      </c>
      <c r="G319" s="573"/>
      <c r="H319" s="573"/>
      <c r="I319" s="573" t="s">
        <v>1097</v>
      </c>
      <c r="J319" s="572">
        <v>55.26</v>
      </c>
      <c r="K319" s="573"/>
      <c r="L319" s="572">
        <v>22673.18</v>
      </c>
      <c r="M319" s="571"/>
      <c r="N319" s="570"/>
      <c r="V319" s="674"/>
      <c r="W319" s="675"/>
      <c r="X319" s="675" t="s">
        <v>1096</v>
      </c>
      <c r="AD319" s="675"/>
      <c r="AE319" s="675"/>
      <c r="AG319" s="675"/>
      <c r="AH319" s="680"/>
    </row>
    <row r="320" spans="1:34" s="536" customFormat="1" ht="12" x14ac:dyDescent="0.2">
      <c r="A320" s="569"/>
      <c r="B320" s="683"/>
      <c r="C320" s="689" t="s">
        <v>717</v>
      </c>
      <c r="D320" s="690"/>
      <c r="E320" s="690"/>
      <c r="F320" s="563"/>
      <c r="G320" s="563"/>
      <c r="H320" s="563"/>
      <c r="I320" s="563"/>
      <c r="J320" s="566"/>
      <c r="K320" s="563"/>
      <c r="L320" s="566"/>
      <c r="M320" s="565"/>
      <c r="N320" s="564"/>
      <c r="V320" s="674"/>
      <c r="W320" s="675"/>
      <c r="X320" s="675"/>
      <c r="AD320" s="675"/>
      <c r="AE320" s="675"/>
      <c r="AG320" s="675"/>
      <c r="AH320" s="680"/>
    </row>
    <row r="321" spans="1:34" s="536" customFormat="1" ht="12" x14ac:dyDescent="0.2">
      <c r="A321" s="676"/>
      <c r="B321" s="682"/>
      <c r="C321" s="1822" t="s">
        <v>1098</v>
      </c>
      <c r="D321" s="1822"/>
      <c r="E321" s="1822"/>
      <c r="F321" s="1822"/>
      <c r="G321" s="1822"/>
      <c r="H321" s="1822"/>
      <c r="I321" s="1822"/>
      <c r="J321" s="1822"/>
      <c r="K321" s="1822"/>
      <c r="L321" s="1822"/>
      <c r="M321" s="1822"/>
      <c r="N321" s="1827"/>
      <c r="V321" s="674"/>
      <c r="W321" s="675"/>
      <c r="X321" s="675"/>
      <c r="Y321" s="537" t="s">
        <v>1098</v>
      </c>
      <c r="AD321" s="675"/>
      <c r="AE321" s="675"/>
      <c r="AG321" s="675"/>
      <c r="AH321" s="680"/>
    </row>
    <row r="322" spans="1:34" s="536" customFormat="1" ht="67.5" x14ac:dyDescent="0.2">
      <c r="A322" s="575" t="s">
        <v>762</v>
      </c>
      <c r="B322" s="684" t="s">
        <v>1045</v>
      </c>
      <c r="C322" s="1823" t="s">
        <v>1046</v>
      </c>
      <c r="D322" s="1823"/>
      <c r="E322" s="1823"/>
      <c r="F322" s="573" t="s">
        <v>1034</v>
      </c>
      <c r="G322" s="573"/>
      <c r="H322" s="573"/>
      <c r="I322" s="573" t="s">
        <v>1099</v>
      </c>
      <c r="J322" s="572"/>
      <c r="K322" s="573"/>
      <c r="L322" s="572"/>
      <c r="M322" s="571"/>
      <c r="N322" s="570"/>
      <c r="V322" s="674"/>
      <c r="W322" s="675"/>
      <c r="X322" s="675" t="s">
        <v>1046</v>
      </c>
      <c r="AD322" s="675"/>
      <c r="AE322" s="675"/>
      <c r="AG322" s="675"/>
      <c r="AH322" s="680"/>
    </row>
    <row r="323" spans="1:34" s="536" customFormat="1" ht="12" x14ac:dyDescent="0.2">
      <c r="A323" s="676"/>
      <c r="B323" s="682"/>
      <c r="C323" s="1822" t="s">
        <v>1100</v>
      </c>
      <c r="D323" s="1822"/>
      <c r="E323" s="1822"/>
      <c r="F323" s="1822"/>
      <c r="G323" s="1822"/>
      <c r="H323" s="1822"/>
      <c r="I323" s="1822"/>
      <c r="J323" s="1822"/>
      <c r="K323" s="1822"/>
      <c r="L323" s="1822"/>
      <c r="M323" s="1822"/>
      <c r="N323" s="1827"/>
      <c r="V323" s="674"/>
      <c r="W323" s="675"/>
      <c r="X323" s="675"/>
      <c r="Y323" s="537" t="s">
        <v>1100</v>
      </c>
      <c r="AD323" s="675"/>
      <c r="AE323" s="675"/>
      <c r="AG323" s="675"/>
      <c r="AH323" s="680"/>
    </row>
    <row r="324" spans="1:34" s="536" customFormat="1" ht="33.75" x14ac:dyDescent="0.2">
      <c r="A324" s="609"/>
      <c r="B324" s="552" t="s">
        <v>310</v>
      </c>
      <c r="C324" s="1822" t="s">
        <v>311</v>
      </c>
      <c r="D324" s="1822"/>
      <c r="E324" s="1822"/>
      <c r="F324" s="1822"/>
      <c r="G324" s="1822"/>
      <c r="H324" s="1822"/>
      <c r="I324" s="1822"/>
      <c r="J324" s="1822"/>
      <c r="K324" s="1822"/>
      <c r="L324" s="1822"/>
      <c r="M324" s="1822"/>
      <c r="N324" s="1827"/>
      <c r="V324" s="674"/>
      <c r="W324" s="675"/>
      <c r="X324" s="675"/>
      <c r="Z324" s="537" t="s">
        <v>311</v>
      </c>
      <c r="AD324" s="675"/>
      <c r="AE324" s="675"/>
      <c r="AG324" s="675"/>
      <c r="AH324" s="680"/>
    </row>
    <row r="325" spans="1:34" s="536" customFormat="1" ht="12" x14ac:dyDescent="0.2">
      <c r="A325" s="605"/>
      <c r="B325" s="552" t="s">
        <v>185</v>
      </c>
      <c r="C325" s="1822" t="s">
        <v>312</v>
      </c>
      <c r="D325" s="1822"/>
      <c r="E325" s="1822"/>
      <c r="F325" s="562"/>
      <c r="G325" s="562"/>
      <c r="H325" s="562"/>
      <c r="I325" s="562"/>
      <c r="J325" s="604">
        <v>269.61</v>
      </c>
      <c r="K325" s="562" t="s">
        <v>313</v>
      </c>
      <c r="L325" s="604">
        <v>1034.6300000000001</v>
      </c>
      <c r="M325" s="603"/>
      <c r="N325" s="602"/>
      <c r="V325" s="674"/>
      <c r="W325" s="675"/>
      <c r="X325" s="675"/>
      <c r="AA325" s="537" t="s">
        <v>312</v>
      </c>
      <c r="AD325" s="675"/>
      <c r="AE325" s="675"/>
      <c r="AG325" s="675"/>
      <c r="AH325" s="680"/>
    </row>
    <row r="326" spans="1:34" s="536" customFormat="1" ht="12" x14ac:dyDescent="0.2">
      <c r="A326" s="605"/>
      <c r="B326" s="552" t="s">
        <v>186</v>
      </c>
      <c r="C326" s="1822" t="s">
        <v>344</v>
      </c>
      <c r="D326" s="1822"/>
      <c r="E326" s="1822"/>
      <c r="F326" s="562"/>
      <c r="G326" s="562"/>
      <c r="H326" s="562"/>
      <c r="I326" s="562"/>
      <c r="J326" s="604">
        <v>7442.38</v>
      </c>
      <c r="K326" s="562" t="s">
        <v>313</v>
      </c>
      <c r="L326" s="604">
        <v>28560.13</v>
      </c>
      <c r="M326" s="603"/>
      <c r="N326" s="602"/>
      <c r="V326" s="674"/>
      <c r="W326" s="675"/>
      <c r="X326" s="675"/>
      <c r="AA326" s="537" t="s">
        <v>344</v>
      </c>
      <c r="AD326" s="675"/>
      <c r="AE326" s="675"/>
      <c r="AG326" s="675"/>
      <c r="AH326" s="680"/>
    </row>
    <row r="327" spans="1:34" s="536" customFormat="1" ht="12" x14ac:dyDescent="0.2">
      <c r="A327" s="605"/>
      <c r="B327" s="552" t="s">
        <v>187</v>
      </c>
      <c r="C327" s="1822" t="s">
        <v>345</v>
      </c>
      <c r="D327" s="1822"/>
      <c r="E327" s="1822"/>
      <c r="F327" s="562"/>
      <c r="G327" s="562"/>
      <c r="H327" s="562"/>
      <c r="I327" s="562"/>
      <c r="J327" s="604">
        <v>429.14</v>
      </c>
      <c r="K327" s="562" t="s">
        <v>313</v>
      </c>
      <c r="L327" s="604">
        <v>1646.82</v>
      </c>
      <c r="M327" s="603"/>
      <c r="N327" s="602"/>
      <c r="V327" s="674"/>
      <c r="W327" s="675"/>
      <c r="X327" s="675"/>
      <c r="AA327" s="537" t="s">
        <v>345</v>
      </c>
      <c r="AD327" s="675"/>
      <c r="AE327" s="675"/>
      <c r="AG327" s="675"/>
      <c r="AH327" s="680"/>
    </row>
    <row r="328" spans="1:34" s="536" customFormat="1" ht="12" x14ac:dyDescent="0.2">
      <c r="A328" s="605"/>
      <c r="B328" s="552" t="s">
        <v>188</v>
      </c>
      <c r="C328" s="1822" t="s">
        <v>475</v>
      </c>
      <c r="D328" s="1822"/>
      <c r="E328" s="1822"/>
      <c r="F328" s="562"/>
      <c r="G328" s="562"/>
      <c r="H328" s="562"/>
      <c r="I328" s="562"/>
      <c r="J328" s="604">
        <v>22322.55</v>
      </c>
      <c r="K328" s="562"/>
      <c r="L328" s="604">
        <v>68530.23</v>
      </c>
      <c r="M328" s="603"/>
      <c r="N328" s="602"/>
      <c r="V328" s="674"/>
      <c r="W328" s="675"/>
      <c r="X328" s="675"/>
      <c r="AA328" s="537" t="s">
        <v>475</v>
      </c>
      <c r="AD328" s="675"/>
      <c r="AE328" s="675"/>
      <c r="AG328" s="675"/>
      <c r="AH328" s="680"/>
    </row>
    <row r="329" spans="1:34" s="536" customFormat="1" ht="12" x14ac:dyDescent="0.2">
      <c r="A329" s="605"/>
      <c r="B329" s="552"/>
      <c r="C329" s="1822" t="s">
        <v>314</v>
      </c>
      <c r="D329" s="1822"/>
      <c r="E329" s="1822"/>
      <c r="F329" s="562" t="s">
        <v>315</v>
      </c>
      <c r="G329" s="562" t="s">
        <v>505</v>
      </c>
      <c r="H329" s="562" t="s">
        <v>313</v>
      </c>
      <c r="I329" s="562" t="s">
        <v>1101</v>
      </c>
      <c r="J329" s="604"/>
      <c r="K329" s="562"/>
      <c r="L329" s="604"/>
      <c r="M329" s="603"/>
      <c r="N329" s="602"/>
      <c r="V329" s="674"/>
      <c r="W329" s="675"/>
      <c r="X329" s="675"/>
      <c r="AB329" s="537" t="s">
        <v>314</v>
      </c>
      <c r="AD329" s="675"/>
      <c r="AE329" s="675"/>
      <c r="AG329" s="675"/>
      <c r="AH329" s="680"/>
    </row>
    <row r="330" spans="1:34" s="536" customFormat="1" ht="22.5" x14ac:dyDescent="0.2">
      <c r="A330" s="605"/>
      <c r="B330" s="552"/>
      <c r="C330" s="1822" t="s">
        <v>348</v>
      </c>
      <c r="D330" s="1822"/>
      <c r="E330" s="1822"/>
      <c r="F330" s="562" t="s">
        <v>315</v>
      </c>
      <c r="G330" s="562" t="s">
        <v>1047</v>
      </c>
      <c r="H330" s="562" t="s">
        <v>313</v>
      </c>
      <c r="I330" s="562" t="s">
        <v>1102</v>
      </c>
      <c r="J330" s="604"/>
      <c r="K330" s="562"/>
      <c r="L330" s="604"/>
      <c r="M330" s="603"/>
      <c r="N330" s="602"/>
      <c r="V330" s="674"/>
      <c r="W330" s="675"/>
      <c r="X330" s="675"/>
      <c r="AB330" s="537" t="s">
        <v>348</v>
      </c>
      <c r="AD330" s="675"/>
      <c r="AE330" s="675"/>
      <c r="AG330" s="675"/>
      <c r="AH330" s="680"/>
    </row>
    <row r="331" spans="1:34" s="536" customFormat="1" ht="12" x14ac:dyDescent="0.2">
      <c r="A331" s="605"/>
      <c r="B331" s="552"/>
      <c r="C331" s="1828" t="s">
        <v>318</v>
      </c>
      <c r="D331" s="1828"/>
      <c r="E331" s="1828"/>
      <c r="F331" s="608"/>
      <c r="G331" s="608"/>
      <c r="H331" s="608"/>
      <c r="I331" s="608"/>
      <c r="J331" s="607">
        <v>30034.54</v>
      </c>
      <c r="K331" s="608"/>
      <c r="L331" s="607">
        <v>98124.99</v>
      </c>
      <c r="M331" s="601"/>
      <c r="N331" s="606"/>
      <c r="V331" s="674"/>
      <c r="W331" s="675"/>
      <c r="X331" s="675"/>
      <c r="AC331" s="537" t="s">
        <v>318</v>
      </c>
      <c r="AD331" s="675"/>
      <c r="AE331" s="675"/>
      <c r="AG331" s="675"/>
      <c r="AH331" s="680"/>
    </row>
    <row r="332" spans="1:34" s="536" customFormat="1" ht="12" x14ac:dyDescent="0.2">
      <c r="A332" s="605"/>
      <c r="B332" s="552"/>
      <c r="C332" s="1822" t="s">
        <v>319</v>
      </c>
      <c r="D332" s="1822"/>
      <c r="E332" s="1822"/>
      <c r="F332" s="562"/>
      <c r="G332" s="562"/>
      <c r="H332" s="562"/>
      <c r="I332" s="562"/>
      <c r="J332" s="604"/>
      <c r="K332" s="562"/>
      <c r="L332" s="604">
        <v>2681.45</v>
      </c>
      <c r="M332" s="603"/>
      <c r="N332" s="602"/>
      <c r="V332" s="674"/>
      <c r="W332" s="675"/>
      <c r="X332" s="675"/>
      <c r="AB332" s="537" t="s">
        <v>319</v>
      </c>
      <c r="AD332" s="675"/>
      <c r="AE332" s="675"/>
      <c r="AG332" s="675"/>
      <c r="AH332" s="680"/>
    </row>
    <row r="333" spans="1:34" s="536" customFormat="1" ht="33.75" x14ac:dyDescent="0.2">
      <c r="A333" s="605"/>
      <c r="B333" s="552" t="s">
        <v>554</v>
      </c>
      <c r="C333" s="1822" t="s">
        <v>555</v>
      </c>
      <c r="D333" s="1822"/>
      <c r="E333" s="1822"/>
      <c r="F333" s="562" t="s">
        <v>322</v>
      </c>
      <c r="G333" s="562" t="s">
        <v>556</v>
      </c>
      <c r="H333" s="562"/>
      <c r="I333" s="562" t="s">
        <v>556</v>
      </c>
      <c r="J333" s="604"/>
      <c r="K333" s="562"/>
      <c r="L333" s="604">
        <v>3378.63</v>
      </c>
      <c r="M333" s="603"/>
      <c r="N333" s="602"/>
      <c r="V333" s="674"/>
      <c r="W333" s="675"/>
      <c r="X333" s="675"/>
      <c r="AB333" s="537" t="s">
        <v>555</v>
      </c>
      <c r="AD333" s="675"/>
      <c r="AE333" s="675"/>
      <c r="AG333" s="675"/>
      <c r="AH333" s="680"/>
    </row>
    <row r="334" spans="1:34" s="536" customFormat="1" ht="33.75" x14ac:dyDescent="0.2">
      <c r="A334" s="605"/>
      <c r="B334" s="552" t="s">
        <v>557</v>
      </c>
      <c r="C334" s="1822" t="s">
        <v>558</v>
      </c>
      <c r="D334" s="1822"/>
      <c r="E334" s="1822"/>
      <c r="F334" s="562" t="s">
        <v>322</v>
      </c>
      <c r="G334" s="562" t="s">
        <v>559</v>
      </c>
      <c r="H334" s="562"/>
      <c r="I334" s="562" t="s">
        <v>559</v>
      </c>
      <c r="J334" s="604"/>
      <c r="K334" s="562"/>
      <c r="L334" s="604">
        <v>2547.38</v>
      </c>
      <c r="M334" s="603"/>
      <c r="N334" s="602"/>
      <c r="V334" s="674"/>
      <c r="W334" s="675"/>
      <c r="X334" s="675"/>
      <c r="AB334" s="537" t="s">
        <v>558</v>
      </c>
      <c r="AD334" s="675"/>
      <c r="AE334" s="675"/>
      <c r="AG334" s="675"/>
      <c r="AH334" s="680"/>
    </row>
    <row r="335" spans="1:34" s="536" customFormat="1" ht="12" x14ac:dyDescent="0.2">
      <c r="A335" s="569"/>
      <c r="B335" s="683"/>
      <c r="C335" s="1823" t="s">
        <v>327</v>
      </c>
      <c r="D335" s="1823"/>
      <c r="E335" s="1823"/>
      <c r="F335" s="573"/>
      <c r="G335" s="573"/>
      <c r="H335" s="573"/>
      <c r="I335" s="573"/>
      <c r="J335" s="572"/>
      <c r="K335" s="573"/>
      <c r="L335" s="572">
        <v>104051</v>
      </c>
      <c r="M335" s="601"/>
      <c r="N335" s="570"/>
      <c r="V335" s="674"/>
      <c r="W335" s="675"/>
      <c r="X335" s="675"/>
      <c r="AD335" s="675" t="s">
        <v>327</v>
      </c>
      <c r="AE335" s="675"/>
      <c r="AG335" s="675"/>
      <c r="AH335" s="680"/>
    </row>
    <row r="336" spans="1:34" s="536" customFormat="1" ht="45" x14ac:dyDescent="0.2">
      <c r="A336" s="575" t="s">
        <v>763</v>
      </c>
      <c r="B336" s="684" t="s">
        <v>1048</v>
      </c>
      <c r="C336" s="1823" t="s">
        <v>1103</v>
      </c>
      <c r="D336" s="1823"/>
      <c r="E336" s="1823"/>
      <c r="F336" s="573" t="s">
        <v>1034</v>
      </c>
      <c r="G336" s="573"/>
      <c r="H336" s="573"/>
      <c r="I336" s="573" t="s">
        <v>1104</v>
      </c>
      <c r="J336" s="572"/>
      <c r="K336" s="573"/>
      <c r="L336" s="572"/>
      <c r="M336" s="571"/>
      <c r="N336" s="570"/>
      <c r="V336" s="674"/>
      <c r="W336" s="675"/>
      <c r="X336" s="675" t="s">
        <v>1103</v>
      </c>
      <c r="AD336" s="675"/>
      <c r="AE336" s="675"/>
      <c r="AG336" s="675"/>
      <c r="AH336" s="680"/>
    </row>
    <row r="337" spans="1:34" s="536" customFormat="1" ht="12" x14ac:dyDescent="0.2">
      <c r="A337" s="676"/>
      <c r="B337" s="682"/>
      <c r="C337" s="1822" t="s">
        <v>1105</v>
      </c>
      <c r="D337" s="1822"/>
      <c r="E337" s="1822"/>
      <c r="F337" s="1822"/>
      <c r="G337" s="1822"/>
      <c r="H337" s="1822"/>
      <c r="I337" s="1822"/>
      <c r="J337" s="1822"/>
      <c r="K337" s="1822"/>
      <c r="L337" s="1822"/>
      <c r="M337" s="1822"/>
      <c r="N337" s="1827"/>
      <c r="V337" s="674"/>
      <c r="W337" s="675"/>
      <c r="X337" s="675"/>
      <c r="Y337" s="537" t="s">
        <v>1105</v>
      </c>
      <c r="AD337" s="675"/>
      <c r="AE337" s="675"/>
      <c r="AG337" s="675"/>
      <c r="AH337" s="680"/>
    </row>
    <row r="338" spans="1:34" s="536" customFormat="1" ht="12" x14ac:dyDescent="0.2">
      <c r="A338" s="609"/>
      <c r="B338" s="552"/>
      <c r="C338" s="1822" t="s">
        <v>1106</v>
      </c>
      <c r="D338" s="1822"/>
      <c r="E338" s="1822"/>
      <c r="F338" s="1822"/>
      <c r="G338" s="1822"/>
      <c r="H338" s="1822"/>
      <c r="I338" s="1822"/>
      <c r="J338" s="1822"/>
      <c r="K338" s="1822"/>
      <c r="L338" s="1822"/>
      <c r="M338" s="1822"/>
      <c r="N338" s="1827"/>
      <c r="V338" s="674"/>
      <c r="W338" s="675"/>
      <c r="X338" s="675"/>
      <c r="Z338" s="537" t="s">
        <v>1106</v>
      </c>
      <c r="AD338" s="675"/>
      <c r="AE338" s="675"/>
      <c r="AG338" s="675"/>
      <c r="AH338" s="680"/>
    </row>
    <row r="339" spans="1:34" s="536" customFormat="1" ht="33.75" x14ac:dyDescent="0.2">
      <c r="A339" s="609"/>
      <c r="B339" s="552" t="s">
        <v>310</v>
      </c>
      <c r="C339" s="1822" t="s">
        <v>311</v>
      </c>
      <c r="D339" s="1822"/>
      <c r="E339" s="1822"/>
      <c r="F339" s="1822"/>
      <c r="G339" s="1822"/>
      <c r="H339" s="1822"/>
      <c r="I339" s="1822"/>
      <c r="J339" s="1822"/>
      <c r="K339" s="1822"/>
      <c r="L339" s="1822"/>
      <c r="M339" s="1822"/>
      <c r="N339" s="1827"/>
      <c r="V339" s="674"/>
      <c r="W339" s="675"/>
      <c r="X339" s="675"/>
      <c r="Z339" s="537" t="s">
        <v>311</v>
      </c>
      <c r="AD339" s="675"/>
      <c r="AE339" s="675"/>
      <c r="AG339" s="675"/>
      <c r="AH339" s="680"/>
    </row>
    <row r="340" spans="1:34" s="536" customFormat="1" ht="12" x14ac:dyDescent="0.2">
      <c r="A340" s="605"/>
      <c r="B340" s="552" t="s">
        <v>186</v>
      </c>
      <c r="C340" s="1822" t="s">
        <v>344</v>
      </c>
      <c r="D340" s="1822"/>
      <c r="E340" s="1822"/>
      <c r="F340" s="562"/>
      <c r="G340" s="562"/>
      <c r="H340" s="562"/>
      <c r="I340" s="562"/>
      <c r="J340" s="604">
        <v>468.89</v>
      </c>
      <c r="K340" s="562" t="s">
        <v>434</v>
      </c>
      <c r="L340" s="604">
        <v>-8996.83</v>
      </c>
      <c r="M340" s="603"/>
      <c r="N340" s="602"/>
      <c r="V340" s="674"/>
      <c r="W340" s="675"/>
      <c r="X340" s="675"/>
      <c r="AA340" s="537" t="s">
        <v>344</v>
      </c>
      <c r="AD340" s="675"/>
      <c r="AE340" s="675"/>
      <c r="AG340" s="675"/>
      <c r="AH340" s="680"/>
    </row>
    <row r="341" spans="1:34" s="536" customFormat="1" ht="12" x14ac:dyDescent="0.2">
      <c r="A341" s="605"/>
      <c r="B341" s="552" t="s">
        <v>187</v>
      </c>
      <c r="C341" s="1822" t="s">
        <v>345</v>
      </c>
      <c r="D341" s="1822"/>
      <c r="E341" s="1822"/>
      <c r="F341" s="562"/>
      <c r="G341" s="562"/>
      <c r="H341" s="562"/>
      <c r="I341" s="562"/>
      <c r="J341" s="604">
        <v>27.84</v>
      </c>
      <c r="K341" s="562" t="s">
        <v>434</v>
      </c>
      <c r="L341" s="604">
        <v>-534.17999999999995</v>
      </c>
      <c r="M341" s="603"/>
      <c r="N341" s="602"/>
      <c r="V341" s="674"/>
      <c r="W341" s="675"/>
      <c r="X341" s="675"/>
      <c r="AA341" s="537" t="s">
        <v>345</v>
      </c>
      <c r="AD341" s="675"/>
      <c r="AE341" s="675"/>
      <c r="AG341" s="675"/>
      <c r="AH341" s="680"/>
    </row>
    <row r="342" spans="1:34" s="536" customFormat="1" ht="12" x14ac:dyDescent="0.2">
      <c r="A342" s="605"/>
      <c r="B342" s="552" t="s">
        <v>188</v>
      </c>
      <c r="C342" s="1822" t="s">
        <v>475</v>
      </c>
      <c r="D342" s="1822"/>
      <c r="E342" s="1822"/>
      <c r="F342" s="562"/>
      <c r="G342" s="562"/>
      <c r="H342" s="562"/>
      <c r="I342" s="562"/>
      <c r="J342" s="604">
        <v>1297.8</v>
      </c>
      <c r="K342" s="562" t="s">
        <v>189</v>
      </c>
      <c r="L342" s="604">
        <v>-19921.23</v>
      </c>
      <c r="M342" s="603"/>
      <c r="N342" s="602"/>
      <c r="V342" s="674"/>
      <c r="W342" s="675"/>
      <c r="X342" s="675"/>
      <c r="AA342" s="537" t="s">
        <v>475</v>
      </c>
      <c r="AD342" s="675"/>
      <c r="AE342" s="675"/>
      <c r="AG342" s="675"/>
      <c r="AH342" s="680"/>
    </row>
    <row r="343" spans="1:34" s="536" customFormat="1" ht="22.5" x14ac:dyDescent="0.2">
      <c r="A343" s="605"/>
      <c r="B343" s="552"/>
      <c r="C343" s="1822" t="s">
        <v>348</v>
      </c>
      <c r="D343" s="1822"/>
      <c r="E343" s="1822"/>
      <c r="F343" s="562" t="s">
        <v>315</v>
      </c>
      <c r="G343" s="562" t="s">
        <v>1052</v>
      </c>
      <c r="H343" s="562" t="s">
        <v>434</v>
      </c>
      <c r="I343" s="562" t="s">
        <v>1107</v>
      </c>
      <c r="J343" s="604"/>
      <c r="K343" s="562"/>
      <c r="L343" s="604"/>
      <c r="M343" s="603"/>
      <c r="N343" s="602"/>
      <c r="V343" s="674"/>
      <c r="W343" s="675"/>
      <c r="X343" s="675"/>
      <c r="AB343" s="537" t="s">
        <v>348</v>
      </c>
      <c r="AD343" s="675"/>
      <c r="AE343" s="675"/>
      <c r="AG343" s="675"/>
      <c r="AH343" s="680"/>
    </row>
    <row r="344" spans="1:34" s="536" customFormat="1" ht="12" x14ac:dyDescent="0.2">
      <c r="A344" s="605"/>
      <c r="B344" s="552"/>
      <c r="C344" s="1828" t="s">
        <v>318</v>
      </c>
      <c r="D344" s="1828"/>
      <c r="E344" s="1828"/>
      <c r="F344" s="608"/>
      <c r="G344" s="608"/>
      <c r="H344" s="608"/>
      <c r="I344" s="608"/>
      <c r="J344" s="607">
        <v>1766.69</v>
      </c>
      <c r="K344" s="608"/>
      <c r="L344" s="607">
        <v>-28918.06</v>
      </c>
      <c r="M344" s="601"/>
      <c r="N344" s="606"/>
      <c r="V344" s="674"/>
      <c r="W344" s="675"/>
      <c r="X344" s="675"/>
      <c r="AC344" s="537" t="s">
        <v>318</v>
      </c>
      <c r="AD344" s="675"/>
      <c r="AE344" s="675"/>
      <c r="AG344" s="675"/>
      <c r="AH344" s="680"/>
    </row>
    <row r="345" spans="1:34" s="536" customFormat="1" ht="12" x14ac:dyDescent="0.2">
      <c r="A345" s="605"/>
      <c r="B345" s="552"/>
      <c r="C345" s="1822" t="s">
        <v>319</v>
      </c>
      <c r="D345" s="1822"/>
      <c r="E345" s="1822"/>
      <c r="F345" s="562"/>
      <c r="G345" s="562"/>
      <c r="H345" s="562"/>
      <c r="I345" s="562"/>
      <c r="J345" s="604"/>
      <c r="K345" s="562"/>
      <c r="L345" s="604">
        <v>-534.17999999999995</v>
      </c>
      <c r="M345" s="603"/>
      <c r="N345" s="602"/>
      <c r="V345" s="674"/>
      <c r="W345" s="675"/>
      <c r="X345" s="675"/>
      <c r="AB345" s="537" t="s">
        <v>319</v>
      </c>
      <c r="AD345" s="675"/>
      <c r="AE345" s="675"/>
      <c r="AG345" s="675"/>
      <c r="AH345" s="680"/>
    </row>
    <row r="346" spans="1:34" s="536" customFormat="1" ht="33.75" x14ac:dyDescent="0.2">
      <c r="A346" s="605"/>
      <c r="B346" s="552" t="s">
        <v>554</v>
      </c>
      <c r="C346" s="1822" t="s">
        <v>555</v>
      </c>
      <c r="D346" s="1822"/>
      <c r="E346" s="1822"/>
      <c r="F346" s="562" t="s">
        <v>322</v>
      </c>
      <c r="G346" s="562" t="s">
        <v>556</v>
      </c>
      <c r="H346" s="562"/>
      <c r="I346" s="562" t="s">
        <v>556</v>
      </c>
      <c r="J346" s="604"/>
      <c r="K346" s="562"/>
      <c r="L346" s="604">
        <v>-673.07</v>
      </c>
      <c r="M346" s="603"/>
      <c r="N346" s="602"/>
      <c r="V346" s="674"/>
      <c r="W346" s="675"/>
      <c r="X346" s="675"/>
      <c r="AB346" s="537" t="s">
        <v>555</v>
      </c>
      <c r="AD346" s="675"/>
      <c r="AE346" s="675"/>
      <c r="AG346" s="675"/>
      <c r="AH346" s="680"/>
    </row>
    <row r="347" spans="1:34" s="536" customFormat="1" ht="33.75" x14ac:dyDescent="0.2">
      <c r="A347" s="605"/>
      <c r="B347" s="552" t="s">
        <v>557</v>
      </c>
      <c r="C347" s="1822" t="s">
        <v>558</v>
      </c>
      <c r="D347" s="1822"/>
      <c r="E347" s="1822"/>
      <c r="F347" s="562" t="s">
        <v>322</v>
      </c>
      <c r="G347" s="562" t="s">
        <v>559</v>
      </c>
      <c r="H347" s="562"/>
      <c r="I347" s="562" t="s">
        <v>559</v>
      </c>
      <c r="J347" s="604"/>
      <c r="K347" s="562"/>
      <c r="L347" s="604">
        <v>-507.47</v>
      </c>
      <c r="M347" s="603"/>
      <c r="N347" s="602"/>
      <c r="V347" s="674"/>
      <c r="W347" s="675"/>
      <c r="X347" s="675"/>
      <c r="AB347" s="537" t="s">
        <v>558</v>
      </c>
      <c r="AD347" s="675"/>
      <c r="AE347" s="675"/>
      <c r="AG347" s="675"/>
      <c r="AH347" s="680"/>
    </row>
    <row r="348" spans="1:34" s="536" customFormat="1" ht="12" x14ac:dyDescent="0.2">
      <c r="A348" s="569"/>
      <c r="B348" s="683"/>
      <c r="C348" s="1823" t="s">
        <v>327</v>
      </c>
      <c r="D348" s="1823"/>
      <c r="E348" s="1823"/>
      <c r="F348" s="573"/>
      <c r="G348" s="573"/>
      <c r="H348" s="573"/>
      <c r="I348" s="573"/>
      <c r="J348" s="572"/>
      <c r="K348" s="573"/>
      <c r="L348" s="572">
        <v>-30098.6</v>
      </c>
      <c r="M348" s="601"/>
      <c r="N348" s="570"/>
      <c r="V348" s="674"/>
      <c r="W348" s="675"/>
      <c r="X348" s="675"/>
      <c r="AD348" s="675" t="s">
        <v>327</v>
      </c>
      <c r="AE348" s="675"/>
      <c r="AG348" s="675"/>
      <c r="AH348" s="680"/>
    </row>
    <row r="349" spans="1:34" s="536" customFormat="1" ht="22.5" x14ac:dyDescent="0.2">
      <c r="A349" s="575" t="s">
        <v>922</v>
      </c>
      <c r="B349" s="684" t="s">
        <v>1108</v>
      </c>
      <c r="C349" s="1823" t="s">
        <v>1109</v>
      </c>
      <c r="D349" s="1823"/>
      <c r="E349" s="1823"/>
      <c r="F349" s="573" t="s">
        <v>1110</v>
      </c>
      <c r="G349" s="573"/>
      <c r="H349" s="573"/>
      <c r="I349" s="573" t="s">
        <v>1111</v>
      </c>
      <c r="J349" s="572"/>
      <c r="K349" s="573"/>
      <c r="L349" s="572"/>
      <c r="M349" s="571"/>
      <c r="N349" s="570"/>
      <c r="V349" s="674"/>
      <c r="W349" s="675"/>
      <c r="X349" s="675" t="s">
        <v>1109</v>
      </c>
      <c r="AD349" s="675"/>
      <c r="AE349" s="675"/>
      <c r="AG349" s="675"/>
      <c r="AH349" s="680"/>
    </row>
    <row r="350" spans="1:34" s="536" customFormat="1" ht="12" x14ac:dyDescent="0.2">
      <c r="A350" s="676"/>
      <c r="B350" s="682"/>
      <c r="C350" s="1822" t="s">
        <v>1112</v>
      </c>
      <c r="D350" s="1822"/>
      <c r="E350" s="1822"/>
      <c r="F350" s="1822"/>
      <c r="G350" s="1822"/>
      <c r="H350" s="1822"/>
      <c r="I350" s="1822"/>
      <c r="J350" s="1822"/>
      <c r="K350" s="1822"/>
      <c r="L350" s="1822"/>
      <c r="M350" s="1822"/>
      <c r="N350" s="1827"/>
      <c r="V350" s="674"/>
      <c r="W350" s="675"/>
      <c r="X350" s="675"/>
      <c r="Y350" s="537" t="s">
        <v>1112</v>
      </c>
      <c r="AD350" s="675"/>
      <c r="AE350" s="675"/>
      <c r="AG350" s="675"/>
      <c r="AH350" s="680"/>
    </row>
    <row r="351" spans="1:34" s="536" customFormat="1" ht="33.75" x14ac:dyDescent="0.2">
      <c r="A351" s="609"/>
      <c r="B351" s="552" t="s">
        <v>310</v>
      </c>
      <c r="C351" s="1822" t="s">
        <v>311</v>
      </c>
      <c r="D351" s="1822"/>
      <c r="E351" s="1822"/>
      <c r="F351" s="1822"/>
      <c r="G351" s="1822"/>
      <c r="H351" s="1822"/>
      <c r="I351" s="1822"/>
      <c r="J351" s="1822"/>
      <c r="K351" s="1822"/>
      <c r="L351" s="1822"/>
      <c r="M351" s="1822"/>
      <c r="N351" s="1827"/>
      <c r="V351" s="674"/>
      <c r="W351" s="675"/>
      <c r="X351" s="675"/>
      <c r="Z351" s="537" t="s">
        <v>311</v>
      </c>
      <c r="AD351" s="675"/>
      <c r="AE351" s="675"/>
      <c r="AG351" s="675"/>
      <c r="AH351" s="680"/>
    </row>
    <row r="352" spans="1:34" s="536" customFormat="1" ht="12" x14ac:dyDescent="0.2">
      <c r="A352" s="605"/>
      <c r="B352" s="552" t="s">
        <v>185</v>
      </c>
      <c r="C352" s="1822" t="s">
        <v>312</v>
      </c>
      <c r="D352" s="1822"/>
      <c r="E352" s="1822"/>
      <c r="F352" s="562"/>
      <c r="G352" s="562"/>
      <c r="H352" s="562"/>
      <c r="I352" s="562"/>
      <c r="J352" s="604">
        <v>590.51</v>
      </c>
      <c r="K352" s="562" t="s">
        <v>313</v>
      </c>
      <c r="L352" s="604">
        <v>15788.76</v>
      </c>
      <c r="M352" s="603"/>
      <c r="N352" s="602"/>
      <c r="V352" s="674"/>
      <c r="W352" s="675"/>
      <c r="X352" s="675"/>
      <c r="AA352" s="537" t="s">
        <v>312</v>
      </c>
      <c r="AD352" s="675"/>
      <c r="AE352" s="675"/>
      <c r="AG352" s="675"/>
      <c r="AH352" s="680"/>
    </row>
    <row r="353" spans="1:34" s="536" customFormat="1" ht="12" x14ac:dyDescent="0.2">
      <c r="A353" s="605"/>
      <c r="B353" s="552" t="s">
        <v>186</v>
      </c>
      <c r="C353" s="1822" t="s">
        <v>344</v>
      </c>
      <c r="D353" s="1822"/>
      <c r="E353" s="1822"/>
      <c r="F353" s="562"/>
      <c r="G353" s="562"/>
      <c r="H353" s="562"/>
      <c r="I353" s="562"/>
      <c r="J353" s="604">
        <v>73.02</v>
      </c>
      <c r="K353" s="562" t="s">
        <v>313</v>
      </c>
      <c r="L353" s="604">
        <v>1952.37</v>
      </c>
      <c r="M353" s="603"/>
      <c r="N353" s="602"/>
      <c r="V353" s="674"/>
      <c r="W353" s="675"/>
      <c r="X353" s="675"/>
      <c r="AA353" s="537" t="s">
        <v>344</v>
      </c>
      <c r="AD353" s="675"/>
      <c r="AE353" s="675"/>
      <c r="AG353" s="675"/>
      <c r="AH353" s="680"/>
    </row>
    <row r="354" spans="1:34" s="536" customFormat="1" ht="12" x14ac:dyDescent="0.2">
      <c r="A354" s="605"/>
      <c r="B354" s="552" t="s">
        <v>187</v>
      </c>
      <c r="C354" s="1822" t="s">
        <v>345</v>
      </c>
      <c r="D354" s="1822"/>
      <c r="E354" s="1822"/>
      <c r="F354" s="562"/>
      <c r="G354" s="562"/>
      <c r="H354" s="562"/>
      <c r="I354" s="562"/>
      <c r="J354" s="604">
        <v>8.6999999999999993</v>
      </c>
      <c r="K354" s="562" t="s">
        <v>313</v>
      </c>
      <c r="L354" s="604">
        <v>232.62</v>
      </c>
      <c r="M354" s="603"/>
      <c r="N354" s="602"/>
      <c r="V354" s="674"/>
      <c r="W354" s="675"/>
      <c r="X354" s="675"/>
      <c r="AA354" s="537" t="s">
        <v>345</v>
      </c>
      <c r="AD354" s="675"/>
      <c r="AE354" s="675"/>
      <c r="AG354" s="675"/>
      <c r="AH354" s="680"/>
    </row>
    <row r="355" spans="1:34" s="536" customFormat="1" ht="12" x14ac:dyDescent="0.2">
      <c r="A355" s="605"/>
      <c r="B355" s="552" t="s">
        <v>188</v>
      </c>
      <c r="C355" s="1822" t="s">
        <v>475</v>
      </c>
      <c r="D355" s="1822"/>
      <c r="E355" s="1822"/>
      <c r="F355" s="562"/>
      <c r="G355" s="562"/>
      <c r="H355" s="562"/>
      <c r="I355" s="562"/>
      <c r="J355" s="604">
        <v>3690.05</v>
      </c>
      <c r="K355" s="562"/>
      <c r="L355" s="604">
        <v>78930.17</v>
      </c>
      <c r="M355" s="603"/>
      <c r="N355" s="602"/>
      <c r="V355" s="674"/>
      <c r="W355" s="675"/>
      <c r="X355" s="675"/>
      <c r="AA355" s="537" t="s">
        <v>475</v>
      </c>
      <c r="AD355" s="675"/>
      <c r="AE355" s="675"/>
      <c r="AG355" s="675"/>
      <c r="AH355" s="680"/>
    </row>
    <row r="356" spans="1:34" s="536" customFormat="1" ht="12" x14ac:dyDescent="0.2">
      <c r="A356" s="676"/>
      <c r="B356" s="677" t="s">
        <v>1113</v>
      </c>
      <c r="C356" s="1829" t="s">
        <v>1114</v>
      </c>
      <c r="D356" s="1829"/>
      <c r="E356" s="1829"/>
      <c r="F356" s="678" t="s">
        <v>483</v>
      </c>
      <c r="G356" s="678" t="s">
        <v>844</v>
      </c>
      <c r="H356" s="678"/>
      <c r="I356" s="678" t="s">
        <v>1115</v>
      </c>
      <c r="J356" s="552"/>
      <c r="K356" s="562"/>
      <c r="L356" s="604"/>
      <c r="M356" s="562"/>
      <c r="N356" s="679"/>
      <c r="V356" s="674"/>
      <c r="W356" s="675"/>
      <c r="X356" s="675"/>
      <c r="AD356" s="675"/>
      <c r="AE356" s="675"/>
      <c r="AG356" s="675"/>
      <c r="AH356" s="680" t="s">
        <v>1114</v>
      </c>
    </row>
    <row r="357" spans="1:34" s="536" customFormat="1" ht="12" x14ac:dyDescent="0.2">
      <c r="A357" s="605"/>
      <c r="B357" s="552"/>
      <c r="C357" s="1822" t="s">
        <v>314</v>
      </c>
      <c r="D357" s="1822"/>
      <c r="E357" s="1822"/>
      <c r="F357" s="562" t="s">
        <v>315</v>
      </c>
      <c r="G357" s="562" t="s">
        <v>1116</v>
      </c>
      <c r="H357" s="562" t="s">
        <v>313</v>
      </c>
      <c r="I357" s="562" t="s">
        <v>1117</v>
      </c>
      <c r="J357" s="604"/>
      <c r="K357" s="562"/>
      <c r="L357" s="604"/>
      <c r="M357" s="603"/>
      <c r="N357" s="602"/>
      <c r="V357" s="674"/>
      <c r="W357" s="675"/>
      <c r="X357" s="675"/>
      <c r="AB357" s="537" t="s">
        <v>314</v>
      </c>
      <c r="AD357" s="675"/>
      <c r="AE357" s="675"/>
      <c r="AG357" s="675"/>
      <c r="AH357" s="680"/>
    </row>
    <row r="358" spans="1:34" s="536" customFormat="1" ht="12" x14ac:dyDescent="0.2">
      <c r="A358" s="605"/>
      <c r="B358" s="552"/>
      <c r="C358" s="1822" t="s">
        <v>348</v>
      </c>
      <c r="D358" s="1822"/>
      <c r="E358" s="1822"/>
      <c r="F358" s="562" t="s">
        <v>315</v>
      </c>
      <c r="G358" s="562" t="s">
        <v>1118</v>
      </c>
      <c r="H358" s="562" t="s">
        <v>313</v>
      </c>
      <c r="I358" s="562" t="s">
        <v>1119</v>
      </c>
      <c r="J358" s="604"/>
      <c r="K358" s="562"/>
      <c r="L358" s="604"/>
      <c r="M358" s="603"/>
      <c r="N358" s="602"/>
      <c r="V358" s="674"/>
      <c r="W358" s="675"/>
      <c r="X358" s="675"/>
      <c r="AB358" s="537" t="s">
        <v>348</v>
      </c>
      <c r="AD358" s="675"/>
      <c r="AE358" s="675"/>
      <c r="AG358" s="675"/>
      <c r="AH358" s="680"/>
    </row>
    <row r="359" spans="1:34" s="536" customFormat="1" ht="12" x14ac:dyDescent="0.2">
      <c r="A359" s="605"/>
      <c r="B359" s="552"/>
      <c r="C359" s="1828" t="s">
        <v>318</v>
      </c>
      <c r="D359" s="1828"/>
      <c r="E359" s="1828"/>
      <c r="F359" s="608"/>
      <c r="G359" s="608"/>
      <c r="H359" s="608"/>
      <c r="I359" s="608"/>
      <c r="J359" s="607">
        <v>4353.58</v>
      </c>
      <c r="K359" s="608"/>
      <c r="L359" s="607">
        <v>96671.3</v>
      </c>
      <c r="M359" s="601"/>
      <c r="N359" s="606"/>
      <c r="V359" s="674"/>
      <c r="W359" s="675"/>
      <c r="X359" s="675"/>
      <c r="AC359" s="537" t="s">
        <v>318</v>
      </c>
      <c r="AD359" s="675"/>
      <c r="AE359" s="675"/>
      <c r="AG359" s="675"/>
      <c r="AH359" s="680"/>
    </row>
    <row r="360" spans="1:34" s="536" customFormat="1" ht="12" x14ac:dyDescent="0.2">
      <c r="A360" s="605"/>
      <c r="B360" s="552"/>
      <c r="C360" s="1822" t="s">
        <v>319</v>
      </c>
      <c r="D360" s="1822"/>
      <c r="E360" s="1822"/>
      <c r="F360" s="562"/>
      <c r="G360" s="562"/>
      <c r="H360" s="562"/>
      <c r="I360" s="562"/>
      <c r="J360" s="604"/>
      <c r="K360" s="562"/>
      <c r="L360" s="604">
        <v>16021.38</v>
      </c>
      <c r="M360" s="603"/>
      <c r="N360" s="602"/>
      <c r="V360" s="674"/>
      <c r="W360" s="675"/>
      <c r="X360" s="675"/>
      <c r="AB360" s="537" t="s">
        <v>319</v>
      </c>
      <c r="AD360" s="675"/>
      <c r="AE360" s="675"/>
      <c r="AG360" s="675"/>
      <c r="AH360" s="680"/>
    </row>
    <row r="361" spans="1:34" s="536" customFormat="1" ht="33.75" x14ac:dyDescent="0.2">
      <c r="A361" s="605"/>
      <c r="B361" s="552" t="s">
        <v>554</v>
      </c>
      <c r="C361" s="1822" t="s">
        <v>555</v>
      </c>
      <c r="D361" s="1822"/>
      <c r="E361" s="1822"/>
      <c r="F361" s="562" t="s">
        <v>322</v>
      </c>
      <c r="G361" s="562" t="s">
        <v>556</v>
      </c>
      <c r="H361" s="562"/>
      <c r="I361" s="562" t="s">
        <v>556</v>
      </c>
      <c r="J361" s="604"/>
      <c r="K361" s="562"/>
      <c r="L361" s="604">
        <v>20186.939999999999</v>
      </c>
      <c r="M361" s="603"/>
      <c r="N361" s="602"/>
      <c r="V361" s="674"/>
      <c r="W361" s="675"/>
      <c r="X361" s="675"/>
      <c r="AB361" s="537" t="s">
        <v>555</v>
      </c>
      <c r="AD361" s="675"/>
      <c r="AE361" s="675"/>
      <c r="AG361" s="675"/>
      <c r="AH361" s="680"/>
    </row>
    <row r="362" spans="1:34" s="536" customFormat="1" ht="33.75" x14ac:dyDescent="0.2">
      <c r="A362" s="605"/>
      <c r="B362" s="552" t="s">
        <v>557</v>
      </c>
      <c r="C362" s="1822" t="s">
        <v>558</v>
      </c>
      <c r="D362" s="1822"/>
      <c r="E362" s="1822"/>
      <c r="F362" s="562" t="s">
        <v>322</v>
      </c>
      <c r="G362" s="562" t="s">
        <v>559</v>
      </c>
      <c r="H362" s="562"/>
      <c r="I362" s="562" t="s">
        <v>559</v>
      </c>
      <c r="J362" s="604"/>
      <c r="K362" s="562"/>
      <c r="L362" s="604">
        <v>15220.31</v>
      </c>
      <c r="M362" s="603"/>
      <c r="N362" s="602"/>
      <c r="V362" s="674"/>
      <c r="W362" s="675"/>
      <c r="X362" s="675"/>
      <c r="AB362" s="537" t="s">
        <v>558</v>
      </c>
      <c r="AD362" s="675"/>
      <c r="AE362" s="675"/>
      <c r="AG362" s="675"/>
      <c r="AH362" s="680"/>
    </row>
    <row r="363" spans="1:34" s="536" customFormat="1" ht="12" x14ac:dyDescent="0.2">
      <c r="A363" s="569"/>
      <c r="B363" s="683"/>
      <c r="C363" s="1823" t="s">
        <v>327</v>
      </c>
      <c r="D363" s="1823"/>
      <c r="E363" s="1823"/>
      <c r="F363" s="573"/>
      <c r="G363" s="573"/>
      <c r="H363" s="573"/>
      <c r="I363" s="573"/>
      <c r="J363" s="572"/>
      <c r="K363" s="573"/>
      <c r="L363" s="572">
        <v>132078.54999999999</v>
      </c>
      <c r="M363" s="601"/>
      <c r="N363" s="570"/>
      <c r="V363" s="674"/>
      <c r="W363" s="675"/>
      <c r="X363" s="675"/>
      <c r="AD363" s="675" t="s">
        <v>327</v>
      </c>
      <c r="AE363" s="675"/>
      <c r="AG363" s="675"/>
      <c r="AH363" s="680"/>
    </row>
    <row r="364" spans="1:34" s="536" customFormat="1" ht="22.5" x14ac:dyDescent="0.2">
      <c r="A364" s="575" t="s">
        <v>765</v>
      </c>
      <c r="B364" s="684" t="s">
        <v>1120</v>
      </c>
      <c r="C364" s="1823" t="s">
        <v>1121</v>
      </c>
      <c r="D364" s="1823"/>
      <c r="E364" s="1823"/>
      <c r="F364" s="573" t="s">
        <v>617</v>
      </c>
      <c r="G364" s="573"/>
      <c r="H364" s="573"/>
      <c r="I364" s="573" t="s">
        <v>1115</v>
      </c>
      <c r="J364" s="572">
        <v>63.12</v>
      </c>
      <c r="K364" s="573"/>
      <c r="L364" s="572">
        <v>135013.68</v>
      </c>
      <c r="M364" s="571"/>
      <c r="N364" s="570"/>
      <c r="V364" s="674"/>
      <c r="W364" s="675"/>
      <c r="X364" s="675" t="s">
        <v>1121</v>
      </c>
      <c r="AD364" s="675"/>
      <c r="AE364" s="675"/>
      <c r="AG364" s="675"/>
      <c r="AH364" s="680"/>
    </row>
    <row r="365" spans="1:34" s="536" customFormat="1" ht="12" x14ac:dyDescent="0.2">
      <c r="A365" s="569"/>
      <c r="B365" s="683"/>
      <c r="C365" s="689" t="s">
        <v>717</v>
      </c>
      <c r="D365" s="690"/>
      <c r="E365" s="690"/>
      <c r="F365" s="563"/>
      <c r="G365" s="563"/>
      <c r="H365" s="563"/>
      <c r="I365" s="563"/>
      <c r="J365" s="566"/>
      <c r="K365" s="563"/>
      <c r="L365" s="566"/>
      <c r="M365" s="565"/>
      <c r="N365" s="564"/>
      <c r="V365" s="674"/>
      <c r="W365" s="675"/>
      <c r="X365" s="675"/>
      <c r="AD365" s="675"/>
      <c r="AE365" s="675"/>
      <c r="AG365" s="675"/>
      <c r="AH365" s="680"/>
    </row>
    <row r="366" spans="1:34" s="536" customFormat="1" ht="1.5" customHeight="1" x14ac:dyDescent="0.2">
      <c r="A366" s="563"/>
      <c r="B366" s="683"/>
      <c r="C366" s="683"/>
      <c r="D366" s="683"/>
      <c r="E366" s="683"/>
      <c r="F366" s="563"/>
      <c r="G366" s="563"/>
      <c r="H366" s="563"/>
      <c r="I366" s="563"/>
      <c r="J366" s="546"/>
      <c r="K366" s="563"/>
      <c r="L366" s="546"/>
      <c r="M366" s="562"/>
      <c r="N366" s="546"/>
      <c r="V366" s="674"/>
      <c r="W366" s="675"/>
      <c r="X366" s="675"/>
      <c r="AD366" s="675"/>
      <c r="AE366" s="675"/>
      <c r="AG366" s="675"/>
      <c r="AH366" s="680"/>
    </row>
    <row r="367" spans="1:34" s="536" customFormat="1" ht="12" x14ac:dyDescent="0.2">
      <c r="A367" s="557"/>
      <c r="B367" s="556"/>
      <c r="C367" s="1823" t="s">
        <v>1122</v>
      </c>
      <c r="D367" s="1823"/>
      <c r="E367" s="1823"/>
      <c r="F367" s="1823"/>
      <c r="G367" s="1823"/>
      <c r="H367" s="1823"/>
      <c r="I367" s="1823"/>
      <c r="J367" s="1823"/>
      <c r="K367" s="1823"/>
      <c r="L367" s="555"/>
      <c r="M367" s="554"/>
      <c r="N367" s="553"/>
      <c r="V367" s="674"/>
      <c r="W367" s="675"/>
      <c r="X367" s="675"/>
      <c r="AD367" s="675"/>
      <c r="AE367" s="675" t="s">
        <v>1122</v>
      </c>
      <c r="AG367" s="675"/>
      <c r="AH367" s="680"/>
    </row>
    <row r="368" spans="1:34" s="536" customFormat="1" ht="12" x14ac:dyDescent="0.2">
      <c r="A368" s="548"/>
      <c r="B368" s="552"/>
      <c r="C368" s="1822" t="s">
        <v>403</v>
      </c>
      <c r="D368" s="1822"/>
      <c r="E368" s="1822"/>
      <c r="F368" s="1822"/>
      <c r="G368" s="1822"/>
      <c r="H368" s="1822"/>
      <c r="I368" s="1822"/>
      <c r="J368" s="1822"/>
      <c r="K368" s="1822"/>
      <c r="L368" s="551">
        <v>7206178.8899999997</v>
      </c>
      <c r="M368" s="550"/>
      <c r="N368" s="549"/>
      <c r="V368" s="674"/>
      <c r="W368" s="675"/>
      <c r="X368" s="675"/>
      <c r="AD368" s="675"/>
      <c r="AE368" s="675"/>
      <c r="AF368" s="537" t="s">
        <v>403</v>
      </c>
      <c r="AG368" s="675"/>
      <c r="AH368" s="680"/>
    </row>
    <row r="369" spans="1:34" s="536" customFormat="1" ht="12" x14ac:dyDescent="0.2">
      <c r="A369" s="548"/>
      <c r="B369" s="552"/>
      <c r="C369" s="1822" t="s">
        <v>204</v>
      </c>
      <c r="D369" s="1822"/>
      <c r="E369" s="1822"/>
      <c r="F369" s="1822"/>
      <c r="G369" s="1822"/>
      <c r="H369" s="1822"/>
      <c r="I369" s="1822"/>
      <c r="J369" s="1822"/>
      <c r="K369" s="1822"/>
      <c r="L369" s="551"/>
      <c r="M369" s="550"/>
      <c r="N369" s="549"/>
      <c r="V369" s="674"/>
      <c r="W369" s="675"/>
      <c r="X369" s="675"/>
      <c r="AD369" s="675"/>
      <c r="AE369" s="675"/>
      <c r="AF369" s="537" t="s">
        <v>204</v>
      </c>
      <c r="AG369" s="675"/>
      <c r="AH369" s="680"/>
    </row>
    <row r="370" spans="1:34" s="536" customFormat="1" ht="12" x14ac:dyDescent="0.2">
      <c r="A370" s="548"/>
      <c r="B370" s="552"/>
      <c r="C370" s="1822" t="s">
        <v>404</v>
      </c>
      <c r="D370" s="1822"/>
      <c r="E370" s="1822"/>
      <c r="F370" s="1822"/>
      <c r="G370" s="1822"/>
      <c r="H370" s="1822"/>
      <c r="I370" s="1822"/>
      <c r="J370" s="1822"/>
      <c r="K370" s="1822"/>
      <c r="L370" s="551">
        <v>50593.7</v>
      </c>
      <c r="M370" s="550"/>
      <c r="N370" s="549"/>
      <c r="V370" s="674"/>
      <c r="W370" s="675"/>
      <c r="X370" s="675"/>
      <c r="AD370" s="675"/>
      <c r="AE370" s="675"/>
      <c r="AF370" s="537" t="s">
        <v>404</v>
      </c>
      <c r="AG370" s="675"/>
      <c r="AH370" s="680"/>
    </row>
    <row r="371" spans="1:34" s="536" customFormat="1" ht="12" x14ac:dyDescent="0.2">
      <c r="A371" s="548"/>
      <c r="B371" s="552"/>
      <c r="C371" s="1822" t="s">
        <v>405</v>
      </c>
      <c r="D371" s="1822"/>
      <c r="E371" s="1822"/>
      <c r="F371" s="1822"/>
      <c r="G371" s="1822"/>
      <c r="H371" s="1822"/>
      <c r="I371" s="1822"/>
      <c r="J371" s="1822"/>
      <c r="K371" s="1822"/>
      <c r="L371" s="551">
        <v>1190319.31</v>
      </c>
      <c r="M371" s="550"/>
      <c r="N371" s="549"/>
      <c r="V371" s="674"/>
      <c r="W371" s="675"/>
      <c r="X371" s="675"/>
      <c r="AD371" s="675"/>
      <c r="AE371" s="675"/>
      <c r="AF371" s="537" t="s">
        <v>405</v>
      </c>
      <c r="AG371" s="675"/>
      <c r="AH371" s="680"/>
    </row>
    <row r="372" spans="1:34" s="536" customFormat="1" ht="12" x14ac:dyDescent="0.2">
      <c r="A372" s="548"/>
      <c r="B372" s="552"/>
      <c r="C372" s="1822" t="s">
        <v>406</v>
      </c>
      <c r="D372" s="1822"/>
      <c r="E372" s="1822"/>
      <c r="F372" s="1822"/>
      <c r="G372" s="1822"/>
      <c r="H372" s="1822"/>
      <c r="I372" s="1822"/>
      <c r="J372" s="1822"/>
      <c r="K372" s="1822"/>
      <c r="L372" s="551">
        <v>52899.45</v>
      </c>
      <c r="M372" s="550"/>
      <c r="N372" s="549"/>
      <c r="V372" s="674"/>
      <c r="W372" s="675"/>
      <c r="X372" s="675"/>
      <c r="AD372" s="675"/>
      <c r="AE372" s="675"/>
      <c r="AF372" s="537" t="s">
        <v>406</v>
      </c>
      <c r="AG372" s="675"/>
      <c r="AH372" s="680"/>
    </row>
    <row r="373" spans="1:34" s="536" customFormat="1" ht="12" x14ac:dyDescent="0.2">
      <c r="A373" s="548"/>
      <c r="B373" s="552"/>
      <c r="C373" s="1822" t="s">
        <v>480</v>
      </c>
      <c r="D373" s="1822"/>
      <c r="E373" s="1822"/>
      <c r="F373" s="1822"/>
      <c r="G373" s="1822"/>
      <c r="H373" s="1822"/>
      <c r="I373" s="1822"/>
      <c r="J373" s="1822"/>
      <c r="K373" s="1822"/>
      <c r="L373" s="551">
        <v>5965265.8799999999</v>
      </c>
      <c r="M373" s="550"/>
      <c r="N373" s="549"/>
      <c r="V373" s="674"/>
      <c r="W373" s="675"/>
      <c r="X373" s="675"/>
      <c r="AD373" s="675"/>
      <c r="AE373" s="675"/>
      <c r="AF373" s="537" t="s">
        <v>480</v>
      </c>
      <c r="AG373" s="675"/>
      <c r="AH373" s="680"/>
    </row>
    <row r="374" spans="1:34" s="536" customFormat="1" ht="12" x14ac:dyDescent="0.2">
      <c r="A374" s="548"/>
      <c r="B374" s="552"/>
      <c r="C374" s="1822" t="s">
        <v>407</v>
      </c>
      <c r="D374" s="1822"/>
      <c r="E374" s="1822"/>
      <c r="F374" s="1822"/>
      <c r="G374" s="1822"/>
      <c r="H374" s="1822"/>
      <c r="I374" s="1822"/>
      <c r="J374" s="1822"/>
      <c r="K374" s="1822"/>
      <c r="L374" s="551">
        <v>7434898.7599999998</v>
      </c>
      <c r="M374" s="550"/>
      <c r="N374" s="549"/>
      <c r="V374" s="674"/>
      <c r="W374" s="675"/>
      <c r="X374" s="675"/>
      <c r="AD374" s="675"/>
      <c r="AE374" s="675"/>
      <c r="AF374" s="537" t="s">
        <v>407</v>
      </c>
      <c r="AG374" s="675"/>
      <c r="AH374" s="680"/>
    </row>
    <row r="375" spans="1:34" s="536" customFormat="1" ht="12" x14ac:dyDescent="0.2">
      <c r="A375" s="548"/>
      <c r="B375" s="552"/>
      <c r="C375" s="1822" t="s">
        <v>204</v>
      </c>
      <c r="D375" s="1822"/>
      <c r="E375" s="1822"/>
      <c r="F375" s="1822"/>
      <c r="G375" s="1822"/>
      <c r="H375" s="1822"/>
      <c r="I375" s="1822"/>
      <c r="J375" s="1822"/>
      <c r="K375" s="1822"/>
      <c r="L375" s="551"/>
      <c r="M375" s="550"/>
      <c r="N375" s="549"/>
      <c r="V375" s="674"/>
      <c r="W375" s="675"/>
      <c r="X375" s="675"/>
      <c r="AD375" s="675"/>
      <c r="AE375" s="675"/>
      <c r="AF375" s="537" t="s">
        <v>204</v>
      </c>
      <c r="AG375" s="675"/>
      <c r="AH375" s="680"/>
    </row>
    <row r="376" spans="1:34" s="536" customFormat="1" ht="12" x14ac:dyDescent="0.2">
      <c r="A376" s="548"/>
      <c r="B376" s="552"/>
      <c r="C376" s="1822" t="s">
        <v>546</v>
      </c>
      <c r="D376" s="1822"/>
      <c r="E376" s="1822"/>
      <c r="F376" s="1822"/>
      <c r="G376" s="1822"/>
      <c r="H376" s="1822"/>
      <c r="I376" s="1822"/>
      <c r="J376" s="1822"/>
      <c r="K376" s="1822"/>
      <c r="L376" s="551">
        <v>50593.7</v>
      </c>
      <c r="M376" s="550"/>
      <c r="N376" s="549"/>
      <c r="V376" s="674"/>
      <c r="W376" s="675"/>
      <c r="X376" s="675"/>
      <c r="AD376" s="675"/>
      <c r="AE376" s="675"/>
      <c r="AF376" s="537" t="s">
        <v>546</v>
      </c>
      <c r="AG376" s="675"/>
      <c r="AH376" s="680"/>
    </row>
    <row r="377" spans="1:34" s="536" customFormat="1" ht="12" x14ac:dyDescent="0.2">
      <c r="A377" s="548"/>
      <c r="B377" s="552"/>
      <c r="C377" s="1822" t="s">
        <v>442</v>
      </c>
      <c r="D377" s="1822"/>
      <c r="E377" s="1822"/>
      <c r="F377" s="1822"/>
      <c r="G377" s="1822"/>
      <c r="H377" s="1822"/>
      <c r="I377" s="1822"/>
      <c r="J377" s="1822"/>
      <c r="K377" s="1822"/>
      <c r="L377" s="551">
        <v>1190319.31</v>
      </c>
      <c r="M377" s="550"/>
      <c r="N377" s="549"/>
      <c r="V377" s="674"/>
      <c r="W377" s="675"/>
      <c r="X377" s="675"/>
      <c r="AD377" s="675"/>
      <c r="AE377" s="675"/>
      <c r="AF377" s="537" t="s">
        <v>442</v>
      </c>
      <c r="AG377" s="675"/>
      <c r="AH377" s="680"/>
    </row>
    <row r="378" spans="1:34" s="536" customFormat="1" ht="12" x14ac:dyDescent="0.2">
      <c r="A378" s="548"/>
      <c r="B378" s="552"/>
      <c r="C378" s="1822" t="s">
        <v>547</v>
      </c>
      <c r="D378" s="1822"/>
      <c r="E378" s="1822"/>
      <c r="F378" s="1822"/>
      <c r="G378" s="1822"/>
      <c r="H378" s="1822"/>
      <c r="I378" s="1822"/>
      <c r="J378" s="1822"/>
      <c r="K378" s="1822"/>
      <c r="L378" s="551">
        <v>5965265.8799999999</v>
      </c>
      <c r="M378" s="550"/>
      <c r="N378" s="549"/>
      <c r="V378" s="674"/>
      <c r="W378" s="675"/>
      <c r="X378" s="675"/>
      <c r="AD378" s="675"/>
      <c r="AE378" s="675"/>
      <c r="AF378" s="537" t="s">
        <v>547</v>
      </c>
      <c r="AG378" s="675"/>
      <c r="AH378" s="680"/>
    </row>
    <row r="379" spans="1:34" s="536" customFormat="1" ht="12" x14ac:dyDescent="0.2">
      <c r="A379" s="548"/>
      <c r="B379" s="552"/>
      <c r="C379" s="1822" t="s">
        <v>443</v>
      </c>
      <c r="D379" s="1822"/>
      <c r="E379" s="1822"/>
      <c r="F379" s="1822"/>
      <c r="G379" s="1822"/>
      <c r="H379" s="1822"/>
      <c r="I379" s="1822"/>
      <c r="J379" s="1822"/>
      <c r="K379" s="1822"/>
      <c r="L379" s="551">
        <v>130401.35</v>
      </c>
      <c r="M379" s="550"/>
      <c r="N379" s="549"/>
      <c r="V379" s="674"/>
      <c r="W379" s="675"/>
      <c r="X379" s="675"/>
      <c r="AD379" s="675"/>
      <c r="AE379" s="675"/>
      <c r="AF379" s="537" t="s">
        <v>443</v>
      </c>
      <c r="AG379" s="675"/>
      <c r="AH379" s="680"/>
    </row>
    <row r="380" spans="1:34" s="536" customFormat="1" ht="12" x14ac:dyDescent="0.2">
      <c r="A380" s="548"/>
      <c r="B380" s="552"/>
      <c r="C380" s="1822" t="s">
        <v>444</v>
      </c>
      <c r="D380" s="1822"/>
      <c r="E380" s="1822"/>
      <c r="F380" s="1822"/>
      <c r="G380" s="1822"/>
      <c r="H380" s="1822"/>
      <c r="I380" s="1822"/>
      <c r="J380" s="1822"/>
      <c r="K380" s="1822"/>
      <c r="L380" s="551">
        <v>98318.52</v>
      </c>
      <c r="M380" s="550"/>
      <c r="N380" s="549"/>
      <c r="V380" s="674"/>
      <c r="W380" s="675"/>
      <c r="X380" s="675"/>
      <c r="AD380" s="675"/>
      <c r="AE380" s="675"/>
      <c r="AF380" s="537" t="s">
        <v>444</v>
      </c>
      <c r="AG380" s="675"/>
      <c r="AH380" s="680"/>
    </row>
    <row r="381" spans="1:34" s="536" customFormat="1" ht="12" x14ac:dyDescent="0.2">
      <c r="A381" s="548"/>
      <c r="B381" s="552"/>
      <c r="C381" s="1822" t="s">
        <v>415</v>
      </c>
      <c r="D381" s="1822"/>
      <c r="E381" s="1822"/>
      <c r="F381" s="1822"/>
      <c r="G381" s="1822"/>
      <c r="H381" s="1822"/>
      <c r="I381" s="1822"/>
      <c r="J381" s="1822"/>
      <c r="K381" s="1822"/>
      <c r="L381" s="551">
        <v>103493.15</v>
      </c>
      <c r="M381" s="550"/>
      <c r="N381" s="549"/>
      <c r="V381" s="674"/>
      <c r="W381" s="675"/>
      <c r="X381" s="675"/>
      <c r="AD381" s="675"/>
      <c r="AE381" s="675"/>
      <c r="AF381" s="537" t="s">
        <v>415</v>
      </c>
      <c r="AG381" s="675"/>
      <c r="AH381" s="680"/>
    </row>
    <row r="382" spans="1:34" s="536" customFormat="1" ht="12" x14ac:dyDescent="0.2">
      <c r="A382" s="548"/>
      <c r="B382" s="552"/>
      <c r="C382" s="1822" t="s">
        <v>416</v>
      </c>
      <c r="D382" s="1822"/>
      <c r="E382" s="1822"/>
      <c r="F382" s="1822"/>
      <c r="G382" s="1822"/>
      <c r="H382" s="1822"/>
      <c r="I382" s="1822"/>
      <c r="J382" s="1822"/>
      <c r="K382" s="1822"/>
      <c r="L382" s="551">
        <v>130401.35</v>
      </c>
      <c r="M382" s="550"/>
      <c r="N382" s="549"/>
      <c r="V382" s="674"/>
      <c r="W382" s="675"/>
      <c r="X382" s="675"/>
      <c r="AD382" s="675"/>
      <c r="AE382" s="675"/>
      <c r="AF382" s="537" t="s">
        <v>416</v>
      </c>
      <c r="AG382" s="675"/>
      <c r="AH382" s="680"/>
    </row>
    <row r="383" spans="1:34" s="536" customFormat="1" ht="12" x14ac:dyDescent="0.2">
      <c r="A383" s="548"/>
      <c r="B383" s="552"/>
      <c r="C383" s="1822" t="s">
        <v>417</v>
      </c>
      <c r="D383" s="1822"/>
      <c r="E383" s="1822"/>
      <c r="F383" s="1822"/>
      <c r="G383" s="1822"/>
      <c r="H383" s="1822"/>
      <c r="I383" s="1822"/>
      <c r="J383" s="1822"/>
      <c r="K383" s="1822"/>
      <c r="L383" s="551">
        <v>98318.52</v>
      </c>
      <c r="M383" s="550"/>
      <c r="N383" s="549"/>
      <c r="V383" s="674"/>
      <c r="W383" s="675"/>
      <c r="X383" s="675"/>
      <c r="AD383" s="675"/>
      <c r="AE383" s="675"/>
      <c r="AF383" s="537" t="s">
        <v>417</v>
      </c>
      <c r="AG383" s="675"/>
      <c r="AH383" s="680"/>
    </row>
    <row r="384" spans="1:34" s="536" customFormat="1" ht="12" x14ac:dyDescent="0.2">
      <c r="A384" s="548"/>
      <c r="B384" s="546"/>
      <c r="C384" s="1819" t="s">
        <v>1123</v>
      </c>
      <c r="D384" s="1819"/>
      <c r="E384" s="1819"/>
      <c r="F384" s="1819"/>
      <c r="G384" s="1819"/>
      <c r="H384" s="1819"/>
      <c r="I384" s="1819"/>
      <c r="J384" s="1819"/>
      <c r="K384" s="1819"/>
      <c r="L384" s="544">
        <v>7434898.7599999998</v>
      </c>
      <c r="M384" s="543"/>
      <c r="N384" s="681"/>
      <c r="V384" s="674"/>
      <c r="W384" s="675"/>
      <c r="X384" s="675"/>
      <c r="AD384" s="675"/>
      <c r="AE384" s="675"/>
      <c r="AG384" s="675" t="s">
        <v>1123</v>
      </c>
      <c r="AH384" s="680"/>
    </row>
    <row r="385" spans="1:34" s="536" customFormat="1" ht="12" x14ac:dyDescent="0.2">
      <c r="A385" s="1824" t="s">
        <v>1124</v>
      </c>
      <c r="B385" s="1825"/>
      <c r="C385" s="1825"/>
      <c r="D385" s="1825"/>
      <c r="E385" s="1825"/>
      <c r="F385" s="1825"/>
      <c r="G385" s="1825"/>
      <c r="H385" s="1825"/>
      <c r="I385" s="1825"/>
      <c r="J385" s="1825"/>
      <c r="K385" s="1825"/>
      <c r="L385" s="1825"/>
      <c r="M385" s="1825"/>
      <c r="N385" s="1826"/>
      <c r="V385" s="674" t="s">
        <v>1124</v>
      </c>
      <c r="W385" s="675"/>
      <c r="X385" s="675"/>
      <c r="AD385" s="675"/>
      <c r="AE385" s="675"/>
      <c r="AG385" s="675"/>
      <c r="AH385" s="680"/>
    </row>
    <row r="386" spans="1:34" s="536" customFormat="1" ht="78.75" x14ac:dyDescent="0.2">
      <c r="A386" s="575" t="s">
        <v>505</v>
      </c>
      <c r="B386" s="684" t="s">
        <v>1125</v>
      </c>
      <c r="C386" s="1823" t="s">
        <v>1126</v>
      </c>
      <c r="D386" s="1823"/>
      <c r="E386" s="1823"/>
      <c r="F386" s="573" t="s">
        <v>201</v>
      </c>
      <c r="G386" s="573"/>
      <c r="H386" s="573"/>
      <c r="I386" s="573" t="s">
        <v>1127</v>
      </c>
      <c r="J386" s="572">
        <v>38.97</v>
      </c>
      <c r="K386" s="573"/>
      <c r="L386" s="572">
        <v>268386.39</v>
      </c>
      <c r="M386" s="571"/>
      <c r="N386" s="570"/>
      <c r="V386" s="674"/>
      <c r="W386" s="675"/>
      <c r="X386" s="675" t="s">
        <v>1126</v>
      </c>
      <c r="AD386" s="675"/>
      <c r="AE386" s="675"/>
      <c r="AG386" s="675"/>
      <c r="AH386" s="680"/>
    </row>
    <row r="387" spans="1:34" s="536" customFormat="1" ht="12" x14ac:dyDescent="0.2">
      <c r="A387" s="569"/>
      <c r="B387" s="683"/>
      <c r="C387" s="689" t="s">
        <v>717</v>
      </c>
      <c r="D387" s="690"/>
      <c r="E387" s="690"/>
      <c r="F387" s="563"/>
      <c r="G387" s="563"/>
      <c r="H387" s="563"/>
      <c r="I387" s="563"/>
      <c r="J387" s="566"/>
      <c r="K387" s="563"/>
      <c r="L387" s="566"/>
      <c r="M387" s="565"/>
      <c r="N387" s="564"/>
      <c r="V387" s="674"/>
      <c r="W387" s="675"/>
      <c r="X387" s="675"/>
      <c r="AD387" s="675"/>
      <c r="AE387" s="675"/>
      <c r="AG387" s="675"/>
      <c r="AH387" s="680"/>
    </row>
    <row r="388" spans="1:34" s="536" customFormat="1" ht="12" x14ac:dyDescent="0.2">
      <c r="A388" s="676"/>
      <c r="B388" s="682"/>
      <c r="C388" s="1822" t="s">
        <v>1128</v>
      </c>
      <c r="D388" s="1822"/>
      <c r="E388" s="1822"/>
      <c r="F388" s="1822"/>
      <c r="G388" s="1822"/>
      <c r="H388" s="1822"/>
      <c r="I388" s="1822"/>
      <c r="J388" s="1822"/>
      <c r="K388" s="1822"/>
      <c r="L388" s="1822"/>
      <c r="M388" s="1822"/>
      <c r="N388" s="1827"/>
      <c r="V388" s="674"/>
      <c r="W388" s="675"/>
      <c r="X388" s="675"/>
      <c r="Y388" s="537" t="s">
        <v>1128</v>
      </c>
      <c r="AD388" s="675"/>
      <c r="AE388" s="675"/>
      <c r="AG388" s="675"/>
      <c r="AH388" s="680"/>
    </row>
    <row r="389" spans="1:34" s="536" customFormat="1" ht="67.5" x14ac:dyDescent="0.2">
      <c r="A389" s="575" t="s">
        <v>767</v>
      </c>
      <c r="B389" s="684" t="s">
        <v>1129</v>
      </c>
      <c r="C389" s="1823" t="s">
        <v>1130</v>
      </c>
      <c r="D389" s="1823"/>
      <c r="E389" s="1823"/>
      <c r="F389" s="573" t="s">
        <v>201</v>
      </c>
      <c r="G389" s="573"/>
      <c r="H389" s="573"/>
      <c r="I389" s="573" t="s">
        <v>1131</v>
      </c>
      <c r="J389" s="572">
        <v>64.680000000000007</v>
      </c>
      <c r="K389" s="573"/>
      <c r="L389" s="572">
        <v>1618.88</v>
      </c>
      <c r="M389" s="571"/>
      <c r="N389" s="570"/>
      <c r="V389" s="674"/>
      <c r="W389" s="675"/>
      <c r="X389" s="675" t="s">
        <v>1130</v>
      </c>
      <c r="AD389" s="675"/>
      <c r="AE389" s="675"/>
      <c r="AG389" s="675"/>
      <c r="AH389" s="680"/>
    </row>
    <row r="390" spans="1:34" s="536" customFormat="1" ht="12" x14ac:dyDescent="0.2">
      <c r="A390" s="569"/>
      <c r="B390" s="683"/>
      <c r="C390" s="689" t="s">
        <v>717</v>
      </c>
      <c r="D390" s="690"/>
      <c r="E390" s="690"/>
      <c r="F390" s="563"/>
      <c r="G390" s="563"/>
      <c r="H390" s="563"/>
      <c r="I390" s="563"/>
      <c r="J390" s="566"/>
      <c r="K390" s="563"/>
      <c r="L390" s="566"/>
      <c r="M390" s="565"/>
      <c r="N390" s="564"/>
      <c r="V390" s="674"/>
      <c r="W390" s="675"/>
      <c r="X390" s="675"/>
      <c r="AD390" s="675"/>
      <c r="AE390" s="675"/>
      <c r="AG390" s="675"/>
      <c r="AH390" s="680"/>
    </row>
    <row r="391" spans="1:34" s="536" customFormat="1" ht="12" x14ac:dyDescent="0.2">
      <c r="A391" s="676"/>
      <c r="B391" s="682"/>
      <c r="C391" s="1822" t="s">
        <v>1132</v>
      </c>
      <c r="D391" s="1822"/>
      <c r="E391" s="1822"/>
      <c r="F391" s="1822"/>
      <c r="G391" s="1822"/>
      <c r="H391" s="1822"/>
      <c r="I391" s="1822"/>
      <c r="J391" s="1822"/>
      <c r="K391" s="1822"/>
      <c r="L391" s="1822"/>
      <c r="M391" s="1822"/>
      <c r="N391" s="1827"/>
      <c r="V391" s="674"/>
      <c r="W391" s="675"/>
      <c r="X391" s="675"/>
      <c r="Y391" s="537" t="s">
        <v>1132</v>
      </c>
      <c r="AD391" s="675"/>
      <c r="AE391" s="675"/>
      <c r="AG391" s="675"/>
      <c r="AH391" s="680"/>
    </row>
    <row r="392" spans="1:34" s="536" customFormat="1" ht="78.75" x14ac:dyDescent="0.2">
      <c r="A392" s="575" t="s">
        <v>768</v>
      </c>
      <c r="B392" s="684" t="s">
        <v>1133</v>
      </c>
      <c r="C392" s="1823" t="s">
        <v>1134</v>
      </c>
      <c r="D392" s="1823"/>
      <c r="E392" s="1823"/>
      <c r="F392" s="573" t="s">
        <v>201</v>
      </c>
      <c r="G392" s="573"/>
      <c r="H392" s="573"/>
      <c r="I392" s="573" t="s">
        <v>9231</v>
      </c>
      <c r="J392" s="572">
        <v>48.81</v>
      </c>
      <c r="K392" s="573"/>
      <c r="L392" s="572">
        <v>343251.93</v>
      </c>
      <c r="M392" s="571"/>
      <c r="N392" s="570"/>
      <c r="V392" s="674"/>
      <c r="W392" s="675"/>
      <c r="X392" s="675" t="s">
        <v>1134</v>
      </c>
      <c r="AD392" s="675"/>
      <c r="AE392" s="675"/>
      <c r="AG392" s="675"/>
      <c r="AH392" s="680"/>
    </row>
    <row r="393" spans="1:34" s="536" customFormat="1" ht="12" x14ac:dyDescent="0.2">
      <c r="A393" s="569"/>
      <c r="B393" s="683"/>
      <c r="C393" s="689" t="s">
        <v>717</v>
      </c>
      <c r="D393" s="690"/>
      <c r="E393" s="690"/>
      <c r="F393" s="563"/>
      <c r="G393" s="563"/>
      <c r="H393" s="563"/>
      <c r="I393" s="563"/>
      <c r="J393" s="566"/>
      <c r="K393" s="563"/>
      <c r="L393" s="566"/>
      <c r="M393" s="565"/>
      <c r="N393" s="564"/>
      <c r="V393" s="674"/>
      <c r="W393" s="675"/>
      <c r="X393" s="675"/>
      <c r="AD393" s="675"/>
      <c r="AE393" s="675"/>
      <c r="AG393" s="675"/>
      <c r="AH393" s="680"/>
    </row>
    <row r="394" spans="1:34" s="536" customFormat="1" ht="12" x14ac:dyDescent="0.2">
      <c r="A394" s="676"/>
      <c r="B394" s="682"/>
      <c r="C394" s="1822" t="s">
        <v>9232</v>
      </c>
      <c r="D394" s="1822"/>
      <c r="E394" s="1822"/>
      <c r="F394" s="1822"/>
      <c r="G394" s="1822"/>
      <c r="H394" s="1822"/>
      <c r="I394" s="1822"/>
      <c r="J394" s="1822"/>
      <c r="K394" s="1822"/>
      <c r="L394" s="1822"/>
      <c r="M394" s="1822"/>
      <c r="N394" s="1827"/>
      <c r="V394" s="674"/>
      <c r="W394" s="675"/>
      <c r="X394" s="675"/>
      <c r="Y394" s="537" t="s">
        <v>9232</v>
      </c>
      <c r="AD394" s="675"/>
      <c r="AE394" s="675"/>
      <c r="AG394" s="675"/>
      <c r="AH394" s="680"/>
    </row>
    <row r="395" spans="1:34" s="536" customFormat="1" ht="78.75" x14ac:dyDescent="0.2">
      <c r="A395" s="575" t="s">
        <v>769</v>
      </c>
      <c r="B395" s="684" t="s">
        <v>1135</v>
      </c>
      <c r="C395" s="1823" t="s">
        <v>1136</v>
      </c>
      <c r="D395" s="1823"/>
      <c r="E395" s="1823"/>
      <c r="F395" s="573" t="s">
        <v>201</v>
      </c>
      <c r="G395" s="573"/>
      <c r="H395" s="573"/>
      <c r="I395" s="573" t="s">
        <v>1137</v>
      </c>
      <c r="J395" s="572">
        <v>76.88</v>
      </c>
      <c r="K395" s="573"/>
      <c r="L395" s="572">
        <v>17112.259999999998</v>
      </c>
      <c r="M395" s="571"/>
      <c r="N395" s="570"/>
      <c r="V395" s="674"/>
      <c r="W395" s="675"/>
      <c r="X395" s="675" t="s">
        <v>1136</v>
      </c>
      <c r="AD395" s="675"/>
      <c r="AE395" s="675"/>
      <c r="AG395" s="675"/>
      <c r="AH395" s="680"/>
    </row>
    <row r="396" spans="1:34" s="536" customFormat="1" ht="12" x14ac:dyDescent="0.2">
      <c r="A396" s="569"/>
      <c r="B396" s="683"/>
      <c r="C396" s="689" t="s">
        <v>717</v>
      </c>
      <c r="D396" s="690"/>
      <c r="E396" s="690"/>
      <c r="F396" s="563"/>
      <c r="G396" s="563"/>
      <c r="H396" s="563"/>
      <c r="I396" s="563"/>
      <c r="J396" s="566"/>
      <c r="K396" s="563"/>
      <c r="L396" s="566"/>
      <c r="M396" s="565"/>
      <c r="N396" s="564"/>
      <c r="V396" s="674"/>
      <c r="W396" s="675"/>
      <c r="X396" s="675"/>
      <c r="AD396" s="675"/>
      <c r="AE396" s="675"/>
      <c r="AG396" s="675"/>
      <c r="AH396" s="680"/>
    </row>
    <row r="397" spans="1:34" s="536" customFormat="1" ht="1.5" customHeight="1" x14ac:dyDescent="0.2">
      <c r="A397" s="563"/>
      <c r="B397" s="683"/>
      <c r="C397" s="683"/>
      <c r="D397" s="683"/>
      <c r="E397" s="683"/>
      <c r="F397" s="563"/>
      <c r="G397" s="563"/>
      <c r="H397" s="563"/>
      <c r="I397" s="563"/>
      <c r="J397" s="546"/>
      <c r="K397" s="563"/>
      <c r="L397" s="546"/>
      <c r="M397" s="562"/>
      <c r="N397" s="546"/>
      <c r="V397" s="674"/>
      <c r="W397" s="675"/>
      <c r="X397" s="675"/>
      <c r="AD397" s="675"/>
      <c r="AE397" s="675"/>
      <c r="AG397" s="675"/>
      <c r="AH397" s="680"/>
    </row>
    <row r="398" spans="1:34" s="536" customFormat="1" ht="22.5" x14ac:dyDescent="0.2">
      <c r="A398" s="557"/>
      <c r="B398" s="556"/>
      <c r="C398" s="1823" t="s">
        <v>1138</v>
      </c>
      <c r="D398" s="1823"/>
      <c r="E398" s="1823"/>
      <c r="F398" s="1823"/>
      <c r="G398" s="1823"/>
      <c r="H398" s="1823"/>
      <c r="I398" s="1823"/>
      <c r="J398" s="1823"/>
      <c r="K398" s="1823"/>
      <c r="L398" s="555"/>
      <c r="M398" s="554"/>
      <c r="N398" s="553"/>
      <c r="V398" s="674"/>
      <c r="W398" s="675"/>
      <c r="X398" s="675"/>
      <c r="AD398" s="675"/>
      <c r="AE398" s="675" t="s">
        <v>1138</v>
      </c>
      <c r="AG398" s="675"/>
      <c r="AH398" s="680"/>
    </row>
    <row r="399" spans="1:34" s="536" customFormat="1" ht="12" x14ac:dyDescent="0.2">
      <c r="A399" s="548"/>
      <c r="B399" s="552"/>
      <c r="C399" s="1822" t="s">
        <v>403</v>
      </c>
      <c r="D399" s="1822"/>
      <c r="E399" s="1822"/>
      <c r="F399" s="1822"/>
      <c r="G399" s="1822"/>
      <c r="H399" s="1822"/>
      <c r="I399" s="1822"/>
      <c r="J399" s="1822"/>
      <c r="K399" s="1822"/>
      <c r="L399" s="551">
        <v>630369.46</v>
      </c>
      <c r="M399" s="550"/>
      <c r="N399" s="549"/>
      <c r="V399" s="674"/>
      <c r="W399" s="675"/>
      <c r="X399" s="675"/>
      <c r="AD399" s="675"/>
      <c r="AE399" s="675"/>
      <c r="AF399" s="537" t="s">
        <v>403</v>
      </c>
      <c r="AG399" s="675"/>
      <c r="AH399" s="680"/>
    </row>
    <row r="400" spans="1:34" s="536" customFormat="1" ht="12" x14ac:dyDescent="0.2">
      <c r="A400" s="548"/>
      <c r="B400" s="552"/>
      <c r="C400" s="1822" t="s">
        <v>204</v>
      </c>
      <c r="D400" s="1822"/>
      <c r="E400" s="1822"/>
      <c r="F400" s="1822"/>
      <c r="G400" s="1822"/>
      <c r="H400" s="1822"/>
      <c r="I400" s="1822"/>
      <c r="J400" s="1822"/>
      <c r="K400" s="1822"/>
      <c r="L400" s="551"/>
      <c r="M400" s="550"/>
      <c r="N400" s="549"/>
      <c r="V400" s="674"/>
      <c r="W400" s="675"/>
      <c r="X400" s="675"/>
      <c r="AD400" s="675"/>
      <c r="AE400" s="675"/>
      <c r="AF400" s="537" t="s">
        <v>204</v>
      </c>
      <c r="AG400" s="675"/>
      <c r="AH400" s="680"/>
    </row>
    <row r="401" spans="1:36" s="536" customFormat="1" ht="12" x14ac:dyDescent="0.2">
      <c r="A401" s="548"/>
      <c r="B401" s="552"/>
      <c r="C401" s="1822" t="s">
        <v>480</v>
      </c>
      <c r="D401" s="1822"/>
      <c r="E401" s="1822"/>
      <c r="F401" s="1822"/>
      <c r="G401" s="1822"/>
      <c r="H401" s="1822"/>
      <c r="I401" s="1822"/>
      <c r="J401" s="1822"/>
      <c r="K401" s="1822"/>
      <c r="L401" s="551">
        <v>630369.46</v>
      </c>
      <c r="M401" s="550"/>
      <c r="N401" s="549"/>
      <c r="V401" s="674"/>
      <c r="W401" s="675"/>
      <c r="X401" s="675"/>
      <c r="AD401" s="675"/>
      <c r="AE401" s="675"/>
      <c r="AF401" s="537" t="s">
        <v>480</v>
      </c>
      <c r="AG401" s="675"/>
      <c r="AH401" s="680"/>
    </row>
    <row r="402" spans="1:36" s="536" customFormat="1" ht="12" x14ac:dyDescent="0.2">
      <c r="A402" s="548"/>
      <c r="B402" s="552"/>
      <c r="C402" s="1822" t="s">
        <v>407</v>
      </c>
      <c r="D402" s="1822"/>
      <c r="E402" s="1822"/>
      <c r="F402" s="1822"/>
      <c r="G402" s="1822"/>
      <c r="H402" s="1822"/>
      <c r="I402" s="1822"/>
      <c r="J402" s="1822"/>
      <c r="K402" s="1822"/>
      <c r="L402" s="551">
        <v>630369.46</v>
      </c>
      <c r="M402" s="550"/>
      <c r="N402" s="549"/>
      <c r="V402" s="674"/>
      <c r="W402" s="675"/>
      <c r="X402" s="675"/>
      <c r="AD402" s="675"/>
      <c r="AE402" s="675"/>
      <c r="AF402" s="537" t="s">
        <v>407</v>
      </c>
      <c r="AG402" s="675"/>
      <c r="AH402" s="680"/>
    </row>
    <row r="403" spans="1:36" s="536" customFormat="1" ht="12" x14ac:dyDescent="0.2">
      <c r="A403" s="548"/>
      <c r="B403" s="552"/>
      <c r="C403" s="1822" t="s">
        <v>204</v>
      </c>
      <c r="D403" s="1822"/>
      <c r="E403" s="1822"/>
      <c r="F403" s="1822"/>
      <c r="G403" s="1822"/>
      <c r="H403" s="1822"/>
      <c r="I403" s="1822"/>
      <c r="J403" s="1822"/>
      <c r="K403" s="1822"/>
      <c r="L403" s="551"/>
      <c r="M403" s="550"/>
      <c r="N403" s="549"/>
      <c r="V403" s="674"/>
      <c r="W403" s="675"/>
      <c r="X403" s="675"/>
      <c r="AD403" s="675"/>
      <c r="AE403" s="675"/>
      <c r="AF403" s="537" t="s">
        <v>204</v>
      </c>
      <c r="AG403" s="675"/>
      <c r="AH403" s="680"/>
    </row>
    <row r="404" spans="1:36" s="536" customFormat="1" ht="12" x14ac:dyDescent="0.2">
      <c r="A404" s="548"/>
      <c r="B404" s="552"/>
      <c r="C404" s="1822" t="s">
        <v>547</v>
      </c>
      <c r="D404" s="1822"/>
      <c r="E404" s="1822"/>
      <c r="F404" s="1822"/>
      <c r="G404" s="1822"/>
      <c r="H404" s="1822"/>
      <c r="I404" s="1822"/>
      <c r="J404" s="1822"/>
      <c r="K404" s="1822"/>
      <c r="L404" s="551">
        <v>630369.46</v>
      </c>
      <c r="M404" s="550"/>
      <c r="N404" s="549"/>
      <c r="V404" s="674"/>
      <c r="W404" s="675"/>
      <c r="X404" s="675"/>
      <c r="AD404" s="675"/>
      <c r="AE404" s="675"/>
      <c r="AF404" s="537" t="s">
        <v>547</v>
      </c>
      <c r="AG404" s="675"/>
      <c r="AH404" s="680"/>
    </row>
    <row r="405" spans="1:36" s="536" customFormat="1" ht="22.5" x14ac:dyDescent="0.2">
      <c r="A405" s="548"/>
      <c r="B405" s="546"/>
      <c r="C405" s="1819" t="s">
        <v>1139</v>
      </c>
      <c r="D405" s="1819"/>
      <c r="E405" s="1819"/>
      <c r="F405" s="1819"/>
      <c r="G405" s="1819"/>
      <c r="H405" s="1819"/>
      <c r="I405" s="1819"/>
      <c r="J405" s="1819"/>
      <c r="K405" s="1819"/>
      <c r="L405" s="544">
        <v>630369.46</v>
      </c>
      <c r="M405" s="543"/>
      <c r="N405" s="681"/>
      <c r="V405" s="674"/>
      <c r="W405" s="675"/>
      <c r="X405" s="675"/>
      <c r="AD405" s="675"/>
      <c r="AE405" s="675"/>
      <c r="AG405" s="675" t="s">
        <v>1139</v>
      </c>
      <c r="AH405" s="680"/>
    </row>
    <row r="406" spans="1:36" s="536" customFormat="1" ht="2.25" customHeight="1" x14ac:dyDescent="0.2">
      <c r="B406" s="561"/>
      <c r="C406" s="561"/>
      <c r="D406" s="561"/>
      <c r="E406" s="561"/>
      <c r="F406" s="561"/>
      <c r="G406" s="561"/>
      <c r="H406" s="561"/>
      <c r="I406" s="561"/>
      <c r="J406" s="561"/>
      <c r="K406" s="561"/>
      <c r="L406" s="560"/>
      <c r="M406" s="559"/>
      <c r="N406" s="558"/>
    </row>
    <row r="407" spans="1:36" s="536" customFormat="1" x14ac:dyDescent="0.2">
      <c r="A407" s="557"/>
      <c r="B407" s="556"/>
      <c r="C407" s="1823" t="s">
        <v>205</v>
      </c>
      <c r="D407" s="1823"/>
      <c r="E407" s="1823"/>
      <c r="F407" s="1823"/>
      <c r="G407" s="1823"/>
      <c r="H407" s="1823"/>
      <c r="I407" s="1823"/>
      <c r="J407" s="1823"/>
      <c r="K407" s="1823"/>
      <c r="L407" s="555"/>
      <c r="M407" s="554"/>
      <c r="N407" s="553"/>
      <c r="AI407" s="675" t="s">
        <v>205</v>
      </c>
    </row>
    <row r="408" spans="1:36" s="536" customFormat="1" x14ac:dyDescent="0.2">
      <c r="A408" s="548"/>
      <c r="B408" s="552"/>
      <c r="C408" s="1822" t="s">
        <v>403</v>
      </c>
      <c r="D408" s="1822"/>
      <c r="E408" s="1822"/>
      <c r="F408" s="1822"/>
      <c r="G408" s="1822"/>
      <c r="H408" s="1822"/>
      <c r="I408" s="1822"/>
      <c r="J408" s="1822"/>
      <c r="K408" s="1822"/>
      <c r="L408" s="551">
        <v>8193856.7699999996</v>
      </c>
      <c r="M408" s="550"/>
      <c r="N408" s="549"/>
      <c r="AI408" s="675"/>
      <c r="AJ408" s="537" t="s">
        <v>403</v>
      </c>
    </row>
    <row r="409" spans="1:36" s="536" customFormat="1" x14ac:dyDescent="0.2">
      <c r="A409" s="548"/>
      <c r="B409" s="552"/>
      <c r="C409" s="1822" t="s">
        <v>204</v>
      </c>
      <c r="D409" s="1822"/>
      <c r="E409" s="1822"/>
      <c r="F409" s="1822"/>
      <c r="G409" s="1822"/>
      <c r="H409" s="1822"/>
      <c r="I409" s="1822"/>
      <c r="J409" s="1822"/>
      <c r="K409" s="1822"/>
      <c r="L409" s="551"/>
      <c r="M409" s="550"/>
      <c r="N409" s="549"/>
      <c r="AI409" s="675"/>
      <c r="AJ409" s="537" t="s">
        <v>204</v>
      </c>
    </row>
    <row r="410" spans="1:36" s="536" customFormat="1" x14ac:dyDescent="0.2">
      <c r="A410" s="548"/>
      <c r="B410" s="552"/>
      <c r="C410" s="1822" t="s">
        <v>404</v>
      </c>
      <c r="D410" s="1822"/>
      <c r="E410" s="1822"/>
      <c r="F410" s="1822"/>
      <c r="G410" s="1822"/>
      <c r="H410" s="1822"/>
      <c r="I410" s="1822"/>
      <c r="J410" s="1822"/>
      <c r="K410" s="1822"/>
      <c r="L410" s="551">
        <v>50593.7</v>
      </c>
      <c r="M410" s="550"/>
      <c r="N410" s="549"/>
      <c r="AI410" s="675"/>
      <c r="AJ410" s="537" t="s">
        <v>404</v>
      </c>
    </row>
    <row r="411" spans="1:36" s="536" customFormat="1" x14ac:dyDescent="0.2">
      <c r="A411" s="548"/>
      <c r="B411" s="552"/>
      <c r="C411" s="1822" t="s">
        <v>405</v>
      </c>
      <c r="D411" s="1822"/>
      <c r="E411" s="1822"/>
      <c r="F411" s="1822"/>
      <c r="G411" s="1822"/>
      <c r="H411" s="1822"/>
      <c r="I411" s="1822"/>
      <c r="J411" s="1822"/>
      <c r="K411" s="1822"/>
      <c r="L411" s="551">
        <v>1546507.84</v>
      </c>
      <c r="M411" s="550"/>
      <c r="N411" s="549"/>
      <c r="AI411" s="675"/>
      <c r="AJ411" s="537" t="s">
        <v>405</v>
      </c>
    </row>
    <row r="412" spans="1:36" s="536" customFormat="1" x14ac:dyDescent="0.2">
      <c r="A412" s="548"/>
      <c r="B412" s="552"/>
      <c r="C412" s="1822" t="s">
        <v>406</v>
      </c>
      <c r="D412" s="1822"/>
      <c r="E412" s="1822"/>
      <c r="F412" s="1822"/>
      <c r="G412" s="1822"/>
      <c r="H412" s="1822"/>
      <c r="I412" s="1822"/>
      <c r="J412" s="1822"/>
      <c r="K412" s="1822"/>
      <c r="L412" s="551">
        <v>90099.53</v>
      </c>
      <c r="M412" s="550"/>
      <c r="N412" s="549"/>
      <c r="AI412" s="675"/>
      <c r="AJ412" s="537" t="s">
        <v>406</v>
      </c>
    </row>
    <row r="413" spans="1:36" s="536" customFormat="1" x14ac:dyDescent="0.2">
      <c r="A413" s="548"/>
      <c r="B413" s="552"/>
      <c r="C413" s="1822" t="s">
        <v>480</v>
      </c>
      <c r="D413" s="1822"/>
      <c r="E413" s="1822"/>
      <c r="F413" s="1822"/>
      <c r="G413" s="1822"/>
      <c r="H413" s="1822"/>
      <c r="I413" s="1822"/>
      <c r="J413" s="1822"/>
      <c r="K413" s="1822"/>
      <c r="L413" s="551">
        <v>6596755.2300000004</v>
      </c>
      <c r="M413" s="550"/>
      <c r="N413" s="549"/>
      <c r="AI413" s="675"/>
      <c r="AJ413" s="537" t="s">
        <v>480</v>
      </c>
    </row>
    <row r="414" spans="1:36" s="536" customFormat="1" x14ac:dyDescent="0.2">
      <c r="A414" s="548"/>
      <c r="B414" s="552"/>
      <c r="C414" s="1822" t="s">
        <v>407</v>
      </c>
      <c r="D414" s="1822"/>
      <c r="E414" s="1822"/>
      <c r="F414" s="1822"/>
      <c r="G414" s="1822"/>
      <c r="H414" s="1822"/>
      <c r="I414" s="1822"/>
      <c r="J414" s="1822"/>
      <c r="K414" s="1822"/>
      <c r="L414" s="551">
        <v>8473912.7599999998</v>
      </c>
      <c r="M414" s="550"/>
      <c r="N414" s="549">
        <v>70502954</v>
      </c>
      <c r="AI414" s="675"/>
      <c r="AJ414" s="537" t="s">
        <v>407</v>
      </c>
    </row>
    <row r="415" spans="1:36" s="536" customFormat="1" x14ac:dyDescent="0.2">
      <c r="A415" s="548"/>
      <c r="B415" s="552" t="s">
        <v>185</v>
      </c>
      <c r="C415" s="1822" t="s">
        <v>408</v>
      </c>
      <c r="D415" s="1822"/>
      <c r="E415" s="1822"/>
      <c r="F415" s="1822"/>
      <c r="G415" s="1822"/>
      <c r="H415" s="1822"/>
      <c r="I415" s="1822"/>
      <c r="J415" s="1822"/>
      <c r="K415" s="1822"/>
      <c r="L415" s="551">
        <v>8427674.9100000001</v>
      </c>
      <c r="M415" s="550">
        <v>8.32</v>
      </c>
      <c r="N415" s="549">
        <v>70118255</v>
      </c>
      <c r="AI415" s="675"/>
      <c r="AJ415" s="537" t="s">
        <v>408</v>
      </c>
    </row>
    <row r="416" spans="1:36" s="536" customFormat="1" x14ac:dyDescent="0.2">
      <c r="A416" s="548"/>
      <c r="B416" s="552"/>
      <c r="C416" s="1822" t="s">
        <v>409</v>
      </c>
      <c r="D416" s="1822"/>
      <c r="E416" s="1822"/>
      <c r="F416" s="1822"/>
      <c r="G416" s="1822"/>
      <c r="H416" s="1822"/>
      <c r="I416" s="1822"/>
      <c r="J416" s="1822"/>
      <c r="K416" s="1822"/>
      <c r="L416" s="551"/>
      <c r="M416" s="550"/>
      <c r="N416" s="549"/>
      <c r="AI416" s="675"/>
      <c r="AJ416" s="537" t="s">
        <v>409</v>
      </c>
    </row>
    <row r="417" spans="1:37" x14ac:dyDescent="0.2">
      <c r="A417" s="548"/>
      <c r="B417" s="552"/>
      <c r="C417" s="1822" t="s">
        <v>410</v>
      </c>
      <c r="D417" s="1822"/>
      <c r="E417" s="1822"/>
      <c r="F417" s="1822"/>
      <c r="G417" s="1822"/>
      <c r="H417" s="1822"/>
      <c r="I417" s="1822"/>
      <c r="J417" s="1822"/>
      <c r="K417" s="1822"/>
      <c r="L417" s="551">
        <v>50593.7</v>
      </c>
      <c r="M417" s="550"/>
      <c r="N417" s="549"/>
      <c r="P417" s="536"/>
      <c r="Q417" s="536"/>
      <c r="R417" s="536"/>
      <c r="S417" s="536"/>
      <c r="T417" s="536"/>
      <c r="U417" s="536"/>
      <c r="V417" s="536"/>
      <c r="W417" s="536"/>
      <c r="X417" s="536"/>
      <c r="Y417" s="536"/>
      <c r="Z417" s="536"/>
      <c r="AA417" s="536"/>
      <c r="AB417" s="536"/>
      <c r="AC417" s="536"/>
      <c r="AD417" s="536"/>
      <c r="AE417" s="536"/>
      <c r="AF417" s="536"/>
      <c r="AG417" s="536"/>
      <c r="AH417" s="536"/>
      <c r="AI417" s="675"/>
      <c r="AJ417" s="537" t="s">
        <v>410</v>
      </c>
      <c r="AK417" s="536"/>
    </row>
    <row r="418" spans="1:37" x14ac:dyDescent="0.2">
      <c r="A418" s="548"/>
      <c r="B418" s="552"/>
      <c r="C418" s="1822" t="s">
        <v>411</v>
      </c>
      <c r="D418" s="1822"/>
      <c r="E418" s="1822"/>
      <c r="F418" s="1822"/>
      <c r="G418" s="1822"/>
      <c r="H418" s="1822"/>
      <c r="I418" s="1822"/>
      <c r="J418" s="1822"/>
      <c r="K418" s="1822"/>
      <c r="L418" s="551">
        <v>1500269.99</v>
      </c>
      <c r="M418" s="550"/>
      <c r="N418" s="549"/>
      <c r="P418" s="536"/>
      <c r="Q418" s="536"/>
      <c r="R418" s="536"/>
      <c r="S418" s="536"/>
      <c r="T418" s="536"/>
      <c r="U418" s="536"/>
      <c r="V418" s="536"/>
      <c r="W418" s="536"/>
      <c r="X418" s="536"/>
      <c r="Y418" s="536"/>
      <c r="Z418" s="536"/>
      <c r="AA418" s="536"/>
      <c r="AB418" s="536"/>
      <c r="AC418" s="536"/>
      <c r="AD418" s="536"/>
      <c r="AE418" s="536"/>
      <c r="AF418" s="536"/>
      <c r="AG418" s="536"/>
      <c r="AH418" s="536"/>
      <c r="AI418" s="675"/>
      <c r="AJ418" s="537" t="s">
        <v>411</v>
      </c>
      <c r="AK418" s="536"/>
    </row>
    <row r="419" spans="1:37" x14ac:dyDescent="0.2">
      <c r="A419" s="548"/>
      <c r="B419" s="552"/>
      <c r="C419" s="1822" t="s">
        <v>481</v>
      </c>
      <c r="D419" s="1822"/>
      <c r="E419" s="1822"/>
      <c r="F419" s="1822"/>
      <c r="G419" s="1822"/>
      <c r="H419" s="1822"/>
      <c r="I419" s="1822"/>
      <c r="J419" s="1822"/>
      <c r="K419" s="1822"/>
      <c r="L419" s="551">
        <v>6596755.2300000004</v>
      </c>
      <c r="M419" s="550"/>
      <c r="N419" s="549"/>
      <c r="P419" s="536"/>
      <c r="Q419" s="536"/>
      <c r="R419" s="536"/>
      <c r="S419" s="536"/>
      <c r="T419" s="536"/>
      <c r="U419" s="536"/>
      <c r="V419" s="536"/>
      <c r="W419" s="536"/>
      <c r="X419" s="536"/>
      <c r="Y419" s="536"/>
      <c r="Z419" s="536"/>
      <c r="AA419" s="536"/>
      <c r="AB419" s="536"/>
      <c r="AC419" s="536"/>
      <c r="AD419" s="536"/>
      <c r="AE419" s="536"/>
      <c r="AF419" s="536"/>
      <c r="AG419" s="536"/>
      <c r="AH419" s="536"/>
      <c r="AI419" s="675"/>
      <c r="AJ419" s="537" t="s">
        <v>481</v>
      </c>
      <c r="AK419" s="536"/>
    </row>
    <row r="420" spans="1:37" x14ac:dyDescent="0.2">
      <c r="A420" s="548"/>
      <c r="B420" s="552"/>
      <c r="C420" s="1822" t="s">
        <v>412</v>
      </c>
      <c r="D420" s="1822"/>
      <c r="E420" s="1822"/>
      <c r="F420" s="1822"/>
      <c r="G420" s="1822"/>
      <c r="H420" s="1822"/>
      <c r="I420" s="1822"/>
      <c r="J420" s="1822"/>
      <c r="K420" s="1822"/>
      <c r="L420" s="551">
        <v>164625.43</v>
      </c>
      <c r="M420" s="550"/>
      <c r="N420" s="549"/>
      <c r="P420" s="536"/>
      <c r="Q420" s="536"/>
      <c r="R420" s="536"/>
      <c r="S420" s="536"/>
      <c r="T420" s="536"/>
      <c r="U420" s="536"/>
      <c r="V420" s="536"/>
      <c r="W420" s="536"/>
      <c r="X420" s="536"/>
      <c r="Y420" s="536"/>
      <c r="Z420" s="536"/>
      <c r="AA420" s="536"/>
      <c r="AB420" s="536"/>
      <c r="AC420" s="536"/>
      <c r="AD420" s="536"/>
      <c r="AE420" s="536"/>
      <c r="AF420" s="536"/>
      <c r="AG420" s="536"/>
      <c r="AH420" s="536"/>
      <c r="AI420" s="675"/>
      <c r="AJ420" s="537" t="s">
        <v>412</v>
      </c>
      <c r="AK420" s="536"/>
    </row>
    <row r="421" spans="1:37" x14ac:dyDescent="0.2">
      <c r="A421" s="548"/>
      <c r="B421" s="552"/>
      <c r="C421" s="1822" t="s">
        <v>413</v>
      </c>
      <c r="D421" s="1822"/>
      <c r="E421" s="1822"/>
      <c r="F421" s="1822"/>
      <c r="G421" s="1822"/>
      <c r="H421" s="1822"/>
      <c r="I421" s="1822"/>
      <c r="J421" s="1822"/>
      <c r="K421" s="1822"/>
      <c r="L421" s="551">
        <v>115430.56</v>
      </c>
      <c r="M421" s="550"/>
      <c r="N421" s="549"/>
      <c r="P421" s="536"/>
      <c r="Q421" s="536"/>
      <c r="R421" s="536"/>
      <c r="S421" s="536"/>
      <c r="T421" s="536"/>
      <c r="U421" s="536"/>
      <c r="V421" s="536"/>
      <c r="W421" s="536"/>
      <c r="X421" s="536"/>
      <c r="Y421" s="536"/>
      <c r="Z421" s="536"/>
      <c r="AA421" s="536"/>
      <c r="AB421" s="536"/>
      <c r="AC421" s="536"/>
      <c r="AD421" s="536"/>
      <c r="AE421" s="536"/>
      <c r="AF421" s="536"/>
      <c r="AG421" s="536"/>
      <c r="AH421" s="536"/>
      <c r="AI421" s="675"/>
      <c r="AJ421" s="537" t="s">
        <v>413</v>
      </c>
      <c r="AK421" s="536"/>
    </row>
    <row r="422" spans="1:37" x14ac:dyDescent="0.2">
      <c r="A422" s="548"/>
      <c r="B422" s="552" t="s">
        <v>185</v>
      </c>
      <c r="C422" s="1822" t="s">
        <v>414</v>
      </c>
      <c r="D422" s="1822"/>
      <c r="E422" s="1822"/>
      <c r="F422" s="1822"/>
      <c r="G422" s="1822"/>
      <c r="H422" s="1822"/>
      <c r="I422" s="1822"/>
      <c r="J422" s="1822"/>
      <c r="K422" s="1822"/>
      <c r="L422" s="551">
        <v>46237.85</v>
      </c>
      <c r="M422" s="550">
        <v>8.32</v>
      </c>
      <c r="N422" s="549">
        <v>384699</v>
      </c>
      <c r="P422" s="536"/>
      <c r="Q422" s="536"/>
      <c r="R422" s="536"/>
      <c r="S422" s="536"/>
      <c r="T422" s="536"/>
      <c r="U422" s="536"/>
      <c r="V422" s="536"/>
      <c r="W422" s="536"/>
      <c r="X422" s="536"/>
      <c r="Y422" s="536"/>
      <c r="Z422" s="536"/>
      <c r="AA422" s="536"/>
      <c r="AB422" s="536"/>
      <c r="AC422" s="536"/>
      <c r="AD422" s="536"/>
      <c r="AE422" s="536"/>
      <c r="AF422" s="536"/>
      <c r="AG422" s="536"/>
      <c r="AH422" s="536"/>
      <c r="AI422" s="675"/>
      <c r="AJ422" s="537" t="s">
        <v>414</v>
      </c>
      <c r="AK422" s="536"/>
    </row>
    <row r="423" spans="1:37" x14ac:dyDescent="0.2">
      <c r="A423" s="548"/>
      <c r="B423" s="552"/>
      <c r="C423" s="1822" t="s">
        <v>415</v>
      </c>
      <c r="D423" s="1822"/>
      <c r="E423" s="1822"/>
      <c r="F423" s="1822"/>
      <c r="G423" s="1822"/>
      <c r="H423" s="1822"/>
      <c r="I423" s="1822"/>
      <c r="J423" s="1822"/>
      <c r="K423" s="1822"/>
      <c r="L423" s="551">
        <v>140693.23000000001</v>
      </c>
      <c r="M423" s="550"/>
      <c r="N423" s="549"/>
      <c r="P423" s="536"/>
      <c r="Q423" s="536"/>
      <c r="R423" s="536"/>
      <c r="S423" s="536"/>
      <c r="T423" s="536"/>
      <c r="U423" s="536"/>
      <c r="V423" s="536"/>
      <c r="W423" s="536"/>
      <c r="X423" s="536"/>
      <c r="Y423" s="536"/>
      <c r="Z423" s="536"/>
      <c r="AA423" s="536"/>
      <c r="AB423" s="536"/>
      <c r="AC423" s="536"/>
      <c r="AD423" s="536"/>
      <c r="AE423" s="536"/>
      <c r="AF423" s="536"/>
      <c r="AG423" s="536"/>
      <c r="AH423" s="536"/>
      <c r="AI423" s="675"/>
      <c r="AJ423" s="537" t="s">
        <v>415</v>
      </c>
      <c r="AK423" s="536"/>
    </row>
    <row r="424" spans="1:37" x14ac:dyDescent="0.2">
      <c r="A424" s="548"/>
      <c r="B424" s="552"/>
      <c r="C424" s="1822" t="s">
        <v>416</v>
      </c>
      <c r="D424" s="1822"/>
      <c r="E424" s="1822"/>
      <c r="F424" s="1822"/>
      <c r="G424" s="1822"/>
      <c r="H424" s="1822"/>
      <c r="I424" s="1822"/>
      <c r="J424" s="1822"/>
      <c r="K424" s="1822"/>
      <c r="L424" s="551">
        <v>164625.43</v>
      </c>
      <c r="M424" s="550"/>
      <c r="N424" s="549"/>
      <c r="P424" s="536"/>
      <c r="Q424" s="536"/>
      <c r="R424" s="536"/>
      <c r="S424" s="536"/>
      <c r="T424" s="536"/>
      <c r="U424" s="536"/>
      <c r="V424" s="536"/>
      <c r="W424" s="536"/>
      <c r="X424" s="536"/>
      <c r="Y424" s="536"/>
      <c r="Z424" s="536"/>
      <c r="AA424" s="536"/>
      <c r="AB424" s="536"/>
      <c r="AC424" s="536"/>
      <c r="AD424" s="536"/>
      <c r="AE424" s="536"/>
      <c r="AF424" s="536"/>
      <c r="AG424" s="536"/>
      <c r="AH424" s="536"/>
      <c r="AI424" s="675"/>
      <c r="AJ424" s="537" t="s">
        <v>416</v>
      </c>
      <c r="AK424" s="536"/>
    </row>
    <row r="425" spans="1:37" x14ac:dyDescent="0.2">
      <c r="A425" s="548"/>
      <c r="B425" s="552"/>
      <c r="C425" s="1822" t="s">
        <v>417</v>
      </c>
      <c r="D425" s="1822"/>
      <c r="E425" s="1822"/>
      <c r="F425" s="1822"/>
      <c r="G425" s="1822"/>
      <c r="H425" s="1822"/>
      <c r="I425" s="1822"/>
      <c r="J425" s="1822"/>
      <c r="K425" s="1822"/>
      <c r="L425" s="551">
        <v>115430.56</v>
      </c>
      <c r="M425" s="550"/>
      <c r="N425" s="549"/>
      <c r="P425" s="536"/>
      <c r="Q425" s="536"/>
      <c r="R425" s="536"/>
      <c r="S425" s="536"/>
      <c r="T425" s="536"/>
      <c r="U425" s="536"/>
      <c r="V425" s="536"/>
      <c r="W425" s="536"/>
      <c r="X425" s="536"/>
      <c r="Y425" s="536"/>
      <c r="Z425" s="536"/>
      <c r="AA425" s="536"/>
      <c r="AB425" s="536"/>
      <c r="AC425" s="536"/>
      <c r="AD425" s="536"/>
      <c r="AE425" s="536"/>
      <c r="AF425" s="536"/>
      <c r="AG425" s="536"/>
      <c r="AH425" s="536"/>
      <c r="AI425" s="675"/>
      <c r="AJ425" s="537" t="s">
        <v>417</v>
      </c>
      <c r="AK425" s="536"/>
    </row>
    <row r="426" spans="1:37" x14ac:dyDescent="0.2">
      <c r="A426" s="548"/>
      <c r="B426" s="546"/>
      <c r="C426" s="1819" t="s">
        <v>206</v>
      </c>
      <c r="D426" s="1819"/>
      <c r="E426" s="1819"/>
      <c r="F426" s="1819"/>
      <c r="G426" s="1819"/>
      <c r="H426" s="1819"/>
      <c r="I426" s="1819"/>
      <c r="J426" s="1819"/>
      <c r="K426" s="1819"/>
      <c r="L426" s="544">
        <v>8473912.7599999998</v>
      </c>
      <c r="M426" s="543"/>
      <c r="N426" s="547">
        <v>70502954</v>
      </c>
      <c r="P426" s="536"/>
      <c r="Q426" s="536"/>
      <c r="R426" s="536"/>
      <c r="S426" s="536"/>
      <c r="T426" s="536"/>
      <c r="U426" s="536"/>
      <c r="V426" s="536"/>
      <c r="W426" s="536"/>
      <c r="X426" s="536"/>
      <c r="Y426" s="536"/>
      <c r="Z426" s="536"/>
      <c r="AA426" s="536"/>
      <c r="AB426" s="536"/>
      <c r="AC426" s="536"/>
      <c r="AD426" s="536"/>
      <c r="AE426" s="536"/>
      <c r="AF426" s="536"/>
      <c r="AG426" s="536"/>
      <c r="AH426" s="536"/>
      <c r="AI426" s="675"/>
      <c r="AJ426" s="536"/>
      <c r="AK426" s="675" t="s">
        <v>206</v>
      </c>
    </row>
    <row r="427" spans="1:37" ht="1.5" customHeight="1" x14ac:dyDescent="0.2">
      <c r="B427" s="546"/>
      <c r="C427" s="683"/>
      <c r="D427" s="683"/>
      <c r="E427" s="683"/>
      <c r="F427" s="683"/>
      <c r="G427" s="683"/>
      <c r="H427" s="683"/>
      <c r="I427" s="683"/>
      <c r="J427" s="683"/>
      <c r="K427" s="683"/>
      <c r="L427" s="544"/>
      <c r="M427" s="543"/>
      <c r="N427" s="542"/>
      <c r="P427" s="536"/>
      <c r="Q427" s="536"/>
      <c r="R427" s="536"/>
      <c r="S427" s="536"/>
      <c r="T427" s="536"/>
      <c r="U427" s="536"/>
      <c r="V427" s="536"/>
      <c r="W427" s="536"/>
      <c r="X427" s="536"/>
      <c r="Y427" s="536"/>
      <c r="Z427" s="536"/>
      <c r="AA427" s="536"/>
      <c r="AB427" s="536"/>
      <c r="AC427" s="536"/>
      <c r="AD427" s="536"/>
      <c r="AE427" s="536"/>
      <c r="AF427" s="536"/>
      <c r="AG427" s="536"/>
      <c r="AH427" s="536"/>
      <c r="AI427" s="536"/>
      <c r="AJ427" s="536"/>
      <c r="AK427" s="536"/>
    </row>
    <row r="428" spans="1:37" ht="53.25" customHeight="1" x14ac:dyDescent="0.2">
      <c r="A428" s="541"/>
      <c r="B428" s="541"/>
      <c r="C428" s="541"/>
      <c r="D428" s="541"/>
      <c r="E428" s="541"/>
      <c r="F428" s="541"/>
      <c r="G428" s="541"/>
      <c r="H428" s="541"/>
      <c r="I428" s="541"/>
      <c r="J428" s="541"/>
      <c r="K428" s="541"/>
      <c r="L428" s="541"/>
      <c r="M428" s="541"/>
      <c r="N428" s="541"/>
      <c r="P428" s="536"/>
      <c r="Q428" s="536"/>
      <c r="R428" s="536"/>
      <c r="S428" s="536"/>
      <c r="T428" s="536"/>
      <c r="U428" s="536"/>
      <c r="V428" s="536"/>
      <c r="W428" s="536"/>
      <c r="X428" s="536"/>
      <c r="Y428" s="536"/>
      <c r="Z428" s="536"/>
      <c r="AA428" s="536"/>
      <c r="AB428" s="536"/>
      <c r="AC428" s="536"/>
      <c r="AD428" s="536"/>
      <c r="AE428" s="536"/>
      <c r="AF428" s="536"/>
      <c r="AG428" s="536"/>
      <c r="AH428" s="536"/>
      <c r="AI428" s="536"/>
      <c r="AJ428" s="536"/>
      <c r="AK428" s="536"/>
    </row>
    <row r="429" spans="1:37" x14ac:dyDescent="0.2">
      <c r="B429" s="539" t="s">
        <v>149</v>
      </c>
      <c r="C429" s="1943"/>
      <c r="D429" s="1943"/>
      <c r="E429" s="1943"/>
      <c r="F429" s="1943"/>
      <c r="G429" s="1943"/>
      <c r="H429" s="1943"/>
      <c r="I429" s="1943"/>
      <c r="J429" s="1943"/>
      <c r="K429" s="1943"/>
      <c r="L429" s="1943"/>
    </row>
    <row r="430" spans="1:37" ht="13.5" customHeight="1" x14ac:dyDescent="0.2">
      <c r="B430" s="540"/>
      <c r="C430" s="1821" t="s">
        <v>150</v>
      </c>
      <c r="D430" s="1821"/>
      <c r="E430" s="1821"/>
      <c r="F430" s="1821"/>
      <c r="G430" s="1821"/>
      <c r="H430" s="1821"/>
      <c r="I430" s="1821"/>
      <c r="J430" s="1821"/>
      <c r="K430" s="1821"/>
      <c r="L430" s="1821"/>
    </row>
    <row r="431" spans="1:37" ht="12.75" customHeight="1" x14ac:dyDescent="0.2">
      <c r="B431" s="539" t="s">
        <v>151</v>
      </c>
      <c r="C431" s="1943"/>
      <c r="D431" s="1943"/>
      <c r="E431" s="1943"/>
      <c r="F431" s="1943"/>
      <c r="G431" s="1943"/>
      <c r="H431" s="1943"/>
      <c r="I431" s="1943"/>
      <c r="J431" s="1943"/>
      <c r="K431" s="1943"/>
      <c r="L431" s="1943"/>
    </row>
    <row r="432" spans="1:37" ht="13.5" customHeight="1" x14ac:dyDescent="0.2">
      <c r="C432" s="1821" t="s">
        <v>150</v>
      </c>
      <c r="D432" s="1821"/>
      <c r="E432" s="1821"/>
      <c r="F432" s="1821"/>
      <c r="G432" s="1821"/>
      <c r="H432" s="1821"/>
      <c r="I432" s="1821"/>
      <c r="J432" s="1821"/>
      <c r="K432" s="1821"/>
      <c r="L432" s="1821"/>
    </row>
    <row r="434" spans="2:6" s="536" customFormat="1" x14ac:dyDescent="0.2">
      <c r="B434" s="538"/>
      <c r="D434" s="538"/>
      <c r="F434" s="538"/>
    </row>
  </sheetData>
  <mergeCells count="401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J35:L36"/>
    <mergeCell ref="M35:M37"/>
    <mergeCell ref="N35:N37"/>
    <mergeCell ref="C38:E38"/>
    <mergeCell ref="A39:N39"/>
    <mergeCell ref="A40:N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7:E47"/>
    <mergeCell ref="C48:E48"/>
    <mergeCell ref="C49:E49"/>
    <mergeCell ref="C50:E50"/>
    <mergeCell ref="C51:E51"/>
    <mergeCell ref="C52:E52"/>
    <mergeCell ref="C41:E41"/>
    <mergeCell ref="C42:N42"/>
    <mergeCell ref="C43:N43"/>
    <mergeCell ref="C44:E44"/>
    <mergeCell ref="C45:E45"/>
    <mergeCell ref="C46:E46"/>
    <mergeCell ref="C59:E59"/>
    <mergeCell ref="C60:E60"/>
    <mergeCell ref="C61:E61"/>
    <mergeCell ref="C62:E62"/>
    <mergeCell ref="C63:E63"/>
    <mergeCell ref="C64:N64"/>
    <mergeCell ref="C53:N53"/>
    <mergeCell ref="C54:N54"/>
    <mergeCell ref="C55:E55"/>
    <mergeCell ref="C56:E56"/>
    <mergeCell ref="C57:E57"/>
    <mergeCell ref="C58:E58"/>
    <mergeCell ref="C71:E71"/>
    <mergeCell ref="C72:E72"/>
    <mergeCell ref="C73:E73"/>
    <mergeCell ref="C74:E74"/>
    <mergeCell ref="C75:N75"/>
    <mergeCell ref="C76:N76"/>
    <mergeCell ref="C65:N65"/>
    <mergeCell ref="C66:E66"/>
    <mergeCell ref="C67:E67"/>
    <mergeCell ref="C68:E68"/>
    <mergeCell ref="C69:E69"/>
    <mergeCell ref="C70:E70"/>
    <mergeCell ref="C83:E83"/>
    <mergeCell ref="C84:E84"/>
    <mergeCell ref="C85:E85"/>
    <mergeCell ref="C86:E86"/>
    <mergeCell ref="C87:N87"/>
    <mergeCell ref="C88:N88"/>
    <mergeCell ref="C77:N77"/>
    <mergeCell ref="C78:E78"/>
    <mergeCell ref="C79:E79"/>
    <mergeCell ref="C80:E80"/>
    <mergeCell ref="C81:E81"/>
    <mergeCell ref="C82:E82"/>
    <mergeCell ref="C95:E95"/>
    <mergeCell ref="C96:E96"/>
    <mergeCell ref="C97:E97"/>
    <mergeCell ref="C98:N98"/>
    <mergeCell ref="C99:E99"/>
    <mergeCell ref="C101:N101"/>
    <mergeCell ref="C89:E89"/>
    <mergeCell ref="C90:E90"/>
    <mergeCell ref="C91:E91"/>
    <mergeCell ref="C92:E92"/>
    <mergeCell ref="C93:E93"/>
    <mergeCell ref="C94:E94"/>
    <mergeCell ref="C108:E108"/>
    <mergeCell ref="C109:E109"/>
    <mergeCell ref="C110:E110"/>
    <mergeCell ref="C111:E111"/>
    <mergeCell ref="C112:E112"/>
    <mergeCell ref="C113:E113"/>
    <mergeCell ref="C102:E102"/>
    <mergeCell ref="C103:N103"/>
    <mergeCell ref="C104:E104"/>
    <mergeCell ref="C105:N105"/>
    <mergeCell ref="C106:N106"/>
    <mergeCell ref="C107:E107"/>
    <mergeCell ref="C121:K121"/>
    <mergeCell ref="C122:K122"/>
    <mergeCell ref="C123:K123"/>
    <mergeCell ref="C124:K124"/>
    <mergeCell ref="C125:K125"/>
    <mergeCell ref="C126:K126"/>
    <mergeCell ref="C114:E114"/>
    <mergeCell ref="C116:K116"/>
    <mergeCell ref="C117:K117"/>
    <mergeCell ref="C118:K118"/>
    <mergeCell ref="C119:K119"/>
    <mergeCell ref="C120:K120"/>
    <mergeCell ref="C133:K133"/>
    <mergeCell ref="A134:N134"/>
    <mergeCell ref="C135:E135"/>
    <mergeCell ref="C136:N136"/>
    <mergeCell ref="C137:N137"/>
    <mergeCell ref="C138:E138"/>
    <mergeCell ref="C127:K127"/>
    <mergeCell ref="C128:K128"/>
    <mergeCell ref="C129:K129"/>
    <mergeCell ref="C130:K130"/>
    <mergeCell ref="C131:K131"/>
    <mergeCell ref="C132:K132"/>
    <mergeCell ref="C145:E145"/>
    <mergeCell ref="C146:E146"/>
    <mergeCell ref="C147:E147"/>
    <mergeCell ref="C148:E148"/>
    <mergeCell ref="C149:E149"/>
    <mergeCell ref="C150:E150"/>
    <mergeCell ref="C139:E139"/>
    <mergeCell ref="C140:E140"/>
    <mergeCell ref="C141:E141"/>
    <mergeCell ref="C142:E142"/>
    <mergeCell ref="C143:E143"/>
    <mergeCell ref="C144:E144"/>
    <mergeCell ref="C158:E158"/>
    <mergeCell ref="C159:E159"/>
    <mergeCell ref="C160:E160"/>
    <mergeCell ref="C161:E161"/>
    <mergeCell ref="C162:E162"/>
    <mergeCell ref="C163:E163"/>
    <mergeCell ref="C152:N152"/>
    <mergeCell ref="C153:E153"/>
    <mergeCell ref="C154:N154"/>
    <mergeCell ref="C155:N155"/>
    <mergeCell ref="C156:E156"/>
    <mergeCell ref="C157:E157"/>
    <mergeCell ref="C170:N170"/>
    <mergeCell ref="C171:N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N169"/>
    <mergeCell ref="C183:N183"/>
    <mergeCell ref="C184:E184"/>
    <mergeCell ref="C185:N185"/>
    <mergeCell ref="C186:N186"/>
    <mergeCell ref="C187:E187"/>
    <mergeCell ref="C188:E188"/>
    <mergeCell ref="C176:E176"/>
    <mergeCell ref="C177:E177"/>
    <mergeCell ref="C178:E178"/>
    <mergeCell ref="C179:E179"/>
    <mergeCell ref="C180:E180"/>
    <mergeCell ref="C181:E181"/>
    <mergeCell ref="C195:E195"/>
    <mergeCell ref="C196:E196"/>
    <mergeCell ref="C197:E197"/>
    <mergeCell ref="C198:E198"/>
    <mergeCell ref="C199:N199"/>
    <mergeCell ref="C200:N200"/>
    <mergeCell ref="C189:E189"/>
    <mergeCell ref="C190:E190"/>
    <mergeCell ref="C191:E191"/>
    <mergeCell ref="C192:E192"/>
    <mergeCell ref="C193:E193"/>
    <mergeCell ref="C194:E194"/>
    <mergeCell ref="C207:E207"/>
    <mergeCell ref="C208:E208"/>
    <mergeCell ref="C209:E209"/>
    <mergeCell ref="C210:E210"/>
    <mergeCell ref="C211:E211"/>
    <mergeCell ref="C212:N212"/>
    <mergeCell ref="C201:N201"/>
    <mergeCell ref="C202:E202"/>
    <mergeCell ref="C203:E203"/>
    <mergeCell ref="C204:E204"/>
    <mergeCell ref="C205:E205"/>
    <mergeCell ref="C206:E206"/>
    <mergeCell ref="C219:E219"/>
    <mergeCell ref="C220:E220"/>
    <mergeCell ref="C221:E221"/>
    <mergeCell ref="C222:E222"/>
    <mergeCell ref="C224:E224"/>
    <mergeCell ref="C225:N225"/>
    <mergeCell ref="C213:E213"/>
    <mergeCell ref="C214:E214"/>
    <mergeCell ref="C215:E215"/>
    <mergeCell ref="C216:E216"/>
    <mergeCell ref="C217:E217"/>
    <mergeCell ref="C218:E218"/>
    <mergeCell ref="C232:E232"/>
    <mergeCell ref="C233:E233"/>
    <mergeCell ref="C234:E234"/>
    <mergeCell ref="C235:E235"/>
    <mergeCell ref="C236:E236"/>
    <mergeCell ref="C237:E237"/>
    <mergeCell ref="C226:N226"/>
    <mergeCell ref="C227:E227"/>
    <mergeCell ref="C228:E228"/>
    <mergeCell ref="C229:E229"/>
    <mergeCell ref="C230:E230"/>
    <mergeCell ref="C231:E231"/>
    <mergeCell ref="C244:E244"/>
    <mergeCell ref="C245:E245"/>
    <mergeCell ref="C246:E246"/>
    <mergeCell ref="C247:E247"/>
    <mergeCell ref="C248:E248"/>
    <mergeCell ref="C249:E249"/>
    <mergeCell ref="C238:E238"/>
    <mergeCell ref="C239:E239"/>
    <mergeCell ref="C240:N240"/>
    <mergeCell ref="C241:N241"/>
    <mergeCell ref="C242:N242"/>
    <mergeCell ref="C243:E243"/>
    <mergeCell ref="C257:E257"/>
    <mergeCell ref="C258:N258"/>
    <mergeCell ref="C259:E259"/>
    <mergeCell ref="C260:E260"/>
    <mergeCell ref="C261:E261"/>
    <mergeCell ref="C262:E262"/>
    <mergeCell ref="C250:E250"/>
    <mergeCell ref="C251:E251"/>
    <mergeCell ref="C252:E252"/>
    <mergeCell ref="C253:E253"/>
    <mergeCell ref="C254:E254"/>
    <mergeCell ref="C255:E255"/>
    <mergeCell ref="C270:E270"/>
    <mergeCell ref="C271:N271"/>
    <mergeCell ref="C272:N272"/>
    <mergeCell ref="C273:E273"/>
    <mergeCell ref="C274:E274"/>
    <mergeCell ref="C275:E275"/>
    <mergeCell ref="C263:E263"/>
    <mergeCell ref="C264:E264"/>
    <mergeCell ref="C265:E265"/>
    <mergeCell ref="C266:E266"/>
    <mergeCell ref="C267:E267"/>
    <mergeCell ref="C268:E268"/>
    <mergeCell ref="C282:E282"/>
    <mergeCell ref="C283:E283"/>
    <mergeCell ref="C284:E284"/>
    <mergeCell ref="C285:E285"/>
    <mergeCell ref="C286:N286"/>
    <mergeCell ref="C287:N287"/>
    <mergeCell ref="C276:E276"/>
    <mergeCell ref="C277:E277"/>
    <mergeCell ref="C278:E278"/>
    <mergeCell ref="C279:E279"/>
    <mergeCell ref="C280:E280"/>
    <mergeCell ref="C281:E281"/>
    <mergeCell ref="C294:E294"/>
    <mergeCell ref="C295:E295"/>
    <mergeCell ref="C296:E296"/>
    <mergeCell ref="C297:E297"/>
    <mergeCell ref="C298:E298"/>
    <mergeCell ref="C299:E299"/>
    <mergeCell ref="C288:N288"/>
    <mergeCell ref="C289:E289"/>
    <mergeCell ref="C290:E290"/>
    <mergeCell ref="C291:E291"/>
    <mergeCell ref="C292:E292"/>
    <mergeCell ref="C293:E293"/>
    <mergeCell ref="C307:E307"/>
    <mergeCell ref="C308:E308"/>
    <mergeCell ref="C309:E309"/>
    <mergeCell ref="C310:E310"/>
    <mergeCell ref="C311:E311"/>
    <mergeCell ref="C312:E312"/>
    <mergeCell ref="C300:E300"/>
    <mergeCell ref="C301:E301"/>
    <mergeCell ref="A303:N303"/>
    <mergeCell ref="C304:E304"/>
    <mergeCell ref="C305:N305"/>
    <mergeCell ref="C306:N306"/>
    <mergeCell ref="C319:E319"/>
    <mergeCell ref="C321:N321"/>
    <mergeCell ref="C322:E322"/>
    <mergeCell ref="C323:N323"/>
    <mergeCell ref="C324:N324"/>
    <mergeCell ref="C325:E325"/>
    <mergeCell ref="C313:E313"/>
    <mergeCell ref="C314:E314"/>
    <mergeCell ref="C315:E315"/>
    <mergeCell ref="C316:E316"/>
    <mergeCell ref="C317:E317"/>
    <mergeCell ref="C318:E318"/>
    <mergeCell ref="C332:E332"/>
    <mergeCell ref="C333:E333"/>
    <mergeCell ref="C334:E334"/>
    <mergeCell ref="C335:E335"/>
    <mergeCell ref="C336:E336"/>
    <mergeCell ref="C337:N337"/>
    <mergeCell ref="C326:E326"/>
    <mergeCell ref="C327:E327"/>
    <mergeCell ref="C328:E328"/>
    <mergeCell ref="C329:E329"/>
    <mergeCell ref="C330:E330"/>
    <mergeCell ref="C331:E331"/>
    <mergeCell ref="C344:E344"/>
    <mergeCell ref="C345:E345"/>
    <mergeCell ref="C346:E346"/>
    <mergeCell ref="C347:E347"/>
    <mergeCell ref="C348:E348"/>
    <mergeCell ref="C349:E349"/>
    <mergeCell ref="C338:N338"/>
    <mergeCell ref="C339:N339"/>
    <mergeCell ref="C340:E340"/>
    <mergeCell ref="C341:E341"/>
    <mergeCell ref="C342:E342"/>
    <mergeCell ref="C343:E343"/>
    <mergeCell ref="C356:E356"/>
    <mergeCell ref="C357:E357"/>
    <mergeCell ref="C358:E358"/>
    <mergeCell ref="C359:E359"/>
    <mergeCell ref="C360:E360"/>
    <mergeCell ref="C361:E361"/>
    <mergeCell ref="C350:N350"/>
    <mergeCell ref="C351:N351"/>
    <mergeCell ref="C352:E352"/>
    <mergeCell ref="C353:E353"/>
    <mergeCell ref="C354:E354"/>
    <mergeCell ref="C355:E355"/>
    <mergeCell ref="C370:K370"/>
    <mergeCell ref="C371:K371"/>
    <mergeCell ref="C372:K372"/>
    <mergeCell ref="C373:K373"/>
    <mergeCell ref="C374:K374"/>
    <mergeCell ref="C375:K375"/>
    <mergeCell ref="C362:E362"/>
    <mergeCell ref="C363:E363"/>
    <mergeCell ref="C364:E364"/>
    <mergeCell ref="C367:K367"/>
    <mergeCell ref="C368:K368"/>
    <mergeCell ref="C369:K369"/>
    <mergeCell ref="C382:K382"/>
    <mergeCell ref="C383:K383"/>
    <mergeCell ref="C384:K384"/>
    <mergeCell ref="A385:N385"/>
    <mergeCell ref="C386:E386"/>
    <mergeCell ref="C388:N388"/>
    <mergeCell ref="C376:K376"/>
    <mergeCell ref="C377:K377"/>
    <mergeCell ref="C378:K378"/>
    <mergeCell ref="C379:K379"/>
    <mergeCell ref="C380:K380"/>
    <mergeCell ref="C381:K381"/>
    <mergeCell ref="C399:K399"/>
    <mergeCell ref="C400:K400"/>
    <mergeCell ref="C401:K401"/>
    <mergeCell ref="C402:K402"/>
    <mergeCell ref="C403:K403"/>
    <mergeCell ref="C404:K404"/>
    <mergeCell ref="C389:E389"/>
    <mergeCell ref="C391:N391"/>
    <mergeCell ref="C392:E392"/>
    <mergeCell ref="C394:N394"/>
    <mergeCell ref="C395:E395"/>
    <mergeCell ref="C398:K398"/>
    <mergeCell ref="C412:K412"/>
    <mergeCell ref="C413:K413"/>
    <mergeCell ref="C414:K414"/>
    <mergeCell ref="C415:K415"/>
    <mergeCell ref="C416:K416"/>
    <mergeCell ref="C417:K417"/>
    <mergeCell ref="C405:K405"/>
    <mergeCell ref="C407:K407"/>
    <mergeCell ref="C408:K408"/>
    <mergeCell ref="C409:K409"/>
    <mergeCell ref="C410:K410"/>
    <mergeCell ref="C411:K411"/>
    <mergeCell ref="C432:L432"/>
    <mergeCell ref="C424:K424"/>
    <mergeCell ref="C425:K425"/>
    <mergeCell ref="C426:K426"/>
    <mergeCell ref="C429:L429"/>
    <mergeCell ref="C430:L430"/>
    <mergeCell ref="C431:L431"/>
    <mergeCell ref="C418:K418"/>
    <mergeCell ref="C419:K419"/>
    <mergeCell ref="C420:K420"/>
    <mergeCell ref="C421:K421"/>
    <mergeCell ref="C422:K422"/>
    <mergeCell ref="C423:K423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43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AL368"/>
  <sheetViews>
    <sheetView topLeftCell="A331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3" width="138.42578125" style="537" hidden="1" customWidth="1"/>
    <col min="24" max="24" width="34.140625" style="537" hidden="1" customWidth="1"/>
    <col min="25" max="26" width="110.140625" style="537" hidden="1" customWidth="1"/>
    <col min="27" max="30" width="34.140625" style="537" hidden="1" customWidth="1"/>
    <col min="31" max="31" width="110.140625" style="537" hidden="1" customWidth="1"/>
    <col min="32" max="32" width="34.140625" style="537" hidden="1" customWidth="1"/>
    <col min="33" max="38" width="84.42578125" style="537" hidden="1" customWidth="1"/>
    <col min="39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89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1140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1140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1141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1141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1142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87"/>
      <c r="B19" s="687"/>
      <c r="C19" s="687"/>
      <c r="D19" s="687"/>
      <c r="E19" s="687"/>
      <c r="F19" s="687"/>
      <c r="G19" s="687"/>
      <c r="H19" s="687"/>
      <c r="I19" s="687"/>
      <c r="J19" s="687"/>
      <c r="K19" s="687"/>
      <c r="L19" s="687"/>
      <c r="M19" s="687"/>
      <c r="N19" s="687"/>
    </row>
    <row r="20" spans="1:21" s="536" customFormat="1" x14ac:dyDescent="0.2">
      <c r="A20" s="1840" t="s">
        <v>604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604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1143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613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427.45</v>
      </c>
      <c r="D28" s="579" t="s">
        <v>1144</v>
      </c>
      <c r="E28" s="689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89"/>
    </row>
    <row r="30" spans="1:21" s="536" customFormat="1" ht="12.75" customHeight="1" x14ac:dyDescent="0.2">
      <c r="B30" s="536" t="s">
        <v>169</v>
      </c>
      <c r="C30" s="580">
        <v>427.45</v>
      </c>
      <c r="D30" s="579" t="s">
        <v>1144</v>
      </c>
      <c r="E30" s="689" t="s">
        <v>167</v>
      </c>
      <c r="G30" s="536" t="s">
        <v>170</v>
      </c>
      <c r="L30" s="580">
        <v>0</v>
      </c>
      <c r="M30" s="579" t="s">
        <v>303</v>
      </c>
      <c r="N30" s="689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689" t="s">
        <v>167</v>
      </c>
      <c r="G31" s="536" t="s">
        <v>172</v>
      </c>
      <c r="L31" s="582"/>
      <c r="M31" s="582">
        <v>177.65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689" t="s">
        <v>167</v>
      </c>
      <c r="G32" s="536" t="s">
        <v>174</v>
      </c>
      <c r="L32" s="582"/>
      <c r="M32" s="582">
        <v>9.18</v>
      </c>
      <c r="N32" s="581" t="s">
        <v>173</v>
      </c>
    </row>
    <row r="33" spans="1:28" s="536" customFormat="1" ht="12.75" customHeight="1" x14ac:dyDescent="0.2">
      <c r="B33" s="536" t="s">
        <v>147</v>
      </c>
      <c r="C33" s="580">
        <v>0</v>
      </c>
      <c r="D33" s="579" t="s">
        <v>171</v>
      </c>
      <c r="E33" s="689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685" t="s">
        <v>182</v>
      </c>
      <c r="H37" s="685" t="s">
        <v>183</v>
      </c>
      <c r="I37" s="685" t="s">
        <v>184</v>
      </c>
      <c r="J37" s="685" t="s">
        <v>182</v>
      </c>
      <c r="K37" s="685" t="s">
        <v>183</v>
      </c>
      <c r="L37" s="685" t="s">
        <v>148</v>
      </c>
      <c r="M37" s="1833"/>
      <c r="N37" s="1833"/>
    </row>
    <row r="38" spans="1:28" s="536" customFormat="1" x14ac:dyDescent="0.2">
      <c r="A38" s="686">
        <v>1</v>
      </c>
      <c r="B38" s="686">
        <v>2</v>
      </c>
      <c r="C38" s="1834">
        <v>3</v>
      </c>
      <c r="D38" s="1834"/>
      <c r="E38" s="1834"/>
      <c r="F38" s="686">
        <v>4</v>
      </c>
      <c r="G38" s="686">
        <v>5</v>
      </c>
      <c r="H38" s="686">
        <v>6</v>
      </c>
      <c r="I38" s="686">
        <v>7</v>
      </c>
      <c r="J38" s="686">
        <v>8</v>
      </c>
      <c r="K38" s="686">
        <v>9</v>
      </c>
      <c r="L38" s="686">
        <v>10</v>
      </c>
      <c r="M38" s="686">
        <v>11</v>
      </c>
      <c r="N38" s="686">
        <v>12</v>
      </c>
    </row>
    <row r="39" spans="1:28" s="536" customFormat="1" ht="12" x14ac:dyDescent="0.2">
      <c r="A39" s="1824" t="s">
        <v>1145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1145</v>
      </c>
    </row>
    <row r="40" spans="1:28" s="536" customFormat="1" ht="12" x14ac:dyDescent="0.2">
      <c r="A40" s="1830" t="s">
        <v>1146</v>
      </c>
      <c r="B40" s="1831"/>
      <c r="C40" s="1831"/>
      <c r="D40" s="1831"/>
      <c r="E40" s="1831"/>
      <c r="F40" s="1831"/>
      <c r="G40" s="1831"/>
      <c r="H40" s="1831"/>
      <c r="I40" s="1831"/>
      <c r="J40" s="1831"/>
      <c r="K40" s="1831"/>
      <c r="L40" s="1831"/>
      <c r="M40" s="1831"/>
      <c r="N40" s="1832"/>
      <c r="V40" s="674"/>
      <c r="W40" s="675" t="s">
        <v>1146</v>
      </c>
    </row>
    <row r="41" spans="1:28" s="536" customFormat="1" ht="33.75" x14ac:dyDescent="0.2">
      <c r="A41" s="575" t="s">
        <v>185</v>
      </c>
      <c r="B41" s="684" t="s">
        <v>1147</v>
      </c>
      <c r="C41" s="1823" t="s">
        <v>1148</v>
      </c>
      <c r="D41" s="1823"/>
      <c r="E41" s="1823"/>
      <c r="F41" s="573" t="s">
        <v>862</v>
      </c>
      <c r="G41" s="573"/>
      <c r="H41" s="573"/>
      <c r="I41" s="573" t="s">
        <v>1149</v>
      </c>
      <c r="J41" s="572"/>
      <c r="K41" s="573"/>
      <c r="L41" s="572"/>
      <c r="M41" s="571"/>
      <c r="N41" s="570"/>
      <c r="V41" s="674"/>
      <c r="W41" s="675"/>
      <c r="X41" s="675" t="s">
        <v>1148</v>
      </c>
    </row>
    <row r="42" spans="1:28" s="536" customFormat="1" ht="12" x14ac:dyDescent="0.2">
      <c r="A42" s="676"/>
      <c r="B42" s="682"/>
      <c r="C42" s="1822" t="s">
        <v>1150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X42" s="675"/>
      <c r="Y42" s="537" t="s">
        <v>1150</v>
      </c>
    </row>
    <row r="43" spans="1:28" s="536" customFormat="1" ht="33.75" x14ac:dyDescent="0.2">
      <c r="A43" s="609"/>
      <c r="B43" s="552" t="s">
        <v>310</v>
      </c>
      <c r="C43" s="1822" t="s">
        <v>311</v>
      </c>
      <c r="D43" s="1822"/>
      <c r="E43" s="1822"/>
      <c r="F43" s="1822"/>
      <c r="G43" s="1822"/>
      <c r="H43" s="1822"/>
      <c r="I43" s="1822"/>
      <c r="J43" s="1822"/>
      <c r="K43" s="1822"/>
      <c r="L43" s="1822"/>
      <c r="M43" s="1822"/>
      <c r="N43" s="1827"/>
      <c r="V43" s="674"/>
      <c r="W43" s="675"/>
      <c r="X43" s="675"/>
      <c r="Z43" s="537" t="s">
        <v>311</v>
      </c>
    </row>
    <row r="44" spans="1:28" s="536" customFormat="1" ht="12" x14ac:dyDescent="0.2">
      <c r="A44" s="605"/>
      <c r="B44" s="552" t="s">
        <v>185</v>
      </c>
      <c r="C44" s="1822" t="s">
        <v>312</v>
      </c>
      <c r="D44" s="1822"/>
      <c r="E44" s="1822"/>
      <c r="F44" s="562"/>
      <c r="G44" s="562"/>
      <c r="H44" s="562"/>
      <c r="I44" s="562"/>
      <c r="J44" s="604">
        <v>390.01</v>
      </c>
      <c r="K44" s="562" t="s">
        <v>313</v>
      </c>
      <c r="L44" s="604">
        <v>153.57</v>
      </c>
      <c r="M44" s="603"/>
      <c r="N44" s="602"/>
      <c r="V44" s="674"/>
      <c r="W44" s="675"/>
      <c r="X44" s="675"/>
      <c r="AA44" s="537" t="s">
        <v>312</v>
      </c>
    </row>
    <row r="45" spans="1:28" s="536" customFormat="1" ht="12" x14ac:dyDescent="0.2">
      <c r="A45" s="605"/>
      <c r="B45" s="552" t="s">
        <v>186</v>
      </c>
      <c r="C45" s="1822" t="s">
        <v>344</v>
      </c>
      <c r="D45" s="1822"/>
      <c r="E45" s="1822"/>
      <c r="F45" s="562"/>
      <c r="G45" s="562"/>
      <c r="H45" s="562"/>
      <c r="I45" s="562"/>
      <c r="J45" s="604">
        <v>128.51</v>
      </c>
      <c r="K45" s="562" t="s">
        <v>313</v>
      </c>
      <c r="L45" s="604">
        <v>50.6</v>
      </c>
      <c r="M45" s="603"/>
      <c r="N45" s="602"/>
      <c r="V45" s="674"/>
      <c r="W45" s="675"/>
      <c r="X45" s="675"/>
      <c r="AA45" s="537" t="s">
        <v>344</v>
      </c>
    </row>
    <row r="46" spans="1:28" s="536" customFormat="1" ht="12" x14ac:dyDescent="0.2">
      <c r="A46" s="605"/>
      <c r="B46" s="552" t="s">
        <v>187</v>
      </c>
      <c r="C46" s="1822" t="s">
        <v>345</v>
      </c>
      <c r="D46" s="1822"/>
      <c r="E46" s="1822"/>
      <c r="F46" s="562"/>
      <c r="G46" s="562"/>
      <c r="H46" s="562"/>
      <c r="I46" s="562"/>
      <c r="J46" s="604">
        <v>3.27</v>
      </c>
      <c r="K46" s="562" t="s">
        <v>313</v>
      </c>
      <c r="L46" s="604">
        <v>1.29</v>
      </c>
      <c r="M46" s="603"/>
      <c r="N46" s="602"/>
      <c r="V46" s="674"/>
      <c r="W46" s="675"/>
      <c r="X46" s="675"/>
      <c r="AA46" s="537" t="s">
        <v>345</v>
      </c>
    </row>
    <row r="47" spans="1:28" s="536" customFormat="1" ht="12" x14ac:dyDescent="0.2">
      <c r="A47" s="605"/>
      <c r="B47" s="552" t="s">
        <v>188</v>
      </c>
      <c r="C47" s="1822" t="s">
        <v>475</v>
      </c>
      <c r="D47" s="1822"/>
      <c r="E47" s="1822"/>
      <c r="F47" s="562"/>
      <c r="G47" s="562"/>
      <c r="H47" s="562"/>
      <c r="I47" s="562"/>
      <c r="J47" s="604">
        <v>9704.6299999999992</v>
      </c>
      <c r="K47" s="562"/>
      <c r="L47" s="604">
        <v>1308.23</v>
      </c>
      <c r="M47" s="603"/>
      <c r="N47" s="602"/>
      <c r="V47" s="674"/>
      <c r="W47" s="675"/>
      <c r="X47" s="675"/>
      <c r="AA47" s="537" t="s">
        <v>475</v>
      </c>
    </row>
    <row r="48" spans="1:28" s="536" customFormat="1" ht="22.5" x14ac:dyDescent="0.2">
      <c r="A48" s="605"/>
      <c r="B48" s="552"/>
      <c r="C48" s="1822" t="s">
        <v>314</v>
      </c>
      <c r="D48" s="1822"/>
      <c r="E48" s="1822"/>
      <c r="F48" s="562" t="s">
        <v>315</v>
      </c>
      <c r="G48" s="562" t="s">
        <v>1151</v>
      </c>
      <c r="H48" s="562" t="s">
        <v>313</v>
      </c>
      <c r="I48" s="562" t="s">
        <v>1152</v>
      </c>
      <c r="J48" s="604"/>
      <c r="K48" s="562"/>
      <c r="L48" s="604"/>
      <c r="M48" s="603"/>
      <c r="N48" s="602"/>
      <c r="V48" s="674"/>
      <c r="W48" s="675"/>
      <c r="X48" s="675"/>
      <c r="AB48" s="537" t="s">
        <v>314</v>
      </c>
    </row>
    <row r="49" spans="1:30" s="536" customFormat="1" ht="12" x14ac:dyDescent="0.2">
      <c r="A49" s="605"/>
      <c r="B49" s="552"/>
      <c r="C49" s="1822" t="s">
        <v>348</v>
      </c>
      <c r="D49" s="1822"/>
      <c r="E49" s="1822"/>
      <c r="F49" s="562" t="s">
        <v>315</v>
      </c>
      <c r="G49" s="562" t="s">
        <v>1153</v>
      </c>
      <c r="H49" s="562" t="s">
        <v>313</v>
      </c>
      <c r="I49" s="562" t="s">
        <v>1154</v>
      </c>
      <c r="J49" s="604"/>
      <c r="K49" s="562"/>
      <c r="L49" s="604"/>
      <c r="M49" s="603"/>
      <c r="N49" s="602"/>
      <c r="V49" s="674"/>
      <c r="W49" s="675"/>
      <c r="X49" s="675"/>
      <c r="AB49" s="537" t="s">
        <v>348</v>
      </c>
    </row>
    <row r="50" spans="1:30" s="536" customFormat="1" ht="12" x14ac:dyDescent="0.2">
      <c r="A50" s="605"/>
      <c r="B50" s="552"/>
      <c r="C50" s="1828" t="s">
        <v>318</v>
      </c>
      <c r="D50" s="1828"/>
      <c r="E50" s="1828"/>
      <c r="F50" s="608"/>
      <c r="G50" s="608"/>
      <c r="H50" s="608"/>
      <c r="I50" s="608"/>
      <c r="J50" s="607">
        <v>4671.63</v>
      </c>
      <c r="K50" s="608"/>
      <c r="L50" s="607">
        <v>1512.4</v>
      </c>
      <c r="M50" s="601"/>
      <c r="N50" s="606"/>
      <c r="V50" s="674"/>
      <c r="W50" s="675"/>
      <c r="X50" s="675"/>
      <c r="AC50" s="537" t="s">
        <v>318</v>
      </c>
    </row>
    <row r="51" spans="1:30" s="536" customFormat="1" ht="12" x14ac:dyDescent="0.2">
      <c r="A51" s="605"/>
      <c r="B51" s="552"/>
      <c r="C51" s="1822" t="s">
        <v>319</v>
      </c>
      <c r="D51" s="1822"/>
      <c r="E51" s="1822"/>
      <c r="F51" s="562"/>
      <c r="G51" s="562"/>
      <c r="H51" s="562"/>
      <c r="I51" s="562"/>
      <c r="J51" s="604"/>
      <c r="K51" s="562"/>
      <c r="L51" s="604">
        <v>154.86000000000001</v>
      </c>
      <c r="M51" s="603"/>
      <c r="N51" s="602"/>
      <c r="V51" s="674"/>
      <c r="W51" s="675"/>
      <c r="X51" s="675"/>
      <c r="AB51" s="537" t="s">
        <v>319</v>
      </c>
    </row>
    <row r="52" spans="1:30" s="536" customFormat="1" ht="33.75" x14ac:dyDescent="0.2">
      <c r="A52" s="605"/>
      <c r="B52" s="552" t="s">
        <v>1155</v>
      </c>
      <c r="C52" s="1822" t="s">
        <v>1156</v>
      </c>
      <c r="D52" s="1822"/>
      <c r="E52" s="1822"/>
      <c r="F52" s="562" t="s">
        <v>322</v>
      </c>
      <c r="G52" s="562" t="s">
        <v>1157</v>
      </c>
      <c r="H52" s="562"/>
      <c r="I52" s="562" t="s">
        <v>1157</v>
      </c>
      <c r="J52" s="604"/>
      <c r="K52" s="562"/>
      <c r="L52" s="604">
        <v>168.8</v>
      </c>
      <c r="M52" s="603"/>
      <c r="N52" s="602"/>
      <c r="V52" s="674"/>
      <c r="W52" s="675"/>
      <c r="X52" s="675"/>
      <c r="AB52" s="537" t="s">
        <v>1156</v>
      </c>
    </row>
    <row r="53" spans="1:30" s="536" customFormat="1" ht="33.75" x14ac:dyDescent="0.2">
      <c r="A53" s="605"/>
      <c r="B53" s="552" t="s">
        <v>1158</v>
      </c>
      <c r="C53" s="1822" t="s">
        <v>1159</v>
      </c>
      <c r="D53" s="1822"/>
      <c r="E53" s="1822"/>
      <c r="F53" s="562" t="s">
        <v>322</v>
      </c>
      <c r="G53" s="562" t="s">
        <v>791</v>
      </c>
      <c r="H53" s="562"/>
      <c r="I53" s="562" t="s">
        <v>791</v>
      </c>
      <c r="J53" s="604"/>
      <c r="K53" s="562"/>
      <c r="L53" s="604">
        <v>88.27</v>
      </c>
      <c r="M53" s="603"/>
      <c r="N53" s="602"/>
      <c r="V53" s="674"/>
      <c r="W53" s="675"/>
      <c r="X53" s="675"/>
      <c r="AB53" s="537" t="s">
        <v>1159</v>
      </c>
    </row>
    <row r="54" spans="1:30" s="536" customFormat="1" ht="12" x14ac:dyDescent="0.2">
      <c r="A54" s="569"/>
      <c r="B54" s="683"/>
      <c r="C54" s="1823" t="s">
        <v>327</v>
      </c>
      <c r="D54" s="1823"/>
      <c r="E54" s="1823"/>
      <c r="F54" s="573"/>
      <c r="G54" s="573"/>
      <c r="H54" s="573"/>
      <c r="I54" s="573"/>
      <c r="J54" s="572"/>
      <c r="K54" s="573"/>
      <c r="L54" s="572">
        <v>1769.47</v>
      </c>
      <c r="M54" s="601"/>
      <c r="N54" s="570"/>
      <c r="V54" s="674"/>
      <c r="W54" s="675"/>
      <c r="X54" s="675"/>
      <c r="AD54" s="675" t="s">
        <v>327</v>
      </c>
    </row>
    <row r="55" spans="1:30" s="536" customFormat="1" ht="33.75" x14ac:dyDescent="0.2">
      <c r="A55" s="575" t="s">
        <v>186</v>
      </c>
      <c r="B55" s="684" t="s">
        <v>1160</v>
      </c>
      <c r="C55" s="1823" t="s">
        <v>1161</v>
      </c>
      <c r="D55" s="1823"/>
      <c r="E55" s="1823"/>
      <c r="F55" s="573" t="s">
        <v>694</v>
      </c>
      <c r="G55" s="573"/>
      <c r="H55" s="573"/>
      <c r="I55" s="573" t="s">
        <v>1162</v>
      </c>
      <c r="J55" s="572">
        <v>8715.1</v>
      </c>
      <c r="K55" s="573"/>
      <c r="L55" s="572">
        <v>1926.04</v>
      </c>
      <c r="M55" s="571"/>
      <c r="N55" s="570"/>
      <c r="V55" s="674"/>
      <c r="W55" s="675"/>
      <c r="X55" s="675" t="s">
        <v>1161</v>
      </c>
      <c r="AD55" s="675"/>
    </row>
    <row r="56" spans="1:30" s="536" customFormat="1" ht="12" x14ac:dyDescent="0.2">
      <c r="A56" s="569"/>
      <c r="B56" s="683"/>
      <c r="C56" s="689" t="s">
        <v>717</v>
      </c>
      <c r="D56" s="690"/>
      <c r="E56" s="690"/>
      <c r="F56" s="563"/>
      <c r="G56" s="563"/>
      <c r="H56" s="563"/>
      <c r="I56" s="563"/>
      <c r="J56" s="566"/>
      <c r="K56" s="563"/>
      <c r="L56" s="566"/>
      <c r="M56" s="565"/>
      <c r="N56" s="564"/>
      <c r="V56" s="674"/>
      <c r="W56" s="675"/>
      <c r="X56" s="675"/>
      <c r="AD56" s="675"/>
    </row>
    <row r="57" spans="1:30" s="536" customFormat="1" ht="12" x14ac:dyDescent="0.2">
      <c r="A57" s="676"/>
      <c r="B57" s="682"/>
      <c r="C57" s="1822" t="s">
        <v>1163</v>
      </c>
      <c r="D57" s="1822"/>
      <c r="E57" s="1822"/>
      <c r="F57" s="1822"/>
      <c r="G57" s="1822"/>
      <c r="H57" s="1822"/>
      <c r="I57" s="1822"/>
      <c r="J57" s="1822"/>
      <c r="K57" s="1822"/>
      <c r="L57" s="1822"/>
      <c r="M57" s="1822"/>
      <c r="N57" s="1827"/>
      <c r="V57" s="674"/>
      <c r="W57" s="675"/>
      <c r="X57" s="675"/>
      <c r="Y57" s="537" t="s">
        <v>1163</v>
      </c>
      <c r="AD57" s="675"/>
    </row>
    <row r="58" spans="1:30" s="536" customFormat="1" ht="22.5" x14ac:dyDescent="0.2">
      <c r="A58" s="575" t="s">
        <v>187</v>
      </c>
      <c r="B58" s="684" t="s">
        <v>1164</v>
      </c>
      <c r="C58" s="1823" t="s">
        <v>1165</v>
      </c>
      <c r="D58" s="1823"/>
      <c r="E58" s="1823"/>
      <c r="F58" s="573" t="s">
        <v>862</v>
      </c>
      <c r="G58" s="573"/>
      <c r="H58" s="573"/>
      <c r="I58" s="573" t="s">
        <v>1149</v>
      </c>
      <c r="J58" s="572"/>
      <c r="K58" s="573"/>
      <c r="L58" s="572"/>
      <c r="M58" s="571"/>
      <c r="N58" s="570"/>
      <c r="V58" s="674"/>
      <c r="W58" s="675"/>
      <c r="X58" s="675" t="s">
        <v>1165</v>
      </c>
      <c r="AD58" s="675"/>
    </row>
    <row r="59" spans="1:30" s="536" customFormat="1" ht="12" x14ac:dyDescent="0.2">
      <c r="A59" s="676"/>
      <c r="B59" s="682"/>
      <c r="C59" s="1822" t="s">
        <v>1166</v>
      </c>
      <c r="D59" s="1822"/>
      <c r="E59" s="1822"/>
      <c r="F59" s="1822"/>
      <c r="G59" s="1822"/>
      <c r="H59" s="1822"/>
      <c r="I59" s="1822"/>
      <c r="J59" s="1822"/>
      <c r="K59" s="1822"/>
      <c r="L59" s="1822"/>
      <c r="M59" s="1822"/>
      <c r="N59" s="1827"/>
      <c r="V59" s="674"/>
      <c r="W59" s="675"/>
      <c r="X59" s="675"/>
      <c r="Y59" s="537" t="s">
        <v>1166</v>
      </c>
      <c r="AD59" s="675"/>
    </row>
    <row r="60" spans="1:30" s="536" customFormat="1" ht="33.75" x14ac:dyDescent="0.2">
      <c r="A60" s="609"/>
      <c r="B60" s="552" t="s">
        <v>310</v>
      </c>
      <c r="C60" s="1822" t="s">
        <v>311</v>
      </c>
      <c r="D60" s="1822"/>
      <c r="E60" s="1822"/>
      <c r="F60" s="1822"/>
      <c r="G60" s="1822"/>
      <c r="H60" s="1822"/>
      <c r="I60" s="1822"/>
      <c r="J60" s="1822"/>
      <c r="K60" s="1822"/>
      <c r="L60" s="1822"/>
      <c r="M60" s="1822"/>
      <c r="N60" s="1827"/>
      <c r="V60" s="674"/>
      <c r="W60" s="675"/>
      <c r="X60" s="675"/>
      <c r="Z60" s="537" t="s">
        <v>311</v>
      </c>
      <c r="AD60" s="675"/>
    </row>
    <row r="61" spans="1:30" s="536" customFormat="1" ht="12" x14ac:dyDescent="0.2">
      <c r="A61" s="605"/>
      <c r="B61" s="552" t="s">
        <v>185</v>
      </c>
      <c r="C61" s="1822" t="s">
        <v>312</v>
      </c>
      <c r="D61" s="1822"/>
      <c r="E61" s="1822"/>
      <c r="F61" s="562"/>
      <c r="G61" s="562"/>
      <c r="H61" s="562"/>
      <c r="I61" s="562"/>
      <c r="J61" s="604">
        <v>478.71</v>
      </c>
      <c r="K61" s="562" t="s">
        <v>313</v>
      </c>
      <c r="L61" s="604">
        <v>188.49</v>
      </c>
      <c r="M61" s="603"/>
      <c r="N61" s="602"/>
      <c r="V61" s="674"/>
      <c r="W61" s="675"/>
      <c r="X61" s="675"/>
      <c r="AA61" s="537" t="s">
        <v>312</v>
      </c>
      <c r="AD61" s="675"/>
    </row>
    <row r="62" spans="1:30" s="536" customFormat="1" ht="12" x14ac:dyDescent="0.2">
      <c r="A62" s="605"/>
      <c r="B62" s="552" t="s">
        <v>186</v>
      </c>
      <c r="C62" s="1822" t="s">
        <v>344</v>
      </c>
      <c r="D62" s="1822"/>
      <c r="E62" s="1822"/>
      <c r="F62" s="562"/>
      <c r="G62" s="562"/>
      <c r="H62" s="562"/>
      <c r="I62" s="562"/>
      <c r="J62" s="604">
        <v>1.82</v>
      </c>
      <c r="K62" s="562" t="s">
        <v>313</v>
      </c>
      <c r="L62" s="604">
        <v>0.72</v>
      </c>
      <c r="M62" s="603"/>
      <c r="N62" s="602"/>
      <c r="V62" s="674"/>
      <c r="W62" s="675"/>
      <c r="X62" s="675"/>
      <c r="AA62" s="537" t="s">
        <v>344</v>
      </c>
      <c r="AD62" s="675"/>
    </row>
    <row r="63" spans="1:30" s="536" customFormat="1" ht="12" x14ac:dyDescent="0.2">
      <c r="A63" s="605"/>
      <c r="B63" s="552" t="s">
        <v>187</v>
      </c>
      <c r="C63" s="1822" t="s">
        <v>345</v>
      </c>
      <c r="D63" s="1822"/>
      <c r="E63" s="1822"/>
      <c r="F63" s="562"/>
      <c r="G63" s="562"/>
      <c r="H63" s="562"/>
      <c r="I63" s="562"/>
      <c r="J63" s="604">
        <v>0.28999999999999998</v>
      </c>
      <c r="K63" s="562" t="s">
        <v>313</v>
      </c>
      <c r="L63" s="604">
        <v>0.11</v>
      </c>
      <c r="M63" s="603"/>
      <c r="N63" s="602"/>
      <c r="V63" s="674"/>
      <c r="W63" s="675"/>
      <c r="X63" s="675"/>
      <c r="AA63" s="537" t="s">
        <v>345</v>
      </c>
      <c r="AD63" s="675"/>
    </row>
    <row r="64" spans="1:30" s="536" customFormat="1" ht="12" x14ac:dyDescent="0.2">
      <c r="A64" s="605"/>
      <c r="B64" s="552" t="s">
        <v>188</v>
      </c>
      <c r="C64" s="1822" t="s">
        <v>475</v>
      </c>
      <c r="D64" s="1822"/>
      <c r="E64" s="1822"/>
      <c r="F64" s="562"/>
      <c r="G64" s="562"/>
      <c r="H64" s="562"/>
      <c r="I64" s="562"/>
      <c r="J64" s="604">
        <v>3877.59</v>
      </c>
      <c r="K64" s="562"/>
      <c r="L64" s="604">
        <v>773.34</v>
      </c>
      <c r="M64" s="603"/>
      <c r="N64" s="602"/>
      <c r="V64" s="674"/>
      <c r="W64" s="675"/>
      <c r="X64" s="675"/>
      <c r="AA64" s="537" t="s">
        <v>475</v>
      </c>
      <c r="AD64" s="675"/>
    </row>
    <row r="65" spans="1:31" s="536" customFormat="1" ht="12" x14ac:dyDescent="0.2">
      <c r="A65" s="605"/>
      <c r="B65" s="552"/>
      <c r="C65" s="1822" t="s">
        <v>314</v>
      </c>
      <c r="D65" s="1822"/>
      <c r="E65" s="1822"/>
      <c r="F65" s="562" t="s">
        <v>315</v>
      </c>
      <c r="G65" s="562" t="s">
        <v>1167</v>
      </c>
      <c r="H65" s="562" t="s">
        <v>313</v>
      </c>
      <c r="I65" s="562" t="s">
        <v>1168</v>
      </c>
      <c r="J65" s="604"/>
      <c r="K65" s="562"/>
      <c r="L65" s="604"/>
      <c r="M65" s="603"/>
      <c r="N65" s="602"/>
      <c r="V65" s="674"/>
      <c r="W65" s="675"/>
      <c r="X65" s="675"/>
      <c r="AB65" s="537" t="s">
        <v>314</v>
      </c>
      <c r="AD65" s="675"/>
    </row>
    <row r="66" spans="1:31" s="536" customFormat="1" ht="12" x14ac:dyDescent="0.2">
      <c r="A66" s="605"/>
      <c r="B66" s="552"/>
      <c r="C66" s="1822" t="s">
        <v>348</v>
      </c>
      <c r="D66" s="1822"/>
      <c r="E66" s="1822"/>
      <c r="F66" s="562" t="s">
        <v>315</v>
      </c>
      <c r="G66" s="562" t="s">
        <v>695</v>
      </c>
      <c r="H66" s="562" t="s">
        <v>313</v>
      </c>
      <c r="I66" s="562" t="s">
        <v>1169</v>
      </c>
      <c r="J66" s="604"/>
      <c r="K66" s="562"/>
      <c r="L66" s="604"/>
      <c r="M66" s="603"/>
      <c r="N66" s="602"/>
      <c r="V66" s="674"/>
      <c r="W66" s="675"/>
      <c r="X66" s="675"/>
      <c r="AB66" s="537" t="s">
        <v>348</v>
      </c>
      <c r="AD66" s="675"/>
    </row>
    <row r="67" spans="1:31" s="536" customFormat="1" ht="12" x14ac:dyDescent="0.2">
      <c r="A67" s="605"/>
      <c r="B67" s="552"/>
      <c r="C67" s="1828" t="s">
        <v>318</v>
      </c>
      <c r="D67" s="1828"/>
      <c r="E67" s="1828"/>
      <c r="F67" s="608"/>
      <c r="G67" s="608"/>
      <c r="H67" s="608"/>
      <c r="I67" s="608"/>
      <c r="J67" s="607">
        <v>2935.57</v>
      </c>
      <c r="K67" s="608"/>
      <c r="L67" s="607">
        <v>962.55</v>
      </c>
      <c r="M67" s="601"/>
      <c r="N67" s="606"/>
      <c r="V67" s="674"/>
      <c r="W67" s="675"/>
      <c r="X67" s="675"/>
      <c r="AC67" s="537" t="s">
        <v>318</v>
      </c>
      <c r="AD67" s="675"/>
    </row>
    <row r="68" spans="1:31" s="536" customFormat="1" ht="12" x14ac:dyDescent="0.2">
      <c r="A68" s="605"/>
      <c r="B68" s="552"/>
      <c r="C68" s="1822" t="s">
        <v>319</v>
      </c>
      <c r="D68" s="1822"/>
      <c r="E68" s="1822"/>
      <c r="F68" s="562"/>
      <c r="G68" s="562"/>
      <c r="H68" s="562"/>
      <c r="I68" s="562"/>
      <c r="J68" s="604"/>
      <c r="K68" s="562"/>
      <c r="L68" s="604">
        <v>188.6</v>
      </c>
      <c r="M68" s="603"/>
      <c r="N68" s="602"/>
      <c r="V68" s="674"/>
      <c r="W68" s="675"/>
      <c r="X68" s="675"/>
      <c r="AB68" s="537" t="s">
        <v>319</v>
      </c>
      <c r="AD68" s="675"/>
    </row>
    <row r="69" spans="1:31" s="536" customFormat="1" ht="33.75" x14ac:dyDescent="0.2">
      <c r="A69" s="605"/>
      <c r="B69" s="552" t="s">
        <v>1155</v>
      </c>
      <c r="C69" s="1822" t="s">
        <v>1156</v>
      </c>
      <c r="D69" s="1822"/>
      <c r="E69" s="1822"/>
      <c r="F69" s="562" t="s">
        <v>322</v>
      </c>
      <c r="G69" s="562" t="s">
        <v>1157</v>
      </c>
      <c r="H69" s="562"/>
      <c r="I69" s="562" t="s">
        <v>1157</v>
      </c>
      <c r="J69" s="604"/>
      <c r="K69" s="562"/>
      <c r="L69" s="604">
        <v>205.57</v>
      </c>
      <c r="M69" s="603"/>
      <c r="N69" s="602"/>
      <c r="V69" s="674"/>
      <c r="W69" s="675"/>
      <c r="X69" s="675"/>
      <c r="AB69" s="537" t="s">
        <v>1156</v>
      </c>
      <c r="AD69" s="675"/>
    </row>
    <row r="70" spans="1:31" s="536" customFormat="1" ht="33.75" x14ac:dyDescent="0.2">
      <c r="A70" s="605"/>
      <c r="B70" s="552" t="s">
        <v>1158</v>
      </c>
      <c r="C70" s="1822" t="s">
        <v>1159</v>
      </c>
      <c r="D70" s="1822"/>
      <c r="E70" s="1822"/>
      <c r="F70" s="562" t="s">
        <v>322</v>
      </c>
      <c r="G70" s="562" t="s">
        <v>791</v>
      </c>
      <c r="H70" s="562"/>
      <c r="I70" s="562" t="s">
        <v>791</v>
      </c>
      <c r="J70" s="604"/>
      <c r="K70" s="562"/>
      <c r="L70" s="604">
        <v>107.5</v>
      </c>
      <c r="M70" s="603"/>
      <c r="N70" s="602"/>
      <c r="V70" s="674"/>
      <c r="W70" s="675"/>
      <c r="X70" s="675"/>
      <c r="AB70" s="537" t="s">
        <v>1159</v>
      </c>
      <c r="AD70" s="675"/>
    </row>
    <row r="71" spans="1:31" s="536" customFormat="1" ht="12" x14ac:dyDescent="0.2">
      <c r="A71" s="569"/>
      <c r="B71" s="683"/>
      <c r="C71" s="1823" t="s">
        <v>327</v>
      </c>
      <c r="D71" s="1823"/>
      <c r="E71" s="1823"/>
      <c r="F71" s="573"/>
      <c r="G71" s="573"/>
      <c r="H71" s="573"/>
      <c r="I71" s="573"/>
      <c r="J71" s="572"/>
      <c r="K71" s="573"/>
      <c r="L71" s="572">
        <v>1275.6199999999999</v>
      </c>
      <c r="M71" s="601"/>
      <c r="N71" s="570"/>
      <c r="V71" s="674"/>
      <c r="W71" s="675"/>
      <c r="X71" s="675"/>
      <c r="AD71" s="675" t="s">
        <v>327</v>
      </c>
    </row>
    <row r="72" spans="1:31" s="536" customFormat="1" ht="33.75" x14ac:dyDescent="0.2">
      <c r="A72" s="575" t="s">
        <v>188</v>
      </c>
      <c r="B72" s="684" t="s">
        <v>1170</v>
      </c>
      <c r="C72" s="1823" t="s">
        <v>1171</v>
      </c>
      <c r="D72" s="1823"/>
      <c r="E72" s="1823"/>
      <c r="F72" s="573" t="s">
        <v>865</v>
      </c>
      <c r="G72" s="573"/>
      <c r="H72" s="573"/>
      <c r="I72" s="573" t="s">
        <v>1172</v>
      </c>
      <c r="J72" s="572">
        <v>82.25</v>
      </c>
      <c r="K72" s="573" t="s">
        <v>716</v>
      </c>
      <c r="L72" s="572">
        <v>365.14</v>
      </c>
      <c r="M72" s="571">
        <v>8.32</v>
      </c>
      <c r="N72" s="570">
        <v>3038</v>
      </c>
      <c r="V72" s="674"/>
      <c r="W72" s="675"/>
      <c r="X72" s="675" t="s">
        <v>1171</v>
      </c>
      <c r="AD72" s="675"/>
    </row>
    <row r="73" spans="1:31" s="536" customFormat="1" ht="12" x14ac:dyDescent="0.2">
      <c r="A73" s="569"/>
      <c r="B73" s="683"/>
      <c r="C73" s="689" t="s">
        <v>1173</v>
      </c>
      <c r="D73" s="690"/>
      <c r="E73" s="690"/>
      <c r="F73" s="563"/>
      <c r="G73" s="563"/>
      <c r="H73" s="563"/>
      <c r="I73" s="563"/>
      <c r="J73" s="566"/>
      <c r="K73" s="563"/>
      <c r="L73" s="566"/>
      <c r="M73" s="565"/>
      <c r="N73" s="564"/>
      <c r="V73" s="674"/>
      <c r="W73" s="675"/>
      <c r="X73" s="675"/>
      <c r="AD73" s="675"/>
    </row>
    <row r="74" spans="1:31" s="536" customFormat="1" ht="12" x14ac:dyDescent="0.2">
      <c r="A74" s="676"/>
      <c r="B74" s="682"/>
      <c r="C74" s="1822" t="s">
        <v>1174</v>
      </c>
      <c r="D74" s="1822"/>
      <c r="E74" s="1822"/>
      <c r="F74" s="1822"/>
      <c r="G74" s="1822"/>
      <c r="H74" s="1822"/>
      <c r="I74" s="1822"/>
      <c r="J74" s="1822"/>
      <c r="K74" s="1822"/>
      <c r="L74" s="1822"/>
      <c r="M74" s="1822"/>
      <c r="N74" s="1827"/>
      <c r="V74" s="674"/>
      <c r="W74" s="675"/>
      <c r="X74" s="675"/>
      <c r="Y74" s="537" t="s">
        <v>1174</v>
      </c>
      <c r="AD74" s="675"/>
    </row>
    <row r="75" spans="1:31" s="536" customFormat="1" ht="12" x14ac:dyDescent="0.2">
      <c r="A75" s="676"/>
      <c r="B75" s="682"/>
      <c r="C75" s="1822" t="s">
        <v>8096</v>
      </c>
      <c r="D75" s="1822"/>
      <c r="E75" s="1822"/>
      <c r="F75" s="1822"/>
      <c r="G75" s="1822"/>
      <c r="H75" s="1822"/>
      <c r="I75" s="1822"/>
      <c r="J75" s="1822"/>
      <c r="K75" s="1822"/>
      <c r="L75" s="1822"/>
      <c r="M75" s="1822"/>
      <c r="N75" s="1827"/>
      <c r="V75" s="674"/>
      <c r="W75" s="675"/>
      <c r="X75" s="675"/>
      <c r="AD75" s="675"/>
      <c r="AE75" s="537" t="s">
        <v>8096</v>
      </c>
    </row>
    <row r="76" spans="1:31" s="536" customFormat="1" ht="22.5" x14ac:dyDescent="0.2">
      <c r="A76" s="609"/>
      <c r="B76" s="552" t="s">
        <v>718</v>
      </c>
      <c r="C76" s="1822" t="s">
        <v>719</v>
      </c>
      <c r="D76" s="1822"/>
      <c r="E76" s="1822"/>
      <c r="F76" s="1822"/>
      <c r="G76" s="1822"/>
      <c r="H76" s="1822"/>
      <c r="I76" s="1822"/>
      <c r="J76" s="1822"/>
      <c r="K76" s="1822"/>
      <c r="L76" s="1822"/>
      <c r="M76" s="1822"/>
      <c r="N76" s="1827"/>
      <c r="V76" s="674"/>
      <c r="W76" s="675"/>
      <c r="X76" s="675"/>
      <c r="Z76" s="537" t="s">
        <v>719</v>
      </c>
      <c r="AD76" s="675"/>
    </row>
    <row r="77" spans="1:31" s="536" customFormat="1" ht="12" x14ac:dyDescent="0.2">
      <c r="A77" s="575" t="s">
        <v>189</v>
      </c>
      <c r="B77" s="684" t="s">
        <v>1175</v>
      </c>
      <c r="C77" s="1823" t="s">
        <v>1176</v>
      </c>
      <c r="D77" s="1823"/>
      <c r="E77" s="1823"/>
      <c r="F77" s="573" t="s">
        <v>1110</v>
      </c>
      <c r="G77" s="573"/>
      <c r="H77" s="573"/>
      <c r="I77" s="573" t="s">
        <v>1177</v>
      </c>
      <c r="J77" s="572"/>
      <c r="K77" s="573"/>
      <c r="L77" s="572"/>
      <c r="M77" s="571"/>
      <c r="N77" s="570"/>
      <c r="V77" s="674"/>
      <c r="W77" s="675"/>
      <c r="X77" s="675" t="s">
        <v>1176</v>
      </c>
      <c r="AD77" s="675"/>
    </row>
    <row r="78" spans="1:31" s="536" customFormat="1" ht="12" x14ac:dyDescent="0.2">
      <c r="A78" s="676"/>
      <c r="B78" s="682"/>
      <c r="C78" s="1822" t="s">
        <v>1178</v>
      </c>
      <c r="D78" s="1822"/>
      <c r="E78" s="1822"/>
      <c r="F78" s="1822"/>
      <c r="G78" s="1822"/>
      <c r="H78" s="1822"/>
      <c r="I78" s="1822"/>
      <c r="J78" s="1822"/>
      <c r="K78" s="1822"/>
      <c r="L78" s="1822"/>
      <c r="M78" s="1822"/>
      <c r="N78" s="1827"/>
      <c r="V78" s="674"/>
      <c r="W78" s="675"/>
      <c r="X78" s="675"/>
      <c r="Y78" s="537" t="s">
        <v>1178</v>
      </c>
      <c r="AD78" s="675"/>
    </row>
    <row r="79" spans="1:31" s="536" customFormat="1" ht="33.75" x14ac:dyDescent="0.2">
      <c r="A79" s="609"/>
      <c r="B79" s="552" t="s">
        <v>310</v>
      </c>
      <c r="C79" s="1822" t="s">
        <v>311</v>
      </c>
      <c r="D79" s="1822"/>
      <c r="E79" s="1822"/>
      <c r="F79" s="1822"/>
      <c r="G79" s="1822"/>
      <c r="H79" s="1822"/>
      <c r="I79" s="1822"/>
      <c r="J79" s="1822"/>
      <c r="K79" s="1822"/>
      <c r="L79" s="1822"/>
      <c r="M79" s="1822"/>
      <c r="N79" s="1827"/>
      <c r="V79" s="674"/>
      <c r="W79" s="675"/>
      <c r="X79" s="675"/>
      <c r="Z79" s="537" t="s">
        <v>311</v>
      </c>
      <c r="AD79" s="675"/>
    </row>
    <row r="80" spans="1:31" s="536" customFormat="1" ht="12" x14ac:dyDescent="0.2">
      <c r="A80" s="605"/>
      <c r="B80" s="552" t="s">
        <v>185</v>
      </c>
      <c r="C80" s="1822" t="s">
        <v>312</v>
      </c>
      <c r="D80" s="1822"/>
      <c r="E80" s="1822"/>
      <c r="F80" s="562"/>
      <c r="G80" s="562"/>
      <c r="H80" s="562"/>
      <c r="I80" s="562"/>
      <c r="J80" s="604">
        <v>237.13</v>
      </c>
      <c r="K80" s="562" t="s">
        <v>313</v>
      </c>
      <c r="L80" s="604">
        <v>26.68</v>
      </c>
      <c r="M80" s="603"/>
      <c r="N80" s="602"/>
      <c r="V80" s="674"/>
      <c r="W80" s="675"/>
      <c r="X80" s="675"/>
      <c r="AA80" s="537" t="s">
        <v>312</v>
      </c>
      <c r="AD80" s="675"/>
    </row>
    <row r="81" spans="1:30" s="536" customFormat="1" ht="12" x14ac:dyDescent="0.2">
      <c r="A81" s="605"/>
      <c r="B81" s="552" t="s">
        <v>186</v>
      </c>
      <c r="C81" s="1822" t="s">
        <v>344</v>
      </c>
      <c r="D81" s="1822"/>
      <c r="E81" s="1822"/>
      <c r="F81" s="562"/>
      <c r="G81" s="562"/>
      <c r="H81" s="562"/>
      <c r="I81" s="562"/>
      <c r="J81" s="604">
        <v>21.18</v>
      </c>
      <c r="K81" s="562" t="s">
        <v>313</v>
      </c>
      <c r="L81" s="604">
        <v>2.38</v>
      </c>
      <c r="M81" s="603"/>
      <c r="N81" s="602"/>
      <c r="V81" s="674"/>
      <c r="W81" s="675"/>
      <c r="X81" s="675"/>
      <c r="AA81" s="537" t="s">
        <v>344</v>
      </c>
      <c r="AD81" s="675"/>
    </row>
    <row r="82" spans="1:30" s="536" customFormat="1" ht="12" x14ac:dyDescent="0.2">
      <c r="A82" s="605"/>
      <c r="B82" s="552" t="s">
        <v>187</v>
      </c>
      <c r="C82" s="1822" t="s">
        <v>345</v>
      </c>
      <c r="D82" s="1822"/>
      <c r="E82" s="1822"/>
      <c r="F82" s="562"/>
      <c r="G82" s="562"/>
      <c r="H82" s="562"/>
      <c r="I82" s="562"/>
      <c r="J82" s="604">
        <v>3.21</v>
      </c>
      <c r="K82" s="562" t="s">
        <v>313</v>
      </c>
      <c r="L82" s="604">
        <v>0.36</v>
      </c>
      <c r="M82" s="603"/>
      <c r="N82" s="602"/>
      <c r="V82" s="674"/>
      <c r="W82" s="675"/>
      <c r="X82" s="675"/>
      <c r="AA82" s="537" t="s">
        <v>345</v>
      </c>
      <c r="AD82" s="675"/>
    </row>
    <row r="83" spans="1:30" s="536" customFormat="1" ht="12" x14ac:dyDescent="0.2">
      <c r="A83" s="605"/>
      <c r="B83" s="552" t="s">
        <v>188</v>
      </c>
      <c r="C83" s="1822" t="s">
        <v>475</v>
      </c>
      <c r="D83" s="1822"/>
      <c r="E83" s="1822"/>
      <c r="F83" s="562"/>
      <c r="G83" s="562"/>
      <c r="H83" s="562"/>
      <c r="I83" s="562"/>
      <c r="J83" s="604">
        <v>5089.63</v>
      </c>
      <c r="K83" s="562"/>
      <c r="L83" s="604">
        <v>4.0999999999999996</v>
      </c>
      <c r="M83" s="603"/>
      <c r="N83" s="602"/>
      <c r="V83" s="674"/>
      <c r="W83" s="675"/>
      <c r="X83" s="675"/>
      <c r="AA83" s="537" t="s">
        <v>475</v>
      </c>
      <c r="AD83" s="675"/>
    </row>
    <row r="84" spans="1:30" s="536" customFormat="1" ht="12" x14ac:dyDescent="0.2">
      <c r="A84" s="605"/>
      <c r="B84" s="552"/>
      <c r="C84" s="1822" t="s">
        <v>314</v>
      </c>
      <c r="D84" s="1822"/>
      <c r="E84" s="1822"/>
      <c r="F84" s="562" t="s">
        <v>315</v>
      </c>
      <c r="G84" s="562" t="s">
        <v>1179</v>
      </c>
      <c r="H84" s="562" t="s">
        <v>313</v>
      </c>
      <c r="I84" s="562" t="s">
        <v>1180</v>
      </c>
      <c r="J84" s="604"/>
      <c r="K84" s="562"/>
      <c r="L84" s="604"/>
      <c r="M84" s="603"/>
      <c r="N84" s="602"/>
      <c r="V84" s="674"/>
      <c r="W84" s="675"/>
      <c r="X84" s="675"/>
      <c r="AB84" s="537" t="s">
        <v>314</v>
      </c>
      <c r="AD84" s="675"/>
    </row>
    <row r="85" spans="1:30" s="536" customFormat="1" ht="12" x14ac:dyDescent="0.2">
      <c r="A85" s="605"/>
      <c r="B85" s="552"/>
      <c r="C85" s="1822" t="s">
        <v>348</v>
      </c>
      <c r="D85" s="1822"/>
      <c r="E85" s="1822"/>
      <c r="F85" s="562" t="s">
        <v>315</v>
      </c>
      <c r="G85" s="562" t="s">
        <v>1181</v>
      </c>
      <c r="H85" s="562" t="s">
        <v>313</v>
      </c>
      <c r="I85" s="562" t="s">
        <v>1182</v>
      </c>
      <c r="J85" s="604"/>
      <c r="K85" s="562"/>
      <c r="L85" s="604"/>
      <c r="M85" s="603"/>
      <c r="N85" s="602"/>
      <c r="V85" s="674"/>
      <c r="W85" s="675"/>
      <c r="X85" s="675"/>
      <c r="AB85" s="537" t="s">
        <v>348</v>
      </c>
      <c r="AD85" s="675"/>
    </row>
    <row r="86" spans="1:30" s="536" customFormat="1" ht="12" x14ac:dyDescent="0.2">
      <c r="A86" s="605"/>
      <c r="B86" s="552"/>
      <c r="C86" s="1828" t="s">
        <v>318</v>
      </c>
      <c r="D86" s="1828"/>
      <c r="E86" s="1828"/>
      <c r="F86" s="608"/>
      <c r="G86" s="608"/>
      <c r="H86" s="608"/>
      <c r="I86" s="608"/>
      <c r="J86" s="607">
        <v>303.83</v>
      </c>
      <c r="K86" s="608"/>
      <c r="L86" s="607">
        <v>33.159999999999997</v>
      </c>
      <c r="M86" s="601"/>
      <c r="N86" s="606"/>
      <c r="V86" s="674"/>
      <c r="W86" s="675"/>
      <c r="X86" s="675"/>
      <c r="AC86" s="537" t="s">
        <v>318</v>
      </c>
      <c r="AD86" s="675"/>
    </row>
    <row r="87" spans="1:30" s="536" customFormat="1" ht="12" x14ac:dyDescent="0.2">
      <c r="A87" s="605"/>
      <c r="B87" s="552"/>
      <c r="C87" s="1822" t="s">
        <v>319</v>
      </c>
      <c r="D87" s="1822"/>
      <c r="E87" s="1822"/>
      <c r="F87" s="562"/>
      <c r="G87" s="562"/>
      <c r="H87" s="562"/>
      <c r="I87" s="562"/>
      <c r="J87" s="604"/>
      <c r="K87" s="562"/>
      <c r="L87" s="604">
        <v>27.04</v>
      </c>
      <c r="M87" s="603"/>
      <c r="N87" s="602"/>
      <c r="V87" s="674"/>
      <c r="W87" s="675"/>
      <c r="X87" s="675"/>
      <c r="AB87" s="537" t="s">
        <v>319</v>
      </c>
      <c r="AD87" s="675"/>
    </row>
    <row r="88" spans="1:30" s="536" customFormat="1" ht="33.75" x14ac:dyDescent="0.2">
      <c r="A88" s="605"/>
      <c r="B88" s="552" t="s">
        <v>1155</v>
      </c>
      <c r="C88" s="1822" t="s">
        <v>1156</v>
      </c>
      <c r="D88" s="1822"/>
      <c r="E88" s="1822"/>
      <c r="F88" s="562" t="s">
        <v>322</v>
      </c>
      <c r="G88" s="562" t="s">
        <v>1157</v>
      </c>
      <c r="H88" s="562"/>
      <c r="I88" s="562" t="s">
        <v>1157</v>
      </c>
      <c r="J88" s="604"/>
      <c r="K88" s="562"/>
      <c r="L88" s="604">
        <v>29.47</v>
      </c>
      <c r="M88" s="603"/>
      <c r="N88" s="602"/>
      <c r="V88" s="674"/>
      <c r="W88" s="675"/>
      <c r="X88" s="675"/>
      <c r="AB88" s="537" t="s">
        <v>1156</v>
      </c>
      <c r="AD88" s="675"/>
    </row>
    <row r="89" spans="1:30" s="536" customFormat="1" ht="33.75" x14ac:dyDescent="0.2">
      <c r="A89" s="605"/>
      <c r="B89" s="552" t="s">
        <v>1158</v>
      </c>
      <c r="C89" s="1822" t="s">
        <v>1159</v>
      </c>
      <c r="D89" s="1822"/>
      <c r="E89" s="1822"/>
      <c r="F89" s="562" t="s">
        <v>322</v>
      </c>
      <c r="G89" s="562" t="s">
        <v>791</v>
      </c>
      <c r="H89" s="562"/>
      <c r="I89" s="562" t="s">
        <v>791</v>
      </c>
      <c r="J89" s="604"/>
      <c r="K89" s="562"/>
      <c r="L89" s="604">
        <v>15.41</v>
      </c>
      <c r="M89" s="603"/>
      <c r="N89" s="602"/>
      <c r="V89" s="674"/>
      <c r="W89" s="675"/>
      <c r="X89" s="675"/>
      <c r="AB89" s="537" t="s">
        <v>1159</v>
      </c>
      <c r="AD89" s="675"/>
    </row>
    <row r="90" spans="1:30" s="536" customFormat="1" ht="12" x14ac:dyDescent="0.2">
      <c r="A90" s="569"/>
      <c r="B90" s="683"/>
      <c r="C90" s="1823" t="s">
        <v>327</v>
      </c>
      <c r="D90" s="1823"/>
      <c r="E90" s="1823"/>
      <c r="F90" s="573"/>
      <c r="G90" s="573"/>
      <c r="H90" s="573"/>
      <c r="I90" s="573"/>
      <c r="J90" s="572"/>
      <c r="K90" s="573"/>
      <c r="L90" s="572">
        <v>78.040000000000006</v>
      </c>
      <c r="M90" s="601"/>
      <c r="N90" s="570"/>
      <c r="V90" s="674"/>
      <c r="W90" s="675"/>
      <c r="X90" s="675"/>
      <c r="AD90" s="675" t="s">
        <v>327</v>
      </c>
    </row>
    <row r="91" spans="1:30" s="536" customFormat="1" ht="45" x14ac:dyDescent="0.2">
      <c r="A91" s="575" t="s">
        <v>190</v>
      </c>
      <c r="B91" s="684" t="s">
        <v>1183</v>
      </c>
      <c r="C91" s="1823" t="s">
        <v>1184</v>
      </c>
      <c r="D91" s="1823"/>
      <c r="E91" s="1823"/>
      <c r="F91" s="573" t="s">
        <v>617</v>
      </c>
      <c r="G91" s="573"/>
      <c r="H91" s="573"/>
      <c r="I91" s="573" t="s">
        <v>187</v>
      </c>
      <c r="J91" s="572">
        <v>271.07</v>
      </c>
      <c r="K91" s="573"/>
      <c r="L91" s="572">
        <v>813.21</v>
      </c>
      <c r="M91" s="571"/>
      <c r="N91" s="570"/>
      <c r="V91" s="674"/>
      <c r="W91" s="675"/>
      <c r="X91" s="675" t="s">
        <v>1184</v>
      </c>
      <c r="AD91" s="675"/>
    </row>
    <row r="92" spans="1:30" s="536" customFormat="1" ht="12" x14ac:dyDescent="0.2">
      <c r="A92" s="569"/>
      <c r="B92" s="683"/>
      <c r="C92" s="689" t="s">
        <v>717</v>
      </c>
      <c r="D92" s="690"/>
      <c r="E92" s="690"/>
      <c r="F92" s="563"/>
      <c r="G92" s="563"/>
      <c r="H92" s="563"/>
      <c r="I92" s="563"/>
      <c r="J92" s="566"/>
      <c r="K92" s="563"/>
      <c r="L92" s="566"/>
      <c r="M92" s="565"/>
      <c r="N92" s="564"/>
      <c r="V92" s="674"/>
      <c r="W92" s="675"/>
      <c r="X92" s="675"/>
      <c r="AD92" s="675"/>
    </row>
    <row r="93" spans="1:30" s="536" customFormat="1" ht="12" x14ac:dyDescent="0.2">
      <c r="A93" s="676"/>
      <c r="B93" s="682"/>
      <c r="C93" s="1822" t="s">
        <v>1185</v>
      </c>
      <c r="D93" s="1822"/>
      <c r="E93" s="1822"/>
      <c r="F93" s="1822"/>
      <c r="G93" s="1822"/>
      <c r="H93" s="1822"/>
      <c r="I93" s="1822"/>
      <c r="J93" s="1822"/>
      <c r="K93" s="1822"/>
      <c r="L93" s="1822"/>
      <c r="M93" s="1822"/>
      <c r="N93" s="1827"/>
      <c r="V93" s="674"/>
      <c r="W93" s="675"/>
      <c r="X93" s="675"/>
      <c r="Y93" s="537" t="s">
        <v>1185</v>
      </c>
      <c r="AD93" s="675"/>
    </row>
    <row r="94" spans="1:30" s="536" customFormat="1" ht="33.75" x14ac:dyDescent="0.2">
      <c r="A94" s="575" t="s">
        <v>191</v>
      </c>
      <c r="B94" s="684" t="s">
        <v>1186</v>
      </c>
      <c r="C94" s="1823" t="s">
        <v>1187</v>
      </c>
      <c r="D94" s="1823"/>
      <c r="E94" s="1823"/>
      <c r="F94" s="573" t="s">
        <v>617</v>
      </c>
      <c r="G94" s="573"/>
      <c r="H94" s="573"/>
      <c r="I94" s="573" t="s">
        <v>193</v>
      </c>
      <c r="J94" s="572">
        <v>46.98</v>
      </c>
      <c r="K94" s="573"/>
      <c r="L94" s="572">
        <v>422.82</v>
      </c>
      <c r="M94" s="571"/>
      <c r="N94" s="570"/>
      <c r="V94" s="674"/>
      <c r="W94" s="675"/>
      <c r="X94" s="675" t="s">
        <v>1187</v>
      </c>
      <c r="AD94" s="675"/>
    </row>
    <row r="95" spans="1:30" s="536" customFormat="1" ht="12" x14ac:dyDescent="0.2">
      <c r="A95" s="569"/>
      <c r="B95" s="683"/>
      <c r="C95" s="689" t="s">
        <v>717</v>
      </c>
      <c r="D95" s="690"/>
      <c r="E95" s="690"/>
      <c r="F95" s="563"/>
      <c r="G95" s="563"/>
      <c r="H95" s="563"/>
      <c r="I95" s="563"/>
      <c r="J95" s="566"/>
      <c r="K95" s="563"/>
      <c r="L95" s="566"/>
      <c r="M95" s="565"/>
      <c r="N95" s="564"/>
      <c r="V95" s="674"/>
      <c r="W95" s="675"/>
      <c r="X95" s="675"/>
      <c r="AD95" s="675"/>
    </row>
    <row r="96" spans="1:30" s="536" customFormat="1" ht="12" x14ac:dyDescent="0.2">
      <c r="A96" s="676"/>
      <c r="B96" s="682"/>
      <c r="C96" s="1822" t="s">
        <v>1188</v>
      </c>
      <c r="D96" s="1822"/>
      <c r="E96" s="1822"/>
      <c r="F96" s="1822"/>
      <c r="G96" s="1822"/>
      <c r="H96" s="1822"/>
      <c r="I96" s="1822"/>
      <c r="J96" s="1822"/>
      <c r="K96" s="1822"/>
      <c r="L96" s="1822"/>
      <c r="M96" s="1822"/>
      <c r="N96" s="1827"/>
      <c r="V96" s="674"/>
      <c r="W96" s="675"/>
      <c r="X96" s="675"/>
      <c r="Y96" s="537" t="s">
        <v>1188</v>
      </c>
      <c r="AD96" s="675"/>
    </row>
    <row r="97" spans="1:32" s="536" customFormat="1" ht="33.75" x14ac:dyDescent="0.2">
      <c r="A97" s="575" t="s">
        <v>192</v>
      </c>
      <c r="B97" s="684" t="s">
        <v>1189</v>
      </c>
      <c r="C97" s="1823" t="s">
        <v>1190</v>
      </c>
      <c r="D97" s="1823"/>
      <c r="E97" s="1823"/>
      <c r="F97" s="573" t="s">
        <v>617</v>
      </c>
      <c r="G97" s="573"/>
      <c r="H97" s="573"/>
      <c r="I97" s="573" t="s">
        <v>190</v>
      </c>
      <c r="J97" s="572">
        <v>12.65</v>
      </c>
      <c r="K97" s="573"/>
      <c r="L97" s="572">
        <v>75.900000000000006</v>
      </c>
      <c r="M97" s="571"/>
      <c r="N97" s="570"/>
      <c r="V97" s="674"/>
      <c r="W97" s="675"/>
      <c r="X97" s="675" t="s">
        <v>1190</v>
      </c>
      <c r="AD97" s="675"/>
    </row>
    <row r="98" spans="1:32" s="536" customFormat="1" ht="12" x14ac:dyDescent="0.2">
      <c r="A98" s="569"/>
      <c r="B98" s="683"/>
      <c r="C98" s="689" t="s">
        <v>717</v>
      </c>
      <c r="D98" s="690"/>
      <c r="E98" s="690"/>
      <c r="F98" s="563"/>
      <c r="G98" s="563"/>
      <c r="H98" s="563"/>
      <c r="I98" s="563"/>
      <c r="J98" s="566"/>
      <c r="K98" s="563"/>
      <c r="L98" s="566"/>
      <c r="M98" s="565"/>
      <c r="N98" s="564"/>
      <c r="V98" s="674"/>
      <c r="W98" s="675"/>
      <c r="X98" s="675"/>
      <c r="AD98" s="675"/>
    </row>
    <row r="99" spans="1:32" s="536" customFormat="1" ht="12" x14ac:dyDescent="0.2">
      <c r="A99" s="676"/>
      <c r="B99" s="682"/>
      <c r="C99" s="1822" t="s">
        <v>1191</v>
      </c>
      <c r="D99" s="1822"/>
      <c r="E99" s="1822"/>
      <c r="F99" s="1822"/>
      <c r="G99" s="1822"/>
      <c r="H99" s="1822"/>
      <c r="I99" s="1822"/>
      <c r="J99" s="1822"/>
      <c r="K99" s="1822"/>
      <c r="L99" s="1822"/>
      <c r="M99" s="1822"/>
      <c r="N99" s="1827"/>
      <c r="V99" s="674"/>
      <c r="W99" s="675"/>
      <c r="X99" s="675"/>
      <c r="Y99" s="537" t="s">
        <v>1191</v>
      </c>
      <c r="AD99" s="675"/>
    </row>
    <row r="100" spans="1:32" s="536" customFormat="1" ht="33.75" x14ac:dyDescent="0.2">
      <c r="A100" s="575" t="s">
        <v>193</v>
      </c>
      <c r="B100" s="684" t="s">
        <v>1192</v>
      </c>
      <c r="C100" s="1823" t="s">
        <v>1193</v>
      </c>
      <c r="D100" s="1823"/>
      <c r="E100" s="1823"/>
      <c r="F100" s="573" t="s">
        <v>617</v>
      </c>
      <c r="G100" s="573"/>
      <c r="H100" s="573"/>
      <c r="I100" s="573" t="s">
        <v>430</v>
      </c>
      <c r="J100" s="572">
        <v>180.25</v>
      </c>
      <c r="K100" s="573" t="s">
        <v>716</v>
      </c>
      <c r="L100" s="572">
        <v>397.72</v>
      </c>
      <c r="M100" s="571">
        <v>8.32</v>
      </c>
      <c r="N100" s="570">
        <v>3309</v>
      </c>
      <c r="V100" s="674"/>
      <c r="W100" s="675"/>
      <c r="X100" s="675" t="s">
        <v>1193</v>
      </c>
      <c r="AD100" s="675"/>
    </row>
    <row r="101" spans="1:32" s="536" customFormat="1" ht="12" x14ac:dyDescent="0.2">
      <c r="A101" s="569"/>
      <c r="B101" s="683"/>
      <c r="C101" s="689" t="s">
        <v>1173</v>
      </c>
      <c r="D101" s="690"/>
      <c r="E101" s="690"/>
      <c r="F101" s="563"/>
      <c r="G101" s="563"/>
      <c r="H101" s="563"/>
      <c r="I101" s="563"/>
      <c r="J101" s="566"/>
      <c r="K101" s="563"/>
      <c r="L101" s="566"/>
      <c r="M101" s="565"/>
      <c r="N101" s="564"/>
      <c r="V101" s="674"/>
      <c r="W101" s="675"/>
      <c r="X101" s="675"/>
      <c r="AD101" s="675"/>
    </row>
    <row r="102" spans="1:32" s="536" customFormat="1" ht="12" x14ac:dyDescent="0.2">
      <c r="A102" s="676"/>
      <c r="B102" s="682"/>
      <c r="C102" s="1822" t="s">
        <v>1194</v>
      </c>
      <c r="D102" s="1822"/>
      <c r="E102" s="1822"/>
      <c r="F102" s="1822"/>
      <c r="G102" s="1822"/>
      <c r="H102" s="1822"/>
      <c r="I102" s="1822"/>
      <c r="J102" s="1822"/>
      <c r="K102" s="1822"/>
      <c r="L102" s="1822"/>
      <c r="M102" s="1822"/>
      <c r="N102" s="1827"/>
      <c r="V102" s="674"/>
      <c r="W102" s="675"/>
      <c r="X102" s="675"/>
      <c r="Y102" s="537" t="s">
        <v>1194</v>
      </c>
      <c r="AD102" s="675"/>
    </row>
    <row r="103" spans="1:32" s="536" customFormat="1" ht="22.5" x14ac:dyDescent="0.2">
      <c r="A103" s="609"/>
      <c r="B103" s="552" t="s">
        <v>718</v>
      </c>
      <c r="C103" s="1822" t="s">
        <v>719</v>
      </c>
      <c r="D103" s="1822"/>
      <c r="E103" s="1822"/>
      <c r="F103" s="1822"/>
      <c r="G103" s="1822"/>
      <c r="H103" s="1822"/>
      <c r="I103" s="1822"/>
      <c r="J103" s="1822"/>
      <c r="K103" s="1822"/>
      <c r="L103" s="1822"/>
      <c r="M103" s="1822"/>
      <c r="N103" s="1827"/>
      <c r="V103" s="674"/>
      <c r="W103" s="675"/>
      <c r="X103" s="675"/>
      <c r="Z103" s="537" t="s">
        <v>719</v>
      </c>
      <c r="AD103" s="675"/>
    </row>
    <row r="104" spans="1:32" s="536" customFormat="1" ht="22.5" x14ac:dyDescent="0.2">
      <c r="A104" s="575" t="s">
        <v>194</v>
      </c>
      <c r="B104" s="684" t="s">
        <v>1196</v>
      </c>
      <c r="C104" s="1823" t="s">
        <v>1197</v>
      </c>
      <c r="D104" s="1823"/>
      <c r="E104" s="1823"/>
      <c r="F104" s="573" t="s">
        <v>617</v>
      </c>
      <c r="G104" s="573"/>
      <c r="H104" s="573"/>
      <c r="I104" s="573" t="s">
        <v>190</v>
      </c>
      <c r="J104" s="572"/>
      <c r="K104" s="573"/>
      <c r="L104" s="572"/>
      <c r="M104" s="571"/>
      <c r="N104" s="570"/>
      <c r="V104" s="674"/>
      <c r="W104" s="675"/>
      <c r="X104" s="675" t="s">
        <v>1197</v>
      </c>
      <c r="AD104" s="675"/>
    </row>
    <row r="105" spans="1:32" s="536" customFormat="1" ht="12" x14ac:dyDescent="0.2">
      <c r="A105" s="676"/>
      <c r="B105" s="682"/>
      <c r="C105" s="1822" t="s">
        <v>1191</v>
      </c>
      <c r="D105" s="1822"/>
      <c r="E105" s="1822"/>
      <c r="F105" s="1822"/>
      <c r="G105" s="1822"/>
      <c r="H105" s="1822"/>
      <c r="I105" s="1822"/>
      <c r="J105" s="1822"/>
      <c r="K105" s="1822"/>
      <c r="L105" s="1822"/>
      <c r="M105" s="1822"/>
      <c r="N105" s="1827"/>
      <c r="V105" s="674"/>
      <c r="W105" s="675"/>
      <c r="X105" s="675"/>
      <c r="Y105" s="537" t="s">
        <v>1191</v>
      </c>
      <c r="AD105" s="675"/>
    </row>
    <row r="106" spans="1:32" s="536" customFormat="1" ht="33.75" x14ac:dyDescent="0.2">
      <c r="A106" s="609"/>
      <c r="B106" s="552" t="s">
        <v>310</v>
      </c>
      <c r="C106" s="1822" t="s">
        <v>311</v>
      </c>
      <c r="D106" s="1822"/>
      <c r="E106" s="1822"/>
      <c r="F106" s="1822"/>
      <c r="G106" s="1822"/>
      <c r="H106" s="1822"/>
      <c r="I106" s="1822"/>
      <c r="J106" s="1822"/>
      <c r="K106" s="1822"/>
      <c r="L106" s="1822"/>
      <c r="M106" s="1822"/>
      <c r="N106" s="1827"/>
      <c r="V106" s="674"/>
      <c r="W106" s="675"/>
      <c r="X106" s="675"/>
      <c r="Z106" s="537" t="s">
        <v>311</v>
      </c>
      <c r="AD106" s="675"/>
    </row>
    <row r="107" spans="1:32" s="536" customFormat="1" ht="12" x14ac:dyDescent="0.2">
      <c r="A107" s="605"/>
      <c r="B107" s="552" t="s">
        <v>185</v>
      </c>
      <c r="C107" s="1822" t="s">
        <v>312</v>
      </c>
      <c r="D107" s="1822"/>
      <c r="E107" s="1822"/>
      <c r="F107" s="562"/>
      <c r="G107" s="562"/>
      <c r="H107" s="562"/>
      <c r="I107" s="562"/>
      <c r="J107" s="604">
        <v>1.73</v>
      </c>
      <c r="K107" s="562" t="s">
        <v>313</v>
      </c>
      <c r="L107" s="604">
        <v>12.98</v>
      </c>
      <c r="M107" s="603"/>
      <c r="N107" s="602"/>
      <c r="V107" s="674"/>
      <c r="W107" s="675"/>
      <c r="X107" s="675"/>
      <c r="AA107" s="537" t="s">
        <v>312</v>
      </c>
      <c r="AD107" s="675"/>
    </row>
    <row r="108" spans="1:32" s="536" customFormat="1" ht="12" x14ac:dyDescent="0.2">
      <c r="A108" s="676"/>
      <c r="B108" s="677" t="s">
        <v>1198</v>
      </c>
      <c r="C108" s="1829" t="s">
        <v>1199</v>
      </c>
      <c r="D108" s="1829"/>
      <c r="E108" s="1829"/>
      <c r="F108" s="678" t="s">
        <v>617</v>
      </c>
      <c r="G108" s="678" t="s">
        <v>185</v>
      </c>
      <c r="H108" s="678"/>
      <c r="I108" s="678" t="s">
        <v>190</v>
      </c>
      <c r="J108" s="552"/>
      <c r="K108" s="562"/>
      <c r="L108" s="604"/>
      <c r="M108" s="562"/>
      <c r="N108" s="679"/>
      <c r="V108" s="674"/>
      <c r="W108" s="675"/>
      <c r="X108" s="675"/>
      <c r="AD108" s="675"/>
      <c r="AF108" s="680" t="s">
        <v>1199</v>
      </c>
    </row>
    <row r="109" spans="1:32" s="536" customFormat="1" ht="12" x14ac:dyDescent="0.2">
      <c r="A109" s="605"/>
      <c r="B109" s="552"/>
      <c r="C109" s="1822" t="s">
        <v>314</v>
      </c>
      <c r="D109" s="1822"/>
      <c r="E109" s="1822"/>
      <c r="F109" s="562" t="s">
        <v>315</v>
      </c>
      <c r="G109" s="562" t="s">
        <v>1200</v>
      </c>
      <c r="H109" s="562" t="s">
        <v>313</v>
      </c>
      <c r="I109" s="562" t="s">
        <v>1201</v>
      </c>
      <c r="J109" s="604"/>
      <c r="K109" s="562"/>
      <c r="L109" s="604"/>
      <c r="M109" s="603"/>
      <c r="N109" s="602"/>
      <c r="V109" s="674"/>
      <c r="W109" s="675"/>
      <c r="X109" s="675"/>
      <c r="AB109" s="537" t="s">
        <v>314</v>
      </c>
      <c r="AD109" s="675"/>
      <c r="AF109" s="680"/>
    </row>
    <row r="110" spans="1:32" s="536" customFormat="1" ht="12" x14ac:dyDescent="0.2">
      <c r="A110" s="605"/>
      <c r="B110" s="552"/>
      <c r="C110" s="1828" t="s">
        <v>318</v>
      </c>
      <c r="D110" s="1828"/>
      <c r="E110" s="1828"/>
      <c r="F110" s="608"/>
      <c r="G110" s="608"/>
      <c r="H110" s="608"/>
      <c r="I110" s="608"/>
      <c r="J110" s="607">
        <v>1.73</v>
      </c>
      <c r="K110" s="608"/>
      <c r="L110" s="607">
        <v>12.98</v>
      </c>
      <c r="M110" s="601"/>
      <c r="N110" s="606"/>
      <c r="V110" s="674"/>
      <c r="W110" s="675"/>
      <c r="X110" s="675"/>
      <c r="AC110" s="537" t="s">
        <v>318</v>
      </c>
      <c r="AD110" s="675"/>
      <c r="AF110" s="680"/>
    </row>
    <row r="111" spans="1:32" s="536" customFormat="1" ht="12" x14ac:dyDescent="0.2">
      <c r="A111" s="605"/>
      <c r="B111" s="552"/>
      <c r="C111" s="1822" t="s">
        <v>319</v>
      </c>
      <c r="D111" s="1822"/>
      <c r="E111" s="1822"/>
      <c r="F111" s="562"/>
      <c r="G111" s="562"/>
      <c r="H111" s="562"/>
      <c r="I111" s="562"/>
      <c r="J111" s="604"/>
      <c r="K111" s="562"/>
      <c r="L111" s="604">
        <v>12.98</v>
      </c>
      <c r="M111" s="603"/>
      <c r="N111" s="602"/>
      <c r="V111" s="674"/>
      <c r="W111" s="675"/>
      <c r="X111" s="675"/>
      <c r="AB111" s="537" t="s">
        <v>319</v>
      </c>
      <c r="AD111" s="675"/>
      <c r="AF111" s="680"/>
    </row>
    <row r="112" spans="1:32" s="536" customFormat="1" ht="33.75" x14ac:dyDescent="0.2">
      <c r="A112" s="605"/>
      <c r="B112" s="552" t="s">
        <v>1155</v>
      </c>
      <c r="C112" s="1822" t="s">
        <v>1156</v>
      </c>
      <c r="D112" s="1822"/>
      <c r="E112" s="1822"/>
      <c r="F112" s="562" t="s">
        <v>322</v>
      </c>
      <c r="G112" s="562" t="s">
        <v>1157</v>
      </c>
      <c r="H112" s="562"/>
      <c r="I112" s="562" t="s">
        <v>1157</v>
      </c>
      <c r="J112" s="604"/>
      <c r="K112" s="562"/>
      <c r="L112" s="604">
        <v>14.15</v>
      </c>
      <c r="M112" s="603"/>
      <c r="N112" s="602"/>
      <c r="V112" s="674"/>
      <c r="W112" s="675"/>
      <c r="X112" s="675"/>
      <c r="AB112" s="537" t="s">
        <v>1156</v>
      </c>
      <c r="AD112" s="675"/>
      <c r="AF112" s="680"/>
    </row>
    <row r="113" spans="1:32" s="536" customFormat="1" ht="33.75" x14ac:dyDescent="0.2">
      <c r="A113" s="605"/>
      <c r="B113" s="552" t="s">
        <v>1158</v>
      </c>
      <c r="C113" s="1822" t="s">
        <v>1159</v>
      </c>
      <c r="D113" s="1822"/>
      <c r="E113" s="1822"/>
      <c r="F113" s="562" t="s">
        <v>322</v>
      </c>
      <c r="G113" s="562" t="s">
        <v>791</v>
      </c>
      <c r="H113" s="562"/>
      <c r="I113" s="562" t="s">
        <v>791</v>
      </c>
      <c r="J113" s="604"/>
      <c r="K113" s="562"/>
      <c r="L113" s="604">
        <v>7.4</v>
      </c>
      <c r="M113" s="603"/>
      <c r="N113" s="602"/>
      <c r="V113" s="674"/>
      <c r="W113" s="675"/>
      <c r="X113" s="675"/>
      <c r="AB113" s="537" t="s">
        <v>1159</v>
      </c>
      <c r="AD113" s="675"/>
      <c r="AF113" s="680"/>
    </row>
    <row r="114" spans="1:32" s="536" customFormat="1" ht="12" x14ac:dyDescent="0.2">
      <c r="A114" s="569"/>
      <c r="B114" s="683"/>
      <c r="C114" s="1823" t="s">
        <v>327</v>
      </c>
      <c r="D114" s="1823"/>
      <c r="E114" s="1823"/>
      <c r="F114" s="573"/>
      <c r="G114" s="573"/>
      <c r="H114" s="573"/>
      <c r="I114" s="573"/>
      <c r="J114" s="572"/>
      <c r="K114" s="573"/>
      <c r="L114" s="572">
        <v>34.53</v>
      </c>
      <c r="M114" s="601"/>
      <c r="N114" s="570"/>
      <c r="V114" s="674"/>
      <c r="W114" s="675"/>
      <c r="X114" s="675"/>
      <c r="AD114" s="675" t="s">
        <v>327</v>
      </c>
      <c r="AF114" s="680"/>
    </row>
    <row r="115" spans="1:32" s="536" customFormat="1" ht="33.75" x14ac:dyDescent="0.2">
      <c r="A115" s="575" t="s">
        <v>195</v>
      </c>
      <c r="B115" s="684" t="s">
        <v>1202</v>
      </c>
      <c r="C115" s="1823" t="s">
        <v>1203</v>
      </c>
      <c r="D115" s="1823"/>
      <c r="E115" s="1823"/>
      <c r="F115" s="573" t="s">
        <v>617</v>
      </c>
      <c r="G115" s="573"/>
      <c r="H115" s="573"/>
      <c r="I115" s="573" t="s">
        <v>190</v>
      </c>
      <c r="J115" s="572">
        <v>249.4</v>
      </c>
      <c r="K115" s="573"/>
      <c r="L115" s="572">
        <v>1496.4</v>
      </c>
      <c r="M115" s="571"/>
      <c r="N115" s="570"/>
      <c r="V115" s="674"/>
      <c r="W115" s="675"/>
      <c r="X115" s="675" t="s">
        <v>1203</v>
      </c>
      <c r="AD115" s="675"/>
      <c r="AF115" s="680"/>
    </row>
    <row r="116" spans="1:32" s="536" customFormat="1" ht="12" x14ac:dyDescent="0.2">
      <c r="A116" s="569"/>
      <c r="B116" s="683"/>
      <c r="C116" s="689" t="s">
        <v>717</v>
      </c>
      <c r="D116" s="690"/>
      <c r="E116" s="690"/>
      <c r="F116" s="563"/>
      <c r="G116" s="563"/>
      <c r="H116" s="563"/>
      <c r="I116" s="563"/>
      <c r="J116" s="566"/>
      <c r="K116" s="563"/>
      <c r="L116" s="566"/>
      <c r="M116" s="565"/>
      <c r="N116" s="564"/>
      <c r="V116" s="674"/>
      <c r="W116" s="675"/>
      <c r="X116" s="675"/>
      <c r="AD116" s="675"/>
      <c r="AF116" s="680"/>
    </row>
    <row r="117" spans="1:32" s="536" customFormat="1" ht="12" x14ac:dyDescent="0.2">
      <c r="A117" s="676"/>
      <c r="B117" s="682"/>
      <c r="C117" s="1822" t="s">
        <v>1191</v>
      </c>
      <c r="D117" s="1822"/>
      <c r="E117" s="1822"/>
      <c r="F117" s="1822"/>
      <c r="G117" s="1822"/>
      <c r="H117" s="1822"/>
      <c r="I117" s="1822"/>
      <c r="J117" s="1822"/>
      <c r="K117" s="1822"/>
      <c r="L117" s="1822"/>
      <c r="M117" s="1822"/>
      <c r="N117" s="1827"/>
      <c r="V117" s="674"/>
      <c r="W117" s="675"/>
      <c r="X117" s="675"/>
      <c r="Y117" s="537" t="s">
        <v>1191</v>
      </c>
      <c r="AD117" s="675"/>
      <c r="AF117" s="680"/>
    </row>
    <row r="118" spans="1:32" s="536" customFormat="1" ht="33.75" x14ac:dyDescent="0.2">
      <c r="A118" s="575" t="s">
        <v>196</v>
      </c>
      <c r="B118" s="684" t="s">
        <v>1204</v>
      </c>
      <c r="C118" s="1823" t="s">
        <v>1205</v>
      </c>
      <c r="D118" s="1823"/>
      <c r="E118" s="1823"/>
      <c r="F118" s="573" t="s">
        <v>483</v>
      </c>
      <c r="G118" s="573"/>
      <c r="H118" s="573"/>
      <c r="I118" s="573" t="s">
        <v>757</v>
      </c>
      <c r="J118" s="572"/>
      <c r="K118" s="573"/>
      <c r="L118" s="572"/>
      <c r="M118" s="571"/>
      <c r="N118" s="570"/>
      <c r="V118" s="674"/>
      <c r="W118" s="675"/>
      <c r="X118" s="675" t="s">
        <v>1205</v>
      </c>
      <c r="AD118" s="675"/>
      <c r="AF118" s="680"/>
    </row>
    <row r="119" spans="1:32" s="536" customFormat="1" ht="12" x14ac:dyDescent="0.2">
      <c r="A119" s="676"/>
      <c r="B119" s="682"/>
      <c r="C119" s="1822" t="s">
        <v>1206</v>
      </c>
      <c r="D119" s="1822"/>
      <c r="E119" s="1822"/>
      <c r="F119" s="1822"/>
      <c r="G119" s="1822"/>
      <c r="H119" s="1822"/>
      <c r="I119" s="1822"/>
      <c r="J119" s="1822"/>
      <c r="K119" s="1822"/>
      <c r="L119" s="1822"/>
      <c r="M119" s="1822"/>
      <c r="N119" s="1827"/>
      <c r="V119" s="674"/>
      <c r="W119" s="675"/>
      <c r="X119" s="675"/>
      <c r="Y119" s="537" t="s">
        <v>1206</v>
      </c>
      <c r="AD119" s="675"/>
      <c r="AF119" s="680"/>
    </row>
    <row r="120" spans="1:32" s="536" customFormat="1" ht="33.75" x14ac:dyDescent="0.2">
      <c r="A120" s="609"/>
      <c r="B120" s="552" t="s">
        <v>310</v>
      </c>
      <c r="C120" s="1822" t="s">
        <v>311</v>
      </c>
      <c r="D120" s="1822"/>
      <c r="E120" s="1822"/>
      <c r="F120" s="1822"/>
      <c r="G120" s="1822"/>
      <c r="H120" s="1822"/>
      <c r="I120" s="1822"/>
      <c r="J120" s="1822"/>
      <c r="K120" s="1822"/>
      <c r="L120" s="1822"/>
      <c r="M120" s="1822"/>
      <c r="N120" s="1827"/>
      <c r="V120" s="674"/>
      <c r="W120" s="675"/>
      <c r="X120" s="675"/>
      <c r="Z120" s="537" t="s">
        <v>311</v>
      </c>
      <c r="AD120" s="675"/>
      <c r="AF120" s="680"/>
    </row>
    <row r="121" spans="1:32" s="536" customFormat="1" ht="12" x14ac:dyDescent="0.2">
      <c r="A121" s="605"/>
      <c r="B121" s="552" t="s">
        <v>185</v>
      </c>
      <c r="C121" s="1822" t="s">
        <v>312</v>
      </c>
      <c r="D121" s="1822"/>
      <c r="E121" s="1822"/>
      <c r="F121" s="562"/>
      <c r="G121" s="562"/>
      <c r="H121" s="562"/>
      <c r="I121" s="562"/>
      <c r="J121" s="604">
        <v>1.1499999999999999</v>
      </c>
      <c r="K121" s="562" t="s">
        <v>313</v>
      </c>
      <c r="L121" s="604">
        <v>34.5</v>
      </c>
      <c r="M121" s="603"/>
      <c r="N121" s="602"/>
      <c r="V121" s="674"/>
      <c r="W121" s="675"/>
      <c r="X121" s="675"/>
      <c r="AA121" s="537" t="s">
        <v>312</v>
      </c>
      <c r="AD121" s="675"/>
      <c r="AF121" s="680"/>
    </row>
    <row r="122" spans="1:32" s="536" customFormat="1" ht="12" x14ac:dyDescent="0.2">
      <c r="A122" s="605"/>
      <c r="B122" s="552" t="s">
        <v>188</v>
      </c>
      <c r="C122" s="1822" t="s">
        <v>475</v>
      </c>
      <c r="D122" s="1822"/>
      <c r="E122" s="1822"/>
      <c r="F122" s="562"/>
      <c r="G122" s="562"/>
      <c r="H122" s="562"/>
      <c r="I122" s="562"/>
      <c r="J122" s="604">
        <v>7.8</v>
      </c>
      <c r="K122" s="562"/>
      <c r="L122" s="604">
        <v>187.2</v>
      </c>
      <c r="M122" s="603"/>
      <c r="N122" s="602"/>
      <c r="V122" s="674"/>
      <c r="W122" s="675"/>
      <c r="X122" s="675"/>
      <c r="AA122" s="537" t="s">
        <v>475</v>
      </c>
      <c r="AD122" s="675"/>
      <c r="AF122" s="680"/>
    </row>
    <row r="123" spans="1:32" s="536" customFormat="1" ht="12" x14ac:dyDescent="0.2">
      <c r="A123" s="676"/>
      <c r="B123" s="677" t="s">
        <v>1207</v>
      </c>
      <c r="C123" s="1829" t="s">
        <v>1208</v>
      </c>
      <c r="D123" s="1829"/>
      <c r="E123" s="1829"/>
      <c r="F123" s="678" t="s">
        <v>483</v>
      </c>
      <c r="G123" s="678" t="s">
        <v>185</v>
      </c>
      <c r="H123" s="678"/>
      <c r="I123" s="678" t="s">
        <v>757</v>
      </c>
      <c r="J123" s="552"/>
      <c r="K123" s="562"/>
      <c r="L123" s="604"/>
      <c r="M123" s="562"/>
      <c r="N123" s="679"/>
      <c r="V123" s="674"/>
      <c r="W123" s="675"/>
      <c r="X123" s="675"/>
      <c r="AD123" s="675"/>
      <c r="AF123" s="680" t="s">
        <v>1208</v>
      </c>
    </row>
    <row r="124" spans="1:32" s="536" customFormat="1" ht="12" x14ac:dyDescent="0.2">
      <c r="A124" s="676"/>
      <c r="B124" s="677" t="s">
        <v>1198</v>
      </c>
      <c r="C124" s="1829" t="s">
        <v>1199</v>
      </c>
      <c r="D124" s="1829"/>
      <c r="E124" s="1829"/>
      <c r="F124" s="678" t="s">
        <v>617</v>
      </c>
      <c r="G124" s="678" t="s">
        <v>186</v>
      </c>
      <c r="H124" s="678"/>
      <c r="I124" s="678" t="s">
        <v>501</v>
      </c>
      <c r="J124" s="552"/>
      <c r="K124" s="562"/>
      <c r="L124" s="604"/>
      <c r="M124" s="562"/>
      <c r="N124" s="679"/>
      <c r="V124" s="674"/>
      <c r="W124" s="675"/>
      <c r="X124" s="675"/>
      <c r="AD124" s="675"/>
      <c r="AF124" s="680" t="s">
        <v>1199</v>
      </c>
    </row>
    <row r="125" spans="1:32" s="536" customFormat="1" ht="12" x14ac:dyDescent="0.2">
      <c r="A125" s="605"/>
      <c r="B125" s="552"/>
      <c r="C125" s="1822" t="s">
        <v>314</v>
      </c>
      <c r="D125" s="1822"/>
      <c r="E125" s="1822"/>
      <c r="F125" s="562" t="s">
        <v>315</v>
      </c>
      <c r="G125" s="562" t="s">
        <v>646</v>
      </c>
      <c r="H125" s="562" t="s">
        <v>313</v>
      </c>
      <c r="I125" s="562" t="s">
        <v>1209</v>
      </c>
      <c r="J125" s="604"/>
      <c r="K125" s="562"/>
      <c r="L125" s="604"/>
      <c r="M125" s="603"/>
      <c r="N125" s="602"/>
      <c r="V125" s="674"/>
      <c r="W125" s="675"/>
      <c r="X125" s="675"/>
      <c r="AB125" s="537" t="s">
        <v>314</v>
      </c>
      <c r="AD125" s="675"/>
      <c r="AF125" s="680"/>
    </row>
    <row r="126" spans="1:32" s="536" customFormat="1" ht="12" x14ac:dyDescent="0.2">
      <c r="A126" s="605"/>
      <c r="B126" s="552"/>
      <c r="C126" s="1828" t="s">
        <v>318</v>
      </c>
      <c r="D126" s="1828"/>
      <c r="E126" s="1828"/>
      <c r="F126" s="608"/>
      <c r="G126" s="608"/>
      <c r="H126" s="608"/>
      <c r="I126" s="608"/>
      <c r="J126" s="607">
        <v>8.9499999999999993</v>
      </c>
      <c r="K126" s="608"/>
      <c r="L126" s="607">
        <v>221.7</v>
      </c>
      <c r="M126" s="601"/>
      <c r="N126" s="606"/>
      <c r="V126" s="674"/>
      <c r="W126" s="675"/>
      <c r="X126" s="675"/>
      <c r="AC126" s="537" t="s">
        <v>318</v>
      </c>
      <c r="AD126" s="675"/>
      <c r="AF126" s="680"/>
    </row>
    <row r="127" spans="1:32" s="536" customFormat="1" ht="12" x14ac:dyDescent="0.2">
      <c r="A127" s="605"/>
      <c r="B127" s="552"/>
      <c r="C127" s="1822" t="s">
        <v>319</v>
      </c>
      <c r="D127" s="1822"/>
      <c r="E127" s="1822"/>
      <c r="F127" s="562"/>
      <c r="G127" s="562"/>
      <c r="H127" s="562"/>
      <c r="I127" s="562"/>
      <c r="J127" s="604"/>
      <c r="K127" s="562"/>
      <c r="L127" s="604">
        <v>34.5</v>
      </c>
      <c r="M127" s="603"/>
      <c r="N127" s="602"/>
      <c r="V127" s="674"/>
      <c r="W127" s="675"/>
      <c r="X127" s="675"/>
      <c r="AB127" s="537" t="s">
        <v>319</v>
      </c>
      <c r="AD127" s="675"/>
      <c r="AF127" s="680"/>
    </row>
    <row r="128" spans="1:32" s="536" customFormat="1" ht="33.75" x14ac:dyDescent="0.2">
      <c r="A128" s="605"/>
      <c r="B128" s="552" t="s">
        <v>1155</v>
      </c>
      <c r="C128" s="1822" t="s">
        <v>1156</v>
      </c>
      <c r="D128" s="1822"/>
      <c r="E128" s="1822"/>
      <c r="F128" s="562" t="s">
        <v>322</v>
      </c>
      <c r="G128" s="562" t="s">
        <v>1157</v>
      </c>
      <c r="H128" s="562"/>
      <c r="I128" s="562" t="s">
        <v>1157</v>
      </c>
      <c r="J128" s="604"/>
      <c r="K128" s="562"/>
      <c r="L128" s="604">
        <v>37.61</v>
      </c>
      <c r="M128" s="603"/>
      <c r="N128" s="602"/>
      <c r="V128" s="674"/>
      <c r="W128" s="675"/>
      <c r="X128" s="675"/>
      <c r="AB128" s="537" t="s">
        <v>1156</v>
      </c>
      <c r="AD128" s="675"/>
      <c r="AF128" s="680"/>
    </row>
    <row r="129" spans="1:32" s="536" customFormat="1" ht="33.75" x14ac:dyDescent="0.2">
      <c r="A129" s="605"/>
      <c r="B129" s="552" t="s">
        <v>1158</v>
      </c>
      <c r="C129" s="1822" t="s">
        <v>1159</v>
      </c>
      <c r="D129" s="1822"/>
      <c r="E129" s="1822"/>
      <c r="F129" s="562" t="s">
        <v>322</v>
      </c>
      <c r="G129" s="562" t="s">
        <v>791</v>
      </c>
      <c r="H129" s="562"/>
      <c r="I129" s="562" t="s">
        <v>791</v>
      </c>
      <c r="J129" s="604"/>
      <c r="K129" s="562"/>
      <c r="L129" s="604">
        <v>19.670000000000002</v>
      </c>
      <c r="M129" s="603"/>
      <c r="N129" s="602"/>
      <c r="V129" s="674"/>
      <c r="W129" s="675"/>
      <c r="X129" s="675"/>
      <c r="AB129" s="537" t="s">
        <v>1159</v>
      </c>
      <c r="AD129" s="675"/>
      <c r="AF129" s="680"/>
    </row>
    <row r="130" spans="1:32" s="536" customFormat="1" ht="12" x14ac:dyDescent="0.2">
      <c r="A130" s="569"/>
      <c r="B130" s="683"/>
      <c r="C130" s="1823" t="s">
        <v>327</v>
      </c>
      <c r="D130" s="1823"/>
      <c r="E130" s="1823"/>
      <c r="F130" s="573"/>
      <c r="G130" s="573"/>
      <c r="H130" s="573"/>
      <c r="I130" s="573"/>
      <c r="J130" s="572"/>
      <c r="K130" s="573"/>
      <c r="L130" s="572">
        <v>278.98</v>
      </c>
      <c r="M130" s="601"/>
      <c r="N130" s="570"/>
      <c r="V130" s="674"/>
      <c r="W130" s="675"/>
      <c r="X130" s="675"/>
      <c r="AD130" s="675" t="s">
        <v>327</v>
      </c>
      <c r="AF130" s="680"/>
    </row>
    <row r="131" spans="1:32" s="536" customFormat="1" ht="33.75" x14ac:dyDescent="0.2">
      <c r="A131" s="575" t="s">
        <v>197</v>
      </c>
      <c r="B131" s="684" t="s">
        <v>1210</v>
      </c>
      <c r="C131" s="1823" t="s">
        <v>1211</v>
      </c>
      <c r="D131" s="1823"/>
      <c r="E131" s="1823"/>
      <c r="F131" s="573" t="s">
        <v>617</v>
      </c>
      <c r="G131" s="573"/>
      <c r="H131" s="573"/>
      <c r="I131" s="573" t="s">
        <v>190</v>
      </c>
      <c r="J131" s="572">
        <v>357.8</v>
      </c>
      <c r="K131" s="573"/>
      <c r="L131" s="572">
        <v>2146.8000000000002</v>
      </c>
      <c r="M131" s="571"/>
      <c r="N131" s="570"/>
      <c r="V131" s="674"/>
      <c r="W131" s="675"/>
      <c r="X131" s="675" t="s">
        <v>1211</v>
      </c>
      <c r="AD131" s="675"/>
      <c r="AF131" s="680"/>
    </row>
    <row r="132" spans="1:32" s="536" customFormat="1" ht="12" x14ac:dyDescent="0.2">
      <c r="A132" s="569"/>
      <c r="B132" s="683"/>
      <c r="C132" s="689" t="s">
        <v>717</v>
      </c>
      <c r="D132" s="690"/>
      <c r="E132" s="690"/>
      <c r="F132" s="563"/>
      <c r="G132" s="563"/>
      <c r="H132" s="563"/>
      <c r="I132" s="563"/>
      <c r="J132" s="566"/>
      <c r="K132" s="563"/>
      <c r="L132" s="566"/>
      <c r="M132" s="565"/>
      <c r="N132" s="564"/>
      <c r="V132" s="674"/>
      <c r="W132" s="675"/>
      <c r="X132" s="675"/>
      <c r="AD132" s="675"/>
      <c r="AF132" s="680"/>
    </row>
    <row r="133" spans="1:32" s="536" customFormat="1" ht="12" x14ac:dyDescent="0.2">
      <c r="A133" s="676"/>
      <c r="B133" s="682"/>
      <c r="C133" s="1822" t="s">
        <v>1191</v>
      </c>
      <c r="D133" s="1822"/>
      <c r="E133" s="1822"/>
      <c r="F133" s="1822"/>
      <c r="G133" s="1822"/>
      <c r="H133" s="1822"/>
      <c r="I133" s="1822"/>
      <c r="J133" s="1822"/>
      <c r="K133" s="1822"/>
      <c r="L133" s="1822"/>
      <c r="M133" s="1822"/>
      <c r="N133" s="1827"/>
      <c r="V133" s="674"/>
      <c r="W133" s="675"/>
      <c r="X133" s="675"/>
      <c r="Y133" s="537" t="s">
        <v>1191</v>
      </c>
      <c r="AD133" s="675"/>
      <c r="AF133" s="680"/>
    </row>
    <row r="134" spans="1:32" s="536" customFormat="1" ht="33.75" x14ac:dyDescent="0.2">
      <c r="A134" s="575" t="s">
        <v>198</v>
      </c>
      <c r="B134" s="684" t="s">
        <v>1212</v>
      </c>
      <c r="C134" s="1823" t="s">
        <v>1213</v>
      </c>
      <c r="D134" s="1823"/>
      <c r="E134" s="1823"/>
      <c r="F134" s="573" t="s">
        <v>617</v>
      </c>
      <c r="G134" s="573"/>
      <c r="H134" s="573"/>
      <c r="I134" s="573" t="s">
        <v>190</v>
      </c>
      <c r="J134" s="572">
        <v>119.27</v>
      </c>
      <c r="K134" s="573"/>
      <c r="L134" s="572">
        <v>715.62</v>
      </c>
      <c r="M134" s="571"/>
      <c r="N134" s="570"/>
      <c r="V134" s="674"/>
      <c r="W134" s="675"/>
      <c r="X134" s="675" t="s">
        <v>1213</v>
      </c>
      <c r="AD134" s="675"/>
      <c r="AF134" s="680"/>
    </row>
    <row r="135" spans="1:32" s="536" customFormat="1" ht="12" x14ac:dyDescent="0.2">
      <c r="A135" s="569"/>
      <c r="B135" s="683"/>
      <c r="C135" s="689" t="s">
        <v>717</v>
      </c>
      <c r="D135" s="690"/>
      <c r="E135" s="690"/>
      <c r="F135" s="563"/>
      <c r="G135" s="563"/>
      <c r="H135" s="563"/>
      <c r="I135" s="563"/>
      <c r="J135" s="566"/>
      <c r="K135" s="563"/>
      <c r="L135" s="566"/>
      <c r="M135" s="565"/>
      <c r="N135" s="564"/>
      <c r="V135" s="674"/>
      <c r="W135" s="675"/>
      <c r="X135" s="675"/>
      <c r="AD135" s="675"/>
      <c r="AF135" s="680"/>
    </row>
    <row r="136" spans="1:32" s="536" customFormat="1" ht="12" x14ac:dyDescent="0.2">
      <c r="A136" s="676"/>
      <c r="B136" s="682"/>
      <c r="C136" s="1822" t="s">
        <v>1191</v>
      </c>
      <c r="D136" s="1822"/>
      <c r="E136" s="1822"/>
      <c r="F136" s="1822"/>
      <c r="G136" s="1822"/>
      <c r="H136" s="1822"/>
      <c r="I136" s="1822"/>
      <c r="J136" s="1822"/>
      <c r="K136" s="1822"/>
      <c r="L136" s="1822"/>
      <c r="M136" s="1822"/>
      <c r="N136" s="1827"/>
      <c r="V136" s="674"/>
      <c r="W136" s="675"/>
      <c r="X136" s="675"/>
      <c r="Y136" s="537" t="s">
        <v>1191</v>
      </c>
      <c r="AD136" s="675"/>
      <c r="AF136" s="680"/>
    </row>
    <row r="137" spans="1:32" s="536" customFormat="1" ht="22.5" x14ac:dyDescent="0.2">
      <c r="A137" s="575" t="s">
        <v>199</v>
      </c>
      <c r="B137" s="684" t="s">
        <v>1214</v>
      </c>
      <c r="C137" s="1823" t="s">
        <v>1215</v>
      </c>
      <c r="D137" s="1823"/>
      <c r="E137" s="1823"/>
      <c r="F137" s="573" t="s">
        <v>617</v>
      </c>
      <c r="G137" s="573"/>
      <c r="H137" s="573"/>
      <c r="I137" s="573" t="s">
        <v>430</v>
      </c>
      <c r="J137" s="572"/>
      <c r="K137" s="573"/>
      <c r="L137" s="572"/>
      <c r="M137" s="571"/>
      <c r="N137" s="570"/>
      <c r="V137" s="674"/>
      <c r="W137" s="675"/>
      <c r="X137" s="675" t="s">
        <v>1215</v>
      </c>
      <c r="AD137" s="675"/>
      <c r="AF137" s="680"/>
    </row>
    <row r="138" spans="1:32" s="536" customFormat="1" ht="12" x14ac:dyDescent="0.2">
      <c r="A138" s="676"/>
      <c r="B138" s="682"/>
      <c r="C138" s="1822" t="s">
        <v>1216</v>
      </c>
      <c r="D138" s="1822"/>
      <c r="E138" s="1822"/>
      <c r="F138" s="1822"/>
      <c r="G138" s="1822"/>
      <c r="H138" s="1822"/>
      <c r="I138" s="1822"/>
      <c r="J138" s="1822"/>
      <c r="K138" s="1822"/>
      <c r="L138" s="1822"/>
      <c r="M138" s="1822"/>
      <c r="N138" s="1827"/>
      <c r="V138" s="674"/>
      <c r="W138" s="675"/>
      <c r="X138" s="675"/>
      <c r="Y138" s="537" t="s">
        <v>1216</v>
      </c>
      <c r="AD138" s="675"/>
      <c r="AF138" s="680"/>
    </row>
    <row r="139" spans="1:32" s="536" customFormat="1" ht="33.75" x14ac:dyDescent="0.2">
      <c r="A139" s="609"/>
      <c r="B139" s="552" t="s">
        <v>310</v>
      </c>
      <c r="C139" s="1822" t="s">
        <v>311</v>
      </c>
      <c r="D139" s="1822"/>
      <c r="E139" s="1822"/>
      <c r="F139" s="1822"/>
      <c r="G139" s="1822"/>
      <c r="H139" s="1822"/>
      <c r="I139" s="1822"/>
      <c r="J139" s="1822"/>
      <c r="K139" s="1822"/>
      <c r="L139" s="1822"/>
      <c r="M139" s="1822"/>
      <c r="N139" s="1827"/>
      <c r="V139" s="674"/>
      <c r="W139" s="675"/>
      <c r="X139" s="675"/>
      <c r="Z139" s="537" t="s">
        <v>311</v>
      </c>
      <c r="AD139" s="675"/>
      <c r="AF139" s="680"/>
    </row>
    <row r="140" spans="1:32" s="536" customFormat="1" ht="12" x14ac:dyDescent="0.2">
      <c r="A140" s="605"/>
      <c r="B140" s="552" t="s">
        <v>185</v>
      </c>
      <c r="C140" s="1822" t="s">
        <v>312</v>
      </c>
      <c r="D140" s="1822"/>
      <c r="E140" s="1822"/>
      <c r="F140" s="562"/>
      <c r="G140" s="562"/>
      <c r="H140" s="562"/>
      <c r="I140" s="562"/>
      <c r="J140" s="604">
        <v>1.1499999999999999</v>
      </c>
      <c r="K140" s="562" t="s">
        <v>313</v>
      </c>
      <c r="L140" s="604">
        <v>25.88</v>
      </c>
      <c r="M140" s="603"/>
      <c r="N140" s="602"/>
      <c r="V140" s="674"/>
      <c r="W140" s="675"/>
      <c r="X140" s="675"/>
      <c r="AA140" s="537" t="s">
        <v>312</v>
      </c>
      <c r="AD140" s="675"/>
      <c r="AF140" s="680"/>
    </row>
    <row r="141" spans="1:32" s="536" customFormat="1" ht="12" x14ac:dyDescent="0.2">
      <c r="A141" s="676"/>
      <c r="B141" s="677" t="s">
        <v>1198</v>
      </c>
      <c r="C141" s="1829" t="s">
        <v>1199</v>
      </c>
      <c r="D141" s="1829"/>
      <c r="E141" s="1829"/>
      <c r="F141" s="678" t="s">
        <v>617</v>
      </c>
      <c r="G141" s="678" t="s">
        <v>185</v>
      </c>
      <c r="H141" s="678"/>
      <c r="I141" s="678" t="s">
        <v>430</v>
      </c>
      <c r="J141" s="552"/>
      <c r="K141" s="562"/>
      <c r="L141" s="604"/>
      <c r="M141" s="562"/>
      <c r="N141" s="679"/>
      <c r="V141" s="674"/>
      <c r="W141" s="675"/>
      <c r="X141" s="675"/>
      <c r="AD141" s="675"/>
      <c r="AF141" s="680" t="s">
        <v>1199</v>
      </c>
    </row>
    <row r="142" spans="1:32" s="536" customFormat="1" ht="12" x14ac:dyDescent="0.2">
      <c r="A142" s="605"/>
      <c r="B142" s="552"/>
      <c r="C142" s="1822" t="s">
        <v>314</v>
      </c>
      <c r="D142" s="1822"/>
      <c r="E142" s="1822"/>
      <c r="F142" s="562" t="s">
        <v>315</v>
      </c>
      <c r="G142" s="562" t="s">
        <v>646</v>
      </c>
      <c r="H142" s="562" t="s">
        <v>313</v>
      </c>
      <c r="I142" s="562" t="s">
        <v>1217</v>
      </c>
      <c r="J142" s="604"/>
      <c r="K142" s="562"/>
      <c r="L142" s="604"/>
      <c r="M142" s="603"/>
      <c r="N142" s="602"/>
      <c r="V142" s="674"/>
      <c r="W142" s="675"/>
      <c r="X142" s="675"/>
      <c r="AB142" s="537" t="s">
        <v>314</v>
      </c>
      <c r="AD142" s="675"/>
      <c r="AF142" s="680"/>
    </row>
    <row r="143" spans="1:32" s="536" customFormat="1" ht="12" x14ac:dyDescent="0.2">
      <c r="A143" s="605"/>
      <c r="B143" s="552"/>
      <c r="C143" s="1828" t="s">
        <v>318</v>
      </c>
      <c r="D143" s="1828"/>
      <c r="E143" s="1828"/>
      <c r="F143" s="608"/>
      <c r="G143" s="608"/>
      <c r="H143" s="608"/>
      <c r="I143" s="608"/>
      <c r="J143" s="607">
        <v>1.1499999999999999</v>
      </c>
      <c r="K143" s="608"/>
      <c r="L143" s="607">
        <v>25.88</v>
      </c>
      <c r="M143" s="601"/>
      <c r="N143" s="606"/>
      <c r="V143" s="674"/>
      <c r="W143" s="675"/>
      <c r="X143" s="675"/>
      <c r="AC143" s="537" t="s">
        <v>318</v>
      </c>
      <c r="AD143" s="675"/>
      <c r="AF143" s="680"/>
    </row>
    <row r="144" spans="1:32" s="536" customFormat="1" ht="12" x14ac:dyDescent="0.2">
      <c r="A144" s="605"/>
      <c r="B144" s="552"/>
      <c r="C144" s="1822" t="s">
        <v>319</v>
      </c>
      <c r="D144" s="1822"/>
      <c r="E144" s="1822"/>
      <c r="F144" s="562"/>
      <c r="G144" s="562"/>
      <c r="H144" s="562"/>
      <c r="I144" s="562"/>
      <c r="J144" s="604"/>
      <c r="K144" s="562"/>
      <c r="L144" s="604">
        <v>25.88</v>
      </c>
      <c r="M144" s="603"/>
      <c r="N144" s="602"/>
      <c r="V144" s="674"/>
      <c r="W144" s="675"/>
      <c r="X144" s="675"/>
      <c r="AB144" s="537" t="s">
        <v>319</v>
      </c>
      <c r="AD144" s="675"/>
      <c r="AF144" s="680"/>
    </row>
    <row r="145" spans="1:32" s="536" customFormat="1" ht="33.75" x14ac:dyDescent="0.2">
      <c r="A145" s="605"/>
      <c r="B145" s="552" t="s">
        <v>1155</v>
      </c>
      <c r="C145" s="1822" t="s">
        <v>1156</v>
      </c>
      <c r="D145" s="1822"/>
      <c r="E145" s="1822"/>
      <c r="F145" s="562" t="s">
        <v>322</v>
      </c>
      <c r="G145" s="562" t="s">
        <v>1157</v>
      </c>
      <c r="H145" s="562"/>
      <c r="I145" s="562" t="s">
        <v>1157</v>
      </c>
      <c r="J145" s="604"/>
      <c r="K145" s="562"/>
      <c r="L145" s="604">
        <v>28.21</v>
      </c>
      <c r="M145" s="603"/>
      <c r="N145" s="602"/>
      <c r="V145" s="674"/>
      <c r="W145" s="675"/>
      <c r="X145" s="675"/>
      <c r="AB145" s="537" t="s">
        <v>1156</v>
      </c>
      <c r="AD145" s="675"/>
      <c r="AF145" s="680"/>
    </row>
    <row r="146" spans="1:32" s="536" customFormat="1" ht="33.75" x14ac:dyDescent="0.2">
      <c r="A146" s="605"/>
      <c r="B146" s="552" t="s">
        <v>1158</v>
      </c>
      <c r="C146" s="1822" t="s">
        <v>1159</v>
      </c>
      <c r="D146" s="1822"/>
      <c r="E146" s="1822"/>
      <c r="F146" s="562" t="s">
        <v>322</v>
      </c>
      <c r="G146" s="562" t="s">
        <v>791</v>
      </c>
      <c r="H146" s="562"/>
      <c r="I146" s="562" t="s">
        <v>791</v>
      </c>
      <c r="J146" s="604"/>
      <c r="K146" s="562"/>
      <c r="L146" s="604">
        <v>14.75</v>
      </c>
      <c r="M146" s="603"/>
      <c r="N146" s="602"/>
      <c r="V146" s="674"/>
      <c r="W146" s="675"/>
      <c r="X146" s="675"/>
      <c r="AB146" s="537" t="s">
        <v>1159</v>
      </c>
      <c r="AD146" s="675"/>
      <c r="AF146" s="680"/>
    </row>
    <row r="147" spans="1:32" s="536" customFormat="1" ht="12" x14ac:dyDescent="0.2">
      <c r="A147" s="569"/>
      <c r="B147" s="683"/>
      <c r="C147" s="1823" t="s">
        <v>327</v>
      </c>
      <c r="D147" s="1823"/>
      <c r="E147" s="1823"/>
      <c r="F147" s="573"/>
      <c r="G147" s="573"/>
      <c r="H147" s="573"/>
      <c r="I147" s="573"/>
      <c r="J147" s="572"/>
      <c r="K147" s="573"/>
      <c r="L147" s="572">
        <v>68.84</v>
      </c>
      <c r="M147" s="601"/>
      <c r="N147" s="570"/>
      <c r="V147" s="674"/>
      <c r="W147" s="675"/>
      <c r="X147" s="675"/>
      <c r="AD147" s="675" t="s">
        <v>327</v>
      </c>
      <c r="AF147" s="680"/>
    </row>
    <row r="148" spans="1:32" s="536" customFormat="1" ht="33.75" x14ac:dyDescent="0.2">
      <c r="A148" s="575" t="s">
        <v>200</v>
      </c>
      <c r="B148" s="684" t="s">
        <v>1218</v>
      </c>
      <c r="C148" s="1823" t="s">
        <v>1219</v>
      </c>
      <c r="D148" s="1823"/>
      <c r="E148" s="1823"/>
      <c r="F148" s="573" t="s">
        <v>617</v>
      </c>
      <c r="G148" s="573"/>
      <c r="H148" s="573"/>
      <c r="I148" s="573" t="s">
        <v>196</v>
      </c>
      <c r="J148" s="572">
        <v>83.12</v>
      </c>
      <c r="K148" s="573"/>
      <c r="L148" s="572">
        <v>997.44</v>
      </c>
      <c r="M148" s="571"/>
      <c r="N148" s="570"/>
      <c r="V148" s="674"/>
      <c r="W148" s="675"/>
      <c r="X148" s="675" t="s">
        <v>1219</v>
      </c>
      <c r="AD148" s="675"/>
      <c r="AF148" s="680"/>
    </row>
    <row r="149" spans="1:32" s="536" customFormat="1" ht="12" x14ac:dyDescent="0.2">
      <c r="A149" s="569"/>
      <c r="B149" s="683"/>
      <c r="C149" s="689" t="s">
        <v>717</v>
      </c>
      <c r="D149" s="690"/>
      <c r="E149" s="690"/>
      <c r="F149" s="563"/>
      <c r="G149" s="563"/>
      <c r="H149" s="563"/>
      <c r="I149" s="563"/>
      <c r="J149" s="566"/>
      <c r="K149" s="563"/>
      <c r="L149" s="566"/>
      <c r="M149" s="565"/>
      <c r="N149" s="564"/>
      <c r="V149" s="674"/>
      <c r="W149" s="675"/>
      <c r="X149" s="675"/>
      <c r="AD149" s="675"/>
      <c r="AF149" s="680"/>
    </row>
    <row r="150" spans="1:32" s="536" customFormat="1" ht="12" x14ac:dyDescent="0.2">
      <c r="A150" s="676"/>
      <c r="B150" s="682"/>
      <c r="C150" s="1822" t="s">
        <v>1220</v>
      </c>
      <c r="D150" s="1822"/>
      <c r="E150" s="1822"/>
      <c r="F150" s="1822"/>
      <c r="G150" s="1822"/>
      <c r="H150" s="1822"/>
      <c r="I150" s="1822"/>
      <c r="J150" s="1822"/>
      <c r="K150" s="1822"/>
      <c r="L150" s="1822"/>
      <c r="M150" s="1822"/>
      <c r="N150" s="1827"/>
      <c r="V150" s="674"/>
      <c r="W150" s="675"/>
      <c r="X150" s="675"/>
      <c r="Y150" s="537" t="s">
        <v>1220</v>
      </c>
      <c r="AD150" s="675"/>
      <c r="AF150" s="680"/>
    </row>
    <row r="151" spans="1:32" s="536" customFormat="1" ht="45" x14ac:dyDescent="0.2">
      <c r="A151" s="575" t="s">
        <v>425</v>
      </c>
      <c r="B151" s="684" t="s">
        <v>1221</v>
      </c>
      <c r="C151" s="1823" t="s">
        <v>1222</v>
      </c>
      <c r="D151" s="1823"/>
      <c r="E151" s="1823"/>
      <c r="F151" s="573" t="s">
        <v>617</v>
      </c>
      <c r="G151" s="573"/>
      <c r="H151" s="573"/>
      <c r="I151" s="573" t="s">
        <v>190</v>
      </c>
      <c r="J151" s="572">
        <v>83.12</v>
      </c>
      <c r="K151" s="573"/>
      <c r="L151" s="572">
        <v>498.72</v>
      </c>
      <c r="M151" s="571"/>
      <c r="N151" s="570"/>
      <c r="V151" s="674"/>
      <c r="W151" s="675"/>
      <c r="X151" s="675" t="s">
        <v>1222</v>
      </c>
      <c r="AD151" s="675"/>
      <c r="AF151" s="680"/>
    </row>
    <row r="152" spans="1:32" s="536" customFormat="1" ht="12" x14ac:dyDescent="0.2">
      <c r="A152" s="569"/>
      <c r="B152" s="683"/>
      <c r="C152" s="689" t="s">
        <v>717</v>
      </c>
      <c r="D152" s="690"/>
      <c r="E152" s="690"/>
      <c r="F152" s="563"/>
      <c r="G152" s="563"/>
      <c r="H152" s="563"/>
      <c r="I152" s="563"/>
      <c r="J152" s="566"/>
      <c r="K152" s="563"/>
      <c r="L152" s="566"/>
      <c r="M152" s="565"/>
      <c r="N152" s="564"/>
      <c r="V152" s="674"/>
      <c r="W152" s="675"/>
      <c r="X152" s="675"/>
      <c r="AD152" s="675"/>
      <c r="AF152" s="680"/>
    </row>
    <row r="153" spans="1:32" s="536" customFormat="1" ht="12" x14ac:dyDescent="0.2">
      <c r="A153" s="676"/>
      <c r="B153" s="682"/>
      <c r="C153" s="1822" t="s">
        <v>1191</v>
      </c>
      <c r="D153" s="1822"/>
      <c r="E153" s="1822"/>
      <c r="F153" s="1822"/>
      <c r="G153" s="1822"/>
      <c r="H153" s="1822"/>
      <c r="I153" s="1822"/>
      <c r="J153" s="1822"/>
      <c r="K153" s="1822"/>
      <c r="L153" s="1822"/>
      <c r="M153" s="1822"/>
      <c r="N153" s="1827"/>
      <c r="V153" s="674"/>
      <c r="W153" s="675"/>
      <c r="X153" s="675"/>
      <c r="Y153" s="537" t="s">
        <v>1191</v>
      </c>
      <c r="AD153" s="675"/>
      <c r="AF153" s="680"/>
    </row>
    <row r="154" spans="1:32" s="536" customFormat="1" ht="12" x14ac:dyDescent="0.2">
      <c r="A154" s="1830" t="s">
        <v>1223</v>
      </c>
      <c r="B154" s="1831"/>
      <c r="C154" s="1831"/>
      <c r="D154" s="1831"/>
      <c r="E154" s="1831"/>
      <c r="F154" s="1831"/>
      <c r="G154" s="1831"/>
      <c r="H154" s="1831"/>
      <c r="I154" s="1831"/>
      <c r="J154" s="1831"/>
      <c r="K154" s="1831"/>
      <c r="L154" s="1831"/>
      <c r="M154" s="1831"/>
      <c r="N154" s="1832"/>
      <c r="V154" s="674"/>
      <c r="W154" s="675" t="s">
        <v>1223</v>
      </c>
      <c r="X154" s="675"/>
      <c r="AD154" s="675"/>
      <c r="AF154" s="680"/>
    </row>
    <row r="155" spans="1:32" s="536" customFormat="1" ht="22.5" x14ac:dyDescent="0.2">
      <c r="A155" s="575" t="s">
        <v>430</v>
      </c>
      <c r="B155" s="684" t="s">
        <v>1224</v>
      </c>
      <c r="C155" s="1823" t="s">
        <v>1225</v>
      </c>
      <c r="D155" s="1823"/>
      <c r="E155" s="1823"/>
      <c r="F155" s="573" t="s">
        <v>1110</v>
      </c>
      <c r="G155" s="573"/>
      <c r="H155" s="573"/>
      <c r="I155" s="573" t="s">
        <v>1226</v>
      </c>
      <c r="J155" s="572"/>
      <c r="K155" s="573"/>
      <c r="L155" s="572"/>
      <c r="M155" s="571"/>
      <c r="N155" s="570"/>
      <c r="V155" s="674"/>
      <c r="W155" s="675"/>
      <c r="X155" s="675" t="s">
        <v>1225</v>
      </c>
      <c r="AD155" s="675"/>
      <c r="AF155" s="680"/>
    </row>
    <row r="156" spans="1:32" s="536" customFormat="1" ht="12" x14ac:dyDescent="0.2">
      <c r="A156" s="676"/>
      <c r="B156" s="682"/>
      <c r="C156" s="1822" t="s">
        <v>1227</v>
      </c>
      <c r="D156" s="1822"/>
      <c r="E156" s="1822"/>
      <c r="F156" s="1822"/>
      <c r="G156" s="1822"/>
      <c r="H156" s="1822"/>
      <c r="I156" s="1822"/>
      <c r="J156" s="1822"/>
      <c r="K156" s="1822"/>
      <c r="L156" s="1822"/>
      <c r="M156" s="1822"/>
      <c r="N156" s="1827"/>
      <c r="V156" s="674"/>
      <c r="W156" s="675"/>
      <c r="X156" s="675"/>
      <c r="Y156" s="537" t="s">
        <v>1227</v>
      </c>
      <c r="AD156" s="675"/>
      <c r="AF156" s="680"/>
    </row>
    <row r="157" spans="1:32" s="536" customFormat="1" ht="33.75" x14ac:dyDescent="0.2">
      <c r="A157" s="609"/>
      <c r="B157" s="552" t="s">
        <v>310</v>
      </c>
      <c r="C157" s="1822" t="s">
        <v>311</v>
      </c>
      <c r="D157" s="1822"/>
      <c r="E157" s="1822"/>
      <c r="F157" s="1822"/>
      <c r="G157" s="1822"/>
      <c r="H157" s="1822"/>
      <c r="I157" s="1822"/>
      <c r="J157" s="1822"/>
      <c r="K157" s="1822"/>
      <c r="L157" s="1822"/>
      <c r="M157" s="1822"/>
      <c r="N157" s="1827"/>
      <c r="V157" s="674"/>
      <c r="W157" s="675"/>
      <c r="X157" s="675"/>
      <c r="Z157" s="537" t="s">
        <v>311</v>
      </c>
      <c r="AD157" s="675"/>
      <c r="AF157" s="680"/>
    </row>
    <row r="158" spans="1:32" s="536" customFormat="1" ht="12" x14ac:dyDescent="0.2">
      <c r="A158" s="605"/>
      <c r="B158" s="552" t="s">
        <v>185</v>
      </c>
      <c r="C158" s="1822" t="s">
        <v>312</v>
      </c>
      <c r="D158" s="1822"/>
      <c r="E158" s="1822"/>
      <c r="F158" s="562"/>
      <c r="G158" s="562"/>
      <c r="H158" s="562"/>
      <c r="I158" s="562"/>
      <c r="J158" s="604">
        <v>49.82</v>
      </c>
      <c r="K158" s="562" t="s">
        <v>313</v>
      </c>
      <c r="L158" s="604">
        <v>6.35</v>
      </c>
      <c r="M158" s="603"/>
      <c r="N158" s="602"/>
      <c r="V158" s="674"/>
      <c r="W158" s="675"/>
      <c r="X158" s="675"/>
      <c r="AA158" s="537" t="s">
        <v>312</v>
      </c>
      <c r="AD158" s="675"/>
      <c r="AF158" s="680"/>
    </row>
    <row r="159" spans="1:32" s="536" customFormat="1" ht="12" x14ac:dyDescent="0.2">
      <c r="A159" s="605"/>
      <c r="B159" s="552" t="s">
        <v>186</v>
      </c>
      <c r="C159" s="1822" t="s">
        <v>344</v>
      </c>
      <c r="D159" s="1822"/>
      <c r="E159" s="1822"/>
      <c r="F159" s="562"/>
      <c r="G159" s="562"/>
      <c r="H159" s="562"/>
      <c r="I159" s="562"/>
      <c r="J159" s="604">
        <v>6.09</v>
      </c>
      <c r="K159" s="562" t="s">
        <v>313</v>
      </c>
      <c r="L159" s="604">
        <v>0.78</v>
      </c>
      <c r="M159" s="603"/>
      <c r="N159" s="602"/>
      <c r="V159" s="674"/>
      <c r="W159" s="675"/>
      <c r="X159" s="675"/>
      <c r="AA159" s="537" t="s">
        <v>344</v>
      </c>
      <c r="AD159" s="675"/>
      <c r="AF159" s="680"/>
    </row>
    <row r="160" spans="1:32" s="536" customFormat="1" ht="12" x14ac:dyDescent="0.2">
      <c r="A160" s="605"/>
      <c r="B160" s="552" t="s">
        <v>187</v>
      </c>
      <c r="C160" s="1822" t="s">
        <v>345</v>
      </c>
      <c r="D160" s="1822"/>
      <c r="E160" s="1822"/>
      <c r="F160" s="562"/>
      <c r="G160" s="562"/>
      <c r="H160" s="562"/>
      <c r="I160" s="562"/>
      <c r="J160" s="604">
        <v>1.28</v>
      </c>
      <c r="K160" s="562" t="s">
        <v>313</v>
      </c>
      <c r="L160" s="604">
        <v>0.16</v>
      </c>
      <c r="M160" s="603"/>
      <c r="N160" s="602"/>
      <c r="V160" s="674"/>
      <c r="W160" s="675"/>
      <c r="X160" s="675"/>
      <c r="AA160" s="537" t="s">
        <v>345</v>
      </c>
      <c r="AD160" s="675"/>
      <c r="AF160" s="680"/>
    </row>
    <row r="161" spans="1:32" s="536" customFormat="1" ht="12" x14ac:dyDescent="0.2">
      <c r="A161" s="676"/>
      <c r="B161" s="677" t="s">
        <v>1228</v>
      </c>
      <c r="C161" s="1829" t="s">
        <v>1229</v>
      </c>
      <c r="D161" s="1829"/>
      <c r="E161" s="1829"/>
      <c r="F161" s="678" t="s">
        <v>694</v>
      </c>
      <c r="G161" s="678" t="s">
        <v>525</v>
      </c>
      <c r="H161" s="678"/>
      <c r="I161" s="678" t="s">
        <v>525</v>
      </c>
      <c r="J161" s="552"/>
      <c r="K161" s="562"/>
      <c r="L161" s="604"/>
      <c r="M161" s="562"/>
      <c r="N161" s="679"/>
      <c r="V161" s="674"/>
      <c r="W161" s="675"/>
      <c r="X161" s="675"/>
      <c r="AD161" s="675"/>
      <c r="AF161" s="680" t="s">
        <v>1229</v>
      </c>
    </row>
    <row r="162" spans="1:32" s="536" customFormat="1" ht="12" x14ac:dyDescent="0.2">
      <c r="A162" s="605"/>
      <c r="B162" s="552"/>
      <c r="C162" s="1822" t="s">
        <v>314</v>
      </c>
      <c r="D162" s="1822"/>
      <c r="E162" s="1822"/>
      <c r="F162" s="562" t="s">
        <v>315</v>
      </c>
      <c r="G162" s="562" t="s">
        <v>1230</v>
      </c>
      <c r="H162" s="562" t="s">
        <v>313</v>
      </c>
      <c r="I162" s="562" t="s">
        <v>1231</v>
      </c>
      <c r="J162" s="604"/>
      <c r="K162" s="562"/>
      <c r="L162" s="604"/>
      <c r="M162" s="603"/>
      <c r="N162" s="602"/>
      <c r="V162" s="674"/>
      <c r="W162" s="675"/>
      <c r="X162" s="675"/>
      <c r="AB162" s="537" t="s">
        <v>314</v>
      </c>
      <c r="AD162" s="675"/>
      <c r="AF162" s="680"/>
    </row>
    <row r="163" spans="1:32" s="536" customFormat="1" ht="12" x14ac:dyDescent="0.2">
      <c r="A163" s="605"/>
      <c r="B163" s="552"/>
      <c r="C163" s="1822" t="s">
        <v>348</v>
      </c>
      <c r="D163" s="1822"/>
      <c r="E163" s="1822"/>
      <c r="F163" s="562" t="s">
        <v>315</v>
      </c>
      <c r="G163" s="562" t="s">
        <v>1232</v>
      </c>
      <c r="H163" s="562" t="s">
        <v>313</v>
      </c>
      <c r="I163" s="562" t="s">
        <v>1233</v>
      </c>
      <c r="J163" s="604"/>
      <c r="K163" s="562"/>
      <c r="L163" s="604"/>
      <c r="M163" s="603"/>
      <c r="N163" s="602"/>
      <c r="V163" s="674"/>
      <c r="W163" s="675"/>
      <c r="X163" s="675"/>
      <c r="AB163" s="537" t="s">
        <v>348</v>
      </c>
      <c r="AD163" s="675"/>
      <c r="AF163" s="680"/>
    </row>
    <row r="164" spans="1:32" s="536" customFormat="1" ht="12" x14ac:dyDescent="0.2">
      <c r="A164" s="605"/>
      <c r="B164" s="552"/>
      <c r="C164" s="1828" t="s">
        <v>318</v>
      </c>
      <c r="D164" s="1828"/>
      <c r="E164" s="1828"/>
      <c r="F164" s="608"/>
      <c r="G164" s="608"/>
      <c r="H164" s="608"/>
      <c r="I164" s="608"/>
      <c r="J164" s="607">
        <v>55.91</v>
      </c>
      <c r="K164" s="608"/>
      <c r="L164" s="607">
        <v>7.13</v>
      </c>
      <c r="M164" s="601"/>
      <c r="N164" s="606"/>
      <c r="V164" s="674"/>
      <c r="W164" s="675"/>
      <c r="X164" s="675"/>
      <c r="AC164" s="537" t="s">
        <v>318</v>
      </c>
      <c r="AD164" s="675"/>
      <c r="AF164" s="680"/>
    </row>
    <row r="165" spans="1:32" s="536" customFormat="1" ht="12" x14ac:dyDescent="0.2">
      <c r="A165" s="605"/>
      <c r="B165" s="552"/>
      <c r="C165" s="1822" t="s">
        <v>319</v>
      </c>
      <c r="D165" s="1822"/>
      <c r="E165" s="1822"/>
      <c r="F165" s="562"/>
      <c r="G165" s="562"/>
      <c r="H165" s="562"/>
      <c r="I165" s="562"/>
      <c r="J165" s="604"/>
      <c r="K165" s="562"/>
      <c r="L165" s="604">
        <v>6.51</v>
      </c>
      <c r="M165" s="603"/>
      <c r="N165" s="602"/>
      <c r="V165" s="674"/>
      <c r="W165" s="675"/>
      <c r="X165" s="675"/>
      <c r="AB165" s="537" t="s">
        <v>319</v>
      </c>
      <c r="AD165" s="675"/>
      <c r="AF165" s="680"/>
    </row>
    <row r="166" spans="1:32" s="536" customFormat="1" ht="33.75" x14ac:dyDescent="0.2">
      <c r="A166" s="605"/>
      <c r="B166" s="552" t="s">
        <v>1155</v>
      </c>
      <c r="C166" s="1822" t="s">
        <v>1156</v>
      </c>
      <c r="D166" s="1822"/>
      <c r="E166" s="1822"/>
      <c r="F166" s="562" t="s">
        <v>322</v>
      </c>
      <c r="G166" s="562" t="s">
        <v>1157</v>
      </c>
      <c r="H166" s="562"/>
      <c r="I166" s="562" t="s">
        <v>1157</v>
      </c>
      <c r="J166" s="604"/>
      <c r="K166" s="562"/>
      <c r="L166" s="604">
        <v>7.1</v>
      </c>
      <c r="M166" s="603"/>
      <c r="N166" s="602"/>
      <c r="V166" s="674"/>
      <c r="W166" s="675"/>
      <c r="X166" s="675"/>
      <c r="AB166" s="537" t="s">
        <v>1156</v>
      </c>
      <c r="AD166" s="675"/>
      <c r="AF166" s="680"/>
    </row>
    <row r="167" spans="1:32" s="536" customFormat="1" ht="33.75" x14ac:dyDescent="0.2">
      <c r="A167" s="605"/>
      <c r="B167" s="552" t="s">
        <v>1158</v>
      </c>
      <c r="C167" s="1822" t="s">
        <v>1159</v>
      </c>
      <c r="D167" s="1822"/>
      <c r="E167" s="1822"/>
      <c r="F167" s="562" t="s">
        <v>322</v>
      </c>
      <c r="G167" s="562" t="s">
        <v>791</v>
      </c>
      <c r="H167" s="562"/>
      <c r="I167" s="562" t="s">
        <v>791</v>
      </c>
      <c r="J167" s="604"/>
      <c r="K167" s="562"/>
      <c r="L167" s="604">
        <v>3.71</v>
      </c>
      <c r="M167" s="603"/>
      <c r="N167" s="602"/>
      <c r="V167" s="674"/>
      <c r="W167" s="675"/>
      <c r="X167" s="675"/>
      <c r="AB167" s="537" t="s">
        <v>1159</v>
      </c>
      <c r="AD167" s="675"/>
      <c r="AF167" s="680"/>
    </row>
    <row r="168" spans="1:32" s="536" customFormat="1" ht="12" x14ac:dyDescent="0.2">
      <c r="A168" s="569"/>
      <c r="B168" s="683"/>
      <c r="C168" s="1823" t="s">
        <v>327</v>
      </c>
      <c r="D168" s="1823"/>
      <c r="E168" s="1823"/>
      <c r="F168" s="573"/>
      <c r="G168" s="573"/>
      <c r="H168" s="573"/>
      <c r="I168" s="573"/>
      <c r="J168" s="572"/>
      <c r="K168" s="573"/>
      <c r="L168" s="572">
        <v>17.940000000000001</v>
      </c>
      <c r="M168" s="601"/>
      <c r="N168" s="570"/>
      <c r="V168" s="674"/>
      <c r="W168" s="675"/>
      <c r="X168" s="675"/>
      <c r="AD168" s="675" t="s">
        <v>327</v>
      </c>
      <c r="AF168" s="680"/>
    </row>
    <row r="169" spans="1:32" s="536" customFormat="1" ht="33.75" x14ac:dyDescent="0.2">
      <c r="A169" s="575" t="s">
        <v>436</v>
      </c>
      <c r="B169" s="684" t="s">
        <v>1234</v>
      </c>
      <c r="C169" s="1823" t="s">
        <v>1235</v>
      </c>
      <c r="D169" s="1823"/>
      <c r="E169" s="1823"/>
      <c r="F169" s="573" t="s">
        <v>1236</v>
      </c>
      <c r="G169" s="573"/>
      <c r="H169" s="573"/>
      <c r="I169" s="573" t="s">
        <v>187</v>
      </c>
      <c r="J169" s="572">
        <v>1670.07</v>
      </c>
      <c r="K169" s="573" t="s">
        <v>716</v>
      </c>
      <c r="L169" s="572">
        <v>614.17999999999995</v>
      </c>
      <c r="M169" s="571">
        <v>8.32</v>
      </c>
      <c r="N169" s="570">
        <v>5110</v>
      </c>
      <c r="V169" s="674"/>
      <c r="W169" s="675"/>
      <c r="X169" s="675" t="s">
        <v>1235</v>
      </c>
      <c r="AD169" s="675"/>
      <c r="AF169" s="680"/>
    </row>
    <row r="170" spans="1:32" s="536" customFormat="1" ht="12" x14ac:dyDescent="0.2">
      <c r="A170" s="569"/>
      <c r="B170" s="683"/>
      <c r="C170" s="689" t="s">
        <v>1173</v>
      </c>
      <c r="D170" s="690"/>
      <c r="E170" s="690"/>
      <c r="F170" s="563"/>
      <c r="G170" s="563"/>
      <c r="H170" s="563"/>
      <c r="I170" s="563"/>
      <c r="J170" s="566"/>
      <c r="K170" s="563"/>
      <c r="L170" s="566"/>
      <c r="M170" s="565"/>
      <c r="N170" s="564"/>
      <c r="V170" s="674"/>
      <c r="W170" s="675"/>
      <c r="X170" s="675"/>
      <c r="AD170" s="675"/>
      <c r="AF170" s="680"/>
    </row>
    <row r="171" spans="1:32" s="536" customFormat="1" ht="12" x14ac:dyDescent="0.2">
      <c r="A171" s="676"/>
      <c r="B171" s="682"/>
      <c r="C171" s="1822" t="s">
        <v>1237</v>
      </c>
      <c r="D171" s="1822"/>
      <c r="E171" s="1822"/>
      <c r="F171" s="1822"/>
      <c r="G171" s="1822"/>
      <c r="H171" s="1822"/>
      <c r="I171" s="1822"/>
      <c r="J171" s="1822"/>
      <c r="K171" s="1822"/>
      <c r="L171" s="1822"/>
      <c r="M171" s="1822"/>
      <c r="N171" s="1827"/>
      <c r="V171" s="674"/>
      <c r="W171" s="675"/>
      <c r="X171" s="675"/>
      <c r="Y171" s="537" t="s">
        <v>1237</v>
      </c>
      <c r="AD171" s="675"/>
      <c r="AF171" s="680"/>
    </row>
    <row r="172" spans="1:32" s="536" customFormat="1" ht="22.5" x14ac:dyDescent="0.2">
      <c r="A172" s="609"/>
      <c r="B172" s="552" t="s">
        <v>718</v>
      </c>
      <c r="C172" s="1822" t="s">
        <v>719</v>
      </c>
      <c r="D172" s="1822"/>
      <c r="E172" s="1822"/>
      <c r="F172" s="1822"/>
      <c r="G172" s="1822"/>
      <c r="H172" s="1822"/>
      <c r="I172" s="1822"/>
      <c r="J172" s="1822"/>
      <c r="K172" s="1822"/>
      <c r="L172" s="1822"/>
      <c r="M172" s="1822"/>
      <c r="N172" s="1827"/>
      <c r="V172" s="674"/>
      <c r="W172" s="675"/>
      <c r="X172" s="675"/>
      <c r="Z172" s="537" t="s">
        <v>719</v>
      </c>
      <c r="AD172" s="675"/>
      <c r="AF172" s="680"/>
    </row>
    <row r="173" spans="1:32" s="536" customFormat="1" ht="12" x14ac:dyDescent="0.2">
      <c r="A173" s="1830" t="s">
        <v>1238</v>
      </c>
      <c r="B173" s="1831"/>
      <c r="C173" s="1831"/>
      <c r="D173" s="1831"/>
      <c r="E173" s="1831"/>
      <c r="F173" s="1831"/>
      <c r="G173" s="1831"/>
      <c r="H173" s="1831"/>
      <c r="I173" s="1831"/>
      <c r="J173" s="1831"/>
      <c r="K173" s="1831"/>
      <c r="L173" s="1831"/>
      <c r="M173" s="1831"/>
      <c r="N173" s="1832"/>
      <c r="V173" s="674"/>
      <c r="W173" s="675" t="s">
        <v>1238</v>
      </c>
      <c r="X173" s="675"/>
      <c r="AD173" s="675"/>
      <c r="AF173" s="680"/>
    </row>
    <row r="174" spans="1:32" s="536" customFormat="1" ht="22.5" x14ac:dyDescent="0.2">
      <c r="A174" s="575" t="s">
        <v>733</v>
      </c>
      <c r="B174" s="684" t="s">
        <v>1239</v>
      </c>
      <c r="C174" s="1823" t="s">
        <v>1240</v>
      </c>
      <c r="D174" s="1823"/>
      <c r="E174" s="1823"/>
      <c r="F174" s="573" t="s">
        <v>862</v>
      </c>
      <c r="G174" s="573"/>
      <c r="H174" s="573"/>
      <c r="I174" s="573" t="s">
        <v>646</v>
      </c>
      <c r="J174" s="572"/>
      <c r="K174" s="573"/>
      <c r="L174" s="572"/>
      <c r="M174" s="571"/>
      <c r="N174" s="570"/>
      <c r="V174" s="674"/>
      <c r="W174" s="675"/>
      <c r="X174" s="675" t="s">
        <v>1240</v>
      </c>
      <c r="AD174" s="675"/>
      <c r="AF174" s="680"/>
    </row>
    <row r="175" spans="1:32" s="536" customFormat="1" ht="12" x14ac:dyDescent="0.2">
      <c r="A175" s="676"/>
      <c r="B175" s="682"/>
      <c r="C175" s="1822" t="s">
        <v>1241</v>
      </c>
      <c r="D175" s="1822"/>
      <c r="E175" s="1822"/>
      <c r="F175" s="1822"/>
      <c r="G175" s="1822"/>
      <c r="H175" s="1822"/>
      <c r="I175" s="1822"/>
      <c r="J175" s="1822"/>
      <c r="K175" s="1822"/>
      <c r="L175" s="1822"/>
      <c r="M175" s="1822"/>
      <c r="N175" s="1827"/>
      <c r="V175" s="674"/>
      <c r="W175" s="675"/>
      <c r="X175" s="675"/>
      <c r="Y175" s="537" t="s">
        <v>1241</v>
      </c>
      <c r="AD175" s="675"/>
      <c r="AF175" s="680"/>
    </row>
    <row r="176" spans="1:32" s="536" customFormat="1" ht="33.75" x14ac:dyDescent="0.2">
      <c r="A176" s="609"/>
      <c r="B176" s="552" t="s">
        <v>310</v>
      </c>
      <c r="C176" s="1822" t="s">
        <v>311</v>
      </c>
      <c r="D176" s="1822"/>
      <c r="E176" s="1822"/>
      <c r="F176" s="1822"/>
      <c r="G176" s="1822"/>
      <c r="H176" s="1822"/>
      <c r="I176" s="1822"/>
      <c r="J176" s="1822"/>
      <c r="K176" s="1822"/>
      <c r="L176" s="1822"/>
      <c r="M176" s="1822"/>
      <c r="N176" s="1827"/>
      <c r="V176" s="674"/>
      <c r="W176" s="675"/>
      <c r="X176" s="675"/>
      <c r="Z176" s="537" t="s">
        <v>311</v>
      </c>
      <c r="AD176" s="675"/>
      <c r="AF176" s="680"/>
    </row>
    <row r="177" spans="1:32" s="536" customFormat="1" ht="12" x14ac:dyDescent="0.2">
      <c r="A177" s="605"/>
      <c r="B177" s="552" t="s">
        <v>185</v>
      </c>
      <c r="C177" s="1822" t="s">
        <v>312</v>
      </c>
      <c r="D177" s="1822"/>
      <c r="E177" s="1822"/>
      <c r="F177" s="562"/>
      <c r="G177" s="562"/>
      <c r="H177" s="562"/>
      <c r="I177" s="562"/>
      <c r="J177" s="604">
        <v>282.66000000000003</v>
      </c>
      <c r="K177" s="562" t="s">
        <v>313</v>
      </c>
      <c r="L177" s="604">
        <v>42.4</v>
      </c>
      <c r="M177" s="603"/>
      <c r="N177" s="602"/>
      <c r="V177" s="674"/>
      <c r="W177" s="675"/>
      <c r="X177" s="675"/>
      <c r="AA177" s="537" t="s">
        <v>312</v>
      </c>
      <c r="AD177" s="675"/>
      <c r="AF177" s="680"/>
    </row>
    <row r="178" spans="1:32" s="536" customFormat="1" ht="12" x14ac:dyDescent="0.2">
      <c r="A178" s="605"/>
      <c r="B178" s="552" t="s">
        <v>186</v>
      </c>
      <c r="C178" s="1822" t="s">
        <v>344</v>
      </c>
      <c r="D178" s="1822"/>
      <c r="E178" s="1822"/>
      <c r="F178" s="562"/>
      <c r="G178" s="562"/>
      <c r="H178" s="562"/>
      <c r="I178" s="562"/>
      <c r="J178" s="604">
        <v>43.61</v>
      </c>
      <c r="K178" s="562" t="s">
        <v>313</v>
      </c>
      <c r="L178" s="604">
        <v>6.54</v>
      </c>
      <c r="M178" s="603"/>
      <c r="N178" s="602"/>
      <c r="V178" s="674"/>
      <c r="W178" s="675"/>
      <c r="X178" s="675"/>
      <c r="AA178" s="537" t="s">
        <v>344</v>
      </c>
      <c r="AD178" s="675"/>
      <c r="AF178" s="680"/>
    </row>
    <row r="179" spans="1:32" s="536" customFormat="1" ht="12" x14ac:dyDescent="0.2">
      <c r="A179" s="605"/>
      <c r="B179" s="552" t="s">
        <v>187</v>
      </c>
      <c r="C179" s="1822" t="s">
        <v>345</v>
      </c>
      <c r="D179" s="1822"/>
      <c r="E179" s="1822"/>
      <c r="F179" s="562"/>
      <c r="G179" s="562"/>
      <c r="H179" s="562"/>
      <c r="I179" s="562"/>
      <c r="J179" s="604">
        <v>17.149999999999999</v>
      </c>
      <c r="K179" s="562" t="s">
        <v>313</v>
      </c>
      <c r="L179" s="604">
        <v>2.57</v>
      </c>
      <c r="M179" s="603"/>
      <c r="N179" s="602"/>
      <c r="V179" s="674"/>
      <c r="W179" s="675"/>
      <c r="X179" s="675"/>
      <c r="AA179" s="537" t="s">
        <v>345</v>
      </c>
      <c r="AD179" s="675"/>
      <c r="AF179" s="680"/>
    </row>
    <row r="180" spans="1:32" s="536" customFormat="1" ht="12" x14ac:dyDescent="0.2">
      <c r="A180" s="605"/>
      <c r="B180" s="552" t="s">
        <v>188</v>
      </c>
      <c r="C180" s="1822" t="s">
        <v>475</v>
      </c>
      <c r="D180" s="1822"/>
      <c r="E180" s="1822"/>
      <c r="F180" s="562"/>
      <c r="G180" s="562"/>
      <c r="H180" s="562"/>
      <c r="I180" s="562"/>
      <c r="J180" s="604">
        <v>8.5399999999999991</v>
      </c>
      <c r="K180" s="562"/>
      <c r="L180" s="604">
        <v>1.02</v>
      </c>
      <c r="M180" s="603"/>
      <c r="N180" s="602"/>
      <c r="V180" s="674"/>
      <c r="W180" s="675"/>
      <c r="X180" s="675"/>
      <c r="AA180" s="537" t="s">
        <v>475</v>
      </c>
      <c r="AD180" s="675"/>
      <c r="AF180" s="680"/>
    </row>
    <row r="181" spans="1:32" s="536" customFormat="1" ht="22.5" x14ac:dyDescent="0.2">
      <c r="A181" s="676"/>
      <c r="B181" s="677" t="s">
        <v>1242</v>
      </c>
      <c r="C181" s="1829" t="s">
        <v>1243</v>
      </c>
      <c r="D181" s="1829"/>
      <c r="E181" s="1829"/>
      <c r="F181" s="678" t="s">
        <v>641</v>
      </c>
      <c r="G181" s="678" t="s">
        <v>1244</v>
      </c>
      <c r="H181" s="678"/>
      <c r="I181" s="678" t="s">
        <v>1245</v>
      </c>
      <c r="J181" s="552"/>
      <c r="K181" s="562"/>
      <c r="L181" s="604"/>
      <c r="M181" s="562"/>
      <c r="N181" s="679"/>
      <c r="V181" s="674"/>
      <c r="W181" s="675"/>
      <c r="X181" s="675"/>
      <c r="AD181" s="675"/>
      <c r="AF181" s="680" t="s">
        <v>1243</v>
      </c>
    </row>
    <row r="182" spans="1:32" s="536" customFormat="1" ht="12" x14ac:dyDescent="0.2">
      <c r="A182" s="605"/>
      <c r="B182" s="552"/>
      <c r="C182" s="1822" t="s">
        <v>314</v>
      </c>
      <c r="D182" s="1822"/>
      <c r="E182" s="1822"/>
      <c r="F182" s="562" t="s">
        <v>315</v>
      </c>
      <c r="G182" s="562" t="s">
        <v>1246</v>
      </c>
      <c r="H182" s="562" t="s">
        <v>313</v>
      </c>
      <c r="I182" s="562" t="s">
        <v>1247</v>
      </c>
      <c r="J182" s="604"/>
      <c r="K182" s="562"/>
      <c r="L182" s="604"/>
      <c r="M182" s="603"/>
      <c r="N182" s="602"/>
      <c r="V182" s="674"/>
      <c r="W182" s="675"/>
      <c r="X182" s="675"/>
      <c r="AB182" s="537" t="s">
        <v>314</v>
      </c>
      <c r="AD182" s="675"/>
      <c r="AF182" s="680"/>
    </row>
    <row r="183" spans="1:32" s="536" customFormat="1" ht="12" x14ac:dyDescent="0.2">
      <c r="A183" s="605"/>
      <c r="B183" s="552"/>
      <c r="C183" s="1822" t="s">
        <v>348</v>
      </c>
      <c r="D183" s="1822"/>
      <c r="E183" s="1822"/>
      <c r="F183" s="562" t="s">
        <v>315</v>
      </c>
      <c r="G183" s="562" t="s">
        <v>1248</v>
      </c>
      <c r="H183" s="562" t="s">
        <v>313</v>
      </c>
      <c r="I183" s="562" t="s">
        <v>1249</v>
      </c>
      <c r="J183" s="604"/>
      <c r="K183" s="562"/>
      <c r="L183" s="604"/>
      <c r="M183" s="603"/>
      <c r="N183" s="602"/>
      <c r="V183" s="674"/>
      <c r="W183" s="675"/>
      <c r="X183" s="675"/>
      <c r="AB183" s="537" t="s">
        <v>348</v>
      </c>
      <c r="AD183" s="675"/>
      <c r="AF183" s="680"/>
    </row>
    <row r="184" spans="1:32" s="536" customFormat="1" ht="12" x14ac:dyDescent="0.2">
      <c r="A184" s="605"/>
      <c r="B184" s="552"/>
      <c r="C184" s="1828" t="s">
        <v>318</v>
      </c>
      <c r="D184" s="1828"/>
      <c r="E184" s="1828"/>
      <c r="F184" s="608"/>
      <c r="G184" s="608"/>
      <c r="H184" s="608"/>
      <c r="I184" s="608"/>
      <c r="J184" s="607">
        <v>334.81</v>
      </c>
      <c r="K184" s="608"/>
      <c r="L184" s="607">
        <v>49.96</v>
      </c>
      <c r="M184" s="601"/>
      <c r="N184" s="606"/>
      <c r="V184" s="674"/>
      <c r="W184" s="675"/>
      <c r="X184" s="675"/>
      <c r="AC184" s="537" t="s">
        <v>318</v>
      </c>
      <c r="AD184" s="675"/>
      <c r="AF184" s="680"/>
    </row>
    <row r="185" spans="1:32" s="536" customFormat="1" ht="12" x14ac:dyDescent="0.2">
      <c r="A185" s="605"/>
      <c r="B185" s="552"/>
      <c r="C185" s="1822" t="s">
        <v>319</v>
      </c>
      <c r="D185" s="1822"/>
      <c r="E185" s="1822"/>
      <c r="F185" s="562"/>
      <c r="G185" s="562"/>
      <c r="H185" s="562"/>
      <c r="I185" s="562"/>
      <c r="J185" s="604"/>
      <c r="K185" s="562"/>
      <c r="L185" s="604">
        <v>44.97</v>
      </c>
      <c r="M185" s="603"/>
      <c r="N185" s="602"/>
      <c r="V185" s="674"/>
      <c r="W185" s="675"/>
      <c r="X185" s="675"/>
      <c r="AB185" s="537" t="s">
        <v>319</v>
      </c>
      <c r="AD185" s="675"/>
      <c r="AF185" s="680"/>
    </row>
    <row r="186" spans="1:32" s="536" customFormat="1" ht="33.75" x14ac:dyDescent="0.2">
      <c r="A186" s="605"/>
      <c r="B186" s="552" t="s">
        <v>1250</v>
      </c>
      <c r="C186" s="1822" t="s">
        <v>1251</v>
      </c>
      <c r="D186" s="1822"/>
      <c r="E186" s="1822"/>
      <c r="F186" s="562" t="s">
        <v>322</v>
      </c>
      <c r="G186" s="562" t="s">
        <v>1252</v>
      </c>
      <c r="H186" s="562"/>
      <c r="I186" s="562" t="s">
        <v>1252</v>
      </c>
      <c r="J186" s="604"/>
      <c r="K186" s="562"/>
      <c r="L186" s="604">
        <v>50.37</v>
      </c>
      <c r="M186" s="603"/>
      <c r="N186" s="602"/>
      <c r="V186" s="674"/>
      <c r="W186" s="675"/>
      <c r="X186" s="675"/>
      <c r="AB186" s="537" t="s">
        <v>1251</v>
      </c>
      <c r="AD186" s="675"/>
      <c r="AF186" s="680"/>
    </row>
    <row r="187" spans="1:32" s="536" customFormat="1" ht="33.75" x14ac:dyDescent="0.2">
      <c r="A187" s="605"/>
      <c r="B187" s="552" t="s">
        <v>1253</v>
      </c>
      <c r="C187" s="1822" t="s">
        <v>1254</v>
      </c>
      <c r="D187" s="1822"/>
      <c r="E187" s="1822"/>
      <c r="F187" s="562" t="s">
        <v>322</v>
      </c>
      <c r="G187" s="562" t="s">
        <v>796</v>
      </c>
      <c r="H187" s="562"/>
      <c r="I187" s="562" t="s">
        <v>796</v>
      </c>
      <c r="J187" s="604"/>
      <c r="K187" s="562"/>
      <c r="L187" s="604">
        <v>29.23</v>
      </c>
      <c r="M187" s="603"/>
      <c r="N187" s="602"/>
      <c r="V187" s="674"/>
      <c r="W187" s="675"/>
      <c r="X187" s="675"/>
      <c r="AB187" s="537" t="s">
        <v>1254</v>
      </c>
      <c r="AD187" s="675"/>
      <c r="AF187" s="680"/>
    </row>
    <row r="188" spans="1:32" s="536" customFormat="1" ht="12" x14ac:dyDescent="0.2">
      <c r="A188" s="569"/>
      <c r="B188" s="683"/>
      <c r="C188" s="1823" t="s">
        <v>327</v>
      </c>
      <c r="D188" s="1823"/>
      <c r="E188" s="1823"/>
      <c r="F188" s="573"/>
      <c r="G188" s="573"/>
      <c r="H188" s="573"/>
      <c r="I188" s="573"/>
      <c r="J188" s="572"/>
      <c r="K188" s="573"/>
      <c r="L188" s="572">
        <v>129.56</v>
      </c>
      <c r="M188" s="601"/>
      <c r="N188" s="570"/>
      <c r="V188" s="674"/>
      <c r="W188" s="675"/>
      <c r="X188" s="675"/>
      <c r="AD188" s="675" t="s">
        <v>327</v>
      </c>
      <c r="AF188" s="680"/>
    </row>
    <row r="189" spans="1:32" s="536" customFormat="1" ht="22.5" x14ac:dyDescent="0.2">
      <c r="A189" s="575" t="s">
        <v>736</v>
      </c>
      <c r="B189" s="684" t="s">
        <v>1255</v>
      </c>
      <c r="C189" s="1823" t="s">
        <v>1256</v>
      </c>
      <c r="D189" s="1823"/>
      <c r="E189" s="1823"/>
      <c r="F189" s="573" t="s">
        <v>641</v>
      </c>
      <c r="G189" s="573"/>
      <c r="H189" s="573"/>
      <c r="I189" s="573" t="s">
        <v>1257</v>
      </c>
      <c r="J189" s="572">
        <v>600</v>
      </c>
      <c r="K189" s="573"/>
      <c r="L189" s="572">
        <v>147</v>
      </c>
      <c r="M189" s="571"/>
      <c r="N189" s="570"/>
      <c r="V189" s="674"/>
      <c r="W189" s="675"/>
      <c r="X189" s="675" t="s">
        <v>1256</v>
      </c>
      <c r="AD189" s="675"/>
      <c r="AF189" s="680"/>
    </row>
    <row r="190" spans="1:32" s="536" customFormat="1" ht="12" x14ac:dyDescent="0.2">
      <c r="A190" s="569"/>
      <c r="B190" s="683"/>
      <c r="C190" s="689" t="s">
        <v>717</v>
      </c>
      <c r="D190" s="690"/>
      <c r="E190" s="690"/>
      <c r="F190" s="563"/>
      <c r="G190" s="563"/>
      <c r="H190" s="563"/>
      <c r="I190" s="563"/>
      <c r="J190" s="566"/>
      <c r="K190" s="563"/>
      <c r="L190" s="566"/>
      <c r="M190" s="565"/>
      <c r="N190" s="564"/>
      <c r="V190" s="674"/>
      <c r="W190" s="675"/>
      <c r="X190" s="675"/>
      <c r="AD190" s="675"/>
      <c r="AF190" s="680"/>
    </row>
    <row r="191" spans="1:32" s="536" customFormat="1" ht="12" x14ac:dyDescent="0.2">
      <c r="A191" s="676"/>
      <c r="B191" s="682"/>
      <c r="C191" s="1822" t="s">
        <v>1258</v>
      </c>
      <c r="D191" s="1822"/>
      <c r="E191" s="1822"/>
      <c r="F191" s="1822"/>
      <c r="G191" s="1822"/>
      <c r="H191" s="1822"/>
      <c r="I191" s="1822"/>
      <c r="J191" s="1822"/>
      <c r="K191" s="1822"/>
      <c r="L191" s="1822"/>
      <c r="M191" s="1822"/>
      <c r="N191" s="1827"/>
      <c r="V191" s="674"/>
      <c r="W191" s="675"/>
      <c r="X191" s="675"/>
      <c r="Y191" s="537" t="s">
        <v>1258</v>
      </c>
      <c r="AD191" s="675"/>
      <c r="AF191" s="680"/>
    </row>
    <row r="192" spans="1:32" s="536" customFormat="1" ht="45" x14ac:dyDescent="0.2">
      <c r="A192" s="575" t="s">
        <v>1067</v>
      </c>
      <c r="B192" s="684" t="s">
        <v>1259</v>
      </c>
      <c r="C192" s="1823" t="s">
        <v>1260</v>
      </c>
      <c r="D192" s="1823"/>
      <c r="E192" s="1823"/>
      <c r="F192" s="573" t="s">
        <v>862</v>
      </c>
      <c r="G192" s="573"/>
      <c r="H192" s="573"/>
      <c r="I192" s="573" t="s">
        <v>646</v>
      </c>
      <c r="J192" s="572"/>
      <c r="K192" s="573"/>
      <c r="L192" s="572"/>
      <c r="M192" s="571"/>
      <c r="N192" s="570"/>
      <c r="V192" s="674"/>
      <c r="W192" s="675"/>
      <c r="X192" s="675" t="s">
        <v>1260</v>
      </c>
      <c r="AD192" s="675"/>
      <c r="AF192" s="680"/>
    </row>
    <row r="193" spans="1:32" s="536" customFormat="1" ht="12" x14ac:dyDescent="0.2">
      <c r="A193" s="676"/>
      <c r="B193" s="682"/>
      <c r="C193" s="1822" t="s">
        <v>1241</v>
      </c>
      <c r="D193" s="1822"/>
      <c r="E193" s="1822"/>
      <c r="F193" s="1822"/>
      <c r="G193" s="1822"/>
      <c r="H193" s="1822"/>
      <c r="I193" s="1822"/>
      <c r="J193" s="1822"/>
      <c r="K193" s="1822"/>
      <c r="L193" s="1822"/>
      <c r="M193" s="1822"/>
      <c r="N193" s="1827"/>
      <c r="V193" s="674"/>
      <c r="W193" s="675"/>
      <c r="X193" s="675"/>
      <c r="Y193" s="537" t="s">
        <v>1241</v>
      </c>
      <c r="AD193" s="675"/>
      <c r="AF193" s="680"/>
    </row>
    <row r="194" spans="1:32" s="536" customFormat="1" ht="12" x14ac:dyDescent="0.2">
      <c r="A194" s="609"/>
      <c r="B194" s="552"/>
      <c r="C194" s="1822" t="s">
        <v>1261</v>
      </c>
      <c r="D194" s="1822"/>
      <c r="E194" s="1822"/>
      <c r="F194" s="1822"/>
      <c r="G194" s="1822"/>
      <c r="H194" s="1822"/>
      <c r="I194" s="1822"/>
      <c r="J194" s="1822"/>
      <c r="K194" s="1822"/>
      <c r="L194" s="1822"/>
      <c r="M194" s="1822"/>
      <c r="N194" s="1827"/>
      <c r="V194" s="674"/>
      <c r="W194" s="675"/>
      <c r="X194" s="675"/>
      <c r="Z194" s="537" t="s">
        <v>1261</v>
      </c>
      <c r="AD194" s="675"/>
      <c r="AF194" s="680"/>
    </row>
    <row r="195" spans="1:32" s="536" customFormat="1" ht="33.75" x14ac:dyDescent="0.2">
      <c r="A195" s="609"/>
      <c r="B195" s="552" t="s">
        <v>310</v>
      </c>
      <c r="C195" s="1822" t="s">
        <v>311</v>
      </c>
      <c r="D195" s="1822"/>
      <c r="E195" s="1822"/>
      <c r="F195" s="1822"/>
      <c r="G195" s="1822"/>
      <c r="H195" s="1822"/>
      <c r="I195" s="1822"/>
      <c r="J195" s="1822"/>
      <c r="K195" s="1822"/>
      <c r="L195" s="1822"/>
      <c r="M195" s="1822"/>
      <c r="N195" s="1827"/>
      <c r="V195" s="674"/>
      <c r="W195" s="675"/>
      <c r="X195" s="675"/>
      <c r="Z195" s="537" t="s">
        <v>311</v>
      </c>
      <c r="AD195" s="675"/>
      <c r="AF195" s="680"/>
    </row>
    <row r="196" spans="1:32" s="536" customFormat="1" ht="12" x14ac:dyDescent="0.2">
      <c r="A196" s="605"/>
      <c r="B196" s="552" t="s">
        <v>185</v>
      </c>
      <c r="C196" s="1822" t="s">
        <v>312</v>
      </c>
      <c r="D196" s="1822"/>
      <c r="E196" s="1822"/>
      <c r="F196" s="562"/>
      <c r="G196" s="562"/>
      <c r="H196" s="562"/>
      <c r="I196" s="562"/>
      <c r="J196" s="604">
        <v>3.49</v>
      </c>
      <c r="K196" s="562" t="s">
        <v>194</v>
      </c>
      <c r="L196" s="604">
        <v>4.1900000000000004</v>
      </c>
      <c r="M196" s="603"/>
      <c r="N196" s="602"/>
      <c r="V196" s="674"/>
      <c r="W196" s="675"/>
      <c r="X196" s="675"/>
      <c r="AA196" s="537" t="s">
        <v>312</v>
      </c>
      <c r="AD196" s="675"/>
      <c r="AF196" s="680"/>
    </row>
    <row r="197" spans="1:32" s="536" customFormat="1" ht="12" x14ac:dyDescent="0.2">
      <c r="A197" s="605"/>
      <c r="B197" s="552" t="s">
        <v>186</v>
      </c>
      <c r="C197" s="1822" t="s">
        <v>344</v>
      </c>
      <c r="D197" s="1822"/>
      <c r="E197" s="1822"/>
      <c r="F197" s="562"/>
      <c r="G197" s="562"/>
      <c r="H197" s="562"/>
      <c r="I197" s="562"/>
      <c r="J197" s="604">
        <v>7.56</v>
      </c>
      <c r="K197" s="562" t="s">
        <v>194</v>
      </c>
      <c r="L197" s="604">
        <v>9.07</v>
      </c>
      <c r="M197" s="603"/>
      <c r="N197" s="602"/>
      <c r="V197" s="674"/>
      <c r="W197" s="675"/>
      <c r="X197" s="675"/>
      <c r="AA197" s="537" t="s">
        <v>344</v>
      </c>
      <c r="AD197" s="675"/>
      <c r="AF197" s="680"/>
    </row>
    <row r="198" spans="1:32" s="536" customFormat="1" ht="12" x14ac:dyDescent="0.2">
      <c r="A198" s="605"/>
      <c r="B198" s="552" t="s">
        <v>187</v>
      </c>
      <c r="C198" s="1822" t="s">
        <v>345</v>
      </c>
      <c r="D198" s="1822"/>
      <c r="E198" s="1822"/>
      <c r="F198" s="562"/>
      <c r="G198" s="562"/>
      <c r="H198" s="562"/>
      <c r="I198" s="562"/>
      <c r="J198" s="604">
        <v>2.84</v>
      </c>
      <c r="K198" s="562" t="s">
        <v>194</v>
      </c>
      <c r="L198" s="604">
        <v>3.41</v>
      </c>
      <c r="M198" s="603"/>
      <c r="N198" s="602"/>
      <c r="V198" s="674"/>
      <c r="W198" s="675"/>
      <c r="X198" s="675"/>
      <c r="AA198" s="537" t="s">
        <v>345</v>
      </c>
      <c r="AD198" s="675"/>
      <c r="AF198" s="680"/>
    </row>
    <row r="199" spans="1:32" s="536" customFormat="1" ht="22.5" x14ac:dyDescent="0.2">
      <c r="A199" s="676"/>
      <c r="B199" s="677" t="s">
        <v>1242</v>
      </c>
      <c r="C199" s="1829" t="s">
        <v>1243</v>
      </c>
      <c r="D199" s="1829"/>
      <c r="E199" s="1829"/>
      <c r="F199" s="678" t="s">
        <v>641</v>
      </c>
      <c r="G199" s="678" t="s">
        <v>439</v>
      </c>
      <c r="H199" s="678" t="s">
        <v>192</v>
      </c>
      <c r="I199" s="678" t="s">
        <v>1262</v>
      </c>
      <c r="J199" s="552"/>
      <c r="K199" s="562"/>
      <c r="L199" s="604"/>
      <c r="M199" s="562"/>
      <c r="N199" s="679"/>
      <c r="V199" s="674"/>
      <c r="W199" s="675"/>
      <c r="X199" s="675"/>
      <c r="AD199" s="675"/>
      <c r="AF199" s="680" t="s">
        <v>1243</v>
      </c>
    </row>
    <row r="200" spans="1:32" s="536" customFormat="1" ht="12" x14ac:dyDescent="0.2">
      <c r="A200" s="605"/>
      <c r="B200" s="552"/>
      <c r="C200" s="1822" t="s">
        <v>314</v>
      </c>
      <c r="D200" s="1822"/>
      <c r="E200" s="1822"/>
      <c r="F200" s="562" t="s">
        <v>315</v>
      </c>
      <c r="G200" s="562" t="s">
        <v>1263</v>
      </c>
      <c r="H200" s="562" t="s">
        <v>194</v>
      </c>
      <c r="I200" s="562" t="s">
        <v>1264</v>
      </c>
      <c r="J200" s="604"/>
      <c r="K200" s="562"/>
      <c r="L200" s="604"/>
      <c r="M200" s="603"/>
      <c r="N200" s="602"/>
      <c r="V200" s="674"/>
      <c r="W200" s="675"/>
      <c r="X200" s="675"/>
      <c r="AB200" s="537" t="s">
        <v>314</v>
      </c>
      <c r="AD200" s="675"/>
      <c r="AF200" s="680"/>
    </row>
    <row r="201" spans="1:32" s="536" customFormat="1" ht="12" x14ac:dyDescent="0.2">
      <c r="A201" s="605"/>
      <c r="B201" s="552"/>
      <c r="C201" s="1822" t="s">
        <v>348</v>
      </c>
      <c r="D201" s="1822"/>
      <c r="E201" s="1822"/>
      <c r="F201" s="562" t="s">
        <v>315</v>
      </c>
      <c r="G201" s="562" t="s">
        <v>1265</v>
      </c>
      <c r="H201" s="562" t="s">
        <v>194</v>
      </c>
      <c r="I201" s="562" t="s">
        <v>1266</v>
      </c>
      <c r="J201" s="604"/>
      <c r="K201" s="562"/>
      <c r="L201" s="604"/>
      <c r="M201" s="603"/>
      <c r="N201" s="602"/>
      <c r="V201" s="674"/>
      <c r="W201" s="675"/>
      <c r="X201" s="675"/>
      <c r="AB201" s="537" t="s">
        <v>348</v>
      </c>
      <c r="AD201" s="675"/>
      <c r="AF201" s="680"/>
    </row>
    <row r="202" spans="1:32" s="536" customFormat="1" ht="12" x14ac:dyDescent="0.2">
      <c r="A202" s="605"/>
      <c r="B202" s="552"/>
      <c r="C202" s="1828" t="s">
        <v>318</v>
      </c>
      <c r="D202" s="1828"/>
      <c r="E202" s="1828"/>
      <c r="F202" s="608"/>
      <c r="G202" s="608"/>
      <c r="H202" s="608"/>
      <c r="I202" s="608"/>
      <c r="J202" s="607">
        <v>11.05</v>
      </c>
      <c r="K202" s="608"/>
      <c r="L202" s="607">
        <v>13.26</v>
      </c>
      <c r="M202" s="601"/>
      <c r="N202" s="606"/>
      <c r="V202" s="674"/>
      <c r="W202" s="675"/>
      <c r="X202" s="675"/>
      <c r="AC202" s="537" t="s">
        <v>318</v>
      </c>
      <c r="AD202" s="675"/>
      <c r="AF202" s="680"/>
    </row>
    <row r="203" spans="1:32" s="536" customFormat="1" ht="12" x14ac:dyDescent="0.2">
      <c r="A203" s="605"/>
      <c r="B203" s="552"/>
      <c r="C203" s="1822" t="s">
        <v>319</v>
      </c>
      <c r="D203" s="1822"/>
      <c r="E203" s="1822"/>
      <c r="F203" s="562"/>
      <c r="G203" s="562"/>
      <c r="H203" s="562"/>
      <c r="I203" s="562"/>
      <c r="J203" s="604"/>
      <c r="K203" s="562"/>
      <c r="L203" s="604">
        <v>7.6</v>
      </c>
      <c r="M203" s="603"/>
      <c r="N203" s="602"/>
      <c r="V203" s="674"/>
      <c r="W203" s="675"/>
      <c r="X203" s="675"/>
      <c r="AB203" s="537" t="s">
        <v>319</v>
      </c>
      <c r="AD203" s="675"/>
      <c r="AF203" s="680"/>
    </row>
    <row r="204" spans="1:32" s="536" customFormat="1" ht="33.75" x14ac:dyDescent="0.2">
      <c r="A204" s="605"/>
      <c r="B204" s="552" t="s">
        <v>1250</v>
      </c>
      <c r="C204" s="1822" t="s">
        <v>1251</v>
      </c>
      <c r="D204" s="1822"/>
      <c r="E204" s="1822"/>
      <c r="F204" s="562" t="s">
        <v>322</v>
      </c>
      <c r="G204" s="562" t="s">
        <v>1252</v>
      </c>
      <c r="H204" s="562"/>
      <c r="I204" s="562" t="s">
        <v>1252</v>
      </c>
      <c r="J204" s="604"/>
      <c r="K204" s="562"/>
      <c r="L204" s="604">
        <v>8.51</v>
      </c>
      <c r="M204" s="603"/>
      <c r="N204" s="602"/>
      <c r="V204" s="674"/>
      <c r="W204" s="675"/>
      <c r="X204" s="675"/>
      <c r="AB204" s="537" t="s">
        <v>1251</v>
      </c>
      <c r="AD204" s="675"/>
      <c r="AF204" s="680"/>
    </row>
    <row r="205" spans="1:32" s="536" customFormat="1" ht="33.75" x14ac:dyDescent="0.2">
      <c r="A205" s="605"/>
      <c r="B205" s="552" t="s">
        <v>1253</v>
      </c>
      <c r="C205" s="1822" t="s">
        <v>1254</v>
      </c>
      <c r="D205" s="1822"/>
      <c r="E205" s="1822"/>
      <c r="F205" s="562" t="s">
        <v>322</v>
      </c>
      <c r="G205" s="562" t="s">
        <v>796</v>
      </c>
      <c r="H205" s="562"/>
      <c r="I205" s="562" t="s">
        <v>796</v>
      </c>
      <c r="J205" s="604"/>
      <c r="K205" s="562"/>
      <c r="L205" s="604">
        <v>4.9400000000000004</v>
      </c>
      <c r="M205" s="603"/>
      <c r="N205" s="602"/>
      <c r="V205" s="674"/>
      <c r="W205" s="675"/>
      <c r="X205" s="675"/>
      <c r="AB205" s="537" t="s">
        <v>1254</v>
      </c>
      <c r="AD205" s="675"/>
      <c r="AF205" s="680"/>
    </row>
    <row r="206" spans="1:32" s="536" customFormat="1" ht="12" x14ac:dyDescent="0.2">
      <c r="A206" s="569"/>
      <c r="B206" s="683"/>
      <c r="C206" s="1823" t="s">
        <v>327</v>
      </c>
      <c r="D206" s="1823"/>
      <c r="E206" s="1823"/>
      <c r="F206" s="573"/>
      <c r="G206" s="573"/>
      <c r="H206" s="573"/>
      <c r="I206" s="573"/>
      <c r="J206" s="572"/>
      <c r="K206" s="573"/>
      <c r="L206" s="572">
        <v>26.71</v>
      </c>
      <c r="M206" s="601"/>
      <c r="N206" s="570"/>
      <c r="V206" s="674"/>
      <c r="W206" s="675"/>
      <c r="X206" s="675"/>
      <c r="AD206" s="675" t="s">
        <v>327</v>
      </c>
      <c r="AF206" s="680"/>
    </row>
    <row r="207" spans="1:32" s="536" customFormat="1" ht="22.5" x14ac:dyDescent="0.2">
      <c r="A207" s="575" t="s">
        <v>912</v>
      </c>
      <c r="B207" s="684" t="s">
        <v>1255</v>
      </c>
      <c r="C207" s="1823" t="s">
        <v>1256</v>
      </c>
      <c r="D207" s="1823"/>
      <c r="E207" s="1823"/>
      <c r="F207" s="573" t="s">
        <v>641</v>
      </c>
      <c r="G207" s="573"/>
      <c r="H207" s="573"/>
      <c r="I207" s="573" t="s">
        <v>1262</v>
      </c>
      <c r="J207" s="572">
        <v>600</v>
      </c>
      <c r="K207" s="573"/>
      <c r="L207" s="572">
        <v>293.76</v>
      </c>
      <c r="M207" s="571"/>
      <c r="N207" s="570"/>
      <c r="V207" s="674"/>
      <c r="W207" s="675"/>
      <c r="X207" s="675" t="s">
        <v>1256</v>
      </c>
      <c r="AD207" s="675"/>
      <c r="AF207" s="680"/>
    </row>
    <row r="208" spans="1:32" s="536" customFormat="1" ht="12" x14ac:dyDescent="0.2">
      <c r="A208" s="569"/>
      <c r="B208" s="683"/>
      <c r="C208" s="689" t="s">
        <v>717</v>
      </c>
      <c r="D208" s="690"/>
      <c r="E208" s="690"/>
      <c r="F208" s="563"/>
      <c r="G208" s="563"/>
      <c r="H208" s="563"/>
      <c r="I208" s="563"/>
      <c r="J208" s="566"/>
      <c r="K208" s="563"/>
      <c r="L208" s="566"/>
      <c r="M208" s="565"/>
      <c r="N208" s="564"/>
      <c r="V208" s="674"/>
      <c r="W208" s="675"/>
      <c r="X208" s="675"/>
      <c r="AD208" s="675"/>
      <c r="AF208" s="680"/>
    </row>
    <row r="209" spans="1:32" s="536" customFormat="1" ht="12" x14ac:dyDescent="0.2">
      <c r="A209" s="676"/>
      <c r="B209" s="682"/>
      <c r="C209" s="1822" t="s">
        <v>1267</v>
      </c>
      <c r="D209" s="1822"/>
      <c r="E209" s="1822"/>
      <c r="F209" s="1822"/>
      <c r="G209" s="1822"/>
      <c r="H209" s="1822"/>
      <c r="I209" s="1822"/>
      <c r="J209" s="1822"/>
      <c r="K209" s="1822"/>
      <c r="L209" s="1822"/>
      <c r="M209" s="1822"/>
      <c r="N209" s="1827"/>
      <c r="V209" s="674"/>
      <c r="W209" s="675"/>
      <c r="X209" s="675"/>
      <c r="Y209" s="537" t="s">
        <v>1267</v>
      </c>
      <c r="AD209" s="675"/>
      <c r="AF209" s="680"/>
    </row>
    <row r="210" spans="1:32" s="536" customFormat="1" ht="22.5" x14ac:dyDescent="0.2">
      <c r="A210" s="575" t="s">
        <v>757</v>
      </c>
      <c r="B210" s="684" t="s">
        <v>1268</v>
      </c>
      <c r="C210" s="1823" t="s">
        <v>1269</v>
      </c>
      <c r="D210" s="1823"/>
      <c r="E210" s="1823"/>
      <c r="F210" s="573" t="s">
        <v>694</v>
      </c>
      <c r="G210" s="573"/>
      <c r="H210" s="573"/>
      <c r="I210" s="573" t="s">
        <v>1270</v>
      </c>
      <c r="J210" s="572"/>
      <c r="K210" s="573"/>
      <c r="L210" s="572"/>
      <c r="M210" s="571"/>
      <c r="N210" s="570"/>
      <c r="V210" s="674"/>
      <c r="W210" s="675"/>
      <c r="X210" s="675" t="s">
        <v>1269</v>
      </c>
      <c r="AD210" s="675"/>
      <c r="AF210" s="680"/>
    </row>
    <row r="211" spans="1:32" s="536" customFormat="1" ht="12" x14ac:dyDescent="0.2">
      <c r="A211" s="676"/>
      <c r="B211" s="682"/>
      <c r="C211" s="1822" t="s">
        <v>1271</v>
      </c>
      <c r="D211" s="1822"/>
      <c r="E211" s="1822"/>
      <c r="F211" s="1822"/>
      <c r="G211" s="1822"/>
      <c r="H211" s="1822"/>
      <c r="I211" s="1822"/>
      <c r="J211" s="1822"/>
      <c r="K211" s="1822"/>
      <c r="L211" s="1822"/>
      <c r="M211" s="1822"/>
      <c r="N211" s="1827"/>
      <c r="V211" s="674"/>
      <c r="W211" s="675"/>
      <c r="X211" s="675"/>
      <c r="Y211" s="537" t="s">
        <v>1271</v>
      </c>
      <c r="AD211" s="675"/>
      <c r="AF211" s="680"/>
    </row>
    <row r="212" spans="1:32" s="536" customFormat="1" ht="33.75" x14ac:dyDescent="0.2">
      <c r="A212" s="609"/>
      <c r="B212" s="552" t="s">
        <v>310</v>
      </c>
      <c r="C212" s="1822" t="s">
        <v>311</v>
      </c>
      <c r="D212" s="1822"/>
      <c r="E212" s="1822"/>
      <c r="F212" s="1822"/>
      <c r="G212" s="1822"/>
      <c r="H212" s="1822"/>
      <c r="I212" s="1822"/>
      <c r="J212" s="1822"/>
      <c r="K212" s="1822"/>
      <c r="L212" s="1822"/>
      <c r="M212" s="1822"/>
      <c r="N212" s="1827"/>
      <c r="V212" s="674"/>
      <c r="W212" s="675"/>
      <c r="X212" s="675"/>
      <c r="Z212" s="537" t="s">
        <v>311</v>
      </c>
      <c r="AD212" s="675"/>
      <c r="AF212" s="680"/>
    </row>
    <row r="213" spans="1:32" s="536" customFormat="1" ht="12" x14ac:dyDescent="0.2">
      <c r="A213" s="605"/>
      <c r="B213" s="552" t="s">
        <v>185</v>
      </c>
      <c r="C213" s="1822" t="s">
        <v>312</v>
      </c>
      <c r="D213" s="1822"/>
      <c r="E213" s="1822"/>
      <c r="F213" s="562"/>
      <c r="G213" s="562"/>
      <c r="H213" s="562"/>
      <c r="I213" s="562"/>
      <c r="J213" s="604">
        <v>102.78</v>
      </c>
      <c r="K213" s="562" t="s">
        <v>313</v>
      </c>
      <c r="L213" s="604">
        <v>4.24</v>
      </c>
      <c r="M213" s="603"/>
      <c r="N213" s="602"/>
      <c r="V213" s="674"/>
      <c r="W213" s="675"/>
      <c r="X213" s="675"/>
      <c r="AA213" s="537" t="s">
        <v>312</v>
      </c>
      <c r="AD213" s="675"/>
      <c r="AF213" s="680"/>
    </row>
    <row r="214" spans="1:32" s="536" customFormat="1" ht="12" x14ac:dyDescent="0.2">
      <c r="A214" s="605"/>
      <c r="B214" s="552" t="s">
        <v>186</v>
      </c>
      <c r="C214" s="1822" t="s">
        <v>344</v>
      </c>
      <c r="D214" s="1822"/>
      <c r="E214" s="1822"/>
      <c r="F214" s="562"/>
      <c r="G214" s="562"/>
      <c r="H214" s="562"/>
      <c r="I214" s="562"/>
      <c r="J214" s="604">
        <v>30.45</v>
      </c>
      <c r="K214" s="562" t="s">
        <v>313</v>
      </c>
      <c r="L214" s="604">
        <v>1.26</v>
      </c>
      <c r="M214" s="603"/>
      <c r="N214" s="602"/>
      <c r="V214" s="674"/>
      <c r="W214" s="675"/>
      <c r="X214" s="675"/>
      <c r="AA214" s="537" t="s">
        <v>344</v>
      </c>
      <c r="AD214" s="675"/>
      <c r="AF214" s="680"/>
    </row>
    <row r="215" spans="1:32" s="536" customFormat="1" ht="12" x14ac:dyDescent="0.2">
      <c r="A215" s="605"/>
      <c r="B215" s="552" t="s">
        <v>187</v>
      </c>
      <c r="C215" s="1822" t="s">
        <v>345</v>
      </c>
      <c r="D215" s="1822"/>
      <c r="E215" s="1822"/>
      <c r="F215" s="562"/>
      <c r="G215" s="562"/>
      <c r="H215" s="562"/>
      <c r="I215" s="562"/>
      <c r="J215" s="604">
        <v>4.3499999999999996</v>
      </c>
      <c r="K215" s="562" t="s">
        <v>313</v>
      </c>
      <c r="L215" s="604">
        <v>0.18</v>
      </c>
      <c r="M215" s="603"/>
      <c r="N215" s="602"/>
      <c r="V215" s="674"/>
      <c r="W215" s="675"/>
      <c r="X215" s="675"/>
      <c r="AA215" s="537" t="s">
        <v>345</v>
      </c>
      <c r="AD215" s="675"/>
      <c r="AF215" s="680"/>
    </row>
    <row r="216" spans="1:32" s="536" customFormat="1" ht="12" x14ac:dyDescent="0.2">
      <c r="A216" s="605"/>
      <c r="B216" s="552" t="s">
        <v>188</v>
      </c>
      <c r="C216" s="1822" t="s">
        <v>475</v>
      </c>
      <c r="D216" s="1822"/>
      <c r="E216" s="1822"/>
      <c r="F216" s="562"/>
      <c r="G216" s="562"/>
      <c r="H216" s="562"/>
      <c r="I216" s="562"/>
      <c r="J216" s="604">
        <v>285.60000000000002</v>
      </c>
      <c r="K216" s="562"/>
      <c r="L216" s="604">
        <v>9.42</v>
      </c>
      <c r="M216" s="603"/>
      <c r="N216" s="602"/>
      <c r="V216" s="674"/>
      <c r="W216" s="675"/>
      <c r="X216" s="675"/>
      <c r="AA216" s="537" t="s">
        <v>475</v>
      </c>
      <c r="AD216" s="675"/>
      <c r="AF216" s="680"/>
    </row>
    <row r="217" spans="1:32" s="536" customFormat="1" ht="12" x14ac:dyDescent="0.2">
      <c r="A217" s="676"/>
      <c r="B217" s="677" t="s">
        <v>1272</v>
      </c>
      <c r="C217" s="1829" t="s">
        <v>1273</v>
      </c>
      <c r="D217" s="1829"/>
      <c r="E217" s="1829"/>
      <c r="F217" s="678" t="s">
        <v>694</v>
      </c>
      <c r="G217" s="678" t="s">
        <v>185</v>
      </c>
      <c r="H217" s="678"/>
      <c r="I217" s="678" t="s">
        <v>1270</v>
      </c>
      <c r="J217" s="552"/>
      <c r="K217" s="562"/>
      <c r="L217" s="604"/>
      <c r="M217" s="562"/>
      <c r="N217" s="679"/>
      <c r="V217" s="674"/>
      <c r="W217" s="675"/>
      <c r="X217" s="675"/>
      <c r="AD217" s="675"/>
      <c r="AF217" s="680" t="s">
        <v>1273</v>
      </c>
    </row>
    <row r="218" spans="1:32" s="536" customFormat="1" ht="12" x14ac:dyDescent="0.2">
      <c r="A218" s="605"/>
      <c r="B218" s="552"/>
      <c r="C218" s="1822" t="s">
        <v>314</v>
      </c>
      <c r="D218" s="1822"/>
      <c r="E218" s="1822"/>
      <c r="F218" s="562" t="s">
        <v>315</v>
      </c>
      <c r="G218" s="562" t="s">
        <v>1274</v>
      </c>
      <c r="H218" s="562" t="s">
        <v>313</v>
      </c>
      <c r="I218" s="562" t="s">
        <v>1275</v>
      </c>
      <c r="J218" s="604"/>
      <c r="K218" s="562"/>
      <c r="L218" s="604"/>
      <c r="M218" s="603"/>
      <c r="N218" s="602"/>
      <c r="V218" s="674"/>
      <c r="W218" s="675"/>
      <c r="X218" s="675"/>
      <c r="AB218" s="537" t="s">
        <v>314</v>
      </c>
      <c r="AD218" s="675"/>
      <c r="AF218" s="680"/>
    </row>
    <row r="219" spans="1:32" s="536" customFormat="1" ht="12" x14ac:dyDescent="0.2">
      <c r="A219" s="605"/>
      <c r="B219" s="552"/>
      <c r="C219" s="1822" t="s">
        <v>348</v>
      </c>
      <c r="D219" s="1822"/>
      <c r="E219" s="1822"/>
      <c r="F219" s="562" t="s">
        <v>315</v>
      </c>
      <c r="G219" s="562" t="s">
        <v>691</v>
      </c>
      <c r="H219" s="562" t="s">
        <v>313</v>
      </c>
      <c r="I219" s="562" t="s">
        <v>1276</v>
      </c>
      <c r="J219" s="604"/>
      <c r="K219" s="562"/>
      <c r="L219" s="604"/>
      <c r="M219" s="603"/>
      <c r="N219" s="602"/>
      <c r="V219" s="674"/>
      <c r="W219" s="675"/>
      <c r="X219" s="675"/>
      <c r="AB219" s="537" t="s">
        <v>348</v>
      </c>
      <c r="AD219" s="675"/>
      <c r="AF219" s="680"/>
    </row>
    <row r="220" spans="1:32" s="536" customFormat="1" ht="12" x14ac:dyDescent="0.2">
      <c r="A220" s="605"/>
      <c r="B220" s="552"/>
      <c r="C220" s="1828" t="s">
        <v>318</v>
      </c>
      <c r="D220" s="1828"/>
      <c r="E220" s="1828"/>
      <c r="F220" s="608"/>
      <c r="G220" s="608"/>
      <c r="H220" s="608"/>
      <c r="I220" s="608"/>
      <c r="J220" s="607">
        <v>418.83</v>
      </c>
      <c r="K220" s="608"/>
      <c r="L220" s="607">
        <v>14.92</v>
      </c>
      <c r="M220" s="601"/>
      <c r="N220" s="606"/>
      <c r="V220" s="674"/>
      <c r="W220" s="675"/>
      <c r="X220" s="675"/>
      <c r="AC220" s="537" t="s">
        <v>318</v>
      </c>
      <c r="AD220" s="675"/>
      <c r="AF220" s="680"/>
    </row>
    <row r="221" spans="1:32" s="536" customFormat="1" ht="12" x14ac:dyDescent="0.2">
      <c r="A221" s="605"/>
      <c r="B221" s="552"/>
      <c r="C221" s="1822" t="s">
        <v>319</v>
      </c>
      <c r="D221" s="1822"/>
      <c r="E221" s="1822"/>
      <c r="F221" s="562"/>
      <c r="G221" s="562"/>
      <c r="H221" s="562"/>
      <c r="I221" s="562"/>
      <c r="J221" s="604"/>
      <c r="K221" s="562"/>
      <c r="L221" s="604">
        <v>4.42</v>
      </c>
      <c r="M221" s="603"/>
      <c r="N221" s="602"/>
      <c r="V221" s="674"/>
      <c r="W221" s="675"/>
      <c r="X221" s="675"/>
      <c r="AB221" s="537" t="s">
        <v>319</v>
      </c>
      <c r="AD221" s="675"/>
      <c r="AF221" s="680"/>
    </row>
    <row r="222" spans="1:32" s="536" customFormat="1" ht="33.75" x14ac:dyDescent="0.2">
      <c r="A222" s="605"/>
      <c r="B222" s="552" t="s">
        <v>686</v>
      </c>
      <c r="C222" s="1822" t="s">
        <v>687</v>
      </c>
      <c r="D222" s="1822"/>
      <c r="E222" s="1822"/>
      <c r="F222" s="562" t="s">
        <v>322</v>
      </c>
      <c r="G222" s="562" t="s">
        <v>680</v>
      </c>
      <c r="H222" s="562"/>
      <c r="I222" s="562" t="s">
        <v>680</v>
      </c>
      <c r="J222" s="604"/>
      <c r="K222" s="562"/>
      <c r="L222" s="604">
        <v>4.51</v>
      </c>
      <c r="M222" s="603"/>
      <c r="N222" s="602"/>
      <c r="V222" s="674"/>
      <c r="W222" s="675"/>
      <c r="X222" s="675"/>
      <c r="AB222" s="537" t="s">
        <v>687</v>
      </c>
      <c r="AD222" s="675"/>
      <c r="AF222" s="680"/>
    </row>
    <row r="223" spans="1:32" s="536" customFormat="1" ht="33.75" x14ac:dyDescent="0.2">
      <c r="A223" s="605"/>
      <c r="B223" s="552" t="s">
        <v>688</v>
      </c>
      <c r="C223" s="1822" t="s">
        <v>689</v>
      </c>
      <c r="D223" s="1822"/>
      <c r="E223" s="1822"/>
      <c r="F223" s="562" t="s">
        <v>322</v>
      </c>
      <c r="G223" s="562" t="s">
        <v>690</v>
      </c>
      <c r="H223" s="562"/>
      <c r="I223" s="562" t="s">
        <v>690</v>
      </c>
      <c r="J223" s="604"/>
      <c r="K223" s="562"/>
      <c r="L223" s="604">
        <v>2.56</v>
      </c>
      <c r="M223" s="603"/>
      <c r="N223" s="602"/>
      <c r="V223" s="674"/>
      <c r="W223" s="675"/>
      <c r="X223" s="675"/>
      <c r="AB223" s="537" t="s">
        <v>689</v>
      </c>
      <c r="AD223" s="675"/>
      <c r="AF223" s="680"/>
    </row>
    <row r="224" spans="1:32" s="536" customFormat="1" ht="12" x14ac:dyDescent="0.2">
      <c r="A224" s="569"/>
      <c r="B224" s="683"/>
      <c r="C224" s="1823" t="s">
        <v>327</v>
      </c>
      <c r="D224" s="1823"/>
      <c r="E224" s="1823"/>
      <c r="F224" s="573"/>
      <c r="G224" s="573"/>
      <c r="H224" s="573"/>
      <c r="I224" s="573"/>
      <c r="J224" s="572"/>
      <c r="K224" s="573"/>
      <c r="L224" s="572">
        <v>21.99</v>
      </c>
      <c r="M224" s="601"/>
      <c r="N224" s="570"/>
      <c r="V224" s="674"/>
      <c r="W224" s="675"/>
      <c r="X224" s="675"/>
      <c r="AD224" s="675" t="s">
        <v>327</v>
      </c>
      <c r="AF224" s="680"/>
    </row>
    <row r="225" spans="1:32" s="536" customFormat="1" ht="45" x14ac:dyDescent="0.2">
      <c r="A225" s="575" t="s">
        <v>1079</v>
      </c>
      <c r="B225" s="684" t="s">
        <v>1277</v>
      </c>
      <c r="C225" s="1823" t="s">
        <v>1278</v>
      </c>
      <c r="D225" s="1823"/>
      <c r="E225" s="1823"/>
      <c r="F225" s="573" t="s">
        <v>865</v>
      </c>
      <c r="G225" s="573"/>
      <c r="H225" s="573"/>
      <c r="I225" s="573" t="s">
        <v>196</v>
      </c>
      <c r="J225" s="572">
        <v>23.76</v>
      </c>
      <c r="K225" s="573"/>
      <c r="L225" s="572">
        <v>285.12</v>
      </c>
      <c r="M225" s="571"/>
      <c r="N225" s="570"/>
      <c r="V225" s="674"/>
      <c r="W225" s="675"/>
      <c r="X225" s="675" t="s">
        <v>1278</v>
      </c>
      <c r="AD225" s="675"/>
      <c r="AF225" s="680"/>
    </row>
    <row r="226" spans="1:32" s="536" customFormat="1" ht="12" x14ac:dyDescent="0.2">
      <c r="A226" s="569"/>
      <c r="B226" s="683"/>
      <c r="C226" s="689" t="s">
        <v>717</v>
      </c>
      <c r="D226" s="690"/>
      <c r="E226" s="690"/>
      <c r="F226" s="563"/>
      <c r="G226" s="563"/>
      <c r="H226" s="563"/>
      <c r="I226" s="563"/>
      <c r="J226" s="566"/>
      <c r="K226" s="563"/>
      <c r="L226" s="566"/>
      <c r="M226" s="565"/>
      <c r="N226" s="564"/>
      <c r="V226" s="674"/>
      <c r="W226" s="675"/>
      <c r="X226" s="675"/>
      <c r="AD226" s="675"/>
      <c r="AF226" s="680"/>
    </row>
    <row r="227" spans="1:32" s="536" customFormat="1" ht="12" x14ac:dyDescent="0.2">
      <c r="A227" s="676"/>
      <c r="B227" s="682"/>
      <c r="C227" s="1822" t="s">
        <v>1220</v>
      </c>
      <c r="D227" s="1822"/>
      <c r="E227" s="1822"/>
      <c r="F227" s="1822"/>
      <c r="G227" s="1822"/>
      <c r="H227" s="1822"/>
      <c r="I227" s="1822"/>
      <c r="J227" s="1822"/>
      <c r="K227" s="1822"/>
      <c r="L227" s="1822"/>
      <c r="M227" s="1822"/>
      <c r="N227" s="1827"/>
      <c r="V227" s="674"/>
      <c r="W227" s="675"/>
      <c r="X227" s="675"/>
      <c r="Y227" s="537" t="s">
        <v>1220</v>
      </c>
      <c r="AD227" s="675"/>
      <c r="AF227" s="680"/>
    </row>
    <row r="228" spans="1:32" s="536" customFormat="1" ht="22.5" x14ac:dyDescent="0.2">
      <c r="A228" s="575" t="s">
        <v>759</v>
      </c>
      <c r="B228" s="684" t="s">
        <v>1279</v>
      </c>
      <c r="C228" s="1823" t="s">
        <v>1280</v>
      </c>
      <c r="D228" s="1823"/>
      <c r="E228" s="1823"/>
      <c r="F228" s="573" t="s">
        <v>862</v>
      </c>
      <c r="G228" s="573"/>
      <c r="H228" s="573"/>
      <c r="I228" s="573" t="s">
        <v>646</v>
      </c>
      <c r="J228" s="572"/>
      <c r="K228" s="573"/>
      <c r="L228" s="572"/>
      <c r="M228" s="571"/>
      <c r="N228" s="570"/>
      <c r="V228" s="674"/>
      <c r="W228" s="675"/>
      <c r="X228" s="675" t="s">
        <v>1280</v>
      </c>
      <c r="AD228" s="675"/>
      <c r="AF228" s="680"/>
    </row>
    <row r="229" spans="1:32" s="536" customFormat="1" ht="12" x14ac:dyDescent="0.2">
      <c r="A229" s="676"/>
      <c r="B229" s="682"/>
      <c r="C229" s="1822" t="s">
        <v>1241</v>
      </c>
      <c r="D229" s="1822"/>
      <c r="E229" s="1822"/>
      <c r="F229" s="1822"/>
      <c r="G229" s="1822"/>
      <c r="H229" s="1822"/>
      <c r="I229" s="1822"/>
      <c r="J229" s="1822"/>
      <c r="K229" s="1822"/>
      <c r="L229" s="1822"/>
      <c r="M229" s="1822"/>
      <c r="N229" s="1827"/>
      <c r="V229" s="674"/>
      <c r="W229" s="675"/>
      <c r="X229" s="675"/>
      <c r="Y229" s="537" t="s">
        <v>1241</v>
      </c>
      <c r="AD229" s="675"/>
      <c r="AF229" s="680"/>
    </row>
    <row r="230" spans="1:32" s="536" customFormat="1" ht="33.75" x14ac:dyDescent="0.2">
      <c r="A230" s="609"/>
      <c r="B230" s="552" t="s">
        <v>310</v>
      </c>
      <c r="C230" s="1822" t="s">
        <v>311</v>
      </c>
      <c r="D230" s="1822"/>
      <c r="E230" s="1822"/>
      <c r="F230" s="1822"/>
      <c r="G230" s="1822"/>
      <c r="H230" s="1822"/>
      <c r="I230" s="1822"/>
      <c r="J230" s="1822"/>
      <c r="K230" s="1822"/>
      <c r="L230" s="1822"/>
      <c r="M230" s="1822"/>
      <c r="N230" s="1827"/>
      <c r="V230" s="674"/>
      <c r="W230" s="675"/>
      <c r="X230" s="675"/>
      <c r="Z230" s="537" t="s">
        <v>311</v>
      </c>
      <c r="AD230" s="675"/>
      <c r="AF230" s="680"/>
    </row>
    <row r="231" spans="1:32" s="536" customFormat="1" ht="12" x14ac:dyDescent="0.2">
      <c r="A231" s="605"/>
      <c r="B231" s="552" t="s">
        <v>185</v>
      </c>
      <c r="C231" s="1822" t="s">
        <v>312</v>
      </c>
      <c r="D231" s="1822"/>
      <c r="E231" s="1822"/>
      <c r="F231" s="562"/>
      <c r="G231" s="562"/>
      <c r="H231" s="562"/>
      <c r="I231" s="562"/>
      <c r="J231" s="604">
        <v>1408.29</v>
      </c>
      <c r="K231" s="562" t="s">
        <v>313</v>
      </c>
      <c r="L231" s="604">
        <v>211.24</v>
      </c>
      <c r="M231" s="603"/>
      <c r="N231" s="602"/>
      <c r="V231" s="674"/>
      <c r="W231" s="675"/>
      <c r="X231" s="675"/>
      <c r="AA231" s="537" t="s">
        <v>312</v>
      </c>
      <c r="AD231" s="675"/>
      <c r="AF231" s="680"/>
    </row>
    <row r="232" spans="1:32" s="536" customFormat="1" ht="12" x14ac:dyDescent="0.2">
      <c r="A232" s="605"/>
      <c r="B232" s="552" t="s">
        <v>186</v>
      </c>
      <c r="C232" s="1822" t="s">
        <v>344</v>
      </c>
      <c r="D232" s="1822"/>
      <c r="E232" s="1822"/>
      <c r="F232" s="562"/>
      <c r="G232" s="562"/>
      <c r="H232" s="562"/>
      <c r="I232" s="562"/>
      <c r="J232" s="604">
        <v>219.94</v>
      </c>
      <c r="K232" s="562" t="s">
        <v>313</v>
      </c>
      <c r="L232" s="604">
        <v>32.99</v>
      </c>
      <c r="M232" s="603"/>
      <c r="N232" s="602"/>
      <c r="V232" s="674"/>
      <c r="W232" s="675"/>
      <c r="X232" s="675"/>
      <c r="AA232" s="537" t="s">
        <v>344</v>
      </c>
      <c r="AD232" s="675"/>
      <c r="AF232" s="680"/>
    </row>
    <row r="233" spans="1:32" s="536" customFormat="1" ht="12" x14ac:dyDescent="0.2">
      <c r="A233" s="605"/>
      <c r="B233" s="552" t="s">
        <v>187</v>
      </c>
      <c r="C233" s="1822" t="s">
        <v>345</v>
      </c>
      <c r="D233" s="1822"/>
      <c r="E233" s="1822"/>
      <c r="F233" s="562"/>
      <c r="G233" s="562"/>
      <c r="H233" s="562"/>
      <c r="I233" s="562"/>
      <c r="J233" s="604">
        <v>27.02</v>
      </c>
      <c r="K233" s="562" t="s">
        <v>313</v>
      </c>
      <c r="L233" s="604">
        <v>4.05</v>
      </c>
      <c r="M233" s="603"/>
      <c r="N233" s="602"/>
      <c r="V233" s="674"/>
      <c r="W233" s="675"/>
      <c r="X233" s="675"/>
      <c r="AA233" s="537" t="s">
        <v>345</v>
      </c>
      <c r="AD233" s="675"/>
      <c r="AF233" s="680"/>
    </row>
    <row r="234" spans="1:32" s="536" customFormat="1" ht="12" x14ac:dyDescent="0.2">
      <c r="A234" s="605"/>
      <c r="B234" s="552" t="s">
        <v>188</v>
      </c>
      <c r="C234" s="1822" t="s">
        <v>475</v>
      </c>
      <c r="D234" s="1822"/>
      <c r="E234" s="1822"/>
      <c r="F234" s="562"/>
      <c r="G234" s="562"/>
      <c r="H234" s="562"/>
      <c r="I234" s="562"/>
      <c r="J234" s="604">
        <v>132.55000000000001</v>
      </c>
      <c r="K234" s="562"/>
      <c r="L234" s="604">
        <v>15.91</v>
      </c>
      <c r="M234" s="603"/>
      <c r="N234" s="602"/>
      <c r="V234" s="674"/>
      <c r="W234" s="675"/>
      <c r="X234" s="675"/>
      <c r="AA234" s="537" t="s">
        <v>475</v>
      </c>
      <c r="AD234" s="675"/>
      <c r="AF234" s="680"/>
    </row>
    <row r="235" spans="1:32" s="536" customFormat="1" ht="22.5" x14ac:dyDescent="0.2">
      <c r="A235" s="676"/>
      <c r="B235" s="677" t="s">
        <v>1281</v>
      </c>
      <c r="C235" s="1829" t="s">
        <v>1282</v>
      </c>
      <c r="D235" s="1829"/>
      <c r="E235" s="1829"/>
      <c r="F235" s="678" t="s">
        <v>641</v>
      </c>
      <c r="G235" s="678" t="s">
        <v>1244</v>
      </c>
      <c r="H235" s="678"/>
      <c r="I235" s="678" t="s">
        <v>1245</v>
      </c>
      <c r="J235" s="552"/>
      <c r="K235" s="562"/>
      <c r="L235" s="604"/>
      <c r="M235" s="562"/>
      <c r="N235" s="679"/>
      <c r="V235" s="674"/>
      <c r="W235" s="675"/>
      <c r="X235" s="675"/>
      <c r="AD235" s="675"/>
      <c r="AF235" s="680" t="s">
        <v>1282</v>
      </c>
    </row>
    <row r="236" spans="1:32" s="536" customFormat="1" ht="12" x14ac:dyDescent="0.2">
      <c r="A236" s="605"/>
      <c r="B236" s="552"/>
      <c r="C236" s="1822" t="s">
        <v>314</v>
      </c>
      <c r="D236" s="1822"/>
      <c r="E236" s="1822"/>
      <c r="F236" s="562" t="s">
        <v>315</v>
      </c>
      <c r="G236" s="562" t="s">
        <v>1283</v>
      </c>
      <c r="H236" s="562" t="s">
        <v>313</v>
      </c>
      <c r="I236" s="562" t="s">
        <v>1284</v>
      </c>
      <c r="J236" s="604"/>
      <c r="K236" s="562"/>
      <c r="L236" s="604"/>
      <c r="M236" s="603"/>
      <c r="N236" s="602"/>
      <c r="V236" s="674"/>
      <c r="W236" s="675"/>
      <c r="X236" s="675"/>
      <c r="AB236" s="537" t="s">
        <v>314</v>
      </c>
      <c r="AD236" s="675"/>
      <c r="AF236" s="680"/>
    </row>
    <row r="237" spans="1:32" s="536" customFormat="1" ht="12" x14ac:dyDescent="0.2">
      <c r="A237" s="605"/>
      <c r="B237" s="552"/>
      <c r="C237" s="1822" t="s">
        <v>348</v>
      </c>
      <c r="D237" s="1822"/>
      <c r="E237" s="1822"/>
      <c r="F237" s="562" t="s">
        <v>315</v>
      </c>
      <c r="G237" s="562" t="s">
        <v>1285</v>
      </c>
      <c r="H237" s="562" t="s">
        <v>313</v>
      </c>
      <c r="I237" s="562" t="s">
        <v>1286</v>
      </c>
      <c r="J237" s="604"/>
      <c r="K237" s="562"/>
      <c r="L237" s="604"/>
      <c r="M237" s="603"/>
      <c r="N237" s="602"/>
      <c r="V237" s="674"/>
      <c r="W237" s="675"/>
      <c r="X237" s="675"/>
      <c r="AB237" s="537" t="s">
        <v>348</v>
      </c>
      <c r="AD237" s="675"/>
      <c r="AF237" s="680"/>
    </row>
    <row r="238" spans="1:32" s="536" customFormat="1" ht="12" x14ac:dyDescent="0.2">
      <c r="A238" s="605"/>
      <c r="B238" s="552"/>
      <c r="C238" s="1828" t="s">
        <v>318</v>
      </c>
      <c r="D238" s="1828"/>
      <c r="E238" s="1828"/>
      <c r="F238" s="608"/>
      <c r="G238" s="608"/>
      <c r="H238" s="608"/>
      <c r="I238" s="608"/>
      <c r="J238" s="607">
        <v>1760.78</v>
      </c>
      <c r="K238" s="608"/>
      <c r="L238" s="607">
        <v>260.14</v>
      </c>
      <c r="M238" s="601"/>
      <c r="N238" s="606"/>
      <c r="V238" s="674"/>
      <c r="W238" s="675"/>
      <c r="X238" s="675"/>
      <c r="AC238" s="537" t="s">
        <v>318</v>
      </c>
      <c r="AD238" s="675"/>
      <c r="AF238" s="680"/>
    </row>
    <row r="239" spans="1:32" s="536" customFormat="1" ht="12" x14ac:dyDescent="0.2">
      <c r="A239" s="605"/>
      <c r="B239" s="552"/>
      <c r="C239" s="1822" t="s">
        <v>319</v>
      </c>
      <c r="D239" s="1822"/>
      <c r="E239" s="1822"/>
      <c r="F239" s="562"/>
      <c r="G239" s="562"/>
      <c r="H239" s="562"/>
      <c r="I239" s="562"/>
      <c r="J239" s="604"/>
      <c r="K239" s="562"/>
      <c r="L239" s="604">
        <v>215.29</v>
      </c>
      <c r="M239" s="603"/>
      <c r="N239" s="602"/>
      <c r="V239" s="674"/>
      <c r="W239" s="675"/>
      <c r="X239" s="675"/>
      <c r="AB239" s="537" t="s">
        <v>319</v>
      </c>
      <c r="AD239" s="675"/>
      <c r="AF239" s="680"/>
    </row>
    <row r="240" spans="1:32" s="536" customFormat="1" ht="33.75" x14ac:dyDescent="0.2">
      <c r="A240" s="605"/>
      <c r="B240" s="552" t="s">
        <v>1250</v>
      </c>
      <c r="C240" s="1822" t="s">
        <v>1251</v>
      </c>
      <c r="D240" s="1822"/>
      <c r="E240" s="1822"/>
      <c r="F240" s="562" t="s">
        <v>322</v>
      </c>
      <c r="G240" s="562" t="s">
        <v>1252</v>
      </c>
      <c r="H240" s="562"/>
      <c r="I240" s="562" t="s">
        <v>1252</v>
      </c>
      <c r="J240" s="604"/>
      <c r="K240" s="562"/>
      <c r="L240" s="604">
        <v>241.12</v>
      </c>
      <c r="M240" s="603"/>
      <c r="N240" s="602"/>
      <c r="V240" s="674"/>
      <c r="W240" s="675"/>
      <c r="X240" s="675"/>
      <c r="AB240" s="537" t="s">
        <v>1251</v>
      </c>
      <c r="AD240" s="675"/>
      <c r="AF240" s="680"/>
    </row>
    <row r="241" spans="1:32" s="536" customFormat="1" ht="33.75" x14ac:dyDescent="0.2">
      <c r="A241" s="605"/>
      <c r="B241" s="552" t="s">
        <v>1253</v>
      </c>
      <c r="C241" s="1822" t="s">
        <v>1254</v>
      </c>
      <c r="D241" s="1822"/>
      <c r="E241" s="1822"/>
      <c r="F241" s="562" t="s">
        <v>322</v>
      </c>
      <c r="G241" s="562" t="s">
        <v>796</v>
      </c>
      <c r="H241" s="562"/>
      <c r="I241" s="562" t="s">
        <v>796</v>
      </c>
      <c r="J241" s="604"/>
      <c r="K241" s="562"/>
      <c r="L241" s="604">
        <v>139.94</v>
      </c>
      <c r="M241" s="603"/>
      <c r="N241" s="602"/>
      <c r="V241" s="674"/>
      <c r="W241" s="675"/>
      <c r="X241" s="675"/>
      <c r="AB241" s="537" t="s">
        <v>1254</v>
      </c>
      <c r="AD241" s="675"/>
      <c r="AF241" s="680"/>
    </row>
    <row r="242" spans="1:32" s="536" customFormat="1" ht="12" x14ac:dyDescent="0.2">
      <c r="A242" s="569"/>
      <c r="B242" s="683"/>
      <c r="C242" s="1823" t="s">
        <v>327</v>
      </c>
      <c r="D242" s="1823"/>
      <c r="E242" s="1823"/>
      <c r="F242" s="573"/>
      <c r="G242" s="573"/>
      <c r="H242" s="573"/>
      <c r="I242" s="573"/>
      <c r="J242" s="572"/>
      <c r="K242" s="573"/>
      <c r="L242" s="572">
        <v>641.20000000000005</v>
      </c>
      <c r="M242" s="601"/>
      <c r="N242" s="570"/>
      <c r="V242" s="674"/>
      <c r="W242" s="675"/>
      <c r="X242" s="675"/>
      <c r="AD242" s="675" t="s">
        <v>327</v>
      </c>
      <c r="AF242" s="680"/>
    </row>
    <row r="243" spans="1:32" s="536" customFormat="1" ht="45" x14ac:dyDescent="0.2">
      <c r="A243" s="575" t="s">
        <v>917</v>
      </c>
      <c r="B243" s="684" t="s">
        <v>1287</v>
      </c>
      <c r="C243" s="1823" t="s">
        <v>1288</v>
      </c>
      <c r="D243" s="1823"/>
      <c r="E243" s="1823"/>
      <c r="F243" s="573" t="s">
        <v>862</v>
      </c>
      <c r="G243" s="573"/>
      <c r="H243" s="573"/>
      <c r="I243" s="573" t="s">
        <v>646</v>
      </c>
      <c r="J243" s="572"/>
      <c r="K243" s="573"/>
      <c r="L243" s="572"/>
      <c r="M243" s="571"/>
      <c r="N243" s="570"/>
      <c r="V243" s="674"/>
      <c r="W243" s="675"/>
      <c r="X243" s="675" t="s">
        <v>1288</v>
      </c>
      <c r="AD243" s="675"/>
      <c r="AF243" s="680"/>
    </row>
    <row r="244" spans="1:32" s="536" customFormat="1" ht="12" x14ac:dyDescent="0.2">
      <c r="A244" s="676"/>
      <c r="B244" s="682"/>
      <c r="C244" s="1822" t="s">
        <v>1241</v>
      </c>
      <c r="D244" s="1822"/>
      <c r="E244" s="1822"/>
      <c r="F244" s="1822"/>
      <c r="G244" s="1822"/>
      <c r="H244" s="1822"/>
      <c r="I244" s="1822"/>
      <c r="J244" s="1822"/>
      <c r="K244" s="1822"/>
      <c r="L244" s="1822"/>
      <c r="M244" s="1822"/>
      <c r="N244" s="1827"/>
      <c r="V244" s="674"/>
      <c r="W244" s="675"/>
      <c r="X244" s="675"/>
      <c r="Y244" s="537" t="s">
        <v>1241</v>
      </c>
      <c r="AD244" s="675"/>
      <c r="AF244" s="680"/>
    </row>
    <row r="245" spans="1:32" s="536" customFormat="1" ht="12" x14ac:dyDescent="0.2">
      <c r="A245" s="609"/>
      <c r="B245" s="552"/>
      <c r="C245" s="1822" t="s">
        <v>1289</v>
      </c>
      <c r="D245" s="1822"/>
      <c r="E245" s="1822"/>
      <c r="F245" s="1822"/>
      <c r="G245" s="1822"/>
      <c r="H245" s="1822"/>
      <c r="I245" s="1822"/>
      <c r="J245" s="1822"/>
      <c r="K245" s="1822"/>
      <c r="L245" s="1822"/>
      <c r="M245" s="1822"/>
      <c r="N245" s="1827"/>
      <c r="V245" s="674"/>
      <c r="W245" s="675"/>
      <c r="X245" s="675"/>
      <c r="Z245" s="537" t="s">
        <v>1289</v>
      </c>
      <c r="AD245" s="675"/>
      <c r="AF245" s="680"/>
    </row>
    <row r="246" spans="1:32" s="536" customFormat="1" ht="33.75" x14ac:dyDescent="0.2">
      <c r="A246" s="609"/>
      <c r="B246" s="552" t="s">
        <v>310</v>
      </c>
      <c r="C246" s="1822" t="s">
        <v>311</v>
      </c>
      <c r="D246" s="1822"/>
      <c r="E246" s="1822"/>
      <c r="F246" s="1822"/>
      <c r="G246" s="1822"/>
      <c r="H246" s="1822"/>
      <c r="I246" s="1822"/>
      <c r="J246" s="1822"/>
      <c r="K246" s="1822"/>
      <c r="L246" s="1822"/>
      <c r="M246" s="1822"/>
      <c r="N246" s="1827"/>
      <c r="V246" s="674"/>
      <c r="W246" s="675"/>
      <c r="X246" s="675"/>
      <c r="Z246" s="537" t="s">
        <v>311</v>
      </c>
      <c r="AD246" s="675"/>
      <c r="AF246" s="680"/>
    </row>
    <row r="247" spans="1:32" s="536" customFormat="1" ht="12" x14ac:dyDescent="0.2">
      <c r="A247" s="605"/>
      <c r="B247" s="552" t="s">
        <v>185</v>
      </c>
      <c r="C247" s="1822" t="s">
        <v>312</v>
      </c>
      <c r="D247" s="1822"/>
      <c r="E247" s="1822"/>
      <c r="F247" s="562"/>
      <c r="G247" s="562"/>
      <c r="H247" s="562"/>
      <c r="I247" s="562"/>
      <c r="J247" s="604">
        <v>137.24</v>
      </c>
      <c r="K247" s="562" t="s">
        <v>189</v>
      </c>
      <c r="L247" s="604">
        <v>82.34</v>
      </c>
      <c r="M247" s="603"/>
      <c r="N247" s="602"/>
      <c r="V247" s="674"/>
      <c r="W247" s="675"/>
      <c r="X247" s="675"/>
      <c r="AA247" s="537" t="s">
        <v>312</v>
      </c>
      <c r="AD247" s="675"/>
      <c r="AF247" s="680"/>
    </row>
    <row r="248" spans="1:32" s="536" customFormat="1" ht="12" x14ac:dyDescent="0.2">
      <c r="A248" s="605"/>
      <c r="B248" s="552" t="s">
        <v>186</v>
      </c>
      <c r="C248" s="1822" t="s">
        <v>344</v>
      </c>
      <c r="D248" s="1822"/>
      <c r="E248" s="1822"/>
      <c r="F248" s="562"/>
      <c r="G248" s="562"/>
      <c r="H248" s="562"/>
      <c r="I248" s="562"/>
      <c r="J248" s="604">
        <v>5.77</v>
      </c>
      <c r="K248" s="562" t="s">
        <v>189</v>
      </c>
      <c r="L248" s="604">
        <v>3.46</v>
      </c>
      <c r="M248" s="603"/>
      <c r="N248" s="602"/>
      <c r="V248" s="674"/>
      <c r="W248" s="675"/>
      <c r="X248" s="675"/>
      <c r="AA248" s="537" t="s">
        <v>344</v>
      </c>
      <c r="AD248" s="675"/>
      <c r="AF248" s="680"/>
    </row>
    <row r="249" spans="1:32" s="536" customFormat="1" ht="12" x14ac:dyDescent="0.2">
      <c r="A249" s="605"/>
      <c r="B249" s="552" t="s">
        <v>187</v>
      </c>
      <c r="C249" s="1822" t="s">
        <v>345</v>
      </c>
      <c r="D249" s="1822"/>
      <c r="E249" s="1822"/>
      <c r="F249" s="562"/>
      <c r="G249" s="562"/>
      <c r="H249" s="562"/>
      <c r="I249" s="562"/>
      <c r="J249" s="604">
        <v>0.68</v>
      </c>
      <c r="K249" s="562" t="s">
        <v>189</v>
      </c>
      <c r="L249" s="604">
        <v>0.41</v>
      </c>
      <c r="M249" s="603"/>
      <c r="N249" s="602"/>
      <c r="V249" s="674"/>
      <c r="W249" s="675"/>
      <c r="X249" s="675"/>
      <c r="AA249" s="537" t="s">
        <v>345</v>
      </c>
      <c r="AD249" s="675"/>
      <c r="AF249" s="680"/>
    </row>
    <row r="250" spans="1:32" s="536" customFormat="1" ht="22.5" x14ac:dyDescent="0.2">
      <c r="A250" s="676"/>
      <c r="B250" s="677" t="s">
        <v>1281</v>
      </c>
      <c r="C250" s="1829" t="s">
        <v>1282</v>
      </c>
      <c r="D250" s="1829"/>
      <c r="E250" s="1829"/>
      <c r="F250" s="678" t="s">
        <v>641</v>
      </c>
      <c r="G250" s="678" t="s">
        <v>439</v>
      </c>
      <c r="H250" s="678" t="s">
        <v>188</v>
      </c>
      <c r="I250" s="678" t="s">
        <v>1245</v>
      </c>
      <c r="J250" s="552"/>
      <c r="K250" s="562"/>
      <c r="L250" s="604"/>
      <c r="M250" s="562"/>
      <c r="N250" s="679"/>
      <c r="V250" s="674"/>
      <c r="W250" s="675"/>
      <c r="X250" s="675"/>
      <c r="AD250" s="675"/>
      <c r="AF250" s="680" t="s">
        <v>1282</v>
      </c>
    </row>
    <row r="251" spans="1:32" s="536" customFormat="1" ht="12" x14ac:dyDescent="0.2">
      <c r="A251" s="605"/>
      <c r="B251" s="552"/>
      <c r="C251" s="1822" t="s">
        <v>314</v>
      </c>
      <c r="D251" s="1822"/>
      <c r="E251" s="1822"/>
      <c r="F251" s="562" t="s">
        <v>315</v>
      </c>
      <c r="G251" s="562" t="s">
        <v>1290</v>
      </c>
      <c r="H251" s="562" t="s">
        <v>189</v>
      </c>
      <c r="I251" s="562" t="s">
        <v>1291</v>
      </c>
      <c r="J251" s="604"/>
      <c r="K251" s="562"/>
      <c r="L251" s="604"/>
      <c r="M251" s="603"/>
      <c r="N251" s="602"/>
      <c r="V251" s="674"/>
      <c r="W251" s="675"/>
      <c r="X251" s="675"/>
      <c r="AB251" s="537" t="s">
        <v>314</v>
      </c>
      <c r="AD251" s="675"/>
      <c r="AF251" s="680"/>
    </row>
    <row r="252" spans="1:32" s="536" customFormat="1" ht="12" x14ac:dyDescent="0.2">
      <c r="A252" s="605"/>
      <c r="B252" s="552"/>
      <c r="C252" s="1822" t="s">
        <v>348</v>
      </c>
      <c r="D252" s="1822"/>
      <c r="E252" s="1822"/>
      <c r="F252" s="562" t="s">
        <v>315</v>
      </c>
      <c r="G252" s="562" t="s">
        <v>856</v>
      </c>
      <c r="H252" s="562" t="s">
        <v>189</v>
      </c>
      <c r="I252" s="562" t="s">
        <v>1292</v>
      </c>
      <c r="J252" s="604"/>
      <c r="K252" s="562"/>
      <c r="L252" s="604"/>
      <c r="M252" s="603"/>
      <c r="N252" s="602"/>
      <c r="V252" s="674"/>
      <c r="W252" s="675"/>
      <c r="X252" s="675"/>
      <c r="AB252" s="537" t="s">
        <v>348</v>
      </c>
      <c r="AD252" s="675"/>
      <c r="AF252" s="680"/>
    </row>
    <row r="253" spans="1:32" s="536" customFormat="1" ht="12" x14ac:dyDescent="0.2">
      <c r="A253" s="605"/>
      <c r="B253" s="552"/>
      <c r="C253" s="1828" t="s">
        <v>318</v>
      </c>
      <c r="D253" s="1828"/>
      <c r="E253" s="1828"/>
      <c r="F253" s="608"/>
      <c r="G253" s="608"/>
      <c r="H253" s="608"/>
      <c r="I253" s="608"/>
      <c r="J253" s="607">
        <v>143.01</v>
      </c>
      <c r="K253" s="608"/>
      <c r="L253" s="607">
        <v>85.8</v>
      </c>
      <c r="M253" s="601"/>
      <c r="N253" s="606"/>
      <c r="V253" s="674"/>
      <c r="W253" s="675"/>
      <c r="X253" s="675"/>
      <c r="AC253" s="537" t="s">
        <v>318</v>
      </c>
      <c r="AD253" s="675"/>
      <c r="AF253" s="680"/>
    </row>
    <row r="254" spans="1:32" s="536" customFormat="1" ht="12" x14ac:dyDescent="0.2">
      <c r="A254" s="605"/>
      <c r="B254" s="552"/>
      <c r="C254" s="1822" t="s">
        <v>319</v>
      </c>
      <c r="D254" s="1822"/>
      <c r="E254" s="1822"/>
      <c r="F254" s="562"/>
      <c r="G254" s="562"/>
      <c r="H254" s="562"/>
      <c r="I254" s="562"/>
      <c r="J254" s="604"/>
      <c r="K254" s="562"/>
      <c r="L254" s="604">
        <v>82.75</v>
      </c>
      <c r="M254" s="603"/>
      <c r="N254" s="602"/>
      <c r="V254" s="674"/>
      <c r="W254" s="675"/>
      <c r="X254" s="675"/>
      <c r="AB254" s="537" t="s">
        <v>319</v>
      </c>
      <c r="AD254" s="675"/>
      <c r="AF254" s="680"/>
    </row>
    <row r="255" spans="1:32" s="536" customFormat="1" ht="33.75" x14ac:dyDescent="0.2">
      <c r="A255" s="605"/>
      <c r="B255" s="552" t="s">
        <v>1250</v>
      </c>
      <c r="C255" s="1822" t="s">
        <v>1251</v>
      </c>
      <c r="D255" s="1822"/>
      <c r="E255" s="1822"/>
      <c r="F255" s="562" t="s">
        <v>322</v>
      </c>
      <c r="G255" s="562" t="s">
        <v>1252</v>
      </c>
      <c r="H255" s="562"/>
      <c r="I255" s="562" t="s">
        <v>1252</v>
      </c>
      <c r="J255" s="604"/>
      <c r="K255" s="562"/>
      <c r="L255" s="604">
        <v>92.68</v>
      </c>
      <c r="M255" s="603"/>
      <c r="N255" s="602"/>
      <c r="V255" s="674"/>
      <c r="W255" s="675"/>
      <c r="X255" s="675"/>
      <c r="AB255" s="537" t="s">
        <v>1251</v>
      </c>
      <c r="AD255" s="675"/>
      <c r="AF255" s="680"/>
    </row>
    <row r="256" spans="1:32" s="536" customFormat="1" ht="33.75" x14ac:dyDescent="0.2">
      <c r="A256" s="605"/>
      <c r="B256" s="552" t="s">
        <v>1253</v>
      </c>
      <c r="C256" s="1822" t="s">
        <v>1254</v>
      </c>
      <c r="D256" s="1822"/>
      <c r="E256" s="1822"/>
      <c r="F256" s="562" t="s">
        <v>322</v>
      </c>
      <c r="G256" s="562" t="s">
        <v>796</v>
      </c>
      <c r="H256" s="562"/>
      <c r="I256" s="562" t="s">
        <v>796</v>
      </c>
      <c r="J256" s="604"/>
      <c r="K256" s="562"/>
      <c r="L256" s="604">
        <v>53.79</v>
      </c>
      <c r="M256" s="603"/>
      <c r="N256" s="602"/>
      <c r="V256" s="674"/>
      <c r="W256" s="675"/>
      <c r="X256" s="675"/>
      <c r="AB256" s="537" t="s">
        <v>1254</v>
      </c>
      <c r="AD256" s="675"/>
      <c r="AF256" s="680"/>
    </row>
    <row r="257" spans="1:32" s="536" customFormat="1" ht="12" x14ac:dyDescent="0.2">
      <c r="A257" s="569"/>
      <c r="B257" s="683"/>
      <c r="C257" s="1823" t="s">
        <v>327</v>
      </c>
      <c r="D257" s="1823"/>
      <c r="E257" s="1823"/>
      <c r="F257" s="573"/>
      <c r="G257" s="573"/>
      <c r="H257" s="573"/>
      <c r="I257" s="573"/>
      <c r="J257" s="572"/>
      <c r="K257" s="573"/>
      <c r="L257" s="572">
        <v>232.27</v>
      </c>
      <c r="M257" s="601"/>
      <c r="N257" s="570"/>
      <c r="V257" s="674"/>
      <c r="W257" s="675"/>
      <c r="X257" s="675"/>
      <c r="AD257" s="675" t="s">
        <v>327</v>
      </c>
      <c r="AF257" s="680"/>
    </row>
    <row r="258" spans="1:32" s="536" customFormat="1" ht="33.75" x14ac:dyDescent="0.2">
      <c r="A258" s="575" t="s">
        <v>761</v>
      </c>
      <c r="B258" s="684" t="s">
        <v>1293</v>
      </c>
      <c r="C258" s="1823" t="s">
        <v>1294</v>
      </c>
      <c r="D258" s="1823"/>
      <c r="E258" s="1823"/>
      <c r="F258" s="573" t="s">
        <v>641</v>
      </c>
      <c r="G258" s="573"/>
      <c r="H258" s="573"/>
      <c r="I258" s="573" t="s">
        <v>1262</v>
      </c>
      <c r="J258" s="572">
        <v>25323.38</v>
      </c>
      <c r="K258" s="573" t="s">
        <v>716</v>
      </c>
      <c r="L258" s="572">
        <v>1519.95</v>
      </c>
      <c r="M258" s="571">
        <v>8.32</v>
      </c>
      <c r="N258" s="570">
        <v>12646</v>
      </c>
      <c r="V258" s="674"/>
      <c r="W258" s="675"/>
      <c r="X258" s="675" t="s">
        <v>1294</v>
      </c>
      <c r="AD258" s="675"/>
      <c r="AF258" s="680"/>
    </row>
    <row r="259" spans="1:32" s="536" customFormat="1" ht="12" x14ac:dyDescent="0.2">
      <c r="A259" s="569"/>
      <c r="B259" s="683"/>
      <c r="C259" s="689" t="s">
        <v>1173</v>
      </c>
      <c r="D259" s="690"/>
      <c r="E259" s="690"/>
      <c r="F259" s="563"/>
      <c r="G259" s="563"/>
      <c r="H259" s="563"/>
      <c r="I259" s="563"/>
      <c r="J259" s="566"/>
      <c r="K259" s="563"/>
      <c r="L259" s="566"/>
      <c r="M259" s="565"/>
      <c r="N259" s="564"/>
      <c r="V259" s="674"/>
      <c r="W259" s="675"/>
      <c r="X259" s="675"/>
      <c r="AD259" s="675"/>
      <c r="AF259" s="680"/>
    </row>
    <row r="260" spans="1:32" s="536" customFormat="1" ht="12" x14ac:dyDescent="0.2">
      <c r="A260" s="676"/>
      <c r="B260" s="682"/>
      <c r="C260" s="1822" t="s">
        <v>1295</v>
      </c>
      <c r="D260" s="1822"/>
      <c r="E260" s="1822"/>
      <c r="F260" s="1822"/>
      <c r="G260" s="1822"/>
      <c r="H260" s="1822"/>
      <c r="I260" s="1822"/>
      <c r="J260" s="1822"/>
      <c r="K260" s="1822"/>
      <c r="L260" s="1822"/>
      <c r="M260" s="1822"/>
      <c r="N260" s="1827"/>
      <c r="V260" s="674"/>
      <c r="W260" s="675"/>
      <c r="X260" s="675"/>
      <c r="Y260" s="537" t="s">
        <v>1295</v>
      </c>
      <c r="AD260" s="675"/>
      <c r="AF260" s="680"/>
    </row>
    <row r="261" spans="1:32" s="536" customFormat="1" ht="22.5" x14ac:dyDescent="0.2">
      <c r="A261" s="609"/>
      <c r="B261" s="552" t="s">
        <v>718</v>
      </c>
      <c r="C261" s="1822" t="s">
        <v>719</v>
      </c>
      <c r="D261" s="1822"/>
      <c r="E261" s="1822"/>
      <c r="F261" s="1822"/>
      <c r="G261" s="1822"/>
      <c r="H261" s="1822"/>
      <c r="I261" s="1822"/>
      <c r="J261" s="1822"/>
      <c r="K261" s="1822"/>
      <c r="L261" s="1822"/>
      <c r="M261" s="1822"/>
      <c r="N261" s="1827"/>
      <c r="V261" s="674"/>
      <c r="W261" s="675"/>
      <c r="X261" s="675"/>
      <c r="Z261" s="537" t="s">
        <v>719</v>
      </c>
      <c r="AD261" s="675"/>
      <c r="AF261" s="680"/>
    </row>
    <row r="262" spans="1:32" s="536" customFormat="1" ht="12" x14ac:dyDescent="0.2">
      <c r="A262" s="1830" t="s">
        <v>1296</v>
      </c>
      <c r="B262" s="1831"/>
      <c r="C262" s="1831"/>
      <c r="D262" s="1831"/>
      <c r="E262" s="1831"/>
      <c r="F262" s="1831"/>
      <c r="G262" s="1831"/>
      <c r="H262" s="1831"/>
      <c r="I262" s="1831"/>
      <c r="J262" s="1831"/>
      <c r="K262" s="1831"/>
      <c r="L262" s="1831"/>
      <c r="M262" s="1831"/>
      <c r="N262" s="1832"/>
      <c r="V262" s="674"/>
      <c r="W262" s="675" t="s">
        <v>1296</v>
      </c>
      <c r="X262" s="675"/>
      <c r="AD262" s="675"/>
      <c r="AF262" s="680"/>
    </row>
    <row r="263" spans="1:32" s="536" customFormat="1" ht="33.75" x14ac:dyDescent="0.2">
      <c r="A263" s="575" t="s">
        <v>762</v>
      </c>
      <c r="B263" s="684" t="s">
        <v>1297</v>
      </c>
      <c r="C263" s="1823" t="s">
        <v>1298</v>
      </c>
      <c r="D263" s="1823"/>
      <c r="E263" s="1823"/>
      <c r="F263" s="573" t="s">
        <v>862</v>
      </c>
      <c r="G263" s="573"/>
      <c r="H263" s="573"/>
      <c r="I263" s="573" t="s">
        <v>1299</v>
      </c>
      <c r="J263" s="572"/>
      <c r="K263" s="573"/>
      <c r="L263" s="572"/>
      <c r="M263" s="571"/>
      <c r="N263" s="570"/>
      <c r="V263" s="674"/>
      <c r="W263" s="675"/>
      <c r="X263" s="675" t="s">
        <v>1298</v>
      </c>
      <c r="AD263" s="675"/>
      <c r="AF263" s="680"/>
    </row>
    <row r="264" spans="1:32" s="536" customFormat="1" ht="12" x14ac:dyDescent="0.2">
      <c r="A264" s="676"/>
      <c r="B264" s="682"/>
      <c r="C264" s="1822" t="s">
        <v>1300</v>
      </c>
      <c r="D264" s="1822"/>
      <c r="E264" s="1822"/>
      <c r="F264" s="1822"/>
      <c r="G264" s="1822"/>
      <c r="H264" s="1822"/>
      <c r="I264" s="1822"/>
      <c r="J264" s="1822"/>
      <c r="K264" s="1822"/>
      <c r="L264" s="1822"/>
      <c r="M264" s="1822"/>
      <c r="N264" s="1827"/>
      <c r="V264" s="674"/>
      <c r="W264" s="675"/>
      <c r="X264" s="675"/>
      <c r="Y264" s="537" t="s">
        <v>1300</v>
      </c>
      <c r="AD264" s="675"/>
      <c r="AF264" s="680"/>
    </row>
    <row r="265" spans="1:32" s="536" customFormat="1" ht="33.75" x14ac:dyDescent="0.2">
      <c r="A265" s="609"/>
      <c r="B265" s="552" t="s">
        <v>310</v>
      </c>
      <c r="C265" s="1822" t="s">
        <v>311</v>
      </c>
      <c r="D265" s="1822"/>
      <c r="E265" s="1822"/>
      <c r="F265" s="1822"/>
      <c r="G265" s="1822"/>
      <c r="H265" s="1822"/>
      <c r="I265" s="1822"/>
      <c r="J265" s="1822"/>
      <c r="K265" s="1822"/>
      <c r="L265" s="1822"/>
      <c r="M265" s="1822"/>
      <c r="N265" s="1827"/>
      <c r="V265" s="674"/>
      <c r="W265" s="675"/>
      <c r="X265" s="675"/>
      <c r="Z265" s="537" t="s">
        <v>311</v>
      </c>
      <c r="AD265" s="675"/>
      <c r="AF265" s="680"/>
    </row>
    <row r="266" spans="1:32" s="536" customFormat="1" ht="12" x14ac:dyDescent="0.2">
      <c r="A266" s="605"/>
      <c r="B266" s="552" t="s">
        <v>185</v>
      </c>
      <c r="C266" s="1822" t="s">
        <v>312</v>
      </c>
      <c r="D266" s="1822"/>
      <c r="E266" s="1822"/>
      <c r="F266" s="562"/>
      <c r="G266" s="562"/>
      <c r="H266" s="562"/>
      <c r="I266" s="562"/>
      <c r="J266" s="604">
        <v>925.9</v>
      </c>
      <c r="K266" s="562" t="s">
        <v>313</v>
      </c>
      <c r="L266" s="604">
        <v>455.54</v>
      </c>
      <c r="M266" s="603"/>
      <c r="N266" s="602"/>
      <c r="V266" s="674"/>
      <c r="W266" s="675"/>
      <c r="X266" s="675"/>
      <c r="AA266" s="537" t="s">
        <v>312</v>
      </c>
      <c r="AD266" s="675"/>
      <c r="AF266" s="680"/>
    </row>
    <row r="267" spans="1:32" s="536" customFormat="1" ht="12" x14ac:dyDescent="0.2">
      <c r="A267" s="605"/>
      <c r="B267" s="552" t="s">
        <v>186</v>
      </c>
      <c r="C267" s="1822" t="s">
        <v>344</v>
      </c>
      <c r="D267" s="1822"/>
      <c r="E267" s="1822"/>
      <c r="F267" s="562"/>
      <c r="G267" s="562"/>
      <c r="H267" s="562"/>
      <c r="I267" s="562"/>
      <c r="J267" s="604">
        <v>90.71</v>
      </c>
      <c r="K267" s="562" t="s">
        <v>313</v>
      </c>
      <c r="L267" s="604">
        <v>44.63</v>
      </c>
      <c r="M267" s="603"/>
      <c r="N267" s="602"/>
      <c r="V267" s="674"/>
      <c r="W267" s="675"/>
      <c r="X267" s="675"/>
      <c r="AA267" s="537" t="s">
        <v>344</v>
      </c>
      <c r="AD267" s="675"/>
      <c r="AF267" s="680"/>
    </row>
    <row r="268" spans="1:32" s="536" customFormat="1" ht="12" x14ac:dyDescent="0.2">
      <c r="A268" s="605"/>
      <c r="B268" s="552" t="s">
        <v>187</v>
      </c>
      <c r="C268" s="1822" t="s">
        <v>345</v>
      </c>
      <c r="D268" s="1822"/>
      <c r="E268" s="1822"/>
      <c r="F268" s="562"/>
      <c r="G268" s="562"/>
      <c r="H268" s="562"/>
      <c r="I268" s="562"/>
      <c r="J268" s="604">
        <v>15.13</v>
      </c>
      <c r="K268" s="562" t="s">
        <v>313</v>
      </c>
      <c r="L268" s="604">
        <v>7.44</v>
      </c>
      <c r="M268" s="603"/>
      <c r="N268" s="602"/>
      <c r="V268" s="674"/>
      <c r="W268" s="675"/>
      <c r="X268" s="675"/>
      <c r="AA268" s="537" t="s">
        <v>345</v>
      </c>
      <c r="AD268" s="675"/>
      <c r="AF268" s="680"/>
    </row>
    <row r="269" spans="1:32" s="536" customFormat="1" ht="12" x14ac:dyDescent="0.2">
      <c r="A269" s="605"/>
      <c r="B269" s="552" t="s">
        <v>188</v>
      </c>
      <c r="C269" s="1822" t="s">
        <v>475</v>
      </c>
      <c r="D269" s="1822"/>
      <c r="E269" s="1822"/>
      <c r="F269" s="562"/>
      <c r="G269" s="562"/>
      <c r="H269" s="562"/>
      <c r="I269" s="562"/>
      <c r="J269" s="604">
        <v>700.57</v>
      </c>
      <c r="K269" s="562"/>
      <c r="L269" s="604">
        <v>275.74</v>
      </c>
      <c r="M269" s="603"/>
      <c r="N269" s="602"/>
      <c r="V269" s="674"/>
      <c r="W269" s="675"/>
      <c r="X269" s="675"/>
      <c r="AA269" s="537" t="s">
        <v>475</v>
      </c>
      <c r="AD269" s="675"/>
      <c r="AF269" s="680"/>
    </row>
    <row r="270" spans="1:32" s="536" customFormat="1" ht="22.5" x14ac:dyDescent="0.2">
      <c r="A270" s="676"/>
      <c r="B270" s="677" t="s">
        <v>1301</v>
      </c>
      <c r="C270" s="1829" t="s">
        <v>1302</v>
      </c>
      <c r="D270" s="1829"/>
      <c r="E270" s="1829"/>
      <c r="F270" s="678" t="s">
        <v>865</v>
      </c>
      <c r="G270" s="678" t="s">
        <v>680</v>
      </c>
      <c r="H270" s="678"/>
      <c r="I270" s="678" t="s">
        <v>1303</v>
      </c>
      <c r="J270" s="552"/>
      <c r="K270" s="562"/>
      <c r="L270" s="604"/>
      <c r="M270" s="562"/>
      <c r="N270" s="679"/>
      <c r="V270" s="674"/>
      <c r="W270" s="675"/>
      <c r="X270" s="675"/>
      <c r="AD270" s="675"/>
      <c r="AF270" s="680" t="s">
        <v>1302</v>
      </c>
    </row>
    <row r="271" spans="1:32" s="536" customFormat="1" ht="12" x14ac:dyDescent="0.2">
      <c r="A271" s="605"/>
      <c r="B271" s="552"/>
      <c r="C271" s="1822" t="s">
        <v>314</v>
      </c>
      <c r="D271" s="1822"/>
      <c r="E271" s="1822"/>
      <c r="F271" s="562" t="s">
        <v>315</v>
      </c>
      <c r="G271" s="562" t="s">
        <v>1304</v>
      </c>
      <c r="H271" s="562" t="s">
        <v>313</v>
      </c>
      <c r="I271" s="562" t="s">
        <v>1305</v>
      </c>
      <c r="J271" s="604"/>
      <c r="K271" s="562"/>
      <c r="L271" s="604"/>
      <c r="M271" s="603"/>
      <c r="N271" s="602"/>
      <c r="V271" s="674"/>
      <c r="W271" s="675"/>
      <c r="X271" s="675"/>
      <c r="AB271" s="537" t="s">
        <v>314</v>
      </c>
      <c r="AD271" s="675"/>
      <c r="AF271" s="680"/>
    </row>
    <row r="272" spans="1:32" s="536" customFormat="1" ht="12" x14ac:dyDescent="0.2">
      <c r="A272" s="605"/>
      <c r="B272" s="552"/>
      <c r="C272" s="1822" t="s">
        <v>348</v>
      </c>
      <c r="D272" s="1822"/>
      <c r="E272" s="1822"/>
      <c r="F272" s="562" t="s">
        <v>315</v>
      </c>
      <c r="G272" s="562" t="s">
        <v>1306</v>
      </c>
      <c r="H272" s="562" t="s">
        <v>313</v>
      </c>
      <c r="I272" s="562" t="s">
        <v>1307</v>
      </c>
      <c r="J272" s="604"/>
      <c r="K272" s="562"/>
      <c r="L272" s="604"/>
      <c r="M272" s="603"/>
      <c r="N272" s="602"/>
      <c r="V272" s="674"/>
      <c r="W272" s="675"/>
      <c r="X272" s="675"/>
      <c r="AB272" s="537" t="s">
        <v>348</v>
      </c>
      <c r="AD272" s="675"/>
      <c r="AF272" s="680"/>
    </row>
    <row r="273" spans="1:32" s="536" customFormat="1" ht="12" x14ac:dyDescent="0.2">
      <c r="A273" s="605"/>
      <c r="B273" s="552"/>
      <c r="C273" s="1828" t="s">
        <v>318</v>
      </c>
      <c r="D273" s="1828"/>
      <c r="E273" s="1828"/>
      <c r="F273" s="608"/>
      <c r="G273" s="608"/>
      <c r="H273" s="608"/>
      <c r="I273" s="608"/>
      <c r="J273" s="607">
        <v>1717.18</v>
      </c>
      <c r="K273" s="608"/>
      <c r="L273" s="607">
        <v>775.91</v>
      </c>
      <c r="M273" s="601"/>
      <c r="N273" s="606"/>
      <c r="V273" s="674"/>
      <c r="W273" s="675"/>
      <c r="X273" s="675"/>
      <c r="AC273" s="537" t="s">
        <v>318</v>
      </c>
      <c r="AD273" s="675"/>
      <c r="AF273" s="680"/>
    </row>
    <row r="274" spans="1:32" s="536" customFormat="1" ht="12" x14ac:dyDescent="0.2">
      <c r="A274" s="605"/>
      <c r="B274" s="552"/>
      <c r="C274" s="1822" t="s">
        <v>319</v>
      </c>
      <c r="D274" s="1822"/>
      <c r="E274" s="1822"/>
      <c r="F274" s="562"/>
      <c r="G274" s="562"/>
      <c r="H274" s="562"/>
      <c r="I274" s="562"/>
      <c r="J274" s="604"/>
      <c r="K274" s="562"/>
      <c r="L274" s="604">
        <v>462.98</v>
      </c>
      <c r="M274" s="603"/>
      <c r="N274" s="602"/>
      <c r="V274" s="674"/>
      <c r="W274" s="675"/>
      <c r="X274" s="675"/>
      <c r="AB274" s="537" t="s">
        <v>319</v>
      </c>
      <c r="AD274" s="675"/>
      <c r="AF274" s="680"/>
    </row>
    <row r="275" spans="1:32" s="536" customFormat="1" ht="33.75" x14ac:dyDescent="0.2">
      <c r="A275" s="605"/>
      <c r="B275" s="552" t="s">
        <v>1308</v>
      </c>
      <c r="C275" s="1822" t="s">
        <v>1309</v>
      </c>
      <c r="D275" s="1822"/>
      <c r="E275" s="1822"/>
      <c r="F275" s="562" t="s">
        <v>322</v>
      </c>
      <c r="G275" s="562" t="s">
        <v>844</v>
      </c>
      <c r="H275" s="562"/>
      <c r="I275" s="562" t="s">
        <v>844</v>
      </c>
      <c r="J275" s="604"/>
      <c r="K275" s="562"/>
      <c r="L275" s="604">
        <v>462.98</v>
      </c>
      <c r="M275" s="603"/>
      <c r="N275" s="602"/>
      <c r="V275" s="674"/>
      <c r="W275" s="675"/>
      <c r="X275" s="675"/>
      <c r="AB275" s="537" t="s">
        <v>1309</v>
      </c>
      <c r="AD275" s="675"/>
      <c r="AF275" s="680"/>
    </row>
    <row r="276" spans="1:32" s="536" customFormat="1" ht="33.75" x14ac:dyDescent="0.2">
      <c r="A276" s="605"/>
      <c r="B276" s="552" t="s">
        <v>1310</v>
      </c>
      <c r="C276" s="1822" t="s">
        <v>1311</v>
      </c>
      <c r="D276" s="1822"/>
      <c r="E276" s="1822"/>
      <c r="F276" s="562" t="s">
        <v>322</v>
      </c>
      <c r="G276" s="562" t="s">
        <v>784</v>
      </c>
      <c r="H276" s="562"/>
      <c r="I276" s="562" t="s">
        <v>784</v>
      </c>
      <c r="J276" s="604"/>
      <c r="K276" s="562"/>
      <c r="L276" s="604">
        <v>226.86</v>
      </c>
      <c r="M276" s="603"/>
      <c r="N276" s="602"/>
      <c r="V276" s="674"/>
      <c r="W276" s="675"/>
      <c r="X276" s="675"/>
      <c r="AB276" s="537" t="s">
        <v>1311</v>
      </c>
      <c r="AD276" s="675"/>
      <c r="AF276" s="680"/>
    </row>
    <row r="277" spans="1:32" s="536" customFormat="1" ht="12" x14ac:dyDescent="0.2">
      <c r="A277" s="569"/>
      <c r="B277" s="683"/>
      <c r="C277" s="1823" t="s">
        <v>327</v>
      </c>
      <c r="D277" s="1823"/>
      <c r="E277" s="1823"/>
      <c r="F277" s="573"/>
      <c r="G277" s="573"/>
      <c r="H277" s="573"/>
      <c r="I277" s="573"/>
      <c r="J277" s="572"/>
      <c r="K277" s="573"/>
      <c r="L277" s="572">
        <v>1465.75</v>
      </c>
      <c r="M277" s="601"/>
      <c r="N277" s="570"/>
      <c r="V277" s="674"/>
      <c r="W277" s="675"/>
      <c r="X277" s="675"/>
      <c r="AD277" s="675" t="s">
        <v>327</v>
      </c>
      <c r="AF277" s="680"/>
    </row>
    <row r="278" spans="1:32" s="536" customFormat="1" ht="22.5" x14ac:dyDescent="0.2">
      <c r="A278" s="575" t="s">
        <v>763</v>
      </c>
      <c r="B278" s="684" t="s">
        <v>1312</v>
      </c>
      <c r="C278" s="1823" t="s">
        <v>1313</v>
      </c>
      <c r="D278" s="1823"/>
      <c r="E278" s="1823"/>
      <c r="F278" s="573" t="s">
        <v>865</v>
      </c>
      <c r="G278" s="573"/>
      <c r="H278" s="573"/>
      <c r="I278" s="573" t="s">
        <v>1314</v>
      </c>
      <c r="J278" s="572">
        <v>272</v>
      </c>
      <c r="K278" s="573"/>
      <c r="L278" s="572">
        <v>10918.08</v>
      </c>
      <c r="M278" s="571"/>
      <c r="N278" s="570"/>
      <c r="V278" s="674"/>
      <c r="W278" s="675"/>
      <c r="X278" s="675" t="s">
        <v>1313</v>
      </c>
      <c r="AD278" s="675"/>
      <c r="AF278" s="680"/>
    </row>
    <row r="279" spans="1:32" s="536" customFormat="1" ht="12" x14ac:dyDescent="0.2">
      <c r="A279" s="569"/>
      <c r="B279" s="683"/>
      <c r="C279" s="689" t="s">
        <v>717</v>
      </c>
      <c r="D279" s="690"/>
      <c r="E279" s="690"/>
      <c r="F279" s="563"/>
      <c r="G279" s="563"/>
      <c r="H279" s="563"/>
      <c r="I279" s="563"/>
      <c r="J279" s="566"/>
      <c r="K279" s="563"/>
      <c r="L279" s="566"/>
      <c r="M279" s="565"/>
      <c r="N279" s="564"/>
      <c r="V279" s="674"/>
      <c r="W279" s="675"/>
      <c r="X279" s="675"/>
      <c r="AD279" s="675"/>
      <c r="AF279" s="680"/>
    </row>
    <row r="280" spans="1:32" s="536" customFormat="1" ht="12" x14ac:dyDescent="0.2">
      <c r="A280" s="676"/>
      <c r="B280" s="682"/>
      <c r="C280" s="1822" t="s">
        <v>1315</v>
      </c>
      <c r="D280" s="1822"/>
      <c r="E280" s="1822"/>
      <c r="F280" s="1822"/>
      <c r="G280" s="1822"/>
      <c r="H280" s="1822"/>
      <c r="I280" s="1822"/>
      <c r="J280" s="1822"/>
      <c r="K280" s="1822"/>
      <c r="L280" s="1822"/>
      <c r="M280" s="1822"/>
      <c r="N280" s="1827"/>
      <c r="V280" s="674"/>
      <c r="W280" s="675"/>
      <c r="X280" s="675"/>
      <c r="Y280" s="537" t="s">
        <v>1315</v>
      </c>
      <c r="AD280" s="675"/>
      <c r="AF280" s="680"/>
    </row>
    <row r="281" spans="1:32" s="536" customFormat="1" ht="45" x14ac:dyDescent="0.2">
      <c r="A281" s="575" t="s">
        <v>922</v>
      </c>
      <c r="B281" s="684" t="s">
        <v>1316</v>
      </c>
      <c r="C281" s="1823" t="s">
        <v>1317</v>
      </c>
      <c r="D281" s="1823"/>
      <c r="E281" s="1823"/>
      <c r="F281" s="573" t="s">
        <v>1318</v>
      </c>
      <c r="G281" s="573"/>
      <c r="H281" s="573"/>
      <c r="I281" s="573" t="s">
        <v>1319</v>
      </c>
      <c r="J281" s="572"/>
      <c r="K281" s="573"/>
      <c r="L281" s="572"/>
      <c r="M281" s="571"/>
      <c r="N281" s="570"/>
      <c r="V281" s="674"/>
      <c r="W281" s="675"/>
      <c r="X281" s="675" t="s">
        <v>1317</v>
      </c>
      <c r="AD281" s="675"/>
      <c r="AF281" s="680"/>
    </row>
    <row r="282" spans="1:32" s="536" customFormat="1" ht="12" x14ac:dyDescent="0.2">
      <c r="A282" s="676"/>
      <c r="B282" s="682"/>
      <c r="C282" s="1822" t="s">
        <v>1320</v>
      </c>
      <c r="D282" s="1822"/>
      <c r="E282" s="1822"/>
      <c r="F282" s="1822"/>
      <c r="G282" s="1822"/>
      <c r="H282" s="1822"/>
      <c r="I282" s="1822"/>
      <c r="J282" s="1822"/>
      <c r="K282" s="1822"/>
      <c r="L282" s="1822"/>
      <c r="M282" s="1822"/>
      <c r="N282" s="1827"/>
      <c r="V282" s="674"/>
      <c r="W282" s="675"/>
      <c r="X282" s="675"/>
      <c r="Y282" s="537" t="s">
        <v>1320</v>
      </c>
      <c r="AD282" s="675"/>
      <c r="AF282" s="680"/>
    </row>
    <row r="283" spans="1:32" s="536" customFormat="1" ht="33.75" x14ac:dyDescent="0.2">
      <c r="A283" s="609"/>
      <c r="B283" s="552" t="s">
        <v>310</v>
      </c>
      <c r="C283" s="1822" t="s">
        <v>311</v>
      </c>
      <c r="D283" s="1822"/>
      <c r="E283" s="1822"/>
      <c r="F283" s="1822"/>
      <c r="G283" s="1822"/>
      <c r="H283" s="1822"/>
      <c r="I283" s="1822"/>
      <c r="J283" s="1822"/>
      <c r="K283" s="1822"/>
      <c r="L283" s="1822"/>
      <c r="M283" s="1822"/>
      <c r="N283" s="1827"/>
      <c r="V283" s="674"/>
      <c r="W283" s="675"/>
      <c r="X283" s="675"/>
      <c r="Z283" s="537" t="s">
        <v>311</v>
      </c>
      <c r="AD283" s="675"/>
      <c r="AF283" s="680"/>
    </row>
    <row r="284" spans="1:32" s="536" customFormat="1" ht="12" x14ac:dyDescent="0.2">
      <c r="A284" s="605"/>
      <c r="B284" s="552" t="s">
        <v>185</v>
      </c>
      <c r="C284" s="1822" t="s">
        <v>312</v>
      </c>
      <c r="D284" s="1822"/>
      <c r="E284" s="1822"/>
      <c r="F284" s="562"/>
      <c r="G284" s="562"/>
      <c r="H284" s="562"/>
      <c r="I284" s="562"/>
      <c r="J284" s="604">
        <v>1047.54</v>
      </c>
      <c r="K284" s="562" t="s">
        <v>313</v>
      </c>
      <c r="L284" s="604">
        <v>364.02</v>
      </c>
      <c r="M284" s="603"/>
      <c r="N284" s="602"/>
      <c r="V284" s="674"/>
      <c r="W284" s="675"/>
      <c r="X284" s="675"/>
      <c r="AA284" s="537" t="s">
        <v>312</v>
      </c>
      <c r="AD284" s="675"/>
      <c r="AF284" s="680"/>
    </row>
    <row r="285" spans="1:32" s="536" customFormat="1" ht="12" x14ac:dyDescent="0.2">
      <c r="A285" s="605"/>
      <c r="B285" s="552" t="s">
        <v>186</v>
      </c>
      <c r="C285" s="1822" t="s">
        <v>344</v>
      </c>
      <c r="D285" s="1822"/>
      <c r="E285" s="1822"/>
      <c r="F285" s="562"/>
      <c r="G285" s="562"/>
      <c r="H285" s="562"/>
      <c r="I285" s="562"/>
      <c r="J285" s="604">
        <v>10449.450000000001</v>
      </c>
      <c r="K285" s="562" t="s">
        <v>313</v>
      </c>
      <c r="L285" s="604">
        <v>3631.18</v>
      </c>
      <c r="M285" s="603"/>
      <c r="N285" s="602"/>
      <c r="V285" s="674"/>
      <c r="W285" s="675"/>
      <c r="X285" s="675"/>
      <c r="AA285" s="537" t="s">
        <v>344</v>
      </c>
      <c r="AD285" s="675"/>
      <c r="AF285" s="680"/>
    </row>
    <row r="286" spans="1:32" s="536" customFormat="1" ht="12" x14ac:dyDescent="0.2">
      <c r="A286" s="605"/>
      <c r="B286" s="552" t="s">
        <v>187</v>
      </c>
      <c r="C286" s="1822" t="s">
        <v>345</v>
      </c>
      <c r="D286" s="1822"/>
      <c r="E286" s="1822"/>
      <c r="F286" s="562"/>
      <c r="G286" s="562"/>
      <c r="H286" s="562"/>
      <c r="I286" s="562"/>
      <c r="J286" s="604">
        <v>389.8</v>
      </c>
      <c r="K286" s="562" t="s">
        <v>313</v>
      </c>
      <c r="L286" s="604">
        <v>135.46</v>
      </c>
      <c r="M286" s="603"/>
      <c r="N286" s="602"/>
      <c r="V286" s="674"/>
      <c r="W286" s="675"/>
      <c r="X286" s="675"/>
      <c r="AA286" s="537" t="s">
        <v>345</v>
      </c>
      <c r="AD286" s="675"/>
      <c r="AF286" s="680"/>
    </row>
    <row r="287" spans="1:32" s="536" customFormat="1" ht="12" x14ac:dyDescent="0.2">
      <c r="A287" s="605"/>
      <c r="B287" s="552" t="s">
        <v>188</v>
      </c>
      <c r="C287" s="1822" t="s">
        <v>475</v>
      </c>
      <c r="D287" s="1822"/>
      <c r="E287" s="1822"/>
      <c r="F287" s="562"/>
      <c r="G287" s="562"/>
      <c r="H287" s="562"/>
      <c r="I287" s="562"/>
      <c r="J287" s="604">
        <v>53.54</v>
      </c>
      <c r="K287" s="562"/>
      <c r="L287" s="604">
        <v>14.88</v>
      </c>
      <c r="M287" s="603"/>
      <c r="N287" s="602"/>
      <c r="V287" s="674"/>
      <c r="W287" s="675"/>
      <c r="X287" s="675"/>
      <c r="AA287" s="537" t="s">
        <v>475</v>
      </c>
      <c r="AD287" s="675"/>
      <c r="AF287" s="680"/>
    </row>
    <row r="288" spans="1:32" s="536" customFormat="1" ht="22.5" x14ac:dyDescent="0.2">
      <c r="A288" s="676"/>
      <c r="B288" s="677" t="s">
        <v>1228</v>
      </c>
      <c r="C288" s="1829" t="s">
        <v>1321</v>
      </c>
      <c r="D288" s="1829"/>
      <c r="E288" s="1829"/>
      <c r="F288" s="678" t="s">
        <v>694</v>
      </c>
      <c r="G288" s="678" t="s">
        <v>525</v>
      </c>
      <c r="H288" s="678"/>
      <c r="I288" s="678" t="s">
        <v>525</v>
      </c>
      <c r="J288" s="552"/>
      <c r="K288" s="562"/>
      <c r="L288" s="604"/>
      <c r="M288" s="562"/>
      <c r="N288" s="679"/>
      <c r="V288" s="674"/>
      <c r="W288" s="675"/>
      <c r="X288" s="675"/>
      <c r="AD288" s="675"/>
      <c r="AF288" s="680" t="s">
        <v>1321</v>
      </c>
    </row>
    <row r="289" spans="1:32" s="536" customFormat="1" ht="12" x14ac:dyDescent="0.2">
      <c r="A289" s="605"/>
      <c r="B289" s="552"/>
      <c r="C289" s="1822" t="s">
        <v>314</v>
      </c>
      <c r="D289" s="1822"/>
      <c r="E289" s="1822"/>
      <c r="F289" s="562" t="s">
        <v>315</v>
      </c>
      <c r="G289" s="562" t="s">
        <v>1322</v>
      </c>
      <c r="H289" s="562" t="s">
        <v>313</v>
      </c>
      <c r="I289" s="562" t="s">
        <v>1323</v>
      </c>
      <c r="J289" s="604"/>
      <c r="K289" s="562"/>
      <c r="L289" s="604"/>
      <c r="M289" s="603"/>
      <c r="N289" s="602"/>
      <c r="V289" s="674"/>
      <c r="W289" s="675"/>
      <c r="X289" s="675"/>
      <c r="AB289" s="537" t="s">
        <v>314</v>
      </c>
      <c r="AD289" s="675"/>
      <c r="AF289" s="680"/>
    </row>
    <row r="290" spans="1:32" s="536" customFormat="1" ht="12" x14ac:dyDescent="0.2">
      <c r="A290" s="605"/>
      <c r="B290" s="552"/>
      <c r="C290" s="1822" t="s">
        <v>348</v>
      </c>
      <c r="D290" s="1822"/>
      <c r="E290" s="1822"/>
      <c r="F290" s="562" t="s">
        <v>315</v>
      </c>
      <c r="G290" s="562" t="s">
        <v>1324</v>
      </c>
      <c r="H290" s="562" t="s">
        <v>313</v>
      </c>
      <c r="I290" s="562" t="s">
        <v>1325</v>
      </c>
      <c r="J290" s="604"/>
      <c r="K290" s="562"/>
      <c r="L290" s="604"/>
      <c r="M290" s="603"/>
      <c r="N290" s="602"/>
      <c r="V290" s="674"/>
      <c r="W290" s="675"/>
      <c r="X290" s="675"/>
      <c r="AB290" s="537" t="s">
        <v>348</v>
      </c>
      <c r="AD290" s="675"/>
      <c r="AF290" s="680"/>
    </row>
    <row r="291" spans="1:32" s="536" customFormat="1" ht="12" x14ac:dyDescent="0.2">
      <c r="A291" s="605"/>
      <c r="B291" s="552"/>
      <c r="C291" s="1828" t="s">
        <v>318</v>
      </c>
      <c r="D291" s="1828"/>
      <c r="E291" s="1828"/>
      <c r="F291" s="608"/>
      <c r="G291" s="608"/>
      <c r="H291" s="608"/>
      <c r="I291" s="608"/>
      <c r="J291" s="607">
        <v>11550.53</v>
      </c>
      <c r="K291" s="608"/>
      <c r="L291" s="607">
        <v>4010.08</v>
      </c>
      <c r="M291" s="601"/>
      <c r="N291" s="606"/>
      <c r="V291" s="674"/>
      <c r="W291" s="675"/>
      <c r="X291" s="675"/>
      <c r="AC291" s="537" t="s">
        <v>318</v>
      </c>
      <c r="AD291" s="675"/>
      <c r="AF291" s="680"/>
    </row>
    <row r="292" spans="1:32" s="536" customFormat="1" ht="12" x14ac:dyDescent="0.2">
      <c r="A292" s="605"/>
      <c r="B292" s="552"/>
      <c r="C292" s="1822" t="s">
        <v>319</v>
      </c>
      <c r="D292" s="1822"/>
      <c r="E292" s="1822"/>
      <c r="F292" s="562"/>
      <c r="G292" s="562"/>
      <c r="H292" s="562"/>
      <c r="I292" s="562"/>
      <c r="J292" s="604"/>
      <c r="K292" s="562"/>
      <c r="L292" s="604">
        <v>499.48</v>
      </c>
      <c r="M292" s="603"/>
      <c r="N292" s="602"/>
      <c r="V292" s="674"/>
      <c r="W292" s="675"/>
      <c r="X292" s="675"/>
      <c r="AB292" s="537" t="s">
        <v>319</v>
      </c>
      <c r="AD292" s="675"/>
      <c r="AF292" s="680"/>
    </row>
    <row r="293" spans="1:32" s="536" customFormat="1" ht="33.75" x14ac:dyDescent="0.2">
      <c r="A293" s="605"/>
      <c r="B293" s="552" t="s">
        <v>648</v>
      </c>
      <c r="C293" s="1822" t="s">
        <v>649</v>
      </c>
      <c r="D293" s="1822"/>
      <c r="E293" s="1822"/>
      <c r="F293" s="562" t="s">
        <v>322</v>
      </c>
      <c r="G293" s="562" t="s">
        <v>650</v>
      </c>
      <c r="H293" s="562"/>
      <c r="I293" s="562" t="s">
        <v>650</v>
      </c>
      <c r="J293" s="604"/>
      <c r="K293" s="562"/>
      <c r="L293" s="604">
        <v>464.52</v>
      </c>
      <c r="M293" s="603"/>
      <c r="N293" s="602"/>
      <c r="V293" s="674"/>
      <c r="W293" s="675"/>
      <c r="X293" s="675"/>
      <c r="AB293" s="537" t="s">
        <v>649</v>
      </c>
      <c r="AD293" s="675"/>
      <c r="AF293" s="680"/>
    </row>
    <row r="294" spans="1:32" s="536" customFormat="1" ht="33.75" x14ac:dyDescent="0.2">
      <c r="A294" s="605"/>
      <c r="B294" s="552" t="s">
        <v>651</v>
      </c>
      <c r="C294" s="1822" t="s">
        <v>652</v>
      </c>
      <c r="D294" s="1822"/>
      <c r="E294" s="1822"/>
      <c r="F294" s="562" t="s">
        <v>322</v>
      </c>
      <c r="G294" s="562" t="s">
        <v>653</v>
      </c>
      <c r="H294" s="562"/>
      <c r="I294" s="562" t="s">
        <v>653</v>
      </c>
      <c r="J294" s="604"/>
      <c r="K294" s="562"/>
      <c r="L294" s="604">
        <v>309.68</v>
      </c>
      <c r="M294" s="603"/>
      <c r="N294" s="602"/>
      <c r="V294" s="674"/>
      <c r="W294" s="675"/>
      <c r="X294" s="675"/>
      <c r="AB294" s="537" t="s">
        <v>652</v>
      </c>
      <c r="AD294" s="675"/>
      <c r="AF294" s="680"/>
    </row>
    <row r="295" spans="1:32" s="536" customFormat="1" ht="12" x14ac:dyDescent="0.2">
      <c r="A295" s="569"/>
      <c r="B295" s="683"/>
      <c r="C295" s="1823" t="s">
        <v>327</v>
      </c>
      <c r="D295" s="1823"/>
      <c r="E295" s="1823"/>
      <c r="F295" s="573"/>
      <c r="G295" s="573"/>
      <c r="H295" s="573"/>
      <c r="I295" s="573"/>
      <c r="J295" s="572"/>
      <c r="K295" s="573"/>
      <c r="L295" s="572">
        <v>4784.28</v>
      </c>
      <c r="M295" s="601"/>
      <c r="N295" s="570"/>
      <c r="V295" s="674"/>
      <c r="W295" s="675"/>
      <c r="X295" s="675"/>
      <c r="AD295" s="675" t="s">
        <v>327</v>
      </c>
      <c r="AF295" s="680"/>
    </row>
    <row r="296" spans="1:32" s="536" customFormat="1" ht="33.75" x14ac:dyDescent="0.2">
      <c r="A296" s="575" t="s">
        <v>765</v>
      </c>
      <c r="B296" s="684" t="s">
        <v>1326</v>
      </c>
      <c r="C296" s="1823" t="s">
        <v>1327</v>
      </c>
      <c r="D296" s="1823"/>
      <c r="E296" s="1823"/>
      <c r="F296" s="573" t="s">
        <v>617</v>
      </c>
      <c r="G296" s="573"/>
      <c r="H296" s="573"/>
      <c r="I296" s="573" t="s">
        <v>1328</v>
      </c>
      <c r="J296" s="572">
        <v>1306.3699999999999</v>
      </c>
      <c r="K296" s="573" t="s">
        <v>716</v>
      </c>
      <c r="L296" s="572">
        <v>15759.38</v>
      </c>
      <c r="M296" s="571">
        <v>8.32</v>
      </c>
      <c r="N296" s="570">
        <v>131118</v>
      </c>
      <c r="V296" s="674"/>
      <c r="W296" s="675"/>
      <c r="X296" s="675" t="s">
        <v>1327</v>
      </c>
      <c r="AD296" s="675"/>
      <c r="AF296" s="680"/>
    </row>
    <row r="297" spans="1:32" s="536" customFormat="1" ht="12" x14ac:dyDescent="0.2">
      <c r="A297" s="569"/>
      <c r="B297" s="683"/>
      <c r="C297" s="689" t="s">
        <v>1173</v>
      </c>
      <c r="D297" s="690"/>
      <c r="E297" s="690"/>
      <c r="F297" s="563"/>
      <c r="G297" s="563"/>
      <c r="H297" s="563"/>
      <c r="I297" s="563"/>
      <c r="J297" s="566"/>
      <c r="K297" s="563"/>
      <c r="L297" s="566"/>
      <c r="M297" s="565"/>
      <c r="N297" s="564"/>
      <c r="V297" s="674"/>
      <c r="W297" s="675"/>
      <c r="X297" s="675"/>
      <c r="AD297" s="675"/>
      <c r="AF297" s="680"/>
    </row>
    <row r="298" spans="1:32" s="536" customFormat="1" ht="12" x14ac:dyDescent="0.2">
      <c r="A298" s="676"/>
      <c r="B298" s="682"/>
      <c r="C298" s="1822" t="s">
        <v>1329</v>
      </c>
      <c r="D298" s="1822"/>
      <c r="E298" s="1822"/>
      <c r="F298" s="1822"/>
      <c r="G298" s="1822"/>
      <c r="H298" s="1822"/>
      <c r="I298" s="1822"/>
      <c r="J298" s="1822"/>
      <c r="K298" s="1822"/>
      <c r="L298" s="1822"/>
      <c r="M298" s="1822"/>
      <c r="N298" s="1827"/>
      <c r="V298" s="674"/>
      <c r="W298" s="675"/>
      <c r="X298" s="675"/>
      <c r="Y298" s="537" t="s">
        <v>1329</v>
      </c>
      <c r="AD298" s="675"/>
      <c r="AF298" s="680"/>
    </row>
    <row r="299" spans="1:32" s="536" customFormat="1" ht="22.5" x14ac:dyDescent="0.2">
      <c r="A299" s="609"/>
      <c r="B299" s="552" t="s">
        <v>718</v>
      </c>
      <c r="C299" s="1822" t="s">
        <v>719</v>
      </c>
      <c r="D299" s="1822"/>
      <c r="E299" s="1822"/>
      <c r="F299" s="1822"/>
      <c r="G299" s="1822"/>
      <c r="H299" s="1822"/>
      <c r="I299" s="1822"/>
      <c r="J299" s="1822"/>
      <c r="K299" s="1822"/>
      <c r="L299" s="1822"/>
      <c r="M299" s="1822"/>
      <c r="N299" s="1827"/>
      <c r="V299" s="674"/>
      <c r="W299" s="675"/>
      <c r="X299" s="675"/>
      <c r="Z299" s="537" t="s">
        <v>719</v>
      </c>
      <c r="AD299" s="675"/>
      <c r="AF299" s="680"/>
    </row>
    <row r="300" spans="1:32" s="536" customFormat="1" ht="33.75" x14ac:dyDescent="0.2">
      <c r="A300" s="575" t="s">
        <v>505</v>
      </c>
      <c r="B300" s="684" t="s">
        <v>1330</v>
      </c>
      <c r="C300" s="1823" t="s">
        <v>1331</v>
      </c>
      <c r="D300" s="1823"/>
      <c r="E300" s="1823"/>
      <c r="F300" s="573" t="s">
        <v>483</v>
      </c>
      <c r="G300" s="573"/>
      <c r="H300" s="573"/>
      <c r="I300" s="573" t="s">
        <v>1332</v>
      </c>
      <c r="J300" s="572">
        <v>115.06</v>
      </c>
      <c r="K300" s="573" t="s">
        <v>716</v>
      </c>
      <c r="L300" s="572">
        <v>1112.98</v>
      </c>
      <c r="M300" s="571">
        <v>8.32</v>
      </c>
      <c r="N300" s="570">
        <v>9260</v>
      </c>
      <c r="V300" s="674"/>
      <c r="W300" s="675"/>
      <c r="X300" s="675" t="s">
        <v>1331</v>
      </c>
      <c r="AD300" s="675"/>
      <c r="AF300" s="680"/>
    </row>
    <row r="301" spans="1:32" s="536" customFormat="1" ht="12" x14ac:dyDescent="0.2">
      <c r="A301" s="569"/>
      <c r="B301" s="683"/>
      <c r="C301" s="689" t="s">
        <v>1173</v>
      </c>
      <c r="D301" s="690"/>
      <c r="E301" s="690"/>
      <c r="F301" s="563"/>
      <c r="G301" s="563"/>
      <c r="H301" s="563"/>
      <c r="I301" s="563"/>
      <c r="J301" s="566"/>
      <c r="K301" s="563"/>
      <c r="L301" s="566"/>
      <c r="M301" s="565"/>
      <c r="N301" s="564"/>
      <c r="V301" s="674"/>
      <c r="W301" s="675"/>
      <c r="X301" s="675"/>
      <c r="AD301" s="675"/>
      <c r="AF301" s="680"/>
    </row>
    <row r="302" spans="1:32" s="536" customFormat="1" ht="12" x14ac:dyDescent="0.2">
      <c r="A302" s="676"/>
      <c r="B302" s="682"/>
      <c r="C302" s="1822" t="s">
        <v>1333</v>
      </c>
      <c r="D302" s="1822"/>
      <c r="E302" s="1822"/>
      <c r="F302" s="1822"/>
      <c r="G302" s="1822"/>
      <c r="H302" s="1822"/>
      <c r="I302" s="1822"/>
      <c r="J302" s="1822"/>
      <c r="K302" s="1822"/>
      <c r="L302" s="1822"/>
      <c r="M302" s="1822"/>
      <c r="N302" s="1827"/>
      <c r="V302" s="674"/>
      <c r="W302" s="675"/>
      <c r="X302" s="675"/>
      <c r="Y302" s="537" t="s">
        <v>1333</v>
      </c>
      <c r="AD302" s="675"/>
      <c r="AF302" s="680"/>
    </row>
    <row r="303" spans="1:32" s="536" customFormat="1" ht="22.5" x14ac:dyDescent="0.2">
      <c r="A303" s="609"/>
      <c r="B303" s="552" t="s">
        <v>718</v>
      </c>
      <c r="C303" s="1822" t="s">
        <v>719</v>
      </c>
      <c r="D303" s="1822"/>
      <c r="E303" s="1822"/>
      <c r="F303" s="1822"/>
      <c r="G303" s="1822"/>
      <c r="H303" s="1822"/>
      <c r="I303" s="1822"/>
      <c r="J303" s="1822"/>
      <c r="K303" s="1822"/>
      <c r="L303" s="1822"/>
      <c r="M303" s="1822"/>
      <c r="N303" s="1827"/>
      <c r="V303" s="674"/>
      <c r="W303" s="675"/>
      <c r="X303" s="675"/>
      <c r="Z303" s="537" t="s">
        <v>719</v>
      </c>
      <c r="AD303" s="675"/>
      <c r="AF303" s="680"/>
    </row>
    <row r="304" spans="1:32" s="536" customFormat="1" ht="1.5" customHeight="1" x14ac:dyDescent="0.2">
      <c r="A304" s="563"/>
      <c r="B304" s="683"/>
      <c r="C304" s="683"/>
      <c r="D304" s="683"/>
      <c r="E304" s="683"/>
      <c r="F304" s="563"/>
      <c r="G304" s="563"/>
      <c r="H304" s="563"/>
      <c r="I304" s="563"/>
      <c r="J304" s="546"/>
      <c r="K304" s="563"/>
      <c r="L304" s="546"/>
      <c r="M304" s="562"/>
      <c r="N304" s="546"/>
      <c r="V304" s="674"/>
      <c r="W304" s="675"/>
      <c r="X304" s="675"/>
      <c r="AD304" s="675"/>
      <c r="AF304" s="680"/>
    </row>
    <row r="305" spans="1:34" s="536" customFormat="1" ht="12" x14ac:dyDescent="0.2">
      <c r="A305" s="557"/>
      <c r="B305" s="556"/>
      <c r="C305" s="1823" t="s">
        <v>1334</v>
      </c>
      <c r="D305" s="1823"/>
      <c r="E305" s="1823"/>
      <c r="F305" s="1823"/>
      <c r="G305" s="1823"/>
      <c r="H305" s="1823"/>
      <c r="I305" s="1823"/>
      <c r="J305" s="1823"/>
      <c r="K305" s="1823"/>
      <c r="L305" s="555"/>
      <c r="M305" s="554"/>
      <c r="N305" s="553"/>
      <c r="V305" s="674"/>
      <c r="W305" s="675"/>
      <c r="X305" s="675"/>
      <c r="AD305" s="675"/>
      <c r="AF305" s="680"/>
      <c r="AG305" s="675" t="s">
        <v>1334</v>
      </c>
    </row>
    <row r="306" spans="1:34" s="536" customFormat="1" ht="12" x14ac:dyDescent="0.2">
      <c r="A306" s="548"/>
      <c r="B306" s="552"/>
      <c r="C306" s="1822" t="s">
        <v>403</v>
      </c>
      <c r="D306" s="1822"/>
      <c r="E306" s="1822"/>
      <c r="F306" s="1822"/>
      <c r="G306" s="1822"/>
      <c r="H306" s="1822"/>
      <c r="I306" s="1822"/>
      <c r="J306" s="1822"/>
      <c r="K306" s="1822"/>
      <c r="L306" s="551">
        <v>48492.13</v>
      </c>
      <c r="M306" s="550"/>
      <c r="N306" s="549"/>
      <c r="V306" s="674"/>
      <c r="W306" s="675"/>
      <c r="X306" s="675"/>
      <c r="AD306" s="675"/>
      <c r="AF306" s="680"/>
      <c r="AG306" s="675"/>
      <c r="AH306" s="537" t="s">
        <v>403</v>
      </c>
    </row>
    <row r="307" spans="1:34" s="536" customFormat="1" ht="12" x14ac:dyDescent="0.2">
      <c r="A307" s="548"/>
      <c r="B307" s="552"/>
      <c r="C307" s="1822" t="s">
        <v>204</v>
      </c>
      <c r="D307" s="1822"/>
      <c r="E307" s="1822"/>
      <c r="F307" s="1822"/>
      <c r="G307" s="1822"/>
      <c r="H307" s="1822"/>
      <c r="I307" s="1822"/>
      <c r="J307" s="1822"/>
      <c r="K307" s="1822"/>
      <c r="L307" s="551"/>
      <c r="M307" s="550"/>
      <c r="N307" s="549"/>
      <c r="V307" s="674"/>
      <c r="W307" s="675"/>
      <c r="X307" s="675"/>
      <c r="AD307" s="675"/>
      <c r="AF307" s="680"/>
      <c r="AG307" s="675"/>
      <c r="AH307" s="537" t="s">
        <v>204</v>
      </c>
    </row>
    <row r="308" spans="1:34" s="536" customFormat="1" ht="12" x14ac:dyDescent="0.2">
      <c r="A308" s="548"/>
      <c r="B308" s="552"/>
      <c r="C308" s="1822" t="s">
        <v>404</v>
      </c>
      <c r="D308" s="1822"/>
      <c r="E308" s="1822"/>
      <c r="F308" s="1822"/>
      <c r="G308" s="1822"/>
      <c r="H308" s="1822"/>
      <c r="I308" s="1822"/>
      <c r="J308" s="1822"/>
      <c r="K308" s="1822"/>
      <c r="L308" s="551">
        <v>1612.42</v>
      </c>
      <c r="M308" s="550"/>
      <c r="N308" s="549"/>
      <c r="V308" s="674"/>
      <c r="W308" s="675"/>
      <c r="X308" s="675"/>
      <c r="AD308" s="675"/>
      <c r="AF308" s="680"/>
      <c r="AG308" s="675"/>
      <c r="AH308" s="537" t="s">
        <v>404</v>
      </c>
    </row>
    <row r="309" spans="1:34" s="536" customFormat="1" ht="12" x14ac:dyDescent="0.2">
      <c r="A309" s="548"/>
      <c r="B309" s="552"/>
      <c r="C309" s="1822" t="s">
        <v>405</v>
      </c>
      <c r="D309" s="1822"/>
      <c r="E309" s="1822"/>
      <c r="F309" s="1822"/>
      <c r="G309" s="1822"/>
      <c r="H309" s="1822"/>
      <c r="I309" s="1822"/>
      <c r="J309" s="1822"/>
      <c r="K309" s="1822"/>
      <c r="L309" s="551">
        <v>3783.61</v>
      </c>
      <c r="M309" s="550"/>
      <c r="N309" s="549"/>
      <c r="V309" s="674"/>
      <c r="W309" s="675"/>
      <c r="X309" s="675"/>
      <c r="AD309" s="675"/>
      <c r="AF309" s="680"/>
      <c r="AG309" s="675"/>
      <c r="AH309" s="537" t="s">
        <v>405</v>
      </c>
    </row>
    <row r="310" spans="1:34" s="536" customFormat="1" ht="12" x14ac:dyDescent="0.2">
      <c r="A310" s="548"/>
      <c r="B310" s="552"/>
      <c r="C310" s="1822" t="s">
        <v>406</v>
      </c>
      <c r="D310" s="1822"/>
      <c r="E310" s="1822"/>
      <c r="F310" s="1822"/>
      <c r="G310" s="1822"/>
      <c r="H310" s="1822"/>
      <c r="I310" s="1822"/>
      <c r="J310" s="1822"/>
      <c r="K310" s="1822"/>
      <c r="L310" s="551">
        <v>155.44</v>
      </c>
      <c r="M310" s="550"/>
      <c r="N310" s="549"/>
      <c r="V310" s="674"/>
      <c r="W310" s="675"/>
      <c r="X310" s="675"/>
      <c r="AD310" s="675"/>
      <c r="AF310" s="680"/>
      <c r="AG310" s="675"/>
      <c r="AH310" s="537" t="s">
        <v>406</v>
      </c>
    </row>
    <row r="311" spans="1:34" s="536" customFormat="1" ht="12" x14ac:dyDescent="0.2">
      <c r="A311" s="548"/>
      <c r="B311" s="552"/>
      <c r="C311" s="1822" t="s">
        <v>480</v>
      </c>
      <c r="D311" s="1822"/>
      <c r="E311" s="1822"/>
      <c r="F311" s="1822"/>
      <c r="G311" s="1822"/>
      <c r="H311" s="1822"/>
      <c r="I311" s="1822"/>
      <c r="J311" s="1822"/>
      <c r="K311" s="1822"/>
      <c r="L311" s="551">
        <v>43096.1</v>
      </c>
      <c r="M311" s="550"/>
      <c r="N311" s="549"/>
      <c r="V311" s="674"/>
      <c r="W311" s="675"/>
      <c r="X311" s="675"/>
      <c r="AD311" s="675"/>
      <c r="AF311" s="680"/>
      <c r="AG311" s="675"/>
      <c r="AH311" s="537" t="s">
        <v>480</v>
      </c>
    </row>
    <row r="312" spans="1:34" s="536" customFormat="1" ht="12" x14ac:dyDescent="0.2">
      <c r="A312" s="548"/>
      <c r="B312" s="552"/>
      <c r="C312" s="1822" t="s">
        <v>407</v>
      </c>
      <c r="D312" s="1822"/>
      <c r="E312" s="1822"/>
      <c r="F312" s="1822"/>
      <c r="G312" s="1822"/>
      <c r="H312" s="1822"/>
      <c r="I312" s="1822"/>
      <c r="J312" s="1822"/>
      <c r="K312" s="1822"/>
      <c r="L312" s="551">
        <v>51331.44</v>
      </c>
      <c r="M312" s="550"/>
      <c r="N312" s="549"/>
      <c r="V312" s="674"/>
      <c r="W312" s="675"/>
      <c r="X312" s="675"/>
      <c r="AD312" s="675"/>
      <c r="AF312" s="680"/>
      <c r="AG312" s="675"/>
      <c r="AH312" s="537" t="s">
        <v>407</v>
      </c>
    </row>
    <row r="313" spans="1:34" s="536" customFormat="1" ht="12" x14ac:dyDescent="0.2">
      <c r="A313" s="548"/>
      <c r="B313" s="552"/>
      <c r="C313" s="1822" t="s">
        <v>204</v>
      </c>
      <c r="D313" s="1822"/>
      <c r="E313" s="1822"/>
      <c r="F313" s="1822"/>
      <c r="G313" s="1822"/>
      <c r="H313" s="1822"/>
      <c r="I313" s="1822"/>
      <c r="J313" s="1822"/>
      <c r="K313" s="1822"/>
      <c r="L313" s="551"/>
      <c r="M313" s="550"/>
      <c r="N313" s="549"/>
      <c r="V313" s="674"/>
      <c r="W313" s="675"/>
      <c r="X313" s="675"/>
      <c r="AD313" s="675"/>
      <c r="AF313" s="680"/>
      <c r="AG313" s="675"/>
      <c r="AH313" s="537" t="s">
        <v>204</v>
      </c>
    </row>
    <row r="314" spans="1:34" s="536" customFormat="1" ht="12" x14ac:dyDescent="0.2">
      <c r="A314" s="548"/>
      <c r="B314" s="552"/>
      <c r="C314" s="1822" t="s">
        <v>546</v>
      </c>
      <c r="D314" s="1822"/>
      <c r="E314" s="1822"/>
      <c r="F314" s="1822"/>
      <c r="G314" s="1822"/>
      <c r="H314" s="1822"/>
      <c r="I314" s="1822"/>
      <c r="J314" s="1822"/>
      <c r="K314" s="1822"/>
      <c r="L314" s="551">
        <v>1612.42</v>
      </c>
      <c r="M314" s="550"/>
      <c r="N314" s="549"/>
      <c r="V314" s="674"/>
      <c r="W314" s="675"/>
      <c r="X314" s="675"/>
      <c r="AD314" s="675"/>
      <c r="AF314" s="680"/>
      <c r="AG314" s="675"/>
      <c r="AH314" s="537" t="s">
        <v>546</v>
      </c>
    </row>
    <row r="315" spans="1:34" s="536" customFormat="1" ht="12" x14ac:dyDescent="0.2">
      <c r="A315" s="548"/>
      <c r="B315" s="552"/>
      <c r="C315" s="1822" t="s">
        <v>442</v>
      </c>
      <c r="D315" s="1822"/>
      <c r="E315" s="1822"/>
      <c r="F315" s="1822"/>
      <c r="G315" s="1822"/>
      <c r="H315" s="1822"/>
      <c r="I315" s="1822"/>
      <c r="J315" s="1822"/>
      <c r="K315" s="1822"/>
      <c r="L315" s="551">
        <v>3783.61</v>
      </c>
      <c r="M315" s="550"/>
      <c r="N315" s="549"/>
      <c r="V315" s="674"/>
      <c r="W315" s="675"/>
      <c r="X315" s="675"/>
      <c r="AD315" s="675"/>
      <c r="AF315" s="680"/>
      <c r="AG315" s="675"/>
      <c r="AH315" s="537" t="s">
        <v>442</v>
      </c>
    </row>
    <row r="316" spans="1:34" s="536" customFormat="1" ht="12" x14ac:dyDescent="0.2">
      <c r="A316" s="548"/>
      <c r="B316" s="552"/>
      <c r="C316" s="1822" t="s">
        <v>547</v>
      </c>
      <c r="D316" s="1822"/>
      <c r="E316" s="1822"/>
      <c r="F316" s="1822"/>
      <c r="G316" s="1822"/>
      <c r="H316" s="1822"/>
      <c r="I316" s="1822"/>
      <c r="J316" s="1822"/>
      <c r="K316" s="1822"/>
      <c r="L316" s="551">
        <v>43096.1</v>
      </c>
      <c r="M316" s="550"/>
      <c r="N316" s="549"/>
      <c r="V316" s="674"/>
      <c r="W316" s="675"/>
      <c r="X316" s="675"/>
      <c r="AD316" s="675"/>
      <c r="AF316" s="680"/>
      <c r="AG316" s="675"/>
      <c r="AH316" s="537" t="s">
        <v>547</v>
      </c>
    </row>
    <row r="317" spans="1:34" s="536" customFormat="1" ht="12" x14ac:dyDescent="0.2">
      <c r="A317" s="548"/>
      <c r="B317" s="552"/>
      <c r="C317" s="1822" t="s">
        <v>443</v>
      </c>
      <c r="D317" s="1822"/>
      <c r="E317" s="1822"/>
      <c r="F317" s="1822"/>
      <c r="G317" s="1822"/>
      <c r="H317" s="1822"/>
      <c r="I317" s="1822"/>
      <c r="J317" s="1822"/>
      <c r="K317" s="1822"/>
      <c r="L317" s="551">
        <v>1815.6</v>
      </c>
      <c r="M317" s="550"/>
      <c r="N317" s="549"/>
      <c r="V317" s="674"/>
      <c r="W317" s="675"/>
      <c r="X317" s="675"/>
      <c r="AD317" s="675"/>
      <c r="AF317" s="680"/>
      <c r="AG317" s="675"/>
      <c r="AH317" s="537" t="s">
        <v>443</v>
      </c>
    </row>
    <row r="318" spans="1:34" s="536" customFormat="1" ht="12" x14ac:dyDescent="0.2">
      <c r="A318" s="548"/>
      <c r="B318" s="552"/>
      <c r="C318" s="1822" t="s">
        <v>444</v>
      </c>
      <c r="D318" s="1822"/>
      <c r="E318" s="1822"/>
      <c r="F318" s="1822"/>
      <c r="G318" s="1822"/>
      <c r="H318" s="1822"/>
      <c r="I318" s="1822"/>
      <c r="J318" s="1822"/>
      <c r="K318" s="1822"/>
      <c r="L318" s="551">
        <v>1023.71</v>
      </c>
      <c r="M318" s="550"/>
      <c r="N318" s="549"/>
      <c r="V318" s="674"/>
      <c r="W318" s="675"/>
      <c r="X318" s="675"/>
      <c r="AD318" s="675"/>
      <c r="AF318" s="680"/>
      <c r="AG318" s="675"/>
      <c r="AH318" s="537" t="s">
        <v>444</v>
      </c>
    </row>
    <row r="319" spans="1:34" s="536" customFormat="1" ht="12" x14ac:dyDescent="0.2">
      <c r="A319" s="548"/>
      <c r="B319" s="552"/>
      <c r="C319" s="1822" t="s">
        <v>415</v>
      </c>
      <c r="D319" s="1822"/>
      <c r="E319" s="1822"/>
      <c r="F319" s="1822"/>
      <c r="G319" s="1822"/>
      <c r="H319" s="1822"/>
      <c r="I319" s="1822"/>
      <c r="J319" s="1822"/>
      <c r="K319" s="1822"/>
      <c r="L319" s="551">
        <v>1767.86</v>
      </c>
      <c r="M319" s="550"/>
      <c r="N319" s="549"/>
      <c r="V319" s="674"/>
      <c r="W319" s="675"/>
      <c r="X319" s="675"/>
      <c r="AD319" s="675"/>
      <c r="AF319" s="680"/>
      <c r="AG319" s="675"/>
      <c r="AH319" s="537" t="s">
        <v>415</v>
      </c>
    </row>
    <row r="320" spans="1:34" s="536" customFormat="1" ht="12" x14ac:dyDescent="0.2">
      <c r="A320" s="548"/>
      <c r="B320" s="552"/>
      <c r="C320" s="1822" t="s">
        <v>416</v>
      </c>
      <c r="D320" s="1822"/>
      <c r="E320" s="1822"/>
      <c r="F320" s="1822"/>
      <c r="G320" s="1822"/>
      <c r="H320" s="1822"/>
      <c r="I320" s="1822"/>
      <c r="J320" s="1822"/>
      <c r="K320" s="1822"/>
      <c r="L320" s="551">
        <v>1815.6</v>
      </c>
      <c r="M320" s="550"/>
      <c r="N320" s="549"/>
      <c r="V320" s="674"/>
      <c r="W320" s="675"/>
      <c r="X320" s="675"/>
      <c r="AD320" s="675"/>
      <c r="AF320" s="680"/>
      <c r="AG320" s="675"/>
      <c r="AH320" s="537" t="s">
        <v>416</v>
      </c>
    </row>
    <row r="321" spans="1:35" s="536" customFormat="1" ht="12" x14ac:dyDescent="0.2">
      <c r="A321" s="548"/>
      <c r="B321" s="552"/>
      <c r="C321" s="1822" t="s">
        <v>417</v>
      </c>
      <c r="D321" s="1822"/>
      <c r="E321" s="1822"/>
      <c r="F321" s="1822"/>
      <c r="G321" s="1822"/>
      <c r="H321" s="1822"/>
      <c r="I321" s="1822"/>
      <c r="J321" s="1822"/>
      <c r="K321" s="1822"/>
      <c r="L321" s="551">
        <v>1023.71</v>
      </c>
      <c r="M321" s="550"/>
      <c r="N321" s="549"/>
      <c r="V321" s="674"/>
      <c r="W321" s="675"/>
      <c r="X321" s="675"/>
      <c r="AD321" s="675"/>
      <c r="AF321" s="680"/>
      <c r="AG321" s="675"/>
      <c r="AH321" s="537" t="s">
        <v>417</v>
      </c>
    </row>
    <row r="322" spans="1:35" s="536" customFormat="1" ht="12" x14ac:dyDescent="0.2">
      <c r="A322" s="548"/>
      <c r="B322" s="546"/>
      <c r="C322" s="1819" t="s">
        <v>1335</v>
      </c>
      <c r="D322" s="1819"/>
      <c r="E322" s="1819"/>
      <c r="F322" s="1819"/>
      <c r="G322" s="1819"/>
      <c r="H322" s="1819"/>
      <c r="I322" s="1819"/>
      <c r="J322" s="1819"/>
      <c r="K322" s="1819"/>
      <c r="L322" s="544">
        <v>51331.44</v>
      </c>
      <c r="M322" s="543"/>
      <c r="N322" s="681"/>
      <c r="V322" s="674"/>
      <c r="W322" s="675"/>
      <c r="X322" s="675"/>
      <c r="AD322" s="675"/>
      <c r="AF322" s="680"/>
      <c r="AG322" s="675"/>
      <c r="AI322" s="675" t="s">
        <v>1335</v>
      </c>
    </row>
    <row r="323" spans="1:35" s="536" customFormat="1" ht="12" x14ac:dyDescent="0.2">
      <c r="A323" s="548"/>
      <c r="B323" s="552"/>
      <c r="C323" s="1822" t="s">
        <v>204</v>
      </c>
      <c r="D323" s="1822"/>
      <c r="E323" s="1822"/>
      <c r="F323" s="1822"/>
      <c r="G323" s="1822"/>
      <c r="H323" s="1822"/>
      <c r="I323" s="1822"/>
      <c r="J323" s="1822"/>
      <c r="K323" s="1822"/>
      <c r="L323" s="551"/>
      <c r="M323" s="550"/>
      <c r="N323" s="549"/>
      <c r="V323" s="674"/>
      <c r="W323" s="675"/>
      <c r="X323" s="675"/>
      <c r="AD323" s="675"/>
      <c r="AF323" s="680"/>
      <c r="AG323" s="675"/>
      <c r="AH323" s="537" t="s">
        <v>204</v>
      </c>
      <c r="AI323" s="675"/>
    </row>
    <row r="324" spans="1:35" s="536" customFormat="1" ht="12" x14ac:dyDescent="0.2">
      <c r="A324" s="548"/>
      <c r="B324" s="552"/>
      <c r="C324" s="1822" t="s">
        <v>8095</v>
      </c>
      <c r="D324" s="1822"/>
      <c r="E324" s="1822"/>
      <c r="F324" s="1822"/>
      <c r="G324" s="1822"/>
      <c r="H324" s="1822"/>
      <c r="I324" s="1822"/>
      <c r="J324" s="1822"/>
      <c r="K324" s="1822"/>
      <c r="L324" s="551">
        <v>19769.349999999999</v>
      </c>
      <c r="M324" s="550"/>
      <c r="N324" s="549"/>
      <c r="V324" s="674"/>
      <c r="W324" s="675"/>
      <c r="X324" s="675"/>
      <c r="AD324" s="675"/>
      <c r="AF324" s="680"/>
      <c r="AG324" s="675"/>
      <c r="AH324" s="537" t="s">
        <v>8095</v>
      </c>
      <c r="AI324" s="675"/>
    </row>
    <row r="325" spans="1:35" s="536" customFormat="1" ht="12" x14ac:dyDescent="0.2">
      <c r="A325" s="1824" t="s">
        <v>1336</v>
      </c>
      <c r="B325" s="1825"/>
      <c r="C325" s="1825"/>
      <c r="D325" s="1825"/>
      <c r="E325" s="1825"/>
      <c r="F325" s="1825"/>
      <c r="G325" s="1825"/>
      <c r="H325" s="1825"/>
      <c r="I325" s="1825"/>
      <c r="J325" s="1825"/>
      <c r="K325" s="1825"/>
      <c r="L325" s="1825"/>
      <c r="M325" s="1825"/>
      <c r="N325" s="1826"/>
      <c r="V325" s="674" t="s">
        <v>1336</v>
      </c>
      <c r="W325" s="675"/>
      <c r="X325" s="675"/>
      <c r="AD325" s="675"/>
      <c r="AF325" s="680"/>
      <c r="AG325" s="675"/>
      <c r="AI325" s="675"/>
    </row>
    <row r="326" spans="1:35" s="536" customFormat="1" ht="78.75" x14ac:dyDescent="0.2">
      <c r="A326" s="575" t="s">
        <v>767</v>
      </c>
      <c r="B326" s="684" t="s">
        <v>1135</v>
      </c>
      <c r="C326" s="1823" t="s">
        <v>1337</v>
      </c>
      <c r="D326" s="1823"/>
      <c r="E326" s="1823"/>
      <c r="F326" s="573" t="s">
        <v>201</v>
      </c>
      <c r="G326" s="573"/>
      <c r="H326" s="573"/>
      <c r="I326" s="573" t="s">
        <v>1162</v>
      </c>
      <c r="J326" s="572">
        <v>76.88</v>
      </c>
      <c r="K326" s="573"/>
      <c r="L326" s="572">
        <v>16.989999999999998</v>
      </c>
      <c r="M326" s="571"/>
      <c r="N326" s="570"/>
      <c r="V326" s="674"/>
      <c r="W326" s="675"/>
      <c r="X326" s="675" t="s">
        <v>1337</v>
      </c>
      <c r="AD326" s="675"/>
      <c r="AF326" s="680"/>
      <c r="AG326" s="675"/>
      <c r="AI326" s="675"/>
    </row>
    <row r="327" spans="1:35" s="536" customFormat="1" ht="12" x14ac:dyDescent="0.2">
      <c r="A327" s="569"/>
      <c r="B327" s="683"/>
      <c r="C327" s="689" t="s">
        <v>717</v>
      </c>
      <c r="D327" s="690"/>
      <c r="E327" s="690"/>
      <c r="F327" s="563"/>
      <c r="G327" s="563"/>
      <c r="H327" s="563"/>
      <c r="I327" s="563"/>
      <c r="J327" s="566"/>
      <c r="K327" s="563"/>
      <c r="L327" s="566"/>
      <c r="M327" s="565"/>
      <c r="N327" s="564"/>
      <c r="V327" s="674"/>
      <c r="W327" s="675"/>
      <c r="X327" s="675"/>
      <c r="AD327" s="675"/>
      <c r="AF327" s="680"/>
      <c r="AG327" s="675"/>
      <c r="AI327" s="675"/>
    </row>
    <row r="328" spans="1:35" s="536" customFormat="1" ht="90" x14ac:dyDescent="0.2">
      <c r="A328" s="575" t="s">
        <v>768</v>
      </c>
      <c r="B328" s="684" t="s">
        <v>1338</v>
      </c>
      <c r="C328" s="1823" t="s">
        <v>1339</v>
      </c>
      <c r="D328" s="1823"/>
      <c r="E328" s="1823"/>
      <c r="F328" s="573" t="s">
        <v>201</v>
      </c>
      <c r="G328" s="573"/>
      <c r="H328" s="573"/>
      <c r="I328" s="573" t="s">
        <v>1340</v>
      </c>
      <c r="J328" s="572">
        <v>90.45</v>
      </c>
      <c r="K328" s="573"/>
      <c r="L328" s="572">
        <v>27.41</v>
      </c>
      <c r="M328" s="571"/>
      <c r="N328" s="570"/>
      <c r="V328" s="674"/>
      <c r="W328" s="675"/>
      <c r="X328" s="675" t="s">
        <v>1339</v>
      </c>
      <c r="AD328" s="675"/>
      <c r="AF328" s="680"/>
      <c r="AG328" s="675"/>
      <c r="AI328" s="675"/>
    </row>
    <row r="329" spans="1:35" s="536" customFormat="1" ht="12" x14ac:dyDescent="0.2">
      <c r="A329" s="569"/>
      <c r="B329" s="683"/>
      <c r="C329" s="689" t="s">
        <v>209</v>
      </c>
      <c r="D329" s="690"/>
      <c r="E329" s="690"/>
      <c r="F329" s="563"/>
      <c r="G329" s="563"/>
      <c r="H329" s="563"/>
      <c r="I329" s="563"/>
      <c r="J329" s="566"/>
      <c r="K329" s="563"/>
      <c r="L329" s="566"/>
      <c r="M329" s="565"/>
      <c r="N329" s="564"/>
      <c r="V329" s="674"/>
      <c r="W329" s="675"/>
      <c r="X329" s="675"/>
      <c r="AD329" s="675"/>
      <c r="AF329" s="680"/>
      <c r="AG329" s="675"/>
      <c r="AI329" s="675"/>
    </row>
    <row r="330" spans="1:35" s="536" customFormat="1" ht="12" x14ac:dyDescent="0.2">
      <c r="A330" s="676"/>
      <c r="B330" s="682"/>
      <c r="C330" s="1822" t="s">
        <v>1341</v>
      </c>
      <c r="D330" s="1822"/>
      <c r="E330" s="1822"/>
      <c r="F330" s="1822"/>
      <c r="G330" s="1822"/>
      <c r="H330" s="1822"/>
      <c r="I330" s="1822"/>
      <c r="J330" s="1822"/>
      <c r="K330" s="1822"/>
      <c r="L330" s="1822"/>
      <c r="M330" s="1822"/>
      <c r="N330" s="1827"/>
      <c r="V330" s="674"/>
      <c r="W330" s="675"/>
      <c r="X330" s="675"/>
      <c r="Y330" s="537" t="s">
        <v>1341</v>
      </c>
      <c r="AD330" s="675"/>
      <c r="AF330" s="680"/>
      <c r="AG330" s="675"/>
      <c r="AI330" s="675"/>
    </row>
    <row r="331" spans="1:35" s="536" customFormat="1" ht="1.5" customHeight="1" x14ac:dyDescent="0.2">
      <c r="A331" s="563"/>
      <c r="B331" s="683"/>
      <c r="C331" s="683"/>
      <c r="D331" s="683"/>
      <c r="E331" s="683"/>
      <c r="F331" s="563"/>
      <c r="G331" s="563"/>
      <c r="H331" s="563"/>
      <c r="I331" s="563"/>
      <c r="J331" s="546"/>
      <c r="K331" s="563"/>
      <c r="L331" s="546"/>
      <c r="M331" s="562"/>
      <c r="N331" s="546"/>
      <c r="V331" s="674"/>
      <c r="W331" s="675"/>
      <c r="X331" s="675"/>
      <c r="AD331" s="675"/>
      <c r="AF331" s="680"/>
      <c r="AG331" s="675"/>
      <c r="AI331" s="675"/>
    </row>
    <row r="332" spans="1:35" s="536" customFormat="1" ht="22.5" x14ac:dyDescent="0.2">
      <c r="A332" s="557"/>
      <c r="B332" s="556"/>
      <c r="C332" s="1823" t="s">
        <v>1342</v>
      </c>
      <c r="D332" s="1823"/>
      <c r="E332" s="1823"/>
      <c r="F332" s="1823"/>
      <c r="G332" s="1823"/>
      <c r="H332" s="1823"/>
      <c r="I332" s="1823"/>
      <c r="J332" s="1823"/>
      <c r="K332" s="1823"/>
      <c r="L332" s="555"/>
      <c r="M332" s="554"/>
      <c r="N332" s="553"/>
      <c r="V332" s="674"/>
      <c r="W332" s="675"/>
      <c r="X332" s="675"/>
      <c r="AD332" s="675"/>
      <c r="AF332" s="680"/>
      <c r="AG332" s="675" t="s">
        <v>1342</v>
      </c>
      <c r="AI332" s="675"/>
    </row>
    <row r="333" spans="1:35" s="536" customFormat="1" ht="12" x14ac:dyDescent="0.2">
      <c r="A333" s="548"/>
      <c r="B333" s="552"/>
      <c r="C333" s="1822" t="s">
        <v>403</v>
      </c>
      <c r="D333" s="1822"/>
      <c r="E333" s="1822"/>
      <c r="F333" s="1822"/>
      <c r="G333" s="1822"/>
      <c r="H333" s="1822"/>
      <c r="I333" s="1822"/>
      <c r="J333" s="1822"/>
      <c r="K333" s="1822"/>
      <c r="L333" s="551">
        <v>44.4</v>
      </c>
      <c r="M333" s="550"/>
      <c r="N333" s="549"/>
      <c r="V333" s="674"/>
      <c r="W333" s="675"/>
      <c r="X333" s="675"/>
      <c r="AD333" s="675"/>
      <c r="AF333" s="680"/>
      <c r="AG333" s="675"/>
      <c r="AH333" s="537" t="s">
        <v>403</v>
      </c>
      <c r="AI333" s="675"/>
    </row>
    <row r="334" spans="1:35" s="536" customFormat="1" ht="12" x14ac:dyDescent="0.2">
      <c r="A334" s="548"/>
      <c r="B334" s="552"/>
      <c r="C334" s="1822" t="s">
        <v>204</v>
      </c>
      <c r="D334" s="1822"/>
      <c r="E334" s="1822"/>
      <c r="F334" s="1822"/>
      <c r="G334" s="1822"/>
      <c r="H334" s="1822"/>
      <c r="I334" s="1822"/>
      <c r="J334" s="1822"/>
      <c r="K334" s="1822"/>
      <c r="L334" s="551"/>
      <c r="M334" s="550"/>
      <c r="N334" s="549"/>
      <c r="V334" s="674"/>
      <c r="W334" s="675"/>
      <c r="X334" s="675"/>
      <c r="AD334" s="675"/>
      <c r="AF334" s="680"/>
      <c r="AG334" s="675"/>
      <c r="AH334" s="537" t="s">
        <v>204</v>
      </c>
      <c r="AI334" s="675"/>
    </row>
    <row r="335" spans="1:35" s="536" customFormat="1" ht="12" x14ac:dyDescent="0.2">
      <c r="A335" s="548"/>
      <c r="B335" s="552"/>
      <c r="C335" s="1822" t="s">
        <v>480</v>
      </c>
      <c r="D335" s="1822"/>
      <c r="E335" s="1822"/>
      <c r="F335" s="1822"/>
      <c r="G335" s="1822"/>
      <c r="H335" s="1822"/>
      <c r="I335" s="1822"/>
      <c r="J335" s="1822"/>
      <c r="K335" s="1822"/>
      <c r="L335" s="551">
        <v>44.4</v>
      </c>
      <c r="M335" s="550"/>
      <c r="N335" s="549"/>
      <c r="V335" s="674"/>
      <c r="W335" s="675"/>
      <c r="X335" s="675"/>
      <c r="AD335" s="675"/>
      <c r="AF335" s="680"/>
      <c r="AG335" s="675"/>
      <c r="AH335" s="537" t="s">
        <v>480</v>
      </c>
      <c r="AI335" s="675"/>
    </row>
    <row r="336" spans="1:35" s="536" customFormat="1" ht="12" x14ac:dyDescent="0.2">
      <c r="A336" s="548"/>
      <c r="B336" s="552"/>
      <c r="C336" s="1822" t="s">
        <v>407</v>
      </c>
      <c r="D336" s="1822"/>
      <c r="E336" s="1822"/>
      <c r="F336" s="1822"/>
      <c r="G336" s="1822"/>
      <c r="H336" s="1822"/>
      <c r="I336" s="1822"/>
      <c r="J336" s="1822"/>
      <c r="K336" s="1822"/>
      <c r="L336" s="551">
        <v>44.4</v>
      </c>
      <c r="M336" s="550"/>
      <c r="N336" s="549"/>
      <c r="V336" s="674"/>
      <c r="W336" s="675"/>
      <c r="X336" s="675"/>
      <c r="AD336" s="675"/>
      <c r="AF336" s="680"/>
      <c r="AG336" s="675"/>
      <c r="AH336" s="537" t="s">
        <v>407</v>
      </c>
      <c r="AI336" s="675"/>
    </row>
    <row r="337" spans="1:37" s="536" customFormat="1" ht="12" x14ac:dyDescent="0.2">
      <c r="A337" s="548"/>
      <c r="B337" s="552"/>
      <c r="C337" s="1822" t="s">
        <v>204</v>
      </c>
      <c r="D337" s="1822"/>
      <c r="E337" s="1822"/>
      <c r="F337" s="1822"/>
      <c r="G337" s="1822"/>
      <c r="H337" s="1822"/>
      <c r="I337" s="1822"/>
      <c r="J337" s="1822"/>
      <c r="K337" s="1822"/>
      <c r="L337" s="551"/>
      <c r="M337" s="550"/>
      <c r="N337" s="549"/>
      <c r="V337" s="674"/>
      <c r="W337" s="675"/>
      <c r="X337" s="675"/>
      <c r="AD337" s="675"/>
      <c r="AF337" s="680"/>
      <c r="AG337" s="675"/>
      <c r="AH337" s="537" t="s">
        <v>204</v>
      </c>
      <c r="AI337" s="675"/>
    </row>
    <row r="338" spans="1:37" s="536" customFormat="1" ht="12" x14ac:dyDescent="0.2">
      <c r="A338" s="548"/>
      <c r="B338" s="552"/>
      <c r="C338" s="1822" t="s">
        <v>547</v>
      </c>
      <c r="D338" s="1822"/>
      <c r="E338" s="1822"/>
      <c r="F338" s="1822"/>
      <c r="G338" s="1822"/>
      <c r="H338" s="1822"/>
      <c r="I338" s="1822"/>
      <c r="J338" s="1822"/>
      <c r="K338" s="1822"/>
      <c r="L338" s="551">
        <v>44.4</v>
      </c>
      <c r="M338" s="550"/>
      <c r="N338" s="549"/>
      <c r="V338" s="674"/>
      <c r="W338" s="675"/>
      <c r="X338" s="675"/>
      <c r="AD338" s="675"/>
      <c r="AF338" s="680"/>
      <c r="AG338" s="675"/>
      <c r="AH338" s="537" t="s">
        <v>547</v>
      </c>
      <c r="AI338" s="675"/>
    </row>
    <row r="339" spans="1:37" s="536" customFormat="1" ht="22.5" x14ac:dyDescent="0.2">
      <c r="A339" s="548"/>
      <c r="B339" s="546"/>
      <c r="C339" s="1819" t="s">
        <v>1343</v>
      </c>
      <c r="D339" s="1819"/>
      <c r="E339" s="1819"/>
      <c r="F339" s="1819"/>
      <c r="G339" s="1819"/>
      <c r="H339" s="1819"/>
      <c r="I339" s="1819"/>
      <c r="J339" s="1819"/>
      <c r="K339" s="1819"/>
      <c r="L339" s="544">
        <v>44.4</v>
      </c>
      <c r="M339" s="543"/>
      <c r="N339" s="681"/>
      <c r="V339" s="674"/>
      <c r="W339" s="675"/>
      <c r="X339" s="675"/>
      <c r="AD339" s="675"/>
      <c r="AF339" s="680"/>
      <c r="AG339" s="675"/>
      <c r="AI339" s="675" t="s">
        <v>1343</v>
      </c>
    </row>
    <row r="340" spans="1:37" s="536" customFormat="1" ht="2.25" customHeight="1" x14ac:dyDescent="0.2">
      <c r="B340" s="561"/>
      <c r="C340" s="561"/>
      <c r="D340" s="561"/>
      <c r="E340" s="561"/>
      <c r="F340" s="561"/>
      <c r="G340" s="561"/>
      <c r="H340" s="561"/>
      <c r="I340" s="561"/>
      <c r="J340" s="561"/>
      <c r="K340" s="561"/>
      <c r="L340" s="560"/>
      <c r="M340" s="559"/>
      <c r="N340" s="558"/>
    </row>
    <row r="341" spans="1:37" s="536" customFormat="1" x14ac:dyDescent="0.2">
      <c r="A341" s="557"/>
      <c r="B341" s="556"/>
      <c r="C341" s="1823" t="s">
        <v>205</v>
      </c>
      <c r="D341" s="1823"/>
      <c r="E341" s="1823"/>
      <c r="F341" s="1823"/>
      <c r="G341" s="1823"/>
      <c r="H341" s="1823"/>
      <c r="I341" s="1823"/>
      <c r="J341" s="1823"/>
      <c r="K341" s="1823"/>
      <c r="L341" s="555"/>
      <c r="M341" s="554"/>
      <c r="N341" s="553"/>
      <c r="AJ341" s="675" t="s">
        <v>205</v>
      </c>
    </row>
    <row r="342" spans="1:37" s="536" customFormat="1" x14ac:dyDescent="0.2">
      <c r="A342" s="548"/>
      <c r="B342" s="552"/>
      <c r="C342" s="1822" t="s">
        <v>403</v>
      </c>
      <c r="D342" s="1822"/>
      <c r="E342" s="1822"/>
      <c r="F342" s="1822"/>
      <c r="G342" s="1822"/>
      <c r="H342" s="1822"/>
      <c r="I342" s="1822"/>
      <c r="J342" s="1822"/>
      <c r="K342" s="1822"/>
      <c r="L342" s="551">
        <v>48536.53</v>
      </c>
      <c r="M342" s="550"/>
      <c r="N342" s="549"/>
      <c r="AJ342" s="675"/>
      <c r="AK342" s="537" t="s">
        <v>403</v>
      </c>
    </row>
    <row r="343" spans="1:37" s="536" customFormat="1" x14ac:dyDescent="0.2">
      <c r="A343" s="548"/>
      <c r="B343" s="552"/>
      <c r="C343" s="1822" t="s">
        <v>204</v>
      </c>
      <c r="D343" s="1822"/>
      <c r="E343" s="1822"/>
      <c r="F343" s="1822"/>
      <c r="G343" s="1822"/>
      <c r="H343" s="1822"/>
      <c r="I343" s="1822"/>
      <c r="J343" s="1822"/>
      <c r="K343" s="1822"/>
      <c r="L343" s="551"/>
      <c r="M343" s="550"/>
      <c r="N343" s="549"/>
      <c r="AJ343" s="675"/>
      <c r="AK343" s="537" t="s">
        <v>204</v>
      </c>
    </row>
    <row r="344" spans="1:37" s="536" customFormat="1" x14ac:dyDescent="0.2">
      <c r="A344" s="548"/>
      <c r="B344" s="552"/>
      <c r="C344" s="1822" t="s">
        <v>404</v>
      </c>
      <c r="D344" s="1822"/>
      <c r="E344" s="1822"/>
      <c r="F344" s="1822"/>
      <c r="G344" s="1822"/>
      <c r="H344" s="1822"/>
      <c r="I344" s="1822"/>
      <c r="J344" s="1822"/>
      <c r="K344" s="1822"/>
      <c r="L344" s="551">
        <v>1612.42</v>
      </c>
      <c r="M344" s="550"/>
      <c r="N344" s="549"/>
      <c r="AJ344" s="675"/>
      <c r="AK344" s="537" t="s">
        <v>404</v>
      </c>
    </row>
    <row r="345" spans="1:37" s="536" customFormat="1" x14ac:dyDescent="0.2">
      <c r="A345" s="548"/>
      <c r="B345" s="552"/>
      <c r="C345" s="1822" t="s">
        <v>405</v>
      </c>
      <c r="D345" s="1822"/>
      <c r="E345" s="1822"/>
      <c r="F345" s="1822"/>
      <c r="G345" s="1822"/>
      <c r="H345" s="1822"/>
      <c r="I345" s="1822"/>
      <c r="J345" s="1822"/>
      <c r="K345" s="1822"/>
      <c r="L345" s="551">
        <v>3783.61</v>
      </c>
      <c r="M345" s="550"/>
      <c r="N345" s="549"/>
      <c r="AJ345" s="675"/>
      <c r="AK345" s="537" t="s">
        <v>405</v>
      </c>
    </row>
    <row r="346" spans="1:37" s="536" customFormat="1" x14ac:dyDescent="0.2">
      <c r="A346" s="548"/>
      <c r="B346" s="552"/>
      <c r="C346" s="1822" t="s">
        <v>406</v>
      </c>
      <c r="D346" s="1822"/>
      <c r="E346" s="1822"/>
      <c r="F346" s="1822"/>
      <c r="G346" s="1822"/>
      <c r="H346" s="1822"/>
      <c r="I346" s="1822"/>
      <c r="J346" s="1822"/>
      <c r="K346" s="1822"/>
      <c r="L346" s="551">
        <v>155.44</v>
      </c>
      <c r="M346" s="550"/>
      <c r="N346" s="549"/>
      <c r="AJ346" s="675"/>
      <c r="AK346" s="537" t="s">
        <v>406</v>
      </c>
    </row>
    <row r="347" spans="1:37" s="536" customFormat="1" x14ac:dyDescent="0.2">
      <c r="A347" s="548"/>
      <c r="B347" s="552"/>
      <c r="C347" s="1822" t="s">
        <v>480</v>
      </c>
      <c r="D347" s="1822"/>
      <c r="E347" s="1822"/>
      <c r="F347" s="1822"/>
      <c r="G347" s="1822"/>
      <c r="H347" s="1822"/>
      <c r="I347" s="1822"/>
      <c r="J347" s="1822"/>
      <c r="K347" s="1822"/>
      <c r="L347" s="551">
        <v>43140.5</v>
      </c>
      <c r="M347" s="550"/>
      <c r="N347" s="549"/>
      <c r="AJ347" s="675"/>
      <c r="AK347" s="537" t="s">
        <v>480</v>
      </c>
    </row>
    <row r="348" spans="1:37" s="536" customFormat="1" x14ac:dyDescent="0.2">
      <c r="A348" s="548"/>
      <c r="B348" s="552" t="s">
        <v>185</v>
      </c>
      <c r="C348" s="1822" t="s">
        <v>407</v>
      </c>
      <c r="D348" s="1822"/>
      <c r="E348" s="1822"/>
      <c r="F348" s="1822"/>
      <c r="G348" s="1822"/>
      <c r="H348" s="1822"/>
      <c r="I348" s="1822"/>
      <c r="J348" s="1822"/>
      <c r="K348" s="1822"/>
      <c r="L348" s="551">
        <v>51375.839999999997</v>
      </c>
      <c r="M348" s="550">
        <v>8.32</v>
      </c>
      <c r="N348" s="549">
        <v>427447</v>
      </c>
      <c r="AJ348" s="675"/>
      <c r="AK348" s="537" t="s">
        <v>407</v>
      </c>
    </row>
    <row r="349" spans="1:37" s="536" customFormat="1" x14ac:dyDescent="0.2">
      <c r="A349" s="548"/>
      <c r="B349" s="552"/>
      <c r="C349" s="1822" t="s">
        <v>204</v>
      </c>
      <c r="D349" s="1822"/>
      <c r="E349" s="1822"/>
      <c r="F349" s="1822"/>
      <c r="G349" s="1822"/>
      <c r="H349" s="1822"/>
      <c r="I349" s="1822"/>
      <c r="J349" s="1822"/>
      <c r="K349" s="1822"/>
      <c r="L349" s="551"/>
      <c r="M349" s="550"/>
      <c r="N349" s="549"/>
      <c r="AJ349" s="675"/>
      <c r="AK349" s="537" t="s">
        <v>204</v>
      </c>
    </row>
    <row r="350" spans="1:37" s="536" customFormat="1" x14ac:dyDescent="0.2">
      <c r="A350" s="548"/>
      <c r="B350" s="552"/>
      <c r="C350" s="1822" t="s">
        <v>546</v>
      </c>
      <c r="D350" s="1822"/>
      <c r="E350" s="1822"/>
      <c r="F350" s="1822"/>
      <c r="G350" s="1822"/>
      <c r="H350" s="1822"/>
      <c r="I350" s="1822"/>
      <c r="J350" s="1822"/>
      <c r="K350" s="1822"/>
      <c r="L350" s="551">
        <v>1612.42</v>
      </c>
      <c r="M350" s="550"/>
      <c r="N350" s="549"/>
      <c r="AJ350" s="675"/>
      <c r="AK350" s="537" t="s">
        <v>546</v>
      </c>
    </row>
    <row r="351" spans="1:37" s="536" customFormat="1" x14ac:dyDescent="0.2">
      <c r="A351" s="548"/>
      <c r="B351" s="552"/>
      <c r="C351" s="1822" t="s">
        <v>442</v>
      </c>
      <c r="D351" s="1822"/>
      <c r="E351" s="1822"/>
      <c r="F351" s="1822"/>
      <c r="G351" s="1822"/>
      <c r="H351" s="1822"/>
      <c r="I351" s="1822"/>
      <c r="J351" s="1822"/>
      <c r="K351" s="1822"/>
      <c r="L351" s="551">
        <v>3783.61</v>
      </c>
      <c r="M351" s="550"/>
      <c r="N351" s="549"/>
      <c r="AJ351" s="675"/>
      <c r="AK351" s="537" t="s">
        <v>442</v>
      </c>
    </row>
    <row r="352" spans="1:37" s="536" customFormat="1" x14ac:dyDescent="0.2">
      <c r="A352" s="548"/>
      <c r="B352" s="552"/>
      <c r="C352" s="1822" t="s">
        <v>547</v>
      </c>
      <c r="D352" s="1822"/>
      <c r="E352" s="1822"/>
      <c r="F352" s="1822"/>
      <c r="G352" s="1822"/>
      <c r="H352" s="1822"/>
      <c r="I352" s="1822"/>
      <c r="J352" s="1822"/>
      <c r="K352" s="1822"/>
      <c r="L352" s="551">
        <v>43140.5</v>
      </c>
      <c r="M352" s="550"/>
      <c r="N352" s="549"/>
      <c r="AJ352" s="675"/>
      <c r="AK352" s="537" t="s">
        <v>547</v>
      </c>
    </row>
    <row r="353" spans="1:38" x14ac:dyDescent="0.2">
      <c r="A353" s="548"/>
      <c r="B353" s="552"/>
      <c r="C353" s="1822" t="s">
        <v>443</v>
      </c>
      <c r="D353" s="1822"/>
      <c r="E353" s="1822"/>
      <c r="F353" s="1822"/>
      <c r="G353" s="1822"/>
      <c r="H353" s="1822"/>
      <c r="I353" s="1822"/>
      <c r="J353" s="1822"/>
      <c r="K353" s="1822"/>
      <c r="L353" s="551">
        <v>1815.6</v>
      </c>
      <c r="M353" s="550"/>
      <c r="N353" s="549"/>
      <c r="P353" s="536"/>
      <c r="Q353" s="536"/>
      <c r="R353" s="536"/>
      <c r="S353" s="536"/>
      <c r="T353" s="536"/>
      <c r="U353" s="536"/>
      <c r="V353" s="536"/>
      <c r="W353" s="536"/>
      <c r="X353" s="536"/>
      <c r="Y353" s="536"/>
      <c r="Z353" s="536"/>
      <c r="AA353" s="536"/>
      <c r="AB353" s="536"/>
      <c r="AC353" s="536"/>
      <c r="AD353" s="536"/>
      <c r="AE353" s="536"/>
      <c r="AF353" s="536"/>
      <c r="AG353" s="536"/>
      <c r="AH353" s="536"/>
      <c r="AI353" s="536"/>
      <c r="AJ353" s="675"/>
      <c r="AK353" s="537" t="s">
        <v>443</v>
      </c>
      <c r="AL353" s="536"/>
    </row>
    <row r="354" spans="1:38" x14ac:dyDescent="0.2">
      <c r="A354" s="548"/>
      <c r="B354" s="552"/>
      <c r="C354" s="1822" t="s">
        <v>444</v>
      </c>
      <c r="D354" s="1822"/>
      <c r="E354" s="1822"/>
      <c r="F354" s="1822"/>
      <c r="G354" s="1822"/>
      <c r="H354" s="1822"/>
      <c r="I354" s="1822"/>
      <c r="J354" s="1822"/>
      <c r="K354" s="1822"/>
      <c r="L354" s="551">
        <v>1023.71</v>
      </c>
      <c r="M354" s="550"/>
      <c r="N354" s="549"/>
      <c r="P354" s="536"/>
      <c r="Q354" s="536"/>
      <c r="R354" s="536"/>
      <c r="S354" s="536"/>
      <c r="T354" s="536"/>
      <c r="U354" s="536"/>
      <c r="V354" s="536"/>
      <c r="W354" s="536"/>
      <c r="X354" s="536"/>
      <c r="Y354" s="536"/>
      <c r="Z354" s="536"/>
      <c r="AA354" s="536"/>
      <c r="AB354" s="536"/>
      <c r="AC354" s="536"/>
      <c r="AD354" s="536"/>
      <c r="AE354" s="536"/>
      <c r="AF354" s="536"/>
      <c r="AG354" s="536"/>
      <c r="AH354" s="536"/>
      <c r="AI354" s="536"/>
      <c r="AJ354" s="675"/>
      <c r="AK354" s="537" t="s">
        <v>444</v>
      </c>
      <c r="AL354" s="536"/>
    </row>
    <row r="355" spans="1:38" x14ac:dyDescent="0.2">
      <c r="A355" s="548"/>
      <c r="B355" s="552"/>
      <c r="C355" s="1822" t="s">
        <v>415</v>
      </c>
      <c r="D355" s="1822"/>
      <c r="E355" s="1822"/>
      <c r="F355" s="1822"/>
      <c r="G355" s="1822"/>
      <c r="H355" s="1822"/>
      <c r="I355" s="1822"/>
      <c r="J355" s="1822"/>
      <c r="K355" s="1822"/>
      <c r="L355" s="551">
        <v>1767.86</v>
      </c>
      <c r="M355" s="550"/>
      <c r="N355" s="549"/>
      <c r="P355" s="536"/>
      <c r="Q355" s="536"/>
      <c r="R355" s="536"/>
      <c r="S355" s="536"/>
      <c r="T355" s="536"/>
      <c r="U355" s="536"/>
      <c r="V355" s="536"/>
      <c r="W355" s="536"/>
      <c r="X355" s="536"/>
      <c r="Y355" s="536"/>
      <c r="Z355" s="536"/>
      <c r="AA355" s="536"/>
      <c r="AB355" s="536"/>
      <c r="AC355" s="536"/>
      <c r="AD355" s="536"/>
      <c r="AE355" s="536"/>
      <c r="AF355" s="536"/>
      <c r="AG355" s="536"/>
      <c r="AH355" s="536"/>
      <c r="AI355" s="536"/>
      <c r="AJ355" s="675"/>
      <c r="AK355" s="537" t="s">
        <v>415</v>
      </c>
      <c r="AL355" s="536"/>
    </row>
    <row r="356" spans="1:38" x14ac:dyDescent="0.2">
      <c r="A356" s="548"/>
      <c r="B356" s="552"/>
      <c r="C356" s="1822" t="s">
        <v>416</v>
      </c>
      <c r="D356" s="1822"/>
      <c r="E356" s="1822"/>
      <c r="F356" s="1822"/>
      <c r="G356" s="1822"/>
      <c r="H356" s="1822"/>
      <c r="I356" s="1822"/>
      <c r="J356" s="1822"/>
      <c r="K356" s="1822"/>
      <c r="L356" s="551">
        <v>1815.6</v>
      </c>
      <c r="M356" s="550"/>
      <c r="N356" s="549"/>
      <c r="P356" s="536"/>
      <c r="Q356" s="536"/>
      <c r="R356" s="536"/>
      <c r="S356" s="536"/>
      <c r="T356" s="536"/>
      <c r="U356" s="536"/>
      <c r="V356" s="536"/>
      <c r="W356" s="536"/>
      <c r="X356" s="536"/>
      <c r="Y356" s="536"/>
      <c r="Z356" s="536"/>
      <c r="AA356" s="536"/>
      <c r="AB356" s="536"/>
      <c r="AC356" s="536"/>
      <c r="AD356" s="536"/>
      <c r="AE356" s="536"/>
      <c r="AF356" s="536"/>
      <c r="AG356" s="536"/>
      <c r="AH356" s="536"/>
      <c r="AI356" s="536"/>
      <c r="AJ356" s="675"/>
      <c r="AK356" s="537" t="s">
        <v>416</v>
      </c>
      <c r="AL356" s="536"/>
    </row>
    <row r="357" spans="1:38" x14ac:dyDescent="0.2">
      <c r="A357" s="548"/>
      <c r="B357" s="552"/>
      <c r="C357" s="1822" t="s">
        <v>417</v>
      </c>
      <c r="D357" s="1822"/>
      <c r="E357" s="1822"/>
      <c r="F357" s="1822"/>
      <c r="G357" s="1822"/>
      <c r="H357" s="1822"/>
      <c r="I357" s="1822"/>
      <c r="J357" s="1822"/>
      <c r="K357" s="1822"/>
      <c r="L357" s="551">
        <v>1023.71</v>
      </c>
      <c r="M357" s="550"/>
      <c r="N357" s="549"/>
      <c r="P357" s="536"/>
      <c r="Q357" s="536"/>
      <c r="R357" s="536"/>
      <c r="S357" s="536"/>
      <c r="T357" s="536"/>
      <c r="U357" s="536"/>
      <c r="V357" s="536"/>
      <c r="W357" s="536"/>
      <c r="X357" s="536"/>
      <c r="Y357" s="536"/>
      <c r="Z357" s="536"/>
      <c r="AA357" s="536"/>
      <c r="AB357" s="536"/>
      <c r="AC357" s="536"/>
      <c r="AD357" s="536"/>
      <c r="AE357" s="536"/>
      <c r="AF357" s="536"/>
      <c r="AG357" s="536"/>
      <c r="AH357" s="536"/>
      <c r="AI357" s="536"/>
      <c r="AJ357" s="675"/>
      <c r="AK357" s="537" t="s">
        <v>417</v>
      </c>
      <c r="AL357" s="536"/>
    </row>
    <row r="358" spans="1:38" x14ac:dyDescent="0.2">
      <c r="A358" s="548"/>
      <c r="B358" s="546"/>
      <c r="C358" s="1819" t="s">
        <v>206</v>
      </c>
      <c r="D358" s="1819"/>
      <c r="E358" s="1819"/>
      <c r="F358" s="1819"/>
      <c r="G358" s="1819"/>
      <c r="H358" s="1819"/>
      <c r="I358" s="1819"/>
      <c r="J358" s="1819"/>
      <c r="K358" s="1819"/>
      <c r="L358" s="544">
        <v>51375.839999999997</v>
      </c>
      <c r="M358" s="543"/>
      <c r="N358" s="547">
        <v>427447</v>
      </c>
      <c r="P358" s="536"/>
      <c r="Q358" s="536"/>
      <c r="R358" s="536"/>
      <c r="S358" s="536"/>
      <c r="T358" s="536"/>
      <c r="U358" s="536"/>
      <c r="V358" s="536"/>
      <c r="W358" s="536"/>
      <c r="X358" s="536"/>
      <c r="Y358" s="536"/>
      <c r="Z358" s="536"/>
      <c r="AA358" s="536"/>
      <c r="AB358" s="536"/>
      <c r="AC358" s="536"/>
      <c r="AD358" s="536"/>
      <c r="AE358" s="536"/>
      <c r="AF358" s="536"/>
      <c r="AG358" s="536"/>
      <c r="AH358" s="536"/>
      <c r="AI358" s="536"/>
      <c r="AJ358" s="675"/>
      <c r="AK358" s="536"/>
      <c r="AL358" s="675" t="s">
        <v>206</v>
      </c>
    </row>
    <row r="359" spans="1:38" x14ac:dyDescent="0.2">
      <c r="A359" s="548"/>
      <c r="B359" s="552"/>
      <c r="C359" s="1822" t="s">
        <v>204</v>
      </c>
      <c r="D359" s="1822"/>
      <c r="E359" s="1822"/>
      <c r="F359" s="1822"/>
      <c r="G359" s="1822"/>
      <c r="H359" s="1822"/>
      <c r="I359" s="1822"/>
      <c r="J359" s="1822"/>
      <c r="K359" s="1822"/>
      <c r="L359" s="551"/>
      <c r="M359" s="550"/>
      <c r="N359" s="549"/>
      <c r="P359" s="536"/>
      <c r="Q359" s="536"/>
      <c r="R359" s="536"/>
      <c r="S359" s="536"/>
      <c r="T359" s="536"/>
      <c r="U359" s="536"/>
      <c r="V359" s="536"/>
      <c r="W359" s="536"/>
      <c r="X359" s="536"/>
      <c r="Y359" s="536"/>
      <c r="Z359" s="536"/>
      <c r="AA359" s="536"/>
      <c r="AB359" s="536"/>
      <c r="AC359" s="536"/>
      <c r="AD359" s="536"/>
      <c r="AE359" s="536"/>
      <c r="AF359" s="536"/>
      <c r="AG359" s="536"/>
      <c r="AH359" s="536"/>
      <c r="AI359" s="536"/>
      <c r="AJ359" s="675"/>
      <c r="AK359" s="537" t="s">
        <v>204</v>
      </c>
      <c r="AL359" s="675"/>
    </row>
    <row r="360" spans="1:38" x14ac:dyDescent="0.2">
      <c r="A360" s="548"/>
      <c r="B360" s="552"/>
      <c r="C360" s="1822" t="s">
        <v>8095</v>
      </c>
      <c r="D360" s="1822"/>
      <c r="E360" s="1822"/>
      <c r="F360" s="1822"/>
      <c r="G360" s="1822"/>
      <c r="H360" s="1822"/>
      <c r="I360" s="1822"/>
      <c r="J360" s="1822"/>
      <c r="K360" s="1822"/>
      <c r="L360" s="551">
        <v>19769.349999999999</v>
      </c>
      <c r="M360" s="550"/>
      <c r="N360" s="549">
        <v>164481</v>
      </c>
      <c r="P360" s="536"/>
      <c r="Q360" s="536"/>
      <c r="R360" s="536"/>
      <c r="S360" s="536"/>
      <c r="T360" s="536"/>
      <c r="U360" s="536"/>
      <c r="V360" s="536"/>
      <c r="W360" s="536"/>
      <c r="X360" s="536"/>
      <c r="Y360" s="536"/>
      <c r="Z360" s="536"/>
      <c r="AA360" s="536"/>
      <c r="AB360" s="536"/>
      <c r="AC360" s="536"/>
      <c r="AD360" s="536"/>
      <c r="AE360" s="536"/>
      <c r="AF360" s="536"/>
      <c r="AG360" s="536"/>
      <c r="AH360" s="536"/>
      <c r="AI360" s="536"/>
      <c r="AJ360" s="675"/>
      <c r="AK360" s="537" t="s">
        <v>8095</v>
      </c>
      <c r="AL360" s="675"/>
    </row>
    <row r="361" spans="1:38" ht="1.5" customHeight="1" x14ac:dyDescent="0.2">
      <c r="B361" s="546"/>
      <c r="C361" s="683"/>
      <c r="D361" s="683"/>
      <c r="E361" s="683"/>
      <c r="F361" s="683"/>
      <c r="G361" s="683"/>
      <c r="H361" s="683"/>
      <c r="I361" s="683"/>
      <c r="J361" s="683"/>
      <c r="K361" s="683"/>
      <c r="L361" s="544"/>
      <c r="M361" s="543"/>
      <c r="N361" s="542"/>
      <c r="P361" s="536"/>
      <c r="Q361" s="536"/>
      <c r="R361" s="536"/>
      <c r="S361" s="536"/>
      <c r="T361" s="536"/>
      <c r="U361" s="536"/>
      <c r="V361" s="536"/>
      <c r="W361" s="536"/>
      <c r="X361" s="536"/>
      <c r="Y361" s="536"/>
      <c r="Z361" s="536"/>
      <c r="AA361" s="536"/>
      <c r="AB361" s="536"/>
      <c r="AC361" s="536"/>
      <c r="AD361" s="536"/>
      <c r="AE361" s="536"/>
      <c r="AF361" s="536"/>
      <c r="AG361" s="536"/>
      <c r="AH361" s="536"/>
      <c r="AI361" s="536"/>
      <c r="AJ361" s="536"/>
      <c r="AK361" s="536"/>
      <c r="AL361" s="536"/>
    </row>
    <row r="362" spans="1:38" ht="53.25" customHeight="1" x14ac:dyDescent="0.2">
      <c r="A362" s="541"/>
      <c r="B362" s="541"/>
      <c r="C362" s="541"/>
      <c r="D362" s="541"/>
      <c r="E362" s="541"/>
      <c r="F362" s="541"/>
      <c r="G362" s="541"/>
      <c r="H362" s="541"/>
      <c r="I362" s="541"/>
      <c r="J362" s="541"/>
      <c r="K362" s="541"/>
      <c r="L362" s="541"/>
      <c r="M362" s="541"/>
      <c r="N362" s="541"/>
      <c r="P362" s="536"/>
      <c r="Q362" s="536"/>
      <c r="R362" s="536"/>
      <c r="S362" s="536"/>
      <c r="T362" s="536"/>
      <c r="U362" s="536"/>
      <c r="V362" s="536"/>
      <c r="W362" s="536"/>
      <c r="X362" s="536"/>
      <c r="Y362" s="536"/>
      <c r="Z362" s="536"/>
      <c r="AA362" s="536"/>
      <c r="AB362" s="536"/>
      <c r="AC362" s="536"/>
      <c r="AD362" s="536"/>
      <c r="AE362" s="536"/>
      <c r="AF362" s="536"/>
      <c r="AG362" s="536"/>
      <c r="AH362" s="536"/>
      <c r="AI362" s="536"/>
      <c r="AJ362" s="536"/>
      <c r="AK362" s="536"/>
      <c r="AL362" s="536"/>
    </row>
    <row r="363" spans="1:38" x14ac:dyDescent="0.2">
      <c r="B363" s="539" t="s">
        <v>149</v>
      </c>
      <c r="C363" s="1943"/>
      <c r="D363" s="1943"/>
      <c r="E363" s="1943"/>
      <c r="F363" s="1943"/>
      <c r="G363" s="1943"/>
      <c r="H363" s="1943"/>
      <c r="I363" s="1943"/>
      <c r="J363" s="1943"/>
      <c r="K363" s="1943"/>
      <c r="L363" s="1943"/>
    </row>
    <row r="364" spans="1:38" ht="13.5" customHeight="1" x14ac:dyDescent="0.2">
      <c r="B364" s="540"/>
      <c r="C364" s="1821" t="s">
        <v>150</v>
      </c>
      <c r="D364" s="1821"/>
      <c r="E364" s="1821"/>
      <c r="F364" s="1821"/>
      <c r="G364" s="1821"/>
      <c r="H364" s="1821"/>
      <c r="I364" s="1821"/>
      <c r="J364" s="1821"/>
      <c r="K364" s="1821"/>
      <c r="L364" s="1821"/>
    </row>
    <row r="365" spans="1:38" ht="12.75" customHeight="1" x14ac:dyDescent="0.2">
      <c r="B365" s="539" t="s">
        <v>151</v>
      </c>
      <c r="C365" s="1943"/>
      <c r="D365" s="1943"/>
      <c r="E365" s="1943"/>
      <c r="F365" s="1943"/>
      <c r="G365" s="1943"/>
      <c r="H365" s="1943"/>
      <c r="I365" s="1943"/>
      <c r="J365" s="1943"/>
      <c r="K365" s="1943"/>
      <c r="L365" s="1943"/>
    </row>
    <row r="366" spans="1:38" ht="13.5" customHeight="1" x14ac:dyDescent="0.2">
      <c r="C366" s="1821" t="s">
        <v>150</v>
      </c>
      <c r="D366" s="1821"/>
      <c r="E366" s="1821"/>
      <c r="F366" s="1821"/>
      <c r="G366" s="1821"/>
      <c r="H366" s="1821"/>
      <c r="I366" s="1821"/>
      <c r="J366" s="1821"/>
      <c r="K366" s="1821"/>
      <c r="L366" s="1821"/>
    </row>
    <row r="368" spans="1:38" x14ac:dyDescent="0.2">
      <c r="B368" s="538"/>
      <c r="D368" s="538"/>
      <c r="F368" s="538"/>
      <c r="P368" s="536"/>
      <c r="Q368" s="536"/>
      <c r="R368" s="536"/>
      <c r="S368" s="536"/>
      <c r="T368" s="536"/>
      <c r="U368" s="536"/>
      <c r="V368" s="536"/>
      <c r="W368" s="536"/>
      <c r="X368" s="536"/>
      <c r="Y368" s="536"/>
      <c r="Z368" s="536"/>
      <c r="AA368" s="536"/>
      <c r="AB368" s="536"/>
      <c r="AC368" s="536"/>
      <c r="AD368" s="536"/>
      <c r="AE368" s="536"/>
      <c r="AF368" s="536"/>
      <c r="AG368" s="536"/>
      <c r="AH368" s="536"/>
      <c r="AI368" s="536"/>
      <c r="AJ368" s="536"/>
      <c r="AK368" s="536"/>
      <c r="AL368" s="536"/>
    </row>
  </sheetData>
  <mergeCells count="328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J35:L36"/>
    <mergeCell ref="M35:M37"/>
    <mergeCell ref="N35:N37"/>
    <mergeCell ref="C38:E38"/>
    <mergeCell ref="A39:N39"/>
    <mergeCell ref="A40:N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7:E47"/>
    <mergeCell ref="C48:E48"/>
    <mergeCell ref="C49:E49"/>
    <mergeCell ref="C50:E50"/>
    <mergeCell ref="C51:E51"/>
    <mergeCell ref="C52:E52"/>
    <mergeCell ref="C41:E41"/>
    <mergeCell ref="C42:N42"/>
    <mergeCell ref="C43:N43"/>
    <mergeCell ref="C44:E44"/>
    <mergeCell ref="C45:E45"/>
    <mergeCell ref="C46:E46"/>
    <mergeCell ref="C60:N60"/>
    <mergeCell ref="C61:E61"/>
    <mergeCell ref="C62:E62"/>
    <mergeCell ref="C63:E63"/>
    <mergeCell ref="C64:E64"/>
    <mergeCell ref="C65:E65"/>
    <mergeCell ref="C53:E53"/>
    <mergeCell ref="C54:E54"/>
    <mergeCell ref="C55:E55"/>
    <mergeCell ref="C57:N57"/>
    <mergeCell ref="C58:E58"/>
    <mergeCell ref="C59:N59"/>
    <mergeCell ref="C72:E72"/>
    <mergeCell ref="C74:N74"/>
    <mergeCell ref="C75:N75"/>
    <mergeCell ref="C76:N76"/>
    <mergeCell ref="C77:E77"/>
    <mergeCell ref="C78:N78"/>
    <mergeCell ref="C66:E66"/>
    <mergeCell ref="C67:E67"/>
    <mergeCell ref="C68:E68"/>
    <mergeCell ref="C69:E69"/>
    <mergeCell ref="C70:E70"/>
    <mergeCell ref="C71:E71"/>
    <mergeCell ref="C85:E85"/>
    <mergeCell ref="C86:E86"/>
    <mergeCell ref="C87:E87"/>
    <mergeCell ref="C88:E88"/>
    <mergeCell ref="C89:E89"/>
    <mergeCell ref="C90:E90"/>
    <mergeCell ref="C79:N79"/>
    <mergeCell ref="C80:E80"/>
    <mergeCell ref="C81:E81"/>
    <mergeCell ref="C82:E82"/>
    <mergeCell ref="C83:E83"/>
    <mergeCell ref="C84:E84"/>
    <mergeCell ref="C100:E100"/>
    <mergeCell ref="C102:N102"/>
    <mergeCell ref="C103:N103"/>
    <mergeCell ref="C104:E104"/>
    <mergeCell ref="C105:N105"/>
    <mergeCell ref="C106:N106"/>
    <mergeCell ref="C91:E91"/>
    <mergeCell ref="C93:N93"/>
    <mergeCell ref="C94:E94"/>
    <mergeCell ref="C96:N96"/>
    <mergeCell ref="C97:E97"/>
    <mergeCell ref="C99:N99"/>
    <mergeCell ref="C113:E113"/>
    <mergeCell ref="C114:E114"/>
    <mergeCell ref="C115:E115"/>
    <mergeCell ref="C117:N117"/>
    <mergeCell ref="C118:E118"/>
    <mergeCell ref="C119:N119"/>
    <mergeCell ref="C107:E107"/>
    <mergeCell ref="C108:E108"/>
    <mergeCell ref="C109:E109"/>
    <mergeCell ref="C110:E110"/>
    <mergeCell ref="C111:E111"/>
    <mergeCell ref="C112:E112"/>
    <mergeCell ref="C126:E126"/>
    <mergeCell ref="C127:E127"/>
    <mergeCell ref="C128:E128"/>
    <mergeCell ref="C129:E129"/>
    <mergeCell ref="C130:E130"/>
    <mergeCell ref="C131:E131"/>
    <mergeCell ref="C120:N120"/>
    <mergeCell ref="C121:E121"/>
    <mergeCell ref="C122:E122"/>
    <mergeCell ref="C123:E123"/>
    <mergeCell ref="C124:E124"/>
    <mergeCell ref="C125:E125"/>
    <mergeCell ref="C140:E140"/>
    <mergeCell ref="C141:E141"/>
    <mergeCell ref="C142:E142"/>
    <mergeCell ref="C143:E143"/>
    <mergeCell ref="C144:E144"/>
    <mergeCell ref="C145:E145"/>
    <mergeCell ref="C133:N133"/>
    <mergeCell ref="C134:E134"/>
    <mergeCell ref="C136:N136"/>
    <mergeCell ref="C137:E137"/>
    <mergeCell ref="C138:N138"/>
    <mergeCell ref="C139:N139"/>
    <mergeCell ref="A154:N154"/>
    <mergeCell ref="C155:E155"/>
    <mergeCell ref="C156:N156"/>
    <mergeCell ref="C157:N157"/>
    <mergeCell ref="C158:E158"/>
    <mergeCell ref="C159:E159"/>
    <mergeCell ref="C146:E146"/>
    <mergeCell ref="C147:E147"/>
    <mergeCell ref="C148:E148"/>
    <mergeCell ref="C150:N150"/>
    <mergeCell ref="C151:E151"/>
    <mergeCell ref="C153:N153"/>
    <mergeCell ref="C166:E166"/>
    <mergeCell ref="C167:E167"/>
    <mergeCell ref="C168:E168"/>
    <mergeCell ref="C169:E169"/>
    <mergeCell ref="C171:N171"/>
    <mergeCell ref="C172:N172"/>
    <mergeCell ref="C160:E160"/>
    <mergeCell ref="C161:E161"/>
    <mergeCell ref="C162:E162"/>
    <mergeCell ref="C163:E163"/>
    <mergeCell ref="C164:E164"/>
    <mergeCell ref="C165:E165"/>
    <mergeCell ref="C179:E179"/>
    <mergeCell ref="C180:E180"/>
    <mergeCell ref="C181:E181"/>
    <mergeCell ref="C182:E182"/>
    <mergeCell ref="C183:E183"/>
    <mergeCell ref="C184:E184"/>
    <mergeCell ref="A173:N173"/>
    <mergeCell ref="C174:E174"/>
    <mergeCell ref="C175:N175"/>
    <mergeCell ref="C176:N176"/>
    <mergeCell ref="C177:E177"/>
    <mergeCell ref="C178:E178"/>
    <mergeCell ref="C192:E192"/>
    <mergeCell ref="C193:N193"/>
    <mergeCell ref="C194:N194"/>
    <mergeCell ref="C195:N195"/>
    <mergeCell ref="C196:E196"/>
    <mergeCell ref="C197:E197"/>
    <mergeCell ref="C185:E185"/>
    <mergeCell ref="C186:E186"/>
    <mergeCell ref="C187:E187"/>
    <mergeCell ref="C188:E188"/>
    <mergeCell ref="C189:E189"/>
    <mergeCell ref="C191:N191"/>
    <mergeCell ref="C204:E204"/>
    <mergeCell ref="C205:E205"/>
    <mergeCell ref="C206:E206"/>
    <mergeCell ref="C207:E207"/>
    <mergeCell ref="C209:N209"/>
    <mergeCell ref="C210:E210"/>
    <mergeCell ref="C198:E198"/>
    <mergeCell ref="C199:E199"/>
    <mergeCell ref="C200:E200"/>
    <mergeCell ref="C201:E201"/>
    <mergeCell ref="C202:E202"/>
    <mergeCell ref="C203:E203"/>
    <mergeCell ref="C217:E217"/>
    <mergeCell ref="C218:E218"/>
    <mergeCell ref="C219:E219"/>
    <mergeCell ref="C220:E220"/>
    <mergeCell ref="C221:E221"/>
    <mergeCell ref="C222:E222"/>
    <mergeCell ref="C211:N211"/>
    <mergeCell ref="C212:N212"/>
    <mergeCell ref="C213:E213"/>
    <mergeCell ref="C214:E214"/>
    <mergeCell ref="C215:E215"/>
    <mergeCell ref="C216:E216"/>
    <mergeCell ref="C230:N230"/>
    <mergeCell ref="C231:E231"/>
    <mergeCell ref="C232:E232"/>
    <mergeCell ref="C233:E233"/>
    <mergeCell ref="C234:E234"/>
    <mergeCell ref="C235:E235"/>
    <mergeCell ref="C223:E223"/>
    <mergeCell ref="C224:E224"/>
    <mergeCell ref="C225:E225"/>
    <mergeCell ref="C227:N227"/>
    <mergeCell ref="C228:E228"/>
    <mergeCell ref="C229:N229"/>
    <mergeCell ref="C242:E242"/>
    <mergeCell ref="C243:E243"/>
    <mergeCell ref="C244:N244"/>
    <mergeCell ref="C245:N245"/>
    <mergeCell ref="C246:N246"/>
    <mergeCell ref="C247:E247"/>
    <mergeCell ref="C236:E236"/>
    <mergeCell ref="C237:E237"/>
    <mergeCell ref="C238:E238"/>
    <mergeCell ref="C239:E239"/>
    <mergeCell ref="C240:E240"/>
    <mergeCell ref="C241:E241"/>
    <mergeCell ref="C254:E254"/>
    <mergeCell ref="C255:E255"/>
    <mergeCell ref="C256:E256"/>
    <mergeCell ref="C257:E257"/>
    <mergeCell ref="C258:E258"/>
    <mergeCell ref="C260:N260"/>
    <mergeCell ref="C248:E248"/>
    <mergeCell ref="C249:E249"/>
    <mergeCell ref="C250:E250"/>
    <mergeCell ref="C251:E251"/>
    <mergeCell ref="C252:E252"/>
    <mergeCell ref="C253:E253"/>
    <mergeCell ref="C267:E267"/>
    <mergeCell ref="C268:E268"/>
    <mergeCell ref="C269:E269"/>
    <mergeCell ref="C270:E270"/>
    <mergeCell ref="C271:E271"/>
    <mergeCell ref="C272:E272"/>
    <mergeCell ref="C261:N261"/>
    <mergeCell ref="A262:N262"/>
    <mergeCell ref="C263:E263"/>
    <mergeCell ref="C264:N264"/>
    <mergeCell ref="C265:N265"/>
    <mergeCell ref="C266:E266"/>
    <mergeCell ref="C280:N280"/>
    <mergeCell ref="C281:E281"/>
    <mergeCell ref="C282:N282"/>
    <mergeCell ref="C283:N283"/>
    <mergeCell ref="C284:E284"/>
    <mergeCell ref="C285:E285"/>
    <mergeCell ref="C273:E273"/>
    <mergeCell ref="C274:E274"/>
    <mergeCell ref="C275:E275"/>
    <mergeCell ref="C276:E276"/>
    <mergeCell ref="C277:E277"/>
    <mergeCell ref="C278:E278"/>
    <mergeCell ref="C292:E292"/>
    <mergeCell ref="C293:E293"/>
    <mergeCell ref="C294:E294"/>
    <mergeCell ref="C295:E295"/>
    <mergeCell ref="C296:E296"/>
    <mergeCell ref="C298:N298"/>
    <mergeCell ref="C286:E286"/>
    <mergeCell ref="C287:E287"/>
    <mergeCell ref="C288:E288"/>
    <mergeCell ref="C289:E289"/>
    <mergeCell ref="C290:E290"/>
    <mergeCell ref="C291:E291"/>
    <mergeCell ref="C307:K307"/>
    <mergeCell ref="C308:K308"/>
    <mergeCell ref="C309:K309"/>
    <mergeCell ref="C310:K310"/>
    <mergeCell ref="C311:K311"/>
    <mergeCell ref="C312:K312"/>
    <mergeCell ref="C299:N299"/>
    <mergeCell ref="C300:E300"/>
    <mergeCell ref="C302:N302"/>
    <mergeCell ref="C303:N303"/>
    <mergeCell ref="C305:K305"/>
    <mergeCell ref="C306:K306"/>
    <mergeCell ref="C319:K319"/>
    <mergeCell ref="C320:K320"/>
    <mergeCell ref="C321:K321"/>
    <mergeCell ref="C322:K322"/>
    <mergeCell ref="C323:K323"/>
    <mergeCell ref="C324:K324"/>
    <mergeCell ref="C313:K313"/>
    <mergeCell ref="C314:K314"/>
    <mergeCell ref="C315:K315"/>
    <mergeCell ref="C316:K316"/>
    <mergeCell ref="C317:K317"/>
    <mergeCell ref="C318:K318"/>
    <mergeCell ref="C334:K334"/>
    <mergeCell ref="C335:K335"/>
    <mergeCell ref="C336:K336"/>
    <mergeCell ref="C337:K337"/>
    <mergeCell ref="C338:K338"/>
    <mergeCell ref="C339:K339"/>
    <mergeCell ref="A325:N325"/>
    <mergeCell ref="C326:E326"/>
    <mergeCell ref="C328:E328"/>
    <mergeCell ref="C330:N330"/>
    <mergeCell ref="C332:K332"/>
    <mergeCell ref="C333:K333"/>
    <mergeCell ref="C347:K347"/>
    <mergeCell ref="C348:K348"/>
    <mergeCell ref="C349:K349"/>
    <mergeCell ref="C350:K350"/>
    <mergeCell ref="C351:K351"/>
    <mergeCell ref="C352:K352"/>
    <mergeCell ref="C341:K341"/>
    <mergeCell ref="C342:K342"/>
    <mergeCell ref="C343:K343"/>
    <mergeCell ref="C344:K344"/>
    <mergeCell ref="C345:K345"/>
    <mergeCell ref="C346:K346"/>
    <mergeCell ref="C359:K359"/>
    <mergeCell ref="C360:K360"/>
    <mergeCell ref="C363:L363"/>
    <mergeCell ref="C364:L364"/>
    <mergeCell ref="C365:L365"/>
    <mergeCell ref="C366:L366"/>
    <mergeCell ref="C353:K353"/>
    <mergeCell ref="C354:K354"/>
    <mergeCell ref="C355:K355"/>
    <mergeCell ref="C356:K356"/>
    <mergeCell ref="C357:K357"/>
    <mergeCell ref="C358:K358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367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AM341"/>
  <sheetViews>
    <sheetView topLeftCell="A305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3" width="138.42578125" style="537" hidden="1" customWidth="1"/>
    <col min="24" max="24" width="34.140625" style="537" hidden="1" customWidth="1"/>
    <col min="25" max="26" width="110.140625" style="537" hidden="1" customWidth="1"/>
    <col min="27" max="31" width="34.140625" style="537" hidden="1" customWidth="1"/>
    <col min="32" max="32" width="110.140625" style="537" hidden="1" customWidth="1"/>
    <col min="33" max="38" width="84.42578125" style="537" hidden="1" customWidth="1"/>
    <col min="39" max="39" width="138.42578125" style="537" hidden="1" customWidth="1"/>
    <col min="40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89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159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1344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1344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1345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87"/>
      <c r="B19" s="687"/>
      <c r="C19" s="687"/>
      <c r="D19" s="687"/>
      <c r="E19" s="687"/>
      <c r="F19" s="687"/>
      <c r="G19" s="687"/>
      <c r="H19" s="687"/>
      <c r="I19" s="687"/>
      <c r="J19" s="687"/>
      <c r="K19" s="687"/>
      <c r="L19" s="687"/>
      <c r="M19" s="687"/>
      <c r="N19" s="687"/>
    </row>
    <row r="20" spans="1:21" s="536" customFormat="1" x14ac:dyDescent="0.2">
      <c r="A20" s="1840" t="s">
        <v>606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606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/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280.36</v>
      </c>
      <c r="D28" s="579" t="s">
        <v>1346</v>
      </c>
      <c r="E28" s="689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89"/>
    </row>
    <row r="30" spans="1:21" s="536" customFormat="1" ht="12.75" customHeight="1" x14ac:dyDescent="0.2">
      <c r="B30" s="536" t="s">
        <v>169</v>
      </c>
      <c r="C30" s="580">
        <v>280.36</v>
      </c>
      <c r="D30" s="579" t="s">
        <v>1346</v>
      </c>
      <c r="E30" s="689" t="s">
        <v>167</v>
      </c>
      <c r="G30" s="536" t="s">
        <v>170</v>
      </c>
      <c r="L30" s="580">
        <v>0</v>
      </c>
      <c r="M30" s="579" t="s">
        <v>1347</v>
      </c>
      <c r="N30" s="689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689" t="s">
        <v>167</v>
      </c>
      <c r="G31" s="536" t="s">
        <v>172</v>
      </c>
      <c r="L31" s="582"/>
      <c r="M31" s="582">
        <v>69.47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689" t="s">
        <v>167</v>
      </c>
      <c r="G32" s="536" t="s">
        <v>174</v>
      </c>
      <c r="L32" s="582"/>
      <c r="M32" s="582">
        <v>9.51</v>
      </c>
      <c r="N32" s="581" t="s">
        <v>173</v>
      </c>
    </row>
    <row r="33" spans="1:29" s="536" customFormat="1" ht="12.75" customHeight="1" x14ac:dyDescent="0.2">
      <c r="B33" s="536" t="s">
        <v>147</v>
      </c>
      <c r="C33" s="580">
        <v>0</v>
      </c>
      <c r="D33" s="579" t="s">
        <v>171</v>
      </c>
      <c r="E33" s="689" t="s">
        <v>167</v>
      </c>
      <c r="G33" s="536" t="s">
        <v>175</v>
      </c>
      <c r="L33" s="1836"/>
      <c r="M33" s="1836"/>
    </row>
    <row r="34" spans="1:29" s="536" customFormat="1" ht="9.75" customHeight="1" x14ac:dyDescent="0.2">
      <c r="A34" s="578"/>
    </row>
    <row r="35" spans="1:29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9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9" s="536" customFormat="1" ht="45" x14ac:dyDescent="0.2">
      <c r="A37" s="1833"/>
      <c r="B37" s="1833"/>
      <c r="C37" s="1833"/>
      <c r="D37" s="1833"/>
      <c r="E37" s="1833"/>
      <c r="F37" s="1833"/>
      <c r="G37" s="685" t="s">
        <v>182</v>
      </c>
      <c r="H37" s="685" t="s">
        <v>183</v>
      </c>
      <c r="I37" s="685" t="s">
        <v>184</v>
      </c>
      <c r="J37" s="685" t="s">
        <v>182</v>
      </c>
      <c r="K37" s="685" t="s">
        <v>183</v>
      </c>
      <c r="L37" s="685" t="s">
        <v>148</v>
      </c>
      <c r="M37" s="1833"/>
      <c r="N37" s="1833"/>
    </row>
    <row r="38" spans="1:29" s="536" customFormat="1" x14ac:dyDescent="0.2">
      <c r="A38" s="686">
        <v>1</v>
      </c>
      <c r="B38" s="686">
        <v>2</v>
      </c>
      <c r="C38" s="1834">
        <v>3</v>
      </c>
      <c r="D38" s="1834"/>
      <c r="E38" s="1834"/>
      <c r="F38" s="686">
        <v>4</v>
      </c>
      <c r="G38" s="686">
        <v>5</v>
      </c>
      <c r="H38" s="686">
        <v>6</v>
      </c>
      <c r="I38" s="686">
        <v>7</v>
      </c>
      <c r="J38" s="686">
        <v>8</v>
      </c>
      <c r="K38" s="686">
        <v>9</v>
      </c>
      <c r="L38" s="686">
        <v>10</v>
      </c>
      <c r="M38" s="686">
        <v>11</v>
      </c>
      <c r="N38" s="686">
        <v>12</v>
      </c>
    </row>
    <row r="39" spans="1:29" s="536" customFormat="1" ht="12" x14ac:dyDescent="0.2">
      <c r="A39" s="1824" t="s">
        <v>1348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537" t="s">
        <v>1348</v>
      </c>
    </row>
    <row r="40" spans="1:29" s="536" customFormat="1" x14ac:dyDescent="0.2">
      <c r="A40" s="1830" t="s">
        <v>494</v>
      </c>
      <c r="B40" s="1831"/>
      <c r="C40" s="1831"/>
      <c r="D40" s="1831"/>
      <c r="E40" s="1831"/>
      <c r="F40" s="1831"/>
      <c r="G40" s="1831"/>
      <c r="H40" s="1831"/>
      <c r="I40" s="1831"/>
      <c r="J40" s="1831"/>
      <c r="K40" s="1831"/>
      <c r="L40" s="1831"/>
      <c r="M40" s="1831"/>
      <c r="N40" s="1832"/>
      <c r="W40" s="537" t="s">
        <v>494</v>
      </c>
    </row>
    <row r="41" spans="1:29" s="536" customFormat="1" ht="56.25" x14ac:dyDescent="0.2">
      <c r="A41" s="575" t="s">
        <v>185</v>
      </c>
      <c r="B41" s="684" t="s">
        <v>1349</v>
      </c>
      <c r="C41" s="1823" t="s">
        <v>1350</v>
      </c>
      <c r="D41" s="1823"/>
      <c r="E41" s="1823"/>
      <c r="F41" s="573" t="s">
        <v>455</v>
      </c>
      <c r="G41" s="573"/>
      <c r="H41" s="573"/>
      <c r="I41" s="573" t="s">
        <v>1351</v>
      </c>
      <c r="J41" s="572"/>
      <c r="K41" s="573"/>
      <c r="L41" s="572"/>
      <c r="M41" s="571"/>
      <c r="N41" s="570"/>
      <c r="X41" s="537" t="s">
        <v>1350</v>
      </c>
    </row>
    <row r="42" spans="1:29" s="536" customFormat="1" x14ac:dyDescent="0.2">
      <c r="A42" s="676"/>
      <c r="B42" s="682"/>
      <c r="C42" s="1822" t="s">
        <v>1352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Y42" s="537" t="s">
        <v>1352</v>
      </c>
    </row>
    <row r="43" spans="1:29" s="536" customFormat="1" ht="33.75" x14ac:dyDescent="0.2">
      <c r="A43" s="609"/>
      <c r="B43" s="552" t="s">
        <v>310</v>
      </c>
      <c r="C43" s="1822" t="s">
        <v>311</v>
      </c>
      <c r="D43" s="1822"/>
      <c r="E43" s="1822"/>
      <c r="F43" s="1822"/>
      <c r="G43" s="1822"/>
      <c r="H43" s="1822"/>
      <c r="I43" s="1822"/>
      <c r="J43" s="1822"/>
      <c r="K43" s="1822"/>
      <c r="L43" s="1822"/>
      <c r="M43" s="1822"/>
      <c r="N43" s="1827"/>
      <c r="Z43" s="537" t="s">
        <v>311</v>
      </c>
    </row>
    <row r="44" spans="1:29" s="536" customFormat="1" x14ac:dyDescent="0.2">
      <c r="A44" s="605"/>
      <c r="B44" s="552" t="s">
        <v>186</v>
      </c>
      <c r="C44" s="1822" t="s">
        <v>344</v>
      </c>
      <c r="D44" s="1822"/>
      <c r="E44" s="1822"/>
      <c r="F44" s="562"/>
      <c r="G44" s="562"/>
      <c r="H44" s="562"/>
      <c r="I44" s="562"/>
      <c r="J44" s="604">
        <v>7550.19</v>
      </c>
      <c r="K44" s="562" t="s">
        <v>313</v>
      </c>
      <c r="L44" s="604">
        <v>57.76</v>
      </c>
      <c r="M44" s="603"/>
      <c r="N44" s="602"/>
      <c r="AA44" s="537" t="s">
        <v>344</v>
      </c>
    </row>
    <row r="45" spans="1:29" s="536" customFormat="1" x14ac:dyDescent="0.2">
      <c r="A45" s="605"/>
      <c r="B45" s="552" t="s">
        <v>187</v>
      </c>
      <c r="C45" s="1822" t="s">
        <v>345</v>
      </c>
      <c r="D45" s="1822"/>
      <c r="E45" s="1822"/>
      <c r="F45" s="562"/>
      <c r="G45" s="562"/>
      <c r="H45" s="562"/>
      <c r="I45" s="562"/>
      <c r="J45" s="604">
        <v>884.25</v>
      </c>
      <c r="K45" s="562" t="s">
        <v>313</v>
      </c>
      <c r="L45" s="604">
        <v>6.76</v>
      </c>
      <c r="M45" s="603"/>
      <c r="N45" s="602"/>
      <c r="AA45" s="537" t="s">
        <v>345</v>
      </c>
    </row>
    <row r="46" spans="1:29" s="536" customFormat="1" x14ac:dyDescent="0.2">
      <c r="A46" s="605"/>
      <c r="B46" s="552"/>
      <c r="C46" s="1822" t="s">
        <v>348</v>
      </c>
      <c r="D46" s="1822"/>
      <c r="E46" s="1822"/>
      <c r="F46" s="562" t="s">
        <v>315</v>
      </c>
      <c r="G46" s="562" t="s">
        <v>1353</v>
      </c>
      <c r="H46" s="562" t="s">
        <v>313</v>
      </c>
      <c r="I46" s="562" t="s">
        <v>1354</v>
      </c>
      <c r="J46" s="604"/>
      <c r="K46" s="562"/>
      <c r="L46" s="604"/>
      <c r="M46" s="603"/>
      <c r="N46" s="602"/>
      <c r="AB46" s="537" t="s">
        <v>348</v>
      </c>
    </row>
    <row r="47" spans="1:29" s="536" customFormat="1" x14ac:dyDescent="0.2">
      <c r="A47" s="605"/>
      <c r="B47" s="552"/>
      <c r="C47" s="1828" t="s">
        <v>318</v>
      </c>
      <c r="D47" s="1828"/>
      <c r="E47" s="1828"/>
      <c r="F47" s="608"/>
      <c r="G47" s="608"/>
      <c r="H47" s="608"/>
      <c r="I47" s="608"/>
      <c r="J47" s="607">
        <v>7550.19</v>
      </c>
      <c r="K47" s="608"/>
      <c r="L47" s="607">
        <v>57.76</v>
      </c>
      <c r="M47" s="601"/>
      <c r="N47" s="606"/>
      <c r="AC47" s="537" t="s">
        <v>318</v>
      </c>
    </row>
    <row r="48" spans="1:29" s="536" customFormat="1" x14ac:dyDescent="0.2">
      <c r="A48" s="605"/>
      <c r="B48" s="552"/>
      <c r="C48" s="1822" t="s">
        <v>319</v>
      </c>
      <c r="D48" s="1822"/>
      <c r="E48" s="1822"/>
      <c r="F48" s="562"/>
      <c r="G48" s="562"/>
      <c r="H48" s="562"/>
      <c r="I48" s="562"/>
      <c r="J48" s="604"/>
      <c r="K48" s="562"/>
      <c r="L48" s="604">
        <v>6.76</v>
      </c>
      <c r="M48" s="603"/>
      <c r="N48" s="602"/>
      <c r="AB48" s="537" t="s">
        <v>319</v>
      </c>
    </row>
    <row r="49" spans="1:30" s="536" customFormat="1" ht="33.75" x14ac:dyDescent="0.2">
      <c r="A49" s="605"/>
      <c r="B49" s="552" t="s">
        <v>460</v>
      </c>
      <c r="C49" s="1822" t="s">
        <v>461</v>
      </c>
      <c r="D49" s="1822"/>
      <c r="E49" s="1822"/>
      <c r="F49" s="562" t="s">
        <v>322</v>
      </c>
      <c r="G49" s="562" t="s">
        <v>462</v>
      </c>
      <c r="H49" s="562"/>
      <c r="I49" s="562" t="s">
        <v>462</v>
      </c>
      <c r="J49" s="604"/>
      <c r="K49" s="562"/>
      <c r="L49" s="604">
        <v>6.22</v>
      </c>
      <c r="M49" s="603"/>
      <c r="N49" s="602"/>
      <c r="AB49" s="537" t="s">
        <v>461</v>
      </c>
    </row>
    <row r="50" spans="1:30" s="536" customFormat="1" ht="33.75" x14ac:dyDescent="0.2">
      <c r="A50" s="605"/>
      <c r="B50" s="552" t="s">
        <v>463</v>
      </c>
      <c r="C50" s="1822" t="s">
        <v>464</v>
      </c>
      <c r="D50" s="1822"/>
      <c r="E50" s="1822"/>
      <c r="F50" s="562" t="s">
        <v>322</v>
      </c>
      <c r="G50" s="562" t="s">
        <v>465</v>
      </c>
      <c r="H50" s="562"/>
      <c r="I50" s="562" t="s">
        <v>465</v>
      </c>
      <c r="J50" s="604"/>
      <c r="K50" s="562"/>
      <c r="L50" s="604">
        <v>3.11</v>
      </c>
      <c r="M50" s="603"/>
      <c r="N50" s="602"/>
      <c r="AB50" s="537" t="s">
        <v>464</v>
      </c>
    </row>
    <row r="51" spans="1:30" s="536" customFormat="1" x14ac:dyDescent="0.2">
      <c r="A51" s="569"/>
      <c r="B51" s="683"/>
      <c r="C51" s="1823" t="s">
        <v>327</v>
      </c>
      <c r="D51" s="1823"/>
      <c r="E51" s="1823"/>
      <c r="F51" s="573"/>
      <c r="G51" s="573"/>
      <c r="H51" s="573"/>
      <c r="I51" s="573"/>
      <c r="J51" s="572"/>
      <c r="K51" s="573"/>
      <c r="L51" s="572">
        <v>67.09</v>
      </c>
      <c r="M51" s="601"/>
      <c r="N51" s="570"/>
      <c r="AD51" s="537" t="s">
        <v>327</v>
      </c>
    </row>
    <row r="52" spans="1:30" s="536" customFormat="1" ht="45" x14ac:dyDescent="0.2">
      <c r="A52" s="575" t="s">
        <v>186</v>
      </c>
      <c r="B52" s="684" t="s">
        <v>495</v>
      </c>
      <c r="C52" s="1823" t="s">
        <v>496</v>
      </c>
      <c r="D52" s="1823"/>
      <c r="E52" s="1823"/>
      <c r="F52" s="573" t="s">
        <v>455</v>
      </c>
      <c r="G52" s="573"/>
      <c r="H52" s="573"/>
      <c r="I52" s="573" t="s">
        <v>1355</v>
      </c>
      <c r="J52" s="572"/>
      <c r="K52" s="573"/>
      <c r="L52" s="572"/>
      <c r="M52" s="571"/>
      <c r="N52" s="570"/>
      <c r="X52" s="537" t="s">
        <v>496</v>
      </c>
    </row>
    <row r="53" spans="1:30" s="536" customFormat="1" x14ac:dyDescent="0.2">
      <c r="A53" s="676"/>
      <c r="B53" s="682"/>
      <c r="C53" s="1822" t="s">
        <v>1356</v>
      </c>
      <c r="D53" s="1822"/>
      <c r="E53" s="1822"/>
      <c r="F53" s="1822"/>
      <c r="G53" s="1822"/>
      <c r="H53" s="1822"/>
      <c r="I53" s="1822"/>
      <c r="J53" s="1822"/>
      <c r="K53" s="1822"/>
      <c r="L53" s="1822"/>
      <c r="M53" s="1822"/>
      <c r="N53" s="1827"/>
      <c r="Y53" s="537" t="s">
        <v>1356</v>
      </c>
    </row>
    <row r="54" spans="1:30" s="536" customFormat="1" ht="33.75" x14ac:dyDescent="0.2">
      <c r="A54" s="609"/>
      <c r="B54" s="552" t="s">
        <v>310</v>
      </c>
      <c r="C54" s="1822" t="s">
        <v>311</v>
      </c>
      <c r="D54" s="1822"/>
      <c r="E54" s="1822"/>
      <c r="F54" s="1822"/>
      <c r="G54" s="1822"/>
      <c r="H54" s="1822"/>
      <c r="I54" s="1822"/>
      <c r="J54" s="1822"/>
      <c r="K54" s="1822"/>
      <c r="L54" s="1822"/>
      <c r="M54" s="1822"/>
      <c r="N54" s="1827"/>
      <c r="Z54" s="537" t="s">
        <v>311</v>
      </c>
    </row>
    <row r="55" spans="1:30" s="536" customFormat="1" x14ac:dyDescent="0.2">
      <c r="A55" s="605"/>
      <c r="B55" s="552" t="s">
        <v>186</v>
      </c>
      <c r="C55" s="1822" t="s">
        <v>344</v>
      </c>
      <c r="D55" s="1822"/>
      <c r="E55" s="1822"/>
      <c r="F55" s="562"/>
      <c r="G55" s="562"/>
      <c r="H55" s="562"/>
      <c r="I55" s="562"/>
      <c r="J55" s="604">
        <v>5532.96</v>
      </c>
      <c r="K55" s="562" t="s">
        <v>313</v>
      </c>
      <c r="L55" s="604">
        <v>1.66</v>
      </c>
      <c r="M55" s="603"/>
      <c r="N55" s="602"/>
      <c r="AA55" s="537" t="s">
        <v>344</v>
      </c>
    </row>
    <row r="56" spans="1:30" s="536" customFormat="1" x14ac:dyDescent="0.2">
      <c r="A56" s="605"/>
      <c r="B56" s="552" t="s">
        <v>187</v>
      </c>
      <c r="C56" s="1822" t="s">
        <v>345</v>
      </c>
      <c r="D56" s="1822"/>
      <c r="E56" s="1822"/>
      <c r="F56" s="562"/>
      <c r="G56" s="562"/>
      <c r="H56" s="562"/>
      <c r="I56" s="562"/>
      <c r="J56" s="604">
        <v>648</v>
      </c>
      <c r="K56" s="562" t="s">
        <v>313</v>
      </c>
      <c r="L56" s="604">
        <v>0.19</v>
      </c>
      <c r="M56" s="603"/>
      <c r="N56" s="602"/>
      <c r="AA56" s="537" t="s">
        <v>345</v>
      </c>
    </row>
    <row r="57" spans="1:30" s="536" customFormat="1" x14ac:dyDescent="0.2">
      <c r="A57" s="605"/>
      <c r="B57" s="552"/>
      <c r="C57" s="1822" t="s">
        <v>348</v>
      </c>
      <c r="D57" s="1822"/>
      <c r="E57" s="1822"/>
      <c r="F57" s="562" t="s">
        <v>315</v>
      </c>
      <c r="G57" s="562" t="s">
        <v>501</v>
      </c>
      <c r="H57" s="562" t="s">
        <v>313</v>
      </c>
      <c r="I57" s="562" t="s">
        <v>1357</v>
      </c>
      <c r="J57" s="604"/>
      <c r="K57" s="562"/>
      <c r="L57" s="604"/>
      <c r="M57" s="603"/>
      <c r="N57" s="602"/>
      <c r="AB57" s="537" t="s">
        <v>348</v>
      </c>
    </row>
    <row r="58" spans="1:30" s="536" customFormat="1" x14ac:dyDescent="0.2">
      <c r="A58" s="605"/>
      <c r="B58" s="552"/>
      <c r="C58" s="1828" t="s">
        <v>318</v>
      </c>
      <c r="D58" s="1828"/>
      <c r="E58" s="1828"/>
      <c r="F58" s="608"/>
      <c r="G58" s="608"/>
      <c r="H58" s="608"/>
      <c r="I58" s="608"/>
      <c r="J58" s="607">
        <v>5532.96</v>
      </c>
      <c r="K58" s="608"/>
      <c r="L58" s="607">
        <v>1.66</v>
      </c>
      <c r="M58" s="601"/>
      <c r="N58" s="606"/>
      <c r="AC58" s="537" t="s">
        <v>318</v>
      </c>
    </row>
    <row r="59" spans="1:30" s="536" customFormat="1" x14ac:dyDescent="0.2">
      <c r="A59" s="605"/>
      <c r="B59" s="552"/>
      <c r="C59" s="1822" t="s">
        <v>319</v>
      </c>
      <c r="D59" s="1822"/>
      <c r="E59" s="1822"/>
      <c r="F59" s="562"/>
      <c r="G59" s="562"/>
      <c r="H59" s="562"/>
      <c r="I59" s="562"/>
      <c r="J59" s="604"/>
      <c r="K59" s="562"/>
      <c r="L59" s="604">
        <v>0.19</v>
      </c>
      <c r="M59" s="603"/>
      <c r="N59" s="602"/>
      <c r="AB59" s="537" t="s">
        <v>319</v>
      </c>
    </row>
    <row r="60" spans="1:30" s="536" customFormat="1" ht="33.75" x14ac:dyDescent="0.2">
      <c r="A60" s="605"/>
      <c r="B60" s="552" t="s">
        <v>460</v>
      </c>
      <c r="C60" s="1822" t="s">
        <v>461</v>
      </c>
      <c r="D60" s="1822"/>
      <c r="E60" s="1822"/>
      <c r="F60" s="562" t="s">
        <v>322</v>
      </c>
      <c r="G60" s="562" t="s">
        <v>462</v>
      </c>
      <c r="H60" s="562"/>
      <c r="I60" s="562" t="s">
        <v>462</v>
      </c>
      <c r="J60" s="604"/>
      <c r="K60" s="562"/>
      <c r="L60" s="604">
        <v>0.17</v>
      </c>
      <c r="M60" s="603"/>
      <c r="N60" s="602"/>
      <c r="AB60" s="537" t="s">
        <v>461</v>
      </c>
    </row>
    <row r="61" spans="1:30" s="536" customFormat="1" ht="33.75" x14ac:dyDescent="0.2">
      <c r="A61" s="605"/>
      <c r="B61" s="552" t="s">
        <v>463</v>
      </c>
      <c r="C61" s="1822" t="s">
        <v>464</v>
      </c>
      <c r="D61" s="1822"/>
      <c r="E61" s="1822"/>
      <c r="F61" s="562" t="s">
        <v>322</v>
      </c>
      <c r="G61" s="562" t="s">
        <v>465</v>
      </c>
      <c r="H61" s="562"/>
      <c r="I61" s="562" t="s">
        <v>465</v>
      </c>
      <c r="J61" s="604"/>
      <c r="K61" s="562"/>
      <c r="L61" s="604">
        <v>0.09</v>
      </c>
      <c r="M61" s="603"/>
      <c r="N61" s="602"/>
      <c r="AB61" s="537" t="s">
        <v>464</v>
      </c>
    </row>
    <row r="62" spans="1:30" s="536" customFormat="1" x14ac:dyDescent="0.2">
      <c r="A62" s="569"/>
      <c r="B62" s="683"/>
      <c r="C62" s="1823" t="s">
        <v>327</v>
      </c>
      <c r="D62" s="1823"/>
      <c r="E62" s="1823"/>
      <c r="F62" s="573"/>
      <c r="G62" s="573"/>
      <c r="H62" s="573"/>
      <c r="I62" s="573"/>
      <c r="J62" s="572"/>
      <c r="K62" s="573"/>
      <c r="L62" s="572">
        <v>1.92</v>
      </c>
      <c r="M62" s="601"/>
      <c r="N62" s="570"/>
      <c r="AD62" s="537" t="s">
        <v>327</v>
      </c>
    </row>
    <row r="63" spans="1:30" s="536" customFormat="1" ht="56.25" x14ac:dyDescent="0.2">
      <c r="A63" s="575" t="s">
        <v>187</v>
      </c>
      <c r="B63" s="684" t="s">
        <v>1358</v>
      </c>
      <c r="C63" s="1823" t="s">
        <v>1359</v>
      </c>
      <c r="D63" s="1823"/>
      <c r="E63" s="1823"/>
      <c r="F63" s="573" t="s">
        <v>455</v>
      </c>
      <c r="G63" s="573"/>
      <c r="H63" s="573"/>
      <c r="I63" s="573" t="s">
        <v>1355</v>
      </c>
      <c r="J63" s="572"/>
      <c r="K63" s="573"/>
      <c r="L63" s="572"/>
      <c r="M63" s="571"/>
      <c r="N63" s="570"/>
      <c r="X63" s="537" t="s">
        <v>1359</v>
      </c>
    </row>
    <row r="64" spans="1:30" s="536" customFormat="1" x14ac:dyDescent="0.2">
      <c r="A64" s="676"/>
      <c r="B64" s="682"/>
      <c r="C64" s="1822" t="s">
        <v>1356</v>
      </c>
      <c r="D64" s="1822"/>
      <c r="E64" s="1822"/>
      <c r="F64" s="1822"/>
      <c r="G64" s="1822"/>
      <c r="H64" s="1822"/>
      <c r="I64" s="1822"/>
      <c r="J64" s="1822"/>
      <c r="K64" s="1822"/>
      <c r="L64" s="1822"/>
      <c r="M64" s="1822"/>
      <c r="N64" s="1827"/>
      <c r="Y64" s="537" t="s">
        <v>1356</v>
      </c>
    </row>
    <row r="65" spans="1:30" s="536" customFormat="1" ht="33.75" x14ac:dyDescent="0.2">
      <c r="A65" s="609"/>
      <c r="B65" s="552" t="s">
        <v>310</v>
      </c>
      <c r="C65" s="1822" t="s">
        <v>311</v>
      </c>
      <c r="D65" s="1822"/>
      <c r="E65" s="1822"/>
      <c r="F65" s="1822"/>
      <c r="G65" s="1822"/>
      <c r="H65" s="1822"/>
      <c r="I65" s="1822"/>
      <c r="J65" s="1822"/>
      <c r="K65" s="1822"/>
      <c r="L65" s="1822"/>
      <c r="M65" s="1822"/>
      <c r="N65" s="1827"/>
      <c r="Z65" s="537" t="s">
        <v>311</v>
      </c>
    </row>
    <row r="66" spans="1:30" s="536" customFormat="1" x14ac:dyDescent="0.2">
      <c r="A66" s="605"/>
      <c r="B66" s="552" t="s">
        <v>186</v>
      </c>
      <c r="C66" s="1822" t="s">
        <v>344</v>
      </c>
      <c r="D66" s="1822"/>
      <c r="E66" s="1822"/>
      <c r="F66" s="562"/>
      <c r="G66" s="562"/>
      <c r="H66" s="562"/>
      <c r="I66" s="562"/>
      <c r="J66" s="604">
        <v>4264.99</v>
      </c>
      <c r="K66" s="562" t="s">
        <v>313</v>
      </c>
      <c r="L66" s="604">
        <v>1.28</v>
      </c>
      <c r="M66" s="603"/>
      <c r="N66" s="602"/>
      <c r="AA66" s="537" t="s">
        <v>344</v>
      </c>
    </row>
    <row r="67" spans="1:30" s="536" customFormat="1" x14ac:dyDescent="0.2">
      <c r="A67" s="605"/>
      <c r="B67" s="552" t="s">
        <v>187</v>
      </c>
      <c r="C67" s="1822" t="s">
        <v>345</v>
      </c>
      <c r="D67" s="1822"/>
      <c r="E67" s="1822"/>
      <c r="F67" s="562"/>
      <c r="G67" s="562"/>
      <c r="H67" s="562"/>
      <c r="I67" s="562"/>
      <c r="J67" s="604">
        <v>499.5</v>
      </c>
      <c r="K67" s="562" t="s">
        <v>313</v>
      </c>
      <c r="L67" s="604">
        <v>0.15</v>
      </c>
      <c r="M67" s="603"/>
      <c r="N67" s="602"/>
      <c r="AA67" s="537" t="s">
        <v>345</v>
      </c>
    </row>
    <row r="68" spans="1:30" s="536" customFormat="1" x14ac:dyDescent="0.2">
      <c r="A68" s="605"/>
      <c r="B68" s="552"/>
      <c r="C68" s="1822" t="s">
        <v>348</v>
      </c>
      <c r="D68" s="1822"/>
      <c r="E68" s="1822"/>
      <c r="F68" s="562" t="s">
        <v>315</v>
      </c>
      <c r="G68" s="562" t="s">
        <v>770</v>
      </c>
      <c r="H68" s="562" t="s">
        <v>313</v>
      </c>
      <c r="I68" s="562" t="s">
        <v>1360</v>
      </c>
      <c r="J68" s="604"/>
      <c r="K68" s="562"/>
      <c r="L68" s="604"/>
      <c r="M68" s="603"/>
      <c r="N68" s="602"/>
      <c r="AB68" s="537" t="s">
        <v>348</v>
      </c>
    </row>
    <row r="69" spans="1:30" s="536" customFormat="1" x14ac:dyDescent="0.2">
      <c r="A69" s="605"/>
      <c r="B69" s="552"/>
      <c r="C69" s="1828" t="s">
        <v>318</v>
      </c>
      <c r="D69" s="1828"/>
      <c r="E69" s="1828"/>
      <c r="F69" s="608"/>
      <c r="G69" s="608"/>
      <c r="H69" s="608"/>
      <c r="I69" s="608"/>
      <c r="J69" s="607">
        <v>4264.99</v>
      </c>
      <c r="K69" s="608"/>
      <c r="L69" s="607">
        <v>1.28</v>
      </c>
      <c r="M69" s="601"/>
      <c r="N69" s="606"/>
      <c r="AC69" s="537" t="s">
        <v>318</v>
      </c>
    </row>
    <row r="70" spans="1:30" s="536" customFormat="1" x14ac:dyDescent="0.2">
      <c r="A70" s="605"/>
      <c r="B70" s="552"/>
      <c r="C70" s="1822" t="s">
        <v>319</v>
      </c>
      <c r="D70" s="1822"/>
      <c r="E70" s="1822"/>
      <c r="F70" s="562"/>
      <c r="G70" s="562"/>
      <c r="H70" s="562"/>
      <c r="I70" s="562"/>
      <c r="J70" s="604"/>
      <c r="K70" s="562"/>
      <c r="L70" s="604">
        <v>0.15</v>
      </c>
      <c r="M70" s="603"/>
      <c r="N70" s="602"/>
      <c r="AB70" s="537" t="s">
        <v>319</v>
      </c>
    </row>
    <row r="71" spans="1:30" s="536" customFormat="1" ht="33.75" x14ac:dyDescent="0.2">
      <c r="A71" s="605"/>
      <c r="B71" s="552" t="s">
        <v>460</v>
      </c>
      <c r="C71" s="1822" t="s">
        <v>461</v>
      </c>
      <c r="D71" s="1822"/>
      <c r="E71" s="1822"/>
      <c r="F71" s="562" t="s">
        <v>322</v>
      </c>
      <c r="G71" s="562" t="s">
        <v>462</v>
      </c>
      <c r="H71" s="562"/>
      <c r="I71" s="562" t="s">
        <v>462</v>
      </c>
      <c r="J71" s="604"/>
      <c r="K71" s="562"/>
      <c r="L71" s="604">
        <v>0.14000000000000001</v>
      </c>
      <c r="M71" s="603"/>
      <c r="N71" s="602"/>
      <c r="AB71" s="537" t="s">
        <v>461</v>
      </c>
    </row>
    <row r="72" spans="1:30" s="536" customFormat="1" ht="33.75" x14ac:dyDescent="0.2">
      <c r="A72" s="605"/>
      <c r="B72" s="552" t="s">
        <v>463</v>
      </c>
      <c r="C72" s="1822" t="s">
        <v>464</v>
      </c>
      <c r="D72" s="1822"/>
      <c r="E72" s="1822"/>
      <c r="F72" s="562" t="s">
        <v>322</v>
      </c>
      <c r="G72" s="562" t="s">
        <v>465</v>
      </c>
      <c r="H72" s="562"/>
      <c r="I72" s="562" t="s">
        <v>465</v>
      </c>
      <c r="J72" s="604"/>
      <c r="K72" s="562"/>
      <c r="L72" s="604">
        <v>7.0000000000000007E-2</v>
      </c>
      <c r="M72" s="603"/>
      <c r="N72" s="602"/>
      <c r="AB72" s="537" t="s">
        <v>464</v>
      </c>
    </row>
    <row r="73" spans="1:30" s="536" customFormat="1" x14ac:dyDescent="0.2">
      <c r="A73" s="569"/>
      <c r="B73" s="683"/>
      <c r="C73" s="1823" t="s">
        <v>327</v>
      </c>
      <c r="D73" s="1823"/>
      <c r="E73" s="1823"/>
      <c r="F73" s="573"/>
      <c r="G73" s="573"/>
      <c r="H73" s="573"/>
      <c r="I73" s="573"/>
      <c r="J73" s="572"/>
      <c r="K73" s="573"/>
      <c r="L73" s="572">
        <v>1.49</v>
      </c>
      <c r="M73" s="601"/>
      <c r="N73" s="570"/>
      <c r="AD73" s="537" t="s">
        <v>327</v>
      </c>
    </row>
    <row r="74" spans="1:30" s="536" customFormat="1" ht="22.5" x14ac:dyDescent="0.2">
      <c r="A74" s="575" t="s">
        <v>188</v>
      </c>
      <c r="B74" s="684" t="s">
        <v>507</v>
      </c>
      <c r="C74" s="1823" t="s">
        <v>508</v>
      </c>
      <c r="D74" s="1823"/>
      <c r="E74" s="1823"/>
      <c r="F74" s="573" t="s">
        <v>509</v>
      </c>
      <c r="G74" s="573"/>
      <c r="H74" s="573"/>
      <c r="I74" s="573" t="s">
        <v>1361</v>
      </c>
      <c r="J74" s="572"/>
      <c r="K74" s="573"/>
      <c r="L74" s="572"/>
      <c r="M74" s="571"/>
      <c r="N74" s="570"/>
      <c r="X74" s="537" t="s">
        <v>508</v>
      </c>
    </row>
    <row r="75" spans="1:30" s="536" customFormat="1" x14ac:dyDescent="0.2">
      <c r="A75" s="676"/>
      <c r="B75" s="682"/>
      <c r="C75" s="1822" t="s">
        <v>1362</v>
      </c>
      <c r="D75" s="1822"/>
      <c r="E75" s="1822"/>
      <c r="F75" s="1822"/>
      <c r="G75" s="1822"/>
      <c r="H75" s="1822"/>
      <c r="I75" s="1822"/>
      <c r="J75" s="1822"/>
      <c r="K75" s="1822"/>
      <c r="L75" s="1822"/>
      <c r="M75" s="1822"/>
      <c r="N75" s="1827"/>
      <c r="Y75" s="537" t="s">
        <v>1362</v>
      </c>
    </row>
    <row r="76" spans="1:30" s="536" customFormat="1" ht="33.75" x14ac:dyDescent="0.2">
      <c r="A76" s="609"/>
      <c r="B76" s="552" t="s">
        <v>310</v>
      </c>
      <c r="C76" s="1822" t="s">
        <v>311</v>
      </c>
      <c r="D76" s="1822"/>
      <c r="E76" s="1822"/>
      <c r="F76" s="1822"/>
      <c r="G76" s="1822"/>
      <c r="H76" s="1822"/>
      <c r="I76" s="1822"/>
      <c r="J76" s="1822"/>
      <c r="K76" s="1822"/>
      <c r="L76" s="1822"/>
      <c r="M76" s="1822"/>
      <c r="N76" s="1827"/>
      <c r="Z76" s="537" t="s">
        <v>311</v>
      </c>
    </row>
    <row r="77" spans="1:30" s="536" customFormat="1" x14ac:dyDescent="0.2">
      <c r="A77" s="605"/>
      <c r="B77" s="552" t="s">
        <v>185</v>
      </c>
      <c r="C77" s="1822" t="s">
        <v>312</v>
      </c>
      <c r="D77" s="1822"/>
      <c r="E77" s="1822"/>
      <c r="F77" s="562"/>
      <c r="G77" s="562"/>
      <c r="H77" s="562"/>
      <c r="I77" s="562"/>
      <c r="J77" s="604">
        <v>127.61</v>
      </c>
      <c r="K77" s="562" t="s">
        <v>313</v>
      </c>
      <c r="L77" s="604">
        <v>0.38</v>
      </c>
      <c r="M77" s="603"/>
      <c r="N77" s="602"/>
      <c r="AA77" s="537" t="s">
        <v>312</v>
      </c>
    </row>
    <row r="78" spans="1:30" s="536" customFormat="1" x14ac:dyDescent="0.2">
      <c r="A78" s="605"/>
      <c r="B78" s="552" t="s">
        <v>186</v>
      </c>
      <c r="C78" s="1822" t="s">
        <v>344</v>
      </c>
      <c r="D78" s="1822"/>
      <c r="E78" s="1822"/>
      <c r="F78" s="562"/>
      <c r="G78" s="562"/>
      <c r="H78" s="562"/>
      <c r="I78" s="562"/>
      <c r="J78" s="604">
        <v>288.58</v>
      </c>
      <c r="K78" s="562" t="s">
        <v>313</v>
      </c>
      <c r="L78" s="604">
        <v>0.87</v>
      </c>
      <c r="M78" s="603"/>
      <c r="N78" s="602"/>
      <c r="AA78" s="537" t="s">
        <v>344</v>
      </c>
    </row>
    <row r="79" spans="1:30" s="536" customFormat="1" x14ac:dyDescent="0.2">
      <c r="A79" s="605"/>
      <c r="B79" s="552" t="s">
        <v>187</v>
      </c>
      <c r="C79" s="1822" t="s">
        <v>345</v>
      </c>
      <c r="D79" s="1822"/>
      <c r="E79" s="1822"/>
      <c r="F79" s="562"/>
      <c r="G79" s="562"/>
      <c r="H79" s="562"/>
      <c r="I79" s="562"/>
      <c r="J79" s="604">
        <v>31.49</v>
      </c>
      <c r="K79" s="562" t="s">
        <v>313</v>
      </c>
      <c r="L79" s="604">
        <v>0.09</v>
      </c>
      <c r="M79" s="603"/>
      <c r="N79" s="602"/>
      <c r="AA79" s="537" t="s">
        <v>345</v>
      </c>
    </row>
    <row r="80" spans="1:30" s="536" customFormat="1" x14ac:dyDescent="0.2">
      <c r="A80" s="605"/>
      <c r="B80" s="552"/>
      <c r="C80" s="1822" t="s">
        <v>314</v>
      </c>
      <c r="D80" s="1822"/>
      <c r="E80" s="1822"/>
      <c r="F80" s="562" t="s">
        <v>315</v>
      </c>
      <c r="G80" s="562" t="s">
        <v>512</v>
      </c>
      <c r="H80" s="562" t="s">
        <v>313</v>
      </c>
      <c r="I80" s="562" t="s">
        <v>1363</v>
      </c>
      <c r="J80" s="604"/>
      <c r="K80" s="562"/>
      <c r="L80" s="604"/>
      <c r="M80" s="603"/>
      <c r="N80" s="602"/>
      <c r="AB80" s="537" t="s">
        <v>314</v>
      </c>
    </row>
    <row r="81" spans="1:30" s="536" customFormat="1" x14ac:dyDescent="0.2">
      <c r="A81" s="605"/>
      <c r="B81" s="552"/>
      <c r="C81" s="1822" t="s">
        <v>348</v>
      </c>
      <c r="D81" s="1822"/>
      <c r="E81" s="1822"/>
      <c r="F81" s="562" t="s">
        <v>315</v>
      </c>
      <c r="G81" s="562" t="s">
        <v>514</v>
      </c>
      <c r="H81" s="562" t="s">
        <v>313</v>
      </c>
      <c r="I81" s="562" t="s">
        <v>1364</v>
      </c>
      <c r="J81" s="604"/>
      <c r="K81" s="562"/>
      <c r="L81" s="604"/>
      <c r="M81" s="603"/>
      <c r="N81" s="602"/>
      <c r="AB81" s="537" t="s">
        <v>348</v>
      </c>
    </row>
    <row r="82" spans="1:30" s="536" customFormat="1" x14ac:dyDescent="0.2">
      <c r="A82" s="605"/>
      <c r="B82" s="552"/>
      <c r="C82" s="1828" t="s">
        <v>318</v>
      </c>
      <c r="D82" s="1828"/>
      <c r="E82" s="1828"/>
      <c r="F82" s="608"/>
      <c r="G82" s="608"/>
      <c r="H82" s="608"/>
      <c r="I82" s="608"/>
      <c r="J82" s="607">
        <v>416.19</v>
      </c>
      <c r="K82" s="608"/>
      <c r="L82" s="607">
        <v>1.25</v>
      </c>
      <c r="M82" s="601"/>
      <c r="N82" s="606"/>
      <c r="AC82" s="537" t="s">
        <v>318</v>
      </c>
    </row>
    <row r="83" spans="1:30" s="536" customFormat="1" x14ac:dyDescent="0.2">
      <c r="A83" s="605"/>
      <c r="B83" s="552"/>
      <c r="C83" s="1822" t="s">
        <v>319</v>
      </c>
      <c r="D83" s="1822"/>
      <c r="E83" s="1822"/>
      <c r="F83" s="562"/>
      <c r="G83" s="562"/>
      <c r="H83" s="562"/>
      <c r="I83" s="562"/>
      <c r="J83" s="604"/>
      <c r="K83" s="562"/>
      <c r="L83" s="604">
        <v>0.47</v>
      </c>
      <c r="M83" s="603"/>
      <c r="N83" s="602"/>
      <c r="AB83" s="537" t="s">
        <v>319</v>
      </c>
    </row>
    <row r="84" spans="1:30" s="536" customFormat="1" ht="33.75" x14ac:dyDescent="0.2">
      <c r="A84" s="605"/>
      <c r="B84" s="552" t="s">
        <v>460</v>
      </c>
      <c r="C84" s="1822" t="s">
        <v>461</v>
      </c>
      <c r="D84" s="1822"/>
      <c r="E84" s="1822"/>
      <c r="F84" s="562" t="s">
        <v>322</v>
      </c>
      <c r="G84" s="562" t="s">
        <v>462</v>
      </c>
      <c r="H84" s="562"/>
      <c r="I84" s="562" t="s">
        <v>462</v>
      </c>
      <c r="J84" s="604"/>
      <c r="K84" s="562"/>
      <c r="L84" s="604">
        <v>0.43</v>
      </c>
      <c r="M84" s="603"/>
      <c r="N84" s="602"/>
      <c r="AB84" s="537" t="s">
        <v>461</v>
      </c>
    </row>
    <row r="85" spans="1:30" s="536" customFormat="1" ht="33.75" x14ac:dyDescent="0.2">
      <c r="A85" s="605"/>
      <c r="B85" s="552" t="s">
        <v>463</v>
      </c>
      <c r="C85" s="1822" t="s">
        <v>464</v>
      </c>
      <c r="D85" s="1822"/>
      <c r="E85" s="1822"/>
      <c r="F85" s="562" t="s">
        <v>322</v>
      </c>
      <c r="G85" s="562" t="s">
        <v>465</v>
      </c>
      <c r="H85" s="562"/>
      <c r="I85" s="562" t="s">
        <v>465</v>
      </c>
      <c r="J85" s="604"/>
      <c r="K85" s="562"/>
      <c r="L85" s="604">
        <v>0.22</v>
      </c>
      <c r="M85" s="603"/>
      <c r="N85" s="602"/>
      <c r="AB85" s="537" t="s">
        <v>464</v>
      </c>
    </row>
    <row r="86" spans="1:30" s="536" customFormat="1" x14ac:dyDescent="0.2">
      <c r="A86" s="569"/>
      <c r="B86" s="683"/>
      <c r="C86" s="1823" t="s">
        <v>327</v>
      </c>
      <c r="D86" s="1823"/>
      <c r="E86" s="1823"/>
      <c r="F86" s="573"/>
      <c r="G86" s="573"/>
      <c r="H86" s="573"/>
      <c r="I86" s="573"/>
      <c r="J86" s="572"/>
      <c r="K86" s="573"/>
      <c r="L86" s="572">
        <v>1.9</v>
      </c>
      <c r="M86" s="601"/>
      <c r="N86" s="570"/>
      <c r="AD86" s="537" t="s">
        <v>327</v>
      </c>
    </row>
    <row r="87" spans="1:30" s="536" customFormat="1" ht="45" x14ac:dyDescent="0.2">
      <c r="A87" s="575" t="s">
        <v>189</v>
      </c>
      <c r="B87" s="684" t="s">
        <v>1005</v>
      </c>
      <c r="C87" s="1823" t="s">
        <v>1006</v>
      </c>
      <c r="D87" s="1823"/>
      <c r="E87" s="1823"/>
      <c r="F87" s="573" t="s">
        <v>201</v>
      </c>
      <c r="G87" s="573"/>
      <c r="H87" s="573"/>
      <c r="I87" s="573" t="s">
        <v>1365</v>
      </c>
      <c r="J87" s="572">
        <v>2.91</v>
      </c>
      <c r="K87" s="573"/>
      <c r="L87" s="572">
        <v>40.96</v>
      </c>
      <c r="M87" s="571"/>
      <c r="N87" s="570"/>
      <c r="X87" s="537" t="s">
        <v>1006</v>
      </c>
    </row>
    <row r="88" spans="1:30" s="536" customFormat="1" x14ac:dyDescent="0.2">
      <c r="A88" s="676"/>
      <c r="B88" s="682"/>
      <c r="C88" s="1822" t="s">
        <v>1366</v>
      </c>
      <c r="D88" s="1822"/>
      <c r="E88" s="1822"/>
      <c r="F88" s="1822"/>
      <c r="G88" s="1822"/>
      <c r="H88" s="1822"/>
      <c r="I88" s="1822"/>
      <c r="J88" s="1822"/>
      <c r="K88" s="1822"/>
      <c r="L88" s="1822"/>
      <c r="M88" s="1822"/>
      <c r="N88" s="1827"/>
      <c r="Y88" s="537" t="s">
        <v>1366</v>
      </c>
    </row>
    <row r="89" spans="1:30" s="536" customFormat="1" x14ac:dyDescent="0.2">
      <c r="A89" s="1830" t="s">
        <v>1367</v>
      </c>
      <c r="B89" s="1831"/>
      <c r="C89" s="1831"/>
      <c r="D89" s="1831"/>
      <c r="E89" s="1831"/>
      <c r="F89" s="1831"/>
      <c r="G89" s="1831"/>
      <c r="H89" s="1831"/>
      <c r="I89" s="1831"/>
      <c r="J89" s="1831"/>
      <c r="K89" s="1831"/>
      <c r="L89" s="1831"/>
      <c r="M89" s="1831"/>
      <c r="N89" s="1832"/>
      <c r="W89" s="537" t="s">
        <v>1367</v>
      </c>
    </row>
    <row r="90" spans="1:30" s="536" customFormat="1" x14ac:dyDescent="0.2">
      <c r="A90" s="575" t="s">
        <v>190</v>
      </c>
      <c r="B90" s="684" t="s">
        <v>1368</v>
      </c>
      <c r="C90" s="1823" t="s">
        <v>1369</v>
      </c>
      <c r="D90" s="1823"/>
      <c r="E90" s="1823"/>
      <c r="F90" s="573" t="s">
        <v>509</v>
      </c>
      <c r="G90" s="573"/>
      <c r="H90" s="573"/>
      <c r="I90" s="573" t="s">
        <v>1370</v>
      </c>
      <c r="J90" s="572"/>
      <c r="K90" s="573"/>
      <c r="L90" s="572"/>
      <c r="M90" s="571"/>
      <c r="N90" s="570"/>
      <c r="X90" s="537" t="s">
        <v>1369</v>
      </c>
    </row>
    <row r="91" spans="1:30" s="536" customFormat="1" x14ac:dyDescent="0.2">
      <c r="A91" s="676"/>
      <c r="B91" s="682"/>
      <c r="C91" s="1822" t="s">
        <v>1371</v>
      </c>
      <c r="D91" s="1822"/>
      <c r="E91" s="1822"/>
      <c r="F91" s="1822"/>
      <c r="G91" s="1822"/>
      <c r="H91" s="1822"/>
      <c r="I91" s="1822"/>
      <c r="J91" s="1822"/>
      <c r="K91" s="1822"/>
      <c r="L91" s="1822"/>
      <c r="M91" s="1822"/>
      <c r="N91" s="1827"/>
      <c r="Y91" s="537" t="s">
        <v>1371</v>
      </c>
    </row>
    <row r="92" spans="1:30" s="536" customFormat="1" ht="33.75" x14ac:dyDescent="0.2">
      <c r="A92" s="609"/>
      <c r="B92" s="552" t="s">
        <v>310</v>
      </c>
      <c r="C92" s="1822" t="s">
        <v>311</v>
      </c>
      <c r="D92" s="1822"/>
      <c r="E92" s="1822"/>
      <c r="F92" s="1822"/>
      <c r="G92" s="1822"/>
      <c r="H92" s="1822"/>
      <c r="I92" s="1822"/>
      <c r="J92" s="1822"/>
      <c r="K92" s="1822"/>
      <c r="L92" s="1822"/>
      <c r="M92" s="1822"/>
      <c r="N92" s="1827"/>
      <c r="Z92" s="537" t="s">
        <v>311</v>
      </c>
    </row>
    <row r="93" spans="1:30" s="536" customFormat="1" x14ac:dyDescent="0.2">
      <c r="A93" s="605"/>
      <c r="B93" s="552" t="s">
        <v>185</v>
      </c>
      <c r="C93" s="1822" t="s">
        <v>312</v>
      </c>
      <c r="D93" s="1822"/>
      <c r="E93" s="1822"/>
      <c r="F93" s="562"/>
      <c r="G93" s="562"/>
      <c r="H93" s="562"/>
      <c r="I93" s="562"/>
      <c r="J93" s="604">
        <v>1053</v>
      </c>
      <c r="K93" s="562" t="s">
        <v>313</v>
      </c>
      <c r="L93" s="604">
        <v>22.9</v>
      </c>
      <c r="M93" s="603"/>
      <c r="N93" s="602"/>
      <c r="AA93" s="537" t="s">
        <v>312</v>
      </c>
    </row>
    <row r="94" spans="1:30" s="536" customFormat="1" x14ac:dyDescent="0.2">
      <c r="A94" s="605"/>
      <c r="B94" s="552" t="s">
        <v>186</v>
      </c>
      <c r="C94" s="1822" t="s">
        <v>344</v>
      </c>
      <c r="D94" s="1822"/>
      <c r="E94" s="1822"/>
      <c r="F94" s="562"/>
      <c r="G94" s="562"/>
      <c r="H94" s="562"/>
      <c r="I94" s="562"/>
      <c r="J94" s="604">
        <v>1566.06</v>
      </c>
      <c r="K94" s="562" t="s">
        <v>313</v>
      </c>
      <c r="L94" s="604">
        <v>34.06</v>
      </c>
      <c r="M94" s="603"/>
      <c r="N94" s="602"/>
      <c r="AA94" s="537" t="s">
        <v>344</v>
      </c>
    </row>
    <row r="95" spans="1:30" s="536" customFormat="1" x14ac:dyDescent="0.2">
      <c r="A95" s="605"/>
      <c r="B95" s="552" t="s">
        <v>187</v>
      </c>
      <c r="C95" s="1822" t="s">
        <v>345</v>
      </c>
      <c r="D95" s="1822"/>
      <c r="E95" s="1822"/>
      <c r="F95" s="562"/>
      <c r="G95" s="562"/>
      <c r="H95" s="562"/>
      <c r="I95" s="562"/>
      <c r="J95" s="604">
        <v>244.39</v>
      </c>
      <c r="K95" s="562" t="s">
        <v>313</v>
      </c>
      <c r="L95" s="604">
        <v>5.32</v>
      </c>
      <c r="M95" s="603"/>
      <c r="N95" s="602"/>
      <c r="AA95" s="537" t="s">
        <v>345</v>
      </c>
    </row>
    <row r="96" spans="1:30" s="536" customFormat="1" x14ac:dyDescent="0.2">
      <c r="A96" s="605"/>
      <c r="B96" s="552" t="s">
        <v>188</v>
      </c>
      <c r="C96" s="1822" t="s">
        <v>475</v>
      </c>
      <c r="D96" s="1822"/>
      <c r="E96" s="1822"/>
      <c r="F96" s="562"/>
      <c r="G96" s="562"/>
      <c r="H96" s="562"/>
      <c r="I96" s="562"/>
      <c r="J96" s="604">
        <v>909.27</v>
      </c>
      <c r="K96" s="562"/>
      <c r="L96" s="604">
        <v>15.82</v>
      </c>
      <c r="M96" s="603"/>
      <c r="N96" s="602"/>
      <c r="AA96" s="537" t="s">
        <v>475</v>
      </c>
    </row>
    <row r="97" spans="1:31" s="536" customFormat="1" x14ac:dyDescent="0.2">
      <c r="A97" s="676"/>
      <c r="B97" s="677" t="s">
        <v>639</v>
      </c>
      <c r="C97" s="1829" t="s">
        <v>640</v>
      </c>
      <c r="D97" s="1829"/>
      <c r="E97" s="1829"/>
      <c r="F97" s="678" t="s">
        <v>641</v>
      </c>
      <c r="G97" s="678" t="s">
        <v>680</v>
      </c>
      <c r="H97" s="678"/>
      <c r="I97" s="678" t="s">
        <v>1372</v>
      </c>
      <c r="J97" s="552"/>
      <c r="K97" s="562"/>
      <c r="L97" s="604"/>
      <c r="M97" s="562"/>
      <c r="N97" s="679"/>
      <c r="AE97" s="537" t="s">
        <v>640</v>
      </c>
    </row>
    <row r="98" spans="1:31" s="536" customFormat="1" x14ac:dyDescent="0.2">
      <c r="A98" s="605"/>
      <c r="B98" s="552"/>
      <c r="C98" s="1822" t="s">
        <v>314</v>
      </c>
      <c r="D98" s="1822"/>
      <c r="E98" s="1822"/>
      <c r="F98" s="562" t="s">
        <v>315</v>
      </c>
      <c r="G98" s="562" t="s">
        <v>1373</v>
      </c>
      <c r="H98" s="562" t="s">
        <v>313</v>
      </c>
      <c r="I98" s="562" t="s">
        <v>1374</v>
      </c>
      <c r="J98" s="604"/>
      <c r="K98" s="562"/>
      <c r="L98" s="604"/>
      <c r="M98" s="603"/>
      <c r="N98" s="602"/>
      <c r="AB98" s="537" t="s">
        <v>314</v>
      </c>
    </row>
    <row r="99" spans="1:31" s="536" customFormat="1" x14ac:dyDescent="0.2">
      <c r="A99" s="605"/>
      <c r="B99" s="552"/>
      <c r="C99" s="1822" t="s">
        <v>348</v>
      </c>
      <c r="D99" s="1822"/>
      <c r="E99" s="1822"/>
      <c r="F99" s="562" t="s">
        <v>315</v>
      </c>
      <c r="G99" s="562" t="s">
        <v>1375</v>
      </c>
      <c r="H99" s="562" t="s">
        <v>313</v>
      </c>
      <c r="I99" s="562" t="s">
        <v>1376</v>
      </c>
      <c r="J99" s="604"/>
      <c r="K99" s="562"/>
      <c r="L99" s="604"/>
      <c r="M99" s="603"/>
      <c r="N99" s="602"/>
      <c r="AB99" s="537" t="s">
        <v>348</v>
      </c>
    </row>
    <row r="100" spans="1:31" s="536" customFormat="1" x14ac:dyDescent="0.2">
      <c r="A100" s="605"/>
      <c r="B100" s="552"/>
      <c r="C100" s="1828" t="s">
        <v>318</v>
      </c>
      <c r="D100" s="1828"/>
      <c r="E100" s="1828"/>
      <c r="F100" s="608"/>
      <c r="G100" s="608"/>
      <c r="H100" s="608"/>
      <c r="I100" s="608"/>
      <c r="J100" s="607">
        <v>3528.33</v>
      </c>
      <c r="K100" s="608"/>
      <c r="L100" s="607">
        <v>72.78</v>
      </c>
      <c r="M100" s="601"/>
      <c r="N100" s="606"/>
      <c r="AC100" s="537" t="s">
        <v>318</v>
      </c>
    </row>
    <row r="101" spans="1:31" s="536" customFormat="1" x14ac:dyDescent="0.2">
      <c r="A101" s="605"/>
      <c r="B101" s="552"/>
      <c r="C101" s="1822" t="s">
        <v>319</v>
      </c>
      <c r="D101" s="1822"/>
      <c r="E101" s="1822"/>
      <c r="F101" s="562"/>
      <c r="G101" s="562"/>
      <c r="H101" s="562"/>
      <c r="I101" s="562"/>
      <c r="J101" s="604"/>
      <c r="K101" s="562"/>
      <c r="L101" s="604">
        <v>28.22</v>
      </c>
      <c r="M101" s="603"/>
      <c r="N101" s="602"/>
      <c r="AB101" s="537" t="s">
        <v>319</v>
      </c>
    </row>
    <row r="102" spans="1:31" s="536" customFormat="1" ht="33.75" x14ac:dyDescent="0.2">
      <c r="A102" s="605"/>
      <c r="B102" s="552" t="s">
        <v>686</v>
      </c>
      <c r="C102" s="1822" t="s">
        <v>687</v>
      </c>
      <c r="D102" s="1822"/>
      <c r="E102" s="1822"/>
      <c r="F102" s="562" t="s">
        <v>322</v>
      </c>
      <c r="G102" s="562" t="s">
        <v>680</v>
      </c>
      <c r="H102" s="562"/>
      <c r="I102" s="562" t="s">
        <v>680</v>
      </c>
      <c r="J102" s="604"/>
      <c r="K102" s="562"/>
      <c r="L102" s="604">
        <v>28.78</v>
      </c>
      <c r="M102" s="603"/>
      <c r="N102" s="602"/>
      <c r="AB102" s="537" t="s">
        <v>687</v>
      </c>
    </row>
    <row r="103" spans="1:31" s="536" customFormat="1" ht="33.75" x14ac:dyDescent="0.2">
      <c r="A103" s="605"/>
      <c r="B103" s="552" t="s">
        <v>688</v>
      </c>
      <c r="C103" s="1822" t="s">
        <v>689</v>
      </c>
      <c r="D103" s="1822"/>
      <c r="E103" s="1822"/>
      <c r="F103" s="562" t="s">
        <v>322</v>
      </c>
      <c r="G103" s="562" t="s">
        <v>690</v>
      </c>
      <c r="H103" s="562"/>
      <c r="I103" s="562" t="s">
        <v>690</v>
      </c>
      <c r="J103" s="604"/>
      <c r="K103" s="562"/>
      <c r="L103" s="604">
        <v>16.37</v>
      </c>
      <c r="M103" s="603"/>
      <c r="N103" s="602"/>
      <c r="AB103" s="537" t="s">
        <v>689</v>
      </c>
    </row>
    <row r="104" spans="1:31" s="536" customFormat="1" x14ac:dyDescent="0.2">
      <c r="A104" s="569"/>
      <c r="B104" s="683"/>
      <c r="C104" s="1823" t="s">
        <v>327</v>
      </c>
      <c r="D104" s="1823"/>
      <c r="E104" s="1823"/>
      <c r="F104" s="573"/>
      <c r="G104" s="573"/>
      <c r="H104" s="573"/>
      <c r="I104" s="573"/>
      <c r="J104" s="572"/>
      <c r="K104" s="573"/>
      <c r="L104" s="572">
        <v>117.93</v>
      </c>
      <c r="M104" s="601"/>
      <c r="N104" s="570"/>
      <c r="AD104" s="537" t="s">
        <v>327</v>
      </c>
    </row>
    <row r="105" spans="1:31" s="536" customFormat="1" ht="22.5" x14ac:dyDescent="0.2">
      <c r="A105" s="575" t="s">
        <v>191</v>
      </c>
      <c r="B105" s="684" t="s">
        <v>1377</v>
      </c>
      <c r="C105" s="1823" t="s">
        <v>1378</v>
      </c>
      <c r="D105" s="1823"/>
      <c r="E105" s="1823"/>
      <c r="F105" s="573" t="s">
        <v>641</v>
      </c>
      <c r="G105" s="573"/>
      <c r="H105" s="573"/>
      <c r="I105" s="573" t="s">
        <v>1372</v>
      </c>
      <c r="J105" s="572">
        <v>560</v>
      </c>
      <c r="K105" s="573"/>
      <c r="L105" s="572">
        <v>993.89</v>
      </c>
      <c r="M105" s="571"/>
      <c r="N105" s="570"/>
      <c r="X105" s="537" t="s">
        <v>1378</v>
      </c>
    </row>
    <row r="106" spans="1:31" s="536" customFormat="1" x14ac:dyDescent="0.2">
      <c r="A106" s="569"/>
      <c r="B106" s="683"/>
      <c r="C106" s="689" t="s">
        <v>717</v>
      </c>
      <c r="D106" s="690"/>
      <c r="E106" s="690"/>
      <c r="F106" s="563"/>
      <c r="G106" s="563"/>
      <c r="H106" s="563"/>
      <c r="I106" s="563"/>
      <c r="J106" s="566"/>
      <c r="K106" s="563"/>
      <c r="L106" s="566"/>
      <c r="M106" s="565"/>
      <c r="N106" s="564"/>
    </row>
    <row r="107" spans="1:31" s="536" customFormat="1" x14ac:dyDescent="0.2">
      <c r="A107" s="676"/>
      <c r="B107" s="682"/>
      <c r="C107" s="1822" t="s">
        <v>1379</v>
      </c>
      <c r="D107" s="1822"/>
      <c r="E107" s="1822"/>
      <c r="F107" s="1822"/>
      <c r="G107" s="1822"/>
      <c r="H107" s="1822"/>
      <c r="I107" s="1822"/>
      <c r="J107" s="1822"/>
      <c r="K107" s="1822"/>
      <c r="L107" s="1822"/>
      <c r="M107" s="1822"/>
      <c r="N107" s="1827"/>
      <c r="Y107" s="537" t="s">
        <v>1379</v>
      </c>
    </row>
    <row r="108" spans="1:31" s="536" customFormat="1" ht="22.5" x14ac:dyDescent="0.2">
      <c r="A108" s="575" t="s">
        <v>192</v>
      </c>
      <c r="B108" s="684" t="s">
        <v>1380</v>
      </c>
      <c r="C108" s="1823" t="s">
        <v>1381</v>
      </c>
      <c r="D108" s="1823"/>
      <c r="E108" s="1823"/>
      <c r="F108" s="573" t="s">
        <v>509</v>
      </c>
      <c r="G108" s="573"/>
      <c r="H108" s="573"/>
      <c r="I108" s="573" t="s">
        <v>1382</v>
      </c>
      <c r="J108" s="572"/>
      <c r="K108" s="573"/>
      <c r="L108" s="572"/>
      <c r="M108" s="571"/>
      <c r="N108" s="570"/>
      <c r="X108" s="537" t="s">
        <v>1381</v>
      </c>
    </row>
    <row r="109" spans="1:31" s="536" customFormat="1" x14ac:dyDescent="0.2">
      <c r="A109" s="676"/>
      <c r="B109" s="682"/>
      <c r="C109" s="1822" t="s">
        <v>1383</v>
      </c>
      <c r="D109" s="1822"/>
      <c r="E109" s="1822"/>
      <c r="F109" s="1822"/>
      <c r="G109" s="1822"/>
      <c r="H109" s="1822"/>
      <c r="I109" s="1822"/>
      <c r="J109" s="1822"/>
      <c r="K109" s="1822"/>
      <c r="L109" s="1822"/>
      <c r="M109" s="1822"/>
      <c r="N109" s="1827"/>
      <c r="Y109" s="537" t="s">
        <v>1383</v>
      </c>
    </row>
    <row r="110" spans="1:31" s="536" customFormat="1" ht="33.75" x14ac:dyDescent="0.2">
      <c r="A110" s="609"/>
      <c r="B110" s="552" t="s">
        <v>310</v>
      </c>
      <c r="C110" s="1822" t="s">
        <v>311</v>
      </c>
      <c r="D110" s="1822"/>
      <c r="E110" s="1822"/>
      <c r="F110" s="1822"/>
      <c r="G110" s="1822"/>
      <c r="H110" s="1822"/>
      <c r="I110" s="1822"/>
      <c r="J110" s="1822"/>
      <c r="K110" s="1822"/>
      <c r="L110" s="1822"/>
      <c r="M110" s="1822"/>
      <c r="N110" s="1827"/>
      <c r="Z110" s="537" t="s">
        <v>311</v>
      </c>
    </row>
    <row r="111" spans="1:31" s="536" customFormat="1" x14ac:dyDescent="0.2">
      <c r="A111" s="605"/>
      <c r="B111" s="552" t="s">
        <v>185</v>
      </c>
      <c r="C111" s="1822" t="s">
        <v>312</v>
      </c>
      <c r="D111" s="1822"/>
      <c r="E111" s="1822"/>
      <c r="F111" s="562"/>
      <c r="G111" s="562"/>
      <c r="H111" s="562"/>
      <c r="I111" s="562"/>
      <c r="J111" s="604">
        <v>1526.87</v>
      </c>
      <c r="K111" s="562" t="s">
        <v>313</v>
      </c>
      <c r="L111" s="604">
        <v>55.54</v>
      </c>
      <c r="M111" s="603"/>
      <c r="N111" s="602"/>
      <c r="AA111" s="537" t="s">
        <v>312</v>
      </c>
    </row>
    <row r="112" spans="1:31" s="536" customFormat="1" x14ac:dyDescent="0.2">
      <c r="A112" s="605"/>
      <c r="B112" s="552" t="s">
        <v>186</v>
      </c>
      <c r="C112" s="1822" t="s">
        <v>344</v>
      </c>
      <c r="D112" s="1822"/>
      <c r="E112" s="1822"/>
      <c r="F112" s="562"/>
      <c r="G112" s="562"/>
      <c r="H112" s="562"/>
      <c r="I112" s="562"/>
      <c r="J112" s="604">
        <v>2518.58</v>
      </c>
      <c r="K112" s="562" t="s">
        <v>313</v>
      </c>
      <c r="L112" s="604">
        <v>91.61</v>
      </c>
      <c r="M112" s="603"/>
      <c r="N112" s="602"/>
      <c r="AA112" s="537" t="s">
        <v>344</v>
      </c>
    </row>
    <row r="113" spans="1:31" s="536" customFormat="1" x14ac:dyDescent="0.2">
      <c r="A113" s="605"/>
      <c r="B113" s="552" t="s">
        <v>187</v>
      </c>
      <c r="C113" s="1822" t="s">
        <v>345</v>
      </c>
      <c r="D113" s="1822"/>
      <c r="E113" s="1822"/>
      <c r="F113" s="562"/>
      <c r="G113" s="562"/>
      <c r="H113" s="562"/>
      <c r="I113" s="562"/>
      <c r="J113" s="604">
        <v>382.14</v>
      </c>
      <c r="K113" s="562" t="s">
        <v>313</v>
      </c>
      <c r="L113" s="604">
        <v>13.9</v>
      </c>
      <c r="M113" s="603"/>
      <c r="N113" s="602"/>
      <c r="AA113" s="537" t="s">
        <v>345</v>
      </c>
    </row>
    <row r="114" spans="1:31" s="536" customFormat="1" x14ac:dyDescent="0.2">
      <c r="A114" s="605"/>
      <c r="B114" s="552" t="s">
        <v>188</v>
      </c>
      <c r="C114" s="1822" t="s">
        <v>475</v>
      </c>
      <c r="D114" s="1822"/>
      <c r="E114" s="1822"/>
      <c r="F114" s="562"/>
      <c r="G114" s="562"/>
      <c r="H114" s="562"/>
      <c r="I114" s="562"/>
      <c r="J114" s="604">
        <v>488.42</v>
      </c>
      <c r="K114" s="562"/>
      <c r="L114" s="604">
        <v>14.21</v>
      </c>
      <c r="M114" s="603"/>
      <c r="N114" s="602"/>
      <c r="AA114" s="537" t="s">
        <v>475</v>
      </c>
    </row>
    <row r="115" spans="1:31" s="536" customFormat="1" x14ac:dyDescent="0.2">
      <c r="A115" s="676"/>
      <c r="B115" s="677" t="s">
        <v>639</v>
      </c>
      <c r="C115" s="1829" t="s">
        <v>640</v>
      </c>
      <c r="D115" s="1829"/>
      <c r="E115" s="1829"/>
      <c r="F115" s="678" t="s">
        <v>641</v>
      </c>
      <c r="G115" s="678" t="s">
        <v>1384</v>
      </c>
      <c r="H115" s="678"/>
      <c r="I115" s="678" t="s">
        <v>1385</v>
      </c>
      <c r="J115" s="552"/>
      <c r="K115" s="562"/>
      <c r="L115" s="604"/>
      <c r="M115" s="562"/>
      <c r="N115" s="679"/>
      <c r="AE115" s="537" t="s">
        <v>640</v>
      </c>
    </row>
    <row r="116" spans="1:31" s="536" customFormat="1" x14ac:dyDescent="0.2">
      <c r="A116" s="676"/>
      <c r="B116" s="677" t="s">
        <v>1272</v>
      </c>
      <c r="C116" s="1829" t="s">
        <v>1273</v>
      </c>
      <c r="D116" s="1829"/>
      <c r="E116" s="1829"/>
      <c r="F116" s="678" t="s">
        <v>694</v>
      </c>
      <c r="G116" s="678" t="s">
        <v>1386</v>
      </c>
      <c r="H116" s="678"/>
      <c r="I116" s="678" t="s">
        <v>1387</v>
      </c>
      <c r="J116" s="552"/>
      <c r="K116" s="562"/>
      <c r="L116" s="604"/>
      <c r="M116" s="562"/>
      <c r="N116" s="679"/>
      <c r="AE116" s="537" t="s">
        <v>1273</v>
      </c>
    </row>
    <row r="117" spans="1:31" s="536" customFormat="1" x14ac:dyDescent="0.2">
      <c r="A117" s="605"/>
      <c r="B117" s="552"/>
      <c r="C117" s="1822" t="s">
        <v>314</v>
      </c>
      <c r="D117" s="1822"/>
      <c r="E117" s="1822"/>
      <c r="F117" s="562" t="s">
        <v>315</v>
      </c>
      <c r="G117" s="562" t="s">
        <v>1388</v>
      </c>
      <c r="H117" s="562" t="s">
        <v>313</v>
      </c>
      <c r="I117" s="562" t="s">
        <v>1389</v>
      </c>
      <c r="J117" s="604"/>
      <c r="K117" s="562"/>
      <c r="L117" s="604"/>
      <c r="M117" s="603"/>
      <c r="N117" s="602"/>
      <c r="AB117" s="537" t="s">
        <v>314</v>
      </c>
    </row>
    <row r="118" spans="1:31" s="536" customFormat="1" x14ac:dyDescent="0.2">
      <c r="A118" s="605"/>
      <c r="B118" s="552"/>
      <c r="C118" s="1822" t="s">
        <v>348</v>
      </c>
      <c r="D118" s="1822"/>
      <c r="E118" s="1822"/>
      <c r="F118" s="562" t="s">
        <v>315</v>
      </c>
      <c r="G118" s="562" t="s">
        <v>1390</v>
      </c>
      <c r="H118" s="562" t="s">
        <v>313</v>
      </c>
      <c r="I118" s="562" t="s">
        <v>1391</v>
      </c>
      <c r="J118" s="604"/>
      <c r="K118" s="562"/>
      <c r="L118" s="604"/>
      <c r="M118" s="603"/>
      <c r="N118" s="602"/>
      <c r="AB118" s="537" t="s">
        <v>348</v>
      </c>
    </row>
    <row r="119" spans="1:31" s="536" customFormat="1" x14ac:dyDescent="0.2">
      <c r="A119" s="605"/>
      <c r="B119" s="552"/>
      <c r="C119" s="1828" t="s">
        <v>318</v>
      </c>
      <c r="D119" s="1828"/>
      <c r="E119" s="1828"/>
      <c r="F119" s="608"/>
      <c r="G119" s="608"/>
      <c r="H119" s="608"/>
      <c r="I119" s="608"/>
      <c r="J119" s="607">
        <v>4533.87</v>
      </c>
      <c r="K119" s="608"/>
      <c r="L119" s="607">
        <v>161.36000000000001</v>
      </c>
      <c r="M119" s="601"/>
      <c r="N119" s="606"/>
      <c r="AC119" s="537" t="s">
        <v>318</v>
      </c>
    </row>
    <row r="120" spans="1:31" s="536" customFormat="1" x14ac:dyDescent="0.2">
      <c r="A120" s="605"/>
      <c r="B120" s="552"/>
      <c r="C120" s="1822" t="s">
        <v>319</v>
      </c>
      <c r="D120" s="1822"/>
      <c r="E120" s="1822"/>
      <c r="F120" s="562"/>
      <c r="G120" s="562"/>
      <c r="H120" s="562"/>
      <c r="I120" s="562"/>
      <c r="J120" s="604"/>
      <c r="K120" s="562"/>
      <c r="L120" s="604">
        <v>69.44</v>
      </c>
      <c r="M120" s="603"/>
      <c r="N120" s="602"/>
      <c r="AB120" s="537" t="s">
        <v>319</v>
      </c>
    </row>
    <row r="121" spans="1:31" s="536" customFormat="1" ht="33.75" x14ac:dyDescent="0.2">
      <c r="A121" s="605"/>
      <c r="B121" s="552" t="s">
        <v>686</v>
      </c>
      <c r="C121" s="1822" t="s">
        <v>687</v>
      </c>
      <c r="D121" s="1822"/>
      <c r="E121" s="1822"/>
      <c r="F121" s="562" t="s">
        <v>322</v>
      </c>
      <c r="G121" s="562" t="s">
        <v>680</v>
      </c>
      <c r="H121" s="562"/>
      <c r="I121" s="562" t="s">
        <v>680</v>
      </c>
      <c r="J121" s="604"/>
      <c r="K121" s="562"/>
      <c r="L121" s="604">
        <v>70.83</v>
      </c>
      <c r="M121" s="603"/>
      <c r="N121" s="602"/>
      <c r="AB121" s="537" t="s">
        <v>687</v>
      </c>
    </row>
    <row r="122" spans="1:31" s="536" customFormat="1" ht="33.75" x14ac:dyDescent="0.2">
      <c r="A122" s="605"/>
      <c r="B122" s="552" t="s">
        <v>688</v>
      </c>
      <c r="C122" s="1822" t="s">
        <v>689</v>
      </c>
      <c r="D122" s="1822"/>
      <c r="E122" s="1822"/>
      <c r="F122" s="562" t="s">
        <v>322</v>
      </c>
      <c r="G122" s="562" t="s">
        <v>690</v>
      </c>
      <c r="H122" s="562"/>
      <c r="I122" s="562" t="s">
        <v>690</v>
      </c>
      <c r="J122" s="604"/>
      <c r="K122" s="562"/>
      <c r="L122" s="604">
        <v>40.28</v>
      </c>
      <c r="M122" s="603"/>
      <c r="N122" s="602"/>
      <c r="AB122" s="537" t="s">
        <v>689</v>
      </c>
    </row>
    <row r="123" spans="1:31" s="536" customFormat="1" x14ac:dyDescent="0.2">
      <c r="A123" s="569"/>
      <c r="B123" s="683"/>
      <c r="C123" s="1823" t="s">
        <v>327</v>
      </c>
      <c r="D123" s="1823"/>
      <c r="E123" s="1823"/>
      <c r="F123" s="573"/>
      <c r="G123" s="573"/>
      <c r="H123" s="573"/>
      <c r="I123" s="573"/>
      <c r="J123" s="572"/>
      <c r="K123" s="573"/>
      <c r="L123" s="572">
        <v>272.47000000000003</v>
      </c>
      <c r="M123" s="601"/>
      <c r="N123" s="570"/>
      <c r="AD123" s="537" t="s">
        <v>327</v>
      </c>
    </row>
    <row r="124" spans="1:31" s="536" customFormat="1" ht="22.5" x14ac:dyDescent="0.2">
      <c r="A124" s="575" t="s">
        <v>193</v>
      </c>
      <c r="B124" s="684" t="s">
        <v>1392</v>
      </c>
      <c r="C124" s="1823" t="s">
        <v>1393</v>
      </c>
      <c r="D124" s="1823"/>
      <c r="E124" s="1823"/>
      <c r="F124" s="573" t="s">
        <v>641</v>
      </c>
      <c r="G124" s="573"/>
      <c r="H124" s="573"/>
      <c r="I124" s="573" t="s">
        <v>1394</v>
      </c>
      <c r="J124" s="572">
        <v>725.69</v>
      </c>
      <c r="K124" s="573"/>
      <c r="L124" s="572">
        <v>2143.4699999999998</v>
      </c>
      <c r="M124" s="571"/>
      <c r="N124" s="570"/>
      <c r="X124" s="537" t="s">
        <v>1393</v>
      </c>
    </row>
    <row r="125" spans="1:31" s="536" customFormat="1" x14ac:dyDescent="0.2">
      <c r="A125" s="569"/>
      <c r="B125" s="683"/>
      <c r="C125" s="689" t="s">
        <v>717</v>
      </c>
      <c r="D125" s="690"/>
      <c r="E125" s="690"/>
      <c r="F125" s="563"/>
      <c r="G125" s="563"/>
      <c r="H125" s="563"/>
      <c r="I125" s="563"/>
      <c r="J125" s="566"/>
      <c r="K125" s="563"/>
      <c r="L125" s="566"/>
      <c r="M125" s="565"/>
      <c r="N125" s="564"/>
    </row>
    <row r="126" spans="1:31" s="536" customFormat="1" x14ac:dyDescent="0.2">
      <c r="A126" s="676"/>
      <c r="B126" s="682"/>
      <c r="C126" s="1822" t="s">
        <v>1395</v>
      </c>
      <c r="D126" s="1822"/>
      <c r="E126" s="1822"/>
      <c r="F126" s="1822"/>
      <c r="G126" s="1822"/>
      <c r="H126" s="1822"/>
      <c r="I126" s="1822"/>
      <c r="J126" s="1822"/>
      <c r="K126" s="1822"/>
      <c r="L126" s="1822"/>
      <c r="M126" s="1822"/>
      <c r="N126" s="1827"/>
      <c r="Y126" s="537" t="s">
        <v>1395</v>
      </c>
    </row>
    <row r="127" spans="1:31" s="536" customFormat="1" ht="33.75" x14ac:dyDescent="0.2">
      <c r="A127" s="575" t="s">
        <v>194</v>
      </c>
      <c r="B127" s="684" t="s">
        <v>657</v>
      </c>
      <c r="C127" s="1823" t="s">
        <v>1396</v>
      </c>
      <c r="D127" s="1823"/>
      <c r="E127" s="1823"/>
      <c r="F127" s="573" t="s">
        <v>641</v>
      </c>
      <c r="G127" s="573"/>
      <c r="H127" s="573"/>
      <c r="I127" s="573" t="s">
        <v>1397</v>
      </c>
      <c r="J127" s="572">
        <v>9.69</v>
      </c>
      <c r="K127" s="573"/>
      <c r="L127" s="572">
        <v>28.2</v>
      </c>
      <c r="M127" s="571"/>
      <c r="N127" s="570"/>
      <c r="X127" s="537" t="s">
        <v>1396</v>
      </c>
    </row>
    <row r="128" spans="1:31" s="536" customFormat="1" x14ac:dyDescent="0.2">
      <c r="A128" s="569"/>
      <c r="B128" s="683"/>
      <c r="C128" s="689" t="s">
        <v>717</v>
      </c>
      <c r="D128" s="690"/>
      <c r="E128" s="690"/>
      <c r="F128" s="563"/>
      <c r="G128" s="563"/>
      <c r="H128" s="563"/>
      <c r="I128" s="563"/>
      <c r="J128" s="566"/>
      <c r="K128" s="563"/>
      <c r="L128" s="566"/>
      <c r="M128" s="565"/>
      <c r="N128" s="564"/>
    </row>
    <row r="129" spans="1:32" s="536" customFormat="1" x14ac:dyDescent="0.2">
      <c r="A129" s="676"/>
      <c r="B129" s="682"/>
      <c r="C129" s="1822" t="s">
        <v>1398</v>
      </c>
      <c r="D129" s="1822"/>
      <c r="E129" s="1822"/>
      <c r="F129" s="1822"/>
      <c r="G129" s="1822"/>
      <c r="H129" s="1822"/>
      <c r="I129" s="1822"/>
      <c r="J129" s="1822"/>
      <c r="K129" s="1822"/>
      <c r="L129" s="1822"/>
      <c r="M129" s="1822"/>
      <c r="N129" s="1827"/>
      <c r="Y129" s="537" t="s">
        <v>1398</v>
      </c>
    </row>
    <row r="130" spans="1:32" s="536" customFormat="1" x14ac:dyDescent="0.2">
      <c r="A130" s="676"/>
      <c r="B130" s="682"/>
      <c r="C130" s="1822" t="s">
        <v>1399</v>
      </c>
      <c r="D130" s="1822"/>
      <c r="E130" s="1822"/>
      <c r="F130" s="1822"/>
      <c r="G130" s="1822"/>
      <c r="H130" s="1822"/>
      <c r="I130" s="1822"/>
      <c r="J130" s="1822"/>
      <c r="K130" s="1822"/>
      <c r="L130" s="1822"/>
      <c r="M130" s="1822"/>
      <c r="N130" s="1827"/>
      <c r="AF130" s="537" t="s">
        <v>1399</v>
      </c>
    </row>
    <row r="131" spans="1:32" s="536" customFormat="1" ht="22.5" x14ac:dyDescent="0.2">
      <c r="A131" s="575" t="s">
        <v>195</v>
      </c>
      <c r="B131" s="684" t="s">
        <v>1400</v>
      </c>
      <c r="C131" s="1823" t="s">
        <v>1401</v>
      </c>
      <c r="D131" s="1823"/>
      <c r="E131" s="1823"/>
      <c r="F131" s="573" t="s">
        <v>694</v>
      </c>
      <c r="G131" s="573"/>
      <c r="H131" s="573"/>
      <c r="I131" s="573" t="s">
        <v>1402</v>
      </c>
      <c r="J131" s="572">
        <v>5584.58</v>
      </c>
      <c r="K131" s="573"/>
      <c r="L131" s="572">
        <v>2180.7800000000002</v>
      </c>
      <c r="M131" s="571"/>
      <c r="N131" s="570"/>
      <c r="X131" s="537" t="s">
        <v>1401</v>
      </c>
    </row>
    <row r="132" spans="1:32" s="536" customFormat="1" x14ac:dyDescent="0.2">
      <c r="A132" s="569"/>
      <c r="B132" s="683"/>
      <c r="C132" s="689" t="s">
        <v>717</v>
      </c>
      <c r="D132" s="690"/>
      <c r="E132" s="690"/>
      <c r="F132" s="563"/>
      <c r="G132" s="563"/>
      <c r="H132" s="563"/>
      <c r="I132" s="563"/>
      <c r="J132" s="566"/>
      <c r="K132" s="563"/>
      <c r="L132" s="566"/>
      <c r="M132" s="565"/>
      <c r="N132" s="564"/>
    </row>
    <row r="133" spans="1:32" s="536" customFormat="1" x14ac:dyDescent="0.2">
      <c r="A133" s="676"/>
      <c r="B133" s="682"/>
      <c r="C133" s="1822" t="s">
        <v>1403</v>
      </c>
      <c r="D133" s="1822"/>
      <c r="E133" s="1822"/>
      <c r="F133" s="1822"/>
      <c r="G133" s="1822"/>
      <c r="H133" s="1822"/>
      <c r="I133" s="1822"/>
      <c r="J133" s="1822"/>
      <c r="K133" s="1822"/>
      <c r="L133" s="1822"/>
      <c r="M133" s="1822"/>
      <c r="N133" s="1827"/>
      <c r="Y133" s="537" t="s">
        <v>1403</v>
      </c>
    </row>
    <row r="134" spans="1:32" s="536" customFormat="1" ht="22.5" x14ac:dyDescent="0.2">
      <c r="A134" s="575" t="s">
        <v>196</v>
      </c>
      <c r="B134" s="684" t="s">
        <v>1404</v>
      </c>
      <c r="C134" s="1823" t="s">
        <v>1405</v>
      </c>
      <c r="D134" s="1823"/>
      <c r="E134" s="1823"/>
      <c r="F134" s="573" t="s">
        <v>694</v>
      </c>
      <c r="G134" s="573"/>
      <c r="H134" s="573"/>
      <c r="I134" s="573" t="s">
        <v>1406</v>
      </c>
      <c r="J134" s="572"/>
      <c r="K134" s="573"/>
      <c r="L134" s="572"/>
      <c r="M134" s="571"/>
      <c r="N134" s="570"/>
      <c r="X134" s="537" t="s">
        <v>1405</v>
      </c>
    </row>
    <row r="135" spans="1:32" s="536" customFormat="1" x14ac:dyDescent="0.2">
      <c r="A135" s="676"/>
      <c r="B135" s="682"/>
      <c r="C135" s="1822" t="s">
        <v>1407</v>
      </c>
      <c r="D135" s="1822"/>
      <c r="E135" s="1822"/>
      <c r="F135" s="1822"/>
      <c r="G135" s="1822"/>
      <c r="H135" s="1822"/>
      <c r="I135" s="1822"/>
      <c r="J135" s="1822"/>
      <c r="K135" s="1822"/>
      <c r="L135" s="1822"/>
      <c r="M135" s="1822"/>
      <c r="N135" s="1827"/>
      <c r="Y135" s="537" t="s">
        <v>1407</v>
      </c>
    </row>
    <row r="136" spans="1:32" s="536" customFormat="1" ht="33.75" x14ac:dyDescent="0.2">
      <c r="A136" s="609"/>
      <c r="B136" s="552" t="s">
        <v>310</v>
      </c>
      <c r="C136" s="1822" t="s">
        <v>311</v>
      </c>
      <c r="D136" s="1822"/>
      <c r="E136" s="1822"/>
      <c r="F136" s="1822"/>
      <c r="G136" s="1822"/>
      <c r="H136" s="1822"/>
      <c r="I136" s="1822"/>
      <c r="J136" s="1822"/>
      <c r="K136" s="1822"/>
      <c r="L136" s="1822"/>
      <c r="M136" s="1822"/>
      <c r="N136" s="1827"/>
      <c r="Z136" s="537" t="s">
        <v>311</v>
      </c>
    </row>
    <row r="137" spans="1:32" s="536" customFormat="1" x14ac:dyDescent="0.2">
      <c r="A137" s="605"/>
      <c r="B137" s="552" t="s">
        <v>185</v>
      </c>
      <c r="C137" s="1822" t="s">
        <v>312</v>
      </c>
      <c r="D137" s="1822"/>
      <c r="E137" s="1822"/>
      <c r="F137" s="562"/>
      <c r="G137" s="562"/>
      <c r="H137" s="562"/>
      <c r="I137" s="562"/>
      <c r="J137" s="604">
        <v>526.05999999999995</v>
      </c>
      <c r="K137" s="562" t="s">
        <v>313</v>
      </c>
      <c r="L137" s="604">
        <v>33.799999999999997</v>
      </c>
      <c r="M137" s="603"/>
      <c r="N137" s="602"/>
      <c r="AA137" s="537" t="s">
        <v>312</v>
      </c>
    </row>
    <row r="138" spans="1:32" s="536" customFormat="1" x14ac:dyDescent="0.2">
      <c r="A138" s="605"/>
      <c r="B138" s="552" t="s">
        <v>186</v>
      </c>
      <c r="C138" s="1822" t="s">
        <v>344</v>
      </c>
      <c r="D138" s="1822"/>
      <c r="E138" s="1822"/>
      <c r="F138" s="562"/>
      <c r="G138" s="562"/>
      <c r="H138" s="562"/>
      <c r="I138" s="562"/>
      <c r="J138" s="604">
        <v>28.64</v>
      </c>
      <c r="K138" s="562" t="s">
        <v>313</v>
      </c>
      <c r="L138" s="604">
        <v>1.84</v>
      </c>
      <c r="M138" s="603"/>
      <c r="N138" s="602"/>
      <c r="AA138" s="537" t="s">
        <v>344</v>
      </c>
    </row>
    <row r="139" spans="1:32" s="536" customFormat="1" x14ac:dyDescent="0.2">
      <c r="A139" s="605"/>
      <c r="B139" s="552" t="s">
        <v>187</v>
      </c>
      <c r="C139" s="1822" t="s">
        <v>345</v>
      </c>
      <c r="D139" s="1822"/>
      <c r="E139" s="1822"/>
      <c r="F139" s="562"/>
      <c r="G139" s="562"/>
      <c r="H139" s="562"/>
      <c r="I139" s="562"/>
      <c r="J139" s="604">
        <v>4.09</v>
      </c>
      <c r="K139" s="562" t="s">
        <v>313</v>
      </c>
      <c r="L139" s="604">
        <v>0.26</v>
      </c>
      <c r="M139" s="603"/>
      <c r="N139" s="602"/>
      <c r="AA139" s="537" t="s">
        <v>345</v>
      </c>
    </row>
    <row r="140" spans="1:32" s="536" customFormat="1" x14ac:dyDescent="0.2">
      <c r="A140" s="676"/>
      <c r="B140" s="677" t="s">
        <v>1408</v>
      </c>
      <c r="C140" s="1829" t="s">
        <v>1409</v>
      </c>
      <c r="D140" s="1829"/>
      <c r="E140" s="1829"/>
      <c r="F140" s="678" t="s">
        <v>694</v>
      </c>
      <c r="G140" s="678" t="s">
        <v>185</v>
      </c>
      <c r="H140" s="678"/>
      <c r="I140" s="678" t="s">
        <v>1406</v>
      </c>
      <c r="J140" s="552"/>
      <c r="K140" s="562"/>
      <c r="L140" s="604"/>
      <c r="M140" s="562"/>
      <c r="N140" s="679"/>
      <c r="AE140" s="537" t="s">
        <v>1409</v>
      </c>
    </row>
    <row r="141" spans="1:32" s="536" customFormat="1" x14ac:dyDescent="0.2">
      <c r="A141" s="605"/>
      <c r="B141" s="552"/>
      <c r="C141" s="1822" t="s">
        <v>314</v>
      </c>
      <c r="D141" s="1822"/>
      <c r="E141" s="1822"/>
      <c r="F141" s="562" t="s">
        <v>315</v>
      </c>
      <c r="G141" s="562" t="s">
        <v>690</v>
      </c>
      <c r="H141" s="562" t="s">
        <v>313</v>
      </c>
      <c r="I141" s="562" t="s">
        <v>1410</v>
      </c>
      <c r="J141" s="604"/>
      <c r="K141" s="562"/>
      <c r="L141" s="604"/>
      <c r="M141" s="603"/>
      <c r="N141" s="602"/>
      <c r="AB141" s="537" t="s">
        <v>314</v>
      </c>
    </row>
    <row r="142" spans="1:32" s="536" customFormat="1" x14ac:dyDescent="0.2">
      <c r="A142" s="605"/>
      <c r="B142" s="552"/>
      <c r="C142" s="1822" t="s">
        <v>348</v>
      </c>
      <c r="D142" s="1822"/>
      <c r="E142" s="1822"/>
      <c r="F142" s="562" t="s">
        <v>315</v>
      </c>
      <c r="G142" s="562" t="s">
        <v>1411</v>
      </c>
      <c r="H142" s="562" t="s">
        <v>313</v>
      </c>
      <c r="I142" s="562" t="s">
        <v>1412</v>
      </c>
      <c r="J142" s="604"/>
      <c r="K142" s="562"/>
      <c r="L142" s="604"/>
      <c r="M142" s="603"/>
      <c r="N142" s="602"/>
      <c r="AB142" s="537" t="s">
        <v>348</v>
      </c>
    </row>
    <row r="143" spans="1:32" s="536" customFormat="1" x14ac:dyDescent="0.2">
      <c r="A143" s="605"/>
      <c r="B143" s="552"/>
      <c r="C143" s="1828" t="s">
        <v>318</v>
      </c>
      <c r="D143" s="1828"/>
      <c r="E143" s="1828"/>
      <c r="F143" s="608"/>
      <c r="G143" s="608"/>
      <c r="H143" s="608"/>
      <c r="I143" s="608"/>
      <c r="J143" s="607">
        <v>554.70000000000005</v>
      </c>
      <c r="K143" s="608"/>
      <c r="L143" s="607">
        <v>35.64</v>
      </c>
      <c r="M143" s="601"/>
      <c r="N143" s="606"/>
      <c r="AC143" s="537" t="s">
        <v>318</v>
      </c>
    </row>
    <row r="144" spans="1:32" s="536" customFormat="1" x14ac:dyDescent="0.2">
      <c r="A144" s="605"/>
      <c r="B144" s="552"/>
      <c r="C144" s="1822" t="s">
        <v>319</v>
      </c>
      <c r="D144" s="1822"/>
      <c r="E144" s="1822"/>
      <c r="F144" s="562"/>
      <c r="G144" s="562"/>
      <c r="H144" s="562"/>
      <c r="I144" s="562"/>
      <c r="J144" s="604"/>
      <c r="K144" s="562"/>
      <c r="L144" s="604">
        <v>34.06</v>
      </c>
      <c r="M144" s="603"/>
      <c r="N144" s="602"/>
      <c r="AB144" s="537" t="s">
        <v>319</v>
      </c>
    </row>
    <row r="145" spans="1:31" s="536" customFormat="1" ht="33.75" x14ac:dyDescent="0.2">
      <c r="A145" s="605"/>
      <c r="B145" s="552" t="s">
        <v>686</v>
      </c>
      <c r="C145" s="1822" t="s">
        <v>687</v>
      </c>
      <c r="D145" s="1822"/>
      <c r="E145" s="1822"/>
      <c r="F145" s="562" t="s">
        <v>322</v>
      </c>
      <c r="G145" s="562" t="s">
        <v>680</v>
      </c>
      <c r="H145" s="562"/>
      <c r="I145" s="562" t="s">
        <v>680</v>
      </c>
      <c r="J145" s="604"/>
      <c r="K145" s="562"/>
      <c r="L145" s="604">
        <v>34.74</v>
      </c>
      <c r="M145" s="603"/>
      <c r="N145" s="602"/>
      <c r="AB145" s="537" t="s">
        <v>687</v>
      </c>
    </row>
    <row r="146" spans="1:31" s="536" customFormat="1" ht="33.75" x14ac:dyDescent="0.2">
      <c r="A146" s="605"/>
      <c r="B146" s="552" t="s">
        <v>688</v>
      </c>
      <c r="C146" s="1822" t="s">
        <v>689</v>
      </c>
      <c r="D146" s="1822"/>
      <c r="E146" s="1822"/>
      <c r="F146" s="562" t="s">
        <v>322</v>
      </c>
      <c r="G146" s="562" t="s">
        <v>690</v>
      </c>
      <c r="H146" s="562"/>
      <c r="I146" s="562" t="s">
        <v>690</v>
      </c>
      <c r="J146" s="604"/>
      <c r="K146" s="562"/>
      <c r="L146" s="604">
        <v>19.75</v>
      </c>
      <c r="M146" s="603"/>
      <c r="N146" s="602"/>
      <c r="AB146" s="537" t="s">
        <v>689</v>
      </c>
    </row>
    <row r="147" spans="1:31" s="536" customFormat="1" x14ac:dyDescent="0.2">
      <c r="A147" s="569"/>
      <c r="B147" s="683"/>
      <c r="C147" s="1823" t="s">
        <v>327</v>
      </c>
      <c r="D147" s="1823"/>
      <c r="E147" s="1823"/>
      <c r="F147" s="573"/>
      <c r="G147" s="573"/>
      <c r="H147" s="573"/>
      <c r="I147" s="573"/>
      <c r="J147" s="572"/>
      <c r="K147" s="573"/>
      <c r="L147" s="572">
        <v>90.13</v>
      </c>
      <c r="M147" s="601"/>
      <c r="N147" s="570"/>
      <c r="AD147" s="537" t="s">
        <v>327</v>
      </c>
    </row>
    <row r="148" spans="1:31" s="536" customFormat="1" ht="67.5" x14ac:dyDescent="0.2">
      <c r="A148" s="575" t="s">
        <v>197</v>
      </c>
      <c r="B148" s="684" t="s">
        <v>1413</v>
      </c>
      <c r="C148" s="1823" t="s">
        <v>1414</v>
      </c>
      <c r="D148" s="1823"/>
      <c r="E148" s="1823"/>
      <c r="F148" s="573" t="s">
        <v>694</v>
      </c>
      <c r="G148" s="573"/>
      <c r="H148" s="573"/>
      <c r="I148" s="573" t="s">
        <v>1406</v>
      </c>
      <c r="J148" s="572">
        <v>6800</v>
      </c>
      <c r="K148" s="573"/>
      <c r="L148" s="572">
        <v>349.52</v>
      </c>
      <c r="M148" s="571"/>
      <c r="N148" s="570"/>
      <c r="X148" s="537" t="s">
        <v>1414</v>
      </c>
    </row>
    <row r="149" spans="1:31" s="536" customFormat="1" x14ac:dyDescent="0.2">
      <c r="A149" s="569"/>
      <c r="B149" s="683"/>
      <c r="C149" s="689" t="s">
        <v>717</v>
      </c>
      <c r="D149" s="690"/>
      <c r="E149" s="690"/>
      <c r="F149" s="563"/>
      <c r="G149" s="563"/>
      <c r="H149" s="563"/>
      <c r="I149" s="563"/>
      <c r="J149" s="566"/>
      <c r="K149" s="563"/>
      <c r="L149" s="566"/>
      <c r="M149" s="565"/>
      <c r="N149" s="564"/>
    </row>
    <row r="150" spans="1:31" s="536" customFormat="1" x14ac:dyDescent="0.2">
      <c r="A150" s="676"/>
      <c r="B150" s="682"/>
      <c r="C150" s="1822" t="s">
        <v>1415</v>
      </c>
      <c r="D150" s="1822"/>
      <c r="E150" s="1822"/>
      <c r="F150" s="1822"/>
      <c r="G150" s="1822"/>
      <c r="H150" s="1822"/>
      <c r="I150" s="1822"/>
      <c r="J150" s="1822"/>
      <c r="K150" s="1822"/>
      <c r="L150" s="1822"/>
      <c r="M150" s="1822"/>
      <c r="N150" s="1827"/>
      <c r="Y150" s="537" t="s">
        <v>1415</v>
      </c>
    </row>
    <row r="151" spans="1:31" s="536" customFormat="1" ht="33.75" x14ac:dyDescent="0.2">
      <c r="A151" s="575" t="s">
        <v>198</v>
      </c>
      <c r="B151" s="684" t="s">
        <v>1416</v>
      </c>
      <c r="C151" s="1823" t="s">
        <v>1417</v>
      </c>
      <c r="D151" s="1823"/>
      <c r="E151" s="1823"/>
      <c r="F151" s="573" t="s">
        <v>862</v>
      </c>
      <c r="G151" s="573"/>
      <c r="H151" s="573"/>
      <c r="I151" s="573" t="s">
        <v>1418</v>
      </c>
      <c r="J151" s="572"/>
      <c r="K151" s="573"/>
      <c r="L151" s="572"/>
      <c r="M151" s="571"/>
      <c r="N151" s="570"/>
      <c r="X151" s="537" t="s">
        <v>1417</v>
      </c>
    </row>
    <row r="152" spans="1:31" s="536" customFormat="1" x14ac:dyDescent="0.2">
      <c r="A152" s="676"/>
      <c r="B152" s="682"/>
      <c r="C152" s="1822" t="s">
        <v>1419</v>
      </c>
      <c r="D152" s="1822"/>
      <c r="E152" s="1822"/>
      <c r="F152" s="1822"/>
      <c r="G152" s="1822"/>
      <c r="H152" s="1822"/>
      <c r="I152" s="1822"/>
      <c r="J152" s="1822"/>
      <c r="K152" s="1822"/>
      <c r="L152" s="1822"/>
      <c r="M152" s="1822"/>
      <c r="N152" s="1827"/>
      <c r="Y152" s="537" t="s">
        <v>1419</v>
      </c>
    </row>
    <row r="153" spans="1:31" s="536" customFormat="1" ht="33.75" x14ac:dyDescent="0.2">
      <c r="A153" s="609"/>
      <c r="B153" s="552" t="s">
        <v>310</v>
      </c>
      <c r="C153" s="1822" t="s">
        <v>311</v>
      </c>
      <c r="D153" s="1822"/>
      <c r="E153" s="1822"/>
      <c r="F153" s="1822"/>
      <c r="G153" s="1822"/>
      <c r="H153" s="1822"/>
      <c r="I153" s="1822"/>
      <c r="J153" s="1822"/>
      <c r="K153" s="1822"/>
      <c r="L153" s="1822"/>
      <c r="M153" s="1822"/>
      <c r="N153" s="1827"/>
      <c r="Z153" s="537" t="s">
        <v>311</v>
      </c>
    </row>
    <row r="154" spans="1:31" s="536" customFormat="1" x14ac:dyDescent="0.2">
      <c r="A154" s="605"/>
      <c r="B154" s="552" t="s">
        <v>185</v>
      </c>
      <c r="C154" s="1822" t="s">
        <v>312</v>
      </c>
      <c r="D154" s="1822"/>
      <c r="E154" s="1822"/>
      <c r="F154" s="562"/>
      <c r="G154" s="562"/>
      <c r="H154" s="562"/>
      <c r="I154" s="562"/>
      <c r="J154" s="604">
        <v>170.01</v>
      </c>
      <c r="K154" s="562" t="s">
        <v>313</v>
      </c>
      <c r="L154" s="604">
        <v>42.2</v>
      </c>
      <c r="M154" s="603"/>
      <c r="N154" s="602"/>
      <c r="AA154" s="537" t="s">
        <v>312</v>
      </c>
    </row>
    <row r="155" spans="1:31" s="536" customFormat="1" x14ac:dyDescent="0.2">
      <c r="A155" s="605"/>
      <c r="B155" s="552" t="s">
        <v>186</v>
      </c>
      <c r="C155" s="1822" t="s">
        <v>344</v>
      </c>
      <c r="D155" s="1822"/>
      <c r="E155" s="1822"/>
      <c r="F155" s="562"/>
      <c r="G155" s="562"/>
      <c r="H155" s="562"/>
      <c r="I155" s="562"/>
      <c r="J155" s="604">
        <v>38.6</v>
      </c>
      <c r="K155" s="562" t="s">
        <v>313</v>
      </c>
      <c r="L155" s="604">
        <v>9.58</v>
      </c>
      <c r="M155" s="603"/>
      <c r="N155" s="602"/>
      <c r="AA155" s="537" t="s">
        <v>344</v>
      </c>
    </row>
    <row r="156" spans="1:31" s="536" customFormat="1" x14ac:dyDescent="0.2">
      <c r="A156" s="605"/>
      <c r="B156" s="552" t="s">
        <v>187</v>
      </c>
      <c r="C156" s="1822" t="s">
        <v>345</v>
      </c>
      <c r="D156" s="1822"/>
      <c r="E156" s="1822"/>
      <c r="F156" s="562"/>
      <c r="G156" s="562"/>
      <c r="H156" s="562"/>
      <c r="I156" s="562"/>
      <c r="J156" s="604">
        <v>9.2899999999999991</v>
      </c>
      <c r="K156" s="562" t="s">
        <v>313</v>
      </c>
      <c r="L156" s="604">
        <v>2.31</v>
      </c>
      <c r="M156" s="603"/>
      <c r="N156" s="602"/>
      <c r="AA156" s="537" t="s">
        <v>345</v>
      </c>
    </row>
    <row r="157" spans="1:31" s="536" customFormat="1" x14ac:dyDescent="0.2">
      <c r="A157" s="605"/>
      <c r="B157" s="552" t="s">
        <v>188</v>
      </c>
      <c r="C157" s="1822" t="s">
        <v>475</v>
      </c>
      <c r="D157" s="1822"/>
      <c r="E157" s="1822"/>
      <c r="F157" s="562"/>
      <c r="G157" s="562"/>
      <c r="H157" s="562"/>
      <c r="I157" s="562"/>
      <c r="J157" s="604">
        <v>0.91</v>
      </c>
      <c r="K157" s="562"/>
      <c r="L157" s="604">
        <v>0.18</v>
      </c>
      <c r="M157" s="603"/>
      <c r="N157" s="602"/>
      <c r="AA157" s="537" t="s">
        <v>475</v>
      </c>
    </row>
    <row r="158" spans="1:31" s="536" customFormat="1" x14ac:dyDescent="0.2">
      <c r="A158" s="676"/>
      <c r="B158" s="677" t="s">
        <v>1420</v>
      </c>
      <c r="C158" s="1829" t="s">
        <v>1421</v>
      </c>
      <c r="D158" s="1829"/>
      <c r="E158" s="1829"/>
      <c r="F158" s="678" t="s">
        <v>694</v>
      </c>
      <c r="G158" s="678" t="s">
        <v>1422</v>
      </c>
      <c r="H158" s="678"/>
      <c r="I158" s="678" t="s">
        <v>1423</v>
      </c>
      <c r="J158" s="552"/>
      <c r="K158" s="562"/>
      <c r="L158" s="604"/>
      <c r="M158" s="562"/>
      <c r="N158" s="679"/>
      <c r="AE158" s="537" t="s">
        <v>1421</v>
      </c>
    </row>
    <row r="159" spans="1:31" s="536" customFormat="1" x14ac:dyDescent="0.2">
      <c r="A159" s="605"/>
      <c r="B159" s="552"/>
      <c r="C159" s="1822" t="s">
        <v>314</v>
      </c>
      <c r="D159" s="1822"/>
      <c r="E159" s="1822"/>
      <c r="F159" s="562" t="s">
        <v>315</v>
      </c>
      <c r="G159" s="562" t="s">
        <v>1424</v>
      </c>
      <c r="H159" s="562" t="s">
        <v>313</v>
      </c>
      <c r="I159" s="562" t="s">
        <v>1425</v>
      </c>
      <c r="J159" s="604"/>
      <c r="K159" s="562"/>
      <c r="L159" s="604"/>
      <c r="M159" s="603"/>
      <c r="N159" s="602"/>
      <c r="AB159" s="537" t="s">
        <v>314</v>
      </c>
    </row>
    <row r="160" spans="1:31" s="536" customFormat="1" x14ac:dyDescent="0.2">
      <c r="A160" s="605"/>
      <c r="B160" s="552"/>
      <c r="C160" s="1822" t="s">
        <v>348</v>
      </c>
      <c r="D160" s="1822"/>
      <c r="E160" s="1822"/>
      <c r="F160" s="562" t="s">
        <v>315</v>
      </c>
      <c r="G160" s="562" t="s">
        <v>524</v>
      </c>
      <c r="H160" s="562" t="s">
        <v>313</v>
      </c>
      <c r="I160" s="562" t="s">
        <v>1426</v>
      </c>
      <c r="J160" s="604"/>
      <c r="K160" s="562"/>
      <c r="L160" s="604"/>
      <c r="M160" s="603"/>
      <c r="N160" s="602"/>
      <c r="AB160" s="537" t="s">
        <v>348</v>
      </c>
    </row>
    <row r="161" spans="1:30" s="536" customFormat="1" x14ac:dyDescent="0.2">
      <c r="A161" s="605"/>
      <c r="B161" s="552"/>
      <c r="C161" s="1828" t="s">
        <v>318</v>
      </c>
      <c r="D161" s="1828"/>
      <c r="E161" s="1828"/>
      <c r="F161" s="608"/>
      <c r="G161" s="608"/>
      <c r="H161" s="608"/>
      <c r="I161" s="608"/>
      <c r="J161" s="607">
        <v>209.52</v>
      </c>
      <c r="K161" s="608"/>
      <c r="L161" s="607">
        <v>51.96</v>
      </c>
      <c r="M161" s="601"/>
      <c r="N161" s="606"/>
      <c r="AC161" s="537" t="s">
        <v>318</v>
      </c>
    </row>
    <row r="162" spans="1:30" s="536" customFormat="1" x14ac:dyDescent="0.2">
      <c r="A162" s="605"/>
      <c r="B162" s="552"/>
      <c r="C162" s="1822" t="s">
        <v>319</v>
      </c>
      <c r="D162" s="1822"/>
      <c r="E162" s="1822"/>
      <c r="F162" s="562"/>
      <c r="G162" s="562"/>
      <c r="H162" s="562"/>
      <c r="I162" s="562"/>
      <c r="J162" s="604"/>
      <c r="K162" s="562"/>
      <c r="L162" s="604">
        <v>44.51</v>
      </c>
      <c r="M162" s="603"/>
      <c r="N162" s="602"/>
      <c r="AB162" s="537" t="s">
        <v>319</v>
      </c>
    </row>
    <row r="163" spans="1:30" s="536" customFormat="1" ht="33.75" x14ac:dyDescent="0.2">
      <c r="A163" s="605"/>
      <c r="B163" s="552" t="s">
        <v>1250</v>
      </c>
      <c r="C163" s="1822" t="s">
        <v>1251</v>
      </c>
      <c r="D163" s="1822"/>
      <c r="E163" s="1822"/>
      <c r="F163" s="562" t="s">
        <v>322</v>
      </c>
      <c r="G163" s="562" t="s">
        <v>1252</v>
      </c>
      <c r="H163" s="562"/>
      <c r="I163" s="562" t="s">
        <v>1252</v>
      </c>
      <c r="J163" s="604"/>
      <c r="K163" s="562"/>
      <c r="L163" s="604">
        <v>49.85</v>
      </c>
      <c r="M163" s="603"/>
      <c r="N163" s="602"/>
      <c r="AB163" s="537" t="s">
        <v>1251</v>
      </c>
    </row>
    <row r="164" spans="1:30" s="536" customFormat="1" ht="33.75" x14ac:dyDescent="0.2">
      <c r="A164" s="605"/>
      <c r="B164" s="552" t="s">
        <v>1253</v>
      </c>
      <c r="C164" s="1822" t="s">
        <v>1254</v>
      </c>
      <c r="D164" s="1822"/>
      <c r="E164" s="1822"/>
      <c r="F164" s="562" t="s">
        <v>322</v>
      </c>
      <c r="G164" s="562" t="s">
        <v>796</v>
      </c>
      <c r="H164" s="562"/>
      <c r="I164" s="562" t="s">
        <v>796</v>
      </c>
      <c r="J164" s="604"/>
      <c r="K164" s="562"/>
      <c r="L164" s="604">
        <v>28.93</v>
      </c>
      <c r="M164" s="603"/>
      <c r="N164" s="602"/>
      <c r="AB164" s="537" t="s">
        <v>1254</v>
      </c>
    </row>
    <row r="165" spans="1:30" s="536" customFormat="1" x14ac:dyDescent="0.2">
      <c r="A165" s="569"/>
      <c r="B165" s="683"/>
      <c r="C165" s="1823" t="s">
        <v>327</v>
      </c>
      <c r="D165" s="1823"/>
      <c r="E165" s="1823"/>
      <c r="F165" s="573"/>
      <c r="G165" s="573"/>
      <c r="H165" s="573"/>
      <c r="I165" s="573"/>
      <c r="J165" s="572"/>
      <c r="K165" s="573"/>
      <c r="L165" s="572">
        <v>130.74</v>
      </c>
      <c r="M165" s="601"/>
      <c r="N165" s="570"/>
      <c r="AD165" s="537" t="s">
        <v>327</v>
      </c>
    </row>
    <row r="166" spans="1:30" s="536" customFormat="1" ht="22.5" x14ac:dyDescent="0.2">
      <c r="A166" s="575" t="s">
        <v>199</v>
      </c>
      <c r="B166" s="684" t="s">
        <v>1427</v>
      </c>
      <c r="C166" s="1823" t="s">
        <v>1428</v>
      </c>
      <c r="D166" s="1823"/>
      <c r="E166" s="1823"/>
      <c r="F166" s="573" t="s">
        <v>699</v>
      </c>
      <c r="G166" s="573"/>
      <c r="H166" s="573"/>
      <c r="I166" s="573" t="s">
        <v>1429</v>
      </c>
      <c r="J166" s="572">
        <v>9.15</v>
      </c>
      <c r="K166" s="573"/>
      <c r="L166" s="572">
        <v>290.75</v>
      </c>
      <c r="M166" s="571"/>
      <c r="N166" s="570"/>
      <c r="X166" s="537" t="s">
        <v>1428</v>
      </c>
    </row>
    <row r="167" spans="1:30" s="536" customFormat="1" x14ac:dyDescent="0.2">
      <c r="A167" s="569"/>
      <c r="B167" s="683"/>
      <c r="C167" s="689" t="s">
        <v>717</v>
      </c>
      <c r="D167" s="690"/>
      <c r="E167" s="690"/>
      <c r="F167" s="563"/>
      <c r="G167" s="563"/>
      <c r="H167" s="563"/>
      <c r="I167" s="563"/>
      <c r="J167" s="566"/>
      <c r="K167" s="563"/>
      <c r="L167" s="566"/>
      <c r="M167" s="565"/>
      <c r="N167" s="564"/>
    </row>
    <row r="168" spans="1:30" s="536" customFormat="1" x14ac:dyDescent="0.2">
      <c r="A168" s="676"/>
      <c r="B168" s="682"/>
      <c r="C168" s="1822" t="s">
        <v>1430</v>
      </c>
      <c r="D168" s="1822"/>
      <c r="E168" s="1822"/>
      <c r="F168" s="1822"/>
      <c r="G168" s="1822"/>
      <c r="H168" s="1822"/>
      <c r="I168" s="1822"/>
      <c r="J168" s="1822"/>
      <c r="K168" s="1822"/>
      <c r="L168" s="1822"/>
      <c r="M168" s="1822"/>
      <c r="N168" s="1827"/>
      <c r="Y168" s="537" t="s">
        <v>1430</v>
      </c>
    </row>
    <row r="169" spans="1:30" s="536" customFormat="1" x14ac:dyDescent="0.2">
      <c r="A169" s="1830" t="s">
        <v>1431</v>
      </c>
      <c r="B169" s="1831"/>
      <c r="C169" s="1831"/>
      <c r="D169" s="1831"/>
      <c r="E169" s="1831"/>
      <c r="F169" s="1831"/>
      <c r="G169" s="1831"/>
      <c r="H169" s="1831"/>
      <c r="I169" s="1831"/>
      <c r="J169" s="1831"/>
      <c r="K169" s="1831"/>
      <c r="L169" s="1831"/>
      <c r="M169" s="1831"/>
      <c r="N169" s="1832"/>
      <c r="W169" s="537" t="s">
        <v>1431</v>
      </c>
    </row>
    <row r="170" spans="1:30" s="536" customFormat="1" ht="45" x14ac:dyDescent="0.2">
      <c r="A170" s="575" t="s">
        <v>200</v>
      </c>
      <c r="B170" s="684" t="s">
        <v>1432</v>
      </c>
      <c r="C170" s="1823" t="s">
        <v>1433</v>
      </c>
      <c r="D170" s="1823"/>
      <c r="E170" s="1823"/>
      <c r="F170" s="573" t="s">
        <v>694</v>
      </c>
      <c r="G170" s="573"/>
      <c r="H170" s="573"/>
      <c r="I170" s="573" t="s">
        <v>1434</v>
      </c>
      <c r="J170" s="572"/>
      <c r="K170" s="573"/>
      <c r="L170" s="572"/>
      <c r="M170" s="571"/>
      <c r="N170" s="570"/>
      <c r="X170" s="537" t="s">
        <v>1433</v>
      </c>
    </row>
    <row r="171" spans="1:30" s="536" customFormat="1" x14ac:dyDescent="0.2">
      <c r="A171" s="676"/>
      <c r="B171" s="682"/>
      <c r="C171" s="1822" t="s">
        <v>1435</v>
      </c>
      <c r="D171" s="1822"/>
      <c r="E171" s="1822"/>
      <c r="F171" s="1822"/>
      <c r="G171" s="1822"/>
      <c r="H171" s="1822"/>
      <c r="I171" s="1822"/>
      <c r="J171" s="1822"/>
      <c r="K171" s="1822"/>
      <c r="L171" s="1822"/>
      <c r="M171" s="1822"/>
      <c r="N171" s="1827"/>
      <c r="Y171" s="537" t="s">
        <v>1435</v>
      </c>
    </row>
    <row r="172" spans="1:30" s="536" customFormat="1" ht="33.75" x14ac:dyDescent="0.2">
      <c r="A172" s="609"/>
      <c r="B172" s="552" t="s">
        <v>310</v>
      </c>
      <c r="C172" s="1822" t="s">
        <v>311</v>
      </c>
      <c r="D172" s="1822"/>
      <c r="E172" s="1822"/>
      <c r="F172" s="1822"/>
      <c r="G172" s="1822"/>
      <c r="H172" s="1822"/>
      <c r="I172" s="1822"/>
      <c r="J172" s="1822"/>
      <c r="K172" s="1822"/>
      <c r="L172" s="1822"/>
      <c r="M172" s="1822"/>
      <c r="N172" s="1827"/>
      <c r="Z172" s="537" t="s">
        <v>311</v>
      </c>
    </row>
    <row r="173" spans="1:30" s="536" customFormat="1" x14ac:dyDescent="0.2">
      <c r="A173" s="605"/>
      <c r="B173" s="552" t="s">
        <v>185</v>
      </c>
      <c r="C173" s="1822" t="s">
        <v>312</v>
      </c>
      <c r="D173" s="1822"/>
      <c r="E173" s="1822"/>
      <c r="F173" s="562"/>
      <c r="G173" s="562"/>
      <c r="H173" s="562"/>
      <c r="I173" s="562"/>
      <c r="J173" s="604">
        <v>85.83</v>
      </c>
      <c r="K173" s="562" t="s">
        <v>313</v>
      </c>
      <c r="L173" s="604">
        <v>69.88</v>
      </c>
      <c r="M173" s="603"/>
      <c r="N173" s="602"/>
      <c r="AA173" s="537" t="s">
        <v>312</v>
      </c>
    </row>
    <row r="174" spans="1:30" s="536" customFormat="1" x14ac:dyDescent="0.2">
      <c r="A174" s="605"/>
      <c r="B174" s="552" t="s">
        <v>186</v>
      </c>
      <c r="C174" s="1822" t="s">
        <v>344</v>
      </c>
      <c r="D174" s="1822"/>
      <c r="E174" s="1822"/>
      <c r="F174" s="562"/>
      <c r="G174" s="562"/>
      <c r="H174" s="562"/>
      <c r="I174" s="562"/>
      <c r="J174" s="604">
        <v>257.58999999999997</v>
      </c>
      <c r="K174" s="562" t="s">
        <v>313</v>
      </c>
      <c r="L174" s="604">
        <v>209.71</v>
      </c>
      <c r="M174" s="603"/>
      <c r="N174" s="602"/>
      <c r="AA174" s="537" t="s">
        <v>344</v>
      </c>
    </row>
    <row r="175" spans="1:30" s="536" customFormat="1" x14ac:dyDescent="0.2">
      <c r="A175" s="605"/>
      <c r="B175" s="552" t="s">
        <v>187</v>
      </c>
      <c r="C175" s="1822" t="s">
        <v>345</v>
      </c>
      <c r="D175" s="1822"/>
      <c r="E175" s="1822"/>
      <c r="F175" s="562"/>
      <c r="G175" s="562"/>
      <c r="H175" s="562"/>
      <c r="I175" s="562"/>
      <c r="J175" s="604">
        <v>28.96</v>
      </c>
      <c r="K175" s="562" t="s">
        <v>313</v>
      </c>
      <c r="L175" s="604">
        <v>23.58</v>
      </c>
      <c r="M175" s="603"/>
      <c r="N175" s="602"/>
      <c r="AA175" s="537" t="s">
        <v>345</v>
      </c>
    </row>
    <row r="176" spans="1:30" s="536" customFormat="1" x14ac:dyDescent="0.2">
      <c r="A176" s="605"/>
      <c r="B176" s="552" t="s">
        <v>188</v>
      </c>
      <c r="C176" s="1822" t="s">
        <v>475</v>
      </c>
      <c r="D176" s="1822"/>
      <c r="E176" s="1822"/>
      <c r="F176" s="562"/>
      <c r="G176" s="562"/>
      <c r="H176" s="562"/>
      <c r="I176" s="562"/>
      <c r="J176" s="604">
        <v>40.96</v>
      </c>
      <c r="K176" s="562"/>
      <c r="L176" s="604">
        <v>26.68</v>
      </c>
      <c r="M176" s="603"/>
      <c r="N176" s="602"/>
      <c r="AA176" s="537" t="s">
        <v>475</v>
      </c>
    </row>
    <row r="177" spans="1:31" s="536" customFormat="1" x14ac:dyDescent="0.2">
      <c r="A177" s="676"/>
      <c r="B177" s="677" t="s">
        <v>1436</v>
      </c>
      <c r="C177" s="1829" t="s">
        <v>1229</v>
      </c>
      <c r="D177" s="1829"/>
      <c r="E177" s="1829"/>
      <c r="F177" s="678" t="s">
        <v>694</v>
      </c>
      <c r="G177" s="678" t="s">
        <v>185</v>
      </c>
      <c r="H177" s="678"/>
      <c r="I177" s="678" t="s">
        <v>1434</v>
      </c>
      <c r="J177" s="552"/>
      <c r="K177" s="562"/>
      <c r="L177" s="604"/>
      <c r="M177" s="562"/>
      <c r="N177" s="679"/>
      <c r="AE177" s="537" t="s">
        <v>1229</v>
      </c>
    </row>
    <row r="178" spans="1:31" s="536" customFormat="1" x14ac:dyDescent="0.2">
      <c r="A178" s="605"/>
      <c r="B178" s="552"/>
      <c r="C178" s="1822" t="s">
        <v>314</v>
      </c>
      <c r="D178" s="1822"/>
      <c r="E178" s="1822"/>
      <c r="F178" s="562" t="s">
        <v>315</v>
      </c>
      <c r="G178" s="562" t="s">
        <v>1437</v>
      </c>
      <c r="H178" s="562" t="s">
        <v>313</v>
      </c>
      <c r="I178" s="562" t="s">
        <v>1438</v>
      </c>
      <c r="J178" s="604"/>
      <c r="K178" s="562"/>
      <c r="L178" s="604"/>
      <c r="M178" s="603"/>
      <c r="N178" s="602"/>
      <c r="AB178" s="537" t="s">
        <v>314</v>
      </c>
    </row>
    <row r="179" spans="1:31" s="536" customFormat="1" x14ac:dyDescent="0.2">
      <c r="A179" s="605"/>
      <c r="B179" s="552"/>
      <c r="C179" s="1822" t="s">
        <v>348</v>
      </c>
      <c r="D179" s="1822"/>
      <c r="E179" s="1822"/>
      <c r="F179" s="562" t="s">
        <v>315</v>
      </c>
      <c r="G179" s="562" t="s">
        <v>1439</v>
      </c>
      <c r="H179" s="562" t="s">
        <v>313</v>
      </c>
      <c r="I179" s="562" t="s">
        <v>1440</v>
      </c>
      <c r="J179" s="604"/>
      <c r="K179" s="562"/>
      <c r="L179" s="604"/>
      <c r="M179" s="603"/>
      <c r="N179" s="602"/>
      <c r="AB179" s="537" t="s">
        <v>348</v>
      </c>
    </row>
    <row r="180" spans="1:31" s="536" customFormat="1" x14ac:dyDescent="0.2">
      <c r="A180" s="605"/>
      <c r="B180" s="552"/>
      <c r="C180" s="1828" t="s">
        <v>318</v>
      </c>
      <c r="D180" s="1828"/>
      <c r="E180" s="1828"/>
      <c r="F180" s="608"/>
      <c r="G180" s="608"/>
      <c r="H180" s="608"/>
      <c r="I180" s="608"/>
      <c r="J180" s="607">
        <v>384.38</v>
      </c>
      <c r="K180" s="608"/>
      <c r="L180" s="607">
        <v>306.27</v>
      </c>
      <c r="M180" s="601"/>
      <c r="N180" s="606"/>
      <c r="AC180" s="537" t="s">
        <v>318</v>
      </c>
    </row>
    <row r="181" spans="1:31" s="536" customFormat="1" x14ac:dyDescent="0.2">
      <c r="A181" s="605"/>
      <c r="B181" s="552"/>
      <c r="C181" s="1822" t="s">
        <v>319</v>
      </c>
      <c r="D181" s="1822"/>
      <c r="E181" s="1822"/>
      <c r="F181" s="562"/>
      <c r="G181" s="562"/>
      <c r="H181" s="562"/>
      <c r="I181" s="562"/>
      <c r="J181" s="604"/>
      <c r="K181" s="562"/>
      <c r="L181" s="604">
        <v>93.46</v>
      </c>
      <c r="M181" s="603"/>
      <c r="N181" s="602"/>
      <c r="AB181" s="537" t="s">
        <v>319</v>
      </c>
    </row>
    <row r="182" spans="1:31" s="536" customFormat="1" ht="33.75" x14ac:dyDescent="0.2">
      <c r="A182" s="605"/>
      <c r="B182" s="552" t="s">
        <v>648</v>
      </c>
      <c r="C182" s="1822" t="s">
        <v>649</v>
      </c>
      <c r="D182" s="1822"/>
      <c r="E182" s="1822"/>
      <c r="F182" s="562" t="s">
        <v>322</v>
      </c>
      <c r="G182" s="562" t="s">
        <v>650</v>
      </c>
      <c r="H182" s="562"/>
      <c r="I182" s="562" t="s">
        <v>650</v>
      </c>
      <c r="J182" s="604"/>
      <c r="K182" s="562"/>
      <c r="L182" s="604">
        <v>86.92</v>
      </c>
      <c r="M182" s="603"/>
      <c r="N182" s="602"/>
      <c r="AB182" s="537" t="s">
        <v>649</v>
      </c>
    </row>
    <row r="183" spans="1:31" s="536" customFormat="1" ht="33.75" x14ac:dyDescent="0.2">
      <c r="A183" s="605"/>
      <c r="B183" s="552" t="s">
        <v>651</v>
      </c>
      <c r="C183" s="1822" t="s">
        <v>652</v>
      </c>
      <c r="D183" s="1822"/>
      <c r="E183" s="1822"/>
      <c r="F183" s="562" t="s">
        <v>322</v>
      </c>
      <c r="G183" s="562" t="s">
        <v>653</v>
      </c>
      <c r="H183" s="562"/>
      <c r="I183" s="562" t="s">
        <v>653</v>
      </c>
      <c r="J183" s="604"/>
      <c r="K183" s="562"/>
      <c r="L183" s="604">
        <v>57.95</v>
      </c>
      <c r="M183" s="603"/>
      <c r="N183" s="602"/>
      <c r="AB183" s="537" t="s">
        <v>652</v>
      </c>
    </row>
    <row r="184" spans="1:31" s="536" customFormat="1" x14ac:dyDescent="0.2">
      <c r="A184" s="569"/>
      <c r="B184" s="683"/>
      <c r="C184" s="1823" t="s">
        <v>327</v>
      </c>
      <c r="D184" s="1823"/>
      <c r="E184" s="1823"/>
      <c r="F184" s="573"/>
      <c r="G184" s="573"/>
      <c r="H184" s="573"/>
      <c r="I184" s="573"/>
      <c r="J184" s="572"/>
      <c r="K184" s="573"/>
      <c r="L184" s="572">
        <v>451.14</v>
      </c>
      <c r="M184" s="601"/>
      <c r="N184" s="570"/>
      <c r="AD184" s="537" t="s">
        <v>327</v>
      </c>
    </row>
    <row r="185" spans="1:31" s="536" customFormat="1" ht="45" x14ac:dyDescent="0.2">
      <c r="A185" s="575" t="s">
        <v>425</v>
      </c>
      <c r="B185" s="684" t="s">
        <v>1441</v>
      </c>
      <c r="C185" s="1823" t="s">
        <v>1442</v>
      </c>
      <c r="D185" s="1823"/>
      <c r="E185" s="1823"/>
      <c r="F185" s="573" t="s">
        <v>694</v>
      </c>
      <c r="G185" s="573"/>
      <c r="H185" s="573"/>
      <c r="I185" s="573" t="s">
        <v>1434</v>
      </c>
      <c r="J185" s="572">
        <v>11255</v>
      </c>
      <c r="K185" s="573"/>
      <c r="L185" s="572">
        <v>7330.38</v>
      </c>
      <c r="M185" s="571"/>
      <c r="N185" s="570"/>
      <c r="X185" s="537" t="s">
        <v>1442</v>
      </c>
    </row>
    <row r="186" spans="1:31" s="536" customFormat="1" x14ac:dyDescent="0.2">
      <c r="A186" s="569"/>
      <c r="B186" s="683"/>
      <c r="C186" s="689" t="s">
        <v>717</v>
      </c>
      <c r="D186" s="690"/>
      <c r="E186" s="690"/>
      <c r="F186" s="563"/>
      <c r="G186" s="563"/>
      <c r="H186" s="563"/>
      <c r="I186" s="563"/>
      <c r="J186" s="566"/>
      <c r="K186" s="563"/>
      <c r="L186" s="566"/>
      <c r="M186" s="565"/>
      <c r="N186" s="564"/>
    </row>
    <row r="187" spans="1:31" s="536" customFormat="1" x14ac:dyDescent="0.2">
      <c r="A187" s="676"/>
      <c r="B187" s="682"/>
      <c r="C187" s="1822" t="s">
        <v>1443</v>
      </c>
      <c r="D187" s="1822"/>
      <c r="E187" s="1822"/>
      <c r="F187" s="1822"/>
      <c r="G187" s="1822"/>
      <c r="H187" s="1822"/>
      <c r="I187" s="1822"/>
      <c r="J187" s="1822"/>
      <c r="K187" s="1822"/>
      <c r="L187" s="1822"/>
      <c r="M187" s="1822"/>
      <c r="N187" s="1827"/>
      <c r="Y187" s="537" t="s">
        <v>1443</v>
      </c>
    </row>
    <row r="188" spans="1:31" s="536" customFormat="1" ht="45" x14ac:dyDescent="0.2">
      <c r="A188" s="575" t="s">
        <v>430</v>
      </c>
      <c r="B188" s="684" t="s">
        <v>1444</v>
      </c>
      <c r="C188" s="1823" t="s">
        <v>1445</v>
      </c>
      <c r="D188" s="1823"/>
      <c r="E188" s="1823"/>
      <c r="F188" s="573" t="s">
        <v>694</v>
      </c>
      <c r="G188" s="573"/>
      <c r="H188" s="573"/>
      <c r="I188" s="573" t="s">
        <v>1446</v>
      </c>
      <c r="J188" s="572"/>
      <c r="K188" s="573"/>
      <c r="L188" s="572"/>
      <c r="M188" s="571"/>
      <c r="N188" s="570"/>
      <c r="X188" s="537" t="s">
        <v>1445</v>
      </c>
    </row>
    <row r="189" spans="1:31" s="536" customFormat="1" x14ac:dyDescent="0.2">
      <c r="A189" s="676"/>
      <c r="B189" s="682"/>
      <c r="C189" s="1822" t="s">
        <v>1447</v>
      </c>
      <c r="D189" s="1822"/>
      <c r="E189" s="1822"/>
      <c r="F189" s="1822"/>
      <c r="G189" s="1822"/>
      <c r="H189" s="1822"/>
      <c r="I189" s="1822"/>
      <c r="J189" s="1822"/>
      <c r="K189" s="1822"/>
      <c r="L189" s="1822"/>
      <c r="M189" s="1822"/>
      <c r="N189" s="1827"/>
      <c r="Y189" s="537" t="s">
        <v>1447</v>
      </c>
    </row>
    <row r="190" spans="1:31" s="536" customFormat="1" ht="33.75" x14ac:dyDescent="0.2">
      <c r="A190" s="609"/>
      <c r="B190" s="552" t="s">
        <v>310</v>
      </c>
      <c r="C190" s="1822" t="s">
        <v>311</v>
      </c>
      <c r="D190" s="1822"/>
      <c r="E190" s="1822"/>
      <c r="F190" s="1822"/>
      <c r="G190" s="1822"/>
      <c r="H190" s="1822"/>
      <c r="I190" s="1822"/>
      <c r="J190" s="1822"/>
      <c r="K190" s="1822"/>
      <c r="L190" s="1822"/>
      <c r="M190" s="1822"/>
      <c r="N190" s="1827"/>
      <c r="Z190" s="537" t="s">
        <v>311</v>
      </c>
    </row>
    <row r="191" spans="1:31" s="536" customFormat="1" x14ac:dyDescent="0.2">
      <c r="A191" s="605"/>
      <c r="B191" s="552" t="s">
        <v>185</v>
      </c>
      <c r="C191" s="1822" t="s">
        <v>312</v>
      </c>
      <c r="D191" s="1822"/>
      <c r="E191" s="1822"/>
      <c r="F191" s="562"/>
      <c r="G191" s="562"/>
      <c r="H191" s="562"/>
      <c r="I191" s="562"/>
      <c r="J191" s="604">
        <v>159.28</v>
      </c>
      <c r="K191" s="562" t="s">
        <v>313</v>
      </c>
      <c r="L191" s="604">
        <v>159.4</v>
      </c>
      <c r="M191" s="603"/>
      <c r="N191" s="602"/>
      <c r="AA191" s="537" t="s">
        <v>312</v>
      </c>
    </row>
    <row r="192" spans="1:31" s="536" customFormat="1" x14ac:dyDescent="0.2">
      <c r="A192" s="605"/>
      <c r="B192" s="552" t="s">
        <v>186</v>
      </c>
      <c r="C192" s="1822" t="s">
        <v>344</v>
      </c>
      <c r="D192" s="1822"/>
      <c r="E192" s="1822"/>
      <c r="F192" s="562"/>
      <c r="G192" s="562"/>
      <c r="H192" s="562"/>
      <c r="I192" s="562"/>
      <c r="J192" s="604">
        <v>467.67</v>
      </c>
      <c r="K192" s="562" t="s">
        <v>313</v>
      </c>
      <c r="L192" s="604">
        <v>468.02</v>
      </c>
      <c r="M192" s="603"/>
      <c r="N192" s="602"/>
      <c r="AA192" s="537" t="s">
        <v>344</v>
      </c>
    </row>
    <row r="193" spans="1:31" s="536" customFormat="1" x14ac:dyDescent="0.2">
      <c r="A193" s="605"/>
      <c r="B193" s="552" t="s">
        <v>187</v>
      </c>
      <c r="C193" s="1822" t="s">
        <v>345</v>
      </c>
      <c r="D193" s="1822"/>
      <c r="E193" s="1822"/>
      <c r="F193" s="562"/>
      <c r="G193" s="562"/>
      <c r="H193" s="562"/>
      <c r="I193" s="562"/>
      <c r="J193" s="604">
        <v>42.84</v>
      </c>
      <c r="K193" s="562" t="s">
        <v>313</v>
      </c>
      <c r="L193" s="604">
        <v>42.87</v>
      </c>
      <c r="M193" s="603"/>
      <c r="N193" s="602"/>
      <c r="AA193" s="537" t="s">
        <v>345</v>
      </c>
    </row>
    <row r="194" spans="1:31" s="536" customFormat="1" x14ac:dyDescent="0.2">
      <c r="A194" s="605"/>
      <c r="B194" s="552" t="s">
        <v>188</v>
      </c>
      <c r="C194" s="1822" t="s">
        <v>475</v>
      </c>
      <c r="D194" s="1822"/>
      <c r="E194" s="1822"/>
      <c r="F194" s="562"/>
      <c r="G194" s="562"/>
      <c r="H194" s="562"/>
      <c r="I194" s="562"/>
      <c r="J194" s="604">
        <v>106.34</v>
      </c>
      <c r="K194" s="562"/>
      <c r="L194" s="604">
        <v>85.14</v>
      </c>
      <c r="M194" s="603"/>
      <c r="N194" s="602"/>
      <c r="AA194" s="537" t="s">
        <v>475</v>
      </c>
    </row>
    <row r="195" spans="1:31" s="536" customFormat="1" x14ac:dyDescent="0.2">
      <c r="A195" s="676"/>
      <c r="B195" s="677" t="s">
        <v>1436</v>
      </c>
      <c r="C195" s="1829" t="s">
        <v>1229</v>
      </c>
      <c r="D195" s="1829"/>
      <c r="E195" s="1829"/>
      <c r="F195" s="678" t="s">
        <v>694</v>
      </c>
      <c r="G195" s="678" t="s">
        <v>185</v>
      </c>
      <c r="H195" s="678"/>
      <c r="I195" s="678" t="s">
        <v>1446</v>
      </c>
      <c r="J195" s="552"/>
      <c r="K195" s="562"/>
      <c r="L195" s="604"/>
      <c r="M195" s="562"/>
      <c r="N195" s="679"/>
      <c r="AE195" s="537" t="s">
        <v>1229</v>
      </c>
    </row>
    <row r="196" spans="1:31" s="536" customFormat="1" x14ac:dyDescent="0.2">
      <c r="A196" s="605"/>
      <c r="B196" s="552"/>
      <c r="C196" s="1822" t="s">
        <v>314</v>
      </c>
      <c r="D196" s="1822"/>
      <c r="E196" s="1822"/>
      <c r="F196" s="562" t="s">
        <v>315</v>
      </c>
      <c r="G196" s="562" t="s">
        <v>1448</v>
      </c>
      <c r="H196" s="562" t="s">
        <v>313</v>
      </c>
      <c r="I196" s="562" t="s">
        <v>1449</v>
      </c>
      <c r="J196" s="604"/>
      <c r="K196" s="562"/>
      <c r="L196" s="604"/>
      <c r="M196" s="603"/>
      <c r="N196" s="602"/>
      <c r="AB196" s="537" t="s">
        <v>314</v>
      </c>
    </row>
    <row r="197" spans="1:31" s="536" customFormat="1" x14ac:dyDescent="0.2">
      <c r="A197" s="605"/>
      <c r="B197" s="552"/>
      <c r="C197" s="1822" t="s">
        <v>348</v>
      </c>
      <c r="D197" s="1822"/>
      <c r="E197" s="1822"/>
      <c r="F197" s="562" t="s">
        <v>315</v>
      </c>
      <c r="G197" s="562" t="s">
        <v>1450</v>
      </c>
      <c r="H197" s="562" t="s">
        <v>313</v>
      </c>
      <c r="I197" s="562" t="s">
        <v>1451</v>
      </c>
      <c r="J197" s="604"/>
      <c r="K197" s="562"/>
      <c r="L197" s="604"/>
      <c r="M197" s="603"/>
      <c r="N197" s="602"/>
      <c r="AB197" s="537" t="s">
        <v>348</v>
      </c>
    </row>
    <row r="198" spans="1:31" s="536" customFormat="1" x14ac:dyDescent="0.2">
      <c r="A198" s="605"/>
      <c r="B198" s="552"/>
      <c r="C198" s="1828" t="s">
        <v>318</v>
      </c>
      <c r="D198" s="1828"/>
      <c r="E198" s="1828"/>
      <c r="F198" s="608"/>
      <c r="G198" s="608"/>
      <c r="H198" s="608"/>
      <c r="I198" s="608"/>
      <c r="J198" s="607">
        <v>733.29</v>
      </c>
      <c r="K198" s="608"/>
      <c r="L198" s="607">
        <v>712.56</v>
      </c>
      <c r="M198" s="601"/>
      <c r="N198" s="606"/>
      <c r="AC198" s="537" t="s">
        <v>318</v>
      </c>
    </row>
    <row r="199" spans="1:31" s="536" customFormat="1" x14ac:dyDescent="0.2">
      <c r="A199" s="605"/>
      <c r="B199" s="552"/>
      <c r="C199" s="1822" t="s">
        <v>319</v>
      </c>
      <c r="D199" s="1822"/>
      <c r="E199" s="1822"/>
      <c r="F199" s="562"/>
      <c r="G199" s="562"/>
      <c r="H199" s="562"/>
      <c r="I199" s="562"/>
      <c r="J199" s="604"/>
      <c r="K199" s="562"/>
      <c r="L199" s="604">
        <v>202.27</v>
      </c>
      <c r="M199" s="603"/>
      <c r="N199" s="602"/>
      <c r="AB199" s="537" t="s">
        <v>319</v>
      </c>
    </row>
    <row r="200" spans="1:31" s="536" customFormat="1" ht="33.75" x14ac:dyDescent="0.2">
      <c r="A200" s="605"/>
      <c r="B200" s="552" t="s">
        <v>648</v>
      </c>
      <c r="C200" s="1822" t="s">
        <v>649</v>
      </c>
      <c r="D200" s="1822"/>
      <c r="E200" s="1822"/>
      <c r="F200" s="562" t="s">
        <v>322</v>
      </c>
      <c r="G200" s="562" t="s">
        <v>650</v>
      </c>
      <c r="H200" s="562"/>
      <c r="I200" s="562" t="s">
        <v>650</v>
      </c>
      <c r="J200" s="604"/>
      <c r="K200" s="562"/>
      <c r="L200" s="604">
        <v>188.11</v>
      </c>
      <c r="M200" s="603"/>
      <c r="N200" s="602"/>
      <c r="AB200" s="537" t="s">
        <v>649</v>
      </c>
    </row>
    <row r="201" spans="1:31" s="536" customFormat="1" ht="33.75" x14ac:dyDescent="0.2">
      <c r="A201" s="605"/>
      <c r="B201" s="552" t="s">
        <v>651</v>
      </c>
      <c r="C201" s="1822" t="s">
        <v>652</v>
      </c>
      <c r="D201" s="1822"/>
      <c r="E201" s="1822"/>
      <c r="F201" s="562" t="s">
        <v>322</v>
      </c>
      <c r="G201" s="562" t="s">
        <v>653</v>
      </c>
      <c r="H201" s="562"/>
      <c r="I201" s="562" t="s">
        <v>653</v>
      </c>
      <c r="J201" s="604"/>
      <c r="K201" s="562"/>
      <c r="L201" s="604">
        <v>125.41</v>
      </c>
      <c r="M201" s="603"/>
      <c r="N201" s="602"/>
      <c r="AB201" s="537" t="s">
        <v>652</v>
      </c>
    </row>
    <row r="202" spans="1:31" s="536" customFormat="1" x14ac:dyDescent="0.2">
      <c r="A202" s="569"/>
      <c r="B202" s="683"/>
      <c r="C202" s="1823" t="s">
        <v>327</v>
      </c>
      <c r="D202" s="1823"/>
      <c r="E202" s="1823"/>
      <c r="F202" s="573"/>
      <c r="G202" s="573"/>
      <c r="H202" s="573"/>
      <c r="I202" s="573"/>
      <c r="J202" s="572"/>
      <c r="K202" s="573"/>
      <c r="L202" s="572">
        <v>1026.08</v>
      </c>
      <c r="M202" s="601"/>
      <c r="N202" s="570"/>
      <c r="AD202" s="537" t="s">
        <v>327</v>
      </c>
    </row>
    <row r="203" spans="1:31" s="536" customFormat="1" ht="45" x14ac:dyDescent="0.2">
      <c r="A203" s="575" t="s">
        <v>436</v>
      </c>
      <c r="B203" s="684" t="s">
        <v>1441</v>
      </c>
      <c r="C203" s="1823" t="s">
        <v>1442</v>
      </c>
      <c r="D203" s="1823"/>
      <c r="E203" s="1823"/>
      <c r="F203" s="573" t="s">
        <v>694</v>
      </c>
      <c r="G203" s="573"/>
      <c r="H203" s="573"/>
      <c r="I203" s="573" t="s">
        <v>1452</v>
      </c>
      <c r="J203" s="572">
        <v>11255</v>
      </c>
      <c r="K203" s="573"/>
      <c r="L203" s="572">
        <v>9011.8799999999992</v>
      </c>
      <c r="M203" s="571"/>
      <c r="N203" s="570"/>
      <c r="X203" s="537" t="s">
        <v>1442</v>
      </c>
    </row>
    <row r="204" spans="1:31" s="536" customFormat="1" x14ac:dyDescent="0.2">
      <c r="A204" s="569"/>
      <c r="B204" s="683"/>
      <c r="C204" s="689" t="s">
        <v>717</v>
      </c>
      <c r="D204" s="690"/>
      <c r="E204" s="690"/>
      <c r="F204" s="563"/>
      <c r="G204" s="563"/>
      <c r="H204" s="563"/>
      <c r="I204" s="563"/>
      <c r="J204" s="566"/>
      <c r="K204" s="563"/>
      <c r="L204" s="566"/>
      <c r="M204" s="565"/>
      <c r="N204" s="564"/>
    </row>
    <row r="205" spans="1:31" s="536" customFormat="1" x14ac:dyDescent="0.2">
      <c r="A205" s="676"/>
      <c r="B205" s="682"/>
      <c r="C205" s="1822" t="s">
        <v>1453</v>
      </c>
      <c r="D205" s="1822"/>
      <c r="E205" s="1822"/>
      <c r="F205" s="1822"/>
      <c r="G205" s="1822"/>
      <c r="H205" s="1822"/>
      <c r="I205" s="1822"/>
      <c r="J205" s="1822"/>
      <c r="K205" s="1822"/>
      <c r="L205" s="1822"/>
      <c r="M205" s="1822"/>
      <c r="N205" s="1827"/>
      <c r="Y205" s="537" t="s">
        <v>1453</v>
      </c>
    </row>
    <row r="206" spans="1:31" s="536" customFormat="1" ht="45" x14ac:dyDescent="0.2">
      <c r="A206" s="575" t="s">
        <v>733</v>
      </c>
      <c r="B206" s="684" t="s">
        <v>1454</v>
      </c>
      <c r="C206" s="1823" t="s">
        <v>1455</v>
      </c>
      <c r="D206" s="1823"/>
      <c r="E206" s="1823"/>
      <c r="F206" s="573" t="s">
        <v>694</v>
      </c>
      <c r="G206" s="573"/>
      <c r="H206" s="573"/>
      <c r="I206" s="573" t="s">
        <v>1456</v>
      </c>
      <c r="J206" s="572"/>
      <c r="K206" s="573"/>
      <c r="L206" s="572"/>
      <c r="M206" s="571"/>
      <c r="N206" s="570"/>
      <c r="X206" s="537" t="s">
        <v>1455</v>
      </c>
    </row>
    <row r="207" spans="1:31" s="536" customFormat="1" x14ac:dyDescent="0.2">
      <c r="A207" s="676"/>
      <c r="B207" s="682"/>
      <c r="C207" s="1822" t="s">
        <v>1457</v>
      </c>
      <c r="D207" s="1822"/>
      <c r="E207" s="1822"/>
      <c r="F207" s="1822"/>
      <c r="G207" s="1822"/>
      <c r="H207" s="1822"/>
      <c r="I207" s="1822"/>
      <c r="J207" s="1822"/>
      <c r="K207" s="1822"/>
      <c r="L207" s="1822"/>
      <c r="M207" s="1822"/>
      <c r="N207" s="1827"/>
      <c r="Y207" s="537" t="s">
        <v>1457</v>
      </c>
    </row>
    <row r="208" spans="1:31" s="536" customFormat="1" ht="33.75" x14ac:dyDescent="0.2">
      <c r="A208" s="609"/>
      <c r="B208" s="552" t="s">
        <v>310</v>
      </c>
      <c r="C208" s="1822" t="s">
        <v>311</v>
      </c>
      <c r="D208" s="1822"/>
      <c r="E208" s="1822"/>
      <c r="F208" s="1822"/>
      <c r="G208" s="1822"/>
      <c r="H208" s="1822"/>
      <c r="I208" s="1822"/>
      <c r="J208" s="1822"/>
      <c r="K208" s="1822"/>
      <c r="L208" s="1822"/>
      <c r="M208" s="1822"/>
      <c r="N208" s="1827"/>
      <c r="Z208" s="537" t="s">
        <v>311</v>
      </c>
    </row>
    <row r="209" spans="1:31" s="536" customFormat="1" x14ac:dyDescent="0.2">
      <c r="A209" s="605"/>
      <c r="B209" s="552" t="s">
        <v>185</v>
      </c>
      <c r="C209" s="1822" t="s">
        <v>312</v>
      </c>
      <c r="D209" s="1822"/>
      <c r="E209" s="1822"/>
      <c r="F209" s="562"/>
      <c r="G209" s="562"/>
      <c r="H209" s="562"/>
      <c r="I209" s="562"/>
      <c r="J209" s="604">
        <v>345.67</v>
      </c>
      <c r="K209" s="562" t="s">
        <v>313</v>
      </c>
      <c r="L209" s="604">
        <v>151.71</v>
      </c>
      <c r="M209" s="603"/>
      <c r="N209" s="602"/>
      <c r="AA209" s="537" t="s">
        <v>312</v>
      </c>
    </row>
    <row r="210" spans="1:31" s="536" customFormat="1" x14ac:dyDescent="0.2">
      <c r="A210" s="605"/>
      <c r="B210" s="552" t="s">
        <v>186</v>
      </c>
      <c r="C210" s="1822" t="s">
        <v>344</v>
      </c>
      <c r="D210" s="1822"/>
      <c r="E210" s="1822"/>
      <c r="F210" s="562"/>
      <c r="G210" s="562"/>
      <c r="H210" s="562"/>
      <c r="I210" s="562"/>
      <c r="J210" s="604">
        <v>473.47</v>
      </c>
      <c r="K210" s="562" t="s">
        <v>313</v>
      </c>
      <c r="L210" s="604">
        <v>207.79</v>
      </c>
      <c r="M210" s="603"/>
      <c r="N210" s="602"/>
      <c r="AA210" s="537" t="s">
        <v>344</v>
      </c>
    </row>
    <row r="211" spans="1:31" s="536" customFormat="1" x14ac:dyDescent="0.2">
      <c r="A211" s="605"/>
      <c r="B211" s="552" t="s">
        <v>187</v>
      </c>
      <c r="C211" s="1822" t="s">
        <v>345</v>
      </c>
      <c r="D211" s="1822"/>
      <c r="E211" s="1822"/>
      <c r="F211" s="562"/>
      <c r="G211" s="562"/>
      <c r="H211" s="562"/>
      <c r="I211" s="562"/>
      <c r="J211" s="604">
        <v>53.96</v>
      </c>
      <c r="K211" s="562" t="s">
        <v>313</v>
      </c>
      <c r="L211" s="604">
        <v>23.68</v>
      </c>
      <c r="M211" s="603"/>
      <c r="N211" s="602"/>
      <c r="AA211" s="537" t="s">
        <v>345</v>
      </c>
    </row>
    <row r="212" spans="1:31" s="536" customFormat="1" x14ac:dyDescent="0.2">
      <c r="A212" s="605"/>
      <c r="B212" s="552" t="s">
        <v>188</v>
      </c>
      <c r="C212" s="1822" t="s">
        <v>475</v>
      </c>
      <c r="D212" s="1822"/>
      <c r="E212" s="1822"/>
      <c r="F212" s="562"/>
      <c r="G212" s="562"/>
      <c r="H212" s="562"/>
      <c r="I212" s="562"/>
      <c r="J212" s="604">
        <v>232.33</v>
      </c>
      <c r="K212" s="562"/>
      <c r="L212" s="604">
        <v>81.569999999999993</v>
      </c>
      <c r="M212" s="603"/>
      <c r="N212" s="602"/>
      <c r="AA212" s="537" t="s">
        <v>475</v>
      </c>
    </row>
    <row r="213" spans="1:31" s="536" customFormat="1" x14ac:dyDescent="0.2">
      <c r="A213" s="676"/>
      <c r="B213" s="677" t="s">
        <v>1436</v>
      </c>
      <c r="C213" s="1829" t="s">
        <v>1229</v>
      </c>
      <c r="D213" s="1829"/>
      <c r="E213" s="1829"/>
      <c r="F213" s="678" t="s">
        <v>694</v>
      </c>
      <c r="G213" s="678" t="s">
        <v>185</v>
      </c>
      <c r="H213" s="678"/>
      <c r="I213" s="678" t="s">
        <v>1456</v>
      </c>
      <c r="J213" s="552"/>
      <c r="K213" s="562"/>
      <c r="L213" s="604"/>
      <c r="M213" s="562"/>
      <c r="N213" s="679"/>
      <c r="AE213" s="537" t="s">
        <v>1229</v>
      </c>
    </row>
    <row r="214" spans="1:31" s="536" customFormat="1" ht="22.5" x14ac:dyDescent="0.2">
      <c r="A214" s="605"/>
      <c r="B214" s="552"/>
      <c r="C214" s="1822" t="s">
        <v>314</v>
      </c>
      <c r="D214" s="1822"/>
      <c r="E214" s="1822"/>
      <c r="F214" s="562" t="s">
        <v>315</v>
      </c>
      <c r="G214" s="562" t="s">
        <v>1458</v>
      </c>
      <c r="H214" s="562" t="s">
        <v>313</v>
      </c>
      <c r="I214" s="562" t="s">
        <v>1459</v>
      </c>
      <c r="J214" s="604"/>
      <c r="K214" s="562"/>
      <c r="L214" s="604"/>
      <c r="M214" s="603"/>
      <c r="N214" s="602"/>
      <c r="AB214" s="537" t="s">
        <v>314</v>
      </c>
    </row>
    <row r="215" spans="1:31" s="536" customFormat="1" x14ac:dyDescent="0.2">
      <c r="A215" s="605"/>
      <c r="B215" s="552"/>
      <c r="C215" s="1822" t="s">
        <v>348</v>
      </c>
      <c r="D215" s="1822"/>
      <c r="E215" s="1822"/>
      <c r="F215" s="562" t="s">
        <v>315</v>
      </c>
      <c r="G215" s="562" t="s">
        <v>1460</v>
      </c>
      <c r="H215" s="562" t="s">
        <v>313</v>
      </c>
      <c r="I215" s="562" t="s">
        <v>1461</v>
      </c>
      <c r="J215" s="604"/>
      <c r="K215" s="562"/>
      <c r="L215" s="604"/>
      <c r="M215" s="603"/>
      <c r="N215" s="602"/>
      <c r="AB215" s="537" t="s">
        <v>348</v>
      </c>
    </row>
    <row r="216" spans="1:31" s="536" customFormat="1" x14ac:dyDescent="0.2">
      <c r="A216" s="605"/>
      <c r="B216" s="552"/>
      <c r="C216" s="1828" t="s">
        <v>318</v>
      </c>
      <c r="D216" s="1828"/>
      <c r="E216" s="1828"/>
      <c r="F216" s="608"/>
      <c r="G216" s="608"/>
      <c r="H216" s="608"/>
      <c r="I216" s="608"/>
      <c r="J216" s="607">
        <v>1051.47</v>
      </c>
      <c r="K216" s="608"/>
      <c r="L216" s="607">
        <v>441.07</v>
      </c>
      <c r="M216" s="601"/>
      <c r="N216" s="606"/>
      <c r="AC216" s="537" t="s">
        <v>318</v>
      </c>
    </row>
    <row r="217" spans="1:31" s="536" customFormat="1" x14ac:dyDescent="0.2">
      <c r="A217" s="605"/>
      <c r="B217" s="552"/>
      <c r="C217" s="1822" t="s">
        <v>319</v>
      </c>
      <c r="D217" s="1822"/>
      <c r="E217" s="1822"/>
      <c r="F217" s="562"/>
      <c r="G217" s="562"/>
      <c r="H217" s="562"/>
      <c r="I217" s="562"/>
      <c r="J217" s="604"/>
      <c r="K217" s="562"/>
      <c r="L217" s="604">
        <v>175.39</v>
      </c>
      <c r="M217" s="603"/>
      <c r="N217" s="602"/>
      <c r="AB217" s="537" t="s">
        <v>319</v>
      </c>
    </row>
    <row r="218" spans="1:31" s="536" customFormat="1" ht="33.75" x14ac:dyDescent="0.2">
      <c r="A218" s="605"/>
      <c r="B218" s="552" t="s">
        <v>648</v>
      </c>
      <c r="C218" s="1822" t="s">
        <v>649</v>
      </c>
      <c r="D218" s="1822"/>
      <c r="E218" s="1822"/>
      <c r="F218" s="562" t="s">
        <v>322</v>
      </c>
      <c r="G218" s="562" t="s">
        <v>650</v>
      </c>
      <c r="H218" s="562"/>
      <c r="I218" s="562" t="s">
        <v>650</v>
      </c>
      <c r="J218" s="604"/>
      <c r="K218" s="562"/>
      <c r="L218" s="604">
        <v>163.11000000000001</v>
      </c>
      <c r="M218" s="603"/>
      <c r="N218" s="602"/>
      <c r="AB218" s="537" t="s">
        <v>649</v>
      </c>
    </row>
    <row r="219" spans="1:31" s="536" customFormat="1" ht="33.75" x14ac:dyDescent="0.2">
      <c r="A219" s="605"/>
      <c r="B219" s="552" t="s">
        <v>651</v>
      </c>
      <c r="C219" s="1822" t="s">
        <v>652</v>
      </c>
      <c r="D219" s="1822"/>
      <c r="E219" s="1822"/>
      <c r="F219" s="562" t="s">
        <v>322</v>
      </c>
      <c r="G219" s="562" t="s">
        <v>653</v>
      </c>
      <c r="H219" s="562"/>
      <c r="I219" s="562" t="s">
        <v>653</v>
      </c>
      <c r="J219" s="604"/>
      <c r="K219" s="562"/>
      <c r="L219" s="604">
        <v>108.74</v>
      </c>
      <c r="M219" s="603"/>
      <c r="N219" s="602"/>
      <c r="AB219" s="537" t="s">
        <v>652</v>
      </c>
    </row>
    <row r="220" spans="1:31" s="536" customFormat="1" x14ac:dyDescent="0.2">
      <c r="A220" s="569"/>
      <c r="B220" s="683"/>
      <c r="C220" s="1823" t="s">
        <v>327</v>
      </c>
      <c r="D220" s="1823"/>
      <c r="E220" s="1823"/>
      <c r="F220" s="573"/>
      <c r="G220" s="573"/>
      <c r="H220" s="573"/>
      <c r="I220" s="573"/>
      <c r="J220" s="572"/>
      <c r="K220" s="573"/>
      <c r="L220" s="572">
        <v>712.92</v>
      </c>
      <c r="M220" s="601"/>
      <c r="N220" s="570"/>
      <c r="AD220" s="537" t="s">
        <v>327</v>
      </c>
    </row>
    <row r="221" spans="1:31" s="536" customFormat="1" ht="45" x14ac:dyDescent="0.2">
      <c r="A221" s="575" t="s">
        <v>736</v>
      </c>
      <c r="B221" s="684" t="s">
        <v>1441</v>
      </c>
      <c r="C221" s="1823" t="s">
        <v>1442</v>
      </c>
      <c r="D221" s="1823"/>
      <c r="E221" s="1823"/>
      <c r="F221" s="573" t="s">
        <v>694</v>
      </c>
      <c r="G221" s="573"/>
      <c r="H221" s="573"/>
      <c r="I221" s="573" t="s">
        <v>1462</v>
      </c>
      <c r="J221" s="572">
        <v>11255</v>
      </c>
      <c r="K221" s="573"/>
      <c r="L221" s="572">
        <v>3950.51</v>
      </c>
      <c r="M221" s="571"/>
      <c r="N221" s="570"/>
      <c r="X221" s="537" t="s">
        <v>1442</v>
      </c>
    </row>
    <row r="222" spans="1:31" s="536" customFormat="1" x14ac:dyDescent="0.2">
      <c r="A222" s="569"/>
      <c r="B222" s="683"/>
      <c r="C222" s="689" t="s">
        <v>717</v>
      </c>
      <c r="D222" s="690"/>
      <c r="E222" s="690"/>
      <c r="F222" s="563"/>
      <c r="G222" s="563"/>
      <c r="H222" s="563"/>
      <c r="I222" s="563"/>
      <c r="J222" s="566"/>
      <c r="K222" s="563"/>
      <c r="L222" s="566"/>
      <c r="M222" s="565"/>
      <c r="N222" s="564"/>
    </row>
    <row r="223" spans="1:31" s="536" customFormat="1" x14ac:dyDescent="0.2">
      <c r="A223" s="676"/>
      <c r="B223" s="682"/>
      <c r="C223" s="1822" t="s">
        <v>1463</v>
      </c>
      <c r="D223" s="1822"/>
      <c r="E223" s="1822"/>
      <c r="F223" s="1822"/>
      <c r="G223" s="1822"/>
      <c r="H223" s="1822"/>
      <c r="I223" s="1822"/>
      <c r="J223" s="1822"/>
      <c r="K223" s="1822"/>
      <c r="L223" s="1822"/>
      <c r="M223" s="1822"/>
      <c r="N223" s="1827"/>
      <c r="Y223" s="537" t="s">
        <v>1463</v>
      </c>
    </row>
    <row r="224" spans="1:31" s="536" customFormat="1" x14ac:dyDescent="0.2">
      <c r="A224" s="575" t="s">
        <v>1067</v>
      </c>
      <c r="B224" s="684" t="s">
        <v>1464</v>
      </c>
      <c r="C224" s="1823" t="s">
        <v>1465</v>
      </c>
      <c r="D224" s="1823"/>
      <c r="E224" s="1823"/>
      <c r="F224" s="573" t="s">
        <v>694</v>
      </c>
      <c r="G224" s="573"/>
      <c r="H224" s="573"/>
      <c r="I224" s="573" t="s">
        <v>1466</v>
      </c>
      <c r="J224" s="572"/>
      <c r="K224" s="573"/>
      <c r="L224" s="572"/>
      <c r="M224" s="571"/>
      <c r="N224" s="570"/>
      <c r="X224" s="537" t="s">
        <v>1465</v>
      </c>
    </row>
    <row r="225" spans="1:31" s="536" customFormat="1" x14ac:dyDescent="0.2">
      <c r="A225" s="676"/>
      <c r="B225" s="682"/>
      <c r="C225" s="1822" t="s">
        <v>1467</v>
      </c>
      <c r="D225" s="1822"/>
      <c r="E225" s="1822"/>
      <c r="F225" s="1822"/>
      <c r="G225" s="1822"/>
      <c r="H225" s="1822"/>
      <c r="I225" s="1822"/>
      <c r="J225" s="1822"/>
      <c r="K225" s="1822"/>
      <c r="L225" s="1822"/>
      <c r="M225" s="1822"/>
      <c r="N225" s="1827"/>
      <c r="Y225" s="537" t="s">
        <v>1467</v>
      </c>
    </row>
    <row r="226" spans="1:31" s="536" customFormat="1" ht="33.75" x14ac:dyDescent="0.2">
      <c r="A226" s="609"/>
      <c r="B226" s="552" t="s">
        <v>310</v>
      </c>
      <c r="C226" s="1822" t="s">
        <v>311</v>
      </c>
      <c r="D226" s="1822"/>
      <c r="E226" s="1822"/>
      <c r="F226" s="1822"/>
      <c r="G226" s="1822"/>
      <c r="H226" s="1822"/>
      <c r="I226" s="1822"/>
      <c r="J226" s="1822"/>
      <c r="K226" s="1822"/>
      <c r="L226" s="1822"/>
      <c r="M226" s="1822"/>
      <c r="N226" s="1827"/>
      <c r="Z226" s="537" t="s">
        <v>311</v>
      </c>
    </row>
    <row r="227" spans="1:31" s="536" customFormat="1" x14ac:dyDescent="0.2">
      <c r="A227" s="605"/>
      <c r="B227" s="552" t="s">
        <v>185</v>
      </c>
      <c r="C227" s="1822" t="s">
        <v>312</v>
      </c>
      <c r="D227" s="1822"/>
      <c r="E227" s="1822"/>
      <c r="F227" s="562"/>
      <c r="G227" s="562"/>
      <c r="H227" s="562"/>
      <c r="I227" s="562"/>
      <c r="J227" s="604">
        <v>254.52</v>
      </c>
      <c r="K227" s="562" t="s">
        <v>313</v>
      </c>
      <c r="L227" s="604">
        <v>74.19</v>
      </c>
      <c r="M227" s="603"/>
      <c r="N227" s="602"/>
      <c r="AA227" s="537" t="s">
        <v>312</v>
      </c>
    </row>
    <row r="228" spans="1:31" s="536" customFormat="1" x14ac:dyDescent="0.2">
      <c r="A228" s="605"/>
      <c r="B228" s="552" t="s">
        <v>186</v>
      </c>
      <c r="C228" s="1822" t="s">
        <v>344</v>
      </c>
      <c r="D228" s="1822"/>
      <c r="E228" s="1822"/>
      <c r="F228" s="562"/>
      <c r="G228" s="562"/>
      <c r="H228" s="562"/>
      <c r="I228" s="562"/>
      <c r="J228" s="604">
        <v>536.02</v>
      </c>
      <c r="K228" s="562" t="s">
        <v>313</v>
      </c>
      <c r="L228" s="604">
        <v>156.25</v>
      </c>
      <c r="M228" s="603"/>
      <c r="N228" s="602"/>
      <c r="AA228" s="537" t="s">
        <v>344</v>
      </c>
    </row>
    <row r="229" spans="1:31" s="536" customFormat="1" x14ac:dyDescent="0.2">
      <c r="A229" s="605"/>
      <c r="B229" s="552" t="s">
        <v>187</v>
      </c>
      <c r="C229" s="1822" t="s">
        <v>345</v>
      </c>
      <c r="D229" s="1822"/>
      <c r="E229" s="1822"/>
      <c r="F229" s="562"/>
      <c r="G229" s="562"/>
      <c r="H229" s="562"/>
      <c r="I229" s="562"/>
      <c r="J229" s="604">
        <v>41.45</v>
      </c>
      <c r="K229" s="562" t="s">
        <v>313</v>
      </c>
      <c r="L229" s="604">
        <v>12.08</v>
      </c>
      <c r="M229" s="603"/>
      <c r="N229" s="602"/>
      <c r="AA229" s="537" t="s">
        <v>345</v>
      </c>
    </row>
    <row r="230" spans="1:31" s="536" customFormat="1" x14ac:dyDescent="0.2">
      <c r="A230" s="605"/>
      <c r="B230" s="552" t="s">
        <v>188</v>
      </c>
      <c r="C230" s="1822" t="s">
        <v>475</v>
      </c>
      <c r="D230" s="1822"/>
      <c r="E230" s="1822"/>
      <c r="F230" s="562"/>
      <c r="G230" s="562"/>
      <c r="H230" s="562"/>
      <c r="I230" s="562"/>
      <c r="J230" s="604">
        <v>225.64</v>
      </c>
      <c r="K230" s="562"/>
      <c r="L230" s="604">
        <v>52.62</v>
      </c>
      <c r="M230" s="603"/>
      <c r="N230" s="602"/>
      <c r="AA230" s="537" t="s">
        <v>475</v>
      </c>
    </row>
    <row r="231" spans="1:31" s="536" customFormat="1" x14ac:dyDescent="0.2">
      <c r="A231" s="676"/>
      <c r="B231" s="677" t="s">
        <v>697</v>
      </c>
      <c r="C231" s="1829" t="s">
        <v>698</v>
      </c>
      <c r="D231" s="1829"/>
      <c r="E231" s="1829"/>
      <c r="F231" s="678" t="s">
        <v>699</v>
      </c>
      <c r="G231" s="678" t="s">
        <v>525</v>
      </c>
      <c r="H231" s="678"/>
      <c r="I231" s="678" t="s">
        <v>525</v>
      </c>
      <c r="J231" s="552"/>
      <c r="K231" s="562"/>
      <c r="L231" s="604"/>
      <c r="M231" s="562"/>
      <c r="N231" s="679"/>
      <c r="AE231" s="537" t="s">
        <v>698</v>
      </c>
    </row>
    <row r="232" spans="1:31" s="536" customFormat="1" x14ac:dyDescent="0.2">
      <c r="A232" s="676"/>
      <c r="B232" s="677" t="s">
        <v>1468</v>
      </c>
      <c r="C232" s="1829" t="s">
        <v>1229</v>
      </c>
      <c r="D232" s="1829"/>
      <c r="E232" s="1829"/>
      <c r="F232" s="678" t="s">
        <v>694</v>
      </c>
      <c r="G232" s="678" t="s">
        <v>185</v>
      </c>
      <c r="H232" s="678"/>
      <c r="I232" s="678" t="s">
        <v>1466</v>
      </c>
      <c r="J232" s="552"/>
      <c r="K232" s="562"/>
      <c r="L232" s="604"/>
      <c r="M232" s="562"/>
      <c r="N232" s="679"/>
      <c r="AE232" s="537" t="s">
        <v>1229</v>
      </c>
    </row>
    <row r="233" spans="1:31" s="536" customFormat="1" x14ac:dyDescent="0.2">
      <c r="A233" s="605"/>
      <c r="B233" s="552"/>
      <c r="C233" s="1822" t="s">
        <v>314</v>
      </c>
      <c r="D233" s="1822"/>
      <c r="E233" s="1822"/>
      <c r="F233" s="562" t="s">
        <v>315</v>
      </c>
      <c r="G233" s="562" t="s">
        <v>1469</v>
      </c>
      <c r="H233" s="562" t="s">
        <v>313</v>
      </c>
      <c r="I233" s="562" t="s">
        <v>1470</v>
      </c>
      <c r="J233" s="604"/>
      <c r="K233" s="562"/>
      <c r="L233" s="604"/>
      <c r="M233" s="603"/>
      <c r="N233" s="602"/>
      <c r="AB233" s="537" t="s">
        <v>314</v>
      </c>
    </row>
    <row r="234" spans="1:31" s="536" customFormat="1" x14ac:dyDescent="0.2">
      <c r="A234" s="605"/>
      <c r="B234" s="552"/>
      <c r="C234" s="1822" t="s">
        <v>348</v>
      </c>
      <c r="D234" s="1822"/>
      <c r="E234" s="1822"/>
      <c r="F234" s="562" t="s">
        <v>315</v>
      </c>
      <c r="G234" s="562" t="s">
        <v>1471</v>
      </c>
      <c r="H234" s="562" t="s">
        <v>313</v>
      </c>
      <c r="I234" s="562" t="s">
        <v>1472</v>
      </c>
      <c r="J234" s="604"/>
      <c r="K234" s="562"/>
      <c r="L234" s="604"/>
      <c r="M234" s="603"/>
      <c r="N234" s="602"/>
      <c r="AB234" s="537" t="s">
        <v>348</v>
      </c>
    </row>
    <row r="235" spans="1:31" s="536" customFormat="1" x14ac:dyDescent="0.2">
      <c r="A235" s="605"/>
      <c r="B235" s="552"/>
      <c r="C235" s="1828" t="s">
        <v>318</v>
      </c>
      <c r="D235" s="1828"/>
      <c r="E235" s="1828"/>
      <c r="F235" s="608"/>
      <c r="G235" s="608"/>
      <c r="H235" s="608"/>
      <c r="I235" s="608"/>
      <c r="J235" s="607">
        <v>1016.18</v>
      </c>
      <c r="K235" s="608"/>
      <c r="L235" s="607">
        <v>283.06</v>
      </c>
      <c r="M235" s="601"/>
      <c r="N235" s="606"/>
      <c r="AC235" s="537" t="s">
        <v>318</v>
      </c>
    </row>
    <row r="236" spans="1:31" s="536" customFormat="1" x14ac:dyDescent="0.2">
      <c r="A236" s="605"/>
      <c r="B236" s="552"/>
      <c r="C236" s="1822" t="s">
        <v>319</v>
      </c>
      <c r="D236" s="1822"/>
      <c r="E236" s="1822"/>
      <c r="F236" s="562"/>
      <c r="G236" s="562"/>
      <c r="H236" s="562"/>
      <c r="I236" s="562"/>
      <c r="J236" s="604"/>
      <c r="K236" s="562"/>
      <c r="L236" s="604">
        <v>86.27</v>
      </c>
      <c r="M236" s="603"/>
      <c r="N236" s="602"/>
      <c r="AB236" s="537" t="s">
        <v>319</v>
      </c>
    </row>
    <row r="237" spans="1:31" s="536" customFormat="1" ht="33.75" x14ac:dyDescent="0.2">
      <c r="A237" s="605"/>
      <c r="B237" s="552" t="s">
        <v>648</v>
      </c>
      <c r="C237" s="1822" t="s">
        <v>649</v>
      </c>
      <c r="D237" s="1822"/>
      <c r="E237" s="1822"/>
      <c r="F237" s="562" t="s">
        <v>322</v>
      </c>
      <c r="G237" s="562" t="s">
        <v>650</v>
      </c>
      <c r="H237" s="562"/>
      <c r="I237" s="562" t="s">
        <v>650</v>
      </c>
      <c r="J237" s="604"/>
      <c r="K237" s="562"/>
      <c r="L237" s="604">
        <v>80.23</v>
      </c>
      <c r="M237" s="603"/>
      <c r="N237" s="602"/>
      <c r="AB237" s="537" t="s">
        <v>649</v>
      </c>
    </row>
    <row r="238" spans="1:31" s="536" customFormat="1" ht="33.75" x14ac:dyDescent="0.2">
      <c r="A238" s="605"/>
      <c r="B238" s="552" t="s">
        <v>651</v>
      </c>
      <c r="C238" s="1822" t="s">
        <v>652</v>
      </c>
      <c r="D238" s="1822"/>
      <c r="E238" s="1822"/>
      <c r="F238" s="562" t="s">
        <v>322</v>
      </c>
      <c r="G238" s="562" t="s">
        <v>653</v>
      </c>
      <c r="H238" s="562"/>
      <c r="I238" s="562" t="s">
        <v>653</v>
      </c>
      <c r="J238" s="604"/>
      <c r="K238" s="562"/>
      <c r="L238" s="604">
        <v>53.49</v>
      </c>
      <c r="M238" s="603"/>
      <c r="N238" s="602"/>
      <c r="AB238" s="537" t="s">
        <v>652</v>
      </c>
    </row>
    <row r="239" spans="1:31" s="536" customFormat="1" x14ac:dyDescent="0.2">
      <c r="A239" s="569"/>
      <c r="B239" s="683"/>
      <c r="C239" s="1823" t="s">
        <v>327</v>
      </c>
      <c r="D239" s="1823"/>
      <c r="E239" s="1823"/>
      <c r="F239" s="573"/>
      <c r="G239" s="573"/>
      <c r="H239" s="573"/>
      <c r="I239" s="573"/>
      <c r="J239" s="572"/>
      <c r="K239" s="573"/>
      <c r="L239" s="572">
        <v>416.78</v>
      </c>
      <c r="M239" s="601"/>
      <c r="N239" s="570"/>
      <c r="AD239" s="537" t="s">
        <v>327</v>
      </c>
    </row>
    <row r="240" spans="1:31" s="536" customFormat="1" ht="45" x14ac:dyDescent="0.2">
      <c r="A240" s="575" t="s">
        <v>912</v>
      </c>
      <c r="B240" s="684" t="s">
        <v>1441</v>
      </c>
      <c r="C240" s="1823" t="s">
        <v>1442</v>
      </c>
      <c r="D240" s="1823"/>
      <c r="E240" s="1823"/>
      <c r="F240" s="573" t="s">
        <v>694</v>
      </c>
      <c r="G240" s="573"/>
      <c r="H240" s="573"/>
      <c r="I240" s="573" t="s">
        <v>1473</v>
      </c>
      <c r="J240" s="572">
        <v>11255</v>
      </c>
      <c r="K240" s="573"/>
      <c r="L240" s="572">
        <v>2623.54</v>
      </c>
      <c r="M240" s="571"/>
      <c r="N240" s="570"/>
      <c r="X240" s="537" t="s">
        <v>1442</v>
      </c>
    </row>
    <row r="241" spans="1:30" s="536" customFormat="1" x14ac:dyDescent="0.2">
      <c r="A241" s="569"/>
      <c r="B241" s="683"/>
      <c r="C241" s="689" t="s">
        <v>717</v>
      </c>
      <c r="D241" s="690"/>
      <c r="E241" s="690"/>
      <c r="F241" s="563"/>
      <c r="G241" s="563"/>
      <c r="H241" s="563"/>
      <c r="I241" s="563"/>
      <c r="J241" s="566"/>
      <c r="K241" s="563"/>
      <c r="L241" s="566"/>
      <c r="M241" s="565"/>
      <c r="N241" s="564"/>
    </row>
    <row r="242" spans="1:30" s="536" customFormat="1" x14ac:dyDescent="0.2">
      <c r="A242" s="676"/>
      <c r="B242" s="682"/>
      <c r="C242" s="1822" t="s">
        <v>1474</v>
      </c>
      <c r="D242" s="1822"/>
      <c r="E242" s="1822"/>
      <c r="F242" s="1822"/>
      <c r="G242" s="1822"/>
      <c r="H242" s="1822"/>
      <c r="I242" s="1822"/>
      <c r="J242" s="1822"/>
      <c r="K242" s="1822"/>
      <c r="L242" s="1822"/>
      <c r="M242" s="1822"/>
      <c r="N242" s="1827"/>
      <c r="Y242" s="537" t="s">
        <v>1474</v>
      </c>
    </row>
    <row r="243" spans="1:30" s="536" customFormat="1" ht="22.5" x14ac:dyDescent="0.2">
      <c r="A243" s="575" t="s">
        <v>757</v>
      </c>
      <c r="B243" s="684" t="s">
        <v>1475</v>
      </c>
      <c r="C243" s="1823" t="s">
        <v>1476</v>
      </c>
      <c r="D243" s="1823"/>
      <c r="E243" s="1823"/>
      <c r="F243" s="573" t="s">
        <v>862</v>
      </c>
      <c r="G243" s="573"/>
      <c r="H243" s="573"/>
      <c r="I243" s="573" t="s">
        <v>1477</v>
      </c>
      <c r="J243" s="572"/>
      <c r="K243" s="573"/>
      <c r="L243" s="572"/>
      <c r="M243" s="571"/>
      <c r="N243" s="570"/>
      <c r="X243" s="537" t="s">
        <v>1476</v>
      </c>
    </row>
    <row r="244" spans="1:30" s="536" customFormat="1" x14ac:dyDescent="0.2">
      <c r="A244" s="676"/>
      <c r="B244" s="682"/>
      <c r="C244" s="1822" t="s">
        <v>1478</v>
      </c>
      <c r="D244" s="1822"/>
      <c r="E244" s="1822"/>
      <c r="F244" s="1822"/>
      <c r="G244" s="1822"/>
      <c r="H244" s="1822"/>
      <c r="I244" s="1822"/>
      <c r="J244" s="1822"/>
      <c r="K244" s="1822"/>
      <c r="L244" s="1822"/>
      <c r="M244" s="1822"/>
      <c r="N244" s="1827"/>
      <c r="Y244" s="537" t="s">
        <v>1478</v>
      </c>
    </row>
    <row r="245" spans="1:30" s="536" customFormat="1" ht="33.75" x14ac:dyDescent="0.2">
      <c r="A245" s="609"/>
      <c r="B245" s="552" t="s">
        <v>310</v>
      </c>
      <c r="C245" s="1822" t="s">
        <v>311</v>
      </c>
      <c r="D245" s="1822"/>
      <c r="E245" s="1822"/>
      <c r="F245" s="1822"/>
      <c r="G245" s="1822"/>
      <c r="H245" s="1822"/>
      <c r="I245" s="1822"/>
      <c r="J245" s="1822"/>
      <c r="K245" s="1822"/>
      <c r="L245" s="1822"/>
      <c r="M245" s="1822"/>
      <c r="N245" s="1827"/>
      <c r="Z245" s="537" t="s">
        <v>311</v>
      </c>
    </row>
    <row r="246" spans="1:30" s="536" customFormat="1" x14ac:dyDescent="0.2">
      <c r="A246" s="605"/>
      <c r="B246" s="552" t="s">
        <v>185</v>
      </c>
      <c r="C246" s="1822" t="s">
        <v>312</v>
      </c>
      <c r="D246" s="1822"/>
      <c r="E246" s="1822"/>
      <c r="F246" s="562"/>
      <c r="G246" s="562"/>
      <c r="H246" s="562"/>
      <c r="I246" s="562"/>
      <c r="J246" s="604">
        <v>40.020000000000003</v>
      </c>
      <c r="K246" s="562" t="s">
        <v>313</v>
      </c>
      <c r="L246" s="604">
        <v>28.48</v>
      </c>
      <c r="M246" s="603"/>
      <c r="N246" s="602"/>
      <c r="AA246" s="537" t="s">
        <v>312</v>
      </c>
    </row>
    <row r="247" spans="1:30" s="536" customFormat="1" x14ac:dyDescent="0.2">
      <c r="A247" s="605"/>
      <c r="B247" s="552" t="s">
        <v>186</v>
      </c>
      <c r="C247" s="1822" t="s">
        <v>344</v>
      </c>
      <c r="D247" s="1822"/>
      <c r="E247" s="1822"/>
      <c r="F247" s="562"/>
      <c r="G247" s="562"/>
      <c r="H247" s="562"/>
      <c r="I247" s="562"/>
      <c r="J247" s="604">
        <v>15.9</v>
      </c>
      <c r="K247" s="562" t="s">
        <v>313</v>
      </c>
      <c r="L247" s="604">
        <v>11.32</v>
      </c>
      <c r="M247" s="603"/>
      <c r="N247" s="602"/>
      <c r="AA247" s="537" t="s">
        <v>344</v>
      </c>
    </row>
    <row r="248" spans="1:30" s="536" customFormat="1" x14ac:dyDescent="0.2">
      <c r="A248" s="605"/>
      <c r="B248" s="552" t="s">
        <v>187</v>
      </c>
      <c r="C248" s="1822" t="s">
        <v>345</v>
      </c>
      <c r="D248" s="1822"/>
      <c r="E248" s="1822"/>
      <c r="F248" s="562"/>
      <c r="G248" s="562"/>
      <c r="H248" s="562"/>
      <c r="I248" s="562"/>
      <c r="J248" s="604">
        <v>0.22</v>
      </c>
      <c r="K248" s="562" t="s">
        <v>313</v>
      </c>
      <c r="L248" s="604">
        <v>0.16</v>
      </c>
      <c r="M248" s="603"/>
      <c r="N248" s="602"/>
      <c r="AA248" s="537" t="s">
        <v>345</v>
      </c>
    </row>
    <row r="249" spans="1:30" s="536" customFormat="1" x14ac:dyDescent="0.2">
      <c r="A249" s="605"/>
      <c r="B249" s="552" t="s">
        <v>188</v>
      </c>
      <c r="C249" s="1822" t="s">
        <v>475</v>
      </c>
      <c r="D249" s="1822"/>
      <c r="E249" s="1822"/>
      <c r="F249" s="562"/>
      <c r="G249" s="562"/>
      <c r="H249" s="562"/>
      <c r="I249" s="562"/>
      <c r="J249" s="604">
        <v>1308.99</v>
      </c>
      <c r="K249" s="562"/>
      <c r="L249" s="604">
        <v>745.34</v>
      </c>
      <c r="M249" s="603"/>
      <c r="N249" s="602"/>
      <c r="AA249" s="537" t="s">
        <v>475</v>
      </c>
    </row>
    <row r="250" spans="1:30" s="536" customFormat="1" x14ac:dyDescent="0.2">
      <c r="A250" s="605"/>
      <c r="B250" s="552"/>
      <c r="C250" s="1822" t="s">
        <v>314</v>
      </c>
      <c r="D250" s="1822"/>
      <c r="E250" s="1822"/>
      <c r="F250" s="562" t="s">
        <v>315</v>
      </c>
      <c r="G250" s="562" t="s">
        <v>1479</v>
      </c>
      <c r="H250" s="562" t="s">
        <v>313</v>
      </c>
      <c r="I250" s="562" t="s">
        <v>1480</v>
      </c>
      <c r="J250" s="604"/>
      <c r="K250" s="562"/>
      <c r="L250" s="604"/>
      <c r="M250" s="603"/>
      <c r="N250" s="602"/>
      <c r="AB250" s="537" t="s">
        <v>314</v>
      </c>
    </row>
    <row r="251" spans="1:30" s="536" customFormat="1" x14ac:dyDescent="0.2">
      <c r="A251" s="605"/>
      <c r="B251" s="552"/>
      <c r="C251" s="1822" t="s">
        <v>348</v>
      </c>
      <c r="D251" s="1822"/>
      <c r="E251" s="1822"/>
      <c r="F251" s="562" t="s">
        <v>315</v>
      </c>
      <c r="G251" s="562" t="s">
        <v>695</v>
      </c>
      <c r="H251" s="562" t="s">
        <v>313</v>
      </c>
      <c r="I251" s="562" t="s">
        <v>1481</v>
      </c>
      <c r="J251" s="604"/>
      <c r="K251" s="562"/>
      <c r="L251" s="604"/>
      <c r="M251" s="603"/>
      <c r="N251" s="602"/>
      <c r="AB251" s="537" t="s">
        <v>348</v>
      </c>
    </row>
    <row r="252" spans="1:30" s="536" customFormat="1" x14ac:dyDescent="0.2">
      <c r="A252" s="605"/>
      <c r="B252" s="552"/>
      <c r="C252" s="1828" t="s">
        <v>318</v>
      </c>
      <c r="D252" s="1828"/>
      <c r="E252" s="1828"/>
      <c r="F252" s="608"/>
      <c r="G252" s="608"/>
      <c r="H252" s="608"/>
      <c r="I252" s="608"/>
      <c r="J252" s="607">
        <v>1364.91</v>
      </c>
      <c r="K252" s="608"/>
      <c r="L252" s="607">
        <v>785.14</v>
      </c>
      <c r="M252" s="601"/>
      <c r="N252" s="606"/>
      <c r="AC252" s="537" t="s">
        <v>318</v>
      </c>
    </row>
    <row r="253" spans="1:30" s="536" customFormat="1" x14ac:dyDescent="0.2">
      <c r="A253" s="605"/>
      <c r="B253" s="552"/>
      <c r="C253" s="1822" t="s">
        <v>319</v>
      </c>
      <c r="D253" s="1822"/>
      <c r="E253" s="1822"/>
      <c r="F253" s="562"/>
      <c r="G253" s="562"/>
      <c r="H253" s="562"/>
      <c r="I253" s="562"/>
      <c r="J253" s="604"/>
      <c r="K253" s="562"/>
      <c r="L253" s="604">
        <v>28.64</v>
      </c>
      <c r="M253" s="603"/>
      <c r="N253" s="602"/>
      <c r="AB253" s="537" t="s">
        <v>319</v>
      </c>
    </row>
    <row r="254" spans="1:30" s="536" customFormat="1" ht="33.75" x14ac:dyDescent="0.2">
      <c r="A254" s="605"/>
      <c r="B254" s="552" t="s">
        <v>1482</v>
      </c>
      <c r="C254" s="1822" t="s">
        <v>1483</v>
      </c>
      <c r="D254" s="1822"/>
      <c r="E254" s="1822"/>
      <c r="F254" s="562" t="s">
        <v>322</v>
      </c>
      <c r="G254" s="562" t="s">
        <v>1484</v>
      </c>
      <c r="H254" s="562"/>
      <c r="I254" s="562" t="s">
        <v>1484</v>
      </c>
      <c r="J254" s="604"/>
      <c r="K254" s="562"/>
      <c r="L254" s="604">
        <v>26.92</v>
      </c>
      <c r="M254" s="603"/>
      <c r="N254" s="602"/>
      <c r="AB254" s="537" t="s">
        <v>1483</v>
      </c>
    </row>
    <row r="255" spans="1:30" s="536" customFormat="1" ht="33.75" x14ac:dyDescent="0.2">
      <c r="A255" s="605"/>
      <c r="B255" s="552" t="s">
        <v>1485</v>
      </c>
      <c r="C255" s="1822" t="s">
        <v>1486</v>
      </c>
      <c r="D255" s="1822"/>
      <c r="E255" s="1822"/>
      <c r="F255" s="562" t="s">
        <v>322</v>
      </c>
      <c r="G255" s="562" t="s">
        <v>786</v>
      </c>
      <c r="H255" s="562"/>
      <c r="I255" s="562" t="s">
        <v>786</v>
      </c>
      <c r="J255" s="604"/>
      <c r="K255" s="562"/>
      <c r="L255" s="604">
        <v>14.61</v>
      </c>
      <c r="M255" s="603"/>
      <c r="N255" s="602"/>
      <c r="AB255" s="537" t="s">
        <v>1486</v>
      </c>
    </row>
    <row r="256" spans="1:30" s="536" customFormat="1" x14ac:dyDescent="0.2">
      <c r="A256" s="569"/>
      <c r="B256" s="683"/>
      <c r="C256" s="1823" t="s">
        <v>327</v>
      </c>
      <c r="D256" s="1823"/>
      <c r="E256" s="1823"/>
      <c r="F256" s="573"/>
      <c r="G256" s="573"/>
      <c r="H256" s="573"/>
      <c r="I256" s="573"/>
      <c r="J256" s="572"/>
      <c r="K256" s="573"/>
      <c r="L256" s="572">
        <v>826.67</v>
      </c>
      <c r="M256" s="601"/>
      <c r="N256" s="570"/>
      <c r="AD256" s="537" t="s">
        <v>327</v>
      </c>
    </row>
    <row r="257" spans="1:30" s="536" customFormat="1" ht="22.5" x14ac:dyDescent="0.2">
      <c r="A257" s="575" t="s">
        <v>1079</v>
      </c>
      <c r="B257" s="684" t="s">
        <v>1487</v>
      </c>
      <c r="C257" s="1823" t="s">
        <v>1488</v>
      </c>
      <c r="D257" s="1823"/>
      <c r="E257" s="1823"/>
      <c r="F257" s="573" t="s">
        <v>862</v>
      </c>
      <c r="G257" s="573"/>
      <c r="H257" s="573"/>
      <c r="I257" s="573" t="s">
        <v>1477</v>
      </c>
      <c r="J257" s="572"/>
      <c r="K257" s="573"/>
      <c r="L257" s="572"/>
      <c r="M257" s="571"/>
      <c r="N257" s="570"/>
      <c r="X257" s="537" t="s">
        <v>1488</v>
      </c>
    </row>
    <row r="258" spans="1:30" s="536" customFormat="1" x14ac:dyDescent="0.2">
      <c r="A258" s="676"/>
      <c r="B258" s="682"/>
      <c r="C258" s="1822" t="s">
        <v>1478</v>
      </c>
      <c r="D258" s="1822"/>
      <c r="E258" s="1822"/>
      <c r="F258" s="1822"/>
      <c r="G258" s="1822"/>
      <c r="H258" s="1822"/>
      <c r="I258" s="1822"/>
      <c r="J258" s="1822"/>
      <c r="K258" s="1822"/>
      <c r="L258" s="1822"/>
      <c r="M258" s="1822"/>
      <c r="N258" s="1827"/>
      <c r="Y258" s="537" t="s">
        <v>1478</v>
      </c>
    </row>
    <row r="259" spans="1:30" s="536" customFormat="1" ht="33.75" x14ac:dyDescent="0.2">
      <c r="A259" s="609"/>
      <c r="B259" s="552" t="s">
        <v>310</v>
      </c>
      <c r="C259" s="1822" t="s">
        <v>311</v>
      </c>
      <c r="D259" s="1822"/>
      <c r="E259" s="1822"/>
      <c r="F259" s="1822"/>
      <c r="G259" s="1822"/>
      <c r="H259" s="1822"/>
      <c r="I259" s="1822"/>
      <c r="J259" s="1822"/>
      <c r="K259" s="1822"/>
      <c r="L259" s="1822"/>
      <c r="M259" s="1822"/>
      <c r="N259" s="1827"/>
      <c r="Z259" s="537" t="s">
        <v>311</v>
      </c>
    </row>
    <row r="260" spans="1:30" s="536" customFormat="1" x14ac:dyDescent="0.2">
      <c r="A260" s="605"/>
      <c r="B260" s="552" t="s">
        <v>185</v>
      </c>
      <c r="C260" s="1822" t="s">
        <v>312</v>
      </c>
      <c r="D260" s="1822"/>
      <c r="E260" s="1822"/>
      <c r="F260" s="562"/>
      <c r="G260" s="562"/>
      <c r="H260" s="562"/>
      <c r="I260" s="562"/>
      <c r="J260" s="604">
        <v>19.32</v>
      </c>
      <c r="K260" s="562" t="s">
        <v>313</v>
      </c>
      <c r="L260" s="604">
        <v>13.75</v>
      </c>
      <c r="M260" s="603"/>
      <c r="N260" s="602"/>
      <c r="AA260" s="537" t="s">
        <v>312</v>
      </c>
    </row>
    <row r="261" spans="1:30" s="536" customFormat="1" x14ac:dyDescent="0.2">
      <c r="A261" s="605"/>
      <c r="B261" s="552" t="s">
        <v>186</v>
      </c>
      <c r="C261" s="1822" t="s">
        <v>344</v>
      </c>
      <c r="D261" s="1822"/>
      <c r="E261" s="1822"/>
      <c r="F261" s="562"/>
      <c r="G261" s="562"/>
      <c r="H261" s="562"/>
      <c r="I261" s="562"/>
      <c r="J261" s="604">
        <v>6.01</v>
      </c>
      <c r="K261" s="562" t="s">
        <v>313</v>
      </c>
      <c r="L261" s="604">
        <v>4.28</v>
      </c>
      <c r="M261" s="603"/>
      <c r="N261" s="602"/>
      <c r="AA261" s="537" t="s">
        <v>344</v>
      </c>
    </row>
    <row r="262" spans="1:30" s="536" customFormat="1" x14ac:dyDescent="0.2">
      <c r="A262" s="605"/>
      <c r="B262" s="552" t="s">
        <v>187</v>
      </c>
      <c r="C262" s="1822" t="s">
        <v>345</v>
      </c>
      <c r="D262" s="1822"/>
      <c r="E262" s="1822"/>
      <c r="F262" s="562"/>
      <c r="G262" s="562"/>
      <c r="H262" s="562"/>
      <c r="I262" s="562"/>
      <c r="J262" s="604">
        <v>0.22</v>
      </c>
      <c r="K262" s="562" t="s">
        <v>313</v>
      </c>
      <c r="L262" s="604">
        <v>0.16</v>
      </c>
      <c r="M262" s="603"/>
      <c r="N262" s="602"/>
      <c r="AA262" s="537" t="s">
        <v>345</v>
      </c>
    </row>
    <row r="263" spans="1:30" s="536" customFormat="1" x14ac:dyDescent="0.2">
      <c r="A263" s="605"/>
      <c r="B263" s="552" t="s">
        <v>188</v>
      </c>
      <c r="C263" s="1822" t="s">
        <v>475</v>
      </c>
      <c r="D263" s="1822"/>
      <c r="E263" s="1822"/>
      <c r="F263" s="562"/>
      <c r="G263" s="562"/>
      <c r="H263" s="562"/>
      <c r="I263" s="562"/>
      <c r="J263" s="604">
        <v>138.16</v>
      </c>
      <c r="K263" s="562"/>
      <c r="L263" s="604">
        <v>5.32</v>
      </c>
      <c r="M263" s="603"/>
      <c r="N263" s="602"/>
      <c r="AA263" s="537" t="s">
        <v>475</v>
      </c>
    </row>
    <row r="264" spans="1:30" s="536" customFormat="1" x14ac:dyDescent="0.2">
      <c r="A264" s="605"/>
      <c r="B264" s="552"/>
      <c r="C264" s="1822" t="s">
        <v>314</v>
      </c>
      <c r="D264" s="1822"/>
      <c r="E264" s="1822"/>
      <c r="F264" s="562" t="s">
        <v>315</v>
      </c>
      <c r="G264" s="562" t="s">
        <v>1489</v>
      </c>
      <c r="H264" s="562" t="s">
        <v>313</v>
      </c>
      <c r="I264" s="562" t="s">
        <v>1490</v>
      </c>
      <c r="J264" s="604"/>
      <c r="K264" s="562"/>
      <c r="L264" s="604"/>
      <c r="M264" s="603"/>
      <c r="N264" s="602"/>
      <c r="AB264" s="537" t="s">
        <v>314</v>
      </c>
    </row>
    <row r="265" spans="1:30" s="536" customFormat="1" x14ac:dyDescent="0.2">
      <c r="A265" s="605"/>
      <c r="B265" s="552"/>
      <c r="C265" s="1822" t="s">
        <v>348</v>
      </c>
      <c r="D265" s="1822"/>
      <c r="E265" s="1822"/>
      <c r="F265" s="562" t="s">
        <v>315</v>
      </c>
      <c r="G265" s="562" t="s">
        <v>695</v>
      </c>
      <c r="H265" s="562" t="s">
        <v>313</v>
      </c>
      <c r="I265" s="562" t="s">
        <v>1481</v>
      </c>
      <c r="J265" s="604"/>
      <c r="K265" s="562"/>
      <c r="L265" s="604"/>
      <c r="M265" s="603"/>
      <c r="N265" s="602"/>
      <c r="AB265" s="537" t="s">
        <v>348</v>
      </c>
    </row>
    <row r="266" spans="1:30" s="536" customFormat="1" x14ac:dyDescent="0.2">
      <c r="A266" s="605"/>
      <c r="B266" s="552"/>
      <c r="C266" s="1828" t="s">
        <v>318</v>
      </c>
      <c r="D266" s="1828"/>
      <c r="E266" s="1828"/>
      <c r="F266" s="608"/>
      <c r="G266" s="608"/>
      <c r="H266" s="608"/>
      <c r="I266" s="608"/>
      <c r="J266" s="607">
        <v>34.67</v>
      </c>
      <c r="K266" s="608"/>
      <c r="L266" s="607">
        <v>23.35</v>
      </c>
      <c r="M266" s="601"/>
      <c r="N266" s="606"/>
      <c r="AC266" s="537" t="s">
        <v>318</v>
      </c>
    </row>
    <row r="267" spans="1:30" s="536" customFormat="1" x14ac:dyDescent="0.2">
      <c r="A267" s="605"/>
      <c r="B267" s="552"/>
      <c r="C267" s="1822" t="s">
        <v>319</v>
      </c>
      <c r="D267" s="1822"/>
      <c r="E267" s="1822"/>
      <c r="F267" s="562"/>
      <c r="G267" s="562"/>
      <c r="H267" s="562"/>
      <c r="I267" s="562"/>
      <c r="J267" s="604"/>
      <c r="K267" s="562"/>
      <c r="L267" s="604">
        <v>13.91</v>
      </c>
      <c r="M267" s="603"/>
      <c r="N267" s="602"/>
      <c r="AB267" s="537" t="s">
        <v>319</v>
      </c>
    </row>
    <row r="268" spans="1:30" s="536" customFormat="1" ht="33.75" x14ac:dyDescent="0.2">
      <c r="A268" s="605"/>
      <c r="B268" s="552" t="s">
        <v>1482</v>
      </c>
      <c r="C268" s="1822" t="s">
        <v>1483</v>
      </c>
      <c r="D268" s="1822"/>
      <c r="E268" s="1822"/>
      <c r="F268" s="562" t="s">
        <v>322</v>
      </c>
      <c r="G268" s="562" t="s">
        <v>1484</v>
      </c>
      <c r="H268" s="562"/>
      <c r="I268" s="562" t="s">
        <v>1484</v>
      </c>
      <c r="J268" s="604"/>
      <c r="K268" s="562"/>
      <c r="L268" s="604">
        <v>13.08</v>
      </c>
      <c r="M268" s="603"/>
      <c r="N268" s="602"/>
      <c r="AB268" s="537" t="s">
        <v>1483</v>
      </c>
    </row>
    <row r="269" spans="1:30" s="536" customFormat="1" ht="33.75" x14ac:dyDescent="0.2">
      <c r="A269" s="605"/>
      <c r="B269" s="552" t="s">
        <v>1485</v>
      </c>
      <c r="C269" s="1822" t="s">
        <v>1486</v>
      </c>
      <c r="D269" s="1822"/>
      <c r="E269" s="1822"/>
      <c r="F269" s="562" t="s">
        <v>322</v>
      </c>
      <c r="G269" s="562" t="s">
        <v>786</v>
      </c>
      <c r="H269" s="562"/>
      <c r="I269" s="562" t="s">
        <v>786</v>
      </c>
      <c r="J269" s="604"/>
      <c r="K269" s="562"/>
      <c r="L269" s="604">
        <v>7.09</v>
      </c>
      <c r="M269" s="603"/>
      <c r="N269" s="602"/>
      <c r="AB269" s="537" t="s">
        <v>1486</v>
      </c>
    </row>
    <row r="270" spans="1:30" s="536" customFormat="1" x14ac:dyDescent="0.2">
      <c r="A270" s="569"/>
      <c r="B270" s="683"/>
      <c r="C270" s="1823" t="s">
        <v>327</v>
      </c>
      <c r="D270" s="1823"/>
      <c r="E270" s="1823"/>
      <c r="F270" s="573"/>
      <c r="G270" s="573"/>
      <c r="H270" s="573"/>
      <c r="I270" s="573"/>
      <c r="J270" s="572"/>
      <c r="K270" s="573"/>
      <c r="L270" s="572">
        <v>43.52</v>
      </c>
      <c r="M270" s="601"/>
      <c r="N270" s="570"/>
      <c r="AD270" s="537" t="s">
        <v>327</v>
      </c>
    </row>
    <row r="271" spans="1:30" s="536" customFormat="1" ht="22.5" x14ac:dyDescent="0.2">
      <c r="A271" s="575" t="s">
        <v>759</v>
      </c>
      <c r="B271" s="684" t="s">
        <v>1491</v>
      </c>
      <c r="C271" s="1823" t="s">
        <v>1492</v>
      </c>
      <c r="D271" s="1823"/>
      <c r="E271" s="1823"/>
      <c r="F271" s="573" t="s">
        <v>699</v>
      </c>
      <c r="G271" s="573"/>
      <c r="H271" s="573"/>
      <c r="I271" s="573" t="s">
        <v>1493</v>
      </c>
      <c r="J271" s="572">
        <v>34.950000000000003</v>
      </c>
      <c r="K271" s="573"/>
      <c r="L271" s="572">
        <v>398.01</v>
      </c>
      <c r="M271" s="571"/>
      <c r="N271" s="570"/>
      <c r="X271" s="537" t="s">
        <v>1492</v>
      </c>
    </row>
    <row r="272" spans="1:30" s="536" customFormat="1" x14ac:dyDescent="0.2">
      <c r="A272" s="569"/>
      <c r="B272" s="683"/>
      <c r="C272" s="689" t="s">
        <v>717</v>
      </c>
      <c r="D272" s="690"/>
      <c r="E272" s="690"/>
      <c r="F272" s="563"/>
      <c r="G272" s="563"/>
      <c r="H272" s="563"/>
      <c r="I272" s="563"/>
      <c r="J272" s="566"/>
      <c r="K272" s="563"/>
      <c r="L272" s="566"/>
      <c r="M272" s="565"/>
      <c r="N272" s="564"/>
    </row>
    <row r="273" spans="1:34" s="536" customFormat="1" x14ac:dyDescent="0.2">
      <c r="A273" s="676"/>
      <c r="B273" s="682"/>
      <c r="C273" s="1822" t="s">
        <v>1494</v>
      </c>
      <c r="D273" s="1822"/>
      <c r="E273" s="1822"/>
      <c r="F273" s="1822"/>
      <c r="G273" s="1822"/>
      <c r="H273" s="1822"/>
      <c r="I273" s="1822"/>
      <c r="J273" s="1822"/>
      <c r="K273" s="1822"/>
      <c r="L273" s="1822"/>
      <c r="M273" s="1822"/>
      <c r="N273" s="1827"/>
      <c r="Y273" s="537" t="s">
        <v>1494</v>
      </c>
    </row>
    <row r="274" spans="1:34" s="536" customFormat="1" ht="1.5" customHeight="1" x14ac:dyDescent="0.2">
      <c r="A274" s="563"/>
      <c r="B274" s="683"/>
      <c r="C274" s="683"/>
      <c r="D274" s="683"/>
      <c r="E274" s="683"/>
      <c r="F274" s="563"/>
      <c r="G274" s="563"/>
      <c r="H274" s="563"/>
      <c r="I274" s="563"/>
      <c r="J274" s="546"/>
      <c r="K274" s="563"/>
      <c r="L274" s="546"/>
      <c r="M274" s="562"/>
      <c r="N274" s="546"/>
    </row>
    <row r="275" spans="1:34" s="536" customFormat="1" x14ac:dyDescent="0.2">
      <c r="A275" s="557"/>
      <c r="B275" s="556"/>
      <c r="C275" s="1823" t="s">
        <v>1495</v>
      </c>
      <c r="D275" s="1823"/>
      <c r="E275" s="1823"/>
      <c r="F275" s="1823"/>
      <c r="G275" s="1823"/>
      <c r="H275" s="1823"/>
      <c r="I275" s="1823"/>
      <c r="J275" s="1823"/>
      <c r="K275" s="1823"/>
      <c r="L275" s="555"/>
      <c r="M275" s="554"/>
      <c r="N275" s="553"/>
      <c r="AG275" s="537" t="s">
        <v>1495</v>
      </c>
    </row>
    <row r="276" spans="1:34" s="536" customFormat="1" x14ac:dyDescent="0.2">
      <c r="A276" s="548"/>
      <c r="B276" s="552"/>
      <c r="C276" s="1822" t="s">
        <v>403</v>
      </c>
      <c r="D276" s="1822"/>
      <c r="E276" s="1822"/>
      <c r="F276" s="1822"/>
      <c r="G276" s="1822"/>
      <c r="H276" s="1822"/>
      <c r="I276" s="1822"/>
      <c r="J276" s="1822"/>
      <c r="K276" s="1822"/>
      <c r="L276" s="551">
        <v>32277.03</v>
      </c>
      <c r="M276" s="550"/>
      <c r="N276" s="549"/>
      <c r="AH276" s="537" t="s">
        <v>403</v>
      </c>
    </row>
    <row r="277" spans="1:34" s="536" customFormat="1" x14ac:dyDescent="0.2">
      <c r="A277" s="548"/>
      <c r="B277" s="552"/>
      <c r="C277" s="1822" t="s">
        <v>204</v>
      </c>
      <c r="D277" s="1822"/>
      <c r="E277" s="1822"/>
      <c r="F277" s="1822"/>
      <c r="G277" s="1822"/>
      <c r="H277" s="1822"/>
      <c r="I277" s="1822"/>
      <c r="J277" s="1822"/>
      <c r="K277" s="1822"/>
      <c r="L277" s="551"/>
      <c r="M277" s="550"/>
      <c r="N277" s="549"/>
      <c r="AH277" s="537" t="s">
        <v>204</v>
      </c>
    </row>
    <row r="278" spans="1:34" s="536" customFormat="1" x14ac:dyDescent="0.2">
      <c r="A278" s="548"/>
      <c r="B278" s="552"/>
      <c r="C278" s="1822" t="s">
        <v>404</v>
      </c>
      <c r="D278" s="1822"/>
      <c r="E278" s="1822"/>
      <c r="F278" s="1822"/>
      <c r="G278" s="1822"/>
      <c r="H278" s="1822"/>
      <c r="I278" s="1822"/>
      <c r="J278" s="1822"/>
      <c r="K278" s="1822"/>
      <c r="L278" s="551">
        <v>652.23</v>
      </c>
      <c r="M278" s="550"/>
      <c r="N278" s="549"/>
      <c r="AH278" s="537" t="s">
        <v>404</v>
      </c>
    </row>
    <row r="279" spans="1:34" s="536" customFormat="1" x14ac:dyDescent="0.2">
      <c r="A279" s="548"/>
      <c r="B279" s="552"/>
      <c r="C279" s="1822" t="s">
        <v>405</v>
      </c>
      <c r="D279" s="1822"/>
      <c r="E279" s="1822"/>
      <c r="F279" s="1822"/>
      <c r="G279" s="1822"/>
      <c r="H279" s="1822"/>
      <c r="I279" s="1822"/>
      <c r="J279" s="1822"/>
      <c r="K279" s="1822"/>
      <c r="L279" s="551">
        <v>1296.99</v>
      </c>
      <c r="M279" s="550"/>
      <c r="N279" s="549"/>
      <c r="AH279" s="537" t="s">
        <v>405</v>
      </c>
    </row>
    <row r="280" spans="1:34" s="536" customFormat="1" x14ac:dyDescent="0.2">
      <c r="A280" s="548"/>
      <c r="B280" s="552"/>
      <c r="C280" s="1822" t="s">
        <v>406</v>
      </c>
      <c r="D280" s="1822"/>
      <c r="E280" s="1822"/>
      <c r="F280" s="1822"/>
      <c r="G280" s="1822"/>
      <c r="H280" s="1822"/>
      <c r="I280" s="1822"/>
      <c r="J280" s="1822"/>
      <c r="K280" s="1822"/>
      <c r="L280" s="551">
        <v>131.51</v>
      </c>
      <c r="M280" s="550"/>
      <c r="N280" s="549"/>
      <c r="AH280" s="537" t="s">
        <v>406</v>
      </c>
    </row>
    <row r="281" spans="1:34" s="536" customFormat="1" x14ac:dyDescent="0.2">
      <c r="A281" s="548"/>
      <c r="B281" s="552"/>
      <c r="C281" s="1822" t="s">
        <v>480</v>
      </c>
      <c r="D281" s="1822"/>
      <c r="E281" s="1822"/>
      <c r="F281" s="1822"/>
      <c r="G281" s="1822"/>
      <c r="H281" s="1822"/>
      <c r="I281" s="1822"/>
      <c r="J281" s="1822"/>
      <c r="K281" s="1822"/>
      <c r="L281" s="551">
        <v>30327.81</v>
      </c>
      <c r="M281" s="550"/>
      <c r="N281" s="549"/>
      <c r="AH281" s="537" t="s">
        <v>480</v>
      </c>
    </row>
    <row r="282" spans="1:34" s="536" customFormat="1" x14ac:dyDescent="0.2">
      <c r="A282" s="548"/>
      <c r="B282" s="552"/>
      <c r="C282" s="1822" t="s">
        <v>407</v>
      </c>
      <c r="D282" s="1822"/>
      <c r="E282" s="1822"/>
      <c r="F282" s="1822"/>
      <c r="G282" s="1822"/>
      <c r="H282" s="1822"/>
      <c r="I282" s="1822"/>
      <c r="J282" s="1822"/>
      <c r="K282" s="1822"/>
      <c r="L282" s="551">
        <v>33502.67</v>
      </c>
      <c r="M282" s="550"/>
      <c r="N282" s="549"/>
      <c r="AH282" s="537" t="s">
        <v>407</v>
      </c>
    </row>
    <row r="283" spans="1:34" s="536" customFormat="1" x14ac:dyDescent="0.2">
      <c r="A283" s="548"/>
      <c r="B283" s="552" t="s">
        <v>185</v>
      </c>
      <c r="C283" s="1822" t="s">
        <v>408</v>
      </c>
      <c r="D283" s="1822"/>
      <c r="E283" s="1822"/>
      <c r="F283" s="1822"/>
      <c r="G283" s="1822"/>
      <c r="H283" s="1822"/>
      <c r="I283" s="1822"/>
      <c r="J283" s="1822"/>
      <c r="K283" s="1822"/>
      <c r="L283" s="551">
        <v>33461.71</v>
      </c>
      <c r="M283" s="550"/>
      <c r="N283" s="549"/>
      <c r="AH283" s="537" t="s">
        <v>408</v>
      </c>
    </row>
    <row r="284" spans="1:34" s="536" customFormat="1" x14ac:dyDescent="0.2">
      <c r="A284" s="548"/>
      <c r="B284" s="552"/>
      <c r="C284" s="1822" t="s">
        <v>409</v>
      </c>
      <c r="D284" s="1822"/>
      <c r="E284" s="1822"/>
      <c r="F284" s="1822"/>
      <c r="G284" s="1822"/>
      <c r="H284" s="1822"/>
      <c r="I284" s="1822"/>
      <c r="J284" s="1822"/>
      <c r="K284" s="1822"/>
      <c r="L284" s="551"/>
      <c r="M284" s="550"/>
      <c r="N284" s="549"/>
      <c r="AH284" s="537" t="s">
        <v>409</v>
      </c>
    </row>
    <row r="285" spans="1:34" s="536" customFormat="1" x14ac:dyDescent="0.2">
      <c r="A285" s="548"/>
      <c r="B285" s="552"/>
      <c r="C285" s="1822" t="s">
        <v>410</v>
      </c>
      <c r="D285" s="1822"/>
      <c r="E285" s="1822"/>
      <c r="F285" s="1822"/>
      <c r="G285" s="1822"/>
      <c r="H285" s="1822"/>
      <c r="I285" s="1822"/>
      <c r="J285" s="1822"/>
      <c r="K285" s="1822"/>
      <c r="L285" s="551">
        <v>652.23</v>
      </c>
      <c r="M285" s="550"/>
      <c r="N285" s="549"/>
      <c r="AH285" s="537" t="s">
        <v>410</v>
      </c>
    </row>
    <row r="286" spans="1:34" s="536" customFormat="1" x14ac:dyDescent="0.2">
      <c r="A286" s="548"/>
      <c r="B286" s="552"/>
      <c r="C286" s="1822" t="s">
        <v>411</v>
      </c>
      <c r="D286" s="1822"/>
      <c r="E286" s="1822"/>
      <c r="F286" s="1822"/>
      <c r="G286" s="1822"/>
      <c r="H286" s="1822"/>
      <c r="I286" s="1822"/>
      <c r="J286" s="1822"/>
      <c r="K286" s="1822"/>
      <c r="L286" s="551">
        <v>1256.03</v>
      </c>
      <c r="M286" s="550"/>
      <c r="N286" s="549"/>
      <c r="AH286" s="537" t="s">
        <v>411</v>
      </c>
    </row>
    <row r="287" spans="1:34" s="536" customFormat="1" x14ac:dyDescent="0.2">
      <c r="A287" s="548"/>
      <c r="B287" s="552"/>
      <c r="C287" s="1822" t="s">
        <v>481</v>
      </c>
      <c r="D287" s="1822"/>
      <c r="E287" s="1822"/>
      <c r="F287" s="1822"/>
      <c r="G287" s="1822"/>
      <c r="H287" s="1822"/>
      <c r="I287" s="1822"/>
      <c r="J287" s="1822"/>
      <c r="K287" s="1822"/>
      <c r="L287" s="551">
        <v>30327.81</v>
      </c>
      <c r="M287" s="550"/>
      <c r="N287" s="549"/>
      <c r="AH287" s="537" t="s">
        <v>481</v>
      </c>
    </row>
    <row r="288" spans="1:34" s="536" customFormat="1" x14ac:dyDescent="0.2">
      <c r="A288" s="548"/>
      <c r="B288" s="552"/>
      <c r="C288" s="1822" t="s">
        <v>412</v>
      </c>
      <c r="D288" s="1822"/>
      <c r="E288" s="1822"/>
      <c r="F288" s="1822"/>
      <c r="G288" s="1822"/>
      <c r="H288" s="1822"/>
      <c r="I288" s="1822"/>
      <c r="J288" s="1822"/>
      <c r="K288" s="1822"/>
      <c r="L288" s="551">
        <v>749.53</v>
      </c>
      <c r="M288" s="550"/>
      <c r="N288" s="549"/>
      <c r="AH288" s="537" t="s">
        <v>412</v>
      </c>
    </row>
    <row r="289" spans="1:35" s="536" customFormat="1" x14ac:dyDescent="0.2">
      <c r="A289" s="548"/>
      <c r="B289" s="552"/>
      <c r="C289" s="1822" t="s">
        <v>413</v>
      </c>
      <c r="D289" s="1822"/>
      <c r="E289" s="1822"/>
      <c r="F289" s="1822"/>
      <c r="G289" s="1822"/>
      <c r="H289" s="1822"/>
      <c r="I289" s="1822"/>
      <c r="J289" s="1822"/>
      <c r="K289" s="1822"/>
      <c r="L289" s="551">
        <v>476.11</v>
      </c>
      <c r="M289" s="550"/>
      <c r="N289" s="549"/>
      <c r="AH289" s="537" t="s">
        <v>413</v>
      </c>
    </row>
    <row r="290" spans="1:35" s="536" customFormat="1" x14ac:dyDescent="0.2">
      <c r="A290" s="548"/>
      <c r="B290" s="552" t="s">
        <v>185</v>
      </c>
      <c r="C290" s="1822" t="s">
        <v>414</v>
      </c>
      <c r="D290" s="1822"/>
      <c r="E290" s="1822"/>
      <c r="F290" s="1822"/>
      <c r="G290" s="1822"/>
      <c r="H290" s="1822"/>
      <c r="I290" s="1822"/>
      <c r="J290" s="1822"/>
      <c r="K290" s="1822"/>
      <c r="L290" s="551">
        <v>40.96</v>
      </c>
      <c r="M290" s="550"/>
      <c r="N290" s="549"/>
      <c r="AH290" s="537" t="s">
        <v>414</v>
      </c>
    </row>
    <row r="291" spans="1:35" s="536" customFormat="1" x14ac:dyDescent="0.2">
      <c r="A291" s="548"/>
      <c r="B291" s="552"/>
      <c r="C291" s="1822" t="s">
        <v>415</v>
      </c>
      <c r="D291" s="1822"/>
      <c r="E291" s="1822"/>
      <c r="F291" s="1822"/>
      <c r="G291" s="1822"/>
      <c r="H291" s="1822"/>
      <c r="I291" s="1822"/>
      <c r="J291" s="1822"/>
      <c r="K291" s="1822"/>
      <c r="L291" s="551">
        <v>783.74</v>
      </c>
      <c r="M291" s="550"/>
      <c r="N291" s="549"/>
      <c r="AH291" s="537" t="s">
        <v>415</v>
      </c>
    </row>
    <row r="292" spans="1:35" s="536" customFormat="1" x14ac:dyDescent="0.2">
      <c r="A292" s="548"/>
      <c r="B292" s="552"/>
      <c r="C292" s="1822" t="s">
        <v>416</v>
      </c>
      <c r="D292" s="1822"/>
      <c r="E292" s="1822"/>
      <c r="F292" s="1822"/>
      <c r="G292" s="1822"/>
      <c r="H292" s="1822"/>
      <c r="I292" s="1822"/>
      <c r="J292" s="1822"/>
      <c r="K292" s="1822"/>
      <c r="L292" s="551">
        <v>749.53</v>
      </c>
      <c r="M292" s="550"/>
      <c r="N292" s="549"/>
      <c r="AH292" s="537" t="s">
        <v>416</v>
      </c>
    </row>
    <row r="293" spans="1:35" s="536" customFormat="1" x14ac:dyDescent="0.2">
      <c r="A293" s="548"/>
      <c r="B293" s="552"/>
      <c r="C293" s="1822" t="s">
        <v>417</v>
      </c>
      <c r="D293" s="1822"/>
      <c r="E293" s="1822"/>
      <c r="F293" s="1822"/>
      <c r="G293" s="1822"/>
      <c r="H293" s="1822"/>
      <c r="I293" s="1822"/>
      <c r="J293" s="1822"/>
      <c r="K293" s="1822"/>
      <c r="L293" s="551">
        <v>476.11</v>
      </c>
      <c r="M293" s="550"/>
      <c r="N293" s="549"/>
      <c r="AH293" s="537" t="s">
        <v>417</v>
      </c>
    </row>
    <row r="294" spans="1:35" s="536" customFormat="1" x14ac:dyDescent="0.2">
      <c r="A294" s="548"/>
      <c r="B294" s="546"/>
      <c r="C294" s="1819" t="s">
        <v>1496</v>
      </c>
      <c r="D294" s="1819"/>
      <c r="E294" s="1819"/>
      <c r="F294" s="1819"/>
      <c r="G294" s="1819"/>
      <c r="H294" s="1819"/>
      <c r="I294" s="1819"/>
      <c r="J294" s="1819"/>
      <c r="K294" s="1819"/>
      <c r="L294" s="544">
        <v>33502.67</v>
      </c>
      <c r="M294" s="543"/>
      <c r="N294" s="681"/>
      <c r="AI294" s="537" t="s">
        <v>1496</v>
      </c>
    </row>
    <row r="295" spans="1:35" s="536" customFormat="1" ht="12" x14ac:dyDescent="0.2">
      <c r="A295" s="1824" t="s">
        <v>1336</v>
      </c>
      <c r="B295" s="1825"/>
      <c r="C295" s="1825"/>
      <c r="D295" s="1825"/>
      <c r="E295" s="1825"/>
      <c r="F295" s="1825"/>
      <c r="G295" s="1825"/>
      <c r="H295" s="1825"/>
      <c r="I295" s="1825"/>
      <c r="J295" s="1825"/>
      <c r="K295" s="1825"/>
      <c r="L295" s="1825"/>
      <c r="M295" s="1825"/>
      <c r="N295" s="1826"/>
      <c r="V295" s="537" t="s">
        <v>1336</v>
      </c>
    </row>
    <row r="296" spans="1:35" s="536" customFormat="1" ht="78.75" x14ac:dyDescent="0.2">
      <c r="A296" s="575" t="s">
        <v>917</v>
      </c>
      <c r="B296" s="684" t="s">
        <v>1497</v>
      </c>
      <c r="C296" s="1823" t="s">
        <v>1498</v>
      </c>
      <c r="D296" s="1823"/>
      <c r="E296" s="1823"/>
      <c r="F296" s="573" t="s">
        <v>201</v>
      </c>
      <c r="G296" s="573"/>
      <c r="H296" s="573"/>
      <c r="I296" s="573" t="s">
        <v>1499</v>
      </c>
      <c r="J296" s="572">
        <v>76.88</v>
      </c>
      <c r="K296" s="573"/>
      <c r="L296" s="572">
        <v>190.51</v>
      </c>
      <c r="M296" s="571"/>
      <c r="N296" s="570"/>
      <c r="X296" s="537" t="s">
        <v>1498</v>
      </c>
    </row>
    <row r="297" spans="1:35" s="536" customFormat="1" x14ac:dyDescent="0.2">
      <c r="A297" s="569"/>
      <c r="B297" s="683"/>
      <c r="C297" s="689" t="s">
        <v>717</v>
      </c>
      <c r="D297" s="690"/>
      <c r="E297" s="690"/>
      <c r="F297" s="563"/>
      <c r="G297" s="563"/>
      <c r="H297" s="563"/>
      <c r="I297" s="563"/>
      <c r="J297" s="566"/>
      <c r="K297" s="563"/>
      <c r="L297" s="566"/>
      <c r="M297" s="565"/>
      <c r="N297" s="564"/>
    </row>
    <row r="298" spans="1:35" s="536" customFormat="1" x14ac:dyDescent="0.2">
      <c r="A298" s="676"/>
      <c r="B298" s="682"/>
      <c r="C298" s="1822" t="s">
        <v>1500</v>
      </c>
      <c r="D298" s="1822"/>
      <c r="E298" s="1822"/>
      <c r="F298" s="1822"/>
      <c r="G298" s="1822"/>
      <c r="H298" s="1822"/>
      <c r="I298" s="1822"/>
      <c r="J298" s="1822"/>
      <c r="K298" s="1822"/>
      <c r="L298" s="1822"/>
      <c r="M298" s="1822"/>
      <c r="N298" s="1827"/>
      <c r="Y298" s="537" t="s">
        <v>1500</v>
      </c>
    </row>
    <row r="299" spans="1:35" s="536" customFormat="1" ht="67.5" x14ac:dyDescent="0.2">
      <c r="A299" s="575" t="s">
        <v>761</v>
      </c>
      <c r="B299" s="684" t="s">
        <v>1338</v>
      </c>
      <c r="C299" s="1823" t="s">
        <v>1501</v>
      </c>
      <c r="D299" s="1823"/>
      <c r="E299" s="1823"/>
      <c r="F299" s="573" t="s">
        <v>201</v>
      </c>
      <c r="G299" s="573"/>
      <c r="H299" s="573"/>
      <c r="I299" s="573" t="s">
        <v>1502</v>
      </c>
      <c r="J299" s="572">
        <v>90.45</v>
      </c>
      <c r="K299" s="573"/>
      <c r="L299" s="572">
        <v>2.89</v>
      </c>
      <c r="M299" s="571"/>
      <c r="N299" s="570"/>
      <c r="X299" s="537" t="s">
        <v>1501</v>
      </c>
    </row>
    <row r="300" spans="1:35" s="536" customFormat="1" x14ac:dyDescent="0.2">
      <c r="A300" s="569"/>
      <c r="B300" s="683"/>
      <c r="C300" s="689" t="s">
        <v>717</v>
      </c>
      <c r="D300" s="690"/>
      <c r="E300" s="690"/>
      <c r="F300" s="563"/>
      <c r="G300" s="563"/>
      <c r="H300" s="563"/>
      <c r="I300" s="563"/>
      <c r="J300" s="566"/>
      <c r="K300" s="563"/>
      <c r="L300" s="566"/>
      <c r="M300" s="565"/>
      <c r="N300" s="564"/>
    </row>
    <row r="301" spans="1:35" s="536" customFormat="1" ht="67.5" x14ac:dyDescent="0.2">
      <c r="A301" s="575" t="s">
        <v>762</v>
      </c>
      <c r="B301" s="684" t="s">
        <v>1503</v>
      </c>
      <c r="C301" s="1823" t="s">
        <v>1504</v>
      </c>
      <c r="D301" s="1823"/>
      <c r="E301" s="1823"/>
      <c r="F301" s="573" t="s">
        <v>201</v>
      </c>
      <c r="G301" s="573"/>
      <c r="H301" s="573"/>
      <c r="I301" s="573" t="s">
        <v>1505</v>
      </c>
      <c r="J301" s="572">
        <v>127.09</v>
      </c>
      <c r="K301" s="573"/>
      <c r="L301" s="572">
        <v>1.4</v>
      </c>
      <c r="M301" s="571"/>
      <c r="N301" s="570"/>
      <c r="X301" s="537" t="s">
        <v>1504</v>
      </c>
    </row>
    <row r="302" spans="1:35" s="536" customFormat="1" x14ac:dyDescent="0.2">
      <c r="A302" s="569"/>
      <c r="B302" s="683"/>
      <c r="C302" s="689" t="s">
        <v>717</v>
      </c>
      <c r="D302" s="690"/>
      <c r="E302" s="690"/>
      <c r="F302" s="563"/>
      <c r="G302" s="563"/>
      <c r="H302" s="563"/>
      <c r="I302" s="563"/>
      <c r="J302" s="566"/>
      <c r="K302" s="563"/>
      <c r="L302" s="566"/>
      <c r="M302" s="565"/>
      <c r="N302" s="564"/>
    </row>
    <row r="303" spans="1:35" s="536" customFormat="1" ht="1.5" customHeight="1" x14ac:dyDescent="0.2">
      <c r="A303" s="563"/>
      <c r="B303" s="683"/>
      <c r="C303" s="683"/>
      <c r="D303" s="683"/>
      <c r="E303" s="683"/>
      <c r="F303" s="563"/>
      <c r="G303" s="563"/>
      <c r="H303" s="563"/>
      <c r="I303" s="563"/>
      <c r="J303" s="546"/>
      <c r="K303" s="563"/>
      <c r="L303" s="546"/>
      <c r="M303" s="562"/>
      <c r="N303" s="546"/>
    </row>
    <row r="304" spans="1:35" s="536" customFormat="1" ht="22.5" x14ac:dyDescent="0.2">
      <c r="A304" s="557"/>
      <c r="B304" s="556"/>
      <c r="C304" s="1823" t="s">
        <v>1342</v>
      </c>
      <c r="D304" s="1823"/>
      <c r="E304" s="1823"/>
      <c r="F304" s="1823"/>
      <c r="G304" s="1823"/>
      <c r="H304" s="1823"/>
      <c r="I304" s="1823"/>
      <c r="J304" s="1823"/>
      <c r="K304" s="1823"/>
      <c r="L304" s="555"/>
      <c r="M304" s="554"/>
      <c r="N304" s="553"/>
      <c r="AG304" s="537" t="s">
        <v>1342</v>
      </c>
    </row>
    <row r="305" spans="1:37" s="536" customFormat="1" x14ac:dyDescent="0.2">
      <c r="A305" s="548"/>
      <c r="B305" s="552"/>
      <c r="C305" s="1822" t="s">
        <v>403</v>
      </c>
      <c r="D305" s="1822"/>
      <c r="E305" s="1822"/>
      <c r="F305" s="1822"/>
      <c r="G305" s="1822"/>
      <c r="H305" s="1822"/>
      <c r="I305" s="1822"/>
      <c r="J305" s="1822"/>
      <c r="K305" s="1822"/>
      <c r="L305" s="551">
        <v>194.8</v>
      </c>
      <c r="M305" s="550"/>
      <c r="N305" s="549"/>
      <c r="AH305" s="537" t="s">
        <v>403</v>
      </c>
    </row>
    <row r="306" spans="1:37" s="536" customFormat="1" x14ac:dyDescent="0.2">
      <c r="A306" s="548"/>
      <c r="B306" s="552"/>
      <c r="C306" s="1822" t="s">
        <v>204</v>
      </c>
      <c r="D306" s="1822"/>
      <c r="E306" s="1822"/>
      <c r="F306" s="1822"/>
      <c r="G306" s="1822"/>
      <c r="H306" s="1822"/>
      <c r="I306" s="1822"/>
      <c r="J306" s="1822"/>
      <c r="K306" s="1822"/>
      <c r="L306" s="551"/>
      <c r="M306" s="550"/>
      <c r="N306" s="549"/>
      <c r="AH306" s="537" t="s">
        <v>204</v>
      </c>
    </row>
    <row r="307" spans="1:37" s="536" customFormat="1" x14ac:dyDescent="0.2">
      <c r="A307" s="548"/>
      <c r="B307" s="552"/>
      <c r="C307" s="1822" t="s">
        <v>480</v>
      </c>
      <c r="D307" s="1822"/>
      <c r="E307" s="1822"/>
      <c r="F307" s="1822"/>
      <c r="G307" s="1822"/>
      <c r="H307" s="1822"/>
      <c r="I307" s="1822"/>
      <c r="J307" s="1822"/>
      <c r="K307" s="1822"/>
      <c r="L307" s="551">
        <v>194.8</v>
      </c>
      <c r="M307" s="550"/>
      <c r="N307" s="549"/>
      <c r="AH307" s="537" t="s">
        <v>480</v>
      </c>
    </row>
    <row r="308" spans="1:37" s="536" customFormat="1" x14ac:dyDescent="0.2">
      <c r="A308" s="548"/>
      <c r="B308" s="552" t="s">
        <v>185</v>
      </c>
      <c r="C308" s="1822" t="s">
        <v>407</v>
      </c>
      <c r="D308" s="1822"/>
      <c r="E308" s="1822"/>
      <c r="F308" s="1822"/>
      <c r="G308" s="1822"/>
      <c r="H308" s="1822"/>
      <c r="I308" s="1822"/>
      <c r="J308" s="1822"/>
      <c r="K308" s="1822"/>
      <c r="L308" s="551">
        <v>194.8</v>
      </c>
      <c r="M308" s="550"/>
      <c r="N308" s="549"/>
      <c r="AH308" s="537" t="s">
        <v>407</v>
      </c>
    </row>
    <row r="309" spans="1:37" s="536" customFormat="1" x14ac:dyDescent="0.2">
      <c r="A309" s="548"/>
      <c r="B309" s="552"/>
      <c r="C309" s="1822" t="s">
        <v>204</v>
      </c>
      <c r="D309" s="1822"/>
      <c r="E309" s="1822"/>
      <c r="F309" s="1822"/>
      <c r="G309" s="1822"/>
      <c r="H309" s="1822"/>
      <c r="I309" s="1822"/>
      <c r="J309" s="1822"/>
      <c r="K309" s="1822"/>
      <c r="L309" s="551"/>
      <c r="M309" s="550"/>
      <c r="N309" s="549"/>
      <c r="AH309" s="537" t="s">
        <v>204</v>
      </c>
    </row>
    <row r="310" spans="1:37" s="536" customFormat="1" x14ac:dyDescent="0.2">
      <c r="A310" s="548"/>
      <c r="B310" s="552"/>
      <c r="C310" s="1822" t="s">
        <v>547</v>
      </c>
      <c r="D310" s="1822"/>
      <c r="E310" s="1822"/>
      <c r="F310" s="1822"/>
      <c r="G310" s="1822"/>
      <c r="H310" s="1822"/>
      <c r="I310" s="1822"/>
      <c r="J310" s="1822"/>
      <c r="K310" s="1822"/>
      <c r="L310" s="551">
        <v>194.8</v>
      </c>
      <c r="M310" s="550"/>
      <c r="N310" s="549"/>
      <c r="AH310" s="537" t="s">
        <v>547</v>
      </c>
    </row>
    <row r="311" spans="1:37" s="536" customFormat="1" ht="22.5" x14ac:dyDescent="0.2">
      <c r="A311" s="548"/>
      <c r="B311" s="546"/>
      <c r="C311" s="1819" t="s">
        <v>1343</v>
      </c>
      <c r="D311" s="1819"/>
      <c r="E311" s="1819"/>
      <c r="F311" s="1819"/>
      <c r="G311" s="1819"/>
      <c r="H311" s="1819"/>
      <c r="I311" s="1819"/>
      <c r="J311" s="1819"/>
      <c r="K311" s="1819"/>
      <c r="L311" s="544">
        <v>194.8</v>
      </c>
      <c r="M311" s="543"/>
      <c r="N311" s="681"/>
      <c r="AI311" s="537" t="s">
        <v>1343</v>
      </c>
    </row>
    <row r="312" spans="1:37" s="536" customFormat="1" ht="2.25" customHeight="1" x14ac:dyDescent="0.2">
      <c r="B312" s="561"/>
      <c r="C312" s="561"/>
      <c r="D312" s="561"/>
      <c r="E312" s="561"/>
      <c r="F312" s="561"/>
      <c r="G312" s="561"/>
      <c r="H312" s="561"/>
      <c r="I312" s="561"/>
      <c r="J312" s="561"/>
      <c r="K312" s="561"/>
      <c r="L312" s="560"/>
      <c r="M312" s="559"/>
      <c r="N312" s="558"/>
    </row>
    <row r="313" spans="1:37" s="536" customFormat="1" x14ac:dyDescent="0.2">
      <c r="A313" s="557"/>
      <c r="B313" s="556"/>
      <c r="C313" s="1823" t="s">
        <v>205</v>
      </c>
      <c r="D313" s="1823"/>
      <c r="E313" s="1823"/>
      <c r="F313" s="1823"/>
      <c r="G313" s="1823"/>
      <c r="H313" s="1823"/>
      <c r="I313" s="1823"/>
      <c r="J313" s="1823"/>
      <c r="K313" s="1823"/>
      <c r="L313" s="555"/>
      <c r="M313" s="554"/>
      <c r="N313" s="553"/>
      <c r="AJ313" s="537" t="s">
        <v>205</v>
      </c>
    </row>
    <row r="314" spans="1:37" s="536" customFormat="1" x14ac:dyDescent="0.2">
      <c r="A314" s="548"/>
      <c r="B314" s="552"/>
      <c r="C314" s="1822" t="s">
        <v>403</v>
      </c>
      <c r="D314" s="1822"/>
      <c r="E314" s="1822"/>
      <c r="F314" s="1822"/>
      <c r="G314" s="1822"/>
      <c r="H314" s="1822"/>
      <c r="I314" s="1822"/>
      <c r="J314" s="1822"/>
      <c r="K314" s="1822"/>
      <c r="L314" s="551">
        <v>32471.83</v>
      </c>
      <c r="M314" s="550"/>
      <c r="N314" s="549"/>
      <c r="AK314" s="537" t="s">
        <v>403</v>
      </c>
    </row>
    <row r="315" spans="1:37" s="536" customFormat="1" x14ac:dyDescent="0.2">
      <c r="A315" s="548"/>
      <c r="B315" s="552"/>
      <c r="C315" s="1822" t="s">
        <v>204</v>
      </c>
      <c r="D315" s="1822"/>
      <c r="E315" s="1822"/>
      <c r="F315" s="1822"/>
      <c r="G315" s="1822"/>
      <c r="H315" s="1822"/>
      <c r="I315" s="1822"/>
      <c r="J315" s="1822"/>
      <c r="K315" s="1822"/>
      <c r="L315" s="551"/>
      <c r="M315" s="550"/>
      <c r="N315" s="549"/>
      <c r="AK315" s="537" t="s">
        <v>204</v>
      </c>
    </row>
    <row r="316" spans="1:37" s="536" customFormat="1" x14ac:dyDescent="0.2">
      <c r="A316" s="548"/>
      <c r="B316" s="552"/>
      <c r="C316" s="1822" t="s">
        <v>404</v>
      </c>
      <c r="D316" s="1822"/>
      <c r="E316" s="1822"/>
      <c r="F316" s="1822"/>
      <c r="G316" s="1822"/>
      <c r="H316" s="1822"/>
      <c r="I316" s="1822"/>
      <c r="J316" s="1822"/>
      <c r="K316" s="1822"/>
      <c r="L316" s="551">
        <v>652.23</v>
      </c>
      <c r="M316" s="550"/>
      <c r="N316" s="549"/>
      <c r="AK316" s="537" t="s">
        <v>404</v>
      </c>
    </row>
    <row r="317" spans="1:37" s="536" customFormat="1" x14ac:dyDescent="0.2">
      <c r="A317" s="548"/>
      <c r="B317" s="552"/>
      <c r="C317" s="1822" t="s">
        <v>405</v>
      </c>
      <c r="D317" s="1822"/>
      <c r="E317" s="1822"/>
      <c r="F317" s="1822"/>
      <c r="G317" s="1822"/>
      <c r="H317" s="1822"/>
      <c r="I317" s="1822"/>
      <c r="J317" s="1822"/>
      <c r="K317" s="1822"/>
      <c r="L317" s="551">
        <v>1296.99</v>
      </c>
      <c r="M317" s="550"/>
      <c r="N317" s="549"/>
      <c r="AK317" s="537" t="s">
        <v>405</v>
      </c>
    </row>
    <row r="318" spans="1:37" s="536" customFormat="1" x14ac:dyDescent="0.2">
      <c r="A318" s="548"/>
      <c r="B318" s="552"/>
      <c r="C318" s="1822" t="s">
        <v>406</v>
      </c>
      <c r="D318" s="1822"/>
      <c r="E318" s="1822"/>
      <c r="F318" s="1822"/>
      <c r="G318" s="1822"/>
      <c r="H318" s="1822"/>
      <c r="I318" s="1822"/>
      <c r="J318" s="1822"/>
      <c r="K318" s="1822"/>
      <c r="L318" s="551">
        <v>131.51</v>
      </c>
      <c r="M318" s="550"/>
      <c r="N318" s="549"/>
      <c r="AK318" s="537" t="s">
        <v>406</v>
      </c>
    </row>
    <row r="319" spans="1:37" s="536" customFormat="1" x14ac:dyDescent="0.2">
      <c r="A319" s="548"/>
      <c r="B319" s="552"/>
      <c r="C319" s="1822" t="s">
        <v>480</v>
      </c>
      <c r="D319" s="1822"/>
      <c r="E319" s="1822"/>
      <c r="F319" s="1822"/>
      <c r="G319" s="1822"/>
      <c r="H319" s="1822"/>
      <c r="I319" s="1822"/>
      <c r="J319" s="1822"/>
      <c r="K319" s="1822"/>
      <c r="L319" s="551">
        <v>30522.61</v>
      </c>
      <c r="M319" s="550"/>
      <c r="N319" s="549"/>
      <c r="AK319" s="537" t="s">
        <v>480</v>
      </c>
    </row>
    <row r="320" spans="1:37" s="536" customFormat="1" x14ac:dyDescent="0.2">
      <c r="A320" s="548"/>
      <c r="B320" s="552"/>
      <c r="C320" s="1822" t="s">
        <v>407</v>
      </c>
      <c r="D320" s="1822"/>
      <c r="E320" s="1822"/>
      <c r="F320" s="1822"/>
      <c r="G320" s="1822"/>
      <c r="H320" s="1822"/>
      <c r="I320" s="1822"/>
      <c r="J320" s="1822"/>
      <c r="K320" s="1822"/>
      <c r="L320" s="551">
        <v>33697.47</v>
      </c>
      <c r="M320" s="550"/>
      <c r="N320" s="549">
        <v>280363</v>
      </c>
      <c r="AK320" s="537" t="s">
        <v>407</v>
      </c>
    </row>
    <row r="321" spans="1:39" x14ac:dyDescent="0.2">
      <c r="A321" s="548"/>
      <c r="B321" s="552" t="s">
        <v>185</v>
      </c>
      <c r="C321" s="1822" t="s">
        <v>408</v>
      </c>
      <c r="D321" s="1822"/>
      <c r="E321" s="1822"/>
      <c r="F321" s="1822"/>
      <c r="G321" s="1822"/>
      <c r="H321" s="1822"/>
      <c r="I321" s="1822"/>
      <c r="J321" s="1822"/>
      <c r="K321" s="1822"/>
      <c r="L321" s="551">
        <v>33656.51</v>
      </c>
      <c r="M321" s="550">
        <v>8.32</v>
      </c>
      <c r="N321" s="549">
        <v>280022</v>
      </c>
      <c r="P321" s="536"/>
      <c r="Q321" s="536"/>
      <c r="R321" s="536"/>
      <c r="S321" s="536"/>
      <c r="T321" s="536"/>
      <c r="U321" s="536"/>
      <c r="V321" s="536"/>
      <c r="W321" s="536"/>
      <c r="X321" s="536"/>
      <c r="Y321" s="536"/>
      <c r="Z321" s="536"/>
      <c r="AA321" s="536"/>
      <c r="AB321" s="536"/>
      <c r="AC321" s="536"/>
      <c r="AD321" s="536"/>
      <c r="AE321" s="536"/>
      <c r="AF321" s="536"/>
      <c r="AG321" s="536"/>
      <c r="AH321" s="536"/>
      <c r="AI321" s="536"/>
      <c r="AJ321" s="536"/>
      <c r="AK321" s="537" t="s">
        <v>408</v>
      </c>
      <c r="AL321" s="536"/>
      <c r="AM321" s="536"/>
    </row>
    <row r="322" spans="1:39" x14ac:dyDescent="0.2">
      <c r="A322" s="548"/>
      <c r="B322" s="552"/>
      <c r="C322" s="1822" t="s">
        <v>409</v>
      </c>
      <c r="D322" s="1822"/>
      <c r="E322" s="1822"/>
      <c r="F322" s="1822"/>
      <c r="G322" s="1822"/>
      <c r="H322" s="1822"/>
      <c r="I322" s="1822"/>
      <c r="J322" s="1822"/>
      <c r="K322" s="1822"/>
      <c r="L322" s="551"/>
      <c r="M322" s="550"/>
      <c r="N322" s="549"/>
      <c r="P322" s="536"/>
      <c r="Q322" s="536"/>
      <c r="R322" s="536"/>
      <c r="S322" s="536"/>
      <c r="T322" s="536"/>
      <c r="U322" s="536"/>
      <c r="V322" s="536"/>
      <c r="W322" s="536"/>
      <c r="X322" s="536"/>
      <c r="Y322" s="536"/>
      <c r="Z322" s="536"/>
      <c r="AA322" s="536"/>
      <c r="AB322" s="536"/>
      <c r="AC322" s="536"/>
      <c r="AD322" s="536"/>
      <c r="AE322" s="536"/>
      <c r="AF322" s="536"/>
      <c r="AG322" s="536"/>
      <c r="AH322" s="536"/>
      <c r="AI322" s="536"/>
      <c r="AJ322" s="536"/>
      <c r="AK322" s="537" t="s">
        <v>409</v>
      </c>
      <c r="AL322" s="536"/>
      <c r="AM322" s="536"/>
    </row>
    <row r="323" spans="1:39" x14ac:dyDescent="0.2">
      <c r="A323" s="548"/>
      <c r="B323" s="552"/>
      <c r="C323" s="1822" t="s">
        <v>410</v>
      </c>
      <c r="D323" s="1822"/>
      <c r="E323" s="1822"/>
      <c r="F323" s="1822"/>
      <c r="G323" s="1822"/>
      <c r="H323" s="1822"/>
      <c r="I323" s="1822"/>
      <c r="J323" s="1822"/>
      <c r="K323" s="1822"/>
      <c r="L323" s="551">
        <v>652.23</v>
      </c>
      <c r="M323" s="550"/>
      <c r="N323" s="549"/>
      <c r="P323" s="536"/>
      <c r="Q323" s="536"/>
      <c r="R323" s="536"/>
      <c r="S323" s="536"/>
      <c r="T323" s="536"/>
      <c r="U323" s="536"/>
      <c r="V323" s="536"/>
      <c r="W323" s="536"/>
      <c r="X323" s="536"/>
      <c r="Y323" s="536"/>
      <c r="Z323" s="536"/>
      <c r="AA323" s="536"/>
      <c r="AB323" s="536"/>
      <c r="AC323" s="536"/>
      <c r="AD323" s="536"/>
      <c r="AE323" s="536"/>
      <c r="AF323" s="536"/>
      <c r="AG323" s="536"/>
      <c r="AH323" s="536"/>
      <c r="AI323" s="536"/>
      <c r="AJ323" s="536"/>
      <c r="AK323" s="537" t="s">
        <v>410</v>
      </c>
      <c r="AL323" s="536"/>
      <c r="AM323" s="536"/>
    </row>
    <row r="324" spans="1:39" x14ac:dyDescent="0.2">
      <c r="A324" s="548"/>
      <c r="B324" s="552"/>
      <c r="C324" s="1822" t="s">
        <v>411</v>
      </c>
      <c r="D324" s="1822"/>
      <c r="E324" s="1822"/>
      <c r="F324" s="1822"/>
      <c r="G324" s="1822"/>
      <c r="H324" s="1822"/>
      <c r="I324" s="1822"/>
      <c r="J324" s="1822"/>
      <c r="K324" s="1822"/>
      <c r="L324" s="551">
        <v>1256.03</v>
      </c>
      <c r="M324" s="550"/>
      <c r="N324" s="549"/>
      <c r="P324" s="536"/>
      <c r="Q324" s="536"/>
      <c r="R324" s="536"/>
      <c r="S324" s="536"/>
      <c r="T324" s="536"/>
      <c r="U324" s="536"/>
      <c r="V324" s="536"/>
      <c r="W324" s="536"/>
      <c r="X324" s="536"/>
      <c r="Y324" s="536"/>
      <c r="Z324" s="536"/>
      <c r="AA324" s="536"/>
      <c r="AB324" s="536"/>
      <c r="AC324" s="536"/>
      <c r="AD324" s="536"/>
      <c r="AE324" s="536"/>
      <c r="AF324" s="536"/>
      <c r="AG324" s="536"/>
      <c r="AH324" s="536"/>
      <c r="AI324" s="536"/>
      <c r="AJ324" s="536"/>
      <c r="AK324" s="537" t="s">
        <v>411</v>
      </c>
      <c r="AL324" s="536"/>
      <c r="AM324" s="536"/>
    </row>
    <row r="325" spans="1:39" x14ac:dyDescent="0.2">
      <c r="A325" s="548"/>
      <c r="B325" s="552"/>
      <c r="C325" s="1822" t="s">
        <v>481</v>
      </c>
      <c r="D325" s="1822"/>
      <c r="E325" s="1822"/>
      <c r="F325" s="1822"/>
      <c r="G325" s="1822"/>
      <c r="H325" s="1822"/>
      <c r="I325" s="1822"/>
      <c r="J325" s="1822"/>
      <c r="K325" s="1822"/>
      <c r="L325" s="551">
        <v>30522.61</v>
      </c>
      <c r="M325" s="550"/>
      <c r="N325" s="549"/>
      <c r="P325" s="536"/>
      <c r="Q325" s="536"/>
      <c r="R325" s="536"/>
      <c r="S325" s="536"/>
      <c r="T325" s="536"/>
      <c r="U325" s="536"/>
      <c r="V325" s="536"/>
      <c r="W325" s="536"/>
      <c r="X325" s="536"/>
      <c r="Y325" s="536"/>
      <c r="Z325" s="536"/>
      <c r="AA325" s="536"/>
      <c r="AB325" s="536"/>
      <c r="AC325" s="536"/>
      <c r="AD325" s="536"/>
      <c r="AE325" s="536"/>
      <c r="AF325" s="536"/>
      <c r="AG325" s="536"/>
      <c r="AH325" s="536"/>
      <c r="AI325" s="536"/>
      <c r="AJ325" s="536"/>
      <c r="AK325" s="537" t="s">
        <v>481</v>
      </c>
      <c r="AL325" s="536"/>
      <c r="AM325" s="536"/>
    </row>
    <row r="326" spans="1:39" x14ac:dyDescent="0.2">
      <c r="A326" s="548"/>
      <c r="B326" s="552"/>
      <c r="C326" s="1822" t="s">
        <v>412</v>
      </c>
      <c r="D326" s="1822"/>
      <c r="E326" s="1822"/>
      <c r="F326" s="1822"/>
      <c r="G326" s="1822"/>
      <c r="H326" s="1822"/>
      <c r="I326" s="1822"/>
      <c r="J326" s="1822"/>
      <c r="K326" s="1822"/>
      <c r="L326" s="551">
        <v>749.53</v>
      </c>
      <c r="M326" s="550"/>
      <c r="N326" s="549"/>
      <c r="P326" s="536"/>
      <c r="Q326" s="536"/>
      <c r="R326" s="536"/>
      <c r="S326" s="536"/>
      <c r="T326" s="536"/>
      <c r="U326" s="536"/>
      <c r="V326" s="536"/>
      <c r="W326" s="536"/>
      <c r="X326" s="536"/>
      <c r="Y326" s="536"/>
      <c r="Z326" s="536"/>
      <c r="AA326" s="536"/>
      <c r="AB326" s="536"/>
      <c r="AC326" s="536"/>
      <c r="AD326" s="536"/>
      <c r="AE326" s="536"/>
      <c r="AF326" s="536"/>
      <c r="AG326" s="536"/>
      <c r="AH326" s="536"/>
      <c r="AI326" s="536"/>
      <c r="AJ326" s="536"/>
      <c r="AK326" s="537" t="s">
        <v>412</v>
      </c>
      <c r="AL326" s="536"/>
      <c r="AM326" s="536"/>
    </row>
    <row r="327" spans="1:39" x14ac:dyDescent="0.2">
      <c r="A327" s="548"/>
      <c r="B327" s="552"/>
      <c r="C327" s="1822" t="s">
        <v>413</v>
      </c>
      <c r="D327" s="1822"/>
      <c r="E327" s="1822"/>
      <c r="F327" s="1822"/>
      <c r="G327" s="1822"/>
      <c r="H327" s="1822"/>
      <c r="I327" s="1822"/>
      <c r="J327" s="1822"/>
      <c r="K327" s="1822"/>
      <c r="L327" s="551">
        <v>476.11</v>
      </c>
      <c r="M327" s="550"/>
      <c r="N327" s="549"/>
      <c r="P327" s="536"/>
      <c r="Q327" s="536"/>
      <c r="R327" s="536"/>
      <c r="S327" s="536"/>
      <c r="T327" s="536"/>
      <c r="U327" s="536"/>
      <c r="V327" s="536"/>
      <c r="W327" s="536"/>
      <c r="X327" s="536"/>
      <c r="Y327" s="536"/>
      <c r="Z327" s="536"/>
      <c r="AA327" s="536"/>
      <c r="AB327" s="536"/>
      <c r="AC327" s="536"/>
      <c r="AD327" s="536"/>
      <c r="AE327" s="536"/>
      <c r="AF327" s="536"/>
      <c r="AG327" s="536"/>
      <c r="AH327" s="536"/>
      <c r="AI327" s="536"/>
      <c r="AJ327" s="536"/>
      <c r="AK327" s="537" t="s">
        <v>413</v>
      </c>
      <c r="AL327" s="536"/>
      <c r="AM327" s="536"/>
    </row>
    <row r="328" spans="1:39" x14ac:dyDescent="0.2">
      <c r="A328" s="548"/>
      <c r="B328" s="552" t="s">
        <v>185</v>
      </c>
      <c r="C328" s="1822" t="s">
        <v>414</v>
      </c>
      <c r="D328" s="1822"/>
      <c r="E328" s="1822"/>
      <c r="F328" s="1822"/>
      <c r="G328" s="1822"/>
      <c r="H328" s="1822"/>
      <c r="I328" s="1822"/>
      <c r="J328" s="1822"/>
      <c r="K328" s="1822"/>
      <c r="L328" s="551">
        <v>40.96</v>
      </c>
      <c r="M328" s="550">
        <v>8.32</v>
      </c>
      <c r="N328" s="549">
        <v>341</v>
      </c>
      <c r="P328" s="536"/>
      <c r="Q328" s="536"/>
      <c r="R328" s="536"/>
      <c r="S328" s="536"/>
      <c r="T328" s="536"/>
      <c r="U328" s="536"/>
      <c r="V328" s="536"/>
      <c r="W328" s="536"/>
      <c r="X328" s="536"/>
      <c r="Y328" s="536"/>
      <c r="Z328" s="536"/>
      <c r="AA328" s="536"/>
      <c r="AB328" s="536"/>
      <c r="AC328" s="536"/>
      <c r="AD328" s="536"/>
      <c r="AE328" s="536"/>
      <c r="AF328" s="536"/>
      <c r="AG328" s="536"/>
      <c r="AH328" s="536"/>
      <c r="AI328" s="536"/>
      <c r="AJ328" s="536"/>
      <c r="AK328" s="537" t="s">
        <v>414</v>
      </c>
      <c r="AL328" s="536"/>
      <c r="AM328" s="536"/>
    </row>
    <row r="329" spans="1:39" x14ac:dyDescent="0.2">
      <c r="A329" s="548"/>
      <c r="B329" s="552"/>
      <c r="C329" s="1822" t="s">
        <v>415</v>
      </c>
      <c r="D329" s="1822"/>
      <c r="E329" s="1822"/>
      <c r="F329" s="1822"/>
      <c r="G329" s="1822"/>
      <c r="H329" s="1822"/>
      <c r="I329" s="1822"/>
      <c r="J329" s="1822"/>
      <c r="K329" s="1822"/>
      <c r="L329" s="551">
        <v>783.74</v>
      </c>
      <c r="M329" s="550"/>
      <c r="N329" s="549"/>
      <c r="P329" s="536"/>
      <c r="Q329" s="536"/>
      <c r="R329" s="536"/>
      <c r="S329" s="536"/>
      <c r="T329" s="536"/>
      <c r="U329" s="536"/>
      <c r="V329" s="536"/>
      <c r="W329" s="536"/>
      <c r="X329" s="536"/>
      <c r="Y329" s="536"/>
      <c r="Z329" s="536"/>
      <c r="AA329" s="536"/>
      <c r="AB329" s="536"/>
      <c r="AC329" s="536"/>
      <c r="AD329" s="536"/>
      <c r="AE329" s="536"/>
      <c r="AF329" s="536"/>
      <c r="AG329" s="536"/>
      <c r="AH329" s="536"/>
      <c r="AI329" s="536"/>
      <c r="AJ329" s="536"/>
      <c r="AK329" s="537" t="s">
        <v>415</v>
      </c>
      <c r="AL329" s="536"/>
      <c r="AM329" s="536"/>
    </row>
    <row r="330" spans="1:39" x14ac:dyDescent="0.2">
      <c r="A330" s="548"/>
      <c r="B330" s="552"/>
      <c r="C330" s="1822" t="s">
        <v>416</v>
      </c>
      <c r="D330" s="1822"/>
      <c r="E330" s="1822"/>
      <c r="F330" s="1822"/>
      <c r="G330" s="1822"/>
      <c r="H330" s="1822"/>
      <c r="I330" s="1822"/>
      <c r="J330" s="1822"/>
      <c r="K330" s="1822"/>
      <c r="L330" s="551">
        <v>749.53</v>
      </c>
      <c r="M330" s="550"/>
      <c r="N330" s="549"/>
      <c r="P330" s="536"/>
      <c r="Q330" s="536"/>
      <c r="R330" s="536"/>
      <c r="S330" s="536"/>
      <c r="T330" s="536"/>
      <c r="U330" s="536"/>
      <c r="V330" s="536"/>
      <c r="W330" s="536"/>
      <c r="X330" s="536"/>
      <c r="Y330" s="536"/>
      <c r="Z330" s="536"/>
      <c r="AA330" s="536"/>
      <c r="AB330" s="536"/>
      <c r="AC330" s="536"/>
      <c r="AD330" s="536"/>
      <c r="AE330" s="536"/>
      <c r="AF330" s="536"/>
      <c r="AG330" s="536"/>
      <c r="AH330" s="536"/>
      <c r="AI330" s="536"/>
      <c r="AJ330" s="536"/>
      <c r="AK330" s="537" t="s">
        <v>416</v>
      </c>
      <c r="AL330" s="536"/>
      <c r="AM330" s="536"/>
    </row>
    <row r="331" spans="1:39" x14ac:dyDescent="0.2">
      <c r="A331" s="548"/>
      <c r="B331" s="552"/>
      <c r="C331" s="1822" t="s">
        <v>417</v>
      </c>
      <c r="D331" s="1822"/>
      <c r="E331" s="1822"/>
      <c r="F331" s="1822"/>
      <c r="G331" s="1822"/>
      <c r="H331" s="1822"/>
      <c r="I331" s="1822"/>
      <c r="J331" s="1822"/>
      <c r="K331" s="1822"/>
      <c r="L331" s="551">
        <v>476.11</v>
      </c>
      <c r="M331" s="550"/>
      <c r="N331" s="549"/>
      <c r="P331" s="536"/>
      <c r="Q331" s="536"/>
      <c r="R331" s="536"/>
      <c r="S331" s="536"/>
      <c r="T331" s="536"/>
      <c r="U331" s="536"/>
      <c r="V331" s="536"/>
      <c r="W331" s="536"/>
      <c r="X331" s="536"/>
      <c r="Y331" s="536"/>
      <c r="Z331" s="536"/>
      <c r="AA331" s="536"/>
      <c r="AB331" s="536"/>
      <c r="AC331" s="536"/>
      <c r="AD331" s="536"/>
      <c r="AE331" s="536"/>
      <c r="AF331" s="536"/>
      <c r="AG331" s="536"/>
      <c r="AH331" s="536"/>
      <c r="AI331" s="536"/>
      <c r="AJ331" s="536"/>
      <c r="AK331" s="537" t="s">
        <v>417</v>
      </c>
      <c r="AL331" s="536"/>
      <c r="AM331" s="536"/>
    </row>
    <row r="332" spans="1:39" x14ac:dyDescent="0.2">
      <c r="A332" s="548"/>
      <c r="B332" s="546"/>
      <c r="C332" s="1819" t="s">
        <v>206</v>
      </c>
      <c r="D332" s="1819"/>
      <c r="E332" s="1819"/>
      <c r="F332" s="1819"/>
      <c r="G332" s="1819"/>
      <c r="H332" s="1819"/>
      <c r="I332" s="1819"/>
      <c r="J332" s="1819"/>
      <c r="K332" s="1819"/>
      <c r="L332" s="544">
        <v>33697.47</v>
      </c>
      <c r="M332" s="543"/>
      <c r="N332" s="547">
        <v>280363</v>
      </c>
      <c r="P332" s="536"/>
      <c r="Q332" s="536"/>
      <c r="R332" s="536"/>
      <c r="S332" s="536"/>
      <c r="T332" s="536"/>
      <c r="U332" s="536"/>
      <c r="V332" s="536"/>
      <c r="W332" s="536"/>
      <c r="X332" s="536"/>
      <c r="Y332" s="536"/>
      <c r="Z332" s="536"/>
      <c r="AA332" s="536"/>
      <c r="AB332" s="536"/>
      <c r="AC332" s="536"/>
      <c r="AD332" s="536"/>
      <c r="AE332" s="536"/>
      <c r="AF332" s="536"/>
      <c r="AG332" s="536"/>
      <c r="AH332" s="536"/>
      <c r="AI332" s="536"/>
      <c r="AJ332" s="536"/>
      <c r="AK332" s="536"/>
      <c r="AL332" s="537" t="s">
        <v>206</v>
      </c>
      <c r="AM332" s="536"/>
    </row>
    <row r="333" spans="1:39" ht="1.5" customHeight="1" x14ac:dyDescent="0.2">
      <c r="B333" s="546"/>
      <c r="C333" s="683"/>
      <c r="D333" s="683"/>
      <c r="E333" s="683"/>
      <c r="F333" s="683"/>
      <c r="G333" s="683"/>
      <c r="H333" s="683"/>
      <c r="I333" s="683"/>
      <c r="J333" s="683"/>
      <c r="K333" s="683"/>
      <c r="L333" s="544"/>
      <c r="M333" s="543"/>
      <c r="N333" s="542"/>
      <c r="P333" s="536"/>
      <c r="Q333" s="536"/>
      <c r="R333" s="536"/>
      <c r="S333" s="536"/>
      <c r="T333" s="536"/>
      <c r="U333" s="536"/>
      <c r="V333" s="536"/>
      <c r="W333" s="536"/>
      <c r="X333" s="536"/>
      <c r="Y333" s="536"/>
      <c r="Z333" s="536"/>
      <c r="AA333" s="536"/>
      <c r="AB333" s="536"/>
      <c r="AC333" s="536"/>
      <c r="AD333" s="536"/>
      <c r="AE333" s="536"/>
      <c r="AF333" s="536"/>
      <c r="AG333" s="536"/>
      <c r="AH333" s="536"/>
      <c r="AI333" s="536"/>
      <c r="AJ333" s="536"/>
      <c r="AK333" s="536"/>
      <c r="AL333" s="536"/>
      <c r="AM333" s="536"/>
    </row>
    <row r="334" spans="1:39" ht="53.25" customHeight="1" x14ac:dyDescent="0.2">
      <c r="A334" s="541"/>
      <c r="B334" s="541"/>
      <c r="C334" s="541"/>
      <c r="D334" s="541"/>
      <c r="E334" s="541"/>
      <c r="F334" s="541"/>
      <c r="G334" s="541"/>
      <c r="H334" s="541"/>
      <c r="I334" s="541"/>
      <c r="J334" s="541"/>
      <c r="K334" s="541"/>
      <c r="L334" s="541"/>
      <c r="M334" s="541"/>
      <c r="N334" s="541"/>
      <c r="P334" s="536"/>
      <c r="Q334" s="536"/>
      <c r="R334" s="536"/>
      <c r="S334" s="536"/>
      <c r="T334" s="536"/>
      <c r="U334" s="536"/>
      <c r="V334" s="536"/>
      <c r="W334" s="536"/>
      <c r="X334" s="536"/>
      <c r="Y334" s="536"/>
      <c r="Z334" s="536"/>
      <c r="AA334" s="536"/>
      <c r="AB334" s="536"/>
      <c r="AC334" s="536"/>
      <c r="AD334" s="536"/>
      <c r="AE334" s="536"/>
      <c r="AF334" s="536"/>
      <c r="AG334" s="536"/>
      <c r="AH334" s="536"/>
      <c r="AI334" s="536"/>
      <c r="AJ334" s="536"/>
      <c r="AK334" s="536"/>
      <c r="AL334" s="536"/>
      <c r="AM334" s="536"/>
    </row>
    <row r="335" spans="1:39" x14ac:dyDescent="0.2">
      <c r="B335" s="539" t="s">
        <v>149</v>
      </c>
      <c r="C335" s="1820" t="s">
        <v>296</v>
      </c>
      <c r="D335" s="1820"/>
      <c r="E335" s="1820"/>
      <c r="F335" s="1820"/>
      <c r="G335" s="1820"/>
      <c r="H335" s="1820"/>
      <c r="I335" s="1820"/>
      <c r="J335" s="1820"/>
      <c r="K335" s="1820"/>
      <c r="L335" s="1820"/>
    </row>
    <row r="336" spans="1:39" ht="13.5" customHeight="1" x14ac:dyDescent="0.2">
      <c r="B336" s="540"/>
      <c r="C336" s="1821" t="s">
        <v>150</v>
      </c>
      <c r="D336" s="1821"/>
      <c r="E336" s="1821"/>
      <c r="F336" s="1821"/>
      <c r="G336" s="1821"/>
      <c r="H336" s="1821"/>
      <c r="I336" s="1821"/>
      <c r="J336" s="1821"/>
      <c r="K336" s="1821"/>
      <c r="L336" s="1821"/>
    </row>
    <row r="337" spans="1:39" ht="12.75" customHeight="1" x14ac:dyDescent="0.2">
      <c r="B337" s="539" t="s">
        <v>151</v>
      </c>
      <c r="C337" s="1820" t="s">
        <v>297</v>
      </c>
      <c r="D337" s="1820"/>
      <c r="E337" s="1820"/>
      <c r="F337" s="1820"/>
      <c r="G337" s="1820"/>
      <c r="H337" s="1820"/>
      <c r="I337" s="1820"/>
      <c r="J337" s="1820"/>
      <c r="K337" s="1820"/>
      <c r="L337" s="1820"/>
    </row>
    <row r="338" spans="1:39" ht="13.5" customHeight="1" x14ac:dyDescent="0.2">
      <c r="C338" s="1821" t="s">
        <v>150</v>
      </c>
      <c r="D338" s="1821"/>
      <c r="E338" s="1821"/>
      <c r="F338" s="1821"/>
      <c r="G338" s="1821"/>
      <c r="H338" s="1821"/>
      <c r="I338" s="1821"/>
      <c r="J338" s="1821"/>
      <c r="K338" s="1821"/>
      <c r="L338" s="1821"/>
    </row>
    <row r="340" spans="1:39" x14ac:dyDescent="0.2">
      <c r="A340" s="1944"/>
      <c r="B340" s="1944"/>
      <c r="C340" s="1944"/>
      <c r="D340" s="1944"/>
      <c r="E340" s="1944"/>
      <c r="F340" s="1944"/>
      <c r="G340" s="1944"/>
      <c r="H340" s="1944"/>
      <c r="I340" s="1944"/>
      <c r="J340" s="1944"/>
      <c r="K340" s="1944"/>
      <c r="L340" s="1944"/>
      <c r="M340" s="1944"/>
      <c r="N340" s="1944"/>
      <c r="P340" s="536"/>
      <c r="Q340" s="536"/>
      <c r="R340" s="536"/>
      <c r="S340" s="536"/>
      <c r="T340" s="536"/>
      <c r="U340" s="536"/>
      <c r="V340" s="536"/>
      <c r="W340" s="536"/>
      <c r="X340" s="536"/>
      <c r="Y340" s="536"/>
      <c r="Z340" s="536"/>
      <c r="AA340" s="536"/>
      <c r="AB340" s="536"/>
      <c r="AC340" s="536"/>
      <c r="AD340" s="536"/>
      <c r="AE340" s="536"/>
      <c r="AF340" s="536"/>
      <c r="AG340" s="536"/>
      <c r="AH340" s="536"/>
      <c r="AI340" s="536"/>
      <c r="AJ340" s="536"/>
      <c r="AK340" s="536"/>
      <c r="AL340" s="536"/>
      <c r="AM340" s="537" t="s">
        <v>143</v>
      </c>
    </row>
    <row r="341" spans="1:39" x14ac:dyDescent="0.2">
      <c r="B341" s="538"/>
      <c r="D341" s="538"/>
      <c r="F341" s="538"/>
      <c r="P341" s="536"/>
      <c r="Q341" s="536"/>
      <c r="R341" s="536"/>
      <c r="S341" s="536"/>
      <c r="T341" s="536"/>
      <c r="U341" s="536"/>
      <c r="V341" s="536"/>
      <c r="W341" s="536"/>
      <c r="X341" s="536"/>
      <c r="Y341" s="536"/>
      <c r="Z341" s="536"/>
      <c r="AA341" s="536"/>
      <c r="AB341" s="536"/>
      <c r="AC341" s="536"/>
      <c r="AD341" s="536"/>
      <c r="AE341" s="536"/>
      <c r="AF341" s="536"/>
      <c r="AG341" s="536"/>
      <c r="AH341" s="536"/>
      <c r="AI341" s="536"/>
      <c r="AJ341" s="536"/>
      <c r="AK341" s="536"/>
      <c r="AL341" s="536"/>
      <c r="AM341" s="536"/>
    </row>
  </sheetData>
  <mergeCells count="308">
    <mergeCell ref="K4:N4"/>
    <mergeCell ref="A4:C4"/>
    <mergeCell ref="A5:D5"/>
    <mergeCell ref="J5:N5"/>
    <mergeCell ref="A6:D6"/>
    <mergeCell ref="J6:N6"/>
    <mergeCell ref="A40:N40"/>
    <mergeCell ref="C41:E41"/>
    <mergeCell ref="C42:N42"/>
    <mergeCell ref="D10:N10"/>
    <mergeCell ref="A13:N13"/>
    <mergeCell ref="C43:N43"/>
    <mergeCell ref="A35:A37"/>
    <mergeCell ref="M35:M37"/>
    <mergeCell ref="G35:I36"/>
    <mergeCell ref="L33:M33"/>
    <mergeCell ref="A14:N14"/>
    <mergeCell ref="A17:N17"/>
    <mergeCell ref="A18:N18"/>
    <mergeCell ref="A21:N21"/>
    <mergeCell ref="B23:F23"/>
    <mergeCell ref="B24:F24"/>
    <mergeCell ref="A16:N16"/>
    <mergeCell ref="A20:N20"/>
    <mergeCell ref="A39:N39"/>
    <mergeCell ref="C38:E38"/>
    <mergeCell ref="N35:N37"/>
    <mergeCell ref="J35:L36"/>
    <mergeCell ref="B35:B37"/>
    <mergeCell ref="F35:F37"/>
    <mergeCell ref="C35:E37"/>
    <mergeCell ref="C58:E58"/>
    <mergeCell ref="C59:E59"/>
    <mergeCell ref="C44:E44"/>
    <mergeCell ref="C45:E45"/>
    <mergeCell ref="C46:E46"/>
    <mergeCell ref="C47:E47"/>
    <mergeCell ref="C48:E48"/>
    <mergeCell ref="C49:E49"/>
    <mergeCell ref="C52:E52"/>
    <mergeCell ref="C53:N53"/>
    <mergeCell ref="C54:N54"/>
    <mergeCell ref="C51:E51"/>
    <mergeCell ref="C50:E50"/>
    <mergeCell ref="C76:N76"/>
    <mergeCell ref="C77:E77"/>
    <mergeCell ref="C78:E78"/>
    <mergeCell ref="C79:E79"/>
    <mergeCell ref="C80:E80"/>
    <mergeCell ref="C55:E55"/>
    <mergeCell ref="C60:E60"/>
    <mergeCell ref="C71:E71"/>
    <mergeCell ref="C72:E72"/>
    <mergeCell ref="C73:E73"/>
    <mergeCell ref="C74:E74"/>
    <mergeCell ref="C75:N75"/>
    <mergeCell ref="C66:E66"/>
    <mergeCell ref="C67:E67"/>
    <mergeCell ref="C68:E68"/>
    <mergeCell ref="C69:E69"/>
    <mergeCell ref="C70:E70"/>
    <mergeCell ref="C61:E61"/>
    <mergeCell ref="C62:E62"/>
    <mergeCell ref="C63:E63"/>
    <mergeCell ref="C64:N64"/>
    <mergeCell ref="C65:N65"/>
    <mergeCell ref="C56:E56"/>
    <mergeCell ref="C57:E57"/>
    <mergeCell ref="C86:E86"/>
    <mergeCell ref="C87:E87"/>
    <mergeCell ref="C88:N88"/>
    <mergeCell ref="A89:N89"/>
    <mergeCell ref="C90:E90"/>
    <mergeCell ref="C81:E81"/>
    <mergeCell ref="C82:E82"/>
    <mergeCell ref="C83:E83"/>
    <mergeCell ref="C84:E84"/>
    <mergeCell ref="C85:E85"/>
    <mergeCell ref="C96:E96"/>
    <mergeCell ref="C97:E97"/>
    <mergeCell ref="C98:E98"/>
    <mergeCell ref="C99:E99"/>
    <mergeCell ref="C100:E100"/>
    <mergeCell ref="C91:N91"/>
    <mergeCell ref="C92:N92"/>
    <mergeCell ref="C93:E93"/>
    <mergeCell ref="C94:E94"/>
    <mergeCell ref="C95:E95"/>
    <mergeCell ref="C107:N107"/>
    <mergeCell ref="C108:E108"/>
    <mergeCell ref="C109:N109"/>
    <mergeCell ref="C110:N110"/>
    <mergeCell ref="C111:E111"/>
    <mergeCell ref="C101:E101"/>
    <mergeCell ref="C102:E102"/>
    <mergeCell ref="C103:E103"/>
    <mergeCell ref="C104:E104"/>
    <mergeCell ref="C105:E105"/>
    <mergeCell ref="C117:E117"/>
    <mergeCell ref="C118:E118"/>
    <mergeCell ref="C119:E119"/>
    <mergeCell ref="C120:E120"/>
    <mergeCell ref="C121:E121"/>
    <mergeCell ref="C112:E112"/>
    <mergeCell ref="C113:E113"/>
    <mergeCell ref="C114:E114"/>
    <mergeCell ref="C115:E115"/>
    <mergeCell ref="C116:E116"/>
    <mergeCell ref="C129:N129"/>
    <mergeCell ref="C130:N130"/>
    <mergeCell ref="C131:E131"/>
    <mergeCell ref="C133:N133"/>
    <mergeCell ref="C134:E134"/>
    <mergeCell ref="C122:E122"/>
    <mergeCell ref="C123:E123"/>
    <mergeCell ref="C124:E124"/>
    <mergeCell ref="C126:N126"/>
    <mergeCell ref="C127:E127"/>
    <mergeCell ref="C140:E140"/>
    <mergeCell ref="C141:E141"/>
    <mergeCell ref="C142:E142"/>
    <mergeCell ref="C143:E143"/>
    <mergeCell ref="C144:E144"/>
    <mergeCell ref="C135:N135"/>
    <mergeCell ref="C136:N136"/>
    <mergeCell ref="C137:E137"/>
    <mergeCell ref="C138:E138"/>
    <mergeCell ref="C139:E139"/>
    <mergeCell ref="C151:E151"/>
    <mergeCell ref="C152:N152"/>
    <mergeCell ref="C153:N153"/>
    <mergeCell ref="C154:E154"/>
    <mergeCell ref="C155:E155"/>
    <mergeCell ref="C145:E145"/>
    <mergeCell ref="C146:E146"/>
    <mergeCell ref="C147:E147"/>
    <mergeCell ref="C148:E148"/>
    <mergeCell ref="C150:N150"/>
    <mergeCell ref="C161:E161"/>
    <mergeCell ref="C162:E162"/>
    <mergeCell ref="C163:E163"/>
    <mergeCell ref="C164:E164"/>
    <mergeCell ref="C165:E165"/>
    <mergeCell ref="C156:E156"/>
    <mergeCell ref="C157:E157"/>
    <mergeCell ref="C158:E158"/>
    <mergeCell ref="C159:E159"/>
    <mergeCell ref="C160:E160"/>
    <mergeCell ref="C172:N172"/>
    <mergeCell ref="C173:E173"/>
    <mergeCell ref="C174:E174"/>
    <mergeCell ref="C175:E175"/>
    <mergeCell ref="C176:E176"/>
    <mergeCell ref="C166:E166"/>
    <mergeCell ref="C168:N168"/>
    <mergeCell ref="A169:N169"/>
    <mergeCell ref="C170:E170"/>
    <mergeCell ref="C171:N171"/>
    <mergeCell ref="C182:E182"/>
    <mergeCell ref="C183:E183"/>
    <mergeCell ref="C184:E184"/>
    <mergeCell ref="C185:E185"/>
    <mergeCell ref="C187:N187"/>
    <mergeCell ref="C177:E177"/>
    <mergeCell ref="C178:E178"/>
    <mergeCell ref="C179:E179"/>
    <mergeCell ref="C180:E180"/>
    <mergeCell ref="C181:E181"/>
    <mergeCell ref="C193:E193"/>
    <mergeCell ref="C194:E194"/>
    <mergeCell ref="C195:E195"/>
    <mergeCell ref="C196:E196"/>
    <mergeCell ref="C197:E197"/>
    <mergeCell ref="C188:E188"/>
    <mergeCell ref="C189:N189"/>
    <mergeCell ref="C190:N190"/>
    <mergeCell ref="C191:E191"/>
    <mergeCell ref="C192:E192"/>
    <mergeCell ref="C203:E203"/>
    <mergeCell ref="C205:N205"/>
    <mergeCell ref="C206:E206"/>
    <mergeCell ref="C207:N207"/>
    <mergeCell ref="C208:N208"/>
    <mergeCell ref="C198:E198"/>
    <mergeCell ref="C199:E199"/>
    <mergeCell ref="C200:E200"/>
    <mergeCell ref="C201:E201"/>
    <mergeCell ref="C202:E202"/>
    <mergeCell ref="C214:E214"/>
    <mergeCell ref="C215:E215"/>
    <mergeCell ref="C216:E216"/>
    <mergeCell ref="C217:E217"/>
    <mergeCell ref="C218:E218"/>
    <mergeCell ref="C209:E209"/>
    <mergeCell ref="C210:E210"/>
    <mergeCell ref="C211:E211"/>
    <mergeCell ref="C212:E212"/>
    <mergeCell ref="C213:E213"/>
    <mergeCell ref="C225:N225"/>
    <mergeCell ref="C226:N226"/>
    <mergeCell ref="C227:E227"/>
    <mergeCell ref="C228:E228"/>
    <mergeCell ref="C229:E229"/>
    <mergeCell ref="C219:E219"/>
    <mergeCell ref="C220:E220"/>
    <mergeCell ref="C221:E221"/>
    <mergeCell ref="C223:N223"/>
    <mergeCell ref="C224:E224"/>
    <mergeCell ref="C235:E235"/>
    <mergeCell ref="C236:E236"/>
    <mergeCell ref="C237:E237"/>
    <mergeCell ref="C238:E238"/>
    <mergeCell ref="C239:E239"/>
    <mergeCell ref="C230:E230"/>
    <mergeCell ref="C231:E231"/>
    <mergeCell ref="C232:E232"/>
    <mergeCell ref="C233:E233"/>
    <mergeCell ref="C234:E234"/>
    <mergeCell ref="C246:E246"/>
    <mergeCell ref="C247:E247"/>
    <mergeCell ref="C248:E248"/>
    <mergeCell ref="C249:E249"/>
    <mergeCell ref="C250:E250"/>
    <mergeCell ref="C240:E240"/>
    <mergeCell ref="C242:N242"/>
    <mergeCell ref="C243:E243"/>
    <mergeCell ref="C244:N244"/>
    <mergeCell ref="C245:N245"/>
    <mergeCell ref="C256:E256"/>
    <mergeCell ref="C257:E257"/>
    <mergeCell ref="C258:N258"/>
    <mergeCell ref="C259:N259"/>
    <mergeCell ref="C260:E260"/>
    <mergeCell ref="C251:E251"/>
    <mergeCell ref="C252:E252"/>
    <mergeCell ref="C253:E253"/>
    <mergeCell ref="C254:E254"/>
    <mergeCell ref="C255:E255"/>
    <mergeCell ref="C266:E266"/>
    <mergeCell ref="C267:E267"/>
    <mergeCell ref="C268:E268"/>
    <mergeCell ref="C269:E269"/>
    <mergeCell ref="C270:E270"/>
    <mergeCell ref="C261:E261"/>
    <mergeCell ref="C262:E262"/>
    <mergeCell ref="C263:E263"/>
    <mergeCell ref="C264:E264"/>
    <mergeCell ref="C265:E265"/>
    <mergeCell ref="C278:K278"/>
    <mergeCell ref="C279:K279"/>
    <mergeCell ref="C280:K280"/>
    <mergeCell ref="C281:K281"/>
    <mergeCell ref="C282:K282"/>
    <mergeCell ref="C271:E271"/>
    <mergeCell ref="C273:N273"/>
    <mergeCell ref="C275:K275"/>
    <mergeCell ref="C276:K276"/>
    <mergeCell ref="C277:K277"/>
    <mergeCell ref="C288:K288"/>
    <mergeCell ref="C289:K289"/>
    <mergeCell ref="C290:K290"/>
    <mergeCell ref="C291:K291"/>
    <mergeCell ref="C292:K292"/>
    <mergeCell ref="C283:K283"/>
    <mergeCell ref="C284:K284"/>
    <mergeCell ref="C285:K285"/>
    <mergeCell ref="C286:K286"/>
    <mergeCell ref="C287:K287"/>
    <mergeCell ref="C299:E299"/>
    <mergeCell ref="C301:E301"/>
    <mergeCell ref="C304:K304"/>
    <mergeCell ref="C305:K305"/>
    <mergeCell ref="C306:K306"/>
    <mergeCell ref="C293:K293"/>
    <mergeCell ref="C294:K294"/>
    <mergeCell ref="A295:N295"/>
    <mergeCell ref="C296:E296"/>
    <mergeCell ref="C298:N298"/>
    <mergeCell ref="C313:K313"/>
    <mergeCell ref="C314:K314"/>
    <mergeCell ref="C315:K315"/>
    <mergeCell ref="C316:K316"/>
    <mergeCell ref="C307:K307"/>
    <mergeCell ref="C308:K308"/>
    <mergeCell ref="C309:K309"/>
    <mergeCell ref="C310:K310"/>
    <mergeCell ref="C311:K311"/>
    <mergeCell ref="C326:K326"/>
    <mergeCell ref="C327:K327"/>
    <mergeCell ref="C335:L335"/>
    <mergeCell ref="C337:L337"/>
    <mergeCell ref="C336:L336"/>
    <mergeCell ref="C338:L338"/>
    <mergeCell ref="C317:K317"/>
    <mergeCell ref="A340:N340"/>
    <mergeCell ref="C328:K328"/>
    <mergeCell ref="C329:K329"/>
    <mergeCell ref="C330:K330"/>
    <mergeCell ref="C331:K331"/>
    <mergeCell ref="C332:K332"/>
    <mergeCell ref="C323:K323"/>
    <mergeCell ref="C324:K324"/>
    <mergeCell ref="C325:K325"/>
    <mergeCell ref="C318:K318"/>
    <mergeCell ref="C319:K319"/>
    <mergeCell ref="C320:K320"/>
    <mergeCell ref="C321:K321"/>
    <mergeCell ref="C322:K322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340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26"/>
  <sheetViews>
    <sheetView topLeftCell="A588" zoomScale="115" zoomScaleNormal="115" workbookViewId="0">
      <selection activeCell="C623" sqref="C623:L623"/>
    </sheetView>
  </sheetViews>
  <sheetFormatPr defaultColWidth="9.140625" defaultRowHeight="11.25" customHeight="1" x14ac:dyDescent="0.2"/>
  <cols>
    <col min="1" max="1" width="8.140625" style="1194" customWidth="1"/>
    <col min="2" max="2" width="20.140625" style="1194" customWidth="1"/>
    <col min="3" max="4" width="10.42578125" style="1194" customWidth="1"/>
    <col min="5" max="5" width="13.28515625" style="1194" customWidth="1"/>
    <col min="6" max="6" width="8.5703125" style="1194" customWidth="1"/>
    <col min="7" max="7" width="7.85546875" style="1194" customWidth="1"/>
    <col min="8" max="8" width="8.42578125" style="1194" customWidth="1"/>
    <col min="9" max="9" width="8.7109375" style="1194" customWidth="1"/>
    <col min="10" max="10" width="8.140625" style="1194" customWidth="1"/>
    <col min="11" max="11" width="8.5703125" style="1194" customWidth="1"/>
    <col min="12" max="12" width="10" style="1194" customWidth="1"/>
    <col min="13" max="13" width="8.140625" style="1194" customWidth="1"/>
    <col min="14" max="14" width="9.7109375" style="1194" customWidth="1"/>
    <col min="15" max="15" width="9.140625" style="1194" customWidth="1"/>
    <col min="16" max="16" width="99.7109375" style="1198" hidden="1" customWidth="1"/>
    <col min="17" max="21" width="138.42578125" style="1198" hidden="1" customWidth="1"/>
    <col min="22" max="22" width="34.140625" style="1198" hidden="1" customWidth="1"/>
    <col min="23" max="24" width="110.140625" style="1198" hidden="1" customWidth="1"/>
    <col min="25" max="28" width="34.140625" style="1198" hidden="1" customWidth="1"/>
    <col min="29" max="31" width="84.42578125" style="1198" hidden="1" customWidth="1"/>
    <col min="32" max="32" width="34.140625" style="1198" hidden="1" customWidth="1"/>
    <col min="33" max="33" width="110.140625" style="1198" hidden="1" customWidth="1"/>
    <col min="34" max="36" width="84.42578125" style="1198" hidden="1" customWidth="1"/>
    <col min="37" max="16384" width="9.140625" style="1194"/>
  </cols>
  <sheetData>
    <row r="1" spans="1:19" s="1194" customFormat="1" x14ac:dyDescent="0.2">
      <c r="N1" s="1195" t="s">
        <v>152</v>
      </c>
    </row>
    <row r="2" spans="1:19" s="1194" customFormat="1" x14ac:dyDescent="0.2">
      <c r="N2" s="1195" t="s">
        <v>141</v>
      </c>
    </row>
    <row r="3" spans="1:19" s="1194" customFormat="1" ht="8.25" customHeight="1" x14ac:dyDescent="0.2">
      <c r="N3" s="1195"/>
    </row>
    <row r="4" spans="1:19" s="1194" customFormat="1" ht="33.75" x14ac:dyDescent="0.2">
      <c r="A4" s="1196" t="s">
        <v>156</v>
      </c>
      <c r="B4" s="1197"/>
      <c r="D4" s="1945" t="s">
        <v>9242</v>
      </c>
      <c r="E4" s="1945"/>
      <c r="F4" s="1945"/>
      <c r="G4" s="1945"/>
      <c r="H4" s="1945"/>
      <c r="I4" s="1945"/>
      <c r="J4" s="1945"/>
      <c r="K4" s="1945"/>
      <c r="L4" s="1945"/>
      <c r="M4" s="1945"/>
      <c r="N4" s="1945"/>
      <c r="P4" s="1198" t="s">
        <v>9242</v>
      </c>
    </row>
    <row r="5" spans="1:19" s="1194" customFormat="1" ht="15" customHeight="1" x14ac:dyDescent="0.2">
      <c r="A5" s="1199" t="s">
        <v>158</v>
      </c>
      <c r="D5" s="1200" t="s">
        <v>8951</v>
      </c>
      <c r="E5" s="1200"/>
      <c r="F5" s="1201"/>
      <c r="G5" s="1201"/>
      <c r="H5" s="1201"/>
      <c r="I5" s="1201"/>
      <c r="J5" s="1201"/>
      <c r="K5" s="1201"/>
      <c r="L5" s="1201"/>
      <c r="M5" s="1201"/>
      <c r="N5" s="1201"/>
    </row>
    <row r="6" spans="1:19" s="1194" customFormat="1" ht="8.25" customHeight="1" x14ac:dyDescent="0.2">
      <c r="A6" s="1199"/>
      <c r="F6" s="1197"/>
      <c r="G6" s="1197"/>
      <c r="H6" s="1197"/>
      <c r="I6" s="1197"/>
      <c r="J6" s="1197"/>
      <c r="K6" s="1197"/>
      <c r="L6" s="1197"/>
      <c r="M6" s="1197"/>
      <c r="N6" s="1197"/>
    </row>
    <row r="7" spans="1:19" s="1194" customFormat="1" x14ac:dyDescent="0.2">
      <c r="A7" s="1946" t="s">
        <v>274</v>
      </c>
      <c r="B7" s="1946"/>
      <c r="C7" s="1946"/>
      <c r="D7" s="1946"/>
      <c r="E7" s="1946"/>
      <c r="F7" s="1946"/>
      <c r="G7" s="1946"/>
      <c r="H7" s="1946"/>
      <c r="I7" s="1946"/>
      <c r="J7" s="1946"/>
      <c r="K7" s="1946"/>
      <c r="L7" s="1946"/>
      <c r="M7" s="1946"/>
      <c r="N7" s="1946"/>
      <c r="Q7" s="1198" t="s">
        <v>274</v>
      </c>
    </row>
    <row r="8" spans="1:19" s="1194" customFormat="1" x14ac:dyDescent="0.2">
      <c r="A8" s="1947" t="s">
        <v>139</v>
      </c>
      <c r="B8" s="1947"/>
      <c r="C8" s="1947"/>
      <c r="D8" s="1947"/>
      <c r="E8" s="1947"/>
      <c r="F8" s="1947"/>
      <c r="G8" s="1947"/>
      <c r="H8" s="1947"/>
      <c r="I8" s="1947"/>
      <c r="J8" s="1947"/>
      <c r="K8" s="1947"/>
      <c r="L8" s="1947"/>
      <c r="M8" s="1947"/>
      <c r="N8" s="1947"/>
    </row>
    <row r="9" spans="1:19" s="1194" customFormat="1" ht="8.25" customHeight="1" x14ac:dyDescent="0.2">
      <c r="A9" s="1202"/>
      <c r="B9" s="1202"/>
      <c r="C9" s="1202"/>
      <c r="D9" s="1202"/>
      <c r="E9" s="1202"/>
      <c r="F9" s="1202"/>
      <c r="G9" s="1202"/>
      <c r="H9" s="1202"/>
      <c r="I9" s="1202"/>
      <c r="J9" s="1202"/>
      <c r="K9" s="1202"/>
      <c r="L9" s="1202"/>
      <c r="M9" s="1202"/>
      <c r="N9" s="1202"/>
    </row>
    <row r="10" spans="1:19" s="1194" customFormat="1" x14ac:dyDescent="0.2">
      <c r="A10" s="1946" t="s">
        <v>9243</v>
      </c>
      <c r="B10" s="1946"/>
      <c r="C10" s="1946"/>
      <c r="D10" s="1946"/>
      <c r="E10" s="1946"/>
      <c r="F10" s="1946"/>
      <c r="G10" s="1946"/>
      <c r="H10" s="1946"/>
      <c r="I10" s="1946"/>
      <c r="J10" s="1946"/>
      <c r="K10" s="1946"/>
      <c r="L10" s="1946"/>
      <c r="M10" s="1946"/>
      <c r="N10" s="1946"/>
      <c r="R10" s="1198" t="s">
        <v>9243</v>
      </c>
    </row>
    <row r="11" spans="1:19" s="1194" customFormat="1" x14ac:dyDescent="0.2">
      <c r="A11" s="1947" t="s">
        <v>142</v>
      </c>
      <c r="B11" s="1947"/>
      <c r="C11" s="1947"/>
      <c r="D11" s="1947"/>
      <c r="E11" s="1947"/>
      <c r="F11" s="1947"/>
      <c r="G11" s="1947"/>
      <c r="H11" s="1947"/>
      <c r="I11" s="1947"/>
      <c r="J11" s="1947"/>
      <c r="K11" s="1947"/>
      <c r="L11" s="1947"/>
      <c r="M11" s="1947"/>
      <c r="N11" s="1947"/>
    </row>
    <row r="12" spans="1:19" s="1194" customFormat="1" ht="24" customHeight="1" x14ac:dyDescent="0.25">
      <c r="A12" s="1948" t="s">
        <v>1506</v>
      </c>
      <c r="B12" s="1948"/>
      <c r="C12" s="1948"/>
      <c r="D12" s="1948"/>
      <c r="E12" s="1948"/>
      <c r="F12" s="1948"/>
      <c r="G12" s="1948"/>
      <c r="H12" s="1948"/>
      <c r="I12" s="1948"/>
      <c r="J12" s="1948"/>
      <c r="K12" s="1948"/>
      <c r="L12" s="1948"/>
      <c r="M12" s="1948"/>
      <c r="N12" s="1948"/>
    </row>
    <row r="13" spans="1:19" s="1194" customFormat="1" ht="8.25" customHeight="1" x14ac:dyDescent="0.25">
      <c r="A13" s="1203"/>
      <c r="B13" s="1203"/>
      <c r="C13" s="1203"/>
      <c r="D13" s="1203"/>
      <c r="E13" s="1203"/>
      <c r="F13" s="1203"/>
      <c r="G13" s="1203"/>
      <c r="H13" s="1203"/>
      <c r="I13" s="1203"/>
      <c r="J13" s="1203"/>
      <c r="K13" s="1203"/>
      <c r="L13" s="1203"/>
      <c r="M13" s="1203"/>
      <c r="N13" s="1203"/>
    </row>
    <row r="14" spans="1:19" s="1194" customFormat="1" x14ac:dyDescent="0.2">
      <c r="A14" s="1949" t="s">
        <v>10129</v>
      </c>
      <c r="B14" s="1949"/>
      <c r="C14" s="1949"/>
      <c r="D14" s="1949"/>
      <c r="E14" s="1949"/>
      <c r="F14" s="1949"/>
      <c r="G14" s="1949"/>
      <c r="H14" s="1949"/>
      <c r="I14" s="1949"/>
      <c r="J14" s="1949"/>
      <c r="K14" s="1949"/>
      <c r="L14" s="1949"/>
      <c r="M14" s="1949"/>
      <c r="N14" s="1949"/>
      <c r="S14" s="1198" t="s">
        <v>9239</v>
      </c>
    </row>
    <row r="15" spans="1:19" s="1194" customFormat="1" ht="13.5" customHeight="1" x14ac:dyDescent="0.2">
      <c r="A15" s="1947" t="s">
        <v>160</v>
      </c>
      <c r="B15" s="1947"/>
      <c r="C15" s="1947"/>
      <c r="D15" s="1947"/>
      <c r="E15" s="1947"/>
      <c r="F15" s="1947"/>
      <c r="G15" s="1947"/>
      <c r="H15" s="1947"/>
      <c r="I15" s="1947"/>
      <c r="J15" s="1947"/>
      <c r="K15" s="1947"/>
      <c r="L15" s="1947"/>
      <c r="M15" s="1947"/>
      <c r="N15" s="1947"/>
    </row>
    <row r="16" spans="1:19" s="1194" customFormat="1" ht="15" customHeight="1" x14ac:dyDescent="0.2">
      <c r="A16" s="1194" t="s">
        <v>161</v>
      </c>
      <c r="B16" s="1204" t="s">
        <v>162</v>
      </c>
      <c r="C16" s="1194" t="s">
        <v>163</v>
      </c>
      <c r="F16" s="1198"/>
      <c r="G16" s="1198"/>
      <c r="H16" s="1198"/>
      <c r="I16" s="1198"/>
      <c r="J16" s="1198"/>
      <c r="K16" s="1198"/>
      <c r="L16" s="1198"/>
      <c r="M16" s="1198"/>
      <c r="N16" s="1198"/>
    </row>
    <row r="17" spans="1:14" s="1194" customFormat="1" ht="18" customHeight="1" x14ac:dyDescent="0.2">
      <c r="A17" s="1194" t="s">
        <v>164</v>
      </c>
      <c r="B17" s="1949" t="s">
        <v>1507</v>
      </c>
      <c r="C17" s="1949"/>
      <c r="D17" s="1949"/>
      <c r="E17" s="1949"/>
      <c r="F17" s="1949"/>
      <c r="G17" s="1198"/>
      <c r="H17" s="1198"/>
      <c r="I17" s="1198"/>
      <c r="J17" s="1198"/>
      <c r="K17" s="1198"/>
      <c r="L17" s="1198"/>
      <c r="M17" s="1198"/>
      <c r="N17" s="1198"/>
    </row>
    <row r="18" spans="1:14" s="1194" customFormat="1" x14ac:dyDescent="0.2">
      <c r="B18" s="1950" t="s">
        <v>144</v>
      </c>
      <c r="C18" s="1950"/>
      <c r="D18" s="1950"/>
      <c r="E18" s="1950"/>
      <c r="F18" s="1950"/>
      <c r="G18" s="1205"/>
      <c r="H18" s="1205"/>
      <c r="I18" s="1205"/>
      <c r="J18" s="1205"/>
      <c r="K18" s="1205"/>
      <c r="L18" s="1205"/>
      <c r="M18" s="1206"/>
      <c r="N18" s="1205"/>
    </row>
    <row r="19" spans="1:14" s="1194" customFormat="1" ht="9.75" customHeight="1" x14ac:dyDescent="0.2">
      <c r="D19" s="1207"/>
      <c r="E19" s="1207"/>
      <c r="F19" s="1207"/>
      <c r="G19" s="1207"/>
      <c r="H19" s="1207"/>
      <c r="I19" s="1207"/>
      <c r="J19" s="1207"/>
      <c r="K19" s="1207"/>
      <c r="L19" s="1207"/>
      <c r="M19" s="1205"/>
      <c r="N19" s="1205"/>
    </row>
    <row r="20" spans="1:14" s="1194" customFormat="1" x14ac:dyDescent="0.2">
      <c r="A20" s="1208" t="s">
        <v>165</v>
      </c>
      <c r="D20" s="1200" t="s">
        <v>613</v>
      </c>
      <c r="F20" s="1209"/>
      <c r="G20" s="1209"/>
      <c r="H20" s="1209"/>
      <c r="I20" s="1209"/>
      <c r="J20" s="1209"/>
      <c r="K20" s="1209"/>
      <c r="L20" s="1209"/>
      <c r="M20" s="1209"/>
      <c r="N20" s="1209"/>
    </row>
    <row r="21" spans="1:14" s="1194" customFormat="1" ht="9.75" customHeight="1" x14ac:dyDescent="0.2">
      <c r="D21" s="1209"/>
      <c r="E21" s="1209"/>
      <c r="F21" s="1209"/>
      <c r="G21" s="1209"/>
      <c r="H21" s="1209"/>
      <c r="I21" s="1209"/>
      <c r="J21" s="1209"/>
      <c r="K21" s="1209"/>
      <c r="L21" s="1209"/>
      <c r="M21" s="1209"/>
      <c r="N21" s="1209"/>
    </row>
    <row r="22" spans="1:14" s="1194" customFormat="1" ht="12.75" customHeight="1" x14ac:dyDescent="0.2">
      <c r="A22" s="1208" t="s">
        <v>166</v>
      </c>
      <c r="C22" s="1210">
        <v>43985.279999999999</v>
      </c>
      <c r="D22" s="1211" t="s">
        <v>9244</v>
      </c>
      <c r="E22" s="1199" t="s">
        <v>167</v>
      </c>
      <c r="L22" s="1212"/>
      <c r="M22" s="1212"/>
    </row>
    <row r="23" spans="1:14" s="1194" customFormat="1" ht="12.75" customHeight="1" x14ac:dyDescent="0.2">
      <c r="B23" s="1194" t="s">
        <v>168</v>
      </c>
      <c r="C23" s="1213"/>
      <c r="D23" s="1214"/>
      <c r="E23" s="1199"/>
    </row>
    <row r="24" spans="1:14" s="1194" customFormat="1" ht="12.75" customHeight="1" x14ac:dyDescent="0.2">
      <c r="B24" s="1194" t="s">
        <v>169</v>
      </c>
      <c r="C24" s="1210">
        <v>43985.279999999999</v>
      </c>
      <c r="D24" s="1211" t="s">
        <v>9244</v>
      </c>
      <c r="E24" s="1199" t="s">
        <v>167</v>
      </c>
      <c r="G24" s="1194" t="s">
        <v>170</v>
      </c>
      <c r="L24" s="1210">
        <v>0</v>
      </c>
      <c r="M24" s="1211" t="s">
        <v>9245</v>
      </c>
      <c r="N24" s="1199" t="s">
        <v>167</v>
      </c>
    </row>
    <row r="25" spans="1:14" s="1194" customFormat="1" ht="12.75" customHeight="1" x14ac:dyDescent="0.2">
      <c r="B25" s="1194" t="s">
        <v>140</v>
      </c>
      <c r="C25" s="1210">
        <v>0</v>
      </c>
      <c r="D25" s="1215" t="s">
        <v>171</v>
      </c>
      <c r="E25" s="1199" t="s">
        <v>167</v>
      </c>
      <c r="G25" s="1194" t="s">
        <v>172</v>
      </c>
      <c r="L25" s="1216"/>
      <c r="M25" s="1216">
        <v>19993.080000000002</v>
      </c>
      <c r="N25" s="1199" t="s">
        <v>173</v>
      </c>
    </row>
    <row r="26" spans="1:14" s="1194" customFormat="1" ht="12.75" customHeight="1" x14ac:dyDescent="0.2">
      <c r="B26" s="1194" t="s">
        <v>146</v>
      </c>
      <c r="C26" s="1210">
        <v>0</v>
      </c>
      <c r="D26" s="1215" t="s">
        <v>171</v>
      </c>
      <c r="E26" s="1199" t="s">
        <v>167</v>
      </c>
      <c r="G26" s="1194" t="s">
        <v>174</v>
      </c>
      <c r="L26" s="1216"/>
      <c r="M26" s="1216">
        <v>3103</v>
      </c>
      <c r="N26" s="1199" t="s">
        <v>173</v>
      </c>
    </row>
    <row r="27" spans="1:14" s="1194" customFormat="1" ht="12.75" customHeight="1" x14ac:dyDescent="0.2">
      <c r="B27" s="1194" t="s">
        <v>147</v>
      </c>
      <c r="C27" s="1210">
        <v>0</v>
      </c>
      <c r="D27" s="1211" t="s">
        <v>171</v>
      </c>
      <c r="E27" s="1199" t="s">
        <v>167</v>
      </c>
      <c r="G27" s="1194" t="s">
        <v>175</v>
      </c>
      <c r="L27" s="1951"/>
      <c r="M27" s="1951"/>
    </row>
    <row r="28" spans="1:14" s="1194" customFormat="1" ht="9.75" customHeight="1" x14ac:dyDescent="0.2">
      <c r="A28" s="1217"/>
    </row>
    <row r="29" spans="1:14" s="1194" customFormat="1" ht="36" customHeight="1" x14ac:dyDescent="0.2">
      <c r="A29" s="1952" t="s">
        <v>8</v>
      </c>
      <c r="B29" s="1952" t="s">
        <v>145</v>
      </c>
      <c r="C29" s="1952" t="s">
        <v>176</v>
      </c>
      <c r="D29" s="1952"/>
      <c r="E29" s="1952"/>
      <c r="F29" s="1952" t="s">
        <v>177</v>
      </c>
      <c r="G29" s="1952" t="s">
        <v>178</v>
      </c>
      <c r="H29" s="1952"/>
      <c r="I29" s="1952"/>
      <c r="J29" s="1952" t="s">
        <v>179</v>
      </c>
      <c r="K29" s="1952"/>
      <c r="L29" s="1952"/>
      <c r="M29" s="1952" t="s">
        <v>180</v>
      </c>
      <c r="N29" s="1952" t="s">
        <v>181</v>
      </c>
    </row>
    <row r="30" spans="1:14" s="1194" customFormat="1" ht="36.75" customHeight="1" x14ac:dyDescent="0.2">
      <c r="A30" s="1952"/>
      <c r="B30" s="1952"/>
      <c r="C30" s="1952"/>
      <c r="D30" s="1952"/>
      <c r="E30" s="1952"/>
      <c r="F30" s="1952"/>
      <c r="G30" s="1952"/>
      <c r="H30" s="1952"/>
      <c r="I30" s="1952"/>
      <c r="J30" s="1952"/>
      <c r="K30" s="1952"/>
      <c r="L30" s="1952"/>
      <c r="M30" s="1952"/>
      <c r="N30" s="1952"/>
    </row>
    <row r="31" spans="1:14" s="1194" customFormat="1" ht="45" x14ac:dyDescent="0.2">
      <c r="A31" s="1952"/>
      <c r="B31" s="1952"/>
      <c r="C31" s="1952"/>
      <c r="D31" s="1952"/>
      <c r="E31" s="1952"/>
      <c r="F31" s="1952"/>
      <c r="G31" s="1218" t="s">
        <v>182</v>
      </c>
      <c r="H31" s="1218" t="s">
        <v>183</v>
      </c>
      <c r="I31" s="1218" t="s">
        <v>184</v>
      </c>
      <c r="J31" s="1218" t="s">
        <v>182</v>
      </c>
      <c r="K31" s="1218" t="s">
        <v>183</v>
      </c>
      <c r="L31" s="1218" t="s">
        <v>148</v>
      </c>
      <c r="M31" s="1952"/>
      <c r="N31" s="1952"/>
    </row>
    <row r="32" spans="1:14" s="1194" customFormat="1" x14ac:dyDescent="0.2">
      <c r="A32" s="1219">
        <v>1</v>
      </c>
      <c r="B32" s="1219">
        <v>2</v>
      </c>
      <c r="C32" s="1955">
        <v>3</v>
      </c>
      <c r="D32" s="1955"/>
      <c r="E32" s="1955"/>
      <c r="F32" s="1219">
        <v>4</v>
      </c>
      <c r="G32" s="1219">
        <v>5</v>
      </c>
      <c r="H32" s="1219">
        <v>6</v>
      </c>
      <c r="I32" s="1219">
        <v>7</v>
      </c>
      <c r="J32" s="1219">
        <v>8</v>
      </c>
      <c r="K32" s="1219">
        <v>9</v>
      </c>
      <c r="L32" s="1219">
        <v>10</v>
      </c>
      <c r="M32" s="1219">
        <v>11</v>
      </c>
      <c r="N32" s="1219">
        <v>12</v>
      </c>
    </row>
    <row r="33" spans="1:28" s="1194" customFormat="1" ht="12" x14ac:dyDescent="0.2">
      <c r="A33" s="1956" t="s">
        <v>976</v>
      </c>
      <c r="B33" s="1957"/>
      <c r="C33" s="1957"/>
      <c r="D33" s="1957"/>
      <c r="E33" s="1957"/>
      <c r="F33" s="1957"/>
      <c r="G33" s="1957"/>
      <c r="H33" s="1957"/>
      <c r="I33" s="1957"/>
      <c r="J33" s="1957"/>
      <c r="K33" s="1957"/>
      <c r="L33" s="1957"/>
      <c r="M33" s="1957"/>
      <c r="N33" s="1958"/>
      <c r="T33" s="1220" t="s">
        <v>976</v>
      </c>
    </row>
    <row r="34" spans="1:28" s="1194" customFormat="1" ht="12" x14ac:dyDescent="0.2">
      <c r="A34" s="1959" t="s">
        <v>1508</v>
      </c>
      <c r="B34" s="1960"/>
      <c r="C34" s="1960"/>
      <c r="D34" s="1960"/>
      <c r="E34" s="1960"/>
      <c r="F34" s="1960"/>
      <c r="G34" s="1960"/>
      <c r="H34" s="1960"/>
      <c r="I34" s="1960"/>
      <c r="J34" s="1960"/>
      <c r="K34" s="1960"/>
      <c r="L34" s="1960"/>
      <c r="M34" s="1960"/>
      <c r="N34" s="1961"/>
      <c r="T34" s="1220"/>
      <c r="U34" s="1221" t="s">
        <v>1508</v>
      </c>
    </row>
    <row r="35" spans="1:28" s="1194" customFormat="1" ht="45" x14ac:dyDescent="0.2">
      <c r="A35" s="1222" t="s">
        <v>185</v>
      </c>
      <c r="B35" s="1223" t="s">
        <v>1511</v>
      </c>
      <c r="C35" s="1953" t="s">
        <v>9246</v>
      </c>
      <c r="D35" s="1953"/>
      <c r="E35" s="1953"/>
      <c r="F35" s="1224" t="s">
        <v>455</v>
      </c>
      <c r="G35" s="1224"/>
      <c r="H35" s="1224"/>
      <c r="I35" s="1224" t="s">
        <v>9247</v>
      </c>
      <c r="J35" s="1225"/>
      <c r="K35" s="1224"/>
      <c r="L35" s="1225"/>
      <c r="M35" s="1224"/>
      <c r="N35" s="1226"/>
      <c r="T35" s="1220"/>
      <c r="U35" s="1221"/>
      <c r="V35" s="1221" t="s">
        <v>9246</v>
      </c>
    </row>
    <row r="36" spans="1:28" s="1194" customFormat="1" ht="12" x14ac:dyDescent="0.2">
      <c r="A36" s="1227"/>
      <c r="B36" s="1228"/>
      <c r="C36" s="1945" t="s">
        <v>9248</v>
      </c>
      <c r="D36" s="1945"/>
      <c r="E36" s="1945"/>
      <c r="F36" s="1945"/>
      <c r="G36" s="1945"/>
      <c r="H36" s="1945"/>
      <c r="I36" s="1945"/>
      <c r="J36" s="1945"/>
      <c r="K36" s="1945"/>
      <c r="L36" s="1945"/>
      <c r="M36" s="1945"/>
      <c r="N36" s="1954"/>
      <c r="T36" s="1220"/>
      <c r="U36" s="1221"/>
      <c r="V36" s="1221"/>
      <c r="W36" s="1198" t="s">
        <v>9248</v>
      </c>
    </row>
    <row r="37" spans="1:28" s="1194" customFormat="1" ht="33.75" x14ac:dyDescent="0.2">
      <c r="A37" s="1229"/>
      <c r="B37" s="1230" t="s">
        <v>310</v>
      </c>
      <c r="C37" s="1945" t="s">
        <v>311</v>
      </c>
      <c r="D37" s="1945"/>
      <c r="E37" s="1945"/>
      <c r="F37" s="1945"/>
      <c r="G37" s="1945"/>
      <c r="H37" s="1945"/>
      <c r="I37" s="1945"/>
      <c r="J37" s="1945"/>
      <c r="K37" s="1945"/>
      <c r="L37" s="1945"/>
      <c r="M37" s="1945"/>
      <c r="N37" s="1954"/>
      <c r="T37" s="1220"/>
      <c r="U37" s="1221"/>
      <c r="V37" s="1221"/>
      <c r="X37" s="1198" t="s">
        <v>311</v>
      </c>
    </row>
    <row r="38" spans="1:28" s="1194" customFormat="1" ht="12" x14ac:dyDescent="0.2">
      <c r="A38" s="1231"/>
      <c r="B38" s="1230" t="s">
        <v>186</v>
      </c>
      <c r="C38" s="1945" t="s">
        <v>344</v>
      </c>
      <c r="D38" s="1945"/>
      <c r="E38" s="1945"/>
      <c r="F38" s="1232"/>
      <c r="G38" s="1232"/>
      <c r="H38" s="1232"/>
      <c r="I38" s="1232"/>
      <c r="J38" s="1233">
        <v>4898.9799999999996</v>
      </c>
      <c r="K38" s="1232" t="s">
        <v>313</v>
      </c>
      <c r="L38" s="1233">
        <v>24188.71</v>
      </c>
      <c r="M38" s="1232"/>
      <c r="N38" s="1234"/>
      <c r="T38" s="1220"/>
      <c r="U38" s="1221"/>
      <c r="V38" s="1221"/>
      <c r="Y38" s="1198" t="s">
        <v>344</v>
      </c>
    </row>
    <row r="39" spans="1:28" s="1194" customFormat="1" ht="12" x14ac:dyDescent="0.2">
      <c r="A39" s="1231"/>
      <c r="B39" s="1230" t="s">
        <v>187</v>
      </c>
      <c r="C39" s="1945" t="s">
        <v>345</v>
      </c>
      <c r="D39" s="1945"/>
      <c r="E39" s="1945"/>
      <c r="F39" s="1232"/>
      <c r="G39" s="1232"/>
      <c r="H39" s="1232"/>
      <c r="I39" s="1232"/>
      <c r="J39" s="1233">
        <v>573.75</v>
      </c>
      <c r="K39" s="1232" t="s">
        <v>313</v>
      </c>
      <c r="L39" s="1233">
        <v>2832.89</v>
      </c>
      <c r="M39" s="1232"/>
      <c r="N39" s="1234"/>
      <c r="T39" s="1220"/>
      <c r="U39" s="1221"/>
      <c r="V39" s="1221"/>
      <c r="Y39" s="1198" t="s">
        <v>345</v>
      </c>
    </row>
    <row r="40" spans="1:28" s="1194" customFormat="1" ht="12" x14ac:dyDescent="0.2">
      <c r="A40" s="1231"/>
      <c r="B40" s="1230"/>
      <c r="C40" s="1945" t="s">
        <v>348</v>
      </c>
      <c r="D40" s="1945"/>
      <c r="E40" s="1945"/>
      <c r="F40" s="1232" t="s">
        <v>315</v>
      </c>
      <c r="G40" s="1232" t="s">
        <v>1513</v>
      </c>
      <c r="H40" s="1232" t="s">
        <v>313</v>
      </c>
      <c r="I40" s="1232" t="s">
        <v>9249</v>
      </c>
      <c r="J40" s="1233"/>
      <c r="K40" s="1232"/>
      <c r="L40" s="1233"/>
      <c r="M40" s="1232"/>
      <c r="N40" s="1234"/>
      <c r="T40" s="1220"/>
      <c r="U40" s="1221"/>
      <c r="V40" s="1221"/>
      <c r="Z40" s="1198" t="s">
        <v>348</v>
      </c>
    </row>
    <row r="41" spans="1:28" s="1194" customFormat="1" ht="12" x14ac:dyDescent="0.2">
      <c r="A41" s="1231"/>
      <c r="B41" s="1230"/>
      <c r="C41" s="1962" t="s">
        <v>318</v>
      </c>
      <c r="D41" s="1962"/>
      <c r="E41" s="1962"/>
      <c r="F41" s="1235"/>
      <c r="G41" s="1235"/>
      <c r="H41" s="1235"/>
      <c r="I41" s="1235"/>
      <c r="J41" s="1236">
        <v>4898.9799999999996</v>
      </c>
      <c r="K41" s="1235"/>
      <c r="L41" s="1236">
        <v>24188.71</v>
      </c>
      <c r="M41" s="1235"/>
      <c r="N41" s="1237"/>
      <c r="T41" s="1220"/>
      <c r="U41" s="1221"/>
      <c r="V41" s="1221"/>
      <c r="AA41" s="1198" t="s">
        <v>318</v>
      </c>
    </row>
    <row r="42" spans="1:28" s="1194" customFormat="1" ht="12" x14ac:dyDescent="0.2">
      <c r="A42" s="1231"/>
      <c r="B42" s="1230"/>
      <c r="C42" s="1945" t="s">
        <v>319</v>
      </c>
      <c r="D42" s="1945"/>
      <c r="E42" s="1945"/>
      <c r="F42" s="1232"/>
      <c r="G42" s="1232"/>
      <c r="H42" s="1232"/>
      <c r="I42" s="1232"/>
      <c r="J42" s="1233"/>
      <c r="K42" s="1232"/>
      <c r="L42" s="1233">
        <v>2832.89</v>
      </c>
      <c r="M42" s="1232"/>
      <c r="N42" s="1234"/>
      <c r="T42" s="1220"/>
      <c r="U42" s="1221"/>
      <c r="V42" s="1221"/>
      <c r="Z42" s="1198" t="s">
        <v>319</v>
      </c>
    </row>
    <row r="43" spans="1:28" s="1194" customFormat="1" ht="33.75" x14ac:dyDescent="0.2">
      <c r="A43" s="1231"/>
      <c r="B43" s="1230" t="s">
        <v>460</v>
      </c>
      <c r="C43" s="1945" t="s">
        <v>461</v>
      </c>
      <c r="D43" s="1945"/>
      <c r="E43" s="1945"/>
      <c r="F43" s="1232" t="s">
        <v>322</v>
      </c>
      <c r="G43" s="1232" t="s">
        <v>462</v>
      </c>
      <c r="H43" s="1232"/>
      <c r="I43" s="1232" t="s">
        <v>462</v>
      </c>
      <c r="J43" s="1233"/>
      <c r="K43" s="1232"/>
      <c r="L43" s="1233">
        <v>2606.2600000000002</v>
      </c>
      <c r="M43" s="1232"/>
      <c r="N43" s="1234"/>
      <c r="T43" s="1220"/>
      <c r="U43" s="1221"/>
      <c r="V43" s="1221"/>
      <c r="Z43" s="1198" t="s">
        <v>461</v>
      </c>
    </row>
    <row r="44" spans="1:28" s="1194" customFormat="1" ht="33.75" x14ac:dyDescent="0.2">
      <c r="A44" s="1231"/>
      <c r="B44" s="1230" t="s">
        <v>463</v>
      </c>
      <c r="C44" s="1945" t="s">
        <v>464</v>
      </c>
      <c r="D44" s="1945"/>
      <c r="E44" s="1945"/>
      <c r="F44" s="1232" t="s">
        <v>322</v>
      </c>
      <c r="G44" s="1232" t="s">
        <v>465</v>
      </c>
      <c r="H44" s="1232"/>
      <c r="I44" s="1232" t="s">
        <v>465</v>
      </c>
      <c r="J44" s="1233"/>
      <c r="K44" s="1232"/>
      <c r="L44" s="1233">
        <v>1303.1300000000001</v>
      </c>
      <c r="M44" s="1232"/>
      <c r="N44" s="1234"/>
      <c r="T44" s="1220"/>
      <c r="U44" s="1221"/>
      <c r="V44" s="1221"/>
      <c r="Z44" s="1198" t="s">
        <v>464</v>
      </c>
    </row>
    <row r="45" spans="1:28" s="1194" customFormat="1" ht="12" x14ac:dyDescent="0.2">
      <c r="A45" s="1238"/>
      <c r="B45" s="1239"/>
      <c r="C45" s="1953" t="s">
        <v>327</v>
      </c>
      <c r="D45" s="1953"/>
      <c r="E45" s="1953"/>
      <c r="F45" s="1224"/>
      <c r="G45" s="1224"/>
      <c r="H45" s="1224"/>
      <c r="I45" s="1224"/>
      <c r="J45" s="1225"/>
      <c r="K45" s="1224"/>
      <c r="L45" s="1225">
        <v>28098.1</v>
      </c>
      <c r="M45" s="1235"/>
      <c r="N45" s="1226"/>
      <c r="T45" s="1220"/>
      <c r="U45" s="1221"/>
      <c r="V45" s="1221"/>
      <c r="AB45" s="1221" t="s">
        <v>327</v>
      </c>
    </row>
    <row r="46" spans="1:28" s="1194" customFormat="1" ht="56.25" x14ac:dyDescent="0.2">
      <c r="A46" s="1222" t="s">
        <v>186</v>
      </c>
      <c r="B46" s="1223" t="s">
        <v>1005</v>
      </c>
      <c r="C46" s="1953" t="s">
        <v>9250</v>
      </c>
      <c r="D46" s="1953"/>
      <c r="E46" s="1953"/>
      <c r="F46" s="1224" t="s">
        <v>201</v>
      </c>
      <c r="G46" s="1224"/>
      <c r="H46" s="1224"/>
      <c r="I46" s="1224" t="s">
        <v>9251</v>
      </c>
      <c r="J46" s="1225">
        <v>2.91</v>
      </c>
      <c r="K46" s="1224"/>
      <c r="L46" s="1225">
        <v>26437.35</v>
      </c>
      <c r="M46" s="1224"/>
      <c r="N46" s="1226"/>
      <c r="T46" s="1220"/>
      <c r="U46" s="1221"/>
      <c r="V46" s="1221" t="s">
        <v>9250</v>
      </c>
      <c r="AB46" s="1221"/>
    </row>
    <row r="47" spans="1:28" s="1194" customFormat="1" ht="12" x14ac:dyDescent="0.2">
      <c r="A47" s="1227"/>
      <c r="B47" s="1228"/>
      <c r="C47" s="1945" t="s">
        <v>9252</v>
      </c>
      <c r="D47" s="1945"/>
      <c r="E47" s="1945"/>
      <c r="F47" s="1945"/>
      <c r="G47" s="1945"/>
      <c r="H47" s="1945"/>
      <c r="I47" s="1945"/>
      <c r="J47" s="1945"/>
      <c r="K47" s="1945"/>
      <c r="L47" s="1945"/>
      <c r="M47" s="1945"/>
      <c r="N47" s="1954"/>
      <c r="T47" s="1220"/>
      <c r="U47" s="1221"/>
      <c r="V47" s="1221"/>
      <c r="W47" s="1198" t="s">
        <v>9252</v>
      </c>
      <c r="AB47" s="1221"/>
    </row>
    <row r="48" spans="1:28" s="1194" customFormat="1" ht="22.5" x14ac:dyDescent="0.2">
      <c r="A48" s="1222" t="s">
        <v>187</v>
      </c>
      <c r="B48" s="1223" t="s">
        <v>507</v>
      </c>
      <c r="C48" s="1953" t="s">
        <v>508</v>
      </c>
      <c r="D48" s="1953"/>
      <c r="E48" s="1953"/>
      <c r="F48" s="1224" t="s">
        <v>509</v>
      </c>
      <c r="G48" s="1224"/>
      <c r="H48" s="1224"/>
      <c r="I48" s="1224" t="s">
        <v>4285</v>
      </c>
      <c r="J48" s="1225"/>
      <c r="K48" s="1224"/>
      <c r="L48" s="1225"/>
      <c r="M48" s="1224"/>
      <c r="N48" s="1226"/>
      <c r="T48" s="1220"/>
      <c r="U48" s="1221"/>
      <c r="V48" s="1221" t="s">
        <v>508</v>
      </c>
      <c r="AB48" s="1221"/>
    </row>
    <row r="49" spans="1:28" s="1194" customFormat="1" ht="12" x14ac:dyDescent="0.2">
      <c r="A49" s="1227"/>
      <c r="B49" s="1228"/>
      <c r="C49" s="1945" t="s">
        <v>9253</v>
      </c>
      <c r="D49" s="1945"/>
      <c r="E49" s="1945"/>
      <c r="F49" s="1945"/>
      <c r="G49" s="1945"/>
      <c r="H49" s="1945"/>
      <c r="I49" s="1945"/>
      <c r="J49" s="1945"/>
      <c r="K49" s="1945"/>
      <c r="L49" s="1945"/>
      <c r="M49" s="1945"/>
      <c r="N49" s="1954"/>
      <c r="T49" s="1220"/>
      <c r="U49" s="1221"/>
      <c r="V49" s="1221"/>
      <c r="W49" s="1198" t="s">
        <v>9253</v>
      </c>
      <c r="AB49" s="1221"/>
    </row>
    <row r="50" spans="1:28" s="1194" customFormat="1" ht="33.75" x14ac:dyDescent="0.2">
      <c r="A50" s="1229"/>
      <c r="B50" s="1230" t="s">
        <v>310</v>
      </c>
      <c r="C50" s="1945" t="s">
        <v>311</v>
      </c>
      <c r="D50" s="1945"/>
      <c r="E50" s="1945"/>
      <c r="F50" s="1945"/>
      <c r="G50" s="1945"/>
      <c r="H50" s="1945"/>
      <c r="I50" s="1945"/>
      <c r="J50" s="1945"/>
      <c r="K50" s="1945"/>
      <c r="L50" s="1945"/>
      <c r="M50" s="1945"/>
      <c r="N50" s="1954"/>
      <c r="T50" s="1220"/>
      <c r="U50" s="1221"/>
      <c r="V50" s="1221"/>
      <c r="X50" s="1198" t="s">
        <v>311</v>
      </c>
      <c r="AB50" s="1221"/>
    </row>
    <row r="51" spans="1:28" s="1194" customFormat="1" ht="12" x14ac:dyDescent="0.2">
      <c r="A51" s="1231"/>
      <c r="B51" s="1230" t="s">
        <v>185</v>
      </c>
      <c r="C51" s="1945" t="s">
        <v>312</v>
      </c>
      <c r="D51" s="1945"/>
      <c r="E51" s="1945"/>
      <c r="F51" s="1232"/>
      <c r="G51" s="1232"/>
      <c r="H51" s="1232"/>
      <c r="I51" s="1232"/>
      <c r="J51" s="1233">
        <v>127.61</v>
      </c>
      <c r="K51" s="1232" t="s">
        <v>313</v>
      </c>
      <c r="L51" s="1233">
        <v>1674.88</v>
      </c>
      <c r="M51" s="1232"/>
      <c r="N51" s="1234"/>
      <c r="T51" s="1220"/>
      <c r="U51" s="1221"/>
      <c r="V51" s="1221"/>
      <c r="Y51" s="1198" t="s">
        <v>312</v>
      </c>
      <c r="AB51" s="1221"/>
    </row>
    <row r="52" spans="1:28" s="1194" customFormat="1" ht="12" x14ac:dyDescent="0.2">
      <c r="A52" s="1231"/>
      <c r="B52" s="1230" t="s">
        <v>186</v>
      </c>
      <c r="C52" s="1945" t="s">
        <v>344</v>
      </c>
      <c r="D52" s="1945"/>
      <c r="E52" s="1945"/>
      <c r="F52" s="1232"/>
      <c r="G52" s="1232"/>
      <c r="H52" s="1232"/>
      <c r="I52" s="1232"/>
      <c r="J52" s="1233">
        <v>288.58</v>
      </c>
      <c r="K52" s="1232" t="s">
        <v>313</v>
      </c>
      <c r="L52" s="1233">
        <v>3787.61</v>
      </c>
      <c r="M52" s="1232"/>
      <c r="N52" s="1234"/>
      <c r="T52" s="1220"/>
      <c r="U52" s="1221"/>
      <c r="V52" s="1221"/>
      <c r="Y52" s="1198" t="s">
        <v>344</v>
      </c>
      <c r="AB52" s="1221"/>
    </row>
    <row r="53" spans="1:28" s="1194" customFormat="1" ht="12" x14ac:dyDescent="0.2">
      <c r="A53" s="1231"/>
      <c r="B53" s="1230" t="s">
        <v>187</v>
      </c>
      <c r="C53" s="1945" t="s">
        <v>345</v>
      </c>
      <c r="D53" s="1945"/>
      <c r="E53" s="1945"/>
      <c r="F53" s="1232"/>
      <c r="G53" s="1232"/>
      <c r="H53" s="1232"/>
      <c r="I53" s="1232"/>
      <c r="J53" s="1233">
        <v>31.49</v>
      </c>
      <c r="K53" s="1232" t="s">
        <v>313</v>
      </c>
      <c r="L53" s="1233">
        <v>413.31</v>
      </c>
      <c r="M53" s="1232"/>
      <c r="N53" s="1234"/>
      <c r="T53" s="1220"/>
      <c r="U53" s="1221"/>
      <c r="V53" s="1221"/>
      <c r="Y53" s="1198" t="s">
        <v>345</v>
      </c>
      <c r="AB53" s="1221"/>
    </row>
    <row r="54" spans="1:28" s="1194" customFormat="1" ht="12" x14ac:dyDescent="0.2">
      <c r="A54" s="1231"/>
      <c r="B54" s="1230"/>
      <c r="C54" s="1945" t="s">
        <v>314</v>
      </c>
      <c r="D54" s="1945"/>
      <c r="E54" s="1945"/>
      <c r="F54" s="1232" t="s">
        <v>315</v>
      </c>
      <c r="G54" s="1232" t="s">
        <v>512</v>
      </c>
      <c r="H54" s="1232" t="s">
        <v>313</v>
      </c>
      <c r="I54" s="1232" t="s">
        <v>9254</v>
      </c>
      <c r="J54" s="1233"/>
      <c r="K54" s="1232"/>
      <c r="L54" s="1233"/>
      <c r="M54" s="1232"/>
      <c r="N54" s="1234"/>
      <c r="T54" s="1220"/>
      <c r="U54" s="1221"/>
      <c r="V54" s="1221"/>
      <c r="Z54" s="1198" t="s">
        <v>314</v>
      </c>
      <c r="AB54" s="1221"/>
    </row>
    <row r="55" spans="1:28" s="1194" customFormat="1" ht="12" x14ac:dyDescent="0.2">
      <c r="A55" s="1231"/>
      <c r="B55" s="1230"/>
      <c r="C55" s="1945" t="s">
        <v>348</v>
      </c>
      <c r="D55" s="1945"/>
      <c r="E55" s="1945"/>
      <c r="F55" s="1232" t="s">
        <v>315</v>
      </c>
      <c r="G55" s="1232" t="s">
        <v>514</v>
      </c>
      <c r="H55" s="1232" t="s">
        <v>313</v>
      </c>
      <c r="I55" s="1232" t="s">
        <v>9255</v>
      </c>
      <c r="J55" s="1233"/>
      <c r="K55" s="1232"/>
      <c r="L55" s="1233"/>
      <c r="M55" s="1232"/>
      <c r="N55" s="1234"/>
      <c r="T55" s="1220"/>
      <c r="U55" s="1221"/>
      <c r="V55" s="1221"/>
      <c r="Z55" s="1198" t="s">
        <v>348</v>
      </c>
      <c r="AB55" s="1221"/>
    </row>
    <row r="56" spans="1:28" s="1194" customFormat="1" ht="12" x14ac:dyDescent="0.2">
      <c r="A56" s="1231"/>
      <c r="B56" s="1230"/>
      <c r="C56" s="1962" t="s">
        <v>318</v>
      </c>
      <c r="D56" s="1962"/>
      <c r="E56" s="1962"/>
      <c r="F56" s="1235"/>
      <c r="G56" s="1235"/>
      <c r="H56" s="1235"/>
      <c r="I56" s="1235"/>
      <c r="J56" s="1236">
        <v>416.19</v>
      </c>
      <c r="K56" s="1235"/>
      <c r="L56" s="1236">
        <v>5462.49</v>
      </c>
      <c r="M56" s="1235"/>
      <c r="N56" s="1237"/>
      <c r="T56" s="1220"/>
      <c r="U56" s="1221"/>
      <c r="V56" s="1221"/>
      <c r="AA56" s="1198" t="s">
        <v>318</v>
      </c>
      <c r="AB56" s="1221"/>
    </row>
    <row r="57" spans="1:28" s="1194" customFormat="1" ht="12" x14ac:dyDescent="0.2">
      <c r="A57" s="1231"/>
      <c r="B57" s="1230"/>
      <c r="C57" s="1945" t="s">
        <v>319</v>
      </c>
      <c r="D57" s="1945"/>
      <c r="E57" s="1945"/>
      <c r="F57" s="1232"/>
      <c r="G57" s="1232"/>
      <c r="H57" s="1232"/>
      <c r="I57" s="1232"/>
      <c r="J57" s="1233"/>
      <c r="K57" s="1232"/>
      <c r="L57" s="1233">
        <v>2088.19</v>
      </c>
      <c r="M57" s="1232"/>
      <c r="N57" s="1234"/>
      <c r="T57" s="1220"/>
      <c r="U57" s="1221"/>
      <c r="V57" s="1221"/>
      <c r="Z57" s="1198" t="s">
        <v>319</v>
      </c>
      <c r="AB57" s="1221"/>
    </row>
    <row r="58" spans="1:28" s="1194" customFormat="1" ht="33.75" x14ac:dyDescent="0.2">
      <c r="A58" s="1231"/>
      <c r="B58" s="1230" t="s">
        <v>460</v>
      </c>
      <c r="C58" s="1945" t="s">
        <v>461</v>
      </c>
      <c r="D58" s="1945"/>
      <c r="E58" s="1945"/>
      <c r="F58" s="1232" t="s">
        <v>322</v>
      </c>
      <c r="G58" s="1232" t="s">
        <v>462</v>
      </c>
      <c r="H58" s="1232"/>
      <c r="I58" s="1232" t="s">
        <v>462</v>
      </c>
      <c r="J58" s="1233"/>
      <c r="K58" s="1232"/>
      <c r="L58" s="1233">
        <v>1921.13</v>
      </c>
      <c r="M58" s="1232"/>
      <c r="N58" s="1234"/>
      <c r="T58" s="1220"/>
      <c r="U58" s="1221"/>
      <c r="V58" s="1221"/>
      <c r="Z58" s="1198" t="s">
        <v>461</v>
      </c>
      <c r="AB58" s="1221"/>
    </row>
    <row r="59" spans="1:28" s="1194" customFormat="1" ht="33.75" x14ac:dyDescent="0.2">
      <c r="A59" s="1231"/>
      <c r="B59" s="1230" t="s">
        <v>463</v>
      </c>
      <c r="C59" s="1945" t="s">
        <v>464</v>
      </c>
      <c r="D59" s="1945"/>
      <c r="E59" s="1945"/>
      <c r="F59" s="1232" t="s">
        <v>322</v>
      </c>
      <c r="G59" s="1232" t="s">
        <v>465</v>
      </c>
      <c r="H59" s="1232"/>
      <c r="I59" s="1232" t="s">
        <v>465</v>
      </c>
      <c r="J59" s="1233"/>
      <c r="K59" s="1232"/>
      <c r="L59" s="1233">
        <v>960.57</v>
      </c>
      <c r="M59" s="1232"/>
      <c r="N59" s="1234"/>
      <c r="T59" s="1220"/>
      <c r="U59" s="1221"/>
      <c r="V59" s="1221"/>
      <c r="Z59" s="1198" t="s">
        <v>464</v>
      </c>
      <c r="AB59" s="1221"/>
    </row>
    <row r="60" spans="1:28" s="1194" customFormat="1" ht="12" x14ac:dyDescent="0.2">
      <c r="A60" s="1238"/>
      <c r="B60" s="1239"/>
      <c r="C60" s="1953" t="s">
        <v>327</v>
      </c>
      <c r="D60" s="1953"/>
      <c r="E60" s="1953"/>
      <c r="F60" s="1224"/>
      <c r="G60" s="1224"/>
      <c r="H60" s="1224"/>
      <c r="I60" s="1224"/>
      <c r="J60" s="1225"/>
      <c r="K60" s="1224"/>
      <c r="L60" s="1225">
        <v>8344.19</v>
      </c>
      <c r="M60" s="1235"/>
      <c r="N60" s="1226"/>
      <c r="T60" s="1220"/>
      <c r="U60" s="1221"/>
      <c r="V60" s="1221"/>
      <c r="AB60" s="1221" t="s">
        <v>327</v>
      </c>
    </row>
    <row r="61" spans="1:28" s="1194" customFormat="1" ht="33.75" x14ac:dyDescent="0.2">
      <c r="A61" s="1222" t="s">
        <v>188</v>
      </c>
      <c r="B61" s="1223" t="s">
        <v>9256</v>
      </c>
      <c r="C61" s="1953" t="s">
        <v>9257</v>
      </c>
      <c r="D61" s="1953"/>
      <c r="E61" s="1953"/>
      <c r="F61" s="1224" t="s">
        <v>455</v>
      </c>
      <c r="G61" s="1224"/>
      <c r="H61" s="1224"/>
      <c r="I61" s="1224" t="s">
        <v>9258</v>
      </c>
      <c r="J61" s="1225"/>
      <c r="K61" s="1224"/>
      <c r="L61" s="1225"/>
      <c r="M61" s="1224"/>
      <c r="N61" s="1226"/>
      <c r="T61" s="1220"/>
      <c r="U61" s="1221"/>
      <c r="V61" s="1221" t="s">
        <v>9257</v>
      </c>
      <c r="AB61" s="1221"/>
    </row>
    <row r="62" spans="1:28" s="1194" customFormat="1" ht="12" x14ac:dyDescent="0.2">
      <c r="A62" s="1227"/>
      <c r="B62" s="1228"/>
      <c r="C62" s="1945" t="s">
        <v>9259</v>
      </c>
      <c r="D62" s="1945"/>
      <c r="E62" s="1945"/>
      <c r="F62" s="1945"/>
      <c r="G62" s="1945"/>
      <c r="H62" s="1945"/>
      <c r="I62" s="1945"/>
      <c r="J62" s="1945"/>
      <c r="K62" s="1945"/>
      <c r="L62" s="1945"/>
      <c r="M62" s="1945"/>
      <c r="N62" s="1954"/>
      <c r="T62" s="1220"/>
      <c r="U62" s="1221"/>
      <c r="V62" s="1221"/>
      <c r="W62" s="1198" t="s">
        <v>9259</v>
      </c>
      <c r="AB62" s="1221"/>
    </row>
    <row r="63" spans="1:28" s="1194" customFormat="1" ht="33.75" x14ac:dyDescent="0.2">
      <c r="A63" s="1229"/>
      <c r="B63" s="1230" t="s">
        <v>310</v>
      </c>
      <c r="C63" s="1945" t="s">
        <v>311</v>
      </c>
      <c r="D63" s="1945"/>
      <c r="E63" s="1945"/>
      <c r="F63" s="1945"/>
      <c r="G63" s="1945"/>
      <c r="H63" s="1945"/>
      <c r="I63" s="1945"/>
      <c r="J63" s="1945"/>
      <c r="K63" s="1945"/>
      <c r="L63" s="1945"/>
      <c r="M63" s="1945"/>
      <c r="N63" s="1954"/>
      <c r="T63" s="1220"/>
      <c r="U63" s="1221"/>
      <c r="V63" s="1221"/>
      <c r="X63" s="1198" t="s">
        <v>311</v>
      </c>
      <c r="AB63" s="1221"/>
    </row>
    <row r="64" spans="1:28" s="1194" customFormat="1" ht="12" x14ac:dyDescent="0.2">
      <c r="A64" s="1231"/>
      <c r="B64" s="1230" t="s">
        <v>186</v>
      </c>
      <c r="C64" s="1945" t="s">
        <v>344</v>
      </c>
      <c r="D64" s="1945"/>
      <c r="E64" s="1945"/>
      <c r="F64" s="1232"/>
      <c r="G64" s="1232"/>
      <c r="H64" s="1232"/>
      <c r="I64" s="1232"/>
      <c r="J64" s="1233">
        <v>1015.93</v>
      </c>
      <c r="K64" s="1232" t="s">
        <v>313</v>
      </c>
      <c r="L64" s="1233">
        <v>6603.55</v>
      </c>
      <c r="M64" s="1232"/>
      <c r="N64" s="1234"/>
      <c r="T64" s="1220"/>
      <c r="U64" s="1221"/>
      <c r="V64" s="1221"/>
      <c r="Y64" s="1198" t="s">
        <v>344</v>
      </c>
      <c r="AB64" s="1221"/>
    </row>
    <row r="65" spans="1:28" s="1194" customFormat="1" ht="12" x14ac:dyDescent="0.2">
      <c r="A65" s="1231"/>
      <c r="B65" s="1230" t="s">
        <v>187</v>
      </c>
      <c r="C65" s="1945" t="s">
        <v>345</v>
      </c>
      <c r="D65" s="1945"/>
      <c r="E65" s="1945"/>
      <c r="F65" s="1232"/>
      <c r="G65" s="1232"/>
      <c r="H65" s="1232"/>
      <c r="I65" s="1232"/>
      <c r="J65" s="1233">
        <v>159.86000000000001</v>
      </c>
      <c r="K65" s="1232" t="s">
        <v>313</v>
      </c>
      <c r="L65" s="1233">
        <v>1039.0899999999999</v>
      </c>
      <c r="M65" s="1232"/>
      <c r="N65" s="1234"/>
      <c r="T65" s="1220"/>
      <c r="U65" s="1221"/>
      <c r="V65" s="1221"/>
      <c r="Y65" s="1198" t="s">
        <v>345</v>
      </c>
      <c r="AB65" s="1221"/>
    </row>
    <row r="66" spans="1:28" s="1194" customFormat="1" ht="12" x14ac:dyDescent="0.2">
      <c r="A66" s="1231"/>
      <c r="B66" s="1230"/>
      <c r="C66" s="1945" t="s">
        <v>348</v>
      </c>
      <c r="D66" s="1945"/>
      <c r="E66" s="1945"/>
      <c r="F66" s="1232" t="s">
        <v>315</v>
      </c>
      <c r="G66" s="1232" t="s">
        <v>3782</v>
      </c>
      <c r="H66" s="1232" t="s">
        <v>313</v>
      </c>
      <c r="I66" s="1232" t="s">
        <v>9260</v>
      </c>
      <c r="J66" s="1233"/>
      <c r="K66" s="1232"/>
      <c r="L66" s="1233"/>
      <c r="M66" s="1232"/>
      <c r="N66" s="1234"/>
      <c r="T66" s="1220"/>
      <c r="U66" s="1221"/>
      <c r="V66" s="1221"/>
      <c r="Z66" s="1198" t="s">
        <v>348</v>
      </c>
      <c r="AB66" s="1221"/>
    </row>
    <row r="67" spans="1:28" s="1194" customFormat="1" ht="12" x14ac:dyDescent="0.2">
      <c r="A67" s="1231"/>
      <c r="B67" s="1230"/>
      <c r="C67" s="1962" t="s">
        <v>318</v>
      </c>
      <c r="D67" s="1962"/>
      <c r="E67" s="1962"/>
      <c r="F67" s="1235"/>
      <c r="G67" s="1235"/>
      <c r="H67" s="1235"/>
      <c r="I67" s="1235"/>
      <c r="J67" s="1236">
        <v>1015.93</v>
      </c>
      <c r="K67" s="1235"/>
      <c r="L67" s="1236">
        <v>6603.55</v>
      </c>
      <c r="M67" s="1235"/>
      <c r="N67" s="1237"/>
      <c r="T67" s="1220"/>
      <c r="U67" s="1221"/>
      <c r="V67" s="1221"/>
      <c r="AA67" s="1198" t="s">
        <v>318</v>
      </c>
      <c r="AB67" s="1221"/>
    </row>
    <row r="68" spans="1:28" s="1194" customFormat="1" ht="12" x14ac:dyDescent="0.2">
      <c r="A68" s="1231"/>
      <c r="B68" s="1230"/>
      <c r="C68" s="1945" t="s">
        <v>319</v>
      </c>
      <c r="D68" s="1945"/>
      <c r="E68" s="1945"/>
      <c r="F68" s="1232"/>
      <c r="G68" s="1232"/>
      <c r="H68" s="1232"/>
      <c r="I68" s="1232"/>
      <c r="J68" s="1233"/>
      <c r="K68" s="1232"/>
      <c r="L68" s="1233">
        <v>1039.0899999999999</v>
      </c>
      <c r="M68" s="1232"/>
      <c r="N68" s="1234"/>
      <c r="T68" s="1220"/>
      <c r="U68" s="1221"/>
      <c r="V68" s="1221"/>
      <c r="Z68" s="1198" t="s">
        <v>319</v>
      </c>
      <c r="AB68" s="1221"/>
    </row>
    <row r="69" spans="1:28" s="1194" customFormat="1" ht="33.75" x14ac:dyDescent="0.2">
      <c r="A69" s="1231"/>
      <c r="B69" s="1230" t="s">
        <v>460</v>
      </c>
      <c r="C69" s="1945" t="s">
        <v>461</v>
      </c>
      <c r="D69" s="1945"/>
      <c r="E69" s="1945"/>
      <c r="F69" s="1232" t="s">
        <v>322</v>
      </c>
      <c r="G69" s="1232" t="s">
        <v>462</v>
      </c>
      <c r="H69" s="1232"/>
      <c r="I69" s="1232" t="s">
        <v>462</v>
      </c>
      <c r="J69" s="1233"/>
      <c r="K69" s="1232"/>
      <c r="L69" s="1233">
        <v>955.96</v>
      </c>
      <c r="M69" s="1232"/>
      <c r="N69" s="1234"/>
      <c r="T69" s="1220"/>
      <c r="U69" s="1221"/>
      <c r="V69" s="1221"/>
      <c r="Z69" s="1198" t="s">
        <v>461</v>
      </c>
      <c r="AB69" s="1221"/>
    </row>
    <row r="70" spans="1:28" s="1194" customFormat="1" ht="33.75" x14ac:dyDescent="0.2">
      <c r="A70" s="1231"/>
      <c r="B70" s="1230" t="s">
        <v>463</v>
      </c>
      <c r="C70" s="1945" t="s">
        <v>464</v>
      </c>
      <c r="D70" s="1945"/>
      <c r="E70" s="1945"/>
      <c r="F70" s="1232" t="s">
        <v>322</v>
      </c>
      <c r="G70" s="1232" t="s">
        <v>465</v>
      </c>
      <c r="H70" s="1232"/>
      <c r="I70" s="1232" t="s">
        <v>465</v>
      </c>
      <c r="J70" s="1233"/>
      <c r="K70" s="1232"/>
      <c r="L70" s="1233">
        <v>477.98</v>
      </c>
      <c r="M70" s="1232"/>
      <c r="N70" s="1234"/>
      <c r="T70" s="1220"/>
      <c r="U70" s="1221"/>
      <c r="V70" s="1221"/>
      <c r="Z70" s="1198" t="s">
        <v>464</v>
      </c>
      <c r="AB70" s="1221"/>
    </row>
    <row r="71" spans="1:28" s="1194" customFormat="1" ht="12" x14ac:dyDescent="0.2">
      <c r="A71" s="1238"/>
      <c r="B71" s="1239"/>
      <c r="C71" s="1953" t="s">
        <v>327</v>
      </c>
      <c r="D71" s="1953"/>
      <c r="E71" s="1953"/>
      <c r="F71" s="1224"/>
      <c r="G71" s="1224"/>
      <c r="H71" s="1224"/>
      <c r="I71" s="1224"/>
      <c r="J71" s="1225"/>
      <c r="K71" s="1224"/>
      <c r="L71" s="1225">
        <v>8037.49</v>
      </c>
      <c r="M71" s="1235"/>
      <c r="N71" s="1226"/>
      <c r="T71" s="1220"/>
      <c r="U71" s="1221"/>
      <c r="V71" s="1221"/>
      <c r="AB71" s="1221" t="s">
        <v>327</v>
      </c>
    </row>
    <row r="72" spans="1:28" s="1194" customFormat="1" ht="33.75" x14ac:dyDescent="0.2">
      <c r="A72" s="1222" t="s">
        <v>189</v>
      </c>
      <c r="B72" s="1223" t="s">
        <v>9261</v>
      </c>
      <c r="C72" s="1953" t="s">
        <v>9262</v>
      </c>
      <c r="D72" s="1953"/>
      <c r="E72" s="1953"/>
      <c r="F72" s="1224" t="s">
        <v>455</v>
      </c>
      <c r="G72" s="1224"/>
      <c r="H72" s="1224"/>
      <c r="I72" s="1224" t="s">
        <v>9258</v>
      </c>
      <c r="J72" s="1225"/>
      <c r="K72" s="1224"/>
      <c r="L72" s="1225"/>
      <c r="M72" s="1224"/>
      <c r="N72" s="1226"/>
      <c r="T72" s="1220"/>
      <c r="U72" s="1221"/>
      <c r="V72" s="1221" t="s">
        <v>9262</v>
      </c>
      <c r="AB72" s="1221"/>
    </row>
    <row r="73" spans="1:28" s="1194" customFormat="1" ht="12" x14ac:dyDescent="0.2">
      <c r="A73" s="1227"/>
      <c r="B73" s="1228"/>
      <c r="C73" s="1945" t="s">
        <v>9259</v>
      </c>
      <c r="D73" s="1945"/>
      <c r="E73" s="1945"/>
      <c r="F73" s="1945"/>
      <c r="G73" s="1945"/>
      <c r="H73" s="1945"/>
      <c r="I73" s="1945"/>
      <c r="J73" s="1945"/>
      <c r="K73" s="1945"/>
      <c r="L73" s="1945"/>
      <c r="M73" s="1945"/>
      <c r="N73" s="1954"/>
      <c r="T73" s="1220"/>
      <c r="U73" s="1221"/>
      <c r="V73" s="1221"/>
      <c r="W73" s="1198" t="s">
        <v>9259</v>
      </c>
      <c r="AB73" s="1221"/>
    </row>
    <row r="74" spans="1:28" s="1194" customFormat="1" ht="12" x14ac:dyDescent="0.2">
      <c r="A74" s="1229"/>
      <c r="B74" s="1230"/>
      <c r="C74" s="1945" t="s">
        <v>9263</v>
      </c>
      <c r="D74" s="1945"/>
      <c r="E74" s="1945"/>
      <c r="F74" s="1945"/>
      <c r="G74" s="1945"/>
      <c r="H74" s="1945"/>
      <c r="I74" s="1945"/>
      <c r="J74" s="1945"/>
      <c r="K74" s="1945"/>
      <c r="L74" s="1945"/>
      <c r="M74" s="1945"/>
      <c r="N74" s="1954"/>
      <c r="T74" s="1220"/>
      <c r="U74" s="1221"/>
      <c r="V74" s="1221"/>
      <c r="X74" s="1198" t="s">
        <v>9263</v>
      </c>
      <c r="AB74" s="1221"/>
    </row>
    <row r="75" spans="1:28" s="1194" customFormat="1" ht="33.75" x14ac:dyDescent="0.2">
      <c r="A75" s="1229"/>
      <c r="B75" s="1230" t="s">
        <v>310</v>
      </c>
      <c r="C75" s="1945" t="s">
        <v>311</v>
      </c>
      <c r="D75" s="1945"/>
      <c r="E75" s="1945"/>
      <c r="F75" s="1945"/>
      <c r="G75" s="1945"/>
      <c r="H75" s="1945"/>
      <c r="I75" s="1945"/>
      <c r="J75" s="1945"/>
      <c r="K75" s="1945"/>
      <c r="L75" s="1945"/>
      <c r="M75" s="1945"/>
      <c r="N75" s="1954"/>
      <c r="T75" s="1220"/>
      <c r="U75" s="1221"/>
      <c r="V75" s="1221"/>
      <c r="X75" s="1198" t="s">
        <v>311</v>
      </c>
      <c r="AB75" s="1221"/>
    </row>
    <row r="76" spans="1:28" s="1194" customFormat="1" ht="12" x14ac:dyDescent="0.2">
      <c r="A76" s="1231"/>
      <c r="B76" s="1230" t="s">
        <v>186</v>
      </c>
      <c r="C76" s="1945" t="s">
        <v>344</v>
      </c>
      <c r="D76" s="1945"/>
      <c r="E76" s="1945"/>
      <c r="F76" s="1232"/>
      <c r="G76" s="1232"/>
      <c r="H76" s="1232"/>
      <c r="I76" s="1232"/>
      <c r="J76" s="1233">
        <v>185.69</v>
      </c>
      <c r="K76" s="1232" t="s">
        <v>1071</v>
      </c>
      <c r="L76" s="1233">
        <v>7241.91</v>
      </c>
      <c r="M76" s="1232"/>
      <c r="N76" s="1234"/>
      <c r="T76" s="1220"/>
      <c r="U76" s="1221"/>
      <c r="V76" s="1221"/>
      <c r="Y76" s="1198" t="s">
        <v>344</v>
      </c>
      <c r="AB76" s="1221"/>
    </row>
    <row r="77" spans="1:28" s="1194" customFormat="1" ht="12" x14ac:dyDescent="0.2">
      <c r="A77" s="1231"/>
      <c r="B77" s="1230" t="s">
        <v>187</v>
      </c>
      <c r="C77" s="1945" t="s">
        <v>345</v>
      </c>
      <c r="D77" s="1945"/>
      <c r="E77" s="1945"/>
      <c r="F77" s="1232"/>
      <c r="G77" s="1232"/>
      <c r="H77" s="1232"/>
      <c r="I77" s="1232"/>
      <c r="J77" s="1233">
        <v>18.11</v>
      </c>
      <c r="K77" s="1232" t="s">
        <v>1071</v>
      </c>
      <c r="L77" s="1233">
        <v>706.29</v>
      </c>
      <c r="M77" s="1232"/>
      <c r="N77" s="1234"/>
      <c r="T77" s="1220"/>
      <c r="U77" s="1221"/>
      <c r="V77" s="1221"/>
      <c r="Y77" s="1198" t="s">
        <v>345</v>
      </c>
      <c r="AB77" s="1221"/>
    </row>
    <row r="78" spans="1:28" s="1194" customFormat="1" ht="12" x14ac:dyDescent="0.2">
      <c r="A78" s="1231"/>
      <c r="B78" s="1230"/>
      <c r="C78" s="1945" t="s">
        <v>348</v>
      </c>
      <c r="D78" s="1945"/>
      <c r="E78" s="1945"/>
      <c r="F78" s="1232" t="s">
        <v>315</v>
      </c>
      <c r="G78" s="1232" t="s">
        <v>3086</v>
      </c>
      <c r="H78" s="1232" t="s">
        <v>1071</v>
      </c>
      <c r="I78" s="1232" t="s">
        <v>9264</v>
      </c>
      <c r="J78" s="1233"/>
      <c r="K78" s="1232"/>
      <c r="L78" s="1233"/>
      <c r="M78" s="1232"/>
      <c r="N78" s="1234"/>
      <c r="T78" s="1220"/>
      <c r="U78" s="1221"/>
      <c r="V78" s="1221"/>
      <c r="Z78" s="1198" t="s">
        <v>348</v>
      </c>
      <c r="AB78" s="1221"/>
    </row>
    <row r="79" spans="1:28" s="1194" customFormat="1" ht="12" x14ac:dyDescent="0.2">
      <c r="A79" s="1231"/>
      <c r="B79" s="1230"/>
      <c r="C79" s="1962" t="s">
        <v>318</v>
      </c>
      <c r="D79" s="1962"/>
      <c r="E79" s="1962"/>
      <c r="F79" s="1235"/>
      <c r="G79" s="1235"/>
      <c r="H79" s="1235"/>
      <c r="I79" s="1235"/>
      <c r="J79" s="1236">
        <v>185.69</v>
      </c>
      <c r="K79" s="1235"/>
      <c r="L79" s="1236">
        <v>7241.91</v>
      </c>
      <c r="M79" s="1235"/>
      <c r="N79" s="1237"/>
      <c r="T79" s="1220"/>
      <c r="U79" s="1221"/>
      <c r="V79" s="1221"/>
      <c r="AA79" s="1198" t="s">
        <v>318</v>
      </c>
      <c r="AB79" s="1221"/>
    </row>
    <row r="80" spans="1:28" s="1194" customFormat="1" ht="12" x14ac:dyDescent="0.2">
      <c r="A80" s="1231"/>
      <c r="B80" s="1230"/>
      <c r="C80" s="1945" t="s">
        <v>319</v>
      </c>
      <c r="D80" s="1945"/>
      <c r="E80" s="1945"/>
      <c r="F80" s="1232"/>
      <c r="G80" s="1232"/>
      <c r="H80" s="1232"/>
      <c r="I80" s="1232"/>
      <c r="J80" s="1233"/>
      <c r="K80" s="1232"/>
      <c r="L80" s="1233">
        <v>706.29</v>
      </c>
      <c r="M80" s="1232"/>
      <c r="N80" s="1234"/>
      <c r="T80" s="1220"/>
      <c r="U80" s="1221"/>
      <c r="V80" s="1221"/>
      <c r="Z80" s="1198" t="s">
        <v>319</v>
      </c>
      <c r="AB80" s="1221"/>
    </row>
    <row r="81" spans="1:28" s="1194" customFormat="1" ht="33.75" x14ac:dyDescent="0.2">
      <c r="A81" s="1231"/>
      <c r="B81" s="1230" t="s">
        <v>460</v>
      </c>
      <c r="C81" s="1945" t="s">
        <v>461</v>
      </c>
      <c r="D81" s="1945"/>
      <c r="E81" s="1945"/>
      <c r="F81" s="1232" t="s">
        <v>322</v>
      </c>
      <c r="G81" s="1232" t="s">
        <v>462</v>
      </c>
      <c r="H81" s="1232"/>
      <c r="I81" s="1232" t="s">
        <v>462</v>
      </c>
      <c r="J81" s="1233"/>
      <c r="K81" s="1232"/>
      <c r="L81" s="1233">
        <v>649.79</v>
      </c>
      <c r="M81" s="1232"/>
      <c r="N81" s="1234"/>
      <c r="T81" s="1220"/>
      <c r="U81" s="1221"/>
      <c r="V81" s="1221"/>
      <c r="Z81" s="1198" t="s">
        <v>461</v>
      </c>
      <c r="AB81" s="1221"/>
    </row>
    <row r="82" spans="1:28" s="1194" customFormat="1" ht="33.75" x14ac:dyDescent="0.2">
      <c r="A82" s="1231"/>
      <c r="B82" s="1230" t="s">
        <v>463</v>
      </c>
      <c r="C82" s="1945" t="s">
        <v>464</v>
      </c>
      <c r="D82" s="1945"/>
      <c r="E82" s="1945"/>
      <c r="F82" s="1232" t="s">
        <v>322</v>
      </c>
      <c r="G82" s="1232" t="s">
        <v>465</v>
      </c>
      <c r="H82" s="1232"/>
      <c r="I82" s="1232" t="s">
        <v>465</v>
      </c>
      <c r="J82" s="1233"/>
      <c r="K82" s="1232"/>
      <c r="L82" s="1233">
        <v>324.89</v>
      </c>
      <c r="M82" s="1232"/>
      <c r="N82" s="1234"/>
      <c r="T82" s="1220"/>
      <c r="U82" s="1221"/>
      <c r="V82" s="1221"/>
      <c r="Z82" s="1198" t="s">
        <v>464</v>
      </c>
      <c r="AB82" s="1221"/>
    </row>
    <row r="83" spans="1:28" s="1194" customFormat="1" ht="12" x14ac:dyDescent="0.2">
      <c r="A83" s="1238"/>
      <c r="B83" s="1239"/>
      <c r="C83" s="1953" t="s">
        <v>327</v>
      </c>
      <c r="D83" s="1953"/>
      <c r="E83" s="1953"/>
      <c r="F83" s="1224"/>
      <c r="G83" s="1224"/>
      <c r="H83" s="1224"/>
      <c r="I83" s="1224"/>
      <c r="J83" s="1225"/>
      <c r="K83" s="1224"/>
      <c r="L83" s="1225">
        <v>8216.59</v>
      </c>
      <c r="M83" s="1235"/>
      <c r="N83" s="1226"/>
      <c r="T83" s="1220"/>
      <c r="U83" s="1221"/>
      <c r="V83" s="1221"/>
      <c r="AB83" s="1221" t="s">
        <v>327</v>
      </c>
    </row>
    <row r="84" spans="1:28" s="1194" customFormat="1" ht="56.25" x14ac:dyDescent="0.2">
      <c r="A84" s="1222" t="s">
        <v>190</v>
      </c>
      <c r="B84" s="1223" t="s">
        <v>503</v>
      </c>
      <c r="C84" s="1953" t="s">
        <v>9265</v>
      </c>
      <c r="D84" s="1953"/>
      <c r="E84" s="1953"/>
      <c r="F84" s="1224" t="s">
        <v>455</v>
      </c>
      <c r="G84" s="1224"/>
      <c r="H84" s="1224"/>
      <c r="I84" s="1224" t="s">
        <v>3102</v>
      </c>
      <c r="J84" s="1225"/>
      <c r="K84" s="1224"/>
      <c r="L84" s="1225"/>
      <c r="M84" s="1224"/>
      <c r="N84" s="1226"/>
      <c r="T84" s="1220"/>
      <c r="U84" s="1221"/>
      <c r="V84" s="1221" t="s">
        <v>9265</v>
      </c>
      <c r="AB84" s="1221"/>
    </row>
    <row r="85" spans="1:28" s="1194" customFormat="1" ht="12" x14ac:dyDescent="0.2">
      <c r="A85" s="1227"/>
      <c r="B85" s="1228"/>
      <c r="C85" s="1945" t="s">
        <v>9266</v>
      </c>
      <c r="D85" s="1945"/>
      <c r="E85" s="1945"/>
      <c r="F85" s="1945"/>
      <c r="G85" s="1945"/>
      <c r="H85" s="1945"/>
      <c r="I85" s="1945"/>
      <c r="J85" s="1945"/>
      <c r="K85" s="1945"/>
      <c r="L85" s="1945"/>
      <c r="M85" s="1945"/>
      <c r="N85" s="1954"/>
      <c r="T85" s="1220"/>
      <c r="U85" s="1221"/>
      <c r="V85" s="1221"/>
      <c r="W85" s="1198" t="s">
        <v>9266</v>
      </c>
      <c r="AB85" s="1221"/>
    </row>
    <row r="86" spans="1:28" s="1194" customFormat="1" ht="33.75" x14ac:dyDescent="0.2">
      <c r="A86" s="1229"/>
      <c r="B86" s="1230" t="s">
        <v>310</v>
      </c>
      <c r="C86" s="1945" t="s">
        <v>311</v>
      </c>
      <c r="D86" s="1945"/>
      <c r="E86" s="1945"/>
      <c r="F86" s="1945"/>
      <c r="G86" s="1945"/>
      <c r="H86" s="1945"/>
      <c r="I86" s="1945"/>
      <c r="J86" s="1945"/>
      <c r="K86" s="1945"/>
      <c r="L86" s="1945"/>
      <c r="M86" s="1945"/>
      <c r="N86" s="1954"/>
      <c r="T86" s="1220"/>
      <c r="U86" s="1221"/>
      <c r="V86" s="1221"/>
      <c r="X86" s="1198" t="s">
        <v>311</v>
      </c>
      <c r="AB86" s="1221"/>
    </row>
    <row r="87" spans="1:28" s="1194" customFormat="1" ht="12" x14ac:dyDescent="0.2">
      <c r="A87" s="1231"/>
      <c r="B87" s="1230" t="s">
        <v>186</v>
      </c>
      <c r="C87" s="1945" t="s">
        <v>344</v>
      </c>
      <c r="D87" s="1945"/>
      <c r="E87" s="1945"/>
      <c r="F87" s="1232"/>
      <c r="G87" s="1232"/>
      <c r="H87" s="1232"/>
      <c r="I87" s="1232"/>
      <c r="J87" s="1233">
        <v>3803.91</v>
      </c>
      <c r="K87" s="1232" t="s">
        <v>313</v>
      </c>
      <c r="L87" s="1233">
        <v>11292.86</v>
      </c>
      <c r="M87" s="1232"/>
      <c r="N87" s="1234"/>
      <c r="T87" s="1220"/>
      <c r="U87" s="1221"/>
      <c r="V87" s="1221"/>
      <c r="Y87" s="1198" t="s">
        <v>344</v>
      </c>
      <c r="AB87" s="1221"/>
    </row>
    <row r="88" spans="1:28" s="1194" customFormat="1" ht="12" x14ac:dyDescent="0.2">
      <c r="A88" s="1231"/>
      <c r="B88" s="1230" t="s">
        <v>187</v>
      </c>
      <c r="C88" s="1945" t="s">
        <v>345</v>
      </c>
      <c r="D88" s="1945"/>
      <c r="E88" s="1945"/>
      <c r="F88" s="1232"/>
      <c r="G88" s="1232"/>
      <c r="H88" s="1232"/>
      <c r="I88" s="1232"/>
      <c r="J88" s="1233">
        <v>445.5</v>
      </c>
      <c r="K88" s="1232" t="s">
        <v>313</v>
      </c>
      <c r="L88" s="1233">
        <v>1322.58</v>
      </c>
      <c r="M88" s="1232"/>
      <c r="N88" s="1234"/>
      <c r="T88" s="1220"/>
      <c r="U88" s="1221"/>
      <c r="V88" s="1221"/>
      <c r="Y88" s="1198" t="s">
        <v>345</v>
      </c>
      <c r="AB88" s="1221"/>
    </row>
    <row r="89" spans="1:28" s="1194" customFormat="1" ht="12" x14ac:dyDescent="0.2">
      <c r="A89" s="1231"/>
      <c r="B89" s="1230"/>
      <c r="C89" s="1945" t="s">
        <v>348</v>
      </c>
      <c r="D89" s="1945"/>
      <c r="E89" s="1945"/>
      <c r="F89" s="1232" t="s">
        <v>315</v>
      </c>
      <c r="G89" s="1232" t="s">
        <v>505</v>
      </c>
      <c r="H89" s="1232" t="s">
        <v>313</v>
      </c>
      <c r="I89" s="1232" t="s">
        <v>9267</v>
      </c>
      <c r="J89" s="1233"/>
      <c r="K89" s="1232"/>
      <c r="L89" s="1233"/>
      <c r="M89" s="1232"/>
      <c r="N89" s="1234"/>
      <c r="T89" s="1220"/>
      <c r="U89" s="1221"/>
      <c r="V89" s="1221"/>
      <c r="Z89" s="1198" t="s">
        <v>348</v>
      </c>
      <c r="AB89" s="1221"/>
    </row>
    <row r="90" spans="1:28" s="1194" customFormat="1" ht="12" x14ac:dyDescent="0.2">
      <c r="A90" s="1231"/>
      <c r="B90" s="1230"/>
      <c r="C90" s="1962" t="s">
        <v>318</v>
      </c>
      <c r="D90" s="1962"/>
      <c r="E90" s="1962"/>
      <c r="F90" s="1235"/>
      <c r="G90" s="1235"/>
      <c r="H90" s="1235"/>
      <c r="I90" s="1235"/>
      <c r="J90" s="1236">
        <v>3803.91</v>
      </c>
      <c r="K90" s="1235"/>
      <c r="L90" s="1236">
        <v>11292.86</v>
      </c>
      <c r="M90" s="1235"/>
      <c r="N90" s="1237"/>
      <c r="T90" s="1220"/>
      <c r="U90" s="1221"/>
      <c r="V90" s="1221"/>
      <c r="AA90" s="1198" t="s">
        <v>318</v>
      </c>
      <c r="AB90" s="1221"/>
    </row>
    <row r="91" spans="1:28" s="1194" customFormat="1" ht="12" x14ac:dyDescent="0.2">
      <c r="A91" s="1231"/>
      <c r="B91" s="1230"/>
      <c r="C91" s="1945" t="s">
        <v>319</v>
      </c>
      <c r="D91" s="1945"/>
      <c r="E91" s="1945"/>
      <c r="F91" s="1232"/>
      <c r="G91" s="1232"/>
      <c r="H91" s="1232"/>
      <c r="I91" s="1232"/>
      <c r="J91" s="1233"/>
      <c r="K91" s="1232"/>
      <c r="L91" s="1233">
        <v>1322.58</v>
      </c>
      <c r="M91" s="1232"/>
      <c r="N91" s="1234"/>
      <c r="T91" s="1220"/>
      <c r="U91" s="1221"/>
      <c r="V91" s="1221"/>
      <c r="Z91" s="1198" t="s">
        <v>319</v>
      </c>
      <c r="AB91" s="1221"/>
    </row>
    <row r="92" spans="1:28" s="1194" customFormat="1" ht="33.75" x14ac:dyDescent="0.2">
      <c r="A92" s="1231"/>
      <c r="B92" s="1230" t="s">
        <v>460</v>
      </c>
      <c r="C92" s="1945" t="s">
        <v>461</v>
      </c>
      <c r="D92" s="1945"/>
      <c r="E92" s="1945"/>
      <c r="F92" s="1232" t="s">
        <v>322</v>
      </c>
      <c r="G92" s="1232" t="s">
        <v>462</v>
      </c>
      <c r="H92" s="1232"/>
      <c r="I92" s="1232" t="s">
        <v>462</v>
      </c>
      <c r="J92" s="1233"/>
      <c r="K92" s="1232"/>
      <c r="L92" s="1233">
        <v>1216.77</v>
      </c>
      <c r="M92" s="1232"/>
      <c r="N92" s="1234"/>
      <c r="T92" s="1220"/>
      <c r="U92" s="1221"/>
      <c r="V92" s="1221"/>
      <c r="Z92" s="1198" t="s">
        <v>461</v>
      </c>
      <c r="AB92" s="1221"/>
    </row>
    <row r="93" spans="1:28" s="1194" customFormat="1" ht="33.75" x14ac:dyDescent="0.2">
      <c r="A93" s="1231"/>
      <c r="B93" s="1230" t="s">
        <v>463</v>
      </c>
      <c r="C93" s="1945" t="s">
        <v>464</v>
      </c>
      <c r="D93" s="1945"/>
      <c r="E93" s="1945"/>
      <c r="F93" s="1232" t="s">
        <v>322</v>
      </c>
      <c r="G93" s="1232" t="s">
        <v>465</v>
      </c>
      <c r="H93" s="1232"/>
      <c r="I93" s="1232" t="s">
        <v>465</v>
      </c>
      <c r="J93" s="1233"/>
      <c r="K93" s="1232"/>
      <c r="L93" s="1233">
        <v>608.39</v>
      </c>
      <c r="M93" s="1232"/>
      <c r="N93" s="1234"/>
      <c r="T93" s="1220"/>
      <c r="U93" s="1221"/>
      <c r="V93" s="1221"/>
      <c r="Z93" s="1198" t="s">
        <v>464</v>
      </c>
      <c r="AB93" s="1221"/>
    </row>
    <row r="94" spans="1:28" s="1194" customFormat="1" ht="12" x14ac:dyDescent="0.2">
      <c r="A94" s="1238"/>
      <c r="B94" s="1239"/>
      <c r="C94" s="1953" t="s">
        <v>327</v>
      </c>
      <c r="D94" s="1953"/>
      <c r="E94" s="1953"/>
      <c r="F94" s="1224"/>
      <c r="G94" s="1224"/>
      <c r="H94" s="1224"/>
      <c r="I94" s="1224"/>
      <c r="J94" s="1225"/>
      <c r="K94" s="1224"/>
      <c r="L94" s="1225">
        <v>13118.02</v>
      </c>
      <c r="M94" s="1235"/>
      <c r="N94" s="1226"/>
      <c r="T94" s="1220"/>
      <c r="U94" s="1221"/>
      <c r="V94" s="1221"/>
      <c r="AB94" s="1221" t="s">
        <v>327</v>
      </c>
    </row>
    <row r="95" spans="1:28" s="1194" customFormat="1" ht="22.5" x14ac:dyDescent="0.2">
      <c r="A95" s="1222" t="s">
        <v>191</v>
      </c>
      <c r="B95" s="1223" t="s">
        <v>9268</v>
      </c>
      <c r="C95" s="1953" t="s">
        <v>9269</v>
      </c>
      <c r="D95" s="1953"/>
      <c r="E95" s="1953"/>
      <c r="F95" s="1224" t="s">
        <v>641</v>
      </c>
      <c r="G95" s="1224"/>
      <c r="H95" s="1224"/>
      <c r="I95" s="1224" t="s">
        <v>9270</v>
      </c>
      <c r="J95" s="1225">
        <v>129.1</v>
      </c>
      <c r="K95" s="1224"/>
      <c r="L95" s="1225">
        <v>12199.95</v>
      </c>
      <c r="M95" s="1224"/>
      <c r="N95" s="1226"/>
      <c r="T95" s="1220"/>
      <c r="U95" s="1221"/>
      <c r="V95" s="1221" t="s">
        <v>9269</v>
      </c>
      <c r="AB95" s="1221"/>
    </row>
    <row r="96" spans="1:28" s="1194" customFormat="1" ht="12" x14ac:dyDescent="0.2">
      <c r="A96" s="1238"/>
      <c r="B96" s="1239"/>
      <c r="C96" s="1196" t="s">
        <v>717</v>
      </c>
      <c r="D96" s="1240"/>
      <c r="E96" s="1240"/>
      <c r="F96" s="1241"/>
      <c r="G96" s="1241"/>
      <c r="H96" s="1241"/>
      <c r="I96" s="1241"/>
      <c r="J96" s="1242"/>
      <c r="K96" s="1241"/>
      <c r="L96" s="1242"/>
      <c r="M96" s="1243"/>
      <c r="N96" s="1244"/>
      <c r="T96" s="1220"/>
      <c r="U96" s="1221"/>
      <c r="V96" s="1221"/>
      <c r="AB96" s="1221"/>
    </row>
    <row r="97" spans="1:28" s="1194" customFormat="1" ht="12" x14ac:dyDescent="0.2">
      <c r="A97" s="1227"/>
      <c r="B97" s="1228"/>
      <c r="C97" s="1945" t="s">
        <v>9271</v>
      </c>
      <c r="D97" s="1945"/>
      <c r="E97" s="1945"/>
      <c r="F97" s="1945"/>
      <c r="G97" s="1945"/>
      <c r="H97" s="1945"/>
      <c r="I97" s="1945"/>
      <c r="J97" s="1945"/>
      <c r="K97" s="1945"/>
      <c r="L97" s="1945"/>
      <c r="M97" s="1945"/>
      <c r="N97" s="1954"/>
      <c r="T97" s="1220"/>
      <c r="U97" s="1221"/>
      <c r="V97" s="1221"/>
      <c r="W97" s="1198" t="s">
        <v>9271</v>
      </c>
      <c r="AB97" s="1221"/>
    </row>
    <row r="98" spans="1:28" s="1194" customFormat="1" ht="22.5" x14ac:dyDescent="0.2">
      <c r="A98" s="1222" t="s">
        <v>192</v>
      </c>
      <c r="B98" s="1223" t="s">
        <v>9272</v>
      </c>
      <c r="C98" s="1953" t="s">
        <v>9273</v>
      </c>
      <c r="D98" s="1953"/>
      <c r="E98" s="1953"/>
      <c r="F98" s="1224" t="s">
        <v>641</v>
      </c>
      <c r="G98" s="1224"/>
      <c r="H98" s="1224"/>
      <c r="I98" s="1224" t="s">
        <v>9274</v>
      </c>
      <c r="J98" s="1225">
        <v>98.6</v>
      </c>
      <c r="K98" s="1224"/>
      <c r="L98" s="1225">
        <v>285742.8</v>
      </c>
      <c r="M98" s="1224"/>
      <c r="N98" s="1226"/>
      <c r="T98" s="1220"/>
      <c r="U98" s="1221"/>
      <c r="V98" s="1221" t="s">
        <v>9273</v>
      </c>
      <c r="AB98" s="1221"/>
    </row>
    <row r="99" spans="1:28" s="1194" customFormat="1" ht="12" x14ac:dyDescent="0.2">
      <c r="A99" s="1238"/>
      <c r="B99" s="1239"/>
      <c r="C99" s="1196" t="s">
        <v>717</v>
      </c>
      <c r="D99" s="1240"/>
      <c r="E99" s="1240"/>
      <c r="F99" s="1241"/>
      <c r="G99" s="1241"/>
      <c r="H99" s="1241"/>
      <c r="I99" s="1241"/>
      <c r="J99" s="1242"/>
      <c r="K99" s="1241"/>
      <c r="L99" s="1242"/>
      <c r="M99" s="1243"/>
      <c r="N99" s="1244"/>
      <c r="T99" s="1220"/>
      <c r="U99" s="1221"/>
      <c r="V99" s="1221"/>
      <c r="AB99" s="1221"/>
    </row>
    <row r="100" spans="1:28" s="1194" customFormat="1" ht="12" x14ac:dyDescent="0.2">
      <c r="A100" s="1227"/>
      <c r="B100" s="1228"/>
      <c r="C100" s="1945" t="s">
        <v>9275</v>
      </c>
      <c r="D100" s="1945"/>
      <c r="E100" s="1945"/>
      <c r="F100" s="1945"/>
      <c r="G100" s="1945"/>
      <c r="H100" s="1945"/>
      <c r="I100" s="1945"/>
      <c r="J100" s="1945"/>
      <c r="K100" s="1945"/>
      <c r="L100" s="1945"/>
      <c r="M100" s="1945"/>
      <c r="N100" s="1954"/>
      <c r="T100" s="1220"/>
      <c r="U100" s="1221"/>
      <c r="V100" s="1221"/>
      <c r="W100" s="1198" t="s">
        <v>9275</v>
      </c>
      <c r="AB100" s="1221"/>
    </row>
    <row r="101" spans="1:28" s="1194" customFormat="1" ht="12" x14ac:dyDescent="0.2">
      <c r="A101" s="1959" t="s">
        <v>1510</v>
      </c>
      <c r="B101" s="1960"/>
      <c r="C101" s="1960"/>
      <c r="D101" s="1960"/>
      <c r="E101" s="1960"/>
      <c r="F101" s="1960"/>
      <c r="G101" s="1960"/>
      <c r="H101" s="1960"/>
      <c r="I101" s="1960"/>
      <c r="J101" s="1960"/>
      <c r="K101" s="1960"/>
      <c r="L101" s="1960"/>
      <c r="M101" s="1960"/>
      <c r="N101" s="1961"/>
      <c r="T101" s="1220"/>
      <c r="U101" s="1221" t="s">
        <v>1510</v>
      </c>
      <c r="V101" s="1221"/>
      <c r="AB101" s="1221"/>
    </row>
    <row r="102" spans="1:28" s="1194" customFormat="1" ht="56.25" x14ac:dyDescent="0.2">
      <c r="A102" s="1222" t="s">
        <v>193</v>
      </c>
      <c r="B102" s="1223" t="s">
        <v>9276</v>
      </c>
      <c r="C102" s="1953" t="s">
        <v>9277</v>
      </c>
      <c r="D102" s="1953"/>
      <c r="E102" s="1953"/>
      <c r="F102" s="1224" t="s">
        <v>455</v>
      </c>
      <c r="G102" s="1224"/>
      <c r="H102" s="1224"/>
      <c r="I102" s="1224" t="s">
        <v>9278</v>
      </c>
      <c r="J102" s="1225"/>
      <c r="K102" s="1224"/>
      <c r="L102" s="1225"/>
      <c r="M102" s="1224"/>
      <c r="N102" s="1226"/>
      <c r="T102" s="1220"/>
      <c r="U102" s="1221"/>
      <c r="V102" s="1221" t="s">
        <v>9277</v>
      </c>
      <c r="AB102" s="1221"/>
    </row>
    <row r="103" spans="1:28" s="1194" customFormat="1" ht="12" x14ac:dyDescent="0.2">
      <c r="A103" s="1227"/>
      <c r="B103" s="1228"/>
      <c r="C103" s="1945" t="s">
        <v>9279</v>
      </c>
      <c r="D103" s="1945"/>
      <c r="E103" s="1945"/>
      <c r="F103" s="1945"/>
      <c r="G103" s="1945"/>
      <c r="H103" s="1945"/>
      <c r="I103" s="1945"/>
      <c r="J103" s="1945"/>
      <c r="K103" s="1945"/>
      <c r="L103" s="1945"/>
      <c r="M103" s="1945"/>
      <c r="N103" s="1954"/>
      <c r="T103" s="1220"/>
      <c r="U103" s="1221"/>
      <c r="V103" s="1221"/>
      <c r="W103" s="1198" t="s">
        <v>9279</v>
      </c>
      <c r="AB103" s="1221"/>
    </row>
    <row r="104" spans="1:28" s="1194" customFormat="1" ht="33.75" x14ac:dyDescent="0.2">
      <c r="A104" s="1229"/>
      <c r="B104" s="1230" t="s">
        <v>310</v>
      </c>
      <c r="C104" s="1945" t="s">
        <v>311</v>
      </c>
      <c r="D104" s="1945"/>
      <c r="E104" s="1945"/>
      <c r="F104" s="1945"/>
      <c r="G104" s="1945"/>
      <c r="H104" s="1945"/>
      <c r="I104" s="1945"/>
      <c r="J104" s="1945"/>
      <c r="K104" s="1945"/>
      <c r="L104" s="1945"/>
      <c r="M104" s="1945"/>
      <c r="N104" s="1954"/>
      <c r="T104" s="1220"/>
      <c r="U104" s="1221"/>
      <c r="V104" s="1221"/>
      <c r="X104" s="1198" t="s">
        <v>311</v>
      </c>
      <c r="AB104" s="1221"/>
    </row>
    <row r="105" spans="1:28" s="1194" customFormat="1" ht="12" x14ac:dyDescent="0.2">
      <c r="A105" s="1231"/>
      <c r="B105" s="1230" t="s">
        <v>185</v>
      </c>
      <c r="C105" s="1945" t="s">
        <v>312</v>
      </c>
      <c r="D105" s="1945"/>
      <c r="E105" s="1945"/>
      <c r="F105" s="1232"/>
      <c r="G105" s="1232"/>
      <c r="H105" s="1232"/>
      <c r="I105" s="1232"/>
      <c r="J105" s="1233">
        <v>167.7</v>
      </c>
      <c r="K105" s="1232" t="s">
        <v>313</v>
      </c>
      <c r="L105" s="1233">
        <v>2661.57</v>
      </c>
      <c r="M105" s="1232"/>
      <c r="N105" s="1234"/>
      <c r="T105" s="1220"/>
      <c r="U105" s="1221"/>
      <c r="V105" s="1221"/>
      <c r="Y105" s="1198" t="s">
        <v>312</v>
      </c>
      <c r="AB105" s="1221"/>
    </row>
    <row r="106" spans="1:28" s="1194" customFormat="1" ht="12" x14ac:dyDescent="0.2">
      <c r="A106" s="1231"/>
      <c r="B106" s="1230" t="s">
        <v>186</v>
      </c>
      <c r="C106" s="1945" t="s">
        <v>344</v>
      </c>
      <c r="D106" s="1945"/>
      <c r="E106" s="1945"/>
      <c r="F106" s="1232"/>
      <c r="G106" s="1232"/>
      <c r="H106" s="1232"/>
      <c r="I106" s="1232"/>
      <c r="J106" s="1233">
        <v>6628.13</v>
      </c>
      <c r="K106" s="1232" t="s">
        <v>313</v>
      </c>
      <c r="L106" s="1233">
        <v>105195.05</v>
      </c>
      <c r="M106" s="1232"/>
      <c r="N106" s="1234"/>
      <c r="T106" s="1220"/>
      <c r="U106" s="1221"/>
      <c r="V106" s="1221"/>
      <c r="Y106" s="1198" t="s">
        <v>344</v>
      </c>
      <c r="AB106" s="1221"/>
    </row>
    <row r="107" spans="1:28" s="1194" customFormat="1" ht="12" x14ac:dyDescent="0.2">
      <c r="A107" s="1231"/>
      <c r="B107" s="1230" t="s">
        <v>187</v>
      </c>
      <c r="C107" s="1945" t="s">
        <v>345</v>
      </c>
      <c r="D107" s="1945"/>
      <c r="E107" s="1945"/>
      <c r="F107" s="1232"/>
      <c r="G107" s="1232"/>
      <c r="H107" s="1232"/>
      <c r="I107" s="1232"/>
      <c r="J107" s="1233">
        <v>842.4</v>
      </c>
      <c r="K107" s="1232" t="s">
        <v>313</v>
      </c>
      <c r="L107" s="1233">
        <v>13369.73</v>
      </c>
      <c r="M107" s="1232"/>
      <c r="N107" s="1234"/>
      <c r="T107" s="1220"/>
      <c r="U107" s="1221"/>
      <c r="V107" s="1221"/>
      <c r="Y107" s="1198" t="s">
        <v>345</v>
      </c>
      <c r="AB107" s="1221"/>
    </row>
    <row r="108" spans="1:28" s="1194" customFormat="1" ht="12" x14ac:dyDescent="0.2">
      <c r="A108" s="1231"/>
      <c r="B108" s="1230" t="s">
        <v>188</v>
      </c>
      <c r="C108" s="1945" t="s">
        <v>475</v>
      </c>
      <c r="D108" s="1945"/>
      <c r="E108" s="1945"/>
      <c r="F108" s="1232"/>
      <c r="G108" s="1232"/>
      <c r="H108" s="1232"/>
      <c r="I108" s="1232"/>
      <c r="J108" s="1233">
        <v>7.59</v>
      </c>
      <c r="K108" s="1232"/>
      <c r="L108" s="1233">
        <v>96.37</v>
      </c>
      <c r="M108" s="1232"/>
      <c r="N108" s="1234"/>
      <c r="T108" s="1220"/>
      <c r="U108" s="1221"/>
      <c r="V108" s="1221"/>
      <c r="Y108" s="1198" t="s">
        <v>475</v>
      </c>
      <c r="AB108" s="1221"/>
    </row>
    <row r="109" spans="1:28" s="1194" customFormat="1" ht="12" x14ac:dyDescent="0.2">
      <c r="A109" s="1231"/>
      <c r="B109" s="1230"/>
      <c r="C109" s="1945" t="s">
        <v>314</v>
      </c>
      <c r="D109" s="1945"/>
      <c r="E109" s="1945"/>
      <c r="F109" s="1232" t="s">
        <v>315</v>
      </c>
      <c r="G109" s="1232" t="s">
        <v>9280</v>
      </c>
      <c r="H109" s="1232" t="s">
        <v>313</v>
      </c>
      <c r="I109" s="1232" t="s">
        <v>9281</v>
      </c>
      <c r="J109" s="1233"/>
      <c r="K109" s="1232"/>
      <c r="L109" s="1233"/>
      <c r="M109" s="1232"/>
      <c r="N109" s="1234"/>
      <c r="T109" s="1220"/>
      <c r="U109" s="1221"/>
      <c r="V109" s="1221"/>
      <c r="Z109" s="1198" t="s">
        <v>314</v>
      </c>
      <c r="AB109" s="1221"/>
    </row>
    <row r="110" spans="1:28" s="1194" customFormat="1" ht="12" x14ac:dyDescent="0.2">
      <c r="A110" s="1231"/>
      <c r="B110" s="1230"/>
      <c r="C110" s="1945" t="s">
        <v>348</v>
      </c>
      <c r="D110" s="1945"/>
      <c r="E110" s="1945"/>
      <c r="F110" s="1232" t="s">
        <v>315</v>
      </c>
      <c r="G110" s="1232" t="s">
        <v>9282</v>
      </c>
      <c r="H110" s="1232" t="s">
        <v>313</v>
      </c>
      <c r="I110" s="1232" t="s">
        <v>9283</v>
      </c>
      <c r="J110" s="1233"/>
      <c r="K110" s="1232"/>
      <c r="L110" s="1233"/>
      <c r="M110" s="1232"/>
      <c r="N110" s="1234"/>
      <c r="T110" s="1220"/>
      <c r="U110" s="1221"/>
      <c r="V110" s="1221"/>
      <c r="Z110" s="1198" t="s">
        <v>348</v>
      </c>
      <c r="AB110" s="1221"/>
    </row>
    <row r="111" spans="1:28" s="1194" customFormat="1" ht="12" x14ac:dyDescent="0.2">
      <c r="A111" s="1231"/>
      <c r="B111" s="1230"/>
      <c r="C111" s="1962" t="s">
        <v>318</v>
      </c>
      <c r="D111" s="1962"/>
      <c r="E111" s="1962"/>
      <c r="F111" s="1235"/>
      <c r="G111" s="1235"/>
      <c r="H111" s="1235"/>
      <c r="I111" s="1235"/>
      <c r="J111" s="1236">
        <v>6803.42</v>
      </c>
      <c r="K111" s="1235"/>
      <c r="L111" s="1236">
        <v>107952.99</v>
      </c>
      <c r="M111" s="1235"/>
      <c r="N111" s="1237"/>
      <c r="T111" s="1220"/>
      <c r="U111" s="1221"/>
      <c r="V111" s="1221"/>
      <c r="AA111" s="1198" t="s">
        <v>318</v>
      </c>
      <c r="AB111" s="1221"/>
    </row>
    <row r="112" spans="1:28" s="1194" customFormat="1" ht="12" x14ac:dyDescent="0.2">
      <c r="A112" s="1231"/>
      <c r="B112" s="1230"/>
      <c r="C112" s="1945" t="s">
        <v>319</v>
      </c>
      <c r="D112" s="1945"/>
      <c r="E112" s="1945"/>
      <c r="F112" s="1232"/>
      <c r="G112" s="1232"/>
      <c r="H112" s="1232"/>
      <c r="I112" s="1232"/>
      <c r="J112" s="1233"/>
      <c r="K112" s="1232"/>
      <c r="L112" s="1233">
        <v>16031.3</v>
      </c>
      <c r="M112" s="1232"/>
      <c r="N112" s="1234"/>
      <c r="T112" s="1220"/>
      <c r="U112" s="1221"/>
      <c r="V112" s="1221"/>
      <c r="Z112" s="1198" t="s">
        <v>319</v>
      </c>
      <c r="AB112" s="1221"/>
    </row>
    <row r="113" spans="1:28" s="1194" customFormat="1" ht="33.75" x14ac:dyDescent="0.2">
      <c r="A113" s="1231"/>
      <c r="B113" s="1230" t="s">
        <v>460</v>
      </c>
      <c r="C113" s="1945" t="s">
        <v>461</v>
      </c>
      <c r="D113" s="1945"/>
      <c r="E113" s="1945"/>
      <c r="F113" s="1232" t="s">
        <v>322</v>
      </c>
      <c r="G113" s="1232" t="s">
        <v>462</v>
      </c>
      <c r="H113" s="1232"/>
      <c r="I113" s="1232" t="s">
        <v>462</v>
      </c>
      <c r="J113" s="1233"/>
      <c r="K113" s="1232"/>
      <c r="L113" s="1233">
        <v>14748.8</v>
      </c>
      <c r="M113" s="1232"/>
      <c r="N113" s="1234"/>
      <c r="T113" s="1220"/>
      <c r="U113" s="1221"/>
      <c r="V113" s="1221"/>
      <c r="Z113" s="1198" t="s">
        <v>461</v>
      </c>
      <c r="AB113" s="1221"/>
    </row>
    <row r="114" spans="1:28" s="1194" customFormat="1" ht="33.75" x14ac:dyDescent="0.2">
      <c r="A114" s="1231"/>
      <c r="B114" s="1230" t="s">
        <v>463</v>
      </c>
      <c r="C114" s="1945" t="s">
        <v>464</v>
      </c>
      <c r="D114" s="1945"/>
      <c r="E114" s="1945"/>
      <c r="F114" s="1232" t="s">
        <v>322</v>
      </c>
      <c r="G114" s="1232" t="s">
        <v>465</v>
      </c>
      <c r="H114" s="1232"/>
      <c r="I114" s="1232" t="s">
        <v>465</v>
      </c>
      <c r="J114" s="1233"/>
      <c r="K114" s="1232"/>
      <c r="L114" s="1233">
        <v>7374.4</v>
      </c>
      <c r="M114" s="1232"/>
      <c r="N114" s="1234"/>
      <c r="T114" s="1220"/>
      <c r="U114" s="1221"/>
      <c r="V114" s="1221"/>
      <c r="Z114" s="1198" t="s">
        <v>464</v>
      </c>
      <c r="AB114" s="1221"/>
    </row>
    <row r="115" spans="1:28" s="1194" customFormat="1" ht="12" x14ac:dyDescent="0.2">
      <c r="A115" s="1238"/>
      <c r="B115" s="1239"/>
      <c r="C115" s="1953" t="s">
        <v>327</v>
      </c>
      <c r="D115" s="1953"/>
      <c r="E115" s="1953"/>
      <c r="F115" s="1224"/>
      <c r="G115" s="1224"/>
      <c r="H115" s="1224"/>
      <c r="I115" s="1224"/>
      <c r="J115" s="1225"/>
      <c r="K115" s="1224"/>
      <c r="L115" s="1225">
        <v>130076.19</v>
      </c>
      <c r="M115" s="1235"/>
      <c r="N115" s="1226"/>
      <c r="T115" s="1220"/>
      <c r="U115" s="1221"/>
      <c r="V115" s="1221"/>
      <c r="AB115" s="1221" t="s">
        <v>327</v>
      </c>
    </row>
    <row r="116" spans="1:28" s="1194" customFormat="1" ht="33.75" x14ac:dyDescent="0.2">
      <c r="A116" s="1222" t="s">
        <v>194</v>
      </c>
      <c r="B116" s="1223" t="s">
        <v>1514</v>
      </c>
      <c r="C116" s="1953" t="s">
        <v>1515</v>
      </c>
      <c r="D116" s="1953"/>
      <c r="E116" s="1953"/>
      <c r="F116" s="1224" t="s">
        <v>509</v>
      </c>
      <c r="G116" s="1224"/>
      <c r="H116" s="1224"/>
      <c r="I116" s="1224" t="s">
        <v>1516</v>
      </c>
      <c r="J116" s="1225"/>
      <c r="K116" s="1224"/>
      <c r="L116" s="1225"/>
      <c r="M116" s="1224"/>
      <c r="N116" s="1226"/>
      <c r="T116" s="1220"/>
      <c r="U116" s="1221"/>
      <c r="V116" s="1221" t="s">
        <v>1515</v>
      </c>
      <c r="AB116" s="1221"/>
    </row>
    <row r="117" spans="1:28" s="1194" customFormat="1" ht="12" x14ac:dyDescent="0.2">
      <c r="A117" s="1227"/>
      <c r="B117" s="1228"/>
      <c r="C117" s="1945" t="s">
        <v>1517</v>
      </c>
      <c r="D117" s="1945"/>
      <c r="E117" s="1945"/>
      <c r="F117" s="1945"/>
      <c r="G117" s="1945"/>
      <c r="H117" s="1945"/>
      <c r="I117" s="1945"/>
      <c r="J117" s="1945"/>
      <c r="K117" s="1945"/>
      <c r="L117" s="1945"/>
      <c r="M117" s="1945"/>
      <c r="N117" s="1954"/>
      <c r="T117" s="1220"/>
      <c r="U117" s="1221"/>
      <c r="V117" s="1221"/>
      <c r="W117" s="1198" t="s">
        <v>1517</v>
      </c>
      <c r="AB117" s="1221"/>
    </row>
    <row r="118" spans="1:28" s="1194" customFormat="1" ht="22.5" x14ac:dyDescent="0.2">
      <c r="A118" s="1229"/>
      <c r="B118" s="1230" t="s">
        <v>1518</v>
      </c>
      <c r="C118" s="1945" t="s">
        <v>1519</v>
      </c>
      <c r="D118" s="1945"/>
      <c r="E118" s="1945"/>
      <c r="F118" s="1945"/>
      <c r="G118" s="1945"/>
      <c r="H118" s="1945"/>
      <c r="I118" s="1945"/>
      <c r="J118" s="1945"/>
      <c r="K118" s="1945"/>
      <c r="L118" s="1945"/>
      <c r="M118" s="1945"/>
      <c r="N118" s="1954"/>
      <c r="T118" s="1220"/>
      <c r="U118" s="1221"/>
      <c r="V118" s="1221"/>
      <c r="X118" s="1198" t="s">
        <v>1519</v>
      </c>
      <c r="AB118" s="1221"/>
    </row>
    <row r="119" spans="1:28" s="1194" customFormat="1" ht="33.75" x14ac:dyDescent="0.2">
      <c r="A119" s="1229"/>
      <c r="B119" s="1230" t="s">
        <v>310</v>
      </c>
      <c r="C119" s="1945" t="s">
        <v>311</v>
      </c>
      <c r="D119" s="1945"/>
      <c r="E119" s="1945"/>
      <c r="F119" s="1945"/>
      <c r="G119" s="1945"/>
      <c r="H119" s="1945"/>
      <c r="I119" s="1945"/>
      <c r="J119" s="1945"/>
      <c r="K119" s="1945"/>
      <c r="L119" s="1945"/>
      <c r="M119" s="1945"/>
      <c r="N119" s="1954"/>
      <c r="T119" s="1220"/>
      <c r="U119" s="1221"/>
      <c r="V119" s="1221"/>
      <c r="X119" s="1198" t="s">
        <v>311</v>
      </c>
      <c r="AB119" s="1221"/>
    </row>
    <row r="120" spans="1:28" s="1194" customFormat="1" ht="12" x14ac:dyDescent="0.2">
      <c r="A120" s="1231"/>
      <c r="B120" s="1230" t="s">
        <v>185</v>
      </c>
      <c r="C120" s="1945" t="s">
        <v>312</v>
      </c>
      <c r="D120" s="1945"/>
      <c r="E120" s="1945"/>
      <c r="F120" s="1232"/>
      <c r="G120" s="1232"/>
      <c r="H120" s="1232"/>
      <c r="I120" s="1232"/>
      <c r="J120" s="1233">
        <v>3036.68</v>
      </c>
      <c r="K120" s="1232" t="s">
        <v>1520</v>
      </c>
      <c r="L120" s="1233">
        <v>765.24</v>
      </c>
      <c r="M120" s="1232"/>
      <c r="N120" s="1234"/>
      <c r="T120" s="1220"/>
      <c r="U120" s="1221"/>
      <c r="V120" s="1221"/>
      <c r="Y120" s="1198" t="s">
        <v>312</v>
      </c>
      <c r="AB120" s="1221"/>
    </row>
    <row r="121" spans="1:28" s="1194" customFormat="1" ht="12" x14ac:dyDescent="0.2">
      <c r="A121" s="1231"/>
      <c r="B121" s="1230"/>
      <c r="C121" s="1945" t="s">
        <v>314</v>
      </c>
      <c r="D121" s="1945"/>
      <c r="E121" s="1945"/>
      <c r="F121" s="1232" t="s">
        <v>315</v>
      </c>
      <c r="G121" s="1232" t="s">
        <v>1521</v>
      </c>
      <c r="H121" s="1232" t="s">
        <v>1520</v>
      </c>
      <c r="I121" s="1232" t="s">
        <v>1522</v>
      </c>
      <c r="J121" s="1233"/>
      <c r="K121" s="1232"/>
      <c r="L121" s="1233"/>
      <c r="M121" s="1232"/>
      <c r="N121" s="1234"/>
      <c r="T121" s="1220"/>
      <c r="U121" s="1221"/>
      <c r="V121" s="1221"/>
      <c r="Z121" s="1198" t="s">
        <v>314</v>
      </c>
      <c r="AB121" s="1221"/>
    </row>
    <row r="122" spans="1:28" s="1194" customFormat="1" ht="12" x14ac:dyDescent="0.2">
      <c r="A122" s="1231"/>
      <c r="B122" s="1230"/>
      <c r="C122" s="1962" t="s">
        <v>318</v>
      </c>
      <c r="D122" s="1962"/>
      <c r="E122" s="1962"/>
      <c r="F122" s="1235"/>
      <c r="G122" s="1235"/>
      <c r="H122" s="1235"/>
      <c r="I122" s="1235"/>
      <c r="J122" s="1236">
        <v>3036.68</v>
      </c>
      <c r="K122" s="1235"/>
      <c r="L122" s="1236">
        <v>765.24</v>
      </c>
      <c r="M122" s="1235"/>
      <c r="N122" s="1237"/>
      <c r="T122" s="1220"/>
      <c r="U122" s="1221"/>
      <c r="V122" s="1221"/>
      <c r="AA122" s="1198" t="s">
        <v>318</v>
      </c>
      <c r="AB122" s="1221"/>
    </row>
    <row r="123" spans="1:28" s="1194" customFormat="1" ht="12" x14ac:dyDescent="0.2">
      <c r="A123" s="1231"/>
      <c r="B123" s="1230"/>
      <c r="C123" s="1945" t="s">
        <v>319</v>
      </c>
      <c r="D123" s="1945"/>
      <c r="E123" s="1945"/>
      <c r="F123" s="1232"/>
      <c r="G123" s="1232"/>
      <c r="H123" s="1232"/>
      <c r="I123" s="1232"/>
      <c r="J123" s="1233"/>
      <c r="K123" s="1232"/>
      <c r="L123" s="1233">
        <v>765.24</v>
      </c>
      <c r="M123" s="1232"/>
      <c r="N123" s="1234"/>
      <c r="T123" s="1220"/>
      <c r="U123" s="1221"/>
      <c r="V123" s="1221"/>
      <c r="Z123" s="1198" t="s">
        <v>319</v>
      </c>
      <c r="AB123" s="1221"/>
    </row>
    <row r="124" spans="1:28" s="1194" customFormat="1" ht="33.75" x14ac:dyDescent="0.2">
      <c r="A124" s="1231"/>
      <c r="B124" s="1230" t="s">
        <v>673</v>
      </c>
      <c r="C124" s="1945" t="s">
        <v>674</v>
      </c>
      <c r="D124" s="1945"/>
      <c r="E124" s="1945"/>
      <c r="F124" s="1232" t="s">
        <v>322</v>
      </c>
      <c r="G124" s="1232" t="s">
        <v>323</v>
      </c>
      <c r="H124" s="1232"/>
      <c r="I124" s="1232" t="s">
        <v>323</v>
      </c>
      <c r="J124" s="1233"/>
      <c r="K124" s="1232"/>
      <c r="L124" s="1233">
        <v>681.06</v>
      </c>
      <c r="M124" s="1232"/>
      <c r="N124" s="1234"/>
      <c r="T124" s="1220"/>
      <c r="U124" s="1221"/>
      <c r="V124" s="1221"/>
      <c r="Z124" s="1198" t="s">
        <v>674</v>
      </c>
      <c r="AB124" s="1221"/>
    </row>
    <row r="125" spans="1:28" s="1194" customFormat="1" ht="33.75" x14ac:dyDescent="0.2">
      <c r="A125" s="1231"/>
      <c r="B125" s="1230" t="s">
        <v>675</v>
      </c>
      <c r="C125" s="1945" t="s">
        <v>676</v>
      </c>
      <c r="D125" s="1945"/>
      <c r="E125" s="1945"/>
      <c r="F125" s="1232" t="s">
        <v>322</v>
      </c>
      <c r="G125" s="1232" t="s">
        <v>677</v>
      </c>
      <c r="H125" s="1232"/>
      <c r="I125" s="1232" t="s">
        <v>677</v>
      </c>
      <c r="J125" s="1233"/>
      <c r="K125" s="1232"/>
      <c r="L125" s="1233">
        <v>306.10000000000002</v>
      </c>
      <c r="M125" s="1232"/>
      <c r="N125" s="1234"/>
      <c r="T125" s="1220"/>
      <c r="U125" s="1221"/>
      <c r="V125" s="1221"/>
      <c r="Z125" s="1198" t="s">
        <v>676</v>
      </c>
      <c r="AB125" s="1221"/>
    </row>
    <row r="126" spans="1:28" s="1194" customFormat="1" ht="12" x14ac:dyDescent="0.2">
      <c r="A126" s="1238"/>
      <c r="B126" s="1239"/>
      <c r="C126" s="1953" t="s">
        <v>327</v>
      </c>
      <c r="D126" s="1953"/>
      <c r="E126" s="1953"/>
      <c r="F126" s="1224"/>
      <c r="G126" s="1224"/>
      <c r="H126" s="1224"/>
      <c r="I126" s="1224"/>
      <c r="J126" s="1225"/>
      <c r="K126" s="1224"/>
      <c r="L126" s="1225">
        <v>1752.4</v>
      </c>
      <c r="M126" s="1235"/>
      <c r="N126" s="1226"/>
      <c r="T126" s="1220"/>
      <c r="U126" s="1221"/>
      <c r="V126" s="1221"/>
      <c r="AB126" s="1221" t="s">
        <v>327</v>
      </c>
    </row>
    <row r="127" spans="1:28" s="1194" customFormat="1" ht="56.25" x14ac:dyDescent="0.2">
      <c r="A127" s="1222" t="s">
        <v>195</v>
      </c>
      <c r="B127" s="1223" t="s">
        <v>1005</v>
      </c>
      <c r="C127" s="1953" t="s">
        <v>9284</v>
      </c>
      <c r="D127" s="1953"/>
      <c r="E127" s="1953"/>
      <c r="F127" s="1224" t="s">
        <v>201</v>
      </c>
      <c r="G127" s="1224"/>
      <c r="H127" s="1224"/>
      <c r="I127" s="1224" t="s">
        <v>9285</v>
      </c>
      <c r="J127" s="1225">
        <v>2.91</v>
      </c>
      <c r="K127" s="1224"/>
      <c r="L127" s="1225">
        <v>84979.68</v>
      </c>
      <c r="M127" s="1224"/>
      <c r="N127" s="1226"/>
      <c r="T127" s="1220"/>
      <c r="U127" s="1221"/>
      <c r="V127" s="1221" t="s">
        <v>9284</v>
      </c>
      <c r="AB127" s="1221"/>
    </row>
    <row r="128" spans="1:28" s="1194" customFormat="1" ht="12" x14ac:dyDescent="0.2">
      <c r="A128" s="1227"/>
      <c r="B128" s="1228"/>
      <c r="C128" s="1945" t="s">
        <v>9286</v>
      </c>
      <c r="D128" s="1945"/>
      <c r="E128" s="1945"/>
      <c r="F128" s="1945"/>
      <c r="G128" s="1945"/>
      <c r="H128" s="1945"/>
      <c r="I128" s="1945"/>
      <c r="J128" s="1945"/>
      <c r="K128" s="1945"/>
      <c r="L128" s="1945"/>
      <c r="M128" s="1945"/>
      <c r="N128" s="1954"/>
      <c r="T128" s="1220"/>
      <c r="U128" s="1221"/>
      <c r="V128" s="1221"/>
      <c r="W128" s="1198" t="s">
        <v>9286</v>
      </c>
      <c r="AB128" s="1221"/>
    </row>
    <row r="129" spans="1:28" s="1194" customFormat="1" ht="33.75" x14ac:dyDescent="0.2">
      <c r="A129" s="1222" t="s">
        <v>196</v>
      </c>
      <c r="B129" s="1223" t="s">
        <v>1523</v>
      </c>
      <c r="C129" s="1953" t="s">
        <v>1524</v>
      </c>
      <c r="D129" s="1953"/>
      <c r="E129" s="1953"/>
      <c r="F129" s="1224" t="s">
        <v>1034</v>
      </c>
      <c r="G129" s="1224"/>
      <c r="H129" s="1224"/>
      <c r="I129" s="1224" t="s">
        <v>1525</v>
      </c>
      <c r="J129" s="1225"/>
      <c r="K129" s="1224"/>
      <c r="L129" s="1225"/>
      <c r="M129" s="1224"/>
      <c r="N129" s="1226"/>
      <c r="T129" s="1220"/>
      <c r="U129" s="1221"/>
      <c r="V129" s="1221" t="s">
        <v>1524</v>
      </c>
      <c r="AB129" s="1221"/>
    </row>
    <row r="130" spans="1:28" s="1194" customFormat="1" ht="12" x14ac:dyDescent="0.2">
      <c r="A130" s="1227"/>
      <c r="B130" s="1228"/>
      <c r="C130" s="1945" t="s">
        <v>1526</v>
      </c>
      <c r="D130" s="1945"/>
      <c r="E130" s="1945"/>
      <c r="F130" s="1945"/>
      <c r="G130" s="1945"/>
      <c r="H130" s="1945"/>
      <c r="I130" s="1945"/>
      <c r="J130" s="1945"/>
      <c r="K130" s="1945"/>
      <c r="L130" s="1945"/>
      <c r="M130" s="1945"/>
      <c r="N130" s="1954"/>
      <c r="T130" s="1220"/>
      <c r="U130" s="1221"/>
      <c r="V130" s="1221"/>
      <c r="W130" s="1198" t="s">
        <v>1526</v>
      </c>
      <c r="AB130" s="1221"/>
    </row>
    <row r="131" spans="1:28" s="1194" customFormat="1" ht="33.75" x14ac:dyDescent="0.2">
      <c r="A131" s="1229"/>
      <c r="B131" s="1230" t="s">
        <v>310</v>
      </c>
      <c r="C131" s="1945" t="s">
        <v>311</v>
      </c>
      <c r="D131" s="1945"/>
      <c r="E131" s="1945"/>
      <c r="F131" s="1945"/>
      <c r="G131" s="1945"/>
      <c r="H131" s="1945"/>
      <c r="I131" s="1945"/>
      <c r="J131" s="1945"/>
      <c r="K131" s="1945"/>
      <c r="L131" s="1945"/>
      <c r="M131" s="1945"/>
      <c r="N131" s="1954"/>
      <c r="T131" s="1220"/>
      <c r="U131" s="1221"/>
      <c r="V131" s="1221"/>
      <c r="X131" s="1198" t="s">
        <v>311</v>
      </c>
      <c r="AB131" s="1221"/>
    </row>
    <row r="132" spans="1:28" s="1194" customFormat="1" ht="12" x14ac:dyDescent="0.2">
      <c r="A132" s="1231"/>
      <c r="B132" s="1230" t="s">
        <v>185</v>
      </c>
      <c r="C132" s="1945" t="s">
        <v>312</v>
      </c>
      <c r="D132" s="1945"/>
      <c r="E132" s="1945"/>
      <c r="F132" s="1232"/>
      <c r="G132" s="1232"/>
      <c r="H132" s="1232"/>
      <c r="I132" s="1232"/>
      <c r="J132" s="1233">
        <v>814.08</v>
      </c>
      <c r="K132" s="1232" t="s">
        <v>313</v>
      </c>
      <c r="L132" s="1233">
        <v>384.65</v>
      </c>
      <c r="M132" s="1232"/>
      <c r="N132" s="1234"/>
      <c r="T132" s="1220"/>
      <c r="U132" s="1221"/>
      <c r="V132" s="1221"/>
      <c r="Y132" s="1198" t="s">
        <v>312</v>
      </c>
      <c r="AB132" s="1221"/>
    </row>
    <row r="133" spans="1:28" s="1194" customFormat="1" ht="12" x14ac:dyDescent="0.2">
      <c r="A133" s="1231"/>
      <c r="B133" s="1230" t="s">
        <v>186</v>
      </c>
      <c r="C133" s="1945" t="s">
        <v>344</v>
      </c>
      <c r="D133" s="1945"/>
      <c r="E133" s="1945"/>
      <c r="F133" s="1232"/>
      <c r="G133" s="1232"/>
      <c r="H133" s="1232"/>
      <c r="I133" s="1232"/>
      <c r="J133" s="1233">
        <v>406.45</v>
      </c>
      <c r="K133" s="1232" t="s">
        <v>313</v>
      </c>
      <c r="L133" s="1233">
        <v>192.05</v>
      </c>
      <c r="M133" s="1232"/>
      <c r="N133" s="1234"/>
      <c r="T133" s="1220"/>
      <c r="U133" s="1221"/>
      <c r="V133" s="1221"/>
      <c r="Y133" s="1198" t="s">
        <v>344</v>
      </c>
      <c r="AB133" s="1221"/>
    </row>
    <row r="134" spans="1:28" s="1194" customFormat="1" ht="12" x14ac:dyDescent="0.2">
      <c r="A134" s="1231"/>
      <c r="B134" s="1230" t="s">
        <v>187</v>
      </c>
      <c r="C134" s="1945" t="s">
        <v>345</v>
      </c>
      <c r="D134" s="1945"/>
      <c r="E134" s="1945"/>
      <c r="F134" s="1232"/>
      <c r="G134" s="1232"/>
      <c r="H134" s="1232"/>
      <c r="I134" s="1232"/>
      <c r="J134" s="1233">
        <v>49.15</v>
      </c>
      <c r="K134" s="1232" t="s">
        <v>313</v>
      </c>
      <c r="L134" s="1233">
        <v>23.22</v>
      </c>
      <c r="M134" s="1232"/>
      <c r="N134" s="1234"/>
      <c r="T134" s="1220"/>
      <c r="U134" s="1221"/>
      <c r="V134" s="1221"/>
      <c r="Y134" s="1198" t="s">
        <v>345</v>
      </c>
      <c r="AB134" s="1221"/>
    </row>
    <row r="135" spans="1:28" s="1194" customFormat="1" ht="12" x14ac:dyDescent="0.2">
      <c r="A135" s="1231"/>
      <c r="B135" s="1230"/>
      <c r="C135" s="1945" t="s">
        <v>314</v>
      </c>
      <c r="D135" s="1945"/>
      <c r="E135" s="1945"/>
      <c r="F135" s="1232" t="s">
        <v>315</v>
      </c>
      <c r="G135" s="1232" t="s">
        <v>1527</v>
      </c>
      <c r="H135" s="1232" t="s">
        <v>313</v>
      </c>
      <c r="I135" s="1232" t="s">
        <v>1528</v>
      </c>
      <c r="J135" s="1233"/>
      <c r="K135" s="1232"/>
      <c r="L135" s="1233"/>
      <c r="M135" s="1232"/>
      <c r="N135" s="1234"/>
      <c r="T135" s="1220"/>
      <c r="U135" s="1221"/>
      <c r="V135" s="1221"/>
      <c r="Z135" s="1198" t="s">
        <v>314</v>
      </c>
      <c r="AB135" s="1221"/>
    </row>
    <row r="136" spans="1:28" s="1194" customFormat="1" ht="12" x14ac:dyDescent="0.2">
      <c r="A136" s="1231"/>
      <c r="B136" s="1230"/>
      <c r="C136" s="1945" t="s">
        <v>348</v>
      </c>
      <c r="D136" s="1945"/>
      <c r="E136" s="1945"/>
      <c r="F136" s="1232" t="s">
        <v>315</v>
      </c>
      <c r="G136" s="1232" t="s">
        <v>1529</v>
      </c>
      <c r="H136" s="1232" t="s">
        <v>313</v>
      </c>
      <c r="I136" s="1232" t="s">
        <v>1530</v>
      </c>
      <c r="J136" s="1233"/>
      <c r="K136" s="1232"/>
      <c r="L136" s="1233"/>
      <c r="M136" s="1232"/>
      <c r="N136" s="1234"/>
      <c r="T136" s="1220"/>
      <c r="U136" s="1221"/>
      <c r="V136" s="1221"/>
      <c r="Z136" s="1198" t="s">
        <v>348</v>
      </c>
      <c r="AB136" s="1221"/>
    </row>
    <row r="137" spans="1:28" s="1194" customFormat="1" ht="12" x14ac:dyDescent="0.2">
      <c r="A137" s="1231"/>
      <c r="B137" s="1230"/>
      <c r="C137" s="1962" t="s">
        <v>318</v>
      </c>
      <c r="D137" s="1962"/>
      <c r="E137" s="1962"/>
      <c r="F137" s="1235"/>
      <c r="G137" s="1235"/>
      <c r="H137" s="1235"/>
      <c r="I137" s="1235"/>
      <c r="J137" s="1236">
        <v>1220.53</v>
      </c>
      <c r="K137" s="1235"/>
      <c r="L137" s="1236">
        <v>576.70000000000005</v>
      </c>
      <c r="M137" s="1235"/>
      <c r="N137" s="1237"/>
      <c r="T137" s="1220"/>
      <c r="U137" s="1221"/>
      <c r="V137" s="1221"/>
      <c r="AA137" s="1198" t="s">
        <v>318</v>
      </c>
      <c r="AB137" s="1221"/>
    </row>
    <row r="138" spans="1:28" s="1194" customFormat="1" ht="12" x14ac:dyDescent="0.2">
      <c r="A138" s="1231"/>
      <c r="B138" s="1230"/>
      <c r="C138" s="1945" t="s">
        <v>319</v>
      </c>
      <c r="D138" s="1945"/>
      <c r="E138" s="1945"/>
      <c r="F138" s="1232"/>
      <c r="G138" s="1232"/>
      <c r="H138" s="1232"/>
      <c r="I138" s="1232"/>
      <c r="J138" s="1233"/>
      <c r="K138" s="1232"/>
      <c r="L138" s="1233">
        <v>407.87</v>
      </c>
      <c r="M138" s="1232"/>
      <c r="N138" s="1234"/>
      <c r="T138" s="1220"/>
      <c r="U138" s="1221"/>
      <c r="V138" s="1221"/>
      <c r="Z138" s="1198" t="s">
        <v>319</v>
      </c>
      <c r="AB138" s="1221"/>
    </row>
    <row r="139" spans="1:28" s="1194" customFormat="1" ht="33.75" x14ac:dyDescent="0.2">
      <c r="A139" s="1231"/>
      <c r="B139" s="1230" t="s">
        <v>320</v>
      </c>
      <c r="C139" s="1945" t="s">
        <v>321</v>
      </c>
      <c r="D139" s="1945"/>
      <c r="E139" s="1945"/>
      <c r="F139" s="1232" t="s">
        <v>322</v>
      </c>
      <c r="G139" s="1232" t="s">
        <v>323</v>
      </c>
      <c r="H139" s="1232"/>
      <c r="I139" s="1232" t="s">
        <v>323</v>
      </c>
      <c r="J139" s="1233"/>
      <c r="K139" s="1232"/>
      <c r="L139" s="1233">
        <v>363</v>
      </c>
      <c r="M139" s="1232"/>
      <c r="N139" s="1234"/>
      <c r="T139" s="1220"/>
      <c r="U139" s="1221"/>
      <c r="V139" s="1221"/>
      <c r="Z139" s="1198" t="s">
        <v>321</v>
      </c>
      <c r="AB139" s="1221"/>
    </row>
    <row r="140" spans="1:28" s="1194" customFormat="1" ht="33.75" x14ac:dyDescent="0.2">
      <c r="A140" s="1231"/>
      <c r="B140" s="1230" t="s">
        <v>324</v>
      </c>
      <c r="C140" s="1945" t="s">
        <v>325</v>
      </c>
      <c r="D140" s="1945"/>
      <c r="E140" s="1945"/>
      <c r="F140" s="1232" t="s">
        <v>322</v>
      </c>
      <c r="G140" s="1232" t="s">
        <v>326</v>
      </c>
      <c r="H140" s="1232"/>
      <c r="I140" s="1232" t="s">
        <v>326</v>
      </c>
      <c r="J140" s="1233"/>
      <c r="K140" s="1232"/>
      <c r="L140" s="1233">
        <v>167.23</v>
      </c>
      <c r="M140" s="1232"/>
      <c r="N140" s="1234"/>
      <c r="T140" s="1220"/>
      <c r="U140" s="1221"/>
      <c r="V140" s="1221"/>
      <c r="Z140" s="1198" t="s">
        <v>325</v>
      </c>
      <c r="AB140" s="1221"/>
    </row>
    <row r="141" spans="1:28" s="1194" customFormat="1" ht="12" x14ac:dyDescent="0.2">
      <c r="A141" s="1238"/>
      <c r="B141" s="1239"/>
      <c r="C141" s="1953" t="s">
        <v>327</v>
      </c>
      <c r="D141" s="1953"/>
      <c r="E141" s="1953"/>
      <c r="F141" s="1224"/>
      <c r="G141" s="1224"/>
      <c r="H141" s="1224"/>
      <c r="I141" s="1224"/>
      <c r="J141" s="1225"/>
      <c r="K141" s="1224"/>
      <c r="L141" s="1225">
        <v>1106.93</v>
      </c>
      <c r="M141" s="1235"/>
      <c r="N141" s="1226"/>
      <c r="T141" s="1220"/>
      <c r="U141" s="1221"/>
      <c r="V141" s="1221"/>
      <c r="AB141" s="1221" t="s">
        <v>327</v>
      </c>
    </row>
    <row r="142" spans="1:28" s="1194" customFormat="1" ht="45" x14ac:dyDescent="0.2">
      <c r="A142" s="1222" t="s">
        <v>197</v>
      </c>
      <c r="B142" s="1223" t="s">
        <v>503</v>
      </c>
      <c r="C142" s="1953" t="s">
        <v>504</v>
      </c>
      <c r="D142" s="1953"/>
      <c r="E142" s="1953"/>
      <c r="F142" s="1224" t="s">
        <v>455</v>
      </c>
      <c r="G142" s="1224"/>
      <c r="H142" s="1224"/>
      <c r="I142" s="1224" t="s">
        <v>1177</v>
      </c>
      <c r="J142" s="1225"/>
      <c r="K142" s="1224"/>
      <c r="L142" s="1225"/>
      <c r="M142" s="1224"/>
      <c r="N142" s="1226"/>
      <c r="T142" s="1220"/>
      <c r="U142" s="1221"/>
      <c r="V142" s="1221" t="s">
        <v>504</v>
      </c>
      <c r="AB142" s="1221"/>
    </row>
    <row r="143" spans="1:28" s="1194" customFormat="1" ht="12" x14ac:dyDescent="0.2">
      <c r="A143" s="1227"/>
      <c r="B143" s="1228"/>
      <c r="C143" s="1945" t="s">
        <v>1531</v>
      </c>
      <c r="D143" s="1945"/>
      <c r="E143" s="1945"/>
      <c r="F143" s="1945"/>
      <c r="G143" s="1945"/>
      <c r="H143" s="1945"/>
      <c r="I143" s="1945"/>
      <c r="J143" s="1945"/>
      <c r="K143" s="1945"/>
      <c r="L143" s="1945"/>
      <c r="M143" s="1945"/>
      <c r="N143" s="1954"/>
      <c r="T143" s="1220"/>
      <c r="U143" s="1221"/>
      <c r="V143" s="1221"/>
      <c r="W143" s="1198" t="s">
        <v>1531</v>
      </c>
      <c r="AB143" s="1221"/>
    </row>
    <row r="144" spans="1:28" s="1194" customFormat="1" ht="33.75" x14ac:dyDescent="0.2">
      <c r="A144" s="1229"/>
      <c r="B144" s="1230" t="s">
        <v>310</v>
      </c>
      <c r="C144" s="1945" t="s">
        <v>311</v>
      </c>
      <c r="D144" s="1945"/>
      <c r="E144" s="1945"/>
      <c r="F144" s="1945"/>
      <c r="G144" s="1945"/>
      <c r="H144" s="1945"/>
      <c r="I144" s="1945"/>
      <c r="J144" s="1945"/>
      <c r="K144" s="1945"/>
      <c r="L144" s="1945"/>
      <c r="M144" s="1945"/>
      <c r="N144" s="1954"/>
      <c r="T144" s="1220"/>
      <c r="U144" s="1221"/>
      <c r="V144" s="1221"/>
      <c r="X144" s="1198" t="s">
        <v>311</v>
      </c>
      <c r="AB144" s="1221"/>
    </row>
    <row r="145" spans="1:28" s="1194" customFormat="1" ht="12" x14ac:dyDescent="0.2">
      <c r="A145" s="1231"/>
      <c r="B145" s="1230" t="s">
        <v>186</v>
      </c>
      <c r="C145" s="1945" t="s">
        <v>344</v>
      </c>
      <c r="D145" s="1945"/>
      <c r="E145" s="1945"/>
      <c r="F145" s="1232"/>
      <c r="G145" s="1232"/>
      <c r="H145" s="1232"/>
      <c r="I145" s="1232"/>
      <c r="J145" s="1233">
        <v>3803.91</v>
      </c>
      <c r="K145" s="1232" t="s">
        <v>313</v>
      </c>
      <c r="L145" s="1233">
        <v>427.94</v>
      </c>
      <c r="M145" s="1232"/>
      <c r="N145" s="1234"/>
      <c r="T145" s="1220"/>
      <c r="U145" s="1221"/>
      <c r="V145" s="1221"/>
      <c r="Y145" s="1198" t="s">
        <v>344</v>
      </c>
      <c r="AB145" s="1221"/>
    </row>
    <row r="146" spans="1:28" s="1194" customFormat="1" ht="12" x14ac:dyDescent="0.2">
      <c r="A146" s="1231"/>
      <c r="B146" s="1230" t="s">
        <v>187</v>
      </c>
      <c r="C146" s="1945" t="s">
        <v>345</v>
      </c>
      <c r="D146" s="1945"/>
      <c r="E146" s="1945"/>
      <c r="F146" s="1232"/>
      <c r="G146" s="1232"/>
      <c r="H146" s="1232"/>
      <c r="I146" s="1232"/>
      <c r="J146" s="1233">
        <v>445.5</v>
      </c>
      <c r="K146" s="1232" t="s">
        <v>313</v>
      </c>
      <c r="L146" s="1233">
        <v>50.12</v>
      </c>
      <c r="M146" s="1232"/>
      <c r="N146" s="1234"/>
      <c r="T146" s="1220"/>
      <c r="U146" s="1221"/>
      <c r="V146" s="1221"/>
      <c r="Y146" s="1198" t="s">
        <v>345</v>
      </c>
      <c r="AB146" s="1221"/>
    </row>
    <row r="147" spans="1:28" s="1194" customFormat="1" ht="12" x14ac:dyDescent="0.2">
      <c r="A147" s="1231"/>
      <c r="B147" s="1230"/>
      <c r="C147" s="1945" t="s">
        <v>348</v>
      </c>
      <c r="D147" s="1945"/>
      <c r="E147" s="1945"/>
      <c r="F147" s="1232" t="s">
        <v>315</v>
      </c>
      <c r="G147" s="1232" t="s">
        <v>505</v>
      </c>
      <c r="H147" s="1232" t="s">
        <v>313</v>
      </c>
      <c r="I147" s="1232" t="s">
        <v>1532</v>
      </c>
      <c r="J147" s="1233"/>
      <c r="K147" s="1232"/>
      <c r="L147" s="1233"/>
      <c r="M147" s="1232"/>
      <c r="N147" s="1234"/>
      <c r="T147" s="1220"/>
      <c r="U147" s="1221"/>
      <c r="V147" s="1221"/>
      <c r="Z147" s="1198" t="s">
        <v>348</v>
      </c>
      <c r="AB147" s="1221"/>
    </row>
    <row r="148" spans="1:28" s="1194" customFormat="1" ht="12" x14ac:dyDescent="0.2">
      <c r="A148" s="1231"/>
      <c r="B148" s="1230"/>
      <c r="C148" s="1962" t="s">
        <v>318</v>
      </c>
      <c r="D148" s="1962"/>
      <c r="E148" s="1962"/>
      <c r="F148" s="1235"/>
      <c r="G148" s="1235"/>
      <c r="H148" s="1235"/>
      <c r="I148" s="1235"/>
      <c r="J148" s="1236">
        <v>3803.91</v>
      </c>
      <c r="K148" s="1235"/>
      <c r="L148" s="1236">
        <v>427.94</v>
      </c>
      <c r="M148" s="1235"/>
      <c r="N148" s="1237"/>
      <c r="T148" s="1220"/>
      <c r="U148" s="1221"/>
      <c r="V148" s="1221"/>
      <c r="AA148" s="1198" t="s">
        <v>318</v>
      </c>
      <c r="AB148" s="1221"/>
    </row>
    <row r="149" spans="1:28" s="1194" customFormat="1" ht="12" x14ac:dyDescent="0.2">
      <c r="A149" s="1231"/>
      <c r="B149" s="1230"/>
      <c r="C149" s="1945" t="s">
        <v>319</v>
      </c>
      <c r="D149" s="1945"/>
      <c r="E149" s="1945"/>
      <c r="F149" s="1232"/>
      <c r="G149" s="1232"/>
      <c r="H149" s="1232"/>
      <c r="I149" s="1232"/>
      <c r="J149" s="1233"/>
      <c r="K149" s="1232"/>
      <c r="L149" s="1233">
        <v>50.12</v>
      </c>
      <c r="M149" s="1232"/>
      <c r="N149" s="1234"/>
      <c r="T149" s="1220"/>
      <c r="U149" s="1221"/>
      <c r="V149" s="1221"/>
      <c r="Z149" s="1198" t="s">
        <v>319</v>
      </c>
      <c r="AB149" s="1221"/>
    </row>
    <row r="150" spans="1:28" s="1194" customFormat="1" ht="33.75" x14ac:dyDescent="0.2">
      <c r="A150" s="1231"/>
      <c r="B150" s="1230" t="s">
        <v>460</v>
      </c>
      <c r="C150" s="1945" t="s">
        <v>461</v>
      </c>
      <c r="D150" s="1945"/>
      <c r="E150" s="1945"/>
      <c r="F150" s="1232" t="s">
        <v>322</v>
      </c>
      <c r="G150" s="1232" t="s">
        <v>462</v>
      </c>
      <c r="H150" s="1232"/>
      <c r="I150" s="1232" t="s">
        <v>462</v>
      </c>
      <c r="J150" s="1233"/>
      <c r="K150" s="1232"/>
      <c r="L150" s="1233">
        <v>46.11</v>
      </c>
      <c r="M150" s="1232"/>
      <c r="N150" s="1234"/>
      <c r="T150" s="1220"/>
      <c r="U150" s="1221"/>
      <c r="V150" s="1221"/>
      <c r="Z150" s="1198" t="s">
        <v>461</v>
      </c>
      <c r="AB150" s="1221"/>
    </row>
    <row r="151" spans="1:28" s="1194" customFormat="1" ht="33.75" x14ac:dyDescent="0.2">
      <c r="A151" s="1231"/>
      <c r="B151" s="1230" t="s">
        <v>463</v>
      </c>
      <c r="C151" s="1945" t="s">
        <v>464</v>
      </c>
      <c r="D151" s="1945"/>
      <c r="E151" s="1945"/>
      <c r="F151" s="1232" t="s">
        <v>322</v>
      </c>
      <c r="G151" s="1232" t="s">
        <v>465</v>
      </c>
      <c r="H151" s="1232"/>
      <c r="I151" s="1232" t="s">
        <v>465</v>
      </c>
      <c r="J151" s="1233"/>
      <c r="K151" s="1232"/>
      <c r="L151" s="1233">
        <v>23.06</v>
      </c>
      <c r="M151" s="1232"/>
      <c r="N151" s="1234"/>
      <c r="T151" s="1220"/>
      <c r="U151" s="1221"/>
      <c r="V151" s="1221"/>
      <c r="Z151" s="1198" t="s">
        <v>464</v>
      </c>
      <c r="AB151" s="1221"/>
    </row>
    <row r="152" spans="1:28" s="1194" customFormat="1" ht="12" x14ac:dyDescent="0.2">
      <c r="A152" s="1238"/>
      <c r="B152" s="1239"/>
      <c r="C152" s="1953" t="s">
        <v>327</v>
      </c>
      <c r="D152" s="1953"/>
      <c r="E152" s="1953"/>
      <c r="F152" s="1224"/>
      <c r="G152" s="1224"/>
      <c r="H152" s="1224"/>
      <c r="I152" s="1224"/>
      <c r="J152" s="1225"/>
      <c r="K152" s="1224"/>
      <c r="L152" s="1225">
        <v>497.11</v>
      </c>
      <c r="M152" s="1235"/>
      <c r="N152" s="1226"/>
      <c r="T152" s="1220"/>
      <c r="U152" s="1221"/>
      <c r="V152" s="1221"/>
      <c r="AB152" s="1221" t="s">
        <v>327</v>
      </c>
    </row>
    <row r="153" spans="1:28" s="1194" customFormat="1" ht="22.5" x14ac:dyDescent="0.2">
      <c r="A153" s="1222" t="s">
        <v>198</v>
      </c>
      <c r="B153" s="1223" t="s">
        <v>507</v>
      </c>
      <c r="C153" s="1953" t="s">
        <v>508</v>
      </c>
      <c r="D153" s="1953"/>
      <c r="E153" s="1953"/>
      <c r="F153" s="1224" t="s">
        <v>509</v>
      </c>
      <c r="G153" s="1224"/>
      <c r="H153" s="1224"/>
      <c r="I153" s="1224" t="s">
        <v>1533</v>
      </c>
      <c r="J153" s="1225"/>
      <c r="K153" s="1224"/>
      <c r="L153" s="1225"/>
      <c r="M153" s="1224"/>
      <c r="N153" s="1226"/>
      <c r="T153" s="1220"/>
      <c r="U153" s="1221"/>
      <c r="V153" s="1221" t="s">
        <v>508</v>
      </c>
      <c r="AB153" s="1221"/>
    </row>
    <row r="154" spans="1:28" s="1194" customFormat="1" ht="12" x14ac:dyDescent="0.2">
      <c r="A154" s="1227"/>
      <c r="B154" s="1228"/>
      <c r="C154" s="1945" t="s">
        <v>1534</v>
      </c>
      <c r="D154" s="1945"/>
      <c r="E154" s="1945"/>
      <c r="F154" s="1945"/>
      <c r="G154" s="1945"/>
      <c r="H154" s="1945"/>
      <c r="I154" s="1945"/>
      <c r="J154" s="1945"/>
      <c r="K154" s="1945"/>
      <c r="L154" s="1945"/>
      <c r="M154" s="1945"/>
      <c r="N154" s="1954"/>
      <c r="T154" s="1220"/>
      <c r="U154" s="1221"/>
      <c r="V154" s="1221"/>
      <c r="W154" s="1198" t="s">
        <v>1534</v>
      </c>
      <c r="AB154" s="1221"/>
    </row>
    <row r="155" spans="1:28" s="1194" customFormat="1" ht="33.75" x14ac:dyDescent="0.2">
      <c r="A155" s="1229"/>
      <c r="B155" s="1230" t="s">
        <v>310</v>
      </c>
      <c r="C155" s="1945" t="s">
        <v>311</v>
      </c>
      <c r="D155" s="1945"/>
      <c r="E155" s="1945"/>
      <c r="F155" s="1945"/>
      <c r="G155" s="1945"/>
      <c r="H155" s="1945"/>
      <c r="I155" s="1945"/>
      <c r="J155" s="1945"/>
      <c r="K155" s="1945"/>
      <c r="L155" s="1945"/>
      <c r="M155" s="1945"/>
      <c r="N155" s="1954"/>
      <c r="T155" s="1220"/>
      <c r="U155" s="1221"/>
      <c r="V155" s="1221"/>
      <c r="X155" s="1198" t="s">
        <v>311</v>
      </c>
      <c r="AB155" s="1221"/>
    </row>
    <row r="156" spans="1:28" s="1194" customFormat="1" ht="12" x14ac:dyDescent="0.2">
      <c r="A156" s="1231"/>
      <c r="B156" s="1230" t="s">
        <v>185</v>
      </c>
      <c r="C156" s="1945" t="s">
        <v>312</v>
      </c>
      <c r="D156" s="1945"/>
      <c r="E156" s="1945"/>
      <c r="F156" s="1232"/>
      <c r="G156" s="1232"/>
      <c r="H156" s="1232"/>
      <c r="I156" s="1232"/>
      <c r="J156" s="1233">
        <v>127.61</v>
      </c>
      <c r="K156" s="1232" t="s">
        <v>313</v>
      </c>
      <c r="L156" s="1233">
        <v>143.56</v>
      </c>
      <c r="M156" s="1232"/>
      <c r="N156" s="1234"/>
      <c r="T156" s="1220"/>
      <c r="U156" s="1221"/>
      <c r="V156" s="1221"/>
      <c r="Y156" s="1198" t="s">
        <v>312</v>
      </c>
      <c r="AB156" s="1221"/>
    </row>
    <row r="157" spans="1:28" s="1194" customFormat="1" ht="12" x14ac:dyDescent="0.2">
      <c r="A157" s="1231"/>
      <c r="B157" s="1230" t="s">
        <v>186</v>
      </c>
      <c r="C157" s="1945" t="s">
        <v>344</v>
      </c>
      <c r="D157" s="1945"/>
      <c r="E157" s="1945"/>
      <c r="F157" s="1232"/>
      <c r="G157" s="1232"/>
      <c r="H157" s="1232"/>
      <c r="I157" s="1232"/>
      <c r="J157" s="1233">
        <v>288.58</v>
      </c>
      <c r="K157" s="1232" t="s">
        <v>313</v>
      </c>
      <c r="L157" s="1233">
        <v>324.64999999999998</v>
      </c>
      <c r="M157" s="1232"/>
      <c r="N157" s="1234"/>
      <c r="T157" s="1220"/>
      <c r="U157" s="1221"/>
      <c r="V157" s="1221"/>
      <c r="Y157" s="1198" t="s">
        <v>344</v>
      </c>
      <c r="AB157" s="1221"/>
    </row>
    <row r="158" spans="1:28" s="1194" customFormat="1" ht="12" x14ac:dyDescent="0.2">
      <c r="A158" s="1231"/>
      <c r="B158" s="1230" t="s">
        <v>187</v>
      </c>
      <c r="C158" s="1945" t="s">
        <v>345</v>
      </c>
      <c r="D158" s="1945"/>
      <c r="E158" s="1945"/>
      <c r="F158" s="1232"/>
      <c r="G158" s="1232"/>
      <c r="H158" s="1232"/>
      <c r="I158" s="1232"/>
      <c r="J158" s="1233">
        <v>31.49</v>
      </c>
      <c r="K158" s="1232" t="s">
        <v>313</v>
      </c>
      <c r="L158" s="1233">
        <v>35.43</v>
      </c>
      <c r="M158" s="1232"/>
      <c r="N158" s="1234"/>
      <c r="T158" s="1220"/>
      <c r="U158" s="1221"/>
      <c r="V158" s="1221"/>
      <c r="Y158" s="1198" t="s">
        <v>345</v>
      </c>
      <c r="AB158" s="1221"/>
    </row>
    <row r="159" spans="1:28" s="1194" customFormat="1" ht="12" x14ac:dyDescent="0.2">
      <c r="A159" s="1231"/>
      <c r="B159" s="1230"/>
      <c r="C159" s="1945" t="s">
        <v>314</v>
      </c>
      <c r="D159" s="1945"/>
      <c r="E159" s="1945"/>
      <c r="F159" s="1232" t="s">
        <v>315</v>
      </c>
      <c r="G159" s="1232" t="s">
        <v>512</v>
      </c>
      <c r="H159" s="1232" t="s">
        <v>313</v>
      </c>
      <c r="I159" s="1232" t="s">
        <v>1535</v>
      </c>
      <c r="J159" s="1233"/>
      <c r="K159" s="1232"/>
      <c r="L159" s="1233"/>
      <c r="M159" s="1232"/>
      <c r="N159" s="1234"/>
      <c r="T159" s="1220"/>
      <c r="U159" s="1221"/>
      <c r="V159" s="1221"/>
      <c r="Z159" s="1198" t="s">
        <v>314</v>
      </c>
      <c r="AB159" s="1221"/>
    </row>
    <row r="160" spans="1:28" s="1194" customFormat="1" ht="12" x14ac:dyDescent="0.2">
      <c r="A160" s="1231"/>
      <c r="B160" s="1230"/>
      <c r="C160" s="1945" t="s">
        <v>348</v>
      </c>
      <c r="D160" s="1945"/>
      <c r="E160" s="1945"/>
      <c r="F160" s="1232" t="s">
        <v>315</v>
      </c>
      <c r="G160" s="1232" t="s">
        <v>514</v>
      </c>
      <c r="H160" s="1232" t="s">
        <v>313</v>
      </c>
      <c r="I160" s="1232" t="s">
        <v>1536</v>
      </c>
      <c r="J160" s="1233"/>
      <c r="K160" s="1232"/>
      <c r="L160" s="1233"/>
      <c r="M160" s="1232"/>
      <c r="N160" s="1234"/>
      <c r="T160" s="1220"/>
      <c r="U160" s="1221"/>
      <c r="V160" s="1221"/>
      <c r="Z160" s="1198" t="s">
        <v>348</v>
      </c>
      <c r="AB160" s="1221"/>
    </row>
    <row r="161" spans="1:30" s="1194" customFormat="1" ht="12" x14ac:dyDescent="0.2">
      <c r="A161" s="1231"/>
      <c r="B161" s="1230"/>
      <c r="C161" s="1962" t="s">
        <v>318</v>
      </c>
      <c r="D161" s="1962"/>
      <c r="E161" s="1962"/>
      <c r="F161" s="1235"/>
      <c r="G161" s="1235"/>
      <c r="H161" s="1235"/>
      <c r="I161" s="1235"/>
      <c r="J161" s="1236">
        <v>416.19</v>
      </c>
      <c r="K161" s="1235"/>
      <c r="L161" s="1236">
        <v>468.21</v>
      </c>
      <c r="M161" s="1235"/>
      <c r="N161" s="1237"/>
      <c r="T161" s="1220"/>
      <c r="U161" s="1221"/>
      <c r="V161" s="1221"/>
      <c r="AA161" s="1198" t="s">
        <v>318</v>
      </c>
      <c r="AB161" s="1221"/>
    </row>
    <row r="162" spans="1:30" s="1194" customFormat="1" ht="12" x14ac:dyDescent="0.2">
      <c r="A162" s="1231"/>
      <c r="B162" s="1230"/>
      <c r="C162" s="1945" t="s">
        <v>319</v>
      </c>
      <c r="D162" s="1945"/>
      <c r="E162" s="1945"/>
      <c r="F162" s="1232"/>
      <c r="G162" s="1232"/>
      <c r="H162" s="1232"/>
      <c r="I162" s="1232"/>
      <c r="J162" s="1233"/>
      <c r="K162" s="1232"/>
      <c r="L162" s="1233">
        <v>178.99</v>
      </c>
      <c r="M162" s="1232"/>
      <c r="N162" s="1234"/>
      <c r="T162" s="1220"/>
      <c r="U162" s="1221"/>
      <c r="V162" s="1221"/>
      <c r="Z162" s="1198" t="s">
        <v>319</v>
      </c>
      <c r="AB162" s="1221"/>
    </row>
    <row r="163" spans="1:30" s="1194" customFormat="1" ht="33.75" x14ac:dyDescent="0.2">
      <c r="A163" s="1231"/>
      <c r="B163" s="1230" t="s">
        <v>460</v>
      </c>
      <c r="C163" s="1945" t="s">
        <v>461</v>
      </c>
      <c r="D163" s="1945"/>
      <c r="E163" s="1945"/>
      <c r="F163" s="1232" t="s">
        <v>322</v>
      </c>
      <c r="G163" s="1232" t="s">
        <v>462</v>
      </c>
      <c r="H163" s="1232"/>
      <c r="I163" s="1232" t="s">
        <v>462</v>
      </c>
      <c r="J163" s="1233"/>
      <c r="K163" s="1232"/>
      <c r="L163" s="1233">
        <v>164.67</v>
      </c>
      <c r="M163" s="1232"/>
      <c r="N163" s="1234"/>
      <c r="T163" s="1220"/>
      <c r="U163" s="1221"/>
      <c r="V163" s="1221"/>
      <c r="Z163" s="1198" t="s">
        <v>461</v>
      </c>
      <c r="AB163" s="1221"/>
    </row>
    <row r="164" spans="1:30" s="1194" customFormat="1" ht="33.75" x14ac:dyDescent="0.2">
      <c r="A164" s="1231"/>
      <c r="B164" s="1230" t="s">
        <v>463</v>
      </c>
      <c r="C164" s="1945" t="s">
        <v>464</v>
      </c>
      <c r="D164" s="1945"/>
      <c r="E164" s="1945"/>
      <c r="F164" s="1232" t="s">
        <v>322</v>
      </c>
      <c r="G164" s="1232" t="s">
        <v>465</v>
      </c>
      <c r="H164" s="1232"/>
      <c r="I164" s="1232" t="s">
        <v>465</v>
      </c>
      <c r="J164" s="1233"/>
      <c r="K164" s="1232"/>
      <c r="L164" s="1233">
        <v>82.34</v>
      </c>
      <c r="M164" s="1232"/>
      <c r="N164" s="1234"/>
      <c r="T164" s="1220"/>
      <c r="U164" s="1221"/>
      <c r="V164" s="1221"/>
      <c r="Z164" s="1198" t="s">
        <v>464</v>
      </c>
      <c r="AB164" s="1221"/>
    </row>
    <row r="165" spans="1:30" s="1194" customFormat="1" ht="12" x14ac:dyDescent="0.2">
      <c r="A165" s="1238"/>
      <c r="B165" s="1239"/>
      <c r="C165" s="1953" t="s">
        <v>327</v>
      </c>
      <c r="D165" s="1953"/>
      <c r="E165" s="1953"/>
      <c r="F165" s="1224"/>
      <c r="G165" s="1224"/>
      <c r="H165" s="1224"/>
      <c r="I165" s="1224"/>
      <c r="J165" s="1225"/>
      <c r="K165" s="1224"/>
      <c r="L165" s="1225">
        <v>715.22</v>
      </c>
      <c r="M165" s="1235"/>
      <c r="N165" s="1226"/>
      <c r="T165" s="1220"/>
      <c r="U165" s="1221"/>
      <c r="V165" s="1221"/>
      <c r="AB165" s="1221" t="s">
        <v>327</v>
      </c>
    </row>
    <row r="166" spans="1:30" s="1194" customFormat="1" ht="1.5" customHeight="1" x14ac:dyDescent="0.2">
      <c r="A166" s="1241"/>
      <c r="B166" s="1239"/>
      <c r="C166" s="1239"/>
      <c r="D166" s="1239"/>
      <c r="E166" s="1239"/>
      <c r="F166" s="1241"/>
      <c r="G166" s="1241"/>
      <c r="H166" s="1241"/>
      <c r="I166" s="1241"/>
      <c r="J166" s="1245"/>
      <c r="K166" s="1241"/>
      <c r="L166" s="1245"/>
      <c r="M166" s="1232"/>
      <c r="N166" s="1245"/>
      <c r="T166" s="1220"/>
      <c r="U166" s="1221"/>
      <c r="V166" s="1221"/>
      <c r="AB166" s="1221"/>
    </row>
    <row r="167" spans="1:30" s="1194" customFormat="1" ht="12" x14ac:dyDescent="0.2">
      <c r="A167" s="1246"/>
      <c r="B167" s="1247"/>
      <c r="C167" s="1953" t="s">
        <v>1021</v>
      </c>
      <c r="D167" s="1953"/>
      <c r="E167" s="1953"/>
      <c r="F167" s="1953"/>
      <c r="G167" s="1953"/>
      <c r="H167" s="1953"/>
      <c r="I167" s="1953"/>
      <c r="J167" s="1953"/>
      <c r="K167" s="1953"/>
      <c r="L167" s="1248"/>
      <c r="M167" s="1249"/>
      <c r="N167" s="1250"/>
      <c r="T167" s="1220"/>
      <c r="U167" s="1221"/>
      <c r="V167" s="1221"/>
      <c r="AB167" s="1221"/>
      <c r="AC167" s="1221" t="s">
        <v>1021</v>
      </c>
    </row>
    <row r="168" spans="1:30" s="1194" customFormat="1" ht="12" x14ac:dyDescent="0.2">
      <c r="A168" s="1251"/>
      <c r="B168" s="1230"/>
      <c r="C168" s="1945" t="s">
        <v>403</v>
      </c>
      <c r="D168" s="1945"/>
      <c r="E168" s="1945"/>
      <c r="F168" s="1945"/>
      <c r="G168" s="1945"/>
      <c r="H168" s="1945"/>
      <c r="I168" s="1945"/>
      <c r="J168" s="1945"/>
      <c r="K168" s="1945"/>
      <c r="L168" s="1252">
        <v>574340.38</v>
      </c>
      <c r="M168" s="1253"/>
      <c r="N168" s="1254"/>
      <c r="T168" s="1220"/>
      <c r="U168" s="1221"/>
      <c r="V168" s="1221"/>
      <c r="AB168" s="1221"/>
      <c r="AC168" s="1221"/>
      <c r="AD168" s="1198" t="s">
        <v>403</v>
      </c>
    </row>
    <row r="169" spans="1:30" s="1194" customFormat="1" ht="12" x14ac:dyDescent="0.2">
      <c r="A169" s="1251"/>
      <c r="B169" s="1230"/>
      <c r="C169" s="1945" t="s">
        <v>8993</v>
      </c>
      <c r="D169" s="1945"/>
      <c r="E169" s="1945"/>
      <c r="F169" s="1945"/>
      <c r="G169" s="1945"/>
      <c r="H169" s="1945"/>
      <c r="I169" s="1945"/>
      <c r="J169" s="1945"/>
      <c r="K169" s="1945"/>
      <c r="L169" s="1252"/>
      <c r="M169" s="1253"/>
      <c r="N169" s="1254"/>
      <c r="T169" s="1220"/>
      <c r="U169" s="1221"/>
      <c r="V169" s="1221"/>
      <c r="AB169" s="1221"/>
      <c r="AC169" s="1221"/>
      <c r="AD169" s="1198" t="s">
        <v>8993</v>
      </c>
    </row>
    <row r="170" spans="1:30" s="1194" customFormat="1" ht="12" x14ac:dyDescent="0.2">
      <c r="A170" s="1251"/>
      <c r="B170" s="1230"/>
      <c r="C170" s="1945" t="s">
        <v>404</v>
      </c>
      <c r="D170" s="1945"/>
      <c r="E170" s="1945"/>
      <c r="F170" s="1945"/>
      <c r="G170" s="1945"/>
      <c r="H170" s="1945"/>
      <c r="I170" s="1945"/>
      <c r="J170" s="1945"/>
      <c r="K170" s="1945"/>
      <c r="L170" s="1252">
        <v>5629.9</v>
      </c>
      <c r="M170" s="1253"/>
      <c r="N170" s="1254"/>
      <c r="T170" s="1220"/>
      <c r="U170" s="1221"/>
      <c r="V170" s="1221"/>
      <c r="AB170" s="1221"/>
      <c r="AC170" s="1221"/>
      <c r="AD170" s="1198" t="s">
        <v>404</v>
      </c>
    </row>
    <row r="171" spans="1:30" s="1194" customFormat="1" ht="12" x14ac:dyDescent="0.2">
      <c r="A171" s="1251"/>
      <c r="B171" s="1230"/>
      <c r="C171" s="1945" t="s">
        <v>405</v>
      </c>
      <c r="D171" s="1945"/>
      <c r="E171" s="1945"/>
      <c r="F171" s="1945"/>
      <c r="G171" s="1945"/>
      <c r="H171" s="1945"/>
      <c r="I171" s="1945"/>
      <c r="J171" s="1945"/>
      <c r="K171" s="1945"/>
      <c r="L171" s="1252">
        <v>270671.35999999999</v>
      </c>
      <c r="M171" s="1253"/>
      <c r="N171" s="1254"/>
      <c r="T171" s="1220"/>
      <c r="U171" s="1221"/>
      <c r="V171" s="1221"/>
      <c r="AB171" s="1221"/>
      <c r="AC171" s="1221"/>
      <c r="AD171" s="1198" t="s">
        <v>405</v>
      </c>
    </row>
    <row r="172" spans="1:30" s="1194" customFormat="1" ht="12" x14ac:dyDescent="0.2">
      <c r="A172" s="1251"/>
      <c r="B172" s="1230"/>
      <c r="C172" s="1945" t="s">
        <v>8994</v>
      </c>
      <c r="D172" s="1945"/>
      <c r="E172" s="1945"/>
      <c r="F172" s="1945"/>
      <c r="G172" s="1945"/>
      <c r="H172" s="1945"/>
      <c r="I172" s="1945"/>
      <c r="J172" s="1945"/>
      <c r="K172" s="1945"/>
      <c r="L172" s="1252">
        <v>19792.66</v>
      </c>
      <c r="M172" s="1253"/>
      <c r="N172" s="1254"/>
      <c r="T172" s="1220"/>
      <c r="U172" s="1221"/>
      <c r="V172" s="1221"/>
      <c r="AB172" s="1221"/>
      <c r="AC172" s="1221"/>
      <c r="AD172" s="1198" t="s">
        <v>8994</v>
      </c>
    </row>
    <row r="173" spans="1:30" s="1194" customFormat="1" ht="12" x14ac:dyDescent="0.2">
      <c r="A173" s="1251"/>
      <c r="B173" s="1230"/>
      <c r="C173" s="1945" t="s">
        <v>480</v>
      </c>
      <c r="D173" s="1945"/>
      <c r="E173" s="1945"/>
      <c r="F173" s="1945"/>
      <c r="G173" s="1945"/>
      <c r="H173" s="1945"/>
      <c r="I173" s="1945"/>
      <c r="J173" s="1945"/>
      <c r="K173" s="1945"/>
      <c r="L173" s="1252">
        <v>298039.12</v>
      </c>
      <c r="M173" s="1253"/>
      <c r="N173" s="1254"/>
      <c r="T173" s="1220"/>
      <c r="U173" s="1221"/>
      <c r="V173" s="1221"/>
      <c r="AB173" s="1221"/>
      <c r="AC173" s="1221"/>
      <c r="AD173" s="1198" t="s">
        <v>480</v>
      </c>
    </row>
    <row r="174" spans="1:30" s="1194" customFormat="1" ht="12" x14ac:dyDescent="0.2">
      <c r="A174" s="1251"/>
      <c r="B174" s="1230"/>
      <c r="C174" s="1945" t="s">
        <v>407</v>
      </c>
      <c r="D174" s="1945"/>
      <c r="E174" s="1945"/>
      <c r="F174" s="1945"/>
      <c r="G174" s="1945"/>
      <c r="H174" s="1945"/>
      <c r="I174" s="1945"/>
      <c r="J174" s="1945"/>
      <c r="K174" s="1945"/>
      <c r="L174" s="1252">
        <v>609322.02</v>
      </c>
      <c r="M174" s="1253"/>
      <c r="N174" s="1254"/>
      <c r="T174" s="1220"/>
      <c r="U174" s="1221"/>
      <c r="V174" s="1221"/>
      <c r="AB174" s="1221"/>
      <c r="AC174" s="1221"/>
      <c r="AD174" s="1198" t="s">
        <v>407</v>
      </c>
    </row>
    <row r="175" spans="1:30" s="1194" customFormat="1" ht="12" x14ac:dyDescent="0.2">
      <c r="A175" s="1251"/>
      <c r="B175" s="1230"/>
      <c r="C175" s="1945" t="s">
        <v>408</v>
      </c>
      <c r="D175" s="1945"/>
      <c r="E175" s="1945"/>
      <c r="F175" s="1945"/>
      <c r="G175" s="1945"/>
      <c r="H175" s="1945"/>
      <c r="I175" s="1945"/>
      <c r="J175" s="1945"/>
      <c r="K175" s="1945"/>
      <c r="L175" s="1252">
        <v>497904.99</v>
      </c>
      <c r="M175" s="1253"/>
      <c r="N175" s="1254"/>
      <c r="T175" s="1220"/>
      <c r="U175" s="1221"/>
      <c r="V175" s="1221"/>
      <c r="AB175" s="1221"/>
      <c r="AC175" s="1221"/>
      <c r="AD175" s="1198" t="s">
        <v>408</v>
      </c>
    </row>
    <row r="176" spans="1:30" s="1194" customFormat="1" ht="12" x14ac:dyDescent="0.2">
      <c r="A176" s="1251"/>
      <c r="B176" s="1230"/>
      <c r="C176" s="1945" t="s">
        <v>9128</v>
      </c>
      <c r="D176" s="1945"/>
      <c r="E176" s="1945"/>
      <c r="F176" s="1945"/>
      <c r="G176" s="1945"/>
      <c r="H176" s="1945"/>
      <c r="I176" s="1945"/>
      <c r="J176" s="1945"/>
      <c r="K176" s="1945"/>
      <c r="L176" s="1252"/>
      <c r="M176" s="1253"/>
      <c r="N176" s="1254"/>
      <c r="T176" s="1220"/>
      <c r="U176" s="1221"/>
      <c r="V176" s="1221"/>
      <c r="AB176" s="1221"/>
      <c r="AC176" s="1221"/>
      <c r="AD176" s="1198" t="s">
        <v>9128</v>
      </c>
    </row>
    <row r="177" spans="1:31" s="1194" customFormat="1" ht="12" x14ac:dyDescent="0.2">
      <c r="A177" s="1251"/>
      <c r="B177" s="1230"/>
      <c r="C177" s="1945" t="s">
        <v>410</v>
      </c>
      <c r="D177" s="1945"/>
      <c r="E177" s="1945"/>
      <c r="F177" s="1945"/>
      <c r="G177" s="1945"/>
      <c r="H177" s="1945"/>
      <c r="I177" s="1945"/>
      <c r="J177" s="1945"/>
      <c r="K177" s="1945"/>
      <c r="L177" s="1252">
        <v>5629.9</v>
      </c>
      <c r="M177" s="1253"/>
      <c r="N177" s="1254"/>
      <c r="T177" s="1220"/>
      <c r="U177" s="1221"/>
      <c r="V177" s="1221"/>
      <c r="AB177" s="1221"/>
      <c r="AC177" s="1221"/>
      <c r="AD177" s="1198" t="s">
        <v>410</v>
      </c>
    </row>
    <row r="178" spans="1:31" s="1194" customFormat="1" ht="12" x14ac:dyDescent="0.2">
      <c r="A178" s="1251"/>
      <c r="B178" s="1230"/>
      <c r="C178" s="1945" t="s">
        <v>411</v>
      </c>
      <c r="D178" s="1945"/>
      <c r="E178" s="1945"/>
      <c r="F178" s="1945"/>
      <c r="G178" s="1945"/>
      <c r="H178" s="1945"/>
      <c r="I178" s="1945"/>
      <c r="J178" s="1945"/>
      <c r="K178" s="1945"/>
      <c r="L178" s="1252">
        <v>159254.32999999999</v>
      </c>
      <c r="M178" s="1253"/>
      <c r="N178" s="1254"/>
      <c r="T178" s="1220"/>
      <c r="U178" s="1221"/>
      <c r="V178" s="1221"/>
      <c r="AB178" s="1221"/>
      <c r="AC178" s="1221"/>
      <c r="AD178" s="1198" t="s">
        <v>411</v>
      </c>
    </row>
    <row r="179" spans="1:31" s="1194" customFormat="1" ht="12" x14ac:dyDescent="0.2">
      <c r="A179" s="1251"/>
      <c r="B179" s="1230"/>
      <c r="C179" s="1945" t="s">
        <v>9129</v>
      </c>
      <c r="D179" s="1945"/>
      <c r="E179" s="1945"/>
      <c r="F179" s="1945"/>
      <c r="G179" s="1945"/>
      <c r="H179" s="1945"/>
      <c r="I179" s="1945"/>
      <c r="J179" s="1945"/>
      <c r="K179" s="1945"/>
      <c r="L179" s="1252">
        <v>19792.66</v>
      </c>
      <c r="M179" s="1253"/>
      <c r="N179" s="1254"/>
      <c r="T179" s="1220"/>
      <c r="U179" s="1221"/>
      <c r="V179" s="1221"/>
      <c r="AB179" s="1221"/>
      <c r="AC179" s="1221"/>
      <c r="AD179" s="1198" t="s">
        <v>9129</v>
      </c>
    </row>
    <row r="180" spans="1:31" s="1194" customFormat="1" ht="12" x14ac:dyDescent="0.2">
      <c r="A180" s="1251"/>
      <c r="B180" s="1230"/>
      <c r="C180" s="1945" t="s">
        <v>481</v>
      </c>
      <c r="D180" s="1945"/>
      <c r="E180" s="1945"/>
      <c r="F180" s="1945"/>
      <c r="G180" s="1945"/>
      <c r="H180" s="1945"/>
      <c r="I180" s="1945"/>
      <c r="J180" s="1945"/>
      <c r="K180" s="1945"/>
      <c r="L180" s="1252">
        <v>298039.12</v>
      </c>
      <c r="M180" s="1253"/>
      <c r="N180" s="1254"/>
      <c r="T180" s="1220"/>
      <c r="U180" s="1221"/>
      <c r="V180" s="1221"/>
      <c r="AB180" s="1221"/>
      <c r="AC180" s="1221"/>
      <c r="AD180" s="1198" t="s">
        <v>481</v>
      </c>
    </row>
    <row r="181" spans="1:31" s="1194" customFormat="1" ht="12" x14ac:dyDescent="0.2">
      <c r="A181" s="1251"/>
      <c r="B181" s="1230"/>
      <c r="C181" s="1945" t="s">
        <v>412</v>
      </c>
      <c r="D181" s="1945"/>
      <c r="E181" s="1945"/>
      <c r="F181" s="1945"/>
      <c r="G181" s="1945"/>
      <c r="H181" s="1945"/>
      <c r="I181" s="1945"/>
      <c r="J181" s="1945"/>
      <c r="K181" s="1945"/>
      <c r="L181" s="1252">
        <v>23353.55</v>
      </c>
      <c r="M181" s="1253"/>
      <c r="N181" s="1254"/>
      <c r="T181" s="1220"/>
      <c r="U181" s="1221"/>
      <c r="V181" s="1221"/>
      <c r="AB181" s="1221"/>
      <c r="AC181" s="1221"/>
      <c r="AD181" s="1198" t="s">
        <v>412</v>
      </c>
    </row>
    <row r="182" spans="1:31" s="1194" customFormat="1" ht="12" x14ac:dyDescent="0.2">
      <c r="A182" s="1251"/>
      <c r="B182" s="1230"/>
      <c r="C182" s="1945" t="s">
        <v>413</v>
      </c>
      <c r="D182" s="1945"/>
      <c r="E182" s="1945"/>
      <c r="F182" s="1945"/>
      <c r="G182" s="1945"/>
      <c r="H182" s="1945"/>
      <c r="I182" s="1945"/>
      <c r="J182" s="1945"/>
      <c r="K182" s="1945"/>
      <c r="L182" s="1252">
        <v>11628.09</v>
      </c>
      <c r="M182" s="1253"/>
      <c r="N182" s="1254"/>
      <c r="T182" s="1220"/>
      <c r="U182" s="1221"/>
      <c r="V182" s="1221"/>
      <c r="AB182" s="1221"/>
      <c r="AC182" s="1221"/>
      <c r="AD182" s="1198" t="s">
        <v>413</v>
      </c>
    </row>
    <row r="183" spans="1:31" s="1194" customFormat="1" ht="12" x14ac:dyDescent="0.2">
      <c r="A183" s="1251"/>
      <c r="B183" s="1230"/>
      <c r="C183" s="1945" t="s">
        <v>9287</v>
      </c>
      <c r="D183" s="1945"/>
      <c r="E183" s="1945"/>
      <c r="F183" s="1945"/>
      <c r="G183" s="1945"/>
      <c r="H183" s="1945"/>
      <c r="I183" s="1945"/>
      <c r="J183" s="1945"/>
      <c r="K183" s="1945"/>
      <c r="L183" s="1252">
        <v>111417.03</v>
      </c>
      <c r="M183" s="1253"/>
      <c r="N183" s="1254"/>
      <c r="T183" s="1220"/>
      <c r="U183" s="1221"/>
      <c r="V183" s="1221"/>
      <c r="AB183" s="1221"/>
      <c r="AC183" s="1221"/>
      <c r="AD183" s="1198" t="s">
        <v>9287</v>
      </c>
    </row>
    <row r="184" spans="1:31" s="1194" customFormat="1" ht="12" x14ac:dyDescent="0.2">
      <c r="A184" s="1251"/>
      <c r="B184" s="1230"/>
      <c r="C184" s="1945" t="s">
        <v>415</v>
      </c>
      <c r="D184" s="1945"/>
      <c r="E184" s="1945"/>
      <c r="F184" s="1945"/>
      <c r="G184" s="1945"/>
      <c r="H184" s="1945"/>
      <c r="I184" s="1945"/>
      <c r="J184" s="1945"/>
      <c r="K184" s="1945"/>
      <c r="L184" s="1252">
        <v>25422.560000000001</v>
      </c>
      <c r="M184" s="1253"/>
      <c r="N184" s="1254"/>
      <c r="T184" s="1220"/>
      <c r="U184" s="1221"/>
      <c r="V184" s="1221"/>
      <c r="AB184" s="1221"/>
      <c r="AC184" s="1221"/>
      <c r="AD184" s="1198" t="s">
        <v>415</v>
      </c>
    </row>
    <row r="185" spans="1:31" s="1194" customFormat="1" ht="12" x14ac:dyDescent="0.2">
      <c r="A185" s="1251"/>
      <c r="B185" s="1230"/>
      <c r="C185" s="1945" t="s">
        <v>416</v>
      </c>
      <c r="D185" s="1945"/>
      <c r="E185" s="1945"/>
      <c r="F185" s="1945"/>
      <c r="G185" s="1945"/>
      <c r="H185" s="1945"/>
      <c r="I185" s="1945"/>
      <c r="J185" s="1945"/>
      <c r="K185" s="1945"/>
      <c r="L185" s="1252">
        <v>23353.55</v>
      </c>
      <c r="M185" s="1253"/>
      <c r="N185" s="1254"/>
      <c r="T185" s="1220"/>
      <c r="U185" s="1221"/>
      <c r="V185" s="1221"/>
      <c r="AB185" s="1221"/>
      <c r="AC185" s="1221"/>
      <c r="AD185" s="1198" t="s">
        <v>416</v>
      </c>
    </row>
    <row r="186" spans="1:31" s="1194" customFormat="1" ht="12" x14ac:dyDescent="0.2">
      <c r="A186" s="1251"/>
      <c r="B186" s="1230"/>
      <c r="C186" s="1945" t="s">
        <v>417</v>
      </c>
      <c r="D186" s="1945"/>
      <c r="E186" s="1945"/>
      <c r="F186" s="1945"/>
      <c r="G186" s="1945"/>
      <c r="H186" s="1945"/>
      <c r="I186" s="1945"/>
      <c r="J186" s="1945"/>
      <c r="K186" s="1945"/>
      <c r="L186" s="1252">
        <v>11628.09</v>
      </c>
      <c r="M186" s="1253"/>
      <c r="N186" s="1254"/>
      <c r="T186" s="1220"/>
      <c r="U186" s="1221"/>
      <c r="V186" s="1221"/>
      <c r="AB186" s="1221"/>
      <c r="AC186" s="1221"/>
      <c r="AD186" s="1198" t="s">
        <v>417</v>
      </c>
    </row>
    <row r="187" spans="1:31" s="1194" customFormat="1" ht="12" x14ac:dyDescent="0.2">
      <c r="A187" s="1251"/>
      <c r="B187" s="1245"/>
      <c r="C187" s="1963" t="s">
        <v>1022</v>
      </c>
      <c r="D187" s="1963"/>
      <c r="E187" s="1963"/>
      <c r="F187" s="1963"/>
      <c r="G187" s="1963"/>
      <c r="H187" s="1963"/>
      <c r="I187" s="1963"/>
      <c r="J187" s="1963"/>
      <c r="K187" s="1963"/>
      <c r="L187" s="1255">
        <v>609322.02</v>
      </c>
      <c r="M187" s="1256"/>
      <c r="N187" s="1257"/>
      <c r="T187" s="1220"/>
      <c r="U187" s="1221"/>
      <c r="V187" s="1221"/>
      <c r="AB187" s="1221"/>
      <c r="AC187" s="1221"/>
      <c r="AE187" s="1221" t="s">
        <v>1022</v>
      </c>
    </row>
    <row r="188" spans="1:31" s="1194" customFormat="1" ht="12" x14ac:dyDescent="0.2">
      <c r="A188" s="1956" t="s">
        <v>9288</v>
      </c>
      <c r="B188" s="1957"/>
      <c r="C188" s="1957"/>
      <c r="D188" s="1957"/>
      <c r="E188" s="1957"/>
      <c r="F188" s="1957"/>
      <c r="G188" s="1957"/>
      <c r="H188" s="1957"/>
      <c r="I188" s="1957"/>
      <c r="J188" s="1957"/>
      <c r="K188" s="1957"/>
      <c r="L188" s="1957"/>
      <c r="M188" s="1957"/>
      <c r="N188" s="1958"/>
      <c r="T188" s="1220" t="s">
        <v>9288</v>
      </c>
      <c r="U188" s="1221"/>
      <c r="V188" s="1221"/>
      <c r="AB188" s="1221"/>
      <c r="AC188" s="1221"/>
      <c r="AE188" s="1221"/>
    </row>
    <row r="189" spans="1:31" s="1194" customFormat="1" ht="22.5" x14ac:dyDescent="0.2">
      <c r="A189" s="1222" t="s">
        <v>199</v>
      </c>
      <c r="B189" s="1223" t="s">
        <v>9289</v>
      </c>
      <c r="C189" s="1953" t="s">
        <v>9290</v>
      </c>
      <c r="D189" s="1953"/>
      <c r="E189" s="1953"/>
      <c r="F189" s="1224" t="s">
        <v>1034</v>
      </c>
      <c r="G189" s="1224"/>
      <c r="H189" s="1224"/>
      <c r="I189" s="1224" t="s">
        <v>9291</v>
      </c>
      <c r="J189" s="1225"/>
      <c r="K189" s="1224"/>
      <c r="L189" s="1225"/>
      <c r="M189" s="1224"/>
      <c r="N189" s="1226"/>
      <c r="T189" s="1220"/>
      <c r="U189" s="1221"/>
      <c r="V189" s="1221" t="s">
        <v>9290</v>
      </c>
      <c r="AB189" s="1221"/>
      <c r="AC189" s="1221"/>
      <c r="AE189" s="1221"/>
    </row>
    <row r="190" spans="1:31" s="1194" customFormat="1" ht="12" x14ac:dyDescent="0.2">
      <c r="A190" s="1227"/>
      <c r="B190" s="1228"/>
      <c r="C190" s="1945" t="s">
        <v>9292</v>
      </c>
      <c r="D190" s="1945"/>
      <c r="E190" s="1945"/>
      <c r="F190" s="1945"/>
      <c r="G190" s="1945"/>
      <c r="H190" s="1945"/>
      <c r="I190" s="1945"/>
      <c r="J190" s="1945"/>
      <c r="K190" s="1945"/>
      <c r="L190" s="1945"/>
      <c r="M190" s="1945"/>
      <c r="N190" s="1954"/>
      <c r="T190" s="1220"/>
      <c r="U190" s="1221"/>
      <c r="V190" s="1221"/>
      <c r="W190" s="1198" t="s">
        <v>9292</v>
      </c>
      <c r="AB190" s="1221"/>
      <c r="AC190" s="1221"/>
      <c r="AE190" s="1221"/>
    </row>
    <row r="191" spans="1:31" s="1194" customFormat="1" ht="33.75" x14ac:dyDescent="0.2">
      <c r="A191" s="1229"/>
      <c r="B191" s="1230" t="s">
        <v>310</v>
      </c>
      <c r="C191" s="1945" t="s">
        <v>311</v>
      </c>
      <c r="D191" s="1945"/>
      <c r="E191" s="1945"/>
      <c r="F191" s="1945"/>
      <c r="G191" s="1945"/>
      <c r="H191" s="1945"/>
      <c r="I191" s="1945"/>
      <c r="J191" s="1945"/>
      <c r="K191" s="1945"/>
      <c r="L191" s="1945"/>
      <c r="M191" s="1945"/>
      <c r="N191" s="1954"/>
      <c r="T191" s="1220"/>
      <c r="U191" s="1221"/>
      <c r="V191" s="1221"/>
      <c r="X191" s="1198" t="s">
        <v>311</v>
      </c>
      <c r="AB191" s="1221"/>
      <c r="AC191" s="1221"/>
      <c r="AE191" s="1221"/>
    </row>
    <row r="192" spans="1:31" s="1194" customFormat="1" ht="12" x14ac:dyDescent="0.2">
      <c r="A192" s="1231"/>
      <c r="B192" s="1230" t="s">
        <v>186</v>
      </c>
      <c r="C192" s="1945" t="s">
        <v>344</v>
      </c>
      <c r="D192" s="1945"/>
      <c r="E192" s="1945"/>
      <c r="F192" s="1232"/>
      <c r="G192" s="1232"/>
      <c r="H192" s="1232"/>
      <c r="I192" s="1232"/>
      <c r="J192" s="1233">
        <v>22.57</v>
      </c>
      <c r="K192" s="1232" t="s">
        <v>313</v>
      </c>
      <c r="L192" s="1233">
        <v>16.079999999999998</v>
      </c>
      <c r="M192" s="1232"/>
      <c r="N192" s="1234"/>
      <c r="T192" s="1220"/>
      <c r="U192" s="1221"/>
      <c r="V192" s="1221"/>
      <c r="Y192" s="1198" t="s">
        <v>344</v>
      </c>
      <c r="AB192" s="1221"/>
      <c r="AC192" s="1221"/>
      <c r="AE192" s="1221"/>
    </row>
    <row r="193" spans="1:32" s="1194" customFormat="1" ht="12" x14ac:dyDescent="0.2">
      <c r="A193" s="1231"/>
      <c r="B193" s="1230" t="s">
        <v>187</v>
      </c>
      <c r="C193" s="1945" t="s">
        <v>345</v>
      </c>
      <c r="D193" s="1945"/>
      <c r="E193" s="1945"/>
      <c r="F193" s="1232"/>
      <c r="G193" s="1232"/>
      <c r="H193" s="1232"/>
      <c r="I193" s="1232"/>
      <c r="J193" s="1233">
        <v>2.2999999999999998</v>
      </c>
      <c r="K193" s="1232" t="s">
        <v>313</v>
      </c>
      <c r="L193" s="1233">
        <v>1.64</v>
      </c>
      <c r="M193" s="1232"/>
      <c r="N193" s="1234"/>
      <c r="T193" s="1220"/>
      <c r="U193" s="1221"/>
      <c r="V193" s="1221"/>
      <c r="Y193" s="1198" t="s">
        <v>345</v>
      </c>
      <c r="AB193" s="1221"/>
      <c r="AC193" s="1221"/>
      <c r="AE193" s="1221"/>
    </row>
    <row r="194" spans="1:32" s="1194" customFormat="1" ht="12" x14ac:dyDescent="0.2">
      <c r="A194" s="1231"/>
      <c r="B194" s="1230"/>
      <c r="C194" s="1945" t="s">
        <v>348</v>
      </c>
      <c r="D194" s="1945"/>
      <c r="E194" s="1945"/>
      <c r="F194" s="1232" t="s">
        <v>315</v>
      </c>
      <c r="G194" s="1232" t="s">
        <v>1911</v>
      </c>
      <c r="H194" s="1232" t="s">
        <v>313</v>
      </c>
      <c r="I194" s="1232" t="s">
        <v>9293</v>
      </c>
      <c r="J194" s="1233"/>
      <c r="K194" s="1232"/>
      <c r="L194" s="1233"/>
      <c r="M194" s="1232"/>
      <c r="N194" s="1234"/>
      <c r="T194" s="1220"/>
      <c r="U194" s="1221"/>
      <c r="V194" s="1221"/>
      <c r="Z194" s="1198" t="s">
        <v>348</v>
      </c>
      <c r="AB194" s="1221"/>
      <c r="AC194" s="1221"/>
      <c r="AE194" s="1221"/>
    </row>
    <row r="195" spans="1:32" s="1194" customFormat="1" ht="12" x14ac:dyDescent="0.2">
      <c r="A195" s="1231"/>
      <c r="B195" s="1230"/>
      <c r="C195" s="1962" t="s">
        <v>318</v>
      </c>
      <c r="D195" s="1962"/>
      <c r="E195" s="1962"/>
      <c r="F195" s="1235"/>
      <c r="G195" s="1235"/>
      <c r="H195" s="1235"/>
      <c r="I195" s="1235"/>
      <c r="J195" s="1236">
        <v>22.57</v>
      </c>
      <c r="K195" s="1235"/>
      <c r="L195" s="1236">
        <v>16.079999999999998</v>
      </c>
      <c r="M195" s="1235"/>
      <c r="N195" s="1237"/>
      <c r="T195" s="1220"/>
      <c r="U195" s="1221"/>
      <c r="V195" s="1221"/>
      <c r="AA195" s="1198" t="s">
        <v>318</v>
      </c>
      <c r="AB195" s="1221"/>
      <c r="AC195" s="1221"/>
      <c r="AE195" s="1221"/>
    </row>
    <row r="196" spans="1:32" s="1194" customFormat="1" ht="12" x14ac:dyDescent="0.2">
      <c r="A196" s="1231"/>
      <c r="B196" s="1230"/>
      <c r="C196" s="1945" t="s">
        <v>319</v>
      </c>
      <c r="D196" s="1945"/>
      <c r="E196" s="1945"/>
      <c r="F196" s="1232"/>
      <c r="G196" s="1232"/>
      <c r="H196" s="1232"/>
      <c r="I196" s="1232"/>
      <c r="J196" s="1233"/>
      <c r="K196" s="1232"/>
      <c r="L196" s="1233">
        <v>1.64</v>
      </c>
      <c r="M196" s="1232"/>
      <c r="N196" s="1234"/>
      <c r="T196" s="1220"/>
      <c r="U196" s="1221"/>
      <c r="V196" s="1221"/>
      <c r="Z196" s="1198" t="s">
        <v>319</v>
      </c>
      <c r="AB196" s="1221"/>
      <c r="AC196" s="1221"/>
      <c r="AE196" s="1221"/>
    </row>
    <row r="197" spans="1:32" s="1194" customFormat="1" ht="33.75" x14ac:dyDescent="0.2">
      <c r="A197" s="1231"/>
      <c r="B197" s="1230" t="s">
        <v>460</v>
      </c>
      <c r="C197" s="1945" t="s">
        <v>461</v>
      </c>
      <c r="D197" s="1945"/>
      <c r="E197" s="1945"/>
      <c r="F197" s="1232" t="s">
        <v>322</v>
      </c>
      <c r="G197" s="1232" t="s">
        <v>462</v>
      </c>
      <c r="H197" s="1232"/>
      <c r="I197" s="1232" t="s">
        <v>462</v>
      </c>
      <c r="J197" s="1233"/>
      <c r="K197" s="1232"/>
      <c r="L197" s="1233">
        <v>1.51</v>
      </c>
      <c r="M197" s="1232"/>
      <c r="N197" s="1234"/>
      <c r="T197" s="1220"/>
      <c r="U197" s="1221"/>
      <c r="V197" s="1221"/>
      <c r="Z197" s="1198" t="s">
        <v>461</v>
      </c>
      <c r="AB197" s="1221"/>
      <c r="AC197" s="1221"/>
      <c r="AE197" s="1221"/>
    </row>
    <row r="198" spans="1:32" s="1194" customFormat="1" ht="33.75" x14ac:dyDescent="0.2">
      <c r="A198" s="1231"/>
      <c r="B198" s="1230" t="s">
        <v>463</v>
      </c>
      <c r="C198" s="1945" t="s">
        <v>464</v>
      </c>
      <c r="D198" s="1945"/>
      <c r="E198" s="1945"/>
      <c r="F198" s="1232" t="s">
        <v>322</v>
      </c>
      <c r="G198" s="1232" t="s">
        <v>465</v>
      </c>
      <c r="H198" s="1232"/>
      <c r="I198" s="1232" t="s">
        <v>465</v>
      </c>
      <c r="J198" s="1233"/>
      <c r="K198" s="1232"/>
      <c r="L198" s="1233">
        <v>0.75</v>
      </c>
      <c r="M198" s="1232"/>
      <c r="N198" s="1234"/>
      <c r="T198" s="1220"/>
      <c r="U198" s="1221"/>
      <c r="V198" s="1221"/>
      <c r="Z198" s="1198" t="s">
        <v>464</v>
      </c>
      <c r="AB198" s="1221"/>
      <c r="AC198" s="1221"/>
      <c r="AE198" s="1221"/>
    </row>
    <row r="199" spans="1:32" s="1194" customFormat="1" ht="12" x14ac:dyDescent="0.2">
      <c r="A199" s="1238"/>
      <c r="B199" s="1239"/>
      <c r="C199" s="1953" t="s">
        <v>327</v>
      </c>
      <c r="D199" s="1953"/>
      <c r="E199" s="1953"/>
      <c r="F199" s="1224"/>
      <c r="G199" s="1224"/>
      <c r="H199" s="1224"/>
      <c r="I199" s="1224"/>
      <c r="J199" s="1225"/>
      <c r="K199" s="1224"/>
      <c r="L199" s="1225">
        <v>18.34</v>
      </c>
      <c r="M199" s="1235"/>
      <c r="N199" s="1226"/>
      <c r="T199" s="1220"/>
      <c r="U199" s="1221"/>
      <c r="V199" s="1221"/>
      <c r="AB199" s="1221" t="s">
        <v>327</v>
      </c>
      <c r="AC199" s="1221"/>
      <c r="AE199" s="1221"/>
    </row>
    <row r="200" spans="1:32" s="1194" customFormat="1" ht="33.75" x14ac:dyDescent="0.2">
      <c r="A200" s="1222" t="s">
        <v>200</v>
      </c>
      <c r="B200" s="1223" t="s">
        <v>9294</v>
      </c>
      <c r="C200" s="1953" t="s">
        <v>9295</v>
      </c>
      <c r="D200" s="1953"/>
      <c r="E200" s="1953"/>
      <c r="F200" s="1224" t="s">
        <v>1034</v>
      </c>
      <c r="G200" s="1224"/>
      <c r="H200" s="1224"/>
      <c r="I200" s="1224" t="s">
        <v>308</v>
      </c>
      <c r="J200" s="1225"/>
      <c r="K200" s="1224"/>
      <c r="L200" s="1225"/>
      <c r="M200" s="1224"/>
      <c r="N200" s="1226"/>
      <c r="T200" s="1220"/>
      <c r="U200" s="1221"/>
      <c r="V200" s="1221" t="s">
        <v>9295</v>
      </c>
      <c r="AB200" s="1221"/>
      <c r="AC200" s="1221"/>
      <c r="AE200" s="1221"/>
    </row>
    <row r="201" spans="1:32" s="1194" customFormat="1" ht="12" x14ac:dyDescent="0.2">
      <c r="A201" s="1227"/>
      <c r="B201" s="1228"/>
      <c r="C201" s="1945" t="s">
        <v>9296</v>
      </c>
      <c r="D201" s="1945"/>
      <c r="E201" s="1945"/>
      <c r="F201" s="1945"/>
      <c r="G201" s="1945"/>
      <c r="H201" s="1945"/>
      <c r="I201" s="1945"/>
      <c r="J201" s="1945"/>
      <c r="K201" s="1945"/>
      <c r="L201" s="1945"/>
      <c r="M201" s="1945"/>
      <c r="N201" s="1954"/>
      <c r="T201" s="1220"/>
      <c r="U201" s="1221"/>
      <c r="V201" s="1221"/>
      <c r="W201" s="1198" t="s">
        <v>9296</v>
      </c>
      <c r="AB201" s="1221"/>
      <c r="AC201" s="1221"/>
      <c r="AE201" s="1221"/>
    </row>
    <row r="202" spans="1:32" s="1194" customFormat="1" ht="33.75" x14ac:dyDescent="0.2">
      <c r="A202" s="1229"/>
      <c r="B202" s="1230" t="s">
        <v>310</v>
      </c>
      <c r="C202" s="1945" t="s">
        <v>311</v>
      </c>
      <c r="D202" s="1945"/>
      <c r="E202" s="1945"/>
      <c r="F202" s="1945"/>
      <c r="G202" s="1945"/>
      <c r="H202" s="1945"/>
      <c r="I202" s="1945"/>
      <c r="J202" s="1945"/>
      <c r="K202" s="1945"/>
      <c r="L202" s="1945"/>
      <c r="M202" s="1945"/>
      <c r="N202" s="1954"/>
      <c r="T202" s="1220"/>
      <c r="U202" s="1221"/>
      <c r="V202" s="1221"/>
      <c r="X202" s="1198" t="s">
        <v>311</v>
      </c>
      <c r="AB202" s="1221"/>
      <c r="AC202" s="1221"/>
      <c r="AE202" s="1221"/>
    </row>
    <row r="203" spans="1:32" s="1194" customFormat="1" ht="12" x14ac:dyDescent="0.2">
      <c r="A203" s="1231"/>
      <c r="B203" s="1230" t="s">
        <v>185</v>
      </c>
      <c r="C203" s="1945" t="s">
        <v>312</v>
      </c>
      <c r="D203" s="1945"/>
      <c r="E203" s="1945"/>
      <c r="F203" s="1232"/>
      <c r="G203" s="1232"/>
      <c r="H203" s="1232"/>
      <c r="I203" s="1232"/>
      <c r="J203" s="1233">
        <v>219.94</v>
      </c>
      <c r="K203" s="1232" t="s">
        <v>313</v>
      </c>
      <c r="L203" s="1233">
        <v>764.29</v>
      </c>
      <c r="M203" s="1232"/>
      <c r="N203" s="1234"/>
      <c r="T203" s="1220"/>
      <c r="U203" s="1221"/>
      <c r="V203" s="1221"/>
      <c r="Y203" s="1198" t="s">
        <v>312</v>
      </c>
      <c r="AB203" s="1221"/>
      <c r="AC203" s="1221"/>
      <c r="AE203" s="1221"/>
    </row>
    <row r="204" spans="1:32" s="1194" customFormat="1" ht="12" x14ac:dyDescent="0.2">
      <c r="A204" s="1231"/>
      <c r="B204" s="1230" t="s">
        <v>186</v>
      </c>
      <c r="C204" s="1945" t="s">
        <v>344</v>
      </c>
      <c r="D204" s="1945"/>
      <c r="E204" s="1945"/>
      <c r="F204" s="1232"/>
      <c r="G204" s="1232"/>
      <c r="H204" s="1232"/>
      <c r="I204" s="1232"/>
      <c r="J204" s="1233">
        <v>557.59</v>
      </c>
      <c r="K204" s="1232" t="s">
        <v>313</v>
      </c>
      <c r="L204" s="1233">
        <v>1937.63</v>
      </c>
      <c r="M204" s="1232"/>
      <c r="N204" s="1234"/>
      <c r="T204" s="1220"/>
      <c r="U204" s="1221"/>
      <c r="V204" s="1221"/>
      <c r="Y204" s="1198" t="s">
        <v>344</v>
      </c>
      <c r="AB204" s="1221"/>
      <c r="AC204" s="1221"/>
      <c r="AE204" s="1221"/>
    </row>
    <row r="205" spans="1:32" s="1194" customFormat="1" ht="12" x14ac:dyDescent="0.2">
      <c r="A205" s="1231"/>
      <c r="B205" s="1230" t="s">
        <v>187</v>
      </c>
      <c r="C205" s="1945" t="s">
        <v>345</v>
      </c>
      <c r="D205" s="1945"/>
      <c r="E205" s="1945"/>
      <c r="F205" s="1232"/>
      <c r="G205" s="1232"/>
      <c r="H205" s="1232"/>
      <c r="I205" s="1232"/>
      <c r="J205" s="1233">
        <v>51.27</v>
      </c>
      <c r="K205" s="1232" t="s">
        <v>313</v>
      </c>
      <c r="L205" s="1233">
        <v>178.16</v>
      </c>
      <c r="M205" s="1232"/>
      <c r="N205" s="1234"/>
      <c r="T205" s="1220"/>
      <c r="U205" s="1221"/>
      <c r="V205" s="1221"/>
      <c r="Y205" s="1198" t="s">
        <v>345</v>
      </c>
      <c r="AB205" s="1221"/>
      <c r="AC205" s="1221"/>
      <c r="AE205" s="1221"/>
    </row>
    <row r="206" spans="1:32" s="1194" customFormat="1" ht="12" x14ac:dyDescent="0.2">
      <c r="A206" s="1231"/>
      <c r="B206" s="1230" t="s">
        <v>188</v>
      </c>
      <c r="C206" s="1945" t="s">
        <v>475</v>
      </c>
      <c r="D206" s="1945"/>
      <c r="E206" s="1945"/>
      <c r="F206" s="1232"/>
      <c r="G206" s="1232"/>
      <c r="H206" s="1232"/>
      <c r="I206" s="1232"/>
      <c r="J206" s="1233">
        <v>0.78</v>
      </c>
      <c r="K206" s="1232"/>
      <c r="L206" s="1233">
        <v>2.17</v>
      </c>
      <c r="M206" s="1232"/>
      <c r="N206" s="1234"/>
      <c r="T206" s="1220"/>
      <c r="U206" s="1221"/>
      <c r="V206" s="1221"/>
      <c r="Y206" s="1198" t="s">
        <v>475</v>
      </c>
      <c r="AB206" s="1221"/>
      <c r="AC206" s="1221"/>
      <c r="AE206" s="1221"/>
    </row>
    <row r="207" spans="1:32" s="1194" customFormat="1" ht="22.5" x14ac:dyDescent="0.2">
      <c r="A207" s="1227"/>
      <c r="B207" s="1258" t="s">
        <v>1546</v>
      </c>
      <c r="C207" s="1964" t="s">
        <v>1547</v>
      </c>
      <c r="D207" s="1964"/>
      <c r="E207" s="1964"/>
      <c r="F207" s="1259" t="s">
        <v>865</v>
      </c>
      <c r="G207" s="1259" t="s">
        <v>525</v>
      </c>
      <c r="H207" s="1259"/>
      <c r="I207" s="1259" t="s">
        <v>525</v>
      </c>
      <c r="J207" s="1230"/>
      <c r="K207" s="1232"/>
      <c r="L207" s="1233"/>
      <c r="M207" s="1232"/>
      <c r="N207" s="1260"/>
      <c r="T207" s="1220"/>
      <c r="U207" s="1221"/>
      <c r="V207" s="1221"/>
      <c r="AB207" s="1221"/>
      <c r="AC207" s="1221"/>
      <c r="AE207" s="1221"/>
      <c r="AF207" s="1261" t="s">
        <v>1547</v>
      </c>
    </row>
    <row r="208" spans="1:32" s="1194" customFormat="1" ht="12" x14ac:dyDescent="0.2">
      <c r="A208" s="1231"/>
      <c r="B208" s="1230"/>
      <c r="C208" s="1945" t="s">
        <v>314</v>
      </c>
      <c r="D208" s="1945"/>
      <c r="E208" s="1945"/>
      <c r="F208" s="1232" t="s">
        <v>315</v>
      </c>
      <c r="G208" s="1232" t="s">
        <v>9297</v>
      </c>
      <c r="H208" s="1232" t="s">
        <v>313</v>
      </c>
      <c r="I208" s="1232" t="s">
        <v>9298</v>
      </c>
      <c r="J208" s="1233"/>
      <c r="K208" s="1232"/>
      <c r="L208" s="1233"/>
      <c r="M208" s="1232"/>
      <c r="N208" s="1234"/>
      <c r="T208" s="1220"/>
      <c r="U208" s="1221"/>
      <c r="V208" s="1221"/>
      <c r="Z208" s="1198" t="s">
        <v>314</v>
      </c>
      <c r="AB208" s="1221"/>
      <c r="AC208" s="1221"/>
      <c r="AE208" s="1221"/>
      <c r="AF208" s="1261"/>
    </row>
    <row r="209" spans="1:32" s="1194" customFormat="1" ht="12" x14ac:dyDescent="0.2">
      <c r="A209" s="1231"/>
      <c r="B209" s="1230"/>
      <c r="C209" s="1945" t="s">
        <v>348</v>
      </c>
      <c r="D209" s="1945"/>
      <c r="E209" s="1945"/>
      <c r="F209" s="1232" t="s">
        <v>315</v>
      </c>
      <c r="G209" s="1232" t="s">
        <v>2325</v>
      </c>
      <c r="H209" s="1232" t="s">
        <v>313</v>
      </c>
      <c r="I209" s="1232" t="s">
        <v>9299</v>
      </c>
      <c r="J209" s="1233"/>
      <c r="K209" s="1232"/>
      <c r="L209" s="1233"/>
      <c r="M209" s="1232"/>
      <c r="N209" s="1234"/>
      <c r="T209" s="1220"/>
      <c r="U209" s="1221"/>
      <c r="V209" s="1221"/>
      <c r="Z209" s="1198" t="s">
        <v>348</v>
      </c>
      <c r="AB209" s="1221"/>
      <c r="AC209" s="1221"/>
      <c r="AE209" s="1221"/>
      <c r="AF209" s="1261"/>
    </row>
    <row r="210" spans="1:32" s="1194" customFormat="1" ht="12" x14ac:dyDescent="0.2">
      <c r="A210" s="1231"/>
      <c r="B210" s="1230"/>
      <c r="C210" s="1962" t="s">
        <v>318</v>
      </c>
      <c r="D210" s="1962"/>
      <c r="E210" s="1962"/>
      <c r="F210" s="1235"/>
      <c r="G210" s="1235"/>
      <c r="H210" s="1235"/>
      <c r="I210" s="1235"/>
      <c r="J210" s="1236">
        <v>778.31</v>
      </c>
      <c r="K210" s="1235"/>
      <c r="L210" s="1236">
        <v>2704.09</v>
      </c>
      <c r="M210" s="1235"/>
      <c r="N210" s="1237"/>
      <c r="T210" s="1220"/>
      <c r="U210" s="1221"/>
      <c r="V210" s="1221"/>
      <c r="AA210" s="1198" t="s">
        <v>318</v>
      </c>
      <c r="AB210" s="1221"/>
      <c r="AC210" s="1221"/>
      <c r="AE210" s="1221"/>
      <c r="AF210" s="1261"/>
    </row>
    <row r="211" spans="1:32" s="1194" customFormat="1" ht="12" x14ac:dyDescent="0.2">
      <c r="A211" s="1231"/>
      <c r="B211" s="1230"/>
      <c r="C211" s="1945" t="s">
        <v>319</v>
      </c>
      <c r="D211" s="1945"/>
      <c r="E211" s="1945"/>
      <c r="F211" s="1232"/>
      <c r="G211" s="1232"/>
      <c r="H211" s="1232"/>
      <c r="I211" s="1232"/>
      <c r="J211" s="1233"/>
      <c r="K211" s="1232"/>
      <c r="L211" s="1233">
        <v>942.45</v>
      </c>
      <c r="M211" s="1232"/>
      <c r="N211" s="1234"/>
      <c r="T211" s="1220"/>
      <c r="U211" s="1221"/>
      <c r="V211" s="1221"/>
      <c r="Z211" s="1198" t="s">
        <v>319</v>
      </c>
      <c r="AB211" s="1221"/>
      <c r="AC211" s="1221"/>
      <c r="AE211" s="1221"/>
      <c r="AF211" s="1261"/>
    </row>
    <row r="212" spans="1:32" s="1194" customFormat="1" ht="33.75" x14ac:dyDescent="0.2">
      <c r="A212" s="1231"/>
      <c r="B212" s="1230" t="s">
        <v>554</v>
      </c>
      <c r="C212" s="1945" t="s">
        <v>555</v>
      </c>
      <c r="D212" s="1945"/>
      <c r="E212" s="1945"/>
      <c r="F212" s="1232" t="s">
        <v>322</v>
      </c>
      <c r="G212" s="1232" t="s">
        <v>556</v>
      </c>
      <c r="H212" s="1232"/>
      <c r="I212" s="1232" t="s">
        <v>556</v>
      </c>
      <c r="J212" s="1233"/>
      <c r="K212" s="1232"/>
      <c r="L212" s="1233">
        <v>1187.49</v>
      </c>
      <c r="M212" s="1232"/>
      <c r="N212" s="1234"/>
      <c r="T212" s="1220"/>
      <c r="U212" s="1221"/>
      <c r="V212" s="1221"/>
      <c r="Z212" s="1198" t="s">
        <v>555</v>
      </c>
      <c r="AB212" s="1221"/>
      <c r="AC212" s="1221"/>
      <c r="AE212" s="1221"/>
      <c r="AF212" s="1261"/>
    </row>
    <row r="213" spans="1:32" s="1194" customFormat="1" ht="33.75" x14ac:dyDescent="0.2">
      <c r="A213" s="1231"/>
      <c r="B213" s="1230" t="s">
        <v>557</v>
      </c>
      <c r="C213" s="1945" t="s">
        <v>558</v>
      </c>
      <c r="D213" s="1945"/>
      <c r="E213" s="1945"/>
      <c r="F213" s="1232" t="s">
        <v>322</v>
      </c>
      <c r="G213" s="1232" t="s">
        <v>559</v>
      </c>
      <c r="H213" s="1232"/>
      <c r="I213" s="1232" t="s">
        <v>559</v>
      </c>
      <c r="J213" s="1233"/>
      <c r="K213" s="1232"/>
      <c r="L213" s="1233">
        <v>895.33</v>
      </c>
      <c r="M213" s="1232"/>
      <c r="N213" s="1234"/>
      <c r="T213" s="1220"/>
      <c r="U213" s="1221"/>
      <c r="V213" s="1221"/>
      <c r="Z213" s="1198" t="s">
        <v>558</v>
      </c>
      <c r="AB213" s="1221"/>
      <c r="AC213" s="1221"/>
      <c r="AE213" s="1221"/>
      <c r="AF213" s="1261"/>
    </row>
    <row r="214" spans="1:32" s="1194" customFormat="1" ht="12" x14ac:dyDescent="0.2">
      <c r="A214" s="1238"/>
      <c r="B214" s="1239"/>
      <c r="C214" s="1953" t="s">
        <v>327</v>
      </c>
      <c r="D214" s="1953"/>
      <c r="E214" s="1953"/>
      <c r="F214" s="1224"/>
      <c r="G214" s="1224"/>
      <c r="H214" s="1224"/>
      <c r="I214" s="1224"/>
      <c r="J214" s="1225"/>
      <c r="K214" s="1224"/>
      <c r="L214" s="1225">
        <v>4786.91</v>
      </c>
      <c r="M214" s="1235"/>
      <c r="N214" s="1226"/>
      <c r="T214" s="1220"/>
      <c r="U214" s="1221"/>
      <c r="V214" s="1221"/>
      <c r="AB214" s="1221" t="s">
        <v>327</v>
      </c>
      <c r="AC214" s="1221"/>
      <c r="AE214" s="1221"/>
      <c r="AF214" s="1261"/>
    </row>
    <row r="215" spans="1:32" s="1194" customFormat="1" ht="12" x14ac:dyDescent="0.2">
      <c r="A215" s="1222" t="s">
        <v>425</v>
      </c>
      <c r="B215" s="1223" t="s">
        <v>1543</v>
      </c>
      <c r="C215" s="1953" t="s">
        <v>1544</v>
      </c>
      <c r="D215" s="1953"/>
      <c r="E215" s="1953"/>
      <c r="F215" s="1224" t="s">
        <v>865</v>
      </c>
      <c r="G215" s="1224"/>
      <c r="H215" s="1224"/>
      <c r="I215" s="1224" t="s">
        <v>9300</v>
      </c>
      <c r="J215" s="1225">
        <v>6.51</v>
      </c>
      <c r="K215" s="1224"/>
      <c r="L215" s="1225">
        <v>19002.689999999999</v>
      </c>
      <c r="M215" s="1224"/>
      <c r="N215" s="1226"/>
      <c r="T215" s="1220"/>
      <c r="U215" s="1221"/>
      <c r="V215" s="1221" t="s">
        <v>1544</v>
      </c>
      <c r="AB215" s="1221"/>
      <c r="AC215" s="1221"/>
      <c r="AE215" s="1221"/>
      <c r="AF215" s="1261"/>
    </row>
    <row r="216" spans="1:32" s="1194" customFormat="1" ht="12" x14ac:dyDescent="0.2">
      <c r="A216" s="1238"/>
      <c r="B216" s="1239"/>
      <c r="C216" s="1196" t="s">
        <v>717</v>
      </c>
      <c r="D216" s="1240"/>
      <c r="E216" s="1240"/>
      <c r="F216" s="1241"/>
      <c r="G216" s="1241"/>
      <c r="H216" s="1241"/>
      <c r="I216" s="1241"/>
      <c r="J216" s="1242"/>
      <c r="K216" s="1241"/>
      <c r="L216" s="1242"/>
      <c r="M216" s="1243"/>
      <c r="N216" s="1244"/>
      <c r="T216" s="1220"/>
      <c r="U216" s="1221"/>
      <c r="V216" s="1221"/>
      <c r="AB216" s="1221"/>
      <c r="AC216" s="1221"/>
      <c r="AE216" s="1221"/>
      <c r="AF216" s="1261"/>
    </row>
    <row r="217" spans="1:32" s="1194" customFormat="1" ht="12" x14ac:dyDescent="0.2">
      <c r="A217" s="1227"/>
      <c r="B217" s="1228"/>
      <c r="C217" s="1945" t="s">
        <v>9301</v>
      </c>
      <c r="D217" s="1945"/>
      <c r="E217" s="1945"/>
      <c r="F217" s="1945"/>
      <c r="G217" s="1945"/>
      <c r="H217" s="1945"/>
      <c r="I217" s="1945"/>
      <c r="J217" s="1945"/>
      <c r="K217" s="1945"/>
      <c r="L217" s="1945"/>
      <c r="M217" s="1945"/>
      <c r="N217" s="1954"/>
      <c r="T217" s="1220"/>
      <c r="U217" s="1221"/>
      <c r="V217" s="1221"/>
      <c r="W217" s="1198" t="s">
        <v>9301</v>
      </c>
      <c r="AB217" s="1221"/>
      <c r="AC217" s="1221"/>
      <c r="AE217" s="1221"/>
      <c r="AF217" s="1261"/>
    </row>
    <row r="218" spans="1:32" s="1194" customFormat="1" ht="22.5" x14ac:dyDescent="0.2">
      <c r="A218" s="1222" t="s">
        <v>430</v>
      </c>
      <c r="B218" s="1223" t="s">
        <v>5377</v>
      </c>
      <c r="C218" s="1953" t="s">
        <v>5378</v>
      </c>
      <c r="D218" s="1953"/>
      <c r="E218" s="1953"/>
      <c r="F218" s="1224" t="s">
        <v>641</v>
      </c>
      <c r="G218" s="1224"/>
      <c r="H218" s="1224"/>
      <c r="I218" s="1224" t="s">
        <v>9302</v>
      </c>
      <c r="J218" s="1225"/>
      <c r="K218" s="1224"/>
      <c r="L218" s="1225"/>
      <c r="M218" s="1224"/>
      <c r="N218" s="1226"/>
      <c r="T218" s="1220"/>
      <c r="U218" s="1221"/>
      <c r="V218" s="1221" t="s">
        <v>5378</v>
      </c>
      <c r="AB218" s="1221"/>
      <c r="AC218" s="1221"/>
      <c r="AE218" s="1221"/>
      <c r="AF218" s="1261"/>
    </row>
    <row r="219" spans="1:32" s="1194" customFormat="1" ht="33.75" x14ac:dyDescent="0.2">
      <c r="A219" s="1229"/>
      <c r="B219" s="1230" t="s">
        <v>310</v>
      </c>
      <c r="C219" s="1945" t="s">
        <v>311</v>
      </c>
      <c r="D219" s="1945"/>
      <c r="E219" s="1945"/>
      <c r="F219" s="1945"/>
      <c r="G219" s="1945"/>
      <c r="H219" s="1945"/>
      <c r="I219" s="1945"/>
      <c r="J219" s="1945"/>
      <c r="K219" s="1945"/>
      <c r="L219" s="1945"/>
      <c r="M219" s="1945"/>
      <c r="N219" s="1954"/>
      <c r="T219" s="1220"/>
      <c r="U219" s="1221"/>
      <c r="V219" s="1221"/>
      <c r="X219" s="1198" t="s">
        <v>311</v>
      </c>
      <c r="AB219" s="1221"/>
      <c r="AC219" s="1221"/>
      <c r="AE219" s="1221"/>
      <c r="AF219" s="1261"/>
    </row>
    <row r="220" spans="1:32" s="1194" customFormat="1" ht="12" x14ac:dyDescent="0.2">
      <c r="A220" s="1231"/>
      <c r="B220" s="1230" t="s">
        <v>185</v>
      </c>
      <c r="C220" s="1945" t="s">
        <v>312</v>
      </c>
      <c r="D220" s="1945"/>
      <c r="E220" s="1945"/>
      <c r="F220" s="1232"/>
      <c r="G220" s="1232"/>
      <c r="H220" s="1232"/>
      <c r="I220" s="1232"/>
      <c r="J220" s="1233">
        <v>6.75</v>
      </c>
      <c r="K220" s="1232" t="s">
        <v>313</v>
      </c>
      <c r="L220" s="1233">
        <v>1814.06</v>
      </c>
      <c r="M220" s="1232"/>
      <c r="N220" s="1234"/>
      <c r="T220" s="1220"/>
      <c r="U220" s="1221"/>
      <c r="V220" s="1221"/>
      <c r="Y220" s="1198" t="s">
        <v>312</v>
      </c>
      <c r="AB220" s="1221"/>
      <c r="AC220" s="1221"/>
      <c r="AE220" s="1221"/>
      <c r="AF220" s="1261"/>
    </row>
    <row r="221" spans="1:32" s="1194" customFormat="1" ht="12" x14ac:dyDescent="0.2">
      <c r="A221" s="1231"/>
      <c r="B221" s="1230" t="s">
        <v>186</v>
      </c>
      <c r="C221" s="1945" t="s">
        <v>344</v>
      </c>
      <c r="D221" s="1945"/>
      <c r="E221" s="1945"/>
      <c r="F221" s="1232"/>
      <c r="G221" s="1232"/>
      <c r="H221" s="1232"/>
      <c r="I221" s="1232"/>
      <c r="J221" s="1233">
        <v>8.2899999999999991</v>
      </c>
      <c r="K221" s="1232" t="s">
        <v>313</v>
      </c>
      <c r="L221" s="1233">
        <v>2227.94</v>
      </c>
      <c r="M221" s="1232"/>
      <c r="N221" s="1234"/>
      <c r="T221" s="1220"/>
      <c r="U221" s="1221"/>
      <c r="V221" s="1221"/>
      <c r="Y221" s="1198" t="s">
        <v>344</v>
      </c>
      <c r="AB221" s="1221"/>
      <c r="AC221" s="1221"/>
      <c r="AE221" s="1221"/>
      <c r="AF221" s="1261"/>
    </row>
    <row r="222" spans="1:32" s="1194" customFormat="1" ht="12" x14ac:dyDescent="0.2">
      <c r="A222" s="1231"/>
      <c r="B222" s="1230" t="s">
        <v>187</v>
      </c>
      <c r="C222" s="1945" t="s">
        <v>345</v>
      </c>
      <c r="D222" s="1945"/>
      <c r="E222" s="1945"/>
      <c r="F222" s="1232"/>
      <c r="G222" s="1232"/>
      <c r="H222" s="1232"/>
      <c r="I222" s="1232"/>
      <c r="J222" s="1233">
        <v>0.81</v>
      </c>
      <c r="K222" s="1232" t="s">
        <v>313</v>
      </c>
      <c r="L222" s="1233">
        <v>217.69</v>
      </c>
      <c r="M222" s="1232"/>
      <c r="N222" s="1234"/>
      <c r="T222" s="1220"/>
      <c r="U222" s="1221"/>
      <c r="V222" s="1221"/>
      <c r="Y222" s="1198" t="s">
        <v>345</v>
      </c>
      <c r="AB222" s="1221"/>
      <c r="AC222" s="1221"/>
      <c r="AE222" s="1221"/>
      <c r="AF222" s="1261"/>
    </row>
    <row r="223" spans="1:32" s="1194" customFormat="1" ht="12" x14ac:dyDescent="0.2">
      <c r="A223" s="1231"/>
      <c r="B223" s="1230" t="s">
        <v>188</v>
      </c>
      <c r="C223" s="1945" t="s">
        <v>475</v>
      </c>
      <c r="D223" s="1945"/>
      <c r="E223" s="1945"/>
      <c r="F223" s="1232"/>
      <c r="G223" s="1232"/>
      <c r="H223" s="1232"/>
      <c r="I223" s="1232"/>
      <c r="J223" s="1233">
        <v>0.37</v>
      </c>
      <c r="K223" s="1232"/>
      <c r="L223" s="1233">
        <v>79.55</v>
      </c>
      <c r="M223" s="1232"/>
      <c r="N223" s="1234"/>
      <c r="T223" s="1220"/>
      <c r="U223" s="1221"/>
      <c r="V223" s="1221"/>
      <c r="Y223" s="1198" t="s">
        <v>475</v>
      </c>
      <c r="AB223" s="1221"/>
      <c r="AC223" s="1221"/>
      <c r="AE223" s="1221"/>
      <c r="AF223" s="1261"/>
    </row>
    <row r="224" spans="1:32" s="1194" customFormat="1" ht="12" x14ac:dyDescent="0.2">
      <c r="A224" s="1227"/>
      <c r="B224" s="1258" t="s">
        <v>1563</v>
      </c>
      <c r="C224" s="1964" t="s">
        <v>4088</v>
      </c>
      <c r="D224" s="1964"/>
      <c r="E224" s="1964"/>
      <c r="F224" s="1259" t="s">
        <v>641</v>
      </c>
      <c r="G224" s="1259" t="s">
        <v>5380</v>
      </c>
      <c r="H224" s="1259"/>
      <c r="I224" s="1259" t="s">
        <v>9303</v>
      </c>
      <c r="J224" s="1230"/>
      <c r="K224" s="1232"/>
      <c r="L224" s="1233"/>
      <c r="M224" s="1232"/>
      <c r="N224" s="1260"/>
      <c r="T224" s="1220"/>
      <c r="U224" s="1221"/>
      <c r="V224" s="1221"/>
      <c r="AB224" s="1221"/>
      <c r="AC224" s="1221"/>
      <c r="AE224" s="1221"/>
      <c r="AF224" s="1261" t="s">
        <v>4088</v>
      </c>
    </row>
    <row r="225" spans="1:32" s="1194" customFormat="1" ht="12" x14ac:dyDescent="0.2">
      <c r="A225" s="1231"/>
      <c r="B225" s="1230"/>
      <c r="C225" s="1945" t="s">
        <v>314</v>
      </c>
      <c r="D225" s="1945"/>
      <c r="E225" s="1945"/>
      <c r="F225" s="1232" t="s">
        <v>315</v>
      </c>
      <c r="G225" s="1232" t="s">
        <v>330</v>
      </c>
      <c r="H225" s="1232" t="s">
        <v>313</v>
      </c>
      <c r="I225" s="1232" t="s">
        <v>9304</v>
      </c>
      <c r="J225" s="1233"/>
      <c r="K225" s="1232"/>
      <c r="L225" s="1233"/>
      <c r="M225" s="1232"/>
      <c r="N225" s="1234"/>
      <c r="T225" s="1220"/>
      <c r="U225" s="1221"/>
      <c r="V225" s="1221"/>
      <c r="Z225" s="1198" t="s">
        <v>314</v>
      </c>
      <c r="AB225" s="1221"/>
      <c r="AC225" s="1221"/>
      <c r="AE225" s="1221"/>
      <c r="AF225" s="1261"/>
    </row>
    <row r="226" spans="1:32" s="1194" customFormat="1" ht="12" x14ac:dyDescent="0.2">
      <c r="A226" s="1231"/>
      <c r="B226" s="1230"/>
      <c r="C226" s="1945" t="s">
        <v>348</v>
      </c>
      <c r="D226" s="1945"/>
      <c r="E226" s="1945"/>
      <c r="F226" s="1232" t="s">
        <v>315</v>
      </c>
      <c r="G226" s="1232" t="s">
        <v>3171</v>
      </c>
      <c r="H226" s="1232" t="s">
        <v>313</v>
      </c>
      <c r="I226" s="1232" t="s">
        <v>9305</v>
      </c>
      <c r="J226" s="1233"/>
      <c r="K226" s="1232"/>
      <c r="L226" s="1233"/>
      <c r="M226" s="1232"/>
      <c r="N226" s="1234"/>
      <c r="T226" s="1220"/>
      <c r="U226" s="1221"/>
      <c r="V226" s="1221"/>
      <c r="Z226" s="1198" t="s">
        <v>348</v>
      </c>
      <c r="AB226" s="1221"/>
      <c r="AC226" s="1221"/>
      <c r="AE226" s="1221"/>
      <c r="AF226" s="1261"/>
    </row>
    <row r="227" spans="1:32" s="1194" customFormat="1" ht="12" x14ac:dyDescent="0.2">
      <c r="A227" s="1231"/>
      <c r="B227" s="1230"/>
      <c r="C227" s="1962" t="s">
        <v>318</v>
      </c>
      <c r="D227" s="1962"/>
      <c r="E227" s="1962"/>
      <c r="F227" s="1235"/>
      <c r="G227" s="1235"/>
      <c r="H227" s="1235"/>
      <c r="I227" s="1235"/>
      <c r="J227" s="1236">
        <v>15.41</v>
      </c>
      <c r="K227" s="1235"/>
      <c r="L227" s="1236">
        <v>4121.55</v>
      </c>
      <c r="M227" s="1235"/>
      <c r="N227" s="1237"/>
      <c r="T227" s="1220"/>
      <c r="U227" s="1221"/>
      <c r="V227" s="1221"/>
      <c r="AA227" s="1198" t="s">
        <v>318</v>
      </c>
      <c r="AB227" s="1221"/>
      <c r="AC227" s="1221"/>
      <c r="AE227" s="1221"/>
      <c r="AF227" s="1261"/>
    </row>
    <row r="228" spans="1:32" s="1194" customFormat="1" ht="12" x14ac:dyDescent="0.2">
      <c r="A228" s="1231"/>
      <c r="B228" s="1230"/>
      <c r="C228" s="1945" t="s">
        <v>319</v>
      </c>
      <c r="D228" s="1945"/>
      <c r="E228" s="1945"/>
      <c r="F228" s="1232"/>
      <c r="G228" s="1232"/>
      <c r="H228" s="1232"/>
      <c r="I228" s="1232"/>
      <c r="J228" s="1233"/>
      <c r="K228" s="1232"/>
      <c r="L228" s="1233">
        <v>2031.75</v>
      </c>
      <c r="M228" s="1232"/>
      <c r="N228" s="1234"/>
      <c r="T228" s="1220"/>
      <c r="U228" s="1221"/>
      <c r="V228" s="1221"/>
      <c r="Z228" s="1198" t="s">
        <v>319</v>
      </c>
      <c r="AB228" s="1221"/>
      <c r="AC228" s="1221"/>
      <c r="AE228" s="1221"/>
      <c r="AF228" s="1261"/>
    </row>
    <row r="229" spans="1:32" s="1194" customFormat="1" ht="33.75" x14ac:dyDescent="0.2">
      <c r="A229" s="1231"/>
      <c r="B229" s="1230" t="s">
        <v>2032</v>
      </c>
      <c r="C229" s="1945" t="s">
        <v>2033</v>
      </c>
      <c r="D229" s="1945"/>
      <c r="E229" s="1945"/>
      <c r="F229" s="1232" t="s">
        <v>322</v>
      </c>
      <c r="G229" s="1232" t="s">
        <v>2034</v>
      </c>
      <c r="H229" s="1232"/>
      <c r="I229" s="1232" t="s">
        <v>2034</v>
      </c>
      <c r="J229" s="1233"/>
      <c r="K229" s="1232"/>
      <c r="L229" s="1233">
        <v>2234.9299999999998</v>
      </c>
      <c r="M229" s="1232"/>
      <c r="N229" s="1234"/>
      <c r="T229" s="1220"/>
      <c r="U229" s="1221"/>
      <c r="V229" s="1221"/>
      <c r="Z229" s="1198" t="s">
        <v>2033</v>
      </c>
      <c r="AB229" s="1221"/>
      <c r="AC229" s="1221"/>
      <c r="AE229" s="1221"/>
      <c r="AF229" s="1261"/>
    </row>
    <row r="230" spans="1:32" s="1194" customFormat="1" ht="33.75" x14ac:dyDescent="0.2">
      <c r="A230" s="1231"/>
      <c r="B230" s="1230" t="s">
        <v>2035</v>
      </c>
      <c r="C230" s="1945" t="s">
        <v>2036</v>
      </c>
      <c r="D230" s="1945"/>
      <c r="E230" s="1945"/>
      <c r="F230" s="1232" t="s">
        <v>322</v>
      </c>
      <c r="G230" s="1232" t="s">
        <v>2037</v>
      </c>
      <c r="H230" s="1232"/>
      <c r="I230" s="1232" t="s">
        <v>2037</v>
      </c>
      <c r="J230" s="1233"/>
      <c r="K230" s="1232"/>
      <c r="L230" s="1233">
        <v>1401.91</v>
      </c>
      <c r="M230" s="1232"/>
      <c r="N230" s="1234"/>
      <c r="T230" s="1220"/>
      <c r="U230" s="1221"/>
      <c r="V230" s="1221"/>
      <c r="Z230" s="1198" t="s">
        <v>2036</v>
      </c>
      <c r="AB230" s="1221"/>
      <c r="AC230" s="1221"/>
      <c r="AE230" s="1221"/>
      <c r="AF230" s="1261"/>
    </row>
    <row r="231" spans="1:32" s="1194" customFormat="1" ht="12" x14ac:dyDescent="0.2">
      <c r="A231" s="1238"/>
      <c r="B231" s="1239"/>
      <c r="C231" s="1953" t="s">
        <v>327</v>
      </c>
      <c r="D231" s="1953"/>
      <c r="E231" s="1953"/>
      <c r="F231" s="1224"/>
      <c r="G231" s="1224"/>
      <c r="H231" s="1224"/>
      <c r="I231" s="1224"/>
      <c r="J231" s="1225"/>
      <c r="K231" s="1224"/>
      <c r="L231" s="1225">
        <v>7758.39</v>
      </c>
      <c r="M231" s="1235"/>
      <c r="N231" s="1226"/>
      <c r="T231" s="1220"/>
      <c r="U231" s="1221"/>
      <c r="V231" s="1221"/>
      <c r="AB231" s="1221" t="s">
        <v>327</v>
      </c>
      <c r="AC231" s="1221"/>
      <c r="AE231" s="1221"/>
      <c r="AF231" s="1261"/>
    </row>
    <row r="232" spans="1:32" s="1194" customFormat="1" ht="22.5" x14ac:dyDescent="0.2">
      <c r="A232" s="1222" t="s">
        <v>436</v>
      </c>
      <c r="B232" s="1223" t="s">
        <v>9306</v>
      </c>
      <c r="C232" s="1953" t="s">
        <v>9307</v>
      </c>
      <c r="D232" s="1953"/>
      <c r="E232" s="1953"/>
      <c r="F232" s="1224" t="s">
        <v>641</v>
      </c>
      <c r="G232" s="1224"/>
      <c r="H232" s="1224"/>
      <c r="I232" s="1224" t="s">
        <v>9303</v>
      </c>
      <c r="J232" s="1225">
        <v>108.4</v>
      </c>
      <c r="K232" s="1224"/>
      <c r="L232" s="1225">
        <v>26801.9</v>
      </c>
      <c r="M232" s="1224"/>
      <c r="N232" s="1226"/>
      <c r="T232" s="1220"/>
      <c r="U232" s="1221"/>
      <c r="V232" s="1221" t="s">
        <v>9307</v>
      </c>
      <c r="AB232" s="1221"/>
      <c r="AC232" s="1221"/>
      <c r="AE232" s="1221"/>
      <c r="AF232" s="1261"/>
    </row>
    <row r="233" spans="1:32" s="1194" customFormat="1" ht="12" x14ac:dyDescent="0.2">
      <c r="A233" s="1238"/>
      <c r="B233" s="1239"/>
      <c r="C233" s="1196" t="s">
        <v>717</v>
      </c>
      <c r="D233" s="1240"/>
      <c r="E233" s="1240"/>
      <c r="F233" s="1241"/>
      <c r="G233" s="1241"/>
      <c r="H233" s="1241"/>
      <c r="I233" s="1241"/>
      <c r="J233" s="1242"/>
      <c r="K233" s="1241"/>
      <c r="L233" s="1242"/>
      <c r="M233" s="1243"/>
      <c r="N233" s="1244"/>
      <c r="T233" s="1220"/>
      <c r="U233" s="1221"/>
      <c r="V233" s="1221"/>
      <c r="AB233" s="1221"/>
      <c r="AC233" s="1221"/>
      <c r="AE233" s="1221"/>
      <c r="AF233" s="1261"/>
    </row>
    <row r="234" spans="1:32" s="1194" customFormat="1" ht="12" x14ac:dyDescent="0.2">
      <c r="A234" s="1222" t="s">
        <v>733</v>
      </c>
      <c r="B234" s="1223" t="s">
        <v>1368</v>
      </c>
      <c r="C234" s="1953" t="s">
        <v>1369</v>
      </c>
      <c r="D234" s="1953"/>
      <c r="E234" s="1953"/>
      <c r="F234" s="1224" t="s">
        <v>509</v>
      </c>
      <c r="G234" s="1224"/>
      <c r="H234" s="1224"/>
      <c r="I234" s="1224" t="s">
        <v>947</v>
      </c>
      <c r="J234" s="1225"/>
      <c r="K234" s="1224"/>
      <c r="L234" s="1225"/>
      <c r="M234" s="1224"/>
      <c r="N234" s="1226"/>
      <c r="T234" s="1220"/>
      <c r="U234" s="1221"/>
      <c r="V234" s="1221" t="s">
        <v>1369</v>
      </c>
      <c r="AB234" s="1221"/>
      <c r="AC234" s="1221"/>
      <c r="AE234" s="1221"/>
      <c r="AF234" s="1261"/>
    </row>
    <row r="235" spans="1:32" s="1194" customFormat="1" ht="12" x14ac:dyDescent="0.2">
      <c r="A235" s="1227"/>
      <c r="B235" s="1228"/>
      <c r="C235" s="1945" t="s">
        <v>2255</v>
      </c>
      <c r="D235" s="1945"/>
      <c r="E235" s="1945"/>
      <c r="F235" s="1945"/>
      <c r="G235" s="1945"/>
      <c r="H235" s="1945"/>
      <c r="I235" s="1945"/>
      <c r="J235" s="1945"/>
      <c r="K235" s="1945"/>
      <c r="L235" s="1945"/>
      <c r="M235" s="1945"/>
      <c r="N235" s="1954"/>
      <c r="T235" s="1220"/>
      <c r="U235" s="1221"/>
      <c r="V235" s="1221"/>
      <c r="W235" s="1198" t="s">
        <v>2255</v>
      </c>
      <c r="AB235" s="1221"/>
      <c r="AC235" s="1221"/>
      <c r="AE235" s="1221"/>
      <c r="AF235" s="1261"/>
    </row>
    <row r="236" spans="1:32" s="1194" customFormat="1" ht="33.75" x14ac:dyDescent="0.2">
      <c r="A236" s="1229"/>
      <c r="B236" s="1230" t="s">
        <v>310</v>
      </c>
      <c r="C236" s="1945" t="s">
        <v>311</v>
      </c>
      <c r="D236" s="1945"/>
      <c r="E236" s="1945"/>
      <c r="F236" s="1945"/>
      <c r="G236" s="1945"/>
      <c r="H236" s="1945"/>
      <c r="I236" s="1945"/>
      <c r="J236" s="1945"/>
      <c r="K236" s="1945"/>
      <c r="L236" s="1945"/>
      <c r="M236" s="1945"/>
      <c r="N236" s="1954"/>
      <c r="T236" s="1220"/>
      <c r="U236" s="1221"/>
      <c r="V236" s="1221"/>
      <c r="X236" s="1198" t="s">
        <v>311</v>
      </c>
      <c r="AB236" s="1221"/>
      <c r="AC236" s="1221"/>
      <c r="AE236" s="1221"/>
      <c r="AF236" s="1261"/>
    </row>
    <row r="237" spans="1:32" s="1194" customFormat="1" ht="12" x14ac:dyDescent="0.2">
      <c r="A237" s="1231"/>
      <c r="B237" s="1230" t="s">
        <v>185</v>
      </c>
      <c r="C237" s="1945" t="s">
        <v>312</v>
      </c>
      <c r="D237" s="1945"/>
      <c r="E237" s="1945"/>
      <c r="F237" s="1232"/>
      <c r="G237" s="1232"/>
      <c r="H237" s="1232"/>
      <c r="I237" s="1232"/>
      <c r="J237" s="1233">
        <v>1053</v>
      </c>
      <c r="K237" s="1232" t="s">
        <v>313</v>
      </c>
      <c r="L237" s="1233">
        <v>526.5</v>
      </c>
      <c r="M237" s="1232"/>
      <c r="N237" s="1234"/>
      <c r="T237" s="1220"/>
      <c r="U237" s="1221"/>
      <c r="V237" s="1221"/>
      <c r="Y237" s="1198" t="s">
        <v>312</v>
      </c>
      <c r="AB237" s="1221"/>
      <c r="AC237" s="1221"/>
      <c r="AE237" s="1221"/>
      <c r="AF237" s="1261"/>
    </row>
    <row r="238" spans="1:32" s="1194" customFormat="1" ht="12" x14ac:dyDescent="0.2">
      <c r="A238" s="1231"/>
      <c r="B238" s="1230" t="s">
        <v>186</v>
      </c>
      <c r="C238" s="1945" t="s">
        <v>344</v>
      </c>
      <c r="D238" s="1945"/>
      <c r="E238" s="1945"/>
      <c r="F238" s="1232"/>
      <c r="G238" s="1232"/>
      <c r="H238" s="1232"/>
      <c r="I238" s="1232"/>
      <c r="J238" s="1233">
        <v>1566.06</v>
      </c>
      <c r="K238" s="1232" t="s">
        <v>313</v>
      </c>
      <c r="L238" s="1233">
        <v>783.03</v>
      </c>
      <c r="M238" s="1232"/>
      <c r="N238" s="1234"/>
      <c r="T238" s="1220"/>
      <c r="U238" s="1221"/>
      <c r="V238" s="1221"/>
      <c r="Y238" s="1198" t="s">
        <v>344</v>
      </c>
      <c r="AB238" s="1221"/>
      <c r="AC238" s="1221"/>
      <c r="AE238" s="1221"/>
      <c r="AF238" s="1261"/>
    </row>
    <row r="239" spans="1:32" s="1194" customFormat="1" ht="12" x14ac:dyDescent="0.2">
      <c r="A239" s="1231"/>
      <c r="B239" s="1230" t="s">
        <v>187</v>
      </c>
      <c r="C239" s="1945" t="s">
        <v>345</v>
      </c>
      <c r="D239" s="1945"/>
      <c r="E239" s="1945"/>
      <c r="F239" s="1232"/>
      <c r="G239" s="1232"/>
      <c r="H239" s="1232"/>
      <c r="I239" s="1232"/>
      <c r="J239" s="1233">
        <v>244.39</v>
      </c>
      <c r="K239" s="1232" t="s">
        <v>313</v>
      </c>
      <c r="L239" s="1233">
        <v>122.2</v>
      </c>
      <c r="M239" s="1232"/>
      <c r="N239" s="1234"/>
      <c r="T239" s="1220"/>
      <c r="U239" s="1221"/>
      <c r="V239" s="1221"/>
      <c r="Y239" s="1198" t="s">
        <v>345</v>
      </c>
      <c r="AB239" s="1221"/>
      <c r="AC239" s="1221"/>
      <c r="AE239" s="1221"/>
      <c r="AF239" s="1261"/>
    </row>
    <row r="240" spans="1:32" s="1194" customFormat="1" ht="12" x14ac:dyDescent="0.2">
      <c r="A240" s="1231"/>
      <c r="B240" s="1230" t="s">
        <v>188</v>
      </c>
      <c r="C240" s="1945" t="s">
        <v>475</v>
      </c>
      <c r="D240" s="1945"/>
      <c r="E240" s="1945"/>
      <c r="F240" s="1232"/>
      <c r="G240" s="1232"/>
      <c r="H240" s="1232"/>
      <c r="I240" s="1232"/>
      <c r="J240" s="1233">
        <v>909.27</v>
      </c>
      <c r="K240" s="1232"/>
      <c r="L240" s="1233">
        <v>363.71</v>
      </c>
      <c r="M240" s="1232"/>
      <c r="N240" s="1234"/>
      <c r="T240" s="1220"/>
      <c r="U240" s="1221"/>
      <c r="V240" s="1221"/>
      <c r="Y240" s="1198" t="s">
        <v>475</v>
      </c>
      <c r="AB240" s="1221"/>
      <c r="AC240" s="1221"/>
      <c r="AE240" s="1221"/>
      <c r="AF240" s="1261"/>
    </row>
    <row r="241" spans="1:32" s="1194" customFormat="1" ht="12" x14ac:dyDescent="0.2">
      <c r="A241" s="1227"/>
      <c r="B241" s="1258" t="s">
        <v>639</v>
      </c>
      <c r="C241" s="1964" t="s">
        <v>640</v>
      </c>
      <c r="D241" s="1964"/>
      <c r="E241" s="1964"/>
      <c r="F241" s="1259" t="s">
        <v>641</v>
      </c>
      <c r="G241" s="1259" t="s">
        <v>680</v>
      </c>
      <c r="H241" s="1259"/>
      <c r="I241" s="1259" t="s">
        <v>9308</v>
      </c>
      <c r="J241" s="1230"/>
      <c r="K241" s="1232"/>
      <c r="L241" s="1233"/>
      <c r="M241" s="1232"/>
      <c r="N241" s="1260"/>
      <c r="T241" s="1220"/>
      <c r="U241" s="1221"/>
      <c r="V241" s="1221"/>
      <c r="AB241" s="1221"/>
      <c r="AC241" s="1221"/>
      <c r="AE241" s="1221"/>
      <c r="AF241" s="1261" t="s">
        <v>640</v>
      </c>
    </row>
    <row r="242" spans="1:32" s="1194" customFormat="1" ht="12" x14ac:dyDescent="0.2">
      <c r="A242" s="1231"/>
      <c r="B242" s="1230"/>
      <c r="C242" s="1945" t="s">
        <v>314</v>
      </c>
      <c r="D242" s="1945"/>
      <c r="E242" s="1945"/>
      <c r="F242" s="1232" t="s">
        <v>315</v>
      </c>
      <c r="G242" s="1232" t="s">
        <v>1373</v>
      </c>
      <c r="H242" s="1232" t="s">
        <v>313</v>
      </c>
      <c r="I242" s="1232" t="s">
        <v>9309</v>
      </c>
      <c r="J242" s="1233"/>
      <c r="K242" s="1232"/>
      <c r="L242" s="1233"/>
      <c r="M242" s="1232"/>
      <c r="N242" s="1234"/>
      <c r="T242" s="1220"/>
      <c r="U242" s="1221"/>
      <c r="V242" s="1221"/>
      <c r="Z242" s="1198" t="s">
        <v>314</v>
      </c>
      <c r="AB242" s="1221"/>
      <c r="AC242" s="1221"/>
      <c r="AE242" s="1221"/>
      <c r="AF242" s="1261"/>
    </row>
    <row r="243" spans="1:32" s="1194" customFormat="1" ht="12" x14ac:dyDescent="0.2">
      <c r="A243" s="1231"/>
      <c r="B243" s="1230"/>
      <c r="C243" s="1945" t="s">
        <v>348</v>
      </c>
      <c r="D243" s="1945"/>
      <c r="E243" s="1945"/>
      <c r="F243" s="1232" t="s">
        <v>315</v>
      </c>
      <c r="G243" s="1232" t="s">
        <v>1375</v>
      </c>
      <c r="H243" s="1232" t="s">
        <v>313</v>
      </c>
      <c r="I243" s="1232" t="s">
        <v>9310</v>
      </c>
      <c r="J243" s="1233"/>
      <c r="K243" s="1232"/>
      <c r="L243" s="1233"/>
      <c r="M243" s="1232"/>
      <c r="N243" s="1234"/>
      <c r="T243" s="1220"/>
      <c r="U243" s="1221"/>
      <c r="V243" s="1221"/>
      <c r="Z243" s="1198" t="s">
        <v>348</v>
      </c>
      <c r="AB243" s="1221"/>
      <c r="AC243" s="1221"/>
      <c r="AE243" s="1221"/>
      <c r="AF243" s="1261"/>
    </row>
    <row r="244" spans="1:32" s="1194" customFormat="1" ht="12" x14ac:dyDescent="0.2">
      <c r="A244" s="1231"/>
      <c r="B244" s="1230"/>
      <c r="C244" s="1962" t="s">
        <v>318</v>
      </c>
      <c r="D244" s="1962"/>
      <c r="E244" s="1962"/>
      <c r="F244" s="1235"/>
      <c r="G244" s="1235"/>
      <c r="H244" s="1235"/>
      <c r="I244" s="1235"/>
      <c r="J244" s="1236">
        <v>3528.33</v>
      </c>
      <c r="K244" s="1235"/>
      <c r="L244" s="1236">
        <v>1673.24</v>
      </c>
      <c r="M244" s="1235"/>
      <c r="N244" s="1237"/>
      <c r="T244" s="1220"/>
      <c r="U244" s="1221"/>
      <c r="V244" s="1221"/>
      <c r="AA244" s="1198" t="s">
        <v>318</v>
      </c>
      <c r="AB244" s="1221"/>
      <c r="AC244" s="1221"/>
      <c r="AE244" s="1221"/>
      <c r="AF244" s="1261"/>
    </row>
    <row r="245" spans="1:32" s="1194" customFormat="1" ht="12" x14ac:dyDescent="0.2">
      <c r="A245" s="1231"/>
      <c r="B245" s="1230"/>
      <c r="C245" s="1945" t="s">
        <v>319</v>
      </c>
      <c r="D245" s="1945"/>
      <c r="E245" s="1945"/>
      <c r="F245" s="1232"/>
      <c r="G245" s="1232"/>
      <c r="H245" s="1232"/>
      <c r="I245" s="1232"/>
      <c r="J245" s="1233"/>
      <c r="K245" s="1232"/>
      <c r="L245" s="1233">
        <v>648.70000000000005</v>
      </c>
      <c r="M245" s="1232"/>
      <c r="N245" s="1234"/>
      <c r="T245" s="1220"/>
      <c r="U245" s="1221"/>
      <c r="V245" s="1221"/>
      <c r="Z245" s="1198" t="s">
        <v>319</v>
      </c>
      <c r="AB245" s="1221"/>
      <c r="AC245" s="1221"/>
      <c r="AE245" s="1221"/>
      <c r="AF245" s="1261"/>
    </row>
    <row r="246" spans="1:32" s="1194" customFormat="1" ht="33.75" x14ac:dyDescent="0.2">
      <c r="A246" s="1231"/>
      <c r="B246" s="1230" t="s">
        <v>686</v>
      </c>
      <c r="C246" s="1945" t="s">
        <v>687</v>
      </c>
      <c r="D246" s="1945"/>
      <c r="E246" s="1945"/>
      <c r="F246" s="1232" t="s">
        <v>322</v>
      </c>
      <c r="G246" s="1232" t="s">
        <v>680</v>
      </c>
      <c r="H246" s="1232"/>
      <c r="I246" s="1232" t="s">
        <v>680</v>
      </c>
      <c r="J246" s="1233"/>
      <c r="K246" s="1232"/>
      <c r="L246" s="1233">
        <v>661.67</v>
      </c>
      <c r="M246" s="1232"/>
      <c r="N246" s="1234"/>
      <c r="T246" s="1220"/>
      <c r="U246" s="1221"/>
      <c r="V246" s="1221"/>
      <c r="Z246" s="1198" t="s">
        <v>687</v>
      </c>
      <c r="AB246" s="1221"/>
      <c r="AC246" s="1221"/>
      <c r="AE246" s="1221"/>
      <c r="AF246" s="1261"/>
    </row>
    <row r="247" spans="1:32" s="1194" customFormat="1" ht="33.75" x14ac:dyDescent="0.2">
      <c r="A247" s="1231"/>
      <c r="B247" s="1230" t="s">
        <v>688</v>
      </c>
      <c r="C247" s="1945" t="s">
        <v>689</v>
      </c>
      <c r="D247" s="1945"/>
      <c r="E247" s="1945"/>
      <c r="F247" s="1232" t="s">
        <v>322</v>
      </c>
      <c r="G247" s="1232" t="s">
        <v>690</v>
      </c>
      <c r="H247" s="1232"/>
      <c r="I247" s="1232" t="s">
        <v>690</v>
      </c>
      <c r="J247" s="1233"/>
      <c r="K247" s="1232"/>
      <c r="L247" s="1233">
        <v>376.25</v>
      </c>
      <c r="M247" s="1232"/>
      <c r="N247" s="1234"/>
      <c r="T247" s="1220"/>
      <c r="U247" s="1221"/>
      <c r="V247" s="1221"/>
      <c r="Z247" s="1198" t="s">
        <v>689</v>
      </c>
      <c r="AB247" s="1221"/>
      <c r="AC247" s="1221"/>
      <c r="AE247" s="1221"/>
      <c r="AF247" s="1261"/>
    </row>
    <row r="248" spans="1:32" s="1194" customFormat="1" ht="12" x14ac:dyDescent="0.2">
      <c r="A248" s="1238"/>
      <c r="B248" s="1239"/>
      <c r="C248" s="1953" t="s">
        <v>327</v>
      </c>
      <c r="D248" s="1953"/>
      <c r="E248" s="1953"/>
      <c r="F248" s="1224"/>
      <c r="G248" s="1224"/>
      <c r="H248" s="1224"/>
      <c r="I248" s="1224"/>
      <c r="J248" s="1225"/>
      <c r="K248" s="1224"/>
      <c r="L248" s="1225">
        <v>2711.16</v>
      </c>
      <c r="M248" s="1235"/>
      <c r="N248" s="1226"/>
      <c r="T248" s="1220"/>
      <c r="U248" s="1221"/>
      <c r="V248" s="1221"/>
      <c r="AB248" s="1221" t="s">
        <v>327</v>
      </c>
      <c r="AC248" s="1221"/>
      <c r="AE248" s="1221"/>
      <c r="AF248" s="1261"/>
    </row>
    <row r="249" spans="1:32" s="1194" customFormat="1" ht="22.5" x14ac:dyDescent="0.2">
      <c r="A249" s="1222" t="s">
        <v>736</v>
      </c>
      <c r="B249" s="1223" t="s">
        <v>1377</v>
      </c>
      <c r="C249" s="1953" t="s">
        <v>1378</v>
      </c>
      <c r="D249" s="1953"/>
      <c r="E249" s="1953"/>
      <c r="F249" s="1224" t="s">
        <v>641</v>
      </c>
      <c r="G249" s="1224"/>
      <c r="H249" s="1224"/>
      <c r="I249" s="1224" t="s">
        <v>9308</v>
      </c>
      <c r="J249" s="1225">
        <v>560</v>
      </c>
      <c r="K249" s="1224"/>
      <c r="L249" s="1225">
        <v>22848</v>
      </c>
      <c r="M249" s="1224"/>
      <c r="N249" s="1226"/>
      <c r="T249" s="1220"/>
      <c r="U249" s="1221"/>
      <c r="V249" s="1221" t="s">
        <v>1378</v>
      </c>
      <c r="AB249" s="1221"/>
      <c r="AC249" s="1221"/>
      <c r="AE249" s="1221"/>
      <c r="AF249" s="1261"/>
    </row>
    <row r="250" spans="1:32" s="1194" customFormat="1" ht="12" x14ac:dyDescent="0.2">
      <c r="A250" s="1238"/>
      <c r="B250" s="1239"/>
      <c r="C250" s="1196" t="s">
        <v>717</v>
      </c>
      <c r="D250" s="1240"/>
      <c r="E250" s="1240"/>
      <c r="F250" s="1241"/>
      <c r="G250" s="1241"/>
      <c r="H250" s="1241"/>
      <c r="I250" s="1241"/>
      <c r="J250" s="1242"/>
      <c r="K250" s="1241"/>
      <c r="L250" s="1242"/>
      <c r="M250" s="1243"/>
      <c r="N250" s="1244"/>
      <c r="T250" s="1220"/>
      <c r="U250" s="1221"/>
      <c r="V250" s="1221"/>
      <c r="AB250" s="1221"/>
      <c r="AC250" s="1221"/>
      <c r="AE250" s="1221"/>
      <c r="AF250" s="1261"/>
    </row>
    <row r="251" spans="1:32" s="1194" customFormat="1" ht="33.75" x14ac:dyDescent="0.2">
      <c r="A251" s="1222" t="s">
        <v>1067</v>
      </c>
      <c r="B251" s="1223" t="s">
        <v>9311</v>
      </c>
      <c r="C251" s="1953" t="s">
        <v>9312</v>
      </c>
      <c r="D251" s="1953"/>
      <c r="E251" s="1953"/>
      <c r="F251" s="1224" t="s">
        <v>509</v>
      </c>
      <c r="G251" s="1224"/>
      <c r="H251" s="1224"/>
      <c r="I251" s="1224" t="s">
        <v>912</v>
      </c>
      <c r="J251" s="1225"/>
      <c r="K251" s="1224"/>
      <c r="L251" s="1225"/>
      <c r="M251" s="1224"/>
      <c r="N251" s="1226"/>
      <c r="T251" s="1220"/>
      <c r="U251" s="1221"/>
      <c r="V251" s="1221" t="s">
        <v>9312</v>
      </c>
      <c r="AB251" s="1221"/>
      <c r="AC251" s="1221"/>
      <c r="AE251" s="1221"/>
      <c r="AF251" s="1261"/>
    </row>
    <row r="252" spans="1:32" s="1194" customFormat="1" ht="12" x14ac:dyDescent="0.2">
      <c r="A252" s="1227"/>
      <c r="B252" s="1228"/>
      <c r="C252" s="1945" t="s">
        <v>9313</v>
      </c>
      <c r="D252" s="1945"/>
      <c r="E252" s="1945"/>
      <c r="F252" s="1945"/>
      <c r="G252" s="1945"/>
      <c r="H252" s="1945"/>
      <c r="I252" s="1945"/>
      <c r="J252" s="1945"/>
      <c r="K252" s="1945"/>
      <c r="L252" s="1945"/>
      <c r="M252" s="1945"/>
      <c r="N252" s="1954"/>
      <c r="T252" s="1220"/>
      <c r="U252" s="1221"/>
      <c r="V252" s="1221"/>
      <c r="W252" s="1198" t="s">
        <v>9313</v>
      </c>
      <c r="AB252" s="1221"/>
      <c r="AC252" s="1221"/>
      <c r="AE252" s="1221"/>
      <c r="AF252" s="1261"/>
    </row>
    <row r="253" spans="1:32" s="1194" customFormat="1" ht="33.75" x14ac:dyDescent="0.2">
      <c r="A253" s="1229"/>
      <c r="B253" s="1230" t="s">
        <v>310</v>
      </c>
      <c r="C253" s="1945" t="s">
        <v>311</v>
      </c>
      <c r="D253" s="1945"/>
      <c r="E253" s="1945"/>
      <c r="F253" s="1945"/>
      <c r="G253" s="1945"/>
      <c r="H253" s="1945"/>
      <c r="I253" s="1945"/>
      <c r="J253" s="1945"/>
      <c r="K253" s="1945"/>
      <c r="L253" s="1945"/>
      <c r="M253" s="1945"/>
      <c r="N253" s="1954"/>
      <c r="T253" s="1220"/>
      <c r="U253" s="1221"/>
      <c r="V253" s="1221"/>
      <c r="X253" s="1198" t="s">
        <v>311</v>
      </c>
      <c r="AB253" s="1221"/>
      <c r="AC253" s="1221"/>
      <c r="AE253" s="1221"/>
      <c r="AF253" s="1261"/>
    </row>
    <row r="254" spans="1:32" s="1194" customFormat="1" ht="12" x14ac:dyDescent="0.2">
      <c r="A254" s="1231"/>
      <c r="B254" s="1230" t="s">
        <v>185</v>
      </c>
      <c r="C254" s="1945" t="s">
        <v>312</v>
      </c>
      <c r="D254" s="1945"/>
      <c r="E254" s="1945"/>
      <c r="F254" s="1232"/>
      <c r="G254" s="1232"/>
      <c r="H254" s="1232"/>
      <c r="I254" s="1232"/>
      <c r="J254" s="1233">
        <v>5174.08</v>
      </c>
      <c r="K254" s="1232" t="s">
        <v>313</v>
      </c>
      <c r="L254" s="1233">
        <v>148754.79999999999</v>
      </c>
      <c r="M254" s="1232"/>
      <c r="N254" s="1234"/>
      <c r="T254" s="1220"/>
      <c r="U254" s="1221"/>
      <c r="V254" s="1221"/>
      <c r="Y254" s="1198" t="s">
        <v>312</v>
      </c>
      <c r="AB254" s="1221"/>
      <c r="AC254" s="1221"/>
      <c r="AE254" s="1221"/>
      <c r="AF254" s="1261"/>
    </row>
    <row r="255" spans="1:32" s="1194" customFormat="1" ht="12" x14ac:dyDescent="0.2">
      <c r="A255" s="1231"/>
      <c r="B255" s="1230" t="s">
        <v>186</v>
      </c>
      <c r="C255" s="1945" t="s">
        <v>344</v>
      </c>
      <c r="D255" s="1945"/>
      <c r="E255" s="1945"/>
      <c r="F255" s="1232"/>
      <c r="G255" s="1232"/>
      <c r="H255" s="1232"/>
      <c r="I255" s="1232"/>
      <c r="J255" s="1233">
        <v>3593.66</v>
      </c>
      <c r="K255" s="1232" t="s">
        <v>313</v>
      </c>
      <c r="L255" s="1233">
        <v>103317.73</v>
      </c>
      <c r="M255" s="1232"/>
      <c r="N255" s="1234"/>
      <c r="T255" s="1220"/>
      <c r="U255" s="1221"/>
      <c r="V255" s="1221"/>
      <c r="Y255" s="1198" t="s">
        <v>344</v>
      </c>
      <c r="AB255" s="1221"/>
      <c r="AC255" s="1221"/>
      <c r="AE255" s="1221"/>
      <c r="AF255" s="1261"/>
    </row>
    <row r="256" spans="1:32" s="1194" customFormat="1" ht="12" x14ac:dyDescent="0.2">
      <c r="A256" s="1231"/>
      <c r="B256" s="1230" t="s">
        <v>187</v>
      </c>
      <c r="C256" s="1945" t="s">
        <v>345</v>
      </c>
      <c r="D256" s="1945"/>
      <c r="E256" s="1945"/>
      <c r="F256" s="1232"/>
      <c r="G256" s="1232"/>
      <c r="H256" s="1232"/>
      <c r="I256" s="1232"/>
      <c r="J256" s="1233">
        <v>476.62</v>
      </c>
      <c r="K256" s="1232" t="s">
        <v>313</v>
      </c>
      <c r="L256" s="1233">
        <v>13702.83</v>
      </c>
      <c r="M256" s="1232"/>
      <c r="N256" s="1234"/>
      <c r="T256" s="1220"/>
      <c r="U256" s="1221"/>
      <c r="V256" s="1221"/>
      <c r="Y256" s="1198" t="s">
        <v>345</v>
      </c>
      <c r="AB256" s="1221"/>
      <c r="AC256" s="1221"/>
      <c r="AE256" s="1221"/>
      <c r="AF256" s="1261"/>
    </row>
    <row r="257" spans="1:33" s="1194" customFormat="1" ht="12" x14ac:dyDescent="0.2">
      <c r="A257" s="1231"/>
      <c r="B257" s="1230" t="s">
        <v>188</v>
      </c>
      <c r="C257" s="1945" t="s">
        <v>475</v>
      </c>
      <c r="D257" s="1945"/>
      <c r="E257" s="1945"/>
      <c r="F257" s="1232"/>
      <c r="G257" s="1232"/>
      <c r="H257" s="1232"/>
      <c r="I257" s="1232"/>
      <c r="J257" s="1233">
        <v>6521.93</v>
      </c>
      <c r="K257" s="1232"/>
      <c r="L257" s="1233">
        <v>150004.39000000001</v>
      </c>
      <c r="M257" s="1232"/>
      <c r="N257" s="1234"/>
      <c r="T257" s="1220"/>
      <c r="U257" s="1221"/>
      <c r="V257" s="1221"/>
      <c r="Y257" s="1198" t="s">
        <v>475</v>
      </c>
      <c r="AB257" s="1221"/>
      <c r="AC257" s="1221"/>
      <c r="AE257" s="1221"/>
      <c r="AF257" s="1261"/>
    </row>
    <row r="258" spans="1:33" s="1194" customFormat="1" ht="12" x14ac:dyDescent="0.2">
      <c r="A258" s="1227"/>
      <c r="B258" s="1258" t="s">
        <v>639</v>
      </c>
      <c r="C258" s="1964" t="s">
        <v>640</v>
      </c>
      <c r="D258" s="1964"/>
      <c r="E258" s="1964"/>
      <c r="F258" s="1259" t="s">
        <v>641</v>
      </c>
      <c r="G258" s="1259" t="s">
        <v>1384</v>
      </c>
      <c r="H258" s="1259"/>
      <c r="I258" s="1259" t="s">
        <v>9314</v>
      </c>
      <c r="J258" s="1230"/>
      <c r="K258" s="1232"/>
      <c r="L258" s="1233"/>
      <c r="M258" s="1232"/>
      <c r="N258" s="1260"/>
      <c r="T258" s="1220"/>
      <c r="U258" s="1221"/>
      <c r="V258" s="1221"/>
      <c r="AB258" s="1221"/>
      <c r="AC258" s="1221"/>
      <c r="AE258" s="1221"/>
      <c r="AF258" s="1261" t="s">
        <v>640</v>
      </c>
    </row>
    <row r="259" spans="1:33" s="1194" customFormat="1" ht="12" x14ac:dyDescent="0.2">
      <c r="A259" s="1227"/>
      <c r="B259" s="1258" t="s">
        <v>1272</v>
      </c>
      <c r="C259" s="1964" t="s">
        <v>1273</v>
      </c>
      <c r="D259" s="1964"/>
      <c r="E259" s="1964"/>
      <c r="F259" s="1259" t="s">
        <v>694</v>
      </c>
      <c r="G259" s="1259" t="s">
        <v>8369</v>
      </c>
      <c r="H259" s="1259"/>
      <c r="I259" s="1259" t="s">
        <v>9315</v>
      </c>
      <c r="J259" s="1230"/>
      <c r="K259" s="1232"/>
      <c r="L259" s="1233"/>
      <c r="M259" s="1232"/>
      <c r="N259" s="1260"/>
      <c r="T259" s="1220"/>
      <c r="U259" s="1221"/>
      <c r="V259" s="1221"/>
      <c r="AB259" s="1221"/>
      <c r="AC259" s="1221"/>
      <c r="AE259" s="1221"/>
      <c r="AF259" s="1261" t="s">
        <v>1273</v>
      </c>
    </row>
    <row r="260" spans="1:33" s="1194" customFormat="1" ht="12" x14ac:dyDescent="0.2">
      <c r="A260" s="1231"/>
      <c r="B260" s="1230"/>
      <c r="C260" s="1945" t="s">
        <v>314</v>
      </c>
      <c r="D260" s="1945"/>
      <c r="E260" s="1945"/>
      <c r="F260" s="1232" t="s">
        <v>315</v>
      </c>
      <c r="G260" s="1232" t="s">
        <v>9316</v>
      </c>
      <c r="H260" s="1232" t="s">
        <v>313</v>
      </c>
      <c r="I260" s="1232" t="s">
        <v>9317</v>
      </c>
      <c r="J260" s="1233"/>
      <c r="K260" s="1232"/>
      <c r="L260" s="1233"/>
      <c r="M260" s="1232"/>
      <c r="N260" s="1234"/>
      <c r="T260" s="1220"/>
      <c r="U260" s="1221"/>
      <c r="V260" s="1221"/>
      <c r="Z260" s="1198" t="s">
        <v>314</v>
      </c>
      <c r="AB260" s="1221"/>
      <c r="AC260" s="1221"/>
      <c r="AE260" s="1221"/>
      <c r="AF260" s="1261"/>
    </row>
    <row r="261" spans="1:33" s="1194" customFormat="1" ht="12" x14ac:dyDescent="0.2">
      <c r="A261" s="1231"/>
      <c r="B261" s="1230"/>
      <c r="C261" s="1945" t="s">
        <v>348</v>
      </c>
      <c r="D261" s="1945"/>
      <c r="E261" s="1945"/>
      <c r="F261" s="1232" t="s">
        <v>315</v>
      </c>
      <c r="G261" s="1232" t="s">
        <v>9318</v>
      </c>
      <c r="H261" s="1232" t="s">
        <v>313</v>
      </c>
      <c r="I261" s="1232" t="s">
        <v>9319</v>
      </c>
      <c r="J261" s="1233"/>
      <c r="K261" s="1232"/>
      <c r="L261" s="1233"/>
      <c r="M261" s="1232"/>
      <c r="N261" s="1234"/>
      <c r="T261" s="1220"/>
      <c r="U261" s="1221"/>
      <c r="V261" s="1221"/>
      <c r="Z261" s="1198" t="s">
        <v>348</v>
      </c>
      <c r="AB261" s="1221"/>
      <c r="AC261" s="1221"/>
      <c r="AE261" s="1221"/>
      <c r="AF261" s="1261"/>
    </row>
    <row r="262" spans="1:33" s="1194" customFormat="1" ht="12" x14ac:dyDescent="0.2">
      <c r="A262" s="1231"/>
      <c r="B262" s="1230"/>
      <c r="C262" s="1962" t="s">
        <v>318</v>
      </c>
      <c r="D262" s="1962"/>
      <c r="E262" s="1962"/>
      <c r="F262" s="1235"/>
      <c r="G262" s="1235"/>
      <c r="H262" s="1235"/>
      <c r="I262" s="1235"/>
      <c r="J262" s="1236">
        <v>15289.67</v>
      </c>
      <c r="K262" s="1235"/>
      <c r="L262" s="1236">
        <v>402076.92</v>
      </c>
      <c r="M262" s="1235"/>
      <c r="N262" s="1237"/>
      <c r="T262" s="1220"/>
      <c r="U262" s="1221"/>
      <c r="V262" s="1221"/>
      <c r="AA262" s="1198" t="s">
        <v>318</v>
      </c>
      <c r="AB262" s="1221"/>
      <c r="AC262" s="1221"/>
      <c r="AE262" s="1221"/>
      <c r="AF262" s="1261"/>
    </row>
    <row r="263" spans="1:33" s="1194" customFormat="1" ht="12" x14ac:dyDescent="0.2">
      <c r="A263" s="1231"/>
      <c r="B263" s="1230"/>
      <c r="C263" s="1945" t="s">
        <v>319</v>
      </c>
      <c r="D263" s="1945"/>
      <c r="E263" s="1945"/>
      <c r="F263" s="1232"/>
      <c r="G263" s="1232"/>
      <c r="H263" s="1232"/>
      <c r="I263" s="1232"/>
      <c r="J263" s="1233"/>
      <c r="K263" s="1232"/>
      <c r="L263" s="1233">
        <v>162457.63</v>
      </c>
      <c r="M263" s="1232"/>
      <c r="N263" s="1234"/>
      <c r="T263" s="1220"/>
      <c r="U263" s="1221"/>
      <c r="V263" s="1221"/>
      <c r="Z263" s="1198" t="s">
        <v>319</v>
      </c>
      <c r="AB263" s="1221"/>
      <c r="AC263" s="1221"/>
      <c r="AE263" s="1221"/>
      <c r="AF263" s="1261"/>
    </row>
    <row r="264" spans="1:33" s="1194" customFormat="1" ht="33.75" x14ac:dyDescent="0.2">
      <c r="A264" s="1231"/>
      <c r="B264" s="1230" t="s">
        <v>686</v>
      </c>
      <c r="C264" s="1945" t="s">
        <v>687</v>
      </c>
      <c r="D264" s="1945"/>
      <c r="E264" s="1945"/>
      <c r="F264" s="1232" t="s">
        <v>322</v>
      </c>
      <c r="G264" s="1232" t="s">
        <v>680</v>
      </c>
      <c r="H264" s="1232"/>
      <c r="I264" s="1232" t="s">
        <v>680</v>
      </c>
      <c r="J264" s="1233"/>
      <c r="K264" s="1232"/>
      <c r="L264" s="1233">
        <v>165706.78</v>
      </c>
      <c r="M264" s="1232"/>
      <c r="N264" s="1234"/>
      <c r="T264" s="1220"/>
      <c r="U264" s="1221"/>
      <c r="V264" s="1221"/>
      <c r="Z264" s="1198" t="s">
        <v>687</v>
      </c>
      <c r="AB264" s="1221"/>
      <c r="AC264" s="1221"/>
      <c r="AE264" s="1221"/>
      <c r="AF264" s="1261"/>
    </row>
    <row r="265" spans="1:33" s="1194" customFormat="1" ht="33.75" x14ac:dyDescent="0.2">
      <c r="A265" s="1231"/>
      <c r="B265" s="1230" t="s">
        <v>688</v>
      </c>
      <c r="C265" s="1945" t="s">
        <v>689</v>
      </c>
      <c r="D265" s="1945"/>
      <c r="E265" s="1945"/>
      <c r="F265" s="1232" t="s">
        <v>322</v>
      </c>
      <c r="G265" s="1232" t="s">
        <v>690</v>
      </c>
      <c r="H265" s="1232"/>
      <c r="I265" s="1232" t="s">
        <v>690</v>
      </c>
      <c r="J265" s="1233"/>
      <c r="K265" s="1232"/>
      <c r="L265" s="1233">
        <v>94225.43</v>
      </c>
      <c r="M265" s="1232"/>
      <c r="N265" s="1234"/>
      <c r="T265" s="1220"/>
      <c r="U265" s="1221"/>
      <c r="V265" s="1221"/>
      <c r="Z265" s="1198" t="s">
        <v>689</v>
      </c>
      <c r="AB265" s="1221"/>
      <c r="AC265" s="1221"/>
      <c r="AE265" s="1221"/>
      <c r="AF265" s="1261"/>
    </row>
    <row r="266" spans="1:33" s="1194" customFormat="1" ht="12" x14ac:dyDescent="0.2">
      <c r="A266" s="1238"/>
      <c r="B266" s="1239"/>
      <c r="C266" s="1953" t="s">
        <v>327</v>
      </c>
      <c r="D266" s="1953"/>
      <c r="E266" s="1953"/>
      <c r="F266" s="1224"/>
      <c r="G266" s="1224"/>
      <c r="H266" s="1224"/>
      <c r="I266" s="1224"/>
      <c r="J266" s="1225"/>
      <c r="K266" s="1224"/>
      <c r="L266" s="1225">
        <v>662009.13</v>
      </c>
      <c r="M266" s="1235"/>
      <c r="N266" s="1226"/>
      <c r="T266" s="1220"/>
      <c r="U266" s="1221"/>
      <c r="V266" s="1221"/>
      <c r="AB266" s="1221" t="s">
        <v>327</v>
      </c>
      <c r="AC266" s="1221"/>
      <c r="AE266" s="1221"/>
      <c r="AF266" s="1261"/>
    </row>
    <row r="267" spans="1:33" s="1194" customFormat="1" ht="45" x14ac:dyDescent="0.2">
      <c r="A267" s="1222" t="s">
        <v>912</v>
      </c>
      <c r="B267" s="1223" t="s">
        <v>9320</v>
      </c>
      <c r="C267" s="1953" t="s">
        <v>9321</v>
      </c>
      <c r="D267" s="1953"/>
      <c r="E267" s="1953"/>
      <c r="F267" s="1224" t="s">
        <v>641</v>
      </c>
      <c r="G267" s="1224"/>
      <c r="H267" s="1224"/>
      <c r="I267" s="1224" t="s">
        <v>9314</v>
      </c>
      <c r="J267" s="1225">
        <v>1025.05</v>
      </c>
      <c r="K267" s="1224"/>
      <c r="L267" s="1225">
        <v>2392979.23</v>
      </c>
      <c r="M267" s="1224"/>
      <c r="N267" s="1226"/>
      <c r="T267" s="1220"/>
      <c r="U267" s="1221"/>
      <c r="V267" s="1221" t="s">
        <v>9321</v>
      </c>
      <c r="AB267" s="1221"/>
      <c r="AC267" s="1221"/>
      <c r="AE267" s="1221"/>
      <c r="AF267" s="1261"/>
    </row>
    <row r="268" spans="1:33" s="1194" customFormat="1" ht="12" x14ac:dyDescent="0.2">
      <c r="A268" s="1238"/>
      <c r="B268" s="1239"/>
      <c r="C268" s="1196" t="s">
        <v>717</v>
      </c>
      <c r="D268" s="1240"/>
      <c r="E268" s="1240"/>
      <c r="F268" s="1241"/>
      <c r="G268" s="1241"/>
      <c r="H268" s="1241"/>
      <c r="I268" s="1241"/>
      <c r="J268" s="1242"/>
      <c r="K268" s="1241"/>
      <c r="L268" s="1242"/>
      <c r="M268" s="1243"/>
      <c r="N268" s="1244"/>
      <c r="T268" s="1220"/>
      <c r="U268" s="1221"/>
      <c r="V268" s="1221"/>
      <c r="AB268" s="1221"/>
      <c r="AC268" s="1221"/>
      <c r="AE268" s="1221"/>
      <c r="AF268" s="1261"/>
    </row>
    <row r="269" spans="1:33" s="1194" customFormat="1" ht="33.75" x14ac:dyDescent="0.2">
      <c r="A269" s="1222" t="s">
        <v>757</v>
      </c>
      <c r="B269" s="1223" t="s">
        <v>657</v>
      </c>
      <c r="C269" s="1953" t="s">
        <v>9322</v>
      </c>
      <c r="D269" s="1953"/>
      <c r="E269" s="1953"/>
      <c r="F269" s="1224" t="s">
        <v>641</v>
      </c>
      <c r="G269" s="1224"/>
      <c r="H269" s="1224"/>
      <c r="I269" s="1224" t="s">
        <v>9323</v>
      </c>
      <c r="J269" s="1225">
        <v>28.18</v>
      </c>
      <c r="K269" s="1224"/>
      <c r="L269" s="1225">
        <v>64814</v>
      </c>
      <c r="M269" s="1224"/>
      <c r="N269" s="1226"/>
      <c r="T269" s="1220"/>
      <c r="U269" s="1221"/>
      <c r="V269" s="1221" t="s">
        <v>9322</v>
      </c>
      <c r="AB269" s="1221"/>
      <c r="AC269" s="1221"/>
      <c r="AE269" s="1221"/>
      <c r="AF269" s="1261"/>
    </row>
    <row r="270" spans="1:33" s="1194" customFormat="1" ht="12" x14ac:dyDescent="0.2">
      <c r="A270" s="1238"/>
      <c r="B270" s="1239"/>
      <c r="C270" s="1196" t="s">
        <v>717</v>
      </c>
      <c r="D270" s="1240"/>
      <c r="E270" s="1240"/>
      <c r="F270" s="1241"/>
      <c r="G270" s="1241"/>
      <c r="H270" s="1241"/>
      <c r="I270" s="1241"/>
      <c r="J270" s="1242"/>
      <c r="K270" s="1241"/>
      <c r="L270" s="1242"/>
      <c r="M270" s="1243"/>
      <c r="N270" s="1244"/>
      <c r="T270" s="1220"/>
      <c r="U270" s="1221"/>
      <c r="V270" s="1221"/>
      <c r="AB270" s="1221"/>
      <c r="AC270" s="1221"/>
      <c r="AE270" s="1221"/>
      <c r="AF270" s="1261"/>
    </row>
    <row r="271" spans="1:33" s="1194" customFormat="1" ht="12" x14ac:dyDescent="0.2">
      <c r="A271" s="1227"/>
      <c r="B271" s="1228"/>
      <c r="C271" s="1945" t="s">
        <v>9324</v>
      </c>
      <c r="D271" s="1945"/>
      <c r="E271" s="1945"/>
      <c r="F271" s="1945"/>
      <c r="G271" s="1945"/>
      <c r="H271" s="1945"/>
      <c r="I271" s="1945"/>
      <c r="J271" s="1945"/>
      <c r="K271" s="1945"/>
      <c r="L271" s="1945"/>
      <c r="M271" s="1945"/>
      <c r="N271" s="1954"/>
      <c r="T271" s="1220"/>
      <c r="U271" s="1221"/>
      <c r="V271" s="1221"/>
      <c r="AB271" s="1221"/>
      <c r="AC271" s="1221"/>
      <c r="AE271" s="1221"/>
      <c r="AF271" s="1261"/>
      <c r="AG271" s="1198" t="s">
        <v>9324</v>
      </c>
    </row>
    <row r="272" spans="1:33" s="1194" customFormat="1" ht="33.75" x14ac:dyDescent="0.2">
      <c r="A272" s="1222" t="s">
        <v>1079</v>
      </c>
      <c r="B272" s="1223" t="s">
        <v>9325</v>
      </c>
      <c r="C272" s="1953" t="s">
        <v>9326</v>
      </c>
      <c r="D272" s="1953"/>
      <c r="E272" s="1953"/>
      <c r="F272" s="1224" t="s">
        <v>694</v>
      </c>
      <c r="G272" s="1224"/>
      <c r="H272" s="1224"/>
      <c r="I272" s="1224" t="s">
        <v>9327</v>
      </c>
      <c r="J272" s="1225">
        <v>7997.23</v>
      </c>
      <c r="K272" s="1224"/>
      <c r="L272" s="1225">
        <v>58587.71</v>
      </c>
      <c r="M272" s="1224"/>
      <c r="N272" s="1226"/>
      <c r="T272" s="1220"/>
      <c r="U272" s="1221"/>
      <c r="V272" s="1221" t="s">
        <v>9326</v>
      </c>
      <c r="AB272" s="1221"/>
      <c r="AC272" s="1221"/>
      <c r="AE272" s="1221"/>
      <c r="AF272" s="1261"/>
    </row>
    <row r="273" spans="1:32" s="1194" customFormat="1" ht="12" x14ac:dyDescent="0.2">
      <c r="A273" s="1238"/>
      <c r="B273" s="1239"/>
      <c r="C273" s="1196" t="s">
        <v>717</v>
      </c>
      <c r="D273" s="1240"/>
      <c r="E273" s="1240"/>
      <c r="F273" s="1241"/>
      <c r="G273" s="1241"/>
      <c r="H273" s="1241"/>
      <c r="I273" s="1241"/>
      <c r="J273" s="1242"/>
      <c r="K273" s="1241"/>
      <c r="L273" s="1242"/>
      <c r="M273" s="1243"/>
      <c r="N273" s="1244"/>
      <c r="T273" s="1220"/>
      <c r="U273" s="1221"/>
      <c r="V273" s="1221"/>
      <c r="AB273" s="1221"/>
      <c r="AC273" s="1221"/>
      <c r="AE273" s="1221"/>
      <c r="AF273" s="1261"/>
    </row>
    <row r="274" spans="1:32" s="1194" customFormat="1" ht="33.75" x14ac:dyDescent="0.2">
      <c r="A274" s="1222" t="s">
        <v>759</v>
      </c>
      <c r="B274" s="1223" t="s">
        <v>9328</v>
      </c>
      <c r="C274" s="1953" t="s">
        <v>9329</v>
      </c>
      <c r="D274" s="1953"/>
      <c r="E274" s="1953"/>
      <c r="F274" s="1224" t="s">
        <v>694</v>
      </c>
      <c r="G274" s="1224"/>
      <c r="H274" s="1224"/>
      <c r="I274" s="1224" t="s">
        <v>9330</v>
      </c>
      <c r="J274" s="1225">
        <v>7956.21</v>
      </c>
      <c r="K274" s="1224"/>
      <c r="L274" s="1225">
        <v>69139.460000000006</v>
      </c>
      <c r="M274" s="1224"/>
      <c r="N274" s="1226"/>
      <c r="T274" s="1220"/>
      <c r="U274" s="1221"/>
      <c r="V274" s="1221" t="s">
        <v>9329</v>
      </c>
      <c r="AB274" s="1221"/>
      <c r="AC274" s="1221"/>
      <c r="AE274" s="1221"/>
      <c r="AF274" s="1261"/>
    </row>
    <row r="275" spans="1:32" s="1194" customFormat="1" ht="12" x14ac:dyDescent="0.2">
      <c r="A275" s="1238"/>
      <c r="B275" s="1239"/>
      <c r="C275" s="1196" t="s">
        <v>717</v>
      </c>
      <c r="D275" s="1240"/>
      <c r="E275" s="1240"/>
      <c r="F275" s="1241"/>
      <c r="G275" s="1241"/>
      <c r="H275" s="1241"/>
      <c r="I275" s="1241"/>
      <c r="J275" s="1242"/>
      <c r="K275" s="1241"/>
      <c r="L275" s="1242"/>
      <c r="M275" s="1243"/>
      <c r="N275" s="1244"/>
      <c r="T275" s="1220"/>
      <c r="U275" s="1221"/>
      <c r="V275" s="1221"/>
      <c r="AB275" s="1221"/>
      <c r="AC275" s="1221"/>
      <c r="AE275" s="1221"/>
      <c r="AF275" s="1261"/>
    </row>
    <row r="276" spans="1:32" s="1194" customFormat="1" ht="22.5" x14ac:dyDescent="0.2">
      <c r="A276" s="1222" t="s">
        <v>917</v>
      </c>
      <c r="B276" s="1223" t="s">
        <v>9331</v>
      </c>
      <c r="C276" s="1953" t="s">
        <v>9332</v>
      </c>
      <c r="D276" s="1953"/>
      <c r="E276" s="1953"/>
      <c r="F276" s="1224" t="s">
        <v>694</v>
      </c>
      <c r="G276" s="1224"/>
      <c r="H276" s="1224"/>
      <c r="I276" s="1224" t="s">
        <v>9333</v>
      </c>
      <c r="J276" s="1225"/>
      <c r="K276" s="1224"/>
      <c r="L276" s="1225"/>
      <c r="M276" s="1224"/>
      <c r="N276" s="1226"/>
      <c r="T276" s="1220"/>
      <c r="U276" s="1221"/>
      <c r="V276" s="1221" t="s">
        <v>9332</v>
      </c>
      <c r="AB276" s="1221"/>
      <c r="AC276" s="1221"/>
      <c r="AE276" s="1221"/>
      <c r="AF276" s="1261"/>
    </row>
    <row r="277" spans="1:32" s="1194" customFormat="1" ht="12" x14ac:dyDescent="0.2">
      <c r="A277" s="1227"/>
      <c r="B277" s="1228"/>
      <c r="C277" s="1945" t="s">
        <v>9334</v>
      </c>
      <c r="D277" s="1945"/>
      <c r="E277" s="1945"/>
      <c r="F277" s="1945"/>
      <c r="G277" s="1945"/>
      <c r="H277" s="1945"/>
      <c r="I277" s="1945"/>
      <c r="J277" s="1945"/>
      <c r="K277" s="1945"/>
      <c r="L277" s="1945"/>
      <c r="M277" s="1945"/>
      <c r="N277" s="1954"/>
      <c r="T277" s="1220"/>
      <c r="U277" s="1221"/>
      <c r="V277" s="1221"/>
      <c r="W277" s="1198" t="s">
        <v>9334</v>
      </c>
      <c r="AB277" s="1221"/>
      <c r="AC277" s="1221"/>
      <c r="AE277" s="1221"/>
      <c r="AF277" s="1261"/>
    </row>
    <row r="278" spans="1:32" s="1194" customFormat="1" ht="33.75" x14ac:dyDescent="0.2">
      <c r="A278" s="1229"/>
      <c r="B278" s="1230" t="s">
        <v>310</v>
      </c>
      <c r="C278" s="1945" t="s">
        <v>311</v>
      </c>
      <c r="D278" s="1945"/>
      <c r="E278" s="1945"/>
      <c r="F278" s="1945"/>
      <c r="G278" s="1945"/>
      <c r="H278" s="1945"/>
      <c r="I278" s="1945"/>
      <c r="J278" s="1945"/>
      <c r="K278" s="1945"/>
      <c r="L278" s="1945"/>
      <c r="M278" s="1945"/>
      <c r="N278" s="1954"/>
      <c r="T278" s="1220"/>
      <c r="U278" s="1221"/>
      <c r="V278" s="1221"/>
      <c r="X278" s="1198" t="s">
        <v>311</v>
      </c>
      <c r="AB278" s="1221"/>
      <c r="AC278" s="1221"/>
      <c r="AE278" s="1221"/>
      <c r="AF278" s="1261"/>
    </row>
    <row r="279" spans="1:32" s="1194" customFormat="1" ht="12" x14ac:dyDescent="0.2">
      <c r="A279" s="1231"/>
      <c r="B279" s="1230" t="s">
        <v>185</v>
      </c>
      <c r="C279" s="1945" t="s">
        <v>312</v>
      </c>
      <c r="D279" s="1945"/>
      <c r="E279" s="1945"/>
      <c r="F279" s="1232"/>
      <c r="G279" s="1232"/>
      <c r="H279" s="1232"/>
      <c r="I279" s="1232"/>
      <c r="J279" s="1233">
        <v>1795.86</v>
      </c>
      <c r="K279" s="1232" t="s">
        <v>313</v>
      </c>
      <c r="L279" s="1233">
        <v>1216.92</v>
      </c>
      <c r="M279" s="1232"/>
      <c r="N279" s="1234"/>
      <c r="T279" s="1220"/>
      <c r="U279" s="1221"/>
      <c r="V279" s="1221"/>
      <c r="Y279" s="1198" t="s">
        <v>312</v>
      </c>
      <c r="AB279" s="1221"/>
      <c r="AC279" s="1221"/>
      <c r="AE279" s="1221"/>
      <c r="AF279" s="1261"/>
    </row>
    <row r="280" spans="1:32" s="1194" customFormat="1" ht="12" x14ac:dyDescent="0.2">
      <c r="A280" s="1231"/>
      <c r="B280" s="1230" t="s">
        <v>186</v>
      </c>
      <c r="C280" s="1945" t="s">
        <v>344</v>
      </c>
      <c r="D280" s="1945"/>
      <c r="E280" s="1945"/>
      <c r="F280" s="1232"/>
      <c r="G280" s="1232"/>
      <c r="H280" s="1232"/>
      <c r="I280" s="1232"/>
      <c r="J280" s="1233">
        <v>28.64</v>
      </c>
      <c r="K280" s="1232" t="s">
        <v>313</v>
      </c>
      <c r="L280" s="1233">
        <v>19.41</v>
      </c>
      <c r="M280" s="1232"/>
      <c r="N280" s="1234"/>
      <c r="T280" s="1220"/>
      <c r="U280" s="1221"/>
      <c r="V280" s="1221"/>
      <c r="Y280" s="1198" t="s">
        <v>344</v>
      </c>
      <c r="AB280" s="1221"/>
      <c r="AC280" s="1221"/>
      <c r="AE280" s="1221"/>
      <c r="AF280" s="1261"/>
    </row>
    <row r="281" spans="1:32" s="1194" customFormat="1" ht="12" x14ac:dyDescent="0.2">
      <c r="A281" s="1231"/>
      <c r="B281" s="1230" t="s">
        <v>187</v>
      </c>
      <c r="C281" s="1945" t="s">
        <v>345</v>
      </c>
      <c r="D281" s="1945"/>
      <c r="E281" s="1945"/>
      <c r="F281" s="1232"/>
      <c r="G281" s="1232"/>
      <c r="H281" s="1232"/>
      <c r="I281" s="1232"/>
      <c r="J281" s="1233">
        <v>4.09</v>
      </c>
      <c r="K281" s="1232" t="s">
        <v>313</v>
      </c>
      <c r="L281" s="1233">
        <v>2.77</v>
      </c>
      <c r="M281" s="1232"/>
      <c r="N281" s="1234"/>
      <c r="T281" s="1220"/>
      <c r="U281" s="1221"/>
      <c r="V281" s="1221"/>
      <c r="Y281" s="1198" t="s">
        <v>345</v>
      </c>
      <c r="AB281" s="1221"/>
      <c r="AC281" s="1221"/>
      <c r="AE281" s="1221"/>
      <c r="AF281" s="1261"/>
    </row>
    <row r="282" spans="1:32" s="1194" customFormat="1" ht="12" x14ac:dyDescent="0.2">
      <c r="A282" s="1227"/>
      <c r="B282" s="1258" t="s">
        <v>1408</v>
      </c>
      <c r="C282" s="1964" t="s">
        <v>1409</v>
      </c>
      <c r="D282" s="1964"/>
      <c r="E282" s="1964"/>
      <c r="F282" s="1259" t="s">
        <v>694</v>
      </c>
      <c r="G282" s="1259" t="s">
        <v>185</v>
      </c>
      <c r="H282" s="1259"/>
      <c r="I282" s="1259" t="s">
        <v>9333</v>
      </c>
      <c r="J282" s="1230"/>
      <c r="K282" s="1232"/>
      <c r="L282" s="1233"/>
      <c r="M282" s="1232"/>
      <c r="N282" s="1260"/>
      <c r="T282" s="1220"/>
      <c r="U282" s="1221"/>
      <c r="V282" s="1221"/>
      <c r="AB282" s="1221"/>
      <c r="AC282" s="1221"/>
      <c r="AE282" s="1221"/>
      <c r="AF282" s="1261" t="s">
        <v>1409</v>
      </c>
    </row>
    <row r="283" spans="1:32" s="1194" customFormat="1" ht="12" x14ac:dyDescent="0.2">
      <c r="A283" s="1231"/>
      <c r="B283" s="1230"/>
      <c r="C283" s="1945" t="s">
        <v>314</v>
      </c>
      <c r="D283" s="1945"/>
      <c r="E283" s="1945"/>
      <c r="F283" s="1232" t="s">
        <v>315</v>
      </c>
      <c r="G283" s="1232" t="s">
        <v>9335</v>
      </c>
      <c r="H283" s="1232" t="s">
        <v>313</v>
      </c>
      <c r="I283" s="1232" t="s">
        <v>9336</v>
      </c>
      <c r="J283" s="1233"/>
      <c r="K283" s="1232"/>
      <c r="L283" s="1233"/>
      <c r="M283" s="1232"/>
      <c r="N283" s="1234"/>
      <c r="T283" s="1220"/>
      <c r="U283" s="1221"/>
      <c r="V283" s="1221"/>
      <c r="Z283" s="1198" t="s">
        <v>314</v>
      </c>
      <c r="AB283" s="1221"/>
      <c r="AC283" s="1221"/>
      <c r="AE283" s="1221"/>
      <c r="AF283" s="1261"/>
    </row>
    <row r="284" spans="1:32" s="1194" customFormat="1" ht="12" x14ac:dyDescent="0.2">
      <c r="A284" s="1231"/>
      <c r="B284" s="1230"/>
      <c r="C284" s="1945" t="s">
        <v>348</v>
      </c>
      <c r="D284" s="1945"/>
      <c r="E284" s="1945"/>
      <c r="F284" s="1232" t="s">
        <v>315</v>
      </c>
      <c r="G284" s="1232" t="s">
        <v>1411</v>
      </c>
      <c r="H284" s="1232" t="s">
        <v>313</v>
      </c>
      <c r="I284" s="1232" t="s">
        <v>9337</v>
      </c>
      <c r="J284" s="1233"/>
      <c r="K284" s="1232"/>
      <c r="L284" s="1233"/>
      <c r="M284" s="1232"/>
      <c r="N284" s="1234"/>
      <c r="T284" s="1220"/>
      <c r="U284" s="1221"/>
      <c r="V284" s="1221"/>
      <c r="Z284" s="1198" t="s">
        <v>348</v>
      </c>
      <c r="AB284" s="1221"/>
      <c r="AC284" s="1221"/>
      <c r="AE284" s="1221"/>
      <c r="AF284" s="1261"/>
    </row>
    <row r="285" spans="1:32" s="1194" customFormat="1" ht="12" x14ac:dyDescent="0.2">
      <c r="A285" s="1231"/>
      <c r="B285" s="1230"/>
      <c r="C285" s="1962" t="s">
        <v>318</v>
      </c>
      <c r="D285" s="1962"/>
      <c r="E285" s="1962"/>
      <c r="F285" s="1235"/>
      <c r="G285" s="1235"/>
      <c r="H285" s="1235"/>
      <c r="I285" s="1235"/>
      <c r="J285" s="1236">
        <v>1824.5</v>
      </c>
      <c r="K285" s="1235"/>
      <c r="L285" s="1236">
        <v>1236.33</v>
      </c>
      <c r="M285" s="1235"/>
      <c r="N285" s="1237"/>
      <c r="T285" s="1220"/>
      <c r="U285" s="1221"/>
      <c r="V285" s="1221"/>
      <c r="AA285" s="1198" t="s">
        <v>318</v>
      </c>
      <c r="AB285" s="1221"/>
      <c r="AC285" s="1221"/>
      <c r="AE285" s="1221"/>
      <c r="AF285" s="1261"/>
    </row>
    <row r="286" spans="1:32" s="1194" customFormat="1" ht="12" x14ac:dyDescent="0.2">
      <c r="A286" s="1231"/>
      <c r="B286" s="1230"/>
      <c r="C286" s="1945" t="s">
        <v>319</v>
      </c>
      <c r="D286" s="1945"/>
      <c r="E286" s="1945"/>
      <c r="F286" s="1232"/>
      <c r="G286" s="1232"/>
      <c r="H286" s="1232"/>
      <c r="I286" s="1232"/>
      <c r="J286" s="1233"/>
      <c r="K286" s="1232"/>
      <c r="L286" s="1233">
        <v>1219.69</v>
      </c>
      <c r="M286" s="1232"/>
      <c r="N286" s="1234"/>
      <c r="T286" s="1220"/>
      <c r="U286" s="1221"/>
      <c r="V286" s="1221"/>
      <c r="Z286" s="1198" t="s">
        <v>319</v>
      </c>
      <c r="AB286" s="1221"/>
      <c r="AC286" s="1221"/>
      <c r="AE286" s="1221"/>
      <c r="AF286" s="1261"/>
    </row>
    <row r="287" spans="1:32" s="1194" customFormat="1" ht="33.75" x14ac:dyDescent="0.2">
      <c r="A287" s="1231"/>
      <c r="B287" s="1230" t="s">
        <v>686</v>
      </c>
      <c r="C287" s="1945" t="s">
        <v>687</v>
      </c>
      <c r="D287" s="1945"/>
      <c r="E287" s="1945"/>
      <c r="F287" s="1232" t="s">
        <v>322</v>
      </c>
      <c r="G287" s="1232" t="s">
        <v>680</v>
      </c>
      <c r="H287" s="1232"/>
      <c r="I287" s="1232" t="s">
        <v>680</v>
      </c>
      <c r="J287" s="1233"/>
      <c r="K287" s="1232"/>
      <c r="L287" s="1233">
        <v>1244.08</v>
      </c>
      <c r="M287" s="1232"/>
      <c r="N287" s="1234"/>
      <c r="T287" s="1220"/>
      <c r="U287" s="1221"/>
      <c r="V287" s="1221"/>
      <c r="Z287" s="1198" t="s">
        <v>687</v>
      </c>
      <c r="AB287" s="1221"/>
      <c r="AC287" s="1221"/>
      <c r="AE287" s="1221"/>
      <c r="AF287" s="1261"/>
    </row>
    <row r="288" spans="1:32" s="1194" customFormat="1" ht="33.75" x14ac:dyDescent="0.2">
      <c r="A288" s="1231"/>
      <c r="B288" s="1230" t="s">
        <v>688</v>
      </c>
      <c r="C288" s="1945" t="s">
        <v>689</v>
      </c>
      <c r="D288" s="1945"/>
      <c r="E288" s="1945"/>
      <c r="F288" s="1232" t="s">
        <v>322</v>
      </c>
      <c r="G288" s="1232" t="s">
        <v>690</v>
      </c>
      <c r="H288" s="1232"/>
      <c r="I288" s="1232" t="s">
        <v>690</v>
      </c>
      <c r="J288" s="1233"/>
      <c r="K288" s="1232"/>
      <c r="L288" s="1233">
        <v>707.42</v>
      </c>
      <c r="M288" s="1232"/>
      <c r="N288" s="1234"/>
      <c r="T288" s="1220"/>
      <c r="U288" s="1221"/>
      <c r="V288" s="1221"/>
      <c r="Z288" s="1198" t="s">
        <v>689</v>
      </c>
      <c r="AB288" s="1221"/>
      <c r="AC288" s="1221"/>
      <c r="AE288" s="1221"/>
      <c r="AF288" s="1261"/>
    </row>
    <row r="289" spans="1:32" s="1194" customFormat="1" ht="12" x14ac:dyDescent="0.2">
      <c r="A289" s="1238"/>
      <c r="B289" s="1239"/>
      <c r="C289" s="1953" t="s">
        <v>327</v>
      </c>
      <c r="D289" s="1953"/>
      <c r="E289" s="1953"/>
      <c r="F289" s="1224"/>
      <c r="G289" s="1224"/>
      <c r="H289" s="1224"/>
      <c r="I289" s="1224"/>
      <c r="J289" s="1225"/>
      <c r="K289" s="1224"/>
      <c r="L289" s="1225">
        <v>3187.83</v>
      </c>
      <c r="M289" s="1235"/>
      <c r="N289" s="1226"/>
      <c r="T289" s="1220"/>
      <c r="U289" s="1221"/>
      <c r="V289" s="1221"/>
      <c r="AB289" s="1221" t="s">
        <v>327</v>
      </c>
      <c r="AC289" s="1221"/>
      <c r="AE289" s="1221"/>
      <c r="AF289" s="1261"/>
    </row>
    <row r="290" spans="1:32" s="1194" customFormat="1" ht="56.25" x14ac:dyDescent="0.2">
      <c r="A290" s="1222" t="s">
        <v>761</v>
      </c>
      <c r="B290" s="1223" t="s">
        <v>9338</v>
      </c>
      <c r="C290" s="1953" t="s">
        <v>9339</v>
      </c>
      <c r="D290" s="1953"/>
      <c r="E290" s="1953"/>
      <c r="F290" s="1224" t="s">
        <v>483</v>
      </c>
      <c r="G290" s="1224"/>
      <c r="H290" s="1224"/>
      <c r="I290" s="1224" t="s">
        <v>2363</v>
      </c>
      <c r="J290" s="1225">
        <v>411.06</v>
      </c>
      <c r="K290" s="1224"/>
      <c r="L290" s="1225">
        <v>31651.62</v>
      </c>
      <c r="M290" s="1224"/>
      <c r="N290" s="1226"/>
      <c r="T290" s="1220"/>
      <c r="U290" s="1221"/>
      <c r="V290" s="1221" t="s">
        <v>9339</v>
      </c>
      <c r="AB290" s="1221"/>
      <c r="AC290" s="1221"/>
      <c r="AE290" s="1221"/>
      <c r="AF290" s="1261"/>
    </row>
    <row r="291" spans="1:32" s="1194" customFormat="1" ht="12" x14ac:dyDescent="0.2">
      <c r="A291" s="1238"/>
      <c r="B291" s="1239"/>
      <c r="C291" s="1196" t="s">
        <v>717</v>
      </c>
      <c r="D291" s="1240"/>
      <c r="E291" s="1240"/>
      <c r="F291" s="1241"/>
      <c r="G291" s="1241"/>
      <c r="H291" s="1241"/>
      <c r="I291" s="1241"/>
      <c r="J291" s="1242"/>
      <c r="K291" s="1241"/>
      <c r="L291" s="1242"/>
      <c r="M291" s="1243"/>
      <c r="N291" s="1244"/>
      <c r="T291" s="1220"/>
      <c r="U291" s="1221"/>
      <c r="V291" s="1221"/>
      <c r="AB291" s="1221"/>
      <c r="AC291" s="1221"/>
      <c r="AE291" s="1221"/>
      <c r="AF291" s="1261"/>
    </row>
    <row r="292" spans="1:32" s="1194" customFormat="1" ht="12" x14ac:dyDescent="0.2">
      <c r="A292" s="1959" t="s">
        <v>9340</v>
      </c>
      <c r="B292" s="1960"/>
      <c r="C292" s="1960"/>
      <c r="D292" s="1960"/>
      <c r="E292" s="1960"/>
      <c r="F292" s="1960"/>
      <c r="G292" s="1960"/>
      <c r="H292" s="1960"/>
      <c r="I292" s="1960"/>
      <c r="J292" s="1960"/>
      <c r="K292" s="1960"/>
      <c r="L292" s="1960"/>
      <c r="M292" s="1960"/>
      <c r="N292" s="1961"/>
      <c r="T292" s="1220"/>
      <c r="U292" s="1221" t="s">
        <v>9340</v>
      </c>
      <c r="V292" s="1221"/>
      <c r="AB292" s="1221"/>
      <c r="AC292" s="1221"/>
      <c r="AE292" s="1221"/>
      <c r="AF292" s="1261"/>
    </row>
    <row r="293" spans="1:32" s="1194" customFormat="1" ht="45" x14ac:dyDescent="0.2">
      <c r="A293" s="1222" t="s">
        <v>762</v>
      </c>
      <c r="B293" s="1223" t="s">
        <v>9341</v>
      </c>
      <c r="C293" s="1953" t="s">
        <v>9342</v>
      </c>
      <c r="D293" s="1953"/>
      <c r="E293" s="1953"/>
      <c r="F293" s="1224" t="s">
        <v>1110</v>
      </c>
      <c r="G293" s="1224"/>
      <c r="H293" s="1224"/>
      <c r="I293" s="1224" t="s">
        <v>9343</v>
      </c>
      <c r="J293" s="1225"/>
      <c r="K293" s="1224"/>
      <c r="L293" s="1225"/>
      <c r="M293" s="1224"/>
      <c r="N293" s="1226"/>
      <c r="T293" s="1220"/>
      <c r="U293" s="1221"/>
      <c r="V293" s="1221" t="s">
        <v>9342</v>
      </c>
      <c r="AB293" s="1221"/>
      <c r="AC293" s="1221"/>
      <c r="AE293" s="1221"/>
      <c r="AF293" s="1261"/>
    </row>
    <row r="294" spans="1:32" s="1194" customFormat="1" ht="12" x14ac:dyDescent="0.2">
      <c r="A294" s="1227"/>
      <c r="B294" s="1228"/>
      <c r="C294" s="1945" t="s">
        <v>9344</v>
      </c>
      <c r="D294" s="1945"/>
      <c r="E294" s="1945"/>
      <c r="F294" s="1945"/>
      <c r="G294" s="1945"/>
      <c r="H294" s="1945"/>
      <c r="I294" s="1945"/>
      <c r="J294" s="1945"/>
      <c r="K294" s="1945"/>
      <c r="L294" s="1945"/>
      <c r="M294" s="1945"/>
      <c r="N294" s="1954"/>
      <c r="T294" s="1220"/>
      <c r="U294" s="1221"/>
      <c r="V294" s="1221"/>
      <c r="W294" s="1198" t="s">
        <v>9344</v>
      </c>
      <c r="AB294" s="1221"/>
      <c r="AC294" s="1221"/>
      <c r="AE294" s="1221"/>
      <c r="AF294" s="1261"/>
    </row>
    <row r="295" spans="1:32" s="1194" customFormat="1" ht="12" x14ac:dyDescent="0.2">
      <c r="A295" s="1231"/>
      <c r="B295" s="1230" t="s">
        <v>185</v>
      </c>
      <c r="C295" s="1945" t="s">
        <v>312</v>
      </c>
      <c r="D295" s="1945"/>
      <c r="E295" s="1945"/>
      <c r="F295" s="1232"/>
      <c r="G295" s="1232"/>
      <c r="H295" s="1232"/>
      <c r="I295" s="1232"/>
      <c r="J295" s="1233">
        <v>89.85</v>
      </c>
      <c r="K295" s="1232"/>
      <c r="L295" s="1233">
        <v>247.09</v>
      </c>
      <c r="M295" s="1232"/>
      <c r="N295" s="1234"/>
      <c r="T295" s="1220"/>
      <c r="U295" s="1221"/>
      <c r="V295" s="1221"/>
      <c r="Y295" s="1198" t="s">
        <v>312</v>
      </c>
      <c r="AB295" s="1221"/>
      <c r="AC295" s="1221"/>
      <c r="AE295" s="1221"/>
      <c r="AF295" s="1261"/>
    </row>
    <row r="296" spans="1:32" s="1194" customFormat="1" ht="12" x14ac:dyDescent="0.2">
      <c r="A296" s="1231"/>
      <c r="B296" s="1230" t="s">
        <v>186</v>
      </c>
      <c r="C296" s="1945" t="s">
        <v>344</v>
      </c>
      <c r="D296" s="1945"/>
      <c r="E296" s="1945"/>
      <c r="F296" s="1232"/>
      <c r="G296" s="1232"/>
      <c r="H296" s="1232"/>
      <c r="I296" s="1232"/>
      <c r="J296" s="1233">
        <v>2.63</v>
      </c>
      <c r="K296" s="1232"/>
      <c r="L296" s="1233">
        <v>7.23</v>
      </c>
      <c r="M296" s="1232"/>
      <c r="N296" s="1234"/>
      <c r="T296" s="1220"/>
      <c r="U296" s="1221"/>
      <c r="V296" s="1221"/>
      <c r="Y296" s="1198" t="s">
        <v>344</v>
      </c>
      <c r="AB296" s="1221"/>
      <c r="AC296" s="1221"/>
      <c r="AE296" s="1221"/>
      <c r="AF296" s="1261"/>
    </row>
    <row r="297" spans="1:32" s="1194" customFormat="1" ht="12" x14ac:dyDescent="0.2">
      <c r="A297" s="1231"/>
      <c r="B297" s="1230" t="s">
        <v>187</v>
      </c>
      <c r="C297" s="1945" t="s">
        <v>345</v>
      </c>
      <c r="D297" s="1945"/>
      <c r="E297" s="1945"/>
      <c r="F297" s="1232"/>
      <c r="G297" s="1232"/>
      <c r="H297" s="1232"/>
      <c r="I297" s="1232"/>
      <c r="J297" s="1233">
        <v>0.46</v>
      </c>
      <c r="K297" s="1232"/>
      <c r="L297" s="1233">
        <v>1.27</v>
      </c>
      <c r="M297" s="1232"/>
      <c r="N297" s="1234"/>
      <c r="T297" s="1220"/>
      <c r="U297" s="1221"/>
      <c r="V297" s="1221"/>
      <c r="Y297" s="1198" t="s">
        <v>345</v>
      </c>
      <c r="AB297" s="1221"/>
      <c r="AC297" s="1221"/>
      <c r="AE297" s="1221"/>
      <c r="AF297" s="1261"/>
    </row>
    <row r="298" spans="1:32" s="1194" customFormat="1" ht="22.5" x14ac:dyDescent="0.2">
      <c r="A298" s="1227"/>
      <c r="B298" s="1258" t="s">
        <v>9345</v>
      </c>
      <c r="C298" s="1964" t="s">
        <v>9346</v>
      </c>
      <c r="D298" s="1964"/>
      <c r="E298" s="1964"/>
      <c r="F298" s="1259" t="s">
        <v>483</v>
      </c>
      <c r="G298" s="1259" t="s">
        <v>5287</v>
      </c>
      <c r="H298" s="1259"/>
      <c r="I298" s="1259" t="s">
        <v>9347</v>
      </c>
      <c r="J298" s="1230"/>
      <c r="K298" s="1232"/>
      <c r="L298" s="1233"/>
      <c r="M298" s="1232"/>
      <c r="N298" s="1260"/>
      <c r="T298" s="1220"/>
      <c r="U298" s="1221"/>
      <c r="V298" s="1221"/>
      <c r="AB298" s="1221"/>
      <c r="AC298" s="1221"/>
      <c r="AE298" s="1221"/>
      <c r="AF298" s="1261" t="s">
        <v>9346</v>
      </c>
    </row>
    <row r="299" spans="1:32" s="1194" customFormat="1" ht="22.5" x14ac:dyDescent="0.2">
      <c r="A299" s="1227"/>
      <c r="B299" s="1258" t="s">
        <v>9348</v>
      </c>
      <c r="C299" s="1964" t="s">
        <v>9349</v>
      </c>
      <c r="D299" s="1964"/>
      <c r="E299" s="1964"/>
      <c r="F299" s="1259" t="s">
        <v>617</v>
      </c>
      <c r="G299" s="1259" t="s">
        <v>525</v>
      </c>
      <c r="H299" s="1259"/>
      <c r="I299" s="1259" t="s">
        <v>525</v>
      </c>
      <c r="J299" s="1230"/>
      <c r="K299" s="1232"/>
      <c r="L299" s="1233"/>
      <c r="M299" s="1232"/>
      <c r="N299" s="1260"/>
      <c r="T299" s="1220"/>
      <c r="U299" s="1221"/>
      <c r="V299" s="1221"/>
      <c r="AB299" s="1221"/>
      <c r="AC299" s="1221"/>
      <c r="AE299" s="1221"/>
      <c r="AF299" s="1261" t="s">
        <v>9349</v>
      </c>
    </row>
    <row r="300" spans="1:32" s="1194" customFormat="1" ht="12" x14ac:dyDescent="0.2">
      <c r="A300" s="1227"/>
      <c r="B300" s="1258" t="s">
        <v>9350</v>
      </c>
      <c r="C300" s="1964" t="s">
        <v>9351</v>
      </c>
      <c r="D300" s="1964"/>
      <c r="E300" s="1964"/>
      <c r="F300" s="1259" t="s">
        <v>699</v>
      </c>
      <c r="G300" s="1259" t="s">
        <v>2368</v>
      </c>
      <c r="H300" s="1259"/>
      <c r="I300" s="1259" t="s">
        <v>4772</v>
      </c>
      <c r="J300" s="1230"/>
      <c r="K300" s="1232"/>
      <c r="L300" s="1233"/>
      <c r="M300" s="1232"/>
      <c r="N300" s="1260"/>
      <c r="T300" s="1220"/>
      <c r="U300" s="1221"/>
      <c r="V300" s="1221"/>
      <c r="AB300" s="1221"/>
      <c r="AC300" s="1221"/>
      <c r="AE300" s="1221"/>
      <c r="AF300" s="1261" t="s">
        <v>9351</v>
      </c>
    </row>
    <row r="301" spans="1:32" s="1194" customFormat="1" ht="12" x14ac:dyDescent="0.2">
      <c r="A301" s="1231"/>
      <c r="B301" s="1230"/>
      <c r="C301" s="1945" t="s">
        <v>314</v>
      </c>
      <c r="D301" s="1945"/>
      <c r="E301" s="1945"/>
      <c r="F301" s="1232" t="s">
        <v>315</v>
      </c>
      <c r="G301" s="1232" t="s">
        <v>9352</v>
      </c>
      <c r="H301" s="1232"/>
      <c r="I301" s="1232" t="s">
        <v>9353</v>
      </c>
      <c r="J301" s="1233"/>
      <c r="K301" s="1232"/>
      <c r="L301" s="1233"/>
      <c r="M301" s="1232"/>
      <c r="N301" s="1234"/>
      <c r="T301" s="1220"/>
      <c r="U301" s="1221"/>
      <c r="V301" s="1221"/>
      <c r="Z301" s="1198" t="s">
        <v>314</v>
      </c>
      <c r="AB301" s="1221"/>
      <c r="AC301" s="1221"/>
      <c r="AE301" s="1221"/>
      <c r="AF301" s="1261"/>
    </row>
    <row r="302" spans="1:32" s="1194" customFormat="1" ht="12" x14ac:dyDescent="0.2">
      <c r="A302" s="1231"/>
      <c r="B302" s="1230"/>
      <c r="C302" s="1945" t="s">
        <v>348</v>
      </c>
      <c r="D302" s="1945"/>
      <c r="E302" s="1945"/>
      <c r="F302" s="1232" t="s">
        <v>315</v>
      </c>
      <c r="G302" s="1232" t="s">
        <v>728</v>
      </c>
      <c r="H302" s="1232"/>
      <c r="I302" s="1232" t="s">
        <v>1232</v>
      </c>
      <c r="J302" s="1233"/>
      <c r="K302" s="1232"/>
      <c r="L302" s="1233"/>
      <c r="M302" s="1232"/>
      <c r="N302" s="1234"/>
      <c r="T302" s="1220"/>
      <c r="U302" s="1221"/>
      <c r="V302" s="1221"/>
      <c r="Z302" s="1198" t="s">
        <v>348</v>
      </c>
      <c r="AB302" s="1221"/>
      <c r="AC302" s="1221"/>
      <c r="AE302" s="1221"/>
      <c r="AF302" s="1261"/>
    </row>
    <row r="303" spans="1:32" s="1194" customFormat="1" ht="12" x14ac:dyDescent="0.2">
      <c r="A303" s="1231"/>
      <c r="B303" s="1230"/>
      <c r="C303" s="1962" t="s">
        <v>318</v>
      </c>
      <c r="D303" s="1962"/>
      <c r="E303" s="1962"/>
      <c r="F303" s="1235"/>
      <c r="G303" s="1235"/>
      <c r="H303" s="1235"/>
      <c r="I303" s="1235"/>
      <c r="J303" s="1236">
        <v>92.48</v>
      </c>
      <c r="K303" s="1235"/>
      <c r="L303" s="1236">
        <v>254.32</v>
      </c>
      <c r="M303" s="1235"/>
      <c r="N303" s="1237"/>
      <c r="T303" s="1220"/>
      <c r="U303" s="1221"/>
      <c r="V303" s="1221"/>
      <c r="AA303" s="1198" t="s">
        <v>318</v>
      </c>
      <c r="AB303" s="1221"/>
      <c r="AC303" s="1221"/>
      <c r="AE303" s="1221"/>
      <c r="AF303" s="1261"/>
    </row>
    <row r="304" spans="1:32" s="1194" customFormat="1" ht="12" x14ac:dyDescent="0.2">
      <c r="A304" s="1231"/>
      <c r="B304" s="1230"/>
      <c r="C304" s="1945" t="s">
        <v>319</v>
      </c>
      <c r="D304" s="1945"/>
      <c r="E304" s="1945"/>
      <c r="F304" s="1232"/>
      <c r="G304" s="1232"/>
      <c r="H304" s="1232"/>
      <c r="I304" s="1232"/>
      <c r="J304" s="1233"/>
      <c r="K304" s="1232"/>
      <c r="L304" s="1233">
        <v>248.36</v>
      </c>
      <c r="M304" s="1232"/>
      <c r="N304" s="1234"/>
      <c r="T304" s="1220"/>
      <c r="U304" s="1221"/>
      <c r="V304" s="1221"/>
      <c r="Z304" s="1198" t="s">
        <v>319</v>
      </c>
      <c r="AB304" s="1221"/>
      <c r="AC304" s="1221"/>
      <c r="AE304" s="1221"/>
      <c r="AF304" s="1261"/>
    </row>
    <row r="305" spans="1:32" s="1194" customFormat="1" ht="45" x14ac:dyDescent="0.2">
      <c r="A305" s="1231"/>
      <c r="B305" s="1230" t="s">
        <v>5292</v>
      </c>
      <c r="C305" s="1945" t="s">
        <v>5293</v>
      </c>
      <c r="D305" s="1945"/>
      <c r="E305" s="1945"/>
      <c r="F305" s="1232" t="s">
        <v>322</v>
      </c>
      <c r="G305" s="1232" t="s">
        <v>710</v>
      </c>
      <c r="H305" s="1232"/>
      <c r="I305" s="1232" t="s">
        <v>710</v>
      </c>
      <c r="J305" s="1233"/>
      <c r="K305" s="1232"/>
      <c r="L305" s="1233">
        <v>255.81</v>
      </c>
      <c r="M305" s="1232"/>
      <c r="N305" s="1234"/>
      <c r="T305" s="1220"/>
      <c r="U305" s="1221"/>
      <c r="V305" s="1221"/>
      <c r="Z305" s="1198" t="s">
        <v>5293</v>
      </c>
      <c r="AB305" s="1221"/>
      <c r="AC305" s="1221"/>
      <c r="AE305" s="1221"/>
      <c r="AF305" s="1261"/>
    </row>
    <row r="306" spans="1:32" s="1194" customFormat="1" ht="45" x14ac:dyDescent="0.2">
      <c r="A306" s="1231"/>
      <c r="B306" s="1230" t="s">
        <v>5294</v>
      </c>
      <c r="C306" s="1945" t="s">
        <v>5295</v>
      </c>
      <c r="D306" s="1945"/>
      <c r="E306" s="1945"/>
      <c r="F306" s="1232" t="s">
        <v>322</v>
      </c>
      <c r="G306" s="1232" t="s">
        <v>792</v>
      </c>
      <c r="H306" s="1232"/>
      <c r="I306" s="1232" t="s">
        <v>792</v>
      </c>
      <c r="J306" s="1233"/>
      <c r="K306" s="1232"/>
      <c r="L306" s="1233">
        <v>146.53</v>
      </c>
      <c r="M306" s="1232"/>
      <c r="N306" s="1234"/>
      <c r="T306" s="1220"/>
      <c r="U306" s="1221"/>
      <c r="V306" s="1221"/>
      <c r="Z306" s="1198" t="s">
        <v>5295</v>
      </c>
      <c r="AB306" s="1221"/>
      <c r="AC306" s="1221"/>
      <c r="AE306" s="1221"/>
      <c r="AF306" s="1261"/>
    </row>
    <row r="307" spans="1:32" s="1194" customFormat="1" ht="12" x14ac:dyDescent="0.2">
      <c r="A307" s="1238"/>
      <c r="B307" s="1239"/>
      <c r="C307" s="1953" t="s">
        <v>327</v>
      </c>
      <c r="D307" s="1953"/>
      <c r="E307" s="1953"/>
      <c r="F307" s="1224"/>
      <c r="G307" s="1224"/>
      <c r="H307" s="1224"/>
      <c r="I307" s="1224"/>
      <c r="J307" s="1225"/>
      <c r="K307" s="1224"/>
      <c r="L307" s="1225">
        <v>656.66</v>
      </c>
      <c r="M307" s="1235"/>
      <c r="N307" s="1226"/>
      <c r="T307" s="1220"/>
      <c r="U307" s="1221"/>
      <c r="V307" s="1221"/>
      <c r="AB307" s="1221" t="s">
        <v>327</v>
      </c>
      <c r="AC307" s="1221"/>
      <c r="AE307" s="1221"/>
      <c r="AF307" s="1261"/>
    </row>
    <row r="308" spans="1:32" s="1194" customFormat="1" ht="78.75" x14ac:dyDescent="0.2">
      <c r="A308" s="1222" t="s">
        <v>763</v>
      </c>
      <c r="B308" s="1223" t="s">
        <v>9354</v>
      </c>
      <c r="C308" s="1953" t="s">
        <v>9355</v>
      </c>
      <c r="D308" s="1953"/>
      <c r="E308" s="1953"/>
      <c r="F308" s="1224" t="s">
        <v>699</v>
      </c>
      <c r="G308" s="1224"/>
      <c r="H308" s="1224"/>
      <c r="I308" s="1224" t="s">
        <v>4772</v>
      </c>
      <c r="J308" s="1225">
        <v>24.69</v>
      </c>
      <c r="K308" s="1224"/>
      <c r="L308" s="1225">
        <v>5296.01</v>
      </c>
      <c r="M308" s="1224"/>
      <c r="N308" s="1226"/>
      <c r="T308" s="1220"/>
      <c r="U308" s="1221"/>
      <c r="V308" s="1221" t="s">
        <v>9355</v>
      </c>
      <c r="AB308" s="1221"/>
      <c r="AC308" s="1221"/>
      <c r="AE308" s="1221"/>
      <c r="AF308" s="1261"/>
    </row>
    <row r="309" spans="1:32" s="1194" customFormat="1" ht="12" x14ac:dyDescent="0.2">
      <c r="A309" s="1238"/>
      <c r="B309" s="1239"/>
      <c r="C309" s="1196" t="s">
        <v>717</v>
      </c>
      <c r="D309" s="1240"/>
      <c r="E309" s="1240"/>
      <c r="F309" s="1241"/>
      <c r="G309" s="1241"/>
      <c r="H309" s="1241"/>
      <c r="I309" s="1241"/>
      <c r="J309" s="1242"/>
      <c r="K309" s="1241"/>
      <c r="L309" s="1242"/>
      <c r="M309" s="1243"/>
      <c r="N309" s="1244"/>
      <c r="T309" s="1220"/>
      <c r="U309" s="1221"/>
      <c r="V309" s="1221"/>
      <c r="AB309" s="1221"/>
      <c r="AC309" s="1221"/>
      <c r="AE309" s="1221"/>
      <c r="AF309" s="1261"/>
    </row>
    <row r="310" spans="1:32" s="1194" customFormat="1" ht="45" x14ac:dyDescent="0.2">
      <c r="A310" s="1222" t="s">
        <v>922</v>
      </c>
      <c r="B310" s="1223" t="s">
        <v>9356</v>
      </c>
      <c r="C310" s="1953" t="s">
        <v>9357</v>
      </c>
      <c r="D310" s="1953"/>
      <c r="E310" s="1953"/>
      <c r="F310" s="1224" t="s">
        <v>1110</v>
      </c>
      <c r="G310" s="1224"/>
      <c r="H310" s="1224"/>
      <c r="I310" s="1224" t="s">
        <v>9358</v>
      </c>
      <c r="J310" s="1225">
        <v>204</v>
      </c>
      <c r="K310" s="1224"/>
      <c r="L310" s="1225">
        <v>571.1</v>
      </c>
      <c r="M310" s="1224"/>
      <c r="N310" s="1226"/>
      <c r="T310" s="1220"/>
      <c r="U310" s="1221"/>
      <c r="V310" s="1221" t="s">
        <v>9357</v>
      </c>
      <c r="AB310" s="1221"/>
      <c r="AC310" s="1221"/>
      <c r="AE310" s="1221"/>
      <c r="AF310" s="1261"/>
    </row>
    <row r="311" spans="1:32" s="1194" customFormat="1" ht="12" x14ac:dyDescent="0.2">
      <c r="A311" s="1238"/>
      <c r="B311" s="1239"/>
      <c r="C311" s="1196" t="s">
        <v>717</v>
      </c>
      <c r="D311" s="1240"/>
      <c r="E311" s="1240"/>
      <c r="F311" s="1241"/>
      <c r="G311" s="1241"/>
      <c r="H311" s="1241"/>
      <c r="I311" s="1241"/>
      <c r="J311" s="1242"/>
      <c r="K311" s="1241"/>
      <c r="L311" s="1242"/>
      <c r="M311" s="1243"/>
      <c r="N311" s="1244"/>
      <c r="T311" s="1220"/>
      <c r="U311" s="1221"/>
      <c r="V311" s="1221"/>
      <c r="AB311" s="1221"/>
      <c r="AC311" s="1221"/>
      <c r="AE311" s="1221"/>
      <c r="AF311" s="1261"/>
    </row>
    <row r="312" spans="1:32" s="1194" customFormat="1" ht="12" x14ac:dyDescent="0.2">
      <c r="A312" s="1227"/>
      <c r="B312" s="1228"/>
      <c r="C312" s="1945" t="s">
        <v>9359</v>
      </c>
      <c r="D312" s="1945"/>
      <c r="E312" s="1945"/>
      <c r="F312" s="1945"/>
      <c r="G312" s="1945"/>
      <c r="H312" s="1945"/>
      <c r="I312" s="1945"/>
      <c r="J312" s="1945"/>
      <c r="K312" s="1945"/>
      <c r="L312" s="1945"/>
      <c r="M312" s="1945"/>
      <c r="N312" s="1954"/>
      <c r="T312" s="1220"/>
      <c r="U312" s="1221"/>
      <c r="V312" s="1221"/>
      <c r="W312" s="1198" t="s">
        <v>9359</v>
      </c>
      <c r="AB312" s="1221"/>
      <c r="AC312" s="1221"/>
      <c r="AE312" s="1221"/>
      <c r="AF312" s="1261"/>
    </row>
    <row r="313" spans="1:32" s="1194" customFormat="1" ht="22.5" x14ac:dyDescent="0.2">
      <c r="A313" s="1222" t="s">
        <v>765</v>
      </c>
      <c r="B313" s="1223" t="s">
        <v>9360</v>
      </c>
      <c r="C313" s="1953" t="s">
        <v>9361</v>
      </c>
      <c r="D313" s="1953"/>
      <c r="E313" s="1953"/>
      <c r="F313" s="1224" t="s">
        <v>2983</v>
      </c>
      <c r="G313" s="1224"/>
      <c r="H313" s="1224"/>
      <c r="I313" s="1224" t="s">
        <v>9362</v>
      </c>
      <c r="J313" s="1225"/>
      <c r="K313" s="1224"/>
      <c r="L313" s="1225"/>
      <c r="M313" s="1224"/>
      <c r="N313" s="1226"/>
      <c r="T313" s="1220"/>
      <c r="U313" s="1221"/>
      <c r="V313" s="1221" t="s">
        <v>9361</v>
      </c>
      <c r="AB313" s="1221"/>
      <c r="AC313" s="1221"/>
      <c r="AE313" s="1221"/>
      <c r="AF313" s="1261"/>
    </row>
    <row r="314" spans="1:32" s="1194" customFormat="1" ht="12" x14ac:dyDescent="0.2">
      <c r="A314" s="1227"/>
      <c r="B314" s="1228"/>
      <c r="C314" s="1945" t="s">
        <v>9363</v>
      </c>
      <c r="D314" s="1945"/>
      <c r="E314" s="1945"/>
      <c r="F314" s="1945"/>
      <c r="G314" s="1945"/>
      <c r="H314" s="1945"/>
      <c r="I314" s="1945"/>
      <c r="J314" s="1945"/>
      <c r="K314" s="1945"/>
      <c r="L314" s="1945"/>
      <c r="M314" s="1945"/>
      <c r="N314" s="1954"/>
      <c r="T314" s="1220"/>
      <c r="U314" s="1221"/>
      <c r="V314" s="1221"/>
      <c r="W314" s="1198" t="s">
        <v>9363</v>
      </c>
      <c r="AB314" s="1221"/>
      <c r="AC314" s="1221"/>
      <c r="AE314" s="1221"/>
      <c r="AF314" s="1261"/>
    </row>
    <row r="315" spans="1:32" s="1194" customFormat="1" ht="12" x14ac:dyDescent="0.2">
      <c r="A315" s="1231"/>
      <c r="B315" s="1230" t="s">
        <v>185</v>
      </c>
      <c r="C315" s="1945" t="s">
        <v>312</v>
      </c>
      <c r="D315" s="1945"/>
      <c r="E315" s="1945"/>
      <c r="F315" s="1232"/>
      <c r="G315" s="1232"/>
      <c r="H315" s="1232"/>
      <c r="I315" s="1232"/>
      <c r="J315" s="1233">
        <v>59.81</v>
      </c>
      <c r="K315" s="1232"/>
      <c r="L315" s="1233">
        <v>139.36000000000001</v>
      </c>
      <c r="M315" s="1232"/>
      <c r="N315" s="1234"/>
      <c r="T315" s="1220"/>
      <c r="U315" s="1221"/>
      <c r="V315" s="1221"/>
      <c r="Y315" s="1198" t="s">
        <v>312</v>
      </c>
      <c r="AB315" s="1221"/>
      <c r="AC315" s="1221"/>
      <c r="AE315" s="1221"/>
      <c r="AF315" s="1261"/>
    </row>
    <row r="316" spans="1:32" s="1194" customFormat="1" ht="12" x14ac:dyDescent="0.2">
      <c r="A316" s="1231"/>
      <c r="B316" s="1230" t="s">
        <v>186</v>
      </c>
      <c r="C316" s="1945" t="s">
        <v>344</v>
      </c>
      <c r="D316" s="1945"/>
      <c r="E316" s="1945"/>
      <c r="F316" s="1232"/>
      <c r="G316" s="1232"/>
      <c r="H316" s="1232"/>
      <c r="I316" s="1232"/>
      <c r="J316" s="1233">
        <v>4.9800000000000004</v>
      </c>
      <c r="K316" s="1232"/>
      <c r="L316" s="1233">
        <v>11.6</v>
      </c>
      <c r="M316" s="1232"/>
      <c r="N316" s="1234"/>
      <c r="T316" s="1220"/>
      <c r="U316" s="1221"/>
      <c r="V316" s="1221"/>
      <c r="Y316" s="1198" t="s">
        <v>344</v>
      </c>
      <c r="AB316" s="1221"/>
      <c r="AC316" s="1221"/>
      <c r="AE316" s="1221"/>
      <c r="AF316" s="1261"/>
    </row>
    <row r="317" spans="1:32" s="1194" customFormat="1" ht="12" x14ac:dyDescent="0.2">
      <c r="A317" s="1231"/>
      <c r="B317" s="1230" t="s">
        <v>187</v>
      </c>
      <c r="C317" s="1945" t="s">
        <v>345</v>
      </c>
      <c r="D317" s="1945"/>
      <c r="E317" s="1945"/>
      <c r="F317" s="1232"/>
      <c r="G317" s="1232"/>
      <c r="H317" s="1232"/>
      <c r="I317" s="1232"/>
      <c r="J317" s="1233">
        <v>0.8</v>
      </c>
      <c r="K317" s="1232"/>
      <c r="L317" s="1233">
        <v>1.86</v>
      </c>
      <c r="M317" s="1232"/>
      <c r="N317" s="1234"/>
      <c r="T317" s="1220"/>
      <c r="U317" s="1221"/>
      <c r="V317" s="1221"/>
      <c r="Y317" s="1198" t="s">
        <v>345</v>
      </c>
      <c r="AB317" s="1221"/>
      <c r="AC317" s="1221"/>
      <c r="AE317" s="1221"/>
      <c r="AF317" s="1261"/>
    </row>
    <row r="318" spans="1:32" s="1194" customFormat="1" ht="12" x14ac:dyDescent="0.2">
      <c r="A318" s="1227"/>
      <c r="B318" s="1258" t="s">
        <v>9364</v>
      </c>
      <c r="C318" s="1964" t="s">
        <v>9365</v>
      </c>
      <c r="D318" s="1964"/>
      <c r="E318" s="1964"/>
      <c r="F318" s="1259" t="s">
        <v>865</v>
      </c>
      <c r="G318" s="1259" t="s">
        <v>525</v>
      </c>
      <c r="H318" s="1259"/>
      <c r="I318" s="1259" t="s">
        <v>525</v>
      </c>
      <c r="J318" s="1230"/>
      <c r="K318" s="1232"/>
      <c r="L318" s="1233"/>
      <c r="M318" s="1232"/>
      <c r="N318" s="1260"/>
      <c r="T318" s="1220"/>
      <c r="U318" s="1221"/>
      <c r="V318" s="1221"/>
      <c r="AB318" s="1221"/>
      <c r="AC318" s="1221"/>
      <c r="AE318" s="1221"/>
      <c r="AF318" s="1261" t="s">
        <v>9365</v>
      </c>
    </row>
    <row r="319" spans="1:32" s="1194" customFormat="1" ht="12" x14ac:dyDescent="0.2">
      <c r="A319" s="1231"/>
      <c r="B319" s="1230"/>
      <c r="C319" s="1945" t="s">
        <v>314</v>
      </c>
      <c r="D319" s="1945"/>
      <c r="E319" s="1945"/>
      <c r="F319" s="1232" t="s">
        <v>315</v>
      </c>
      <c r="G319" s="1232" t="s">
        <v>3689</v>
      </c>
      <c r="H319" s="1232"/>
      <c r="I319" s="1232" t="s">
        <v>9366</v>
      </c>
      <c r="J319" s="1233"/>
      <c r="K319" s="1232"/>
      <c r="L319" s="1233"/>
      <c r="M319" s="1232"/>
      <c r="N319" s="1234"/>
      <c r="T319" s="1220"/>
      <c r="U319" s="1221"/>
      <c r="V319" s="1221"/>
      <c r="Z319" s="1198" t="s">
        <v>314</v>
      </c>
      <c r="AB319" s="1221"/>
      <c r="AC319" s="1221"/>
      <c r="AE319" s="1221"/>
      <c r="AF319" s="1261"/>
    </row>
    <row r="320" spans="1:32" s="1194" customFormat="1" ht="12" x14ac:dyDescent="0.2">
      <c r="A320" s="1231"/>
      <c r="B320" s="1230"/>
      <c r="C320" s="1945" t="s">
        <v>348</v>
      </c>
      <c r="D320" s="1945"/>
      <c r="E320" s="1945"/>
      <c r="F320" s="1232" t="s">
        <v>315</v>
      </c>
      <c r="G320" s="1232" t="s">
        <v>1554</v>
      </c>
      <c r="H320" s="1232"/>
      <c r="I320" s="1232" t="s">
        <v>9367</v>
      </c>
      <c r="J320" s="1233"/>
      <c r="K320" s="1232"/>
      <c r="L320" s="1233"/>
      <c r="M320" s="1232"/>
      <c r="N320" s="1234"/>
      <c r="T320" s="1220"/>
      <c r="U320" s="1221"/>
      <c r="V320" s="1221"/>
      <c r="Z320" s="1198" t="s">
        <v>348</v>
      </c>
      <c r="AB320" s="1221"/>
      <c r="AC320" s="1221"/>
      <c r="AE320" s="1221"/>
      <c r="AF320" s="1261"/>
    </row>
    <row r="321" spans="1:32" s="1194" customFormat="1" ht="12" x14ac:dyDescent="0.2">
      <c r="A321" s="1231"/>
      <c r="B321" s="1230"/>
      <c r="C321" s="1962" t="s">
        <v>318</v>
      </c>
      <c r="D321" s="1962"/>
      <c r="E321" s="1962"/>
      <c r="F321" s="1235"/>
      <c r="G321" s="1235"/>
      <c r="H321" s="1235"/>
      <c r="I321" s="1235"/>
      <c r="J321" s="1236">
        <v>64.790000000000006</v>
      </c>
      <c r="K321" s="1235"/>
      <c r="L321" s="1236">
        <v>150.96</v>
      </c>
      <c r="M321" s="1235"/>
      <c r="N321" s="1237"/>
      <c r="T321" s="1220"/>
      <c r="U321" s="1221"/>
      <c r="V321" s="1221"/>
      <c r="AA321" s="1198" t="s">
        <v>318</v>
      </c>
      <c r="AB321" s="1221"/>
      <c r="AC321" s="1221"/>
      <c r="AE321" s="1221"/>
      <c r="AF321" s="1261"/>
    </row>
    <row r="322" spans="1:32" s="1194" customFormat="1" ht="12" x14ac:dyDescent="0.2">
      <c r="A322" s="1231"/>
      <c r="B322" s="1230"/>
      <c r="C322" s="1945" t="s">
        <v>319</v>
      </c>
      <c r="D322" s="1945"/>
      <c r="E322" s="1945"/>
      <c r="F322" s="1232"/>
      <c r="G322" s="1232"/>
      <c r="H322" s="1232"/>
      <c r="I322" s="1232"/>
      <c r="J322" s="1233"/>
      <c r="K322" s="1232"/>
      <c r="L322" s="1233">
        <v>141.22</v>
      </c>
      <c r="M322" s="1232"/>
      <c r="N322" s="1234"/>
      <c r="T322" s="1220"/>
      <c r="U322" s="1221"/>
      <c r="V322" s="1221"/>
      <c r="Z322" s="1198" t="s">
        <v>319</v>
      </c>
      <c r="AB322" s="1221"/>
      <c r="AC322" s="1221"/>
      <c r="AE322" s="1221"/>
      <c r="AF322" s="1261"/>
    </row>
    <row r="323" spans="1:32" s="1194" customFormat="1" ht="45" x14ac:dyDescent="0.2">
      <c r="A323" s="1231"/>
      <c r="B323" s="1230" t="s">
        <v>9368</v>
      </c>
      <c r="C323" s="1945" t="s">
        <v>9369</v>
      </c>
      <c r="D323" s="1945"/>
      <c r="E323" s="1945"/>
      <c r="F323" s="1232" t="s">
        <v>322</v>
      </c>
      <c r="G323" s="1232" t="s">
        <v>851</v>
      </c>
      <c r="H323" s="1232"/>
      <c r="I323" s="1232" t="s">
        <v>851</v>
      </c>
      <c r="J323" s="1233"/>
      <c r="K323" s="1232"/>
      <c r="L323" s="1233">
        <v>152.52000000000001</v>
      </c>
      <c r="M323" s="1232"/>
      <c r="N323" s="1234"/>
      <c r="T323" s="1220"/>
      <c r="U323" s="1221"/>
      <c r="V323" s="1221"/>
      <c r="Z323" s="1198" t="s">
        <v>9369</v>
      </c>
      <c r="AB323" s="1221"/>
      <c r="AC323" s="1221"/>
      <c r="AE323" s="1221"/>
      <c r="AF323" s="1261"/>
    </row>
    <row r="324" spans="1:32" s="1194" customFormat="1" ht="45" x14ac:dyDescent="0.2">
      <c r="A324" s="1231"/>
      <c r="B324" s="1230" t="s">
        <v>9370</v>
      </c>
      <c r="C324" s="1945" t="s">
        <v>9371</v>
      </c>
      <c r="D324" s="1945"/>
      <c r="E324" s="1945"/>
      <c r="F324" s="1232" t="s">
        <v>322</v>
      </c>
      <c r="G324" s="1232" t="s">
        <v>789</v>
      </c>
      <c r="H324" s="1232"/>
      <c r="I324" s="1232" t="s">
        <v>789</v>
      </c>
      <c r="J324" s="1233"/>
      <c r="K324" s="1232"/>
      <c r="L324" s="1233">
        <v>77.67</v>
      </c>
      <c r="M324" s="1232"/>
      <c r="N324" s="1234"/>
      <c r="T324" s="1220"/>
      <c r="U324" s="1221"/>
      <c r="V324" s="1221"/>
      <c r="Z324" s="1198" t="s">
        <v>9371</v>
      </c>
      <c r="AB324" s="1221"/>
      <c r="AC324" s="1221"/>
      <c r="AE324" s="1221"/>
      <c r="AF324" s="1261"/>
    </row>
    <row r="325" spans="1:32" s="1194" customFormat="1" ht="12" x14ac:dyDescent="0.2">
      <c r="A325" s="1238"/>
      <c r="B325" s="1239"/>
      <c r="C325" s="1953" t="s">
        <v>327</v>
      </c>
      <c r="D325" s="1953"/>
      <c r="E325" s="1953"/>
      <c r="F325" s="1224"/>
      <c r="G325" s="1224"/>
      <c r="H325" s="1224"/>
      <c r="I325" s="1224"/>
      <c r="J325" s="1225"/>
      <c r="K325" s="1224"/>
      <c r="L325" s="1225">
        <v>381.15</v>
      </c>
      <c r="M325" s="1235"/>
      <c r="N325" s="1226"/>
      <c r="T325" s="1220"/>
      <c r="U325" s="1221"/>
      <c r="V325" s="1221"/>
      <c r="AB325" s="1221" t="s">
        <v>327</v>
      </c>
      <c r="AC325" s="1221"/>
      <c r="AE325" s="1221"/>
      <c r="AF325" s="1261"/>
    </row>
    <row r="326" spans="1:32" s="1194" customFormat="1" ht="22.5" x14ac:dyDescent="0.2">
      <c r="A326" s="1222" t="s">
        <v>505</v>
      </c>
      <c r="B326" s="1223" t="s">
        <v>9372</v>
      </c>
      <c r="C326" s="1953" t="s">
        <v>9373</v>
      </c>
      <c r="D326" s="1953"/>
      <c r="E326" s="1953"/>
      <c r="F326" s="1224" t="s">
        <v>641</v>
      </c>
      <c r="G326" s="1224"/>
      <c r="H326" s="1224"/>
      <c r="I326" s="1224" t="s">
        <v>891</v>
      </c>
      <c r="J326" s="1225">
        <v>1418.41</v>
      </c>
      <c r="K326" s="1224"/>
      <c r="L326" s="1225">
        <v>992.89</v>
      </c>
      <c r="M326" s="1224"/>
      <c r="N326" s="1226"/>
      <c r="T326" s="1220"/>
      <c r="U326" s="1221"/>
      <c r="V326" s="1221" t="s">
        <v>9373</v>
      </c>
      <c r="AB326" s="1221"/>
      <c r="AC326" s="1221"/>
      <c r="AE326" s="1221"/>
      <c r="AF326" s="1261"/>
    </row>
    <row r="327" spans="1:32" s="1194" customFormat="1" ht="12" x14ac:dyDescent="0.2">
      <c r="A327" s="1238"/>
      <c r="B327" s="1239"/>
      <c r="C327" s="1196" t="s">
        <v>717</v>
      </c>
      <c r="D327" s="1240"/>
      <c r="E327" s="1240"/>
      <c r="F327" s="1241"/>
      <c r="G327" s="1241"/>
      <c r="H327" s="1241"/>
      <c r="I327" s="1241"/>
      <c r="J327" s="1242"/>
      <c r="K327" s="1241"/>
      <c r="L327" s="1242"/>
      <c r="M327" s="1243"/>
      <c r="N327" s="1244"/>
      <c r="T327" s="1220"/>
      <c r="U327" s="1221"/>
      <c r="V327" s="1221"/>
      <c r="AB327" s="1221"/>
      <c r="AC327" s="1221"/>
      <c r="AE327" s="1221"/>
      <c r="AF327" s="1261"/>
    </row>
    <row r="328" spans="1:32" s="1194" customFormat="1" ht="1.5" customHeight="1" x14ac:dyDescent="0.2">
      <c r="A328" s="1241"/>
      <c r="B328" s="1239"/>
      <c r="C328" s="1239"/>
      <c r="D328" s="1239"/>
      <c r="E328" s="1239"/>
      <c r="F328" s="1241"/>
      <c r="G328" s="1241"/>
      <c r="H328" s="1241"/>
      <c r="I328" s="1241"/>
      <c r="J328" s="1245"/>
      <c r="K328" s="1241"/>
      <c r="L328" s="1245"/>
      <c r="M328" s="1232"/>
      <c r="N328" s="1245"/>
      <c r="T328" s="1220"/>
      <c r="U328" s="1221"/>
      <c r="V328" s="1221"/>
      <c r="AB328" s="1221"/>
      <c r="AC328" s="1221"/>
      <c r="AE328" s="1221"/>
      <c r="AF328" s="1261"/>
    </row>
    <row r="329" spans="1:32" s="1194" customFormat="1" ht="12" x14ac:dyDescent="0.2">
      <c r="A329" s="1246"/>
      <c r="B329" s="1247"/>
      <c r="C329" s="1953" t="s">
        <v>9374</v>
      </c>
      <c r="D329" s="1953"/>
      <c r="E329" s="1953"/>
      <c r="F329" s="1953"/>
      <c r="G329" s="1953"/>
      <c r="H329" s="1953"/>
      <c r="I329" s="1953"/>
      <c r="J329" s="1953"/>
      <c r="K329" s="1953"/>
      <c r="L329" s="1248"/>
      <c r="M329" s="1249"/>
      <c r="N329" s="1250"/>
      <c r="T329" s="1220"/>
      <c r="U329" s="1221"/>
      <c r="V329" s="1221"/>
      <c r="AB329" s="1221"/>
      <c r="AC329" s="1221" t="s">
        <v>9374</v>
      </c>
      <c r="AE329" s="1221"/>
      <c r="AF329" s="1261"/>
    </row>
    <row r="330" spans="1:32" s="1194" customFormat="1" ht="12" x14ac:dyDescent="0.2">
      <c r="A330" s="1251"/>
      <c r="B330" s="1230"/>
      <c r="C330" s="1945" t="s">
        <v>403</v>
      </c>
      <c r="D330" s="1945"/>
      <c r="E330" s="1945"/>
      <c r="F330" s="1945"/>
      <c r="G330" s="1945"/>
      <c r="H330" s="1945"/>
      <c r="I330" s="1945"/>
      <c r="J330" s="1945"/>
      <c r="K330" s="1945"/>
      <c r="L330" s="1252">
        <v>3104918.1</v>
      </c>
      <c r="M330" s="1253"/>
      <c r="N330" s="1254"/>
      <c r="T330" s="1220"/>
      <c r="U330" s="1221"/>
      <c r="V330" s="1221"/>
      <c r="AB330" s="1221"/>
      <c r="AC330" s="1221"/>
      <c r="AD330" s="1198" t="s">
        <v>403</v>
      </c>
      <c r="AE330" s="1221"/>
      <c r="AF330" s="1261"/>
    </row>
    <row r="331" spans="1:32" s="1194" customFormat="1" ht="12" x14ac:dyDescent="0.2">
      <c r="A331" s="1251"/>
      <c r="B331" s="1230"/>
      <c r="C331" s="1945" t="s">
        <v>8993</v>
      </c>
      <c r="D331" s="1945"/>
      <c r="E331" s="1945"/>
      <c r="F331" s="1945"/>
      <c r="G331" s="1945"/>
      <c r="H331" s="1945"/>
      <c r="I331" s="1945"/>
      <c r="J331" s="1945"/>
      <c r="K331" s="1945"/>
      <c r="L331" s="1252"/>
      <c r="M331" s="1253"/>
      <c r="N331" s="1254"/>
      <c r="T331" s="1220"/>
      <c r="U331" s="1221"/>
      <c r="V331" s="1221"/>
      <c r="AB331" s="1221"/>
      <c r="AC331" s="1221"/>
      <c r="AD331" s="1198" t="s">
        <v>8993</v>
      </c>
      <c r="AE331" s="1221"/>
      <c r="AF331" s="1261"/>
    </row>
    <row r="332" spans="1:32" s="1194" customFormat="1" ht="12" x14ac:dyDescent="0.2">
      <c r="A332" s="1251"/>
      <c r="B332" s="1230"/>
      <c r="C332" s="1945" t="s">
        <v>404</v>
      </c>
      <c r="D332" s="1945"/>
      <c r="E332" s="1945"/>
      <c r="F332" s="1945"/>
      <c r="G332" s="1945"/>
      <c r="H332" s="1945"/>
      <c r="I332" s="1945"/>
      <c r="J332" s="1945"/>
      <c r="K332" s="1945"/>
      <c r="L332" s="1252">
        <v>153463.01999999999</v>
      </c>
      <c r="M332" s="1253"/>
      <c r="N332" s="1254"/>
      <c r="T332" s="1220"/>
      <c r="U332" s="1221"/>
      <c r="V332" s="1221"/>
      <c r="AB332" s="1221"/>
      <c r="AC332" s="1221"/>
      <c r="AD332" s="1198" t="s">
        <v>404</v>
      </c>
      <c r="AE332" s="1221"/>
      <c r="AF332" s="1261"/>
    </row>
    <row r="333" spans="1:32" s="1194" customFormat="1" ht="12" x14ac:dyDescent="0.2">
      <c r="A333" s="1251"/>
      <c r="B333" s="1230"/>
      <c r="C333" s="1945" t="s">
        <v>405</v>
      </c>
      <c r="D333" s="1945"/>
      <c r="E333" s="1945"/>
      <c r="F333" s="1945"/>
      <c r="G333" s="1945"/>
      <c r="H333" s="1945"/>
      <c r="I333" s="1945"/>
      <c r="J333" s="1945"/>
      <c r="K333" s="1945"/>
      <c r="L333" s="1252">
        <v>108320.65</v>
      </c>
      <c r="M333" s="1253"/>
      <c r="N333" s="1254"/>
      <c r="T333" s="1220"/>
      <c r="U333" s="1221"/>
      <c r="V333" s="1221"/>
      <c r="AB333" s="1221"/>
      <c r="AC333" s="1221"/>
      <c r="AD333" s="1198" t="s">
        <v>405</v>
      </c>
      <c r="AE333" s="1221"/>
      <c r="AF333" s="1261"/>
    </row>
    <row r="334" spans="1:32" s="1194" customFormat="1" ht="12" x14ac:dyDescent="0.2">
      <c r="A334" s="1251"/>
      <c r="B334" s="1230"/>
      <c r="C334" s="1945" t="s">
        <v>8994</v>
      </c>
      <c r="D334" s="1945"/>
      <c r="E334" s="1945"/>
      <c r="F334" s="1945"/>
      <c r="G334" s="1945"/>
      <c r="H334" s="1945"/>
      <c r="I334" s="1945"/>
      <c r="J334" s="1945"/>
      <c r="K334" s="1945"/>
      <c r="L334" s="1252">
        <v>14228.42</v>
      </c>
      <c r="M334" s="1253"/>
      <c r="N334" s="1254"/>
      <c r="T334" s="1220"/>
      <c r="U334" s="1221"/>
      <c r="V334" s="1221"/>
      <c r="AB334" s="1221"/>
      <c r="AC334" s="1221"/>
      <c r="AD334" s="1198" t="s">
        <v>8994</v>
      </c>
      <c r="AE334" s="1221"/>
      <c r="AF334" s="1261"/>
    </row>
    <row r="335" spans="1:32" s="1194" customFormat="1" ht="12" x14ac:dyDescent="0.2">
      <c r="A335" s="1251"/>
      <c r="B335" s="1230"/>
      <c r="C335" s="1945" t="s">
        <v>480</v>
      </c>
      <c r="D335" s="1945"/>
      <c r="E335" s="1945"/>
      <c r="F335" s="1945"/>
      <c r="G335" s="1945"/>
      <c r="H335" s="1945"/>
      <c r="I335" s="1945"/>
      <c r="J335" s="1945"/>
      <c r="K335" s="1945"/>
      <c r="L335" s="1252">
        <v>2843134.43</v>
      </c>
      <c r="M335" s="1253"/>
      <c r="N335" s="1254"/>
      <c r="T335" s="1220"/>
      <c r="U335" s="1221"/>
      <c r="V335" s="1221"/>
      <c r="AB335" s="1221"/>
      <c r="AC335" s="1221"/>
      <c r="AD335" s="1198" t="s">
        <v>480</v>
      </c>
      <c r="AE335" s="1221"/>
      <c r="AF335" s="1261"/>
    </row>
    <row r="336" spans="1:32" s="1194" customFormat="1" ht="12" x14ac:dyDescent="0.2">
      <c r="A336" s="1251"/>
      <c r="B336" s="1230"/>
      <c r="C336" s="1945" t="s">
        <v>407</v>
      </c>
      <c r="D336" s="1945"/>
      <c r="E336" s="1945"/>
      <c r="F336" s="1945"/>
      <c r="G336" s="1945"/>
      <c r="H336" s="1945"/>
      <c r="I336" s="1945"/>
      <c r="J336" s="1945"/>
      <c r="K336" s="1945"/>
      <c r="L336" s="1252">
        <v>3374194.18</v>
      </c>
      <c r="M336" s="1253"/>
      <c r="N336" s="1254"/>
      <c r="T336" s="1220"/>
      <c r="U336" s="1221"/>
      <c r="V336" s="1221"/>
      <c r="AB336" s="1221"/>
      <c r="AC336" s="1221"/>
      <c r="AD336" s="1198" t="s">
        <v>407</v>
      </c>
      <c r="AE336" s="1221"/>
      <c r="AF336" s="1261"/>
    </row>
    <row r="337" spans="1:32" s="1194" customFormat="1" ht="12" x14ac:dyDescent="0.2">
      <c r="A337" s="1251"/>
      <c r="B337" s="1230"/>
      <c r="C337" s="1945" t="s">
        <v>8993</v>
      </c>
      <c r="D337" s="1945"/>
      <c r="E337" s="1945"/>
      <c r="F337" s="1945"/>
      <c r="G337" s="1945"/>
      <c r="H337" s="1945"/>
      <c r="I337" s="1945"/>
      <c r="J337" s="1945"/>
      <c r="K337" s="1945"/>
      <c r="L337" s="1252"/>
      <c r="M337" s="1253"/>
      <c r="N337" s="1254"/>
      <c r="T337" s="1220"/>
      <c r="U337" s="1221"/>
      <c r="V337" s="1221"/>
      <c r="AB337" s="1221"/>
      <c r="AC337" s="1221"/>
      <c r="AD337" s="1198" t="s">
        <v>8993</v>
      </c>
      <c r="AE337" s="1221"/>
      <c r="AF337" s="1261"/>
    </row>
    <row r="338" spans="1:32" s="1194" customFormat="1" ht="12" x14ac:dyDescent="0.2">
      <c r="A338" s="1251"/>
      <c r="B338" s="1230"/>
      <c r="C338" s="1945" t="s">
        <v>546</v>
      </c>
      <c r="D338" s="1945"/>
      <c r="E338" s="1945"/>
      <c r="F338" s="1945"/>
      <c r="G338" s="1945"/>
      <c r="H338" s="1945"/>
      <c r="I338" s="1945"/>
      <c r="J338" s="1945"/>
      <c r="K338" s="1945"/>
      <c r="L338" s="1252">
        <v>153463.01999999999</v>
      </c>
      <c r="M338" s="1253"/>
      <c r="N338" s="1254"/>
      <c r="T338" s="1220"/>
      <c r="U338" s="1221"/>
      <c r="V338" s="1221"/>
      <c r="AB338" s="1221"/>
      <c r="AC338" s="1221"/>
      <c r="AD338" s="1198" t="s">
        <v>546</v>
      </c>
      <c r="AE338" s="1221"/>
      <c r="AF338" s="1261"/>
    </row>
    <row r="339" spans="1:32" s="1194" customFormat="1" ht="12" x14ac:dyDescent="0.2">
      <c r="A339" s="1251"/>
      <c r="B339" s="1230"/>
      <c r="C339" s="1945" t="s">
        <v>442</v>
      </c>
      <c r="D339" s="1945"/>
      <c r="E339" s="1945"/>
      <c r="F339" s="1945"/>
      <c r="G339" s="1945"/>
      <c r="H339" s="1945"/>
      <c r="I339" s="1945"/>
      <c r="J339" s="1945"/>
      <c r="K339" s="1945"/>
      <c r="L339" s="1252">
        <v>108320.65</v>
      </c>
      <c r="M339" s="1253"/>
      <c r="N339" s="1254"/>
      <c r="T339" s="1220"/>
      <c r="U339" s="1221"/>
      <c r="V339" s="1221"/>
      <c r="AB339" s="1221"/>
      <c r="AC339" s="1221"/>
      <c r="AD339" s="1198" t="s">
        <v>442</v>
      </c>
      <c r="AE339" s="1221"/>
      <c r="AF339" s="1261"/>
    </row>
    <row r="340" spans="1:32" s="1194" customFormat="1" ht="12" x14ac:dyDescent="0.2">
      <c r="A340" s="1251"/>
      <c r="B340" s="1230"/>
      <c r="C340" s="1945" t="s">
        <v>8995</v>
      </c>
      <c r="D340" s="1945"/>
      <c r="E340" s="1945"/>
      <c r="F340" s="1945"/>
      <c r="G340" s="1945"/>
      <c r="H340" s="1945"/>
      <c r="I340" s="1945"/>
      <c r="J340" s="1945"/>
      <c r="K340" s="1945"/>
      <c r="L340" s="1252">
        <v>14228.42</v>
      </c>
      <c r="M340" s="1253"/>
      <c r="N340" s="1254"/>
      <c r="T340" s="1220"/>
      <c r="U340" s="1221"/>
      <c r="V340" s="1221"/>
      <c r="AB340" s="1221"/>
      <c r="AC340" s="1221"/>
      <c r="AD340" s="1198" t="s">
        <v>8995</v>
      </c>
      <c r="AE340" s="1221"/>
      <c r="AF340" s="1261"/>
    </row>
    <row r="341" spans="1:32" s="1194" customFormat="1" ht="12" x14ac:dyDescent="0.2">
      <c r="A341" s="1251"/>
      <c r="B341" s="1230"/>
      <c r="C341" s="1945" t="s">
        <v>547</v>
      </c>
      <c r="D341" s="1945"/>
      <c r="E341" s="1945"/>
      <c r="F341" s="1945"/>
      <c r="G341" s="1945"/>
      <c r="H341" s="1945"/>
      <c r="I341" s="1945"/>
      <c r="J341" s="1945"/>
      <c r="K341" s="1945"/>
      <c r="L341" s="1252">
        <v>2843134.43</v>
      </c>
      <c r="M341" s="1253"/>
      <c r="N341" s="1254"/>
      <c r="T341" s="1220"/>
      <c r="U341" s="1221"/>
      <c r="V341" s="1221"/>
      <c r="AB341" s="1221"/>
      <c r="AC341" s="1221"/>
      <c r="AD341" s="1198" t="s">
        <v>547</v>
      </c>
      <c r="AE341" s="1221"/>
      <c r="AF341" s="1261"/>
    </row>
    <row r="342" spans="1:32" s="1194" customFormat="1" ht="12" x14ac:dyDescent="0.2">
      <c r="A342" s="1251"/>
      <c r="B342" s="1230"/>
      <c r="C342" s="1945" t="s">
        <v>443</v>
      </c>
      <c r="D342" s="1945"/>
      <c r="E342" s="1945"/>
      <c r="F342" s="1945"/>
      <c r="G342" s="1945"/>
      <c r="H342" s="1945"/>
      <c r="I342" s="1945"/>
      <c r="J342" s="1945"/>
      <c r="K342" s="1945"/>
      <c r="L342" s="1252">
        <v>171444.79</v>
      </c>
      <c r="M342" s="1253"/>
      <c r="N342" s="1254"/>
      <c r="T342" s="1220"/>
      <c r="U342" s="1221"/>
      <c r="V342" s="1221"/>
      <c r="AB342" s="1221"/>
      <c r="AC342" s="1221"/>
      <c r="AD342" s="1198" t="s">
        <v>443</v>
      </c>
      <c r="AE342" s="1221"/>
      <c r="AF342" s="1261"/>
    </row>
    <row r="343" spans="1:32" s="1194" customFormat="1" ht="12" x14ac:dyDescent="0.2">
      <c r="A343" s="1251"/>
      <c r="B343" s="1230"/>
      <c r="C343" s="1945" t="s">
        <v>444</v>
      </c>
      <c r="D343" s="1945"/>
      <c r="E343" s="1945"/>
      <c r="F343" s="1945"/>
      <c r="G343" s="1945"/>
      <c r="H343" s="1945"/>
      <c r="I343" s="1945"/>
      <c r="J343" s="1945"/>
      <c r="K343" s="1945"/>
      <c r="L343" s="1252">
        <v>97831.29</v>
      </c>
      <c r="M343" s="1253"/>
      <c r="N343" s="1254"/>
      <c r="T343" s="1220"/>
      <c r="U343" s="1221"/>
      <c r="V343" s="1221"/>
      <c r="AB343" s="1221"/>
      <c r="AC343" s="1221"/>
      <c r="AD343" s="1198" t="s">
        <v>444</v>
      </c>
      <c r="AE343" s="1221"/>
      <c r="AF343" s="1261"/>
    </row>
    <row r="344" spans="1:32" s="1194" customFormat="1" ht="12" x14ac:dyDescent="0.2">
      <c r="A344" s="1251"/>
      <c r="B344" s="1230"/>
      <c r="C344" s="1945" t="s">
        <v>415</v>
      </c>
      <c r="D344" s="1945"/>
      <c r="E344" s="1945"/>
      <c r="F344" s="1945"/>
      <c r="G344" s="1945"/>
      <c r="H344" s="1945"/>
      <c r="I344" s="1945"/>
      <c r="J344" s="1945"/>
      <c r="K344" s="1945"/>
      <c r="L344" s="1252">
        <v>167691.44</v>
      </c>
      <c r="M344" s="1253"/>
      <c r="N344" s="1254"/>
      <c r="T344" s="1220"/>
      <c r="U344" s="1221"/>
      <c r="V344" s="1221"/>
      <c r="AB344" s="1221"/>
      <c r="AC344" s="1221"/>
      <c r="AD344" s="1198" t="s">
        <v>415</v>
      </c>
      <c r="AE344" s="1221"/>
      <c r="AF344" s="1261"/>
    </row>
    <row r="345" spans="1:32" s="1194" customFormat="1" ht="12" x14ac:dyDescent="0.2">
      <c r="A345" s="1251"/>
      <c r="B345" s="1230"/>
      <c r="C345" s="1945" t="s">
        <v>416</v>
      </c>
      <c r="D345" s="1945"/>
      <c r="E345" s="1945"/>
      <c r="F345" s="1945"/>
      <c r="G345" s="1945"/>
      <c r="H345" s="1945"/>
      <c r="I345" s="1945"/>
      <c r="J345" s="1945"/>
      <c r="K345" s="1945"/>
      <c r="L345" s="1252">
        <v>171444.79</v>
      </c>
      <c r="M345" s="1253"/>
      <c r="N345" s="1254"/>
      <c r="T345" s="1220"/>
      <c r="U345" s="1221"/>
      <c r="V345" s="1221"/>
      <c r="AB345" s="1221"/>
      <c r="AC345" s="1221"/>
      <c r="AD345" s="1198" t="s">
        <v>416</v>
      </c>
      <c r="AE345" s="1221"/>
      <c r="AF345" s="1261"/>
    </row>
    <row r="346" spans="1:32" s="1194" customFormat="1" ht="12" x14ac:dyDescent="0.2">
      <c r="A346" s="1251"/>
      <c r="B346" s="1230"/>
      <c r="C346" s="1945" t="s">
        <v>417</v>
      </c>
      <c r="D346" s="1945"/>
      <c r="E346" s="1945"/>
      <c r="F346" s="1945"/>
      <c r="G346" s="1945"/>
      <c r="H346" s="1945"/>
      <c r="I346" s="1945"/>
      <c r="J346" s="1945"/>
      <c r="K346" s="1945"/>
      <c r="L346" s="1252">
        <v>97831.29</v>
      </c>
      <c r="M346" s="1253"/>
      <c r="N346" s="1254"/>
      <c r="T346" s="1220"/>
      <c r="U346" s="1221"/>
      <c r="V346" s="1221"/>
      <c r="AB346" s="1221"/>
      <c r="AC346" s="1221"/>
      <c r="AD346" s="1198" t="s">
        <v>417</v>
      </c>
      <c r="AE346" s="1221"/>
      <c r="AF346" s="1261"/>
    </row>
    <row r="347" spans="1:32" s="1194" customFormat="1" ht="12" x14ac:dyDescent="0.2">
      <c r="A347" s="1251"/>
      <c r="B347" s="1245"/>
      <c r="C347" s="1963" t="s">
        <v>9375</v>
      </c>
      <c r="D347" s="1963"/>
      <c r="E347" s="1963"/>
      <c r="F347" s="1963"/>
      <c r="G347" s="1963"/>
      <c r="H347" s="1963"/>
      <c r="I347" s="1963"/>
      <c r="J347" s="1963"/>
      <c r="K347" s="1963"/>
      <c r="L347" s="1255">
        <v>3374194.18</v>
      </c>
      <c r="M347" s="1256"/>
      <c r="N347" s="1257"/>
      <c r="T347" s="1220"/>
      <c r="U347" s="1221"/>
      <c r="V347" s="1221"/>
      <c r="AB347" s="1221"/>
      <c r="AC347" s="1221"/>
      <c r="AE347" s="1221" t="s">
        <v>9375</v>
      </c>
      <c r="AF347" s="1261"/>
    </row>
    <row r="348" spans="1:32" s="1194" customFormat="1" ht="12" x14ac:dyDescent="0.2">
      <c r="A348" s="1956" t="s">
        <v>1556</v>
      </c>
      <c r="B348" s="1957"/>
      <c r="C348" s="1957"/>
      <c r="D348" s="1957"/>
      <c r="E348" s="1957"/>
      <c r="F348" s="1957"/>
      <c r="G348" s="1957"/>
      <c r="H348" s="1957"/>
      <c r="I348" s="1957"/>
      <c r="J348" s="1957"/>
      <c r="K348" s="1957"/>
      <c r="L348" s="1957"/>
      <c r="M348" s="1957"/>
      <c r="N348" s="1958"/>
      <c r="T348" s="1220" t="s">
        <v>1556</v>
      </c>
      <c r="U348" s="1221"/>
      <c r="V348" s="1221"/>
      <c r="AB348" s="1221"/>
      <c r="AC348" s="1221"/>
      <c r="AE348" s="1221"/>
      <c r="AF348" s="1261"/>
    </row>
    <row r="349" spans="1:32" s="1194" customFormat="1" ht="56.25" x14ac:dyDescent="0.2">
      <c r="A349" s="1222" t="s">
        <v>767</v>
      </c>
      <c r="B349" s="1223" t="s">
        <v>1557</v>
      </c>
      <c r="C349" s="1953" t="s">
        <v>1558</v>
      </c>
      <c r="D349" s="1953"/>
      <c r="E349" s="1953"/>
      <c r="F349" s="1224" t="s">
        <v>1110</v>
      </c>
      <c r="G349" s="1224"/>
      <c r="H349" s="1224"/>
      <c r="I349" s="1224" t="s">
        <v>1559</v>
      </c>
      <c r="J349" s="1225"/>
      <c r="K349" s="1224"/>
      <c r="L349" s="1225"/>
      <c r="M349" s="1224"/>
      <c r="N349" s="1226"/>
      <c r="T349" s="1220"/>
      <c r="U349" s="1221"/>
      <c r="V349" s="1221" t="s">
        <v>1558</v>
      </c>
      <c r="AB349" s="1221"/>
      <c r="AC349" s="1221"/>
      <c r="AE349" s="1221"/>
      <c r="AF349" s="1261"/>
    </row>
    <row r="350" spans="1:32" s="1194" customFormat="1" ht="12" x14ac:dyDescent="0.2">
      <c r="A350" s="1227"/>
      <c r="B350" s="1228"/>
      <c r="C350" s="1945" t="s">
        <v>1560</v>
      </c>
      <c r="D350" s="1945"/>
      <c r="E350" s="1945"/>
      <c r="F350" s="1945"/>
      <c r="G350" s="1945"/>
      <c r="H350" s="1945"/>
      <c r="I350" s="1945"/>
      <c r="J350" s="1945"/>
      <c r="K350" s="1945"/>
      <c r="L350" s="1945"/>
      <c r="M350" s="1945"/>
      <c r="N350" s="1954"/>
      <c r="T350" s="1220"/>
      <c r="U350" s="1221"/>
      <c r="V350" s="1221"/>
      <c r="W350" s="1198" t="s">
        <v>1560</v>
      </c>
      <c r="AB350" s="1221"/>
      <c r="AC350" s="1221"/>
      <c r="AE350" s="1221"/>
      <c r="AF350" s="1261"/>
    </row>
    <row r="351" spans="1:32" s="1194" customFormat="1" ht="33.75" x14ac:dyDescent="0.2">
      <c r="A351" s="1229"/>
      <c r="B351" s="1230" t="s">
        <v>310</v>
      </c>
      <c r="C351" s="1945" t="s">
        <v>311</v>
      </c>
      <c r="D351" s="1945"/>
      <c r="E351" s="1945"/>
      <c r="F351" s="1945"/>
      <c r="G351" s="1945"/>
      <c r="H351" s="1945"/>
      <c r="I351" s="1945"/>
      <c r="J351" s="1945"/>
      <c r="K351" s="1945"/>
      <c r="L351" s="1945"/>
      <c r="M351" s="1945"/>
      <c r="N351" s="1954"/>
      <c r="T351" s="1220"/>
      <c r="U351" s="1221"/>
      <c r="V351" s="1221"/>
      <c r="X351" s="1198" t="s">
        <v>311</v>
      </c>
      <c r="AB351" s="1221"/>
      <c r="AC351" s="1221"/>
      <c r="AE351" s="1221"/>
      <c r="AF351" s="1261"/>
    </row>
    <row r="352" spans="1:32" s="1194" customFormat="1" ht="12" x14ac:dyDescent="0.2">
      <c r="A352" s="1231"/>
      <c r="B352" s="1230" t="s">
        <v>185</v>
      </c>
      <c r="C352" s="1945" t="s">
        <v>312</v>
      </c>
      <c r="D352" s="1945"/>
      <c r="E352" s="1945"/>
      <c r="F352" s="1232"/>
      <c r="G352" s="1232"/>
      <c r="H352" s="1232"/>
      <c r="I352" s="1232"/>
      <c r="J352" s="1233">
        <v>216.46</v>
      </c>
      <c r="K352" s="1232" t="s">
        <v>313</v>
      </c>
      <c r="L352" s="1233">
        <v>1461.11</v>
      </c>
      <c r="M352" s="1232"/>
      <c r="N352" s="1234"/>
      <c r="T352" s="1220"/>
      <c r="U352" s="1221"/>
      <c r="V352" s="1221"/>
      <c r="Y352" s="1198" t="s">
        <v>312</v>
      </c>
      <c r="AB352" s="1221"/>
      <c r="AC352" s="1221"/>
      <c r="AE352" s="1221"/>
      <c r="AF352" s="1261"/>
    </row>
    <row r="353" spans="1:32" s="1194" customFormat="1" ht="12" x14ac:dyDescent="0.2">
      <c r="A353" s="1231"/>
      <c r="B353" s="1230" t="s">
        <v>186</v>
      </c>
      <c r="C353" s="1945" t="s">
        <v>344</v>
      </c>
      <c r="D353" s="1945"/>
      <c r="E353" s="1945"/>
      <c r="F353" s="1232"/>
      <c r="G353" s="1232"/>
      <c r="H353" s="1232"/>
      <c r="I353" s="1232"/>
      <c r="J353" s="1233">
        <v>487.13</v>
      </c>
      <c r="K353" s="1232" t="s">
        <v>313</v>
      </c>
      <c r="L353" s="1233">
        <v>3288.13</v>
      </c>
      <c r="M353" s="1232"/>
      <c r="N353" s="1234"/>
      <c r="T353" s="1220"/>
      <c r="U353" s="1221"/>
      <c r="V353" s="1221"/>
      <c r="Y353" s="1198" t="s">
        <v>344</v>
      </c>
      <c r="AB353" s="1221"/>
      <c r="AC353" s="1221"/>
      <c r="AE353" s="1221"/>
      <c r="AF353" s="1261"/>
    </row>
    <row r="354" spans="1:32" s="1194" customFormat="1" ht="12" x14ac:dyDescent="0.2">
      <c r="A354" s="1231"/>
      <c r="B354" s="1230" t="s">
        <v>187</v>
      </c>
      <c r="C354" s="1945" t="s">
        <v>345</v>
      </c>
      <c r="D354" s="1945"/>
      <c r="E354" s="1945"/>
      <c r="F354" s="1232"/>
      <c r="G354" s="1232"/>
      <c r="H354" s="1232"/>
      <c r="I354" s="1232"/>
      <c r="J354" s="1233">
        <v>20.72</v>
      </c>
      <c r="K354" s="1232" t="s">
        <v>313</v>
      </c>
      <c r="L354" s="1233">
        <v>139.86000000000001</v>
      </c>
      <c r="M354" s="1232"/>
      <c r="N354" s="1234"/>
      <c r="T354" s="1220"/>
      <c r="U354" s="1221"/>
      <c r="V354" s="1221"/>
      <c r="Y354" s="1198" t="s">
        <v>345</v>
      </c>
      <c r="AB354" s="1221"/>
      <c r="AC354" s="1221"/>
      <c r="AE354" s="1221"/>
      <c r="AF354" s="1261"/>
    </row>
    <row r="355" spans="1:32" s="1194" customFormat="1" ht="12" x14ac:dyDescent="0.2">
      <c r="A355" s="1227"/>
      <c r="B355" s="1258" t="s">
        <v>1561</v>
      </c>
      <c r="C355" s="1964" t="s">
        <v>1562</v>
      </c>
      <c r="D355" s="1964"/>
      <c r="E355" s="1964"/>
      <c r="F355" s="1259" t="s">
        <v>865</v>
      </c>
      <c r="G355" s="1259" t="s">
        <v>525</v>
      </c>
      <c r="H355" s="1259"/>
      <c r="I355" s="1259" t="s">
        <v>525</v>
      </c>
      <c r="J355" s="1230"/>
      <c r="K355" s="1232"/>
      <c r="L355" s="1233"/>
      <c r="M355" s="1232"/>
      <c r="N355" s="1260"/>
      <c r="T355" s="1220"/>
      <c r="U355" s="1221"/>
      <c r="V355" s="1221"/>
      <c r="AB355" s="1221"/>
      <c r="AC355" s="1221"/>
      <c r="AE355" s="1221"/>
      <c r="AF355" s="1261" t="s">
        <v>1562</v>
      </c>
    </row>
    <row r="356" spans="1:32" s="1194" customFormat="1" ht="22.5" x14ac:dyDescent="0.2">
      <c r="A356" s="1227"/>
      <c r="B356" s="1258" t="s">
        <v>1563</v>
      </c>
      <c r="C356" s="1964" t="s">
        <v>1564</v>
      </c>
      <c r="D356" s="1964"/>
      <c r="E356" s="1964"/>
      <c r="F356" s="1259" t="s">
        <v>641</v>
      </c>
      <c r="G356" s="1259" t="s">
        <v>525</v>
      </c>
      <c r="H356" s="1259"/>
      <c r="I356" s="1259" t="s">
        <v>525</v>
      </c>
      <c r="J356" s="1230"/>
      <c r="K356" s="1232"/>
      <c r="L356" s="1233"/>
      <c r="M356" s="1232"/>
      <c r="N356" s="1260"/>
      <c r="T356" s="1220"/>
      <c r="U356" s="1221"/>
      <c r="V356" s="1221"/>
      <c r="AB356" s="1221"/>
      <c r="AC356" s="1221"/>
      <c r="AE356" s="1221"/>
      <c r="AF356" s="1261" t="s">
        <v>1564</v>
      </c>
    </row>
    <row r="357" spans="1:32" s="1194" customFormat="1" ht="22.5" x14ac:dyDescent="0.2">
      <c r="A357" s="1227"/>
      <c r="B357" s="1258" t="s">
        <v>1090</v>
      </c>
      <c r="C357" s="1964" t="s">
        <v>1565</v>
      </c>
      <c r="D357" s="1964"/>
      <c r="E357" s="1964"/>
      <c r="F357" s="1259" t="s">
        <v>641</v>
      </c>
      <c r="G357" s="1259" t="s">
        <v>525</v>
      </c>
      <c r="H357" s="1259"/>
      <c r="I357" s="1259" t="s">
        <v>525</v>
      </c>
      <c r="J357" s="1230"/>
      <c r="K357" s="1232"/>
      <c r="L357" s="1233"/>
      <c r="M357" s="1232"/>
      <c r="N357" s="1260"/>
      <c r="T357" s="1220"/>
      <c r="U357" s="1221"/>
      <c r="V357" s="1221"/>
      <c r="AB357" s="1221"/>
      <c r="AC357" s="1221"/>
      <c r="AE357" s="1221"/>
      <c r="AF357" s="1261" t="s">
        <v>1565</v>
      </c>
    </row>
    <row r="358" spans="1:32" s="1194" customFormat="1" ht="22.5" x14ac:dyDescent="0.2">
      <c r="A358" s="1227"/>
      <c r="B358" s="1258" t="s">
        <v>1566</v>
      </c>
      <c r="C358" s="1964" t="s">
        <v>1567</v>
      </c>
      <c r="D358" s="1964"/>
      <c r="E358" s="1964"/>
      <c r="F358" s="1259" t="s">
        <v>617</v>
      </c>
      <c r="G358" s="1259" t="s">
        <v>525</v>
      </c>
      <c r="H358" s="1259"/>
      <c r="I358" s="1259" t="s">
        <v>525</v>
      </c>
      <c r="J358" s="1230"/>
      <c r="K358" s="1232"/>
      <c r="L358" s="1233"/>
      <c r="M358" s="1232"/>
      <c r="N358" s="1260"/>
      <c r="T358" s="1220"/>
      <c r="U358" s="1221"/>
      <c r="V358" s="1221"/>
      <c r="AB358" s="1221"/>
      <c r="AC358" s="1221"/>
      <c r="AE358" s="1221"/>
      <c r="AF358" s="1261" t="s">
        <v>1567</v>
      </c>
    </row>
    <row r="359" spans="1:32" s="1194" customFormat="1" ht="22.5" x14ac:dyDescent="0.2">
      <c r="A359" s="1227"/>
      <c r="B359" s="1258" t="s">
        <v>1568</v>
      </c>
      <c r="C359" s="1964" t="s">
        <v>1569</v>
      </c>
      <c r="D359" s="1964"/>
      <c r="E359" s="1964"/>
      <c r="F359" s="1259" t="s">
        <v>483</v>
      </c>
      <c r="G359" s="1259" t="s">
        <v>1570</v>
      </c>
      <c r="H359" s="1259"/>
      <c r="I359" s="1259" t="s">
        <v>1571</v>
      </c>
      <c r="J359" s="1230"/>
      <c r="K359" s="1232"/>
      <c r="L359" s="1233"/>
      <c r="M359" s="1232"/>
      <c r="N359" s="1260"/>
      <c r="T359" s="1220"/>
      <c r="U359" s="1221"/>
      <c r="V359" s="1221"/>
      <c r="AB359" s="1221"/>
      <c r="AC359" s="1221"/>
      <c r="AE359" s="1221"/>
      <c r="AF359" s="1261" t="s">
        <v>1569</v>
      </c>
    </row>
    <row r="360" spans="1:32" s="1194" customFormat="1" ht="12" x14ac:dyDescent="0.2">
      <c r="A360" s="1231"/>
      <c r="B360" s="1230"/>
      <c r="C360" s="1945" t="s">
        <v>314</v>
      </c>
      <c r="D360" s="1945"/>
      <c r="E360" s="1945"/>
      <c r="F360" s="1232" t="s">
        <v>315</v>
      </c>
      <c r="G360" s="1232" t="s">
        <v>1572</v>
      </c>
      <c r="H360" s="1232" t="s">
        <v>313</v>
      </c>
      <c r="I360" s="1232" t="s">
        <v>1573</v>
      </c>
      <c r="J360" s="1233"/>
      <c r="K360" s="1232"/>
      <c r="L360" s="1233"/>
      <c r="M360" s="1232"/>
      <c r="N360" s="1234"/>
      <c r="T360" s="1220"/>
      <c r="U360" s="1221"/>
      <c r="V360" s="1221"/>
      <c r="Z360" s="1198" t="s">
        <v>314</v>
      </c>
      <c r="AB360" s="1221"/>
      <c r="AC360" s="1221"/>
      <c r="AE360" s="1221"/>
      <c r="AF360" s="1261"/>
    </row>
    <row r="361" spans="1:32" s="1194" customFormat="1" ht="12" x14ac:dyDescent="0.2">
      <c r="A361" s="1231"/>
      <c r="B361" s="1230"/>
      <c r="C361" s="1945" t="s">
        <v>348</v>
      </c>
      <c r="D361" s="1945"/>
      <c r="E361" s="1945"/>
      <c r="F361" s="1232" t="s">
        <v>315</v>
      </c>
      <c r="G361" s="1232" t="s">
        <v>807</v>
      </c>
      <c r="H361" s="1232" t="s">
        <v>313</v>
      </c>
      <c r="I361" s="1232" t="s">
        <v>1574</v>
      </c>
      <c r="J361" s="1233"/>
      <c r="K361" s="1232"/>
      <c r="L361" s="1233"/>
      <c r="M361" s="1232"/>
      <c r="N361" s="1234"/>
      <c r="T361" s="1220"/>
      <c r="U361" s="1221"/>
      <c r="V361" s="1221"/>
      <c r="Z361" s="1198" t="s">
        <v>348</v>
      </c>
      <c r="AB361" s="1221"/>
      <c r="AC361" s="1221"/>
      <c r="AE361" s="1221"/>
      <c r="AF361" s="1261"/>
    </row>
    <row r="362" spans="1:32" s="1194" customFormat="1" ht="12" x14ac:dyDescent="0.2">
      <c r="A362" s="1231"/>
      <c r="B362" s="1230"/>
      <c r="C362" s="1962" t="s">
        <v>318</v>
      </c>
      <c r="D362" s="1962"/>
      <c r="E362" s="1962"/>
      <c r="F362" s="1235"/>
      <c r="G362" s="1235"/>
      <c r="H362" s="1235"/>
      <c r="I362" s="1235"/>
      <c r="J362" s="1236">
        <v>703.59</v>
      </c>
      <c r="K362" s="1235"/>
      <c r="L362" s="1236">
        <v>4749.24</v>
      </c>
      <c r="M362" s="1235"/>
      <c r="N362" s="1237"/>
      <c r="T362" s="1220"/>
      <c r="U362" s="1221"/>
      <c r="V362" s="1221"/>
      <c r="AA362" s="1198" t="s">
        <v>318</v>
      </c>
      <c r="AB362" s="1221"/>
      <c r="AC362" s="1221"/>
      <c r="AE362" s="1221"/>
      <c r="AF362" s="1261"/>
    </row>
    <row r="363" spans="1:32" s="1194" customFormat="1" ht="12" x14ac:dyDescent="0.2">
      <c r="A363" s="1231"/>
      <c r="B363" s="1230"/>
      <c r="C363" s="1945" t="s">
        <v>319</v>
      </c>
      <c r="D363" s="1945"/>
      <c r="E363" s="1945"/>
      <c r="F363" s="1232"/>
      <c r="G363" s="1232"/>
      <c r="H363" s="1232"/>
      <c r="I363" s="1232"/>
      <c r="J363" s="1233"/>
      <c r="K363" s="1232"/>
      <c r="L363" s="1233">
        <v>1600.97</v>
      </c>
      <c r="M363" s="1232"/>
      <c r="N363" s="1234"/>
      <c r="T363" s="1220"/>
      <c r="U363" s="1221"/>
      <c r="V363" s="1221"/>
      <c r="Z363" s="1198" t="s">
        <v>319</v>
      </c>
      <c r="AB363" s="1221"/>
      <c r="AC363" s="1221"/>
      <c r="AE363" s="1221"/>
      <c r="AF363" s="1261"/>
    </row>
    <row r="364" spans="1:32" s="1194" customFormat="1" ht="33.75" x14ac:dyDescent="0.2">
      <c r="A364" s="1231"/>
      <c r="B364" s="1230" t="s">
        <v>554</v>
      </c>
      <c r="C364" s="1945" t="s">
        <v>555</v>
      </c>
      <c r="D364" s="1945"/>
      <c r="E364" s="1945"/>
      <c r="F364" s="1232" t="s">
        <v>322</v>
      </c>
      <c r="G364" s="1232" t="s">
        <v>556</v>
      </c>
      <c r="H364" s="1232"/>
      <c r="I364" s="1232" t="s">
        <v>556</v>
      </c>
      <c r="J364" s="1233"/>
      <c r="K364" s="1232"/>
      <c r="L364" s="1233">
        <v>2017.22</v>
      </c>
      <c r="M364" s="1232"/>
      <c r="N364" s="1234"/>
      <c r="T364" s="1220"/>
      <c r="U364" s="1221"/>
      <c r="V364" s="1221"/>
      <c r="Z364" s="1198" t="s">
        <v>555</v>
      </c>
      <c r="AB364" s="1221"/>
      <c r="AC364" s="1221"/>
      <c r="AE364" s="1221"/>
      <c r="AF364" s="1261"/>
    </row>
    <row r="365" spans="1:32" s="1194" customFormat="1" ht="33.75" x14ac:dyDescent="0.2">
      <c r="A365" s="1231"/>
      <c r="B365" s="1230" t="s">
        <v>557</v>
      </c>
      <c r="C365" s="1945" t="s">
        <v>558</v>
      </c>
      <c r="D365" s="1945"/>
      <c r="E365" s="1945"/>
      <c r="F365" s="1232" t="s">
        <v>322</v>
      </c>
      <c r="G365" s="1232" t="s">
        <v>559</v>
      </c>
      <c r="H365" s="1232"/>
      <c r="I365" s="1232" t="s">
        <v>559</v>
      </c>
      <c r="J365" s="1233"/>
      <c r="K365" s="1232"/>
      <c r="L365" s="1233">
        <v>1520.92</v>
      </c>
      <c r="M365" s="1232"/>
      <c r="N365" s="1234"/>
      <c r="T365" s="1220"/>
      <c r="U365" s="1221"/>
      <c r="V365" s="1221"/>
      <c r="Z365" s="1198" t="s">
        <v>558</v>
      </c>
      <c r="AB365" s="1221"/>
      <c r="AC365" s="1221"/>
      <c r="AE365" s="1221"/>
      <c r="AF365" s="1261"/>
    </row>
    <row r="366" spans="1:32" s="1194" customFormat="1" ht="12" x14ac:dyDescent="0.2">
      <c r="A366" s="1238"/>
      <c r="B366" s="1239"/>
      <c r="C366" s="1953" t="s">
        <v>327</v>
      </c>
      <c r="D366" s="1953"/>
      <c r="E366" s="1953"/>
      <c r="F366" s="1224"/>
      <c r="G366" s="1224"/>
      <c r="H366" s="1224"/>
      <c r="I366" s="1224"/>
      <c r="J366" s="1225"/>
      <c r="K366" s="1224"/>
      <c r="L366" s="1225">
        <v>8287.3799999999992</v>
      </c>
      <c r="M366" s="1235"/>
      <c r="N366" s="1226"/>
      <c r="T366" s="1220"/>
      <c r="U366" s="1221"/>
      <c r="V366" s="1221"/>
      <c r="AB366" s="1221" t="s">
        <v>327</v>
      </c>
      <c r="AC366" s="1221"/>
      <c r="AE366" s="1221"/>
      <c r="AF366" s="1261"/>
    </row>
    <row r="367" spans="1:32" s="1194" customFormat="1" ht="12" x14ac:dyDescent="0.2">
      <c r="A367" s="1222" t="s">
        <v>768</v>
      </c>
      <c r="B367" s="1223" t="s">
        <v>1543</v>
      </c>
      <c r="C367" s="1953" t="s">
        <v>1544</v>
      </c>
      <c r="D367" s="1953"/>
      <c r="E367" s="1953"/>
      <c r="F367" s="1224" t="s">
        <v>865</v>
      </c>
      <c r="G367" s="1224"/>
      <c r="H367" s="1224"/>
      <c r="I367" s="1224" t="s">
        <v>1575</v>
      </c>
      <c r="J367" s="1225">
        <v>6.51</v>
      </c>
      <c r="K367" s="1224"/>
      <c r="L367" s="1225">
        <v>15174.81</v>
      </c>
      <c r="M367" s="1224"/>
      <c r="N367" s="1226"/>
      <c r="T367" s="1220"/>
      <c r="U367" s="1221"/>
      <c r="V367" s="1221" t="s">
        <v>1544</v>
      </c>
      <c r="AB367" s="1221"/>
      <c r="AC367" s="1221"/>
      <c r="AE367" s="1221"/>
      <c r="AF367" s="1261"/>
    </row>
    <row r="368" spans="1:32" s="1194" customFormat="1" ht="12" x14ac:dyDescent="0.2">
      <c r="A368" s="1238"/>
      <c r="B368" s="1239"/>
      <c r="C368" s="1196" t="s">
        <v>717</v>
      </c>
      <c r="D368" s="1240"/>
      <c r="E368" s="1240"/>
      <c r="F368" s="1241"/>
      <c r="G368" s="1241"/>
      <c r="H368" s="1241"/>
      <c r="I368" s="1241"/>
      <c r="J368" s="1242"/>
      <c r="K368" s="1241"/>
      <c r="L368" s="1242"/>
      <c r="M368" s="1243"/>
      <c r="N368" s="1244"/>
      <c r="T368" s="1220"/>
      <c r="U368" s="1221"/>
      <c r="V368" s="1221"/>
      <c r="AB368" s="1221"/>
      <c r="AC368" s="1221"/>
      <c r="AE368" s="1221"/>
      <c r="AF368" s="1261"/>
    </row>
    <row r="369" spans="1:32" s="1194" customFormat="1" ht="12" x14ac:dyDescent="0.2">
      <c r="A369" s="1227"/>
      <c r="B369" s="1228"/>
      <c r="C369" s="1945" t="s">
        <v>1576</v>
      </c>
      <c r="D369" s="1945"/>
      <c r="E369" s="1945"/>
      <c r="F369" s="1945"/>
      <c r="G369" s="1945"/>
      <c r="H369" s="1945"/>
      <c r="I369" s="1945"/>
      <c r="J369" s="1945"/>
      <c r="K369" s="1945"/>
      <c r="L369" s="1945"/>
      <c r="M369" s="1945"/>
      <c r="N369" s="1954"/>
      <c r="T369" s="1220"/>
      <c r="U369" s="1221"/>
      <c r="V369" s="1221"/>
      <c r="W369" s="1198" t="s">
        <v>1576</v>
      </c>
      <c r="AB369" s="1221"/>
      <c r="AC369" s="1221"/>
      <c r="AE369" s="1221"/>
      <c r="AF369" s="1261"/>
    </row>
    <row r="370" spans="1:32" s="1194" customFormat="1" ht="22.5" x14ac:dyDescent="0.2">
      <c r="A370" s="1222" t="s">
        <v>769</v>
      </c>
      <c r="B370" s="1223" t="s">
        <v>1577</v>
      </c>
      <c r="C370" s="1953" t="s">
        <v>1578</v>
      </c>
      <c r="D370" s="1953"/>
      <c r="E370" s="1953"/>
      <c r="F370" s="1224" t="s">
        <v>641</v>
      </c>
      <c r="G370" s="1224"/>
      <c r="H370" s="1224"/>
      <c r="I370" s="1224" t="s">
        <v>1579</v>
      </c>
      <c r="J370" s="1225">
        <v>91.5</v>
      </c>
      <c r="K370" s="1224"/>
      <c r="L370" s="1225">
        <v>40466.79</v>
      </c>
      <c r="M370" s="1224"/>
      <c r="N370" s="1226"/>
      <c r="T370" s="1220"/>
      <c r="U370" s="1221"/>
      <c r="V370" s="1221" t="s">
        <v>1578</v>
      </c>
      <c r="AB370" s="1221"/>
      <c r="AC370" s="1221"/>
      <c r="AE370" s="1221"/>
      <c r="AF370" s="1261"/>
    </row>
    <row r="371" spans="1:32" s="1194" customFormat="1" ht="12" x14ac:dyDescent="0.2">
      <c r="A371" s="1238"/>
      <c r="B371" s="1239"/>
      <c r="C371" s="1196" t="s">
        <v>717</v>
      </c>
      <c r="D371" s="1240"/>
      <c r="E371" s="1240"/>
      <c r="F371" s="1241"/>
      <c r="G371" s="1241"/>
      <c r="H371" s="1241"/>
      <c r="I371" s="1241"/>
      <c r="J371" s="1242"/>
      <c r="K371" s="1241"/>
      <c r="L371" s="1242"/>
      <c r="M371" s="1243"/>
      <c r="N371" s="1244"/>
      <c r="T371" s="1220"/>
      <c r="U371" s="1221"/>
      <c r="V371" s="1221"/>
      <c r="AB371" s="1221"/>
      <c r="AC371" s="1221"/>
      <c r="AE371" s="1221"/>
      <c r="AF371" s="1261"/>
    </row>
    <row r="372" spans="1:32" s="1194" customFormat="1" ht="12" x14ac:dyDescent="0.2">
      <c r="A372" s="1227"/>
      <c r="B372" s="1228"/>
      <c r="C372" s="1945" t="s">
        <v>1580</v>
      </c>
      <c r="D372" s="1945"/>
      <c r="E372" s="1945"/>
      <c r="F372" s="1945"/>
      <c r="G372" s="1945"/>
      <c r="H372" s="1945"/>
      <c r="I372" s="1945"/>
      <c r="J372" s="1945"/>
      <c r="K372" s="1945"/>
      <c r="L372" s="1945"/>
      <c r="M372" s="1945"/>
      <c r="N372" s="1954"/>
      <c r="T372" s="1220"/>
      <c r="U372" s="1221"/>
      <c r="V372" s="1221"/>
      <c r="W372" s="1198" t="s">
        <v>1580</v>
      </c>
      <c r="AB372" s="1221"/>
      <c r="AC372" s="1221"/>
      <c r="AE372" s="1221"/>
      <c r="AF372" s="1261"/>
    </row>
    <row r="373" spans="1:32" s="1194" customFormat="1" ht="22.5" x14ac:dyDescent="0.2">
      <c r="A373" s="1222" t="s">
        <v>770</v>
      </c>
      <c r="B373" s="1223" t="s">
        <v>1581</v>
      </c>
      <c r="C373" s="1953" t="s">
        <v>1582</v>
      </c>
      <c r="D373" s="1953"/>
      <c r="E373" s="1953"/>
      <c r="F373" s="1224" t="s">
        <v>641</v>
      </c>
      <c r="G373" s="1224"/>
      <c r="H373" s="1224"/>
      <c r="I373" s="1224" t="s">
        <v>1583</v>
      </c>
      <c r="J373" s="1225">
        <v>70.599999999999994</v>
      </c>
      <c r="K373" s="1224"/>
      <c r="L373" s="1225">
        <v>2935.55</v>
      </c>
      <c r="M373" s="1224"/>
      <c r="N373" s="1226"/>
      <c r="T373" s="1220"/>
      <c r="U373" s="1221"/>
      <c r="V373" s="1221" t="s">
        <v>1582</v>
      </c>
      <c r="AB373" s="1221"/>
      <c r="AC373" s="1221"/>
      <c r="AE373" s="1221"/>
      <c r="AF373" s="1261"/>
    </row>
    <row r="374" spans="1:32" s="1194" customFormat="1" ht="12" x14ac:dyDescent="0.2">
      <c r="A374" s="1238"/>
      <c r="B374" s="1239"/>
      <c r="C374" s="1196" t="s">
        <v>717</v>
      </c>
      <c r="D374" s="1240"/>
      <c r="E374" s="1240"/>
      <c r="F374" s="1241"/>
      <c r="G374" s="1241"/>
      <c r="H374" s="1241"/>
      <c r="I374" s="1241"/>
      <c r="J374" s="1242"/>
      <c r="K374" s="1241"/>
      <c r="L374" s="1242"/>
      <c r="M374" s="1243"/>
      <c r="N374" s="1244"/>
      <c r="T374" s="1220"/>
      <c r="U374" s="1221"/>
      <c r="V374" s="1221"/>
      <c r="AB374" s="1221"/>
      <c r="AC374" s="1221"/>
      <c r="AE374" s="1221"/>
      <c r="AF374" s="1261"/>
    </row>
    <row r="375" spans="1:32" s="1194" customFormat="1" ht="12" x14ac:dyDescent="0.2">
      <c r="A375" s="1227"/>
      <c r="B375" s="1228"/>
      <c r="C375" s="1945" t="s">
        <v>1584</v>
      </c>
      <c r="D375" s="1945"/>
      <c r="E375" s="1945"/>
      <c r="F375" s="1945"/>
      <c r="G375" s="1945"/>
      <c r="H375" s="1945"/>
      <c r="I375" s="1945"/>
      <c r="J375" s="1945"/>
      <c r="K375" s="1945"/>
      <c r="L375" s="1945"/>
      <c r="M375" s="1945"/>
      <c r="N375" s="1954"/>
      <c r="T375" s="1220"/>
      <c r="U375" s="1221"/>
      <c r="V375" s="1221"/>
      <c r="W375" s="1198" t="s">
        <v>1584</v>
      </c>
      <c r="AB375" s="1221"/>
      <c r="AC375" s="1221"/>
      <c r="AE375" s="1221"/>
      <c r="AF375" s="1261"/>
    </row>
    <row r="376" spans="1:32" s="1194" customFormat="1" ht="56.25" x14ac:dyDescent="0.2">
      <c r="A376" s="1222" t="s">
        <v>771</v>
      </c>
      <c r="B376" s="1223" t="s">
        <v>1585</v>
      </c>
      <c r="C376" s="1953" t="s">
        <v>1586</v>
      </c>
      <c r="D376" s="1953"/>
      <c r="E376" s="1953"/>
      <c r="F376" s="1224" t="s">
        <v>483</v>
      </c>
      <c r="G376" s="1224"/>
      <c r="H376" s="1224"/>
      <c r="I376" s="1224" t="s">
        <v>1587</v>
      </c>
      <c r="J376" s="1225">
        <v>148.57</v>
      </c>
      <c r="K376" s="1224"/>
      <c r="L376" s="1225">
        <v>67391.350000000006</v>
      </c>
      <c r="M376" s="1224"/>
      <c r="N376" s="1226"/>
      <c r="T376" s="1220"/>
      <c r="U376" s="1221"/>
      <c r="V376" s="1221" t="s">
        <v>1586</v>
      </c>
      <c r="AB376" s="1221"/>
      <c r="AC376" s="1221"/>
      <c r="AE376" s="1221"/>
      <c r="AF376" s="1261"/>
    </row>
    <row r="377" spans="1:32" s="1194" customFormat="1" ht="12" x14ac:dyDescent="0.2">
      <c r="A377" s="1238"/>
      <c r="B377" s="1239"/>
      <c r="C377" s="1196" t="s">
        <v>717</v>
      </c>
      <c r="D377" s="1240"/>
      <c r="E377" s="1240"/>
      <c r="F377" s="1241"/>
      <c r="G377" s="1241"/>
      <c r="H377" s="1241"/>
      <c r="I377" s="1241"/>
      <c r="J377" s="1242"/>
      <c r="K377" s="1241"/>
      <c r="L377" s="1242"/>
      <c r="M377" s="1243"/>
      <c r="N377" s="1244"/>
      <c r="T377" s="1220"/>
      <c r="U377" s="1221"/>
      <c r="V377" s="1221"/>
      <c r="AB377" s="1221"/>
      <c r="AC377" s="1221"/>
      <c r="AE377" s="1221"/>
      <c r="AF377" s="1261"/>
    </row>
    <row r="378" spans="1:32" s="1194" customFormat="1" ht="12" x14ac:dyDescent="0.2">
      <c r="A378" s="1227"/>
      <c r="B378" s="1228"/>
      <c r="C378" s="1945" t="s">
        <v>1588</v>
      </c>
      <c r="D378" s="1945"/>
      <c r="E378" s="1945"/>
      <c r="F378" s="1945"/>
      <c r="G378" s="1945"/>
      <c r="H378" s="1945"/>
      <c r="I378" s="1945"/>
      <c r="J378" s="1945"/>
      <c r="K378" s="1945"/>
      <c r="L378" s="1945"/>
      <c r="M378" s="1945"/>
      <c r="N378" s="1954"/>
      <c r="T378" s="1220"/>
      <c r="U378" s="1221"/>
      <c r="V378" s="1221"/>
      <c r="W378" s="1198" t="s">
        <v>1588</v>
      </c>
      <c r="AB378" s="1221"/>
      <c r="AC378" s="1221"/>
      <c r="AE378" s="1221"/>
      <c r="AF378" s="1261"/>
    </row>
    <row r="379" spans="1:32" s="1194" customFormat="1" ht="33.75" x14ac:dyDescent="0.2">
      <c r="A379" s="1222" t="s">
        <v>772</v>
      </c>
      <c r="B379" s="1223" t="s">
        <v>1589</v>
      </c>
      <c r="C379" s="1953" t="s">
        <v>1590</v>
      </c>
      <c r="D379" s="1953"/>
      <c r="E379" s="1953"/>
      <c r="F379" s="1224" t="s">
        <v>617</v>
      </c>
      <c r="G379" s="1224"/>
      <c r="H379" s="1224"/>
      <c r="I379" s="1224" t="s">
        <v>966</v>
      </c>
      <c r="J379" s="1225">
        <v>57.73</v>
      </c>
      <c r="K379" s="1224"/>
      <c r="L379" s="1225">
        <v>4329.75</v>
      </c>
      <c r="M379" s="1224"/>
      <c r="N379" s="1226"/>
      <c r="T379" s="1220"/>
      <c r="U379" s="1221"/>
      <c r="V379" s="1221" t="s">
        <v>1590</v>
      </c>
      <c r="AB379" s="1221"/>
      <c r="AC379" s="1221"/>
      <c r="AE379" s="1221"/>
      <c r="AF379" s="1261"/>
    </row>
    <row r="380" spans="1:32" s="1194" customFormat="1" ht="12" x14ac:dyDescent="0.2">
      <c r="A380" s="1238"/>
      <c r="B380" s="1239"/>
      <c r="C380" s="1196" t="s">
        <v>717</v>
      </c>
      <c r="D380" s="1240"/>
      <c r="E380" s="1240"/>
      <c r="F380" s="1241"/>
      <c r="G380" s="1241"/>
      <c r="H380" s="1241"/>
      <c r="I380" s="1241"/>
      <c r="J380" s="1242"/>
      <c r="K380" s="1241"/>
      <c r="L380" s="1242"/>
      <c r="M380" s="1243"/>
      <c r="N380" s="1244"/>
      <c r="T380" s="1220"/>
      <c r="U380" s="1221"/>
      <c r="V380" s="1221"/>
      <c r="AB380" s="1221"/>
      <c r="AC380" s="1221"/>
      <c r="AE380" s="1221"/>
      <c r="AF380" s="1261"/>
    </row>
    <row r="381" spans="1:32" s="1194" customFormat="1" ht="56.25" x14ac:dyDescent="0.2">
      <c r="A381" s="1222" t="s">
        <v>677</v>
      </c>
      <c r="B381" s="1223" t="s">
        <v>1591</v>
      </c>
      <c r="C381" s="1953" t="s">
        <v>1592</v>
      </c>
      <c r="D381" s="1953"/>
      <c r="E381" s="1953"/>
      <c r="F381" s="1224" t="s">
        <v>483</v>
      </c>
      <c r="G381" s="1224"/>
      <c r="H381" s="1224"/>
      <c r="I381" s="1224" t="s">
        <v>1593</v>
      </c>
      <c r="J381" s="1225">
        <v>49.1</v>
      </c>
      <c r="K381" s="1224"/>
      <c r="L381" s="1225">
        <v>4454.3500000000004</v>
      </c>
      <c r="M381" s="1224"/>
      <c r="N381" s="1226"/>
      <c r="T381" s="1220"/>
      <c r="U381" s="1221"/>
      <c r="V381" s="1221" t="s">
        <v>1592</v>
      </c>
      <c r="AB381" s="1221"/>
      <c r="AC381" s="1221"/>
      <c r="AE381" s="1221"/>
      <c r="AF381" s="1261"/>
    </row>
    <row r="382" spans="1:32" s="1194" customFormat="1" ht="12" x14ac:dyDescent="0.2">
      <c r="A382" s="1238"/>
      <c r="B382" s="1239"/>
      <c r="C382" s="1196" t="s">
        <v>717</v>
      </c>
      <c r="D382" s="1240"/>
      <c r="E382" s="1240"/>
      <c r="F382" s="1241"/>
      <c r="G382" s="1241"/>
      <c r="H382" s="1241"/>
      <c r="I382" s="1241"/>
      <c r="J382" s="1242"/>
      <c r="K382" s="1241"/>
      <c r="L382" s="1242"/>
      <c r="M382" s="1243"/>
      <c r="N382" s="1244"/>
      <c r="T382" s="1220"/>
      <c r="U382" s="1221"/>
      <c r="V382" s="1221"/>
      <c r="AB382" s="1221"/>
      <c r="AC382" s="1221"/>
      <c r="AE382" s="1221"/>
      <c r="AF382" s="1261"/>
    </row>
    <row r="383" spans="1:32" s="1194" customFormat="1" ht="12" x14ac:dyDescent="0.2">
      <c r="A383" s="1227"/>
      <c r="B383" s="1228"/>
      <c r="C383" s="1945" t="s">
        <v>1594</v>
      </c>
      <c r="D383" s="1945"/>
      <c r="E383" s="1945"/>
      <c r="F383" s="1945"/>
      <c r="G383" s="1945"/>
      <c r="H383" s="1945"/>
      <c r="I383" s="1945"/>
      <c r="J383" s="1945"/>
      <c r="K383" s="1945"/>
      <c r="L383" s="1945"/>
      <c r="M383" s="1945"/>
      <c r="N383" s="1954"/>
      <c r="T383" s="1220"/>
      <c r="U383" s="1221"/>
      <c r="V383" s="1221"/>
      <c r="W383" s="1198" t="s">
        <v>1594</v>
      </c>
      <c r="AB383" s="1221"/>
      <c r="AC383" s="1221"/>
      <c r="AE383" s="1221"/>
      <c r="AF383" s="1261"/>
    </row>
    <row r="384" spans="1:32" s="1194" customFormat="1" ht="33.75" x14ac:dyDescent="0.2">
      <c r="A384" s="1222" t="s">
        <v>326</v>
      </c>
      <c r="B384" s="1223" t="s">
        <v>1595</v>
      </c>
      <c r="C384" s="1953" t="s">
        <v>1596</v>
      </c>
      <c r="D384" s="1953"/>
      <c r="E384" s="1953"/>
      <c r="F384" s="1224" t="s">
        <v>617</v>
      </c>
      <c r="G384" s="1224"/>
      <c r="H384" s="1224"/>
      <c r="I384" s="1224" t="s">
        <v>763</v>
      </c>
      <c r="J384" s="1225">
        <v>14.68</v>
      </c>
      <c r="K384" s="1224"/>
      <c r="L384" s="1225">
        <v>440.4</v>
      </c>
      <c r="M384" s="1224"/>
      <c r="N384" s="1226"/>
      <c r="T384" s="1220"/>
      <c r="U384" s="1221"/>
      <c r="V384" s="1221" t="s">
        <v>1596</v>
      </c>
      <c r="AB384" s="1221"/>
      <c r="AC384" s="1221"/>
      <c r="AE384" s="1221"/>
      <c r="AF384" s="1261"/>
    </row>
    <row r="385" spans="1:32" s="1194" customFormat="1" ht="12" x14ac:dyDescent="0.2">
      <c r="A385" s="1238"/>
      <c r="B385" s="1239"/>
      <c r="C385" s="1196" t="s">
        <v>717</v>
      </c>
      <c r="D385" s="1240"/>
      <c r="E385" s="1240"/>
      <c r="F385" s="1241"/>
      <c r="G385" s="1241"/>
      <c r="H385" s="1241"/>
      <c r="I385" s="1241"/>
      <c r="J385" s="1242"/>
      <c r="K385" s="1241"/>
      <c r="L385" s="1242"/>
      <c r="M385" s="1243"/>
      <c r="N385" s="1244"/>
      <c r="T385" s="1220"/>
      <c r="U385" s="1221"/>
      <c r="V385" s="1221"/>
      <c r="AB385" s="1221"/>
      <c r="AC385" s="1221"/>
      <c r="AE385" s="1221"/>
      <c r="AF385" s="1261"/>
    </row>
    <row r="386" spans="1:32" s="1194" customFormat="1" ht="12" x14ac:dyDescent="0.2">
      <c r="A386" s="1222" t="s">
        <v>774</v>
      </c>
      <c r="B386" s="1223" t="s">
        <v>1368</v>
      </c>
      <c r="C386" s="1953" t="s">
        <v>1369</v>
      </c>
      <c r="D386" s="1953"/>
      <c r="E386" s="1953"/>
      <c r="F386" s="1224" t="s">
        <v>509</v>
      </c>
      <c r="G386" s="1224"/>
      <c r="H386" s="1224"/>
      <c r="I386" s="1224" t="s">
        <v>695</v>
      </c>
      <c r="J386" s="1225"/>
      <c r="K386" s="1224"/>
      <c r="L386" s="1225"/>
      <c r="M386" s="1224"/>
      <c r="N386" s="1226"/>
      <c r="T386" s="1220"/>
      <c r="U386" s="1221"/>
      <c r="V386" s="1221" t="s">
        <v>1369</v>
      </c>
      <c r="AB386" s="1221"/>
      <c r="AC386" s="1221"/>
      <c r="AE386" s="1221"/>
      <c r="AF386" s="1261"/>
    </row>
    <row r="387" spans="1:32" s="1194" customFormat="1" ht="12" x14ac:dyDescent="0.2">
      <c r="A387" s="1227"/>
      <c r="B387" s="1228"/>
      <c r="C387" s="1945" t="s">
        <v>1597</v>
      </c>
      <c r="D387" s="1945"/>
      <c r="E387" s="1945"/>
      <c r="F387" s="1945"/>
      <c r="G387" s="1945"/>
      <c r="H387" s="1945"/>
      <c r="I387" s="1945"/>
      <c r="J387" s="1945"/>
      <c r="K387" s="1945"/>
      <c r="L387" s="1945"/>
      <c r="M387" s="1945"/>
      <c r="N387" s="1954"/>
      <c r="T387" s="1220"/>
      <c r="U387" s="1221"/>
      <c r="V387" s="1221"/>
      <c r="W387" s="1198" t="s">
        <v>1597</v>
      </c>
      <c r="AB387" s="1221"/>
      <c r="AC387" s="1221"/>
      <c r="AE387" s="1221"/>
      <c r="AF387" s="1261"/>
    </row>
    <row r="388" spans="1:32" s="1194" customFormat="1" ht="33.75" x14ac:dyDescent="0.2">
      <c r="A388" s="1229"/>
      <c r="B388" s="1230" t="s">
        <v>310</v>
      </c>
      <c r="C388" s="1945" t="s">
        <v>311</v>
      </c>
      <c r="D388" s="1945"/>
      <c r="E388" s="1945"/>
      <c r="F388" s="1945"/>
      <c r="G388" s="1945"/>
      <c r="H388" s="1945"/>
      <c r="I388" s="1945"/>
      <c r="J388" s="1945"/>
      <c r="K388" s="1945"/>
      <c r="L388" s="1945"/>
      <c r="M388" s="1945"/>
      <c r="N388" s="1954"/>
      <c r="T388" s="1220"/>
      <c r="U388" s="1221"/>
      <c r="V388" s="1221"/>
      <c r="X388" s="1198" t="s">
        <v>311</v>
      </c>
      <c r="AB388" s="1221"/>
      <c r="AC388" s="1221"/>
      <c r="AE388" s="1221"/>
      <c r="AF388" s="1261"/>
    </row>
    <row r="389" spans="1:32" s="1194" customFormat="1" ht="12" x14ac:dyDescent="0.2">
      <c r="A389" s="1231"/>
      <c r="B389" s="1230" t="s">
        <v>185</v>
      </c>
      <c r="C389" s="1945" t="s">
        <v>312</v>
      </c>
      <c r="D389" s="1945"/>
      <c r="E389" s="1945"/>
      <c r="F389" s="1232"/>
      <c r="G389" s="1232"/>
      <c r="H389" s="1232"/>
      <c r="I389" s="1232"/>
      <c r="J389" s="1233">
        <v>1053</v>
      </c>
      <c r="K389" s="1232" t="s">
        <v>313</v>
      </c>
      <c r="L389" s="1233">
        <v>26.33</v>
      </c>
      <c r="M389" s="1232"/>
      <c r="N389" s="1234"/>
      <c r="T389" s="1220"/>
      <c r="U389" s="1221"/>
      <c r="V389" s="1221"/>
      <c r="Y389" s="1198" t="s">
        <v>312</v>
      </c>
      <c r="AB389" s="1221"/>
      <c r="AC389" s="1221"/>
      <c r="AE389" s="1221"/>
      <c r="AF389" s="1261"/>
    </row>
    <row r="390" spans="1:32" s="1194" customFormat="1" ht="12" x14ac:dyDescent="0.2">
      <c r="A390" s="1231"/>
      <c r="B390" s="1230" t="s">
        <v>186</v>
      </c>
      <c r="C390" s="1945" t="s">
        <v>344</v>
      </c>
      <c r="D390" s="1945"/>
      <c r="E390" s="1945"/>
      <c r="F390" s="1232"/>
      <c r="G390" s="1232"/>
      <c r="H390" s="1232"/>
      <c r="I390" s="1232"/>
      <c r="J390" s="1233">
        <v>1566.06</v>
      </c>
      <c r="K390" s="1232" t="s">
        <v>313</v>
      </c>
      <c r="L390" s="1233">
        <v>39.15</v>
      </c>
      <c r="M390" s="1232"/>
      <c r="N390" s="1234"/>
      <c r="T390" s="1220"/>
      <c r="U390" s="1221"/>
      <c r="V390" s="1221"/>
      <c r="Y390" s="1198" t="s">
        <v>344</v>
      </c>
      <c r="AB390" s="1221"/>
      <c r="AC390" s="1221"/>
      <c r="AE390" s="1221"/>
      <c r="AF390" s="1261"/>
    </row>
    <row r="391" spans="1:32" s="1194" customFormat="1" ht="12" x14ac:dyDescent="0.2">
      <c r="A391" s="1231"/>
      <c r="B391" s="1230" t="s">
        <v>187</v>
      </c>
      <c r="C391" s="1945" t="s">
        <v>345</v>
      </c>
      <c r="D391" s="1945"/>
      <c r="E391" s="1945"/>
      <c r="F391" s="1232"/>
      <c r="G391" s="1232"/>
      <c r="H391" s="1232"/>
      <c r="I391" s="1232"/>
      <c r="J391" s="1233">
        <v>244.39</v>
      </c>
      <c r="K391" s="1232" t="s">
        <v>313</v>
      </c>
      <c r="L391" s="1233">
        <v>6.11</v>
      </c>
      <c r="M391" s="1232"/>
      <c r="N391" s="1234"/>
      <c r="T391" s="1220"/>
      <c r="U391" s="1221"/>
      <c r="V391" s="1221"/>
      <c r="Y391" s="1198" t="s">
        <v>345</v>
      </c>
      <c r="AB391" s="1221"/>
      <c r="AC391" s="1221"/>
      <c r="AE391" s="1221"/>
      <c r="AF391" s="1261"/>
    </row>
    <row r="392" spans="1:32" s="1194" customFormat="1" ht="12" x14ac:dyDescent="0.2">
      <c r="A392" s="1231"/>
      <c r="B392" s="1230" t="s">
        <v>188</v>
      </c>
      <c r="C392" s="1945" t="s">
        <v>475</v>
      </c>
      <c r="D392" s="1945"/>
      <c r="E392" s="1945"/>
      <c r="F392" s="1232"/>
      <c r="G392" s="1232"/>
      <c r="H392" s="1232"/>
      <c r="I392" s="1232"/>
      <c r="J392" s="1233">
        <v>909.27</v>
      </c>
      <c r="K392" s="1232"/>
      <c r="L392" s="1233">
        <v>18.190000000000001</v>
      </c>
      <c r="M392" s="1232"/>
      <c r="N392" s="1234"/>
      <c r="T392" s="1220"/>
      <c r="U392" s="1221"/>
      <c r="V392" s="1221"/>
      <c r="Y392" s="1198" t="s">
        <v>475</v>
      </c>
      <c r="AB392" s="1221"/>
      <c r="AC392" s="1221"/>
      <c r="AE392" s="1221"/>
      <c r="AF392" s="1261"/>
    </row>
    <row r="393" spans="1:32" s="1194" customFormat="1" ht="12" x14ac:dyDescent="0.2">
      <c r="A393" s="1227"/>
      <c r="B393" s="1258" t="s">
        <v>639</v>
      </c>
      <c r="C393" s="1964" t="s">
        <v>640</v>
      </c>
      <c r="D393" s="1964"/>
      <c r="E393" s="1964"/>
      <c r="F393" s="1259" t="s">
        <v>641</v>
      </c>
      <c r="G393" s="1259" t="s">
        <v>680</v>
      </c>
      <c r="H393" s="1259"/>
      <c r="I393" s="1259" t="s">
        <v>1244</v>
      </c>
      <c r="J393" s="1230"/>
      <c r="K393" s="1232"/>
      <c r="L393" s="1233"/>
      <c r="M393" s="1232"/>
      <c r="N393" s="1260"/>
      <c r="T393" s="1220"/>
      <c r="U393" s="1221"/>
      <c r="V393" s="1221"/>
      <c r="AB393" s="1221"/>
      <c r="AC393" s="1221"/>
      <c r="AE393" s="1221"/>
      <c r="AF393" s="1261" t="s">
        <v>640</v>
      </c>
    </row>
    <row r="394" spans="1:32" s="1194" customFormat="1" ht="12" x14ac:dyDescent="0.2">
      <c r="A394" s="1231"/>
      <c r="B394" s="1230"/>
      <c r="C394" s="1945" t="s">
        <v>314</v>
      </c>
      <c r="D394" s="1945"/>
      <c r="E394" s="1945"/>
      <c r="F394" s="1232" t="s">
        <v>315</v>
      </c>
      <c r="G394" s="1232" t="s">
        <v>1373</v>
      </c>
      <c r="H394" s="1232" t="s">
        <v>313</v>
      </c>
      <c r="I394" s="1232" t="s">
        <v>1598</v>
      </c>
      <c r="J394" s="1233"/>
      <c r="K394" s="1232"/>
      <c r="L394" s="1233"/>
      <c r="M394" s="1232"/>
      <c r="N394" s="1234"/>
      <c r="T394" s="1220"/>
      <c r="U394" s="1221"/>
      <c r="V394" s="1221"/>
      <c r="Z394" s="1198" t="s">
        <v>314</v>
      </c>
      <c r="AB394" s="1221"/>
      <c r="AC394" s="1221"/>
      <c r="AE394" s="1221"/>
      <c r="AF394" s="1261"/>
    </row>
    <row r="395" spans="1:32" s="1194" customFormat="1" ht="12" x14ac:dyDescent="0.2">
      <c r="A395" s="1231"/>
      <c r="B395" s="1230"/>
      <c r="C395" s="1945" t="s">
        <v>348</v>
      </c>
      <c r="D395" s="1945"/>
      <c r="E395" s="1945"/>
      <c r="F395" s="1232" t="s">
        <v>315</v>
      </c>
      <c r="G395" s="1232" t="s">
        <v>1375</v>
      </c>
      <c r="H395" s="1232" t="s">
        <v>313</v>
      </c>
      <c r="I395" s="1232" t="s">
        <v>1599</v>
      </c>
      <c r="J395" s="1233"/>
      <c r="K395" s="1232"/>
      <c r="L395" s="1233"/>
      <c r="M395" s="1232"/>
      <c r="N395" s="1234"/>
      <c r="T395" s="1220"/>
      <c r="U395" s="1221"/>
      <c r="V395" s="1221"/>
      <c r="Z395" s="1198" t="s">
        <v>348</v>
      </c>
      <c r="AB395" s="1221"/>
      <c r="AC395" s="1221"/>
      <c r="AE395" s="1221"/>
      <c r="AF395" s="1261"/>
    </row>
    <row r="396" spans="1:32" s="1194" customFormat="1" ht="12" x14ac:dyDescent="0.2">
      <c r="A396" s="1231"/>
      <c r="B396" s="1230"/>
      <c r="C396" s="1962" t="s">
        <v>318</v>
      </c>
      <c r="D396" s="1962"/>
      <c r="E396" s="1962"/>
      <c r="F396" s="1235"/>
      <c r="G396" s="1235"/>
      <c r="H396" s="1235"/>
      <c r="I396" s="1235"/>
      <c r="J396" s="1236">
        <v>3528.33</v>
      </c>
      <c r="K396" s="1235"/>
      <c r="L396" s="1236">
        <v>83.67</v>
      </c>
      <c r="M396" s="1235"/>
      <c r="N396" s="1237"/>
      <c r="T396" s="1220"/>
      <c r="U396" s="1221"/>
      <c r="V396" s="1221"/>
      <c r="AA396" s="1198" t="s">
        <v>318</v>
      </c>
      <c r="AB396" s="1221"/>
      <c r="AC396" s="1221"/>
      <c r="AE396" s="1221"/>
      <c r="AF396" s="1261"/>
    </row>
    <row r="397" spans="1:32" s="1194" customFormat="1" ht="12" x14ac:dyDescent="0.2">
      <c r="A397" s="1231"/>
      <c r="B397" s="1230"/>
      <c r="C397" s="1945" t="s">
        <v>319</v>
      </c>
      <c r="D397" s="1945"/>
      <c r="E397" s="1945"/>
      <c r="F397" s="1232"/>
      <c r="G397" s="1232"/>
      <c r="H397" s="1232"/>
      <c r="I397" s="1232"/>
      <c r="J397" s="1233"/>
      <c r="K397" s="1232"/>
      <c r="L397" s="1233">
        <v>32.44</v>
      </c>
      <c r="M397" s="1232"/>
      <c r="N397" s="1234"/>
      <c r="T397" s="1220"/>
      <c r="U397" s="1221"/>
      <c r="V397" s="1221"/>
      <c r="Z397" s="1198" t="s">
        <v>319</v>
      </c>
      <c r="AB397" s="1221"/>
      <c r="AC397" s="1221"/>
      <c r="AE397" s="1221"/>
      <c r="AF397" s="1261"/>
    </row>
    <row r="398" spans="1:32" s="1194" customFormat="1" ht="33.75" x14ac:dyDescent="0.2">
      <c r="A398" s="1231"/>
      <c r="B398" s="1230" t="s">
        <v>686</v>
      </c>
      <c r="C398" s="1945" t="s">
        <v>687</v>
      </c>
      <c r="D398" s="1945"/>
      <c r="E398" s="1945"/>
      <c r="F398" s="1232" t="s">
        <v>322</v>
      </c>
      <c r="G398" s="1232" t="s">
        <v>680</v>
      </c>
      <c r="H398" s="1232"/>
      <c r="I398" s="1232" t="s">
        <v>680</v>
      </c>
      <c r="J398" s="1233"/>
      <c r="K398" s="1232"/>
      <c r="L398" s="1233">
        <v>33.090000000000003</v>
      </c>
      <c r="M398" s="1232"/>
      <c r="N398" s="1234"/>
      <c r="T398" s="1220"/>
      <c r="U398" s="1221"/>
      <c r="V398" s="1221"/>
      <c r="Z398" s="1198" t="s">
        <v>687</v>
      </c>
      <c r="AB398" s="1221"/>
      <c r="AC398" s="1221"/>
      <c r="AE398" s="1221"/>
      <c r="AF398" s="1261"/>
    </row>
    <row r="399" spans="1:32" s="1194" customFormat="1" ht="33.75" x14ac:dyDescent="0.2">
      <c r="A399" s="1231"/>
      <c r="B399" s="1230" t="s">
        <v>688</v>
      </c>
      <c r="C399" s="1945" t="s">
        <v>689</v>
      </c>
      <c r="D399" s="1945"/>
      <c r="E399" s="1945"/>
      <c r="F399" s="1232" t="s">
        <v>322</v>
      </c>
      <c r="G399" s="1232" t="s">
        <v>690</v>
      </c>
      <c r="H399" s="1232"/>
      <c r="I399" s="1232" t="s">
        <v>690</v>
      </c>
      <c r="J399" s="1233"/>
      <c r="K399" s="1232"/>
      <c r="L399" s="1233">
        <v>18.82</v>
      </c>
      <c r="M399" s="1232"/>
      <c r="N399" s="1234"/>
      <c r="T399" s="1220"/>
      <c r="U399" s="1221"/>
      <c r="V399" s="1221"/>
      <c r="Z399" s="1198" t="s">
        <v>689</v>
      </c>
      <c r="AB399" s="1221"/>
      <c r="AC399" s="1221"/>
      <c r="AE399" s="1221"/>
      <c r="AF399" s="1261"/>
    </row>
    <row r="400" spans="1:32" s="1194" customFormat="1" ht="12" x14ac:dyDescent="0.2">
      <c r="A400" s="1238"/>
      <c r="B400" s="1239"/>
      <c r="C400" s="1953" t="s">
        <v>327</v>
      </c>
      <c r="D400" s="1953"/>
      <c r="E400" s="1953"/>
      <c r="F400" s="1224"/>
      <c r="G400" s="1224"/>
      <c r="H400" s="1224"/>
      <c r="I400" s="1224"/>
      <c r="J400" s="1225"/>
      <c r="K400" s="1224"/>
      <c r="L400" s="1225">
        <v>135.58000000000001</v>
      </c>
      <c r="M400" s="1235"/>
      <c r="N400" s="1226"/>
      <c r="T400" s="1220"/>
      <c r="U400" s="1221"/>
      <c r="V400" s="1221"/>
      <c r="AB400" s="1221" t="s">
        <v>327</v>
      </c>
      <c r="AC400" s="1221"/>
      <c r="AE400" s="1221"/>
      <c r="AF400" s="1261"/>
    </row>
    <row r="401" spans="1:32" s="1194" customFormat="1" ht="22.5" x14ac:dyDescent="0.2">
      <c r="A401" s="1222" t="s">
        <v>775</v>
      </c>
      <c r="B401" s="1223" t="s">
        <v>654</v>
      </c>
      <c r="C401" s="1953" t="s">
        <v>655</v>
      </c>
      <c r="D401" s="1953"/>
      <c r="E401" s="1953"/>
      <c r="F401" s="1224" t="s">
        <v>641</v>
      </c>
      <c r="G401" s="1224"/>
      <c r="H401" s="1224"/>
      <c r="I401" s="1224" t="s">
        <v>1244</v>
      </c>
      <c r="J401" s="1225">
        <v>592.76</v>
      </c>
      <c r="K401" s="1224"/>
      <c r="L401" s="1225">
        <v>1209.23</v>
      </c>
      <c r="M401" s="1224"/>
      <c r="N401" s="1226"/>
      <c r="T401" s="1220"/>
      <c r="U401" s="1221"/>
      <c r="V401" s="1221" t="s">
        <v>655</v>
      </c>
      <c r="AB401" s="1221"/>
      <c r="AC401" s="1221"/>
      <c r="AE401" s="1221"/>
      <c r="AF401" s="1261"/>
    </row>
    <row r="402" spans="1:32" s="1194" customFormat="1" ht="12" x14ac:dyDescent="0.2">
      <c r="A402" s="1238"/>
      <c r="B402" s="1239"/>
      <c r="C402" s="1196" t="s">
        <v>717</v>
      </c>
      <c r="D402" s="1240"/>
      <c r="E402" s="1240"/>
      <c r="F402" s="1241"/>
      <c r="G402" s="1241"/>
      <c r="H402" s="1241"/>
      <c r="I402" s="1241"/>
      <c r="J402" s="1242"/>
      <c r="K402" s="1241"/>
      <c r="L402" s="1242"/>
      <c r="M402" s="1243"/>
      <c r="N402" s="1244"/>
      <c r="T402" s="1220"/>
      <c r="U402" s="1221"/>
      <c r="V402" s="1221"/>
      <c r="AB402" s="1221"/>
      <c r="AC402" s="1221"/>
      <c r="AE402" s="1221"/>
      <c r="AF402" s="1261"/>
    </row>
    <row r="403" spans="1:32" s="1194" customFormat="1" ht="45" x14ac:dyDescent="0.2">
      <c r="A403" s="1222" t="s">
        <v>776</v>
      </c>
      <c r="B403" s="1223" t="s">
        <v>1600</v>
      </c>
      <c r="C403" s="1953" t="s">
        <v>1601</v>
      </c>
      <c r="D403" s="1953"/>
      <c r="E403" s="1953"/>
      <c r="F403" s="1224" t="s">
        <v>617</v>
      </c>
      <c r="G403" s="1224"/>
      <c r="H403" s="1224"/>
      <c r="I403" s="1224" t="s">
        <v>194</v>
      </c>
      <c r="J403" s="1225"/>
      <c r="K403" s="1224"/>
      <c r="L403" s="1225"/>
      <c r="M403" s="1224"/>
      <c r="N403" s="1226"/>
      <c r="T403" s="1220"/>
      <c r="U403" s="1221"/>
      <c r="V403" s="1221" t="s">
        <v>1601</v>
      </c>
      <c r="AB403" s="1221"/>
      <c r="AC403" s="1221"/>
      <c r="AE403" s="1221"/>
      <c r="AF403" s="1261"/>
    </row>
    <row r="404" spans="1:32" s="1194" customFormat="1" ht="33.75" x14ac:dyDescent="0.2">
      <c r="A404" s="1229"/>
      <c r="B404" s="1230" t="s">
        <v>310</v>
      </c>
      <c r="C404" s="1945" t="s">
        <v>311</v>
      </c>
      <c r="D404" s="1945"/>
      <c r="E404" s="1945"/>
      <c r="F404" s="1945"/>
      <c r="G404" s="1945"/>
      <c r="H404" s="1945"/>
      <c r="I404" s="1945"/>
      <c r="J404" s="1945"/>
      <c r="K404" s="1945"/>
      <c r="L404" s="1945"/>
      <c r="M404" s="1945"/>
      <c r="N404" s="1954"/>
      <c r="T404" s="1220"/>
      <c r="U404" s="1221"/>
      <c r="V404" s="1221"/>
      <c r="X404" s="1198" t="s">
        <v>311</v>
      </c>
      <c r="AB404" s="1221"/>
      <c r="AC404" s="1221"/>
      <c r="AE404" s="1221"/>
      <c r="AF404" s="1261"/>
    </row>
    <row r="405" spans="1:32" s="1194" customFormat="1" ht="12" x14ac:dyDescent="0.2">
      <c r="A405" s="1231"/>
      <c r="B405" s="1230" t="s">
        <v>185</v>
      </c>
      <c r="C405" s="1945" t="s">
        <v>312</v>
      </c>
      <c r="D405" s="1945"/>
      <c r="E405" s="1945"/>
      <c r="F405" s="1232"/>
      <c r="G405" s="1232"/>
      <c r="H405" s="1232"/>
      <c r="I405" s="1232"/>
      <c r="J405" s="1233">
        <v>10.58</v>
      </c>
      <c r="K405" s="1232" t="s">
        <v>313</v>
      </c>
      <c r="L405" s="1233">
        <v>132.25</v>
      </c>
      <c r="M405" s="1232"/>
      <c r="N405" s="1234"/>
      <c r="T405" s="1220"/>
      <c r="U405" s="1221"/>
      <c r="V405" s="1221"/>
      <c r="Y405" s="1198" t="s">
        <v>312</v>
      </c>
      <c r="AB405" s="1221"/>
      <c r="AC405" s="1221"/>
      <c r="AE405" s="1221"/>
      <c r="AF405" s="1261"/>
    </row>
    <row r="406" spans="1:32" s="1194" customFormat="1" ht="12" x14ac:dyDescent="0.2">
      <c r="A406" s="1231"/>
      <c r="B406" s="1230" t="s">
        <v>186</v>
      </c>
      <c r="C406" s="1945" t="s">
        <v>344</v>
      </c>
      <c r="D406" s="1945"/>
      <c r="E406" s="1945"/>
      <c r="F406" s="1232"/>
      <c r="G406" s="1232"/>
      <c r="H406" s="1232"/>
      <c r="I406" s="1232"/>
      <c r="J406" s="1233">
        <v>48.54</v>
      </c>
      <c r="K406" s="1232" t="s">
        <v>313</v>
      </c>
      <c r="L406" s="1233">
        <v>606.75</v>
      </c>
      <c r="M406" s="1232"/>
      <c r="N406" s="1234"/>
      <c r="T406" s="1220"/>
      <c r="U406" s="1221"/>
      <c r="V406" s="1221"/>
      <c r="Y406" s="1198" t="s">
        <v>344</v>
      </c>
      <c r="AB406" s="1221"/>
      <c r="AC406" s="1221"/>
      <c r="AE406" s="1221"/>
      <c r="AF406" s="1261"/>
    </row>
    <row r="407" spans="1:32" s="1194" customFormat="1" ht="12" x14ac:dyDescent="0.2">
      <c r="A407" s="1231"/>
      <c r="B407" s="1230" t="s">
        <v>187</v>
      </c>
      <c r="C407" s="1945" t="s">
        <v>345</v>
      </c>
      <c r="D407" s="1945"/>
      <c r="E407" s="1945"/>
      <c r="F407" s="1232"/>
      <c r="G407" s="1232"/>
      <c r="H407" s="1232"/>
      <c r="I407" s="1232"/>
      <c r="J407" s="1233">
        <v>5.79</v>
      </c>
      <c r="K407" s="1232" t="s">
        <v>313</v>
      </c>
      <c r="L407" s="1233">
        <v>72.38</v>
      </c>
      <c r="M407" s="1232"/>
      <c r="N407" s="1234"/>
      <c r="T407" s="1220"/>
      <c r="U407" s="1221"/>
      <c r="V407" s="1221"/>
      <c r="Y407" s="1198" t="s">
        <v>345</v>
      </c>
      <c r="AB407" s="1221"/>
      <c r="AC407" s="1221"/>
      <c r="AE407" s="1221"/>
      <c r="AF407" s="1261"/>
    </row>
    <row r="408" spans="1:32" s="1194" customFormat="1" ht="12" x14ac:dyDescent="0.2">
      <c r="A408" s="1231"/>
      <c r="B408" s="1230" t="s">
        <v>188</v>
      </c>
      <c r="C408" s="1945" t="s">
        <v>475</v>
      </c>
      <c r="D408" s="1945"/>
      <c r="E408" s="1945"/>
      <c r="F408" s="1232"/>
      <c r="G408" s="1232"/>
      <c r="H408" s="1232"/>
      <c r="I408" s="1232"/>
      <c r="J408" s="1233">
        <v>0.04</v>
      </c>
      <c r="K408" s="1232"/>
      <c r="L408" s="1233">
        <v>0.4</v>
      </c>
      <c r="M408" s="1232"/>
      <c r="N408" s="1234"/>
      <c r="T408" s="1220"/>
      <c r="U408" s="1221"/>
      <c r="V408" s="1221"/>
      <c r="Y408" s="1198" t="s">
        <v>475</v>
      </c>
      <c r="AB408" s="1221"/>
      <c r="AC408" s="1221"/>
      <c r="AE408" s="1221"/>
      <c r="AF408" s="1261"/>
    </row>
    <row r="409" spans="1:32" s="1194" customFormat="1" ht="12" x14ac:dyDescent="0.2">
      <c r="A409" s="1227"/>
      <c r="B409" s="1258" t="s">
        <v>1602</v>
      </c>
      <c r="C409" s="1964" t="s">
        <v>1603</v>
      </c>
      <c r="D409" s="1964"/>
      <c r="E409" s="1964"/>
      <c r="F409" s="1259" t="s">
        <v>641</v>
      </c>
      <c r="G409" s="1259" t="s">
        <v>525</v>
      </c>
      <c r="H409" s="1259"/>
      <c r="I409" s="1259" t="s">
        <v>525</v>
      </c>
      <c r="J409" s="1230"/>
      <c r="K409" s="1232"/>
      <c r="L409" s="1233"/>
      <c r="M409" s="1232"/>
      <c r="N409" s="1260"/>
      <c r="T409" s="1220"/>
      <c r="U409" s="1221"/>
      <c r="V409" s="1221"/>
      <c r="AB409" s="1221"/>
      <c r="AC409" s="1221"/>
      <c r="AE409" s="1221"/>
      <c r="AF409" s="1261" t="s">
        <v>1603</v>
      </c>
    </row>
    <row r="410" spans="1:32" s="1194" customFormat="1" ht="12" x14ac:dyDescent="0.2">
      <c r="A410" s="1227"/>
      <c r="B410" s="1258" t="s">
        <v>1604</v>
      </c>
      <c r="C410" s="1964" t="s">
        <v>1605</v>
      </c>
      <c r="D410" s="1964"/>
      <c r="E410" s="1964"/>
      <c r="F410" s="1259" t="s">
        <v>638</v>
      </c>
      <c r="G410" s="1259" t="s">
        <v>185</v>
      </c>
      <c r="H410" s="1259"/>
      <c r="I410" s="1259" t="s">
        <v>194</v>
      </c>
      <c r="J410" s="1230"/>
      <c r="K410" s="1232"/>
      <c r="L410" s="1233"/>
      <c r="M410" s="1232"/>
      <c r="N410" s="1260"/>
      <c r="T410" s="1220"/>
      <c r="U410" s="1221"/>
      <c r="V410" s="1221"/>
      <c r="AB410" s="1221"/>
      <c r="AC410" s="1221"/>
      <c r="AE410" s="1221"/>
      <c r="AF410" s="1261" t="s">
        <v>1605</v>
      </c>
    </row>
    <row r="411" spans="1:32" s="1194" customFormat="1" ht="12" x14ac:dyDescent="0.2">
      <c r="A411" s="1231"/>
      <c r="B411" s="1230"/>
      <c r="C411" s="1945" t="s">
        <v>314</v>
      </c>
      <c r="D411" s="1945"/>
      <c r="E411" s="1945"/>
      <c r="F411" s="1232" t="s">
        <v>315</v>
      </c>
      <c r="G411" s="1232" t="s">
        <v>1606</v>
      </c>
      <c r="H411" s="1232" t="s">
        <v>313</v>
      </c>
      <c r="I411" s="1232" t="s">
        <v>1607</v>
      </c>
      <c r="J411" s="1233"/>
      <c r="K411" s="1232"/>
      <c r="L411" s="1233"/>
      <c r="M411" s="1232"/>
      <c r="N411" s="1234"/>
      <c r="T411" s="1220"/>
      <c r="U411" s="1221"/>
      <c r="V411" s="1221"/>
      <c r="Z411" s="1198" t="s">
        <v>314</v>
      </c>
      <c r="AB411" s="1221"/>
      <c r="AC411" s="1221"/>
      <c r="AE411" s="1221"/>
      <c r="AF411" s="1261"/>
    </row>
    <row r="412" spans="1:32" s="1194" customFormat="1" ht="12" x14ac:dyDescent="0.2">
      <c r="A412" s="1231"/>
      <c r="B412" s="1230"/>
      <c r="C412" s="1945" t="s">
        <v>348</v>
      </c>
      <c r="D412" s="1945"/>
      <c r="E412" s="1945"/>
      <c r="F412" s="1232" t="s">
        <v>315</v>
      </c>
      <c r="G412" s="1232" t="s">
        <v>1608</v>
      </c>
      <c r="H412" s="1232" t="s">
        <v>313</v>
      </c>
      <c r="I412" s="1232" t="s">
        <v>1609</v>
      </c>
      <c r="J412" s="1233"/>
      <c r="K412" s="1232"/>
      <c r="L412" s="1233"/>
      <c r="M412" s="1232"/>
      <c r="N412" s="1234"/>
      <c r="T412" s="1220"/>
      <c r="U412" s="1221"/>
      <c r="V412" s="1221"/>
      <c r="Z412" s="1198" t="s">
        <v>348</v>
      </c>
      <c r="AB412" s="1221"/>
      <c r="AC412" s="1221"/>
      <c r="AE412" s="1221"/>
      <c r="AF412" s="1261"/>
    </row>
    <row r="413" spans="1:32" s="1194" customFormat="1" ht="12" x14ac:dyDescent="0.2">
      <c r="A413" s="1231"/>
      <c r="B413" s="1230"/>
      <c r="C413" s="1962" t="s">
        <v>318</v>
      </c>
      <c r="D413" s="1962"/>
      <c r="E413" s="1962"/>
      <c r="F413" s="1235"/>
      <c r="G413" s="1235"/>
      <c r="H413" s="1235"/>
      <c r="I413" s="1235"/>
      <c r="J413" s="1236">
        <v>59.16</v>
      </c>
      <c r="K413" s="1235"/>
      <c r="L413" s="1236">
        <v>739.4</v>
      </c>
      <c r="M413" s="1235"/>
      <c r="N413" s="1237"/>
      <c r="T413" s="1220"/>
      <c r="U413" s="1221"/>
      <c r="V413" s="1221"/>
      <c r="AA413" s="1198" t="s">
        <v>318</v>
      </c>
      <c r="AB413" s="1221"/>
      <c r="AC413" s="1221"/>
      <c r="AE413" s="1221"/>
      <c r="AF413" s="1261"/>
    </row>
    <row r="414" spans="1:32" s="1194" customFormat="1" ht="12" x14ac:dyDescent="0.2">
      <c r="A414" s="1231"/>
      <c r="B414" s="1230"/>
      <c r="C414" s="1945" t="s">
        <v>319</v>
      </c>
      <c r="D414" s="1945"/>
      <c r="E414" s="1945"/>
      <c r="F414" s="1232"/>
      <c r="G414" s="1232"/>
      <c r="H414" s="1232"/>
      <c r="I414" s="1232"/>
      <c r="J414" s="1233"/>
      <c r="K414" s="1232"/>
      <c r="L414" s="1233">
        <v>204.63</v>
      </c>
      <c r="M414" s="1232"/>
      <c r="N414" s="1234"/>
      <c r="T414" s="1220"/>
      <c r="U414" s="1221"/>
      <c r="V414" s="1221"/>
      <c r="Z414" s="1198" t="s">
        <v>319</v>
      </c>
      <c r="AB414" s="1221"/>
      <c r="AC414" s="1221"/>
      <c r="AE414" s="1221"/>
      <c r="AF414" s="1261"/>
    </row>
    <row r="415" spans="1:32" s="1194" customFormat="1" ht="33.75" x14ac:dyDescent="0.2">
      <c r="A415" s="1231"/>
      <c r="B415" s="1230" t="s">
        <v>533</v>
      </c>
      <c r="C415" s="1945" t="s">
        <v>534</v>
      </c>
      <c r="D415" s="1945"/>
      <c r="E415" s="1945"/>
      <c r="F415" s="1232" t="s">
        <v>322</v>
      </c>
      <c r="G415" s="1232" t="s">
        <v>535</v>
      </c>
      <c r="H415" s="1232"/>
      <c r="I415" s="1232" t="s">
        <v>535</v>
      </c>
      <c r="J415" s="1233"/>
      <c r="K415" s="1232"/>
      <c r="L415" s="1233">
        <v>239.42</v>
      </c>
      <c r="M415" s="1232"/>
      <c r="N415" s="1234"/>
      <c r="T415" s="1220"/>
      <c r="U415" s="1221"/>
      <c r="V415" s="1221"/>
      <c r="Z415" s="1198" t="s">
        <v>534</v>
      </c>
      <c r="AB415" s="1221"/>
      <c r="AC415" s="1221"/>
      <c r="AE415" s="1221"/>
      <c r="AF415" s="1261"/>
    </row>
    <row r="416" spans="1:32" s="1194" customFormat="1" ht="33.75" x14ac:dyDescent="0.2">
      <c r="A416" s="1231"/>
      <c r="B416" s="1230" t="s">
        <v>536</v>
      </c>
      <c r="C416" s="1945" t="s">
        <v>537</v>
      </c>
      <c r="D416" s="1945"/>
      <c r="E416" s="1945"/>
      <c r="F416" s="1232" t="s">
        <v>322</v>
      </c>
      <c r="G416" s="1232" t="s">
        <v>538</v>
      </c>
      <c r="H416" s="1232"/>
      <c r="I416" s="1232" t="s">
        <v>538</v>
      </c>
      <c r="J416" s="1233"/>
      <c r="K416" s="1232"/>
      <c r="L416" s="1233">
        <v>151.43</v>
      </c>
      <c r="M416" s="1232"/>
      <c r="N416" s="1234"/>
      <c r="T416" s="1220"/>
      <c r="U416" s="1221"/>
      <c r="V416" s="1221"/>
      <c r="Z416" s="1198" t="s">
        <v>537</v>
      </c>
      <c r="AB416" s="1221"/>
      <c r="AC416" s="1221"/>
      <c r="AE416" s="1221"/>
      <c r="AF416" s="1261"/>
    </row>
    <row r="417" spans="1:32" s="1194" customFormat="1" ht="12" x14ac:dyDescent="0.2">
      <c r="A417" s="1238"/>
      <c r="B417" s="1239"/>
      <c r="C417" s="1953" t="s">
        <v>327</v>
      </c>
      <c r="D417" s="1953"/>
      <c r="E417" s="1953"/>
      <c r="F417" s="1224"/>
      <c r="G417" s="1224"/>
      <c r="H417" s="1224"/>
      <c r="I417" s="1224"/>
      <c r="J417" s="1225"/>
      <c r="K417" s="1224"/>
      <c r="L417" s="1225">
        <v>1130.25</v>
      </c>
      <c r="M417" s="1235"/>
      <c r="N417" s="1226"/>
      <c r="T417" s="1220"/>
      <c r="U417" s="1221"/>
      <c r="V417" s="1221"/>
      <c r="AB417" s="1221" t="s">
        <v>327</v>
      </c>
      <c r="AC417" s="1221"/>
      <c r="AE417" s="1221"/>
      <c r="AF417" s="1261"/>
    </row>
    <row r="418" spans="1:32" s="1194" customFormat="1" ht="33.75" x14ac:dyDescent="0.2">
      <c r="A418" s="1222" t="s">
        <v>931</v>
      </c>
      <c r="B418" s="1223" t="s">
        <v>1610</v>
      </c>
      <c r="C418" s="1953" t="s">
        <v>1611</v>
      </c>
      <c r="D418" s="1953"/>
      <c r="E418" s="1953"/>
      <c r="F418" s="1224" t="s">
        <v>617</v>
      </c>
      <c r="G418" s="1224"/>
      <c r="H418" s="1224"/>
      <c r="I418" s="1224" t="s">
        <v>194</v>
      </c>
      <c r="J418" s="1225">
        <v>4725</v>
      </c>
      <c r="K418" s="1224" t="s">
        <v>716</v>
      </c>
      <c r="L418" s="1225">
        <v>5792.67</v>
      </c>
      <c r="M418" s="1224" t="s">
        <v>9136</v>
      </c>
      <c r="N418" s="1226">
        <v>48195</v>
      </c>
      <c r="T418" s="1220"/>
      <c r="U418" s="1221"/>
      <c r="V418" s="1221" t="s">
        <v>1611</v>
      </c>
      <c r="AB418" s="1221"/>
      <c r="AC418" s="1221"/>
      <c r="AE418" s="1221"/>
      <c r="AF418" s="1261"/>
    </row>
    <row r="419" spans="1:32" s="1194" customFormat="1" ht="12" x14ac:dyDescent="0.2">
      <c r="A419" s="1238"/>
      <c r="B419" s="1239"/>
      <c r="C419" s="1196" t="s">
        <v>717</v>
      </c>
      <c r="D419" s="1240"/>
      <c r="E419" s="1240"/>
      <c r="F419" s="1241"/>
      <c r="G419" s="1241"/>
      <c r="H419" s="1241"/>
      <c r="I419" s="1241"/>
      <c r="J419" s="1242"/>
      <c r="K419" s="1241"/>
      <c r="L419" s="1242"/>
      <c r="M419" s="1243"/>
      <c r="N419" s="1244"/>
      <c r="T419" s="1220"/>
      <c r="U419" s="1221"/>
      <c r="V419" s="1221"/>
      <c r="AB419" s="1221"/>
      <c r="AC419" s="1221"/>
      <c r="AE419" s="1221"/>
      <c r="AF419" s="1261"/>
    </row>
    <row r="420" spans="1:32" s="1194" customFormat="1" ht="22.5" x14ac:dyDescent="0.2">
      <c r="A420" s="1229"/>
      <c r="B420" s="1230" t="s">
        <v>718</v>
      </c>
      <c r="C420" s="1945" t="s">
        <v>719</v>
      </c>
      <c r="D420" s="1945"/>
      <c r="E420" s="1945"/>
      <c r="F420" s="1945"/>
      <c r="G420" s="1945"/>
      <c r="H420" s="1945"/>
      <c r="I420" s="1945"/>
      <c r="J420" s="1945"/>
      <c r="K420" s="1945"/>
      <c r="L420" s="1945"/>
      <c r="M420" s="1945"/>
      <c r="N420" s="1954"/>
      <c r="T420" s="1220"/>
      <c r="U420" s="1221"/>
      <c r="V420" s="1221"/>
      <c r="X420" s="1198" t="s">
        <v>719</v>
      </c>
      <c r="AB420" s="1221"/>
      <c r="AC420" s="1221"/>
      <c r="AE420" s="1221"/>
      <c r="AF420" s="1261"/>
    </row>
    <row r="421" spans="1:32" s="1194" customFormat="1" ht="1.5" customHeight="1" x14ac:dyDescent="0.2">
      <c r="A421" s="1241"/>
      <c r="B421" s="1239"/>
      <c r="C421" s="1239"/>
      <c r="D421" s="1239"/>
      <c r="E421" s="1239"/>
      <c r="F421" s="1241"/>
      <c r="G421" s="1241"/>
      <c r="H421" s="1241"/>
      <c r="I421" s="1241"/>
      <c r="J421" s="1245"/>
      <c r="K421" s="1241"/>
      <c r="L421" s="1245"/>
      <c r="M421" s="1232"/>
      <c r="N421" s="1245"/>
      <c r="T421" s="1220"/>
      <c r="U421" s="1221"/>
      <c r="V421" s="1221"/>
      <c r="AB421" s="1221"/>
      <c r="AC421" s="1221"/>
      <c r="AE421" s="1221"/>
      <c r="AF421" s="1261"/>
    </row>
    <row r="422" spans="1:32" s="1194" customFormat="1" ht="12" x14ac:dyDescent="0.2">
      <c r="A422" s="1246"/>
      <c r="B422" s="1247"/>
      <c r="C422" s="1953" t="s">
        <v>1612</v>
      </c>
      <c r="D422" s="1953"/>
      <c r="E422" s="1953"/>
      <c r="F422" s="1953"/>
      <c r="G422" s="1953"/>
      <c r="H422" s="1953"/>
      <c r="I422" s="1953"/>
      <c r="J422" s="1953"/>
      <c r="K422" s="1953"/>
      <c r="L422" s="1248"/>
      <c r="M422" s="1249"/>
      <c r="N422" s="1250"/>
      <c r="T422" s="1220"/>
      <c r="U422" s="1221"/>
      <c r="V422" s="1221"/>
      <c r="AB422" s="1221"/>
      <c r="AC422" s="1221" t="s">
        <v>1612</v>
      </c>
      <c r="AE422" s="1221"/>
      <c r="AF422" s="1261"/>
    </row>
    <row r="423" spans="1:32" s="1194" customFormat="1" ht="12" x14ac:dyDescent="0.2">
      <c r="A423" s="1251"/>
      <c r="B423" s="1230"/>
      <c r="C423" s="1945" t="s">
        <v>403</v>
      </c>
      <c r="D423" s="1945"/>
      <c r="E423" s="1945"/>
      <c r="F423" s="1945"/>
      <c r="G423" s="1945"/>
      <c r="H423" s="1945"/>
      <c r="I423" s="1945"/>
      <c r="J423" s="1945"/>
      <c r="K423" s="1945"/>
      <c r="L423" s="1252">
        <v>147767.21</v>
      </c>
      <c r="M423" s="1253"/>
      <c r="N423" s="1254"/>
      <c r="T423" s="1220"/>
      <c r="U423" s="1221"/>
      <c r="V423" s="1221"/>
      <c r="AB423" s="1221"/>
      <c r="AC423" s="1221"/>
      <c r="AD423" s="1198" t="s">
        <v>403</v>
      </c>
      <c r="AE423" s="1221"/>
      <c r="AF423" s="1261"/>
    </row>
    <row r="424" spans="1:32" s="1194" customFormat="1" ht="12" x14ac:dyDescent="0.2">
      <c r="A424" s="1251"/>
      <c r="B424" s="1230"/>
      <c r="C424" s="1945" t="s">
        <v>8993</v>
      </c>
      <c r="D424" s="1945"/>
      <c r="E424" s="1945"/>
      <c r="F424" s="1945"/>
      <c r="G424" s="1945"/>
      <c r="H424" s="1945"/>
      <c r="I424" s="1945"/>
      <c r="J424" s="1945"/>
      <c r="K424" s="1945"/>
      <c r="L424" s="1252"/>
      <c r="M424" s="1253"/>
      <c r="N424" s="1254"/>
      <c r="T424" s="1220"/>
      <c r="U424" s="1221"/>
      <c r="V424" s="1221"/>
      <c r="AB424" s="1221"/>
      <c r="AC424" s="1221"/>
      <c r="AD424" s="1198" t="s">
        <v>8993</v>
      </c>
      <c r="AE424" s="1221"/>
      <c r="AF424" s="1261"/>
    </row>
    <row r="425" spans="1:32" s="1194" customFormat="1" ht="12" x14ac:dyDescent="0.2">
      <c r="A425" s="1251"/>
      <c r="B425" s="1230"/>
      <c r="C425" s="1945" t="s">
        <v>404</v>
      </c>
      <c r="D425" s="1945"/>
      <c r="E425" s="1945"/>
      <c r="F425" s="1945"/>
      <c r="G425" s="1945"/>
      <c r="H425" s="1945"/>
      <c r="I425" s="1945"/>
      <c r="J425" s="1945"/>
      <c r="K425" s="1945"/>
      <c r="L425" s="1252">
        <v>1619.69</v>
      </c>
      <c r="M425" s="1253"/>
      <c r="N425" s="1254"/>
      <c r="T425" s="1220"/>
      <c r="U425" s="1221"/>
      <c r="V425" s="1221"/>
      <c r="AB425" s="1221"/>
      <c r="AC425" s="1221"/>
      <c r="AD425" s="1198" t="s">
        <v>404</v>
      </c>
      <c r="AE425" s="1221"/>
      <c r="AF425" s="1261"/>
    </row>
    <row r="426" spans="1:32" s="1194" customFormat="1" ht="12" x14ac:dyDescent="0.2">
      <c r="A426" s="1251"/>
      <c r="B426" s="1230"/>
      <c r="C426" s="1945" t="s">
        <v>405</v>
      </c>
      <c r="D426" s="1945"/>
      <c r="E426" s="1945"/>
      <c r="F426" s="1945"/>
      <c r="G426" s="1945"/>
      <c r="H426" s="1945"/>
      <c r="I426" s="1945"/>
      <c r="J426" s="1945"/>
      <c r="K426" s="1945"/>
      <c r="L426" s="1252">
        <v>3934.03</v>
      </c>
      <c r="M426" s="1253"/>
      <c r="N426" s="1254"/>
      <c r="T426" s="1220"/>
      <c r="U426" s="1221"/>
      <c r="V426" s="1221"/>
      <c r="AB426" s="1221"/>
      <c r="AC426" s="1221"/>
      <c r="AD426" s="1198" t="s">
        <v>405</v>
      </c>
      <c r="AE426" s="1221"/>
      <c r="AF426" s="1261"/>
    </row>
    <row r="427" spans="1:32" s="1194" customFormat="1" ht="12" x14ac:dyDescent="0.2">
      <c r="A427" s="1251"/>
      <c r="B427" s="1230"/>
      <c r="C427" s="1945" t="s">
        <v>8994</v>
      </c>
      <c r="D427" s="1945"/>
      <c r="E427" s="1945"/>
      <c r="F427" s="1945"/>
      <c r="G427" s="1945"/>
      <c r="H427" s="1945"/>
      <c r="I427" s="1945"/>
      <c r="J427" s="1945"/>
      <c r="K427" s="1945"/>
      <c r="L427" s="1252">
        <v>218.35</v>
      </c>
      <c r="M427" s="1253"/>
      <c r="N427" s="1254"/>
      <c r="T427" s="1220"/>
      <c r="U427" s="1221"/>
      <c r="V427" s="1221"/>
      <c r="AB427" s="1221"/>
      <c r="AC427" s="1221"/>
      <c r="AD427" s="1198" t="s">
        <v>8994</v>
      </c>
      <c r="AE427" s="1221"/>
      <c r="AF427" s="1261"/>
    </row>
    <row r="428" spans="1:32" s="1194" customFormat="1" ht="12" x14ac:dyDescent="0.2">
      <c r="A428" s="1251"/>
      <c r="B428" s="1230"/>
      <c r="C428" s="1945" t="s">
        <v>480</v>
      </c>
      <c r="D428" s="1945"/>
      <c r="E428" s="1945"/>
      <c r="F428" s="1945"/>
      <c r="G428" s="1945"/>
      <c r="H428" s="1945"/>
      <c r="I428" s="1945"/>
      <c r="J428" s="1945"/>
      <c r="K428" s="1945"/>
      <c r="L428" s="1252">
        <v>142213.49</v>
      </c>
      <c r="M428" s="1253"/>
      <c r="N428" s="1254"/>
      <c r="T428" s="1220"/>
      <c r="U428" s="1221"/>
      <c r="V428" s="1221"/>
      <c r="AB428" s="1221"/>
      <c r="AC428" s="1221"/>
      <c r="AD428" s="1198" t="s">
        <v>480</v>
      </c>
      <c r="AE428" s="1221"/>
      <c r="AF428" s="1261"/>
    </row>
    <row r="429" spans="1:32" s="1194" customFormat="1" ht="12" x14ac:dyDescent="0.2">
      <c r="A429" s="1251"/>
      <c r="B429" s="1230"/>
      <c r="C429" s="1945" t="s">
        <v>407</v>
      </c>
      <c r="D429" s="1945"/>
      <c r="E429" s="1945"/>
      <c r="F429" s="1945"/>
      <c r="G429" s="1945"/>
      <c r="H429" s="1945"/>
      <c r="I429" s="1945"/>
      <c r="J429" s="1945"/>
      <c r="K429" s="1945"/>
      <c r="L429" s="1252">
        <v>151748.10999999999</v>
      </c>
      <c r="M429" s="1253"/>
      <c r="N429" s="1254"/>
      <c r="T429" s="1220"/>
      <c r="U429" s="1221"/>
      <c r="V429" s="1221"/>
      <c r="AB429" s="1221"/>
      <c r="AC429" s="1221"/>
      <c r="AD429" s="1198" t="s">
        <v>407</v>
      </c>
      <c r="AE429" s="1221"/>
      <c r="AF429" s="1261"/>
    </row>
    <row r="430" spans="1:32" s="1194" customFormat="1" ht="12" x14ac:dyDescent="0.2">
      <c r="A430" s="1251"/>
      <c r="B430" s="1230"/>
      <c r="C430" s="1945" t="s">
        <v>8993</v>
      </c>
      <c r="D430" s="1945"/>
      <c r="E430" s="1945"/>
      <c r="F430" s="1945"/>
      <c r="G430" s="1945"/>
      <c r="H430" s="1945"/>
      <c r="I430" s="1945"/>
      <c r="J430" s="1945"/>
      <c r="K430" s="1945"/>
      <c r="L430" s="1252"/>
      <c r="M430" s="1253"/>
      <c r="N430" s="1254"/>
      <c r="T430" s="1220"/>
      <c r="U430" s="1221"/>
      <c r="V430" s="1221"/>
      <c r="AB430" s="1221"/>
      <c r="AC430" s="1221"/>
      <c r="AD430" s="1198" t="s">
        <v>8993</v>
      </c>
      <c r="AE430" s="1221"/>
      <c r="AF430" s="1261"/>
    </row>
    <row r="431" spans="1:32" s="1194" customFormat="1" ht="12" x14ac:dyDescent="0.2">
      <c r="A431" s="1251"/>
      <c r="B431" s="1230"/>
      <c r="C431" s="1945" t="s">
        <v>546</v>
      </c>
      <c r="D431" s="1945"/>
      <c r="E431" s="1945"/>
      <c r="F431" s="1945"/>
      <c r="G431" s="1945"/>
      <c r="H431" s="1945"/>
      <c r="I431" s="1945"/>
      <c r="J431" s="1945"/>
      <c r="K431" s="1945"/>
      <c r="L431" s="1252">
        <v>1619.69</v>
      </c>
      <c r="M431" s="1253"/>
      <c r="N431" s="1254"/>
      <c r="T431" s="1220"/>
      <c r="U431" s="1221"/>
      <c r="V431" s="1221"/>
      <c r="AB431" s="1221"/>
      <c r="AC431" s="1221"/>
      <c r="AD431" s="1198" t="s">
        <v>546</v>
      </c>
      <c r="AE431" s="1221"/>
      <c r="AF431" s="1261"/>
    </row>
    <row r="432" spans="1:32" s="1194" customFormat="1" ht="12" x14ac:dyDescent="0.2">
      <c r="A432" s="1251"/>
      <c r="B432" s="1230"/>
      <c r="C432" s="1945" t="s">
        <v>442</v>
      </c>
      <c r="D432" s="1945"/>
      <c r="E432" s="1945"/>
      <c r="F432" s="1945"/>
      <c r="G432" s="1945"/>
      <c r="H432" s="1945"/>
      <c r="I432" s="1945"/>
      <c r="J432" s="1945"/>
      <c r="K432" s="1945"/>
      <c r="L432" s="1252">
        <v>3934.03</v>
      </c>
      <c r="M432" s="1253"/>
      <c r="N432" s="1254"/>
      <c r="T432" s="1220"/>
      <c r="U432" s="1221"/>
      <c r="V432" s="1221"/>
      <c r="AB432" s="1221"/>
      <c r="AC432" s="1221"/>
      <c r="AD432" s="1198" t="s">
        <v>442</v>
      </c>
      <c r="AE432" s="1221"/>
      <c r="AF432" s="1261"/>
    </row>
    <row r="433" spans="1:32" s="1194" customFormat="1" ht="12" x14ac:dyDescent="0.2">
      <c r="A433" s="1251"/>
      <c r="B433" s="1230"/>
      <c r="C433" s="1945" t="s">
        <v>8995</v>
      </c>
      <c r="D433" s="1945"/>
      <c r="E433" s="1945"/>
      <c r="F433" s="1945"/>
      <c r="G433" s="1945"/>
      <c r="H433" s="1945"/>
      <c r="I433" s="1945"/>
      <c r="J433" s="1945"/>
      <c r="K433" s="1945"/>
      <c r="L433" s="1252">
        <v>218.35</v>
      </c>
      <c r="M433" s="1253"/>
      <c r="N433" s="1254"/>
      <c r="T433" s="1220"/>
      <c r="U433" s="1221"/>
      <c r="V433" s="1221"/>
      <c r="AB433" s="1221"/>
      <c r="AC433" s="1221"/>
      <c r="AD433" s="1198" t="s">
        <v>8995</v>
      </c>
      <c r="AE433" s="1221"/>
      <c r="AF433" s="1261"/>
    </row>
    <row r="434" spans="1:32" s="1194" customFormat="1" ht="12" x14ac:dyDescent="0.2">
      <c r="A434" s="1251"/>
      <c r="B434" s="1230"/>
      <c r="C434" s="1945" t="s">
        <v>547</v>
      </c>
      <c r="D434" s="1945"/>
      <c r="E434" s="1945"/>
      <c r="F434" s="1945"/>
      <c r="G434" s="1945"/>
      <c r="H434" s="1945"/>
      <c r="I434" s="1945"/>
      <c r="J434" s="1945"/>
      <c r="K434" s="1945"/>
      <c r="L434" s="1252">
        <v>142213.49</v>
      </c>
      <c r="M434" s="1253"/>
      <c r="N434" s="1254"/>
      <c r="T434" s="1220"/>
      <c r="U434" s="1221"/>
      <c r="V434" s="1221"/>
      <c r="AB434" s="1221"/>
      <c r="AC434" s="1221"/>
      <c r="AD434" s="1198" t="s">
        <v>547</v>
      </c>
      <c r="AE434" s="1221"/>
      <c r="AF434" s="1261"/>
    </row>
    <row r="435" spans="1:32" s="1194" customFormat="1" ht="12" x14ac:dyDescent="0.2">
      <c r="A435" s="1251"/>
      <c r="B435" s="1230"/>
      <c r="C435" s="1945" t="s">
        <v>443</v>
      </c>
      <c r="D435" s="1945"/>
      <c r="E435" s="1945"/>
      <c r="F435" s="1945"/>
      <c r="G435" s="1945"/>
      <c r="H435" s="1945"/>
      <c r="I435" s="1945"/>
      <c r="J435" s="1945"/>
      <c r="K435" s="1945"/>
      <c r="L435" s="1252">
        <v>2289.73</v>
      </c>
      <c r="M435" s="1253"/>
      <c r="N435" s="1254"/>
      <c r="T435" s="1220"/>
      <c r="U435" s="1221"/>
      <c r="V435" s="1221"/>
      <c r="AB435" s="1221"/>
      <c r="AC435" s="1221"/>
      <c r="AD435" s="1198" t="s">
        <v>443</v>
      </c>
      <c r="AE435" s="1221"/>
      <c r="AF435" s="1261"/>
    </row>
    <row r="436" spans="1:32" s="1194" customFormat="1" ht="12" x14ac:dyDescent="0.2">
      <c r="A436" s="1251"/>
      <c r="B436" s="1230"/>
      <c r="C436" s="1945" t="s">
        <v>444</v>
      </c>
      <c r="D436" s="1945"/>
      <c r="E436" s="1945"/>
      <c r="F436" s="1945"/>
      <c r="G436" s="1945"/>
      <c r="H436" s="1945"/>
      <c r="I436" s="1945"/>
      <c r="J436" s="1945"/>
      <c r="K436" s="1945"/>
      <c r="L436" s="1252">
        <v>1691.17</v>
      </c>
      <c r="M436" s="1253"/>
      <c r="N436" s="1254"/>
      <c r="T436" s="1220"/>
      <c r="U436" s="1221"/>
      <c r="V436" s="1221"/>
      <c r="AB436" s="1221"/>
      <c r="AC436" s="1221"/>
      <c r="AD436" s="1198" t="s">
        <v>444</v>
      </c>
      <c r="AE436" s="1221"/>
      <c r="AF436" s="1261"/>
    </row>
    <row r="437" spans="1:32" s="1194" customFormat="1" ht="12" x14ac:dyDescent="0.2">
      <c r="A437" s="1251"/>
      <c r="B437" s="1230"/>
      <c r="C437" s="1945" t="s">
        <v>415</v>
      </c>
      <c r="D437" s="1945"/>
      <c r="E437" s="1945"/>
      <c r="F437" s="1945"/>
      <c r="G437" s="1945"/>
      <c r="H437" s="1945"/>
      <c r="I437" s="1945"/>
      <c r="J437" s="1945"/>
      <c r="K437" s="1945"/>
      <c r="L437" s="1252">
        <v>1838.04</v>
      </c>
      <c r="M437" s="1253"/>
      <c r="N437" s="1254"/>
      <c r="T437" s="1220"/>
      <c r="U437" s="1221"/>
      <c r="V437" s="1221"/>
      <c r="AB437" s="1221"/>
      <c r="AC437" s="1221"/>
      <c r="AD437" s="1198" t="s">
        <v>415</v>
      </c>
      <c r="AE437" s="1221"/>
      <c r="AF437" s="1261"/>
    </row>
    <row r="438" spans="1:32" s="1194" customFormat="1" ht="12" x14ac:dyDescent="0.2">
      <c r="A438" s="1251"/>
      <c r="B438" s="1230"/>
      <c r="C438" s="1945" t="s">
        <v>416</v>
      </c>
      <c r="D438" s="1945"/>
      <c r="E438" s="1945"/>
      <c r="F438" s="1945"/>
      <c r="G438" s="1945"/>
      <c r="H438" s="1945"/>
      <c r="I438" s="1945"/>
      <c r="J438" s="1945"/>
      <c r="K438" s="1945"/>
      <c r="L438" s="1252">
        <v>2289.73</v>
      </c>
      <c r="M438" s="1253"/>
      <c r="N438" s="1254"/>
      <c r="T438" s="1220"/>
      <c r="U438" s="1221"/>
      <c r="V438" s="1221"/>
      <c r="AB438" s="1221"/>
      <c r="AC438" s="1221"/>
      <c r="AD438" s="1198" t="s">
        <v>416</v>
      </c>
      <c r="AE438" s="1221"/>
      <c r="AF438" s="1261"/>
    </row>
    <row r="439" spans="1:32" s="1194" customFormat="1" ht="12" x14ac:dyDescent="0.2">
      <c r="A439" s="1251"/>
      <c r="B439" s="1230"/>
      <c r="C439" s="1945" t="s">
        <v>417</v>
      </c>
      <c r="D439" s="1945"/>
      <c r="E439" s="1945"/>
      <c r="F439" s="1945"/>
      <c r="G439" s="1945"/>
      <c r="H439" s="1945"/>
      <c r="I439" s="1945"/>
      <c r="J439" s="1945"/>
      <c r="K439" s="1945"/>
      <c r="L439" s="1252">
        <v>1691.17</v>
      </c>
      <c r="M439" s="1253"/>
      <c r="N439" s="1254"/>
      <c r="T439" s="1220"/>
      <c r="U439" s="1221"/>
      <c r="V439" s="1221"/>
      <c r="AB439" s="1221"/>
      <c r="AC439" s="1221"/>
      <c r="AD439" s="1198" t="s">
        <v>417</v>
      </c>
      <c r="AE439" s="1221"/>
      <c r="AF439" s="1261"/>
    </row>
    <row r="440" spans="1:32" s="1194" customFormat="1" ht="12" x14ac:dyDescent="0.2">
      <c r="A440" s="1251"/>
      <c r="B440" s="1245"/>
      <c r="C440" s="1963" t="s">
        <v>1613</v>
      </c>
      <c r="D440" s="1963"/>
      <c r="E440" s="1963"/>
      <c r="F440" s="1963"/>
      <c r="G440" s="1963"/>
      <c r="H440" s="1963"/>
      <c r="I440" s="1963"/>
      <c r="J440" s="1963"/>
      <c r="K440" s="1963"/>
      <c r="L440" s="1255">
        <v>151748.10999999999</v>
      </c>
      <c r="M440" s="1256"/>
      <c r="N440" s="1257"/>
      <c r="T440" s="1220"/>
      <c r="U440" s="1221"/>
      <c r="V440" s="1221"/>
      <c r="AB440" s="1221"/>
      <c r="AC440" s="1221"/>
      <c r="AE440" s="1221" t="s">
        <v>1613</v>
      </c>
      <c r="AF440" s="1261"/>
    </row>
    <row r="441" spans="1:32" s="1194" customFormat="1" ht="12" x14ac:dyDescent="0.2">
      <c r="A441" s="1251"/>
      <c r="B441" s="1230"/>
      <c r="C441" s="1945" t="s">
        <v>8993</v>
      </c>
      <c r="D441" s="1945"/>
      <c r="E441" s="1945"/>
      <c r="F441" s="1945"/>
      <c r="G441" s="1945"/>
      <c r="H441" s="1945"/>
      <c r="I441" s="1945"/>
      <c r="J441" s="1945"/>
      <c r="K441" s="1945"/>
      <c r="L441" s="1252"/>
      <c r="M441" s="1253"/>
      <c r="N441" s="1254"/>
      <c r="T441" s="1220"/>
      <c r="U441" s="1221"/>
      <c r="V441" s="1221"/>
      <c r="AB441" s="1221"/>
      <c r="AC441" s="1221"/>
      <c r="AD441" s="1198" t="s">
        <v>8993</v>
      </c>
      <c r="AE441" s="1221"/>
      <c r="AF441" s="1261"/>
    </row>
    <row r="442" spans="1:32" s="1194" customFormat="1" ht="12" x14ac:dyDescent="0.2">
      <c r="A442" s="1251"/>
      <c r="B442" s="1230"/>
      <c r="C442" s="1945" t="s">
        <v>8095</v>
      </c>
      <c r="D442" s="1945"/>
      <c r="E442" s="1945"/>
      <c r="F442" s="1945"/>
      <c r="G442" s="1945"/>
      <c r="H442" s="1945"/>
      <c r="I442" s="1945"/>
      <c r="J442" s="1945"/>
      <c r="K442" s="1945"/>
      <c r="L442" s="1252">
        <v>5792.67</v>
      </c>
      <c r="M442" s="1253"/>
      <c r="N442" s="1254"/>
      <c r="T442" s="1220"/>
      <c r="U442" s="1221"/>
      <c r="V442" s="1221"/>
      <c r="AB442" s="1221"/>
      <c r="AC442" s="1221"/>
      <c r="AD442" s="1198" t="s">
        <v>8095</v>
      </c>
      <c r="AE442" s="1221"/>
      <c r="AF442" s="1261"/>
    </row>
    <row r="443" spans="1:32" s="1194" customFormat="1" ht="12" x14ac:dyDescent="0.2">
      <c r="A443" s="1956" t="s">
        <v>1614</v>
      </c>
      <c r="B443" s="1957"/>
      <c r="C443" s="1957"/>
      <c r="D443" s="1957"/>
      <c r="E443" s="1957"/>
      <c r="F443" s="1957"/>
      <c r="G443" s="1957"/>
      <c r="H443" s="1957"/>
      <c r="I443" s="1957"/>
      <c r="J443" s="1957"/>
      <c r="K443" s="1957"/>
      <c r="L443" s="1957"/>
      <c r="M443" s="1957"/>
      <c r="N443" s="1958"/>
      <c r="T443" s="1220" t="s">
        <v>1614</v>
      </c>
      <c r="U443" s="1221"/>
      <c r="V443" s="1221"/>
      <c r="AB443" s="1221"/>
      <c r="AC443" s="1221"/>
      <c r="AE443" s="1221"/>
      <c r="AF443" s="1261"/>
    </row>
    <row r="444" spans="1:32" s="1194" customFormat="1" ht="78.75" x14ac:dyDescent="0.2">
      <c r="A444" s="1222" t="s">
        <v>465</v>
      </c>
      <c r="B444" s="1223" t="s">
        <v>1615</v>
      </c>
      <c r="C444" s="1953" t="s">
        <v>9376</v>
      </c>
      <c r="D444" s="1953"/>
      <c r="E444" s="1953"/>
      <c r="F444" s="1224" t="s">
        <v>201</v>
      </c>
      <c r="G444" s="1224"/>
      <c r="H444" s="1224"/>
      <c r="I444" s="1224" t="s">
        <v>9377</v>
      </c>
      <c r="J444" s="1225">
        <v>119.17</v>
      </c>
      <c r="K444" s="1224"/>
      <c r="L444" s="1225">
        <v>367.88</v>
      </c>
      <c r="M444" s="1224"/>
      <c r="N444" s="1226"/>
      <c r="T444" s="1220"/>
      <c r="U444" s="1221"/>
      <c r="V444" s="1221" t="s">
        <v>9376</v>
      </c>
      <c r="AB444" s="1221"/>
      <c r="AC444" s="1221"/>
      <c r="AE444" s="1221"/>
      <c r="AF444" s="1261"/>
    </row>
    <row r="445" spans="1:32" s="1194" customFormat="1" ht="12" x14ac:dyDescent="0.2">
      <c r="A445" s="1238"/>
      <c r="B445" s="1239"/>
      <c r="C445" s="1196" t="s">
        <v>717</v>
      </c>
      <c r="D445" s="1240"/>
      <c r="E445" s="1240"/>
      <c r="F445" s="1241"/>
      <c r="G445" s="1241"/>
      <c r="H445" s="1241"/>
      <c r="I445" s="1241"/>
      <c r="J445" s="1242"/>
      <c r="K445" s="1241"/>
      <c r="L445" s="1242"/>
      <c r="M445" s="1243"/>
      <c r="N445" s="1244"/>
      <c r="T445" s="1220"/>
      <c r="U445" s="1221"/>
      <c r="V445" s="1221"/>
      <c r="AB445" s="1221"/>
      <c r="AC445" s="1221"/>
      <c r="AE445" s="1221"/>
      <c r="AF445" s="1261"/>
    </row>
    <row r="446" spans="1:32" s="1194" customFormat="1" ht="12" x14ac:dyDescent="0.2">
      <c r="A446" s="1227"/>
      <c r="B446" s="1228"/>
      <c r="C446" s="1945" t="s">
        <v>9378</v>
      </c>
      <c r="D446" s="1945"/>
      <c r="E446" s="1945"/>
      <c r="F446" s="1945"/>
      <c r="G446" s="1945"/>
      <c r="H446" s="1945"/>
      <c r="I446" s="1945"/>
      <c r="J446" s="1945"/>
      <c r="K446" s="1945"/>
      <c r="L446" s="1945"/>
      <c r="M446" s="1945"/>
      <c r="N446" s="1954"/>
      <c r="T446" s="1220"/>
      <c r="U446" s="1221"/>
      <c r="V446" s="1221"/>
      <c r="W446" s="1198" t="s">
        <v>9378</v>
      </c>
      <c r="AB446" s="1221"/>
      <c r="AC446" s="1221"/>
      <c r="AE446" s="1221"/>
      <c r="AF446" s="1261"/>
    </row>
    <row r="447" spans="1:32" s="1194" customFormat="1" ht="67.5" x14ac:dyDescent="0.2">
      <c r="A447" s="1222" t="s">
        <v>782</v>
      </c>
      <c r="B447" s="1223" t="s">
        <v>1616</v>
      </c>
      <c r="C447" s="1953" t="s">
        <v>1617</v>
      </c>
      <c r="D447" s="1953"/>
      <c r="E447" s="1953"/>
      <c r="F447" s="1224" t="s">
        <v>201</v>
      </c>
      <c r="G447" s="1224"/>
      <c r="H447" s="1224"/>
      <c r="I447" s="1224" t="s">
        <v>9379</v>
      </c>
      <c r="J447" s="1225">
        <v>90.45</v>
      </c>
      <c r="K447" s="1224"/>
      <c r="L447" s="1225">
        <v>482.46</v>
      </c>
      <c r="M447" s="1224"/>
      <c r="N447" s="1226"/>
      <c r="T447" s="1220"/>
      <c r="U447" s="1221"/>
      <c r="V447" s="1221" t="s">
        <v>1617</v>
      </c>
      <c r="AB447" s="1221"/>
      <c r="AC447" s="1221"/>
      <c r="AE447" s="1221"/>
      <c r="AF447" s="1261"/>
    </row>
    <row r="448" spans="1:32" s="1194" customFormat="1" ht="12" x14ac:dyDescent="0.2">
      <c r="A448" s="1238"/>
      <c r="B448" s="1239"/>
      <c r="C448" s="1196" t="s">
        <v>717</v>
      </c>
      <c r="D448" s="1240"/>
      <c r="E448" s="1240"/>
      <c r="F448" s="1241"/>
      <c r="G448" s="1241"/>
      <c r="H448" s="1241"/>
      <c r="I448" s="1241"/>
      <c r="J448" s="1242"/>
      <c r="K448" s="1241"/>
      <c r="L448" s="1242"/>
      <c r="M448" s="1243"/>
      <c r="N448" s="1244"/>
      <c r="T448" s="1220"/>
      <c r="U448" s="1221"/>
      <c r="V448" s="1221"/>
      <c r="AB448" s="1221"/>
      <c r="AC448" s="1221"/>
      <c r="AE448" s="1221"/>
      <c r="AF448" s="1261"/>
    </row>
    <row r="449" spans="1:32" s="1194" customFormat="1" ht="12" x14ac:dyDescent="0.2">
      <c r="A449" s="1227"/>
      <c r="B449" s="1228"/>
      <c r="C449" s="1945" t="s">
        <v>9380</v>
      </c>
      <c r="D449" s="1945"/>
      <c r="E449" s="1945"/>
      <c r="F449" s="1945"/>
      <c r="G449" s="1945"/>
      <c r="H449" s="1945"/>
      <c r="I449" s="1945"/>
      <c r="J449" s="1945"/>
      <c r="K449" s="1945"/>
      <c r="L449" s="1945"/>
      <c r="M449" s="1945"/>
      <c r="N449" s="1954"/>
      <c r="T449" s="1220"/>
      <c r="U449" s="1221"/>
      <c r="V449" s="1221"/>
      <c r="W449" s="1198" t="s">
        <v>9380</v>
      </c>
      <c r="AB449" s="1221"/>
      <c r="AC449" s="1221"/>
      <c r="AE449" s="1221"/>
      <c r="AF449" s="1261"/>
    </row>
    <row r="450" spans="1:32" s="1194" customFormat="1" ht="78.75" x14ac:dyDescent="0.2">
      <c r="A450" s="1222" t="s">
        <v>501</v>
      </c>
      <c r="B450" s="1223" t="s">
        <v>1133</v>
      </c>
      <c r="C450" s="1953" t="s">
        <v>1618</v>
      </c>
      <c r="D450" s="1953"/>
      <c r="E450" s="1953"/>
      <c r="F450" s="1224" t="s">
        <v>201</v>
      </c>
      <c r="G450" s="1224"/>
      <c r="H450" s="1224"/>
      <c r="I450" s="1224" t="s">
        <v>1619</v>
      </c>
      <c r="J450" s="1225">
        <v>48.81</v>
      </c>
      <c r="K450" s="1224"/>
      <c r="L450" s="1225">
        <v>3044.28</v>
      </c>
      <c r="M450" s="1224"/>
      <c r="N450" s="1226"/>
      <c r="T450" s="1220"/>
      <c r="U450" s="1221"/>
      <c r="V450" s="1221" t="s">
        <v>1618</v>
      </c>
      <c r="AB450" s="1221"/>
      <c r="AC450" s="1221"/>
      <c r="AE450" s="1221"/>
      <c r="AF450" s="1261"/>
    </row>
    <row r="451" spans="1:32" s="1194" customFormat="1" ht="12" x14ac:dyDescent="0.2">
      <c r="A451" s="1238"/>
      <c r="B451" s="1239"/>
      <c r="C451" s="1196" t="s">
        <v>717</v>
      </c>
      <c r="D451" s="1240"/>
      <c r="E451" s="1240"/>
      <c r="F451" s="1241"/>
      <c r="G451" s="1241"/>
      <c r="H451" s="1241"/>
      <c r="I451" s="1241"/>
      <c r="J451" s="1242"/>
      <c r="K451" s="1241"/>
      <c r="L451" s="1242"/>
      <c r="M451" s="1243"/>
      <c r="N451" s="1244"/>
      <c r="T451" s="1220"/>
      <c r="U451" s="1221"/>
      <c r="V451" s="1221"/>
      <c r="AB451" s="1221"/>
      <c r="AC451" s="1221"/>
      <c r="AE451" s="1221"/>
      <c r="AF451" s="1261"/>
    </row>
    <row r="452" spans="1:32" s="1194" customFormat="1" ht="45" x14ac:dyDescent="0.2">
      <c r="A452" s="1222" t="s">
        <v>784</v>
      </c>
      <c r="B452" s="1223" t="s">
        <v>4945</v>
      </c>
      <c r="C452" s="1953" t="s">
        <v>9381</v>
      </c>
      <c r="D452" s="1953"/>
      <c r="E452" s="1953"/>
      <c r="F452" s="1224" t="s">
        <v>201</v>
      </c>
      <c r="G452" s="1224"/>
      <c r="H452" s="1224"/>
      <c r="I452" s="1224" t="s">
        <v>695</v>
      </c>
      <c r="J452" s="1225">
        <v>170.85</v>
      </c>
      <c r="K452" s="1224"/>
      <c r="L452" s="1225">
        <v>3.42</v>
      </c>
      <c r="M452" s="1224"/>
      <c r="N452" s="1226"/>
      <c r="T452" s="1220"/>
      <c r="U452" s="1221"/>
      <c r="V452" s="1221" t="s">
        <v>9381</v>
      </c>
      <c r="AB452" s="1221"/>
      <c r="AC452" s="1221"/>
      <c r="AE452" s="1221"/>
      <c r="AF452" s="1261"/>
    </row>
    <row r="453" spans="1:32" s="1194" customFormat="1" ht="12" x14ac:dyDescent="0.2">
      <c r="A453" s="1238"/>
      <c r="B453" s="1239"/>
      <c r="C453" s="1196" t="s">
        <v>209</v>
      </c>
      <c r="D453" s="1240"/>
      <c r="E453" s="1240"/>
      <c r="F453" s="1241"/>
      <c r="G453" s="1241"/>
      <c r="H453" s="1241"/>
      <c r="I453" s="1241"/>
      <c r="J453" s="1242"/>
      <c r="K453" s="1241"/>
      <c r="L453" s="1242"/>
      <c r="M453" s="1243"/>
      <c r="N453" s="1244"/>
      <c r="T453" s="1220"/>
      <c r="U453" s="1221"/>
      <c r="V453" s="1221"/>
      <c r="AB453" s="1221"/>
      <c r="AC453" s="1221"/>
      <c r="AE453" s="1221"/>
      <c r="AF453" s="1261"/>
    </row>
    <row r="454" spans="1:32" s="1194" customFormat="1" ht="1.5" customHeight="1" x14ac:dyDescent="0.2">
      <c r="A454" s="1241"/>
      <c r="B454" s="1239"/>
      <c r="C454" s="1239"/>
      <c r="D454" s="1239"/>
      <c r="E454" s="1239"/>
      <c r="F454" s="1241"/>
      <c r="G454" s="1241"/>
      <c r="H454" s="1241"/>
      <c r="I454" s="1241"/>
      <c r="J454" s="1245"/>
      <c r="K454" s="1241"/>
      <c r="L454" s="1245"/>
      <c r="M454" s="1232"/>
      <c r="N454" s="1245"/>
      <c r="T454" s="1220"/>
      <c r="U454" s="1221"/>
      <c r="V454" s="1221"/>
      <c r="AB454" s="1221"/>
      <c r="AC454" s="1221"/>
      <c r="AE454" s="1221"/>
      <c r="AF454" s="1261"/>
    </row>
    <row r="455" spans="1:32" s="1194" customFormat="1" ht="22.5" x14ac:dyDescent="0.2">
      <c r="A455" s="1246"/>
      <c r="B455" s="1247"/>
      <c r="C455" s="1953" t="s">
        <v>1620</v>
      </c>
      <c r="D455" s="1953"/>
      <c r="E455" s="1953"/>
      <c r="F455" s="1953"/>
      <c r="G455" s="1953"/>
      <c r="H455" s="1953"/>
      <c r="I455" s="1953"/>
      <c r="J455" s="1953"/>
      <c r="K455" s="1953"/>
      <c r="L455" s="1248"/>
      <c r="M455" s="1249"/>
      <c r="N455" s="1250"/>
      <c r="T455" s="1220"/>
      <c r="U455" s="1221"/>
      <c r="V455" s="1221"/>
      <c r="AB455" s="1221"/>
      <c r="AC455" s="1221" t="s">
        <v>1620</v>
      </c>
      <c r="AE455" s="1221"/>
      <c r="AF455" s="1261"/>
    </row>
    <row r="456" spans="1:32" s="1194" customFormat="1" ht="12" x14ac:dyDescent="0.2">
      <c r="A456" s="1251"/>
      <c r="B456" s="1230"/>
      <c r="C456" s="1945" t="s">
        <v>403</v>
      </c>
      <c r="D456" s="1945"/>
      <c r="E456" s="1945"/>
      <c r="F456" s="1945"/>
      <c r="G456" s="1945"/>
      <c r="H456" s="1945"/>
      <c r="I456" s="1945"/>
      <c r="J456" s="1945"/>
      <c r="K456" s="1945"/>
      <c r="L456" s="1252">
        <v>3898.04</v>
      </c>
      <c r="M456" s="1253"/>
      <c r="N456" s="1254"/>
      <c r="T456" s="1220"/>
      <c r="U456" s="1221"/>
      <c r="V456" s="1221"/>
      <c r="AB456" s="1221"/>
      <c r="AC456" s="1221"/>
      <c r="AD456" s="1198" t="s">
        <v>403</v>
      </c>
      <c r="AE456" s="1221"/>
      <c r="AF456" s="1261"/>
    </row>
    <row r="457" spans="1:32" s="1194" customFormat="1" ht="12" x14ac:dyDescent="0.2">
      <c r="A457" s="1251"/>
      <c r="B457" s="1230"/>
      <c r="C457" s="1945" t="s">
        <v>8993</v>
      </c>
      <c r="D457" s="1945"/>
      <c r="E457" s="1945"/>
      <c r="F457" s="1945"/>
      <c r="G457" s="1945"/>
      <c r="H457" s="1945"/>
      <c r="I457" s="1945"/>
      <c r="J457" s="1945"/>
      <c r="K457" s="1945"/>
      <c r="L457" s="1252"/>
      <c r="M457" s="1253"/>
      <c r="N457" s="1254"/>
      <c r="T457" s="1220"/>
      <c r="U457" s="1221"/>
      <c r="V457" s="1221"/>
      <c r="AB457" s="1221"/>
      <c r="AC457" s="1221"/>
      <c r="AD457" s="1198" t="s">
        <v>8993</v>
      </c>
      <c r="AE457" s="1221"/>
      <c r="AF457" s="1261"/>
    </row>
    <row r="458" spans="1:32" s="1194" customFormat="1" ht="12" x14ac:dyDescent="0.2">
      <c r="A458" s="1251"/>
      <c r="B458" s="1230"/>
      <c r="C458" s="1945" t="s">
        <v>480</v>
      </c>
      <c r="D458" s="1945"/>
      <c r="E458" s="1945"/>
      <c r="F458" s="1945"/>
      <c r="G458" s="1945"/>
      <c r="H458" s="1945"/>
      <c r="I458" s="1945"/>
      <c r="J458" s="1945"/>
      <c r="K458" s="1945"/>
      <c r="L458" s="1252">
        <v>3898.04</v>
      </c>
      <c r="M458" s="1253"/>
      <c r="N458" s="1254"/>
      <c r="T458" s="1220"/>
      <c r="U458" s="1221"/>
      <c r="V458" s="1221"/>
      <c r="AB458" s="1221"/>
      <c r="AC458" s="1221"/>
      <c r="AD458" s="1198" t="s">
        <v>480</v>
      </c>
      <c r="AE458" s="1221"/>
      <c r="AF458" s="1261"/>
    </row>
    <row r="459" spans="1:32" s="1194" customFormat="1" ht="12" x14ac:dyDescent="0.2">
      <c r="A459" s="1251"/>
      <c r="B459" s="1230"/>
      <c r="C459" s="1945" t="s">
        <v>407</v>
      </c>
      <c r="D459" s="1945"/>
      <c r="E459" s="1945"/>
      <c r="F459" s="1945"/>
      <c r="G459" s="1945"/>
      <c r="H459" s="1945"/>
      <c r="I459" s="1945"/>
      <c r="J459" s="1945"/>
      <c r="K459" s="1945"/>
      <c r="L459" s="1252">
        <v>3898.04</v>
      </c>
      <c r="M459" s="1253"/>
      <c r="N459" s="1254"/>
      <c r="T459" s="1220"/>
      <c r="U459" s="1221"/>
      <c r="V459" s="1221"/>
      <c r="AB459" s="1221"/>
      <c r="AC459" s="1221"/>
      <c r="AD459" s="1198" t="s">
        <v>407</v>
      </c>
      <c r="AE459" s="1221"/>
      <c r="AF459" s="1261"/>
    </row>
    <row r="460" spans="1:32" s="1194" customFormat="1" ht="12" x14ac:dyDescent="0.2">
      <c r="A460" s="1251"/>
      <c r="B460" s="1230"/>
      <c r="C460" s="1945" t="s">
        <v>8993</v>
      </c>
      <c r="D460" s="1945"/>
      <c r="E460" s="1945"/>
      <c r="F460" s="1945"/>
      <c r="G460" s="1945"/>
      <c r="H460" s="1945"/>
      <c r="I460" s="1945"/>
      <c r="J460" s="1945"/>
      <c r="K460" s="1945"/>
      <c r="L460" s="1252"/>
      <c r="M460" s="1253"/>
      <c r="N460" s="1254"/>
      <c r="T460" s="1220"/>
      <c r="U460" s="1221"/>
      <c r="V460" s="1221"/>
      <c r="AB460" s="1221"/>
      <c r="AC460" s="1221"/>
      <c r="AD460" s="1198" t="s">
        <v>8993</v>
      </c>
      <c r="AE460" s="1221"/>
      <c r="AF460" s="1261"/>
    </row>
    <row r="461" spans="1:32" s="1194" customFormat="1" ht="12" x14ac:dyDescent="0.2">
      <c r="A461" s="1251"/>
      <c r="B461" s="1230"/>
      <c r="C461" s="1945" t="s">
        <v>547</v>
      </c>
      <c r="D461" s="1945"/>
      <c r="E461" s="1945"/>
      <c r="F461" s="1945"/>
      <c r="G461" s="1945"/>
      <c r="H461" s="1945"/>
      <c r="I461" s="1945"/>
      <c r="J461" s="1945"/>
      <c r="K461" s="1945"/>
      <c r="L461" s="1252">
        <v>3898.04</v>
      </c>
      <c r="M461" s="1253"/>
      <c r="N461" s="1254"/>
      <c r="T461" s="1220"/>
      <c r="U461" s="1221"/>
      <c r="V461" s="1221"/>
      <c r="AB461" s="1221"/>
      <c r="AC461" s="1221"/>
      <c r="AD461" s="1198" t="s">
        <v>547</v>
      </c>
      <c r="AE461" s="1221"/>
      <c r="AF461" s="1261"/>
    </row>
    <row r="462" spans="1:32" s="1194" customFormat="1" ht="22.5" x14ac:dyDescent="0.2">
      <c r="A462" s="1251"/>
      <c r="B462" s="1245"/>
      <c r="C462" s="1963" t="s">
        <v>1621</v>
      </c>
      <c r="D462" s="1963"/>
      <c r="E462" s="1963"/>
      <c r="F462" s="1963"/>
      <c r="G462" s="1963"/>
      <c r="H462" s="1963"/>
      <c r="I462" s="1963"/>
      <c r="J462" s="1963"/>
      <c r="K462" s="1963"/>
      <c r="L462" s="1255">
        <v>3898.04</v>
      </c>
      <c r="M462" s="1256"/>
      <c r="N462" s="1257"/>
      <c r="T462" s="1220"/>
      <c r="U462" s="1221"/>
      <c r="V462" s="1221"/>
      <c r="AB462" s="1221"/>
      <c r="AC462" s="1221"/>
      <c r="AE462" s="1221" t="s">
        <v>1621</v>
      </c>
      <c r="AF462" s="1261"/>
    </row>
    <row r="463" spans="1:32" s="1194" customFormat="1" ht="12" x14ac:dyDescent="0.2">
      <c r="A463" s="1956" t="s">
        <v>9382</v>
      </c>
      <c r="B463" s="1957"/>
      <c r="C463" s="1957"/>
      <c r="D463" s="1957"/>
      <c r="E463" s="1957"/>
      <c r="F463" s="1957"/>
      <c r="G463" s="1957"/>
      <c r="H463" s="1957"/>
      <c r="I463" s="1957"/>
      <c r="J463" s="1957"/>
      <c r="K463" s="1957"/>
      <c r="L463" s="1957"/>
      <c r="M463" s="1957"/>
      <c r="N463" s="1958"/>
      <c r="T463" s="1220" t="s">
        <v>9382</v>
      </c>
      <c r="U463" s="1221"/>
      <c r="V463" s="1221"/>
      <c r="AB463" s="1221"/>
      <c r="AC463" s="1221"/>
      <c r="AE463" s="1221"/>
      <c r="AF463" s="1261"/>
    </row>
    <row r="464" spans="1:32" s="1194" customFormat="1" ht="67.5" x14ac:dyDescent="0.2">
      <c r="A464" s="1222" t="s">
        <v>1679</v>
      </c>
      <c r="B464" s="1223" t="s">
        <v>9383</v>
      </c>
      <c r="C464" s="1953" t="s">
        <v>9384</v>
      </c>
      <c r="D464" s="1953"/>
      <c r="E464" s="1953"/>
      <c r="F464" s="1224" t="s">
        <v>9385</v>
      </c>
      <c r="G464" s="1224"/>
      <c r="H464" s="1224"/>
      <c r="I464" s="1224" t="s">
        <v>9386</v>
      </c>
      <c r="J464" s="1225"/>
      <c r="K464" s="1224"/>
      <c r="L464" s="1225"/>
      <c r="M464" s="1224"/>
      <c r="N464" s="1226"/>
      <c r="T464" s="1220"/>
      <c r="U464" s="1221"/>
      <c r="V464" s="1221" t="s">
        <v>9384</v>
      </c>
      <c r="AB464" s="1221"/>
      <c r="AC464" s="1221"/>
      <c r="AE464" s="1221"/>
      <c r="AF464" s="1261"/>
    </row>
    <row r="465" spans="1:32" s="1194" customFormat="1" ht="12" x14ac:dyDescent="0.2">
      <c r="A465" s="1227"/>
      <c r="B465" s="1228"/>
      <c r="C465" s="1945" t="s">
        <v>9387</v>
      </c>
      <c r="D465" s="1945"/>
      <c r="E465" s="1945"/>
      <c r="F465" s="1945"/>
      <c r="G465" s="1945"/>
      <c r="H465" s="1945"/>
      <c r="I465" s="1945"/>
      <c r="J465" s="1945"/>
      <c r="K465" s="1945"/>
      <c r="L465" s="1945"/>
      <c r="M465" s="1945"/>
      <c r="N465" s="1954"/>
      <c r="T465" s="1220"/>
      <c r="U465" s="1221"/>
      <c r="V465" s="1221"/>
      <c r="W465" s="1198" t="s">
        <v>9387</v>
      </c>
      <c r="AB465" s="1221"/>
      <c r="AC465" s="1221"/>
      <c r="AE465" s="1221"/>
      <c r="AF465" s="1261"/>
    </row>
    <row r="466" spans="1:32" s="1194" customFormat="1" ht="12" x14ac:dyDescent="0.2">
      <c r="A466" s="1231"/>
      <c r="B466" s="1230" t="s">
        <v>185</v>
      </c>
      <c r="C466" s="1945" t="s">
        <v>312</v>
      </c>
      <c r="D466" s="1945"/>
      <c r="E466" s="1945"/>
      <c r="F466" s="1232"/>
      <c r="G466" s="1232"/>
      <c r="H466" s="1232"/>
      <c r="I466" s="1232"/>
      <c r="J466" s="1233">
        <v>22.09</v>
      </c>
      <c r="K466" s="1232"/>
      <c r="L466" s="1233">
        <v>7687.32</v>
      </c>
      <c r="M466" s="1232"/>
      <c r="N466" s="1234"/>
      <c r="T466" s="1220"/>
      <c r="U466" s="1221"/>
      <c r="V466" s="1221"/>
      <c r="Y466" s="1198" t="s">
        <v>312</v>
      </c>
      <c r="AB466" s="1221"/>
      <c r="AC466" s="1221"/>
      <c r="AE466" s="1221"/>
      <c r="AF466" s="1261"/>
    </row>
    <row r="467" spans="1:32" s="1194" customFormat="1" ht="12" x14ac:dyDescent="0.2">
      <c r="A467" s="1231"/>
      <c r="B467" s="1230" t="s">
        <v>186</v>
      </c>
      <c r="C467" s="1945" t="s">
        <v>344</v>
      </c>
      <c r="D467" s="1945"/>
      <c r="E467" s="1945"/>
      <c r="F467" s="1232"/>
      <c r="G467" s="1232"/>
      <c r="H467" s="1232"/>
      <c r="I467" s="1232"/>
      <c r="J467" s="1233">
        <v>1536.59</v>
      </c>
      <c r="K467" s="1232"/>
      <c r="L467" s="1233">
        <v>534733.31999999995</v>
      </c>
      <c r="M467" s="1232"/>
      <c r="N467" s="1234"/>
      <c r="T467" s="1220"/>
      <c r="U467" s="1221"/>
      <c r="V467" s="1221"/>
      <c r="Y467" s="1198" t="s">
        <v>344</v>
      </c>
      <c r="AB467" s="1221"/>
      <c r="AC467" s="1221"/>
      <c r="AE467" s="1221"/>
      <c r="AF467" s="1261"/>
    </row>
    <row r="468" spans="1:32" s="1194" customFormat="1" ht="12" x14ac:dyDescent="0.2">
      <c r="A468" s="1231"/>
      <c r="B468" s="1230" t="s">
        <v>187</v>
      </c>
      <c r="C468" s="1945" t="s">
        <v>345</v>
      </c>
      <c r="D468" s="1945"/>
      <c r="E468" s="1945"/>
      <c r="F468" s="1232"/>
      <c r="G468" s="1232"/>
      <c r="H468" s="1232"/>
      <c r="I468" s="1232"/>
      <c r="J468" s="1233">
        <v>19.91</v>
      </c>
      <c r="K468" s="1232"/>
      <c r="L468" s="1233">
        <v>6928.68</v>
      </c>
      <c r="M468" s="1232"/>
      <c r="N468" s="1234"/>
      <c r="T468" s="1220"/>
      <c r="U468" s="1221"/>
      <c r="V468" s="1221"/>
      <c r="Y468" s="1198" t="s">
        <v>345</v>
      </c>
      <c r="AB468" s="1221"/>
      <c r="AC468" s="1221"/>
      <c r="AE468" s="1221"/>
      <c r="AF468" s="1261"/>
    </row>
    <row r="469" spans="1:32" s="1194" customFormat="1" ht="12" x14ac:dyDescent="0.2">
      <c r="A469" s="1231"/>
      <c r="B469" s="1230" t="s">
        <v>188</v>
      </c>
      <c r="C469" s="1945" t="s">
        <v>475</v>
      </c>
      <c r="D469" s="1945"/>
      <c r="E469" s="1945"/>
      <c r="F469" s="1232"/>
      <c r="G469" s="1232"/>
      <c r="H469" s="1232"/>
      <c r="I469" s="1232"/>
      <c r="J469" s="1233">
        <v>46.54</v>
      </c>
      <c r="K469" s="1232"/>
      <c r="L469" s="1233">
        <v>16195.92</v>
      </c>
      <c r="M469" s="1232"/>
      <c r="N469" s="1234"/>
      <c r="T469" s="1220"/>
      <c r="U469" s="1221"/>
      <c r="V469" s="1221"/>
      <c r="Y469" s="1198" t="s">
        <v>475</v>
      </c>
      <c r="AB469" s="1221"/>
      <c r="AC469" s="1221"/>
      <c r="AE469" s="1221"/>
      <c r="AF469" s="1261"/>
    </row>
    <row r="470" spans="1:32" s="1194" customFormat="1" ht="12" x14ac:dyDescent="0.2">
      <c r="A470" s="1227"/>
      <c r="B470" s="1258" t="s">
        <v>9388</v>
      </c>
      <c r="C470" s="1964" t="s">
        <v>9389</v>
      </c>
      <c r="D470" s="1964"/>
      <c r="E470" s="1964"/>
      <c r="F470" s="1259" t="s">
        <v>617</v>
      </c>
      <c r="G470" s="1259" t="s">
        <v>525</v>
      </c>
      <c r="H470" s="1259"/>
      <c r="I470" s="1259" t="s">
        <v>525</v>
      </c>
      <c r="J470" s="1230"/>
      <c r="K470" s="1232"/>
      <c r="L470" s="1233"/>
      <c r="M470" s="1232"/>
      <c r="N470" s="1260"/>
      <c r="T470" s="1220"/>
      <c r="U470" s="1221"/>
      <c r="V470" s="1221"/>
      <c r="AB470" s="1221"/>
      <c r="AC470" s="1221"/>
      <c r="AE470" s="1221"/>
      <c r="AF470" s="1261" t="s">
        <v>9389</v>
      </c>
    </row>
    <row r="471" spans="1:32" s="1194" customFormat="1" ht="12" x14ac:dyDescent="0.2">
      <c r="A471" s="1227"/>
      <c r="B471" s="1258" t="s">
        <v>9390</v>
      </c>
      <c r="C471" s="1964" t="s">
        <v>9391</v>
      </c>
      <c r="D471" s="1964"/>
      <c r="E471" s="1964"/>
      <c r="F471" s="1259" t="s">
        <v>694</v>
      </c>
      <c r="G471" s="1259" t="s">
        <v>9392</v>
      </c>
      <c r="H471" s="1259"/>
      <c r="I471" s="1259" t="s">
        <v>9393</v>
      </c>
      <c r="J471" s="1230"/>
      <c r="K471" s="1232"/>
      <c r="L471" s="1233"/>
      <c r="M471" s="1232"/>
      <c r="N471" s="1260"/>
      <c r="T471" s="1220"/>
      <c r="U471" s="1221"/>
      <c r="V471" s="1221"/>
      <c r="AB471" s="1221"/>
      <c r="AC471" s="1221"/>
      <c r="AE471" s="1221"/>
      <c r="AF471" s="1261" t="s">
        <v>9391</v>
      </c>
    </row>
    <row r="472" spans="1:32" s="1194" customFormat="1" ht="56.25" x14ac:dyDescent="0.2">
      <c r="A472" s="1227"/>
      <c r="B472" s="1258" t="s">
        <v>9394</v>
      </c>
      <c r="C472" s="1964" t="s">
        <v>9395</v>
      </c>
      <c r="D472" s="1964"/>
      <c r="E472" s="1964"/>
      <c r="F472" s="1259" t="s">
        <v>483</v>
      </c>
      <c r="G472" s="1259" t="s">
        <v>695</v>
      </c>
      <c r="H472" s="1259"/>
      <c r="I472" s="1259" t="s">
        <v>9396</v>
      </c>
      <c r="J472" s="1230"/>
      <c r="K472" s="1232"/>
      <c r="L472" s="1233"/>
      <c r="M472" s="1232"/>
      <c r="N472" s="1260"/>
      <c r="T472" s="1220"/>
      <c r="U472" s="1221"/>
      <c r="V472" s="1221"/>
      <c r="AB472" s="1221"/>
      <c r="AC472" s="1221"/>
      <c r="AE472" s="1221"/>
      <c r="AF472" s="1261" t="s">
        <v>9395</v>
      </c>
    </row>
    <row r="473" spans="1:32" s="1194" customFormat="1" ht="12" x14ac:dyDescent="0.2">
      <c r="A473" s="1231"/>
      <c r="B473" s="1230"/>
      <c r="C473" s="1945" t="s">
        <v>314</v>
      </c>
      <c r="D473" s="1945"/>
      <c r="E473" s="1945"/>
      <c r="F473" s="1232" t="s">
        <v>315</v>
      </c>
      <c r="G473" s="1232" t="s">
        <v>9397</v>
      </c>
      <c r="H473" s="1232"/>
      <c r="I473" s="1232" t="s">
        <v>9398</v>
      </c>
      <c r="J473" s="1233"/>
      <c r="K473" s="1232"/>
      <c r="L473" s="1233"/>
      <c r="M473" s="1232"/>
      <c r="N473" s="1234"/>
      <c r="T473" s="1220"/>
      <c r="U473" s="1221"/>
      <c r="V473" s="1221"/>
      <c r="Z473" s="1198" t="s">
        <v>314</v>
      </c>
      <c r="AB473" s="1221"/>
      <c r="AC473" s="1221"/>
      <c r="AE473" s="1221"/>
      <c r="AF473" s="1261"/>
    </row>
    <row r="474" spans="1:32" s="1194" customFormat="1" ht="12" x14ac:dyDescent="0.2">
      <c r="A474" s="1231"/>
      <c r="B474" s="1230"/>
      <c r="C474" s="1945" t="s">
        <v>348</v>
      </c>
      <c r="D474" s="1945"/>
      <c r="E474" s="1945"/>
      <c r="F474" s="1232" t="s">
        <v>315</v>
      </c>
      <c r="G474" s="1232" t="s">
        <v>397</v>
      </c>
      <c r="H474" s="1232"/>
      <c r="I474" s="1232" t="s">
        <v>9399</v>
      </c>
      <c r="J474" s="1233"/>
      <c r="K474" s="1232"/>
      <c r="L474" s="1233"/>
      <c r="M474" s="1232"/>
      <c r="N474" s="1234"/>
      <c r="T474" s="1220"/>
      <c r="U474" s="1221"/>
      <c r="V474" s="1221"/>
      <c r="Z474" s="1198" t="s">
        <v>348</v>
      </c>
      <c r="AB474" s="1221"/>
      <c r="AC474" s="1221"/>
      <c r="AE474" s="1221"/>
      <c r="AF474" s="1261"/>
    </row>
    <row r="475" spans="1:32" s="1194" customFormat="1" ht="12" x14ac:dyDescent="0.2">
      <c r="A475" s="1231"/>
      <c r="B475" s="1230"/>
      <c r="C475" s="1962" t="s">
        <v>318</v>
      </c>
      <c r="D475" s="1962"/>
      <c r="E475" s="1962"/>
      <c r="F475" s="1235"/>
      <c r="G475" s="1235"/>
      <c r="H475" s="1235"/>
      <c r="I475" s="1235"/>
      <c r="J475" s="1236">
        <v>1605.22</v>
      </c>
      <c r="K475" s="1235"/>
      <c r="L475" s="1236">
        <v>558616.56000000006</v>
      </c>
      <c r="M475" s="1235"/>
      <c r="N475" s="1237"/>
      <c r="T475" s="1220"/>
      <c r="U475" s="1221"/>
      <c r="V475" s="1221"/>
      <c r="AA475" s="1198" t="s">
        <v>318</v>
      </c>
      <c r="AB475" s="1221"/>
      <c r="AC475" s="1221"/>
      <c r="AE475" s="1221"/>
      <c r="AF475" s="1261"/>
    </row>
    <row r="476" spans="1:32" s="1194" customFormat="1" ht="12" x14ac:dyDescent="0.2">
      <c r="A476" s="1231"/>
      <c r="B476" s="1230"/>
      <c r="C476" s="1945" t="s">
        <v>319</v>
      </c>
      <c r="D476" s="1945"/>
      <c r="E476" s="1945"/>
      <c r="F476" s="1232"/>
      <c r="G476" s="1232"/>
      <c r="H476" s="1232"/>
      <c r="I476" s="1232"/>
      <c r="J476" s="1233"/>
      <c r="K476" s="1232"/>
      <c r="L476" s="1233">
        <v>14616</v>
      </c>
      <c r="M476" s="1232"/>
      <c r="N476" s="1234"/>
      <c r="T476" s="1220"/>
      <c r="U476" s="1221"/>
      <c r="V476" s="1221"/>
      <c r="Z476" s="1198" t="s">
        <v>319</v>
      </c>
      <c r="AB476" s="1221"/>
      <c r="AC476" s="1221"/>
      <c r="AE476" s="1221"/>
      <c r="AF476" s="1261"/>
    </row>
    <row r="477" spans="1:32" s="1194" customFormat="1" ht="33.75" x14ac:dyDescent="0.2">
      <c r="A477" s="1231"/>
      <c r="B477" s="1230" t="s">
        <v>9400</v>
      </c>
      <c r="C477" s="1945" t="s">
        <v>9401</v>
      </c>
      <c r="D477" s="1945"/>
      <c r="E477" s="1945"/>
      <c r="F477" s="1232" t="s">
        <v>322</v>
      </c>
      <c r="G477" s="1232" t="s">
        <v>1484</v>
      </c>
      <c r="H477" s="1232"/>
      <c r="I477" s="1232" t="s">
        <v>1484</v>
      </c>
      <c r="J477" s="1233"/>
      <c r="K477" s="1232"/>
      <c r="L477" s="1233">
        <v>13739.04</v>
      </c>
      <c r="M477" s="1232"/>
      <c r="N477" s="1234"/>
      <c r="T477" s="1220"/>
      <c r="U477" s="1221"/>
      <c r="V477" s="1221"/>
      <c r="Z477" s="1198" t="s">
        <v>9401</v>
      </c>
      <c r="AB477" s="1221"/>
      <c r="AC477" s="1221"/>
      <c r="AE477" s="1221"/>
      <c r="AF477" s="1261"/>
    </row>
    <row r="478" spans="1:32" s="1194" customFormat="1" ht="33.75" x14ac:dyDescent="0.2">
      <c r="A478" s="1231"/>
      <c r="B478" s="1230" t="s">
        <v>9402</v>
      </c>
      <c r="C478" s="1945" t="s">
        <v>9403</v>
      </c>
      <c r="D478" s="1945"/>
      <c r="E478" s="1945"/>
      <c r="F478" s="1232" t="s">
        <v>322</v>
      </c>
      <c r="G478" s="1232" t="s">
        <v>787</v>
      </c>
      <c r="H478" s="1232"/>
      <c r="I478" s="1232" t="s">
        <v>787</v>
      </c>
      <c r="J478" s="1233"/>
      <c r="K478" s="1232"/>
      <c r="L478" s="1233">
        <v>7600.32</v>
      </c>
      <c r="M478" s="1232"/>
      <c r="N478" s="1234"/>
      <c r="T478" s="1220"/>
      <c r="U478" s="1221"/>
      <c r="V478" s="1221"/>
      <c r="Z478" s="1198" t="s">
        <v>9403</v>
      </c>
      <c r="AB478" s="1221"/>
      <c r="AC478" s="1221"/>
      <c r="AE478" s="1221"/>
      <c r="AF478" s="1261"/>
    </row>
    <row r="479" spans="1:32" s="1194" customFormat="1" ht="12" x14ac:dyDescent="0.2">
      <c r="A479" s="1238"/>
      <c r="B479" s="1239"/>
      <c r="C479" s="1953" t="s">
        <v>327</v>
      </c>
      <c r="D479" s="1953"/>
      <c r="E479" s="1953"/>
      <c r="F479" s="1224"/>
      <c r="G479" s="1224"/>
      <c r="H479" s="1224"/>
      <c r="I479" s="1224"/>
      <c r="J479" s="1225"/>
      <c r="K479" s="1224"/>
      <c r="L479" s="1225">
        <v>579955.92000000004</v>
      </c>
      <c r="M479" s="1235"/>
      <c r="N479" s="1226"/>
      <c r="T479" s="1220"/>
      <c r="U479" s="1221"/>
      <c r="V479" s="1221"/>
      <c r="AB479" s="1221" t="s">
        <v>327</v>
      </c>
      <c r="AC479" s="1221"/>
      <c r="AE479" s="1221"/>
      <c r="AF479" s="1261"/>
    </row>
    <row r="480" spans="1:32" s="1194" customFormat="1" ht="33.75" x14ac:dyDescent="0.2">
      <c r="A480" s="1222" t="s">
        <v>786</v>
      </c>
      <c r="B480" s="1223" t="s">
        <v>10130</v>
      </c>
      <c r="C480" s="1953" t="s">
        <v>9404</v>
      </c>
      <c r="D480" s="1953"/>
      <c r="E480" s="1953"/>
      <c r="F480" s="1224" t="s">
        <v>628</v>
      </c>
      <c r="G480" s="1224"/>
      <c r="H480" s="1224"/>
      <c r="I480" s="1224" t="s">
        <v>9405</v>
      </c>
      <c r="J480" s="1225">
        <v>5976.08</v>
      </c>
      <c r="K480" s="1224" t="s">
        <v>716</v>
      </c>
      <c r="L480" s="1225">
        <v>127480.17</v>
      </c>
      <c r="M480" s="1224" t="s">
        <v>9136</v>
      </c>
      <c r="N480" s="1226">
        <v>1060635</v>
      </c>
      <c r="T480" s="1220"/>
      <c r="U480" s="1221"/>
      <c r="V480" s="1221" t="s">
        <v>9404</v>
      </c>
      <c r="AB480" s="1221"/>
      <c r="AC480" s="1221"/>
      <c r="AE480" s="1221"/>
      <c r="AF480" s="1261"/>
    </row>
    <row r="481" spans="1:33" s="1194" customFormat="1" ht="12" x14ac:dyDescent="0.2">
      <c r="A481" s="1238"/>
      <c r="B481" s="1239"/>
      <c r="C481" s="1196" t="s">
        <v>9406</v>
      </c>
      <c r="D481" s="1240"/>
      <c r="E481" s="1240"/>
      <c r="F481" s="1241"/>
      <c r="G481" s="1241"/>
      <c r="H481" s="1241"/>
      <c r="I481" s="1241"/>
      <c r="J481" s="1242"/>
      <c r="K481" s="1241"/>
      <c r="L481" s="1242"/>
      <c r="M481" s="1243"/>
      <c r="N481" s="1244"/>
      <c r="T481" s="1220"/>
      <c r="U481" s="1221"/>
      <c r="V481" s="1221"/>
      <c r="AB481" s="1221"/>
      <c r="AC481" s="1221"/>
      <c r="AE481" s="1221"/>
      <c r="AF481" s="1261"/>
    </row>
    <row r="482" spans="1:33" s="1194" customFormat="1" ht="12" x14ac:dyDescent="0.2">
      <c r="A482" s="1227"/>
      <c r="B482" s="1228"/>
      <c r="C482" s="1945" t="s">
        <v>9407</v>
      </c>
      <c r="D482" s="1945"/>
      <c r="E482" s="1945"/>
      <c r="F482" s="1945"/>
      <c r="G482" s="1945"/>
      <c r="H482" s="1945"/>
      <c r="I482" s="1945"/>
      <c r="J482" s="1945"/>
      <c r="K482" s="1945"/>
      <c r="L482" s="1945"/>
      <c r="M482" s="1945"/>
      <c r="N482" s="1954"/>
      <c r="T482" s="1220"/>
      <c r="U482" s="1221"/>
      <c r="V482" s="1221"/>
      <c r="AB482" s="1221"/>
      <c r="AC482" s="1221"/>
      <c r="AE482" s="1221"/>
      <c r="AF482" s="1261"/>
      <c r="AG482" s="1198" t="s">
        <v>9407</v>
      </c>
    </row>
    <row r="483" spans="1:33" s="1194" customFormat="1" ht="22.5" x14ac:dyDescent="0.2">
      <c r="A483" s="1229"/>
      <c r="B483" s="1230" t="s">
        <v>9408</v>
      </c>
      <c r="C483" s="1945" t="s">
        <v>9409</v>
      </c>
      <c r="D483" s="1945"/>
      <c r="E483" s="1945"/>
      <c r="F483" s="1945"/>
      <c r="G483" s="1945"/>
      <c r="H483" s="1945"/>
      <c r="I483" s="1945"/>
      <c r="J483" s="1945"/>
      <c r="K483" s="1945"/>
      <c r="L483" s="1945"/>
      <c r="M483" s="1945"/>
      <c r="N483" s="1954"/>
      <c r="T483" s="1220"/>
      <c r="U483" s="1221"/>
      <c r="V483" s="1221"/>
      <c r="X483" s="1198" t="s">
        <v>9409</v>
      </c>
      <c r="AB483" s="1221"/>
      <c r="AC483" s="1221"/>
      <c r="AE483" s="1221"/>
      <c r="AF483" s="1261"/>
    </row>
    <row r="484" spans="1:33" s="1194" customFormat="1" ht="33.75" x14ac:dyDescent="0.2">
      <c r="A484" s="1222" t="s">
        <v>787</v>
      </c>
      <c r="B484" s="1223" t="s">
        <v>10131</v>
      </c>
      <c r="C484" s="1953" t="s">
        <v>9410</v>
      </c>
      <c r="D484" s="1953"/>
      <c r="E484" s="1953"/>
      <c r="F484" s="1224" t="s">
        <v>628</v>
      </c>
      <c r="G484" s="1224"/>
      <c r="H484" s="1224"/>
      <c r="I484" s="1224" t="s">
        <v>9405</v>
      </c>
      <c r="J484" s="1225">
        <v>6977.45</v>
      </c>
      <c r="K484" s="1224" t="s">
        <v>716</v>
      </c>
      <c r="L484" s="1225">
        <v>148841.10999999999</v>
      </c>
      <c r="M484" s="1224" t="s">
        <v>9136</v>
      </c>
      <c r="N484" s="1226">
        <v>1238358</v>
      </c>
      <c r="T484" s="1220"/>
      <c r="U484" s="1221"/>
      <c r="V484" s="1221" t="s">
        <v>9410</v>
      </c>
      <c r="AB484" s="1221"/>
      <c r="AC484" s="1221"/>
      <c r="AE484" s="1221"/>
      <c r="AF484" s="1261"/>
    </row>
    <row r="485" spans="1:33" s="1194" customFormat="1" ht="12" x14ac:dyDescent="0.2">
      <c r="A485" s="1238"/>
      <c r="B485" s="1239"/>
      <c r="C485" s="1196" t="s">
        <v>9406</v>
      </c>
      <c r="D485" s="1240"/>
      <c r="E485" s="1240"/>
      <c r="F485" s="1241"/>
      <c r="G485" s="1241"/>
      <c r="H485" s="1241"/>
      <c r="I485" s="1241"/>
      <c r="J485" s="1242"/>
      <c r="K485" s="1241"/>
      <c r="L485" s="1242"/>
      <c r="M485" s="1243"/>
      <c r="N485" s="1244"/>
      <c r="T485" s="1220"/>
      <c r="U485" s="1221"/>
      <c r="V485" s="1221"/>
      <c r="AB485" s="1221"/>
      <c r="AC485" s="1221"/>
      <c r="AE485" s="1221"/>
      <c r="AF485" s="1261"/>
    </row>
    <row r="486" spans="1:33" s="1194" customFormat="1" ht="12" x14ac:dyDescent="0.2">
      <c r="A486" s="1227"/>
      <c r="B486" s="1228"/>
      <c r="C486" s="1945" t="s">
        <v>9411</v>
      </c>
      <c r="D486" s="1945"/>
      <c r="E486" s="1945"/>
      <c r="F486" s="1945"/>
      <c r="G486" s="1945"/>
      <c r="H486" s="1945"/>
      <c r="I486" s="1945"/>
      <c r="J486" s="1945"/>
      <c r="K486" s="1945"/>
      <c r="L486" s="1945"/>
      <c r="M486" s="1945"/>
      <c r="N486" s="1954"/>
      <c r="T486" s="1220"/>
      <c r="U486" s="1221"/>
      <c r="V486" s="1221"/>
      <c r="AB486" s="1221"/>
      <c r="AC486" s="1221"/>
      <c r="AE486" s="1221"/>
      <c r="AF486" s="1261"/>
      <c r="AG486" s="1198" t="s">
        <v>9411</v>
      </c>
    </row>
    <row r="487" spans="1:33" s="1194" customFormat="1" ht="22.5" x14ac:dyDescent="0.2">
      <c r="A487" s="1229"/>
      <c r="B487" s="1230" t="s">
        <v>9408</v>
      </c>
      <c r="C487" s="1945" t="s">
        <v>9409</v>
      </c>
      <c r="D487" s="1945"/>
      <c r="E487" s="1945"/>
      <c r="F487" s="1945"/>
      <c r="G487" s="1945"/>
      <c r="H487" s="1945"/>
      <c r="I487" s="1945"/>
      <c r="J487" s="1945"/>
      <c r="K487" s="1945"/>
      <c r="L487" s="1945"/>
      <c r="M487" s="1945"/>
      <c r="N487" s="1954"/>
      <c r="T487" s="1220"/>
      <c r="U487" s="1221"/>
      <c r="V487" s="1221"/>
      <c r="X487" s="1198" t="s">
        <v>9409</v>
      </c>
      <c r="AB487" s="1221"/>
      <c r="AC487" s="1221"/>
      <c r="AE487" s="1221"/>
      <c r="AF487" s="1261"/>
    </row>
    <row r="488" spans="1:33" s="1194" customFormat="1" ht="33.75" x14ac:dyDescent="0.2">
      <c r="A488" s="1222" t="s">
        <v>624</v>
      </c>
      <c r="B488" s="1223" t="s">
        <v>10132</v>
      </c>
      <c r="C488" s="1953" t="s">
        <v>9412</v>
      </c>
      <c r="D488" s="1953"/>
      <c r="E488" s="1953"/>
      <c r="F488" s="1224" t="s">
        <v>628</v>
      </c>
      <c r="G488" s="1224"/>
      <c r="H488" s="1224"/>
      <c r="I488" s="1224" t="s">
        <v>9405</v>
      </c>
      <c r="J488" s="1225">
        <v>936.99</v>
      </c>
      <c r="K488" s="1224" t="s">
        <v>716</v>
      </c>
      <c r="L488" s="1225">
        <v>19987.62</v>
      </c>
      <c r="M488" s="1224" t="s">
        <v>9136</v>
      </c>
      <c r="N488" s="1226">
        <v>166297</v>
      </c>
      <c r="T488" s="1220"/>
      <c r="U488" s="1221"/>
      <c r="V488" s="1221" t="s">
        <v>9412</v>
      </c>
      <c r="AB488" s="1221"/>
      <c r="AC488" s="1221"/>
      <c r="AE488" s="1221"/>
      <c r="AF488" s="1261"/>
    </row>
    <row r="489" spans="1:33" s="1194" customFormat="1" ht="12" x14ac:dyDescent="0.2">
      <c r="A489" s="1238"/>
      <c r="B489" s="1239"/>
      <c r="C489" s="1196" t="s">
        <v>9406</v>
      </c>
      <c r="D489" s="1240"/>
      <c r="E489" s="1240"/>
      <c r="F489" s="1241"/>
      <c r="G489" s="1241"/>
      <c r="H489" s="1241"/>
      <c r="I489" s="1241"/>
      <c r="J489" s="1242"/>
      <c r="K489" s="1241"/>
      <c r="L489" s="1242"/>
      <c r="M489" s="1243"/>
      <c r="N489" s="1244"/>
      <c r="T489" s="1220"/>
      <c r="U489" s="1221"/>
      <c r="V489" s="1221"/>
      <c r="AB489" s="1221"/>
      <c r="AC489" s="1221"/>
      <c r="AE489" s="1221"/>
      <c r="AF489" s="1261"/>
    </row>
    <row r="490" spans="1:33" s="1194" customFormat="1" ht="12" x14ac:dyDescent="0.2">
      <c r="A490" s="1227"/>
      <c r="B490" s="1228"/>
      <c r="C490" s="1945" t="s">
        <v>9413</v>
      </c>
      <c r="D490" s="1945"/>
      <c r="E490" s="1945"/>
      <c r="F490" s="1945"/>
      <c r="G490" s="1945"/>
      <c r="H490" s="1945"/>
      <c r="I490" s="1945"/>
      <c r="J490" s="1945"/>
      <c r="K490" s="1945"/>
      <c r="L490" s="1945"/>
      <c r="M490" s="1945"/>
      <c r="N490" s="1954"/>
      <c r="T490" s="1220"/>
      <c r="U490" s="1221"/>
      <c r="V490" s="1221"/>
      <c r="AB490" s="1221"/>
      <c r="AC490" s="1221"/>
      <c r="AE490" s="1221"/>
      <c r="AF490" s="1261"/>
      <c r="AG490" s="1198" t="s">
        <v>9413</v>
      </c>
    </row>
    <row r="491" spans="1:33" s="1194" customFormat="1" ht="22.5" x14ac:dyDescent="0.2">
      <c r="A491" s="1229"/>
      <c r="B491" s="1230" t="s">
        <v>9408</v>
      </c>
      <c r="C491" s="1945" t="s">
        <v>9409</v>
      </c>
      <c r="D491" s="1945"/>
      <c r="E491" s="1945"/>
      <c r="F491" s="1945"/>
      <c r="G491" s="1945"/>
      <c r="H491" s="1945"/>
      <c r="I491" s="1945"/>
      <c r="J491" s="1945"/>
      <c r="K491" s="1945"/>
      <c r="L491" s="1945"/>
      <c r="M491" s="1945"/>
      <c r="N491" s="1954"/>
      <c r="T491" s="1220"/>
      <c r="U491" s="1221"/>
      <c r="V491" s="1221"/>
      <c r="X491" s="1198" t="s">
        <v>9409</v>
      </c>
      <c r="AB491" s="1221"/>
      <c r="AC491" s="1221"/>
      <c r="AE491" s="1221"/>
      <c r="AF491" s="1261"/>
    </row>
    <row r="492" spans="1:33" s="1194" customFormat="1" ht="33.75" x14ac:dyDescent="0.2">
      <c r="A492" s="1222" t="s">
        <v>1784</v>
      </c>
      <c r="B492" s="1223" t="s">
        <v>10133</v>
      </c>
      <c r="C492" s="1953" t="s">
        <v>9414</v>
      </c>
      <c r="D492" s="1953"/>
      <c r="E492" s="1953"/>
      <c r="F492" s="1224" t="s">
        <v>628</v>
      </c>
      <c r="G492" s="1224"/>
      <c r="H492" s="1224"/>
      <c r="I492" s="1224" t="s">
        <v>9405</v>
      </c>
      <c r="J492" s="1225">
        <v>1132.3800000000001</v>
      </c>
      <c r="K492" s="1224" t="s">
        <v>716</v>
      </c>
      <c r="L492" s="1225">
        <v>24155.65</v>
      </c>
      <c r="M492" s="1224" t="s">
        <v>9136</v>
      </c>
      <c r="N492" s="1226">
        <v>200975</v>
      </c>
      <c r="T492" s="1220"/>
      <c r="U492" s="1221"/>
      <c r="V492" s="1221" t="s">
        <v>9414</v>
      </c>
      <c r="AB492" s="1221"/>
      <c r="AC492" s="1221"/>
      <c r="AE492" s="1221"/>
      <c r="AF492" s="1261"/>
    </row>
    <row r="493" spans="1:33" s="1194" customFormat="1" ht="12" x14ac:dyDescent="0.2">
      <c r="A493" s="1238"/>
      <c r="B493" s="1239"/>
      <c r="C493" s="1196" t="s">
        <v>9406</v>
      </c>
      <c r="D493" s="1240"/>
      <c r="E493" s="1240"/>
      <c r="F493" s="1241"/>
      <c r="G493" s="1241"/>
      <c r="H493" s="1241"/>
      <c r="I493" s="1241"/>
      <c r="J493" s="1242"/>
      <c r="K493" s="1241"/>
      <c r="L493" s="1242"/>
      <c r="M493" s="1243"/>
      <c r="N493" s="1244"/>
      <c r="T493" s="1220"/>
      <c r="U493" s="1221"/>
      <c r="V493" s="1221"/>
      <c r="AB493" s="1221"/>
      <c r="AC493" s="1221"/>
      <c r="AE493" s="1221"/>
      <c r="AF493" s="1261"/>
    </row>
    <row r="494" spans="1:33" s="1194" customFormat="1" ht="12" x14ac:dyDescent="0.2">
      <c r="A494" s="1227"/>
      <c r="B494" s="1228"/>
      <c r="C494" s="1945" t="s">
        <v>9415</v>
      </c>
      <c r="D494" s="1945"/>
      <c r="E494" s="1945"/>
      <c r="F494" s="1945"/>
      <c r="G494" s="1945"/>
      <c r="H494" s="1945"/>
      <c r="I494" s="1945"/>
      <c r="J494" s="1945"/>
      <c r="K494" s="1945"/>
      <c r="L494" s="1945"/>
      <c r="M494" s="1945"/>
      <c r="N494" s="1954"/>
      <c r="T494" s="1220"/>
      <c r="U494" s="1221"/>
      <c r="V494" s="1221"/>
      <c r="AB494" s="1221"/>
      <c r="AC494" s="1221"/>
      <c r="AE494" s="1221"/>
      <c r="AF494" s="1261"/>
      <c r="AG494" s="1198" t="s">
        <v>9415</v>
      </c>
    </row>
    <row r="495" spans="1:33" s="1194" customFormat="1" ht="22.5" x14ac:dyDescent="0.2">
      <c r="A495" s="1229"/>
      <c r="B495" s="1230" t="s">
        <v>9408</v>
      </c>
      <c r="C495" s="1945" t="s">
        <v>9409</v>
      </c>
      <c r="D495" s="1945"/>
      <c r="E495" s="1945"/>
      <c r="F495" s="1945"/>
      <c r="G495" s="1945"/>
      <c r="H495" s="1945"/>
      <c r="I495" s="1945"/>
      <c r="J495" s="1945"/>
      <c r="K495" s="1945"/>
      <c r="L495" s="1945"/>
      <c r="M495" s="1945"/>
      <c r="N495" s="1954"/>
      <c r="T495" s="1220"/>
      <c r="U495" s="1221"/>
      <c r="V495" s="1221"/>
      <c r="X495" s="1198" t="s">
        <v>9409</v>
      </c>
      <c r="AB495" s="1221"/>
      <c r="AC495" s="1221"/>
      <c r="AE495" s="1221"/>
      <c r="AF495" s="1261"/>
    </row>
    <row r="496" spans="1:33" s="1194" customFormat="1" ht="33.75" x14ac:dyDescent="0.2">
      <c r="A496" s="1222" t="s">
        <v>789</v>
      </c>
      <c r="B496" s="1223" t="s">
        <v>10134</v>
      </c>
      <c r="C496" s="1953" t="s">
        <v>9416</v>
      </c>
      <c r="D496" s="1953"/>
      <c r="E496" s="1953"/>
      <c r="F496" s="1224" t="s">
        <v>628</v>
      </c>
      <c r="G496" s="1224"/>
      <c r="H496" s="1224"/>
      <c r="I496" s="1224" t="s">
        <v>9405</v>
      </c>
      <c r="J496" s="1225">
        <v>1488.74</v>
      </c>
      <c r="K496" s="1224" t="s">
        <v>716</v>
      </c>
      <c r="L496" s="1225">
        <v>31757.45</v>
      </c>
      <c r="M496" s="1224" t="s">
        <v>9136</v>
      </c>
      <c r="N496" s="1226">
        <v>264222</v>
      </c>
      <c r="T496" s="1220"/>
      <c r="U496" s="1221"/>
      <c r="V496" s="1221" t="s">
        <v>9416</v>
      </c>
      <c r="AB496" s="1221"/>
      <c r="AC496" s="1221"/>
      <c r="AE496" s="1221"/>
      <c r="AF496" s="1261"/>
    </row>
    <row r="497" spans="1:33" s="1194" customFormat="1" ht="12" x14ac:dyDescent="0.2">
      <c r="A497" s="1238"/>
      <c r="B497" s="1239"/>
      <c r="C497" s="1196" t="s">
        <v>9406</v>
      </c>
      <c r="D497" s="1240"/>
      <c r="E497" s="1240"/>
      <c r="F497" s="1241"/>
      <c r="G497" s="1241"/>
      <c r="H497" s="1241"/>
      <c r="I497" s="1241"/>
      <c r="J497" s="1242"/>
      <c r="K497" s="1241"/>
      <c r="L497" s="1242"/>
      <c r="M497" s="1243"/>
      <c r="N497" s="1244"/>
      <c r="T497" s="1220"/>
      <c r="U497" s="1221"/>
      <c r="V497" s="1221"/>
      <c r="AB497" s="1221"/>
      <c r="AC497" s="1221"/>
      <c r="AE497" s="1221"/>
      <c r="AF497" s="1261"/>
    </row>
    <row r="498" spans="1:33" s="1194" customFormat="1" ht="12" x14ac:dyDescent="0.2">
      <c r="A498" s="1227"/>
      <c r="B498" s="1228"/>
      <c r="C498" s="1945" t="s">
        <v>9417</v>
      </c>
      <c r="D498" s="1945"/>
      <c r="E498" s="1945"/>
      <c r="F498" s="1945"/>
      <c r="G498" s="1945"/>
      <c r="H498" s="1945"/>
      <c r="I498" s="1945"/>
      <c r="J498" s="1945"/>
      <c r="K498" s="1945"/>
      <c r="L498" s="1945"/>
      <c r="M498" s="1945"/>
      <c r="N498" s="1954"/>
      <c r="T498" s="1220"/>
      <c r="U498" s="1221"/>
      <c r="V498" s="1221"/>
      <c r="AB498" s="1221"/>
      <c r="AC498" s="1221"/>
      <c r="AE498" s="1221"/>
      <c r="AF498" s="1261"/>
      <c r="AG498" s="1198" t="s">
        <v>9417</v>
      </c>
    </row>
    <row r="499" spans="1:33" s="1194" customFormat="1" ht="22.5" x14ac:dyDescent="0.2">
      <c r="A499" s="1229"/>
      <c r="B499" s="1230" t="s">
        <v>9408</v>
      </c>
      <c r="C499" s="1945" t="s">
        <v>9409</v>
      </c>
      <c r="D499" s="1945"/>
      <c r="E499" s="1945"/>
      <c r="F499" s="1945"/>
      <c r="G499" s="1945"/>
      <c r="H499" s="1945"/>
      <c r="I499" s="1945"/>
      <c r="J499" s="1945"/>
      <c r="K499" s="1945"/>
      <c r="L499" s="1945"/>
      <c r="M499" s="1945"/>
      <c r="N499" s="1954"/>
      <c r="T499" s="1220"/>
      <c r="U499" s="1221"/>
      <c r="V499" s="1221"/>
      <c r="X499" s="1198" t="s">
        <v>9409</v>
      </c>
      <c r="AB499" s="1221"/>
      <c r="AC499" s="1221"/>
      <c r="AE499" s="1221"/>
      <c r="AF499" s="1261"/>
    </row>
    <row r="500" spans="1:33" s="1194" customFormat="1" ht="33.75" x14ac:dyDescent="0.2">
      <c r="A500" s="1222" t="s">
        <v>2339</v>
      </c>
      <c r="B500" s="1223" t="s">
        <v>10135</v>
      </c>
      <c r="C500" s="1953" t="s">
        <v>9418</v>
      </c>
      <c r="D500" s="1953"/>
      <c r="E500" s="1953"/>
      <c r="F500" s="1224" t="s">
        <v>628</v>
      </c>
      <c r="G500" s="1224"/>
      <c r="H500" s="1224"/>
      <c r="I500" s="1224" t="s">
        <v>9405</v>
      </c>
      <c r="J500" s="1225">
        <v>440.74</v>
      </c>
      <c r="K500" s="1224" t="s">
        <v>716</v>
      </c>
      <c r="L500" s="1225">
        <v>9401.7999999999993</v>
      </c>
      <c r="M500" s="1224" t="s">
        <v>9136</v>
      </c>
      <c r="N500" s="1226">
        <v>78223</v>
      </c>
      <c r="T500" s="1220"/>
      <c r="U500" s="1221"/>
      <c r="V500" s="1221" t="s">
        <v>9418</v>
      </c>
      <c r="AB500" s="1221"/>
      <c r="AC500" s="1221"/>
      <c r="AE500" s="1221"/>
      <c r="AF500" s="1261"/>
    </row>
    <row r="501" spans="1:33" s="1194" customFormat="1" ht="12" x14ac:dyDescent="0.2">
      <c r="A501" s="1238"/>
      <c r="B501" s="1239"/>
      <c r="C501" s="1196" t="s">
        <v>9406</v>
      </c>
      <c r="D501" s="1240"/>
      <c r="E501" s="1240"/>
      <c r="F501" s="1241"/>
      <c r="G501" s="1241"/>
      <c r="H501" s="1241"/>
      <c r="I501" s="1241"/>
      <c r="J501" s="1242"/>
      <c r="K501" s="1241"/>
      <c r="L501" s="1242"/>
      <c r="M501" s="1243"/>
      <c r="N501" s="1244"/>
      <c r="T501" s="1220"/>
      <c r="U501" s="1221"/>
      <c r="V501" s="1221"/>
      <c r="AB501" s="1221"/>
      <c r="AC501" s="1221"/>
      <c r="AE501" s="1221"/>
      <c r="AF501" s="1261"/>
    </row>
    <row r="502" spans="1:33" s="1194" customFormat="1" ht="12" x14ac:dyDescent="0.2">
      <c r="A502" s="1227"/>
      <c r="B502" s="1228"/>
      <c r="C502" s="1945" t="s">
        <v>9419</v>
      </c>
      <c r="D502" s="1945"/>
      <c r="E502" s="1945"/>
      <c r="F502" s="1945"/>
      <c r="G502" s="1945"/>
      <c r="H502" s="1945"/>
      <c r="I502" s="1945"/>
      <c r="J502" s="1945"/>
      <c r="K502" s="1945"/>
      <c r="L502" s="1945"/>
      <c r="M502" s="1945"/>
      <c r="N502" s="1954"/>
      <c r="T502" s="1220"/>
      <c r="U502" s="1221"/>
      <c r="V502" s="1221"/>
      <c r="AB502" s="1221"/>
      <c r="AC502" s="1221"/>
      <c r="AE502" s="1221"/>
      <c r="AF502" s="1261"/>
      <c r="AG502" s="1198" t="s">
        <v>9419</v>
      </c>
    </row>
    <row r="503" spans="1:33" s="1194" customFormat="1" ht="22.5" x14ac:dyDescent="0.2">
      <c r="A503" s="1229"/>
      <c r="B503" s="1230" t="s">
        <v>9408</v>
      </c>
      <c r="C503" s="1945" t="s">
        <v>9409</v>
      </c>
      <c r="D503" s="1945"/>
      <c r="E503" s="1945"/>
      <c r="F503" s="1945"/>
      <c r="G503" s="1945"/>
      <c r="H503" s="1945"/>
      <c r="I503" s="1945"/>
      <c r="J503" s="1945"/>
      <c r="K503" s="1945"/>
      <c r="L503" s="1945"/>
      <c r="M503" s="1945"/>
      <c r="N503" s="1954"/>
      <c r="T503" s="1220"/>
      <c r="U503" s="1221"/>
      <c r="V503" s="1221"/>
      <c r="X503" s="1198" t="s">
        <v>9409</v>
      </c>
      <c r="AB503" s="1221"/>
      <c r="AC503" s="1221"/>
      <c r="AE503" s="1221"/>
      <c r="AF503" s="1261"/>
    </row>
    <row r="504" spans="1:33" s="1194" customFormat="1" ht="33.75" x14ac:dyDescent="0.2">
      <c r="A504" s="1222" t="s">
        <v>791</v>
      </c>
      <c r="B504" s="1223" t="s">
        <v>10136</v>
      </c>
      <c r="C504" s="1953" t="s">
        <v>9420</v>
      </c>
      <c r="D504" s="1953"/>
      <c r="E504" s="1953"/>
      <c r="F504" s="1224" t="s">
        <v>628</v>
      </c>
      <c r="G504" s="1224"/>
      <c r="H504" s="1224"/>
      <c r="I504" s="1224" t="s">
        <v>9405</v>
      </c>
      <c r="J504" s="1225">
        <v>5620.82</v>
      </c>
      <c r="K504" s="1224" t="s">
        <v>716</v>
      </c>
      <c r="L504" s="1225">
        <v>119901.8</v>
      </c>
      <c r="M504" s="1224" t="s">
        <v>9136</v>
      </c>
      <c r="N504" s="1226">
        <v>997583</v>
      </c>
      <c r="T504" s="1220"/>
      <c r="U504" s="1221"/>
      <c r="V504" s="1221" t="s">
        <v>9420</v>
      </c>
      <c r="AB504" s="1221"/>
      <c r="AC504" s="1221"/>
      <c r="AE504" s="1221"/>
      <c r="AF504" s="1261"/>
    </row>
    <row r="505" spans="1:33" s="1194" customFormat="1" ht="12" x14ac:dyDescent="0.2">
      <c r="A505" s="1238"/>
      <c r="B505" s="1239"/>
      <c r="C505" s="1196" t="s">
        <v>9406</v>
      </c>
      <c r="D505" s="1240"/>
      <c r="E505" s="1240"/>
      <c r="F505" s="1241"/>
      <c r="G505" s="1241"/>
      <c r="H505" s="1241"/>
      <c r="I505" s="1241"/>
      <c r="J505" s="1242"/>
      <c r="K505" s="1241"/>
      <c r="L505" s="1242"/>
      <c r="M505" s="1243"/>
      <c r="N505" s="1244"/>
      <c r="T505" s="1220"/>
      <c r="U505" s="1221"/>
      <c r="V505" s="1221"/>
      <c r="AB505" s="1221"/>
      <c r="AC505" s="1221"/>
      <c r="AE505" s="1221"/>
      <c r="AF505" s="1261"/>
    </row>
    <row r="506" spans="1:33" s="1194" customFormat="1" ht="12" x14ac:dyDescent="0.2">
      <c r="A506" s="1227"/>
      <c r="B506" s="1228"/>
      <c r="C506" s="1945" t="s">
        <v>9421</v>
      </c>
      <c r="D506" s="1945"/>
      <c r="E506" s="1945"/>
      <c r="F506" s="1945"/>
      <c r="G506" s="1945"/>
      <c r="H506" s="1945"/>
      <c r="I506" s="1945"/>
      <c r="J506" s="1945"/>
      <c r="K506" s="1945"/>
      <c r="L506" s="1945"/>
      <c r="M506" s="1945"/>
      <c r="N506" s="1954"/>
      <c r="T506" s="1220"/>
      <c r="U506" s="1221"/>
      <c r="V506" s="1221"/>
      <c r="AB506" s="1221"/>
      <c r="AC506" s="1221"/>
      <c r="AE506" s="1221"/>
      <c r="AF506" s="1261"/>
      <c r="AG506" s="1198" t="s">
        <v>9421</v>
      </c>
    </row>
    <row r="507" spans="1:33" s="1194" customFormat="1" ht="22.5" x14ac:dyDescent="0.2">
      <c r="A507" s="1229"/>
      <c r="B507" s="1230" t="s">
        <v>9408</v>
      </c>
      <c r="C507" s="1945" t="s">
        <v>9409</v>
      </c>
      <c r="D507" s="1945"/>
      <c r="E507" s="1945"/>
      <c r="F507" s="1945"/>
      <c r="G507" s="1945"/>
      <c r="H507" s="1945"/>
      <c r="I507" s="1945"/>
      <c r="J507" s="1945"/>
      <c r="K507" s="1945"/>
      <c r="L507" s="1945"/>
      <c r="M507" s="1945"/>
      <c r="N507" s="1954"/>
      <c r="T507" s="1220"/>
      <c r="U507" s="1221"/>
      <c r="V507" s="1221"/>
      <c r="X507" s="1198" t="s">
        <v>9409</v>
      </c>
      <c r="AB507" s="1221"/>
      <c r="AC507" s="1221"/>
      <c r="AE507" s="1221"/>
      <c r="AF507" s="1261"/>
    </row>
    <row r="508" spans="1:33" s="1194" customFormat="1" ht="33.75" x14ac:dyDescent="0.2">
      <c r="A508" s="1222" t="s">
        <v>690</v>
      </c>
      <c r="B508" s="1223" t="s">
        <v>10137</v>
      </c>
      <c r="C508" s="1953" t="s">
        <v>9422</v>
      </c>
      <c r="D508" s="1953"/>
      <c r="E508" s="1953"/>
      <c r="F508" s="1224" t="s">
        <v>628</v>
      </c>
      <c r="G508" s="1224"/>
      <c r="H508" s="1224"/>
      <c r="I508" s="1224" t="s">
        <v>9405</v>
      </c>
      <c r="J508" s="1225">
        <v>1694.13</v>
      </c>
      <c r="K508" s="1224" t="s">
        <v>716</v>
      </c>
      <c r="L508" s="1225">
        <v>36138.699999999997</v>
      </c>
      <c r="M508" s="1224" t="s">
        <v>9136</v>
      </c>
      <c r="N508" s="1226">
        <v>300674</v>
      </c>
      <c r="T508" s="1220"/>
      <c r="U508" s="1221"/>
      <c r="V508" s="1221" t="s">
        <v>9422</v>
      </c>
      <c r="AB508" s="1221"/>
      <c r="AC508" s="1221"/>
      <c r="AE508" s="1221"/>
      <c r="AF508" s="1261"/>
    </row>
    <row r="509" spans="1:33" s="1194" customFormat="1" ht="12" x14ac:dyDescent="0.2">
      <c r="A509" s="1238"/>
      <c r="B509" s="1239"/>
      <c r="C509" s="1196" t="s">
        <v>9406</v>
      </c>
      <c r="D509" s="1240"/>
      <c r="E509" s="1240"/>
      <c r="F509" s="1241"/>
      <c r="G509" s="1241"/>
      <c r="H509" s="1241"/>
      <c r="I509" s="1241"/>
      <c r="J509" s="1242"/>
      <c r="K509" s="1241"/>
      <c r="L509" s="1242"/>
      <c r="M509" s="1243"/>
      <c r="N509" s="1244"/>
      <c r="T509" s="1220"/>
      <c r="U509" s="1221"/>
      <c r="V509" s="1221"/>
      <c r="AB509" s="1221"/>
      <c r="AC509" s="1221"/>
      <c r="AE509" s="1221"/>
      <c r="AF509" s="1261"/>
    </row>
    <row r="510" spans="1:33" s="1194" customFormat="1" ht="12" x14ac:dyDescent="0.2">
      <c r="A510" s="1227"/>
      <c r="B510" s="1228"/>
      <c r="C510" s="1945" t="s">
        <v>9423</v>
      </c>
      <c r="D510" s="1945"/>
      <c r="E510" s="1945"/>
      <c r="F510" s="1945"/>
      <c r="G510" s="1945"/>
      <c r="H510" s="1945"/>
      <c r="I510" s="1945"/>
      <c r="J510" s="1945"/>
      <c r="K510" s="1945"/>
      <c r="L510" s="1945"/>
      <c r="M510" s="1945"/>
      <c r="N510" s="1954"/>
      <c r="T510" s="1220"/>
      <c r="U510" s="1221"/>
      <c r="V510" s="1221"/>
      <c r="AB510" s="1221"/>
      <c r="AC510" s="1221"/>
      <c r="AE510" s="1221"/>
      <c r="AF510" s="1261"/>
      <c r="AG510" s="1198" t="s">
        <v>9423</v>
      </c>
    </row>
    <row r="511" spans="1:33" s="1194" customFormat="1" ht="22.5" x14ac:dyDescent="0.2">
      <c r="A511" s="1229"/>
      <c r="B511" s="1230" t="s">
        <v>9408</v>
      </c>
      <c r="C511" s="1945" t="s">
        <v>9409</v>
      </c>
      <c r="D511" s="1945"/>
      <c r="E511" s="1945"/>
      <c r="F511" s="1945"/>
      <c r="G511" s="1945"/>
      <c r="H511" s="1945"/>
      <c r="I511" s="1945"/>
      <c r="J511" s="1945"/>
      <c r="K511" s="1945"/>
      <c r="L511" s="1945"/>
      <c r="M511" s="1945"/>
      <c r="N511" s="1954"/>
      <c r="T511" s="1220"/>
      <c r="U511" s="1221"/>
      <c r="V511" s="1221"/>
      <c r="X511" s="1198" t="s">
        <v>9409</v>
      </c>
      <c r="AB511" s="1221"/>
      <c r="AC511" s="1221"/>
      <c r="AE511" s="1221"/>
      <c r="AF511" s="1261"/>
    </row>
    <row r="512" spans="1:33" s="1194" customFormat="1" ht="22.5" x14ac:dyDescent="0.2">
      <c r="A512" s="1222" t="s">
        <v>792</v>
      </c>
      <c r="B512" s="1223" t="s">
        <v>9424</v>
      </c>
      <c r="C512" s="1953" t="s">
        <v>9425</v>
      </c>
      <c r="D512" s="1953"/>
      <c r="E512" s="1953"/>
      <c r="F512" s="1224" t="s">
        <v>509</v>
      </c>
      <c r="G512" s="1224"/>
      <c r="H512" s="1224"/>
      <c r="I512" s="1224" t="s">
        <v>809</v>
      </c>
      <c r="J512" s="1225"/>
      <c r="K512" s="1224"/>
      <c r="L512" s="1225"/>
      <c r="M512" s="1224"/>
      <c r="N512" s="1226"/>
      <c r="T512" s="1220"/>
      <c r="U512" s="1221"/>
      <c r="V512" s="1221" t="s">
        <v>9425</v>
      </c>
      <c r="AB512" s="1221"/>
      <c r="AC512" s="1221"/>
      <c r="AE512" s="1221"/>
      <c r="AF512" s="1261"/>
    </row>
    <row r="513" spans="1:32" s="1194" customFormat="1" ht="12" x14ac:dyDescent="0.2">
      <c r="A513" s="1227"/>
      <c r="B513" s="1228"/>
      <c r="C513" s="1945" t="s">
        <v>843</v>
      </c>
      <c r="D513" s="1945"/>
      <c r="E513" s="1945"/>
      <c r="F513" s="1945"/>
      <c r="G513" s="1945"/>
      <c r="H513" s="1945"/>
      <c r="I513" s="1945"/>
      <c r="J513" s="1945"/>
      <c r="K513" s="1945"/>
      <c r="L513" s="1945"/>
      <c r="M513" s="1945"/>
      <c r="N513" s="1954"/>
      <c r="T513" s="1220"/>
      <c r="U513" s="1221"/>
      <c r="V513" s="1221"/>
      <c r="W513" s="1198" t="s">
        <v>843</v>
      </c>
      <c r="AB513" s="1221"/>
      <c r="AC513" s="1221"/>
      <c r="AE513" s="1221"/>
      <c r="AF513" s="1261"/>
    </row>
    <row r="514" spans="1:32" s="1194" customFormat="1" ht="33.75" x14ac:dyDescent="0.2">
      <c r="A514" s="1229"/>
      <c r="B514" s="1230" t="s">
        <v>310</v>
      </c>
      <c r="C514" s="1945" t="s">
        <v>311</v>
      </c>
      <c r="D514" s="1945"/>
      <c r="E514" s="1945"/>
      <c r="F514" s="1945"/>
      <c r="G514" s="1945"/>
      <c r="H514" s="1945"/>
      <c r="I514" s="1945"/>
      <c r="J514" s="1945"/>
      <c r="K514" s="1945"/>
      <c r="L514" s="1945"/>
      <c r="M514" s="1945"/>
      <c r="N514" s="1954"/>
      <c r="T514" s="1220"/>
      <c r="U514" s="1221"/>
      <c r="V514" s="1221"/>
      <c r="X514" s="1198" t="s">
        <v>311</v>
      </c>
      <c r="AB514" s="1221"/>
      <c r="AC514" s="1221"/>
      <c r="AE514" s="1221"/>
      <c r="AF514" s="1261"/>
    </row>
    <row r="515" spans="1:32" s="1194" customFormat="1" ht="12" x14ac:dyDescent="0.2">
      <c r="A515" s="1231"/>
      <c r="B515" s="1230" t="s">
        <v>185</v>
      </c>
      <c r="C515" s="1945" t="s">
        <v>312</v>
      </c>
      <c r="D515" s="1945"/>
      <c r="E515" s="1945"/>
      <c r="F515" s="1232"/>
      <c r="G515" s="1232"/>
      <c r="H515" s="1232"/>
      <c r="I515" s="1232"/>
      <c r="J515" s="1233">
        <v>663.75</v>
      </c>
      <c r="K515" s="1232" t="s">
        <v>313</v>
      </c>
      <c r="L515" s="1233">
        <v>8.3000000000000007</v>
      </c>
      <c r="M515" s="1232"/>
      <c r="N515" s="1234"/>
      <c r="T515" s="1220"/>
      <c r="U515" s="1221"/>
      <c r="V515" s="1221"/>
      <c r="Y515" s="1198" t="s">
        <v>312</v>
      </c>
      <c r="AB515" s="1221"/>
      <c r="AC515" s="1221"/>
      <c r="AE515" s="1221"/>
      <c r="AF515" s="1261"/>
    </row>
    <row r="516" spans="1:32" s="1194" customFormat="1" ht="12" x14ac:dyDescent="0.2">
      <c r="A516" s="1231"/>
      <c r="B516" s="1230"/>
      <c r="C516" s="1945" t="s">
        <v>314</v>
      </c>
      <c r="D516" s="1945"/>
      <c r="E516" s="1945"/>
      <c r="F516" s="1232" t="s">
        <v>315</v>
      </c>
      <c r="G516" s="1232" t="s">
        <v>9426</v>
      </c>
      <c r="H516" s="1232" t="s">
        <v>313</v>
      </c>
      <c r="I516" s="1232" t="s">
        <v>9427</v>
      </c>
      <c r="J516" s="1233"/>
      <c r="K516" s="1232"/>
      <c r="L516" s="1233"/>
      <c r="M516" s="1232"/>
      <c r="N516" s="1234"/>
      <c r="T516" s="1220"/>
      <c r="U516" s="1221"/>
      <c r="V516" s="1221"/>
      <c r="Z516" s="1198" t="s">
        <v>314</v>
      </c>
      <c r="AB516" s="1221"/>
      <c r="AC516" s="1221"/>
      <c r="AE516" s="1221"/>
      <c r="AF516" s="1261"/>
    </row>
    <row r="517" spans="1:32" s="1194" customFormat="1" ht="12" x14ac:dyDescent="0.2">
      <c r="A517" s="1231"/>
      <c r="B517" s="1230"/>
      <c r="C517" s="1962" t="s">
        <v>318</v>
      </c>
      <c r="D517" s="1962"/>
      <c r="E517" s="1962"/>
      <c r="F517" s="1235"/>
      <c r="G517" s="1235"/>
      <c r="H517" s="1235"/>
      <c r="I517" s="1235"/>
      <c r="J517" s="1236">
        <v>663.75</v>
      </c>
      <c r="K517" s="1235"/>
      <c r="L517" s="1236">
        <v>8.3000000000000007</v>
      </c>
      <c r="M517" s="1235"/>
      <c r="N517" s="1237"/>
      <c r="T517" s="1220"/>
      <c r="U517" s="1221"/>
      <c r="V517" s="1221"/>
      <c r="AA517" s="1198" t="s">
        <v>318</v>
      </c>
      <c r="AB517" s="1221"/>
      <c r="AC517" s="1221"/>
      <c r="AE517" s="1221"/>
      <c r="AF517" s="1261"/>
    </row>
    <row r="518" spans="1:32" s="1194" customFormat="1" ht="12" x14ac:dyDescent="0.2">
      <c r="A518" s="1231"/>
      <c r="B518" s="1230"/>
      <c r="C518" s="1945" t="s">
        <v>319</v>
      </c>
      <c r="D518" s="1945"/>
      <c r="E518" s="1945"/>
      <c r="F518" s="1232"/>
      <c r="G518" s="1232"/>
      <c r="H518" s="1232"/>
      <c r="I518" s="1232"/>
      <c r="J518" s="1233"/>
      <c r="K518" s="1232"/>
      <c r="L518" s="1233">
        <v>8.3000000000000007</v>
      </c>
      <c r="M518" s="1232"/>
      <c r="N518" s="1234"/>
      <c r="T518" s="1220"/>
      <c r="U518" s="1221"/>
      <c r="V518" s="1221"/>
      <c r="Z518" s="1198" t="s">
        <v>319</v>
      </c>
      <c r="AB518" s="1221"/>
      <c r="AC518" s="1221"/>
      <c r="AE518" s="1221"/>
      <c r="AF518" s="1261"/>
    </row>
    <row r="519" spans="1:32" s="1194" customFormat="1" ht="33.75" x14ac:dyDescent="0.2">
      <c r="A519" s="1231"/>
      <c r="B519" s="1230" t="s">
        <v>673</v>
      </c>
      <c r="C519" s="1945" t="s">
        <v>674</v>
      </c>
      <c r="D519" s="1945"/>
      <c r="E519" s="1945"/>
      <c r="F519" s="1232" t="s">
        <v>322</v>
      </c>
      <c r="G519" s="1232" t="s">
        <v>323</v>
      </c>
      <c r="H519" s="1232"/>
      <c r="I519" s="1232" t="s">
        <v>323</v>
      </c>
      <c r="J519" s="1233"/>
      <c r="K519" s="1232"/>
      <c r="L519" s="1233">
        <v>7.39</v>
      </c>
      <c r="M519" s="1232"/>
      <c r="N519" s="1234"/>
      <c r="T519" s="1220"/>
      <c r="U519" s="1221"/>
      <c r="V519" s="1221"/>
      <c r="Z519" s="1198" t="s">
        <v>674</v>
      </c>
      <c r="AB519" s="1221"/>
      <c r="AC519" s="1221"/>
      <c r="AE519" s="1221"/>
      <c r="AF519" s="1261"/>
    </row>
    <row r="520" spans="1:32" s="1194" customFormat="1" ht="33.75" x14ac:dyDescent="0.2">
      <c r="A520" s="1231"/>
      <c r="B520" s="1230" t="s">
        <v>675</v>
      </c>
      <c r="C520" s="1945" t="s">
        <v>676</v>
      </c>
      <c r="D520" s="1945"/>
      <c r="E520" s="1945"/>
      <c r="F520" s="1232" t="s">
        <v>322</v>
      </c>
      <c r="G520" s="1232" t="s">
        <v>677</v>
      </c>
      <c r="H520" s="1232"/>
      <c r="I520" s="1232" t="s">
        <v>677</v>
      </c>
      <c r="J520" s="1233"/>
      <c r="K520" s="1232"/>
      <c r="L520" s="1233">
        <v>3.32</v>
      </c>
      <c r="M520" s="1232"/>
      <c r="N520" s="1234"/>
      <c r="T520" s="1220"/>
      <c r="U520" s="1221"/>
      <c r="V520" s="1221"/>
      <c r="Z520" s="1198" t="s">
        <v>676</v>
      </c>
      <c r="AB520" s="1221"/>
      <c r="AC520" s="1221"/>
      <c r="AE520" s="1221"/>
      <c r="AF520" s="1261"/>
    </row>
    <row r="521" spans="1:32" s="1194" customFormat="1" ht="12" x14ac:dyDescent="0.2">
      <c r="A521" s="1238"/>
      <c r="B521" s="1239"/>
      <c r="C521" s="1953" t="s">
        <v>327</v>
      </c>
      <c r="D521" s="1953"/>
      <c r="E521" s="1953"/>
      <c r="F521" s="1224"/>
      <c r="G521" s="1224"/>
      <c r="H521" s="1224"/>
      <c r="I521" s="1224"/>
      <c r="J521" s="1225"/>
      <c r="K521" s="1224"/>
      <c r="L521" s="1225">
        <v>19.010000000000002</v>
      </c>
      <c r="M521" s="1235"/>
      <c r="N521" s="1226"/>
      <c r="T521" s="1220"/>
      <c r="U521" s="1221"/>
      <c r="V521" s="1221"/>
      <c r="AB521" s="1221" t="s">
        <v>327</v>
      </c>
      <c r="AC521" s="1221"/>
      <c r="AE521" s="1221"/>
      <c r="AF521" s="1261"/>
    </row>
    <row r="522" spans="1:32" s="1194" customFormat="1" ht="33.75" x14ac:dyDescent="0.2">
      <c r="A522" s="1222" t="s">
        <v>713</v>
      </c>
      <c r="B522" s="1223" t="s">
        <v>9428</v>
      </c>
      <c r="C522" s="1953" t="s">
        <v>9429</v>
      </c>
      <c r="D522" s="1953"/>
      <c r="E522" s="1953"/>
      <c r="F522" s="1224" t="s">
        <v>694</v>
      </c>
      <c r="G522" s="1224"/>
      <c r="H522" s="1224"/>
      <c r="I522" s="1224" t="s">
        <v>1520</v>
      </c>
      <c r="J522" s="1225">
        <v>597.33000000000004</v>
      </c>
      <c r="K522" s="1224"/>
      <c r="L522" s="1225">
        <v>896</v>
      </c>
      <c r="M522" s="1224"/>
      <c r="N522" s="1226"/>
      <c r="T522" s="1220"/>
      <c r="U522" s="1221"/>
      <c r="V522" s="1221" t="s">
        <v>9429</v>
      </c>
      <c r="AB522" s="1221"/>
      <c r="AC522" s="1221"/>
      <c r="AE522" s="1221"/>
      <c r="AF522" s="1261"/>
    </row>
    <row r="523" spans="1:32" s="1194" customFormat="1" ht="12" x14ac:dyDescent="0.2">
      <c r="A523" s="1238"/>
      <c r="B523" s="1239"/>
      <c r="C523" s="1196" t="s">
        <v>717</v>
      </c>
      <c r="D523" s="1240"/>
      <c r="E523" s="1240"/>
      <c r="F523" s="1241"/>
      <c r="G523" s="1241"/>
      <c r="H523" s="1241"/>
      <c r="I523" s="1241"/>
      <c r="J523" s="1242"/>
      <c r="K523" s="1241"/>
      <c r="L523" s="1242"/>
      <c r="M523" s="1243"/>
      <c r="N523" s="1244"/>
      <c r="T523" s="1220"/>
      <c r="U523" s="1221"/>
      <c r="V523" s="1221"/>
      <c r="AB523" s="1221"/>
      <c r="AC523" s="1221"/>
      <c r="AE523" s="1221"/>
      <c r="AF523" s="1261"/>
    </row>
    <row r="524" spans="1:32" s="1194" customFormat="1" ht="12" x14ac:dyDescent="0.2">
      <c r="A524" s="1227"/>
      <c r="B524" s="1228"/>
      <c r="C524" s="1945" t="s">
        <v>9430</v>
      </c>
      <c r="D524" s="1945"/>
      <c r="E524" s="1945"/>
      <c r="F524" s="1945"/>
      <c r="G524" s="1945"/>
      <c r="H524" s="1945"/>
      <c r="I524" s="1945"/>
      <c r="J524" s="1945"/>
      <c r="K524" s="1945"/>
      <c r="L524" s="1945"/>
      <c r="M524" s="1945"/>
      <c r="N524" s="1954"/>
      <c r="T524" s="1220"/>
      <c r="U524" s="1221"/>
      <c r="V524" s="1221"/>
      <c r="W524" s="1198" t="s">
        <v>9430</v>
      </c>
      <c r="AB524" s="1221"/>
      <c r="AC524" s="1221"/>
      <c r="AE524" s="1221"/>
      <c r="AF524" s="1261"/>
    </row>
    <row r="525" spans="1:32" s="1194" customFormat="1" ht="1.5" customHeight="1" x14ac:dyDescent="0.2">
      <c r="A525" s="1241"/>
      <c r="B525" s="1239"/>
      <c r="C525" s="1239"/>
      <c r="D525" s="1239"/>
      <c r="E525" s="1239"/>
      <c r="F525" s="1241"/>
      <c r="G525" s="1241"/>
      <c r="H525" s="1241"/>
      <c r="I525" s="1241"/>
      <c r="J525" s="1245"/>
      <c r="K525" s="1241"/>
      <c r="L525" s="1245"/>
      <c r="M525" s="1232"/>
      <c r="N525" s="1245"/>
      <c r="T525" s="1220"/>
      <c r="U525" s="1221"/>
      <c r="V525" s="1221"/>
      <c r="AB525" s="1221"/>
      <c r="AC525" s="1221"/>
      <c r="AE525" s="1221"/>
      <c r="AF525" s="1261"/>
    </row>
    <row r="526" spans="1:32" s="1194" customFormat="1" ht="12" x14ac:dyDescent="0.2">
      <c r="A526" s="1246"/>
      <c r="B526" s="1247"/>
      <c r="C526" s="1953" t="s">
        <v>9431</v>
      </c>
      <c r="D526" s="1953"/>
      <c r="E526" s="1953"/>
      <c r="F526" s="1953"/>
      <c r="G526" s="1953"/>
      <c r="H526" s="1953"/>
      <c r="I526" s="1953"/>
      <c r="J526" s="1953"/>
      <c r="K526" s="1953"/>
      <c r="L526" s="1248"/>
      <c r="M526" s="1249"/>
      <c r="N526" s="1250"/>
      <c r="T526" s="1220"/>
      <c r="U526" s="1221"/>
      <c r="V526" s="1221"/>
      <c r="AB526" s="1221"/>
      <c r="AC526" s="1221" t="s">
        <v>9431</v>
      </c>
      <c r="AE526" s="1221"/>
      <c r="AF526" s="1261"/>
    </row>
    <row r="527" spans="1:32" s="1194" customFormat="1" ht="12" x14ac:dyDescent="0.2">
      <c r="A527" s="1251"/>
      <c r="B527" s="1230"/>
      <c r="C527" s="1945" t="s">
        <v>403</v>
      </c>
      <c r="D527" s="1945"/>
      <c r="E527" s="1945"/>
      <c r="F527" s="1945"/>
      <c r="G527" s="1945"/>
      <c r="H527" s="1945"/>
      <c r="I527" s="1945"/>
      <c r="J527" s="1945"/>
      <c r="K527" s="1945"/>
      <c r="L527" s="1252">
        <v>1077185.1599999999</v>
      </c>
      <c r="M527" s="1253"/>
      <c r="N527" s="1254"/>
      <c r="T527" s="1220"/>
      <c r="U527" s="1221"/>
      <c r="V527" s="1221"/>
      <c r="AB527" s="1221"/>
      <c r="AC527" s="1221"/>
      <c r="AD527" s="1198" t="s">
        <v>403</v>
      </c>
      <c r="AE527" s="1221"/>
      <c r="AF527" s="1261"/>
    </row>
    <row r="528" spans="1:32" s="1194" customFormat="1" ht="12" x14ac:dyDescent="0.2">
      <c r="A528" s="1251"/>
      <c r="B528" s="1230"/>
      <c r="C528" s="1945" t="s">
        <v>8993</v>
      </c>
      <c r="D528" s="1945"/>
      <c r="E528" s="1945"/>
      <c r="F528" s="1945"/>
      <c r="G528" s="1945"/>
      <c r="H528" s="1945"/>
      <c r="I528" s="1945"/>
      <c r="J528" s="1945"/>
      <c r="K528" s="1945"/>
      <c r="L528" s="1252"/>
      <c r="M528" s="1253"/>
      <c r="N528" s="1254"/>
      <c r="T528" s="1220"/>
      <c r="U528" s="1221"/>
      <c r="V528" s="1221"/>
      <c r="AB528" s="1221"/>
      <c r="AC528" s="1221"/>
      <c r="AD528" s="1198" t="s">
        <v>8993</v>
      </c>
      <c r="AE528" s="1221"/>
      <c r="AF528" s="1261"/>
    </row>
    <row r="529" spans="1:32" s="1194" customFormat="1" ht="12" x14ac:dyDescent="0.2">
      <c r="A529" s="1251"/>
      <c r="B529" s="1230"/>
      <c r="C529" s="1945" t="s">
        <v>404</v>
      </c>
      <c r="D529" s="1945"/>
      <c r="E529" s="1945"/>
      <c r="F529" s="1945"/>
      <c r="G529" s="1945"/>
      <c r="H529" s="1945"/>
      <c r="I529" s="1945"/>
      <c r="J529" s="1945"/>
      <c r="K529" s="1945"/>
      <c r="L529" s="1252">
        <v>7695.62</v>
      </c>
      <c r="M529" s="1253"/>
      <c r="N529" s="1254"/>
      <c r="T529" s="1220"/>
      <c r="U529" s="1221"/>
      <c r="V529" s="1221"/>
      <c r="AB529" s="1221"/>
      <c r="AC529" s="1221"/>
      <c r="AD529" s="1198" t="s">
        <v>404</v>
      </c>
      <c r="AE529" s="1221"/>
      <c r="AF529" s="1261"/>
    </row>
    <row r="530" spans="1:32" s="1194" customFormat="1" ht="12" x14ac:dyDescent="0.2">
      <c r="A530" s="1251"/>
      <c r="B530" s="1230"/>
      <c r="C530" s="1945" t="s">
        <v>405</v>
      </c>
      <c r="D530" s="1945"/>
      <c r="E530" s="1945"/>
      <c r="F530" s="1945"/>
      <c r="G530" s="1945"/>
      <c r="H530" s="1945"/>
      <c r="I530" s="1945"/>
      <c r="J530" s="1945"/>
      <c r="K530" s="1945"/>
      <c r="L530" s="1252">
        <v>534733.31999999995</v>
      </c>
      <c r="M530" s="1253"/>
      <c r="N530" s="1254"/>
      <c r="T530" s="1220"/>
      <c r="U530" s="1221"/>
      <c r="V530" s="1221"/>
      <c r="AB530" s="1221"/>
      <c r="AC530" s="1221"/>
      <c r="AD530" s="1198" t="s">
        <v>405</v>
      </c>
      <c r="AE530" s="1221"/>
      <c r="AF530" s="1261"/>
    </row>
    <row r="531" spans="1:32" s="1194" customFormat="1" ht="12" x14ac:dyDescent="0.2">
      <c r="A531" s="1251"/>
      <c r="B531" s="1230"/>
      <c r="C531" s="1945" t="s">
        <v>8994</v>
      </c>
      <c r="D531" s="1945"/>
      <c r="E531" s="1945"/>
      <c r="F531" s="1945"/>
      <c r="G531" s="1945"/>
      <c r="H531" s="1945"/>
      <c r="I531" s="1945"/>
      <c r="J531" s="1945"/>
      <c r="K531" s="1945"/>
      <c r="L531" s="1252">
        <v>6928.68</v>
      </c>
      <c r="M531" s="1253"/>
      <c r="N531" s="1254"/>
      <c r="T531" s="1220"/>
      <c r="U531" s="1221"/>
      <c r="V531" s="1221"/>
      <c r="AB531" s="1221"/>
      <c r="AC531" s="1221"/>
      <c r="AD531" s="1198" t="s">
        <v>8994</v>
      </c>
      <c r="AE531" s="1221"/>
      <c r="AF531" s="1261"/>
    </row>
    <row r="532" spans="1:32" s="1194" customFormat="1" ht="12" x14ac:dyDescent="0.2">
      <c r="A532" s="1251"/>
      <c r="B532" s="1230"/>
      <c r="C532" s="1945" t="s">
        <v>480</v>
      </c>
      <c r="D532" s="1945"/>
      <c r="E532" s="1945"/>
      <c r="F532" s="1945"/>
      <c r="G532" s="1945"/>
      <c r="H532" s="1945"/>
      <c r="I532" s="1945"/>
      <c r="J532" s="1945"/>
      <c r="K532" s="1945"/>
      <c r="L532" s="1252">
        <v>534756.22</v>
      </c>
      <c r="M532" s="1253"/>
      <c r="N532" s="1254"/>
      <c r="T532" s="1220"/>
      <c r="U532" s="1221"/>
      <c r="V532" s="1221"/>
      <c r="AB532" s="1221"/>
      <c r="AC532" s="1221"/>
      <c r="AD532" s="1198" t="s">
        <v>480</v>
      </c>
      <c r="AE532" s="1221"/>
      <c r="AF532" s="1261"/>
    </row>
    <row r="533" spans="1:32" s="1194" customFormat="1" ht="12" x14ac:dyDescent="0.2">
      <c r="A533" s="1251"/>
      <c r="B533" s="1230"/>
      <c r="C533" s="1945" t="s">
        <v>407</v>
      </c>
      <c r="D533" s="1945"/>
      <c r="E533" s="1945"/>
      <c r="F533" s="1945"/>
      <c r="G533" s="1945"/>
      <c r="H533" s="1945"/>
      <c r="I533" s="1945"/>
      <c r="J533" s="1945"/>
      <c r="K533" s="1945"/>
      <c r="L533" s="1252">
        <v>1098535.23</v>
      </c>
      <c r="M533" s="1253"/>
      <c r="N533" s="1254"/>
      <c r="T533" s="1220"/>
      <c r="U533" s="1221"/>
      <c r="V533" s="1221"/>
      <c r="AB533" s="1221"/>
      <c r="AC533" s="1221"/>
      <c r="AD533" s="1198" t="s">
        <v>407</v>
      </c>
      <c r="AE533" s="1221"/>
      <c r="AF533" s="1261"/>
    </row>
    <row r="534" spans="1:32" s="1194" customFormat="1" ht="12" x14ac:dyDescent="0.2">
      <c r="A534" s="1251"/>
      <c r="B534" s="1230"/>
      <c r="C534" s="1945" t="s">
        <v>8993</v>
      </c>
      <c r="D534" s="1945"/>
      <c r="E534" s="1945"/>
      <c r="F534" s="1945"/>
      <c r="G534" s="1945"/>
      <c r="H534" s="1945"/>
      <c r="I534" s="1945"/>
      <c r="J534" s="1945"/>
      <c r="K534" s="1945"/>
      <c r="L534" s="1252"/>
      <c r="M534" s="1253"/>
      <c r="N534" s="1254"/>
      <c r="T534" s="1220"/>
      <c r="U534" s="1221"/>
      <c r="V534" s="1221"/>
      <c r="AB534" s="1221"/>
      <c r="AC534" s="1221"/>
      <c r="AD534" s="1198" t="s">
        <v>8993</v>
      </c>
      <c r="AE534" s="1221"/>
      <c r="AF534" s="1261"/>
    </row>
    <row r="535" spans="1:32" s="1194" customFormat="1" ht="12" x14ac:dyDescent="0.2">
      <c r="A535" s="1251"/>
      <c r="B535" s="1230"/>
      <c r="C535" s="1945" t="s">
        <v>546</v>
      </c>
      <c r="D535" s="1945"/>
      <c r="E535" s="1945"/>
      <c r="F535" s="1945"/>
      <c r="G535" s="1945"/>
      <c r="H535" s="1945"/>
      <c r="I535" s="1945"/>
      <c r="J535" s="1945"/>
      <c r="K535" s="1945"/>
      <c r="L535" s="1252">
        <v>7695.62</v>
      </c>
      <c r="M535" s="1253"/>
      <c r="N535" s="1254"/>
      <c r="T535" s="1220"/>
      <c r="U535" s="1221"/>
      <c r="V535" s="1221"/>
      <c r="AB535" s="1221"/>
      <c r="AC535" s="1221"/>
      <c r="AD535" s="1198" t="s">
        <v>546</v>
      </c>
      <c r="AE535" s="1221"/>
      <c r="AF535" s="1261"/>
    </row>
    <row r="536" spans="1:32" s="1194" customFormat="1" ht="12" x14ac:dyDescent="0.2">
      <c r="A536" s="1251"/>
      <c r="B536" s="1230"/>
      <c r="C536" s="1945" t="s">
        <v>442</v>
      </c>
      <c r="D536" s="1945"/>
      <c r="E536" s="1945"/>
      <c r="F536" s="1945"/>
      <c r="G536" s="1945"/>
      <c r="H536" s="1945"/>
      <c r="I536" s="1945"/>
      <c r="J536" s="1945"/>
      <c r="K536" s="1945"/>
      <c r="L536" s="1252">
        <v>534733.31999999995</v>
      </c>
      <c r="M536" s="1253"/>
      <c r="N536" s="1254"/>
      <c r="T536" s="1220"/>
      <c r="U536" s="1221"/>
      <c r="V536" s="1221"/>
      <c r="AB536" s="1221"/>
      <c r="AC536" s="1221"/>
      <c r="AD536" s="1198" t="s">
        <v>442</v>
      </c>
      <c r="AE536" s="1221"/>
      <c r="AF536" s="1261"/>
    </row>
    <row r="537" spans="1:32" s="1194" customFormat="1" ht="12" x14ac:dyDescent="0.2">
      <c r="A537" s="1251"/>
      <c r="B537" s="1230"/>
      <c r="C537" s="1945" t="s">
        <v>8995</v>
      </c>
      <c r="D537" s="1945"/>
      <c r="E537" s="1945"/>
      <c r="F537" s="1945"/>
      <c r="G537" s="1945"/>
      <c r="H537" s="1945"/>
      <c r="I537" s="1945"/>
      <c r="J537" s="1945"/>
      <c r="K537" s="1945"/>
      <c r="L537" s="1252">
        <v>6928.68</v>
      </c>
      <c r="M537" s="1253"/>
      <c r="N537" s="1254"/>
      <c r="T537" s="1220"/>
      <c r="U537" s="1221"/>
      <c r="V537" s="1221"/>
      <c r="AB537" s="1221"/>
      <c r="AC537" s="1221"/>
      <c r="AD537" s="1198" t="s">
        <v>8995</v>
      </c>
      <c r="AE537" s="1221"/>
      <c r="AF537" s="1261"/>
    </row>
    <row r="538" spans="1:32" s="1194" customFormat="1" ht="12" x14ac:dyDescent="0.2">
      <c r="A538" s="1251"/>
      <c r="B538" s="1230"/>
      <c r="C538" s="1945" t="s">
        <v>547</v>
      </c>
      <c r="D538" s="1945"/>
      <c r="E538" s="1945"/>
      <c r="F538" s="1945"/>
      <c r="G538" s="1945"/>
      <c r="H538" s="1945"/>
      <c r="I538" s="1945"/>
      <c r="J538" s="1945"/>
      <c r="K538" s="1945"/>
      <c r="L538" s="1252">
        <v>534756.22</v>
      </c>
      <c r="M538" s="1253"/>
      <c r="N538" s="1254"/>
      <c r="T538" s="1220"/>
      <c r="U538" s="1221"/>
      <c r="V538" s="1221"/>
      <c r="AB538" s="1221"/>
      <c r="AC538" s="1221"/>
      <c r="AD538" s="1198" t="s">
        <v>547</v>
      </c>
      <c r="AE538" s="1221"/>
      <c r="AF538" s="1261"/>
    </row>
    <row r="539" spans="1:32" s="1194" customFormat="1" ht="12" x14ac:dyDescent="0.2">
      <c r="A539" s="1251"/>
      <c r="B539" s="1230"/>
      <c r="C539" s="1945" t="s">
        <v>443</v>
      </c>
      <c r="D539" s="1945"/>
      <c r="E539" s="1945"/>
      <c r="F539" s="1945"/>
      <c r="G539" s="1945"/>
      <c r="H539" s="1945"/>
      <c r="I539" s="1945"/>
      <c r="J539" s="1945"/>
      <c r="K539" s="1945"/>
      <c r="L539" s="1252">
        <v>13746.43</v>
      </c>
      <c r="M539" s="1253"/>
      <c r="N539" s="1254"/>
      <c r="T539" s="1220"/>
      <c r="U539" s="1221"/>
      <c r="V539" s="1221"/>
      <c r="AB539" s="1221"/>
      <c r="AC539" s="1221"/>
      <c r="AD539" s="1198" t="s">
        <v>443</v>
      </c>
      <c r="AE539" s="1221"/>
      <c r="AF539" s="1261"/>
    </row>
    <row r="540" spans="1:32" s="1194" customFormat="1" ht="12" x14ac:dyDescent="0.2">
      <c r="A540" s="1251"/>
      <c r="B540" s="1230"/>
      <c r="C540" s="1945" t="s">
        <v>444</v>
      </c>
      <c r="D540" s="1945"/>
      <c r="E540" s="1945"/>
      <c r="F540" s="1945"/>
      <c r="G540" s="1945"/>
      <c r="H540" s="1945"/>
      <c r="I540" s="1945"/>
      <c r="J540" s="1945"/>
      <c r="K540" s="1945"/>
      <c r="L540" s="1252">
        <v>7603.64</v>
      </c>
      <c r="M540" s="1253"/>
      <c r="N540" s="1254"/>
      <c r="T540" s="1220"/>
      <c r="U540" s="1221"/>
      <c r="V540" s="1221"/>
      <c r="AB540" s="1221"/>
      <c r="AC540" s="1221"/>
      <c r="AD540" s="1198" t="s">
        <v>444</v>
      </c>
      <c r="AE540" s="1221"/>
      <c r="AF540" s="1261"/>
    </row>
    <row r="541" spans="1:32" s="1194" customFormat="1" ht="12" x14ac:dyDescent="0.2">
      <c r="A541" s="1251"/>
      <c r="B541" s="1230"/>
      <c r="C541" s="1945" t="s">
        <v>415</v>
      </c>
      <c r="D541" s="1945"/>
      <c r="E541" s="1945"/>
      <c r="F541" s="1945"/>
      <c r="G541" s="1945"/>
      <c r="H541" s="1945"/>
      <c r="I541" s="1945"/>
      <c r="J541" s="1945"/>
      <c r="K541" s="1945"/>
      <c r="L541" s="1252">
        <v>14624.3</v>
      </c>
      <c r="M541" s="1253"/>
      <c r="N541" s="1254"/>
      <c r="T541" s="1220"/>
      <c r="U541" s="1221"/>
      <c r="V541" s="1221"/>
      <c r="AB541" s="1221"/>
      <c r="AC541" s="1221"/>
      <c r="AD541" s="1198" t="s">
        <v>415</v>
      </c>
      <c r="AE541" s="1221"/>
      <c r="AF541" s="1261"/>
    </row>
    <row r="542" spans="1:32" s="1194" customFormat="1" ht="12" x14ac:dyDescent="0.2">
      <c r="A542" s="1251"/>
      <c r="B542" s="1230"/>
      <c r="C542" s="1945" t="s">
        <v>416</v>
      </c>
      <c r="D542" s="1945"/>
      <c r="E542" s="1945"/>
      <c r="F542" s="1945"/>
      <c r="G542" s="1945"/>
      <c r="H542" s="1945"/>
      <c r="I542" s="1945"/>
      <c r="J542" s="1945"/>
      <c r="K542" s="1945"/>
      <c r="L542" s="1252">
        <v>13746.43</v>
      </c>
      <c r="M542" s="1253"/>
      <c r="N542" s="1254"/>
      <c r="T542" s="1220"/>
      <c r="U542" s="1221"/>
      <c r="V542" s="1221"/>
      <c r="AB542" s="1221"/>
      <c r="AC542" s="1221"/>
      <c r="AD542" s="1198" t="s">
        <v>416</v>
      </c>
      <c r="AE542" s="1221"/>
      <c r="AF542" s="1261"/>
    </row>
    <row r="543" spans="1:32" s="1194" customFormat="1" ht="12" x14ac:dyDescent="0.2">
      <c r="A543" s="1251"/>
      <c r="B543" s="1230"/>
      <c r="C543" s="1945" t="s">
        <v>417</v>
      </c>
      <c r="D543" s="1945"/>
      <c r="E543" s="1945"/>
      <c r="F543" s="1945"/>
      <c r="G543" s="1945"/>
      <c r="H543" s="1945"/>
      <c r="I543" s="1945"/>
      <c r="J543" s="1945"/>
      <c r="K543" s="1945"/>
      <c r="L543" s="1252">
        <v>7603.64</v>
      </c>
      <c r="M543" s="1253"/>
      <c r="N543" s="1254"/>
      <c r="T543" s="1220"/>
      <c r="U543" s="1221"/>
      <c r="V543" s="1221"/>
      <c r="AB543" s="1221"/>
      <c r="AC543" s="1221"/>
      <c r="AD543" s="1198" t="s">
        <v>417</v>
      </c>
      <c r="AE543" s="1221"/>
      <c r="AF543" s="1261"/>
    </row>
    <row r="544" spans="1:32" s="1194" customFormat="1" ht="12" x14ac:dyDescent="0.2">
      <c r="A544" s="1251"/>
      <c r="B544" s="1245"/>
      <c r="C544" s="1963" t="s">
        <v>9432</v>
      </c>
      <c r="D544" s="1963"/>
      <c r="E544" s="1963"/>
      <c r="F544" s="1963"/>
      <c r="G544" s="1963"/>
      <c r="H544" s="1963"/>
      <c r="I544" s="1963"/>
      <c r="J544" s="1963"/>
      <c r="K544" s="1963"/>
      <c r="L544" s="1255">
        <v>1098535.23</v>
      </c>
      <c r="M544" s="1256"/>
      <c r="N544" s="1257"/>
      <c r="T544" s="1220"/>
      <c r="U544" s="1221"/>
      <c r="V544" s="1221"/>
      <c r="AB544" s="1221"/>
      <c r="AC544" s="1221"/>
      <c r="AE544" s="1221" t="s">
        <v>9432</v>
      </c>
      <c r="AF544" s="1261"/>
    </row>
    <row r="545" spans="1:32" s="1194" customFormat="1" ht="12" x14ac:dyDescent="0.2">
      <c r="A545" s="1251"/>
      <c r="B545" s="1230"/>
      <c r="C545" s="1945" t="s">
        <v>8993</v>
      </c>
      <c r="D545" s="1945"/>
      <c r="E545" s="1945"/>
      <c r="F545" s="1945"/>
      <c r="G545" s="1945"/>
      <c r="H545" s="1945"/>
      <c r="I545" s="1945"/>
      <c r="J545" s="1945"/>
      <c r="K545" s="1945"/>
      <c r="L545" s="1252"/>
      <c r="M545" s="1253"/>
      <c r="N545" s="1254"/>
      <c r="T545" s="1220"/>
      <c r="U545" s="1221"/>
      <c r="V545" s="1221"/>
      <c r="AB545" s="1221"/>
      <c r="AC545" s="1221"/>
      <c r="AD545" s="1198" t="s">
        <v>8993</v>
      </c>
      <c r="AE545" s="1221"/>
      <c r="AF545" s="1261"/>
    </row>
    <row r="546" spans="1:32" s="1194" customFormat="1" ht="12" x14ac:dyDescent="0.2">
      <c r="A546" s="1251"/>
      <c r="B546" s="1230"/>
      <c r="C546" s="1945" t="s">
        <v>8095</v>
      </c>
      <c r="D546" s="1945"/>
      <c r="E546" s="1945"/>
      <c r="F546" s="1945"/>
      <c r="G546" s="1945"/>
      <c r="H546" s="1945"/>
      <c r="I546" s="1945"/>
      <c r="J546" s="1945"/>
      <c r="K546" s="1945"/>
      <c r="L546" s="1252">
        <v>517664.3</v>
      </c>
      <c r="M546" s="1253"/>
      <c r="N546" s="1254"/>
      <c r="T546" s="1220"/>
      <c r="U546" s="1221"/>
      <c r="V546" s="1221"/>
      <c r="AB546" s="1221"/>
      <c r="AC546" s="1221"/>
      <c r="AD546" s="1198" t="s">
        <v>8095</v>
      </c>
      <c r="AE546" s="1221"/>
      <c r="AF546" s="1261"/>
    </row>
    <row r="547" spans="1:32" s="1194" customFormat="1" ht="12" x14ac:dyDescent="0.2">
      <c r="A547" s="1956" t="s">
        <v>9433</v>
      </c>
      <c r="B547" s="1957"/>
      <c r="C547" s="1957"/>
      <c r="D547" s="1957"/>
      <c r="E547" s="1957"/>
      <c r="F547" s="1957"/>
      <c r="G547" s="1957"/>
      <c r="H547" s="1957"/>
      <c r="I547" s="1957"/>
      <c r="J547" s="1957"/>
      <c r="K547" s="1957"/>
      <c r="L547" s="1957"/>
      <c r="M547" s="1957"/>
      <c r="N547" s="1958"/>
      <c r="T547" s="1220" t="s">
        <v>9433</v>
      </c>
      <c r="U547" s="1221"/>
      <c r="V547" s="1221"/>
      <c r="AB547" s="1221"/>
      <c r="AC547" s="1221"/>
      <c r="AE547" s="1221"/>
      <c r="AF547" s="1261"/>
    </row>
    <row r="548" spans="1:32" s="1194" customFormat="1" ht="22.5" x14ac:dyDescent="0.2">
      <c r="A548" s="1222" t="s">
        <v>793</v>
      </c>
      <c r="B548" s="1223" t="s">
        <v>9434</v>
      </c>
      <c r="C548" s="1953" t="s">
        <v>9435</v>
      </c>
      <c r="D548" s="1953"/>
      <c r="E548" s="1953"/>
      <c r="F548" s="1224" t="s">
        <v>865</v>
      </c>
      <c r="G548" s="1224"/>
      <c r="H548" s="1224"/>
      <c r="I548" s="1224" t="s">
        <v>9436</v>
      </c>
      <c r="J548" s="1225"/>
      <c r="K548" s="1224"/>
      <c r="L548" s="1225"/>
      <c r="M548" s="1224"/>
      <c r="N548" s="1226"/>
      <c r="T548" s="1220"/>
      <c r="U548" s="1221"/>
      <c r="V548" s="1221" t="s">
        <v>9435</v>
      </c>
      <c r="AB548" s="1221"/>
      <c r="AC548" s="1221"/>
      <c r="AE548" s="1221"/>
      <c r="AF548" s="1261"/>
    </row>
    <row r="549" spans="1:32" s="1194" customFormat="1" ht="33.75" x14ac:dyDescent="0.2">
      <c r="A549" s="1229"/>
      <c r="B549" s="1230" t="s">
        <v>310</v>
      </c>
      <c r="C549" s="1945" t="s">
        <v>311</v>
      </c>
      <c r="D549" s="1945"/>
      <c r="E549" s="1945"/>
      <c r="F549" s="1945"/>
      <c r="G549" s="1945"/>
      <c r="H549" s="1945"/>
      <c r="I549" s="1945"/>
      <c r="J549" s="1945"/>
      <c r="K549" s="1945"/>
      <c r="L549" s="1945"/>
      <c r="M549" s="1945"/>
      <c r="N549" s="1954"/>
      <c r="T549" s="1220"/>
      <c r="U549" s="1221"/>
      <c r="V549" s="1221"/>
      <c r="X549" s="1198" t="s">
        <v>311</v>
      </c>
      <c r="AB549" s="1221"/>
      <c r="AC549" s="1221"/>
      <c r="AE549" s="1221"/>
      <c r="AF549" s="1261"/>
    </row>
    <row r="550" spans="1:32" s="1194" customFormat="1" ht="12" x14ac:dyDescent="0.2">
      <c r="A550" s="1231"/>
      <c r="B550" s="1230" t="s">
        <v>185</v>
      </c>
      <c r="C550" s="1945" t="s">
        <v>312</v>
      </c>
      <c r="D550" s="1945"/>
      <c r="E550" s="1945"/>
      <c r="F550" s="1232"/>
      <c r="G550" s="1232"/>
      <c r="H550" s="1232"/>
      <c r="I550" s="1232"/>
      <c r="J550" s="1233">
        <v>13.52</v>
      </c>
      <c r="K550" s="1232" t="s">
        <v>313</v>
      </c>
      <c r="L550" s="1233">
        <v>7098</v>
      </c>
      <c r="M550" s="1232"/>
      <c r="N550" s="1234"/>
      <c r="T550" s="1220"/>
      <c r="U550" s="1221"/>
      <c r="V550" s="1221"/>
      <c r="Y550" s="1198" t="s">
        <v>312</v>
      </c>
      <c r="AB550" s="1221"/>
      <c r="AC550" s="1221"/>
      <c r="AE550" s="1221"/>
      <c r="AF550" s="1261"/>
    </row>
    <row r="551" spans="1:32" s="1194" customFormat="1" ht="12" x14ac:dyDescent="0.2">
      <c r="A551" s="1231"/>
      <c r="B551" s="1230"/>
      <c r="C551" s="1945" t="s">
        <v>314</v>
      </c>
      <c r="D551" s="1945"/>
      <c r="E551" s="1945"/>
      <c r="F551" s="1232" t="s">
        <v>315</v>
      </c>
      <c r="G551" s="1232" t="s">
        <v>1908</v>
      </c>
      <c r="H551" s="1232" t="s">
        <v>313</v>
      </c>
      <c r="I551" s="1232" t="s">
        <v>9437</v>
      </c>
      <c r="J551" s="1233"/>
      <c r="K551" s="1232"/>
      <c r="L551" s="1233"/>
      <c r="M551" s="1232"/>
      <c r="N551" s="1234"/>
      <c r="T551" s="1220"/>
      <c r="U551" s="1221"/>
      <c r="V551" s="1221"/>
      <c r="Z551" s="1198" t="s">
        <v>314</v>
      </c>
      <c r="AB551" s="1221"/>
      <c r="AC551" s="1221"/>
      <c r="AE551" s="1221"/>
      <c r="AF551" s="1261"/>
    </row>
    <row r="552" spans="1:32" s="1194" customFormat="1" ht="12" x14ac:dyDescent="0.2">
      <c r="A552" s="1231"/>
      <c r="B552" s="1230"/>
      <c r="C552" s="1962" t="s">
        <v>318</v>
      </c>
      <c r="D552" s="1962"/>
      <c r="E552" s="1962"/>
      <c r="F552" s="1235"/>
      <c r="G552" s="1235"/>
      <c r="H552" s="1235"/>
      <c r="I552" s="1235"/>
      <c r="J552" s="1236">
        <v>13.52</v>
      </c>
      <c r="K552" s="1235"/>
      <c r="L552" s="1236">
        <v>7098</v>
      </c>
      <c r="M552" s="1235"/>
      <c r="N552" s="1237"/>
      <c r="T552" s="1220"/>
      <c r="U552" s="1221"/>
      <c r="V552" s="1221"/>
      <c r="AA552" s="1198" t="s">
        <v>318</v>
      </c>
      <c r="AB552" s="1221"/>
      <c r="AC552" s="1221"/>
      <c r="AE552" s="1221"/>
      <c r="AF552" s="1261"/>
    </row>
    <row r="553" spans="1:32" s="1194" customFormat="1" ht="12" x14ac:dyDescent="0.2">
      <c r="A553" s="1231"/>
      <c r="B553" s="1230"/>
      <c r="C553" s="1945" t="s">
        <v>319</v>
      </c>
      <c r="D553" s="1945"/>
      <c r="E553" s="1945"/>
      <c r="F553" s="1232"/>
      <c r="G553" s="1232"/>
      <c r="H553" s="1232"/>
      <c r="I553" s="1232"/>
      <c r="J553" s="1233"/>
      <c r="K553" s="1232"/>
      <c r="L553" s="1233">
        <v>7098</v>
      </c>
      <c r="M553" s="1232"/>
      <c r="N553" s="1234"/>
      <c r="T553" s="1220"/>
      <c r="U553" s="1221"/>
      <c r="V553" s="1221"/>
      <c r="Z553" s="1198" t="s">
        <v>319</v>
      </c>
      <c r="AB553" s="1221"/>
      <c r="AC553" s="1221"/>
      <c r="AE553" s="1221"/>
      <c r="AF553" s="1261"/>
    </row>
    <row r="554" spans="1:32" s="1194" customFormat="1" ht="33.75" x14ac:dyDescent="0.2">
      <c r="A554" s="1231"/>
      <c r="B554" s="1230" t="s">
        <v>320</v>
      </c>
      <c r="C554" s="1945" t="s">
        <v>321</v>
      </c>
      <c r="D554" s="1945"/>
      <c r="E554" s="1945"/>
      <c r="F554" s="1232" t="s">
        <v>322</v>
      </c>
      <c r="G554" s="1232" t="s">
        <v>323</v>
      </c>
      <c r="H554" s="1232"/>
      <c r="I554" s="1232" t="s">
        <v>323</v>
      </c>
      <c r="J554" s="1233"/>
      <c r="K554" s="1232"/>
      <c r="L554" s="1233">
        <v>6317.22</v>
      </c>
      <c r="M554" s="1232"/>
      <c r="N554" s="1234"/>
      <c r="T554" s="1220"/>
      <c r="U554" s="1221"/>
      <c r="V554" s="1221"/>
      <c r="Z554" s="1198" t="s">
        <v>321</v>
      </c>
      <c r="AB554" s="1221"/>
      <c r="AC554" s="1221"/>
      <c r="AE554" s="1221"/>
      <c r="AF554" s="1261"/>
    </row>
    <row r="555" spans="1:32" s="1194" customFormat="1" ht="33.75" x14ac:dyDescent="0.2">
      <c r="A555" s="1231"/>
      <c r="B555" s="1230" t="s">
        <v>324</v>
      </c>
      <c r="C555" s="1945" t="s">
        <v>325</v>
      </c>
      <c r="D555" s="1945"/>
      <c r="E555" s="1945"/>
      <c r="F555" s="1232" t="s">
        <v>322</v>
      </c>
      <c r="G555" s="1232" t="s">
        <v>326</v>
      </c>
      <c r="H555" s="1232"/>
      <c r="I555" s="1232" t="s">
        <v>326</v>
      </c>
      <c r="J555" s="1233"/>
      <c r="K555" s="1232"/>
      <c r="L555" s="1233">
        <v>2910.18</v>
      </c>
      <c r="M555" s="1232"/>
      <c r="N555" s="1234"/>
      <c r="T555" s="1220"/>
      <c r="U555" s="1221"/>
      <c r="V555" s="1221"/>
      <c r="Z555" s="1198" t="s">
        <v>325</v>
      </c>
      <c r="AB555" s="1221"/>
      <c r="AC555" s="1221"/>
      <c r="AE555" s="1221"/>
      <c r="AF555" s="1261"/>
    </row>
    <row r="556" spans="1:32" s="1194" customFormat="1" ht="12" x14ac:dyDescent="0.2">
      <c r="A556" s="1238"/>
      <c r="B556" s="1239"/>
      <c r="C556" s="1953" t="s">
        <v>327</v>
      </c>
      <c r="D556" s="1953"/>
      <c r="E556" s="1953"/>
      <c r="F556" s="1224"/>
      <c r="G556" s="1224"/>
      <c r="H556" s="1224"/>
      <c r="I556" s="1224"/>
      <c r="J556" s="1225"/>
      <c r="K556" s="1224"/>
      <c r="L556" s="1225">
        <v>16325.4</v>
      </c>
      <c r="M556" s="1235"/>
      <c r="N556" s="1226"/>
      <c r="T556" s="1220"/>
      <c r="U556" s="1221"/>
      <c r="V556" s="1221"/>
      <c r="AB556" s="1221" t="s">
        <v>327</v>
      </c>
      <c r="AC556" s="1221"/>
      <c r="AE556" s="1221"/>
      <c r="AF556" s="1261"/>
    </row>
    <row r="557" spans="1:32" s="1194" customFormat="1" ht="33.75" x14ac:dyDescent="0.2">
      <c r="A557" s="1222" t="s">
        <v>653</v>
      </c>
      <c r="B557" s="1223" t="s">
        <v>9438</v>
      </c>
      <c r="C557" s="1953" t="s">
        <v>9439</v>
      </c>
      <c r="D557" s="1953"/>
      <c r="E557" s="1953"/>
      <c r="F557" s="1224" t="s">
        <v>1034</v>
      </c>
      <c r="G557" s="1224"/>
      <c r="H557" s="1224"/>
      <c r="I557" s="1224" t="s">
        <v>9440</v>
      </c>
      <c r="J557" s="1225"/>
      <c r="K557" s="1224"/>
      <c r="L557" s="1225"/>
      <c r="M557" s="1224"/>
      <c r="N557" s="1226"/>
      <c r="T557" s="1220"/>
      <c r="U557" s="1221"/>
      <c r="V557" s="1221" t="s">
        <v>9439</v>
      </c>
      <c r="AB557" s="1221"/>
      <c r="AC557" s="1221"/>
      <c r="AE557" s="1221"/>
      <c r="AF557" s="1261"/>
    </row>
    <row r="558" spans="1:32" s="1194" customFormat="1" ht="12" x14ac:dyDescent="0.2">
      <c r="A558" s="1227"/>
      <c r="B558" s="1228"/>
      <c r="C558" s="1945" t="s">
        <v>9441</v>
      </c>
      <c r="D558" s="1945"/>
      <c r="E558" s="1945"/>
      <c r="F558" s="1945"/>
      <c r="G558" s="1945"/>
      <c r="H558" s="1945"/>
      <c r="I558" s="1945"/>
      <c r="J558" s="1945"/>
      <c r="K558" s="1945"/>
      <c r="L558" s="1945"/>
      <c r="M558" s="1945"/>
      <c r="N558" s="1954"/>
      <c r="T558" s="1220"/>
      <c r="U558" s="1221"/>
      <c r="V558" s="1221"/>
      <c r="W558" s="1198" t="s">
        <v>9441</v>
      </c>
      <c r="AB558" s="1221"/>
      <c r="AC558" s="1221"/>
      <c r="AE558" s="1221"/>
      <c r="AF558" s="1261"/>
    </row>
    <row r="559" spans="1:32" s="1194" customFormat="1" ht="33.75" x14ac:dyDescent="0.2">
      <c r="A559" s="1229"/>
      <c r="B559" s="1230" t="s">
        <v>310</v>
      </c>
      <c r="C559" s="1945" t="s">
        <v>311</v>
      </c>
      <c r="D559" s="1945"/>
      <c r="E559" s="1945"/>
      <c r="F559" s="1945"/>
      <c r="G559" s="1945"/>
      <c r="H559" s="1945"/>
      <c r="I559" s="1945"/>
      <c r="J559" s="1945"/>
      <c r="K559" s="1945"/>
      <c r="L559" s="1945"/>
      <c r="M559" s="1945"/>
      <c r="N559" s="1954"/>
      <c r="T559" s="1220"/>
      <c r="U559" s="1221"/>
      <c r="V559" s="1221"/>
      <c r="X559" s="1198" t="s">
        <v>311</v>
      </c>
      <c r="AB559" s="1221"/>
      <c r="AC559" s="1221"/>
      <c r="AE559" s="1221"/>
      <c r="AF559" s="1261"/>
    </row>
    <row r="560" spans="1:32" s="1194" customFormat="1" ht="12" x14ac:dyDescent="0.2">
      <c r="A560" s="1231"/>
      <c r="B560" s="1230" t="s">
        <v>185</v>
      </c>
      <c r="C560" s="1945" t="s">
        <v>312</v>
      </c>
      <c r="D560" s="1945"/>
      <c r="E560" s="1945"/>
      <c r="F560" s="1232"/>
      <c r="G560" s="1232"/>
      <c r="H560" s="1232"/>
      <c r="I560" s="1232"/>
      <c r="J560" s="1233">
        <v>1043.6300000000001</v>
      </c>
      <c r="K560" s="1232" t="s">
        <v>313</v>
      </c>
      <c r="L560" s="1233">
        <v>547.91</v>
      </c>
      <c r="M560" s="1232"/>
      <c r="N560" s="1234"/>
      <c r="T560" s="1220"/>
      <c r="U560" s="1221"/>
      <c r="V560" s="1221"/>
      <c r="Y560" s="1198" t="s">
        <v>312</v>
      </c>
      <c r="AB560" s="1221"/>
      <c r="AC560" s="1221"/>
      <c r="AE560" s="1221"/>
      <c r="AF560" s="1261"/>
    </row>
    <row r="561" spans="1:32" s="1194" customFormat="1" ht="12" x14ac:dyDescent="0.2">
      <c r="A561" s="1231"/>
      <c r="B561" s="1230" t="s">
        <v>186</v>
      </c>
      <c r="C561" s="1945" t="s">
        <v>344</v>
      </c>
      <c r="D561" s="1945"/>
      <c r="E561" s="1945"/>
      <c r="F561" s="1232"/>
      <c r="G561" s="1232"/>
      <c r="H561" s="1232"/>
      <c r="I561" s="1232"/>
      <c r="J561" s="1233">
        <v>1498.61</v>
      </c>
      <c r="K561" s="1232" t="s">
        <v>313</v>
      </c>
      <c r="L561" s="1233">
        <v>786.77</v>
      </c>
      <c r="M561" s="1232"/>
      <c r="N561" s="1234"/>
      <c r="T561" s="1220"/>
      <c r="U561" s="1221"/>
      <c r="V561" s="1221"/>
      <c r="Y561" s="1198" t="s">
        <v>344</v>
      </c>
      <c r="AB561" s="1221"/>
      <c r="AC561" s="1221"/>
      <c r="AE561" s="1221"/>
      <c r="AF561" s="1261"/>
    </row>
    <row r="562" spans="1:32" s="1194" customFormat="1" ht="12" x14ac:dyDescent="0.2">
      <c r="A562" s="1231"/>
      <c r="B562" s="1230" t="s">
        <v>187</v>
      </c>
      <c r="C562" s="1945" t="s">
        <v>345</v>
      </c>
      <c r="D562" s="1945"/>
      <c r="E562" s="1945"/>
      <c r="F562" s="1232"/>
      <c r="G562" s="1232"/>
      <c r="H562" s="1232"/>
      <c r="I562" s="1232"/>
      <c r="J562" s="1233">
        <v>228.5</v>
      </c>
      <c r="K562" s="1232" t="s">
        <v>313</v>
      </c>
      <c r="L562" s="1233">
        <v>119.96</v>
      </c>
      <c r="M562" s="1232"/>
      <c r="N562" s="1234"/>
      <c r="T562" s="1220"/>
      <c r="U562" s="1221"/>
      <c r="V562" s="1221"/>
      <c r="Y562" s="1198" t="s">
        <v>345</v>
      </c>
      <c r="AB562" s="1221"/>
      <c r="AC562" s="1221"/>
      <c r="AE562" s="1221"/>
      <c r="AF562" s="1261"/>
    </row>
    <row r="563" spans="1:32" s="1194" customFormat="1" ht="12" x14ac:dyDescent="0.2">
      <c r="A563" s="1231"/>
      <c r="B563" s="1230" t="s">
        <v>188</v>
      </c>
      <c r="C563" s="1945" t="s">
        <v>475</v>
      </c>
      <c r="D563" s="1945"/>
      <c r="E563" s="1945"/>
      <c r="F563" s="1232"/>
      <c r="G563" s="1232"/>
      <c r="H563" s="1232"/>
      <c r="I563" s="1232"/>
      <c r="J563" s="1233">
        <v>19221.400000000001</v>
      </c>
      <c r="K563" s="1232"/>
      <c r="L563" s="1233">
        <v>8072.99</v>
      </c>
      <c r="M563" s="1232"/>
      <c r="N563" s="1234"/>
      <c r="T563" s="1220"/>
      <c r="U563" s="1221"/>
      <c r="V563" s="1221"/>
      <c r="Y563" s="1198" t="s">
        <v>475</v>
      </c>
      <c r="AB563" s="1221"/>
      <c r="AC563" s="1221"/>
      <c r="AE563" s="1221"/>
      <c r="AF563" s="1261"/>
    </row>
    <row r="564" spans="1:32" s="1194" customFormat="1" ht="22.5" x14ac:dyDescent="0.2">
      <c r="A564" s="1227"/>
      <c r="B564" s="1258" t="s">
        <v>9442</v>
      </c>
      <c r="C564" s="1964" t="s">
        <v>9443</v>
      </c>
      <c r="D564" s="1964"/>
      <c r="E564" s="1964"/>
      <c r="F564" s="1259" t="s">
        <v>865</v>
      </c>
      <c r="G564" s="1259" t="s">
        <v>9444</v>
      </c>
      <c r="H564" s="1259"/>
      <c r="I564" s="1259" t="s">
        <v>9445</v>
      </c>
      <c r="J564" s="1230"/>
      <c r="K564" s="1232"/>
      <c r="L564" s="1233"/>
      <c r="M564" s="1232"/>
      <c r="N564" s="1260"/>
      <c r="T564" s="1220"/>
      <c r="U564" s="1221"/>
      <c r="V564" s="1221"/>
      <c r="AB564" s="1221"/>
      <c r="AC564" s="1221"/>
      <c r="AE564" s="1221"/>
      <c r="AF564" s="1261" t="s">
        <v>9443</v>
      </c>
    </row>
    <row r="565" spans="1:32" s="1194" customFormat="1" ht="22.5" x14ac:dyDescent="0.2">
      <c r="A565" s="1227"/>
      <c r="B565" s="1258" t="s">
        <v>9446</v>
      </c>
      <c r="C565" s="1964" t="s">
        <v>9447</v>
      </c>
      <c r="D565" s="1964"/>
      <c r="E565" s="1964"/>
      <c r="F565" s="1259" t="s">
        <v>617</v>
      </c>
      <c r="G565" s="1259" t="s">
        <v>525</v>
      </c>
      <c r="H565" s="1259"/>
      <c r="I565" s="1259" t="s">
        <v>525</v>
      </c>
      <c r="J565" s="1230"/>
      <c r="K565" s="1232"/>
      <c r="L565" s="1233"/>
      <c r="M565" s="1232"/>
      <c r="N565" s="1260"/>
      <c r="T565" s="1220"/>
      <c r="U565" s="1221"/>
      <c r="V565" s="1221"/>
      <c r="AB565" s="1221"/>
      <c r="AC565" s="1221"/>
      <c r="AE565" s="1221"/>
      <c r="AF565" s="1261" t="s">
        <v>9447</v>
      </c>
    </row>
    <row r="566" spans="1:32" s="1194" customFormat="1" ht="12" x14ac:dyDescent="0.2">
      <c r="A566" s="1231"/>
      <c r="B566" s="1230"/>
      <c r="C566" s="1945" t="s">
        <v>314</v>
      </c>
      <c r="D566" s="1945"/>
      <c r="E566" s="1945"/>
      <c r="F566" s="1232" t="s">
        <v>315</v>
      </c>
      <c r="G566" s="1232" t="s">
        <v>9448</v>
      </c>
      <c r="H566" s="1232" t="s">
        <v>313</v>
      </c>
      <c r="I566" s="1232" t="s">
        <v>9449</v>
      </c>
      <c r="J566" s="1233"/>
      <c r="K566" s="1232"/>
      <c r="L566" s="1233"/>
      <c r="M566" s="1232"/>
      <c r="N566" s="1234"/>
      <c r="T566" s="1220"/>
      <c r="U566" s="1221"/>
      <c r="V566" s="1221"/>
      <c r="Z566" s="1198" t="s">
        <v>314</v>
      </c>
      <c r="AB566" s="1221"/>
      <c r="AC566" s="1221"/>
      <c r="AE566" s="1221"/>
      <c r="AF566" s="1261"/>
    </row>
    <row r="567" spans="1:32" s="1194" customFormat="1" ht="12" x14ac:dyDescent="0.2">
      <c r="A567" s="1231"/>
      <c r="B567" s="1230"/>
      <c r="C567" s="1945" t="s">
        <v>348</v>
      </c>
      <c r="D567" s="1945"/>
      <c r="E567" s="1945"/>
      <c r="F567" s="1232" t="s">
        <v>315</v>
      </c>
      <c r="G567" s="1232" t="s">
        <v>9450</v>
      </c>
      <c r="H567" s="1232" t="s">
        <v>313</v>
      </c>
      <c r="I567" s="1232" t="s">
        <v>9451</v>
      </c>
      <c r="J567" s="1233"/>
      <c r="K567" s="1232"/>
      <c r="L567" s="1233"/>
      <c r="M567" s="1232"/>
      <c r="N567" s="1234"/>
      <c r="T567" s="1220"/>
      <c r="U567" s="1221"/>
      <c r="V567" s="1221"/>
      <c r="Z567" s="1198" t="s">
        <v>348</v>
      </c>
      <c r="AB567" s="1221"/>
      <c r="AC567" s="1221"/>
      <c r="AE567" s="1221"/>
      <c r="AF567" s="1261"/>
    </row>
    <row r="568" spans="1:32" s="1194" customFormat="1" ht="12" x14ac:dyDescent="0.2">
      <c r="A568" s="1231"/>
      <c r="B568" s="1230"/>
      <c r="C568" s="1962" t="s">
        <v>318</v>
      </c>
      <c r="D568" s="1962"/>
      <c r="E568" s="1962"/>
      <c r="F568" s="1235"/>
      <c r="G568" s="1235"/>
      <c r="H568" s="1235"/>
      <c r="I568" s="1235"/>
      <c r="J568" s="1236">
        <v>21763.64</v>
      </c>
      <c r="K568" s="1235"/>
      <c r="L568" s="1236">
        <v>9407.67</v>
      </c>
      <c r="M568" s="1235"/>
      <c r="N568" s="1237"/>
      <c r="T568" s="1220"/>
      <c r="U568" s="1221"/>
      <c r="V568" s="1221"/>
      <c r="AA568" s="1198" t="s">
        <v>318</v>
      </c>
      <c r="AB568" s="1221"/>
      <c r="AC568" s="1221"/>
      <c r="AE568" s="1221"/>
      <c r="AF568" s="1261"/>
    </row>
    <row r="569" spans="1:32" s="1194" customFormat="1" ht="12" x14ac:dyDescent="0.2">
      <c r="A569" s="1231"/>
      <c r="B569" s="1230"/>
      <c r="C569" s="1945" t="s">
        <v>319</v>
      </c>
      <c r="D569" s="1945"/>
      <c r="E569" s="1945"/>
      <c r="F569" s="1232"/>
      <c r="G569" s="1232"/>
      <c r="H569" s="1232"/>
      <c r="I569" s="1232"/>
      <c r="J569" s="1233"/>
      <c r="K569" s="1232"/>
      <c r="L569" s="1233">
        <v>667.87</v>
      </c>
      <c r="M569" s="1232"/>
      <c r="N569" s="1234"/>
      <c r="T569" s="1220"/>
      <c r="U569" s="1221"/>
      <c r="V569" s="1221"/>
      <c r="Z569" s="1198" t="s">
        <v>319</v>
      </c>
      <c r="AB569" s="1221"/>
      <c r="AC569" s="1221"/>
      <c r="AE569" s="1221"/>
      <c r="AF569" s="1261"/>
    </row>
    <row r="570" spans="1:32" s="1194" customFormat="1" ht="33.75" x14ac:dyDescent="0.2">
      <c r="A570" s="1231"/>
      <c r="B570" s="1230" t="s">
        <v>460</v>
      </c>
      <c r="C570" s="1945" t="s">
        <v>461</v>
      </c>
      <c r="D570" s="1945"/>
      <c r="E570" s="1945"/>
      <c r="F570" s="1232" t="s">
        <v>322</v>
      </c>
      <c r="G570" s="1232" t="s">
        <v>462</v>
      </c>
      <c r="H570" s="1232"/>
      <c r="I570" s="1232" t="s">
        <v>462</v>
      </c>
      <c r="J570" s="1233"/>
      <c r="K570" s="1232"/>
      <c r="L570" s="1233">
        <v>614.44000000000005</v>
      </c>
      <c r="M570" s="1232"/>
      <c r="N570" s="1234"/>
      <c r="T570" s="1220"/>
      <c r="U570" s="1221"/>
      <c r="V570" s="1221"/>
      <c r="Z570" s="1198" t="s">
        <v>461</v>
      </c>
      <c r="AB570" s="1221"/>
      <c r="AC570" s="1221"/>
      <c r="AE570" s="1221"/>
      <c r="AF570" s="1261"/>
    </row>
    <row r="571" spans="1:32" s="1194" customFormat="1" ht="33.75" x14ac:dyDescent="0.2">
      <c r="A571" s="1231"/>
      <c r="B571" s="1230" t="s">
        <v>463</v>
      </c>
      <c r="C571" s="1945" t="s">
        <v>464</v>
      </c>
      <c r="D571" s="1945"/>
      <c r="E571" s="1945"/>
      <c r="F571" s="1232" t="s">
        <v>322</v>
      </c>
      <c r="G571" s="1232" t="s">
        <v>465</v>
      </c>
      <c r="H571" s="1232"/>
      <c r="I571" s="1232" t="s">
        <v>465</v>
      </c>
      <c r="J571" s="1233"/>
      <c r="K571" s="1232"/>
      <c r="L571" s="1233">
        <v>307.22000000000003</v>
      </c>
      <c r="M571" s="1232"/>
      <c r="N571" s="1234"/>
      <c r="T571" s="1220"/>
      <c r="U571" s="1221"/>
      <c r="V571" s="1221"/>
      <c r="Z571" s="1198" t="s">
        <v>464</v>
      </c>
      <c r="AB571" s="1221"/>
      <c r="AC571" s="1221"/>
      <c r="AE571" s="1221"/>
      <c r="AF571" s="1261"/>
    </row>
    <row r="572" spans="1:32" s="1194" customFormat="1" ht="12" x14ac:dyDescent="0.2">
      <c r="A572" s="1238"/>
      <c r="B572" s="1239"/>
      <c r="C572" s="1953" t="s">
        <v>327</v>
      </c>
      <c r="D572" s="1953"/>
      <c r="E572" s="1953"/>
      <c r="F572" s="1224"/>
      <c r="G572" s="1224"/>
      <c r="H572" s="1224"/>
      <c r="I572" s="1224"/>
      <c r="J572" s="1225"/>
      <c r="K572" s="1224"/>
      <c r="L572" s="1225">
        <v>10329.33</v>
      </c>
      <c r="M572" s="1235"/>
      <c r="N572" s="1226"/>
      <c r="T572" s="1220"/>
      <c r="U572" s="1221"/>
      <c r="V572" s="1221"/>
      <c r="AB572" s="1221" t="s">
        <v>327</v>
      </c>
      <c r="AC572" s="1221"/>
      <c r="AE572" s="1221"/>
      <c r="AF572" s="1261"/>
    </row>
    <row r="573" spans="1:32" s="1194" customFormat="1" ht="56.25" x14ac:dyDescent="0.2">
      <c r="A573" s="1222" t="s">
        <v>794</v>
      </c>
      <c r="B573" s="1223" t="s">
        <v>9452</v>
      </c>
      <c r="C573" s="1953" t="s">
        <v>9453</v>
      </c>
      <c r="D573" s="1953"/>
      <c r="E573" s="1953"/>
      <c r="F573" s="1224" t="s">
        <v>865</v>
      </c>
      <c r="G573" s="1224"/>
      <c r="H573" s="1224"/>
      <c r="I573" s="1224" t="s">
        <v>9445</v>
      </c>
      <c r="J573" s="1225">
        <v>37.24</v>
      </c>
      <c r="K573" s="1224"/>
      <c r="L573" s="1225">
        <v>22339.75</v>
      </c>
      <c r="M573" s="1224"/>
      <c r="N573" s="1226"/>
      <c r="T573" s="1220"/>
      <c r="U573" s="1221"/>
      <c r="V573" s="1221" t="s">
        <v>9453</v>
      </c>
      <c r="AB573" s="1221"/>
      <c r="AC573" s="1221"/>
      <c r="AE573" s="1221"/>
      <c r="AF573" s="1261"/>
    </row>
    <row r="574" spans="1:32" s="1194" customFormat="1" ht="12" x14ac:dyDescent="0.2">
      <c r="A574" s="1238"/>
      <c r="B574" s="1239"/>
      <c r="C574" s="1196" t="s">
        <v>717</v>
      </c>
      <c r="D574" s="1240"/>
      <c r="E574" s="1240"/>
      <c r="F574" s="1241"/>
      <c r="G574" s="1241"/>
      <c r="H574" s="1241"/>
      <c r="I574" s="1241"/>
      <c r="J574" s="1242"/>
      <c r="K574" s="1241"/>
      <c r="L574" s="1242"/>
      <c r="M574" s="1243"/>
      <c r="N574" s="1244"/>
      <c r="T574" s="1220"/>
      <c r="U574" s="1221"/>
      <c r="V574" s="1221"/>
      <c r="AB574" s="1221"/>
      <c r="AC574" s="1221"/>
      <c r="AE574" s="1221"/>
      <c r="AF574" s="1261"/>
    </row>
    <row r="575" spans="1:32" s="1194" customFormat="1" ht="1.5" customHeight="1" x14ac:dyDescent="0.2">
      <c r="A575" s="1241"/>
      <c r="B575" s="1239"/>
      <c r="C575" s="1239"/>
      <c r="D575" s="1239"/>
      <c r="E575" s="1239"/>
      <c r="F575" s="1241"/>
      <c r="G575" s="1241"/>
      <c r="H575" s="1241"/>
      <c r="I575" s="1241"/>
      <c r="J575" s="1245"/>
      <c r="K575" s="1241"/>
      <c r="L575" s="1245"/>
      <c r="M575" s="1232"/>
      <c r="N575" s="1245"/>
      <c r="T575" s="1220"/>
      <c r="U575" s="1221"/>
      <c r="V575" s="1221"/>
      <c r="AB575" s="1221"/>
      <c r="AC575" s="1221"/>
      <c r="AE575" s="1221"/>
      <c r="AF575" s="1261"/>
    </row>
    <row r="576" spans="1:32" s="1194" customFormat="1" ht="12" x14ac:dyDescent="0.2">
      <c r="A576" s="1246"/>
      <c r="B576" s="1247"/>
      <c r="C576" s="1953" t="s">
        <v>9454</v>
      </c>
      <c r="D576" s="1953"/>
      <c r="E576" s="1953"/>
      <c r="F576" s="1953"/>
      <c r="G576" s="1953"/>
      <c r="H576" s="1953"/>
      <c r="I576" s="1953"/>
      <c r="J576" s="1953"/>
      <c r="K576" s="1953"/>
      <c r="L576" s="1248"/>
      <c r="M576" s="1249"/>
      <c r="N576" s="1250"/>
      <c r="T576" s="1220"/>
      <c r="U576" s="1221"/>
      <c r="V576" s="1221"/>
      <c r="AB576" s="1221"/>
      <c r="AC576" s="1221" t="s">
        <v>9454</v>
      </c>
      <c r="AE576" s="1221"/>
      <c r="AF576" s="1261"/>
    </row>
    <row r="577" spans="1:32" s="1194" customFormat="1" ht="12" x14ac:dyDescent="0.2">
      <c r="A577" s="1251"/>
      <c r="B577" s="1230"/>
      <c r="C577" s="1945" t="s">
        <v>403</v>
      </c>
      <c r="D577" s="1945"/>
      <c r="E577" s="1945"/>
      <c r="F577" s="1945"/>
      <c r="G577" s="1945"/>
      <c r="H577" s="1945"/>
      <c r="I577" s="1945"/>
      <c r="J577" s="1945"/>
      <c r="K577" s="1945"/>
      <c r="L577" s="1252">
        <v>38845.42</v>
      </c>
      <c r="M577" s="1253"/>
      <c r="N577" s="1254"/>
      <c r="T577" s="1220"/>
      <c r="U577" s="1221"/>
      <c r="V577" s="1221"/>
      <c r="AB577" s="1221"/>
      <c r="AC577" s="1221"/>
      <c r="AD577" s="1198" t="s">
        <v>403</v>
      </c>
      <c r="AE577" s="1221"/>
      <c r="AF577" s="1261"/>
    </row>
    <row r="578" spans="1:32" s="1194" customFormat="1" ht="12" x14ac:dyDescent="0.2">
      <c r="A578" s="1251"/>
      <c r="B578" s="1230"/>
      <c r="C578" s="1945" t="s">
        <v>8993</v>
      </c>
      <c r="D578" s="1945"/>
      <c r="E578" s="1945"/>
      <c r="F578" s="1945"/>
      <c r="G578" s="1945"/>
      <c r="H578" s="1945"/>
      <c r="I578" s="1945"/>
      <c r="J578" s="1945"/>
      <c r="K578" s="1945"/>
      <c r="L578" s="1252"/>
      <c r="M578" s="1253"/>
      <c r="N578" s="1254"/>
      <c r="T578" s="1220"/>
      <c r="U578" s="1221"/>
      <c r="V578" s="1221"/>
      <c r="AB578" s="1221"/>
      <c r="AC578" s="1221"/>
      <c r="AD578" s="1198" t="s">
        <v>8993</v>
      </c>
      <c r="AE578" s="1221"/>
      <c r="AF578" s="1261"/>
    </row>
    <row r="579" spans="1:32" s="1194" customFormat="1" ht="12" x14ac:dyDescent="0.2">
      <c r="A579" s="1251"/>
      <c r="B579" s="1230"/>
      <c r="C579" s="1945" t="s">
        <v>404</v>
      </c>
      <c r="D579" s="1945"/>
      <c r="E579" s="1945"/>
      <c r="F579" s="1945"/>
      <c r="G579" s="1945"/>
      <c r="H579" s="1945"/>
      <c r="I579" s="1945"/>
      <c r="J579" s="1945"/>
      <c r="K579" s="1945"/>
      <c r="L579" s="1252">
        <v>7645.91</v>
      </c>
      <c r="M579" s="1253"/>
      <c r="N579" s="1254"/>
      <c r="T579" s="1220"/>
      <c r="U579" s="1221"/>
      <c r="V579" s="1221"/>
      <c r="AB579" s="1221"/>
      <c r="AC579" s="1221"/>
      <c r="AD579" s="1198" t="s">
        <v>404</v>
      </c>
      <c r="AE579" s="1221"/>
      <c r="AF579" s="1261"/>
    </row>
    <row r="580" spans="1:32" s="1194" customFormat="1" ht="12" x14ac:dyDescent="0.2">
      <c r="A580" s="1251"/>
      <c r="B580" s="1230"/>
      <c r="C580" s="1945" t="s">
        <v>405</v>
      </c>
      <c r="D580" s="1945"/>
      <c r="E580" s="1945"/>
      <c r="F580" s="1945"/>
      <c r="G580" s="1945"/>
      <c r="H580" s="1945"/>
      <c r="I580" s="1945"/>
      <c r="J580" s="1945"/>
      <c r="K580" s="1945"/>
      <c r="L580" s="1252">
        <v>786.77</v>
      </c>
      <c r="M580" s="1253"/>
      <c r="N580" s="1254"/>
      <c r="T580" s="1220"/>
      <c r="U580" s="1221"/>
      <c r="V580" s="1221"/>
      <c r="AB580" s="1221"/>
      <c r="AC580" s="1221"/>
      <c r="AD580" s="1198" t="s">
        <v>405</v>
      </c>
      <c r="AE580" s="1221"/>
      <c r="AF580" s="1261"/>
    </row>
    <row r="581" spans="1:32" s="1194" customFormat="1" ht="12" x14ac:dyDescent="0.2">
      <c r="A581" s="1251"/>
      <c r="B581" s="1230"/>
      <c r="C581" s="1945" t="s">
        <v>8994</v>
      </c>
      <c r="D581" s="1945"/>
      <c r="E581" s="1945"/>
      <c r="F581" s="1945"/>
      <c r="G581" s="1945"/>
      <c r="H581" s="1945"/>
      <c r="I581" s="1945"/>
      <c r="J581" s="1945"/>
      <c r="K581" s="1945"/>
      <c r="L581" s="1252">
        <v>119.96</v>
      </c>
      <c r="M581" s="1253"/>
      <c r="N581" s="1254"/>
      <c r="T581" s="1220"/>
      <c r="U581" s="1221"/>
      <c r="V581" s="1221"/>
      <c r="AB581" s="1221"/>
      <c r="AC581" s="1221"/>
      <c r="AD581" s="1198" t="s">
        <v>8994</v>
      </c>
      <c r="AE581" s="1221"/>
      <c r="AF581" s="1261"/>
    </row>
    <row r="582" spans="1:32" s="1194" customFormat="1" ht="12" x14ac:dyDescent="0.2">
      <c r="A582" s="1251"/>
      <c r="B582" s="1230"/>
      <c r="C582" s="1945" t="s">
        <v>480</v>
      </c>
      <c r="D582" s="1945"/>
      <c r="E582" s="1945"/>
      <c r="F582" s="1945"/>
      <c r="G582" s="1945"/>
      <c r="H582" s="1945"/>
      <c r="I582" s="1945"/>
      <c r="J582" s="1945"/>
      <c r="K582" s="1945"/>
      <c r="L582" s="1252">
        <v>30412.74</v>
      </c>
      <c r="M582" s="1253"/>
      <c r="N582" s="1254"/>
      <c r="T582" s="1220"/>
      <c r="U582" s="1221"/>
      <c r="V582" s="1221"/>
      <c r="AB582" s="1221"/>
      <c r="AC582" s="1221"/>
      <c r="AD582" s="1198" t="s">
        <v>480</v>
      </c>
      <c r="AE582" s="1221"/>
      <c r="AF582" s="1261"/>
    </row>
    <row r="583" spans="1:32" s="1194" customFormat="1" ht="12" x14ac:dyDescent="0.2">
      <c r="A583" s="1251"/>
      <c r="B583" s="1230"/>
      <c r="C583" s="1945" t="s">
        <v>407</v>
      </c>
      <c r="D583" s="1945"/>
      <c r="E583" s="1945"/>
      <c r="F583" s="1945"/>
      <c r="G583" s="1945"/>
      <c r="H583" s="1945"/>
      <c r="I583" s="1945"/>
      <c r="J583" s="1945"/>
      <c r="K583" s="1945"/>
      <c r="L583" s="1252">
        <v>48994.48</v>
      </c>
      <c r="M583" s="1253"/>
      <c r="N583" s="1254"/>
      <c r="T583" s="1220"/>
      <c r="U583" s="1221"/>
      <c r="V583" s="1221"/>
      <c r="AB583" s="1221"/>
      <c r="AC583" s="1221"/>
      <c r="AD583" s="1198" t="s">
        <v>407</v>
      </c>
      <c r="AE583" s="1221"/>
      <c r="AF583" s="1261"/>
    </row>
    <row r="584" spans="1:32" s="1194" customFormat="1" ht="12" x14ac:dyDescent="0.2">
      <c r="A584" s="1251"/>
      <c r="B584" s="1230"/>
      <c r="C584" s="1945" t="s">
        <v>8993</v>
      </c>
      <c r="D584" s="1945"/>
      <c r="E584" s="1945"/>
      <c r="F584" s="1945"/>
      <c r="G584" s="1945"/>
      <c r="H584" s="1945"/>
      <c r="I584" s="1945"/>
      <c r="J584" s="1945"/>
      <c r="K584" s="1945"/>
      <c r="L584" s="1252"/>
      <c r="M584" s="1253"/>
      <c r="N584" s="1254"/>
      <c r="T584" s="1220"/>
      <c r="U584" s="1221"/>
      <c r="V584" s="1221"/>
      <c r="AB584" s="1221"/>
      <c r="AC584" s="1221"/>
      <c r="AD584" s="1198" t="s">
        <v>8993</v>
      </c>
      <c r="AE584" s="1221"/>
      <c r="AF584" s="1261"/>
    </row>
    <row r="585" spans="1:32" s="1194" customFormat="1" ht="12" x14ac:dyDescent="0.2">
      <c r="A585" s="1251"/>
      <c r="B585" s="1230"/>
      <c r="C585" s="1945" t="s">
        <v>546</v>
      </c>
      <c r="D585" s="1945"/>
      <c r="E585" s="1945"/>
      <c r="F585" s="1945"/>
      <c r="G585" s="1945"/>
      <c r="H585" s="1945"/>
      <c r="I585" s="1945"/>
      <c r="J585" s="1945"/>
      <c r="K585" s="1945"/>
      <c r="L585" s="1252">
        <v>7645.91</v>
      </c>
      <c r="M585" s="1253"/>
      <c r="N585" s="1254"/>
      <c r="T585" s="1220"/>
      <c r="U585" s="1221"/>
      <c r="V585" s="1221"/>
      <c r="AB585" s="1221"/>
      <c r="AC585" s="1221"/>
      <c r="AD585" s="1198" t="s">
        <v>546</v>
      </c>
      <c r="AE585" s="1221"/>
      <c r="AF585" s="1261"/>
    </row>
    <row r="586" spans="1:32" s="1194" customFormat="1" ht="12" x14ac:dyDescent="0.2">
      <c r="A586" s="1251"/>
      <c r="B586" s="1230"/>
      <c r="C586" s="1945" t="s">
        <v>442</v>
      </c>
      <c r="D586" s="1945"/>
      <c r="E586" s="1945"/>
      <c r="F586" s="1945"/>
      <c r="G586" s="1945"/>
      <c r="H586" s="1945"/>
      <c r="I586" s="1945"/>
      <c r="J586" s="1945"/>
      <c r="K586" s="1945"/>
      <c r="L586" s="1252">
        <v>786.77</v>
      </c>
      <c r="M586" s="1253"/>
      <c r="N586" s="1254"/>
      <c r="T586" s="1220"/>
      <c r="U586" s="1221"/>
      <c r="V586" s="1221"/>
      <c r="AB586" s="1221"/>
      <c r="AC586" s="1221"/>
      <c r="AD586" s="1198" t="s">
        <v>442</v>
      </c>
      <c r="AE586" s="1221"/>
      <c r="AF586" s="1261"/>
    </row>
    <row r="587" spans="1:32" s="1194" customFormat="1" ht="12" x14ac:dyDescent="0.2">
      <c r="A587" s="1251"/>
      <c r="B587" s="1230"/>
      <c r="C587" s="1945" t="s">
        <v>8995</v>
      </c>
      <c r="D587" s="1945"/>
      <c r="E587" s="1945"/>
      <c r="F587" s="1945"/>
      <c r="G587" s="1945"/>
      <c r="H587" s="1945"/>
      <c r="I587" s="1945"/>
      <c r="J587" s="1945"/>
      <c r="K587" s="1945"/>
      <c r="L587" s="1252">
        <v>119.96</v>
      </c>
      <c r="M587" s="1253"/>
      <c r="N587" s="1254"/>
      <c r="T587" s="1220"/>
      <c r="U587" s="1221"/>
      <c r="V587" s="1221"/>
      <c r="AB587" s="1221"/>
      <c r="AC587" s="1221"/>
      <c r="AD587" s="1198" t="s">
        <v>8995</v>
      </c>
      <c r="AE587" s="1221"/>
      <c r="AF587" s="1261"/>
    </row>
    <row r="588" spans="1:32" s="1194" customFormat="1" ht="12" x14ac:dyDescent="0.2">
      <c r="A588" s="1251"/>
      <c r="B588" s="1230"/>
      <c r="C588" s="1945" t="s">
        <v>547</v>
      </c>
      <c r="D588" s="1945"/>
      <c r="E588" s="1945"/>
      <c r="F588" s="1945"/>
      <c r="G588" s="1945"/>
      <c r="H588" s="1945"/>
      <c r="I588" s="1945"/>
      <c r="J588" s="1945"/>
      <c r="K588" s="1945"/>
      <c r="L588" s="1252">
        <v>30412.74</v>
      </c>
      <c r="M588" s="1253"/>
      <c r="N588" s="1254"/>
      <c r="T588" s="1220"/>
      <c r="U588" s="1221"/>
      <c r="V588" s="1221"/>
      <c r="AB588" s="1221"/>
      <c r="AC588" s="1221"/>
      <c r="AD588" s="1198" t="s">
        <v>547</v>
      </c>
      <c r="AE588" s="1221"/>
      <c r="AF588" s="1261"/>
    </row>
    <row r="589" spans="1:32" s="1194" customFormat="1" ht="12" x14ac:dyDescent="0.2">
      <c r="A589" s="1251"/>
      <c r="B589" s="1230"/>
      <c r="C589" s="1945" t="s">
        <v>443</v>
      </c>
      <c r="D589" s="1945"/>
      <c r="E589" s="1945"/>
      <c r="F589" s="1945"/>
      <c r="G589" s="1945"/>
      <c r="H589" s="1945"/>
      <c r="I589" s="1945"/>
      <c r="J589" s="1945"/>
      <c r="K589" s="1945"/>
      <c r="L589" s="1252">
        <v>6931.66</v>
      </c>
      <c r="M589" s="1253"/>
      <c r="N589" s="1254"/>
      <c r="T589" s="1220"/>
      <c r="U589" s="1221"/>
      <c r="V589" s="1221"/>
      <c r="AB589" s="1221"/>
      <c r="AC589" s="1221"/>
      <c r="AD589" s="1198" t="s">
        <v>443</v>
      </c>
      <c r="AE589" s="1221"/>
      <c r="AF589" s="1261"/>
    </row>
    <row r="590" spans="1:32" s="1194" customFormat="1" ht="12" x14ac:dyDescent="0.2">
      <c r="A590" s="1251"/>
      <c r="B590" s="1230"/>
      <c r="C590" s="1945" t="s">
        <v>444</v>
      </c>
      <c r="D590" s="1945"/>
      <c r="E590" s="1945"/>
      <c r="F590" s="1945"/>
      <c r="G590" s="1945"/>
      <c r="H590" s="1945"/>
      <c r="I590" s="1945"/>
      <c r="J590" s="1945"/>
      <c r="K590" s="1945"/>
      <c r="L590" s="1252">
        <v>3217.4</v>
      </c>
      <c r="M590" s="1253"/>
      <c r="N590" s="1254"/>
      <c r="T590" s="1220"/>
      <c r="U590" s="1221"/>
      <c r="V590" s="1221"/>
      <c r="AB590" s="1221"/>
      <c r="AC590" s="1221"/>
      <c r="AD590" s="1198" t="s">
        <v>444</v>
      </c>
      <c r="AE590" s="1221"/>
      <c r="AF590" s="1261"/>
    </row>
    <row r="591" spans="1:32" s="1194" customFormat="1" ht="12" x14ac:dyDescent="0.2">
      <c r="A591" s="1251"/>
      <c r="B591" s="1230"/>
      <c r="C591" s="1945" t="s">
        <v>415</v>
      </c>
      <c r="D591" s="1945"/>
      <c r="E591" s="1945"/>
      <c r="F591" s="1945"/>
      <c r="G591" s="1945"/>
      <c r="H591" s="1945"/>
      <c r="I591" s="1945"/>
      <c r="J591" s="1945"/>
      <c r="K591" s="1945"/>
      <c r="L591" s="1252">
        <v>7765.87</v>
      </c>
      <c r="M591" s="1253"/>
      <c r="N591" s="1254"/>
      <c r="T591" s="1220"/>
      <c r="U591" s="1221"/>
      <c r="V591" s="1221"/>
      <c r="AB591" s="1221"/>
      <c r="AC591" s="1221"/>
      <c r="AD591" s="1198" t="s">
        <v>415</v>
      </c>
      <c r="AE591" s="1221"/>
      <c r="AF591" s="1261"/>
    </row>
    <row r="592" spans="1:32" s="1194" customFormat="1" ht="12" x14ac:dyDescent="0.2">
      <c r="A592" s="1251"/>
      <c r="B592" s="1230"/>
      <c r="C592" s="1945" t="s">
        <v>416</v>
      </c>
      <c r="D592" s="1945"/>
      <c r="E592" s="1945"/>
      <c r="F592" s="1945"/>
      <c r="G592" s="1945"/>
      <c r="H592" s="1945"/>
      <c r="I592" s="1945"/>
      <c r="J592" s="1945"/>
      <c r="K592" s="1945"/>
      <c r="L592" s="1252">
        <v>6931.66</v>
      </c>
      <c r="M592" s="1253"/>
      <c r="N592" s="1254"/>
      <c r="T592" s="1220"/>
      <c r="U592" s="1221"/>
      <c r="V592" s="1221"/>
      <c r="AB592" s="1221"/>
      <c r="AC592" s="1221"/>
      <c r="AD592" s="1198" t="s">
        <v>416</v>
      </c>
      <c r="AE592" s="1221"/>
      <c r="AF592" s="1261"/>
    </row>
    <row r="593" spans="1:35" s="1194" customFormat="1" ht="12" x14ac:dyDescent="0.2">
      <c r="A593" s="1251"/>
      <c r="B593" s="1230"/>
      <c r="C593" s="1945" t="s">
        <v>417</v>
      </c>
      <c r="D593" s="1945"/>
      <c r="E593" s="1945"/>
      <c r="F593" s="1945"/>
      <c r="G593" s="1945"/>
      <c r="H593" s="1945"/>
      <c r="I593" s="1945"/>
      <c r="J593" s="1945"/>
      <c r="K593" s="1945"/>
      <c r="L593" s="1252">
        <v>3217.4</v>
      </c>
      <c r="M593" s="1253"/>
      <c r="N593" s="1254"/>
      <c r="T593" s="1220"/>
      <c r="U593" s="1221"/>
      <c r="V593" s="1221"/>
      <c r="AB593" s="1221"/>
      <c r="AC593" s="1221"/>
      <c r="AD593" s="1198" t="s">
        <v>417</v>
      </c>
      <c r="AE593" s="1221"/>
      <c r="AF593" s="1261"/>
    </row>
    <row r="594" spans="1:35" s="1194" customFormat="1" ht="12" x14ac:dyDescent="0.2">
      <c r="A594" s="1251"/>
      <c r="B594" s="1245"/>
      <c r="C594" s="1963" t="s">
        <v>9455</v>
      </c>
      <c r="D594" s="1963"/>
      <c r="E594" s="1963"/>
      <c r="F594" s="1963"/>
      <c r="G594" s="1963"/>
      <c r="H594" s="1963"/>
      <c r="I594" s="1963"/>
      <c r="J594" s="1963"/>
      <c r="K594" s="1963"/>
      <c r="L594" s="1255">
        <v>48994.48</v>
      </c>
      <c r="M594" s="1256"/>
      <c r="N594" s="1257"/>
      <c r="T594" s="1220"/>
      <c r="U594" s="1221"/>
      <c r="V594" s="1221"/>
      <c r="AB594" s="1221"/>
      <c r="AC594" s="1221"/>
      <c r="AE594" s="1221" t="s">
        <v>9455</v>
      </c>
      <c r="AF594" s="1261"/>
    </row>
    <row r="595" spans="1:35" s="1194" customFormat="1" ht="2.25" customHeight="1" x14ac:dyDescent="0.2">
      <c r="B595" s="1197"/>
      <c r="C595" s="1197"/>
      <c r="D595" s="1197"/>
      <c r="E595" s="1197"/>
      <c r="F595" s="1197"/>
      <c r="G595" s="1197"/>
      <c r="H595" s="1197"/>
      <c r="I595" s="1197"/>
      <c r="J595" s="1197"/>
      <c r="K595" s="1197"/>
      <c r="L595" s="1262"/>
      <c r="M595" s="1263"/>
      <c r="N595" s="1264"/>
    </row>
    <row r="596" spans="1:35" s="1194" customFormat="1" x14ac:dyDescent="0.2">
      <c r="A596" s="1246"/>
      <c r="B596" s="1247"/>
      <c r="C596" s="1953" t="s">
        <v>205</v>
      </c>
      <c r="D596" s="1953"/>
      <c r="E596" s="1953"/>
      <c r="F596" s="1953"/>
      <c r="G596" s="1953"/>
      <c r="H596" s="1953"/>
      <c r="I596" s="1953"/>
      <c r="J596" s="1953"/>
      <c r="K596" s="1953"/>
      <c r="L596" s="1248"/>
      <c r="M596" s="1265"/>
      <c r="N596" s="1250"/>
      <c r="AH596" s="1221" t="s">
        <v>205</v>
      </c>
    </row>
    <row r="597" spans="1:35" s="1194" customFormat="1" x14ac:dyDescent="0.2">
      <c r="A597" s="1251"/>
      <c r="B597" s="1230"/>
      <c r="C597" s="1945" t="s">
        <v>403</v>
      </c>
      <c r="D597" s="1945"/>
      <c r="E597" s="1945"/>
      <c r="F597" s="1945"/>
      <c r="G597" s="1945"/>
      <c r="H597" s="1945"/>
      <c r="I597" s="1945"/>
      <c r="J597" s="1945"/>
      <c r="K597" s="1945"/>
      <c r="L597" s="1252">
        <v>4946954.3099999996</v>
      </c>
      <c r="M597" s="1266"/>
      <c r="N597" s="1254"/>
      <c r="AH597" s="1221"/>
      <c r="AI597" s="1198" t="s">
        <v>403</v>
      </c>
    </row>
    <row r="598" spans="1:35" s="1194" customFormat="1" x14ac:dyDescent="0.2">
      <c r="A598" s="1251"/>
      <c r="B598" s="1230"/>
      <c r="C598" s="1945" t="s">
        <v>8993</v>
      </c>
      <c r="D598" s="1945"/>
      <c r="E598" s="1945"/>
      <c r="F598" s="1945"/>
      <c r="G598" s="1945"/>
      <c r="H598" s="1945"/>
      <c r="I598" s="1945"/>
      <c r="J598" s="1945"/>
      <c r="K598" s="1945"/>
      <c r="L598" s="1252"/>
      <c r="M598" s="1266"/>
      <c r="N598" s="1254"/>
      <c r="AH598" s="1221"/>
      <c r="AI598" s="1198" t="s">
        <v>8993</v>
      </c>
    </row>
    <row r="599" spans="1:35" s="1194" customFormat="1" x14ac:dyDescent="0.2">
      <c r="A599" s="1251"/>
      <c r="B599" s="1230"/>
      <c r="C599" s="1945" t="s">
        <v>404</v>
      </c>
      <c r="D599" s="1945"/>
      <c r="E599" s="1945"/>
      <c r="F599" s="1945"/>
      <c r="G599" s="1945"/>
      <c r="H599" s="1945"/>
      <c r="I599" s="1945"/>
      <c r="J599" s="1945"/>
      <c r="K599" s="1945"/>
      <c r="L599" s="1252">
        <v>176054.14</v>
      </c>
      <c r="M599" s="1266"/>
      <c r="N599" s="1254"/>
      <c r="AH599" s="1221"/>
      <c r="AI599" s="1198" t="s">
        <v>404</v>
      </c>
    </row>
    <row r="600" spans="1:35" s="1194" customFormat="1" x14ac:dyDescent="0.2">
      <c r="A600" s="1251"/>
      <c r="B600" s="1230"/>
      <c r="C600" s="1945" t="s">
        <v>405</v>
      </c>
      <c r="D600" s="1945"/>
      <c r="E600" s="1945"/>
      <c r="F600" s="1945"/>
      <c r="G600" s="1945"/>
      <c r="H600" s="1945"/>
      <c r="I600" s="1945"/>
      <c r="J600" s="1945"/>
      <c r="K600" s="1945"/>
      <c r="L600" s="1252">
        <v>918446.13</v>
      </c>
      <c r="M600" s="1266"/>
      <c r="N600" s="1254"/>
      <c r="AH600" s="1221"/>
      <c r="AI600" s="1198" t="s">
        <v>405</v>
      </c>
    </row>
    <row r="601" spans="1:35" s="1194" customFormat="1" x14ac:dyDescent="0.2">
      <c r="A601" s="1251"/>
      <c r="B601" s="1230"/>
      <c r="C601" s="1945" t="s">
        <v>8994</v>
      </c>
      <c r="D601" s="1945"/>
      <c r="E601" s="1945"/>
      <c r="F601" s="1945"/>
      <c r="G601" s="1945"/>
      <c r="H601" s="1945"/>
      <c r="I601" s="1945"/>
      <c r="J601" s="1945"/>
      <c r="K601" s="1945"/>
      <c r="L601" s="1252">
        <v>41288.07</v>
      </c>
      <c r="M601" s="1266"/>
      <c r="N601" s="1254"/>
      <c r="AH601" s="1221"/>
      <c r="AI601" s="1198" t="s">
        <v>8994</v>
      </c>
    </row>
    <row r="602" spans="1:35" s="1194" customFormat="1" x14ac:dyDescent="0.2">
      <c r="A602" s="1251"/>
      <c r="B602" s="1230"/>
      <c r="C602" s="1945" t="s">
        <v>480</v>
      </c>
      <c r="D602" s="1945"/>
      <c r="E602" s="1945"/>
      <c r="F602" s="1945"/>
      <c r="G602" s="1945"/>
      <c r="H602" s="1945"/>
      <c r="I602" s="1945"/>
      <c r="J602" s="1945"/>
      <c r="K602" s="1945"/>
      <c r="L602" s="1252">
        <v>3852454.04</v>
      </c>
      <c r="M602" s="1266"/>
      <c r="N602" s="1254"/>
      <c r="AH602" s="1221"/>
      <c r="AI602" s="1198" t="s">
        <v>480</v>
      </c>
    </row>
    <row r="603" spans="1:35" s="1194" customFormat="1" x14ac:dyDescent="0.2">
      <c r="A603" s="1251"/>
      <c r="B603" s="1230"/>
      <c r="C603" s="1945" t="s">
        <v>407</v>
      </c>
      <c r="D603" s="1945"/>
      <c r="E603" s="1945"/>
      <c r="F603" s="1945"/>
      <c r="G603" s="1945"/>
      <c r="H603" s="1945"/>
      <c r="I603" s="1945"/>
      <c r="J603" s="1945"/>
      <c r="K603" s="1945"/>
      <c r="L603" s="1252">
        <v>5286692.0599999996</v>
      </c>
      <c r="M603" s="1266"/>
      <c r="N603" s="1254">
        <v>43985278</v>
      </c>
      <c r="AH603" s="1221"/>
      <c r="AI603" s="1198" t="s">
        <v>407</v>
      </c>
    </row>
    <row r="604" spans="1:35" s="1194" customFormat="1" x14ac:dyDescent="0.2">
      <c r="A604" s="1251"/>
      <c r="B604" s="1230" t="s">
        <v>185</v>
      </c>
      <c r="C604" s="1945" t="s">
        <v>408</v>
      </c>
      <c r="D604" s="1945"/>
      <c r="E604" s="1945"/>
      <c r="F604" s="1945"/>
      <c r="G604" s="1945"/>
      <c r="H604" s="1945"/>
      <c r="I604" s="1945"/>
      <c r="J604" s="1945"/>
      <c r="K604" s="1945"/>
      <c r="L604" s="1252">
        <v>5175275.03</v>
      </c>
      <c r="M604" s="1266" t="s">
        <v>9136</v>
      </c>
      <c r="N604" s="1254">
        <v>43058288</v>
      </c>
      <c r="AH604" s="1221"/>
      <c r="AI604" s="1198" t="s">
        <v>408</v>
      </c>
    </row>
    <row r="605" spans="1:35" s="1194" customFormat="1" x14ac:dyDescent="0.2">
      <c r="A605" s="1251"/>
      <c r="B605" s="1230"/>
      <c r="C605" s="1945" t="s">
        <v>9128</v>
      </c>
      <c r="D605" s="1945"/>
      <c r="E605" s="1945"/>
      <c r="F605" s="1945"/>
      <c r="G605" s="1945"/>
      <c r="H605" s="1945"/>
      <c r="I605" s="1945"/>
      <c r="J605" s="1945"/>
      <c r="K605" s="1945"/>
      <c r="L605" s="1252"/>
      <c r="M605" s="1266"/>
      <c r="N605" s="1254"/>
      <c r="AH605" s="1221"/>
      <c r="AI605" s="1198" t="s">
        <v>9128</v>
      </c>
    </row>
    <row r="606" spans="1:35" s="1194" customFormat="1" x14ac:dyDescent="0.2">
      <c r="A606" s="1251"/>
      <c r="B606" s="1230"/>
      <c r="C606" s="1945" t="s">
        <v>410</v>
      </c>
      <c r="D606" s="1945"/>
      <c r="E606" s="1945"/>
      <c r="F606" s="1945"/>
      <c r="G606" s="1945"/>
      <c r="H606" s="1945"/>
      <c r="I606" s="1945"/>
      <c r="J606" s="1945"/>
      <c r="K606" s="1945"/>
      <c r="L606" s="1252">
        <v>176054.14</v>
      </c>
      <c r="M606" s="1266"/>
      <c r="N606" s="1254"/>
      <c r="AH606" s="1221"/>
      <c r="AI606" s="1198" t="s">
        <v>410</v>
      </c>
    </row>
    <row r="607" spans="1:35" s="1194" customFormat="1" x14ac:dyDescent="0.2">
      <c r="A607" s="1251"/>
      <c r="B607" s="1230"/>
      <c r="C607" s="1945" t="s">
        <v>411</v>
      </c>
      <c r="D607" s="1945"/>
      <c r="E607" s="1945"/>
      <c r="F607" s="1945"/>
      <c r="G607" s="1945"/>
      <c r="H607" s="1945"/>
      <c r="I607" s="1945"/>
      <c r="J607" s="1945"/>
      <c r="K607" s="1945"/>
      <c r="L607" s="1252">
        <v>807029.1</v>
      </c>
      <c r="M607" s="1266"/>
      <c r="N607" s="1254"/>
      <c r="AH607" s="1221"/>
      <c r="AI607" s="1198" t="s">
        <v>411</v>
      </c>
    </row>
    <row r="608" spans="1:35" s="1194" customFormat="1" x14ac:dyDescent="0.2">
      <c r="A608" s="1251"/>
      <c r="B608" s="1230"/>
      <c r="C608" s="1945" t="s">
        <v>9129</v>
      </c>
      <c r="D608" s="1945"/>
      <c r="E608" s="1945"/>
      <c r="F608" s="1945"/>
      <c r="G608" s="1945"/>
      <c r="H608" s="1945"/>
      <c r="I608" s="1945"/>
      <c r="J608" s="1945"/>
      <c r="K608" s="1945"/>
      <c r="L608" s="1252">
        <v>41288.07</v>
      </c>
      <c r="M608" s="1266"/>
      <c r="N608" s="1254"/>
      <c r="AH608" s="1221"/>
      <c r="AI608" s="1198" t="s">
        <v>9129</v>
      </c>
    </row>
    <row r="609" spans="1:36" x14ac:dyDescent="0.2">
      <c r="A609" s="1251"/>
      <c r="B609" s="1230"/>
      <c r="C609" s="1945" t="s">
        <v>481</v>
      </c>
      <c r="D609" s="1945"/>
      <c r="E609" s="1945"/>
      <c r="F609" s="1945"/>
      <c r="G609" s="1945"/>
      <c r="H609" s="1945"/>
      <c r="I609" s="1945"/>
      <c r="J609" s="1945"/>
      <c r="K609" s="1945"/>
      <c r="L609" s="1252">
        <v>3852454.04</v>
      </c>
      <c r="M609" s="1266"/>
      <c r="N609" s="1254"/>
      <c r="P609" s="1194"/>
      <c r="Q609" s="1194"/>
      <c r="R609" s="1194"/>
      <c r="S609" s="1194"/>
      <c r="T609" s="1194"/>
      <c r="U609" s="1194"/>
      <c r="V609" s="1194"/>
      <c r="W609" s="1194"/>
      <c r="X609" s="1194"/>
      <c r="Y609" s="1194"/>
      <c r="Z609" s="1194"/>
      <c r="AA609" s="1194"/>
      <c r="AB609" s="1194"/>
      <c r="AC609" s="1194"/>
      <c r="AD609" s="1194"/>
      <c r="AE609" s="1194"/>
      <c r="AF609" s="1194"/>
      <c r="AG609" s="1194"/>
      <c r="AH609" s="1221"/>
      <c r="AI609" s="1198" t="s">
        <v>481</v>
      </c>
      <c r="AJ609" s="1194"/>
    </row>
    <row r="610" spans="1:36" x14ac:dyDescent="0.2">
      <c r="A610" s="1251"/>
      <c r="B610" s="1230"/>
      <c r="C610" s="1945" t="s">
        <v>412</v>
      </c>
      <c r="D610" s="1945"/>
      <c r="E610" s="1945"/>
      <c r="F610" s="1945"/>
      <c r="G610" s="1945"/>
      <c r="H610" s="1945"/>
      <c r="I610" s="1945"/>
      <c r="J610" s="1945"/>
      <c r="K610" s="1945"/>
      <c r="L610" s="1252">
        <v>217766.16</v>
      </c>
      <c r="M610" s="1266"/>
      <c r="N610" s="1254"/>
      <c r="P610" s="1194"/>
      <c r="Q610" s="1194"/>
      <c r="R610" s="1194"/>
      <c r="S610" s="1194"/>
      <c r="T610" s="1194"/>
      <c r="U610" s="1194"/>
      <c r="V610" s="1194"/>
      <c r="W610" s="1194"/>
      <c r="X610" s="1194"/>
      <c r="Y610" s="1194"/>
      <c r="Z610" s="1194"/>
      <c r="AA610" s="1194"/>
      <c r="AB610" s="1194"/>
      <c r="AC610" s="1194"/>
      <c r="AD610" s="1194"/>
      <c r="AE610" s="1194"/>
      <c r="AF610" s="1194"/>
      <c r="AG610" s="1194"/>
      <c r="AH610" s="1221"/>
      <c r="AI610" s="1198" t="s">
        <v>412</v>
      </c>
      <c r="AJ610" s="1194"/>
    </row>
    <row r="611" spans="1:36" x14ac:dyDescent="0.2">
      <c r="A611" s="1251"/>
      <c r="B611" s="1230"/>
      <c r="C611" s="1945" t="s">
        <v>413</v>
      </c>
      <c r="D611" s="1945"/>
      <c r="E611" s="1945"/>
      <c r="F611" s="1945"/>
      <c r="G611" s="1945"/>
      <c r="H611" s="1945"/>
      <c r="I611" s="1945"/>
      <c r="J611" s="1945"/>
      <c r="K611" s="1945"/>
      <c r="L611" s="1252">
        <v>121971.59</v>
      </c>
      <c r="M611" s="1266"/>
      <c r="N611" s="1254"/>
      <c r="P611" s="1194"/>
      <c r="Q611" s="1194"/>
      <c r="R611" s="1194"/>
      <c r="S611" s="1194"/>
      <c r="T611" s="1194"/>
      <c r="U611" s="1194"/>
      <c r="V611" s="1194"/>
      <c r="W611" s="1194"/>
      <c r="X611" s="1194"/>
      <c r="Y611" s="1194"/>
      <c r="Z611" s="1194"/>
      <c r="AA611" s="1194"/>
      <c r="AB611" s="1194"/>
      <c r="AC611" s="1194"/>
      <c r="AD611" s="1194"/>
      <c r="AE611" s="1194"/>
      <c r="AF611" s="1194"/>
      <c r="AG611" s="1194"/>
      <c r="AH611" s="1221"/>
      <c r="AI611" s="1198" t="s">
        <v>413</v>
      </c>
      <c r="AJ611" s="1194"/>
    </row>
    <row r="612" spans="1:36" x14ac:dyDescent="0.2">
      <c r="A612" s="1251"/>
      <c r="B612" s="1230" t="s">
        <v>185</v>
      </c>
      <c r="C612" s="1945" t="s">
        <v>9287</v>
      </c>
      <c r="D612" s="1945"/>
      <c r="E612" s="1945"/>
      <c r="F612" s="1945"/>
      <c r="G612" s="1945"/>
      <c r="H612" s="1945"/>
      <c r="I612" s="1945"/>
      <c r="J612" s="1945"/>
      <c r="K612" s="1945"/>
      <c r="L612" s="1252">
        <v>111417.03</v>
      </c>
      <c r="M612" s="1266" t="s">
        <v>9136</v>
      </c>
      <c r="N612" s="1254">
        <v>926990</v>
      </c>
      <c r="P612" s="1194"/>
      <c r="Q612" s="1194"/>
      <c r="R612" s="1194"/>
      <c r="S612" s="1194"/>
      <c r="T612" s="1194"/>
      <c r="U612" s="1194"/>
      <c r="V612" s="1194"/>
      <c r="W612" s="1194"/>
      <c r="X612" s="1194"/>
      <c r="Y612" s="1194"/>
      <c r="Z612" s="1194"/>
      <c r="AA612" s="1194"/>
      <c r="AB612" s="1194"/>
      <c r="AC612" s="1194"/>
      <c r="AD612" s="1194"/>
      <c r="AE612" s="1194"/>
      <c r="AF612" s="1194"/>
      <c r="AG612" s="1194"/>
      <c r="AH612" s="1221"/>
      <c r="AI612" s="1198" t="s">
        <v>9287</v>
      </c>
      <c r="AJ612" s="1194"/>
    </row>
    <row r="613" spans="1:36" x14ac:dyDescent="0.2">
      <c r="A613" s="1251"/>
      <c r="B613" s="1230"/>
      <c r="C613" s="1945" t="s">
        <v>415</v>
      </c>
      <c r="D613" s="1945"/>
      <c r="E613" s="1945"/>
      <c r="F613" s="1945"/>
      <c r="G613" s="1945"/>
      <c r="H613" s="1945"/>
      <c r="I613" s="1945"/>
      <c r="J613" s="1945"/>
      <c r="K613" s="1945"/>
      <c r="L613" s="1252">
        <v>217342.21</v>
      </c>
      <c r="M613" s="1266"/>
      <c r="N613" s="1254"/>
      <c r="P613" s="1194"/>
      <c r="Q613" s="1194"/>
      <c r="R613" s="1194"/>
      <c r="S613" s="1194"/>
      <c r="T613" s="1194"/>
      <c r="U613" s="1194"/>
      <c r="V613" s="1194"/>
      <c r="W613" s="1194"/>
      <c r="X613" s="1194"/>
      <c r="Y613" s="1194"/>
      <c r="Z613" s="1194"/>
      <c r="AA613" s="1194"/>
      <c r="AB613" s="1194"/>
      <c r="AC613" s="1194"/>
      <c r="AD613" s="1194"/>
      <c r="AE613" s="1194"/>
      <c r="AF613" s="1194"/>
      <c r="AG613" s="1194"/>
      <c r="AH613" s="1221"/>
      <c r="AI613" s="1198" t="s">
        <v>415</v>
      </c>
      <c r="AJ613" s="1194"/>
    </row>
    <row r="614" spans="1:36" x14ac:dyDescent="0.2">
      <c r="A614" s="1251"/>
      <c r="B614" s="1230"/>
      <c r="C614" s="1945" t="s">
        <v>416</v>
      </c>
      <c r="D614" s="1945"/>
      <c r="E614" s="1945"/>
      <c r="F614" s="1945"/>
      <c r="G614" s="1945"/>
      <c r="H614" s="1945"/>
      <c r="I614" s="1945"/>
      <c r="J614" s="1945"/>
      <c r="K614" s="1945"/>
      <c r="L614" s="1252">
        <v>217766.16</v>
      </c>
      <c r="M614" s="1266"/>
      <c r="N614" s="1254"/>
      <c r="P614" s="1194"/>
      <c r="Q614" s="1194"/>
      <c r="R614" s="1194"/>
      <c r="S614" s="1194"/>
      <c r="T614" s="1194"/>
      <c r="U614" s="1194"/>
      <c r="V614" s="1194"/>
      <c r="W614" s="1194"/>
      <c r="X614" s="1194"/>
      <c r="Y614" s="1194"/>
      <c r="Z614" s="1194"/>
      <c r="AA614" s="1194"/>
      <c r="AB614" s="1194"/>
      <c r="AC614" s="1194"/>
      <c r="AD614" s="1194"/>
      <c r="AE614" s="1194"/>
      <c r="AF614" s="1194"/>
      <c r="AG614" s="1194"/>
      <c r="AH614" s="1221"/>
      <c r="AI614" s="1198" t="s">
        <v>416</v>
      </c>
      <c r="AJ614" s="1194"/>
    </row>
    <row r="615" spans="1:36" x14ac:dyDescent="0.2">
      <c r="A615" s="1251"/>
      <c r="B615" s="1230"/>
      <c r="C615" s="1945" t="s">
        <v>417</v>
      </c>
      <c r="D615" s="1945"/>
      <c r="E615" s="1945"/>
      <c r="F615" s="1945"/>
      <c r="G615" s="1945"/>
      <c r="H615" s="1945"/>
      <c r="I615" s="1945"/>
      <c r="J615" s="1945"/>
      <c r="K615" s="1945"/>
      <c r="L615" s="1252">
        <v>121971.59</v>
      </c>
      <c r="M615" s="1266"/>
      <c r="N615" s="1254"/>
      <c r="P615" s="1194"/>
      <c r="Q615" s="1194"/>
      <c r="R615" s="1194"/>
      <c r="S615" s="1194"/>
      <c r="T615" s="1194"/>
      <c r="U615" s="1194"/>
      <c r="V615" s="1194"/>
      <c r="W615" s="1194"/>
      <c r="X615" s="1194"/>
      <c r="Y615" s="1194"/>
      <c r="Z615" s="1194"/>
      <c r="AA615" s="1194"/>
      <c r="AB615" s="1194"/>
      <c r="AC615" s="1194"/>
      <c r="AD615" s="1194"/>
      <c r="AE615" s="1194"/>
      <c r="AF615" s="1194"/>
      <c r="AG615" s="1194"/>
      <c r="AH615" s="1221"/>
      <c r="AI615" s="1198" t="s">
        <v>417</v>
      </c>
      <c r="AJ615" s="1194"/>
    </row>
    <row r="616" spans="1:36" x14ac:dyDescent="0.2">
      <c r="A616" s="1251"/>
      <c r="B616" s="1245"/>
      <c r="C616" s="1963" t="s">
        <v>206</v>
      </c>
      <c r="D616" s="1963"/>
      <c r="E616" s="1963"/>
      <c r="F616" s="1963"/>
      <c r="G616" s="1963"/>
      <c r="H616" s="1963"/>
      <c r="I616" s="1963"/>
      <c r="J616" s="1963"/>
      <c r="K616" s="1963"/>
      <c r="L616" s="1255">
        <v>5286692.0599999996</v>
      </c>
      <c r="M616" s="1267"/>
      <c r="N616" s="1268">
        <v>43985278</v>
      </c>
      <c r="P616" s="1194"/>
      <c r="Q616" s="1194"/>
      <c r="R616" s="1194"/>
      <c r="S616" s="1194"/>
      <c r="T616" s="1194"/>
      <c r="U616" s="1194"/>
      <c r="V616" s="1194"/>
      <c r="W616" s="1194"/>
      <c r="X616" s="1194"/>
      <c r="Y616" s="1194"/>
      <c r="Z616" s="1194"/>
      <c r="AA616" s="1194"/>
      <c r="AB616" s="1194"/>
      <c r="AC616" s="1194"/>
      <c r="AD616" s="1194"/>
      <c r="AE616" s="1194"/>
      <c r="AF616" s="1194"/>
      <c r="AG616" s="1194"/>
      <c r="AH616" s="1221"/>
      <c r="AI616" s="1194"/>
      <c r="AJ616" s="1221" t="s">
        <v>206</v>
      </c>
    </row>
    <row r="617" spans="1:36" x14ac:dyDescent="0.2">
      <c r="A617" s="1251"/>
      <c r="B617" s="1230"/>
      <c r="C617" s="1945" t="s">
        <v>8993</v>
      </c>
      <c r="D617" s="1945"/>
      <c r="E617" s="1945"/>
      <c r="F617" s="1945"/>
      <c r="G617" s="1945"/>
      <c r="H617" s="1945"/>
      <c r="I617" s="1945"/>
      <c r="J617" s="1945"/>
      <c r="K617" s="1945"/>
      <c r="L617" s="1252"/>
      <c r="M617" s="1266"/>
      <c r="N617" s="1254"/>
      <c r="P617" s="1194"/>
      <c r="Q617" s="1194"/>
      <c r="R617" s="1194"/>
      <c r="S617" s="1194"/>
      <c r="T617" s="1194"/>
      <c r="U617" s="1194"/>
      <c r="V617" s="1194"/>
      <c r="W617" s="1194"/>
      <c r="X617" s="1194"/>
      <c r="Y617" s="1194"/>
      <c r="Z617" s="1194"/>
      <c r="AA617" s="1194"/>
      <c r="AB617" s="1194"/>
      <c r="AC617" s="1194"/>
      <c r="AD617" s="1194"/>
      <c r="AE617" s="1194"/>
      <c r="AF617" s="1194"/>
      <c r="AG617" s="1194"/>
      <c r="AH617" s="1221"/>
      <c r="AI617" s="1198" t="s">
        <v>8993</v>
      </c>
      <c r="AJ617" s="1221"/>
    </row>
    <row r="618" spans="1:36" x14ac:dyDescent="0.2">
      <c r="A618" s="1251"/>
      <c r="B618" s="1230"/>
      <c r="C618" s="1945" t="s">
        <v>8095</v>
      </c>
      <c r="D618" s="1945"/>
      <c r="E618" s="1945"/>
      <c r="F618" s="1945"/>
      <c r="G618" s="1945"/>
      <c r="H618" s="1945"/>
      <c r="I618" s="1945"/>
      <c r="J618" s="1945"/>
      <c r="K618" s="1945"/>
      <c r="L618" s="1252"/>
      <c r="M618" s="1266"/>
      <c r="N618" s="1254">
        <v>4355162</v>
      </c>
      <c r="P618" s="1194"/>
      <c r="Q618" s="1194"/>
      <c r="R618" s="1194"/>
      <c r="S618" s="1194"/>
      <c r="T618" s="1194"/>
      <c r="U618" s="1194"/>
      <c r="V618" s="1194"/>
      <c r="W618" s="1194"/>
      <c r="X618" s="1194"/>
      <c r="Y618" s="1194"/>
      <c r="Z618" s="1194"/>
      <c r="AA618" s="1194"/>
      <c r="AB618" s="1194"/>
      <c r="AC618" s="1194"/>
      <c r="AD618" s="1194"/>
      <c r="AE618" s="1194"/>
      <c r="AF618" s="1194"/>
      <c r="AG618" s="1194"/>
      <c r="AH618" s="1221"/>
      <c r="AI618" s="1198" t="s">
        <v>8095</v>
      </c>
      <c r="AJ618" s="1221"/>
    </row>
    <row r="619" spans="1:36" ht="1.5" customHeight="1" x14ac:dyDescent="0.2">
      <c r="B619" s="1245"/>
      <c r="C619" s="1239"/>
      <c r="D619" s="1239"/>
      <c r="E619" s="1239"/>
      <c r="F619" s="1239"/>
      <c r="G619" s="1239"/>
      <c r="H619" s="1239"/>
      <c r="I619" s="1239"/>
      <c r="J619" s="1239"/>
      <c r="K619" s="1239"/>
      <c r="L619" s="1255"/>
      <c r="M619" s="1256"/>
      <c r="N619" s="1269"/>
      <c r="P619" s="1194"/>
      <c r="Q619" s="1194"/>
      <c r="R619" s="1194"/>
      <c r="S619" s="1194"/>
      <c r="T619" s="1194"/>
      <c r="U619" s="1194"/>
      <c r="V619" s="1194"/>
      <c r="W619" s="1194"/>
      <c r="X619" s="1194"/>
      <c r="Y619" s="1194"/>
      <c r="Z619" s="1194"/>
      <c r="AA619" s="1194"/>
      <c r="AB619" s="1194"/>
      <c r="AC619" s="1194"/>
      <c r="AD619" s="1194"/>
      <c r="AE619" s="1194"/>
      <c r="AF619" s="1194"/>
      <c r="AG619" s="1194"/>
      <c r="AH619" s="1194"/>
      <c r="AI619" s="1194"/>
      <c r="AJ619" s="1194"/>
    </row>
    <row r="620" spans="1:36" ht="53.25" customHeight="1" x14ac:dyDescent="0.2">
      <c r="A620" s="1270"/>
      <c r="B620" s="1270"/>
      <c r="C620" s="1270"/>
      <c r="D620" s="1270"/>
      <c r="E620" s="1270"/>
      <c r="F620" s="1270"/>
      <c r="G620" s="1270"/>
      <c r="H620" s="1270"/>
      <c r="I620" s="1270"/>
      <c r="J620" s="1270"/>
      <c r="K620" s="1270"/>
      <c r="L620" s="1270"/>
      <c r="M620" s="1270"/>
      <c r="N620" s="1270"/>
      <c r="P620" s="1194"/>
      <c r="Q620" s="1194"/>
      <c r="R620" s="1194"/>
      <c r="S620" s="1194"/>
      <c r="T620" s="1194"/>
      <c r="U620" s="1194"/>
      <c r="V620" s="1194"/>
      <c r="W620" s="1194"/>
      <c r="X620" s="1194"/>
      <c r="Y620" s="1194"/>
      <c r="Z620" s="1194"/>
      <c r="AA620" s="1194"/>
      <c r="AB620" s="1194"/>
      <c r="AC620" s="1194"/>
      <c r="AD620" s="1194"/>
      <c r="AE620" s="1194"/>
      <c r="AF620" s="1194"/>
      <c r="AG620" s="1194"/>
      <c r="AH620" s="1194"/>
      <c r="AI620" s="1194"/>
      <c r="AJ620" s="1194"/>
    </row>
    <row r="621" spans="1:36" x14ac:dyDescent="0.2">
      <c r="B621" s="1271" t="s">
        <v>149</v>
      </c>
      <c r="C621" s="1965" t="s">
        <v>8946</v>
      </c>
      <c r="D621" s="1965"/>
      <c r="E621" s="1965"/>
      <c r="F621" s="1965"/>
      <c r="G621" s="1965"/>
      <c r="H621" s="1965"/>
      <c r="I621" s="1965"/>
      <c r="J621" s="1965"/>
      <c r="K621" s="1965"/>
      <c r="L621" s="1965"/>
    </row>
    <row r="622" spans="1:36" ht="13.5" customHeight="1" x14ac:dyDescent="0.2">
      <c r="B622" s="1195"/>
      <c r="C622" s="1966" t="s">
        <v>150</v>
      </c>
      <c r="D622" s="1966"/>
      <c r="E622" s="1966"/>
      <c r="F622" s="1966"/>
      <c r="G622" s="1966"/>
      <c r="H622" s="1966"/>
      <c r="I622" s="1966"/>
      <c r="J622" s="1966"/>
      <c r="K622" s="1966"/>
      <c r="L622" s="1966"/>
    </row>
    <row r="623" spans="1:36" ht="12.75" customHeight="1" x14ac:dyDescent="0.2">
      <c r="B623" s="1271" t="s">
        <v>151</v>
      </c>
      <c r="C623" s="1965" t="s">
        <v>8566</v>
      </c>
      <c r="D623" s="1965"/>
      <c r="E623" s="1965"/>
      <c r="F623" s="1965"/>
      <c r="G623" s="1965"/>
      <c r="H623" s="1965"/>
      <c r="I623" s="1965"/>
      <c r="J623" s="1965"/>
      <c r="K623" s="1965"/>
      <c r="L623" s="1965"/>
    </row>
    <row r="624" spans="1:36" ht="13.5" customHeight="1" x14ac:dyDescent="0.2">
      <c r="C624" s="1966" t="s">
        <v>150</v>
      </c>
      <c r="D624" s="1966"/>
      <c r="E624" s="1966"/>
      <c r="F624" s="1966"/>
      <c r="G624" s="1966"/>
      <c r="H624" s="1966"/>
      <c r="I624" s="1966"/>
      <c r="J624" s="1966"/>
      <c r="K624" s="1966"/>
      <c r="L624" s="1966"/>
    </row>
    <row r="626" spans="2:6" s="1194" customFormat="1" x14ac:dyDescent="0.2">
      <c r="B626" s="1272"/>
      <c r="D626" s="1272"/>
      <c r="F626" s="1272"/>
    </row>
  </sheetData>
  <mergeCells count="567">
    <mergeCell ref="C618:K618"/>
    <mergeCell ref="C621:L621"/>
    <mergeCell ref="C622:L622"/>
    <mergeCell ref="C623:L623"/>
    <mergeCell ref="C624:L624"/>
    <mergeCell ref="C612:K612"/>
    <mergeCell ref="C613:K613"/>
    <mergeCell ref="C614:K614"/>
    <mergeCell ref="C615:K615"/>
    <mergeCell ref="C616:K616"/>
    <mergeCell ref="C617:K617"/>
    <mergeCell ref="C606:K606"/>
    <mergeCell ref="C607:K607"/>
    <mergeCell ref="C608:K608"/>
    <mergeCell ref="C609:K609"/>
    <mergeCell ref="C610:K610"/>
    <mergeCell ref="C611:K611"/>
    <mergeCell ref="C600:K600"/>
    <mergeCell ref="C601:K601"/>
    <mergeCell ref="C602:K602"/>
    <mergeCell ref="C603:K603"/>
    <mergeCell ref="C604:K604"/>
    <mergeCell ref="C605:K605"/>
    <mergeCell ref="C593:K593"/>
    <mergeCell ref="C594:K594"/>
    <mergeCell ref="C596:K596"/>
    <mergeCell ref="C597:K597"/>
    <mergeCell ref="C598:K598"/>
    <mergeCell ref="C599:K599"/>
    <mergeCell ref="C587:K587"/>
    <mergeCell ref="C588:K588"/>
    <mergeCell ref="C589:K589"/>
    <mergeCell ref="C590:K590"/>
    <mergeCell ref="C591:K591"/>
    <mergeCell ref="C592:K592"/>
    <mergeCell ref="C581:K581"/>
    <mergeCell ref="C582:K582"/>
    <mergeCell ref="C583:K583"/>
    <mergeCell ref="C584:K584"/>
    <mergeCell ref="C585:K585"/>
    <mergeCell ref="C586:K586"/>
    <mergeCell ref="C573:E573"/>
    <mergeCell ref="C576:K576"/>
    <mergeCell ref="C577:K577"/>
    <mergeCell ref="C578:K578"/>
    <mergeCell ref="C579:K579"/>
    <mergeCell ref="C580:K580"/>
    <mergeCell ref="C567:E567"/>
    <mergeCell ref="C568:E568"/>
    <mergeCell ref="C569:E569"/>
    <mergeCell ref="C570:E570"/>
    <mergeCell ref="C571:E571"/>
    <mergeCell ref="C572:E572"/>
    <mergeCell ref="C561:E561"/>
    <mergeCell ref="C562:E562"/>
    <mergeCell ref="C563:E563"/>
    <mergeCell ref="C564:E564"/>
    <mergeCell ref="C565:E565"/>
    <mergeCell ref="C566:E566"/>
    <mergeCell ref="C555:E555"/>
    <mergeCell ref="C556:E556"/>
    <mergeCell ref="C557:E557"/>
    <mergeCell ref="C558:N558"/>
    <mergeCell ref="C559:N559"/>
    <mergeCell ref="C560:E560"/>
    <mergeCell ref="C549:N549"/>
    <mergeCell ref="C550:E550"/>
    <mergeCell ref="C551:E551"/>
    <mergeCell ref="C552:E552"/>
    <mergeCell ref="C553:E553"/>
    <mergeCell ref="C554:E554"/>
    <mergeCell ref="C543:K543"/>
    <mergeCell ref="C544:K544"/>
    <mergeCell ref="C545:K545"/>
    <mergeCell ref="C546:K546"/>
    <mergeCell ref="A547:N547"/>
    <mergeCell ref="C548:E548"/>
    <mergeCell ref="C537:K537"/>
    <mergeCell ref="C538:K538"/>
    <mergeCell ref="C539:K539"/>
    <mergeCell ref="C540:K540"/>
    <mergeCell ref="C541:K541"/>
    <mergeCell ref="C542:K542"/>
    <mergeCell ref="C531:K531"/>
    <mergeCell ref="C532:K532"/>
    <mergeCell ref="C533:K533"/>
    <mergeCell ref="C534:K534"/>
    <mergeCell ref="C535:K535"/>
    <mergeCell ref="C536:K536"/>
    <mergeCell ref="C524:N524"/>
    <mergeCell ref="C526:K526"/>
    <mergeCell ref="C527:K527"/>
    <mergeCell ref="C528:K528"/>
    <mergeCell ref="C529:K529"/>
    <mergeCell ref="C530:K530"/>
    <mergeCell ref="C517:E517"/>
    <mergeCell ref="C518:E518"/>
    <mergeCell ref="C519:E519"/>
    <mergeCell ref="C520:E520"/>
    <mergeCell ref="C521:E521"/>
    <mergeCell ref="C522:E522"/>
    <mergeCell ref="C511:N511"/>
    <mergeCell ref="C512:E512"/>
    <mergeCell ref="C513:N513"/>
    <mergeCell ref="C514:N514"/>
    <mergeCell ref="C515:E515"/>
    <mergeCell ref="C516:E516"/>
    <mergeCell ref="C503:N503"/>
    <mergeCell ref="C504:E504"/>
    <mergeCell ref="C506:N506"/>
    <mergeCell ref="C507:N507"/>
    <mergeCell ref="C508:E508"/>
    <mergeCell ref="C510:N510"/>
    <mergeCell ref="C495:N495"/>
    <mergeCell ref="C496:E496"/>
    <mergeCell ref="C498:N498"/>
    <mergeCell ref="C499:N499"/>
    <mergeCell ref="C500:E500"/>
    <mergeCell ref="C502:N502"/>
    <mergeCell ref="C487:N487"/>
    <mergeCell ref="C488:E488"/>
    <mergeCell ref="C490:N490"/>
    <mergeCell ref="C491:N491"/>
    <mergeCell ref="C492:E492"/>
    <mergeCell ref="C494:N494"/>
    <mergeCell ref="C479:E479"/>
    <mergeCell ref="C480:E480"/>
    <mergeCell ref="C482:N482"/>
    <mergeCell ref="C483:N483"/>
    <mergeCell ref="C484:E484"/>
    <mergeCell ref="C486:N486"/>
    <mergeCell ref="C473:E473"/>
    <mergeCell ref="C474:E474"/>
    <mergeCell ref="C475:E475"/>
    <mergeCell ref="C476:E476"/>
    <mergeCell ref="C477:E477"/>
    <mergeCell ref="C478:E478"/>
    <mergeCell ref="C467:E467"/>
    <mergeCell ref="C468:E468"/>
    <mergeCell ref="C469:E469"/>
    <mergeCell ref="C470:E470"/>
    <mergeCell ref="C471:E471"/>
    <mergeCell ref="C472:E472"/>
    <mergeCell ref="C461:K461"/>
    <mergeCell ref="C462:K462"/>
    <mergeCell ref="A463:N463"/>
    <mergeCell ref="C464:E464"/>
    <mergeCell ref="C465:N465"/>
    <mergeCell ref="C466:E466"/>
    <mergeCell ref="C455:K455"/>
    <mergeCell ref="C456:K456"/>
    <mergeCell ref="C457:K457"/>
    <mergeCell ref="C458:K458"/>
    <mergeCell ref="C459:K459"/>
    <mergeCell ref="C460:K460"/>
    <mergeCell ref="C444:E444"/>
    <mergeCell ref="C446:N446"/>
    <mergeCell ref="C447:E447"/>
    <mergeCell ref="C449:N449"/>
    <mergeCell ref="C450:E450"/>
    <mergeCell ref="C452:E452"/>
    <mergeCell ref="C438:K438"/>
    <mergeCell ref="C439:K439"/>
    <mergeCell ref="C440:K440"/>
    <mergeCell ref="C441:K441"/>
    <mergeCell ref="C442:K442"/>
    <mergeCell ref="A443:N443"/>
    <mergeCell ref="C432:K432"/>
    <mergeCell ref="C433:K433"/>
    <mergeCell ref="C434:K434"/>
    <mergeCell ref="C435:K435"/>
    <mergeCell ref="C436:K436"/>
    <mergeCell ref="C437:K437"/>
    <mergeCell ref="C426:K426"/>
    <mergeCell ref="C427:K427"/>
    <mergeCell ref="C428:K428"/>
    <mergeCell ref="C429:K429"/>
    <mergeCell ref="C430:K430"/>
    <mergeCell ref="C431:K431"/>
    <mergeCell ref="C418:E418"/>
    <mergeCell ref="C420:N420"/>
    <mergeCell ref="C422:K422"/>
    <mergeCell ref="C423:K423"/>
    <mergeCell ref="C424:K424"/>
    <mergeCell ref="C425:K425"/>
    <mergeCell ref="C412:E412"/>
    <mergeCell ref="C413:E413"/>
    <mergeCell ref="C414:E414"/>
    <mergeCell ref="C415:E415"/>
    <mergeCell ref="C416:E416"/>
    <mergeCell ref="C417:E417"/>
    <mergeCell ref="C406:E406"/>
    <mergeCell ref="C407:E407"/>
    <mergeCell ref="C408:E408"/>
    <mergeCell ref="C409:E409"/>
    <mergeCell ref="C410:E410"/>
    <mergeCell ref="C411:E411"/>
    <mergeCell ref="C399:E399"/>
    <mergeCell ref="C400:E400"/>
    <mergeCell ref="C401:E401"/>
    <mergeCell ref="C403:E403"/>
    <mergeCell ref="C404:N404"/>
    <mergeCell ref="C405:E405"/>
    <mergeCell ref="C393:E393"/>
    <mergeCell ref="C394:E394"/>
    <mergeCell ref="C395:E395"/>
    <mergeCell ref="C396:E396"/>
    <mergeCell ref="C397:E397"/>
    <mergeCell ref="C398:E398"/>
    <mergeCell ref="C387:N387"/>
    <mergeCell ref="C388:N388"/>
    <mergeCell ref="C389:E389"/>
    <mergeCell ref="C390:E390"/>
    <mergeCell ref="C391:E391"/>
    <mergeCell ref="C392:E392"/>
    <mergeCell ref="C378:N378"/>
    <mergeCell ref="C379:E379"/>
    <mergeCell ref="C381:E381"/>
    <mergeCell ref="C383:N383"/>
    <mergeCell ref="C384:E384"/>
    <mergeCell ref="C386:E386"/>
    <mergeCell ref="C369:N369"/>
    <mergeCell ref="C370:E370"/>
    <mergeCell ref="C372:N372"/>
    <mergeCell ref="C373:E373"/>
    <mergeCell ref="C375:N375"/>
    <mergeCell ref="C376:E376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50:N350"/>
    <mergeCell ref="C351:N351"/>
    <mergeCell ref="C352:E352"/>
    <mergeCell ref="C353:E353"/>
    <mergeCell ref="C354:E354"/>
    <mergeCell ref="C355:E355"/>
    <mergeCell ref="C344:K344"/>
    <mergeCell ref="C345:K345"/>
    <mergeCell ref="C346:K346"/>
    <mergeCell ref="C347:K347"/>
    <mergeCell ref="A348:N348"/>
    <mergeCell ref="C349:E349"/>
    <mergeCell ref="C338:K338"/>
    <mergeCell ref="C339:K339"/>
    <mergeCell ref="C340:K340"/>
    <mergeCell ref="C341:K341"/>
    <mergeCell ref="C342:K342"/>
    <mergeCell ref="C343:K343"/>
    <mergeCell ref="C332:K332"/>
    <mergeCell ref="C333:K333"/>
    <mergeCell ref="C334:K334"/>
    <mergeCell ref="C335:K335"/>
    <mergeCell ref="C336:K336"/>
    <mergeCell ref="C337:K337"/>
    <mergeCell ref="C324:E324"/>
    <mergeCell ref="C325:E325"/>
    <mergeCell ref="C326:E326"/>
    <mergeCell ref="C329:K329"/>
    <mergeCell ref="C330:K330"/>
    <mergeCell ref="C331:K331"/>
    <mergeCell ref="C318:E318"/>
    <mergeCell ref="C319:E319"/>
    <mergeCell ref="C320:E320"/>
    <mergeCell ref="C321:E321"/>
    <mergeCell ref="C322:E322"/>
    <mergeCell ref="C323:E323"/>
    <mergeCell ref="C312:N312"/>
    <mergeCell ref="C313:E313"/>
    <mergeCell ref="C314:N314"/>
    <mergeCell ref="C315:E315"/>
    <mergeCell ref="C316:E316"/>
    <mergeCell ref="C317:E317"/>
    <mergeCell ref="C304:E304"/>
    <mergeCell ref="C305:E305"/>
    <mergeCell ref="C306:E306"/>
    <mergeCell ref="C307:E307"/>
    <mergeCell ref="C308:E308"/>
    <mergeCell ref="C310:E310"/>
    <mergeCell ref="C298:E298"/>
    <mergeCell ref="C299:E299"/>
    <mergeCell ref="C300:E300"/>
    <mergeCell ref="C301:E301"/>
    <mergeCell ref="C302:E302"/>
    <mergeCell ref="C303:E303"/>
    <mergeCell ref="A292:N292"/>
    <mergeCell ref="C293:E293"/>
    <mergeCell ref="C294:N294"/>
    <mergeCell ref="C295:E295"/>
    <mergeCell ref="C296:E296"/>
    <mergeCell ref="C297:E297"/>
    <mergeCell ref="C285:E285"/>
    <mergeCell ref="C286:E286"/>
    <mergeCell ref="C287:E287"/>
    <mergeCell ref="C288:E288"/>
    <mergeCell ref="C289:E289"/>
    <mergeCell ref="C290:E290"/>
    <mergeCell ref="C279:E279"/>
    <mergeCell ref="C280:E280"/>
    <mergeCell ref="C281:E281"/>
    <mergeCell ref="C282:E282"/>
    <mergeCell ref="C283:E283"/>
    <mergeCell ref="C284:E284"/>
    <mergeCell ref="C271:N271"/>
    <mergeCell ref="C272:E272"/>
    <mergeCell ref="C274:E274"/>
    <mergeCell ref="C276:E276"/>
    <mergeCell ref="C277:N277"/>
    <mergeCell ref="C278:N278"/>
    <mergeCell ref="C263:E263"/>
    <mergeCell ref="C264:E264"/>
    <mergeCell ref="C265:E265"/>
    <mergeCell ref="C266:E266"/>
    <mergeCell ref="C267:E267"/>
    <mergeCell ref="C269:E269"/>
    <mergeCell ref="C257:E257"/>
    <mergeCell ref="C258:E258"/>
    <mergeCell ref="C259:E259"/>
    <mergeCell ref="C260:E260"/>
    <mergeCell ref="C261:E261"/>
    <mergeCell ref="C262:E262"/>
    <mergeCell ref="C251:E251"/>
    <mergeCell ref="C252:N252"/>
    <mergeCell ref="C253:N253"/>
    <mergeCell ref="C254:E254"/>
    <mergeCell ref="C255:E255"/>
    <mergeCell ref="C256:E256"/>
    <mergeCell ref="C244:E244"/>
    <mergeCell ref="C245:E245"/>
    <mergeCell ref="C246:E246"/>
    <mergeCell ref="C247:E247"/>
    <mergeCell ref="C248:E248"/>
    <mergeCell ref="C249:E249"/>
    <mergeCell ref="C238:E238"/>
    <mergeCell ref="C239:E239"/>
    <mergeCell ref="C240:E240"/>
    <mergeCell ref="C241:E241"/>
    <mergeCell ref="C242:E242"/>
    <mergeCell ref="C243:E243"/>
    <mergeCell ref="C231:E231"/>
    <mergeCell ref="C232:E232"/>
    <mergeCell ref="C234:E234"/>
    <mergeCell ref="C235:N235"/>
    <mergeCell ref="C236:N236"/>
    <mergeCell ref="C237:E237"/>
    <mergeCell ref="C225:E225"/>
    <mergeCell ref="C226:E226"/>
    <mergeCell ref="C227:E227"/>
    <mergeCell ref="C228:E228"/>
    <mergeCell ref="C229:E229"/>
    <mergeCell ref="C230:E230"/>
    <mergeCell ref="C219:N219"/>
    <mergeCell ref="C220:E220"/>
    <mergeCell ref="C221:E221"/>
    <mergeCell ref="C222:E222"/>
    <mergeCell ref="C223:E223"/>
    <mergeCell ref="C224:E224"/>
    <mergeCell ref="C212:E212"/>
    <mergeCell ref="C213:E213"/>
    <mergeCell ref="C214:E214"/>
    <mergeCell ref="C215:E215"/>
    <mergeCell ref="C217:N217"/>
    <mergeCell ref="C218:E218"/>
    <mergeCell ref="C206:E206"/>
    <mergeCell ref="C207:E207"/>
    <mergeCell ref="C208:E208"/>
    <mergeCell ref="C209:E209"/>
    <mergeCell ref="C210:E210"/>
    <mergeCell ref="C211:E211"/>
    <mergeCell ref="C200:E200"/>
    <mergeCell ref="C201:N201"/>
    <mergeCell ref="C202:N202"/>
    <mergeCell ref="C203:E203"/>
    <mergeCell ref="C204:E204"/>
    <mergeCell ref="C205:E205"/>
    <mergeCell ref="C194:E194"/>
    <mergeCell ref="C195:E195"/>
    <mergeCell ref="C196:E196"/>
    <mergeCell ref="C197:E197"/>
    <mergeCell ref="C198:E198"/>
    <mergeCell ref="C199:E199"/>
    <mergeCell ref="A188:N188"/>
    <mergeCell ref="C189:E189"/>
    <mergeCell ref="C190:N190"/>
    <mergeCell ref="C191:N191"/>
    <mergeCell ref="C192:E192"/>
    <mergeCell ref="C193:E193"/>
    <mergeCell ref="C182:K182"/>
    <mergeCell ref="C183:K183"/>
    <mergeCell ref="C184:K184"/>
    <mergeCell ref="C185:K185"/>
    <mergeCell ref="C186:K186"/>
    <mergeCell ref="C187:K187"/>
    <mergeCell ref="C176:K176"/>
    <mergeCell ref="C177:K177"/>
    <mergeCell ref="C178:K178"/>
    <mergeCell ref="C179:K179"/>
    <mergeCell ref="C180:K180"/>
    <mergeCell ref="C181:K181"/>
    <mergeCell ref="C170:K170"/>
    <mergeCell ref="C171:K171"/>
    <mergeCell ref="C172:K172"/>
    <mergeCell ref="C173:K173"/>
    <mergeCell ref="C174:K174"/>
    <mergeCell ref="C175:K175"/>
    <mergeCell ref="C163:E163"/>
    <mergeCell ref="C164:E164"/>
    <mergeCell ref="C165:E165"/>
    <mergeCell ref="C167:K167"/>
    <mergeCell ref="C168:K168"/>
    <mergeCell ref="C169:K169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C154:N154"/>
    <mergeCell ref="C155:N155"/>
    <mergeCell ref="C156:E156"/>
    <mergeCell ref="C145:E145"/>
    <mergeCell ref="C146:E146"/>
    <mergeCell ref="C147:E147"/>
    <mergeCell ref="C148:E148"/>
    <mergeCell ref="C149:E149"/>
    <mergeCell ref="C150:E150"/>
    <mergeCell ref="C139:E139"/>
    <mergeCell ref="C140:E140"/>
    <mergeCell ref="C141:E141"/>
    <mergeCell ref="C142:E142"/>
    <mergeCell ref="C143:N143"/>
    <mergeCell ref="C144:N144"/>
    <mergeCell ref="C133:E133"/>
    <mergeCell ref="C134:E134"/>
    <mergeCell ref="C135:E135"/>
    <mergeCell ref="C136:E136"/>
    <mergeCell ref="C137:E137"/>
    <mergeCell ref="C138:E138"/>
    <mergeCell ref="C127:E127"/>
    <mergeCell ref="C128:N128"/>
    <mergeCell ref="C129:E129"/>
    <mergeCell ref="C130:N130"/>
    <mergeCell ref="C131:N131"/>
    <mergeCell ref="C132:E132"/>
    <mergeCell ref="C121:E121"/>
    <mergeCell ref="C122:E122"/>
    <mergeCell ref="C123:E123"/>
    <mergeCell ref="C124:E124"/>
    <mergeCell ref="C125:E125"/>
    <mergeCell ref="C126:E126"/>
    <mergeCell ref="C115:E115"/>
    <mergeCell ref="C116:E116"/>
    <mergeCell ref="C117:N117"/>
    <mergeCell ref="C118:N118"/>
    <mergeCell ref="C119:N119"/>
    <mergeCell ref="C120:E120"/>
    <mergeCell ref="C109:E109"/>
    <mergeCell ref="C110:E110"/>
    <mergeCell ref="C111:E111"/>
    <mergeCell ref="C112:E112"/>
    <mergeCell ref="C113:E113"/>
    <mergeCell ref="C114:E114"/>
    <mergeCell ref="C103:N103"/>
    <mergeCell ref="C104:N104"/>
    <mergeCell ref="C105:E105"/>
    <mergeCell ref="C106:E106"/>
    <mergeCell ref="C107:E107"/>
    <mergeCell ref="C108:E108"/>
    <mergeCell ref="C95:E95"/>
    <mergeCell ref="C97:N97"/>
    <mergeCell ref="C98:E98"/>
    <mergeCell ref="C100:N100"/>
    <mergeCell ref="A101:N101"/>
    <mergeCell ref="C102:E102"/>
    <mergeCell ref="C89:E89"/>
    <mergeCell ref="C90:E90"/>
    <mergeCell ref="C91:E91"/>
    <mergeCell ref="C92:E92"/>
    <mergeCell ref="C93:E93"/>
    <mergeCell ref="C94:E94"/>
    <mergeCell ref="C83:E83"/>
    <mergeCell ref="C84:E84"/>
    <mergeCell ref="C85:N85"/>
    <mergeCell ref="C86:N86"/>
    <mergeCell ref="C87:E87"/>
    <mergeCell ref="C88:E88"/>
    <mergeCell ref="C77:E77"/>
    <mergeCell ref="C78:E78"/>
    <mergeCell ref="C79:E79"/>
    <mergeCell ref="C80:E80"/>
    <mergeCell ref="C81:E81"/>
    <mergeCell ref="C82:E82"/>
    <mergeCell ref="C71:E71"/>
    <mergeCell ref="C72:E72"/>
    <mergeCell ref="C73:N73"/>
    <mergeCell ref="C74:N74"/>
    <mergeCell ref="C75:N75"/>
    <mergeCell ref="C76:E76"/>
    <mergeCell ref="C65:E65"/>
    <mergeCell ref="C66:E66"/>
    <mergeCell ref="C67:E67"/>
    <mergeCell ref="C68:E68"/>
    <mergeCell ref="C69:E69"/>
    <mergeCell ref="C70:E70"/>
    <mergeCell ref="C59:E59"/>
    <mergeCell ref="C60:E60"/>
    <mergeCell ref="C61:E61"/>
    <mergeCell ref="C62:N62"/>
    <mergeCell ref="C63:N63"/>
    <mergeCell ref="C64:E64"/>
    <mergeCell ref="C53:E53"/>
    <mergeCell ref="C54:E54"/>
    <mergeCell ref="C55:E55"/>
    <mergeCell ref="C56:E56"/>
    <mergeCell ref="C57:E57"/>
    <mergeCell ref="C58:E58"/>
    <mergeCell ref="C47:N47"/>
    <mergeCell ref="C48:E48"/>
    <mergeCell ref="C49:N49"/>
    <mergeCell ref="C50:N50"/>
    <mergeCell ref="C51:E51"/>
    <mergeCell ref="C52:E52"/>
    <mergeCell ref="C41:E41"/>
    <mergeCell ref="C42:E42"/>
    <mergeCell ref="C43:E43"/>
    <mergeCell ref="C44:E44"/>
    <mergeCell ref="C45:E45"/>
    <mergeCell ref="C46:E46"/>
    <mergeCell ref="C37:N37"/>
    <mergeCell ref="C38:E38"/>
    <mergeCell ref="C39:E39"/>
    <mergeCell ref="C40:E40"/>
    <mergeCell ref="J29:L30"/>
    <mergeCell ref="M29:M31"/>
    <mergeCell ref="N29:N31"/>
    <mergeCell ref="C32:E32"/>
    <mergeCell ref="A33:N33"/>
    <mergeCell ref="A34:N34"/>
    <mergeCell ref="B18:F18"/>
    <mergeCell ref="L27:M27"/>
    <mergeCell ref="A29:A31"/>
    <mergeCell ref="B29:B31"/>
    <mergeCell ref="C29:E31"/>
    <mergeCell ref="F29:F31"/>
    <mergeCell ref="G29:I30"/>
    <mergeCell ref="C35:E35"/>
    <mergeCell ref="C36:N36"/>
    <mergeCell ref="D4:N4"/>
    <mergeCell ref="A7:N7"/>
    <mergeCell ref="A8:N8"/>
    <mergeCell ref="A10:N10"/>
    <mergeCell ref="A11:N11"/>
    <mergeCell ref="A12:N12"/>
    <mergeCell ref="A14:N14"/>
    <mergeCell ref="A15:N15"/>
    <mergeCell ref="B17:F17"/>
  </mergeCells>
  <printOptions horizontalCentered="1"/>
  <pageMargins left="0.39370077848434398" right="0.23622047901153601" top="0.35433071851730302" bottom="0.31496062874794001" header="0.118110239505768" footer="0.118110239505768"/>
  <pageSetup paperSize="9" orientation="landscape" r:id="rId1"/>
  <headerFooter>
    <oddHeader>&amp;LГРАНД-Смета, версия 2021.2</oddHeader>
    <oddFooter>&amp;R&amp;8Страница &amp;P</oddFooter>
  </headerFooter>
  <rowBreaks count="1" manualBreakCount="1">
    <brk id="28" max="62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AJ433"/>
  <sheetViews>
    <sheetView topLeftCell="A396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10.28515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4" width="110.140625" style="537" hidden="1" customWidth="1"/>
    <col min="25" max="28" width="34.140625" style="537" hidden="1" customWidth="1"/>
    <col min="29" max="29" width="110.140625" style="537" hidden="1" customWidth="1"/>
    <col min="30" max="32" width="84.42578125" style="537" hidden="1" customWidth="1"/>
    <col min="33" max="33" width="138.42578125" style="537" hidden="1" customWidth="1"/>
    <col min="34" max="36" width="84.42578125" style="537" hidden="1" customWidth="1"/>
    <col min="37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89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595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595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1622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87"/>
      <c r="B19" s="687"/>
      <c r="C19" s="687"/>
      <c r="D19" s="687"/>
      <c r="E19" s="687"/>
      <c r="F19" s="687"/>
      <c r="G19" s="687"/>
      <c r="H19" s="687"/>
      <c r="I19" s="687"/>
      <c r="J19" s="687"/>
      <c r="K19" s="687"/>
      <c r="L19" s="687"/>
      <c r="M19" s="687"/>
      <c r="N19" s="687"/>
    </row>
    <row r="20" spans="1:21" s="536" customFormat="1" x14ac:dyDescent="0.2">
      <c r="A20" s="1840" t="s">
        <v>609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609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1623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2630.4</v>
      </c>
      <c r="D28" s="579" t="s">
        <v>9233</v>
      </c>
      <c r="E28" s="689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89"/>
    </row>
    <row r="30" spans="1:21" s="536" customFormat="1" ht="12.75" customHeight="1" x14ac:dyDescent="0.2">
      <c r="B30" s="536" t="s">
        <v>169</v>
      </c>
      <c r="C30" s="580">
        <v>0</v>
      </c>
      <c r="D30" s="579" t="s">
        <v>171</v>
      </c>
      <c r="E30" s="689" t="s">
        <v>167</v>
      </c>
      <c r="G30" s="536" t="s">
        <v>170</v>
      </c>
      <c r="L30" s="580">
        <v>0</v>
      </c>
      <c r="M30" s="579" t="s">
        <v>1624</v>
      </c>
      <c r="N30" s="689" t="s">
        <v>167</v>
      </c>
    </row>
    <row r="31" spans="1:21" s="536" customFormat="1" ht="12.75" customHeight="1" x14ac:dyDescent="0.2">
      <c r="B31" s="536" t="s">
        <v>140</v>
      </c>
      <c r="C31" s="580">
        <v>898.58</v>
      </c>
      <c r="D31" s="583" t="s">
        <v>9234</v>
      </c>
      <c r="E31" s="689" t="s">
        <v>167</v>
      </c>
      <c r="G31" s="536" t="s">
        <v>172</v>
      </c>
      <c r="L31" s="582"/>
      <c r="M31" s="582">
        <v>251.23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1731.82</v>
      </c>
      <c r="D32" s="583" t="s">
        <v>9235</v>
      </c>
      <c r="E32" s="689" t="s">
        <v>167</v>
      </c>
      <c r="G32" s="536" t="s">
        <v>174</v>
      </c>
      <c r="L32" s="582"/>
      <c r="M32" s="582">
        <v>41.34</v>
      </c>
      <c r="N32" s="581" t="s">
        <v>173</v>
      </c>
    </row>
    <row r="33" spans="1:27" s="536" customFormat="1" ht="12.75" customHeight="1" x14ac:dyDescent="0.2">
      <c r="B33" s="536" t="s">
        <v>147</v>
      </c>
      <c r="C33" s="580">
        <v>0</v>
      </c>
      <c r="D33" s="579" t="s">
        <v>171</v>
      </c>
      <c r="E33" s="689" t="s">
        <v>167</v>
      </c>
      <c r="G33" s="536" t="s">
        <v>175</v>
      </c>
      <c r="L33" s="1836"/>
      <c r="M33" s="1836"/>
    </row>
    <row r="34" spans="1:27" s="536" customFormat="1" ht="9.75" customHeight="1" x14ac:dyDescent="0.2">
      <c r="A34" s="578"/>
    </row>
    <row r="35" spans="1:27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7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7" s="536" customFormat="1" ht="45" x14ac:dyDescent="0.2">
      <c r="A37" s="1833"/>
      <c r="B37" s="1833"/>
      <c r="C37" s="1833"/>
      <c r="D37" s="1833"/>
      <c r="E37" s="1833"/>
      <c r="F37" s="1833"/>
      <c r="G37" s="685" t="s">
        <v>182</v>
      </c>
      <c r="H37" s="685" t="s">
        <v>183</v>
      </c>
      <c r="I37" s="685" t="s">
        <v>184</v>
      </c>
      <c r="J37" s="685" t="s">
        <v>182</v>
      </c>
      <c r="K37" s="685" t="s">
        <v>183</v>
      </c>
      <c r="L37" s="685" t="s">
        <v>148</v>
      </c>
      <c r="M37" s="1833"/>
      <c r="N37" s="1833"/>
    </row>
    <row r="38" spans="1:27" s="536" customFormat="1" x14ac:dyDescent="0.2">
      <c r="A38" s="686">
        <v>1</v>
      </c>
      <c r="B38" s="686">
        <v>2</v>
      </c>
      <c r="C38" s="1834">
        <v>3</v>
      </c>
      <c r="D38" s="1834"/>
      <c r="E38" s="1834"/>
      <c r="F38" s="686">
        <v>4</v>
      </c>
      <c r="G38" s="686">
        <v>5</v>
      </c>
      <c r="H38" s="686">
        <v>6</v>
      </c>
      <c r="I38" s="686">
        <v>7</v>
      </c>
      <c r="J38" s="686">
        <v>8</v>
      </c>
      <c r="K38" s="686">
        <v>9</v>
      </c>
      <c r="L38" s="686">
        <v>10</v>
      </c>
      <c r="M38" s="686">
        <v>11</v>
      </c>
      <c r="N38" s="686">
        <v>12</v>
      </c>
    </row>
    <row r="39" spans="1:27" s="536" customFormat="1" ht="12" x14ac:dyDescent="0.2">
      <c r="A39" s="1824" t="s">
        <v>1625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1625</v>
      </c>
    </row>
    <row r="40" spans="1:27" s="536" customFormat="1" ht="33.75" x14ac:dyDescent="0.2">
      <c r="A40" s="575" t="s">
        <v>185</v>
      </c>
      <c r="B40" s="684" t="s">
        <v>1626</v>
      </c>
      <c r="C40" s="1823" t="s">
        <v>1627</v>
      </c>
      <c r="D40" s="1823"/>
      <c r="E40" s="1823"/>
      <c r="F40" s="573" t="s">
        <v>617</v>
      </c>
      <c r="G40" s="573"/>
      <c r="H40" s="573"/>
      <c r="I40" s="573" t="s">
        <v>190</v>
      </c>
      <c r="J40" s="572"/>
      <c r="K40" s="573"/>
      <c r="L40" s="572"/>
      <c r="M40" s="571"/>
      <c r="N40" s="570"/>
      <c r="V40" s="674"/>
      <c r="W40" s="675" t="s">
        <v>1627</v>
      </c>
    </row>
    <row r="41" spans="1:27" s="536" customFormat="1" ht="33.75" x14ac:dyDescent="0.2">
      <c r="A41" s="609"/>
      <c r="B41" s="552" t="s">
        <v>310</v>
      </c>
      <c r="C41" s="1822" t="s">
        <v>311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311</v>
      </c>
    </row>
    <row r="42" spans="1:27" s="536" customFormat="1" ht="12" x14ac:dyDescent="0.2">
      <c r="A42" s="605"/>
      <c r="B42" s="552" t="s">
        <v>185</v>
      </c>
      <c r="C42" s="1822" t="s">
        <v>312</v>
      </c>
      <c r="D42" s="1822"/>
      <c r="E42" s="1822"/>
      <c r="F42" s="562"/>
      <c r="G42" s="562"/>
      <c r="H42" s="562"/>
      <c r="I42" s="562"/>
      <c r="J42" s="604">
        <v>20.440000000000001</v>
      </c>
      <c r="K42" s="562" t="s">
        <v>313</v>
      </c>
      <c r="L42" s="604">
        <v>153.30000000000001</v>
      </c>
      <c r="M42" s="603"/>
      <c r="N42" s="602"/>
      <c r="V42" s="674"/>
      <c r="W42" s="675"/>
      <c r="Y42" s="537" t="s">
        <v>312</v>
      </c>
    </row>
    <row r="43" spans="1:27" s="536" customFormat="1" ht="12" x14ac:dyDescent="0.2">
      <c r="A43" s="605"/>
      <c r="B43" s="552" t="s">
        <v>186</v>
      </c>
      <c r="C43" s="1822" t="s">
        <v>344</v>
      </c>
      <c r="D43" s="1822"/>
      <c r="E43" s="1822"/>
      <c r="F43" s="562"/>
      <c r="G43" s="562"/>
      <c r="H43" s="562"/>
      <c r="I43" s="562"/>
      <c r="J43" s="604">
        <v>33.47</v>
      </c>
      <c r="K43" s="562" t="s">
        <v>313</v>
      </c>
      <c r="L43" s="604">
        <v>251.03</v>
      </c>
      <c r="M43" s="603"/>
      <c r="N43" s="602"/>
      <c r="V43" s="674"/>
      <c r="W43" s="675"/>
      <c r="Y43" s="537" t="s">
        <v>344</v>
      </c>
    </row>
    <row r="44" spans="1:27" s="536" customFormat="1" ht="12" x14ac:dyDescent="0.2">
      <c r="A44" s="605"/>
      <c r="B44" s="552" t="s">
        <v>187</v>
      </c>
      <c r="C44" s="1822" t="s">
        <v>345</v>
      </c>
      <c r="D44" s="1822"/>
      <c r="E44" s="1822"/>
      <c r="F44" s="562"/>
      <c r="G44" s="562"/>
      <c r="H44" s="562"/>
      <c r="I44" s="562"/>
      <c r="J44" s="604">
        <v>3.42</v>
      </c>
      <c r="K44" s="562" t="s">
        <v>313</v>
      </c>
      <c r="L44" s="604">
        <v>25.65</v>
      </c>
      <c r="M44" s="603"/>
      <c r="N44" s="602"/>
      <c r="V44" s="674"/>
      <c r="W44" s="675"/>
      <c r="Y44" s="537" t="s">
        <v>345</v>
      </c>
    </row>
    <row r="45" spans="1:27" s="536" customFormat="1" ht="12" x14ac:dyDescent="0.2">
      <c r="A45" s="605"/>
      <c r="B45" s="552" t="s">
        <v>188</v>
      </c>
      <c r="C45" s="1822" t="s">
        <v>475</v>
      </c>
      <c r="D45" s="1822"/>
      <c r="E45" s="1822"/>
      <c r="F45" s="562"/>
      <c r="G45" s="562"/>
      <c r="H45" s="562"/>
      <c r="I45" s="562"/>
      <c r="J45" s="604">
        <v>2.94</v>
      </c>
      <c r="K45" s="562"/>
      <c r="L45" s="604">
        <v>17.64</v>
      </c>
      <c r="M45" s="603"/>
      <c r="N45" s="602"/>
      <c r="V45" s="674"/>
      <c r="W45" s="675"/>
      <c r="Y45" s="537" t="s">
        <v>475</v>
      </c>
    </row>
    <row r="46" spans="1:27" s="536" customFormat="1" ht="12" x14ac:dyDescent="0.2">
      <c r="A46" s="605"/>
      <c r="B46" s="552"/>
      <c r="C46" s="1822" t="s">
        <v>314</v>
      </c>
      <c r="D46" s="1822"/>
      <c r="E46" s="1822"/>
      <c r="F46" s="562" t="s">
        <v>315</v>
      </c>
      <c r="G46" s="562" t="s">
        <v>807</v>
      </c>
      <c r="H46" s="562" t="s">
        <v>313</v>
      </c>
      <c r="I46" s="562" t="s">
        <v>1628</v>
      </c>
      <c r="J46" s="604"/>
      <c r="K46" s="562"/>
      <c r="L46" s="604"/>
      <c r="M46" s="603"/>
      <c r="N46" s="602"/>
      <c r="V46" s="674"/>
      <c r="W46" s="675"/>
      <c r="Z46" s="537" t="s">
        <v>314</v>
      </c>
    </row>
    <row r="47" spans="1:27" s="536" customFormat="1" ht="12" x14ac:dyDescent="0.2">
      <c r="A47" s="605"/>
      <c r="B47" s="552"/>
      <c r="C47" s="1822" t="s">
        <v>348</v>
      </c>
      <c r="D47" s="1822"/>
      <c r="E47" s="1822"/>
      <c r="F47" s="562" t="s">
        <v>315</v>
      </c>
      <c r="G47" s="562" t="s">
        <v>1629</v>
      </c>
      <c r="H47" s="562" t="s">
        <v>313</v>
      </c>
      <c r="I47" s="562" t="s">
        <v>1630</v>
      </c>
      <c r="J47" s="604"/>
      <c r="K47" s="562"/>
      <c r="L47" s="604"/>
      <c r="M47" s="603"/>
      <c r="N47" s="602"/>
      <c r="V47" s="674"/>
      <c r="W47" s="675"/>
      <c r="Z47" s="537" t="s">
        <v>348</v>
      </c>
    </row>
    <row r="48" spans="1:27" s="536" customFormat="1" ht="12" x14ac:dyDescent="0.2">
      <c r="A48" s="605"/>
      <c r="B48" s="552"/>
      <c r="C48" s="1828" t="s">
        <v>318</v>
      </c>
      <c r="D48" s="1828"/>
      <c r="E48" s="1828"/>
      <c r="F48" s="608"/>
      <c r="G48" s="608"/>
      <c r="H48" s="608"/>
      <c r="I48" s="608"/>
      <c r="J48" s="607">
        <v>56.85</v>
      </c>
      <c r="K48" s="608"/>
      <c r="L48" s="607">
        <v>421.97</v>
      </c>
      <c r="M48" s="601"/>
      <c r="N48" s="606"/>
      <c r="V48" s="674"/>
      <c r="W48" s="675"/>
      <c r="AA48" s="537" t="s">
        <v>318</v>
      </c>
    </row>
    <row r="49" spans="1:29" s="536" customFormat="1" ht="12" x14ac:dyDescent="0.2">
      <c r="A49" s="605"/>
      <c r="B49" s="552"/>
      <c r="C49" s="1822" t="s">
        <v>319</v>
      </c>
      <c r="D49" s="1822"/>
      <c r="E49" s="1822"/>
      <c r="F49" s="562"/>
      <c r="G49" s="562"/>
      <c r="H49" s="562"/>
      <c r="I49" s="562"/>
      <c r="J49" s="604"/>
      <c r="K49" s="562"/>
      <c r="L49" s="604">
        <v>178.95</v>
      </c>
      <c r="M49" s="603"/>
      <c r="N49" s="602"/>
      <c r="V49" s="674"/>
      <c r="W49" s="675"/>
      <c r="Z49" s="537" t="s">
        <v>319</v>
      </c>
    </row>
    <row r="50" spans="1:29" s="536" customFormat="1" ht="33.75" x14ac:dyDescent="0.2">
      <c r="A50" s="605"/>
      <c r="B50" s="552" t="s">
        <v>1631</v>
      </c>
      <c r="C50" s="1822" t="s">
        <v>1632</v>
      </c>
      <c r="D50" s="1822"/>
      <c r="E50" s="1822"/>
      <c r="F50" s="562" t="s">
        <v>322</v>
      </c>
      <c r="G50" s="562" t="s">
        <v>1633</v>
      </c>
      <c r="H50" s="562"/>
      <c r="I50" s="562" t="s">
        <v>1633</v>
      </c>
      <c r="J50" s="604"/>
      <c r="K50" s="562"/>
      <c r="L50" s="604">
        <v>173.58</v>
      </c>
      <c r="M50" s="603"/>
      <c r="N50" s="602"/>
      <c r="V50" s="674"/>
      <c r="W50" s="675"/>
      <c r="Z50" s="537" t="s">
        <v>1632</v>
      </c>
    </row>
    <row r="51" spans="1:29" s="536" customFormat="1" ht="33.75" x14ac:dyDescent="0.2">
      <c r="A51" s="605"/>
      <c r="B51" s="552" t="s">
        <v>1634</v>
      </c>
      <c r="C51" s="1822" t="s">
        <v>1635</v>
      </c>
      <c r="D51" s="1822"/>
      <c r="E51" s="1822"/>
      <c r="F51" s="562" t="s">
        <v>322</v>
      </c>
      <c r="G51" s="562" t="s">
        <v>786</v>
      </c>
      <c r="H51" s="562"/>
      <c r="I51" s="562" t="s">
        <v>786</v>
      </c>
      <c r="J51" s="604"/>
      <c r="K51" s="562"/>
      <c r="L51" s="604">
        <v>91.26</v>
      </c>
      <c r="M51" s="603"/>
      <c r="N51" s="602"/>
      <c r="V51" s="674"/>
      <c r="W51" s="675"/>
      <c r="Z51" s="537" t="s">
        <v>1635</v>
      </c>
    </row>
    <row r="52" spans="1:29" s="536" customFormat="1" ht="12" x14ac:dyDescent="0.2">
      <c r="A52" s="569"/>
      <c r="B52" s="683"/>
      <c r="C52" s="1823" t="s">
        <v>327</v>
      </c>
      <c r="D52" s="1823"/>
      <c r="E52" s="1823"/>
      <c r="F52" s="573"/>
      <c r="G52" s="573"/>
      <c r="H52" s="573"/>
      <c r="I52" s="573"/>
      <c r="J52" s="572"/>
      <c r="K52" s="573"/>
      <c r="L52" s="572">
        <v>686.81</v>
      </c>
      <c r="M52" s="601"/>
      <c r="N52" s="570"/>
      <c r="V52" s="674"/>
      <c r="W52" s="675"/>
      <c r="AB52" s="675" t="s">
        <v>327</v>
      </c>
    </row>
    <row r="53" spans="1:29" s="536" customFormat="1" ht="236.25" x14ac:dyDescent="0.2">
      <c r="A53" s="575" t="s">
        <v>625</v>
      </c>
      <c r="B53" s="684" t="s">
        <v>1636</v>
      </c>
      <c r="C53" s="1823" t="s">
        <v>1637</v>
      </c>
      <c r="D53" s="1823"/>
      <c r="E53" s="1823"/>
      <c r="F53" s="573" t="s">
        <v>617</v>
      </c>
      <c r="G53" s="573"/>
      <c r="H53" s="573"/>
      <c r="I53" s="573" t="s">
        <v>190</v>
      </c>
      <c r="J53" s="572">
        <v>281337.19</v>
      </c>
      <c r="K53" s="573" t="s">
        <v>629</v>
      </c>
      <c r="L53" s="572">
        <v>372174.07</v>
      </c>
      <c r="M53" s="571">
        <v>4.59</v>
      </c>
      <c r="N53" s="570">
        <v>1708279</v>
      </c>
      <c r="V53" s="674"/>
      <c r="W53" s="675" t="s">
        <v>1637</v>
      </c>
      <c r="AB53" s="675"/>
    </row>
    <row r="54" spans="1:29" s="536" customFormat="1" ht="12" x14ac:dyDescent="0.2">
      <c r="A54" s="569"/>
      <c r="B54" s="683"/>
      <c r="C54" s="689" t="s">
        <v>630</v>
      </c>
      <c r="D54" s="690"/>
      <c r="E54" s="690"/>
      <c r="F54" s="563"/>
      <c r="G54" s="563"/>
      <c r="H54" s="563"/>
      <c r="I54" s="563"/>
      <c r="J54" s="566"/>
      <c r="K54" s="563"/>
      <c r="L54" s="566"/>
      <c r="M54" s="565"/>
      <c r="N54" s="564"/>
      <c r="V54" s="674"/>
      <c r="W54" s="675"/>
      <c r="AB54" s="675"/>
    </row>
    <row r="55" spans="1:29" s="536" customFormat="1" ht="22.5" x14ac:dyDescent="0.2">
      <c r="A55" s="609"/>
      <c r="B55" s="552" t="s">
        <v>1638</v>
      </c>
      <c r="C55" s="1822" t="s">
        <v>632</v>
      </c>
      <c r="D55" s="1822"/>
      <c r="E55" s="1822"/>
      <c r="F55" s="1822"/>
      <c r="G55" s="1822"/>
      <c r="H55" s="1822"/>
      <c r="I55" s="1822"/>
      <c r="J55" s="1822"/>
      <c r="K55" s="1822"/>
      <c r="L55" s="1822"/>
      <c r="M55" s="1822"/>
      <c r="N55" s="1827"/>
      <c r="V55" s="674"/>
      <c r="W55" s="675"/>
      <c r="X55" s="537" t="s">
        <v>632</v>
      </c>
      <c r="AB55" s="675"/>
    </row>
    <row r="56" spans="1:29" s="536" customFormat="1" ht="33.75" x14ac:dyDescent="0.2">
      <c r="A56" s="575" t="s">
        <v>187</v>
      </c>
      <c r="B56" s="684" t="s">
        <v>1639</v>
      </c>
      <c r="C56" s="1823" t="s">
        <v>1640</v>
      </c>
      <c r="D56" s="1823"/>
      <c r="E56" s="1823"/>
      <c r="F56" s="573" t="s">
        <v>307</v>
      </c>
      <c r="G56" s="573"/>
      <c r="H56" s="573"/>
      <c r="I56" s="573" t="s">
        <v>1641</v>
      </c>
      <c r="J56" s="572"/>
      <c r="K56" s="573"/>
      <c r="L56" s="572"/>
      <c r="M56" s="571"/>
      <c r="N56" s="570"/>
      <c r="V56" s="674"/>
      <c r="W56" s="675" t="s">
        <v>1640</v>
      </c>
      <c r="AB56" s="675"/>
    </row>
    <row r="57" spans="1:29" s="536" customFormat="1" ht="12" x14ac:dyDescent="0.2">
      <c r="A57" s="676"/>
      <c r="B57" s="682"/>
      <c r="C57" s="1822" t="s">
        <v>1642</v>
      </c>
      <c r="D57" s="1822"/>
      <c r="E57" s="1822"/>
      <c r="F57" s="1822"/>
      <c r="G57" s="1822"/>
      <c r="H57" s="1822"/>
      <c r="I57" s="1822"/>
      <c r="J57" s="1822"/>
      <c r="K57" s="1822"/>
      <c r="L57" s="1822"/>
      <c r="M57" s="1822"/>
      <c r="N57" s="1827"/>
      <c r="V57" s="674"/>
      <c r="W57" s="675"/>
      <c r="AB57" s="675"/>
      <c r="AC57" s="537" t="s">
        <v>1642</v>
      </c>
    </row>
    <row r="58" spans="1:29" s="536" customFormat="1" ht="33.75" x14ac:dyDescent="0.2">
      <c r="A58" s="609"/>
      <c r="B58" s="552" t="s">
        <v>310</v>
      </c>
      <c r="C58" s="1822" t="s">
        <v>311</v>
      </c>
      <c r="D58" s="1822"/>
      <c r="E58" s="1822"/>
      <c r="F58" s="1822"/>
      <c r="G58" s="1822"/>
      <c r="H58" s="1822"/>
      <c r="I58" s="1822"/>
      <c r="J58" s="1822"/>
      <c r="K58" s="1822"/>
      <c r="L58" s="1822"/>
      <c r="M58" s="1822"/>
      <c r="N58" s="1827"/>
      <c r="V58" s="674"/>
      <c r="W58" s="675"/>
      <c r="X58" s="537" t="s">
        <v>311</v>
      </c>
      <c r="AB58" s="675"/>
    </row>
    <row r="59" spans="1:29" s="536" customFormat="1" ht="12" x14ac:dyDescent="0.2">
      <c r="A59" s="605"/>
      <c r="B59" s="552" t="s">
        <v>185</v>
      </c>
      <c r="C59" s="1822" t="s">
        <v>312</v>
      </c>
      <c r="D59" s="1822"/>
      <c r="E59" s="1822"/>
      <c r="F59" s="562"/>
      <c r="G59" s="562"/>
      <c r="H59" s="562"/>
      <c r="I59" s="562"/>
      <c r="J59" s="604">
        <v>153.26</v>
      </c>
      <c r="K59" s="562" t="s">
        <v>313</v>
      </c>
      <c r="L59" s="604">
        <v>298.86</v>
      </c>
      <c r="M59" s="603"/>
      <c r="N59" s="602"/>
      <c r="V59" s="674"/>
      <c r="W59" s="675"/>
      <c r="Y59" s="537" t="s">
        <v>312</v>
      </c>
      <c r="AB59" s="675"/>
    </row>
    <row r="60" spans="1:29" s="536" customFormat="1" ht="12" x14ac:dyDescent="0.2">
      <c r="A60" s="605"/>
      <c r="B60" s="552" t="s">
        <v>186</v>
      </c>
      <c r="C60" s="1822" t="s">
        <v>344</v>
      </c>
      <c r="D60" s="1822"/>
      <c r="E60" s="1822"/>
      <c r="F60" s="562"/>
      <c r="G60" s="562"/>
      <c r="H60" s="562"/>
      <c r="I60" s="562"/>
      <c r="J60" s="604">
        <v>1.81</v>
      </c>
      <c r="K60" s="562" t="s">
        <v>313</v>
      </c>
      <c r="L60" s="604">
        <v>3.53</v>
      </c>
      <c r="M60" s="603"/>
      <c r="N60" s="602"/>
      <c r="V60" s="674"/>
      <c r="W60" s="675"/>
      <c r="Y60" s="537" t="s">
        <v>344</v>
      </c>
      <c r="AB60" s="675"/>
    </row>
    <row r="61" spans="1:29" s="536" customFormat="1" ht="12" x14ac:dyDescent="0.2">
      <c r="A61" s="605"/>
      <c r="B61" s="552" t="s">
        <v>187</v>
      </c>
      <c r="C61" s="1822" t="s">
        <v>345</v>
      </c>
      <c r="D61" s="1822"/>
      <c r="E61" s="1822"/>
      <c r="F61" s="562"/>
      <c r="G61" s="562"/>
      <c r="H61" s="562"/>
      <c r="I61" s="562"/>
      <c r="J61" s="604">
        <v>0.26</v>
      </c>
      <c r="K61" s="562" t="s">
        <v>313</v>
      </c>
      <c r="L61" s="604">
        <v>0.51</v>
      </c>
      <c r="M61" s="603"/>
      <c r="N61" s="602"/>
      <c r="V61" s="674"/>
      <c r="W61" s="675"/>
      <c r="Y61" s="537" t="s">
        <v>345</v>
      </c>
      <c r="AB61" s="675"/>
    </row>
    <row r="62" spans="1:29" s="536" customFormat="1" ht="12" x14ac:dyDescent="0.2">
      <c r="A62" s="605"/>
      <c r="B62" s="552" t="s">
        <v>188</v>
      </c>
      <c r="C62" s="1822" t="s">
        <v>475</v>
      </c>
      <c r="D62" s="1822"/>
      <c r="E62" s="1822"/>
      <c r="F62" s="562"/>
      <c r="G62" s="562"/>
      <c r="H62" s="562"/>
      <c r="I62" s="562"/>
      <c r="J62" s="604">
        <v>98.83</v>
      </c>
      <c r="K62" s="562"/>
      <c r="L62" s="604">
        <v>154.16999999999999</v>
      </c>
      <c r="M62" s="603"/>
      <c r="N62" s="602"/>
      <c r="V62" s="674"/>
      <c r="W62" s="675"/>
      <c r="Y62" s="537" t="s">
        <v>475</v>
      </c>
      <c r="AB62" s="675"/>
    </row>
    <row r="63" spans="1:29" s="536" customFormat="1" ht="12" x14ac:dyDescent="0.2">
      <c r="A63" s="605"/>
      <c r="B63" s="552"/>
      <c r="C63" s="1822" t="s">
        <v>314</v>
      </c>
      <c r="D63" s="1822"/>
      <c r="E63" s="1822"/>
      <c r="F63" s="562" t="s">
        <v>315</v>
      </c>
      <c r="G63" s="562" t="s">
        <v>1628</v>
      </c>
      <c r="H63" s="562" t="s">
        <v>313</v>
      </c>
      <c r="I63" s="562" t="s">
        <v>1643</v>
      </c>
      <c r="J63" s="604"/>
      <c r="K63" s="562"/>
      <c r="L63" s="604"/>
      <c r="M63" s="603"/>
      <c r="N63" s="602"/>
      <c r="V63" s="674"/>
      <c r="W63" s="675"/>
      <c r="Z63" s="537" t="s">
        <v>314</v>
      </c>
      <c r="AB63" s="675"/>
    </row>
    <row r="64" spans="1:29" s="536" customFormat="1" ht="12" x14ac:dyDescent="0.2">
      <c r="A64" s="605"/>
      <c r="B64" s="552"/>
      <c r="C64" s="1822" t="s">
        <v>348</v>
      </c>
      <c r="D64" s="1822"/>
      <c r="E64" s="1822"/>
      <c r="F64" s="562" t="s">
        <v>315</v>
      </c>
      <c r="G64" s="562" t="s">
        <v>695</v>
      </c>
      <c r="H64" s="562" t="s">
        <v>313</v>
      </c>
      <c r="I64" s="562" t="s">
        <v>1644</v>
      </c>
      <c r="J64" s="604"/>
      <c r="K64" s="562"/>
      <c r="L64" s="604"/>
      <c r="M64" s="603"/>
      <c r="N64" s="602"/>
      <c r="V64" s="674"/>
      <c r="W64" s="675"/>
      <c r="Z64" s="537" t="s">
        <v>348</v>
      </c>
      <c r="AB64" s="675"/>
    </row>
    <row r="65" spans="1:31" s="536" customFormat="1" ht="12" x14ac:dyDescent="0.2">
      <c r="A65" s="605"/>
      <c r="B65" s="552"/>
      <c r="C65" s="1828" t="s">
        <v>318</v>
      </c>
      <c r="D65" s="1828"/>
      <c r="E65" s="1828"/>
      <c r="F65" s="608"/>
      <c r="G65" s="608"/>
      <c r="H65" s="608"/>
      <c r="I65" s="608"/>
      <c r="J65" s="607">
        <v>253.9</v>
      </c>
      <c r="K65" s="608"/>
      <c r="L65" s="607">
        <v>456.56</v>
      </c>
      <c r="M65" s="601"/>
      <c r="N65" s="606"/>
      <c r="V65" s="674"/>
      <c r="W65" s="675"/>
      <c r="AA65" s="537" t="s">
        <v>318</v>
      </c>
      <c r="AB65" s="675"/>
    </row>
    <row r="66" spans="1:31" s="536" customFormat="1" ht="12" x14ac:dyDescent="0.2">
      <c r="A66" s="605"/>
      <c r="B66" s="552"/>
      <c r="C66" s="1822" t="s">
        <v>319</v>
      </c>
      <c r="D66" s="1822"/>
      <c r="E66" s="1822"/>
      <c r="F66" s="562"/>
      <c r="G66" s="562"/>
      <c r="H66" s="562"/>
      <c r="I66" s="562"/>
      <c r="J66" s="604"/>
      <c r="K66" s="562"/>
      <c r="L66" s="604">
        <v>299.37</v>
      </c>
      <c r="M66" s="603"/>
      <c r="N66" s="602"/>
      <c r="V66" s="674"/>
      <c r="W66" s="675"/>
      <c r="Z66" s="537" t="s">
        <v>319</v>
      </c>
      <c r="AB66" s="675"/>
    </row>
    <row r="67" spans="1:31" s="536" customFormat="1" ht="33.75" x14ac:dyDescent="0.2">
      <c r="A67" s="605"/>
      <c r="B67" s="552" t="s">
        <v>1631</v>
      </c>
      <c r="C67" s="1822" t="s">
        <v>1632</v>
      </c>
      <c r="D67" s="1822"/>
      <c r="E67" s="1822"/>
      <c r="F67" s="562" t="s">
        <v>322</v>
      </c>
      <c r="G67" s="562" t="s">
        <v>1633</v>
      </c>
      <c r="H67" s="562"/>
      <c r="I67" s="562" t="s">
        <v>1633</v>
      </c>
      <c r="J67" s="604"/>
      <c r="K67" s="562"/>
      <c r="L67" s="604">
        <v>290.39</v>
      </c>
      <c r="M67" s="603"/>
      <c r="N67" s="602"/>
      <c r="V67" s="674"/>
      <c r="W67" s="675"/>
      <c r="Z67" s="537" t="s">
        <v>1632</v>
      </c>
      <c r="AB67" s="675"/>
    </row>
    <row r="68" spans="1:31" s="536" customFormat="1" ht="33.75" x14ac:dyDescent="0.2">
      <c r="A68" s="605"/>
      <c r="B68" s="552" t="s">
        <v>1634</v>
      </c>
      <c r="C68" s="1822" t="s">
        <v>1635</v>
      </c>
      <c r="D68" s="1822"/>
      <c r="E68" s="1822"/>
      <c r="F68" s="562" t="s">
        <v>322</v>
      </c>
      <c r="G68" s="562" t="s">
        <v>786</v>
      </c>
      <c r="H68" s="562"/>
      <c r="I68" s="562" t="s">
        <v>786</v>
      </c>
      <c r="J68" s="604"/>
      <c r="K68" s="562"/>
      <c r="L68" s="604">
        <v>152.68</v>
      </c>
      <c r="M68" s="603"/>
      <c r="N68" s="602"/>
      <c r="V68" s="674"/>
      <c r="W68" s="675"/>
      <c r="Z68" s="537" t="s">
        <v>1635</v>
      </c>
      <c r="AB68" s="675"/>
    </row>
    <row r="69" spans="1:31" s="536" customFormat="1" ht="12" x14ac:dyDescent="0.2">
      <c r="A69" s="569"/>
      <c r="B69" s="683"/>
      <c r="C69" s="1823" t="s">
        <v>327</v>
      </c>
      <c r="D69" s="1823"/>
      <c r="E69" s="1823"/>
      <c r="F69" s="573"/>
      <c r="G69" s="573"/>
      <c r="H69" s="573"/>
      <c r="I69" s="573"/>
      <c r="J69" s="572"/>
      <c r="K69" s="573"/>
      <c r="L69" s="572">
        <v>899.63</v>
      </c>
      <c r="M69" s="601"/>
      <c r="N69" s="570"/>
      <c r="V69" s="674"/>
      <c r="W69" s="675"/>
      <c r="AB69" s="675" t="s">
        <v>327</v>
      </c>
    </row>
    <row r="70" spans="1:31" s="536" customFormat="1" ht="1.5" customHeight="1" x14ac:dyDescent="0.2">
      <c r="A70" s="563"/>
      <c r="B70" s="683"/>
      <c r="C70" s="683"/>
      <c r="D70" s="683"/>
      <c r="E70" s="683"/>
      <c r="F70" s="563"/>
      <c r="G70" s="563"/>
      <c r="H70" s="563"/>
      <c r="I70" s="563"/>
      <c r="J70" s="546"/>
      <c r="K70" s="563"/>
      <c r="L70" s="546"/>
      <c r="M70" s="562"/>
      <c r="N70" s="546"/>
      <c r="V70" s="674"/>
      <c r="W70" s="675"/>
      <c r="AB70" s="675"/>
    </row>
    <row r="71" spans="1:31" s="536" customFormat="1" ht="12" x14ac:dyDescent="0.2">
      <c r="A71" s="557"/>
      <c r="B71" s="556"/>
      <c r="C71" s="1823" t="s">
        <v>1645</v>
      </c>
      <c r="D71" s="1823"/>
      <c r="E71" s="1823"/>
      <c r="F71" s="1823"/>
      <c r="G71" s="1823"/>
      <c r="H71" s="1823"/>
      <c r="I71" s="1823"/>
      <c r="J71" s="1823"/>
      <c r="K71" s="1823"/>
      <c r="L71" s="555"/>
      <c r="M71" s="554"/>
      <c r="N71" s="553"/>
      <c r="V71" s="674"/>
      <c r="W71" s="675"/>
      <c r="AB71" s="675"/>
      <c r="AD71" s="675" t="s">
        <v>1645</v>
      </c>
    </row>
    <row r="72" spans="1:31" s="536" customFormat="1" ht="12" x14ac:dyDescent="0.2">
      <c r="A72" s="548"/>
      <c r="B72" s="552"/>
      <c r="C72" s="1822" t="s">
        <v>403</v>
      </c>
      <c r="D72" s="1822"/>
      <c r="E72" s="1822"/>
      <c r="F72" s="1822"/>
      <c r="G72" s="1822"/>
      <c r="H72" s="1822"/>
      <c r="I72" s="1822"/>
      <c r="J72" s="1822"/>
      <c r="K72" s="1822"/>
      <c r="L72" s="551">
        <v>878.53</v>
      </c>
      <c r="M72" s="550"/>
      <c r="N72" s="549"/>
      <c r="V72" s="674"/>
      <c r="W72" s="675"/>
      <c r="AB72" s="675"/>
      <c r="AD72" s="675"/>
      <c r="AE72" s="537" t="s">
        <v>403</v>
      </c>
    </row>
    <row r="73" spans="1:31" s="536" customFormat="1" ht="12" x14ac:dyDescent="0.2">
      <c r="A73" s="548"/>
      <c r="B73" s="552"/>
      <c r="C73" s="1822" t="s">
        <v>204</v>
      </c>
      <c r="D73" s="1822"/>
      <c r="E73" s="1822"/>
      <c r="F73" s="1822"/>
      <c r="G73" s="1822"/>
      <c r="H73" s="1822"/>
      <c r="I73" s="1822"/>
      <c r="J73" s="1822"/>
      <c r="K73" s="1822"/>
      <c r="L73" s="551"/>
      <c r="M73" s="550"/>
      <c r="N73" s="549"/>
      <c r="V73" s="674"/>
      <c r="W73" s="675"/>
      <c r="AB73" s="675"/>
      <c r="AD73" s="675"/>
      <c r="AE73" s="537" t="s">
        <v>204</v>
      </c>
    </row>
    <row r="74" spans="1:31" s="536" customFormat="1" ht="12" x14ac:dyDescent="0.2">
      <c r="A74" s="548"/>
      <c r="B74" s="552"/>
      <c r="C74" s="1822" t="s">
        <v>404</v>
      </c>
      <c r="D74" s="1822"/>
      <c r="E74" s="1822"/>
      <c r="F74" s="1822"/>
      <c r="G74" s="1822"/>
      <c r="H74" s="1822"/>
      <c r="I74" s="1822"/>
      <c r="J74" s="1822"/>
      <c r="K74" s="1822"/>
      <c r="L74" s="551">
        <v>452.16</v>
      </c>
      <c r="M74" s="550"/>
      <c r="N74" s="549"/>
      <c r="V74" s="674"/>
      <c r="W74" s="675"/>
      <c r="AB74" s="675"/>
      <c r="AD74" s="675"/>
      <c r="AE74" s="537" t="s">
        <v>404</v>
      </c>
    </row>
    <row r="75" spans="1:31" s="536" customFormat="1" ht="12" x14ac:dyDescent="0.2">
      <c r="A75" s="548"/>
      <c r="B75" s="552"/>
      <c r="C75" s="1822" t="s">
        <v>405</v>
      </c>
      <c r="D75" s="1822"/>
      <c r="E75" s="1822"/>
      <c r="F75" s="1822"/>
      <c r="G75" s="1822"/>
      <c r="H75" s="1822"/>
      <c r="I75" s="1822"/>
      <c r="J75" s="1822"/>
      <c r="K75" s="1822"/>
      <c r="L75" s="551">
        <v>254.56</v>
      </c>
      <c r="M75" s="550"/>
      <c r="N75" s="549"/>
      <c r="V75" s="674"/>
      <c r="W75" s="675"/>
      <c r="AB75" s="675"/>
      <c r="AD75" s="675"/>
      <c r="AE75" s="537" t="s">
        <v>405</v>
      </c>
    </row>
    <row r="76" spans="1:31" s="536" customFormat="1" ht="12" x14ac:dyDescent="0.2">
      <c r="A76" s="548"/>
      <c r="B76" s="552"/>
      <c r="C76" s="1822" t="s">
        <v>406</v>
      </c>
      <c r="D76" s="1822"/>
      <c r="E76" s="1822"/>
      <c r="F76" s="1822"/>
      <c r="G76" s="1822"/>
      <c r="H76" s="1822"/>
      <c r="I76" s="1822"/>
      <c r="J76" s="1822"/>
      <c r="K76" s="1822"/>
      <c r="L76" s="551">
        <v>26.16</v>
      </c>
      <c r="M76" s="550"/>
      <c r="N76" s="549"/>
      <c r="V76" s="674"/>
      <c r="W76" s="675"/>
      <c r="AB76" s="675"/>
      <c r="AD76" s="675"/>
      <c r="AE76" s="537" t="s">
        <v>406</v>
      </c>
    </row>
    <row r="77" spans="1:31" s="536" customFormat="1" ht="12" x14ac:dyDescent="0.2">
      <c r="A77" s="548"/>
      <c r="B77" s="552"/>
      <c r="C77" s="1822" t="s">
        <v>480</v>
      </c>
      <c r="D77" s="1822"/>
      <c r="E77" s="1822"/>
      <c r="F77" s="1822"/>
      <c r="G77" s="1822"/>
      <c r="H77" s="1822"/>
      <c r="I77" s="1822"/>
      <c r="J77" s="1822"/>
      <c r="K77" s="1822"/>
      <c r="L77" s="551">
        <v>171.81</v>
      </c>
      <c r="M77" s="550"/>
      <c r="N77" s="549"/>
      <c r="V77" s="674"/>
      <c r="W77" s="675"/>
      <c r="AB77" s="675"/>
      <c r="AD77" s="675"/>
      <c r="AE77" s="537" t="s">
        <v>480</v>
      </c>
    </row>
    <row r="78" spans="1:31" s="536" customFormat="1" ht="12" x14ac:dyDescent="0.2">
      <c r="A78" s="548"/>
      <c r="B78" s="552"/>
      <c r="C78" s="1822" t="s">
        <v>753</v>
      </c>
      <c r="D78" s="1822"/>
      <c r="E78" s="1822"/>
      <c r="F78" s="1822"/>
      <c r="G78" s="1822"/>
      <c r="H78" s="1822"/>
      <c r="I78" s="1822"/>
      <c r="J78" s="1822"/>
      <c r="K78" s="1822"/>
      <c r="L78" s="551">
        <v>1586.44</v>
      </c>
      <c r="M78" s="550"/>
      <c r="N78" s="549"/>
      <c r="V78" s="674"/>
      <c r="W78" s="675"/>
      <c r="AB78" s="675"/>
      <c r="AD78" s="675"/>
      <c r="AE78" s="537" t="s">
        <v>753</v>
      </c>
    </row>
    <row r="79" spans="1:31" s="536" customFormat="1" ht="12" x14ac:dyDescent="0.2">
      <c r="A79" s="548"/>
      <c r="B79" s="552"/>
      <c r="C79" s="1822" t="s">
        <v>204</v>
      </c>
      <c r="D79" s="1822"/>
      <c r="E79" s="1822"/>
      <c r="F79" s="1822"/>
      <c r="G79" s="1822"/>
      <c r="H79" s="1822"/>
      <c r="I79" s="1822"/>
      <c r="J79" s="1822"/>
      <c r="K79" s="1822"/>
      <c r="L79" s="551"/>
      <c r="M79" s="550"/>
      <c r="N79" s="549"/>
      <c r="V79" s="674"/>
      <c r="W79" s="675"/>
      <c r="AB79" s="675"/>
      <c r="AD79" s="675"/>
      <c r="AE79" s="537" t="s">
        <v>204</v>
      </c>
    </row>
    <row r="80" spans="1:31" s="536" customFormat="1" ht="12" x14ac:dyDescent="0.2">
      <c r="A80" s="548"/>
      <c r="B80" s="552"/>
      <c r="C80" s="1822" t="s">
        <v>546</v>
      </c>
      <c r="D80" s="1822"/>
      <c r="E80" s="1822"/>
      <c r="F80" s="1822"/>
      <c r="G80" s="1822"/>
      <c r="H80" s="1822"/>
      <c r="I80" s="1822"/>
      <c r="J80" s="1822"/>
      <c r="K80" s="1822"/>
      <c r="L80" s="551">
        <v>452.16</v>
      </c>
      <c r="M80" s="550"/>
      <c r="N80" s="549"/>
      <c r="V80" s="674"/>
      <c r="W80" s="675"/>
      <c r="AB80" s="675"/>
      <c r="AD80" s="675"/>
      <c r="AE80" s="537" t="s">
        <v>546</v>
      </c>
    </row>
    <row r="81" spans="1:33" s="536" customFormat="1" ht="12" x14ac:dyDescent="0.2">
      <c r="A81" s="548"/>
      <c r="B81" s="552"/>
      <c r="C81" s="1822" t="s">
        <v>442</v>
      </c>
      <c r="D81" s="1822"/>
      <c r="E81" s="1822"/>
      <c r="F81" s="1822"/>
      <c r="G81" s="1822"/>
      <c r="H81" s="1822"/>
      <c r="I81" s="1822"/>
      <c r="J81" s="1822"/>
      <c r="K81" s="1822"/>
      <c r="L81" s="551">
        <v>254.56</v>
      </c>
      <c r="M81" s="550"/>
      <c r="N81" s="549"/>
      <c r="V81" s="674"/>
      <c r="W81" s="675"/>
      <c r="AB81" s="675"/>
      <c r="AD81" s="675"/>
      <c r="AE81" s="537" t="s">
        <v>442</v>
      </c>
    </row>
    <row r="82" spans="1:33" s="536" customFormat="1" ht="12" x14ac:dyDescent="0.2">
      <c r="A82" s="548"/>
      <c r="B82" s="552"/>
      <c r="C82" s="1822" t="s">
        <v>547</v>
      </c>
      <c r="D82" s="1822"/>
      <c r="E82" s="1822"/>
      <c r="F82" s="1822"/>
      <c r="G82" s="1822"/>
      <c r="H82" s="1822"/>
      <c r="I82" s="1822"/>
      <c r="J82" s="1822"/>
      <c r="K82" s="1822"/>
      <c r="L82" s="551">
        <v>171.81</v>
      </c>
      <c r="M82" s="550"/>
      <c r="N82" s="549"/>
      <c r="V82" s="674"/>
      <c r="W82" s="675"/>
      <c r="AB82" s="675"/>
      <c r="AD82" s="675"/>
      <c r="AE82" s="537" t="s">
        <v>547</v>
      </c>
    </row>
    <row r="83" spans="1:33" s="536" customFormat="1" ht="12" x14ac:dyDescent="0.2">
      <c r="A83" s="548"/>
      <c r="B83" s="552"/>
      <c r="C83" s="1822" t="s">
        <v>443</v>
      </c>
      <c r="D83" s="1822"/>
      <c r="E83" s="1822"/>
      <c r="F83" s="1822"/>
      <c r="G83" s="1822"/>
      <c r="H83" s="1822"/>
      <c r="I83" s="1822"/>
      <c r="J83" s="1822"/>
      <c r="K83" s="1822"/>
      <c r="L83" s="551">
        <v>463.97</v>
      </c>
      <c r="M83" s="550"/>
      <c r="N83" s="549"/>
      <c r="V83" s="674"/>
      <c r="W83" s="675"/>
      <c r="AB83" s="675"/>
      <c r="AD83" s="675"/>
      <c r="AE83" s="537" t="s">
        <v>443</v>
      </c>
    </row>
    <row r="84" spans="1:33" s="536" customFormat="1" ht="12" x14ac:dyDescent="0.2">
      <c r="A84" s="548"/>
      <c r="B84" s="552"/>
      <c r="C84" s="1822" t="s">
        <v>444</v>
      </c>
      <c r="D84" s="1822"/>
      <c r="E84" s="1822"/>
      <c r="F84" s="1822"/>
      <c r="G84" s="1822"/>
      <c r="H84" s="1822"/>
      <c r="I84" s="1822"/>
      <c r="J84" s="1822"/>
      <c r="K84" s="1822"/>
      <c r="L84" s="551">
        <v>243.94</v>
      </c>
      <c r="M84" s="550"/>
      <c r="N84" s="549"/>
      <c r="V84" s="674"/>
      <c r="W84" s="675"/>
      <c r="AB84" s="675"/>
      <c r="AD84" s="675"/>
      <c r="AE84" s="537" t="s">
        <v>444</v>
      </c>
    </row>
    <row r="85" spans="1:33" s="536" customFormat="1" ht="12" x14ac:dyDescent="0.2">
      <c r="A85" s="548"/>
      <c r="B85" s="552"/>
      <c r="C85" s="1822" t="s">
        <v>754</v>
      </c>
      <c r="D85" s="1822"/>
      <c r="E85" s="1822"/>
      <c r="F85" s="1822"/>
      <c r="G85" s="1822"/>
      <c r="H85" s="1822"/>
      <c r="I85" s="1822"/>
      <c r="J85" s="1822"/>
      <c r="K85" s="1822"/>
      <c r="L85" s="551">
        <v>372174.07</v>
      </c>
      <c r="M85" s="550"/>
      <c r="N85" s="549"/>
      <c r="V85" s="674"/>
      <c r="W85" s="675"/>
      <c r="AB85" s="675"/>
      <c r="AD85" s="675"/>
      <c r="AE85" s="537" t="s">
        <v>754</v>
      </c>
    </row>
    <row r="86" spans="1:33" s="536" customFormat="1" ht="12" x14ac:dyDescent="0.2">
      <c r="A86" s="548"/>
      <c r="B86" s="552"/>
      <c r="C86" s="1822" t="s">
        <v>415</v>
      </c>
      <c r="D86" s="1822"/>
      <c r="E86" s="1822"/>
      <c r="F86" s="1822"/>
      <c r="G86" s="1822"/>
      <c r="H86" s="1822"/>
      <c r="I86" s="1822"/>
      <c r="J86" s="1822"/>
      <c r="K86" s="1822"/>
      <c r="L86" s="551">
        <v>478.32</v>
      </c>
      <c r="M86" s="550"/>
      <c r="N86" s="549"/>
      <c r="V86" s="674"/>
      <c r="W86" s="675"/>
      <c r="AB86" s="675"/>
      <c r="AD86" s="675"/>
      <c r="AE86" s="537" t="s">
        <v>415</v>
      </c>
    </row>
    <row r="87" spans="1:33" s="536" customFormat="1" ht="12" x14ac:dyDescent="0.2">
      <c r="A87" s="548"/>
      <c r="B87" s="552"/>
      <c r="C87" s="1822" t="s">
        <v>416</v>
      </c>
      <c r="D87" s="1822"/>
      <c r="E87" s="1822"/>
      <c r="F87" s="1822"/>
      <c r="G87" s="1822"/>
      <c r="H87" s="1822"/>
      <c r="I87" s="1822"/>
      <c r="J87" s="1822"/>
      <c r="K87" s="1822"/>
      <c r="L87" s="551">
        <v>463.97</v>
      </c>
      <c r="M87" s="550"/>
      <c r="N87" s="549"/>
      <c r="V87" s="674"/>
      <c r="W87" s="675"/>
      <c r="AB87" s="675"/>
      <c r="AD87" s="675"/>
      <c r="AE87" s="537" t="s">
        <v>416</v>
      </c>
    </row>
    <row r="88" spans="1:33" s="536" customFormat="1" ht="12" x14ac:dyDescent="0.2">
      <c r="A88" s="548"/>
      <c r="B88" s="552"/>
      <c r="C88" s="1822" t="s">
        <v>417</v>
      </c>
      <c r="D88" s="1822"/>
      <c r="E88" s="1822"/>
      <c r="F88" s="1822"/>
      <c r="G88" s="1822"/>
      <c r="H88" s="1822"/>
      <c r="I88" s="1822"/>
      <c r="J88" s="1822"/>
      <c r="K88" s="1822"/>
      <c r="L88" s="551">
        <v>243.94</v>
      </c>
      <c r="M88" s="550"/>
      <c r="N88" s="549"/>
      <c r="V88" s="674"/>
      <c r="W88" s="675"/>
      <c r="AB88" s="675"/>
      <c r="AD88" s="675"/>
      <c r="AE88" s="537" t="s">
        <v>417</v>
      </c>
    </row>
    <row r="89" spans="1:33" s="536" customFormat="1" ht="12" x14ac:dyDescent="0.2">
      <c r="A89" s="548"/>
      <c r="B89" s="546"/>
      <c r="C89" s="1819" t="s">
        <v>1646</v>
      </c>
      <c r="D89" s="1819"/>
      <c r="E89" s="1819"/>
      <c r="F89" s="1819"/>
      <c r="G89" s="1819"/>
      <c r="H89" s="1819"/>
      <c r="I89" s="1819"/>
      <c r="J89" s="1819"/>
      <c r="K89" s="1819"/>
      <c r="L89" s="544">
        <v>373760.51</v>
      </c>
      <c r="M89" s="543"/>
      <c r="N89" s="681"/>
      <c r="V89" s="674"/>
      <c r="W89" s="675"/>
      <c r="AB89" s="675"/>
      <c r="AD89" s="675"/>
      <c r="AF89" s="675" t="s">
        <v>1646</v>
      </c>
    </row>
    <row r="90" spans="1:33" s="536" customFormat="1" ht="12" x14ac:dyDescent="0.2">
      <c r="A90" s="548"/>
      <c r="B90" s="552"/>
      <c r="C90" s="1822" t="s">
        <v>204</v>
      </c>
      <c r="D90" s="1822"/>
      <c r="E90" s="1822"/>
      <c r="F90" s="1822"/>
      <c r="G90" s="1822"/>
      <c r="H90" s="1822"/>
      <c r="I90" s="1822"/>
      <c r="J90" s="1822"/>
      <c r="K90" s="1822"/>
      <c r="L90" s="551"/>
      <c r="M90" s="550"/>
      <c r="N90" s="549"/>
      <c r="V90" s="674"/>
      <c r="W90" s="675"/>
      <c r="AB90" s="675"/>
      <c r="AD90" s="675"/>
      <c r="AE90" s="537" t="s">
        <v>204</v>
      </c>
      <c r="AF90" s="675"/>
    </row>
    <row r="91" spans="1:33" s="536" customFormat="1" ht="12" x14ac:dyDescent="0.2">
      <c r="A91" s="548"/>
      <c r="B91" s="552"/>
      <c r="C91" s="1822" t="s">
        <v>8097</v>
      </c>
      <c r="D91" s="1822"/>
      <c r="E91" s="1822"/>
      <c r="F91" s="1822"/>
      <c r="G91" s="1822"/>
      <c r="H91" s="1822"/>
      <c r="I91" s="1822"/>
      <c r="J91" s="1822"/>
      <c r="K91" s="1822"/>
      <c r="L91" s="551">
        <v>372174.07</v>
      </c>
      <c r="M91" s="550"/>
      <c r="N91" s="549"/>
      <c r="V91" s="674"/>
      <c r="W91" s="675"/>
      <c r="AB91" s="675"/>
      <c r="AD91" s="675"/>
      <c r="AE91" s="537" t="s">
        <v>8097</v>
      </c>
      <c r="AF91" s="675"/>
    </row>
    <row r="92" spans="1:33" s="536" customFormat="1" ht="12" x14ac:dyDescent="0.2">
      <c r="A92" s="1824" t="s">
        <v>1647</v>
      </c>
      <c r="B92" s="1825"/>
      <c r="C92" s="1825"/>
      <c r="D92" s="1825"/>
      <c r="E92" s="1825"/>
      <c r="F92" s="1825"/>
      <c r="G92" s="1825"/>
      <c r="H92" s="1825"/>
      <c r="I92" s="1825"/>
      <c r="J92" s="1825"/>
      <c r="K92" s="1825"/>
      <c r="L92" s="1825"/>
      <c r="M92" s="1825"/>
      <c r="N92" s="1826"/>
      <c r="V92" s="674" t="s">
        <v>1647</v>
      </c>
      <c r="W92" s="675"/>
      <c r="AB92" s="675"/>
      <c r="AD92" s="675"/>
      <c r="AF92" s="675"/>
    </row>
    <row r="93" spans="1:33" s="536" customFormat="1" ht="12" x14ac:dyDescent="0.2">
      <c r="A93" s="1830" t="s">
        <v>1648</v>
      </c>
      <c r="B93" s="1831"/>
      <c r="C93" s="1831"/>
      <c r="D93" s="1831"/>
      <c r="E93" s="1831"/>
      <c r="F93" s="1831"/>
      <c r="G93" s="1831"/>
      <c r="H93" s="1831"/>
      <c r="I93" s="1831"/>
      <c r="J93" s="1831"/>
      <c r="K93" s="1831"/>
      <c r="L93" s="1831"/>
      <c r="M93" s="1831"/>
      <c r="N93" s="1832"/>
      <c r="V93" s="674"/>
      <c r="W93" s="675"/>
      <c r="AB93" s="675"/>
      <c r="AD93" s="675"/>
      <c r="AF93" s="675"/>
      <c r="AG93" s="675" t="s">
        <v>1648</v>
      </c>
    </row>
    <row r="94" spans="1:33" s="536" customFormat="1" ht="56.25" x14ac:dyDescent="0.2">
      <c r="A94" s="575" t="s">
        <v>188</v>
      </c>
      <c r="B94" s="684" t="s">
        <v>1649</v>
      </c>
      <c r="C94" s="1823" t="s">
        <v>1650</v>
      </c>
      <c r="D94" s="1823"/>
      <c r="E94" s="1823"/>
      <c r="F94" s="573" t="s">
        <v>307</v>
      </c>
      <c r="G94" s="573"/>
      <c r="H94" s="573"/>
      <c r="I94" s="573" t="s">
        <v>1554</v>
      </c>
      <c r="J94" s="572"/>
      <c r="K94" s="573"/>
      <c r="L94" s="572"/>
      <c r="M94" s="571"/>
      <c r="N94" s="570"/>
      <c r="V94" s="674"/>
      <c r="W94" s="675" t="s">
        <v>1650</v>
      </c>
      <c r="AB94" s="675"/>
      <c r="AD94" s="675"/>
      <c r="AF94" s="675"/>
      <c r="AG94" s="675"/>
    </row>
    <row r="95" spans="1:33" s="536" customFormat="1" ht="12" x14ac:dyDescent="0.2">
      <c r="A95" s="676"/>
      <c r="B95" s="682"/>
      <c r="C95" s="1822" t="s">
        <v>1651</v>
      </c>
      <c r="D95" s="1822"/>
      <c r="E95" s="1822"/>
      <c r="F95" s="1822"/>
      <c r="G95" s="1822"/>
      <c r="H95" s="1822"/>
      <c r="I95" s="1822"/>
      <c r="J95" s="1822"/>
      <c r="K95" s="1822"/>
      <c r="L95" s="1822"/>
      <c r="M95" s="1822"/>
      <c r="N95" s="1827"/>
      <c r="V95" s="674"/>
      <c r="W95" s="675"/>
      <c r="AB95" s="675"/>
      <c r="AC95" s="537" t="s">
        <v>1651</v>
      </c>
      <c r="AD95" s="675"/>
      <c r="AF95" s="675"/>
      <c r="AG95" s="675"/>
    </row>
    <row r="96" spans="1:33" s="536" customFormat="1" ht="33.75" x14ac:dyDescent="0.2">
      <c r="A96" s="609"/>
      <c r="B96" s="552" t="s">
        <v>310</v>
      </c>
      <c r="C96" s="1822" t="s">
        <v>311</v>
      </c>
      <c r="D96" s="1822"/>
      <c r="E96" s="1822"/>
      <c r="F96" s="1822"/>
      <c r="G96" s="1822"/>
      <c r="H96" s="1822"/>
      <c r="I96" s="1822"/>
      <c r="J96" s="1822"/>
      <c r="K96" s="1822"/>
      <c r="L96" s="1822"/>
      <c r="M96" s="1822"/>
      <c r="N96" s="1827"/>
      <c r="V96" s="674"/>
      <c r="W96" s="675"/>
      <c r="X96" s="537" t="s">
        <v>311</v>
      </c>
      <c r="AB96" s="675"/>
      <c r="AD96" s="675"/>
      <c r="AF96" s="675"/>
      <c r="AG96" s="675"/>
    </row>
    <row r="97" spans="1:33" s="536" customFormat="1" ht="12" x14ac:dyDescent="0.2">
      <c r="A97" s="605"/>
      <c r="B97" s="552" t="s">
        <v>185</v>
      </c>
      <c r="C97" s="1822" t="s">
        <v>312</v>
      </c>
      <c r="D97" s="1822"/>
      <c r="E97" s="1822"/>
      <c r="F97" s="562"/>
      <c r="G97" s="562"/>
      <c r="H97" s="562"/>
      <c r="I97" s="562"/>
      <c r="J97" s="604">
        <v>700.75</v>
      </c>
      <c r="K97" s="562" t="s">
        <v>313</v>
      </c>
      <c r="L97" s="604">
        <v>52.56</v>
      </c>
      <c r="M97" s="603"/>
      <c r="N97" s="602"/>
      <c r="V97" s="674"/>
      <c r="W97" s="675"/>
      <c r="Y97" s="537" t="s">
        <v>312</v>
      </c>
      <c r="AB97" s="675"/>
      <c r="AD97" s="675"/>
      <c r="AF97" s="675"/>
      <c r="AG97" s="675"/>
    </row>
    <row r="98" spans="1:33" s="536" customFormat="1" ht="12" x14ac:dyDescent="0.2">
      <c r="A98" s="605"/>
      <c r="B98" s="552" t="s">
        <v>186</v>
      </c>
      <c r="C98" s="1822" t="s">
        <v>344</v>
      </c>
      <c r="D98" s="1822"/>
      <c r="E98" s="1822"/>
      <c r="F98" s="562"/>
      <c r="G98" s="562"/>
      <c r="H98" s="562"/>
      <c r="I98" s="562"/>
      <c r="J98" s="604">
        <v>158.72</v>
      </c>
      <c r="K98" s="562" t="s">
        <v>313</v>
      </c>
      <c r="L98" s="604">
        <v>11.9</v>
      </c>
      <c r="M98" s="603"/>
      <c r="N98" s="602"/>
      <c r="V98" s="674"/>
      <c r="W98" s="675"/>
      <c r="Y98" s="537" t="s">
        <v>344</v>
      </c>
      <c r="AB98" s="675"/>
      <c r="AD98" s="675"/>
      <c r="AF98" s="675"/>
      <c r="AG98" s="675"/>
    </row>
    <row r="99" spans="1:33" s="536" customFormat="1" ht="12" x14ac:dyDescent="0.2">
      <c r="A99" s="605"/>
      <c r="B99" s="552" t="s">
        <v>187</v>
      </c>
      <c r="C99" s="1822" t="s">
        <v>345</v>
      </c>
      <c r="D99" s="1822"/>
      <c r="E99" s="1822"/>
      <c r="F99" s="562"/>
      <c r="G99" s="562"/>
      <c r="H99" s="562"/>
      <c r="I99" s="562"/>
      <c r="J99" s="604">
        <v>21.97</v>
      </c>
      <c r="K99" s="562" t="s">
        <v>313</v>
      </c>
      <c r="L99" s="604">
        <v>1.65</v>
      </c>
      <c r="M99" s="603"/>
      <c r="N99" s="602"/>
      <c r="V99" s="674"/>
      <c r="W99" s="675"/>
      <c r="Y99" s="537" t="s">
        <v>345</v>
      </c>
      <c r="AB99" s="675"/>
      <c r="AD99" s="675"/>
      <c r="AF99" s="675"/>
      <c r="AG99" s="675"/>
    </row>
    <row r="100" spans="1:33" s="536" customFormat="1" ht="12" x14ac:dyDescent="0.2">
      <c r="A100" s="605"/>
      <c r="B100" s="552" t="s">
        <v>188</v>
      </c>
      <c r="C100" s="1822" t="s">
        <v>475</v>
      </c>
      <c r="D100" s="1822"/>
      <c r="E100" s="1822"/>
      <c r="F100" s="562"/>
      <c r="G100" s="562"/>
      <c r="H100" s="562"/>
      <c r="I100" s="562"/>
      <c r="J100" s="604">
        <v>514.36</v>
      </c>
      <c r="K100" s="562"/>
      <c r="L100" s="604">
        <v>30.86</v>
      </c>
      <c r="M100" s="603"/>
      <c r="N100" s="602"/>
      <c r="V100" s="674"/>
      <c r="W100" s="675"/>
      <c r="Y100" s="537" t="s">
        <v>475</v>
      </c>
      <c r="AB100" s="675"/>
      <c r="AD100" s="675"/>
      <c r="AF100" s="675"/>
      <c r="AG100" s="675"/>
    </row>
    <row r="101" spans="1:33" s="536" customFormat="1" ht="12" x14ac:dyDescent="0.2">
      <c r="A101" s="605"/>
      <c r="B101" s="552"/>
      <c r="C101" s="1822" t="s">
        <v>314</v>
      </c>
      <c r="D101" s="1822"/>
      <c r="E101" s="1822"/>
      <c r="F101" s="562" t="s">
        <v>315</v>
      </c>
      <c r="G101" s="562" t="s">
        <v>1652</v>
      </c>
      <c r="H101" s="562" t="s">
        <v>313</v>
      </c>
      <c r="I101" s="562" t="s">
        <v>1653</v>
      </c>
      <c r="J101" s="604"/>
      <c r="K101" s="562"/>
      <c r="L101" s="604"/>
      <c r="M101" s="603"/>
      <c r="N101" s="602"/>
      <c r="V101" s="674"/>
      <c r="W101" s="675"/>
      <c r="Z101" s="537" t="s">
        <v>314</v>
      </c>
      <c r="AB101" s="675"/>
      <c r="AD101" s="675"/>
      <c r="AF101" s="675"/>
      <c r="AG101" s="675"/>
    </row>
    <row r="102" spans="1:33" s="536" customFormat="1" ht="12" x14ac:dyDescent="0.2">
      <c r="A102" s="605"/>
      <c r="B102" s="552"/>
      <c r="C102" s="1822" t="s">
        <v>348</v>
      </c>
      <c r="D102" s="1822"/>
      <c r="E102" s="1822"/>
      <c r="F102" s="562" t="s">
        <v>315</v>
      </c>
      <c r="G102" s="562" t="s">
        <v>1654</v>
      </c>
      <c r="H102" s="562" t="s">
        <v>313</v>
      </c>
      <c r="I102" s="562" t="s">
        <v>1655</v>
      </c>
      <c r="J102" s="604"/>
      <c r="K102" s="562"/>
      <c r="L102" s="604"/>
      <c r="M102" s="603"/>
      <c r="N102" s="602"/>
      <c r="V102" s="674"/>
      <c r="W102" s="675"/>
      <c r="Z102" s="537" t="s">
        <v>348</v>
      </c>
      <c r="AB102" s="675"/>
      <c r="AD102" s="675"/>
      <c r="AF102" s="675"/>
      <c r="AG102" s="675"/>
    </row>
    <row r="103" spans="1:33" s="536" customFormat="1" ht="12" x14ac:dyDescent="0.2">
      <c r="A103" s="605"/>
      <c r="B103" s="552"/>
      <c r="C103" s="1828" t="s">
        <v>318</v>
      </c>
      <c r="D103" s="1828"/>
      <c r="E103" s="1828"/>
      <c r="F103" s="608"/>
      <c r="G103" s="608"/>
      <c r="H103" s="608"/>
      <c r="I103" s="608"/>
      <c r="J103" s="607">
        <v>1373.83</v>
      </c>
      <c r="K103" s="608"/>
      <c r="L103" s="607">
        <v>95.32</v>
      </c>
      <c r="M103" s="601"/>
      <c r="N103" s="606"/>
      <c r="V103" s="674"/>
      <c r="W103" s="675"/>
      <c r="AA103" s="537" t="s">
        <v>318</v>
      </c>
      <c r="AB103" s="675"/>
      <c r="AD103" s="675"/>
      <c r="AF103" s="675"/>
      <c r="AG103" s="675"/>
    </row>
    <row r="104" spans="1:33" s="536" customFormat="1" ht="12" x14ac:dyDescent="0.2">
      <c r="A104" s="605"/>
      <c r="B104" s="552"/>
      <c r="C104" s="1822" t="s">
        <v>319</v>
      </c>
      <c r="D104" s="1822"/>
      <c r="E104" s="1822"/>
      <c r="F104" s="562"/>
      <c r="G104" s="562"/>
      <c r="H104" s="562"/>
      <c r="I104" s="562"/>
      <c r="J104" s="604"/>
      <c r="K104" s="562"/>
      <c r="L104" s="604">
        <v>54.21</v>
      </c>
      <c r="M104" s="603"/>
      <c r="N104" s="602"/>
      <c r="V104" s="674"/>
      <c r="W104" s="675"/>
      <c r="Z104" s="537" t="s">
        <v>319</v>
      </c>
      <c r="AB104" s="675"/>
      <c r="AD104" s="675"/>
      <c r="AF104" s="675"/>
      <c r="AG104" s="675"/>
    </row>
    <row r="105" spans="1:33" s="536" customFormat="1" ht="33.75" x14ac:dyDescent="0.2">
      <c r="A105" s="605"/>
      <c r="B105" s="552" t="s">
        <v>1631</v>
      </c>
      <c r="C105" s="1822" t="s">
        <v>1632</v>
      </c>
      <c r="D105" s="1822"/>
      <c r="E105" s="1822"/>
      <c r="F105" s="562" t="s">
        <v>322</v>
      </c>
      <c r="G105" s="562" t="s">
        <v>1633</v>
      </c>
      <c r="H105" s="562"/>
      <c r="I105" s="562" t="s">
        <v>1633</v>
      </c>
      <c r="J105" s="604"/>
      <c r="K105" s="562"/>
      <c r="L105" s="604">
        <v>52.58</v>
      </c>
      <c r="M105" s="603"/>
      <c r="N105" s="602"/>
      <c r="V105" s="674"/>
      <c r="W105" s="675"/>
      <c r="Z105" s="537" t="s">
        <v>1632</v>
      </c>
      <c r="AB105" s="675"/>
      <c r="AD105" s="675"/>
      <c r="AF105" s="675"/>
      <c r="AG105" s="675"/>
    </row>
    <row r="106" spans="1:33" s="536" customFormat="1" ht="33.75" x14ac:dyDescent="0.2">
      <c r="A106" s="605"/>
      <c r="B106" s="552" t="s">
        <v>1634</v>
      </c>
      <c r="C106" s="1822" t="s">
        <v>1635</v>
      </c>
      <c r="D106" s="1822"/>
      <c r="E106" s="1822"/>
      <c r="F106" s="562" t="s">
        <v>322</v>
      </c>
      <c r="G106" s="562" t="s">
        <v>786</v>
      </c>
      <c r="H106" s="562"/>
      <c r="I106" s="562" t="s">
        <v>786</v>
      </c>
      <c r="J106" s="604"/>
      <c r="K106" s="562"/>
      <c r="L106" s="604">
        <v>27.65</v>
      </c>
      <c r="M106" s="603"/>
      <c r="N106" s="602"/>
      <c r="V106" s="674"/>
      <c r="W106" s="675"/>
      <c r="Z106" s="537" t="s">
        <v>1635</v>
      </c>
      <c r="AB106" s="675"/>
      <c r="AD106" s="675"/>
      <c r="AF106" s="675"/>
      <c r="AG106" s="675"/>
    </row>
    <row r="107" spans="1:33" s="536" customFormat="1" ht="12" x14ac:dyDescent="0.2">
      <c r="A107" s="569"/>
      <c r="B107" s="683"/>
      <c r="C107" s="1823" t="s">
        <v>327</v>
      </c>
      <c r="D107" s="1823"/>
      <c r="E107" s="1823"/>
      <c r="F107" s="573"/>
      <c r="G107" s="573"/>
      <c r="H107" s="573"/>
      <c r="I107" s="573"/>
      <c r="J107" s="572"/>
      <c r="K107" s="573"/>
      <c r="L107" s="572">
        <v>175.55</v>
      </c>
      <c r="M107" s="601"/>
      <c r="N107" s="570"/>
      <c r="V107" s="674"/>
      <c r="W107" s="675"/>
      <c r="AB107" s="675" t="s">
        <v>327</v>
      </c>
      <c r="AD107" s="675"/>
      <c r="AF107" s="675"/>
      <c r="AG107" s="675"/>
    </row>
    <row r="108" spans="1:33" s="536" customFormat="1" ht="33.75" x14ac:dyDescent="0.2">
      <c r="A108" s="575" t="s">
        <v>189</v>
      </c>
      <c r="B108" s="684" t="s">
        <v>1656</v>
      </c>
      <c r="C108" s="1823" t="s">
        <v>1657</v>
      </c>
      <c r="D108" s="1823"/>
      <c r="E108" s="1823"/>
      <c r="F108" s="573" t="s">
        <v>628</v>
      </c>
      <c r="G108" s="573"/>
      <c r="H108" s="573"/>
      <c r="I108" s="573" t="s">
        <v>190</v>
      </c>
      <c r="J108" s="572">
        <v>4286.97</v>
      </c>
      <c r="K108" s="573" t="s">
        <v>716</v>
      </c>
      <c r="L108" s="572">
        <v>3153.37</v>
      </c>
      <c r="M108" s="571">
        <v>8.32</v>
      </c>
      <c r="N108" s="570">
        <v>26236</v>
      </c>
      <c r="V108" s="674"/>
      <c r="W108" s="675" t="s">
        <v>1657</v>
      </c>
      <c r="AB108" s="675"/>
      <c r="AD108" s="675"/>
      <c r="AF108" s="675"/>
      <c r="AG108" s="675"/>
    </row>
    <row r="109" spans="1:33" s="536" customFormat="1" ht="12" x14ac:dyDescent="0.2">
      <c r="A109" s="569"/>
      <c r="B109" s="683"/>
      <c r="C109" s="689" t="s">
        <v>1658</v>
      </c>
      <c r="D109" s="690"/>
      <c r="E109" s="690"/>
      <c r="F109" s="563"/>
      <c r="G109" s="563"/>
      <c r="H109" s="563"/>
      <c r="I109" s="563"/>
      <c r="J109" s="566"/>
      <c r="K109" s="563"/>
      <c r="L109" s="566"/>
      <c r="M109" s="565"/>
      <c r="N109" s="564"/>
      <c r="V109" s="674"/>
      <c r="W109" s="675"/>
      <c r="AB109" s="675"/>
      <c r="AD109" s="675"/>
      <c r="AF109" s="675"/>
      <c r="AG109" s="675"/>
    </row>
    <row r="110" spans="1:33" s="536" customFormat="1" ht="22.5" x14ac:dyDescent="0.2">
      <c r="A110" s="609"/>
      <c r="B110" s="552" t="s">
        <v>718</v>
      </c>
      <c r="C110" s="1822" t="s">
        <v>719</v>
      </c>
      <c r="D110" s="1822"/>
      <c r="E110" s="1822"/>
      <c r="F110" s="1822"/>
      <c r="G110" s="1822"/>
      <c r="H110" s="1822"/>
      <c r="I110" s="1822"/>
      <c r="J110" s="1822"/>
      <c r="K110" s="1822"/>
      <c r="L110" s="1822"/>
      <c r="M110" s="1822"/>
      <c r="N110" s="1827"/>
      <c r="V110" s="674"/>
      <c r="W110" s="675"/>
      <c r="X110" s="537" t="s">
        <v>719</v>
      </c>
      <c r="AB110" s="675"/>
      <c r="AD110" s="675"/>
      <c r="AF110" s="675"/>
      <c r="AG110" s="675"/>
    </row>
    <row r="111" spans="1:33" s="536" customFormat="1" ht="12" x14ac:dyDescent="0.2">
      <c r="A111" s="1830" t="s">
        <v>1659</v>
      </c>
      <c r="B111" s="1831"/>
      <c r="C111" s="1831"/>
      <c r="D111" s="1831"/>
      <c r="E111" s="1831"/>
      <c r="F111" s="1831"/>
      <c r="G111" s="1831"/>
      <c r="H111" s="1831"/>
      <c r="I111" s="1831"/>
      <c r="J111" s="1831"/>
      <c r="K111" s="1831"/>
      <c r="L111" s="1831"/>
      <c r="M111" s="1831"/>
      <c r="N111" s="1832"/>
      <c r="V111" s="674"/>
      <c r="W111" s="675"/>
      <c r="AB111" s="675"/>
      <c r="AD111" s="675"/>
      <c r="AF111" s="675"/>
      <c r="AG111" s="675" t="s">
        <v>1659</v>
      </c>
    </row>
    <row r="112" spans="1:33" s="536" customFormat="1" ht="22.5" x14ac:dyDescent="0.2">
      <c r="A112" s="575" t="s">
        <v>190</v>
      </c>
      <c r="B112" s="684" t="s">
        <v>1660</v>
      </c>
      <c r="C112" s="1823" t="s">
        <v>1661</v>
      </c>
      <c r="D112" s="1823"/>
      <c r="E112" s="1823"/>
      <c r="F112" s="573" t="s">
        <v>307</v>
      </c>
      <c r="G112" s="573"/>
      <c r="H112" s="573"/>
      <c r="I112" s="573" t="s">
        <v>1554</v>
      </c>
      <c r="J112" s="572"/>
      <c r="K112" s="573"/>
      <c r="L112" s="572"/>
      <c r="M112" s="571"/>
      <c r="N112" s="570"/>
      <c r="V112" s="674"/>
      <c r="W112" s="675" t="s">
        <v>1661</v>
      </c>
      <c r="AB112" s="675"/>
      <c r="AD112" s="675"/>
      <c r="AF112" s="675"/>
      <c r="AG112" s="675"/>
    </row>
    <row r="113" spans="1:33" s="536" customFormat="1" ht="12" x14ac:dyDescent="0.2">
      <c r="A113" s="676"/>
      <c r="B113" s="682"/>
      <c r="C113" s="1822" t="s">
        <v>1651</v>
      </c>
      <c r="D113" s="1822"/>
      <c r="E113" s="1822"/>
      <c r="F113" s="1822"/>
      <c r="G113" s="1822"/>
      <c r="H113" s="1822"/>
      <c r="I113" s="1822"/>
      <c r="J113" s="1822"/>
      <c r="K113" s="1822"/>
      <c r="L113" s="1822"/>
      <c r="M113" s="1822"/>
      <c r="N113" s="1827"/>
      <c r="V113" s="674"/>
      <c r="W113" s="675"/>
      <c r="AB113" s="675"/>
      <c r="AC113" s="537" t="s">
        <v>1651</v>
      </c>
      <c r="AD113" s="675"/>
      <c r="AF113" s="675"/>
      <c r="AG113" s="675"/>
    </row>
    <row r="114" spans="1:33" s="536" customFormat="1" ht="33.75" x14ac:dyDescent="0.2">
      <c r="A114" s="609"/>
      <c r="B114" s="552" t="s">
        <v>310</v>
      </c>
      <c r="C114" s="1822" t="s">
        <v>311</v>
      </c>
      <c r="D114" s="1822"/>
      <c r="E114" s="1822"/>
      <c r="F114" s="1822"/>
      <c r="G114" s="1822"/>
      <c r="H114" s="1822"/>
      <c r="I114" s="1822"/>
      <c r="J114" s="1822"/>
      <c r="K114" s="1822"/>
      <c r="L114" s="1822"/>
      <c r="M114" s="1822"/>
      <c r="N114" s="1827"/>
      <c r="V114" s="674"/>
      <c r="W114" s="675"/>
      <c r="X114" s="537" t="s">
        <v>311</v>
      </c>
      <c r="AB114" s="675"/>
      <c r="AD114" s="675"/>
      <c r="AF114" s="675"/>
      <c r="AG114" s="675"/>
    </row>
    <row r="115" spans="1:33" s="536" customFormat="1" ht="12" x14ac:dyDescent="0.2">
      <c r="A115" s="605"/>
      <c r="B115" s="552" t="s">
        <v>185</v>
      </c>
      <c r="C115" s="1822" t="s">
        <v>312</v>
      </c>
      <c r="D115" s="1822"/>
      <c r="E115" s="1822"/>
      <c r="F115" s="562"/>
      <c r="G115" s="562"/>
      <c r="H115" s="562"/>
      <c r="I115" s="562"/>
      <c r="J115" s="604">
        <v>603.14</v>
      </c>
      <c r="K115" s="562" t="s">
        <v>313</v>
      </c>
      <c r="L115" s="604">
        <v>45.24</v>
      </c>
      <c r="M115" s="603"/>
      <c r="N115" s="602"/>
      <c r="V115" s="674"/>
      <c r="W115" s="675"/>
      <c r="Y115" s="537" t="s">
        <v>312</v>
      </c>
      <c r="AB115" s="675"/>
      <c r="AD115" s="675"/>
      <c r="AF115" s="675"/>
      <c r="AG115" s="675"/>
    </row>
    <row r="116" spans="1:33" s="536" customFormat="1" ht="12" x14ac:dyDescent="0.2">
      <c r="A116" s="605"/>
      <c r="B116" s="552" t="s">
        <v>186</v>
      </c>
      <c r="C116" s="1822" t="s">
        <v>344</v>
      </c>
      <c r="D116" s="1822"/>
      <c r="E116" s="1822"/>
      <c r="F116" s="562"/>
      <c r="G116" s="562"/>
      <c r="H116" s="562"/>
      <c r="I116" s="562"/>
      <c r="J116" s="604">
        <v>34.92</v>
      </c>
      <c r="K116" s="562" t="s">
        <v>313</v>
      </c>
      <c r="L116" s="604">
        <v>2.62</v>
      </c>
      <c r="M116" s="603"/>
      <c r="N116" s="602"/>
      <c r="V116" s="674"/>
      <c r="W116" s="675"/>
      <c r="Y116" s="537" t="s">
        <v>344</v>
      </c>
      <c r="AB116" s="675"/>
      <c r="AD116" s="675"/>
      <c r="AF116" s="675"/>
      <c r="AG116" s="675"/>
    </row>
    <row r="117" spans="1:33" s="536" customFormat="1" ht="12" x14ac:dyDescent="0.2">
      <c r="A117" s="605"/>
      <c r="B117" s="552" t="s">
        <v>187</v>
      </c>
      <c r="C117" s="1822" t="s">
        <v>345</v>
      </c>
      <c r="D117" s="1822"/>
      <c r="E117" s="1822"/>
      <c r="F117" s="562"/>
      <c r="G117" s="562"/>
      <c r="H117" s="562"/>
      <c r="I117" s="562"/>
      <c r="J117" s="604">
        <v>1.51</v>
      </c>
      <c r="K117" s="562" t="s">
        <v>313</v>
      </c>
      <c r="L117" s="604">
        <v>0.11</v>
      </c>
      <c r="M117" s="603"/>
      <c r="N117" s="602"/>
      <c r="V117" s="674"/>
      <c r="W117" s="675"/>
      <c r="Y117" s="537" t="s">
        <v>345</v>
      </c>
      <c r="AB117" s="675"/>
      <c r="AD117" s="675"/>
      <c r="AF117" s="675"/>
      <c r="AG117" s="675"/>
    </row>
    <row r="118" spans="1:33" s="536" customFormat="1" ht="12" x14ac:dyDescent="0.2">
      <c r="A118" s="605"/>
      <c r="B118" s="552" t="s">
        <v>188</v>
      </c>
      <c r="C118" s="1822" t="s">
        <v>475</v>
      </c>
      <c r="D118" s="1822"/>
      <c r="E118" s="1822"/>
      <c r="F118" s="562"/>
      <c r="G118" s="562"/>
      <c r="H118" s="562"/>
      <c r="I118" s="562"/>
      <c r="J118" s="604">
        <v>135.44</v>
      </c>
      <c r="K118" s="562"/>
      <c r="L118" s="604">
        <v>8.1300000000000008</v>
      </c>
      <c r="M118" s="603"/>
      <c r="N118" s="602"/>
      <c r="V118" s="674"/>
      <c r="W118" s="675"/>
      <c r="Y118" s="537" t="s">
        <v>475</v>
      </c>
      <c r="AB118" s="675"/>
      <c r="AD118" s="675"/>
      <c r="AF118" s="675"/>
      <c r="AG118" s="675"/>
    </row>
    <row r="119" spans="1:33" s="536" customFormat="1" ht="12" x14ac:dyDescent="0.2">
      <c r="A119" s="605"/>
      <c r="B119" s="552"/>
      <c r="C119" s="1822" t="s">
        <v>314</v>
      </c>
      <c r="D119" s="1822"/>
      <c r="E119" s="1822"/>
      <c r="F119" s="562" t="s">
        <v>315</v>
      </c>
      <c r="G119" s="562" t="s">
        <v>1662</v>
      </c>
      <c r="H119" s="562" t="s">
        <v>313</v>
      </c>
      <c r="I119" s="562" t="s">
        <v>1663</v>
      </c>
      <c r="J119" s="604"/>
      <c r="K119" s="562"/>
      <c r="L119" s="604"/>
      <c r="M119" s="603"/>
      <c r="N119" s="602"/>
      <c r="V119" s="674"/>
      <c r="W119" s="675"/>
      <c r="Z119" s="537" t="s">
        <v>314</v>
      </c>
      <c r="AB119" s="675"/>
      <c r="AD119" s="675"/>
      <c r="AF119" s="675"/>
      <c r="AG119" s="675"/>
    </row>
    <row r="120" spans="1:33" s="536" customFormat="1" ht="12" x14ac:dyDescent="0.2">
      <c r="A120" s="605"/>
      <c r="B120" s="552"/>
      <c r="C120" s="1822" t="s">
        <v>348</v>
      </c>
      <c r="D120" s="1822"/>
      <c r="E120" s="1822"/>
      <c r="F120" s="562" t="s">
        <v>315</v>
      </c>
      <c r="G120" s="562" t="s">
        <v>646</v>
      </c>
      <c r="H120" s="562" t="s">
        <v>313</v>
      </c>
      <c r="I120" s="562" t="s">
        <v>1664</v>
      </c>
      <c r="J120" s="604"/>
      <c r="K120" s="562"/>
      <c r="L120" s="604"/>
      <c r="M120" s="603"/>
      <c r="N120" s="602"/>
      <c r="V120" s="674"/>
      <c r="W120" s="675"/>
      <c r="Z120" s="537" t="s">
        <v>348</v>
      </c>
      <c r="AB120" s="675"/>
      <c r="AD120" s="675"/>
      <c r="AF120" s="675"/>
      <c r="AG120" s="675"/>
    </row>
    <row r="121" spans="1:33" s="536" customFormat="1" ht="12" x14ac:dyDescent="0.2">
      <c r="A121" s="605"/>
      <c r="B121" s="552"/>
      <c r="C121" s="1828" t="s">
        <v>318</v>
      </c>
      <c r="D121" s="1828"/>
      <c r="E121" s="1828"/>
      <c r="F121" s="608"/>
      <c r="G121" s="608"/>
      <c r="H121" s="608"/>
      <c r="I121" s="608"/>
      <c r="J121" s="607">
        <v>773.5</v>
      </c>
      <c r="K121" s="608"/>
      <c r="L121" s="607">
        <v>55.99</v>
      </c>
      <c r="M121" s="601"/>
      <c r="N121" s="606"/>
      <c r="V121" s="674"/>
      <c r="W121" s="675"/>
      <c r="AA121" s="537" t="s">
        <v>318</v>
      </c>
      <c r="AB121" s="675"/>
      <c r="AD121" s="675"/>
      <c r="AF121" s="675"/>
      <c r="AG121" s="675"/>
    </row>
    <row r="122" spans="1:33" s="536" customFormat="1" ht="12" x14ac:dyDescent="0.2">
      <c r="A122" s="605"/>
      <c r="B122" s="552"/>
      <c r="C122" s="1822" t="s">
        <v>319</v>
      </c>
      <c r="D122" s="1822"/>
      <c r="E122" s="1822"/>
      <c r="F122" s="562"/>
      <c r="G122" s="562"/>
      <c r="H122" s="562"/>
      <c r="I122" s="562"/>
      <c r="J122" s="604"/>
      <c r="K122" s="562"/>
      <c r="L122" s="604">
        <v>45.35</v>
      </c>
      <c r="M122" s="603"/>
      <c r="N122" s="602"/>
      <c r="V122" s="674"/>
      <c r="W122" s="675"/>
      <c r="Z122" s="537" t="s">
        <v>319</v>
      </c>
      <c r="AB122" s="675"/>
      <c r="AD122" s="675"/>
      <c r="AF122" s="675"/>
      <c r="AG122" s="675"/>
    </row>
    <row r="123" spans="1:33" s="536" customFormat="1" ht="33.75" x14ac:dyDescent="0.2">
      <c r="A123" s="605"/>
      <c r="B123" s="552" t="s">
        <v>1631</v>
      </c>
      <c r="C123" s="1822" t="s">
        <v>1632</v>
      </c>
      <c r="D123" s="1822"/>
      <c r="E123" s="1822"/>
      <c r="F123" s="562" t="s">
        <v>322</v>
      </c>
      <c r="G123" s="562" t="s">
        <v>1633</v>
      </c>
      <c r="H123" s="562"/>
      <c r="I123" s="562" t="s">
        <v>1633</v>
      </c>
      <c r="J123" s="604"/>
      <c r="K123" s="562"/>
      <c r="L123" s="604">
        <v>43.99</v>
      </c>
      <c r="M123" s="603"/>
      <c r="N123" s="602"/>
      <c r="V123" s="674"/>
      <c r="W123" s="675"/>
      <c r="Z123" s="537" t="s">
        <v>1632</v>
      </c>
      <c r="AB123" s="675"/>
      <c r="AD123" s="675"/>
      <c r="AF123" s="675"/>
      <c r="AG123" s="675"/>
    </row>
    <row r="124" spans="1:33" s="536" customFormat="1" ht="33.75" x14ac:dyDescent="0.2">
      <c r="A124" s="605"/>
      <c r="B124" s="552" t="s">
        <v>1634</v>
      </c>
      <c r="C124" s="1822" t="s">
        <v>1635</v>
      </c>
      <c r="D124" s="1822"/>
      <c r="E124" s="1822"/>
      <c r="F124" s="562" t="s">
        <v>322</v>
      </c>
      <c r="G124" s="562" t="s">
        <v>786</v>
      </c>
      <c r="H124" s="562"/>
      <c r="I124" s="562" t="s">
        <v>786</v>
      </c>
      <c r="J124" s="604"/>
      <c r="K124" s="562"/>
      <c r="L124" s="604">
        <v>23.13</v>
      </c>
      <c r="M124" s="603"/>
      <c r="N124" s="602"/>
      <c r="V124" s="674"/>
      <c r="W124" s="675"/>
      <c r="Z124" s="537" t="s">
        <v>1635</v>
      </c>
      <c r="AB124" s="675"/>
      <c r="AD124" s="675"/>
      <c r="AF124" s="675"/>
      <c r="AG124" s="675"/>
    </row>
    <row r="125" spans="1:33" s="536" customFormat="1" ht="12" x14ac:dyDescent="0.2">
      <c r="A125" s="569"/>
      <c r="B125" s="683"/>
      <c r="C125" s="1823" t="s">
        <v>327</v>
      </c>
      <c r="D125" s="1823"/>
      <c r="E125" s="1823"/>
      <c r="F125" s="573"/>
      <c r="G125" s="573"/>
      <c r="H125" s="573"/>
      <c r="I125" s="573"/>
      <c r="J125" s="572"/>
      <c r="K125" s="573"/>
      <c r="L125" s="572">
        <v>123.11</v>
      </c>
      <c r="M125" s="601"/>
      <c r="N125" s="570"/>
      <c r="V125" s="674"/>
      <c r="W125" s="675"/>
      <c r="AB125" s="675" t="s">
        <v>327</v>
      </c>
      <c r="AD125" s="675"/>
      <c r="AF125" s="675"/>
      <c r="AG125" s="675"/>
    </row>
    <row r="126" spans="1:33" s="536" customFormat="1" ht="33.75" x14ac:dyDescent="0.2">
      <c r="A126" s="575" t="s">
        <v>191</v>
      </c>
      <c r="B126" s="684" t="s">
        <v>1665</v>
      </c>
      <c r="C126" s="1823" t="s">
        <v>1666</v>
      </c>
      <c r="D126" s="1823"/>
      <c r="E126" s="1823"/>
      <c r="F126" s="573" t="s">
        <v>628</v>
      </c>
      <c r="G126" s="573"/>
      <c r="H126" s="573"/>
      <c r="I126" s="573" t="s">
        <v>190</v>
      </c>
      <c r="J126" s="572">
        <v>175.06</v>
      </c>
      <c r="K126" s="573" t="s">
        <v>716</v>
      </c>
      <c r="L126" s="572">
        <v>128.72999999999999</v>
      </c>
      <c r="M126" s="571">
        <v>8.32</v>
      </c>
      <c r="N126" s="570">
        <v>1071</v>
      </c>
      <c r="V126" s="674"/>
      <c r="W126" s="675" t="s">
        <v>1666</v>
      </c>
      <c r="AB126" s="675"/>
      <c r="AD126" s="675"/>
      <c r="AF126" s="675"/>
      <c r="AG126" s="675"/>
    </row>
    <row r="127" spans="1:33" s="536" customFormat="1" ht="12" x14ac:dyDescent="0.2">
      <c r="A127" s="569"/>
      <c r="B127" s="683"/>
      <c r="C127" s="689" t="s">
        <v>1658</v>
      </c>
      <c r="D127" s="690"/>
      <c r="E127" s="690"/>
      <c r="F127" s="563"/>
      <c r="G127" s="563"/>
      <c r="H127" s="563"/>
      <c r="I127" s="563"/>
      <c r="J127" s="566"/>
      <c r="K127" s="563"/>
      <c r="L127" s="566"/>
      <c r="M127" s="565"/>
      <c r="N127" s="564"/>
      <c r="V127" s="674"/>
      <c r="W127" s="675"/>
      <c r="AB127" s="675"/>
      <c r="AD127" s="675"/>
      <c r="AF127" s="675"/>
      <c r="AG127" s="675"/>
    </row>
    <row r="128" spans="1:33" s="536" customFormat="1" ht="22.5" x14ac:dyDescent="0.2">
      <c r="A128" s="609"/>
      <c r="B128" s="552" t="s">
        <v>718</v>
      </c>
      <c r="C128" s="1822" t="s">
        <v>719</v>
      </c>
      <c r="D128" s="1822"/>
      <c r="E128" s="1822"/>
      <c r="F128" s="1822"/>
      <c r="G128" s="1822"/>
      <c r="H128" s="1822"/>
      <c r="I128" s="1822"/>
      <c r="J128" s="1822"/>
      <c r="K128" s="1822"/>
      <c r="L128" s="1822"/>
      <c r="M128" s="1822"/>
      <c r="N128" s="1827"/>
      <c r="V128" s="674"/>
      <c r="W128" s="675"/>
      <c r="X128" s="537" t="s">
        <v>719</v>
      </c>
      <c r="AB128" s="675"/>
      <c r="AD128" s="675"/>
      <c r="AF128" s="675"/>
      <c r="AG128" s="675"/>
    </row>
    <row r="129" spans="1:33" s="536" customFormat="1" ht="12" x14ac:dyDescent="0.2">
      <c r="A129" s="1830" t="s">
        <v>1667</v>
      </c>
      <c r="B129" s="1831"/>
      <c r="C129" s="1831"/>
      <c r="D129" s="1831"/>
      <c r="E129" s="1831"/>
      <c r="F129" s="1831"/>
      <c r="G129" s="1831"/>
      <c r="H129" s="1831"/>
      <c r="I129" s="1831"/>
      <c r="J129" s="1831"/>
      <c r="K129" s="1831"/>
      <c r="L129" s="1831"/>
      <c r="M129" s="1831"/>
      <c r="N129" s="1832"/>
      <c r="V129" s="674"/>
      <c r="W129" s="675"/>
      <c r="AB129" s="675"/>
      <c r="AD129" s="675"/>
      <c r="AF129" s="675"/>
      <c r="AG129" s="675" t="s">
        <v>1667</v>
      </c>
    </row>
    <row r="130" spans="1:33" s="536" customFormat="1" ht="45" x14ac:dyDescent="0.2">
      <c r="A130" s="575" t="s">
        <v>192</v>
      </c>
      <c r="B130" s="684" t="s">
        <v>1668</v>
      </c>
      <c r="C130" s="1823" t="s">
        <v>1669</v>
      </c>
      <c r="D130" s="1823"/>
      <c r="E130" s="1823"/>
      <c r="F130" s="573" t="s">
        <v>1110</v>
      </c>
      <c r="G130" s="573"/>
      <c r="H130" s="573"/>
      <c r="I130" s="573" t="s">
        <v>691</v>
      </c>
      <c r="J130" s="572"/>
      <c r="K130" s="573"/>
      <c r="L130" s="572"/>
      <c r="M130" s="571"/>
      <c r="N130" s="570"/>
      <c r="V130" s="674"/>
      <c r="W130" s="675" t="s">
        <v>1669</v>
      </c>
      <c r="AB130" s="675"/>
      <c r="AD130" s="675"/>
      <c r="AF130" s="675"/>
      <c r="AG130" s="675"/>
    </row>
    <row r="131" spans="1:33" s="536" customFormat="1" ht="12" x14ac:dyDescent="0.2">
      <c r="A131" s="676"/>
      <c r="B131" s="682"/>
      <c r="C131" s="1822" t="s">
        <v>1670</v>
      </c>
      <c r="D131" s="1822"/>
      <c r="E131" s="1822"/>
      <c r="F131" s="1822"/>
      <c r="G131" s="1822"/>
      <c r="H131" s="1822"/>
      <c r="I131" s="1822"/>
      <c r="J131" s="1822"/>
      <c r="K131" s="1822"/>
      <c r="L131" s="1822"/>
      <c r="M131" s="1822"/>
      <c r="N131" s="1827"/>
      <c r="V131" s="674"/>
      <c r="W131" s="675"/>
      <c r="AB131" s="675"/>
      <c r="AC131" s="537" t="s">
        <v>1670</v>
      </c>
      <c r="AD131" s="675"/>
      <c r="AF131" s="675"/>
      <c r="AG131" s="675"/>
    </row>
    <row r="132" spans="1:33" s="536" customFormat="1" ht="33.75" x14ac:dyDescent="0.2">
      <c r="A132" s="609"/>
      <c r="B132" s="552" t="s">
        <v>310</v>
      </c>
      <c r="C132" s="1822" t="s">
        <v>311</v>
      </c>
      <c r="D132" s="1822"/>
      <c r="E132" s="1822"/>
      <c r="F132" s="1822"/>
      <c r="G132" s="1822"/>
      <c r="H132" s="1822"/>
      <c r="I132" s="1822"/>
      <c r="J132" s="1822"/>
      <c r="K132" s="1822"/>
      <c r="L132" s="1822"/>
      <c r="M132" s="1822"/>
      <c r="N132" s="1827"/>
      <c r="V132" s="674"/>
      <c r="W132" s="675"/>
      <c r="X132" s="537" t="s">
        <v>311</v>
      </c>
      <c r="AB132" s="675"/>
      <c r="AD132" s="675"/>
      <c r="AF132" s="675"/>
      <c r="AG132" s="675"/>
    </row>
    <row r="133" spans="1:33" s="536" customFormat="1" ht="12" x14ac:dyDescent="0.2">
      <c r="A133" s="605"/>
      <c r="B133" s="552" t="s">
        <v>185</v>
      </c>
      <c r="C133" s="1822" t="s">
        <v>312</v>
      </c>
      <c r="D133" s="1822"/>
      <c r="E133" s="1822"/>
      <c r="F133" s="562"/>
      <c r="G133" s="562"/>
      <c r="H133" s="562"/>
      <c r="I133" s="562"/>
      <c r="J133" s="604">
        <v>139.54</v>
      </c>
      <c r="K133" s="562" t="s">
        <v>313</v>
      </c>
      <c r="L133" s="604">
        <v>61.05</v>
      </c>
      <c r="M133" s="603"/>
      <c r="N133" s="602"/>
      <c r="V133" s="674"/>
      <c r="W133" s="675"/>
      <c r="Y133" s="537" t="s">
        <v>312</v>
      </c>
      <c r="AB133" s="675"/>
      <c r="AD133" s="675"/>
      <c r="AF133" s="675"/>
      <c r="AG133" s="675"/>
    </row>
    <row r="134" spans="1:33" s="536" customFormat="1" ht="12" x14ac:dyDescent="0.2">
      <c r="A134" s="605"/>
      <c r="B134" s="552" t="s">
        <v>188</v>
      </c>
      <c r="C134" s="1822" t="s">
        <v>475</v>
      </c>
      <c r="D134" s="1822"/>
      <c r="E134" s="1822"/>
      <c r="F134" s="562"/>
      <c r="G134" s="562"/>
      <c r="H134" s="562"/>
      <c r="I134" s="562"/>
      <c r="J134" s="604">
        <v>16.79</v>
      </c>
      <c r="K134" s="562"/>
      <c r="L134" s="604">
        <v>5.88</v>
      </c>
      <c r="M134" s="603"/>
      <c r="N134" s="602"/>
      <c r="V134" s="674"/>
      <c r="W134" s="675"/>
      <c r="Y134" s="537" t="s">
        <v>475</v>
      </c>
      <c r="AB134" s="675"/>
      <c r="AD134" s="675"/>
      <c r="AF134" s="675"/>
      <c r="AG134" s="675"/>
    </row>
    <row r="135" spans="1:33" s="536" customFormat="1" ht="12" x14ac:dyDescent="0.2">
      <c r="A135" s="605"/>
      <c r="B135" s="552"/>
      <c r="C135" s="1822" t="s">
        <v>314</v>
      </c>
      <c r="D135" s="1822"/>
      <c r="E135" s="1822"/>
      <c r="F135" s="562" t="s">
        <v>315</v>
      </c>
      <c r="G135" s="562" t="s">
        <v>1671</v>
      </c>
      <c r="H135" s="562" t="s">
        <v>313</v>
      </c>
      <c r="I135" s="562" t="s">
        <v>1672</v>
      </c>
      <c r="J135" s="604"/>
      <c r="K135" s="562"/>
      <c r="L135" s="604"/>
      <c r="M135" s="603"/>
      <c r="N135" s="602"/>
      <c r="V135" s="674"/>
      <c r="W135" s="675"/>
      <c r="Z135" s="537" t="s">
        <v>314</v>
      </c>
      <c r="AB135" s="675"/>
      <c r="AD135" s="675"/>
      <c r="AF135" s="675"/>
      <c r="AG135" s="675"/>
    </row>
    <row r="136" spans="1:33" s="536" customFormat="1" ht="12" x14ac:dyDescent="0.2">
      <c r="A136" s="605"/>
      <c r="B136" s="552"/>
      <c r="C136" s="1828" t="s">
        <v>318</v>
      </c>
      <c r="D136" s="1828"/>
      <c r="E136" s="1828"/>
      <c r="F136" s="608"/>
      <c r="G136" s="608"/>
      <c r="H136" s="608"/>
      <c r="I136" s="608"/>
      <c r="J136" s="607">
        <v>156.33000000000001</v>
      </c>
      <c r="K136" s="608"/>
      <c r="L136" s="607">
        <v>66.930000000000007</v>
      </c>
      <c r="M136" s="601"/>
      <c r="N136" s="606"/>
      <c r="V136" s="674"/>
      <c r="W136" s="675"/>
      <c r="AA136" s="537" t="s">
        <v>318</v>
      </c>
      <c r="AB136" s="675"/>
      <c r="AD136" s="675"/>
      <c r="AF136" s="675"/>
      <c r="AG136" s="675"/>
    </row>
    <row r="137" spans="1:33" s="536" customFormat="1" ht="12" x14ac:dyDescent="0.2">
      <c r="A137" s="605"/>
      <c r="B137" s="552"/>
      <c r="C137" s="1822" t="s">
        <v>319</v>
      </c>
      <c r="D137" s="1822"/>
      <c r="E137" s="1822"/>
      <c r="F137" s="562"/>
      <c r="G137" s="562"/>
      <c r="H137" s="562"/>
      <c r="I137" s="562"/>
      <c r="J137" s="604"/>
      <c r="K137" s="562"/>
      <c r="L137" s="604">
        <v>61.05</v>
      </c>
      <c r="M137" s="603"/>
      <c r="N137" s="602"/>
      <c r="V137" s="674"/>
      <c r="W137" s="675"/>
      <c r="Z137" s="537" t="s">
        <v>319</v>
      </c>
      <c r="AB137" s="675"/>
      <c r="AD137" s="675"/>
      <c r="AF137" s="675"/>
      <c r="AG137" s="675"/>
    </row>
    <row r="138" spans="1:33" s="536" customFormat="1" ht="33.75" x14ac:dyDescent="0.2">
      <c r="A138" s="605"/>
      <c r="B138" s="552" t="s">
        <v>1631</v>
      </c>
      <c r="C138" s="1822" t="s">
        <v>1632</v>
      </c>
      <c r="D138" s="1822"/>
      <c r="E138" s="1822"/>
      <c r="F138" s="562" t="s">
        <v>322</v>
      </c>
      <c r="G138" s="562" t="s">
        <v>1633</v>
      </c>
      <c r="H138" s="562"/>
      <c r="I138" s="562" t="s">
        <v>1633</v>
      </c>
      <c r="J138" s="604"/>
      <c r="K138" s="562"/>
      <c r="L138" s="604">
        <v>59.22</v>
      </c>
      <c r="M138" s="603"/>
      <c r="N138" s="602"/>
      <c r="V138" s="674"/>
      <c r="W138" s="675"/>
      <c r="Z138" s="537" t="s">
        <v>1632</v>
      </c>
      <c r="AB138" s="675"/>
      <c r="AD138" s="675"/>
      <c r="AF138" s="675"/>
      <c r="AG138" s="675"/>
    </row>
    <row r="139" spans="1:33" s="536" customFormat="1" ht="33.75" x14ac:dyDescent="0.2">
      <c r="A139" s="605"/>
      <c r="B139" s="552" t="s">
        <v>1634</v>
      </c>
      <c r="C139" s="1822" t="s">
        <v>1635</v>
      </c>
      <c r="D139" s="1822"/>
      <c r="E139" s="1822"/>
      <c r="F139" s="562" t="s">
        <v>322</v>
      </c>
      <c r="G139" s="562" t="s">
        <v>786</v>
      </c>
      <c r="H139" s="562"/>
      <c r="I139" s="562" t="s">
        <v>786</v>
      </c>
      <c r="J139" s="604"/>
      <c r="K139" s="562"/>
      <c r="L139" s="604">
        <v>31.14</v>
      </c>
      <c r="M139" s="603"/>
      <c r="N139" s="602"/>
      <c r="V139" s="674"/>
      <c r="W139" s="675"/>
      <c r="Z139" s="537" t="s">
        <v>1635</v>
      </c>
      <c r="AB139" s="675"/>
      <c r="AD139" s="675"/>
      <c r="AF139" s="675"/>
      <c r="AG139" s="675"/>
    </row>
    <row r="140" spans="1:33" s="536" customFormat="1" ht="12" x14ac:dyDescent="0.2">
      <c r="A140" s="569"/>
      <c r="B140" s="683"/>
      <c r="C140" s="1823" t="s">
        <v>327</v>
      </c>
      <c r="D140" s="1823"/>
      <c r="E140" s="1823"/>
      <c r="F140" s="573"/>
      <c r="G140" s="573"/>
      <c r="H140" s="573"/>
      <c r="I140" s="573"/>
      <c r="J140" s="572"/>
      <c r="K140" s="573"/>
      <c r="L140" s="572">
        <v>157.29</v>
      </c>
      <c r="M140" s="601"/>
      <c r="N140" s="570"/>
      <c r="V140" s="674"/>
      <c r="W140" s="675"/>
      <c r="AB140" s="675" t="s">
        <v>327</v>
      </c>
      <c r="AD140" s="675"/>
      <c r="AF140" s="675"/>
      <c r="AG140" s="675"/>
    </row>
    <row r="141" spans="1:33" s="536" customFormat="1" ht="33.75" x14ac:dyDescent="0.2">
      <c r="A141" s="575" t="s">
        <v>193</v>
      </c>
      <c r="B141" s="684" t="s">
        <v>1673</v>
      </c>
      <c r="C141" s="1823" t="s">
        <v>1674</v>
      </c>
      <c r="D141" s="1823"/>
      <c r="E141" s="1823"/>
      <c r="F141" s="573" t="s">
        <v>483</v>
      </c>
      <c r="G141" s="573"/>
      <c r="H141" s="573"/>
      <c r="I141" s="573" t="s">
        <v>1675</v>
      </c>
      <c r="J141" s="572">
        <v>112.87</v>
      </c>
      <c r="K141" s="573" t="s">
        <v>716</v>
      </c>
      <c r="L141" s="572">
        <v>493.99</v>
      </c>
      <c r="M141" s="571">
        <v>8.32</v>
      </c>
      <c r="N141" s="570">
        <v>4110</v>
      </c>
      <c r="V141" s="674"/>
      <c r="W141" s="675" t="s">
        <v>1674</v>
      </c>
      <c r="AB141" s="675"/>
      <c r="AD141" s="675"/>
      <c r="AF141" s="675"/>
      <c r="AG141" s="675"/>
    </row>
    <row r="142" spans="1:33" s="536" customFormat="1" ht="12" x14ac:dyDescent="0.2">
      <c r="A142" s="569"/>
      <c r="B142" s="683"/>
      <c r="C142" s="689" t="s">
        <v>1658</v>
      </c>
      <c r="D142" s="690"/>
      <c r="E142" s="690"/>
      <c r="F142" s="563"/>
      <c r="G142" s="563"/>
      <c r="H142" s="563"/>
      <c r="I142" s="563"/>
      <c r="J142" s="566"/>
      <c r="K142" s="563"/>
      <c r="L142" s="566"/>
      <c r="M142" s="565"/>
      <c r="N142" s="564"/>
      <c r="V142" s="674"/>
      <c r="W142" s="675"/>
      <c r="AB142" s="675"/>
      <c r="AD142" s="675"/>
      <c r="AF142" s="675"/>
      <c r="AG142" s="675"/>
    </row>
    <row r="143" spans="1:33" s="536" customFormat="1" ht="12" x14ac:dyDescent="0.2">
      <c r="A143" s="676"/>
      <c r="B143" s="682"/>
      <c r="C143" s="1822" t="s">
        <v>1676</v>
      </c>
      <c r="D143" s="1822"/>
      <c r="E143" s="1822"/>
      <c r="F143" s="1822"/>
      <c r="G143" s="1822"/>
      <c r="H143" s="1822"/>
      <c r="I143" s="1822"/>
      <c r="J143" s="1822"/>
      <c r="K143" s="1822"/>
      <c r="L143" s="1822"/>
      <c r="M143" s="1822"/>
      <c r="N143" s="1827"/>
      <c r="V143" s="674"/>
      <c r="W143" s="675"/>
      <c r="AB143" s="675"/>
      <c r="AC143" s="537" t="s">
        <v>1676</v>
      </c>
      <c r="AD143" s="675"/>
      <c r="AF143" s="675"/>
      <c r="AG143" s="675"/>
    </row>
    <row r="144" spans="1:33" s="536" customFormat="1" ht="22.5" x14ac:dyDescent="0.2">
      <c r="A144" s="609"/>
      <c r="B144" s="552" t="s">
        <v>718</v>
      </c>
      <c r="C144" s="1822" t="s">
        <v>719</v>
      </c>
      <c r="D144" s="1822"/>
      <c r="E144" s="1822"/>
      <c r="F144" s="1822"/>
      <c r="G144" s="1822"/>
      <c r="H144" s="1822"/>
      <c r="I144" s="1822"/>
      <c r="J144" s="1822"/>
      <c r="K144" s="1822"/>
      <c r="L144" s="1822"/>
      <c r="M144" s="1822"/>
      <c r="N144" s="1827"/>
      <c r="V144" s="674"/>
      <c r="W144" s="675"/>
      <c r="X144" s="537" t="s">
        <v>719</v>
      </c>
      <c r="AB144" s="675"/>
      <c r="AD144" s="675"/>
      <c r="AF144" s="675"/>
      <c r="AG144" s="675"/>
    </row>
    <row r="145" spans="1:33" s="536" customFormat="1" ht="33.75" x14ac:dyDescent="0.2">
      <c r="A145" s="575" t="s">
        <v>194</v>
      </c>
      <c r="B145" s="684" t="s">
        <v>1677</v>
      </c>
      <c r="C145" s="1823" t="s">
        <v>1678</v>
      </c>
      <c r="D145" s="1823"/>
      <c r="E145" s="1823"/>
      <c r="F145" s="573" t="s">
        <v>617</v>
      </c>
      <c r="G145" s="573"/>
      <c r="H145" s="573"/>
      <c r="I145" s="573" t="s">
        <v>1679</v>
      </c>
      <c r="J145" s="572">
        <v>159.77000000000001</v>
      </c>
      <c r="K145" s="573" t="s">
        <v>716</v>
      </c>
      <c r="L145" s="572">
        <v>979.33</v>
      </c>
      <c r="M145" s="571">
        <v>8.32</v>
      </c>
      <c r="N145" s="570">
        <v>8148</v>
      </c>
      <c r="V145" s="674"/>
      <c r="W145" s="675" t="s">
        <v>1678</v>
      </c>
      <c r="AB145" s="675"/>
      <c r="AD145" s="675"/>
      <c r="AF145" s="675"/>
      <c r="AG145" s="675"/>
    </row>
    <row r="146" spans="1:33" s="536" customFormat="1" ht="12" x14ac:dyDescent="0.2">
      <c r="A146" s="569"/>
      <c r="B146" s="683"/>
      <c r="C146" s="689" t="s">
        <v>1658</v>
      </c>
      <c r="D146" s="690"/>
      <c r="E146" s="690"/>
      <c r="F146" s="563"/>
      <c r="G146" s="563"/>
      <c r="H146" s="563"/>
      <c r="I146" s="563"/>
      <c r="J146" s="566"/>
      <c r="K146" s="563"/>
      <c r="L146" s="566"/>
      <c r="M146" s="565"/>
      <c r="N146" s="564"/>
      <c r="V146" s="674"/>
      <c r="W146" s="675"/>
      <c r="AB146" s="675"/>
      <c r="AD146" s="675"/>
      <c r="AF146" s="675"/>
      <c r="AG146" s="675"/>
    </row>
    <row r="147" spans="1:33" s="536" customFormat="1" ht="22.5" x14ac:dyDescent="0.2">
      <c r="A147" s="609"/>
      <c r="B147" s="552" t="s">
        <v>718</v>
      </c>
      <c r="C147" s="1822" t="s">
        <v>719</v>
      </c>
      <c r="D147" s="1822"/>
      <c r="E147" s="1822"/>
      <c r="F147" s="1822"/>
      <c r="G147" s="1822"/>
      <c r="H147" s="1822"/>
      <c r="I147" s="1822"/>
      <c r="J147" s="1822"/>
      <c r="K147" s="1822"/>
      <c r="L147" s="1822"/>
      <c r="M147" s="1822"/>
      <c r="N147" s="1827"/>
      <c r="V147" s="674"/>
      <c r="W147" s="675"/>
      <c r="X147" s="537" t="s">
        <v>719</v>
      </c>
      <c r="AB147" s="675"/>
      <c r="AD147" s="675"/>
      <c r="AF147" s="675"/>
      <c r="AG147" s="675"/>
    </row>
    <row r="148" spans="1:33" s="536" customFormat="1" ht="56.25" x14ac:dyDescent="0.2">
      <c r="A148" s="575" t="s">
        <v>195</v>
      </c>
      <c r="B148" s="684" t="s">
        <v>1680</v>
      </c>
      <c r="C148" s="1823" t="s">
        <v>1681</v>
      </c>
      <c r="D148" s="1823"/>
      <c r="E148" s="1823"/>
      <c r="F148" s="573" t="s">
        <v>1110</v>
      </c>
      <c r="G148" s="573"/>
      <c r="H148" s="573"/>
      <c r="I148" s="573" t="s">
        <v>691</v>
      </c>
      <c r="J148" s="572"/>
      <c r="K148" s="573"/>
      <c r="L148" s="572"/>
      <c r="M148" s="571"/>
      <c r="N148" s="570"/>
      <c r="V148" s="674"/>
      <c r="W148" s="675" t="s">
        <v>1681</v>
      </c>
      <c r="AB148" s="675"/>
      <c r="AD148" s="675"/>
      <c r="AF148" s="675"/>
      <c r="AG148" s="675"/>
    </row>
    <row r="149" spans="1:33" s="536" customFormat="1" ht="12" x14ac:dyDescent="0.2">
      <c r="A149" s="676"/>
      <c r="B149" s="682"/>
      <c r="C149" s="1822" t="s">
        <v>1670</v>
      </c>
      <c r="D149" s="1822"/>
      <c r="E149" s="1822"/>
      <c r="F149" s="1822"/>
      <c r="G149" s="1822"/>
      <c r="H149" s="1822"/>
      <c r="I149" s="1822"/>
      <c r="J149" s="1822"/>
      <c r="K149" s="1822"/>
      <c r="L149" s="1822"/>
      <c r="M149" s="1822"/>
      <c r="N149" s="1827"/>
      <c r="V149" s="674"/>
      <c r="W149" s="675"/>
      <c r="AB149" s="675"/>
      <c r="AC149" s="537" t="s">
        <v>1670</v>
      </c>
      <c r="AD149" s="675"/>
      <c r="AF149" s="675"/>
      <c r="AG149" s="675"/>
    </row>
    <row r="150" spans="1:33" s="536" customFormat="1" ht="33.75" x14ac:dyDescent="0.2">
      <c r="A150" s="609"/>
      <c r="B150" s="552" t="s">
        <v>310</v>
      </c>
      <c r="C150" s="1822" t="s">
        <v>311</v>
      </c>
      <c r="D150" s="1822"/>
      <c r="E150" s="1822"/>
      <c r="F150" s="1822"/>
      <c r="G150" s="1822"/>
      <c r="H150" s="1822"/>
      <c r="I150" s="1822"/>
      <c r="J150" s="1822"/>
      <c r="K150" s="1822"/>
      <c r="L150" s="1822"/>
      <c r="M150" s="1822"/>
      <c r="N150" s="1827"/>
      <c r="V150" s="674"/>
      <c r="W150" s="675"/>
      <c r="X150" s="537" t="s">
        <v>311</v>
      </c>
      <c r="AB150" s="675"/>
      <c r="AD150" s="675"/>
      <c r="AF150" s="675"/>
      <c r="AG150" s="675"/>
    </row>
    <row r="151" spans="1:33" s="536" customFormat="1" ht="12" x14ac:dyDescent="0.2">
      <c r="A151" s="605"/>
      <c r="B151" s="552" t="s">
        <v>185</v>
      </c>
      <c r="C151" s="1822" t="s">
        <v>312</v>
      </c>
      <c r="D151" s="1822"/>
      <c r="E151" s="1822"/>
      <c r="F151" s="562"/>
      <c r="G151" s="562"/>
      <c r="H151" s="562"/>
      <c r="I151" s="562"/>
      <c r="J151" s="604">
        <v>50.67</v>
      </c>
      <c r="K151" s="562" t="s">
        <v>313</v>
      </c>
      <c r="L151" s="604">
        <v>22.17</v>
      </c>
      <c r="M151" s="603"/>
      <c r="N151" s="602"/>
      <c r="V151" s="674"/>
      <c r="W151" s="675"/>
      <c r="Y151" s="537" t="s">
        <v>312</v>
      </c>
      <c r="AB151" s="675"/>
      <c r="AD151" s="675"/>
      <c r="AF151" s="675"/>
      <c r="AG151" s="675"/>
    </row>
    <row r="152" spans="1:33" s="536" customFormat="1" ht="12" x14ac:dyDescent="0.2">
      <c r="A152" s="605"/>
      <c r="B152" s="552" t="s">
        <v>186</v>
      </c>
      <c r="C152" s="1822" t="s">
        <v>344</v>
      </c>
      <c r="D152" s="1822"/>
      <c r="E152" s="1822"/>
      <c r="F152" s="562"/>
      <c r="G152" s="562"/>
      <c r="H152" s="562"/>
      <c r="I152" s="562"/>
      <c r="J152" s="604">
        <v>3.62</v>
      </c>
      <c r="K152" s="562" t="s">
        <v>313</v>
      </c>
      <c r="L152" s="604">
        <v>1.58</v>
      </c>
      <c r="M152" s="603"/>
      <c r="N152" s="602"/>
      <c r="V152" s="674"/>
      <c r="W152" s="675"/>
      <c r="Y152" s="537" t="s">
        <v>344</v>
      </c>
      <c r="AB152" s="675"/>
      <c r="AD152" s="675"/>
      <c r="AF152" s="675"/>
      <c r="AG152" s="675"/>
    </row>
    <row r="153" spans="1:33" s="536" customFormat="1" ht="12" x14ac:dyDescent="0.2">
      <c r="A153" s="605"/>
      <c r="B153" s="552" t="s">
        <v>187</v>
      </c>
      <c r="C153" s="1822" t="s">
        <v>345</v>
      </c>
      <c r="D153" s="1822"/>
      <c r="E153" s="1822"/>
      <c r="F153" s="562"/>
      <c r="G153" s="562"/>
      <c r="H153" s="562"/>
      <c r="I153" s="562"/>
      <c r="J153" s="604">
        <v>0.5</v>
      </c>
      <c r="K153" s="562" t="s">
        <v>313</v>
      </c>
      <c r="L153" s="604">
        <v>0.22</v>
      </c>
      <c r="M153" s="603"/>
      <c r="N153" s="602"/>
      <c r="V153" s="674"/>
      <c r="W153" s="675"/>
      <c r="Y153" s="537" t="s">
        <v>345</v>
      </c>
      <c r="AB153" s="675"/>
      <c r="AD153" s="675"/>
      <c r="AF153" s="675"/>
      <c r="AG153" s="675"/>
    </row>
    <row r="154" spans="1:33" s="536" customFormat="1" ht="12" x14ac:dyDescent="0.2">
      <c r="A154" s="605"/>
      <c r="B154" s="552" t="s">
        <v>188</v>
      </c>
      <c r="C154" s="1822" t="s">
        <v>475</v>
      </c>
      <c r="D154" s="1822"/>
      <c r="E154" s="1822"/>
      <c r="F154" s="562"/>
      <c r="G154" s="562"/>
      <c r="H154" s="562"/>
      <c r="I154" s="562"/>
      <c r="J154" s="604">
        <v>14.48</v>
      </c>
      <c r="K154" s="562"/>
      <c r="L154" s="604">
        <v>5.07</v>
      </c>
      <c r="M154" s="603"/>
      <c r="N154" s="602"/>
      <c r="V154" s="674"/>
      <c r="W154" s="675"/>
      <c r="Y154" s="537" t="s">
        <v>475</v>
      </c>
      <c r="AB154" s="675"/>
      <c r="AD154" s="675"/>
      <c r="AF154" s="675"/>
      <c r="AG154" s="675"/>
    </row>
    <row r="155" spans="1:33" s="536" customFormat="1" ht="12" x14ac:dyDescent="0.2">
      <c r="A155" s="605"/>
      <c r="B155" s="552"/>
      <c r="C155" s="1822" t="s">
        <v>314</v>
      </c>
      <c r="D155" s="1822"/>
      <c r="E155" s="1822"/>
      <c r="F155" s="562" t="s">
        <v>315</v>
      </c>
      <c r="G155" s="562" t="s">
        <v>1682</v>
      </c>
      <c r="H155" s="562" t="s">
        <v>313</v>
      </c>
      <c r="I155" s="562" t="s">
        <v>1683</v>
      </c>
      <c r="J155" s="604"/>
      <c r="K155" s="562"/>
      <c r="L155" s="604"/>
      <c r="M155" s="603"/>
      <c r="N155" s="602"/>
      <c r="V155" s="674"/>
      <c r="W155" s="675"/>
      <c r="Z155" s="537" t="s">
        <v>314</v>
      </c>
      <c r="AB155" s="675"/>
      <c r="AD155" s="675"/>
      <c r="AF155" s="675"/>
      <c r="AG155" s="675"/>
    </row>
    <row r="156" spans="1:33" s="536" customFormat="1" ht="12" x14ac:dyDescent="0.2">
      <c r="A156" s="605"/>
      <c r="B156" s="552"/>
      <c r="C156" s="1822" t="s">
        <v>348</v>
      </c>
      <c r="D156" s="1822"/>
      <c r="E156" s="1822"/>
      <c r="F156" s="562" t="s">
        <v>315</v>
      </c>
      <c r="G156" s="562" t="s">
        <v>728</v>
      </c>
      <c r="H156" s="562" t="s">
        <v>313</v>
      </c>
      <c r="I156" s="562" t="s">
        <v>1684</v>
      </c>
      <c r="J156" s="604"/>
      <c r="K156" s="562"/>
      <c r="L156" s="604"/>
      <c r="M156" s="603"/>
      <c r="N156" s="602"/>
      <c r="V156" s="674"/>
      <c r="W156" s="675"/>
      <c r="Z156" s="537" t="s">
        <v>348</v>
      </c>
      <c r="AB156" s="675"/>
      <c r="AD156" s="675"/>
      <c r="AF156" s="675"/>
      <c r="AG156" s="675"/>
    </row>
    <row r="157" spans="1:33" s="536" customFormat="1" ht="12" x14ac:dyDescent="0.2">
      <c r="A157" s="605"/>
      <c r="B157" s="552"/>
      <c r="C157" s="1828" t="s">
        <v>318</v>
      </c>
      <c r="D157" s="1828"/>
      <c r="E157" s="1828"/>
      <c r="F157" s="608"/>
      <c r="G157" s="608"/>
      <c r="H157" s="608"/>
      <c r="I157" s="608"/>
      <c r="J157" s="607">
        <v>68.77</v>
      </c>
      <c r="K157" s="608"/>
      <c r="L157" s="607">
        <v>28.82</v>
      </c>
      <c r="M157" s="601"/>
      <c r="N157" s="606"/>
      <c r="V157" s="674"/>
      <c r="W157" s="675"/>
      <c r="AA157" s="537" t="s">
        <v>318</v>
      </c>
      <c r="AB157" s="675"/>
      <c r="AD157" s="675"/>
      <c r="AF157" s="675"/>
      <c r="AG157" s="675"/>
    </row>
    <row r="158" spans="1:33" s="536" customFormat="1" ht="12" x14ac:dyDescent="0.2">
      <c r="A158" s="605"/>
      <c r="B158" s="552"/>
      <c r="C158" s="1822" t="s">
        <v>319</v>
      </c>
      <c r="D158" s="1822"/>
      <c r="E158" s="1822"/>
      <c r="F158" s="562"/>
      <c r="G158" s="562"/>
      <c r="H158" s="562"/>
      <c r="I158" s="562"/>
      <c r="J158" s="604"/>
      <c r="K158" s="562"/>
      <c r="L158" s="604">
        <v>22.39</v>
      </c>
      <c r="M158" s="603"/>
      <c r="N158" s="602"/>
      <c r="V158" s="674"/>
      <c r="W158" s="675"/>
      <c r="Z158" s="537" t="s">
        <v>319</v>
      </c>
      <c r="AB158" s="675"/>
      <c r="AD158" s="675"/>
      <c r="AF158" s="675"/>
      <c r="AG158" s="675"/>
    </row>
    <row r="159" spans="1:33" s="536" customFormat="1" ht="33.75" x14ac:dyDescent="0.2">
      <c r="A159" s="605"/>
      <c r="B159" s="552" t="s">
        <v>1631</v>
      </c>
      <c r="C159" s="1822" t="s">
        <v>1632</v>
      </c>
      <c r="D159" s="1822"/>
      <c r="E159" s="1822"/>
      <c r="F159" s="562" t="s">
        <v>322</v>
      </c>
      <c r="G159" s="562" t="s">
        <v>1633</v>
      </c>
      <c r="H159" s="562"/>
      <c r="I159" s="562" t="s">
        <v>1633</v>
      </c>
      <c r="J159" s="604"/>
      <c r="K159" s="562"/>
      <c r="L159" s="604">
        <v>21.72</v>
      </c>
      <c r="M159" s="603"/>
      <c r="N159" s="602"/>
      <c r="V159" s="674"/>
      <c r="W159" s="675"/>
      <c r="Z159" s="537" t="s">
        <v>1632</v>
      </c>
      <c r="AB159" s="675"/>
      <c r="AD159" s="675"/>
      <c r="AF159" s="675"/>
      <c r="AG159" s="675"/>
    </row>
    <row r="160" spans="1:33" s="536" customFormat="1" ht="33.75" x14ac:dyDescent="0.2">
      <c r="A160" s="605"/>
      <c r="B160" s="552" t="s">
        <v>1634</v>
      </c>
      <c r="C160" s="1822" t="s">
        <v>1635</v>
      </c>
      <c r="D160" s="1822"/>
      <c r="E160" s="1822"/>
      <c r="F160" s="562" t="s">
        <v>322</v>
      </c>
      <c r="G160" s="562" t="s">
        <v>786</v>
      </c>
      <c r="H160" s="562"/>
      <c r="I160" s="562" t="s">
        <v>786</v>
      </c>
      <c r="J160" s="604"/>
      <c r="K160" s="562"/>
      <c r="L160" s="604">
        <v>11.42</v>
      </c>
      <c r="M160" s="603"/>
      <c r="N160" s="602"/>
      <c r="V160" s="674"/>
      <c r="W160" s="675"/>
      <c r="Z160" s="537" t="s">
        <v>1635</v>
      </c>
      <c r="AB160" s="675"/>
      <c r="AD160" s="675"/>
      <c r="AF160" s="675"/>
      <c r="AG160" s="675"/>
    </row>
    <row r="161" spans="1:33" s="536" customFormat="1" ht="12" x14ac:dyDescent="0.2">
      <c r="A161" s="569"/>
      <c r="B161" s="683"/>
      <c r="C161" s="1823" t="s">
        <v>327</v>
      </c>
      <c r="D161" s="1823"/>
      <c r="E161" s="1823"/>
      <c r="F161" s="573"/>
      <c r="G161" s="573"/>
      <c r="H161" s="573"/>
      <c r="I161" s="573"/>
      <c r="J161" s="572"/>
      <c r="K161" s="573"/>
      <c r="L161" s="572">
        <v>61.96</v>
      </c>
      <c r="M161" s="601"/>
      <c r="N161" s="570"/>
      <c r="V161" s="674"/>
      <c r="W161" s="675"/>
      <c r="AB161" s="675" t="s">
        <v>327</v>
      </c>
      <c r="AD161" s="675"/>
      <c r="AF161" s="675"/>
      <c r="AG161" s="675"/>
    </row>
    <row r="162" spans="1:33" s="536" customFormat="1" ht="22.5" x14ac:dyDescent="0.2">
      <c r="A162" s="575" t="s">
        <v>196</v>
      </c>
      <c r="B162" s="684" t="s">
        <v>1685</v>
      </c>
      <c r="C162" s="1823" t="s">
        <v>1686</v>
      </c>
      <c r="D162" s="1823"/>
      <c r="E162" s="1823"/>
      <c r="F162" s="573" t="s">
        <v>1687</v>
      </c>
      <c r="G162" s="573"/>
      <c r="H162" s="573"/>
      <c r="I162" s="573" t="s">
        <v>1688</v>
      </c>
      <c r="J162" s="572">
        <v>4832.12</v>
      </c>
      <c r="K162" s="573"/>
      <c r="L162" s="572">
        <v>172.51</v>
      </c>
      <c r="M162" s="571"/>
      <c r="N162" s="570"/>
      <c r="V162" s="674"/>
      <c r="W162" s="675" t="s">
        <v>1686</v>
      </c>
      <c r="AB162" s="675"/>
      <c r="AD162" s="675"/>
      <c r="AF162" s="675"/>
      <c r="AG162" s="675"/>
    </row>
    <row r="163" spans="1:33" s="536" customFormat="1" ht="12" x14ac:dyDescent="0.2">
      <c r="A163" s="569"/>
      <c r="B163" s="683"/>
      <c r="C163" s="689" t="s">
        <v>1658</v>
      </c>
      <c r="D163" s="690"/>
      <c r="E163" s="690"/>
      <c r="F163" s="563"/>
      <c r="G163" s="563"/>
      <c r="H163" s="563"/>
      <c r="I163" s="563"/>
      <c r="J163" s="566"/>
      <c r="K163" s="563"/>
      <c r="L163" s="566"/>
      <c r="M163" s="565"/>
      <c r="N163" s="564"/>
      <c r="V163" s="674"/>
      <c r="W163" s="675"/>
      <c r="AB163" s="675"/>
      <c r="AD163" s="675"/>
      <c r="AF163" s="675"/>
      <c r="AG163" s="675"/>
    </row>
    <row r="164" spans="1:33" s="536" customFormat="1" ht="12" x14ac:dyDescent="0.2">
      <c r="A164" s="676"/>
      <c r="B164" s="682"/>
      <c r="C164" s="1822" t="s">
        <v>1689</v>
      </c>
      <c r="D164" s="1822"/>
      <c r="E164" s="1822"/>
      <c r="F164" s="1822"/>
      <c r="G164" s="1822"/>
      <c r="H164" s="1822"/>
      <c r="I164" s="1822"/>
      <c r="J164" s="1822"/>
      <c r="K164" s="1822"/>
      <c r="L164" s="1822"/>
      <c r="M164" s="1822"/>
      <c r="N164" s="1827"/>
      <c r="V164" s="674"/>
      <c r="W164" s="675"/>
      <c r="AB164" s="675"/>
      <c r="AC164" s="537" t="s">
        <v>1689</v>
      </c>
      <c r="AD164" s="675"/>
      <c r="AF164" s="675"/>
      <c r="AG164" s="675"/>
    </row>
    <row r="165" spans="1:33" s="536" customFormat="1" ht="12" x14ac:dyDescent="0.2">
      <c r="A165" s="575" t="s">
        <v>197</v>
      </c>
      <c r="B165" s="684" t="s">
        <v>1690</v>
      </c>
      <c r="C165" s="1823" t="s">
        <v>1691</v>
      </c>
      <c r="D165" s="1823"/>
      <c r="E165" s="1823"/>
      <c r="F165" s="573" t="s">
        <v>617</v>
      </c>
      <c r="G165" s="573"/>
      <c r="H165" s="573"/>
      <c r="I165" s="573" t="s">
        <v>190</v>
      </c>
      <c r="J165" s="572"/>
      <c r="K165" s="573"/>
      <c r="L165" s="572"/>
      <c r="M165" s="571"/>
      <c r="N165" s="570"/>
      <c r="V165" s="674"/>
      <c r="W165" s="675" t="s">
        <v>1691</v>
      </c>
      <c r="AB165" s="675"/>
      <c r="AD165" s="675"/>
      <c r="AF165" s="675"/>
      <c r="AG165" s="675"/>
    </row>
    <row r="166" spans="1:33" s="536" customFormat="1" ht="33.75" x14ac:dyDescent="0.2">
      <c r="A166" s="609"/>
      <c r="B166" s="552" t="s">
        <v>310</v>
      </c>
      <c r="C166" s="1822" t="s">
        <v>311</v>
      </c>
      <c r="D166" s="1822"/>
      <c r="E166" s="1822"/>
      <c r="F166" s="1822"/>
      <c r="G166" s="1822"/>
      <c r="H166" s="1822"/>
      <c r="I166" s="1822"/>
      <c r="J166" s="1822"/>
      <c r="K166" s="1822"/>
      <c r="L166" s="1822"/>
      <c r="M166" s="1822"/>
      <c r="N166" s="1827"/>
      <c r="V166" s="674"/>
      <c r="W166" s="675"/>
      <c r="X166" s="537" t="s">
        <v>311</v>
      </c>
      <c r="AB166" s="675"/>
      <c r="AD166" s="675"/>
      <c r="AF166" s="675"/>
      <c r="AG166" s="675"/>
    </row>
    <row r="167" spans="1:33" s="536" customFormat="1" ht="12" x14ac:dyDescent="0.2">
      <c r="A167" s="605"/>
      <c r="B167" s="552" t="s">
        <v>185</v>
      </c>
      <c r="C167" s="1822" t="s">
        <v>312</v>
      </c>
      <c r="D167" s="1822"/>
      <c r="E167" s="1822"/>
      <c r="F167" s="562"/>
      <c r="G167" s="562"/>
      <c r="H167" s="562"/>
      <c r="I167" s="562"/>
      <c r="J167" s="604">
        <v>4.88</v>
      </c>
      <c r="K167" s="562" t="s">
        <v>313</v>
      </c>
      <c r="L167" s="604">
        <v>36.6</v>
      </c>
      <c r="M167" s="603"/>
      <c r="N167" s="602"/>
      <c r="V167" s="674"/>
      <c r="W167" s="675"/>
      <c r="Y167" s="537" t="s">
        <v>312</v>
      </c>
      <c r="AB167" s="675"/>
      <c r="AD167" s="675"/>
      <c r="AF167" s="675"/>
      <c r="AG167" s="675"/>
    </row>
    <row r="168" spans="1:33" s="536" customFormat="1" ht="12" x14ac:dyDescent="0.2">
      <c r="A168" s="605"/>
      <c r="B168" s="552" t="s">
        <v>188</v>
      </c>
      <c r="C168" s="1822" t="s">
        <v>475</v>
      </c>
      <c r="D168" s="1822"/>
      <c r="E168" s="1822"/>
      <c r="F168" s="562"/>
      <c r="G168" s="562"/>
      <c r="H168" s="562"/>
      <c r="I168" s="562"/>
      <c r="J168" s="604">
        <v>0.41</v>
      </c>
      <c r="K168" s="562"/>
      <c r="L168" s="604">
        <v>2.46</v>
      </c>
      <c r="M168" s="603"/>
      <c r="N168" s="602"/>
      <c r="V168" s="674"/>
      <c r="W168" s="675"/>
      <c r="Y168" s="537" t="s">
        <v>475</v>
      </c>
      <c r="AB168" s="675"/>
      <c r="AD168" s="675"/>
      <c r="AF168" s="675"/>
      <c r="AG168" s="675"/>
    </row>
    <row r="169" spans="1:33" s="536" customFormat="1" ht="12" x14ac:dyDescent="0.2">
      <c r="A169" s="605"/>
      <c r="B169" s="552"/>
      <c r="C169" s="1822" t="s">
        <v>314</v>
      </c>
      <c r="D169" s="1822"/>
      <c r="E169" s="1822"/>
      <c r="F169" s="562" t="s">
        <v>315</v>
      </c>
      <c r="G169" s="562" t="s">
        <v>1692</v>
      </c>
      <c r="H169" s="562" t="s">
        <v>313</v>
      </c>
      <c r="I169" s="562" t="s">
        <v>1051</v>
      </c>
      <c r="J169" s="604"/>
      <c r="K169" s="562"/>
      <c r="L169" s="604"/>
      <c r="M169" s="603"/>
      <c r="N169" s="602"/>
      <c r="V169" s="674"/>
      <c r="W169" s="675"/>
      <c r="Z169" s="537" t="s">
        <v>314</v>
      </c>
      <c r="AB169" s="675"/>
      <c r="AD169" s="675"/>
      <c r="AF169" s="675"/>
      <c r="AG169" s="675"/>
    </row>
    <row r="170" spans="1:33" s="536" customFormat="1" ht="12" x14ac:dyDescent="0.2">
      <c r="A170" s="605"/>
      <c r="B170" s="552"/>
      <c r="C170" s="1828" t="s">
        <v>318</v>
      </c>
      <c r="D170" s="1828"/>
      <c r="E170" s="1828"/>
      <c r="F170" s="608"/>
      <c r="G170" s="608"/>
      <c r="H170" s="608"/>
      <c r="I170" s="608"/>
      <c r="J170" s="607">
        <v>5.29</v>
      </c>
      <c r="K170" s="608"/>
      <c r="L170" s="607">
        <v>39.06</v>
      </c>
      <c r="M170" s="601"/>
      <c r="N170" s="606"/>
      <c r="V170" s="674"/>
      <c r="W170" s="675"/>
      <c r="AA170" s="537" t="s">
        <v>318</v>
      </c>
      <c r="AB170" s="675"/>
      <c r="AD170" s="675"/>
      <c r="AF170" s="675"/>
      <c r="AG170" s="675"/>
    </row>
    <row r="171" spans="1:33" s="536" customFormat="1" ht="12" x14ac:dyDescent="0.2">
      <c r="A171" s="605"/>
      <c r="B171" s="552"/>
      <c r="C171" s="1822" t="s">
        <v>319</v>
      </c>
      <c r="D171" s="1822"/>
      <c r="E171" s="1822"/>
      <c r="F171" s="562"/>
      <c r="G171" s="562"/>
      <c r="H171" s="562"/>
      <c r="I171" s="562"/>
      <c r="J171" s="604"/>
      <c r="K171" s="562"/>
      <c r="L171" s="604">
        <v>36.6</v>
      </c>
      <c r="M171" s="603"/>
      <c r="N171" s="602"/>
      <c r="V171" s="674"/>
      <c r="W171" s="675"/>
      <c r="Z171" s="537" t="s">
        <v>319</v>
      </c>
      <c r="AB171" s="675"/>
      <c r="AD171" s="675"/>
      <c r="AF171" s="675"/>
      <c r="AG171" s="675"/>
    </row>
    <row r="172" spans="1:33" s="536" customFormat="1" ht="33.75" x14ac:dyDescent="0.2">
      <c r="A172" s="605"/>
      <c r="B172" s="552" t="s">
        <v>884</v>
      </c>
      <c r="C172" s="1822" t="s">
        <v>885</v>
      </c>
      <c r="D172" s="1822"/>
      <c r="E172" s="1822"/>
      <c r="F172" s="562" t="s">
        <v>322</v>
      </c>
      <c r="G172" s="562" t="s">
        <v>886</v>
      </c>
      <c r="H172" s="562"/>
      <c r="I172" s="562" t="s">
        <v>886</v>
      </c>
      <c r="J172" s="604"/>
      <c r="K172" s="562"/>
      <c r="L172" s="604">
        <v>32.94</v>
      </c>
      <c r="M172" s="603"/>
      <c r="N172" s="602"/>
      <c r="V172" s="674"/>
      <c r="W172" s="675"/>
      <c r="Z172" s="537" t="s">
        <v>885</v>
      </c>
      <c r="AB172" s="675"/>
      <c r="AD172" s="675"/>
      <c r="AF172" s="675"/>
      <c r="AG172" s="675"/>
    </row>
    <row r="173" spans="1:33" s="536" customFormat="1" ht="33.75" x14ac:dyDescent="0.2">
      <c r="A173" s="605"/>
      <c r="B173" s="552" t="s">
        <v>887</v>
      </c>
      <c r="C173" s="1822" t="s">
        <v>888</v>
      </c>
      <c r="D173" s="1822"/>
      <c r="E173" s="1822"/>
      <c r="F173" s="562" t="s">
        <v>322</v>
      </c>
      <c r="G173" s="562" t="s">
        <v>465</v>
      </c>
      <c r="H173" s="562"/>
      <c r="I173" s="562" t="s">
        <v>465</v>
      </c>
      <c r="J173" s="604"/>
      <c r="K173" s="562"/>
      <c r="L173" s="604">
        <v>16.84</v>
      </c>
      <c r="M173" s="603"/>
      <c r="N173" s="602"/>
      <c r="V173" s="674"/>
      <c r="W173" s="675"/>
      <c r="Z173" s="537" t="s">
        <v>888</v>
      </c>
      <c r="AB173" s="675"/>
      <c r="AD173" s="675"/>
      <c r="AF173" s="675"/>
      <c r="AG173" s="675"/>
    </row>
    <row r="174" spans="1:33" s="536" customFormat="1" ht="12" x14ac:dyDescent="0.2">
      <c r="A174" s="569"/>
      <c r="B174" s="683"/>
      <c r="C174" s="1823" t="s">
        <v>327</v>
      </c>
      <c r="D174" s="1823"/>
      <c r="E174" s="1823"/>
      <c r="F174" s="573"/>
      <c r="G174" s="573"/>
      <c r="H174" s="573"/>
      <c r="I174" s="573"/>
      <c r="J174" s="572"/>
      <c r="K174" s="573"/>
      <c r="L174" s="572">
        <v>88.84</v>
      </c>
      <c r="M174" s="601"/>
      <c r="N174" s="570"/>
      <c r="V174" s="674"/>
      <c r="W174" s="675"/>
      <c r="AB174" s="675" t="s">
        <v>327</v>
      </c>
      <c r="AD174" s="675"/>
      <c r="AF174" s="675"/>
      <c r="AG174" s="675"/>
    </row>
    <row r="175" spans="1:33" s="536" customFormat="1" ht="56.25" x14ac:dyDescent="0.2">
      <c r="A175" s="575" t="s">
        <v>198</v>
      </c>
      <c r="B175" s="684" t="s">
        <v>1693</v>
      </c>
      <c r="C175" s="1823" t="s">
        <v>1694</v>
      </c>
      <c r="D175" s="1823"/>
      <c r="E175" s="1823"/>
      <c r="F175" s="573" t="s">
        <v>617</v>
      </c>
      <c r="G175" s="573"/>
      <c r="H175" s="573"/>
      <c r="I175" s="573" t="s">
        <v>190</v>
      </c>
      <c r="J175" s="572">
        <v>81.2</v>
      </c>
      <c r="K175" s="573" t="s">
        <v>716</v>
      </c>
      <c r="L175" s="572">
        <v>59.74</v>
      </c>
      <c r="M175" s="571">
        <v>8.32</v>
      </c>
      <c r="N175" s="570">
        <v>497</v>
      </c>
      <c r="V175" s="674"/>
      <c r="W175" s="675" t="s">
        <v>1694</v>
      </c>
      <c r="AB175" s="675"/>
      <c r="AD175" s="675"/>
      <c r="AF175" s="675"/>
      <c r="AG175" s="675"/>
    </row>
    <row r="176" spans="1:33" s="536" customFormat="1" ht="12" x14ac:dyDescent="0.2">
      <c r="A176" s="569"/>
      <c r="B176" s="683"/>
      <c r="C176" s="689" t="s">
        <v>1658</v>
      </c>
      <c r="D176" s="690"/>
      <c r="E176" s="690"/>
      <c r="F176" s="563"/>
      <c r="G176" s="563"/>
      <c r="H176" s="563"/>
      <c r="I176" s="563"/>
      <c r="J176" s="566"/>
      <c r="K176" s="563"/>
      <c r="L176" s="566"/>
      <c r="M176" s="565"/>
      <c r="N176" s="564"/>
      <c r="V176" s="674"/>
      <c r="W176" s="675"/>
      <c r="AB176" s="675"/>
      <c r="AD176" s="675"/>
      <c r="AF176" s="675"/>
      <c r="AG176" s="675"/>
    </row>
    <row r="177" spans="1:33" s="536" customFormat="1" ht="22.5" x14ac:dyDescent="0.2">
      <c r="A177" s="609"/>
      <c r="B177" s="552" t="s">
        <v>718</v>
      </c>
      <c r="C177" s="1822" t="s">
        <v>719</v>
      </c>
      <c r="D177" s="1822"/>
      <c r="E177" s="1822"/>
      <c r="F177" s="1822"/>
      <c r="G177" s="1822"/>
      <c r="H177" s="1822"/>
      <c r="I177" s="1822"/>
      <c r="J177" s="1822"/>
      <c r="K177" s="1822"/>
      <c r="L177" s="1822"/>
      <c r="M177" s="1822"/>
      <c r="N177" s="1827"/>
      <c r="V177" s="674"/>
      <c r="W177" s="675"/>
      <c r="X177" s="537" t="s">
        <v>719</v>
      </c>
      <c r="AB177" s="675"/>
      <c r="AD177" s="675"/>
      <c r="AF177" s="675"/>
      <c r="AG177" s="675"/>
    </row>
    <row r="178" spans="1:33" s="536" customFormat="1" ht="22.5" x14ac:dyDescent="0.2">
      <c r="A178" s="575" t="s">
        <v>199</v>
      </c>
      <c r="B178" s="684" t="s">
        <v>1695</v>
      </c>
      <c r="C178" s="1823" t="s">
        <v>1696</v>
      </c>
      <c r="D178" s="1823"/>
      <c r="E178" s="1823"/>
      <c r="F178" s="573" t="s">
        <v>307</v>
      </c>
      <c r="G178" s="573"/>
      <c r="H178" s="573"/>
      <c r="I178" s="573" t="s">
        <v>646</v>
      </c>
      <c r="J178" s="572">
        <v>118</v>
      </c>
      <c r="K178" s="573"/>
      <c r="L178" s="572">
        <v>14.16</v>
      </c>
      <c r="M178" s="571"/>
      <c r="N178" s="570"/>
      <c r="V178" s="674"/>
      <c r="W178" s="675" t="s">
        <v>1696</v>
      </c>
      <c r="AB178" s="675"/>
      <c r="AD178" s="675"/>
      <c r="AF178" s="675"/>
      <c r="AG178" s="675"/>
    </row>
    <row r="179" spans="1:33" s="536" customFormat="1" ht="12" x14ac:dyDescent="0.2">
      <c r="A179" s="569"/>
      <c r="B179" s="683"/>
      <c r="C179" s="689" t="s">
        <v>1658</v>
      </c>
      <c r="D179" s="690"/>
      <c r="E179" s="690"/>
      <c r="F179" s="563"/>
      <c r="G179" s="563"/>
      <c r="H179" s="563"/>
      <c r="I179" s="563"/>
      <c r="J179" s="566"/>
      <c r="K179" s="563"/>
      <c r="L179" s="566"/>
      <c r="M179" s="565"/>
      <c r="N179" s="564"/>
      <c r="V179" s="674"/>
      <c r="W179" s="675"/>
      <c r="AB179" s="675"/>
      <c r="AD179" s="675"/>
      <c r="AF179" s="675"/>
      <c r="AG179" s="675"/>
    </row>
    <row r="180" spans="1:33" s="536" customFormat="1" ht="12" x14ac:dyDescent="0.2">
      <c r="A180" s="676"/>
      <c r="B180" s="682"/>
      <c r="C180" s="1822" t="s">
        <v>1697</v>
      </c>
      <c r="D180" s="1822"/>
      <c r="E180" s="1822"/>
      <c r="F180" s="1822"/>
      <c r="G180" s="1822"/>
      <c r="H180" s="1822"/>
      <c r="I180" s="1822"/>
      <c r="J180" s="1822"/>
      <c r="K180" s="1822"/>
      <c r="L180" s="1822"/>
      <c r="M180" s="1822"/>
      <c r="N180" s="1827"/>
      <c r="V180" s="674"/>
      <c r="W180" s="675"/>
      <c r="AB180" s="675"/>
      <c r="AC180" s="537" t="s">
        <v>1697</v>
      </c>
      <c r="AD180" s="675"/>
      <c r="AF180" s="675"/>
      <c r="AG180" s="675"/>
    </row>
    <row r="181" spans="1:33" s="536" customFormat="1" ht="12" x14ac:dyDescent="0.2">
      <c r="A181" s="1830" t="s">
        <v>1698</v>
      </c>
      <c r="B181" s="1831"/>
      <c r="C181" s="1831"/>
      <c r="D181" s="1831"/>
      <c r="E181" s="1831"/>
      <c r="F181" s="1831"/>
      <c r="G181" s="1831"/>
      <c r="H181" s="1831"/>
      <c r="I181" s="1831"/>
      <c r="J181" s="1831"/>
      <c r="K181" s="1831"/>
      <c r="L181" s="1831"/>
      <c r="M181" s="1831"/>
      <c r="N181" s="1832"/>
      <c r="V181" s="674"/>
      <c r="W181" s="675"/>
      <c r="AB181" s="675"/>
      <c r="AD181" s="675"/>
      <c r="AF181" s="675"/>
      <c r="AG181" s="675" t="s">
        <v>1698</v>
      </c>
    </row>
    <row r="182" spans="1:33" s="536" customFormat="1" ht="33.75" x14ac:dyDescent="0.2">
      <c r="A182" s="575" t="s">
        <v>200</v>
      </c>
      <c r="B182" s="684" t="s">
        <v>1699</v>
      </c>
      <c r="C182" s="1823" t="s">
        <v>1700</v>
      </c>
      <c r="D182" s="1823"/>
      <c r="E182" s="1823"/>
      <c r="F182" s="573" t="s">
        <v>1110</v>
      </c>
      <c r="G182" s="573"/>
      <c r="H182" s="573"/>
      <c r="I182" s="573" t="s">
        <v>1701</v>
      </c>
      <c r="J182" s="572"/>
      <c r="K182" s="573"/>
      <c r="L182" s="572"/>
      <c r="M182" s="571"/>
      <c r="N182" s="570"/>
      <c r="V182" s="674"/>
      <c r="W182" s="675" t="s">
        <v>1700</v>
      </c>
      <c r="AB182" s="675"/>
      <c r="AD182" s="675"/>
      <c r="AF182" s="675"/>
      <c r="AG182" s="675"/>
    </row>
    <row r="183" spans="1:33" s="536" customFormat="1" ht="12" x14ac:dyDescent="0.2">
      <c r="A183" s="676"/>
      <c r="B183" s="682"/>
      <c r="C183" s="1822" t="s">
        <v>1702</v>
      </c>
      <c r="D183" s="1822"/>
      <c r="E183" s="1822"/>
      <c r="F183" s="1822"/>
      <c r="G183" s="1822"/>
      <c r="H183" s="1822"/>
      <c r="I183" s="1822"/>
      <c r="J183" s="1822"/>
      <c r="K183" s="1822"/>
      <c r="L183" s="1822"/>
      <c r="M183" s="1822"/>
      <c r="N183" s="1827"/>
      <c r="V183" s="674"/>
      <c r="W183" s="675"/>
      <c r="AB183" s="675"/>
      <c r="AC183" s="537" t="s">
        <v>1702</v>
      </c>
      <c r="AD183" s="675"/>
      <c r="AF183" s="675"/>
      <c r="AG183" s="675"/>
    </row>
    <row r="184" spans="1:33" s="536" customFormat="1" ht="33.75" x14ac:dyDescent="0.2">
      <c r="A184" s="609"/>
      <c r="B184" s="552" t="s">
        <v>310</v>
      </c>
      <c r="C184" s="1822" t="s">
        <v>311</v>
      </c>
      <c r="D184" s="1822"/>
      <c r="E184" s="1822"/>
      <c r="F184" s="1822"/>
      <c r="G184" s="1822"/>
      <c r="H184" s="1822"/>
      <c r="I184" s="1822"/>
      <c r="J184" s="1822"/>
      <c r="K184" s="1822"/>
      <c r="L184" s="1822"/>
      <c r="M184" s="1822"/>
      <c r="N184" s="1827"/>
      <c r="V184" s="674"/>
      <c r="W184" s="675"/>
      <c r="X184" s="537" t="s">
        <v>311</v>
      </c>
      <c r="AB184" s="675"/>
      <c r="AD184" s="675"/>
      <c r="AF184" s="675"/>
      <c r="AG184" s="675"/>
    </row>
    <row r="185" spans="1:33" s="536" customFormat="1" ht="12" x14ac:dyDescent="0.2">
      <c r="A185" s="605"/>
      <c r="B185" s="552" t="s">
        <v>185</v>
      </c>
      <c r="C185" s="1822" t="s">
        <v>312</v>
      </c>
      <c r="D185" s="1822"/>
      <c r="E185" s="1822"/>
      <c r="F185" s="562"/>
      <c r="G185" s="562"/>
      <c r="H185" s="562"/>
      <c r="I185" s="562"/>
      <c r="J185" s="604">
        <v>110.54</v>
      </c>
      <c r="K185" s="562" t="s">
        <v>313</v>
      </c>
      <c r="L185" s="604">
        <v>1028.02</v>
      </c>
      <c r="M185" s="603"/>
      <c r="N185" s="602"/>
      <c r="V185" s="674"/>
      <c r="W185" s="675"/>
      <c r="Y185" s="537" t="s">
        <v>312</v>
      </c>
      <c r="AB185" s="675"/>
      <c r="AD185" s="675"/>
      <c r="AF185" s="675"/>
      <c r="AG185" s="675"/>
    </row>
    <row r="186" spans="1:33" s="536" customFormat="1" ht="12" x14ac:dyDescent="0.2">
      <c r="A186" s="605"/>
      <c r="B186" s="552" t="s">
        <v>186</v>
      </c>
      <c r="C186" s="1822" t="s">
        <v>344</v>
      </c>
      <c r="D186" s="1822"/>
      <c r="E186" s="1822"/>
      <c r="F186" s="562"/>
      <c r="G186" s="562"/>
      <c r="H186" s="562"/>
      <c r="I186" s="562"/>
      <c r="J186" s="604">
        <v>577.26</v>
      </c>
      <c r="K186" s="562" t="s">
        <v>313</v>
      </c>
      <c r="L186" s="604">
        <v>5368.52</v>
      </c>
      <c r="M186" s="603"/>
      <c r="N186" s="602"/>
      <c r="V186" s="674"/>
      <c r="W186" s="675"/>
      <c r="Y186" s="537" t="s">
        <v>344</v>
      </c>
      <c r="AB186" s="675"/>
      <c r="AD186" s="675"/>
      <c r="AF186" s="675"/>
      <c r="AG186" s="675"/>
    </row>
    <row r="187" spans="1:33" s="536" customFormat="1" ht="12" x14ac:dyDescent="0.2">
      <c r="A187" s="605"/>
      <c r="B187" s="552" t="s">
        <v>187</v>
      </c>
      <c r="C187" s="1822" t="s">
        <v>345</v>
      </c>
      <c r="D187" s="1822"/>
      <c r="E187" s="1822"/>
      <c r="F187" s="562"/>
      <c r="G187" s="562"/>
      <c r="H187" s="562"/>
      <c r="I187" s="562"/>
      <c r="J187" s="604">
        <v>55.11</v>
      </c>
      <c r="K187" s="562" t="s">
        <v>313</v>
      </c>
      <c r="L187" s="604">
        <v>512.52</v>
      </c>
      <c r="M187" s="603"/>
      <c r="N187" s="602"/>
      <c r="V187" s="674"/>
      <c r="W187" s="675"/>
      <c r="Y187" s="537" t="s">
        <v>345</v>
      </c>
      <c r="AB187" s="675"/>
      <c r="AD187" s="675"/>
      <c r="AF187" s="675"/>
      <c r="AG187" s="675"/>
    </row>
    <row r="188" spans="1:33" s="536" customFormat="1" ht="12" x14ac:dyDescent="0.2">
      <c r="A188" s="605"/>
      <c r="B188" s="552" t="s">
        <v>188</v>
      </c>
      <c r="C188" s="1822" t="s">
        <v>475</v>
      </c>
      <c r="D188" s="1822"/>
      <c r="E188" s="1822"/>
      <c r="F188" s="562"/>
      <c r="G188" s="562"/>
      <c r="H188" s="562"/>
      <c r="I188" s="562"/>
      <c r="J188" s="604">
        <v>60.47</v>
      </c>
      <c r="K188" s="562"/>
      <c r="L188" s="604">
        <v>449.9</v>
      </c>
      <c r="M188" s="603"/>
      <c r="N188" s="602"/>
      <c r="V188" s="674"/>
      <c r="W188" s="675"/>
      <c r="Y188" s="537" t="s">
        <v>475</v>
      </c>
      <c r="AB188" s="675"/>
      <c r="AD188" s="675"/>
      <c r="AF188" s="675"/>
      <c r="AG188" s="675"/>
    </row>
    <row r="189" spans="1:33" s="536" customFormat="1" ht="12" x14ac:dyDescent="0.2">
      <c r="A189" s="605"/>
      <c r="B189" s="552"/>
      <c r="C189" s="1822" t="s">
        <v>314</v>
      </c>
      <c r="D189" s="1822"/>
      <c r="E189" s="1822"/>
      <c r="F189" s="562" t="s">
        <v>315</v>
      </c>
      <c r="G189" s="562" t="s">
        <v>1703</v>
      </c>
      <c r="H189" s="562" t="s">
        <v>313</v>
      </c>
      <c r="I189" s="562" t="s">
        <v>1704</v>
      </c>
      <c r="J189" s="604"/>
      <c r="K189" s="562"/>
      <c r="L189" s="604"/>
      <c r="M189" s="603"/>
      <c r="N189" s="602"/>
      <c r="V189" s="674"/>
      <c r="W189" s="675"/>
      <c r="Z189" s="537" t="s">
        <v>314</v>
      </c>
      <c r="AB189" s="675"/>
      <c r="AD189" s="675"/>
      <c r="AF189" s="675"/>
      <c r="AG189" s="675"/>
    </row>
    <row r="190" spans="1:33" s="536" customFormat="1" ht="12" x14ac:dyDescent="0.2">
      <c r="A190" s="605"/>
      <c r="B190" s="552"/>
      <c r="C190" s="1822" t="s">
        <v>348</v>
      </c>
      <c r="D190" s="1822"/>
      <c r="E190" s="1822"/>
      <c r="F190" s="562" t="s">
        <v>315</v>
      </c>
      <c r="G190" s="562" t="s">
        <v>1705</v>
      </c>
      <c r="H190" s="562" t="s">
        <v>313</v>
      </c>
      <c r="I190" s="562" t="s">
        <v>1706</v>
      </c>
      <c r="J190" s="604"/>
      <c r="K190" s="562"/>
      <c r="L190" s="604"/>
      <c r="M190" s="603"/>
      <c r="N190" s="602"/>
      <c r="V190" s="674"/>
      <c r="W190" s="675"/>
      <c r="Z190" s="537" t="s">
        <v>348</v>
      </c>
      <c r="AB190" s="675"/>
      <c r="AD190" s="675"/>
      <c r="AF190" s="675"/>
      <c r="AG190" s="675"/>
    </row>
    <row r="191" spans="1:33" s="536" customFormat="1" ht="12" x14ac:dyDescent="0.2">
      <c r="A191" s="605"/>
      <c r="B191" s="552"/>
      <c r="C191" s="1828" t="s">
        <v>318</v>
      </c>
      <c r="D191" s="1828"/>
      <c r="E191" s="1828"/>
      <c r="F191" s="608"/>
      <c r="G191" s="608"/>
      <c r="H191" s="608"/>
      <c r="I191" s="608"/>
      <c r="J191" s="607">
        <v>748.27</v>
      </c>
      <c r="K191" s="608"/>
      <c r="L191" s="607">
        <v>6846.44</v>
      </c>
      <c r="M191" s="601"/>
      <c r="N191" s="606"/>
      <c r="V191" s="674"/>
      <c r="W191" s="675"/>
      <c r="AA191" s="537" t="s">
        <v>318</v>
      </c>
      <c r="AB191" s="675"/>
      <c r="AD191" s="675"/>
      <c r="AF191" s="675"/>
      <c r="AG191" s="675"/>
    </row>
    <row r="192" spans="1:33" s="536" customFormat="1" ht="12" x14ac:dyDescent="0.2">
      <c r="A192" s="605"/>
      <c r="B192" s="552"/>
      <c r="C192" s="1822" t="s">
        <v>319</v>
      </c>
      <c r="D192" s="1822"/>
      <c r="E192" s="1822"/>
      <c r="F192" s="562"/>
      <c r="G192" s="562"/>
      <c r="H192" s="562"/>
      <c r="I192" s="562"/>
      <c r="J192" s="604"/>
      <c r="K192" s="562"/>
      <c r="L192" s="604">
        <v>1540.54</v>
      </c>
      <c r="M192" s="603"/>
      <c r="N192" s="602"/>
      <c r="V192" s="674"/>
      <c r="W192" s="675"/>
      <c r="Z192" s="537" t="s">
        <v>319</v>
      </c>
      <c r="AB192" s="675"/>
      <c r="AD192" s="675"/>
      <c r="AF192" s="675"/>
      <c r="AG192" s="675"/>
    </row>
    <row r="193" spans="1:33" s="536" customFormat="1" ht="33.75" x14ac:dyDescent="0.2">
      <c r="A193" s="605"/>
      <c r="B193" s="552" t="s">
        <v>1631</v>
      </c>
      <c r="C193" s="1822" t="s">
        <v>1632</v>
      </c>
      <c r="D193" s="1822"/>
      <c r="E193" s="1822"/>
      <c r="F193" s="562" t="s">
        <v>322</v>
      </c>
      <c r="G193" s="562" t="s">
        <v>1633</v>
      </c>
      <c r="H193" s="562"/>
      <c r="I193" s="562" t="s">
        <v>1633</v>
      </c>
      <c r="J193" s="604"/>
      <c r="K193" s="562"/>
      <c r="L193" s="604">
        <v>1494.32</v>
      </c>
      <c r="M193" s="603"/>
      <c r="N193" s="602"/>
      <c r="V193" s="674"/>
      <c r="W193" s="675"/>
      <c r="Z193" s="537" t="s">
        <v>1632</v>
      </c>
      <c r="AB193" s="675"/>
      <c r="AD193" s="675"/>
      <c r="AF193" s="675"/>
      <c r="AG193" s="675"/>
    </row>
    <row r="194" spans="1:33" s="536" customFormat="1" ht="33.75" x14ac:dyDescent="0.2">
      <c r="A194" s="605"/>
      <c r="B194" s="552" t="s">
        <v>1634</v>
      </c>
      <c r="C194" s="1822" t="s">
        <v>1635</v>
      </c>
      <c r="D194" s="1822"/>
      <c r="E194" s="1822"/>
      <c r="F194" s="562" t="s">
        <v>322</v>
      </c>
      <c r="G194" s="562" t="s">
        <v>786</v>
      </c>
      <c r="H194" s="562"/>
      <c r="I194" s="562" t="s">
        <v>786</v>
      </c>
      <c r="J194" s="604"/>
      <c r="K194" s="562"/>
      <c r="L194" s="604">
        <v>785.68</v>
      </c>
      <c r="M194" s="603"/>
      <c r="N194" s="602"/>
      <c r="V194" s="674"/>
      <c r="W194" s="675"/>
      <c r="Z194" s="537" t="s">
        <v>1635</v>
      </c>
      <c r="AB194" s="675"/>
      <c r="AD194" s="675"/>
      <c r="AF194" s="675"/>
      <c r="AG194" s="675"/>
    </row>
    <row r="195" spans="1:33" s="536" customFormat="1" ht="12" x14ac:dyDescent="0.2">
      <c r="A195" s="569"/>
      <c r="B195" s="683"/>
      <c r="C195" s="1823" t="s">
        <v>327</v>
      </c>
      <c r="D195" s="1823"/>
      <c r="E195" s="1823"/>
      <c r="F195" s="573"/>
      <c r="G195" s="573"/>
      <c r="H195" s="573"/>
      <c r="I195" s="573"/>
      <c r="J195" s="572"/>
      <c r="K195" s="573"/>
      <c r="L195" s="572">
        <v>9126.44</v>
      </c>
      <c r="M195" s="601"/>
      <c r="N195" s="570"/>
      <c r="V195" s="674"/>
      <c r="W195" s="675"/>
      <c r="AB195" s="675" t="s">
        <v>327</v>
      </c>
      <c r="AD195" s="675"/>
      <c r="AF195" s="675"/>
      <c r="AG195" s="675"/>
    </row>
    <row r="196" spans="1:33" s="536" customFormat="1" ht="33.75" x14ac:dyDescent="0.2">
      <c r="A196" s="575" t="s">
        <v>425</v>
      </c>
      <c r="B196" s="684" t="s">
        <v>1707</v>
      </c>
      <c r="C196" s="1823" t="s">
        <v>1708</v>
      </c>
      <c r="D196" s="1823"/>
      <c r="E196" s="1823"/>
      <c r="F196" s="573" t="s">
        <v>483</v>
      </c>
      <c r="G196" s="573"/>
      <c r="H196" s="573"/>
      <c r="I196" s="573" t="s">
        <v>1709</v>
      </c>
      <c r="J196" s="572">
        <v>679.03</v>
      </c>
      <c r="K196" s="573" t="s">
        <v>716</v>
      </c>
      <c r="L196" s="572">
        <v>63174.04</v>
      </c>
      <c r="M196" s="571">
        <v>8.32</v>
      </c>
      <c r="N196" s="570">
        <v>525608</v>
      </c>
      <c r="V196" s="674"/>
      <c r="W196" s="675" t="s">
        <v>1708</v>
      </c>
      <c r="AB196" s="675"/>
      <c r="AD196" s="675"/>
      <c r="AF196" s="675"/>
      <c r="AG196" s="675"/>
    </row>
    <row r="197" spans="1:33" s="536" customFormat="1" ht="12" x14ac:dyDescent="0.2">
      <c r="A197" s="569"/>
      <c r="B197" s="683"/>
      <c r="C197" s="689" t="s">
        <v>1658</v>
      </c>
      <c r="D197" s="690"/>
      <c r="E197" s="690"/>
      <c r="F197" s="563"/>
      <c r="G197" s="563"/>
      <c r="H197" s="563"/>
      <c r="I197" s="563"/>
      <c r="J197" s="566"/>
      <c r="K197" s="563"/>
      <c r="L197" s="566"/>
      <c r="M197" s="565"/>
      <c r="N197" s="564"/>
      <c r="V197" s="674"/>
      <c r="W197" s="675"/>
      <c r="AB197" s="675"/>
      <c r="AD197" s="675"/>
      <c r="AF197" s="675"/>
      <c r="AG197" s="675"/>
    </row>
    <row r="198" spans="1:33" s="536" customFormat="1" ht="12" x14ac:dyDescent="0.2">
      <c r="A198" s="676"/>
      <c r="B198" s="682"/>
      <c r="C198" s="1822" t="s">
        <v>1710</v>
      </c>
      <c r="D198" s="1822"/>
      <c r="E198" s="1822"/>
      <c r="F198" s="1822"/>
      <c r="G198" s="1822"/>
      <c r="H198" s="1822"/>
      <c r="I198" s="1822"/>
      <c r="J198" s="1822"/>
      <c r="K198" s="1822"/>
      <c r="L198" s="1822"/>
      <c r="M198" s="1822"/>
      <c r="N198" s="1827"/>
      <c r="V198" s="674"/>
      <c r="W198" s="675"/>
      <c r="AB198" s="675"/>
      <c r="AC198" s="537" t="s">
        <v>1710</v>
      </c>
      <c r="AD198" s="675"/>
      <c r="AF198" s="675"/>
      <c r="AG198" s="675"/>
    </row>
    <row r="199" spans="1:33" s="536" customFormat="1" ht="22.5" x14ac:dyDescent="0.2">
      <c r="A199" s="609"/>
      <c r="B199" s="552" t="s">
        <v>718</v>
      </c>
      <c r="C199" s="1822" t="s">
        <v>719</v>
      </c>
      <c r="D199" s="1822"/>
      <c r="E199" s="1822"/>
      <c r="F199" s="1822"/>
      <c r="G199" s="1822"/>
      <c r="H199" s="1822"/>
      <c r="I199" s="1822"/>
      <c r="J199" s="1822"/>
      <c r="K199" s="1822"/>
      <c r="L199" s="1822"/>
      <c r="M199" s="1822"/>
      <c r="N199" s="1827"/>
      <c r="V199" s="674"/>
      <c r="W199" s="675"/>
      <c r="X199" s="537" t="s">
        <v>719</v>
      </c>
      <c r="AB199" s="675"/>
      <c r="AD199" s="675"/>
      <c r="AF199" s="675"/>
      <c r="AG199" s="675"/>
    </row>
    <row r="200" spans="1:33" s="536" customFormat="1" ht="33.75" x14ac:dyDescent="0.2">
      <c r="A200" s="575" t="s">
        <v>430</v>
      </c>
      <c r="B200" s="684" t="s">
        <v>1711</v>
      </c>
      <c r="C200" s="1823" t="s">
        <v>1712</v>
      </c>
      <c r="D200" s="1823"/>
      <c r="E200" s="1823"/>
      <c r="F200" s="573" t="s">
        <v>617</v>
      </c>
      <c r="G200" s="573"/>
      <c r="H200" s="573"/>
      <c r="I200" s="573" t="s">
        <v>774</v>
      </c>
      <c r="J200" s="572">
        <v>379.81</v>
      </c>
      <c r="K200" s="573" t="s">
        <v>716</v>
      </c>
      <c r="L200" s="572">
        <v>1955.65</v>
      </c>
      <c r="M200" s="571">
        <v>8.32</v>
      </c>
      <c r="N200" s="570">
        <v>16271</v>
      </c>
      <c r="V200" s="674"/>
      <c r="W200" s="675" t="s">
        <v>1712</v>
      </c>
      <c r="AB200" s="675"/>
      <c r="AD200" s="675"/>
      <c r="AF200" s="675"/>
      <c r="AG200" s="675"/>
    </row>
    <row r="201" spans="1:33" s="536" customFormat="1" ht="12" x14ac:dyDescent="0.2">
      <c r="A201" s="569"/>
      <c r="B201" s="683"/>
      <c r="C201" s="689" t="s">
        <v>1658</v>
      </c>
      <c r="D201" s="690"/>
      <c r="E201" s="690"/>
      <c r="F201" s="563"/>
      <c r="G201" s="563"/>
      <c r="H201" s="563"/>
      <c r="I201" s="563"/>
      <c r="J201" s="566"/>
      <c r="K201" s="563"/>
      <c r="L201" s="566"/>
      <c r="M201" s="565"/>
      <c r="N201" s="564"/>
      <c r="V201" s="674"/>
      <c r="W201" s="675"/>
      <c r="AB201" s="675"/>
      <c r="AD201" s="675"/>
      <c r="AF201" s="675"/>
      <c r="AG201" s="675"/>
    </row>
    <row r="202" spans="1:33" s="536" customFormat="1" ht="22.5" x14ac:dyDescent="0.2">
      <c r="A202" s="609"/>
      <c r="B202" s="552" t="s">
        <v>718</v>
      </c>
      <c r="C202" s="1822" t="s">
        <v>719</v>
      </c>
      <c r="D202" s="1822"/>
      <c r="E202" s="1822"/>
      <c r="F202" s="1822"/>
      <c r="G202" s="1822"/>
      <c r="H202" s="1822"/>
      <c r="I202" s="1822"/>
      <c r="J202" s="1822"/>
      <c r="K202" s="1822"/>
      <c r="L202" s="1822"/>
      <c r="M202" s="1822"/>
      <c r="N202" s="1827"/>
      <c r="V202" s="674"/>
      <c r="W202" s="675"/>
      <c r="X202" s="537" t="s">
        <v>719</v>
      </c>
      <c r="AB202" s="675"/>
      <c r="AD202" s="675"/>
      <c r="AF202" s="675"/>
      <c r="AG202" s="675"/>
    </row>
    <row r="203" spans="1:33" s="536" customFormat="1" ht="33.75" x14ac:dyDescent="0.2">
      <c r="A203" s="575" t="s">
        <v>436</v>
      </c>
      <c r="B203" s="684" t="s">
        <v>1713</v>
      </c>
      <c r="C203" s="1823" t="s">
        <v>1714</v>
      </c>
      <c r="D203" s="1823"/>
      <c r="E203" s="1823"/>
      <c r="F203" s="573" t="s">
        <v>617</v>
      </c>
      <c r="G203" s="573"/>
      <c r="H203" s="573"/>
      <c r="I203" s="573" t="s">
        <v>769</v>
      </c>
      <c r="J203" s="572">
        <v>650.20000000000005</v>
      </c>
      <c r="K203" s="573" t="s">
        <v>716</v>
      </c>
      <c r="L203" s="572">
        <v>2869.59</v>
      </c>
      <c r="M203" s="571">
        <v>8.32</v>
      </c>
      <c r="N203" s="570">
        <v>23875</v>
      </c>
      <c r="V203" s="674"/>
      <c r="W203" s="675" t="s">
        <v>1714</v>
      </c>
      <c r="AB203" s="675"/>
      <c r="AD203" s="675"/>
      <c r="AF203" s="675"/>
      <c r="AG203" s="675"/>
    </row>
    <row r="204" spans="1:33" s="536" customFormat="1" ht="12" x14ac:dyDescent="0.2">
      <c r="A204" s="569"/>
      <c r="B204" s="683"/>
      <c r="C204" s="689" t="s">
        <v>1658</v>
      </c>
      <c r="D204" s="690"/>
      <c r="E204" s="690"/>
      <c r="F204" s="563"/>
      <c r="G204" s="563"/>
      <c r="H204" s="563"/>
      <c r="I204" s="563"/>
      <c r="J204" s="566"/>
      <c r="K204" s="563"/>
      <c r="L204" s="566"/>
      <c r="M204" s="565"/>
      <c r="N204" s="564"/>
      <c r="V204" s="674"/>
      <c r="W204" s="675"/>
      <c r="AB204" s="675"/>
      <c r="AD204" s="675"/>
      <c r="AF204" s="675"/>
      <c r="AG204" s="675"/>
    </row>
    <row r="205" spans="1:33" s="536" customFormat="1" ht="22.5" x14ac:dyDescent="0.2">
      <c r="A205" s="609"/>
      <c r="B205" s="552" t="s">
        <v>718</v>
      </c>
      <c r="C205" s="1822" t="s">
        <v>719</v>
      </c>
      <c r="D205" s="1822"/>
      <c r="E205" s="1822"/>
      <c r="F205" s="1822"/>
      <c r="G205" s="1822"/>
      <c r="H205" s="1822"/>
      <c r="I205" s="1822"/>
      <c r="J205" s="1822"/>
      <c r="K205" s="1822"/>
      <c r="L205" s="1822"/>
      <c r="M205" s="1822"/>
      <c r="N205" s="1827"/>
      <c r="V205" s="674"/>
      <c r="W205" s="675"/>
      <c r="X205" s="537" t="s">
        <v>719</v>
      </c>
      <c r="AB205" s="675"/>
      <c r="AD205" s="675"/>
      <c r="AF205" s="675"/>
      <c r="AG205" s="675"/>
    </row>
    <row r="206" spans="1:33" s="536" customFormat="1" ht="56.25" x14ac:dyDescent="0.2">
      <c r="A206" s="575" t="s">
        <v>733</v>
      </c>
      <c r="B206" s="684" t="s">
        <v>1680</v>
      </c>
      <c r="C206" s="1823" t="s">
        <v>1681</v>
      </c>
      <c r="D206" s="1823"/>
      <c r="E206" s="1823"/>
      <c r="F206" s="573" t="s">
        <v>1110</v>
      </c>
      <c r="G206" s="573"/>
      <c r="H206" s="573"/>
      <c r="I206" s="573" t="s">
        <v>1715</v>
      </c>
      <c r="J206" s="572"/>
      <c r="K206" s="573"/>
      <c r="L206" s="572"/>
      <c r="M206" s="571"/>
      <c r="N206" s="570"/>
      <c r="V206" s="674"/>
      <c r="W206" s="675" t="s">
        <v>1681</v>
      </c>
      <c r="AB206" s="675"/>
      <c r="AD206" s="675"/>
      <c r="AF206" s="675"/>
      <c r="AG206" s="675"/>
    </row>
    <row r="207" spans="1:33" s="536" customFormat="1" ht="12" x14ac:dyDescent="0.2">
      <c r="A207" s="676"/>
      <c r="B207" s="682"/>
      <c r="C207" s="1822" t="s">
        <v>1716</v>
      </c>
      <c r="D207" s="1822"/>
      <c r="E207" s="1822"/>
      <c r="F207" s="1822"/>
      <c r="G207" s="1822"/>
      <c r="H207" s="1822"/>
      <c r="I207" s="1822"/>
      <c r="J207" s="1822"/>
      <c r="K207" s="1822"/>
      <c r="L207" s="1822"/>
      <c r="M207" s="1822"/>
      <c r="N207" s="1827"/>
      <c r="V207" s="674"/>
      <c r="W207" s="675"/>
      <c r="AB207" s="675"/>
      <c r="AC207" s="537" t="s">
        <v>1716</v>
      </c>
      <c r="AD207" s="675"/>
      <c r="AF207" s="675"/>
      <c r="AG207" s="675"/>
    </row>
    <row r="208" spans="1:33" s="536" customFormat="1" ht="33.75" x14ac:dyDescent="0.2">
      <c r="A208" s="609"/>
      <c r="B208" s="552" t="s">
        <v>310</v>
      </c>
      <c r="C208" s="1822" t="s">
        <v>311</v>
      </c>
      <c r="D208" s="1822"/>
      <c r="E208" s="1822"/>
      <c r="F208" s="1822"/>
      <c r="G208" s="1822"/>
      <c r="H208" s="1822"/>
      <c r="I208" s="1822"/>
      <c r="J208" s="1822"/>
      <c r="K208" s="1822"/>
      <c r="L208" s="1822"/>
      <c r="M208" s="1822"/>
      <c r="N208" s="1827"/>
      <c r="V208" s="674"/>
      <c r="W208" s="675"/>
      <c r="X208" s="537" t="s">
        <v>311</v>
      </c>
      <c r="AB208" s="675"/>
      <c r="AD208" s="675"/>
      <c r="AF208" s="675"/>
      <c r="AG208" s="675"/>
    </row>
    <row r="209" spans="1:33" s="536" customFormat="1" ht="12" x14ac:dyDescent="0.2">
      <c r="A209" s="605"/>
      <c r="B209" s="552" t="s">
        <v>185</v>
      </c>
      <c r="C209" s="1822" t="s">
        <v>312</v>
      </c>
      <c r="D209" s="1822"/>
      <c r="E209" s="1822"/>
      <c r="F209" s="562"/>
      <c r="G209" s="562"/>
      <c r="H209" s="562"/>
      <c r="I209" s="562"/>
      <c r="J209" s="604">
        <v>50.67</v>
      </c>
      <c r="K209" s="562" t="s">
        <v>313</v>
      </c>
      <c r="L209" s="604">
        <v>45.6</v>
      </c>
      <c r="M209" s="603"/>
      <c r="N209" s="602"/>
      <c r="V209" s="674"/>
      <c r="W209" s="675"/>
      <c r="Y209" s="537" t="s">
        <v>312</v>
      </c>
      <c r="AB209" s="675"/>
      <c r="AD209" s="675"/>
      <c r="AF209" s="675"/>
      <c r="AG209" s="675"/>
    </row>
    <row r="210" spans="1:33" s="536" customFormat="1" ht="12" x14ac:dyDescent="0.2">
      <c r="A210" s="605"/>
      <c r="B210" s="552" t="s">
        <v>186</v>
      </c>
      <c r="C210" s="1822" t="s">
        <v>344</v>
      </c>
      <c r="D210" s="1822"/>
      <c r="E210" s="1822"/>
      <c r="F210" s="562"/>
      <c r="G210" s="562"/>
      <c r="H210" s="562"/>
      <c r="I210" s="562"/>
      <c r="J210" s="604">
        <v>3.62</v>
      </c>
      <c r="K210" s="562" t="s">
        <v>313</v>
      </c>
      <c r="L210" s="604">
        <v>3.26</v>
      </c>
      <c r="M210" s="603"/>
      <c r="N210" s="602"/>
      <c r="V210" s="674"/>
      <c r="W210" s="675"/>
      <c r="Y210" s="537" t="s">
        <v>344</v>
      </c>
      <c r="AB210" s="675"/>
      <c r="AD210" s="675"/>
      <c r="AF210" s="675"/>
      <c r="AG210" s="675"/>
    </row>
    <row r="211" spans="1:33" s="536" customFormat="1" ht="12" x14ac:dyDescent="0.2">
      <c r="A211" s="605"/>
      <c r="B211" s="552" t="s">
        <v>187</v>
      </c>
      <c r="C211" s="1822" t="s">
        <v>345</v>
      </c>
      <c r="D211" s="1822"/>
      <c r="E211" s="1822"/>
      <c r="F211" s="562"/>
      <c r="G211" s="562"/>
      <c r="H211" s="562"/>
      <c r="I211" s="562"/>
      <c r="J211" s="604">
        <v>0.5</v>
      </c>
      <c r="K211" s="562" t="s">
        <v>313</v>
      </c>
      <c r="L211" s="604">
        <v>0.45</v>
      </c>
      <c r="M211" s="603"/>
      <c r="N211" s="602"/>
      <c r="V211" s="674"/>
      <c r="W211" s="675"/>
      <c r="Y211" s="537" t="s">
        <v>345</v>
      </c>
      <c r="AB211" s="675"/>
      <c r="AD211" s="675"/>
      <c r="AF211" s="675"/>
      <c r="AG211" s="675"/>
    </row>
    <row r="212" spans="1:33" s="536" customFormat="1" ht="12" x14ac:dyDescent="0.2">
      <c r="A212" s="605"/>
      <c r="B212" s="552" t="s">
        <v>188</v>
      </c>
      <c r="C212" s="1822" t="s">
        <v>475</v>
      </c>
      <c r="D212" s="1822"/>
      <c r="E212" s="1822"/>
      <c r="F212" s="562"/>
      <c r="G212" s="562"/>
      <c r="H212" s="562"/>
      <c r="I212" s="562"/>
      <c r="J212" s="604">
        <v>14.48</v>
      </c>
      <c r="K212" s="562"/>
      <c r="L212" s="604">
        <v>10.43</v>
      </c>
      <c r="M212" s="603"/>
      <c r="N212" s="602"/>
      <c r="V212" s="674"/>
      <c r="W212" s="675"/>
      <c r="Y212" s="537" t="s">
        <v>475</v>
      </c>
      <c r="AB212" s="675"/>
      <c r="AD212" s="675"/>
      <c r="AF212" s="675"/>
      <c r="AG212" s="675"/>
    </row>
    <row r="213" spans="1:33" s="536" customFormat="1" ht="12" x14ac:dyDescent="0.2">
      <c r="A213" s="605"/>
      <c r="B213" s="552"/>
      <c r="C213" s="1822" t="s">
        <v>314</v>
      </c>
      <c r="D213" s="1822"/>
      <c r="E213" s="1822"/>
      <c r="F213" s="562" t="s">
        <v>315</v>
      </c>
      <c r="G213" s="562" t="s">
        <v>1682</v>
      </c>
      <c r="H213" s="562" t="s">
        <v>313</v>
      </c>
      <c r="I213" s="562" t="s">
        <v>1717</v>
      </c>
      <c r="J213" s="604"/>
      <c r="K213" s="562"/>
      <c r="L213" s="604"/>
      <c r="M213" s="603"/>
      <c r="N213" s="602"/>
      <c r="V213" s="674"/>
      <c r="W213" s="675"/>
      <c r="Z213" s="537" t="s">
        <v>314</v>
      </c>
      <c r="AB213" s="675"/>
      <c r="AD213" s="675"/>
      <c r="AF213" s="675"/>
      <c r="AG213" s="675"/>
    </row>
    <row r="214" spans="1:33" s="536" customFormat="1" ht="12" x14ac:dyDescent="0.2">
      <c r="A214" s="605"/>
      <c r="B214" s="552"/>
      <c r="C214" s="1822" t="s">
        <v>348</v>
      </c>
      <c r="D214" s="1822"/>
      <c r="E214" s="1822"/>
      <c r="F214" s="562" t="s">
        <v>315</v>
      </c>
      <c r="G214" s="562" t="s">
        <v>728</v>
      </c>
      <c r="H214" s="562" t="s">
        <v>313</v>
      </c>
      <c r="I214" s="562" t="s">
        <v>1718</v>
      </c>
      <c r="J214" s="604"/>
      <c r="K214" s="562"/>
      <c r="L214" s="604"/>
      <c r="M214" s="603"/>
      <c r="N214" s="602"/>
      <c r="V214" s="674"/>
      <c r="W214" s="675"/>
      <c r="Z214" s="537" t="s">
        <v>348</v>
      </c>
      <c r="AB214" s="675"/>
      <c r="AD214" s="675"/>
      <c r="AF214" s="675"/>
      <c r="AG214" s="675"/>
    </row>
    <row r="215" spans="1:33" s="536" customFormat="1" ht="12" x14ac:dyDescent="0.2">
      <c r="A215" s="605"/>
      <c r="B215" s="552"/>
      <c r="C215" s="1828" t="s">
        <v>318</v>
      </c>
      <c r="D215" s="1828"/>
      <c r="E215" s="1828"/>
      <c r="F215" s="608"/>
      <c r="G215" s="608"/>
      <c r="H215" s="608"/>
      <c r="I215" s="608"/>
      <c r="J215" s="607">
        <v>68.77</v>
      </c>
      <c r="K215" s="608"/>
      <c r="L215" s="607">
        <v>59.29</v>
      </c>
      <c r="M215" s="601"/>
      <c r="N215" s="606"/>
      <c r="V215" s="674"/>
      <c r="W215" s="675"/>
      <c r="AA215" s="537" t="s">
        <v>318</v>
      </c>
      <c r="AB215" s="675"/>
      <c r="AD215" s="675"/>
      <c r="AF215" s="675"/>
      <c r="AG215" s="675"/>
    </row>
    <row r="216" spans="1:33" s="536" customFormat="1" ht="12" x14ac:dyDescent="0.2">
      <c r="A216" s="605"/>
      <c r="B216" s="552"/>
      <c r="C216" s="1822" t="s">
        <v>319</v>
      </c>
      <c r="D216" s="1822"/>
      <c r="E216" s="1822"/>
      <c r="F216" s="562"/>
      <c r="G216" s="562"/>
      <c r="H216" s="562"/>
      <c r="I216" s="562"/>
      <c r="J216" s="604"/>
      <c r="K216" s="562"/>
      <c r="L216" s="604">
        <v>46.05</v>
      </c>
      <c r="M216" s="603"/>
      <c r="N216" s="602"/>
      <c r="V216" s="674"/>
      <c r="W216" s="675"/>
      <c r="Z216" s="537" t="s">
        <v>319</v>
      </c>
      <c r="AB216" s="675"/>
      <c r="AD216" s="675"/>
      <c r="AF216" s="675"/>
      <c r="AG216" s="675"/>
    </row>
    <row r="217" spans="1:33" s="536" customFormat="1" ht="33.75" x14ac:dyDescent="0.2">
      <c r="A217" s="605"/>
      <c r="B217" s="552" t="s">
        <v>1631</v>
      </c>
      <c r="C217" s="1822" t="s">
        <v>1632</v>
      </c>
      <c r="D217" s="1822"/>
      <c r="E217" s="1822"/>
      <c r="F217" s="562" t="s">
        <v>322</v>
      </c>
      <c r="G217" s="562" t="s">
        <v>1633</v>
      </c>
      <c r="H217" s="562"/>
      <c r="I217" s="562" t="s">
        <v>1633</v>
      </c>
      <c r="J217" s="604"/>
      <c r="K217" s="562"/>
      <c r="L217" s="604">
        <v>44.67</v>
      </c>
      <c r="M217" s="603"/>
      <c r="N217" s="602"/>
      <c r="V217" s="674"/>
      <c r="W217" s="675"/>
      <c r="Z217" s="537" t="s">
        <v>1632</v>
      </c>
      <c r="AB217" s="675"/>
      <c r="AD217" s="675"/>
      <c r="AF217" s="675"/>
      <c r="AG217" s="675"/>
    </row>
    <row r="218" spans="1:33" s="536" customFormat="1" ht="33.75" x14ac:dyDescent="0.2">
      <c r="A218" s="605"/>
      <c r="B218" s="552" t="s">
        <v>1634</v>
      </c>
      <c r="C218" s="1822" t="s">
        <v>1635</v>
      </c>
      <c r="D218" s="1822"/>
      <c r="E218" s="1822"/>
      <c r="F218" s="562" t="s">
        <v>322</v>
      </c>
      <c r="G218" s="562" t="s">
        <v>786</v>
      </c>
      <c r="H218" s="562"/>
      <c r="I218" s="562" t="s">
        <v>786</v>
      </c>
      <c r="J218" s="604"/>
      <c r="K218" s="562"/>
      <c r="L218" s="604">
        <v>23.49</v>
      </c>
      <c r="M218" s="603"/>
      <c r="N218" s="602"/>
      <c r="V218" s="674"/>
      <c r="W218" s="675"/>
      <c r="Z218" s="537" t="s">
        <v>1635</v>
      </c>
      <c r="AB218" s="675"/>
      <c r="AD218" s="675"/>
      <c r="AF218" s="675"/>
      <c r="AG218" s="675"/>
    </row>
    <row r="219" spans="1:33" s="536" customFormat="1" ht="12" x14ac:dyDescent="0.2">
      <c r="A219" s="569"/>
      <c r="B219" s="683"/>
      <c r="C219" s="1823" t="s">
        <v>327</v>
      </c>
      <c r="D219" s="1823"/>
      <c r="E219" s="1823"/>
      <c r="F219" s="573"/>
      <c r="G219" s="573"/>
      <c r="H219" s="573"/>
      <c r="I219" s="573"/>
      <c r="J219" s="572"/>
      <c r="K219" s="573"/>
      <c r="L219" s="572">
        <v>127.45</v>
      </c>
      <c r="M219" s="601"/>
      <c r="N219" s="570"/>
      <c r="V219" s="674"/>
      <c r="W219" s="675"/>
      <c r="AB219" s="675" t="s">
        <v>327</v>
      </c>
      <c r="AD219" s="675"/>
      <c r="AF219" s="675"/>
      <c r="AG219" s="675"/>
    </row>
    <row r="220" spans="1:33" s="536" customFormat="1" ht="33.75" x14ac:dyDescent="0.2">
      <c r="A220" s="575" t="s">
        <v>736</v>
      </c>
      <c r="B220" s="684" t="s">
        <v>1719</v>
      </c>
      <c r="C220" s="1823" t="s">
        <v>1720</v>
      </c>
      <c r="D220" s="1823"/>
      <c r="E220" s="1823"/>
      <c r="F220" s="573" t="s">
        <v>483</v>
      </c>
      <c r="G220" s="573"/>
      <c r="H220" s="573"/>
      <c r="I220" s="573" t="s">
        <v>1721</v>
      </c>
      <c r="J220" s="572">
        <v>253.2</v>
      </c>
      <c r="K220" s="573" t="s">
        <v>716</v>
      </c>
      <c r="L220" s="572">
        <v>2279.69</v>
      </c>
      <c r="M220" s="571">
        <v>8.32</v>
      </c>
      <c r="N220" s="570">
        <v>18967</v>
      </c>
      <c r="V220" s="674"/>
      <c r="W220" s="675" t="s">
        <v>1720</v>
      </c>
      <c r="AB220" s="675"/>
      <c r="AD220" s="675"/>
      <c r="AF220" s="675"/>
      <c r="AG220" s="675"/>
    </row>
    <row r="221" spans="1:33" s="536" customFormat="1" ht="12" x14ac:dyDescent="0.2">
      <c r="A221" s="569"/>
      <c r="B221" s="683"/>
      <c r="C221" s="689" t="s">
        <v>1658</v>
      </c>
      <c r="D221" s="690"/>
      <c r="E221" s="690"/>
      <c r="F221" s="563"/>
      <c r="G221" s="563"/>
      <c r="H221" s="563"/>
      <c r="I221" s="563"/>
      <c r="J221" s="566"/>
      <c r="K221" s="563"/>
      <c r="L221" s="566"/>
      <c r="M221" s="565"/>
      <c r="N221" s="564"/>
      <c r="V221" s="674"/>
      <c r="W221" s="675"/>
      <c r="AB221" s="675"/>
      <c r="AD221" s="675"/>
      <c r="AF221" s="675"/>
      <c r="AG221" s="675"/>
    </row>
    <row r="222" spans="1:33" s="536" customFormat="1" ht="12" x14ac:dyDescent="0.2">
      <c r="A222" s="676"/>
      <c r="B222" s="682"/>
      <c r="C222" s="1822" t="s">
        <v>1722</v>
      </c>
      <c r="D222" s="1822"/>
      <c r="E222" s="1822"/>
      <c r="F222" s="1822"/>
      <c r="G222" s="1822"/>
      <c r="H222" s="1822"/>
      <c r="I222" s="1822"/>
      <c r="J222" s="1822"/>
      <c r="K222" s="1822"/>
      <c r="L222" s="1822"/>
      <c r="M222" s="1822"/>
      <c r="N222" s="1827"/>
      <c r="V222" s="674"/>
      <c r="W222" s="675"/>
      <c r="AB222" s="675"/>
      <c r="AC222" s="537" t="s">
        <v>1722</v>
      </c>
      <c r="AD222" s="675"/>
      <c r="AF222" s="675"/>
      <c r="AG222" s="675"/>
    </row>
    <row r="223" spans="1:33" s="536" customFormat="1" ht="22.5" x14ac:dyDescent="0.2">
      <c r="A223" s="609"/>
      <c r="B223" s="552" t="s">
        <v>718</v>
      </c>
      <c r="C223" s="1822" t="s">
        <v>719</v>
      </c>
      <c r="D223" s="1822"/>
      <c r="E223" s="1822"/>
      <c r="F223" s="1822"/>
      <c r="G223" s="1822"/>
      <c r="H223" s="1822"/>
      <c r="I223" s="1822"/>
      <c r="J223" s="1822"/>
      <c r="K223" s="1822"/>
      <c r="L223" s="1822"/>
      <c r="M223" s="1822"/>
      <c r="N223" s="1827"/>
      <c r="V223" s="674"/>
      <c r="W223" s="675"/>
      <c r="X223" s="537" t="s">
        <v>719</v>
      </c>
      <c r="AB223" s="675"/>
      <c r="AD223" s="675"/>
      <c r="AF223" s="675"/>
      <c r="AG223" s="675"/>
    </row>
    <row r="224" spans="1:33" s="536" customFormat="1" ht="45" x14ac:dyDescent="0.2">
      <c r="A224" s="575" t="s">
        <v>1067</v>
      </c>
      <c r="B224" s="684" t="s">
        <v>1668</v>
      </c>
      <c r="C224" s="1823" t="s">
        <v>1669</v>
      </c>
      <c r="D224" s="1823"/>
      <c r="E224" s="1823"/>
      <c r="F224" s="573" t="s">
        <v>1110</v>
      </c>
      <c r="G224" s="573"/>
      <c r="H224" s="573"/>
      <c r="I224" s="573" t="s">
        <v>1715</v>
      </c>
      <c r="J224" s="572"/>
      <c r="K224" s="573"/>
      <c r="L224" s="572"/>
      <c r="M224" s="571"/>
      <c r="N224" s="570"/>
      <c r="V224" s="674"/>
      <c r="W224" s="675" t="s">
        <v>1669</v>
      </c>
      <c r="AB224" s="675"/>
      <c r="AD224" s="675"/>
      <c r="AF224" s="675"/>
      <c r="AG224" s="675"/>
    </row>
    <row r="225" spans="1:33" s="536" customFormat="1" ht="12" x14ac:dyDescent="0.2">
      <c r="A225" s="676"/>
      <c r="B225" s="682"/>
      <c r="C225" s="1822" t="s">
        <v>1716</v>
      </c>
      <c r="D225" s="1822"/>
      <c r="E225" s="1822"/>
      <c r="F225" s="1822"/>
      <c r="G225" s="1822"/>
      <c r="H225" s="1822"/>
      <c r="I225" s="1822"/>
      <c r="J225" s="1822"/>
      <c r="K225" s="1822"/>
      <c r="L225" s="1822"/>
      <c r="M225" s="1822"/>
      <c r="N225" s="1827"/>
      <c r="V225" s="674"/>
      <c r="W225" s="675"/>
      <c r="AB225" s="675"/>
      <c r="AC225" s="537" t="s">
        <v>1716</v>
      </c>
      <c r="AD225" s="675"/>
      <c r="AF225" s="675"/>
      <c r="AG225" s="675"/>
    </row>
    <row r="226" spans="1:33" s="536" customFormat="1" ht="33.75" x14ac:dyDescent="0.2">
      <c r="A226" s="609"/>
      <c r="B226" s="552" t="s">
        <v>310</v>
      </c>
      <c r="C226" s="1822" t="s">
        <v>311</v>
      </c>
      <c r="D226" s="1822"/>
      <c r="E226" s="1822"/>
      <c r="F226" s="1822"/>
      <c r="G226" s="1822"/>
      <c r="H226" s="1822"/>
      <c r="I226" s="1822"/>
      <c r="J226" s="1822"/>
      <c r="K226" s="1822"/>
      <c r="L226" s="1822"/>
      <c r="M226" s="1822"/>
      <c r="N226" s="1827"/>
      <c r="V226" s="674"/>
      <c r="W226" s="675"/>
      <c r="X226" s="537" t="s">
        <v>311</v>
      </c>
      <c r="AB226" s="675"/>
      <c r="AD226" s="675"/>
      <c r="AF226" s="675"/>
      <c r="AG226" s="675"/>
    </row>
    <row r="227" spans="1:33" s="536" customFormat="1" ht="12" x14ac:dyDescent="0.2">
      <c r="A227" s="605"/>
      <c r="B227" s="552" t="s">
        <v>185</v>
      </c>
      <c r="C227" s="1822" t="s">
        <v>312</v>
      </c>
      <c r="D227" s="1822"/>
      <c r="E227" s="1822"/>
      <c r="F227" s="562"/>
      <c r="G227" s="562"/>
      <c r="H227" s="562"/>
      <c r="I227" s="562"/>
      <c r="J227" s="604">
        <v>139.54</v>
      </c>
      <c r="K227" s="562" t="s">
        <v>313</v>
      </c>
      <c r="L227" s="604">
        <v>125.59</v>
      </c>
      <c r="M227" s="603"/>
      <c r="N227" s="602"/>
      <c r="V227" s="674"/>
      <c r="W227" s="675"/>
      <c r="Y227" s="537" t="s">
        <v>312</v>
      </c>
      <c r="AB227" s="675"/>
      <c r="AD227" s="675"/>
      <c r="AF227" s="675"/>
      <c r="AG227" s="675"/>
    </row>
    <row r="228" spans="1:33" s="536" customFormat="1" ht="12" x14ac:dyDescent="0.2">
      <c r="A228" s="605"/>
      <c r="B228" s="552" t="s">
        <v>188</v>
      </c>
      <c r="C228" s="1822" t="s">
        <v>475</v>
      </c>
      <c r="D228" s="1822"/>
      <c r="E228" s="1822"/>
      <c r="F228" s="562"/>
      <c r="G228" s="562"/>
      <c r="H228" s="562"/>
      <c r="I228" s="562"/>
      <c r="J228" s="604">
        <v>16.79</v>
      </c>
      <c r="K228" s="562"/>
      <c r="L228" s="604">
        <v>12.09</v>
      </c>
      <c r="M228" s="603"/>
      <c r="N228" s="602"/>
      <c r="V228" s="674"/>
      <c r="W228" s="675"/>
      <c r="Y228" s="537" t="s">
        <v>475</v>
      </c>
      <c r="AB228" s="675"/>
      <c r="AD228" s="675"/>
      <c r="AF228" s="675"/>
      <c r="AG228" s="675"/>
    </row>
    <row r="229" spans="1:33" s="536" customFormat="1" ht="12" x14ac:dyDescent="0.2">
      <c r="A229" s="605"/>
      <c r="B229" s="552"/>
      <c r="C229" s="1822" t="s">
        <v>314</v>
      </c>
      <c r="D229" s="1822"/>
      <c r="E229" s="1822"/>
      <c r="F229" s="562" t="s">
        <v>315</v>
      </c>
      <c r="G229" s="562" t="s">
        <v>1671</v>
      </c>
      <c r="H229" s="562" t="s">
        <v>313</v>
      </c>
      <c r="I229" s="562" t="s">
        <v>1723</v>
      </c>
      <c r="J229" s="604"/>
      <c r="K229" s="562"/>
      <c r="L229" s="604"/>
      <c r="M229" s="603"/>
      <c r="N229" s="602"/>
      <c r="V229" s="674"/>
      <c r="W229" s="675"/>
      <c r="Z229" s="537" t="s">
        <v>314</v>
      </c>
      <c r="AB229" s="675"/>
      <c r="AD229" s="675"/>
      <c r="AF229" s="675"/>
      <c r="AG229" s="675"/>
    </row>
    <row r="230" spans="1:33" s="536" customFormat="1" ht="12" x14ac:dyDescent="0.2">
      <c r="A230" s="605"/>
      <c r="B230" s="552"/>
      <c r="C230" s="1828" t="s">
        <v>318</v>
      </c>
      <c r="D230" s="1828"/>
      <c r="E230" s="1828"/>
      <c r="F230" s="608"/>
      <c r="G230" s="608"/>
      <c r="H230" s="608"/>
      <c r="I230" s="608"/>
      <c r="J230" s="607">
        <v>156.33000000000001</v>
      </c>
      <c r="K230" s="608"/>
      <c r="L230" s="607">
        <v>137.68</v>
      </c>
      <c r="M230" s="601"/>
      <c r="N230" s="606"/>
      <c r="V230" s="674"/>
      <c r="W230" s="675"/>
      <c r="AA230" s="537" t="s">
        <v>318</v>
      </c>
      <c r="AB230" s="675"/>
      <c r="AD230" s="675"/>
      <c r="AF230" s="675"/>
      <c r="AG230" s="675"/>
    </row>
    <row r="231" spans="1:33" s="536" customFormat="1" ht="12" x14ac:dyDescent="0.2">
      <c r="A231" s="605"/>
      <c r="B231" s="552"/>
      <c r="C231" s="1822" t="s">
        <v>319</v>
      </c>
      <c r="D231" s="1822"/>
      <c r="E231" s="1822"/>
      <c r="F231" s="562"/>
      <c r="G231" s="562"/>
      <c r="H231" s="562"/>
      <c r="I231" s="562"/>
      <c r="J231" s="604"/>
      <c r="K231" s="562"/>
      <c r="L231" s="604">
        <v>125.59</v>
      </c>
      <c r="M231" s="603"/>
      <c r="N231" s="602"/>
      <c r="V231" s="674"/>
      <c r="W231" s="675"/>
      <c r="Z231" s="537" t="s">
        <v>319</v>
      </c>
      <c r="AB231" s="675"/>
      <c r="AD231" s="675"/>
      <c r="AF231" s="675"/>
      <c r="AG231" s="675"/>
    </row>
    <row r="232" spans="1:33" s="536" customFormat="1" ht="33.75" x14ac:dyDescent="0.2">
      <c r="A232" s="605"/>
      <c r="B232" s="552" t="s">
        <v>1631</v>
      </c>
      <c r="C232" s="1822" t="s">
        <v>1632</v>
      </c>
      <c r="D232" s="1822"/>
      <c r="E232" s="1822"/>
      <c r="F232" s="562" t="s">
        <v>322</v>
      </c>
      <c r="G232" s="562" t="s">
        <v>1633</v>
      </c>
      <c r="H232" s="562"/>
      <c r="I232" s="562" t="s">
        <v>1633</v>
      </c>
      <c r="J232" s="604"/>
      <c r="K232" s="562"/>
      <c r="L232" s="604">
        <v>121.82</v>
      </c>
      <c r="M232" s="603"/>
      <c r="N232" s="602"/>
      <c r="V232" s="674"/>
      <c r="W232" s="675"/>
      <c r="Z232" s="537" t="s">
        <v>1632</v>
      </c>
      <c r="AB232" s="675"/>
      <c r="AD232" s="675"/>
      <c r="AF232" s="675"/>
      <c r="AG232" s="675"/>
    </row>
    <row r="233" spans="1:33" s="536" customFormat="1" ht="33.75" x14ac:dyDescent="0.2">
      <c r="A233" s="605"/>
      <c r="B233" s="552" t="s">
        <v>1634</v>
      </c>
      <c r="C233" s="1822" t="s">
        <v>1635</v>
      </c>
      <c r="D233" s="1822"/>
      <c r="E233" s="1822"/>
      <c r="F233" s="562" t="s">
        <v>322</v>
      </c>
      <c r="G233" s="562" t="s">
        <v>786</v>
      </c>
      <c r="H233" s="562"/>
      <c r="I233" s="562" t="s">
        <v>786</v>
      </c>
      <c r="J233" s="604"/>
      <c r="K233" s="562"/>
      <c r="L233" s="604">
        <v>64.05</v>
      </c>
      <c r="M233" s="603"/>
      <c r="N233" s="602"/>
      <c r="V233" s="674"/>
      <c r="W233" s="675"/>
      <c r="Z233" s="537" t="s">
        <v>1635</v>
      </c>
      <c r="AB233" s="675"/>
      <c r="AD233" s="675"/>
      <c r="AF233" s="675"/>
      <c r="AG233" s="675"/>
    </row>
    <row r="234" spans="1:33" s="536" customFormat="1" ht="12" x14ac:dyDescent="0.2">
      <c r="A234" s="569"/>
      <c r="B234" s="683"/>
      <c r="C234" s="1823" t="s">
        <v>327</v>
      </c>
      <c r="D234" s="1823"/>
      <c r="E234" s="1823"/>
      <c r="F234" s="573"/>
      <c r="G234" s="573"/>
      <c r="H234" s="573"/>
      <c r="I234" s="573"/>
      <c r="J234" s="572"/>
      <c r="K234" s="573"/>
      <c r="L234" s="572">
        <v>323.55</v>
      </c>
      <c r="M234" s="601"/>
      <c r="N234" s="570"/>
      <c r="V234" s="674"/>
      <c r="W234" s="675"/>
      <c r="AB234" s="675" t="s">
        <v>327</v>
      </c>
      <c r="AD234" s="675"/>
      <c r="AF234" s="675"/>
      <c r="AG234" s="675"/>
    </row>
    <row r="235" spans="1:33" s="536" customFormat="1" ht="45" x14ac:dyDescent="0.2">
      <c r="A235" s="575" t="s">
        <v>912</v>
      </c>
      <c r="B235" s="684" t="s">
        <v>1724</v>
      </c>
      <c r="C235" s="1823" t="s">
        <v>1725</v>
      </c>
      <c r="D235" s="1823"/>
      <c r="E235" s="1823"/>
      <c r="F235" s="573" t="s">
        <v>483</v>
      </c>
      <c r="G235" s="573"/>
      <c r="H235" s="573"/>
      <c r="I235" s="573" t="s">
        <v>1721</v>
      </c>
      <c r="J235" s="572">
        <v>3</v>
      </c>
      <c r="K235" s="573"/>
      <c r="L235" s="572">
        <v>220.32</v>
      </c>
      <c r="M235" s="571"/>
      <c r="N235" s="570"/>
      <c r="V235" s="674"/>
      <c r="W235" s="675" t="s">
        <v>1725</v>
      </c>
      <c r="AB235" s="675"/>
      <c r="AD235" s="675"/>
      <c r="AF235" s="675"/>
      <c r="AG235" s="675"/>
    </row>
    <row r="236" spans="1:33" s="536" customFormat="1" ht="12" x14ac:dyDescent="0.2">
      <c r="A236" s="569"/>
      <c r="B236" s="683"/>
      <c r="C236" s="689" t="s">
        <v>1658</v>
      </c>
      <c r="D236" s="690"/>
      <c r="E236" s="690"/>
      <c r="F236" s="563"/>
      <c r="G236" s="563"/>
      <c r="H236" s="563"/>
      <c r="I236" s="563"/>
      <c r="J236" s="566"/>
      <c r="K236" s="563"/>
      <c r="L236" s="566"/>
      <c r="M236" s="565"/>
      <c r="N236" s="564"/>
      <c r="V236" s="674"/>
      <c r="W236" s="675"/>
      <c r="AB236" s="675"/>
      <c r="AD236" s="675"/>
      <c r="AF236" s="675"/>
      <c r="AG236" s="675"/>
    </row>
    <row r="237" spans="1:33" s="536" customFormat="1" ht="12" x14ac:dyDescent="0.2">
      <c r="A237" s="676"/>
      <c r="B237" s="682"/>
      <c r="C237" s="1822" t="s">
        <v>1722</v>
      </c>
      <c r="D237" s="1822"/>
      <c r="E237" s="1822"/>
      <c r="F237" s="1822"/>
      <c r="G237" s="1822"/>
      <c r="H237" s="1822"/>
      <c r="I237" s="1822"/>
      <c r="J237" s="1822"/>
      <c r="K237" s="1822"/>
      <c r="L237" s="1822"/>
      <c r="M237" s="1822"/>
      <c r="N237" s="1827"/>
      <c r="V237" s="674"/>
      <c r="W237" s="675"/>
      <c r="AB237" s="675"/>
      <c r="AC237" s="537" t="s">
        <v>1722</v>
      </c>
      <c r="AD237" s="675"/>
      <c r="AF237" s="675"/>
      <c r="AG237" s="675"/>
    </row>
    <row r="238" spans="1:33" s="536" customFormat="1" ht="12" x14ac:dyDescent="0.2">
      <c r="A238" s="575" t="s">
        <v>757</v>
      </c>
      <c r="B238" s="684" t="s">
        <v>1690</v>
      </c>
      <c r="C238" s="1823" t="s">
        <v>1691</v>
      </c>
      <c r="D238" s="1823"/>
      <c r="E238" s="1823"/>
      <c r="F238" s="573" t="s">
        <v>617</v>
      </c>
      <c r="G238" s="573"/>
      <c r="H238" s="573"/>
      <c r="I238" s="573" t="s">
        <v>430</v>
      </c>
      <c r="J238" s="572"/>
      <c r="K238" s="573"/>
      <c r="L238" s="572"/>
      <c r="M238" s="571"/>
      <c r="N238" s="570"/>
      <c r="V238" s="674"/>
      <c r="W238" s="675" t="s">
        <v>1691</v>
      </c>
      <c r="AB238" s="675"/>
      <c r="AD238" s="675"/>
      <c r="AF238" s="675"/>
      <c r="AG238" s="675"/>
    </row>
    <row r="239" spans="1:33" s="536" customFormat="1" ht="33.75" x14ac:dyDescent="0.2">
      <c r="A239" s="609"/>
      <c r="B239" s="552" t="s">
        <v>310</v>
      </c>
      <c r="C239" s="1822" t="s">
        <v>311</v>
      </c>
      <c r="D239" s="1822"/>
      <c r="E239" s="1822"/>
      <c r="F239" s="1822"/>
      <c r="G239" s="1822"/>
      <c r="H239" s="1822"/>
      <c r="I239" s="1822"/>
      <c r="J239" s="1822"/>
      <c r="K239" s="1822"/>
      <c r="L239" s="1822"/>
      <c r="M239" s="1822"/>
      <c r="N239" s="1827"/>
      <c r="V239" s="674"/>
      <c r="W239" s="675"/>
      <c r="X239" s="537" t="s">
        <v>311</v>
      </c>
      <c r="AB239" s="675"/>
      <c r="AD239" s="675"/>
      <c r="AF239" s="675"/>
      <c r="AG239" s="675"/>
    </row>
    <row r="240" spans="1:33" s="536" customFormat="1" ht="12" x14ac:dyDescent="0.2">
      <c r="A240" s="605"/>
      <c r="B240" s="552" t="s">
        <v>185</v>
      </c>
      <c r="C240" s="1822" t="s">
        <v>312</v>
      </c>
      <c r="D240" s="1822"/>
      <c r="E240" s="1822"/>
      <c r="F240" s="562"/>
      <c r="G240" s="562"/>
      <c r="H240" s="562"/>
      <c r="I240" s="562"/>
      <c r="J240" s="604">
        <v>4.88</v>
      </c>
      <c r="K240" s="562" t="s">
        <v>313</v>
      </c>
      <c r="L240" s="604">
        <v>109.8</v>
      </c>
      <c r="M240" s="603"/>
      <c r="N240" s="602"/>
      <c r="V240" s="674"/>
      <c r="W240" s="675"/>
      <c r="Y240" s="537" t="s">
        <v>312</v>
      </c>
      <c r="AB240" s="675"/>
      <c r="AD240" s="675"/>
      <c r="AF240" s="675"/>
      <c r="AG240" s="675"/>
    </row>
    <row r="241" spans="1:33" s="536" customFormat="1" ht="12" x14ac:dyDescent="0.2">
      <c r="A241" s="605"/>
      <c r="B241" s="552" t="s">
        <v>188</v>
      </c>
      <c r="C241" s="1822" t="s">
        <v>475</v>
      </c>
      <c r="D241" s="1822"/>
      <c r="E241" s="1822"/>
      <c r="F241" s="562"/>
      <c r="G241" s="562"/>
      <c r="H241" s="562"/>
      <c r="I241" s="562"/>
      <c r="J241" s="604">
        <v>0.41</v>
      </c>
      <c r="K241" s="562"/>
      <c r="L241" s="604">
        <v>7.38</v>
      </c>
      <c r="M241" s="603"/>
      <c r="N241" s="602"/>
      <c r="V241" s="674"/>
      <c r="W241" s="675"/>
      <c r="Y241" s="537" t="s">
        <v>475</v>
      </c>
      <c r="AB241" s="675"/>
      <c r="AD241" s="675"/>
      <c r="AF241" s="675"/>
      <c r="AG241" s="675"/>
    </row>
    <row r="242" spans="1:33" s="536" customFormat="1" ht="12" x14ac:dyDescent="0.2">
      <c r="A242" s="605"/>
      <c r="B242" s="552"/>
      <c r="C242" s="1822" t="s">
        <v>314</v>
      </c>
      <c r="D242" s="1822"/>
      <c r="E242" s="1822"/>
      <c r="F242" s="562" t="s">
        <v>315</v>
      </c>
      <c r="G242" s="562" t="s">
        <v>1692</v>
      </c>
      <c r="H242" s="562" t="s">
        <v>313</v>
      </c>
      <c r="I242" s="562" t="s">
        <v>1726</v>
      </c>
      <c r="J242" s="604"/>
      <c r="K242" s="562"/>
      <c r="L242" s="604"/>
      <c r="M242" s="603"/>
      <c r="N242" s="602"/>
      <c r="V242" s="674"/>
      <c r="W242" s="675"/>
      <c r="Z242" s="537" t="s">
        <v>314</v>
      </c>
      <c r="AB242" s="675"/>
      <c r="AD242" s="675"/>
      <c r="AF242" s="675"/>
      <c r="AG242" s="675"/>
    </row>
    <row r="243" spans="1:33" s="536" customFormat="1" ht="12" x14ac:dyDescent="0.2">
      <c r="A243" s="605"/>
      <c r="B243" s="552"/>
      <c r="C243" s="1828" t="s">
        <v>318</v>
      </c>
      <c r="D243" s="1828"/>
      <c r="E243" s="1828"/>
      <c r="F243" s="608"/>
      <c r="G243" s="608"/>
      <c r="H243" s="608"/>
      <c r="I243" s="608"/>
      <c r="J243" s="607">
        <v>5.29</v>
      </c>
      <c r="K243" s="608"/>
      <c r="L243" s="607">
        <v>117.18</v>
      </c>
      <c r="M243" s="601"/>
      <c r="N243" s="606"/>
      <c r="V243" s="674"/>
      <c r="W243" s="675"/>
      <c r="AA243" s="537" t="s">
        <v>318</v>
      </c>
      <c r="AB243" s="675"/>
      <c r="AD243" s="675"/>
      <c r="AF243" s="675"/>
      <c r="AG243" s="675"/>
    </row>
    <row r="244" spans="1:33" s="536" customFormat="1" ht="12" x14ac:dyDescent="0.2">
      <c r="A244" s="605"/>
      <c r="B244" s="552"/>
      <c r="C244" s="1822" t="s">
        <v>319</v>
      </c>
      <c r="D244" s="1822"/>
      <c r="E244" s="1822"/>
      <c r="F244" s="562"/>
      <c r="G244" s="562"/>
      <c r="H244" s="562"/>
      <c r="I244" s="562"/>
      <c r="J244" s="604"/>
      <c r="K244" s="562"/>
      <c r="L244" s="604">
        <v>109.8</v>
      </c>
      <c r="M244" s="603"/>
      <c r="N244" s="602"/>
      <c r="V244" s="674"/>
      <c r="W244" s="675"/>
      <c r="Z244" s="537" t="s">
        <v>319</v>
      </c>
      <c r="AB244" s="675"/>
      <c r="AD244" s="675"/>
      <c r="AF244" s="675"/>
      <c r="AG244" s="675"/>
    </row>
    <row r="245" spans="1:33" s="536" customFormat="1" ht="33.75" x14ac:dyDescent="0.2">
      <c r="A245" s="605"/>
      <c r="B245" s="552" t="s">
        <v>884</v>
      </c>
      <c r="C245" s="1822" t="s">
        <v>885</v>
      </c>
      <c r="D245" s="1822"/>
      <c r="E245" s="1822"/>
      <c r="F245" s="562" t="s">
        <v>322</v>
      </c>
      <c r="G245" s="562" t="s">
        <v>886</v>
      </c>
      <c r="H245" s="562"/>
      <c r="I245" s="562" t="s">
        <v>886</v>
      </c>
      <c r="J245" s="604"/>
      <c r="K245" s="562"/>
      <c r="L245" s="604">
        <v>98.82</v>
      </c>
      <c r="M245" s="603"/>
      <c r="N245" s="602"/>
      <c r="V245" s="674"/>
      <c r="W245" s="675"/>
      <c r="Z245" s="537" t="s">
        <v>885</v>
      </c>
      <c r="AB245" s="675"/>
      <c r="AD245" s="675"/>
      <c r="AF245" s="675"/>
      <c r="AG245" s="675"/>
    </row>
    <row r="246" spans="1:33" s="536" customFormat="1" ht="33.75" x14ac:dyDescent="0.2">
      <c r="A246" s="605"/>
      <c r="B246" s="552" t="s">
        <v>887</v>
      </c>
      <c r="C246" s="1822" t="s">
        <v>888</v>
      </c>
      <c r="D246" s="1822"/>
      <c r="E246" s="1822"/>
      <c r="F246" s="562" t="s">
        <v>322</v>
      </c>
      <c r="G246" s="562" t="s">
        <v>465</v>
      </c>
      <c r="H246" s="562"/>
      <c r="I246" s="562" t="s">
        <v>465</v>
      </c>
      <c r="J246" s="604"/>
      <c r="K246" s="562"/>
      <c r="L246" s="604">
        <v>50.51</v>
      </c>
      <c r="M246" s="603"/>
      <c r="N246" s="602"/>
      <c r="V246" s="674"/>
      <c r="W246" s="675"/>
      <c r="Z246" s="537" t="s">
        <v>888</v>
      </c>
      <c r="AB246" s="675"/>
      <c r="AD246" s="675"/>
      <c r="AF246" s="675"/>
      <c r="AG246" s="675"/>
    </row>
    <row r="247" spans="1:33" s="536" customFormat="1" ht="12" x14ac:dyDescent="0.2">
      <c r="A247" s="569"/>
      <c r="B247" s="683"/>
      <c r="C247" s="1823" t="s">
        <v>327</v>
      </c>
      <c r="D247" s="1823"/>
      <c r="E247" s="1823"/>
      <c r="F247" s="573"/>
      <c r="G247" s="573"/>
      <c r="H247" s="573"/>
      <c r="I247" s="573"/>
      <c r="J247" s="572"/>
      <c r="K247" s="573"/>
      <c r="L247" s="572">
        <v>266.51</v>
      </c>
      <c r="M247" s="601"/>
      <c r="N247" s="570"/>
      <c r="V247" s="674"/>
      <c r="W247" s="675"/>
      <c r="AB247" s="675" t="s">
        <v>327</v>
      </c>
      <c r="AD247" s="675"/>
      <c r="AF247" s="675"/>
      <c r="AG247" s="675"/>
    </row>
    <row r="248" spans="1:33" s="536" customFormat="1" ht="33.75" x14ac:dyDescent="0.2">
      <c r="A248" s="575" t="s">
        <v>1079</v>
      </c>
      <c r="B248" s="684" t="s">
        <v>1727</v>
      </c>
      <c r="C248" s="1823" t="s">
        <v>1728</v>
      </c>
      <c r="D248" s="1823"/>
      <c r="E248" s="1823"/>
      <c r="F248" s="573" t="s">
        <v>483</v>
      </c>
      <c r="G248" s="573"/>
      <c r="H248" s="573"/>
      <c r="I248" s="573" t="s">
        <v>430</v>
      </c>
      <c r="J248" s="572">
        <v>902.71</v>
      </c>
      <c r="K248" s="573" t="s">
        <v>716</v>
      </c>
      <c r="L248" s="572">
        <v>1992.07</v>
      </c>
      <c r="M248" s="571">
        <v>8.32</v>
      </c>
      <c r="N248" s="570">
        <v>16574</v>
      </c>
      <c r="V248" s="674"/>
      <c r="W248" s="675" t="s">
        <v>1728</v>
      </c>
      <c r="AB248" s="675"/>
      <c r="AD248" s="675"/>
      <c r="AF248" s="675"/>
      <c r="AG248" s="675"/>
    </row>
    <row r="249" spans="1:33" s="536" customFormat="1" ht="12" x14ac:dyDescent="0.2">
      <c r="A249" s="569"/>
      <c r="B249" s="683"/>
      <c r="C249" s="689" t="s">
        <v>1658</v>
      </c>
      <c r="D249" s="690"/>
      <c r="E249" s="690"/>
      <c r="F249" s="563"/>
      <c r="G249" s="563"/>
      <c r="H249" s="563"/>
      <c r="I249" s="563"/>
      <c r="J249" s="566"/>
      <c r="K249" s="563"/>
      <c r="L249" s="566"/>
      <c r="M249" s="565"/>
      <c r="N249" s="564"/>
      <c r="V249" s="674"/>
      <c r="W249" s="675"/>
      <c r="AB249" s="675"/>
      <c r="AD249" s="675"/>
      <c r="AF249" s="675"/>
      <c r="AG249" s="675"/>
    </row>
    <row r="250" spans="1:33" s="536" customFormat="1" ht="22.5" x14ac:dyDescent="0.2">
      <c r="A250" s="609"/>
      <c r="B250" s="552" t="s">
        <v>718</v>
      </c>
      <c r="C250" s="1822" t="s">
        <v>719</v>
      </c>
      <c r="D250" s="1822"/>
      <c r="E250" s="1822"/>
      <c r="F250" s="1822"/>
      <c r="G250" s="1822"/>
      <c r="H250" s="1822"/>
      <c r="I250" s="1822"/>
      <c r="J250" s="1822"/>
      <c r="K250" s="1822"/>
      <c r="L250" s="1822"/>
      <c r="M250" s="1822"/>
      <c r="N250" s="1827"/>
      <c r="V250" s="674"/>
      <c r="W250" s="675"/>
      <c r="X250" s="537" t="s">
        <v>719</v>
      </c>
      <c r="AB250" s="675"/>
      <c r="AD250" s="675"/>
      <c r="AF250" s="675"/>
      <c r="AG250" s="675"/>
    </row>
    <row r="251" spans="1:33" s="536" customFormat="1" ht="33.75" x14ac:dyDescent="0.2">
      <c r="A251" s="575" t="s">
        <v>759</v>
      </c>
      <c r="B251" s="684" t="s">
        <v>1729</v>
      </c>
      <c r="C251" s="1823" t="s">
        <v>1730</v>
      </c>
      <c r="D251" s="1823"/>
      <c r="E251" s="1823"/>
      <c r="F251" s="573" t="s">
        <v>617</v>
      </c>
      <c r="G251" s="573"/>
      <c r="H251" s="573"/>
      <c r="I251" s="573" t="s">
        <v>769</v>
      </c>
      <c r="J251" s="572">
        <v>17.22</v>
      </c>
      <c r="K251" s="573" t="s">
        <v>716</v>
      </c>
      <c r="L251" s="572">
        <v>75.959999999999994</v>
      </c>
      <c r="M251" s="571">
        <v>8.32</v>
      </c>
      <c r="N251" s="570">
        <v>632</v>
      </c>
      <c r="V251" s="674"/>
      <c r="W251" s="675" t="s">
        <v>1730</v>
      </c>
      <c r="AB251" s="675"/>
      <c r="AD251" s="675"/>
      <c r="AF251" s="675"/>
      <c r="AG251" s="675"/>
    </row>
    <row r="252" spans="1:33" s="536" customFormat="1" ht="12" x14ac:dyDescent="0.2">
      <c r="A252" s="569"/>
      <c r="B252" s="683"/>
      <c r="C252" s="689" t="s">
        <v>1658</v>
      </c>
      <c r="D252" s="690"/>
      <c r="E252" s="690"/>
      <c r="F252" s="563"/>
      <c r="G252" s="563"/>
      <c r="H252" s="563"/>
      <c r="I252" s="563"/>
      <c r="J252" s="566"/>
      <c r="K252" s="563"/>
      <c r="L252" s="566"/>
      <c r="M252" s="565"/>
      <c r="N252" s="564"/>
      <c r="V252" s="674"/>
      <c r="W252" s="675"/>
      <c r="AB252" s="675"/>
      <c r="AD252" s="675"/>
      <c r="AF252" s="675"/>
      <c r="AG252" s="675"/>
    </row>
    <row r="253" spans="1:33" s="536" customFormat="1" ht="22.5" x14ac:dyDescent="0.2">
      <c r="A253" s="609"/>
      <c r="B253" s="552" t="s">
        <v>718</v>
      </c>
      <c r="C253" s="1822" t="s">
        <v>719</v>
      </c>
      <c r="D253" s="1822"/>
      <c r="E253" s="1822"/>
      <c r="F253" s="1822"/>
      <c r="G253" s="1822"/>
      <c r="H253" s="1822"/>
      <c r="I253" s="1822"/>
      <c r="J253" s="1822"/>
      <c r="K253" s="1822"/>
      <c r="L253" s="1822"/>
      <c r="M253" s="1822"/>
      <c r="N253" s="1827"/>
      <c r="V253" s="674"/>
      <c r="W253" s="675"/>
      <c r="X253" s="537" t="s">
        <v>719</v>
      </c>
      <c r="AB253" s="675"/>
      <c r="AD253" s="675"/>
      <c r="AF253" s="675"/>
      <c r="AG253" s="675"/>
    </row>
    <row r="254" spans="1:33" s="536" customFormat="1" ht="33.75" x14ac:dyDescent="0.2">
      <c r="A254" s="575" t="s">
        <v>917</v>
      </c>
      <c r="B254" s="684" t="s">
        <v>1731</v>
      </c>
      <c r="C254" s="1823" t="s">
        <v>1732</v>
      </c>
      <c r="D254" s="1823"/>
      <c r="E254" s="1823"/>
      <c r="F254" s="573" t="s">
        <v>617</v>
      </c>
      <c r="G254" s="573"/>
      <c r="H254" s="573"/>
      <c r="I254" s="573" t="s">
        <v>769</v>
      </c>
      <c r="J254" s="572">
        <v>7.81</v>
      </c>
      <c r="K254" s="573" t="s">
        <v>716</v>
      </c>
      <c r="L254" s="572">
        <v>34.5</v>
      </c>
      <c r="M254" s="571">
        <v>8.32</v>
      </c>
      <c r="N254" s="570">
        <v>287</v>
      </c>
      <c r="V254" s="674"/>
      <c r="W254" s="675" t="s">
        <v>1732</v>
      </c>
      <c r="AB254" s="675"/>
      <c r="AD254" s="675"/>
      <c r="AF254" s="675"/>
      <c r="AG254" s="675"/>
    </row>
    <row r="255" spans="1:33" s="536" customFormat="1" ht="12" x14ac:dyDescent="0.2">
      <c r="A255" s="569"/>
      <c r="B255" s="683"/>
      <c r="C255" s="689" t="s">
        <v>1658</v>
      </c>
      <c r="D255" s="690"/>
      <c r="E255" s="690"/>
      <c r="F255" s="563"/>
      <c r="G255" s="563"/>
      <c r="H255" s="563"/>
      <c r="I255" s="563"/>
      <c r="J255" s="566"/>
      <c r="K255" s="563"/>
      <c r="L255" s="566"/>
      <c r="M255" s="565"/>
      <c r="N255" s="564"/>
      <c r="V255" s="674"/>
      <c r="W255" s="675"/>
      <c r="AB255" s="675"/>
      <c r="AD255" s="675"/>
      <c r="AF255" s="675"/>
      <c r="AG255" s="675"/>
    </row>
    <row r="256" spans="1:33" s="536" customFormat="1" ht="22.5" x14ac:dyDescent="0.2">
      <c r="A256" s="609"/>
      <c r="B256" s="552" t="s">
        <v>718</v>
      </c>
      <c r="C256" s="1822" t="s">
        <v>719</v>
      </c>
      <c r="D256" s="1822"/>
      <c r="E256" s="1822"/>
      <c r="F256" s="1822"/>
      <c r="G256" s="1822"/>
      <c r="H256" s="1822"/>
      <c r="I256" s="1822"/>
      <c r="J256" s="1822"/>
      <c r="K256" s="1822"/>
      <c r="L256" s="1822"/>
      <c r="M256" s="1822"/>
      <c r="N256" s="1827"/>
      <c r="V256" s="674"/>
      <c r="W256" s="675"/>
      <c r="X256" s="537" t="s">
        <v>719</v>
      </c>
      <c r="AB256" s="675"/>
      <c r="AD256" s="675"/>
      <c r="AF256" s="675"/>
      <c r="AG256" s="675"/>
    </row>
    <row r="257" spans="1:33" s="536" customFormat="1" ht="22.5" x14ac:dyDescent="0.2">
      <c r="A257" s="575" t="s">
        <v>761</v>
      </c>
      <c r="B257" s="684" t="s">
        <v>1733</v>
      </c>
      <c r="C257" s="1823" t="s">
        <v>1734</v>
      </c>
      <c r="D257" s="1823"/>
      <c r="E257" s="1823"/>
      <c r="F257" s="573" t="s">
        <v>307</v>
      </c>
      <c r="G257" s="573"/>
      <c r="H257" s="573"/>
      <c r="I257" s="573" t="s">
        <v>1200</v>
      </c>
      <c r="J257" s="572">
        <v>125</v>
      </c>
      <c r="K257" s="573"/>
      <c r="L257" s="572">
        <v>22.5</v>
      </c>
      <c r="M257" s="571"/>
      <c r="N257" s="570"/>
      <c r="V257" s="674"/>
      <c r="W257" s="675" t="s">
        <v>1734</v>
      </c>
      <c r="AB257" s="675"/>
      <c r="AD257" s="675"/>
      <c r="AF257" s="675"/>
      <c r="AG257" s="675"/>
    </row>
    <row r="258" spans="1:33" s="536" customFormat="1" ht="12" x14ac:dyDescent="0.2">
      <c r="A258" s="569"/>
      <c r="B258" s="683"/>
      <c r="C258" s="689" t="s">
        <v>1658</v>
      </c>
      <c r="D258" s="690"/>
      <c r="E258" s="690"/>
      <c r="F258" s="563"/>
      <c r="G258" s="563"/>
      <c r="H258" s="563"/>
      <c r="I258" s="563"/>
      <c r="J258" s="566"/>
      <c r="K258" s="563"/>
      <c r="L258" s="566"/>
      <c r="M258" s="565"/>
      <c r="N258" s="564"/>
      <c r="V258" s="674"/>
      <c r="W258" s="675"/>
      <c r="AB258" s="675"/>
      <c r="AD258" s="675"/>
      <c r="AF258" s="675"/>
      <c r="AG258" s="675"/>
    </row>
    <row r="259" spans="1:33" s="536" customFormat="1" ht="12" x14ac:dyDescent="0.2">
      <c r="A259" s="676"/>
      <c r="B259" s="682"/>
      <c r="C259" s="1822" t="s">
        <v>1735</v>
      </c>
      <c r="D259" s="1822"/>
      <c r="E259" s="1822"/>
      <c r="F259" s="1822"/>
      <c r="G259" s="1822"/>
      <c r="H259" s="1822"/>
      <c r="I259" s="1822"/>
      <c r="J259" s="1822"/>
      <c r="K259" s="1822"/>
      <c r="L259" s="1822"/>
      <c r="M259" s="1822"/>
      <c r="N259" s="1827"/>
      <c r="V259" s="674"/>
      <c r="W259" s="675"/>
      <c r="AB259" s="675"/>
      <c r="AC259" s="537" t="s">
        <v>1735</v>
      </c>
      <c r="AD259" s="675"/>
      <c r="AF259" s="675"/>
      <c r="AG259" s="675"/>
    </row>
    <row r="260" spans="1:33" s="536" customFormat="1" ht="22.5" x14ac:dyDescent="0.2">
      <c r="A260" s="575" t="s">
        <v>762</v>
      </c>
      <c r="B260" s="684" t="s">
        <v>1736</v>
      </c>
      <c r="C260" s="1823" t="s">
        <v>1737</v>
      </c>
      <c r="D260" s="1823"/>
      <c r="E260" s="1823"/>
      <c r="F260" s="573" t="s">
        <v>307</v>
      </c>
      <c r="G260" s="573"/>
      <c r="H260" s="573"/>
      <c r="I260" s="573" t="s">
        <v>1554</v>
      </c>
      <c r="J260" s="572">
        <v>20</v>
      </c>
      <c r="K260" s="573"/>
      <c r="L260" s="572">
        <v>1.2</v>
      </c>
      <c r="M260" s="571"/>
      <c r="N260" s="570"/>
      <c r="V260" s="674"/>
      <c r="W260" s="675" t="s">
        <v>1737</v>
      </c>
      <c r="AB260" s="675"/>
      <c r="AD260" s="675"/>
      <c r="AF260" s="675"/>
      <c r="AG260" s="675"/>
    </row>
    <row r="261" spans="1:33" s="536" customFormat="1" ht="12" x14ac:dyDescent="0.2">
      <c r="A261" s="569"/>
      <c r="B261" s="683"/>
      <c r="C261" s="689" t="s">
        <v>1658</v>
      </c>
      <c r="D261" s="690"/>
      <c r="E261" s="690"/>
      <c r="F261" s="563"/>
      <c r="G261" s="563"/>
      <c r="H261" s="563"/>
      <c r="I261" s="563"/>
      <c r="J261" s="566"/>
      <c r="K261" s="563"/>
      <c r="L261" s="566"/>
      <c r="M261" s="565"/>
      <c r="N261" s="564"/>
      <c r="V261" s="674"/>
      <c r="W261" s="675"/>
      <c r="AB261" s="675"/>
      <c r="AD261" s="675"/>
      <c r="AF261" s="675"/>
      <c r="AG261" s="675"/>
    </row>
    <row r="262" spans="1:33" s="536" customFormat="1" ht="12" x14ac:dyDescent="0.2">
      <c r="A262" s="676"/>
      <c r="B262" s="682"/>
      <c r="C262" s="1822" t="s">
        <v>1651</v>
      </c>
      <c r="D262" s="1822"/>
      <c r="E262" s="1822"/>
      <c r="F262" s="1822"/>
      <c r="G262" s="1822"/>
      <c r="H262" s="1822"/>
      <c r="I262" s="1822"/>
      <c r="J262" s="1822"/>
      <c r="K262" s="1822"/>
      <c r="L262" s="1822"/>
      <c r="M262" s="1822"/>
      <c r="N262" s="1827"/>
      <c r="V262" s="674"/>
      <c r="W262" s="675"/>
      <c r="AB262" s="675"/>
      <c r="AC262" s="537" t="s">
        <v>1651</v>
      </c>
      <c r="AD262" s="675"/>
      <c r="AF262" s="675"/>
      <c r="AG262" s="675"/>
    </row>
    <row r="263" spans="1:33" s="536" customFormat="1" ht="22.5" x14ac:dyDescent="0.2">
      <c r="A263" s="575" t="s">
        <v>763</v>
      </c>
      <c r="B263" s="684" t="s">
        <v>1738</v>
      </c>
      <c r="C263" s="1823" t="s">
        <v>1739</v>
      </c>
      <c r="D263" s="1823"/>
      <c r="E263" s="1823"/>
      <c r="F263" s="573" t="s">
        <v>307</v>
      </c>
      <c r="G263" s="573"/>
      <c r="H263" s="573"/>
      <c r="I263" s="573" t="s">
        <v>190</v>
      </c>
      <c r="J263" s="572">
        <v>14.46</v>
      </c>
      <c r="K263" s="573"/>
      <c r="L263" s="572">
        <v>86.76</v>
      </c>
      <c r="M263" s="571"/>
      <c r="N263" s="570"/>
      <c r="V263" s="674"/>
      <c r="W263" s="675" t="s">
        <v>1739</v>
      </c>
      <c r="AB263" s="675"/>
      <c r="AD263" s="675"/>
      <c r="AF263" s="675"/>
      <c r="AG263" s="675"/>
    </row>
    <row r="264" spans="1:33" s="536" customFormat="1" ht="12" x14ac:dyDescent="0.2">
      <c r="A264" s="569"/>
      <c r="B264" s="683"/>
      <c r="C264" s="689" t="s">
        <v>1658</v>
      </c>
      <c r="D264" s="690"/>
      <c r="E264" s="690"/>
      <c r="F264" s="563"/>
      <c r="G264" s="563"/>
      <c r="H264" s="563"/>
      <c r="I264" s="563"/>
      <c r="J264" s="566"/>
      <c r="K264" s="563"/>
      <c r="L264" s="566"/>
      <c r="M264" s="565"/>
      <c r="N264" s="564"/>
      <c r="V264" s="674"/>
      <c r="W264" s="675"/>
      <c r="AB264" s="675"/>
      <c r="AD264" s="675"/>
      <c r="AF264" s="675"/>
      <c r="AG264" s="675"/>
    </row>
    <row r="265" spans="1:33" s="536" customFormat="1" ht="12" x14ac:dyDescent="0.2">
      <c r="A265" s="676"/>
      <c r="B265" s="682"/>
      <c r="C265" s="1822" t="s">
        <v>1740</v>
      </c>
      <c r="D265" s="1822"/>
      <c r="E265" s="1822"/>
      <c r="F265" s="1822"/>
      <c r="G265" s="1822"/>
      <c r="H265" s="1822"/>
      <c r="I265" s="1822"/>
      <c r="J265" s="1822"/>
      <c r="K265" s="1822"/>
      <c r="L265" s="1822"/>
      <c r="M265" s="1822"/>
      <c r="N265" s="1827"/>
      <c r="V265" s="674"/>
      <c r="W265" s="675"/>
      <c r="AB265" s="675"/>
      <c r="AC265" s="537" t="s">
        <v>1740</v>
      </c>
      <c r="AD265" s="675"/>
      <c r="AF265" s="675"/>
      <c r="AG265" s="675"/>
    </row>
    <row r="266" spans="1:33" s="536" customFormat="1" ht="33.75" x14ac:dyDescent="0.2">
      <c r="A266" s="575" t="s">
        <v>922</v>
      </c>
      <c r="B266" s="684" t="s">
        <v>1741</v>
      </c>
      <c r="C266" s="1823" t="s">
        <v>1742</v>
      </c>
      <c r="D266" s="1823"/>
      <c r="E266" s="1823"/>
      <c r="F266" s="573" t="s">
        <v>617</v>
      </c>
      <c r="G266" s="573"/>
      <c r="H266" s="573"/>
      <c r="I266" s="573" t="s">
        <v>1743</v>
      </c>
      <c r="J266" s="572">
        <v>45.33</v>
      </c>
      <c r="K266" s="573" t="s">
        <v>716</v>
      </c>
      <c r="L266" s="572">
        <v>1000.36</v>
      </c>
      <c r="M266" s="571">
        <v>8.32</v>
      </c>
      <c r="N266" s="570">
        <v>8323</v>
      </c>
      <c r="V266" s="674"/>
      <c r="W266" s="675" t="s">
        <v>1742</v>
      </c>
      <c r="AB266" s="675"/>
      <c r="AD266" s="675"/>
      <c r="AF266" s="675"/>
      <c r="AG266" s="675"/>
    </row>
    <row r="267" spans="1:33" s="536" customFormat="1" ht="12" x14ac:dyDescent="0.2">
      <c r="A267" s="569"/>
      <c r="B267" s="683"/>
      <c r="C267" s="689" t="s">
        <v>1658</v>
      </c>
      <c r="D267" s="690"/>
      <c r="E267" s="690"/>
      <c r="F267" s="563"/>
      <c r="G267" s="563"/>
      <c r="H267" s="563"/>
      <c r="I267" s="563"/>
      <c r="J267" s="566"/>
      <c r="K267" s="563"/>
      <c r="L267" s="566"/>
      <c r="M267" s="565"/>
      <c r="N267" s="564"/>
      <c r="V267" s="674"/>
      <c r="W267" s="675"/>
      <c r="AB267" s="675"/>
      <c r="AD267" s="675"/>
      <c r="AF267" s="675"/>
      <c r="AG267" s="675"/>
    </row>
    <row r="268" spans="1:33" s="536" customFormat="1" ht="22.5" x14ac:dyDescent="0.2">
      <c r="A268" s="609"/>
      <c r="B268" s="552" t="s">
        <v>718</v>
      </c>
      <c r="C268" s="1822" t="s">
        <v>719</v>
      </c>
      <c r="D268" s="1822"/>
      <c r="E268" s="1822"/>
      <c r="F268" s="1822"/>
      <c r="G268" s="1822"/>
      <c r="H268" s="1822"/>
      <c r="I268" s="1822"/>
      <c r="J268" s="1822"/>
      <c r="K268" s="1822"/>
      <c r="L268" s="1822"/>
      <c r="M268" s="1822"/>
      <c r="N268" s="1827"/>
      <c r="V268" s="674"/>
      <c r="W268" s="675"/>
      <c r="X268" s="537" t="s">
        <v>719</v>
      </c>
      <c r="AB268" s="675"/>
      <c r="AD268" s="675"/>
      <c r="AF268" s="675"/>
      <c r="AG268" s="675"/>
    </row>
    <row r="269" spans="1:33" s="536" customFormat="1" ht="33.75" x14ac:dyDescent="0.2">
      <c r="A269" s="575" t="s">
        <v>765</v>
      </c>
      <c r="B269" s="684" t="s">
        <v>1744</v>
      </c>
      <c r="C269" s="1823" t="s">
        <v>1745</v>
      </c>
      <c r="D269" s="1823"/>
      <c r="E269" s="1823"/>
      <c r="F269" s="573" t="s">
        <v>617</v>
      </c>
      <c r="G269" s="573"/>
      <c r="H269" s="573"/>
      <c r="I269" s="573" t="s">
        <v>1746</v>
      </c>
      <c r="J269" s="572">
        <v>42.2</v>
      </c>
      <c r="K269" s="573" t="s">
        <v>716</v>
      </c>
      <c r="L269" s="572">
        <v>434.62</v>
      </c>
      <c r="M269" s="571">
        <v>8.32</v>
      </c>
      <c r="N269" s="570">
        <v>3616</v>
      </c>
      <c r="V269" s="674"/>
      <c r="W269" s="675" t="s">
        <v>1745</v>
      </c>
      <c r="AB269" s="675"/>
      <c r="AD269" s="675"/>
      <c r="AF269" s="675"/>
      <c r="AG269" s="675"/>
    </row>
    <row r="270" spans="1:33" s="536" customFormat="1" ht="12" x14ac:dyDescent="0.2">
      <c r="A270" s="569"/>
      <c r="B270" s="683"/>
      <c r="C270" s="689" t="s">
        <v>1658</v>
      </c>
      <c r="D270" s="690"/>
      <c r="E270" s="690"/>
      <c r="F270" s="563"/>
      <c r="G270" s="563"/>
      <c r="H270" s="563"/>
      <c r="I270" s="563"/>
      <c r="J270" s="566"/>
      <c r="K270" s="563"/>
      <c r="L270" s="566"/>
      <c r="M270" s="565"/>
      <c r="N270" s="564"/>
      <c r="V270" s="674"/>
      <c r="W270" s="675"/>
      <c r="AB270" s="675"/>
      <c r="AD270" s="675"/>
      <c r="AF270" s="675"/>
      <c r="AG270" s="675"/>
    </row>
    <row r="271" spans="1:33" s="536" customFormat="1" ht="22.5" x14ac:dyDescent="0.2">
      <c r="A271" s="609"/>
      <c r="B271" s="552" t="s">
        <v>718</v>
      </c>
      <c r="C271" s="1822" t="s">
        <v>719</v>
      </c>
      <c r="D271" s="1822"/>
      <c r="E271" s="1822"/>
      <c r="F271" s="1822"/>
      <c r="G271" s="1822"/>
      <c r="H271" s="1822"/>
      <c r="I271" s="1822"/>
      <c r="J271" s="1822"/>
      <c r="K271" s="1822"/>
      <c r="L271" s="1822"/>
      <c r="M271" s="1822"/>
      <c r="N271" s="1827"/>
      <c r="V271" s="674"/>
      <c r="W271" s="675"/>
      <c r="X271" s="537" t="s">
        <v>719</v>
      </c>
      <c r="AB271" s="675"/>
      <c r="AD271" s="675"/>
      <c r="AF271" s="675"/>
      <c r="AG271" s="675"/>
    </row>
    <row r="272" spans="1:33" s="536" customFormat="1" ht="33.75" x14ac:dyDescent="0.2">
      <c r="A272" s="575" t="s">
        <v>505</v>
      </c>
      <c r="B272" s="684" t="s">
        <v>1747</v>
      </c>
      <c r="C272" s="1823" t="s">
        <v>1748</v>
      </c>
      <c r="D272" s="1823"/>
      <c r="E272" s="1823"/>
      <c r="F272" s="573" t="s">
        <v>483</v>
      </c>
      <c r="G272" s="573"/>
      <c r="H272" s="573"/>
      <c r="I272" s="573" t="s">
        <v>886</v>
      </c>
      <c r="J272" s="572">
        <v>31.26</v>
      </c>
      <c r="K272" s="573" t="s">
        <v>716</v>
      </c>
      <c r="L272" s="572">
        <v>344.95</v>
      </c>
      <c r="M272" s="571">
        <v>8.32</v>
      </c>
      <c r="N272" s="570">
        <v>2870</v>
      </c>
      <c r="V272" s="674"/>
      <c r="W272" s="675" t="s">
        <v>1748</v>
      </c>
      <c r="AB272" s="675"/>
      <c r="AD272" s="675"/>
      <c r="AF272" s="675"/>
      <c r="AG272" s="675"/>
    </row>
    <row r="273" spans="1:33" s="536" customFormat="1" ht="12" x14ac:dyDescent="0.2">
      <c r="A273" s="569"/>
      <c r="B273" s="683"/>
      <c r="C273" s="689" t="s">
        <v>1658</v>
      </c>
      <c r="D273" s="690"/>
      <c r="E273" s="690"/>
      <c r="F273" s="563"/>
      <c r="G273" s="563"/>
      <c r="H273" s="563"/>
      <c r="I273" s="563"/>
      <c r="J273" s="566"/>
      <c r="K273" s="563"/>
      <c r="L273" s="566"/>
      <c r="M273" s="565"/>
      <c r="N273" s="564"/>
      <c r="V273" s="674"/>
      <c r="W273" s="675"/>
      <c r="AB273" s="675"/>
      <c r="AD273" s="675"/>
      <c r="AF273" s="675"/>
      <c r="AG273" s="675"/>
    </row>
    <row r="274" spans="1:33" s="536" customFormat="1" ht="22.5" x14ac:dyDescent="0.2">
      <c r="A274" s="609"/>
      <c r="B274" s="552" t="s">
        <v>718</v>
      </c>
      <c r="C274" s="1822" t="s">
        <v>719</v>
      </c>
      <c r="D274" s="1822"/>
      <c r="E274" s="1822"/>
      <c r="F274" s="1822"/>
      <c r="G274" s="1822"/>
      <c r="H274" s="1822"/>
      <c r="I274" s="1822"/>
      <c r="J274" s="1822"/>
      <c r="K274" s="1822"/>
      <c r="L274" s="1822"/>
      <c r="M274" s="1822"/>
      <c r="N274" s="1827"/>
      <c r="V274" s="674"/>
      <c r="W274" s="675"/>
      <c r="X274" s="537" t="s">
        <v>719</v>
      </c>
      <c r="AB274" s="675"/>
      <c r="AD274" s="675"/>
      <c r="AF274" s="675"/>
      <c r="AG274" s="675"/>
    </row>
    <row r="275" spans="1:33" s="536" customFormat="1" ht="33.75" x14ac:dyDescent="0.2">
      <c r="A275" s="575" t="s">
        <v>767</v>
      </c>
      <c r="B275" s="684" t="s">
        <v>1749</v>
      </c>
      <c r="C275" s="1823" t="s">
        <v>1750</v>
      </c>
      <c r="D275" s="1823"/>
      <c r="E275" s="1823"/>
      <c r="F275" s="573" t="s">
        <v>617</v>
      </c>
      <c r="G275" s="573"/>
      <c r="H275" s="573"/>
      <c r="I275" s="573" t="s">
        <v>196</v>
      </c>
      <c r="J275" s="572">
        <v>147.62</v>
      </c>
      <c r="K275" s="573" t="s">
        <v>716</v>
      </c>
      <c r="L275" s="572">
        <v>217.19</v>
      </c>
      <c r="M275" s="571">
        <v>8.32</v>
      </c>
      <c r="N275" s="570">
        <v>1807</v>
      </c>
      <c r="V275" s="674"/>
      <c r="W275" s="675" t="s">
        <v>1750</v>
      </c>
      <c r="AB275" s="675"/>
      <c r="AD275" s="675"/>
      <c r="AF275" s="675"/>
      <c r="AG275" s="675"/>
    </row>
    <row r="276" spans="1:33" s="536" customFormat="1" ht="12" x14ac:dyDescent="0.2">
      <c r="A276" s="569"/>
      <c r="B276" s="683"/>
      <c r="C276" s="689" t="s">
        <v>1658</v>
      </c>
      <c r="D276" s="690"/>
      <c r="E276" s="690"/>
      <c r="F276" s="563"/>
      <c r="G276" s="563"/>
      <c r="H276" s="563"/>
      <c r="I276" s="563"/>
      <c r="J276" s="566"/>
      <c r="K276" s="563"/>
      <c r="L276" s="566"/>
      <c r="M276" s="565"/>
      <c r="N276" s="564"/>
      <c r="V276" s="674"/>
      <c r="W276" s="675"/>
      <c r="AB276" s="675"/>
      <c r="AD276" s="675"/>
      <c r="AF276" s="675"/>
      <c r="AG276" s="675"/>
    </row>
    <row r="277" spans="1:33" s="536" customFormat="1" ht="22.5" x14ac:dyDescent="0.2">
      <c r="A277" s="609"/>
      <c r="B277" s="552" t="s">
        <v>718</v>
      </c>
      <c r="C277" s="1822" t="s">
        <v>719</v>
      </c>
      <c r="D277" s="1822"/>
      <c r="E277" s="1822"/>
      <c r="F277" s="1822"/>
      <c r="G277" s="1822"/>
      <c r="H277" s="1822"/>
      <c r="I277" s="1822"/>
      <c r="J277" s="1822"/>
      <c r="K277" s="1822"/>
      <c r="L277" s="1822"/>
      <c r="M277" s="1822"/>
      <c r="N277" s="1827"/>
      <c r="V277" s="674"/>
      <c r="W277" s="675"/>
      <c r="X277" s="537" t="s">
        <v>719</v>
      </c>
      <c r="AB277" s="675"/>
      <c r="AD277" s="675"/>
      <c r="AF277" s="675"/>
      <c r="AG277" s="675"/>
    </row>
    <row r="278" spans="1:33" s="536" customFormat="1" ht="12" x14ac:dyDescent="0.2">
      <c r="A278" s="575" t="s">
        <v>768</v>
      </c>
      <c r="B278" s="684" t="s">
        <v>1751</v>
      </c>
      <c r="C278" s="1823" t="s">
        <v>1752</v>
      </c>
      <c r="D278" s="1823"/>
      <c r="E278" s="1823"/>
      <c r="F278" s="573" t="s">
        <v>617</v>
      </c>
      <c r="G278" s="573"/>
      <c r="H278" s="573"/>
      <c r="I278" s="573" t="s">
        <v>185</v>
      </c>
      <c r="J278" s="572"/>
      <c r="K278" s="573"/>
      <c r="L278" s="572"/>
      <c r="M278" s="571"/>
      <c r="N278" s="570"/>
      <c r="V278" s="674"/>
      <c r="W278" s="675" t="s">
        <v>1752</v>
      </c>
      <c r="AB278" s="675"/>
      <c r="AD278" s="675"/>
      <c r="AF278" s="675"/>
      <c r="AG278" s="675"/>
    </row>
    <row r="279" spans="1:33" s="536" customFormat="1" ht="33.75" x14ac:dyDescent="0.2">
      <c r="A279" s="609"/>
      <c r="B279" s="552" t="s">
        <v>310</v>
      </c>
      <c r="C279" s="1822" t="s">
        <v>311</v>
      </c>
      <c r="D279" s="1822"/>
      <c r="E279" s="1822"/>
      <c r="F279" s="1822"/>
      <c r="G279" s="1822"/>
      <c r="H279" s="1822"/>
      <c r="I279" s="1822"/>
      <c r="J279" s="1822"/>
      <c r="K279" s="1822"/>
      <c r="L279" s="1822"/>
      <c r="M279" s="1822"/>
      <c r="N279" s="1827"/>
      <c r="V279" s="674"/>
      <c r="W279" s="675"/>
      <c r="X279" s="537" t="s">
        <v>311</v>
      </c>
      <c r="AB279" s="675"/>
      <c r="AD279" s="675"/>
      <c r="AF279" s="675"/>
      <c r="AG279" s="675"/>
    </row>
    <row r="280" spans="1:33" s="536" customFormat="1" ht="12" x14ac:dyDescent="0.2">
      <c r="A280" s="605"/>
      <c r="B280" s="552" t="s">
        <v>185</v>
      </c>
      <c r="C280" s="1822" t="s">
        <v>312</v>
      </c>
      <c r="D280" s="1822"/>
      <c r="E280" s="1822"/>
      <c r="F280" s="562"/>
      <c r="G280" s="562"/>
      <c r="H280" s="562"/>
      <c r="I280" s="562"/>
      <c r="J280" s="604">
        <v>20.66</v>
      </c>
      <c r="K280" s="562" t="s">
        <v>313</v>
      </c>
      <c r="L280" s="604">
        <v>25.83</v>
      </c>
      <c r="M280" s="603"/>
      <c r="N280" s="602"/>
      <c r="V280" s="674"/>
      <c r="W280" s="675"/>
      <c r="Y280" s="537" t="s">
        <v>312</v>
      </c>
      <c r="AB280" s="675"/>
      <c r="AD280" s="675"/>
      <c r="AF280" s="675"/>
      <c r="AG280" s="675"/>
    </row>
    <row r="281" spans="1:33" s="536" customFormat="1" ht="12" x14ac:dyDescent="0.2">
      <c r="A281" s="605"/>
      <c r="B281" s="552" t="s">
        <v>186</v>
      </c>
      <c r="C281" s="1822" t="s">
        <v>344</v>
      </c>
      <c r="D281" s="1822"/>
      <c r="E281" s="1822"/>
      <c r="F281" s="562"/>
      <c r="G281" s="562"/>
      <c r="H281" s="562"/>
      <c r="I281" s="562"/>
      <c r="J281" s="604">
        <v>61.74</v>
      </c>
      <c r="K281" s="562" t="s">
        <v>313</v>
      </c>
      <c r="L281" s="604">
        <v>77.180000000000007</v>
      </c>
      <c r="M281" s="603"/>
      <c r="N281" s="602"/>
      <c r="V281" s="674"/>
      <c r="W281" s="675"/>
      <c r="Y281" s="537" t="s">
        <v>344</v>
      </c>
      <c r="AB281" s="675"/>
      <c r="AD281" s="675"/>
      <c r="AF281" s="675"/>
      <c r="AG281" s="675"/>
    </row>
    <row r="282" spans="1:33" s="536" customFormat="1" ht="12" x14ac:dyDescent="0.2">
      <c r="A282" s="605"/>
      <c r="B282" s="552" t="s">
        <v>187</v>
      </c>
      <c r="C282" s="1822" t="s">
        <v>345</v>
      </c>
      <c r="D282" s="1822"/>
      <c r="E282" s="1822"/>
      <c r="F282" s="562"/>
      <c r="G282" s="562"/>
      <c r="H282" s="562"/>
      <c r="I282" s="562"/>
      <c r="J282" s="604">
        <v>5.93</v>
      </c>
      <c r="K282" s="562" t="s">
        <v>313</v>
      </c>
      <c r="L282" s="604">
        <v>7.41</v>
      </c>
      <c r="M282" s="603"/>
      <c r="N282" s="602"/>
      <c r="V282" s="674"/>
      <c r="W282" s="675"/>
      <c r="Y282" s="537" t="s">
        <v>345</v>
      </c>
      <c r="AB282" s="675"/>
      <c r="AD282" s="675"/>
      <c r="AF282" s="675"/>
      <c r="AG282" s="675"/>
    </row>
    <row r="283" spans="1:33" s="536" customFormat="1" ht="12" x14ac:dyDescent="0.2">
      <c r="A283" s="605"/>
      <c r="B283" s="552" t="s">
        <v>188</v>
      </c>
      <c r="C283" s="1822" t="s">
        <v>475</v>
      </c>
      <c r="D283" s="1822"/>
      <c r="E283" s="1822"/>
      <c r="F283" s="562"/>
      <c r="G283" s="562"/>
      <c r="H283" s="562"/>
      <c r="I283" s="562"/>
      <c r="J283" s="604">
        <v>0.41</v>
      </c>
      <c r="K283" s="562"/>
      <c r="L283" s="604">
        <v>0.41</v>
      </c>
      <c r="M283" s="603"/>
      <c r="N283" s="602"/>
      <c r="V283" s="674"/>
      <c r="W283" s="675"/>
      <c r="Y283" s="537" t="s">
        <v>475</v>
      </c>
      <c r="AB283" s="675"/>
      <c r="AD283" s="675"/>
      <c r="AF283" s="675"/>
      <c r="AG283" s="675"/>
    </row>
    <row r="284" spans="1:33" s="536" customFormat="1" ht="12" x14ac:dyDescent="0.2">
      <c r="A284" s="605"/>
      <c r="B284" s="552"/>
      <c r="C284" s="1822" t="s">
        <v>314</v>
      </c>
      <c r="D284" s="1822"/>
      <c r="E284" s="1822"/>
      <c r="F284" s="562" t="s">
        <v>315</v>
      </c>
      <c r="G284" s="562" t="s">
        <v>1753</v>
      </c>
      <c r="H284" s="562" t="s">
        <v>313</v>
      </c>
      <c r="I284" s="562" t="s">
        <v>1754</v>
      </c>
      <c r="J284" s="604"/>
      <c r="K284" s="562"/>
      <c r="L284" s="604"/>
      <c r="M284" s="603"/>
      <c r="N284" s="602"/>
      <c r="V284" s="674"/>
      <c r="W284" s="675"/>
      <c r="Z284" s="537" t="s">
        <v>314</v>
      </c>
      <c r="AB284" s="675"/>
      <c r="AD284" s="675"/>
      <c r="AF284" s="675"/>
      <c r="AG284" s="675"/>
    </row>
    <row r="285" spans="1:33" s="536" customFormat="1" ht="12" x14ac:dyDescent="0.2">
      <c r="A285" s="605"/>
      <c r="B285" s="552"/>
      <c r="C285" s="1822" t="s">
        <v>348</v>
      </c>
      <c r="D285" s="1822"/>
      <c r="E285" s="1822"/>
      <c r="F285" s="562" t="s">
        <v>315</v>
      </c>
      <c r="G285" s="562" t="s">
        <v>1263</v>
      </c>
      <c r="H285" s="562" t="s">
        <v>313</v>
      </c>
      <c r="I285" s="562" t="s">
        <v>1755</v>
      </c>
      <c r="J285" s="604"/>
      <c r="K285" s="562"/>
      <c r="L285" s="604"/>
      <c r="M285" s="603"/>
      <c r="N285" s="602"/>
      <c r="V285" s="674"/>
      <c r="W285" s="675"/>
      <c r="Z285" s="537" t="s">
        <v>348</v>
      </c>
      <c r="AB285" s="675"/>
      <c r="AD285" s="675"/>
      <c r="AF285" s="675"/>
      <c r="AG285" s="675"/>
    </row>
    <row r="286" spans="1:33" s="536" customFormat="1" ht="12" x14ac:dyDescent="0.2">
      <c r="A286" s="605"/>
      <c r="B286" s="552"/>
      <c r="C286" s="1828" t="s">
        <v>318</v>
      </c>
      <c r="D286" s="1828"/>
      <c r="E286" s="1828"/>
      <c r="F286" s="608"/>
      <c r="G286" s="608"/>
      <c r="H286" s="608"/>
      <c r="I286" s="608"/>
      <c r="J286" s="607">
        <v>82.81</v>
      </c>
      <c r="K286" s="608"/>
      <c r="L286" s="607">
        <v>103.42</v>
      </c>
      <c r="M286" s="601"/>
      <c r="N286" s="606"/>
      <c r="V286" s="674"/>
      <c r="W286" s="675"/>
      <c r="AA286" s="537" t="s">
        <v>318</v>
      </c>
      <c r="AB286" s="675"/>
      <c r="AD286" s="675"/>
      <c r="AF286" s="675"/>
      <c r="AG286" s="675"/>
    </row>
    <row r="287" spans="1:33" s="536" customFormat="1" ht="12" x14ac:dyDescent="0.2">
      <c r="A287" s="605"/>
      <c r="B287" s="552"/>
      <c r="C287" s="1822" t="s">
        <v>319</v>
      </c>
      <c r="D287" s="1822"/>
      <c r="E287" s="1822"/>
      <c r="F287" s="562"/>
      <c r="G287" s="562"/>
      <c r="H287" s="562"/>
      <c r="I287" s="562"/>
      <c r="J287" s="604"/>
      <c r="K287" s="562"/>
      <c r="L287" s="604">
        <v>33.24</v>
      </c>
      <c r="M287" s="603"/>
      <c r="N287" s="602"/>
      <c r="V287" s="674"/>
      <c r="W287" s="675"/>
      <c r="Z287" s="537" t="s">
        <v>319</v>
      </c>
      <c r="AB287" s="675"/>
      <c r="AD287" s="675"/>
      <c r="AF287" s="675"/>
      <c r="AG287" s="675"/>
    </row>
    <row r="288" spans="1:33" s="536" customFormat="1" ht="33.75" x14ac:dyDescent="0.2">
      <c r="A288" s="605"/>
      <c r="B288" s="552" t="s">
        <v>1631</v>
      </c>
      <c r="C288" s="1822" t="s">
        <v>1632</v>
      </c>
      <c r="D288" s="1822"/>
      <c r="E288" s="1822"/>
      <c r="F288" s="562" t="s">
        <v>322</v>
      </c>
      <c r="G288" s="562" t="s">
        <v>1633</v>
      </c>
      <c r="H288" s="562"/>
      <c r="I288" s="562" t="s">
        <v>1633</v>
      </c>
      <c r="J288" s="604"/>
      <c r="K288" s="562"/>
      <c r="L288" s="604">
        <v>32.24</v>
      </c>
      <c r="M288" s="603"/>
      <c r="N288" s="602"/>
      <c r="V288" s="674"/>
      <c r="W288" s="675"/>
      <c r="Z288" s="537" t="s">
        <v>1632</v>
      </c>
      <c r="AB288" s="675"/>
      <c r="AD288" s="675"/>
      <c r="AF288" s="675"/>
      <c r="AG288" s="675"/>
    </row>
    <row r="289" spans="1:33" s="536" customFormat="1" ht="33.75" x14ac:dyDescent="0.2">
      <c r="A289" s="605"/>
      <c r="B289" s="552" t="s">
        <v>1634</v>
      </c>
      <c r="C289" s="1822" t="s">
        <v>1635</v>
      </c>
      <c r="D289" s="1822"/>
      <c r="E289" s="1822"/>
      <c r="F289" s="562" t="s">
        <v>322</v>
      </c>
      <c r="G289" s="562" t="s">
        <v>786</v>
      </c>
      <c r="H289" s="562"/>
      <c r="I289" s="562" t="s">
        <v>786</v>
      </c>
      <c r="J289" s="604"/>
      <c r="K289" s="562"/>
      <c r="L289" s="604">
        <v>16.95</v>
      </c>
      <c r="M289" s="603"/>
      <c r="N289" s="602"/>
      <c r="V289" s="674"/>
      <c r="W289" s="675"/>
      <c r="Z289" s="537" t="s">
        <v>1635</v>
      </c>
      <c r="AB289" s="675"/>
      <c r="AD289" s="675"/>
      <c r="AF289" s="675"/>
      <c r="AG289" s="675"/>
    </row>
    <row r="290" spans="1:33" s="536" customFormat="1" ht="12" x14ac:dyDescent="0.2">
      <c r="A290" s="569"/>
      <c r="B290" s="683"/>
      <c r="C290" s="1823" t="s">
        <v>327</v>
      </c>
      <c r="D290" s="1823"/>
      <c r="E290" s="1823"/>
      <c r="F290" s="573"/>
      <c r="G290" s="573"/>
      <c r="H290" s="573"/>
      <c r="I290" s="573"/>
      <c r="J290" s="572"/>
      <c r="K290" s="573"/>
      <c r="L290" s="572">
        <v>152.61000000000001</v>
      </c>
      <c r="M290" s="601"/>
      <c r="N290" s="570"/>
      <c r="V290" s="674"/>
      <c r="W290" s="675"/>
      <c r="AB290" s="675" t="s">
        <v>327</v>
      </c>
      <c r="AD290" s="675"/>
      <c r="AF290" s="675"/>
      <c r="AG290" s="675"/>
    </row>
    <row r="291" spans="1:33" s="536" customFormat="1" ht="33.75" x14ac:dyDescent="0.2">
      <c r="A291" s="575" t="s">
        <v>769</v>
      </c>
      <c r="B291" s="684" t="s">
        <v>1756</v>
      </c>
      <c r="C291" s="1823" t="s">
        <v>1757</v>
      </c>
      <c r="D291" s="1823"/>
      <c r="E291" s="1823"/>
      <c r="F291" s="573" t="s">
        <v>483</v>
      </c>
      <c r="G291" s="573"/>
      <c r="H291" s="573"/>
      <c r="I291" s="573" t="s">
        <v>1758</v>
      </c>
      <c r="J291" s="572">
        <v>117.22</v>
      </c>
      <c r="K291" s="573" t="s">
        <v>716</v>
      </c>
      <c r="L291" s="572">
        <v>615.63</v>
      </c>
      <c r="M291" s="571">
        <v>8.32</v>
      </c>
      <c r="N291" s="570">
        <v>5122</v>
      </c>
      <c r="V291" s="674"/>
      <c r="W291" s="675" t="s">
        <v>1757</v>
      </c>
      <c r="AB291" s="675"/>
      <c r="AD291" s="675"/>
      <c r="AF291" s="675"/>
      <c r="AG291" s="675"/>
    </row>
    <row r="292" spans="1:33" s="536" customFormat="1" ht="12" x14ac:dyDescent="0.2">
      <c r="A292" s="569"/>
      <c r="B292" s="683"/>
      <c r="C292" s="689" t="s">
        <v>1658</v>
      </c>
      <c r="D292" s="690"/>
      <c r="E292" s="690"/>
      <c r="F292" s="563"/>
      <c r="G292" s="563"/>
      <c r="H292" s="563"/>
      <c r="I292" s="563"/>
      <c r="J292" s="566"/>
      <c r="K292" s="563"/>
      <c r="L292" s="566"/>
      <c r="M292" s="565"/>
      <c r="N292" s="564"/>
      <c r="V292" s="674"/>
      <c r="W292" s="675"/>
      <c r="AB292" s="675"/>
      <c r="AD292" s="675"/>
      <c r="AF292" s="675"/>
      <c r="AG292" s="675"/>
    </row>
    <row r="293" spans="1:33" s="536" customFormat="1" ht="12" x14ac:dyDescent="0.2">
      <c r="A293" s="676"/>
      <c r="B293" s="682"/>
      <c r="C293" s="1822" t="s">
        <v>1759</v>
      </c>
      <c r="D293" s="1822"/>
      <c r="E293" s="1822"/>
      <c r="F293" s="1822"/>
      <c r="G293" s="1822"/>
      <c r="H293" s="1822"/>
      <c r="I293" s="1822"/>
      <c r="J293" s="1822"/>
      <c r="K293" s="1822"/>
      <c r="L293" s="1822"/>
      <c r="M293" s="1822"/>
      <c r="N293" s="1827"/>
      <c r="V293" s="674"/>
      <c r="W293" s="675"/>
      <c r="AB293" s="675"/>
      <c r="AC293" s="537" t="s">
        <v>1759</v>
      </c>
      <c r="AD293" s="675"/>
      <c r="AF293" s="675"/>
      <c r="AG293" s="675"/>
    </row>
    <row r="294" spans="1:33" s="536" customFormat="1" ht="22.5" x14ac:dyDescent="0.2">
      <c r="A294" s="609"/>
      <c r="B294" s="552" t="s">
        <v>718</v>
      </c>
      <c r="C294" s="1822" t="s">
        <v>719</v>
      </c>
      <c r="D294" s="1822"/>
      <c r="E294" s="1822"/>
      <c r="F294" s="1822"/>
      <c r="G294" s="1822"/>
      <c r="H294" s="1822"/>
      <c r="I294" s="1822"/>
      <c r="J294" s="1822"/>
      <c r="K294" s="1822"/>
      <c r="L294" s="1822"/>
      <c r="M294" s="1822"/>
      <c r="N294" s="1827"/>
      <c r="V294" s="674"/>
      <c r="W294" s="675"/>
      <c r="X294" s="537" t="s">
        <v>719</v>
      </c>
      <c r="AB294" s="675"/>
      <c r="AD294" s="675"/>
      <c r="AF294" s="675"/>
      <c r="AG294" s="675"/>
    </row>
    <row r="295" spans="1:33" s="536" customFormat="1" ht="33.75" x14ac:dyDescent="0.2">
      <c r="A295" s="575" t="s">
        <v>770</v>
      </c>
      <c r="B295" s="684" t="s">
        <v>1760</v>
      </c>
      <c r="C295" s="1823" t="s">
        <v>1761</v>
      </c>
      <c r="D295" s="1823"/>
      <c r="E295" s="1823"/>
      <c r="F295" s="573" t="s">
        <v>617</v>
      </c>
      <c r="G295" s="573"/>
      <c r="H295" s="573"/>
      <c r="I295" s="573" t="s">
        <v>196</v>
      </c>
      <c r="J295" s="572">
        <v>232.88</v>
      </c>
      <c r="K295" s="573" t="s">
        <v>716</v>
      </c>
      <c r="L295" s="572">
        <v>342.55</v>
      </c>
      <c r="M295" s="571">
        <v>8.32</v>
      </c>
      <c r="N295" s="570">
        <v>2850</v>
      </c>
      <c r="V295" s="674"/>
      <c r="W295" s="675" t="s">
        <v>1761</v>
      </c>
      <c r="AB295" s="675"/>
      <c r="AD295" s="675"/>
      <c r="AF295" s="675"/>
      <c r="AG295" s="675"/>
    </row>
    <row r="296" spans="1:33" s="536" customFormat="1" ht="12" x14ac:dyDescent="0.2">
      <c r="A296" s="569"/>
      <c r="B296" s="683"/>
      <c r="C296" s="689" t="s">
        <v>1658</v>
      </c>
      <c r="D296" s="690"/>
      <c r="E296" s="690"/>
      <c r="F296" s="563"/>
      <c r="G296" s="563"/>
      <c r="H296" s="563"/>
      <c r="I296" s="563"/>
      <c r="J296" s="566"/>
      <c r="K296" s="563"/>
      <c r="L296" s="566"/>
      <c r="M296" s="565"/>
      <c r="N296" s="564"/>
      <c r="V296" s="674"/>
      <c r="W296" s="675"/>
      <c r="AB296" s="675"/>
      <c r="AD296" s="675"/>
      <c r="AF296" s="675"/>
      <c r="AG296" s="675"/>
    </row>
    <row r="297" spans="1:33" s="536" customFormat="1" ht="22.5" x14ac:dyDescent="0.2">
      <c r="A297" s="609"/>
      <c r="B297" s="552" t="s">
        <v>718</v>
      </c>
      <c r="C297" s="1822" t="s">
        <v>719</v>
      </c>
      <c r="D297" s="1822"/>
      <c r="E297" s="1822"/>
      <c r="F297" s="1822"/>
      <c r="G297" s="1822"/>
      <c r="H297" s="1822"/>
      <c r="I297" s="1822"/>
      <c r="J297" s="1822"/>
      <c r="K297" s="1822"/>
      <c r="L297" s="1822"/>
      <c r="M297" s="1822"/>
      <c r="N297" s="1827"/>
      <c r="V297" s="674"/>
      <c r="W297" s="675"/>
      <c r="X297" s="537" t="s">
        <v>719</v>
      </c>
      <c r="AB297" s="675"/>
      <c r="AD297" s="675"/>
      <c r="AF297" s="675"/>
      <c r="AG297" s="675"/>
    </row>
    <row r="298" spans="1:33" s="536" customFormat="1" ht="33.75" x14ac:dyDescent="0.2">
      <c r="A298" s="575" t="s">
        <v>771</v>
      </c>
      <c r="B298" s="684" t="s">
        <v>1762</v>
      </c>
      <c r="C298" s="1823" t="s">
        <v>1763</v>
      </c>
      <c r="D298" s="1823"/>
      <c r="E298" s="1823"/>
      <c r="F298" s="573" t="s">
        <v>617</v>
      </c>
      <c r="G298" s="573"/>
      <c r="H298" s="573"/>
      <c r="I298" s="573" t="s">
        <v>196</v>
      </c>
      <c r="J298" s="572">
        <v>232.88</v>
      </c>
      <c r="K298" s="573" t="s">
        <v>716</v>
      </c>
      <c r="L298" s="572">
        <v>342.55</v>
      </c>
      <c r="M298" s="571">
        <v>8.32</v>
      </c>
      <c r="N298" s="570">
        <v>2850</v>
      </c>
      <c r="V298" s="674"/>
      <c r="W298" s="675" t="s">
        <v>1763</v>
      </c>
      <c r="AB298" s="675"/>
      <c r="AD298" s="675"/>
      <c r="AF298" s="675"/>
      <c r="AG298" s="675"/>
    </row>
    <row r="299" spans="1:33" s="536" customFormat="1" ht="12" x14ac:dyDescent="0.2">
      <c r="A299" s="569"/>
      <c r="B299" s="683"/>
      <c r="C299" s="689" t="s">
        <v>1658</v>
      </c>
      <c r="D299" s="690"/>
      <c r="E299" s="690"/>
      <c r="F299" s="563"/>
      <c r="G299" s="563"/>
      <c r="H299" s="563"/>
      <c r="I299" s="563"/>
      <c r="J299" s="566"/>
      <c r="K299" s="563"/>
      <c r="L299" s="566"/>
      <c r="M299" s="565"/>
      <c r="N299" s="564"/>
      <c r="V299" s="674"/>
      <c r="W299" s="675"/>
      <c r="AB299" s="675"/>
      <c r="AD299" s="675"/>
      <c r="AF299" s="675"/>
      <c r="AG299" s="675"/>
    </row>
    <row r="300" spans="1:33" s="536" customFormat="1" ht="22.5" x14ac:dyDescent="0.2">
      <c r="A300" s="609"/>
      <c r="B300" s="552" t="s">
        <v>718</v>
      </c>
      <c r="C300" s="1822" t="s">
        <v>719</v>
      </c>
      <c r="D300" s="1822"/>
      <c r="E300" s="1822"/>
      <c r="F300" s="1822"/>
      <c r="G300" s="1822"/>
      <c r="H300" s="1822"/>
      <c r="I300" s="1822"/>
      <c r="J300" s="1822"/>
      <c r="K300" s="1822"/>
      <c r="L300" s="1822"/>
      <c r="M300" s="1822"/>
      <c r="N300" s="1827"/>
      <c r="V300" s="674"/>
      <c r="W300" s="675"/>
      <c r="X300" s="537" t="s">
        <v>719</v>
      </c>
      <c r="AB300" s="675"/>
      <c r="AD300" s="675"/>
      <c r="AF300" s="675"/>
      <c r="AG300" s="675"/>
    </row>
    <row r="301" spans="1:33" s="536" customFormat="1" ht="33.75" x14ac:dyDescent="0.2">
      <c r="A301" s="575" t="s">
        <v>772</v>
      </c>
      <c r="B301" s="684" t="s">
        <v>1764</v>
      </c>
      <c r="C301" s="1823" t="s">
        <v>1765</v>
      </c>
      <c r="D301" s="1823"/>
      <c r="E301" s="1823"/>
      <c r="F301" s="573" t="s">
        <v>617</v>
      </c>
      <c r="G301" s="573"/>
      <c r="H301" s="573"/>
      <c r="I301" s="573" t="s">
        <v>1766</v>
      </c>
      <c r="J301" s="572">
        <v>184.43</v>
      </c>
      <c r="K301" s="573" t="s">
        <v>716</v>
      </c>
      <c r="L301" s="572">
        <v>5426.44</v>
      </c>
      <c r="M301" s="571">
        <v>8.32</v>
      </c>
      <c r="N301" s="570">
        <v>45148</v>
      </c>
      <c r="V301" s="674"/>
      <c r="W301" s="675" t="s">
        <v>1765</v>
      </c>
      <c r="AB301" s="675"/>
      <c r="AD301" s="675"/>
      <c r="AF301" s="675"/>
      <c r="AG301" s="675"/>
    </row>
    <row r="302" spans="1:33" s="536" customFormat="1" ht="12" x14ac:dyDescent="0.2">
      <c r="A302" s="569"/>
      <c r="B302" s="683"/>
      <c r="C302" s="689" t="s">
        <v>1658</v>
      </c>
      <c r="D302" s="690"/>
      <c r="E302" s="690"/>
      <c r="F302" s="563"/>
      <c r="G302" s="563"/>
      <c r="H302" s="563"/>
      <c r="I302" s="563"/>
      <c r="J302" s="566"/>
      <c r="K302" s="563"/>
      <c r="L302" s="566"/>
      <c r="M302" s="565"/>
      <c r="N302" s="564"/>
      <c r="V302" s="674"/>
      <c r="W302" s="675"/>
      <c r="AB302" s="675"/>
      <c r="AD302" s="675"/>
      <c r="AF302" s="675"/>
      <c r="AG302" s="675"/>
    </row>
    <row r="303" spans="1:33" s="536" customFormat="1" ht="22.5" x14ac:dyDescent="0.2">
      <c r="A303" s="609"/>
      <c r="B303" s="552" t="s">
        <v>718</v>
      </c>
      <c r="C303" s="1822" t="s">
        <v>719</v>
      </c>
      <c r="D303" s="1822"/>
      <c r="E303" s="1822"/>
      <c r="F303" s="1822"/>
      <c r="G303" s="1822"/>
      <c r="H303" s="1822"/>
      <c r="I303" s="1822"/>
      <c r="J303" s="1822"/>
      <c r="K303" s="1822"/>
      <c r="L303" s="1822"/>
      <c r="M303" s="1822"/>
      <c r="N303" s="1827"/>
      <c r="V303" s="674"/>
      <c r="W303" s="675"/>
      <c r="X303" s="537" t="s">
        <v>719</v>
      </c>
      <c r="AB303" s="675"/>
      <c r="AD303" s="675"/>
      <c r="AF303" s="675"/>
      <c r="AG303" s="675"/>
    </row>
    <row r="304" spans="1:33" s="536" customFormat="1" ht="33.75" x14ac:dyDescent="0.2">
      <c r="A304" s="575" t="s">
        <v>677</v>
      </c>
      <c r="B304" s="684" t="s">
        <v>1767</v>
      </c>
      <c r="C304" s="1823" t="s">
        <v>1768</v>
      </c>
      <c r="D304" s="1823"/>
      <c r="E304" s="1823"/>
      <c r="F304" s="573" t="s">
        <v>617</v>
      </c>
      <c r="G304" s="573"/>
      <c r="H304" s="573"/>
      <c r="I304" s="573" t="s">
        <v>1769</v>
      </c>
      <c r="J304" s="572">
        <v>26.57</v>
      </c>
      <c r="K304" s="573" t="s">
        <v>716</v>
      </c>
      <c r="L304" s="572">
        <v>2149.88</v>
      </c>
      <c r="M304" s="571">
        <v>8.32</v>
      </c>
      <c r="N304" s="570">
        <v>17887</v>
      </c>
      <c r="V304" s="674"/>
      <c r="W304" s="675" t="s">
        <v>1768</v>
      </c>
      <c r="AB304" s="675"/>
      <c r="AD304" s="675"/>
      <c r="AF304" s="675"/>
      <c r="AG304" s="675"/>
    </row>
    <row r="305" spans="1:33" s="536" customFormat="1" ht="12" x14ac:dyDescent="0.2">
      <c r="A305" s="569"/>
      <c r="B305" s="683"/>
      <c r="C305" s="689" t="s">
        <v>1658</v>
      </c>
      <c r="D305" s="690"/>
      <c r="E305" s="690"/>
      <c r="F305" s="563"/>
      <c r="G305" s="563"/>
      <c r="H305" s="563"/>
      <c r="I305" s="563"/>
      <c r="J305" s="566"/>
      <c r="K305" s="563"/>
      <c r="L305" s="566"/>
      <c r="M305" s="565"/>
      <c r="N305" s="564"/>
      <c r="V305" s="674"/>
      <c r="W305" s="675"/>
      <c r="AB305" s="675"/>
      <c r="AD305" s="675"/>
      <c r="AF305" s="675"/>
      <c r="AG305" s="675"/>
    </row>
    <row r="306" spans="1:33" s="536" customFormat="1" ht="22.5" x14ac:dyDescent="0.2">
      <c r="A306" s="609"/>
      <c r="B306" s="552" t="s">
        <v>718</v>
      </c>
      <c r="C306" s="1822" t="s">
        <v>719</v>
      </c>
      <c r="D306" s="1822"/>
      <c r="E306" s="1822"/>
      <c r="F306" s="1822"/>
      <c r="G306" s="1822"/>
      <c r="H306" s="1822"/>
      <c r="I306" s="1822"/>
      <c r="J306" s="1822"/>
      <c r="K306" s="1822"/>
      <c r="L306" s="1822"/>
      <c r="M306" s="1822"/>
      <c r="N306" s="1827"/>
      <c r="V306" s="674"/>
      <c r="W306" s="675"/>
      <c r="X306" s="537" t="s">
        <v>719</v>
      </c>
      <c r="AB306" s="675"/>
      <c r="AD306" s="675"/>
      <c r="AF306" s="675"/>
      <c r="AG306" s="675"/>
    </row>
    <row r="307" spans="1:33" s="536" customFormat="1" ht="33.75" x14ac:dyDescent="0.2">
      <c r="A307" s="575" t="s">
        <v>326</v>
      </c>
      <c r="B307" s="684" t="s">
        <v>1770</v>
      </c>
      <c r="C307" s="1823" t="s">
        <v>1771</v>
      </c>
      <c r="D307" s="1823"/>
      <c r="E307" s="1823"/>
      <c r="F307" s="573" t="s">
        <v>617</v>
      </c>
      <c r="G307" s="573"/>
      <c r="H307" s="573"/>
      <c r="I307" s="573" t="s">
        <v>1772</v>
      </c>
      <c r="J307" s="572">
        <v>21.88</v>
      </c>
      <c r="K307" s="573" t="s">
        <v>716</v>
      </c>
      <c r="L307" s="572">
        <v>804.69</v>
      </c>
      <c r="M307" s="571">
        <v>8.32</v>
      </c>
      <c r="N307" s="570">
        <v>6695</v>
      </c>
      <c r="V307" s="674"/>
      <c r="W307" s="675" t="s">
        <v>1771</v>
      </c>
      <c r="AB307" s="675"/>
      <c r="AD307" s="675"/>
      <c r="AF307" s="675"/>
      <c r="AG307" s="675"/>
    </row>
    <row r="308" spans="1:33" s="536" customFormat="1" ht="12" x14ac:dyDescent="0.2">
      <c r="A308" s="569"/>
      <c r="B308" s="683"/>
      <c r="C308" s="689" t="s">
        <v>1658</v>
      </c>
      <c r="D308" s="690"/>
      <c r="E308" s="690"/>
      <c r="F308" s="563"/>
      <c r="G308" s="563"/>
      <c r="H308" s="563"/>
      <c r="I308" s="563"/>
      <c r="J308" s="566"/>
      <c r="K308" s="563"/>
      <c r="L308" s="566"/>
      <c r="M308" s="565"/>
      <c r="N308" s="564"/>
      <c r="V308" s="674"/>
      <c r="W308" s="675"/>
      <c r="AB308" s="675"/>
      <c r="AD308" s="675"/>
      <c r="AF308" s="675"/>
      <c r="AG308" s="675"/>
    </row>
    <row r="309" spans="1:33" s="536" customFormat="1" ht="22.5" x14ac:dyDescent="0.2">
      <c r="A309" s="609"/>
      <c r="B309" s="552" t="s">
        <v>718</v>
      </c>
      <c r="C309" s="1822" t="s">
        <v>719</v>
      </c>
      <c r="D309" s="1822"/>
      <c r="E309" s="1822"/>
      <c r="F309" s="1822"/>
      <c r="G309" s="1822"/>
      <c r="H309" s="1822"/>
      <c r="I309" s="1822"/>
      <c r="J309" s="1822"/>
      <c r="K309" s="1822"/>
      <c r="L309" s="1822"/>
      <c r="M309" s="1822"/>
      <c r="N309" s="1827"/>
      <c r="V309" s="674"/>
      <c r="W309" s="675"/>
      <c r="X309" s="537" t="s">
        <v>719</v>
      </c>
      <c r="AB309" s="675"/>
      <c r="AD309" s="675"/>
      <c r="AF309" s="675"/>
      <c r="AG309" s="675"/>
    </row>
    <row r="310" spans="1:33" s="536" customFormat="1" ht="33.75" x14ac:dyDescent="0.2">
      <c r="A310" s="575" t="s">
        <v>774</v>
      </c>
      <c r="B310" s="684" t="s">
        <v>1773</v>
      </c>
      <c r="C310" s="1823" t="s">
        <v>1774</v>
      </c>
      <c r="D310" s="1823"/>
      <c r="E310" s="1823"/>
      <c r="F310" s="573" t="s">
        <v>617</v>
      </c>
      <c r="G310" s="573"/>
      <c r="H310" s="573"/>
      <c r="I310" s="573" t="s">
        <v>1775</v>
      </c>
      <c r="J310" s="572">
        <v>10.94</v>
      </c>
      <c r="K310" s="573" t="s">
        <v>716</v>
      </c>
      <c r="L310" s="572">
        <v>2414.1799999999998</v>
      </c>
      <c r="M310" s="571">
        <v>8.32</v>
      </c>
      <c r="N310" s="570">
        <v>20086</v>
      </c>
      <c r="V310" s="674"/>
      <c r="W310" s="675" t="s">
        <v>1774</v>
      </c>
      <c r="AB310" s="675"/>
      <c r="AD310" s="675"/>
      <c r="AF310" s="675"/>
      <c r="AG310" s="675"/>
    </row>
    <row r="311" spans="1:33" s="536" customFormat="1" ht="12" x14ac:dyDescent="0.2">
      <c r="A311" s="569"/>
      <c r="B311" s="683"/>
      <c r="C311" s="689" t="s">
        <v>1658</v>
      </c>
      <c r="D311" s="690"/>
      <c r="E311" s="690"/>
      <c r="F311" s="563"/>
      <c r="G311" s="563"/>
      <c r="H311" s="563"/>
      <c r="I311" s="563"/>
      <c r="J311" s="566"/>
      <c r="K311" s="563"/>
      <c r="L311" s="566"/>
      <c r="M311" s="565"/>
      <c r="N311" s="564"/>
      <c r="V311" s="674"/>
      <c r="W311" s="675"/>
      <c r="AB311" s="675"/>
      <c r="AD311" s="675"/>
      <c r="AF311" s="675"/>
      <c r="AG311" s="675"/>
    </row>
    <row r="312" spans="1:33" s="536" customFormat="1" ht="22.5" x14ac:dyDescent="0.2">
      <c r="A312" s="609"/>
      <c r="B312" s="552" t="s">
        <v>718</v>
      </c>
      <c r="C312" s="1822" t="s">
        <v>719</v>
      </c>
      <c r="D312" s="1822"/>
      <c r="E312" s="1822"/>
      <c r="F312" s="1822"/>
      <c r="G312" s="1822"/>
      <c r="H312" s="1822"/>
      <c r="I312" s="1822"/>
      <c r="J312" s="1822"/>
      <c r="K312" s="1822"/>
      <c r="L312" s="1822"/>
      <c r="M312" s="1822"/>
      <c r="N312" s="1827"/>
      <c r="V312" s="674"/>
      <c r="W312" s="675"/>
      <c r="X312" s="537" t="s">
        <v>719</v>
      </c>
      <c r="AB312" s="675"/>
      <c r="AD312" s="675"/>
      <c r="AF312" s="675"/>
      <c r="AG312" s="675"/>
    </row>
    <row r="313" spans="1:33" s="536" customFormat="1" ht="22.5" x14ac:dyDescent="0.2">
      <c r="A313" s="575" t="s">
        <v>775</v>
      </c>
      <c r="B313" s="684" t="s">
        <v>1776</v>
      </c>
      <c r="C313" s="1823" t="s">
        <v>1777</v>
      </c>
      <c r="D313" s="1823"/>
      <c r="E313" s="1823"/>
      <c r="F313" s="573" t="s">
        <v>617</v>
      </c>
      <c r="G313" s="573"/>
      <c r="H313" s="573"/>
      <c r="I313" s="573" t="s">
        <v>190</v>
      </c>
      <c r="J313" s="572"/>
      <c r="K313" s="573"/>
      <c r="L313" s="572"/>
      <c r="M313" s="571"/>
      <c r="N313" s="570"/>
      <c r="V313" s="674"/>
      <c r="W313" s="675" t="s">
        <v>1777</v>
      </c>
      <c r="AB313" s="675"/>
      <c r="AD313" s="675"/>
      <c r="AF313" s="675"/>
      <c r="AG313" s="675"/>
    </row>
    <row r="314" spans="1:33" s="536" customFormat="1" ht="33.75" x14ac:dyDescent="0.2">
      <c r="A314" s="609"/>
      <c r="B314" s="552" t="s">
        <v>310</v>
      </c>
      <c r="C314" s="1822" t="s">
        <v>311</v>
      </c>
      <c r="D314" s="1822"/>
      <c r="E314" s="1822"/>
      <c r="F314" s="1822"/>
      <c r="G314" s="1822"/>
      <c r="H314" s="1822"/>
      <c r="I314" s="1822"/>
      <c r="J314" s="1822"/>
      <c r="K314" s="1822"/>
      <c r="L314" s="1822"/>
      <c r="M314" s="1822"/>
      <c r="N314" s="1827"/>
      <c r="V314" s="674"/>
      <c r="W314" s="675"/>
      <c r="X314" s="537" t="s">
        <v>311</v>
      </c>
      <c r="AB314" s="675"/>
      <c r="AD314" s="675"/>
      <c r="AF314" s="675"/>
      <c r="AG314" s="675"/>
    </row>
    <row r="315" spans="1:33" s="536" customFormat="1" ht="12" x14ac:dyDescent="0.2">
      <c r="A315" s="605"/>
      <c r="B315" s="552" t="s">
        <v>185</v>
      </c>
      <c r="C315" s="1822" t="s">
        <v>312</v>
      </c>
      <c r="D315" s="1822"/>
      <c r="E315" s="1822"/>
      <c r="F315" s="562"/>
      <c r="G315" s="562"/>
      <c r="H315" s="562"/>
      <c r="I315" s="562"/>
      <c r="J315" s="604">
        <v>5.35</v>
      </c>
      <c r="K315" s="562" t="s">
        <v>313</v>
      </c>
      <c r="L315" s="604">
        <v>40.130000000000003</v>
      </c>
      <c r="M315" s="603"/>
      <c r="N315" s="602"/>
      <c r="V315" s="674"/>
      <c r="W315" s="675"/>
      <c r="Y315" s="537" t="s">
        <v>312</v>
      </c>
      <c r="AB315" s="675"/>
      <c r="AD315" s="675"/>
      <c r="AF315" s="675"/>
      <c r="AG315" s="675"/>
    </row>
    <row r="316" spans="1:33" s="536" customFormat="1" ht="12" x14ac:dyDescent="0.2">
      <c r="A316" s="605"/>
      <c r="B316" s="552" t="s">
        <v>188</v>
      </c>
      <c r="C316" s="1822" t="s">
        <v>475</v>
      </c>
      <c r="D316" s="1822"/>
      <c r="E316" s="1822"/>
      <c r="F316" s="562"/>
      <c r="G316" s="562"/>
      <c r="H316" s="562"/>
      <c r="I316" s="562"/>
      <c r="J316" s="604">
        <v>0.94</v>
      </c>
      <c r="K316" s="562"/>
      <c r="L316" s="604">
        <v>5.64</v>
      </c>
      <c r="M316" s="603"/>
      <c r="N316" s="602"/>
      <c r="V316" s="674"/>
      <c r="W316" s="675"/>
      <c r="Y316" s="537" t="s">
        <v>475</v>
      </c>
      <c r="AB316" s="675"/>
      <c r="AD316" s="675"/>
      <c r="AF316" s="675"/>
      <c r="AG316" s="675"/>
    </row>
    <row r="317" spans="1:33" s="536" customFormat="1" ht="12" x14ac:dyDescent="0.2">
      <c r="A317" s="605"/>
      <c r="B317" s="552"/>
      <c r="C317" s="1822" t="s">
        <v>314</v>
      </c>
      <c r="D317" s="1822"/>
      <c r="E317" s="1822"/>
      <c r="F317" s="562" t="s">
        <v>315</v>
      </c>
      <c r="G317" s="562" t="s">
        <v>1778</v>
      </c>
      <c r="H317" s="562" t="s">
        <v>313</v>
      </c>
      <c r="I317" s="562" t="s">
        <v>1779</v>
      </c>
      <c r="J317" s="604"/>
      <c r="K317" s="562"/>
      <c r="L317" s="604"/>
      <c r="M317" s="603"/>
      <c r="N317" s="602"/>
      <c r="V317" s="674"/>
      <c r="W317" s="675"/>
      <c r="Z317" s="537" t="s">
        <v>314</v>
      </c>
      <c r="AB317" s="675"/>
      <c r="AD317" s="675"/>
      <c r="AF317" s="675"/>
      <c r="AG317" s="675"/>
    </row>
    <row r="318" spans="1:33" s="536" customFormat="1" ht="12" x14ac:dyDescent="0.2">
      <c r="A318" s="605"/>
      <c r="B318" s="552"/>
      <c r="C318" s="1828" t="s">
        <v>318</v>
      </c>
      <c r="D318" s="1828"/>
      <c r="E318" s="1828"/>
      <c r="F318" s="608"/>
      <c r="G318" s="608"/>
      <c r="H318" s="608"/>
      <c r="I318" s="608"/>
      <c r="J318" s="607">
        <v>6.29</v>
      </c>
      <c r="K318" s="608"/>
      <c r="L318" s="607">
        <v>45.77</v>
      </c>
      <c r="M318" s="601"/>
      <c r="N318" s="606"/>
      <c r="V318" s="674"/>
      <c r="W318" s="675"/>
      <c r="AA318" s="537" t="s">
        <v>318</v>
      </c>
      <c r="AB318" s="675"/>
      <c r="AD318" s="675"/>
      <c r="AF318" s="675"/>
      <c r="AG318" s="675"/>
    </row>
    <row r="319" spans="1:33" s="536" customFormat="1" ht="12" x14ac:dyDescent="0.2">
      <c r="A319" s="605"/>
      <c r="B319" s="552"/>
      <c r="C319" s="1822" t="s">
        <v>319</v>
      </c>
      <c r="D319" s="1822"/>
      <c r="E319" s="1822"/>
      <c r="F319" s="562"/>
      <c r="G319" s="562"/>
      <c r="H319" s="562"/>
      <c r="I319" s="562"/>
      <c r="J319" s="604"/>
      <c r="K319" s="562"/>
      <c r="L319" s="604">
        <v>40.130000000000003</v>
      </c>
      <c r="M319" s="603"/>
      <c r="N319" s="602"/>
      <c r="V319" s="674"/>
      <c r="W319" s="675"/>
      <c r="Z319" s="537" t="s">
        <v>319</v>
      </c>
      <c r="AB319" s="675"/>
      <c r="AD319" s="675"/>
      <c r="AF319" s="675"/>
      <c r="AG319" s="675"/>
    </row>
    <row r="320" spans="1:33" s="536" customFormat="1" ht="33.75" x14ac:dyDescent="0.2">
      <c r="A320" s="605"/>
      <c r="B320" s="552" t="s">
        <v>1631</v>
      </c>
      <c r="C320" s="1822" t="s">
        <v>1632</v>
      </c>
      <c r="D320" s="1822"/>
      <c r="E320" s="1822"/>
      <c r="F320" s="562" t="s">
        <v>322</v>
      </c>
      <c r="G320" s="562" t="s">
        <v>1633</v>
      </c>
      <c r="H320" s="562"/>
      <c r="I320" s="562" t="s">
        <v>1633</v>
      </c>
      <c r="J320" s="604"/>
      <c r="K320" s="562"/>
      <c r="L320" s="604">
        <v>38.93</v>
      </c>
      <c r="M320" s="603"/>
      <c r="N320" s="602"/>
      <c r="V320" s="674"/>
      <c r="W320" s="675"/>
      <c r="Z320" s="537" t="s">
        <v>1632</v>
      </c>
      <c r="AB320" s="675"/>
      <c r="AD320" s="675"/>
      <c r="AF320" s="675"/>
      <c r="AG320" s="675"/>
    </row>
    <row r="321" spans="1:33" s="536" customFormat="1" ht="33.75" x14ac:dyDescent="0.2">
      <c r="A321" s="605"/>
      <c r="B321" s="552" t="s">
        <v>1634</v>
      </c>
      <c r="C321" s="1822" t="s">
        <v>1635</v>
      </c>
      <c r="D321" s="1822"/>
      <c r="E321" s="1822"/>
      <c r="F321" s="562" t="s">
        <v>322</v>
      </c>
      <c r="G321" s="562" t="s">
        <v>786</v>
      </c>
      <c r="H321" s="562"/>
      <c r="I321" s="562" t="s">
        <v>786</v>
      </c>
      <c r="J321" s="604"/>
      <c r="K321" s="562"/>
      <c r="L321" s="604">
        <v>20.47</v>
      </c>
      <c r="M321" s="603"/>
      <c r="N321" s="602"/>
      <c r="V321" s="674"/>
      <c r="W321" s="675"/>
      <c r="Z321" s="537" t="s">
        <v>1635</v>
      </c>
      <c r="AB321" s="675"/>
      <c r="AD321" s="675"/>
      <c r="AF321" s="675"/>
      <c r="AG321" s="675"/>
    </row>
    <row r="322" spans="1:33" s="536" customFormat="1" ht="12" x14ac:dyDescent="0.2">
      <c r="A322" s="569"/>
      <c r="B322" s="683"/>
      <c r="C322" s="1823" t="s">
        <v>327</v>
      </c>
      <c r="D322" s="1823"/>
      <c r="E322" s="1823"/>
      <c r="F322" s="573"/>
      <c r="G322" s="573"/>
      <c r="H322" s="573"/>
      <c r="I322" s="573"/>
      <c r="J322" s="572"/>
      <c r="K322" s="573"/>
      <c r="L322" s="572">
        <v>105.17</v>
      </c>
      <c r="M322" s="601"/>
      <c r="N322" s="570"/>
      <c r="V322" s="674"/>
      <c r="W322" s="675"/>
      <c r="AB322" s="675" t="s">
        <v>327</v>
      </c>
      <c r="AD322" s="675"/>
      <c r="AF322" s="675"/>
      <c r="AG322" s="675"/>
    </row>
    <row r="323" spans="1:33" s="536" customFormat="1" ht="33.75" x14ac:dyDescent="0.2">
      <c r="A323" s="575" t="s">
        <v>776</v>
      </c>
      <c r="B323" s="684" t="s">
        <v>1780</v>
      </c>
      <c r="C323" s="1823" t="s">
        <v>1781</v>
      </c>
      <c r="D323" s="1823"/>
      <c r="E323" s="1823"/>
      <c r="F323" s="573" t="s">
        <v>483</v>
      </c>
      <c r="G323" s="573"/>
      <c r="H323" s="573"/>
      <c r="I323" s="573" t="s">
        <v>190</v>
      </c>
      <c r="J323" s="572">
        <v>211</v>
      </c>
      <c r="K323" s="573" t="s">
        <v>716</v>
      </c>
      <c r="L323" s="572">
        <v>155.16999999999999</v>
      </c>
      <c r="M323" s="571">
        <v>8.32</v>
      </c>
      <c r="N323" s="570">
        <v>1291</v>
      </c>
      <c r="V323" s="674"/>
      <c r="W323" s="675" t="s">
        <v>1781</v>
      </c>
      <c r="AB323" s="675"/>
      <c r="AD323" s="675"/>
      <c r="AF323" s="675"/>
      <c r="AG323" s="675"/>
    </row>
    <row r="324" spans="1:33" s="536" customFormat="1" ht="12" x14ac:dyDescent="0.2">
      <c r="A324" s="569"/>
      <c r="B324" s="683"/>
      <c r="C324" s="689" t="s">
        <v>1658</v>
      </c>
      <c r="D324" s="690"/>
      <c r="E324" s="690"/>
      <c r="F324" s="563"/>
      <c r="G324" s="563"/>
      <c r="H324" s="563"/>
      <c r="I324" s="563"/>
      <c r="J324" s="566"/>
      <c r="K324" s="563"/>
      <c r="L324" s="566"/>
      <c r="M324" s="565"/>
      <c r="N324" s="564"/>
      <c r="V324" s="674"/>
      <c r="W324" s="675"/>
      <c r="AB324" s="675"/>
      <c r="AD324" s="675"/>
      <c r="AF324" s="675"/>
      <c r="AG324" s="675"/>
    </row>
    <row r="325" spans="1:33" s="536" customFormat="1" ht="22.5" x14ac:dyDescent="0.2">
      <c r="A325" s="609"/>
      <c r="B325" s="552" t="s">
        <v>718</v>
      </c>
      <c r="C325" s="1822" t="s">
        <v>719</v>
      </c>
      <c r="D325" s="1822"/>
      <c r="E325" s="1822"/>
      <c r="F325" s="1822"/>
      <c r="G325" s="1822"/>
      <c r="H325" s="1822"/>
      <c r="I325" s="1822"/>
      <c r="J325" s="1822"/>
      <c r="K325" s="1822"/>
      <c r="L325" s="1822"/>
      <c r="M325" s="1822"/>
      <c r="N325" s="1827"/>
      <c r="V325" s="674"/>
      <c r="W325" s="675"/>
      <c r="X325" s="537" t="s">
        <v>719</v>
      </c>
      <c r="AB325" s="675"/>
      <c r="AD325" s="675"/>
      <c r="AF325" s="675"/>
      <c r="AG325" s="675"/>
    </row>
    <row r="326" spans="1:33" s="536" customFormat="1" ht="33.75" x14ac:dyDescent="0.2">
      <c r="A326" s="575" t="s">
        <v>931</v>
      </c>
      <c r="B326" s="684" t="s">
        <v>1782</v>
      </c>
      <c r="C326" s="1823" t="s">
        <v>1783</v>
      </c>
      <c r="D326" s="1823"/>
      <c r="E326" s="1823"/>
      <c r="F326" s="573" t="s">
        <v>617</v>
      </c>
      <c r="G326" s="573"/>
      <c r="H326" s="573"/>
      <c r="I326" s="573" t="s">
        <v>1784</v>
      </c>
      <c r="J326" s="572"/>
      <c r="K326" s="573"/>
      <c r="L326" s="572"/>
      <c r="M326" s="571"/>
      <c r="N326" s="570"/>
      <c r="V326" s="674"/>
      <c r="W326" s="675" t="s">
        <v>1783</v>
      </c>
      <c r="AB326" s="675"/>
      <c r="AD326" s="675"/>
      <c r="AF326" s="675"/>
      <c r="AG326" s="675"/>
    </row>
    <row r="327" spans="1:33" s="536" customFormat="1" ht="33.75" x14ac:dyDescent="0.2">
      <c r="A327" s="609"/>
      <c r="B327" s="552" t="s">
        <v>310</v>
      </c>
      <c r="C327" s="1822" t="s">
        <v>311</v>
      </c>
      <c r="D327" s="1822"/>
      <c r="E327" s="1822"/>
      <c r="F327" s="1822"/>
      <c r="G327" s="1822"/>
      <c r="H327" s="1822"/>
      <c r="I327" s="1822"/>
      <c r="J327" s="1822"/>
      <c r="K327" s="1822"/>
      <c r="L327" s="1822"/>
      <c r="M327" s="1822"/>
      <c r="N327" s="1827"/>
      <c r="V327" s="674"/>
      <c r="W327" s="675"/>
      <c r="X327" s="537" t="s">
        <v>311</v>
      </c>
      <c r="AB327" s="675"/>
      <c r="AD327" s="675"/>
      <c r="AF327" s="675"/>
      <c r="AG327" s="675"/>
    </row>
    <row r="328" spans="1:33" s="536" customFormat="1" ht="12" x14ac:dyDescent="0.2">
      <c r="A328" s="605"/>
      <c r="B328" s="552" t="s">
        <v>185</v>
      </c>
      <c r="C328" s="1822" t="s">
        <v>312</v>
      </c>
      <c r="D328" s="1822"/>
      <c r="E328" s="1822"/>
      <c r="F328" s="562"/>
      <c r="G328" s="562"/>
      <c r="H328" s="562"/>
      <c r="I328" s="562"/>
      <c r="J328" s="604">
        <v>3.57</v>
      </c>
      <c r="K328" s="562" t="s">
        <v>313</v>
      </c>
      <c r="L328" s="604">
        <v>240.98</v>
      </c>
      <c r="M328" s="603"/>
      <c r="N328" s="602"/>
      <c r="V328" s="674"/>
      <c r="W328" s="675"/>
      <c r="Y328" s="537" t="s">
        <v>312</v>
      </c>
      <c r="AB328" s="675"/>
      <c r="AD328" s="675"/>
      <c r="AF328" s="675"/>
      <c r="AG328" s="675"/>
    </row>
    <row r="329" spans="1:33" s="536" customFormat="1" ht="12" x14ac:dyDescent="0.2">
      <c r="A329" s="605"/>
      <c r="B329" s="552" t="s">
        <v>188</v>
      </c>
      <c r="C329" s="1822" t="s">
        <v>475</v>
      </c>
      <c r="D329" s="1822"/>
      <c r="E329" s="1822"/>
      <c r="F329" s="562"/>
      <c r="G329" s="562"/>
      <c r="H329" s="562"/>
      <c r="I329" s="562"/>
      <c r="J329" s="604">
        <v>15.07</v>
      </c>
      <c r="K329" s="562"/>
      <c r="L329" s="604">
        <v>3.78</v>
      </c>
      <c r="M329" s="603"/>
      <c r="N329" s="602"/>
      <c r="V329" s="674"/>
      <c r="W329" s="675"/>
      <c r="Y329" s="537" t="s">
        <v>475</v>
      </c>
      <c r="AB329" s="675"/>
      <c r="AD329" s="675"/>
      <c r="AF329" s="675"/>
      <c r="AG329" s="675"/>
    </row>
    <row r="330" spans="1:33" s="536" customFormat="1" ht="12" x14ac:dyDescent="0.2">
      <c r="A330" s="605"/>
      <c r="B330" s="552"/>
      <c r="C330" s="1822" t="s">
        <v>314</v>
      </c>
      <c r="D330" s="1822"/>
      <c r="E330" s="1822"/>
      <c r="F330" s="562" t="s">
        <v>315</v>
      </c>
      <c r="G330" s="562" t="s">
        <v>1785</v>
      </c>
      <c r="H330" s="562" t="s">
        <v>313</v>
      </c>
      <c r="I330" s="562" t="s">
        <v>1786</v>
      </c>
      <c r="J330" s="604"/>
      <c r="K330" s="562"/>
      <c r="L330" s="604"/>
      <c r="M330" s="603"/>
      <c r="N330" s="602"/>
      <c r="V330" s="674"/>
      <c r="W330" s="675"/>
      <c r="Z330" s="537" t="s">
        <v>314</v>
      </c>
      <c r="AB330" s="675"/>
      <c r="AD330" s="675"/>
      <c r="AF330" s="675"/>
      <c r="AG330" s="675"/>
    </row>
    <row r="331" spans="1:33" s="536" customFormat="1" ht="12" x14ac:dyDescent="0.2">
      <c r="A331" s="605"/>
      <c r="B331" s="552"/>
      <c r="C331" s="1828" t="s">
        <v>318</v>
      </c>
      <c r="D331" s="1828"/>
      <c r="E331" s="1828"/>
      <c r="F331" s="608"/>
      <c r="G331" s="608"/>
      <c r="H331" s="608"/>
      <c r="I331" s="608"/>
      <c r="J331" s="607">
        <v>3.64</v>
      </c>
      <c r="K331" s="608"/>
      <c r="L331" s="607">
        <v>244.76</v>
      </c>
      <c r="M331" s="601"/>
      <c r="N331" s="606"/>
      <c r="V331" s="674"/>
      <c r="W331" s="675"/>
      <c r="AA331" s="537" t="s">
        <v>318</v>
      </c>
      <c r="AB331" s="675"/>
      <c r="AD331" s="675"/>
      <c r="AF331" s="675"/>
      <c r="AG331" s="675"/>
    </row>
    <row r="332" spans="1:33" s="536" customFormat="1" ht="12" x14ac:dyDescent="0.2">
      <c r="A332" s="605"/>
      <c r="B332" s="552"/>
      <c r="C332" s="1822" t="s">
        <v>319</v>
      </c>
      <c r="D332" s="1822"/>
      <c r="E332" s="1822"/>
      <c r="F332" s="562"/>
      <c r="G332" s="562"/>
      <c r="H332" s="562"/>
      <c r="I332" s="562"/>
      <c r="J332" s="604"/>
      <c r="K332" s="562"/>
      <c r="L332" s="604">
        <v>240.98</v>
      </c>
      <c r="M332" s="603"/>
      <c r="N332" s="602"/>
      <c r="V332" s="674"/>
      <c r="W332" s="675"/>
      <c r="Z332" s="537" t="s">
        <v>319</v>
      </c>
      <c r="AB332" s="675"/>
      <c r="AD332" s="675"/>
      <c r="AF332" s="675"/>
      <c r="AG332" s="675"/>
    </row>
    <row r="333" spans="1:33" s="536" customFormat="1" ht="33.75" x14ac:dyDescent="0.2">
      <c r="A333" s="605"/>
      <c r="B333" s="552" t="s">
        <v>1631</v>
      </c>
      <c r="C333" s="1822" t="s">
        <v>1632</v>
      </c>
      <c r="D333" s="1822"/>
      <c r="E333" s="1822"/>
      <c r="F333" s="562" t="s">
        <v>322</v>
      </c>
      <c r="G333" s="562" t="s">
        <v>1633</v>
      </c>
      <c r="H333" s="562"/>
      <c r="I333" s="562" t="s">
        <v>1633</v>
      </c>
      <c r="J333" s="604"/>
      <c r="K333" s="562"/>
      <c r="L333" s="604">
        <v>233.75</v>
      </c>
      <c r="M333" s="603"/>
      <c r="N333" s="602"/>
      <c r="V333" s="674"/>
      <c r="W333" s="675"/>
      <c r="Z333" s="537" t="s">
        <v>1632</v>
      </c>
      <c r="AB333" s="675"/>
      <c r="AD333" s="675"/>
      <c r="AF333" s="675"/>
      <c r="AG333" s="675"/>
    </row>
    <row r="334" spans="1:33" s="536" customFormat="1" ht="33.75" x14ac:dyDescent="0.2">
      <c r="A334" s="605"/>
      <c r="B334" s="552" t="s">
        <v>1634</v>
      </c>
      <c r="C334" s="1822" t="s">
        <v>1635</v>
      </c>
      <c r="D334" s="1822"/>
      <c r="E334" s="1822"/>
      <c r="F334" s="562" t="s">
        <v>322</v>
      </c>
      <c r="G334" s="562" t="s">
        <v>786</v>
      </c>
      <c r="H334" s="562"/>
      <c r="I334" s="562" t="s">
        <v>786</v>
      </c>
      <c r="J334" s="604"/>
      <c r="K334" s="562"/>
      <c r="L334" s="604">
        <v>122.9</v>
      </c>
      <c r="M334" s="603"/>
      <c r="N334" s="602"/>
      <c r="V334" s="674"/>
      <c r="W334" s="675"/>
      <c r="Z334" s="537" t="s">
        <v>1635</v>
      </c>
      <c r="AB334" s="675"/>
      <c r="AD334" s="675"/>
      <c r="AF334" s="675"/>
      <c r="AG334" s="675"/>
    </row>
    <row r="335" spans="1:33" s="536" customFormat="1" ht="12" x14ac:dyDescent="0.2">
      <c r="A335" s="569"/>
      <c r="B335" s="683"/>
      <c r="C335" s="1823" t="s">
        <v>327</v>
      </c>
      <c r="D335" s="1823"/>
      <c r="E335" s="1823"/>
      <c r="F335" s="573"/>
      <c r="G335" s="573"/>
      <c r="H335" s="573"/>
      <c r="I335" s="573"/>
      <c r="J335" s="572"/>
      <c r="K335" s="573"/>
      <c r="L335" s="572">
        <v>601.41</v>
      </c>
      <c r="M335" s="601"/>
      <c r="N335" s="570"/>
      <c r="V335" s="674"/>
      <c r="W335" s="675"/>
      <c r="AB335" s="675" t="s">
        <v>327</v>
      </c>
      <c r="AD335" s="675"/>
      <c r="AF335" s="675"/>
      <c r="AG335" s="675"/>
    </row>
    <row r="336" spans="1:33" s="536" customFormat="1" ht="33.75" x14ac:dyDescent="0.2">
      <c r="A336" s="575" t="s">
        <v>465</v>
      </c>
      <c r="B336" s="684" t="s">
        <v>1787</v>
      </c>
      <c r="C336" s="1823" t="s">
        <v>1788</v>
      </c>
      <c r="D336" s="1823"/>
      <c r="E336" s="1823"/>
      <c r="F336" s="573" t="s">
        <v>617</v>
      </c>
      <c r="G336" s="573"/>
      <c r="H336" s="573"/>
      <c r="I336" s="573" t="s">
        <v>430</v>
      </c>
      <c r="J336" s="572">
        <v>1266.02</v>
      </c>
      <c r="K336" s="573" t="s">
        <v>716</v>
      </c>
      <c r="L336" s="572">
        <v>2793.75</v>
      </c>
      <c r="M336" s="571">
        <v>8.32</v>
      </c>
      <c r="N336" s="570">
        <v>23244</v>
      </c>
      <c r="V336" s="674"/>
      <c r="W336" s="675" t="s">
        <v>1788</v>
      </c>
      <c r="AB336" s="675"/>
      <c r="AD336" s="675"/>
      <c r="AF336" s="675"/>
      <c r="AG336" s="675"/>
    </row>
    <row r="337" spans="1:33" s="536" customFormat="1" ht="12" x14ac:dyDescent="0.2">
      <c r="A337" s="569"/>
      <c r="B337" s="683"/>
      <c r="C337" s="689" t="s">
        <v>1658</v>
      </c>
      <c r="D337" s="690"/>
      <c r="E337" s="690"/>
      <c r="F337" s="563"/>
      <c r="G337" s="563"/>
      <c r="H337" s="563"/>
      <c r="I337" s="563"/>
      <c r="J337" s="566"/>
      <c r="K337" s="563"/>
      <c r="L337" s="566"/>
      <c r="M337" s="565"/>
      <c r="N337" s="564"/>
      <c r="V337" s="674"/>
      <c r="W337" s="675"/>
      <c r="AB337" s="675"/>
      <c r="AD337" s="675"/>
      <c r="AF337" s="675"/>
      <c r="AG337" s="675"/>
    </row>
    <row r="338" spans="1:33" s="536" customFormat="1" ht="22.5" x14ac:dyDescent="0.2">
      <c r="A338" s="609"/>
      <c r="B338" s="552" t="s">
        <v>718</v>
      </c>
      <c r="C338" s="1822" t="s">
        <v>719</v>
      </c>
      <c r="D338" s="1822"/>
      <c r="E338" s="1822"/>
      <c r="F338" s="1822"/>
      <c r="G338" s="1822"/>
      <c r="H338" s="1822"/>
      <c r="I338" s="1822"/>
      <c r="J338" s="1822"/>
      <c r="K338" s="1822"/>
      <c r="L338" s="1822"/>
      <c r="M338" s="1822"/>
      <c r="N338" s="1827"/>
      <c r="V338" s="674"/>
      <c r="W338" s="675"/>
      <c r="X338" s="537" t="s">
        <v>719</v>
      </c>
      <c r="AB338" s="675"/>
      <c r="AD338" s="675"/>
      <c r="AF338" s="675"/>
      <c r="AG338" s="675"/>
    </row>
    <row r="339" spans="1:33" s="536" customFormat="1" ht="33.75" x14ac:dyDescent="0.2">
      <c r="A339" s="575" t="s">
        <v>782</v>
      </c>
      <c r="B339" s="684" t="s">
        <v>1789</v>
      </c>
      <c r="C339" s="1823" t="s">
        <v>1790</v>
      </c>
      <c r="D339" s="1823"/>
      <c r="E339" s="1823"/>
      <c r="F339" s="573" t="s">
        <v>617</v>
      </c>
      <c r="G339" s="573"/>
      <c r="H339" s="573"/>
      <c r="I339" s="573" t="s">
        <v>190</v>
      </c>
      <c r="J339" s="572"/>
      <c r="K339" s="573"/>
      <c r="L339" s="572"/>
      <c r="M339" s="571"/>
      <c r="N339" s="570"/>
      <c r="V339" s="674"/>
      <c r="W339" s="675" t="s">
        <v>1790</v>
      </c>
      <c r="AB339" s="675"/>
      <c r="AD339" s="675"/>
      <c r="AF339" s="675"/>
      <c r="AG339" s="675"/>
    </row>
    <row r="340" spans="1:33" s="536" customFormat="1" ht="12" x14ac:dyDescent="0.2">
      <c r="A340" s="605"/>
      <c r="B340" s="552" t="s">
        <v>185</v>
      </c>
      <c r="C340" s="1822" t="s">
        <v>312</v>
      </c>
      <c r="D340" s="1822"/>
      <c r="E340" s="1822"/>
      <c r="F340" s="562"/>
      <c r="G340" s="562"/>
      <c r="H340" s="562"/>
      <c r="I340" s="562"/>
      <c r="J340" s="604">
        <v>10.220000000000001</v>
      </c>
      <c r="K340" s="562"/>
      <c r="L340" s="604">
        <v>61.32</v>
      </c>
      <c r="M340" s="603"/>
      <c r="N340" s="602"/>
      <c r="V340" s="674"/>
      <c r="W340" s="675"/>
      <c r="Y340" s="537" t="s">
        <v>312</v>
      </c>
      <c r="AB340" s="675"/>
      <c r="AD340" s="675"/>
      <c r="AF340" s="675"/>
      <c r="AG340" s="675"/>
    </row>
    <row r="341" spans="1:33" s="536" customFormat="1" ht="12" x14ac:dyDescent="0.2">
      <c r="A341" s="605"/>
      <c r="B341" s="552" t="s">
        <v>188</v>
      </c>
      <c r="C341" s="1822" t="s">
        <v>475</v>
      </c>
      <c r="D341" s="1822"/>
      <c r="E341" s="1822"/>
      <c r="F341" s="562"/>
      <c r="G341" s="562"/>
      <c r="H341" s="562"/>
      <c r="I341" s="562"/>
      <c r="J341" s="604">
        <v>1.31</v>
      </c>
      <c r="K341" s="562"/>
      <c r="L341" s="604">
        <v>7.86</v>
      </c>
      <c r="M341" s="603"/>
      <c r="N341" s="602"/>
      <c r="V341" s="674"/>
      <c r="W341" s="675"/>
      <c r="Y341" s="537" t="s">
        <v>475</v>
      </c>
      <c r="AB341" s="675"/>
      <c r="AD341" s="675"/>
      <c r="AF341" s="675"/>
      <c r="AG341" s="675"/>
    </row>
    <row r="342" spans="1:33" s="536" customFormat="1" ht="12" x14ac:dyDescent="0.2">
      <c r="A342" s="605"/>
      <c r="B342" s="552"/>
      <c r="C342" s="1822" t="s">
        <v>314</v>
      </c>
      <c r="D342" s="1822"/>
      <c r="E342" s="1822"/>
      <c r="F342" s="562" t="s">
        <v>315</v>
      </c>
      <c r="G342" s="562" t="s">
        <v>702</v>
      </c>
      <c r="H342" s="562"/>
      <c r="I342" s="562" t="s">
        <v>1791</v>
      </c>
      <c r="J342" s="604"/>
      <c r="K342" s="562"/>
      <c r="L342" s="604"/>
      <c r="M342" s="603"/>
      <c r="N342" s="602"/>
      <c r="V342" s="674"/>
      <c r="W342" s="675"/>
      <c r="Z342" s="537" t="s">
        <v>314</v>
      </c>
      <c r="AB342" s="675"/>
      <c r="AD342" s="675"/>
      <c r="AF342" s="675"/>
      <c r="AG342" s="675"/>
    </row>
    <row r="343" spans="1:33" s="536" customFormat="1" ht="12" x14ac:dyDescent="0.2">
      <c r="A343" s="605"/>
      <c r="B343" s="552"/>
      <c r="C343" s="1828" t="s">
        <v>318</v>
      </c>
      <c r="D343" s="1828"/>
      <c r="E343" s="1828"/>
      <c r="F343" s="608"/>
      <c r="G343" s="608"/>
      <c r="H343" s="608"/>
      <c r="I343" s="608"/>
      <c r="J343" s="607">
        <v>11.53</v>
      </c>
      <c r="K343" s="608"/>
      <c r="L343" s="607">
        <v>69.180000000000007</v>
      </c>
      <c r="M343" s="601"/>
      <c r="N343" s="606"/>
      <c r="V343" s="674"/>
      <c r="W343" s="675"/>
      <c r="AA343" s="537" t="s">
        <v>318</v>
      </c>
      <c r="AB343" s="675"/>
      <c r="AD343" s="675"/>
      <c r="AF343" s="675"/>
      <c r="AG343" s="675"/>
    </row>
    <row r="344" spans="1:33" s="536" customFormat="1" ht="12" x14ac:dyDescent="0.2">
      <c r="A344" s="605"/>
      <c r="B344" s="552"/>
      <c r="C344" s="1822" t="s">
        <v>319</v>
      </c>
      <c r="D344" s="1822"/>
      <c r="E344" s="1822"/>
      <c r="F344" s="562"/>
      <c r="G344" s="562"/>
      <c r="H344" s="562"/>
      <c r="I344" s="562"/>
      <c r="J344" s="604"/>
      <c r="K344" s="562"/>
      <c r="L344" s="604">
        <v>61.32</v>
      </c>
      <c r="M344" s="603"/>
      <c r="N344" s="602"/>
      <c r="V344" s="674"/>
      <c r="W344" s="675"/>
      <c r="Z344" s="537" t="s">
        <v>319</v>
      </c>
      <c r="AB344" s="675"/>
      <c r="AD344" s="675"/>
      <c r="AF344" s="675"/>
      <c r="AG344" s="675"/>
    </row>
    <row r="345" spans="1:33" s="536" customFormat="1" ht="33.75" x14ac:dyDescent="0.2">
      <c r="A345" s="605"/>
      <c r="B345" s="552" t="s">
        <v>948</v>
      </c>
      <c r="C345" s="1822" t="s">
        <v>949</v>
      </c>
      <c r="D345" s="1822"/>
      <c r="E345" s="1822"/>
      <c r="F345" s="562" t="s">
        <v>322</v>
      </c>
      <c r="G345" s="562" t="s">
        <v>886</v>
      </c>
      <c r="H345" s="562"/>
      <c r="I345" s="562" t="s">
        <v>886</v>
      </c>
      <c r="J345" s="604"/>
      <c r="K345" s="562"/>
      <c r="L345" s="604">
        <v>55.19</v>
      </c>
      <c r="M345" s="603"/>
      <c r="N345" s="602"/>
      <c r="V345" s="674"/>
      <c r="W345" s="675"/>
      <c r="Z345" s="537" t="s">
        <v>949</v>
      </c>
      <c r="AB345" s="675"/>
      <c r="AD345" s="675"/>
      <c r="AF345" s="675"/>
      <c r="AG345" s="675"/>
    </row>
    <row r="346" spans="1:33" s="536" customFormat="1" ht="33.75" x14ac:dyDescent="0.2">
      <c r="A346" s="605"/>
      <c r="B346" s="552" t="s">
        <v>950</v>
      </c>
      <c r="C346" s="1822" t="s">
        <v>951</v>
      </c>
      <c r="D346" s="1822"/>
      <c r="E346" s="1822"/>
      <c r="F346" s="562" t="s">
        <v>322</v>
      </c>
      <c r="G346" s="562" t="s">
        <v>465</v>
      </c>
      <c r="H346" s="562"/>
      <c r="I346" s="562" t="s">
        <v>465</v>
      </c>
      <c r="J346" s="604"/>
      <c r="K346" s="562"/>
      <c r="L346" s="604">
        <v>28.21</v>
      </c>
      <c r="M346" s="603"/>
      <c r="N346" s="602"/>
      <c r="V346" s="674"/>
      <c r="W346" s="675"/>
      <c r="Z346" s="537" t="s">
        <v>951</v>
      </c>
      <c r="AB346" s="675"/>
      <c r="AD346" s="675"/>
      <c r="AF346" s="675"/>
      <c r="AG346" s="675"/>
    </row>
    <row r="347" spans="1:33" s="536" customFormat="1" ht="12" x14ac:dyDescent="0.2">
      <c r="A347" s="569"/>
      <c r="B347" s="683"/>
      <c r="C347" s="1823" t="s">
        <v>327</v>
      </c>
      <c r="D347" s="1823"/>
      <c r="E347" s="1823"/>
      <c r="F347" s="573"/>
      <c r="G347" s="573"/>
      <c r="H347" s="573"/>
      <c r="I347" s="573"/>
      <c r="J347" s="572"/>
      <c r="K347" s="573"/>
      <c r="L347" s="572">
        <v>152.58000000000001</v>
      </c>
      <c r="M347" s="601"/>
      <c r="N347" s="570"/>
      <c r="V347" s="674"/>
      <c r="W347" s="675"/>
      <c r="AB347" s="675" t="s">
        <v>327</v>
      </c>
      <c r="AD347" s="675"/>
      <c r="AF347" s="675"/>
      <c r="AG347" s="675"/>
    </row>
    <row r="348" spans="1:33" s="536" customFormat="1" ht="33.75" x14ac:dyDescent="0.2">
      <c r="A348" s="575" t="s">
        <v>783</v>
      </c>
      <c r="B348" s="684" t="s">
        <v>1792</v>
      </c>
      <c r="C348" s="1823" t="s">
        <v>1793</v>
      </c>
      <c r="D348" s="1823"/>
      <c r="E348" s="1823"/>
      <c r="F348" s="573" t="s">
        <v>617</v>
      </c>
      <c r="G348" s="573"/>
      <c r="H348" s="573"/>
      <c r="I348" s="573" t="s">
        <v>190</v>
      </c>
      <c r="J348" s="572">
        <v>3876.2</v>
      </c>
      <c r="K348" s="573" t="s">
        <v>629</v>
      </c>
      <c r="L348" s="572">
        <v>5127.67</v>
      </c>
      <c r="M348" s="571">
        <v>4.59</v>
      </c>
      <c r="N348" s="570">
        <v>23536</v>
      </c>
      <c r="V348" s="674"/>
      <c r="W348" s="675" t="s">
        <v>1793</v>
      </c>
      <c r="AB348" s="675"/>
      <c r="AD348" s="675"/>
      <c r="AF348" s="675"/>
      <c r="AG348" s="675"/>
    </row>
    <row r="349" spans="1:33" s="536" customFormat="1" ht="12" x14ac:dyDescent="0.2">
      <c r="A349" s="569"/>
      <c r="B349" s="683"/>
      <c r="C349" s="689" t="s">
        <v>630</v>
      </c>
      <c r="D349" s="690"/>
      <c r="E349" s="690"/>
      <c r="F349" s="563"/>
      <c r="G349" s="563"/>
      <c r="H349" s="563"/>
      <c r="I349" s="563"/>
      <c r="J349" s="566"/>
      <c r="K349" s="563"/>
      <c r="L349" s="566"/>
      <c r="M349" s="565"/>
      <c r="N349" s="564"/>
      <c r="V349" s="674"/>
      <c r="W349" s="675"/>
      <c r="AB349" s="675"/>
      <c r="AD349" s="675"/>
      <c r="AF349" s="675"/>
      <c r="AG349" s="675"/>
    </row>
    <row r="350" spans="1:33" s="536" customFormat="1" ht="22.5" x14ac:dyDescent="0.2">
      <c r="A350" s="609"/>
      <c r="B350" s="552" t="s">
        <v>1638</v>
      </c>
      <c r="C350" s="1822" t="s">
        <v>632</v>
      </c>
      <c r="D350" s="1822"/>
      <c r="E350" s="1822"/>
      <c r="F350" s="1822"/>
      <c r="G350" s="1822"/>
      <c r="H350" s="1822"/>
      <c r="I350" s="1822"/>
      <c r="J350" s="1822"/>
      <c r="K350" s="1822"/>
      <c r="L350" s="1822"/>
      <c r="M350" s="1822"/>
      <c r="N350" s="1827"/>
      <c r="V350" s="674"/>
      <c r="W350" s="675"/>
      <c r="X350" s="537" t="s">
        <v>632</v>
      </c>
      <c r="AB350" s="675"/>
      <c r="AD350" s="675"/>
      <c r="AF350" s="675"/>
      <c r="AG350" s="675"/>
    </row>
    <row r="351" spans="1:33" s="536" customFormat="1" ht="45" x14ac:dyDescent="0.2">
      <c r="A351" s="575" t="s">
        <v>784</v>
      </c>
      <c r="B351" s="684" t="s">
        <v>1794</v>
      </c>
      <c r="C351" s="1823" t="s">
        <v>1795</v>
      </c>
      <c r="D351" s="1823"/>
      <c r="E351" s="1823"/>
      <c r="F351" s="573" t="s">
        <v>1110</v>
      </c>
      <c r="G351" s="573"/>
      <c r="H351" s="573"/>
      <c r="I351" s="573" t="s">
        <v>646</v>
      </c>
      <c r="J351" s="572"/>
      <c r="K351" s="573"/>
      <c r="L351" s="572"/>
      <c r="M351" s="571"/>
      <c r="N351" s="570"/>
      <c r="V351" s="674"/>
      <c r="W351" s="675" t="s">
        <v>1795</v>
      </c>
      <c r="AB351" s="675"/>
      <c r="AD351" s="675"/>
      <c r="AF351" s="675"/>
      <c r="AG351" s="675"/>
    </row>
    <row r="352" spans="1:33" s="536" customFormat="1" ht="12" x14ac:dyDescent="0.2">
      <c r="A352" s="676"/>
      <c r="B352" s="682"/>
      <c r="C352" s="1822" t="s">
        <v>1697</v>
      </c>
      <c r="D352" s="1822"/>
      <c r="E352" s="1822"/>
      <c r="F352" s="1822"/>
      <c r="G352" s="1822"/>
      <c r="H352" s="1822"/>
      <c r="I352" s="1822"/>
      <c r="J352" s="1822"/>
      <c r="K352" s="1822"/>
      <c r="L352" s="1822"/>
      <c r="M352" s="1822"/>
      <c r="N352" s="1827"/>
      <c r="V352" s="674"/>
      <c r="W352" s="675"/>
      <c r="AB352" s="675"/>
      <c r="AC352" s="537" t="s">
        <v>1697</v>
      </c>
      <c r="AD352" s="675"/>
      <c r="AF352" s="675"/>
      <c r="AG352" s="675"/>
    </row>
    <row r="353" spans="1:33" s="536" customFormat="1" ht="33.75" x14ac:dyDescent="0.2">
      <c r="A353" s="609"/>
      <c r="B353" s="552" t="s">
        <v>310</v>
      </c>
      <c r="C353" s="1822" t="s">
        <v>311</v>
      </c>
      <c r="D353" s="1822"/>
      <c r="E353" s="1822"/>
      <c r="F353" s="1822"/>
      <c r="G353" s="1822"/>
      <c r="H353" s="1822"/>
      <c r="I353" s="1822"/>
      <c r="J353" s="1822"/>
      <c r="K353" s="1822"/>
      <c r="L353" s="1822"/>
      <c r="M353" s="1822"/>
      <c r="N353" s="1827"/>
      <c r="V353" s="674"/>
      <c r="W353" s="675"/>
      <c r="X353" s="537" t="s">
        <v>311</v>
      </c>
      <c r="AB353" s="675"/>
      <c r="AD353" s="675"/>
      <c r="AF353" s="675"/>
      <c r="AG353" s="675"/>
    </row>
    <row r="354" spans="1:33" s="536" customFormat="1" ht="12" x14ac:dyDescent="0.2">
      <c r="A354" s="605"/>
      <c r="B354" s="552" t="s">
        <v>185</v>
      </c>
      <c r="C354" s="1822" t="s">
        <v>312</v>
      </c>
      <c r="D354" s="1822"/>
      <c r="E354" s="1822"/>
      <c r="F354" s="562"/>
      <c r="G354" s="562"/>
      <c r="H354" s="562"/>
      <c r="I354" s="562"/>
      <c r="J354" s="604">
        <v>302.3</v>
      </c>
      <c r="K354" s="562" t="s">
        <v>313</v>
      </c>
      <c r="L354" s="604">
        <v>45.35</v>
      </c>
      <c r="M354" s="603"/>
      <c r="N354" s="602"/>
      <c r="V354" s="674"/>
      <c r="W354" s="675"/>
      <c r="Y354" s="537" t="s">
        <v>312</v>
      </c>
      <c r="AB354" s="675"/>
      <c r="AD354" s="675"/>
      <c r="AF354" s="675"/>
      <c r="AG354" s="675"/>
    </row>
    <row r="355" spans="1:33" s="536" customFormat="1" ht="12" x14ac:dyDescent="0.2">
      <c r="A355" s="605"/>
      <c r="B355" s="552" t="s">
        <v>186</v>
      </c>
      <c r="C355" s="1822" t="s">
        <v>344</v>
      </c>
      <c r="D355" s="1822"/>
      <c r="E355" s="1822"/>
      <c r="F355" s="562"/>
      <c r="G355" s="562"/>
      <c r="H355" s="562"/>
      <c r="I355" s="562"/>
      <c r="J355" s="604">
        <v>5.43</v>
      </c>
      <c r="K355" s="562" t="s">
        <v>313</v>
      </c>
      <c r="L355" s="604">
        <v>0.81</v>
      </c>
      <c r="M355" s="603"/>
      <c r="N355" s="602"/>
      <c r="V355" s="674"/>
      <c r="W355" s="675"/>
      <c r="Y355" s="537" t="s">
        <v>344</v>
      </c>
      <c r="AB355" s="675"/>
      <c r="AD355" s="675"/>
      <c r="AF355" s="675"/>
      <c r="AG355" s="675"/>
    </row>
    <row r="356" spans="1:33" s="536" customFormat="1" ht="12" x14ac:dyDescent="0.2">
      <c r="A356" s="605"/>
      <c r="B356" s="552" t="s">
        <v>187</v>
      </c>
      <c r="C356" s="1822" t="s">
        <v>345</v>
      </c>
      <c r="D356" s="1822"/>
      <c r="E356" s="1822"/>
      <c r="F356" s="562"/>
      <c r="G356" s="562"/>
      <c r="H356" s="562"/>
      <c r="I356" s="562"/>
      <c r="J356" s="604">
        <v>0.76</v>
      </c>
      <c r="K356" s="562" t="s">
        <v>313</v>
      </c>
      <c r="L356" s="604">
        <v>0.11</v>
      </c>
      <c r="M356" s="603"/>
      <c r="N356" s="602"/>
      <c r="V356" s="674"/>
      <c r="W356" s="675"/>
      <c r="Y356" s="537" t="s">
        <v>345</v>
      </c>
      <c r="AB356" s="675"/>
      <c r="AD356" s="675"/>
      <c r="AF356" s="675"/>
      <c r="AG356" s="675"/>
    </row>
    <row r="357" spans="1:33" s="536" customFormat="1" ht="12" x14ac:dyDescent="0.2">
      <c r="A357" s="605"/>
      <c r="B357" s="552" t="s">
        <v>188</v>
      </c>
      <c r="C357" s="1822" t="s">
        <v>475</v>
      </c>
      <c r="D357" s="1822"/>
      <c r="E357" s="1822"/>
      <c r="F357" s="562"/>
      <c r="G357" s="562"/>
      <c r="H357" s="562"/>
      <c r="I357" s="562"/>
      <c r="J357" s="604">
        <v>185.57</v>
      </c>
      <c r="K357" s="562"/>
      <c r="L357" s="604">
        <v>22.27</v>
      </c>
      <c r="M357" s="603"/>
      <c r="N357" s="602"/>
      <c r="V357" s="674"/>
      <c r="W357" s="675"/>
      <c r="Y357" s="537" t="s">
        <v>475</v>
      </c>
      <c r="AB357" s="675"/>
      <c r="AD357" s="675"/>
      <c r="AF357" s="675"/>
      <c r="AG357" s="675"/>
    </row>
    <row r="358" spans="1:33" s="536" customFormat="1" ht="12" x14ac:dyDescent="0.2">
      <c r="A358" s="605"/>
      <c r="B358" s="552"/>
      <c r="C358" s="1822" t="s">
        <v>314</v>
      </c>
      <c r="D358" s="1822"/>
      <c r="E358" s="1822"/>
      <c r="F358" s="562" t="s">
        <v>315</v>
      </c>
      <c r="G358" s="562" t="s">
        <v>1796</v>
      </c>
      <c r="H358" s="562" t="s">
        <v>313</v>
      </c>
      <c r="I358" s="562" t="s">
        <v>1797</v>
      </c>
      <c r="J358" s="604"/>
      <c r="K358" s="562"/>
      <c r="L358" s="604"/>
      <c r="M358" s="603"/>
      <c r="N358" s="602"/>
      <c r="V358" s="674"/>
      <c r="W358" s="675"/>
      <c r="Z358" s="537" t="s">
        <v>314</v>
      </c>
      <c r="AB358" s="675"/>
      <c r="AD358" s="675"/>
      <c r="AF358" s="675"/>
      <c r="AG358" s="675"/>
    </row>
    <row r="359" spans="1:33" s="536" customFormat="1" ht="12" x14ac:dyDescent="0.2">
      <c r="A359" s="605"/>
      <c r="B359" s="552"/>
      <c r="C359" s="1822" t="s">
        <v>348</v>
      </c>
      <c r="D359" s="1822"/>
      <c r="E359" s="1822"/>
      <c r="F359" s="562" t="s">
        <v>315</v>
      </c>
      <c r="G359" s="562" t="s">
        <v>1554</v>
      </c>
      <c r="H359" s="562" t="s">
        <v>313</v>
      </c>
      <c r="I359" s="562" t="s">
        <v>1664</v>
      </c>
      <c r="J359" s="604"/>
      <c r="K359" s="562"/>
      <c r="L359" s="604"/>
      <c r="M359" s="603"/>
      <c r="N359" s="602"/>
      <c r="V359" s="674"/>
      <c r="W359" s="675"/>
      <c r="Z359" s="537" t="s">
        <v>348</v>
      </c>
      <c r="AB359" s="675"/>
      <c r="AD359" s="675"/>
      <c r="AF359" s="675"/>
      <c r="AG359" s="675"/>
    </row>
    <row r="360" spans="1:33" s="536" customFormat="1" ht="12" x14ac:dyDescent="0.2">
      <c r="A360" s="605"/>
      <c r="B360" s="552"/>
      <c r="C360" s="1828" t="s">
        <v>318</v>
      </c>
      <c r="D360" s="1828"/>
      <c r="E360" s="1828"/>
      <c r="F360" s="608"/>
      <c r="G360" s="608"/>
      <c r="H360" s="608"/>
      <c r="I360" s="608"/>
      <c r="J360" s="607">
        <v>493.3</v>
      </c>
      <c r="K360" s="608"/>
      <c r="L360" s="607">
        <v>68.430000000000007</v>
      </c>
      <c r="M360" s="601"/>
      <c r="N360" s="606"/>
      <c r="V360" s="674"/>
      <c r="W360" s="675"/>
      <c r="AA360" s="537" t="s">
        <v>318</v>
      </c>
      <c r="AB360" s="675"/>
      <c r="AD360" s="675"/>
      <c r="AF360" s="675"/>
      <c r="AG360" s="675"/>
    </row>
    <row r="361" spans="1:33" s="536" customFormat="1" ht="12" x14ac:dyDescent="0.2">
      <c r="A361" s="605"/>
      <c r="B361" s="552"/>
      <c r="C361" s="1822" t="s">
        <v>319</v>
      </c>
      <c r="D361" s="1822"/>
      <c r="E361" s="1822"/>
      <c r="F361" s="562"/>
      <c r="G361" s="562"/>
      <c r="H361" s="562"/>
      <c r="I361" s="562"/>
      <c r="J361" s="604"/>
      <c r="K361" s="562"/>
      <c r="L361" s="604">
        <v>45.46</v>
      </c>
      <c r="M361" s="603"/>
      <c r="N361" s="602"/>
      <c r="V361" s="674"/>
      <c r="W361" s="675"/>
      <c r="Z361" s="537" t="s">
        <v>319</v>
      </c>
      <c r="AB361" s="675"/>
      <c r="AD361" s="675"/>
      <c r="AF361" s="675"/>
      <c r="AG361" s="675"/>
    </row>
    <row r="362" spans="1:33" s="536" customFormat="1" ht="33.75" x14ac:dyDescent="0.2">
      <c r="A362" s="605"/>
      <c r="B362" s="552" t="s">
        <v>1631</v>
      </c>
      <c r="C362" s="1822" t="s">
        <v>1632</v>
      </c>
      <c r="D362" s="1822"/>
      <c r="E362" s="1822"/>
      <c r="F362" s="562" t="s">
        <v>322</v>
      </c>
      <c r="G362" s="562" t="s">
        <v>1633</v>
      </c>
      <c r="H362" s="562"/>
      <c r="I362" s="562" t="s">
        <v>1633</v>
      </c>
      <c r="J362" s="604"/>
      <c r="K362" s="562"/>
      <c r="L362" s="604">
        <v>44.1</v>
      </c>
      <c r="M362" s="603"/>
      <c r="N362" s="602"/>
      <c r="V362" s="674"/>
      <c r="W362" s="675"/>
      <c r="Z362" s="537" t="s">
        <v>1632</v>
      </c>
      <c r="AB362" s="675"/>
      <c r="AD362" s="675"/>
      <c r="AF362" s="675"/>
      <c r="AG362" s="675"/>
    </row>
    <row r="363" spans="1:33" s="536" customFormat="1" ht="33.75" x14ac:dyDescent="0.2">
      <c r="A363" s="605"/>
      <c r="B363" s="552" t="s">
        <v>1634</v>
      </c>
      <c r="C363" s="1822" t="s">
        <v>1635</v>
      </c>
      <c r="D363" s="1822"/>
      <c r="E363" s="1822"/>
      <c r="F363" s="562" t="s">
        <v>322</v>
      </c>
      <c r="G363" s="562" t="s">
        <v>786</v>
      </c>
      <c r="H363" s="562"/>
      <c r="I363" s="562" t="s">
        <v>786</v>
      </c>
      <c r="J363" s="604"/>
      <c r="K363" s="562"/>
      <c r="L363" s="604">
        <v>23.18</v>
      </c>
      <c r="M363" s="603"/>
      <c r="N363" s="602"/>
      <c r="V363" s="674"/>
      <c r="W363" s="675"/>
      <c r="Z363" s="537" t="s">
        <v>1635</v>
      </c>
      <c r="AB363" s="675"/>
      <c r="AD363" s="675"/>
      <c r="AF363" s="675"/>
      <c r="AG363" s="675"/>
    </row>
    <row r="364" spans="1:33" s="536" customFormat="1" ht="12" x14ac:dyDescent="0.2">
      <c r="A364" s="569"/>
      <c r="B364" s="683"/>
      <c r="C364" s="1823" t="s">
        <v>327</v>
      </c>
      <c r="D364" s="1823"/>
      <c r="E364" s="1823"/>
      <c r="F364" s="573"/>
      <c r="G364" s="573"/>
      <c r="H364" s="573"/>
      <c r="I364" s="573"/>
      <c r="J364" s="572"/>
      <c r="K364" s="573"/>
      <c r="L364" s="572">
        <v>135.71</v>
      </c>
      <c r="M364" s="601"/>
      <c r="N364" s="570"/>
      <c r="V364" s="674"/>
      <c r="W364" s="675"/>
      <c r="AB364" s="675" t="s">
        <v>327</v>
      </c>
      <c r="AD364" s="675"/>
      <c r="AF364" s="675"/>
      <c r="AG364" s="675"/>
    </row>
    <row r="365" spans="1:33" s="536" customFormat="1" ht="33.75" x14ac:dyDescent="0.2">
      <c r="A365" s="575" t="s">
        <v>1679</v>
      </c>
      <c r="B365" s="684" t="s">
        <v>1798</v>
      </c>
      <c r="C365" s="1823" t="s">
        <v>1799</v>
      </c>
      <c r="D365" s="1823"/>
      <c r="E365" s="1823"/>
      <c r="F365" s="573" t="s">
        <v>1687</v>
      </c>
      <c r="G365" s="573"/>
      <c r="H365" s="573"/>
      <c r="I365" s="573" t="s">
        <v>1800</v>
      </c>
      <c r="J365" s="572">
        <v>4999.13</v>
      </c>
      <c r="K365" s="573"/>
      <c r="L365" s="572">
        <v>61.19</v>
      </c>
      <c r="M365" s="571"/>
      <c r="N365" s="570"/>
      <c r="V365" s="674"/>
      <c r="W365" s="675" t="s">
        <v>1799</v>
      </c>
      <c r="AB365" s="675"/>
      <c r="AD365" s="675"/>
      <c r="AF365" s="675"/>
      <c r="AG365" s="675"/>
    </row>
    <row r="366" spans="1:33" s="536" customFormat="1" ht="12" x14ac:dyDescent="0.2">
      <c r="A366" s="569"/>
      <c r="B366" s="683"/>
      <c r="C366" s="689" t="s">
        <v>1658</v>
      </c>
      <c r="D366" s="690"/>
      <c r="E366" s="690"/>
      <c r="F366" s="563"/>
      <c r="G366" s="563"/>
      <c r="H366" s="563"/>
      <c r="I366" s="563"/>
      <c r="J366" s="566"/>
      <c r="K366" s="563"/>
      <c r="L366" s="566"/>
      <c r="M366" s="565"/>
      <c r="N366" s="564"/>
      <c r="V366" s="674"/>
      <c r="W366" s="675"/>
      <c r="AB366" s="675"/>
      <c r="AD366" s="675"/>
      <c r="AF366" s="675"/>
      <c r="AG366" s="675"/>
    </row>
    <row r="367" spans="1:33" s="536" customFormat="1" ht="12" x14ac:dyDescent="0.2">
      <c r="A367" s="676"/>
      <c r="B367" s="682"/>
      <c r="C367" s="1822" t="s">
        <v>1801</v>
      </c>
      <c r="D367" s="1822"/>
      <c r="E367" s="1822"/>
      <c r="F367" s="1822"/>
      <c r="G367" s="1822"/>
      <c r="H367" s="1822"/>
      <c r="I367" s="1822"/>
      <c r="J367" s="1822"/>
      <c r="K367" s="1822"/>
      <c r="L367" s="1822"/>
      <c r="M367" s="1822"/>
      <c r="N367" s="1827"/>
      <c r="V367" s="674"/>
      <c r="W367" s="675"/>
      <c r="AB367" s="675"/>
      <c r="AC367" s="537" t="s">
        <v>1801</v>
      </c>
      <c r="AD367" s="675"/>
      <c r="AF367" s="675"/>
      <c r="AG367" s="675"/>
    </row>
    <row r="368" spans="1:33" s="536" customFormat="1" ht="1.5" customHeight="1" x14ac:dyDescent="0.2">
      <c r="A368" s="563"/>
      <c r="B368" s="683"/>
      <c r="C368" s="683"/>
      <c r="D368" s="683"/>
      <c r="E368" s="683"/>
      <c r="F368" s="563"/>
      <c r="G368" s="563"/>
      <c r="H368" s="563"/>
      <c r="I368" s="563"/>
      <c r="J368" s="546"/>
      <c r="K368" s="563"/>
      <c r="L368" s="546"/>
      <c r="M368" s="562"/>
      <c r="N368" s="546"/>
      <c r="V368" s="674"/>
      <c r="W368" s="675"/>
      <c r="AB368" s="675"/>
      <c r="AD368" s="675"/>
      <c r="AF368" s="675"/>
      <c r="AG368" s="675"/>
    </row>
    <row r="369" spans="1:33" s="536" customFormat="1" ht="12" x14ac:dyDescent="0.2">
      <c r="A369" s="557"/>
      <c r="B369" s="556"/>
      <c r="C369" s="1823" t="s">
        <v>1802</v>
      </c>
      <c r="D369" s="1823"/>
      <c r="E369" s="1823"/>
      <c r="F369" s="1823"/>
      <c r="G369" s="1823"/>
      <c r="H369" s="1823"/>
      <c r="I369" s="1823"/>
      <c r="J369" s="1823"/>
      <c r="K369" s="1823"/>
      <c r="L369" s="555"/>
      <c r="M369" s="554"/>
      <c r="N369" s="553"/>
      <c r="V369" s="674"/>
      <c r="W369" s="675"/>
      <c r="AB369" s="675"/>
      <c r="AD369" s="675" t="s">
        <v>1802</v>
      </c>
      <c r="AF369" s="675"/>
      <c r="AG369" s="675"/>
    </row>
    <row r="370" spans="1:33" s="536" customFormat="1" ht="12" x14ac:dyDescent="0.2">
      <c r="A370" s="548"/>
      <c r="B370" s="552"/>
      <c r="C370" s="1822" t="s">
        <v>403</v>
      </c>
      <c r="D370" s="1822"/>
      <c r="E370" s="1822"/>
      <c r="F370" s="1822"/>
      <c r="G370" s="1822"/>
      <c r="H370" s="1822"/>
      <c r="I370" s="1822"/>
      <c r="J370" s="1822"/>
      <c r="K370" s="1822"/>
      <c r="L370" s="551">
        <v>102795.53</v>
      </c>
      <c r="M370" s="550"/>
      <c r="N370" s="549"/>
      <c r="V370" s="674"/>
      <c r="W370" s="675"/>
      <c r="AB370" s="675"/>
      <c r="AD370" s="675"/>
      <c r="AE370" s="537" t="s">
        <v>403</v>
      </c>
      <c r="AF370" s="675"/>
      <c r="AG370" s="675"/>
    </row>
    <row r="371" spans="1:33" s="536" customFormat="1" ht="12" x14ac:dyDescent="0.2">
      <c r="A371" s="548"/>
      <c r="B371" s="552"/>
      <c r="C371" s="1822" t="s">
        <v>204</v>
      </c>
      <c r="D371" s="1822"/>
      <c r="E371" s="1822"/>
      <c r="F371" s="1822"/>
      <c r="G371" s="1822"/>
      <c r="H371" s="1822"/>
      <c r="I371" s="1822"/>
      <c r="J371" s="1822"/>
      <c r="K371" s="1822"/>
      <c r="L371" s="551"/>
      <c r="M371" s="550"/>
      <c r="N371" s="549"/>
      <c r="V371" s="674"/>
      <c r="W371" s="675"/>
      <c r="AB371" s="675"/>
      <c r="AD371" s="675"/>
      <c r="AE371" s="537" t="s">
        <v>204</v>
      </c>
      <c r="AF371" s="675"/>
      <c r="AG371" s="675"/>
    </row>
    <row r="372" spans="1:33" s="536" customFormat="1" ht="12" x14ac:dyDescent="0.2">
      <c r="A372" s="548"/>
      <c r="B372" s="552"/>
      <c r="C372" s="1822" t="s">
        <v>404</v>
      </c>
      <c r="D372" s="1822"/>
      <c r="E372" s="1822"/>
      <c r="F372" s="1822"/>
      <c r="G372" s="1822"/>
      <c r="H372" s="1822"/>
      <c r="I372" s="1822"/>
      <c r="J372" s="1822"/>
      <c r="K372" s="1822"/>
      <c r="L372" s="551">
        <v>1940.24</v>
      </c>
      <c r="M372" s="550"/>
      <c r="N372" s="549"/>
      <c r="V372" s="674"/>
      <c r="W372" s="675"/>
      <c r="AB372" s="675"/>
      <c r="AD372" s="675"/>
      <c r="AE372" s="537" t="s">
        <v>404</v>
      </c>
      <c r="AF372" s="675"/>
      <c r="AG372" s="675"/>
    </row>
    <row r="373" spans="1:33" s="536" customFormat="1" ht="12" x14ac:dyDescent="0.2">
      <c r="A373" s="548"/>
      <c r="B373" s="552"/>
      <c r="C373" s="1822" t="s">
        <v>405</v>
      </c>
      <c r="D373" s="1822"/>
      <c r="E373" s="1822"/>
      <c r="F373" s="1822"/>
      <c r="G373" s="1822"/>
      <c r="H373" s="1822"/>
      <c r="I373" s="1822"/>
      <c r="J373" s="1822"/>
      <c r="K373" s="1822"/>
      <c r="L373" s="551">
        <v>5465.87</v>
      </c>
      <c r="M373" s="550"/>
      <c r="N373" s="549"/>
      <c r="V373" s="674"/>
      <c r="W373" s="675"/>
      <c r="AB373" s="675"/>
      <c r="AD373" s="675"/>
      <c r="AE373" s="537" t="s">
        <v>405</v>
      </c>
      <c r="AF373" s="675"/>
      <c r="AG373" s="675"/>
    </row>
    <row r="374" spans="1:33" s="536" customFormat="1" ht="12" x14ac:dyDescent="0.2">
      <c r="A374" s="548"/>
      <c r="B374" s="552"/>
      <c r="C374" s="1822" t="s">
        <v>406</v>
      </c>
      <c r="D374" s="1822"/>
      <c r="E374" s="1822"/>
      <c r="F374" s="1822"/>
      <c r="G374" s="1822"/>
      <c r="H374" s="1822"/>
      <c r="I374" s="1822"/>
      <c r="J374" s="1822"/>
      <c r="K374" s="1822"/>
      <c r="L374" s="551">
        <v>522.47</v>
      </c>
      <c r="M374" s="550"/>
      <c r="N374" s="549"/>
      <c r="V374" s="674"/>
      <c r="W374" s="675"/>
      <c r="AB374" s="675"/>
      <c r="AD374" s="675"/>
      <c r="AE374" s="537" t="s">
        <v>406</v>
      </c>
      <c r="AF374" s="675"/>
      <c r="AG374" s="675"/>
    </row>
    <row r="375" spans="1:33" s="536" customFormat="1" ht="12" x14ac:dyDescent="0.2">
      <c r="A375" s="548"/>
      <c r="B375" s="552"/>
      <c r="C375" s="1822" t="s">
        <v>480</v>
      </c>
      <c r="D375" s="1822"/>
      <c r="E375" s="1822"/>
      <c r="F375" s="1822"/>
      <c r="G375" s="1822"/>
      <c r="H375" s="1822"/>
      <c r="I375" s="1822"/>
      <c r="J375" s="1822"/>
      <c r="K375" s="1822"/>
      <c r="L375" s="551">
        <v>95389.42</v>
      </c>
      <c r="M375" s="550"/>
      <c r="N375" s="549"/>
      <c r="V375" s="674"/>
      <c r="W375" s="675"/>
      <c r="AB375" s="675"/>
      <c r="AD375" s="675"/>
      <c r="AE375" s="537" t="s">
        <v>480</v>
      </c>
      <c r="AF375" s="675"/>
      <c r="AG375" s="675"/>
    </row>
    <row r="376" spans="1:33" s="536" customFormat="1" ht="12" x14ac:dyDescent="0.2">
      <c r="A376" s="548"/>
      <c r="B376" s="552"/>
      <c r="C376" s="1822" t="s">
        <v>753</v>
      </c>
      <c r="D376" s="1822"/>
      <c r="E376" s="1822"/>
      <c r="F376" s="1822"/>
      <c r="G376" s="1822"/>
      <c r="H376" s="1822"/>
      <c r="I376" s="1822"/>
      <c r="J376" s="1822"/>
      <c r="K376" s="1822"/>
      <c r="L376" s="551">
        <v>106415.44</v>
      </c>
      <c r="M376" s="550"/>
      <c r="N376" s="549"/>
      <c r="V376" s="674"/>
      <c r="W376" s="675"/>
      <c r="AB376" s="675"/>
      <c r="AD376" s="675"/>
      <c r="AE376" s="537" t="s">
        <v>753</v>
      </c>
      <c r="AF376" s="675"/>
      <c r="AG376" s="675"/>
    </row>
    <row r="377" spans="1:33" s="536" customFormat="1" ht="12" x14ac:dyDescent="0.2">
      <c r="A377" s="548"/>
      <c r="B377" s="552"/>
      <c r="C377" s="1822" t="s">
        <v>204</v>
      </c>
      <c r="D377" s="1822"/>
      <c r="E377" s="1822"/>
      <c r="F377" s="1822"/>
      <c r="G377" s="1822"/>
      <c r="H377" s="1822"/>
      <c r="I377" s="1822"/>
      <c r="J377" s="1822"/>
      <c r="K377" s="1822"/>
      <c r="L377" s="551"/>
      <c r="M377" s="550"/>
      <c r="N377" s="549"/>
      <c r="V377" s="674"/>
      <c r="W377" s="675"/>
      <c r="AB377" s="675"/>
      <c r="AD377" s="675"/>
      <c r="AE377" s="537" t="s">
        <v>204</v>
      </c>
      <c r="AF377" s="675"/>
      <c r="AG377" s="675"/>
    </row>
    <row r="378" spans="1:33" s="536" customFormat="1" ht="12" x14ac:dyDescent="0.2">
      <c r="A378" s="548"/>
      <c r="B378" s="552"/>
      <c r="C378" s="1822" t="s">
        <v>546</v>
      </c>
      <c r="D378" s="1822"/>
      <c r="E378" s="1822"/>
      <c r="F378" s="1822"/>
      <c r="G378" s="1822"/>
      <c r="H378" s="1822"/>
      <c r="I378" s="1822"/>
      <c r="J378" s="1822"/>
      <c r="K378" s="1822"/>
      <c r="L378" s="551">
        <v>1940.24</v>
      </c>
      <c r="M378" s="550"/>
      <c r="N378" s="549"/>
      <c r="V378" s="674"/>
      <c r="W378" s="675"/>
      <c r="AB378" s="675"/>
      <c r="AD378" s="675"/>
      <c r="AE378" s="537" t="s">
        <v>546</v>
      </c>
      <c r="AF378" s="675"/>
      <c r="AG378" s="675"/>
    </row>
    <row r="379" spans="1:33" s="536" customFormat="1" ht="12" x14ac:dyDescent="0.2">
      <c r="A379" s="548"/>
      <c r="B379" s="552"/>
      <c r="C379" s="1822" t="s">
        <v>442</v>
      </c>
      <c r="D379" s="1822"/>
      <c r="E379" s="1822"/>
      <c r="F379" s="1822"/>
      <c r="G379" s="1822"/>
      <c r="H379" s="1822"/>
      <c r="I379" s="1822"/>
      <c r="J379" s="1822"/>
      <c r="K379" s="1822"/>
      <c r="L379" s="551">
        <v>5465.87</v>
      </c>
      <c r="M379" s="550"/>
      <c r="N379" s="549"/>
      <c r="V379" s="674"/>
      <c r="W379" s="675"/>
      <c r="AB379" s="675"/>
      <c r="AD379" s="675"/>
      <c r="AE379" s="537" t="s">
        <v>442</v>
      </c>
      <c r="AF379" s="675"/>
      <c r="AG379" s="675"/>
    </row>
    <row r="380" spans="1:33" s="536" customFormat="1" ht="12" x14ac:dyDescent="0.2">
      <c r="A380" s="548"/>
      <c r="B380" s="552"/>
      <c r="C380" s="1822" t="s">
        <v>547</v>
      </c>
      <c r="D380" s="1822"/>
      <c r="E380" s="1822"/>
      <c r="F380" s="1822"/>
      <c r="G380" s="1822"/>
      <c r="H380" s="1822"/>
      <c r="I380" s="1822"/>
      <c r="J380" s="1822"/>
      <c r="K380" s="1822"/>
      <c r="L380" s="551">
        <v>95389.42</v>
      </c>
      <c r="M380" s="550"/>
      <c r="N380" s="549"/>
      <c r="V380" s="674"/>
      <c r="W380" s="675"/>
      <c r="AB380" s="675"/>
      <c r="AD380" s="675"/>
      <c r="AE380" s="537" t="s">
        <v>547</v>
      </c>
      <c r="AF380" s="675"/>
      <c r="AG380" s="675"/>
    </row>
    <row r="381" spans="1:33" s="536" customFormat="1" ht="12" x14ac:dyDescent="0.2">
      <c r="A381" s="548"/>
      <c r="B381" s="552"/>
      <c r="C381" s="1822" t="s">
        <v>443</v>
      </c>
      <c r="D381" s="1822"/>
      <c r="E381" s="1822"/>
      <c r="F381" s="1822"/>
      <c r="G381" s="1822"/>
      <c r="H381" s="1822"/>
      <c r="I381" s="1822"/>
      <c r="J381" s="1822"/>
      <c r="K381" s="1822"/>
      <c r="L381" s="551">
        <v>2374.29</v>
      </c>
      <c r="M381" s="550"/>
      <c r="N381" s="549"/>
      <c r="V381" s="674"/>
      <c r="W381" s="675"/>
      <c r="AB381" s="675"/>
      <c r="AD381" s="675"/>
      <c r="AE381" s="537" t="s">
        <v>443</v>
      </c>
      <c r="AF381" s="675"/>
      <c r="AG381" s="675"/>
    </row>
    <row r="382" spans="1:33" s="536" customFormat="1" ht="12" x14ac:dyDescent="0.2">
      <c r="A382" s="548"/>
      <c r="B382" s="552"/>
      <c r="C382" s="1822" t="s">
        <v>444</v>
      </c>
      <c r="D382" s="1822"/>
      <c r="E382" s="1822"/>
      <c r="F382" s="1822"/>
      <c r="G382" s="1822"/>
      <c r="H382" s="1822"/>
      <c r="I382" s="1822"/>
      <c r="J382" s="1822"/>
      <c r="K382" s="1822"/>
      <c r="L382" s="551">
        <v>1245.6199999999999</v>
      </c>
      <c r="M382" s="550"/>
      <c r="N382" s="549"/>
      <c r="V382" s="674"/>
      <c r="W382" s="675"/>
      <c r="AB382" s="675"/>
      <c r="AD382" s="675"/>
      <c r="AE382" s="537" t="s">
        <v>444</v>
      </c>
      <c r="AF382" s="675"/>
      <c r="AG382" s="675"/>
    </row>
    <row r="383" spans="1:33" s="536" customFormat="1" ht="12" x14ac:dyDescent="0.2">
      <c r="A383" s="548"/>
      <c r="B383" s="552"/>
      <c r="C383" s="1822" t="s">
        <v>754</v>
      </c>
      <c r="D383" s="1822"/>
      <c r="E383" s="1822"/>
      <c r="F383" s="1822"/>
      <c r="G383" s="1822"/>
      <c r="H383" s="1822"/>
      <c r="I383" s="1822"/>
      <c r="J383" s="1822"/>
      <c r="K383" s="1822"/>
      <c r="L383" s="551">
        <v>5127.67</v>
      </c>
      <c r="M383" s="550"/>
      <c r="N383" s="549"/>
      <c r="V383" s="674"/>
      <c r="W383" s="675"/>
      <c r="AB383" s="675"/>
      <c r="AD383" s="675"/>
      <c r="AE383" s="537" t="s">
        <v>754</v>
      </c>
      <c r="AF383" s="675"/>
      <c r="AG383" s="675"/>
    </row>
    <row r="384" spans="1:33" s="536" customFormat="1" ht="12" x14ac:dyDescent="0.2">
      <c r="A384" s="548"/>
      <c r="B384" s="552"/>
      <c r="C384" s="1822" t="s">
        <v>415</v>
      </c>
      <c r="D384" s="1822"/>
      <c r="E384" s="1822"/>
      <c r="F384" s="1822"/>
      <c r="G384" s="1822"/>
      <c r="H384" s="1822"/>
      <c r="I384" s="1822"/>
      <c r="J384" s="1822"/>
      <c r="K384" s="1822"/>
      <c r="L384" s="551">
        <v>2462.71</v>
      </c>
      <c r="M384" s="550"/>
      <c r="N384" s="549"/>
      <c r="V384" s="674"/>
      <c r="W384" s="675"/>
      <c r="AB384" s="675"/>
      <c r="AD384" s="675"/>
      <c r="AE384" s="537" t="s">
        <v>415</v>
      </c>
      <c r="AF384" s="675"/>
      <c r="AG384" s="675"/>
    </row>
    <row r="385" spans="1:33" s="536" customFormat="1" ht="12" x14ac:dyDescent="0.2">
      <c r="A385" s="548"/>
      <c r="B385" s="552"/>
      <c r="C385" s="1822" t="s">
        <v>416</v>
      </c>
      <c r="D385" s="1822"/>
      <c r="E385" s="1822"/>
      <c r="F385" s="1822"/>
      <c r="G385" s="1822"/>
      <c r="H385" s="1822"/>
      <c r="I385" s="1822"/>
      <c r="J385" s="1822"/>
      <c r="K385" s="1822"/>
      <c r="L385" s="551">
        <v>2374.29</v>
      </c>
      <c r="M385" s="550"/>
      <c r="N385" s="549"/>
      <c r="V385" s="674"/>
      <c r="W385" s="675"/>
      <c r="AB385" s="675"/>
      <c r="AD385" s="675"/>
      <c r="AE385" s="537" t="s">
        <v>416</v>
      </c>
      <c r="AF385" s="675"/>
      <c r="AG385" s="675"/>
    </row>
    <row r="386" spans="1:33" s="536" customFormat="1" ht="12" x14ac:dyDescent="0.2">
      <c r="A386" s="548"/>
      <c r="B386" s="552"/>
      <c r="C386" s="1822" t="s">
        <v>417</v>
      </c>
      <c r="D386" s="1822"/>
      <c r="E386" s="1822"/>
      <c r="F386" s="1822"/>
      <c r="G386" s="1822"/>
      <c r="H386" s="1822"/>
      <c r="I386" s="1822"/>
      <c r="J386" s="1822"/>
      <c r="K386" s="1822"/>
      <c r="L386" s="551">
        <v>1245.6199999999999</v>
      </c>
      <c r="M386" s="550"/>
      <c r="N386" s="549"/>
      <c r="V386" s="674"/>
      <c r="W386" s="675"/>
      <c r="AB386" s="675"/>
      <c r="AD386" s="675"/>
      <c r="AE386" s="537" t="s">
        <v>417</v>
      </c>
      <c r="AF386" s="675"/>
      <c r="AG386" s="675"/>
    </row>
    <row r="387" spans="1:33" s="536" customFormat="1" ht="12" x14ac:dyDescent="0.2">
      <c r="A387" s="548"/>
      <c r="B387" s="546"/>
      <c r="C387" s="1819" t="s">
        <v>1803</v>
      </c>
      <c r="D387" s="1819"/>
      <c r="E387" s="1819"/>
      <c r="F387" s="1819"/>
      <c r="G387" s="1819"/>
      <c r="H387" s="1819"/>
      <c r="I387" s="1819"/>
      <c r="J387" s="1819"/>
      <c r="K387" s="1819"/>
      <c r="L387" s="544">
        <v>111543.11</v>
      </c>
      <c r="M387" s="543"/>
      <c r="N387" s="681"/>
      <c r="V387" s="674"/>
      <c r="W387" s="675"/>
      <c r="AB387" s="675"/>
      <c r="AD387" s="675"/>
      <c r="AF387" s="675" t="s">
        <v>1803</v>
      </c>
      <c r="AG387" s="675"/>
    </row>
    <row r="388" spans="1:33" s="536" customFormat="1" ht="12" x14ac:dyDescent="0.2">
      <c r="A388" s="548"/>
      <c r="B388" s="552"/>
      <c r="C388" s="1822" t="s">
        <v>204</v>
      </c>
      <c r="D388" s="1822"/>
      <c r="E388" s="1822"/>
      <c r="F388" s="1822"/>
      <c r="G388" s="1822"/>
      <c r="H388" s="1822"/>
      <c r="I388" s="1822"/>
      <c r="J388" s="1822"/>
      <c r="K388" s="1822"/>
      <c r="L388" s="551"/>
      <c r="M388" s="550"/>
      <c r="N388" s="549"/>
      <c r="V388" s="674"/>
      <c r="W388" s="675"/>
      <c r="AB388" s="675"/>
      <c r="AD388" s="675"/>
      <c r="AE388" s="537" t="s">
        <v>204</v>
      </c>
      <c r="AF388" s="675"/>
      <c r="AG388" s="675"/>
    </row>
    <row r="389" spans="1:33" s="536" customFormat="1" ht="12" x14ac:dyDescent="0.2">
      <c r="A389" s="548"/>
      <c r="B389" s="552"/>
      <c r="C389" s="1822" t="s">
        <v>8095</v>
      </c>
      <c r="D389" s="1822"/>
      <c r="E389" s="1822"/>
      <c r="F389" s="1822"/>
      <c r="G389" s="1822"/>
      <c r="H389" s="1822"/>
      <c r="I389" s="1822"/>
      <c r="J389" s="1822"/>
      <c r="K389" s="1822"/>
      <c r="L389" s="551">
        <v>94238.62</v>
      </c>
      <c r="M389" s="550"/>
      <c r="N389" s="549"/>
      <c r="V389" s="674"/>
      <c r="W389" s="675"/>
      <c r="AB389" s="675"/>
      <c r="AD389" s="675"/>
      <c r="AE389" s="537" t="s">
        <v>8095</v>
      </c>
      <c r="AF389" s="675"/>
      <c r="AG389" s="675"/>
    </row>
    <row r="390" spans="1:33" s="536" customFormat="1" ht="12" x14ac:dyDescent="0.2">
      <c r="A390" s="548"/>
      <c r="B390" s="552"/>
      <c r="C390" s="1822" t="s">
        <v>8097</v>
      </c>
      <c r="D390" s="1822"/>
      <c r="E390" s="1822"/>
      <c r="F390" s="1822"/>
      <c r="G390" s="1822"/>
      <c r="H390" s="1822"/>
      <c r="I390" s="1822"/>
      <c r="J390" s="1822"/>
      <c r="K390" s="1822"/>
      <c r="L390" s="551">
        <v>5127.67</v>
      </c>
      <c r="M390" s="550"/>
      <c r="N390" s="549"/>
      <c r="V390" s="674"/>
      <c r="W390" s="675"/>
      <c r="AB390" s="675"/>
      <c r="AD390" s="675"/>
      <c r="AE390" s="537" t="s">
        <v>8097</v>
      </c>
      <c r="AF390" s="675"/>
      <c r="AG390" s="675"/>
    </row>
    <row r="391" spans="1:33" s="536" customFormat="1" ht="12" x14ac:dyDescent="0.2">
      <c r="A391" s="1824" t="s">
        <v>1124</v>
      </c>
      <c r="B391" s="1825"/>
      <c r="C391" s="1825"/>
      <c r="D391" s="1825"/>
      <c r="E391" s="1825"/>
      <c r="F391" s="1825"/>
      <c r="G391" s="1825"/>
      <c r="H391" s="1825"/>
      <c r="I391" s="1825"/>
      <c r="J391" s="1825"/>
      <c r="K391" s="1825"/>
      <c r="L391" s="1825"/>
      <c r="M391" s="1825"/>
      <c r="N391" s="1826"/>
      <c r="V391" s="674" t="s">
        <v>1124</v>
      </c>
      <c r="W391" s="675"/>
      <c r="AB391" s="675"/>
      <c r="AD391" s="675"/>
      <c r="AF391" s="675"/>
      <c r="AG391" s="675"/>
    </row>
    <row r="392" spans="1:33" s="536" customFormat="1" ht="67.5" x14ac:dyDescent="0.2">
      <c r="A392" s="575" t="s">
        <v>786</v>
      </c>
      <c r="B392" s="684" t="s">
        <v>1503</v>
      </c>
      <c r="C392" s="1823" t="s">
        <v>1804</v>
      </c>
      <c r="D392" s="1823"/>
      <c r="E392" s="1823"/>
      <c r="F392" s="573" t="s">
        <v>201</v>
      </c>
      <c r="G392" s="573"/>
      <c r="H392" s="573"/>
      <c r="I392" s="573" t="s">
        <v>1805</v>
      </c>
      <c r="J392" s="572">
        <v>127.09</v>
      </c>
      <c r="K392" s="573"/>
      <c r="L392" s="572">
        <v>0.89</v>
      </c>
      <c r="M392" s="571"/>
      <c r="N392" s="570"/>
      <c r="V392" s="674"/>
      <c r="W392" s="675" t="s">
        <v>1804</v>
      </c>
      <c r="AB392" s="675"/>
      <c r="AD392" s="675"/>
      <c r="AF392" s="675"/>
      <c r="AG392" s="675"/>
    </row>
    <row r="393" spans="1:33" s="536" customFormat="1" ht="12" x14ac:dyDescent="0.2">
      <c r="A393" s="569"/>
      <c r="B393" s="683"/>
      <c r="C393" s="689" t="s">
        <v>1658</v>
      </c>
      <c r="D393" s="690"/>
      <c r="E393" s="690"/>
      <c r="F393" s="563"/>
      <c r="G393" s="563"/>
      <c r="H393" s="563"/>
      <c r="I393" s="563"/>
      <c r="J393" s="566"/>
      <c r="K393" s="563"/>
      <c r="L393" s="566"/>
      <c r="M393" s="565"/>
      <c r="N393" s="564"/>
      <c r="V393" s="674"/>
      <c r="W393" s="675"/>
      <c r="AB393" s="675"/>
      <c r="AD393" s="675"/>
      <c r="AF393" s="675"/>
      <c r="AG393" s="675"/>
    </row>
    <row r="394" spans="1:33" s="536" customFormat="1" ht="1.5" customHeight="1" x14ac:dyDescent="0.2">
      <c r="A394" s="563"/>
      <c r="B394" s="683"/>
      <c r="C394" s="683"/>
      <c r="D394" s="683"/>
      <c r="E394" s="683"/>
      <c r="F394" s="563"/>
      <c r="G394" s="563"/>
      <c r="H394" s="563"/>
      <c r="I394" s="563"/>
      <c r="J394" s="546"/>
      <c r="K394" s="563"/>
      <c r="L394" s="546"/>
      <c r="M394" s="562"/>
      <c r="N394" s="546"/>
      <c r="V394" s="674"/>
      <c r="W394" s="675"/>
      <c r="AB394" s="675"/>
      <c r="AD394" s="675"/>
      <c r="AF394" s="675"/>
      <c r="AG394" s="675"/>
    </row>
    <row r="395" spans="1:33" s="536" customFormat="1" ht="22.5" x14ac:dyDescent="0.2">
      <c r="A395" s="557"/>
      <c r="B395" s="556"/>
      <c r="C395" s="1823" t="s">
        <v>1138</v>
      </c>
      <c r="D395" s="1823"/>
      <c r="E395" s="1823"/>
      <c r="F395" s="1823"/>
      <c r="G395" s="1823"/>
      <c r="H395" s="1823"/>
      <c r="I395" s="1823"/>
      <c r="J395" s="1823"/>
      <c r="K395" s="1823"/>
      <c r="L395" s="555"/>
      <c r="M395" s="554"/>
      <c r="N395" s="553"/>
      <c r="V395" s="674"/>
      <c r="W395" s="675"/>
      <c r="AB395" s="675"/>
      <c r="AD395" s="675" t="s">
        <v>1138</v>
      </c>
      <c r="AF395" s="675"/>
      <c r="AG395" s="675"/>
    </row>
    <row r="396" spans="1:33" s="536" customFormat="1" ht="12" x14ac:dyDescent="0.2">
      <c r="A396" s="548"/>
      <c r="B396" s="552"/>
      <c r="C396" s="1822" t="s">
        <v>403</v>
      </c>
      <c r="D396" s="1822"/>
      <c r="E396" s="1822"/>
      <c r="F396" s="1822"/>
      <c r="G396" s="1822"/>
      <c r="H396" s="1822"/>
      <c r="I396" s="1822"/>
      <c r="J396" s="1822"/>
      <c r="K396" s="1822"/>
      <c r="L396" s="551">
        <v>0.89</v>
      </c>
      <c r="M396" s="550"/>
      <c r="N396" s="549"/>
      <c r="V396" s="674"/>
      <c r="W396" s="675"/>
      <c r="AB396" s="675"/>
      <c r="AD396" s="675"/>
      <c r="AE396" s="537" t="s">
        <v>403</v>
      </c>
      <c r="AF396" s="675"/>
      <c r="AG396" s="675"/>
    </row>
    <row r="397" spans="1:33" s="536" customFormat="1" ht="12" x14ac:dyDescent="0.2">
      <c r="A397" s="548"/>
      <c r="B397" s="552"/>
      <c r="C397" s="1822" t="s">
        <v>204</v>
      </c>
      <c r="D397" s="1822"/>
      <c r="E397" s="1822"/>
      <c r="F397" s="1822"/>
      <c r="G397" s="1822"/>
      <c r="H397" s="1822"/>
      <c r="I397" s="1822"/>
      <c r="J397" s="1822"/>
      <c r="K397" s="1822"/>
      <c r="L397" s="551"/>
      <c r="M397" s="550"/>
      <c r="N397" s="549"/>
      <c r="V397" s="674"/>
      <c r="W397" s="675"/>
      <c r="AB397" s="675"/>
      <c r="AD397" s="675"/>
      <c r="AE397" s="537" t="s">
        <v>204</v>
      </c>
      <c r="AF397" s="675"/>
      <c r="AG397" s="675"/>
    </row>
    <row r="398" spans="1:33" s="536" customFormat="1" ht="12" x14ac:dyDescent="0.2">
      <c r="A398" s="548"/>
      <c r="B398" s="552"/>
      <c r="C398" s="1822" t="s">
        <v>480</v>
      </c>
      <c r="D398" s="1822"/>
      <c r="E398" s="1822"/>
      <c r="F398" s="1822"/>
      <c r="G398" s="1822"/>
      <c r="H398" s="1822"/>
      <c r="I398" s="1822"/>
      <c r="J398" s="1822"/>
      <c r="K398" s="1822"/>
      <c r="L398" s="551">
        <v>0.89</v>
      </c>
      <c r="M398" s="550"/>
      <c r="N398" s="549"/>
      <c r="V398" s="674"/>
      <c r="W398" s="675"/>
      <c r="AB398" s="675"/>
      <c r="AD398" s="675"/>
      <c r="AE398" s="537" t="s">
        <v>480</v>
      </c>
      <c r="AF398" s="675"/>
      <c r="AG398" s="675"/>
    </row>
    <row r="399" spans="1:33" s="536" customFormat="1" ht="12" x14ac:dyDescent="0.2">
      <c r="A399" s="548"/>
      <c r="B399" s="552"/>
      <c r="C399" s="1822" t="s">
        <v>753</v>
      </c>
      <c r="D399" s="1822"/>
      <c r="E399" s="1822"/>
      <c r="F399" s="1822"/>
      <c r="G399" s="1822"/>
      <c r="H399" s="1822"/>
      <c r="I399" s="1822"/>
      <c r="J399" s="1822"/>
      <c r="K399" s="1822"/>
      <c r="L399" s="551">
        <v>0.89</v>
      </c>
      <c r="M399" s="550"/>
      <c r="N399" s="549"/>
      <c r="V399" s="674"/>
      <c r="W399" s="675"/>
      <c r="AB399" s="675"/>
      <c r="AD399" s="675"/>
      <c r="AE399" s="537" t="s">
        <v>753</v>
      </c>
      <c r="AF399" s="675"/>
      <c r="AG399" s="675"/>
    </row>
    <row r="400" spans="1:33" s="536" customFormat="1" ht="12" x14ac:dyDescent="0.2">
      <c r="A400" s="548"/>
      <c r="B400" s="552"/>
      <c r="C400" s="1822" t="s">
        <v>204</v>
      </c>
      <c r="D400" s="1822"/>
      <c r="E400" s="1822"/>
      <c r="F400" s="1822"/>
      <c r="G400" s="1822"/>
      <c r="H400" s="1822"/>
      <c r="I400" s="1822"/>
      <c r="J400" s="1822"/>
      <c r="K400" s="1822"/>
      <c r="L400" s="551"/>
      <c r="M400" s="550"/>
      <c r="N400" s="549"/>
      <c r="V400" s="674"/>
      <c r="W400" s="675"/>
      <c r="AB400" s="675"/>
      <c r="AD400" s="675"/>
      <c r="AE400" s="537" t="s">
        <v>204</v>
      </c>
      <c r="AF400" s="675"/>
      <c r="AG400" s="675"/>
    </row>
    <row r="401" spans="1:35" s="536" customFormat="1" ht="12" x14ac:dyDescent="0.2">
      <c r="A401" s="548"/>
      <c r="B401" s="552"/>
      <c r="C401" s="1822" t="s">
        <v>547</v>
      </c>
      <c r="D401" s="1822"/>
      <c r="E401" s="1822"/>
      <c r="F401" s="1822"/>
      <c r="G401" s="1822"/>
      <c r="H401" s="1822"/>
      <c r="I401" s="1822"/>
      <c r="J401" s="1822"/>
      <c r="K401" s="1822"/>
      <c r="L401" s="551">
        <v>0.89</v>
      </c>
      <c r="M401" s="550"/>
      <c r="N401" s="549"/>
      <c r="V401" s="674"/>
      <c r="W401" s="675"/>
      <c r="AB401" s="675"/>
      <c r="AD401" s="675"/>
      <c r="AE401" s="537" t="s">
        <v>547</v>
      </c>
      <c r="AF401" s="675"/>
      <c r="AG401" s="675"/>
    </row>
    <row r="402" spans="1:35" s="536" customFormat="1" ht="22.5" x14ac:dyDescent="0.2">
      <c r="A402" s="548"/>
      <c r="B402" s="546"/>
      <c r="C402" s="1819" t="s">
        <v>1139</v>
      </c>
      <c r="D402" s="1819"/>
      <c r="E402" s="1819"/>
      <c r="F402" s="1819"/>
      <c r="G402" s="1819"/>
      <c r="H402" s="1819"/>
      <c r="I402" s="1819"/>
      <c r="J402" s="1819"/>
      <c r="K402" s="1819"/>
      <c r="L402" s="544">
        <v>0.89</v>
      </c>
      <c r="M402" s="543"/>
      <c r="N402" s="681"/>
      <c r="V402" s="674"/>
      <c r="W402" s="675"/>
      <c r="AB402" s="675"/>
      <c r="AD402" s="675"/>
      <c r="AF402" s="675" t="s">
        <v>1139</v>
      </c>
      <c r="AG402" s="675"/>
    </row>
    <row r="403" spans="1:35" s="536" customFormat="1" ht="2.25" customHeight="1" x14ac:dyDescent="0.2">
      <c r="B403" s="561"/>
      <c r="C403" s="561"/>
      <c r="D403" s="561"/>
      <c r="E403" s="561"/>
      <c r="F403" s="561"/>
      <c r="G403" s="561"/>
      <c r="H403" s="561"/>
      <c r="I403" s="561"/>
      <c r="J403" s="561"/>
      <c r="K403" s="561"/>
      <c r="L403" s="560"/>
      <c r="M403" s="559"/>
      <c r="N403" s="558"/>
    </row>
    <row r="404" spans="1:35" s="536" customFormat="1" x14ac:dyDescent="0.2">
      <c r="A404" s="557"/>
      <c r="B404" s="556"/>
      <c r="C404" s="1823" t="s">
        <v>205</v>
      </c>
      <c r="D404" s="1823"/>
      <c r="E404" s="1823"/>
      <c r="F404" s="1823"/>
      <c r="G404" s="1823"/>
      <c r="H404" s="1823"/>
      <c r="I404" s="1823"/>
      <c r="J404" s="1823"/>
      <c r="K404" s="1823"/>
      <c r="L404" s="555"/>
      <c r="M404" s="554"/>
      <c r="N404" s="553"/>
      <c r="AH404" s="675" t="s">
        <v>205</v>
      </c>
    </row>
    <row r="405" spans="1:35" s="536" customFormat="1" x14ac:dyDescent="0.2">
      <c r="A405" s="548"/>
      <c r="B405" s="552"/>
      <c r="C405" s="1822" t="s">
        <v>403</v>
      </c>
      <c r="D405" s="1822"/>
      <c r="E405" s="1822"/>
      <c r="F405" s="1822"/>
      <c r="G405" s="1822"/>
      <c r="H405" s="1822"/>
      <c r="I405" s="1822"/>
      <c r="J405" s="1822"/>
      <c r="K405" s="1822"/>
      <c r="L405" s="551">
        <v>103674.95</v>
      </c>
      <c r="M405" s="550"/>
      <c r="N405" s="549"/>
      <c r="AH405" s="675"/>
      <c r="AI405" s="537" t="s">
        <v>403</v>
      </c>
    </row>
    <row r="406" spans="1:35" s="536" customFormat="1" x14ac:dyDescent="0.2">
      <c r="A406" s="548"/>
      <c r="B406" s="552"/>
      <c r="C406" s="1822" t="s">
        <v>204</v>
      </c>
      <c r="D406" s="1822"/>
      <c r="E406" s="1822"/>
      <c r="F406" s="1822"/>
      <c r="G406" s="1822"/>
      <c r="H406" s="1822"/>
      <c r="I406" s="1822"/>
      <c r="J406" s="1822"/>
      <c r="K406" s="1822"/>
      <c r="L406" s="551"/>
      <c r="M406" s="550"/>
      <c r="N406" s="549"/>
      <c r="AH406" s="675"/>
      <c r="AI406" s="537" t="s">
        <v>204</v>
      </c>
    </row>
    <row r="407" spans="1:35" s="536" customFormat="1" x14ac:dyDescent="0.2">
      <c r="A407" s="548"/>
      <c r="B407" s="552"/>
      <c r="C407" s="1822" t="s">
        <v>404</v>
      </c>
      <c r="D407" s="1822"/>
      <c r="E407" s="1822"/>
      <c r="F407" s="1822"/>
      <c r="G407" s="1822"/>
      <c r="H407" s="1822"/>
      <c r="I407" s="1822"/>
      <c r="J407" s="1822"/>
      <c r="K407" s="1822"/>
      <c r="L407" s="551">
        <v>2392.4</v>
      </c>
      <c r="M407" s="550"/>
      <c r="N407" s="549"/>
      <c r="AH407" s="675"/>
      <c r="AI407" s="537" t="s">
        <v>404</v>
      </c>
    </row>
    <row r="408" spans="1:35" s="536" customFormat="1" x14ac:dyDescent="0.2">
      <c r="A408" s="548"/>
      <c r="B408" s="552"/>
      <c r="C408" s="1822" t="s">
        <v>405</v>
      </c>
      <c r="D408" s="1822"/>
      <c r="E408" s="1822"/>
      <c r="F408" s="1822"/>
      <c r="G408" s="1822"/>
      <c r="H408" s="1822"/>
      <c r="I408" s="1822"/>
      <c r="J408" s="1822"/>
      <c r="K408" s="1822"/>
      <c r="L408" s="551">
        <v>5720.43</v>
      </c>
      <c r="M408" s="550"/>
      <c r="N408" s="549"/>
      <c r="AH408" s="675"/>
      <c r="AI408" s="537" t="s">
        <v>405</v>
      </c>
    </row>
    <row r="409" spans="1:35" s="536" customFormat="1" x14ac:dyDescent="0.2">
      <c r="A409" s="548"/>
      <c r="B409" s="552"/>
      <c r="C409" s="1822" t="s">
        <v>406</v>
      </c>
      <c r="D409" s="1822"/>
      <c r="E409" s="1822"/>
      <c r="F409" s="1822"/>
      <c r="G409" s="1822"/>
      <c r="H409" s="1822"/>
      <c r="I409" s="1822"/>
      <c r="J409" s="1822"/>
      <c r="K409" s="1822"/>
      <c r="L409" s="551">
        <v>548.63</v>
      </c>
      <c r="M409" s="550"/>
      <c r="N409" s="549"/>
      <c r="AH409" s="675"/>
      <c r="AI409" s="537" t="s">
        <v>406</v>
      </c>
    </row>
    <row r="410" spans="1:35" s="536" customFormat="1" x14ac:dyDescent="0.2">
      <c r="A410" s="548"/>
      <c r="B410" s="552"/>
      <c r="C410" s="1822" t="s">
        <v>480</v>
      </c>
      <c r="D410" s="1822"/>
      <c r="E410" s="1822"/>
      <c r="F410" s="1822"/>
      <c r="G410" s="1822"/>
      <c r="H410" s="1822"/>
      <c r="I410" s="1822"/>
      <c r="J410" s="1822"/>
      <c r="K410" s="1822"/>
      <c r="L410" s="551">
        <v>95562.12</v>
      </c>
      <c r="M410" s="550"/>
      <c r="N410" s="549"/>
      <c r="AH410" s="675"/>
      <c r="AI410" s="537" t="s">
        <v>480</v>
      </c>
    </row>
    <row r="411" spans="1:35" s="536" customFormat="1" x14ac:dyDescent="0.2">
      <c r="A411" s="548"/>
      <c r="B411" s="552" t="s">
        <v>185</v>
      </c>
      <c r="C411" s="1822" t="s">
        <v>753</v>
      </c>
      <c r="D411" s="1822"/>
      <c r="E411" s="1822"/>
      <c r="F411" s="1822"/>
      <c r="G411" s="1822"/>
      <c r="H411" s="1822"/>
      <c r="I411" s="1822"/>
      <c r="J411" s="1822"/>
      <c r="K411" s="1822"/>
      <c r="L411" s="551">
        <v>108002.77</v>
      </c>
      <c r="M411" s="550">
        <v>8.32</v>
      </c>
      <c r="N411" s="549">
        <v>898583</v>
      </c>
      <c r="AH411" s="675"/>
      <c r="AI411" s="537" t="s">
        <v>753</v>
      </c>
    </row>
    <row r="412" spans="1:35" s="536" customFormat="1" x14ac:dyDescent="0.2">
      <c r="A412" s="548"/>
      <c r="B412" s="552"/>
      <c r="C412" s="1822" t="s">
        <v>204</v>
      </c>
      <c r="D412" s="1822"/>
      <c r="E412" s="1822"/>
      <c r="F412" s="1822"/>
      <c r="G412" s="1822"/>
      <c r="H412" s="1822"/>
      <c r="I412" s="1822"/>
      <c r="J412" s="1822"/>
      <c r="K412" s="1822"/>
      <c r="L412" s="551"/>
      <c r="M412" s="550"/>
      <c r="N412" s="549"/>
      <c r="AH412" s="675"/>
      <c r="AI412" s="537" t="s">
        <v>204</v>
      </c>
    </row>
    <row r="413" spans="1:35" s="536" customFormat="1" x14ac:dyDescent="0.2">
      <c r="A413" s="548"/>
      <c r="B413" s="552"/>
      <c r="C413" s="1822" t="s">
        <v>546</v>
      </c>
      <c r="D413" s="1822"/>
      <c r="E413" s="1822"/>
      <c r="F413" s="1822"/>
      <c r="G413" s="1822"/>
      <c r="H413" s="1822"/>
      <c r="I413" s="1822"/>
      <c r="J413" s="1822"/>
      <c r="K413" s="1822"/>
      <c r="L413" s="551">
        <v>2392.4</v>
      </c>
      <c r="M413" s="550"/>
      <c r="N413" s="549"/>
      <c r="AH413" s="675"/>
      <c r="AI413" s="537" t="s">
        <v>546</v>
      </c>
    </row>
    <row r="414" spans="1:35" s="536" customFormat="1" x14ac:dyDescent="0.2">
      <c r="A414" s="548"/>
      <c r="B414" s="552"/>
      <c r="C414" s="1822" t="s">
        <v>442</v>
      </c>
      <c r="D414" s="1822"/>
      <c r="E414" s="1822"/>
      <c r="F414" s="1822"/>
      <c r="G414" s="1822"/>
      <c r="H414" s="1822"/>
      <c r="I414" s="1822"/>
      <c r="J414" s="1822"/>
      <c r="K414" s="1822"/>
      <c r="L414" s="551">
        <v>5720.43</v>
      </c>
      <c r="M414" s="550"/>
      <c r="N414" s="549"/>
      <c r="AH414" s="675"/>
      <c r="AI414" s="537" t="s">
        <v>442</v>
      </c>
    </row>
    <row r="415" spans="1:35" s="536" customFormat="1" x14ac:dyDescent="0.2">
      <c r="A415" s="548"/>
      <c r="B415" s="552"/>
      <c r="C415" s="1822" t="s">
        <v>547</v>
      </c>
      <c r="D415" s="1822"/>
      <c r="E415" s="1822"/>
      <c r="F415" s="1822"/>
      <c r="G415" s="1822"/>
      <c r="H415" s="1822"/>
      <c r="I415" s="1822"/>
      <c r="J415" s="1822"/>
      <c r="K415" s="1822"/>
      <c r="L415" s="551">
        <v>95562.12</v>
      </c>
      <c r="M415" s="550"/>
      <c r="N415" s="549"/>
      <c r="AH415" s="675"/>
      <c r="AI415" s="537" t="s">
        <v>547</v>
      </c>
    </row>
    <row r="416" spans="1:35" s="536" customFormat="1" x14ac:dyDescent="0.2">
      <c r="A416" s="548"/>
      <c r="B416" s="552"/>
      <c r="C416" s="1822" t="s">
        <v>443</v>
      </c>
      <c r="D416" s="1822"/>
      <c r="E416" s="1822"/>
      <c r="F416" s="1822"/>
      <c r="G416" s="1822"/>
      <c r="H416" s="1822"/>
      <c r="I416" s="1822"/>
      <c r="J416" s="1822"/>
      <c r="K416" s="1822"/>
      <c r="L416" s="551">
        <v>2838.26</v>
      </c>
      <c r="M416" s="550"/>
      <c r="N416" s="549"/>
      <c r="AH416" s="675"/>
      <c r="AI416" s="537" t="s">
        <v>443</v>
      </c>
    </row>
    <row r="417" spans="1:36" x14ac:dyDescent="0.2">
      <c r="A417" s="548"/>
      <c r="B417" s="552"/>
      <c r="C417" s="1822" t="s">
        <v>444</v>
      </c>
      <c r="D417" s="1822"/>
      <c r="E417" s="1822"/>
      <c r="F417" s="1822"/>
      <c r="G417" s="1822"/>
      <c r="H417" s="1822"/>
      <c r="I417" s="1822"/>
      <c r="J417" s="1822"/>
      <c r="K417" s="1822"/>
      <c r="L417" s="551">
        <v>1489.56</v>
      </c>
      <c r="M417" s="550"/>
      <c r="N417" s="549"/>
      <c r="P417" s="536"/>
      <c r="Q417" s="536"/>
      <c r="R417" s="536"/>
      <c r="S417" s="536"/>
      <c r="T417" s="536"/>
      <c r="U417" s="536"/>
      <c r="V417" s="536"/>
      <c r="W417" s="536"/>
      <c r="X417" s="536"/>
      <c r="Y417" s="536"/>
      <c r="Z417" s="536"/>
      <c r="AA417" s="536"/>
      <c r="AB417" s="536"/>
      <c r="AC417" s="536"/>
      <c r="AD417" s="536"/>
      <c r="AE417" s="536"/>
      <c r="AF417" s="536"/>
      <c r="AG417" s="536"/>
      <c r="AH417" s="675"/>
      <c r="AI417" s="537" t="s">
        <v>444</v>
      </c>
      <c r="AJ417" s="536"/>
    </row>
    <row r="418" spans="1:36" x14ac:dyDescent="0.2">
      <c r="A418" s="548"/>
      <c r="B418" s="552" t="s">
        <v>186</v>
      </c>
      <c r="C418" s="1822" t="s">
        <v>754</v>
      </c>
      <c r="D418" s="1822"/>
      <c r="E418" s="1822"/>
      <c r="F418" s="1822"/>
      <c r="G418" s="1822"/>
      <c r="H418" s="1822"/>
      <c r="I418" s="1822"/>
      <c r="J418" s="1822"/>
      <c r="K418" s="1822"/>
      <c r="L418" s="551">
        <v>377301.74</v>
      </c>
      <c r="M418" s="550">
        <v>4.59</v>
      </c>
      <c r="N418" s="549">
        <v>1731815</v>
      </c>
      <c r="P418" s="536"/>
      <c r="Q418" s="536"/>
      <c r="R418" s="536"/>
      <c r="S418" s="536"/>
      <c r="T418" s="536"/>
      <c r="U418" s="536"/>
      <c r="V418" s="536"/>
      <c r="W418" s="536"/>
      <c r="X418" s="536"/>
      <c r="Y418" s="536"/>
      <c r="Z418" s="536"/>
      <c r="AA418" s="536"/>
      <c r="AB418" s="536"/>
      <c r="AC418" s="536"/>
      <c r="AD418" s="536"/>
      <c r="AE418" s="536"/>
      <c r="AF418" s="536"/>
      <c r="AG418" s="536"/>
      <c r="AH418" s="675"/>
      <c r="AI418" s="537" t="s">
        <v>754</v>
      </c>
      <c r="AJ418" s="536"/>
    </row>
    <row r="419" spans="1:36" x14ac:dyDescent="0.2">
      <c r="A419" s="548"/>
      <c r="B419" s="552"/>
      <c r="C419" s="1822" t="s">
        <v>415</v>
      </c>
      <c r="D419" s="1822"/>
      <c r="E419" s="1822"/>
      <c r="F419" s="1822"/>
      <c r="G419" s="1822"/>
      <c r="H419" s="1822"/>
      <c r="I419" s="1822"/>
      <c r="J419" s="1822"/>
      <c r="K419" s="1822"/>
      <c r="L419" s="551">
        <v>2941.03</v>
      </c>
      <c r="M419" s="550"/>
      <c r="N419" s="549"/>
      <c r="P419" s="536"/>
      <c r="Q419" s="536"/>
      <c r="R419" s="536"/>
      <c r="S419" s="536"/>
      <c r="T419" s="536"/>
      <c r="U419" s="536"/>
      <c r="V419" s="536"/>
      <c r="W419" s="536"/>
      <c r="X419" s="536"/>
      <c r="Y419" s="536"/>
      <c r="Z419" s="536"/>
      <c r="AA419" s="536"/>
      <c r="AB419" s="536"/>
      <c r="AC419" s="536"/>
      <c r="AD419" s="536"/>
      <c r="AE419" s="536"/>
      <c r="AF419" s="536"/>
      <c r="AG419" s="536"/>
      <c r="AH419" s="675"/>
      <c r="AI419" s="537" t="s">
        <v>415</v>
      </c>
      <c r="AJ419" s="536"/>
    </row>
    <row r="420" spans="1:36" x14ac:dyDescent="0.2">
      <c r="A420" s="548"/>
      <c r="B420" s="552"/>
      <c r="C420" s="1822" t="s">
        <v>416</v>
      </c>
      <c r="D420" s="1822"/>
      <c r="E420" s="1822"/>
      <c r="F420" s="1822"/>
      <c r="G420" s="1822"/>
      <c r="H420" s="1822"/>
      <c r="I420" s="1822"/>
      <c r="J420" s="1822"/>
      <c r="K420" s="1822"/>
      <c r="L420" s="551">
        <v>2838.26</v>
      </c>
      <c r="M420" s="550"/>
      <c r="N420" s="549"/>
      <c r="P420" s="536"/>
      <c r="Q420" s="536"/>
      <c r="R420" s="536"/>
      <c r="S420" s="536"/>
      <c r="T420" s="536"/>
      <c r="U420" s="536"/>
      <c r="V420" s="536"/>
      <c r="W420" s="536"/>
      <c r="X420" s="536"/>
      <c r="Y420" s="536"/>
      <c r="Z420" s="536"/>
      <c r="AA420" s="536"/>
      <c r="AB420" s="536"/>
      <c r="AC420" s="536"/>
      <c r="AD420" s="536"/>
      <c r="AE420" s="536"/>
      <c r="AF420" s="536"/>
      <c r="AG420" s="536"/>
      <c r="AH420" s="675"/>
      <c r="AI420" s="537" t="s">
        <v>416</v>
      </c>
      <c r="AJ420" s="536"/>
    </row>
    <row r="421" spans="1:36" x14ac:dyDescent="0.2">
      <c r="A421" s="548"/>
      <c r="B421" s="552"/>
      <c r="C421" s="1822" t="s">
        <v>417</v>
      </c>
      <c r="D421" s="1822"/>
      <c r="E421" s="1822"/>
      <c r="F421" s="1822"/>
      <c r="G421" s="1822"/>
      <c r="H421" s="1822"/>
      <c r="I421" s="1822"/>
      <c r="J421" s="1822"/>
      <c r="K421" s="1822"/>
      <c r="L421" s="551">
        <v>1489.56</v>
      </c>
      <c r="M421" s="550"/>
      <c r="N421" s="549"/>
      <c r="P421" s="536"/>
      <c r="Q421" s="536"/>
      <c r="R421" s="536"/>
      <c r="S421" s="536"/>
      <c r="T421" s="536"/>
      <c r="U421" s="536"/>
      <c r="V421" s="536"/>
      <c r="W421" s="536"/>
      <c r="X421" s="536"/>
      <c r="Y421" s="536"/>
      <c r="Z421" s="536"/>
      <c r="AA421" s="536"/>
      <c r="AB421" s="536"/>
      <c r="AC421" s="536"/>
      <c r="AD421" s="536"/>
      <c r="AE421" s="536"/>
      <c r="AF421" s="536"/>
      <c r="AG421" s="536"/>
      <c r="AH421" s="675"/>
      <c r="AI421" s="537" t="s">
        <v>417</v>
      </c>
      <c r="AJ421" s="536"/>
    </row>
    <row r="422" spans="1:36" x14ac:dyDescent="0.2">
      <c r="A422" s="548"/>
      <c r="B422" s="546"/>
      <c r="C422" s="1819" t="s">
        <v>206</v>
      </c>
      <c r="D422" s="1819"/>
      <c r="E422" s="1819"/>
      <c r="F422" s="1819"/>
      <c r="G422" s="1819"/>
      <c r="H422" s="1819"/>
      <c r="I422" s="1819"/>
      <c r="J422" s="1819"/>
      <c r="K422" s="1819"/>
      <c r="L422" s="544">
        <v>485304.51</v>
      </c>
      <c r="M422" s="543"/>
      <c r="N422" s="547">
        <v>2630398</v>
      </c>
      <c r="P422" s="536"/>
      <c r="Q422" s="536"/>
      <c r="R422" s="536"/>
      <c r="S422" s="536"/>
      <c r="T422" s="536"/>
      <c r="U422" s="536"/>
      <c r="V422" s="536"/>
      <c r="W422" s="536"/>
      <c r="X422" s="536"/>
      <c r="Y422" s="536"/>
      <c r="Z422" s="536"/>
      <c r="AA422" s="536"/>
      <c r="AB422" s="536"/>
      <c r="AC422" s="536"/>
      <c r="AD422" s="536"/>
      <c r="AE422" s="536"/>
      <c r="AF422" s="536"/>
      <c r="AG422" s="536"/>
      <c r="AH422" s="675"/>
      <c r="AI422" s="536"/>
      <c r="AJ422" s="675" t="s">
        <v>206</v>
      </c>
    </row>
    <row r="423" spans="1:36" x14ac:dyDescent="0.2">
      <c r="A423" s="548"/>
      <c r="B423" s="552"/>
      <c r="C423" s="1822" t="s">
        <v>204</v>
      </c>
      <c r="D423" s="1822"/>
      <c r="E423" s="1822"/>
      <c r="F423" s="1822"/>
      <c r="G423" s="1822"/>
      <c r="H423" s="1822"/>
      <c r="I423" s="1822"/>
      <c r="J423" s="1822"/>
      <c r="K423" s="1822"/>
      <c r="L423" s="551"/>
      <c r="M423" s="550"/>
      <c r="N423" s="549"/>
      <c r="P423" s="536"/>
      <c r="Q423" s="536"/>
      <c r="R423" s="536"/>
      <c r="S423" s="536"/>
      <c r="T423" s="536"/>
      <c r="U423" s="536"/>
      <c r="V423" s="536"/>
      <c r="W423" s="536"/>
      <c r="X423" s="536"/>
      <c r="Y423" s="536"/>
      <c r="Z423" s="536"/>
      <c r="AA423" s="536"/>
      <c r="AB423" s="536"/>
      <c r="AC423" s="536"/>
      <c r="AD423" s="536"/>
      <c r="AE423" s="536"/>
      <c r="AF423" s="536"/>
      <c r="AG423" s="536"/>
      <c r="AH423" s="675"/>
      <c r="AI423" s="537" t="s">
        <v>204</v>
      </c>
      <c r="AJ423" s="675"/>
    </row>
    <row r="424" spans="1:36" x14ac:dyDescent="0.2">
      <c r="A424" s="548"/>
      <c r="B424" s="552"/>
      <c r="C424" s="1822" t="s">
        <v>8095</v>
      </c>
      <c r="D424" s="1822"/>
      <c r="E424" s="1822"/>
      <c r="F424" s="1822"/>
      <c r="G424" s="1822"/>
      <c r="H424" s="1822"/>
      <c r="I424" s="1822"/>
      <c r="J424" s="1822"/>
      <c r="K424" s="1822"/>
      <c r="L424" s="551">
        <v>94238.62</v>
      </c>
      <c r="M424" s="550"/>
      <c r="N424" s="549">
        <v>784065</v>
      </c>
      <c r="P424" s="536"/>
      <c r="Q424" s="536"/>
      <c r="R424" s="536"/>
      <c r="S424" s="536"/>
      <c r="T424" s="536"/>
      <c r="U424" s="536"/>
      <c r="V424" s="536"/>
      <c r="W424" s="536"/>
      <c r="X424" s="536"/>
      <c r="Y424" s="536"/>
      <c r="Z424" s="536"/>
      <c r="AA424" s="536"/>
      <c r="AB424" s="536"/>
      <c r="AC424" s="536"/>
      <c r="AD424" s="536"/>
      <c r="AE424" s="536"/>
      <c r="AF424" s="536"/>
      <c r="AG424" s="536"/>
      <c r="AH424" s="675"/>
      <c r="AI424" s="537" t="s">
        <v>8095</v>
      </c>
      <c r="AJ424" s="675"/>
    </row>
    <row r="425" spans="1:36" x14ac:dyDescent="0.2">
      <c r="A425" s="548"/>
      <c r="B425" s="552"/>
      <c r="C425" s="1822" t="s">
        <v>8097</v>
      </c>
      <c r="D425" s="1822"/>
      <c r="E425" s="1822"/>
      <c r="F425" s="1822"/>
      <c r="G425" s="1822"/>
      <c r="H425" s="1822"/>
      <c r="I425" s="1822"/>
      <c r="J425" s="1822"/>
      <c r="K425" s="1822"/>
      <c r="L425" s="551"/>
      <c r="M425" s="550"/>
      <c r="N425" s="549">
        <v>1731815</v>
      </c>
      <c r="P425" s="536"/>
      <c r="Q425" s="536"/>
      <c r="R425" s="536"/>
      <c r="S425" s="536"/>
      <c r="T425" s="536"/>
      <c r="U425" s="536"/>
      <c r="V425" s="536"/>
      <c r="W425" s="536"/>
      <c r="X425" s="536"/>
      <c r="Y425" s="536"/>
      <c r="Z425" s="536"/>
      <c r="AA425" s="536"/>
      <c r="AB425" s="536"/>
      <c r="AC425" s="536"/>
      <c r="AD425" s="536"/>
      <c r="AE425" s="536"/>
      <c r="AF425" s="536"/>
      <c r="AG425" s="536"/>
      <c r="AH425" s="675"/>
      <c r="AI425" s="537" t="s">
        <v>8097</v>
      </c>
      <c r="AJ425" s="675"/>
    </row>
    <row r="426" spans="1:36" ht="1.5" customHeight="1" x14ac:dyDescent="0.2">
      <c r="B426" s="546"/>
      <c r="C426" s="683"/>
      <c r="D426" s="683"/>
      <c r="E426" s="683"/>
      <c r="F426" s="683"/>
      <c r="G426" s="683"/>
      <c r="H426" s="683"/>
      <c r="I426" s="683"/>
      <c r="J426" s="683"/>
      <c r="K426" s="683"/>
      <c r="L426" s="544"/>
      <c r="M426" s="543"/>
      <c r="N426" s="542"/>
      <c r="P426" s="536"/>
      <c r="Q426" s="536"/>
      <c r="R426" s="536"/>
      <c r="S426" s="536"/>
      <c r="T426" s="536"/>
      <c r="U426" s="536"/>
      <c r="V426" s="536"/>
      <c r="W426" s="536"/>
      <c r="X426" s="536"/>
      <c r="Y426" s="536"/>
      <c r="Z426" s="536"/>
      <c r="AA426" s="536"/>
      <c r="AB426" s="536"/>
      <c r="AC426" s="536"/>
      <c r="AD426" s="536"/>
      <c r="AE426" s="536"/>
      <c r="AF426" s="536"/>
      <c r="AG426" s="536"/>
      <c r="AH426" s="536"/>
      <c r="AI426" s="536"/>
      <c r="AJ426" s="536"/>
    </row>
    <row r="427" spans="1:36" ht="53.25" customHeight="1" x14ac:dyDescent="0.2">
      <c r="A427" s="541"/>
      <c r="B427" s="541"/>
      <c r="C427" s="541"/>
      <c r="D427" s="541"/>
      <c r="E427" s="541"/>
      <c r="F427" s="541"/>
      <c r="G427" s="541"/>
      <c r="H427" s="541"/>
      <c r="I427" s="541"/>
      <c r="J427" s="541"/>
      <c r="K427" s="541"/>
      <c r="L427" s="541"/>
      <c r="M427" s="541"/>
      <c r="N427" s="541"/>
      <c r="P427" s="536"/>
      <c r="Q427" s="536"/>
      <c r="R427" s="536"/>
      <c r="S427" s="536"/>
      <c r="T427" s="536"/>
      <c r="U427" s="536"/>
      <c r="V427" s="536"/>
      <c r="W427" s="536"/>
      <c r="X427" s="536"/>
      <c r="Y427" s="536"/>
      <c r="Z427" s="536"/>
      <c r="AA427" s="536"/>
      <c r="AB427" s="536"/>
      <c r="AC427" s="536"/>
      <c r="AD427" s="536"/>
      <c r="AE427" s="536"/>
      <c r="AF427" s="536"/>
      <c r="AG427" s="536"/>
      <c r="AH427" s="536"/>
      <c r="AI427" s="536"/>
      <c r="AJ427" s="536"/>
    </row>
    <row r="428" spans="1:36" x14ac:dyDescent="0.2">
      <c r="B428" s="539" t="s">
        <v>149</v>
      </c>
      <c r="C428" s="1943" t="s">
        <v>207</v>
      </c>
      <c r="D428" s="1943"/>
      <c r="E428" s="1943"/>
      <c r="F428" s="1943"/>
      <c r="G428" s="1943"/>
      <c r="H428" s="1943"/>
      <c r="I428" s="1943"/>
      <c r="J428" s="1943"/>
      <c r="K428" s="1943"/>
      <c r="L428" s="1943"/>
    </row>
    <row r="429" spans="1:36" ht="13.5" customHeight="1" x14ac:dyDescent="0.2">
      <c r="B429" s="540"/>
      <c r="C429" s="1821" t="s">
        <v>150</v>
      </c>
      <c r="D429" s="1821"/>
      <c r="E429" s="1821"/>
      <c r="F429" s="1821"/>
      <c r="G429" s="1821"/>
      <c r="H429" s="1821"/>
      <c r="I429" s="1821"/>
      <c r="J429" s="1821"/>
      <c r="K429" s="1821"/>
      <c r="L429" s="1821"/>
    </row>
    <row r="430" spans="1:36" ht="12.75" customHeight="1" x14ac:dyDescent="0.2">
      <c r="B430" s="539" t="s">
        <v>151</v>
      </c>
      <c r="C430" s="1943" t="s">
        <v>208</v>
      </c>
      <c r="D430" s="1943"/>
      <c r="E430" s="1943"/>
      <c r="F430" s="1943"/>
      <c r="G430" s="1943"/>
      <c r="H430" s="1943"/>
      <c r="I430" s="1943"/>
      <c r="J430" s="1943"/>
      <c r="K430" s="1943"/>
      <c r="L430" s="1943"/>
    </row>
    <row r="431" spans="1:36" ht="13.5" customHeight="1" x14ac:dyDescent="0.2">
      <c r="C431" s="1821" t="s">
        <v>150</v>
      </c>
      <c r="D431" s="1821"/>
      <c r="E431" s="1821"/>
      <c r="F431" s="1821"/>
      <c r="G431" s="1821"/>
      <c r="H431" s="1821"/>
      <c r="I431" s="1821"/>
      <c r="J431" s="1821"/>
      <c r="K431" s="1821"/>
      <c r="L431" s="1821"/>
    </row>
    <row r="433" spans="2:6" s="536" customFormat="1" x14ac:dyDescent="0.2">
      <c r="B433" s="538"/>
      <c r="D433" s="538"/>
      <c r="F433" s="538"/>
    </row>
  </sheetData>
  <mergeCells count="378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7:E47"/>
    <mergeCell ref="C48:E48"/>
    <mergeCell ref="C49:E49"/>
    <mergeCell ref="C50:E50"/>
    <mergeCell ref="C51:E51"/>
    <mergeCell ref="C52:E52"/>
    <mergeCell ref="C41:N41"/>
    <mergeCell ref="C42:E42"/>
    <mergeCell ref="C43:E43"/>
    <mergeCell ref="C44:E44"/>
    <mergeCell ref="C45:E45"/>
    <mergeCell ref="C46:E46"/>
    <mergeCell ref="C60:E60"/>
    <mergeCell ref="C61:E61"/>
    <mergeCell ref="C62:E62"/>
    <mergeCell ref="C63:E63"/>
    <mergeCell ref="C64:E64"/>
    <mergeCell ref="C65:E65"/>
    <mergeCell ref="C53:E53"/>
    <mergeCell ref="C55:N55"/>
    <mergeCell ref="C56:E56"/>
    <mergeCell ref="C57:N57"/>
    <mergeCell ref="C58:N58"/>
    <mergeCell ref="C59:E59"/>
    <mergeCell ref="C73:K73"/>
    <mergeCell ref="C74:K74"/>
    <mergeCell ref="C75:K75"/>
    <mergeCell ref="C76:K76"/>
    <mergeCell ref="C77:K77"/>
    <mergeCell ref="C78:K78"/>
    <mergeCell ref="C66:E66"/>
    <mergeCell ref="C67:E67"/>
    <mergeCell ref="C68:E68"/>
    <mergeCell ref="C69:E69"/>
    <mergeCell ref="C71:K71"/>
    <mergeCell ref="C72:K72"/>
    <mergeCell ref="C85:K85"/>
    <mergeCell ref="C86:K86"/>
    <mergeCell ref="C87:K87"/>
    <mergeCell ref="C88:K88"/>
    <mergeCell ref="C89:K89"/>
    <mergeCell ref="C90:K90"/>
    <mergeCell ref="C79:K79"/>
    <mergeCell ref="C80:K80"/>
    <mergeCell ref="C81:K81"/>
    <mergeCell ref="C82:K82"/>
    <mergeCell ref="C83:K83"/>
    <mergeCell ref="C84:K84"/>
    <mergeCell ref="C97:E97"/>
    <mergeCell ref="C98:E98"/>
    <mergeCell ref="C99:E99"/>
    <mergeCell ref="C100:E100"/>
    <mergeCell ref="C101:E101"/>
    <mergeCell ref="C102:E102"/>
    <mergeCell ref="C91:K91"/>
    <mergeCell ref="A92:N92"/>
    <mergeCell ref="A93:N93"/>
    <mergeCell ref="C94:E94"/>
    <mergeCell ref="C95:N95"/>
    <mergeCell ref="C96:N96"/>
    <mergeCell ref="C110:N110"/>
    <mergeCell ref="A111:N111"/>
    <mergeCell ref="C112:E112"/>
    <mergeCell ref="C113:N113"/>
    <mergeCell ref="C114:N114"/>
    <mergeCell ref="C115:E115"/>
    <mergeCell ref="C103:E103"/>
    <mergeCell ref="C104:E104"/>
    <mergeCell ref="C105:E105"/>
    <mergeCell ref="C106:E106"/>
    <mergeCell ref="C107:E107"/>
    <mergeCell ref="C108:E108"/>
    <mergeCell ref="C122:E122"/>
    <mergeCell ref="C123:E123"/>
    <mergeCell ref="C124:E124"/>
    <mergeCell ref="C125:E125"/>
    <mergeCell ref="C126:E126"/>
    <mergeCell ref="C128:N128"/>
    <mergeCell ref="C116:E116"/>
    <mergeCell ref="C117:E117"/>
    <mergeCell ref="C118:E118"/>
    <mergeCell ref="C119:E119"/>
    <mergeCell ref="C120:E120"/>
    <mergeCell ref="C121:E121"/>
    <mergeCell ref="C135:E135"/>
    <mergeCell ref="C136:E136"/>
    <mergeCell ref="C137:E137"/>
    <mergeCell ref="C138:E138"/>
    <mergeCell ref="C139:E139"/>
    <mergeCell ref="C140:E140"/>
    <mergeCell ref="A129:N129"/>
    <mergeCell ref="C130:E130"/>
    <mergeCell ref="C131:N131"/>
    <mergeCell ref="C132:N132"/>
    <mergeCell ref="C133:E133"/>
    <mergeCell ref="C134:E134"/>
    <mergeCell ref="C149:N149"/>
    <mergeCell ref="C150:N150"/>
    <mergeCell ref="C151:E151"/>
    <mergeCell ref="C152:E152"/>
    <mergeCell ref="C153:E153"/>
    <mergeCell ref="C154:E154"/>
    <mergeCell ref="C141:E141"/>
    <mergeCell ref="C143:N143"/>
    <mergeCell ref="C144:N144"/>
    <mergeCell ref="C145:E145"/>
    <mergeCell ref="C147:N147"/>
    <mergeCell ref="C148:E148"/>
    <mergeCell ref="C161:E161"/>
    <mergeCell ref="C162:E162"/>
    <mergeCell ref="C164:N164"/>
    <mergeCell ref="C165:E165"/>
    <mergeCell ref="C166:N166"/>
    <mergeCell ref="C167:E167"/>
    <mergeCell ref="C155:E155"/>
    <mergeCell ref="C156:E156"/>
    <mergeCell ref="C157:E157"/>
    <mergeCell ref="C158:E158"/>
    <mergeCell ref="C159:E159"/>
    <mergeCell ref="C160:E160"/>
    <mergeCell ref="C174:E174"/>
    <mergeCell ref="C175:E175"/>
    <mergeCell ref="C177:N177"/>
    <mergeCell ref="C178:E178"/>
    <mergeCell ref="C180:N180"/>
    <mergeCell ref="A181:N181"/>
    <mergeCell ref="C168:E168"/>
    <mergeCell ref="C169:E169"/>
    <mergeCell ref="C170:E170"/>
    <mergeCell ref="C171:E171"/>
    <mergeCell ref="C172:E172"/>
    <mergeCell ref="C173:E173"/>
    <mergeCell ref="C188:E188"/>
    <mergeCell ref="C189:E189"/>
    <mergeCell ref="C190:E190"/>
    <mergeCell ref="C191:E191"/>
    <mergeCell ref="C192:E192"/>
    <mergeCell ref="C193:E193"/>
    <mergeCell ref="C182:E182"/>
    <mergeCell ref="C183:N183"/>
    <mergeCell ref="C184:N184"/>
    <mergeCell ref="C185:E185"/>
    <mergeCell ref="C186:E186"/>
    <mergeCell ref="C187:E187"/>
    <mergeCell ref="C202:N202"/>
    <mergeCell ref="C203:E203"/>
    <mergeCell ref="C205:N205"/>
    <mergeCell ref="C206:E206"/>
    <mergeCell ref="C207:N207"/>
    <mergeCell ref="C208:N208"/>
    <mergeCell ref="C194:E194"/>
    <mergeCell ref="C195:E195"/>
    <mergeCell ref="C196:E196"/>
    <mergeCell ref="C198:N198"/>
    <mergeCell ref="C199:N199"/>
    <mergeCell ref="C200:E200"/>
    <mergeCell ref="C215:E215"/>
    <mergeCell ref="C216:E216"/>
    <mergeCell ref="C217:E217"/>
    <mergeCell ref="C218:E218"/>
    <mergeCell ref="C219:E219"/>
    <mergeCell ref="C220:E220"/>
    <mergeCell ref="C209:E209"/>
    <mergeCell ref="C210:E210"/>
    <mergeCell ref="C211:E211"/>
    <mergeCell ref="C212:E212"/>
    <mergeCell ref="C213:E213"/>
    <mergeCell ref="C214:E214"/>
    <mergeCell ref="C228:E228"/>
    <mergeCell ref="C229:E229"/>
    <mergeCell ref="C230:E230"/>
    <mergeCell ref="C231:E231"/>
    <mergeCell ref="C232:E232"/>
    <mergeCell ref="C233:E233"/>
    <mergeCell ref="C222:N222"/>
    <mergeCell ref="C223:N223"/>
    <mergeCell ref="C224:E224"/>
    <mergeCell ref="C225:N225"/>
    <mergeCell ref="C226:N226"/>
    <mergeCell ref="C227:E227"/>
    <mergeCell ref="C241:E241"/>
    <mergeCell ref="C242:E242"/>
    <mergeCell ref="C243:E243"/>
    <mergeCell ref="C244:E244"/>
    <mergeCell ref="C245:E245"/>
    <mergeCell ref="C246:E246"/>
    <mergeCell ref="C234:E234"/>
    <mergeCell ref="C235:E235"/>
    <mergeCell ref="C237:N237"/>
    <mergeCell ref="C238:E238"/>
    <mergeCell ref="C239:N239"/>
    <mergeCell ref="C240:E240"/>
    <mergeCell ref="C256:N256"/>
    <mergeCell ref="C257:E257"/>
    <mergeCell ref="C259:N259"/>
    <mergeCell ref="C260:E260"/>
    <mergeCell ref="C262:N262"/>
    <mergeCell ref="C263:E263"/>
    <mergeCell ref="C247:E247"/>
    <mergeCell ref="C248:E248"/>
    <mergeCell ref="C250:N250"/>
    <mergeCell ref="C251:E251"/>
    <mergeCell ref="C253:N253"/>
    <mergeCell ref="C254:E254"/>
    <mergeCell ref="C274:N274"/>
    <mergeCell ref="C275:E275"/>
    <mergeCell ref="C277:N277"/>
    <mergeCell ref="C278:E278"/>
    <mergeCell ref="C279:N279"/>
    <mergeCell ref="C280:E280"/>
    <mergeCell ref="C265:N265"/>
    <mergeCell ref="C266:E266"/>
    <mergeCell ref="C268:N268"/>
    <mergeCell ref="C269:E269"/>
    <mergeCell ref="C271:N271"/>
    <mergeCell ref="C272:E272"/>
    <mergeCell ref="C287:E287"/>
    <mergeCell ref="C288:E288"/>
    <mergeCell ref="C289:E289"/>
    <mergeCell ref="C290:E290"/>
    <mergeCell ref="C291:E291"/>
    <mergeCell ref="C293:N293"/>
    <mergeCell ref="C281:E281"/>
    <mergeCell ref="C282:E282"/>
    <mergeCell ref="C283:E283"/>
    <mergeCell ref="C284:E284"/>
    <mergeCell ref="C285:E285"/>
    <mergeCell ref="C286:E286"/>
    <mergeCell ref="C303:N303"/>
    <mergeCell ref="C304:E304"/>
    <mergeCell ref="C306:N306"/>
    <mergeCell ref="C307:E307"/>
    <mergeCell ref="C309:N309"/>
    <mergeCell ref="C310:E310"/>
    <mergeCell ref="C294:N294"/>
    <mergeCell ref="C295:E295"/>
    <mergeCell ref="C297:N297"/>
    <mergeCell ref="C298:E298"/>
    <mergeCell ref="C300:N300"/>
    <mergeCell ref="C301:E301"/>
    <mergeCell ref="C318:E318"/>
    <mergeCell ref="C319:E319"/>
    <mergeCell ref="C320:E320"/>
    <mergeCell ref="C321:E321"/>
    <mergeCell ref="C322:E322"/>
    <mergeCell ref="C323:E323"/>
    <mergeCell ref="C312:N312"/>
    <mergeCell ref="C313:E313"/>
    <mergeCell ref="C314:N314"/>
    <mergeCell ref="C315:E315"/>
    <mergeCell ref="C316:E316"/>
    <mergeCell ref="C317:E317"/>
    <mergeCell ref="C331:E331"/>
    <mergeCell ref="C332:E332"/>
    <mergeCell ref="C333:E333"/>
    <mergeCell ref="C334:E334"/>
    <mergeCell ref="C335:E335"/>
    <mergeCell ref="C336:E336"/>
    <mergeCell ref="C325:N325"/>
    <mergeCell ref="C326:E326"/>
    <mergeCell ref="C327:N327"/>
    <mergeCell ref="C328:E328"/>
    <mergeCell ref="C329:E329"/>
    <mergeCell ref="C330:E330"/>
    <mergeCell ref="C344:E344"/>
    <mergeCell ref="C345:E345"/>
    <mergeCell ref="C346:E346"/>
    <mergeCell ref="C347:E347"/>
    <mergeCell ref="C348:E348"/>
    <mergeCell ref="C350:N350"/>
    <mergeCell ref="C338:N338"/>
    <mergeCell ref="C339:E339"/>
    <mergeCell ref="C340:E340"/>
    <mergeCell ref="C341:E341"/>
    <mergeCell ref="C342:E342"/>
    <mergeCell ref="C343:E343"/>
    <mergeCell ref="C357:E357"/>
    <mergeCell ref="C358:E358"/>
    <mergeCell ref="C359:E359"/>
    <mergeCell ref="C360:E360"/>
    <mergeCell ref="C361:E361"/>
    <mergeCell ref="C362:E362"/>
    <mergeCell ref="C351:E351"/>
    <mergeCell ref="C352:N352"/>
    <mergeCell ref="C353:N353"/>
    <mergeCell ref="C354:E354"/>
    <mergeCell ref="C355:E355"/>
    <mergeCell ref="C356:E356"/>
    <mergeCell ref="C371:K371"/>
    <mergeCell ref="C372:K372"/>
    <mergeCell ref="C373:K373"/>
    <mergeCell ref="C374:K374"/>
    <mergeCell ref="C375:K375"/>
    <mergeCell ref="C376:K376"/>
    <mergeCell ref="C363:E363"/>
    <mergeCell ref="C364:E364"/>
    <mergeCell ref="C365:E365"/>
    <mergeCell ref="C367:N367"/>
    <mergeCell ref="C369:K369"/>
    <mergeCell ref="C370:K370"/>
    <mergeCell ref="C383:K383"/>
    <mergeCell ref="C384:K384"/>
    <mergeCell ref="C385:K385"/>
    <mergeCell ref="C386:K386"/>
    <mergeCell ref="C387:K387"/>
    <mergeCell ref="C388:K388"/>
    <mergeCell ref="C377:K377"/>
    <mergeCell ref="C378:K378"/>
    <mergeCell ref="C379:K379"/>
    <mergeCell ref="C380:K380"/>
    <mergeCell ref="C381:K381"/>
    <mergeCell ref="C382:K382"/>
    <mergeCell ref="C397:K397"/>
    <mergeCell ref="C398:K398"/>
    <mergeCell ref="C399:K399"/>
    <mergeCell ref="C400:K400"/>
    <mergeCell ref="C401:K401"/>
    <mergeCell ref="C402:K402"/>
    <mergeCell ref="C389:K389"/>
    <mergeCell ref="C390:K390"/>
    <mergeCell ref="A391:N391"/>
    <mergeCell ref="C392:E392"/>
    <mergeCell ref="C395:K395"/>
    <mergeCell ref="C396:K396"/>
    <mergeCell ref="C410:K410"/>
    <mergeCell ref="C411:K411"/>
    <mergeCell ref="C412:K412"/>
    <mergeCell ref="C413:K413"/>
    <mergeCell ref="C414:K414"/>
    <mergeCell ref="C415:K415"/>
    <mergeCell ref="C404:K404"/>
    <mergeCell ref="C405:K405"/>
    <mergeCell ref="C406:K406"/>
    <mergeCell ref="C407:K407"/>
    <mergeCell ref="C408:K408"/>
    <mergeCell ref="C409:K409"/>
    <mergeCell ref="C430:L430"/>
    <mergeCell ref="C431:L431"/>
    <mergeCell ref="C422:K422"/>
    <mergeCell ref="C423:K423"/>
    <mergeCell ref="C424:K424"/>
    <mergeCell ref="C425:K425"/>
    <mergeCell ref="C428:L428"/>
    <mergeCell ref="C429:L429"/>
    <mergeCell ref="C416:K416"/>
    <mergeCell ref="C417:K417"/>
    <mergeCell ref="C418:K418"/>
    <mergeCell ref="C419:K419"/>
    <mergeCell ref="C420:K420"/>
    <mergeCell ref="C421:K421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432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2">
    <pageSetUpPr fitToPage="1"/>
  </sheetPr>
  <dimension ref="B1:I46"/>
  <sheetViews>
    <sheetView showGridLines="0" topLeftCell="B17" zoomScale="115" zoomScaleNormal="115" workbookViewId="0">
      <selection activeCell="E17" sqref="E17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20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 t="s">
        <v>1806</v>
      </c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654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1807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143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3419.4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1173">
        <v>881.62</v>
      </c>
      <c r="F15" s="508"/>
      <c r="G15" s="509"/>
      <c r="H15" s="9" t="s">
        <v>641</v>
      </c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1174">
        <f>I39/E15</f>
        <v>3.88</v>
      </c>
      <c r="F17" s="508"/>
      <c r="G17" s="509"/>
      <c r="H17" s="9" t="s">
        <v>279</v>
      </c>
      <c r="I17" s="9"/>
    </row>
    <row r="18" spans="2:9" x14ac:dyDescent="0.2">
      <c r="B18" s="6"/>
      <c r="C18" s="24" t="s">
        <v>484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x14ac:dyDescent="0.2">
      <c r="B26" s="511">
        <v>1</v>
      </c>
      <c r="C26" s="512" t="s">
        <v>1808</v>
      </c>
      <c r="D26" s="513" t="s">
        <v>33</v>
      </c>
      <c r="E26" s="514">
        <v>269.16000000000003</v>
      </c>
      <c r="F26" s="514">
        <v>41.28</v>
      </c>
      <c r="G26" s="514">
        <v>778.14</v>
      </c>
      <c r="H26" s="514"/>
      <c r="I26" s="514">
        <v>1088.58</v>
      </c>
    </row>
    <row r="27" spans="2:9" x14ac:dyDescent="0.2">
      <c r="B27" s="511">
        <v>2</v>
      </c>
      <c r="C27" s="512" t="s">
        <v>1809</v>
      </c>
      <c r="D27" s="513" t="s">
        <v>1810</v>
      </c>
      <c r="E27" s="514">
        <v>410.74</v>
      </c>
      <c r="F27" s="514"/>
      <c r="G27" s="514"/>
      <c r="H27" s="514"/>
      <c r="I27" s="514">
        <v>410.74</v>
      </c>
    </row>
    <row r="28" spans="2:9" ht="25.5" x14ac:dyDescent="0.2">
      <c r="B28" s="511">
        <v>3</v>
      </c>
      <c r="C28" s="512" t="s">
        <v>1811</v>
      </c>
      <c r="D28" s="513" t="s">
        <v>609</v>
      </c>
      <c r="E28" s="514">
        <v>2.37</v>
      </c>
      <c r="F28" s="514">
        <v>96.65</v>
      </c>
      <c r="G28" s="514">
        <v>96.03</v>
      </c>
      <c r="H28" s="514"/>
      <c r="I28" s="514">
        <v>195.05</v>
      </c>
    </row>
    <row r="29" spans="2:9" x14ac:dyDescent="0.2">
      <c r="B29" s="511">
        <v>4</v>
      </c>
      <c r="C29" s="512" t="s">
        <v>1812</v>
      </c>
      <c r="D29" s="513" t="s">
        <v>38</v>
      </c>
      <c r="E29" s="514">
        <v>19.399999999999999</v>
      </c>
      <c r="F29" s="514"/>
      <c r="G29" s="514">
        <v>3.45</v>
      </c>
      <c r="H29" s="514"/>
      <c r="I29" s="514">
        <v>22.85</v>
      </c>
    </row>
    <row r="30" spans="2:9" x14ac:dyDescent="0.2">
      <c r="B30" s="511">
        <v>5</v>
      </c>
      <c r="C30" s="512" t="s">
        <v>1813</v>
      </c>
      <c r="D30" s="513" t="s">
        <v>40</v>
      </c>
      <c r="E30" s="514">
        <v>7.65</v>
      </c>
      <c r="F30" s="514"/>
      <c r="G30" s="514"/>
      <c r="H30" s="514"/>
      <c r="I30" s="514">
        <v>7.65</v>
      </c>
    </row>
    <row r="31" spans="2:9" ht="25.5" x14ac:dyDescent="0.2">
      <c r="B31" s="511">
        <v>6</v>
      </c>
      <c r="C31" s="512" t="s">
        <v>1814</v>
      </c>
      <c r="D31" s="513" t="s">
        <v>42</v>
      </c>
      <c r="E31" s="514">
        <v>76.55</v>
      </c>
      <c r="F31" s="514">
        <v>0.75</v>
      </c>
      <c r="G31" s="514">
        <v>84.49</v>
      </c>
      <c r="H31" s="514"/>
      <c r="I31" s="514">
        <v>161.79</v>
      </c>
    </row>
    <row r="32" spans="2:9" ht="25.5" x14ac:dyDescent="0.2">
      <c r="B32" s="511">
        <v>7</v>
      </c>
      <c r="C32" s="512" t="s">
        <v>1815</v>
      </c>
      <c r="D32" s="513" t="s">
        <v>3063</v>
      </c>
      <c r="E32" s="514"/>
      <c r="F32" s="514">
        <v>3.74</v>
      </c>
      <c r="G32" s="514">
        <v>4.13</v>
      </c>
      <c r="H32" s="514"/>
      <c r="I32" s="514">
        <v>7.87</v>
      </c>
    </row>
    <row r="33" spans="2:9" ht="25.5" x14ac:dyDescent="0.2">
      <c r="B33" s="511">
        <v>8</v>
      </c>
      <c r="C33" s="512" t="s">
        <v>1816</v>
      </c>
      <c r="D33" s="513" t="s">
        <v>3120</v>
      </c>
      <c r="E33" s="514"/>
      <c r="F33" s="514">
        <v>4.7699999999999996</v>
      </c>
      <c r="G33" s="514">
        <v>34.35</v>
      </c>
      <c r="H33" s="514"/>
      <c r="I33" s="514">
        <v>39.119999999999997</v>
      </c>
    </row>
    <row r="34" spans="2:9" x14ac:dyDescent="0.2">
      <c r="B34" s="511">
        <v>9</v>
      </c>
      <c r="C34" s="512" t="s">
        <v>1817</v>
      </c>
      <c r="D34" s="513" t="s">
        <v>48</v>
      </c>
      <c r="E34" s="514">
        <v>1.0900000000000001</v>
      </c>
      <c r="F34" s="514">
        <v>4.3099999999999996</v>
      </c>
      <c r="G34" s="514">
        <v>13.39</v>
      </c>
      <c r="H34" s="514"/>
      <c r="I34" s="514">
        <v>18.79</v>
      </c>
    </row>
    <row r="35" spans="2:9" x14ac:dyDescent="0.2">
      <c r="B35" s="511">
        <v>10</v>
      </c>
      <c r="C35" s="512" t="s">
        <v>1818</v>
      </c>
      <c r="D35" s="513" t="s">
        <v>50</v>
      </c>
      <c r="E35" s="514"/>
      <c r="F35" s="514">
        <v>4.25</v>
      </c>
      <c r="G35" s="514">
        <v>44.36</v>
      </c>
      <c r="H35" s="514"/>
      <c r="I35" s="514">
        <v>48.61</v>
      </c>
    </row>
    <row r="36" spans="2:9" x14ac:dyDescent="0.2">
      <c r="B36" s="511">
        <v>11</v>
      </c>
      <c r="C36" s="512" t="s">
        <v>1819</v>
      </c>
      <c r="D36" s="513" t="s">
        <v>52</v>
      </c>
      <c r="E36" s="514"/>
      <c r="F36" s="514">
        <v>71.95</v>
      </c>
      <c r="G36" s="514">
        <v>965.74</v>
      </c>
      <c r="H36" s="514"/>
      <c r="I36" s="514">
        <v>1037.69</v>
      </c>
    </row>
    <row r="37" spans="2:9" x14ac:dyDescent="0.2">
      <c r="B37" s="511">
        <v>12</v>
      </c>
      <c r="C37" s="512" t="s">
        <v>1820</v>
      </c>
      <c r="D37" s="513" t="s">
        <v>1821</v>
      </c>
      <c r="E37" s="514"/>
      <c r="F37" s="514">
        <v>33.29</v>
      </c>
      <c r="G37" s="514">
        <v>347.37</v>
      </c>
      <c r="H37" s="514"/>
      <c r="I37" s="514">
        <v>380.66</v>
      </c>
    </row>
    <row r="38" spans="2:9" x14ac:dyDescent="0.2">
      <c r="B38" s="511" t="s">
        <v>143</v>
      </c>
      <c r="C38" s="512" t="s">
        <v>143</v>
      </c>
      <c r="D38" s="513" t="s">
        <v>6725</v>
      </c>
      <c r="E38" s="514">
        <v>786.96</v>
      </c>
      <c r="F38" s="514">
        <v>260.99</v>
      </c>
      <c r="G38" s="514">
        <v>2371.4499999999998</v>
      </c>
      <c r="H38" s="514"/>
      <c r="I38" s="514">
        <v>3419.4</v>
      </c>
    </row>
    <row r="39" spans="2:9" x14ac:dyDescent="0.2">
      <c r="B39" s="672" t="s">
        <v>143</v>
      </c>
      <c r="C39" s="673" t="s">
        <v>143</v>
      </c>
      <c r="D39" s="515" t="s">
        <v>294</v>
      </c>
      <c r="E39" s="527">
        <v>786.96</v>
      </c>
      <c r="F39" s="527">
        <v>260.99</v>
      </c>
      <c r="G39" s="527">
        <v>2371.4499999999998</v>
      </c>
      <c r="H39" s="527"/>
      <c r="I39" s="527">
        <v>3419.4</v>
      </c>
    </row>
    <row r="40" spans="2:9" x14ac:dyDescent="0.2">
      <c r="B40" s="31"/>
      <c r="C40" s="32"/>
      <c r="D40" s="33"/>
      <c r="E40" s="34"/>
      <c r="F40" s="34"/>
      <c r="G40" s="34"/>
      <c r="H40" s="34"/>
      <c r="I40" s="34"/>
    </row>
    <row r="43" spans="2:9" ht="15" x14ac:dyDescent="0.2">
      <c r="B43" s="35" t="s">
        <v>149</v>
      </c>
      <c r="D43" s="516"/>
      <c r="E43" s="517"/>
      <c r="F43" s="516"/>
      <c r="G43" s="516" t="s">
        <v>296</v>
      </c>
      <c r="I43" s="518"/>
    </row>
    <row r="44" spans="2:9" ht="15" x14ac:dyDescent="0.2">
      <c r="C44" s="39"/>
      <c r="D44" s="1793" t="s">
        <v>150</v>
      </c>
      <c r="E44" s="1793"/>
      <c r="F44" s="1793"/>
      <c r="G44" s="1793"/>
      <c r="H44" s="1793"/>
      <c r="I44" s="1793"/>
    </row>
    <row r="45" spans="2:9" ht="15" x14ac:dyDescent="0.2">
      <c r="B45" s="35" t="s">
        <v>151</v>
      </c>
      <c r="D45" s="516"/>
      <c r="E45" s="517"/>
      <c r="F45" s="516"/>
      <c r="G45" s="516" t="s">
        <v>297</v>
      </c>
      <c r="H45" s="517"/>
      <c r="I45" s="518"/>
    </row>
    <row r="46" spans="2:9" x14ac:dyDescent="0.2">
      <c r="D46" s="1793" t="s">
        <v>150</v>
      </c>
      <c r="E46" s="1793"/>
      <c r="F46" s="1793"/>
      <c r="G46" s="1793"/>
      <c r="H46" s="1793"/>
      <c r="I46" s="1793"/>
    </row>
  </sheetData>
  <mergeCells count="18">
    <mergeCell ref="B11:I11"/>
    <mergeCell ref="C3:H3"/>
    <mergeCell ref="D4:G4"/>
    <mergeCell ref="C5:H5"/>
    <mergeCell ref="D6:G6"/>
    <mergeCell ref="D10:H10"/>
    <mergeCell ref="B25:I25"/>
    <mergeCell ref="D44:I44"/>
    <mergeCell ref="D46:I46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3">
    <pageSetUpPr fitToPage="1"/>
  </sheetPr>
  <dimension ref="B1:I46"/>
  <sheetViews>
    <sheetView showGridLines="0" topLeftCell="B22" zoomScale="115" zoomScaleNormal="115" workbookViewId="0">
      <selection activeCell="B26" sqref="B26:I37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20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 t="s">
        <v>1806</v>
      </c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654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1807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143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19603.86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1173">
        <v>881.62</v>
      </c>
      <c r="F15" s="508"/>
      <c r="G15" s="509"/>
      <c r="H15" s="9" t="s">
        <v>641</v>
      </c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1174">
        <f>I39/E15</f>
        <v>22.24</v>
      </c>
      <c r="F17" s="508"/>
      <c r="G17" s="509"/>
      <c r="H17" s="9" t="s">
        <v>279</v>
      </c>
      <c r="I17" s="9"/>
    </row>
    <row r="18" spans="2:9" x14ac:dyDescent="0.2">
      <c r="B18" s="6"/>
      <c r="C18" s="24" t="s">
        <v>487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x14ac:dyDescent="0.2">
      <c r="B26" s="511">
        <v>1</v>
      </c>
      <c r="C26" s="512" t="s">
        <v>1808</v>
      </c>
      <c r="D26" s="513" t="s">
        <v>33</v>
      </c>
      <c r="E26" s="514">
        <v>2239.38</v>
      </c>
      <c r="F26" s="514">
        <v>343.43</v>
      </c>
      <c r="G26" s="514">
        <v>3571.69</v>
      </c>
      <c r="H26" s="514"/>
      <c r="I26" s="514">
        <v>6154.5</v>
      </c>
    </row>
    <row r="27" spans="2:9" x14ac:dyDescent="0.2">
      <c r="B27" s="511">
        <v>2</v>
      </c>
      <c r="C27" s="512" t="s">
        <v>1809</v>
      </c>
      <c r="D27" s="513" t="s">
        <v>1810</v>
      </c>
      <c r="E27" s="514">
        <v>3417.38</v>
      </c>
      <c r="F27" s="514"/>
      <c r="G27" s="514"/>
      <c r="H27" s="514"/>
      <c r="I27" s="514">
        <v>3417.38</v>
      </c>
    </row>
    <row r="28" spans="2:9" ht="25.5" x14ac:dyDescent="0.2">
      <c r="B28" s="511">
        <v>3</v>
      </c>
      <c r="C28" s="512" t="s">
        <v>1811</v>
      </c>
      <c r="D28" s="513" t="s">
        <v>609</v>
      </c>
      <c r="E28" s="514">
        <v>19.71</v>
      </c>
      <c r="F28" s="514">
        <v>804.11</v>
      </c>
      <c r="G28" s="514">
        <v>440.77</v>
      </c>
      <c r="H28" s="514"/>
      <c r="I28" s="514">
        <v>1264.5899999999999</v>
      </c>
    </row>
    <row r="29" spans="2:9" x14ac:dyDescent="0.2">
      <c r="B29" s="511">
        <v>4</v>
      </c>
      <c r="C29" s="512" t="s">
        <v>1812</v>
      </c>
      <c r="D29" s="513" t="s">
        <v>38</v>
      </c>
      <c r="E29" s="514">
        <v>161.41999999999999</v>
      </c>
      <c r="F29" s="514"/>
      <c r="G29" s="514">
        <v>15.83</v>
      </c>
      <c r="H29" s="514"/>
      <c r="I29" s="514">
        <v>177.25</v>
      </c>
    </row>
    <row r="30" spans="2:9" x14ac:dyDescent="0.2">
      <c r="B30" s="511">
        <v>5</v>
      </c>
      <c r="C30" s="512" t="s">
        <v>1813</v>
      </c>
      <c r="D30" s="513" t="s">
        <v>40</v>
      </c>
      <c r="E30" s="514">
        <v>63.65</v>
      </c>
      <c r="F30" s="514"/>
      <c r="G30" s="514"/>
      <c r="H30" s="514"/>
      <c r="I30" s="514">
        <v>63.65</v>
      </c>
    </row>
    <row r="31" spans="2:9" ht="25.5" x14ac:dyDescent="0.2">
      <c r="B31" s="511">
        <v>6</v>
      </c>
      <c r="C31" s="512" t="s">
        <v>1814</v>
      </c>
      <c r="D31" s="513" t="s">
        <v>42</v>
      </c>
      <c r="E31" s="514">
        <v>636.92999999999995</v>
      </c>
      <c r="F31" s="514">
        <v>6.26</v>
      </c>
      <c r="G31" s="514">
        <v>387.82</v>
      </c>
      <c r="H31" s="514"/>
      <c r="I31" s="514">
        <v>1031.01</v>
      </c>
    </row>
    <row r="32" spans="2:9" ht="25.5" x14ac:dyDescent="0.2">
      <c r="B32" s="511">
        <v>7</v>
      </c>
      <c r="C32" s="512" t="s">
        <v>1815</v>
      </c>
      <c r="D32" s="513" t="s">
        <v>3063</v>
      </c>
      <c r="E32" s="514"/>
      <c r="F32" s="514">
        <v>31.11</v>
      </c>
      <c r="G32" s="514">
        <v>18.940000000000001</v>
      </c>
      <c r="H32" s="514"/>
      <c r="I32" s="514">
        <v>50.05</v>
      </c>
    </row>
    <row r="33" spans="2:9" ht="25.5" x14ac:dyDescent="0.2">
      <c r="B33" s="511">
        <v>8</v>
      </c>
      <c r="C33" s="512" t="s">
        <v>1816</v>
      </c>
      <c r="D33" s="513" t="s">
        <v>3120</v>
      </c>
      <c r="E33" s="514"/>
      <c r="F33" s="514">
        <v>39.659999999999997</v>
      </c>
      <c r="G33" s="514">
        <v>157.66999999999999</v>
      </c>
      <c r="H33" s="514"/>
      <c r="I33" s="514">
        <v>197.33</v>
      </c>
    </row>
    <row r="34" spans="2:9" x14ac:dyDescent="0.2">
      <c r="B34" s="511">
        <v>9</v>
      </c>
      <c r="C34" s="512" t="s">
        <v>1817</v>
      </c>
      <c r="D34" s="513" t="s">
        <v>48</v>
      </c>
      <c r="E34" s="514">
        <v>9.0500000000000007</v>
      </c>
      <c r="F34" s="514">
        <v>35.85</v>
      </c>
      <c r="G34" s="514">
        <v>61.45</v>
      </c>
      <c r="H34" s="514"/>
      <c r="I34" s="514">
        <v>106.35</v>
      </c>
    </row>
    <row r="35" spans="2:9" x14ac:dyDescent="0.2">
      <c r="B35" s="511">
        <v>10</v>
      </c>
      <c r="C35" s="512" t="s">
        <v>1818</v>
      </c>
      <c r="D35" s="513" t="s">
        <v>50</v>
      </c>
      <c r="E35" s="514"/>
      <c r="F35" s="514">
        <v>35.32</v>
      </c>
      <c r="G35" s="514">
        <v>203.63</v>
      </c>
      <c r="H35" s="514"/>
      <c r="I35" s="514">
        <v>238.95</v>
      </c>
    </row>
    <row r="36" spans="2:9" x14ac:dyDescent="0.2">
      <c r="B36" s="511">
        <v>11</v>
      </c>
      <c r="C36" s="512" t="s">
        <v>1819</v>
      </c>
      <c r="D36" s="513" t="s">
        <v>52</v>
      </c>
      <c r="E36" s="514"/>
      <c r="F36" s="514">
        <v>598.66</v>
      </c>
      <c r="G36" s="514">
        <v>4432.7299999999996</v>
      </c>
      <c r="H36" s="514"/>
      <c r="I36" s="514">
        <v>5031.3900000000003</v>
      </c>
    </row>
    <row r="37" spans="2:9" x14ac:dyDescent="0.2">
      <c r="B37" s="511">
        <v>12</v>
      </c>
      <c r="C37" s="512" t="s">
        <v>1820</v>
      </c>
      <c r="D37" s="513" t="s">
        <v>1821</v>
      </c>
      <c r="E37" s="514"/>
      <c r="F37" s="514">
        <v>276.99</v>
      </c>
      <c r="G37" s="514">
        <v>1594.42</v>
      </c>
      <c r="H37" s="514"/>
      <c r="I37" s="514">
        <v>1871.41</v>
      </c>
    </row>
    <row r="38" spans="2:9" x14ac:dyDescent="0.2">
      <c r="B38" s="511" t="s">
        <v>143</v>
      </c>
      <c r="C38" s="512" t="s">
        <v>143</v>
      </c>
      <c r="D38" s="513" t="s">
        <v>6725</v>
      </c>
      <c r="E38" s="514">
        <v>6547.52</v>
      </c>
      <c r="F38" s="514">
        <v>2171.39</v>
      </c>
      <c r="G38" s="514">
        <v>10884.95</v>
      </c>
      <c r="H38" s="514"/>
      <c r="I38" s="514">
        <v>19603.86</v>
      </c>
    </row>
    <row r="39" spans="2:9" x14ac:dyDescent="0.2">
      <c r="B39" s="511" t="s">
        <v>143</v>
      </c>
      <c r="C39" s="673" t="s">
        <v>143</v>
      </c>
      <c r="D39" s="515" t="s">
        <v>294</v>
      </c>
      <c r="E39" s="527">
        <v>6547.52</v>
      </c>
      <c r="F39" s="527">
        <v>2171.39</v>
      </c>
      <c r="G39" s="527">
        <v>10884.95</v>
      </c>
      <c r="H39" s="527"/>
      <c r="I39" s="527">
        <v>19603.86</v>
      </c>
    </row>
    <row r="40" spans="2:9" x14ac:dyDescent="0.2">
      <c r="B40" s="31"/>
      <c r="C40" s="32"/>
      <c r="D40" s="33"/>
      <c r="E40" s="34"/>
      <c r="F40" s="34"/>
      <c r="G40" s="34"/>
      <c r="H40" s="34"/>
      <c r="I40" s="34"/>
    </row>
    <row r="43" spans="2:9" ht="15" x14ac:dyDescent="0.2">
      <c r="B43" s="35" t="s">
        <v>149</v>
      </c>
      <c r="D43" s="516"/>
      <c r="E43" s="517"/>
      <c r="F43" s="516"/>
      <c r="G43" s="516" t="s">
        <v>296</v>
      </c>
      <c r="I43" s="518"/>
    </row>
    <row r="44" spans="2:9" ht="15" x14ac:dyDescent="0.2">
      <c r="C44" s="39"/>
      <c r="D44" s="1793" t="s">
        <v>150</v>
      </c>
      <c r="E44" s="1793"/>
      <c r="F44" s="1793"/>
      <c r="G44" s="1793"/>
      <c r="H44" s="1793"/>
      <c r="I44" s="1793"/>
    </row>
    <row r="45" spans="2:9" ht="15" x14ac:dyDescent="0.2">
      <c r="B45" s="35" t="s">
        <v>151</v>
      </c>
      <c r="D45" s="516"/>
      <c r="E45" s="517"/>
      <c r="F45" s="516"/>
      <c r="G45" s="516" t="s">
        <v>297</v>
      </c>
      <c r="H45" s="517"/>
      <c r="I45" s="518"/>
    </row>
    <row r="46" spans="2:9" x14ac:dyDescent="0.2">
      <c r="D46" s="1793" t="s">
        <v>150</v>
      </c>
      <c r="E46" s="1793"/>
      <c r="F46" s="1793"/>
      <c r="G46" s="1793"/>
      <c r="H46" s="1793"/>
      <c r="I46" s="1793"/>
    </row>
  </sheetData>
  <mergeCells count="18">
    <mergeCell ref="B11:I11"/>
    <mergeCell ref="C3:H3"/>
    <mergeCell ref="D4:G4"/>
    <mergeCell ref="C5:H5"/>
    <mergeCell ref="D6:G6"/>
    <mergeCell ref="D10:H10"/>
    <mergeCell ref="B25:I25"/>
    <mergeCell ref="D44:I44"/>
    <mergeCell ref="D46:I46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L649"/>
  <sheetViews>
    <sheetView topLeftCell="A610" zoomScale="115" zoomScaleNormal="115" workbookViewId="0">
      <selection activeCell="C667" sqref="C667"/>
    </sheetView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8.28515625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30" width="34.140625" style="537" hidden="1" customWidth="1"/>
    <col min="31" max="33" width="84.42578125" style="537" hidden="1" customWidth="1"/>
    <col min="34" max="34" width="110.140625" style="537" hidden="1" customWidth="1"/>
    <col min="35" max="35" width="138.42578125" style="537" hidden="1" customWidth="1"/>
    <col min="36" max="38" width="84.42578125" style="537" hidden="1" customWidth="1"/>
    <col min="39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1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274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274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1806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1806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1822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58"/>
      <c r="B19" s="658"/>
      <c r="C19" s="658"/>
      <c r="D19" s="658"/>
      <c r="E19" s="658"/>
      <c r="F19" s="658"/>
      <c r="G19" s="658"/>
      <c r="H19" s="658"/>
      <c r="I19" s="658"/>
      <c r="J19" s="658"/>
      <c r="K19" s="658"/>
      <c r="L19" s="658"/>
      <c r="M19" s="658"/>
      <c r="N19" s="658"/>
    </row>
    <row r="20" spans="1:21" s="536" customFormat="1" x14ac:dyDescent="0.2">
      <c r="A20" s="1840" t="s">
        <v>33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33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1143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613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6154.49</v>
      </c>
      <c r="D28" s="579" t="s">
        <v>1823</v>
      </c>
      <c r="E28" s="661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1"/>
    </row>
    <row r="30" spans="1:21" s="536" customFormat="1" ht="12.75" customHeight="1" x14ac:dyDescent="0.2">
      <c r="B30" s="536" t="s">
        <v>169</v>
      </c>
      <c r="C30" s="580">
        <v>2239.38</v>
      </c>
      <c r="D30" s="579" t="s">
        <v>1824</v>
      </c>
      <c r="E30" s="661" t="s">
        <v>167</v>
      </c>
      <c r="G30" s="536" t="s">
        <v>170</v>
      </c>
      <c r="L30" s="580">
        <v>0</v>
      </c>
      <c r="M30" s="579" t="s">
        <v>1825</v>
      </c>
      <c r="N30" s="661" t="s">
        <v>167</v>
      </c>
    </row>
    <row r="31" spans="1:21" s="536" customFormat="1" ht="12.75" customHeight="1" x14ac:dyDescent="0.2">
      <c r="B31" s="536" t="s">
        <v>140</v>
      </c>
      <c r="C31" s="580">
        <v>343.43</v>
      </c>
      <c r="D31" s="583" t="s">
        <v>1826</v>
      </c>
      <c r="E31" s="661" t="s">
        <v>167</v>
      </c>
      <c r="G31" s="536" t="s">
        <v>172</v>
      </c>
      <c r="L31" s="582"/>
      <c r="M31" s="582">
        <v>3114.99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3571.69</v>
      </c>
      <c r="D32" s="583" t="s">
        <v>1827</v>
      </c>
      <c r="E32" s="661" t="s">
        <v>167</v>
      </c>
      <c r="G32" s="536" t="s">
        <v>174</v>
      </c>
      <c r="L32" s="582"/>
      <c r="M32" s="582">
        <v>114.7</v>
      </c>
      <c r="N32" s="581" t="s">
        <v>173</v>
      </c>
    </row>
    <row r="33" spans="1:27" s="536" customFormat="1" ht="12.75" customHeight="1" x14ac:dyDescent="0.2">
      <c r="B33" s="536" t="s">
        <v>147</v>
      </c>
      <c r="C33" s="580">
        <v>0</v>
      </c>
      <c r="D33" s="579" t="s">
        <v>171</v>
      </c>
      <c r="E33" s="661" t="s">
        <v>167</v>
      </c>
      <c r="G33" s="536" t="s">
        <v>175</v>
      </c>
      <c r="L33" s="1836"/>
      <c r="M33" s="1836"/>
    </row>
    <row r="34" spans="1:27" s="536" customFormat="1" ht="9.75" customHeight="1" x14ac:dyDescent="0.2">
      <c r="A34" s="578"/>
    </row>
    <row r="35" spans="1:27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7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7" s="536" customFormat="1" ht="45" x14ac:dyDescent="0.2">
      <c r="A37" s="1833"/>
      <c r="B37" s="1833"/>
      <c r="C37" s="1833"/>
      <c r="D37" s="1833"/>
      <c r="E37" s="1833"/>
      <c r="F37" s="1833"/>
      <c r="G37" s="659" t="s">
        <v>182</v>
      </c>
      <c r="H37" s="659" t="s">
        <v>183</v>
      </c>
      <c r="I37" s="659" t="s">
        <v>184</v>
      </c>
      <c r="J37" s="659" t="s">
        <v>182</v>
      </c>
      <c r="K37" s="659" t="s">
        <v>183</v>
      </c>
      <c r="L37" s="659" t="s">
        <v>148</v>
      </c>
      <c r="M37" s="1833"/>
      <c r="N37" s="1833"/>
    </row>
    <row r="38" spans="1:27" s="536" customFormat="1" x14ac:dyDescent="0.2">
      <c r="A38" s="660">
        <v>1</v>
      </c>
      <c r="B38" s="660">
        <v>2</v>
      </c>
      <c r="C38" s="1834">
        <v>3</v>
      </c>
      <c r="D38" s="1834"/>
      <c r="E38" s="1834"/>
      <c r="F38" s="660">
        <v>4</v>
      </c>
      <c r="G38" s="660">
        <v>5</v>
      </c>
      <c r="H38" s="660">
        <v>6</v>
      </c>
      <c r="I38" s="660">
        <v>7</v>
      </c>
      <c r="J38" s="660">
        <v>8</v>
      </c>
      <c r="K38" s="660">
        <v>9</v>
      </c>
      <c r="L38" s="660">
        <v>10</v>
      </c>
      <c r="M38" s="660">
        <v>11</v>
      </c>
      <c r="N38" s="660">
        <v>12</v>
      </c>
    </row>
    <row r="39" spans="1:27" s="536" customFormat="1" ht="12" x14ac:dyDescent="0.2">
      <c r="A39" s="1824" t="s">
        <v>1828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1828</v>
      </c>
    </row>
    <row r="40" spans="1:27" s="536" customFormat="1" ht="56.25" x14ac:dyDescent="0.2">
      <c r="A40" s="575" t="s">
        <v>185</v>
      </c>
      <c r="B40" s="657" t="s">
        <v>1829</v>
      </c>
      <c r="C40" s="1823" t="s">
        <v>1830</v>
      </c>
      <c r="D40" s="1823"/>
      <c r="E40" s="1823"/>
      <c r="F40" s="573" t="s">
        <v>862</v>
      </c>
      <c r="G40" s="573"/>
      <c r="H40" s="573"/>
      <c r="I40" s="573" t="s">
        <v>1831</v>
      </c>
      <c r="J40" s="572"/>
      <c r="K40" s="573"/>
      <c r="L40" s="572"/>
      <c r="M40" s="571"/>
      <c r="N40" s="570"/>
      <c r="V40" s="674"/>
      <c r="W40" s="675" t="s">
        <v>1830</v>
      </c>
    </row>
    <row r="41" spans="1:27" s="536" customFormat="1" ht="12" x14ac:dyDescent="0.2">
      <c r="A41" s="676"/>
      <c r="B41" s="655"/>
      <c r="C41" s="1822" t="s">
        <v>1832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1832</v>
      </c>
    </row>
    <row r="42" spans="1:27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Y42" s="537" t="s">
        <v>311</v>
      </c>
    </row>
    <row r="43" spans="1:27" s="536" customFormat="1" ht="12" x14ac:dyDescent="0.2">
      <c r="A43" s="605"/>
      <c r="B43" s="552" t="s">
        <v>185</v>
      </c>
      <c r="C43" s="1822" t="s">
        <v>312</v>
      </c>
      <c r="D43" s="1822"/>
      <c r="E43" s="1822"/>
      <c r="F43" s="562"/>
      <c r="G43" s="562"/>
      <c r="H43" s="562"/>
      <c r="I43" s="562"/>
      <c r="J43" s="604">
        <v>2597.4</v>
      </c>
      <c r="K43" s="562" t="s">
        <v>313</v>
      </c>
      <c r="L43" s="604">
        <v>8980.51</v>
      </c>
      <c r="M43" s="603"/>
      <c r="N43" s="602"/>
      <c r="V43" s="674"/>
      <c r="W43" s="675"/>
      <c r="Z43" s="537" t="s">
        <v>312</v>
      </c>
    </row>
    <row r="44" spans="1:27" s="536" customFormat="1" ht="12" x14ac:dyDescent="0.2">
      <c r="A44" s="605"/>
      <c r="B44" s="552" t="s">
        <v>186</v>
      </c>
      <c r="C44" s="1822" t="s">
        <v>344</v>
      </c>
      <c r="D44" s="1822"/>
      <c r="E44" s="1822"/>
      <c r="F44" s="562"/>
      <c r="G44" s="562"/>
      <c r="H44" s="562"/>
      <c r="I44" s="562"/>
      <c r="J44" s="604">
        <v>54.46</v>
      </c>
      <c r="K44" s="562" t="s">
        <v>313</v>
      </c>
      <c r="L44" s="604">
        <v>188.3</v>
      </c>
      <c r="M44" s="603"/>
      <c r="N44" s="602"/>
      <c r="V44" s="674"/>
      <c r="W44" s="675"/>
      <c r="Z44" s="537" t="s">
        <v>344</v>
      </c>
    </row>
    <row r="45" spans="1:27" s="536" customFormat="1" ht="12" x14ac:dyDescent="0.2">
      <c r="A45" s="605"/>
      <c r="B45" s="552" t="s">
        <v>187</v>
      </c>
      <c r="C45" s="1822" t="s">
        <v>345</v>
      </c>
      <c r="D45" s="1822"/>
      <c r="E45" s="1822"/>
      <c r="F45" s="562"/>
      <c r="G45" s="562"/>
      <c r="H45" s="562"/>
      <c r="I45" s="562"/>
      <c r="J45" s="604">
        <v>13.29</v>
      </c>
      <c r="K45" s="562" t="s">
        <v>313</v>
      </c>
      <c r="L45" s="604">
        <v>45.95</v>
      </c>
      <c r="M45" s="603"/>
      <c r="N45" s="602"/>
      <c r="V45" s="674"/>
      <c r="W45" s="675"/>
      <c r="Z45" s="537" t="s">
        <v>345</v>
      </c>
    </row>
    <row r="46" spans="1:27" s="536" customFormat="1" ht="12" x14ac:dyDescent="0.2">
      <c r="A46" s="605"/>
      <c r="B46" s="552" t="s">
        <v>188</v>
      </c>
      <c r="C46" s="1822" t="s">
        <v>475</v>
      </c>
      <c r="D46" s="1822"/>
      <c r="E46" s="1822"/>
      <c r="F46" s="562"/>
      <c r="G46" s="562"/>
      <c r="H46" s="562"/>
      <c r="I46" s="562"/>
      <c r="J46" s="604">
        <v>20036.939999999999</v>
      </c>
      <c r="K46" s="562"/>
      <c r="L46" s="604">
        <v>20073.939999999999</v>
      </c>
      <c r="M46" s="603"/>
      <c r="N46" s="602"/>
      <c r="V46" s="674"/>
      <c r="W46" s="675"/>
      <c r="Z46" s="537" t="s">
        <v>475</v>
      </c>
    </row>
    <row r="47" spans="1:27" s="536" customFormat="1" ht="12" x14ac:dyDescent="0.2">
      <c r="A47" s="605"/>
      <c r="B47" s="552"/>
      <c r="C47" s="1822" t="s">
        <v>314</v>
      </c>
      <c r="D47" s="1822"/>
      <c r="E47" s="1822"/>
      <c r="F47" s="562" t="s">
        <v>315</v>
      </c>
      <c r="G47" s="562" t="s">
        <v>1833</v>
      </c>
      <c r="H47" s="562" t="s">
        <v>313</v>
      </c>
      <c r="I47" s="562" t="s">
        <v>1834</v>
      </c>
      <c r="J47" s="604"/>
      <c r="K47" s="562"/>
      <c r="L47" s="604"/>
      <c r="M47" s="603"/>
      <c r="N47" s="602"/>
      <c r="V47" s="674"/>
      <c r="W47" s="675"/>
      <c r="AA47" s="537" t="s">
        <v>314</v>
      </c>
    </row>
    <row r="48" spans="1:27" s="536" customFormat="1" ht="12" x14ac:dyDescent="0.2">
      <c r="A48" s="605"/>
      <c r="B48" s="552"/>
      <c r="C48" s="1822" t="s">
        <v>348</v>
      </c>
      <c r="D48" s="1822"/>
      <c r="E48" s="1822"/>
      <c r="F48" s="562" t="s">
        <v>315</v>
      </c>
      <c r="G48" s="562" t="s">
        <v>367</v>
      </c>
      <c r="H48" s="562" t="s">
        <v>313</v>
      </c>
      <c r="I48" s="562" t="s">
        <v>1835</v>
      </c>
      <c r="J48" s="604"/>
      <c r="K48" s="562"/>
      <c r="L48" s="604"/>
      <c r="M48" s="603"/>
      <c r="N48" s="602"/>
      <c r="V48" s="674"/>
      <c r="W48" s="675"/>
      <c r="AA48" s="537" t="s">
        <v>348</v>
      </c>
    </row>
    <row r="49" spans="1:29" s="536" customFormat="1" ht="12" x14ac:dyDescent="0.2">
      <c r="A49" s="605"/>
      <c r="B49" s="552"/>
      <c r="C49" s="1828" t="s">
        <v>318</v>
      </c>
      <c r="D49" s="1828"/>
      <c r="E49" s="1828"/>
      <c r="F49" s="608"/>
      <c r="G49" s="608"/>
      <c r="H49" s="608"/>
      <c r="I49" s="608"/>
      <c r="J49" s="607">
        <v>9909.25</v>
      </c>
      <c r="K49" s="608"/>
      <c r="L49" s="607">
        <v>29242.75</v>
      </c>
      <c r="M49" s="601"/>
      <c r="N49" s="606"/>
      <c r="V49" s="674"/>
      <c r="W49" s="675"/>
      <c r="AB49" s="537" t="s">
        <v>318</v>
      </c>
    </row>
    <row r="50" spans="1:29" s="536" customFormat="1" ht="12" x14ac:dyDescent="0.2">
      <c r="A50" s="605"/>
      <c r="B50" s="552"/>
      <c r="C50" s="1822" t="s">
        <v>319</v>
      </c>
      <c r="D50" s="1822"/>
      <c r="E50" s="1822"/>
      <c r="F50" s="562"/>
      <c r="G50" s="562"/>
      <c r="H50" s="562"/>
      <c r="I50" s="562"/>
      <c r="J50" s="604"/>
      <c r="K50" s="562"/>
      <c r="L50" s="604">
        <v>9026.4599999999991</v>
      </c>
      <c r="M50" s="603"/>
      <c r="N50" s="602"/>
      <c r="V50" s="674"/>
      <c r="W50" s="675"/>
      <c r="AA50" s="537" t="s">
        <v>319</v>
      </c>
    </row>
    <row r="51" spans="1:29" s="536" customFormat="1" ht="33.75" x14ac:dyDescent="0.2">
      <c r="A51" s="605"/>
      <c r="B51" s="552" t="s">
        <v>1308</v>
      </c>
      <c r="C51" s="1822" t="s">
        <v>1309</v>
      </c>
      <c r="D51" s="1822"/>
      <c r="E51" s="1822"/>
      <c r="F51" s="562" t="s">
        <v>322</v>
      </c>
      <c r="G51" s="562" t="s">
        <v>844</v>
      </c>
      <c r="H51" s="562"/>
      <c r="I51" s="562" t="s">
        <v>844</v>
      </c>
      <c r="J51" s="604"/>
      <c r="K51" s="562"/>
      <c r="L51" s="604">
        <v>9026.4599999999991</v>
      </c>
      <c r="M51" s="603"/>
      <c r="N51" s="602"/>
      <c r="V51" s="674"/>
      <c r="W51" s="675"/>
      <c r="AA51" s="537" t="s">
        <v>1309</v>
      </c>
    </row>
    <row r="52" spans="1:29" s="536" customFormat="1" ht="33.75" x14ac:dyDescent="0.2">
      <c r="A52" s="605"/>
      <c r="B52" s="552" t="s">
        <v>1310</v>
      </c>
      <c r="C52" s="1822" t="s">
        <v>1311</v>
      </c>
      <c r="D52" s="1822"/>
      <c r="E52" s="1822"/>
      <c r="F52" s="562" t="s">
        <v>322</v>
      </c>
      <c r="G52" s="562" t="s">
        <v>784</v>
      </c>
      <c r="H52" s="562"/>
      <c r="I52" s="562" t="s">
        <v>784</v>
      </c>
      <c r="J52" s="604"/>
      <c r="K52" s="562"/>
      <c r="L52" s="604">
        <v>4422.97</v>
      </c>
      <c r="M52" s="603"/>
      <c r="N52" s="602"/>
      <c r="V52" s="674"/>
      <c r="W52" s="675"/>
      <c r="AA52" s="537" t="s">
        <v>1311</v>
      </c>
    </row>
    <row r="53" spans="1:29" s="536" customFormat="1" ht="12" x14ac:dyDescent="0.2">
      <c r="A53" s="569"/>
      <c r="B53" s="656"/>
      <c r="C53" s="1823" t="s">
        <v>327</v>
      </c>
      <c r="D53" s="1823"/>
      <c r="E53" s="1823"/>
      <c r="F53" s="573"/>
      <c r="G53" s="573"/>
      <c r="H53" s="573"/>
      <c r="I53" s="573"/>
      <c r="J53" s="572"/>
      <c r="K53" s="573"/>
      <c r="L53" s="572">
        <v>42692.18</v>
      </c>
      <c r="M53" s="601"/>
      <c r="N53" s="570"/>
      <c r="V53" s="674"/>
      <c r="W53" s="675"/>
      <c r="AC53" s="675" t="s">
        <v>327</v>
      </c>
    </row>
    <row r="54" spans="1:29" s="536" customFormat="1" ht="56.25" x14ac:dyDescent="0.2">
      <c r="A54" s="575" t="s">
        <v>186</v>
      </c>
      <c r="B54" s="657" t="s">
        <v>1836</v>
      </c>
      <c r="C54" s="1823" t="s">
        <v>1837</v>
      </c>
      <c r="D54" s="1823"/>
      <c r="E54" s="1823"/>
      <c r="F54" s="573" t="s">
        <v>865</v>
      </c>
      <c r="G54" s="573"/>
      <c r="H54" s="573"/>
      <c r="I54" s="573" t="s">
        <v>1838</v>
      </c>
      <c r="J54" s="572">
        <v>138.54</v>
      </c>
      <c r="K54" s="573"/>
      <c r="L54" s="572">
        <v>40236.17</v>
      </c>
      <c r="M54" s="571"/>
      <c r="N54" s="570"/>
      <c r="V54" s="674"/>
      <c r="W54" s="675" t="s">
        <v>1837</v>
      </c>
      <c r="AC54" s="675"/>
    </row>
    <row r="55" spans="1:29" s="536" customFormat="1" ht="12" x14ac:dyDescent="0.2">
      <c r="A55" s="569"/>
      <c r="B55" s="656"/>
      <c r="C55" s="661" t="s">
        <v>717</v>
      </c>
      <c r="D55" s="662"/>
      <c r="E55" s="662"/>
      <c r="F55" s="563"/>
      <c r="G55" s="563"/>
      <c r="H55" s="563"/>
      <c r="I55" s="563"/>
      <c r="J55" s="566"/>
      <c r="K55" s="563"/>
      <c r="L55" s="566"/>
      <c r="M55" s="565"/>
      <c r="N55" s="564"/>
      <c r="V55" s="674"/>
      <c r="W55" s="675"/>
      <c r="AC55" s="675"/>
    </row>
    <row r="56" spans="1:29" s="536" customFormat="1" ht="12" x14ac:dyDescent="0.2">
      <c r="A56" s="676"/>
      <c r="B56" s="655"/>
      <c r="C56" s="1822" t="s">
        <v>1839</v>
      </c>
      <c r="D56" s="1822"/>
      <c r="E56" s="1822"/>
      <c r="F56" s="1822"/>
      <c r="G56" s="1822"/>
      <c r="H56" s="1822"/>
      <c r="I56" s="1822"/>
      <c r="J56" s="1822"/>
      <c r="K56" s="1822"/>
      <c r="L56" s="1822"/>
      <c r="M56" s="1822"/>
      <c r="N56" s="1827"/>
      <c r="V56" s="674"/>
      <c r="W56" s="675"/>
      <c r="X56" s="537" t="s">
        <v>1839</v>
      </c>
      <c r="AC56" s="675"/>
    </row>
    <row r="57" spans="1:29" s="536" customFormat="1" ht="33.75" x14ac:dyDescent="0.2">
      <c r="A57" s="575" t="s">
        <v>187</v>
      </c>
      <c r="B57" s="657" t="s">
        <v>1840</v>
      </c>
      <c r="C57" s="1823" t="s">
        <v>1841</v>
      </c>
      <c r="D57" s="1823"/>
      <c r="E57" s="1823"/>
      <c r="F57" s="573" t="s">
        <v>862</v>
      </c>
      <c r="G57" s="573"/>
      <c r="H57" s="573"/>
      <c r="I57" s="573" t="s">
        <v>1842</v>
      </c>
      <c r="J57" s="572"/>
      <c r="K57" s="573"/>
      <c r="L57" s="572"/>
      <c r="M57" s="571"/>
      <c r="N57" s="570"/>
      <c r="V57" s="674"/>
      <c r="W57" s="675" t="s">
        <v>1841</v>
      </c>
      <c r="AC57" s="675"/>
    </row>
    <row r="58" spans="1:29" s="536" customFormat="1" ht="12" x14ac:dyDescent="0.2">
      <c r="A58" s="676"/>
      <c r="B58" s="655"/>
      <c r="C58" s="1822" t="s">
        <v>1843</v>
      </c>
      <c r="D58" s="1822"/>
      <c r="E58" s="1822"/>
      <c r="F58" s="1822"/>
      <c r="G58" s="1822"/>
      <c r="H58" s="1822"/>
      <c r="I58" s="1822"/>
      <c r="J58" s="1822"/>
      <c r="K58" s="1822"/>
      <c r="L58" s="1822"/>
      <c r="M58" s="1822"/>
      <c r="N58" s="1827"/>
      <c r="V58" s="674"/>
      <c r="W58" s="675"/>
      <c r="X58" s="537" t="s">
        <v>1843</v>
      </c>
      <c r="AC58" s="675"/>
    </row>
    <row r="59" spans="1:29" s="536" customFormat="1" ht="33.75" x14ac:dyDescent="0.2">
      <c r="A59" s="609"/>
      <c r="B59" s="552" t="s">
        <v>310</v>
      </c>
      <c r="C59" s="1822" t="s">
        <v>311</v>
      </c>
      <c r="D59" s="1822"/>
      <c r="E59" s="1822"/>
      <c r="F59" s="1822"/>
      <c r="G59" s="1822"/>
      <c r="H59" s="1822"/>
      <c r="I59" s="1822"/>
      <c r="J59" s="1822"/>
      <c r="K59" s="1822"/>
      <c r="L59" s="1822"/>
      <c r="M59" s="1822"/>
      <c r="N59" s="1827"/>
      <c r="V59" s="674"/>
      <c r="W59" s="675"/>
      <c r="Y59" s="537" t="s">
        <v>311</v>
      </c>
      <c r="AC59" s="675"/>
    </row>
    <row r="60" spans="1:29" s="536" customFormat="1" ht="12" x14ac:dyDescent="0.2">
      <c r="A60" s="605"/>
      <c r="B60" s="552" t="s">
        <v>185</v>
      </c>
      <c r="C60" s="1822" t="s">
        <v>312</v>
      </c>
      <c r="D60" s="1822"/>
      <c r="E60" s="1822"/>
      <c r="F60" s="562"/>
      <c r="G60" s="562"/>
      <c r="H60" s="562"/>
      <c r="I60" s="562"/>
      <c r="J60" s="604">
        <v>829.12</v>
      </c>
      <c r="K60" s="562" t="s">
        <v>313</v>
      </c>
      <c r="L60" s="604">
        <v>821.76</v>
      </c>
      <c r="M60" s="603"/>
      <c r="N60" s="602"/>
      <c r="V60" s="674"/>
      <c r="W60" s="675"/>
      <c r="Z60" s="537" t="s">
        <v>312</v>
      </c>
      <c r="AC60" s="675"/>
    </row>
    <row r="61" spans="1:29" s="536" customFormat="1" ht="12" x14ac:dyDescent="0.2">
      <c r="A61" s="605"/>
      <c r="B61" s="552" t="s">
        <v>186</v>
      </c>
      <c r="C61" s="1822" t="s">
        <v>344</v>
      </c>
      <c r="D61" s="1822"/>
      <c r="E61" s="1822"/>
      <c r="F61" s="562"/>
      <c r="G61" s="562"/>
      <c r="H61" s="562"/>
      <c r="I61" s="562"/>
      <c r="J61" s="604">
        <v>21.88</v>
      </c>
      <c r="K61" s="562" t="s">
        <v>313</v>
      </c>
      <c r="L61" s="604">
        <v>21.69</v>
      </c>
      <c r="M61" s="603"/>
      <c r="N61" s="602"/>
      <c r="V61" s="674"/>
      <c r="W61" s="675"/>
      <c r="Z61" s="537" t="s">
        <v>344</v>
      </c>
      <c r="AC61" s="675"/>
    </row>
    <row r="62" spans="1:29" s="536" customFormat="1" ht="12" x14ac:dyDescent="0.2">
      <c r="A62" s="605"/>
      <c r="B62" s="552" t="s">
        <v>187</v>
      </c>
      <c r="C62" s="1822" t="s">
        <v>345</v>
      </c>
      <c r="D62" s="1822"/>
      <c r="E62" s="1822"/>
      <c r="F62" s="562"/>
      <c r="G62" s="562"/>
      <c r="H62" s="562"/>
      <c r="I62" s="562"/>
      <c r="J62" s="604">
        <v>3.51</v>
      </c>
      <c r="K62" s="562" t="s">
        <v>313</v>
      </c>
      <c r="L62" s="604">
        <v>3.48</v>
      </c>
      <c r="M62" s="603"/>
      <c r="N62" s="602"/>
      <c r="V62" s="674"/>
      <c r="W62" s="675"/>
      <c r="Z62" s="537" t="s">
        <v>345</v>
      </c>
      <c r="AC62" s="675"/>
    </row>
    <row r="63" spans="1:29" s="536" customFormat="1" ht="12" x14ac:dyDescent="0.2">
      <c r="A63" s="605"/>
      <c r="B63" s="552" t="s">
        <v>188</v>
      </c>
      <c r="C63" s="1822" t="s">
        <v>475</v>
      </c>
      <c r="D63" s="1822"/>
      <c r="E63" s="1822"/>
      <c r="F63" s="562"/>
      <c r="G63" s="562"/>
      <c r="H63" s="562"/>
      <c r="I63" s="562"/>
      <c r="J63" s="604">
        <v>6516.18</v>
      </c>
      <c r="K63" s="562"/>
      <c r="L63" s="604">
        <v>104.81</v>
      </c>
      <c r="M63" s="603"/>
      <c r="N63" s="602"/>
      <c r="V63" s="674"/>
      <c r="W63" s="675"/>
      <c r="Z63" s="537" t="s">
        <v>475</v>
      </c>
      <c r="AC63" s="675"/>
    </row>
    <row r="64" spans="1:29" s="536" customFormat="1" ht="12" x14ac:dyDescent="0.2">
      <c r="A64" s="605"/>
      <c r="B64" s="552"/>
      <c r="C64" s="1822" t="s">
        <v>314</v>
      </c>
      <c r="D64" s="1822"/>
      <c r="E64" s="1822"/>
      <c r="F64" s="562" t="s">
        <v>315</v>
      </c>
      <c r="G64" s="562" t="s">
        <v>1844</v>
      </c>
      <c r="H64" s="562" t="s">
        <v>313</v>
      </c>
      <c r="I64" s="562" t="s">
        <v>1845</v>
      </c>
      <c r="J64" s="604"/>
      <c r="K64" s="562"/>
      <c r="L64" s="604"/>
      <c r="M64" s="603"/>
      <c r="N64" s="602"/>
      <c r="V64" s="674"/>
      <c r="W64" s="675"/>
      <c r="AA64" s="537" t="s">
        <v>314</v>
      </c>
      <c r="AC64" s="675"/>
    </row>
    <row r="65" spans="1:29" s="536" customFormat="1" ht="12" x14ac:dyDescent="0.2">
      <c r="A65" s="605"/>
      <c r="B65" s="552"/>
      <c r="C65" s="1822" t="s">
        <v>348</v>
      </c>
      <c r="D65" s="1822"/>
      <c r="E65" s="1822"/>
      <c r="F65" s="562" t="s">
        <v>315</v>
      </c>
      <c r="G65" s="562" t="s">
        <v>1846</v>
      </c>
      <c r="H65" s="562" t="s">
        <v>313</v>
      </c>
      <c r="I65" s="562" t="s">
        <v>1847</v>
      </c>
      <c r="J65" s="604"/>
      <c r="K65" s="562"/>
      <c r="L65" s="604"/>
      <c r="M65" s="603"/>
      <c r="N65" s="602"/>
      <c r="V65" s="674"/>
      <c r="W65" s="675"/>
      <c r="AA65" s="537" t="s">
        <v>348</v>
      </c>
      <c r="AC65" s="675"/>
    </row>
    <row r="66" spans="1:29" s="536" customFormat="1" ht="12" x14ac:dyDescent="0.2">
      <c r="A66" s="605"/>
      <c r="B66" s="552"/>
      <c r="C66" s="1828" t="s">
        <v>318</v>
      </c>
      <c r="D66" s="1828"/>
      <c r="E66" s="1828"/>
      <c r="F66" s="608"/>
      <c r="G66" s="608"/>
      <c r="H66" s="608"/>
      <c r="I66" s="608"/>
      <c r="J66" s="607">
        <v>983.18</v>
      </c>
      <c r="K66" s="608"/>
      <c r="L66" s="607">
        <v>948.26</v>
      </c>
      <c r="M66" s="601"/>
      <c r="N66" s="606"/>
      <c r="V66" s="674"/>
      <c r="W66" s="675"/>
      <c r="AB66" s="537" t="s">
        <v>318</v>
      </c>
      <c r="AC66" s="675"/>
    </row>
    <row r="67" spans="1:29" s="536" customFormat="1" ht="12" x14ac:dyDescent="0.2">
      <c r="A67" s="605"/>
      <c r="B67" s="552"/>
      <c r="C67" s="1822" t="s">
        <v>319</v>
      </c>
      <c r="D67" s="1822"/>
      <c r="E67" s="1822"/>
      <c r="F67" s="562"/>
      <c r="G67" s="562"/>
      <c r="H67" s="562"/>
      <c r="I67" s="562"/>
      <c r="J67" s="604"/>
      <c r="K67" s="562"/>
      <c r="L67" s="604">
        <v>825.24</v>
      </c>
      <c r="M67" s="603"/>
      <c r="N67" s="602"/>
      <c r="V67" s="674"/>
      <c r="W67" s="675"/>
      <c r="AA67" s="537" t="s">
        <v>319</v>
      </c>
      <c r="AC67" s="675"/>
    </row>
    <row r="68" spans="1:29" s="536" customFormat="1" ht="33.75" x14ac:dyDescent="0.2">
      <c r="A68" s="605"/>
      <c r="B68" s="552" t="s">
        <v>1155</v>
      </c>
      <c r="C68" s="1822" t="s">
        <v>1156</v>
      </c>
      <c r="D68" s="1822"/>
      <c r="E68" s="1822"/>
      <c r="F68" s="562" t="s">
        <v>322</v>
      </c>
      <c r="G68" s="562" t="s">
        <v>1157</v>
      </c>
      <c r="H68" s="562"/>
      <c r="I68" s="562" t="s">
        <v>1157</v>
      </c>
      <c r="J68" s="604"/>
      <c r="K68" s="562"/>
      <c r="L68" s="604">
        <v>899.51</v>
      </c>
      <c r="M68" s="603"/>
      <c r="N68" s="602"/>
      <c r="V68" s="674"/>
      <c r="W68" s="675"/>
      <c r="AA68" s="537" t="s">
        <v>1156</v>
      </c>
      <c r="AC68" s="675"/>
    </row>
    <row r="69" spans="1:29" s="536" customFormat="1" ht="33.75" x14ac:dyDescent="0.2">
      <c r="A69" s="605"/>
      <c r="B69" s="552" t="s">
        <v>1158</v>
      </c>
      <c r="C69" s="1822" t="s">
        <v>1159</v>
      </c>
      <c r="D69" s="1822"/>
      <c r="E69" s="1822"/>
      <c r="F69" s="562" t="s">
        <v>322</v>
      </c>
      <c r="G69" s="562" t="s">
        <v>791</v>
      </c>
      <c r="H69" s="562"/>
      <c r="I69" s="562" t="s">
        <v>791</v>
      </c>
      <c r="J69" s="604"/>
      <c r="K69" s="562"/>
      <c r="L69" s="604">
        <v>470.39</v>
      </c>
      <c r="M69" s="603"/>
      <c r="N69" s="602"/>
      <c r="V69" s="674"/>
      <c r="W69" s="675"/>
      <c r="AA69" s="537" t="s">
        <v>1159</v>
      </c>
      <c r="AC69" s="675"/>
    </row>
    <row r="70" spans="1:29" s="536" customFormat="1" ht="12" x14ac:dyDescent="0.2">
      <c r="A70" s="569"/>
      <c r="B70" s="656"/>
      <c r="C70" s="1823" t="s">
        <v>327</v>
      </c>
      <c r="D70" s="1823"/>
      <c r="E70" s="1823"/>
      <c r="F70" s="573"/>
      <c r="G70" s="573"/>
      <c r="H70" s="573"/>
      <c r="I70" s="573"/>
      <c r="J70" s="572"/>
      <c r="K70" s="573"/>
      <c r="L70" s="572">
        <v>2318.16</v>
      </c>
      <c r="M70" s="601"/>
      <c r="N70" s="570"/>
      <c r="V70" s="674"/>
      <c r="W70" s="675"/>
      <c r="AC70" s="675" t="s">
        <v>327</v>
      </c>
    </row>
    <row r="71" spans="1:29" s="536" customFormat="1" ht="45" x14ac:dyDescent="0.2">
      <c r="A71" s="575" t="s">
        <v>188</v>
      </c>
      <c r="B71" s="657" t="s">
        <v>1848</v>
      </c>
      <c r="C71" s="1823" t="s">
        <v>1849</v>
      </c>
      <c r="D71" s="1823"/>
      <c r="E71" s="1823"/>
      <c r="F71" s="573" t="s">
        <v>865</v>
      </c>
      <c r="G71" s="573"/>
      <c r="H71" s="573"/>
      <c r="I71" s="573" t="s">
        <v>1850</v>
      </c>
      <c r="J71" s="572">
        <v>37.49</v>
      </c>
      <c r="K71" s="573"/>
      <c r="L71" s="572">
        <v>4316.97</v>
      </c>
      <c r="M71" s="571"/>
      <c r="N71" s="570"/>
      <c r="V71" s="674"/>
      <c r="W71" s="675" t="s">
        <v>1849</v>
      </c>
      <c r="AC71" s="675"/>
    </row>
    <row r="72" spans="1:29" s="536" customFormat="1" ht="12" x14ac:dyDescent="0.2">
      <c r="A72" s="569"/>
      <c r="B72" s="656"/>
      <c r="C72" s="661" t="s">
        <v>717</v>
      </c>
      <c r="D72" s="662"/>
      <c r="E72" s="662"/>
      <c r="F72" s="563"/>
      <c r="G72" s="563"/>
      <c r="H72" s="563"/>
      <c r="I72" s="563"/>
      <c r="J72" s="566"/>
      <c r="K72" s="563"/>
      <c r="L72" s="566"/>
      <c r="M72" s="565"/>
      <c r="N72" s="564"/>
      <c r="V72" s="674"/>
      <c r="W72" s="675"/>
      <c r="AC72" s="675"/>
    </row>
    <row r="73" spans="1:29" s="536" customFormat="1" ht="12" x14ac:dyDescent="0.2">
      <c r="A73" s="676"/>
      <c r="B73" s="655"/>
      <c r="C73" s="1822" t="s">
        <v>1851</v>
      </c>
      <c r="D73" s="1822"/>
      <c r="E73" s="1822"/>
      <c r="F73" s="1822"/>
      <c r="G73" s="1822"/>
      <c r="H73" s="1822"/>
      <c r="I73" s="1822"/>
      <c r="J73" s="1822"/>
      <c r="K73" s="1822"/>
      <c r="L73" s="1822"/>
      <c r="M73" s="1822"/>
      <c r="N73" s="1827"/>
      <c r="V73" s="674"/>
      <c r="W73" s="675"/>
      <c r="X73" s="537" t="s">
        <v>1851</v>
      </c>
      <c r="AC73" s="675"/>
    </row>
    <row r="74" spans="1:29" s="536" customFormat="1" ht="33.75" x14ac:dyDescent="0.2">
      <c r="A74" s="575" t="s">
        <v>189</v>
      </c>
      <c r="B74" s="657" t="s">
        <v>1852</v>
      </c>
      <c r="C74" s="1823" t="s">
        <v>1853</v>
      </c>
      <c r="D74" s="1823"/>
      <c r="E74" s="1823"/>
      <c r="F74" s="573" t="s">
        <v>862</v>
      </c>
      <c r="G74" s="573"/>
      <c r="H74" s="573"/>
      <c r="I74" s="573" t="s">
        <v>1846</v>
      </c>
      <c r="J74" s="572"/>
      <c r="K74" s="573"/>
      <c r="L74" s="572"/>
      <c r="M74" s="571"/>
      <c r="N74" s="570"/>
      <c r="V74" s="674"/>
      <c r="W74" s="675" t="s">
        <v>1853</v>
      </c>
      <c r="AC74" s="675"/>
    </row>
    <row r="75" spans="1:29" s="536" customFormat="1" ht="12" x14ac:dyDescent="0.2">
      <c r="A75" s="676"/>
      <c r="B75" s="655"/>
      <c r="C75" s="1822" t="s">
        <v>1854</v>
      </c>
      <c r="D75" s="1822"/>
      <c r="E75" s="1822"/>
      <c r="F75" s="1822"/>
      <c r="G75" s="1822"/>
      <c r="H75" s="1822"/>
      <c r="I75" s="1822"/>
      <c r="J75" s="1822"/>
      <c r="K75" s="1822"/>
      <c r="L75" s="1822"/>
      <c r="M75" s="1822"/>
      <c r="N75" s="1827"/>
      <c r="V75" s="674"/>
      <c r="W75" s="675"/>
      <c r="X75" s="537" t="s">
        <v>1854</v>
      </c>
      <c r="AC75" s="675"/>
    </row>
    <row r="76" spans="1:29" s="536" customFormat="1" ht="33.75" x14ac:dyDescent="0.2">
      <c r="A76" s="609"/>
      <c r="B76" s="552" t="s">
        <v>310</v>
      </c>
      <c r="C76" s="1822" t="s">
        <v>311</v>
      </c>
      <c r="D76" s="1822"/>
      <c r="E76" s="1822"/>
      <c r="F76" s="1822"/>
      <c r="G76" s="1822"/>
      <c r="H76" s="1822"/>
      <c r="I76" s="1822"/>
      <c r="J76" s="1822"/>
      <c r="K76" s="1822"/>
      <c r="L76" s="1822"/>
      <c r="M76" s="1822"/>
      <c r="N76" s="1827"/>
      <c r="V76" s="674"/>
      <c r="W76" s="675"/>
      <c r="Y76" s="537" t="s">
        <v>311</v>
      </c>
      <c r="AC76" s="675"/>
    </row>
    <row r="77" spans="1:29" s="536" customFormat="1" ht="12" x14ac:dyDescent="0.2">
      <c r="A77" s="605"/>
      <c r="B77" s="552" t="s">
        <v>185</v>
      </c>
      <c r="C77" s="1822" t="s">
        <v>312</v>
      </c>
      <c r="D77" s="1822"/>
      <c r="E77" s="1822"/>
      <c r="F77" s="562"/>
      <c r="G77" s="562"/>
      <c r="H77" s="562"/>
      <c r="I77" s="562"/>
      <c r="J77" s="604">
        <v>8232</v>
      </c>
      <c r="K77" s="562" t="s">
        <v>313</v>
      </c>
      <c r="L77" s="604">
        <v>2778.3</v>
      </c>
      <c r="M77" s="603"/>
      <c r="N77" s="602"/>
      <c r="V77" s="674"/>
      <c r="W77" s="675"/>
      <c r="Z77" s="537" t="s">
        <v>312</v>
      </c>
      <c r="AC77" s="675"/>
    </row>
    <row r="78" spans="1:29" s="536" customFormat="1" ht="12" x14ac:dyDescent="0.2">
      <c r="A78" s="605"/>
      <c r="B78" s="552" t="s">
        <v>186</v>
      </c>
      <c r="C78" s="1822" t="s">
        <v>344</v>
      </c>
      <c r="D78" s="1822"/>
      <c r="E78" s="1822"/>
      <c r="F78" s="562"/>
      <c r="G78" s="562"/>
      <c r="H78" s="562"/>
      <c r="I78" s="562"/>
      <c r="J78" s="604">
        <v>470.83</v>
      </c>
      <c r="K78" s="562" t="s">
        <v>313</v>
      </c>
      <c r="L78" s="604">
        <v>158.91</v>
      </c>
      <c r="M78" s="603"/>
      <c r="N78" s="602"/>
      <c r="V78" s="674"/>
      <c r="W78" s="675"/>
      <c r="Z78" s="537" t="s">
        <v>344</v>
      </c>
      <c r="AC78" s="675"/>
    </row>
    <row r="79" spans="1:29" s="536" customFormat="1" ht="12" x14ac:dyDescent="0.2">
      <c r="A79" s="605"/>
      <c r="B79" s="552" t="s">
        <v>187</v>
      </c>
      <c r="C79" s="1822" t="s">
        <v>345</v>
      </c>
      <c r="D79" s="1822"/>
      <c r="E79" s="1822"/>
      <c r="F79" s="562"/>
      <c r="G79" s="562"/>
      <c r="H79" s="562"/>
      <c r="I79" s="562"/>
      <c r="J79" s="604">
        <v>39.26</v>
      </c>
      <c r="K79" s="562" t="s">
        <v>313</v>
      </c>
      <c r="L79" s="604">
        <v>13.25</v>
      </c>
      <c r="M79" s="603"/>
      <c r="N79" s="602"/>
      <c r="V79" s="674"/>
      <c r="W79" s="675"/>
      <c r="Z79" s="537" t="s">
        <v>345</v>
      </c>
      <c r="AC79" s="675"/>
    </row>
    <row r="80" spans="1:29" s="536" customFormat="1" ht="12" x14ac:dyDescent="0.2">
      <c r="A80" s="605"/>
      <c r="B80" s="552" t="s">
        <v>188</v>
      </c>
      <c r="C80" s="1822" t="s">
        <v>475</v>
      </c>
      <c r="D80" s="1822"/>
      <c r="E80" s="1822"/>
      <c r="F80" s="562"/>
      <c r="G80" s="562"/>
      <c r="H80" s="562"/>
      <c r="I80" s="562"/>
      <c r="J80" s="604">
        <v>1975.5</v>
      </c>
      <c r="K80" s="562"/>
      <c r="L80" s="604">
        <v>533.39</v>
      </c>
      <c r="M80" s="603"/>
      <c r="N80" s="602"/>
      <c r="V80" s="674"/>
      <c r="W80" s="675"/>
      <c r="Z80" s="537" t="s">
        <v>475</v>
      </c>
      <c r="AC80" s="675"/>
    </row>
    <row r="81" spans="1:30" s="536" customFormat="1" ht="12" x14ac:dyDescent="0.2">
      <c r="A81" s="676"/>
      <c r="B81" s="677" t="s">
        <v>1855</v>
      </c>
      <c r="C81" s="1829" t="s">
        <v>1856</v>
      </c>
      <c r="D81" s="1829"/>
      <c r="E81" s="1829"/>
      <c r="F81" s="678" t="s">
        <v>865</v>
      </c>
      <c r="G81" s="678" t="s">
        <v>743</v>
      </c>
      <c r="H81" s="678"/>
      <c r="I81" s="678" t="s">
        <v>1857</v>
      </c>
      <c r="J81" s="552"/>
      <c r="K81" s="562"/>
      <c r="L81" s="604"/>
      <c r="M81" s="562"/>
      <c r="N81" s="679"/>
      <c r="V81" s="674"/>
      <c r="W81" s="675"/>
      <c r="AC81" s="675"/>
      <c r="AD81" s="680" t="s">
        <v>1856</v>
      </c>
    </row>
    <row r="82" spans="1:30" s="536" customFormat="1" ht="12" x14ac:dyDescent="0.2">
      <c r="A82" s="676"/>
      <c r="B82" s="677" t="s">
        <v>1858</v>
      </c>
      <c r="C82" s="1829" t="s">
        <v>1859</v>
      </c>
      <c r="D82" s="1829"/>
      <c r="E82" s="1829"/>
      <c r="F82" s="678" t="s">
        <v>694</v>
      </c>
      <c r="G82" s="678" t="s">
        <v>525</v>
      </c>
      <c r="H82" s="678"/>
      <c r="I82" s="678" t="s">
        <v>525</v>
      </c>
      <c r="J82" s="552"/>
      <c r="K82" s="562"/>
      <c r="L82" s="604"/>
      <c r="M82" s="562"/>
      <c r="N82" s="679"/>
      <c r="V82" s="674"/>
      <c r="W82" s="675"/>
      <c r="AC82" s="675"/>
      <c r="AD82" s="680" t="s">
        <v>1859</v>
      </c>
    </row>
    <row r="83" spans="1:30" s="536" customFormat="1" ht="12" x14ac:dyDescent="0.2">
      <c r="A83" s="605"/>
      <c r="B83" s="552"/>
      <c r="C83" s="1822" t="s">
        <v>314</v>
      </c>
      <c r="D83" s="1822"/>
      <c r="E83" s="1822"/>
      <c r="F83" s="562" t="s">
        <v>315</v>
      </c>
      <c r="G83" s="562" t="s">
        <v>1860</v>
      </c>
      <c r="H83" s="562" t="s">
        <v>313</v>
      </c>
      <c r="I83" s="562" t="s">
        <v>1861</v>
      </c>
      <c r="J83" s="604"/>
      <c r="K83" s="562"/>
      <c r="L83" s="604"/>
      <c r="M83" s="603"/>
      <c r="N83" s="602"/>
      <c r="V83" s="674"/>
      <c r="W83" s="675"/>
      <c r="AA83" s="537" t="s">
        <v>314</v>
      </c>
      <c r="AC83" s="675"/>
      <c r="AD83" s="680"/>
    </row>
    <row r="84" spans="1:30" s="536" customFormat="1" ht="12" x14ac:dyDescent="0.2">
      <c r="A84" s="605"/>
      <c r="B84" s="552"/>
      <c r="C84" s="1822" t="s">
        <v>348</v>
      </c>
      <c r="D84" s="1822"/>
      <c r="E84" s="1822"/>
      <c r="F84" s="562" t="s">
        <v>315</v>
      </c>
      <c r="G84" s="562" t="s">
        <v>187</v>
      </c>
      <c r="H84" s="562" t="s">
        <v>313</v>
      </c>
      <c r="I84" s="562" t="s">
        <v>1862</v>
      </c>
      <c r="J84" s="604"/>
      <c r="K84" s="562"/>
      <c r="L84" s="604"/>
      <c r="M84" s="603"/>
      <c r="N84" s="602"/>
      <c r="V84" s="674"/>
      <c r="W84" s="675"/>
      <c r="AA84" s="537" t="s">
        <v>348</v>
      </c>
      <c r="AC84" s="675"/>
      <c r="AD84" s="680"/>
    </row>
    <row r="85" spans="1:30" s="536" customFormat="1" ht="12" x14ac:dyDescent="0.2">
      <c r="A85" s="605"/>
      <c r="B85" s="552"/>
      <c r="C85" s="1828" t="s">
        <v>318</v>
      </c>
      <c r="D85" s="1828"/>
      <c r="E85" s="1828"/>
      <c r="F85" s="608"/>
      <c r="G85" s="608"/>
      <c r="H85" s="608"/>
      <c r="I85" s="608"/>
      <c r="J85" s="607">
        <v>10678.33</v>
      </c>
      <c r="K85" s="608"/>
      <c r="L85" s="607">
        <v>3470.6</v>
      </c>
      <c r="M85" s="601"/>
      <c r="N85" s="606"/>
      <c r="V85" s="674"/>
      <c r="W85" s="675"/>
      <c r="AB85" s="537" t="s">
        <v>318</v>
      </c>
      <c r="AC85" s="675"/>
      <c r="AD85" s="680"/>
    </row>
    <row r="86" spans="1:30" s="536" customFormat="1" ht="12" x14ac:dyDescent="0.2">
      <c r="A86" s="605"/>
      <c r="B86" s="552"/>
      <c r="C86" s="1822" t="s">
        <v>319</v>
      </c>
      <c r="D86" s="1822"/>
      <c r="E86" s="1822"/>
      <c r="F86" s="562"/>
      <c r="G86" s="562"/>
      <c r="H86" s="562"/>
      <c r="I86" s="562"/>
      <c r="J86" s="604"/>
      <c r="K86" s="562"/>
      <c r="L86" s="604">
        <v>2791.55</v>
      </c>
      <c r="M86" s="603"/>
      <c r="N86" s="602"/>
      <c r="V86" s="674"/>
      <c r="W86" s="675"/>
      <c r="AA86" s="537" t="s">
        <v>319</v>
      </c>
      <c r="AC86" s="675"/>
      <c r="AD86" s="680"/>
    </row>
    <row r="87" spans="1:30" s="536" customFormat="1" ht="33.75" x14ac:dyDescent="0.2">
      <c r="A87" s="605"/>
      <c r="B87" s="552" t="s">
        <v>1308</v>
      </c>
      <c r="C87" s="1822" t="s">
        <v>1309</v>
      </c>
      <c r="D87" s="1822"/>
      <c r="E87" s="1822"/>
      <c r="F87" s="562" t="s">
        <v>322</v>
      </c>
      <c r="G87" s="562" t="s">
        <v>844</v>
      </c>
      <c r="H87" s="562"/>
      <c r="I87" s="562" t="s">
        <v>844</v>
      </c>
      <c r="J87" s="604"/>
      <c r="K87" s="562"/>
      <c r="L87" s="604">
        <v>2791.55</v>
      </c>
      <c r="M87" s="603"/>
      <c r="N87" s="602"/>
      <c r="V87" s="674"/>
      <c r="W87" s="675"/>
      <c r="AA87" s="537" t="s">
        <v>1309</v>
      </c>
      <c r="AC87" s="675"/>
      <c r="AD87" s="680"/>
    </row>
    <row r="88" spans="1:30" s="536" customFormat="1" ht="33.75" x14ac:dyDescent="0.2">
      <c r="A88" s="605"/>
      <c r="B88" s="552" t="s">
        <v>1310</v>
      </c>
      <c r="C88" s="1822" t="s">
        <v>1311</v>
      </c>
      <c r="D88" s="1822"/>
      <c r="E88" s="1822"/>
      <c r="F88" s="562" t="s">
        <v>322</v>
      </c>
      <c r="G88" s="562" t="s">
        <v>784</v>
      </c>
      <c r="H88" s="562"/>
      <c r="I88" s="562" t="s">
        <v>784</v>
      </c>
      <c r="J88" s="604"/>
      <c r="K88" s="562"/>
      <c r="L88" s="604">
        <v>1367.86</v>
      </c>
      <c r="M88" s="603"/>
      <c r="N88" s="602"/>
      <c r="V88" s="674"/>
      <c r="W88" s="675"/>
      <c r="AA88" s="537" t="s">
        <v>1311</v>
      </c>
      <c r="AC88" s="675"/>
      <c r="AD88" s="680"/>
    </row>
    <row r="89" spans="1:30" s="536" customFormat="1" ht="12" x14ac:dyDescent="0.2">
      <c r="A89" s="569"/>
      <c r="B89" s="656"/>
      <c r="C89" s="1823" t="s">
        <v>327</v>
      </c>
      <c r="D89" s="1823"/>
      <c r="E89" s="1823"/>
      <c r="F89" s="573"/>
      <c r="G89" s="573"/>
      <c r="H89" s="573"/>
      <c r="I89" s="573"/>
      <c r="J89" s="572"/>
      <c r="K89" s="573"/>
      <c r="L89" s="572">
        <v>7630.01</v>
      </c>
      <c r="M89" s="601"/>
      <c r="N89" s="570"/>
      <c r="V89" s="674"/>
      <c r="W89" s="675"/>
      <c r="AC89" s="675" t="s">
        <v>327</v>
      </c>
      <c r="AD89" s="680"/>
    </row>
    <row r="90" spans="1:30" s="536" customFormat="1" ht="56.25" x14ac:dyDescent="0.2">
      <c r="A90" s="575" t="s">
        <v>190</v>
      </c>
      <c r="B90" s="657" t="s">
        <v>1863</v>
      </c>
      <c r="C90" s="1823" t="s">
        <v>1864</v>
      </c>
      <c r="D90" s="1823"/>
      <c r="E90" s="1823"/>
      <c r="F90" s="573" t="s">
        <v>862</v>
      </c>
      <c r="G90" s="573"/>
      <c r="H90" s="573"/>
      <c r="I90" s="573" t="s">
        <v>1865</v>
      </c>
      <c r="J90" s="572"/>
      <c r="K90" s="573"/>
      <c r="L90" s="572"/>
      <c r="M90" s="571"/>
      <c r="N90" s="570"/>
      <c r="V90" s="674"/>
      <c r="W90" s="675" t="s">
        <v>1864</v>
      </c>
      <c r="AC90" s="675"/>
      <c r="AD90" s="680"/>
    </row>
    <row r="91" spans="1:30" s="536" customFormat="1" ht="12" x14ac:dyDescent="0.2">
      <c r="A91" s="676"/>
      <c r="B91" s="655"/>
      <c r="C91" s="1822" t="s">
        <v>1866</v>
      </c>
      <c r="D91" s="1822"/>
      <c r="E91" s="1822"/>
      <c r="F91" s="1822"/>
      <c r="G91" s="1822"/>
      <c r="H91" s="1822"/>
      <c r="I91" s="1822"/>
      <c r="J91" s="1822"/>
      <c r="K91" s="1822"/>
      <c r="L91" s="1822"/>
      <c r="M91" s="1822"/>
      <c r="N91" s="1827"/>
      <c r="V91" s="674"/>
      <c r="W91" s="675"/>
      <c r="X91" s="537" t="s">
        <v>1866</v>
      </c>
      <c r="AC91" s="675"/>
      <c r="AD91" s="680"/>
    </row>
    <row r="92" spans="1:30" s="536" customFormat="1" ht="12" x14ac:dyDescent="0.2">
      <c r="A92" s="609"/>
      <c r="B92" s="552"/>
      <c r="C92" s="1822" t="s">
        <v>1050</v>
      </c>
      <c r="D92" s="1822"/>
      <c r="E92" s="1822"/>
      <c r="F92" s="1822"/>
      <c r="G92" s="1822"/>
      <c r="H92" s="1822"/>
      <c r="I92" s="1822"/>
      <c r="J92" s="1822"/>
      <c r="K92" s="1822"/>
      <c r="L92" s="1822"/>
      <c r="M92" s="1822"/>
      <c r="N92" s="1827"/>
      <c r="V92" s="674"/>
      <c r="W92" s="675"/>
      <c r="Y92" s="537" t="s">
        <v>1050</v>
      </c>
      <c r="AC92" s="675"/>
      <c r="AD92" s="680"/>
    </row>
    <row r="93" spans="1:30" s="536" customFormat="1" ht="33.75" x14ac:dyDescent="0.2">
      <c r="A93" s="609"/>
      <c r="B93" s="552" t="s">
        <v>310</v>
      </c>
      <c r="C93" s="1822" t="s">
        <v>311</v>
      </c>
      <c r="D93" s="1822"/>
      <c r="E93" s="1822"/>
      <c r="F93" s="1822"/>
      <c r="G93" s="1822"/>
      <c r="H93" s="1822"/>
      <c r="I93" s="1822"/>
      <c r="J93" s="1822"/>
      <c r="K93" s="1822"/>
      <c r="L93" s="1822"/>
      <c r="M93" s="1822"/>
      <c r="N93" s="1827"/>
      <c r="V93" s="674"/>
      <c r="W93" s="675"/>
      <c r="Y93" s="537" t="s">
        <v>311</v>
      </c>
      <c r="AC93" s="675"/>
      <c r="AD93" s="680"/>
    </row>
    <row r="94" spans="1:30" s="536" customFormat="1" ht="12" x14ac:dyDescent="0.2">
      <c r="A94" s="605"/>
      <c r="B94" s="552" t="s">
        <v>185</v>
      </c>
      <c r="C94" s="1822" t="s">
        <v>312</v>
      </c>
      <c r="D94" s="1822"/>
      <c r="E94" s="1822"/>
      <c r="F94" s="562"/>
      <c r="G94" s="562"/>
      <c r="H94" s="562"/>
      <c r="I94" s="562"/>
      <c r="J94" s="604">
        <v>118.86</v>
      </c>
      <c r="K94" s="562" t="s">
        <v>1051</v>
      </c>
      <c r="L94" s="604">
        <v>-120.35</v>
      </c>
      <c r="M94" s="603"/>
      <c r="N94" s="602"/>
      <c r="V94" s="674"/>
      <c r="W94" s="675"/>
      <c r="Z94" s="537" t="s">
        <v>312</v>
      </c>
      <c r="AC94" s="675"/>
      <c r="AD94" s="680"/>
    </row>
    <row r="95" spans="1:30" s="536" customFormat="1" ht="12" x14ac:dyDescent="0.2">
      <c r="A95" s="605"/>
      <c r="B95" s="552" t="s">
        <v>186</v>
      </c>
      <c r="C95" s="1822" t="s">
        <v>344</v>
      </c>
      <c r="D95" s="1822"/>
      <c r="E95" s="1822"/>
      <c r="F95" s="562"/>
      <c r="G95" s="562"/>
      <c r="H95" s="562"/>
      <c r="I95" s="562"/>
      <c r="J95" s="604">
        <v>10.44</v>
      </c>
      <c r="K95" s="562" t="s">
        <v>1051</v>
      </c>
      <c r="L95" s="604">
        <v>-10.57</v>
      </c>
      <c r="M95" s="603"/>
      <c r="N95" s="602"/>
      <c r="V95" s="674"/>
      <c r="W95" s="675"/>
      <c r="Z95" s="537" t="s">
        <v>344</v>
      </c>
      <c r="AC95" s="675"/>
      <c r="AD95" s="680"/>
    </row>
    <row r="96" spans="1:30" s="536" customFormat="1" ht="12" x14ac:dyDescent="0.2">
      <c r="A96" s="605"/>
      <c r="B96" s="552" t="s">
        <v>187</v>
      </c>
      <c r="C96" s="1822" t="s">
        <v>345</v>
      </c>
      <c r="D96" s="1822"/>
      <c r="E96" s="1822"/>
      <c r="F96" s="562"/>
      <c r="G96" s="562"/>
      <c r="H96" s="562"/>
      <c r="I96" s="562"/>
      <c r="J96" s="604">
        <v>3.07</v>
      </c>
      <c r="K96" s="562" t="s">
        <v>1051</v>
      </c>
      <c r="L96" s="604">
        <v>-3.11</v>
      </c>
      <c r="M96" s="603"/>
      <c r="N96" s="602"/>
      <c r="V96" s="674"/>
      <c r="W96" s="675"/>
      <c r="Z96" s="537" t="s">
        <v>345</v>
      </c>
      <c r="AC96" s="675"/>
      <c r="AD96" s="680"/>
    </row>
    <row r="97" spans="1:30" s="536" customFormat="1" ht="12" x14ac:dyDescent="0.2">
      <c r="A97" s="605"/>
      <c r="B97" s="552"/>
      <c r="C97" s="1822" t="s">
        <v>314</v>
      </c>
      <c r="D97" s="1822"/>
      <c r="E97" s="1822"/>
      <c r="F97" s="562" t="s">
        <v>315</v>
      </c>
      <c r="G97" s="562" t="s">
        <v>1867</v>
      </c>
      <c r="H97" s="562" t="s">
        <v>1051</v>
      </c>
      <c r="I97" s="562" t="s">
        <v>1868</v>
      </c>
      <c r="J97" s="604"/>
      <c r="K97" s="562"/>
      <c r="L97" s="604"/>
      <c r="M97" s="603"/>
      <c r="N97" s="602"/>
      <c r="V97" s="674"/>
      <c r="W97" s="675"/>
      <c r="AA97" s="537" t="s">
        <v>314</v>
      </c>
      <c r="AC97" s="675"/>
      <c r="AD97" s="680"/>
    </row>
    <row r="98" spans="1:30" s="536" customFormat="1" ht="12" x14ac:dyDescent="0.2">
      <c r="A98" s="605"/>
      <c r="B98" s="552"/>
      <c r="C98" s="1822" t="s">
        <v>348</v>
      </c>
      <c r="D98" s="1822"/>
      <c r="E98" s="1822"/>
      <c r="F98" s="562" t="s">
        <v>315</v>
      </c>
      <c r="G98" s="562" t="s">
        <v>1422</v>
      </c>
      <c r="H98" s="562" t="s">
        <v>1051</v>
      </c>
      <c r="I98" s="562" t="s">
        <v>1869</v>
      </c>
      <c r="J98" s="604"/>
      <c r="K98" s="562"/>
      <c r="L98" s="604"/>
      <c r="M98" s="603"/>
      <c r="N98" s="602"/>
      <c r="V98" s="674"/>
      <c r="W98" s="675"/>
      <c r="AA98" s="537" t="s">
        <v>348</v>
      </c>
      <c r="AC98" s="675"/>
      <c r="AD98" s="680"/>
    </row>
    <row r="99" spans="1:30" s="536" customFormat="1" ht="12" x14ac:dyDescent="0.2">
      <c r="A99" s="605"/>
      <c r="B99" s="552"/>
      <c r="C99" s="1828" t="s">
        <v>318</v>
      </c>
      <c r="D99" s="1828"/>
      <c r="E99" s="1828"/>
      <c r="F99" s="608"/>
      <c r="G99" s="608"/>
      <c r="H99" s="608"/>
      <c r="I99" s="608"/>
      <c r="J99" s="607">
        <v>129.30000000000001</v>
      </c>
      <c r="K99" s="608"/>
      <c r="L99" s="607">
        <v>-130.91999999999999</v>
      </c>
      <c r="M99" s="601"/>
      <c r="N99" s="606"/>
      <c r="V99" s="674"/>
      <c r="W99" s="675"/>
      <c r="AB99" s="537" t="s">
        <v>318</v>
      </c>
      <c r="AC99" s="675"/>
      <c r="AD99" s="680"/>
    </row>
    <row r="100" spans="1:30" s="536" customFormat="1" ht="12" x14ac:dyDescent="0.2">
      <c r="A100" s="605"/>
      <c r="B100" s="552"/>
      <c r="C100" s="1822" t="s">
        <v>319</v>
      </c>
      <c r="D100" s="1822"/>
      <c r="E100" s="1822"/>
      <c r="F100" s="562"/>
      <c r="G100" s="562"/>
      <c r="H100" s="562"/>
      <c r="I100" s="562"/>
      <c r="J100" s="604"/>
      <c r="K100" s="562"/>
      <c r="L100" s="604">
        <v>-123.46</v>
      </c>
      <c r="M100" s="603"/>
      <c r="N100" s="602"/>
      <c r="V100" s="674"/>
      <c r="W100" s="675"/>
      <c r="AA100" s="537" t="s">
        <v>319</v>
      </c>
      <c r="AC100" s="675"/>
      <c r="AD100" s="680"/>
    </row>
    <row r="101" spans="1:30" s="536" customFormat="1" ht="33.75" x14ac:dyDescent="0.2">
      <c r="A101" s="605"/>
      <c r="B101" s="552" t="s">
        <v>1308</v>
      </c>
      <c r="C101" s="1822" t="s">
        <v>1309</v>
      </c>
      <c r="D101" s="1822"/>
      <c r="E101" s="1822"/>
      <c r="F101" s="562" t="s">
        <v>322</v>
      </c>
      <c r="G101" s="562" t="s">
        <v>844</v>
      </c>
      <c r="H101" s="562"/>
      <c r="I101" s="562" t="s">
        <v>844</v>
      </c>
      <c r="J101" s="604"/>
      <c r="K101" s="562"/>
      <c r="L101" s="604">
        <v>-123.46</v>
      </c>
      <c r="M101" s="603"/>
      <c r="N101" s="602"/>
      <c r="V101" s="674"/>
      <c r="W101" s="675"/>
      <c r="AA101" s="537" t="s">
        <v>1309</v>
      </c>
      <c r="AC101" s="675"/>
      <c r="AD101" s="680"/>
    </row>
    <row r="102" spans="1:30" s="536" customFormat="1" ht="33.75" x14ac:dyDescent="0.2">
      <c r="A102" s="605"/>
      <c r="B102" s="552" t="s">
        <v>1310</v>
      </c>
      <c r="C102" s="1822" t="s">
        <v>1311</v>
      </c>
      <c r="D102" s="1822"/>
      <c r="E102" s="1822"/>
      <c r="F102" s="562" t="s">
        <v>322</v>
      </c>
      <c r="G102" s="562" t="s">
        <v>784</v>
      </c>
      <c r="H102" s="562"/>
      <c r="I102" s="562" t="s">
        <v>784</v>
      </c>
      <c r="J102" s="604"/>
      <c r="K102" s="562"/>
      <c r="L102" s="604">
        <v>-60.5</v>
      </c>
      <c r="M102" s="603"/>
      <c r="N102" s="602"/>
      <c r="V102" s="674"/>
      <c r="W102" s="675"/>
      <c r="AA102" s="537" t="s">
        <v>1311</v>
      </c>
      <c r="AC102" s="675"/>
      <c r="AD102" s="680"/>
    </row>
    <row r="103" spans="1:30" s="536" customFormat="1" ht="12" x14ac:dyDescent="0.2">
      <c r="A103" s="569"/>
      <c r="B103" s="656"/>
      <c r="C103" s="1823" t="s">
        <v>327</v>
      </c>
      <c r="D103" s="1823"/>
      <c r="E103" s="1823"/>
      <c r="F103" s="573"/>
      <c r="G103" s="573"/>
      <c r="H103" s="573"/>
      <c r="I103" s="573"/>
      <c r="J103" s="572"/>
      <c r="K103" s="573"/>
      <c r="L103" s="572">
        <v>-314.88</v>
      </c>
      <c r="M103" s="601"/>
      <c r="N103" s="570"/>
      <c r="V103" s="674"/>
      <c r="W103" s="675"/>
      <c r="AC103" s="675" t="s">
        <v>327</v>
      </c>
      <c r="AD103" s="680"/>
    </row>
    <row r="104" spans="1:30" s="536" customFormat="1" ht="33.75" x14ac:dyDescent="0.2">
      <c r="A104" s="575" t="s">
        <v>191</v>
      </c>
      <c r="B104" s="657" t="s">
        <v>1870</v>
      </c>
      <c r="C104" s="1823" t="s">
        <v>1871</v>
      </c>
      <c r="D104" s="1823"/>
      <c r="E104" s="1823"/>
      <c r="F104" s="573" t="s">
        <v>865</v>
      </c>
      <c r="G104" s="573"/>
      <c r="H104" s="573"/>
      <c r="I104" s="573" t="s">
        <v>1857</v>
      </c>
      <c r="J104" s="572">
        <v>252.96</v>
      </c>
      <c r="K104" s="573" t="s">
        <v>716</v>
      </c>
      <c r="L104" s="572">
        <v>820.55</v>
      </c>
      <c r="M104" s="571">
        <v>8.32</v>
      </c>
      <c r="N104" s="570">
        <v>6827</v>
      </c>
      <c r="V104" s="674"/>
      <c r="W104" s="675" t="s">
        <v>1871</v>
      </c>
      <c r="AC104" s="675"/>
      <c r="AD104" s="680"/>
    </row>
    <row r="105" spans="1:30" s="536" customFormat="1" ht="12" x14ac:dyDescent="0.2">
      <c r="A105" s="569"/>
      <c r="B105" s="656"/>
      <c r="C105" s="661" t="s">
        <v>1173</v>
      </c>
      <c r="D105" s="662"/>
      <c r="E105" s="662"/>
      <c r="F105" s="563"/>
      <c r="G105" s="563"/>
      <c r="H105" s="563"/>
      <c r="I105" s="563"/>
      <c r="J105" s="566"/>
      <c r="K105" s="563"/>
      <c r="L105" s="566"/>
      <c r="M105" s="565"/>
      <c r="N105" s="564"/>
      <c r="V105" s="674"/>
      <c r="W105" s="675"/>
      <c r="AC105" s="675"/>
      <c r="AD105" s="680"/>
    </row>
    <row r="106" spans="1:30" s="536" customFormat="1" ht="22.5" x14ac:dyDescent="0.2">
      <c r="A106" s="609"/>
      <c r="B106" s="552" t="s">
        <v>718</v>
      </c>
      <c r="C106" s="1822" t="s">
        <v>719</v>
      </c>
      <c r="D106" s="1822"/>
      <c r="E106" s="1822"/>
      <c r="F106" s="1822"/>
      <c r="G106" s="1822"/>
      <c r="H106" s="1822"/>
      <c r="I106" s="1822"/>
      <c r="J106" s="1822"/>
      <c r="K106" s="1822"/>
      <c r="L106" s="1822"/>
      <c r="M106" s="1822"/>
      <c r="N106" s="1827"/>
      <c r="V106" s="674"/>
      <c r="W106" s="675"/>
      <c r="Y106" s="537" t="s">
        <v>719</v>
      </c>
      <c r="AC106" s="675"/>
      <c r="AD106" s="680"/>
    </row>
    <row r="107" spans="1:30" s="536" customFormat="1" ht="45" x14ac:dyDescent="0.2">
      <c r="A107" s="575" t="s">
        <v>192</v>
      </c>
      <c r="B107" s="657" t="s">
        <v>1872</v>
      </c>
      <c r="C107" s="1823" t="s">
        <v>1873</v>
      </c>
      <c r="D107" s="1823"/>
      <c r="E107" s="1823"/>
      <c r="F107" s="573" t="s">
        <v>862</v>
      </c>
      <c r="G107" s="573"/>
      <c r="H107" s="573"/>
      <c r="I107" s="573" t="s">
        <v>1874</v>
      </c>
      <c r="J107" s="572"/>
      <c r="K107" s="573"/>
      <c r="L107" s="572"/>
      <c r="M107" s="571"/>
      <c r="N107" s="570"/>
      <c r="V107" s="674"/>
      <c r="W107" s="675" t="s">
        <v>1873</v>
      </c>
      <c r="AC107" s="675"/>
      <c r="AD107" s="680"/>
    </row>
    <row r="108" spans="1:30" s="536" customFormat="1" ht="12" x14ac:dyDescent="0.2">
      <c r="A108" s="676"/>
      <c r="B108" s="655"/>
      <c r="C108" s="1822" t="s">
        <v>1875</v>
      </c>
      <c r="D108" s="1822"/>
      <c r="E108" s="1822"/>
      <c r="F108" s="1822"/>
      <c r="G108" s="1822"/>
      <c r="H108" s="1822"/>
      <c r="I108" s="1822"/>
      <c r="J108" s="1822"/>
      <c r="K108" s="1822"/>
      <c r="L108" s="1822"/>
      <c r="M108" s="1822"/>
      <c r="N108" s="1827"/>
      <c r="V108" s="674"/>
      <c r="W108" s="675"/>
      <c r="X108" s="537" t="s">
        <v>1875</v>
      </c>
      <c r="AC108" s="675"/>
      <c r="AD108" s="680"/>
    </row>
    <row r="109" spans="1:30" s="536" customFormat="1" ht="33.75" x14ac:dyDescent="0.2">
      <c r="A109" s="609"/>
      <c r="B109" s="552" t="s">
        <v>310</v>
      </c>
      <c r="C109" s="1822" t="s">
        <v>311</v>
      </c>
      <c r="D109" s="1822"/>
      <c r="E109" s="1822"/>
      <c r="F109" s="1822"/>
      <c r="G109" s="1822"/>
      <c r="H109" s="1822"/>
      <c r="I109" s="1822"/>
      <c r="J109" s="1822"/>
      <c r="K109" s="1822"/>
      <c r="L109" s="1822"/>
      <c r="M109" s="1822"/>
      <c r="N109" s="1827"/>
      <c r="V109" s="674"/>
      <c r="W109" s="675"/>
      <c r="Y109" s="537" t="s">
        <v>311</v>
      </c>
      <c r="AC109" s="675"/>
      <c r="AD109" s="680"/>
    </row>
    <row r="110" spans="1:30" s="536" customFormat="1" ht="12" x14ac:dyDescent="0.2">
      <c r="A110" s="605"/>
      <c r="B110" s="552" t="s">
        <v>185</v>
      </c>
      <c r="C110" s="1822" t="s">
        <v>312</v>
      </c>
      <c r="D110" s="1822"/>
      <c r="E110" s="1822"/>
      <c r="F110" s="562"/>
      <c r="G110" s="562"/>
      <c r="H110" s="562"/>
      <c r="I110" s="562"/>
      <c r="J110" s="604">
        <v>1428.8</v>
      </c>
      <c r="K110" s="562" t="s">
        <v>313</v>
      </c>
      <c r="L110" s="604">
        <v>1728.85</v>
      </c>
      <c r="M110" s="603"/>
      <c r="N110" s="602"/>
      <c r="V110" s="674"/>
      <c r="W110" s="675"/>
      <c r="Z110" s="537" t="s">
        <v>312</v>
      </c>
      <c r="AC110" s="675"/>
      <c r="AD110" s="680"/>
    </row>
    <row r="111" spans="1:30" s="536" customFormat="1" ht="12" x14ac:dyDescent="0.2">
      <c r="A111" s="605"/>
      <c r="B111" s="552" t="s">
        <v>186</v>
      </c>
      <c r="C111" s="1822" t="s">
        <v>344</v>
      </c>
      <c r="D111" s="1822"/>
      <c r="E111" s="1822"/>
      <c r="F111" s="562"/>
      <c r="G111" s="562"/>
      <c r="H111" s="562"/>
      <c r="I111" s="562"/>
      <c r="J111" s="604">
        <v>5157.63</v>
      </c>
      <c r="K111" s="562" t="s">
        <v>313</v>
      </c>
      <c r="L111" s="604">
        <v>6240.73</v>
      </c>
      <c r="M111" s="603"/>
      <c r="N111" s="602"/>
      <c r="V111" s="674"/>
      <c r="W111" s="675"/>
      <c r="Z111" s="537" t="s">
        <v>344</v>
      </c>
      <c r="AC111" s="675"/>
      <c r="AD111" s="680"/>
    </row>
    <row r="112" spans="1:30" s="536" customFormat="1" ht="12" x14ac:dyDescent="0.2">
      <c r="A112" s="605"/>
      <c r="B112" s="552" t="s">
        <v>187</v>
      </c>
      <c r="C112" s="1822" t="s">
        <v>345</v>
      </c>
      <c r="D112" s="1822"/>
      <c r="E112" s="1822"/>
      <c r="F112" s="562"/>
      <c r="G112" s="562"/>
      <c r="H112" s="562"/>
      <c r="I112" s="562"/>
      <c r="J112" s="604">
        <v>453.43</v>
      </c>
      <c r="K112" s="562" t="s">
        <v>313</v>
      </c>
      <c r="L112" s="604">
        <v>548.65</v>
      </c>
      <c r="M112" s="603"/>
      <c r="N112" s="602"/>
      <c r="V112" s="674"/>
      <c r="W112" s="675"/>
      <c r="Z112" s="537" t="s">
        <v>345</v>
      </c>
      <c r="AC112" s="675"/>
      <c r="AD112" s="680"/>
    </row>
    <row r="113" spans="1:32" s="536" customFormat="1" ht="12" x14ac:dyDescent="0.2">
      <c r="A113" s="605"/>
      <c r="B113" s="552" t="s">
        <v>188</v>
      </c>
      <c r="C113" s="1822" t="s">
        <v>475</v>
      </c>
      <c r="D113" s="1822"/>
      <c r="E113" s="1822"/>
      <c r="F113" s="562"/>
      <c r="G113" s="562"/>
      <c r="H113" s="562"/>
      <c r="I113" s="562"/>
      <c r="J113" s="604">
        <v>427.44</v>
      </c>
      <c r="K113" s="562"/>
      <c r="L113" s="604">
        <v>413.76</v>
      </c>
      <c r="M113" s="603"/>
      <c r="N113" s="602"/>
      <c r="V113" s="674"/>
      <c r="W113" s="675"/>
      <c r="Z113" s="537" t="s">
        <v>475</v>
      </c>
      <c r="AC113" s="675"/>
      <c r="AD113" s="680"/>
    </row>
    <row r="114" spans="1:32" s="536" customFormat="1" ht="22.5" x14ac:dyDescent="0.2">
      <c r="A114" s="676"/>
      <c r="B114" s="677" t="s">
        <v>1876</v>
      </c>
      <c r="C114" s="1829" t="s">
        <v>1877</v>
      </c>
      <c r="D114" s="1829"/>
      <c r="E114" s="1829"/>
      <c r="F114" s="678" t="s">
        <v>865</v>
      </c>
      <c r="G114" s="678" t="s">
        <v>525</v>
      </c>
      <c r="H114" s="678"/>
      <c r="I114" s="678" t="s">
        <v>525</v>
      </c>
      <c r="J114" s="552"/>
      <c r="K114" s="562"/>
      <c r="L114" s="604"/>
      <c r="M114" s="562"/>
      <c r="N114" s="679"/>
      <c r="V114" s="674"/>
      <c r="W114" s="675"/>
      <c r="AC114" s="675"/>
      <c r="AD114" s="680" t="s">
        <v>1877</v>
      </c>
    </row>
    <row r="115" spans="1:32" s="536" customFormat="1" ht="22.5" x14ac:dyDescent="0.2">
      <c r="A115" s="676"/>
      <c r="B115" s="677" t="s">
        <v>1228</v>
      </c>
      <c r="C115" s="1829" t="s">
        <v>1878</v>
      </c>
      <c r="D115" s="1829"/>
      <c r="E115" s="1829"/>
      <c r="F115" s="678" t="s">
        <v>694</v>
      </c>
      <c r="G115" s="678" t="s">
        <v>1879</v>
      </c>
      <c r="H115" s="678"/>
      <c r="I115" s="678" t="s">
        <v>1880</v>
      </c>
      <c r="J115" s="552"/>
      <c r="K115" s="562"/>
      <c r="L115" s="604"/>
      <c r="M115" s="562"/>
      <c r="N115" s="679"/>
      <c r="V115" s="674"/>
      <c r="W115" s="675"/>
      <c r="AC115" s="675"/>
      <c r="AD115" s="680" t="s">
        <v>1878</v>
      </c>
    </row>
    <row r="116" spans="1:32" s="536" customFormat="1" ht="12" x14ac:dyDescent="0.2">
      <c r="A116" s="605"/>
      <c r="B116" s="552"/>
      <c r="C116" s="1822" t="s">
        <v>314</v>
      </c>
      <c r="D116" s="1822"/>
      <c r="E116" s="1822"/>
      <c r="F116" s="562" t="s">
        <v>315</v>
      </c>
      <c r="G116" s="562" t="s">
        <v>1881</v>
      </c>
      <c r="H116" s="562" t="s">
        <v>313</v>
      </c>
      <c r="I116" s="562" t="s">
        <v>1882</v>
      </c>
      <c r="J116" s="604"/>
      <c r="K116" s="562"/>
      <c r="L116" s="604"/>
      <c r="M116" s="603"/>
      <c r="N116" s="602"/>
      <c r="V116" s="674"/>
      <c r="W116" s="675"/>
      <c r="AA116" s="537" t="s">
        <v>314</v>
      </c>
      <c r="AC116" s="675"/>
      <c r="AD116" s="680"/>
    </row>
    <row r="117" spans="1:32" s="536" customFormat="1" ht="12" x14ac:dyDescent="0.2">
      <c r="A117" s="605"/>
      <c r="B117" s="552"/>
      <c r="C117" s="1822" t="s">
        <v>348</v>
      </c>
      <c r="D117" s="1822"/>
      <c r="E117" s="1822"/>
      <c r="F117" s="562" t="s">
        <v>315</v>
      </c>
      <c r="G117" s="562" t="s">
        <v>1883</v>
      </c>
      <c r="H117" s="562" t="s">
        <v>313</v>
      </c>
      <c r="I117" s="562" t="s">
        <v>1884</v>
      </c>
      <c r="J117" s="604"/>
      <c r="K117" s="562"/>
      <c r="L117" s="604"/>
      <c r="M117" s="603"/>
      <c r="N117" s="602"/>
      <c r="V117" s="674"/>
      <c r="W117" s="675"/>
      <c r="AA117" s="537" t="s">
        <v>348</v>
      </c>
      <c r="AC117" s="675"/>
      <c r="AD117" s="680"/>
    </row>
    <row r="118" spans="1:32" s="536" customFormat="1" ht="12" x14ac:dyDescent="0.2">
      <c r="A118" s="605"/>
      <c r="B118" s="552"/>
      <c r="C118" s="1828" t="s">
        <v>318</v>
      </c>
      <c r="D118" s="1828"/>
      <c r="E118" s="1828"/>
      <c r="F118" s="608"/>
      <c r="G118" s="608"/>
      <c r="H118" s="608"/>
      <c r="I118" s="608"/>
      <c r="J118" s="607">
        <v>7013.87</v>
      </c>
      <c r="K118" s="608"/>
      <c r="L118" s="607">
        <v>8383.34</v>
      </c>
      <c r="M118" s="601"/>
      <c r="N118" s="606"/>
      <c r="V118" s="674"/>
      <c r="W118" s="675"/>
      <c r="AB118" s="537" t="s">
        <v>318</v>
      </c>
      <c r="AC118" s="675"/>
      <c r="AD118" s="680"/>
    </row>
    <row r="119" spans="1:32" s="536" customFormat="1" ht="12" x14ac:dyDescent="0.2">
      <c r="A119" s="605"/>
      <c r="B119" s="552"/>
      <c r="C119" s="1822" t="s">
        <v>319</v>
      </c>
      <c r="D119" s="1822"/>
      <c r="E119" s="1822"/>
      <c r="F119" s="562"/>
      <c r="G119" s="562"/>
      <c r="H119" s="562"/>
      <c r="I119" s="562"/>
      <c r="J119" s="604"/>
      <c r="K119" s="562"/>
      <c r="L119" s="604">
        <v>2277.5</v>
      </c>
      <c r="M119" s="603"/>
      <c r="N119" s="602"/>
      <c r="V119" s="674"/>
      <c r="W119" s="675"/>
      <c r="AA119" s="537" t="s">
        <v>319</v>
      </c>
      <c r="AC119" s="675"/>
      <c r="AD119" s="680"/>
    </row>
    <row r="120" spans="1:32" s="536" customFormat="1" ht="33.75" x14ac:dyDescent="0.2">
      <c r="A120" s="605"/>
      <c r="B120" s="552" t="s">
        <v>648</v>
      </c>
      <c r="C120" s="1822" t="s">
        <v>649</v>
      </c>
      <c r="D120" s="1822"/>
      <c r="E120" s="1822"/>
      <c r="F120" s="562" t="s">
        <v>322</v>
      </c>
      <c r="G120" s="562" t="s">
        <v>650</v>
      </c>
      <c r="H120" s="562"/>
      <c r="I120" s="562" t="s">
        <v>650</v>
      </c>
      <c r="J120" s="604"/>
      <c r="K120" s="562"/>
      <c r="L120" s="604">
        <v>2118.08</v>
      </c>
      <c r="M120" s="603"/>
      <c r="N120" s="602"/>
      <c r="V120" s="674"/>
      <c r="W120" s="675"/>
      <c r="AA120" s="537" t="s">
        <v>649</v>
      </c>
      <c r="AC120" s="675"/>
      <c r="AD120" s="680"/>
    </row>
    <row r="121" spans="1:32" s="536" customFormat="1" ht="33.75" x14ac:dyDescent="0.2">
      <c r="A121" s="605"/>
      <c r="B121" s="552" t="s">
        <v>651</v>
      </c>
      <c r="C121" s="1822" t="s">
        <v>652</v>
      </c>
      <c r="D121" s="1822"/>
      <c r="E121" s="1822"/>
      <c r="F121" s="562" t="s">
        <v>322</v>
      </c>
      <c r="G121" s="562" t="s">
        <v>653</v>
      </c>
      <c r="H121" s="562"/>
      <c r="I121" s="562" t="s">
        <v>653</v>
      </c>
      <c r="J121" s="604"/>
      <c r="K121" s="562"/>
      <c r="L121" s="604">
        <v>1412.05</v>
      </c>
      <c r="M121" s="603"/>
      <c r="N121" s="602"/>
      <c r="V121" s="674"/>
      <c r="W121" s="675"/>
      <c r="AA121" s="537" t="s">
        <v>652</v>
      </c>
      <c r="AC121" s="675"/>
      <c r="AD121" s="680"/>
    </row>
    <row r="122" spans="1:32" s="536" customFormat="1" ht="12" x14ac:dyDescent="0.2">
      <c r="A122" s="569"/>
      <c r="B122" s="656"/>
      <c r="C122" s="1823" t="s">
        <v>327</v>
      </c>
      <c r="D122" s="1823"/>
      <c r="E122" s="1823"/>
      <c r="F122" s="573"/>
      <c r="G122" s="573"/>
      <c r="H122" s="573"/>
      <c r="I122" s="573"/>
      <c r="J122" s="572"/>
      <c r="K122" s="573"/>
      <c r="L122" s="572">
        <v>11913.47</v>
      </c>
      <c r="M122" s="601"/>
      <c r="N122" s="570"/>
      <c r="V122" s="674"/>
      <c r="W122" s="675"/>
      <c r="AC122" s="675" t="s">
        <v>327</v>
      </c>
      <c r="AD122" s="680"/>
    </row>
    <row r="123" spans="1:32" s="536" customFormat="1" ht="90" x14ac:dyDescent="0.2">
      <c r="A123" s="575" t="s">
        <v>193</v>
      </c>
      <c r="B123" s="657" t="s">
        <v>1885</v>
      </c>
      <c r="C123" s="1823" t="s">
        <v>1886</v>
      </c>
      <c r="D123" s="1823"/>
      <c r="E123" s="1823"/>
      <c r="F123" s="573" t="s">
        <v>865</v>
      </c>
      <c r="G123" s="573"/>
      <c r="H123" s="573"/>
      <c r="I123" s="573" t="s">
        <v>1887</v>
      </c>
      <c r="J123" s="572">
        <v>246.05</v>
      </c>
      <c r="K123" s="573"/>
      <c r="L123" s="572">
        <v>23817.64</v>
      </c>
      <c r="M123" s="571"/>
      <c r="N123" s="570"/>
      <c r="V123" s="674"/>
      <c r="W123" s="675" t="s">
        <v>1886</v>
      </c>
      <c r="AC123" s="675"/>
      <c r="AD123" s="680"/>
    </row>
    <row r="124" spans="1:32" s="536" customFormat="1" ht="12" x14ac:dyDescent="0.2">
      <c r="A124" s="569"/>
      <c r="B124" s="656"/>
      <c r="C124" s="661" t="s">
        <v>717</v>
      </c>
      <c r="D124" s="662"/>
      <c r="E124" s="662"/>
      <c r="F124" s="563"/>
      <c r="G124" s="563"/>
      <c r="H124" s="563"/>
      <c r="I124" s="563"/>
      <c r="J124" s="566"/>
      <c r="K124" s="563"/>
      <c r="L124" s="566"/>
      <c r="M124" s="565"/>
      <c r="N124" s="564"/>
      <c r="V124" s="674"/>
      <c r="W124" s="675"/>
      <c r="AC124" s="675"/>
      <c r="AD124" s="680"/>
    </row>
    <row r="125" spans="1:32" s="536" customFormat="1" ht="1.5" customHeight="1" x14ac:dyDescent="0.2">
      <c r="A125" s="563"/>
      <c r="B125" s="656"/>
      <c r="C125" s="656"/>
      <c r="D125" s="656"/>
      <c r="E125" s="656"/>
      <c r="F125" s="563"/>
      <c r="G125" s="563"/>
      <c r="H125" s="563"/>
      <c r="I125" s="563"/>
      <c r="J125" s="546"/>
      <c r="K125" s="563"/>
      <c r="L125" s="546"/>
      <c r="M125" s="562"/>
      <c r="N125" s="546"/>
      <c r="V125" s="674"/>
      <c r="W125" s="675"/>
      <c r="AC125" s="675"/>
      <c r="AD125" s="680"/>
    </row>
    <row r="126" spans="1:32" s="536" customFormat="1" ht="12" x14ac:dyDescent="0.2">
      <c r="A126" s="557"/>
      <c r="B126" s="556"/>
      <c r="C126" s="1823" t="s">
        <v>1888</v>
      </c>
      <c r="D126" s="1823"/>
      <c r="E126" s="1823"/>
      <c r="F126" s="1823"/>
      <c r="G126" s="1823"/>
      <c r="H126" s="1823"/>
      <c r="I126" s="1823"/>
      <c r="J126" s="1823"/>
      <c r="K126" s="1823"/>
      <c r="L126" s="555"/>
      <c r="M126" s="554"/>
      <c r="N126" s="553"/>
      <c r="V126" s="674"/>
      <c r="W126" s="675"/>
      <c r="AC126" s="675"/>
      <c r="AD126" s="680"/>
      <c r="AE126" s="675" t="s">
        <v>1888</v>
      </c>
    </row>
    <row r="127" spans="1:32" s="536" customFormat="1" ht="12" x14ac:dyDescent="0.2">
      <c r="A127" s="548"/>
      <c r="B127" s="552"/>
      <c r="C127" s="1822" t="s">
        <v>403</v>
      </c>
      <c r="D127" s="1822"/>
      <c r="E127" s="1822"/>
      <c r="F127" s="1822"/>
      <c r="G127" s="1822"/>
      <c r="H127" s="1822"/>
      <c r="I127" s="1822"/>
      <c r="J127" s="1822"/>
      <c r="K127" s="1822"/>
      <c r="L127" s="551">
        <v>111105.36</v>
      </c>
      <c r="M127" s="550"/>
      <c r="N127" s="549"/>
      <c r="V127" s="674"/>
      <c r="W127" s="675"/>
      <c r="AC127" s="675"/>
      <c r="AD127" s="680"/>
      <c r="AE127" s="675"/>
      <c r="AF127" s="537" t="s">
        <v>403</v>
      </c>
    </row>
    <row r="128" spans="1:32" s="536" customFormat="1" ht="12" x14ac:dyDescent="0.2">
      <c r="A128" s="548"/>
      <c r="B128" s="552"/>
      <c r="C128" s="1822" t="s">
        <v>204</v>
      </c>
      <c r="D128" s="1822"/>
      <c r="E128" s="1822"/>
      <c r="F128" s="1822"/>
      <c r="G128" s="1822"/>
      <c r="H128" s="1822"/>
      <c r="I128" s="1822"/>
      <c r="J128" s="1822"/>
      <c r="K128" s="1822"/>
      <c r="L128" s="551"/>
      <c r="M128" s="550"/>
      <c r="N128" s="549"/>
      <c r="V128" s="674"/>
      <c r="W128" s="675"/>
      <c r="AC128" s="675"/>
      <c r="AD128" s="680"/>
      <c r="AE128" s="675"/>
      <c r="AF128" s="537" t="s">
        <v>204</v>
      </c>
    </row>
    <row r="129" spans="1:33" s="536" customFormat="1" ht="12" x14ac:dyDescent="0.2">
      <c r="A129" s="548"/>
      <c r="B129" s="552"/>
      <c r="C129" s="1822" t="s">
        <v>404</v>
      </c>
      <c r="D129" s="1822"/>
      <c r="E129" s="1822"/>
      <c r="F129" s="1822"/>
      <c r="G129" s="1822"/>
      <c r="H129" s="1822"/>
      <c r="I129" s="1822"/>
      <c r="J129" s="1822"/>
      <c r="K129" s="1822"/>
      <c r="L129" s="551">
        <v>14189.07</v>
      </c>
      <c r="M129" s="550"/>
      <c r="N129" s="549"/>
      <c r="V129" s="674"/>
      <c r="W129" s="675"/>
      <c r="AC129" s="675"/>
      <c r="AD129" s="680"/>
      <c r="AE129" s="675"/>
      <c r="AF129" s="537" t="s">
        <v>404</v>
      </c>
    </row>
    <row r="130" spans="1:33" s="536" customFormat="1" ht="12" x14ac:dyDescent="0.2">
      <c r="A130" s="548"/>
      <c r="B130" s="552"/>
      <c r="C130" s="1822" t="s">
        <v>405</v>
      </c>
      <c r="D130" s="1822"/>
      <c r="E130" s="1822"/>
      <c r="F130" s="1822"/>
      <c r="G130" s="1822"/>
      <c r="H130" s="1822"/>
      <c r="I130" s="1822"/>
      <c r="J130" s="1822"/>
      <c r="K130" s="1822"/>
      <c r="L130" s="551">
        <v>6599.06</v>
      </c>
      <c r="M130" s="550"/>
      <c r="N130" s="549"/>
      <c r="V130" s="674"/>
      <c r="W130" s="675"/>
      <c r="AC130" s="675"/>
      <c r="AD130" s="680"/>
      <c r="AE130" s="675"/>
      <c r="AF130" s="537" t="s">
        <v>405</v>
      </c>
    </row>
    <row r="131" spans="1:33" s="536" customFormat="1" ht="12" x14ac:dyDescent="0.2">
      <c r="A131" s="548"/>
      <c r="B131" s="552"/>
      <c r="C131" s="1822" t="s">
        <v>406</v>
      </c>
      <c r="D131" s="1822"/>
      <c r="E131" s="1822"/>
      <c r="F131" s="1822"/>
      <c r="G131" s="1822"/>
      <c r="H131" s="1822"/>
      <c r="I131" s="1822"/>
      <c r="J131" s="1822"/>
      <c r="K131" s="1822"/>
      <c r="L131" s="551">
        <v>608.22</v>
      </c>
      <c r="M131" s="550"/>
      <c r="N131" s="549"/>
      <c r="V131" s="674"/>
      <c r="W131" s="675"/>
      <c r="AC131" s="675"/>
      <c r="AD131" s="680"/>
      <c r="AE131" s="675"/>
      <c r="AF131" s="537" t="s">
        <v>406</v>
      </c>
    </row>
    <row r="132" spans="1:33" s="536" customFormat="1" ht="12" x14ac:dyDescent="0.2">
      <c r="A132" s="548"/>
      <c r="B132" s="552"/>
      <c r="C132" s="1822" t="s">
        <v>480</v>
      </c>
      <c r="D132" s="1822"/>
      <c r="E132" s="1822"/>
      <c r="F132" s="1822"/>
      <c r="G132" s="1822"/>
      <c r="H132" s="1822"/>
      <c r="I132" s="1822"/>
      <c r="J132" s="1822"/>
      <c r="K132" s="1822"/>
      <c r="L132" s="551">
        <v>90317.23</v>
      </c>
      <c r="M132" s="550"/>
      <c r="N132" s="549"/>
      <c r="V132" s="674"/>
      <c r="W132" s="675"/>
      <c r="AC132" s="675"/>
      <c r="AD132" s="680"/>
      <c r="AE132" s="675"/>
      <c r="AF132" s="537" t="s">
        <v>480</v>
      </c>
    </row>
    <row r="133" spans="1:33" s="536" customFormat="1" ht="12" x14ac:dyDescent="0.2">
      <c r="A133" s="548"/>
      <c r="B133" s="552"/>
      <c r="C133" s="1822" t="s">
        <v>407</v>
      </c>
      <c r="D133" s="1822"/>
      <c r="E133" s="1822"/>
      <c r="F133" s="1822"/>
      <c r="G133" s="1822"/>
      <c r="H133" s="1822"/>
      <c r="I133" s="1822"/>
      <c r="J133" s="1822"/>
      <c r="K133" s="1822"/>
      <c r="L133" s="551">
        <v>133430.26999999999</v>
      </c>
      <c r="M133" s="550"/>
      <c r="N133" s="549"/>
      <c r="V133" s="674"/>
      <c r="W133" s="675"/>
      <c r="AC133" s="675"/>
      <c r="AD133" s="680"/>
      <c r="AE133" s="675"/>
      <c r="AF133" s="537" t="s">
        <v>407</v>
      </c>
    </row>
    <row r="134" spans="1:33" s="536" customFormat="1" ht="12" x14ac:dyDescent="0.2">
      <c r="A134" s="548"/>
      <c r="B134" s="552"/>
      <c r="C134" s="1822" t="s">
        <v>204</v>
      </c>
      <c r="D134" s="1822"/>
      <c r="E134" s="1822"/>
      <c r="F134" s="1822"/>
      <c r="G134" s="1822"/>
      <c r="H134" s="1822"/>
      <c r="I134" s="1822"/>
      <c r="J134" s="1822"/>
      <c r="K134" s="1822"/>
      <c r="L134" s="551"/>
      <c r="M134" s="550"/>
      <c r="N134" s="549"/>
      <c r="V134" s="674"/>
      <c r="W134" s="675"/>
      <c r="AC134" s="675"/>
      <c r="AD134" s="680"/>
      <c r="AE134" s="675"/>
      <c r="AF134" s="537" t="s">
        <v>204</v>
      </c>
    </row>
    <row r="135" spans="1:33" s="536" customFormat="1" ht="12" x14ac:dyDescent="0.2">
      <c r="A135" s="548"/>
      <c r="B135" s="552"/>
      <c r="C135" s="1822" t="s">
        <v>546</v>
      </c>
      <c r="D135" s="1822"/>
      <c r="E135" s="1822"/>
      <c r="F135" s="1822"/>
      <c r="G135" s="1822"/>
      <c r="H135" s="1822"/>
      <c r="I135" s="1822"/>
      <c r="J135" s="1822"/>
      <c r="K135" s="1822"/>
      <c r="L135" s="551">
        <v>14189.07</v>
      </c>
      <c r="M135" s="550"/>
      <c r="N135" s="549"/>
      <c r="V135" s="674"/>
      <c r="W135" s="675"/>
      <c r="AC135" s="675"/>
      <c r="AD135" s="680"/>
      <c r="AE135" s="675"/>
      <c r="AF135" s="537" t="s">
        <v>546</v>
      </c>
    </row>
    <row r="136" spans="1:33" s="536" customFormat="1" ht="12" x14ac:dyDescent="0.2">
      <c r="A136" s="548"/>
      <c r="B136" s="552"/>
      <c r="C136" s="1822" t="s">
        <v>442</v>
      </c>
      <c r="D136" s="1822"/>
      <c r="E136" s="1822"/>
      <c r="F136" s="1822"/>
      <c r="G136" s="1822"/>
      <c r="H136" s="1822"/>
      <c r="I136" s="1822"/>
      <c r="J136" s="1822"/>
      <c r="K136" s="1822"/>
      <c r="L136" s="551">
        <v>6599.06</v>
      </c>
      <c r="M136" s="550"/>
      <c r="N136" s="549"/>
      <c r="V136" s="674"/>
      <c r="W136" s="675"/>
      <c r="AC136" s="675"/>
      <c r="AD136" s="680"/>
      <c r="AE136" s="675"/>
      <c r="AF136" s="537" t="s">
        <v>442</v>
      </c>
    </row>
    <row r="137" spans="1:33" s="536" customFormat="1" ht="12" x14ac:dyDescent="0.2">
      <c r="A137" s="548"/>
      <c r="B137" s="552"/>
      <c r="C137" s="1822" t="s">
        <v>547</v>
      </c>
      <c r="D137" s="1822"/>
      <c r="E137" s="1822"/>
      <c r="F137" s="1822"/>
      <c r="G137" s="1822"/>
      <c r="H137" s="1822"/>
      <c r="I137" s="1822"/>
      <c r="J137" s="1822"/>
      <c r="K137" s="1822"/>
      <c r="L137" s="551">
        <v>90317.23</v>
      </c>
      <c r="M137" s="550"/>
      <c r="N137" s="549"/>
      <c r="V137" s="674"/>
      <c r="W137" s="675"/>
      <c r="AC137" s="675"/>
      <c r="AD137" s="680"/>
      <c r="AE137" s="675"/>
      <c r="AF137" s="537" t="s">
        <v>547</v>
      </c>
    </row>
    <row r="138" spans="1:33" s="536" customFormat="1" ht="12" x14ac:dyDescent="0.2">
      <c r="A138" s="548"/>
      <c r="B138" s="552"/>
      <c r="C138" s="1822" t="s">
        <v>443</v>
      </c>
      <c r="D138" s="1822"/>
      <c r="E138" s="1822"/>
      <c r="F138" s="1822"/>
      <c r="G138" s="1822"/>
      <c r="H138" s="1822"/>
      <c r="I138" s="1822"/>
      <c r="J138" s="1822"/>
      <c r="K138" s="1822"/>
      <c r="L138" s="551">
        <v>14712.14</v>
      </c>
      <c r="M138" s="550"/>
      <c r="N138" s="549"/>
      <c r="V138" s="674"/>
      <c r="W138" s="675"/>
      <c r="AC138" s="675"/>
      <c r="AD138" s="680"/>
      <c r="AE138" s="675"/>
      <c r="AF138" s="537" t="s">
        <v>443</v>
      </c>
    </row>
    <row r="139" spans="1:33" s="536" customFormat="1" ht="12" x14ac:dyDescent="0.2">
      <c r="A139" s="548"/>
      <c r="B139" s="552"/>
      <c r="C139" s="1822" t="s">
        <v>444</v>
      </c>
      <c r="D139" s="1822"/>
      <c r="E139" s="1822"/>
      <c r="F139" s="1822"/>
      <c r="G139" s="1822"/>
      <c r="H139" s="1822"/>
      <c r="I139" s="1822"/>
      <c r="J139" s="1822"/>
      <c r="K139" s="1822"/>
      <c r="L139" s="551">
        <v>7612.77</v>
      </c>
      <c r="M139" s="550"/>
      <c r="N139" s="549"/>
      <c r="V139" s="674"/>
      <c r="W139" s="675"/>
      <c r="AC139" s="675"/>
      <c r="AD139" s="680"/>
      <c r="AE139" s="675"/>
      <c r="AF139" s="537" t="s">
        <v>444</v>
      </c>
    </row>
    <row r="140" spans="1:33" s="536" customFormat="1" ht="12" x14ac:dyDescent="0.2">
      <c r="A140" s="548"/>
      <c r="B140" s="552"/>
      <c r="C140" s="1822" t="s">
        <v>415</v>
      </c>
      <c r="D140" s="1822"/>
      <c r="E140" s="1822"/>
      <c r="F140" s="1822"/>
      <c r="G140" s="1822"/>
      <c r="H140" s="1822"/>
      <c r="I140" s="1822"/>
      <c r="J140" s="1822"/>
      <c r="K140" s="1822"/>
      <c r="L140" s="551">
        <v>14797.29</v>
      </c>
      <c r="M140" s="550"/>
      <c r="N140" s="549"/>
      <c r="V140" s="674"/>
      <c r="W140" s="675"/>
      <c r="AC140" s="675"/>
      <c r="AD140" s="680"/>
      <c r="AE140" s="675"/>
      <c r="AF140" s="537" t="s">
        <v>415</v>
      </c>
    </row>
    <row r="141" spans="1:33" s="536" customFormat="1" ht="12" x14ac:dyDescent="0.2">
      <c r="A141" s="548"/>
      <c r="B141" s="552"/>
      <c r="C141" s="1822" t="s">
        <v>416</v>
      </c>
      <c r="D141" s="1822"/>
      <c r="E141" s="1822"/>
      <c r="F141" s="1822"/>
      <c r="G141" s="1822"/>
      <c r="H141" s="1822"/>
      <c r="I141" s="1822"/>
      <c r="J141" s="1822"/>
      <c r="K141" s="1822"/>
      <c r="L141" s="551">
        <v>14712.14</v>
      </c>
      <c r="M141" s="550"/>
      <c r="N141" s="549"/>
      <c r="V141" s="674"/>
      <c r="W141" s="675"/>
      <c r="AC141" s="675"/>
      <c r="AD141" s="680"/>
      <c r="AE141" s="675"/>
      <c r="AF141" s="537" t="s">
        <v>416</v>
      </c>
    </row>
    <row r="142" spans="1:33" s="536" customFormat="1" ht="12" x14ac:dyDescent="0.2">
      <c r="A142" s="548"/>
      <c r="B142" s="552"/>
      <c r="C142" s="1822" t="s">
        <v>417</v>
      </c>
      <c r="D142" s="1822"/>
      <c r="E142" s="1822"/>
      <c r="F142" s="1822"/>
      <c r="G142" s="1822"/>
      <c r="H142" s="1822"/>
      <c r="I142" s="1822"/>
      <c r="J142" s="1822"/>
      <c r="K142" s="1822"/>
      <c r="L142" s="551">
        <v>7612.77</v>
      </c>
      <c r="M142" s="550"/>
      <c r="N142" s="549"/>
      <c r="V142" s="674"/>
      <c r="W142" s="675"/>
      <c r="AC142" s="675"/>
      <c r="AD142" s="680"/>
      <c r="AE142" s="675"/>
      <c r="AF142" s="537" t="s">
        <v>417</v>
      </c>
    </row>
    <row r="143" spans="1:33" s="536" customFormat="1" ht="12" x14ac:dyDescent="0.2">
      <c r="A143" s="548"/>
      <c r="B143" s="546"/>
      <c r="C143" s="1819" t="s">
        <v>1889</v>
      </c>
      <c r="D143" s="1819"/>
      <c r="E143" s="1819"/>
      <c r="F143" s="1819"/>
      <c r="G143" s="1819"/>
      <c r="H143" s="1819"/>
      <c r="I143" s="1819"/>
      <c r="J143" s="1819"/>
      <c r="K143" s="1819"/>
      <c r="L143" s="544">
        <v>133430.26999999999</v>
      </c>
      <c r="M143" s="543"/>
      <c r="N143" s="681"/>
      <c r="V143" s="674"/>
      <c r="W143" s="675"/>
      <c r="AC143" s="675"/>
      <c r="AD143" s="680"/>
      <c r="AE143" s="675"/>
      <c r="AG143" s="675" t="s">
        <v>1889</v>
      </c>
    </row>
    <row r="144" spans="1:33" s="536" customFormat="1" ht="12" x14ac:dyDescent="0.2">
      <c r="A144" s="548"/>
      <c r="B144" s="552"/>
      <c r="C144" s="1822" t="s">
        <v>204</v>
      </c>
      <c r="D144" s="1822"/>
      <c r="E144" s="1822"/>
      <c r="F144" s="1822"/>
      <c r="G144" s="1822"/>
      <c r="H144" s="1822"/>
      <c r="I144" s="1822"/>
      <c r="J144" s="1822"/>
      <c r="K144" s="1822"/>
      <c r="L144" s="551"/>
      <c r="M144" s="550"/>
      <c r="N144" s="549"/>
      <c r="V144" s="674"/>
      <c r="W144" s="675"/>
      <c r="AC144" s="675"/>
      <c r="AD144" s="680"/>
      <c r="AE144" s="675"/>
      <c r="AF144" s="537" t="s">
        <v>204</v>
      </c>
      <c r="AG144" s="675"/>
    </row>
    <row r="145" spans="1:33" s="536" customFormat="1" ht="12" x14ac:dyDescent="0.2">
      <c r="A145" s="548"/>
      <c r="B145" s="552"/>
      <c r="C145" s="1822" t="s">
        <v>8095</v>
      </c>
      <c r="D145" s="1822"/>
      <c r="E145" s="1822"/>
      <c r="F145" s="1822"/>
      <c r="G145" s="1822"/>
      <c r="H145" s="1822"/>
      <c r="I145" s="1822"/>
      <c r="J145" s="1822"/>
      <c r="K145" s="1822"/>
      <c r="L145" s="551">
        <v>820.55</v>
      </c>
      <c r="M145" s="550"/>
      <c r="N145" s="549"/>
      <c r="V145" s="674"/>
      <c r="W145" s="675"/>
      <c r="AC145" s="675"/>
      <c r="AD145" s="680"/>
      <c r="AE145" s="675"/>
      <c r="AF145" s="537" t="s">
        <v>8095</v>
      </c>
      <c r="AG145" s="675"/>
    </row>
    <row r="146" spans="1:33" s="536" customFormat="1" ht="12" x14ac:dyDescent="0.2">
      <c r="A146" s="1824" t="s">
        <v>1890</v>
      </c>
      <c r="B146" s="1825"/>
      <c r="C146" s="1825"/>
      <c r="D146" s="1825"/>
      <c r="E146" s="1825"/>
      <c r="F146" s="1825"/>
      <c r="G146" s="1825"/>
      <c r="H146" s="1825"/>
      <c r="I146" s="1825"/>
      <c r="J146" s="1825"/>
      <c r="K146" s="1825"/>
      <c r="L146" s="1825"/>
      <c r="M146" s="1825"/>
      <c r="N146" s="1826"/>
      <c r="V146" s="674" t="s">
        <v>1890</v>
      </c>
      <c r="W146" s="675"/>
      <c r="AC146" s="675"/>
      <c r="AD146" s="680"/>
      <c r="AE146" s="675"/>
      <c r="AG146" s="675"/>
    </row>
    <row r="147" spans="1:33" s="536" customFormat="1" ht="33.75" x14ac:dyDescent="0.2">
      <c r="A147" s="575" t="s">
        <v>194</v>
      </c>
      <c r="B147" s="657" t="s">
        <v>1147</v>
      </c>
      <c r="C147" s="1823" t="s">
        <v>1148</v>
      </c>
      <c r="D147" s="1823"/>
      <c r="E147" s="1823"/>
      <c r="F147" s="573" t="s">
        <v>862</v>
      </c>
      <c r="G147" s="573"/>
      <c r="H147" s="573"/>
      <c r="I147" s="573" t="s">
        <v>1891</v>
      </c>
      <c r="J147" s="572"/>
      <c r="K147" s="573"/>
      <c r="L147" s="572"/>
      <c r="M147" s="571"/>
      <c r="N147" s="570"/>
      <c r="V147" s="674"/>
      <c r="W147" s="675" t="s">
        <v>1148</v>
      </c>
      <c r="AC147" s="675"/>
      <c r="AD147" s="680"/>
      <c r="AE147" s="675"/>
      <c r="AG147" s="675"/>
    </row>
    <row r="148" spans="1:33" s="536" customFormat="1" ht="12" x14ac:dyDescent="0.2">
      <c r="A148" s="676"/>
      <c r="B148" s="655"/>
      <c r="C148" s="1822" t="s">
        <v>1892</v>
      </c>
      <c r="D148" s="1822"/>
      <c r="E148" s="1822"/>
      <c r="F148" s="1822"/>
      <c r="G148" s="1822"/>
      <c r="H148" s="1822"/>
      <c r="I148" s="1822"/>
      <c r="J148" s="1822"/>
      <c r="K148" s="1822"/>
      <c r="L148" s="1822"/>
      <c r="M148" s="1822"/>
      <c r="N148" s="1827"/>
      <c r="V148" s="674"/>
      <c r="W148" s="675"/>
      <c r="X148" s="537" t="s">
        <v>1892</v>
      </c>
      <c r="AC148" s="675"/>
      <c r="AD148" s="680"/>
      <c r="AE148" s="675"/>
      <c r="AG148" s="675"/>
    </row>
    <row r="149" spans="1:33" s="536" customFormat="1" ht="33.75" x14ac:dyDescent="0.2">
      <c r="A149" s="609"/>
      <c r="B149" s="552" t="s">
        <v>310</v>
      </c>
      <c r="C149" s="1822" t="s">
        <v>311</v>
      </c>
      <c r="D149" s="1822"/>
      <c r="E149" s="1822"/>
      <c r="F149" s="1822"/>
      <c r="G149" s="1822"/>
      <c r="H149" s="1822"/>
      <c r="I149" s="1822"/>
      <c r="J149" s="1822"/>
      <c r="K149" s="1822"/>
      <c r="L149" s="1822"/>
      <c r="M149" s="1822"/>
      <c r="N149" s="1827"/>
      <c r="V149" s="674"/>
      <c r="W149" s="675"/>
      <c r="Y149" s="537" t="s">
        <v>311</v>
      </c>
      <c r="AC149" s="675"/>
      <c r="AD149" s="680"/>
      <c r="AE149" s="675"/>
      <c r="AG149" s="675"/>
    </row>
    <row r="150" spans="1:33" s="536" customFormat="1" ht="12" x14ac:dyDescent="0.2">
      <c r="A150" s="605"/>
      <c r="B150" s="552" t="s">
        <v>185</v>
      </c>
      <c r="C150" s="1822" t="s">
        <v>312</v>
      </c>
      <c r="D150" s="1822"/>
      <c r="E150" s="1822"/>
      <c r="F150" s="562"/>
      <c r="G150" s="562"/>
      <c r="H150" s="562"/>
      <c r="I150" s="562"/>
      <c r="J150" s="604">
        <v>390.01</v>
      </c>
      <c r="K150" s="562" t="s">
        <v>313</v>
      </c>
      <c r="L150" s="604">
        <v>1225.8499999999999</v>
      </c>
      <c r="M150" s="603"/>
      <c r="N150" s="602"/>
      <c r="V150" s="674"/>
      <c r="W150" s="675"/>
      <c r="Z150" s="537" t="s">
        <v>312</v>
      </c>
      <c r="AC150" s="675"/>
      <c r="AD150" s="680"/>
      <c r="AE150" s="675"/>
      <c r="AG150" s="675"/>
    </row>
    <row r="151" spans="1:33" s="536" customFormat="1" ht="12" x14ac:dyDescent="0.2">
      <c r="A151" s="605"/>
      <c r="B151" s="552" t="s">
        <v>186</v>
      </c>
      <c r="C151" s="1822" t="s">
        <v>344</v>
      </c>
      <c r="D151" s="1822"/>
      <c r="E151" s="1822"/>
      <c r="F151" s="562"/>
      <c r="G151" s="562"/>
      <c r="H151" s="562"/>
      <c r="I151" s="562"/>
      <c r="J151" s="604">
        <v>128.51</v>
      </c>
      <c r="K151" s="562" t="s">
        <v>313</v>
      </c>
      <c r="L151" s="604">
        <v>403.92</v>
      </c>
      <c r="M151" s="603"/>
      <c r="N151" s="602"/>
      <c r="V151" s="674"/>
      <c r="W151" s="675"/>
      <c r="Z151" s="537" t="s">
        <v>344</v>
      </c>
      <c r="AC151" s="675"/>
      <c r="AD151" s="680"/>
      <c r="AE151" s="675"/>
      <c r="AG151" s="675"/>
    </row>
    <row r="152" spans="1:33" s="536" customFormat="1" ht="12" x14ac:dyDescent="0.2">
      <c r="A152" s="605"/>
      <c r="B152" s="552" t="s">
        <v>187</v>
      </c>
      <c r="C152" s="1822" t="s">
        <v>345</v>
      </c>
      <c r="D152" s="1822"/>
      <c r="E152" s="1822"/>
      <c r="F152" s="562"/>
      <c r="G152" s="562"/>
      <c r="H152" s="562"/>
      <c r="I152" s="562"/>
      <c r="J152" s="604">
        <v>3.27</v>
      </c>
      <c r="K152" s="562" t="s">
        <v>313</v>
      </c>
      <c r="L152" s="604">
        <v>10.28</v>
      </c>
      <c r="M152" s="603"/>
      <c r="N152" s="602"/>
      <c r="V152" s="674"/>
      <c r="W152" s="675"/>
      <c r="Z152" s="537" t="s">
        <v>345</v>
      </c>
      <c r="AC152" s="675"/>
      <c r="AD152" s="680"/>
      <c r="AE152" s="675"/>
      <c r="AG152" s="675"/>
    </row>
    <row r="153" spans="1:33" s="536" customFormat="1" ht="12" x14ac:dyDescent="0.2">
      <c r="A153" s="605"/>
      <c r="B153" s="552" t="s">
        <v>188</v>
      </c>
      <c r="C153" s="1822" t="s">
        <v>475</v>
      </c>
      <c r="D153" s="1822"/>
      <c r="E153" s="1822"/>
      <c r="F153" s="562"/>
      <c r="G153" s="562"/>
      <c r="H153" s="562"/>
      <c r="I153" s="562"/>
      <c r="J153" s="604">
        <v>9704.6299999999992</v>
      </c>
      <c r="K153" s="562"/>
      <c r="L153" s="604">
        <v>10443</v>
      </c>
      <c r="M153" s="603"/>
      <c r="N153" s="602"/>
      <c r="V153" s="674"/>
      <c r="W153" s="675"/>
      <c r="Z153" s="537" t="s">
        <v>475</v>
      </c>
      <c r="AC153" s="675"/>
      <c r="AD153" s="680"/>
      <c r="AE153" s="675"/>
      <c r="AG153" s="675"/>
    </row>
    <row r="154" spans="1:33" s="536" customFormat="1" ht="22.5" x14ac:dyDescent="0.2">
      <c r="A154" s="605"/>
      <c r="B154" s="552"/>
      <c r="C154" s="1822" t="s">
        <v>314</v>
      </c>
      <c r="D154" s="1822"/>
      <c r="E154" s="1822"/>
      <c r="F154" s="562" t="s">
        <v>315</v>
      </c>
      <c r="G154" s="562" t="s">
        <v>1151</v>
      </c>
      <c r="H154" s="562" t="s">
        <v>313</v>
      </c>
      <c r="I154" s="562" t="s">
        <v>1893</v>
      </c>
      <c r="J154" s="604"/>
      <c r="K154" s="562"/>
      <c r="L154" s="604"/>
      <c r="M154" s="603"/>
      <c r="N154" s="602"/>
      <c r="V154" s="674"/>
      <c r="W154" s="675"/>
      <c r="AA154" s="537" t="s">
        <v>314</v>
      </c>
      <c r="AC154" s="675"/>
      <c r="AD154" s="680"/>
      <c r="AE154" s="675"/>
      <c r="AG154" s="675"/>
    </row>
    <row r="155" spans="1:33" s="536" customFormat="1" ht="12" x14ac:dyDescent="0.2">
      <c r="A155" s="605"/>
      <c r="B155" s="552"/>
      <c r="C155" s="1822" t="s">
        <v>348</v>
      </c>
      <c r="D155" s="1822"/>
      <c r="E155" s="1822"/>
      <c r="F155" s="562" t="s">
        <v>315</v>
      </c>
      <c r="G155" s="562" t="s">
        <v>1153</v>
      </c>
      <c r="H155" s="562" t="s">
        <v>313</v>
      </c>
      <c r="I155" s="562" t="s">
        <v>1894</v>
      </c>
      <c r="J155" s="604"/>
      <c r="K155" s="562"/>
      <c r="L155" s="604"/>
      <c r="M155" s="603"/>
      <c r="N155" s="602"/>
      <c r="V155" s="674"/>
      <c r="W155" s="675"/>
      <c r="AA155" s="537" t="s">
        <v>348</v>
      </c>
      <c r="AC155" s="675"/>
      <c r="AD155" s="680"/>
      <c r="AE155" s="675"/>
      <c r="AG155" s="675"/>
    </row>
    <row r="156" spans="1:33" s="536" customFormat="1" ht="12" x14ac:dyDescent="0.2">
      <c r="A156" s="605"/>
      <c r="B156" s="552"/>
      <c r="C156" s="1828" t="s">
        <v>318</v>
      </c>
      <c r="D156" s="1828"/>
      <c r="E156" s="1828"/>
      <c r="F156" s="608"/>
      <c r="G156" s="608"/>
      <c r="H156" s="608"/>
      <c r="I156" s="608"/>
      <c r="J156" s="607">
        <v>4671.63</v>
      </c>
      <c r="K156" s="608"/>
      <c r="L156" s="607">
        <v>12072.77</v>
      </c>
      <c r="M156" s="601"/>
      <c r="N156" s="606"/>
      <c r="V156" s="674"/>
      <c r="W156" s="675"/>
      <c r="AB156" s="537" t="s">
        <v>318</v>
      </c>
      <c r="AC156" s="675"/>
      <c r="AD156" s="680"/>
      <c r="AE156" s="675"/>
      <c r="AG156" s="675"/>
    </row>
    <row r="157" spans="1:33" s="536" customFormat="1" ht="12" x14ac:dyDescent="0.2">
      <c r="A157" s="605"/>
      <c r="B157" s="552"/>
      <c r="C157" s="1822" t="s">
        <v>319</v>
      </c>
      <c r="D157" s="1822"/>
      <c r="E157" s="1822"/>
      <c r="F157" s="562"/>
      <c r="G157" s="562"/>
      <c r="H157" s="562"/>
      <c r="I157" s="562"/>
      <c r="J157" s="604"/>
      <c r="K157" s="562"/>
      <c r="L157" s="604">
        <v>1236.1300000000001</v>
      </c>
      <c r="M157" s="603"/>
      <c r="N157" s="602"/>
      <c r="V157" s="674"/>
      <c r="W157" s="675"/>
      <c r="AA157" s="537" t="s">
        <v>319</v>
      </c>
      <c r="AC157" s="675"/>
      <c r="AD157" s="680"/>
      <c r="AE157" s="675"/>
      <c r="AG157" s="675"/>
    </row>
    <row r="158" spans="1:33" s="536" customFormat="1" ht="33.75" x14ac:dyDescent="0.2">
      <c r="A158" s="605"/>
      <c r="B158" s="552" t="s">
        <v>1155</v>
      </c>
      <c r="C158" s="1822" t="s">
        <v>1156</v>
      </c>
      <c r="D158" s="1822"/>
      <c r="E158" s="1822"/>
      <c r="F158" s="562" t="s">
        <v>322</v>
      </c>
      <c r="G158" s="562" t="s">
        <v>1157</v>
      </c>
      <c r="H158" s="562"/>
      <c r="I158" s="562" t="s">
        <v>1157</v>
      </c>
      <c r="J158" s="604"/>
      <c r="K158" s="562"/>
      <c r="L158" s="604">
        <v>1347.38</v>
      </c>
      <c r="M158" s="603"/>
      <c r="N158" s="602"/>
      <c r="V158" s="674"/>
      <c r="W158" s="675"/>
      <c r="AA158" s="537" t="s">
        <v>1156</v>
      </c>
      <c r="AC158" s="675"/>
      <c r="AD158" s="680"/>
      <c r="AE158" s="675"/>
      <c r="AG158" s="675"/>
    </row>
    <row r="159" spans="1:33" s="536" customFormat="1" ht="33.75" x14ac:dyDescent="0.2">
      <c r="A159" s="605"/>
      <c r="B159" s="552" t="s">
        <v>1158</v>
      </c>
      <c r="C159" s="1822" t="s">
        <v>1159</v>
      </c>
      <c r="D159" s="1822"/>
      <c r="E159" s="1822"/>
      <c r="F159" s="562" t="s">
        <v>322</v>
      </c>
      <c r="G159" s="562" t="s">
        <v>791</v>
      </c>
      <c r="H159" s="562"/>
      <c r="I159" s="562" t="s">
        <v>791</v>
      </c>
      <c r="J159" s="604"/>
      <c r="K159" s="562"/>
      <c r="L159" s="604">
        <v>704.59</v>
      </c>
      <c r="M159" s="603"/>
      <c r="N159" s="602"/>
      <c r="V159" s="674"/>
      <c r="W159" s="675"/>
      <c r="AA159" s="537" t="s">
        <v>1159</v>
      </c>
      <c r="AC159" s="675"/>
      <c r="AD159" s="680"/>
      <c r="AE159" s="675"/>
      <c r="AG159" s="675"/>
    </row>
    <row r="160" spans="1:33" s="536" customFormat="1" ht="12" x14ac:dyDescent="0.2">
      <c r="A160" s="569"/>
      <c r="B160" s="656"/>
      <c r="C160" s="1823" t="s">
        <v>327</v>
      </c>
      <c r="D160" s="1823"/>
      <c r="E160" s="1823"/>
      <c r="F160" s="573"/>
      <c r="G160" s="573"/>
      <c r="H160" s="573"/>
      <c r="I160" s="573"/>
      <c r="J160" s="572"/>
      <c r="K160" s="573"/>
      <c r="L160" s="572">
        <v>14124.74</v>
      </c>
      <c r="M160" s="601"/>
      <c r="N160" s="570"/>
      <c r="V160" s="674"/>
      <c r="W160" s="675"/>
      <c r="AC160" s="675" t="s">
        <v>327</v>
      </c>
      <c r="AD160" s="680"/>
      <c r="AE160" s="675"/>
      <c r="AG160" s="675"/>
    </row>
    <row r="161" spans="1:33" s="536" customFormat="1" ht="33.75" x14ac:dyDescent="0.2">
      <c r="A161" s="575" t="s">
        <v>195</v>
      </c>
      <c r="B161" s="657" t="s">
        <v>1160</v>
      </c>
      <c r="C161" s="1823" t="s">
        <v>1161</v>
      </c>
      <c r="D161" s="1823"/>
      <c r="E161" s="1823"/>
      <c r="F161" s="573" t="s">
        <v>694</v>
      </c>
      <c r="G161" s="573"/>
      <c r="H161" s="573"/>
      <c r="I161" s="573" t="s">
        <v>1895</v>
      </c>
      <c r="J161" s="572">
        <v>8715.1</v>
      </c>
      <c r="K161" s="573"/>
      <c r="L161" s="572">
        <v>15338.58</v>
      </c>
      <c r="M161" s="571"/>
      <c r="N161" s="570"/>
      <c r="V161" s="674"/>
      <c r="W161" s="675" t="s">
        <v>1161</v>
      </c>
      <c r="AC161" s="675"/>
      <c r="AD161" s="680"/>
      <c r="AE161" s="675"/>
      <c r="AG161" s="675"/>
    </row>
    <row r="162" spans="1:33" s="536" customFormat="1" ht="12" x14ac:dyDescent="0.2">
      <c r="A162" s="569"/>
      <c r="B162" s="656"/>
      <c r="C162" s="661" t="s">
        <v>717</v>
      </c>
      <c r="D162" s="662"/>
      <c r="E162" s="662"/>
      <c r="F162" s="563"/>
      <c r="G162" s="563"/>
      <c r="H162" s="563"/>
      <c r="I162" s="563"/>
      <c r="J162" s="566"/>
      <c r="K162" s="563"/>
      <c r="L162" s="566"/>
      <c r="M162" s="565"/>
      <c r="N162" s="564"/>
      <c r="V162" s="674"/>
      <c r="W162" s="675"/>
      <c r="AC162" s="675"/>
      <c r="AD162" s="680"/>
      <c r="AE162" s="675"/>
      <c r="AG162" s="675"/>
    </row>
    <row r="163" spans="1:33" s="536" customFormat="1" ht="12" x14ac:dyDescent="0.2">
      <c r="A163" s="676"/>
      <c r="B163" s="655"/>
      <c r="C163" s="1822" t="s">
        <v>1896</v>
      </c>
      <c r="D163" s="1822"/>
      <c r="E163" s="1822"/>
      <c r="F163" s="1822"/>
      <c r="G163" s="1822"/>
      <c r="H163" s="1822"/>
      <c r="I163" s="1822"/>
      <c r="J163" s="1822"/>
      <c r="K163" s="1822"/>
      <c r="L163" s="1822"/>
      <c r="M163" s="1822"/>
      <c r="N163" s="1827"/>
      <c r="V163" s="674"/>
      <c r="W163" s="675"/>
      <c r="X163" s="537" t="s">
        <v>1896</v>
      </c>
      <c r="AC163" s="675"/>
      <c r="AD163" s="680"/>
      <c r="AE163" s="675"/>
      <c r="AG163" s="675"/>
    </row>
    <row r="164" spans="1:33" s="536" customFormat="1" ht="22.5" x14ac:dyDescent="0.2">
      <c r="A164" s="575" t="s">
        <v>196</v>
      </c>
      <c r="B164" s="657" t="s">
        <v>1164</v>
      </c>
      <c r="C164" s="1823" t="s">
        <v>1165</v>
      </c>
      <c r="D164" s="1823"/>
      <c r="E164" s="1823"/>
      <c r="F164" s="573" t="s">
        <v>862</v>
      </c>
      <c r="G164" s="573"/>
      <c r="H164" s="573"/>
      <c r="I164" s="573" t="s">
        <v>1891</v>
      </c>
      <c r="J164" s="572"/>
      <c r="K164" s="573"/>
      <c r="L164" s="572"/>
      <c r="M164" s="571"/>
      <c r="N164" s="570"/>
      <c r="V164" s="674"/>
      <c r="W164" s="675" t="s">
        <v>1165</v>
      </c>
      <c r="AC164" s="675"/>
      <c r="AD164" s="680"/>
      <c r="AE164" s="675"/>
      <c r="AG164" s="675"/>
    </row>
    <row r="165" spans="1:33" s="536" customFormat="1" ht="12" x14ac:dyDescent="0.2">
      <c r="A165" s="676"/>
      <c r="B165" s="655"/>
      <c r="C165" s="1822" t="s">
        <v>1892</v>
      </c>
      <c r="D165" s="1822"/>
      <c r="E165" s="1822"/>
      <c r="F165" s="1822"/>
      <c r="G165" s="1822"/>
      <c r="H165" s="1822"/>
      <c r="I165" s="1822"/>
      <c r="J165" s="1822"/>
      <c r="K165" s="1822"/>
      <c r="L165" s="1822"/>
      <c r="M165" s="1822"/>
      <c r="N165" s="1827"/>
      <c r="V165" s="674"/>
      <c r="W165" s="675"/>
      <c r="X165" s="537" t="s">
        <v>1892</v>
      </c>
      <c r="AC165" s="675"/>
      <c r="AD165" s="680"/>
      <c r="AE165" s="675"/>
      <c r="AG165" s="675"/>
    </row>
    <row r="166" spans="1:33" s="536" customFormat="1" ht="33.75" x14ac:dyDescent="0.2">
      <c r="A166" s="609"/>
      <c r="B166" s="552" t="s">
        <v>310</v>
      </c>
      <c r="C166" s="1822" t="s">
        <v>311</v>
      </c>
      <c r="D166" s="1822"/>
      <c r="E166" s="1822"/>
      <c r="F166" s="1822"/>
      <c r="G166" s="1822"/>
      <c r="H166" s="1822"/>
      <c r="I166" s="1822"/>
      <c r="J166" s="1822"/>
      <c r="K166" s="1822"/>
      <c r="L166" s="1822"/>
      <c r="M166" s="1822"/>
      <c r="N166" s="1827"/>
      <c r="V166" s="674"/>
      <c r="W166" s="675"/>
      <c r="Y166" s="537" t="s">
        <v>311</v>
      </c>
      <c r="AC166" s="675"/>
      <c r="AD166" s="680"/>
      <c r="AE166" s="675"/>
      <c r="AG166" s="675"/>
    </row>
    <row r="167" spans="1:33" s="536" customFormat="1" ht="12" x14ac:dyDescent="0.2">
      <c r="A167" s="605"/>
      <c r="B167" s="552" t="s">
        <v>185</v>
      </c>
      <c r="C167" s="1822" t="s">
        <v>312</v>
      </c>
      <c r="D167" s="1822"/>
      <c r="E167" s="1822"/>
      <c r="F167" s="562"/>
      <c r="G167" s="562"/>
      <c r="H167" s="562"/>
      <c r="I167" s="562"/>
      <c r="J167" s="604">
        <v>478.71</v>
      </c>
      <c r="K167" s="562" t="s">
        <v>313</v>
      </c>
      <c r="L167" s="604">
        <v>1504.65</v>
      </c>
      <c r="M167" s="603"/>
      <c r="N167" s="602"/>
      <c r="V167" s="674"/>
      <c r="W167" s="675"/>
      <c r="Z167" s="537" t="s">
        <v>312</v>
      </c>
      <c r="AC167" s="675"/>
      <c r="AD167" s="680"/>
      <c r="AE167" s="675"/>
      <c r="AG167" s="675"/>
    </row>
    <row r="168" spans="1:33" s="536" customFormat="1" ht="12" x14ac:dyDescent="0.2">
      <c r="A168" s="605"/>
      <c r="B168" s="552" t="s">
        <v>186</v>
      </c>
      <c r="C168" s="1822" t="s">
        <v>344</v>
      </c>
      <c r="D168" s="1822"/>
      <c r="E168" s="1822"/>
      <c r="F168" s="562"/>
      <c r="G168" s="562"/>
      <c r="H168" s="562"/>
      <c r="I168" s="562"/>
      <c r="J168" s="604">
        <v>1.82</v>
      </c>
      <c r="K168" s="562" t="s">
        <v>313</v>
      </c>
      <c r="L168" s="604">
        <v>5.72</v>
      </c>
      <c r="M168" s="603"/>
      <c r="N168" s="602"/>
      <c r="V168" s="674"/>
      <c r="W168" s="675"/>
      <c r="Z168" s="537" t="s">
        <v>344</v>
      </c>
      <c r="AC168" s="675"/>
      <c r="AD168" s="680"/>
      <c r="AE168" s="675"/>
      <c r="AG168" s="675"/>
    </row>
    <row r="169" spans="1:33" s="536" customFormat="1" ht="12" x14ac:dyDescent="0.2">
      <c r="A169" s="605"/>
      <c r="B169" s="552" t="s">
        <v>187</v>
      </c>
      <c r="C169" s="1822" t="s">
        <v>345</v>
      </c>
      <c r="D169" s="1822"/>
      <c r="E169" s="1822"/>
      <c r="F169" s="562"/>
      <c r="G169" s="562"/>
      <c r="H169" s="562"/>
      <c r="I169" s="562"/>
      <c r="J169" s="604">
        <v>0.28999999999999998</v>
      </c>
      <c r="K169" s="562" t="s">
        <v>313</v>
      </c>
      <c r="L169" s="604">
        <v>0.91</v>
      </c>
      <c r="M169" s="603"/>
      <c r="N169" s="602"/>
      <c r="V169" s="674"/>
      <c r="W169" s="675"/>
      <c r="Z169" s="537" t="s">
        <v>345</v>
      </c>
      <c r="AC169" s="675"/>
      <c r="AD169" s="680"/>
      <c r="AE169" s="675"/>
      <c r="AG169" s="675"/>
    </row>
    <row r="170" spans="1:33" s="536" customFormat="1" ht="12" x14ac:dyDescent="0.2">
      <c r="A170" s="605"/>
      <c r="B170" s="552" t="s">
        <v>188</v>
      </c>
      <c r="C170" s="1822" t="s">
        <v>475</v>
      </c>
      <c r="D170" s="1822"/>
      <c r="E170" s="1822"/>
      <c r="F170" s="562"/>
      <c r="G170" s="562"/>
      <c r="H170" s="562"/>
      <c r="I170" s="562"/>
      <c r="J170" s="604">
        <v>3877.59</v>
      </c>
      <c r="K170" s="562"/>
      <c r="L170" s="604">
        <v>6173.2</v>
      </c>
      <c r="M170" s="603"/>
      <c r="N170" s="602"/>
      <c r="V170" s="674"/>
      <c r="W170" s="675"/>
      <c r="Z170" s="537" t="s">
        <v>475</v>
      </c>
      <c r="AC170" s="675"/>
      <c r="AD170" s="680"/>
      <c r="AE170" s="675"/>
      <c r="AG170" s="675"/>
    </row>
    <row r="171" spans="1:33" s="536" customFormat="1" ht="22.5" x14ac:dyDescent="0.2">
      <c r="A171" s="605"/>
      <c r="B171" s="552"/>
      <c r="C171" s="1822" t="s">
        <v>314</v>
      </c>
      <c r="D171" s="1822"/>
      <c r="E171" s="1822"/>
      <c r="F171" s="562" t="s">
        <v>315</v>
      </c>
      <c r="G171" s="562" t="s">
        <v>1167</v>
      </c>
      <c r="H171" s="562" t="s">
        <v>313</v>
      </c>
      <c r="I171" s="562" t="s">
        <v>1897</v>
      </c>
      <c r="J171" s="604"/>
      <c r="K171" s="562"/>
      <c r="L171" s="604"/>
      <c r="M171" s="603"/>
      <c r="N171" s="602"/>
      <c r="V171" s="674"/>
      <c r="W171" s="675"/>
      <c r="AA171" s="537" t="s">
        <v>314</v>
      </c>
      <c r="AC171" s="675"/>
      <c r="AD171" s="680"/>
      <c r="AE171" s="675"/>
      <c r="AG171" s="675"/>
    </row>
    <row r="172" spans="1:33" s="536" customFormat="1" ht="12" x14ac:dyDescent="0.2">
      <c r="A172" s="605"/>
      <c r="B172" s="552"/>
      <c r="C172" s="1822" t="s">
        <v>348</v>
      </c>
      <c r="D172" s="1822"/>
      <c r="E172" s="1822"/>
      <c r="F172" s="562" t="s">
        <v>315</v>
      </c>
      <c r="G172" s="562" t="s">
        <v>695</v>
      </c>
      <c r="H172" s="562" t="s">
        <v>313</v>
      </c>
      <c r="I172" s="562" t="s">
        <v>1898</v>
      </c>
      <c r="J172" s="604"/>
      <c r="K172" s="562"/>
      <c r="L172" s="604"/>
      <c r="M172" s="603"/>
      <c r="N172" s="602"/>
      <c r="V172" s="674"/>
      <c r="W172" s="675"/>
      <c r="AA172" s="537" t="s">
        <v>348</v>
      </c>
      <c r="AC172" s="675"/>
      <c r="AD172" s="680"/>
      <c r="AE172" s="675"/>
      <c r="AG172" s="675"/>
    </row>
    <row r="173" spans="1:33" s="536" customFormat="1" ht="12" x14ac:dyDescent="0.2">
      <c r="A173" s="605"/>
      <c r="B173" s="552"/>
      <c r="C173" s="1828" t="s">
        <v>318</v>
      </c>
      <c r="D173" s="1828"/>
      <c r="E173" s="1828"/>
      <c r="F173" s="608"/>
      <c r="G173" s="608"/>
      <c r="H173" s="608"/>
      <c r="I173" s="608"/>
      <c r="J173" s="607">
        <v>2935.57</v>
      </c>
      <c r="K173" s="608"/>
      <c r="L173" s="607">
        <v>7683.57</v>
      </c>
      <c r="M173" s="601"/>
      <c r="N173" s="606"/>
      <c r="V173" s="674"/>
      <c r="W173" s="675"/>
      <c r="AB173" s="537" t="s">
        <v>318</v>
      </c>
      <c r="AC173" s="675"/>
      <c r="AD173" s="680"/>
      <c r="AE173" s="675"/>
      <c r="AG173" s="675"/>
    </row>
    <row r="174" spans="1:33" s="536" customFormat="1" ht="12" x14ac:dyDescent="0.2">
      <c r="A174" s="605"/>
      <c r="B174" s="552"/>
      <c r="C174" s="1822" t="s">
        <v>319</v>
      </c>
      <c r="D174" s="1822"/>
      <c r="E174" s="1822"/>
      <c r="F174" s="562"/>
      <c r="G174" s="562"/>
      <c r="H174" s="562"/>
      <c r="I174" s="562"/>
      <c r="J174" s="604"/>
      <c r="K174" s="562"/>
      <c r="L174" s="604">
        <v>1505.56</v>
      </c>
      <c r="M174" s="603"/>
      <c r="N174" s="602"/>
      <c r="V174" s="674"/>
      <c r="W174" s="675"/>
      <c r="AA174" s="537" t="s">
        <v>319</v>
      </c>
      <c r="AC174" s="675"/>
      <c r="AD174" s="680"/>
      <c r="AE174" s="675"/>
      <c r="AG174" s="675"/>
    </row>
    <row r="175" spans="1:33" s="536" customFormat="1" ht="33.75" x14ac:dyDescent="0.2">
      <c r="A175" s="605"/>
      <c r="B175" s="552" t="s">
        <v>1155</v>
      </c>
      <c r="C175" s="1822" t="s">
        <v>1156</v>
      </c>
      <c r="D175" s="1822"/>
      <c r="E175" s="1822"/>
      <c r="F175" s="562" t="s">
        <v>322</v>
      </c>
      <c r="G175" s="562" t="s">
        <v>1157</v>
      </c>
      <c r="H175" s="562"/>
      <c r="I175" s="562" t="s">
        <v>1157</v>
      </c>
      <c r="J175" s="604"/>
      <c r="K175" s="562"/>
      <c r="L175" s="604">
        <v>1641.06</v>
      </c>
      <c r="M175" s="603"/>
      <c r="N175" s="602"/>
      <c r="V175" s="674"/>
      <c r="W175" s="675"/>
      <c r="AA175" s="537" t="s">
        <v>1156</v>
      </c>
      <c r="AC175" s="675"/>
      <c r="AD175" s="680"/>
      <c r="AE175" s="675"/>
      <c r="AG175" s="675"/>
    </row>
    <row r="176" spans="1:33" s="536" customFormat="1" ht="33.75" x14ac:dyDescent="0.2">
      <c r="A176" s="605"/>
      <c r="B176" s="552" t="s">
        <v>1158</v>
      </c>
      <c r="C176" s="1822" t="s">
        <v>1159</v>
      </c>
      <c r="D176" s="1822"/>
      <c r="E176" s="1822"/>
      <c r="F176" s="562" t="s">
        <v>322</v>
      </c>
      <c r="G176" s="562" t="s">
        <v>791</v>
      </c>
      <c r="H176" s="562"/>
      <c r="I176" s="562" t="s">
        <v>791</v>
      </c>
      <c r="J176" s="604"/>
      <c r="K176" s="562"/>
      <c r="L176" s="604">
        <v>858.17</v>
      </c>
      <c r="M176" s="603"/>
      <c r="N176" s="602"/>
      <c r="V176" s="674"/>
      <c r="W176" s="675"/>
      <c r="AA176" s="537" t="s">
        <v>1159</v>
      </c>
      <c r="AC176" s="675"/>
      <c r="AD176" s="680"/>
      <c r="AE176" s="675"/>
      <c r="AG176" s="675"/>
    </row>
    <row r="177" spans="1:34" s="536" customFormat="1" ht="12" x14ac:dyDescent="0.2">
      <c r="A177" s="569"/>
      <c r="B177" s="656"/>
      <c r="C177" s="1823" t="s">
        <v>327</v>
      </c>
      <c r="D177" s="1823"/>
      <c r="E177" s="1823"/>
      <c r="F177" s="573"/>
      <c r="G177" s="573"/>
      <c r="H177" s="573"/>
      <c r="I177" s="573"/>
      <c r="J177" s="572"/>
      <c r="K177" s="573"/>
      <c r="L177" s="572">
        <v>10182.799999999999</v>
      </c>
      <c r="M177" s="601"/>
      <c r="N177" s="570"/>
      <c r="V177" s="674"/>
      <c r="W177" s="675"/>
      <c r="AC177" s="675" t="s">
        <v>327</v>
      </c>
      <c r="AD177" s="680"/>
      <c r="AE177" s="675"/>
      <c r="AG177" s="675"/>
    </row>
    <row r="178" spans="1:34" s="536" customFormat="1" ht="33.75" x14ac:dyDescent="0.2">
      <c r="A178" s="575" t="s">
        <v>197</v>
      </c>
      <c r="B178" s="657" t="s">
        <v>1899</v>
      </c>
      <c r="C178" s="1823" t="s">
        <v>1171</v>
      </c>
      <c r="D178" s="1823"/>
      <c r="E178" s="1823"/>
      <c r="F178" s="573" t="s">
        <v>865</v>
      </c>
      <c r="G178" s="573"/>
      <c r="H178" s="573"/>
      <c r="I178" s="573" t="s">
        <v>1900</v>
      </c>
      <c r="J178" s="572">
        <v>82.25</v>
      </c>
      <c r="K178" s="573" t="s">
        <v>716</v>
      </c>
      <c r="L178" s="572">
        <v>2915.87</v>
      </c>
      <c r="M178" s="571">
        <v>8.32</v>
      </c>
      <c r="N178" s="570">
        <v>24260</v>
      </c>
      <c r="V178" s="674"/>
      <c r="W178" s="675" t="s">
        <v>1171</v>
      </c>
      <c r="AC178" s="675"/>
      <c r="AD178" s="680"/>
      <c r="AE178" s="675"/>
      <c r="AG178" s="675"/>
    </row>
    <row r="179" spans="1:34" s="536" customFormat="1" ht="12" x14ac:dyDescent="0.2">
      <c r="A179" s="569"/>
      <c r="B179" s="656"/>
      <c r="C179" s="661" t="s">
        <v>1173</v>
      </c>
      <c r="D179" s="662"/>
      <c r="E179" s="662"/>
      <c r="F179" s="563"/>
      <c r="G179" s="563"/>
      <c r="H179" s="563"/>
      <c r="I179" s="563"/>
      <c r="J179" s="566"/>
      <c r="K179" s="563"/>
      <c r="L179" s="566"/>
      <c r="M179" s="565"/>
      <c r="N179" s="564"/>
      <c r="V179" s="674"/>
      <c r="W179" s="675"/>
      <c r="AC179" s="675"/>
      <c r="AD179" s="680"/>
      <c r="AE179" s="675"/>
      <c r="AG179" s="675"/>
    </row>
    <row r="180" spans="1:34" s="536" customFormat="1" ht="12" x14ac:dyDescent="0.2">
      <c r="A180" s="676"/>
      <c r="B180" s="655"/>
      <c r="C180" s="1822" t="s">
        <v>8096</v>
      </c>
      <c r="D180" s="1822"/>
      <c r="E180" s="1822"/>
      <c r="F180" s="1822"/>
      <c r="G180" s="1822"/>
      <c r="H180" s="1822"/>
      <c r="I180" s="1822"/>
      <c r="J180" s="1822"/>
      <c r="K180" s="1822"/>
      <c r="L180" s="1822"/>
      <c r="M180" s="1822"/>
      <c r="N180" s="1827"/>
      <c r="V180" s="674"/>
      <c r="W180" s="675"/>
      <c r="AC180" s="675"/>
      <c r="AD180" s="680"/>
      <c r="AE180" s="675"/>
      <c r="AG180" s="675"/>
      <c r="AH180" s="537" t="s">
        <v>8096</v>
      </c>
    </row>
    <row r="181" spans="1:34" s="536" customFormat="1" ht="22.5" x14ac:dyDescent="0.2">
      <c r="A181" s="609"/>
      <c r="B181" s="552" t="s">
        <v>718</v>
      </c>
      <c r="C181" s="1822" t="s">
        <v>719</v>
      </c>
      <c r="D181" s="1822"/>
      <c r="E181" s="1822"/>
      <c r="F181" s="1822"/>
      <c r="G181" s="1822"/>
      <c r="H181" s="1822"/>
      <c r="I181" s="1822"/>
      <c r="J181" s="1822"/>
      <c r="K181" s="1822"/>
      <c r="L181" s="1822"/>
      <c r="M181" s="1822"/>
      <c r="N181" s="1827"/>
      <c r="V181" s="674"/>
      <c r="W181" s="675"/>
      <c r="Y181" s="537" t="s">
        <v>719</v>
      </c>
      <c r="AC181" s="675"/>
      <c r="AD181" s="680"/>
      <c r="AE181" s="675"/>
      <c r="AG181" s="675"/>
    </row>
    <row r="182" spans="1:34" s="536" customFormat="1" ht="12" x14ac:dyDescent="0.2">
      <c r="A182" s="575" t="s">
        <v>198</v>
      </c>
      <c r="B182" s="657" t="s">
        <v>1175</v>
      </c>
      <c r="C182" s="1823" t="s">
        <v>1176</v>
      </c>
      <c r="D182" s="1823"/>
      <c r="E182" s="1823"/>
      <c r="F182" s="573" t="s">
        <v>1110</v>
      </c>
      <c r="G182" s="573"/>
      <c r="H182" s="573"/>
      <c r="I182" s="573" t="s">
        <v>1901</v>
      </c>
      <c r="J182" s="572"/>
      <c r="K182" s="573"/>
      <c r="L182" s="572"/>
      <c r="M182" s="571"/>
      <c r="N182" s="570"/>
      <c r="V182" s="674"/>
      <c r="W182" s="675" t="s">
        <v>1176</v>
      </c>
      <c r="AC182" s="675"/>
      <c r="AD182" s="680"/>
      <c r="AE182" s="675"/>
      <c r="AG182" s="675"/>
    </row>
    <row r="183" spans="1:34" s="536" customFormat="1" ht="12" x14ac:dyDescent="0.2">
      <c r="A183" s="676"/>
      <c r="B183" s="655"/>
      <c r="C183" s="1822" t="s">
        <v>1902</v>
      </c>
      <c r="D183" s="1822"/>
      <c r="E183" s="1822"/>
      <c r="F183" s="1822"/>
      <c r="G183" s="1822"/>
      <c r="H183" s="1822"/>
      <c r="I183" s="1822"/>
      <c r="J183" s="1822"/>
      <c r="K183" s="1822"/>
      <c r="L183" s="1822"/>
      <c r="M183" s="1822"/>
      <c r="N183" s="1827"/>
      <c r="V183" s="674"/>
      <c r="W183" s="675"/>
      <c r="X183" s="537" t="s">
        <v>1902</v>
      </c>
      <c r="AC183" s="675"/>
      <c r="AD183" s="680"/>
      <c r="AE183" s="675"/>
      <c r="AG183" s="675"/>
    </row>
    <row r="184" spans="1:34" s="536" customFormat="1" ht="33.75" x14ac:dyDescent="0.2">
      <c r="A184" s="609"/>
      <c r="B184" s="552" t="s">
        <v>310</v>
      </c>
      <c r="C184" s="1822" t="s">
        <v>311</v>
      </c>
      <c r="D184" s="1822"/>
      <c r="E184" s="1822"/>
      <c r="F184" s="1822"/>
      <c r="G184" s="1822"/>
      <c r="H184" s="1822"/>
      <c r="I184" s="1822"/>
      <c r="J184" s="1822"/>
      <c r="K184" s="1822"/>
      <c r="L184" s="1822"/>
      <c r="M184" s="1822"/>
      <c r="N184" s="1827"/>
      <c r="V184" s="674"/>
      <c r="W184" s="675"/>
      <c r="Y184" s="537" t="s">
        <v>311</v>
      </c>
      <c r="AC184" s="675"/>
      <c r="AD184" s="680"/>
      <c r="AE184" s="675"/>
      <c r="AG184" s="675"/>
    </row>
    <row r="185" spans="1:34" s="536" customFormat="1" ht="12" x14ac:dyDescent="0.2">
      <c r="A185" s="605"/>
      <c r="B185" s="552" t="s">
        <v>185</v>
      </c>
      <c r="C185" s="1822" t="s">
        <v>312</v>
      </c>
      <c r="D185" s="1822"/>
      <c r="E185" s="1822"/>
      <c r="F185" s="562"/>
      <c r="G185" s="562"/>
      <c r="H185" s="562"/>
      <c r="I185" s="562"/>
      <c r="J185" s="604">
        <v>237.13</v>
      </c>
      <c r="K185" s="562" t="s">
        <v>313</v>
      </c>
      <c r="L185" s="604">
        <v>44.46</v>
      </c>
      <c r="M185" s="603"/>
      <c r="N185" s="602"/>
      <c r="V185" s="674"/>
      <c r="W185" s="675"/>
      <c r="Z185" s="537" t="s">
        <v>312</v>
      </c>
      <c r="AC185" s="675"/>
      <c r="AD185" s="680"/>
      <c r="AE185" s="675"/>
      <c r="AG185" s="675"/>
    </row>
    <row r="186" spans="1:34" s="536" customFormat="1" ht="12" x14ac:dyDescent="0.2">
      <c r="A186" s="605"/>
      <c r="B186" s="552" t="s">
        <v>186</v>
      </c>
      <c r="C186" s="1822" t="s">
        <v>344</v>
      </c>
      <c r="D186" s="1822"/>
      <c r="E186" s="1822"/>
      <c r="F186" s="562"/>
      <c r="G186" s="562"/>
      <c r="H186" s="562"/>
      <c r="I186" s="562"/>
      <c r="J186" s="604">
        <v>21.18</v>
      </c>
      <c r="K186" s="562" t="s">
        <v>313</v>
      </c>
      <c r="L186" s="604">
        <v>3.97</v>
      </c>
      <c r="M186" s="603"/>
      <c r="N186" s="602"/>
      <c r="V186" s="674"/>
      <c r="W186" s="675"/>
      <c r="Z186" s="537" t="s">
        <v>344</v>
      </c>
      <c r="AC186" s="675"/>
      <c r="AD186" s="680"/>
      <c r="AE186" s="675"/>
      <c r="AG186" s="675"/>
    </row>
    <row r="187" spans="1:34" s="536" customFormat="1" ht="12" x14ac:dyDescent="0.2">
      <c r="A187" s="605"/>
      <c r="B187" s="552" t="s">
        <v>187</v>
      </c>
      <c r="C187" s="1822" t="s">
        <v>345</v>
      </c>
      <c r="D187" s="1822"/>
      <c r="E187" s="1822"/>
      <c r="F187" s="562"/>
      <c r="G187" s="562"/>
      <c r="H187" s="562"/>
      <c r="I187" s="562"/>
      <c r="J187" s="604">
        <v>3.21</v>
      </c>
      <c r="K187" s="562" t="s">
        <v>313</v>
      </c>
      <c r="L187" s="604">
        <v>0.6</v>
      </c>
      <c r="M187" s="603"/>
      <c r="N187" s="602"/>
      <c r="V187" s="674"/>
      <c r="W187" s="675"/>
      <c r="Z187" s="537" t="s">
        <v>345</v>
      </c>
      <c r="AC187" s="675"/>
      <c r="AD187" s="680"/>
      <c r="AE187" s="675"/>
      <c r="AG187" s="675"/>
    </row>
    <row r="188" spans="1:34" s="536" customFormat="1" ht="12" x14ac:dyDescent="0.2">
      <c r="A188" s="605"/>
      <c r="B188" s="552" t="s">
        <v>188</v>
      </c>
      <c r="C188" s="1822" t="s">
        <v>475</v>
      </c>
      <c r="D188" s="1822"/>
      <c r="E188" s="1822"/>
      <c r="F188" s="562"/>
      <c r="G188" s="562"/>
      <c r="H188" s="562"/>
      <c r="I188" s="562"/>
      <c r="J188" s="604">
        <v>5089.63</v>
      </c>
      <c r="K188" s="562"/>
      <c r="L188" s="604">
        <v>6.83</v>
      </c>
      <c r="M188" s="603"/>
      <c r="N188" s="602"/>
      <c r="V188" s="674"/>
      <c r="W188" s="675"/>
      <c r="Z188" s="537" t="s">
        <v>475</v>
      </c>
      <c r="AC188" s="675"/>
      <c r="AD188" s="680"/>
      <c r="AE188" s="675"/>
      <c r="AG188" s="675"/>
    </row>
    <row r="189" spans="1:34" s="536" customFormat="1" ht="12" x14ac:dyDescent="0.2">
      <c r="A189" s="605"/>
      <c r="B189" s="552"/>
      <c r="C189" s="1822" t="s">
        <v>314</v>
      </c>
      <c r="D189" s="1822"/>
      <c r="E189" s="1822"/>
      <c r="F189" s="562" t="s">
        <v>315</v>
      </c>
      <c r="G189" s="562" t="s">
        <v>1179</v>
      </c>
      <c r="H189" s="562" t="s">
        <v>313</v>
      </c>
      <c r="I189" s="562" t="s">
        <v>1903</v>
      </c>
      <c r="J189" s="604"/>
      <c r="K189" s="562"/>
      <c r="L189" s="604"/>
      <c r="M189" s="603"/>
      <c r="N189" s="602"/>
      <c r="V189" s="674"/>
      <c r="W189" s="675"/>
      <c r="AA189" s="537" t="s">
        <v>314</v>
      </c>
      <c r="AC189" s="675"/>
      <c r="AD189" s="680"/>
      <c r="AE189" s="675"/>
      <c r="AG189" s="675"/>
    </row>
    <row r="190" spans="1:34" s="536" customFormat="1" ht="12" x14ac:dyDescent="0.2">
      <c r="A190" s="605"/>
      <c r="B190" s="552"/>
      <c r="C190" s="1822" t="s">
        <v>348</v>
      </c>
      <c r="D190" s="1822"/>
      <c r="E190" s="1822"/>
      <c r="F190" s="562" t="s">
        <v>315</v>
      </c>
      <c r="G190" s="562" t="s">
        <v>1181</v>
      </c>
      <c r="H190" s="562" t="s">
        <v>313</v>
      </c>
      <c r="I190" s="562" t="s">
        <v>1904</v>
      </c>
      <c r="J190" s="604"/>
      <c r="K190" s="562"/>
      <c r="L190" s="604"/>
      <c r="M190" s="603"/>
      <c r="N190" s="602"/>
      <c r="V190" s="674"/>
      <c r="W190" s="675"/>
      <c r="AA190" s="537" t="s">
        <v>348</v>
      </c>
      <c r="AC190" s="675"/>
      <c r="AD190" s="680"/>
      <c r="AE190" s="675"/>
      <c r="AG190" s="675"/>
    </row>
    <row r="191" spans="1:34" s="536" customFormat="1" ht="12" x14ac:dyDescent="0.2">
      <c r="A191" s="605"/>
      <c r="B191" s="552"/>
      <c r="C191" s="1828" t="s">
        <v>318</v>
      </c>
      <c r="D191" s="1828"/>
      <c r="E191" s="1828"/>
      <c r="F191" s="608"/>
      <c r="G191" s="608"/>
      <c r="H191" s="608"/>
      <c r="I191" s="608"/>
      <c r="J191" s="607">
        <v>303.83</v>
      </c>
      <c r="K191" s="608"/>
      <c r="L191" s="607">
        <v>55.26</v>
      </c>
      <c r="M191" s="601"/>
      <c r="N191" s="606"/>
      <c r="V191" s="674"/>
      <c r="W191" s="675"/>
      <c r="AB191" s="537" t="s">
        <v>318</v>
      </c>
      <c r="AC191" s="675"/>
      <c r="AD191" s="680"/>
      <c r="AE191" s="675"/>
      <c r="AG191" s="675"/>
    </row>
    <row r="192" spans="1:34" s="536" customFormat="1" ht="12" x14ac:dyDescent="0.2">
      <c r="A192" s="605"/>
      <c r="B192" s="552"/>
      <c r="C192" s="1822" t="s">
        <v>319</v>
      </c>
      <c r="D192" s="1822"/>
      <c r="E192" s="1822"/>
      <c r="F192" s="562"/>
      <c r="G192" s="562"/>
      <c r="H192" s="562"/>
      <c r="I192" s="562"/>
      <c r="J192" s="604"/>
      <c r="K192" s="562"/>
      <c r="L192" s="604">
        <v>45.06</v>
      </c>
      <c r="M192" s="603"/>
      <c r="N192" s="602"/>
      <c r="V192" s="674"/>
      <c r="W192" s="675"/>
      <c r="AA192" s="537" t="s">
        <v>319</v>
      </c>
      <c r="AC192" s="675"/>
      <c r="AD192" s="680"/>
      <c r="AE192" s="675"/>
      <c r="AG192" s="675"/>
    </row>
    <row r="193" spans="1:34" s="536" customFormat="1" ht="33.75" x14ac:dyDescent="0.2">
      <c r="A193" s="605"/>
      <c r="B193" s="552" t="s">
        <v>1155</v>
      </c>
      <c r="C193" s="1822" t="s">
        <v>1156</v>
      </c>
      <c r="D193" s="1822"/>
      <c r="E193" s="1822"/>
      <c r="F193" s="562" t="s">
        <v>322</v>
      </c>
      <c r="G193" s="562" t="s">
        <v>1157</v>
      </c>
      <c r="H193" s="562"/>
      <c r="I193" s="562" t="s">
        <v>1157</v>
      </c>
      <c r="J193" s="604"/>
      <c r="K193" s="562"/>
      <c r="L193" s="604">
        <v>49.12</v>
      </c>
      <c r="M193" s="603"/>
      <c r="N193" s="602"/>
      <c r="V193" s="674"/>
      <c r="W193" s="675"/>
      <c r="AA193" s="537" t="s">
        <v>1156</v>
      </c>
      <c r="AC193" s="675"/>
      <c r="AD193" s="680"/>
      <c r="AE193" s="675"/>
      <c r="AG193" s="675"/>
    </row>
    <row r="194" spans="1:34" s="536" customFormat="1" ht="33.75" x14ac:dyDescent="0.2">
      <c r="A194" s="605"/>
      <c r="B194" s="552" t="s">
        <v>1158</v>
      </c>
      <c r="C194" s="1822" t="s">
        <v>1159</v>
      </c>
      <c r="D194" s="1822"/>
      <c r="E194" s="1822"/>
      <c r="F194" s="562" t="s">
        <v>322</v>
      </c>
      <c r="G194" s="562" t="s">
        <v>791</v>
      </c>
      <c r="H194" s="562"/>
      <c r="I194" s="562" t="s">
        <v>791</v>
      </c>
      <c r="J194" s="604"/>
      <c r="K194" s="562"/>
      <c r="L194" s="604">
        <v>25.68</v>
      </c>
      <c r="M194" s="603"/>
      <c r="N194" s="602"/>
      <c r="V194" s="674"/>
      <c r="W194" s="675"/>
      <c r="AA194" s="537" t="s">
        <v>1159</v>
      </c>
      <c r="AC194" s="675"/>
      <c r="AD194" s="680"/>
      <c r="AE194" s="675"/>
      <c r="AG194" s="675"/>
    </row>
    <row r="195" spans="1:34" s="536" customFormat="1" ht="12" x14ac:dyDescent="0.2">
      <c r="A195" s="569"/>
      <c r="B195" s="656"/>
      <c r="C195" s="1823" t="s">
        <v>327</v>
      </c>
      <c r="D195" s="1823"/>
      <c r="E195" s="1823"/>
      <c r="F195" s="573"/>
      <c r="G195" s="573"/>
      <c r="H195" s="573"/>
      <c r="I195" s="573"/>
      <c r="J195" s="572"/>
      <c r="K195" s="573"/>
      <c r="L195" s="572">
        <v>130.06</v>
      </c>
      <c r="M195" s="601"/>
      <c r="N195" s="570"/>
      <c r="V195" s="674"/>
      <c r="W195" s="675"/>
      <c r="AC195" s="675" t="s">
        <v>327</v>
      </c>
      <c r="AD195" s="680"/>
      <c r="AE195" s="675"/>
      <c r="AG195" s="675"/>
    </row>
    <row r="196" spans="1:34" s="536" customFormat="1" ht="45" x14ac:dyDescent="0.2">
      <c r="A196" s="575" t="s">
        <v>199</v>
      </c>
      <c r="B196" s="657" t="s">
        <v>1183</v>
      </c>
      <c r="C196" s="1823" t="s">
        <v>1184</v>
      </c>
      <c r="D196" s="1823"/>
      <c r="E196" s="1823"/>
      <c r="F196" s="573" t="s">
        <v>617</v>
      </c>
      <c r="G196" s="573"/>
      <c r="H196" s="573"/>
      <c r="I196" s="573" t="s">
        <v>189</v>
      </c>
      <c r="J196" s="572">
        <v>271.07</v>
      </c>
      <c r="K196" s="573"/>
      <c r="L196" s="572">
        <v>1355.35</v>
      </c>
      <c r="M196" s="571"/>
      <c r="N196" s="570"/>
      <c r="V196" s="674"/>
      <c r="W196" s="675" t="s">
        <v>1184</v>
      </c>
      <c r="AC196" s="675"/>
      <c r="AD196" s="680"/>
      <c r="AE196" s="675"/>
      <c r="AG196" s="675"/>
    </row>
    <row r="197" spans="1:34" s="536" customFormat="1" ht="12" x14ac:dyDescent="0.2">
      <c r="A197" s="569"/>
      <c r="B197" s="656"/>
      <c r="C197" s="661" t="s">
        <v>717</v>
      </c>
      <c r="D197" s="662"/>
      <c r="E197" s="662"/>
      <c r="F197" s="563"/>
      <c r="G197" s="563"/>
      <c r="H197" s="563"/>
      <c r="I197" s="563"/>
      <c r="J197" s="566"/>
      <c r="K197" s="563"/>
      <c r="L197" s="566"/>
      <c r="M197" s="565"/>
      <c r="N197" s="564"/>
      <c r="V197" s="674"/>
      <c r="W197" s="675"/>
      <c r="AC197" s="675"/>
      <c r="AD197" s="680"/>
      <c r="AE197" s="675"/>
      <c r="AG197" s="675"/>
    </row>
    <row r="198" spans="1:34" s="536" customFormat="1" ht="33.75" x14ac:dyDescent="0.2">
      <c r="A198" s="575" t="s">
        <v>200</v>
      </c>
      <c r="B198" s="657" t="s">
        <v>1186</v>
      </c>
      <c r="C198" s="1823" t="s">
        <v>1905</v>
      </c>
      <c r="D198" s="1823"/>
      <c r="E198" s="1823"/>
      <c r="F198" s="573" t="s">
        <v>617</v>
      </c>
      <c r="G198" s="573"/>
      <c r="H198" s="573"/>
      <c r="I198" s="573" t="s">
        <v>187</v>
      </c>
      <c r="J198" s="572">
        <v>46.98</v>
      </c>
      <c r="K198" s="573"/>
      <c r="L198" s="572">
        <v>140.94</v>
      </c>
      <c r="M198" s="571"/>
      <c r="N198" s="570"/>
      <c r="V198" s="674"/>
      <c r="W198" s="675" t="s">
        <v>1905</v>
      </c>
      <c r="AC198" s="675"/>
      <c r="AD198" s="680"/>
      <c r="AE198" s="675"/>
      <c r="AG198" s="675"/>
    </row>
    <row r="199" spans="1:34" s="536" customFormat="1" ht="12" x14ac:dyDescent="0.2">
      <c r="A199" s="569"/>
      <c r="B199" s="656"/>
      <c r="C199" s="661" t="s">
        <v>717</v>
      </c>
      <c r="D199" s="662"/>
      <c r="E199" s="662"/>
      <c r="F199" s="563"/>
      <c r="G199" s="563"/>
      <c r="H199" s="563"/>
      <c r="I199" s="563"/>
      <c r="J199" s="566"/>
      <c r="K199" s="563"/>
      <c r="L199" s="566"/>
      <c r="M199" s="565"/>
      <c r="N199" s="564"/>
      <c r="V199" s="674"/>
      <c r="W199" s="675"/>
      <c r="AC199" s="675"/>
      <c r="AD199" s="680"/>
      <c r="AE199" s="675"/>
      <c r="AG199" s="675"/>
    </row>
    <row r="200" spans="1:34" s="536" customFormat="1" ht="33.75" x14ac:dyDescent="0.2">
      <c r="A200" s="575" t="s">
        <v>425</v>
      </c>
      <c r="B200" s="657" t="s">
        <v>1189</v>
      </c>
      <c r="C200" s="1823" t="s">
        <v>1190</v>
      </c>
      <c r="D200" s="1823"/>
      <c r="E200" s="1823"/>
      <c r="F200" s="573" t="s">
        <v>617</v>
      </c>
      <c r="G200" s="573"/>
      <c r="H200" s="573"/>
      <c r="I200" s="573" t="s">
        <v>186</v>
      </c>
      <c r="J200" s="572">
        <v>12.65</v>
      </c>
      <c r="K200" s="573"/>
      <c r="L200" s="572">
        <v>25.3</v>
      </c>
      <c r="M200" s="571"/>
      <c r="N200" s="570"/>
      <c r="V200" s="674"/>
      <c r="W200" s="675" t="s">
        <v>1190</v>
      </c>
      <c r="AC200" s="675"/>
      <c r="AD200" s="680"/>
      <c r="AE200" s="675"/>
      <c r="AG200" s="675"/>
    </row>
    <row r="201" spans="1:34" s="536" customFormat="1" ht="12" x14ac:dyDescent="0.2">
      <c r="A201" s="569"/>
      <c r="B201" s="656"/>
      <c r="C201" s="661" t="s">
        <v>717</v>
      </c>
      <c r="D201" s="662"/>
      <c r="E201" s="662"/>
      <c r="F201" s="563"/>
      <c r="G201" s="563"/>
      <c r="H201" s="563"/>
      <c r="I201" s="563"/>
      <c r="J201" s="566"/>
      <c r="K201" s="563"/>
      <c r="L201" s="566"/>
      <c r="M201" s="565"/>
      <c r="N201" s="564"/>
      <c r="V201" s="674"/>
      <c r="W201" s="675"/>
      <c r="AC201" s="675"/>
      <c r="AD201" s="680"/>
      <c r="AE201" s="675"/>
      <c r="AG201" s="675"/>
    </row>
    <row r="202" spans="1:34" s="536" customFormat="1" ht="33.75" x14ac:dyDescent="0.2">
      <c r="A202" s="575" t="s">
        <v>430</v>
      </c>
      <c r="B202" s="657" t="s">
        <v>1906</v>
      </c>
      <c r="C202" s="1823" t="s">
        <v>1193</v>
      </c>
      <c r="D202" s="1823"/>
      <c r="E202" s="1823"/>
      <c r="F202" s="573" t="s">
        <v>617</v>
      </c>
      <c r="G202" s="573"/>
      <c r="H202" s="573"/>
      <c r="I202" s="573" t="s">
        <v>768</v>
      </c>
      <c r="J202" s="572">
        <v>21.66</v>
      </c>
      <c r="K202" s="573" t="s">
        <v>716</v>
      </c>
      <c r="L202" s="572">
        <v>773.26</v>
      </c>
      <c r="M202" s="571"/>
      <c r="N202" s="570"/>
      <c r="V202" s="674"/>
      <c r="W202" s="675" t="s">
        <v>1193</v>
      </c>
      <c r="AC202" s="675"/>
      <c r="AD202" s="680"/>
      <c r="AE202" s="675"/>
      <c r="AG202" s="675"/>
    </row>
    <row r="203" spans="1:34" s="536" customFormat="1" ht="12" x14ac:dyDescent="0.2">
      <c r="A203" s="569"/>
      <c r="B203" s="656"/>
      <c r="C203" s="661" t="s">
        <v>1173</v>
      </c>
      <c r="D203" s="662"/>
      <c r="E203" s="662"/>
      <c r="F203" s="563"/>
      <c r="G203" s="563"/>
      <c r="H203" s="563"/>
      <c r="I203" s="563"/>
      <c r="J203" s="566"/>
      <c r="K203" s="563"/>
      <c r="L203" s="566"/>
      <c r="M203" s="565"/>
      <c r="N203" s="564"/>
      <c r="V203" s="674"/>
      <c r="W203" s="675"/>
      <c r="AC203" s="675"/>
      <c r="AD203" s="680"/>
      <c r="AE203" s="675"/>
      <c r="AG203" s="675"/>
    </row>
    <row r="204" spans="1:34" s="536" customFormat="1" ht="22.5" x14ac:dyDescent="0.2">
      <c r="A204" s="676"/>
      <c r="B204" s="655"/>
      <c r="C204" s="1822" t="s">
        <v>1195</v>
      </c>
      <c r="D204" s="1822"/>
      <c r="E204" s="1822"/>
      <c r="F204" s="1822"/>
      <c r="G204" s="1822"/>
      <c r="H204" s="1822"/>
      <c r="I204" s="1822"/>
      <c r="J204" s="1822"/>
      <c r="K204" s="1822"/>
      <c r="L204" s="1822"/>
      <c r="M204" s="1822"/>
      <c r="N204" s="1827"/>
      <c r="V204" s="674"/>
      <c r="W204" s="675"/>
      <c r="AC204" s="675"/>
      <c r="AD204" s="680"/>
      <c r="AE204" s="675"/>
      <c r="AG204" s="675"/>
      <c r="AH204" s="537" t="s">
        <v>1195</v>
      </c>
    </row>
    <row r="205" spans="1:34" s="536" customFormat="1" ht="22.5" x14ac:dyDescent="0.2">
      <c r="A205" s="609"/>
      <c r="B205" s="552" t="s">
        <v>718</v>
      </c>
      <c r="C205" s="1822" t="s">
        <v>719</v>
      </c>
      <c r="D205" s="1822"/>
      <c r="E205" s="1822"/>
      <c r="F205" s="1822"/>
      <c r="G205" s="1822"/>
      <c r="H205" s="1822"/>
      <c r="I205" s="1822"/>
      <c r="J205" s="1822"/>
      <c r="K205" s="1822"/>
      <c r="L205" s="1822"/>
      <c r="M205" s="1822"/>
      <c r="N205" s="1827"/>
      <c r="V205" s="674"/>
      <c r="W205" s="675"/>
      <c r="Y205" s="537" t="s">
        <v>719</v>
      </c>
      <c r="AC205" s="675"/>
      <c r="AD205" s="680"/>
      <c r="AE205" s="675"/>
      <c r="AG205" s="675"/>
    </row>
    <row r="206" spans="1:34" s="536" customFormat="1" ht="22.5" x14ac:dyDescent="0.2">
      <c r="A206" s="575" t="s">
        <v>436</v>
      </c>
      <c r="B206" s="657" t="s">
        <v>1196</v>
      </c>
      <c r="C206" s="1823" t="s">
        <v>1197</v>
      </c>
      <c r="D206" s="1823"/>
      <c r="E206" s="1823"/>
      <c r="F206" s="573" t="s">
        <v>617</v>
      </c>
      <c r="G206" s="573"/>
      <c r="H206" s="573"/>
      <c r="I206" s="573" t="s">
        <v>186</v>
      </c>
      <c r="J206" s="572"/>
      <c r="K206" s="573"/>
      <c r="L206" s="572"/>
      <c r="M206" s="571"/>
      <c r="N206" s="570"/>
      <c r="V206" s="674"/>
      <c r="W206" s="675" t="s">
        <v>1197</v>
      </c>
      <c r="AC206" s="675"/>
      <c r="AD206" s="680"/>
      <c r="AE206" s="675"/>
      <c r="AG206" s="675"/>
    </row>
    <row r="207" spans="1:34" s="536" customFormat="1" ht="33.75" x14ac:dyDescent="0.2">
      <c r="A207" s="609"/>
      <c r="B207" s="552" t="s">
        <v>310</v>
      </c>
      <c r="C207" s="1822" t="s">
        <v>311</v>
      </c>
      <c r="D207" s="1822"/>
      <c r="E207" s="1822"/>
      <c r="F207" s="1822"/>
      <c r="G207" s="1822"/>
      <c r="H207" s="1822"/>
      <c r="I207" s="1822"/>
      <c r="J207" s="1822"/>
      <c r="K207" s="1822"/>
      <c r="L207" s="1822"/>
      <c r="M207" s="1822"/>
      <c r="N207" s="1827"/>
      <c r="V207" s="674"/>
      <c r="W207" s="675"/>
      <c r="Y207" s="537" t="s">
        <v>311</v>
      </c>
      <c r="AC207" s="675"/>
      <c r="AD207" s="680"/>
      <c r="AE207" s="675"/>
      <c r="AG207" s="675"/>
    </row>
    <row r="208" spans="1:34" s="536" customFormat="1" ht="12" x14ac:dyDescent="0.2">
      <c r="A208" s="605"/>
      <c r="B208" s="552" t="s">
        <v>185</v>
      </c>
      <c r="C208" s="1822" t="s">
        <v>312</v>
      </c>
      <c r="D208" s="1822"/>
      <c r="E208" s="1822"/>
      <c r="F208" s="562"/>
      <c r="G208" s="562"/>
      <c r="H208" s="562"/>
      <c r="I208" s="562"/>
      <c r="J208" s="604">
        <v>1.73</v>
      </c>
      <c r="K208" s="562" t="s">
        <v>313</v>
      </c>
      <c r="L208" s="604">
        <v>4.33</v>
      </c>
      <c r="M208" s="603"/>
      <c r="N208" s="602"/>
      <c r="V208" s="674"/>
      <c r="W208" s="675"/>
      <c r="Z208" s="537" t="s">
        <v>312</v>
      </c>
      <c r="AC208" s="675"/>
      <c r="AD208" s="680"/>
      <c r="AE208" s="675"/>
      <c r="AG208" s="675"/>
    </row>
    <row r="209" spans="1:33" s="536" customFormat="1" ht="12" x14ac:dyDescent="0.2">
      <c r="A209" s="676"/>
      <c r="B209" s="677" t="s">
        <v>1198</v>
      </c>
      <c r="C209" s="1829" t="s">
        <v>1199</v>
      </c>
      <c r="D209" s="1829"/>
      <c r="E209" s="1829"/>
      <c r="F209" s="678" t="s">
        <v>617</v>
      </c>
      <c r="G209" s="678" t="s">
        <v>185</v>
      </c>
      <c r="H209" s="678"/>
      <c r="I209" s="678" t="s">
        <v>186</v>
      </c>
      <c r="J209" s="552"/>
      <c r="K209" s="562"/>
      <c r="L209" s="604"/>
      <c r="M209" s="562"/>
      <c r="N209" s="679"/>
      <c r="V209" s="674"/>
      <c r="W209" s="675"/>
      <c r="AC209" s="675"/>
      <c r="AD209" s="680" t="s">
        <v>1199</v>
      </c>
      <c r="AE209" s="675"/>
      <c r="AG209" s="675"/>
    </row>
    <row r="210" spans="1:33" s="536" customFormat="1" ht="12" x14ac:dyDescent="0.2">
      <c r="A210" s="605"/>
      <c r="B210" s="552"/>
      <c r="C210" s="1822" t="s">
        <v>314</v>
      </c>
      <c r="D210" s="1822"/>
      <c r="E210" s="1822"/>
      <c r="F210" s="562" t="s">
        <v>315</v>
      </c>
      <c r="G210" s="562" t="s">
        <v>1200</v>
      </c>
      <c r="H210" s="562" t="s">
        <v>313</v>
      </c>
      <c r="I210" s="562" t="s">
        <v>647</v>
      </c>
      <c r="J210" s="604"/>
      <c r="K210" s="562"/>
      <c r="L210" s="604"/>
      <c r="M210" s="603"/>
      <c r="N210" s="602"/>
      <c r="V210" s="674"/>
      <c r="W210" s="675"/>
      <c r="AA210" s="537" t="s">
        <v>314</v>
      </c>
      <c r="AC210" s="675"/>
      <c r="AD210" s="680"/>
      <c r="AE210" s="675"/>
      <c r="AG210" s="675"/>
    </row>
    <row r="211" spans="1:33" s="536" customFormat="1" ht="12" x14ac:dyDescent="0.2">
      <c r="A211" s="605"/>
      <c r="B211" s="552"/>
      <c r="C211" s="1828" t="s">
        <v>318</v>
      </c>
      <c r="D211" s="1828"/>
      <c r="E211" s="1828"/>
      <c r="F211" s="608"/>
      <c r="G211" s="608"/>
      <c r="H211" s="608"/>
      <c r="I211" s="608"/>
      <c r="J211" s="607">
        <v>1.73</v>
      </c>
      <c r="K211" s="608"/>
      <c r="L211" s="607">
        <v>4.33</v>
      </c>
      <c r="M211" s="601"/>
      <c r="N211" s="606"/>
      <c r="V211" s="674"/>
      <c r="W211" s="675"/>
      <c r="AB211" s="537" t="s">
        <v>318</v>
      </c>
      <c r="AC211" s="675"/>
      <c r="AD211" s="680"/>
      <c r="AE211" s="675"/>
      <c r="AG211" s="675"/>
    </row>
    <row r="212" spans="1:33" s="536" customFormat="1" ht="12" x14ac:dyDescent="0.2">
      <c r="A212" s="605"/>
      <c r="B212" s="552"/>
      <c r="C212" s="1822" t="s">
        <v>319</v>
      </c>
      <c r="D212" s="1822"/>
      <c r="E212" s="1822"/>
      <c r="F212" s="562"/>
      <c r="G212" s="562"/>
      <c r="H212" s="562"/>
      <c r="I212" s="562"/>
      <c r="J212" s="604"/>
      <c r="K212" s="562"/>
      <c r="L212" s="604">
        <v>4.33</v>
      </c>
      <c r="M212" s="603"/>
      <c r="N212" s="602"/>
      <c r="V212" s="674"/>
      <c r="W212" s="675"/>
      <c r="AA212" s="537" t="s">
        <v>319</v>
      </c>
      <c r="AC212" s="675"/>
      <c r="AD212" s="680"/>
      <c r="AE212" s="675"/>
      <c r="AG212" s="675"/>
    </row>
    <row r="213" spans="1:33" s="536" customFormat="1" ht="33.75" x14ac:dyDescent="0.2">
      <c r="A213" s="605"/>
      <c r="B213" s="552" t="s">
        <v>1155</v>
      </c>
      <c r="C213" s="1822" t="s">
        <v>1156</v>
      </c>
      <c r="D213" s="1822"/>
      <c r="E213" s="1822"/>
      <c r="F213" s="562" t="s">
        <v>322</v>
      </c>
      <c r="G213" s="562" t="s">
        <v>1157</v>
      </c>
      <c r="H213" s="562"/>
      <c r="I213" s="562" t="s">
        <v>1157</v>
      </c>
      <c r="J213" s="604"/>
      <c r="K213" s="562"/>
      <c r="L213" s="604">
        <v>4.72</v>
      </c>
      <c r="M213" s="603"/>
      <c r="N213" s="602"/>
      <c r="V213" s="674"/>
      <c r="W213" s="675"/>
      <c r="AA213" s="537" t="s">
        <v>1156</v>
      </c>
      <c r="AC213" s="675"/>
      <c r="AD213" s="680"/>
      <c r="AE213" s="675"/>
      <c r="AG213" s="675"/>
    </row>
    <row r="214" spans="1:33" s="536" customFormat="1" ht="33.75" x14ac:dyDescent="0.2">
      <c r="A214" s="605"/>
      <c r="B214" s="552" t="s">
        <v>1158</v>
      </c>
      <c r="C214" s="1822" t="s">
        <v>1159</v>
      </c>
      <c r="D214" s="1822"/>
      <c r="E214" s="1822"/>
      <c r="F214" s="562" t="s">
        <v>322</v>
      </c>
      <c r="G214" s="562" t="s">
        <v>791</v>
      </c>
      <c r="H214" s="562"/>
      <c r="I214" s="562" t="s">
        <v>791</v>
      </c>
      <c r="J214" s="604"/>
      <c r="K214" s="562"/>
      <c r="L214" s="604">
        <v>2.4700000000000002</v>
      </c>
      <c r="M214" s="603"/>
      <c r="N214" s="602"/>
      <c r="V214" s="674"/>
      <c r="W214" s="675"/>
      <c r="AA214" s="537" t="s">
        <v>1159</v>
      </c>
      <c r="AC214" s="675"/>
      <c r="AD214" s="680"/>
      <c r="AE214" s="675"/>
      <c r="AG214" s="675"/>
    </row>
    <row r="215" spans="1:33" s="536" customFormat="1" ht="12" x14ac:dyDescent="0.2">
      <c r="A215" s="569"/>
      <c r="B215" s="656"/>
      <c r="C215" s="1823" t="s">
        <v>327</v>
      </c>
      <c r="D215" s="1823"/>
      <c r="E215" s="1823"/>
      <c r="F215" s="573"/>
      <c r="G215" s="573"/>
      <c r="H215" s="573"/>
      <c r="I215" s="573"/>
      <c r="J215" s="572"/>
      <c r="K215" s="573"/>
      <c r="L215" s="572">
        <v>11.52</v>
      </c>
      <c r="M215" s="601"/>
      <c r="N215" s="570"/>
      <c r="V215" s="674"/>
      <c r="W215" s="675"/>
      <c r="AC215" s="675" t="s">
        <v>327</v>
      </c>
      <c r="AD215" s="680"/>
      <c r="AE215" s="675"/>
      <c r="AG215" s="675"/>
    </row>
    <row r="216" spans="1:33" s="536" customFormat="1" ht="33.75" x14ac:dyDescent="0.2">
      <c r="A216" s="575" t="s">
        <v>733</v>
      </c>
      <c r="B216" s="657" t="s">
        <v>1202</v>
      </c>
      <c r="C216" s="1823" t="s">
        <v>1203</v>
      </c>
      <c r="D216" s="1823"/>
      <c r="E216" s="1823"/>
      <c r="F216" s="573" t="s">
        <v>617</v>
      </c>
      <c r="G216" s="573"/>
      <c r="H216" s="573"/>
      <c r="I216" s="573" t="s">
        <v>186</v>
      </c>
      <c r="J216" s="572">
        <v>249.4</v>
      </c>
      <c r="K216" s="573"/>
      <c r="L216" s="572">
        <v>498.8</v>
      </c>
      <c r="M216" s="571"/>
      <c r="N216" s="570"/>
      <c r="V216" s="674"/>
      <c r="W216" s="675" t="s">
        <v>1203</v>
      </c>
      <c r="AC216" s="675"/>
      <c r="AD216" s="680"/>
      <c r="AE216" s="675"/>
      <c r="AG216" s="675"/>
    </row>
    <row r="217" spans="1:33" s="536" customFormat="1" ht="12" x14ac:dyDescent="0.2">
      <c r="A217" s="569"/>
      <c r="B217" s="656"/>
      <c r="C217" s="661" t="s">
        <v>717</v>
      </c>
      <c r="D217" s="662"/>
      <c r="E217" s="662"/>
      <c r="F217" s="563"/>
      <c r="G217" s="563"/>
      <c r="H217" s="563"/>
      <c r="I217" s="563"/>
      <c r="J217" s="566"/>
      <c r="K217" s="563"/>
      <c r="L217" s="566"/>
      <c r="M217" s="565"/>
      <c r="N217" s="564"/>
      <c r="V217" s="674"/>
      <c r="W217" s="675"/>
      <c r="AC217" s="675"/>
      <c r="AD217" s="680"/>
      <c r="AE217" s="675"/>
      <c r="AG217" s="675"/>
    </row>
    <row r="218" spans="1:33" s="536" customFormat="1" ht="33.75" x14ac:dyDescent="0.2">
      <c r="A218" s="575" t="s">
        <v>736</v>
      </c>
      <c r="B218" s="657" t="s">
        <v>1204</v>
      </c>
      <c r="C218" s="1823" t="s">
        <v>1205</v>
      </c>
      <c r="D218" s="1823"/>
      <c r="E218" s="1823"/>
      <c r="F218" s="573" t="s">
        <v>483</v>
      </c>
      <c r="G218" s="573"/>
      <c r="H218" s="573"/>
      <c r="I218" s="573" t="s">
        <v>192</v>
      </c>
      <c r="J218" s="572"/>
      <c r="K218" s="573"/>
      <c r="L218" s="572"/>
      <c r="M218" s="571"/>
      <c r="N218" s="570"/>
      <c r="V218" s="674"/>
      <c r="W218" s="675" t="s">
        <v>1205</v>
      </c>
      <c r="AC218" s="675"/>
      <c r="AD218" s="680"/>
      <c r="AE218" s="675"/>
      <c r="AG218" s="675"/>
    </row>
    <row r="219" spans="1:33" s="536" customFormat="1" ht="12" x14ac:dyDescent="0.2">
      <c r="A219" s="676"/>
      <c r="B219" s="655"/>
      <c r="C219" s="1822" t="s">
        <v>1907</v>
      </c>
      <c r="D219" s="1822"/>
      <c r="E219" s="1822"/>
      <c r="F219" s="1822"/>
      <c r="G219" s="1822"/>
      <c r="H219" s="1822"/>
      <c r="I219" s="1822"/>
      <c r="J219" s="1822"/>
      <c r="K219" s="1822"/>
      <c r="L219" s="1822"/>
      <c r="M219" s="1822"/>
      <c r="N219" s="1827"/>
      <c r="V219" s="674"/>
      <c r="W219" s="675"/>
      <c r="X219" s="537" t="s">
        <v>1907</v>
      </c>
      <c r="AC219" s="675"/>
      <c r="AD219" s="680"/>
      <c r="AE219" s="675"/>
      <c r="AG219" s="675"/>
    </row>
    <row r="220" spans="1:33" s="536" customFormat="1" ht="33.75" x14ac:dyDescent="0.2">
      <c r="A220" s="609"/>
      <c r="B220" s="552" t="s">
        <v>310</v>
      </c>
      <c r="C220" s="1822" t="s">
        <v>311</v>
      </c>
      <c r="D220" s="1822"/>
      <c r="E220" s="1822"/>
      <c r="F220" s="1822"/>
      <c r="G220" s="1822"/>
      <c r="H220" s="1822"/>
      <c r="I220" s="1822"/>
      <c r="J220" s="1822"/>
      <c r="K220" s="1822"/>
      <c r="L220" s="1822"/>
      <c r="M220" s="1822"/>
      <c r="N220" s="1827"/>
      <c r="V220" s="674"/>
      <c r="W220" s="675"/>
      <c r="Y220" s="537" t="s">
        <v>311</v>
      </c>
      <c r="AC220" s="675"/>
      <c r="AD220" s="680"/>
      <c r="AE220" s="675"/>
      <c r="AG220" s="675"/>
    </row>
    <row r="221" spans="1:33" s="536" customFormat="1" ht="12" x14ac:dyDescent="0.2">
      <c r="A221" s="605"/>
      <c r="B221" s="552" t="s">
        <v>185</v>
      </c>
      <c r="C221" s="1822" t="s">
        <v>312</v>
      </c>
      <c r="D221" s="1822"/>
      <c r="E221" s="1822"/>
      <c r="F221" s="562"/>
      <c r="G221" s="562"/>
      <c r="H221" s="562"/>
      <c r="I221" s="562"/>
      <c r="J221" s="604">
        <v>1.1499999999999999</v>
      </c>
      <c r="K221" s="562" t="s">
        <v>313</v>
      </c>
      <c r="L221" s="604">
        <v>11.5</v>
      </c>
      <c r="M221" s="603"/>
      <c r="N221" s="602"/>
      <c r="V221" s="674"/>
      <c r="W221" s="675"/>
      <c r="Z221" s="537" t="s">
        <v>312</v>
      </c>
      <c r="AC221" s="675"/>
      <c r="AD221" s="680"/>
      <c r="AE221" s="675"/>
      <c r="AG221" s="675"/>
    </row>
    <row r="222" spans="1:33" s="536" customFormat="1" ht="12" x14ac:dyDescent="0.2">
      <c r="A222" s="605"/>
      <c r="B222" s="552" t="s">
        <v>188</v>
      </c>
      <c r="C222" s="1822" t="s">
        <v>475</v>
      </c>
      <c r="D222" s="1822"/>
      <c r="E222" s="1822"/>
      <c r="F222" s="562"/>
      <c r="G222" s="562"/>
      <c r="H222" s="562"/>
      <c r="I222" s="562"/>
      <c r="J222" s="604">
        <v>7.8</v>
      </c>
      <c r="K222" s="562"/>
      <c r="L222" s="604">
        <v>62.4</v>
      </c>
      <c r="M222" s="603"/>
      <c r="N222" s="602"/>
      <c r="V222" s="674"/>
      <c r="W222" s="675"/>
      <c r="Z222" s="537" t="s">
        <v>475</v>
      </c>
      <c r="AC222" s="675"/>
      <c r="AD222" s="680"/>
      <c r="AE222" s="675"/>
      <c r="AG222" s="675"/>
    </row>
    <row r="223" spans="1:33" s="536" customFormat="1" ht="12" x14ac:dyDescent="0.2">
      <c r="A223" s="676"/>
      <c r="B223" s="677" t="s">
        <v>1207</v>
      </c>
      <c r="C223" s="1829" t="s">
        <v>1208</v>
      </c>
      <c r="D223" s="1829"/>
      <c r="E223" s="1829"/>
      <c r="F223" s="678" t="s">
        <v>483</v>
      </c>
      <c r="G223" s="678" t="s">
        <v>185</v>
      </c>
      <c r="H223" s="678"/>
      <c r="I223" s="678" t="s">
        <v>192</v>
      </c>
      <c r="J223" s="552"/>
      <c r="K223" s="562"/>
      <c r="L223" s="604"/>
      <c r="M223" s="562"/>
      <c r="N223" s="679"/>
      <c r="V223" s="674"/>
      <c r="W223" s="675"/>
      <c r="AC223" s="675"/>
      <c r="AD223" s="680" t="s">
        <v>1208</v>
      </c>
      <c r="AE223" s="675"/>
      <c r="AG223" s="675"/>
    </row>
    <row r="224" spans="1:33" s="536" customFormat="1" ht="12" x14ac:dyDescent="0.2">
      <c r="A224" s="676"/>
      <c r="B224" s="677" t="s">
        <v>1198</v>
      </c>
      <c r="C224" s="1829" t="s">
        <v>1199</v>
      </c>
      <c r="D224" s="1829"/>
      <c r="E224" s="1829"/>
      <c r="F224" s="678" t="s">
        <v>617</v>
      </c>
      <c r="G224" s="678" t="s">
        <v>186</v>
      </c>
      <c r="H224" s="678"/>
      <c r="I224" s="678" t="s">
        <v>200</v>
      </c>
      <c r="J224" s="552"/>
      <c r="K224" s="562"/>
      <c r="L224" s="604"/>
      <c r="M224" s="562"/>
      <c r="N224" s="679"/>
      <c r="V224" s="674"/>
      <c r="W224" s="675"/>
      <c r="AC224" s="675"/>
      <c r="AD224" s="680" t="s">
        <v>1199</v>
      </c>
      <c r="AE224" s="675"/>
      <c r="AG224" s="675"/>
    </row>
    <row r="225" spans="1:33" s="536" customFormat="1" ht="12" x14ac:dyDescent="0.2">
      <c r="A225" s="605"/>
      <c r="B225" s="552"/>
      <c r="C225" s="1822" t="s">
        <v>314</v>
      </c>
      <c r="D225" s="1822"/>
      <c r="E225" s="1822"/>
      <c r="F225" s="562" t="s">
        <v>315</v>
      </c>
      <c r="G225" s="562" t="s">
        <v>646</v>
      </c>
      <c r="H225" s="562" t="s">
        <v>313</v>
      </c>
      <c r="I225" s="562" t="s">
        <v>1908</v>
      </c>
      <c r="J225" s="604"/>
      <c r="K225" s="562"/>
      <c r="L225" s="604"/>
      <c r="M225" s="603"/>
      <c r="N225" s="602"/>
      <c r="V225" s="674"/>
      <c r="W225" s="675"/>
      <c r="AA225" s="537" t="s">
        <v>314</v>
      </c>
      <c r="AC225" s="675"/>
      <c r="AD225" s="680"/>
      <c r="AE225" s="675"/>
      <c r="AG225" s="675"/>
    </row>
    <row r="226" spans="1:33" s="536" customFormat="1" ht="12" x14ac:dyDescent="0.2">
      <c r="A226" s="605"/>
      <c r="B226" s="552"/>
      <c r="C226" s="1828" t="s">
        <v>318</v>
      </c>
      <c r="D226" s="1828"/>
      <c r="E226" s="1828"/>
      <c r="F226" s="608"/>
      <c r="G226" s="608"/>
      <c r="H226" s="608"/>
      <c r="I226" s="608"/>
      <c r="J226" s="607">
        <v>8.9499999999999993</v>
      </c>
      <c r="K226" s="608"/>
      <c r="L226" s="607">
        <v>73.900000000000006</v>
      </c>
      <c r="M226" s="601"/>
      <c r="N226" s="606"/>
      <c r="V226" s="674"/>
      <c r="W226" s="675"/>
      <c r="AB226" s="537" t="s">
        <v>318</v>
      </c>
      <c r="AC226" s="675"/>
      <c r="AD226" s="680"/>
      <c r="AE226" s="675"/>
      <c r="AG226" s="675"/>
    </row>
    <row r="227" spans="1:33" s="536" customFormat="1" ht="12" x14ac:dyDescent="0.2">
      <c r="A227" s="605"/>
      <c r="B227" s="552"/>
      <c r="C227" s="1822" t="s">
        <v>319</v>
      </c>
      <c r="D227" s="1822"/>
      <c r="E227" s="1822"/>
      <c r="F227" s="562"/>
      <c r="G227" s="562"/>
      <c r="H227" s="562"/>
      <c r="I227" s="562"/>
      <c r="J227" s="604"/>
      <c r="K227" s="562"/>
      <c r="L227" s="604">
        <v>11.5</v>
      </c>
      <c r="M227" s="603"/>
      <c r="N227" s="602"/>
      <c r="V227" s="674"/>
      <c r="W227" s="675"/>
      <c r="AA227" s="537" t="s">
        <v>319</v>
      </c>
      <c r="AC227" s="675"/>
      <c r="AD227" s="680"/>
      <c r="AE227" s="675"/>
      <c r="AG227" s="675"/>
    </row>
    <row r="228" spans="1:33" s="536" customFormat="1" ht="33.75" x14ac:dyDescent="0.2">
      <c r="A228" s="605"/>
      <c r="B228" s="552" t="s">
        <v>1155</v>
      </c>
      <c r="C228" s="1822" t="s">
        <v>1156</v>
      </c>
      <c r="D228" s="1822"/>
      <c r="E228" s="1822"/>
      <c r="F228" s="562" t="s">
        <v>322</v>
      </c>
      <c r="G228" s="562" t="s">
        <v>1157</v>
      </c>
      <c r="H228" s="562"/>
      <c r="I228" s="562" t="s">
        <v>1157</v>
      </c>
      <c r="J228" s="604"/>
      <c r="K228" s="562"/>
      <c r="L228" s="604">
        <v>12.54</v>
      </c>
      <c r="M228" s="603"/>
      <c r="N228" s="602"/>
      <c r="V228" s="674"/>
      <c r="W228" s="675"/>
      <c r="AA228" s="537" t="s">
        <v>1156</v>
      </c>
      <c r="AC228" s="675"/>
      <c r="AD228" s="680"/>
      <c r="AE228" s="675"/>
      <c r="AG228" s="675"/>
    </row>
    <row r="229" spans="1:33" s="536" customFormat="1" ht="33.75" x14ac:dyDescent="0.2">
      <c r="A229" s="605"/>
      <c r="B229" s="552" t="s">
        <v>1158</v>
      </c>
      <c r="C229" s="1822" t="s">
        <v>1159</v>
      </c>
      <c r="D229" s="1822"/>
      <c r="E229" s="1822"/>
      <c r="F229" s="562" t="s">
        <v>322</v>
      </c>
      <c r="G229" s="562" t="s">
        <v>791</v>
      </c>
      <c r="H229" s="562"/>
      <c r="I229" s="562" t="s">
        <v>791</v>
      </c>
      <c r="J229" s="604"/>
      <c r="K229" s="562"/>
      <c r="L229" s="604">
        <v>6.56</v>
      </c>
      <c r="M229" s="603"/>
      <c r="N229" s="602"/>
      <c r="V229" s="674"/>
      <c r="W229" s="675"/>
      <c r="AA229" s="537" t="s">
        <v>1159</v>
      </c>
      <c r="AC229" s="675"/>
      <c r="AD229" s="680"/>
      <c r="AE229" s="675"/>
      <c r="AG229" s="675"/>
    </row>
    <row r="230" spans="1:33" s="536" customFormat="1" ht="12" x14ac:dyDescent="0.2">
      <c r="A230" s="569"/>
      <c r="B230" s="656"/>
      <c r="C230" s="1823" t="s">
        <v>327</v>
      </c>
      <c r="D230" s="1823"/>
      <c r="E230" s="1823"/>
      <c r="F230" s="573"/>
      <c r="G230" s="573"/>
      <c r="H230" s="573"/>
      <c r="I230" s="573"/>
      <c r="J230" s="572"/>
      <c r="K230" s="573"/>
      <c r="L230" s="572">
        <v>93</v>
      </c>
      <c r="M230" s="601"/>
      <c r="N230" s="570"/>
      <c r="V230" s="674"/>
      <c r="W230" s="675"/>
      <c r="AC230" s="675" t="s">
        <v>327</v>
      </c>
      <c r="AD230" s="680"/>
      <c r="AE230" s="675"/>
      <c r="AG230" s="675"/>
    </row>
    <row r="231" spans="1:33" s="536" customFormat="1" ht="33.75" x14ac:dyDescent="0.2">
      <c r="A231" s="575" t="s">
        <v>1067</v>
      </c>
      <c r="B231" s="657" t="s">
        <v>1210</v>
      </c>
      <c r="C231" s="1823" t="s">
        <v>1211</v>
      </c>
      <c r="D231" s="1823"/>
      <c r="E231" s="1823"/>
      <c r="F231" s="573" t="s">
        <v>617</v>
      </c>
      <c r="G231" s="573"/>
      <c r="H231" s="573"/>
      <c r="I231" s="573" t="s">
        <v>186</v>
      </c>
      <c r="J231" s="572">
        <v>357.8</v>
      </c>
      <c r="K231" s="573"/>
      <c r="L231" s="572">
        <v>715.6</v>
      </c>
      <c r="M231" s="571"/>
      <c r="N231" s="570"/>
      <c r="V231" s="674"/>
      <c r="W231" s="675" t="s">
        <v>1211</v>
      </c>
      <c r="AC231" s="675"/>
      <c r="AD231" s="680"/>
      <c r="AE231" s="675"/>
      <c r="AG231" s="675"/>
    </row>
    <row r="232" spans="1:33" s="536" customFormat="1" ht="12" x14ac:dyDescent="0.2">
      <c r="A232" s="569"/>
      <c r="B232" s="656"/>
      <c r="C232" s="661" t="s">
        <v>717</v>
      </c>
      <c r="D232" s="662"/>
      <c r="E232" s="662"/>
      <c r="F232" s="563"/>
      <c r="G232" s="563"/>
      <c r="H232" s="563"/>
      <c r="I232" s="563"/>
      <c r="J232" s="566"/>
      <c r="K232" s="563"/>
      <c r="L232" s="566"/>
      <c r="M232" s="565"/>
      <c r="N232" s="564"/>
      <c r="V232" s="674"/>
      <c r="W232" s="675"/>
      <c r="AC232" s="675"/>
      <c r="AD232" s="680"/>
      <c r="AE232" s="675"/>
      <c r="AG232" s="675"/>
    </row>
    <row r="233" spans="1:33" s="536" customFormat="1" ht="33.75" x14ac:dyDescent="0.2">
      <c r="A233" s="575" t="s">
        <v>912</v>
      </c>
      <c r="B233" s="657" t="s">
        <v>1212</v>
      </c>
      <c r="C233" s="1823" t="s">
        <v>1213</v>
      </c>
      <c r="D233" s="1823"/>
      <c r="E233" s="1823"/>
      <c r="F233" s="573" t="s">
        <v>617</v>
      </c>
      <c r="G233" s="573"/>
      <c r="H233" s="573"/>
      <c r="I233" s="573" t="s">
        <v>186</v>
      </c>
      <c r="J233" s="572">
        <v>119.27</v>
      </c>
      <c r="K233" s="573"/>
      <c r="L233" s="572">
        <v>238.54</v>
      </c>
      <c r="M233" s="571"/>
      <c r="N233" s="570"/>
      <c r="V233" s="674"/>
      <c r="W233" s="675" t="s">
        <v>1213</v>
      </c>
      <c r="AC233" s="675"/>
      <c r="AD233" s="680"/>
      <c r="AE233" s="675"/>
      <c r="AG233" s="675"/>
    </row>
    <row r="234" spans="1:33" s="536" customFormat="1" ht="12" x14ac:dyDescent="0.2">
      <c r="A234" s="569"/>
      <c r="B234" s="656"/>
      <c r="C234" s="661" t="s">
        <v>717</v>
      </c>
      <c r="D234" s="662"/>
      <c r="E234" s="662"/>
      <c r="F234" s="563"/>
      <c r="G234" s="563"/>
      <c r="H234" s="563"/>
      <c r="I234" s="563"/>
      <c r="J234" s="566"/>
      <c r="K234" s="563"/>
      <c r="L234" s="566"/>
      <c r="M234" s="565"/>
      <c r="N234" s="564"/>
      <c r="V234" s="674"/>
      <c r="W234" s="675"/>
      <c r="AC234" s="675"/>
      <c r="AD234" s="680"/>
      <c r="AE234" s="675"/>
      <c r="AG234" s="675"/>
    </row>
    <row r="235" spans="1:33" s="536" customFormat="1" ht="22.5" x14ac:dyDescent="0.2">
      <c r="A235" s="575" t="s">
        <v>757</v>
      </c>
      <c r="B235" s="657" t="s">
        <v>1214</v>
      </c>
      <c r="C235" s="1823" t="s">
        <v>1215</v>
      </c>
      <c r="D235" s="1823"/>
      <c r="E235" s="1823"/>
      <c r="F235" s="573" t="s">
        <v>617</v>
      </c>
      <c r="G235" s="573"/>
      <c r="H235" s="573"/>
      <c r="I235" s="573" t="s">
        <v>190</v>
      </c>
      <c r="J235" s="572"/>
      <c r="K235" s="573"/>
      <c r="L235" s="572"/>
      <c r="M235" s="571"/>
      <c r="N235" s="570"/>
      <c r="V235" s="674"/>
      <c r="W235" s="675" t="s">
        <v>1215</v>
      </c>
      <c r="AC235" s="675"/>
      <c r="AD235" s="680"/>
      <c r="AE235" s="675"/>
      <c r="AG235" s="675"/>
    </row>
    <row r="236" spans="1:33" s="536" customFormat="1" ht="12" x14ac:dyDescent="0.2">
      <c r="A236" s="676"/>
      <c r="B236" s="655"/>
      <c r="C236" s="1822" t="s">
        <v>1909</v>
      </c>
      <c r="D236" s="1822"/>
      <c r="E236" s="1822"/>
      <c r="F236" s="1822"/>
      <c r="G236" s="1822"/>
      <c r="H236" s="1822"/>
      <c r="I236" s="1822"/>
      <c r="J236" s="1822"/>
      <c r="K236" s="1822"/>
      <c r="L236" s="1822"/>
      <c r="M236" s="1822"/>
      <c r="N236" s="1827"/>
      <c r="V236" s="674"/>
      <c r="W236" s="675"/>
      <c r="X236" s="537" t="s">
        <v>1909</v>
      </c>
      <c r="AC236" s="675"/>
      <c r="AD236" s="680"/>
      <c r="AE236" s="675"/>
      <c r="AG236" s="675"/>
    </row>
    <row r="237" spans="1:33" s="536" customFormat="1" ht="33.75" x14ac:dyDescent="0.2">
      <c r="A237" s="609"/>
      <c r="B237" s="552" t="s">
        <v>310</v>
      </c>
      <c r="C237" s="1822" t="s">
        <v>311</v>
      </c>
      <c r="D237" s="1822"/>
      <c r="E237" s="1822"/>
      <c r="F237" s="1822"/>
      <c r="G237" s="1822"/>
      <c r="H237" s="1822"/>
      <c r="I237" s="1822"/>
      <c r="J237" s="1822"/>
      <c r="K237" s="1822"/>
      <c r="L237" s="1822"/>
      <c r="M237" s="1822"/>
      <c r="N237" s="1827"/>
      <c r="V237" s="674"/>
      <c r="W237" s="675"/>
      <c r="Y237" s="537" t="s">
        <v>311</v>
      </c>
      <c r="AC237" s="675"/>
      <c r="AD237" s="680"/>
      <c r="AE237" s="675"/>
      <c r="AG237" s="675"/>
    </row>
    <row r="238" spans="1:33" s="536" customFormat="1" ht="12" x14ac:dyDescent="0.2">
      <c r="A238" s="605"/>
      <c r="B238" s="552" t="s">
        <v>185</v>
      </c>
      <c r="C238" s="1822" t="s">
        <v>312</v>
      </c>
      <c r="D238" s="1822"/>
      <c r="E238" s="1822"/>
      <c r="F238" s="562"/>
      <c r="G238" s="562"/>
      <c r="H238" s="562"/>
      <c r="I238" s="562"/>
      <c r="J238" s="604">
        <v>1.1499999999999999</v>
      </c>
      <c r="K238" s="562" t="s">
        <v>313</v>
      </c>
      <c r="L238" s="604">
        <v>8.6300000000000008</v>
      </c>
      <c r="M238" s="603"/>
      <c r="N238" s="602"/>
      <c r="V238" s="674"/>
      <c r="W238" s="675"/>
      <c r="Z238" s="537" t="s">
        <v>312</v>
      </c>
      <c r="AC238" s="675"/>
      <c r="AD238" s="680"/>
      <c r="AE238" s="675"/>
      <c r="AG238" s="675"/>
    </row>
    <row r="239" spans="1:33" s="536" customFormat="1" ht="12" x14ac:dyDescent="0.2">
      <c r="A239" s="676"/>
      <c r="B239" s="677" t="s">
        <v>1198</v>
      </c>
      <c r="C239" s="1829" t="s">
        <v>1199</v>
      </c>
      <c r="D239" s="1829"/>
      <c r="E239" s="1829"/>
      <c r="F239" s="678" t="s">
        <v>617</v>
      </c>
      <c r="G239" s="678" t="s">
        <v>185</v>
      </c>
      <c r="H239" s="678"/>
      <c r="I239" s="678" t="s">
        <v>190</v>
      </c>
      <c r="J239" s="552"/>
      <c r="K239" s="562"/>
      <c r="L239" s="604"/>
      <c r="M239" s="562"/>
      <c r="N239" s="679"/>
      <c r="V239" s="674"/>
      <c r="W239" s="675"/>
      <c r="AC239" s="675"/>
      <c r="AD239" s="680" t="s">
        <v>1199</v>
      </c>
      <c r="AE239" s="675"/>
      <c r="AG239" s="675"/>
    </row>
    <row r="240" spans="1:33" s="536" customFormat="1" ht="12" x14ac:dyDescent="0.2">
      <c r="A240" s="605"/>
      <c r="B240" s="552"/>
      <c r="C240" s="1822" t="s">
        <v>314</v>
      </c>
      <c r="D240" s="1822"/>
      <c r="E240" s="1822"/>
      <c r="F240" s="562" t="s">
        <v>315</v>
      </c>
      <c r="G240" s="562" t="s">
        <v>646</v>
      </c>
      <c r="H240" s="562" t="s">
        <v>313</v>
      </c>
      <c r="I240" s="562" t="s">
        <v>1533</v>
      </c>
      <c r="J240" s="604"/>
      <c r="K240" s="562"/>
      <c r="L240" s="604"/>
      <c r="M240" s="603"/>
      <c r="N240" s="602"/>
      <c r="V240" s="674"/>
      <c r="W240" s="675"/>
      <c r="AA240" s="537" t="s">
        <v>314</v>
      </c>
      <c r="AC240" s="675"/>
      <c r="AD240" s="680"/>
      <c r="AE240" s="675"/>
      <c r="AG240" s="675"/>
    </row>
    <row r="241" spans="1:35" s="536" customFormat="1" ht="12" x14ac:dyDescent="0.2">
      <c r="A241" s="605"/>
      <c r="B241" s="552"/>
      <c r="C241" s="1828" t="s">
        <v>318</v>
      </c>
      <c r="D241" s="1828"/>
      <c r="E241" s="1828"/>
      <c r="F241" s="608"/>
      <c r="G241" s="608"/>
      <c r="H241" s="608"/>
      <c r="I241" s="608"/>
      <c r="J241" s="607">
        <v>1.1499999999999999</v>
      </c>
      <c r="K241" s="608"/>
      <c r="L241" s="607">
        <v>8.6300000000000008</v>
      </c>
      <c r="M241" s="601"/>
      <c r="N241" s="606"/>
      <c r="V241" s="674"/>
      <c r="W241" s="675"/>
      <c r="AB241" s="537" t="s">
        <v>318</v>
      </c>
      <c r="AC241" s="675"/>
      <c r="AD241" s="680"/>
      <c r="AE241" s="675"/>
      <c r="AG241" s="675"/>
    </row>
    <row r="242" spans="1:35" s="536" customFormat="1" ht="12" x14ac:dyDescent="0.2">
      <c r="A242" s="605"/>
      <c r="B242" s="552"/>
      <c r="C242" s="1822" t="s">
        <v>319</v>
      </c>
      <c r="D242" s="1822"/>
      <c r="E242" s="1822"/>
      <c r="F242" s="562"/>
      <c r="G242" s="562"/>
      <c r="H242" s="562"/>
      <c r="I242" s="562"/>
      <c r="J242" s="604"/>
      <c r="K242" s="562"/>
      <c r="L242" s="604">
        <v>8.6300000000000008</v>
      </c>
      <c r="M242" s="603"/>
      <c r="N242" s="602"/>
      <c r="V242" s="674"/>
      <c r="W242" s="675"/>
      <c r="AA242" s="537" t="s">
        <v>319</v>
      </c>
      <c r="AC242" s="675"/>
      <c r="AD242" s="680"/>
      <c r="AE242" s="675"/>
      <c r="AG242" s="675"/>
    </row>
    <row r="243" spans="1:35" s="536" customFormat="1" ht="33.75" x14ac:dyDescent="0.2">
      <c r="A243" s="605"/>
      <c r="B243" s="552" t="s">
        <v>1155</v>
      </c>
      <c r="C243" s="1822" t="s">
        <v>1156</v>
      </c>
      <c r="D243" s="1822"/>
      <c r="E243" s="1822"/>
      <c r="F243" s="562" t="s">
        <v>322</v>
      </c>
      <c r="G243" s="562" t="s">
        <v>1157</v>
      </c>
      <c r="H243" s="562"/>
      <c r="I243" s="562" t="s">
        <v>1157</v>
      </c>
      <c r="J243" s="604"/>
      <c r="K243" s="562"/>
      <c r="L243" s="604">
        <v>9.41</v>
      </c>
      <c r="M243" s="603"/>
      <c r="N243" s="602"/>
      <c r="V243" s="674"/>
      <c r="W243" s="675"/>
      <c r="AA243" s="537" t="s">
        <v>1156</v>
      </c>
      <c r="AC243" s="675"/>
      <c r="AD243" s="680"/>
      <c r="AE243" s="675"/>
      <c r="AG243" s="675"/>
    </row>
    <row r="244" spans="1:35" s="536" customFormat="1" ht="33.75" x14ac:dyDescent="0.2">
      <c r="A244" s="605"/>
      <c r="B244" s="552" t="s">
        <v>1158</v>
      </c>
      <c r="C244" s="1822" t="s">
        <v>1159</v>
      </c>
      <c r="D244" s="1822"/>
      <c r="E244" s="1822"/>
      <c r="F244" s="562" t="s">
        <v>322</v>
      </c>
      <c r="G244" s="562" t="s">
        <v>791</v>
      </c>
      <c r="H244" s="562"/>
      <c r="I244" s="562" t="s">
        <v>791</v>
      </c>
      <c r="J244" s="604"/>
      <c r="K244" s="562"/>
      <c r="L244" s="604">
        <v>4.92</v>
      </c>
      <c r="M244" s="603"/>
      <c r="N244" s="602"/>
      <c r="V244" s="674"/>
      <c r="W244" s="675"/>
      <c r="AA244" s="537" t="s">
        <v>1159</v>
      </c>
      <c r="AC244" s="675"/>
      <c r="AD244" s="680"/>
      <c r="AE244" s="675"/>
      <c r="AG244" s="675"/>
    </row>
    <row r="245" spans="1:35" s="536" customFormat="1" ht="12" x14ac:dyDescent="0.2">
      <c r="A245" s="569"/>
      <c r="B245" s="656"/>
      <c r="C245" s="1823" t="s">
        <v>327</v>
      </c>
      <c r="D245" s="1823"/>
      <c r="E245" s="1823"/>
      <c r="F245" s="573"/>
      <c r="G245" s="573"/>
      <c r="H245" s="573"/>
      <c r="I245" s="573"/>
      <c r="J245" s="572"/>
      <c r="K245" s="573"/>
      <c r="L245" s="572">
        <v>22.96</v>
      </c>
      <c r="M245" s="601"/>
      <c r="N245" s="570"/>
      <c r="V245" s="674"/>
      <c r="W245" s="675"/>
      <c r="AC245" s="675" t="s">
        <v>327</v>
      </c>
      <c r="AD245" s="680"/>
      <c r="AE245" s="675"/>
      <c r="AG245" s="675"/>
    </row>
    <row r="246" spans="1:35" s="536" customFormat="1" ht="33.75" x14ac:dyDescent="0.2">
      <c r="A246" s="575" t="s">
        <v>1079</v>
      </c>
      <c r="B246" s="657" t="s">
        <v>1218</v>
      </c>
      <c r="C246" s="1823" t="s">
        <v>1219</v>
      </c>
      <c r="D246" s="1823"/>
      <c r="E246" s="1823"/>
      <c r="F246" s="573" t="s">
        <v>617</v>
      </c>
      <c r="G246" s="573"/>
      <c r="H246" s="573"/>
      <c r="I246" s="573" t="s">
        <v>188</v>
      </c>
      <c r="J246" s="572">
        <v>83.12</v>
      </c>
      <c r="K246" s="573"/>
      <c r="L246" s="572">
        <v>332.48</v>
      </c>
      <c r="M246" s="571"/>
      <c r="N246" s="570"/>
      <c r="V246" s="674"/>
      <c r="W246" s="675" t="s">
        <v>1219</v>
      </c>
      <c r="AC246" s="675"/>
      <c r="AD246" s="680"/>
      <c r="AE246" s="675"/>
      <c r="AG246" s="675"/>
    </row>
    <row r="247" spans="1:35" s="536" customFormat="1" ht="12" x14ac:dyDescent="0.2">
      <c r="A247" s="569"/>
      <c r="B247" s="656"/>
      <c r="C247" s="661" t="s">
        <v>717</v>
      </c>
      <c r="D247" s="662"/>
      <c r="E247" s="662"/>
      <c r="F247" s="563"/>
      <c r="G247" s="563"/>
      <c r="H247" s="563"/>
      <c r="I247" s="563"/>
      <c r="J247" s="566"/>
      <c r="K247" s="563"/>
      <c r="L247" s="566"/>
      <c r="M247" s="565"/>
      <c r="N247" s="564"/>
      <c r="V247" s="674"/>
      <c r="W247" s="675"/>
      <c r="AC247" s="675"/>
      <c r="AD247" s="680"/>
      <c r="AE247" s="675"/>
      <c r="AG247" s="675"/>
    </row>
    <row r="248" spans="1:35" s="536" customFormat="1" ht="45" x14ac:dyDescent="0.2">
      <c r="A248" s="575" t="s">
        <v>759</v>
      </c>
      <c r="B248" s="657" t="s">
        <v>1221</v>
      </c>
      <c r="C248" s="1823" t="s">
        <v>1910</v>
      </c>
      <c r="D248" s="1823"/>
      <c r="E248" s="1823"/>
      <c r="F248" s="573" t="s">
        <v>617</v>
      </c>
      <c r="G248" s="573"/>
      <c r="H248" s="573"/>
      <c r="I248" s="573" t="s">
        <v>186</v>
      </c>
      <c r="J248" s="572">
        <v>83.12</v>
      </c>
      <c r="K248" s="573"/>
      <c r="L248" s="572">
        <v>166.24</v>
      </c>
      <c r="M248" s="571"/>
      <c r="N248" s="570"/>
      <c r="V248" s="674"/>
      <c r="W248" s="675" t="s">
        <v>1910</v>
      </c>
      <c r="AC248" s="675"/>
      <c r="AD248" s="680"/>
      <c r="AE248" s="675"/>
      <c r="AG248" s="675"/>
    </row>
    <row r="249" spans="1:35" s="536" customFormat="1" ht="12" x14ac:dyDescent="0.2">
      <c r="A249" s="569"/>
      <c r="B249" s="656"/>
      <c r="C249" s="661" t="s">
        <v>717</v>
      </c>
      <c r="D249" s="662"/>
      <c r="E249" s="662"/>
      <c r="F249" s="563"/>
      <c r="G249" s="563"/>
      <c r="H249" s="563"/>
      <c r="I249" s="563"/>
      <c r="J249" s="566"/>
      <c r="K249" s="563"/>
      <c r="L249" s="566"/>
      <c r="M249" s="565"/>
      <c r="N249" s="564"/>
      <c r="V249" s="674"/>
      <c r="W249" s="675"/>
      <c r="AC249" s="675"/>
      <c r="AD249" s="680"/>
      <c r="AE249" s="675"/>
      <c r="AG249" s="675"/>
    </row>
    <row r="250" spans="1:35" s="536" customFormat="1" ht="12" x14ac:dyDescent="0.2">
      <c r="A250" s="1830" t="s">
        <v>1223</v>
      </c>
      <c r="B250" s="1831"/>
      <c r="C250" s="1831"/>
      <c r="D250" s="1831"/>
      <c r="E250" s="1831"/>
      <c r="F250" s="1831"/>
      <c r="G250" s="1831"/>
      <c r="H250" s="1831"/>
      <c r="I250" s="1831"/>
      <c r="J250" s="1831"/>
      <c r="K250" s="1831"/>
      <c r="L250" s="1831"/>
      <c r="M250" s="1831"/>
      <c r="N250" s="1832"/>
      <c r="V250" s="674"/>
      <c r="W250" s="675"/>
      <c r="AC250" s="675"/>
      <c r="AD250" s="680"/>
      <c r="AE250" s="675"/>
      <c r="AG250" s="675"/>
      <c r="AI250" s="675" t="s">
        <v>1223</v>
      </c>
    </row>
    <row r="251" spans="1:35" s="536" customFormat="1" ht="22.5" x14ac:dyDescent="0.2">
      <c r="A251" s="575" t="s">
        <v>917</v>
      </c>
      <c r="B251" s="657" t="s">
        <v>1224</v>
      </c>
      <c r="C251" s="1823" t="s">
        <v>1225</v>
      </c>
      <c r="D251" s="1823"/>
      <c r="E251" s="1823"/>
      <c r="F251" s="573" t="s">
        <v>1110</v>
      </c>
      <c r="G251" s="573"/>
      <c r="H251" s="573"/>
      <c r="I251" s="573" t="s">
        <v>1911</v>
      </c>
      <c r="J251" s="572"/>
      <c r="K251" s="573"/>
      <c r="L251" s="572"/>
      <c r="M251" s="571"/>
      <c r="N251" s="570"/>
      <c r="V251" s="674"/>
      <c r="W251" s="675" t="s">
        <v>1225</v>
      </c>
      <c r="AC251" s="675"/>
      <c r="AD251" s="680"/>
      <c r="AE251" s="675"/>
      <c r="AG251" s="675"/>
      <c r="AI251" s="675"/>
    </row>
    <row r="252" spans="1:35" s="536" customFormat="1" ht="12" x14ac:dyDescent="0.2">
      <c r="A252" s="676"/>
      <c r="B252" s="655"/>
      <c r="C252" s="1822" t="s">
        <v>1912</v>
      </c>
      <c r="D252" s="1822"/>
      <c r="E252" s="1822"/>
      <c r="F252" s="1822"/>
      <c r="G252" s="1822"/>
      <c r="H252" s="1822"/>
      <c r="I252" s="1822"/>
      <c r="J252" s="1822"/>
      <c r="K252" s="1822"/>
      <c r="L252" s="1822"/>
      <c r="M252" s="1822"/>
      <c r="N252" s="1827"/>
      <c r="V252" s="674"/>
      <c r="W252" s="675"/>
      <c r="X252" s="537" t="s">
        <v>1912</v>
      </c>
      <c r="AC252" s="675"/>
      <c r="AD252" s="680"/>
      <c r="AE252" s="675"/>
      <c r="AG252" s="675"/>
      <c r="AI252" s="675"/>
    </row>
    <row r="253" spans="1:35" s="536" customFormat="1" ht="33.75" x14ac:dyDescent="0.2">
      <c r="A253" s="609"/>
      <c r="B253" s="552" t="s">
        <v>310</v>
      </c>
      <c r="C253" s="1822" t="s">
        <v>311</v>
      </c>
      <c r="D253" s="1822"/>
      <c r="E253" s="1822"/>
      <c r="F253" s="1822"/>
      <c r="G253" s="1822"/>
      <c r="H253" s="1822"/>
      <c r="I253" s="1822"/>
      <c r="J253" s="1822"/>
      <c r="K253" s="1822"/>
      <c r="L253" s="1822"/>
      <c r="M253" s="1822"/>
      <c r="N253" s="1827"/>
      <c r="V253" s="674"/>
      <c r="W253" s="675"/>
      <c r="Y253" s="537" t="s">
        <v>311</v>
      </c>
      <c r="AC253" s="675"/>
      <c r="AD253" s="680"/>
      <c r="AE253" s="675"/>
      <c r="AG253" s="675"/>
      <c r="AI253" s="675"/>
    </row>
    <row r="254" spans="1:35" s="536" customFormat="1" ht="12" x14ac:dyDescent="0.2">
      <c r="A254" s="605"/>
      <c r="B254" s="552" t="s">
        <v>185</v>
      </c>
      <c r="C254" s="1822" t="s">
        <v>312</v>
      </c>
      <c r="D254" s="1822"/>
      <c r="E254" s="1822"/>
      <c r="F254" s="562"/>
      <c r="G254" s="562"/>
      <c r="H254" s="562"/>
      <c r="I254" s="562"/>
      <c r="J254" s="604">
        <v>49.82</v>
      </c>
      <c r="K254" s="562" t="s">
        <v>313</v>
      </c>
      <c r="L254" s="604">
        <v>10.59</v>
      </c>
      <c r="M254" s="603"/>
      <c r="N254" s="602"/>
      <c r="V254" s="674"/>
      <c r="W254" s="675"/>
      <c r="Z254" s="537" t="s">
        <v>312</v>
      </c>
      <c r="AC254" s="675"/>
      <c r="AD254" s="680"/>
      <c r="AE254" s="675"/>
      <c r="AG254" s="675"/>
      <c r="AI254" s="675"/>
    </row>
    <row r="255" spans="1:35" s="536" customFormat="1" ht="12" x14ac:dyDescent="0.2">
      <c r="A255" s="605"/>
      <c r="B255" s="552" t="s">
        <v>186</v>
      </c>
      <c r="C255" s="1822" t="s">
        <v>344</v>
      </c>
      <c r="D255" s="1822"/>
      <c r="E255" s="1822"/>
      <c r="F255" s="562"/>
      <c r="G255" s="562"/>
      <c r="H255" s="562"/>
      <c r="I255" s="562"/>
      <c r="J255" s="604">
        <v>6.09</v>
      </c>
      <c r="K255" s="562" t="s">
        <v>313</v>
      </c>
      <c r="L255" s="604">
        <v>1.29</v>
      </c>
      <c r="M255" s="603"/>
      <c r="N255" s="602"/>
      <c r="V255" s="674"/>
      <c r="W255" s="675"/>
      <c r="Z255" s="537" t="s">
        <v>344</v>
      </c>
      <c r="AC255" s="675"/>
      <c r="AD255" s="680"/>
      <c r="AE255" s="675"/>
      <c r="AG255" s="675"/>
      <c r="AI255" s="675"/>
    </row>
    <row r="256" spans="1:35" s="536" customFormat="1" ht="12" x14ac:dyDescent="0.2">
      <c r="A256" s="605"/>
      <c r="B256" s="552" t="s">
        <v>187</v>
      </c>
      <c r="C256" s="1822" t="s">
        <v>345</v>
      </c>
      <c r="D256" s="1822"/>
      <c r="E256" s="1822"/>
      <c r="F256" s="562"/>
      <c r="G256" s="562"/>
      <c r="H256" s="562"/>
      <c r="I256" s="562"/>
      <c r="J256" s="604">
        <v>1.28</v>
      </c>
      <c r="K256" s="562" t="s">
        <v>313</v>
      </c>
      <c r="L256" s="604">
        <v>0.27</v>
      </c>
      <c r="M256" s="603"/>
      <c r="N256" s="602"/>
      <c r="V256" s="674"/>
      <c r="W256" s="675"/>
      <c r="Z256" s="537" t="s">
        <v>345</v>
      </c>
      <c r="AC256" s="675"/>
      <c r="AD256" s="680"/>
      <c r="AE256" s="675"/>
      <c r="AG256" s="675"/>
      <c r="AI256" s="675"/>
    </row>
    <row r="257" spans="1:35" s="536" customFormat="1" ht="12" x14ac:dyDescent="0.2">
      <c r="A257" s="676"/>
      <c r="B257" s="677" t="s">
        <v>1228</v>
      </c>
      <c r="C257" s="1829" t="s">
        <v>1229</v>
      </c>
      <c r="D257" s="1829"/>
      <c r="E257" s="1829"/>
      <c r="F257" s="678" t="s">
        <v>694</v>
      </c>
      <c r="G257" s="678" t="s">
        <v>525</v>
      </c>
      <c r="H257" s="678"/>
      <c r="I257" s="678" t="s">
        <v>525</v>
      </c>
      <c r="J257" s="552"/>
      <c r="K257" s="562"/>
      <c r="L257" s="604"/>
      <c r="M257" s="562"/>
      <c r="N257" s="679"/>
      <c r="V257" s="674"/>
      <c r="W257" s="675"/>
      <c r="AC257" s="675"/>
      <c r="AD257" s="680" t="s">
        <v>1229</v>
      </c>
      <c r="AE257" s="675"/>
      <c r="AG257" s="675"/>
      <c r="AI257" s="675"/>
    </row>
    <row r="258" spans="1:35" s="536" customFormat="1" ht="12" x14ac:dyDescent="0.2">
      <c r="A258" s="605"/>
      <c r="B258" s="552"/>
      <c r="C258" s="1822" t="s">
        <v>314</v>
      </c>
      <c r="D258" s="1822"/>
      <c r="E258" s="1822"/>
      <c r="F258" s="562" t="s">
        <v>315</v>
      </c>
      <c r="G258" s="562" t="s">
        <v>1230</v>
      </c>
      <c r="H258" s="562" t="s">
        <v>313</v>
      </c>
      <c r="I258" s="562" t="s">
        <v>1913</v>
      </c>
      <c r="J258" s="604"/>
      <c r="K258" s="562"/>
      <c r="L258" s="604"/>
      <c r="M258" s="603"/>
      <c r="N258" s="602"/>
      <c r="V258" s="674"/>
      <c r="W258" s="675"/>
      <c r="AA258" s="537" t="s">
        <v>314</v>
      </c>
      <c r="AC258" s="675"/>
      <c r="AD258" s="680"/>
      <c r="AE258" s="675"/>
      <c r="AG258" s="675"/>
      <c r="AI258" s="675"/>
    </row>
    <row r="259" spans="1:35" s="536" customFormat="1" ht="12" x14ac:dyDescent="0.2">
      <c r="A259" s="605"/>
      <c r="B259" s="552"/>
      <c r="C259" s="1822" t="s">
        <v>348</v>
      </c>
      <c r="D259" s="1822"/>
      <c r="E259" s="1822"/>
      <c r="F259" s="562" t="s">
        <v>315</v>
      </c>
      <c r="G259" s="562" t="s">
        <v>1232</v>
      </c>
      <c r="H259" s="562" t="s">
        <v>313</v>
      </c>
      <c r="I259" s="562" t="s">
        <v>1914</v>
      </c>
      <c r="J259" s="604"/>
      <c r="K259" s="562"/>
      <c r="L259" s="604"/>
      <c r="M259" s="603"/>
      <c r="N259" s="602"/>
      <c r="V259" s="674"/>
      <c r="W259" s="675"/>
      <c r="AA259" s="537" t="s">
        <v>348</v>
      </c>
      <c r="AC259" s="675"/>
      <c r="AD259" s="680"/>
      <c r="AE259" s="675"/>
      <c r="AG259" s="675"/>
      <c r="AI259" s="675"/>
    </row>
    <row r="260" spans="1:35" s="536" customFormat="1" ht="12" x14ac:dyDescent="0.2">
      <c r="A260" s="605"/>
      <c r="B260" s="552"/>
      <c r="C260" s="1828" t="s">
        <v>318</v>
      </c>
      <c r="D260" s="1828"/>
      <c r="E260" s="1828"/>
      <c r="F260" s="608"/>
      <c r="G260" s="608"/>
      <c r="H260" s="608"/>
      <c r="I260" s="608"/>
      <c r="J260" s="607">
        <v>55.91</v>
      </c>
      <c r="K260" s="608"/>
      <c r="L260" s="607">
        <v>11.88</v>
      </c>
      <c r="M260" s="601"/>
      <c r="N260" s="606"/>
      <c r="V260" s="674"/>
      <c r="W260" s="675"/>
      <c r="AB260" s="537" t="s">
        <v>318</v>
      </c>
      <c r="AC260" s="675"/>
      <c r="AD260" s="680"/>
      <c r="AE260" s="675"/>
      <c r="AG260" s="675"/>
      <c r="AI260" s="675"/>
    </row>
    <row r="261" spans="1:35" s="536" customFormat="1" ht="12" x14ac:dyDescent="0.2">
      <c r="A261" s="605"/>
      <c r="B261" s="552"/>
      <c r="C261" s="1822" t="s">
        <v>319</v>
      </c>
      <c r="D261" s="1822"/>
      <c r="E261" s="1822"/>
      <c r="F261" s="562"/>
      <c r="G261" s="562"/>
      <c r="H261" s="562"/>
      <c r="I261" s="562"/>
      <c r="J261" s="604"/>
      <c r="K261" s="562"/>
      <c r="L261" s="604">
        <v>10.86</v>
      </c>
      <c r="M261" s="603"/>
      <c r="N261" s="602"/>
      <c r="V261" s="674"/>
      <c r="W261" s="675"/>
      <c r="AA261" s="537" t="s">
        <v>319</v>
      </c>
      <c r="AC261" s="675"/>
      <c r="AD261" s="680"/>
      <c r="AE261" s="675"/>
      <c r="AG261" s="675"/>
      <c r="AI261" s="675"/>
    </row>
    <row r="262" spans="1:35" s="536" customFormat="1" ht="33.75" x14ac:dyDescent="0.2">
      <c r="A262" s="605"/>
      <c r="B262" s="552" t="s">
        <v>1155</v>
      </c>
      <c r="C262" s="1822" t="s">
        <v>1156</v>
      </c>
      <c r="D262" s="1822"/>
      <c r="E262" s="1822"/>
      <c r="F262" s="562" t="s">
        <v>322</v>
      </c>
      <c r="G262" s="562" t="s">
        <v>1157</v>
      </c>
      <c r="H262" s="562"/>
      <c r="I262" s="562" t="s">
        <v>1157</v>
      </c>
      <c r="J262" s="604"/>
      <c r="K262" s="562"/>
      <c r="L262" s="604">
        <v>11.84</v>
      </c>
      <c r="M262" s="603"/>
      <c r="N262" s="602"/>
      <c r="V262" s="674"/>
      <c r="W262" s="675"/>
      <c r="AA262" s="537" t="s">
        <v>1156</v>
      </c>
      <c r="AC262" s="675"/>
      <c r="AD262" s="680"/>
      <c r="AE262" s="675"/>
      <c r="AG262" s="675"/>
      <c r="AI262" s="675"/>
    </row>
    <row r="263" spans="1:35" s="536" customFormat="1" ht="33.75" x14ac:dyDescent="0.2">
      <c r="A263" s="605"/>
      <c r="B263" s="552" t="s">
        <v>1158</v>
      </c>
      <c r="C263" s="1822" t="s">
        <v>1159</v>
      </c>
      <c r="D263" s="1822"/>
      <c r="E263" s="1822"/>
      <c r="F263" s="562" t="s">
        <v>322</v>
      </c>
      <c r="G263" s="562" t="s">
        <v>791</v>
      </c>
      <c r="H263" s="562"/>
      <c r="I263" s="562" t="s">
        <v>791</v>
      </c>
      <c r="J263" s="604"/>
      <c r="K263" s="562"/>
      <c r="L263" s="604">
        <v>6.19</v>
      </c>
      <c r="M263" s="603"/>
      <c r="N263" s="602"/>
      <c r="V263" s="674"/>
      <c r="W263" s="675"/>
      <c r="AA263" s="537" t="s">
        <v>1159</v>
      </c>
      <c r="AC263" s="675"/>
      <c r="AD263" s="680"/>
      <c r="AE263" s="675"/>
      <c r="AG263" s="675"/>
      <c r="AI263" s="675"/>
    </row>
    <row r="264" spans="1:35" s="536" customFormat="1" ht="12" x14ac:dyDescent="0.2">
      <c r="A264" s="569"/>
      <c r="B264" s="656"/>
      <c r="C264" s="1823" t="s">
        <v>327</v>
      </c>
      <c r="D264" s="1823"/>
      <c r="E264" s="1823"/>
      <c r="F264" s="573"/>
      <c r="G264" s="573"/>
      <c r="H264" s="573"/>
      <c r="I264" s="573"/>
      <c r="J264" s="572"/>
      <c r="K264" s="573"/>
      <c r="L264" s="572">
        <v>29.91</v>
      </c>
      <c r="M264" s="601"/>
      <c r="N264" s="570"/>
      <c r="V264" s="674"/>
      <c r="W264" s="675"/>
      <c r="AC264" s="675" t="s">
        <v>327</v>
      </c>
      <c r="AD264" s="680"/>
      <c r="AE264" s="675"/>
      <c r="AG264" s="675"/>
      <c r="AI264" s="675"/>
    </row>
    <row r="265" spans="1:35" s="536" customFormat="1" ht="33.75" x14ac:dyDescent="0.2">
      <c r="A265" s="575" t="s">
        <v>761</v>
      </c>
      <c r="B265" s="657" t="s">
        <v>1915</v>
      </c>
      <c r="C265" s="1823" t="s">
        <v>1235</v>
      </c>
      <c r="D265" s="1823"/>
      <c r="E265" s="1823"/>
      <c r="F265" s="573" t="s">
        <v>1236</v>
      </c>
      <c r="G265" s="573"/>
      <c r="H265" s="573"/>
      <c r="I265" s="573" t="s">
        <v>1916</v>
      </c>
      <c r="J265" s="572">
        <v>1670.07</v>
      </c>
      <c r="K265" s="573" t="s">
        <v>716</v>
      </c>
      <c r="L265" s="572">
        <v>1167.07</v>
      </c>
      <c r="M265" s="571">
        <v>8.32</v>
      </c>
      <c r="N265" s="570">
        <v>9710</v>
      </c>
      <c r="V265" s="674"/>
      <c r="W265" s="675" t="s">
        <v>1235</v>
      </c>
      <c r="AC265" s="675"/>
      <c r="AD265" s="680"/>
      <c r="AE265" s="675"/>
      <c r="AG265" s="675"/>
      <c r="AI265" s="675"/>
    </row>
    <row r="266" spans="1:35" s="536" customFormat="1" ht="12" x14ac:dyDescent="0.2">
      <c r="A266" s="569"/>
      <c r="B266" s="656"/>
      <c r="C266" s="661" t="s">
        <v>1173</v>
      </c>
      <c r="D266" s="662"/>
      <c r="E266" s="662"/>
      <c r="F266" s="563"/>
      <c r="G266" s="563"/>
      <c r="H266" s="563"/>
      <c r="I266" s="563"/>
      <c r="J266" s="566"/>
      <c r="K266" s="563"/>
      <c r="L266" s="566"/>
      <c r="M266" s="565"/>
      <c r="N266" s="564"/>
      <c r="V266" s="674"/>
      <c r="W266" s="675"/>
      <c r="AC266" s="675"/>
      <c r="AD266" s="680"/>
      <c r="AE266" s="675"/>
      <c r="AG266" s="675"/>
      <c r="AI266" s="675"/>
    </row>
    <row r="267" spans="1:35" s="536" customFormat="1" ht="12" x14ac:dyDescent="0.2">
      <c r="A267" s="676"/>
      <c r="B267" s="655"/>
      <c r="C267" s="1822" t="s">
        <v>1917</v>
      </c>
      <c r="D267" s="1822"/>
      <c r="E267" s="1822"/>
      <c r="F267" s="1822"/>
      <c r="G267" s="1822"/>
      <c r="H267" s="1822"/>
      <c r="I267" s="1822"/>
      <c r="J267" s="1822"/>
      <c r="K267" s="1822"/>
      <c r="L267" s="1822"/>
      <c r="M267" s="1822"/>
      <c r="N267" s="1827"/>
      <c r="V267" s="674"/>
      <c r="W267" s="675"/>
      <c r="X267" s="537" t="s">
        <v>1917</v>
      </c>
      <c r="AC267" s="675"/>
      <c r="AD267" s="680"/>
      <c r="AE267" s="675"/>
      <c r="AG267" s="675"/>
      <c r="AI267" s="675"/>
    </row>
    <row r="268" spans="1:35" s="536" customFormat="1" ht="22.5" x14ac:dyDescent="0.2">
      <c r="A268" s="609"/>
      <c r="B268" s="552" t="s">
        <v>718</v>
      </c>
      <c r="C268" s="1822" t="s">
        <v>719</v>
      </c>
      <c r="D268" s="1822"/>
      <c r="E268" s="1822"/>
      <c r="F268" s="1822"/>
      <c r="G268" s="1822"/>
      <c r="H268" s="1822"/>
      <c r="I268" s="1822"/>
      <c r="J268" s="1822"/>
      <c r="K268" s="1822"/>
      <c r="L268" s="1822"/>
      <c r="M268" s="1822"/>
      <c r="N268" s="1827"/>
      <c r="V268" s="674"/>
      <c r="W268" s="675"/>
      <c r="Y268" s="537" t="s">
        <v>719</v>
      </c>
      <c r="AC268" s="675"/>
      <c r="AD268" s="680"/>
      <c r="AE268" s="675"/>
      <c r="AG268" s="675"/>
      <c r="AI268" s="675"/>
    </row>
    <row r="269" spans="1:35" s="536" customFormat="1" ht="1.5" customHeight="1" x14ac:dyDescent="0.2">
      <c r="A269" s="563"/>
      <c r="B269" s="656"/>
      <c r="C269" s="656"/>
      <c r="D269" s="656"/>
      <c r="E269" s="656"/>
      <c r="F269" s="563"/>
      <c r="G269" s="563"/>
      <c r="H269" s="563"/>
      <c r="I269" s="563"/>
      <c r="J269" s="546"/>
      <c r="K269" s="563"/>
      <c r="L269" s="546"/>
      <c r="M269" s="562"/>
      <c r="N269" s="546"/>
      <c r="V269" s="674"/>
      <c r="W269" s="675"/>
      <c r="AC269" s="675"/>
      <c r="AD269" s="680"/>
      <c r="AE269" s="675"/>
      <c r="AG269" s="675"/>
      <c r="AI269" s="675"/>
    </row>
    <row r="270" spans="1:35" s="536" customFormat="1" ht="12" x14ac:dyDescent="0.2">
      <c r="A270" s="557"/>
      <c r="B270" s="556"/>
      <c r="C270" s="1823" t="s">
        <v>1918</v>
      </c>
      <c r="D270" s="1823"/>
      <c r="E270" s="1823"/>
      <c r="F270" s="1823"/>
      <c r="G270" s="1823"/>
      <c r="H270" s="1823"/>
      <c r="I270" s="1823"/>
      <c r="J270" s="1823"/>
      <c r="K270" s="1823"/>
      <c r="L270" s="555"/>
      <c r="M270" s="554"/>
      <c r="N270" s="553"/>
      <c r="V270" s="674"/>
      <c r="W270" s="675"/>
      <c r="AC270" s="675"/>
      <c r="AD270" s="680"/>
      <c r="AE270" s="675" t="s">
        <v>1918</v>
      </c>
      <c r="AG270" s="675"/>
      <c r="AI270" s="675"/>
    </row>
    <row r="271" spans="1:35" s="536" customFormat="1" ht="12" x14ac:dyDescent="0.2">
      <c r="A271" s="548"/>
      <c r="B271" s="552"/>
      <c r="C271" s="1822" t="s">
        <v>403</v>
      </c>
      <c r="D271" s="1822"/>
      <c r="E271" s="1822"/>
      <c r="F271" s="1822"/>
      <c r="G271" s="1822"/>
      <c r="H271" s="1822"/>
      <c r="I271" s="1822"/>
      <c r="J271" s="1822"/>
      <c r="K271" s="1822"/>
      <c r="L271" s="551">
        <v>43578.37</v>
      </c>
      <c r="M271" s="550"/>
      <c r="N271" s="549"/>
      <c r="V271" s="674"/>
      <c r="W271" s="675"/>
      <c r="AC271" s="675"/>
      <c r="AD271" s="680"/>
      <c r="AE271" s="675"/>
      <c r="AF271" s="537" t="s">
        <v>403</v>
      </c>
      <c r="AG271" s="675"/>
      <c r="AI271" s="675"/>
    </row>
    <row r="272" spans="1:35" s="536" customFormat="1" ht="12" x14ac:dyDescent="0.2">
      <c r="A272" s="548"/>
      <c r="B272" s="552"/>
      <c r="C272" s="1822" t="s">
        <v>204</v>
      </c>
      <c r="D272" s="1822"/>
      <c r="E272" s="1822"/>
      <c r="F272" s="1822"/>
      <c r="G272" s="1822"/>
      <c r="H272" s="1822"/>
      <c r="I272" s="1822"/>
      <c r="J272" s="1822"/>
      <c r="K272" s="1822"/>
      <c r="L272" s="551"/>
      <c r="M272" s="550"/>
      <c r="N272" s="549"/>
      <c r="V272" s="674"/>
      <c r="W272" s="675"/>
      <c r="AC272" s="675"/>
      <c r="AD272" s="680"/>
      <c r="AE272" s="675"/>
      <c r="AF272" s="537" t="s">
        <v>204</v>
      </c>
      <c r="AG272" s="675"/>
      <c r="AI272" s="675"/>
    </row>
    <row r="273" spans="1:35" s="536" customFormat="1" ht="12" x14ac:dyDescent="0.2">
      <c r="A273" s="548"/>
      <c r="B273" s="552"/>
      <c r="C273" s="1822" t="s">
        <v>404</v>
      </c>
      <c r="D273" s="1822"/>
      <c r="E273" s="1822"/>
      <c r="F273" s="1822"/>
      <c r="G273" s="1822"/>
      <c r="H273" s="1822"/>
      <c r="I273" s="1822"/>
      <c r="J273" s="1822"/>
      <c r="K273" s="1822"/>
      <c r="L273" s="551">
        <v>2810.01</v>
      </c>
      <c r="M273" s="550"/>
      <c r="N273" s="549"/>
      <c r="V273" s="674"/>
      <c r="W273" s="675"/>
      <c r="AC273" s="675"/>
      <c r="AD273" s="680"/>
      <c r="AE273" s="675"/>
      <c r="AF273" s="537" t="s">
        <v>404</v>
      </c>
      <c r="AG273" s="675"/>
      <c r="AI273" s="675"/>
    </row>
    <row r="274" spans="1:35" s="536" customFormat="1" ht="12" x14ac:dyDescent="0.2">
      <c r="A274" s="548"/>
      <c r="B274" s="552"/>
      <c r="C274" s="1822" t="s">
        <v>405</v>
      </c>
      <c r="D274" s="1822"/>
      <c r="E274" s="1822"/>
      <c r="F274" s="1822"/>
      <c r="G274" s="1822"/>
      <c r="H274" s="1822"/>
      <c r="I274" s="1822"/>
      <c r="J274" s="1822"/>
      <c r="K274" s="1822"/>
      <c r="L274" s="551">
        <v>414.9</v>
      </c>
      <c r="M274" s="550"/>
      <c r="N274" s="549"/>
      <c r="V274" s="674"/>
      <c r="W274" s="675"/>
      <c r="AC274" s="675"/>
      <c r="AD274" s="680"/>
      <c r="AE274" s="675"/>
      <c r="AF274" s="537" t="s">
        <v>405</v>
      </c>
      <c r="AG274" s="675"/>
      <c r="AI274" s="675"/>
    </row>
    <row r="275" spans="1:35" s="536" customFormat="1" ht="12" x14ac:dyDescent="0.2">
      <c r="A275" s="548"/>
      <c r="B275" s="552"/>
      <c r="C275" s="1822" t="s">
        <v>406</v>
      </c>
      <c r="D275" s="1822"/>
      <c r="E275" s="1822"/>
      <c r="F275" s="1822"/>
      <c r="G275" s="1822"/>
      <c r="H275" s="1822"/>
      <c r="I275" s="1822"/>
      <c r="J275" s="1822"/>
      <c r="K275" s="1822"/>
      <c r="L275" s="551">
        <v>12.06</v>
      </c>
      <c r="M275" s="550"/>
      <c r="N275" s="549"/>
      <c r="V275" s="674"/>
      <c r="W275" s="675"/>
      <c r="AC275" s="675"/>
      <c r="AD275" s="680"/>
      <c r="AE275" s="675"/>
      <c r="AF275" s="537" t="s">
        <v>406</v>
      </c>
      <c r="AG275" s="675"/>
      <c r="AI275" s="675"/>
    </row>
    <row r="276" spans="1:35" s="536" customFormat="1" ht="12" x14ac:dyDescent="0.2">
      <c r="A276" s="548"/>
      <c r="B276" s="552"/>
      <c r="C276" s="1822" t="s">
        <v>480</v>
      </c>
      <c r="D276" s="1822"/>
      <c r="E276" s="1822"/>
      <c r="F276" s="1822"/>
      <c r="G276" s="1822"/>
      <c r="H276" s="1822"/>
      <c r="I276" s="1822"/>
      <c r="J276" s="1822"/>
      <c r="K276" s="1822"/>
      <c r="L276" s="551">
        <v>40353.46</v>
      </c>
      <c r="M276" s="550"/>
      <c r="N276" s="549"/>
      <c r="V276" s="674"/>
      <c r="W276" s="675"/>
      <c r="AC276" s="675"/>
      <c r="AD276" s="680"/>
      <c r="AE276" s="675"/>
      <c r="AF276" s="537" t="s">
        <v>480</v>
      </c>
      <c r="AG276" s="675"/>
      <c r="AI276" s="675"/>
    </row>
    <row r="277" spans="1:35" s="536" customFormat="1" ht="12" x14ac:dyDescent="0.2">
      <c r="A277" s="548"/>
      <c r="B277" s="552"/>
      <c r="C277" s="1822" t="s">
        <v>407</v>
      </c>
      <c r="D277" s="1822"/>
      <c r="E277" s="1822"/>
      <c r="F277" s="1822"/>
      <c r="G277" s="1822"/>
      <c r="H277" s="1822"/>
      <c r="I277" s="1822"/>
      <c r="J277" s="1822"/>
      <c r="K277" s="1822"/>
      <c r="L277" s="551">
        <v>48263.02</v>
      </c>
      <c r="M277" s="550"/>
      <c r="N277" s="549"/>
      <c r="V277" s="674"/>
      <c r="W277" s="675"/>
      <c r="AC277" s="675"/>
      <c r="AD277" s="680"/>
      <c r="AE277" s="675"/>
      <c r="AF277" s="537" t="s">
        <v>407</v>
      </c>
      <c r="AG277" s="675"/>
      <c r="AI277" s="675"/>
    </row>
    <row r="278" spans="1:35" s="536" customFormat="1" ht="12" x14ac:dyDescent="0.2">
      <c r="A278" s="548"/>
      <c r="B278" s="552"/>
      <c r="C278" s="1822" t="s">
        <v>204</v>
      </c>
      <c r="D278" s="1822"/>
      <c r="E278" s="1822"/>
      <c r="F278" s="1822"/>
      <c r="G278" s="1822"/>
      <c r="H278" s="1822"/>
      <c r="I278" s="1822"/>
      <c r="J278" s="1822"/>
      <c r="K278" s="1822"/>
      <c r="L278" s="551"/>
      <c r="M278" s="550"/>
      <c r="N278" s="549"/>
      <c r="V278" s="674"/>
      <c r="W278" s="675"/>
      <c r="AC278" s="675"/>
      <c r="AD278" s="680"/>
      <c r="AE278" s="675"/>
      <c r="AF278" s="537" t="s">
        <v>204</v>
      </c>
      <c r="AG278" s="675"/>
      <c r="AI278" s="675"/>
    </row>
    <row r="279" spans="1:35" s="536" customFormat="1" ht="12" x14ac:dyDescent="0.2">
      <c r="A279" s="548"/>
      <c r="B279" s="552"/>
      <c r="C279" s="1822" t="s">
        <v>546</v>
      </c>
      <c r="D279" s="1822"/>
      <c r="E279" s="1822"/>
      <c r="F279" s="1822"/>
      <c r="G279" s="1822"/>
      <c r="H279" s="1822"/>
      <c r="I279" s="1822"/>
      <c r="J279" s="1822"/>
      <c r="K279" s="1822"/>
      <c r="L279" s="551">
        <v>2810.01</v>
      </c>
      <c r="M279" s="550"/>
      <c r="N279" s="549"/>
      <c r="V279" s="674"/>
      <c r="W279" s="675"/>
      <c r="AC279" s="675"/>
      <c r="AD279" s="680"/>
      <c r="AE279" s="675"/>
      <c r="AF279" s="537" t="s">
        <v>546</v>
      </c>
      <c r="AG279" s="675"/>
      <c r="AI279" s="675"/>
    </row>
    <row r="280" spans="1:35" s="536" customFormat="1" ht="12" x14ac:dyDescent="0.2">
      <c r="A280" s="548"/>
      <c r="B280" s="552"/>
      <c r="C280" s="1822" t="s">
        <v>442</v>
      </c>
      <c r="D280" s="1822"/>
      <c r="E280" s="1822"/>
      <c r="F280" s="1822"/>
      <c r="G280" s="1822"/>
      <c r="H280" s="1822"/>
      <c r="I280" s="1822"/>
      <c r="J280" s="1822"/>
      <c r="K280" s="1822"/>
      <c r="L280" s="551">
        <v>414.9</v>
      </c>
      <c r="M280" s="550"/>
      <c r="N280" s="549"/>
      <c r="V280" s="674"/>
      <c r="W280" s="675"/>
      <c r="AC280" s="675"/>
      <c r="AD280" s="680"/>
      <c r="AE280" s="675"/>
      <c r="AF280" s="537" t="s">
        <v>442</v>
      </c>
      <c r="AG280" s="675"/>
      <c r="AI280" s="675"/>
    </row>
    <row r="281" spans="1:35" s="536" customFormat="1" ht="12" x14ac:dyDescent="0.2">
      <c r="A281" s="548"/>
      <c r="B281" s="552"/>
      <c r="C281" s="1822" t="s">
        <v>547</v>
      </c>
      <c r="D281" s="1822"/>
      <c r="E281" s="1822"/>
      <c r="F281" s="1822"/>
      <c r="G281" s="1822"/>
      <c r="H281" s="1822"/>
      <c r="I281" s="1822"/>
      <c r="J281" s="1822"/>
      <c r="K281" s="1822"/>
      <c r="L281" s="551">
        <v>40353.46</v>
      </c>
      <c r="M281" s="550"/>
      <c r="N281" s="549"/>
      <c r="V281" s="674"/>
      <c r="W281" s="675"/>
      <c r="AC281" s="675"/>
      <c r="AD281" s="680"/>
      <c r="AE281" s="675"/>
      <c r="AF281" s="537" t="s">
        <v>547</v>
      </c>
      <c r="AG281" s="675"/>
      <c r="AI281" s="675"/>
    </row>
    <row r="282" spans="1:35" s="536" customFormat="1" ht="12" x14ac:dyDescent="0.2">
      <c r="A282" s="548"/>
      <c r="B282" s="552"/>
      <c r="C282" s="1822" t="s">
        <v>443</v>
      </c>
      <c r="D282" s="1822"/>
      <c r="E282" s="1822"/>
      <c r="F282" s="1822"/>
      <c r="G282" s="1822"/>
      <c r="H282" s="1822"/>
      <c r="I282" s="1822"/>
      <c r="J282" s="1822"/>
      <c r="K282" s="1822"/>
      <c r="L282" s="551">
        <v>3076.07</v>
      </c>
      <c r="M282" s="550"/>
      <c r="N282" s="549"/>
      <c r="V282" s="674"/>
      <c r="W282" s="675"/>
      <c r="AC282" s="675"/>
      <c r="AD282" s="680"/>
      <c r="AE282" s="675"/>
      <c r="AF282" s="537" t="s">
        <v>443</v>
      </c>
      <c r="AG282" s="675"/>
      <c r="AI282" s="675"/>
    </row>
    <row r="283" spans="1:35" s="536" customFormat="1" ht="12" x14ac:dyDescent="0.2">
      <c r="A283" s="548"/>
      <c r="B283" s="552"/>
      <c r="C283" s="1822" t="s">
        <v>444</v>
      </c>
      <c r="D283" s="1822"/>
      <c r="E283" s="1822"/>
      <c r="F283" s="1822"/>
      <c r="G283" s="1822"/>
      <c r="H283" s="1822"/>
      <c r="I283" s="1822"/>
      <c r="J283" s="1822"/>
      <c r="K283" s="1822"/>
      <c r="L283" s="551">
        <v>1608.58</v>
      </c>
      <c r="M283" s="550"/>
      <c r="N283" s="549"/>
      <c r="V283" s="674"/>
      <c r="W283" s="675"/>
      <c r="AC283" s="675"/>
      <c r="AD283" s="680"/>
      <c r="AE283" s="675"/>
      <c r="AF283" s="537" t="s">
        <v>444</v>
      </c>
      <c r="AG283" s="675"/>
      <c r="AI283" s="675"/>
    </row>
    <row r="284" spans="1:35" s="536" customFormat="1" ht="12" x14ac:dyDescent="0.2">
      <c r="A284" s="548"/>
      <c r="B284" s="552"/>
      <c r="C284" s="1822" t="s">
        <v>415</v>
      </c>
      <c r="D284" s="1822"/>
      <c r="E284" s="1822"/>
      <c r="F284" s="1822"/>
      <c r="G284" s="1822"/>
      <c r="H284" s="1822"/>
      <c r="I284" s="1822"/>
      <c r="J284" s="1822"/>
      <c r="K284" s="1822"/>
      <c r="L284" s="551">
        <v>2822.07</v>
      </c>
      <c r="M284" s="550"/>
      <c r="N284" s="549"/>
      <c r="V284" s="674"/>
      <c r="W284" s="675"/>
      <c r="AC284" s="675"/>
      <c r="AD284" s="680"/>
      <c r="AE284" s="675"/>
      <c r="AF284" s="537" t="s">
        <v>415</v>
      </c>
      <c r="AG284" s="675"/>
      <c r="AI284" s="675"/>
    </row>
    <row r="285" spans="1:35" s="536" customFormat="1" ht="12" x14ac:dyDescent="0.2">
      <c r="A285" s="548"/>
      <c r="B285" s="552"/>
      <c r="C285" s="1822" t="s">
        <v>416</v>
      </c>
      <c r="D285" s="1822"/>
      <c r="E285" s="1822"/>
      <c r="F285" s="1822"/>
      <c r="G285" s="1822"/>
      <c r="H285" s="1822"/>
      <c r="I285" s="1822"/>
      <c r="J285" s="1822"/>
      <c r="K285" s="1822"/>
      <c r="L285" s="551">
        <v>3076.07</v>
      </c>
      <c r="M285" s="550"/>
      <c r="N285" s="549"/>
      <c r="V285" s="674"/>
      <c r="W285" s="675"/>
      <c r="AC285" s="675"/>
      <c r="AD285" s="680"/>
      <c r="AE285" s="675"/>
      <c r="AF285" s="537" t="s">
        <v>416</v>
      </c>
      <c r="AG285" s="675"/>
      <c r="AI285" s="675"/>
    </row>
    <row r="286" spans="1:35" s="536" customFormat="1" ht="12" x14ac:dyDescent="0.2">
      <c r="A286" s="548"/>
      <c r="B286" s="552"/>
      <c r="C286" s="1822" t="s">
        <v>417</v>
      </c>
      <c r="D286" s="1822"/>
      <c r="E286" s="1822"/>
      <c r="F286" s="1822"/>
      <c r="G286" s="1822"/>
      <c r="H286" s="1822"/>
      <c r="I286" s="1822"/>
      <c r="J286" s="1822"/>
      <c r="K286" s="1822"/>
      <c r="L286" s="551">
        <v>1608.58</v>
      </c>
      <c r="M286" s="550"/>
      <c r="N286" s="549"/>
      <c r="V286" s="674"/>
      <c r="W286" s="675"/>
      <c r="AC286" s="675"/>
      <c r="AD286" s="680"/>
      <c r="AE286" s="675"/>
      <c r="AF286" s="537" t="s">
        <v>417</v>
      </c>
      <c r="AG286" s="675"/>
      <c r="AI286" s="675"/>
    </row>
    <row r="287" spans="1:35" s="536" customFormat="1" ht="12" x14ac:dyDescent="0.2">
      <c r="A287" s="548"/>
      <c r="B287" s="546"/>
      <c r="C287" s="1819" t="s">
        <v>1919</v>
      </c>
      <c r="D287" s="1819"/>
      <c r="E287" s="1819"/>
      <c r="F287" s="1819"/>
      <c r="G287" s="1819"/>
      <c r="H287" s="1819"/>
      <c r="I287" s="1819"/>
      <c r="J287" s="1819"/>
      <c r="K287" s="1819"/>
      <c r="L287" s="544">
        <v>48263.02</v>
      </c>
      <c r="M287" s="543"/>
      <c r="N287" s="681"/>
      <c r="V287" s="674"/>
      <c r="W287" s="675"/>
      <c r="AC287" s="675"/>
      <c r="AD287" s="680"/>
      <c r="AE287" s="675"/>
      <c r="AG287" s="675" t="s">
        <v>1919</v>
      </c>
      <c r="AI287" s="675"/>
    </row>
    <row r="288" spans="1:35" s="536" customFormat="1" ht="12" x14ac:dyDescent="0.2">
      <c r="A288" s="548"/>
      <c r="B288" s="552"/>
      <c r="C288" s="1822" t="s">
        <v>204</v>
      </c>
      <c r="D288" s="1822"/>
      <c r="E288" s="1822"/>
      <c r="F288" s="1822"/>
      <c r="G288" s="1822"/>
      <c r="H288" s="1822"/>
      <c r="I288" s="1822"/>
      <c r="J288" s="1822"/>
      <c r="K288" s="1822"/>
      <c r="L288" s="551"/>
      <c r="M288" s="550"/>
      <c r="N288" s="549"/>
      <c r="V288" s="674"/>
      <c r="W288" s="675"/>
      <c r="AC288" s="675"/>
      <c r="AD288" s="680"/>
      <c r="AE288" s="675"/>
      <c r="AF288" s="537" t="s">
        <v>204</v>
      </c>
      <c r="AG288" s="675"/>
      <c r="AI288" s="675"/>
    </row>
    <row r="289" spans="1:35" s="536" customFormat="1" ht="12" x14ac:dyDescent="0.2">
      <c r="A289" s="548"/>
      <c r="B289" s="552"/>
      <c r="C289" s="1822" t="s">
        <v>8095</v>
      </c>
      <c r="D289" s="1822"/>
      <c r="E289" s="1822"/>
      <c r="F289" s="1822"/>
      <c r="G289" s="1822"/>
      <c r="H289" s="1822"/>
      <c r="I289" s="1822"/>
      <c r="J289" s="1822"/>
      <c r="K289" s="1822"/>
      <c r="L289" s="551">
        <v>4082.94</v>
      </c>
      <c r="M289" s="550"/>
      <c r="N289" s="549"/>
      <c r="V289" s="674"/>
      <c r="W289" s="675"/>
      <c r="AC289" s="675"/>
      <c r="AD289" s="680"/>
      <c r="AE289" s="675"/>
      <c r="AF289" s="537" t="s">
        <v>8095</v>
      </c>
      <c r="AG289" s="675"/>
      <c r="AI289" s="675"/>
    </row>
    <row r="290" spans="1:35" s="536" customFormat="1" ht="12" x14ac:dyDescent="0.2">
      <c r="A290" s="1824" t="s">
        <v>1920</v>
      </c>
      <c r="B290" s="1825"/>
      <c r="C290" s="1825"/>
      <c r="D290" s="1825"/>
      <c r="E290" s="1825"/>
      <c r="F290" s="1825"/>
      <c r="G290" s="1825"/>
      <c r="H290" s="1825"/>
      <c r="I290" s="1825"/>
      <c r="J290" s="1825"/>
      <c r="K290" s="1825"/>
      <c r="L290" s="1825"/>
      <c r="M290" s="1825"/>
      <c r="N290" s="1826"/>
      <c r="V290" s="674" t="s">
        <v>1920</v>
      </c>
      <c r="W290" s="675"/>
      <c r="AC290" s="675"/>
      <c r="AD290" s="680"/>
      <c r="AE290" s="675"/>
      <c r="AG290" s="675"/>
      <c r="AI290" s="675"/>
    </row>
    <row r="291" spans="1:35" s="536" customFormat="1" ht="56.25" x14ac:dyDescent="0.2">
      <c r="A291" s="575" t="s">
        <v>762</v>
      </c>
      <c r="B291" s="657" t="s">
        <v>1921</v>
      </c>
      <c r="C291" s="1823" t="s">
        <v>1922</v>
      </c>
      <c r="D291" s="1823"/>
      <c r="E291" s="1823"/>
      <c r="F291" s="573" t="s">
        <v>862</v>
      </c>
      <c r="G291" s="573"/>
      <c r="H291" s="573"/>
      <c r="I291" s="573" t="s">
        <v>1923</v>
      </c>
      <c r="J291" s="572"/>
      <c r="K291" s="573"/>
      <c r="L291" s="572"/>
      <c r="M291" s="571"/>
      <c r="N291" s="570"/>
      <c r="V291" s="674"/>
      <c r="W291" s="675" t="s">
        <v>1922</v>
      </c>
      <c r="AC291" s="675"/>
      <c r="AD291" s="680"/>
      <c r="AE291" s="675"/>
      <c r="AG291" s="675"/>
      <c r="AI291" s="675"/>
    </row>
    <row r="292" spans="1:35" s="536" customFormat="1" ht="12" x14ac:dyDescent="0.2">
      <c r="A292" s="676"/>
      <c r="B292" s="655"/>
      <c r="C292" s="1822" t="s">
        <v>1924</v>
      </c>
      <c r="D292" s="1822"/>
      <c r="E292" s="1822"/>
      <c r="F292" s="1822"/>
      <c r="G292" s="1822"/>
      <c r="H292" s="1822"/>
      <c r="I292" s="1822"/>
      <c r="J292" s="1822"/>
      <c r="K292" s="1822"/>
      <c r="L292" s="1822"/>
      <c r="M292" s="1822"/>
      <c r="N292" s="1827"/>
      <c r="V292" s="674"/>
      <c r="W292" s="675"/>
      <c r="X292" s="537" t="s">
        <v>1924</v>
      </c>
      <c r="AC292" s="675"/>
      <c r="AD292" s="680"/>
      <c r="AE292" s="675"/>
      <c r="AG292" s="675"/>
      <c r="AI292" s="675"/>
    </row>
    <row r="293" spans="1:35" s="536" customFormat="1" ht="33.75" x14ac:dyDescent="0.2">
      <c r="A293" s="609"/>
      <c r="B293" s="552" t="s">
        <v>310</v>
      </c>
      <c r="C293" s="1822" t="s">
        <v>311</v>
      </c>
      <c r="D293" s="1822"/>
      <c r="E293" s="1822"/>
      <c r="F293" s="1822"/>
      <c r="G293" s="1822"/>
      <c r="H293" s="1822"/>
      <c r="I293" s="1822"/>
      <c r="J293" s="1822"/>
      <c r="K293" s="1822"/>
      <c r="L293" s="1822"/>
      <c r="M293" s="1822"/>
      <c r="N293" s="1827"/>
      <c r="V293" s="674"/>
      <c r="W293" s="675"/>
      <c r="Y293" s="537" t="s">
        <v>311</v>
      </c>
      <c r="AC293" s="675"/>
      <c r="AD293" s="680"/>
      <c r="AE293" s="675"/>
      <c r="AG293" s="675"/>
      <c r="AI293" s="675"/>
    </row>
    <row r="294" spans="1:35" s="536" customFormat="1" ht="12" x14ac:dyDescent="0.2">
      <c r="A294" s="605"/>
      <c r="B294" s="552" t="s">
        <v>185</v>
      </c>
      <c r="C294" s="1822" t="s">
        <v>312</v>
      </c>
      <c r="D294" s="1822"/>
      <c r="E294" s="1822"/>
      <c r="F294" s="562"/>
      <c r="G294" s="562"/>
      <c r="H294" s="562"/>
      <c r="I294" s="562"/>
      <c r="J294" s="604">
        <v>934.21</v>
      </c>
      <c r="K294" s="562" t="s">
        <v>313</v>
      </c>
      <c r="L294" s="604">
        <v>984.42</v>
      </c>
      <c r="M294" s="603"/>
      <c r="N294" s="602"/>
      <c r="V294" s="674"/>
      <c r="W294" s="675"/>
      <c r="Z294" s="537" t="s">
        <v>312</v>
      </c>
      <c r="AC294" s="675"/>
      <c r="AD294" s="680"/>
      <c r="AE294" s="675"/>
      <c r="AG294" s="675"/>
      <c r="AI294" s="675"/>
    </row>
    <row r="295" spans="1:35" s="536" customFormat="1" ht="12" x14ac:dyDescent="0.2">
      <c r="A295" s="605"/>
      <c r="B295" s="552" t="s">
        <v>186</v>
      </c>
      <c r="C295" s="1822" t="s">
        <v>344</v>
      </c>
      <c r="D295" s="1822"/>
      <c r="E295" s="1822"/>
      <c r="F295" s="562"/>
      <c r="G295" s="562"/>
      <c r="H295" s="562"/>
      <c r="I295" s="562"/>
      <c r="J295" s="604">
        <v>85.52</v>
      </c>
      <c r="K295" s="562" t="s">
        <v>313</v>
      </c>
      <c r="L295" s="604">
        <v>90.12</v>
      </c>
      <c r="M295" s="603"/>
      <c r="N295" s="602"/>
      <c r="V295" s="674"/>
      <c r="W295" s="675"/>
      <c r="Z295" s="537" t="s">
        <v>344</v>
      </c>
      <c r="AC295" s="675"/>
      <c r="AD295" s="680"/>
      <c r="AE295" s="675"/>
      <c r="AG295" s="675"/>
      <c r="AI295" s="675"/>
    </row>
    <row r="296" spans="1:35" s="536" customFormat="1" ht="12" x14ac:dyDescent="0.2">
      <c r="A296" s="605"/>
      <c r="B296" s="552" t="s">
        <v>187</v>
      </c>
      <c r="C296" s="1822" t="s">
        <v>345</v>
      </c>
      <c r="D296" s="1822"/>
      <c r="E296" s="1822"/>
      <c r="F296" s="562"/>
      <c r="G296" s="562"/>
      <c r="H296" s="562"/>
      <c r="I296" s="562"/>
      <c r="J296" s="604">
        <v>7.68</v>
      </c>
      <c r="K296" s="562" t="s">
        <v>313</v>
      </c>
      <c r="L296" s="604">
        <v>8.09</v>
      </c>
      <c r="M296" s="603"/>
      <c r="N296" s="602"/>
      <c r="V296" s="674"/>
      <c r="W296" s="675"/>
      <c r="Z296" s="537" t="s">
        <v>345</v>
      </c>
      <c r="AC296" s="675"/>
      <c r="AD296" s="680"/>
      <c r="AE296" s="675"/>
      <c r="AG296" s="675"/>
      <c r="AI296" s="675"/>
    </row>
    <row r="297" spans="1:35" s="536" customFormat="1" ht="12" x14ac:dyDescent="0.2">
      <c r="A297" s="605"/>
      <c r="B297" s="552" t="s">
        <v>188</v>
      </c>
      <c r="C297" s="1822" t="s">
        <v>475</v>
      </c>
      <c r="D297" s="1822"/>
      <c r="E297" s="1822"/>
      <c r="F297" s="562"/>
      <c r="G297" s="562"/>
      <c r="H297" s="562"/>
      <c r="I297" s="562"/>
      <c r="J297" s="604">
        <v>4019.08</v>
      </c>
      <c r="K297" s="562"/>
      <c r="L297" s="604">
        <v>3388.08</v>
      </c>
      <c r="M297" s="603"/>
      <c r="N297" s="602"/>
      <c r="V297" s="674"/>
      <c r="W297" s="675"/>
      <c r="Z297" s="537" t="s">
        <v>475</v>
      </c>
      <c r="AC297" s="675"/>
      <c r="AD297" s="680"/>
      <c r="AE297" s="675"/>
      <c r="AG297" s="675"/>
      <c r="AI297" s="675"/>
    </row>
    <row r="298" spans="1:35" s="536" customFormat="1" ht="12" x14ac:dyDescent="0.2">
      <c r="A298" s="676"/>
      <c r="B298" s="677" t="s">
        <v>1925</v>
      </c>
      <c r="C298" s="1829" t="s">
        <v>1926</v>
      </c>
      <c r="D298" s="1829"/>
      <c r="E298" s="1829"/>
      <c r="F298" s="678" t="s">
        <v>865</v>
      </c>
      <c r="G298" s="678" t="s">
        <v>1927</v>
      </c>
      <c r="H298" s="678"/>
      <c r="I298" s="678" t="s">
        <v>1928</v>
      </c>
      <c r="J298" s="552"/>
      <c r="K298" s="562"/>
      <c r="L298" s="604"/>
      <c r="M298" s="562"/>
      <c r="N298" s="679"/>
      <c r="V298" s="674"/>
      <c r="W298" s="675"/>
      <c r="AC298" s="675"/>
      <c r="AD298" s="680" t="s">
        <v>1926</v>
      </c>
      <c r="AE298" s="675"/>
      <c r="AG298" s="675"/>
      <c r="AI298" s="675"/>
    </row>
    <row r="299" spans="1:35" s="536" customFormat="1" ht="22.5" x14ac:dyDescent="0.2">
      <c r="A299" s="676"/>
      <c r="B299" s="677" t="s">
        <v>1929</v>
      </c>
      <c r="C299" s="1829" t="s">
        <v>1930</v>
      </c>
      <c r="D299" s="1829"/>
      <c r="E299" s="1829"/>
      <c r="F299" s="678" t="s">
        <v>865</v>
      </c>
      <c r="G299" s="678" t="s">
        <v>710</v>
      </c>
      <c r="H299" s="678"/>
      <c r="I299" s="678" t="s">
        <v>1931</v>
      </c>
      <c r="J299" s="552"/>
      <c r="K299" s="562"/>
      <c r="L299" s="604"/>
      <c r="M299" s="562"/>
      <c r="N299" s="679"/>
      <c r="V299" s="674"/>
      <c r="W299" s="675"/>
      <c r="AC299" s="675"/>
      <c r="AD299" s="680" t="s">
        <v>1930</v>
      </c>
      <c r="AE299" s="675"/>
      <c r="AG299" s="675"/>
      <c r="AI299" s="675"/>
    </row>
    <row r="300" spans="1:35" s="536" customFormat="1" ht="12" x14ac:dyDescent="0.2">
      <c r="A300" s="605"/>
      <c r="B300" s="552"/>
      <c r="C300" s="1822" t="s">
        <v>314</v>
      </c>
      <c r="D300" s="1822"/>
      <c r="E300" s="1822"/>
      <c r="F300" s="562" t="s">
        <v>315</v>
      </c>
      <c r="G300" s="562" t="s">
        <v>710</v>
      </c>
      <c r="H300" s="562" t="s">
        <v>313</v>
      </c>
      <c r="I300" s="562" t="s">
        <v>1932</v>
      </c>
      <c r="J300" s="604"/>
      <c r="K300" s="562"/>
      <c r="L300" s="604"/>
      <c r="M300" s="603"/>
      <c r="N300" s="602"/>
      <c r="V300" s="674"/>
      <c r="W300" s="675"/>
      <c r="AA300" s="537" t="s">
        <v>314</v>
      </c>
      <c r="AC300" s="675"/>
      <c r="AD300" s="680"/>
      <c r="AE300" s="675"/>
      <c r="AG300" s="675"/>
      <c r="AI300" s="675"/>
    </row>
    <row r="301" spans="1:35" s="536" customFormat="1" ht="12" x14ac:dyDescent="0.2">
      <c r="A301" s="605"/>
      <c r="B301" s="552"/>
      <c r="C301" s="1822" t="s">
        <v>348</v>
      </c>
      <c r="D301" s="1822"/>
      <c r="E301" s="1822"/>
      <c r="F301" s="562" t="s">
        <v>315</v>
      </c>
      <c r="G301" s="562" t="s">
        <v>823</v>
      </c>
      <c r="H301" s="562" t="s">
        <v>313</v>
      </c>
      <c r="I301" s="562" t="s">
        <v>1933</v>
      </c>
      <c r="J301" s="604"/>
      <c r="K301" s="562"/>
      <c r="L301" s="604"/>
      <c r="M301" s="603"/>
      <c r="N301" s="602"/>
      <c r="V301" s="674"/>
      <c r="W301" s="675"/>
      <c r="AA301" s="537" t="s">
        <v>348</v>
      </c>
      <c r="AC301" s="675"/>
      <c r="AD301" s="680"/>
      <c r="AE301" s="675"/>
      <c r="AG301" s="675"/>
      <c r="AI301" s="675"/>
    </row>
    <row r="302" spans="1:35" s="536" customFormat="1" ht="12" x14ac:dyDescent="0.2">
      <c r="A302" s="605"/>
      <c r="B302" s="552"/>
      <c r="C302" s="1828" t="s">
        <v>318</v>
      </c>
      <c r="D302" s="1828"/>
      <c r="E302" s="1828"/>
      <c r="F302" s="608"/>
      <c r="G302" s="608"/>
      <c r="H302" s="608"/>
      <c r="I302" s="608"/>
      <c r="J302" s="607">
        <v>5038.8100000000004</v>
      </c>
      <c r="K302" s="608"/>
      <c r="L302" s="607">
        <v>4462.62</v>
      </c>
      <c r="M302" s="601"/>
      <c r="N302" s="606"/>
      <c r="V302" s="674"/>
      <c r="W302" s="675"/>
      <c r="AB302" s="537" t="s">
        <v>318</v>
      </c>
      <c r="AC302" s="675"/>
      <c r="AD302" s="680"/>
      <c r="AE302" s="675"/>
      <c r="AG302" s="675"/>
      <c r="AI302" s="675"/>
    </row>
    <row r="303" spans="1:35" s="536" customFormat="1" ht="12" x14ac:dyDescent="0.2">
      <c r="A303" s="605"/>
      <c r="B303" s="552"/>
      <c r="C303" s="1822" t="s">
        <v>319</v>
      </c>
      <c r="D303" s="1822"/>
      <c r="E303" s="1822"/>
      <c r="F303" s="562"/>
      <c r="G303" s="562"/>
      <c r="H303" s="562"/>
      <c r="I303" s="562"/>
      <c r="J303" s="604"/>
      <c r="K303" s="562"/>
      <c r="L303" s="604">
        <v>992.51</v>
      </c>
      <c r="M303" s="603"/>
      <c r="N303" s="602"/>
      <c r="V303" s="674"/>
      <c r="W303" s="675"/>
      <c r="AA303" s="537" t="s">
        <v>319</v>
      </c>
      <c r="AC303" s="675"/>
      <c r="AD303" s="680"/>
      <c r="AE303" s="675"/>
      <c r="AG303" s="675"/>
      <c r="AI303" s="675"/>
    </row>
    <row r="304" spans="1:35" s="536" customFormat="1" ht="33.75" x14ac:dyDescent="0.2">
      <c r="A304" s="605"/>
      <c r="B304" s="552" t="s">
        <v>849</v>
      </c>
      <c r="C304" s="1822" t="s">
        <v>850</v>
      </c>
      <c r="D304" s="1822"/>
      <c r="E304" s="1822"/>
      <c r="F304" s="562" t="s">
        <v>322</v>
      </c>
      <c r="G304" s="562" t="s">
        <v>851</v>
      </c>
      <c r="H304" s="562"/>
      <c r="I304" s="562" t="s">
        <v>851</v>
      </c>
      <c r="J304" s="604"/>
      <c r="K304" s="562"/>
      <c r="L304" s="604">
        <v>1071.9100000000001</v>
      </c>
      <c r="M304" s="603"/>
      <c r="N304" s="602"/>
      <c r="V304" s="674"/>
      <c r="W304" s="675"/>
      <c r="AA304" s="537" t="s">
        <v>850</v>
      </c>
      <c r="AC304" s="675"/>
      <c r="AD304" s="680"/>
      <c r="AE304" s="675"/>
      <c r="AG304" s="675"/>
      <c r="AI304" s="675"/>
    </row>
    <row r="305" spans="1:35" s="536" customFormat="1" ht="33.75" x14ac:dyDescent="0.2">
      <c r="A305" s="605"/>
      <c r="B305" s="552" t="s">
        <v>852</v>
      </c>
      <c r="C305" s="1822" t="s">
        <v>853</v>
      </c>
      <c r="D305" s="1822"/>
      <c r="E305" s="1822"/>
      <c r="F305" s="562" t="s">
        <v>322</v>
      </c>
      <c r="G305" s="562" t="s">
        <v>789</v>
      </c>
      <c r="H305" s="562"/>
      <c r="I305" s="562" t="s">
        <v>789</v>
      </c>
      <c r="J305" s="604"/>
      <c r="K305" s="562"/>
      <c r="L305" s="604">
        <v>545.88</v>
      </c>
      <c r="M305" s="603"/>
      <c r="N305" s="602"/>
      <c r="V305" s="674"/>
      <c r="W305" s="675"/>
      <c r="AA305" s="537" t="s">
        <v>853</v>
      </c>
      <c r="AC305" s="675"/>
      <c r="AD305" s="680"/>
      <c r="AE305" s="675"/>
      <c r="AG305" s="675"/>
      <c r="AI305" s="675"/>
    </row>
    <row r="306" spans="1:35" s="536" customFormat="1" ht="12" x14ac:dyDescent="0.2">
      <c r="A306" s="569"/>
      <c r="B306" s="656"/>
      <c r="C306" s="1823" t="s">
        <v>327</v>
      </c>
      <c r="D306" s="1823"/>
      <c r="E306" s="1823"/>
      <c r="F306" s="573"/>
      <c r="G306" s="573"/>
      <c r="H306" s="573"/>
      <c r="I306" s="573"/>
      <c r="J306" s="572"/>
      <c r="K306" s="573"/>
      <c r="L306" s="572">
        <v>6080.41</v>
      </c>
      <c r="M306" s="601"/>
      <c r="N306" s="570"/>
      <c r="V306" s="674"/>
      <c r="W306" s="675"/>
      <c r="AC306" s="675" t="s">
        <v>327</v>
      </c>
      <c r="AD306" s="680"/>
      <c r="AE306" s="675"/>
      <c r="AG306" s="675"/>
      <c r="AI306" s="675"/>
    </row>
    <row r="307" spans="1:35" s="536" customFormat="1" ht="22.5" x14ac:dyDescent="0.2">
      <c r="A307" s="575" t="s">
        <v>763</v>
      </c>
      <c r="B307" s="657" t="s">
        <v>1934</v>
      </c>
      <c r="C307" s="1823" t="s">
        <v>1935</v>
      </c>
      <c r="D307" s="1823"/>
      <c r="E307" s="1823"/>
      <c r="F307" s="573" t="s">
        <v>865</v>
      </c>
      <c r="G307" s="573"/>
      <c r="H307" s="573"/>
      <c r="I307" s="573" t="s">
        <v>1928</v>
      </c>
      <c r="J307" s="572">
        <v>15</v>
      </c>
      <c r="K307" s="573"/>
      <c r="L307" s="572">
        <v>2857.77</v>
      </c>
      <c r="M307" s="571"/>
      <c r="N307" s="570"/>
      <c r="V307" s="674"/>
      <c r="W307" s="675" t="s">
        <v>1935</v>
      </c>
      <c r="AC307" s="675"/>
      <c r="AD307" s="680"/>
      <c r="AE307" s="675"/>
      <c r="AG307" s="675"/>
      <c r="AI307" s="675"/>
    </row>
    <row r="308" spans="1:35" s="536" customFormat="1" ht="12" x14ac:dyDescent="0.2">
      <c r="A308" s="569"/>
      <c r="B308" s="656"/>
      <c r="C308" s="661" t="s">
        <v>717</v>
      </c>
      <c r="D308" s="662"/>
      <c r="E308" s="662"/>
      <c r="F308" s="563"/>
      <c r="G308" s="563"/>
      <c r="H308" s="563"/>
      <c r="I308" s="563"/>
      <c r="J308" s="566"/>
      <c r="K308" s="563"/>
      <c r="L308" s="566"/>
      <c r="M308" s="565"/>
      <c r="N308" s="564"/>
      <c r="V308" s="674"/>
      <c r="W308" s="675"/>
      <c r="AC308" s="675"/>
      <c r="AD308" s="680"/>
      <c r="AE308" s="675"/>
      <c r="AG308" s="675"/>
      <c r="AI308" s="675"/>
    </row>
    <row r="309" spans="1:35" s="536" customFormat="1" ht="22.5" x14ac:dyDescent="0.2">
      <c r="A309" s="575" t="s">
        <v>922</v>
      </c>
      <c r="B309" s="657" t="s">
        <v>1936</v>
      </c>
      <c r="C309" s="1823" t="s">
        <v>1937</v>
      </c>
      <c r="D309" s="1823"/>
      <c r="E309" s="1823"/>
      <c r="F309" s="573" t="s">
        <v>865</v>
      </c>
      <c r="G309" s="573"/>
      <c r="H309" s="573"/>
      <c r="I309" s="573" t="s">
        <v>1938</v>
      </c>
      <c r="J309" s="572">
        <v>20.38</v>
      </c>
      <c r="K309" s="573"/>
      <c r="L309" s="572">
        <v>1769.6</v>
      </c>
      <c r="M309" s="571"/>
      <c r="N309" s="570"/>
      <c r="V309" s="674"/>
      <c r="W309" s="675" t="s">
        <v>1937</v>
      </c>
      <c r="AC309" s="675"/>
      <c r="AD309" s="680"/>
      <c r="AE309" s="675"/>
      <c r="AG309" s="675"/>
      <c r="AI309" s="675"/>
    </row>
    <row r="310" spans="1:35" s="536" customFormat="1" ht="12" x14ac:dyDescent="0.2">
      <c r="A310" s="569"/>
      <c r="B310" s="656"/>
      <c r="C310" s="661" t="s">
        <v>717</v>
      </c>
      <c r="D310" s="662"/>
      <c r="E310" s="662"/>
      <c r="F310" s="563"/>
      <c r="G310" s="563"/>
      <c r="H310" s="563"/>
      <c r="I310" s="563"/>
      <c r="J310" s="566"/>
      <c r="K310" s="563"/>
      <c r="L310" s="566"/>
      <c r="M310" s="565"/>
      <c r="N310" s="564"/>
      <c r="V310" s="674"/>
      <c r="W310" s="675"/>
      <c r="AC310" s="675"/>
      <c r="AD310" s="680"/>
      <c r="AE310" s="675"/>
      <c r="AG310" s="675"/>
      <c r="AI310" s="675"/>
    </row>
    <row r="311" spans="1:35" s="536" customFormat="1" ht="56.25" x14ac:dyDescent="0.2">
      <c r="A311" s="575" t="s">
        <v>765</v>
      </c>
      <c r="B311" s="657" t="s">
        <v>1921</v>
      </c>
      <c r="C311" s="1823" t="s">
        <v>1922</v>
      </c>
      <c r="D311" s="1823"/>
      <c r="E311" s="1823"/>
      <c r="F311" s="573" t="s">
        <v>862</v>
      </c>
      <c r="G311" s="573"/>
      <c r="H311" s="573"/>
      <c r="I311" s="573" t="s">
        <v>1939</v>
      </c>
      <c r="J311" s="572"/>
      <c r="K311" s="573"/>
      <c r="L311" s="572"/>
      <c r="M311" s="571"/>
      <c r="N311" s="570"/>
      <c r="V311" s="674"/>
      <c r="W311" s="675" t="s">
        <v>1922</v>
      </c>
      <c r="AC311" s="675"/>
      <c r="AD311" s="680"/>
      <c r="AE311" s="675"/>
      <c r="AG311" s="675"/>
      <c r="AI311" s="675"/>
    </row>
    <row r="312" spans="1:35" s="536" customFormat="1" ht="12" x14ac:dyDescent="0.2">
      <c r="A312" s="676"/>
      <c r="B312" s="655"/>
      <c r="C312" s="1822" t="s">
        <v>1940</v>
      </c>
      <c r="D312" s="1822"/>
      <c r="E312" s="1822"/>
      <c r="F312" s="1822"/>
      <c r="G312" s="1822"/>
      <c r="H312" s="1822"/>
      <c r="I312" s="1822"/>
      <c r="J312" s="1822"/>
      <c r="K312" s="1822"/>
      <c r="L312" s="1822"/>
      <c r="M312" s="1822"/>
      <c r="N312" s="1827"/>
      <c r="V312" s="674"/>
      <c r="W312" s="675"/>
      <c r="X312" s="537" t="s">
        <v>1940</v>
      </c>
      <c r="AC312" s="675"/>
      <c r="AD312" s="680"/>
      <c r="AE312" s="675"/>
      <c r="AG312" s="675"/>
      <c r="AI312" s="675"/>
    </row>
    <row r="313" spans="1:35" s="536" customFormat="1" ht="33.75" x14ac:dyDescent="0.2">
      <c r="A313" s="609"/>
      <c r="B313" s="552" t="s">
        <v>310</v>
      </c>
      <c r="C313" s="1822" t="s">
        <v>311</v>
      </c>
      <c r="D313" s="1822"/>
      <c r="E313" s="1822"/>
      <c r="F313" s="1822"/>
      <c r="G313" s="1822"/>
      <c r="H313" s="1822"/>
      <c r="I313" s="1822"/>
      <c r="J313" s="1822"/>
      <c r="K313" s="1822"/>
      <c r="L313" s="1822"/>
      <c r="M313" s="1822"/>
      <c r="N313" s="1827"/>
      <c r="V313" s="674"/>
      <c r="W313" s="675"/>
      <c r="Y313" s="537" t="s">
        <v>311</v>
      </c>
      <c r="AC313" s="675"/>
      <c r="AD313" s="680"/>
      <c r="AE313" s="675"/>
      <c r="AG313" s="675"/>
      <c r="AI313" s="675"/>
    </row>
    <row r="314" spans="1:35" s="536" customFormat="1" ht="12" x14ac:dyDescent="0.2">
      <c r="A314" s="605"/>
      <c r="B314" s="552" t="s">
        <v>185</v>
      </c>
      <c r="C314" s="1822" t="s">
        <v>312</v>
      </c>
      <c r="D314" s="1822"/>
      <c r="E314" s="1822"/>
      <c r="F314" s="562"/>
      <c r="G314" s="562"/>
      <c r="H314" s="562"/>
      <c r="I314" s="562"/>
      <c r="J314" s="604">
        <v>934.21</v>
      </c>
      <c r="K314" s="562" t="s">
        <v>313</v>
      </c>
      <c r="L314" s="604">
        <v>1110.54</v>
      </c>
      <c r="M314" s="603"/>
      <c r="N314" s="602"/>
      <c r="V314" s="674"/>
      <c r="W314" s="675"/>
      <c r="Z314" s="537" t="s">
        <v>312</v>
      </c>
      <c r="AC314" s="675"/>
      <c r="AD314" s="680"/>
      <c r="AE314" s="675"/>
      <c r="AG314" s="675"/>
      <c r="AI314" s="675"/>
    </row>
    <row r="315" spans="1:35" s="536" customFormat="1" ht="12" x14ac:dyDescent="0.2">
      <c r="A315" s="605"/>
      <c r="B315" s="552" t="s">
        <v>186</v>
      </c>
      <c r="C315" s="1822" t="s">
        <v>344</v>
      </c>
      <c r="D315" s="1822"/>
      <c r="E315" s="1822"/>
      <c r="F315" s="562"/>
      <c r="G315" s="562"/>
      <c r="H315" s="562"/>
      <c r="I315" s="562"/>
      <c r="J315" s="604">
        <v>85.52</v>
      </c>
      <c r="K315" s="562" t="s">
        <v>313</v>
      </c>
      <c r="L315" s="604">
        <v>101.66</v>
      </c>
      <c r="M315" s="603"/>
      <c r="N315" s="602"/>
      <c r="V315" s="674"/>
      <c r="W315" s="675"/>
      <c r="Z315" s="537" t="s">
        <v>344</v>
      </c>
      <c r="AC315" s="675"/>
      <c r="AD315" s="680"/>
      <c r="AE315" s="675"/>
      <c r="AG315" s="675"/>
      <c r="AI315" s="675"/>
    </row>
    <row r="316" spans="1:35" s="536" customFormat="1" ht="12" x14ac:dyDescent="0.2">
      <c r="A316" s="605"/>
      <c r="B316" s="552" t="s">
        <v>187</v>
      </c>
      <c r="C316" s="1822" t="s">
        <v>345</v>
      </c>
      <c r="D316" s="1822"/>
      <c r="E316" s="1822"/>
      <c r="F316" s="562"/>
      <c r="G316" s="562"/>
      <c r="H316" s="562"/>
      <c r="I316" s="562"/>
      <c r="J316" s="604">
        <v>7.68</v>
      </c>
      <c r="K316" s="562" t="s">
        <v>313</v>
      </c>
      <c r="L316" s="604">
        <v>9.1300000000000008</v>
      </c>
      <c r="M316" s="603"/>
      <c r="N316" s="602"/>
      <c r="V316" s="674"/>
      <c r="W316" s="675"/>
      <c r="Z316" s="537" t="s">
        <v>345</v>
      </c>
      <c r="AC316" s="675"/>
      <c r="AD316" s="680"/>
      <c r="AE316" s="675"/>
      <c r="AG316" s="675"/>
      <c r="AI316" s="675"/>
    </row>
    <row r="317" spans="1:35" s="536" customFormat="1" ht="12" x14ac:dyDescent="0.2">
      <c r="A317" s="605"/>
      <c r="B317" s="552" t="s">
        <v>188</v>
      </c>
      <c r="C317" s="1822" t="s">
        <v>475</v>
      </c>
      <c r="D317" s="1822"/>
      <c r="E317" s="1822"/>
      <c r="F317" s="562"/>
      <c r="G317" s="562"/>
      <c r="H317" s="562"/>
      <c r="I317" s="562"/>
      <c r="J317" s="604">
        <v>4019.08</v>
      </c>
      <c r="K317" s="562"/>
      <c r="L317" s="604">
        <v>3822.15</v>
      </c>
      <c r="M317" s="603"/>
      <c r="N317" s="602"/>
      <c r="V317" s="674"/>
      <c r="W317" s="675"/>
      <c r="Z317" s="537" t="s">
        <v>475</v>
      </c>
      <c r="AC317" s="675"/>
      <c r="AD317" s="680"/>
      <c r="AE317" s="675"/>
      <c r="AG317" s="675"/>
      <c r="AI317" s="675"/>
    </row>
    <row r="318" spans="1:35" s="536" customFormat="1" ht="12" x14ac:dyDescent="0.2">
      <c r="A318" s="676"/>
      <c r="B318" s="677" t="s">
        <v>1925</v>
      </c>
      <c r="C318" s="1829" t="s">
        <v>1926</v>
      </c>
      <c r="D318" s="1829"/>
      <c r="E318" s="1829"/>
      <c r="F318" s="678" t="s">
        <v>865</v>
      </c>
      <c r="G318" s="678" t="s">
        <v>1927</v>
      </c>
      <c r="H318" s="678"/>
      <c r="I318" s="678" t="s">
        <v>1941</v>
      </c>
      <c r="J318" s="552"/>
      <c r="K318" s="562"/>
      <c r="L318" s="604"/>
      <c r="M318" s="562"/>
      <c r="N318" s="679"/>
      <c r="V318" s="674"/>
      <c r="W318" s="675"/>
      <c r="AC318" s="675"/>
      <c r="AD318" s="680" t="s">
        <v>1926</v>
      </c>
      <c r="AE318" s="675"/>
      <c r="AG318" s="675"/>
      <c r="AI318" s="675"/>
    </row>
    <row r="319" spans="1:35" s="536" customFormat="1" ht="22.5" x14ac:dyDescent="0.2">
      <c r="A319" s="676"/>
      <c r="B319" s="677" t="s">
        <v>1929</v>
      </c>
      <c r="C319" s="1829" t="s">
        <v>1930</v>
      </c>
      <c r="D319" s="1829"/>
      <c r="E319" s="1829"/>
      <c r="F319" s="678" t="s">
        <v>865</v>
      </c>
      <c r="G319" s="678" t="s">
        <v>710</v>
      </c>
      <c r="H319" s="678"/>
      <c r="I319" s="678" t="s">
        <v>1942</v>
      </c>
      <c r="J319" s="552"/>
      <c r="K319" s="562"/>
      <c r="L319" s="604"/>
      <c r="M319" s="562"/>
      <c r="N319" s="679"/>
      <c r="V319" s="674"/>
      <c r="W319" s="675"/>
      <c r="AC319" s="675"/>
      <c r="AD319" s="680" t="s">
        <v>1930</v>
      </c>
      <c r="AE319" s="675"/>
      <c r="AG319" s="675"/>
      <c r="AI319" s="675"/>
    </row>
    <row r="320" spans="1:35" s="536" customFormat="1" ht="12" x14ac:dyDescent="0.2">
      <c r="A320" s="605"/>
      <c r="B320" s="552"/>
      <c r="C320" s="1822" t="s">
        <v>314</v>
      </c>
      <c r="D320" s="1822"/>
      <c r="E320" s="1822"/>
      <c r="F320" s="562" t="s">
        <v>315</v>
      </c>
      <c r="G320" s="562" t="s">
        <v>710</v>
      </c>
      <c r="H320" s="562" t="s">
        <v>313</v>
      </c>
      <c r="I320" s="562" t="s">
        <v>1943</v>
      </c>
      <c r="J320" s="604"/>
      <c r="K320" s="562"/>
      <c r="L320" s="604"/>
      <c r="M320" s="603"/>
      <c r="N320" s="602"/>
      <c r="V320" s="674"/>
      <c r="W320" s="675"/>
      <c r="AA320" s="537" t="s">
        <v>314</v>
      </c>
      <c r="AC320" s="675"/>
      <c r="AD320" s="680"/>
      <c r="AE320" s="675"/>
      <c r="AG320" s="675"/>
      <c r="AI320" s="675"/>
    </row>
    <row r="321" spans="1:35" s="536" customFormat="1" ht="12" x14ac:dyDescent="0.2">
      <c r="A321" s="605"/>
      <c r="B321" s="552"/>
      <c r="C321" s="1822" t="s">
        <v>348</v>
      </c>
      <c r="D321" s="1822"/>
      <c r="E321" s="1822"/>
      <c r="F321" s="562" t="s">
        <v>315</v>
      </c>
      <c r="G321" s="562" t="s">
        <v>823</v>
      </c>
      <c r="H321" s="562" t="s">
        <v>313</v>
      </c>
      <c r="I321" s="562" t="s">
        <v>1944</v>
      </c>
      <c r="J321" s="604"/>
      <c r="K321" s="562"/>
      <c r="L321" s="604"/>
      <c r="M321" s="603"/>
      <c r="N321" s="602"/>
      <c r="V321" s="674"/>
      <c r="W321" s="675"/>
      <c r="AA321" s="537" t="s">
        <v>348</v>
      </c>
      <c r="AC321" s="675"/>
      <c r="AD321" s="680"/>
      <c r="AE321" s="675"/>
      <c r="AG321" s="675"/>
      <c r="AI321" s="675"/>
    </row>
    <row r="322" spans="1:35" s="536" customFormat="1" ht="12" x14ac:dyDescent="0.2">
      <c r="A322" s="605"/>
      <c r="B322" s="552"/>
      <c r="C322" s="1828" t="s">
        <v>318</v>
      </c>
      <c r="D322" s="1828"/>
      <c r="E322" s="1828"/>
      <c r="F322" s="608"/>
      <c r="G322" s="608"/>
      <c r="H322" s="608"/>
      <c r="I322" s="608"/>
      <c r="J322" s="607">
        <v>5038.8100000000004</v>
      </c>
      <c r="K322" s="608"/>
      <c r="L322" s="607">
        <v>5034.3500000000004</v>
      </c>
      <c r="M322" s="601"/>
      <c r="N322" s="606"/>
      <c r="V322" s="674"/>
      <c r="W322" s="675"/>
      <c r="AB322" s="537" t="s">
        <v>318</v>
      </c>
      <c r="AC322" s="675"/>
      <c r="AD322" s="680"/>
      <c r="AE322" s="675"/>
      <c r="AG322" s="675"/>
      <c r="AI322" s="675"/>
    </row>
    <row r="323" spans="1:35" s="536" customFormat="1" ht="12" x14ac:dyDescent="0.2">
      <c r="A323" s="605"/>
      <c r="B323" s="552"/>
      <c r="C323" s="1822" t="s">
        <v>319</v>
      </c>
      <c r="D323" s="1822"/>
      <c r="E323" s="1822"/>
      <c r="F323" s="562"/>
      <c r="G323" s="562"/>
      <c r="H323" s="562"/>
      <c r="I323" s="562"/>
      <c r="J323" s="604"/>
      <c r="K323" s="562"/>
      <c r="L323" s="604">
        <v>1119.67</v>
      </c>
      <c r="M323" s="603"/>
      <c r="N323" s="602"/>
      <c r="V323" s="674"/>
      <c r="W323" s="675"/>
      <c r="AA323" s="537" t="s">
        <v>319</v>
      </c>
      <c r="AC323" s="675"/>
      <c r="AD323" s="680"/>
      <c r="AE323" s="675"/>
      <c r="AG323" s="675"/>
      <c r="AI323" s="675"/>
    </row>
    <row r="324" spans="1:35" s="536" customFormat="1" ht="33.75" x14ac:dyDescent="0.2">
      <c r="A324" s="605"/>
      <c r="B324" s="552" t="s">
        <v>849</v>
      </c>
      <c r="C324" s="1822" t="s">
        <v>850</v>
      </c>
      <c r="D324" s="1822"/>
      <c r="E324" s="1822"/>
      <c r="F324" s="562" t="s">
        <v>322</v>
      </c>
      <c r="G324" s="562" t="s">
        <v>851</v>
      </c>
      <c r="H324" s="562"/>
      <c r="I324" s="562" t="s">
        <v>851</v>
      </c>
      <c r="J324" s="604"/>
      <c r="K324" s="562"/>
      <c r="L324" s="604">
        <v>1209.24</v>
      </c>
      <c r="M324" s="603"/>
      <c r="N324" s="602"/>
      <c r="V324" s="674"/>
      <c r="W324" s="675"/>
      <c r="AA324" s="537" t="s">
        <v>850</v>
      </c>
      <c r="AC324" s="675"/>
      <c r="AD324" s="680"/>
      <c r="AE324" s="675"/>
      <c r="AG324" s="675"/>
      <c r="AI324" s="675"/>
    </row>
    <row r="325" spans="1:35" s="536" customFormat="1" ht="33.75" x14ac:dyDescent="0.2">
      <c r="A325" s="605"/>
      <c r="B325" s="552" t="s">
        <v>852</v>
      </c>
      <c r="C325" s="1822" t="s">
        <v>853</v>
      </c>
      <c r="D325" s="1822"/>
      <c r="E325" s="1822"/>
      <c r="F325" s="562" t="s">
        <v>322</v>
      </c>
      <c r="G325" s="562" t="s">
        <v>789</v>
      </c>
      <c r="H325" s="562"/>
      <c r="I325" s="562" t="s">
        <v>789</v>
      </c>
      <c r="J325" s="604"/>
      <c r="K325" s="562"/>
      <c r="L325" s="604">
        <v>615.82000000000005</v>
      </c>
      <c r="M325" s="603"/>
      <c r="N325" s="602"/>
      <c r="V325" s="674"/>
      <c r="W325" s="675"/>
      <c r="AA325" s="537" t="s">
        <v>853</v>
      </c>
      <c r="AC325" s="675"/>
      <c r="AD325" s="680"/>
      <c r="AE325" s="675"/>
      <c r="AG325" s="675"/>
      <c r="AI325" s="675"/>
    </row>
    <row r="326" spans="1:35" s="536" customFormat="1" ht="12" x14ac:dyDescent="0.2">
      <c r="A326" s="569"/>
      <c r="B326" s="656"/>
      <c r="C326" s="1823" t="s">
        <v>327</v>
      </c>
      <c r="D326" s="1823"/>
      <c r="E326" s="1823"/>
      <c r="F326" s="573"/>
      <c r="G326" s="573"/>
      <c r="H326" s="573"/>
      <c r="I326" s="573"/>
      <c r="J326" s="572"/>
      <c r="K326" s="573"/>
      <c r="L326" s="572">
        <v>6859.41</v>
      </c>
      <c r="M326" s="601"/>
      <c r="N326" s="570"/>
      <c r="V326" s="674"/>
      <c r="W326" s="675"/>
      <c r="AC326" s="675" t="s">
        <v>327</v>
      </c>
      <c r="AD326" s="680"/>
      <c r="AE326" s="675"/>
      <c r="AG326" s="675"/>
      <c r="AI326" s="675"/>
    </row>
    <row r="327" spans="1:35" s="536" customFormat="1" ht="22.5" x14ac:dyDescent="0.2">
      <c r="A327" s="575" t="s">
        <v>505</v>
      </c>
      <c r="B327" s="657" t="s">
        <v>1945</v>
      </c>
      <c r="C327" s="1823" t="s">
        <v>1946</v>
      </c>
      <c r="D327" s="1823"/>
      <c r="E327" s="1823"/>
      <c r="F327" s="573" t="s">
        <v>865</v>
      </c>
      <c r="G327" s="573"/>
      <c r="H327" s="573"/>
      <c r="I327" s="573" t="s">
        <v>1941</v>
      </c>
      <c r="J327" s="572">
        <v>20.47</v>
      </c>
      <c r="K327" s="573"/>
      <c r="L327" s="572">
        <v>4399.54</v>
      </c>
      <c r="M327" s="571"/>
      <c r="N327" s="570"/>
      <c r="V327" s="674"/>
      <c r="W327" s="675" t="s">
        <v>1946</v>
      </c>
      <c r="AC327" s="675"/>
      <c r="AD327" s="680"/>
      <c r="AE327" s="675"/>
      <c r="AG327" s="675"/>
      <c r="AI327" s="675"/>
    </row>
    <row r="328" spans="1:35" s="536" customFormat="1" ht="12" x14ac:dyDescent="0.2">
      <c r="A328" s="569"/>
      <c r="B328" s="656"/>
      <c r="C328" s="661" t="s">
        <v>717</v>
      </c>
      <c r="D328" s="662"/>
      <c r="E328" s="662"/>
      <c r="F328" s="563"/>
      <c r="G328" s="563"/>
      <c r="H328" s="563"/>
      <c r="I328" s="563"/>
      <c r="J328" s="566"/>
      <c r="K328" s="563"/>
      <c r="L328" s="566"/>
      <c r="M328" s="565"/>
      <c r="N328" s="564"/>
      <c r="V328" s="674"/>
      <c r="W328" s="675"/>
      <c r="AC328" s="675"/>
      <c r="AD328" s="680"/>
      <c r="AE328" s="675"/>
      <c r="AG328" s="675"/>
      <c r="AI328" s="675"/>
    </row>
    <row r="329" spans="1:35" s="536" customFormat="1" ht="22.5" x14ac:dyDescent="0.2">
      <c r="A329" s="575" t="s">
        <v>767</v>
      </c>
      <c r="B329" s="657" t="s">
        <v>1936</v>
      </c>
      <c r="C329" s="1823" t="s">
        <v>1937</v>
      </c>
      <c r="D329" s="1823"/>
      <c r="E329" s="1823"/>
      <c r="F329" s="573" t="s">
        <v>865</v>
      </c>
      <c r="G329" s="573"/>
      <c r="H329" s="573"/>
      <c r="I329" s="573" t="s">
        <v>1947</v>
      </c>
      <c r="J329" s="572">
        <v>20.38</v>
      </c>
      <c r="K329" s="573"/>
      <c r="L329" s="572">
        <v>1996.22</v>
      </c>
      <c r="M329" s="571"/>
      <c r="N329" s="570"/>
      <c r="V329" s="674"/>
      <c r="W329" s="675" t="s">
        <v>1937</v>
      </c>
      <c r="AC329" s="675"/>
      <c r="AD329" s="680"/>
      <c r="AE329" s="675"/>
      <c r="AG329" s="675"/>
      <c r="AI329" s="675"/>
    </row>
    <row r="330" spans="1:35" s="536" customFormat="1" ht="12" x14ac:dyDescent="0.2">
      <c r="A330" s="569"/>
      <c r="B330" s="656"/>
      <c r="C330" s="661" t="s">
        <v>717</v>
      </c>
      <c r="D330" s="662"/>
      <c r="E330" s="662"/>
      <c r="F330" s="563"/>
      <c r="G330" s="563"/>
      <c r="H330" s="563"/>
      <c r="I330" s="563"/>
      <c r="J330" s="566"/>
      <c r="K330" s="563"/>
      <c r="L330" s="566"/>
      <c r="M330" s="565"/>
      <c r="N330" s="564"/>
      <c r="V330" s="674"/>
      <c r="W330" s="675"/>
      <c r="AC330" s="675"/>
      <c r="AD330" s="680"/>
      <c r="AE330" s="675"/>
      <c r="AG330" s="675"/>
      <c r="AI330" s="675"/>
    </row>
    <row r="331" spans="1:35" s="536" customFormat="1" ht="1.5" customHeight="1" x14ac:dyDescent="0.2">
      <c r="A331" s="563"/>
      <c r="B331" s="656"/>
      <c r="C331" s="656"/>
      <c r="D331" s="656"/>
      <c r="E331" s="656"/>
      <c r="F331" s="563"/>
      <c r="G331" s="563"/>
      <c r="H331" s="563"/>
      <c r="I331" s="563"/>
      <c r="J331" s="546"/>
      <c r="K331" s="563"/>
      <c r="L331" s="546"/>
      <c r="M331" s="562"/>
      <c r="N331" s="546"/>
      <c r="V331" s="674"/>
      <c r="W331" s="675"/>
      <c r="AC331" s="675"/>
      <c r="AD331" s="680"/>
      <c r="AE331" s="675"/>
      <c r="AG331" s="675"/>
      <c r="AI331" s="675"/>
    </row>
    <row r="332" spans="1:35" s="536" customFormat="1" ht="12" x14ac:dyDescent="0.2">
      <c r="A332" s="557"/>
      <c r="B332" s="556"/>
      <c r="C332" s="1823" t="s">
        <v>1948</v>
      </c>
      <c r="D332" s="1823"/>
      <c r="E332" s="1823"/>
      <c r="F332" s="1823"/>
      <c r="G332" s="1823"/>
      <c r="H332" s="1823"/>
      <c r="I332" s="1823"/>
      <c r="J332" s="1823"/>
      <c r="K332" s="1823"/>
      <c r="L332" s="555"/>
      <c r="M332" s="554"/>
      <c r="N332" s="553"/>
      <c r="V332" s="674"/>
      <c r="W332" s="675"/>
      <c r="AC332" s="675"/>
      <c r="AD332" s="680"/>
      <c r="AE332" s="675" t="s">
        <v>1948</v>
      </c>
      <c r="AG332" s="675"/>
      <c r="AI332" s="675"/>
    </row>
    <row r="333" spans="1:35" s="536" customFormat="1" ht="12" x14ac:dyDescent="0.2">
      <c r="A333" s="548"/>
      <c r="B333" s="552"/>
      <c r="C333" s="1822" t="s">
        <v>403</v>
      </c>
      <c r="D333" s="1822"/>
      <c r="E333" s="1822"/>
      <c r="F333" s="1822"/>
      <c r="G333" s="1822"/>
      <c r="H333" s="1822"/>
      <c r="I333" s="1822"/>
      <c r="J333" s="1822"/>
      <c r="K333" s="1822"/>
      <c r="L333" s="551">
        <v>20520.099999999999</v>
      </c>
      <c r="M333" s="550"/>
      <c r="N333" s="549"/>
      <c r="V333" s="674"/>
      <c r="W333" s="675"/>
      <c r="AC333" s="675"/>
      <c r="AD333" s="680"/>
      <c r="AE333" s="675"/>
      <c r="AF333" s="537" t="s">
        <v>403</v>
      </c>
      <c r="AG333" s="675"/>
      <c r="AI333" s="675"/>
    </row>
    <row r="334" spans="1:35" s="536" customFormat="1" ht="12" x14ac:dyDescent="0.2">
      <c r="A334" s="548"/>
      <c r="B334" s="552"/>
      <c r="C334" s="1822" t="s">
        <v>204</v>
      </c>
      <c r="D334" s="1822"/>
      <c r="E334" s="1822"/>
      <c r="F334" s="1822"/>
      <c r="G334" s="1822"/>
      <c r="H334" s="1822"/>
      <c r="I334" s="1822"/>
      <c r="J334" s="1822"/>
      <c r="K334" s="1822"/>
      <c r="L334" s="551"/>
      <c r="M334" s="550"/>
      <c r="N334" s="549"/>
      <c r="V334" s="674"/>
      <c r="W334" s="675"/>
      <c r="AC334" s="675"/>
      <c r="AD334" s="680"/>
      <c r="AE334" s="675"/>
      <c r="AF334" s="537" t="s">
        <v>204</v>
      </c>
      <c r="AG334" s="675"/>
      <c r="AI334" s="675"/>
    </row>
    <row r="335" spans="1:35" s="536" customFormat="1" ht="12" x14ac:dyDescent="0.2">
      <c r="A335" s="548"/>
      <c r="B335" s="552"/>
      <c r="C335" s="1822" t="s">
        <v>404</v>
      </c>
      <c r="D335" s="1822"/>
      <c r="E335" s="1822"/>
      <c r="F335" s="1822"/>
      <c r="G335" s="1822"/>
      <c r="H335" s="1822"/>
      <c r="I335" s="1822"/>
      <c r="J335" s="1822"/>
      <c r="K335" s="1822"/>
      <c r="L335" s="551">
        <v>2094.96</v>
      </c>
      <c r="M335" s="550"/>
      <c r="N335" s="549"/>
      <c r="V335" s="674"/>
      <c r="W335" s="675"/>
      <c r="AC335" s="675"/>
      <c r="AD335" s="680"/>
      <c r="AE335" s="675"/>
      <c r="AF335" s="537" t="s">
        <v>404</v>
      </c>
      <c r="AG335" s="675"/>
      <c r="AI335" s="675"/>
    </row>
    <row r="336" spans="1:35" s="536" customFormat="1" ht="12" x14ac:dyDescent="0.2">
      <c r="A336" s="548"/>
      <c r="B336" s="552"/>
      <c r="C336" s="1822" t="s">
        <v>405</v>
      </c>
      <c r="D336" s="1822"/>
      <c r="E336" s="1822"/>
      <c r="F336" s="1822"/>
      <c r="G336" s="1822"/>
      <c r="H336" s="1822"/>
      <c r="I336" s="1822"/>
      <c r="J336" s="1822"/>
      <c r="K336" s="1822"/>
      <c r="L336" s="551">
        <v>191.78</v>
      </c>
      <c r="M336" s="550"/>
      <c r="N336" s="549"/>
      <c r="V336" s="674"/>
      <c r="W336" s="675"/>
      <c r="AC336" s="675"/>
      <c r="AD336" s="680"/>
      <c r="AE336" s="675"/>
      <c r="AF336" s="537" t="s">
        <v>405</v>
      </c>
      <c r="AG336" s="675"/>
      <c r="AI336" s="675"/>
    </row>
    <row r="337" spans="1:35" s="536" customFormat="1" ht="12" x14ac:dyDescent="0.2">
      <c r="A337" s="548"/>
      <c r="B337" s="552"/>
      <c r="C337" s="1822" t="s">
        <v>406</v>
      </c>
      <c r="D337" s="1822"/>
      <c r="E337" s="1822"/>
      <c r="F337" s="1822"/>
      <c r="G337" s="1822"/>
      <c r="H337" s="1822"/>
      <c r="I337" s="1822"/>
      <c r="J337" s="1822"/>
      <c r="K337" s="1822"/>
      <c r="L337" s="551">
        <v>17.22</v>
      </c>
      <c r="M337" s="550"/>
      <c r="N337" s="549"/>
      <c r="V337" s="674"/>
      <c r="W337" s="675"/>
      <c r="AC337" s="675"/>
      <c r="AD337" s="680"/>
      <c r="AE337" s="675"/>
      <c r="AF337" s="537" t="s">
        <v>406</v>
      </c>
      <c r="AG337" s="675"/>
      <c r="AI337" s="675"/>
    </row>
    <row r="338" spans="1:35" s="536" customFormat="1" ht="12" x14ac:dyDescent="0.2">
      <c r="A338" s="548"/>
      <c r="B338" s="552"/>
      <c r="C338" s="1822" t="s">
        <v>480</v>
      </c>
      <c r="D338" s="1822"/>
      <c r="E338" s="1822"/>
      <c r="F338" s="1822"/>
      <c r="G338" s="1822"/>
      <c r="H338" s="1822"/>
      <c r="I338" s="1822"/>
      <c r="J338" s="1822"/>
      <c r="K338" s="1822"/>
      <c r="L338" s="551">
        <v>18233.36</v>
      </c>
      <c r="M338" s="550"/>
      <c r="N338" s="549"/>
      <c r="V338" s="674"/>
      <c r="W338" s="675"/>
      <c r="AC338" s="675"/>
      <c r="AD338" s="680"/>
      <c r="AE338" s="675"/>
      <c r="AF338" s="537" t="s">
        <v>480</v>
      </c>
      <c r="AG338" s="675"/>
      <c r="AI338" s="675"/>
    </row>
    <row r="339" spans="1:35" s="536" customFormat="1" ht="12" x14ac:dyDescent="0.2">
      <c r="A339" s="548"/>
      <c r="B339" s="552"/>
      <c r="C339" s="1822" t="s">
        <v>407</v>
      </c>
      <c r="D339" s="1822"/>
      <c r="E339" s="1822"/>
      <c r="F339" s="1822"/>
      <c r="G339" s="1822"/>
      <c r="H339" s="1822"/>
      <c r="I339" s="1822"/>
      <c r="J339" s="1822"/>
      <c r="K339" s="1822"/>
      <c r="L339" s="551">
        <v>23962.95</v>
      </c>
      <c r="M339" s="550"/>
      <c r="N339" s="549"/>
      <c r="V339" s="674"/>
      <c r="W339" s="675"/>
      <c r="AC339" s="675"/>
      <c r="AD339" s="680"/>
      <c r="AE339" s="675"/>
      <c r="AF339" s="537" t="s">
        <v>407</v>
      </c>
      <c r="AG339" s="675"/>
      <c r="AI339" s="675"/>
    </row>
    <row r="340" spans="1:35" s="536" customFormat="1" ht="12" x14ac:dyDescent="0.2">
      <c r="A340" s="548"/>
      <c r="B340" s="552"/>
      <c r="C340" s="1822" t="s">
        <v>204</v>
      </c>
      <c r="D340" s="1822"/>
      <c r="E340" s="1822"/>
      <c r="F340" s="1822"/>
      <c r="G340" s="1822"/>
      <c r="H340" s="1822"/>
      <c r="I340" s="1822"/>
      <c r="J340" s="1822"/>
      <c r="K340" s="1822"/>
      <c r="L340" s="551"/>
      <c r="M340" s="550"/>
      <c r="N340" s="549"/>
      <c r="V340" s="674"/>
      <c r="W340" s="675"/>
      <c r="AC340" s="675"/>
      <c r="AD340" s="680"/>
      <c r="AE340" s="675"/>
      <c r="AF340" s="537" t="s">
        <v>204</v>
      </c>
      <c r="AG340" s="675"/>
      <c r="AI340" s="675"/>
    </row>
    <row r="341" spans="1:35" s="536" customFormat="1" ht="12" x14ac:dyDescent="0.2">
      <c r="A341" s="548"/>
      <c r="B341" s="552"/>
      <c r="C341" s="1822" t="s">
        <v>546</v>
      </c>
      <c r="D341" s="1822"/>
      <c r="E341" s="1822"/>
      <c r="F341" s="1822"/>
      <c r="G341" s="1822"/>
      <c r="H341" s="1822"/>
      <c r="I341" s="1822"/>
      <c r="J341" s="1822"/>
      <c r="K341" s="1822"/>
      <c r="L341" s="551">
        <v>2094.96</v>
      </c>
      <c r="M341" s="550"/>
      <c r="N341" s="549"/>
      <c r="V341" s="674"/>
      <c r="W341" s="675"/>
      <c r="AC341" s="675"/>
      <c r="AD341" s="680"/>
      <c r="AE341" s="675"/>
      <c r="AF341" s="537" t="s">
        <v>546</v>
      </c>
      <c r="AG341" s="675"/>
      <c r="AI341" s="675"/>
    </row>
    <row r="342" spans="1:35" s="536" customFormat="1" ht="12" x14ac:dyDescent="0.2">
      <c r="A342" s="548"/>
      <c r="B342" s="552"/>
      <c r="C342" s="1822" t="s">
        <v>442</v>
      </c>
      <c r="D342" s="1822"/>
      <c r="E342" s="1822"/>
      <c r="F342" s="1822"/>
      <c r="G342" s="1822"/>
      <c r="H342" s="1822"/>
      <c r="I342" s="1822"/>
      <c r="J342" s="1822"/>
      <c r="K342" s="1822"/>
      <c r="L342" s="551">
        <v>191.78</v>
      </c>
      <c r="M342" s="550"/>
      <c r="N342" s="549"/>
      <c r="V342" s="674"/>
      <c r="W342" s="675"/>
      <c r="AC342" s="675"/>
      <c r="AD342" s="680"/>
      <c r="AE342" s="675"/>
      <c r="AF342" s="537" t="s">
        <v>442</v>
      </c>
      <c r="AG342" s="675"/>
      <c r="AI342" s="675"/>
    </row>
    <row r="343" spans="1:35" s="536" customFormat="1" ht="12" x14ac:dyDescent="0.2">
      <c r="A343" s="548"/>
      <c r="B343" s="552"/>
      <c r="C343" s="1822" t="s">
        <v>547</v>
      </c>
      <c r="D343" s="1822"/>
      <c r="E343" s="1822"/>
      <c r="F343" s="1822"/>
      <c r="G343" s="1822"/>
      <c r="H343" s="1822"/>
      <c r="I343" s="1822"/>
      <c r="J343" s="1822"/>
      <c r="K343" s="1822"/>
      <c r="L343" s="551">
        <v>18233.36</v>
      </c>
      <c r="M343" s="550"/>
      <c r="N343" s="549"/>
      <c r="V343" s="674"/>
      <c r="W343" s="675"/>
      <c r="AC343" s="675"/>
      <c r="AD343" s="680"/>
      <c r="AE343" s="675"/>
      <c r="AF343" s="537" t="s">
        <v>547</v>
      </c>
      <c r="AG343" s="675"/>
      <c r="AI343" s="675"/>
    </row>
    <row r="344" spans="1:35" s="536" customFormat="1" ht="12" x14ac:dyDescent="0.2">
      <c r="A344" s="548"/>
      <c r="B344" s="552"/>
      <c r="C344" s="1822" t="s">
        <v>443</v>
      </c>
      <c r="D344" s="1822"/>
      <c r="E344" s="1822"/>
      <c r="F344" s="1822"/>
      <c r="G344" s="1822"/>
      <c r="H344" s="1822"/>
      <c r="I344" s="1822"/>
      <c r="J344" s="1822"/>
      <c r="K344" s="1822"/>
      <c r="L344" s="551">
        <v>2281.15</v>
      </c>
      <c r="M344" s="550"/>
      <c r="N344" s="549"/>
      <c r="V344" s="674"/>
      <c r="W344" s="675"/>
      <c r="AC344" s="675"/>
      <c r="AD344" s="680"/>
      <c r="AE344" s="675"/>
      <c r="AF344" s="537" t="s">
        <v>443</v>
      </c>
      <c r="AG344" s="675"/>
      <c r="AI344" s="675"/>
    </row>
    <row r="345" spans="1:35" s="536" customFormat="1" ht="12" x14ac:dyDescent="0.2">
      <c r="A345" s="548"/>
      <c r="B345" s="552"/>
      <c r="C345" s="1822" t="s">
        <v>444</v>
      </c>
      <c r="D345" s="1822"/>
      <c r="E345" s="1822"/>
      <c r="F345" s="1822"/>
      <c r="G345" s="1822"/>
      <c r="H345" s="1822"/>
      <c r="I345" s="1822"/>
      <c r="J345" s="1822"/>
      <c r="K345" s="1822"/>
      <c r="L345" s="551">
        <v>1161.7</v>
      </c>
      <c r="M345" s="550"/>
      <c r="N345" s="549"/>
      <c r="V345" s="674"/>
      <c r="W345" s="675"/>
      <c r="AC345" s="675"/>
      <c r="AD345" s="680"/>
      <c r="AE345" s="675"/>
      <c r="AF345" s="537" t="s">
        <v>444</v>
      </c>
      <c r="AG345" s="675"/>
      <c r="AI345" s="675"/>
    </row>
    <row r="346" spans="1:35" s="536" customFormat="1" ht="12" x14ac:dyDescent="0.2">
      <c r="A346" s="548"/>
      <c r="B346" s="552"/>
      <c r="C346" s="1822" t="s">
        <v>415</v>
      </c>
      <c r="D346" s="1822"/>
      <c r="E346" s="1822"/>
      <c r="F346" s="1822"/>
      <c r="G346" s="1822"/>
      <c r="H346" s="1822"/>
      <c r="I346" s="1822"/>
      <c r="J346" s="1822"/>
      <c r="K346" s="1822"/>
      <c r="L346" s="551">
        <v>2112.1799999999998</v>
      </c>
      <c r="M346" s="550"/>
      <c r="N346" s="549"/>
      <c r="V346" s="674"/>
      <c r="W346" s="675"/>
      <c r="AC346" s="675"/>
      <c r="AD346" s="680"/>
      <c r="AE346" s="675"/>
      <c r="AF346" s="537" t="s">
        <v>415</v>
      </c>
      <c r="AG346" s="675"/>
      <c r="AI346" s="675"/>
    </row>
    <row r="347" spans="1:35" s="536" customFormat="1" ht="12" x14ac:dyDescent="0.2">
      <c r="A347" s="548"/>
      <c r="B347" s="552"/>
      <c r="C347" s="1822" t="s">
        <v>416</v>
      </c>
      <c r="D347" s="1822"/>
      <c r="E347" s="1822"/>
      <c r="F347" s="1822"/>
      <c r="G347" s="1822"/>
      <c r="H347" s="1822"/>
      <c r="I347" s="1822"/>
      <c r="J347" s="1822"/>
      <c r="K347" s="1822"/>
      <c r="L347" s="551">
        <v>2281.15</v>
      </c>
      <c r="M347" s="550"/>
      <c r="N347" s="549"/>
      <c r="V347" s="674"/>
      <c r="W347" s="675"/>
      <c r="AC347" s="675"/>
      <c r="AD347" s="680"/>
      <c r="AE347" s="675"/>
      <c r="AF347" s="537" t="s">
        <v>416</v>
      </c>
      <c r="AG347" s="675"/>
      <c r="AI347" s="675"/>
    </row>
    <row r="348" spans="1:35" s="536" customFormat="1" ht="12" x14ac:dyDescent="0.2">
      <c r="A348" s="548"/>
      <c r="B348" s="552"/>
      <c r="C348" s="1822" t="s">
        <v>417</v>
      </c>
      <c r="D348" s="1822"/>
      <c r="E348" s="1822"/>
      <c r="F348" s="1822"/>
      <c r="G348" s="1822"/>
      <c r="H348" s="1822"/>
      <c r="I348" s="1822"/>
      <c r="J348" s="1822"/>
      <c r="K348" s="1822"/>
      <c r="L348" s="551">
        <v>1161.7</v>
      </c>
      <c r="M348" s="550"/>
      <c r="N348" s="549"/>
      <c r="V348" s="674"/>
      <c r="W348" s="675"/>
      <c r="AC348" s="675"/>
      <c r="AD348" s="680"/>
      <c r="AE348" s="675"/>
      <c r="AF348" s="537" t="s">
        <v>417</v>
      </c>
      <c r="AG348" s="675"/>
      <c r="AI348" s="675"/>
    </row>
    <row r="349" spans="1:35" s="536" customFormat="1" ht="12" x14ac:dyDescent="0.2">
      <c r="A349" s="548"/>
      <c r="B349" s="546"/>
      <c r="C349" s="1819" t="s">
        <v>1949</v>
      </c>
      <c r="D349" s="1819"/>
      <c r="E349" s="1819"/>
      <c r="F349" s="1819"/>
      <c r="G349" s="1819"/>
      <c r="H349" s="1819"/>
      <c r="I349" s="1819"/>
      <c r="J349" s="1819"/>
      <c r="K349" s="1819"/>
      <c r="L349" s="544">
        <v>23962.95</v>
      </c>
      <c r="M349" s="543"/>
      <c r="N349" s="681"/>
      <c r="V349" s="674"/>
      <c r="W349" s="675"/>
      <c r="AC349" s="675"/>
      <c r="AD349" s="680"/>
      <c r="AE349" s="675"/>
      <c r="AG349" s="675" t="s">
        <v>1949</v>
      </c>
      <c r="AI349" s="675"/>
    </row>
    <row r="350" spans="1:35" s="536" customFormat="1" ht="12" x14ac:dyDescent="0.2">
      <c r="A350" s="1824" t="s">
        <v>1950</v>
      </c>
      <c r="B350" s="1825"/>
      <c r="C350" s="1825"/>
      <c r="D350" s="1825"/>
      <c r="E350" s="1825"/>
      <c r="F350" s="1825"/>
      <c r="G350" s="1825"/>
      <c r="H350" s="1825"/>
      <c r="I350" s="1825"/>
      <c r="J350" s="1825"/>
      <c r="K350" s="1825"/>
      <c r="L350" s="1825"/>
      <c r="M350" s="1825"/>
      <c r="N350" s="1826"/>
      <c r="V350" s="674" t="s">
        <v>1950</v>
      </c>
      <c r="W350" s="675"/>
      <c r="AC350" s="675"/>
      <c r="AD350" s="680"/>
      <c r="AE350" s="675"/>
      <c r="AG350" s="675"/>
      <c r="AI350" s="675"/>
    </row>
    <row r="351" spans="1:35" s="536" customFormat="1" ht="56.25" x14ac:dyDescent="0.2">
      <c r="A351" s="575" t="s">
        <v>768</v>
      </c>
      <c r="B351" s="657" t="s">
        <v>1951</v>
      </c>
      <c r="C351" s="1823" t="s">
        <v>1952</v>
      </c>
      <c r="D351" s="1823"/>
      <c r="E351" s="1823"/>
      <c r="F351" s="573" t="s">
        <v>862</v>
      </c>
      <c r="G351" s="573"/>
      <c r="H351" s="573"/>
      <c r="I351" s="573" t="s">
        <v>1953</v>
      </c>
      <c r="J351" s="572"/>
      <c r="K351" s="573"/>
      <c r="L351" s="572"/>
      <c r="M351" s="571"/>
      <c r="N351" s="570"/>
      <c r="V351" s="674"/>
      <c r="W351" s="675" t="s">
        <v>1952</v>
      </c>
      <c r="AC351" s="675"/>
      <c r="AD351" s="680"/>
      <c r="AE351" s="675"/>
      <c r="AG351" s="675"/>
      <c r="AI351" s="675"/>
    </row>
    <row r="352" spans="1:35" s="536" customFormat="1" ht="12" x14ac:dyDescent="0.2">
      <c r="A352" s="676"/>
      <c r="B352" s="655"/>
      <c r="C352" s="1822" t="s">
        <v>1954</v>
      </c>
      <c r="D352" s="1822"/>
      <c r="E352" s="1822"/>
      <c r="F352" s="1822"/>
      <c r="G352" s="1822"/>
      <c r="H352" s="1822"/>
      <c r="I352" s="1822"/>
      <c r="J352" s="1822"/>
      <c r="K352" s="1822"/>
      <c r="L352" s="1822"/>
      <c r="M352" s="1822"/>
      <c r="N352" s="1827"/>
      <c r="V352" s="674"/>
      <c r="W352" s="675"/>
      <c r="X352" s="537" t="s">
        <v>1954</v>
      </c>
      <c r="AC352" s="675"/>
      <c r="AD352" s="680"/>
      <c r="AE352" s="675"/>
      <c r="AG352" s="675"/>
      <c r="AI352" s="675"/>
    </row>
    <row r="353" spans="1:35" s="536" customFormat="1" ht="33.75" x14ac:dyDescent="0.2">
      <c r="A353" s="609"/>
      <c r="B353" s="552" t="s">
        <v>310</v>
      </c>
      <c r="C353" s="1822" t="s">
        <v>311</v>
      </c>
      <c r="D353" s="1822"/>
      <c r="E353" s="1822"/>
      <c r="F353" s="1822"/>
      <c r="G353" s="1822"/>
      <c r="H353" s="1822"/>
      <c r="I353" s="1822"/>
      <c r="J353" s="1822"/>
      <c r="K353" s="1822"/>
      <c r="L353" s="1822"/>
      <c r="M353" s="1822"/>
      <c r="N353" s="1827"/>
      <c r="V353" s="674"/>
      <c r="W353" s="675"/>
      <c r="Y353" s="537" t="s">
        <v>311</v>
      </c>
      <c r="AC353" s="675"/>
      <c r="AD353" s="680"/>
      <c r="AE353" s="675"/>
      <c r="AG353" s="675"/>
      <c r="AI353" s="675"/>
    </row>
    <row r="354" spans="1:35" s="536" customFormat="1" ht="12" x14ac:dyDescent="0.2">
      <c r="A354" s="605"/>
      <c r="B354" s="552" t="s">
        <v>185</v>
      </c>
      <c r="C354" s="1822" t="s">
        <v>312</v>
      </c>
      <c r="D354" s="1822"/>
      <c r="E354" s="1822"/>
      <c r="F354" s="562"/>
      <c r="G354" s="562"/>
      <c r="H354" s="562"/>
      <c r="I354" s="562"/>
      <c r="J354" s="604">
        <v>1376.7</v>
      </c>
      <c r="K354" s="562" t="s">
        <v>313</v>
      </c>
      <c r="L354" s="604">
        <v>387.37</v>
      </c>
      <c r="M354" s="603"/>
      <c r="N354" s="602"/>
      <c r="V354" s="674"/>
      <c r="W354" s="675"/>
      <c r="Z354" s="537" t="s">
        <v>312</v>
      </c>
      <c r="AC354" s="675"/>
      <c r="AD354" s="680"/>
      <c r="AE354" s="675"/>
      <c r="AG354" s="675"/>
      <c r="AI354" s="675"/>
    </row>
    <row r="355" spans="1:35" s="536" customFormat="1" ht="12" x14ac:dyDescent="0.2">
      <c r="A355" s="605"/>
      <c r="B355" s="552" t="s">
        <v>186</v>
      </c>
      <c r="C355" s="1822" t="s">
        <v>344</v>
      </c>
      <c r="D355" s="1822"/>
      <c r="E355" s="1822"/>
      <c r="F355" s="562"/>
      <c r="G355" s="562"/>
      <c r="H355" s="562"/>
      <c r="I355" s="562"/>
      <c r="J355" s="604">
        <v>248.35</v>
      </c>
      <c r="K355" s="562" t="s">
        <v>313</v>
      </c>
      <c r="L355" s="604">
        <v>69.88</v>
      </c>
      <c r="M355" s="603"/>
      <c r="N355" s="602"/>
      <c r="V355" s="674"/>
      <c r="W355" s="675"/>
      <c r="Z355" s="537" t="s">
        <v>344</v>
      </c>
      <c r="AC355" s="675"/>
      <c r="AD355" s="680"/>
      <c r="AE355" s="675"/>
      <c r="AG355" s="675"/>
      <c r="AI355" s="675"/>
    </row>
    <row r="356" spans="1:35" s="536" customFormat="1" ht="12" x14ac:dyDescent="0.2">
      <c r="A356" s="605"/>
      <c r="B356" s="552" t="s">
        <v>187</v>
      </c>
      <c r="C356" s="1822" t="s">
        <v>345</v>
      </c>
      <c r="D356" s="1822"/>
      <c r="E356" s="1822"/>
      <c r="F356" s="562"/>
      <c r="G356" s="562"/>
      <c r="H356" s="562"/>
      <c r="I356" s="562"/>
      <c r="J356" s="604">
        <v>52.23</v>
      </c>
      <c r="K356" s="562" t="s">
        <v>313</v>
      </c>
      <c r="L356" s="604">
        <v>14.7</v>
      </c>
      <c r="M356" s="603"/>
      <c r="N356" s="602"/>
      <c r="V356" s="674"/>
      <c r="W356" s="675"/>
      <c r="Z356" s="537" t="s">
        <v>345</v>
      </c>
      <c r="AC356" s="675"/>
      <c r="AD356" s="680"/>
      <c r="AE356" s="675"/>
      <c r="AG356" s="675"/>
      <c r="AI356" s="675"/>
    </row>
    <row r="357" spans="1:35" s="536" customFormat="1" ht="12" x14ac:dyDescent="0.2">
      <c r="A357" s="605"/>
      <c r="B357" s="552" t="s">
        <v>188</v>
      </c>
      <c r="C357" s="1822" t="s">
        <v>475</v>
      </c>
      <c r="D357" s="1822"/>
      <c r="E357" s="1822"/>
      <c r="F357" s="562"/>
      <c r="G357" s="562"/>
      <c r="H357" s="562"/>
      <c r="I357" s="562"/>
      <c r="J357" s="604">
        <v>3133.95</v>
      </c>
      <c r="K357" s="562"/>
      <c r="L357" s="604">
        <v>705.45</v>
      </c>
      <c r="M357" s="603"/>
      <c r="N357" s="602"/>
      <c r="V357" s="674"/>
      <c r="W357" s="675"/>
      <c r="Z357" s="537" t="s">
        <v>475</v>
      </c>
      <c r="AC357" s="675"/>
      <c r="AD357" s="680"/>
      <c r="AE357" s="675"/>
      <c r="AG357" s="675"/>
      <c r="AI357" s="675"/>
    </row>
    <row r="358" spans="1:35" s="536" customFormat="1" ht="22.5" x14ac:dyDescent="0.2">
      <c r="A358" s="676"/>
      <c r="B358" s="677" t="s">
        <v>1955</v>
      </c>
      <c r="C358" s="1829" t="s">
        <v>1956</v>
      </c>
      <c r="D358" s="1829"/>
      <c r="E358" s="1829"/>
      <c r="F358" s="678" t="s">
        <v>865</v>
      </c>
      <c r="G358" s="678" t="s">
        <v>844</v>
      </c>
      <c r="H358" s="678"/>
      <c r="I358" s="678" t="s">
        <v>1957</v>
      </c>
      <c r="J358" s="552"/>
      <c r="K358" s="562"/>
      <c r="L358" s="604"/>
      <c r="M358" s="562"/>
      <c r="N358" s="679"/>
      <c r="V358" s="674"/>
      <c r="W358" s="675"/>
      <c r="AC358" s="675"/>
      <c r="AD358" s="680" t="s">
        <v>1956</v>
      </c>
      <c r="AE358" s="675"/>
      <c r="AG358" s="675"/>
      <c r="AI358" s="675"/>
    </row>
    <row r="359" spans="1:35" s="536" customFormat="1" ht="22.5" x14ac:dyDescent="0.2">
      <c r="A359" s="605"/>
      <c r="B359" s="552"/>
      <c r="C359" s="1822" t="s">
        <v>314</v>
      </c>
      <c r="D359" s="1822"/>
      <c r="E359" s="1822"/>
      <c r="F359" s="562" t="s">
        <v>315</v>
      </c>
      <c r="G359" s="562" t="s">
        <v>1958</v>
      </c>
      <c r="H359" s="562" t="s">
        <v>313</v>
      </c>
      <c r="I359" s="562" t="s">
        <v>1959</v>
      </c>
      <c r="J359" s="604"/>
      <c r="K359" s="562"/>
      <c r="L359" s="604"/>
      <c r="M359" s="603"/>
      <c r="N359" s="602"/>
      <c r="V359" s="674"/>
      <c r="W359" s="675"/>
      <c r="AA359" s="537" t="s">
        <v>314</v>
      </c>
      <c r="AC359" s="675"/>
      <c r="AD359" s="680"/>
      <c r="AE359" s="675"/>
      <c r="AG359" s="675"/>
      <c r="AI359" s="675"/>
    </row>
    <row r="360" spans="1:35" s="536" customFormat="1" ht="12" x14ac:dyDescent="0.2">
      <c r="A360" s="605"/>
      <c r="B360" s="552"/>
      <c r="C360" s="1822" t="s">
        <v>348</v>
      </c>
      <c r="D360" s="1822"/>
      <c r="E360" s="1822"/>
      <c r="F360" s="562" t="s">
        <v>315</v>
      </c>
      <c r="G360" s="562" t="s">
        <v>1960</v>
      </c>
      <c r="H360" s="562" t="s">
        <v>313</v>
      </c>
      <c r="I360" s="562" t="s">
        <v>1961</v>
      </c>
      <c r="J360" s="604"/>
      <c r="K360" s="562"/>
      <c r="L360" s="604"/>
      <c r="M360" s="603"/>
      <c r="N360" s="602"/>
      <c r="V360" s="674"/>
      <c r="W360" s="675"/>
      <c r="AA360" s="537" t="s">
        <v>348</v>
      </c>
      <c r="AC360" s="675"/>
      <c r="AD360" s="680"/>
      <c r="AE360" s="675"/>
      <c r="AG360" s="675"/>
      <c r="AI360" s="675"/>
    </row>
    <row r="361" spans="1:35" s="536" customFormat="1" ht="12" x14ac:dyDescent="0.2">
      <c r="A361" s="605"/>
      <c r="B361" s="552"/>
      <c r="C361" s="1828" t="s">
        <v>318</v>
      </c>
      <c r="D361" s="1828"/>
      <c r="E361" s="1828"/>
      <c r="F361" s="608"/>
      <c r="G361" s="608"/>
      <c r="H361" s="608"/>
      <c r="I361" s="608"/>
      <c r="J361" s="607">
        <v>4759</v>
      </c>
      <c r="K361" s="608"/>
      <c r="L361" s="607">
        <v>1162.7</v>
      </c>
      <c r="M361" s="601"/>
      <c r="N361" s="606"/>
      <c r="V361" s="674"/>
      <c r="W361" s="675"/>
      <c r="AB361" s="537" t="s">
        <v>318</v>
      </c>
      <c r="AC361" s="675"/>
      <c r="AD361" s="680"/>
      <c r="AE361" s="675"/>
      <c r="AG361" s="675"/>
      <c r="AI361" s="675"/>
    </row>
    <row r="362" spans="1:35" s="536" customFormat="1" ht="12" x14ac:dyDescent="0.2">
      <c r="A362" s="605"/>
      <c r="B362" s="552"/>
      <c r="C362" s="1822" t="s">
        <v>319</v>
      </c>
      <c r="D362" s="1822"/>
      <c r="E362" s="1822"/>
      <c r="F362" s="562"/>
      <c r="G362" s="562"/>
      <c r="H362" s="562"/>
      <c r="I362" s="562"/>
      <c r="J362" s="604"/>
      <c r="K362" s="562"/>
      <c r="L362" s="604">
        <v>402.07</v>
      </c>
      <c r="M362" s="603"/>
      <c r="N362" s="602"/>
      <c r="V362" s="674"/>
      <c r="W362" s="675"/>
      <c r="AA362" s="537" t="s">
        <v>319</v>
      </c>
      <c r="AC362" s="675"/>
      <c r="AD362" s="680"/>
      <c r="AE362" s="675"/>
      <c r="AG362" s="675"/>
      <c r="AI362" s="675"/>
    </row>
    <row r="363" spans="1:35" s="536" customFormat="1" ht="33.75" x14ac:dyDescent="0.2">
      <c r="A363" s="605"/>
      <c r="B363" s="552" t="s">
        <v>849</v>
      </c>
      <c r="C363" s="1822" t="s">
        <v>850</v>
      </c>
      <c r="D363" s="1822"/>
      <c r="E363" s="1822"/>
      <c r="F363" s="562" t="s">
        <v>322</v>
      </c>
      <c r="G363" s="562" t="s">
        <v>851</v>
      </c>
      <c r="H363" s="562"/>
      <c r="I363" s="562" t="s">
        <v>851</v>
      </c>
      <c r="J363" s="604"/>
      <c r="K363" s="562"/>
      <c r="L363" s="604">
        <v>434.24</v>
      </c>
      <c r="M363" s="603"/>
      <c r="N363" s="602"/>
      <c r="V363" s="674"/>
      <c r="W363" s="675"/>
      <c r="AA363" s="537" t="s">
        <v>850</v>
      </c>
      <c r="AC363" s="675"/>
      <c r="AD363" s="680"/>
      <c r="AE363" s="675"/>
      <c r="AG363" s="675"/>
      <c r="AI363" s="675"/>
    </row>
    <row r="364" spans="1:35" s="536" customFormat="1" ht="33.75" x14ac:dyDescent="0.2">
      <c r="A364" s="605"/>
      <c r="B364" s="552" t="s">
        <v>852</v>
      </c>
      <c r="C364" s="1822" t="s">
        <v>853</v>
      </c>
      <c r="D364" s="1822"/>
      <c r="E364" s="1822"/>
      <c r="F364" s="562" t="s">
        <v>322</v>
      </c>
      <c r="G364" s="562" t="s">
        <v>789</v>
      </c>
      <c r="H364" s="562"/>
      <c r="I364" s="562" t="s">
        <v>789</v>
      </c>
      <c r="J364" s="604"/>
      <c r="K364" s="562"/>
      <c r="L364" s="604">
        <v>221.14</v>
      </c>
      <c r="M364" s="603"/>
      <c r="N364" s="602"/>
      <c r="V364" s="674"/>
      <c r="W364" s="675"/>
      <c r="AA364" s="537" t="s">
        <v>853</v>
      </c>
      <c r="AC364" s="675"/>
      <c r="AD364" s="680"/>
      <c r="AE364" s="675"/>
      <c r="AG364" s="675"/>
      <c r="AI364" s="675"/>
    </row>
    <row r="365" spans="1:35" s="536" customFormat="1" ht="12" x14ac:dyDescent="0.2">
      <c r="A365" s="569"/>
      <c r="B365" s="656"/>
      <c r="C365" s="1823" t="s">
        <v>327</v>
      </c>
      <c r="D365" s="1823"/>
      <c r="E365" s="1823"/>
      <c r="F365" s="573"/>
      <c r="G365" s="573"/>
      <c r="H365" s="573"/>
      <c r="I365" s="573"/>
      <c r="J365" s="572"/>
      <c r="K365" s="573"/>
      <c r="L365" s="572">
        <v>1818.08</v>
      </c>
      <c r="M365" s="601"/>
      <c r="N365" s="570"/>
      <c r="V365" s="674"/>
      <c r="W365" s="675"/>
      <c r="AC365" s="675" t="s">
        <v>327</v>
      </c>
      <c r="AD365" s="680"/>
      <c r="AE365" s="675"/>
      <c r="AG365" s="675"/>
      <c r="AI365" s="675"/>
    </row>
    <row r="366" spans="1:35" s="536" customFormat="1" ht="56.25" x14ac:dyDescent="0.2">
      <c r="A366" s="575" t="s">
        <v>769</v>
      </c>
      <c r="B366" s="657" t="s">
        <v>1962</v>
      </c>
      <c r="C366" s="1823" t="s">
        <v>1963</v>
      </c>
      <c r="D366" s="1823"/>
      <c r="E366" s="1823"/>
      <c r="F366" s="573" t="s">
        <v>865</v>
      </c>
      <c r="G366" s="573"/>
      <c r="H366" s="573"/>
      <c r="I366" s="573" t="s">
        <v>1964</v>
      </c>
      <c r="J366" s="572">
        <v>1555.36</v>
      </c>
      <c r="K366" s="573"/>
      <c r="L366" s="572">
        <v>31715.35</v>
      </c>
      <c r="M366" s="571"/>
      <c r="N366" s="570"/>
      <c r="V366" s="674"/>
      <c r="W366" s="675" t="s">
        <v>1963</v>
      </c>
      <c r="AC366" s="675"/>
      <c r="AD366" s="680"/>
      <c r="AE366" s="675"/>
      <c r="AG366" s="675"/>
      <c r="AI366" s="675"/>
    </row>
    <row r="367" spans="1:35" s="536" customFormat="1" ht="12" x14ac:dyDescent="0.2">
      <c r="A367" s="569"/>
      <c r="B367" s="656"/>
      <c r="C367" s="661" t="s">
        <v>717</v>
      </c>
      <c r="D367" s="662"/>
      <c r="E367" s="662"/>
      <c r="F367" s="563"/>
      <c r="G367" s="563"/>
      <c r="H367" s="563"/>
      <c r="I367" s="563"/>
      <c r="J367" s="566"/>
      <c r="K367" s="563"/>
      <c r="L367" s="566"/>
      <c r="M367" s="565"/>
      <c r="N367" s="564"/>
      <c r="V367" s="674"/>
      <c r="W367" s="675"/>
      <c r="AC367" s="675"/>
      <c r="AD367" s="680"/>
      <c r="AE367" s="675"/>
      <c r="AG367" s="675"/>
      <c r="AI367" s="675"/>
    </row>
    <row r="368" spans="1:35" s="536" customFormat="1" ht="12" x14ac:dyDescent="0.2">
      <c r="A368" s="676"/>
      <c r="B368" s="655"/>
      <c r="C368" s="1822" t="s">
        <v>1965</v>
      </c>
      <c r="D368" s="1822"/>
      <c r="E368" s="1822"/>
      <c r="F368" s="1822"/>
      <c r="G368" s="1822"/>
      <c r="H368" s="1822"/>
      <c r="I368" s="1822"/>
      <c r="J368" s="1822"/>
      <c r="K368" s="1822"/>
      <c r="L368" s="1822"/>
      <c r="M368" s="1822"/>
      <c r="N368" s="1827"/>
      <c r="V368" s="674"/>
      <c r="W368" s="675"/>
      <c r="X368" s="537" t="s">
        <v>1965</v>
      </c>
      <c r="AC368" s="675"/>
      <c r="AD368" s="680"/>
      <c r="AE368" s="675"/>
      <c r="AG368" s="675"/>
      <c r="AI368" s="675"/>
    </row>
    <row r="369" spans="1:35" s="536" customFormat="1" ht="56.25" x14ac:dyDescent="0.2">
      <c r="A369" s="575" t="s">
        <v>770</v>
      </c>
      <c r="B369" s="657" t="s">
        <v>1966</v>
      </c>
      <c r="C369" s="1823" t="s">
        <v>1967</v>
      </c>
      <c r="D369" s="1823"/>
      <c r="E369" s="1823"/>
      <c r="F369" s="573" t="s">
        <v>865</v>
      </c>
      <c r="G369" s="573"/>
      <c r="H369" s="573"/>
      <c r="I369" s="573" t="s">
        <v>1968</v>
      </c>
      <c r="J369" s="572">
        <v>1385.5</v>
      </c>
      <c r="K369" s="573"/>
      <c r="L369" s="572">
        <v>2938.65</v>
      </c>
      <c r="M369" s="571"/>
      <c r="N369" s="570"/>
      <c r="V369" s="674"/>
      <c r="W369" s="675" t="s">
        <v>1967</v>
      </c>
      <c r="AC369" s="675"/>
      <c r="AD369" s="680"/>
      <c r="AE369" s="675"/>
      <c r="AG369" s="675"/>
      <c r="AI369" s="675"/>
    </row>
    <row r="370" spans="1:35" s="536" customFormat="1" ht="12" x14ac:dyDescent="0.2">
      <c r="A370" s="569"/>
      <c r="B370" s="656"/>
      <c r="C370" s="661" t="s">
        <v>717</v>
      </c>
      <c r="D370" s="662"/>
      <c r="E370" s="662"/>
      <c r="F370" s="563"/>
      <c r="G370" s="563"/>
      <c r="H370" s="563"/>
      <c r="I370" s="563"/>
      <c r="J370" s="566"/>
      <c r="K370" s="563"/>
      <c r="L370" s="566"/>
      <c r="M370" s="565"/>
      <c r="N370" s="564"/>
      <c r="V370" s="674"/>
      <c r="W370" s="675"/>
      <c r="AC370" s="675"/>
      <c r="AD370" s="680"/>
      <c r="AE370" s="675"/>
      <c r="AG370" s="675"/>
      <c r="AI370" s="675"/>
    </row>
    <row r="371" spans="1:35" s="536" customFormat="1" ht="12" x14ac:dyDescent="0.2">
      <c r="A371" s="676"/>
      <c r="B371" s="655"/>
      <c r="C371" s="1822" t="s">
        <v>1969</v>
      </c>
      <c r="D371" s="1822"/>
      <c r="E371" s="1822"/>
      <c r="F371" s="1822"/>
      <c r="G371" s="1822"/>
      <c r="H371" s="1822"/>
      <c r="I371" s="1822"/>
      <c r="J371" s="1822"/>
      <c r="K371" s="1822"/>
      <c r="L371" s="1822"/>
      <c r="M371" s="1822"/>
      <c r="N371" s="1827"/>
      <c r="V371" s="674"/>
      <c r="W371" s="675"/>
      <c r="X371" s="537" t="s">
        <v>1969</v>
      </c>
      <c r="AC371" s="675"/>
      <c r="AD371" s="680"/>
      <c r="AE371" s="675"/>
      <c r="AG371" s="675"/>
      <c r="AI371" s="675"/>
    </row>
    <row r="372" spans="1:35" s="536" customFormat="1" ht="12" x14ac:dyDescent="0.2">
      <c r="A372" s="575" t="s">
        <v>771</v>
      </c>
      <c r="B372" s="657" t="s">
        <v>1970</v>
      </c>
      <c r="C372" s="1823" t="s">
        <v>1971</v>
      </c>
      <c r="D372" s="1823"/>
      <c r="E372" s="1823"/>
      <c r="F372" s="573" t="s">
        <v>1110</v>
      </c>
      <c r="G372" s="573"/>
      <c r="H372" s="573"/>
      <c r="I372" s="573" t="s">
        <v>1972</v>
      </c>
      <c r="J372" s="572"/>
      <c r="K372" s="573"/>
      <c r="L372" s="572"/>
      <c r="M372" s="571"/>
      <c r="N372" s="570"/>
      <c r="V372" s="674"/>
      <c r="W372" s="675" t="s">
        <v>1971</v>
      </c>
      <c r="AC372" s="675"/>
      <c r="AD372" s="680"/>
      <c r="AE372" s="675"/>
      <c r="AG372" s="675"/>
      <c r="AI372" s="675"/>
    </row>
    <row r="373" spans="1:35" s="536" customFormat="1" ht="12" x14ac:dyDescent="0.2">
      <c r="A373" s="676"/>
      <c r="B373" s="655"/>
      <c r="C373" s="1822" t="s">
        <v>1973</v>
      </c>
      <c r="D373" s="1822"/>
      <c r="E373" s="1822"/>
      <c r="F373" s="1822"/>
      <c r="G373" s="1822"/>
      <c r="H373" s="1822"/>
      <c r="I373" s="1822"/>
      <c r="J373" s="1822"/>
      <c r="K373" s="1822"/>
      <c r="L373" s="1822"/>
      <c r="M373" s="1822"/>
      <c r="N373" s="1827"/>
      <c r="V373" s="674"/>
      <c r="W373" s="675"/>
      <c r="X373" s="537" t="s">
        <v>1973</v>
      </c>
      <c r="AC373" s="675"/>
      <c r="AD373" s="680"/>
      <c r="AE373" s="675"/>
      <c r="AG373" s="675"/>
      <c r="AI373" s="675"/>
    </row>
    <row r="374" spans="1:35" s="536" customFormat="1" ht="33.75" x14ac:dyDescent="0.2">
      <c r="A374" s="609"/>
      <c r="B374" s="552" t="s">
        <v>310</v>
      </c>
      <c r="C374" s="1822" t="s">
        <v>311</v>
      </c>
      <c r="D374" s="1822"/>
      <c r="E374" s="1822"/>
      <c r="F374" s="1822"/>
      <c r="G374" s="1822"/>
      <c r="H374" s="1822"/>
      <c r="I374" s="1822"/>
      <c r="J374" s="1822"/>
      <c r="K374" s="1822"/>
      <c r="L374" s="1822"/>
      <c r="M374" s="1822"/>
      <c r="N374" s="1827"/>
      <c r="V374" s="674"/>
      <c r="W374" s="675"/>
      <c r="Y374" s="537" t="s">
        <v>311</v>
      </c>
      <c r="AC374" s="675"/>
      <c r="AD374" s="680"/>
      <c r="AE374" s="675"/>
      <c r="AG374" s="675"/>
      <c r="AI374" s="675"/>
    </row>
    <row r="375" spans="1:35" s="536" customFormat="1" ht="12" x14ac:dyDescent="0.2">
      <c r="A375" s="605"/>
      <c r="B375" s="552" t="s">
        <v>185</v>
      </c>
      <c r="C375" s="1822" t="s">
        <v>312</v>
      </c>
      <c r="D375" s="1822"/>
      <c r="E375" s="1822"/>
      <c r="F375" s="562"/>
      <c r="G375" s="562"/>
      <c r="H375" s="562"/>
      <c r="I375" s="562"/>
      <c r="J375" s="604">
        <v>63.89</v>
      </c>
      <c r="K375" s="562" t="s">
        <v>313</v>
      </c>
      <c r="L375" s="604">
        <v>97.62</v>
      </c>
      <c r="M375" s="603"/>
      <c r="N375" s="602"/>
      <c r="V375" s="674"/>
      <c r="W375" s="675"/>
      <c r="Z375" s="537" t="s">
        <v>312</v>
      </c>
      <c r="AC375" s="675"/>
      <c r="AD375" s="680"/>
      <c r="AE375" s="675"/>
      <c r="AG375" s="675"/>
      <c r="AI375" s="675"/>
    </row>
    <row r="376" spans="1:35" s="536" customFormat="1" ht="12" x14ac:dyDescent="0.2">
      <c r="A376" s="605"/>
      <c r="B376" s="552" t="s">
        <v>186</v>
      </c>
      <c r="C376" s="1822" t="s">
        <v>344</v>
      </c>
      <c r="D376" s="1822"/>
      <c r="E376" s="1822"/>
      <c r="F376" s="562"/>
      <c r="G376" s="562"/>
      <c r="H376" s="562"/>
      <c r="I376" s="562"/>
      <c r="J376" s="604">
        <v>2.63</v>
      </c>
      <c r="K376" s="562" t="s">
        <v>313</v>
      </c>
      <c r="L376" s="604">
        <v>4.0199999999999996</v>
      </c>
      <c r="M376" s="603"/>
      <c r="N376" s="602"/>
      <c r="V376" s="674"/>
      <c r="W376" s="675"/>
      <c r="Z376" s="537" t="s">
        <v>344</v>
      </c>
      <c r="AC376" s="675"/>
      <c r="AD376" s="680"/>
      <c r="AE376" s="675"/>
      <c r="AG376" s="675"/>
      <c r="AI376" s="675"/>
    </row>
    <row r="377" spans="1:35" s="536" customFormat="1" ht="12" x14ac:dyDescent="0.2">
      <c r="A377" s="605"/>
      <c r="B377" s="552" t="s">
        <v>187</v>
      </c>
      <c r="C377" s="1822" t="s">
        <v>345</v>
      </c>
      <c r="D377" s="1822"/>
      <c r="E377" s="1822"/>
      <c r="F377" s="562"/>
      <c r="G377" s="562"/>
      <c r="H377" s="562"/>
      <c r="I377" s="562"/>
      <c r="J377" s="604">
        <v>0.46</v>
      </c>
      <c r="K377" s="562" t="s">
        <v>313</v>
      </c>
      <c r="L377" s="604">
        <v>0.7</v>
      </c>
      <c r="M377" s="603"/>
      <c r="N377" s="602"/>
      <c r="V377" s="674"/>
      <c r="W377" s="675"/>
      <c r="Z377" s="537" t="s">
        <v>345</v>
      </c>
      <c r="AC377" s="675"/>
      <c r="AD377" s="680"/>
      <c r="AE377" s="675"/>
      <c r="AG377" s="675"/>
      <c r="AI377" s="675"/>
    </row>
    <row r="378" spans="1:35" s="536" customFormat="1" ht="12" x14ac:dyDescent="0.2">
      <c r="A378" s="605"/>
      <c r="B378" s="552" t="s">
        <v>188</v>
      </c>
      <c r="C378" s="1822" t="s">
        <v>475</v>
      </c>
      <c r="D378" s="1822"/>
      <c r="E378" s="1822"/>
      <c r="F378" s="562"/>
      <c r="G378" s="562"/>
      <c r="H378" s="562"/>
      <c r="I378" s="562"/>
      <c r="J378" s="604">
        <v>8.5</v>
      </c>
      <c r="K378" s="562"/>
      <c r="L378" s="604">
        <v>10.39</v>
      </c>
      <c r="M378" s="603"/>
      <c r="N378" s="602"/>
      <c r="V378" s="674"/>
      <c r="W378" s="675"/>
      <c r="Z378" s="537" t="s">
        <v>475</v>
      </c>
      <c r="AC378" s="675"/>
      <c r="AD378" s="680"/>
      <c r="AE378" s="675"/>
      <c r="AG378" s="675"/>
      <c r="AI378" s="675"/>
    </row>
    <row r="379" spans="1:35" s="536" customFormat="1" ht="12" x14ac:dyDescent="0.2">
      <c r="A379" s="676"/>
      <c r="B379" s="677" t="s">
        <v>1974</v>
      </c>
      <c r="C379" s="1829" t="s">
        <v>1975</v>
      </c>
      <c r="D379" s="1829"/>
      <c r="E379" s="1829"/>
      <c r="F379" s="678" t="s">
        <v>483</v>
      </c>
      <c r="G379" s="678" t="s">
        <v>1252</v>
      </c>
      <c r="H379" s="678"/>
      <c r="I379" s="678" t="s">
        <v>1976</v>
      </c>
      <c r="J379" s="552"/>
      <c r="K379" s="562"/>
      <c r="L379" s="604"/>
      <c r="M379" s="562"/>
      <c r="N379" s="679"/>
      <c r="V379" s="674"/>
      <c r="W379" s="675"/>
      <c r="AC379" s="675"/>
      <c r="AD379" s="680" t="s">
        <v>1975</v>
      </c>
      <c r="AE379" s="675"/>
      <c r="AG379" s="675"/>
      <c r="AI379" s="675"/>
    </row>
    <row r="380" spans="1:35" s="536" customFormat="1" ht="12" x14ac:dyDescent="0.2">
      <c r="A380" s="605"/>
      <c r="B380" s="552"/>
      <c r="C380" s="1822" t="s">
        <v>314</v>
      </c>
      <c r="D380" s="1822"/>
      <c r="E380" s="1822"/>
      <c r="F380" s="562" t="s">
        <v>315</v>
      </c>
      <c r="G380" s="562" t="s">
        <v>1977</v>
      </c>
      <c r="H380" s="562" t="s">
        <v>313</v>
      </c>
      <c r="I380" s="562" t="s">
        <v>1978</v>
      </c>
      <c r="J380" s="604"/>
      <c r="K380" s="562"/>
      <c r="L380" s="604"/>
      <c r="M380" s="603"/>
      <c r="N380" s="602"/>
      <c r="V380" s="674"/>
      <c r="W380" s="675"/>
      <c r="AA380" s="537" t="s">
        <v>314</v>
      </c>
      <c r="AC380" s="675"/>
      <c r="AD380" s="680"/>
      <c r="AE380" s="675"/>
      <c r="AG380" s="675"/>
      <c r="AI380" s="675"/>
    </row>
    <row r="381" spans="1:35" s="536" customFormat="1" ht="12" x14ac:dyDescent="0.2">
      <c r="A381" s="605"/>
      <c r="B381" s="552"/>
      <c r="C381" s="1822" t="s">
        <v>348</v>
      </c>
      <c r="D381" s="1822"/>
      <c r="E381" s="1822"/>
      <c r="F381" s="562" t="s">
        <v>315</v>
      </c>
      <c r="G381" s="562" t="s">
        <v>728</v>
      </c>
      <c r="H381" s="562" t="s">
        <v>313</v>
      </c>
      <c r="I381" s="562" t="s">
        <v>1979</v>
      </c>
      <c r="J381" s="604"/>
      <c r="K381" s="562"/>
      <c r="L381" s="604"/>
      <c r="M381" s="603"/>
      <c r="N381" s="602"/>
      <c r="V381" s="674"/>
      <c r="W381" s="675"/>
      <c r="AA381" s="537" t="s">
        <v>348</v>
      </c>
      <c r="AC381" s="675"/>
      <c r="AD381" s="680"/>
      <c r="AE381" s="675"/>
      <c r="AG381" s="675"/>
      <c r="AI381" s="675"/>
    </row>
    <row r="382" spans="1:35" s="536" customFormat="1" ht="12" x14ac:dyDescent="0.2">
      <c r="A382" s="605"/>
      <c r="B382" s="552"/>
      <c r="C382" s="1828" t="s">
        <v>318</v>
      </c>
      <c r="D382" s="1828"/>
      <c r="E382" s="1828"/>
      <c r="F382" s="608"/>
      <c r="G382" s="608"/>
      <c r="H382" s="608"/>
      <c r="I382" s="608"/>
      <c r="J382" s="607">
        <v>75.02</v>
      </c>
      <c r="K382" s="608"/>
      <c r="L382" s="607">
        <v>112.03</v>
      </c>
      <c r="M382" s="601"/>
      <c r="N382" s="606"/>
      <c r="V382" s="674"/>
      <c r="W382" s="675"/>
      <c r="AB382" s="537" t="s">
        <v>318</v>
      </c>
      <c r="AC382" s="675"/>
      <c r="AD382" s="680"/>
      <c r="AE382" s="675"/>
      <c r="AG382" s="675"/>
      <c r="AI382" s="675"/>
    </row>
    <row r="383" spans="1:35" s="536" customFormat="1" ht="12" x14ac:dyDescent="0.2">
      <c r="A383" s="605"/>
      <c r="B383" s="552"/>
      <c r="C383" s="1822" t="s">
        <v>319</v>
      </c>
      <c r="D383" s="1822"/>
      <c r="E383" s="1822"/>
      <c r="F383" s="562"/>
      <c r="G383" s="562"/>
      <c r="H383" s="562"/>
      <c r="I383" s="562"/>
      <c r="J383" s="604"/>
      <c r="K383" s="562"/>
      <c r="L383" s="604">
        <v>98.32</v>
      </c>
      <c r="M383" s="603"/>
      <c r="N383" s="602"/>
      <c r="V383" s="674"/>
      <c r="W383" s="675"/>
      <c r="AA383" s="537" t="s">
        <v>319</v>
      </c>
      <c r="AC383" s="675"/>
      <c r="AD383" s="680"/>
      <c r="AE383" s="675"/>
      <c r="AG383" s="675"/>
      <c r="AI383" s="675"/>
    </row>
    <row r="384" spans="1:35" s="536" customFormat="1" ht="33.75" x14ac:dyDescent="0.2">
      <c r="A384" s="605"/>
      <c r="B384" s="552" t="s">
        <v>849</v>
      </c>
      <c r="C384" s="1822" t="s">
        <v>850</v>
      </c>
      <c r="D384" s="1822"/>
      <c r="E384" s="1822"/>
      <c r="F384" s="562" t="s">
        <v>322</v>
      </c>
      <c r="G384" s="562" t="s">
        <v>851</v>
      </c>
      <c r="H384" s="562"/>
      <c r="I384" s="562" t="s">
        <v>851</v>
      </c>
      <c r="J384" s="604"/>
      <c r="K384" s="562"/>
      <c r="L384" s="604">
        <v>106.19</v>
      </c>
      <c r="M384" s="603"/>
      <c r="N384" s="602"/>
      <c r="V384" s="674"/>
      <c r="W384" s="675"/>
      <c r="AA384" s="537" t="s">
        <v>850</v>
      </c>
      <c r="AC384" s="675"/>
      <c r="AD384" s="680"/>
      <c r="AE384" s="675"/>
      <c r="AG384" s="675"/>
      <c r="AI384" s="675"/>
    </row>
    <row r="385" spans="1:35" s="536" customFormat="1" ht="33.75" x14ac:dyDescent="0.2">
      <c r="A385" s="605"/>
      <c r="B385" s="552" t="s">
        <v>852</v>
      </c>
      <c r="C385" s="1822" t="s">
        <v>853</v>
      </c>
      <c r="D385" s="1822"/>
      <c r="E385" s="1822"/>
      <c r="F385" s="562" t="s">
        <v>322</v>
      </c>
      <c r="G385" s="562" t="s">
        <v>789</v>
      </c>
      <c r="H385" s="562"/>
      <c r="I385" s="562" t="s">
        <v>789</v>
      </c>
      <c r="J385" s="604"/>
      <c r="K385" s="562"/>
      <c r="L385" s="604">
        <v>54.08</v>
      </c>
      <c r="M385" s="603"/>
      <c r="N385" s="602"/>
      <c r="V385" s="674"/>
      <c r="W385" s="675"/>
      <c r="AA385" s="537" t="s">
        <v>853</v>
      </c>
      <c r="AC385" s="675"/>
      <c r="AD385" s="680"/>
      <c r="AE385" s="675"/>
      <c r="AG385" s="675"/>
      <c r="AI385" s="675"/>
    </row>
    <row r="386" spans="1:35" s="536" customFormat="1" ht="12" x14ac:dyDescent="0.2">
      <c r="A386" s="569"/>
      <c r="B386" s="656"/>
      <c r="C386" s="1823" t="s">
        <v>327</v>
      </c>
      <c r="D386" s="1823"/>
      <c r="E386" s="1823"/>
      <c r="F386" s="573"/>
      <c r="G386" s="573"/>
      <c r="H386" s="573"/>
      <c r="I386" s="573"/>
      <c r="J386" s="572"/>
      <c r="K386" s="573"/>
      <c r="L386" s="572">
        <v>272.3</v>
      </c>
      <c r="M386" s="601"/>
      <c r="N386" s="570"/>
      <c r="V386" s="674"/>
      <c r="W386" s="675"/>
      <c r="AC386" s="675" t="s">
        <v>327</v>
      </c>
      <c r="AD386" s="680"/>
      <c r="AE386" s="675"/>
      <c r="AG386" s="675"/>
      <c r="AI386" s="675"/>
    </row>
    <row r="387" spans="1:35" s="536" customFormat="1" ht="12" x14ac:dyDescent="0.2">
      <c r="A387" s="575" t="s">
        <v>772</v>
      </c>
      <c r="B387" s="657" t="s">
        <v>1980</v>
      </c>
      <c r="C387" s="1823" t="s">
        <v>1981</v>
      </c>
      <c r="D387" s="1823"/>
      <c r="E387" s="1823"/>
      <c r="F387" s="573" t="s">
        <v>483</v>
      </c>
      <c r="G387" s="573"/>
      <c r="H387" s="573"/>
      <c r="I387" s="573" t="s">
        <v>1982</v>
      </c>
      <c r="J387" s="572">
        <v>36.770000000000003</v>
      </c>
      <c r="K387" s="573"/>
      <c r="L387" s="572">
        <v>5033.8100000000004</v>
      </c>
      <c r="M387" s="571"/>
      <c r="N387" s="570"/>
      <c r="V387" s="674"/>
      <c r="W387" s="675" t="s">
        <v>1981</v>
      </c>
      <c r="AC387" s="675"/>
      <c r="AD387" s="680"/>
      <c r="AE387" s="675"/>
      <c r="AG387" s="675"/>
      <c r="AI387" s="675"/>
    </row>
    <row r="388" spans="1:35" s="536" customFormat="1" ht="12" x14ac:dyDescent="0.2">
      <c r="A388" s="569"/>
      <c r="B388" s="656"/>
      <c r="C388" s="661" t="s">
        <v>717</v>
      </c>
      <c r="D388" s="662"/>
      <c r="E388" s="662"/>
      <c r="F388" s="563"/>
      <c r="G388" s="563"/>
      <c r="H388" s="563"/>
      <c r="I388" s="563"/>
      <c r="J388" s="566"/>
      <c r="K388" s="563"/>
      <c r="L388" s="566"/>
      <c r="M388" s="565"/>
      <c r="N388" s="564"/>
      <c r="V388" s="674"/>
      <c r="W388" s="675"/>
      <c r="AC388" s="675"/>
      <c r="AD388" s="680"/>
      <c r="AE388" s="675"/>
      <c r="AG388" s="675"/>
      <c r="AI388" s="675"/>
    </row>
    <row r="389" spans="1:35" s="536" customFormat="1" ht="22.5" x14ac:dyDescent="0.2">
      <c r="A389" s="575" t="s">
        <v>677</v>
      </c>
      <c r="B389" s="657" t="s">
        <v>1983</v>
      </c>
      <c r="C389" s="1823" t="s">
        <v>1984</v>
      </c>
      <c r="D389" s="1823"/>
      <c r="E389" s="1823"/>
      <c r="F389" s="573" t="s">
        <v>865</v>
      </c>
      <c r="G389" s="573"/>
      <c r="H389" s="573"/>
      <c r="I389" s="573" t="s">
        <v>1968</v>
      </c>
      <c r="J389" s="572"/>
      <c r="K389" s="573"/>
      <c r="L389" s="572"/>
      <c r="M389" s="571"/>
      <c r="N389" s="570"/>
      <c r="V389" s="674"/>
      <c r="W389" s="675" t="s">
        <v>1984</v>
      </c>
      <c r="AC389" s="675"/>
      <c r="AD389" s="680"/>
      <c r="AE389" s="675"/>
      <c r="AG389" s="675"/>
      <c r="AI389" s="675"/>
    </row>
    <row r="390" spans="1:35" s="536" customFormat="1" ht="12" x14ac:dyDescent="0.2">
      <c r="A390" s="676"/>
      <c r="B390" s="655"/>
      <c r="C390" s="1822" t="s">
        <v>1985</v>
      </c>
      <c r="D390" s="1822"/>
      <c r="E390" s="1822"/>
      <c r="F390" s="1822"/>
      <c r="G390" s="1822"/>
      <c r="H390" s="1822"/>
      <c r="I390" s="1822"/>
      <c r="J390" s="1822"/>
      <c r="K390" s="1822"/>
      <c r="L390" s="1822"/>
      <c r="M390" s="1822"/>
      <c r="N390" s="1827"/>
      <c r="V390" s="674"/>
      <c r="W390" s="675"/>
      <c r="X390" s="537" t="s">
        <v>1985</v>
      </c>
      <c r="AC390" s="675"/>
      <c r="AD390" s="680"/>
      <c r="AE390" s="675"/>
      <c r="AG390" s="675"/>
      <c r="AI390" s="675"/>
    </row>
    <row r="391" spans="1:35" s="536" customFormat="1" ht="33.75" x14ac:dyDescent="0.2">
      <c r="A391" s="609"/>
      <c r="B391" s="552" t="s">
        <v>310</v>
      </c>
      <c r="C391" s="1822" t="s">
        <v>311</v>
      </c>
      <c r="D391" s="1822"/>
      <c r="E391" s="1822"/>
      <c r="F391" s="1822"/>
      <c r="G391" s="1822"/>
      <c r="H391" s="1822"/>
      <c r="I391" s="1822"/>
      <c r="J391" s="1822"/>
      <c r="K391" s="1822"/>
      <c r="L391" s="1822"/>
      <c r="M391" s="1822"/>
      <c r="N391" s="1827"/>
      <c r="V391" s="674"/>
      <c r="W391" s="675"/>
      <c r="Y391" s="537" t="s">
        <v>311</v>
      </c>
      <c r="AC391" s="675"/>
      <c r="AD391" s="680"/>
      <c r="AE391" s="675"/>
      <c r="AG391" s="675"/>
      <c r="AI391" s="675"/>
    </row>
    <row r="392" spans="1:35" s="536" customFormat="1" ht="12" x14ac:dyDescent="0.2">
      <c r="A392" s="605"/>
      <c r="B392" s="552" t="s">
        <v>185</v>
      </c>
      <c r="C392" s="1822" t="s">
        <v>312</v>
      </c>
      <c r="D392" s="1822"/>
      <c r="E392" s="1822"/>
      <c r="F392" s="562"/>
      <c r="G392" s="562"/>
      <c r="H392" s="562"/>
      <c r="I392" s="562"/>
      <c r="J392" s="604">
        <v>21.13</v>
      </c>
      <c r="K392" s="562" t="s">
        <v>313</v>
      </c>
      <c r="L392" s="604">
        <v>56.02</v>
      </c>
      <c r="M392" s="603"/>
      <c r="N392" s="602"/>
      <c r="V392" s="674"/>
      <c r="W392" s="675"/>
      <c r="Z392" s="537" t="s">
        <v>312</v>
      </c>
      <c r="AC392" s="675"/>
      <c r="AD392" s="680"/>
      <c r="AE392" s="675"/>
      <c r="AG392" s="675"/>
      <c r="AI392" s="675"/>
    </row>
    <row r="393" spans="1:35" s="536" customFormat="1" ht="12" x14ac:dyDescent="0.2">
      <c r="A393" s="605"/>
      <c r="B393" s="552" t="s">
        <v>186</v>
      </c>
      <c r="C393" s="1822" t="s">
        <v>344</v>
      </c>
      <c r="D393" s="1822"/>
      <c r="E393" s="1822"/>
      <c r="F393" s="562"/>
      <c r="G393" s="562"/>
      <c r="H393" s="562"/>
      <c r="I393" s="562"/>
      <c r="J393" s="604">
        <v>7.06</v>
      </c>
      <c r="K393" s="562" t="s">
        <v>313</v>
      </c>
      <c r="L393" s="604">
        <v>18.72</v>
      </c>
      <c r="M393" s="603"/>
      <c r="N393" s="602"/>
      <c r="V393" s="674"/>
      <c r="W393" s="675"/>
      <c r="Z393" s="537" t="s">
        <v>344</v>
      </c>
      <c r="AC393" s="675"/>
      <c r="AD393" s="680"/>
      <c r="AE393" s="675"/>
      <c r="AG393" s="675"/>
      <c r="AI393" s="675"/>
    </row>
    <row r="394" spans="1:35" s="536" customFormat="1" ht="12" x14ac:dyDescent="0.2">
      <c r="A394" s="605"/>
      <c r="B394" s="552" t="s">
        <v>187</v>
      </c>
      <c r="C394" s="1822" t="s">
        <v>345</v>
      </c>
      <c r="D394" s="1822"/>
      <c r="E394" s="1822"/>
      <c r="F394" s="562"/>
      <c r="G394" s="562"/>
      <c r="H394" s="562"/>
      <c r="I394" s="562"/>
      <c r="J394" s="604">
        <v>0.23</v>
      </c>
      <c r="K394" s="562" t="s">
        <v>313</v>
      </c>
      <c r="L394" s="604">
        <v>0.61</v>
      </c>
      <c r="M394" s="603"/>
      <c r="N394" s="602"/>
      <c r="V394" s="674"/>
      <c r="W394" s="675"/>
      <c r="Z394" s="537" t="s">
        <v>345</v>
      </c>
      <c r="AC394" s="675"/>
      <c r="AD394" s="680"/>
      <c r="AE394" s="675"/>
      <c r="AG394" s="675"/>
      <c r="AI394" s="675"/>
    </row>
    <row r="395" spans="1:35" s="536" customFormat="1" ht="12" x14ac:dyDescent="0.2">
      <c r="A395" s="605"/>
      <c r="B395" s="552" t="s">
        <v>188</v>
      </c>
      <c r="C395" s="1822" t="s">
        <v>475</v>
      </c>
      <c r="D395" s="1822"/>
      <c r="E395" s="1822"/>
      <c r="F395" s="562"/>
      <c r="G395" s="562"/>
      <c r="H395" s="562"/>
      <c r="I395" s="562"/>
      <c r="J395" s="604">
        <v>60.65</v>
      </c>
      <c r="K395" s="562"/>
      <c r="L395" s="604">
        <v>128.63999999999999</v>
      </c>
      <c r="M395" s="603"/>
      <c r="N395" s="602"/>
      <c r="V395" s="674"/>
      <c r="W395" s="675"/>
      <c r="Z395" s="537" t="s">
        <v>475</v>
      </c>
      <c r="AC395" s="675"/>
      <c r="AD395" s="680"/>
      <c r="AE395" s="675"/>
      <c r="AG395" s="675"/>
      <c r="AI395" s="675"/>
    </row>
    <row r="396" spans="1:35" s="536" customFormat="1" ht="12" x14ac:dyDescent="0.2">
      <c r="A396" s="676"/>
      <c r="B396" s="677" t="s">
        <v>1986</v>
      </c>
      <c r="C396" s="1829" t="s">
        <v>1987</v>
      </c>
      <c r="D396" s="1829"/>
      <c r="E396" s="1829"/>
      <c r="F396" s="678" t="s">
        <v>617</v>
      </c>
      <c r="G396" s="678" t="s">
        <v>525</v>
      </c>
      <c r="H396" s="678"/>
      <c r="I396" s="678" t="s">
        <v>525</v>
      </c>
      <c r="J396" s="552"/>
      <c r="K396" s="562"/>
      <c r="L396" s="604"/>
      <c r="M396" s="562"/>
      <c r="N396" s="679"/>
      <c r="V396" s="674"/>
      <c r="W396" s="675"/>
      <c r="AC396" s="675"/>
      <c r="AD396" s="680" t="s">
        <v>1987</v>
      </c>
      <c r="AE396" s="675"/>
      <c r="AG396" s="675"/>
      <c r="AI396" s="675"/>
    </row>
    <row r="397" spans="1:35" s="536" customFormat="1" ht="12" x14ac:dyDescent="0.2">
      <c r="A397" s="605"/>
      <c r="B397" s="552"/>
      <c r="C397" s="1822" t="s">
        <v>314</v>
      </c>
      <c r="D397" s="1822"/>
      <c r="E397" s="1822"/>
      <c r="F397" s="562" t="s">
        <v>315</v>
      </c>
      <c r="G397" s="562" t="s">
        <v>1988</v>
      </c>
      <c r="H397" s="562" t="s">
        <v>313</v>
      </c>
      <c r="I397" s="562" t="s">
        <v>1989</v>
      </c>
      <c r="J397" s="604"/>
      <c r="K397" s="562"/>
      <c r="L397" s="604"/>
      <c r="M397" s="603"/>
      <c r="N397" s="602"/>
      <c r="V397" s="674"/>
      <c r="W397" s="675"/>
      <c r="AA397" s="537" t="s">
        <v>314</v>
      </c>
      <c r="AC397" s="675"/>
      <c r="AD397" s="680"/>
      <c r="AE397" s="675"/>
      <c r="AG397" s="675"/>
      <c r="AI397" s="675"/>
    </row>
    <row r="398" spans="1:35" s="536" customFormat="1" ht="12" x14ac:dyDescent="0.2">
      <c r="A398" s="605"/>
      <c r="B398" s="552"/>
      <c r="C398" s="1822" t="s">
        <v>348</v>
      </c>
      <c r="D398" s="1822"/>
      <c r="E398" s="1822"/>
      <c r="F398" s="562" t="s">
        <v>315</v>
      </c>
      <c r="G398" s="562" t="s">
        <v>695</v>
      </c>
      <c r="H398" s="562" t="s">
        <v>313</v>
      </c>
      <c r="I398" s="562" t="s">
        <v>1990</v>
      </c>
      <c r="J398" s="604"/>
      <c r="K398" s="562"/>
      <c r="L398" s="604"/>
      <c r="M398" s="603"/>
      <c r="N398" s="602"/>
      <c r="V398" s="674"/>
      <c r="W398" s="675"/>
      <c r="AA398" s="537" t="s">
        <v>348</v>
      </c>
      <c r="AC398" s="675"/>
      <c r="AD398" s="680"/>
      <c r="AE398" s="675"/>
      <c r="AG398" s="675"/>
      <c r="AI398" s="675"/>
    </row>
    <row r="399" spans="1:35" s="536" customFormat="1" ht="12" x14ac:dyDescent="0.2">
      <c r="A399" s="605"/>
      <c r="B399" s="552"/>
      <c r="C399" s="1828" t="s">
        <v>318</v>
      </c>
      <c r="D399" s="1828"/>
      <c r="E399" s="1828"/>
      <c r="F399" s="608"/>
      <c r="G399" s="608"/>
      <c r="H399" s="608"/>
      <c r="I399" s="608"/>
      <c r="J399" s="607">
        <v>88.84</v>
      </c>
      <c r="K399" s="608"/>
      <c r="L399" s="607">
        <v>203.38</v>
      </c>
      <c r="M399" s="601"/>
      <c r="N399" s="606"/>
      <c r="V399" s="674"/>
      <c r="W399" s="675"/>
      <c r="AB399" s="537" t="s">
        <v>318</v>
      </c>
      <c r="AC399" s="675"/>
      <c r="AD399" s="680"/>
      <c r="AE399" s="675"/>
      <c r="AG399" s="675"/>
      <c r="AI399" s="675"/>
    </row>
    <row r="400" spans="1:35" s="536" customFormat="1" ht="12" x14ac:dyDescent="0.2">
      <c r="A400" s="605"/>
      <c r="B400" s="552"/>
      <c r="C400" s="1822" t="s">
        <v>319</v>
      </c>
      <c r="D400" s="1822"/>
      <c r="E400" s="1822"/>
      <c r="F400" s="562"/>
      <c r="G400" s="562"/>
      <c r="H400" s="562"/>
      <c r="I400" s="562"/>
      <c r="J400" s="604"/>
      <c r="K400" s="562"/>
      <c r="L400" s="604">
        <v>56.63</v>
      </c>
      <c r="M400" s="603"/>
      <c r="N400" s="602"/>
      <c r="V400" s="674"/>
      <c r="W400" s="675"/>
      <c r="AA400" s="537" t="s">
        <v>319</v>
      </c>
      <c r="AC400" s="675"/>
      <c r="AD400" s="680"/>
      <c r="AE400" s="675"/>
      <c r="AG400" s="675"/>
      <c r="AI400" s="675"/>
    </row>
    <row r="401" spans="1:35" s="536" customFormat="1" ht="33.75" x14ac:dyDescent="0.2">
      <c r="A401" s="605"/>
      <c r="B401" s="552" t="s">
        <v>648</v>
      </c>
      <c r="C401" s="1822" t="s">
        <v>649</v>
      </c>
      <c r="D401" s="1822"/>
      <c r="E401" s="1822"/>
      <c r="F401" s="562" t="s">
        <v>322</v>
      </c>
      <c r="G401" s="562" t="s">
        <v>650</v>
      </c>
      <c r="H401" s="562"/>
      <c r="I401" s="562" t="s">
        <v>650</v>
      </c>
      <c r="J401" s="604"/>
      <c r="K401" s="562"/>
      <c r="L401" s="604">
        <v>52.67</v>
      </c>
      <c r="M401" s="603"/>
      <c r="N401" s="602"/>
      <c r="V401" s="674"/>
      <c r="W401" s="675"/>
      <c r="AA401" s="537" t="s">
        <v>649</v>
      </c>
      <c r="AC401" s="675"/>
      <c r="AD401" s="680"/>
      <c r="AE401" s="675"/>
      <c r="AG401" s="675"/>
      <c r="AI401" s="675"/>
    </row>
    <row r="402" spans="1:35" s="536" customFormat="1" ht="33.75" x14ac:dyDescent="0.2">
      <c r="A402" s="605"/>
      <c r="B402" s="552" t="s">
        <v>651</v>
      </c>
      <c r="C402" s="1822" t="s">
        <v>652</v>
      </c>
      <c r="D402" s="1822"/>
      <c r="E402" s="1822"/>
      <c r="F402" s="562" t="s">
        <v>322</v>
      </c>
      <c r="G402" s="562" t="s">
        <v>653</v>
      </c>
      <c r="H402" s="562"/>
      <c r="I402" s="562" t="s">
        <v>653</v>
      </c>
      <c r="J402" s="604"/>
      <c r="K402" s="562"/>
      <c r="L402" s="604">
        <v>35.11</v>
      </c>
      <c r="M402" s="603"/>
      <c r="N402" s="602"/>
      <c r="V402" s="674"/>
      <c r="W402" s="675"/>
      <c r="AA402" s="537" t="s">
        <v>652</v>
      </c>
      <c r="AC402" s="675"/>
      <c r="AD402" s="680"/>
      <c r="AE402" s="675"/>
      <c r="AG402" s="675"/>
      <c r="AI402" s="675"/>
    </row>
    <row r="403" spans="1:35" s="536" customFormat="1" ht="12" x14ac:dyDescent="0.2">
      <c r="A403" s="569"/>
      <c r="B403" s="656"/>
      <c r="C403" s="1823" t="s">
        <v>327</v>
      </c>
      <c r="D403" s="1823"/>
      <c r="E403" s="1823"/>
      <c r="F403" s="573"/>
      <c r="G403" s="573"/>
      <c r="H403" s="573"/>
      <c r="I403" s="573"/>
      <c r="J403" s="572"/>
      <c r="K403" s="573"/>
      <c r="L403" s="572">
        <v>291.16000000000003</v>
      </c>
      <c r="M403" s="601"/>
      <c r="N403" s="570"/>
      <c r="V403" s="674"/>
      <c r="W403" s="675"/>
      <c r="AC403" s="675" t="s">
        <v>327</v>
      </c>
      <c r="AD403" s="680"/>
      <c r="AE403" s="675"/>
      <c r="AG403" s="675"/>
      <c r="AI403" s="675"/>
    </row>
    <row r="404" spans="1:35" s="536" customFormat="1" ht="33.75" x14ac:dyDescent="0.2">
      <c r="A404" s="575" t="s">
        <v>326</v>
      </c>
      <c r="B404" s="657" t="s">
        <v>1991</v>
      </c>
      <c r="C404" s="1823" t="s">
        <v>1992</v>
      </c>
      <c r="D404" s="1823"/>
      <c r="E404" s="1823"/>
      <c r="F404" s="573" t="s">
        <v>617</v>
      </c>
      <c r="G404" s="573"/>
      <c r="H404" s="573"/>
      <c r="I404" s="573" t="s">
        <v>185</v>
      </c>
      <c r="J404" s="572">
        <v>2640.46</v>
      </c>
      <c r="K404" s="573"/>
      <c r="L404" s="572">
        <v>2640.46</v>
      </c>
      <c r="M404" s="571"/>
      <c r="N404" s="570"/>
      <c r="V404" s="674"/>
      <c r="W404" s="675" t="s">
        <v>1992</v>
      </c>
      <c r="AC404" s="675"/>
      <c r="AD404" s="680"/>
      <c r="AE404" s="675"/>
      <c r="AG404" s="675"/>
      <c r="AI404" s="675"/>
    </row>
    <row r="405" spans="1:35" s="536" customFormat="1" ht="12" x14ac:dyDescent="0.2">
      <c r="A405" s="569"/>
      <c r="B405" s="656"/>
      <c r="C405" s="661" t="s">
        <v>717</v>
      </c>
      <c r="D405" s="662"/>
      <c r="E405" s="662"/>
      <c r="F405" s="563"/>
      <c r="G405" s="563"/>
      <c r="H405" s="563"/>
      <c r="I405" s="563"/>
      <c r="J405" s="566"/>
      <c r="K405" s="563"/>
      <c r="L405" s="566"/>
      <c r="M405" s="565"/>
      <c r="N405" s="564"/>
      <c r="V405" s="674"/>
      <c r="W405" s="675"/>
      <c r="AC405" s="675"/>
      <c r="AD405" s="680"/>
      <c r="AE405" s="675"/>
      <c r="AG405" s="675"/>
      <c r="AI405" s="675"/>
    </row>
    <row r="406" spans="1:35" s="536" customFormat="1" ht="1.5" customHeight="1" x14ac:dyDescent="0.2">
      <c r="A406" s="563"/>
      <c r="B406" s="656"/>
      <c r="C406" s="656"/>
      <c r="D406" s="656"/>
      <c r="E406" s="656"/>
      <c r="F406" s="563"/>
      <c r="G406" s="563"/>
      <c r="H406" s="563"/>
      <c r="I406" s="563"/>
      <c r="J406" s="546"/>
      <c r="K406" s="563"/>
      <c r="L406" s="546"/>
      <c r="M406" s="562"/>
      <c r="N406" s="546"/>
      <c r="V406" s="674"/>
      <c r="W406" s="675"/>
      <c r="AC406" s="675"/>
      <c r="AD406" s="680"/>
      <c r="AE406" s="675"/>
      <c r="AG406" s="675"/>
      <c r="AI406" s="675"/>
    </row>
    <row r="407" spans="1:35" s="536" customFormat="1" ht="12" x14ac:dyDescent="0.2">
      <c r="A407" s="557"/>
      <c r="B407" s="556"/>
      <c r="C407" s="1823" t="s">
        <v>1993</v>
      </c>
      <c r="D407" s="1823"/>
      <c r="E407" s="1823"/>
      <c r="F407" s="1823"/>
      <c r="G407" s="1823"/>
      <c r="H407" s="1823"/>
      <c r="I407" s="1823"/>
      <c r="J407" s="1823"/>
      <c r="K407" s="1823"/>
      <c r="L407" s="555"/>
      <c r="M407" s="554"/>
      <c r="N407" s="553"/>
      <c r="V407" s="674"/>
      <c r="W407" s="675"/>
      <c r="AC407" s="675"/>
      <c r="AD407" s="680"/>
      <c r="AE407" s="675" t="s">
        <v>1993</v>
      </c>
      <c r="AG407" s="675"/>
      <c r="AI407" s="675"/>
    </row>
    <row r="408" spans="1:35" s="536" customFormat="1" ht="12" x14ac:dyDescent="0.2">
      <c r="A408" s="548"/>
      <c r="B408" s="552"/>
      <c r="C408" s="1822" t="s">
        <v>403</v>
      </c>
      <c r="D408" s="1822"/>
      <c r="E408" s="1822"/>
      <c r="F408" s="1822"/>
      <c r="G408" s="1822"/>
      <c r="H408" s="1822"/>
      <c r="I408" s="1822"/>
      <c r="J408" s="1822"/>
      <c r="K408" s="1822"/>
      <c r="L408" s="551">
        <v>43806.38</v>
      </c>
      <c r="M408" s="550"/>
      <c r="N408" s="549"/>
      <c r="V408" s="674"/>
      <c r="W408" s="675"/>
      <c r="AC408" s="675"/>
      <c r="AD408" s="680"/>
      <c r="AE408" s="675"/>
      <c r="AF408" s="537" t="s">
        <v>403</v>
      </c>
      <c r="AG408" s="675"/>
      <c r="AI408" s="675"/>
    </row>
    <row r="409" spans="1:35" s="536" customFormat="1" ht="12" x14ac:dyDescent="0.2">
      <c r="A409" s="548"/>
      <c r="B409" s="552"/>
      <c r="C409" s="1822" t="s">
        <v>204</v>
      </c>
      <c r="D409" s="1822"/>
      <c r="E409" s="1822"/>
      <c r="F409" s="1822"/>
      <c r="G409" s="1822"/>
      <c r="H409" s="1822"/>
      <c r="I409" s="1822"/>
      <c r="J409" s="1822"/>
      <c r="K409" s="1822"/>
      <c r="L409" s="551"/>
      <c r="M409" s="550"/>
      <c r="N409" s="549"/>
      <c r="V409" s="674"/>
      <c r="W409" s="675"/>
      <c r="AC409" s="675"/>
      <c r="AD409" s="680"/>
      <c r="AE409" s="675"/>
      <c r="AF409" s="537" t="s">
        <v>204</v>
      </c>
      <c r="AG409" s="675"/>
      <c r="AI409" s="675"/>
    </row>
    <row r="410" spans="1:35" s="536" customFormat="1" ht="12" x14ac:dyDescent="0.2">
      <c r="A410" s="548"/>
      <c r="B410" s="552"/>
      <c r="C410" s="1822" t="s">
        <v>404</v>
      </c>
      <c r="D410" s="1822"/>
      <c r="E410" s="1822"/>
      <c r="F410" s="1822"/>
      <c r="G410" s="1822"/>
      <c r="H410" s="1822"/>
      <c r="I410" s="1822"/>
      <c r="J410" s="1822"/>
      <c r="K410" s="1822"/>
      <c r="L410" s="551">
        <v>541.01</v>
      </c>
      <c r="M410" s="550"/>
      <c r="N410" s="549"/>
      <c r="V410" s="674"/>
      <c r="W410" s="675"/>
      <c r="AC410" s="675"/>
      <c r="AD410" s="680"/>
      <c r="AE410" s="675"/>
      <c r="AF410" s="537" t="s">
        <v>404</v>
      </c>
      <c r="AG410" s="675"/>
      <c r="AI410" s="675"/>
    </row>
    <row r="411" spans="1:35" s="536" customFormat="1" ht="12" x14ac:dyDescent="0.2">
      <c r="A411" s="548"/>
      <c r="B411" s="552"/>
      <c r="C411" s="1822" t="s">
        <v>405</v>
      </c>
      <c r="D411" s="1822"/>
      <c r="E411" s="1822"/>
      <c r="F411" s="1822"/>
      <c r="G411" s="1822"/>
      <c r="H411" s="1822"/>
      <c r="I411" s="1822"/>
      <c r="J411" s="1822"/>
      <c r="K411" s="1822"/>
      <c r="L411" s="551">
        <v>92.62</v>
      </c>
      <c r="M411" s="550"/>
      <c r="N411" s="549"/>
      <c r="V411" s="674"/>
      <c r="W411" s="675"/>
      <c r="AC411" s="675"/>
      <c r="AD411" s="680"/>
      <c r="AE411" s="675"/>
      <c r="AF411" s="537" t="s">
        <v>405</v>
      </c>
      <c r="AG411" s="675"/>
      <c r="AI411" s="675"/>
    </row>
    <row r="412" spans="1:35" s="536" customFormat="1" ht="12" x14ac:dyDescent="0.2">
      <c r="A412" s="548"/>
      <c r="B412" s="552"/>
      <c r="C412" s="1822" t="s">
        <v>406</v>
      </c>
      <c r="D412" s="1822"/>
      <c r="E412" s="1822"/>
      <c r="F412" s="1822"/>
      <c r="G412" s="1822"/>
      <c r="H412" s="1822"/>
      <c r="I412" s="1822"/>
      <c r="J412" s="1822"/>
      <c r="K412" s="1822"/>
      <c r="L412" s="551">
        <v>16.010000000000002</v>
      </c>
      <c r="M412" s="550"/>
      <c r="N412" s="549"/>
      <c r="V412" s="674"/>
      <c r="W412" s="675"/>
      <c r="AC412" s="675"/>
      <c r="AD412" s="680"/>
      <c r="AE412" s="675"/>
      <c r="AF412" s="537" t="s">
        <v>406</v>
      </c>
      <c r="AG412" s="675"/>
      <c r="AI412" s="675"/>
    </row>
    <row r="413" spans="1:35" s="536" customFormat="1" ht="12" x14ac:dyDescent="0.2">
      <c r="A413" s="548"/>
      <c r="B413" s="552"/>
      <c r="C413" s="1822" t="s">
        <v>480</v>
      </c>
      <c r="D413" s="1822"/>
      <c r="E413" s="1822"/>
      <c r="F413" s="1822"/>
      <c r="G413" s="1822"/>
      <c r="H413" s="1822"/>
      <c r="I413" s="1822"/>
      <c r="J413" s="1822"/>
      <c r="K413" s="1822"/>
      <c r="L413" s="551">
        <v>43172.75</v>
      </c>
      <c r="M413" s="550"/>
      <c r="N413" s="549"/>
      <c r="V413" s="674"/>
      <c r="W413" s="675"/>
      <c r="AC413" s="675"/>
      <c r="AD413" s="680"/>
      <c r="AE413" s="675"/>
      <c r="AF413" s="537" t="s">
        <v>480</v>
      </c>
      <c r="AG413" s="675"/>
      <c r="AI413" s="675"/>
    </row>
    <row r="414" spans="1:35" s="536" customFormat="1" ht="12" x14ac:dyDescent="0.2">
      <c r="A414" s="548"/>
      <c r="B414" s="552"/>
      <c r="C414" s="1822" t="s">
        <v>407</v>
      </c>
      <c r="D414" s="1822"/>
      <c r="E414" s="1822"/>
      <c r="F414" s="1822"/>
      <c r="G414" s="1822"/>
      <c r="H414" s="1822"/>
      <c r="I414" s="1822"/>
      <c r="J414" s="1822"/>
      <c r="K414" s="1822"/>
      <c r="L414" s="551">
        <v>44709.81</v>
      </c>
      <c r="M414" s="550"/>
      <c r="N414" s="549"/>
      <c r="V414" s="674"/>
      <c r="W414" s="675"/>
      <c r="AC414" s="675"/>
      <c r="AD414" s="680"/>
      <c r="AE414" s="675"/>
      <c r="AF414" s="537" t="s">
        <v>407</v>
      </c>
      <c r="AG414" s="675"/>
      <c r="AI414" s="675"/>
    </row>
    <row r="415" spans="1:35" s="536" customFormat="1" ht="12" x14ac:dyDescent="0.2">
      <c r="A415" s="548"/>
      <c r="B415" s="552"/>
      <c r="C415" s="1822" t="s">
        <v>204</v>
      </c>
      <c r="D415" s="1822"/>
      <c r="E415" s="1822"/>
      <c r="F415" s="1822"/>
      <c r="G415" s="1822"/>
      <c r="H415" s="1822"/>
      <c r="I415" s="1822"/>
      <c r="J415" s="1822"/>
      <c r="K415" s="1822"/>
      <c r="L415" s="551"/>
      <c r="M415" s="550"/>
      <c r="N415" s="549"/>
      <c r="V415" s="674"/>
      <c r="W415" s="675"/>
      <c r="AC415" s="675"/>
      <c r="AD415" s="680"/>
      <c r="AE415" s="675"/>
      <c r="AF415" s="537" t="s">
        <v>204</v>
      </c>
      <c r="AG415" s="675"/>
      <c r="AI415" s="675"/>
    </row>
    <row r="416" spans="1:35" s="536" customFormat="1" ht="12" x14ac:dyDescent="0.2">
      <c r="A416" s="548"/>
      <c r="B416" s="552"/>
      <c r="C416" s="1822" t="s">
        <v>546</v>
      </c>
      <c r="D416" s="1822"/>
      <c r="E416" s="1822"/>
      <c r="F416" s="1822"/>
      <c r="G416" s="1822"/>
      <c r="H416" s="1822"/>
      <c r="I416" s="1822"/>
      <c r="J416" s="1822"/>
      <c r="K416" s="1822"/>
      <c r="L416" s="551">
        <v>541.01</v>
      </c>
      <c r="M416" s="550"/>
      <c r="N416" s="549"/>
      <c r="V416" s="674"/>
      <c r="W416" s="675"/>
      <c r="AC416" s="675"/>
      <c r="AD416" s="680"/>
      <c r="AE416" s="675"/>
      <c r="AF416" s="537" t="s">
        <v>546</v>
      </c>
      <c r="AG416" s="675"/>
      <c r="AI416" s="675"/>
    </row>
    <row r="417" spans="1:35" s="536" customFormat="1" ht="12" x14ac:dyDescent="0.2">
      <c r="A417" s="548"/>
      <c r="B417" s="552"/>
      <c r="C417" s="1822" t="s">
        <v>442</v>
      </c>
      <c r="D417" s="1822"/>
      <c r="E417" s="1822"/>
      <c r="F417" s="1822"/>
      <c r="G417" s="1822"/>
      <c r="H417" s="1822"/>
      <c r="I417" s="1822"/>
      <c r="J417" s="1822"/>
      <c r="K417" s="1822"/>
      <c r="L417" s="551">
        <v>92.62</v>
      </c>
      <c r="M417" s="550"/>
      <c r="N417" s="549"/>
      <c r="V417" s="674"/>
      <c r="W417" s="675"/>
      <c r="AC417" s="675"/>
      <c r="AD417" s="680"/>
      <c r="AE417" s="675"/>
      <c r="AF417" s="537" t="s">
        <v>442</v>
      </c>
      <c r="AG417" s="675"/>
      <c r="AI417" s="675"/>
    </row>
    <row r="418" spans="1:35" s="536" customFormat="1" ht="12" x14ac:dyDescent="0.2">
      <c r="A418" s="548"/>
      <c r="B418" s="552"/>
      <c r="C418" s="1822" t="s">
        <v>547</v>
      </c>
      <c r="D418" s="1822"/>
      <c r="E418" s="1822"/>
      <c r="F418" s="1822"/>
      <c r="G418" s="1822"/>
      <c r="H418" s="1822"/>
      <c r="I418" s="1822"/>
      <c r="J418" s="1822"/>
      <c r="K418" s="1822"/>
      <c r="L418" s="551">
        <v>43172.75</v>
      </c>
      <c r="M418" s="550"/>
      <c r="N418" s="549"/>
      <c r="V418" s="674"/>
      <c r="W418" s="675"/>
      <c r="AC418" s="675"/>
      <c r="AD418" s="680"/>
      <c r="AE418" s="675"/>
      <c r="AF418" s="537" t="s">
        <v>547</v>
      </c>
      <c r="AG418" s="675"/>
      <c r="AI418" s="675"/>
    </row>
    <row r="419" spans="1:35" s="536" customFormat="1" ht="12" x14ac:dyDescent="0.2">
      <c r="A419" s="548"/>
      <c r="B419" s="552"/>
      <c r="C419" s="1822" t="s">
        <v>443</v>
      </c>
      <c r="D419" s="1822"/>
      <c r="E419" s="1822"/>
      <c r="F419" s="1822"/>
      <c r="G419" s="1822"/>
      <c r="H419" s="1822"/>
      <c r="I419" s="1822"/>
      <c r="J419" s="1822"/>
      <c r="K419" s="1822"/>
      <c r="L419" s="551">
        <v>593.1</v>
      </c>
      <c r="M419" s="550"/>
      <c r="N419" s="549"/>
      <c r="V419" s="674"/>
      <c r="W419" s="675"/>
      <c r="AC419" s="675"/>
      <c r="AD419" s="680"/>
      <c r="AE419" s="675"/>
      <c r="AF419" s="537" t="s">
        <v>443</v>
      </c>
      <c r="AG419" s="675"/>
      <c r="AI419" s="675"/>
    </row>
    <row r="420" spans="1:35" s="536" customFormat="1" ht="12" x14ac:dyDescent="0.2">
      <c r="A420" s="548"/>
      <c r="B420" s="552"/>
      <c r="C420" s="1822" t="s">
        <v>444</v>
      </c>
      <c r="D420" s="1822"/>
      <c r="E420" s="1822"/>
      <c r="F420" s="1822"/>
      <c r="G420" s="1822"/>
      <c r="H420" s="1822"/>
      <c r="I420" s="1822"/>
      <c r="J420" s="1822"/>
      <c r="K420" s="1822"/>
      <c r="L420" s="551">
        <v>310.33</v>
      </c>
      <c r="M420" s="550"/>
      <c r="N420" s="549"/>
      <c r="V420" s="674"/>
      <c r="W420" s="675"/>
      <c r="AC420" s="675"/>
      <c r="AD420" s="680"/>
      <c r="AE420" s="675"/>
      <c r="AF420" s="537" t="s">
        <v>444</v>
      </c>
      <c r="AG420" s="675"/>
      <c r="AI420" s="675"/>
    </row>
    <row r="421" spans="1:35" s="536" customFormat="1" ht="12" x14ac:dyDescent="0.2">
      <c r="A421" s="548"/>
      <c r="B421" s="552"/>
      <c r="C421" s="1822" t="s">
        <v>415</v>
      </c>
      <c r="D421" s="1822"/>
      <c r="E421" s="1822"/>
      <c r="F421" s="1822"/>
      <c r="G421" s="1822"/>
      <c r="H421" s="1822"/>
      <c r="I421" s="1822"/>
      <c r="J421" s="1822"/>
      <c r="K421" s="1822"/>
      <c r="L421" s="551">
        <v>557.02</v>
      </c>
      <c r="M421" s="550"/>
      <c r="N421" s="549"/>
      <c r="V421" s="674"/>
      <c r="W421" s="675"/>
      <c r="AC421" s="675"/>
      <c r="AD421" s="680"/>
      <c r="AE421" s="675"/>
      <c r="AF421" s="537" t="s">
        <v>415</v>
      </c>
      <c r="AG421" s="675"/>
      <c r="AI421" s="675"/>
    </row>
    <row r="422" spans="1:35" s="536" customFormat="1" ht="12" x14ac:dyDescent="0.2">
      <c r="A422" s="548"/>
      <c r="B422" s="552"/>
      <c r="C422" s="1822" t="s">
        <v>416</v>
      </c>
      <c r="D422" s="1822"/>
      <c r="E422" s="1822"/>
      <c r="F422" s="1822"/>
      <c r="G422" s="1822"/>
      <c r="H422" s="1822"/>
      <c r="I422" s="1822"/>
      <c r="J422" s="1822"/>
      <c r="K422" s="1822"/>
      <c r="L422" s="551">
        <v>593.1</v>
      </c>
      <c r="M422" s="550"/>
      <c r="N422" s="549"/>
      <c r="V422" s="674"/>
      <c r="W422" s="675"/>
      <c r="AC422" s="675"/>
      <c r="AD422" s="680"/>
      <c r="AE422" s="675"/>
      <c r="AF422" s="537" t="s">
        <v>416</v>
      </c>
      <c r="AG422" s="675"/>
      <c r="AI422" s="675"/>
    </row>
    <row r="423" spans="1:35" s="536" customFormat="1" ht="12" x14ac:dyDescent="0.2">
      <c r="A423" s="548"/>
      <c r="B423" s="552"/>
      <c r="C423" s="1822" t="s">
        <v>417</v>
      </c>
      <c r="D423" s="1822"/>
      <c r="E423" s="1822"/>
      <c r="F423" s="1822"/>
      <c r="G423" s="1822"/>
      <c r="H423" s="1822"/>
      <c r="I423" s="1822"/>
      <c r="J423" s="1822"/>
      <c r="K423" s="1822"/>
      <c r="L423" s="551">
        <v>310.33</v>
      </c>
      <c r="M423" s="550"/>
      <c r="N423" s="549"/>
      <c r="V423" s="674"/>
      <c r="W423" s="675"/>
      <c r="AC423" s="675"/>
      <c r="AD423" s="680"/>
      <c r="AE423" s="675"/>
      <c r="AF423" s="537" t="s">
        <v>417</v>
      </c>
      <c r="AG423" s="675"/>
      <c r="AI423" s="675"/>
    </row>
    <row r="424" spans="1:35" s="536" customFormat="1" ht="12" x14ac:dyDescent="0.2">
      <c r="A424" s="548"/>
      <c r="B424" s="546"/>
      <c r="C424" s="1819" t="s">
        <v>1994</v>
      </c>
      <c r="D424" s="1819"/>
      <c r="E424" s="1819"/>
      <c r="F424" s="1819"/>
      <c r="G424" s="1819"/>
      <c r="H424" s="1819"/>
      <c r="I424" s="1819"/>
      <c r="J424" s="1819"/>
      <c r="K424" s="1819"/>
      <c r="L424" s="544">
        <v>44709.81</v>
      </c>
      <c r="M424" s="543"/>
      <c r="N424" s="681"/>
      <c r="V424" s="674"/>
      <c r="W424" s="675"/>
      <c r="AC424" s="675"/>
      <c r="AD424" s="680"/>
      <c r="AE424" s="675"/>
      <c r="AG424" s="675" t="s">
        <v>1994</v>
      </c>
      <c r="AI424" s="675"/>
    </row>
    <row r="425" spans="1:35" s="536" customFormat="1" ht="12" x14ac:dyDescent="0.2">
      <c r="A425" s="1824" t="s">
        <v>1995</v>
      </c>
      <c r="B425" s="1825"/>
      <c r="C425" s="1825"/>
      <c r="D425" s="1825"/>
      <c r="E425" s="1825"/>
      <c r="F425" s="1825"/>
      <c r="G425" s="1825"/>
      <c r="H425" s="1825"/>
      <c r="I425" s="1825"/>
      <c r="J425" s="1825"/>
      <c r="K425" s="1825"/>
      <c r="L425" s="1825"/>
      <c r="M425" s="1825"/>
      <c r="N425" s="1826"/>
      <c r="V425" s="674" t="s">
        <v>1995</v>
      </c>
      <c r="W425" s="675"/>
      <c r="AC425" s="675"/>
      <c r="AD425" s="680"/>
      <c r="AE425" s="675"/>
      <c r="AG425" s="675"/>
      <c r="AI425" s="675"/>
    </row>
    <row r="426" spans="1:35" s="536" customFormat="1" ht="33.75" x14ac:dyDescent="0.2">
      <c r="A426" s="575" t="s">
        <v>774</v>
      </c>
      <c r="B426" s="657" t="s">
        <v>1297</v>
      </c>
      <c r="C426" s="1823" t="s">
        <v>1298</v>
      </c>
      <c r="D426" s="1823"/>
      <c r="E426" s="1823"/>
      <c r="F426" s="573" t="s">
        <v>862</v>
      </c>
      <c r="G426" s="573"/>
      <c r="H426" s="573"/>
      <c r="I426" s="573" t="s">
        <v>1996</v>
      </c>
      <c r="J426" s="572"/>
      <c r="K426" s="573"/>
      <c r="L426" s="572"/>
      <c r="M426" s="571"/>
      <c r="N426" s="570"/>
      <c r="V426" s="674"/>
      <c r="W426" s="675" t="s">
        <v>1298</v>
      </c>
      <c r="AC426" s="675"/>
      <c r="AD426" s="680"/>
      <c r="AE426" s="675"/>
      <c r="AG426" s="675"/>
      <c r="AI426" s="675"/>
    </row>
    <row r="427" spans="1:35" s="536" customFormat="1" ht="12" x14ac:dyDescent="0.2">
      <c r="A427" s="676"/>
      <c r="B427" s="655"/>
      <c r="C427" s="1822" t="s">
        <v>1997</v>
      </c>
      <c r="D427" s="1822"/>
      <c r="E427" s="1822"/>
      <c r="F427" s="1822"/>
      <c r="G427" s="1822"/>
      <c r="H427" s="1822"/>
      <c r="I427" s="1822"/>
      <c r="J427" s="1822"/>
      <c r="K427" s="1822"/>
      <c r="L427" s="1822"/>
      <c r="M427" s="1822"/>
      <c r="N427" s="1827"/>
      <c r="V427" s="674"/>
      <c r="W427" s="675"/>
      <c r="X427" s="537" t="s">
        <v>1997</v>
      </c>
      <c r="AC427" s="675"/>
      <c r="AD427" s="680"/>
      <c r="AE427" s="675"/>
      <c r="AG427" s="675"/>
      <c r="AI427" s="675"/>
    </row>
    <row r="428" spans="1:35" s="536" customFormat="1" ht="33.75" x14ac:dyDescent="0.2">
      <c r="A428" s="609"/>
      <c r="B428" s="552" t="s">
        <v>310</v>
      </c>
      <c r="C428" s="1822" t="s">
        <v>311</v>
      </c>
      <c r="D428" s="1822"/>
      <c r="E428" s="1822"/>
      <c r="F428" s="1822"/>
      <c r="G428" s="1822"/>
      <c r="H428" s="1822"/>
      <c r="I428" s="1822"/>
      <c r="J428" s="1822"/>
      <c r="K428" s="1822"/>
      <c r="L428" s="1822"/>
      <c r="M428" s="1822"/>
      <c r="N428" s="1827"/>
      <c r="V428" s="674"/>
      <c r="W428" s="675"/>
      <c r="Y428" s="537" t="s">
        <v>311</v>
      </c>
      <c r="AC428" s="675"/>
      <c r="AD428" s="680"/>
      <c r="AE428" s="675"/>
      <c r="AG428" s="675"/>
      <c r="AI428" s="675"/>
    </row>
    <row r="429" spans="1:35" s="536" customFormat="1" ht="12" x14ac:dyDescent="0.2">
      <c r="A429" s="605"/>
      <c r="B429" s="552" t="s">
        <v>185</v>
      </c>
      <c r="C429" s="1822" t="s">
        <v>312</v>
      </c>
      <c r="D429" s="1822"/>
      <c r="E429" s="1822"/>
      <c r="F429" s="562"/>
      <c r="G429" s="562"/>
      <c r="H429" s="562"/>
      <c r="I429" s="562"/>
      <c r="J429" s="604">
        <v>925.9</v>
      </c>
      <c r="K429" s="562" t="s">
        <v>313</v>
      </c>
      <c r="L429" s="604">
        <v>200.23</v>
      </c>
      <c r="M429" s="603"/>
      <c r="N429" s="602"/>
      <c r="V429" s="674"/>
      <c r="W429" s="675"/>
      <c r="Z429" s="537" t="s">
        <v>312</v>
      </c>
      <c r="AC429" s="675"/>
      <c r="AD429" s="680"/>
      <c r="AE429" s="675"/>
      <c r="AG429" s="675"/>
      <c r="AI429" s="675"/>
    </row>
    <row r="430" spans="1:35" s="536" customFormat="1" ht="12" x14ac:dyDescent="0.2">
      <c r="A430" s="605"/>
      <c r="B430" s="552" t="s">
        <v>186</v>
      </c>
      <c r="C430" s="1822" t="s">
        <v>344</v>
      </c>
      <c r="D430" s="1822"/>
      <c r="E430" s="1822"/>
      <c r="F430" s="562"/>
      <c r="G430" s="562"/>
      <c r="H430" s="562"/>
      <c r="I430" s="562"/>
      <c r="J430" s="604">
        <v>90.71</v>
      </c>
      <c r="K430" s="562" t="s">
        <v>313</v>
      </c>
      <c r="L430" s="604">
        <v>19.62</v>
      </c>
      <c r="M430" s="603"/>
      <c r="N430" s="602"/>
      <c r="V430" s="674"/>
      <c r="W430" s="675"/>
      <c r="Z430" s="537" t="s">
        <v>344</v>
      </c>
      <c r="AC430" s="675"/>
      <c r="AD430" s="680"/>
      <c r="AE430" s="675"/>
      <c r="AG430" s="675"/>
      <c r="AI430" s="675"/>
    </row>
    <row r="431" spans="1:35" s="536" customFormat="1" ht="12" x14ac:dyDescent="0.2">
      <c r="A431" s="605"/>
      <c r="B431" s="552" t="s">
        <v>187</v>
      </c>
      <c r="C431" s="1822" t="s">
        <v>345</v>
      </c>
      <c r="D431" s="1822"/>
      <c r="E431" s="1822"/>
      <c r="F431" s="562"/>
      <c r="G431" s="562"/>
      <c r="H431" s="562"/>
      <c r="I431" s="562"/>
      <c r="J431" s="604">
        <v>15.13</v>
      </c>
      <c r="K431" s="562" t="s">
        <v>313</v>
      </c>
      <c r="L431" s="604">
        <v>3.27</v>
      </c>
      <c r="M431" s="603"/>
      <c r="N431" s="602"/>
      <c r="V431" s="674"/>
      <c r="W431" s="675"/>
      <c r="Z431" s="537" t="s">
        <v>345</v>
      </c>
      <c r="AC431" s="675"/>
      <c r="AD431" s="680"/>
      <c r="AE431" s="675"/>
      <c r="AG431" s="675"/>
      <c r="AI431" s="675"/>
    </row>
    <row r="432" spans="1:35" s="536" customFormat="1" ht="12" x14ac:dyDescent="0.2">
      <c r="A432" s="605"/>
      <c r="B432" s="552" t="s">
        <v>188</v>
      </c>
      <c r="C432" s="1822" t="s">
        <v>475</v>
      </c>
      <c r="D432" s="1822"/>
      <c r="E432" s="1822"/>
      <c r="F432" s="562"/>
      <c r="G432" s="562"/>
      <c r="H432" s="562"/>
      <c r="I432" s="562"/>
      <c r="J432" s="604">
        <v>700.57</v>
      </c>
      <c r="K432" s="562"/>
      <c r="L432" s="604">
        <v>121.2</v>
      </c>
      <c r="M432" s="603"/>
      <c r="N432" s="602"/>
      <c r="V432" s="674"/>
      <c r="W432" s="675"/>
      <c r="Z432" s="537" t="s">
        <v>475</v>
      </c>
      <c r="AC432" s="675"/>
      <c r="AD432" s="680"/>
      <c r="AE432" s="675"/>
      <c r="AG432" s="675"/>
      <c r="AI432" s="675"/>
    </row>
    <row r="433" spans="1:35" s="536" customFormat="1" ht="22.5" x14ac:dyDescent="0.2">
      <c r="A433" s="676"/>
      <c r="B433" s="677" t="s">
        <v>1301</v>
      </c>
      <c r="C433" s="1829" t="s">
        <v>1302</v>
      </c>
      <c r="D433" s="1829"/>
      <c r="E433" s="1829"/>
      <c r="F433" s="678" t="s">
        <v>865</v>
      </c>
      <c r="G433" s="678" t="s">
        <v>680</v>
      </c>
      <c r="H433" s="678"/>
      <c r="I433" s="678" t="s">
        <v>1998</v>
      </c>
      <c r="J433" s="552"/>
      <c r="K433" s="562"/>
      <c r="L433" s="604"/>
      <c r="M433" s="562"/>
      <c r="N433" s="679"/>
      <c r="V433" s="674"/>
      <c r="W433" s="675"/>
      <c r="AC433" s="675"/>
      <c r="AD433" s="680" t="s">
        <v>1302</v>
      </c>
      <c r="AE433" s="675"/>
      <c r="AG433" s="675"/>
      <c r="AI433" s="675"/>
    </row>
    <row r="434" spans="1:35" s="536" customFormat="1" ht="12" x14ac:dyDescent="0.2">
      <c r="A434" s="605"/>
      <c r="B434" s="552"/>
      <c r="C434" s="1822" t="s">
        <v>314</v>
      </c>
      <c r="D434" s="1822"/>
      <c r="E434" s="1822"/>
      <c r="F434" s="562" t="s">
        <v>315</v>
      </c>
      <c r="G434" s="562" t="s">
        <v>1304</v>
      </c>
      <c r="H434" s="562" t="s">
        <v>313</v>
      </c>
      <c r="I434" s="562" t="s">
        <v>1999</v>
      </c>
      <c r="J434" s="604"/>
      <c r="K434" s="562"/>
      <c r="L434" s="604"/>
      <c r="M434" s="603"/>
      <c r="N434" s="602"/>
      <c r="V434" s="674"/>
      <c r="W434" s="675"/>
      <c r="AA434" s="537" t="s">
        <v>314</v>
      </c>
      <c r="AC434" s="675"/>
      <c r="AD434" s="680"/>
      <c r="AE434" s="675"/>
      <c r="AG434" s="675"/>
      <c r="AI434" s="675"/>
    </row>
    <row r="435" spans="1:35" s="536" customFormat="1" ht="12" x14ac:dyDescent="0.2">
      <c r="A435" s="605"/>
      <c r="B435" s="552"/>
      <c r="C435" s="1822" t="s">
        <v>348</v>
      </c>
      <c r="D435" s="1822"/>
      <c r="E435" s="1822"/>
      <c r="F435" s="562" t="s">
        <v>315</v>
      </c>
      <c r="G435" s="562" t="s">
        <v>1306</v>
      </c>
      <c r="H435" s="562" t="s">
        <v>313</v>
      </c>
      <c r="I435" s="562" t="s">
        <v>2000</v>
      </c>
      <c r="J435" s="604"/>
      <c r="K435" s="562"/>
      <c r="L435" s="604"/>
      <c r="M435" s="603"/>
      <c r="N435" s="602"/>
      <c r="V435" s="674"/>
      <c r="W435" s="675"/>
      <c r="AA435" s="537" t="s">
        <v>348</v>
      </c>
      <c r="AC435" s="675"/>
      <c r="AD435" s="680"/>
      <c r="AE435" s="675"/>
      <c r="AG435" s="675"/>
      <c r="AI435" s="675"/>
    </row>
    <row r="436" spans="1:35" s="536" customFormat="1" ht="12" x14ac:dyDescent="0.2">
      <c r="A436" s="605"/>
      <c r="B436" s="552"/>
      <c r="C436" s="1828" t="s">
        <v>318</v>
      </c>
      <c r="D436" s="1828"/>
      <c r="E436" s="1828"/>
      <c r="F436" s="608"/>
      <c r="G436" s="608"/>
      <c r="H436" s="608"/>
      <c r="I436" s="608"/>
      <c r="J436" s="607">
        <v>1717.18</v>
      </c>
      <c r="K436" s="608"/>
      <c r="L436" s="607">
        <v>341.05</v>
      </c>
      <c r="M436" s="601"/>
      <c r="N436" s="606"/>
      <c r="V436" s="674"/>
      <c r="W436" s="675"/>
      <c r="AB436" s="537" t="s">
        <v>318</v>
      </c>
      <c r="AC436" s="675"/>
      <c r="AD436" s="680"/>
      <c r="AE436" s="675"/>
      <c r="AG436" s="675"/>
      <c r="AI436" s="675"/>
    </row>
    <row r="437" spans="1:35" s="536" customFormat="1" ht="12" x14ac:dyDescent="0.2">
      <c r="A437" s="605"/>
      <c r="B437" s="552"/>
      <c r="C437" s="1822" t="s">
        <v>319</v>
      </c>
      <c r="D437" s="1822"/>
      <c r="E437" s="1822"/>
      <c r="F437" s="562"/>
      <c r="G437" s="562"/>
      <c r="H437" s="562"/>
      <c r="I437" s="562"/>
      <c r="J437" s="604"/>
      <c r="K437" s="562"/>
      <c r="L437" s="604">
        <v>203.5</v>
      </c>
      <c r="M437" s="603"/>
      <c r="N437" s="602"/>
      <c r="V437" s="674"/>
      <c r="W437" s="675"/>
      <c r="AA437" s="537" t="s">
        <v>319</v>
      </c>
      <c r="AC437" s="675"/>
      <c r="AD437" s="680"/>
      <c r="AE437" s="675"/>
      <c r="AG437" s="675"/>
      <c r="AI437" s="675"/>
    </row>
    <row r="438" spans="1:35" s="536" customFormat="1" ht="33.75" x14ac:dyDescent="0.2">
      <c r="A438" s="605"/>
      <c r="B438" s="552" t="s">
        <v>1308</v>
      </c>
      <c r="C438" s="1822" t="s">
        <v>1309</v>
      </c>
      <c r="D438" s="1822"/>
      <c r="E438" s="1822"/>
      <c r="F438" s="562" t="s">
        <v>322</v>
      </c>
      <c r="G438" s="562" t="s">
        <v>844</v>
      </c>
      <c r="H438" s="562"/>
      <c r="I438" s="562" t="s">
        <v>844</v>
      </c>
      <c r="J438" s="604"/>
      <c r="K438" s="562"/>
      <c r="L438" s="604">
        <v>203.5</v>
      </c>
      <c r="M438" s="603"/>
      <c r="N438" s="602"/>
      <c r="V438" s="674"/>
      <c r="W438" s="675"/>
      <c r="AA438" s="537" t="s">
        <v>1309</v>
      </c>
      <c r="AC438" s="675"/>
      <c r="AD438" s="680"/>
      <c r="AE438" s="675"/>
      <c r="AG438" s="675"/>
      <c r="AI438" s="675"/>
    </row>
    <row r="439" spans="1:35" s="536" customFormat="1" ht="33.75" x14ac:dyDescent="0.2">
      <c r="A439" s="605"/>
      <c r="B439" s="552" t="s">
        <v>1310</v>
      </c>
      <c r="C439" s="1822" t="s">
        <v>1311</v>
      </c>
      <c r="D439" s="1822"/>
      <c r="E439" s="1822"/>
      <c r="F439" s="562" t="s">
        <v>322</v>
      </c>
      <c r="G439" s="562" t="s">
        <v>784</v>
      </c>
      <c r="H439" s="562"/>
      <c r="I439" s="562" t="s">
        <v>784</v>
      </c>
      <c r="J439" s="604"/>
      <c r="K439" s="562"/>
      <c r="L439" s="604">
        <v>99.72</v>
      </c>
      <c r="M439" s="603"/>
      <c r="N439" s="602"/>
      <c r="V439" s="674"/>
      <c r="W439" s="675"/>
      <c r="AA439" s="537" t="s">
        <v>1311</v>
      </c>
      <c r="AC439" s="675"/>
      <c r="AD439" s="680"/>
      <c r="AE439" s="675"/>
      <c r="AG439" s="675"/>
      <c r="AI439" s="675"/>
    </row>
    <row r="440" spans="1:35" s="536" customFormat="1" ht="12" x14ac:dyDescent="0.2">
      <c r="A440" s="569"/>
      <c r="B440" s="656"/>
      <c r="C440" s="1823" t="s">
        <v>327</v>
      </c>
      <c r="D440" s="1823"/>
      <c r="E440" s="1823"/>
      <c r="F440" s="573"/>
      <c r="G440" s="573"/>
      <c r="H440" s="573"/>
      <c r="I440" s="573"/>
      <c r="J440" s="572"/>
      <c r="K440" s="573"/>
      <c r="L440" s="572">
        <v>644.27</v>
      </c>
      <c r="M440" s="601"/>
      <c r="N440" s="570"/>
      <c r="V440" s="674"/>
      <c r="W440" s="675"/>
      <c r="AC440" s="675" t="s">
        <v>327</v>
      </c>
      <c r="AD440" s="680"/>
      <c r="AE440" s="675"/>
      <c r="AG440" s="675"/>
      <c r="AI440" s="675"/>
    </row>
    <row r="441" spans="1:35" s="536" customFormat="1" ht="22.5" x14ac:dyDescent="0.2">
      <c r="A441" s="575" t="s">
        <v>775</v>
      </c>
      <c r="B441" s="657" t="s">
        <v>1312</v>
      </c>
      <c r="C441" s="1823" t="s">
        <v>1313</v>
      </c>
      <c r="D441" s="1823"/>
      <c r="E441" s="1823"/>
      <c r="F441" s="573" t="s">
        <v>865</v>
      </c>
      <c r="G441" s="573"/>
      <c r="H441" s="573"/>
      <c r="I441" s="573" t="s">
        <v>2001</v>
      </c>
      <c r="J441" s="572">
        <v>272</v>
      </c>
      <c r="K441" s="573"/>
      <c r="L441" s="572">
        <v>4800.8</v>
      </c>
      <c r="M441" s="571"/>
      <c r="N441" s="570"/>
      <c r="V441" s="674"/>
      <c r="W441" s="675" t="s">
        <v>1313</v>
      </c>
      <c r="AC441" s="675"/>
      <c r="AD441" s="680"/>
      <c r="AE441" s="675"/>
      <c r="AG441" s="675"/>
      <c r="AI441" s="675"/>
    </row>
    <row r="442" spans="1:35" s="536" customFormat="1" ht="12" x14ac:dyDescent="0.2">
      <c r="A442" s="569"/>
      <c r="B442" s="656"/>
      <c r="C442" s="661" t="s">
        <v>717</v>
      </c>
      <c r="D442" s="662"/>
      <c r="E442" s="662"/>
      <c r="F442" s="563"/>
      <c r="G442" s="563"/>
      <c r="H442" s="563"/>
      <c r="I442" s="563"/>
      <c r="J442" s="566"/>
      <c r="K442" s="563"/>
      <c r="L442" s="566"/>
      <c r="M442" s="565"/>
      <c r="N442" s="564"/>
      <c r="V442" s="674"/>
      <c r="W442" s="675"/>
      <c r="AC442" s="675"/>
      <c r="AD442" s="680"/>
      <c r="AE442" s="675"/>
      <c r="AG442" s="675"/>
      <c r="AI442" s="675"/>
    </row>
    <row r="443" spans="1:35" s="536" customFormat="1" ht="67.5" x14ac:dyDescent="0.2">
      <c r="A443" s="575" t="s">
        <v>776</v>
      </c>
      <c r="B443" s="657" t="s">
        <v>2002</v>
      </c>
      <c r="C443" s="1823" t="s">
        <v>2003</v>
      </c>
      <c r="D443" s="1823"/>
      <c r="E443" s="1823"/>
      <c r="F443" s="573" t="s">
        <v>694</v>
      </c>
      <c r="G443" s="573"/>
      <c r="H443" s="573"/>
      <c r="I443" s="573" t="s">
        <v>1805</v>
      </c>
      <c r="J443" s="572"/>
      <c r="K443" s="573"/>
      <c r="L443" s="572"/>
      <c r="M443" s="571"/>
      <c r="N443" s="570"/>
      <c r="V443" s="674"/>
      <c r="W443" s="675" t="s">
        <v>2003</v>
      </c>
      <c r="AC443" s="675"/>
      <c r="AD443" s="680"/>
      <c r="AE443" s="675"/>
      <c r="AG443" s="675"/>
      <c r="AI443" s="675"/>
    </row>
    <row r="444" spans="1:35" s="536" customFormat="1" ht="12" x14ac:dyDescent="0.2">
      <c r="A444" s="676"/>
      <c r="B444" s="655"/>
      <c r="C444" s="1822" t="s">
        <v>2004</v>
      </c>
      <c r="D444" s="1822"/>
      <c r="E444" s="1822"/>
      <c r="F444" s="1822"/>
      <c r="G444" s="1822"/>
      <c r="H444" s="1822"/>
      <c r="I444" s="1822"/>
      <c r="J444" s="1822"/>
      <c r="K444" s="1822"/>
      <c r="L444" s="1822"/>
      <c r="M444" s="1822"/>
      <c r="N444" s="1827"/>
      <c r="V444" s="674"/>
      <c r="W444" s="675"/>
      <c r="X444" s="537" t="s">
        <v>2004</v>
      </c>
      <c r="AC444" s="675"/>
      <c r="AD444" s="680"/>
      <c r="AE444" s="675"/>
      <c r="AG444" s="675"/>
      <c r="AI444" s="675"/>
    </row>
    <row r="445" spans="1:35" s="536" customFormat="1" ht="33.75" x14ac:dyDescent="0.2">
      <c r="A445" s="609"/>
      <c r="B445" s="552" t="s">
        <v>310</v>
      </c>
      <c r="C445" s="1822" t="s">
        <v>311</v>
      </c>
      <c r="D445" s="1822"/>
      <c r="E445" s="1822"/>
      <c r="F445" s="1822"/>
      <c r="G445" s="1822"/>
      <c r="H445" s="1822"/>
      <c r="I445" s="1822"/>
      <c r="J445" s="1822"/>
      <c r="K445" s="1822"/>
      <c r="L445" s="1822"/>
      <c r="M445" s="1822"/>
      <c r="N445" s="1827"/>
      <c r="V445" s="674"/>
      <c r="W445" s="675"/>
      <c r="Y445" s="537" t="s">
        <v>311</v>
      </c>
      <c r="AC445" s="675"/>
      <c r="AD445" s="680"/>
      <c r="AE445" s="675"/>
      <c r="AG445" s="675"/>
      <c r="AI445" s="675"/>
    </row>
    <row r="446" spans="1:35" s="536" customFormat="1" ht="12" x14ac:dyDescent="0.2">
      <c r="A446" s="605"/>
      <c r="B446" s="552" t="s">
        <v>185</v>
      </c>
      <c r="C446" s="1822" t="s">
        <v>312</v>
      </c>
      <c r="D446" s="1822"/>
      <c r="E446" s="1822"/>
      <c r="F446" s="562"/>
      <c r="G446" s="562"/>
      <c r="H446" s="562"/>
      <c r="I446" s="562"/>
      <c r="J446" s="604">
        <v>1799.85</v>
      </c>
      <c r="K446" s="562" t="s">
        <v>313</v>
      </c>
      <c r="L446" s="604">
        <v>15.75</v>
      </c>
      <c r="M446" s="603"/>
      <c r="N446" s="602"/>
      <c r="V446" s="674"/>
      <c r="W446" s="675"/>
      <c r="Z446" s="537" t="s">
        <v>312</v>
      </c>
      <c r="AC446" s="675"/>
      <c r="AD446" s="680"/>
      <c r="AE446" s="675"/>
      <c r="AG446" s="675"/>
      <c r="AI446" s="675"/>
    </row>
    <row r="447" spans="1:35" s="536" customFormat="1" ht="12" x14ac:dyDescent="0.2">
      <c r="A447" s="605"/>
      <c r="B447" s="552" t="s">
        <v>186</v>
      </c>
      <c r="C447" s="1822" t="s">
        <v>344</v>
      </c>
      <c r="D447" s="1822"/>
      <c r="E447" s="1822"/>
      <c r="F447" s="562"/>
      <c r="G447" s="562"/>
      <c r="H447" s="562"/>
      <c r="I447" s="562"/>
      <c r="J447" s="604">
        <v>231.77</v>
      </c>
      <c r="K447" s="562" t="s">
        <v>313</v>
      </c>
      <c r="L447" s="604">
        <v>2.0299999999999998</v>
      </c>
      <c r="M447" s="603"/>
      <c r="N447" s="602"/>
      <c r="V447" s="674"/>
      <c r="W447" s="675"/>
      <c r="Z447" s="537" t="s">
        <v>344</v>
      </c>
      <c r="AC447" s="675"/>
      <c r="AD447" s="680"/>
      <c r="AE447" s="675"/>
      <c r="AG447" s="675"/>
      <c r="AI447" s="675"/>
    </row>
    <row r="448" spans="1:35" s="536" customFormat="1" ht="12" x14ac:dyDescent="0.2">
      <c r="A448" s="605"/>
      <c r="B448" s="552" t="s">
        <v>187</v>
      </c>
      <c r="C448" s="1822" t="s">
        <v>345</v>
      </c>
      <c r="D448" s="1822"/>
      <c r="E448" s="1822"/>
      <c r="F448" s="562"/>
      <c r="G448" s="562"/>
      <c r="H448" s="562"/>
      <c r="I448" s="562"/>
      <c r="J448" s="604">
        <v>27.58</v>
      </c>
      <c r="K448" s="562" t="s">
        <v>313</v>
      </c>
      <c r="L448" s="604">
        <v>0.24</v>
      </c>
      <c r="M448" s="603"/>
      <c r="N448" s="602"/>
      <c r="V448" s="674"/>
      <c r="W448" s="675"/>
      <c r="Z448" s="537" t="s">
        <v>345</v>
      </c>
      <c r="AC448" s="675"/>
      <c r="AD448" s="680"/>
      <c r="AE448" s="675"/>
      <c r="AG448" s="675"/>
      <c r="AI448" s="675"/>
    </row>
    <row r="449" spans="1:35" s="536" customFormat="1" ht="12" x14ac:dyDescent="0.2">
      <c r="A449" s="676"/>
      <c r="B449" s="677" t="s">
        <v>2005</v>
      </c>
      <c r="C449" s="1829" t="s">
        <v>2006</v>
      </c>
      <c r="D449" s="1829"/>
      <c r="E449" s="1829"/>
      <c r="F449" s="678" t="s">
        <v>694</v>
      </c>
      <c r="G449" s="678" t="s">
        <v>525</v>
      </c>
      <c r="H449" s="678"/>
      <c r="I449" s="678" t="s">
        <v>525</v>
      </c>
      <c r="J449" s="552"/>
      <c r="K449" s="562"/>
      <c r="L449" s="604"/>
      <c r="M449" s="562"/>
      <c r="N449" s="679"/>
      <c r="V449" s="674"/>
      <c r="W449" s="675"/>
      <c r="AC449" s="675"/>
      <c r="AD449" s="680" t="s">
        <v>2006</v>
      </c>
      <c r="AE449" s="675"/>
      <c r="AG449" s="675"/>
      <c r="AI449" s="675"/>
    </row>
    <row r="450" spans="1:35" s="536" customFormat="1" ht="12" x14ac:dyDescent="0.2">
      <c r="A450" s="676"/>
      <c r="B450" s="677" t="s">
        <v>1228</v>
      </c>
      <c r="C450" s="1829" t="s">
        <v>1229</v>
      </c>
      <c r="D450" s="1829"/>
      <c r="E450" s="1829"/>
      <c r="F450" s="678" t="s">
        <v>694</v>
      </c>
      <c r="G450" s="678" t="s">
        <v>185</v>
      </c>
      <c r="H450" s="678"/>
      <c r="I450" s="678" t="s">
        <v>1805</v>
      </c>
      <c r="J450" s="552"/>
      <c r="K450" s="562"/>
      <c r="L450" s="604"/>
      <c r="M450" s="562"/>
      <c r="N450" s="679"/>
      <c r="V450" s="674"/>
      <c r="W450" s="675"/>
      <c r="AC450" s="675"/>
      <c r="AD450" s="680" t="s">
        <v>1229</v>
      </c>
      <c r="AE450" s="675"/>
      <c r="AG450" s="675"/>
      <c r="AI450" s="675"/>
    </row>
    <row r="451" spans="1:35" s="536" customFormat="1" ht="12" x14ac:dyDescent="0.2">
      <c r="A451" s="605"/>
      <c r="B451" s="552"/>
      <c r="C451" s="1822" t="s">
        <v>314</v>
      </c>
      <c r="D451" s="1822"/>
      <c r="E451" s="1822"/>
      <c r="F451" s="562" t="s">
        <v>315</v>
      </c>
      <c r="G451" s="562" t="s">
        <v>2007</v>
      </c>
      <c r="H451" s="562" t="s">
        <v>313</v>
      </c>
      <c r="I451" s="562" t="s">
        <v>2008</v>
      </c>
      <c r="J451" s="604"/>
      <c r="K451" s="562"/>
      <c r="L451" s="604"/>
      <c r="M451" s="603"/>
      <c r="N451" s="602"/>
      <c r="V451" s="674"/>
      <c r="W451" s="675"/>
      <c r="AA451" s="537" t="s">
        <v>314</v>
      </c>
      <c r="AC451" s="675"/>
      <c r="AD451" s="680"/>
      <c r="AE451" s="675"/>
      <c r="AG451" s="675"/>
      <c r="AI451" s="675"/>
    </row>
    <row r="452" spans="1:35" s="536" customFormat="1" ht="12" x14ac:dyDescent="0.2">
      <c r="A452" s="605"/>
      <c r="B452" s="552"/>
      <c r="C452" s="1822" t="s">
        <v>348</v>
      </c>
      <c r="D452" s="1822"/>
      <c r="E452" s="1822"/>
      <c r="F452" s="562" t="s">
        <v>315</v>
      </c>
      <c r="G452" s="562" t="s">
        <v>807</v>
      </c>
      <c r="H452" s="562" t="s">
        <v>313</v>
      </c>
      <c r="I452" s="562" t="s">
        <v>2009</v>
      </c>
      <c r="J452" s="604"/>
      <c r="K452" s="562"/>
      <c r="L452" s="604"/>
      <c r="M452" s="603"/>
      <c r="N452" s="602"/>
      <c r="V452" s="674"/>
      <c r="W452" s="675"/>
      <c r="AA452" s="537" t="s">
        <v>348</v>
      </c>
      <c r="AC452" s="675"/>
      <c r="AD452" s="680"/>
      <c r="AE452" s="675"/>
      <c r="AG452" s="675"/>
      <c r="AI452" s="675"/>
    </row>
    <row r="453" spans="1:35" s="536" customFormat="1" ht="12" x14ac:dyDescent="0.2">
      <c r="A453" s="605"/>
      <c r="B453" s="552"/>
      <c r="C453" s="1828" t="s">
        <v>318</v>
      </c>
      <c r="D453" s="1828"/>
      <c r="E453" s="1828"/>
      <c r="F453" s="608"/>
      <c r="G453" s="608"/>
      <c r="H453" s="608"/>
      <c r="I453" s="608"/>
      <c r="J453" s="607">
        <v>2031.62</v>
      </c>
      <c r="K453" s="608"/>
      <c r="L453" s="607">
        <v>17.78</v>
      </c>
      <c r="M453" s="601"/>
      <c r="N453" s="606"/>
      <c r="V453" s="674"/>
      <c r="W453" s="675"/>
      <c r="AB453" s="537" t="s">
        <v>318</v>
      </c>
      <c r="AC453" s="675"/>
      <c r="AD453" s="680"/>
      <c r="AE453" s="675"/>
      <c r="AG453" s="675"/>
      <c r="AI453" s="675"/>
    </row>
    <row r="454" spans="1:35" s="536" customFormat="1" ht="12" x14ac:dyDescent="0.2">
      <c r="A454" s="605"/>
      <c r="B454" s="552"/>
      <c r="C454" s="1822" t="s">
        <v>319</v>
      </c>
      <c r="D454" s="1822"/>
      <c r="E454" s="1822"/>
      <c r="F454" s="562"/>
      <c r="G454" s="562"/>
      <c r="H454" s="562"/>
      <c r="I454" s="562"/>
      <c r="J454" s="604"/>
      <c r="K454" s="562"/>
      <c r="L454" s="604">
        <v>15.99</v>
      </c>
      <c r="M454" s="603"/>
      <c r="N454" s="602"/>
      <c r="V454" s="674"/>
      <c r="W454" s="675"/>
      <c r="AA454" s="537" t="s">
        <v>319</v>
      </c>
      <c r="AC454" s="675"/>
      <c r="AD454" s="680"/>
      <c r="AE454" s="675"/>
      <c r="AG454" s="675"/>
      <c r="AI454" s="675"/>
    </row>
    <row r="455" spans="1:35" s="536" customFormat="1" ht="33.75" x14ac:dyDescent="0.2">
      <c r="A455" s="605"/>
      <c r="B455" s="552" t="s">
        <v>648</v>
      </c>
      <c r="C455" s="1822" t="s">
        <v>649</v>
      </c>
      <c r="D455" s="1822"/>
      <c r="E455" s="1822"/>
      <c r="F455" s="562" t="s">
        <v>322</v>
      </c>
      <c r="G455" s="562" t="s">
        <v>650</v>
      </c>
      <c r="H455" s="562"/>
      <c r="I455" s="562" t="s">
        <v>650</v>
      </c>
      <c r="J455" s="604"/>
      <c r="K455" s="562"/>
      <c r="L455" s="604">
        <v>14.87</v>
      </c>
      <c r="M455" s="603"/>
      <c r="N455" s="602"/>
      <c r="V455" s="674"/>
      <c r="W455" s="675"/>
      <c r="AA455" s="537" t="s">
        <v>649</v>
      </c>
      <c r="AC455" s="675"/>
      <c r="AD455" s="680"/>
      <c r="AE455" s="675"/>
      <c r="AG455" s="675"/>
      <c r="AI455" s="675"/>
    </row>
    <row r="456" spans="1:35" s="536" customFormat="1" ht="33.75" x14ac:dyDescent="0.2">
      <c r="A456" s="605"/>
      <c r="B456" s="552" t="s">
        <v>651</v>
      </c>
      <c r="C456" s="1822" t="s">
        <v>652</v>
      </c>
      <c r="D456" s="1822"/>
      <c r="E456" s="1822"/>
      <c r="F456" s="562" t="s">
        <v>322</v>
      </c>
      <c r="G456" s="562" t="s">
        <v>653</v>
      </c>
      <c r="H456" s="562"/>
      <c r="I456" s="562" t="s">
        <v>653</v>
      </c>
      <c r="J456" s="604"/>
      <c r="K456" s="562"/>
      <c r="L456" s="604">
        <v>9.91</v>
      </c>
      <c r="M456" s="603"/>
      <c r="N456" s="602"/>
      <c r="V456" s="674"/>
      <c r="W456" s="675"/>
      <c r="AA456" s="537" t="s">
        <v>652</v>
      </c>
      <c r="AC456" s="675"/>
      <c r="AD456" s="680"/>
      <c r="AE456" s="675"/>
      <c r="AG456" s="675"/>
      <c r="AI456" s="675"/>
    </row>
    <row r="457" spans="1:35" s="536" customFormat="1" ht="12" x14ac:dyDescent="0.2">
      <c r="A457" s="569"/>
      <c r="B457" s="656"/>
      <c r="C457" s="1823" t="s">
        <v>327</v>
      </c>
      <c r="D457" s="1823"/>
      <c r="E457" s="1823"/>
      <c r="F457" s="573"/>
      <c r="G457" s="573"/>
      <c r="H457" s="573"/>
      <c r="I457" s="573"/>
      <c r="J457" s="572"/>
      <c r="K457" s="573"/>
      <c r="L457" s="572">
        <v>42.56</v>
      </c>
      <c r="M457" s="601"/>
      <c r="N457" s="570"/>
      <c r="V457" s="674"/>
      <c r="W457" s="675"/>
      <c r="AC457" s="675" t="s">
        <v>327</v>
      </c>
      <c r="AD457" s="680"/>
      <c r="AE457" s="675"/>
      <c r="AG457" s="675"/>
      <c r="AI457" s="675"/>
    </row>
    <row r="458" spans="1:35" s="536" customFormat="1" ht="33.75" x14ac:dyDescent="0.2">
      <c r="A458" s="575" t="s">
        <v>931</v>
      </c>
      <c r="B458" s="657" t="s">
        <v>1330</v>
      </c>
      <c r="C458" s="1823" t="s">
        <v>1331</v>
      </c>
      <c r="D458" s="1823"/>
      <c r="E458" s="1823"/>
      <c r="F458" s="573" t="s">
        <v>483</v>
      </c>
      <c r="G458" s="573"/>
      <c r="H458" s="573"/>
      <c r="I458" s="573" t="s">
        <v>1675</v>
      </c>
      <c r="J458" s="572">
        <v>115.06</v>
      </c>
      <c r="K458" s="573" t="s">
        <v>716</v>
      </c>
      <c r="L458" s="572">
        <v>503.61</v>
      </c>
      <c r="M458" s="571">
        <v>8.32</v>
      </c>
      <c r="N458" s="570">
        <v>4190</v>
      </c>
      <c r="V458" s="674"/>
      <c r="W458" s="675" t="s">
        <v>1331</v>
      </c>
      <c r="AC458" s="675"/>
      <c r="AD458" s="680"/>
      <c r="AE458" s="675"/>
      <c r="AG458" s="675"/>
      <c r="AI458" s="675"/>
    </row>
    <row r="459" spans="1:35" s="536" customFormat="1" ht="12" x14ac:dyDescent="0.2">
      <c r="A459" s="569"/>
      <c r="B459" s="656"/>
      <c r="C459" s="661" t="s">
        <v>1173</v>
      </c>
      <c r="D459" s="662"/>
      <c r="E459" s="662"/>
      <c r="F459" s="563"/>
      <c r="G459" s="563"/>
      <c r="H459" s="563"/>
      <c r="I459" s="563"/>
      <c r="J459" s="566"/>
      <c r="K459" s="563"/>
      <c r="L459" s="566"/>
      <c r="M459" s="565"/>
      <c r="N459" s="564"/>
      <c r="V459" s="674"/>
      <c r="W459" s="675"/>
      <c r="AC459" s="675"/>
      <c r="AD459" s="680"/>
      <c r="AE459" s="675"/>
      <c r="AG459" s="675"/>
      <c r="AI459" s="675"/>
    </row>
    <row r="460" spans="1:35" s="536" customFormat="1" ht="22.5" x14ac:dyDescent="0.2">
      <c r="A460" s="609"/>
      <c r="B460" s="552" t="s">
        <v>718</v>
      </c>
      <c r="C460" s="1822" t="s">
        <v>719</v>
      </c>
      <c r="D460" s="1822"/>
      <c r="E460" s="1822"/>
      <c r="F460" s="1822"/>
      <c r="G460" s="1822"/>
      <c r="H460" s="1822"/>
      <c r="I460" s="1822"/>
      <c r="J460" s="1822"/>
      <c r="K460" s="1822"/>
      <c r="L460" s="1822"/>
      <c r="M460" s="1822"/>
      <c r="N460" s="1827"/>
      <c r="V460" s="674"/>
      <c r="W460" s="675"/>
      <c r="Y460" s="537" t="s">
        <v>719</v>
      </c>
      <c r="AC460" s="675"/>
      <c r="AD460" s="680"/>
      <c r="AE460" s="675"/>
      <c r="AG460" s="675"/>
      <c r="AI460" s="675"/>
    </row>
    <row r="461" spans="1:35" s="536" customFormat="1" ht="1.5" customHeight="1" x14ac:dyDescent="0.2">
      <c r="A461" s="563"/>
      <c r="B461" s="656"/>
      <c r="C461" s="656"/>
      <c r="D461" s="656"/>
      <c r="E461" s="656"/>
      <c r="F461" s="563"/>
      <c r="G461" s="563"/>
      <c r="H461" s="563"/>
      <c r="I461" s="563"/>
      <c r="J461" s="546"/>
      <c r="K461" s="563"/>
      <c r="L461" s="546"/>
      <c r="M461" s="562"/>
      <c r="N461" s="546"/>
      <c r="V461" s="674"/>
      <c r="W461" s="675"/>
      <c r="AC461" s="675"/>
      <c r="AD461" s="680"/>
      <c r="AE461" s="675"/>
      <c r="AG461" s="675"/>
      <c r="AI461" s="675"/>
    </row>
    <row r="462" spans="1:35" s="536" customFormat="1" ht="12" x14ac:dyDescent="0.2">
      <c r="A462" s="557"/>
      <c r="B462" s="556"/>
      <c r="C462" s="1823" t="s">
        <v>2010</v>
      </c>
      <c r="D462" s="1823"/>
      <c r="E462" s="1823"/>
      <c r="F462" s="1823"/>
      <c r="G462" s="1823"/>
      <c r="H462" s="1823"/>
      <c r="I462" s="1823"/>
      <c r="J462" s="1823"/>
      <c r="K462" s="1823"/>
      <c r="L462" s="555"/>
      <c r="M462" s="554"/>
      <c r="N462" s="553"/>
      <c r="V462" s="674"/>
      <c r="W462" s="675"/>
      <c r="AC462" s="675"/>
      <c r="AD462" s="680"/>
      <c r="AE462" s="675" t="s">
        <v>2010</v>
      </c>
      <c r="AG462" s="675"/>
      <c r="AI462" s="675"/>
    </row>
    <row r="463" spans="1:35" s="536" customFormat="1" ht="12" x14ac:dyDescent="0.2">
      <c r="A463" s="548"/>
      <c r="B463" s="552"/>
      <c r="C463" s="1822" t="s">
        <v>403</v>
      </c>
      <c r="D463" s="1822"/>
      <c r="E463" s="1822"/>
      <c r="F463" s="1822"/>
      <c r="G463" s="1822"/>
      <c r="H463" s="1822"/>
      <c r="I463" s="1822"/>
      <c r="J463" s="1822"/>
      <c r="K463" s="1822"/>
      <c r="L463" s="551">
        <v>5663.24</v>
      </c>
      <c r="M463" s="550"/>
      <c r="N463" s="549"/>
      <c r="V463" s="674"/>
      <c r="W463" s="675"/>
      <c r="AC463" s="675"/>
      <c r="AD463" s="680"/>
      <c r="AE463" s="675"/>
      <c r="AF463" s="537" t="s">
        <v>403</v>
      </c>
      <c r="AG463" s="675"/>
      <c r="AI463" s="675"/>
    </row>
    <row r="464" spans="1:35" s="536" customFormat="1" ht="12" x14ac:dyDescent="0.2">
      <c r="A464" s="548"/>
      <c r="B464" s="552"/>
      <c r="C464" s="1822" t="s">
        <v>204</v>
      </c>
      <c r="D464" s="1822"/>
      <c r="E464" s="1822"/>
      <c r="F464" s="1822"/>
      <c r="G464" s="1822"/>
      <c r="H464" s="1822"/>
      <c r="I464" s="1822"/>
      <c r="J464" s="1822"/>
      <c r="K464" s="1822"/>
      <c r="L464" s="551"/>
      <c r="M464" s="550"/>
      <c r="N464" s="549"/>
      <c r="V464" s="674"/>
      <c r="W464" s="675"/>
      <c r="AC464" s="675"/>
      <c r="AD464" s="680"/>
      <c r="AE464" s="675"/>
      <c r="AF464" s="537" t="s">
        <v>204</v>
      </c>
      <c r="AG464" s="675"/>
      <c r="AI464" s="675"/>
    </row>
    <row r="465" spans="1:35" s="536" customFormat="1" ht="12" x14ac:dyDescent="0.2">
      <c r="A465" s="548"/>
      <c r="B465" s="552"/>
      <c r="C465" s="1822" t="s">
        <v>404</v>
      </c>
      <c r="D465" s="1822"/>
      <c r="E465" s="1822"/>
      <c r="F465" s="1822"/>
      <c r="G465" s="1822"/>
      <c r="H465" s="1822"/>
      <c r="I465" s="1822"/>
      <c r="J465" s="1822"/>
      <c r="K465" s="1822"/>
      <c r="L465" s="551">
        <v>215.98</v>
      </c>
      <c r="M465" s="550"/>
      <c r="N465" s="549"/>
      <c r="V465" s="674"/>
      <c r="W465" s="675"/>
      <c r="AC465" s="675"/>
      <c r="AD465" s="680"/>
      <c r="AE465" s="675"/>
      <c r="AF465" s="537" t="s">
        <v>404</v>
      </c>
      <c r="AG465" s="675"/>
      <c r="AI465" s="675"/>
    </row>
    <row r="466" spans="1:35" s="536" customFormat="1" ht="12" x14ac:dyDescent="0.2">
      <c r="A466" s="548"/>
      <c r="B466" s="552"/>
      <c r="C466" s="1822" t="s">
        <v>405</v>
      </c>
      <c r="D466" s="1822"/>
      <c r="E466" s="1822"/>
      <c r="F466" s="1822"/>
      <c r="G466" s="1822"/>
      <c r="H466" s="1822"/>
      <c r="I466" s="1822"/>
      <c r="J466" s="1822"/>
      <c r="K466" s="1822"/>
      <c r="L466" s="551">
        <v>21.65</v>
      </c>
      <c r="M466" s="550"/>
      <c r="N466" s="549"/>
      <c r="V466" s="674"/>
      <c r="W466" s="675"/>
      <c r="AC466" s="675"/>
      <c r="AD466" s="680"/>
      <c r="AE466" s="675"/>
      <c r="AF466" s="537" t="s">
        <v>405</v>
      </c>
      <c r="AG466" s="675"/>
      <c r="AI466" s="675"/>
    </row>
    <row r="467" spans="1:35" s="536" customFormat="1" ht="12" x14ac:dyDescent="0.2">
      <c r="A467" s="548"/>
      <c r="B467" s="552"/>
      <c r="C467" s="1822" t="s">
        <v>406</v>
      </c>
      <c r="D467" s="1822"/>
      <c r="E467" s="1822"/>
      <c r="F467" s="1822"/>
      <c r="G467" s="1822"/>
      <c r="H467" s="1822"/>
      <c r="I467" s="1822"/>
      <c r="J467" s="1822"/>
      <c r="K467" s="1822"/>
      <c r="L467" s="551">
        <v>3.51</v>
      </c>
      <c r="M467" s="550"/>
      <c r="N467" s="549"/>
      <c r="V467" s="674"/>
      <c r="W467" s="675"/>
      <c r="AC467" s="675"/>
      <c r="AD467" s="680"/>
      <c r="AE467" s="675"/>
      <c r="AF467" s="537" t="s">
        <v>406</v>
      </c>
      <c r="AG467" s="675"/>
      <c r="AI467" s="675"/>
    </row>
    <row r="468" spans="1:35" s="536" customFormat="1" ht="12" x14ac:dyDescent="0.2">
      <c r="A468" s="548"/>
      <c r="B468" s="552"/>
      <c r="C468" s="1822" t="s">
        <v>480</v>
      </c>
      <c r="D468" s="1822"/>
      <c r="E468" s="1822"/>
      <c r="F468" s="1822"/>
      <c r="G468" s="1822"/>
      <c r="H468" s="1822"/>
      <c r="I468" s="1822"/>
      <c r="J468" s="1822"/>
      <c r="K468" s="1822"/>
      <c r="L468" s="551">
        <v>5425.61</v>
      </c>
      <c r="M468" s="550"/>
      <c r="N468" s="549"/>
      <c r="V468" s="674"/>
      <c r="W468" s="675"/>
      <c r="AC468" s="675"/>
      <c r="AD468" s="680"/>
      <c r="AE468" s="675"/>
      <c r="AF468" s="537" t="s">
        <v>480</v>
      </c>
      <c r="AG468" s="675"/>
      <c r="AI468" s="675"/>
    </row>
    <row r="469" spans="1:35" s="536" customFormat="1" ht="12" x14ac:dyDescent="0.2">
      <c r="A469" s="548"/>
      <c r="B469" s="552"/>
      <c r="C469" s="1822" t="s">
        <v>407</v>
      </c>
      <c r="D469" s="1822"/>
      <c r="E469" s="1822"/>
      <c r="F469" s="1822"/>
      <c r="G469" s="1822"/>
      <c r="H469" s="1822"/>
      <c r="I469" s="1822"/>
      <c r="J469" s="1822"/>
      <c r="K469" s="1822"/>
      <c r="L469" s="551">
        <v>5991.24</v>
      </c>
      <c r="M469" s="550"/>
      <c r="N469" s="549"/>
      <c r="V469" s="674"/>
      <c r="W469" s="675"/>
      <c r="AC469" s="675"/>
      <c r="AD469" s="680"/>
      <c r="AE469" s="675"/>
      <c r="AF469" s="537" t="s">
        <v>407</v>
      </c>
      <c r="AG469" s="675"/>
      <c r="AI469" s="675"/>
    </row>
    <row r="470" spans="1:35" s="536" customFormat="1" ht="12" x14ac:dyDescent="0.2">
      <c r="A470" s="548"/>
      <c r="B470" s="552"/>
      <c r="C470" s="1822" t="s">
        <v>204</v>
      </c>
      <c r="D470" s="1822"/>
      <c r="E470" s="1822"/>
      <c r="F470" s="1822"/>
      <c r="G470" s="1822"/>
      <c r="H470" s="1822"/>
      <c r="I470" s="1822"/>
      <c r="J470" s="1822"/>
      <c r="K470" s="1822"/>
      <c r="L470" s="551"/>
      <c r="M470" s="550"/>
      <c r="N470" s="549"/>
      <c r="V470" s="674"/>
      <c r="W470" s="675"/>
      <c r="AC470" s="675"/>
      <c r="AD470" s="680"/>
      <c r="AE470" s="675"/>
      <c r="AF470" s="537" t="s">
        <v>204</v>
      </c>
      <c r="AG470" s="675"/>
      <c r="AI470" s="675"/>
    </row>
    <row r="471" spans="1:35" s="536" customFormat="1" ht="12" x14ac:dyDescent="0.2">
      <c r="A471" s="548"/>
      <c r="B471" s="552"/>
      <c r="C471" s="1822" t="s">
        <v>546</v>
      </c>
      <c r="D471" s="1822"/>
      <c r="E471" s="1822"/>
      <c r="F471" s="1822"/>
      <c r="G471" s="1822"/>
      <c r="H471" s="1822"/>
      <c r="I471" s="1822"/>
      <c r="J471" s="1822"/>
      <c r="K471" s="1822"/>
      <c r="L471" s="551">
        <v>215.98</v>
      </c>
      <c r="M471" s="550"/>
      <c r="N471" s="549"/>
      <c r="V471" s="674"/>
      <c r="W471" s="675"/>
      <c r="AC471" s="675"/>
      <c r="AD471" s="680"/>
      <c r="AE471" s="675"/>
      <c r="AF471" s="537" t="s">
        <v>546</v>
      </c>
      <c r="AG471" s="675"/>
      <c r="AI471" s="675"/>
    </row>
    <row r="472" spans="1:35" s="536" customFormat="1" ht="12" x14ac:dyDescent="0.2">
      <c r="A472" s="548"/>
      <c r="B472" s="552"/>
      <c r="C472" s="1822" t="s">
        <v>442</v>
      </c>
      <c r="D472" s="1822"/>
      <c r="E472" s="1822"/>
      <c r="F472" s="1822"/>
      <c r="G472" s="1822"/>
      <c r="H472" s="1822"/>
      <c r="I472" s="1822"/>
      <c r="J472" s="1822"/>
      <c r="K472" s="1822"/>
      <c r="L472" s="551">
        <v>21.65</v>
      </c>
      <c r="M472" s="550"/>
      <c r="N472" s="549"/>
      <c r="V472" s="674"/>
      <c r="W472" s="675"/>
      <c r="AC472" s="675"/>
      <c r="AD472" s="680"/>
      <c r="AE472" s="675"/>
      <c r="AF472" s="537" t="s">
        <v>442</v>
      </c>
      <c r="AG472" s="675"/>
      <c r="AI472" s="675"/>
    </row>
    <row r="473" spans="1:35" s="536" customFormat="1" ht="12" x14ac:dyDescent="0.2">
      <c r="A473" s="548"/>
      <c r="B473" s="552"/>
      <c r="C473" s="1822" t="s">
        <v>547</v>
      </c>
      <c r="D473" s="1822"/>
      <c r="E473" s="1822"/>
      <c r="F473" s="1822"/>
      <c r="G473" s="1822"/>
      <c r="H473" s="1822"/>
      <c r="I473" s="1822"/>
      <c r="J473" s="1822"/>
      <c r="K473" s="1822"/>
      <c r="L473" s="551">
        <v>5425.61</v>
      </c>
      <c r="M473" s="550"/>
      <c r="N473" s="549"/>
      <c r="V473" s="674"/>
      <c r="W473" s="675"/>
      <c r="AC473" s="675"/>
      <c r="AD473" s="680"/>
      <c r="AE473" s="675"/>
      <c r="AF473" s="537" t="s">
        <v>547</v>
      </c>
      <c r="AG473" s="675"/>
      <c r="AI473" s="675"/>
    </row>
    <row r="474" spans="1:35" s="536" customFormat="1" ht="12" x14ac:dyDescent="0.2">
      <c r="A474" s="548"/>
      <c r="B474" s="552"/>
      <c r="C474" s="1822" t="s">
        <v>443</v>
      </c>
      <c r="D474" s="1822"/>
      <c r="E474" s="1822"/>
      <c r="F474" s="1822"/>
      <c r="G474" s="1822"/>
      <c r="H474" s="1822"/>
      <c r="I474" s="1822"/>
      <c r="J474" s="1822"/>
      <c r="K474" s="1822"/>
      <c r="L474" s="551">
        <v>218.37</v>
      </c>
      <c r="M474" s="550"/>
      <c r="N474" s="549"/>
      <c r="V474" s="674"/>
      <c r="W474" s="675"/>
      <c r="AC474" s="675"/>
      <c r="AD474" s="680"/>
      <c r="AE474" s="675"/>
      <c r="AF474" s="537" t="s">
        <v>443</v>
      </c>
      <c r="AG474" s="675"/>
      <c r="AI474" s="675"/>
    </row>
    <row r="475" spans="1:35" s="536" customFormat="1" ht="12" x14ac:dyDescent="0.2">
      <c r="A475" s="548"/>
      <c r="B475" s="552"/>
      <c r="C475" s="1822" t="s">
        <v>444</v>
      </c>
      <c r="D475" s="1822"/>
      <c r="E475" s="1822"/>
      <c r="F475" s="1822"/>
      <c r="G475" s="1822"/>
      <c r="H475" s="1822"/>
      <c r="I475" s="1822"/>
      <c r="J475" s="1822"/>
      <c r="K475" s="1822"/>
      <c r="L475" s="551">
        <v>109.63</v>
      </c>
      <c r="M475" s="550"/>
      <c r="N475" s="549"/>
      <c r="V475" s="674"/>
      <c r="W475" s="675"/>
      <c r="AC475" s="675"/>
      <c r="AD475" s="680"/>
      <c r="AE475" s="675"/>
      <c r="AF475" s="537" t="s">
        <v>444</v>
      </c>
      <c r="AG475" s="675"/>
      <c r="AI475" s="675"/>
    </row>
    <row r="476" spans="1:35" s="536" customFormat="1" ht="12" x14ac:dyDescent="0.2">
      <c r="A476" s="548"/>
      <c r="B476" s="552"/>
      <c r="C476" s="1822" t="s">
        <v>415</v>
      </c>
      <c r="D476" s="1822"/>
      <c r="E476" s="1822"/>
      <c r="F476" s="1822"/>
      <c r="G476" s="1822"/>
      <c r="H476" s="1822"/>
      <c r="I476" s="1822"/>
      <c r="J476" s="1822"/>
      <c r="K476" s="1822"/>
      <c r="L476" s="551">
        <v>219.49</v>
      </c>
      <c r="M476" s="550"/>
      <c r="N476" s="549"/>
      <c r="V476" s="674"/>
      <c r="W476" s="675"/>
      <c r="AC476" s="675"/>
      <c r="AD476" s="680"/>
      <c r="AE476" s="675"/>
      <c r="AF476" s="537" t="s">
        <v>415</v>
      </c>
      <c r="AG476" s="675"/>
      <c r="AI476" s="675"/>
    </row>
    <row r="477" spans="1:35" s="536" customFormat="1" ht="12" x14ac:dyDescent="0.2">
      <c r="A477" s="548"/>
      <c r="B477" s="552"/>
      <c r="C477" s="1822" t="s">
        <v>416</v>
      </c>
      <c r="D477" s="1822"/>
      <c r="E477" s="1822"/>
      <c r="F477" s="1822"/>
      <c r="G477" s="1822"/>
      <c r="H477" s="1822"/>
      <c r="I477" s="1822"/>
      <c r="J477" s="1822"/>
      <c r="K477" s="1822"/>
      <c r="L477" s="551">
        <v>218.37</v>
      </c>
      <c r="M477" s="550"/>
      <c r="N477" s="549"/>
      <c r="V477" s="674"/>
      <c r="W477" s="675"/>
      <c r="AC477" s="675"/>
      <c r="AD477" s="680"/>
      <c r="AE477" s="675"/>
      <c r="AF477" s="537" t="s">
        <v>416</v>
      </c>
      <c r="AG477" s="675"/>
      <c r="AI477" s="675"/>
    </row>
    <row r="478" spans="1:35" s="536" customFormat="1" ht="12" x14ac:dyDescent="0.2">
      <c r="A478" s="548"/>
      <c r="B478" s="552"/>
      <c r="C478" s="1822" t="s">
        <v>417</v>
      </c>
      <c r="D478" s="1822"/>
      <c r="E478" s="1822"/>
      <c r="F478" s="1822"/>
      <c r="G478" s="1822"/>
      <c r="H478" s="1822"/>
      <c r="I478" s="1822"/>
      <c r="J478" s="1822"/>
      <c r="K478" s="1822"/>
      <c r="L478" s="551">
        <v>109.63</v>
      </c>
      <c r="M478" s="550"/>
      <c r="N478" s="549"/>
      <c r="V478" s="674"/>
      <c r="W478" s="675"/>
      <c r="AC478" s="675"/>
      <c r="AD478" s="680"/>
      <c r="AE478" s="675"/>
      <c r="AF478" s="537" t="s">
        <v>417</v>
      </c>
      <c r="AG478" s="675"/>
      <c r="AI478" s="675"/>
    </row>
    <row r="479" spans="1:35" s="536" customFormat="1" ht="12" x14ac:dyDescent="0.2">
      <c r="A479" s="548"/>
      <c r="B479" s="546"/>
      <c r="C479" s="1819" t="s">
        <v>2011</v>
      </c>
      <c r="D479" s="1819"/>
      <c r="E479" s="1819"/>
      <c r="F479" s="1819"/>
      <c r="G479" s="1819"/>
      <c r="H479" s="1819"/>
      <c r="I479" s="1819"/>
      <c r="J479" s="1819"/>
      <c r="K479" s="1819"/>
      <c r="L479" s="544">
        <v>5991.24</v>
      </c>
      <c r="M479" s="543"/>
      <c r="N479" s="681"/>
      <c r="V479" s="674"/>
      <c r="W479" s="675"/>
      <c r="AC479" s="675"/>
      <c r="AD479" s="680"/>
      <c r="AE479" s="675"/>
      <c r="AG479" s="675" t="s">
        <v>2011</v>
      </c>
      <c r="AI479" s="675"/>
    </row>
    <row r="480" spans="1:35" s="536" customFormat="1" ht="12" x14ac:dyDescent="0.2">
      <c r="A480" s="548"/>
      <c r="B480" s="552"/>
      <c r="C480" s="1822" t="s">
        <v>204</v>
      </c>
      <c r="D480" s="1822"/>
      <c r="E480" s="1822"/>
      <c r="F480" s="1822"/>
      <c r="G480" s="1822"/>
      <c r="H480" s="1822"/>
      <c r="I480" s="1822"/>
      <c r="J480" s="1822"/>
      <c r="K480" s="1822"/>
      <c r="L480" s="551"/>
      <c r="M480" s="550"/>
      <c r="N480" s="549"/>
      <c r="V480" s="674"/>
      <c r="W480" s="675"/>
      <c r="AC480" s="675"/>
      <c r="AD480" s="680"/>
      <c r="AE480" s="675"/>
      <c r="AF480" s="537" t="s">
        <v>204</v>
      </c>
      <c r="AG480" s="675"/>
      <c r="AI480" s="675"/>
    </row>
    <row r="481" spans="1:35" s="536" customFormat="1" ht="12" x14ac:dyDescent="0.2">
      <c r="A481" s="548"/>
      <c r="B481" s="552"/>
      <c r="C481" s="1822" t="s">
        <v>8095</v>
      </c>
      <c r="D481" s="1822"/>
      <c r="E481" s="1822"/>
      <c r="F481" s="1822"/>
      <c r="G481" s="1822"/>
      <c r="H481" s="1822"/>
      <c r="I481" s="1822"/>
      <c r="J481" s="1822"/>
      <c r="K481" s="1822"/>
      <c r="L481" s="551">
        <v>503.61</v>
      </c>
      <c r="M481" s="550"/>
      <c r="N481" s="549"/>
      <c r="V481" s="674"/>
      <c r="W481" s="675"/>
      <c r="AC481" s="675"/>
      <c r="AD481" s="680"/>
      <c r="AE481" s="675"/>
      <c r="AF481" s="537" t="s">
        <v>8095</v>
      </c>
      <c r="AG481" s="675"/>
      <c r="AI481" s="675"/>
    </row>
    <row r="482" spans="1:35" s="536" customFormat="1" ht="12" x14ac:dyDescent="0.2">
      <c r="A482" s="1824" t="s">
        <v>2012</v>
      </c>
      <c r="B482" s="1825"/>
      <c r="C482" s="1825"/>
      <c r="D482" s="1825"/>
      <c r="E482" s="1825"/>
      <c r="F482" s="1825"/>
      <c r="G482" s="1825"/>
      <c r="H482" s="1825"/>
      <c r="I482" s="1825"/>
      <c r="J482" s="1825"/>
      <c r="K482" s="1825"/>
      <c r="L482" s="1825"/>
      <c r="M482" s="1825"/>
      <c r="N482" s="1826"/>
      <c r="V482" s="674" t="s">
        <v>2012</v>
      </c>
      <c r="W482" s="675"/>
      <c r="AC482" s="675"/>
      <c r="AD482" s="680"/>
      <c r="AE482" s="675"/>
      <c r="AG482" s="675"/>
      <c r="AI482" s="675"/>
    </row>
    <row r="483" spans="1:35" s="536" customFormat="1" ht="22.5" x14ac:dyDescent="0.2">
      <c r="A483" s="575" t="s">
        <v>465</v>
      </c>
      <c r="B483" s="657" t="s">
        <v>1279</v>
      </c>
      <c r="C483" s="1823" t="s">
        <v>1280</v>
      </c>
      <c r="D483" s="1823"/>
      <c r="E483" s="1823"/>
      <c r="F483" s="573" t="s">
        <v>862</v>
      </c>
      <c r="G483" s="573"/>
      <c r="H483" s="573"/>
      <c r="I483" s="573" t="s">
        <v>2013</v>
      </c>
      <c r="J483" s="572"/>
      <c r="K483" s="573"/>
      <c r="L483" s="572"/>
      <c r="M483" s="571"/>
      <c r="N483" s="570"/>
      <c r="V483" s="674"/>
      <c r="W483" s="675" t="s">
        <v>1280</v>
      </c>
      <c r="AC483" s="675"/>
      <c r="AD483" s="680"/>
      <c r="AE483" s="675"/>
      <c r="AG483" s="675"/>
      <c r="AI483" s="675"/>
    </row>
    <row r="484" spans="1:35" s="536" customFormat="1" ht="12" x14ac:dyDescent="0.2">
      <c r="A484" s="676"/>
      <c r="B484" s="655"/>
      <c r="C484" s="1822" t="s">
        <v>2014</v>
      </c>
      <c r="D484" s="1822"/>
      <c r="E484" s="1822"/>
      <c r="F484" s="1822"/>
      <c r="G484" s="1822"/>
      <c r="H484" s="1822"/>
      <c r="I484" s="1822"/>
      <c r="J484" s="1822"/>
      <c r="K484" s="1822"/>
      <c r="L484" s="1822"/>
      <c r="M484" s="1822"/>
      <c r="N484" s="1827"/>
      <c r="V484" s="674"/>
      <c r="W484" s="675"/>
      <c r="X484" s="537" t="s">
        <v>2014</v>
      </c>
      <c r="AC484" s="675"/>
      <c r="AD484" s="680"/>
      <c r="AE484" s="675"/>
      <c r="AG484" s="675"/>
      <c r="AI484" s="675"/>
    </row>
    <row r="485" spans="1:35" s="536" customFormat="1" ht="33.75" x14ac:dyDescent="0.2">
      <c r="A485" s="609"/>
      <c r="B485" s="552" t="s">
        <v>310</v>
      </c>
      <c r="C485" s="1822" t="s">
        <v>311</v>
      </c>
      <c r="D485" s="1822"/>
      <c r="E485" s="1822"/>
      <c r="F485" s="1822"/>
      <c r="G485" s="1822"/>
      <c r="H485" s="1822"/>
      <c r="I485" s="1822"/>
      <c r="J485" s="1822"/>
      <c r="K485" s="1822"/>
      <c r="L485" s="1822"/>
      <c r="M485" s="1822"/>
      <c r="N485" s="1827"/>
      <c r="V485" s="674"/>
      <c r="W485" s="675"/>
      <c r="Y485" s="537" t="s">
        <v>311</v>
      </c>
      <c r="AC485" s="675"/>
      <c r="AD485" s="680"/>
      <c r="AE485" s="675"/>
      <c r="AG485" s="675"/>
      <c r="AI485" s="675"/>
    </row>
    <row r="486" spans="1:35" s="536" customFormat="1" ht="12" x14ac:dyDescent="0.2">
      <c r="A486" s="605"/>
      <c r="B486" s="552" t="s">
        <v>185</v>
      </c>
      <c r="C486" s="1822" t="s">
        <v>312</v>
      </c>
      <c r="D486" s="1822"/>
      <c r="E486" s="1822"/>
      <c r="F486" s="562"/>
      <c r="G486" s="562"/>
      <c r="H486" s="562"/>
      <c r="I486" s="562"/>
      <c r="J486" s="604">
        <v>1408.29</v>
      </c>
      <c r="K486" s="562" t="s">
        <v>313</v>
      </c>
      <c r="L486" s="604">
        <v>1028.05</v>
      </c>
      <c r="M486" s="603"/>
      <c r="N486" s="602"/>
      <c r="V486" s="674"/>
      <c r="W486" s="675"/>
      <c r="Z486" s="537" t="s">
        <v>312</v>
      </c>
      <c r="AC486" s="675"/>
      <c r="AD486" s="680"/>
      <c r="AE486" s="675"/>
      <c r="AG486" s="675"/>
      <c r="AI486" s="675"/>
    </row>
    <row r="487" spans="1:35" s="536" customFormat="1" ht="12" x14ac:dyDescent="0.2">
      <c r="A487" s="605"/>
      <c r="B487" s="552" t="s">
        <v>186</v>
      </c>
      <c r="C487" s="1822" t="s">
        <v>344</v>
      </c>
      <c r="D487" s="1822"/>
      <c r="E487" s="1822"/>
      <c r="F487" s="562"/>
      <c r="G487" s="562"/>
      <c r="H487" s="562"/>
      <c r="I487" s="562"/>
      <c r="J487" s="604">
        <v>219.94</v>
      </c>
      <c r="K487" s="562" t="s">
        <v>313</v>
      </c>
      <c r="L487" s="604">
        <v>160.56</v>
      </c>
      <c r="M487" s="603"/>
      <c r="N487" s="602"/>
      <c r="V487" s="674"/>
      <c r="W487" s="675"/>
      <c r="Z487" s="537" t="s">
        <v>344</v>
      </c>
      <c r="AC487" s="675"/>
      <c r="AD487" s="680"/>
      <c r="AE487" s="675"/>
      <c r="AG487" s="675"/>
      <c r="AI487" s="675"/>
    </row>
    <row r="488" spans="1:35" s="536" customFormat="1" ht="12" x14ac:dyDescent="0.2">
      <c r="A488" s="605"/>
      <c r="B488" s="552" t="s">
        <v>187</v>
      </c>
      <c r="C488" s="1822" t="s">
        <v>345</v>
      </c>
      <c r="D488" s="1822"/>
      <c r="E488" s="1822"/>
      <c r="F488" s="562"/>
      <c r="G488" s="562"/>
      <c r="H488" s="562"/>
      <c r="I488" s="562"/>
      <c r="J488" s="604">
        <v>27.02</v>
      </c>
      <c r="K488" s="562" t="s">
        <v>313</v>
      </c>
      <c r="L488" s="604">
        <v>19.72</v>
      </c>
      <c r="M488" s="603"/>
      <c r="N488" s="602"/>
      <c r="V488" s="674"/>
      <c r="W488" s="675"/>
      <c r="Z488" s="537" t="s">
        <v>345</v>
      </c>
      <c r="AC488" s="675"/>
      <c r="AD488" s="680"/>
      <c r="AE488" s="675"/>
      <c r="AG488" s="675"/>
      <c r="AI488" s="675"/>
    </row>
    <row r="489" spans="1:35" s="536" customFormat="1" ht="12" x14ac:dyDescent="0.2">
      <c r="A489" s="605"/>
      <c r="B489" s="552" t="s">
        <v>188</v>
      </c>
      <c r="C489" s="1822" t="s">
        <v>475</v>
      </c>
      <c r="D489" s="1822"/>
      <c r="E489" s="1822"/>
      <c r="F489" s="562"/>
      <c r="G489" s="562"/>
      <c r="H489" s="562"/>
      <c r="I489" s="562"/>
      <c r="J489" s="604">
        <v>132.55000000000001</v>
      </c>
      <c r="K489" s="562"/>
      <c r="L489" s="604">
        <v>77.41</v>
      </c>
      <c r="M489" s="603"/>
      <c r="N489" s="602"/>
      <c r="V489" s="674"/>
      <c r="W489" s="675"/>
      <c r="Z489" s="537" t="s">
        <v>475</v>
      </c>
      <c r="AC489" s="675"/>
      <c r="AD489" s="680"/>
      <c r="AE489" s="675"/>
      <c r="AG489" s="675"/>
      <c r="AI489" s="675"/>
    </row>
    <row r="490" spans="1:35" s="536" customFormat="1" ht="22.5" x14ac:dyDescent="0.2">
      <c r="A490" s="676"/>
      <c r="B490" s="677" t="s">
        <v>1281</v>
      </c>
      <c r="C490" s="1829" t="s">
        <v>1282</v>
      </c>
      <c r="D490" s="1829"/>
      <c r="E490" s="1829"/>
      <c r="F490" s="678" t="s">
        <v>641</v>
      </c>
      <c r="G490" s="678" t="s">
        <v>1244</v>
      </c>
      <c r="H490" s="678"/>
      <c r="I490" s="678" t="s">
        <v>2015</v>
      </c>
      <c r="J490" s="552"/>
      <c r="K490" s="562"/>
      <c r="L490" s="604"/>
      <c r="M490" s="562"/>
      <c r="N490" s="679"/>
      <c r="V490" s="674"/>
      <c r="W490" s="675"/>
      <c r="AC490" s="675"/>
      <c r="AD490" s="680" t="s">
        <v>1282</v>
      </c>
      <c r="AE490" s="675"/>
      <c r="AG490" s="675"/>
      <c r="AI490" s="675"/>
    </row>
    <row r="491" spans="1:35" s="536" customFormat="1" ht="12" x14ac:dyDescent="0.2">
      <c r="A491" s="605"/>
      <c r="B491" s="552"/>
      <c r="C491" s="1822" t="s">
        <v>314</v>
      </c>
      <c r="D491" s="1822"/>
      <c r="E491" s="1822"/>
      <c r="F491" s="562" t="s">
        <v>315</v>
      </c>
      <c r="G491" s="562" t="s">
        <v>1283</v>
      </c>
      <c r="H491" s="562" t="s">
        <v>313</v>
      </c>
      <c r="I491" s="562" t="s">
        <v>2016</v>
      </c>
      <c r="J491" s="604"/>
      <c r="K491" s="562"/>
      <c r="L491" s="604"/>
      <c r="M491" s="603"/>
      <c r="N491" s="602"/>
      <c r="V491" s="674"/>
      <c r="W491" s="675"/>
      <c r="AA491" s="537" t="s">
        <v>314</v>
      </c>
      <c r="AC491" s="675"/>
      <c r="AD491" s="680"/>
      <c r="AE491" s="675"/>
      <c r="AG491" s="675"/>
      <c r="AI491" s="675"/>
    </row>
    <row r="492" spans="1:35" s="536" customFormat="1" ht="12" x14ac:dyDescent="0.2">
      <c r="A492" s="605"/>
      <c r="B492" s="552"/>
      <c r="C492" s="1822" t="s">
        <v>348</v>
      </c>
      <c r="D492" s="1822"/>
      <c r="E492" s="1822"/>
      <c r="F492" s="562" t="s">
        <v>315</v>
      </c>
      <c r="G492" s="562" t="s">
        <v>1285</v>
      </c>
      <c r="H492" s="562" t="s">
        <v>313</v>
      </c>
      <c r="I492" s="562" t="s">
        <v>2017</v>
      </c>
      <c r="J492" s="604"/>
      <c r="K492" s="562"/>
      <c r="L492" s="604"/>
      <c r="M492" s="603"/>
      <c r="N492" s="602"/>
      <c r="V492" s="674"/>
      <c r="W492" s="675"/>
      <c r="AA492" s="537" t="s">
        <v>348</v>
      </c>
      <c r="AC492" s="675"/>
      <c r="AD492" s="680"/>
      <c r="AE492" s="675"/>
      <c r="AG492" s="675"/>
      <c r="AI492" s="675"/>
    </row>
    <row r="493" spans="1:35" s="536" customFormat="1" ht="12" x14ac:dyDescent="0.2">
      <c r="A493" s="605"/>
      <c r="B493" s="552"/>
      <c r="C493" s="1828" t="s">
        <v>318</v>
      </c>
      <c r="D493" s="1828"/>
      <c r="E493" s="1828"/>
      <c r="F493" s="608"/>
      <c r="G493" s="608"/>
      <c r="H493" s="608"/>
      <c r="I493" s="608"/>
      <c r="J493" s="607">
        <v>1760.78</v>
      </c>
      <c r="K493" s="608"/>
      <c r="L493" s="607">
        <v>1266.02</v>
      </c>
      <c r="M493" s="601"/>
      <c r="N493" s="606"/>
      <c r="V493" s="674"/>
      <c r="W493" s="675"/>
      <c r="AB493" s="537" t="s">
        <v>318</v>
      </c>
      <c r="AC493" s="675"/>
      <c r="AD493" s="680"/>
      <c r="AE493" s="675"/>
      <c r="AG493" s="675"/>
      <c r="AI493" s="675"/>
    </row>
    <row r="494" spans="1:35" s="536" customFormat="1" ht="12" x14ac:dyDescent="0.2">
      <c r="A494" s="605"/>
      <c r="B494" s="552"/>
      <c r="C494" s="1822" t="s">
        <v>319</v>
      </c>
      <c r="D494" s="1822"/>
      <c r="E494" s="1822"/>
      <c r="F494" s="562"/>
      <c r="G494" s="562"/>
      <c r="H494" s="562"/>
      <c r="I494" s="562"/>
      <c r="J494" s="604"/>
      <c r="K494" s="562"/>
      <c r="L494" s="604">
        <v>1047.77</v>
      </c>
      <c r="M494" s="603"/>
      <c r="N494" s="602"/>
      <c r="V494" s="674"/>
      <c r="W494" s="675"/>
      <c r="AA494" s="537" t="s">
        <v>319</v>
      </c>
      <c r="AC494" s="675"/>
      <c r="AD494" s="680"/>
      <c r="AE494" s="675"/>
      <c r="AG494" s="675"/>
      <c r="AI494" s="675"/>
    </row>
    <row r="495" spans="1:35" s="536" customFormat="1" ht="33.75" x14ac:dyDescent="0.2">
      <c r="A495" s="605"/>
      <c r="B495" s="552" t="s">
        <v>1250</v>
      </c>
      <c r="C495" s="1822" t="s">
        <v>1251</v>
      </c>
      <c r="D495" s="1822"/>
      <c r="E495" s="1822"/>
      <c r="F495" s="562" t="s">
        <v>322</v>
      </c>
      <c r="G495" s="562" t="s">
        <v>1252</v>
      </c>
      <c r="H495" s="562"/>
      <c r="I495" s="562" t="s">
        <v>1252</v>
      </c>
      <c r="J495" s="604"/>
      <c r="K495" s="562"/>
      <c r="L495" s="604">
        <v>1173.5</v>
      </c>
      <c r="M495" s="603"/>
      <c r="N495" s="602"/>
      <c r="V495" s="674"/>
      <c r="W495" s="675"/>
      <c r="AA495" s="537" t="s">
        <v>1251</v>
      </c>
      <c r="AC495" s="675"/>
      <c r="AD495" s="680"/>
      <c r="AE495" s="675"/>
      <c r="AG495" s="675"/>
      <c r="AI495" s="675"/>
    </row>
    <row r="496" spans="1:35" s="536" customFormat="1" ht="33.75" x14ac:dyDescent="0.2">
      <c r="A496" s="605"/>
      <c r="B496" s="552" t="s">
        <v>1253</v>
      </c>
      <c r="C496" s="1822" t="s">
        <v>1254</v>
      </c>
      <c r="D496" s="1822"/>
      <c r="E496" s="1822"/>
      <c r="F496" s="562" t="s">
        <v>322</v>
      </c>
      <c r="G496" s="562" t="s">
        <v>796</v>
      </c>
      <c r="H496" s="562"/>
      <c r="I496" s="562" t="s">
        <v>796</v>
      </c>
      <c r="J496" s="604"/>
      <c r="K496" s="562"/>
      <c r="L496" s="604">
        <v>681.05</v>
      </c>
      <c r="M496" s="603"/>
      <c r="N496" s="602"/>
      <c r="V496" s="674"/>
      <c r="W496" s="675"/>
      <c r="AA496" s="537" t="s">
        <v>1254</v>
      </c>
      <c r="AC496" s="675"/>
      <c r="AD496" s="680"/>
      <c r="AE496" s="675"/>
      <c r="AG496" s="675"/>
      <c r="AI496" s="675"/>
    </row>
    <row r="497" spans="1:35" s="536" customFormat="1" ht="12" x14ac:dyDescent="0.2">
      <c r="A497" s="569"/>
      <c r="B497" s="656"/>
      <c r="C497" s="1823" t="s">
        <v>327</v>
      </c>
      <c r="D497" s="1823"/>
      <c r="E497" s="1823"/>
      <c r="F497" s="573"/>
      <c r="G497" s="573"/>
      <c r="H497" s="573"/>
      <c r="I497" s="573"/>
      <c r="J497" s="572"/>
      <c r="K497" s="573"/>
      <c r="L497" s="572">
        <v>3120.57</v>
      </c>
      <c r="M497" s="601"/>
      <c r="N497" s="570"/>
      <c r="V497" s="674"/>
      <c r="W497" s="675"/>
      <c r="AC497" s="675" t="s">
        <v>327</v>
      </c>
      <c r="AD497" s="680"/>
      <c r="AE497" s="675"/>
      <c r="AG497" s="675"/>
      <c r="AI497" s="675"/>
    </row>
    <row r="498" spans="1:35" s="536" customFormat="1" ht="45" x14ac:dyDescent="0.2">
      <c r="A498" s="575" t="s">
        <v>782</v>
      </c>
      <c r="B498" s="657" t="s">
        <v>1287</v>
      </c>
      <c r="C498" s="1823" t="s">
        <v>1288</v>
      </c>
      <c r="D498" s="1823"/>
      <c r="E498" s="1823"/>
      <c r="F498" s="573" t="s">
        <v>862</v>
      </c>
      <c r="G498" s="573"/>
      <c r="H498" s="573"/>
      <c r="I498" s="573" t="s">
        <v>2013</v>
      </c>
      <c r="J498" s="572"/>
      <c r="K498" s="573"/>
      <c r="L498" s="572"/>
      <c r="M498" s="571"/>
      <c r="N498" s="570"/>
      <c r="V498" s="674"/>
      <c r="W498" s="675" t="s">
        <v>1288</v>
      </c>
      <c r="AC498" s="675"/>
      <c r="AD498" s="680"/>
      <c r="AE498" s="675"/>
      <c r="AG498" s="675"/>
      <c r="AI498" s="675"/>
    </row>
    <row r="499" spans="1:35" s="536" customFormat="1" ht="12" x14ac:dyDescent="0.2">
      <c r="A499" s="676"/>
      <c r="B499" s="655"/>
      <c r="C499" s="1822" t="s">
        <v>2014</v>
      </c>
      <c r="D499" s="1822"/>
      <c r="E499" s="1822"/>
      <c r="F499" s="1822"/>
      <c r="G499" s="1822"/>
      <c r="H499" s="1822"/>
      <c r="I499" s="1822"/>
      <c r="J499" s="1822"/>
      <c r="K499" s="1822"/>
      <c r="L499" s="1822"/>
      <c r="M499" s="1822"/>
      <c r="N499" s="1827"/>
      <c r="V499" s="674"/>
      <c r="W499" s="675"/>
      <c r="X499" s="537" t="s">
        <v>2014</v>
      </c>
      <c r="AC499" s="675"/>
      <c r="AD499" s="680"/>
      <c r="AE499" s="675"/>
      <c r="AG499" s="675"/>
      <c r="AI499" s="675"/>
    </row>
    <row r="500" spans="1:35" s="536" customFormat="1" ht="12" x14ac:dyDescent="0.2">
      <c r="A500" s="609"/>
      <c r="B500" s="552"/>
      <c r="C500" s="1822" t="s">
        <v>1289</v>
      </c>
      <c r="D500" s="1822"/>
      <c r="E500" s="1822"/>
      <c r="F500" s="1822"/>
      <c r="G500" s="1822"/>
      <c r="H500" s="1822"/>
      <c r="I500" s="1822"/>
      <c r="J500" s="1822"/>
      <c r="K500" s="1822"/>
      <c r="L500" s="1822"/>
      <c r="M500" s="1822"/>
      <c r="N500" s="1827"/>
      <c r="V500" s="674"/>
      <c r="W500" s="675"/>
      <c r="Y500" s="537" t="s">
        <v>1289</v>
      </c>
      <c r="AC500" s="675"/>
      <c r="AD500" s="680"/>
      <c r="AE500" s="675"/>
      <c r="AG500" s="675"/>
      <c r="AI500" s="675"/>
    </row>
    <row r="501" spans="1:35" s="536" customFormat="1" ht="33.75" x14ac:dyDescent="0.2">
      <c r="A501" s="609"/>
      <c r="B501" s="552" t="s">
        <v>310</v>
      </c>
      <c r="C501" s="1822" t="s">
        <v>311</v>
      </c>
      <c r="D501" s="1822"/>
      <c r="E501" s="1822"/>
      <c r="F501" s="1822"/>
      <c r="G501" s="1822"/>
      <c r="H501" s="1822"/>
      <c r="I501" s="1822"/>
      <c r="J501" s="1822"/>
      <c r="K501" s="1822"/>
      <c r="L501" s="1822"/>
      <c r="M501" s="1822"/>
      <c r="N501" s="1827"/>
      <c r="V501" s="674"/>
      <c r="W501" s="675"/>
      <c r="Y501" s="537" t="s">
        <v>311</v>
      </c>
      <c r="AC501" s="675"/>
      <c r="AD501" s="680"/>
      <c r="AE501" s="675"/>
      <c r="AG501" s="675"/>
      <c r="AI501" s="675"/>
    </row>
    <row r="502" spans="1:35" s="536" customFormat="1" ht="12" x14ac:dyDescent="0.2">
      <c r="A502" s="605"/>
      <c r="B502" s="552" t="s">
        <v>185</v>
      </c>
      <c r="C502" s="1822" t="s">
        <v>312</v>
      </c>
      <c r="D502" s="1822"/>
      <c r="E502" s="1822"/>
      <c r="F502" s="562"/>
      <c r="G502" s="562"/>
      <c r="H502" s="562"/>
      <c r="I502" s="562"/>
      <c r="J502" s="604">
        <v>137.24</v>
      </c>
      <c r="K502" s="562" t="s">
        <v>189</v>
      </c>
      <c r="L502" s="604">
        <v>400.74</v>
      </c>
      <c r="M502" s="603"/>
      <c r="N502" s="602"/>
      <c r="V502" s="674"/>
      <c r="W502" s="675"/>
      <c r="Z502" s="537" t="s">
        <v>312</v>
      </c>
      <c r="AC502" s="675"/>
      <c r="AD502" s="680"/>
      <c r="AE502" s="675"/>
      <c r="AG502" s="675"/>
      <c r="AI502" s="675"/>
    </row>
    <row r="503" spans="1:35" s="536" customFormat="1" ht="12" x14ac:dyDescent="0.2">
      <c r="A503" s="605"/>
      <c r="B503" s="552" t="s">
        <v>186</v>
      </c>
      <c r="C503" s="1822" t="s">
        <v>344</v>
      </c>
      <c r="D503" s="1822"/>
      <c r="E503" s="1822"/>
      <c r="F503" s="562"/>
      <c r="G503" s="562"/>
      <c r="H503" s="562"/>
      <c r="I503" s="562"/>
      <c r="J503" s="604">
        <v>5.77</v>
      </c>
      <c r="K503" s="562" t="s">
        <v>189</v>
      </c>
      <c r="L503" s="604">
        <v>16.850000000000001</v>
      </c>
      <c r="M503" s="603"/>
      <c r="N503" s="602"/>
      <c r="V503" s="674"/>
      <c r="W503" s="675"/>
      <c r="Z503" s="537" t="s">
        <v>344</v>
      </c>
      <c r="AC503" s="675"/>
      <c r="AD503" s="680"/>
      <c r="AE503" s="675"/>
      <c r="AG503" s="675"/>
      <c r="AI503" s="675"/>
    </row>
    <row r="504" spans="1:35" s="536" customFormat="1" ht="12" x14ac:dyDescent="0.2">
      <c r="A504" s="605"/>
      <c r="B504" s="552" t="s">
        <v>187</v>
      </c>
      <c r="C504" s="1822" t="s">
        <v>345</v>
      </c>
      <c r="D504" s="1822"/>
      <c r="E504" s="1822"/>
      <c r="F504" s="562"/>
      <c r="G504" s="562"/>
      <c r="H504" s="562"/>
      <c r="I504" s="562"/>
      <c r="J504" s="604">
        <v>0.68</v>
      </c>
      <c r="K504" s="562" t="s">
        <v>189</v>
      </c>
      <c r="L504" s="604">
        <v>1.99</v>
      </c>
      <c r="M504" s="603"/>
      <c r="N504" s="602"/>
      <c r="V504" s="674"/>
      <c r="W504" s="675"/>
      <c r="Z504" s="537" t="s">
        <v>345</v>
      </c>
      <c r="AC504" s="675"/>
      <c r="AD504" s="680"/>
      <c r="AE504" s="675"/>
      <c r="AG504" s="675"/>
      <c r="AI504" s="675"/>
    </row>
    <row r="505" spans="1:35" s="536" customFormat="1" ht="22.5" x14ac:dyDescent="0.2">
      <c r="A505" s="676"/>
      <c r="B505" s="677" t="s">
        <v>1281</v>
      </c>
      <c r="C505" s="1829" t="s">
        <v>1282</v>
      </c>
      <c r="D505" s="1829"/>
      <c r="E505" s="1829"/>
      <c r="F505" s="678" t="s">
        <v>641</v>
      </c>
      <c r="G505" s="678" t="s">
        <v>439</v>
      </c>
      <c r="H505" s="678" t="s">
        <v>188</v>
      </c>
      <c r="I505" s="678" t="s">
        <v>2015</v>
      </c>
      <c r="J505" s="552"/>
      <c r="K505" s="562"/>
      <c r="L505" s="604"/>
      <c r="M505" s="562"/>
      <c r="N505" s="679"/>
      <c r="V505" s="674"/>
      <c r="W505" s="675"/>
      <c r="AC505" s="675"/>
      <c r="AD505" s="680" t="s">
        <v>1282</v>
      </c>
      <c r="AE505" s="675"/>
      <c r="AG505" s="675"/>
      <c r="AI505" s="675"/>
    </row>
    <row r="506" spans="1:35" s="536" customFormat="1" ht="12" x14ac:dyDescent="0.2">
      <c r="A506" s="605"/>
      <c r="B506" s="552"/>
      <c r="C506" s="1822" t="s">
        <v>314</v>
      </c>
      <c r="D506" s="1822"/>
      <c r="E506" s="1822"/>
      <c r="F506" s="562" t="s">
        <v>315</v>
      </c>
      <c r="G506" s="562" t="s">
        <v>1290</v>
      </c>
      <c r="H506" s="562" t="s">
        <v>189</v>
      </c>
      <c r="I506" s="562" t="s">
        <v>2018</v>
      </c>
      <c r="J506" s="604"/>
      <c r="K506" s="562"/>
      <c r="L506" s="604"/>
      <c r="M506" s="603"/>
      <c r="N506" s="602"/>
      <c r="V506" s="674"/>
      <c r="W506" s="675"/>
      <c r="AA506" s="537" t="s">
        <v>314</v>
      </c>
      <c r="AC506" s="675"/>
      <c r="AD506" s="680"/>
      <c r="AE506" s="675"/>
      <c r="AG506" s="675"/>
      <c r="AI506" s="675"/>
    </row>
    <row r="507" spans="1:35" s="536" customFormat="1" ht="12" x14ac:dyDescent="0.2">
      <c r="A507" s="605"/>
      <c r="B507" s="552"/>
      <c r="C507" s="1822" t="s">
        <v>348</v>
      </c>
      <c r="D507" s="1822"/>
      <c r="E507" s="1822"/>
      <c r="F507" s="562" t="s">
        <v>315</v>
      </c>
      <c r="G507" s="562" t="s">
        <v>856</v>
      </c>
      <c r="H507" s="562" t="s">
        <v>189</v>
      </c>
      <c r="I507" s="562" t="s">
        <v>2019</v>
      </c>
      <c r="J507" s="604"/>
      <c r="K507" s="562"/>
      <c r="L507" s="604"/>
      <c r="M507" s="603"/>
      <c r="N507" s="602"/>
      <c r="V507" s="674"/>
      <c r="W507" s="675"/>
      <c r="AA507" s="537" t="s">
        <v>348</v>
      </c>
      <c r="AC507" s="675"/>
      <c r="AD507" s="680"/>
      <c r="AE507" s="675"/>
      <c r="AG507" s="675"/>
      <c r="AI507" s="675"/>
    </row>
    <row r="508" spans="1:35" s="536" customFormat="1" ht="12" x14ac:dyDescent="0.2">
      <c r="A508" s="605"/>
      <c r="B508" s="552"/>
      <c r="C508" s="1828" t="s">
        <v>318</v>
      </c>
      <c r="D508" s="1828"/>
      <c r="E508" s="1828"/>
      <c r="F508" s="608"/>
      <c r="G508" s="608"/>
      <c r="H508" s="608"/>
      <c r="I508" s="608"/>
      <c r="J508" s="607">
        <v>143.01</v>
      </c>
      <c r="K508" s="608"/>
      <c r="L508" s="607">
        <v>417.59</v>
      </c>
      <c r="M508" s="601"/>
      <c r="N508" s="606"/>
      <c r="V508" s="674"/>
      <c r="W508" s="675"/>
      <c r="AB508" s="537" t="s">
        <v>318</v>
      </c>
      <c r="AC508" s="675"/>
      <c r="AD508" s="680"/>
      <c r="AE508" s="675"/>
      <c r="AG508" s="675"/>
      <c r="AI508" s="675"/>
    </row>
    <row r="509" spans="1:35" s="536" customFormat="1" ht="12" x14ac:dyDescent="0.2">
      <c r="A509" s="605"/>
      <c r="B509" s="552"/>
      <c r="C509" s="1822" t="s">
        <v>319</v>
      </c>
      <c r="D509" s="1822"/>
      <c r="E509" s="1822"/>
      <c r="F509" s="562"/>
      <c r="G509" s="562"/>
      <c r="H509" s="562"/>
      <c r="I509" s="562"/>
      <c r="J509" s="604"/>
      <c r="K509" s="562"/>
      <c r="L509" s="604">
        <v>402.73</v>
      </c>
      <c r="M509" s="603"/>
      <c r="N509" s="602"/>
      <c r="V509" s="674"/>
      <c r="W509" s="675"/>
      <c r="AA509" s="537" t="s">
        <v>319</v>
      </c>
      <c r="AC509" s="675"/>
      <c r="AD509" s="680"/>
      <c r="AE509" s="675"/>
      <c r="AG509" s="675"/>
      <c r="AI509" s="675"/>
    </row>
    <row r="510" spans="1:35" s="536" customFormat="1" ht="33.75" x14ac:dyDescent="0.2">
      <c r="A510" s="605"/>
      <c r="B510" s="552" t="s">
        <v>1250</v>
      </c>
      <c r="C510" s="1822" t="s">
        <v>1251</v>
      </c>
      <c r="D510" s="1822"/>
      <c r="E510" s="1822"/>
      <c r="F510" s="562" t="s">
        <v>322</v>
      </c>
      <c r="G510" s="562" t="s">
        <v>1252</v>
      </c>
      <c r="H510" s="562"/>
      <c r="I510" s="562" t="s">
        <v>1252</v>
      </c>
      <c r="J510" s="604"/>
      <c r="K510" s="562"/>
      <c r="L510" s="604">
        <v>451.06</v>
      </c>
      <c r="M510" s="603"/>
      <c r="N510" s="602"/>
      <c r="V510" s="674"/>
      <c r="W510" s="675"/>
      <c r="AA510" s="537" t="s">
        <v>1251</v>
      </c>
      <c r="AC510" s="675"/>
      <c r="AD510" s="680"/>
      <c r="AE510" s="675"/>
      <c r="AG510" s="675"/>
      <c r="AI510" s="675"/>
    </row>
    <row r="511" spans="1:35" s="536" customFormat="1" ht="33.75" x14ac:dyDescent="0.2">
      <c r="A511" s="605"/>
      <c r="B511" s="552" t="s">
        <v>1253</v>
      </c>
      <c r="C511" s="1822" t="s">
        <v>1254</v>
      </c>
      <c r="D511" s="1822"/>
      <c r="E511" s="1822"/>
      <c r="F511" s="562" t="s">
        <v>322</v>
      </c>
      <c r="G511" s="562" t="s">
        <v>796</v>
      </c>
      <c r="H511" s="562"/>
      <c r="I511" s="562" t="s">
        <v>796</v>
      </c>
      <c r="J511" s="604"/>
      <c r="K511" s="562"/>
      <c r="L511" s="604">
        <v>261.77</v>
      </c>
      <c r="M511" s="603"/>
      <c r="N511" s="602"/>
      <c r="V511" s="674"/>
      <c r="W511" s="675"/>
      <c r="AA511" s="537" t="s">
        <v>1254</v>
      </c>
      <c r="AC511" s="675"/>
      <c r="AD511" s="680"/>
      <c r="AE511" s="675"/>
      <c r="AG511" s="675"/>
      <c r="AI511" s="675"/>
    </row>
    <row r="512" spans="1:35" s="536" customFormat="1" ht="12" x14ac:dyDescent="0.2">
      <c r="A512" s="569"/>
      <c r="B512" s="656"/>
      <c r="C512" s="1823" t="s">
        <v>327</v>
      </c>
      <c r="D512" s="1823"/>
      <c r="E512" s="1823"/>
      <c r="F512" s="573"/>
      <c r="G512" s="573"/>
      <c r="H512" s="573"/>
      <c r="I512" s="573"/>
      <c r="J512" s="572"/>
      <c r="K512" s="573"/>
      <c r="L512" s="572">
        <v>1130.42</v>
      </c>
      <c r="M512" s="601"/>
      <c r="N512" s="570"/>
      <c r="V512" s="674"/>
      <c r="W512" s="675"/>
      <c r="AC512" s="675" t="s">
        <v>327</v>
      </c>
      <c r="AD512" s="680"/>
      <c r="AE512" s="675"/>
      <c r="AG512" s="675"/>
      <c r="AI512" s="675"/>
    </row>
    <row r="513" spans="1:35" s="536" customFormat="1" ht="33.75" x14ac:dyDescent="0.2">
      <c r="A513" s="575" t="s">
        <v>501</v>
      </c>
      <c r="B513" s="657" t="s">
        <v>1293</v>
      </c>
      <c r="C513" s="1823" t="s">
        <v>2020</v>
      </c>
      <c r="D513" s="1823"/>
      <c r="E513" s="1823"/>
      <c r="F513" s="573" t="s">
        <v>641</v>
      </c>
      <c r="G513" s="573"/>
      <c r="H513" s="573"/>
      <c r="I513" s="573" t="s">
        <v>2021</v>
      </c>
      <c r="J513" s="572">
        <v>25323.38</v>
      </c>
      <c r="K513" s="573" t="s">
        <v>716</v>
      </c>
      <c r="L513" s="572">
        <v>7252.28</v>
      </c>
      <c r="M513" s="571">
        <v>8.32</v>
      </c>
      <c r="N513" s="570">
        <v>60339</v>
      </c>
      <c r="V513" s="674"/>
      <c r="W513" s="675" t="s">
        <v>2020</v>
      </c>
      <c r="AC513" s="675"/>
      <c r="AD513" s="680"/>
      <c r="AE513" s="675"/>
      <c r="AG513" s="675"/>
      <c r="AI513" s="675"/>
    </row>
    <row r="514" spans="1:35" s="536" customFormat="1" ht="12" x14ac:dyDescent="0.2">
      <c r="A514" s="569"/>
      <c r="B514" s="656"/>
      <c r="C514" s="661" t="s">
        <v>1173</v>
      </c>
      <c r="D514" s="662"/>
      <c r="E514" s="662"/>
      <c r="F514" s="563"/>
      <c r="G514" s="563"/>
      <c r="H514" s="563"/>
      <c r="I514" s="563"/>
      <c r="J514" s="566"/>
      <c r="K514" s="563"/>
      <c r="L514" s="566"/>
      <c r="M514" s="565"/>
      <c r="N514" s="564"/>
      <c r="V514" s="674"/>
      <c r="W514" s="675"/>
      <c r="AC514" s="675"/>
      <c r="AD514" s="680"/>
      <c r="AE514" s="675"/>
      <c r="AG514" s="675"/>
      <c r="AI514" s="675"/>
    </row>
    <row r="515" spans="1:35" s="536" customFormat="1" ht="12" x14ac:dyDescent="0.2">
      <c r="A515" s="676"/>
      <c r="B515" s="655"/>
      <c r="C515" s="1822" t="s">
        <v>2022</v>
      </c>
      <c r="D515" s="1822"/>
      <c r="E515" s="1822"/>
      <c r="F515" s="1822"/>
      <c r="G515" s="1822"/>
      <c r="H515" s="1822"/>
      <c r="I515" s="1822"/>
      <c r="J515" s="1822"/>
      <c r="K515" s="1822"/>
      <c r="L515" s="1822"/>
      <c r="M515" s="1822"/>
      <c r="N515" s="1827"/>
      <c r="V515" s="674"/>
      <c r="W515" s="675"/>
      <c r="X515" s="537" t="s">
        <v>2022</v>
      </c>
      <c r="AC515" s="675"/>
      <c r="AD515" s="680"/>
      <c r="AE515" s="675"/>
      <c r="AG515" s="675"/>
      <c r="AI515" s="675"/>
    </row>
    <row r="516" spans="1:35" s="536" customFormat="1" ht="22.5" x14ac:dyDescent="0.2">
      <c r="A516" s="609"/>
      <c r="B516" s="552" t="s">
        <v>718</v>
      </c>
      <c r="C516" s="1822" t="s">
        <v>719</v>
      </c>
      <c r="D516" s="1822"/>
      <c r="E516" s="1822"/>
      <c r="F516" s="1822"/>
      <c r="G516" s="1822"/>
      <c r="H516" s="1822"/>
      <c r="I516" s="1822"/>
      <c r="J516" s="1822"/>
      <c r="K516" s="1822"/>
      <c r="L516" s="1822"/>
      <c r="M516" s="1822"/>
      <c r="N516" s="1827"/>
      <c r="V516" s="674"/>
      <c r="W516" s="675"/>
      <c r="Y516" s="537" t="s">
        <v>719</v>
      </c>
      <c r="AC516" s="675"/>
      <c r="AD516" s="680"/>
      <c r="AE516" s="675"/>
      <c r="AG516" s="675"/>
      <c r="AI516" s="675"/>
    </row>
    <row r="517" spans="1:35" s="536" customFormat="1" ht="22.5" x14ac:dyDescent="0.2">
      <c r="A517" s="575" t="s">
        <v>784</v>
      </c>
      <c r="B517" s="657" t="s">
        <v>2023</v>
      </c>
      <c r="C517" s="1823" t="s">
        <v>2024</v>
      </c>
      <c r="D517" s="1823"/>
      <c r="E517" s="1823"/>
      <c r="F517" s="573" t="s">
        <v>694</v>
      </c>
      <c r="G517" s="573"/>
      <c r="H517" s="573"/>
      <c r="I517" s="573" t="s">
        <v>2025</v>
      </c>
      <c r="J517" s="572"/>
      <c r="K517" s="573"/>
      <c r="L517" s="572"/>
      <c r="M517" s="571"/>
      <c r="N517" s="570"/>
      <c r="V517" s="674"/>
      <c r="W517" s="675" t="s">
        <v>2024</v>
      </c>
      <c r="AC517" s="675"/>
      <c r="AD517" s="680"/>
      <c r="AE517" s="675"/>
      <c r="AG517" s="675"/>
      <c r="AI517" s="675"/>
    </row>
    <row r="518" spans="1:35" s="536" customFormat="1" ht="12" x14ac:dyDescent="0.2">
      <c r="A518" s="676"/>
      <c r="B518" s="655"/>
      <c r="C518" s="1822" t="s">
        <v>2026</v>
      </c>
      <c r="D518" s="1822"/>
      <c r="E518" s="1822"/>
      <c r="F518" s="1822"/>
      <c r="G518" s="1822"/>
      <c r="H518" s="1822"/>
      <c r="I518" s="1822"/>
      <c r="J518" s="1822"/>
      <c r="K518" s="1822"/>
      <c r="L518" s="1822"/>
      <c r="M518" s="1822"/>
      <c r="N518" s="1827"/>
      <c r="V518" s="674"/>
      <c r="W518" s="675"/>
      <c r="X518" s="537" t="s">
        <v>2026</v>
      </c>
      <c r="AC518" s="675"/>
      <c r="AD518" s="680"/>
      <c r="AE518" s="675"/>
      <c r="AG518" s="675"/>
      <c r="AI518" s="675"/>
    </row>
    <row r="519" spans="1:35" s="536" customFormat="1" ht="33.75" x14ac:dyDescent="0.2">
      <c r="A519" s="609"/>
      <c r="B519" s="552" t="s">
        <v>310</v>
      </c>
      <c r="C519" s="1822" t="s">
        <v>311</v>
      </c>
      <c r="D519" s="1822"/>
      <c r="E519" s="1822"/>
      <c r="F519" s="1822"/>
      <c r="G519" s="1822"/>
      <c r="H519" s="1822"/>
      <c r="I519" s="1822"/>
      <c r="J519" s="1822"/>
      <c r="K519" s="1822"/>
      <c r="L519" s="1822"/>
      <c r="M519" s="1822"/>
      <c r="N519" s="1827"/>
      <c r="V519" s="674"/>
      <c r="W519" s="675"/>
      <c r="Y519" s="537" t="s">
        <v>311</v>
      </c>
      <c r="AC519" s="675"/>
      <c r="AD519" s="680"/>
      <c r="AE519" s="675"/>
      <c r="AG519" s="675"/>
      <c r="AI519" s="675"/>
    </row>
    <row r="520" spans="1:35" s="536" customFormat="1" ht="12" x14ac:dyDescent="0.2">
      <c r="A520" s="605"/>
      <c r="B520" s="552" t="s">
        <v>185</v>
      </c>
      <c r="C520" s="1822" t="s">
        <v>312</v>
      </c>
      <c r="D520" s="1822"/>
      <c r="E520" s="1822"/>
      <c r="F520" s="562"/>
      <c r="G520" s="562"/>
      <c r="H520" s="562"/>
      <c r="I520" s="562"/>
      <c r="J520" s="604">
        <v>374.78</v>
      </c>
      <c r="K520" s="562" t="s">
        <v>313</v>
      </c>
      <c r="L520" s="604">
        <v>11.24</v>
      </c>
      <c r="M520" s="603"/>
      <c r="N520" s="602"/>
      <c r="V520" s="674"/>
      <c r="W520" s="675"/>
      <c r="Z520" s="537" t="s">
        <v>312</v>
      </c>
      <c r="AC520" s="675"/>
      <c r="AD520" s="680"/>
      <c r="AE520" s="675"/>
      <c r="AG520" s="675"/>
      <c r="AI520" s="675"/>
    </row>
    <row r="521" spans="1:35" s="536" customFormat="1" ht="12" x14ac:dyDescent="0.2">
      <c r="A521" s="605"/>
      <c r="B521" s="552" t="s">
        <v>186</v>
      </c>
      <c r="C521" s="1822" t="s">
        <v>344</v>
      </c>
      <c r="D521" s="1822"/>
      <c r="E521" s="1822"/>
      <c r="F521" s="562"/>
      <c r="G521" s="562"/>
      <c r="H521" s="562"/>
      <c r="I521" s="562"/>
      <c r="J521" s="604">
        <v>168.04</v>
      </c>
      <c r="K521" s="562" t="s">
        <v>313</v>
      </c>
      <c r="L521" s="604">
        <v>5.04</v>
      </c>
      <c r="M521" s="603"/>
      <c r="N521" s="602"/>
      <c r="V521" s="674"/>
      <c r="W521" s="675"/>
      <c r="Z521" s="537" t="s">
        <v>344</v>
      </c>
      <c r="AC521" s="675"/>
      <c r="AD521" s="680"/>
      <c r="AE521" s="675"/>
      <c r="AG521" s="675"/>
      <c r="AI521" s="675"/>
    </row>
    <row r="522" spans="1:35" s="536" customFormat="1" ht="12" x14ac:dyDescent="0.2">
      <c r="A522" s="605"/>
      <c r="B522" s="552" t="s">
        <v>187</v>
      </c>
      <c r="C522" s="1822" t="s">
        <v>345</v>
      </c>
      <c r="D522" s="1822"/>
      <c r="E522" s="1822"/>
      <c r="F522" s="562"/>
      <c r="G522" s="562"/>
      <c r="H522" s="562"/>
      <c r="I522" s="562"/>
      <c r="J522" s="604">
        <v>28.46</v>
      </c>
      <c r="K522" s="562" t="s">
        <v>313</v>
      </c>
      <c r="L522" s="604">
        <v>0.85</v>
      </c>
      <c r="M522" s="603"/>
      <c r="N522" s="602"/>
      <c r="V522" s="674"/>
      <c r="W522" s="675"/>
      <c r="Z522" s="537" t="s">
        <v>345</v>
      </c>
      <c r="AC522" s="675"/>
      <c r="AD522" s="680"/>
      <c r="AE522" s="675"/>
      <c r="AG522" s="675"/>
      <c r="AI522" s="675"/>
    </row>
    <row r="523" spans="1:35" s="536" customFormat="1" ht="12" x14ac:dyDescent="0.2">
      <c r="A523" s="605"/>
      <c r="B523" s="552" t="s">
        <v>188</v>
      </c>
      <c r="C523" s="1822" t="s">
        <v>475</v>
      </c>
      <c r="D523" s="1822"/>
      <c r="E523" s="1822"/>
      <c r="F523" s="562"/>
      <c r="G523" s="562"/>
      <c r="H523" s="562"/>
      <c r="I523" s="562"/>
      <c r="J523" s="604">
        <v>771.22</v>
      </c>
      <c r="K523" s="562"/>
      <c r="L523" s="604">
        <v>18.510000000000002</v>
      </c>
      <c r="M523" s="603"/>
      <c r="N523" s="602"/>
      <c r="V523" s="674"/>
      <c r="W523" s="675"/>
      <c r="Z523" s="537" t="s">
        <v>475</v>
      </c>
      <c r="AC523" s="675"/>
      <c r="AD523" s="680"/>
      <c r="AE523" s="675"/>
      <c r="AG523" s="675"/>
      <c r="AI523" s="675"/>
    </row>
    <row r="524" spans="1:35" s="536" customFormat="1" ht="22.5" x14ac:dyDescent="0.2">
      <c r="A524" s="676"/>
      <c r="B524" s="677" t="s">
        <v>1228</v>
      </c>
      <c r="C524" s="1829" t="s">
        <v>2027</v>
      </c>
      <c r="D524" s="1829"/>
      <c r="E524" s="1829"/>
      <c r="F524" s="678" t="s">
        <v>694</v>
      </c>
      <c r="G524" s="678" t="s">
        <v>185</v>
      </c>
      <c r="H524" s="678"/>
      <c r="I524" s="678" t="s">
        <v>2025</v>
      </c>
      <c r="J524" s="552"/>
      <c r="K524" s="562"/>
      <c r="L524" s="604"/>
      <c r="M524" s="562"/>
      <c r="N524" s="679"/>
      <c r="V524" s="674"/>
      <c r="W524" s="675"/>
      <c r="AC524" s="675"/>
      <c r="AD524" s="680" t="s">
        <v>2027</v>
      </c>
      <c r="AE524" s="675"/>
      <c r="AG524" s="675"/>
      <c r="AI524" s="675"/>
    </row>
    <row r="525" spans="1:35" s="536" customFormat="1" ht="12" x14ac:dyDescent="0.2">
      <c r="A525" s="605"/>
      <c r="B525" s="552"/>
      <c r="C525" s="1822" t="s">
        <v>314</v>
      </c>
      <c r="D525" s="1822"/>
      <c r="E525" s="1822"/>
      <c r="F525" s="562" t="s">
        <v>315</v>
      </c>
      <c r="G525" s="562" t="s">
        <v>2028</v>
      </c>
      <c r="H525" s="562" t="s">
        <v>313</v>
      </c>
      <c r="I525" s="562" t="s">
        <v>2029</v>
      </c>
      <c r="J525" s="604"/>
      <c r="K525" s="562"/>
      <c r="L525" s="604"/>
      <c r="M525" s="603"/>
      <c r="N525" s="602"/>
      <c r="V525" s="674"/>
      <c r="W525" s="675"/>
      <c r="AA525" s="537" t="s">
        <v>314</v>
      </c>
      <c r="AC525" s="675"/>
      <c r="AD525" s="680"/>
      <c r="AE525" s="675"/>
      <c r="AG525" s="675"/>
      <c r="AI525" s="675"/>
    </row>
    <row r="526" spans="1:35" s="536" customFormat="1" ht="12" x14ac:dyDescent="0.2">
      <c r="A526" s="605"/>
      <c r="B526" s="552"/>
      <c r="C526" s="1822" t="s">
        <v>348</v>
      </c>
      <c r="D526" s="1822"/>
      <c r="E526" s="1822"/>
      <c r="F526" s="562" t="s">
        <v>315</v>
      </c>
      <c r="G526" s="562" t="s">
        <v>2030</v>
      </c>
      <c r="H526" s="562" t="s">
        <v>313</v>
      </c>
      <c r="I526" s="562" t="s">
        <v>2031</v>
      </c>
      <c r="J526" s="604"/>
      <c r="K526" s="562"/>
      <c r="L526" s="604"/>
      <c r="M526" s="603"/>
      <c r="N526" s="602"/>
      <c r="V526" s="674"/>
      <c r="W526" s="675"/>
      <c r="AA526" s="537" t="s">
        <v>348</v>
      </c>
      <c r="AC526" s="675"/>
      <c r="AD526" s="680"/>
      <c r="AE526" s="675"/>
      <c r="AG526" s="675"/>
      <c r="AI526" s="675"/>
    </row>
    <row r="527" spans="1:35" s="536" customFormat="1" ht="12" x14ac:dyDescent="0.2">
      <c r="A527" s="605"/>
      <c r="B527" s="552"/>
      <c r="C527" s="1828" t="s">
        <v>318</v>
      </c>
      <c r="D527" s="1828"/>
      <c r="E527" s="1828"/>
      <c r="F527" s="608"/>
      <c r="G527" s="608"/>
      <c r="H527" s="608"/>
      <c r="I527" s="608"/>
      <c r="J527" s="607">
        <v>1314.04</v>
      </c>
      <c r="K527" s="608"/>
      <c r="L527" s="607">
        <v>34.79</v>
      </c>
      <c r="M527" s="601"/>
      <c r="N527" s="606"/>
      <c r="V527" s="674"/>
      <c r="W527" s="675"/>
      <c r="AB527" s="537" t="s">
        <v>318</v>
      </c>
      <c r="AC527" s="675"/>
      <c r="AD527" s="680"/>
      <c r="AE527" s="675"/>
      <c r="AG527" s="675"/>
      <c r="AI527" s="675"/>
    </row>
    <row r="528" spans="1:35" s="536" customFormat="1" ht="12" x14ac:dyDescent="0.2">
      <c r="A528" s="605"/>
      <c r="B528" s="552"/>
      <c r="C528" s="1822" t="s">
        <v>319</v>
      </c>
      <c r="D528" s="1822"/>
      <c r="E528" s="1822"/>
      <c r="F528" s="562"/>
      <c r="G528" s="562"/>
      <c r="H528" s="562"/>
      <c r="I528" s="562"/>
      <c r="J528" s="604"/>
      <c r="K528" s="562"/>
      <c r="L528" s="604">
        <v>12.09</v>
      </c>
      <c r="M528" s="603"/>
      <c r="N528" s="602"/>
      <c r="V528" s="674"/>
      <c r="W528" s="675"/>
      <c r="AA528" s="537" t="s">
        <v>319</v>
      </c>
      <c r="AC528" s="675"/>
      <c r="AD528" s="680"/>
      <c r="AE528" s="675"/>
      <c r="AG528" s="675"/>
      <c r="AI528" s="675"/>
    </row>
    <row r="529" spans="1:35" s="536" customFormat="1" ht="33.75" x14ac:dyDescent="0.2">
      <c r="A529" s="605"/>
      <c r="B529" s="552" t="s">
        <v>2032</v>
      </c>
      <c r="C529" s="1822" t="s">
        <v>2033</v>
      </c>
      <c r="D529" s="1822"/>
      <c r="E529" s="1822"/>
      <c r="F529" s="562" t="s">
        <v>322</v>
      </c>
      <c r="G529" s="562" t="s">
        <v>2034</v>
      </c>
      <c r="H529" s="562"/>
      <c r="I529" s="562" t="s">
        <v>2034</v>
      </c>
      <c r="J529" s="604"/>
      <c r="K529" s="562"/>
      <c r="L529" s="604">
        <v>13.3</v>
      </c>
      <c r="M529" s="603"/>
      <c r="N529" s="602"/>
      <c r="V529" s="674"/>
      <c r="W529" s="675"/>
      <c r="AA529" s="537" t="s">
        <v>2033</v>
      </c>
      <c r="AC529" s="675"/>
      <c r="AD529" s="680"/>
      <c r="AE529" s="675"/>
      <c r="AG529" s="675"/>
      <c r="AI529" s="675"/>
    </row>
    <row r="530" spans="1:35" s="536" customFormat="1" ht="33.75" x14ac:dyDescent="0.2">
      <c r="A530" s="605"/>
      <c r="B530" s="552" t="s">
        <v>2035</v>
      </c>
      <c r="C530" s="1822" t="s">
        <v>2036</v>
      </c>
      <c r="D530" s="1822"/>
      <c r="E530" s="1822"/>
      <c r="F530" s="562" t="s">
        <v>322</v>
      </c>
      <c r="G530" s="562" t="s">
        <v>2037</v>
      </c>
      <c r="H530" s="562"/>
      <c r="I530" s="562" t="s">
        <v>2037</v>
      </c>
      <c r="J530" s="604"/>
      <c r="K530" s="562"/>
      <c r="L530" s="604">
        <v>8.34</v>
      </c>
      <c r="M530" s="603"/>
      <c r="N530" s="602"/>
      <c r="V530" s="674"/>
      <c r="W530" s="675"/>
      <c r="AA530" s="537" t="s">
        <v>2036</v>
      </c>
      <c r="AC530" s="675"/>
      <c r="AD530" s="680"/>
      <c r="AE530" s="675"/>
      <c r="AG530" s="675"/>
      <c r="AI530" s="675"/>
    </row>
    <row r="531" spans="1:35" s="536" customFormat="1" ht="12" x14ac:dyDescent="0.2">
      <c r="A531" s="569"/>
      <c r="B531" s="656"/>
      <c r="C531" s="1823" t="s">
        <v>327</v>
      </c>
      <c r="D531" s="1823"/>
      <c r="E531" s="1823"/>
      <c r="F531" s="573"/>
      <c r="G531" s="573"/>
      <c r="H531" s="573"/>
      <c r="I531" s="573"/>
      <c r="J531" s="572"/>
      <c r="K531" s="573"/>
      <c r="L531" s="572">
        <v>56.43</v>
      </c>
      <c r="M531" s="601"/>
      <c r="N531" s="570"/>
      <c r="V531" s="674"/>
      <c r="W531" s="675"/>
      <c r="AC531" s="675" t="s">
        <v>327</v>
      </c>
      <c r="AD531" s="680"/>
      <c r="AE531" s="675"/>
      <c r="AG531" s="675"/>
      <c r="AI531" s="675"/>
    </row>
    <row r="532" spans="1:35" s="536" customFormat="1" ht="33.75" x14ac:dyDescent="0.2">
      <c r="A532" s="575" t="s">
        <v>1679</v>
      </c>
      <c r="B532" s="657" t="s">
        <v>2038</v>
      </c>
      <c r="C532" s="1823" t="s">
        <v>2039</v>
      </c>
      <c r="D532" s="1823"/>
      <c r="E532" s="1823"/>
      <c r="F532" s="573" t="s">
        <v>694</v>
      </c>
      <c r="G532" s="573"/>
      <c r="H532" s="573"/>
      <c r="I532" s="573" t="s">
        <v>2025</v>
      </c>
      <c r="J532" s="572">
        <v>11500</v>
      </c>
      <c r="K532" s="573"/>
      <c r="L532" s="572">
        <v>276</v>
      </c>
      <c r="M532" s="571"/>
      <c r="N532" s="570"/>
      <c r="V532" s="674"/>
      <c r="W532" s="675" t="s">
        <v>2039</v>
      </c>
      <c r="AC532" s="675"/>
      <c r="AD532" s="680"/>
      <c r="AE532" s="675"/>
      <c r="AG532" s="675"/>
      <c r="AI532" s="675"/>
    </row>
    <row r="533" spans="1:35" s="536" customFormat="1" ht="12" x14ac:dyDescent="0.2">
      <c r="A533" s="569"/>
      <c r="B533" s="656"/>
      <c r="C533" s="661" t="s">
        <v>717</v>
      </c>
      <c r="D533" s="662"/>
      <c r="E533" s="662"/>
      <c r="F533" s="563"/>
      <c r="G533" s="563"/>
      <c r="H533" s="563"/>
      <c r="I533" s="563"/>
      <c r="J533" s="566"/>
      <c r="K533" s="563"/>
      <c r="L533" s="566"/>
      <c r="M533" s="565"/>
      <c r="N533" s="564"/>
      <c r="V533" s="674"/>
      <c r="W533" s="675"/>
      <c r="AC533" s="675"/>
      <c r="AD533" s="680"/>
      <c r="AE533" s="675"/>
      <c r="AG533" s="675"/>
      <c r="AI533" s="675"/>
    </row>
    <row r="534" spans="1:35" s="536" customFormat="1" ht="1.5" customHeight="1" x14ac:dyDescent="0.2">
      <c r="A534" s="563"/>
      <c r="B534" s="656"/>
      <c r="C534" s="656"/>
      <c r="D534" s="656"/>
      <c r="E534" s="656"/>
      <c r="F534" s="563"/>
      <c r="G534" s="563"/>
      <c r="H534" s="563"/>
      <c r="I534" s="563"/>
      <c r="J534" s="546"/>
      <c r="K534" s="563"/>
      <c r="L534" s="546"/>
      <c r="M534" s="562"/>
      <c r="N534" s="546"/>
      <c r="V534" s="674"/>
      <c r="W534" s="675"/>
      <c r="AC534" s="675"/>
      <c r="AD534" s="680"/>
      <c r="AE534" s="675"/>
      <c r="AG534" s="675"/>
      <c r="AI534" s="675"/>
    </row>
    <row r="535" spans="1:35" s="536" customFormat="1" ht="12" x14ac:dyDescent="0.2">
      <c r="A535" s="557"/>
      <c r="B535" s="556"/>
      <c r="C535" s="1823" t="s">
        <v>2040</v>
      </c>
      <c r="D535" s="1823"/>
      <c r="E535" s="1823"/>
      <c r="F535" s="1823"/>
      <c r="G535" s="1823"/>
      <c r="H535" s="1823"/>
      <c r="I535" s="1823"/>
      <c r="J535" s="1823"/>
      <c r="K535" s="1823"/>
      <c r="L535" s="555"/>
      <c r="M535" s="554"/>
      <c r="N535" s="553"/>
      <c r="V535" s="674"/>
      <c r="W535" s="675"/>
      <c r="AC535" s="675"/>
      <c r="AD535" s="680"/>
      <c r="AE535" s="675" t="s">
        <v>2040</v>
      </c>
      <c r="AG535" s="675"/>
      <c r="AI535" s="675"/>
    </row>
    <row r="536" spans="1:35" s="536" customFormat="1" ht="12" x14ac:dyDescent="0.2">
      <c r="A536" s="548"/>
      <c r="B536" s="552"/>
      <c r="C536" s="1822" t="s">
        <v>403</v>
      </c>
      <c r="D536" s="1822"/>
      <c r="E536" s="1822"/>
      <c r="F536" s="1822"/>
      <c r="G536" s="1822"/>
      <c r="H536" s="1822"/>
      <c r="I536" s="1822"/>
      <c r="J536" s="1822"/>
      <c r="K536" s="1822"/>
      <c r="L536" s="551">
        <v>9246.68</v>
      </c>
      <c r="M536" s="550"/>
      <c r="N536" s="549"/>
      <c r="V536" s="674"/>
      <c r="W536" s="675"/>
      <c r="AC536" s="675"/>
      <c r="AD536" s="680"/>
      <c r="AE536" s="675"/>
      <c r="AF536" s="537" t="s">
        <v>403</v>
      </c>
      <c r="AG536" s="675"/>
      <c r="AI536" s="675"/>
    </row>
    <row r="537" spans="1:35" s="536" customFormat="1" ht="12" x14ac:dyDescent="0.2">
      <c r="A537" s="548"/>
      <c r="B537" s="552"/>
      <c r="C537" s="1822" t="s">
        <v>204</v>
      </c>
      <c r="D537" s="1822"/>
      <c r="E537" s="1822"/>
      <c r="F537" s="1822"/>
      <c r="G537" s="1822"/>
      <c r="H537" s="1822"/>
      <c r="I537" s="1822"/>
      <c r="J537" s="1822"/>
      <c r="K537" s="1822"/>
      <c r="L537" s="551"/>
      <c r="M537" s="550"/>
      <c r="N537" s="549"/>
      <c r="V537" s="674"/>
      <c r="W537" s="675"/>
      <c r="AC537" s="675"/>
      <c r="AD537" s="680"/>
      <c r="AE537" s="675"/>
      <c r="AF537" s="537" t="s">
        <v>204</v>
      </c>
      <c r="AG537" s="675"/>
      <c r="AI537" s="675"/>
    </row>
    <row r="538" spans="1:35" s="536" customFormat="1" ht="12" x14ac:dyDescent="0.2">
      <c r="A538" s="548"/>
      <c r="B538" s="552"/>
      <c r="C538" s="1822" t="s">
        <v>404</v>
      </c>
      <c r="D538" s="1822"/>
      <c r="E538" s="1822"/>
      <c r="F538" s="1822"/>
      <c r="G538" s="1822"/>
      <c r="H538" s="1822"/>
      <c r="I538" s="1822"/>
      <c r="J538" s="1822"/>
      <c r="K538" s="1822"/>
      <c r="L538" s="551">
        <v>1440.03</v>
      </c>
      <c r="M538" s="550"/>
      <c r="N538" s="549"/>
      <c r="V538" s="674"/>
      <c r="W538" s="675"/>
      <c r="AC538" s="675"/>
      <c r="AD538" s="680"/>
      <c r="AE538" s="675"/>
      <c r="AF538" s="537" t="s">
        <v>404</v>
      </c>
      <c r="AG538" s="675"/>
      <c r="AI538" s="675"/>
    </row>
    <row r="539" spans="1:35" s="536" customFormat="1" ht="12" x14ac:dyDescent="0.2">
      <c r="A539" s="548"/>
      <c r="B539" s="552"/>
      <c r="C539" s="1822" t="s">
        <v>405</v>
      </c>
      <c r="D539" s="1822"/>
      <c r="E539" s="1822"/>
      <c r="F539" s="1822"/>
      <c r="G539" s="1822"/>
      <c r="H539" s="1822"/>
      <c r="I539" s="1822"/>
      <c r="J539" s="1822"/>
      <c r="K539" s="1822"/>
      <c r="L539" s="551">
        <v>182.45</v>
      </c>
      <c r="M539" s="550"/>
      <c r="N539" s="549"/>
      <c r="V539" s="674"/>
      <c r="W539" s="675"/>
      <c r="AC539" s="675"/>
      <c r="AD539" s="680"/>
      <c r="AE539" s="675"/>
      <c r="AF539" s="537" t="s">
        <v>405</v>
      </c>
      <c r="AG539" s="675"/>
      <c r="AI539" s="675"/>
    </row>
    <row r="540" spans="1:35" s="536" customFormat="1" ht="12" x14ac:dyDescent="0.2">
      <c r="A540" s="548"/>
      <c r="B540" s="552"/>
      <c r="C540" s="1822" t="s">
        <v>406</v>
      </c>
      <c r="D540" s="1822"/>
      <c r="E540" s="1822"/>
      <c r="F540" s="1822"/>
      <c r="G540" s="1822"/>
      <c r="H540" s="1822"/>
      <c r="I540" s="1822"/>
      <c r="J540" s="1822"/>
      <c r="K540" s="1822"/>
      <c r="L540" s="551">
        <v>22.56</v>
      </c>
      <c r="M540" s="550"/>
      <c r="N540" s="549"/>
      <c r="V540" s="674"/>
      <c r="W540" s="675"/>
      <c r="AC540" s="675"/>
      <c r="AD540" s="680"/>
      <c r="AE540" s="675"/>
      <c r="AF540" s="537" t="s">
        <v>406</v>
      </c>
      <c r="AG540" s="675"/>
      <c r="AI540" s="675"/>
    </row>
    <row r="541" spans="1:35" s="536" customFormat="1" ht="12" x14ac:dyDescent="0.2">
      <c r="A541" s="548"/>
      <c r="B541" s="552"/>
      <c r="C541" s="1822" t="s">
        <v>480</v>
      </c>
      <c r="D541" s="1822"/>
      <c r="E541" s="1822"/>
      <c r="F541" s="1822"/>
      <c r="G541" s="1822"/>
      <c r="H541" s="1822"/>
      <c r="I541" s="1822"/>
      <c r="J541" s="1822"/>
      <c r="K541" s="1822"/>
      <c r="L541" s="551">
        <v>7624.2</v>
      </c>
      <c r="M541" s="550"/>
      <c r="N541" s="549"/>
      <c r="V541" s="674"/>
      <c r="W541" s="675"/>
      <c r="AC541" s="675"/>
      <c r="AD541" s="680"/>
      <c r="AE541" s="675"/>
      <c r="AF541" s="537" t="s">
        <v>480</v>
      </c>
      <c r="AG541" s="675"/>
      <c r="AI541" s="675"/>
    </row>
    <row r="542" spans="1:35" s="536" customFormat="1" ht="12" x14ac:dyDescent="0.2">
      <c r="A542" s="548"/>
      <c r="B542" s="552"/>
      <c r="C542" s="1822" t="s">
        <v>407</v>
      </c>
      <c r="D542" s="1822"/>
      <c r="E542" s="1822"/>
      <c r="F542" s="1822"/>
      <c r="G542" s="1822"/>
      <c r="H542" s="1822"/>
      <c r="I542" s="1822"/>
      <c r="J542" s="1822"/>
      <c r="K542" s="1822"/>
      <c r="L542" s="551">
        <v>11835.7</v>
      </c>
      <c r="M542" s="550"/>
      <c r="N542" s="549"/>
      <c r="V542" s="674"/>
      <c r="W542" s="675"/>
      <c r="AC542" s="675"/>
      <c r="AD542" s="680"/>
      <c r="AE542" s="675"/>
      <c r="AF542" s="537" t="s">
        <v>407</v>
      </c>
      <c r="AG542" s="675"/>
      <c r="AI542" s="675"/>
    </row>
    <row r="543" spans="1:35" s="536" customFormat="1" ht="12" x14ac:dyDescent="0.2">
      <c r="A543" s="548"/>
      <c r="B543" s="552"/>
      <c r="C543" s="1822" t="s">
        <v>204</v>
      </c>
      <c r="D543" s="1822"/>
      <c r="E543" s="1822"/>
      <c r="F543" s="1822"/>
      <c r="G543" s="1822"/>
      <c r="H543" s="1822"/>
      <c r="I543" s="1822"/>
      <c r="J543" s="1822"/>
      <c r="K543" s="1822"/>
      <c r="L543" s="551"/>
      <c r="M543" s="550"/>
      <c r="N543" s="549"/>
      <c r="V543" s="674"/>
      <c r="W543" s="675"/>
      <c r="AC543" s="675"/>
      <c r="AD543" s="680"/>
      <c r="AE543" s="675"/>
      <c r="AF543" s="537" t="s">
        <v>204</v>
      </c>
      <c r="AG543" s="675"/>
      <c r="AI543" s="675"/>
    </row>
    <row r="544" spans="1:35" s="536" customFormat="1" ht="12" x14ac:dyDescent="0.2">
      <c r="A544" s="548"/>
      <c r="B544" s="552"/>
      <c r="C544" s="1822" t="s">
        <v>546</v>
      </c>
      <c r="D544" s="1822"/>
      <c r="E544" s="1822"/>
      <c r="F544" s="1822"/>
      <c r="G544" s="1822"/>
      <c r="H544" s="1822"/>
      <c r="I544" s="1822"/>
      <c r="J544" s="1822"/>
      <c r="K544" s="1822"/>
      <c r="L544" s="551">
        <v>1440.03</v>
      </c>
      <c r="M544" s="550"/>
      <c r="N544" s="549"/>
      <c r="V544" s="674"/>
      <c r="W544" s="675"/>
      <c r="AC544" s="675"/>
      <c r="AD544" s="680"/>
      <c r="AE544" s="675"/>
      <c r="AF544" s="537" t="s">
        <v>546</v>
      </c>
      <c r="AG544" s="675"/>
      <c r="AI544" s="675"/>
    </row>
    <row r="545" spans="1:35" s="536" customFormat="1" ht="12" x14ac:dyDescent="0.2">
      <c r="A545" s="548"/>
      <c r="B545" s="552"/>
      <c r="C545" s="1822" t="s">
        <v>442</v>
      </c>
      <c r="D545" s="1822"/>
      <c r="E545" s="1822"/>
      <c r="F545" s="1822"/>
      <c r="G545" s="1822"/>
      <c r="H545" s="1822"/>
      <c r="I545" s="1822"/>
      <c r="J545" s="1822"/>
      <c r="K545" s="1822"/>
      <c r="L545" s="551">
        <v>182.45</v>
      </c>
      <c r="M545" s="550"/>
      <c r="N545" s="549"/>
      <c r="V545" s="674"/>
      <c r="W545" s="675"/>
      <c r="AC545" s="675"/>
      <c r="AD545" s="680"/>
      <c r="AE545" s="675"/>
      <c r="AF545" s="537" t="s">
        <v>442</v>
      </c>
      <c r="AG545" s="675"/>
      <c r="AI545" s="675"/>
    </row>
    <row r="546" spans="1:35" s="536" customFormat="1" ht="12" x14ac:dyDescent="0.2">
      <c r="A546" s="548"/>
      <c r="B546" s="552"/>
      <c r="C546" s="1822" t="s">
        <v>547</v>
      </c>
      <c r="D546" s="1822"/>
      <c r="E546" s="1822"/>
      <c r="F546" s="1822"/>
      <c r="G546" s="1822"/>
      <c r="H546" s="1822"/>
      <c r="I546" s="1822"/>
      <c r="J546" s="1822"/>
      <c r="K546" s="1822"/>
      <c r="L546" s="551">
        <v>7624.2</v>
      </c>
      <c r="M546" s="550"/>
      <c r="N546" s="549"/>
      <c r="V546" s="674"/>
      <c r="W546" s="675"/>
      <c r="AC546" s="675"/>
      <c r="AD546" s="680"/>
      <c r="AE546" s="675"/>
      <c r="AF546" s="537" t="s">
        <v>547</v>
      </c>
      <c r="AG546" s="675"/>
      <c r="AI546" s="675"/>
    </row>
    <row r="547" spans="1:35" s="536" customFormat="1" ht="12" x14ac:dyDescent="0.2">
      <c r="A547" s="548"/>
      <c r="B547" s="552"/>
      <c r="C547" s="1822" t="s">
        <v>443</v>
      </c>
      <c r="D547" s="1822"/>
      <c r="E547" s="1822"/>
      <c r="F547" s="1822"/>
      <c r="G547" s="1822"/>
      <c r="H547" s="1822"/>
      <c r="I547" s="1822"/>
      <c r="J547" s="1822"/>
      <c r="K547" s="1822"/>
      <c r="L547" s="551">
        <v>1637.86</v>
      </c>
      <c r="M547" s="550"/>
      <c r="N547" s="549"/>
      <c r="V547" s="674"/>
      <c r="W547" s="675"/>
      <c r="AC547" s="675"/>
      <c r="AD547" s="680"/>
      <c r="AE547" s="675"/>
      <c r="AF547" s="537" t="s">
        <v>443</v>
      </c>
      <c r="AG547" s="675"/>
      <c r="AI547" s="675"/>
    </row>
    <row r="548" spans="1:35" s="536" customFormat="1" ht="12" x14ac:dyDescent="0.2">
      <c r="A548" s="548"/>
      <c r="B548" s="552"/>
      <c r="C548" s="1822" t="s">
        <v>444</v>
      </c>
      <c r="D548" s="1822"/>
      <c r="E548" s="1822"/>
      <c r="F548" s="1822"/>
      <c r="G548" s="1822"/>
      <c r="H548" s="1822"/>
      <c r="I548" s="1822"/>
      <c r="J548" s="1822"/>
      <c r="K548" s="1822"/>
      <c r="L548" s="551">
        <v>951.16</v>
      </c>
      <c r="M548" s="550"/>
      <c r="N548" s="549"/>
      <c r="V548" s="674"/>
      <c r="W548" s="675"/>
      <c r="AC548" s="675"/>
      <c r="AD548" s="680"/>
      <c r="AE548" s="675"/>
      <c r="AF548" s="537" t="s">
        <v>444</v>
      </c>
      <c r="AG548" s="675"/>
      <c r="AI548" s="675"/>
    </row>
    <row r="549" spans="1:35" s="536" customFormat="1" ht="12" x14ac:dyDescent="0.2">
      <c r="A549" s="548"/>
      <c r="B549" s="552"/>
      <c r="C549" s="1822" t="s">
        <v>415</v>
      </c>
      <c r="D549" s="1822"/>
      <c r="E549" s="1822"/>
      <c r="F549" s="1822"/>
      <c r="G549" s="1822"/>
      <c r="H549" s="1822"/>
      <c r="I549" s="1822"/>
      <c r="J549" s="1822"/>
      <c r="K549" s="1822"/>
      <c r="L549" s="551">
        <v>1462.59</v>
      </c>
      <c r="M549" s="550"/>
      <c r="N549" s="549"/>
      <c r="V549" s="674"/>
      <c r="W549" s="675"/>
      <c r="AC549" s="675"/>
      <c r="AD549" s="680"/>
      <c r="AE549" s="675"/>
      <c r="AF549" s="537" t="s">
        <v>415</v>
      </c>
      <c r="AG549" s="675"/>
      <c r="AI549" s="675"/>
    </row>
    <row r="550" spans="1:35" s="536" customFormat="1" ht="12" x14ac:dyDescent="0.2">
      <c r="A550" s="548"/>
      <c r="B550" s="552"/>
      <c r="C550" s="1822" t="s">
        <v>416</v>
      </c>
      <c r="D550" s="1822"/>
      <c r="E550" s="1822"/>
      <c r="F550" s="1822"/>
      <c r="G550" s="1822"/>
      <c r="H550" s="1822"/>
      <c r="I550" s="1822"/>
      <c r="J550" s="1822"/>
      <c r="K550" s="1822"/>
      <c r="L550" s="551">
        <v>1637.86</v>
      </c>
      <c r="M550" s="550"/>
      <c r="N550" s="549"/>
      <c r="V550" s="674"/>
      <c r="W550" s="675"/>
      <c r="AC550" s="675"/>
      <c r="AD550" s="680"/>
      <c r="AE550" s="675"/>
      <c r="AF550" s="537" t="s">
        <v>416</v>
      </c>
      <c r="AG550" s="675"/>
      <c r="AI550" s="675"/>
    </row>
    <row r="551" spans="1:35" s="536" customFormat="1" ht="12" x14ac:dyDescent="0.2">
      <c r="A551" s="548"/>
      <c r="B551" s="552"/>
      <c r="C551" s="1822" t="s">
        <v>417</v>
      </c>
      <c r="D551" s="1822"/>
      <c r="E551" s="1822"/>
      <c r="F551" s="1822"/>
      <c r="G551" s="1822"/>
      <c r="H551" s="1822"/>
      <c r="I551" s="1822"/>
      <c r="J551" s="1822"/>
      <c r="K551" s="1822"/>
      <c r="L551" s="551">
        <v>951.16</v>
      </c>
      <c r="M551" s="550"/>
      <c r="N551" s="549"/>
      <c r="V551" s="674"/>
      <c r="W551" s="675"/>
      <c r="AC551" s="675"/>
      <c r="AD551" s="680"/>
      <c r="AE551" s="675"/>
      <c r="AF551" s="537" t="s">
        <v>417</v>
      </c>
      <c r="AG551" s="675"/>
      <c r="AI551" s="675"/>
    </row>
    <row r="552" spans="1:35" s="536" customFormat="1" ht="12" x14ac:dyDescent="0.2">
      <c r="A552" s="548"/>
      <c r="B552" s="546"/>
      <c r="C552" s="1819" t="s">
        <v>2041</v>
      </c>
      <c r="D552" s="1819"/>
      <c r="E552" s="1819"/>
      <c r="F552" s="1819"/>
      <c r="G552" s="1819"/>
      <c r="H552" s="1819"/>
      <c r="I552" s="1819"/>
      <c r="J552" s="1819"/>
      <c r="K552" s="1819"/>
      <c r="L552" s="544">
        <v>11835.7</v>
      </c>
      <c r="M552" s="543"/>
      <c r="N552" s="681"/>
      <c r="V552" s="674"/>
      <c r="W552" s="675"/>
      <c r="AC552" s="675"/>
      <c r="AD552" s="680"/>
      <c r="AE552" s="675"/>
      <c r="AG552" s="675" t="s">
        <v>2041</v>
      </c>
      <c r="AI552" s="675"/>
    </row>
    <row r="553" spans="1:35" s="536" customFormat="1" ht="12" x14ac:dyDescent="0.2">
      <c r="A553" s="548"/>
      <c r="B553" s="552"/>
      <c r="C553" s="1822" t="s">
        <v>204</v>
      </c>
      <c r="D553" s="1822"/>
      <c r="E553" s="1822"/>
      <c r="F553" s="1822"/>
      <c r="G553" s="1822"/>
      <c r="H553" s="1822"/>
      <c r="I553" s="1822"/>
      <c r="J553" s="1822"/>
      <c r="K553" s="1822"/>
      <c r="L553" s="551"/>
      <c r="M553" s="550"/>
      <c r="N553" s="549"/>
      <c r="V553" s="674"/>
      <c r="W553" s="675"/>
      <c r="AC553" s="675"/>
      <c r="AD553" s="680"/>
      <c r="AE553" s="675"/>
      <c r="AF553" s="537" t="s">
        <v>204</v>
      </c>
      <c r="AG553" s="675"/>
      <c r="AI553" s="675"/>
    </row>
    <row r="554" spans="1:35" s="536" customFormat="1" ht="12" x14ac:dyDescent="0.2">
      <c r="A554" s="548"/>
      <c r="B554" s="552"/>
      <c r="C554" s="1822" t="s">
        <v>8095</v>
      </c>
      <c r="D554" s="1822"/>
      <c r="E554" s="1822"/>
      <c r="F554" s="1822"/>
      <c r="G554" s="1822"/>
      <c r="H554" s="1822"/>
      <c r="I554" s="1822"/>
      <c r="J554" s="1822"/>
      <c r="K554" s="1822"/>
      <c r="L554" s="551">
        <v>7252.28</v>
      </c>
      <c r="M554" s="550"/>
      <c r="N554" s="549"/>
      <c r="V554" s="674"/>
      <c r="W554" s="675"/>
      <c r="AC554" s="675"/>
      <c r="AD554" s="680"/>
      <c r="AE554" s="675"/>
      <c r="AF554" s="537" t="s">
        <v>8095</v>
      </c>
      <c r="AG554" s="675"/>
      <c r="AI554" s="675"/>
    </row>
    <row r="555" spans="1:35" s="536" customFormat="1" ht="12" x14ac:dyDescent="0.2">
      <c r="A555" s="1824" t="s">
        <v>2042</v>
      </c>
      <c r="B555" s="1825"/>
      <c r="C555" s="1825"/>
      <c r="D555" s="1825"/>
      <c r="E555" s="1825"/>
      <c r="F555" s="1825"/>
      <c r="G555" s="1825"/>
      <c r="H555" s="1825"/>
      <c r="I555" s="1825"/>
      <c r="J555" s="1825"/>
      <c r="K555" s="1825"/>
      <c r="L555" s="1825"/>
      <c r="M555" s="1825"/>
      <c r="N555" s="1826"/>
      <c r="V555" s="674" t="s">
        <v>2042</v>
      </c>
      <c r="W555" s="675"/>
      <c r="AC555" s="675"/>
      <c r="AD555" s="680"/>
      <c r="AE555" s="675"/>
      <c r="AG555" s="675"/>
      <c r="AI555" s="675"/>
    </row>
    <row r="556" spans="1:35" s="536" customFormat="1" ht="33.75" x14ac:dyDescent="0.2">
      <c r="A556" s="575" t="s">
        <v>786</v>
      </c>
      <c r="B556" s="657" t="s">
        <v>2043</v>
      </c>
      <c r="C556" s="1823" t="s">
        <v>2044</v>
      </c>
      <c r="D556" s="1823"/>
      <c r="E556" s="1823"/>
      <c r="F556" s="573" t="s">
        <v>617</v>
      </c>
      <c r="G556" s="573"/>
      <c r="H556" s="573"/>
      <c r="I556" s="573" t="s">
        <v>196</v>
      </c>
      <c r="J556" s="572"/>
      <c r="K556" s="573"/>
      <c r="L556" s="572"/>
      <c r="M556" s="571"/>
      <c r="N556" s="570"/>
      <c r="V556" s="674"/>
      <c r="W556" s="675" t="s">
        <v>2044</v>
      </c>
      <c r="AC556" s="675"/>
      <c r="AD556" s="680"/>
      <c r="AE556" s="675"/>
      <c r="AG556" s="675"/>
      <c r="AI556" s="675"/>
    </row>
    <row r="557" spans="1:35" s="536" customFormat="1" ht="22.5" x14ac:dyDescent="0.2">
      <c r="A557" s="609"/>
      <c r="B557" s="552" t="s">
        <v>2045</v>
      </c>
      <c r="C557" s="1822" t="s">
        <v>2046</v>
      </c>
      <c r="D557" s="1822"/>
      <c r="E557" s="1822"/>
      <c r="F557" s="1822"/>
      <c r="G557" s="1822"/>
      <c r="H557" s="1822"/>
      <c r="I557" s="1822"/>
      <c r="J557" s="1822"/>
      <c r="K557" s="1822"/>
      <c r="L557" s="1822"/>
      <c r="M557" s="1822"/>
      <c r="N557" s="1827"/>
      <c r="V557" s="674"/>
      <c r="W557" s="675"/>
      <c r="Y557" s="537" t="s">
        <v>2046</v>
      </c>
      <c r="AC557" s="675"/>
      <c r="AD557" s="680"/>
      <c r="AE557" s="675"/>
      <c r="AG557" s="675"/>
      <c r="AI557" s="675"/>
    </row>
    <row r="558" spans="1:35" s="536" customFormat="1" ht="12" x14ac:dyDescent="0.2">
      <c r="A558" s="605"/>
      <c r="B558" s="552" t="s">
        <v>185</v>
      </c>
      <c r="C558" s="1822" t="s">
        <v>312</v>
      </c>
      <c r="D558" s="1822"/>
      <c r="E558" s="1822"/>
      <c r="F558" s="562"/>
      <c r="G558" s="562"/>
      <c r="H558" s="562"/>
      <c r="I558" s="562"/>
      <c r="J558" s="604">
        <v>679.32</v>
      </c>
      <c r="K558" s="562" t="s">
        <v>2047</v>
      </c>
      <c r="L558" s="604">
        <v>7744.25</v>
      </c>
      <c r="M558" s="603"/>
      <c r="N558" s="602"/>
      <c r="V558" s="674"/>
      <c r="W558" s="675"/>
      <c r="Z558" s="537" t="s">
        <v>312</v>
      </c>
      <c r="AC558" s="675"/>
      <c r="AD558" s="680"/>
      <c r="AE558" s="675"/>
      <c r="AG558" s="675"/>
      <c r="AI558" s="675"/>
    </row>
    <row r="559" spans="1:35" s="536" customFormat="1" ht="12" x14ac:dyDescent="0.2">
      <c r="A559" s="605"/>
      <c r="B559" s="552" t="s">
        <v>186</v>
      </c>
      <c r="C559" s="1822" t="s">
        <v>344</v>
      </c>
      <c r="D559" s="1822"/>
      <c r="E559" s="1822"/>
      <c r="F559" s="562"/>
      <c r="G559" s="562"/>
      <c r="H559" s="562"/>
      <c r="I559" s="562"/>
      <c r="J559" s="604">
        <v>600.70000000000005</v>
      </c>
      <c r="K559" s="562" t="s">
        <v>2047</v>
      </c>
      <c r="L559" s="604">
        <v>6847.98</v>
      </c>
      <c r="M559" s="603"/>
      <c r="N559" s="602"/>
      <c r="V559" s="674"/>
      <c r="W559" s="675"/>
      <c r="Z559" s="537" t="s">
        <v>344</v>
      </c>
      <c r="AC559" s="675"/>
      <c r="AD559" s="680"/>
      <c r="AE559" s="675"/>
      <c r="AG559" s="675"/>
      <c r="AI559" s="675"/>
    </row>
    <row r="560" spans="1:35" s="536" customFormat="1" ht="12" x14ac:dyDescent="0.2">
      <c r="A560" s="605"/>
      <c r="B560" s="552" t="s">
        <v>187</v>
      </c>
      <c r="C560" s="1822" t="s">
        <v>345</v>
      </c>
      <c r="D560" s="1822"/>
      <c r="E560" s="1822"/>
      <c r="F560" s="562"/>
      <c r="G560" s="562"/>
      <c r="H560" s="562"/>
      <c r="I560" s="562"/>
      <c r="J560" s="604">
        <v>69.08</v>
      </c>
      <c r="K560" s="562" t="s">
        <v>2047</v>
      </c>
      <c r="L560" s="604">
        <v>787.51</v>
      </c>
      <c r="M560" s="603"/>
      <c r="N560" s="602"/>
      <c r="V560" s="674"/>
      <c r="W560" s="675"/>
      <c r="Z560" s="537" t="s">
        <v>345</v>
      </c>
      <c r="AC560" s="675"/>
      <c r="AD560" s="680"/>
      <c r="AE560" s="675"/>
      <c r="AG560" s="675"/>
      <c r="AI560" s="675"/>
    </row>
    <row r="561" spans="1:35" s="536" customFormat="1" ht="12" x14ac:dyDescent="0.2">
      <c r="A561" s="605"/>
      <c r="B561" s="552" t="s">
        <v>188</v>
      </c>
      <c r="C561" s="1822" t="s">
        <v>475</v>
      </c>
      <c r="D561" s="1822"/>
      <c r="E561" s="1822"/>
      <c r="F561" s="562"/>
      <c r="G561" s="562"/>
      <c r="H561" s="562"/>
      <c r="I561" s="562"/>
      <c r="J561" s="604">
        <v>1285.54</v>
      </c>
      <c r="K561" s="562" t="s">
        <v>2047</v>
      </c>
      <c r="L561" s="604">
        <v>14655.16</v>
      </c>
      <c r="M561" s="603"/>
      <c r="N561" s="602"/>
      <c r="V561" s="674"/>
      <c r="W561" s="675"/>
      <c r="Z561" s="537" t="s">
        <v>475</v>
      </c>
      <c r="AC561" s="675"/>
      <c r="AD561" s="680"/>
      <c r="AE561" s="675"/>
      <c r="AG561" s="675"/>
      <c r="AI561" s="675"/>
    </row>
    <row r="562" spans="1:35" s="536" customFormat="1" ht="12" x14ac:dyDescent="0.2">
      <c r="A562" s="605"/>
      <c r="B562" s="552"/>
      <c r="C562" s="1822" t="s">
        <v>314</v>
      </c>
      <c r="D562" s="1822"/>
      <c r="E562" s="1822"/>
      <c r="F562" s="562" t="s">
        <v>315</v>
      </c>
      <c r="G562" s="562" t="s">
        <v>538</v>
      </c>
      <c r="H562" s="562" t="s">
        <v>2047</v>
      </c>
      <c r="I562" s="562" t="s">
        <v>2048</v>
      </c>
      <c r="J562" s="604"/>
      <c r="K562" s="562"/>
      <c r="L562" s="604"/>
      <c r="M562" s="603"/>
      <c r="N562" s="602"/>
      <c r="V562" s="674"/>
      <c r="W562" s="675"/>
      <c r="AA562" s="537" t="s">
        <v>314</v>
      </c>
      <c r="AC562" s="675"/>
      <c r="AD562" s="680"/>
      <c r="AE562" s="675"/>
      <c r="AG562" s="675"/>
      <c r="AI562" s="675"/>
    </row>
    <row r="563" spans="1:35" s="536" customFormat="1" ht="12" x14ac:dyDescent="0.2">
      <c r="A563" s="605"/>
      <c r="B563" s="552"/>
      <c r="C563" s="1822" t="s">
        <v>348</v>
      </c>
      <c r="D563" s="1822"/>
      <c r="E563" s="1822"/>
      <c r="F563" s="562" t="s">
        <v>315</v>
      </c>
      <c r="G563" s="562" t="s">
        <v>1230</v>
      </c>
      <c r="H563" s="562" t="s">
        <v>2047</v>
      </c>
      <c r="I563" s="562" t="s">
        <v>2049</v>
      </c>
      <c r="J563" s="604"/>
      <c r="K563" s="562"/>
      <c r="L563" s="604"/>
      <c r="M563" s="603"/>
      <c r="N563" s="602"/>
      <c r="V563" s="674"/>
      <c r="W563" s="675"/>
      <c r="AA563" s="537" t="s">
        <v>348</v>
      </c>
      <c r="AC563" s="675"/>
      <c r="AD563" s="680"/>
      <c r="AE563" s="675"/>
      <c r="AG563" s="675"/>
      <c r="AI563" s="675"/>
    </row>
    <row r="564" spans="1:35" s="536" customFormat="1" ht="12" x14ac:dyDescent="0.2">
      <c r="A564" s="605"/>
      <c r="B564" s="552"/>
      <c r="C564" s="1828" t="s">
        <v>318</v>
      </c>
      <c r="D564" s="1828"/>
      <c r="E564" s="1828"/>
      <c r="F564" s="608"/>
      <c r="G564" s="608"/>
      <c r="H564" s="608"/>
      <c r="I564" s="608"/>
      <c r="J564" s="607">
        <v>2565.56</v>
      </c>
      <c r="K564" s="608"/>
      <c r="L564" s="607">
        <v>29247.39</v>
      </c>
      <c r="M564" s="601"/>
      <c r="N564" s="606"/>
      <c r="V564" s="674"/>
      <c r="W564" s="675"/>
      <c r="AB564" s="537" t="s">
        <v>318</v>
      </c>
      <c r="AC564" s="675"/>
      <c r="AD564" s="680"/>
      <c r="AE564" s="675"/>
      <c r="AG564" s="675"/>
      <c r="AI564" s="675"/>
    </row>
    <row r="565" spans="1:35" s="536" customFormat="1" ht="12" x14ac:dyDescent="0.2">
      <c r="A565" s="605"/>
      <c r="B565" s="552"/>
      <c r="C565" s="1822" t="s">
        <v>319</v>
      </c>
      <c r="D565" s="1822"/>
      <c r="E565" s="1822"/>
      <c r="F565" s="562"/>
      <c r="G565" s="562"/>
      <c r="H565" s="562"/>
      <c r="I565" s="562"/>
      <c r="J565" s="604"/>
      <c r="K565" s="562"/>
      <c r="L565" s="604">
        <v>8531.76</v>
      </c>
      <c r="M565" s="603"/>
      <c r="N565" s="602"/>
      <c r="V565" s="674"/>
      <c r="W565" s="675"/>
      <c r="AA565" s="537" t="s">
        <v>319</v>
      </c>
      <c r="AC565" s="675"/>
      <c r="AD565" s="680"/>
      <c r="AE565" s="675"/>
      <c r="AG565" s="675"/>
      <c r="AI565" s="675"/>
    </row>
    <row r="566" spans="1:35" s="536" customFormat="1" ht="33.75" x14ac:dyDescent="0.2">
      <c r="A566" s="605"/>
      <c r="B566" s="552" t="s">
        <v>2050</v>
      </c>
      <c r="C566" s="1822" t="s">
        <v>2051</v>
      </c>
      <c r="D566" s="1822"/>
      <c r="E566" s="1822"/>
      <c r="F566" s="562" t="s">
        <v>322</v>
      </c>
      <c r="G566" s="562" t="s">
        <v>462</v>
      </c>
      <c r="H566" s="562"/>
      <c r="I566" s="562" t="s">
        <v>462</v>
      </c>
      <c r="J566" s="604"/>
      <c r="K566" s="562"/>
      <c r="L566" s="604">
        <v>7849.22</v>
      </c>
      <c r="M566" s="603"/>
      <c r="N566" s="602"/>
      <c r="V566" s="674"/>
      <c r="W566" s="675"/>
      <c r="AA566" s="537" t="s">
        <v>2051</v>
      </c>
      <c r="AC566" s="675"/>
      <c r="AD566" s="680"/>
      <c r="AE566" s="675"/>
      <c r="AG566" s="675"/>
      <c r="AI566" s="675"/>
    </row>
    <row r="567" spans="1:35" s="536" customFormat="1" ht="33.75" x14ac:dyDescent="0.2">
      <c r="A567" s="605"/>
      <c r="B567" s="552" t="s">
        <v>2052</v>
      </c>
      <c r="C567" s="1822" t="s">
        <v>2053</v>
      </c>
      <c r="D567" s="1822"/>
      <c r="E567" s="1822"/>
      <c r="F567" s="562" t="s">
        <v>322</v>
      </c>
      <c r="G567" s="562" t="s">
        <v>784</v>
      </c>
      <c r="H567" s="562"/>
      <c r="I567" s="562" t="s">
        <v>784</v>
      </c>
      <c r="J567" s="604"/>
      <c r="K567" s="562"/>
      <c r="L567" s="604">
        <v>4180.5600000000004</v>
      </c>
      <c r="M567" s="603"/>
      <c r="N567" s="602"/>
      <c r="V567" s="674"/>
      <c r="W567" s="675"/>
      <c r="AA567" s="537" t="s">
        <v>2053</v>
      </c>
      <c r="AC567" s="675"/>
      <c r="AD567" s="680"/>
      <c r="AE567" s="675"/>
      <c r="AG567" s="675"/>
      <c r="AI567" s="675"/>
    </row>
    <row r="568" spans="1:35" s="536" customFormat="1" ht="12" x14ac:dyDescent="0.2">
      <c r="A568" s="569"/>
      <c r="B568" s="656"/>
      <c r="C568" s="1823" t="s">
        <v>327</v>
      </c>
      <c r="D568" s="1823"/>
      <c r="E568" s="1823"/>
      <c r="F568" s="573"/>
      <c r="G568" s="573"/>
      <c r="H568" s="573"/>
      <c r="I568" s="573"/>
      <c r="J568" s="572"/>
      <c r="K568" s="573"/>
      <c r="L568" s="572">
        <v>41277.17</v>
      </c>
      <c r="M568" s="601"/>
      <c r="N568" s="570"/>
      <c r="V568" s="674"/>
      <c r="W568" s="675"/>
      <c r="AC568" s="675" t="s">
        <v>327</v>
      </c>
      <c r="AD568" s="680"/>
      <c r="AE568" s="675"/>
      <c r="AG568" s="675"/>
      <c r="AI568" s="675"/>
    </row>
    <row r="569" spans="1:35" s="536" customFormat="1" ht="33.75" x14ac:dyDescent="0.2">
      <c r="A569" s="575" t="s">
        <v>936</v>
      </c>
      <c r="B569" s="657" t="s">
        <v>2054</v>
      </c>
      <c r="C569" s="1823" t="s">
        <v>2055</v>
      </c>
      <c r="D569" s="1823"/>
      <c r="E569" s="1823"/>
      <c r="F569" s="573" t="s">
        <v>1236</v>
      </c>
      <c r="G569" s="573"/>
      <c r="H569" s="573"/>
      <c r="I569" s="573" t="s">
        <v>185</v>
      </c>
      <c r="J569" s="572">
        <v>3529333.33</v>
      </c>
      <c r="K569" s="573" t="s">
        <v>629</v>
      </c>
      <c r="L569" s="572">
        <v>778144.88</v>
      </c>
      <c r="M569" s="571">
        <v>4.59</v>
      </c>
      <c r="N569" s="570">
        <v>3571685</v>
      </c>
      <c r="V569" s="674"/>
      <c r="W569" s="675" t="s">
        <v>2055</v>
      </c>
      <c r="AC569" s="675"/>
      <c r="AD569" s="680"/>
      <c r="AE569" s="675"/>
      <c r="AG569" s="675"/>
      <c r="AI569" s="675"/>
    </row>
    <row r="570" spans="1:35" s="536" customFormat="1" ht="12" x14ac:dyDescent="0.2">
      <c r="A570" s="569"/>
      <c r="B570" s="656"/>
      <c r="C570" s="661" t="s">
        <v>630</v>
      </c>
      <c r="D570" s="662"/>
      <c r="E570" s="662"/>
      <c r="F570" s="563"/>
      <c r="G570" s="563"/>
      <c r="H570" s="563"/>
      <c r="I570" s="563"/>
      <c r="J570" s="566"/>
      <c r="K570" s="563"/>
      <c r="L570" s="566"/>
      <c r="M570" s="565"/>
      <c r="N570" s="564"/>
      <c r="V570" s="674"/>
      <c r="W570" s="675"/>
      <c r="AC570" s="675"/>
      <c r="AD570" s="680"/>
      <c r="AE570" s="675"/>
      <c r="AG570" s="675"/>
      <c r="AI570" s="675"/>
    </row>
    <row r="571" spans="1:35" s="536" customFormat="1" ht="22.5" x14ac:dyDescent="0.2">
      <c r="A571" s="609"/>
      <c r="B571" s="552" t="s">
        <v>631</v>
      </c>
      <c r="C571" s="1822" t="s">
        <v>632</v>
      </c>
      <c r="D571" s="1822"/>
      <c r="E571" s="1822"/>
      <c r="F571" s="1822"/>
      <c r="G571" s="1822"/>
      <c r="H571" s="1822"/>
      <c r="I571" s="1822"/>
      <c r="J571" s="1822"/>
      <c r="K571" s="1822"/>
      <c r="L571" s="1822"/>
      <c r="M571" s="1822"/>
      <c r="N571" s="1827"/>
      <c r="V571" s="674"/>
      <c r="W571" s="675"/>
      <c r="Y571" s="537" t="s">
        <v>632</v>
      </c>
      <c r="AC571" s="675"/>
      <c r="AD571" s="680"/>
      <c r="AE571" s="675"/>
      <c r="AG571" s="675"/>
      <c r="AI571" s="675"/>
    </row>
    <row r="572" spans="1:35" s="536" customFormat="1" ht="1.5" customHeight="1" x14ac:dyDescent="0.2">
      <c r="A572" s="563"/>
      <c r="B572" s="656"/>
      <c r="C572" s="656"/>
      <c r="D572" s="656"/>
      <c r="E572" s="656"/>
      <c r="F572" s="563"/>
      <c r="G572" s="563"/>
      <c r="H572" s="563"/>
      <c r="I572" s="563"/>
      <c r="J572" s="546"/>
      <c r="K572" s="563"/>
      <c r="L572" s="546"/>
      <c r="M572" s="562"/>
      <c r="N572" s="546"/>
      <c r="V572" s="674"/>
      <c r="W572" s="675"/>
      <c r="AC572" s="675"/>
      <c r="AD572" s="680"/>
      <c r="AE572" s="675"/>
      <c r="AG572" s="675"/>
      <c r="AI572" s="675"/>
    </row>
    <row r="573" spans="1:35" s="536" customFormat="1" ht="12" x14ac:dyDescent="0.2">
      <c r="A573" s="557"/>
      <c r="B573" s="556"/>
      <c r="C573" s="1823" t="s">
        <v>2056</v>
      </c>
      <c r="D573" s="1823"/>
      <c r="E573" s="1823"/>
      <c r="F573" s="1823"/>
      <c r="G573" s="1823"/>
      <c r="H573" s="1823"/>
      <c r="I573" s="1823"/>
      <c r="J573" s="1823"/>
      <c r="K573" s="1823"/>
      <c r="L573" s="555"/>
      <c r="M573" s="554"/>
      <c r="N573" s="553"/>
      <c r="V573" s="674"/>
      <c r="W573" s="675"/>
      <c r="AC573" s="675"/>
      <c r="AD573" s="680"/>
      <c r="AE573" s="675" t="s">
        <v>2056</v>
      </c>
      <c r="AG573" s="675"/>
      <c r="AI573" s="675"/>
    </row>
    <row r="574" spans="1:35" s="536" customFormat="1" ht="12" x14ac:dyDescent="0.2">
      <c r="A574" s="548"/>
      <c r="B574" s="552"/>
      <c r="C574" s="1822" t="s">
        <v>403</v>
      </c>
      <c r="D574" s="1822"/>
      <c r="E574" s="1822"/>
      <c r="F574" s="1822"/>
      <c r="G574" s="1822"/>
      <c r="H574" s="1822"/>
      <c r="I574" s="1822"/>
      <c r="J574" s="1822"/>
      <c r="K574" s="1822"/>
      <c r="L574" s="551">
        <v>29247.39</v>
      </c>
      <c r="M574" s="550"/>
      <c r="N574" s="549"/>
      <c r="V574" s="674"/>
      <c r="W574" s="675"/>
      <c r="AC574" s="675"/>
      <c r="AD574" s="680"/>
      <c r="AE574" s="675"/>
      <c r="AF574" s="537" t="s">
        <v>403</v>
      </c>
      <c r="AG574" s="675"/>
      <c r="AI574" s="675"/>
    </row>
    <row r="575" spans="1:35" s="536" customFormat="1" ht="12" x14ac:dyDescent="0.2">
      <c r="A575" s="548"/>
      <c r="B575" s="552"/>
      <c r="C575" s="1822" t="s">
        <v>204</v>
      </c>
      <c r="D575" s="1822"/>
      <c r="E575" s="1822"/>
      <c r="F575" s="1822"/>
      <c r="G575" s="1822"/>
      <c r="H575" s="1822"/>
      <c r="I575" s="1822"/>
      <c r="J575" s="1822"/>
      <c r="K575" s="1822"/>
      <c r="L575" s="551"/>
      <c r="M575" s="550"/>
      <c r="N575" s="549"/>
      <c r="V575" s="674"/>
      <c r="W575" s="675"/>
      <c r="AC575" s="675"/>
      <c r="AD575" s="680"/>
      <c r="AE575" s="675"/>
      <c r="AF575" s="537" t="s">
        <v>204</v>
      </c>
      <c r="AG575" s="675"/>
      <c r="AI575" s="675"/>
    </row>
    <row r="576" spans="1:35" s="536" customFormat="1" ht="12" x14ac:dyDescent="0.2">
      <c r="A576" s="548"/>
      <c r="B576" s="552"/>
      <c r="C576" s="1822" t="s">
        <v>404</v>
      </c>
      <c r="D576" s="1822"/>
      <c r="E576" s="1822"/>
      <c r="F576" s="1822"/>
      <c r="G576" s="1822"/>
      <c r="H576" s="1822"/>
      <c r="I576" s="1822"/>
      <c r="J576" s="1822"/>
      <c r="K576" s="1822"/>
      <c r="L576" s="551">
        <v>7744.25</v>
      </c>
      <c r="M576" s="550"/>
      <c r="N576" s="549"/>
      <c r="V576" s="674"/>
      <c r="W576" s="675"/>
      <c r="AC576" s="675"/>
      <c r="AD576" s="680"/>
      <c r="AE576" s="675"/>
      <c r="AF576" s="537" t="s">
        <v>404</v>
      </c>
      <c r="AG576" s="675"/>
      <c r="AI576" s="675"/>
    </row>
    <row r="577" spans="1:35" s="536" customFormat="1" ht="12" x14ac:dyDescent="0.2">
      <c r="A577" s="548"/>
      <c r="B577" s="552"/>
      <c r="C577" s="1822" t="s">
        <v>405</v>
      </c>
      <c r="D577" s="1822"/>
      <c r="E577" s="1822"/>
      <c r="F577" s="1822"/>
      <c r="G577" s="1822"/>
      <c r="H577" s="1822"/>
      <c r="I577" s="1822"/>
      <c r="J577" s="1822"/>
      <c r="K577" s="1822"/>
      <c r="L577" s="551">
        <v>6847.98</v>
      </c>
      <c r="M577" s="550"/>
      <c r="N577" s="549"/>
      <c r="V577" s="674"/>
      <c r="W577" s="675"/>
      <c r="AC577" s="675"/>
      <c r="AD577" s="680"/>
      <c r="AE577" s="675"/>
      <c r="AF577" s="537" t="s">
        <v>405</v>
      </c>
      <c r="AG577" s="675"/>
      <c r="AI577" s="675"/>
    </row>
    <row r="578" spans="1:35" s="536" customFormat="1" ht="12" x14ac:dyDescent="0.2">
      <c r="A578" s="548"/>
      <c r="B578" s="552"/>
      <c r="C578" s="1822" t="s">
        <v>406</v>
      </c>
      <c r="D578" s="1822"/>
      <c r="E578" s="1822"/>
      <c r="F578" s="1822"/>
      <c r="G578" s="1822"/>
      <c r="H578" s="1822"/>
      <c r="I578" s="1822"/>
      <c r="J578" s="1822"/>
      <c r="K578" s="1822"/>
      <c r="L578" s="551">
        <v>787.51</v>
      </c>
      <c r="M578" s="550"/>
      <c r="N578" s="549"/>
      <c r="V578" s="674"/>
      <c r="W578" s="675"/>
      <c r="AC578" s="675"/>
      <c r="AD578" s="680"/>
      <c r="AE578" s="675"/>
      <c r="AF578" s="537" t="s">
        <v>406</v>
      </c>
      <c r="AG578" s="675"/>
      <c r="AI578" s="675"/>
    </row>
    <row r="579" spans="1:35" s="536" customFormat="1" ht="12" x14ac:dyDescent="0.2">
      <c r="A579" s="548"/>
      <c r="B579" s="552"/>
      <c r="C579" s="1822" t="s">
        <v>480</v>
      </c>
      <c r="D579" s="1822"/>
      <c r="E579" s="1822"/>
      <c r="F579" s="1822"/>
      <c r="G579" s="1822"/>
      <c r="H579" s="1822"/>
      <c r="I579" s="1822"/>
      <c r="J579" s="1822"/>
      <c r="K579" s="1822"/>
      <c r="L579" s="551">
        <v>14655.16</v>
      </c>
      <c r="M579" s="550"/>
      <c r="N579" s="549"/>
      <c r="V579" s="674"/>
      <c r="W579" s="675"/>
      <c r="AC579" s="675"/>
      <c r="AD579" s="680"/>
      <c r="AE579" s="675"/>
      <c r="AF579" s="537" t="s">
        <v>480</v>
      </c>
      <c r="AG579" s="675"/>
      <c r="AI579" s="675"/>
    </row>
    <row r="580" spans="1:35" s="536" customFormat="1" ht="12" x14ac:dyDescent="0.2">
      <c r="A580" s="548"/>
      <c r="B580" s="552"/>
      <c r="C580" s="1822" t="s">
        <v>753</v>
      </c>
      <c r="D580" s="1822"/>
      <c r="E580" s="1822"/>
      <c r="F580" s="1822"/>
      <c r="G580" s="1822"/>
      <c r="H580" s="1822"/>
      <c r="I580" s="1822"/>
      <c r="J580" s="1822"/>
      <c r="K580" s="1822"/>
      <c r="L580" s="551">
        <v>41277.17</v>
      </c>
      <c r="M580" s="550"/>
      <c r="N580" s="549"/>
      <c r="V580" s="674"/>
      <c r="W580" s="675"/>
      <c r="AC580" s="675"/>
      <c r="AD580" s="680"/>
      <c r="AE580" s="675"/>
      <c r="AF580" s="537" t="s">
        <v>753</v>
      </c>
      <c r="AG580" s="675"/>
      <c r="AI580" s="675"/>
    </row>
    <row r="581" spans="1:35" s="536" customFormat="1" ht="12" x14ac:dyDescent="0.2">
      <c r="A581" s="548"/>
      <c r="B581" s="552"/>
      <c r="C581" s="1822" t="s">
        <v>204</v>
      </c>
      <c r="D581" s="1822"/>
      <c r="E581" s="1822"/>
      <c r="F581" s="1822"/>
      <c r="G581" s="1822"/>
      <c r="H581" s="1822"/>
      <c r="I581" s="1822"/>
      <c r="J581" s="1822"/>
      <c r="K581" s="1822"/>
      <c r="L581" s="551"/>
      <c r="M581" s="550"/>
      <c r="N581" s="549"/>
      <c r="V581" s="674"/>
      <c r="W581" s="675"/>
      <c r="AC581" s="675"/>
      <c r="AD581" s="680"/>
      <c r="AE581" s="675"/>
      <c r="AF581" s="537" t="s">
        <v>204</v>
      </c>
      <c r="AG581" s="675"/>
      <c r="AI581" s="675"/>
    </row>
    <row r="582" spans="1:35" s="536" customFormat="1" ht="12" x14ac:dyDescent="0.2">
      <c r="A582" s="548"/>
      <c r="B582" s="552"/>
      <c r="C582" s="1822" t="s">
        <v>546</v>
      </c>
      <c r="D582" s="1822"/>
      <c r="E582" s="1822"/>
      <c r="F582" s="1822"/>
      <c r="G582" s="1822"/>
      <c r="H582" s="1822"/>
      <c r="I582" s="1822"/>
      <c r="J582" s="1822"/>
      <c r="K582" s="1822"/>
      <c r="L582" s="551">
        <v>7744.25</v>
      </c>
      <c r="M582" s="550"/>
      <c r="N582" s="549"/>
      <c r="V582" s="674"/>
      <c r="W582" s="675"/>
      <c r="AC582" s="675"/>
      <c r="AD582" s="680"/>
      <c r="AE582" s="675"/>
      <c r="AF582" s="537" t="s">
        <v>546</v>
      </c>
      <c r="AG582" s="675"/>
      <c r="AI582" s="675"/>
    </row>
    <row r="583" spans="1:35" s="536" customFormat="1" ht="12" x14ac:dyDescent="0.2">
      <c r="A583" s="548"/>
      <c r="B583" s="552"/>
      <c r="C583" s="1822" t="s">
        <v>442</v>
      </c>
      <c r="D583" s="1822"/>
      <c r="E583" s="1822"/>
      <c r="F583" s="1822"/>
      <c r="G583" s="1822"/>
      <c r="H583" s="1822"/>
      <c r="I583" s="1822"/>
      <c r="J583" s="1822"/>
      <c r="K583" s="1822"/>
      <c r="L583" s="551">
        <v>6847.98</v>
      </c>
      <c r="M583" s="550"/>
      <c r="N583" s="549"/>
      <c r="V583" s="674"/>
      <c r="W583" s="675"/>
      <c r="AC583" s="675"/>
      <c r="AD583" s="680"/>
      <c r="AE583" s="675"/>
      <c r="AF583" s="537" t="s">
        <v>442</v>
      </c>
      <c r="AG583" s="675"/>
      <c r="AI583" s="675"/>
    </row>
    <row r="584" spans="1:35" s="536" customFormat="1" ht="12" x14ac:dyDescent="0.2">
      <c r="A584" s="548"/>
      <c r="B584" s="552"/>
      <c r="C584" s="1822" t="s">
        <v>547</v>
      </c>
      <c r="D584" s="1822"/>
      <c r="E584" s="1822"/>
      <c r="F584" s="1822"/>
      <c r="G584" s="1822"/>
      <c r="H584" s="1822"/>
      <c r="I584" s="1822"/>
      <c r="J584" s="1822"/>
      <c r="K584" s="1822"/>
      <c r="L584" s="551">
        <v>14655.16</v>
      </c>
      <c r="M584" s="550"/>
      <c r="N584" s="549"/>
      <c r="V584" s="674"/>
      <c r="W584" s="675"/>
      <c r="AC584" s="675"/>
      <c r="AD584" s="680"/>
      <c r="AE584" s="675"/>
      <c r="AF584" s="537" t="s">
        <v>547</v>
      </c>
      <c r="AG584" s="675"/>
      <c r="AI584" s="675"/>
    </row>
    <row r="585" spans="1:35" s="536" customFormat="1" ht="12" x14ac:dyDescent="0.2">
      <c r="A585" s="548"/>
      <c r="B585" s="552"/>
      <c r="C585" s="1822" t="s">
        <v>443</v>
      </c>
      <c r="D585" s="1822"/>
      <c r="E585" s="1822"/>
      <c r="F585" s="1822"/>
      <c r="G585" s="1822"/>
      <c r="H585" s="1822"/>
      <c r="I585" s="1822"/>
      <c r="J585" s="1822"/>
      <c r="K585" s="1822"/>
      <c r="L585" s="551">
        <v>7849.22</v>
      </c>
      <c r="M585" s="550"/>
      <c r="N585" s="549"/>
      <c r="V585" s="674"/>
      <c r="W585" s="675"/>
      <c r="AC585" s="675"/>
      <c r="AD585" s="680"/>
      <c r="AE585" s="675"/>
      <c r="AF585" s="537" t="s">
        <v>443</v>
      </c>
      <c r="AG585" s="675"/>
      <c r="AI585" s="675"/>
    </row>
    <row r="586" spans="1:35" s="536" customFormat="1" ht="12" x14ac:dyDescent="0.2">
      <c r="A586" s="548"/>
      <c r="B586" s="552"/>
      <c r="C586" s="1822" t="s">
        <v>444</v>
      </c>
      <c r="D586" s="1822"/>
      <c r="E586" s="1822"/>
      <c r="F586" s="1822"/>
      <c r="G586" s="1822"/>
      <c r="H586" s="1822"/>
      <c r="I586" s="1822"/>
      <c r="J586" s="1822"/>
      <c r="K586" s="1822"/>
      <c r="L586" s="551">
        <v>4180.5600000000004</v>
      </c>
      <c r="M586" s="550"/>
      <c r="N586" s="549"/>
      <c r="V586" s="674"/>
      <c r="W586" s="675"/>
      <c r="AC586" s="675"/>
      <c r="AD586" s="680"/>
      <c r="AE586" s="675"/>
      <c r="AF586" s="537" t="s">
        <v>444</v>
      </c>
      <c r="AG586" s="675"/>
      <c r="AI586" s="675"/>
    </row>
    <row r="587" spans="1:35" s="536" customFormat="1" ht="12" x14ac:dyDescent="0.2">
      <c r="A587" s="548"/>
      <c r="B587" s="552"/>
      <c r="C587" s="1822" t="s">
        <v>754</v>
      </c>
      <c r="D587" s="1822"/>
      <c r="E587" s="1822"/>
      <c r="F587" s="1822"/>
      <c r="G587" s="1822"/>
      <c r="H587" s="1822"/>
      <c r="I587" s="1822"/>
      <c r="J587" s="1822"/>
      <c r="K587" s="1822"/>
      <c r="L587" s="551">
        <v>778144.88</v>
      </c>
      <c r="M587" s="550"/>
      <c r="N587" s="549"/>
      <c r="V587" s="674"/>
      <c r="W587" s="675"/>
      <c r="AC587" s="675"/>
      <c r="AD587" s="680"/>
      <c r="AE587" s="675"/>
      <c r="AF587" s="537" t="s">
        <v>754</v>
      </c>
      <c r="AG587" s="675"/>
      <c r="AI587" s="675"/>
    </row>
    <row r="588" spans="1:35" s="536" customFormat="1" ht="12" x14ac:dyDescent="0.2">
      <c r="A588" s="548"/>
      <c r="B588" s="552"/>
      <c r="C588" s="1822" t="s">
        <v>415</v>
      </c>
      <c r="D588" s="1822"/>
      <c r="E588" s="1822"/>
      <c r="F588" s="1822"/>
      <c r="G588" s="1822"/>
      <c r="H588" s="1822"/>
      <c r="I588" s="1822"/>
      <c r="J588" s="1822"/>
      <c r="K588" s="1822"/>
      <c r="L588" s="551">
        <v>8531.76</v>
      </c>
      <c r="M588" s="550"/>
      <c r="N588" s="549"/>
      <c r="V588" s="674"/>
      <c r="W588" s="675"/>
      <c r="AC588" s="675"/>
      <c r="AD588" s="680"/>
      <c r="AE588" s="675"/>
      <c r="AF588" s="537" t="s">
        <v>415</v>
      </c>
      <c r="AG588" s="675"/>
      <c r="AI588" s="675"/>
    </row>
    <row r="589" spans="1:35" s="536" customFormat="1" ht="12" x14ac:dyDescent="0.2">
      <c r="A589" s="548"/>
      <c r="B589" s="552"/>
      <c r="C589" s="1822" t="s">
        <v>416</v>
      </c>
      <c r="D589" s="1822"/>
      <c r="E589" s="1822"/>
      <c r="F589" s="1822"/>
      <c r="G589" s="1822"/>
      <c r="H589" s="1822"/>
      <c r="I589" s="1822"/>
      <c r="J589" s="1822"/>
      <c r="K589" s="1822"/>
      <c r="L589" s="551">
        <v>7849.22</v>
      </c>
      <c r="M589" s="550"/>
      <c r="N589" s="549"/>
      <c r="V589" s="674"/>
      <c r="W589" s="675"/>
      <c r="AC589" s="675"/>
      <c r="AD589" s="680"/>
      <c r="AE589" s="675"/>
      <c r="AF589" s="537" t="s">
        <v>416</v>
      </c>
      <c r="AG589" s="675"/>
      <c r="AI589" s="675"/>
    </row>
    <row r="590" spans="1:35" s="536" customFormat="1" ht="12" x14ac:dyDescent="0.2">
      <c r="A590" s="548"/>
      <c r="B590" s="552"/>
      <c r="C590" s="1822" t="s">
        <v>417</v>
      </c>
      <c r="D590" s="1822"/>
      <c r="E590" s="1822"/>
      <c r="F590" s="1822"/>
      <c r="G590" s="1822"/>
      <c r="H590" s="1822"/>
      <c r="I590" s="1822"/>
      <c r="J590" s="1822"/>
      <c r="K590" s="1822"/>
      <c r="L590" s="551">
        <v>4180.5600000000004</v>
      </c>
      <c r="M590" s="550"/>
      <c r="N590" s="549"/>
      <c r="V590" s="674"/>
      <c r="W590" s="675"/>
      <c r="AC590" s="675"/>
      <c r="AD590" s="680"/>
      <c r="AE590" s="675"/>
      <c r="AF590" s="537" t="s">
        <v>417</v>
      </c>
      <c r="AG590" s="675"/>
      <c r="AI590" s="675"/>
    </row>
    <row r="591" spans="1:35" s="536" customFormat="1" ht="12" x14ac:dyDescent="0.2">
      <c r="A591" s="548"/>
      <c r="B591" s="546"/>
      <c r="C591" s="1819" t="s">
        <v>2057</v>
      </c>
      <c r="D591" s="1819"/>
      <c r="E591" s="1819"/>
      <c r="F591" s="1819"/>
      <c r="G591" s="1819"/>
      <c r="H591" s="1819"/>
      <c r="I591" s="1819"/>
      <c r="J591" s="1819"/>
      <c r="K591" s="1819"/>
      <c r="L591" s="544">
        <v>819422.05</v>
      </c>
      <c r="M591" s="543"/>
      <c r="N591" s="681"/>
      <c r="V591" s="674"/>
      <c r="W591" s="675"/>
      <c r="AC591" s="675"/>
      <c r="AD591" s="680"/>
      <c r="AE591" s="675"/>
      <c r="AG591" s="675" t="s">
        <v>2057</v>
      </c>
      <c r="AI591" s="675"/>
    </row>
    <row r="592" spans="1:35" s="536" customFormat="1" ht="12" x14ac:dyDescent="0.2">
      <c r="A592" s="548"/>
      <c r="B592" s="552"/>
      <c r="C592" s="1822" t="s">
        <v>204</v>
      </c>
      <c r="D592" s="1822"/>
      <c r="E592" s="1822"/>
      <c r="F592" s="1822"/>
      <c r="G592" s="1822"/>
      <c r="H592" s="1822"/>
      <c r="I592" s="1822"/>
      <c r="J592" s="1822"/>
      <c r="K592" s="1822"/>
      <c r="L592" s="551"/>
      <c r="M592" s="550"/>
      <c r="N592" s="549"/>
      <c r="V592" s="674"/>
      <c r="W592" s="675"/>
      <c r="AC592" s="675"/>
      <c r="AD592" s="680"/>
      <c r="AE592" s="675"/>
      <c r="AF592" s="537" t="s">
        <v>204</v>
      </c>
      <c r="AG592" s="675"/>
      <c r="AI592" s="675"/>
    </row>
    <row r="593" spans="1:35" s="536" customFormat="1" ht="12" x14ac:dyDescent="0.2">
      <c r="A593" s="548"/>
      <c r="B593" s="552"/>
      <c r="C593" s="1822" t="s">
        <v>8097</v>
      </c>
      <c r="D593" s="1822"/>
      <c r="E593" s="1822"/>
      <c r="F593" s="1822"/>
      <c r="G593" s="1822"/>
      <c r="H593" s="1822"/>
      <c r="I593" s="1822"/>
      <c r="J593" s="1822"/>
      <c r="K593" s="1822"/>
      <c r="L593" s="551">
        <v>778144.88</v>
      </c>
      <c r="M593" s="550"/>
      <c r="N593" s="549"/>
      <c r="V593" s="674"/>
      <c r="W593" s="675"/>
      <c r="AC593" s="675"/>
      <c r="AD593" s="680"/>
      <c r="AE593" s="675"/>
      <c r="AF593" s="537" t="s">
        <v>8097</v>
      </c>
      <c r="AG593" s="675"/>
      <c r="AI593" s="675"/>
    </row>
    <row r="594" spans="1:35" s="536" customFormat="1" ht="12" x14ac:dyDescent="0.2">
      <c r="A594" s="1824" t="s">
        <v>2058</v>
      </c>
      <c r="B594" s="1825"/>
      <c r="C594" s="1825"/>
      <c r="D594" s="1825"/>
      <c r="E594" s="1825"/>
      <c r="F594" s="1825"/>
      <c r="G594" s="1825"/>
      <c r="H594" s="1825"/>
      <c r="I594" s="1825"/>
      <c r="J594" s="1825"/>
      <c r="K594" s="1825"/>
      <c r="L594" s="1825"/>
      <c r="M594" s="1825"/>
      <c r="N594" s="1826"/>
      <c r="V594" s="674" t="s">
        <v>2058</v>
      </c>
      <c r="W594" s="675"/>
      <c r="AC594" s="675"/>
      <c r="AD594" s="680"/>
      <c r="AE594" s="675"/>
      <c r="AG594" s="675"/>
      <c r="AI594" s="675"/>
    </row>
    <row r="595" spans="1:35" s="536" customFormat="1" ht="101.25" x14ac:dyDescent="0.2">
      <c r="A595" s="575" t="s">
        <v>624</v>
      </c>
      <c r="B595" s="657" t="s">
        <v>1135</v>
      </c>
      <c r="C595" s="1823" t="s">
        <v>2059</v>
      </c>
      <c r="D595" s="1823"/>
      <c r="E595" s="1823"/>
      <c r="F595" s="573" t="s">
        <v>201</v>
      </c>
      <c r="G595" s="573"/>
      <c r="H595" s="573"/>
      <c r="I595" s="573" t="s">
        <v>2060</v>
      </c>
      <c r="J595" s="572">
        <v>76.88</v>
      </c>
      <c r="K595" s="573"/>
      <c r="L595" s="572">
        <v>867.59</v>
      </c>
      <c r="M595" s="571"/>
      <c r="N595" s="570"/>
      <c r="V595" s="674"/>
      <c r="W595" s="675" t="s">
        <v>2059</v>
      </c>
      <c r="AC595" s="675"/>
      <c r="AD595" s="680"/>
      <c r="AE595" s="675"/>
      <c r="AG595" s="675"/>
      <c r="AI595" s="675"/>
    </row>
    <row r="596" spans="1:35" s="536" customFormat="1" ht="12" x14ac:dyDescent="0.2">
      <c r="A596" s="569"/>
      <c r="B596" s="656"/>
      <c r="C596" s="661" t="s">
        <v>717</v>
      </c>
      <c r="D596" s="662"/>
      <c r="E596" s="662"/>
      <c r="F596" s="563"/>
      <c r="G596" s="563"/>
      <c r="H596" s="563"/>
      <c r="I596" s="563"/>
      <c r="J596" s="566"/>
      <c r="K596" s="563"/>
      <c r="L596" s="566"/>
      <c r="M596" s="565"/>
      <c r="N596" s="564"/>
      <c r="V596" s="674"/>
      <c r="W596" s="675"/>
      <c r="AC596" s="675"/>
      <c r="AD596" s="680"/>
      <c r="AE596" s="675"/>
      <c r="AG596" s="675"/>
      <c r="AI596" s="675"/>
    </row>
    <row r="597" spans="1:35" s="536" customFormat="1" ht="12" x14ac:dyDescent="0.2">
      <c r="A597" s="676"/>
      <c r="B597" s="655"/>
      <c r="C597" s="1822" t="s">
        <v>2061</v>
      </c>
      <c r="D597" s="1822"/>
      <c r="E597" s="1822"/>
      <c r="F597" s="1822"/>
      <c r="G597" s="1822"/>
      <c r="H597" s="1822"/>
      <c r="I597" s="1822"/>
      <c r="J597" s="1822"/>
      <c r="K597" s="1822"/>
      <c r="L597" s="1822"/>
      <c r="M597" s="1822"/>
      <c r="N597" s="1827"/>
      <c r="V597" s="674"/>
      <c r="W597" s="675"/>
      <c r="X597" s="537" t="s">
        <v>2061</v>
      </c>
      <c r="AC597" s="675"/>
      <c r="AD597" s="680"/>
      <c r="AE597" s="675"/>
      <c r="AG597" s="675"/>
      <c r="AI597" s="675"/>
    </row>
    <row r="598" spans="1:35" s="536" customFormat="1" ht="90" x14ac:dyDescent="0.2">
      <c r="A598" s="575" t="s">
        <v>1784</v>
      </c>
      <c r="B598" s="657" t="s">
        <v>1338</v>
      </c>
      <c r="C598" s="1823" t="s">
        <v>2062</v>
      </c>
      <c r="D598" s="1823"/>
      <c r="E598" s="1823"/>
      <c r="F598" s="573" t="s">
        <v>201</v>
      </c>
      <c r="G598" s="573"/>
      <c r="H598" s="573"/>
      <c r="I598" s="573" t="s">
        <v>2063</v>
      </c>
      <c r="J598" s="572">
        <v>90.45</v>
      </c>
      <c r="K598" s="573"/>
      <c r="L598" s="572">
        <v>86.38</v>
      </c>
      <c r="M598" s="571"/>
      <c r="N598" s="570"/>
      <c r="V598" s="674"/>
      <c r="W598" s="675" t="s">
        <v>2062</v>
      </c>
      <c r="AC598" s="675"/>
      <c r="AD598" s="680"/>
      <c r="AE598" s="675"/>
      <c r="AG598" s="675"/>
      <c r="AI598" s="675"/>
    </row>
    <row r="599" spans="1:35" s="536" customFormat="1" ht="12" x14ac:dyDescent="0.2">
      <c r="A599" s="569"/>
      <c r="B599" s="656"/>
      <c r="C599" s="661" t="s">
        <v>717</v>
      </c>
      <c r="D599" s="662"/>
      <c r="E599" s="662"/>
      <c r="F599" s="563"/>
      <c r="G599" s="563"/>
      <c r="H599" s="563"/>
      <c r="I599" s="563"/>
      <c r="J599" s="566"/>
      <c r="K599" s="563"/>
      <c r="L599" s="566"/>
      <c r="M599" s="565"/>
      <c r="N599" s="564"/>
      <c r="V599" s="674"/>
      <c r="W599" s="675"/>
      <c r="AC599" s="675"/>
      <c r="AD599" s="680"/>
      <c r="AE599" s="675"/>
      <c r="AG599" s="675"/>
      <c r="AI599" s="675"/>
    </row>
    <row r="600" spans="1:35" s="536" customFormat="1" ht="12" x14ac:dyDescent="0.2">
      <c r="A600" s="676"/>
      <c r="B600" s="655"/>
      <c r="C600" s="1822" t="s">
        <v>2064</v>
      </c>
      <c r="D600" s="1822"/>
      <c r="E600" s="1822"/>
      <c r="F600" s="1822"/>
      <c r="G600" s="1822"/>
      <c r="H600" s="1822"/>
      <c r="I600" s="1822"/>
      <c r="J600" s="1822"/>
      <c r="K600" s="1822"/>
      <c r="L600" s="1822"/>
      <c r="M600" s="1822"/>
      <c r="N600" s="1827"/>
      <c r="V600" s="674"/>
      <c r="W600" s="675"/>
      <c r="X600" s="537" t="s">
        <v>2064</v>
      </c>
      <c r="AC600" s="675"/>
      <c r="AD600" s="680"/>
      <c r="AE600" s="675"/>
      <c r="AG600" s="675"/>
      <c r="AI600" s="675"/>
    </row>
    <row r="601" spans="1:35" s="536" customFormat="1" ht="78.75" x14ac:dyDescent="0.2">
      <c r="A601" s="575" t="s">
        <v>789</v>
      </c>
      <c r="B601" s="657" t="s">
        <v>2065</v>
      </c>
      <c r="C601" s="1823" t="s">
        <v>2066</v>
      </c>
      <c r="D601" s="1823"/>
      <c r="E601" s="1823"/>
      <c r="F601" s="573" t="s">
        <v>201</v>
      </c>
      <c r="G601" s="573"/>
      <c r="H601" s="573"/>
      <c r="I601" s="573" t="s">
        <v>2067</v>
      </c>
      <c r="J601" s="572">
        <v>127.09</v>
      </c>
      <c r="K601" s="573"/>
      <c r="L601" s="572">
        <v>8.64</v>
      </c>
      <c r="M601" s="571"/>
      <c r="N601" s="570"/>
      <c r="V601" s="674"/>
      <c r="W601" s="675" t="s">
        <v>2066</v>
      </c>
      <c r="AC601" s="675"/>
      <c r="AD601" s="680"/>
      <c r="AE601" s="675"/>
      <c r="AG601" s="675"/>
      <c r="AI601" s="675"/>
    </row>
    <row r="602" spans="1:35" s="536" customFormat="1" ht="12" x14ac:dyDescent="0.2">
      <c r="A602" s="569"/>
      <c r="B602" s="656"/>
      <c r="C602" s="661" t="s">
        <v>209</v>
      </c>
      <c r="D602" s="662"/>
      <c r="E602" s="662"/>
      <c r="F602" s="563"/>
      <c r="G602" s="563"/>
      <c r="H602" s="563"/>
      <c r="I602" s="563"/>
      <c r="J602" s="566"/>
      <c r="K602" s="563"/>
      <c r="L602" s="566"/>
      <c r="M602" s="565"/>
      <c r="N602" s="564"/>
      <c r="V602" s="674"/>
      <c r="W602" s="675"/>
      <c r="AC602" s="675"/>
      <c r="AD602" s="680"/>
      <c r="AE602" s="675"/>
      <c r="AG602" s="675"/>
      <c r="AI602" s="675"/>
    </row>
    <row r="603" spans="1:35" s="536" customFormat="1" ht="1.5" customHeight="1" x14ac:dyDescent="0.2">
      <c r="A603" s="563"/>
      <c r="B603" s="656"/>
      <c r="C603" s="656"/>
      <c r="D603" s="656"/>
      <c r="E603" s="656"/>
      <c r="F603" s="563"/>
      <c r="G603" s="563"/>
      <c r="H603" s="563"/>
      <c r="I603" s="563"/>
      <c r="J603" s="546"/>
      <c r="K603" s="563"/>
      <c r="L603" s="546"/>
      <c r="M603" s="562"/>
      <c r="N603" s="546"/>
      <c r="V603" s="674"/>
      <c r="W603" s="675"/>
      <c r="AC603" s="675"/>
      <c r="AD603" s="680"/>
      <c r="AE603" s="675"/>
      <c r="AG603" s="675"/>
      <c r="AI603" s="675"/>
    </row>
    <row r="604" spans="1:35" s="536" customFormat="1" ht="22.5" x14ac:dyDescent="0.2">
      <c r="A604" s="557"/>
      <c r="B604" s="556"/>
      <c r="C604" s="1823" t="s">
        <v>2068</v>
      </c>
      <c r="D604" s="1823"/>
      <c r="E604" s="1823"/>
      <c r="F604" s="1823"/>
      <c r="G604" s="1823"/>
      <c r="H604" s="1823"/>
      <c r="I604" s="1823"/>
      <c r="J604" s="1823"/>
      <c r="K604" s="1823"/>
      <c r="L604" s="555"/>
      <c r="M604" s="554"/>
      <c r="N604" s="553"/>
      <c r="V604" s="674"/>
      <c r="W604" s="675"/>
      <c r="AC604" s="675"/>
      <c r="AD604" s="680"/>
      <c r="AE604" s="675" t="s">
        <v>2068</v>
      </c>
      <c r="AG604" s="675"/>
      <c r="AI604" s="675"/>
    </row>
    <row r="605" spans="1:35" s="536" customFormat="1" ht="12" x14ac:dyDescent="0.2">
      <c r="A605" s="548"/>
      <c r="B605" s="552"/>
      <c r="C605" s="1822" t="s">
        <v>403</v>
      </c>
      <c r="D605" s="1822"/>
      <c r="E605" s="1822"/>
      <c r="F605" s="1822"/>
      <c r="G605" s="1822"/>
      <c r="H605" s="1822"/>
      <c r="I605" s="1822"/>
      <c r="J605" s="1822"/>
      <c r="K605" s="1822"/>
      <c r="L605" s="551">
        <v>962.61</v>
      </c>
      <c r="M605" s="550"/>
      <c r="N605" s="549"/>
      <c r="V605" s="674"/>
      <c r="W605" s="675"/>
      <c r="AC605" s="675"/>
      <c r="AD605" s="680"/>
      <c r="AE605" s="675"/>
      <c r="AF605" s="537" t="s">
        <v>403</v>
      </c>
      <c r="AG605" s="675"/>
      <c r="AI605" s="675"/>
    </row>
    <row r="606" spans="1:35" s="536" customFormat="1" ht="12" x14ac:dyDescent="0.2">
      <c r="A606" s="548"/>
      <c r="B606" s="552"/>
      <c r="C606" s="1822" t="s">
        <v>204</v>
      </c>
      <c r="D606" s="1822"/>
      <c r="E606" s="1822"/>
      <c r="F606" s="1822"/>
      <c r="G606" s="1822"/>
      <c r="H606" s="1822"/>
      <c r="I606" s="1822"/>
      <c r="J606" s="1822"/>
      <c r="K606" s="1822"/>
      <c r="L606" s="551"/>
      <c r="M606" s="550"/>
      <c r="N606" s="549"/>
      <c r="V606" s="674"/>
      <c r="W606" s="675"/>
      <c r="AC606" s="675"/>
      <c r="AD606" s="680"/>
      <c r="AE606" s="675"/>
      <c r="AF606" s="537" t="s">
        <v>204</v>
      </c>
      <c r="AG606" s="675"/>
      <c r="AI606" s="675"/>
    </row>
    <row r="607" spans="1:35" s="536" customFormat="1" ht="12" x14ac:dyDescent="0.2">
      <c r="A607" s="548"/>
      <c r="B607" s="552"/>
      <c r="C607" s="1822" t="s">
        <v>480</v>
      </c>
      <c r="D607" s="1822"/>
      <c r="E607" s="1822"/>
      <c r="F607" s="1822"/>
      <c r="G607" s="1822"/>
      <c r="H607" s="1822"/>
      <c r="I607" s="1822"/>
      <c r="J607" s="1822"/>
      <c r="K607" s="1822"/>
      <c r="L607" s="551">
        <v>962.61</v>
      </c>
      <c r="M607" s="550"/>
      <c r="N607" s="549"/>
      <c r="V607" s="674"/>
      <c r="W607" s="675"/>
      <c r="AC607" s="675"/>
      <c r="AD607" s="680"/>
      <c r="AE607" s="675"/>
      <c r="AF607" s="537" t="s">
        <v>480</v>
      </c>
      <c r="AG607" s="675"/>
      <c r="AI607" s="675"/>
    </row>
    <row r="608" spans="1:35" s="536" customFormat="1" ht="12" x14ac:dyDescent="0.2">
      <c r="A608" s="548"/>
      <c r="B608" s="552"/>
      <c r="C608" s="1822" t="s">
        <v>407</v>
      </c>
      <c r="D608" s="1822"/>
      <c r="E608" s="1822"/>
      <c r="F608" s="1822"/>
      <c r="G608" s="1822"/>
      <c r="H608" s="1822"/>
      <c r="I608" s="1822"/>
      <c r="J608" s="1822"/>
      <c r="K608" s="1822"/>
      <c r="L608" s="551">
        <v>962.61</v>
      </c>
      <c r="M608" s="550"/>
      <c r="N608" s="549"/>
      <c r="V608" s="674"/>
      <c r="W608" s="675"/>
      <c r="AC608" s="675"/>
      <c r="AD608" s="680"/>
      <c r="AE608" s="675"/>
      <c r="AF608" s="537" t="s">
        <v>407</v>
      </c>
      <c r="AG608" s="675"/>
      <c r="AI608" s="675"/>
    </row>
    <row r="609" spans="1:37" s="536" customFormat="1" ht="12" x14ac:dyDescent="0.2">
      <c r="A609" s="548"/>
      <c r="B609" s="552"/>
      <c r="C609" s="1822" t="s">
        <v>204</v>
      </c>
      <c r="D609" s="1822"/>
      <c r="E609" s="1822"/>
      <c r="F609" s="1822"/>
      <c r="G609" s="1822"/>
      <c r="H609" s="1822"/>
      <c r="I609" s="1822"/>
      <c r="J609" s="1822"/>
      <c r="K609" s="1822"/>
      <c r="L609" s="551"/>
      <c r="M609" s="550"/>
      <c r="N609" s="549"/>
      <c r="V609" s="674"/>
      <c r="W609" s="675"/>
      <c r="AC609" s="675"/>
      <c r="AD609" s="680"/>
      <c r="AE609" s="675"/>
      <c r="AF609" s="537" t="s">
        <v>204</v>
      </c>
      <c r="AG609" s="675"/>
      <c r="AI609" s="675"/>
    </row>
    <row r="610" spans="1:37" s="536" customFormat="1" ht="12" x14ac:dyDescent="0.2">
      <c r="A610" s="548"/>
      <c r="B610" s="552"/>
      <c r="C610" s="1822" t="s">
        <v>547</v>
      </c>
      <c r="D610" s="1822"/>
      <c r="E610" s="1822"/>
      <c r="F610" s="1822"/>
      <c r="G610" s="1822"/>
      <c r="H610" s="1822"/>
      <c r="I610" s="1822"/>
      <c r="J610" s="1822"/>
      <c r="K610" s="1822"/>
      <c r="L610" s="551">
        <v>962.61</v>
      </c>
      <c r="M610" s="550"/>
      <c r="N610" s="549"/>
      <c r="V610" s="674"/>
      <c r="W610" s="675"/>
      <c r="AC610" s="675"/>
      <c r="AD610" s="680"/>
      <c r="AE610" s="675"/>
      <c r="AF610" s="537" t="s">
        <v>547</v>
      </c>
      <c r="AG610" s="675"/>
      <c r="AI610" s="675"/>
    </row>
    <row r="611" spans="1:37" s="536" customFormat="1" ht="22.5" x14ac:dyDescent="0.2">
      <c r="A611" s="548"/>
      <c r="B611" s="546"/>
      <c r="C611" s="1819" t="s">
        <v>2069</v>
      </c>
      <c r="D611" s="1819"/>
      <c r="E611" s="1819"/>
      <c r="F611" s="1819"/>
      <c r="G611" s="1819"/>
      <c r="H611" s="1819"/>
      <c r="I611" s="1819"/>
      <c r="J611" s="1819"/>
      <c r="K611" s="1819"/>
      <c r="L611" s="544">
        <v>962.61</v>
      </c>
      <c r="M611" s="543"/>
      <c r="N611" s="681"/>
      <c r="V611" s="674"/>
      <c r="W611" s="675"/>
      <c r="AC611" s="675"/>
      <c r="AD611" s="680"/>
      <c r="AE611" s="675"/>
      <c r="AG611" s="675" t="s">
        <v>2069</v>
      </c>
      <c r="AI611" s="675"/>
    </row>
    <row r="612" spans="1:37" s="536" customFormat="1" ht="2.25" customHeight="1" x14ac:dyDescent="0.2">
      <c r="B612" s="561"/>
      <c r="C612" s="561"/>
      <c r="D612" s="561"/>
      <c r="E612" s="561"/>
      <c r="F612" s="561"/>
      <c r="G612" s="561"/>
      <c r="H612" s="561"/>
      <c r="I612" s="561"/>
      <c r="J612" s="561"/>
      <c r="K612" s="561"/>
      <c r="L612" s="560"/>
      <c r="M612" s="559"/>
      <c r="N612" s="558"/>
    </row>
    <row r="613" spans="1:37" s="536" customFormat="1" x14ac:dyDescent="0.2">
      <c r="A613" s="557"/>
      <c r="B613" s="556"/>
      <c r="C613" s="1823" t="s">
        <v>205</v>
      </c>
      <c r="D613" s="1823"/>
      <c r="E613" s="1823"/>
      <c r="F613" s="1823"/>
      <c r="G613" s="1823"/>
      <c r="H613" s="1823"/>
      <c r="I613" s="1823"/>
      <c r="J613" s="1823"/>
      <c r="K613" s="1823"/>
      <c r="L613" s="555"/>
      <c r="M613" s="554"/>
      <c r="N613" s="553"/>
      <c r="AJ613" s="675" t="s">
        <v>205</v>
      </c>
    </row>
    <row r="614" spans="1:37" s="536" customFormat="1" x14ac:dyDescent="0.2">
      <c r="A614" s="548"/>
      <c r="B614" s="552"/>
      <c r="C614" s="1822" t="s">
        <v>403</v>
      </c>
      <c r="D614" s="1822"/>
      <c r="E614" s="1822"/>
      <c r="F614" s="1822"/>
      <c r="G614" s="1822"/>
      <c r="H614" s="1822"/>
      <c r="I614" s="1822"/>
      <c r="J614" s="1822"/>
      <c r="K614" s="1822"/>
      <c r="L614" s="551">
        <v>264130.13</v>
      </c>
      <c r="M614" s="550"/>
      <c r="N614" s="549"/>
      <c r="AJ614" s="675"/>
      <c r="AK614" s="537" t="s">
        <v>403</v>
      </c>
    </row>
    <row r="615" spans="1:37" s="536" customFormat="1" x14ac:dyDescent="0.2">
      <c r="A615" s="548"/>
      <c r="B615" s="552"/>
      <c r="C615" s="1822" t="s">
        <v>204</v>
      </c>
      <c r="D615" s="1822"/>
      <c r="E615" s="1822"/>
      <c r="F615" s="1822"/>
      <c r="G615" s="1822"/>
      <c r="H615" s="1822"/>
      <c r="I615" s="1822"/>
      <c r="J615" s="1822"/>
      <c r="K615" s="1822"/>
      <c r="L615" s="551"/>
      <c r="M615" s="550"/>
      <c r="N615" s="549"/>
      <c r="AJ615" s="675"/>
      <c r="AK615" s="537" t="s">
        <v>204</v>
      </c>
    </row>
    <row r="616" spans="1:37" s="536" customFormat="1" x14ac:dyDescent="0.2">
      <c r="A616" s="548"/>
      <c r="B616" s="552"/>
      <c r="C616" s="1822" t="s">
        <v>404</v>
      </c>
      <c r="D616" s="1822"/>
      <c r="E616" s="1822"/>
      <c r="F616" s="1822"/>
      <c r="G616" s="1822"/>
      <c r="H616" s="1822"/>
      <c r="I616" s="1822"/>
      <c r="J616" s="1822"/>
      <c r="K616" s="1822"/>
      <c r="L616" s="551">
        <v>29035.31</v>
      </c>
      <c r="M616" s="550"/>
      <c r="N616" s="549"/>
      <c r="AJ616" s="675"/>
      <c r="AK616" s="537" t="s">
        <v>404</v>
      </c>
    </row>
    <row r="617" spans="1:37" s="536" customFormat="1" x14ac:dyDescent="0.2">
      <c r="A617" s="548"/>
      <c r="B617" s="552"/>
      <c r="C617" s="1822" t="s">
        <v>405</v>
      </c>
      <c r="D617" s="1822"/>
      <c r="E617" s="1822"/>
      <c r="F617" s="1822"/>
      <c r="G617" s="1822"/>
      <c r="H617" s="1822"/>
      <c r="I617" s="1822"/>
      <c r="J617" s="1822"/>
      <c r="K617" s="1822"/>
      <c r="L617" s="551">
        <v>14350.44</v>
      </c>
      <c r="M617" s="550"/>
      <c r="N617" s="549"/>
      <c r="AJ617" s="675"/>
      <c r="AK617" s="537" t="s">
        <v>405</v>
      </c>
    </row>
    <row r="618" spans="1:37" s="536" customFormat="1" x14ac:dyDescent="0.2">
      <c r="A618" s="548"/>
      <c r="B618" s="552"/>
      <c r="C618" s="1822" t="s">
        <v>406</v>
      </c>
      <c r="D618" s="1822"/>
      <c r="E618" s="1822"/>
      <c r="F618" s="1822"/>
      <c r="G618" s="1822"/>
      <c r="H618" s="1822"/>
      <c r="I618" s="1822"/>
      <c r="J618" s="1822"/>
      <c r="K618" s="1822"/>
      <c r="L618" s="551">
        <v>1467.09</v>
      </c>
      <c r="M618" s="550"/>
      <c r="N618" s="549"/>
      <c r="AJ618" s="675"/>
      <c r="AK618" s="537" t="s">
        <v>406</v>
      </c>
    </row>
    <row r="619" spans="1:37" s="536" customFormat="1" x14ac:dyDescent="0.2">
      <c r="A619" s="548"/>
      <c r="B619" s="552"/>
      <c r="C619" s="1822" t="s">
        <v>480</v>
      </c>
      <c r="D619" s="1822"/>
      <c r="E619" s="1822"/>
      <c r="F619" s="1822"/>
      <c r="G619" s="1822"/>
      <c r="H619" s="1822"/>
      <c r="I619" s="1822"/>
      <c r="J619" s="1822"/>
      <c r="K619" s="1822"/>
      <c r="L619" s="551">
        <v>220744.38</v>
      </c>
      <c r="M619" s="550"/>
      <c r="N619" s="549"/>
      <c r="AJ619" s="675"/>
      <c r="AK619" s="537" t="s">
        <v>480</v>
      </c>
    </row>
    <row r="620" spans="1:37" s="536" customFormat="1" x14ac:dyDescent="0.2">
      <c r="A620" s="548"/>
      <c r="B620" s="552" t="s">
        <v>185</v>
      </c>
      <c r="C620" s="1822" t="s">
        <v>407</v>
      </c>
      <c r="D620" s="1822"/>
      <c r="E620" s="1822"/>
      <c r="F620" s="1822"/>
      <c r="G620" s="1822"/>
      <c r="H620" s="1822"/>
      <c r="I620" s="1822"/>
      <c r="J620" s="1822"/>
      <c r="K620" s="1822"/>
      <c r="L620" s="551">
        <v>269155.59999999998</v>
      </c>
      <c r="M620" s="550">
        <v>8.32</v>
      </c>
      <c r="N620" s="549">
        <v>2239375</v>
      </c>
      <c r="AJ620" s="675"/>
      <c r="AK620" s="537" t="s">
        <v>407</v>
      </c>
    </row>
    <row r="621" spans="1:37" s="536" customFormat="1" x14ac:dyDescent="0.2">
      <c r="A621" s="548"/>
      <c r="B621" s="552"/>
      <c r="C621" s="1822" t="s">
        <v>204</v>
      </c>
      <c r="D621" s="1822"/>
      <c r="E621" s="1822"/>
      <c r="F621" s="1822"/>
      <c r="G621" s="1822"/>
      <c r="H621" s="1822"/>
      <c r="I621" s="1822"/>
      <c r="J621" s="1822"/>
      <c r="K621" s="1822"/>
      <c r="L621" s="551"/>
      <c r="M621" s="550"/>
      <c r="N621" s="549"/>
      <c r="AJ621" s="675"/>
      <c r="AK621" s="537" t="s">
        <v>204</v>
      </c>
    </row>
    <row r="622" spans="1:37" s="536" customFormat="1" x14ac:dyDescent="0.2">
      <c r="A622" s="548"/>
      <c r="B622" s="552"/>
      <c r="C622" s="1822" t="s">
        <v>546</v>
      </c>
      <c r="D622" s="1822"/>
      <c r="E622" s="1822"/>
      <c r="F622" s="1822"/>
      <c r="G622" s="1822"/>
      <c r="H622" s="1822"/>
      <c r="I622" s="1822"/>
      <c r="J622" s="1822"/>
      <c r="K622" s="1822"/>
      <c r="L622" s="551">
        <v>21291.06</v>
      </c>
      <c r="M622" s="550"/>
      <c r="N622" s="549"/>
      <c r="AJ622" s="675"/>
      <c r="AK622" s="537" t="s">
        <v>546</v>
      </c>
    </row>
    <row r="623" spans="1:37" s="536" customFormat="1" x14ac:dyDescent="0.2">
      <c r="A623" s="548"/>
      <c r="B623" s="552"/>
      <c r="C623" s="1822" t="s">
        <v>442</v>
      </c>
      <c r="D623" s="1822"/>
      <c r="E623" s="1822"/>
      <c r="F623" s="1822"/>
      <c r="G623" s="1822"/>
      <c r="H623" s="1822"/>
      <c r="I623" s="1822"/>
      <c r="J623" s="1822"/>
      <c r="K623" s="1822"/>
      <c r="L623" s="551">
        <v>7502.46</v>
      </c>
      <c r="M623" s="550"/>
      <c r="N623" s="549"/>
      <c r="AJ623" s="675"/>
      <c r="AK623" s="537" t="s">
        <v>442</v>
      </c>
    </row>
    <row r="624" spans="1:37" s="536" customFormat="1" x14ac:dyDescent="0.2">
      <c r="A624" s="548"/>
      <c r="B624" s="552"/>
      <c r="C624" s="1822" t="s">
        <v>547</v>
      </c>
      <c r="D624" s="1822"/>
      <c r="E624" s="1822"/>
      <c r="F624" s="1822"/>
      <c r="G624" s="1822"/>
      <c r="H624" s="1822"/>
      <c r="I624" s="1822"/>
      <c r="J624" s="1822"/>
      <c r="K624" s="1822"/>
      <c r="L624" s="551">
        <v>206089.22</v>
      </c>
      <c r="M624" s="550"/>
      <c r="N624" s="549"/>
      <c r="AJ624" s="675"/>
      <c r="AK624" s="537" t="s">
        <v>547</v>
      </c>
    </row>
    <row r="625" spans="1:38" x14ac:dyDescent="0.2">
      <c r="A625" s="548"/>
      <c r="B625" s="552"/>
      <c r="C625" s="1822" t="s">
        <v>443</v>
      </c>
      <c r="D625" s="1822"/>
      <c r="E625" s="1822"/>
      <c r="F625" s="1822"/>
      <c r="G625" s="1822"/>
      <c r="H625" s="1822"/>
      <c r="I625" s="1822"/>
      <c r="J625" s="1822"/>
      <c r="K625" s="1822"/>
      <c r="L625" s="551">
        <v>22518.69</v>
      </c>
      <c r="M625" s="550"/>
      <c r="N625" s="549"/>
      <c r="P625" s="536"/>
      <c r="Q625" s="536"/>
      <c r="R625" s="536"/>
      <c r="S625" s="536"/>
      <c r="T625" s="536"/>
      <c r="U625" s="536"/>
      <c r="V625" s="536"/>
      <c r="W625" s="536"/>
      <c r="X625" s="536"/>
      <c r="Y625" s="536"/>
      <c r="Z625" s="536"/>
      <c r="AA625" s="536"/>
      <c r="AB625" s="536"/>
      <c r="AC625" s="536"/>
      <c r="AD625" s="536"/>
      <c r="AE625" s="536"/>
      <c r="AF625" s="536"/>
      <c r="AG625" s="536"/>
      <c r="AH625" s="536"/>
      <c r="AI625" s="536"/>
      <c r="AJ625" s="675"/>
      <c r="AK625" s="537" t="s">
        <v>443</v>
      </c>
      <c r="AL625" s="536"/>
    </row>
    <row r="626" spans="1:38" x14ac:dyDescent="0.2">
      <c r="A626" s="548"/>
      <c r="B626" s="552"/>
      <c r="C626" s="1822" t="s">
        <v>444</v>
      </c>
      <c r="D626" s="1822"/>
      <c r="E626" s="1822"/>
      <c r="F626" s="1822"/>
      <c r="G626" s="1822"/>
      <c r="H626" s="1822"/>
      <c r="I626" s="1822"/>
      <c r="J626" s="1822"/>
      <c r="K626" s="1822"/>
      <c r="L626" s="551">
        <v>11754.17</v>
      </c>
      <c r="M626" s="550"/>
      <c r="N626" s="549"/>
      <c r="P626" s="536"/>
      <c r="Q626" s="536"/>
      <c r="R626" s="536"/>
      <c r="S626" s="536"/>
      <c r="T626" s="536"/>
      <c r="U626" s="536"/>
      <c r="V626" s="536"/>
      <c r="W626" s="536"/>
      <c r="X626" s="536"/>
      <c r="Y626" s="536"/>
      <c r="Z626" s="536"/>
      <c r="AA626" s="536"/>
      <c r="AB626" s="536"/>
      <c r="AC626" s="536"/>
      <c r="AD626" s="536"/>
      <c r="AE626" s="536"/>
      <c r="AF626" s="536"/>
      <c r="AG626" s="536"/>
      <c r="AH626" s="536"/>
      <c r="AI626" s="536"/>
      <c r="AJ626" s="675"/>
      <c r="AK626" s="537" t="s">
        <v>444</v>
      </c>
      <c r="AL626" s="536"/>
    </row>
    <row r="627" spans="1:38" x14ac:dyDescent="0.2">
      <c r="A627" s="548"/>
      <c r="B627" s="552" t="s">
        <v>185</v>
      </c>
      <c r="C627" s="1822" t="s">
        <v>753</v>
      </c>
      <c r="D627" s="1822"/>
      <c r="E627" s="1822"/>
      <c r="F627" s="1822"/>
      <c r="G627" s="1822"/>
      <c r="H627" s="1822"/>
      <c r="I627" s="1822"/>
      <c r="J627" s="1822"/>
      <c r="K627" s="1822"/>
      <c r="L627" s="551">
        <v>41277.17</v>
      </c>
      <c r="M627" s="550">
        <v>8.32</v>
      </c>
      <c r="N627" s="549">
        <v>343426</v>
      </c>
      <c r="P627" s="536"/>
      <c r="Q627" s="536"/>
      <c r="R627" s="536"/>
      <c r="S627" s="536"/>
      <c r="T627" s="536"/>
      <c r="U627" s="536"/>
      <c r="V627" s="536"/>
      <c r="W627" s="536"/>
      <c r="X627" s="536"/>
      <c r="Y627" s="536"/>
      <c r="Z627" s="536"/>
      <c r="AA627" s="536"/>
      <c r="AB627" s="536"/>
      <c r="AC627" s="536"/>
      <c r="AD627" s="536"/>
      <c r="AE627" s="536"/>
      <c r="AF627" s="536"/>
      <c r="AG627" s="536"/>
      <c r="AH627" s="536"/>
      <c r="AI627" s="536"/>
      <c r="AJ627" s="675"/>
      <c r="AK627" s="537" t="s">
        <v>753</v>
      </c>
      <c r="AL627" s="536"/>
    </row>
    <row r="628" spans="1:38" x14ac:dyDescent="0.2">
      <c r="A628" s="548"/>
      <c r="B628" s="552"/>
      <c r="C628" s="1822" t="s">
        <v>204</v>
      </c>
      <c r="D628" s="1822"/>
      <c r="E628" s="1822"/>
      <c r="F628" s="1822"/>
      <c r="G628" s="1822"/>
      <c r="H628" s="1822"/>
      <c r="I628" s="1822"/>
      <c r="J628" s="1822"/>
      <c r="K628" s="1822"/>
      <c r="L628" s="551"/>
      <c r="M628" s="550"/>
      <c r="N628" s="549"/>
      <c r="P628" s="536"/>
      <c r="Q628" s="536"/>
      <c r="R628" s="536"/>
      <c r="S628" s="536"/>
      <c r="T628" s="536"/>
      <c r="U628" s="536"/>
      <c r="V628" s="536"/>
      <c r="W628" s="536"/>
      <c r="X628" s="536"/>
      <c r="Y628" s="536"/>
      <c r="Z628" s="536"/>
      <c r="AA628" s="536"/>
      <c r="AB628" s="536"/>
      <c r="AC628" s="536"/>
      <c r="AD628" s="536"/>
      <c r="AE628" s="536"/>
      <c r="AF628" s="536"/>
      <c r="AG628" s="536"/>
      <c r="AH628" s="536"/>
      <c r="AI628" s="536"/>
      <c r="AJ628" s="675"/>
      <c r="AK628" s="537" t="s">
        <v>204</v>
      </c>
      <c r="AL628" s="536"/>
    </row>
    <row r="629" spans="1:38" x14ac:dyDescent="0.2">
      <c r="A629" s="548"/>
      <c r="B629" s="552"/>
      <c r="C629" s="1822" t="s">
        <v>546</v>
      </c>
      <c r="D629" s="1822"/>
      <c r="E629" s="1822"/>
      <c r="F629" s="1822"/>
      <c r="G629" s="1822"/>
      <c r="H629" s="1822"/>
      <c r="I629" s="1822"/>
      <c r="J629" s="1822"/>
      <c r="K629" s="1822"/>
      <c r="L629" s="551">
        <v>7744.25</v>
      </c>
      <c r="M629" s="550"/>
      <c r="N629" s="549"/>
      <c r="P629" s="536"/>
      <c r="Q629" s="536"/>
      <c r="R629" s="536"/>
      <c r="S629" s="536"/>
      <c r="T629" s="536"/>
      <c r="U629" s="536"/>
      <c r="V629" s="536"/>
      <c r="W629" s="536"/>
      <c r="X629" s="536"/>
      <c r="Y629" s="536"/>
      <c r="Z629" s="536"/>
      <c r="AA629" s="536"/>
      <c r="AB629" s="536"/>
      <c r="AC629" s="536"/>
      <c r="AD629" s="536"/>
      <c r="AE629" s="536"/>
      <c r="AF629" s="536"/>
      <c r="AG629" s="536"/>
      <c r="AH629" s="536"/>
      <c r="AI629" s="536"/>
      <c r="AJ629" s="675"/>
      <c r="AK629" s="537" t="s">
        <v>546</v>
      </c>
      <c r="AL629" s="536"/>
    </row>
    <row r="630" spans="1:38" x14ac:dyDescent="0.2">
      <c r="A630" s="548"/>
      <c r="B630" s="552"/>
      <c r="C630" s="1822" t="s">
        <v>442</v>
      </c>
      <c r="D630" s="1822"/>
      <c r="E630" s="1822"/>
      <c r="F630" s="1822"/>
      <c r="G630" s="1822"/>
      <c r="H630" s="1822"/>
      <c r="I630" s="1822"/>
      <c r="J630" s="1822"/>
      <c r="K630" s="1822"/>
      <c r="L630" s="551">
        <v>6847.98</v>
      </c>
      <c r="M630" s="550"/>
      <c r="N630" s="549"/>
      <c r="P630" s="536"/>
      <c r="Q630" s="536"/>
      <c r="R630" s="536"/>
      <c r="S630" s="536"/>
      <c r="T630" s="536"/>
      <c r="U630" s="536"/>
      <c r="V630" s="536"/>
      <c r="W630" s="536"/>
      <c r="X630" s="536"/>
      <c r="Y630" s="536"/>
      <c r="Z630" s="536"/>
      <c r="AA630" s="536"/>
      <c r="AB630" s="536"/>
      <c r="AC630" s="536"/>
      <c r="AD630" s="536"/>
      <c r="AE630" s="536"/>
      <c r="AF630" s="536"/>
      <c r="AG630" s="536"/>
      <c r="AH630" s="536"/>
      <c r="AI630" s="536"/>
      <c r="AJ630" s="675"/>
      <c r="AK630" s="537" t="s">
        <v>442</v>
      </c>
      <c r="AL630" s="536"/>
    </row>
    <row r="631" spans="1:38" x14ac:dyDescent="0.2">
      <c r="A631" s="548"/>
      <c r="B631" s="552"/>
      <c r="C631" s="1822" t="s">
        <v>547</v>
      </c>
      <c r="D631" s="1822"/>
      <c r="E631" s="1822"/>
      <c r="F631" s="1822"/>
      <c r="G631" s="1822"/>
      <c r="H631" s="1822"/>
      <c r="I631" s="1822"/>
      <c r="J631" s="1822"/>
      <c r="K631" s="1822"/>
      <c r="L631" s="551">
        <v>14655.16</v>
      </c>
      <c r="M631" s="550"/>
      <c r="N631" s="549"/>
      <c r="P631" s="536"/>
      <c r="Q631" s="536"/>
      <c r="R631" s="536"/>
      <c r="S631" s="536"/>
      <c r="T631" s="536"/>
      <c r="U631" s="536"/>
      <c r="V631" s="536"/>
      <c r="W631" s="536"/>
      <c r="X631" s="536"/>
      <c r="Y631" s="536"/>
      <c r="Z631" s="536"/>
      <c r="AA631" s="536"/>
      <c r="AB631" s="536"/>
      <c r="AC631" s="536"/>
      <c r="AD631" s="536"/>
      <c r="AE631" s="536"/>
      <c r="AF631" s="536"/>
      <c r="AG631" s="536"/>
      <c r="AH631" s="536"/>
      <c r="AI631" s="536"/>
      <c r="AJ631" s="675"/>
      <c r="AK631" s="537" t="s">
        <v>547</v>
      </c>
      <c r="AL631" s="536"/>
    </row>
    <row r="632" spans="1:38" x14ac:dyDescent="0.2">
      <c r="A632" s="548"/>
      <c r="B632" s="552"/>
      <c r="C632" s="1822" t="s">
        <v>443</v>
      </c>
      <c r="D632" s="1822"/>
      <c r="E632" s="1822"/>
      <c r="F632" s="1822"/>
      <c r="G632" s="1822"/>
      <c r="H632" s="1822"/>
      <c r="I632" s="1822"/>
      <c r="J632" s="1822"/>
      <c r="K632" s="1822"/>
      <c r="L632" s="551">
        <v>7849.22</v>
      </c>
      <c r="M632" s="550"/>
      <c r="N632" s="549"/>
      <c r="P632" s="536"/>
      <c r="Q632" s="536"/>
      <c r="R632" s="536"/>
      <c r="S632" s="536"/>
      <c r="T632" s="536"/>
      <c r="U632" s="536"/>
      <c r="V632" s="536"/>
      <c r="W632" s="536"/>
      <c r="X632" s="536"/>
      <c r="Y632" s="536"/>
      <c r="Z632" s="536"/>
      <c r="AA632" s="536"/>
      <c r="AB632" s="536"/>
      <c r="AC632" s="536"/>
      <c r="AD632" s="536"/>
      <c r="AE632" s="536"/>
      <c r="AF632" s="536"/>
      <c r="AG632" s="536"/>
      <c r="AH632" s="536"/>
      <c r="AI632" s="536"/>
      <c r="AJ632" s="675"/>
      <c r="AK632" s="537" t="s">
        <v>443</v>
      </c>
      <c r="AL632" s="536"/>
    </row>
    <row r="633" spans="1:38" x14ac:dyDescent="0.2">
      <c r="A633" s="548"/>
      <c r="B633" s="552"/>
      <c r="C633" s="1822" t="s">
        <v>444</v>
      </c>
      <c r="D633" s="1822"/>
      <c r="E633" s="1822"/>
      <c r="F633" s="1822"/>
      <c r="G633" s="1822"/>
      <c r="H633" s="1822"/>
      <c r="I633" s="1822"/>
      <c r="J633" s="1822"/>
      <c r="K633" s="1822"/>
      <c r="L633" s="551">
        <v>4180.5600000000004</v>
      </c>
      <c r="M633" s="550"/>
      <c r="N633" s="549"/>
      <c r="P633" s="536"/>
      <c r="Q633" s="536"/>
      <c r="R633" s="536"/>
      <c r="S633" s="536"/>
      <c r="T633" s="536"/>
      <c r="U633" s="536"/>
      <c r="V633" s="536"/>
      <c r="W633" s="536"/>
      <c r="X633" s="536"/>
      <c r="Y633" s="536"/>
      <c r="Z633" s="536"/>
      <c r="AA633" s="536"/>
      <c r="AB633" s="536"/>
      <c r="AC633" s="536"/>
      <c r="AD633" s="536"/>
      <c r="AE633" s="536"/>
      <c r="AF633" s="536"/>
      <c r="AG633" s="536"/>
      <c r="AH633" s="536"/>
      <c r="AI633" s="536"/>
      <c r="AJ633" s="675"/>
      <c r="AK633" s="537" t="s">
        <v>444</v>
      </c>
      <c r="AL633" s="536"/>
    </row>
    <row r="634" spans="1:38" x14ac:dyDescent="0.2">
      <c r="A634" s="548"/>
      <c r="B634" s="552" t="s">
        <v>186</v>
      </c>
      <c r="C634" s="1822" t="s">
        <v>754</v>
      </c>
      <c r="D634" s="1822"/>
      <c r="E634" s="1822"/>
      <c r="F634" s="1822"/>
      <c r="G634" s="1822"/>
      <c r="H634" s="1822"/>
      <c r="I634" s="1822"/>
      <c r="J634" s="1822"/>
      <c r="K634" s="1822"/>
      <c r="L634" s="551">
        <v>778144.88</v>
      </c>
      <c r="M634" s="550">
        <v>4.59</v>
      </c>
      <c r="N634" s="549">
        <v>3571685</v>
      </c>
      <c r="P634" s="536"/>
      <c r="Q634" s="536"/>
      <c r="R634" s="536"/>
      <c r="S634" s="536"/>
      <c r="T634" s="536"/>
      <c r="U634" s="536"/>
      <c r="V634" s="536"/>
      <c r="W634" s="536"/>
      <c r="X634" s="536"/>
      <c r="Y634" s="536"/>
      <c r="Z634" s="536"/>
      <c r="AA634" s="536"/>
      <c r="AB634" s="536"/>
      <c r="AC634" s="536"/>
      <c r="AD634" s="536"/>
      <c r="AE634" s="536"/>
      <c r="AF634" s="536"/>
      <c r="AG634" s="536"/>
      <c r="AH634" s="536"/>
      <c r="AI634" s="536"/>
      <c r="AJ634" s="675"/>
      <c r="AK634" s="537" t="s">
        <v>754</v>
      </c>
      <c r="AL634" s="536"/>
    </row>
    <row r="635" spans="1:38" x14ac:dyDescent="0.2">
      <c r="A635" s="548"/>
      <c r="B635" s="552"/>
      <c r="C635" s="1822" t="s">
        <v>415</v>
      </c>
      <c r="D635" s="1822"/>
      <c r="E635" s="1822"/>
      <c r="F635" s="1822"/>
      <c r="G635" s="1822"/>
      <c r="H635" s="1822"/>
      <c r="I635" s="1822"/>
      <c r="J635" s="1822"/>
      <c r="K635" s="1822"/>
      <c r="L635" s="551">
        <v>30502.400000000001</v>
      </c>
      <c r="M635" s="550"/>
      <c r="N635" s="549"/>
      <c r="P635" s="536"/>
      <c r="Q635" s="536"/>
      <c r="R635" s="536"/>
      <c r="S635" s="536"/>
      <c r="T635" s="536"/>
      <c r="U635" s="536"/>
      <c r="V635" s="536"/>
      <c r="W635" s="536"/>
      <c r="X635" s="536"/>
      <c r="Y635" s="536"/>
      <c r="Z635" s="536"/>
      <c r="AA635" s="536"/>
      <c r="AB635" s="536"/>
      <c r="AC635" s="536"/>
      <c r="AD635" s="536"/>
      <c r="AE635" s="536"/>
      <c r="AF635" s="536"/>
      <c r="AG635" s="536"/>
      <c r="AH635" s="536"/>
      <c r="AI635" s="536"/>
      <c r="AJ635" s="675"/>
      <c r="AK635" s="537" t="s">
        <v>415</v>
      </c>
      <c r="AL635" s="536"/>
    </row>
    <row r="636" spans="1:38" x14ac:dyDescent="0.2">
      <c r="A636" s="548"/>
      <c r="B636" s="552"/>
      <c r="C636" s="1822" t="s">
        <v>416</v>
      </c>
      <c r="D636" s="1822"/>
      <c r="E636" s="1822"/>
      <c r="F636" s="1822"/>
      <c r="G636" s="1822"/>
      <c r="H636" s="1822"/>
      <c r="I636" s="1822"/>
      <c r="J636" s="1822"/>
      <c r="K636" s="1822"/>
      <c r="L636" s="551">
        <v>30367.91</v>
      </c>
      <c r="M636" s="550"/>
      <c r="N636" s="549"/>
      <c r="P636" s="536"/>
      <c r="Q636" s="536"/>
      <c r="R636" s="536"/>
      <c r="S636" s="536"/>
      <c r="T636" s="536"/>
      <c r="U636" s="536"/>
      <c r="V636" s="536"/>
      <c r="W636" s="536"/>
      <c r="X636" s="536"/>
      <c r="Y636" s="536"/>
      <c r="Z636" s="536"/>
      <c r="AA636" s="536"/>
      <c r="AB636" s="536"/>
      <c r="AC636" s="536"/>
      <c r="AD636" s="536"/>
      <c r="AE636" s="536"/>
      <c r="AF636" s="536"/>
      <c r="AG636" s="536"/>
      <c r="AH636" s="536"/>
      <c r="AI636" s="536"/>
      <c r="AJ636" s="675"/>
      <c r="AK636" s="537" t="s">
        <v>416</v>
      </c>
      <c r="AL636" s="536"/>
    </row>
    <row r="637" spans="1:38" x14ac:dyDescent="0.2">
      <c r="A637" s="548"/>
      <c r="B637" s="552"/>
      <c r="C637" s="1822" t="s">
        <v>417</v>
      </c>
      <c r="D637" s="1822"/>
      <c r="E637" s="1822"/>
      <c r="F637" s="1822"/>
      <c r="G637" s="1822"/>
      <c r="H637" s="1822"/>
      <c r="I637" s="1822"/>
      <c r="J637" s="1822"/>
      <c r="K637" s="1822"/>
      <c r="L637" s="551">
        <v>15934.73</v>
      </c>
      <c r="M637" s="550"/>
      <c r="N637" s="549"/>
      <c r="P637" s="536"/>
      <c r="Q637" s="536"/>
      <c r="R637" s="536"/>
      <c r="S637" s="536"/>
      <c r="T637" s="536"/>
      <c r="U637" s="536"/>
      <c r="V637" s="536"/>
      <c r="W637" s="536"/>
      <c r="X637" s="536"/>
      <c r="Y637" s="536"/>
      <c r="Z637" s="536"/>
      <c r="AA637" s="536"/>
      <c r="AB637" s="536"/>
      <c r="AC637" s="536"/>
      <c r="AD637" s="536"/>
      <c r="AE637" s="536"/>
      <c r="AF637" s="536"/>
      <c r="AG637" s="536"/>
      <c r="AH637" s="536"/>
      <c r="AI637" s="536"/>
      <c r="AJ637" s="675"/>
      <c r="AK637" s="537" t="s">
        <v>417</v>
      </c>
      <c r="AL637" s="536"/>
    </row>
    <row r="638" spans="1:38" x14ac:dyDescent="0.2">
      <c r="A638" s="548"/>
      <c r="B638" s="546"/>
      <c r="C638" s="1819" t="s">
        <v>206</v>
      </c>
      <c r="D638" s="1819"/>
      <c r="E638" s="1819"/>
      <c r="F638" s="1819"/>
      <c r="G638" s="1819"/>
      <c r="H638" s="1819"/>
      <c r="I638" s="1819"/>
      <c r="J638" s="1819"/>
      <c r="K638" s="1819"/>
      <c r="L638" s="544">
        <v>1088577.6499999999</v>
      </c>
      <c r="M638" s="543"/>
      <c r="N638" s="547">
        <v>6154486</v>
      </c>
      <c r="P638" s="536"/>
      <c r="Q638" s="536"/>
      <c r="R638" s="536"/>
      <c r="S638" s="536"/>
      <c r="T638" s="536"/>
      <c r="U638" s="536"/>
      <c r="V638" s="536"/>
      <c r="W638" s="536"/>
      <c r="X638" s="536"/>
      <c r="Y638" s="536"/>
      <c r="Z638" s="536"/>
      <c r="AA638" s="536"/>
      <c r="AB638" s="536"/>
      <c r="AC638" s="536"/>
      <c r="AD638" s="536"/>
      <c r="AE638" s="536"/>
      <c r="AF638" s="536"/>
      <c r="AG638" s="536"/>
      <c r="AH638" s="536"/>
      <c r="AI638" s="536"/>
      <c r="AJ638" s="675"/>
      <c r="AK638" s="536"/>
      <c r="AL638" s="675" t="s">
        <v>206</v>
      </c>
    </row>
    <row r="639" spans="1:38" x14ac:dyDescent="0.2">
      <c r="A639" s="548"/>
      <c r="B639" s="552"/>
      <c r="C639" s="1822" t="s">
        <v>204</v>
      </c>
      <c r="D639" s="1822"/>
      <c r="E639" s="1822"/>
      <c r="F639" s="1822"/>
      <c r="G639" s="1822"/>
      <c r="H639" s="1822"/>
      <c r="I639" s="1822"/>
      <c r="J639" s="1822"/>
      <c r="K639" s="1822"/>
      <c r="L639" s="551"/>
      <c r="M639" s="550"/>
      <c r="N639" s="549"/>
      <c r="P639" s="536"/>
      <c r="Q639" s="536"/>
      <c r="R639" s="536"/>
      <c r="S639" s="536"/>
      <c r="T639" s="536"/>
      <c r="U639" s="536"/>
      <c r="V639" s="536"/>
      <c r="W639" s="536"/>
      <c r="X639" s="536"/>
      <c r="Y639" s="536"/>
      <c r="Z639" s="536"/>
      <c r="AA639" s="536"/>
      <c r="AB639" s="536"/>
      <c r="AC639" s="536"/>
      <c r="AD639" s="536"/>
      <c r="AE639" s="536"/>
      <c r="AF639" s="536"/>
      <c r="AG639" s="536"/>
      <c r="AH639" s="536"/>
      <c r="AI639" s="536"/>
      <c r="AJ639" s="675"/>
      <c r="AK639" s="537" t="s">
        <v>204</v>
      </c>
      <c r="AL639" s="675"/>
    </row>
    <row r="640" spans="1:38" x14ac:dyDescent="0.2">
      <c r="A640" s="548"/>
      <c r="B640" s="552"/>
      <c r="C640" s="1822" t="s">
        <v>8095</v>
      </c>
      <c r="D640" s="1822"/>
      <c r="E640" s="1822"/>
      <c r="F640" s="1822"/>
      <c r="G640" s="1822"/>
      <c r="H640" s="1822"/>
      <c r="I640" s="1822"/>
      <c r="J640" s="1822"/>
      <c r="K640" s="1822"/>
      <c r="L640" s="551">
        <v>12659.38</v>
      </c>
      <c r="M640" s="550"/>
      <c r="N640" s="549">
        <v>105326</v>
      </c>
      <c r="P640" s="536"/>
      <c r="Q640" s="536"/>
      <c r="R640" s="536"/>
      <c r="S640" s="536"/>
      <c r="T640" s="536"/>
      <c r="U640" s="536"/>
      <c r="V640" s="536"/>
      <c r="W640" s="536"/>
      <c r="X640" s="536"/>
      <c r="Y640" s="536"/>
      <c r="Z640" s="536"/>
      <c r="AA640" s="536"/>
      <c r="AB640" s="536"/>
      <c r="AC640" s="536"/>
      <c r="AD640" s="536"/>
      <c r="AE640" s="536"/>
      <c r="AF640" s="536"/>
      <c r="AG640" s="536"/>
      <c r="AH640" s="536"/>
      <c r="AI640" s="536"/>
      <c r="AJ640" s="675"/>
      <c r="AK640" s="537" t="s">
        <v>8095</v>
      </c>
      <c r="AL640" s="675"/>
    </row>
    <row r="641" spans="1:38" x14ac:dyDescent="0.2">
      <c r="A641" s="548"/>
      <c r="B641" s="552"/>
      <c r="C641" s="1822" t="s">
        <v>8097</v>
      </c>
      <c r="D641" s="1822"/>
      <c r="E641" s="1822"/>
      <c r="F641" s="1822"/>
      <c r="G641" s="1822"/>
      <c r="H641" s="1822"/>
      <c r="I641" s="1822"/>
      <c r="J641" s="1822"/>
      <c r="K641" s="1822"/>
      <c r="L641" s="551"/>
      <c r="M641" s="550"/>
      <c r="N641" s="549">
        <v>3571685</v>
      </c>
      <c r="P641" s="536"/>
      <c r="Q641" s="536"/>
      <c r="R641" s="536"/>
      <c r="S641" s="536"/>
      <c r="T641" s="536"/>
      <c r="U641" s="536"/>
      <c r="V641" s="536"/>
      <c r="W641" s="536"/>
      <c r="X641" s="536"/>
      <c r="Y641" s="536"/>
      <c r="Z641" s="536"/>
      <c r="AA641" s="536"/>
      <c r="AB641" s="536"/>
      <c r="AC641" s="536"/>
      <c r="AD641" s="536"/>
      <c r="AE641" s="536"/>
      <c r="AF641" s="536"/>
      <c r="AG641" s="536"/>
      <c r="AH641" s="536"/>
      <c r="AI641" s="536"/>
      <c r="AJ641" s="675"/>
      <c r="AK641" s="537" t="s">
        <v>8097</v>
      </c>
      <c r="AL641" s="675"/>
    </row>
    <row r="642" spans="1:38" ht="1.5" customHeight="1" x14ac:dyDescent="0.2">
      <c r="B642" s="546"/>
      <c r="C642" s="656"/>
      <c r="D642" s="656"/>
      <c r="E642" s="656"/>
      <c r="F642" s="656"/>
      <c r="G642" s="656"/>
      <c r="H642" s="656"/>
      <c r="I642" s="656"/>
      <c r="J642" s="656"/>
      <c r="K642" s="656"/>
      <c r="L642" s="544"/>
      <c r="M642" s="543"/>
      <c r="N642" s="542"/>
      <c r="P642" s="536"/>
      <c r="Q642" s="536"/>
      <c r="R642" s="536"/>
      <c r="S642" s="536"/>
      <c r="T642" s="536"/>
      <c r="U642" s="536"/>
      <c r="V642" s="536"/>
      <c r="W642" s="536"/>
      <c r="X642" s="536"/>
      <c r="Y642" s="536"/>
      <c r="Z642" s="536"/>
      <c r="AA642" s="536"/>
      <c r="AB642" s="536"/>
      <c r="AC642" s="536"/>
      <c r="AD642" s="536"/>
      <c r="AE642" s="536"/>
      <c r="AF642" s="536"/>
      <c r="AG642" s="536"/>
      <c r="AH642" s="536"/>
      <c r="AI642" s="536"/>
      <c r="AJ642" s="536"/>
      <c r="AK642" s="536"/>
      <c r="AL642" s="536"/>
    </row>
    <row r="643" spans="1:38" ht="53.25" customHeight="1" x14ac:dyDescent="0.2">
      <c r="A643" s="541"/>
      <c r="B643" s="541"/>
      <c r="C643" s="541"/>
      <c r="D643" s="541"/>
      <c r="E643" s="541"/>
      <c r="F643" s="541"/>
      <c r="G643" s="541"/>
      <c r="H643" s="541"/>
      <c r="I643" s="541"/>
      <c r="J643" s="541"/>
      <c r="K643" s="541"/>
      <c r="L643" s="541"/>
      <c r="M643" s="541"/>
      <c r="N643" s="541"/>
      <c r="P643" s="536"/>
      <c r="Q643" s="536"/>
      <c r="R643" s="536"/>
      <c r="S643" s="536"/>
      <c r="T643" s="536"/>
      <c r="U643" s="536"/>
      <c r="V643" s="536"/>
      <c r="W643" s="536"/>
      <c r="X643" s="536"/>
      <c r="Y643" s="536"/>
      <c r="Z643" s="536"/>
      <c r="AA643" s="536"/>
      <c r="AB643" s="536"/>
      <c r="AC643" s="536"/>
      <c r="AD643" s="536"/>
      <c r="AE643" s="536"/>
      <c r="AF643" s="536"/>
      <c r="AG643" s="536"/>
      <c r="AH643" s="536"/>
      <c r="AI643" s="536"/>
      <c r="AJ643" s="536"/>
      <c r="AK643" s="536"/>
      <c r="AL643" s="536"/>
    </row>
    <row r="644" spans="1:38" x14ac:dyDescent="0.2">
      <c r="B644" s="539" t="s">
        <v>149</v>
      </c>
      <c r="C644" s="1943"/>
      <c r="D644" s="1943"/>
      <c r="E644" s="1943"/>
      <c r="F644" s="1943"/>
      <c r="G644" s="1943"/>
      <c r="H644" s="1943"/>
      <c r="I644" s="1943"/>
      <c r="J644" s="1943"/>
      <c r="K644" s="1943"/>
      <c r="L644" s="1943"/>
    </row>
    <row r="645" spans="1:38" ht="13.5" customHeight="1" x14ac:dyDescent="0.2">
      <c r="B645" s="540"/>
      <c r="C645" s="1821" t="s">
        <v>150</v>
      </c>
      <c r="D645" s="1821"/>
      <c r="E645" s="1821"/>
      <c r="F645" s="1821"/>
      <c r="G645" s="1821"/>
      <c r="H645" s="1821"/>
      <c r="I645" s="1821"/>
      <c r="J645" s="1821"/>
      <c r="K645" s="1821"/>
      <c r="L645" s="1821"/>
    </row>
    <row r="646" spans="1:38" ht="12.75" customHeight="1" x14ac:dyDescent="0.2">
      <c r="B646" s="539" t="s">
        <v>151</v>
      </c>
      <c r="C646" s="1943"/>
      <c r="D646" s="1943"/>
      <c r="E646" s="1943"/>
      <c r="F646" s="1943"/>
      <c r="G646" s="1943"/>
      <c r="H646" s="1943"/>
      <c r="I646" s="1943"/>
      <c r="J646" s="1943"/>
      <c r="K646" s="1943"/>
      <c r="L646" s="1943"/>
    </row>
    <row r="647" spans="1:38" ht="13.5" customHeight="1" x14ac:dyDescent="0.2">
      <c r="C647" s="1821" t="s">
        <v>150</v>
      </c>
      <c r="D647" s="1821"/>
      <c r="E647" s="1821"/>
      <c r="F647" s="1821"/>
      <c r="G647" s="1821"/>
      <c r="H647" s="1821"/>
      <c r="I647" s="1821"/>
      <c r="J647" s="1821"/>
      <c r="K647" s="1821"/>
      <c r="L647" s="1821"/>
    </row>
    <row r="649" spans="1:38" x14ac:dyDescent="0.2">
      <c r="B649" s="538"/>
      <c r="D649" s="538"/>
      <c r="F649" s="538"/>
      <c r="P649" s="536"/>
      <c r="Q649" s="536"/>
      <c r="R649" s="536"/>
      <c r="S649" s="536"/>
      <c r="T649" s="536"/>
      <c r="U649" s="536"/>
      <c r="V649" s="536"/>
      <c r="W649" s="536"/>
      <c r="X649" s="536"/>
      <c r="Y649" s="536"/>
      <c r="Z649" s="536"/>
      <c r="AA649" s="536"/>
      <c r="AB649" s="536"/>
      <c r="AC649" s="536"/>
      <c r="AD649" s="536"/>
      <c r="AE649" s="536"/>
      <c r="AF649" s="536"/>
      <c r="AG649" s="536"/>
      <c r="AH649" s="536"/>
      <c r="AI649" s="536"/>
      <c r="AJ649" s="536"/>
      <c r="AK649" s="536"/>
      <c r="AL649" s="536"/>
    </row>
  </sheetData>
  <mergeCells count="592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7:E47"/>
    <mergeCell ref="C48:E48"/>
    <mergeCell ref="C49:E49"/>
    <mergeCell ref="C50:E50"/>
    <mergeCell ref="C51:E51"/>
    <mergeCell ref="C52:E52"/>
    <mergeCell ref="C41:N41"/>
    <mergeCell ref="C42:N42"/>
    <mergeCell ref="C43:E43"/>
    <mergeCell ref="C44:E44"/>
    <mergeCell ref="C45:E45"/>
    <mergeCell ref="C46:E46"/>
    <mergeCell ref="C60:E60"/>
    <mergeCell ref="C61:E61"/>
    <mergeCell ref="C62:E62"/>
    <mergeCell ref="C63:E63"/>
    <mergeCell ref="C64:E64"/>
    <mergeCell ref="C65:E65"/>
    <mergeCell ref="C53:E53"/>
    <mergeCell ref="C54:E54"/>
    <mergeCell ref="C56:N56"/>
    <mergeCell ref="C57:E57"/>
    <mergeCell ref="C58:N58"/>
    <mergeCell ref="C59:N59"/>
    <mergeCell ref="C73:N73"/>
    <mergeCell ref="C74:E74"/>
    <mergeCell ref="C75:N75"/>
    <mergeCell ref="C76:N76"/>
    <mergeCell ref="C77:E77"/>
    <mergeCell ref="C78:E78"/>
    <mergeCell ref="C66:E66"/>
    <mergeCell ref="C67:E67"/>
    <mergeCell ref="C68:E68"/>
    <mergeCell ref="C69:E69"/>
    <mergeCell ref="C70:E70"/>
    <mergeCell ref="C71:E71"/>
    <mergeCell ref="C85:E85"/>
    <mergeCell ref="C86:E86"/>
    <mergeCell ref="C87:E87"/>
    <mergeCell ref="C88:E88"/>
    <mergeCell ref="C89:E89"/>
    <mergeCell ref="C90:E90"/>
    <mergeCell ref="C79:E79"/>
    <mergeCell ref="C80:E80"/>
    <mergeCell ref="C81:E81"/>
    <mergeCell ref="C82:E82"/>
    <mergeCell ref="C83:E83"/>
    <mergeCell ref="C84:E84"/>
    <mergeCell ref="C97:E97"/>
    <mergeCell ref="C98:E98"/>
    <mergeCell ref="C99:E99"/>
    <mergeCell ref="C100:E100"/>
    <mergeCell ref="C101:E101"/>
    <mergeCell ref="C102:E102"/>
    <mergeCell ref="C91:N91"/>
    <mergeCell ref="C92:N92"/>
    <mergeCell ref="C93:N93"/>
    <mergeCell ref="C94:E94"/>
    <mergeCell ref="C95:E95"/>
    <mergeCell ref="C96:E96"/>
    <mergeCell ref="C110:E110"/>
    <mergeCell ref="C111:E111"/>
    <mergeCell ref="C112:E112"/>
    <mergeCell ref="C113:E113"/>
    <mergeCell ref="C114:E114"/>
    <mergeCell ref="C115:E115"/>
    <mergeCell ref="C103:E103"/>
    <mergeCell ref="C104:E104"/>
    <mergeCell ref="C106:N106"/>
    <mergeCell ref="C107:E107"/>
    <mergeCell ref="C108:N108"/>
    <mergeCell ref="C109:N109"/>
    <mergeCell ref="C122:E122"/>
    <mergeCell ref="C123:E123"/>
    <mergeCell ref="C126:K126"/>
    <mergeCell ref="C127:K127"/>
    <mergeCell ref="C128:K128"/>
    <mergeCell ref="C129:K129"/>
    <mergeCell ref="C116:E116"/>
    <mergeCell ref="C117:E117"/>
    <mergeCell ref="C118:E118"/>
    <mergeCell ref="C119:E119"/>
    <mergeCell ref="C120:E120"/>
    <mergeCell ref="C121:E121"/>
    <mergeCell ref="C136:K136"/>
    <mergeCell ref="C137:K137"/>
    <mergeCell ref="C138:K138"/>
    <mergeCell ref="C139:K139"/>
    <mergeCell ref="C140:K140"/>
    <mergeCell ref="C141:K141"/>
    <mergeCell ref="C130:K130"/>
    <mergeCell ref="C131:K131"/>
    <mergeCell ref="C132:K132"/>
    <mergeCell ref="C133:K133"/>
    <mergeCell ref="C134:K134"/>
    <mergeCell ref="C135:K135"/>
    <mergeCell ref="C148:N148"/>
    <mergeCell ref="C149:N149"/>
    <mergeCell ref="C150:E150"/>
    <mergeCell ref="C151:E151"/>
    <mergeCell ref="C152:E152"/>
    <mergeCell ref="C153:E153"/>
    <mergeCell ref="C142:K142"/>
    <mergeCell ref="C143:K143"/>
    <mergeCell ref="C144:K144"/>
    <mergeCell ref="C145:K145"/>
    <mergeCell ref="A146:N146"/>
    <mergeCell ref="C147:E147"/>
    <mergeCell ref="C160:E160"/>
    <mergeCell ref="C161:E161"/>
    <mergeCell ref="C163:N163"/>
    <mergeCell ref="C164:E164"/>
    <mergeCell ref="C165:N165"/>
    <mergeCell ref="C166:N166"/>
    <mergeCell ref="C154:E154"/>
    <mergeCell ref="C155:E155"/>
    <mergeCell ref="C156:E156"/>
    <mergeCell ref="C157:E157"/>
    <mergeCell ref="C158:E158"/>
    <mergeCell ref="C159:E159"/>
    <mergeCell ref="C173:E173"/>
    <mergeCell ref="C174:E174"/>
    <mergeCell ref="C175:E175"/>
    <mergeCell ref="C176:E176"/>
    <mergeCell ref="C177:E177"/>
    <mergeCell ref="C178:E178"/>
    <mergeCell ref="C167:E167"/>
    <mergeCell ref="C168:E168"/>
    <mergeCell ref="C169:E169"/>
    <mergeCell ref="C170:E170"/>
    <mergeCell ref="C171:E171"/>
    <mergeCell ref="C172:E172"/>
    <mergeCell ref="C186:E186"/>
    <mergeCell ref="C187:E187"/>
    <mergeCell ref="C188:E188"/>
    <mergeCell ref="C189:E189"/>
    <mergeCell ref="C190:E190"/>
    <mergeCell ref="C191:E191"/>
    <mergeCell ref="C180:N180"/>
    <mergeCell ref="C181:N181"/>
    <mergeCell ref="C182:E182"/>
    <mergeCell ref="C183:N183"/>
    <mergeCell ref="C184:N184"/>
    <mergeCell ref="C185:E185"/>
    <mergeCell ref="C200:E200"/>
    <mergeCell ref="C202:E202"/>
    <mergeCell ref="C204:N204"/>
    <mergeCell ref="C205:N205"/>
    <mergeCell ref="C206:E206"/>
    <mergeCell ref="C207:N207"/>
    <mergeCell ref="C192:E192"/>
    <mergeCell ref="C193:E193"/>
    <mergeCell ref="C194:E194"/>
    <mergeCell ref="C195:E195"/>
    <mergeCell ref="C196:E196"/>
    <mergeCell ref="C198:E198"/>
    <mergeCell ref="C214:E214"/>
    <mergeCell ref="C215:E215"/>
    <mergeCell ref="C216:E216"/>
    <mergeCell ref="C218:E218"/>
    <mergeCell ref="C219:N219"/>
    <mergeCell ref="C220:N220"/>
    <mergeCell ref="C208:E208"/>
    <mergeCell ref="C209:E209"/>
    <mergeCell ref="C210:E210"/>
    <mergeCell ref="C211:E211"/>
    <mergeCell ref="C212:E212"/>
    <mergeCell ref="C213:E213"/>
    <mergeCell ref="C227:E227"/>
    <mergeCell ref="C228:E228"/>
    <mergeCell ref="C229:E229"/>
    <mergeCell ref="C230:E230"/>
    <mergeCell ref="C231:E231"/>
    <mergeCell ref="C233:E233"/>
    <mergeCell ref="C221:E221"/>
    <mergeCell ref="C222:E222"/>
    <mergeCell ref="C223:E223"/>
    <mergeCell ref="C224:E224"/>
    <mergeCell ref="C225:E225"/>
    <mergeCell ref="C226:E226"/>
    <mergeCell ref="C241:E241"/>
    <mergeCell ref="C242:E242"/>
    <mergeCell ref="C243:E243"/>
    <mergeCell ref="C244:E244"/>
    <mergeCell ref="C245:E245"/>
    <mergeCell ref="C246:E246"/>
    <mergeCell ref="C235:E235"/>
    <mergeCell ref="C236:N236"/>
    <mergeCell ref="C237:N237"/>
    <mergeCell ref="C238:E238"/>
    <mergeCell ref="C239:E239"/>
    <mergeCell ref="C240:E240"/>
    <mergeCell ref="C255:E255"/>
    <mergeCell ref="C256:E256"/>
    <mergeCell ref="C257:E257"/>
    <mergeCell ref="C258:E258"/>
    <mergeCell ref="C259:E259"/>
    <mergeCell ref="C260:E260"/>
    <mergeCell ref="C248:E248"/>
    <mergeCell ref="A250:N250"/>
    <mergeCell ref="C251:E251"/>
    <mergeCell ref="C252:N252"/>
    <mergeCell ref="C253:N253"/>
    <mergeCell ref="C254:E254"/>
    <mergeCell ref="C268:N268"/>
    <mergeCell ref="C270:K270"/>
    <mergeCell ref="C271:K271"/>
    <mergeCell ref="C272:K272"/>
    <mergeCell ref="C273:K273"/>
    <mergeCell ref="C274:K274"/>
    <mergeCell ref="C261:E261"/>
    <mergeCell ref="C262:E262"/>
    <mergeCell ref="C263:E263"/>
    <mergeCell ref="C264:E264"/>
    <mergeCell ref="C265:E265"/>
    <mergeCell ref="C267:N267"/>
    <mergeCell ref="C281:K281"/>
    <mergeCell ref="C282:K282"/>
    <mergeCell ref="C283:K283"/>
    <mergeCell ref="C284:K284"/>
    <mergeCell ref="C285:K285"/>
    <mergeCell ref="C286:K286"/>
    <mergeCell ref="C275:K275"/>
    <mergeCell ref="C276:K276"/>
    <mergeCell ref="C277:K277"/>
    <mergeCell ref="C278:K278"/>
    <mergeCell ref="C279:K279"/>
    <mergeCell ref="C280:K280"/>
    <mergeCell ref="C293:N293"/>
    <mergeCell ref="C294:E294"/>
    <mergeCell ref="C295:E295"/>
    <mergeCell ref="C296:E296"/>
    <mergeCell ref="C297:E297"/>
    <mergeCell ref="C298:E298"/>
    <mergeCell ref="C287:K287"/>
    <mergeCell ref="C288:K288"/>
    <mergeCell ref="C289:K289"/>
    <mergeCell ref="A290:N290"/>
    <mergeCell ref="C291:E291"/>
    <mergeCell ref="C292:N292"/>
    <mergeCell ref="C305:E305"/>
    <mergeCell ref="C306:E306"/>
    <mergeCell ref="C307:E307"/>
    <mergeCell ref="C309:E309"/>
    <mergeCell ref="C311:E311"/>
    <mergeCell ref="C312:N312"/>
    <mergeCell ref="C299:E299"/>
    <mergeCell ref="C300:E300"/>
    <mergeCell ref="C301:E301"/>
    <mergeCell ref="C302:E302"/>
    <mergeCell ref="C303:E303"/>
    <mergeCell ref="C304:E304"/>
    <mergeCell ref="C319:E319"/>
    <mergeCell ref="C320:E320"/>
    <mergeCell ref="C321:E321"/>
    <mergeCell ref="C322:E322"/>
    <mergeCell ref="C323:E323"/>
    <mergeCell ref="C324:E324"/>
    <mergeCell ref="C313:N313"/>
    <mergeCell ref="C314:E314"/>
    <mergeCell ref="C315:E315"/>
    <mergeCell ref="C316:E316"/>
    <mergeCell ref="C317:E317"/>
    <mergeCell ref="C318:E318"/>
    <mergeCell ref="C334:K334"/>
    <mergeCell ref="C335:K335"/>
    <mergeCell ref="C336:K336"/>
    <mergeCell ref="C337:K337"/>
    <mergeCell ref="C338:K338"/>
    <mergeCell ref="C339:K339"/>
    <mergeCell ref="C325:E325"/>
    <mergeCell ref="C326:E326"/>
    <mergeCell ref="C327:E327"/>
    <mergeCell ref="C329:E329"/>
    <mergeCell ref="C332:K332"/>
    <mergeCell ref="C333:K333"/>
    <mergeCell ref="C346:K346"/>
    <mergeCell ref="C347:K347"/>
    <mergeCell ref="C348:K348"/>
    <mergeCell ref="C349:K349"/>
    <mergeCell ref="A350:N350"/>
    <mergeCell ref="C351:E351"/>
    <mergeCell ref="C340:K340"/>
    <mergeCell ref="C341:K341"/>
    <mergeCell ref="C342:K342"/>
    <mergeCell ref="C343:K343"/>
    <mergeCell ref="C344:K344"/>
    <mergeCell ref="C345:K345"/>
    <mergeCell ref="C358:E358"/>
    <mergeCell ref="C359:E359"/>
    <mergeCell ref="C360:E360"/>
    <mergeCell ref="C361:E361"/>
    <mergeCell ref="C362:E362"/>
    <mergeCell ref="C363:E363"/>
    <mergeCell ref="C352:N352"/>
    <mergeCell ref="C353:N353"/>
    <mergeCell ref="C354:E354"/>
    <mergeCell ref="C355:E355"/>
    <mergeCell ref="C356:E356"/>
    <mergeCell ref="C357:E357"/>
    <mergeCell ref="C372:E372"/>
    <mergeCell ref="C373:N373"/>
    <mergeCell ref="C374:N374"/>
    <mergeCell ref="C375:E375"/>
    <mergeCell ref="C376:E376"/>
    <mergeCell ref="C377:E377"/>
    <mergeCell ref="C364:E364"/>
    <mergeCell ref="C365:E365"/>
    <mergeCell ref="C366:E366"/>
    <mergeCell ref="C368:N368"/>
    <mergeCell ref="C369:E369"/>
    <mergeCell ref="C371:N371"/>
    <mergeCell ref="C384:E384"/>
    <mergeCell ref="C385:E385"/>
    <mergeCell ref="C386:E386"/>
    <mergeCell ref="C387:E387"/>
    <mergeCell ref="C389:E389"/>
    <mergeCell ref="C390:N390"/>
    <mergeCell ref="C378:E378"/>
    <mergeCell ref="C379:E379"/>
    <mergeCell ref="C380:E380"/>
    <mergeCell ref="C381:E381"/>
    <mergeCell ref="C382:E382"/>
    <mergeCell ref="C383:E383"/>
    <mergeCell ref="C397:E397"/>
    <mergeCell ref="C398:E398"/>
    <mergeCell ref="C399:E399"/>
    <mergeCell ref="C400:E400"/>
    <mergeCell ref="C401:E401"/>
    <mergeCell ref="C402:E402"/>
    <mergeCell ref="C391:N391"/>
    <mergeCell ref="C392:E392"/>
    <mergeCell ref="C393:E393"/>
    <mergeCell ref="C394:E394"/>
    <mergeCell ref="C395:E395"/>
    <mergeCell ref="C396:E396"/>
    <mergeCell ref="C411:K411"/>
    <mergeCell ref="C412:K412"/>
    <mergeCell ref="C413:K413"/>
    <mergeCell ref="C414:K414"/>
    <mergeCell ref="C415:K415"/>
    <mergeCell ref="C416:K416"/>
    <mergeCell ref="C403:E403"/>
    <mergeCell ref="C404:E404"/>
    <mergeCell ref="C407:K407"/>
    <mergeCell ref="C408:K408"/>
    <mergeCell ref="C409:K409"/>
    <mergeCell ref="C410:K410"/>
    <mergeCell ref="C423:K423"/>
    <mergeCell ref="C424:K424"/>
    <mergeCell ref="A425:N425"/>
    <mergeCell ref="C426:E426"/>
    <mergeCell ref="C427:N427"/>
    <mergeCell ref="C428:N428"/>
    <mergeCell ref="C417:K417"/>
    <mergeCell ref="C418:K418"/>
    <mergeCell ref="C419:K419"/>
    <mergeCell ref="C420:K420"/>
    <mergeCell ref="C421:K421"/>
    <mergeCell ref="C422:K422"/>
    <mergeCell ref="C435:E435"/>
    <mergeCell ref="C436:E436"/>
    <mergeCell ref="C437:E437"/>
    <mergeCell ref="C438:E438"/>
    <mergeCell ref="C439:E439"/>
    <mergeCell ref="C440:E440"/>
    <mergeCell ref="C429:E429"/>
    <mergeCell ref="C430:E430"/>
    <mergeCell ref="C431:E431"/>
    <mergeCell ref="C432:E432"/>
    <mergeCell ref="C433:E433"/>
    <mergeCell ref="C434:E434"/>
    <mergeCell ref="C448:E448"/>
    <mergeCell ref="C449:E449"/>
    <mergeCell ref="C450:E450"/>
    <mergeCell ref="C451:E451"/>
    <mergeCell ref="C452:E452"/>
    <mergeCell ref="C453:E453"/>
    <mergeCell ref="C441:E441"/>
    <mergeCell ref="C443:E443"/>
    <mergeCell ref="C444:N444"/>
    <mergeCell ref="C445:N445"/>
    <mergeCell ref="C446:E446"/>
    <mergeCell ref="C447:E447"/>
    <mergeCell ref="C462:K462"/>
    <mergeCell ref="C463:K463"/>
    <mergeCell ref="C464:K464"/>
    <mergeCell ref="C465:K465"/>
    <mergeCell ref="C466:K466"/>
    <mergeCell ref="C467:K467"/>
    <mergeCell ref="C454:E454"/>
    <mergeCell ref="C455:E455"/>
    <mergeCell ref="C456:E456"/>
    <mergeCell ref="C457:E457"/>
    <mergeCell ref="C458:E458"/>
    <mergeCell ref="C460:N460"/>
    <mergeCell ref="C474:K474"/>
    <mergeCell ref="C475:K475"/>
    <mergeCell ref="C476:K476"/>
    <mergeCell ref="C477:K477"/>
    <mergeCell ref="C478:K478"/>
    <mergeCell ref="C479:K479"/>
    <mergeCell ref="C468:K468"/>
    <mergeCell ref="C469:K469"/>
    <mergeCell ref="C470:K470"/>
    <mergeCell ref="C471:K471"/>
    <mergeCell ref="C472:K472"/>
    <mergeCell ref="C473:K473"/>
    <mergeCell ref="C486:E486"/>
    <mergeCell ref="C487:E487"/>
    <mergeCell ref="C488:E488"/>
    <mergeCell ref="C489:E489"/>
    <mergeCell ref="C490:E490"/>
    <mergeCell ref="C491:E491"/>
    <mergeCell ref="C480:K480"/>
    <mergeCell ref="C481:K481"/>
    <mergeCell ref="A482:N482"/>
    <mergeCell ref="C483:E483"/>
    <mergeCell ref="C484:N484"/>
    <mergeCell ref="C485:N485"/>
    <mergeCell ref="C498:E498"/>
    <mergeCell ref="C499:N499"/>
    <mergeCell ref="C500:N500"/>
    <mergeCell ref="C501:N501"/>
    <mergeCell ref="C502:E502"/>
    <mergeCell ref="C503:E503"/>
    <mergeCell ref="C492:E492"/>
    <mergeCell ref="C493:E493"/>
    <mergeCell ref="C494:E494"/>
    <mergeCell ref="C495:E495"/>
    <mergeCell ref="C496:E496"/>
    <mergeCell ref="C497:E497"/>
    <mergeCell ref="C510:E510"/>
    <mergeCell ref="C511:E511"/>
    <mergeCell ref="C512:E512"/>
    <mergeCell ref="C513:E513"/>
    <mergeCell ref="C515:N515"/>
    <mergeCell ref="C516:N516"/>
    <mergeCell ref="C504:E504"/>
    <mergeCell ref="C505:E505"/>
    <mergeCell ref="C506:E506"/>
    <mergeCell ref="C507:E507"/>
    <mergeCell ref="C508:E508"/>
    <mergeCell ref="C509:E509"/>
    <mergeCell ref="C523:E523"/>
    <mergeCell ref="C524:E524"/>
    <mergeCell ref="C525:E525"/>
    <mergeCell ref="C526:E526"/>
    <mergeCell ref="C527:E527"/>
    <mergeCell ref="C528:E528"/>
    <mergeCell ref="C517:E517"/>
    <mergeCell ref="C518:N518"/>
    <mergeCell ref="C519:N519"/>
    <mergeCell ref="C520:E520"/>
    <mergeCell ref="C521:E521"/>
    <mergeCell ref="C522:E522"/>
    <mergeCell ref="C537:K537"/>
    <mergeCell ref="C538:K538"/>
    <mergeCell ref="C539:K539"/>
    <mergeCell ref="C540:K540"/>
    <mergeCell ref="C541:K541"/>
    <mergeCell ref="C542:K542"/>
    <mergeCell ref="C529:E529"/>
    <mergeCell ref="C530:E530"/>
    <mergeCell ref="C531:E531"/>
    <mergeCell ref="C532:E532"/>
    <mergeCell ref="C535:K535"/>
    <mergeCell ref="C536:K536"/>
    <mergeCell ref="C549:K549"/>
    <mergeCell ref="C550:K550"/>
    <mergeCell ref="C551:K551"/>
    <mergeCell ref="C552:K552"/>
    <mergeCell ref="C553:K553"/>
    <mergeCell ref="C554:K554"/>
    <mergeCell ref="C543:K543"/>
    <mergeCell ref="C544:K544"/>
    <mergeCell ref="C545:K545"/>
    <mergeCell ref="C546:K546"/>
    <mergeCell ref="C547:K547"/>
    <mergeCell ref="C548:K548"/>
    <mergeCell ref="C561:E561"/>
    <mergeCell ref="C562:E562"/>
    <mergeCell ref="C563:E563"/>
    <mergeCell ref="C564:E564"/>
    <mergeCell ref="C565:E565"/>
    <mergeCell ref="C566:E566"/>
    <mergeCell ref="A555:N555"/>
    <mergeCell ref="C556:E556"/>
    <mergeCell ref="C557:N557"/>
    <mergeCell ref="C558:E558"/>
    <mergeCell ref="C559:E559"/>
    <mergeCell ref="C560:E560"/>
    <mergeCell ref="C575:K575"/>
    <mergeCell ref="C576:K576"/>
    <mergeCell ref="C577:K577"/>
    <mergeCell ref="C578:K578"/>
    <mergeCell ref="C579:K579"/>
    <mergeCell ref="C580:K580"/>
    <mergeCell ref="C567:E567"/>
    <mergeCell ref="C568:E568"/>
    <mergeCell ref="C569:E569"/>
    <mergeCell ref="C571:N571"/>
    <mergeCell ref="C573:K573"/>
    <mergeCell ref="C574:K574"/>
    <mergeCell ref="C587:K587"/>
    <mergeCell ref="C588:K588"/>
    <mergeCell ref="C589:K589"/>
    <mergeCell ref="C590:K590"/>
    <mergeCell ref="C591:K591"/>
    <mergeCell ref="C592:K592"/>
    <mergeCell ref="C581:K581"/>
    <mergeCell ref="C582:K582"/>
    <mergeCell ref="C583:K583"/>
    <mergeCell ref="C584:K584"/>
    <mergeCell ref="C585:K585"/>
    <mergeCell ref="C586:K586"/>
    <mergeCell ref="C601:E601"/>
    <mergeCell ref="C604:K604"/>
    <mergeCell ref="C605:K605"/>
    <mergeCell ref="C606:K606"/>
    <mergeCell ref="C607:K607"/>
    <mergeCell ref="C608:K608"/>
    <mergeCell ref="C593:K593"/>
    <mergeCell ref="A594:N594"/>
    <mergeCell ref="C595:E595"/>
    <mergeCell ref="C597:N597"/>
    <mergeCell ref="C598:E598"/>
    <mergeCell ref="C600:N600"/>
    <mergeCell ref="C616:K616"/>
    <mergeCell ref="C617:K617"/>
    <mergeCell ref="C618:K618"/>
    <mergeCell ref="C619:K619"/>
    <mergeCell ref="C620:K620"/>
    <mergeCell ref="C621:K621"/>
    <mergeCell ref="C609:K609"/>
    <mergeCell ref="C610:K610"/>
    <mergeCell ref="C611:K611"/>
    <mergeCell ref="C613:K613"/>
    <mergeCell ref="C614:K614"/>
    <mergeCell ref="C615:K615"/>
    <mergeCell ref="C628:K628"/>
    <mergeCell ref="C629:K629"/>
    <mergeCell ref="C630:K630"/>
    <mergeCell ref="C631:K631"/>
    <mergeCell ref="C632:K632"/>
    <mergeCell ref="C633:K633"/>
    <mergeCell ref="C622:K622"/>
    <mergeCell ref="C623:K623"/>
    <mergeCell ref="C624:K624"/>
    <mergeCell ref="C625:K625"/>
    <mergeCell ref="C626:K626"/>
    <mergeCell ref="C627:K627"/>
    <mergeCell ref="C640:K640"/>
    <mergeCell ref="C641:K641"/>
    <mergeCell ref="C644:L644"/>
    <mergeCell ref="C645:L645"/>
    <mergeCell ref="C646:L646"/>
    <mergeCell ref="C647:L647"/>
    <mergeCell ref="C634:K634"/>
    <mergeCell ref="C635:K635"/>
    <mergeCell ref="C636:K636"/>
    <mergeCell ref="C637:K637"/>
    <mergeCell ref="C638:K638"/>
    <mergeCell ref="C639:K639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648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32"/>
  <sheetViews>
    <sheetView topLeftCell="A391" zoomScale="115" zoomScaleNormal="115" workbookViewId="0">
      <selection activeCell="C419" sqref="C419:K419"/>
    </sheetView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7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29" width="34.140625" style="537" hidden="1" customWidth="1"/>
    <col min="30" max="32" width="84.42578125" style="537" hidden="1" customWidth="1"/>
    <col min="33" max="33" width="34.140625" style="537" hidden="1" customWidth="1"/>
    <col min="34" max="34" width="110.140625" style="537" hidden="1" customWidth="1"/>
    <col min="35" max="37" width="84.42578125" style="537" hidden="1" customWidth="1"/>
    <col min="38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1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31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31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2070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58"/>
      <c r="B19" s="658"/>
      <c r="C19" s="658"/>
      <c r="D19" s="658"/>
      <c r="E19" s="658"/>
      <c r="F19" s="658"/>
      <c r="G19" s="658"/>
      <c r="H19" s="658"/>
      <c r="I19" s="658"/>
      <c r="J19" s="658"/>
      <c r="K19" s="658"/>
      <c r="L19" s="658"/>
      <c r="M19" s="658"/>
      <c r="N19" s="658"/>
    </row>
    <row r="20" spans="1:21" s="536" customFormat="1" x14ac:dyDescent="0.2">
      <c r="A20" s="1840" t="s">
        <v>1810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1810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2071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613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3417.38</v>
      </c>
      <c r="D28" s="579" t="s">
        <v>8098</v>
      </c>
      <c r="E28" s="661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1"/>
    </row>
    <row r="30" spans="1:21" s="536" customFormat="1" ht="12.75" customHeight="1" x14ac:dyDescent="0.2">
      <c r="B30" s="536" t="s">
        <v>169</v>
      </c>
      <c r="C30" s="580">
        <v>3417.38</v>
      </c>
      <c r="D30" s="579" t="s">
        <v>8098</v>
      </c>
      <c r="E30" s="661" t="s">
        <v>167</v>
      </c>
      <c r="G30" s="536" t="s">
        <v>170</v>
      </c>
      <c r="L30" s="580">
        <v>0</v>
      </c>
      <c r="M30" s="579" t="s">
        <v>8099</v>
      </c>
      <c r="N30" s="661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661" t="s">
        <v>167</v>
      </c>
      <c r="G31" s="536" t="s">
        <v>172</v>
      </c>
      <c r="L31" s="582"/>
      <c r="M31" s="582">
        <v>1037.02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661" t="s">
        <v>167</v>
      </c>
      <c r="G32" s="536" t="s">
        <v>174</v>
      </c>
      <c r="L32" s="582"/>
      <c r="M32" s="582">
        <v>157.72</v>
      </c>
      <c r="N32" s="581" t="s">
        <v>173</v>
      </c>
    </row>
    <row r="33" spans="1:28" s="536" customFormat="1" ht="12.75" customHeight="1" x14ac:dyDescent="0.2">
      <c r="B33" s="536" t="s">
        <v>147</v>
      </c>
      <c r="C33" s="580">
        <v>0</v>
      </c>
      <c r="D33" s="579" t="s">
        <v>171</v>
      </c>
      <c r="E33" s="661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659" t="s">
        <v>182</v>
      </c>
      <c r="H37" s="659" t="s">
        <v>183</v>
      </c>
      <c r="I37" s="659" t="s">
        <v>184</v>
      </c>
      <c r="J37" s="659" t="s">
        <v>182</v>
      </c>
      <c r="K37" s="659" t="s">
        <v>183</v>
      </c>
      <c r="L37" s="659" t="s">
        <v>148</v>
      </c>
      <c r="M37" s="1833"/>
      <c r="N37" s="1833"/>
    </row>
    <row r="38" spans="1:28" s="536" customFormat="1" x14ac:dyDescent="0.2">
      <c r="A38" s="660">
        <v>1</v>
      </c>
      <c r="B38" s="660">
        <v>2</v>
      </c>
      <c r="C38" s="1834">
        <v>3</v>
      </c>
      <c r="D38" s="1834"/>
      <c r="E38" s="1834"/>
      <c r="F38" s="660">
        <v>4</v>
      </c>
      <c r="G38" s="660">
        <v>5</v>
      </c>
      <c r="H38" s="660">
        <v>6</v>
      </c>
      <c r="I38" s="660">
        <v>7</v>
      </c>
      <c r="J38" s="660">
        <v>8</v>
      </c>
      <c r="K38" s="660">
        <v>9</v>
      </c>
      <c r="L38" s="660">
        <v>10</v>
      </c>
      <c r="M38" s="660">
        <v>11</v>
      </c>
      <c r="N38" s="660">
        <v>12</v>
      </c>
    </row>
    <row r="39" spans="1:28" s="536" customFormat="1" ht="12" x14ac:dyDescent="0.2">
      <c r="A39" s="1824" t="s">
        <v>976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976</v>
      </c>
    </row>
    <row r="40" spans="1:28" s="536" customFormat="1" ht="56.25" x14ac:dyDescent="0.2">
      <c r="A40" s="575" t="s">
        <v>185</v>
      </c>
      <c r="B40" s="657" t="s">
        <v>1349</v>
      </c>
      <c r="C40" s="1823" t="s">
        <v>1350</v>
      </c>
      <c r="D40" s="1823"/>
      <c r="E40" s="1823"/>
      <c r="F40" s="573" t="s">
        <v>455</v>
      </c>
      <c r="G40" s="573"/>
      <c r="H40" s="573"/>
      <c r="I40" s="573" t="s">
        <v>2072</v>
      </c>
      <c r="J40" s="572"/>
      <c r="K40" s="573"/>
      <c r="L40" s="572"/>
      <c r="M40" s="571"/>
      <c r="N40" s="570"/>
      <c r="V40" s="674"/>
      <c r="W40" s="675" t="s">
        <v>1350</v>
      </c>
    </row>
    <row r="41" spans="1:28" s="536" customFormat="1" ht="12" x14ac:dyDescent="0.2">
      <c r="A41" s="676"/>
      <c r="B41" s="655"/>
      <c r="C41" s="1822" t="s">
        <v>2073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2073</v>
      </c>
    </row>
    <row r="42" spans="1:28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Y42" s="537" t="s">
        <v>311</v>
      </c>
    </row>
    <row r="43" spans="1:28" s="536" customFormat="1" ht="12" x14ac:dyDescent="0.2">
      <c r="A43" s="605"/>
      <c r="B43" s="552" t="s">
        <v>186</v>
      </c>
      <c r="C43" s="1822" t="s">
        <v>344</v>
      </c>
      <c r="D43" s="1822"/>
      <c r="E43" s="1822"/>
      <c r="F43" s="562"/>
      <c r="G43" s="562"/>
      <c r="H43" s="562"/>
      <c r="I43" s="562"/>
      <c r="J43" s="604">
        <v>7550.19</v>
      </c>
      <c r="K43" s="562" t="s">
        <v>313</v>
      </c>
      <c r="L43" s="604">
        <v>716.98</v>
      </c>
      <c r="M43" s="603"/>
      <c r="N43" s="602"/>
      <c r="V43" s="674"/>
      <c r="W43" s="675"/>
      <c r="Z43" s="537" t="s">
        <v>344</v>
      </c>
    </row>
    <row r="44" spans="1:28" s="536" customFormat="1" ht="12" x14ac:dyDescent="0.2">
      <c r="A44" s="605"/>
      <c r="B44" s="552" t="s">
        <v>187</v>
      </c>
      <c r="C44" s="1822" t="s">
        <v>345</v>
      </c>
      <c r="D44" s="1822"/>
      <c r="E44" s="1822"/>
      <c r="F44" s="562"/>
      <c r="G44" s="562"/>
      <c r="H44" s="562"/>
      <c r="I44" s="562"/>
      <c r="J44" s="604">
        <v>884.25</v>
      </c>
      <c r="K44" s="562" t="s">
        <v>313</v>
      </c>
      <c r="L44" s="604">
        <v>83.97</v>
      </c>
      <c r="M44" s="603"/>
      <c r="N44" s="602"/>
      <c r="V44" s="674"/>
      <c r="W44" s="675"/>
      <c r="Z44" s="537" t="s">
        <v>345</v>
      </c>
    </row>
    <row r="45" spans="1:28" s="536" customFormat="1" ht="12" x14ac:dyDescent="0.2">
      <c r="A45" s="605"/>
      <c r="B45" s="552"/>
      <c r="C45" s="1822" t="s">
        <v>348</v>
      </c>
      <c r="D45" s="1822"/>
      <c r="E45" s="1822"/>
      <c r="F45" s="562" t="s">
        <v>315</v>
      </c>
      <c r="G45" s="562" t="s">
        <v>1353</v>
      </c>
      <c r="H45" s="562" t="s">
        <v>313</v>
      </c>
      <c r="I45" s="562" t="s">
        <v>2074</v>
      </c>
      <c r="J45" s="604"/>
      <c r="K45" s="562"/>
      <c r="L45" s="604"/>
      <c r="M45" s="603"/>
      <c r="N45" s="602"/>
      <c r="V45" s="674"/>
      <c r="W45" s="675"/>
      <c r="AA45" s="537" t="s">
        <v>348</v>
      </c>
    </row>
    <row r="46" spans="1:28" s="536" customFormat="1" ht="12" x14ac:dyDescent="0.2">
      <c r="A46" s="605"/>
      <c r="B46" s="552"/>
      <c r="C46" s="1828" t="s">
        <v>318</v>
      </c>
      <c r="D46" s="1828"/>
      <c r="E46" s="1828"/>
      <c r="F46" s="608"/>
      <c r="G46" s="608"/>
      <c r="H46" s="608"/>
      <c r="I46" s="608"/>
      <c r="J46" s="607">
        <v>7550.19</v>
      </c>
      <c r="K46" s="608"/>
      <c r="L46" s="607">
        <v>716.98</v>
      </c>
      <c r="M46" s="601"/>
      <c r="N46" s="606"/>
      <c r="V46" s="674"/>
      <c r="W46" s="675"/>
      <c r="AB46" s="537" t="s">
        <v>318</v>
      </c>
    </row>
    <row r="47" spans="1:28" s="536" customFormat="1" ht="12" x14ac:dyDescent="0.2">
      <c r="A47" s="605"/>
      <c r="B47" s="552"/>
      <c r="C47" s="1822" t="s">
        <v>319</v>
      </c>
      <c r="D47" s="1822"/>
      <c r="E47" s="1822"/>
      <c r="F47" s="562"/>
      <c r="G47" s="562"/>
      <c r="H47" s="562"/>
      <c r="I47" s="562"/>
      <c r="J47" s="604"/>
      <c r="K47" s="562"/>
      <c r="L47" s="604">
        <v>83.97</v>
      </c>
      <c r="M47" s="603"/>
      <c r="N47" s="602"/>
      <c r="V47" s="674"/>
      <c r="W47" s="675"/>
      <c r="AA47" s="537" t="s">
        <v>319</v>
      </c>
    </row>
    <row r="48" spans="1:28" s="536" customFormat="1" ht="33.75" x14ac:dyDescent="0.2">
      <c r="A48" s="605"/>
      <c r="B48" s="552" t="s">
        <v>460</v>
      </c>
      <c r="C48" s="1822" t="s">
        <v>461</v>
      </c>
      <c r="D48" s="1822"/>
      <c r="E48" s="1822"/>
      <c r="F48" s="562" t="s">
        <v>322</v>
      </c>
      <c r="G48" s="562" t="s">
        <v>462</v>
      </c>
      <c r="H48" s="562"/>
      <c r="I48" s="562" t="s">
        <v>462</v>
      </c>
      <c r="J48" s="604"/>
      <c r="K48" s="562"/>
      <c r="L48" s="604">
        <v>77.25</v>
      </c>
      <c r="M48" s="603"/>
      <c r="N48" s="602"/>
      <c r="V48" s="674"/>
      <c r="W48" s="675"/>
      <c r="AA48" s="537" t="s">
        <v>461</v>
      </c>
    </row>
    <row r="49" spans="1:29" s="536" customFormat="1" ht="33.75" x14ac:dyDescent="0.2">
      <c r="A49" s="605"/>
      <c r="B49" s="552" t="s">
        <v>463</v>
      </c>
      <c r="C49" s="1822" t="s">
        <v>464</v>
      </c>
      <c r="D49" s="1822"/>
      <c r="E49" s="1822"/>
      <c r="F49" s="562" t="s">
        <v>322</v>
      </c>
      <c r="G49" s="562" t="s">
        <v>465</v>
      </c>
      <c r="H49" s="562"/>
      <c r="I49" s="562" t="s">
        <v>465</v>
      </c>
      <c r="J49" s="604"/>
      <c r="K49" s="562"/>
      <c r="L49" s="604">
        <v>38.630000000000003</v>
      </c>
      <c r="M49" s="603"/>
      <c r="N49" s="602"/>
      <c r="V49" s="674"/>
      <c r="W49" s="675"/>
      <c r="AA49" s="537" t="s">
        <v>464</v>
      </c>
    </row>
    <row r="50" spans="1:29" s="536" customFormat="1" ht="12" x14ac:dyDescent="0.2">
      <c r="A50" s="569"/>
      <c r="B50" s="656"/>
      <c r="C50" s="1823" t="s">
        <v>327</v>
      </c>
      <c r="D50" s="1823"/>
      <c r="E50" s="1823"/>
      <c r="F50" s="573"/>
      <c r="G50" s="573"/>
      <c r="H50" s="573"/>
      <c r="I50" s="573"/>
      <c r="J50" s="572"/>
      <c r="K50" s="573"/>
      <c r="L50" s="572">
        <v>832.86</v>
      </c>
      <c r="M50" s="601"/>
      <c r="N50" s="570"/>
      <c r="V50" s="674"/>
      <c r="W50" s="675"/>
      <c r="AC50" s="675" t="s">
        <v>327</v>
      </c>
    </row>
    <row r="51" spans="1:29" s="536" customFormat="1" ht="45" x14ac:dyDescent="0.2">
      <c r="A51" s="575" t="s">
        <v>186</v>
      </c>
      <c r="B51" s="657" t="s">
        <v>495</v>
      </c>
      <c r="C51" s="1823" t="s">
        <v>496</v>
      </c>
      <c r="D51" s="1823"/>
      <c r="E51" s="1823"/>
      <c r="F51" s="573" t="s">
        <v>455</v>
      </c>
      <c r="G51" s="573"/>
      <c r="H51" s="573"/>
      <c r="I51" s="573" t="s">
        <v>2075</v>
      </c>
      <c r="J51" s="572"/>
      <c r="K51" s="573"/>
      <c r="L51" s="572"/>
      <c r="M51" s="571"/>
      <c r="N51" s="570"/>
      <c r="V51" s="674"/>
      <c r="W51" s="675" t="s">
        <v>496</v>
      </c>
      <c r="AC51" s="675"/>
    </row>
    <row r="52" spans="1:29" s="536" customFormat="1" ht="12" x14ac:dyDescent="0.2">
      <c r="A52" s="676"/>
      <c r="B52" s="655"/>
      <c r="C52" s="1822" t="s">
        <v>2076</v>
      </c>
      <c r="D52" s="1822"/>
      <c r="E52" s="1822"/>
      <c r="F52" s="1822"/>
      <c r="G52" s="1822"/>
      <c r="H52" s="1822"/>
      <c r="I52" s="1822"/>
      <c r="J52" s="1822"/>
      <c r="K52" s="1822"/>
      <c r="L52" s="1822"/>
      <c r="M52" s="1822"/>
      <c r="N52" s="1827"/>
      <c r="V52" s="674"/>
      <c r="W52" s="675"/>
      <c r="X52" s="537" t="s">
        <v>2076</v>
      </c>
      <c r="AC52" s="675"/>
    </row>
    <row r="53" spans="1:29" s="536" customFormat="1" ht="33.75" x14ac:dyDescent="0.2">
      <c r="A53" s="609"/>
      <c r="B53" s="552" t="s">
        <v>310</v>
      </c>
      <c r="C53" s="1822" t="s">
        <v>311</v>
      </c>
      <c r="D53" s="1822"/>
      <c r="E53" s="1822"/>
      <c r="F53" s="1822"/>
      <c r="G53" s="1822"/>
      <c r="H53" s="1822"/>
      <c r="I53" s="1822"/>
      <c r="J53" s="1822"/>
      <c r="K53" s="1822"/>
      <c r="L53" s="1822"/>
      <c r="M53" s="1822"/>
      <c r="N53" s="1827"/>
      <c r="V53" s="674"/>
      <c r="W53" s="675"/>
      <c r="Y53" s="537" t="s">
        <v>311</v>
      </c>
      <c r="AC53" s="675"/>
    </row>
    <row r="54" spans="1:29" s="536" customFormat="1" ht="12" x14ac:dyDescent="0.2">
      <c r="A54" s="605"/>
      <c r="B54" s="552" t="s">
        <v>186</v>
      </c>
      <c r="C54" s="1822" t="s">
        <v>344</v>
      </c>
      <c r="D54" s="1822"/>
      <c r="E54" s="1822"/>
      <c r="F54" s="562"/>
      <c r="G54" s="562"/>
      <c r="H54" s="562"/>
      <c r="I54" s="562"/>
      <c r="J54" s="604">
        <v>5532.96</v>
      </c>
      <c r="K54" s="562" t="s">
        <v>313</v>
      </c>
      <c r="L54" s="604">
        <v>18.329999999999998</v>
      </c>
      <c r="M54" s="603"/>
      <c r="N54" s="602"/>
      <c r="V54" s="674"/>
      <c r="W54" s="675"/>
      <c r="Z54" s="537" t="s">
        <v>344</v>
      </c>
      <c r="AC54" s="675"/>
    </row>
    <row r="55" spans="1:29" s="536" customFormat="1" ht="12" x14ac:dyDescent="0.2">
      <c r="A55" s="605"/>
      <c r="B55" s="552" t="s">
        <v>187</v>
      </c>
      <c r="C55" s="1822" t="s">
        <v>345</v>
      </c>
      <c r="D55" s="1822"/>
      <c r="E55" s="1822"/>
      <c r="F55" s="562"/>
      <c r="G55" s="562"/>
      <c r="H55" s="562"/>
      <c r="I55" s="562"/>
      <c r="J55" s="604">
        <v>648</v>
      </c>
      <c r="K55" s="562" t="s">
        <v>313</v>
      </c>
      <c r="L55" s="604">
        <v>2.15</v>
      </c>
      <c r="M55" s="603"/>
      <c r="N55" s="602"/>
      <c r="V55" s="674"/>
      <c r="W55" s="675"/>
      <c r="Z55" s="537" t="s">
        <v>345</v>
      </c>
      <c r="AC55" s="675"/>
    </row>
    <row r="56" spans="1:29" s="536" customFormat="1" ht="12" x14ac:dyDescent="0.2">
      <c r="A56" s="605"/>
      <c r="B56" s="552"/>
      <c r="C56" s="1822" t="s">
        <v>348</v>
      </c>
      <c r="D56" s="1822"/>
      <c r="E56" s="1822"/>
      <c r="F56" s="562" t="s">
        <v>315</v>
      </c>
      <c r="G56" s="562" t="s">
        <v>501</v>
      </c>
      <c r="H56" s="562" t="s">
        <v>313</v>
      </c>
      <c r="I56" s="562" t="s">
        <v>2077</v>
      </c>
      <c r="J56" s="604"/>
      <c r="K56" s="562"/>
      <c r="L56" s="604"/>
      <c r="M56" s="603"/>
      <c r="N56" s="602"/>
      <c r="V56" s="674"/>
      <c r="W56" s="675"/>
      <c r="AA56" s="537" t="s">
        <v>348</v>
      </c>
      <c r="AC56" s="675"/>
    </row>
    <row r="57" spans="1:29" s="536" customFormat="1" ht="12" x14ac:dyDescent="0.2">
      <c r="A57" s="605"/>
      <c r="B57" s="552"/>
      <c r="C57" s="1828" t="s">
        <v>318</v>
      </c>
      <c r="D57" s="1828"/>
      <c r="E57" s="1828"/>
      <c r="F57" s="608"/>
      <c r="G57" s="608"/>
      <c r="H57" s="608"/>
      <c r="I57" s="608"/>
      <c r="J57" s="607">
        <v>5532.96</v>
      </c>
      <c r="K57" s="608"/>
      <c r="L57" s="607">
        <v>18.329999999999998</v>
      </c>
      <c r="M57" s="601"/>
      <c r="N57" s="606"/>
      <c r="V57" s="674"/>
      <c r="W57" s="675"/>
      <c r="AB57" s="537" t="s">
        <v>318</v>
      </c>
      <c r="AC57" s="675"/>
    </row>
    <row r="58" spans="1:29" s="536" customFormat="1" ht="12" x14ac:dyDescent="0.2">
      <c r="A58" s="605"/>
      <c r="B58" s="552"/>
      <c r="C58" s="1822" t="s">
        <v>319</v>
      </c>
      <c r="D58" s="1822"/>
      <c r="E58" s="1822"/>
      <c r="F58" s="562"/>
      <c r="G58" s="562"/>
      <c r="H58" s="562"/>
      <c r="I58" s="562"/>
      <c r="J58" s="604"/>
      <c r="K58" s="562"/>
      <c r="L58" s="604">
        <v>2.15</v>
      </c>
      <c r="M58" s="603"/>
      <c r="N58" s="602"/>
      <c r="V58" s="674"/>
      <c r="W58" s="675"/>
      <c r="AA58" s="537" t="s">
        <v>319</v>
      </c>
      <c r="AC58" s="675"/>
    </row>
    <row r="59" spans="1:29" s="536" customFormat="1" ht="33.75" x14ac:dyDescent="0.2">
      <c r="A59" s="605"/>
      <c r="B59" s="552" t="s">
        <v>460</v>
      </c>
      <c r="C59" s="1822" t="s">
        <v>461</v>
      </c>
      <c r="D59" s="1822"/>
      <c r="E59" s="1822"/>
      <c r="F59" s="562" t="s">
        <v>322</v>
      </c>
      <c r="G59" s="562" t="s">
        <v>462</v>
      </c>
      <c r="H59" s="562"/>
      <c r="I59" s="562" t="s">
        <v>462</v>
      </c>
      <c r="J59" s="604"/>
      <c r="K59" s="562"/>
      <c r="L59" s="604">
        <v>1.98</v>
      </c>
      <c r="M59" s="603"/>
      <c r="N59" s="602"/>
      <c r="V59" s="674"/>
      <c r="W59" s="675"/>
      <c r="AA59" s="537" t="s">
        <v>461</v>
      </c>
      <c r="AC59" s="675"/>
    </row>
    <row r="60" spans="1:29" s="536" customFormat="1" ht="33.75" x14ac:dyDescent="0.2">
      <c r="A60" s="605"/>
      <c r="B60" s="552" t="s">
        <v>463</v>
      </c>
      <c r="C60" s="1822" t="s">
        <v>464</v>
      </c>
      <c r="D60" s="1822"/>
      <c r="E60" s="1822"/>
      <c r="F60" s="562" t="s">
        <v>322</v>
      </c>
      <c r="G60" s="562" t="s">
        <v>465</v>
      </c>
      <c r="H60" s="562"/>
      <c r="I60" s="562" t="s">
        <v>465</v>
      </c>
      <c r="J60" s="604"/>
      <c r="K60" s="562"/>
      <c r="L60" s="604">
        <v>0.99</v>
      </c>
      <c r="M60" s="603"/>
      <c r="N60" s="602"/>
      <c r="V60" s="674"/>
      <c r="W60" s="675"/>
      <c r="AA60" s="537" t="s">
        <v>464</v>
      </c>
      <c r="AC60" s="675"/>
    </row>
    <row r="61" spans="1:29" s="536" customFormat="1" ht="12" x14ac:dyDescent="0.2">
      <c r="A61" s="569"/>
      <c r="B61" s="656"/>
      <c r="C61" s="1823" t="s">
        <v>327</v>
      </c>
      <c r="D61" s="1823"/>
      <c r="E61" s="1823"/>
      <c r="F61" s="573"/>
      <c r="G61" s="573"/>
      <c r="H61" s="573"/>
      <c r="I61" s="573"/>
      <c r="J61" s="572"/>
      <c r="K61" s="573"/>
      <c r="L61" s="572">
        <v>21.3</v>
      </c>
      <c r="M61" s="601"/>
      <c r="N61" s="570"/>
      <c r="V61" s="674"/>
      <c r="W61" s="675"/>
      <c r="AC61" s="675" t="s">
        <v>327</v>
      </c>
    </row>
    <row r="62" spans="1:29" s="536" customFormat="1" ht="56.25" x14ac:dyDescent="0.2">
      <c r="A62" s="575" t="s">
        <v>187</v>
      </c>
      <c r="B62" s="657" t="s">
        <v>1358</v>
      </c>
      <c r="C62" s="1823" t="s">
        <v>1359</v>
      </c>
      <c r="D62" s="1823"/>
      <c r="E62" s="1823"/>
      <c r="F62" s="573" t="s">
        <v>455</v>
      </c>
      <c r="G62" s="573"/>
      <c r="H62" s="573"/>
      <c r="I62" s="573" t="s">
        <v>2075</v>
      </c>
      <c r="J62" s="572"/>
      <c r="K62" s="573"/>
      <c r="L62" s="572"/>
      <c r="M62" s="571"/>
      <c r="N62" s="570"/>
      <c r="V62" s="674"/>
      <c r="W62" s="675" t="s">
        <v>1359</v>
      </c>
      <c r="AC62" s="675"/>
    </row>
    <row r="63" spans="1:29" s="536" customFormat="1" ht="12" x14ac:dyDescent="0.2">
      <c r="A63" s="676"/>
      <c r="B63" s="655"/>
      <c r="C63" s="1822" t="s">
        <v>2076</v>
      </c>
      <c r="D63" s="1822"/>
      <c r="E63" s="1822"/>
      <c r="F63" s="1822"/>
      <c r="G63" s="1822"/>
      <c r="H63" s="1822"/>
      <c r="I63" s="1822"/>
      <c r="J63" s="1822"/>
      <c r="K63" s="1822"/>
      <c r="L63" s="1822"/>
      <c r="M63" s="1822"/>
      <c r="N63" s="1827"/>
      <c r="V63" s="674"/>
      <c r="W63" s="675"/>
      <c r="X63" s="537" t="s">
        <v>2076</v>
      </c>
      <c r="AC63" s="675"/>
    </row>
    <row r="64" spans="1:29" s="536" customFormat="1" ht="33.75" x14ac:dyDescent="0.2">
      <c r="A64" s="609"/>
      <c r="B64" s="552" t="s">
        <v>310</v>
      </c>
      <c r="C64" s="1822" t="s">
        <v>311</v>
      </c>
      <c r="D64" s="1822"/>
      <c r="E64" s="1822"/>
      <c r="F64" s="1822"/>
      <c r="G64" s="1822"/>
      <c r="H64" s="1822"/>
      <c r="I64" s="1822"/>
      <c r="J64" s="1822"/>
      <c r="K64" s="1822"/>
      <c r="L64" s="1822"/>
      <c r="M64" s="1822"/>
      <c r="N64" s="1827"/>
      <c r="V64" s="674"/>
      <c r="W64" s="675"/>
      <c r="Y64" s="537" t="s">
        <v>311</v>
      </c>
      <c r="AC64" s="675"/>
    </row>
    <row r="65" spans="1:29" s="536" customFormat="1" ht="12" x14ac:dyDescent="0.2">
      <c r="A65" s="605"/>
      <c r="B65" s="552" t="s">
        <v>186</v>
      </c>
      <c r="C65" s="1822" t="s">
        <v>344</v>
      </c>
      <c r="D65" s="1822"/>
      <c r="E65" s="1822"/>
      <c r="F65" s="562"/>
      <c r="G65" s="562"/>
      <c r="H65" s="562"/>
      <c r="I65" s="562"/>
      <c r="J65" s="604">
        <v>4264.99</v>
      </c>
      <c r="K65" s="562" t="s">
        <v>313</v>
      </c>
      <c r="L65" s="604">
        <v>14.13</v>
      </c>
      <c r="M65" s="603"/>
      <c r="N65" s="602"/>
      <c r="V65" s="674"/>
      <c r="W65" s="675"/>
      <c r="Z65" s="537" t="s">
        <v>344</v>
      </c>
      <c r="AC65" s="675"/>
    </row>
    <row r="66" spans="1:29" s="536" customFormat="1" ht="12" x14ac:dyDescent="0.2">
      <c r="A66" s="605"/>
      <c r="B66" s="552" t="s">
        <v>187</v>
      </c>
      <c r="C66" s="1822" t="s">
        <v>345</v>
      </c>
      <c r="D66" s="1822"/>
      <c r="E66" s="1822"/>
      <c r="F66" s="562"/>
      <c r="G66" s="562"/>
      <c r="H66" s="562"/>
      <c r="I66" s="562"/>
      <c r="J66" s="604">
        <v>499.5</v>
      </c>
      <c r="K66" s="562" t="s">
        <v>313</v>
      </c>
      <c r="L66" s="604">
        <v>1.65</v>
      </c>
      <c r="M66" s="603"/>
      <c r="N66" s="602"/>
      <c r="V66" s="674"/>
      <c r="W66" s="675"/>
      <c r="Z66" s="537" t="s">
        <v>345</v>
      </c>
      <c r="AC66" s="675"/>
    </row>
    <row r="67" spans="1:29" s="536" customFormat="1" ht="12" x14ac:dyDescent="0.2">
      <c r="A67" s="605"/>
      <c r="B67" s="552"/>
      <c r="C67" s="1822" t="s">
        <v>348</v>
      </c>
      <c r="D67" s="1822"/>
      <c r="E67" s="1822"/>
      <c r="F67" s="562" t="s">
        <v>315</v>
      </c>
      <c r="G67" s="562" t="s">
        <v>770</v>
      </c>
      <c r="H67" s="562" t="s">
        <v>313</v>
      </c>
      <c r="I67" s="562" t="s">
        <v>2078</v>
      </c>
      <c r="J67" s="604"/>
      <c r="K67" s="562"/>
      <c r="L67" s="604"/>
      <c r="M67" s="603"/>
      <c r="N67" s="602"/>
      <c r="V67" s="674"/>
      <c r="W67" s="675"/>
      <c r="AA67" s="537" t="s">
        <v>348</v>
      </c>
      <c r="AC67" s="675"/>
    </row>
    <row r="68" spans="1:29" s="536" customFormat="1" ht="12" x14ac:dyDescent="0.2">
      <c r="A68" s="605"/>
      <c r="B68" s="552"/>
      <c r="C68" s="1828" t="s">
        <v>318</v>
      </c>
      <c r="D68" s="1828"/>
      <c r="E68" s="1828"/>
      <c r="F68" s="608"/>
      <c r="G68" s="608"/>
      <c r="H68" s="608"/>
      <c r="I68" s="608"/>
      <c r="J68" s="607">
        <v>4264.99</v>
      </c>
      <c r="K68" s="608"/>
      <c r="L68" s="607">
        <v>14.13</v>
      </c>
      <c r="M68" s="601"/>
      <c r="N68" s="606"/>
      <c r="V68" s="674"/>
      <c r="W68" s="675"/>
      <c r="AB68" s="537" t="s">
        <v>318</v>
      </c>
      <c r="AC68" s="675"/>
    </row>
    <row r="69" spans="1:29" s="536" customFormat="1" ht="12" x14ac:dyDescent="0.2">
      <c r="A69" s="605"/>
      <c r="B69" s="552"/>
      <c r="C69" s="1822" t="s">
        <v>319</v>
      </c>
      <c r="D69" s="1822"/>
      <c r="E69" s="1822"/>
      <c r="F69" s="562"/>
      <c r="G69" s="562"/>
      <c r="H69" s="562"/>
      <c r="I69" s="562"/>
      <c r="J69" s="604"/>
      <c r="K69" s="562"/>
      <c r="L69" s="604">
        <v>1.65</v>
      </c>
      <c r="M69" s="603"/>
      <c r="N69" s="602"/>
      <c r="V69" s="674"/>
      <c r="W69" s="675"/>
      <c r="AA69" s="537" t="s">
        <v>319</v>
      </c>
      <c r="AC69" s="675"/>
    </row>
    <row r="70" spans="1:29" s="536" customFormat="1" ht="33.75" x14ac:dyDescent="0.2">
      <c r="A70" s="605"/>
      <c r="B70" s="552" t="s">
        <v>460</v>
      </c>
      <c r="C70" s="1822" t="s">
        <v>461</v>
      </c>
      <c r="D70" s="1822"/>
      <c r="E70" s="1822"/>
      <c r="F70" s="562" t="s">
        <v>322</v>
      </c>
      <c r="G70" s="562" t="s">
        <v>462</v>
      </c>
      <c r="H70" s="562"/>
      <c r="I70" s="562" t="s">
        <v>462</v>
      </c>
      <c r="J70" s="604"/>
      <c r="K70" s="562"/>
      <c r="L70" s="604">
        <v>1.52</v>
      </c>
      <c r="M70" s="603"/>
      <c r="N70" s="602"/>
      <c r="V70" s="674"/>
      <c r="W70" s="675"/>
      <c r="AA70" s="537" t="s">
        <v>461</v>
      </c>
      <c r="AC70" s="675"/>
    </row>
    <row r="71" spans="1:29" s="536" customFormat="1" ht="33.75" x14ac:dyDescent="0.2">
      <c r="A71" s="605"/>
      <c r="B71" s="552" t="s">
        <v>463</v>
      </c>
      <c r="C71" s="1822" t="s">
        <v>464</v>
      </c>
      <c r="D71" s="1822"/>
      <c r="E71" s="1822"/>
      <c r="F71" s="562" t="s">
        <v>322</v>
      </c>
      <c r="G71" s="562" t="s">
        <v>465</v>
      </c>
      <c r="H71" s="562"/>
      <c r="I71" s="562" t="s">
        <v>465</v>
      </c>
      <c r="J71" s="604"/>
      <c r="K71" s="562"/>
      <c r="L71" s="604">
        <v>0.76</v>
      </c>
      <c r="M71" s="603"/>
      <c r="N71" s="602"/>
      <c r="V71" s="674"/>
      <c r="W71" s="675"/>
      <c r="AA71" s="537" t="s">
        <v>464</v>
      </c>
      <c r="AC71" s="675"/>
    </row>
    <row r="72" spans="1:29" s="536" customFormat="1" ht="12" x14ac:dyDescent="0.2">
      <c r="A72" s="569"/>
      <c r="B72" s="656"/>
      <c r="C72" s="1823" t="s">
        <v>327</v>
      </c>
      <c r="D72" s="1823"/>
      <c r="E72" s="1823"/>
      <c r="F72" s="573"/>
      <c r="G72" s="573"/>
      <c r="H72" s="573"/>
      <c r="I72" s="573"/>
      <c r="J72" s="572"/>
      <c r="K72" s="573"/>
      <c r="L72" s="572">
        <v>16.41</v>
      </c>
      <c r="M72" s="601"/>
      <c r="N72" s="570"/>
      <c r="V72" s="674"/>
      <c r="W72" s="675"/>
      <c r="AC72" s="675" t="s">
        <v>327</v>
      </c>
    </row>
    <row r="73" spans="1:29" s="536" customFormat="1" ht="22.5" x14ac:dyDescent="0.2">
      <c r="A73" s="575" t="s">
        <v>188</v>
      </c>
      <c r="B73" s="657" t="s">
        <v>507</v>
      </c>
      <c r="C73" s="1823" t="s">
        <v>508</v>
      </c>
      <c r="D73" s="1823"/>
      <c r="E73" s="1823"/>
      <c r="F73" s="573" t="s">
        <v>509</v>
      </c>
      <c r="G73" s="573"/>
      <c r="H73" s="573"/>
      <c r="I73" s="573" t="s">
        <v>2079</v>
      </c>
      <c r="J73" s="572"/>
      <c r="K73" s="573"/>
      <c r="L73" s="572"/>
      <c r="M73" s="571"/>
      <c r="N73" s="570"/>
      <c r="V73" s="674"/>
      <c r="W73" s="675" t="s">
        <v>508</v>
      </c>
      <c r="AC73" s="675"/>
    </row>
    <row r="74" spans="1:29" s="536" customFormat="1" ht="12" x14ac:dyDescent="0.2">
      <c r="A74" s="676"/>
      <c r="B74" s="655"/>
      <c r="C74" s="1822" t="s">
        <v>2080</v>
      </c>
      <c r="D74" s="1822"/>
      <c r="E74" s="1822"/>
      <c r="F74" s="1822"/>
      <c r="G74" s="1822"/>
      <c r="H74" s="1822"/>
      <c r="I74" s="1822"/>
      <c r="J74" s="1822"/>
      <c r="K74" s="1822"/>
      <c r="L74" s="1822"/>
      <c r="M74" s="1822"/>
      <c r="N74" s="1827"/>
      <c r="V74" s="674"/>
      <c r="W74" s="675"/>
      <c r="X74" s="537" t="s">
        <v>2080</v>
      </c>
      <c r="AC74" s="675"/>
    </row>
    <row r="75" spans="1:29" s="536" customFormat="1" ht="33.75" x14ac:dyDescent="0.2">
      <c r="A75" s="609"/>
      <c r="B75" s="552" t="s">
        <v>310</v>
      </c>
      <c r="C75" s="1822" t="s">
        <v>311</v>
      </c>
      <c r="D75" s="1822"/>
      <c r="E75" s="1822"/>
      <c r="F75" s="1822"/>
      <c r="G75" s="1822"/>
      <c r="H75" s="1822"/>
      <c r="I75" s="1822"/>
      <c r="J75" s="1822"/>
      <c r="K75" s="1822"/>
      <c r="L75" s="1822"/>
      <c r="M75" s="1822"/>
      <c r="N75" s="1827"/>
      <c r="V75" s="674"/>
      <c r="W75" s="675"/>
      <c r="Y75" s="537" t="s">
        <v>311</v>
      </c>
      <c r="AC75" s="675"/>
    </row>
    <row r="76" spans="1:29" s="536" customFormat="1" ht="12" x14ac:dyDescent="0.2">
      <c r="A76" s="605"/>
      <c r="B76" s="552" t="s">
        <v>185</v>
      </c>
      <c r="C76" s="1822" t="s">
        <v>312</v>
      </c>
      <c r="D76" s="1822"/>
      <c r="E76" s="1822"/>
      <c r="F76" s="562"/>
      <c r="G76" s="562"/>
      <c r="H76" s="562"/>
      <c r="I76" s="562"/>
      <c r="J76" s="604">
        <v>127.61</v>
      </c>
      <c r="K76" s="562" t="s">
        <v>313</v>
      </c>
      <c r="L76" s="604">
        <v>4.2300000000000004</v>
      </c>
      <c r="M76" s="603"/>
      <c r="N76" s="602"/>
      <c r="V76" s="674"/>
      <c r="W76" s="675"/>
      <c r="Z76" s="537" t="s">
        <v>312</v>
      </c>
      <c r="AC76" s="675"/>
    </row>
    <row r="77" spans="1:29" s="536" customFormat="1" ht="12" x14ac:dyDescent="0.2">
      <c r="A77" s="605"/>
      <c r="B77" s="552" t="s">
        <v>186</v>
      </c>
      <c r="C77" s="1822" t="s">
        <v>344</v>
      </c>
      <c r="D77" s="1822"/>
      <c r="E77" s="1822"/>
      <c r="F77" s="562"/>
      <c r="G77" s="562"/>
      <c r="H77" s="562"/>
      <c r="I77" s="562"/>
      <c r="J77" s="604">
        <v>288.58</v>
      </c>
      <c r="K77" s="562" t="s">
        <v>313</v>
      </c>
      <c r="L77" s="604">
        <v>9.56</v>
      </c>
      <c r="M77" s="603"/>
      <c r="N77" s="602"/>
      <c r="V77" s="674"/>
      <c r="W77" s="675"/>
      <c r="Z77" s="537" t="s">
        <v>344</v>
      </c>
      <c r="AC77" s="675"/>
    </row>
    <row r="78" spans="1:29" s="536" customFormat="1" ht="12" x14ac:dyDescent="0.2">
      <c r="A78" s="605"/>
      <c r="B78" s="552" t="s">
        <v>187</v>
      </c>
      <c r="C78" s="1822" t="s">
        <v>345</v>
      </c>
      <c r="D78" s="1822"/>
      <c r="E78" s="1822"/>
      <c r="F78" s="562"/>
      <c r="G78" s="562"/>
      <c r="H78" s="562"/>
      <c r="I78" s="562"/>
      <c r="J78" s="604">
        <v>31.49</v>
      </c>
      <c r="K78" s="562" t="s">
        <v>313</v>
      </c>
      <c r="L78" s="604">
        <v>1.04</v>
      </c>
      <c r="M78" s="603"/>
      <c r="N78" s="602"/>
      <c r="V78" s="674"/>
      <c r="W78" s="675"/>
      <c r="Z78" s="537" t="s">
        <v>345</v>
      </c>
      <c r="AC78" s="675"/>
    </row>
    <row r="79" spans="1:29" s="536" customFormat="1" ht="12" x14ac:dyDescent="0.2">
      <c r="A79" s="605"/>
      <c r="B79" s="552"/>
      <c r="C79" s="1822" t="s">
        <v>314</v>
      </c>
      <c r="D79" s="1822"/>
      <c r="E79" s="1822"/>
      <c r="F79" s="562" t="s">
        <v>315</v>
      </c>
      <c r="G79" s="562" t="s">
        <v>512</v>
      </c>
      <c r="H79" s="562" t="s">
        <v>313</v>
      </c>
      <c r="I79" s="562" t="s">
        <v>2081</v>
      </c>
      <c r="J79" s="604"/>
      <c r="K79" s="562"/>
      <c r="L79" s="604"/>
      <c r="M79" s="603"/>
      <c r="N79" s="602"/>
      <c r="V79" s="674"/>
      <c r="W79" s="675"/>
      <c r="AA79" s="537" t="s">
        <v>314</v>
      </c>
      <c r="AC79" s="675"/>
    </row>
    <row r="80" spans="1:29" s="536" customFormat="1" ht="12" x14ac:dyDescent="0.2">
      <c r="A80" s="605"/>
      <c r="B80" s="552"/>
      <c r="C80" s="1822" t="s">
        <v>348</v>
      </c>
      <c r="D80" s="1822"/>
      <c r="E80" s="1822"/>
      <c r="F80" s="562" t="s">
        <v>315</v>
      </c>
      <c r="G80" s="562" t="s">
        <v>514</v>
      </c>
      <c r="H80" s="562" t="s">
        <v>313</v>
      </c>
      <c r="I80" s="562" t="s">
        <v>2082</v>
      </c>
      <c r="J80" s="604"/>
      <c r="K80" s="562"/>
      <c r="L80" s="604"/>
      <c r="M80" s="603"/>
      <c r="N80" s="602"/>
      <c r="V80" s="674"/>
      <c r="W80" s="675"/>
      <c r="AA80" s="537" t="s">
        <v>348</v>
      </c>
      <c r="AC80" s="675"/>
    </row>
    <row r="81" spans="1:31" s="536" customFormat="1" ht="12" x14ac:dyDescent="0.2">
      <c r="A81" s="605"/>
      <c r="B81" s="552"/>
      <c r="C81" s="1828" t="s">
        <v>318</v>
      </c>
      <c r="D81" s="1828"/>
      <c r="E81" s="1828"/>
      <c r="F81" s="608"/>
      <c r="G81" s="608"/>
      <c r="H81" s="608"/>
      <c r="I81" s="608"/>
      <c r="J81" s="607">
        <v>416.19</v>
      </c>
      <c r="K81" s="608"/>
      <c r="L81" s="607">
        <v>13.79</v>
      </c>
      <c r="M81" s="601"/>
      <c r="N81" s="606"/>
      <c r="V81" s="674"/>
      <c r="W81" s="675"/>
      <c r="AB81" s="537" t="s">
        <v>318</v>
      </c>
      <c r="AC81" s="675"/>
    </row>
    <row r="82" spans="1:31" s="536" customFormat="1" ht="12" x14ac:dyDescent="0.2">
      <c r="A82" s="605"/>
      <c r="B82" s="552"/>
      <c r="C82" s="1822" t="s">
        <v>319</v>
      </c>
      <c r="D82" s="1822"/>
      <c r="E82" s="1822"/>
      <c r="F82" s="562"/>
      <c r="G82" s="562"/>
      <c r="H82" s="562"/>
      <c r="I82" s="562"/>
      <c r="J82" s="604"/>
      <c r="K82" s="562"/>
      <c r="L82" s="604">
        <v>5.27</v>
      </c>
      <c r="M82" s="603"/>
      <c r="N82" s="602"/>
      <c r="V82" s="674"/>
      <c r="W82" s="675"/>
      <c r="AA82" s="537" t="s">
        <v>319</v>
      </c>
      <c r="AC82" s="675"/>
    </row>
    <row r="83" spans="1:31" s="536" customFormat="1" ht="33.75" x14ac:dyDescent="0.2">
      <c r="A83" s="605"/>
      <c r="B83" s="552" t="s">
        <v>460</v>
      </c>
      <c r="C83" s="1822" t="s">
        <v>461</v>
      </c>
      <c r="D83" s="1822"/>
      <c r="E83" s="1822"/>
      <c r="F83" s="562" t="s">
        <v>322</v>
      </c>
      <c r="G83" s="562" t="s">
        <v>462</v>
      </c>
      <c r="H83" s="562"/>
      <c r="I83" s="562" t="s">
        <v>462</v>
      </c>
      <c r="J83" s="604"/>
      <c r="K83" s="562"/>
      <c r="L83" s="604">
        <v>4.8499999999999996</v>
      </c>
      <c r="M83" s="603"/>
      <c r="N83" s="602"/>
      <c r="V83" s="674"/>
      <c r="W83" s="675"/>
      <c r="AA83" s="537" t="s">
        <v>461</v>
      </c>
      <c r="AC83" s="675"/>
    </row>
    <row r="84" spans="1:31" s="536" customFormat="1" ht="33.75" x14ac:dyDescent="0.2">
      <c r="A84" s="605"/>
      <c r="B84" s="552" t="s">
        <v>463</v>
      </c>
      <c r="C84" s="1822" t="s">
        <v>464</v>
      </c>
      <c r="D84" s="1822"/>
      <c r="E84" s="1822"/>
      <c r="F84" s="562" t="s">
        <v>322</v>
      </c>
      <c r="G84" s="562" t="s">
        <v>465</v>
      </c>
      <c r="H84" s="562"/>
      <c r="I84" s="562" t="s">
        <v>465</v>
      </c>
      <c r="J84" s="604"/>
      <c r="K84" s="562"/>
      <c r="L84" s="604">
        <v>2.42</v>
      </c>
      <c r="M84" s="603"/>
      <c r="N84" s="602"/>
      <c r="V84" s="674"/>
      <c r="W84" s="675"/>
      <c r="AA84" s="537" t="s">
        <v>464</v>
      </c>
      <c r="AC84" s="675"/>
    </row>
    <row r="85" spans="1:31" s="536" customFormat="1" ht="12" x14ac:dyDescent="0.2">
      <c r="A85" s="569"/>
      <c r="B85" s="656"/>
      <c r="C85" s="1823" t="s">
        <v>327</v>
      </c>
      <c r="D85" s="1823"/>
      <c r="E85" s="1823"/>
      <c r="F85" s="573"/>
      <c r="G85" s="573"/>
      <c r="H85" s="573"/>
      <c r="I85" s="573"/>
      <c r="J85" s="572"/>
      <c r="K85" s="573"/>
      <c r="L85" s="572">
        <v>21.06</v>
      </c>
      <c r="M85" s="601"/>
      <c r="N85" s="570"/>
      <c r="V85" s="674"/>
      <c r="W85" s="675"/>
      <c r="AC85" s="675" t="s">
        <v>327</v>
      </c>
    </row>
    <row r="86" spans="1:31" s="536" customFormat="1" ht="45" x14ac:dyDescent="0.2">
      <c r="A86" s="575" t="s">
        <v>189</v>
      </c>
      <c r="B86" s="657" t="s">
        <v>1005</v>
      </c>
      <c r="C86" s="1823" t="s">
        <v>1006</v>
      </c>
      <c r="D86" s="1823"/>
      <c r="E86" s="1823"/>
      <c r="F86" s="573" t="s">
        <v>201</v>
      </c>
      <c r="G86" s="573"/>
      <c r="H86" s="573"/>
      <c r="I86" s="573" t="s">
        <v>2083</v>
      </c>
      <c r="J86" s="572">
        <v>2.91</v>
      </c>
      <c r="K86" s="573"/>
      <c r="L86" s="572">
        <v>508.47</v>
      </c>
      <c r="M86" s="571"/>
      <c r="N86" s="570"/>
      <c r="V86" s="674"/>
      <c r="W86" s="675" t="s">
        <v>1006</v>
      </c>
      <c r="AC86" s="675"/>
    </row>
    <row r="87" spans="1:31" s="536" customFormat="1" ht="12" x14ac:dyDescent="0.2">
      <c r="A87" s="676"/>
      <c r="B87" s="655"/>
      <c r="C87" s="1822" t="s">
        <v>2084</v>
      </c>
      <c r="D87" s="1822"/>
      <c r="E87" s="1822"/>
      <c r="F87" s="1822"/>
      <c r="G87" s="1822"/>
      <c r="H87" s="1822"/>
      <c r="I87" s="1822"/>
      <c r="J87" s="1822"/>
      <c r="K87" s="1822"/>
      <c r="L87" s="1822"/>
      <c r="M87" s="1822"/>
      <c r="N87" s="1827"/>
      <c r="V87" s="674"/>
      <c r="W87" s="675"/>
      <c r="X87" s="537" t="s">
        <v>2084</v>
      </c>
      <c r="AC87" s="675"/>
    </row>
    <row r="88" spans="1:31" s="536" customFormat="1" ht="1.5" customHeight="1" x14ac:dyDescent="0.2">
      <c r="A88" s="563"/>
      <c r="B88" s="656"/>
      <c r="C88" s="656"/>
      <c r="D88" s="656"/>
      <c r="E88" s="656"/>
      <c r="F88" s="563"/>
      <c r="G88" s="563"/>
      <c r="H88" s="563"/>
      <c r="I88" s="563"/>
      <c r="J88" s="546"/>
      <c r="K88" s="563"/>
      <c r="L88" s="546"/>
      <c r="M88" s="562"/>
      <c r="N88" s="546"/>
      <c r="V88" s="674"/>
      <c r="W88" s="675"/>
      <c r="AC88" s="675"/>
    </row>
    <row r="89" spans="1:31" s="536" customFormat="1" ht="12" x14ac:dyDescent="0.2">
      <c r="A89" s="557"/>
      <c r="B89" s="556"/>
      <c r="C89" s="1823" t="s">
        <v>1021</v>
      </c>
      <c r="D89" s="1823"/>
      <c r="E89" s="1823"/>
      <c r="F89" s="1823"/>
      <c r="G89" s="1823"/>
      <c r="H89" s="1823"/>
      <c r="I89" s="1823"/>
      <c r="J89" s="1823"/>
      <c r="K89" s="1823"/>
      <c r="L89" s="555"/>
      <c r="M89" s="554"/>
      <c r="N89" s="553"/>
      <c r="V89" s="674"/>
      <c r="W89" s="675"/>
      <c r="AC89" s="675"/>
      <c r="AD89" s="675" t="s">
        <v>1021</v>
      </c>
    </row>
    <row r="90" spans="1:31" s="536" customFormat="1" ht="12" x14ac:dyDescent="0.2">
      <c r="A90" s="548"/>
      <c r="B90" s="552"/>
      <c r="C90" s="1822" t="s">
        <v>403</v>
      </c>
      <c r="D90" s="1822"/>
      <c r="E90" s="1822"/>
      <c r="F90" s="1822"/>
      <c r="G90" s="1822"/>
      <c r="H90" s="1822"/>
      <c r="I90" s="1822"/>
      <c r="J90" s="1822"/>
      <c r="K90" s="1822"/>
      <c r="L90" s="551">
        <v>1271.7</v>
      </c>
      <c r="M90" s="550"/>
      <c r="N90" s="549"/>
      <c r="V90" s="674"/>
      <c r="W90" s="675"/>
      <c r="AC90" s="675"/>
      <c r="AD90" s="675"/>
      <c r="AE90" s="537" t="s">
        <v>403</v>
      </c>
    </row>
    <row r="91" spans="1:31" s="536" customFormat="1" ht="12" x14ac:dyDescent="0.2">
      <c r="A91" s="548"/>
      <c r="B91" s="552"/>
      <c r="C91" s="1822" t="s">
        <v>204</v>
      </c>
      <c r="D91" s="1822"/>
      <c r="E91" s="1822"/>
      <c r="F91" s="1822"/>
      <c r="G91" s="1822"/>
      <c r="H91" s="1822"/>
      <c r="I91" s="1822"/>
      <c r="J91" s="1822"/>
      <c r="K91" s="1822"/>
      <c r="L91" s="551"/>
      <c r="M91" s="550"/>
      <c r="N91" s="549"/>
      <c r="V91" s="674"/>
      <c r="W91" s="675"/>
      <c r="AC91" s="675"/>
      <c r="AD91" s="675"/>
      <c r="AE91" s="537" t="s">
        <v>204</v>
      </c>
    </row>
    <row r="92" spans="1:31" s="536" customFormat="1" ht="12" x14ac:dyDescent="0.2">
      <c r="A92" s="548"/>
      <c r="B92" s="552"/>
      <c r="C92" s="1822" t="s">
        <v>404</v>
      </c>
      <c r="D92" s="1822"/>
      <c r="E92" s="1822"/>
      <c r="F92" s="1822"/>
      <c r="G92" s="1822"/>
      <c r="H92" s="1822"/>
      <c r="I92" s="1822"/>
      <c r="J92" s="1822"/>
      <c r="K92" s="1822"/>
      <c r="L92" s="551">
        <v>4.2300000000000004</v>
      </c>
      <c r="M92" s="550"/>
      <c r="N92" s="549"/>
      <c r="V92" s="674"/>
      <c r="W92" s="675"/>
      <c r="AC92" s="675"/>
      <c r="AD92" s="675"/>
      <c r="AE92" s="537" t="s">
        <v>404</v>
      </c>
    </row>
    <row r="93" spans="1:31" s="536" customFormat="1" ht="12" x14ac:dyDescent="0.2">
      <c r="A93" s="548"/>
      <c r="B93" s="552"/>
      <c r="C93" s="1822" t="s">
        <v>405</v>
      </c>
      <c r="D93" s="1822"/>
      <c r="E93" s="1822"/>
      <c r="F93" s="1822"/>
      <c r="G93" s="1822"/>
      <c r="H93" s="1822"/>
      <c r="I93" s="1822"/>
      <c r="J93" s="1822"/>
      <c r="K93" s="1822"/>
      <c r="L93" s="551">
        <v>1267.47</v>
      </c>
      <c r="M93" s="550"/>
      <c r="N93" s="549"/>
      <c r="V93" s="674"/>
      <c r="W93" s="675"/>
      <c r="AC93" s="675"/>
      <c r="AD93" s="675"/>
      <c r="AE93" s="537" t="s">
        <v>405</v>
      </c>
    </row>
    <row r="94" spans="1:31" s="536" customFormat="1" ht="12" x14ac:dyDescent="0.2">
      <c r="A94" s="548"/>
      <c r="B94" s="552"/>
      <c r="C94" s="1822" t="s">
        <v>406</v>
      </c>
      <c r="D94" s="1822"/>
      <c r="E94" s="1822"/>
      <c r="F94" s="1822"/>
      <c r="G94" s="1822"/>
      <c r="H94" s="1822"/>
      <c r="I94" s="1822"/>
      <c r="J94" s="1822"/>
      <c r="K94" s="1822"/>
      <c r="L94" s="551">
        <v>88.81</v>
      </c>
      <c r="M94" s="550"/>
      <c r="N94" s="549"/>
      <c r="V94" s="674"/>
      <c r="W94" s="675"/>
      <c r="AC94" s="675"/>
      <c r="AD94" s="675"/>
      <c r="AE94" s="537" t="s">
        <v>406</v>
      </c>
    </row>
    <row r="95" spans="1:31" s="536" customFormat="1" ht="12" x14ac:dyDescent="0.2">
      <c r="A95" s="548"/>
      <c r="B95" s="552"/>
      <c r="C95" s="1822" t="s">
        <v>407</v>
      </c>
      <c r="D95" s="1822"/>
      <c r="E95" s="1822"/>
      <c r="F95" s="1822"/>
      <c r="G95" s="1822"/>
      <c r="H95" s="1822"/>
      <c r="I95" s="1822"/>
      <c r="J95" s="1822"/>
      <c r="K95" s="1822"/>
      <c r="L95" s="551">
        <v>1400.1</v>
      </c>
      <c r="M95" s="550"/>
      <c r="N95" s="549"/>
      <c r="V95" s="674"/>
      <c r="W95" s="675"/>
      <c r="AC95" s="675"/>
      <c r="AD95" s="675"/>
      <c r="AE95" s="537" t="s">
        <v>407</v>
      </c>
    </row>
    <row r="96" spans="1:31" s="536" customFormat="1" ht="12" x14ac:dyDescent="0.2">
      <c r="A96" s="548"/>
      <c r="B96" s="552"/>
      <c r="C96" s="1822" t="s">
        <v>408</v>
      </c>
      <c r="D96" s="1822"/>
      <c r="E96" s="1822"/>
      <c r="F96" s="1822"/>
      <c r="G96" s="1822"/>
      <c r="H96" s="1822"/>
      <c r="I96" s="1822"/>
      <c r="J96" s="1822"/>
      <c r="K96" s="1822"/>
      <c r="L96" s="551">
        <v>891.63</v>
      </c>
      <c r="M96" s="550"/>
      <c r="N96" s="549"/>
      <c r="V96" s="674"/>
      <c r="W96" s="675"/>
      <c r="AC96" s="675"/>
      <c r="AD96" s="675"/>
      <c r="AE96" s="537" t="s">
        <v>408</v>
      </c>
    </row>
    <row r="97" spans="1:32" s="536" customFormat="1" ht="12" x14ac:dyDescent="0.2">
      <c r="A97" s="548"/>
      <c r="B97" s="552"/>
      <c r="C97" s="1822" t="s">
        <v>409</v>
      </c>
      <c r="D97" s="1822"/>
      <c r="E97" s="1822"/>
      <c r="F97" s="1822"/>
      <c r="G97" s="1822"/>
      <c r="H97" s="1822"/>
      <c r="I97" s="1822"/>
      <c r="J97" s="1822"/>
      <c r="K97" s="1822"/>
      <c r="L97" s="551"/>
      <c r="M97" s="550"/>
      <c r="N97" s="549"/>
      <c r="V97" s="674"/>
      <c r="W97" s="675"/>
      <c r="AC97" s="675"/>
      <c r="AD97" s="675"/>
      <c r="AE97" s="537" t="s">
        <v>409</v>
      </c>
    </row>
    <row r="98" spans="1:32" s="536" customFormat="1" ht="12" x14ac:dyDescent="0.2">
      <c r="A98" s="548"/>
      <c r="B98" s="552"/>
      <c r="C98" s="1822" t="s">
        <v>410</v>
      </c>
      <c r="D98" s="1822"/>
      <c r="E98" s="1822"/>
      <c r="F98" s="1822"/>
      <c r="G98" s="1822"/>
      <c r="H98" s="1822"/>
      <c r="I98" s="1822"/>
      <c r="J98" s="1822"/>
      <c r="K98" s="1822"/>
      <c r="L98" s="551">
        <v>4.2300000000000004</v>
      </c>
      <c r="M98" s="550"/>
      <c r="N98" s="549"/>
      <c r="V98" s="674"/>
      <c r="W98" s="675"/>
      <c r="AC98" s="675"/>
      <c r="AD98" s="675"/>
      <c r="AE98" s="537" t="s">
        <v>410</v>
      </c>
    </row>
    <row r="99" spans="1:32" s="536" customFormat="1" ht="12" x14ac:dyDescent="0.2">
      <c r="A99" s="548"/>
      <c r="B99" s="552"/>
      <c r="C99" s="1822" t="s">
        <v>411</v>
      </c>
      <c r="D99" s="1822"/>
      <c r="E99" s="1822"/>
      <c r="F99" s="1822"/>
      <c r="G99" s="1822"/>
      <c r="H99" s="1822"/>
      <c r="I99" s="1822"/>
      <c r="J99" s="1822"/>
      <c r="K99" s="1822"/>
      <c r="L99" s="551">
        <v>759</v>
      </c>
      <c r="M99" s="550"/>
      <c r="N99" s="549"/>
      <c r="V99" s="674"/>
      <c r="W99" s="675"/>
      <c r="AC99" s="675"/>
      <c r="AD99" s="675"/>
      <c r="AE99" s="537" t="s">
        <v>411</v>
      </c>
    </row>
    <row r="100" spans="1:32" s="536" customFormat="1" ht="12" x14ac:dyDescent="0.2">
      <c r="A100" s="548"/>
      <c r="B100" s="552"/>
      <c r="C100" s="1822" t="s">
        <v>412</v>
      </c>
      <c r="D100" s="1822"/>
      <c r="E100" s="1822"/>
      <c r="F100" s="1822"/>
      <c r="G100" s="1822"/>
      <c r="H100" s="1822"/>
      <c r="I100" s="1822"/>
      <c r="J100" s="1822"/>
      <c r="K100" s="1822"/>
      <c r="L100" s="551">
        <v>85.6</v>
      </c>
      <c r="M100" s="550"/>
      <c r="N100" s="549"/>
      <c r="V100" s="674"/>
      <c r="W100" s="675"/>
      <c r="AC100" s="675"/>
      <c r="AD100" s="675"/>
      <c r="AE100" s="537" t="s">
        <v>412</v>
      </c>
    </row>
    <row r="101" spans="1:32" s="536" customFormat="1" ht="12" x14ac:dyDescent="0.2">
      <c r="A101" s="548"/>
      <c r="B101" s="552"/>
      <c r="C101" s="1822" t="s">
        <v>413</v>
      </c>
      <c r="D101" s="1822"/>
      <c r="E101" s="1822"/>
      <c r="F101" s="1822"/>
      <c r="G101" s="1822"/>
      <c r="H101" s="1822"/>
      <c r="I101" s="1822"/>
      <c r="J101" s="1822"/>
      <c r="K101" s="1822"/>
      <c r="L101" s="551">
        <v>42.8</v>
      </c>
      <c r="M101" s="550"/>
      <c r="N101" s="549"/>
      <c r="V101" s="674"/>
      <c r="W101" s="675"/>
      <c r="AC101" s="675"/>
      <c r="AD101" s="675"/>
      <c r="AE101" s="537" t="s">
        <v>413</v>
      </c>
    </row>
    <row r="102" spans="1:32" s="536" customFormat="1" ht="12" x14ac:dyDescent="0.2">
      <c r="A102" s="548"/>
      <c r="B102" s="552"/>
      <c r="C102" s="1822" t="s">
        <v>414</v>
      </c>
      <c r="D102" s="1822"/>
      <c r="E102" s="1822"/>
      <c r="F102" s="1822"/>
      <c r="G102" s="1822"/>
      <c r="H102" s="1822"/>
      <c r="I102" s="1822"/>
      <c r="J102" s="1822"/>
      <c r="K102" s="1822"/>
      <c r="L102" s="551">
        <v>508.47</v>
      </c>
      <c r="M102" s="550"/>
      <c r="N102" s="549"/>
      <c r="V102" s="674"/>
      <c r="W102" s="675"/>
      <c r="AC102" s="675"/>
      <c r="AD102" s="675"/>
      <c r="AE102" s="537" t="s">
        <v>414</v>
      </c>
    </row>
    <row r="103" spans="1:32" s="536" customFormat="1" ht="12" x14ac:dyDescent="0.2">
      <c r="A103" s="548"/>
      <c r="B103" s="552"/>
      <c r="C103" s="1822" t="s">
        <v>415</v>
      </c>
      <c r="D103" s="1822"/>
      <c r="E103" s="1822"/>
      <c r="F103" s="1822"/>
      <c r="G103" s="1822"/>
      <c r="H103" s="1822"/>
      <c r="I103" s="1822"/>
      <c r="J103" s="1822"/>
      <c r="K103" s="1822"/>
      <c r="L103" s="551">
        <v>93.04</v>
      </c>
      <c r="M103" s="550"/>
      <c r="N103" s="549"/>
      <c r="V103" s="674"/>
      <c r="W103" s="675"/>
      <c r="AC103" s="675"/>
      <c r="AD103" s="675"/>
      <c r="AE103" s="537" t="s">
        <v>415</v>
      </c>
    </row>
    <row r="104" spans="1:32" s="536" customFormat="1" ht="12" x14ac:dyDescent="0.2">
      <c r="A104" s="548"/>
      <c r="B104" s="552"/>
      <c r="C104" s="1822" t="s">
        <v>416</v>
      </c>
      <c r="D104" s="1822"/>
      <c r="E104" s="1822"/>
      <c r="F104" s="1822"/>
      <c r="G104" s="1822"/>
      <c r="H104" s="1822"/>
      <c r="I104" s="1822"/>
      <c r="J104" s="1822"/>
      <c r="K104" s="1822"/>
      <c r="L104" s="551">
        <v>85.6</v>
      </c>
      <c r="M104" s="550"/>
      <c r="N104" s="549"/>
      <c r="V104" s="674"/>
      <c r="W104" s="675"/>
      <c r="AC104" s="675"/>
      <c r="AD104" s="675"/>
      <c r="AE104" s="537" t="s">
        <v>416</v>
      </c>
    </row>
    <row r="105" spans="1:32" s="536" customFormat="1" ht="12" x14ac:dyDescent="0.2">
      <c r="A105" s="548"/>
      <c r="B105" s="552"/>
      <c r="C105" s="1822" t="s">
        <v>417</v>
      </c>
      <c r="D105" s="1822"/>
      <c r="E105" s="1822"/>
      <c r="F105" s="1822"/>
      <c r="G105" s="1822"/>
      <c r="H105" s="1822"/>
      <c r="I105" s="1822"/>
      <c r="J105" s="1822"/>
      <c r="K105" s="1822"/>
      <c r="L105" s="551">
        <v>42.8</v>
      </c>
      <c r="M105" s="550"/>
      <c r="N105" s="549"/>
      <c r="V105" s="674"/>
      <c r="W105" s="675"/>
      <c r="AC105" s="675"/>
      <c r="AD105" s="675"/>
      <c r="AE105" s="537" t="s">
        <v>417</v>
      </c>
    </row>
    <row r="106" spans="1:32" s="536" customFormat="1" ht="12" x14ac:dyDescent="0.2">
      <c r="A106" s="548"/>
      <c r="B106" s="546"/>
      <c r="C106" s="1819" t="s">
        <v>1022</v>
      </c>
      <c r="D106" s="1819"/>
      <c r="E106" s="1819"/>
      <c r="F106" s="1819"/>
      <c r="G106" s="1819"/>
      <c r="H106" s="1819"/>
      <c r="I106" s="1819"/>
      <c r="J106" s="1819"/>
      <c r="K106" s="1819"/>
      <c r="L106" s="544">
        <v>1400.1</v>
      </c>
      <c r="M106" s="543"/>
      <c r="N106" s="681"/>
      <c r="V106" s="674"/>
      <c r="W106" s="675"/>
      <c r="AC106" s="675"/>
      <c r="AD106" s="675"/>
      <c r="AF106" s="675" t="s">
        <v>1022</v>
      </c>
    </row>
    <row r="107" spans="1:32" s="536" customFormat="1" ht="12" x14ac:dyDescent="0.2">
      <c r="A107" s="1824" t="s">
        <v>2085</v>
      </c>
      <c r="B107" s="1825"/>
      <c r="C107" s="1825"/>
      <c r="D107" s="1825"/>
      <c r="E107" s="1825"/>
      <c r="F107" s="1825"/>
      <c r="G107" s="1825"/>
      <c r="H107" s="1825"/>
      <c r="I107" s="1825"/>
      <c r="J107" s="1825"/>
      <c r="K107" s="1825"/>
      <c r="L107" s="1825"/>
      <c r="M107" s="1825"/>
      <c r="N107" s="1826"/>
      <c r="V107" s="674" t="s">
        <v>2085</v>
      </c>
      <c r="W107" s="675"/>
      <c r="AC107" s="675"/>
      <c r="AD107" s="675"/>
      <c r="AF107" s="675"/>
    </row>
    <row r="108" spans="1:32" s="536" customFormat="1" ht="12" x14ac:dyDescent="0.2">
      <c r="A108" s="575" t="s">
        <v>190</v>
      </c>
      <c r="B108" s="657" t="s">
        <v>1368</v>
      </c>
      <c r="C108" s="1823" t="s">
        <v>1369</v>
      </c>
      <c r="D108" s="1823"/>
      <c r="E108" s="1823"/>
      <c r="F108" s="573" t="s">
        <v>509</v>
      </c>
      <c r="G108" s="573"/>
      <c r="H108" s="573"/>
      <c r="I108" s="573" t="s">
        <v>2086</v>
      </c>
      <c r="J108" s="572"/>
      <c r="K108" s="573"/>
      <c r="L108" s="572"/>
      <c r="M108" s="571"/>
      <c r="N108" s="570"/>
      <c r="V108" s="674"/>
      <c r="W108" s="675" t="s">
        <v>1369</v>
      </c>
      <c r="AC108" s="675"/>
      <c r="AD108" s="675"/>
      <c r="AF108" s="675"/>
    </row>
    <row r="109" spans="1:32" s="536" customFormat="1" ht="12" x14ac:dyDescent="0.2">
      <c r="A109" s="676"/>
      <c r="B109" s="655"/>
      <c r="C109" s="1822" t="s">
        <v>2087</v>
      </c>
      <c r="D109" s="1822"/>
      <c r="E109" s="1822"/>
      <c r="F109" s="1822"/>
      <c r="G109" s="1822"/>
      <c r="H109" s="1822"/>
      <c r="I109" s="1822"/>
      <c r="J109" s="1822"/>
      <c r="K109" s="1822"/>
      <c r="L109" s="1822"/>
      <c r="M109" s="1822"/>
      <c r="N109" s="1827"/>
      <c r="V109" s="674"/>
      <c r="W109" s="675"/>
      <c r="X109" s="537" t="s">
        <v>2087</v>
      </c>
      <c r="AC109" s="675"/>
      <c r="AD109" s="675"/>
      <c r="AF109" s="675"/>
    </row>
    <row r="110" spans="1:32" s="536" customFormat="1" ht="33.75" x14ac:dyDescent="0.2">
      <c r="A110" s="609"/>
      <c r="B110" s="552" t="s">
        <v>310</v>
      </c>
      <c r="C110" s="1822" t="s">
        <v>311</v>
      </c>
      <c r="D110" s="1822"/>
      <c r="E110" s="1822"/>
      <c r="F110" s="1822"/>
      <c r="G110" s="1822"/>
      <c r="H110" s="1822"/>
      <c r="I110" s="1822"/>
      <c r="J110" s="1822"/>
      <c r="K110" s="1822"/>
      <c r="L110" s="1822"/>
      <c r="M110" s="1822"/>
      <c r="N110" s="1827"/>
      <c r="V110" s="674"/>
      <c r="W110" s="675"/>
      <c r="Y110" s="537" t="s">
        <v>311</v>
      </c>
      <c r="AC110" s="675"/>
      <c r="AD110" s="675"/>
      <c r="AF110" s="675"/>
    </row>
    <row r="111" spans="1:32" s="536" customFormat="1" ht="12" x14ac:dyDescent="0.2">
      <c r="A111" s="605"/>
      <c r="B111" s="552" t="s">
        <v>185</v>
      </c>
      <c r="C111" s="1822" t="s">
        <v>312</v>
      </c>
      <c r="D111" s="1822"/>
      <c r="E111" s="1822"/>
      <c r="F111" s="562"/>
      <c r="G111" s="562"/>
      <c r="H111" s="562"/>
      <c r="I111" s="562"/>
      <c r="J111" s="604">
        <v>1053</v>
      </c>
      <c r="K111" s="562" t="s">
        <v>313</v>
      </c>
      <c r="L111" s="604">
        <v>313.66000000000003</v>
      </c>
      <c r="M111" s="603"/>
      <c r="N111" s="602"/>
      <c r="V111" s="674"/>
      <c r="W111" s="675"/>
      <c r="Z111" s="537" t="s">
        <v>312</v>
      </c>
      <c r="AC111" s="675"/>
      <c r="AD111" s="675"/>
      <c r="AF111" s="675"/>
    </row>
    <row r="112" spans="1:32" s="536" customFormat="1" ht="12" x14ac:dyDescent="0.2">
      <c r="A112" s="605"/>
      <c r="B112" s="552" t="s">
        <v>186</v>
      </c>
      <c r="C112" s="1822" t="s">
        <v>344</v>
      </c>
      <c r="D112" s="1822"/>
      <c r="E112" s="1822"/>
      <c r="F112" s="562"/>
      <c r="G112" s="562"/>
      <c r="H112" s="562"/>
      <c r="I112" s="562"/>
      <c r="J112" s="604">
        <v>1566.06</v>
      </c>
      <c r="K112" s="562" t="s">
        <v>313</v>
      </c>
      <c r="L112" s="604">
        <v>466.49</v>
      </c>
      <c r="M112" s="603"/>
      <c r="N112" s="602"/>
      <c r="V112" s="674"/>
      <c r="W112" s="675"/>
      <c r="Z112" s="537" t="s">
        <v>344</v>
      </c>
      <c r="AC112" s="675"/>
      <c r="AD112" s="675"/>
      <c r="AF112" s="675"/>
    </row>
    <row r="113" spans="1:33" s="536" customFormat="1" ht="12" x14ac:dyDescent="0.2">
      <c r="A113" s="605"/>
      <c r="B113" s="552" t="s">
        <v>187</v>
      </c>
      <c r="C113" s="1822" t="s">
        <v>345</v>
      </c>
      <c r="D113" s="1822"/>
      <c r="E113" s="1822"/>
      <c r="F113" s="562"/>
      <c r="G113" s="562"/>
      <c r="H113" s="562"/>
      <c r="I113" s="562"/>
      <c r="J113" s="604">
        <v>244.39</v>
      </c>
      <c r="K113" s="562" t="s">
        <v>313</v>
      </c>
      <c r="L113" s="604">
        <v>72.8</v>
      </c>
      <c r="M113" s="603"/>
      <c r="N113" s="602"/>
      <c r="V113" s="674"/>
      <c r="W113" s="675"/>
      <c r="Z113" s="537" t="s">
        <v>345</v>
      </c>
      <c r="AC113" s="675"/>
      <c r="AD113" s="675"/>
      <c r="AF113" s="675"/>
    </row>
    <row r="114" spans="1:33" s="536" customFormat="1" ht="12" x14ac:dyDescent="0.2">
      <c r="A114" s="605"/>
      <c r="B114" s="552" t="s">
        <v>188</v>
      </c>
      <c r="C114" s="1822" t="s">
        <v>475</v>
      </c>
      <c r="D114" s="1822"/>
      <c r="E114" s="1822"/>
      <c r="F114" s="562"/>
      <c r="G114" s="562"/>
      <c r="H114" s="562"/>
      <c r="I114" s="562"/>
      <c r="J114" s="604">
        <v>909.27</v>
      </c>
      <c r="K114" s="562"/>
      <c r="L114" s="604">
        <v>216.68</v>
      </c>
      <c r="M114" s="603"/>
      <c r="N114" s="602"/>
      <c r="V114" s="674"/>
      <c r="W114" s="675"/>
      <c r="Z114" s="537" t="s">
        <v>475</v>
      </c>
      <c r="AC114" s="675"/>
      <c r="AD114" s="675"/>
      <c r="AF114" s="675"/>
    </row>
    <row r="115" spans="1:33" s="536" customFormat="1" ht="12" x14ac:dyDescent="0.2">
      <c r="A115" s="676"/>
      <c r="B115" s="677" t="s">
        <v>639</v>
      </c>
      <c r="C115" s="1829" t="s">
        <v>640</v>
      </c>
      <c r="D115" s="1829"/>
      <c r="E115" s="1829"/>
      <c r="F115" s="678" t="s">
        <v>641</v>
      </c>
      <c r="G115" s="678" t="s">
        <v>680</v>
      </c>
      <c r="H115" s="678"/>
      <c r="I115" s="678" t="s">
        <v>2088</v>
      </c>
      <c r="J115" s="552"/>
      <c r="K115" s="562"/>
      <c r="L115" s="604"/>
      <c r="M115" s="562"/>
      <c r="N115" s="679"/>
      <c r="V115" s="674"/>
      <c r="W115" s="675"/>
      <c r="AC115" s="675"/>
      <c r="AD115" s="675"/>
      <c r="AF115" s="675"/>
      <c r="AG115" s="680" t="s">
        <v>640</v>
      </c>
    </row>
    <row r="116" spans="1:33" s="536" customFormat="1" ht="12" x14ac:dyDescent="0.2">
      <c r="A116" s="605"/>
      <c r="B116" s="552"/>
      <c r="C116" s="1822" t="s">
        <v>314</v>
      </c>
      <c r="D116" s="1822"/>
      <c r="E116" s="1822"/>
      <c r="F116" s="562" t="s">
        <v>315</v>
      </c>
      <c r="G116" s="562" t="s">
        <v>1373</v>
      </c>
      <c r="H116" s="562" t="s">
        <v>313</v>
      </c>
      <c r="I116" s="562" t="s">
        <v>2089</v>
      </c>
      <c r="J116" s="604"/>
      <c r="K116" s="562"/>
      <c r="L116" s="604"/>
      <c r="M116" s="603"/>
      <c r="N116" s="602"/>
      <c r="V116" s="674"/>
      <c r="W116" s="675"/>
      <c r="AA116" s="537" t="s">
        <v>314</v>
      </c>
      <c r="AC116" s="675"/>
      <c r="AD116" s="675"/>
      <c r="AF116" s="675"/>
      <c r="AG116" s="680"/>
    </row>
    <row r="117" spans="1:33" s="536" customFormat="1" ht="12" x14ac:dyDescent="0.2">
      <c r="A117" s="605"/>
      <c r="B117" s="552"/>
      <c r="C117" s="1822" t="s">
        <v>348</v>
      </c>
      <c r="D117" s="1822"/>
      <c r="E117" s="1822"/>
      <c r="F117" s="562" t="s">
        <v>315</v>
      </c>
      <c r="G117" s="562" t="s">
        <v>1375</v>
      </c>
      <c r="H117" s="562" t="s">
        <v>313</v>
      </c>
      <c r="I117" s="562" t="s">
        <v>2090</v>
      </c>
      <c r="J117" s="604"/>
      <c r="K117" s="562"/>
      <c r="L117" s="604"/>
      <c r="M117" s="603"/>
      <c r="N117" s="602"/>
      <c r="V117" s="674"/>
      <c r="W117" s="675"/>
      <c r="AA117" s="537" t="s">
        <v>348</v>
      </c>
      <c r="AC117" s="675"/>
      <c r="AD117" s="675"/>
      <c r="AF117" s="675"/>
      <c r="AG117" s="680"/>
    </row>
    <row r="118" spans="1:33" s="536" customFormat="1" ht="12" x14ac:dyDescent="0.2">
      <c r="A118" s="605"/>
      <c r="B118" s="552"/>
      <c r="C118" s="1828" t="s">
        <v>318</v>
      </c>
      <c r="D118" s="1828"/>
      <c r="E118" s="1828"/>
      <c r="F118" s="608"/>
      <c r="G118" s="608"/>
      <c r="H118" s="608"/>
      <c r="I118" s="608"/>
      <c r="J118" s="607">
        <v>3528.33</v>
      </c>
      <c r="K118" s="608"/>
      <c r="L118" s="607">
        <v>996.83</v>
      </c>
      <c r="M118" s="601"/>
      <c r="N118" s="606"/>
      <c r="V118" s="674"/>
      <c r="W118" s="675"/>
      <c r="AB118" s="537" t="s">
        <v>318</v>
      </c>
      <c r="AC118" s="675"/>
      <c r="AD118" s="675"/>
      <c r="AF118" s="675"/>
      <c r="AG118" s="680"/>
    </row>
    <row r="119" spans="1:33" s="536" customFormat="1" ht="12" x14ac:dyDescent="0.2">
      <c r="A119" s="605"/>
      <c r="B119" s="552"/>
      <c r="C119" s="1822" t="s">
        <v>319</v>
      </c>
      <c r="D119" s="1822"/>
      <c r="E119" s="1822"/>
      <c r="F119" s="562"/>
      <c r="G119" s="562"/>
      <c r="H119" s="562"/>
      <c r="I119" s="562"/>
      <c r="J119" s="604"/>
      <c r="K119" s="562"/>
      <c r="L119" s="604">
        <v>386.46</v>
      </c>
      <c r="M119" s="603"/>
      <c r="N119" s="602"/>
      <c r="V119" s="674"/>
      <c r="W119" s="675"/>
      <c r="AA119" s="537" t="s">
        <v>319</v>
      </c>
      <c r="AC119" s="675"/>
      <c r="AD119" s="675"/>
      <c r="AF119" s="675"/>
      <c r="AG119" s="680"/>
    </row>
    <row r="120" spans="1:33" s="536" customFormat="1" ht="33.75" x14ac:dyDescent="0.2">
      <c r="A120" s="605"/>
      <c r="B120" s="552" t="s">
        <v>686</v>
      </c>
      <c r="C120" s="1822" t="s">
        <v>687</v>
      </c>
      <c r="D120" s="1822"/>
      <c r="E120" s="1822"/>
      <c r="F120" s="562" t="s">
        <v>322</v>
      </c>
      <c r="G120" s="562" t="s">
        <v>680</v>
      </c>
      <c r="H120" s="562"/>
      <c r="I120" s="562" t="s">
        <v>680</v>
      </c>
      <c r="J120" s="604"/>
      <c r="K120" s="562"/>
      <c r="L120" s="604">
        <v>394.19</v>
      </c>
      <c r="M120" s="603"/>
      <c r="N120" s="602"/>
      <c r="V120" s="674"/>
      <c r="W120" s="675"/>
      <c r="AA120" s="537" t="s">
        <v>687</v>
      </c>
      <c r="AC120" s="675"/>
      <c r="AD120" s="675"/>
      <c r="AF120" s="675"/>
      <c r="AG120" s="680"/>
    </row>
    <row r="121" spans="1:33" s="536" customFormat="1" ht="33.75" x14ac:dyDescent="0.2">
      <c r="A121" s="605"/>
      <c r="B121" s="552" t="s">
        <v>688</v>
      </c>
      <c r="C121" s="1822" t="s">
        <v>689</v>
      </c>
      <c r="D121" s="1822"/>
      <c r="E121" s="1822"/>
      <c r="F121" s="562" t="s">
        <v>322</v>
      </c>
      <c r="G121" s="562" t="s">
        <v>690</v>
      </c>
      <c r="H121" s="562"/>
      <c r="I121" s="562" t="s">
        <v>690</v>
      </c>
      <c r="J121" s="604"/>
      <c r="K121" s="562"/>
      <c r="L121" s="604">
        <v>224.15</v>
      </c>
      <c r="M121" s="603"/>
      <c r="N121" s="602"/>
      <c r="V121" s="674"/>
      <c r="W121" s="675"/>
      <c r="AA121" s="537" t="s">
        <v>689</v>
      </c>
      <c r="AC121" s="675"/>
      <c r="AD121" s="675"/>
      <c r="AF121" s="675"/>
      <c r="AG121" s="680"/>
    </row>
    <row r="122" spans="1:33" s="536" customFormat="1" ht="12" x14ac:dyDescent="0.2">
      <c r="A122" s="569"/>
      <c r="B122" s="656"/>
      <c r="C122" s="1823" t="s">
        <v>327</v>
      </c>
      <c r="D122" s="1823"/>
      <c r="E122" s="1823"/>
      <c r="F122" s="573"/>
      <c r="G122" s="573"/>
      <c r="H122" s="573"/>
      <c r="I122" s="573"/>
      <c r="J122" s="572"/>
      <c r="K122" s="573"/>
      <c r="L122" s="572">
        <v>1615.17</v>
      </c>
      <c r="M122" s="601"/>
      <c r="N122" s="570"/>
      <c r="V122" s="674"/>
      <c r="W122" s="675"/>
      <c r="AC122" s="675" t="s">
        <v>327</v>
      </c>
      <c r="AD122" s="675"/>
      <c r="AF122" s="675"/>
      <c r="AG122" s="680"/>
    </row>
    <row r="123" spans="1:33" s="536" customFormat="1" ht="22.5" x14ac:dyDescent="0.2">
      <c r="A123" s="575" t="s">
        <v>191</v>
      </c>
      <c r="B123" s="657" t="s">
        <v>1377</v>
      </c>
      <c r="C123" s="1823" t="s">
        <v>1378</v>
      </c>
      <c r="D123" s="1823"/>
      <c r="E123" s="1823"/>
      <c r="F123" s="573" t="s">
        <v>641</v>
      </c>
      <c r="G123" s="573"/>
      <c r="H123" s="573"/>
      <c r="I123" s="573" t="s">
        <v>2088</v>
      </c>
      <c r="J123" s="572">
        <v>560</v>
      </c>
      <c r="K123" s="573"/>
      <c r="L123" s="572">
        <v>13611.7</v>
      </c>
      <c r="M123" s="571"/>
      <c r="N123" s="570"/>
      <c r="V123" s="674"/>
      <c r="W123" s="675" t="s">
        <v>1378</v>
      </c>
      <c r="AC123" s="675"/>
      <c r="AD123" s="675"/>
      <c r="AF123" s="675"/>
      <c r="AG123" s="680"/>
    </row>
    <row r="124" spans="1:33" s="536" customFormat="1" ht="12" x14ac:dyDescent="0.2">
      <c r="A124" s="569"/>
      <c r="B124" s="656"/>
      <c r="C124" s="661" t="s">
        <v>717</v>
      </c>
      <c r="D124" s="662"/>
      <c r="E124" s="662"/>
      <c r="F124" s="563"/>
      <c r="G124" s="563"/>
      <c r="H124" s="563"/>
      <c r="I124" s="563"/>
      <c r="J124" s="566"/>
      <c r="K124" s="563"/>
      <c r="L124" s="566"/>
      <c r="M124" s="565"/>
      <c r="N124" s="564"/>
      <c r="V124" s="674"/>
      <c r="W124" s="675"/>
      <c r="AC124" s="675"/>
      <c r="AD124" s="675"/>
      <c r="AF124" s="675"/>
      <c r="AG124" s="680"/>
    </row>
    <row r="125" spans="1:33" s="536" customFormat="1" ht="22.5" x14ac:dyDescent="0.2">
      <c r="A125" s="575" t="s">
        <v>192</v>
      </c>
      <c r="B125" s="657" t="s">
        <v>1380</v>
      </c>
      <c r="C125" s="1823" t="s">
        <v>1381</v>
      </c>
      <c r="D125" s="1823"/>
      <c r="E125" s="1823"/>
      <c r="F125" s="573" t="s">
        <v>509</v>
      </c>
      <c r="G125" s="573"/>
      <c r="H125" s="573"/>
      <c r="I125" s="573" t="s">
        <v>2091</v>
      </c>
      <c r="J125" s="572"/>
      <c r="K125" s="573"/>
      <c r="L125" s="572"/>
      <c r="M125" s="571"/>
      <c r="N125" s="570"/>
      <c r="V125" s="674"/>
      <c r="W125" s="675" t="s">
        <v>1381</v>
      </c>
      <c r="AC125" s="675"/>
      <c r="AD125" s="675"/>
      <c r="AF125" s="675"/>
      <c r="AG125" s="680"/>
    </row>
    <row r="126" spans="1:33" s="536" customFormat="1" ht="12" x14ac:dyDescent="0.2">
      <c r="A126" s="676"/>
      <c r="B126" s="655"/>
      <c r="C126" s="1822" t="s">
        <v>2092</v>
      </c>
      <c r="D126" s="1822"/>
      <c r="E126" s="1822"/>
      <c r="F126" s="1822"/>
      <c r="G126" s="1822"/>
      <c r="H126" s="1822"/>
      <c r="I126" s="1822"/>
      <c r="J126" s="1822"/>
      <c r="K126" s="1822"/>
      <c r="L126" s="1822"/>
      <c r="M126" s="1822"/>
      <c r="N126" s="1827"/>
      <c r="V126" s="674"/>
      <c r="W126" s="675"/>
      <c r="X126" s="537" t="s">
        <v>2092</v>
      </c>
      <c r="AC126" s="675"/>
      <c r="AD126" s="675"/>
      <c r="AF126" s="675"/>
      <c r="AG126" s="680"/>
    </row>
    <row r="127" spans="1:33" s="536" customFormat="1" ht="33.75" x14ac:dyDescent="0.2">
      <c r="A127" s="609"/>
      <c r="B127" s="552" t="s">
        <v>310</v>
      </c>
      <c r="C127" s="1822" t="s">
        <v>311</v>
      </c>
      <c r="D127" s="1822"/>
      <c r="E127" s="1822"/>
      <c r="F127" s="1822"/>
      <c r="G127" s="1822"/>
      <c r="H127" s="1822"/>
      <c r="I127" s="1822"/>
      <c r="J127" s="1822"/>
      <c r="K127" s="1822"/>
      <c r="L127" s="1822"/>
      <c r="M127" s="1822"/>
      <c r="N127" s="1827"/>
      <c r="V127" s="674"/>
      <c r="W127" s="675"/>
      <c r="Y127" s="537" t="s">
        <v>311</v>
      </c>
      <c r="AC127" s="675"/>
      <c r="AD127" s="675"/>
      <c r="AF127" s="675"/>
      <c r="AG127" s="680"/>
    </row>
    <row r="128" spans="1:33" s="536" customFormat="1" ht="12" x14ac:dyDescent="0.2">
      <c r="A128" s="605"/>
      <c r="B128" s="552" t="s">
        <v>185</v>
      </c>
      <c r="C128" s="1822" t="s">
        <v>312</v>
      </c>
      <c r="D128" s="1822"/>
      <c r="E128" s="1822"/>
      <c r="F128" s="562"/>
      <c r="G128" s="562"/>
      <c r="H128" s="562"/>
      <c r="I128" s="562"/>
      <c r="J128" s="604">
        <v>1526.87</v>
      </c>
      <c r="K128" s="562" t="s">
        <v>313</v>
      </c>
      <c r="L128" s="604">
        <v>1216.1500000000001</v>
      </c>
      <c r="M128" s="603"/>
      <c r="N128" s="602"/>
      <c r="V128" s="674"/>
      <c r="W128" s="675"/>
      <c r="Z128" s="537" t="s">
        <v>312</v>
      </c>
      <c r="AC128" s="675"/>
      <c r="AD128" s="675"/>
      <c r="AF128" s="675"/>
      <c r="AG128" s="680"/>
    </row>
    <row r="129" spans="1:33" s="536" customFormat="1" ht="12" x14ac:dyDescent="0.2">
      <c r="A129" s="605"/>
      <c r="B129" s="552" t="s">
        <v>186</v>
      </c>
      <c r="C129" s="1822" t="s">
        <v>344</v>
      </c>
      <c r="D129" s="1822"/>
      <c r="E129" s="1822"/>
      <c r="F129" s="562"/>
      <c r="G129" s="562"/>
      <c r="H129" s="562"/>
      <c r="I129" s="562"/>
      <c r="J129" s="604">
        <v>2518.58</v>
      </c>
      <c r="K129" s="562" t="s">
        <v>313</v>
      </c>
      <c r="L129" s="604">
        <v>2006.05</v>
      </c>
      <c r="M129" s="603"/>
      <c r="N129" s="602"/>
      <c r="V129" s="674"/>
      <c r="W129" s="675"/>
      <c r="Z129" s="537" t="s">
        <v>344</v>
      </c>
      <c r="AC129" s="675"/>
      <c r="AD129" s="675"/>
      <c r="AF129" s="675"/>
      <c r="AG129" s="680"/>
    </row>
    <row r="130" spans="1:33" s="536" customFormat="1" ht="12" x14ac:dyDescent="0.2">
      <c r="A130" s="605"/>
      <c r="B130" s="552" t="s">
        <v>187</v>
      </c>
      <c r="C130" s="1822" t="s">
        <v>345</v>
      </c>
      <c r="D130" s="1822"/>
      <c r="E130" s="1822"/>
      <c r="F130" s="562"/>
      <c r="G130" s="562"/>
      <c r="H130" s="562"/>
      <c r="I130" s="562"/>
      <c r="J130" s="604">
        <v>382.14</v>
      </c>
      <c r="K130" s="562" t="s">
        <v>313</v>
      </c>
      <c r="L130" s="604">
        <v>304.37</v>
      </c>
      <c r="M130" s="603"/>
      <c r="N130" s="602"/>
      <c r="V130" s="674"/>
      <c r="W130" s="675"/>
      <c r="Z130" s="537" t="s">
        <v>345</v>
      </c>
      <c r="AC130" s="675"/>
      <c r="AD130" s="675"/>
      <c r="AF130" s="675"/>
      <c r="AG130" s="680"/>
    </row>
    <row r="131" spans="1:33" s="536" customFormat="1" ht="12" x14ac:dyDescent="0.2">
      <c r="A131" s="605"/>
      <c r="B131" s="552" t="s">
        <v>188</v>
      </c>
      <c r="C131" s="1822" t="s">
        <v>475</v>
      </c>
      <c r="D131" s="1822"/>
      <c r="E131" s="1822"/>
      <c r="F131" s="562"/>
      <c r="G131" s="562"/>
      <c r="H131" s="562"/>
      <c r="I131" s="562"/>
      <c r="J131" s="604">
        <v>488.42</v>
      </c>
      <c r="K131" s="562"/>
      <c r="L131" s="604">
        <v>311.22000000000003</v>
      </c>
      <c r="M131" s="603"/>
      <c r="N131" s="602"/>
      <c r="V131" s="674"/>
      <c r="W131" s="675"/>
      <c r="Z131" s="537" t="s">
        <v>475</v>
      </c>
      <c r="AC131" s="675"/>
      <c r="AD131" s="675"/>
      <c r="AF131" s="675"/>
      <c r="AG131" s="680"/>
    </row>
    <row r="132" spans="1:33" s="536" customFormat="1" ht="12" x14ac:dyDescent="0.2">
      <c r="A132" s="676"/>
      <c r="B132" s="677" t="s">
        <v>639</v>
      </c>
      <c r="C132" s="1829" t="s">
        <v>640</v>
      </c>
      <c r="D132" s="1829"/>
      <c r="E132" s="1829"/>
      <c r="F132" s="678" t="s">
        <v>641</v>
      </c>
      <c r="G132" s="678" t="s">
        <v>1384</v>
      </c>
      <c r="H132" s="678"/>
      <c r="I132" s="678" t="s">
        <v>2093</v>
      </c>
      <c r="J132" s="552"/>
      <c r="K132" s="562"/>
      <c r="L132" s="604"/>
      <c r="M132" s="562"/>
      <c r="N132" s="679"/>
      <c r="V132" s="674"/>
      <c r="W132" s="675"/>
      <c r="AC132" s="675"/>
      <c r="AD132" s="675"/>
      <c r="AF132" s="675"/>
      <c r="AG132" s="680" t="s">
        <v>640</v>
      </c>
    </row>
    <row r="133" spans="1:33" s="536" customFormat="1" ht="12" x14ac:dyDescent="0.2">
      <c r="A133" s="676"/>
      <c r="B133" s="677" t="s">
        <v>1272</v>
      </c>
      <c r="C133" s="1829" t="s">
        <v>1273</v>
      </c>
      <c r="D133" s="1829"/>
      <c r="E133" s="1829"/>
      <c r="F133" s="678" t="s">
        <v>694</v>
      </c>
      <c r="G133" s="678" t="s">
        <v>1386</v>
      </c>
      <c r="H133" s="678"/>
      <c r="I133" s="678" t="s">
        <v>2094</v>
      </c>
      <c r="J133" s="552"/>
      <c r="K133" s="562"/>
      <c r="L133" s="604"/>
      <c r="M133" s="562"/>
      <c r="N133" s="679"/>
      <c r="V133" s="674"/>
      <c r="W133" s="675"/>
      <c r="AC133" s="675"/>
      <c r="AD133" s="675"/>
      <c r="AF133" s="675"/>
      <c r="AG133" s="680" t="s">
        <v>1273</v>
      </c>
    </row>
    <row r="134" spans="1:33" s="536" customFormat="1" ht="12" x14ac:dyDescent="0.2">
      <c r="A134" s="605"/>
      <c r="B134" s="552"/>
      <c r="C134" s="1822" t="s">
        <v>314</v>
      </c>
      <c r="D134" s="1822"/>
      <c r="E134" s="1822"/>
      <c r="F134" s="562" t="s">
        <v>315</v>
      </c>
      <c r="G134" s="562" t="s">
        <v>1388</v>
      </c>
      <c r="H134" s="562" t="s">
        <v>313</v>
      </c>
      <c r="I134" s="562" t="s">
        <v>2095</v>
      </c>
      <c r="J134" s="604"/>
      <c r="K134" s="562"/>
      <c r="L134" s="604"/>
      <c r="M134" s="603"/>
      <c r="N134" s="602"/>
      <c r="V134" s="674"/>
      <c r="W134" s="675"/>
      <c r="AA134" s="537" t="s">
        <v>314</v>
      </c>
      <c r="AC134" s="675"/>
      <c r="AD134" s="675"/>
      <c r="AF134" s="675"/>
      <c r="AG134" s="680"/>
    </row>
    <row r="135" spans="1:33" s="536" customFormat="1" ht="12" x14ac:dyDescent="0.2">
      <c r="A135" s="605"/>
      <c r="B135" s="552"/>
      <c r="C135" s="1822" t="s">
        <v>348</v>
      </c>
      <c r="D135" s="1822"/>
      <c r="E135" s="1822"/>
      <c r="F135" s="562" t="s">
        <v>315</v>
      </c>
      <c r="G135" s="562" t="s">
        <v>1390</v>
      </c>
      <c r="H135" s="562" t="s">
        <v>313</v>
      </c>
      <c r="I135" s="562" t="s">
        <v>2096</v>
      </c>
      <c r="J135" s="604"/>
      <c r="K135" s="562"/>
      <c r="L135" s="604"/>
      <c r="M135" s="603"/>
      <c r="N135" s="602"/>
      <c r="V135" s="674"/>
      <c r="W135" s="675"/>
      <c r="AA135" s="537" t="s">
        <v>348</v>
      </c>
      <c r="AC135" s="675"/>
      <c r="AD135" s="675"/>
      <c r="AF135" s="675"/>
      <c r="AG135" s="680"/>
    </row>
    <row r="136" spans="1:33" s="536" customFormat="1" ht="12" x14ac:dyDescent="0.2">
      <c r="A136" s="605"/>
      <c r="B136" s="552"/>
      <c r="C136" s="1828" t="s">
        <v>318</v>
      </c>
      <c r="D136" s="1828"/>
      <c r="E136" s="1828"/>
      <c r="F136" s="608"/>
      <c r="G136" s="608"/>
      <c r="H136" s="608"/>
      <c r="I136" s="608"/>
      <c r="J136" s="607">
        <v>4533.87</v>
      </c>
      <c r="K136" s="608"/>
      <c r="L136" s="607">
        <v>3533.42</v>
      </c>
      <c r="M136" s="601"/>
      <c r="N136" s="606"/>
      <c r="V136" s="674"/>
      <c r="W136" s="675"/>
      <c r="AB136" s="537" t="s">
        <v>318</v>
      </c>
      <c r="AC136" s="675"/>
      <c r="AD136" s="675"/>
      <c r="AF136" s="675"/>
      <c r="AG136" s="680"/>
    </row>
    <row r="137" spans="1:33" s="536" customFormat="1" ht="12" x14ac:dyDescent="0.2">
      <c r="A137" s="605"/>
      <c r="B137" s="552"/>
      <c r="C137" s="1822" t="s">
        <v>319</v>
      </c>
      <c r="D137" s="1822"/>
      <c r="E137" s="1822"/>
      <c r="F137" s="562"/>
      <c r="G137" s="562"/>
      <c r="H137" s="562"/>
      <c r="I137" s="562"/>
      <c r="J137" s="604"/>
      <c r="K137" s="562"/>
      <c r="L137" s="604">
        <v>1520.52</v>
      </c>
      <c r="M137" s="603"/>
      <c r="N137" s="602"/>
      <c r="V137" s="674"/>
      <c r="W137" s="675"/>
      <c r="AA137" s="537" t="s">
        <v>319</v>
      </c>
      <c r="AC137" s="675"/>
      <c r="AD137" s="675"/>
      <c r="AF137" s="675"/>
      <c r="AG137" s="680"/>
    </row>
    <row r="138" spans="1:33" s="536" customFormat="1" ht="33.75" x14ac:dyDescent="0.2">
      <c r="A138" s="605"/>
      <c r="B138" s="552" t="s">
        <v>686</v>
      </c>
      <c r="C138" s="1822" t="s">
        <v>687</v>
      </c>
      <c r="D138" s="1822"/>
      <c r="E138" s="1822"/>
      <c r="F138" s="562" t="s">
        <v>322</v>
      </c>
      <c r="G138" s="562" t="s">
        <v>680</v>
      </c>
      <c r="H138" s="562"/>
      <c r="I138" s="562" t="s">
        <v>680</v>
      </c>
      <c r="J138" s="604"/>
      <c r="K138" s="562"/>
      <c r="L138" s="604">
        <v>1550.93</v>
      </c>
      <c r="M138" s="603"/>
      <c r="N138" s="602"/>
      <c r="V138" s="674"/>
      <c r="W138" s="675"/>
      <c r="AA138" s="537" t="s">
        <v>687</v>
      </c>
      <c r="AC138" s="675"/>
      <c r="AD138" s="675"/>
      <c r="AF138" s="675"/>
      <c r="AG138" s="680"/>
    </row>
    <row r="139" spans="1:33" s="536" customFormat="1" ht="33.75" x14ac:dyDescent="0.2">
      <c r="A139" s="605"/>
      <c r="B139" s="552" t="s">
        <v>688</v>
      </c>
      <c r="C139" s="1822" t="s">
        <v>689</v>
      </c>
      <c r="D139" s="1822"/>
      <c r="E139" s="1822"/>
      <c r="F139" s="562" t="s">
        <v>322</v>
      </c>
      <c r="G139" s="562" t="s">
        <v>690</v>
      </c>
      <c r="H139" s="562"/>
      <c r="I139" s="562" t="s">
        <v>690</v>
      </c>
      <c r="J139" s="604"/>
      <c r="K139" s="562"/>
      <c r="L139" s="604">
        <v>881.9</v>
      </c>
      <c r="M139" s="603"/>
      <c r="N139" s="602"/>
      <c r="V139" s="674"/>
      <c r="W139" s="675"/>
      <c r="AA139" s="537" t="s">
        <v>689</v>
      </c>
      <c r="AC139" s="675"/>
      <c r="AD139" s="675"/>
      <c r="AF139" s="675"/>
      <c r="AG139" s="680"/>
    </row>
    <row r="140" spans="1:33" s="536" customFormat="1" ht="12" x14ac:dyDescent="0.2">
      <c r="A140" s="569"/>
      <c r="B140" s="656"/>
      <c r="C140" s="1823" t="s">
        <v>327</v>
      </c>
      <c r="D140" s="1823"/>
      <c r="E140" s="1823"/>
      <c r="F140" s="573"/>
      <c r="G140" s="573"/>
      <c r="H140" s="573"/>
      <c r="I140" s="573"/>
      <c r="J140" s="572"/>
      <c r="K140" s="573"/>
      <c r="L140" s="572">
        <v>5966.25</v>
      </c>
      <c r="M140" s="601"/>
      <c r="N140" s="570"/>
      <c r="V140" s="674"/>
      <c r="W140" s="675"/>
      <c r="AC140" s="675" t="s">
        <v>327</v>
      </c>
      <c r="AD140" s="675"/>
      <c r="AF140" s="675"/>
      <c r="AG140" s="680"/>
    </row>
    <row r="141" spans="1:33" s="536" customFormat="1" ht="22.5" x14ac:dyDescent="0.2">
      <c r="A141" s="575" t="s">
        <v>193</v>
      </c>
      <c r="B141" s="657" t="s">
        <v>1392</v>
      </c>
      <c r="C141" s="1823" t="s">
        <v>1393</v>
      </c>
      <c r="D141" s="1823"/>
      <c r="E141" s="1823"/>
      <c r="F141" s="573" t="s">
        <v>641</v>
      </c>
      <c r="G141" s="573"/>
      <c r="H141" s="573"/>
      <c r="I141" s="573" t="s">
        <v>2093</v>
      </c>
      <c r="J141" s="572">
        <v>725.69</v>
      </c>
      <c r="K141" s="573"/>
      <c r="L141" s="572">
        <v>46934.58</v>
      </c>
      <c r="M141" s="571"/>
      <c r="N141" s="570"/>
      <c r="V141" s="674"/>
      <c r="W141" s="675" t="s">
        <v>1393</v>
      </c>
      <c r="AC141" s="675"/>
      <c r="AD141" s="675"/>
      <c r="AF141" s="675"/>
      <c r="AG141" s="680"/>
    </row>
    <row r="142" spans="1:33" s="536" customFormat="1" ht="12" x14ac:dyDescent="0.2">
      <c r="A142" s="569"/>
      <c r="B142" s="656"/>
      <c r="C142" s="661" t="s">
        <v>717</v>
      </c>
      <c r="D142" s="662"/>
      <c r="E142" s="662"/>
      <c r="F142" s="563"/>
      <c r="G142" s="563"/>
      <c r="H142" s="563"/>
      <c r="I142" s="563"/>
      <c r="J142" s="566"/>
      <c r="K142" s="563"/>
      <c r="L142" s="566"/>
      <c r="M142" s="565"/>
      <c r="N142" s="564"/>
      <c r="V142" s="674"/>
      <c r="W142" s="675"/>
      <c r="AC142" s="675"/>
      <c r="AD142" s="675"/>
      <c r="AF142" s="675"/>
      <c r="AG142" s="680"/>
    </row>
    <row r="143" spans="1:33" s="536" customFormat="1" ht="33.75" x14ac:dyDescent="0.2">
      <c r="A143" s="575" t="s">
        <v>194</v>
      </c>
      <c r="B143" s="657" t="s">
        <v>657</v>
      </c>
      <c r="C143" s="1823" t="s">
        <v>2097</v>
      </c>
      <c r="D143" s="1823"/>
      <c r="E143" s="1823"/>
      <c r="F143" s="573" t="s">
        <v>641</v>
      </c>
      <c r="G143" s="573"/>
      <c r="H143" s="573"/>
      <c r="I143" s="573" t="s">
        <v>2098</v>
      </c>
      <c r="J143" s="572">
        <v>9.69</v>
      </c>
      <c r="K143" s="573"/>
      <c r="L143" s="572">
        <v>617.45000000000005</v>
      </c>
      <c r="M143" s="571"/>
      <c r="N143" s="570"/>
      <c r="V143" s="674"/>
      <c r="W143" s="675" t="s">
        <v>2097</v>
      </c>
      <c r="AC143" s="675"/>
      <c r="AD143" s="675"/>
      <c r="AF143" s="675"/>
      <c r="AG143" s="680"/>
    </row>
    <row r="144" spans="1:33" s="536" customFormat="1" ht="12" x14ac:dyDescent="0.2">
      <c r="A144" s="569"/>
      <c r="B144" s="656"/>
      <c r="C144" s="661" t="s">
        <v>717</v>
      </c>
      <c r="D144" s="662"/>
      <c r="E144" s="662"/>
      <c r="F144" s="563"/>
      <c r="G144" s="563"/>
      <c r="H144" s="563"/>
      <c r="I144" s="563"/>
      <c r="J144" s="566"/>
      <c r="K144" s="563"/>
      <c r="L144" s="566"/>
      <c r="M144" s="565"/>
      <c r="N144" s="564"/>
      <c r="V144" s="674"/>
      <c r="W144" s="675"/>
      <c r="AC144" s="675"/>
      <c r="AD144" s="675"/>
      <c r="AF144" s="675"/>
      <c r="AG144" s="680"/>
    </row>
    <row r="145" spans="1:34" s="536" customFormat="1" ht="12" x14ac:dyDescent="0.2">
      <c r="A145" s="676"/>
      <c r="B145" s="655"/>
      <c r="C145" s="1822" t="s">
        <v>1399</v>
      </c>
      <c r="D145" s="1822"/>
      <c r="E145" s="1822"/>
      <c r="F145" s="1822"/>
      <c r="G145" s="1822"/>
      <c r="H145" s="1822"/>
      <c r="I145" s="1822"/>
      <c r="J145" s="1822"/>
      <c r="K145" s="1822"/>
      <c r="L145" s="1822"/>
      <c r="M145" s="1822"/>
      <c r="N145" s="1827"/>
      <c r="V145" s="674"/>
      <c r="W145" s="675"/>
      <c r="AC145" s="675"/>
      <c r="AD145" s="675"/>
      <c r="AF145" s="675"/>
      <c r="AG145" s="680"/>
      <c r="AH145" s="537" t="s">
        <v>1399</v>
      </c>
    </row>
    <row r="146" spans="1:34" s="536" customFormat="1" ht="22.5" x14ac:dyDescent="0.2">
      <c r="A146" s="575" t="s">
        <v>195</v>
      </c>
      <c r="B146" s="657" t="s">
        <v>1400</v>
      </c>
      <c r="C146" s="1823" t="s">
        <v>1401</v>
      </c>
      <c r="D146" s="1823"/>
      <c r="E146" s="1823"/>
      <c r="F146" s="573" t="s">
        <v>694</v>
      </c>
      <c r="G146" s="573"/>
      <c r="H146" s="573"/>
      <c r="I146" s="573" t="s">
        <v>2099</v>
      </c>
      <c r="J146" s="572">
        <v>5584.58</v>
      </c>
      <c r="K146" s="573"/>
      <c r="L146" s="572">
        <v>22980.55</v>
      </c>
      <c r="M146" s="571"/>
      <c r="N146" s="570"/>
      <c r="V146" s="674"/>
      <c r="W146" s="675" t="s">
        <v>1401</v>
      </c>
      <c r="AC146" s="675"/>
      <c r="AD146" s="675"/>
      <c r="AF146" s="675"/>
      <c r="AG146" s="680"/>
    </row>
    <row r="147" spans="1:34" s="536" customFormat="1" ht="12" x14ac:dyDescent="0.2">
      <c r="A147" s="569"/>
      <c r="B147" s="656"/>
      <c r="C147" s="661" t="s">
        <v>717</v>
      </c>
      <c r="D147" s="662"/>
      <c r="E147" s="662"/>
      <c r="F147" s="563"/>
      <c r="G147" s="563"/>
      <c r="H147" s="563"/>
      <c r="I147" s="563"/>
      <c r="J147" s="566"/>
      <c r="K147" s="563"/>
      <c r="L147" s="566"/>
      <c r="M147" s="565"/>
      <c r="N147" s="564"/>
      <c r="V147" s="674"/>
      <c r="W147" s="675"/>
      <c r="AC147" s="675"/>
      <c r="AD147" s="675"/>
      <c r="AF147" s="675"/>
      <c r="AG147" s="680"/>
    </row>
    <row r="148" spans="1:34" s="536" customFormat="1" ht="12" x14ac:dyDescent="0.2">
      <c r="A148" s="676"/>
      <c r="B148" s="655"/>
      <c r="C148" s="1822" t="s">
        <v>2100</v>
      </c>
      <c r="D148" s="1822"/>
      <c r="E148" s="1822"/>
      <c r="F148" s="1822"/>
      <c r="G148" s="1822"/>
      <c r="H148" s="1822"/>
      <c r="I148" s="1822"/>
      <c r="J148" s="1822"/>
      <c r="K148" s="1822"/>
      <c r="L148" s="1822"/>
      <c r="M148" s="1822"/>
      <c r="N148" s="1827"/>
      <c r="V148" s="674"/>
      <c r="W148" s="675"/>
      <c r="X148" s="537" t="s">
        <v>2100</v>
      </c>
      <c r="AC148" s="675"/>
      <c r="AD148" s="675"/>
      <c r="AF148" s="675"/>
      <c r="AG148" s="680"/>
    </row>
    <row r="149" spans="1:34" s="536" customFormat="1" ht="22.5" x14ac:dyDescent="0.2">
      <c r="A149" s="575" t="s">
        <v>196</v>
      </c>
      <c r="B149" s="657" t="s">
        <v>2101</v>
      </c>
      <c r="C149" s="1823" t="s">
        <v>2102</v>
      </c>
      <c r="D149" s="1823"/>
      <c r="E149" s="1823"/>
      <c r="F149" s="573" t="s">
        <v>694</v>
      </c>
      <c r="G149" s="573"/>
      <c r="H149" s="573"/>
      <c r="I149" s="573" t="s">
        <v>2103</v>
      </c>
      <c r="J149" s="572"/>
      <c r="K149" s="573"/>
      <c r="L149" s="572"/>
      <c r="M149" s="571"/>
      <c r="N149" s="570"/>
      <c r="V149" s="674"/>
      <c r="W149" s="675" t="s">
        <v>2102</v>
      </c>
      <c r="AC149" s="675"/>
      <c r="AD149" s="675"/>
      <c r="AF149" s="675"/>
      <c r="AG149" s="680"/>
    </row>
    <row r="150" spans="1:34" s="536" customFormat="1" ht="12" x14ac:dyDescent="0.2">
      <c r="A150" s="676"/>
      <c r="B150" s="655"/>
      <c r="C150" s="1822" t="s">
        <v>2104</v>
      </c>
      <c r="D150" s="1822"/>
      <c r="E150" s="1822"/>
      <c r="F150" s="1822"/>
      <c r="G150" s="1822"/>
      <c r="H150" s="1822"/>
      <c r="I150" s="1822"/>
      <c r="J150" s="1822"/>
      <c r="K150" s="1822"/>
      <c r="L150" s="1822"/>
      <c r="M150" s="1822"/>
      <c r="N150" s="1827"/>
      <c r="V150" s="674"/>
      <c r="W150" s="675"/>
      <c r="X150" s="537" t="s">
        <v>2104</v>
      </c>
      <c r="AC150" s="675"/>
      <c r="AD150" s="675"/>
      <c r="AF150" s="675"/>
      <c r="AG150" s="680"/>
    </row>
    <row r="151" spans="1:34" s="536" customFormat="1" ht="33.75" x14ac:dyDescent="0.2">
      <c r="A151" s="609"/>
      <c r="B151" s="552" t="s">
        <v>310</v>
      </c>
      <c r="C151" s="1822" t="s">
        <v>311</v>
      </c>
      <c r="D151" s="1822"/>
      <c r="E151" s="1822"/>
      <c r="F151" s="1822"/>
      <c r="G151" s="1822"/>
      <c r="H151" s="1822"/>
      <c r="I151" s="1822"/>
      <c r="J151" s="1822"/>
      <c r="K151" s="1822"/>
      <c r="L151" s="1822"/>
      <c r="M151" s="1822"/>
      <c r="N151" s="1827"/>
      <c r="V151" s="674"/>
      <c r="W151" s="675"/>
      <c r="Y151" s="537" t="s">
        <v>311</v>
      </c>
      <c r="AC151" s="675"/>
      <c r="AD151" s="675"/>
      <c r="AF151" s="675"/>
      <c r="AG151" s="680"/>
    </row>
    <row r="152" spans="1:34" s="536" customFormat="1" ht="12" x14ac:dyDescent="0.2">
      <c r="A152" s="605"/>
      <c r="B152" s="552" t="s">
        <v>185</v>
      </c>
      <c r="C152" s="1822" t="s">
        <v>312</v>
      </c>
      <c r="D152" s="1822"/>
      <c r="E152" s="1822"/>
      <c r="F152" s="562"/>
      <c r="G152" s="562"/>
      <c r="H152" s="562"/>
      <c r="I152" s="562"/>
      <c r="J152" s="604">
        <v>2560.54</v>
      </c>
      <c r="K152" s="562" t="s">
        <v>313</v>
      </c>
      <c r="L152" s="604">
        <v>286.77999999999997</v>
      </c>
      <c r="M152" s="603"/>
      <c r="N152" s="602"/>
      <c r="V152" s="674"/>
      <c r="W152" s="675"/>
      <c r="Z152" s="537" t="s">
        <v>312</v>
      </c>
      <c r="AC152" s="675"/>
      <c r="AD152" s="675"/>
      <c r="AF152" s="675"/>
      <c r="AG152" s="680"/>
    </row>
    <row r="153" spans="1:34" s="536" customFormat="1" ht="12" x14ac:dyDescent="0.2">
      <c r="A153" s="605"/>
      <c r="B153" s="552" t="s">
        <v>186</v>
      </c>
      <c r="C153" s="1822" t="s">
        <v>344</v>
      </c>
      <c r="D153" s="1822"/>
      <c r="E153" s="1822"/>
      <c r="F153" s="562"/>
      <c r="G153" s="562"/>
      <c r="H153" s="562"/>
      <c r="I153" s="562"/>
      <c r="J153" s="604">
        <v>51.19</v>
      </c>
      <c r="K153" s="562" t="s">
        <v>313</v>
      </c>
      <c r="L153" s="604">
        <v>5.73</v>
      </c>
      <c r="M153" s="603"/>
      <c r="N153" s="602"/>
      <c r="V153" s="674"/>
      <c r="W153" s="675"/>
      <c r="Z153" s="537" t="s">
        <v>344</v>
      </c>
      <c r="AC153" s="675"/>
      <c r="AD153" s="675"/>
      <c r="AF153" s="675"/>
      <c r="AG153" s="680"/>
    </row>
    <row r="154" spans="1:34" s="536" customFormat="1" ht="12" x14ac:dyDescent="0.2">
      <c r="A154" s="605"/>
      <c r="B154" s="552" t="s">
        <v>187</v>
      </c>
      <c r="C154" s="1822" t="s">
        <v>345</v>
      </c>
      <c r="D154" s="1822"/>
      <c r="E154" s="1822"/>
      <c r="F154" s="562"/>
      <c r="G154" s="562"/>
      <c r="H154" s="562"/>
      <c r="I154" s="562"/>
      <c r="J154" s="604">
        <v>7.32</v>
      </c>
      <c r="K154" s="562" t="s">
        <v>313</v>
      </c>
      <c r="L154" s="604">
        <v>0.82</v>
      </c>
      <c r="M154" s="603"/>
      <c r="N154" s="602"/>
      <c r="V154" s="674"/>
      <c r="W154" s="675"/>
      <c r="Z154" s="537" t="s">
        <v>345</v>
      </c>
      <c r="AC154" s="675"/>
      <c r="AD154" s="675"/>
      <c r="AF154" s="675"/>
      <c r="AG154" s="680"/>
    </row>
    <row r="155" spans="1:34" s="536" customFormat="1" ht="12" x14ac:dyDescent="0.2">
      <c r="A155" s="605"/>
      <c r="B155" s="552" t="s">
        <v>188</v>
      </c>
      <c r="C155" s="1822" t="s">
        <v>475</v>
      </c>
      <c r="D155" s="1822"/>
      <c r="E155" s="1822"/>
      <c r="F155" s="562"/>
      <c r="G155" s="562"/>
      <c r="H155" s="562"/>
      <c r="I155" s="562"/>
      <c r="J155" s="604">
        <v>10103.459999999999</v>
      </c>
      <c r="K155" s="562"/>
      <c r="L155" s="604">
        <v>905.27</v>
      </c>
      <c r="M155" s="603"/>
      <c r="N155" s="602"/>
      <c r="V155" s="674"/>
      <c r="W155" s="675"/>
      <c r="Z155" s="537" t="s">
        <v>475</v>
      </c>
      <c r="AC155" s="675"/>
      <c r="AD155" s="675"/>
      <c r="AF155" s="675"/>
      <c r="AG155" s="680"/>
    </row>
    <row r="156" spans="1:34" s="536" customFormat="1" ht="12" x14ac:dyDescent="0.2">
      <c r="A156" s="605"/>
      <c r="B156" s="552"/>
      <c r="C156" s="1822" t="s">
        <v>314</v>
      </c>
      <c r="D156" s="1822"/>
      <c r="E156" s="1822"/>
      <c r="F156" s="562" t="s">
        <v>315</v>
      </c>
      <c r="G156" s="562" t="s">
        <v>2105</v>
      </c>
      <c r="H156" s="562" t="s">
        <v>313</v>
      </c>
      <c r="I156" s="562" t="s">
        <v>2106</v>
      </c>
      <c r="J156" s="604"/>
      <c r="K156" s="562"/>
      <c r="L156" s="604"/>
      <c r="M156" s="603"/>
      <c r="N156" s="602"/>
      <c r="V156" s="674"/>
      <c r="W156" s="675"/>
      <c r="AA156" s="537" t="s">
        <v>314</v>
      </c>
      <c r="AC156" s="675"/>
      <c r="AD156" s="675"/>
      <c r="AF156" s="675"/>
      <c r="AG156" s="680"/>
    </row>
    <row r="157" spans="1:34" s="536" customFormat="1" ht="12" x14ac:dyDescent="0.2">
      <c r="A157" s="605"/>
      <c r="B157" s="552"/>
      <c r="C157" s="1822" t="s">
        <v>348</v>
      </c>
      <c r="D157" s="1822"/>
      <c r="E157" s="1822"/>
      <c r="F157" s="562" t="s">
        <v>315</v>
      </c>
      <c r="G157" s="562" t="s">
        <v>1778</v>
      </c>
      <c r="H157" s="562" t="s">
        <v>313</v>
      </c>
      <c r="I157" s="562" t="s">
        <v>2107</v>
      </c>
      <c r="J157" s="604"/>
      <c r="K157" s="562"/>
      <c r="L157" s="604"/>
      <c r="M157" s="603"/>
      <c r="N157" s="602"/>
      <c r="V157" s="674"/>
      <c r="W157" s="675"/>
      <c r="AA157" s="537" t="s">
        <v>348</v>
      </c>
      <c r="AC157" s="675"/>
      <c r="AD157" s="675"/>
      <c r="AF157" s="675"/>
      <c r="AG157" s="680"/>
    </row>
    <row r="158" spans="1:34" s="536" customFormat="1" ht="12" x14ac:dyDescent="0.2">
      <c r="A158" s="605"/>
      <c r="B158" s="552"/>
      <c r="C158" s="1828" t="s">
        <v>318</v>
      </c>
      <c r="D158" s="1828"/>
      <c r="E158" s="1828"/>
      <c r="F158" s="608"/>
      <c r="G158" s="608"/>
      <c r="H158" s="608"/>
      <c r="I158" s="608"/>
      <c r="J158" s="607">
        <v>12715.19</v>
      </c>
      <c r="K158" s="608"/>
      <c r="L158" s="607">
        <v>1197.78</v>
      </c>
      <c r="M158" s="601"/>
      <c r="N158" s="606"/>
      <c r="V158" s="674"/>
      <c r="W158" s="675"/>
      <c r="AB158" s="537" t="s">
        <v>318</v>
      </c>
      <c r="AC158" s="675"/>
      <c r="AD158" s="675"/>
      <c r="AF158" s="675"/>
      <c r="AG158" s="680"/>
    </row>
    <row r="159" spans="1:34" s="536" customFormat="1" ht="12" x14ac:dyDescent="0.2">
      <c r="A159" s="605"/>
      <c r="B159" s="552"/>
      <c r="C159" s="1822" t="s">
        <v>319</v>
      </c>
      <c r="D159" s="1822"/>
      <c r="E159" s="1822"/>
      <c r="F159" s="562"/>
      <c r="G159" s="562"/>
      <c r="H159" s="562"/>
      <c r="I159" s="562"/>
      <c r="J159" s="604"/>
      <c r="K159" s="562"/>
      <c r="L159" s="604">
        <v>287.60000000000002</v>
      </c>
      <c r="M159" s="603"/>
      <c r="N159" s="602"/>
      <c r="V159" s="674"/>
      <c r="W159" s="675"/>
      <c r="AA159" s="537" t="s">
        <v>319</v>
      </c>
      <c r="AC159" s="675"/>
      <c r="AD159" s="675"/>
      <c r="AF159" s="675"/>
      <c r="AG159" s="680"/>
    </row>
    <row r="160" spans="1:34" s="536" customFormat="1" ht="33.75" x14ac:dyDescent="0.2">
      <c r="A160" s="605"/>
      <c r="B160" s="552" t="s">
        <v>686</v>
      </c>
      <c r="C160" s="1822" t="s">
        <v>687</v>
      </c>
      <c r="D160" s="1822"/>
      <c r="E160" s="1822"/>
      <c r="F160" s="562" t="s">
        <v>322</v>
      </c>
      <c r="G160" s="562" t="s">
        <v>680</v>
      </c>
      <c r="H160" s="562"/>
      <c r="I160" s="562" t="s">
        <v>680</v>
      </c>
      <c r="J160" s="604"/>
      <c r="K160" s="562"/>
      <c r="L160" s="604">
        <v>293.35000000000002</v>
      </c>
      <c r="M160" s="603"/>
      <c r="N160" s="602"/>
      <c r="V160" s="674"/>
      <c r="W160" s="675"/>
      <c r="AA160" s="537" t="s">
        <v>687</v>
      </c>
      <c r="AC160" s="675"/>
      <c r="AD160" s="675"/>
      <c r="AF160" s="675"/>
      <c r="AG160" s="680"/>
    </row>
    <row r="161" spans="1:33" s="536" customFormat="1" ht="33.75" x14ac:dyDescent="0.2">
      <c r="A161" s="605"/>
      <c r="B161" s="552" t="s">
        <v>688</v>
      </c>
      <c r="C161" s="1822" t="s">
        <v>689</v>
      </c>
      <c r="D161" s="1822"/>
      <c r="E161" s="1822"/>
      <c r="F161" s="562" t="s">
        <v>322</v>
      </c>
      <c r="G161" s="562" t="s">
        <v>690</v>
      </c>
      <c r="H161" s="562"/>
      <c r="I161" s="562" t="s">
        <v>690</v>
      </c>
      <c r="J161" s="604"/>
      <c r="K161" s="562"/>
      <c r="L161" s="604">
        <v>166.81</v>
      </c>
      <c r="M161" s="603"/>
      <c r="N161" s="602"/>
      <c r="V161" s="674"/>
      <c r="W161" s="675"/>
      <c r="AA161" s="537" t="s">
        <v>689</v>
      </c>
      <c r="AC161" s="675"/>
      <c r="AD161" s="675"/>
      <c r="AF161" s="675"/>
      <c r="AG161" s="680"/>
    </row>
    <row r="162" spans="1:33" s="536" customFormat="1" ht="12" x14ac:dyDescent="0.2">
      <c r="A162" s="569"/>
      <c r="B162" s="656"/>
      <c r="C162" s="1823" t="s">
        <v>327</v>
      </c>
      <c r="D162" s="1823"/>
      <c r="E162" s="1823"/>
      <c r="F162" s="573"/>
      <c r="G162" s="573"/>
      <c r="H162" s="573"/>
      <c r="I162" s="573"/>
      <c r="J162" s="572"/>
      <c r="K162" s="573"/>
      <c r="L162" s="572">
        <v>1657.94</v>
      </c>
      <c r="M162" s="601"/>
      <c r="N162" s="570"/>
      <c r="V162" s="674"/>
      <c r="W162" s="675"/>
      <c r="AC162" s="675" t="s">
        <v>327</v>
      </c>
      <c r="AD162" s="675"/>
      <c r="AF162" s="675"/>
      <c r="AG162" s="680"/>
    </row>
    <row r="163" spans="1:33" s="536" customFormat="1" ht="12" x14ac:dyDescent="0.2">
      <c r="A163" s="575" t="s">
        <v>197</v>
      </c>
      <c r="B163" s="657" t="s">
        <v>1548</v>
      </c>
      <c r="C163" s="1823" t="s">
        <v>1549</v>
      </c>
      <c r="D163" s="1823"/>
      <c r="E163" s="1823"/>
      <c r="F163" s="573" t="s">
        <v>862</v>
      </c>
      <c r="G163" s="573"/>
      <c r="H163" s="573"/>
      <c r="I163" s="573" t="s">
        <v>2108</v>
      </c>
      <c r="J163" s="572"/>
      <c r="K163" s="573"/>
      <c r="L163" s="572"/>
      <c r="M163" s="571"/>
      <c r="N163" s="570"/>
      <c r="V163" s="674"/>
      <c r="W163" s="675" t="s">
        <v>1549</v>
      </c>
      <c r="AC163" s="675"/>
      <c r="AD163" s="675"/>
      <c r="AF163" s="675"/>
      <c r="AG163" s="680"/>
    </row>
    <row r="164" spans="1:33" s="536" customFormat="1" ht="12" x14ac:dyDescent="0.2">
      <c r="A164" s="676"/>
      <c r="B164" s="655"/>
      <c r="C164" s="1822" t="s">
        <v>2109</v>
      </c>
      <c r="D164" s="1822"/>
      <c r="E164" s="1822"/>
      <c r="F164" s="1822"/>
      <c r="G164" s="1822"/>
      <c r="H164" s="1822"/>
      <c r="I164" s="1822"/>
      <c r="J164" s="1822"/>
      <c r="K164" s="1822"/>
      <c r="L164" s="1822"/>
      <c r="M164" s="1822"/>
      <c r="N164" s="1827"/>
      <c r="V164" s="674"/>
      <c r="W164" s="675"/>
      <c r="X164" s="537" t="s">
        <v>2109</v>
      </c>
      <c r="AC164" s="675"/>
      <c r="AD164" s="675"/>
      <c r="AF164" s="675"/>
      <c r="AG164" s="680"/>
    </row>
    <row r="165" spans="1:33" s="536" customFormat="1" ht="33.75" x14ac:dyDescent="0.2">
      <c r="A165" s="609"/>
      <c r="B165" s="552" t="s">
        <v>310</v>
      </c>
      <c r="C165" s="1822" t="s">
        <v>311</v>
      </c>
      <c r="D165" s="1822"/>
      <c r="E165" s="1822"/>
      <c r="F165" s="1822"/>
      <c r="G165" s="1822"/>
      <c r="H165" s="1822"/>
      <c r="I165" s="1822"/>
      <c r="J165" s="1822"/>
      <c r="K165" s="1822"/>
      <c r="L165" s="1822"/>
      <c r="M165" s="1822"/>
      <c r="N165" s="1827"/>
      <c r="V165" s="674"/>
      <c r="W165" s="675"/>
      <c r="Y165" s="537" t="s">
        <v>311</v>
      </c>
      <c r="AC165" s="675"/>
      <c r="AD165" s="675"/>
      <c r="AF165" s="675"/>
      <c r="AG165" s="680"/>
    </row>
    <row r="166" spans="1:33" s="536" customFormat="1" ht="12" x14ac:dyDescent="0.2">
      <c r="A166" s="605"/>
      <c r="B166" s="552" t="s">
        <v>185</v>
      </c>
      <c r="C166" s="1822" t="s">
        <v>312</v>
      </c>
      <c r="D166" s="1822"/>
      <c r="E166" s="1822"/>
      <c r="F166" s="562"/>
      <c r="G166" s="562"/>
      <c r="H166" s="562"/>
      <c r="I166" s="562"/>
      <c r="J166" s="604">
        <v>376.74</v>
      </c>
      <c r="K166" s="562" t="s">
        <v>313</v>
      </c>
      <c r="L166" s="604">
        <v>13.19</v>
      </c>
      <c r="M166" s="603"/>
      <c r="N166" s="602"/>
      <c r="V166" s="674"/>
      <c r="W166" s="675"/>
      <c r="Z166" s="537" t="s">
        <v>312</v>
      </c>
      <c r="AC166" s="675"/>
      <c r="AD166" s="675"/>
      <c r="AF166" s="675"/>
      <c r="AG166" s="680"/>
    </row>
    <row r="167" spans="1:33" s="536" customFormat="1" ht="12" x14ac:dyDescent="0.2">
      <c r="A167" s="605"/>
      <c r="B167" s="552" t="s">
        <v>186</v>
      </c>
      <c r="C167" s="1822" t="s">
        <v>344</v>
      </c>
      <c r="D167" s="1822"/>
      <c r="E167" s="1822"/>
      <c r="F167" s="562"/>
      <c r="G167" s="562"/>
      <c r="H167" s="562"/>
      <c r="I167" s="562"/>
      <c r="J167" s="604">
        <v>13.74</v>
      </c>
      <c r="K167" s="562" t="s">
        <v>313</v>
      </c>
      <c r="L167" s="604">
        <v>0.48</v>
      </c>
      <c r="M167" s="603"/>
      <c r="N167" s="602"/>
      <c r="V167" s="674"/>
      <c r="W167" s="675"/>
      <c r="Z167" s="537" t="s">
        <v>344</v>
      </c>
      <c r="AC167" s="675"/>
      <c r="AD167" s="675"/>
      <c r="AF167" s="675"/>
      <c r="AG167" s="680"/>
    </row>
    <row r="168" spans="1:33" s="536" customFormat="1" ht="12" x14ac:dyDescent="0.2">
      <c r="A168" s="605"/>
      <c r="B168" s="552" t="s">
        <v>187</v>
      </c>
      <c r="C168" s="1822" t="s">
        <v>345</v>
      </c>
      <c r="D168" s="1822"/>
      <c r="E168" s="1822"/>
      <c r="F168" s="562"/>
      <c r="G168" s="562"/>
      <c r="H168" s="562"/>
      <c r="I168" s="562"/>
      <c r="J168" s="604">
        <v>1.66</v>
      </c>
      <c r="K168" s="562" t="s">
        <v>313</v>
      </c>
      <c r="L168" s="604">
        <v>0.06</v>
      </c>
      <c r="M168" s="603"/>
      <c r="N168" s="602"/>
      <c r="V168" s="674"/>
      <c r="W168" s="675"/>
      <c r="Z168" s="537" t="s">
        <v>345</v>
      </c>
      <c r="AC168" s="675"/>
      <c r="AD168" s="675"/>
      <c r="AF168" s="675"/>
      <c r="AG168" s="680"/>
    </row>
    <row r="169" spans="1:33" s="536" customFormat="1" ht="12" x14ac:dyDescent="0.2">
      <c r="A169" s="605"/>
      <c r="B169" s="552" t="s">
        <v>188</v>
      </c>
      <c r="C169" s="1822" t="s">
        <v>475</v>
      </c>
      <c r="D169" s="1822"/>
      <c r="E169" s="1822"/>
      <c r="F169" s="562"/>
      <c r="G169" s="562"/>
      <c r="H169" s="562"/>
      <c r="I169" s="562"/>
      <c r="J169" s="604">
        <v>176.2</v>
      </c>
      <c r="K169" s="562"/>
      <c r="L169" s="604">
        <v>4.93</v>
      </c>
      <c r="M169" s="603"/>
      <c r="N169" s="602"/>
      <c r="V169" s="674"/>
      <c r="W169" s="675"/>
      <c r="Z169" s="537" t="s">
        <v>475</v>
      </c>
      <c r="AC169" s="675"/>
      <c r="AD169" s="675"/>
      <c r="AF169" s="675"/>
      <c r="AG169" s="680"/>
    </row>
    <row r="170" spans="1:33" s="536" customFormat="1" ht="12" x14ac:dyDescent="0.2">
      <c r="A170" s="676"/>
      <c r="B170" s="677" t="s">
        <v>639</v>
      </c>
      <c r="C170" s="1829" t="s">
        <v>640</v>
      </c>
      <c r="D170" s="1829"/>
      <c r="E170" s="1829"/>
      <c r="F170" s="678" t="s">
        <v>641</v>
      </c>
      <c r="G170" s="678" t="s">
        <v>1244</v>
      </c>
      <c r="H170" s="678"/>
      <c r="I170" s="678" t="s">
        <v>2110</v>
      </c>
      <c r="J170" s="552"/>
      <c r="K170" s="562"/>
      <c r="L170" s="604"/>
      <c r="M170" s="562"/>
      <c r="N170" s="679"/>
      <c r="V170" s="674"/>
      <c r="W170" s="675"/>
      <c r="AC170" s="675"/>
      <c r="AD170" s="675"/>
      <c r="AF170" s="675"/>
      <c r="AG170" s="680" t="s">
        <v>640</v>
      </c>
    </row>
    <row r="171" spans="1:33" s="536" customFormat="1" ht="12" x14ac:dyDescent="0.2">
      <c r="A171" s="605"/>
      <c r="B171" s="552"/>
      <c r="C171" s="1822" t="s">
        <v>314</v>
      </c>
      <c r="D171" s="1822"/>
      <c r="E171" s="1822"/>
      <c r="F171" s="562" t="s">
        <v>315</v>
      </c>
      <c r="G171" s="562" t="s">
        <v>774</v>
      </c>
      <c r="H171" s="562" t="s">
        <v>313</v>
      </c>
      <c r="I171" s="562" t="s">
        <v>2111</v>
      </c>
      <c r="J171" s="604"/>
      <c r="K171" s="562"/>
      <c r="L171" s="604"/>
      <c r="M171" s="603"/>
      <c r="N171" s="602"/>
      <c r="V171" s="674"/>
      <c r="W171" s="675"/>
      <c r="AA171" s="537" t="s">
        <v>314</v>
      </c>
      <c r="AC171" s="675"/>
      <c r="AD171" s="675"/>
      <c r="AF171" s="675"/>
      <c r="AG171" s="680"/>
    </row>
    <row r="172" spans="1:33" s="536" customFormat="1" ht="12" x14ac:dyDescent="0.2">
      <c r="A172" s="605"/>
      <c r="B172" s="552"/>
      <c r="C172" s="1822" t="s">
        <v>348</v>
      </c>
      <c r="D172" s="1822"/>
      <c r="E172" s="1822"/>
      <c r="F172" s="562" t="s">
        <v>315</v>
      </c>
      <c r="G172" s="562" t="s">
        <v>1552</v>
      </c>
      <c r="H172" s="562" t="s">
        <v>313</v>
      </c>
      <c r="I172" s="562" t="s">
        <v>2112</v>
      </c>
      <c r="J172" s="604"/>
      <c r="K172" s="562"/>
      <c r="L172" s="604"/>
      <c r="M172" s="603"/>
      <c r="N172" s="602"/>
      <c r="V172" s="674"/>
      <c r="W172" s="675"/>
      <c r="AA172" s="537" t="s">
        <v>348</v>
      </c>
      <c r="AC172" s="675"/>
      <c r="AD172" s="675"/>
      <c r="AF172" s="675"/>
      <c r="AG172" s="680"/>
    </row>
    <row r="173" spans="1:33" s="536" customFormat="1" ht="12" x14ac:dyDescent="0.2">
      <c r="A173" s="605"/>
      <c r="B173" s="552"/>
      <c r="C173" s="1828" t="s">
        <v>318</v>
      </c>
      <c r="D173" s="1828"/>
      <c r="E173" s="1828"/>
      <c r="F173" s="608"/>
      <c r="G173" s="608"/>
      <c r="H173" s="608"/>
      <c r="I173" s="608"/>
      <c r="J173" s="607">
        <v>566.67999999999995</v>
      </c>
      <c r="K173" s="608"/>
      <c r="L173" s="607">
        <v>18.600000000000001</v>
      </c>
      <c r="M173" s="601"/>
      <c r="N173" s="606"/>
      <c r="V173" s="674"/>
      <c r="W173" s="675"/>
      <c r="AB173" s="537" t="s">
        <v>318</v>
      </c>
      <c r="AC173" s="675"/>
      <c r="AD173" s="675"/>
      <c r="AF173" s="675"/>
      <c r="AG173" s="680"/>
    </row>
    <row r="174" spans="1:33" s="536" customFormat="1" ht="12" x14ac:dyDescent="0.2">
      <c r="A174" s="605"/>
      <c r="B174" s="552"/>
      <c r="C174" s="1822" t="s">
        <v>319</v>
      </c>
      <c r="D174" s="1822"/>
      <c r="E174" s="1822"/>
      <c r="F174" s="562"/>
      <c r="G174" s="562"/>
      <c r="H174" s="562"/>
      <c r="I174" s="562"/>
      <c r="J174" s="604"/>
      <c r="K174" s="562"/>
      <c r="L174" s="604">
        <v>13.25</v>
      </c>
      <c r="M174" s="603"/>
      <c r="N174" s="602"/>
      <c r="V174" s="674"/>
      <c r="W174" s="675"/>
      <c r="AA174" s="537" t="s">
        <v>319</v>
      </c>
      <c r="AC174" s="675"/>
      <c r="AD174" s="675"/>
      <c r="AF174" s="675"/>
      <c r="AG174" s="680"/>
    </row>
    <row r="175" spans="1:33" s="536" customFormat="1" ht="33.75" x14ac:dyDescent="0.2">
      <c r="A175" s="605"/>
      <c r="B175" s="552" t="s">
        <v>686</v>
      </c>
      <c r="C175" s="1822" t="s">
        <v>687</v>
      </c>
      <c r="D175" s="1822"/>
      <c r="E175" s="1822"/>
      <c r="F175" s="562" t="s">
        <v>322</v>
      </c>
      <c r="G175" s="562" t="s">
        <v>680</v>
      </c>
      <c r="H175" s="562"/>
      <c r="I175" s="562" t="s">
        <v>680</v>
      </c>
      <c r="J175" s="604"/>
      <c r="K175" s="562"/>
      <c r="L175" s="604">
        <v>13.52</v>
      </c>
      <c r="M175" s="603"/>
      <c r="N175" s="602"/>
      <c r="V175" s="674"/>
      <c r="W175" s="675"/>
      <c r="AA175" s="537" t="s">
        <v>687</v>
      </c>
      <c r="AC175" s="675"/>
      <c r="AD175" s="675"/>
      <c r="AF175" s="675"/>
      <c r="AG175" s="680"/>
    </row>
    <row r="176" spans="1:33" s="536" customFormat="1" ht="33.75" x14ac:dyDescent="0.2">
      <c r="A176" s="605"/>
      <c r="B176" s="552" t="s">
        <v>688</v>
      </c>
      <c r="C176" s="1822" t="s">
        <v>689</v>
      </c>
      <c r="D176" s="1822"/>
      <c r="E176" s="1822"/>
      <c r="F176" s="562" t="s">
        <v>322</v>
      </c>
      <c r="G176" s="562" t="s">
        <v>690</v>
      </c>
      <c r="H176" s="562"/>
      <c r="I176" s="562" t="s">
        <v>690</v>
      </c>
      <c r="J176" s="604"/>
      <c r="K176" s="562"/>
      <c r="L176" s="604">
        <v>7.69</v>
      </c>
      <c r="M176" s="603"/>
      <c r="N176" s="602"/>
      <c r="V176" s="674"/>
      <c r="W176" s="675"/>
      <c r="AA176" s="537" t="s">
        <v>689</v>
      </c>
      <c r="AC176" s="675"/>
      <c r="AD176" s="675"/>
      <c r="AF176" s="675"/>
      <c r="AG176" s="680"/>
    </row>
    <row r="177" spans="1:33" s="536" customFormat="1" ht="12" x14ac:dyDescent="0.2">
      <c r="A177" s="569"/>
      <c r="B177" s="656"/>
      <c r="C177" s="1823" t="s">
        <v>327</v>
      </c>
      <c r="D177" s="1823"/>
      <c r="E177" s="1823"/>
      <c r="F177" s="573"/>
      <c r="G177" s="573"/>
      <c r="H177" s="573"/>
      <c r="I177" s="573"/>
      <c r="J177" s="572"/>
      <c r="K177" s="573"/>
      <c r="L177" s="572">
        <v>39.81</v>
      </c>
      <c r="M177" s="601"/>
      <c r="N177" s="570"/>
      <c r="V177" s="674"/>
      <c r="W177" s="675"/>
      <c r="AC177" s="675" t="s">
        <v>327</v>
      </c>
      <c r="AD177" s="675"/>
      <c r="AF177" s="675"/>
      <c r="AG177" s="680"/>
    </row>
    <row r="178" spans="1:33" s="536" customFormat="1" ht="33.75" x14ac:dyDescent="0.2">
      <c r="A178" s="575" t="s">
        <v>198</v>
      </c>
      <c r="B178" s="657" t="s">
        <v>1553</v>
      </c>
      <c r="C178" s="1823" t="s">
        <v>2113</v>
      </c>
      <c r="D178" s="1823"/>
      <c r="E178" s="1823"/>
      <c r="F178" s="573" t="s">
        <v>862</v>
      </c>
      <c r="G178" s="573"/>
      <c r="H178" s="573"/>
      <c r="I178" s="573" t="s">
        <v>2108</v>
      </c>
      <c r="J178" s="572"/>
      <c r="K178" s="573"/>
      <c r="L178" s="572"/>
      <c r="M178" s="571"/>
      <c r="N178" s="570"/>
      <c r="V178" s="674"/>
      <c r="W178" s="675" t="s">
        <v>2113</v>
      </c>
      <c r="AC178" s="675"/>
      <c r="AD178" s="675"/>
      <c r="AF178" s="675"/>
      <c r="AG178" s="680"/>
    </row>
    <row r="179" spans="1:33" s="536" customFormat="1" ht="12" x14ac:dyDescent="0.2">
      <c r="A179" s="676"/>
      <c r="B179" s="655"/>
      <c r="C179" s="1822" t="s">
        <v>2109</v>
      </c>
      <c r="D179" s="1822"/>
      <c r="E179" s="1822"/>
      <c r="F179" s="1822"/>
      <c r="G179" s="1822"/>
      <c r="H179" s="1822"/>
      <c r="I179" s="1822"/>
      <c r="J179" s="1822"/>
      <c r="K179" s="1822"/>
      <c r="L179" s="1822"/>
      <c r="M179" s="1822"/>
      <c r="N179" s="1827"/>
      <c r="V179" s="674"/>
      <c r="W179" s="675"/>
      <c r="X179" s="537" t="s">
        <v>2109</v>
      </c>
      <c r="AC179" s="675"/>
      <c r="AD179" s="675"/>
      <c r="AF179" s="675"/>
      <c r="AG179" s="680"/>
    </row>
    <row r="180" spans="1:33" s="536" customFormat="1" ht="12" x14ac:dyDescent="0.2">
      <c r="A180" s="609"/>
      <c r="B180" s="552"/>
      <c r="C180" s="1822" t="s">
        <v>1050</v>
      </c>
      <c r="D180" s="1822"/>
      <c r="E180" s="1822"/>
      <c r="F180" s="1822"/>
      <c r="G180" s="1822"/>
      <c r="H180" s="1822"/>
      <c r="I180" s="1822"/>
      <c r="J180" s="1822"/>
      <c r="K180" s="1822"/>
      <c r="L180" s="1822"/>
      <c r="M180" s="1822"/>
      <c r="N180" s="1827"/>
      <c r="V180" s="674"/>
      <c r="W180" s="675"/>
      <c r="Y180" s="537" t="s">
        <v>1050</v>
      </c>
      <c r="AC180" s="675"/>
      <c r="AD180" s="675"/>
      <c r="AF180" s="675"/>
      <c r="AG180" s="680"/>
    </row>
    <row r="181" spans="1:33" s="536" customFormat="1" ht="33.75" x14ac:dyDescent="0.2">
      <c r="A181" s="609"/>
      <c r="B181" s="552" t="s">
        <v>310</v>
      </c>
      <c r="C181" s="1822" t="s">
        <v>311</v>
      </c>
      <c r="D181" s="1822"/>
      <c r="E181" s="1822"/>
      <c r="F181" s="1822"/>
      <c r="G181" s="1822"/>
      <c r="H181" s="1822"/>
      <c r="I181" s="1822"/>
      <c r="J181" s="1822"/>
      <c r="K181" s="1822"/>
      <c r="L181" s="1822"/>
      <c r="M181" s="1822"/>
      <c r="N181" s="1827"/>
      <c r="V181" s="674"/>
      <c r="W181" s="675"/>
      <c r="Y181" s="537" t="s">
        <v>311</v>
      </c>
      <c r="AC181" s="675"/>
      <c r="AD181" s="675"/>
      <c r="AF181" s="675"/>
      <c r="AG181" s="680"/>
    </row>
    <row r="182" spans="1:33" s="536" customFormat="1" ht="12" x14ac:dyDescent="0.2">
      <c r="A182" s="605"/>
      <c r="B182" s="552" t="s">
        <v>185</v>
      </c>
      <c r="C182" s="1822" t="s">
        <v>312</v>
      </c>
      <c r="D182" s="1822"/>
      <c r="E182" s="1822"/>
      <c r="F182" s="562"/>
      <c r="G182" s="562"/>
      <c r="H182" s="562"/>
      <c r="I182" s="562"/>
      <c r="J182" s="604">
        <v>107.64</v>
      </c>
      <c r="K182" s="562" t="s">
        <v>1051</v>
      </c>
      <c r="L182" s="604">
        <v>11.3</v>
      </c>
      <c r="M182" s="603"/>
      <c r="N182" s="602"/>
      <c r="V182" s="674"/>
      <c r="W182" s="675"/>
      <c r="Z182" s="537" t="s">
        <v>312</v>
      </c>
      <c r="AC182" s="675"/>
      <c r="AD182" s="675"/>
      <c r="AF182" s="675"/>
      <c r="AG182" s="680"/>
    </row>
    <row r="183" spans="1:33" s="536" customFormat="1" ht="12" x14ac:dyDescent="0.2">
      <c r="A183" s="605"/>
      <c r="B183" s="552" t="s">
        <v>186</v>
      </c>
      <c r="C183" s="1822" t="s">
        <v>344</v>
      </c>
      <c r="D183" s="1822"/>
      <c r="E183" s="1822"/>
      <c r="F183" s="562"/>
      <c r="G183" s="562"/>
      <c r="H183" s="562"/>
      <c r="I183" s="562"/>
      <c r="J183" s="604">
        <v>6.28</v>
      </c>
      <c r="K183" s="562" t="s">
        <v>1051</v>
      </c>
      <c r="L183" s="604">
        <v>0.66</v>
      </c>
      <c r="M183" s="603"/>
      <c r="N183" s="602"/>
      <c r="V183" s="674"/>
      <c r="W183" s="675"/>
      <c r="Z183" s="537" t="s">
        <v>344</v>
      </c>
      <c r="AC183" s="675"/>
      <c r="AD183" s="675"/>
      <c r="AF183" s="675"/>
      <c r="AG183" s="680"/>
    </row>
    <row r="184" spans="1:33" s="536" customFormat="1" ht="12" x14ac:dyDescent="0.2">
      <c r="A184" s="605"/>
      <c r="B184" s="552" t="s">
        <v>187</v>
      </c>
      <c r="C184" s="1822" t="s">
        <v>345</v>
      </c>
      <c r="D184" s="1822"/>
      <c r="E184" s="1822"/>
      <c r="F184" s="562"/>
      <c r="G184" s="562"/>
      <c r="H184" s="562"/>
      <c r="I184" s="562"/>
      <c r="J184" s="604">
        <v>0.77</v>
      </c>
      <c r="K184" s="562" t="s">
        <v>1051</v>
      </c>
      <c r="L184" s="604">
        <v>0.08</v>
      </c>
      <c r="M184" s="603"/>
      <c r="N184" s="602"/>
      <c r="V184" s="674"/>
      <c r="W184" s="675"/>
      <c r="Z184" s="537" t="s">
        <v>345</v>
      </c>
      <c r="AC184" s="675"/>
      <c r="AD184" s="675"/>
      <c r="AF184" s="675"/>
      <c r="AG184" s="680"/>
    </row>
    <row r="185" spans="1:33" s="536" customFormat="1" ht="12" x14ac:dyDescent="0.2">
      <c r="A185" s="605"/>
      <c r="B185" s="552" t="s">
        <v>188</v>
      </c>
      <c r="C185" s="1822" t="s">
        <v>475</v>
      </c>
      <c r="D185" s="1822"/>
      <c r="E185" s="1822"/>
      <c r="F185" s="562"/>
      <c r="G185" s="562"/>
      <c r="H185" s="562"/>
      <c r="I185" s="562"/>
      <c r="J185" s="604">
        <v>44.54</v>
      </c>
      <c r="K185" s="562" t="s">
        <v>187</v>
      </c>
      <c r="L185" s="604">
        <v>3.74</v>
      </c>
      <c r="M185" s="603"/>
      <c r="N185" s="602"/>
      <c r="V185" s="674"/>
      <c r="W185" s="675"/>
      <c r="Z185" s="537" t="s">
        <v>475</v>
      </c>
      <c r="AC185" s="675"/>
      <c r="AD185" s="675"/>
      <c r="AF185" s="675"/>
      <c r="AG185" s="680"/>
    </row>
    <row r="186" spans="1:33" s="536" customFormat="1" ht="12" x14ac:dyDescent="0.2">
      <c r="A186" s="676"/>
      <c r="B186" s="677" t="s">
        <v>639</v>
      </c>
      <c r="C186" s="1829" t="s">
        <v>640</v>
      </c>
      <c r="D186" s="1829"/>
      <c r="E186" s="1829"/>
      <c r="F186" s="678" t="s">
        <v>641</v>
      </c>
      <c r="G186" s="678" t="s">
        <v>716</v>
      </c>
      <c r="H186" s="678" t="s">
        <v>187</v>
      </c>
      <c r="I186" s="678" t="s">
        <v>2114</v>
      </c>
      <c r="J186" s="552"/>
      <c r="K186" s="562"/>
      <c r="L186" s="604"/>
      <c r="M186" s="562"/>
      <c r="N186" s="679"/>
      <c r="V186" s="674"/>
      <c r="W186" s="675"/>
      <c r="AC186" s="675"/>
      <c r="AD186" s="675"/>
      <c r="AF186" s="675"/>
      <c r="AG186" s="680" t="s">
        <v>640</v>
      </c>
    </row>
    <row r="187" spans="1:33" s="536" customFormat="1" ht="12" x14ac:dyDescent="0.2">
      <c r="A187" s="605"/>
      <c r="B187" s="552"/>
      <c r="C187" s="1822" t="s">
        <v>314</v>
      </c>
      <c r="D187" s="1822"/>
      <c r="E187" s="1822"/>
      <c r="F187" s="562" t="s">
        <v>315</v>
      </c>
      <c r="G187" s="562" t="s">
        <v>196</v>
      </c>
      <c r="H187" s="562" t="s">
        <v>1051</v>
      </c>
      <c r="I187" s="562" t="s">
        <v>2115</v>
      </c>
      <c r="J187" s="604"/>
      <c r="K187" s="562"/>
      <c r="L187" s="604"/>
      <c r="M187" s="603"/>
      <c r="N187" s="602"/>
      <c r="V187" s="674"/>
      <c r="W187" s="675"/>
      <c r="AA187" s="537" t="s">
        <v>314</v>
      </c>
      <c r="AC187" s="675"/>
      <c r="AD187" s="675"/>
      <c r="AF187" s="675"/>
      <c r="AG187" s="680"/>
    </row>
    <row r="188" spans="1:33" s="536" customFormat="1" ht="12" x14ac:dyDescent="0.2">
      <c r="A188" s="605"/>
      <c r="B188" s="552"/>
      <c r="C188" s="1822" t="s">
        <v>348</v>
      </c>
      <c r="D188" s="1822"/>
      <c r="E188" s="1822"/>
      <c r="F188" s="562" t="s">
        <v>315</v>
      </c>
      <c r="G188" s="562" t="s">
        <v>1554</v>
      </c>
      <c r="H188" s="562" t="s">
        <v>1051</v>
      </c>
      <c r="I188" s="562" t="s">
        <v>2116</v>
      </c>
      <c r="J188" s="604"/>
      <c r="K188" s="562"/>
      <c r="L188" s="604"/>
      <c r="M188" s="603"/>
      <c r="N188" s="602"/>
      <c r="V188" s="674"/>
      <c r="W188" s="675"/>
      <c r="AA188" s="537" t="s">
        <v>348</v>
      </c>
      <c r="AC188" s="675"/>
      <c r="AD188" s="675"/>
      <c r="AF188" s="675"/>
      <c r="AG188" s="680"/>
    </row>
    <row r="189" spans="1:33" s="536" customFormat="1" ht="12" x14ac:dyDescent="0.2">
      <c r="A189" s="605"/>
      <c r="B189" s="552"/>
      <c r="C189" s="1828" t="s">
        <v>318</v>
      </c>
      <c r="D189" s="1828"/>
      <c r="E189" s="1828"/>
      <c r="F189" s="608"/>
      <c r="G189" s="608"/>
      <c r="H189" s="608"/>
      <c r="I189" s="608"/>
      <c r="J189" s="607">
        <v>158.46</v>
      </c>
      <c r="K189" s="608"/>
      <c r="L189" s="607">
        <v>15.7</v>
      </c>
      <c r="M189" s="601"/>
      <c r="N189" s="606"/>
      <c r="V189" s="674"/>
      <c r="W189" s="675"/>
      <c r="AB189" s="537" t="s">
        <v>318</v>
      </c>
      <c r="AC189" s="675"/>
      <c r="AD189" s="675"/>
      <c r="AF189" s="675"/>
      <c r="AG189" s="680"/>
    </row>
    <row r="190" spans="1:33" s="536" customFormat="1" ht="12" x14ac:dyDescent="0.2">
      <c r="A190" s="605"/>
      <c r="B190" s="552"/>
      <c r="C190" s="1822" t="s">
        <v>319</v>
      </c>
      <c r="D190" s="1822"/>
      <c r="E190" s="1822"/>
      <c r="F190" s="562"/>
      <c r="G190" s="562"/>
      <c r="H190" s="562"/>
      <c r="I190" s="562"/>
      <c r="J190" s="604"/>
      <c r="K190" s="562"/>
      <c r="L190" s="604">
        <v>11.38</v>
      </c>
      <c r="M190" s="603"/>
      <c r="N190" s="602"/>
      <c r="V190" s="674"/>
      <c r="W190" s="675"/>
      <c r="AA190" s="537" t="s">
        <v>319</v>
      </c>
      <c r="AC190" s="675"/>
      <c r="AD190" s="675"/>
      <c r="AF190" s="675"/>
      <c r="AG190" s="680"/>
    </row>
    <row r="191" spans="1:33" s="536" customFormat="1" ht="33.75" x14ac:dyDescent="0.2">
      <c r="A191" s="605"/>
      <c r="B191" s="552" t="s">
        <v>686</v>
      </c>
      <c r="C191" s="1822" t="s">
        <v>687</v>
      </c>
      <c r="D191" s="1822"/>
      <c r="E191" s="1822"/>
      <c r="F191" s="562" t="s">
        <v>322</v>
      </c>
      <c r="G191" s="562" t="s">
        <v>680</v>
      </c>
      <c r="H191" s="562"/>
      <c r="I191" s="562" t="s">
        <v>680</v>
      </c>
      <c r="J191" s="604"/>
      <c r="K191" s="562"/>
      <c r="L191" s="604">
        <v>11.61</v>
      </c>
      <c r="M191" s="603"/>
      <c r="N191" s="602"/>
      <c r="V191" s="674"/>
      <c r="W191" s="675"/>
      <c r="AA191" s="537" t="s">
        <v>687</v>
      </c>
      <c r="AC191" s="675"/>
      <c r="AD191" s="675"/>
      <c r="AF191" s="675"/>
      <c r="AG191" s="680"/>
    </row>
    <row r="192" spans="1:33" s="536" customFormat="1" ht="33.75" x14ac:dyDescent="0.2">
      <c r="A192" s="605"/>
      <c r="B192" s="552" t="s">
        <v>688</v>
      </c>
      <c r="C192" s="1822" t="s">
        <v>689</v>
      </c>
      <c r="D192" s="1822"/>
      <c r="E192" s="1822"/>
      <c r="F192" s="562" t="s">
        <v>322</v>
      </c>
      <c r="G192" s="562" t="s">
        <v>690</v>
      </c>
      <c r="H192" s="562"/>
      <c r="I192" s="562" t="s">
        <v>690</v>
      </c>
      <c r="J192" s="604"/>
      <c r="K192" s="562"/>
      <c r="L192" s="604">
        <v>6.6</v>
      </c>
      <c r="M192" s="603"/>
      <c r="N192" s="602"/>
      <c r="V192" s="674"/>
      <c r="W192" s="675"/>
      <c r="AA192" s="537" t="s">
        <v>689</v>
      </c>
      <c r="AC192" s="675"/>
      <c r="AD192" s="675"/>
      <c r="AF192" s="675"/>
      <c r="AG192" s="680"/>
    </row>
    <row r="193" spans="1:33" s="536" customFormat="1" ht="12" x14ac:dyDescent="0.2">
      <c r="A193" s="569"/>
      <c r="B193" s="656"/>
      <c r="C193" s="1823" t="s">
        <v>327</v>
      </c>
      <c r="D193" s="1823"/>
      <c r="E193" s="1823"/>
      <c r="F193" s="573"/>
      <c r="G193" s="573"/>
      <c r="H193" s="573"/>
      <c r="I193" s="573"/>
      <c r="J193" s="572"/>
      <c r="K193" s="573"/>
      <c r="L193" s="572">
        <v>33.909999999999997</v>
      </c>
      <c r="M193" s="601"/>
      <c r="N193" s="570"/>
      <c r="V193" s="674"/>
      <c r="W193" s="675"/>
      <c r="AC193" s="675" t="s">
        <v>327</v>
      </c>
      <c r="AD193" s="675"/>
      <c r="AF193" s="675"/>
      <c r="AG193" s="680"/>
    </row>
    <row r="194" spans="1:33" s="536" customFormat="1" ht="22.5" x14ac:dyDescent="0.2">
      <c r="A194" s="575" t="s">
        <v>199</v>
      </c>
      <c r="B194" s="657" t="s">
        <v>2117</v>
      </c>
      <c r="C194" s="1823" t="s">
        <v>2118</v>
      </c>
      <c r="D194" s="1823"/>
      <c r="E194" s="1823"/>
      <c r="F194" s="573" t="s">
        <v>641</v>
      </c>
      <c r="G194" s="573"/>
      <c r="H194" s="573"/>
      <c r="I194" s="573" t="s">
        <v>2119</v>
      </c>
      <c r="J194" s="572">
        <v>790</v>
      </c>
      <c r="K194" s="573"/>
      <c r="L194" s="572">
        <v>112.81</v>
      </c>
      <c r="M194" s="571"/>
      <c r="N194" s="570"/>
      <c r="V194" s="674"/>
      <c r="W194" s="675" t="s">
        <v>2118</v>
      </c>
      <c r="AC194" s="675"/>
      <c r="AD194" s="675"/>
      <c r="AF194" s="675"/>
      <c r="AG194" s="680"/>
    </row>
    <row r="195" spans="1:33" s="536" customFormat="1" ht="12" x14ac:dyDescent="0.2">
      <c r="A195" s="569"/>
      <c r="B195" s="656"/>
      <c r="C195" s="661" t="s">
        <v>717</v>
      </c>
      <c r="D195" s="662"/>
      <c r="E195" s="662"/>
      <c r="F195" s="563"/>
      <c r="G195" s="563"/>
      <c r="H195" s="563"/>
      <c r="I195" s="563"/>
      <c r="J195" s="566"/>
      <c r="K195" s="563"/>
      <c r="L195" s="566"/>
      <c r="M195" s="565"/>
      <c r="N195" s="564"/>
      <c r="V195" s="674"/>
      <c r="W195" s="675"/>
      <c r="AC195" s="675"/>
      <c r="AD195" s="675"/>
      <c r="AF195" s="675"/>
      <c r="AG195" s="680"/>
    </row>
    <row r="196" spans="1:33" s="536" customFormat="1" ht="12" x14ac:dyDescent="0.2">
      <c r="A196" s="676"/>
      <c r="B196" s="655"/>
      <c r="C196" s="1822" t="s">
        <v>2120</v>
      </c>
      <c r="D196" s="1822"/>
      <c r="E196" s="1822"/>
      <c r="F196" s="1822"/>
      <c r="G196" s="1822"/>
      <c r="H196" s="1822"/>
      <c r="I196" s="1822"/>
      <c r="J196" s="1822"/>
      <c r="K196" s="1822"/>
      <c r="L196" s="1822"/>
      <c r="M196" s="1822"/>
      <c r="N196" s="1827"/>
      <c r="V196" s="674"/>
      <c r="W196" s="675"/>
      <c r="X196" s="537" t="s">
        <v>2120</v>
      </c>
      <c r="AC196" s="675"/>
      <c r="AD196" s="675"/>
      <c r="AF196" s="675"/>
      <c r="AG196" s="680"/>
    </row>
    <row r="197" spans="1:33" s="536" customFormat="1" ht="33.75" x14ac:dyDescent="0.2">
      <c r="A197" s="575" t="s">
        <v>200</v>
      </c>
      <c r="B197" s="657" t="s">
        <v>1416</v>
      </c>
      <c r="C197" s="1823" t="s">
        <v>1417</v>
      </c>
      <c r="D197" s="1823"/>
      <c r="E197" s="1823"/>
      <c r="F197" s="573" t="s">
        <v>862</v>
      </c>
      <c r="G197" s="573"/>
      <c r="H197" s="573"/>
      <c r="I197" s="573" t="s">
        <v>2121</v>
      </c>
      <c r="J197" s="572"/>
      <c r="K197" s="573"/>
      <c r="L197" s="572"/>
      <c r="M197" s="571"/>
      <c r="N197" s="570"/>
      <c r="V197" s="674"/>
      <c r="W197" s="675" t="s">
        <v>1417</v>
      </c>
      <c r="AC197" s="675"/>
      <c r="AD197" s="675"/>
      <c r="AF197" s="675"/>
      <c r="AG197" s="680"/>
    </row>
    <row r="198" spans="1:33" s="536" customFormat="1" ht="12" x14ac:dyDescent="0.2">
      <c r="A198" s="676"/>
      <c r="B198" s="655"/>
      <c r="C198" s="1822" t="s">
        <v>2122</v>
      </c>
      <c r="D198" s="1822"/>
      <c r="E198" s="1822"/>
      <c r="F198" s="1822"/>
      <c r="G198" s="1822"/>
      <c r="H198" s="1822"/>
      <c r="I198" s="1822"/>
      <c r="J198" s="1822"/>
      <c r="K198" s="1822"/>
      <c r="L198" s="1822"/>
      <c r="M198" s="1822"/>
      <c r="N198" s="1827"/>
      <c r="V198" s="674"/>
      <c r="W198" s="675"/>
      <c r="X198" s="537" t="s">
        <v>2122</v>
      </c>
      <c r="AC198" s="675"/>
      <c r="AD198" s="675"/>
      <c r="AF198" s="675"/>
      <c r="AG198" s="680"/>
    </row>
    <row r="199" spans="1:33" s="536" customFormat="1" ht="33.75" x14ac:dyDescent="0.2">
      <c r="A199" s="609"/>
      <c r="B199" s="552" t="s">
        <v>310</v>
      </c>
      <c r="C199" s="1822" t="s">
        <v>311</v>
      </c>
      <c r="D199" s="1822"/>
      <c r="E199" s="1822"/>
      <c r="F199" s="1822"/>
      <c r="G199" s="1822"/>
      <c r="H199" s="1822"/>
      <c r="I199" s="1822"/>
      <c r="J199" s="1822"/>
      <c r="K199" s="1822"/>
      <c r="L199" s="1822"/>
      <c r="M199" s="1822"/>
      <c r="N199" s="1827"/>
      <c r="V199" s="674"/>
      <c r="W199" s="675"/>
      <c r="Y199" s="537" t="s">
        <v>311</v>
      </c>
      <c r="AC199" s="675"/>
      <c r="AD199" s="675"/>
      <c r="AF199" s="675"/>
      <c r="AG199" s="680"/>
    </row>
    <row r="200" spans="1:33" s="536" customFormat="1" ht="12" x14ac:dyDescent="0.2">
      <c r="A200" s="605"/>
      <c r="B200" s="552" t="s">
        <v>185</v>
      </c>
      <c r="C200" s="1822" t="s">
        <v>312</v>
      </c>
      <c r="D200" s="1822"/>
      <c r="E200" s="1822"/>
      <c r="F200" s="562"/>
      <c r="G200" s="562"/>
      <c r="H200" s="562"/>
      <c r="I200" s="562"/>
      <c r="J200" s="604">
        <v>170.01</v>
      </c>
      <c r="K200" s="562" t="s">
        <v>313</v>
      </c>
      <c r="L200" s="604">
        <v>488.61</v>
      </c>
      <c r="M200" s="603"/>
      <c r="N200" s="602"/>
      <c r="V200" s="674"/>
      <c r="W200" s="675"/>
      <c r="Z200" s="537" t="s">
        <v>312</v>
      </c>
      <c r="AC200" s="675"/>
      <c r="AD200" s="675"/>
      <c r="AF200" s="675"/>
      <c r="AG200" s="680"/>
    </row>
    <row r="201" spans="1:33" s="536" customFormat="1" ht="12" x14ac:dyDescent="0.2">
      <c r="A201" s="605"/>
      <c r="B201" s="552" t="s">
        <v>186</v>
      </c>
      <c r="C201" s="1822" t="s">
        <v>344</v>
      </c>
      <c r="D201" s="1822"/>
      <c r="E201" s="1822"/>
      <c r="F201" s="562"/>
      <c r="G201" s="562"/>
      <c r="H201" s="562"/>
      <c r="I201" s="562"/>
      <c r="J201" s="604">
        <v>38.6</v>
      </c>
      <c r="K201" s="562" t="s">
        <v>313</v>
      </c>
      <c r="L201" s="604">
        <v>110.94</v>
      </c>
      <c r="M201" s="603"/>
      <c r="N201" s="602"/>
      <c r="V201" s="674"/>
      <c r="W201" s="675"/>
      <c r="Z201" s="537" t="s">
        <v>344</v>
      </c>
      <c r="AC201" s="675"/>
      <c r="AD201" s="675"/>
      <c r="AF201" s="675"/>
      <c r="AG201" s="680"/>
    </row>
    <row r="202" spans="1:33" s="536" customFormat="1" ht="12" x14ac:dyDescent="0.2">
      <c r="A202" s="605"/>
      <c r="B202" s="552" t="s">
        <v>187</v>
      </c>
      <c r="C202" s="1822" t="s">
        <v>345</v>
      </c>
      <c r="D202" s="1822"/>
      <c r="E202" s="1822"/>
      <c r="F202" s="562"/>
      <c r="G202" s="562"/>
      <c r="H202" s="562"/>
      <c r="I202" s="562"/>
      <c r="J202" s="604">
        <v>9.2899999999999991</v>
      </c>
      <c r="K202" s="562" t="s">
        <v>313</v>
      </c>
      <c r="L202" s="604">
        <v>26.7</v>
      </c>
      <c r="M202" s="603"/>
      <c r="N202" s="602"/>
      <c r="V202" s="674"/>
      <c r="W202" s="675"/>
      <c r="Z202" s="537" t="s">
        <v>345</v>
      </c>
      <c r="AC202" s="675"/>
      <c r="AD202" s="675"/>
      <c r="AF202" s="675"/>
      <c r="AG202" s="680"/>
    </row>
    <row r="203" spans="1:33" s="536" customFormat="1" ht="12" x14ac:dyDescent="0.2">
      <c r="A203" s="605"/>
      <c r="B203" s="552" t="s">
        <v>188</v>
      </c>
      <c r="C203" s="1822" t="s">
        <v>475</v>
      </c>
      <c r="D203" s="1822"/>
      <c r="E203" s="1822"/>
      <c r="F203" s="562"/>
      <c r="G203" s="562"/>
      <c r="H203" s="562"/>
      <c r="I203" s="562"/>
      <c r="J203" s="604">
        <v>0.91</v>
      </c>
      <c r="K203" s="562"/>
      <c r="L203" s="604">
        <v>2.09</v>
      </c>
      <c r="M203" s="603"/>
      <c r="N203" s="602"/>
      <c r="V203" s="674"/>
      <c r="W203" s="675"/>
      <c r="Z203" s="537" t="s">
        <v>475</v>
      </c>
      <c r="AC203" s="675"/>
      <c r="AD203" s="675"/>
      <c r="AF203" s="675"/>
      <c r="AG203" s="680"/>
    </row>
    <row r="204" spans="1:33" s="536" customFormat="1" ht="12" x14ac:dyDescent="0.2">
      <c r="A204" s="676"/>
      <c r="B204" s="677" t="s">
        <v>1420</v>
      </c>
      <c r="C204" s="1829" t="s">
        <v>1421</v>
      </c>
      <c r="D204" s="1829"/>
      <c r="E204" s="1829"/>
      <c r="F204" s="678" t="s">
        <v>694</v>
      </c>
      <c r="G204" s="678" t="s">
        <v>1422</v>
      </c>
      <c r="H204" s="678"/>
      <c r="I204" s="678" t="s">
        <v>2123</v>
      </c>
      <c r="J204" s="552"/>
      <c r="K204" s="562"/>
      <c r="L204" s="604"/>
      <c r="M204" s="562"/>
      <c r="N204" s="679"/>
      <c r="V204" s="674"/>
      <c r="W204" s="675"/>
      <c r="AC204" s="675"/>
      <c r="AD204" s="675"/>
      <c r="AF204" s="675"/>
      <c r="AG204" s="680" t="s">
        <v>1421</v>
      </c>
    </row>
    <row r="205" spans="1:33" s="536" customFormat="1" ht="12" x14ac:dyDescent="0.2">
      <c r="A205" s="605"/>
      <c r="B205" s="552"/>
      <c r="C205" s="1822" t="s">
        <v>314</v>
      </c>
      <c r="D205" s="1822"/>
      <c r="E205" s="1822"/>
      <c r="F205" s="562" t="s">
        <v>315</v>
      </c>
      <c r="G205" s="562" t="s">
        <v>1424</v>
      </c>
      <c r="H205" s="562" t="s">
        <v>313</v>
      </c>
      <c r="I205" s="562" t="s">
        <v>2124</v>
      </c>
      <c r="J205" s="604"/>
      <c r="K205" s="562"/>
      <c r="L205" s="604"/>
      <c r="M205" s="603"/>
      <c r="N205" s="602"/>
      <c r="V205" s="674"/>
      <c r="W205" s="675"/>
      <c r="AA205" s="537" t="s">
        <v>314</v>
      </c>
      <c r="AC205" s="675"/>
      <c r="AD205" s="675"/>
      <c r="AF205" s="675"/>
      <c r="AG205" s="680"/>
    </row>
    <row r="206" spans="1:33" s="536" customFormat="1" ht="12" x14ac:dyDescent="0.2">
      <c r="A206" s="605"/>
      <c r="B206" s="552"/>
      <c r="C206" s="1822" t="s">
        <v>348</v>
      </c>
      <c r="D206" s="1822"/>
      <c r="E206" s="1822"/>
      <c r="F206" s="562" t="s">
        <v>315</v>
      </c>
      <c r="G206" s="562" t="s">
        <v>524</v>
      </c>
      <c r="H206" s="562" t="s">
        <v>313</v>
      </c>
      <c r="I206" s="562" t="s">
        <v>2125</v>
      </c>
      <c r="J206" s="604"/>
      <c r="K206" s="562"/>
      <c r="L206" s="604"/>
      <c r="M206" s="603"/>
      <c r="N206" s="602"/>
      <c r="V206" s="674"/>
      <c r="W206" s="675"/>
      <c r="AA206" s="537" t="s">
        <v>348</v>
      </c>
      <c r="AC206" s="675"/>
      <c r="AD206" s="675"/>
      <c r="AF206" s="675"/>
      <c r="AG206" s="680"/>
    </row>
    <row r="207" spans="1:33" s="536" customFormat="1" ht="12" x14ac:dyDescent="0.2">
      <c r="A207" s="605"/>
      <c r="B207" s="552"/>
      <c r="C207" s="1828" t="s">
        <v>318</v>
      </c>
      <c r="D207" s="1828"/>
      <c r="E207" s="1828"/>
      <c r="F207" s="608"/>
      <c r="G207" s="608"/>
      <c r="H207" s="608"/>
      <c r="I207" s="608"/>
      <c r="J207" s="607">
        <v>209.52</v>
      </c>
      <c r="K207" s="608"/>
      <c r="L207" s="607">
        <v>601.64</v>
      </c>
      <c r="M207" s="601"/>
      <c r="N207" s="606"/>
      <c r="V207" s="674"/>
      <c r="W207" s="675"/>
      <c r="AB207" s="537" t="s">
        <v>318</v>
      </c>
      <c r="AC207" s="675"/>
      <c r="AD207" s="675"/>
      <c r="AF207" s="675"/>
      <c r="AG207" s="680"/>
    </row>
    <row r="208" spans="1:33" s="536" customFormat="1" ht="12" x14ac:dyDescent="0.2">
      <c r="A208" s="605"/>
      <c r="B208" s="552"/>
      <c r="C208" s="1822" t="s">
        <v>319</v>
      </c>
      <c r="D208" s="1822"/>
      <c r="E208" s="1822"/>
      <c r="F208" s="562"/>
      <c r="G208" s="562"/>
      <c r="H208" s="562"/>
      <c r="I208" s="562"/>
      <c r="J208" s="604"/>
      <c r="K208" s="562"/>
      <c r="L208" s="604">
        <v>515.30999999999995</v>
      </c>
      <c r="M208" s="603"/>
      <c r="N208" s="602"/>
      <c r="V208" s="674"/>
      <c r="W208" s="675"/>
      <c r="AA208" s="537" t="s">
        <v>319</v>
      </c>
      <c r="AC208" s="675"/>
      <c r="AD208" s="675"/>
      <c r="AF208" s="675"/>
      <c r="AG208" s="680"/>
    </row>
    <row r="209" spans="1:33" s="536" customFormat="1" ht="33.75" x14ac:dyDescent="0.2">
      <c r="A209" s="605"/>
      <c r="B209" s="552" t="s">
        <v>1250</v>
      </c>
      <c r="C209" s="1822" t="s">
        <v>1251</v>
      </c>
      <c r="D209" s="1822"/>
      <c r="E209" s="1822"/>
      <c r="F209" s="562" t="s">
        <v>322</v>
      </c>
      <c r="G209" s="562" t="s">
        <v>1252</v>
      </c>
      <c r="H209" s="562"/>
      <c r="I209" s="562" t="s">
        <v>1252</v>
      </c>
      <c r="J209" s="604"/>
      <c r="K209" s="562"/>
      <c r="L209" s="604">
        <v>577.15</v>
      </c>
      <c r="M209" s="603"/>
      <c r="N209" s="602"/>
      <c r="V209" s="674"/>
      <c r="W209" s="675"/>
      <c r="AA209" s="537" t="s">
        <v>1251</v>
      </c>
      <c r="AC209" s="675"/>
      <c r="AD209" s="675"/>
      <c r="AF209" s="675"/>
      <c r="AG209" s="680"/>
    </row>
    <row r="210" spans="1:33" s="536" customFormat="1" ht="33.75" x14ac:dyDescent="0.2">
      <c r="A210" s="605"/>
      <c r="B210" s="552" t="s">
        <v>1253</v>
      </c>
      <c r="C210" s="1822" t="s">
        <v>1254</v>
      </c>
      <c r="D210" s="1822"/>
      <c r="E210" s="1822"/>
      <c r="F210" s="562" t="s">
        <v>322</v>
      </c>
      <c r="G210" s="562" t="s">
        <v>796</v>
      </c>
      <c r="H210" s="562"/>
      <c r="I210" s="562" t="s">
        <v>796</v>
      </c>
      <c r="J210" s="604"/>
      <c r="K210" s="562"/>
      <c r="L210" s="604">
        <v>334.95</v>
      </c>
      <c r="M210" s="603"/>
      <c r="N210" s="602"/>
      <c r="V210" s="674"/>
      <c r="W210" s="675"/>
      <c r="AA210" s="537" t="s">
        <v>1254</v>
      </c>
      <c r="AC210" s="675"/>
      <c r="AD210" s="675"/>
      <c r="AF210" s="675"/>
      <c r="AG210" s="680"/>
    </row>
    <row r="211" spans="1:33" s="536" customFormat="1" ht="12" x14ac:dyDescent="0.2">
      <c r="A211" s="569"/>
      <c r="B211" s="656"/>
      <c r="C211" s="1823" t="s">
        <v>327</v>
      </c>
      <c r="D211" s="1823"/>
      <c r="E211" s="1823"/>
      <c r="F211" s="573"/>
      <c r="G211" s="573"/>
      <c r="H211" s="573"/>
      <c r="I211" s="573"/>
      <c r="J211" s="572"/>
      <c r="K211" s="573"/>
      <c r="L211" s="572">
        <v>1513.74</v>
      </c>
      <c r="M211" s="601"/>
      <c r="N211" s="570"/>
      <c r="V211" s="674"/>
      <c r="W211" s="675"/>
      <c r="AC211" s="675" t="s">
        <v>327</v>
      </c>
      <c r="AD211" s="675"/>
      <c r="AF211" s="675"/>
      <c r="AG211" s="680"/>
    </row>
    <row r="212" spans="1:33" s="536" customFormat="1" ht="45" x14ac:dyDescent="0.2">
      <c r="A212" s="575" t="s">
        <v>425</v>
      </c>
      <c r="B212" s="657" t="s">
        <v>2126</v>
      </c>
      <c r="C212" s="1823" t="s">
        <v>2127</v>
      </c>
      <c r="D212" s="1823"/>
      <c r="E212" s="1823"/>
      <c r="F212" s="573" t="s">
        <v>862</v>
      </c>
      <c r="G212" s="573"/>
      <c r="H212" s="573"/>
      <c r="I212" s="573" t="s">
        <v>2121</v>
      </c>
      <c r="J212" s="572"/>
      <c r="K212" s="573"/>
      <c r="L212" s="572"/>
      <c r="M212" s="571"/>
      <c r="N212" s="570"/>
      <c r="V212" s="674"/>
      <c r="W212" s="675" t="s">
        <v>2127</v>
      </c>
      <c r="AC212" s="675"/>
      <c r="AD212" s="675"/>
      <c r="AF212" s="675"/>
      <c r="AG212" s="680"/>
    </row>
    <row r="213" spans="1:33" s="536" customFormat="1" ht="12" x14ac:dyDescent="0.2">
      <c r="A213" s="676"/>
      <c r="B213" s="655"/>
      <c r="C213" s="1822" t="s">
        <v>2122</v>
      </c>
      <c r="D213" s="1822"/>
      <c r="E213" s="1822"/>
      <c r="F213" s="1822"/>
      <c r="G213" s="1822"/>
      <c r="H213" s="1822"/>
      <c r="I213" s="1822"/>
      <c r="J213" s="1822"/>
      <c r="K213" s="1822"/>
      <c r="L213" s="1822"/>
      <c r="M213" s="1822"/>
      <c r="N213" s="1827"/>
      <c r="V213" s="674"/>
      <c r="W213" s="675"/>
      <c r="X213" s="537" t="s">
        <v>2122</v>
      </c>
      <c r="AC213" s="675"/>
      <c r="AD213" s="675"/>
      <c r="AF213" s="675"/>
      <c r="AG213" s="680"/>
    </row>
    <row r="214" spans="1:33" s="536" customFormat="1" ht="33.75" x14ac:dyDescent="0.2">
      <c r="A214" s="609"/>
      <c r="B214" s="552" t="s">
        <v>310</v>
      </c>
      <c r="C214" s="1822" t="s">
        <v>311</v>
      </c>
      <c r="D214" s="1822"/>
      <c r="E214" s="1822"/>
      <c r="F214" s="1822"/>
      <c r="G214" s="1822"/>
      <c r="H214" s="1822"/>
      <c r="I214" s="1822"/>
      <c r="J214" s="1822"/>
      <c r="K214" s="1822"/>
      <c r="L214" s="1822"/>
      <c r="M214" s="1822"/>
      <c r="N214" s="1827"/>
      <c r="V214" s="674"/>
      <c r="W214" s="675"/>
      <c r="Y214" s="537" t="s">
        <v>311</v>
      </c>
      <c r="AC214" s="675"/>
      <c r="AD214" s="675"/>
      <c r="AF214" s="675"/>
      <c r="AG214" s="680"/>
    </row>
    <row r="215" spans="1:33" s="536" customFormat="1" ht="12" x14ac:dyDescent="0.2">
      <c r="A215" s="605"/>
      <c r="B215" s="552" t="s">
        <v>185</v>
      </c>
      <c r="C215" s="1822" t="s">
        <v>312</v>
      </c>
      <c r="D215" s="1822"/>
      <c r="E215" s="1822"/>
      <c r="F215" s="562"/>
      <c r="G215" s="562"/>
      <c r="H215" s="562"/>
      <c r="I215" s="562"/>
      <c r="J215" s="604">
        <v>53.82</v>
      </c>
      <c r="K215" s="562" t="s">
        <v>313</v>
      </c>
      <c r="L215" s="604">
        <v>154.68</v>
      </c>
      <c r="M215" s="603"/>
      <c r="N215" s="602"/>
      <c r="V215" s="674"/>
      <c r="W215" s="675"/>
      <c r="Z215" s="537" t="s">
        <v>312</v>
      </c>
      <c r="AC215" s="675"/>
      <c r="AD215" s="675"/>
      <c r="AF215" s="675"/>
      <c r="AG215" s="680"/>
    </row>
    <row r="216" spans="1:33" s="536" customFormat="1" ht="12" x14ac:dyDescent="0.2">
      <c r="A216" s="605"/>
      <c r="B216" s="552" t="s">
        <v>186</v>
      </c>
      <c r="C216" s="1822" t="s">
        <v>344</v>
      </c>
      <c r="D216" s="1822"/>
      <c r="E216" s="1822"/>
      <c r="F216" s="562"/>
      <c r="G216" s="562"/>
      <c r="H216" s="562"/>
      <c r="I216" s="562"/>
      <c r="J216" s="604">
        <v>19.149999999999999</v>
      </c>
      <c r="K216" s="562" t="s">
        <v>313</v>
      </c>
      <c r="L216" s="604">
        <v>55.04</v>
      </c>
      <c r="M216" s="603"/>
      <c r="N216" s="602"/>
      <c r="V216" s="674"/>
      <c r="W216" s="675"/>
      <c r="Z216" s="537" t="s">
        <v>344</v>
      </c>
      <c r="AC216" s="675"/>
      <c r="AD216" s="675"/>
      <c r="AF216" s="675"/>
      <c r="AG216" s="680"/>
    </row>
    <row r="217" spans="1:33" s="536" customFormat="1" ht="12" x14ac:dyDescent="0.2">
      <c r="A217" s="605"/>
      <c r="B217" s="552" t="s">
        <v>187</v>
      </c>
      <c r="C217" s="1822" t="s">
        <v>345</v>
      </c>
      <c r="D217" s="1822"/>
      <c r="E217" s="1822"/>
      <c r="F217" s="562"/>
      <c r="G217" s="562"/>
      <c r="H217" s="562"/>
      <c r="I217" s="562"/>
      <c r="J217" s="604">
        <v>4.58</v>
      </c>
      <c r="K217" s="562" t="s">
        <v>313</v>
      </c>
      <c r="L217" s="604">
        <v>13.16</v>
      </c>
      <c r="M217" s="603"/>
      <c r="N217" s="602"/>
      <c r="V217" s="674"/>
      <c r="W217" s="675"/>
      <c r="Z217" s="537" t="s">
        <v>345</v>
      </c>
      <c r="AC217" s="675"/>
      <c r="AD217" s="675"/>
      <c r="AF217" s="675"/>
      <c r="AG217" s="680"/>
    </row>
    <row r="218" spans="1:33" s="536" customFormat="1" ht="12" x14ac:dyDescent="0.2">
      <c r="A218" s="605"/>
      <c r="B218" s="552" t="s">
        <v>188</v>
      </c>
      <c r="C218" s="1822" t="s">
        <v>475</v>
      </c>
      <c r="D218" s="1822"/>
      <c r="E218" s="1822"/>
      <c r="F218" s="562"/>
      <c r="G218" s="562"/>
      <c r="H218" s="562"/>
      <c r="I218" s="562"/>
      <c r="J218" s="604">
        <v>0.55000000000000004</v>
      </c>
      <c r="K218" s="562"/>
      <c r="L218" s="604">
        <v>1.26</v>
      </c>
      <c r="M218" s="603"/>
      <c r="N218" s="602"/>
      <c r="V218" s="674"/>
      <c r="W218" s="675"/>
      <c r="Z218" s="537" t="s">
        <v>475</v>
      </c>
      <c r="AC218" s="675"/>
      <c r="AD218" s="675"/>
      <c r="AF218" s="675"/>
      <c r="AG218" s="680"/>
    </row>
    <row r="219" spans="1:33" s="536" customFormat="1" ht="12" x14ac:dyDescent="0.2">
      <c r="A219" s="676"/>
      <c r="B219" s="677" t="s">
        <v>1420</v>
      </c>
      <c r="C219" s="1829" t="s">
        <v>1421</v>
      </c>
      <c r="D219" s="1829"/>
      <c r="E219" s="1829"/>
      <c r="F219" s="678" t="s">
        <v>694</v>
      </c>
      <c r="G219" s="678" t="s">
        <v>646</v>
      </c>
      <c r="H219" s="678"/>
      <c r="I219" s="678" t="s">
        <v>2128</v>
      </c>
      <c r="J219" s="552"/>
      <c r="K219" s="562"/>
      <c r="L219" s="604"/>
      <c r="M219" s="562"/>
      <c r="N219" s="679"/>
      <c r="V219" s="674"/>
      <c r="W219" s="675"/>
      <c r="AC219" s="675"/>
      <c r="AD219" s="675"/>
      <c r="AF219" s="675"/>
      <c r="AG219" s="680" t="s">
        <v>1421</v>
      </c>
    </row>
    <row r="220" spans="1:33" s="536" customFormat="1" ht="12" x14ac:dyDescent="0.2">
      <c r="A220" s="605"/>
      <c r="B220" s="552"/>
      <c r="C220" s="1822" t="s">
        <v>314</v>
      </c>
      <c r="D220" s="1822"/>
      <c r="E220" s="1822"/>
      <c r="F220" s="562" t="s">
        <v>315</v>
      </c>
      <c r="G220" s="562" t="s">
        <v>2129</v>
      </c>
      <c r="H220" s="562" t="s">
        <v>313</v>
      </c>
      <c r="I220" s="562" t="s">
        <v>2130</v>
      </c>
      <c r="J220" s="604"/>
      <c r="K220" s="562"/>
      <c r="L220" s="604"/>
      <c r="M220" s="603"/>
      <c r="N220" s="602"/>
      <c r="V220" s="674"/>
      <c r="W220" s="675"/>
      <c r="AA220" s="537" t="s">
        <v>314</v>
      </c>
      <c r="AC220" s="675"/>
      <c r="AD220" s="675"/>
      <c r="AF220" s="675"/>
      <c r="AG220" s="680"/>
    </row>
    <row r="221" spans="1:33" s="536" customFormat="1" ht="12" x14ac:dyDescent="0.2">
      <c r="A221" s="605"/>
      <c r="B221" s="552"/>
      <c r="C221" s="1822" t="s">
        <v>348</v>
      </c>
      <c r="D221" s="1822"/>
      <c r="E221" s="1822"/>
      <c r="F221" s="562" t="s">
        <v>315</v>
      </c>
      <c r="G221" s="562" t="s">
        <v>2131</v>
      </c>
      <c r="H221" s="562" t="s">
        <v>313</v>
      </c>
      <c r="I221" s="562" t="s">
        <v>2132</v>
      </c>
      <c r="J221" s="604"/>
      <c r="K221" s="562"/>
      <c r="L221" s="604"/>
      <c r="M221" s="603"/>
      <c r="N221" s="602"/>
      <c r="V221" s="674"/>
      <c r="W221" s="675"/>
      <c r="AA221" s="537" t="s">
        <v>348</v>
      </c>
      <c r="AC221" s="675"/>
      <c r="AD221" s="675"/>
      <c r="AF221" s="675"/>
      <c r="AG221" s="680"/>
    </row>
    <row r="222" spans="1:33" s="536" customFormat="1" ht="12" x14ac:dyDescent="0.2">
      <c r="A222" s="605"/>
      <c r="B222" s="552"/>
      <c r="C222" s="1828" t="s">
        <v>318</v>
      </c>
      <c r="D222" s="1828"/>
      <c r="E222" s="1828"/>
      <c r="F222" s="608"/>
      <c r="G222" s="608"/>
      <c r="H222" s="608"/>
      <c r="I222" s="608"/>
      <c r="J222" s="607">
        <v>73.52</v>
      </c>
      <c r="K222" s="608"/>
      <c r="L222" s="607">
        <v>210.98</v>
      </c>
      <c r="M222" s="601"/>
      <c r="N222" s="606"/>
      <c r="V222" s="674"/>
      <c r="W222" s="675"/>
      <c r="AB222" s="537" t="s">
        <v>318</v>
      </c>
      <c r="AC222" s="675"/>
      <c r="AD222" s="675"/>
      <c r="AF222" s="675"/>
      <c r="AG222" s="680"/>
    </row>
    <row r="223" spans="1:33" s="536" customFormat="1" ht="12" x14ac:dyDescent="0.2">
      <c r="A223" s="605"/>
      <c r="B223" s="552"/>
      <c r="C223" s="1822" t="s">
        <v>319</v>
      </c>
      <c r="D223" s="1822"/>
      <c r="E223" s="1822"/>
      <c r="F223" s="562"/>
      <c r="G223" s="562"/>
      <c r="H223" s="562"/>
      <c r="I223" s="562"/>
      <c r="J223" s="604"/>
      <c r="K223" s="562"/>
      <c r="L223" s="604">
        <v>167.84</v>
      </c>
      <c r="M223" s="603"/>
      <c r="N223" s="602"/>
      <c r="V223" s="674"/>
      <c r="W223" s="675"/>
      <c r="AA223" s="537" t="s">
        <v>319</v>
      </c>
      <c r="AC223" s="675"/>
      <c r="AD223" s="675"/>
      <c r="AF223" s="675"/>
      <c r="AG223" s="680"/>
    </row>
    <row r="224" spans="1:33" s="536" customFormat="1" ht="33.75" x14ac:dyDescent="0.2">
      <c r="A224" s="605"/>
      <c r="B224" s="552" t="s">
        <v>1250</v>
      </c>
      <c r="C224" s="1822" t="s">
        <v>1251</v>
      </c>
      <c r="D224" s="1822"/>
      <c r="E224" s="1822"/>
      <c r="F224" s="562" t="s">
        <v>322</v>
      </c>
      <c r="G224" s="562" t="s">
        <v>1252</v>
      </c>
      <c r="H224" s="562"/>
      <c r="I224" s="562" t="s">
        <v>1252</v>
      </c>
      <c r="J224" s="604"/>
      <c r="K224" s="562"/>
      <c r="L224" s="604">
        <v>187.98</v>
      </c>
      <c r="M224" s="603"/>
      <c r="N224" s="602"/>
      <c r="V224" s="674"/>
      <c r="W224" s="675"/>
      <c r="AA224" s="537" t="s">
        <v>1251</v>
      </c>
      <c r="AC224" s="675"/>
      <c r="AD224" s="675"/>
      <c r="AF224" s="675"/>
      <c r="AG224" s="680"/>
    </row>
    <row r="225" spans="1:33" s="536" customFormat="1" ht="33.75" x14ac:dyDescent="0.2">
      <c r="A225" s="605"/>
      <c r="B225" s="552" t="s">
        <v>1253</v>
      </c>
      <c r="C225" s="1822" t="s">
        <v>1254</v>
      </c>
      <c r="D225" s="1822"/>
      <c r="E225" s="1822"/>
      <c r="F225" s="562" t="s">
        <v>322</v>
      </c>
      <c r="G225" s="562" t="s">
        <v>796</v>
      </c>
      <c r="H225" s="562"/>
      <c r="I225" s="562" t="s">
        <v>796</v>
      </c>
      <c r="J225" s="604"/>
      <c r="K225" s="562"/>
      <c r="L225" s="604">
        <v>109.1</v>
      </c>
      <c r="M225" s="603"/>
      <c r="N225" s="602"/>
      <c r="V225" s="674"/>
      <c r="W225" s="675"/>
      <c r="AA225" s="537" t="s">
        <v>1254</v>
      </c>
      <c r="AC225" s="675"/>
      <c r="AD225" s="675"/>
      <c r="AF225" s="675"/>
      <c r="AG225" s="680"/>
    </row>
    <row r="226" spans="1:33" s="536" customFormat="1" ht="12" x14ac:dyDescent="0.2">
      <c r="A226" s="569"/>
      <c r="B226" s="656"/>
      <c r="C226" s="1823" t="s">
        <v>327</v>
      </c>
      <c r="D226" s="1823"/>
      <c r="E226" s="1823"/>
      <c r="F226" s="573"/>
      <c r="G226" s="573"/>
      <c r="H226" s="573"/>
      <c r="I226" s="573"/>
      <c r="J226" s="572"/>
      <c r="K226" s="573"/>
      <c r="L226" s="572">
        <v>508.06</v>
      </c>
      <c r="M226" s="601"/>
      <c r="N226" s="570"/>
      <c r="V226" s="674"/>
      <c r="W226" s="675"/>
      <c r="AC226" s="675" t="s">
        <v>327</v>
      </c>
      <c r="AD226" s="675"/>
      <c r="AF226" s="675"/>
      <c r="AG226" s="680"/>
    </row>
    <row r="227" spans="1:33" s="536" customFormat="1" ht="22.5" x14ac:dyDescent="0.2">
      <c r="A227" s="575" t="s">
        <v>430</v>
      </c>
      <c r="B227" s="657" t="s">
        <v>1427</v>
      </c>
      <c r="C227" s="1823" t="s">
        <v>1428</v>
      </c>
      <c r="D227" s="1823"/>
      <c r="E227" s="1823"/>
      <c r="F227" s="573" t="s">
        <v>699</v>
      </c>
      <c r="G227" s="573"/>
      <c r="H227" s="573"/>
      <c r="I227" s="573" t="s">
        <v>2133</v>
      </c>
      <c r="J227" s="572">
        <v>9.15</v>
      </c>
      <c r="K227" s="573"/>
      <c r="L227" s="572">
        <v>3366.03</v>
      </c>
      <c r="M227" s="571"/>
      <c r="N227" s="570"/>
      <c r="V227" s="674"/>
      <c r="W227" s="675" t="s">
        <v>1428</v>
      </c>
      <c r="AC227" s="675"/>
      <c r="AD227" s="675"/>
      <c r="AF227" s="675"/>
      <c r="AG227" s="680"/>
    </row>
    <row r="228" spans="1:33" s="536" customFormat="1" ht="12" x14ac:dyDescent="0.2">
      <c r="A228" s="569"/>
      <c r="B228" s="656"/>
      <c r="C228" s="661" t="s">
        <v>717</v>
      </c>
      <c r="D228" s="662"/>
      <c r="E228" s="662"/>
      <c r="F228" s="563"/>
      <c r="G228" s="563"/>
      <c r="H228" s="563"/>
      <c r="I228" s="563"/>
      <c r="J228" s="566"/>
      <c r="K228" s="563"/>
      <c r="L228" s="566"/>
      <c r="M228" s="565"/>
      <c r="N228" s="564"/>
      <c r="V228" s="674"/>
      <c r="W228" s="675"/>
      <c r="AC228" s="675"/>
      <c r="AD228" s="675"/>
      <c r="AF228" s="675"/>
      <c r="AG228" s="680"/>
    </row>
    <row r="229" spans="1:33" s="536" customFormat="1" ht="12" x14ac:dyDescent="0.2">
      <c r="A229" s="676"/>
      <c r="B229" s="655"/>
      <c r="C229" s="1822" t="s">
        <v>2134</v>
      </c>
      <c r="D229" s="1822"/>
      <c r="E229" s="1822"/>
      <c r="F229" s="1822"/>
      <c r="G229" s="1822"/>
      <c r="H229" s="1822"/>
      <c r="I229" s="1822"/>
      <c r="J229" s="1822"/>
      <c r="K229" s="1822"/>
      <c r="L229" s="1822"/>
      <c r="M229" s="1822"/>
      <c r="N229" s="1827"/>
      <c r="V229" s="674"/>
      <c r="W229" s="675"/>
      <c r="X229" s="537" t="s">
        <v>2134</v>
      </c>
      <c r="AC229" s="675"/>
      <c r="AD229" s="675"/>
      <c r="AF229" s="675"/>
      <c r="AG229" s="680"/>
    </row>
    <row r="230" spans="1:33" s="536" customFormat="1" ht="1.5" customHeight="1" x14ac:dyDescent="0.2">
      <c r="A230" s="563"/>
      <c r="B230" s="656"/>
      <c r="C230" s="656"/>
      <c r="D230" s="656"/>
      <c r="E230" s="656"/>
      <c r="F230" s="563"/>
      <c r="G230" s="563"/>
      <c r="H230" s="563"/>
      <c r="I230" s="563"/>
      <c r="J230" s="546"/>
      <c r="K230" s="563"/>
      <c r="L230" s="546"/>
      <c r="M230" s="562"/>
      <c r="N230" s="546"/>
      <c r="V230" s="674"/>
      <c r="W230" s="675"/>
      <c r="AC230" s="675"/>
      <c r="AD230" s="675"/>
      <c r="AF230" s="675"/>
      <c r="AG230" s="680"/>
    </row>
    <row r="231" spans="1:33" s="536" customFormat="1" ht="12" x14ac:dyDescent="0.2">
      <c r="A231" s="557"/>
      <c r="B231" s="556"/>
      <c r="C231" s="1823" t="s">
        <v>2135</v>
      </c>
      <c r="D231" s="1823"/>
      <c r="E231" s="1823"/>
      <c r="F231" s="1823"/>
      <c r="G231" s="1823"/>
      <c r="H231" s="1823"/>
      <c r="I231" s="1823"/>
      <c r="J231" s="1823"/>
      <c r="K231" s="1823"/>
      <c r="L231" s="555"/>
      <c r="M231" s="554"/>
      <c r="N231" s="553"/>
      <c r="V231" s="674"/>
      <c r="W231" s="675"/>
      <c r="AC231" s="675"/>
      <c r="AD231" s="675" t="s">
        <v>2135</v>
      </c>
      <c r="AF231" s="675"/>
      <c r="AG231" s="680"/>
    </row>
    <row r="232" spans="1:33" s="536" customFormat="1" ht="12" x14ac:dyDescent="0.2">
      <c r="A232" s="548"/>
      <c r="B232" s="552"/>
      <c r="C232" s="1822" t="s">
        <v>403</v>
      </c>
      <c r="D232" s="1822"/>
      <c r="E232" s="1822"/>
      <c r="F232" s="1822"/>
      <c r="G232" s="1822"/>
      <c r="H232" s="1822"/>
      <c r="I232" s="1822"/>
      <c r="J232" s="1822"/>
      <c r="K232" s="1822"/>
      <c r="L232" s="551">
        <v>94198.07</v>
      </c>
      <c r="M232" s="550"/>
      <c r="N232" s="549"/>
      <c r="V232" s="674"/>
      <c r="W232" s="675"/>
      <c r="AC232" s="675"/>
      <c r="AD232" s="675"/>
      <c r="AE232" s="537" t="s">
        <v>403</v>
      </c>
      <c r="AF232" s="675"/>
      <c r="AG232" s="680"/>
    </row>
    <row r="233" spans="1:33" s="536" customFormat="1" ht="12" x14ac:dyDescent="0.2">
      <c r="A233" s="548"/>
      <c r="B233" s="552"/>
      <c r="C233" s="1822" t="s">
        <v>204</v>
      </c>
      <c r="D233" s="1822"/>
      <c r="E233" s="1822"/>
      <c r="F233" s="1822"/>
      <c r="G233" s="1822"/>
      <c r="H233" s="1822"/>
      <c r="I233" s="1822"/>
      <c r="J233" s="1822"/>
      <c r="K233" s="1822"/>
      <c r="L233" s="551"/>
      <c r="M233" s="550"/>
      <c r="N233" s="549"/>
      <c r="V233" s="674"/>
      <c r="W233" s="675"/>
      <c r="AC233" s="675"/>
      <c r="AD233" s="675"/>
      <c r="AE233" s="537" t="s">
        <v>204</v>
      </c>
      <c r="AF233" s="675"/>
      <c r="AG233" s="680"/>
    </row>
    <row r="234" spans="1:33" s="536" customFormat="1" ht="12" x14ac:dyDescent="0.2">
      <c r="A234" s="548"/>
      <c r="B234" s="552"/>
      <c r="C234" s="1822" t="s">
        <v>404</v>
      </c>
      <c r="D234" s="1822"/>
      <c r="E234" s="1822"/>
      <c r="F234" s="1822"/>
      <c r="G234" s="1822"/>
      <c r="H234" s="1822"/>
      <c r="I234" s="1822"/>
      <c r="J234" s="1822"/>
      <c r="K234" s="1822"/>
      <c r="L234" s="551">
        <v>2484.37</v>
      </c>
      <c r="M234" s="550"/>
      <c r="N234" s="549"/>
      <c r="V234" s="674"/>
      <c r="W234" s="675"/>
      <c r="AC234" s="675"/>
      <c r="AD234" s="675"/>
      <c r="AE234" s="537" t="s">
        <v>404</v>
      </c>
      <c r="AF234" s="675"/>
      <c r="AG234" s="680"/>
    </row>
    <row r="235" spans="1:33" s="536" customFormat="1" ht="12" x14ac:dyDescent="0.2">
      <c r="A235" s="548"/>
      <c r="B235" s="552"/>
      <c r="C235" s="1822" t="s">
        <v>405</v>
      </c>
      <c r="D235" s="1822"/>
      <c r="E235" s="1822"/>
      <c r="F235" s="1822"/>
      <c r="G235" s="1822"/>
      <c r="H235" s="1822"/>
      <c r="I235" s="1822"/>
      <c r="J235" s="1822"/>
      <c r="K235" s="1822"/>
      <c r="L235" s="551">
        <v>2645.39</v>
      </c>
      <c r="M235" s="550"/>
      <c r="N235" s="549"/>
      <c r="V235" s="674"/>
      <c r="W235" s="675"/>
      <c r="AC235" s="675"/>
      <c r="AD235" s="675"/>
      <c r="AE235" s="537" t="s">
        <v>405</v>
      </c>
      <c r="AF235" s="675"/>
      <c r="AG235" s="680"/>
    </row>
    <row r="236" spans="1:33" s="536" customFormat="1" ht="12" x14ac:dyDescent="0.2">
      <c r="A236" s="548"/>
      <c r="B236" s="552"/>
      <c r="C236" s="1822" t="s">
        <v>406</v>
      </c>
      <c r="D236" s="1822"/>
      <c r="E236" s="1822"/>
      <c r="F236" s="1822"/>
      <c r="G236" s="1822"/>
      <c r="H236" s="1822"/>
      <c r="I236" s="1822"/>
      <c r="J236" s="1822"/>
      <c r="K236" s="1822"/>
      <c r="L236" s="551">
        <v>417.99</v>
      </c>
      <c r="M236" s="550"/>
      <c r="N236" s="549"/>
      <c r="V236" s="674"/>
      <c r="W236" s="675"/>
      <c r="AC236" s="675"/>
      <c r="AD236" s="675"/>
      <c r="AE236" s="537" t="s">
        <v>406</v>
      </c>
      <c r="AF236" s="675"/>
      <c r="AG236" s="680"/>
    </row>
    <row r="237" spans="1:33" s="536" customFormat="1" ht="12" x14ac:dyDescent="0.2">
      <c r="A237" s="548"/>
      <c r="B237" s="552"/>
      <c r="C237" s="1822" t="s">
        <v>480</v>
      </c>
      <c r="D237" s="1822"/>
      <c r="E237" s="1822"/>
      <c r="F237" s="1822"/>
      <c r="G237" s="1822"/>
      <c r="H237" s="1822"/>
      <c r="I237" s="1822"/>
      <c r="J237" s="1822"/>
      <c r="K237" s="1822"/>
      <c r="L237" s="551">
        <v>89068.31</v>
      </c>
      <c r="M237" s="550"/>
      <c r="N237" s="549"/>
      <c r="V237" s="674"/>
      <c r="W237" s="675"/>
      <c r="AC237" s="675"/>
      <c r="AD237" s="675"/>
      <c r="AE237" s="537" t="s">
        <v>480</v>
      </c>
      <c r="AF237" s="675"/>
      <c r="AG237" s="680"/>
    </row>
    <row r="238" spans="1:33" s="536" customFormat="1" ht="12" x14ac:dyDescent="0.2">
      <c r="A238" s="548"/>
      <c r="B238" s="552"/>
      <c r="C238" s="1822" t="s">
        <v>407</v>
      </c>
      <c r="D238" s="1822"/>
      <c r="E238" s="1822"/>
      <c r="F238" s="1822"/>
      <c r="G238" s="1822"/>
      <c r="H238" s="1822"/>
      <c r="I238" s="1822"/>
      <c r="J238" s="1822"/>
      <c r="K238" s="1822"/>
      <c r="L238" s="551">
        <v>98958</v>
      </c>
      <c r="M238" s="550"/>
      <c r="N238" s="549"/>
      <c r="V238" s="674"/>
      <c r="W238" s="675"/>
      <c r="AC238" s="675"/>
      <c r="AD238" s="675"/>
      <c r="AE238" s="537" t="s">
        <v>407</v>
      </c>
      <c r="AF238" s="675"/>
      <c r="AG238" s="680"/>
    </row>
    <row r="239" spans="1:33" s="536" customFormat="1" ht="12" x14ac:dyDescent="0.2">
      <c r="A239" s="548"/>
      <c r="B239" s="552"/>
      <c r="C239" s="1822" t="s">
        <v>204</v>
      </c>
      <c r="D239" s="1822"/>
      <c r="E239" s="1822"/>
      <c r="F239" s="1822"/>
      <c r="G239" s="1822"/>
      <c r="H239" s="1822"/>
      <c r="I239" s="1822"/>
      <c r="J239" s="1822"/>
      <c r="K239" s="1822"/>
      <c r="L239" s="551"/>
      <c r="M239" s="550"/>
      <c r="N239" s="549"/>
      <c r="V239" s="674"/>
      <c r="W239" s="675"/>
      <c r="AC239" s="675"/>
      <c r="AD239" s="675"/>
      <c r="AE239" s="537" t="s">
        <v>204</v>
      </c>
      <c r="AF239" s="675"/>
      <c r="AG239" s="680"/>
    </row>
    <row r="240" spans="1:33" s="536" customFormat="1" ht="12" x14ac:dyDescent="0.2">
      <c r="A240" s="548"/>
      <c r="B240" s="552"/>
      <c r="C240" s="1822" t="s">
        <v>546</v>
      </c>
      <c r="D240" s="1822"/>
      <c r="E240" s="1822"/>
      <c r="F240" s="1822"/>
      <c r="G240" s="1822"/>
      <c r="H240" s="1822"/>
      <c r="I240" s="1822"/>
      <c r="J240" s="1822"/>
      <c r="K240" s="1822"/>
      <c r="L240" s="551">
        <v>2484.37</v>
      </c>
      <c r="M240" s="550"/>
      <c r="N240" s="549"/>
      <c r="V240" s="674"/>
      <c r="W240" s="675"/>
      <c r="AC240" s="675"/>
      <c r="AD240" s="675"/>
      <c r="AE240" s="537" t="s">
        <v>546</v>
      </c>
      <c r="AF240" s="675"/>
      <c r="AG240" s="680"/>
    </row>
    <row r="241" spans="1:33" s="536" customFormat="1" ht="12" x14ac:dyDescent="0.2">
      <c r="A241" s="548"/>
      <c r="B241" s="552"/>
      <c r="C241" s="1822" t="s">
        <v>442</v>
      </c>
      <c r="D241" s="1822"/>
      <c r="E241" s="1822"/>
      <c r="F241" s="1822"/>
      <c r="G241" s="1822"/>
      <c r="H241" s="1822"/>
      <c r="I241" s="1822"/>
      <c r="J241" s="1822"/>
      <c r="K241" s="1822"/>
      <c r="L241" s="551">
        <v>2645.39</v>
      </c>
      <c r="M241" s="550"/>
      <c r="N241" s="549"/>
      <c r="V241" s="674"/>
      <c r="W241" s="675"/>
      <c r="AC241" s="675"/>
      <c r="AD241" s="675"/>
      <c r="AE241" s="537" t="s">
        <v>442</v>
      </c>
      <c r="AF241" s="675"/>
      <c r="AG241" s="680"/>
    </row>
    <row r="242" spans="1:33" s="536" customFormat="1" ht="12" x14ac:dyDescent="0.2">
      <c r="A242" s="548"/>
      <c r="B242" s="552"/>
      <c r="C242" s="1822" t="s">
        <v>547</v>
      </c>
      <c r="D242" s="1822"/>
      <c r="E242" s="1822"/>
      <c r="F242" s="1822"/>
      <c r="G242" s="1822"/>
      <c r="H242" s="1822"/>
      <c r="I242" s="1822"/>
      <c r="J242" s="1822"/>
      <c r="K242" s="1822"/>
      <c r="L242" s="551">
        <v>89068.31</v>
      </c>
      <c r="M242" s="550"/>
      <c r="N242" s="549"/>
      <c r="V242" s="674"/>
      <c r="W242" s="675"/>
      <c r="AC242" s="675"/>
      <c r="AD242" s="675"/>
      <c r="AE242" s="537" t="s">
        <v>547</v>
      </c>
      <c r="AF242" s="675"/>
      <c r="AG242" s="680"/>
    </row>
    <row r="243" spans="1:33" s="536" customFormat="1" ht="12" x14ac:dyDescent="0.2">
      <c r="A243" s="548"/>
      <c r="B243" s="552"/>
      <c r="C243" s="1822" t="s">
        <v>443</v>
      </c>
      <c r="D243" s="1822"/>
      <c r="E243" s="1822"/>
      <c r="F243" s="1822"/>
      <c r="G243" s="1822"/>
      <c r="H243" s="1822"/>
      <c r="I243" s="1822"/>
      <c r="J243" s="1822"/>
      <c r="K243" s="1822"/>
      <c r="L243" s="551">
        <v>3028.73</v>
      </c>
      <c r="M243" s="550"/>
      <c r="N243" s="549"/>
      <c r="V243" s="674"/>
      <c r="W243" s="675"/>
      <c r="AC243" s="675"/>
      <c r="AD243" s="675"/>
      <c r="AE243" s="537" t="s">
        <v>443</v>
      </c>
      <c r="AF243" s="675"/>
      <c r="AG243" s="680"/>
    </row>
    <row r="244" spans="1:33" s="536" customFormat="1" ht="12" x14ac:dyDescent="0.2">
      <c r="A244" s="548"/>
      <c r="B244" s="552"/>
      <c r="C244" s="1822" t="s">
        <v>444</v>
      </c>
      <c r="D244" s="1822"/>
      <c r="E244" s="1822"/>
      <c r="F244" s="1822"/>
      <c r="G244" s="1822"/>
      <c r="H244" s="1822"/>
      <c r="I244" s="1822"/>
      <c r="J244" s="1822"/>
      <c r="K244" s="1822"/>
      <c r="L244" s="551">
        <v>1731.2</v>
      </c>
      <c r="M244" s="550"/>
      <c r="N244" s="549"/>
      <c r="V244" s="674"/>
      <c r="W244" s="675"/>
      <c r="AC244" s="675"/>
      <c r="AD244" s="675"/>
      <c r="AE244" s="537" t="s">
        <v>444</v>
      </c>
      <c r="AF244" s="675"/>
      <c r="AG244" s="680"/>
    </row>
    <row r="245" spans="1:33" s="536" customFormat="1" ht="12" x14ac:dyDescent="0.2">
      <c r="A245" s="548"/>
      <c r="B245" s="552"/>
      <c r="C245" s="1822" t="s">
        <v>415</v>
      </c>
      <c r="D245" s="1822"/>
      <c r="E245" s="1822"/>
      <c r="F245" s="1822"/>
      <c r="G245" s="1822"/>
      <c r="H245" s="1822"/>
      <c r="I245" s="1822"/>
      <c r="J245" s="1822"/>
      <c r="K245" s="1822"/>
      <c r="L245" s="551">
        <v>2902.36</v>
      </c>
      <c r="M245" s="550"/>
      <c r="N245" s="549"/>
      <c r="V245" s="674"/>
      <c r="W245" s="675"/>
      <c r="AC245" s="675"/>
      <c r="AD245" s="675"/>
      <c r="AE245" s="537" t="s">
        <v>415</v>
      </c>
      <c r="AF245" s="675"/>
      <c r="AG245" s="680"/>
    </row>
    <row r="246" spans="1:33" s="536" customFormat="1" ht="12" x14ac:dyDescent="0.2">
      <c r="A246" s="548"/>
      <c r="B246" s="552"/>
      <c r="C246" s="1822" t="s">
        <v>416</v>
      </c>
      <c r="D246" s="1822"/>
      <c r="E246" s="1822"/>
      <c r="F246" s="1822"/>
      <c r="G246" s="1822"/>
      <c r="H246" s="1822"/>
      <c r="I246" s="1822"/>
      <c r="J246" s="1822"/>
      <c r="K246" s="1822"/>
      <c r="L246" s="551">
        <v>3028.73</v>
      </c>
      <c r="M246" s="550"/>
      <c r="N246" s="549"/>
      <c r="V246" s="674"/>
      <c r="W246" s="675"/>
      <c r="AC246" s="675"/>
      <c r="AD246" s="675"/>
      <c r="AE246" s="537" t="s">
        <v>416</v>
      </c>
      <c r="AF246" s="675"/>
      <c r="AG246" s="680"/>
    </row>
    <row r="247" spans="1:33" s="536" customFormat="1" ht="12" x14ac:dyDescent="0.2">
      <c r="A247" s="548"/>
      <c r="B247" s="552"/>
      <c r="C247" s="1822" t="s">
        <v>417</v>
      </c>
      <c r="D247" s="1822"/>
      <c r="E247" s="1822"/>
      <c r="F247" s="1822"/>
      <c r="G247" s="1822"/>
      <c r="H247" s="1822"/>
      <c r="I247" s="1822"/>
      <c r="J247" s="1822"/>
      <c r="K247" s="1822"/>
      <c r="L247" s="551">
        <v>1731.2</v>
      </c>
      <c r="M247" s="550"/>
      <c r="N247" s="549"/>
      <c r="V247" s="674"/>
      <c r="W247" s="675"/>
      <c r="AC247" s="675"/>
      <c r="AD247" s="675"/>
      <c r="AE247" s="537" t="s">
        <v>417</v>
      </c>
      <c r="AF247" s="675"/>
      <c r="AG247" s="680"/>
    </row>
    <row r="248" spans="1:33" s="536" customFormat="1" ht="12" x14ac:dyDescent="0.2">
      <c r="A248" s="548"/>
      <c r="B248" s="546"/>
      <c r="C248" s="1819" t="s">
        <v>2136</v>
      </c>
      <c r="D248" s="1819"/>
      <c r="E248" s="1819"/>
      <c r="F248" s="1819"/>
      <c r="G248" s="1819"/>
      <c r="H248" s="1819"/>
      <c r="I248" s="1819"/>
      <c r="J248" s="1819"/>
      <c r="K248" s="1819"/>
      <c r="L248" s="544">
        <v>98958</v>
      </c>
      <c r="M248" s="543"/>
      <c r="N248" s="681"/>
      <c r="V248" s="674"/>
      <c r="W248" s="675"/>
      <c r="AC248" s="675"/>
      <c r="AD248" s="675"/>
      <c r="AF248" s="675" t="s">
        <v>2136</v>
      </c>
      <c r="AG248" s="680"/>
    </row>
    <row r="249" spans="1:33" s="536" customFormat="1" ht="12" x14ac:dyDescent="0.2">
      <c r="A249" s="1824" t="s">
        <v>2137</v>
      </c>
      <c r="B249" s="1825"/>
      <c r="C249" s="1825"/>
      <c r="D249" s="1825"/>
      <c r="E249" s="1825"/>
      <c r="F249" s="1825"/>
      <c r="G249" s="1825"/>
      <c r="H249" s="1825"/>
      <c r="I249" s="1825"/>
      <c r="J249" s="1825"/>
      <c r="K249" s="1825"/>
      <c r="L249" s="1825"/>
      <c r="M249" s="1825"/>
      <c r="N249" s="1826"/>
      <c r="V249" s="674" t="s">
        <v>2137</v>
      </c>
      <c r="W249" s="675"/>
      <c r="AC249" s="675"/>
      <c r="AD249" s="675"/>
      <c r="AF249" s="675"/>
      <c r="AG249" s="680"/>
    </row>
    <row r="250" spans="1:33" s="536" customFormat="1" ht="45" x14ac:dyDescent="0.2">
      <c r="A250" s="575" t="s">
        <v>436</v>
      </c>
      <c r="B250" s="657" t="s">
        <v>1444</v>
      </c>
      <c r="C250" s="1823" t="s">
        <v>2138</v>
      </c>
      <c r="D250" s="1823"/>
      <c r="E250" s="1823"/>
      <c r="F250" s="573" t="s">
        <v>694</v>
      </c>
      <c r="G250" s="573"/>
      <c r="H250" s="573"/>
      <c r="I250" s="573" t="s">
        <v>2139</v>
      </c>
      <c r="J250" s="572"/>
      <c r="K250" s="573"/>
      <c r="L250" s="572"/>
      <c r="M250" s="571"/>
      <c r="N250" s="570"/>
      <c r="V250" s="674"/>
      <c r="W250" s="675" t="s">
        <v>2138</v>
      </c>
      <c r="AC250" s="675"/>
      <c r="AD250" s="675"/>
      <c r="AF250" s="675"/>
      <c r="AG250" s="680"/>
    </row>
    <row r="251" spans="1:33" s="536" customFormat="1" ht="12" x14ac:dyDescent="0.2">
      <c r="A251" s="676"/>
      <c r="B251" s="655"/>
      <c r="C251" s="1822" t="s">
        <v>2140</v>
      </c>
      <c r="D251" s="1822"/>
      <c r="E251" s="1822"/>
      <c r="F251" s="1822"/>
      <c r="G251" s="1822"/>
      <c r="H251" s="1822"/>
      <c r="I251" s="1822"/>
      <c r="J251" s="1822"/>
      <c r="K251" s="1822"/>
      <c r="L251" s="1822"/>
      <c r="M251" s="1822"/>
      <c r="N251" s="1827"/>
      <c r="V251" s="674"/>
      <c r="W251" s="675"/>
      <c r="X251" s="537" t="s">
        <v>2140</v>
      </c>
      <c r="AC251" s="675"/>
      <c r="AD251" s="675"/>
      <c r="AF251" s="675"/>
      <c r="AG251" s="680"/>
    </row>
    <row r="252" spans="1:33" s="536" customFormat="1" ht="33.75" x14ac:dyDescent="0.2">
      <c r="A252" s="609"/>
      <c r="B252" s="552" t="s">
        <v>310</v>
      </c>
      <c r="C252" s="1822" t="s">
        <v>311</v>
      </c>
      <c r="D252" s="1822"/>
      <c r="E252" s="1822"/>
      <c r="F252" s="1822"/>
      <c r="G252" s="1822"/>
      <c r="H252" s="1822"/>
      <c r="I252" s="1822"/>
      <c r="J252" s="1822"/>
      <c r="K252" s="1822"/>
      <c r="L252" s="1822"/>
      <c r="M252" s="1822"/>
      <c r="N252" s="1827"/>
      <c r="V252" s="674"/>
      <c r="W252" s="675"/>
      <c r="Y252" s="537" t="s">
        <v>311</v>
      </c>
      <c r="AC252" s="675"/>
      <c r="AD252" s="675"/>
      <c r="AF252" s="675"/>
      <c r="AG252" s="680"/>
    </row>
    <row r="253" spans="1:33" s="536" customFormat="1" ht="12" x14ac:dyDescent="0.2">
      <c r="A253" s="605"/>
      <c r="B253" s="552" t="s">
        <v>185</v>
      </c>
      <c r="C253" s="1822" t="s">
        <v>312</v>
      </c>
      <c r="D253" s="1822"/>
      <c r="E253" s="1822"/>
      <c r="F253" s="562"/>
      <c r="G253" s="562"/>
      <c r="H253" s="562"/>
      <c r="I253" s="562"/>
      <c r="J253" s="604">
        <v>159.28</v>
      </c>
      <c r="K253" s="562" t="s">
        <v>313</v>
      </c>
      <c r="L253" s="604">
        <v>5921.51</v>
      </c>
      <c r="M253" s="603"/>
      <c r="N253" s="602"/>
      <c r="V253" s="674"/>
      <c r="W253" s="675"/>
      <c r="Z253" s="537" t="s">
        <v>312</v>
      </c>
      <c r="AC253" s="675"/>
      <c r="AD253" s="675"/>
      <c r="AF253" s="675"/>
      <c r="AG253" s="680"/>
    </row>
    <row r="254" spans="1:33" s="536" customFormat="1" ht="12" x14ac:dyDescent="0.2">
      <c r="A254" s="605"/>
      <c r="B254" s="552" t="s">
        <v>186</v>
      </c>
      <c r="C254" s="1822" t="s">
        <v>344</v>
      </c>
      <c r="D254" s="1822"/>
      <c r="E254" s="1822"/>
      <c r="F254" s="562"/>
      <c r="G254" s="562"/>
      <c r="H254" s="562"/>
      <c r="I254" s="562"/>
      <c r="J254" s="604">
        <v>467.67</v>
      </c>
      <c r="K254" s="562" t="s">
        <v>313</v>
      </c>
      <c r="L254" s="604">
        <v>17386.45</v>
      </c>
      <c r="M254" s="603"/>
      <c r="N254" s="602"/>
      <c r="V254" s="674"/>
      <c r="W254" s="675"/>
      <c r="Z254" s="537" t="s">
        <v>344</v>
      </c>
      <c r="AC254" s="675"/>
      <c r="AD254" s="675"/>
      <c r="AF254" s="675"/>
      <c r="AG254" s="680"/>
    </row>
    <row r="255" spans="1:33" s="536" customFormat="1" ht="12" x14ac:dyDescent="0.2">
      <c r="A255" s="605"/>
      <c r="B255" s="552" t="s">
        <v>187</v>
      </c>
      <c r="C255" s="1822" t="s">
        <v>345</v>
      </c>
      <c r="D255" s="1822"/>
      <c r="E255" s="1822"/>
      <c r="F255" s="562"/>
      <c r="G255" s="562"/>
      <c r="H255" s="562"/>
      <c r="I255" s="562"/>
      <c r="J255" s="604">
        <v>42.84</v>
      </c>
      <c r="K255" s="562" t="s">
        <v>313</v>
      </c>
      <c r="L255" s="604">
        <v>1592.65</v>
      </c>
      <c r="M255" s="603"/>
      <c r="N255" s="602"/>
      <c r="V255" s="674"/>
      <c r="W255" s="675"/>
      <c r="Z255" s="537" t="s">
        <v>345</v>
      </c>
      <c r="AC255" s="675"/>
      <c r="AD255" s="675"/>
      <c r="AF255" s="675"/>
      <c r="AG255" s="680"/>
    </row>
    <row r="256" spans="1:33" s="536" customFormat="1" ht="12" x14ac:dyDescent="0.2">
      <c r="A256" s="605"/>
      <c r="B256" s="552" t="s">
        <v>188</v>
      </c>
      <c r="C256" s="1822" t="s">
        <v>475</v>
      </c>
      <c r="D256" s="1822"/>
      <c r="E256" s="1822"/>
      <c r="F256" s="562"/>
      <c r="G256" s="562"/>
      <c r="H256" s="562"/>
      <c r="I256" s="562"/>
      <c r="J256" s="604">
        <v>106.34</v>
      </c>
      <c r="K256" s="562"/>
      <c r="L256" s="604">
        <v>3162.7</v>
      </c>
      <c r="M256" s="603"/>
      <c r="N256" s="602"/>
      <c r="V256" s="674"/>
      <c r="W256" s="675"/>
      <c r="Z256" s="537" t="s">
        <v>475</v>
      </c>
      <c r="AC256" s="675"/>
      <c r="AD256" s="675"/>
      <c r="AF256" s="675"/>
      <c r="AG256" s="680"/>
    </row>
    <row r="257" spans="1:33" s="536" customFormat="1" ht="12" x14ac:dyDescent="0.2">
      <c r="A257" s="676"/>
      <c r="B257" s="677" t="s">
        <v>1436</v>
      </c>
      <c r="C257" s="1829" t="s">
        <v>1229</v>
      </c>
      <c r="D257" s="1829"/>
      <c r="E257" s="1829"/>
      <c r="F257" s="678" t="s">
        <v>694</v>
      </c>
      <c r="G257" s="678" t="s">
        <v>185</v>
      </c>
      <c r="H257" s="678"/>
      <c r="I257" s="678" t="s">
        <v>2139</v>
      </c>
      <c r="J257" s="552"/>
      <c r="K257" s="562"/>
      <c r="L257" s="604"/>
      <c r="M257" s="562"/>
      <c r="N257" s="679"/>
      <c r="V257" s="674"/>
      <c r="W257" s="675"/>
      <c r="AC257" s="675"/>
      <c r="AD257" s="675"/>
      <c r="AF257" s="675"/>
      <c r="AG257" s="680" t="s">
        <v>1229</v>
      </c>
    </row>
    <row r="258" spans="1:33" s="536" customFormat="1" ht="12" x14ac:dyDescent="0.2">
      <c r="A258" s="605"/>
      <c r="B258" s="552"/>
      <c r="C258" s="1822" t="s">
        <v>314</v>
      </c>
      <c r="D258" s="1822"/>
      <c r="E258" s="1822"/>
      <c r="F258" s="562" t="s">
        <v>315</v>
      </c>
      <c r="G258" s="562" t="s">
        <v>1448</v>
      </c>
      <c r="H258" s="562" t="s">
        <v>313</v>
      </c>
      <c r="I258" s="562" t="s">
        <v>2141</v>
      </c>
      <c r="J258" s="604"/>
      <c r="K258" s="562"/>
      <c r="L258" s="604"/>
      <c r="M258" s="603"/>
      <c r="N258" s="602"/>
      <c r="V258" s="674"/>
      <c r="W258" s="675"/>
      <c r="AA258" s="537" t="s">
        <v>314</v>
      </c>
      <c r="AC258" s="675"/>
      <c r="AD258" s="675"/>
      <c r="AF258" s="675"/>
      <c r="AG258" s="680"/>
    </row>
    <row r="259" spans="1:33" s="536" customFormat="1" ht="12" x14ac:dyDescent="0.2">
      <c r="A259" s="605"/>
      <c r="B259" s="552"/>
      <c r="C259" s="1822" t="s">
        <v>348</v>
      </c>
      <c r="D259" s="1822"/>
      <c r="E259" s="1822"/>
      <c r="F259" s="562" t="s">
        <v>315</v>
      </c>
      <c r="G259" s="562" t="s">
        <v>1450</v>
      </c>
      <c r="H259" s="562" t="s">
        <v>313</v>
      </c>
      <c r="I259" s="562" t="s">
        <v>2142</v>
      </c>
      <c r="J259" s="604"/>
      <c r="K259" s="562"/>
      <c r="L259" s="604"/>
      <c r="M259" s="603"/>
      <c r="N259" s="602"/>
      <c r="V259" s="674"/>
      <c r="W259" s="675"/>
      <c r="AA259" s="537" t="s">
        <v>348</v>
      </c>
      <c r="AC259" s="675"/>
      <c r="AD259" s="675"/>
      <c r="AF259" s="675"/>
      <c r="AG259" s="680"/>
    </row>
    <row r="260" spans="1:33" s="536" customFormat="1" ht="12" x14ac:dyDescent="0.2">
      <c r="A260" s="605"/>
      <c r="B260" s="552"/>
      <c r="C260" s="1828" t="s">
        <v>318</v>
      </c>
      <c r="D260" s="1828"/>
      <c r="E260" s="1828"/>
      <c r="F260" s="608"/>
      <c r="G260" s="608"/>
      <c r="H260" s="608"/>
      <c r="I260" s="608"/>
      <c r="J260" s="607">
        <v>733.29</v>
      </c>
      <c r="K260" s="608"/>
      <c r="L260" s="607">
        <v>26470.66</v>
      </c>
      <c r="M260" s="601"/>
      <c r="N260" s="606"/>
      <c r="V260" s="674"/>
      <c r="W260" s="675"/>
      <c r="AB260" s="537" t="s">
        <v>318</v>
      </c>
      <c r="AC260" s="675"/>
      <c r="AD260" s="675"/>
      <c r="AF260" s="675"/>
      <c r="AG260" s="680"/>
    </row>
    <row r="261" spans="1:33" s="536" customFormat="1" ht="12" x14ac:dyDescent="0.2">
      <c r="A261" s="605"/>
      <c r="B261" s="552"/>
      <c r="C261" s="1822" t="s">
        <v>319</v>
      </c>
      <c r="D261" s="1822"/>
      <c r="E261" s="1822"/>
      <c r="F261" s="562"/>
      <c r="G261" s="562"/>
      <c r="H261" s="562"/>
      <c r="I261" s="562"/>
      <c r="J261" s="604"/>
      <c r="K261" s="562"/>
      <c r="L261" s="604">
        <v>7514.16</v>
      </c>
      <c r="M261" s="603"/>
      <c r="N261" s="602"/>
      <c r="V261" s="674"/>
      <c r="W261" s="675"/>
      <c r="AA261" s="537" t="s">
        <v>319</v>
      </c>
      <c r="AC261" s="675"/>
      <c r="AD261" s="675"/>
      <c r="AF261" s="675"/>
      <c r="AG261" s="680"/>
    </row>
    <row r="262" spans="1:33" s="536" customFormat="1" ht="33.75" x14ac:dyDescent="0.2">
      <c r="A262" s="605"/>
      <c r="B262" s="552" t="s">
        <v>648</v>
      </c>
      <c r="C262" s="1822" t="s">
        <v>649</v>
      </c>
      <c r="D262" s="1822"/>
      <c r="E262" s="1822"/>
      <c r="F262" s="562" t="s">
        <v>322</v>
      </c>
      <c r="G262" s="562" t="s">
        <v>650</v>
      </c>
      <c r="H262" s="562"/>
      <c r="I262" s="562" t="s">
        <v>650</v>
      </c>
      <c r="J262" s="604"/>
      <c r="K262" s="562"/>
      <c r="L262" s="604">
        <v>6988.17</v>
      </c>
      <c r="M262" s="603"/>
      <c r="N262" s="602"/>
      <c r="V262" s="674"/>
      <c r="W262" s="675"/>
      <c r="AA262" s="537" t="s">
        <v>649</v>
      </c>
      <c r="AC262" s="675"/>
      <c r="AD262" s="675"/>
      <c r="AF262" s="675"/>
      <c r="AG262" s="680"/>
    </row>
    <row r="263" spans="1:33" s="536" customFormat="1" ht="33.75" x14ac:dyDescent="0.2">
      <c r="A263" s="605"/>
      <c r="B263" s="552" t="s">
        <v>651</v>
      </c>
      <c r="C263" s="1822" t="s">
        <v>652</v>
      </c>
      <c r="D263" s="1822"/>
      <c r="E263" s="1822"/>
      <c r="F263" s="562" t="s">
        <v>322</v>
      </c>
      <c r="G263" s="562" t="s">
        <v>653</v>
      </c>
      <c r="H263" s="562"/>
      <c r="I263" s="562" t="s">
        <v>653</v>
      </c>
      <c r="J263" s="604"/>
      <c r="K263" s="562"/>
      <c r="L263" s="604">
        <v>4658.78</v>
      </c>
      <c r="M263" s="603"/>
      <c r="N263" s="602"/>
      <c r="V263" s="674"/>
      <c r="W263" s="675"/>
      <c r="AA263" s="537" t="s">
        <v>652</v>
      </c>
      <c r="AC263" s="675"/>
      <c r="AD263" s="675"/>
      <c r="AF263" s="675"/>
      <c r="AG263" s="680"/>
    </row>
    <row r="264" spans="1:33" s="536" customFormat="1" ht="12" x14ac:dyDescent="0.2">
      <c r="A264" s="569"/>
      <c r="B264" s="656"/>
      <c r="C264" s="1823" t="s">
        <v>327</v>
      </c>
      <c r="D264" s="1823"/>
      <c r="E264" s="1823"/>
      <c r="F264" s="573"/>
      <c r="G264" s="573"/>
      <c r="H264" s="573"/>
      <c r="I264" s="573"/>
      <c r="J264" s="572"/>
      <c r="K264" s="573"/>
      <c r="L264" s="572">
        <v>38117.61</v>
      </c>
      <c r="M264" s="601"/>
      <c r="N264" s="570"/>
      <c r="V264" s="674"/>
      <c r="W264" s="675"/>
      <c r="AC264" s="675" t="s">
        <v>327</v>
      </c>
      <c r="AD264" s="675"/>
      <c r="AF264" s="675"/>
      <c r="AG264" s="680"/>
    </row>
    <row r="265" spans="1:33" s="536" customFormat="1" ht="56.25" x14ac:dyDescent="0.2">
      <c r="A265" s="575" t="s">
        <v>733</v>
      </c>
      <c r="B265" s="657" t="s">
        <v>2143</v>
      </c>
      <c r="C265" s="1823" t="s">
        <v>2144</v>
      </c>
      <c r="D265" s="1823"/>
      <c r="E265" s="1823"/>
      <c r="F265" s="573" t="s">
        <v>694</v>
      </c>
      <c r="G265" s="573"/>
      <c r="H265" s="573"/>
      <c r="I265" s="573" t="s">
        <v>2139</v>
      </c>
      <c r="J265" s="572">
        <v>6965</v>
      </c>
      <c r="K265" s="573"/>
      <c r="L265" s="572">
        <v>207148.85</v>
      </c>
      <c r="M265" s="571"/>
      <c r="N265" s="570"/>
      <c r="V265" s="674"/>
      <c r="W265" s="675" t="s">
        <v>2144</v>
      </c>
      <c r="AC265" s="675"/>
      <c r="AD265" s="675"/>
      <c r="AF265" s="675"/>
      <c r="AG265" s="680"/>
    </row>
    <row r="266" spans="1:33" s="536" customFormat="1" ht="12" x14ac:dyDescent="0.2">
      <c r="A266" s="569"/>
      <c r="B266" s="656"/>
      <c r="C266" s="661" t="s">
        <v>717</v>
      </c>
      <c r="D266" s="662"/>
      <c r="E266" s="662"/>
      <c r="F266" s="563"/>
      <c r="G266" s="563"/>
      <c r="H266" s="563"/>
      <c r="I266" s="563"/>
      <c r="J266" s="566"/>
      <c r="K266" s="563"/>
      <c r="L266" s="566"/>
      <c r="M266" s="565"/>
      <c r="N266" s="564"/>
      <c r="V266" s="674"/>
      <c r="W266" s="675"/>
      <c r="AC266" s="675"/>
      <c r="AD266" s="675"/>
      <c r="AF266" s="675"/>
      <c r="AG266" s="680"/>
    </row>
    <row r="267" spans="1:33" s="536" customFormat="1" ht="22.5" x14ac:dyDescent="0.2">
      <c r="A267" s="575" t="s">
        <v>736</v>
      </c>
      <c r="B267" s="657" t="s">
        <v>2145</v>
      </c>
      <c r="C267" s="1823" t="s">
        <v>2146</v>
      </c>
      <c r="D267" s="1823"/>
      <c r="E267" s="1823"/>
      <c r="F267" s="573" t="s">
        <v>694</v>
      </c>
      <c r="G267" s="573"/>
      <c r="H267" s="573"/>
      <c r="I267" s="573" t="s">
        <v>8100</v>
      </c>
      <c r="J267" s="572"/>
      <c r="K267" s="573"/>
      <c r="L267" s="572"/>
      <c r="M267" s="571"/>
      <c r="N267" s="570"/>
      <c r="V267" s="674"/>
      <c r="W267" s="675" t="s">
        <v>2146</v>
      </c>
      <c r="AC267" s="675"/>
      <c r="AD267" s="675"/>
      <c r="AF267" s="675"/>
      <c r="AG267" s="680"/>
    </row>
    <row r="268" spans="1:33" s="536" customFormat="1" ht="12" x14ac:dyDescent="0.2">
      <c r="A268" s="676"/>
      <c r="B268" s="655"/>
      <c r="C268" s="1822" t="s">
        <v>8101</v>
      </c>
      <c r="D268" s="1822"/>
      <c r="E268" s="1822"/>
      <c r="F268" s="1822"/>
      <c r="G268" s="1822"/>
      <c r="H268" s="1822"/>
      <c r="I268" s="1822"/>
      <c r="J268" s="1822"/>
      <c r="K268" s="1822"/>
      <c r="L268" s="1822"/>
      <c r="M268" s="1822"/>
      <c r="N268" s="1827"/>
      <c r="V268" s="674"/>
      <c r="W268" s="675"/>
      <c r="X268" s="537" t="s">
        <v>8101</v>
      </c>
      <c r="AC268" s="675"/>
      <c r="AD268" s="675"/>
      <c r="AF268" s="675"/>
      <c r="AG268" s="680"/>
    </row>
    <row r="269" spans="1:33" s="536" customFormat="1" ht="33.75" x14ac:dyDescent="0.2">
      <c r="A269" s="609"/>
      <c r="B269" s="552" t="s">
        <v>310</v>
      </c>
      <c r="C269" s="1822" t="s">
        <v>311</v>
      </c>
      <c r="D269" s="1822"/>
      <c r="E269" s="1822"/>
      <c r="F269" s="1822"/>
      <c r="G269" s="1822"/>
      <c r="H269" s="1822"/>
      <c r="I269" s="1822"/>
      <c r="J269" s="1822"/>
      <c r="K269" s="1822"/>
      <c r="L269" s="1822"/>
      <c r="M269" s="1822"/>
      <c r="N269" s="1827"/>
      <c r="V269" s="674"/>
      <c r="W269" s="675"/>
      <c r="Y269" s="537" t="s">
        <v>311</v>
      </c>
      <c r="AC269" s="675"/>
      <c r="AD269" s="675"/>
      <c r="AF269" s="675"/>
      <c r="AG269" s="680"/>
    </row>
    <row r="270" spans="1:33" s="536" customFormat="1" ht="12" x14ac:dyDescent="0.2">
      <c r="A270" s="605"/>
      <c r="B270" s="552" t="s">
        <v>185</v>
      </c>
      <c r="C270" s="1822" t="s">
        <v>312</v>
      </c>
      <c r="D270" s="1822"/>
      <c r="E270" s="1822"/>
      <c r="F270" s="562"/>
      <c r="G270" s="562"/>
      <c r="H270" s="562"/>
      <c r="I270" s="562"/>
      <c r="J270" s="604">
        <v>51.85</v>
      </c>
      <c r="K270" s="562" t="s">
        <v>313</v>
      </c>
      <c r="L270" s="604">
        <v>122.18</v>
      </c>
      <c r="M270" s="603"/>
      <c r="N270" s="602"/>
      <c r="V270" s="674"/>
      <c r="W270" s="675"/>
      <c r="Z270" s="537" t="s">
        <v>312</v>
      </c>
      <c r="AC270" s="675"/>
      <c r="AD270" s="675"/>
      <c r="AF270" s="675"/>
      <c r="AG270" s="680"/>
    </row>
    <row r="271" spans="1:33" s="536" customFormat="1" ht="12" x14ac:dyDescent="0.2">
      <c r="A271" s="605"/>
      <c r="B271" s="552" t="s">
        <v>186</v>
      </c>
      <c r="C271" s="1822" t="s">
        <v>344</v>
      </c>
      <c r="D271" s="1822"/>
      <c r="E271" s="1822"/>
      <c r="F271" s="562"/>
      <c r="G271" s="562"/>
      <c r="H271" s="562"/>
      <c r="I271" s="562"/>
      <c r="J271" s="604">
        <v>266.39</v>
      </c>
      <c r="K271" s="562" t="s">
        <v>313</v>
      </c>
      <c r="L271" s="604">
        <v>627.75</v>
      </c>
      <c r="M271" s="603"/>
      <c r="N271" s="602"/>
      <c r="V271" s="674"/>
      <c r="W271" s="675"/>
      <c r="Z271" s="537" t="s">
        <v>344</v>
      </c>
      <c r="AC271" s="675"/>
      <c r="AD271" s="675"/>
      <c r="AF271" s="675"/>
      <c r="AG271" s="680"/>
    </row>
    <row r="272" spans="1:33" s="536" customFormat="1" ht="12" x14ac:dyDescent="0.2">
      <c r="A272" s="605"/>
      <c r="B272" s="552" t="s">
        <v>187</v>
      </c>
      <c r="C272" s="1822" t="s">
        <v>345</v>
      </c>
      <c r="D272" s="1822"/>
      <c r="E272" s="1822"/>
      <c r="F272" s="562"/>
      <c r="G272" s="562"/>
      <c r="H272" s="562"/>
      <c r="I272" s="562"/>
      <c r="J272" s="604">
        <v>32.21</v>
      </c>
      <c r="K272" s="562" t="s">
        <v>313</v>
      </c>
      <c r="L272" s="604">
        <v>75.900000000000006</v>
      </c>
      <c r="M272" s="603"/>
      <c r="N272" s="602"/>
      <c r="V272" s="674"/>
      <c r="W272" s="675"/>
      <c r="Z272" s="537" t="s">
        <v>345</v>
      </c>
      <c r="AC272" s="675"/>
      <c r="AD272" s="675"/>
      <c r="AF272" s="675"/>
      <c r="AG272" s="680"/>
    </row>
    <row r="273" spans="1:33" s="536" customFormat="1" ht="12" x14ac:dyDescent="0.2">
      <c r="A273" s="605"/>
      <c r="B273" s="552" t="s">
        <v>188</v>
      </c>
      <c r="C273" s="1822" t="s">
        <v>475</v>
      </c>
      <c r="D273" s="1822"/>
      <c r="E273" s="1822"/>
      <c r="F273" s="562"/>
      <c r="G273" s="562"/>
      <c r="H273" s="562"/>
      <c r="I273" s="562"/>
      <c r="J273" s="604">
        <v>121.33</v>
      </c>
      <c r="K273" s="562"/>
      <c r="L273" s="604">
        <v>228.73</v>
      </c>
      <c r="M273" s="603"/>
      <c r="N273" s="602"/>
      <c r="V273" s="674"/>
      <c r="W273" s="675"/>
      <c r="Z273" s="537" t="s">
        <v>475</v>
      </c>
      <c r="AC273" s="675"/>
      <c r="AD273" s="675"/>
      <c r="AF273" s="675"/>
      <c r="AG273" s="680"/>
    </row>
    <row r="274" spans="1:33" s="536" customFormat="1" ht="12" x14ac:dyDescent="0.2">
      <c r="A274" s="676"/>
      <c r="B274" s="677" t="s">
        <v>1436</v>
      </c>
      <c r="C274" s="1829" t="s">
        <v>1229</v>
      </c>
      <c r="D274" s="1829"/>
      <c r="E274" s="1829"/>
      <c r="F274" s="678" t="s">
        <v>694</v>
      </c>
      <c r="G274" s="678" t="s">
        <v>185</v>
      </c>
      <c r="H274" s="678"/>
      <c r="I274" s="678" t="s">
        <v>8100</v>
      </c>
      <c r="J274" s="552"/>
      <c r="K274" s="562"/>
      <c r="L274" s="604"/>
      <c r="M274" s="562"/>
      <c r="N274" s="679"/>
      <c r="V274" s="674"/>
      <c r="W274" s="675"/>
      <c r="AC274" s="675"/>
      <c r="AD274" s="675"/>
      <c r="AF274" s="675"/>
      <c r="AG274" s="680" t="s">
        <v>1229</v>
      </c>
    </row>
    <row r="275" spans="1:33" s="536" customFormat="1" ht="12" x14ac:dyDescent="0.2">
      <c r="A275" s="605"/>
      <c r="B275" s="552"/>
      <c r="C275" s="1822" t="s">
        <v>314</v>
      </c>
      <c r="D275" s="1822"/>
      <c r="E275" s="1822"/>
      <c r="F275" s="562" t="s">
        <v>315</v>
      </c>
      <c r="G275" s="562" t="s">
        <v>2147</v>
      </c>
      <c r="H275" s="562" t="s">
        <v>313</v>
      </c>
      <c r="I275" s="562" t="s">
        <v>8102</v>
      </c>
      <c r="J275" s="604"/>
      <c r="K275" s="562"/>
      <c r="L275" s="604"/>
      <c r="M275" s="603"/>
      <c r="N275" s="602"/>
      <c r="V275" s="674"/>
      <c r="W275" s="675"/>
      <c r="AA275" s="537" t="s">
        <v>314</v>
      </c>
      <c r="AC275" s="675"/>
      <c r="AD275" s="675"/>
      <c r="AF275" s="675"/>
      <c r="AG275" s="680"/>
    </row>
    <row r="276" spans="1:33" s="536" customFormat="1" ht="12" x14ac:dyDescent="0.2">
      <c r="A276" s="605"/>
      <c r="B276" s="552"/>
      <c r="C276" s="1822" t="s">
        <v>348</v>
      </c>
      <c r="D276" s="1822"/>
      <c r="E276" s="1822"/>
      <c r="F276" s="562" t="s">
        <v>315</v>
      </c>
      <c r="G276" s="562" t="s">
        <v>2148</v>
      </c>
      <c r="H276" s="562" t="s">
        <v>313</v>
      </c>
      <c r="I276" s="562" t="s">
        <v>8103</v>
      </c>
      <c r="J276" s="604"/>
      <c r="K276" s="562"/>
      <c r="L276" s="604"/>
      <c r="M276" s="603"/>
      <c r="N276" s="602"/>
      <c r="V276" s="674"/>
      <c r="W276" s="675"/>
      <c r="AA276" s="537" t="s">
        <v>348</v>
      </c>
      <c r="AC276" s="675"/>
      <c r="AD276" s="675"/>
      <c r="AF276" s="675"/>
      <c r="AG276" s="680"/>
    </row>
    <row r="277" spans="1:33" s="536" customFormat="1" ht="12" x14ac:dyDescent="0.2">
      <c r="A277" s="605"/>
      <c r="B277" s="552"/>
      <c r="C277" s="1828" t="s">
        <v>318</v>
      </c>
      <c r="D277" s="1828"/>
      <c r="E277" s="1828"/>
      <c r="F277" s="608"/>
      <c r="G277" s="608"/>
      <c r="H277" s="608"/>
      <c r="I277" s="608"/>
      <c r="J277" s="607">
        <v>439.57</v>
      </c>
      <c r="K277" s="608"/>
      <c r="L277" s="607">
        <v>978.66</v>
      </c>
      <c r="M277" s="601"/>
      <c r="N277" s="606"/>
      <c r="V277" s="674"/>
      <c r="W277" s="675"/>
      <c r="AB277" s="537" t="s">
        <v>318</v>
      </c>
      <c r="AC277" s="675"/>
      <c r="AD277" s="675"/>
      <c r="AF277" s="675"/>
      <c r="AG277" s="680"/>
    </row>
    <row r="278" spans="1:33" s="536" customFormat="1" ht="12" x14ac:dyDescent="0.2">
      <c r="A278" s="605"/>
      <c r="B278" s="552"/>
      <c r="C278" s="1822" t="s">
        <v>319</v>
      </c>
      <c r="D278" s="1822"/>
      <c r="E278" s="1822"/>
      <c r="F278" s="562"/>
      <c r="G278" s="562"/>
      <c r="H278" s="562"/>
      <c r="I278" s="562"/>
      <c r="J278" s="604"/>
      <c r="K278" s="562"/>
      <c r="L278" s="604">
        <v>198.08</v>
      </c>
      <c r="M278" s="603"/>
      <c r="N278" s="602"/>
      <c r="V278" s="674"/>
      <c r="W278" s="675"/>
      <c r="AA278" s="537" t="s">
        <v>319</v>
      </c>
      <c r="AC278" s="675"/>
      <c r="AD278" s="675"/>
      <c r="AF278" s="675"/>
      <c r="AG278" s="680"/>
    </row>
    <row r="279" spans="1:33" s="536" customFormat="1" ht="33.75" x14ac:dyDescent="0.2">
      <c r="A279" s="605"/>
      <c r="B279" s="552" t="s">
        <v>648</v>
      </c>
      <c r="C279" s="1822" t="s">
        <v>649</v>
      </c>
      <c r="D279" s="1822"/>
      <c r="E279" s="1822"/>
      <c r="F279" s="562" t="s">
        <v>322</v>
      </c>
      <c r="G279" s="562" t="s">
        <v>650</v>
      </c>
      <c r="H279" s="562"/>
      <c r="I279" s="562" t="s">
        <v>650</v>
      </c>
      <c r="J279" s="604"/>
      <c r="K279" s="562"/>
      <c r="L279" s="604">
        <v>184.21</v>
      </c>
      <c r="M279" s="603"/>
      <c r="N279" s="602"/>
      <c r="V279" s="674"/>
      <c r="W279" s="675"/>
      <c r="AA279" s="537" t="s">
        <v>649</v>
      </c>
      <c r="AC279" s="675"/>
      <c r="AD279" s="675"/>
      <c r="AF279" s="675"/>
      <c r="AG279" s="680"/>
    </row>
    <row r="280" spans="1:33" s="536" customFormat="1" ht="33.75" x14ac:dyDescent="0.2">
      <c r="A280" s="605"/>
      <c r="B280" s="552" t="s">
        <v>651</v>
      </c>
      <c r="C280" s="1822" t="s">
        <v>652</v>
      </c>
      <c r="D280" s="1822"/>
      <c r="E280" s="1822"/>
      <c r="F280" s="562" t="s">
        <v>322</v>
      </c>
      <c r="G280" s="562" t="s">
        <v>653</v>
      </c>
      <c r="H280" s="562"/>
      <c r="I280" s="562" t="s">
        <v>653</v>
      </c>
      <c r="J280" s="604"/>
      <c r="K280" s="562"/>
      <c r="L280" s="604">
        <v>122.81</v>
      </c>
      <c r="M280" s="603"/>
      <c r="N280" s="602"/>
      <c r="V280" s="674"/>
      <c r="W280" s="675"/>
      <c r="AA280" s="537" t="s">
        <v>652</v>
      </c>
      <c r="AC280" s="675"/>
      <c r="AD280" s="675"/>
      <c r="AF280" s="675"/>
      <c r="AG280" s="680"/>
    </row>
    <row r="281" spans="1:33" s="536" customFormat="1" ht="12" x14ac:dyDescent="0.2">
      <c r="A281" s="569"/>
      <c r="B281" s="656"/>
      <c r="C281" s="1823" t="s">
        <v>327</v>
      </c>
      <c r="D281" s="1823"/>
      <c r="E281" s="1823"/>
      <c r="F281" s="573"/>
      <c r="G281" s="573"/>
      <c r="H281" s="573"/>
      <c r="I281" s="573"/>
      <c r="J281" s="572"/>
      <c r="K281" s="573"/>
      <c r="L281" s="572">
        <v>1285.68</v>
      </c>
      <c r="M281" s="601"/>
      <c r="N281" s="570"/>
      <c r="V281" s="674"/>
      <c r="W281" s="675"/>
      <c r="AC281" s="675" t="s">
        <v>327</v>
      </c>
      <c r="AD281" s="675"/>
      <c r="AF281" s="675"/>
      <c r="AG281" s="680"/>
    </row>
    <row r="282" spans="1:33" s="536" customFormat="1" ht="56.25" x14ac:dyDescent="0.2">
      <c r="A282" s="575" t="s">
        <v>1067</v>
      </c>
      <c r="B282" s="657" t="s">
        <v>2149</v>
      </c>
      <c r="C282" s="1823" t="s">
        <v>2150</v>
      </c>
      <c r="D282" s="1823"/>
      <c r="E282" s="1823"/>
      <c r="F282" s="573" t="s">
        <v>694</v>
      </c>
      <c r="G282" s="573"/>
      <c r="H282" s="573"/>
      <c r="I282" s="573" t="s">
        <v>8100</v>
      </c>
      <c r="J282" s="572">
        <v>10508</v>
      </c>
      <c r="K282" s="573"/>
      <c r="L282" s="572">
        <v>19809.68</v>
      </c>
      <c r="M282" s="571"/>
      <c r="N282" s="570"/>
      <c r="V282" s="674"/>
      <c r="W282" s="675" t="s">
        <v>2150</v>
      </c>
      <c r="AC282" s="675"/>
      <c r="AD282" s="675"/>
      <c r="AF282" s="675"/>
      <c r="AG282" s="680"/>
    </row>
    <row r="283" spans="1:33" s="536" customFormat="1" ht="12" x14ac:dyDescent="0.2">
      <c r="A283" s="569"/>
      <c r="B283" s="656"/>
      <c r="C283" s="661" t="s">
        <v>717</v>
      </c>
      <c r="D283" s="662"/>
      <c r="E283" s="662"/>
      <c r="F283" s="563"/>
      <c r="G283" s="563"/>
      <c r="H283" s="563"/>
      <c r="I283" s="563"/>
      <c r="J283" s="566"/>
      <c r="K283" s="563"/>
      <c r="L283" s="566"/>
      <c r="M283" s="565"/>
      <c r="N283" s="564"/>
      <c r="V283" s="674"/>
      <c r="W283" s="675"/>
      <c r="AC283" s="675"/>
      <c r="AD283" s="675"/>
      <c r="AF283" s="675"/>
      <c r="AG283" s="680"/>
    </row>
    <row r="284" spans="1:33" s="536" customFormat="1" ht="45" x14ac:dyDescent="0.2">
      <c r="A284" s="575" t="s">
        <v>912</v>
      </c>
      <c r="B284" s="657" t="s">
        <v>1454</v>
      </c>
      <c r="C284" s="1823" t="s">
        <v>1455</v>
      </c>
      <c r="D284" s="1823"/>
      <c r="E284" s="1823"/>
      <c r="F284" s="573" t="s">
        <v>694</v>
      </c>
      <c r="G284" s="573"/>
      <c r="H284" s="573"/>
      <c r="I284" s="573" t="s">
        <v>2151</v>
      </c>
      <c r="J284" s="572"/>
      <c r="K284" s="573"/>
      <c r="L284" s="572"/>
      <c r="M284" s="571"/>
      <c r="N284" s="570"/>
      <c r="V284" s="674"/>
      <c r="W284" s="675" t="s">
        <v>1455</v>
      </c>
      <c r="AC284" s="675"/>
      <c r="AD284" s="675"/>
      <c r="AF284" s="675"/>
      <c r="AG284" s="680"/>
    </row>
    <row r="285" spans="1:33" s="536" customFormat="1" ht="12" x14ac:dyDescent="0.2">
      <c r="A285" s="676"/>
      <c r="B285" s="655"/>
      <c r="C285" s="1822" t="s">
        <v>2152</v>
      </c>
      <c r="D285" s="1822"/>
      <c r="E285" s="1822"/>
      <c r="F285" s="1822"/>
      <c r="G285" s="1822"/>
      <c r="H285" s="1822"/>
      <c r="I285" s="1822"/>
      <c r="J285" s="1822"/>
      <c r="K285" s="1822"/>
      <c r="L285" s="1822"/>
      <c r="M285" s="1822"/>
      <c r="N285" s="1827"/>
      <c r="V285" s="674"/>
      <c r="W285" s="675"/>
      <c r="X285" s="537" t="s">
        <v>2152</v>
      </c>
      <c r="AC285" s="675"/>
      <c r="AD285" s="675"/>
      <c r="AF285" s="675"/>
      <c r="AG285" s="680"/>
    </row>
    <row r="286" spans="1:33" s="536" customFormat="1" ht="33.75" x14ac:dyDescent="0.2">
      <c r="A286" s="609"/>
      <c r="B286" s="552" t="s">
        <v>310</v>
      </c>
      <c r="C286" s="1822" t="s">
        <v>311</v>
      </c>
      <c r="D286" s="1822"/>
      <c r="E286" s="1822"/>
      <c r="F286" s="1822"/>
      <c r="G286" s="1822"/>
      <c r="H286" s="1822"/>
      <c r="I286" s="1822"/>
      <c r="J286" s="1822"/>
      <c r="K286" s="1822"/>
      <c r="L286" s="1822"/>
      <c r="M286" s="1822"/>
      <c r="N286" s="1827"/>
      <c r="V286" s="674"/>
      <c r="W286" s="675"/>
      <c r="Y286" s="537" t="s">
        <v>311</v>
      </c>
      <c r="AC286" s="675"/>
      <c r="AD286" s="675"/>
      <c r="AF286" s="675"/>
      <c r="AG286" s="680"/>
    </row>
    <row r="287" spans="1:33" s="536" customFormat="1" ht="12" x14ac:dyDescent="0.2">
      <c r="A287" s="605"/>
      <c r="B287" s="552" t="s">
        <v>185</v>
      </c>
      <c r="C287" s="1822" t="s">
        <v>312</v>
      </c>
      <c r="D287" s="1822"/>
      <c r="E287" s="1822"/>
      <c r="F287" s="562"/>
      <c r="G287" s="562"/>
      <c r="H287" s="562"/>
      <c r="I287" s="562"/>
      <c r="J287" s="604">
        <v>345.67</v>
      </c>
      <c r="K287" s="562" t="s">
        <v>313</v>
      </c>
      <c r="L287" s="604">
        <v>480.48</v>
      </c>
      <c r="M287" s="603"/>
      <c r="N287" s="602"/>
      <c r="V287" s="674"/>
      <c r="W287" s="675"/>
      <c r="Z287" s="537" t="s">
        <v>312</v>
      </c>
      <c r="AC287" s="675"/>
      <c r="AD287" s="675"/>
      <c r="AF287" s="675"/>
      <c r="AG287" s="680"/>
    </row>
    <row r="288" spans="1:33" s="536" customFormat="1" ht="12" x14ac:dyDescent="0.2">
      <c r="A288" s="605"/>
      <c r="B288" s="552" t="s">
        <v>186</v>
      </c>
      <c r="C288" s="1822" t="s">
        <v>344</v>
      </c>
      <c r="D288" s="1822"/>
      <c r="E288" s="1822"/>
      <c r="F288" s="562"/>
      <c r="G288" s="562"/>
      <c r="H288" s="562"/>
      <c r="I288" s="562"/>
      <c r="J288" s="604">
        <v>473.47</v>
      </c>
      <c r="K288" s="562" t="s">
        <v>313</v>
      </c>
      <c r="L288" s="604">
        <v>658.12</v>
      </c>
      <c r="M288" s="603"/>
      <c r="N288" s="602"/>
      <c r="V288" s="674"/>
      <c r="W288" s="675"/>
      <c r="Z288" s="537" t="s">
        <v>344</v>
      </c>
      <c r="AC288" s="675"/>
      <c r="AD288" s="675"/>
      <c r="AF288" s="675"/>
      <c r="AG288" s="680"/>
    </row>
    <row r="289" spans="1:33" s="536" customFormat="1" ht="12" x14ac:dyDescent="0.2">
      <c r="A289" s="605"/>
      <c r="B289" s="552" t="s">
        <v>187</v>
      </c>
      <c r="C289" s="1822" t="s">
        <v>345</v>
      </c>
      <c r="D289" s="1822"/>
      <c r="E289" s="1822"/>
      <c r="F289" s="562"/>
      <c r="G289" s="562"/>
      <c r="H289" s="562"/>
      <c r="I289" s="562"/>
      <c r="J289" s="604">
        <v>53.96</v>
      </c>
      <c r="K289" s="562" t="s">
        <v>313</v>
      </c>
      <c r="L289" s="604">
        <v>75</v>
      </c>
      <c r="M289" s="603"/>
      <c r="N289" s="602"/>
      <c r="V289" s="674"/>
      <c r="W289" s="675"/>
      <c r="Z289" s="537" t="s">
        <v>345</v>
      </c>
      <c r="AC289" s="675"/>
      <c r="AD289" s="675"/>
      <c r="AF289" s="675"/>
      <c r="AG289" s="680"/>
    </row>
    <row r="290" spans="1:33" s="536" customFormat="1" ht="12" x14ac:dyDescent="0.2">
      <c r="A290" s="605"/>
      <c r="B290" s="552" t="s">
        <v>188</v>
      </c>
      <c r="C290" s="1822" t="s">
        <v>475</v>
      </c>
      <c r="D290" s="1822"/>
      <c r="E290" s="1822"/>
      <c r="F290" s="562"/>
      <c r="G290" s="562"/>
      <c r="H290" s="562"/>
      <c r="I290" s="562"/>
      <c r="J290" s="604">
        <v>232.33</v>
      </c>
      <c r="K290" s="562"/>
      <c r="L290" s="604">
        <v>258.35000000000002</v>
      </c>
      <c r="M290" s="603"/>
      <c r="N290" s="602"/>
      <c r="V290" s="674"/>
      <c r="W290" s="675"/>
      <c r="Z290" s="537" t="s">
        <v>475</v>
      </c>
      <c r="AC290" s="675"/>
      <c r="AD290" s="675"/>
      <c r="AF290" s="675"/>
      <c r="AG290" s="680"/>
    </row>
    <row r="291" spans="1:33" s="536" customFormat="1" ht="12" x14ac:dyDescent="0.2">
      <c r="A291" s="676"/>
      <c r="B291" s="677" t="s">
        <v>1436</v>
      </c>
      <c r="C291" s="1829" t="s">
        <v>1229</v>
      </c>
      <c r="D291" s="1829"/>
      <c r="E291" s="1829"/>
      <c r="F291" s="678" t="s">
        <v>694</v>
      </c>
      <c r="G291" s="678" t="s">
        <v>185</v>
      </c>
      <c r="H291" s="678"/>
      <c r="I291" s="678" t="s">
        <v>2151</v>
      </c>
      <c r="J291" s="552"/>
      <c r="K291" s="562"/>
      <c r="L291" s="604"/>
      <c r="M291" s="562"/>
      <c r="N291" s="679"/>
      <c r="V291" s="674"/>
      <c r="W291" s="675"/>
      <c r="AC291" s="675"/>
      <c r="AD291" s="675"/>
      <c r="AF291" s="675"/>
      <c r="AG291" s="680" t="s">
        <v>1229</v>
      </c>
    </row>
    <row r="292" spans="1:33" s="536" customFormat="1" ht="12" x14ac:dyDescent="0.2">
      <c r="A292" s="605"/>
      <c r="B292" s="552"/>
      <c r="C292" s="1822" t="s">
        <v>314</v>
      </c>
      <c r="D292" s="1822"/>
      <c r="E292" s="1822"/>
      <c r="F292" s="562" t="s">
        <v>315</v>
      </c>
      <c r="G292" s="562" t="s">
        <v>1458</v>
      </c>
      <c r="H292" s="562" t="s">
        <v>313</v>
      </c>
      <c r="I292" s="562" t="s">
        <v>2153</v>
      </c>
      <c r="J292" s="604"/>
      <c r="K292" s="562"/>
      <c r="L292" s="604"/>
      <c r="M292" s="603"/>
      <c r="N292" s="602"/>
      <c r="V292" s="674"/>
      <c r="W292" s="675"/>
      <c r="AA292" s="537" t="s">
        <v>314</v>
      </c>
      <c r="AC292" s="675"/>
      <c r="AD292" s="675"/>
      <c r="AF292" s="675"/>
      <c r="AG292" s="680"/>
    </row>
    <row r="293" spans="1:33" s="536" customFormat="1" ht="12" x14ac:dyDescent="0.2">
      <c r="A293" s="605"/>
      <c r="B293" s="552"/>
      <c r="C293" s="1822" t="s">
        <v>348</v>
      </c>
      <c r="D293" s="1822"/>
      <c r="E293" s="1822"/>
      <c r="F293" s="562" t="s">
        <v>315</v>
      </c>
      <c r="G293" s="562" t="s">
        <v>1460</v>
      </c>
      <c r="H293" s="562" t="s">
        <v>313</v>
      </c>
      <c r="I293" s="562" t="s">
        <v>2154</v>
      </c>
      <c r="J293" s="604"/>
      <c r="K293" s="562"/>
      <c r="L293" s="604"/>
      <c r="M293" s="603"/>
      <c r="N293" s="602"/>
      <c r="V293" s="674"/>
      <c r="W293" s="675"/>
      <c r="AA293" s="537" t="s">
        <v>348</v>
      </c>
      <c r="AC293" s="675"/>
      <c r="AD293" s="675"/>
      <c r="AF293" s="675"/>
      <c r="AG293" s="680"/>
    </row>
    <row r="294" spans="1:33" s="536" customFormat="1" ht="12" x14ac:dyDescent="0.2">
      <c r="A294" s="605"/>
      <c r="B294" s="552"/>
      <c r="C294" s="1828" t="s">
        <v>318</v>
      </c>
      <c r="D294" s="1828"/>
      <c r="E294" s="1828"/>
      <c r="F294" s="608"/>
      <c r="G294" s="608"/>
      <c r="H294" s="608"/>
      <c r="I294" s="608"/>
      <c r="J294" s="607">
        <v>1051.47</v>
      </c>
      <c r="K294" s="608"/>
      <c r="L294" s="607">
        <v>1396.95</v>
      </c>
      <c r="M294" s="601"/>
      <c r="N294" s="606"/>
      <c r="V294" s="674"/>
      <c r="W294" s="675"/>
      <c r="AB294" s="537" t="s">
        <v>318</v>
      </c>
      <c r="AC294" s="675"/>
      <c r="AD294" s="675"/>
      <c r="AF294" s="675"/>
      <c r="AG294" s="680"/>
    </row>
    <row r="295" spans="1:33" s="536" customFormat="1" ht="12" x14ac:dyDescent="0.2">
      <c r="A295" s="605"/>
      <c r="B295" s="552"/>
      <c r="C295" s="1822" t="s">
        <v>319</v>
      </c>
      <c r="D295" s="1822"/>
      <c r="E295" s="1822"/>
      <c r="F295" s="562"/>
      <c r="G295" s="562"/>
      <c r="H295" s="562"/>
      <c r="I295" s="562"/>
      <c r="J295" s="604"/>
      <c r="K295" s="562"/>
      <c r="L295" s="604">
        <v>555.48</v>
      </c>
      <c r="M295" s="603"/>
      <c r="N295" s="602"/>
      <c r="V295" s="674"/>
      <c r="W295" s="675"/>
      <c r="AA295" s="537" t="s">
        <v>319</v>
      </c>
      <c r="AC295" s="675"/>
      <c r="AD295" s="675"/>
      <c r="AF295" s="675"/>
      <c r="AG295" s="680"/>
    </row>
    <row r="296" spans="1:33" s="536" customFormat="1" ht="33.75" x14ac:dyDescent="0.2">
      <c r="A296" s="605"/>
      <c r="B296" s="552" t="s">
        <v>648</v>
      </c>
      <c r="C296" s="1822" t="s">
        <v>649</v>
      </c>
      <c r="D296" s="1822"/>
      <c r="E296" s="1822"/>
      <c r="F296" s="562" t="s">
        <v>322</v>
      </c>
      <c r="G296" s="562" t="s">
        <v>650</v>
      </c>
      <c r="H296" s="562"/>
      <c r="I296" s="562" t="s">
        <v>650</v>
      </c>
      <c r="J296" s="604"/>
      <c r="K296" s="562"/>
      <c r="L296" s="604">
        <v>516.6</v>
      </c>
      <c r="M296" s="603"/>
      <c r="N296" s="602"/>
      <c r="V296" s="674"/>
      <c r="W296" s="675"/>
      <c r="AA296" s="537" t="s">
        <v>649</v>
      </c>
      <c r="AC296" s="675"/>
      <c r="AD296" s="675"/>
      <c r="AF296" s="675"/>
      <c r="AG296" s="680"/>
    </row>
    <row r="297" spans="1:33" s="536" customFormat="1" ht="33.75" x14ac:dyDescent="0.2">
      <c r="A297" s="605"/>
      <c r="B297" s="552" t="s">
        <v>651</v>
      </c>
      <c r="C297" s="1822" t="s">
        <v>652</v>
      </c>
      <c r="D297" s="1822"/>
      <c r="E297" s="1822"/>
      <c r="F297" s="562" t="s">
        <v>322</v>
      </c>
      <c r="G297" s="562" t="s">
        <v>653</v>
      </c>
      <c r="H297" s="562"/>
      <c r="I297" s="562" t="s">
        <v>653</v>
      </c>
      <c r="J297" s="604"/>
      <c r="K297" s="562"/>
      <c r="L297" s="604">
        <v>344.4</v>
      </c>
      <c r="M297" s="603"/>
      <c r="N297" s="602"/>
      <c r="V297" s="674"/>
      <c r="W297" s="675"/>
      <c r="AA297" s="537" t="s">
        <v>652</v>
      </c>
      <c r="AC297" s="675"/>
      <c r="AD297" s="675"/>
      <c r="AF297" s="675"/>
      <c r="AG297" s="680"/>
    </row>
    <row r="298" spans="1:33" s="536" customFormat="1" ht="12" x14ac:dyDescent="0.2">
      <c r="A298" s="569"/>
      <c r="B298" s="656"/>
      <c r="C298" s="1823" t="s">
        <v>327</v>
      </c>
      <c r="D298" s="1823"/>
      <c r="E298" s="1823"/>
      <c r="F298" s="573"/>
      <c r="G298" s="573"/>
      <c r="H298" s="573"/>
      <c r="I298" s="573"/>
      <c r="J298" s="572"/>
      <c r="K298" s="573"/>
      <c r="L298" s="572">
        <v>2257.9499999999998</v>
      </c>
      <c r="M298" s="601"/>
      <c r="N298" s="570"/>
      <c r="V298" s="674"/>
      <c r="W298" s="675"/>
      <c r="AC298" s="675" t="s">
        <v>327</v>
      </c>
      <c r="AD298" s="675"/>
      <c r="AF298" s="675"/>
      <c r="AG298" s="680"/>
    </row>
    <row r="299" spans="1:33" s="536" customFormat="1" ht="33.75" x14ac:dyDescent="0.2">
      <c r="A299" s="575" t="s">
        <v>757</v>
      </c>
      <c r="B299" s="657" t="s">
        <v>2155</v>
      </c>
      <c r="C299" s="1823" t="s">
        <v>2156</v>
      </c>
      <c r="D299" s="1823"/>
      <c r="E299" s="1823"/>
      <c r="F299" s="573" t="s">
        <v>694</v>
      </c>
      <c r="G299" s="573"/>
      <c r="H299" s="573"/>
      <c r="I299" s="573" t="s">
        <v>2151</v>
      </c>
      <c r="J299" s="572">
        <v>11176.42</v>
      </c>
      <c r="K299" s="573"/>
      <c r="L299" s="572">
        <v>12428.18</v>
      </c>
      <c r="M299" s="571"/>
      <c r="N299" s="570"/>
      <c r="V299" s="674"/>
      <c r="W299" s="675" t="s">
        <v>2156</v>
      </c>
      <c r="AC299" s="675"/>
      <c r="AD299" s="675"/>
      <c r="AF299" s="675"/>
      <c r="AG299" s="680"/>
    </row>
    <row r="300" spans="1:33" s="536" customFormat="1" ht="12" x14ac:dyDescent="0.2">
      <c r="A300" s="569"/>
      <c r="B300" s="656"/>
      <c r="C300" s="661" t="s">
        <v>717</v>
      </c>
      <c r="D300" s="662"/>
      <c r="E300" s="662"/>
      <c r="F300" s="563"/>
      <c r="G300" s="563"/>
      <c r="H300" s="563"/>
      <c r="I300" s="563"/>
      <c r="J300" s="566"/>
      <c r="K300" s="563"/>
      <c r="L300" s="566"/>
      <c r="M300" s="565"/>
      <c r="N300" s="564"/>
      <c r="V300" s="674"/>
      <c r="W300" s="675"/>
      <c r="AC300" s="675"/>
      <c r="AD300" s="675"/>
      <c r="AF300" s="675"/>
      <c r="AG300" s="680"/>
    </row>
    <row r="301" spans="1:33" s="536" customFormat="1" ht="33.75" x14ac:dyDescent="0.2">
      <c r="A301" s="575" t="s">
        <v>1079</v>
      </c>
      <c r="B301" s="657" t="s">
        <v>1475</v>
      </c>
      <c r="C301" s="1823" t="s">
        <v>1476</v>
      </c>
      <c r="D301" s="1823"/>
      <c r="E301" s="1823"/>
      <c r="F301" s="573" t="s">
        <v>862</v>
      </c>
      <c r="G301" s="573"/>
      <c r="H301" s="573"/>
      <c r="I301" s="573" t="s">
        <v>2157</v>
      </c>
      <c r="J301" s="572"/>
      <c r="K301" s="573"/>
      <c r="L301" s="572"/>
      <c r="M301" s="571"/>
      <c r="N301" s="570"/>
      <c r="V301" s="674"/>
      <c r="W301" s="675" t="s">
        <v>1476</v>
      </c>
      <c r="AC301" s="675"/>
      <c r="AD301" s="675"/>
      <c r="AF301" s="675"/>
      <c r="AG301" s="680"/>
    </row>
    <row r="302" spans="1:33" s="536" customFormat="1" ht="12" x14ac:dyDescent="0.2">
      <c r="A302" s="676"/>
      <c r="B302" s="655"/>
      <c r="C302" s="1822" t="s">
        <v>2158</v>
      </c>
      <c r="D302" s="1822"/>
      <c r="E302" s="1822"/>
      <c r="F302" s="1822"/>
      <c r="G302" s="1822"/>
      <c r="H302" s="1822"/>
      <c r="I302" s="1822"/>
      <c r="J302" s="1822"/>
      <c r="K302" s="1822"/>
      <c r="L302" s="1822"/>
      <c r="M302" s="1822"/>
      <c r="N302" s="1827"/>
      <c r="V302" s="674"/>
      <c r="W302" s="675"/>
      <c r="X302" s="537" t="s">
        <v>2158</v>
      </c>
      <c r="AC302" s="675"/>
      <c r="AD302" s="675"/>
      <c r="AF302" s="675"/>
      <c r="AG302" s="680"/>
    </row>
    <row r="303" spans="1:33" s="536" customFormat="1" ht="33.75" x14ac:dyDescent="0.2">
      <c r="A303" s="609"/>
      <c r="B303" s="552" t="s">
        <v>310</v>
      </c>
      <c r="C303" s="1822" t="s">
        <v>311</v>
      </c>
      <c r="D303" s="1822"/>
      <c r="E303" s="1822"/>
      <c r="F303" s="1822"/>
      <c r="G303" s="1822"/>
      <c r="H303" s="1822"/>
      <c r="I303" s="1822"/>
      <c r="J303" s="1822"/>
      <c r="K303" s="1822"/>
      <c r="L303" s="1822"/>
      <c r="M303" s="1822"/>
      <c r="N303" s="1827"/>
      <c r="V303" s="674"/>
      <c r="W303" s="675"/>
      <c r="Y303" s="537" t="s">
        <v>311</v>
      </c>
      <c r="AC303" s="675"/>
      <c r="AD303" s="675"/>
      <c r="AF303" s="675"/>
      <c r="AG303" s="680"/>
    </row>
    <row r="304" spans="1:33" s="536" customFormat="1" ht="12" x14ac:dyDescent="0.2">
      <c r="A304" s="605"/>
      <c r="B304" s="552" t="s">
        <v>185</v>
      </c>
      <c r="C304" s="1822" t="s">
        <v>312</v>
      </c>
      <c r="D304" s="1822"/>
      <c r="E304" s="1822"/>
      <c r="F304" s="562"/>
      <c r="G304" s="562"/>
      <c r="H304" s="562"/>
      <c r="I304" s="562"/>
      <c r="J304" s="604">
        <v>40.020000000000003</v>
      </c>
      <c r="K304" s="562" t="s">
        <v>313</v>
      </c>
      <c r="L304" s="604">
        <v>450.55</v>
      </c>
      <c r="M304" s="603"/>
      <c r="N304" s="602"/>
      <c r="V304" s="674"/>
      <c r="W304" s="675"/>
      <c r="Z304" s="537" t="s">
        <v>312</v>
      </c>
      <c r="AC304" s="675"/>
      <c r="AD304" s="675"/>
      <c r="AF304" s="675"/>
      <c r="AG304" s="680"/>
    </row>
    <row r="305" spans="1:33" s="536" customFormat="1" ht="12" x14ac:dyDescent="0.2">
      <c r="A305" s="605"/>
      <c r="B305" s="552" t="s">
        <v>186</v>
      </c>
      <c r="C305" s="1822" t="s">
        <v>344</v>
      </c>
      <c r="D305" s="1822"/>
      <c r="E305" s="1822"/>
      <c r="F305" s="562"/>
      <c r="G305" s="562"/>
      <c r="H305" s="562"/>
      <c r="I305" s="562"/>
      <c r="J305" s="604">
        <v>15.9</v>
      </c>
      <c r="K305" s="562" t="s">
        <v>313</v>
      </c>
      <c r="L305" s="604">
        <v>179</v>
      </c>
      <c r="M305" s="603"/>
      <c r="N305" s="602"/>
      <c r="V305" s="674"/>
      <c r="W305" s="675"/>
      <c r="Z305" s="537" t="s">
        <v>344</v>
      </c>
      <c r="AC305" s="675"/>
      <c r="AD305" s="675"/>
      <c r="AF305" s="675"/>
      <c r="AG305" s="680"/>
    </row>
    <row r="306" spans="1:33" s="536" customFormat="1" ht="12" x14ac:dyDescent="0.2">
      <c r="A306" s="605"/>
      <c r="B306" s="552" t="s">
        <v>187</v>
      </c>
      <c r="C306" s="1822" t="s">
        <v>345</v>
      </c>
      <c r="D306" s="1822"/>
      <c r="E306" s="1822"/>
      <c r="F306" s="562"/>
      <c r="G306" s="562"/>
      <c r="H306" s="562"/>
      <c r="I306" s="562"/>
      <c r="J306" s="604">
        <v>0.22</v>
      </c>
      <c r="K306" s="562" t="s">
        <v>313</v>
      </c>
      <c r="L306" s="604">
        <v>2.48</v>
      </c>
      <c r="M306" s="603"/>
      <c r="N306" s="602"/>
      <c r="V306" s="674"/>
      <c r="W306" s="675"/>
      <c r="Z306" s="537" t="s">
        <v>345</v>
      </c>
      <c r="AC306" s="675"/>
      <c r="AD306" s="675"/>
      <c r="AF306" s="675"/>
      <c r="AG306" s="680"/>
    </row>
    <row r="307" spans="1:33" s="536" customFormat="1" ht="12" x14ac:dyDescent="0.2">
      <c r="A307" s="605"/>
      <c r="B307" s="552" t="s">
        <v>188</v>
      </c>
      <c r="C307" s="1822" t="s">
        <v>475</v>
      </c>
      <c r="D307" s="1822"/>
      <c r="E307" s="1822"/>
      <c r="F307" s="562"/>
      <c r="G307" s="562"/>
      <c r="H307" s="562"/>
      <c r="I307" s="562"/>
      <c r="J307" s="604">
        <v>1308.99</v>
      </c>
      <c r="K307" s="562"/>
      <c r="L307" s="604">
        <v>11789.29</v>
      </c>
      <c r="M307" s="603"/>
      <c r="N307" s="602"/>
      <c r="V307" s="674"/>
      <c r="W307" s="675"/>
      <c r="Z307" s="537" t="s">
        <v>475</v>
      </c>
      <c r="AC307" s="675"/>
      <c r="AD307" s="675"/>
      <c r="AF307" s="675"/>
      <c r="AG307" s="680"/>
    </row>
    <row r="308" spans="1:33" s="536" customFormat="1" ht="12" x14ac:dyDescent="0.2">
      <c r="A308" s="605"/>
      <c r="B308" s="552"/>
      <c r="C308" s="1822" t="s">
        <v>314</v>
      </c>
      <c r="D308" s="1822"/>
      <c r="E308" s="1822"/>
      <c r="F308" s="562" t="s">
        <v>315</v>
      </c>
      <c r="G308" s="562" t="s">
        <v>1479</v>
      </c>
      <c r="H308" s="562" t="s">
        <v>313</v>
      </c>
      <c r="I308" s="562" t="s">
        <v>2159</v>
      </c>
      <c r="J308" s="604"/>
      <c r="K308" s="562"/>
      <c r="L308" s="604"/>
      <c r="M308" s="603"/>
      <c r="N308" s="602"/>
      <c r="V308" s="674"/>
      <c r="W308" s="675"/>
      <c r="AA308" s="537" t="s">
        <v>314</v>
      </c>
      <c r="AC308" s="675"/>
      <c r="AD308" s="675"/>
      <c r="AF308" s="675"/>
      <c r="AG308" s="680"/>
    </row>
    <row r="309" spans="1:33" s="536" customFormat="1" ht="12" x14ac:dyDescent="0.2">
      <c r="A309" s="605"/>
      <c r="B309" s="552"/>
      <c r="C309" s="1822" t="s">
        <v>348</v>
      </c>
      <c r="D309" s="1822"/>
      <c r="E309" s="1822"/>
      <c r="F309" s="562" t="s">
        <v>315</v>
      </c>
      <c r="G309" s="562" t="s">
        <v>695</v>
      </c>
      <c r="H309" s="562" t="s">
        <v>313</v>
      </c>
      <c r="I309" s="562" t="s">
        <v>2160</v>
      </c>
      <c r="J309" s="604"/>
      <c r="K309" s="562"/>
      <c r="L309" s="604"/>
      <c r="M309" s="603"/>
      <c r="N309" s="602"/>
      <c r="V309" s="674"/>
      <c r="W309" s="675"/>
      <c r="AA309" s="537" t="s">
        <v>348</v>
      </c>
      <c r="AC309" s="675"/>
      <c r="AD309" s="675"/>
      <c r="AF309" s="675"/>
      <c r="AG309" s="680"/>
    </row>
    <row r="310" spans="1:33" s="536" customFormat="1" ht="12" x14ac:dyDescent="0.2">
      <c r="A310" s="605"/>
      <c r="B310" s="552"/>
      <c r="C310" s="1828" t="s">
        <v>318</v>
      </c>
      <c r="D310" s="1828"/>
      <c r="E310" s="1828"/>
      <c r="F310" s="608"/>
      <c r="G310" s="608"/>
      <c r="H310" s="608"/>
      <c r="I310" s="608"/>
      <c r="J310" s="607">
        <v>1364.91</v>
      </c>
      <c r="K310" s="608"/>
      <c r="L310" s="607">
        <v>12418.84</v>
      </c>
      <c r="M310" s="601"/>
      <c r="N310" s="606"/>
      <c r="V310" s="674"/>
      <c r="W310" s="675"/>
      <c r="AB310" s="537" t="s">
        <v>318</v>
      </c>
      <c r="AC310" s="675"/>
      <c r="AD310" s="675"/>
      <c r="AF310" s="675"/>
      <c r="AG310" s="680"/>
    </row>
    <row r="311" spans="1:33" s="536" customFormat="1" ht="12" x14ac:dyDescent="0.2">
      <c r="A311" s="605"/>
      <c r="B311" s="552"/>
      <c r="C311" s="1822" t="s">
        <v>319</v>
      </c>
      <c r="D311" s="1822"/>
      <c r="E311" s="1822"/>
      <c r="F311" s="562"/>
      <c r="G311" s="562"/>
      <c r="H311" s="562"/>
      <c r="I311" s="562"/>
      <c r="J311" s="604"/>
      <c r="K311" s="562"/>
      <c r="L311" s="604">
        <v>453.03</v>
      </c>
      <c r="M311" s="603"/>
      <c r="N311" s="602"/>
      <c r="V311" s="674"/>
      <c r="W311" s="675"/>
      <c r="AA311" s="537" t="s">
        <v>319</v>
      </c>
      <c r="AC311" s="675"/>
      <c r="AD311" s="675"/>
      <c r="AF311" s="675"/>
      <c r="AG311" s="680"/>
    </row>
    <row r="312" spans="1:33" s="536" customFormat="1" ht="33.75" x14ac:dyDescent="0.2">
      <c r="A312" s="605"/>
      <c r="B312" s="552" t="s">
        <v>1482</v>
      </c>
      <c r="C312" s="1822" t="s">
        <v>1483</v>
      </c>
      <c r="D312" s="1822"/>
      <c r="E312" s="1822"/>
      <c r="F312" s="562" t="s">
        <v>322</v>
      </c>
      <c r="G312" s="562" t="s">
        <v>1484</v>
      </c>
      <c r="H312" s="562"/>
      <c r="I312" s="562" t="s">
        <v>1484</v>
      </c>
      <c r="J312" s="604"/>
      <c r="K312" s="562"/>
      <c r="L312" s="604">
        <v>425.85</v>
      </c>
      <c r="M312" s="603"/>
      <c r="N312" s="602"/>
      <c r="V312" s="674"/>
      <c r="W312" s="675"/>
      <c r="AA312" s="537" t="s">
        <v>1483</v>
      </c>
      <c r="AC312" s="675"/>
      <c r="AD312" s="675"/>
      <c r="AF312" s="675"/>
      <c r="AG312" s="680"/>
    </row>
    <row r="313" spans="1:33" s="536" customFormat="1" ht="33.75" x14ac:dyDescent="0.2">
      <c r="A313" s="605"/>
      <c r="B313" s="552" t="s">
        <v>1485</v>
      </c>
      <c r="C313" s="1822" t="s">
        <v>1486</v>
      </c>
      <c r="D313" s="1822"/>
      <c r="E313" s="1822"/>
      <c r="F313" s="562" t="s">
        <v>322</v>
      </c>
      <c r="G313" s="562" t="s">
        <v>786</v>
      </c>
      <c r="H313" s="562"/>
      <c r="I313" s="562" t="s">
        <v>786</v>
      </c>
      <c r="J313" s="604"/>
      <c r="K313" s="562"/>
      <c r="L313" s="604">
        <v>231.05</v>
      </c>
      <c r="M313" s="603"/>
      <c r="N313" s="602"/>
      <c r="V313" s="674"/>
      <c r="W313" s="675"/>
      <c r="AA313" s="537" t="s">
        <v>1486</v>
      </c>
      <c r="AC313" s="675"/>
      <c r="AD313" s="675"/>
      <c r="AF313" s="675"/>
      <c r="AG313" s="680"/>
    </row>
    <row r="314" spans="1:33" s="536" customFormat="1" ht="12" x14ac:dyDescent="0.2">
      <c r="A314" s="569"/>
      <c r="B314" s="656"/>
      <c r="C314" s="1823" t="s">
        <v>327</v>
      </c>
      <c r="D314" s="1823"/>
      <c r="E314" s="1823"/>
      <c r="F314" s="573"/>
      <c r="G314" s="573"/>
      <c r="H314" s="573"/>
      <c r="I314" s="573"/>
      <c r="J314" s="572"/>
      <c r="K314" s="573"/>
      <c r="L314" s="572">
        <v>13075.74</v>
      </c>
      <c r="M314" s="601"/>
      <c r="N314" s="570"/>
      <c r="V314" s="674"/>
      <c r="W314" s="675"/>
      <c r="AC314" s="675" t="s">
        <v>327</v>
      </c>
      <c r="AD314" s="675"/>
      <c r="AF314" s="675"/>
      <c r="AG314" s="680"/>
    </row>
    <row r="315" spans="1:33" s="536" customFormat="1" ht="22.5" x14ac:dyDescent="0.2">
      <c r="A315" s="575" t="s">
        <v>759</v>
      </c>
      <c r="B315" s="657" t="s">
        <v>1487</v>
      </c>
      <c r="C315" s="1823" t="s">
        <v>1488</v>
      </c>
      <c r="D315" s="1823"/>
      <c r="E315" s="1823"/>
      <c r="F315" s="573" t="s">
        <v>862</v>
      </c>
      <c r="G315" s="573"/>
      <c r="H315" s="573"/>
      <c r="I315" s="573" t="s">
        <v>2157</v>
      </c>
      <c r="J315" s="572"/>
      <c r="K315" s="573"/>
      <c r="L315" s="572"/>
      <c r="M315" s="571"/>
      <c r="N315" s="570"/>
      <c r="V315" s="674"/>
      <c r="W315" s="675" t="s">
        <v>1488</v>
      </c>
      <c r="AC315" s="675"/>
      <c r="AD315" s="675"/>
      <c r="AF315" s="675"/>
      <c r="AG315" s="680"/>
    </row>
    <row r="316" spans="1:33" s="536" customFormat="1" ht="12" x14ac:dyDescent="0.2">
      <c r="A316" s="676"/>
      <c r="B316" s="655"/>
      <c r="C316" s="1822" t="s">
        <v>2158</v>
      </c>
      <c r="D316" s="1822"/>
      <c r="E316" s="1822"/>
      <c r="F316" s="1822"/>
      <c r="G316" s="1822"/>
      <c r="H316" s="1822"/>
      <c r="I316" s="1822"/>
      <c r="J316" s="1822"/>
      <c r="K316" s="1822"/>
      <c r="L316" s="1822"/>
      <c r="M316" s="1822"/>
      <c r="N316" s="1827"/>
      <c r="V316" s="674"/>
      <c r="W316" s="675"/>
      <c r="X316" s="537" t="s">
        <v>2158</v>
      </c>
      <c r="AC316" s="675"/>
      <c r="AD316" s="675"/>
      <c r="AF316" s="675"/>
      <c r="AG316" s="680"/>
    </row>
    <row r="317" spans="1:33" s="536" customFormat="1" ht="33.75" x14ac:dyDescent="0.2">
      <c r="A317" s="609"/>
      <c r="B317" s="552" t="s">
        <v>310</v>
      </c>
      <c r="C317" s="1822" t="s">
        <v>311</v>
      </c>
      <c r="D317" s="1822"/>
      <c r="E317" s="1822"/>
      <c r="F317" s="1822"/>
      <c r="G317" s="1822"/>
      <c r="H317" s="1822"/>
      <c r="I317" s="1822"/>
      <c r="J317" s="1822"/>
      <c r="K317" s="1822"/>
      <c r="L317" s="1822"/>
      <c r="M317" s="1822"/>
      <c r="N317" s="1827"/>
      <c r="V317" s="674"/>
      <c r="W317" s="675"/>
      <c r="Y317" s="537" t="s">
        <v>311</v>
      </c>
      <c r="AC317" s="675"/>
      <c r="AD317" s="675"/>
      <c r="AF317" s="675"/>
      <c r="AG317" s="680"/>
    </row>
    <row r="318" spans="1:33" s="536" customFormat="1" ht="12" x14ac:dyDescent="0.2">
      <c r="A318" s="605"/>
      <c r="B318" s="552" t="s">
        <v>185</v>
      </c>
      <c r="C318" s="1822" t="s">
        <v>312</v>
      </c>
      <c r="D318" s="1822"/>
      <c r="E318" s="1822"/>
      <c r="F318" s="562"/>
      <c r="G318" s="562"/>
      <c r="H318" s="562"/>
      <c r="I318" s="562"/>
      <c r="J318" s="604">
        <v>19.32</v>
      </c>
      <c r="K318" s="562" t="s">
        <v>313</v>
      </c>
      <c r="L318" s="604">
        <v>217.5</v>
      </c>
      <c r="M318" s="603"/>
      <c r="N318" s="602"/>
      <c r="V318" s="674"/>
      <c r="W318" s="675"/>
      <c r="Z318" s="537" t="s">
        <v>312</v>
      </c>
      <c r="AC318" s="675"/>
      <c r="AD318" s="675"/>
      <c r="AF318" s="675"/>
      <c r="AG318" s="680"/>
    </row>
    <row r="319" spans="1:33" s="536" customFormat="1" ht="12" x14ac:dyDescent="0.2">
      <c r="A319" s="605"/>
      <c r="B319" s="552" t="s">
        <v>186</v>
      </c>
      <c r="C319" s="1822" t="s">
        <v>344</v>
      </c>
      <c r="D319" s="1822"/>
      <c r="E319" s="1822"/>
      <c r="F319" s="562"/>
      <c r="G319" s="562"/>
      <c r="H319" s="562"/>
      <c r="I319" s="562"/>
      <c r="J319" s="604">
        <v>6.01</v>
      </c>
      <c r="K319" s="562" t="s">
        <v>313</v>
      </c>
      <c r="L319" s="604">
        <v>67.66</v>
      </c>
      <c r="M319" s="603"/>
      <c r="N319" s="602"/>
      <c r="V319" s="674"/>
      <c r="W319" s="675"/>
      <c r="Z319" s="537" t="s">
        <v>344</v>
      </c>
      <c r="AC319" s="675"/>
      <c r="AD319" s="675"/>
      <c r="AF319" s="675"/>
      <c r="AG319" s="680"/>
    </row>
    <row r="320" spans="1:33" s="536" customFormat="1" ht="12" x14ac:dyDescent="0.2">
      <c r="A320" s="605"/>
      <c r="B320" s="552" t="s">
        <v>187</v>
      </c>
      <c r="C320" s="1822" t="s">
        <v>345</v>
      </c>
      <c r="D320" s="1822"/>
      <c r="E320" s="1822"/>
      <c r="F320" s="562"/>
      <c r="G320" s="562"/>
      <c r="H320" s="562"/>
      <c r="I320" s="562"/>
      <c r="J320" s="604">
        <v>0.22</v>
      </c>
      <c r="K320" s="562" t="s">
        <v>313</v>
      </c>
      <c r="L320" s="604">
        <v>2.48</v>
      </c>
      <c r="M320" s="603"/>
      <c r="N320" s="602"/>
      <c r="V320" s="674"/>
      <c r="W320" s="675"/>
      <c r="Z320" s="537" t="s">
        <v>345</v>
      </c>
      <c r="AC320" s="675"/>
      <c r="AD320" s="675"/>
      <c r="AF320" s="675"/>
      <c r="AG320" s="680"/>
    </row>
    <row r="321" spans="1:33" s="536" customFormat="1" ht="12" x14ac:dyDescent="0.2">
      <c r="A321" s="605"/>
      <c r="B321" s="552" t="s">
        <v>188</v>
      </c>
      <c r="C321" s="1822" t="s">
        <v>475</v>
      </c>
      <c r="D321" s="1822"/>
      <c r="E321" s="1822"/>
      <c r="F321" s="562"/>
      <c r="G321" s="562"/>
      <c r="H321" s="562"/>
      <c r="I321" s="562"/>
      <c r="J321" s="604">
        <v>138.16</v>
      </c>
      <c r="K321" s="562"/>
      <c r="L321" s="604">
        <v>84.12</v>
      </c>
      <c r="M321" s="603"/>
      <c r="N321" s="602"/>
      <c r="V321" s="674"/>
      <c r="W321" s="675"/>
      <c r="Z321" s="537" t="s">
        <v>475</v>
      </c>
      <c r="AC321" s="675"/>
      <c r="AD321" s="675"/>
      <c r="AF321" s="675"/>
      <c r="AG321" s="680"/>
    </row>
    <row r="322" spans="1:33" s="536" customFormat="1" ht="12" x14ac:dyDescent="0.2">
      <c r="A322" s="605"/>
      <c r="B322" s="552"/>
      <c r="C322" s="1822" t="s">
        <v>314</v>
      </c>
      <c r="D322" s="1822"/>
      <c r="E322" s="1822"/>
      <c r="F322" s="562" t="s">
        <v>315</v>
      </c>
      <c r="G322" s="562" t="s">
        <v>1489</v>
      </c>
      <c r="H322" s="562" t="s">
        <v>313</v>
      </c>
      <c r="I322" s="562" t="s">
        <v>2161</v>
      </c>
      <c r="J322" s="604"/>
      <c r="K322" s="562"/>
      <c r="L322" s="604"/>
      <c r="M322" s="603"/>
      <c r="N322" s="602"/>
      <c r="V322" s="674"/>
      <c r="W322" s="675"/>
      <c r="AA322" s="537" t="s">
        <v>314</v>
      </c>
      <c r="AC322" s="675"/>
      <c r="AD322" s="675"/>
      <c r="AF322" s="675"/>
      <c r="AG322" s="680"/>
    </row>
    <row r="323" spans="1:33" s="536" customFormat="1" ht="12" x14ac:dyDescent="0.2">
      <c r="A323" s="605"/>
      <c r="B323" s="552"/>
      <c r="C323" s="1822" t="s">
        <v>348</v>
      </c>
      <c r="D323" s="1822"/>
      <c r="E323" s="1822"/>
      <c r="F323" s="562" t="s">
        <v>315</v>
      </c>
      <c r="G323" s="562" t="s">
        <v>695</v>
      </c>
      <c r="H323" s="562" t="s">
        <v>313</v>
      </c>
      <c r="I323" s="562" t="s">
        <v>2160</v>
      </c>
      <c r="J323" s="604"/>
      <c r="K323" s="562"/>
      <c r="L323" s="604"/>
      <c r="M323" s="603"/>
      <c r="N323" s="602"/>
      <c r="V323" s="674"/>
      <c r="W323" s="675"/>
      <c r="AA323" s="537" t="s">
        <v>348</v>
      </c>
      <c r="AC323" s="675"/>
      <c r="AD323" s="675"/>
      <c r="AF323" s="675"/>
      <c r="AG323" s="680"/>
    </row>
    <row r="324" spans="1:33" s="536" customFormat="1" ht="12" x14ac:dyDescent="0.2">
      <c r="A324" s="605"/>
      <c r="B324" s="552"/>
      <c r="C324" s="1828" t="s">
        <v>318</v>
      </c>
      <c r="D324" s="1828"/>
      <c r="E324" s="1828"/>
      <c r="F324" s="608"/>
      <c r="G324" s="608"/>
      <c r="H324" s="608"/>
      <c r="I324" s="608"/>
      <c r="J324" s="607">
        <v>34.67</v>
      </c>
      <c r="K324" s="608"/>
      <c r="L324" s="607">
        <v>369.28</v>
      </c>
      <c r="M324" s="601"/>
      <c r="N324" s="606"/>
      <c r="V324" s="674"/>
      <c r="W324" s="675"/>
      <c r="AB324" s="537" t="s">
        <v>318</v>
      </c>
      <c r="AC324" s="675"/>
      <c r="AD324" s="675"/>
      <c r="AF324" s="675"/>
      <c r="AG324" s="680"/>
    </row>
    <row r="325" spans="1:33" s="536" customFormat="1" ht="12" x14ac:dyDescent="0.2">
      <c r="A325" s="605"/>
      <c r="B325" s="552"/>
      <c r="C325" s="1822" t="s">
        <v>319</v>
      </c>
      <c r="D325" s="1822"/>
      <c r="E325" s="1822"/>
      <c r="F325" s="562"/>
      <c r="G325" s="562"/>
      <c r="H325" s="562"/>
      <c r="I325" s="562"/>
      <c r="J325" s="604"/>
      <c r="K325" s="562"/>
      <c r="L325" s="604">
        <v>219.98</v>
      </c>
      <c r="M325" s="603"/>
      <c r="N325" s="602"/>
      <c r="V325" s="674"/>
      <c r="W325" s="675"/>
      <c r="AA325" s="537" t="s">
        <v>319</v>
      </c>
      <c r="AC325" s="675"/>
      <c r="AD325" s="675"/>
      <c r="AF325" s="675"/>
      <c r="AG325" s="680"/>
    </row>
    <row r="326" spans="1:33" s="536" customFormat="1" ht="33.75" x14ac:dyDescent="0.2">
      <c r="A326" s="605"/>
      <c r="B326" s="552" t="s">
        <v>1482</v>
      </c>
      <c r="C326" s="1822" t="s">
        <v>1483</v>
      </c>
      <c r="D326" s="1822"/>
      <c r="E326" s="1822"/>
      <c r="F326" s="562" t="s">
        <v>322</v>
      </c>
      <c r="G326" s="562" t="s">
        <v>1484</v>
      </c>
      <c r="H326" s="562"/>
      <c r="I326" s="562" t="s">
        <v>1484</v>
      </c>
      <c r="J326" s="604"/>
      <c r="K326" s="562"/>
      <c r="L326" s="604">
        <v>206.78</v>
      </c>
      <c r="M326" s="603"/>
      <c r="N326" s="602"/>
      <c r="V326" s="674"/>
      <c r="W326" s="675"/>
      <c r="AA326" s="537" t="s">
        <v>1483</v>
      </c>
      <c r="AC326" s="675"/>
      <c r="AD326" s="675"/>
      <c r="AF326" s="675"/>
      <c r="AG326" s="680"/>
    </row>
    <row r="327" spans="1:33" s="536" customFormat="1" ht="33.75" x14ac:dyDescent="0.2">
      <c r="A327" s="605"/>
      <c r="B327" s="552" t="s">
        <v>1485</v>
      </c>
      <c r="C327" s="1822" t="s">
        <v>1486</v>
      </c>
      <c r="D327" s="1822"/>
      <c r="E327" s="1822"/>
      <c r="F327" s="562" t="s">
        <v>322</v>
      </c>
      <c r="G327" s="562" t="s">
        <v>786</v>
      </c>
      <c r="H327" s="562"/>
      <c r="I327" s="562" t="s">
        <v>786</v>
      </c>
      <c r="J327" s="604"/>
      <c r="K327" s="562"/>
      <c r="L327" s="604">
        <v>112.19</v>
      </c>
      <c r="M327" s="603"/>
      <c r="N327" s="602"/>
      <c r="V327" s="674"/>
      <c r="W327" s="675"/>
      <c r="AA327" s="537" t="s">
        <v>1486</v>
      </c>
      <c r="AC327" s="675"/>
      <c r="AD327" s="675"/>
      <c r="AF327" s="675"/>
      <c r="AG327" s="680"/>
    </row>
    <row r="328" spans="1:33" s="536" customFormat="1" ht="12" x14ac:dyDescent="0.2">
      <c r="A328" s="569"/>
      <c r="B328" s="656"/>
      <c r="C328" s="1823" t="s">
        <v>327</v>
      </c>
      <c r="D328" s="1823"/>
      <c r="E328" s="1823"/>
      <c r="F328" s="573"/>
      <c r="G328" s="573"/>
      <c r="H328" s="573"/>
      <c r="I328" s="573"/>
      <c r="J328" s="572"/>
      <c r="K328" s="573"/>
      <c r="L328" s="572">
        <v>688.25</v>
      </c>
      <c r="M328" s="601"/>
      <c r="N328" s="570"/>
      <c r="V328" s="674"/>
      <c r="W328" s="675"/>
      <c r="AC328" s="675" t="s">
        <v>327</v>
      </c>
      <c r="AD328" s="675"/>
      <c r="AF328" s="675"/>
      <c r="AG328" s="680"/>
    </row>
    <row r="329" spans="1:33" s="536" customFormat="1" ht="22.5" x14ac:dyDescent="0.2">
      <c r="A329" s="575" t="s">
        <v>917</v>
      </c>
      <c r="B329" s="657" t="s">
        <v>1491</v>
      </c>
      <c r="C329" s="1823" t="s">
        <v>1492</v>
      </c>
      <c r="D329" s="1823"/>
      <c r="E329" s="1823"/>
      <c r="F329" s="573" t="s">
        <v>699</v>
      </c>
      <c r="G329" s="573"/>
      <c r="H329" s="573"/>
      <c r="I329" s="573" t="s">
        <v>2162</v>
      </c>
      <c r="J329" s="572">
        <v>34.950000000000003</v>
      </c>
      <c r="K329" s="573"/>
      <c r="L329" s="572">
        <v>6295.47</v>
      </c>
      <c r="M329" s="571"/>
      <c r="N329" s="570"/>
      <c r="V329" s="674"/>
      <c r="W329" s="675" t="s">
        <v>1492</v>
      </c>
      <c r="AC329" s="675"/>
      <c r="AD329" s="675"/>
      <c r="AF329" s="675"/>
      <c r="AG329" s="680"/>
    </row>
    <row r="330" spans="1:33" s="536" customFormat="1" ht="12" x14ac:dyDescent="0.2">
      <c r="A330" s="569"/>
      <c r="B330" s="656"/>
      <c r="C330" s="661" t="s">
        <v>717</v>
      </c>
      <c r="D330" s="662"/>
      <c r="E330" s="662"/>
      <c r="F330" s="563"/>
      <c r="G330" s="563"/>
      <c r="H330" s="563"/>
      <c r="I330" s="563"/>
      <c r="J330" s="566"/>
      <c r="K330" s="563"/>
      <c r="L330" s="566"/>
      <c r="M330" s="565"/>
      <c r="N330" s="564"/>
      <c r="V330" s="674"/>
      <c r="W330" s="675"/>
      <c r="AC330" s="675"/>
      <c r="AD330" s="675"/>
      <c r="AF330" s="675"/>
      <c r="AG330" s="680"/>
    </row>
    <row r="331" spans="1:33" s="536" customFormat="1" ht="12" x14ac:dyDescent="0.2">
      <c r="A331" s="676"/>
      <c r="B331" s="655"/>
      <c r="C331" s="1822" t="s">
        <v>2163</v>
      </c>
      <c r="D331" s="1822"/>
      <c r="E331" s="1822"/>
      <c r="F331" s="1822"/>
      <c r="G331" s="1822"/>
      <c r="H331" s="1822"/>
      <c r="I331" s="1822"/>
      <c r="J331" s="1822"/>
      <c r="K331" s="1822"/>
      <c r="L331" s="1822"/>
      <c r="M331" s="1822"/>
      <c r="N331" s="1827"/>
      <c r="V331" s="674"/>
      <c r="W331" s="675"/>
      <c r="X331" s="537" t="s">
        <v>2163</v>
      </c>
      <c r="AC331" s="675"/>
      <c r="AD331" s="675"/>
      <c r="AF331" s="675"/>
      <c r="AG331" s="680"/>
    </row>
    <row r="332" spans="1:33" s="536" customFormat="1" ht="1.5" customHeight="1" x14ac:dyDescent="0.2">
      <c r="A332" s="563"/>
      <c r="B332" s="656"/>
      <c r="C332" s="656"/>
      <c r="D332" s="656"/>
      <c r="E332" s="656"/>
      <c r="F332" s="563"/>
      <c r="G332" s="563"/>
      <c r="H332" s="563"/>
      <c r="I332" s="563"/>
      <c r="J332" s="546"/>
      <c r="K332" s="563"/>
      <c r="L332" s="546"/>
      <c r="M332" s="562"/>
      <c r="N332" s="546"/>
      <c r="V332" s="674"/>
      <c r="W332" s="675"/>
      <c r="AC332" s="675"/>
      <c r="AD332" s="675"/>
      <c r="AF332" s="675"/>
      <c r="AG332" s="680"/>
    </row>
    <row r="333" spans="1:33" s="536" customFormat="1" ht="12" x14ac:dyDescent="0.2">
      <c r="A333" s="557"/>
      <c r="B333" s="556"/>
      <c r="C333" s="1823" t="s">
        <v>2164</v>
      </c>
      <c r="D333" s="1823"/>
      <c r="E333" s="1823"/>
      <c r="F333" s="1823"/>
      <c r="G333" s="1823"/>
      <c r="H333" s="1823"/>
      <c r="I333" s="1823"/>
      <c r="J333" s="1823"/>
      <c r="K333" s="1823"/>
      <c r="L333" s="555"/>
      <c r="M333" s="554"/>
      <c r="N333" s="553"/>
      <c r="V333" s="674"/>
      <c r="W333" s="675"/>
      <c r="AC333" s="675"/>
      <c r="AD333" s="675" t="s">
        <v>2164</v>
      </c>
      <c r="AF333" s="675"/>
      <c r="AG333" s="680"/>
    </row>
    <row r="334" spans="1:33" s="536" customFormat="1" ht="12" x14ac:dyDescent="0.2">
      <c r="A334" s="548"/>
      <c r="B334" s="552"/>
      <c r="C334" s="1822" t="s">
        <v>403</v>
      </c>
      <c r="D334" s="1822"/>
      <c r="E334" s="1822"/>
      <c r="F334" s="1822"/>
      <c r="G334" s="1822"/>
      <c r="H334" s="1822"/>
      <c r="I334" s="1822"/>
      <c r="J334" s="1822"/>
      <c r="K334" s="1822"/>
      <c r="L334" s="551">
        <v>287316.57</v>
      </c>
      <c r="M334" s="550"/>
      <c r="N334" s="549"/>
      <c r="V334" s="674"/>
      <c r="W334" s="675"/>
      <c r="AC334" s="675"/>
      <c r="AD334" s="675"/>
      <c r="AE334" s="537" t="s">
        <v>403</v>
      </c>
      <c r="AF334" s="675"/>
      <c r="AG334" s="680"/>
    </row>
    <row r="335" spans="1:33" s="536" customFormat="1" ht="12" x14ac:dyDescent="0.2">
      <c r="A335" s="548"/>
      <c r="B335" s="552"/>
      <c r="C335" s="1822" t="s">
        <v>204</v>
      </c>
      <c r="D335" s="1822"/>
      <c r="E335" s="1822"/>
      <c r="F335" s="1822"/>
      <c r="G335" s="1822"/>
      <c r="H335" s="1822"/>
      <c r="I335" s="1822"/>
      <c r="J335" s="1822"/>
      <c r="K335" s="1822"/>
      <c r="L335" s="551"/>
      <c r="M335" s="550"/>
      <c r="N335" s="549"/>
      <c r="V335" s="674"/>
      <c r="W335" s="675"/>
      <c r="AC335" s="675"/>
      <c r="AD335" s="675"/>
      <c r="AE335" s="537" t="s">
        <v>204</v>
      </c>
      <c r="AF335" s="675"/>
      <c r="AG335" s="680"/>
    </row>
    <row r="336" spans="1:33" s="536" customFormat="1" ht="12" x14ac:dyDescent="0.2">
      <c r="A336" s="548"/>
      <c r="B336" s="552"/>
      <c r="C336" s="1822" t="s">
        <v>404</v>
      </c>
      <c r="D336" s="1822"/>
      <c r="E336" s="1822"/>
      <c r="F336" s="1822"/>
      <c r="G336" s="1822"/>
      <c r="H336" s="1822"/>
      <c r="I336" s="1822"/>
      <c r="J336" s="1822"/>
      <c r="K336" s="1822"/>
      <c r="L336" s="551">
        <v>7192.22</v>
      </c>
      <c r="M336" s="550"/>
      <c r="N336" s="549"/>
      <c r="V336" s="674"/>
      <c r="W336" s="675"/>
      <c r="AC336" s="675"/>
      <c r="AD336" s="675"/>
      <c r="AE336" s="537" t="s">
        <v>404</v>
      </c>
      <c r="AF336" s="675"/>
      <c r="AG336" s="680"/>
    </row>
    <row r="337" spans="1:33" s="536" customFormat="1" ht="12" x14ac:dyDescent="0.2">
      <c r="A337" s="548"/>
      <c r="B337" s="552"/>
      <c r="C337" s="1822" t="s">
        <v>405</v>
      </c>
      <c r="D337" s="1822"/>
      <c r="E337" s="1822"/>
      <c r="F337" s="1822"/>
      <c r="G337" s="1822"/>
      <c r="H337" s="1822"/>
      <c r="I337" s="1822"/>
      <c r="J337" s="1822"/>
      <c r="K337" s="1822"/>
      <c r="L337" s="551">
        <v>18918.98</v>
      </c>
      <c r="M337" s="550"/>
      <c r="N337" s="549"/>
      <c r="V337" s="674"/>
      <c r="W337" s="675"/>
      <c r="AC337" s="675"/>
      <c r="AD337" s="675"/>
      <c r="AE337" s="537" t="s">
        <v>405</v>
      </c>
      <c r="AF337" s="675"/>
      <c r="AG337" s="680"/>
    </row>
    <row r="338" spans="1:33" s="536" customFormat="1" ht="12" x14ac:dyDescent="0.2">
      <c r="A338" s="548"/>
      <c r="B338" s="552"/>
      <c r="C338" s="1822" t="s">
        <v>406</v>
      </c>
      <c r="D338" s="1822"/>
      <c r="E338" s="1822"/>
      <c r="F338" s="1822"/>
      <c r="G338" s="1822"/>
      <c r="H338" s="1822"/>
      <c r="I338" s="1822"/>
      <c r="J338" s="1822"/>
      <c r="K338" s="1822"/>
      <c r="L338" s="551">
        <v>1748.51</v>
      </c>
      <c r="M338" s="550"/>
      <c r="N338" s="549"/>
      <c r="V338" s="674"/>
      <c r="W338" s="675"/>
      <c r="AC338" s="675"/>
      <c r="AD338" s="675"/>
      <c r="AE338" s="537" t="s">
        <v>406</v>
      </c>
      <c r="AF338" s="675"/>
      <c r="AG338" s="680"/>
    </row>
    <row r="339" spans="1:33" s="536" customFormat="1" ht="12" x14ac:dyDescent="0.2">
      <c r="A339" s="548"/>
      <c r="B339" s="552"/>
      <c r="C339" s="1822" t="s">
        <v>480</v>
      </c>
      <c r="D339" s="1822"/>
      <c r="E339" s="1822"/>
      <c r="F339" s="1822"/>
      <c r="G339" s="1822"/>
      <c r="H339" s="1822"/>
      <c r="I339" s="1822"/>
      <c r="J339" s="1822"/>
      <c r="K339" s="1822"/>
      <c r="L339" s="551">
        <v>261205.37</v>
      </c>
      <c r="M339" s="550"/>
      <c r="N339" s="549"/>
      <c r="V339" s="674"/>
      <c r="W339" s="675"/>
      <c r="AC339" s="675"/>
      <c r="AD339" s="675"/>
      <c r="AE339" s="537" t="s">
        <v>480</v>
      </c>
      <c r="AF339" s="675"/>
      <c r="AG339" s="680"/>
    </row>
    <row r="340" spans="1:33" s="536" customFormat="1" ht="12" x14ac:dyDescent="0.2">
      <c r="A340" s="548"/>
      <c r="B340" s="552"/>
      <c r="C340" s="1822" t="s">
        <v>407</v>
      </c>
      <c r="D340" s="1822"/>
      <c r="E340" s="1822"/>
      <c r="F340" s="1822"/>
      <c r="G340" s="1822"/>
      <c r="H340" s="1822"/>
      <c r="I340" s="1822"/>
      <c r="J340" s="1822"/>
      <c r="K340" s="1822"/>
      <c r="L340" s="551">
        <v>301107.40999999997</v>
      </c>
      <c r="M340" s="550"/>
      <c r="N340" s="549"/>
      <c r="V340" s="674"/>
      <c r="W340" s="675"/>
      <c r="AC340" s="675"/>
      <c r="AD340" s="675"/>
      <c r="AE340" s="537" t="s">
        <v>407</v>
      </c>
      <c r="AF340" s="675"/>
      <c r="AG340" s="680"/>
    </row>
    <row r="341" spans="1:33" s="536" customFormat="1" ht="12" x14ac:dyDescent="0.2">
      <c r="A341" s="548"/>
      <c r="B341" s="552"/>
      <c r="C341" s="1822" t="s">
        <v>204</v>
      </c>
      <c r="D341" s="1822"/>
      <c r="E341" s="1822"/>
      <c r="F341" s="1822"/>
      <c r="G341" s="1822"/>
      <c r="H341" s="1822"/>
      <c r="I341" s="1822"/>
      <c r="J341" s="1822"/>
      <c r="K341" s="1822"/>
      <c r="L341" s="551"/>
      <c r="M341" s="550"/>
      <c r="N341" s="549"/>
      <c r="V341" s="674"/>
      <c r="W341" s="675"/>
      <c r="AC341" s="675"/>
      <c r="AD341" s="675"/>
      <c r="AE341" s="537" t="s">
        <v>204</v>
      </c>
      <c r="AF341" s="675"/>
      <c r="AG341" s="680"/>
    </row>
    <row r="342" spans="1:33" s="536" customFormat="1" ht="12" x14ac:dyDescent="0.2">
      <c r="A342" s="548"/>
      <c r="B342" s="552"/>
      <c r="C342" s="1822" t="s">
        <v>546</v>
      </c>
      <c r="D342" s="1822"/>
      <c r="E342" s="1822"/>
      <c r="F342" s="1822"/>
      <c r="G342" s="1822"/>
      <c r="H342" s="1822"/>
      <c r="I342" s="1822"/>
      <c r="J342" s="1822"/>
      <c r="K342" s="1822"/>
      <c r="L342" s="551">
        <v>7192.22</v>
      </c>
      <c r="M342" s="550"/>
      <c r="N342" s="549"/>
      <c r="V342" s="674"/>
      <c r="W342" s="675"/>
      <c r="AC342" s="675"/>
      <c r="AD342" s="675"/>
      <c r="AE342" s="537" t="s">
        <v>546</v>
      </c>
      <c r="AF342" s="675"/>
      <c r="AG342" s="680"/>
    </row>
    <row r="343" spans="1:33" s="536" customFormat="1" ht="12" x14ac:dyDescent="0.2">
      <c r="A343" s="548"/>
      <c r="B343" s="552"/>
      <c r="C343" s="1822" t="s">
        <v>442</v>
      </c>
      <c r="D343" s="1822"/>
      <c r="E343" s="1822"/>
      <c r="F343" s="1822"/>
      <c r="G343" s="1822"/>
      <c r="H343" s="1822"/>
      <c r="I343" s="1822"/>
      <c r="J343" s="1822"/>
      <c r="K343" s="1822"/>
      <c r="L343" s="551">
        <v>18918.98</v>
      </c>
      <c r="M343" s="550"/>
      <c r="N343" s="549"/>
      <c r="V343" s="674"/>
      <c r="W343" s="675"/>
      <c r="AC343" s="675"/>
      <c r="AD343" s="675"/>
      <c r="AE343" s="537" t="s">
        <v>442</v>
      </c>
      <c r="AF343" s="675"/>
      <c r="AG343" s="680"/>
    </row>
    <row r="344" spans="1:33" s="536" customFormat="1" ht="12" x14ac:dyDescent="0.2">
      <c r="A344" s="548"/>
      <c r="B344" s="552"/>
      <c r="C344" s="1822" t="s">
        <v>547</v>
      </c>
      <c r="D344" s="1822"/>
      <c r="E344" s="1822"/>
      <c r="F344" s="1822"/>
      <c r="G344" s="1822"/>
      <c r="H344" s="1822"/>
      <c r="I344" s="1822"/>
      <c r="J344" s="1822"/>
      <c r="K344" s="1822"/>
      <c r="L344" s="551">
        <v>261205.37</v>
      </c>
      <c r="M344" s="550"/>
      <c r="N344" s="549"/>
      <c r="V344" s="674"/>
      <c r="W344" s="675"/>
      <c r="AC344" s="675"/>
      <c r="AD344" s="675"/>
      <c r="AE344" s="537" t="s">
        <v>547</v>
      </c>
      <c r="AF344" s="675"/>
      <c r="AG344" s="680"/>
    </row>
    <row r="345" spans="1:33" s="536" customFormat="1" ht="12" x14ac:dyDescent="0.2">
      <c r="A345" s="548"/>
      <c r="B345" s="552"/>
      <c r="C345" s="1822" t="s">
        <v>443</v>
      </c>
      <c r="D345" s="1822"/>
      <c r="E345" s="1822"/>
      <c r="F345" s="1822"/>
      <c r="G345" s="1822"/>
      <c r="H345" s="1822"/>
      <c r="I345" s="1822"/>
      <c r="J345" s="1822"/>
      <c r="K345" s="1822"/>
      <c r="L345" s="551">
        <v>8321.61</v>
      </c>
      <c r="M345" s="550"/>
      <c r="N345" s="549"/>
      <c r="V345" s="674"/>
      <c r="W345" s="675"/>
      <c r="AC345" s="675"/>
      <c r="AD345" s="675"/>
      <c r="AE345" s="537" t="s">
        <v>443</v>
      </c>
      <c r="AF345" s="675"/>
      <c r="AG345" s="680"/>
    </row>
    <row r="346" spans="1:33" s="536" customFormat="1" ht="12" x14ac:dyDescent="0.2">
      <c r="A346" s="548"/>
      <c r="B346" s="552"/>
      <c r="C346" s="1822" t="s">
        <v>444</v>
      </c>
      <c r="D346" s="1822"/>
      <c r="E346" s="1822"/>
      <c r="F346" s="1822"/>
      <c r="G346" s="1822"/>
      <c r="H346" s="1822"/>
      <c r="I346" s="1822"/>
      <c r="J346" s="1822"/>
      <c r="K346" s="1822"/>
      <c r="L346" s="551">
        <v>5469.23</v>
      </c>
      <c r="M346" s="550"/>
      <c r="N346" s="549"/>
      <c r="V346" s="674"/>
      <c r="W346" s="675"/>
      <c r="AC346" s="675"/>
      <c r="AD346" s="675"/>
      <c r="AE346" s="537" t="s">
        <v>444</v>
      </c>
      <c r="AF346" s="675"/>
      <c r="AG346" s="680"/>
    </row>
    <row r="347" spans="1:33" s="536" customFormat="1" ht="12" x14ac:dyDescent="0.2">
      <c r="A347" s="548"/>
      <c r="B347" s="552"/>
      <c r="C347" s="1822" t="s">
        <v>415</v>
      </c>
      <c r="D347" s="1822"/>
      <c r="E347" s="1822"/>
      <c r="F347" s="1822"/>
      <c r="G347" s="1822"/>
      <c r="H347" s="1822"/>
      <c r="I347" s="1822"/>
      <c r="J347" s="1822"/>
      <c r="K347" s="1822"/>
      <c r="L347" s="551">
        <v>8940.73</v>
      </c>
      <c r="M347" s="550"/>
      <c r="N347" s="549"/>
      <c r="V347" s="674"/>
      <c r="W347" s="675"/>
      <c r="AC347" s="675"/>
      <c r="AD347" s="675"/>
      <c r="AE347" s="537" t="s">
        <v>415</v>
      </c>
      <c r="AF347" s="675"/>
      <c r="AG347" s="680"/>
    </row>
    <row r="348" spans="1:33" s="536" customFormat="1" ht="12" x14ac:dyDescent="0.2">
      <c r="A348" s="548"/>
      <c r="B348" s="552"/>
      <c r="C348" s="1822" t="s">
        <v>416</v>
      </c>
      <c r="D348" s="1822"/>
      <c r="E348" s="1822"/>
      <c r="F348" s="1822"/>
      <c r="G348" s="1822"/>
      <c r="H348" s="1822"/>
      <c r="I348" s="1822"/>
      <c r="J348" s="1822"/>
      <c r="K348" s="1822"/>
      <c r="L348" s="551">
        <v>8321.61</v>
      </c>
      <c r="M348" s="550"/>
      <c r="N348" s="549"/>
      <c r="V348" s="674"/>
      <c r="W348" s="675"/>
      <c r="AC348" s="675"/>
      <c r="AD348" s="675"/>
      <c r="AE348" s="537" t="s">
        <v>416</v>
      </c>
      <c r="AF348" s="675"/>
      <c r="AG348" s="680"/>
    </row>
    <row r="349" spans="1:33" s="536" customFormat="1" ht="12" x14ac:dyDescent="0.2">
      <c r="A349" s="548"/>
      <c r="B349" s="552"/>
      <c r="C349" s="1822" t="s">
        <v>417</v>
      </c>
      <c r="D349" s="1822"/>
      <c r="E349" s="1822"/>
      <c r="F349" s="1822"/>
      <c r="G349" s="1822"/>
      <c r="H349" s="1822"/>
      <c r="I349" s="1822"/>
      <c r="J349" s="1822"/>
      <c r="K349" s="1822"/>
      <c r="L349" s="551">
        <v>5469.23</v>
      </c>
      <c r="M349" s="550"/>
      <c r="N349" s="549"/>
      <c r="V349" s="674"/>
      <c r="W349" s="675"/>
      <c r="AC349" s="675"/>
      <c r="AD349" s="675"/>
      <c r="AE349" s="537" t="s">
        <v>417</v>
      </c>
      <c r="AF349" s="675"/>
      <c r="AG349" s="680"/>
    </row>
    <row r="350" spans="1:33" s="536" customFormat="1" ht="12" x14ac:dyDescent="0.2">
      <c r="A350" s="548"/>
      <c r="B350" s="546"/>
      <c r="C350" s="1819" t="s">
        <v>2165</v>
      </c>
      <c r="D350" s="1819"/>
      <c r="E350" s="1819"/>
      <c r="F350" s="1819"/>
      <c r="G350" s="1819"/>
      <c r="H350" s="1819"/>
      <c r="I350" s="1819"/>
      <c r="J350" s="1819"/>
      <c r="K350" s="1819"/>
      <c r="L350" s="544">
        <v>301107.40999999997</v>
      </c>
      <c r="M350" s="543"/>
      <c r="N350" s="681"/>
      <c r="V350" s="674"/>
      <c r="W350" s="675"/>
      <c r="AC350" s="675"/>
      <c r="AD350" s="675"/>
      <c r="AF350" s="675" t="s">
        <v>2165</v>
      </c>
      <c r="AG350" s="680"/>
    </row>
    <row r="351" spans="1:33" s="536" customFormat="1" ht="12" x14ac:dyDescent="0.2">
      <c r="A351" s="1824" t="s">
        <v>2166</v>
      </c>
      <c r="B351" s="1825"/>
      <c r="C351" s="1825"/>
      <c r="D351" s="1825"/>
      <c r="E351" s="1825"/>
      <c r="F351" s="1825"/>
      <c r="G351" s="1825"/>
      <c r="H351" s="1825"/>
      <c r="I351" s="1825"/>
      <c r="J351" s="1825"/>
      <c r="K351" s="1825"/>
      <c r="L351" s="1825"/>
      <c r="M351" s="1825"/>
      <c r="N351" s="1826"/>
      <c r="V351" s="674" t="s">
        <v>2166</v>
      </c>
      <c r="W351" s="675"/>
      <c r="AC351" s="675"/>
      <c r="AD351" s="675"/>
      <c r="AF351" s="675"/>
      <c r="AG351" s="680"/>
    </row>
    <row r="352" spans="1:33" s="536" customFormat="1" ht="12" x14ac:dyDescent="0.2">
      <c r="A352" s="575" t="s">
        <v>761</v>
      </c>
      <c r="B352" s="657" t="s">
        <v>2167</v>
      </c>
      <c r="C352" s="1823" t="s">
        <v>2168</v>
      </c>
      <c r="D352" s="1823"/>
      <c r="E352" s="1823"/>
      <c r="F352" s="573" t="s">
        <v>641</v>
      </c>
      <c r="G352" s="573"/>
      <c r="H352" s="573"/>
      <c r="I352" s="573" t="s">
        <v>2169</v>
      </c>
      <c r="J352" s="572"/>
      <c r="K352" s="573"/>
      <c r="L352" s="572"/>
      <c r="M352" s="571"/>
      <c r="N352" s="570"/>
      <c r="V352" s="674"/>
      <c r="W352" s="675" t="s">
        <v>2168</v>
      </c>
      <c r="AC352" s="675"/>
      <c r="AD352" s="675"/>
      <c r="AF352" s="675"/>
      <c r="AG352" s="680"/>
    </row>
    <row r="353" spans="1:33" s="536" customFormat="1" ht="33.75" x14ac:dyDescent="0.2">
      <c r="A353" s="609"/>
      <c r="B353" s="552" t="s">
        <v>310</v>
      </c>
      <c r="C353" s="1822" t="s">
        <v>311</v>
      </c>
      <c r="D353" s="1822"/>
      <c r="E353" s="1822"/>
      <c r="F353" s="1822"/>
      <c r="G353" s="1822"/>
      <c r="H353" s="1822"/>
      <c r="I353" s="1822"/>
      <c r="J353" s="1822"/>
      <c r="K353" s="1822"/>
      <c r="L353" s="1822"/>
      <c r="M353" s="1822"/>
      <c r="N353" s="1827"/>
      <c r="V353" s="674"/>
      <c r="W353" s="675"/>
      <c r="Y353" s="537" t="s">
        <v>311</v>
      </c>
      <c r="AC353" s="675"/>
      <c r="AD353" s="675"/>
      <c r="AF353" s="675"/>
      <c r="AG353" s="680"/>
    </row>
    <row r="354" spans="1:33" s="536" customFormat="1" ht="12" x14ac:dyDescent="0.2">
      <c r="A354" s="605"/>
      <c r="B354" s="552" t="s">
        <v>185</v>
      </c>
      <c r="C354" s="1822" t="s">
        <v>312</v>
      </c>
      <c r="D354" s="1822"/>
      <c r="E354" s="1822"/>
      <c r="F354" s="562"/>
      <c r="G354" s="562"/>
      <c r="H354" s="562"/>
      <c r="I354" s="562"/>
      <c r="J354" s="604">
        <v>100.65</v>
      </c>
      <c r="K354" s="562" t="s">
        <v>313</v>
      </c>
      <c r="L354" s="604">
        <v>351.02</v>
      </c>
      <c r="M354" s="603"/>
      <c r="N354" s="602"/>
      <c r="V354" s="674"/>
      <c r="W354" s="675"/>
      <c r="Z354" s="537" t="s">
        <v>312</v>
      </c>
      <c r="AC354" s="675"/>
      <c r="AD354" s="675"/>
      <c r="AF354" s="675"/>
      <c r="AG354" s="680"/>
    </row>
    <row r="355" spans="1:33" s="536" customFormat="1" ht="12" x14ac:dyDescent="0.2">
      <c r="A355" s="605"/>
      <c r="B355" s="552" t="s">
        <v>186</v>
      </c>
      <c r="C355" s="1822" t="s">
        <v>344</v>
      </c>
      <c r="D355" s="1822"/>
      <c r="E355" s="1822"/>
      <c r="F355" s="562"/>
      <c r="G355" s="562"/>
      <c r="H355" s="562"/>
      <c r="I355" s="562"/>
      <c r="J355" s="604">
        <v>29.3</v>
      </c>
      <c r="K355" s="562" t="s">
        <v>313</v>
      </c>
      <c r="L355" s="604">
        <v>102.18</v>
      </c>
      <c r="M355" s="603"/>
      <c r="N355" s="602"/>
      <c r="V355" s="674"/>
      <c r="W355" s="675"/>
      <c r="Z355" s="537" t="s">
        <v>344</v>
      </c>
      <c r="AC355" s="675"/>
      <c r="AD355" s="675"/>
      <c r="AF355" s="675"/>
      <c r="AG355" s="680"/>
    </row>
    <row r="356" spans="1:33" s="536" customFormat="1" ht="12" x14ac:dyDescent="0.2">
      <c r="A356" s="605"/>
      <c r="B356" s="552" t="s">
        <v>187</v>
      </c>
      <c r="C356" s="1822" t="s">
        <v>345</v>
      </c>
      <c r="D356" s="1822"/>
      <c r="E356" s="1822"/>
      <c r="F356" s="562"/>
      <c r="G356" s="562"/>
      <c r="H356" s="562"/>
      <c r="I356" s="562"/>
      <c r="J356" s="604">
        <v>4.21</v>
      </c>
      <c r="K356" s="562" t="s">
        <v>313</v>
      </c>
      <c r="L356" s="604">
        <v>14.68</v>
      </c>
      <c r="M356" s="603"/>
      <c r="N356" s="602"/>
      <c r="V356" s="674"/>
      <c r="W356" s="675"/>
      <c r="Z356" s="537" t="s">
        <v>345</v>
      </c>
      <c r="AC356" s="675"/>
      <c r="AD356" s="675"/>
      <c r="AF356" s="675"/>
      <c r="AG356" s="680"/>
    </row>
    <row r="357" spans="1:33" s="536" customFormat="1" ht="12" x14ac:dyDescent="0.2">
      <c r="A357" s="605"/>
      <c r="B357" s="552" t="s">
        <v>188</v>
      </c>
      <c r="C357" s="1822" t="s">
        <v>475</v>
      </c>
      <c r="D357" s="1822"/>
      <c r="E357" s="1822"/>
      <c r="F357" s="562"/>
      <c r="G357" s="562"/>
      <c r="H357" s="562"/>
      <c r="I357" s="562"/>
      <c r="J357" s="604">
        <v>160.86000000000001</v>
      </c>
      <c r="K357" s="562"/>
      <c r="L357" s="604">
        <v>448.8</v>
      </c>
      <c r="M357" s="603"/>
      <c r="N357" s="602"/>
      <c r="V357" s="674"/>
      <c r="W357" s="675"/>
      <c r="Z357" s="537" t="s">
        <v>475</v>
      </c>
      <c r="AC357" s="675"/>
      <c r="AD357" s="675"/>
      <c r="AF357" s="675"/>
      <c r="AG357" s="680"/>
    </row>
    <row r="358" spans="1:33" s="536" customFormat="1" ht="12" x14ac:dyDescent="0.2">
      <c r="A358" s="605"/>
      <c r="B358" s="552"/>
      <c r="C358" s="1822" t="s">
        <v>314</v>
      </c>
      <c r="D358" s="1822"/>
      <c r="E358" s="1822"/>
      <c r="F358" s="562" t="s">
        <v>315</v>
      </c>
      <c r="G358" s="562" t="s">
        <v>2170</v>
      </c>
      <c r="H358" s="562" t="s">
        <v>313</v>
      </c>
      <c r="I358" s="562" t="s">
        <v>2171</v>
      </c>
      <c r="J358" s="604"/>
      <c r="K358" s="562"/>
      <c r="L358" s="604"/>
      <c r="M358" s="603"/>
      <c r="N358" s="602"/>
      <c r="V358" s="674"/>
      <c r="W358" s="675"/>
      <c r="AA358" s="537" t="s">
        <v>314</v>
      </c>
      <c r="AC358" s="675"/>
      <c r="AD358" s="675"/>
      <c r="AF358" s="675"/>
      <c r="AG358" s="680"/>
    </row>
    <row r="359" spans="1:33" s="536" customFormat="1" ht="12" x14ac:dyDescent="0.2">
      <c r="A359" s="605"/>
      <c r="B359" s="552"/>
      <c r="C359" s="1822" t="s">
        <v>348</v>
      </c>
      <c r="D359" s="1822"/>
      <c r="E359" s="1822"/>
      <c r="F359" s="562" t="s">
        <v>315</v>
      </c>
      <c r="G359" s="562" t="s">
        <v>2172</v>
      </c>
      <c r="H359" s="562" t="s">
        <v>313</v>
      </c>
      <c r="I359" s="562" t="s">
        <v>2173</v>
      </c>
      <c r="J359" s="604"/>
      <c r="K359" s="562"/>
      <c r="L359" s="604"/>
      <c r="M359" s="603"/>
      <c r="N359" s="602"/>
      <c r="V359" s="674"/>
      <c r="W359" s="675"/>
      <c r="AA359" s="537" t="s">
        <v>348</v>
      </c>
      <c r="AC359" s="675"/>
      <c r="AD359" s="675"/>
      <c r="AF359" s="675"/>
      <c r="AG359" s="680"/>
    </row>
    <row r="360" spans="1:33" s="536" customFormat="1" ht="12" x14ac:dyDescent="0.2">
      <c r="A360" s="605"/>
      <c r="B360" s="552"/>
      <c r="C360" s="1828" t="s">
        <v>318</v>
      </c>
      <c r="D360" s="1828"/>
      <c r="E360" s="1828"/>
      <c r="F360" s="608"/>
      <c r="G360" s="608"/>
      <c r="H360" s="608"/>
      <c r="I360" s="608"/>
      <c r="J360" s="607">
        <v>290.81</v>
      </c>
      <c r="K360" s="608"/>
      <c r="L360" s="607">
        <v>902</v>
      </c>
      <c r="M360" s="601"/>
      <c r="N360" s="606"/>
      <c r="V360" s="674"/>
      <c r="W360" s="675"/>
      <c r="AB360" s="537" t="s">
        <v>318</v>
      </c>
      <c r="AC360" s="675"/>
      <c r="AD360" s="675"/>
      <c r="AF360" s="675"/>
      <c r="AG360" s="680"/>
    </row>
    <row r="361" spans="1:33" s="536" customFormat="1" ht="12" x14ac:dyDescent="0.2">
      <c r="A361" s="605"/>
      <c r="B361" s="552"/>
      <c r="C361" s="1822" t="s">
        <v>319</v>
      </c>
      <c r="D361" s="1822"/>
      <c r="E361" s="1822"/>
      <c r="F361" s="562"/>
      <c r="G361" s="562"/>
      <c r="H361" s="562"/>
      <c r="I361" s="562"/>
      <c r="J361" s="604"/>
      <c r="K361" s="562"/>
      <c r="L361" s="604">
        <v>365.7</v>
      </c>
      <c r="M361" s="603"/>
      <c r="N361" s="602"/>
      <c r="V361" s="674"/>
      <c r="W361" s="675"/>
      <c r="AA361" s="537" t="s">
        <v>319</v>
      </c>
      <c r="AC361" s="675"/>
      <c r="AD361" s="675"/>
      <c r="AF361" s="675"/>
      <c r="AG361" s="680"/>
    </row>
    <row r="362" spans="1:33" s="536" customFormat="1" ht="33.75" x14ac:dyDescent="0.2">
      <c r="A362" s="605"/>
      <c r="B362" s="552" t="s">
        <v>849</v>
      </c>
      <c r="C362" s="1822" t="s">
        <v>850</v>
      </c>
      <c r="D362" s="1822"/>
      <c r="E362" s="1822"/>
      <c r="F362" s="562" t="s">
        <v>322</v>
      </c>
      <c r="G362" s="562" t="s">
        <v>851</v>
      </c>
      <c r="H362" s="562"/>
      <c r="I362" s="562" t="s">
        <v>851</v>
      </c>
      <c r="J362" s="604"/>
      <c r="K362" s="562"/>
      <c r="L362" s="604">
        <v>394.96</v>
      </c>
      <c r="M362" s="603"/>
      <c r="N362" s="602"/>
      <c r="V362" s="674"/>
      <c r="W362" s="675"/>
      <c r="AA362" s="537" t="s">
        <v>850</v>
      </c>
      <c r="AC362" s="675"/>
      <c r="AD362" s="675"/>
      <c r="AF362" s="675"/>
      <c r="AG362" s="680"/>
    </row>
    <row r="363" spans="1:33" s="536" customFormat="1" ht="33.75" x14ac:dyDescent="0.2">
      <c r="A363" s="605"/>
      <c r="B363" s="552" t="s">
        <v>852</v>
      </c>
      <c r="C363" s="1822" t="s">
        <v>853</v>
      </c>
      <c r="D363" s="1822"/>
      <c r="E363" s="1822"/>
      <c r="F363" s="562" t="s">
        <v>322</v>
      </c>
      <c r="G363" s="562" t="s">
        <v>789</v>
      </c>
      <c r="H363" s="562"/>
      <c r="I363" s="562" t="s">
        <v>789</v>
      </c>
      <c r="J363" s="604"/>
      <c r="K363" s="562"/>
      <c r="L363" s="604">
        <v>201.14</v>
      </c>
      <c r="M363" s="603"/>
      <c r="N363" s="602"/>
      <c r="V363" s="674"/>
      <c r="W363" s="675"/>
      <c r="AA363" s="537" t="s">
        <v>853</v>
      </c>
      <c r="AC363" s="675"/>
      <c r="AD363" s="675"/>
      <c r="AF363" s="675"/>
      <c r="AG363" s="680"/>
    </row>
    <row r="364" spans="1:33" s="536" customFormat="1" ht="12" x14ac:dyDescent="0.2">
      <c r="A364" s="569"/>
      <c r="B364" s="656"/>
      <c r="C364" s="1823" t="s">
        <v>327</v>
      </c>
      <c r="D364" s="1823"/>
      <c r="E364" s="1823"/>
      <c r="F364" s="573"/>
      <c r="G364" s="573"/>
      <c r="H364" s="573"/>
      <c r="I364" s="573"/>
      <c r="J364" s="572"/>
      <c r="K364" s="573"/>
      <c r="L364" s="572">
        <v>1498.1</v>
      </c>
      <c r="M364" s="601"/>
      <c r="N364" s="570"/>
      <c r="V364" s="674"/>
      <c r="W364" s="675"/>
      <c r="AC364" s="675" t="s">
        <v>327</v>
      </c>
      <c r="AD364" s="675"/>
      <c r="AF364" s="675"/>
      <c r="AG364" s="680"/>
    </row>
    <row r="365" spans="1:33" s="536" customFormat="1" ht="33.75" x14ac:dyDescent="0.2">
      <c r="A365" s="575" t="s">
        <v>762</v>
      </c>
      <c r="B365" s="657" t="s">
        <v>2174</v>
      </c>
      <c r="C365" s="1823" t="s">
        <v>2175</v>
      </c>
      <c r="D365" s="1823"/>
      <c r="E365" s="1823"/>
      <c r="F365" s="573" t="s">
        <v>641</v>
      </c>
      <c r="G365" s="573"/>
      <c r="H365" s="573"/>
      <c r="I365" s="573" t="s">
        <v>2169</v>
      </c>
      <c r="J365" s="572">
        <v>1697.21</v>
      </c>
      <c r="K365" s="573"/>
      <c r="L365" s="572">
        <v>4735.22</v>
      </c>
      <c r="M365" s="571"/>
      <c r="N365" s="570"/>
      <c r="V365" s="674"/>
      <c r="W365" s="675" t="s">
        <v>2175</v>
      </c>
      <c r="AC365" s="675"/>
      <c r="AD365" s="675"/>
      <c r="AF365" s="675"/>
      <c r="AG365" s="680"/>
    </row>
    <row r="366" spans="1:33" s="536" customFormat="1" ht="12" x14ac:dyDescent="0.2">
      <c r="A366" s="569"/>
      <c r="B366" s="656"/>
      <c r="C366" s="661" t="s">
        <v>717</v>
      </c>
      <c r="D366" s="662"/>
      <c r="E366" s="662"/>
      <c r="F366" s="563"/>
      <c r="G366" s="563"/>
      <c r="H366" s="563"/>
      <c r="I366" s="563"/>
      <c r="J366" s="566"/>
      <c r="K366" s="563"/>
      <c r="L366" s="566"/>
      <c r="M366" s="565"/>
      <c r="N366" s="564"/>
      <c r="V366" s="674"/>
      <c r="W366" s="675"/>
      <c r="AC366" s="675"/>
      <c r="AD366" s="675"/>
      <c r="AF366" s="675"/>
      <c r="AG366" s="680"/>
    </row>
    <row r="367" spans="1:33" s="536" customFormat="1" ht="1.5" customHeight="1" x14ac:dyDescent="0.2">
      <c r="A367" s="563"/>
      <c r="B367" s="656"/>
      <c r="C367" s="656"/>
      <c r="D367" s="656"/>
      <c r="E367" s="656"/>
      <c r="F367" s="563"/>
      <c r="G367" s="563"/>
      <c r="H367" s="563"/>
      <c r="I367" s="563"/>
      <c r="J367" s="546"/>
      <c r="K367" s="563"/>
      <c r="L367" s="546"/>
      <c r="M367" s="562"/>
      <c r="N367" s="546"/>
      <c r="V367" s="674"/>
      <c r="W367" s="675"/>
      <c r="AC367" s="675"/>
      <c r="AD367" s="675"/>
      <c r="AF367" s="675"/>
      <c r="AG367" s="680"/>
    </row>
    <row r="368" spans="1:33" s="536" customFormat="1" ht="12" x14ac:dyDescent="0.2">
      <c r="A368" s="557"/>
      <c r="B368" s="556"/>
      <c r="C368" s="1823" t="s">
        <v>2176</v>
      </c>
      <c r="D368" s="1823"/>
      <c r="E368" s="1823"/>
      <c r="F368" s="1823"/>
      <c r="G368" s="1823"/>
      <c r="H368" s="1823"/>
      <c r="I368" s="1823"/>
      <c r="J368" s="1823"/>
      <c r="K368" s="1823"/>
      <c r="L368" s="555"/>
      <c r="M368" s="554"/>
      <c r="N368" s="553"/>
      <c r="V368" s="674"/>
      <c r="W368" s="675"/>
      <c r="AC368" s="675"/>
      <c r="AD368" s="675" t="s">
        <v>2176</v>
      </c>
      <c r="AF368" s="675"/>
      <c r="AG368" s="680"/>
    </row>
    <row r="369" spans="1:33" s="536" customFormat="1" ht="12" x14ac:dyDescent="0.2">
      <c r="A369" s="548"/>
      <c r="B369" s="552"/>
      <c r="C369" s="1822" t="s">
        <v>403</v>
      </c>
      <c r="D369" s="1822"/>
      <c r="E369" s="1822"/>
      <c r="F369" s="1822"/>
      <c r="G369" s="1822"/>
      <c r="H369" s="1822"/>
      <c r="I369" s="1822"/>
      <c r="J369" s="1822"/>
      <c r="K369" s="1822"/>
      <c r="L369" s="551">
        <v>5637.22</v>
      </c>
      <c r="M369" s="550"/>
      <c r="N369" s="549"/>
      <c r="V369" s="674"/>
      <c r="W369" s="675"/>
      <c r="AC369" s="675"/>
      <c r="AD369" s="675"/>
      <c r="AE369" s="537" t="s">
        <v>403</v>
      </c>
      <c r="AF369" s="675"/>
      <c r="AG369" s="680"/>
    </row>
    <row r="370" spans="1:33" s="536" customFormat="1" ht="12" x14ac:dyDescent="0.2">
      <c r="A370" s="548"/>
      <c r="B370" s="552"/>
      <c r="C370" s="1822" t="s">
        <v>204</v>
      </c>
      <c r="D370" s="1822"/>
      <c r="E370" s="1822"/>
      <c r="F370" s="1822"/>
      <c r="G370" s="1822"/>
      <c r="H370" s="1822"/>
      <c r="I370" s="1822"/>
      <c r="J370" s="1822"/>
      <c r="K370" s="1822"/>
      <c r="L370" s="551"/>
      <c r="M370" s="550"/>
      <c r="N370" s="549"/>
      <c r="V370" s="674"/>
      <c r="W370" s="675"/>
      <c r="AC370" s="675"/>
      <c r="AD370" s="675"/>
      <c r="AE370" s="537" t="s">
        <v>204</v>
      </c>
      <c r="AF370" s="675"/>
      <c r="AG370" s="680"/>
    </row>
    <row r="371" spans="1:33" s="536" customFormat="1" ht="12" x14ac:dyDescent="0.2">
      <c r="A371" s="548"/>
      <c r="B371" s="552"/>
      <c r="C371" s="1822" t="s">
        <v>404</v>
      </c>
      <c r="D371" s="1822"/>
      <c r="E371" s="1822"/>
      <c r="F371" s="1822"/>
      <c r="G371" s="1822"/>
      <c r="H371" s="1822"/>
      <c r="I371" s="1822"/>
      <c r="J371" s="1822"/>
      <c r="K371" s="1822"/>
      <c r="L371" s="551">
        <v>351.02</v>
      </c>
      <c r="M371" s="550"/>
      <c r="N371" s="549"/>
      <c r="V371" s="674"/>
      <c r="W371" s="675"/>
      <c r="AC371" s="675"/>
      <c r="AD371" s="675"/>
      <c r="AE371" s="537" t="s">
        <v>404</v>
      </c>
      <c r="AF371" s="675"/>
      <c r="AG371" s="680"/>
    </row>
    <row r="372" spans="1:33" s="536" customFormat="1" ht="12" x14ac:dyDescent="0.2">
      <c r="A372" s="548"/>
      <c r="B372" s="552"/>
      <c r="C372" s="1822" t="s">
        <v>405</v>
      </c>
      <c r="D372" s="1822"/>
      <c r="E372" s="1822"/>
      <c r="F372" s="1822"/>
      <c r="G372" s="1822"/>
      <c r="H372" s="1822"/>
      <c r="I372" s="1822"/>
      <c r="J372" s="1822"/>
      <c r="K372" s="1822"/>
      <c r="L372" s="551">
        <v>102.18</v>
      </c>
      <c r="M372" s="550"/>
      <c r="N372" s="549"/>
      <c r="V372" s="674"/>
      <c r="W372" s="675"/>
      <c r="AC372" s="675"/>
      <c r="AD372" s="675"/>
      <c r="AE372" s="537" t="s">
        <v>405</v>
      </c>
      <c r="AF372" s="675"/>
      <c r="AG372" s="680"/>
    </row>
    <row r="373" spans="1:33" s="536" customFormat="1" ht="12" x14ac:dyDescent="0.2">
      <c r="A373" s="548"/>
      <c r="B373" s="552"/>
      <c r="C373" s="1822" t="s">
        <v>406</v>
      </c>
      <c r="D373" s="1822"/>
      <c r="E373" s="1822"/>
      <c r="F373" s="1822"/>
      <c r="G373" s="1822"/>
      <c r="H373" s="1822"/>
      <c r="I373" s="1822"/>
      <c r="J373" s="1822"/>
      <c r="K373" s="1822"/>
      <c r="L373" s="551">
        <v>14.68</v>
      </c>
      <c r="M373" s="550"/>
      <c r="N373" s="549"/>
      <c r="V373" s="674"/>
      <c r="W373" s="675"/>
      <c r="AC373" s="675"/>
      <c r="AD373" s="675"/>
      <c r="AE373" s="537" t="s">
        <v>406</v>
      </c>
      <c r="AF373" s="675"/>
      <c r="AG373" s="680"/>
    </row>
    <row r="374" spans="1:33" s="536" customFormat="1" ht="12" x14ac:dyDescent="0.2">
      <c r="A374" s="548"/>
      <c r="B374" s="552"/>
      <c r="C374" s="1822" t="s">
        <v>480</v>
      </c>
      <c r="D374" s="1822"/>
      <c r="E374" s="1822"/>
      <c r="F374" s="1822"/>
      <c r="G374" s="1822"/>
      <c r="H374" s="1822"/>
      <c r="I374" s="1822"/>
      <c r="J374" s="1822"/>
      <c r="K374" s="1822"/>
      <c r="L374" s="551">
        <v>5184.0200000000004</v>
      </c>
      <c r="M374" s="550"/>
      <c r="N374" s="549"/>
      <c r="V374" s="674"/>
      <c r="W374" s="675"/>
      <c r="AC374" s="675"/>
      <c r="AD374" s="675"/>
      <c r="AE374" s="537" t="s">
        <v>480</v>
      </c>
      <c r="AF374" s="675"/>
      <c r="AG374" s="680"/>
    </row>
    <row r="375" spans="1:33" s="536" customFormat="1" ht="12" x14ac:dyDescent="0.2">
      <c r="A375" s="548"/>
      <c r="B375" s="552"/>
      <c r="C375" s="1822" t="s">
        <v>407</v>
      </c>
      <c r="D375" s="1822"/>
      <c r="E375" s="1822"/>
      <c r="F375" s="1822"/>
      <c r="G375" s="1822"/>
      <c r="H375" s="1822"/>
      <c r="I375" s="1822"/>
      <c r="J375" s="1822"/>
      <c r="K375" s="1822"/>
      <c r="L375" s="551">
        <v>6233.32</v>
      </c>
      <c r="M375" s="550"/>
      <c r="N375" s="549"/>
      <c r="V375" s="674"/>
      <c r="W375" s="675"/>
      <c r="AC375" s="675"/>
      <c r="AD375" s="675"/>
      <c r="AE375" s="537" t="s">
        <v>407</v>
      </c>
      <c r="AF375" s="675"/>
      <c r="AG375" s="680"/>
    </row>
    <row r="376" spans="1:33" s="536" customFormat="1" ht="12" x14ac:dyDescent="0.2">
      <c r="A376" s="548"/>
      <c r="B376" s="552"/>
      <c r="C376" s="1822" t="s">
        <v>204</v>
      </c>
      <c r="D376" s="1822"/>
      <c r="E376" s="1822"/>
      <c r="F376" s="1822"/>
      <c r="G376" s="1822"/>
      <c r="H376" s="1822"/>
      <c r="I376" s="1822"/>
      <c r="J376" s="1822"/>
      <c r="K376" s="1822"/>
      <c r="L376" s="551"/>
      <c r="M376" s="550"/>
      <c r="N376" s="549"/>
      <c r="V376" s="674"/>
      <c r="W376" s="675"/>
      <c r="AC376" s="675"/>
      <c r="AD376" s="675"/>
      <c r="AE376" s="537" t="s">
        <v>204</v>
      </c>
      <c r="AF376" s="675"/>
      <c r="AG376" s="680"/>
    </row>
    <row r="377" spans="1:33" s="536" customFormat="1" ht="12" x14ac:dyDescent="0.2">
      <c r="A377" s="548"/>
      <c r="B377" s="552"/>
      <c r="C377" s="1822" t="s">
        <v>546</v>
      </c>
      <c r="D377" s="1822"/>
      <c r="E377" s="1822"/>
      <c r="F377" s="1822"/>
      <c r="G377" s="1822"/>
      <c r="H377" s="1822"/>
      <c r="I377" s="1822"/>
      <c r="J377" s="1822"/>
      <c r="K377" s="1822"/>
      <c r="L377" s="551">
        <v>351.02</v>
      </c>
      <c r="M377" s="550"/>
      <c r="N377" s="549"/>
      <c r="V377" s="674"/>
      <c r="W377" s="675"/>
      <c r="AC377" s="675"/>
      <c r="AD377" s="675"/>
      <c r="AE377" s="537" t="s">
        <v>546</v>
      </c>
      <c r="AF377" s="675"/>
      <c r="AG377" s="680"/>
    </row>
    <row r="378" spans="1:33" s="536" customFormat="1" ht="12" x14ac:dyDescent="0.2">
      <c r="A378" s="548"/>
      <c r="B378" s="552"/>
      <c r="C378" s="1822" t="s">
        <v>442</v>
      </c>
      <c r="D378" s="1822"/>
      <c r="E378" s="1822"/>
      <c r="F378" s="1822"/>
      <c r="G378" s="1822"/>
      <c r="H378" s="1822"/>
      <c r="I378" s="1822"/>
      <c r="J378" s="1822"/>
      <c r="K378" s="1822"/>
      <c r="L378" s="551">
        <v>102.18</v>
      </c>
      <c r="M378" s="550"/>
      <c r="N378" s="549"/>
      <c r="V378" s="674"/>
      <c r="W378" s="675"/>
      <c r="AC378" s="675"/>
      <c r="AD378" s="675"/>
      <c r="AE378" s="537" t="s">
        <v>442</v>
      </c>
      <c r="AF378" s="675"/>
      <c r="AG378" s="680"/>
    </row>
    <row r="379" spans="1:33" s="536" customFormat="1" ht="12" x14ac:dyDescent="0.2">
      <c r="A379" s="548"/>
      <c r="B379" s="552"/>
      <c r="C379" s="1822" t="s">
        <v>547</v>
      </c>
      <c r="D379" s="1822"/>
      <c r="E379" s="1822"/>
      <c r="F379" s="1822"/>
      <c r="G379" s="1822"/>
      <c r="H379" s="1822"/>
      <c r="I379" s="1822"/>
      <c r="J379" s="1822"/>
      <c r="K379" s="1822"/>
      <c r="L379" s="551">
        <v>5184.0200000000004</v>
      </c>
      <c r="M379" s="550"/>
      <c r="N379" s="549"/>
      <c r="V379" s="674"/>
      <c r="W379" s="675"/>
      <c r="AC379" s="675"/>
      <c r="AD379" s="675"/>
      <c r="AE379" s="537" t="s">
        <v>547</v>
      </c>
      <c r="AF379" s="675"/>
      <c r="AG379" s="680"/>
    </row>
    <row r="380" spans="1:33" s="536" customFormat="1" ht="12" x14ac:dyDescent="0.2">
      <c r="A380" s="548"/>
      <c r="B380" s="552"/>
      <c r="C380" s="1822" t="s">
        <v>443</v>
      </c>
      <c r="D380" s="1822"/>
      <c r="E380" s="1822"/>
      <c r="F380" s="1822"/>
      <c r="G380" s="1822"/>
      <c r="H380" s="1822"/>
      <c r="I380" s="1822"/>
      <c r="J380" s="1822"/>
      <c r="K380" s="1822"/>
      <c r="L380" s="551">
        <v>394.96</v>
      </c>
      <c r="M380" s="550"/>
      <c r="N380" s="549"/>
      <c r="V380" s="674"/>
      <c r="W380" s="675"/>
      <c r="AC380" s="675"/>
      <c r="AD380" s="675"/>
      <c r="AE380" s="537" t="s">
        <v>443</v>
      </c>
      <c r="AF380" s="675"/>
      <c r="AG380" s="680"/>
    </row>
    <row r="381" spans="1:33" s="536" customFormat="1" ht="12" x14ac:dyDescent="0.2">
      <c r="A381" s="548"/>
      <c r="B381" s="552"/>
      <c r="C381" s="1822" t="s">
        <v>444</v>
      </c>
      <c r="D381" s="1822"/>
      <c r="E381" s="1822"/>
      <c r="F381" s="1822"/>
      <c r="G381" s="1822"/>
      <c r="H381" s="1822"/>
      <c r="I381" s="1822"/>
      <c r="J381" s="1822"/>
      <c r="K381" s="1822"/>
      <c r="L381" s="551">
        <v>201.14</v>
      </c>
      <c r="M381" s="550"/>
      <c r="N381" s="549"/>
      <c r="V381" s="674"/>
      <c r="W381" s="675"/>
      <c r="AC381" s="675"/>
      <c r="AD381" s="675"/>
      <c r="AE381" s="537" t="s">
        <v>444</v>
      </c>
      <c r="AF381" s="675"/>
      <c r="AG381" s="680"/>
    </row>
    <row r="382" spans="1:33" s="536" customFormat="1" ht="12" x14ac:dyDescent="0.2">
      <c r="A382" s="548"/>
      <c r="B382" s="552"/>
      <c r="C382" s="1822" t="s">
        <v>415</v>
      </c>
      <c r="D382" s="1822"/>
      <c r="E382" s="1822"/>
      <c r="F382" s="1822"/>
      <c r="G382" s="1822"/>
      <c r="H382" s="1822"/>
      <c r="I382" s="1822"/>
      <c r="J382" s="1822"/>
      <c r="K382" s="1822"/>
      <c r="L382" s="551">
        <v>365.7</v>
      </c>
      <c r="M382" s="550"/>
      <c r="N382" s="549"/>
      <c r="V382" s="674"/>
      <c r="W382" s="675"/>
      <c r="AC382" s="675"/>
      <c r="AD382" s="675"/>
      <c r="AE382" s="537" t="s">
        <v>415</v>
      </c>
      <c r="AF382" s="675"/>
      <c r="AG382" s="680"/>
    </row>
    <row r="383" spans="1:33" s="536" customFormat="1" ht="12" x14ac:dyDescent="0.2">
      <c r="A383" s="548"/>
      <c r="B383" s="552"/>
      <c r="C383" s="1822" t="s">
        <v>416</v>
      </c>
      <c r="D383" s="1822"/>
      <c r="E383" s="1822"/>
      <c r="F383" s="1822"/>
      <c r="G383" s="1822"/>
      <c r="H383" s="1822"/>
      <c r="I383" s="1822"/>
      <c r="J383" s="1822"/>
      <c r="K383" s="1822"/>
      <c r="L383" s="551">
        <v>394.96</v>
      </c>
      <c r="M383" s="550"/>
      <c r="N383" s="549"/>
      <c r="V383" s="674"/>
      <c r="W383" s="675"/>
      <c r="AC383" s="675"/>
      <c r="AD383" s="675"/>
      <c r="AE383" s="537" t="s">
        <v>416</v>
      </c>
      <c r="AF383" s="675"/>
      <c r="AG383" s="680"/>
    </row>
    <row r="384" spans="1:33" s="536" customFormat="1" ht="12" x14ac:dyDescent="0.2">
      <c r="A384" s="548"/>
      <c r="B384" s="552"/>
      <c r="C384" s="1822" t="s">
        <v>417</v>
      </c>
      <c r="D384" s="1822"/>
      <c r="E384" s="1822"/>
      <c r="F384" s="1822"/>
      <c r="G384" s="1822"/>
      <c r="H384" s="1822"/>
      <c r="I384" s="1822"/>
      <c r="J384" s="1822"/>
      <c r="K384" s="1822"/>
      <c r="L384" s="551">
        <v>201.14</v>
      </c>
      <c r="M384" s="550"/>
      <c r="N384" s="549"/>
      <c r="V384" s="674"/>
      <c r="W384" s="675"/>
      <c r="AC384" s="675"/>
      <c r="AD384" s="675"/>
      <c r="AE384" s="537" t="s">
        <v>417</v>
      </c>
      <c r="AF384" s="675"/>
      <c r="AG384" s="680"/>
    </row>
    <row r="385" spans="1:33" s="536" customFormat="1" ht="12" x14ac:dyDescent="0.2">
      <c r="A385" s="548"/>
      <c r="B385" s="546"/>
      <c r="C385" s="1819" t="s">
        <v>2177</v>
      </c>
      <c r="D385" s="1819"/>
      <c r="E385" s="1819"/>
      <c r="F385" s="1819"/>
      <c r="G385" s="1819"/>
      <c r="H385" s="1819"/>
      <c r="I385" s="1819"/>
      <c r="J385" s="1819"/>
      <c r="K385" s="1819"/>
      <c r="L385" s="544">
        <v>6233.32</v>
      </c>
      <c r="M385" s="543"/>
      <c r="N385" s="681"/>
      <c r="V385" s="674"/>
      <c r="W385" s="675"/>
      <c r="AC385" s="675"/>
      <c r="AD385" s="675"/>
      <c r="AF385" s="675" t="s">
        <v>2177</v>
      </c>
      <c r="AG385" s="680"/>
    </row>
    <row r="386" spans="1:33" s="536" customFormat="1" ht="12" x14ac:dyDescent="0.2">
      <c r="A386" s="1824" t="s">
        <v>2178</v>
      </c>
      <c r="B386" s="1825"/>
      <c r="C386" s="1825"/>
      <c r="D386" s="1825"/>
      <c r="E386" s="1825"/>
      <c r="F386" s="1825"/>
      <c r="G386" s="1825"/>
      <c r="H386" s="1825"/>
      <c r="I386" s="1825"/>
      <c r="J386" s="1825"/>
      <c r="K386" s="1825"/>
      <c r="L386" s="1825"/>
      <c r="M386" s="1825"/>
      <c r="N386" s="1826"/>
      <c r="V386" s="674" t="s">
        <v>2178</v>
      </c>
      <c r="W386" s="675"/>
      <c r="AC386" s="675"/>
      <c r="AD386" s="675"/>
      <c r="AF386" s="675"/>
      <c r="AG386" s="680"/>
    </row>
    <row r="387" spans="1:33" s="536" customFormat="1" ht="78.75" x14ac:dyDescent="0.2">
      <c r="A387" s="575" t="s">
        <v>763</v>
      </c>
      <c r="B387" s="657" t="s">
        <v>1135</v>
      </c>
      <c r="C387" s="1823" t="s">
        <v>2179</v>
      </c>
      <c r="D387" s="1823"/>
      <c r="E387" s="1823"/>
      <c r="F387" s="573" t="s">
        <v>201</v>
      </c>
      <c r="G387" s="573"/>
      <c r="H387" s="573"/>
      <c r="I387" s="573" t="s">
        <v>2180</v>
      </c>
      <c r="J387" s="572">
        <v>76.88</v>
      </c>
      <c r="K387" s="573"/>
      <c r="L387" s="572">
        <v>2800.2</v>
      </c>
      <c r="M387" s="571"/>
      <c r="N387" s="570"/>
      <c r="V387" s="674"/>
      <c r="W387" s="675" t="s">
        <v>2179</v>
      </c>
      <c r="AC387" s="675"/>
      <c r="AD387" s="675"/>
      <c r="AF387" s="675"/>
      <c r="AG387" s="680"/>
    </row>
    <row r="388" spans="1:33" s="536" customFormat="1" ht="12" x14ac:dyDescent="0.2">
      <c r="A388" s="569"/>
      <c r="B388" s="656"/>
      <c r="C388" s="661" t="s">
        <v>717</v>
      </c>
      <c r="D388" s="662"/>
      <c r="E388" s="662"/>
      <c r="F388" s="563"/>
      <c r="G388" s="563"/>
      <c r="H388" s="563"/>
      <c r="I388" s="563"/>
      <c r="J388" s="566"/>
      <c r="K388" s="563"/>
      <c r="L388" s="566"/>
      <c r="M388" s="565"/>
      <c r="N388" s="564"/>
      <c r="V388" s="674"/>
      <c r="W388" s="675"/>
      <c r="AC388" s="675"/>
      <c r="AD388" s="675"/>
      <c r="AF388" s="675"/>
      <c r="AG388" s="680"/>
    </row>
    <row r="389" spans="1:33" s="536" customFormat="1" ht="12" x14ac:dyDescent="0.2">
      <c r="A389" s="676"/>
      <c r="B389" s="655"/>
      <c r="C389" s="1822" t="s">
        <v>2181</v>
      </c>
      <c r="D389" s="1822"/>
      <c r="E389" s="1822"/>
      <c r="F389" s="1822"/>
      <c r="G389" s="1822"/>
      <c r="H389" s="1822"/>
      <c r="I389" s="1822"/>
      <c r="J389" s="1822"/>
      <c r="K389" s="1822"/>
      <c r="L389" s="1822"/>
      <c r="M389" s="1822"/>
      <c r="N389" s="1827"/>
      <c r="V389" s="674"/>
      <c r="W389" s="675"/>
      <c r="X389" s="537" t="s">
        <v>2181</v>
      </c>
      <c r="AC389" s="675"/>
      <c r="AD389" s="675"/>
      <c r="AF389" s="675"/>
      <c r="AG389" s="680"/>
    </row>
    <row r="390" spans="1:33" s="536" customFormat="1" ht="78.75" x14ac:dyDescent="0.2">
      <c r="A390" s="575" t="s">
        <v>922</v>
      </c>
      <c r="B390" s="657" t="s">
        <v>1338</v>
      </c>
      <c r="C390" s="1823" t="s">
        <v>2182</v>
      </c>
      <c r="D390" s="1823"/>
      <c r="E390" s="1823"/>
      <c r="F390" s="573" t="s">
        <v>201</v>
      </c>
      <c r="G390" s="573"/>
      <c r="H390" s="573"/>
      <c r="I390" s="573" t="s">
        <v>2183</v>
      </c>
      <c r="J390" s="572">
        <v>90.45</v>
      </c>
      <c r="K390" s="573"/>
      <c r="L390" s="572">
        <v>220.52</v>
      </c>
      <c r="M390" s="571"/>
      <c r="N390" s="570"/>
      <c r="V390" s="674"/>
      <c r="W390" s="675" t="s">
        <v>2182</v>
      </c>
      <c r="AC390" s="675"/>
      <c r="AD390" s="675"/>
      <c r="AF390" s="675"/>
      <c r="AG390" s="680"/>
    </row>
    <row r="391" spans="1:33" s="536" customFormat="1" ht="12" x14ac:dyDescent="0.2">
      <c r="A391" s="569"/>
      <c r="B391" s="656"/>
      <c r="C391" s="661" t="s">
        <v>717</v>
      </c>
      <c r="D391" s="662"/>
      <c r="E391" s="662"/>
      <c r="F391" s="563"/>
      <c r="G391" s="563"/>
      <c r="H391" s="563"/>
      <c r="I391" s="563"/>
      <c r="J391" s="566"/>
      <c r="K391" s="563"/>
      <c r="L391" s="566"/>
      <c r="M391" s="565"/>
      <c r="N391" s="564"/>
      <c r="V391" s="674"/>
      <c r="W391" s="675"/>
      <c r="AC391" s="675"/>
      <c r="AD391" s="675"/>
      <c r="AF391" s="675"/>
      <c r="AG391" s="680"/>
    </row>
    <row r="392" spans="1:33" s="536" customFormat="1" ht="12" x14ac:dyDescent="0.2">
      <c r="A392" s="676"/>
      <c r="B392" s="655"/>
      <c r="C392" s="1822" t="s">
        <v>2184</v>
      </c>
      <c r="D392" s="1822"/>
      <c r="E392" s="1822"/>
      <c r="F392" s="1822"/>
      <c r="G392" s="1822"/>
      <c r="H392" s="1822"/>
      <c r="I392" s="1822"/>
      <c r="J392" s="1822"/>
      <c r="K392" s="1822"/>
      <c r="L392" s="1822"/>
      <c r="M392" s="1822"/>
      <c r="N392" s="1827"/>
      <c r="V392" s="674"/>
      <c r="W392" s="675"/>
      <c r="X392" s="537" t="s">
        <v>2184</v>
      </c>
      <c r="AC392" s="675"/>
      <c r="AD392" s="675"/>
      <c r="AF392" s="675"/>
      <c r="AG392" s="680"/>
    </row>
    <row r="393" spans="1:33" s="536" customFormat="1" ht="67.5" x14ac:dyDescent="0.2">
      <c r="A393" s="575" t="s">
        <v>765</v>
      </c>
      <c r="B393" s="657" t="s">
        <v>1503</v>
      </c>
      <c r="C393" s="1823" t="s">
        <v>1504</v>
      </c>
      <c r="D393" s="1823"/>
      <c r="E393" s="1823"/>
      <c r="F393" s="573" t="s">
        <v>201</v>
      </c>
      <c r="G393" s="573"/>
      <c r="H393" s="573"/>
      <c r="I393" s="573" t="s">
        <v>1200</v>
      </c>
      <c r="J393" s="572">
        <v>127.09</v>
      </c>
      <c r="K393" s="573"/>
      <c r="L393" s="572">
        <v>22.88</v>
      </c>
      <c r="M393" s="571"/>
      <c r="N393" s="570"/>
      <c r="V393" s="674"/>
      <c r="W393" s="675" t="s">
        <v>1504</v>
      </c>
      <c r="AC393" s="675"/>
      <c r="AD393" s="675"/>
      <c r="AF393" s="675"/>
      <c r="AG393" s="680"/>
    </row>
    <row r="394" spans="1:33" s="536" customFormat="1" ht="12" x14ac:dyDescent="0.2">
      <c r="A394" s="569"/>
      <c r="B394" s="656"/>
      <c r="C394" s="661" t="s">
        <v>717</v>
      </c>
      <c r="D394" s="662"/>
      <c r="E394" s="662"/>
      <c r="F394" s="563"/>
      <c r="G394" s="563"/>
      <c r="H394" s="563"/>
      <c r="I394" s="563"/>
      <c r="J394" s="566"/>
      <c r="K394" s="563"/>
      <c r="L394" s="566"/>
      <c r="M394" s="565"/>
      <c r="N394" s="564"/>
      <c r="V394" s="674"/>
      <c r="W394" s="675"/>
      <c r="AC394" s="675"/>
      <c r="AD394" s="675"/>
      <c r="AF394" s="675"/>
      <c r="AG394" s="680"/>
    </row>
    <row r="395" spans="1:33" s="536" customFormat="1" ht="1.5" customHeight="1" x14ac:dyDescent="0.2">
      <c r="A395" s="563"/>
      <c r="B395" s="656"/>
      <c r="C395" s="656"/>
      <c r="D395" s="656"/>
      <c r="E395" s="656"/>
      <c r="F395" s="563"/>
      <c r="G395" s="563"/>
      <c r="H395" s="563"/>
      <c r="I395" s="563"/>
      <c r="J395" s="546"/>
      <c r="K395" s="563"/>
      <c r="L395" s="546"/>
      <c r="M395" s="562"/>
      <c r="N395" s="546"/>
      <c r="V395" s="674"/>
      <c r="W395" s="675"/>
      <c r="AC395" s="675"/>
      <c r="AD395" s="675"/>
      <c r="AF395" s="675"/>
      <c r="AG395" s="680"/>
    </row>
    <row r="396" spans="1:33" s="536" customFormat="1" ht="22.5" x14ac:dyDescent="0.2">
      <c r="A396" s="557"/>
      <c r="B396" s="556"/>
      <c r="C396" s="1823" t="s">
        <v>2185</v>
      </c>
      <c r="D396" s="1823"/>
      <c r="E396" s="1823"/>
      <c r="F396" s="1823"/>
      <c r="G396" s="1823"/>
      <c r="H396" s="1823"/>
      <c r="I396" s="1823"/>
      <c r="J396" s="1823"/>
      <c r="K396" s="1823"/>
      <c r="L396" s="555"/>
      <c r="M396" s="554"/>
      <c r="N396" s="553"/>
      <c r="V396" s="674"/>
      <c r="W396" s="675"/>
      <c r="AC396" s="675"/>
      <c r="AD396" s="675" t="s">
        <v>2185</v>
      </c>
      <c r="AF396" s="675"/>
      <c r="AG396" s="680"/>
    </row>
    <row r="397" spans="1:33" s="536" customFormat="1" ht="12" x14ac:dyDescent="0.2">
      <c r="A397" s="548"/>
      <c r="B397" s="552"/>
      <c r="C397" s="1822" t="s">
        <v>403</v>
      </c>
      <c r="D397" s="1822"/>
      <c r="E397" s="1822"/>
      <c r="F397" s="1822"/>
      <c r="G397" s="1822"/>
      <c r="H397" s="1822"/>
      <c r="I397" s="1822"/>
      <c r="J397" s="1822"/>
      <c r="K397" s="1822"/>
      <c r="L397" s="551">
        <v>3043.6</v>
      </c>
      <c r="M397" s="550"/>
      <c r="N397" s="549"/>
      <c r="V397" s="674"/>
      <c r="W397" s="675"/>
      <c r="AC397" s="675"/>
      <c r="AD397" s="675"/>
      <c r="AE397" s="537" t="s">
        <v>403</v>
      </c>
      <c r="AF397" s="675"/>
      <c r="AG397" s="680"/>
    </row>
    <row r="398" spans="1:33" s="536" customFormat="1" ht="12" x14ac:dyDescent="0.2">
      <c r="A398" s="548"/>
      <c r="B398" s="552"/>
      <c r="C398" s="1822" t="s">
        <v>204</v>
      </c>
      <c r="D398" s="1822"/>
      <c r="E398" s="1822"/>
      <c r="F398" s="1822"/>
      <c r="G398" s="1822"/>
      <c r="H398" s="1822"/>
      <c r="I398" s="1822"/>
      <c r="J398" s="1822"/>
      <c r="K398" s="1822"/>
      <c r="L398" s="551"/>
      <c r="M398" s="550"/>
      <c r="N398" s="549"/>
      <c r="V398" s="674"/>
      <c r="W398" s="675"/>
      <c r="AC398" s="675"/>
      <c r="AD398" s="675"/>
      <c r="AE398" s="537" t="s">
        <v>204</v>
      </c>
      <c r="AF398" s="675"/>
      <c r="AG398" s="680"/>
    </row>
    <row r="399" spans="1:33" s="536" customFormat="1" ht="12" x14ac:dyDescent="0.2">
      <c r="A399" s="548"/>
      <c r="B399" s="552"/>
      <c r="C399" s="1822" t="s">
        <v>480</v>
      </c>
      <c r="D399" s="1822"/>
      <c r="E399" s="1822"/>
      <c r="F399" s="1822"/>
      <c r="G399" s="1822"/>
      <c r="H399" s="1822"/>
      <c r="I399" s="1822"/>
      <c r="J399" s="1822"/>
      <c r="K399" s="1822"/>
      <c r="L399" s="551">
        <v>3043.6</v>
      </c>
      <c r="M399" s="550"/>
      <c r="N399" s="549"/>
      <c r="V399" s="674"/>
      <c r="W399" s="675"/>
      <c r="AC399" s="675"/>
      <c r="AD399" s="675"/>
      <c r="AE399" s="537" t="s">
        <v>480</v>
      </c>
      <c r="AF399" s="675"/>
      <c r="AG399" s="680"/>
    </row>
    <row r="400" spans="1:33" s="536" customFormat="1" ht="12" x14ac:dyDescent="0.2">
      <c r="A400" s="548"/>
      <c r="B400" s="552"/>
      <c r="C400" s="1822" t="s">
        <v>407</v>
      </c>
      <c r="D400" s="1822"/>
      <c r="E400" s="1822"/>
      <c r="F400" s="1822"/>
      <c r="G400" s="1822"/>
      <c r="H400" s="1822"/>
      <c r="I400" s="1822"/>
      <c r="J400" s="1822"/>
      <c r="K400" s="1822"/>
      <c r="L400" s="551">
        <v>3043.6</v>
      </c>
      <c r="M400" s="550"/>
      <c r="N400" s="549"/>
      <c r="V400" s="674"/>
      <c r="W400" s="675"/>
      <c r="AC400" s="675"/>
      <c r="AD400" s="675"/>
      <c r="AE400" s="537" t="s">
        <v>407</v>
      </c>
      <c r="AF400" s="675"/>
      <c r="AG400" s="680"/>
    </row>
    <row r="401" spans="1:36" s="536" customFormat="1" ht="12" x14ac:dyDescent="0.2">
      <c r="A401" s="548"/>
      <c r="B401" s="552"/>
      <c r="C401" s="1822" t="s">
        <v>204</v>
      </c>
      <c r="D401" s="1822"/>
      <c r="E401" s="1822"/>
      <c r="F401" s="1822"/>
      <c r="G401" s="1822"/>
      <c r="H401" s="1822"/>
      <c r="I401" s="1822"/>
      <c r="J401" s="1822"/>
      <c r="K401" s="1822"/>
      <c r="L401" s="551"/>
      <c r="M401" s="550"/>
      <c r="N401" s="549"/>
      <c r="V401" s="674"/>
      <c r="W401" s="675"/>
      <c r="AC401" s="675"/>
      <c r="AD401" s="675"/>
      <c r="AE401" s="537" t="s">
        <v>204</v>
      </c>
      <c r="AF401" s="675"/>
      <c r="AG401" s="680"/>
    </row>
    <row r="402" spans="1:36" s="536" customFormat="1" ht="12" x14ac:dyDescent="0.2">
      <c r="A402" s="548"/>
      <c r="B402" s="552"/>
      <c r="C402" s="1822" t="s">
        <v>547</v>
      </c>
      <c r="D402" s="1822"/>
      <c r="E402" s="1822"/>
      <c r="F402" s="1822"/>
      <c r="G402" s="1822"/>
      <c r="H402" s="1822"/>
      <c r="I402" s="1822"/>
      <c r="J402" s="1822"/>
      <c r="K402" s="1822"/>
      <c r="L402" s="551">
        <v>3043.6</v>
      </c>
      <c r="M402" s="550"/>
      <c r="N402" s="549"/>
      <c r="V402" s="674"/>
      <c r="W402" s="675"/>
      <c r="AC402" s="675"/>
      <c r="AD402" s="675"/>
      <c r="AE402" s="537" t="s">
        <v>547</v>
      </c>
      <c r="AF402" s="675"/>
      <c r="AG402" s="680"/>
    </row>
    <row r="403" spans="1:36" s="536" customFormat="1" ht="22.5" x14ac:dyDescent="0.2">
      <c r="A403" s="548"/>
      <c r="B403" s="546"/>
      <c r="C403" s="1819" t="s">
        <v>2186</v>
      </c>
      <c r="D403" s="1819"/>
      <c r="E403" s="1819"/>
      <c r="F403" s="1819"/>
      <c r="G403" s="1819"/>
      <c r="H403" s="1819"/>
      <c r="I403" s="1819"/>
      <c r="J403" s="1819"/>
      <c r="K403" s="1819"/>
      <c r="L403" s="544">
        <v>3043.6</v>
      </c>
      <c r="M403" s="543"/>
      <c r="N403" s="681"/>
      <c r="V403" s="674"/>
      <c r="W403" s="675"/>
      <c r="AC403" s="675"/>
      <c r="AD403" s="675"/>
      <c r="AF403" s="675" t="s">
        <v>2186</v>
      </c>
      <c r="AG403" s="680"/>
    </row>
    <row r="404" spans="1:36" s="536" customFormat="1" ht="2.25" customHeight="1" x14ac:dyDescent="0.2">
      <c r="B404" s="561"/>
      <c r="C404" s="561"/>
      <c r="D404" s="561"/>
      <c r="E404" s="561"/>
      <c r="F404" s="561"/>
      <c r="G404" s="561"/>
      <c r="H404" s="561"/>
      <c r="I404" s="561"/>
      <c r="J404" s="561"/>
      <c r="K404" s="561"/>
      <c r="L404" s="560"/>
      <c r="M404" s="559"/>
      <c r="N404" s="558"/>
    </row>
    <row r="405" spans="1:36" s="536" customFormat="1" x14ac:dyDescent="0.2">
      <c r="A405" s="557"/>
      <c r="B405" s="556"/>
      <c r="C405" s="1823" t="s">
        <v>205</v>
      </c>
      <c r="D405" s="1823"/>
      <c r="E405" s="1823"/>
      <c r="F405" s="1823"/>
      <c r="G405" s="1823"/>
      <c r="H405" s="1823"/>
      <c r="I405" s="1823"/>
      <c r="J405" s="1823"/>
      <c r="K405" s="1823"/>
      <c r="L405" s="555"/>
      <c r="M405" s="554"/>
      <c r="N405" s="553"/>
      <c r="AI405" s="675" t="s">
        <v>205</v>
      </c>
    </row>
    <row r="406" spans="1:36" s="536" customFormat="1" x14ac:dyDescent="0.2">
      <c r="A406" s="548"/>
      <c r="B406" s="552"/>
      <c r="C406" s="1822" t="s">
        <v>403</v>
      </c>
      <c r="D406" s="1822"/>
      <c r="E406" s="1822"/>
      <c r="F406" s="1822"/>
      <c r="G406" s="1822"/>
      <c r="H406" s="1822"/>
      <c r="I406" s="1822"/>
      <c r="J406" s="1822"/>
      <c r="K406" s="1822"/>
      <c r="L406" s="551">
        <v>391467.16</v>
      </c>
      <c r="M406" s="550"/>
      <c r="N406" s="549"/>
      <c r="AI406" s="675"/>
      <c r="AJ406" s="537" t="s">
        <v>403</v>
      </c>
    </row>
    <row r="407" spans="1:36" s="536" customFormat="1" x14ac:dyDescent="0.2">
      <c r="A407" s="548"/>
      <c r="B407" s="552"/>
      <c r="C407" s="1822" t="s">
        <v>204</v>
      </c>
      <c r="D407" s="1822"/>
      <c r="E407" s="1822"/>
      <c r="F407" s="1822"/>
      <c r="G407" s="1822"/>
      <c r="H407" s="1822"/>
      <c r="I407" s="1822"/>
      <c r="J407" s="1822"/>
      <c r="K407" s="1822"/>
      <c r="L407" s="551"/>
      <c r="M407" s="550"/>
      <c r="N407" s="549"/>
      <c r="AI407" s="675"/>
      <c r="AJ407" s="537" t="s">
        <v>204</v>
      </c>
    </row>
    <row r="408" spans="1:36" s="536" customFormat="1" x14ac:dyDescent="0.2">
      <c r="A408" s="548"/>
      <c r="B408" s="552"/>
      <c r="C408" s="1822" t="s">
        <v>404</v>
      </c>
      <c r="D408" s="1822"/>
      <c r="E408" s="1822"/>
      <c r="F408" s="1822"/>
      <c r="G408" s="1822"/>
      <c r="H408" s="1822"/>
      <c r="I408" s="1822"/>
      <c r="J408" s="1822"/>
      <c r="K408" s="1822"/>
      <c r="L408" s="551">
        <v>10031.84</v>
      </c>
      <c r="M408" s="550"/>
      <c r="N408" s="549"/>
      <c r="AI408" s="675"/>
      <c r="AJ408" s="537" t="s">
        <v>404</v>
      </c>
    </row>
    <row r="409" spans="1:36" s="536" customFormat="1" x14ac:dyDescent="0.2">
      <c r="A409" s="548"/>
      <c r="B409" s="552"/>
      <c r="C409" s="1822" t="s">
        <v>405</v>
      </c>
      <c r="D409" s="1822"/>
      <c r="E409" s="1822"/>
      <c r="F409" s="1822"/>
      <c r="G409" s="1822"/>
      <c r="H409" s="1822"/>
      <c r="I409" s="1822"/>
      <c r="J409" s="1822"/>
      <c r="K409" s="1822"/>
      <c r="L409" s="551">
        <v>22934.02</v>
      </c>
      <c r="M409" s="550"/>
      <c r="N409" s="549"/>
      <c r="AI409" s="675"/>
      <c r="AJ409" s="537" t="s">
        <v>405</v>
      </c>
    </row>
    <row r="410" spans="1:36" s="536" customFormat="1" x14ac:dyDescent="0.2">
      <c r="A410" s="548"/>
      <c r="B410" s="552"/>
      <c r="C410" s="1822" t="s">
        <v>406</v>
      </c>
      <c r="D410" s="1822"/>
      <c r="E410" s="1822"/>
      <c r="F410" s="1822"/>
      <c r="G410" s="1822"/>
      <c r="H410" s="1822"/>
      <c r="I410" s="1822"/>
      <c r="J410" s="1822"/>
      <c r="K410" s="1822"/>
      <c r="L410" s="551">
        <v>2269.9899999999998</v>
      </c>
      <c r="M410" s="550"/>
      <c r="N410" s="549"/>
      <c r="AI410" s="675"/>
      <c r="AJ410" s="537" t="s">
        <v>406</v>
      </c>
    </row>
    <row r="411" spans="1:36" s="536" customFormat="1" x14ac:dyDescent="0.2">
      <c r="A411" s="548"/>
      <c r="B411" s="552"/>
      <c r="C411" s="1822" t="s">
        <v>480</v>
      </c>
      <c r="D411" s="1822"/>
      <c r="E411" s="1822"/>
      <c r="F411" s="1822"/>
      <c r="G411" s="1822"/>
      <c r="H411" s="1822"/>
      <c r="I411" s="1822"/>
      <c r="J411" s="1822"/>
      <c r="K411" s="1822"/>
      <c r="L411" s="551">
        <v>358501.3</v>
      </c>
      <c r="M411" s="550"/>
      <c r="N411" s="549"/>
      <c r="AI411" s="675"/>
      <c r="AJ411" s="537" t="s">
        <v>480</v>
      </c>
    </row>
    <row r="412" spans="1:36" s="536" customFormat="1" x14ac:dyDescent="0.2">
      <c r="A412" s="548"/>
      <c r="B412" s="552"/>
      <c r="C412" s="1822" t="s">
        <v>407</v>
      </c>
      <c r="D412" s="1822"/>
      <c r="E412" s="1822"/>
      <c r="F412" s="1822"/>
      <c r="G412" s="1822"/>
      <c r="H412" s="1822"/>
      <c r="I412" s="1822"/>
      <c r="J412" s="1822"/>
      <c r="K412" s="1822"/>
      <c r="L412" s="551">
        <v>410742.43</v>
      </c>
      <c r="M412" s="550"/>
      <c r="N412" s="549">
        <v>3417377</v>
      </c>
      <c r="AI412" s="675"/>
      <c r="AJ412" s="537" t="s">
        <v>407</v>
      </c>
    </row>
    <row r="413" spans="1:36" s="536" customFormat="1" x14ac:dyDescent="0.2">
      <c r="A413" s="548"/>
      <c r="B413" s="552" t="s">
        <v>185</v>
      </c>
      <c r="C413" s="1822" t="s">
        <v>408</v>
      </c>
      <c r="D413" s="1822"/>
      <c r="E413" s="1822"/>
      <c r="F413" s="1822"/>
      <c r="G413" s="1822"/>
      <c r="H413" s="1822"/>
      <c r="I413" s="1822"/>
      <c r="J413" s="1822"/>
      <c r="K413" s="1822"/>
      <c r="L413" s="551">
        <v>410233.96</v>
      </c>
      <c r="M413" s="550">
        <v>8.32</v>
      </c>
      <c r="N413" s="549">
        <v>3413147</v>
      </c>
      <c r="AI413" s="675"/>
      <c r="AJ413" s="537" t="s">
        <v>408</v>
      </c>
    </row>
    <row r="414" spans="1:36" s="536" customFormat="1" x14ac:dyDescent="0.2">
      <c r="A414" s="548"/>
      <c r="B414" s="552"/>
      <c r="C414" s="1822" t="s">
        <v>409</v>
      </c>
      <c r="D414" s="1822"/>
      <c r="E414" s="1822"/>
      <c r="F414" s="1822"/>
      <c r="G414" s="1822"/>
      <c r="H414" s="1822"/>
      <c r="I414" s="1822"/>
      <c r="J414" s="1822"/>
      <c r="K414" s="1822"/>
      <c r="L414" s="551"/>
      <c r="M414" s="550"/>
      <c r="N414" s="549"/>
      <c r="AI414" s="675"/>
      <c r="AJ414" s="537" t="s">
        <v>409</v>
      </c>
    </row>
    <row r="415" spans="1:36" s="536" customFormat="1" x14ac:dyDescent="0.2">
      <c r="A415" s="548"/>
      <c r="B415" s="552"/>
      <c r="C415" s="1822" t="s">
        <v>410</v>
      </c>
      <c r="D415" s="1822"/>
      <c r="E415" s="1822"/>
      <c r="F415" s="1822"/>
      <c r="G415" s="1822"/>
      <c r="H415" s="1822"/>
      <c r="I415" s="1822"/>
      <c r="J415" s="1822"/>
      <c r="K415" s="1822"/>
      <c r="L415" s="551">
        <v>10031.84</v>
      </c>
      <c r="M415" s="550"/>
      <c r="N415" s="549"/>
      <c r="AI415" s="675"/>
      <c r="AJ415" s="537" t="s">
        <v>410</v>
      </c>
    </row>
    <row r="416" spans="1:36" s="536" customFormat="1" x14ac:dyDescent="0.2">
      <c r="A416" s="548"/>
      <c r="B416" s="552"/>
      <c r="C416" s="1822" t="s">
        <v>411</v>
      </c>
      <c r="D416" s="1822"/>
      <c r="E416" s="1822"/>
      <c r="F416" s="1822"/>
      <c r="G416" s="1822"/>
      <c r="H416" s="1822"/>
      <c r="I416" s="1822"/>
      <c r="J416" s="1822"/>
      <c r="K416" s="1822"/>
      <c r="L416" s="551">
        <v>22425.55</v>
      </c>
      <c r="M416" s="550"/>
      <c r="N416" s="549"/>
      <c r="AI416" s="675"/>
      <c r="AJ416" s="537" t="s">
        <v>411</v>
      </c>
    </row>
    <row r="417" spans="1:37" x14ac:dyDescent="0.2">
      <c r="A417" s="548"/>
      <c r="B417" s="552"/>
      <c r="C417" s="1822" t="s">
        <v>481</v>
      </c>
      <c r="D417" s="1822"/>
      <c r="E417" s="1822"/>
      <c r="F417" s="1822"/>
      <c r="G417" s="1822"/>
      <c r="H417" s="1822"/>
      <c r="I417" s="1822"/>
      <c r="J417" s="1822"/>
      <c r="K417" s="1822"/>
      <c r="L417" s="551">
        <v>358501.3</v>
      </c>
      <c r="M417" s="550"/>
      <c r="N417" s="549"/>
      <c r="P417" s="536"/>
      <c r="Q417" s="536"/>
      <c r="R417" s="536"/>
      <c r="S417" s="536"/>
      <c r="T417" s="536"/>
      <c r="U417" s="536"/>
      <c r="V417" s="536"/>
      <c r="W417" s="536"/>
      <c r="X417" s="536"/>
      <c r="Y417" s="536"/>
      <c r="Z417" s="536"/>
      <c r="AA417" s="536"/>
      <c r="AB417" s="536"/>
      <c r="AC417" s="536"/>
      <c r="AD417" s="536"/>
      <c r="AE417" s="536"/>
      <c r="AF417" s="536"/>
      <c r="AG417" s="536"/>
      <c r="AH417" s="536"/>
      <c r="AI417" s="675"/>
      <c r="AJ417" s="537" t="s">
        <v>481</v>
      </c>
      <c r="AK417" s="536"/>
    </row>
    <row r="418" spans="1:37" x14ac:dyDescent="0.2">
      <c r="A418" s="548"/>
      <c r="B418" s="552"/>
      <c r="C418" s="1822" t="s">
        <v>412</v>
      </c>
      <c r="D418" s="1822"/>
      <c r="E418" s="1822"/>
      <c r="F418" s="1822"/>
      <c r="G418" s="1822"/>
      <c r="H418" s="1822"/>
      <c r="I418" s="1822"/>
      <c r="J418" s="1822"/>
      <c r="K418" s="1822"/>
      <c r="L418" s="551">
        <v>11830.9</v>
      </c>
      <c r="M418" s="550"/>
      <c r="N418" s="549"/>
      <c r="P418" s="536"/>
      <c r="Q418" s="536"/>
      <c r="R418" s="536"/>
      <c r="S418" s="536"/>
      <c r="T418" s="536"/>
      <c r="U418" s="536"/>
      <c r="V418" s="536"/>
      <c r="W418" s="536"/>
      <c r="X418" s="536"/>
      <c r="Y418" s="536"/>
      <c r="Z418" s="536"/>
      <c r="AA418" s="536"/>
      <c r="AB418" s="536"/>
      <c r="AC418" s="536"/>
      <c r="AD418" s="536"/>
      <c r="AE418" s="536"/>
      <c r="AF418" s="536"/>
      <c r="AG418" s="536"/>
      <c r="AH418" s="536"/>
      <c r="AI418" s="675"/>
      <c r="AJ418" s="537" t="s">
        <v>412</v>
      </c>
      <c r="AK418" s="536"/>
    </row>
    <row r="419" spans="1:37" x14ac:dyDescent="0.2">
      <c r="A419" s="548"/>
      <c r="B419" s="552"/>
      <c r="C419" s="1822" t="s">
        <v>413</v>
      </c>
      <c r="D419" s="1822"/>
      <c r="E419" s="1822"/>
      <c r="F419" s="1822"/>
      <c r="G419" s="1822"/>
      <c r="H419" s="1822"/>
      <c r="I419" s="1822"/>
      <c r="J419" s="1822"/>
      <c r="K419" s="1822"/>
      <c r="L419" s="551">
        <v>7444.37</v>
      </c>
      <c r="M419" s="550"/>
      <c r="N419" s="549"/>
      <c r="P419" s="536"/>
      <c r="Q419" s="536"/>
      <c r="R419" s="536"/>
      <c r="S419" s="536"/>
      <c r="T419" s="536"/>
      <c r="U419" s="536"/>
      <c r="V419" s="536"/>
      <c r="W419" s="536"/>
      <c r="X419" s="536"/>
      <c r="Y419" s="536"/>
      <c r="Z419" s="536"/>
      <c r="AA419" s="536"/>
      <c r="AB419" s="536"/>
      <c r="AC419" s="536"/>
      <c r="AD419" s="536"/>
      <c r="AE419" s="536"/>
      <c r="AF419" s="536"/>
      <c r="AG419" s="536"/>
      <c r="AH419" s="536"/>
      <c r="AI419" s="675"/>
      <c r="AJ419" s="537" t="s">
        <v>413</v>
      </c>
      <c r="AK419" s="536"/>
    </row>
    <row r="420" spans="1:37" x14ac:dyDescent="0.2">
      <c r="A420" s="548"/>
      <c r="B420" s="552" t="s">
        <v>185</v>
      </c>
      <c r="C420" s="1822" t="s">
        <v>414</v>
      </c>
      <c r="D420" s="1822"/>
      <c r="E420" s="1822"/>
      <c r="F420" s="1822"/>
      <c r="G420" s="1822"/>
      <c r="H420" s="1822"/>
      <c r="I420" s="1822"/>
      <c r="J420" s="1822"/>
      <c r="K420" s="1822"/>
      <c r="L420" s="551">
        <v>508.47</v>
      </c>
      <c r="M420" s="550">
        <v>8.32</v>
      </c>
      <c r="N420" s="549">
        <v>4230</v>
      </c>
      <c r="P420" s="536"/>
      <c r="Q420" s="536"/>
      <c r="R420" s="536"/>
      <c r="S420" s="536"/>
      <c r="T420" s="536"/>
      <c r="U420" s="536"/>
      <c r="V420" s="536"/>
      <c r="W420" s="536"/>
      <c r="X420" s="536"/>
      <c r="Y420" s="536"/>
      <c r="Z420" s="536"/>
      <c r="AA420" s="536"/>
      <c r="AB420" s="536"/>
      <c r="AC420" s="536"/>
      <c r="AD420" s="536"/>
      <c r="AE420" s="536"/>
      <c r="AF420" s="536"/>
      <c r="AG420" s="536"/>
      <c r="AH420" s="536"/>
      <c r="AI420" s="675"/>
      <c r="AJ420" s="537" t="s">
        <v>414</v>
      </c>
      <c r="AK420" s="536"/>
    </row>
    <row r="421" spans="1:37" x14ac:dyDescent="0.2">
      <c r="A421" s="548"/>
      <c r="B421" s="552"/>
      <c r="C421" s="1822" t="s">
        <v>415</v>
      </c>
      <c r="D421" s="1822"/>
      <c r="E421" s="1822"/>
      <c r="F421" s="1822"/>
      <c r="G421" s="1822"/>
      <c r="H421" s="1822"/>
      <c r="I421" s="1822"/>
      <c r="J421" s="1822"/>
      <c r="K421" s="1822"/>
      <c r="L421" s="551">
        <v>12301.83</v>
      </c>
      <c r="M421" s="550"/>
      <c r="N421" s="549"/>
      <c r="P421" s="536"/>
      <c r="Q421" s="536"/>
      <c r="R421" s="536"/>
      <c r="S421" s="536"/>
      <c r="T421" s="536"/>
      <c r="U421" s="536"/>
      <c r="V421" s="536"/>
      <c r="W421" s="536"/>
      <c r="X421" s="536"/>
      <c r="Y421" s="536"/>
      <c r="Z421" s="536"/>
      <c r="AA421" s="536"/>
      <c r="AB421" s="536"/>
      <c r="AC421" s="536"/>
      <c r="AD421" s="536"/>
      <c r="AE421" s="536"/>
      <c r="AF421" s="536"/>
      <c r="AG421" s="536"/>
      <c r="AH421" s="536"/>
      <c r="AI421" s="675"/>
      <c r="AJ421" s="537" t="s">
        <v>415</v>
      </c>
      <c r="AK421" s="536"/>
    </row>
    <row r="422" spans="1:37" x14ac:dyDescent="0.2">
      <c r="A422" s="548"/>
      <c r="B422" s="552"/>
      <c r="C422" s="1822" t="s">
        <v>416</v>
      </c>
      <c r="D422" s="1822"/>
      <c r="E422" s="1822"/>
      <c r="F422" s="1822"/>
      <c r="G422" s="1822"/>
      <c r="H422" s="1822"/>
      <c r="I422" s="1822"/>
      <c r="J422" s="1822"/>
      <c r="K422" s="1822"/>
      <c r="L422" s="551">
        <v>11830.9</v>
      </c>
      <c r="M422" s="550"/>
      <c r="N422" s="549"/>
      <c r="P422" s="536"/>
      <c r="Q422" s="536"/>
      <c r="R422" s="536"/>
      <c r="S422" s="536"/>
      <c r="T422" s="536"/>
      <c r="U422" s="536"/>
      <c r="V422" s="536"/>
      <c r="W422" s="536"/>
      <c r="X422" s="536"/>
      <c r="Y422" s="536"/>
      <c r="Z422" s="536"/>
      <c r="AA422" s="536"/>
      <c r="AB422" s="536"/>
      <c r="AC422" s="536"/>
      <c r="AD422" s="536"/>
      <c r="AE422" s="536"/>
      <c r="AF422" s="536"/>
      <c r="AG422" s="536"/>
      <c r="AH422" s="536"/>
      <c r="AI422" s="675"/>
      <c r="AJ422" s="537" t="s">
        <v>416</v>
      </c>
      <c r="AK422" s="536"/>
    </row>
    <row r="423" spans="1:37" x14ac:dyDescent="0.2">
      <c r="A423" s="548"/>
      <c r="B423" s="552"/>
      <c r="C423" s="1822" t="s">
        <v>417</v>
      </c>
      <c r="D423" s="1822"/>
      <c r="E423" s="1822"/>
      <c r="F423" s="1822"/>
      <c r="G423" s="1822"/>
      <c r="H423" s="1822"/>
      <c r="I423" s="1822"/>
      <c r="J423" s="1822"/>
      <c r="K423" s="1822"/>
      <c r="L423" s="551">
        <v>7444.37</v>
      </c>
      <c r="M423" s="550"/>
      <c r="N423" s="549"/>
      <c r="P423" s="536"/>
      <c r="Q423" s="536"/>
      <c r="R423" s="536"/>
      <c r="S423" s="536"/>
      <c r="T423" s="536"/>
      <c r="U423" s="536"/>
      <c r="V423" s="536"/>
      <c r="W423" s="536"/>
      <c r="X423" s="536"/>
      <c r="Y423" s="536"/>
      <c r="Z423" s="536"/>
      <c r="AA423" s="536"/>
      <c r="AB423" s="536"/>
      <c r="AC423" s="536"/>
      <c r="AD423" s="536"/>
      <c r="AE423" s="536"/>
      <c r="AF423" s="536"/>
      <c r="AG423" s="536"/>
      <c r="AH423" s="536"/>
      <c r="AI423" s="675"/>
      <c r="AJ423" s="537" t="s">
        <v>417</v>
      </c>
      <c r="AK423" s="536"/>
    </row>
    <row r="424" spans="1:37" x14ac:dyDescent="0.2">
      <c r="A424" s="548"/>
      <c r="B424" s="546"/>
      <c r="C424" s="1819" t="s">
        <v>206</v>
      </c>
      <c r="D424" s="1819"/>
      <c r="E424" s="1819"/>
      <c r="F424" s="1819"/>
      <c r="G424" s="1819"/>
      <c r="H424" s="1819"/>
      <c r="I424" s="1819"/>
      <c r="J424" s="1819"/>
      <c r="K424" s="1819"/>
      <c r="L424" s="544">
        <v>410742.43</v>
      </c>
      <c r="M424" s="543"/>
      <c r="N424" s="547">
        <v>3417377</v>
      </c>
      <c r="P424" s="536"/>
      <c r="Q424" s="536"/>
      <c r="R424" s="536"/>
      <c r="S424" s="536"/>
      <c r="T424" s="536"/>
      <c r="U424" s="536"/>
      <c r="V424" s="536"/>
      <c r="W424" s="536"/>
      <c r="X424" s="536"/>
      <c r="Y424" s="536"/>
      <c r="Z424" s="536"/>
      <c r="AA424" s="536"/>
      <c r="AB424" s="536"/>
      <c r="AC424" s="536"/>
      <c r="AD424" s="536"/>
      <c r="AE424" s="536"/>
      <c r="AF424" s="536"/>
      <c r="AG424" s="536"/>
      <c r="AH424" s="536"/>
      <c r="AI424" s="675"/>
      <c r="AJ424" s="536"/>
      <c r="AK424" s="675" t="s">
        <v>206</v>
      </c>
    </row>
    <row r="425" spans="1:37" ht="1.5" customHeight="1" x14ac:dyDescent="0.2">
      <c r="B425" s="546"/>
      <c r="C425" s="656"/>
      <c r="D425" s="656"/>
      <c r="E425" s="656"/>
      <c r="F425" s="656"/>
      <c r="G425" s="656"/>
      <c r="H425" s="656"/>
      <c r="I425" s="656"/>
      <c r="J425" s="656"/>
      <c r="K425" s="656"/>
      <c r="L425" s="544"/>
      <c r="M425" s="543"/>
      <c r="N425" s="542"/>
      <c r="P425" s="536"/>
      <c r="Q425" s="536"/>
      <c r="R425" s="536"/>
      <c r="S425" s="536"/>
      <c r="T425" s="536"/>
      <c r="U425" s="536"/>
      <c r="V425" s="536"/>
      <c r="W425" s="536"/>
      <c r="X425" s="536"/>
      <c r="Y425" s="536"/>
      <c r="Z425" s="536"/>
      <c r="AA425" s="536"/>
      <c r="AB425" s="536"/>
      <c r="AC425" s="536"/>
      <c r="AD425" s="536"/>
      <c r="AE425" s="536"/>
      <c r="AF425" s="536"/>
      <c r="AG425" s="536"/>
      <c r="AH425" s="536"/>
      <c r="AI425" s="536"/>
      <c r="AJ425" s="536"/>
      <c r="AK425" s="536"/>
    </row>
    <row r="426" spans="1:37" ht="53.25" customHeight="1" x14ac:dyDescent="0.2">
      <c r="A426" s="541"/>
      <c r="B426" s="541"/>
      <c r="C426" s="541"/>
      <c r="D426" s="541"/>
      <c r="E426" s="541"/>
      <c r="F426" s="541"/>
      <c r="G426" s="541"/>
      <c r="H426" s="541"/>
      <c r="I426" s="541"/>
      <c r="J426" s="541"/>
      <c r="K426" s="541"/>
      <c r="L426" s="541"/>
      <c r="M426" s="541"/>
      <c r="N426" s="541"/>
      <c r="P426" s="536"/>
      <c r="Q426" s="536"/>
      <c r="R426" s="536"/>
      <c r="S426" s="536"/>
      <c r="T426" s="536"/>
      <c r="U426" s="536"/>
      <c r="V426" s="536"/>
      <c r="W426" s="536"/>
      <c r="X426" s="536"/>
      <c r="Y426" s="536"/>
      <c r="Z426" s="536"/>
      <c r="AA426" s="536"/>
      <c r="AB426" s="536"/>
      <c r="AC426" s="536"/>
      <c r="AD426" s="536"/>
      <c r="AE426" s="536"/>
      <c r="AF426" s="536"/>
      <c r="AG426" s="536"/>
      <c r="AH426" s="536"/>
      <c r="AI426" s="536"/>
      <c r="AJ426" s="536"/>
      <c r="AK426" s="536"/>
    </row>
    <row r="427" spans="1:37" x14ac:dyDescent="0.2">
      <c r="B427" s="539" t="s">
        <v>149</v>
      </c>
      <c r="C427" s="1943"/>
      <c r="D427" s="1943"/>
      <c r="E427" s="1943"/>
      <c r="F427" s="1943"/>
      <c r="G427" s="1943"/>
      <c r="H427" s="1943"/>
      <c r="I427" s="1943"/>
      <c r="J427" s="1943"/>
      <c r="K427" s="1943"/>
      <c r="L427" s="1943"/>
    </row>
    <row r="428" spans="1:37" ht="13.5" customHeight="1" x14ac:dyDescent="0.2">
      <c r="B428" s="540"/>
      <c r="C428" s="1821" t="s">
        <v>150</v>
      </c>
      <c r="D428" s="1821"/>
      <c r="E428" s="1821"/>
      <c r="F428" s="1821"/>
      <c r="G428" s="1821"/>
      <c r="H428" s="1821"/>
      <c r="I428" s="1821"/>
      <c r="J428" s="1821"/>
      <c r="K428" s="1821"/>
      <c r="L428" s="1821"/>
    </row>
    <row r="429" spans="1:37" ht="12.75" customHeight="1" x14ac:dyDescent="0.2">
      <c r="B429" s="539" t="s">
        <v>151</v>
      </c>
      <c r="C429" s="1943"/>
      <c r="D429" s="1943"/>
      <c r="E429" s="1943"/>
      <c r="F429" s="1943"/>
      <c r="G429" s="1943"/>
      <c r="H429" s="1943"/>
      <c r="I429" s="1943"/>
      <c r="J429" s="1943"/>
      <c r="K429" s="1943"/>
      <c r="L429" s="1943"/>
    </row>
    <row r="430" spans="1:37" ht="13.5" customHeight="1" x14ac:dyDescent="0.2">
      <c r="C430" s="1821" t="s">
        <v>150</v>
      </c>
      <c r="D430" s="1821"/>
      <c r="E430" s="1821"/>
      <c r="F430" s="1821"/>
      <c r="G430" s="1821"/>
      <c r="H430" s="1821"/>
      <c r="I430" s="1821"/>
      <c r="J430" s="1821"/>
      <c r="K430" s="1821"/>
      <c r="L430" s="1821"/>
    </row>
    <row r="432" spans="1:37" x14ac:dyDescent="0.2">
      <c r="B432" s="538"/>
      <c r="D432" s="538"/>
      <c r="F432" s="538"/>
      <c r="P432" s="536"/>
      <c r="Q432" s="536"/>
      <c r="R432" s="536"/>
      <c r="S432" s="536"/>
      <c r="T432" s="536"/>
      <c r="U432" s="536"/>
      <c r="V432" s="536"/>
      <c r="W432" s="536"/>
      <c r="X432" s="536"/>
      <c r="Y432" s="536"/>
      <c r="Z432" s="536"/>
      <c r="AA432" s="536"/>
      <c r="AB432" s="536"/>
      <c r="AC432" s="536"/>
      <c r="AD432" s="536"/>
      <c r="AE432" s="536"/>
      <c r="AF432" s="536"/>
      <c r="AG432" s="536"/>
      <c r="AH432" s="536"/>
      <c r="AI432" s="536"/>
      <c r="AJ432" s="536"/>
      <c r="AK432" s="536"/>
    </row>
  </sheetData>
  <mergeCells count="396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C53:N53"/>
    <mergeCell ref="C54:E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N52"/>
    <mergeCell ref="C65:E65"/>
    <mergeCell ref="C66:E66"/>
    <mergeCell ref="C67:E67"/>
    <mergeCell ref="C68:E68"/>
    <mergeCell ref="C69:E69"/>
    <mergeCell ref="C70:E70"/>
    <mergeCell ref="C59:E59"/>
    <mergeCell ref="C60:E60"/>
    <mergeCell ref="C61:E61"/>
    <mergeCell ref="C62:E62"/>
    <mergeCell ref="C63:N63"/>
    <mergeCell ref="C64:N64"/>
    <mergeCell ref="C77:E77"/>
    <mergeCell ref="C78:E78"/>
    <mergeCell ref="C79:E79"/>
    <mergeCell ref="C80:E80"/>
    <mergeCell ref="C81:E81"/>
    <mergeCell ref="C82:E82"/>
    <mergeCell ref="C71:E71"/>
    <mergeCell ref="C72:E72"/>
    <mergeCell ref="C73:E73"/>
    <mergeCell ref="C74:N74"/>
    <mergeCell ref="C75:N75"/>
    <mergeCell ref="C76:E76"/>
    <mergeCell ref="C90:K90"/>
    <mergeCell ref="C91:K91"/>
    <mergeCell ref="C92:K92"/>
    <mergeCell ref="C93:K93"/>
    <mergeCell ref="C94:K94"/>
    <mergeCell ref="C95:K95"/>
    <mergeCell ref="C83:E83"/>
    <mergeCell ref="C84:E84"/>
    <mergeCell ref="C85:E85"/>
    <mergeCell ref="C86:E86"/>
    <mergeCell ref="C87:N87"/>
    <mergeCell ref="C89:K89"/>
    <mergeCell ref="C102:K102"/>
    <mergeCell ref="C103:K103"/>
    <mergeCell ref="C104:K104"/>
    <mergeCell ref="C105:K105"/>
    <mergeCell ref="C106:K106"/>
    <mergeCell ref="A107:N107"/>
    <mergeCell ref="C96:K96"/>
    <mergeCell ref="C97:K97"/>
    <mergeCell ref="C98:K98"/>
    <mergeCell ref="C99:K99"/>
    <mergeCell ref="C100:K100"/>
    <mergeCell ref="C101:K101"/>
    <mergeCell ref="C114:E114"/>
    <mergeCell ref="C115:E115"/>
    <mergeCell ref="C116:E116"/>
    <mergeCell ref="C117:E117"/>
    <mergeCell ref="C118:E118"/>
    <mergeCell ref="C119:E119"/>
    <mergeCell ref="C108:E108"/>
    <mergeCell ref="C109:N109"/>
    <mergeCell ref="C110:N110"/>
    <mergeCell ref="C111:E111"/>
    <mergeCell ref="C112:E112"/>
    <mergeCell ref="C113:E113"/>
    <mergeCell ref="C127:N127"/>
    <mergeCell ref="C128:E128"/>
    <mergeCell ref="C129:E129"/>
    <mergeCell ref="C130:E130"/>
    <mergeCell ref="C131:E131"/>
    <mergeCell ref="C132:E132"/>
    <mergeCell ref="C120:E120"/>
    <mergeCell ref="C121:E121"/>
    <mergeCell ref="C122:E122"/>
    <mergeCell ref="C123:E123"/>
    <mergeCell ref="C125:E125"/>
    <mergeCell ref="C126:N126"/>
    <mergeCell ref="C139:E139"/>
    <mergeCell ref="C140:E140"/>
    <mergeCell ref="C141:E141"/>
    <mergeCell ref="C143:E143"/>
    <mergeCell ref="C145:N145"/>
    <mergeCell ref="C146:E146"/>
    <mergeCell ref="C133:E133"/>
    <mergeCell ref="C134:E134"/>
    <mergeCell ref="C135:E135"/>
    <mergeCell ref="C136:E136"/>
    <mergeCell ref="C137:E137"/>
    <mergeCell ref="C138:E138"/>
    <mergeCell ref="C154:E154"/>
    <mergeCell ref="C155:E155"/>
    <mergeCell ref="C156:E156"/>
    <mergeCell ref="C157:E157"/>
    <mergeCell ref="C158:E158"/>
    <mergeCell ref="C159:E159"/>
    <mergeCell ref="C148:N148"/>
    <mergeCell ref="C149:E149"/>
    <mergeCell ref="C150:N150"/>
    <mergeCell ref="C151:N151"/>
    <mergeCell ref="C152:E152"/>
    <mergeCell ref="C153:E153"/>
    <mergeCell ref="C166:E166"/>
    <mergeCell ref="C167:E167"/>
    <mergeCell ref="C168:E168"/>
    <mergeCell ref="C169:E169"/>
    <mergeCell ref="C170:E170"/>
    <mergeCell ref="C171:E171"/>
    <mergeCell ref="C160:E160"/>
    <mergeCell ref="C161:E161"/>
    <mergeCell ref="C162:E162"/>
    <mergeCell ref="C163:E163"/>
    <mergeCell ref="C164:N164"/>
    <mergeCell ref="C165:N165"/>
    <mergeCell ref="C178:E178"/>
    <mergeCell ref="C179:N179"/>
    <mergeCell ref="C180:N180"/>
    <mergeCell ref="C181:N181"/>
    <mergeCell ref="C182:E182"/>
    <mergeCell ref="C183:E183"/>
    <mergeCell ref="C172:E172"/>
    <mergeCell ref="C173:E173"/>
    <mergeCell ref="C174:E174"/>
    <mergeCell ref="C175:E175"/>
    <mergeCell ref="C176:E176"/>
    <mergeCell ref="C177:E177"/>
    <mergeCell ref="C190:E190"/>
    <mergeCell ref="C191:E191"/>
    <mergeCell ref="C192:E192"/>
    <mergeCell ref="C193:E193"/>
    <mergeCell ref="C194:E194"/>
    <mergeCell ref="C196:N196"/>
    <mergeCell ref="C184:E184"/>
    <mergeCell ref="C185:E185"/>
    <mergeCell ref="C186:E186"/>
    <mergeCell ref="C187:E187"/>
    <mergeCell ref="C188:E188"/>
    <mergeCell ref="C189:E189"/>
    <mergeCell ref="C203:E203"/>
    <mergeCell ref="C204:E204"/>
    <mergeCell ref="C205:E205"/>
    <mergeCell ref="C206:E206"/>
    <mergeCell ref="C207:E207"/>
    <mergeCell ref="C208:E208"/>
    <mergeCell ref="C197:E197"/>
    <mergeCell ref="C198:N198"/>
    <mergeCell ref="C199:N199"/>
    <mergeCell ref="C200:E200"/>
    <mergeCell ref="C201:E201"/>
    <mergeCell ref="C202:E202"/>
    <mergeCell ref="C215:E215"/>
    <mergeCell ref="C216:E216"/>
    <mergeCell ref="C217:E217"/>
    <mergeCell ref="C218:E218"/>
    <mergeCell ref="C219:E219"/>
    <mergeCell ref="C220:E220"/>
    <mergeCell ref="C209:E209"/>
    <mergeCell ref="C210:E210"/>
    <mergeCell ref="C211:E211"/>
    <mergeCell ref="C212:E212"/>
    <mergeCell ref="C213:N213"/>
    <mergeCell ref="C214:N214"/>
    <mergeCell ref="C227:E227"/>
    <mergeCell ref="C229:N229"/>
    <mergeCell ref="C231:K231"/>
    <mergeCell ref="C232:K232"/>
    <mergeCell ref="C233:K233"/>
    <mergeCell ref="C234:K234"/>
    <mergeCell ref="C221:E221"/>
    <mergeCell ref="C222:E222"/>
    <mergeCell ref="C223:E223"/>
    <mergeCell ref="C224:E224"/>
    <mergeCell ref="C225:E225"/>
    <mergeCell ref="C226:E226"/>
    <mergeCell ref="C241:K241"/>
    <mergeCell ref="C242:K242"/>
    <mergeCell ref="C243:K243"/>
    <mergeCell ref="C244:K244"/>
    <mergeCell ref="C245:K245"/>
    <mergeCell ref="C246:K246"/>
    <mergeCell ref="C235:K235"/>
    <mergeCell ref="C236:K236"/>
    <mergeCell ref="C237:K237"/>
    <mergeCell ref="C238:K238"/>
    <mergeCell ref="C239:K239"/>
    <mergeCell ref="C240:K240"/>
    <mergeCell ref="C253:E253"/>
    <mergeCell ref="C254:E254"/>
    <mergeCell ref="C255:E255"/>
    <mergeCell ref="C256:E256"/>
    <mergeCell ref="C257:E257"/>
    <mergeCell ref="C258:E258"/>
    <mergeCell ref="C247:K247"/>
    <mergeCell ref="C248:K248"/>
    <mergeCell ref="A249:N249"/>
    <mergeCell ref="C250:E250"/>
    <mergeCell ref="C251:N251"/>
    <mergeCell ref="C252:N252"/>
    <mergeCell ref="C265:E265"/>
    <mergeCell ref="C267:E267"/>
    <mergeCell ref="C268:N268"/>
    <mergeCell ref="C269:N269"/>
    <mergeCell ref="C270:E270"/>
    <mergeCell ref="C271:E271"/>
    <mergeCell ref="C259:E259"/>
    <mergeCell ref="C260:E260"/>
    <mergeCell ref="C261:E261"/>
    <mergeCell ref="C262:E262"/>
    <mergeCell ref="C263:E263"/>
    <mergeCell ref="C264:E264"/>
    <mergeCell ref="C278:E278"/>
    <mergeCell ref="C279:E279"/>
    <mergeCell ref="C280:E280"/>
    <mergeCell ref="C281:E281"/>
    <mergeCell ref="C282:E282"/>
    <mergeCell ref="C284:E284"/>
    <mergeCell ref="C272:E272"/>
    <mergeCell ref="C273:E273"/>
    <mergeCell ref="C274:E274"/>
    <mergeCell ref="C275:E275"/>
    <mergeCell ref="C276:E276"/>
    <mergeCell ref="C277:E277"/>
    <mergeCell ref="C291:E291"/>
    <mergeCell ref="C292:E292"/>
    <mergeCell ref="C293:E293"/>
    <mergeCell ref="C294:E294"/>
    <mergeCell ref="C295:E295"/>
    <mergeCell ref="C296:E296"/>
    <mergeCell ref="C285:N285"/>
    <mergeCell ref="C286:N286"/>
    <mergeCell ref="C287:E287"/>
    <mergeCell ref="C288:E288"/>
    <mergeCell ref="C289:E289"/>
    <mergeCell ref="C290:E290"/>
    <mergeCell ref="C304:E304"/>
    <mergeCell ref="C305:E305"/>
    <mergeCell ref="C306:E306"/>
    <mergeCell ref="C307:E307"/>
    <mergeCell ref="C308:E308"/>
    <mergeCell ref="C309:E309"/>
    <mergeCell ref="C297:E297"/>
    <mergeCell ref="C298:E298"/>
    <mergeCell ref="C299:E299"/>
    <mergeCell ref="C301:E301"/>
    <mergeCell ref="C302:N302"/>
    <mergeCell ref="C303:N303"/>
    <mergeCell ref="C316:N316"/>
    <mergeCell ref="C317:N317"/>
    <mergeCell ref="C318:E318"/>
    <mergeCell ref="C319:E319"/>
    <mergeCell ref="C320:E320"/>
    <mergeCell ref="C321:E321"/>
    <mergeCell ref="C310:E310"/>
    <mergeCell ref="C311:E311"/>
    <mergeCell ref="C312:E312"/>
    <mergeCell ref="C313:E313"/>
    <mergeCell ref="C314:E314"/>
    <mergeCell ref="C315:E315"/>
    <mergeCell ref="C328:E328"/>
    <mergeCell ref="C329:E329"/>
    <mergeCell ref="C331:N331"/>
    <mergeCell ref="C333:K333"/>
    <mergeCell ref="C334:K334"/>
    <mergeCell ref="C335:K335"/>
    <mergeCell ref="C322:E322"/>
    <mergeCell ref="C323:E323"/>
    <mergeCell ref="C324:E324"/>
    <mergeCell ref="C325:E325"/>
    <mergeCell ref="C326:E326"/>
    <mergeCell ref="C327:E327"/>
    <mergeCell ref="C342:K342"/>
    <mergeCell ref="C343:K343"/>
    <mergeCell ref="C344:K344"/>
    <mergeCell ref="C345:K345"/>
    <mergeCell ref="C346:K346"/>
    <mergeCell ref="C347:K347"/>
    <mergeCell ref="C336:K336"/>
    <mergeCell ref="C337:K337"/>
    <mergeCell ref="C338:K338"/>
    <mergeCell ref="C339:K339"/>
    <mergeCell ref="C340:K340"/>
    <mergeCell ref="C341:K341"/>
    <mergeCell ref="C354:E354"/>
    <mergeCell ref="C355:E355"/>
    <mergeCell ref="C356:E356"/>
    <mergeCell ref="C357:E357"/>
    <mergeCell ref="C358:E358"/>
    <mergeCell ref="C359:E359"/>
    <mergeCell ref="C348:K348"/>
    <mergeCell ref="C349:K349"/>
    <mergeCell ref="C350:K350"/>
    <mergeCell ref="A351:N351"/>
    <mergeCell ref="C352:E352"/>
    <mergeCell ref="C353:N353"/>
    <mergeCell ref="C368:K368"/>
    <mergeCell ref="C369:K369"/>
    <mergeCell ref="C370:K370"/>
    <mergeCell ref="C371:K371"/>
    <mergeCell ref="C372:K372"/>
    <mergeCell ref="C373:K373"/>
    <mergeCell ref="C360:E360"/>
    <mergeCell ref="C361:E361"/>
    <mergeCell ref="C362:E362"/>
    <mergeCell ref="C363:E363"/>
    <mergeCell ref="C364:E364"/>
    <mergeCell ref="C365:E365"/>
    <mergeCell ref="C380:K380"/>
    <mergeCell ref="C381:K381"/>
    <mergeCell ref="C382:K382"/>
    <mergeCell ref="C383:K383"/>
    <mergeCell ref="C384:K384"/>
    <mergeCell ref="C385:K385"/>
    <mergeCell ref="C374:K374"/>
    <mergeCell ref="C375:K375"/>
    <mergeCell ref="C376:K376"/>
    <mergeCell ref="C377:K377"/>
    <mergeCell ref="C378:K378"/>
    <mergeCell ref="C379:K379"/>
    <mergeCell ref="C396:K396"/>
    <mergeCell ref="C397:K397"/>
    <mergeCell ref="C398:K398"/>
    <mergeCell ref="C399:K399"/>
    <mergeCell ref="C400:K400"/>
    <mergeCell ref="C401:K401"/>
    <mergeCell ref="A386:N386"/>
    <mergeCell ref="C387:E387"/>
    <mergeCell ref="C389:N389"/>
    <mergeCell ref="C390:E390"/>
    <mergeCell ref="C392:N392"/>
    <mergeCell ref="C393:E393"/>
    <mergeCell ref="C409:K409"/>
    <mergeCell ref="C410:K410"/>
    <mergeCell ref="C411:K411"/>
    <mergeCell ref="C412:K412"/>
    <mergeCell ref="C413:K413"/>
    <mergeCell ref="C414:K414"/>
    <mergeCell ref="C402:K402"/>
    <mergeCell ref="C403:K403"/>
    <mergeCell ref="C405:K405"/>
    <mergeCell ref="C406:K406"/>
    <mergeCell ref="C407:K407"/>
    <mergeCell ref="C408:K408"/>
    <mergeCell ref="C429:L429"/>
    <mergeCell ref="C430:L430"/>
    <mergeCell ref="C421:K421"/>
    <mergeCell ref="C422:K422"/>
    <mergeCell ref="C423:K423"/>
    <mergeCell ref="C424:K424"/>
    <mergeCell ref="C427:L427"/>
    <mergeCell ref="C428:L428"/>
    <mergeCell ref="C415:K415"/>
    <mergeCell ref="C416:K416"/>
    <mergeCell ref="C417:K417"/>
    <mergeCell ref="C418:K418"/>
    <mergeCell ref="C419:K419"/>
    <mergeCell ref="C420:K420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431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J779"/>
  <sheetViews>
    <sheetView topLeftCell="A745" zoomScale="115" zoomScaleNormal="115" workbookViewId="0">
      <selection activeCell="B786" sqref="B786"/>
    </sheetView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29" width="34.140625" style="537" hidden="1" customWidth="1"/>
    <col min="30" max="32" width="84.42578125" style="537" hidden="1" customWidth="1"/>
    <col min="33" max="33" width="138.42578125" style="537" hidden="1" customWidth="1"/>
    <col min="34" max="36" width="84.42578125" style="537" hidden="1" customWidth="1"/>
    <col min="37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1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1806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1806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2187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58"/>
      <c r="B19" s="658"/>
      <c r="C19" s="658"/>
      <c r="D19" s="658"/>
      <c r="E19" s="658"/>
      <c r="F19" s="658"/>
      <c r="G19" s="658"/>
      <c r="H19" s="658"/>
      <c r="I19" s="658"/>
      <c r="J19" s="658"/>
      <c r="K19" s="658"/>
      <c r="L19" s="658"/>
      <c r="M19" s="658"/>
      <c r="N19" s="658"/>
    </row>
    <row r="20" spans="1:21" s="536" customFormat="1" x14ac:dyDescent="0.2">
      <c r="A20" s="1840" t="s">
        <v>609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609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1623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1264.5899999999999</v>
      </c>
      <c r="D28" s="579" t="s">
        <v>8104</v>
      </c>
      <c r="E28" s="661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1"/>
    </row>
    <row r="30" spans="1:21" s="536" customFormat="1" ht="12.75" customHeight="1" x14ac:dyDescent="0.2">
      <c r="B30" s="536" t="s">
        <v>169</v>
      </c>
      <c r="C30" s="580">
        <v>19.71</v>
      </c>
      <c r="D30" s="579" t="s">
        <v>2188</v>
      </c>
      <c r="E30" s="661" t="s">
        <v>167</v>
      </c>
      <c r="G30" s="536" t="s">
        <v>170</v>
      </c>
      <c r="L30" s="580">
        <v>0</v>
      </c>
      <c r="M30" s="579" t="s">
        <v>2189</v>
      </c>
      <c r="N30" s="661" t="s">
        <v>167</v>
      </c>
    </row>
    <row r="31" spans="1:21" s="536" customFormat="1" ht="12.75" customHeight="1" x14ac:dyDescent="0.2">
      <c r="B31" s="536" t="s">
        <v>140</v>
      </c>
      <c r="C31" s="580">
        <v>804.11</v>
      </c>
      <c r="D31" s="583" t="s">
        <v>8105</v>
      </c>
      <c r="E31" s="661" t="s">
        <v>167</v>
      </c>
      <c r="G31" s="536" t="s">
        <v>172</v>
      </c>
      <c r="L31" s="582"/>
      <c r="M31" s="582">
        <v>692.1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440.77</v>
      </c>
      <c r="D32" s="583" t="s">
        <v>2190</v>
      </c>
      <c r="E32" s="661" t="s">
        <v>167</v>
      </c>
      <c r="G32" s="536" t="s">
        <v>174</v>
      </c>
      <c r="L32" s="582"/>
      <c r="M32" s="582">
        <v>24.63</v>
      </c>
      <c r="N32" s="581" t="s">
        <v>173</v>
      </c>
    </row>
    <row r="33" spans="1:27" s="536" customFormat="1" ht="12.75" customHeight="1" x14ac:dyDescent="0.2">
      <c r="B33" s="536" t="s">
        <v>147</v>
      </c>
      <c r="C33" s="580">
        <v>0</v>
      </c>
      <c r="D33" s="579" t="s">
        <v>171</v>
      </c>
      <c r="E33" s="661" t="s">
        <v>167</v>
      </c>
      <c r="G33" s="536" t="s">
        <v>175</v>
      </c>
      <c r="L33" s="1836"/>
      <c r="M33" s="1836"/>
    </row>
    <row r="34" spans="1:27" s="536" customFormat="1" ht="9.75" customHeight="1" x14ac:dyDescent="0.2">
      <c r="A34" s="578"/>
    </row>
    <row r="35" spans="1:27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7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7" s="536" customFormat="1" ht="45" x14ac:dyDescent="0.2">
      <c r="A37" s="1833"/>
      <c r="B37" s="1833"/>
      <c r="C37" s="1833"/>
      <c r="D37" s="1833"/>
      <c r="E37" s="1833"/>
      <c r="F37" s="1833"/>
      <c r="G37" s="659" t="s">
        <v>182</v>
      </c>
      <c r="H37" s="659" t="s">
        <v>183</v>
      </c>
      <c r="I37" s="659" t="s">
        <v>184</v>
      </c>
      <c r="J37" s="659" t="s">
        <v>182</v>
      </c>
      <c r="K37" s="659" t="s">
        <v>183</v>
      </c>
      <c r="L37" s="659" t="s">
        <v>148</v>
      </c>
      <c r="M37" s="1833"/>
      <c r="N37" s="1833"/>
    </row>
    <row r="38" spans="1:27" s="536" customFormat="1" x14ac:dyDescent="0.2">
      <c r="A38" s="660">
        <v>1</v>
      </c>
      <c r="B38" s="660">
        <v>2</v>
      </c>
      <c r="C38" s="1834">
        <v>3</v>
      </c>
      <c r="D38" s="1834"/>
      <c r="E38" s="1834"/>
      <c r="F38" s="660">
        <v>4</v>
      </c>
      <c r="G38" s="660">
        <v>5</v>
      </c>
      <c r="H38" s="660">
        <v>6</v>
      </c>
      <c r="I38" s="660">
        <v>7</v>
      </c>
      <c r="J38" s="660">
        <v>8</v>
      </c>
      <c r="K38" s="660">
        <v>9</v>
      </c>
      <c r="L38" s="660">
        <v>10</v>
      </c>
      <c r="M38" s="660">
        <v>11</v>
      </c>
      <c r="N38" s="660">
        <v>12</v>
      </c>
    </row>
    <row r="39" spans="1:27" s="536" customFormat="1" ht="12" x14ac:dyDescent="0.2">
      <c r="A39" s="1824" t="s">
        <v>1625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1625</v>
      </c>
    </row>
    <row r="40" spans="1:27" s="536" customFormat="1" ht="33.75" x14ac:dyDescent="0.2">
      <c r="A40" s="575" t="s">
        <v>185</v>
      </c>
      <c r="B40" s="657" t="s">
        <v>1626</v>
      </c>
      <c r="C40" s="1823" t="s">
        <v>1627</v>
      </c>
      <c r="D40" s="1823"/>
      <c r="E40" s="1823"/>
      <c r="F40" s="573" t="s">
        <v>617</v>
      </c>
      <c r="G40" s="573"/>
      <c r="H40" s="573"/>
      <c r="I40" s="573" t="s">
        <v>186</v>
      </c>
      <c r="J40" s="572"/>
      <c r="K40" s="573"/>
      <c r="L40" s="572"/>
      <c r="M40" s="571"/>
      <c r="N40" s="570"/>
      <c r="V40" s="674"/>
      <c r="W40" s="675" t="s">
        <v>1627</v>
      </c>
    </row>
    <row r="41" spans="1:27" s="536" customFormat="1" ht="12" x14ac:dyDescent="0.2">
      <c r="A41" s="676"/>
      <c r="B41" s="655"/>
      <c r="C41" s="1822" t="s">
        <v>946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946</v>
      </c>
    </row>
    <row r="42" spans="1:27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Y42" s="537" t="s">
        <v>311</v>
      </c>
    </row>
    <row r="43" spans="1:27" s="536" customFormat="1" ht="12" x14ac:dyDescent="0.2">
      <c r="A43" s="605"/>
      <c r="B43" s="552" t="s">
        <v>185</v>
      </c>
      <c r="C43" s="1822" t="s">
        <v>312</v>
      </c>
      <c r="D43" s="1822"/>
      <c r="E43" s="1822"/>
      <c r="F43" s="562"/>
      <c r="G43" s="562"/>
      <c r="H43" s="562"/>
      <c r="I43" s="562"/>
      <c r="J43" s="604">
        <v>20.440000000000001</v>
      </c>
      <c r="K43" s="562" t="s">
        <v>313</v>
      </c>
      <c r="L43" s="604">
        <v>51.1</v>
      </c>
      <c r="M43" s="603"/>
      <c r="N43" s="602"/>
      <c r="V43" s="674"/>
      <c r="W43" s="675"/>
      <c r="Z43" s="537" t="s">
        <v>312</v>
      </c>
    </row>
    <row r="44" spans="1:27" s="536" customFormat="1" ht="12" x14ac:dyDescent="0.2">
      <c r="A44" s="605"/>
      <c r="B44" s="552" t="s">
        <v>186</v>
      </c>
      <c r="C44" s="1822" t="s">
        <v>344</v>
      </c>
      <c r="D44" s="1822"/>
      <c r="E44" s="1822"/>
      <c r="F44" s="562"/>
      <c r="G44" s="562"/>
      <c r="H44" s="562"/>
      <c r="I44" s="562"/>
      <c r="J44" s="604">
        <v>33.47</v>
      </c>
      <c r="K44" s="562" t="s">
        <v>313</v>
      </c>
      <c r="L44" s="604">
        <v>83.68</v>
      </c>
      <c r="M44" s="603"/>
      <c r="N44" s="602"/>
      <c r="V44" s="674"/>
      <c r="W44" s="675"/>
      <c r="Z44" s="537" t="s">
        <v>344</v>
      </c>
    </row>
    <row r="45" spans="1:27" s="536" customFormat="1" ht="12" x14ac:dyDescent="0.2">
      <c r="A45" s="605"/>
      <c r="B45" s="552" t="s">
        <v>187</v>
      </c>
      <c r="C45" s="1822" t="s">
        <v>345</v>
      </c>
      <c r="D45" s="1822"/>
      <c r="E45" s="1822"/>
      <c r="F45" s="562"/>
      <c r="G45" s="562"/>
      <c r="H45" s="562"/>
      <c r="I45" s="562"/>
      <c r="J45" s="604">
        <v>3.42</v>
      </c>
      <c r="K45" s="562" t="s">
        <v>313</v>
      </c>
      <c r="L45" s="604">
        <v>8.5500000000000007</v>
      </c>
      <c r="M45" s="603"/>
      <c r="N45" s="602"/>
      <c r="V45" s="674"/>
      <c r="W45" s="675"/>
      <c r="Z45" s="537" t="s">
        <v>345</v>
      </c>
    </row>
    <row r="46" spans="1:27" s="536" customFormat="1" ht="12" x14ac:dyDescent="0.2">
      <c r="A46" s="605"/>
      <c r="B46" s="552" t="s">
        <v>188</v>
      </c>
      <c r="C46" s="1822" t="s">
        <v>475</v>
      </c>
      <c r="D46" s="1822"/>
      <c r="E46" s="1822"/>
      <c r="F46" s="562"/>
      <c r="G46" s="562"/>
      <c r="H46" s="562"/>
      <c r="I46" s="562"/>
      <c r="J46" s="604">
        <v>2.94</v>
      </c>
      <c r="K46" s="562"/>
      <c r="L46" s="604">
        <v>5.88</v>
      </c>
      <c r="M46" s="603"/>
      <c r="N46" s="602"/>
      <c r="V46" s="674"/>
      <c r="W46" s="675"/>
      <c r="Z46" s="537" t="s">
        <v>475</v>
      </c>
    </row>
    <row r="47" spans="1:27" s="536" customFormat="1" ht="12" x14ac:dyDescent="0.2">
      <c r="A47" s="605"/>
      <c r="B47" s="552"/>
      <c r="C47" s="1822" t="s">
        <v>314</v>
      </c>
      <c r="D47" s="1822"/>
      <c r="E47" s="1822"/>
      <c r="F47" s="562" t="s">
        <v>315</v>
      </c>
      <c r="G47" s="562" t="s">
        <v>807</v>
      </c>
      <c r="H47" s="562" t="s">
        <v>313</v>
      </c>
      <c r="I47" s="562" t="s">
        <v>2191</v>
      </c>
      <c r="J47" s="604"/>
      <c r="K47" s="562"/>
      <c r="L47" s="604"/>
      <c r="M47" s="603"/>
      <c r="N47" s="602"/>
      <c r="V47" s="674"/>
      <c r="W47" s="675"/>
      <c r="AA47" s="537" t="s">
        <v>314</v>
      </c>
    </row>
    <row r="48" spans="1:27" s="536" customFormat="1" ht="12" x14ac:dyDescent="0.2">
      <c r="A48" s="605"/>
      <c r="B48" s="552"/>
      <c r="C48" s="1822" t="s">
        <v>348</v>
      </c>
      <c r="D48" s="1822"/>
      <c r="E48" s="1822"/>
      <c r="F48" s="562" t="s">
        <v>315</v>
      </c>
      <c r="G48" s="562" t="s">
        <v>1629</v>
      </c>
      <c r="H48" s="562" t="s">
        <v>313</v>
      </c>
      <c r="I48" s="562" t="s">
        <v>2192</v>
      </c>
      <c r="J48" s="604"/>
      <c r="K48" s="562"/>
      <c r="L48" s="604"/>
      <c r="M48" s="603"/>
      <c r="N48" s="602"/>
      <c r="V48" s="674"/>
      <c r="W48" s="675"/>
      <c r="AA48" s="537" t="s">
        <v>348</v>
      </c>
    </row>
    <row r="49" spans="1:29" s="536" customFormat="1" ht="12" x14ac:dyDescent="0.2">
      <c r="A49" s="605"/>
      <c r="B49" s="552"/>
      <c r="C49" s="1828" t="s">
        <v>318</v>
      </c>
      <c r="D49" s="1828"/>
      <c r="E49" s="1828"/>
      <c r="F49" s="608"/>
      <c r="G49" s="608"/>
      <c r="H49" s="608"/>
      <c r="I49" s="608"/>
      <c r="J49" s="607">
        <v>56.85</v>
      </c>
      <c r="K49" s="608"/>
      <c r="L49" s="607">
        <v>140.66</v>
      </c>
      <c r="M49" s="601"/>
      <c r="N49" s="606"/>
      <c r="V49" s="674"/>
      <c r="W49" s="675"/>
      <c r="AB49" s="537" t="s">
        <v>318</v>
      </c>
    </row>
    <row r="50" spans="1:29" s="536" customFormat="1" ht="12" x14ac:dyDescent="0.2">
      <c r="A50" s="605"/>
      <c r="B50" s="552"/>
      <c r="C50" s="1822" t="s">
        <v>319</v>
      </c>
      <c r="D50" s="1822"/>
      <c r="E50" s="1822"/>
      <c r="F50" s="562"/>
      <c r="G50" s="562"/>
      <c r="H50" s="562"/>
      <c r="I50" s="562"/>
      <c r="J50" s="604"/>
      <c r="K50" s="562"/>
      <c r="L50" s="604">
        <v>59.65</v>
      </c>
      <c r="M50" s="603"/>
      <c r="N50" s="602"/>
      <c r="V50" s="674"/>
      <c r="W50" s="675"/>
      <c r="AA50" s="537" t="s">
        <v>319</v>
      </c>
    </row>
    <row r="51" spans="1:29" s="536" customFormat="1" ht="33.75" x14ac:dyDescent="0.2">
      <c r="A51" s="605"/>
      <c r="B51" s="552" t="s">
        <v>1631</v>
      </c>
      <c r="C51" s="1822" t="s">
        <v>1632</v>
      </c>
      <c r="D51" s="1822"/>
      <c r="E51" s="1822"/>
      <c r="F51" s="562" t="s">
        <v>322</v>
      </c>
      <c r="G51" s="562" t="s">
        <v>1633</v>
      </c>
      <c r="H51" s="562"/>
      <c r="I51" s="562" t="s">
        <v>1633</v>
      </c>
      <c r="J51" s="604"/>
      <c r="K51" s="562"/>
      <c r="L51" s="604">
        <v>57.86</v>
      </c>
      <c r="M51" s="603"/>
      <c r="N51" s="602"/>
      <c r="V51" s="674"/>
      <c r="W51" s="675"/>
      <c r="AA51" s="537" t="s">
        <v>1632</v>
      </c>
    </row>
    <row r="52" spans="1:29" s="536" customFormat="1" ht="33.75" x14ac:dyDescent="0.2">
      <c r="A52" s="605"/>
      <c r="B52" s="552" t="s">
        <v>1634</v>
      </c>
      <c r="C52" s="1822" t="s">
        <v>1635</v>
      </c>
      <c r="D52" s="1822"/>
      <c r="E52" s="1822"/>
      <c r="F52" s="562" t="s">
        <v>322</v>
      </c>
      <c r="G52" s="562" t="s">
        <v>786</v>
      </c>
      <c r="H52" s="562"/>
      <c r="I52" s="562" t="s">
        <v>786</v>
      </c>
      <c r="J52" s="604"/>
      <c r="K52" s="562"/>
      <c r="L52" s="604">
        <v>30.42</v>
      </c>
      <c r="M52" s="603"/>
      <c r="N52" s="602"/>
      <c r="V52" s="674"/>
      <c r="W52" s="675"/>
      <c r="AA52" s="537" t="s">
        <v>1635</v>
      </c>
    </row>
    <row r="53" spans="1:29" s="536" customFormat="1" ht="12" x14ac:dyDescent="0.2">
      <c r="A53" s="569"/>
      <c r="B53" s="656"/>
      <c r="C53" s="1823" t="s">
        <v>327</v>
      </c>
      <c r="D53" s="1823"/>
      <c r="E53" s="1823"/>
      <c r="F53" s="573"/>
      <c r="G53" s="573"/>
      <c r="H53" s="573"/>
      <c r="I53" s="573"/>
      <c r="J53" s="572"/>
      <c r="K53" s="573"/>
      <c r="L53" s="572">
        <v>228.94</v>
      </c>
      <c r="M53" s="601"/>
      <c r="N53" s="570"/>
      <c r="V53" s="674"/>
      <c r="W53" s="675"/>
      <c r="AC53" s="675" t="s">
        <v>327</v>
      </c>
    </row>
    <row r="54" spans="1:29" s="536" customFormat="1" ht="270" x14ac:dyDescent="0.2">
      <c r="A54" s="575" t="s">
        <v>625</v>
      </c>
      <c r="B54" s="657" t="s">
        <v>2193</v>
      </c>
      <c r="C54" s="1823" t="s">
        <v>2194</v>
      </c>
      <c r="D54" s="1823"/>
      <c r="E54" s="1823"/>
      <c r="F54" s="573" t="s">
        <v>617</v>
      </c>
      <c r="G54" s="573"/>
      <c r="H54" s="573"/>
      <c r="I54" s="573" t="s">
        <v>185</v>
      </c>
      <c r="J54" s="572">
        <v>50745</v>
      </c>
      <c r="K54" s="573" t="s">
        <v>629</v>
      </c>
      <c r="L54" s="572">
        <v>11188.24</v>
      </c>
      <c r="M54" s="571">
        <v>4.59</v>
      </c>
      <c r="N54" s="570">
        <v>51354</v>
      </c>
      <c r="V54" s="674"/>
      <c r="W54" s="675" t="s">
        <v>2194</v>
      </c>
      <c r="AC54" s="675"/>
    </row>
    <row r="55" spans="1:29" s="536" customFormat="1" ht="12" x14ac:dyDescent="0.2">
      <c r="A55" s="569"/>
      <c r="B55" s="656"/>
      <c r="C55" s="661" t="s">
        <v>630</v>
      </c>
      <c r="D55" s="662"/>
      <c r="E55" s="662"/>
      <c r="F55" s="563"/>
      <c r="G55" s="563"/>
      <c r="H55" s="563"/>
      <c r="I55" s="563"/>
      <c r="J55" s="566"/>
      <c r="K55" s="563"/>
      <c r="L55" s="566"/>
      <c r="M55" s="565"/>
      <c r="N55" s="564"/>
      <c r="V55" s="674"/>
      <c r="W55" s="675"/>
      <c r="AC55" s="675"/>
    </row>
    <row r="56" spans="1:29" s="536" customFormat="1" ht="22.5" x14ac:dyDescent="0.2">
      <c r="A56" s="609"/>
      <c r="B56" s="552" t="s">
        <v>1638</v>
      </c>
      <c r="C56" s="1822" t="s">
        <v>632</v>
      </c>
      <c r="D56" s="1822"/>
      <c r="E56" s="1822"/>
      <c r="F56" s="1822"/>
      <c r="G56" s="1822"/>
      <c r="H56" s="1822"/>
      <c r="I56" s="1822"/>
      <c r="J56" s="1822"/>
      <c r="K56" s="1822"/>
      <c r="L56" s="1822"/>
      <c r="M56" s="1822"/>
      <c r="N56" s="1827"/>
      <c r="V56" s="674"/>
      <c r="W56" s="675"/>
      <c r="Y56" s="537" t="s">
        <v>632</v>
      </c>
      <c r="AC56" s="675"/>
    </row>
    <row r="57" spans="1:29" s="536" customFormat="1" ht="191.25" x14ac:dyDescent="0.2">
      <c r="A57" s="575" t="s">
        <v>2195</v>
      </c>
      <c r="B57" s="657" t="s">
        <v>2196</v>
      </c>
      <c r="C57" s="1823" t="s">
        <v>2197</v>
      </c>
      <c r="D57" s="1823"/>
      <c r="E57" s="1823"/>
      <c r="F57" s="573" t="s">
        <v>617</v>
      </c>
      <c r="G57" s="573"/>
      <c r="H57" s="573"/>
      <c r="I57" s="573" t="s">
        <v>185</v>
      </c>
      <c r="J57" s="572">
        <v>378046.85</v>
      </c>
      <c r="K57" s="573" t="s">
        <v>629</v>
      </c>
      <c r="L57" s="572">
        <v>83351.42</v>
      </c>
      <c r="M57" s="571">
        <v>4.59</v>
      </c>
      <c r="N57" s="570">
        <v>382583</v>
      </c>
      <c r="V57" s="674"/>
      <c r="W57" s="675" t="s">
        <v>2197</v>
      </c>
      <c r="AC57" s="675"/>
    </row>
    <row r="58" spans="1:29" s="536" customFormat="1" ht="12" x14ac:dyDescent="0.2">
      <c r="A58" s="569"/>
      <c r="B58" s="656"/>
      <c r="C58" s="661" t="s">
        <v>630</v>
      </c>
      <c r="D58" s="662"/>
      <c r="E58" s="662"/>
      <c r="F58" s="563"/>
      <c r="G58" s="563"/>
      <c r="H58" s="563"/>
      <c r="I58" s="563"/>
      <c r="J58" s="566"/>
      <c r="K58" s="563"/>
      <c r="L58" s="566"/>
      <c r="M58" s="565"/>
      <c r="N58" s="564"/>
      <c r="V58" s="674"/>
      <c r="W58" s="675"/>
      <c r="AC58" s="675"/>
    </row>
    <row r="59" spans="1:29" s="536" customFormat="1" ht="22.5" x14ac:dyDescent="0.2">
      <c r="A59" s="609"/>
      <c r="B59" s="552" t="s">
        <v>1638</v>
      </c>
      <c r="C59" s="1822" t="s">
        <v>632</v>
      </c>
      <c r="D59" s="1822"/>
      <c r="E59" s="1822"/>
      <c r="F59" s="1822"/>
      <c r="G59" s="1822"/>
      <c r="H59" s="1822"/>
      <c r="I59" s="1822"/>
      <c r="J59" s="1822"/>
      <c r="K59" s="1822"/>
      <c r="L59" s="1822"/>
      <c r="M59" s="1822"/>
      <c r="N59" s="1827"/>
      <c r="V59" s="674"/>
      <c r="W59" s="675"/>
      <c r="Y59" s="537" t="s">
        <v>632</v>
      </c>
      <c r="AC59" s="675"/>
    </row>
    <row r="60" spans="1:29" s="536" customFormat="1" ht="33.75" x14ac:dyDescent="0.2">
      <c r="A60" s="575" t="s">
        <v>188</v>
      </c>
      <c r="B60" s="657" t="s">
        <v>1639</v>
      </c>
      <c r="C60" s="1823" t="s">
        <v>1640</v>
      </c>
      <c r="D60" s="1823"/>
      <c r="E60" s="1823"/>
      <c r="F60" s="573" t="s">
        <v>307</v>
      </c>
      <c r="G60" s="573"/>
      <c r="H60" s="573"/>
      <c r="I60" s="573" t="s">
        <v>2198</v>
      </c>
      <c r="J60" s="572"/>
      <c r="K60" s="573"/>
      <c r="L60" s="572"/>
      <c r="M60" s="571"/>
      <c r="N60" s="570"/>
      <c r="V60" s="674"/>
      <c r="W60" s="675" t="s">
        <v>1640</v>
      </c>
      <c r="AC60" s="675"/>
    </row>
    <row r="61" spans="1:29" s="536" customFormat="1" ht="12" x14ac:dyDescent="0.2">
      <c r="A61" s="676"/>
      <c r="B61" s="655"/>
      <c r="C61" s="1822" t="s">
        <v>2199</v>
      </c>
      <c r="D61" s="1822"/>
      <c r="E61" s="1822"/>
      <c r="F61" s="1822"/>
      <c r="G61" s="1822"/>
      <c r="H61" s="1822"/>
      <c r="I61" s="1822"/>
      <c r="J61" s="1822"/>
      <c r="K61" s="1822"/>
      <c r="L61" s="1822"/>
      <c r="M61" s="1822"/>
      <c r="N61" s="1827"/>
      <c r="V61" s="674"/>
      <c r="W61" s="675"/>
      <c r="X61" s="537" t="s">
        <v>2199</v>
      </c>
      <c r="AC61" s="675"/>
    </row>
    <row r="62" spans="1:29" s="536" customFormat="1" ht="33.75" x14ac:dyDescent="0.2">
      <c r="A62" s="609"/>
      <c r="B62" s="552" t="s">
        <v>310</v>
      </c>
      <c r="C62" s="1822" t="s">
        <v>311</v>
      </c>
      <c r="D62" s="1822"/>
      <c r="E62" s="1822"/>
      <c r="F62" s="1822"/>
      <c r="G62" s="1822"/>
      <c r="H62" s="1822"/>
      <c r="I62" s="1822"/>
      <c r="J62" s="1822"/>
      <c r="K62" s="1822"/>
      <c r="L62" s="1822"/>
      <c r="M62" s="1822"/>
      <c r="N62" s="1827"/>
      <c r="V62" s="674"/>
      <c r="W62" s="675"/>
      <c r="Y62" s="537" t="s">
        <v>311</v>
      </c>
      <c r="AC62" s="675"/>
    </row>
    <row r="63" spans="1:29" s="536" customFormat="1" ht="12" x14ac:dyDescent="0.2">
      <c r="A63" s="605"/>
      <c r="B63" s="552" t="s">
        <v>185</v>
      </c>
      <c r="C63" s="1822" t="s">
        <v>312</v>
      </c>
      <c r="D63" s="1822"/>
      <c r="E63" s="1822"/>
      <c r="F63" s="562"/>
      <c r="G63" s="562"/>
      <c r="H63" s="562"/>
      <c r="I63" s="562"/>
      <c r="J63" s="604">
        <v>153.26</v>
      </c>
      <c r="K63" s="562" t="s">
        <v>313</v>
      </c>
      <c r="L63" s="604">
        <v>174.33</v>
      </c>
      <c r="M63" s="603"/>
      <c r="N63" s="602"/>
      <c r="V63" s="674"/>
      <c r="W63" s="675"/>
      <c r="Z63" s="537" t="s">
        <v>312</v>
      </c>
      <c r="AC63" s="675"/>
    </row>
    <row r="64" spans="1:29" s="536" customFormat="1" ht="12" x14ac:dyDescent="0.2">
      <c r="A64" s="605"/>
      <c r="B64" s="552" t="s">
        <v>186</v>
      </c>
      <c r="C64" s="1822" t="s">
        <v>344</v>
      </c>
      <c r="D64" s="1822"/>
      <c r="E64" s="1822"/>
      <c r="F64" s="562"/>
      <c r="G64" s="562"/>
      <c r="H64" s="562"/>
      <c r="I64" s="562"/>
      <c r="J64" s="604">
        <v>1.81</v>
      </c>
      <c r="K64" s="562" t="s">
        <v>313</v>
      </c>
      <c r="L64" s="604">
        <v>2.06</v>
      </c>
      <c r="M64" s="603"/>
      <c r="N64" s="602"/>
      <c r="V64" s="674"/>
      <c r="W64" s="675"/>
      <c r="Z64" s="537" t="s">
        <v>344</v>
      </c>
      <c r="AC64" s="675"/>
    </row>
    <row r="65" spans="1:29" s="536" customFormat="1" ht="12" x14ac:dyDescent="0.2">
      <c r="A65" s="605"/>
      <c r="B65" s="552" t="s">
        <v>187</v>
      </c>
      <c r="C65" s="1822" t="s">
        <v>345</v>
      </c>
      <c r="D65" s="1822"/>
      <c r="E65" s="1822"/>
      <c r="F65" s="562"/>
      <c r="G65" s="562"/>
      <c r="H65" s="562"/>
      <c r="I65" s="562"/>
      <c r="J65" s="604">
        <v>0.26</v>
      </c>
      <c r="K65" s="562" t="s">
        <v>313</v>
      </c>
      <c r="L65" s="604">
        <v>0.3</v>
      </c>
      <c r="M65" s="603"/>
      <c r="N65" s="602"/>
      <c r="V65" s="674"/>
      <c r="W65" s="675"/>
      <c r="Z65" s="537" t="s">
        <v>345</v>
      </c>
      <c r="AC65" s="675"/>
    </row>
    <row r="66" spans="1:29" s="536" customFormat="1" ht="12" x14ac:dyDescent="0.2">
      <c r="A66" s="605"/>
      <c r="B66" s="552" t="s">
        <v>188</v>
      </c>
      <c r="C66" s="1822" t="s">
        <v>475</v>
      </c>
      <c r="D66" s="1822"/>
      <c r="E66" s="1822"/>
      <c r="F66" s="562"/>
      <c r="G66" s="562"/>
      <c r="H66" s="562"/>
      <c r="I66" s="562"/>
      <c r="J66" s="604">
        <v>98.83</v>
      </c>
      <c r="K66" s="562"/>
      <c r="L66" s="604">
        <v>89.94</v>
      </c>
      <c r="M66" s="603"/>
      <c r="N66" s="602"/>
      <c r="V66" s="674"/>
      <c r="W66" s="675"/>
      <c r="Z66" s="537" t="s">
        <v>475</v>
      </c>
      <c r="AC66" s="675"/>
    </row>
    <row r="67" spans="1:29" s="536" customFormat="1" ht="12" x14ac:dyDescent="0.2">
      <c r="A67" s="605"/>
      <c r="B67" s="552"/>
      <c r="C67" s="1822" t="s">
        <v>314</v>
      </c>
      <c r="D67" s="1822"/>
      <c r="E67" s="1822"/>
      <c r="F67" s="562" t="s">
        <v>315</v>
      </c>
      <c r="G67" s="562" t="s">
        <v>1628</v>
      </c>
      <c r="H67" s="562" t="s">
        <v>313</v>
      </c>
      <c r="I67" s="562" t="s">
        <v>2200</v>
      </c>
      <c r="J67" s="604"/>
      <c r="K67" s="562"/>
      <c r="L67" s="604"/>
      <c r="M67" s="603"/>
      <c r="N67" s="602"/>
      <c r="V67" s="674"/>
      <c r="W67" s="675"/>
      <c r="AA67" s="537" t="s">
        <v>314</v>
      </c>
      <c r="AC67" s="675"/>
    </row>
    <row r="68" spans="1:29" s="536" customFormat="1" ht="12" x14ac:dyDescent="0.2">
      <c r="A68" s="605"/>
      <c r="B68" s="552"/>
      <c r="C68" s="1822" t="s">
        <v>348</v>
      </c>
      <c r="D68" s="1822"/>
      <c r="E68" s="1822"/>
      <c r="F68" s="562" t="s">
        <v>315</v>
      </c>
      <c r="G68" s="562" t="s">
        <v>695</v>
      </c>
      <c r="H68" s="562" t="s">
        <v>313</v>
      </c>
      <c r="I68" s="562" t="s">
        <v>2201</v>
      </c>
      <c r="J68" s="604"/>
      <c r="K68" s="562"/>
      <c r="L68" s="604"/>
      <c r="M68" s="603"/>
      <c r="N68" s="602"/>
      <c r="V68" s="674"/>
      <c r="W68" s="675"/>
      <c r="AA68" s="537" t="s">
        <v>348</v>
      </c>
      <c r="AC68" s="675"/>
    </row>
    <row r="69" spans="1:29" s="536" customFormat="1" ht="12" x14ac:dyDescent="0.2">
      <c r="A69" s="605"/>
      <c r="B69" s="552"/>
      <c r="C69" s="1828" t="s">
        <v>318</v>
      </c>
      <c r="D69" s="1828"/>
      <c r="E69" s="1828"/>
      <c r="F69" s="608"/>
      <c r="G69" s="608"/>
      <c r="H69" s="608"/>
      <c r="I69" s="608"/>
      <c r="J69" s="607">
        <v>253.9</v>
      </c>
      <c r="K69" s="608"/>
      <c r="L69" s="607">
        <v>266.33</v>
      </c>
      <c r="M69" s="601"/>
      <c r="N69" s="606"/>
      <c r="V69" s="674"/>
      <c r="W69" s="675"/>
      <c r="AB69" s="537" t="s">
        <v>318</v>
      </c>
      <c r="AC69" s="675"/>
    </row>
    <row r="70" spans="1:29" s="536" customFormat="1" ht="12" x14ac:dyDescent="0.2">
      <c r="A70" s="605"/>
      <c r="B70" s="552"/>
      <c r="C70" s="1822" t="s">
        <v>319</v>
      </c>
      <c r="D70" s="1822"/>
      <c r="E70" s="1822"/>
      <c r="F70" s="562"/>
      <c r="G70" s="562"/>
      <c r="H70" s="562"/>
      <c r="I70" s="562"/>
      <c r="J70" s="604"/>
      <c r="K70" s="562"/>
      <c r="L70" s="604">
        <v>174.63</v>
      </c>
      <c r="M70" s="603"/>
      <c r="N70" s="602"/>
      <c r="V70" s="674"/>
      <c r="W70" s="675"/>
      <c r="AA70" s="537" t="s">
        <v>319</v>
      </c>
      <c r="AC70" s="675"/>
    </row>
    <row r="71" spans="1:29" s="536" customFormat="1" ht="33.75" x14ac:dyDescent="0.2">
      <c r="A71" s="605"/>
      <c r="B71" s="552" t="s">
        <v>1631</v>
      </c>
      <c r="C71" s="1822" t="s">
        <v>1632</v>
      </c>
      <c r="D71" s="1822"/>
      <c r="E71" s="1822"/>
      <c r="F71" s="562" t="s">
        <v>322</v>
      </c>
      <c r="G71" s="562" t="s">
        <v>1633</v>
      </c>
      <c r="H71" s="562"/>
      <c r="I71" s="562" t="s">
        <v>1633</v>
      </c>
      <c r="J71" s="604"/>
      <c r="K71" s="562"/>
      <c r="L71" s="604">
        <v>169.39</v>
      </c>
      <c r="M71" s="603"/>
      <c r="N71" s="602"/>
      <c r="V71" s="674"/>
      <c r="W71" s="675"/>
      <c r="AA71" s="537" t="s">
        <v>1632</v>
      </c>
      <c r="AC71" s="675"/>
    </row>
    <row r="72" spans="1:29" s="536" customFormat="1" ht="33.75" x14ac:dyDescent="0.2">
      <c r="A72" s="605"/>
      <c r="B72" s="552" t="s">
        <v>1634</v>
      </c>
      <c r="C72" s="1822" t="s">
        <v>1635</v>
      </c>
      <c r="D72" s="1822"/>
      <c r="E72" s="1822"/>
      <c r="F72" s="562" t="s">
        <v>322</v>
      </c>
      <c r="G72" s="562" t="s">
        <v>786</v>
      </c>
      <c r="H72" s="562"/>
      <c r="I72" s="562" t="s">
        <v>786</v>
      </c>
      <c r="J72" s="604"/>
      <c r="K72" s="562"/>
      <c r="L72" s="604">
        <v>89.06</v>
      </c>
      <c r="M72" s="603"/>
      <c r="N72" s="602"/>
      <c r="V72" s="674"/>
      <c r="W72" s="675"/>
      <c r="AA72" s="537" t="s">
        <v>1635</v>
      </c>
      <c r="AC72" s="675"/>
    </row>
    <row r="73" spans="1:29" s="536" customFormat="1" ht="12" x14ac:dyDescent="0.2">
      <c r="A73" s="569"/>
      <c r="B73" s="656"/>
      <c r="C73" s="1823" t="s">
        <v>327</v>
      </c>
      <c r="D73" s="1823"/>
      <c r="E73" s="1823"/>
      <c r="F73" s="573"/>
      <c r="G73" s="573"/>
      <c r="H73" s="573"/>
      <c r="I73" s="573"/>
      <c r="J73" s="572"/>
      <c r="K73" s="573"/>
      <c r="L73" s="572">
        <v>524.78</v>
      </c>
      <c r="M73" s="601"/>
      <c r="N73" s="570"/>
      <c r="V73" s="674"/>
      <c r="W73" s="675"/>
      <c r="AC73" s="675" t="s">
        <v>327</v>
      </c>
    </row>
    <row r="74" spans="1:29" s="536" customFormat="1" ht="33.75" x14ac:dyDescent="0.2">
      <c r="A74" s="575" t="s">
        <v>189</v>
      </c>
      <c r="B74" s="657" t="s">
        <v>2202</v>
      </c>
      <c r="C74" s="1823" t="s">
        <v>2203</v>
      </c>
      <c r="D74" s="1823"/>
      <c r="E74" s="1823"/>
      <c r="F74" s="573" t="s">
        <v>307</v>
      </c>
      <c r="G74" s="573"/>
      <c r="H74" s="573"/>
      <c r="I74" s="573" t="s">
        <v>856</v>
      </c>
      <c r="J74" s="572"/>
      <c r="K74" s="573"/>
      <c r="L74" s="572"/>
      <c r="M74" s="571"/>
      <c r="N74" s="570"/>
      <c r="V74" s="674"/>
      <c r="W74" s="675" t="s">
        <v>2203</v>
      </c>
      <c r="AC74" s="675"/>
    </row>
    <row r="75" spans="1:29" s="536" customFormat="1" ht="12" x14ac:dyDescent="0.2">
      <c r="A75" s="676"/>
      <c r="B75" s="655"/>
      <c r="C75" s="1822" t="s">
        <v>2204</v>
      </c>
      <c r="D75" s="1822"/>
      <c r="E75" s="1822"/>
      <c r="F75" s="1822"/>
      <c r="G75" s="1822"/>
      <c r="H75" s="1822"/>
      <c r="I75" s="1822"/>
      <c r="J75" s="1822"/>
      <c r="K75" s="1822"/>
      <c r="L75" s="1822"/>
      <c r="M75" s="1822"/>
      <c r="N75" s="1827"/>
      <c r="V75" s="674"/>
      <c r="W75" s="675"/>
      <c r="X75" s="537" t="s">
        <v>2204</v>
      </c>
      <c r="AC75" s="675"/>
    </row>
    <row r="76" spans="1:29" s="536" customFormat="1" ht="33.75" x14ac:dyDescent="0.2">
      <c r="A76" s="609"/>
      <c r="B76" s="552" t="s">
        <v>310</v>
      </c>
      <c r="C76" s="1822" t="s">
        <v>311</v>
      </c>
      <c r="D76" s="1822"/>
      <c r="E76" s="1822"/>
      <c r="F76" s="1822"/>
      <c r="G76" s="1822"/>
      <c r="H76" s="1822"/>
      <c r="I76" s="1822"/>
      <c r="J76" s="1822"/>
      <c r="K76" s="1822"/>
      <c r="L76" s="1822"/>
      <c r="M76" s="1822"/>
      <c r="N76" s="1827"/>
      <c r="V76" s="674"/>
      <c r="W76" s="675"/>
      <c r="Y76" s="537" t="s">
        <v>311</v>
      </c>
      <c r="AC76" s="675"/>
    </row>
    <row r="77" spans="1:29" s="536" customFormat="1" ht="12" x14ac:dyDescent="0.2">
      <c r="A77" s="605"/>
      <c r="B77" s="552" t="s">
        <v>185</v>
      </c>
      <c r="C77" s="1822" t="s">
        <v>312</v>
      </c>
      <c r="D77" s="1822"/>
      <c r="E77" s="1822"/>
      <c r="F77" s="562"/>
      <c r="G77" s="562"/>
      <c r="H77" s="562"/>
      <c r="I77" s="562"/>
      <c r="J77" s="604">
        <v>296.31</v>
      </c>
      <c r="K77" s="562" t="s">
        <v>313</v>
      </c>
      <c r="L77" s="604">
        <v>18.52</v>
      </c>
      <c r="M77" s="603"/>
      <c r="N77" s="602"/>
      <c r="V77" s="674"/>
      <c r="W77" s="675"/>
      <c r="Z77" s="537" t="s">
        <v>312</v>
      </c>
      <c r="AC77" s="675"/>
    </row>
    <row r="78" spans="1:29" s="536" customFormat="1" ht="12" x14ac:dyDescent="0.2">
      <c r="A78" s="605"/>
      <c r="B78" s="552" t="s">
        <v>186</v>
      </c>
      <c r="C78" s="1822" t="s">
        <v>344</v>
      </c>
      <c r="D78" s="1822"/>
      <c r="E78" s="1822"/>
      <c r="F78" s="562"/>
      <c r="G78" s="562"/>
      <c r="H78" s="562"/>
      <c r="I78" s="562"/>
      <c r="J78" s="604">
        <v>13.51</v>
      </c>
      <c r="K78" s="562" t="s">
        <v>313</v>
      </c>
      <c r="L78" s="604">
        <v>0.84</v>
      </c>
      <c r="M78" s="603"/>
      <c r="N78" s="602"/>
      <c r="V78" s="674"/>
      <c r="W78" s="675"/>
      <c r="Z78" s="537" t="s">
        <v>344</v>
      </c>
      <c r="AC78" s="675"/>
    </row>
    <row r="79" spans="1:29" s="536" customFormat="1" ht="12" x14ac:dyDescent="0.2">
      <c r="A79" s="605"/>
      <c r="B79" s="552" t="s">
        <v>187</v>
      </c>
      <c r="C79" s="1822" t="s">
        <v>345</v>
      </c>
      <c r="D79" s="1822"/>
      <c r="E79" s="1822"/>
      <c r="F79" s="562"/>
      <c r="G79" s="562"/>
      <c r="H79" s="562"/>
      <c r="I79" s="562"/>
      <c r="J79" s="604">
        <v>0.26</v>
      </c>
      <c r="K79" s="562" t="s">
        <v>313</v>
      </c>
      <c r="L79" s="604">
        <v>0.02</v>
      </c>
      <c r="M79" s="603"/>
      <c r="N79" s="602"/>
      <c r="V79" s="674"/>
      <c r="W79" s="675"/>
      <c r="Z79" s="537" t="s">
        <v>345</v>
      </c>
      <c r="AC79" s="675"/>
    </row>
    <row r="80" spans="1:29" s="536" customFormat="1" ht="12" x14ac:dyDescent="0.2">
      <c r="A80" s="605"/>
      <c r="B80" s="552" t="s">
        <v>188</v>
      </c>
      <c r="C80" s="1822" t="s">
        <v>475</v>
      </c>
      <c r="D80" s="1822"/>
      <c r="E80" s="1822"/>
      <c r="F80" s="562"/>
      <c r="G80" s="562"/>
      <c r="H80" s="562"/>
      <c r="I80" s="562"/>
      <c r="J80" s="604">
        <v>122.24</v>
      </c>
      <c r="K80" s="562"/>
      <c r="L80" s="604">
        <v>6.11</v>
      </c>
      <c r="M80" s="603"/>
      <c r="N80" s="602"/>
      <c r="V80" s="674"/>
      <c r="W80" s="675"/>
      <c r="Z80" s="537" t="s">
        <v>475</v>
      </c>
      <c r="AC80" s="675"/>
    </row>
    <row r="81" spans="1:29" s="536" customFormat="1" ht="12" x14ac:dyDescent="0.2">
      <c r="A81" s="605"/>
      <c r="B81" s="552"/>
      <c r="C81" s="1822" t="s">
        <v>314</v>
      </c>
      <c r="D81" s="1822"/>
      <c r="E81" s="1822"/>
      <c r="F81" s="562" t="s">
        <v>315</v>
      </c>
      <c r="G81" s="562" t="s">
        <v>2205</v>
      </c>
      <c r="H81" s="562" t="s">
        <v>313</v>
      </c>
      <c r="I81" s="562" t="s">
        <v>2206</v>
      </c>
      <c r="J81" s="604"/>
      <c r="K81" s="562"/>
      <c r="L81" s="604"/>
      <c r="M81" s="603"/>
      <c r="N81" s="602"/>
      <c r="V81" s="674"/>
      <c r="W81" s="675"/>
      <c r="AA81" s="537" t="s">
        <v>314</v>
      </c>
      <c r="AC81" s="675"/>
    </row>
    <row r="82" spans="1:29" s="536" customFormat="1" ht="12" x14ac:dyDescent="0.2">
      <c r="A82" s="605"/>
      <c r="B82" s="552"/>
      <c r="C82" s="1822" t="s">
        <v>348</v>
      </c>
      <c r="D82" s="1822"/>
      <c r="E82" s="1822"/>
      <c r="F82" s="562" t="s">
        <v>315</v>
      </c>
      <c r="G82" s="562" t="s">
        <v>695</v>
      </c>
      <c r="H82" s="562" t="s">
        <v>313</v>
      </c>
      <c r="I82" s="562" t="s">
        <v>2207</v>
      </c>
      <c r="J82" s="604"/>
      <c r="K82" s="562"/>
      <c r="L82" s="604"/>
      <c r="M82" s="603"/>
      <c r="N82" s="602"/>
      <c r="V82" s="674"/>
      <c r="W82" s="675"/>
      <c r="AA82" s="537" t="s">
        <v>348</v>
      </c>
      <c r="AC82" s="675"/>
    </row>
    <row r="83" spans="1:29" s="536" customFormat="1" ht="12" x14ac:dyDescent="0.2">
      <c r="A83" s="605"/>
      <c r="B83" s="552"/>
      <c r="C83" s="1828" t="s">
        <v>318</v>
      </c>
      <c r="D83" s="1828"/>
      <c r="E83" s="1828"/>
      <c r="F83" s="608"/>
      <c r="G83" s="608"/>
      <c r="H83" s="608"/>
      <c r="I83" s="608"/>
      <c r="J83" s="607">
        <v>432.06</v>
      </c>
      <c r="K83" s="608"/>
      <c r="L83" s="607">
        <v>25.47</v>
      </c>
      <c r="M83" s="601"/>
      <c r="N83" s="606"/>
      <c r="V83" s="674"/>
      <c r="W83" s="675"/>
      <c r="AB83" s="537" t="s">
        <v>318</v>
      </c>
      <c r="AC83" s="675"/>
    </row>
    <row r="84" spans="1:29" s="536" customFormat="1" ht="12" x14ac:dyDescent="0.2">
      <c r="A84" s="605"/>
      <c r="B84" s="552"/>
      <c r="C84" s="1822" t="s">
        <v>319</v>
      </c>
      <c r="D84" s="1822"/>
      <c r="E84" s="1822"/>
      <c r="F84" s="562"/>
      <c r="G84" s="562"/>
      <c r="H84" s="562"/>
      <c r="I84" s="562"/>
      <c r="J84" s="604"/>
      <c r="K84" s="562"/>
      <c r="L84" s="604">
        <v>18.54</v>
      </c>
      <c r="M84" s="603"/>
      <c r="N84" s="602"/>
      <c r="V84" s="674"/>
      <c r="W84" s="675"/>
      <c r="AA84" s="537" t="s">
        <v>319</v>
      </c>
      <c r="AC84" s="675"/>
    </row>
    <row r="85" spans="1:29" s="536" customFormat="1" ht="33.75" x14ac:dyDescent="0.2">
      <c r="A85" s="605"/>
      <c r="B85" s="552" t="s">
        <v>1631</v>
      </c>
      <c r="C85" s="1822" t="s">
        <v>1632</v>
      </c>
      <c r="D85" s="1822"/>
      <c r="E85" s="1822"/>
      <c r="F85" s="562" t="s">
        <v>322</v>
      </c>
      <c r="G85" s="562" t="s">
        <v>1633</v>
      </c>
      <c r="H85" s="562"/>
      <c r="I85" s="562" t="s">
        <v>1633</v>
      </c>
      <c r="J85" s="604"/>
      <c r="K85" s="562"/>
      <c r="L85" s="604">
        <v>17.98</v>
      </c>
      <c r="M85" s="603"/>
      <c r="N85" s="602"/>
      <c r="V85" s="674"/>
      <c r="W85" s="675"/>
      <c r="AA85" s="537" t="s">
        <v>1632</v>
      </c>
      <c r="AC85" s="675"/>
    </row>
    <row r="86" spans="1:29" s="536" customFormat="1" ht="33.75" x14ac:dyDescent="0.2">
      <c r="A86" s="605"/>
      <c r="B86" s="552" t="s">
        <v>1634</v>
      </c>
      <c r="C86" s="1822" t="s">
        <v>1635</v>
      </c>
      <c r="D86" s="1822"/>
      <c r="E86" s="1822"/>
      <c r="F86" s="562" t="s">
        <v>322</v>
      </c>
      <c r="G86" s="562" t="s">
        <v>786</v>
      </c>
      <c r="H86" s="562"/>
      <c r="I86" s="562" t="s">
        <v>786</v>
      </c>
      <c r="J86" s="604"/>
      <c r="K86" s="562"/>
      <c r="L86" s="604">
        <v>9.4600000000000009</v>
      </c>
      <c r="M86" s="603"/>
      <c r="N86" s="602"/>
      <c r="V86" s="674"/>
      <c r="W86" s="675"/>
      <c r="AA86" s="537" t="s">
        <v>1635</v>
      </c>
      <c r="AC86" s="675"/>
    </row>
    <row r="87" spans="1:29" s="536" customFormat="1" ht="12" x14ac:dyDescent="0.2">
      <c r="A87" s="569"/>
      <c r="B87" s="656"/>
      <c r="C87" s="1823" t="s">
        <v>327</v>
      </c>
      <c r="D87" s="1823"/>
      <c r="E87" s="1823"/>
      <c r="F87" s="573"/>
      <c r="G87" s="573"/>
      <c r="H87" s="573"/>
      <c r="I87" s="573"/>
      <c r="J87" s="572"/>
      <c r="K87" s="573"/>
      <c r="L87" s="572">
        <v>52.91</v>
      </c>
      <c r="M87" s="601"/>
      <c r="N87" s="570"/>
      <c r="V87" s="674"/>
      <c r="W87" s="675"/>
      <c r="AC87" s="675" t="s">
        <v>327</v>
      </c>
    </row>
    <row r="88" spans="1:29" s="536" customFormat="1" ht="33.75" x14ac:dyDescent="0.2">
      <c r="A88" s="575" t="s">
        <v>190</v>
      </c>
      <c r="B88" s="657" t="s">
        <v>2208</v>
      </c>
      <c r="C88" s="1823" t="s">
        <v>2209</v>
      </c>
      <c r="D88" s="1823"/>
      <c r="E88" s="1823"/>
      <c r="F88" s="573" t="s">
        <v>307</v>
      </c>
      <c r="G88" s="573"/>
      <c r="H88" s="573"/>
      <c r="I88" s="573" t="s">
        <v>856</v>
      </c>
      <c r="J88" s="572"/>
      <c r="K88" s="573"/>
      <c r="L88" s="572"/>
      <c r="M88" s="571"/>
      <c r="N88" s="570"/>
      <c r="V88" s="674"/>
      <c r="W88" s="675" t="s">
        <v>2209</v>
      </c>
      <c r="AC88" s="675"/>
    </row>
    <row r="89" spans="1:29" s="536" customFormat="1" ht="12" x14ac:dyDescent="0.2">
      <c r="A89" s="676"/>
      <c r="B89" s="655"/>
      <c r="C89" s="1822" t="s">
        <v>2204</v>
      </c>
      <c r="D89" s="1822"/>
      <c r="E89" s="1822"/>
      <c r="F89" s="1822"/>
      <c r="G89" s="1822"/>
      <c r="H89" s="1822"/>
      <c r="I89" s="1822"/>
      <c r="J89" s="1822"/>
      <c r="K89" s="1822"/>
      <c r="L89" s="1822"/>
      <c r="M89" s="1822"/>
      <c r="N89" s="1827"/>
      <c r="V89" s="674"/>
      <c r="W89" s="675"/>
      <c r="X89" s="537" t="s">
        <v>2204</v>
      </c>
      <c r="AC89" s="675"/>
    </row>
    <row r="90" spans="1:29" s="536" customFormat="1" ht="33.75" x14ac:dyDescent="0.2">
      <c r="A90" s="609"/>
      <c r="B90" s="552" t="s">
        <v>310</v>
      </c>
      <c r="C90" s="1822" t="s">
        <v>311</v>
      </c>
      <c r="D90" s="1822"/>
      <c r="E90" s="1822"/>
      <c r="F90" s="1822"/>
      <c r="G90" s="1822"/>
      <c r="H90" s="1822"/>
      <c r="I90" s="1822"/>
      <c r="J90" s="1822"/>
      <c r="K90" s="1822"/>
      <c r="L90" s="1822"/>
      <c r="M90" s="1822"/>
      <c r="N90" s="1827"/>
      <c r="V90" s="674"/>
      <c r="W90" s="675"/>
      <c r="Y90" s="537" t="s">
        <v>311</v>
      </c>
      <c r="AC90" s="675"/>
    </row>
    <row r="91" spans="1:29" s="536" customFormat="1" ht="12" x14ac:dyDescent="0.2">
      <c r="A91" s="605"/>
      <c r="B91" s="552" t="s">
        <v>185</v>
      </c>
      <c r="C91" s="1822" t="s">
        <v>312</v>
      </c>
      <c r="D91" s="1822"/>
      <c r="E91" s="1822"/>
      <c r="F91" s="562"/>
      <c r="G91" s="562"/>
      <c r="H91" s="562"/>
      <c r="I91" s="562"/>
      <c r="J91" s="604">
        <v>398.49</v>
      </c>
      <c r="K91" s="562" t="s">
        <v>313</v>
      </c>
      <c r="L91" s="604">
        <v>24.91</v>
      </c>
      <c r="M91" s="603"/>
      <c r="N91" s="602"/>
      <c r="V91" s="674"/>
      <c r="W91" s="675"/>
      <c r="Z91" s="537" t="s">
        <v>312</v>
      </c>
      <c r="AC91" s="675"/>
    </row>
    <row r="92" spans="1:29" s="536" customFormat="1" ht="12" x14ac:dyDescent="0.2">
      <c r="A92" s="605"/>
      <c r="B92" s="552" t="s">
        <v>186</v>
      </c>
      <c r="C92" s="1822" t="s">
        <v>344</v>
      </c>
      <c r="D92" s="1822"/>
      <c r="E92" s="1822"/>
      <c r="F92" s="562"/>
      <c r="G92" s="562"/>
      <c r="H92" s="562"/>
      <c r="I92" s="562"/>
      <c r="J92" s="604">
        <v>23.8</v>
      </c>
      <c r="K92" s="562" t="s">
        <v>313</v>
      </c>
      <c r="L92" s="604">
        <v>1.49</v>
      </c>
      <c r="M92" s="603"/>
      <c r="N92" s="602"/>
      <c r="V92" s="674"/>
      <c r="W92" s="675"/>
      <c r="Z92" s="537" t="s">
        <v>344</v>
      </c>
      <c r="AC92" s="675"/>
    </row>
    <row r="93" spans="1:29" s="536" customFormat="1" ht="12" x14ac:dyDescent="0.2">
      <c r="A93" s="605"/>
      <c r="B93" s="552" t="s">
        <v>187</v>
      </c>
      <c r="C93" s="1822" t="s">
        <v>345</v>
      </c>
      <c r="D93" s="1822"/>
      <c r="E93" s="1822"/>
      <c r="F93" s="562"/>
      <c r="G93" s="562"/>
      <c r="H93" s="562"/>
      <c r="I93" s="562"/>
      <c r="J93" s="604">
        <v>0.76</v>
      </c>
      <c r="K93" s="562" t="s">
        <v>313</v>
      </c>
      <c r="L93" s="604">
        <v>0.05</v>
      </c>
      <c r="M93" s="603"/>
      <c r="N93" s="602"/>
      <c r="V93" s="674"/>
      <c r="W93" s="675"/>
      <c r="Z93" s="537" t="s">
        <v>345</v>
      </c>
      <c r="AC93" s="675"/>
    </row>
    <row r="94" spans="1:29" s="536" customFormat="1" ht="12" x14ac:dyDescent="0.2">
      <c r="A94" s="605"/>
      <c r="B94" s="552" t="s">
        <v>188</v>
      </c>
      <c r="C94" s="1822" t="s">
        <v>475</v>
      </c>
      <c r="D94" s="1822"/>
      <c r="E94" s="1822"/>
      <c r="F94" s="562"/>
      <c r="G94" s="562"/>
      <c r="H94" s="562"/>
      <c r="I94" s="562"/>
      <c r="J94" s="604">
        <v>197.76</v>
      </c>
      <c r="K94" s="562"/>
      <c r="L94" s="604">
        <v>9.89</v>
      </c>
      <c r="M94" s="603"/>
      <c r="N94" s="602"/>
      <c r="V94" s="674"/>
      <c r="W94" s="675"/>
      <c r="Z94" s="537" t="s">
        <v>475</v>
      </c>
      <c r="AC94" s="675"/>
    </row>
    <row r="95" spans="1:29" s="536" customFormat="1" ht="12" x14ac:dyDescent="0.2">
      <c r="A95" s="605"/>
      <c r="B95" s="552"/>
      <c r="C95" s="1822" t="s">
        <v>314</v>
      </c>
      <c r="D95" s="1822"/>
      <c r="E95" s="1822"/>
      <c r="F95" s="562" t="s">
        <v>315</v>
      </c>
      <c r="G95" s="562" t="s">
        <v>2210</v>
      </c>
      <c r="H95" s="562" t="s">
        <v>313</v>
      </c>
      <c r="I95" s="562" t="s">
        <v>2211</v>
      </c>
      <c r="J95" s="604"/>
      <c r="K95" s="562"/>
      <c r="L95" s="604"/>
      <c r="M95" s="603"/>
      <c r="N95" s="602"/>
      <c r="V95" s="674"/>
      <c r="W95" s="675"/>
      <c r="AA95" s="537" t="s">
        <v>314</v>
      </c>
      <c r="AC95" s="675"/>
    </row>
    <row r="96" spans="1:29" s="536" customFormat="1" ht="12" x14ac:dyDescent="0.2">
      <c r="A96" s="605"/>
      <c r="B96" s="552"/>
      <c r="C96" s="1822" t="s">
        <v>348</v>
      </c>
      <c r="D96" s="1822"/>
      <c r="E96" s="1822"/>
      <c r="F96" s="562" t="s">
        <v>315</v>
      </c>
      <c r="G96" s="562" t="s">
        <v>1554</v>
      </c>
      <c r="H96" s="562" t="s">
        <v>313</v>
      </c>
      <c r="I96" s="562" t="s">
        <v>2212</v>
      </c>
      <c r="J96" s="604"/>
      <c r="K96" s="562"/>
      <c r="L96" s="604"/>
      <c r="M96" s="603"/>
      <c r="N96" s="602"/>
      <c r="V96" s="674"/>
      <c r="W96" s="675"/>
      <c r="AA96" s="537" t="s">
        <v>348</v>
      </c>
      <c r="AC96" s="675"/>
    </row>
    <row r="97" spans="1:29" s="536" customFormat="1" ht="12" x14ac:dyDescent="0.2">
      <c r="A97" s="605"/>
      <c r="B97" s="552"/>
      <c r="C97" s="1828" t="s">
        <v>318</v>
      </c>
      <c r="D97" s="1828"/>
      <c r="E97" s="1828"/>
      <c r="F97" s="608"/>
      <c r="G97" s="608"/>
      <c r="H97" s="608"/>
      <c r="I97" s="608"/>
      <c r="J97" s="607">
        <v>620.04999999999995</v>
      </c>
      <c r="K97" s="608"/>
      <c r="L97" s="607">
        <v>36.29</v>
      </c>
      <c r="M97" s="601"/>
      <c r="N97" s="606"/>
      <c r="V97" s="674"/>
      <c r="W97" s="675"/>
      <c r="AB97" s="537" t="s">
        <v>318</v>
      </c>
      <c r="AC97" s="675"/>
    </row>
    <row r="98" spans="1:29" s="536" customFormat="1" ht="12" x14ac:dyDescent="0.2">
      <c r="A98" s="605"/>
      <c r="B98" s="552"/>
      <c r="C98" s="1822" t="s">
        <v>319</v>
      </c>
      <c r="D98" s="1822"/>
      <c r="E98" s="1822"/>
      <c r="F98" s="562"/>
      <c r="G98" s="562"/>
      <c r="H98" s="562"/>
      <c r="I98" s="562"/>
      <c r="J98" s="604"/>
      <c r="K98" s="562"/>
      <c r="L98" s="604">
        <v>24.96</v>
      </c>
      <c r="M98" s="603"/>
      <c r="N98" s="602"/>
      <c r="V98" s="674"/>
      <c r="W98" s="675"/>
      <c r="AA98" s="537" t="s">
        <v>319</v>
      </c>
      <c r="AC98" s="675"/>
    </row>
    <row r="99" spans="1:29" s="536" customFormat="1" ht="33.75" x14ac:dyDescent="0.2">
      <c r="A99" s="605"/>
      <c r="B99" s="552" t="s">
        <v>1631</v>
      </c>
      <c r="C99" s="1822" t="s">
        <v>1632</v>
      </c>
      <c r="D99" s="1822"/>
      <c r="E99" s="1822"/>
      <c r="F99" s="562" t="s">
        <v>322</v>
      </c>
      <c r="G99" s="562" t="s">
        <v>1633</v>
      </c>
      <c r="H99" s="562"/>
      <c r="I99" s="562" t="s">
        <v>1633</v>
      </c>
      <c r="J99" s="604"/>
      <c r="K99" s="562"/>
      <c r="L99" s="604">
        <v>24.21</v>
      </c>
      <c r="M99" s="603"/>
      <c r="N99" s="602"/>
      <c r="V99" s="674"/>
      <c r="W99" s="675"/>
      <c r="AA99" s="537" t="s">
        <v>1632</v>
      </c>
      <c r="AC99" s="675"/>
    </row>
    <row r="100" spans="1:29" s="536" customFormat="1" ht="33.75" x14ac:dyDescent="0.2">
      <c r="A100" s="605"/>
      <c r="B100" s="552" t="s">
        <v>1634</v>
      </c>
      <c r="C100" s="1822" t="s">
        <v>1635</v>
      </c>
      <c r="D100" s="1822"/>
      <c r="E100" s="1822"/>
      <c r="F100" s="562" t="s">
        <v>322</v>
      </c>
      <c r="G100" s="562" t="s">
        <v>786</v>
      </c>
      <c r="H100" s="562"/>
      <c r="I100" s="562" t="s">
        <v>786</v>
      </c>
      <c r="J100" s="604"/>
      <c r="K100" s="562"/>
      <c r="L100" s="604">
        <v>12.73</v>
      </c>
      <c r="M100" s="603"/>
      <c r="N100" s="602"/>
      <c r="V100" s="674"/>
      <c r="W100" s="675"/>
      <c r="AA100" s="537" t="s">
        <v>1635</v>
      </c>
      <c r="AC100" s="675"/>
    </row>
    <row r="101" spans="1:29" s="536" customFormat="1" ht="12" x14ac:dyDescent="0.2">
      <c r="A101" s="569"/>
      <c r="B101" s="656"/>
      <c r="C101" s="1823" t="s">
        <v>327</v>
      </c>
      <c r="D101" s="1823"/>
      <c r="E101" s="1823"/>
      <c r="F101" s="573"/>
      <c r="G101" s="573"/>
      <c r="H101" s="573"/>
      <c r="I101" s="573"/>
      <c r="J101" s="572"/>
      <c r="K101" s="573"/>
      <c r="L101" s="572">
        <v>73.23</v>
      </c>
      <c r="M101" s="601"/>
      <c r="N101" s="570"/>
      <c r="V101" s="674"/>
      <c r="W101" s="675"/>
      <c r="AC101" s="675" t="s">
        <v>327</v>
      </c>
    </row>
    <row r="102" spans="1:29" s="536" customFormat="1" ht="33.75" x14ac:dyDescent="0.2">
      <c r="A102" s="575" t="s">
        <v>191</v>
      </c>
      <c r="B102" s="657" t="s">
        <v>1639</v>
      </c>
      <c r="C102" s="1823" t="s">
        <v>1640</v>
      </c>
      <c r="D102" s="1823"/>
      <c r="E102" s="1823"/>
      <c r="F102" s="573" t="s">
        <v>307</v>
      </c>
      <c r="G102" s="573"/>
      <c r="H102" s="573"/>
      <c r="I102" s="573" t="s">
        <v>1901</v>
      </c>
      <c r="J102" s="572"/>
      <c r="K102" s="573"/>
      <c r="L102" s="572"/>
      <c r="M102" s="571"/>
      <c r="N102" s="570"/>
      <c r="V102" s="674"/>
      <c r="W102" s="675" t="s">
        <v>1640</v>
      </c>
      <c r="AC102" s="675"/>
    </row>
    <row r="103" spans="1:29" s="536" customFormat="1" ht="12" x14ac:dyDescent="0.2">
      <c r="A103" s="676"/>
      <c r="B103" s="655"/>
      <c r="C103" s="1822" t="s">
        <v>2213</v>
      </c>
      <c r="D103" s="1822"/>
      <c r="E103" s="1822"/>
      <c r="F103" s="1822"/>
      <c r="G103" s="1822"/>
      <c r="H103" s="1822"/>
      <c r="I103" s="1822"/>
      <c r="J103" s="1822"/>
      <c r="K103" s="1822"/>
      <c r="L103" s="1822"/>
      <c r="M103" s="1822"/>
      <c r="N103" s="1827"/>
      <c r="V103" s="674"/>
      <c r="W103" s="675"/>
      <c r="X103" s="537" t="s">
        <v>2213</v>
      </c>
      <c r="AC103" s="675"/>
    </row>
    <row r="104" spans="1:29" s="536" customFormat="1" ht="33.75" x14ac:dyDescent="0.2">
      <c r="A104" s="609"/>
      <c r="B104" s="552" t="s">
        <v>310</v>
      </c>
      <c r="C104" s="1822" t="s">
        <v>311</v>
      </c>
      <c r="D104" s="1822"/>
      <c r="E104" s="1822"/>
      <c r="F104" s="1822"/>
      <c r="G104" s="1822"/>
      <c r="H104" s="1822"/>
      <c r="I104" s="1822"/>
      <c r="J104" s="1822"/>
      <c r="K104" s="1822"/>
      <c r="L104" s="1822"/>
      <c r="M104" s="1822"/>
      <c r="N104" s="1827"/>
      <c r="V104" s="674"/>
      <c r="W104" s="675"/>
      <c r="Y104" s="537" t="s">
        <v>311</v>
      </c>
      <c r="AC104" s="675"/>
    </row>
    <row r="105" spans="1:29" s="536" customFormat="1" ht="12" x14ac:dyDescent="0.2">
      <c r="A105" s="605"/>
      <c r="B105" s="552" t="s">
        <v>185</v>
      </c>
      <c r="C105" s="1822" t="s">
        <v>312</v>
      </c>
      <c r="D105" s="1822"/>
      <c r="E105" s="1822"/>
      <c r="F105" s="562"/>
      <c r="G105" s="562"/>
      <c r="H105" s="562"/>
      <c r="I105" s="562"/>
      <c r="J105" s="604">
        <v>153.26</v>
      </c>
      <c r="K105" s="562" t="s">
        <v>313</v>
      </c>
      <c r="L105" s="604">
        <v>28.74</v>
      </c>
      <c r="M105" s="603"/>
      <c r="N105" s="602"/>
      <c r="V105" s="674"/>
      <c r="W105" s="675"/>
      <c r="Z105" s="537" t="s">
        <v>312</v>
      </c>
      <c r="AC105" s="675"/>
    </row>
    <row r="106" spans="1:29" s="536" customFormat="1" ht="12" x14ac:dyDescent="0.2">
      <c r="A106" s="605"/>
      <c r="B106" s="552" t="s">
        <v>186</v>
      </c>
      <c r="C106" s="1822" t="s">
        <v>344</v>
      </c>
      <c r="D106" s="1822"/>
      <c r="E106" s="1822"/>
      <c r="F106" s="562"/>
      <c r="G106" s="562"/>
      <c r="H106" s="562"/>
      <c r="I106" s="562"/>
      <c r="J106" s="604">
        <v>1.81</v>
      </c>
      <c r="K106" s="562" t="s">
        <v>313</v>
      </c>
      <c r="L106" s="604">
        <v>0.34</v>
      </c>
      <c r="M106" s="603"/>
      <c r="N106" s="602"/>
      <c r="V106" s="674"/>
      <c r="W106" s="675"/>
      <c r="Z106" s="537" t="s">
        <v>344</v>
      </c>
      <c r="AC106" s="675"/>
    </row>
    <row r="107" spans="1:29" s="536" customFormat="1" ht="12" x14ac:dyDescent="0.2">
      <c r="A107" s="605"/>
      <c r="B107" s="552" t="s">
        <v>187</v>
      </c>
      <c r="C107" s="1822" t="s">
        <v>345</v>
      </c>
      <c r="D107" s="1822"/>
      <c r="E107" s="1822"/>
      <c r="F107" s="562"/>
      <c r="G107" s="562"/>
      <c r="H107" s="562"/>
      <c r="I107" s="562"/>
      <c r="J107" s="604">
        <v>0.26</v>
      </c>
      <c r="K107" s="562" t="s">
        <v>313</v>
      </c>
      <c r="L107" s="604">
        <v>0.05</v>
      </c>
      <c r="M107" s="603"/>
      <c r="N107" s="602"/>
      <c r="V107" s="674"/>
      <c r="W107" s="675"/>
      <c r="Z107" s="537" t="s">
        <v>345</v>
      </c>
      <c r="AC107" s="675"/>
    </row>
    <row r="108" spans="1:29" s="536" customFormat="1" ht="12" x14ac:dyDescent="0.2">
      <c r="A108" s="605"/>
      <c r="B108" s="552" t="s">
        <v>188</v>
      </c>
      <c r="C108" s="1822" t="s">
        <v>475</v>
      </c>
      <c r="D108" s="1822"/>
      <c r="E108" s="1822"/>
      <c r="F108" s="562"/>
      <c r="G108" s="562"/>
      <c r="H108" s="562"/>
      <c r="I108" s="562"/>
      <c r="J108" s="604">
        <v>98.83</v>
      </c>
      <c r="K108" s="562"/>
      <c r="L108" s="604">
        <v>14.82</v>
      </c>
      <c r="M108" s="603"/>
      <c r="N108" s="602"/>
      <c r="V108" s="674"/>
      <c r="W108" s="675"/>
      <c r="Z108" s="537" t="s">
        <v>475</v>
      </c>
      <c r="AC108" s="675"/>
    </row>
    <row r="109" spans="1:29" s="536" customFormat="1" ht="12" x14ac:dyDescent="0.2">
      <c r="A109" s="605"/>
      <c r="B109" s="552"/>
      <c r="C109" s="1822" t="s">
        <v>314</v>
      </c>
      <c r="D109" s="1822"/>
      <c r="E109" s="1822"/>
      <c r="F109" s="562" t="s">
        <v>315</v>
      </c>
      <c r="G109" s="562" t="s">
        <v>1628</v>
      </c>
      <c r="H109" s="562" t="s">
        <v>313</v>
      </c>
      <c r="I109" s="562" t="s">
        <v>2214</v>
      </c>
      <c r="J109" s="604"/>
      <c r="K109" s="562"/>
      <c r="L109" s="604"/>
      <c r="M109" s="603"/>
      <c r="N109" s="602"/>
      <c r="V109" s="674"/>
      <c r="W109" s="675"/>
      <c r="AA109" s="537" t="s">
        <v>314</v>
      </c>
      <c r="AC109" s="675"/>
    </row>
    <row r="110" spans="1:29" s="536" customFormat="1" ht="12" x14ac:dyDescent="0.2">
      <c r="A110" s="605"/>
      <c r="B110" s="552"/>
      <c r="C110" s="1822" t="s">
        <v>348</v>
      </c>
      <c r="D110" s="1822"/>
      <c r="E110" s="1822"/>
      <c r="F110" s="562" t="s">
        <v>315</v>
      </c>
      <c r="G110" s="562" t="s">
        <v>695</v>
      </c>
      <c r="H110" s="562" t="s">
        <v>313</v>
      </c>
      <c r="I110" s="562" t="s">
        <v>2212</v>
      </c>
      <c r="J110" s="604"/>
      <c r="K110" s="562"/>
      <c r="L110" s="604"/>
      <c r="M110" s="603"/>
      <c r="N110" s="602"/>
      <c r="V110" s="674"/>
      <c r="W110" s="675"/>
      <c r="AA110" s="537" t="s">
        <v>348</v>
      </c>
      <c r="AC110" s="675"/>
    </row>
    <row r="111" spans="1:29" s="536" customFormat="1" ht="12" x14ac:dyDescent="0.2">
      <c r="A111" s="605"/>
      <c r="B111" s="552"/>
      <c r="C111" s="1828" t="s">
        <v>318</v>
      </c>
      <c r="D111" s="1828"/>
      <c r="E111" s="1828"/>
      <c r="F111" s="608"/>
      <c r="G111" s="608"/>
      <c r="H111" s="608"/>
      <c r="I111" s="608"/>
      <c r="J111" s="607">
        <v>253.9</v>
      </c>
      <c r="K111" s="608"/>
      <c r="L111" s="607">
        <v>43.9</v>
      </c>
      <c r="M111" s="601"/>
      <c r="N111" s="606"/>
      <c r="V111" s="674"/>
      <c r="W111" s="675"/>
      <c r="AB111" s="537" t="s">
        <v>318</v>
      </c>
      <c r="AC111" s="675"/>
    </row>
    <row r="112" spans="1:29" s="536" customFormat="1" ht="12" x14ac:dyDescent="0.2">
      <c r="A112" s="605"/>
      <c r="B112" s="552"/>
      <c r="C112" s="1822" t="s">
        <v>319</v>
      </c>
      <c r="D112" s="1822"/>
      <c r="E112" s="1822"/>
      <c r="F112" s="562"/>
      <c r="G112" s="562"/>
      <c r="H112" s="562"/>
      <c r="I112" s="562"/>
      <c r="J112" s="604"/>
      <c r="K112" s="562"/>
      <c r="L112" s="604">
        <v>28.79</v>
      </c>
      <c r="M112" s="603"/>
      <c r="N112" s="602"/>
      <c r="V112" s="674"/>
      <c r="W112" s="675"/>
      <c r="AA112" s="537" t="s">
        <v>319</v>
      </c>
      <c r="AC112" s="675"/>
    </row>
    <row r="113" spans="1:29" s="536" customFormat="1" ht="33.75" x14ac:dyDescent="0.2">
      <c r="A113" s="605"/>
      <c r="B113" s="552" t="s">
        <v>1631</v>
      </c>
      <c r="C113" s="1822" t="s">
        <v>1632</v>
      </c>
      <c r="D113" s="1822"/>
      <c r="E113" s="1822"/>
      <c r="F113" s="562" t="s">
        <v>322</v>
      </c>
      <c r="G113" s="562" t="s">
        <v>1633</v>
      </c>
      <c r="H113" s="562"/>
      <c r="I113" s="562" t="s">
        <v>1633</v>
      </c>
      <c r="J113" s="604"/>
      <c r="K113" s="562"/>
      <c r="L113" s="604">
        <v>27.93</v>
      </c>
      <c r="M113" s="603"/>
      <c r="N113" s="602"/>
      <c r="V113" s="674"/>
      <c r="W113" s="675"/>
      <c r="AA113" s="537" t="s">
        <v>1632</v>
      </c>
      <c r="AC113" s="675"/>
    </row>
    <row r="114" spans="1:29" s="536" customFormat="1" ht="33.75" x14ac:dyDescent="0.2">
      <c r="A114" s="605"/>
      <c r="B114" s="552" t="s">
        <v>1634</v>
      </c>
      <c r="C114" s="1822" t="s">
        <v>1635</v>
      </c>
      <c r="D114" s="1822"/>
      <c r="E114" s="1822"/>
      <c r="F114" s="562" t="s">
        <v>322</v>
      </c>
      <c r="G114" s="562" t="s">
        <v>786</v>
      </c>
      <c r="H114" s="562"/>
      <c r="I114" s="562" t="s">
        <v>786</v>
      </c>
      <c r="J114" s="604"/>
      <c r="K114" s="562"/>
      <c r="L114" s="604">
        <v>14.68</v>
      </c>
      <c r="M114" s="603"/>
      <c r="N114" s="602"/>
      <c r="V114" s="674"/>
      <c r="W114" s="675"/>
      <c r="AA114" s="537" t="s">
        <v>1635</v>
      </c>
      <c r="AC114" s="675"/>
    </row>
    <row r="115" spans="1:29" s="536" customFormat="1" ht="12" x14ac:dyDescent="0.2">
      <c r="A115" s="569"/>
      <c r="B115" s="656"/>
      <c r="C115" s="1823" t="s">
        <v>327</v>
      </c>
      <c r="D115" s="1823"/>
      <c r="E115" s="1823"/>
      <c r="F115" s="573"/>
      <c r="G115" s="573"/>
      <c r="H115" s="573"/>
      <c r="I115" s="573"/>
      <c r="J115" s="572"/>
      <c r="K115" s="573"/>
      <c r="L115" s="572">
        <v>86.51</v>
      </c>
      <c r="M115" s="601"/>
      <c r="N115" s="570"/>
      <c r="V115" s="674"/>
      <c r="W115" s="675"/>
      <c r="AC115" s="675" t="s">
        <v>327</v>
      </c>
    </row>
    <row r="116" spans="1:29" s="536" customFormat="1" ht="33.75" x14ac:dyDescent="0.2">
      <c r="A116" s="575" t="s">
        <v>192</v>
      </c>
      <c r="B116" s="657" t="s">
        <v>2202</v>
      </c>
      <c r="C116" s="1823" t="s">
        <v>2203</v>
      </c>
      <c r="D116" s="1823"/>
      <c r="E116" s="1823"/>
      <c r="F116" s="573" t="s">
        <v>307</v>
      </c>
      <c r="G116" s="573"/>
      <c r="H116" s="573"/>
      <c r="I116" s="573" t="s">
        <v>856</v>
      </c>
      <c r="J116" s="572"/>
      <c r="K116" s="573"/>
      <c r="L116" s="572"/>
      <c r="M116" s="571"/>
      <c r="N116" s="570"/>
      <c r="V116" s="674"/>
      <c r="W116" s="675" t="s">
        <v>2203</v>
      </c>
      <c r="AC116" s="675"/>
    </row>
    <row r="117" spans="1:29" s="536" customFormat="1" ht="12" x14ac:dyDescent="0.2">
      <c r="A117" s="676"/>
      <c r="B117" s="655"/>
      <c r="C117" s="1822" t="s">
        <v>2204</v>
      </c>
      <c r="D117" s="1822"/>
      <c r="E117" s="1822"/>
      <c r="F117" s="1822"/>
      <c r="G117" s="1822"/>
      <c r="H117" s="1822"/>
      <c r="I117" s="1822"/>
      <c r="J117" s="1822"/>
      <c r="K117" s="1822"/>
      <c r="L117" s="1822"/>
      <c r="M117" s="1822"/>
      <c r="N117" s="1827"/>
      <c r="V117" s="674"/>
      <c r="W117" s="675"/>
      <c r="X117" s="537" t="s">
        <v>2204</v>
      </c>
      <c r="AC117" s="675"/>
    </row>
    <row r="118" spans="1:29" s="536" customFormat="1" ht="33.75" x14ac:dyDescent="0.2">
      <c r="A118" s="609"/>
      <c r="B118" s="552" t="s">
        <v>310</v>
      </c>
      <c r="C118" s="1822" t="s">
        <v>311</v>
      </c>
      <c r="D118" s="1822"/>
      <c r="E118" s="1822"/>
      <c r="F118" s="1822"/>
      <c r="G118" s="1822"/>
      <c r="H118" s="1822"/>
      <c r="I118" s="1822"/>
      <c r="J118" s="1822"/>
      <c r="K118" s="1822"/>
      <c r="L118" s="1822"/>
      <c r="M118" s="1822"/>
      <c r="N118" s="1827"/>
      <c r="V118" s="674"/>
      <c r="W118" s="675"/>
      <c r="Y118" s="537" t="s">
        <v>311</v>
      </c>
      <c r="AC118" s="675"/>
    </row>
    <row r="119" spans="1:29" s="536" customFormat="1" ht="12" x14ac:dyDescent="0.2">
      <c r="A119" s="605"/>
      <c r="B119" s="552" t="s">
        <v>185</v>
      </c>
      <c r="C119" s="1822" t="s">
        <v>312</v>
      </c>
      <c r="D119" s="1822"/>
      <c r="E119" s="1822"/>
      <c r="F119" s="562"/>
      <c r="G119" s="562"/>
      <c r="H119" s="562"/>
      <c r="I119" s="562"/>
      <c r="J119" s="604">
        <v>296.31</v>
      </c>
      <c r="K119" s="562" t="s">
        <v>313</v>
      </c>
      <c r="L119" s="604">
        <v>18.52</v>
      </c>
      <c r="M119" s="603"/>
      <c r="N119" s="602"/>
      <c r="V119" s="674"/>
      <c r="W119" s="675"/>
      <c r="Z119" s="537" t="s">
        <v>312</v>
      </c>
      <c r="AC119" s="675"/>
    </row>
    <row r="120" spans="1:29" s="536" customFormat="1" ht="12" x14ac:dyDescent="0.2">
      <c r="A120" s="605"/>
      <c r="B120" s="552" t="s">
        <v>186</v>
      </c>
      <c r="C120" s="1822" t="s">
        <v>344</v>
      </c>
      <c r="D120" s="1822"/>
      <c r="E120" s="1822"/>
      <c r="F120" s="562"/>
      <c r="G120" s="562"/>
      <c r="H120" s="562"/>
      <c r="I120" s="562"/>
      <c r="J120" s="604">
        <v>13.51</v>
      </c>
      <c r="K120" s="562" t="s">
        <v>313</v>
      </c>
      <c r="L120" s="604">
        <v>0.84</v>
      </c>
      <c r="M120" s="603"/>
      <c r="N120" s="602"/>
      <c r="V120" s="674"/>
      <c r="W120" s="675"/>
      <c r="Z120" s="537" t="s">
        <v>344</v>
      </c>
      <c r="AC120" s="675"/>
    </row>
    <row r="121" spans="1:29" s="536" customFormat="1" ht="12" x14ac:dyDescent="0.2">
      <c r="A121" s="605"/>
      <c r="B121" s="552" t="s">
        <v>187</v>
      </c>
      <c r="C121" s="1822" t="s">
        <v>345</v>
      </c>
      <c r="D121" s="1822"/>
      <c r="E121" s="1822"/>
      <c r="F121" s="562"/>
      <c r="G121" s="562"/>
      <c r="H121" s="562"/>
      <c r="I121" s="562"/>
      <c r="J121" s="604">
        <v>0.26</v>
      </c>
      <c r="K121" s="562" t="s">
        <v>313</v>
      </c>
      <c r="L121" s="604">
        <v>0.02</v>
      </c>
      <c r="M121" s="603"/>
      <c r="N121" s="602"/>
      <c r="V121" s="674"/>
      <c r="W121" s="675"/>
      <c r="Z121" s="537" t="s">
        <v>345</v>
      </c>
      <c r="AC121" s="675"/>
    </row>
    <row r="122" spans="1:29" s="536" customFormat="1" ht="12" x14ac:dyDescent="0.2">
      <c r="A122" s="605"/>
      <c r="B122" s="552" t="s">
        <v>188</v>
      </c>
      <c r="C122" s="1822" t="s">
        <v>475</v>
      </c>
      <c r="D122" s="1822"/>
      <c r="E122" s="1822"/>
      <c r="F122" s="562"/>
      <c r="G122" s="562"/>
      <c r="H122" s="562"/>
      <c r="I122" s="562"/>
      <c r="J122" s="604">
        <v>122.24</v>
      </c>
      <c r="K122" s="562"/>
      <c r="L122" s="604">
        <v>6.11</v>
      </c>
      <c r="M122" s="603"/>
      <c r="N122" s="602"/>
      <c r="V122" s="674"/>
      <c r="W122" s="675"/>
      <c r="Z122" s="537" t="s">
        <v>475</v>
      </c>
      <c r="AC122" s="675"/>
    </row>
    <row r="123" spans="1:29" s="536" customFormat="1" ht="12" x14ac:dyDescent="0.2">
      <c r="A123" s="605"/>
      <c r="B123" s="552"/>
      <c r="C123" s="1822" t="s">
        <v>314</v>
      </c>
      <c r="D123" s="1822"/>
      <c r="E123" s="1822"/>
      <c r="F123" s="562" t="s">
        <v>315</v>
      </c>
      <c r="G123" s="562" t="s">
        <v>2205</v>
      </c>
      <c r="H123" s="562" t="s">
        <v>313</v>
      </c>
      <c r="I123" s="562" t="s">
        <v>2206</v>
      </c>
      <c r="J123" s="604"/>
      <c r="K123" s="562"/>
      <c r="L123" s="604"/>
      <c r="M123" s="603"/>
      <c r="N123" s="602"/>
      <c r="V123" s="674"/>
      <c r="W123" s="675"/>
      <c r="AA123" s="537" t="s">
        <v>314</v>
      </c>
      <c r="AC123" s="675"/>
    </row>
    <row r="124" spans="1:29" s="536" customFormat="1" ht="12" x14ac:dyDescent="0.2">
      <c r="A124" s="605"/>
      <c r="B124" s="552"/>
      <c r="C124" s="1822" t="s">
        <v>348</v>
      </c>
      <c r="D124" s="1822"/>
      <c r="E124" s="1822"/>
      <c r="F124" s="562" t="s">
        <v>315</v>
      </c>
      <c r="G124" s="562" t="s">
        <v>695</v>
      </c>
      <c r="H124" s="562" t="s">
        <v>313</v>
      </c>
      <c r="I124" s="562" t="s">
        <v>2207</v>
      </c>
      <c r="J124" s="604"/>
      <c r="K124" s="562"/>
      <c r="L124" s="604"/>
      <c r="M124" s="603"/>
      <c r="N124" s="602"/>
      <c r="V124" s="674"/>
      <c r="W124" s="675"/>
      <c r="AA124" s="537" t="s">
        <v>348</v>
      </c>
      <c r="AC124" s="675"/>
    </row>
    <row r="125" spans="1:29" s="536" customFormat="1" ht="12" x14ac:dyDescent="0.2">
      <c r="A125" s="605"/>
      <c r="B125" s="552"/>
      <c r="C125" s="1828" t="s">
        <v>318</v>
      </c>
      <c r="D125" s="1828"/>
      <c r="E125" s="1828"/>
      <c r="F125" s="608"/>
      <c r="G125" s="608"/>
      <c r="H125" s="608"/>
      <c r="I125" s="608"/>
      <c r="J125" s="607">
        <v>432.06</v>
      </c>
      <c r="K125" s="608"/>
      <c r="L125" s="607">
        <v>25.47</v>
      </c>
      <c r="M125" s="601"/>
      <c r="N125" s="606"/>
      <c r="V125" s="674"/>
      <c r="W125" s="675"/>
      <c r="AB125" s="537" t="s">
        <v>318</v>
      </c>
      <c r="AC125" s="675"/>
    </row>
    <row r="126" spans="1:29" s="536" customFormat="1" ht="12" x14ac:dyDescent="0.2">
      <c r="A126" s="605"/>
      <c r="B126" s="552"/>
      <c r="C126" s="1822" t="s">
        <v>319</v>
      </c>
      <c r="D126" s="1822"/>
      <c r="E126" s="1822"/>
      <c r="F126" s="562"/>
      <c r="G126" s="562"/>
      <c r="H126" s="562"/>
      <c r="I126" s="562"/>
      <c r="J126" s="604"/>
      <c r="K126" s="562"/>
      <c r="L126" s="604">
        <v>18.54</v>
      </c>
      <c r="M126" s="603"/>
      <c r="N126" s="602"/>
      <c r="V126" s="674"/>
      <c r="W126" s="675"/>
      <c r="AA126" s="537" t="s">
        <v>319</v>
      </c>
      <c r="AC126" s="675"/>
    </row>
    <row r="127" spans="1:29" s="536" customFormat="1" ht="33.75" x14ac:dyDescent="0.2">
      <c r="A127" s="605"/>
      <c r="B127" s="552" t="s">
        <v>1631</v>
      </c>
      <c r="C127" s="1822" t="s">
        <v>1632</v>
      </c>
      <c r="D127" s="1822"/>
      <c r="E127" s="1822"/>
      <c r="F127" s="562" t="s">
        <v>322</v>
      </c>
      <c r="G127" s="562" t="s">
        <v>1633</v>
      </c>
      <c r="H127" s="562"/>
      <c r="I127" s="562" t="s">
        <v>1633</v>
      </c>
      <c r="J127" s="604"/>
      <c r="K127" s="562"/>
      <c r="L127" s="604">
        <v>17.98</v>
      </c>
      <c r="M127" s="603"/>
      <c r="N127" s="602"/>
      <c r="V127" s="674"/>
      <c r="W127" s="675"/>
      <c r="AA127" s="537" t="s">
        <v>1632</v>
      </c>
      <c r="AC127" s="675"/>
    </row>
    <row r="128" spans="1:29" s="536" customFormat="1" ht="33.75" x14ac:dyDescent="0.2">
      <c r="A128" s="605"/>
      <c r="B128" s="552" t="s">
        <v>1634</v>
      </c>
      <c r="C128" s="1822" t="s">
        <v>1635</v>
      </c>
      <c r="D128" s="1822"/>
      <c r="E128" s="1822"/>
      <c r="F128" s="562" t="s">
        <v>322</v>
      </c>
      <c r="G128" s="562" t="s">
        <v>786</v>
      </c>
      <c r="H128" s="562"/>
      <c r="I128" s="562" t="s">
        <v>786</v>
      </c>
      <c r="J128" s="604"/>
      <c r="K128" s="562"/>
      <c r="L128" s="604">
        <v>9.4600000000000009</v>
      </c>
      <c r="M128" s="603"/>
      <c r="N128" s="602"/>
      <c r="V128" s="674"/>
      <c r="W128" s="675"/>
      <c r="AA128" s="537" t="s">
        <v>1635</v>
      </c>
      <c r="AC128" s="675"/>
    </row>
    <row r="129" spans="1:29" s="536" customFormat="1" ht="12" x14ac:dyDescent="0.2">
      <c r="A129" s="569"/>
      <c r="B129" s="656"/>
      <c r="C129" s="1823" t="s">
        <v>327</v>
      </c>
      <c r="D129" s="1823"/>
      <c r="E129" s="1823"/>
      <c r="F129" s="573"/>
      <c r="G129" s="573"/>
      <c r="H129" s="573"/>
      <c r="I129" s="573"/>
      <c r="J129" s="572"/>
      <c r="K129" s="573"/>
      <c r="L129" s="572">
        <v>52.91</v>
      </c>
      <c r="M129" s="601"/>
      <c r="N129" s="570"/>
      <c r="V129" s="674"/>
      <c r="W129" s="675"/>
      <c r="AC129" s="675" t="s">
        <v>327</v>
      </c>
    </row>
    <row r="130" spans="1:29" s="536" customFormat="1" ht="12" x14ac:dyDescent="0.2">
      <c r="A130" s="575" t="s">
        <v>193</v>
      </c>
      <c r="B130" s="657" t="s">
        <v>2215</v>
      </c>
      <c r="C130" s="1823" t="s">
        <v>2216</v>
      </c>
      <c r="D130" s="1823"/>
      <c r="E130" s="1823"/>
      <c r="F130" s="573" t="s">
        <v>617</v>
      </c>
      <c r="G130" s="573"/>
      <c r="H130" s="573"/>
      <c r="I130" s="573" t="s">
        <v>187</v>
      </c>
      <c r="J130" s="572"/>
      <c r="K130" s="573"/>
      <c r="L130" s="572"/>
      <c r="M130" s="571"/>
      <c r="N130" s="570"/>
      <c r="V130" s="674"/>
      <c r="W130" s="675" t="s">
        <v>2216</v>
      </c>
      <c r="AC130" s="675"/>
    </row>
    <row r="131" spans="1:29" s="536" customFormat="1" ht="33.75" x14ac:dyDescent="0.2">
      <c r="A131" s="609"/>
      <c r="B131" s="552" t="s">
        <v>310</v>
      </c>
      <c r="C131" s="1822" t="s">
        <v>311</v>
      </c>
      <c r="D131" s="1822"/>
      <c r="E131" s="1822"/>
      <c r="F131" s="1822"/>
      <c r="G131" s="1822"/>
      <c r="H131" s="1822"/>
      <c r="I131" s="1822"/>
      <c r="J131" s="1822"/>
      <c r="K131" s="1822"/>
      <c r="L131" s="1822"/>
      <c r="M131" s="1822"/>
      <c r="N131" s="1827"/>
      <c r="V131" s="674"/>
      <c r="W131" s="675"/>
      <c r="Y131" s="537" t="s">
        <v>311</v>
      </c>
      <c r="AC131" s="675"/>
    </row>
    <row r="132" spans="1:29" s="536" customFormat="1" ht="12" x14ac:dyDescent="0.2">
      <c r="A132" s="605"/>
      <c r="B132" s="552" t="s">
        <v>185</v>
      </c>
      <c r="C132" s="1822" t="s">
        <v>312</v>
      </c>
      <c r="D132" s="1822"/>
      <c r="E132" s="1822"/>
      <c r="F132" s="562"/>
      <c r="G132" s="562"/>
      <c r="H132" s="562"/>
      <c r="I132" s="562"/>
      <c r="J132" s="604">
        <v>11.31</v>
      </c>
      <c r="K132" s="562" t="s">
        <v>313</v>
      </c>
      <c r="L132" s="604">
        <v>42.41</v>
      </c>
      <c r="M132" s="603"/>
      <c r="N132" s="602"/>
      <c r="V132" s="674"/>
      <c r="W132" s="675"/>
      <c r="Z132" s="537" t="s">
        <v>312</v>
      </c>
      <c r="AC132" s="675"/>
    </row>
    <row r="133" spans="1:29" s="536" customFormat="1" ht="12" x14ac:dyDescent="0.2">
      <c r="A133" s="605"/>
      <c r="B133" s="552" t="s">
        <v>186</v>
      </c>
      <c r="C133" s="1822" t="s">
        <v>344</v>
      </c>
      <c r="D133" s="1822"/>
      <c r="E133" s="1822"/>
      <c r="F133" s="562"/>
      <c r="G133" s="562"/>
      <c r="H133" s="562"/>
      <c r="I133" s="562"/>
      <c r="J133" s="604">
        <v>1.81</v>
      </c>
      <c r="K133" s="562" t="s">
        <v>313</v>
      </c>
      <c r="L133" s="604">
        <v>6.79</v>
      </c>
      <c r="M133" s="603"/>
      <c r="N133" s="602"/>
      <c r="V133" s="674"/>
      <c r="W133" s="675"/>
      <c r="Z133" s="537" t="s">
        <v>344</v>
      </c>
      <c r="AC133" s="675"/>
    </row>
    <row r="134" spans="1:29" s="536" customFormat="1" ht="12" x14ac:dyDescent="0.2">
      <c r="A134" s="605"/>
      <c r="B134" s="552" t="s">
        <v>187</v>
      </c>
      <c r="C134" s="1822" t="s">
        <v>345</v>
      </c>
      <c r="D134" s="1822"/>
      <c r="E134" s="1822"/>
      <c r="F134" s="562"/>
      <c r="G134" s="562"/>
      <c r="H134" s="562"/>
      <c r="I134" s="562"/>
      <c r="J134" s="604">
        <v>0.26</v>
      </c>
      <c r="K134" s="562" t="s">
        <v>313</v>
      </c>
      <c r="L134" s="604">
        <v>0.98</v>
      </c>
      <c r="M134" s="603"/>
      <c r="N134" s="602"/>
      <c r="V134" s="674"/>
      <c r="W134" s="675"/>
      <c r="Z134" s="537" t="s">
        <v>345</v>
      </c>
      <c r="AC134" s="675"/>
    </row>
    <row r="135" spans="1:29" s="536" customFormat="1" ht="12" x14ac:dyDescent="0.2">
      <c r="A135" s="605"/>
      <c r="B135" s="552" t="s">
        <v>188</v>
      </c>
      <c r="C135" s="1822" t="s">
        <v>475</v>
      </c>
      <c r="D135" s="1822"/>
      <c r="E135" s="1822"/>
      <c r="F135" s="562"/>
      <c r="G135" s="562"/>
      <c r="H135" s="562"/>
      <c r="I135" s="562"/>
      <c r="J135" s="604">
        <v>3.67</v>
      </c>
      <c r="K135" s="562"/>
      <c r="L135" s="604">
        <v>11.01</v>
      </c>
      <c r="M135" s="603"/>
      <c r="N135" s="602"/>
      <c r="V135" s="674"/>
      <c r="W135" s="675"/>
      <c r="Z135" s="537" t="s">
        <v>475</v>
      </c>
      <c r="AC135" s="675"/>
    </row>
    <row r="136" spans="1:29" s="536" customFormat="1" ht="12" x14ac:dyDescent="0.2">
      <c r="A136" s="605"/>
      <c r="B136" s="552"/>
      <c r="C136" s="1822" t="s">
        <v>314</v>
      </c>
      <c r="D136" s="1822"/>
      <c r="E136" s="1822"/>
      <c r="F136" s="562" t="s">
        <v>315</v>
      </c>
      <c r="G136" s="562" t="s">
        <v>2217</v>
      </c>
      <c r="H136" s="562" t="s">
        <v>313</v>
      </c>
      <c r="I136" s="562" t="s">
        <v>2218</v>
      </c>
      <c r="J136" s="604"/>
      <c r="K136" s="562"/>
      <c r="L136" s="604"/>
      <c r="M136" s="603"/>
      <c r="N136" s="602"/>
      <c r="V136" s="674"/>
      <c r="W136" s="675"/>
      <c r="AA136" s="537" t="s">
        <v>314</v>
      </c>
      <c r="AC136" s="675"/>
    </row>
    <row r="137" spans="1:29" s="536" customFormat="1" ht="12" x14ac:dyDescent="0.2">
      <c r="A137" s="605"/>
      <c r="B137" s="552"/>
      <c r="C137" s="1822" t="s">
        <v>348</v>
      </c>
      <c r="D137" s="1822"/>
      <c r="E137" s="1822"/>
      <c r="F137" s="562" t="s">
        <v>315</v>
      </c>
      <c r="G137" s="562" t="s">
        <v>695</v>
      </c>
      <c r="H137" s="562" t="s">
        <v>313</v>
      </c>
      <c r="I137" s="562" t="s">
        <v>2219</v>
      </c>
      <c r="J137" s="604"/>
      <c r="K137" s="562"/>
      <c r="L137" s="604"/>
      <c r="M137" s="603"/>
      <c r="N137" s="602"/>
      <c r="V137" s="674"/>
      <c r="W137" s="675"/>
      <c r="AA137" s="537" t="s">
        <v>348</v>
      </c>
      <c r="AC137" s="675"/>
    </row>
    <row r="138" spans="1:29" s="536" customFormat="1" ht="12" x14ac:dyDescent="0.2">
      <c r="A138" s="605"/>
      <c r="B138" s="552"/>
      <c r="C138" s="1828" t="s">
        <v>318</v>
      </c>
      <c r="D138" s="1828"/>
      <c r="E138" s="1828"/>
      <c r="F138" s="608"/>
      <c r="G138" s="608"/>
      <c r="H138" s="608"/>
      <c r="I138" s="608"/>
      <c r="J138" s="607">
        <v>16.79</v>
      </c>
      <c r="K138" s="608"/>
      <c r="L138" s="607">
        <v>60.21</v>
      </c>
      <c r="M138" s="601"/>
      <c r="N138" s="606"/>
      <c r="V138" s="674"/>
      <c r="W138" s="675"/>
      <c r="AB138" s="537" t="s">
        <v>318</v>
      </c>
      <c r="AC138" s="675"/>
    </row>
    <row r="139" spans="1:29" s="536" customFormat="1" ht="12" x14ac:dyDescent="0.2">
      <c r="A139" s="605"/>
      <c r="B139" s="552"/>
      <c r="C139" s="1822" t="s">
        <v>319</v>
      </c>
      <c r="D139" s="1822"/>
      <c r="E139" s="1822"/>
      <c r="F139" s="562"/>
      <c r="G139" s="562"/>
      <c r="H139" s="562"/>
      <c r="I139" s="562"/>
      <c r="J139" s="604"/>
      <c r="K139" s="562"/>
      <c r="L139" s="604">
        <v>43.39</v>
      </c>
      <c r="M139" s="603"/>
      <c r="N139" s="602"/>
      <c r="V139" s="674"/>
      <c r="W139" s="675"/>
      <c r="AA139" s="537" t="s">
        <v>319</v>
      </c>
      <c r="AC139" s="675"/>
    </row>
    <row r="140" spans="1:29" s="536" customFormat="1" ht="33.75" x14ac:dyDescent="0.2">
      <c r="A140" s="605"/>
      <c r="B140" s="552" t="s">
        <v>1631</v>
      </c>
      <c r="C140" s="1822" t="s">
        <v>1632</v>
      </c>
      <c r="D140" s="1822"/>
      <c r="E140" s="1822"/>
      <c r="F140" s="562" t="s">
        <v>322</v>
      </c>
      <c r="G140" s="562" t="s">
        <v>1633</v>
      </c>
      <c r="H140" s="562"/>
      <c r="I140" s="562" t="s">
        <v>1633</v>
      </c>
      <c r="J140" s="604"/>
      <c r="K140" s="562"/>
      <c r="L140" s="604">
        <v>42.09</v>
      </c>
      <c r="M140" s="603"/>
      <c r="N140" s="602"/>
      <c r="V140" s="674"/>
      <c r="W140" s="675"/>
      <c r="AA140" s="537" t="s">
        <v>1632</v>
      </c>
      <c r="AC140" s="675"/>
    </row>
    <row r="141" spans="1:29" s="536" customFormat="1" ht="33.75" x14ac:dyDescent="0.2">
      <c r="A141" s="605"/>
      <c r="B141" s="552" t="s">
        <v>1634</v>
      </c>
      <c r="C141" s="1822" t="s">
        <v>1635</v>
      </c>
      <c r="D141" s="1822"/>
      <c r="E141" s="1822"/>
      <c r="F141" s="562" t="s">
        <v>322</v>
      </c>
      <c r="G141" s="562" t="s">
        <v>786</v>
      </c>
      <c r="H141" s="562"/>
      <c r="I141" s="562" t="s">
        <v>786</v>
      </c>
      <c r="J141" s="604"/>
      <c r="K141" s="562"/>
      <c r="L141" s="604">
        <v>22.13</v>
      </c>
      <c r="M141" s="603"/>
      <c r="N141" s="602"/>
      <c r="V141" s="674"/>
      <c r="W141" s="675"/>
      <c r="AA141" s="537" t="s">
        <v>1635</v>
      </c>
      <c r="AC141" s="675"/>
    </row>
    <row r="142" spans="1:29" s="536" customFormat="1" ht="12" x14ac:dyDescent="0.2">
      <c r="A142" s="569"/>
      <c r="B142" s="656"/>
      <c r="C142" s="1823" t="s">
        <v>327</v>
      </c>
      <c r="D142" s="1823"/>
      <c r="E142" s="1823"/>
      <c r="F142" s="573"/>
      <c r="G142" s="573"/>
      <c r="H142" s="573"/>
      <c r="I142" s="573"/>
      <c r="J142" s="572"/>
      <c r="K142" s="573"/>
      <c r="L142" s="572">
        <v>124.43</v>
      </c>
      <c r="M142" s="601"/>
      <c r="N142" s="570"/>
      <c r="V142" s="674"/>
      <c r="W142" s="675"/>
      <c r="AC142" s="675" t="s">
        <v>327</v>
      </c>
    </row>
    <row r="143" spans="1:29" s="536" customFormat="1" ht="33.75" x14ac:dyDescent="0.2">
      <c r="A143" s="575" t="s">
        <v>664</v>
      </c>
      <c r="B143" s="657" t="s">
        <v>2220</v>
      </c>
      <c r="C143" s="1823" t="s">
        <v>2221</v>
      </c>
      <c r="D143" s="1823"/>
      <c r="E143" s="1823"/>
      <c r="F143" s="573" t="s">
        <v>617</v>
      </c>
      <c r="G143" s="573"/>
      <c r="H143" s="573"/>
      <c r="I143" s="573" t="s">
        <v>187</v>
      </c>
      <c r="J143" s="572">
        <v>211.43</v>
      </c>
      <c r="K143" s="573"/>
      <c r="L143" s="572">
        <v>634.29</v>
      </c>
      <c r="M143" s="571"/>
      <c r="N143" s="570"/>
      <c r="V143" s="674"/>
      <c r="W143" s="675" t="s">
        <v>2221</v>
      </c>
      <c r="AC143" s="675"/>
    </row>
    <row r="144" spans="1:29" s="536" customFormat="1" ht="12" x14ac:dyDescent="0.2">
      <c r="A144" s="569"/>
      <c r="B144" s="656"/>
      <c r="C144" s="661" t="s">
        <v>2222</v>
      </c>
      <c r="D144" s="662"/>
      <c r="E144" s="662"/>
      <c r="F144" s="563"/>
      <c r="G144" s="563"/>
      <c r="H144" s="563"/>
      <c r="I144" s="563"/>
      <c r="J144" s="566"/>
      <c r="K144" s="563"/>
      <c r="L144" s="566"/>
      <c r="M144" s="565"/>
      <c r="N144" s="564"/>
      <c r="V144" s="674"/>
      <c r="W144" s="675"/>
      <c r="AC144" s="675"/>
    </row>
    <row r="145" spans="1:31" s="536" customFormat="1" ht="1.5" customHeight="1" x14ac:dyDescent="0.2">
      <c r="A145" s="563"/>
      <c r="B145" s="656"/>
      <c r="C145" s="656"/>
      <c r="D145" s="656"/>
      <c r="E145" s="656"/>
      <c r="F145" s="563"/>
      <c r="G145" s="563"/>
      <c r="H145" s="563"/>
      <c r="I145" s="563"/>
      <c r="J145" s="546"/>
      <c r="K145" s="563"/>
      <c r="L145" s="546"/>
      <c r="M145" s="562"/>
      <c r="N145" s="546"/>
      <c r="V145" s="674"/>
      <c r="W145" s="675"/>
      <c r="AC145" s="675"/>
    </row>
    <row r="146" spans="1:31" s="536" customFormat="1" ht="12" x14ac:dyDescent="0.2">
      <c r="A146" s="557"/>
      <c r="B146" s="556"/>
      <c r="C146" s="1823" t="s">
        <v>1645</v>
      </c>
      <c r="D146" s="1823"/>
      <c r="E146" s="1823"/>
      <c r="F146" s="1823"/>
      <c r="G146" s="1823"/>
      <c r="H146" s="1823"/>
      <c r="I146" s="1823"/>
      <c r="J146" s="1823"/>
      <c r="K146" s="1823"/>
      <c r="L146" s="555"/>
      <c r="M146" s="554"/>
      <c r="N146" s="553"/>
      <c r="V146" s="674"/>
      <c r="W146" s="675"/>
      <c r="AC146" s="675"/>
      <c r="AD146" s="675" t="s">
        <v>1645</v>
      </c>
    </row>
    <row r="147" spans="1:31" s="536" customFormat="1" ht="12" x14ac:dyDescent="0.2">
      <c r="A147" s="548"/>
      <c r="B147" s="552"/>
      <c r="C147" s="1822" t="s">
        <v>403</v>
      </c>
      <c r="D147" s="1822"/>
      <c r="E147" s="1822"/>
      <c r="F147" s="1822"/>
      <c r="G147" s="1822"/>
      <c r="H147" s="1822"/>
      <c r="I147" s="1822"/>
      <c r="J147" s="1822"/>
      <c r="K147" s="1822"/>
      <c r="L147" s="551">
        <v>598.33000000000004</v>
      </c>
      <c r="M147" s="550"/>
      <c r="N147" s="549"/>
      <c r="V147" s="674"/>
      <c r="W147" s="675"/>
      <c r="AC147" s="675"/>
      <c r="AD147" s="675"/>
      <c r="AE147" s="537" t="s">
        <v>403</v>
      </c>
    </row>
    <row r="148" spans="1:31" s="536" customFormat="1" ht="12" x14ac:dyDescent="0.2">
      <c r="A148" s="548"/>
      <c r="B148" s="552"/>
      <c r="C148" s="1822" t="s">
        <v>204</v>
      </c>
      <c r="D148" s="1822"/>
      <c r="E148" s="1822"/>
      <c r="F148" s="1822"/>
      <c r="G148" s="1822"/>
      <c r="H148" s="1822"/>
      <c r="I148" s="1822"/>
      <c r="J148" s="1822"/>
      <c r="K148" s="1822"/>
      <c r="L148" s="551"/>
      <c r="M148" s="550"/>
      <c r="N148" s="549"/>
      <c r="V148" s="674"/>
      <c r="W148" s="675"/>
      <c r="AC148" s="675"/>
      <c r="AD148" s="675"/>
      <c r="AE148" s="537" t="s">
        <v>204</v>
      </c>
    </row>
    <row r="149" spans="1:31" s="536" customFormat="1" ht="12" x14ac:dyDescent="0.2">
      <c r="A149" s="548"/>
      <c r="B149" s="552"/>
      <c r="C149" s="1822" t="s">
        <v>404</v>
      </c>
      <c r="D149" s="1822"/>
      <c r="E149" s="1822"/>
      <c r="F149" s="1822"/>
      <c r="G149" s="1822"/>
      <c r="H149" s="1822"/>
      <c r="I149" s="1822"/>
      <c r="J149" s="1822"/>
      <c r="K149" s="1822"/>
      <c r="L149" s="551">
        <v>358.53</v>
      </c>
      <c r="M149" s="550"/>
      <c r="N149" s="549"/>
      <c r="V149" s="674"/>
      <c r="W149" s="675"/>
      <c r="AC149" s="675"/>
      <c r="AD149" s="675"/>
      <c r="AE149" s="537" t="s">
        <v>404</v>
      </c>
    </row>
    <row r="150" spans="1:31" s="536" customFormat="1" ht="12" x14ac:dyDescent="0.2">
      <c r="A150" s="548"/>
      <c r="B150" s="552"/>
      <c r="C150" s="1822" t="s">
        <v>405</v>
      </c>
      <c r="D150" s="1822"/>
      <c r="E150" s="1822"/>
      <c r="F150" s="1822"/>
      <c r="G150" s="1822"/>
      <c r="H150" s="1822"/>
      <c r="I150" s="1822"/>
      <c r="J150" s="1822"/>
      <c r="K150" s="1822"/>
      <c r="L150" s="551">
        <v>96.04</v>
      </c>
      <c r="M150" s="550"/>
      <c r="N150" s="549"/>
      <c r="V150" s="674"/>
      <c r="W150" s="675"/>
      <c r="AC150" s="675"/>
      <c r="AD150" s="675"/>
      <c r="AE150" s="537" t="s">
        <v>405</v>
      </c>
    </row>
    <row r="151" spans="1:31" s="536" customFormat="1" ht="12" x14ac:dyDescent="0.2">
      <c r="A151" s="548"/>
      <c r="B151" s="552"/>
      <c r="C151" s="1822" t="s">
        <v>406</v>
      </c>
      <c r="D151" s="1822"/>
      <c r="E151" s="1822"/>
      <c r="F151" s="1822"/>
      <c r="G151" s="1822"/>
      <c r="H151" s="1822"/>
      <c r="I151" s="1822"/>
      <c r="J151" s="1822"/>
      <c r="K151" s="1822"/>
      <c r="L151" s="551">
        <v>9.9700000000000006</v>
      </c>
      <c r="M151" s="550"/>
      <c r="N151" s="549"/>
      <c r="V151" s="674"/>
      <c r="W151" s="675"/>
      <c r="AC151" s="675"/>
      <c r="AD151" s="675"/>
      <c r="AE151" s="537" t="s">
        <v>406</v>
      </c>
    </row>
    <row r="152" spans="1:31" s="536" customFormat="1" ht="12" x14ac:dyDescent="0.2">
      <c r="A152" s="548"/>
      <c r="B152" s="552"/>
      <c r="C152" s="1822" t="s">
        <v>480</v>
      </c>
      <c r="D152" s="1822"/>
      <c r="E152" s="1822"/>
      <c r="F152" s="1822"/>
      <c r="G152" s="1822"/>
      <c r="H152" s="1822"/>
      <c r="I152" s="1822"/>
      <c r="J152" s="1822"/>
      <c r="K152" s="1822"/>
      <c r="L152" s="551">
        <v>143.76</v>
      </c>
      <c r="M152" s="550"/>
      <c r="N152" s="549"/>
      <c r="V152" s="674"/>
      <c r="W152" s="675"/>
      <c r="AC152" s="675"/>
      <c r="AD152" s="675"/>
      <c r="AE152" s="537" t="s">
        <v>480</v>
      </c>
    </row>
    <row r="153" spans="1:31" s="536" customFormat="1" ht="12" x14ac:dyDescent="0.2">
      <c r="A153" s="548"/>
      <c r="B153" s="552"/>
      <c r="C153" s="1822" t="s">
        <v>753</v>
      </c>
      <c r="D153" s="1822"/>
      <c r="E153" s="1822"/>
      <c r="F153" s="1822"/>
      <c r="G153" s="1822"/>
      <c r="H153" s="1822"/>
      <c r="I153" s="1822"/>
      <c r="J153" s="1822"/>
      <c r="K153" s="1822"/>
      <c r="L153" s="551">
        <v>1143.71</v>
      </c>
      <c r="M153" s="550"/>
      <c r="N153" s="549"/>
      <c r="V153" s="674"/>
      <c r="W153" s="675"/>
      <c r="AC153" s="675"/>
      <c r="AD153" s="675"/>
      <c r="AE153" s="537" t="s">
        <v>753</v>
      </c>
    </row>
    <row r="154" spans="1:31" s="536" customFormat="1" ht="12" x14ac:dyDescent="0.2">
      <c r="A154" s="548"/>
      <c r="B154" s="552"/>
      <c r="C154" s="1822" t="s">
        <v>204</v>
      </c>
      <c r="D154" s="1822"/>
      <c r="E154" s="1822"/>
      <c r="F154" s="1822"/>
      <c r="G154" s="1822"/>
      <c r="H154" s="1822"/>
      <c r="I154" s="1822"/>
      <c r="J154" s="1822"/>
      <c r="K154" s="1822"/>
      <c r="L154" s="551"/>
      <c r="M154" s="550"/>
      <c r="N154" s="549"/>
      <c r="V154" s="674"/>
      <c r="W154" s="675"/>
      <c r="AC154" s="675"/>
      <c r="AD154" s="675"/>
      <c r="AE154" s="537" t="s">
        <v>204</v>
      </c>
    </row>
    <row r="155" spans="1:31" s="536" customFormat="1" ht="12" x14ac:dyDescent="0.2">
      <c r="A155" s="548"/>
      <c r="B155" s="552"/>
      <c r="C155" s="1822" t="s">
        <v>546</v>
      </c>
      <c r="D155" s="1822"/>
      <c r="E155" s="1822"/>
      <c r="F155" s="1822"/>
      <c r="G155" s="1822"/>
      <c r="H155" s="1822"/>
      <c r="I155" s="1822"/>
      <c r="J155" s="1822"/>
      <c r="K155" s="1822"/>
      <c r="L155" s="551">
        <v>358.53</v>
      </c>
      <c r="M155" s="550"/>
      <c r="N155" s="549"/>
      <c r="V155" s="674"/>
      <c r="W155" s="675"/>
      <c r="AC155" s="675"/>
      <c r="AD155" s="675"/>
      <c r="AE155" s="537" t="s">
        <v>546</v>
      </c>
    </row>
    <row r="156" spans="1:31" s="536" customFormat="1" ht="12" x14ac:dyDescent="0.2">
      <c r="A156" s="548"/>
      <c r="B156" s="552"/>
      <c r="C156" s="1822" t="s">
        <v>442</v>
      </c>
      <c r="D156" s="1822"/>
      <c r="E156" s="1822"/>
      <c r="F156" s="1822"/>
      <c r="G156" s="1822"/>
      <c r="H156" s="1822"/>
      <c r="I156" s="1822"/>
      <c r="J156" s="1822"/>
      <c r="K156" s="1822"/>
      <c r="L156" s="551">
        <v>96.04</v>
      </c>
      <c r="M156" s="550"/>
      <c r="N156" s="549"/>
      <c r="V156" s="674"/>
      <c r="W156" s="675"/>
      <c r="AC156" s="675"/>
      <c r="AD156" s="675"/>
      <c r="AE156" s="537" t="s">
        <v>442</v>
      </c>
    </row>
    <row r="157" spans="1:31" s="536" customFormat="1" ht="12" x14ac:dyDescent="0.2">
      <c r="A157" s="548"/>
      <c r="B157" s="552"/>
      <c r="C157" s="1822" t="s">
        <v>547</v>
      </c>
      <c r="D157" s="1822"/>
      <c r="E157" s="1822"/>
      <c r="F157" s="1822"/>
      <c r="G157" s="1822"/>
      <c r="H157" s="1822"/>
      <c r="I157" s="1822"/>
      <c r="J157" s="1822"/>
      <c r="K157" s="1822"/>
      <c r="L157" s="551">
        <v>143.76</v>
      </c>
      <c r="M157" s="550"/>
      <c r="N157" s="549"/>
      <c r="V157" s="674"/>
      <c r="W157" s="675"/>
      <c r="AC157" s="675"/>
      <c r="AD157" s="675"/>
      <c r="AE157" s="537" t="s">
        <v>547</v>
      </c>
    </row>
    <row r="158" spans="1:31" s="536" customFormat="1" ht="12" x14ac:dyDescent="0.2">
      <c r="A158" s="548"/>
      <c r="B158" s="552"/>
      <c r="C158" s="1822" t="s">
        <v>443</v>
      </c>
      <c r="D158" s="1822"/>
      <c r="E158" s="1822"/>
      <c r="F158" s="1822"/>
      <c r="G158" s="1822"/>
      <c r="H158" s="1822"/>
      <c r="I158" s="1822"/>
      <c r="J158" s="1822"/>
      <c r="K158" s="1822"/>
      <c r="L158" s="551">
        <v>357.44</v>
      </c>
      <c r="M158" s="550"/>
      <c r="N158" s="549"/>
      <c r="V158" s="674"/>
      <c r="W158" s="675"/>
      <c r="AC158" s="675"/>
      <c r="AD158" s="675"/>
      <c r="AE158" s="537" t="s">
        <v>443</v>
      </c>
    </row>
    <row r="159" spans="1:31" s="536" customFormat="1" ht="12" x14ac:dyDescent="0.2">
      <c r="A159" s="548"/>
      <c r="B159" s="552"/>
      <c r="C159" s="1822" t="s">
        <v>444</v>
      </c>
      <c r="D159" s="1822"/>
      <c r="E159" s="1822"/>
      <c r="F159" s="1822"/>
      <c r="G159" s="1822"/>
      <c r="H159" s="1822"/>
      <c r="I159" s="1822"/>
      <c r="J159" s="1822"/>
      <c r="K159" s="1822"/>
      <c r="L159" s="551">
        <v>187.94</v>
      </c>
      <c r="M159" s="550"/>
      <c r="N159" s="549"/>
      <c r="V159" s="674"/>
      <c r="W159" s="675"/>
      <c r="AC159" s="675"/>
      <c r="AD159" s="675"/>
      <c r="AE159" s="537" t="s">
        <v>444</v>
      </c>
    </row>
    <row r="160" spans="1:31" s="536" customFormat="1" ht="12" x14ac:dyDescent="0.2">
      <c r="A160" s="548"/>
      <c r="B160" s="552"/>
      <c r="C160" s="1822" t="s">
        <v>754</v>
      </c>
      <c r="D160" s="1822"/>
      <c r="E160" s="1822"/>
      <c r="F160" s="1822"/>
      <c r="G160" s="1822"/>
      <c r="H160" s="1822"/>
      <c r="I160" s="1822"/>
      <c r="J160" s="1822"/>
      <c r="K160" s="1822"/>
      <c r="L160" s="551">
        <v>95173.95</v>
      </c>
      <c r="M160" s="550"/>
      <c r="N160" s="549"/>
      <c r="V160" s="674"/>
      <c r="W160" s="675"/>
      <c r="AC160" s="675"/>
      <c r="AD160" s="675"/>
      <c r="AE160" s="537" t="s">
        <v>754</v>
      </c>
    </row>
    <row r="161" spans="1:33" s="536" customFormat="1" ht="12" x14ac:dyDescent="0.2">
      <c r="A161" s="548"/>
      <c r="B161" s="552"/>
      <c r="C161" s="1822" t="s">
        <v>2223</v>
      </c>
      <c r="D161" s="1822"/>
      <c r="E161" s="1822"/>
      <c r="F161" s="1822"/>
      <c r="G161" s="1822"/>
      <c r="H161" s="1822"/>
      <c r="I161" s="1822"/>
      <c r="J161" s="1822"/>
      <c r="K161" s="1822"/>
      <c r="L161" s="551">
        <v>94539.66</v>
      </c>
      <c r="M161" s="550"/>
      <c r="N161" s="549"/>
      <c r="V161" s="674"/>
      <c r="W161" s="675"/>
      <c r="AC161" s="675"/>
      <c r="AD161" s="675"/>
      <c r="AE161" s="537" t="s">
        <v>2223</v>
      </c>
    </row>
    <row r="162" spans="1:33" s="536" customFormat="1" ht="12" x14ac:dyDescent="0.2">
      <c r="A162" s="548"/>
      <c r="B162" s="552"/>
      <c r="C162" s="1822" t="s">
        <v>2224</v>
      </c>
      <c r="D162" s="1822"/>
      <c r="E162" s="1822"/>
      <c r="F162" s="1822"/>
      <c r="G162" s="1822"/>
      <c r="H162" s="1822"/>
      <c r="I162" s="1822"/>
      <c r="J162" s="1822"/>
      <c r="K162" s="1822"/>
      <c r="L162" s="551">
        <v>634.29</v>
      </c>
      <c r="M162" s="550"/>
      <c r="N162" s="549"/>
      <c r="V162" s="674"/>
      <c r="W162" s="675"/>
      <c r="AC162" s="675"/>
      <c r="AD162" s="675"/>
      <c r="AE162" s="537" t="s">
        <v>2224</v>
      </c>
    </row>
    <row r="163" spans="1:33" s="536" customFormat="1" ht="12" x14ac:dyDescent="0.2">
      <c r="A163" s="548"/>
      <c r="B163" s="552"/>
      <c r="C163" s="1822" t="s">
        <v>415</v>
      </c>
      <c r="D163" s="1822"/>
      <c r="E163" s="1822"/>
      <c r="F163" s="1822"/>
      <c r="G163" s="1822"/>
      <c r="H163" s="1822"/>
      <c r="I163" s="1822"/>
      <c r="J163" s="1822"/>
      <c r="K163" s="1822"/>
      <c r="L163" s="551">
        <v>368.5</v>
      </c>
      <c r="M163" s="550"/>
      <c r="N163" s="549"/>
      <c r="V163" s="674"/>
      <c r="W163" s="675"/>
      <c r="AC163" s="675"/>
      <c r="AD163" s="675"/>
      <c r="AE163" s="537" t="s">
        <v>415</v>
      </c>
    </row>
    <row r="164" spans="1:33" s="536" customFormat="1" ht="12" x14ac:dyDescent="0.2">
      <c r="A164" s="548"/>
      <c r="B164" s="552"/>
      <c r="C164" s="1822" t="s">
        <v>416</v>
      </c>
      <c r="D164" s="1822"/>
      <c r="E164" s="1822"/>
      <c r="F164" s="1822"/>
      <c r="G164" s="1822"/>
      <c r="H164" s="1822"/>
      <c r="I164" s="1822"/>
      <c r="J164" s="1822"/>
      <c r="K164" s="1822"/>
      <c r="L164" s="551">
        <v>357.44</v>
      </c>
      <c r="M164" s="550"/>
      <c r="N164" s="549"/>
      <c r="V164" s="674"/>
      <c r="W164" s="675"/>
      <c r="AC164" s="675"/>
      <c r="AD164" s="675"/>
      <c r="AE164" s="537" t="s">
        <v>416</v>
      </c>
    </row>
    <row r="165" spans="1:33" s="536" customFormat="1" ht="12" x14ac:dyDescent="0.2">
      <c r="A165" s="548"/>
      <c r="B165" s="552"/>
      <c r="C165" s="1822" t="s">
        <v>417</v>
      </c>
      <c r="D165" s="1822"/>
      <c r="E165" s="1822"/>
      <c r="F165" s="1822"/>
      <c r="G165" s="1822"/>
      <c r="H165" s="1822"/>
      <c r="I165" s="1822"/>
      <c r="J165" s="1822"/>
      <c r="K165" s="1822"/>
      <c r="L165" s="551">
        <v>187.94</v>
      </c>
      <c r="M165" s="550"/>
      <c r="N165" s="549"/>
      <c r="V165" s="674"/>
      <c r="W165" s="675"/>
      <c r="AC165" s="675"/>
      <c r="AD165" s="675"/>
      <c r="AE165" s="537" t="s">
        <v>417</v>
      </c>
    </row>
    <row r="166" spans="1:33" s="536" customFormat="1" ht="12" x14ac:dyDescent="0.2">
      <c r="A166" s="548"/>
      <c r="B166" s="546"/>
      <c r="C166" s="1819" t="s">
        <v>1646</v>
      </c>
      <c r="D166" s="1819"/>
      <c r="E166" s="1819"/>
      <c r="F166" s="1819"/>
      <c r="G166" s="1819"/>
      <c r="H166" s="1819"/>
      <c r="I166" s="1819"/>
      <c r="J166" s="1819"/>
      <c r="K166" s="1819"/>
      <c r="L166" s="544">
        <v>96317.66</v>
      </c>
      <c r="M166" s="543"/>
      <c r="N166" s="681"/>
      <c r="V166" s="674"/>
      <c r="W166" s="675"/>
      <c r="AC166" s="675"/>
      <c r="AD166" s="675"/>
      <c r="AF166" s="675" t="s">
        <v>1646</v>
      </c>
    </row>
    <row r="167" spans="1:33" s="536" customFormat="1" ht="12" x14ac:dyDescent="0.2">
      <c r="A167" s="548"/>
      <c r="B167" s="552"/>
      <c r="C167" s="1822" t="s">
        <v>204</v>
      </c>
      <c r="D167" s="1822"/>
      <c r="E167" s="1822"/>
      <c r="F167" s="1822"/>
      <c r="G167" s="1822"/>
      <c r="H167" s="1822"/>
      <c r="I167" s="1822"/>
      <c r="J167" s="1822"/>
      <c r="K167" s="1822"/>
      <c r="L167" s="551"/>
      <c r="M167" s="550"/>
      <c r="N167" s="549"/>
      <c r="V167" s="674"/>
      <c r="W167" s="675"/>
      <c r="AC167" s="675"/>
      <c r="AD167" s="675"/>
      <c r="AE167" s="537" t="s">
        <v>204</v>
      </c>
      <c r="AF167" s="675"/>
    </row>
    <row r="168" spans="1:33" s="536" customFormat="1" ht="12" x14ac:dyDescent="0.2">
      <c r="A168" s="548"/>
      <c r="B168" s="552"/>
      <c r="C168" s="1822" t="s">
        <v>8097</v>
      </c>
      <c r="D168" s="1822"/>
      <c r="E168" s="1822"/>
      <c r="F168" s="1822"/>
      <c r="G168" s="1822"/>
      <c r="H168" s="1822"/>
      <c r="I168" s="1822"/>
      <c r="J168" s="1822"/>
      <c r="K168" s="1822"/>
      <c r="L168" s="551">
        <v>94539.66</v>
      </c>
      <c r="M168" s="550"/>
      <c r="N168" s="549"/>
      <c r="V168" s="674"/>
      <c r="W168" s="675"/>
      <c r="AC168" s="675"/>
      <c r="AD168" s="675"/>
      <c r="AE168" s="537" t="s">
        <v>8097</v>
      </c>
      <c r="AF168" s="675"/>
    </row>
    <row r="169" spans="1:33" s="536" customFormat="1" ht="12" x14ac:dyDescent="0.2">
      <c r="A169" s="1824" t="s">
        <v>1647</v>
      </c>
      <c r="B169" s="1825"/>
      <c r="C169" s="1825"/>
      <c r="D169" s="1825"/>
      <c r="E169" s="1825"/>
      <c r="F169" s="1825"/>
      <c r="G169" s="1825"/>
      <c r="H169" s="1825"/>
      <c r="I169" s="1825"/>
      <c r="J169" s="1825"/>
      <c r="K169" s="1825"/>
      <c r="L169" s="1825"/>
      <c r="M169" s="1825"/>
      <c r="N169" s="1826"/>
      <c r="V169" s="674" t="s">
        <v>1647</v>
      </c>
      <c r="W169" s="675"/>
      <c r="AC169" s="675"/>
      <c r="AD169" s="675"/>
      <c r="AF169" s="675"/>
    </row>
    <row r="170" spans="1:33" s="536" customFormat="1" ht="12" x14ac:dyDescent="0.2">
      <c r="A170" s="1830" t="s">
        <v>1648</v>
      </c>
      <c r="B170" s="1831"/>
      <c r="C170" s="1831"/>
      <c r="D170" s="1831"/>
      <c r="E170" s="1831"/>
      <c r="F170" s="1831"/>
      <c r="G170" s="1831"/>
      <c r="H170" s="1831"/>
      <c r="I170" s="1831"/>
      <c r="J170" s="1831"/>
      <c r="K170" s="1831"/>
      <c r="L170" s="1831"/>
      <c r="M170" s="1831"/>
      <c r="N170" s="1832"/>
      <c r="V170" s="674"/>
      <c r="W170" s="675"/>
      <c r="AC170" s="675"/>
      <c r="AD170" s="675"/>
      <c r="AF170" s="675"/>
      <c r="AG170" s="675" t="s">
        <v>1648</v>
      </c>
    </row>
    <row r="171" spans="1:33" s="536" customFormat="1" ht="56.25" x14ac:dyDescent="0.2">
      <c r="A171" s="575" t="s">
        <v>195</v>
      </c>
      <c r="B171" s="657" t="s">
        <v>1649</v>
      </c>
      <c r="C171" s="1823" t="s">
        <v>1650</v>
      </c>
      <c r="D171" s="1823"/>
      <c r="E171" s="1823"/>
      <c r="F171" s="573" t="s">
        <v>307</v>
      </c>
      <c r="G171" s="573"/>
      <c r="H171" s="573"/>
      <c r="I171" s="573" t="s">
        <v>2225</v>
      </c>
      <c r="J171" s="572"/>
      <c r="K171" s="573"/>
      <c r="L171" s="572"/>
      <c r="M171" s="571"/>
      <c r="N171" s="570"/>
      <c r="V171" s="674"/>
      <c r="W171" s="675" t="s">
        <v>1650</v>
      </c>
      <c r="AC171" s="675"/>
      <c r="AD171" s="675"/>
      <c r="AF171" s="675"/>
      <c r="AG171" s="675"/>
    </row>
    <row r="172" spans="1:33" s="536" customFormat="1" ht="12" x14ac:dyDescent="0.2">
      <c r="A172" s="676"/>
      <c r="B172" s="655"/>
      <c r="C172" s="1822" t="s">
        <v>2226</v>
      </c>
      <c r="D172" s="1822"/>
      <c r="E172" s="1822"/>
      <c r="F172" s="1822"/>
      <c r="G172" s="1822"/>
      <c r="H172" s="1822"/>
      <c r="I172" s="1822"/>
      <c r="J172" s="1822"/>
      <c r="K172" s="1822"/>
      <c r="L172" s="1822"/>
      <c r="M172" s="1822"/>
      <c r="N172" s="1827"/>
      <c r="V172" s="674"/>
      <c r="W172" s="675"/>
      <c r="X172" s="537" t="s">
        <v>2226</v>
      </c>
      <c r="AC172" s="675"/>
      <c r="AD172" s="675"/>
      <c r="AF172" s="675"/>
      <c r="AG172" s="675"/>
    </row>
    <row r="173" spans="1:33" s="536" customFormat="1" ht="33.75" x14ac:dyDescent="0.2">
      <c r="A173" s="609"/>
      <c r="B173" s="552" t="s">
        <v>310</v>
      </c>
      <c r="C173" s="1822" t="s">
        <v>311</v>
      </c>
      <c r="D173" s="1822"/>
      <c r="E173" s="1822"/>
      <c r="F173" s="1822"/>
      <c r="G173" s="1822"/>
      <c r="H173" s="1822"/>
      <c r="I173" s="1822"/>
      <c r="J173" s="1822"/>
      <c r="K173" s="1822"/>
      <c r="L173" s="1822"/>
      <c r="M173" s="1822"/>
      <c r="N173" s="1827"/>
      <c r="V173" s="674"/>
      <c r="W173" s="675"/>
      <c r="Y173" s="537" t="s">
        <v>311</v>
      </c>
      <c r="AC173" s="675"/>
      <c r="AD173" s="675"/>
      <c r="AF173" s="675"/>
      <c r="AG173" s="675"/>
    </row>
    <row r="174" spans="1:33" s="536" customFormat="1" ht="12" x14ac:dyDescent="0.2">
      <c r="A174" s="605"/>
      <c r="B174" s="552" t="s">
        <v>185</v>
      </c>
      <c r="C174" s="1822" t="s">
        <v>312</v>
      </c>
      <c r="D174" s="1822"/>
      <c r="E174" s="1822"/>
      <c r="F174" s="562"/>
      <c r="G174" s="562"/>
      <c r="H174" s="562"/>
      <c r="I174" s="562"/>
      <c r="J174" s="604">
        <v>700.75</v>
      </c>
      <c r="K174" s="562" t="s">
        <v>313</v>
      </c>
      <c r="L174" s="604">
        <v>359.13</v>
      </c>
      <c r="M174" s="603"/>
      <c r="N174" s="602"/>
      <c r="V174" s="674"/>
      <c r="W174" s="675"/>
      <c r="Z174" s="537" t="s">
        <v>312</v>
      </c>
      <c r="AC174" s="675"/>
      <c r="AD174" s="675"/>
      <c r="AF174" s="675"/>
      <c r="AG174" s="675"/>
    </row>
    <row r="175" spans="1:33" s="536" customFormat="1" ht="12" x14ac:dyDescent="0.2">
      <c r="A175" s="605"/>
      <c r="B175" s="552" t="s">
        <v>186</v>
      </c>
      <c r="C175" s="1822" t="s">
        <v>344</v>
      </c>
      <c r="D175" s="1822"/>
      <c r="E175" s="1822"/>
      <c r="F175" s="562"/>
      <c r="G175" s="562"/>
      <c r="H175" s="562"/>
      <c r="I175" s="562"/>
      <c r="J175" s="604">
        <v>158.72</v>
      </c>
      <c r="K175" s="562" t="s">
        <v>313</v>
      </c>
      <c r="L175" s="604">
        <v>81.34</v>
      </c>
      <c r="M175" s="603"/>
      <c r="N175" s="602"/>
      <c r="V175" s="674"/>
      <c r="W175" s="675"/>
      <c r="Z175" s="537" t="s">
        <v>344</v>
      </c>
      <c r="AC175" s="675"/>
      <c r="AD175" s="675"/>
      <c r="AF175" s="675"/>
      <c r="AG175" s="675"/>
    </row>
    <row r="176" spans="1:33" s="536" customFormat="1" ht="12" x14ac:dyDescent="0.2">
      <c r="A176" s="605"/>
      <c r="B176" s="552" t="s">
        <v>187</v>
      </c>
      <c r="C176" s="1822" t="s">
        <v>345</v>
      </c>
      <c r="D176" s="1822"/>
      <c r="E176" s="1822"/>
      <c r="F176" s="562"/>
      <c r="G176" s="562"/>
      <c r="H176" s="562"/>
      <c r="I176" s="562"/>
      <c r="J176" s="604">
        <v>21.97</v>
      </c>
      <c r="K176" s="562" t="s">
        <v>313</v>
      </c>
      <c r="L176" s="604">
        <v>11.26</v>
      </c>
      <c r="M176" s="603"/>
      <c r="N176" s="602"/>
      <c r="V176" s="674"/>
      <c r="W176" s="675"/>
      <c r="Z176" s="537" t="s">
        <v>345</v>
      </c>
      <c r="AC176" s="675"/>
      <c r="AD176" s="675"/>
      <c r="AF176" s="675"/>
      <c r="AG176" s="675"/>
    </row>
    <row r="177" spans="1:33" s="536" customFormat="1" ht="12" x14ac:dyDescent="0.2">
      <c r="A177" s="605"/>
      <c r="B177" s="552" t="s">
        <v>188</v>
      </c>
      <c r="C177" s="1822" t="s">
        <v>475</v>
      </c>
      <c r="D177" s="1822"/>
      <c r="E177" s="1822"/>
      <c r="F177" s="562"/>
      <c r="G177" s="562"/>
      <c r="H177" s="562"/>
      <c r="I177" s="562"/>
      <c r="J177" s="604">
        <v>514.36</v>
      </c>
      <c r="K177" s="562"/>
      <c r="L177" s="604">
        <v>210.89</v>
      </c>
      <c r="M177" s="603"/>
      <c r="N177" s="602"/>
      <c r="V177" s="674"/>
      <c r="W177" s="675"/>
      <c r="Z177" s="537" t="s">
        <v>475</v>
      </c>
      <c r="AC177" s="675"/>
      <c r="AD177" s="675"/>
      <c r="AF177" s="675"/>
      <c r="AG177" s="675"/>
    </row>
    <row r="178" spans="1:33" s="536" customFormat="1" ht="12" x14ac:dyDescent="0.2">
      <c r="A178" s="605"/>
      <c r="B178" s="552"/>
      <c r="C178" s="1822" t="s">
        <v>314</v>
      </c>
      <c r="D178" s="1822"/>
      <c r="E178" s="1822"/>
      <c r="F178" s="562" t="s">
        <v>315</v>
      </c>
      <c r="G178" s="562" t="s">
        <v>1652</v>
      </c>
      <c r="H178" s="562" t="s">
        <v>313</v>
      </c>
      <c r="I178" s="562" t="s">
        <v>2227</v>
      </c>
      <c r="J178" s="604"/>
      <c r="K178" s="562"/>
      <c r="L178" s="604"/>
      <c r="M178" s="603"/>
      <c r="N178" s="602"/>
      <c r="V178" s="674"/>
      <c r="W178" s="675"/>
      <c r="AA178" s="537" t="s">
        <v>314</v>
      </c>
      <c r="AC178" s="675"/>
      <c r="AD178" s="675"/>
      <c r="AF178" s="675"/>
      <c r="AG178" s="675"/>
    </row>
    <row r="179" spans="1:33" s="536" customFormat="1" ht="12" x14ac:dyDescent="0.2">
      <c r="A179" s="605"/>
      <c r="B179" s="552"/>
      <c r="C179" s="1822" t="s">
        <v>348</v>
      </c>
      <c r="D179" s="1822"/>
      <c r="E179" s="1822"/>
      <c r="F179" s="562" t="s">
        <v>315</v>
      </c>
      <c r="G179" s="562" t="s">
        <v>1654</v>
      </c>
      <c r="H179" s="562" t="s">
        <v>313</v>
      </c>
      <c r="I179" s="562" t="s">
        <v>2228</v>
      </c>
      <c r="J179" s="604"/>
      <c r="K179" s="562"/>
      <c r="L179" s="604"/>
      <c r="M179" s="603"/>
      <c r="N179" s="602"/>
      <c r="V179" s="674"/>
      <c r="W179" s="675"/>
      <c r="AA179" s="537" t="s">
        <v>348</v>
      </c>
      <c r="AC179" s="675"/>
      <c r="AD179" s="675"/>
      <c r="AF179" s="675"/>
      <c r="AG179" s="675"/>
    </row>
    <row r="180" spans="1:33" s="536" customFormat="1" ht="12" x14ac:dyDescent="0.2">
      <c r="A180" s="605"/>
      <c r="B180" s="552"/>
      <c r="C180" s="1828" t="s">
        <v>318</v>
      </c>
      <c r="D180" s="1828"/>
      <c r="E180" s="1828"/>
      <c r="F180" s="608"/>
      <c r="G180" s="608"/>
      <c r="H180" s="608"/>
      <c r="I180" s="608"/>
      <c r="J180" s="607">
        <v>1373.83</v>
      </c>
      <c r="K180" s="608"/>
      <c r="L180" s="607">
        <v>651.36</v>
      </c>
      <c r="M180" s="601"/>
      <c r="N180" s="606"/>
      <c r="V180" s="674"/>
      <c r="W180" s="675"/>
      <c r="AB180" s="537" t="s">
        <v>318</v>
      </c>
      <c r="AC180" s="675"/>
      <c r="AD180" s="675"/>
      <c r="AF180" s="675"/>
      <c r="AG180" s="675"/>
    </row>
    <row r="181" spans="1:33" s="536" customFormat="1" ht="12" x14ac:dyDescent="0.2">
      <c r="A181" s="605"/>
      <c r="B181" s="552"/>
      <c r="C181" s="1822" t="s">
        <v>319</v>
      </c>
      <c r="D181" s="1822"/>
      <c r="E181" s="1822"/>
      <c r="F181" s="562"/>
      <c r="G181" s="562"/>
      <c r="H181" s="562"/>
      <c r="I181" s="562"/>
      <c r="J181" s="604"/>
      <c r="K181" s="562"/>
      <c r="L181" s="604">
        <v>370.39</v>
      </c>
      <c r="M181" s="603"/>
      <c r="N181" s="602"/>
      <c r="V181" s="674"/>
      <c r="W181" s="675"/>
      <c r="AA181" s="537" t="s">
        <v>319</v>
      </c>
      <c r="AC181" s="675"/>
      <c r="AD181" s="675"/>
      <c r="AF181" s="675"/>
      <c r="AG181" s="675"/>
    </row>
    <row r="182" spans="1:33" s="536" customFormat="1" ht="33.75" x14ac:dyDescent="0.2">
      <c r="A182" s="605"/>
      <c r="B182" s="552" t="s">
        <v>1631</v>
      </c>
      <c r="C182" s="1822" t="s">
        <v>1632</v>
      </c>
      <c r="D182" s="1822"/>
      <c r="E182" s="1822"/>
      <c r="F182" s="562" t="s">
        <v>322</v>
      </c>
      <c r="G182" s="562" t="s">
        <v>1633</v>
      </c>
      <c r="H182" s="562"/>
      <c r="I182" s="562" t="s">
        <v>1633</v>
      </c>
      <c r="J182" s="604"/>
      <c r="K182" s="562"/>
      <c r="L182" s="604">
        <v>359.28</v>
      </c>
      <c r="M182" s="603"/>
      <c r="N182" s="602"/>
      <c r="V182" s="674"/>
      <c r="W182" s="675"/>
      <c r="AA182" s="537" t="s">
        <v>1632</v>
      </c>
      <c r="AC182" s="675"/>
      <c r="AD182" s="675"/>
      <c r="AF182" s="675"/>
      <c r="AG182" s="675"/>
    </row>
    <row r="183" spans="1:33" s="536" customFormat="1" ht="33.75" x14ac:dyDescent="0.2">
      <c r="A183" s="605"/>
      <c r="B183" s="552" t="s">
        <v>1634</v>
      </c>
      <c r="C183" s="1822" t="s">
        <v>1635</v>
      </c>
      <c r="D183" s="1822"/>
      <c r="E183" s="1822"/>
      <c r="F183" s="562" t="s">
        <v>322</v>
      </c>
      <c r="G183" s="562" t="s">
        <v>786</v>
      </c>
      <c r="H183" s="562"/>
      <c r="I183" s="562" t="s">
        <v>786</v>
      </c>
      <c r="J183" s="604"/>
      <c r="K183" s="562"/>
      <c r="L183" s="604">
        <v>188.9</v>
      </c>
      <c r="M183" s="603"/>
      <c r="N183" s="602"/>
      <c r="V183" s="674"/>
      <c r="W183" s="675"/>
      <c r="AA183" s="537" t="s">
        <v>1635</v>
      </c>
      <c r="AC183" s="675"/>
      <c r="AD183" s="675"/>
      <c r="AF183" s="675"/>
      <c r="AG183" s="675"/>
    </row>
    <row r="184" spans="1:33" s="536" customFormat="1" ht="12" x14ac:dyDescent="0.2">
      <c r="A184" s="569"/>
      <c r="B184" s="656"/>
      <c r="C184" s="1823" t="s">
        <v>327</v>
      </c>
      <c r="D184" s="1823"/>
      <c r="E184" s="1823"/>
      <c r="F184" s="573"/>
      <c r="G184" s="573"/>
      <c r="H184" s="573"/>
      <c r="I184" s="573"/>
      <c r="J184" s="572"/>
      <c r="K184" s="573"/>
      <c r="L184" s="572">
        <v>1199.54</v>
      </c>
      <c r="M184" s="601"/>
      <c r="N184" s="570"/>
      <c r="V184" s="674"/>
      <c r="W184" s="675"/>
      <c r="AC184" s="675" t="s">
        <v>327</v>
      </c>
      <c r="AD184" s="675"/>
      <c r="AF184" s="675"/>
      <c r="AG184" s="675"/>
    </row>
    <row r="185" spans="1:33" s="536" customFormat="1" ht="33.75" x14ac:dyDescent="0.2">
      <c r="A185" s="575" t="s">
        <v>196</v>
      </c>
      <c r="B185" s="657" t="s">
        <v>2229</v>
      </c>
      <c r="C185" s="1823" t="s">
        <v>2230</v>
      </c>
      <c r="D185" s="1823"/>
      <c r="E185" s="1823"/>
      <c r="F185" s="573" t="s">
        <v>628</v>
      </c>
      <c r="G185" s="573"/>
      <c r="H185" s="573"/>
      <c r="I185" s="573" t="s">
        <v>197</v>
      </c>
      <c r="J185" s="572">
        <v>2769.53</v>
      </c>
      <c r="K185" s="573" t="s">
        <v>716</v>
      </c>
      <c r="L185" s="572">
        <v>4413.9399999999996</v>
      </c>
      <c r="M185" s="571">
        <v>8.32</v>
      </c>
      <c r="N185" s="570">
        <v>36724</v>
      </c>
      <c r="V185" s="674"/>
      <c r="W185" s="675" t="s">
        <v>2230</v>
      </c>
      <c r="AC185" s="675"/>
      <c r="AD185" s="675"/>
      <c r="AF185" s="675"/>
      <c r="AG185" s="675"/>
    </row>
    <row r="186" spans="1:33" s="536" customFormat="1" ht="12" x14ac:dyDescent="0.2">
      <c r="A186" s="569"/>
      <c r="B186" s="656"/>
      <c r="C186" s="661" t="s">
        <v>1658</v>
      </c>
      <c r="D186" s="662"/>
      <c r="E186" s="662"/>
      <c r="F186" s="563"/>
      <c r="G186" s="563"/>
      <c r="H186" s="563"/>
      <c r="I186" s="563"/>
      <c r="J186" s="566"/>
      <c r="K186" s="563"/>
      <c r="L186" s="566"/>
      <c r="M186" s="565"/>
      <c r="N186" s="564"/>
      <c r="V186" s="674"/>
      <c r="W186" s="675"/>
      <c r="AC186" s="675"/>
      <c r="AD186" s="675"/>
      <c r="AF186" s="675"/>
      <c r="AG186" s="675"/>
    </row>
    <row r="187" spans="1:33" s="536" customFormat="1" ht="22.5" x14ac:dyDescent="0.2">
      <c r="A187" s="609"/>
      <c r="B187" s="552" t="s">
        <v>718</v>
      </c>
      <c r="C187" s="1822" t="s">
        <v>719</v>
      </c>
      <c r="D187" s="1822"/>
      <c r="E187" s="1822"/>
      <c r="F187" s="1822"/>
      <c r="G187" s="1822"/>
      <c r="H187" s="1822"/>
      <c r="I187" s="1822"/>
      <c r="J187" s="1822"/>
      <c r="K187" s="1822"/>
      <c r="L187" s="1822"/>
      <c r="M187" s="1822"/>
      <c r="N187" s="1827"/>
      <c r="V187" s="674"/>
      <c r="W187" s="675"/>
      <c r="Y187" s="537" t="s">
        <v>719</v>
      </c>
      <c r="AC187" s="675"/>
      <c r="AD187" s="675"/>
      <c r="AF187" s="675"/>
      <c r="AG187" s="675"/>
    </row>
    <row r="188" spans="1:33" s="536" customFormat="1" ht="45" x14ac:dyDescent="0.2">
      <c r="A188" s="575" t="s">
        <v>197</v>
      </c>
      <c r="B188" s="657" t="s">
        <v>2231</v>
      </c>
      <c r="C188" s="1823" t="s">
        <v>2232</v>
      </c>
      <c r="D188" s="1823"/>
      <c r="E188" s="1823"/>
      <c r="F188" s="573" t="s">
        <v>628</v>
      </c>
      <c r="G188" s="573"/>
      <c r="H188" s="573"/>
      <c r="I188" s="573" t="s">
        <v>191</v>
      </c>
      <c r="J188" s="572">
        <v>7892.26</v>
      </c>
      <c r="K188" s="573" t="s">
        <v>716</v>
      </c>
      <c r="L188" s="572">
        <v>6772.96</v>
      </c>
      <c r="M188" s="571">
        <v>8.32</v>
      </c>
      <c r="N188" s="570">
        <v>56351</v>
      </c>
      <c r="V188" s="674"/>
      <c r="W188" s="675" t="s">
        <v>2232</v>
      </c>
      <c r="AC188" s="675"/>
      <c r="AD188" s="675"/>
      <c r="AF188" s="675"/>
      <c r="AG188" s="675"/>
    </row>
    <row r="189" spans="1:33" s="536" customFormat="1" ht="12" x14ac:dyDescent="0.2">
      <c r="A189" s="569"/>
      <c r="B189" s="656"/>
      <c r="C189" s="661" t="s">
        <v>1658</v>
      </c>
      <c r="D189" s="662"/>
      <c r="E189" s="662"/>
      <c r="F189" s="563"/>
      <c r="G189" s="563"/>
      <c r="H189" s="563"/>
      <c r="I189" s="563"/>
      <c r="J189" s="566"/>
      <c r="K189" s="563"/>
      <c r="L189" s="566"/>
      <c r="M189" s="565"/>
      <c r="N189" s="564"/>
      <c r="V189" s="674"/>
      <c r="W189" s="675"/>
      <c r="AC189" s="675"/>
      <c r="AD189" s="675"/>
      <c r="AF189" s="675"/>
      <c r="AG189" s="675"/>
    </row>
    <row r="190" spans="1:33" s="536" customFormat="1" ht="22.5" x14ac:dyDescent="0.2">
      <c r="A190" s="609"/>
      <c r="B190" s="552" t="s">
        <v>718</v>
      </c>
      <c r="C190" s="1822" t="s">
        <v>719</v>
      </c>
      <c r="D190" s="1822"/>
      <c r="E190" s="1822"/>
      <c r="F190" s="1822"/>
      <c r="G190" s="1822"/>
      <c r="H190" s="1822"/>
      <c r="I190" s="1822"/>
      <c r="J190" s="1822"/>
      <c r="K190" s="1822"/>
      <c r="L190" s="1822"/>
      <c r="M190" s="1822"/>
      <c r="N190" s="1827"/>
      <c r="V190" s="674"/>
      <c r="W190" s="675"/>
      <c r="Y190" s="537" t="s">
        <v>719</v>
      </c>
      <c r="AC190" s="675"/>
      <c r="AD190" s="675"/>
      <c r="AF190" s="675"/>
      <c r="AG190" s="675"/>
    </row>
    <row r="191" spans="1:33" s="536" customFormat="1" ht="33.75" x14ac:dyDescent="0.2">
      <c r="A191" s="575" t="s">
        <v>198</v>
      </c>
      <c r="B191" s="657" t="s">
        <v>2233</v>
      </c>
      <c r="C191" s="1823" t="s">
        <v>1657</v>
      </c>
      <c r="D191" s="1823"/>
      <c r="E191" s="1823"/>
      <c r="F191" s="573" t="s">
        <v>628</v>
      </c>
      <c r="G191" s="573"/>
      <c r="H191" s="573"/>
      <c r="I191" s="573" t="s">
        <v>199</v>
      </c>
      <c r="J191" s="572">
        <v>4286.97</v>
      </c>
      <c r="K191" s="573" t="s">
        <v>716</v>
      </c>
      <c r="L191" s="572">
        <v>7883.53</v>
      </c>
      <c r="M191" s="571">
        <v>8.32</v>
      </c>
      <c r="N191" s="570">
        <v>65591</v>
      </c>
      <c r="V191" s="674"/>
      <c r="W191" s="675" t="s">
        <v>1657</v>
      </c>
      <c r="AC191" s="675"/>
      <c r="AD191" s="675"/>
      <c r="AF191" s="675"/>
      <c r="AG191" s="675"/>
    </row>
    <row r="192" spans="1:33" s="536" customFormat="1" ht="12" x14ac:dyDescent="0.2">
      <c r="A192" s="569"/>
      <c r="B192" s="656"/>
      <c r="C192" s="661" t="s">
        <v>1658</v>
      </c>
      <c r="D192" s="662"/>
      <c r="E192" s="662"/>
      <c r="F192" s="563"/>
      <c r="G192" s="563"/>
      <c r="H192" s="563"/>
      <c r="I192" s="563"/>
      <c r="J192" s="566"/>
      <c r="K192" s="563"/>
      <c r="L192" s="566"/>
      <c r="M192" s="565"/>
      <c r="N192" s="564"/>
      <c r="V192" s="674"/>
      <c r="W192" s="675"/>
      <c r="AC192" s="675"/>
      <c r="AD192" s="675"/>
      <c r="AF192" s="675"/>
      <c r="AG192" s="675"/>
    </row>
    <row r="193" spans="1:33" s="536" customFormat="1" ht="22.5" x14ac:dyDescent="0.2">
      <c r="A193" s="609"/>
      <c r="B193" s="552" t="s">
        <v>718</v>
      </c>
      <c r="C193" s="1822" t="s">
        <v>719</v>
      </c>
      <c r="D193" s="1822"/>
      <c r="E193" s="1822"/>
      <c r="F193" s="1822"/>
      <c r="G193" s="1822"/>
      <c r="H193" s="1822"/>
      <c r="I193" s="1822"/>
      <c r="J193" s="1822"/>
      <c r="K193" s="1822"/>
      <c r="L193" s="1822"/>
      <c r="M193" s="1822"/>
      <c r="N193" s="1827"/>
      <c r="V193" s="674"/>
      <c r="W193" s="675"/>
      <c r="Y193" s="537" t="s">
        <v>719</v>
      </c>
      <c r="AC193" s="675"/>
      <c r="AD193" s="675"/>
      <c r="AF193" s="675"/>
      <c r="AG193" s="675"/>
    </row>
    <row r="194" spans="1:33" s="536" customFormat="1" ht="45" x14ac:dyDescent="0.2">
      <c r="A194" s="575" t="s">
        <v>199</v>
      </c>
      <c r="B194" s="657" t="s">
        <v>2234</v>
      </c>
      <c r="C194" s="1823" t="s">
        <v>2235</v>
      </c>
      <c r="D194" s="1823"/>
      <c r="E194" s="1823"/>
      <c r="F194" s="573" t="s">
        <v>628</v>
      </c>
      <c r="G194" s="573"/>
      <c r="H194" s="573"/>
      <c r="I194" s="573" t="s">
        <v>185</v>
      </c>
      <c r="J194" s="572">
        <v>9407.64</v>
      </c>
      <c r="K194" s="573" t="s">
        <v>716</v>
      </c>
      <c r="L194" s="572">
        <v>1153.3699999999999</v>
      </c>
      <c r="M194" s="571">
        <v>8.32</v>
      </c>
      <c r="N194" s="570">
        <v>9596</v>
      </c>
      <c r="V194" s="674"/>
      <c r="W194" s="675" t="s">
        <v>2235</v>
      </c>
      <c r="AC194" s="675"/>
      <c r="AD194" s="675"/>
      <c r="AF194" s="675"/>
      <c r="AG194" s="675"/>
    </row>
    <row r="195" spans="1:33" s="536" customFormat="1" ht="12" x14ac:dyDescent="0.2">
      <c r="A195" s="569"/>
      <c r="B195" s="656"/>
      <c r="C195" s="661" t="s">
        <v>1658</v>
      </c>
      <c r="D195" s="662"/>
      <c r="E195" s="662"/>
      <c r="F195" s="563"/>
      <c r="G195" s="563"/>
      <c r="H195" s="563"/>
      <c r="I195" s="563"/>
      <c r="J195" s="566"/>
      <c r="K195" s="563"/>
      <c r="L195" s="566"/>
      <c r="M195" s="565"/>
      <c r="N195" s="564"/>
      <c r="V195" s="674"/>
      <c r="W195" s="675"/>
      <c r="AC195" s="675"/>
      <c r="AD195" s="675"/>
      <c r="AF195" s="675"/>
      <c r="AG195" s="675"/>
    </row>
    <row r="196" spans="1:33" s="536" customFormat="1" ht="22.5" x14ac:dyDescent="0.2">
      <c r="A196" s="609"/>
      <c r="B196" s="552" t="s">
        <v>718</v>
      </c>
      <c r="C196" s="1822" t="s">
        <v>719</v>
      </c>
      <c r="D196" s="1822"/>
      <c r="E196" s="1822"/>
      <c r="F196" s="1822"/>
      <c r="G196" s="1822"/>
      <c r="H196" s="1822"/>
      <c r="I196" s="1822"/>
      <c r="J196" s="1822"/>
      <c r="K196" s="1822"/>
      <c r="L196" s="1822"/>
      <c r="M196" s="1822"/>
      <c r="N196" s="1827"/>
      <c r="V196" s="674"/>
      <c r="W196" s="675"/>
      <c r="Y196" s="537" t="s">
        <v>719</v>
      </c>
      <c r="AC196" s="675"/>
      <c r="AD196" s="675"/>
      <c r="AF196" s="675"/>
      <c r="AG196" s="675"/>
    </row>
    <row r="197" spans="1:33" s="536" customFormat="1" ht="33.75" x14ac:dyDescent="0.2">
      <c r="A197" s="575" t="s">
        <v>200</v>
      </c>
      <c r="B197" s="657" t="s">
        <v>2236</v>
      </c>
      <c r="C197" s="1823" t="s">
        <v>2237</v>
      </c>
      <c r="D197" s="1823"/>
      <c r="E197" s="1823"/>
      <c r="F197" s="573" t="s">
        <v>628</v>
      </c>
      <c r="G197" s="573"/>
      <c r="H197" s="573"/>
      <c r="I197" s="573" t="s">
        <v>189</v>
      </c>
      <c r="J197" s="572">
        <v>1876.46</v>
      </c>
      <c r="K197" s="573" t="s">
        <v>716</v>
      </c>
      <c r="L197" s="572">
        <v>1150.24</v>
      </c>
      <c r="M197" s="571">
        <v>8.32</v>
      </c>
      <c r="N197" s="570">
        <v>9570</v>
      </c>
      <c r="V197" s="674"/>
      <c r="W197" s="675" t="s">
        <v>2237</v>
      </c>
      <c r="AC197" s="675"/>
      <c r="AD197" s="675"/>
      <c r="AF197" s="675"/>
      <c r="AG197" s="675"/>
    </row>
    <row r="198" spans="1:33" s="536" customFormat="1" ht="12" x14ac:dyDescent="0.2">
      <c r="A198" s="569"/>
      <c r="B198" s="656"/>
      <c r="C198" s="661" t="s">
        <v>1658</v>
      </c>
      <c r="D198" s="662"/>
      <c r="E198" s="662"/>
      <c r="F198" s="563"/>
      <c r="G198" s="563"/>
      <c r="H198" s="563"/>
      <c r="I198" s="563"/>
      <c r="J198" s="566"/>
      <c r="K198" s="563"/>
      <c r="L198" s="566"/>
      <c r="M198" s="565"/>
      <c r="N198" s="564"/>
      <c r="V198" s="674"/>
      <c r="W198" s="675"/>
      <c r="AC198" s="675"/>
      <c r="AD198" s="675"/>
      <c r="AF198" s="675"/>
      <c r="AG198" s="675"/>
    </row>
    <row r="199" spans="1:33" s="536" customFormat="1" ht="22.5" x14ac:dyDescent="0.2">
      <c r="A199" s="609"/>
      <c r="B199" s="552" t="s">
        <v>718</v>
      </c>
      <c r="C199" s="1822" t="s">
        <v>719</v>
      </c>
      <c r="D199" s="1822"/>
      <c r="E199" s="1822"/>
      <c r="F199" s="1822"/>
      <c r="G199" s="1822"/>
      <c r="H199" s="1822"/>
      <c r="I199" s="1822"/>
      <c r="J199" s="1822"/>
      <c r="K199" s="1822"/>
      <c r="L199" s="1822"/>
      <c r="M199" s="1822"/>
      <c r="N199" s="1827"/>
      <c r="V199" s="674"/>
      <c r="W199" s="675"/>
      <c r="Y199" s="537" t="s">
        <v>719</v>
      </c>
      <c r="AC199" s="675"/>
      <c r="AD199" s="675"/>
      <c r="AF199" s="675"/>
      <c r="AG199" s="675"/>
    </row>
    <row r="200" spans="1:33" s="536" customFormat="1" ht="12" x14ac:dyDescent="0.2">
      <c r="A200" s="1830" t="s">
        <v>1659</v>
      </c>
      <c r="B200" s="1831"/>
      <c r="C200" s="1831"/>
      <c r="D200" s="1831"/>
      <c r="E200" s="1831"/>
      <c r="F200" s="1831"/>
      <c r="G200" s="1831"/>
      <c r="H200" s="1831"/>
      <c r="I200" s="1831"/>
      <c r="J200" s="1831"/>
      <c r="K200" s="1831"/>
      <c r="L200" s="1831"/>
      <c r="M200" s="1831"/>
      <c r="N200" s="1832"/>
      <c r="V200" s="674"/>
      <c r="W200" s="675"/>
      <c r="AC200" s="675"/>
      <c r="AD200" s="675"/>
      <c r="AF200" s="675"/>
      <c r="AG200" s="675" t="s">
        <v>1659</v>
      </c>
    </row>
    <row r="201" spans="1:33" s="536" customFormat="1" ht="33.75" x14ac:dyDescent="0.2">
      <c r="A201" s="575" t="s">
        <v>425</v>
      </c>
      <c r="B201" s="657" t="s">
        <v>2238</v>
      </c>
      <c r="C201" s="1823" t="s">
        <v>2239</v>
      </c>
      <c r="D201" s="1823"/>
      <c r="E201" s="1823"/>
      <c r="F201" s="573" t="s">
        <v>307</v>
      </c>
      <c r="G201" s="573"/>
      <c r="H201" s="573"/>
      <c r="I201" s="573" t="s">
        <v>2240</v>
      </c>
      <c r="J201" s="572"/>
      <c r="K201" s="573"/>
      <c r="L201" s="572"/>
      <c r="M201" s="571"/>
      <c r="N201" s="570"/>
      <c r="V201" s="674"/>
      <c r="W201" s="675" t="s">
        <v>2239</v>
      </c>
      <c r="AC201" s="675"/>
      <c r="AD201" s="675"/>
      <c r="AF201" s="675"/>
      <c r="AG201" s="675"/>
    </row>
    <row r="202" spans="1:33" s="536" customFormat="1" ht="12" x14ac:dyDescent="0.2">
      <c r="A202" s="676"/>
      <c r="B202" s="655"/>
      <c r="C202" s="1822" t="s">
        <v>2241</v>
      </c>
      <c r="D202" s="1822"/>
      <c r="E202" s="1822"/>
      <c r="F202" s="1822"/>
      <c r="G202" s="1822"/>
      <c r="H202" s="1822"/>
      <c r="I202" s="1822"/>
      <c r="J202" s="1822"/>
      <c r="K202" s="1822"/>
      <c r="L202" s="1822"/>
      <c r="M202" s="1822"/>
      <c r="N202" s="1827"/>
      <c r="V202" s="674"/>
      <c r="W202" s="675"/>
      <c r="X202" s="537" t="s">
        <v>2241</v>
      </c>
      <c r="AC202" s="675"/>
      <c r="AD202" s="675"/>
      <c r="AF202" s="675"/>
      <c r="AG202" s="675"/>
    </row>
    <row r="203" spans="1:33" s="536" customFormat="1" ht="33.75" x14ac:dyDescent="0.2">
      <c r="A203" s="609"/>
      <c r="B203" s="552" t="s">
        <v>310</v>
      </c>
      <c r="C203" s="1822" t="s">
        <v>311</v>
      </c>
      <c r="D203" s="1822"/>
      <c r="E203" s="1822"/>
      <c r="F203" s="1822"/>
      <c r="G203" s="1822"/>
      <c r="H203" s="1822"/>
      <c r="I203" s="1822"/>
      <c r="J203" s="1822"/>
      <c r="K203" s="1822"/>
      <c r="L203" s="1822"/>
      <c r="M203" s="1822"/>
      <c r="N203" s="1827"/>
      <c r="V203" s="674"/>
      <c r="W203" s="675"/>
      <c r="Y203" s="537" t="s">
        <v>311</v>
      </c>
      <c r="AC203" s="675"/>
      <c r="AD203" s="675"/>
      <c r="AF203" s="675"/>
      <c r="AG203" s="675"/>
    </row>
    <row r="204" spans="1:33" s="536" customFormat="1" ht="12" x14ac:dyDescent="0.2">
      <c r="A204" s="605"/>
      <c r="B204" s="552" t="s">
        <v>185</v>
      </c>
      <c r="C204" s="1822" t="s">
        <v>312</v>
      </c>
      <c r="D204" s="1822"/>
      <c r="E204" s="1822"/>
      <c r="F204" s="562"/>
      <c r="G204" s="562"/>
      <c r="H204" s="562"/>
      <c r="I204" s="562"/>
      <c r="J204" s="604">
        <v>313.47000000000003</v>
      </c>
      <c r="K204" s="562" t="s">
        <v>313</v>
      </c>
      <c r="L204" s="604">
        <v>54.86</v>
      </c>
      <c r="M204" s="603"/>
      <c r="N204" s="602"/>
      <c r="V204" s="674"/>
      <c r="W204" s="675"/>
      <c r="Z204" s="537" t="s">
        <v>312</v>
      </c>
      <c r="AC204" s="675"/>
      <c r="AD204" s="675"/>
      <c r="AF204" s="675"/>
      <c r="AG204" s="675"/>
    </row>
    <row r="205" spans="1:33" s="536" customFormat="1" ht="12" x14ac:dyDescent="0.2">
      <c r="A205" s="605"/>
      <c r="B205" s="552" t="s">
        <v>186</v>
      </c>
      <c r="C205" s="1822" t="s">
        <v>344</v>
      </c>
      <c r="D205" s="1822"/>
      <c r="E205" s="1822"/>
      <c r="F205" s="562"/>
      <c r="G205" s="562"/>
      <c r="H205" s="562"/>
      <c r="I205" s="562"/>
      <c r="J205" s="604">
        <v>4.7699999999999996</v>
      </c>
      <c r="K205" s="562" t="s">
        <v>313</v>
      </c>
      <c r="L205" s="604">
        <v>0.83</v>
      </c>
      <c r="M205" s="603"/>
      <c r="N205" s="602"/>
      <c r="V205" s="674"/>
      <c r="W205" s="675"/>
      <c r="Z205" s="537" t="s">
        <v>344</v>
      </c>
      <c r="AC205" s="675"/>
      <c r="AD205" s="675"/>
      <c r="AF205" s="675"/>
      <c r="AG205" s="675"/>
    </row>
    <row r="206" spans="1:33" s="536" customFormat="1" ht="12" x14ac:dyDescent="0.2">
      <c r="A206" s="605"/>
      <c r="B206" s="552" t="s">
        <v>187</v>
      </c>
      <c r="C206" s="1822" t="s">
        <v>345</v>
      </c>
      <c r="D206" s="1822"/>
      <c r="E206" s="1822"/>
      <c r="F206" s="562"/>
      <c r="G206" s="562"/>
      <c r="H206" s="562"/>
      <c r="I206" s="562"/>
      <c r="J206" s="604">
        <v>0.64</v>
      </c>
      <c r="K206" s="562" t="s">
        <v>313</v>
      </c>
      <c r="L206" s="604">
        <v>0.11</v>
      </c>
      <c r="M206" s="603"/>
      <c r="N206" s="602"/>
      <c r="V206" s="674"/>
      <c r="W206" s="675"/>
      <c r="Z206" s="537" t="s">
        <v>345</v>
      </c>
      <c r="AC206" s="675"/>
      <c r="AD206" s="675"/>
      <c r="AF206" s="675"/>
      <c r="AG206" s="675"/>
    </row>
    <row r="207" spans="1:33" s="536" customFormat="1" ht="12" x14ac:dyDescent="0.2">
      <c r="A207" s="605"/>
      <c r="B207" s="552" t="s">
        <v>188</v>
      </c>
      <c r="C207" s="1822" t="s">
        <v>475</v>
      </c>
      <c r="D207" s="1822"/>
      <c r="E207" s="1822"/>
      <c r="F207" s="562"/>
      <c r="G207" s="562"/>
      <c r="H207" s="562"/>
      <c r="I207" s="562"/>
      <c r="J207" s="604">
        <v>105.83</v>
      </c>
      <c r="K207" s="562"/>
      <c r="L207" s="604">
        <v>14.82</v>
      </c>
      <c r="M207" s="603"/>
      <c r="N207" s="602"/>
      <c r="V207" s="674"/>
      <c r="W207" s="675"/>
      <c r="Z207" s="537" t="s">
        <v>475</v>
      </c>
      <c r="AC207" s="675"/>
      <c r="AD207" s="675"/>
      <c r="AF207" s="675"/>
      <c r="AG207" s="675"/>
    </row>
    <row r="208" spans="1:33" s="536" customFormat="1" ht="12" x14ac:dyDescent="0.2">
      <c r="A208" s="605"/>
      <c r="B208" s="552"/>
      <c r="C208" s="1822" t="s">
        <v>314</v>
      </c>
      <c r="D208" s="1822"/>
      <c r="E208" s="1822"/>
      <c r="F208" s="562" t="s">
        <v>315</v>
      </c>
      <c r="G208" s="562" t="s">
        <v>2242</v>
      </c>
      <c r="H208" s="562" t="s">
        <v>313</v>
      </c>
      <c r="I208" s="562" t="s">
        <v>2243</v>
      </c>
      <c r="J208" s="604"/>
      <c r="K208" s="562"/>
      <c r="L208" s="604"/>
      <c r="M208" s="603"/>
      <c r="N208" s="602"/>
      <c r="V208" s="674"/>
      <c r="W208" s="675"/>
      <c r="AA208" s="537" t="s">
        <v>314</v>
      </c>
      <c r="AC208" s="675"/>
      <c r="AD208" s="675"/>
      <c r="AF208" s="675"/>
      <c r="AG208" s="675"/>
    </row>
    <row r="209" spans="1:33" s="536" customFormat="1" ht="12" x14ac:dyDescent="0.2">
      <c r="A209" s="605"/>
      <c r="B209" s="552"/>
      <c r="C209" s="1822" t="s">
        <v>348</v>
      </c>
      <c r="D209" s="1822"/>
      <c r="E209" s="1822"/>
      <c r="F209" s="562" t="s">
        <v>315</v>
      </c>
      <c r="G209" s="562" t="s">
        <v>856</v>
      </c>
      <c r="H209" s="562" t="s">
        <v>313</v>
      </c>
      <c r="I209" s="562" t="s">
        <v>2244</v>
      </c>
      <c r="J209" s="604"/>
      <c r="K209" s="562"/>
      <c r="L209" s="604"/>
      <c r="M209" s="603"/>
      <c r="N209" s="602"/>
      <c r="V209" s="674"/>
      <c r="W209" s="675"/>
      <c r="AA209" s="537" t="s">
        <v>348</v>
      </c>
      <c r="AC209" s="675"/>
      <c r="AD209" s="675"/>
      <c r="AF209" s="675"/>
      <c r="AG209" s="675"/>
    </row>
    <row r="210" spans="1:33" s="536" customFormat="1" ht="12" x14ac:dyDescent="0.2">
      <c r="A210" s="605"/>
      <c r="B210" s="552"/>
      <c r="C210" s="1828" t="s">
        <v>318</v>
      </c>
      <c r="D210" s="1828"/>
      <c r="E210" s="1828"/>
      <c r="F210" s="608"/>
      <c r="G210" s="608"/>
      <c r="H210" s="608"/>
      <c r="I210" s="608"/>
      <c r="J210" s="607">
        <v>424.07</v>
      </c>
      <c r="K210" s="608"/>
      <c r="L210" s="607">
        <v>70.510000000000005</v>
      </c>
      <c r="M210" s="601"/>
      <c r="N210" s="606"/>
      <c r="V210" s="674"/>
      <c r="W210" s="675"/>
      <c r="AB210" s="537" t="s">
        <v>318</v>
      </c>
      <c r="AC210" s="675"/>
      <c r="AD210" s="675"/>
      <c r="AF210" s="675"/>
      <c r="AG210" s="675"/>
    </row>
    <row r="211" spans="1:33" s="536" customFormat="1" ht="12" x14ac:dyDescent="0.2">
      <c r="A211" s="605"/>
      <c r="B211" s="552"/>
      <c r="C211" s="1822" t="s">
        <v>319</v>
      </c>
      <c r="D211" s="1822"/>
      <c r="E211" s="1822"/>
      <c r="F211" s="562"/>
      <c r="G211" s="562"/>
      <c r="H211" s="562"/>
      <c r="I211" s="562"/>
      <c r="J211" s="604"/>
      <c r="K211" s="562"/>
      <c r="L211" s="604">
        <v>54.97</v>
      </c>
      <c r="M211" s="603"/>
      <c r="N211" s="602"/>
      <c r="V211" s="674"/>
      <c r="W211" s="675"/>
      <c r="AA211" s="537" t="s">
        <v>319</v>
      </c>
      <c r="AC211" s="675"/>
      <c r="AD211" s="675"/>
      <c r="AF211" s="675"/>
      <c r="AG211" s="675"/>
    </row>
    <row r="212" spans="1:33" s="536" customFormat="1" ht="33.75" x14ac:dyDescent="0.2">
      <c r="A212" s="605"/>
      <c r="B212" s="552" t="s">
        <v>1631</v>
      </c>
      <c r="C212" s="1822" t="s">
        <v>1632</v>
      </c>
      <c r="D212" s="1822"/>
      <c r="E212" s="1822"/>
      <c r="F212" s="562" t="s">
        <v>322</v>
      </c>
      <c r="G212" s="562" t="s">
        <v>1633</v>
      </c>
      <c r="H212" s="562"/>
      <c r="I212" s="562" t="s">
        <v>1633</v>
      </c>
      <c r="J212" s="604"/>
      <c r="K212" s="562"/>
      <c r="L212" s="604">
        <v>53.32</v>
      </c>
      <c r="M212" s="603"/>
      <c r="N212" s="602"/>
      <c r="V212" s="674"/>
      <c r="W212" s="675"/>
      <c r="AA212" s="537" t="s">
        <v>1632</v>
      </c>
      <c r="AC212" s="675"/>
      <c r="AD212" s="675"/>
      <c r="AF212" s="675"/>
      <c r="AG212" s="675"/>
    </row>
    <row r="213" spans="1:33" s="536" customFormat="1" ht="33.75" x14ac:dyDescent="0.2">
      <c r="A213" s="605"/>
      <c r="B213" s="552" t="s">
        <v>1634</v>
      </c>
      <c r="C213" s="1822" t="s">
        <v>1635</v>
      </c>
      <c r="D213" s="1822"/>
      <c r="E213" s="1822"/>
      <c r="F213" s="562" t="s">
        <v>322</v>
      </c>
      <c r="G213" s="562" t="s">
        <v>786</v>
      </c>
      <c r="H213" s="562"/>
      <c r="I213" s="562" t="s">
        <v>786</v>
      </c>
      <c r="J213" s="604"/>
      <c r="K213" s="562"/>
      <c r="L213" s="604">
        <v>28.03</v>
      </c>
      <c r="M213" s="603"/>
      <c r="N213" s="602"/>
      <c r="V213" s="674"/>
      <c r="W213" s="675"/>
      <c r="AA213" s="537" t="s">
        <v>1635</v>
      </c>
      <c r="AC213" s="675"/>
      <c r="AD213" s="675"/>
      <c r="AF213" s="675"/>
      <c r="AG213" s="675"/>
    </row>
    <row r="214" spans="1:33" s="536" customFormat="1" ht="12" x14ac:dyDescent="0.2">
      <c r="A214" s="569"/>
      <c r="B214" s="656"/>
      <c r="C214" s="1823" t="s">
        <v>327</v>
      </c>
      <c r="D214" s="1823"/>
      <c r="E214" s="1823"/>
      <c r="F214" s="573"/>
      <c r="G214" s="573"/>
      <c r="H214" s="573"/>
      <c r="I214" s="573"/>
      <c r="J214" s="572"/>
      <c r="K214" s="573"/>
      <c r="L214" s="572">
        <v>151.86000000000001</v>
      </c>
      <c r="M214" s="601"/>
      <c r="N214" s="570"/>
      <c r="V214" s="674"/>
      <c r="W214" s="675"/>
      <c r="AC214" s="675" t="s">
        <v>327</v>
      </c>
      <c r="AD214" s="675"/>
      <c r="AF214" s="675"/>
      <c r="AG214" s="675"/>
    </row>
    <row r="215" spans="1:33" s="536" customFormat="1" ht="33.75" x14ac:dyDescent="0.2">
      <c r="A215" s="575" t="s">
        <v>430</v>
      </c>
      <c r="B215" s="657" t="s">
        <v>2245</v>
      </c>
      <c r="C215" s="1823" t="s">
        <v>2246</v>
      </c>
      <c r="D215" s="1823"/>
      <c r="E215" s="1823"/>
      <c r="F215" s="573" t="s">
        <v>628</v>
      </c>
      <c r="G215" s="573"/>
      <c r="H215" s="573"/>
      <c r="I215" s="573" t="s">
        <v>198</v>
      </c>
      <c r="J215" s="572">
        <v>97.06</v>
      </c>
      <c r="K215" s="573" t="s">
        <v>716</v>
      </c>
      <c r="L215" s="572">
        <v>166.59</v>
      </c>
      <c r="M215" s="571">
        <v>8.32</v>
      </c>
      <c r="N215" s="570">
        <v>1386</v>
      </c>
      <c r="V215" s="674"/>
      <c r="W215" s="675" t="s">
        <v>2246</v>
      </c>
      <c r="AC215" s="675"/>
      <c r="AD215" s="675"/>
      <c r="AF215" s="675"/>
      <c r="AG215" s="675"/>
    </row>
    <row r="216" spans="1:33" s="536" customFormat="1" ht="12" x14ac:dyDescent="0.2">
      <c r="A216" s="569"/>
      <c r="B216" s="656"/>
      <c r="C216" s="661" t="s">
        <v>1658</v>
      </c>
      <c r="D216" s="662"/>
      <c r="E216" s="662"/>
      <c r="F216" s="563"/>
      <c r="G216" s="563"/>
      <c r="H216" s="563"/>
      <c r="I216" s="563"/>
      <c r="J216" s="566"/>
      <c r="K216" s="563"/>
      <c r="L216" s="566"/>
      <c r="M216" s="565"/>
      <c r="N216" s="564"/>
      <c r="V216" s="674"/>
      <c r="W216" s="675"/>
      <c r="AC216" s="675"/>
      <c r="AD216" s="675"/>
      <c r="AF216" s="675"/>
      <c r="AG216" s="675"/>
    </row>
    <row r="217" spans="1:33" s="536" customFormat="1" ht="22.5" x14ac:dyDescent="0.2">
      <c r="A217" s="609"/>
      <c r="B217" s="552" t="s">
        <v>718</v>
      </c>
      <c r="C217" s="1822" t="s">
        <v>719</v>
      </c>
      <c r="D217" s="1822"/>
      <c r="E217" s="1822"/>
      <c r="F217" s="1822"/>
      <c r="G217" s="1822"/>
      <c r="H217" s="1822"/>
      <c r="I217" s="1822"/>
      <c r="J217" s="1822"/>
      <c r="K217" s="1822"/>
      <c r="L217" s="1822"/>
      <c r="M217" s="1822"/>
      <c r="N217" s="1827"/>
      <c r="V217" s="674"/>
      <c r="W217" s="675"/>
      <c r="Y217" s="537" t="s">
        <v>719</v>
      </c>
      <c r="AC217" s="675"/>
      <c r="AD217" s="675"/>
      <c r="AF217" s="675"/>
      <c r="AG217" s="675"/>
    </row>
    <row r="218" spans="1:33" s="536" customFormat="1" ht="22.5" x14ac:dyDescent="0.2">
      <c r="A218" s="575" t="s">
        <v>436</v>
      </c>
      <c r="B218" s="657" t="s">
        <v>1660</v>
      </c>
      <c r="C218" s="1823" t="s">
        <v>1661</v>
      </c>
      <c r="D218" s="1823"/>
      <c r="E218" s="1823"/>
      <c r="F218" s="573" t="s">
        <v>307</v>
      </c>
      <c r="G218" s="573"/>
      <c r="H218" s="573"/>
      <c r="I218" s="573" t="s">
        <v>2247</v>
      </c>
      <c r="J218" s="572"/>
      <c r="K218" s="573"/>
      <c r="L218" s="572"/>
      <c r="M218" s="571"/>
      <c r="N218" s="570"/>
      <c r="V218" s="674"/>
      <c r="W218" s="675" t="s">
        <v>1661</v>
      </c>
      <c r="AC218" s="675"/>
      <c r="AD218" s="675"/>
      <c r="AF218" s="675"/>
      <c r="AG218" s="675"/>
    </row>
    <row r="219" spans="1:33" s="536" customFormat="1" ht="12" x14ac:dyDescent="0.2">
      <c r="A219" s="676"/>
      <c r="B219" s="655"/>
      <c r="C219" s="1822" t="s">
        <v>2248</v>
      </c>
      <c r="D219" s="1822"/>
      <c r="E219" s="1822"/>
      <c r="F219" s="1822"/>
      <c r="G219" s="1822"/>
      <c r="H219" s="1822"/>
      <c r="I219" s="1822"/>
      <c r="J219" s="1822"/>
      <c r="K219" s="1822"/>
      <c r="L219" s="1822"/>
      <c r="M219" s="1822"/>
      <c r="N219" s="1827"/>
      <c r="V219" s="674"/>
      <c r="W219" s="675"/>
      <c r="X219" s="537" t="s">
        <v>2248</v>
      </c>
      <c r="AC219" s="675"/>
      <c r="AD219" s="675"/>
      <c r="AF219" s="675"/>
      <c r="AG219" s="675"/>
    </row>
    <row r="220" spans="1:33" s="536" customFormat="1" ht="33.75" x14ac:dyDescent="0.2">
      <c r="A220" s="609"/>
      <c r="B220" s="552" t="s">
        <v>310</v>
      </c>
      <c r="C220" s="1822" t="s">
        <v>311</v>
      </c>
      <c r="D220" s="1822"/>
      <c r="E220" s="1822"/>
      <c r="F220" s="1822"/>
      <c r="G220" s="1822"/>
      <c r="H220" s="1822"/>
      <c r="I220" s="1822"/>
      <c r="J220" s="1822"/>
      <c r="K220" s="1822"/>
      <c r="L220" s="1822"/>
      <c r="M220" s="1822"/>
      <c r="N220" s="1827"/>
      <c r="V220" s="674"/>
      <c r="W220" s="675"/>
      <c r="Y220" s="537" t="s">
        <v>311</v>
      </c>
      <c r="AC220" s="675"/>
      <c r="AD220" s="675"/>
      <c r="AF220" s="675"/>
      <c r="AG220" s="675"/>
    </row>
    <row r="221" spans="1:33" s="536" customFormat="1" ht="12" x14ac:dyDescent="0.2">
      <c r="A221" s="605"/>
      <c r="B221" s="552" t="s">
        <v>185</v>
      </c>
      <c r="C221" s="1822" t="s">
        <v>312</v>
      </c>
      <c r="D221" s="1822"/>
      <c r="E221" s="1822"/>
      <c r="F221" s="562"/>
      <c r="G221" s="562"/>
      <c r="H221" s="562"/>
      <c r="I221" s="562"/>
      <c r="J221" s="604">
        <v>603.14</v>
      </c>
      <c r="K221" s="562" t="s">
        <v>313</v>
      </c>
      <c r="L221" s="604">
        <v>60.31</v>
      </c>
      <c r="M221" s="603"/>
      <c r="N221" s="602"/>
      <c r="V221" s="674"/>
      <c r="W221" s="675"/>
      <c r="Z221" s="537" t="s">
        <v>312</v>
      </c>
      <c r="AC221" s="675"/>
      <c r="AD221" s="675"/>
      <c r="AF221" s="675"/>
      <c r="AG221" s="675"/>
    </row>
    <row r="222" spans="1:33" s="536" customFormat="1" ht="12" x14ac:dyDescent="0.2">
      <c r="A222" s="605"/>
      <c r="B222" s="552" t="s">
        <v>186</v>
      </c>
      <c r="C222" s="1822" t="s">
        <v>344</v>
      </c>
      <c r="D222" s="1822"/>
      <c r="E222" s="1822"/>
      <c r="F222" s="562"/>
      <c r="G222" s="562"/>
      <c r="H222" s="562"/>
      <c r="I222" s="562"/>
      <c r="J222" s="604">
        <v>34.92</v>
      </c>
      <c r="K222" s="562" t="s">
        <v>313</v>
      </c>
      <c r="L222" s="604">
        <v>3.49</v>
      </c>
      <c r="M222" s="603"/>
      <c r="N222" s="602"/>
      <c r="V222" s="674"/>
      <c r="W222" s="675"/>
      <c r="Z222" s="537" t="s">
        <v>344</v>
      </c>
      <c r="AC222" s="675"/>
      <c r="AD222" s="675"/>
      <c r="AF222" s="675"/>
      <c r="AG222" s="675"/>
    </row>
    <row r="223" spans="1:33" s="536" customFormat="1" ht="12" x14ac:dyDescent="0.2">
      <c r="A223" s="605"/>
      <c r="B223" s="552" t="s">
        <v>187</v>
      </c>
      <c r="C223" s="1822" t="s">
        <v>345</v>
      </c>
      <c r="D223" s="1822"/>
      <c r="E223" s="1822"/>
      <c r="F223" s="562"/>
      <c r="G223" s="562"/>
      <c r="H223" s="562"/>
      <c r="I223" s="562"/>
      <c r="J223" s="604">
        <v>1.51</v>
      </c>
      <c r="K223" s="562" t="s">
        <v>313</v>
      </c>
      <c r="L223" s="604">
        <v>0.15</v>
      </c>
      <c r="M223" s="603"/>
      <c r="N223" s="602"/>
      <c r="V223" s="674"/>
      <c r="W223" s="675"/>
      <c r="Z223" s="537" t="s">
        <v>345</v>
      </c>
      <c r="AC223" s="675"/>
      <c r="AD223" s="675"/>
      <c r="AF223" s="675"/>
      <c r="AG223" s="675"/>
    </row>
    <row r="224" spans="1:33" s="536" customFormat="1" ht="12" x14ac:dyDescent="0.2">
      <c r="A224" s="605"/>
      <c r="B224" s="552" t="s">
        <v>188</v>
      </c>
      <c r="C224" s="1822" t="s">
        <v>475</v>
      </c>
      <c r="D224" s="1822"/>
      <c r="E224" s="1822"/>
      <c r="F224" s="562"/>
      <c r="G224" s="562"/>
      <c r="H224" s="562"/>
      <c r="I224" s="562"/>
      <c r="J224" s="604">
        <v>135.44</v>
      </c>
      <c r="K224" s="562"/>
      <c r="L224" s="604">
        <v>10.84</v>
      </c>
      <c r="M224" s="603"/>
      <c r="N224" s="602"/>
      <c r="V224" s="674"/>
      <c r="W224" s="675"/>
      <c r="Z224" s="537" t="s">
        <v>475</v>
      </c>
      <c r="AC224" s="675"/>
      <c r="AD224" s="675"/>
      <c r="AF224" s="675"/>
      <c r="AG224" s="675"/>
    </row>
    <row r="225" spans="1:33" s="536" customFormat="1" ht="12" x14ac:dyDescent="0.2">
      <c r="A225" s="605"/>
      <c r="B225" s="552"/>
      <c r="C225" s="1822" t="s">
        <v>314</v>
      </c>
      <c r="D225" s="1822"/>
      <c r="E225" s="1822"/>
      <c r="F225" s="562" t="s">
        <v>315</v>
      </c>
      <c r="G225" s="562" t="s">
        <v>1662</v>
      </c>
      <c r="H225" s="562" t="s">
        <v>313</v>
      </c>
      <c r="I225" s="562" t="s">
        <v>2249</v>
      </c>
      <c r="J225" s="604"/>
      <c r="K225" s="562"/>
      <c r="L225" s="604"/>
      <c r="M225" s="603"/>
      <c r="N225" s="602"/>
      <c r="V225" s="674"/>
      <c r="W225" s="675"/>
      <c r="AA225" s="537" t="s">
        <v>314</v>
      </c>
      <c r="AC225" s="675"/>
      <c r="AD225" s="675"/>
      <c r="AF225" s="675"/>
      <c r="AG225" s="675"/>
    </row>
    <row r="226" spans="1:33" s="536" customFormat="1" ht="12" x14ac:dyDescent="0.2">
      <c r="A226" s="605"/>
      <c r="B226" s="552"/>
      <c r="C226" s="1822" t="s">
        <v>348</v>
      </c>
      <c r="D226" s="1822"/>
      <c r="E226" s="1822"/>
      <c r="F226" s="562" t="s">
        <v>315</v>
      </c>
      <c r="G226" s="562" t="s">
        <v>646</v>
      </c>
      <c r="H226" s="562" t="s">
        <v>313</v>
      </c>
      <c r="I226" s="562" t="s">
        <v>2250</v>
      </c>
      <c r="J226" s="604"/>
      <c r="K226" s="562"/>
      <c r="L226" s="604"/>
      <c r="M226" s="603"/>
      <c r="N226" s="602"/>
      <c r="V226" s="674"/>
      <c r="W226" s="675"/>
      <c r="AA226" s="537" t="s">
        <v>348</v>
      </c>
      <c r="AC226" s="675"/>
      <c r="AD226" s="675"/>
      <c r="AF226" s="675"/>
      <c r="AG226" s="675"/>
    </row>
    <row r="227" spans="1:33" s="536" customFormat="1" ht="12" x14ac:dyDescent="0.2">
      <c r="A227" s="605"/>
      <c r="B227" s="552"/>
      <c r="C227" s="1828" t="s">
        <v>318</v>
      </c>
      <c r="D227" s="1828"/>
      <c r="E227" s="1828"/>
      <c r="F227" s="608"/>
      <c r="G227" s="608"/>
      <c r="H227" s="608"/>
      <c r="I227" s="608"/>
      <c r="J227" s="607">
        <v>773.5</v>
      </c>
      <c r="K227" s="608"/>
      <c r="L227" s="607">
        <v>74.64</v>
      </c>
      <c r="M227" s="601"/>
      <c r="N227" s="606"/>
      <c r="V227" s="674"/>
      <c r="W227" s="675"/>
      <c r="AB227" s="537" t="s">
        <v>318</v>
      </c>
      <c r="AC227" s="675"/>
      <c r="AD227" s="675"/>
      <c r="AF227" s="675"/>
      <c r="AG227" s="675"/>
    </row>
    <row r="228" spans="1:33" s="536" customFormat="1" ht="12" x14ac:dyDescent="0.2">
      <c r="A228" s="605"/>
      <c r="B228" s="552"/>
      <c r="C228" s="1822" t="s">
        <v>319</v>
      </c>
      <c r="D228" s="1822"/>
      <c r="E228" s="1822"/>
      <c r="F228" s="562"/>
      <c r="G228" s="562"/>
      <c r="H228" s="562"/>
      <c r="I228" s="562"/>
      <c r="J228" s="604"/>
      <c r="K228" s="562"/>
      <c r="L228" s="604">
        <v>60.46</v>
      </c>
      <c r="M228" s="603"/>
      <c r="N228" s="602"/>
      <c r="V228" s="674"/>
      <c r="W228" s="675"/>
      <c r="AA228" s="537" t="s">
        <v>319</v>
      </c>
      <c r="AC228" s="675"/>
      <c r="AD228" s="675"/>
      <c r="AF228" s="675"/>
      <c r="AG228" s="675"/>
    </row>
    <row r="229" spans="1:33" s="536" customFormat="1" ht="33.75" x14ac:dyDescent="0.2">
      <c r="A229" s="605"/>
      <c r="B229" s="552" t="s">
        <v>1631</v>
      </c>
      <c r="C229" s="1822" t="s">
        <v>1632</v>
      </c>
      <c r="D229" s="1822"/>
      <c r="E229" s="1822"/>
      <c r="F229" s="562" t="s">
        <v>322</v>
      </c>
      <c r="G229" s="562" t="s">
        <v>1633</v>
      </c>
      <c r="H229" s="562"/>
      <c r="I229" s="562" t="s">
        <v>1633</v>
      </c>
      <c r="J229" s="604"/>
      <c r="K229" s="562"/>
      <c r="L229" s="604">
        <v>58.65</v>
      </c>
      <c r="M229" s="603"/>
      <c r="N229" s="602"/>
      <c r="V229" s="674"/>
      <c r="W229" s="675"/>
      <c r="AA229" s="537" t="s">
        <v>1632</v>
      </c>
      <c r="AC229" s="675"/>
      <c r="AD229" s="675"/>
      <c r="AF229" s="675"/>
      <c r="AG229" s="675"/>
    </row>
    <row r="230" spans="1:33" s="536" customFormat="1" ht="33.75" x14ac:dyDescent="0.2">
      <c r="A230" s="605"/>
      <c r="B230" s="552" t="s">
        <v>1634</v>
      </c>
      <c r="C230" s="1822" t="s">
        <v>1635</v>
      </c>
      <c r="D230" s="1822"/>
      <c r="E230" s="1822"/>
      <c r="F230" s="562" t="s">
        <v>322</v>
      </c>
      <c r="G230" s="562" t="s">
        <v>786</v>
      </c>
      <c r="H230" s="562"/>
      <c r="I230" s="562" t="s">
        <v>786</v>
      </c>
      <c r="J230" s="604"/>
      <c r="K230" s="562"/>
      <c r="L230" s="604">
        <v>30.83</v>
      </c>
      <c r="M230" s="603"/>
      <c r="N230" s="602"/>
      <c r="V230" s="674"/>
      <c r="W230" s="675"/>
      <c r="AA230" s="537" t="s">
        <v>1635</v>
      </c>
      <c r="AC230" s="675"/>
      <c r="AD230" s="675"/>
      <c r="AF230" s="675"/>
      <c r="AG230" s="675"/>
    </row>
    <row r="231" spans="1:33" s="536" customFormat="1" ht="12" x14ac:dyDescent="0.2">
      <c r="A231" s="569"/>
      <c r="B231" s="656"/>
      <c r="C231" s="1823" t="s">
        <v>327</v>
      </c>
      <c r="D231" s="1823"/>
      <c r="E231" s="1823"/>
      <c r="F231" s="573"/>
      <c r="G231" s="573"/>
      <c r="H231" s="573"/>
      <c r="I231" s="573"/>
      <c r="J231" s="572"/>
      <c r="K231" s="573"/>
      <c r="L231" s="572">
        <v>164.12</v>
      </c>
      <c r="M231" s="601"/>
      <c r="N231" s="570"/>
      <c r="V231" s="674"/>
      <c r="W231" s="675"/>
      <c r="AC231" s="675" t="s">
        <v>327</v>
      </c>
      <c r="AD231" s="675"/>
      <c r="AF231" s="675"/>
      <c r="AG231" s="675"/>
    </row>
    <row r="232" spans="1:33" s="536" customFormat="1" ht="33.75" x14ac:dyDescent="0.2">
      <c r="A232" s="575" t="s">
        <v>733</v>
      </c>
      <c r="B232" s="657" t="s">
        <v>2251</v>
      </c>
      <c r="C232" s="1823" t="s">
        <v>2252</v>
      </c>
      <c r="D232" s="1823"/>
      <c r="E232" s="1823"/>
      <c r="F232" s="573" t="s">
        <v>628</v>
      </c>
      <c r="G232" s="573"/>
      <c r="H232" s="573"/>
      <c r="I232" s="573" t="s">
        <v>192</v>
      </c>
      <c r="J232" s="572">
        <v>175.06</v>
      </c>
      <c r="K232" s="573" t="s">
        <v>716</v>
      </c>
      <c r="L232" s="572">
        <v>171.63</v>
      </c>
      <c r="M232" s="571">
        <v>8.32</v>
      </c>
      <c r="N232" s="570">
        <v>1428</v>
      </c>
      <c r="V232" s="674"/>
      <c r="W232" s="675" t="s">
        <v>2252</v>
      </c>
      <c r="AC232" s="675"/>
      <c r="AD232" s="675"/>
      <c r="AF232" s="675"/>
      <c r="AG232" s="675"/>
    </row>
    <row r="233" spans="1:33" s="536" customFormat="1" ht="12" x14ac:dyDescent="0.2">
      <c r="A233" s="569"/>
      <c r="B233" s="656"/>
      <c r="C233" s="661" t="s">
        <v>1658</v>
      </c>
      <c r="D233" s="662"/>
      <c r="E233" s="662"/>
      <c r="F233" s="563"/>
      <c r="G233" s="563"/>
      <c r="H233" s="563"/>
      <c r="I233" s="563"/>
      <c r="J233" s="566"/>
      <c r="K233" s="563"/>
      <c r="L233" s="566"/>
      <c r="M233" s="565"/>
      <c r="N233" s="564"/>
      <c r="V233" s="674"/>
      <c r="W233" s="675"/>
      <c r="AC233" s="675"/>
      <c r="AD233" s="675"/>
      <c r="AF233" s="675"/>
      <c r="AG233" s="675"/>
    </row>
    <row r="234" spans="1:33" s="536" customFormat="1" ht="22.5" x14ac:dyDescent="0.2">
      <c r="A234" s="609"/>
      <c r="B234" s="552" t="s">
        <v>718</v>
      </c>
      <c r="C234" s="1822" t="s">
        <v>719</v>
      </c>
      <c r="D234" s="1822"/>
      <c r="E234" s="1822"/>
      <c r="F234" s="1822"/>
      <c r="G234" s="1822"/>
      <c r="H234" s="1822"/>
      <c r="I234" s="1822"/>
      <c r="J234" s="1822"/>
      <c r="K234" s="1822"/>
      <c r="L234" s="1822"/>
      <c r="M234" s="1822"/>
      <c r="N234" s="1827"/>
      <c r="V234" s="674"/>
      <c r="W234" s="675"/>
      <c r="Y234" s="537" t="s">
        <v>719</v>
      </c>
      <c r="AC234" s="675"/>
      <c r="AD234" s="675"/>
      <c r="AF234" s="675"/>
      <c r="AG234" s="675"/>
    </row>
    <row r="235" spans="1:33" s="536" customFormat="1" ht="22.5" x14ac:dyDescent="0.2">
      <c r="A235" s="575" t="s">
        <v>736</v>
      </c>
      <c r="B235" s="657" t="s">
        <v>2253</v>
      </c>
      <c r="C235" s="1823" t="s">
        <v>2254</v>
      </c>
      <c r="D235" s="1823"/>
      <c r="E235" s="1823"/>
      <c r="F235" s="573" t="s">
        <v>307</v>
      </c>
      <c r="G235" s="573"/>
      <c r="H235" s="573"/>
      <c r="I235" s="573" t="s">
        <v>947</v>
      </c>
      <c r="J235" s="572"/>
      <c r="K235" s="573"/>
      <c r="L235" s="572"/>
      <c r="M235" s="571"/>
      <c r="N235" s="570"/>
      <c r="V235" s="674"/>
      <c r="W235" s="675" t="s">
        <v>2254</v>
      </c>
      <c r="AC235" s="675"/>
      <c r="AD235" s="675"/>
      <c r="AF235" s="675"/>
      <c r="AG235" s="675"/>
    </row>
    <row r="236" spans="1:33" s="536" customFormat="1" ht="12" x14ac:dyDescent="0.2">
      <c r="A236" s="676"/>
      <c r="B236" s="655"/>
      <c r="C236" s="1822" t="s">
        <v>2255</v>
      </c>
      <c r="D236" s="1822"/>
      <c r="E236" s="1822"/>
      <c r="F236" s="1822"/>
      <c r="G236" s="1822"/>
      <c r="H236" s="1822"/>
      <c r="I236" s="1822"/>
      <c r="J236" s="1822"/>
      <c r="K236" s="1822"/>
      <c r="L236" s="1822"/>
      <c r="M236" s="1822"/>
      <c r="N236" s="1827"/>
      <c r="V236" s="674"/>
      <c r="W236" s="675"/>
      <c r="X236" s="537" t="s">
        <v>2255</v>
      </c>
      <c r="AC236" s="675"/>
      <c r="AD236" s="675"/>
      <c r="AF236" s="675"/>
      <c r="AG236" s="675"/>
    </row>
    <row r="237" spans="1:33" s="536" customFormat="1" ht="33.75" x14ac:dyDescent="0.2">
      <c r="A237" s="609"/>
      <c r="B237" s="552" t="s">
        <v>310</v>
      </c>
      <c r="C237" s="1822" t="s">
        <v>311</v>
      </c>
      <c r="D237" s="1822"/>
      <c r="E237" s="1822"/>
      <c r="F237" s="1822"/>
      <c r="G237" s="1822"/>
      <c r="H237" s="1822"/>
      <c r="I237" s="1822"/>
      <c r="J237" s="1822"/>
      <c r="K237" s="1822"/>
      <c r="L237" s="1822"/>
      <c r="M237" s="1822"/>
      <c r="N237" s="1827"/>
      <c r="V237" s="674"/>
      <c r="W237" s="675"/>
      <c r="Y237" s="537" t="s">
        <v>311</v>
      </c>
      <c r="AC237" s="675"/>
      <c r="AD237" s="675"/>
      <c r="AF237" s="675"/>
      <c r="AG237" s="675"/>
    </row>
    <row r="238" spans="1:33" s="536" customFormat="1" ht="12" x14ac:dyDescent="0.2">
      <c r="A238" s="605"/>
      <c r="B238" s="552" t="s">
        <v>185</v>
      </c>
      <c r="C238" s="1822" t="s">
        <v>312</v>
      </c>
      <c r="D238" s="1822"/>
      <c r="E238" s="1822"/>
      <c r="F238" s="562"/>
      <c r="G238" s="562"/>
      <c r="H238" s="562"/>
      <c r="I238" s="562"/>
      <c r="J238" s="604">
        <v>342.84</v>
      </c>
      <c r="K238" s="562" t="s">
        <v>313</v>
      </c>
      <c r="L238" s="604">
        <v>171.42</v>
      </c>
      <c r="M238" s="603"/>
      <c r="N238" s="602"/>
      <c r="V238" s="674"/>
      <c r="W238" s="675"/>
      <c r="Z238" s="537" t="s">
        <v>312</v>
      </c>
      <c r="AC238" s="675"/>
      <c r="AD238" s="675"/>
      <c r="AF238" s="675"/>
      <c r="AG238" s="675"/>
    </row>
    <row r="239" spans="1:33" s="536" customFormat="1" ht="12" x14ac:dyDescent="0.2">
      <c r="A239" s="605"/>
      <c r="B239" s="552" t="s">
        <v>186</v>
      </c>
      <c r="C239" s="1822" t="s">
        <v>344</v>
      </c>
      <c r="D239" s="1822"/>
      <c r="E239" s="1822"/>
      <c r="F239" s="562"/>
      <c r="G239" s="562"/>
      <c r="H239" s="562"/>
      <c r="I239" s="562"/>
      <c r="J239" s="604">
        <v>4.7699999999999996</v>
      </c>
      <c r="K239" s="562" t="s">
        <v>313</v>
      </c>
      <c r="L239" s="604">
        <v>2.39</v>
      </c>
      <c r="M239" s="603"/>
      <c r="N239" s="602"/>
      <c r="V239" s="674"/>
      <c r="W239" s="675"/>
      <c r="Z239" s="537" t="s">
        <v>344</v>
      </c>
      <c r="AC239" s="675"/>
      <c r="AD239" s="675"/>
      <c r="AF239" s="675"/>
      <c r="AG239" s="675"/>
    </row>
    <row r="240" spans="1:33" s="536" customFormat="1" ht="12" x14ac:dyDescent="0.2">
      <c r="A240" s="605"/>
      <c r="B240" s="552" t="s">
        <v>187</v>
      </c>
      <c r="C240" s="1822" t="s">
        <v>345</v>
      </c>
      <c r="D240" s="1822"/>
      <c r="E240" s="1822"/>
      <c r="F240" s="562"/>
      <c r="G240" s="562"/>
      <c r="H240" s="562"/>
      <c r="I240" s="562"/>
      <c r="J240" s="604">
        <v>0.64</v>
      </c>
      <c r="K240" s="562" t="s">
        <v>313</v>
      </c>
      <c r="L240" s="604">
        <v>0.32</v>
      </c>
      <c r="M240" s="603"/>
      <c r="N240" s="602"/>
      <c r="V240" s="674"/>
      <c r="W240" s="675"/>
      <c r="Z240" s="537" t="s">
        <v>345</v>
      </c>
      <c r="AC240" s="675"/>
      <c r="AD240" s="675"/>
      <c r="AF240" s="675"/>
      <c r="AG240" s="675"/>
    </row>
    <row r="241" spans="1:33" s="536" customFormat="1" ht="12" x14ac:dyDescent="0.2">
      <c r="A241" s="605"/>
      <c r="B241" s="552" t="s">
        <v>188</v>
      </c>
      <c r="C241" s="1822" t="s">
        <v>475</v>
      </c>
      <c r="D241" s="1822"/>
      <c r="E241" s="1822"/>
      <c r="F241" s="562"/>
      <c r="G241" s="562"/>
      <c r="H241" s="562"/>
      <c r="I241" s="562"/>
      <c r="J241" s="604">
        <v>106.42</v>
      </c>
      <c r="K241" s="562"/>
      <c r="L241" s="604">
        <v>42.57</v>
      </c>
      <c r="M241" s="603"/>
      <c r="N241" s="602"/>
      <c r="V241" s="674"/>
      <c r="W241" s="675"/>
      <c r="Z241" s="537" t="s">
        <v>475</v>
      </c>
      <c r="AC241" s="675"/>
      <c r="AD241" s="675"/>
      <c r="AF241" s="675"/>
      <c r="AG241" s="675"/>
    </row>
    <row r="242" spans="1:33" s="536" customFormat="1" ht="12" x14ac:dyDescent="0.2">
      <c r="A242" s="605"/>
      <c r="B242" s="552"/>
      <c r="C242" s="1822" t="s">
        <v>314</v>
      </c>
      <c r="D242" s="1822"/>
      <c r="E242" s="1822"/>
      <c r="F242" s="562" t="s">
        <v>315</v>
      </c>
      <c r="G242" s="562" t="s">
        <v>2256</v>
      </c>
      <c r="H242" s="562" t="s">
        <v>313</v>
      </c>
      <c r="I242" s="562" t="s">
        <v>2257</v>
      </c>
      <c r="J242" s="604"/>
      <c r="K242" s="562"/>
      <c r="L242" s="604"/>
      <c r="M242" s="603"/>
      <c r="N242" s="602"/>
      <c r="V242" s="674"/>
      <c r="W242" s="675"/>
      <c r="AA242" s="537" t="s">
        <v>314</v>
      </c>
      <c r="AC242" s="675"/>
      <c r="AD242" s="675"/>
      <c r="AF242" s="675"/>
      <c r="AG242" s="675"/>
    </row>
    <row r="243" spans="1:33" s="536" customFormat="1" ht="12" x14ac:dyDescent="0.2">
      <c r="A243" s="605"/>
      <c r="B243" s="552"/>
      <c r="C243" s="1822" t="s">
        <v>348</v>
      </c>
      <c r="D243" s="1822"/>
      <c r="E243" s="1822"/>
      <c r="F243" s="562" t="s">
        <v>315</v>
      </c>
      <c r="G243" s="562" t="s">
        <v>856</v>
      </c>
      <c r="H243" s="562" t="s">
        <v>313</v>
      </c>
      <c r="I243" s="562" t="s">
        <v>2258</v>
      </c>
      <c r="J243" s="604"/>
      <c r="K243" s="562"/>
      <c r="L243" s="604"/>
      <c r="M243" s="603"/>
      <c r="N243" s="602"/>
      <c r="V243" s="674"/>
      <c r="W243" s="675"/>
      <c r="AA243" s="537" t="s">
        <v>348</v>
      </c>
      <c r="AC243" s="675"/>
      <c r="AD243" s="675"/>
      <c r="AF243" s="675"/>
      <c r="AG243" s="675"/>
    </row>
    <row r="244" spans="1:33" s="536" customFormat="1" ht="12" x14ac:dyDescent="0.2">
      <c r="A244" s="605"/>
      <c r="B244" s="552"/>
      <c r="C244" s="1828" t="s">
        <v>318</v>
      </c>
      <c r="D244" s="1828"/>
      <c r="E244" s="1828"/>
      <c r="F244" s="608"/>
      <c r="G244" s="608"/>
      <c r="H244" s="608"/>
      <c r="I244" s="608"/>
      <c r="J244" s="607">
        <v>454.03</v>
      </c>
      <c r="K244" s="608"/>
      <c r="L244" s="607">
        <v>216.38</v>
      </c>
      <c r="M244" s="601"/>
      <c r="N244" s="606"/>
      <c r="V244" s="674"/>
      <c r="W244" s="675"/>
      <c r="AB244" s="537" t="s">
        <v>318</v>
      </c>
      <c r="AC244" s="675"/>
      <c r="AD244" s="675"/>
      <c r="AF244" s="675"/>
      <c r="AG244" s="675"/>
    </row>
    <row r="245" spans="1:33" s="536" customFormat="1" ht="12" x14ac:dyDescent="0.2">
      <c r="A245" s="605"/>
      <c r="B245" s="552"/>
      <c r="C245" s="1822" t="s">
        <v>319</v>
      </c>
      <c r="D245" s="1822"/>
      <c r="E245" s="1822"/>
      <c r="F245" s="562"/>
      <c r="G245" s="562"/>
      <c r="H245" s="562"/>
      <c r="I245" s="562"/>
      <c r="J245" s="604"/>
      <c r="K245" s="562"/>
      <c r="L245" s="604">
        <v>171.74</v>
      </c>
      <c r="M245" s="603"/>
      <c r="N245" s="602"/>
      <c r="V245" s="674"/>
      <c r="W245" s="675"/>
      <c r="AA245" s="537" t="s">
        <v>319</v>
      </c>
      <c r="AC245" s="675"/>
      <c r="AD245" s="675"/>
      <c r="AF245" s="675"/>
      <c r="AG245" s="675"/>
    </row>
    <row r="246" spans="1:33" s="536" customFormat="1" ht="33.75" x14ac:dyDescent="0.2">
      <c r="A246" s="605"/>
      <c r="B246" s="552" t="s">
        <v>1631</v>
      </c>
      <c r="C246" s="1822" t="s">
        <v>1632</v>
      </c>
      <c r="D246" s="1822"/>
      <c r="E246" s="1822"/>
      <c r="F246" s="562" t="s">
        <v>322</v>
      </c>
      <c r="G246" s="562" t="s">
        <v>1633</v>
      </c>
      <c r="H246" s="562"/>
      <c r="I246" s="562" t="s">
        <v>1633</v>
      </c>
      <c r="J246" s="604"/>
      <c r="K246" s="562"/>
      <c r="L246" s="604">
        <v>166.59</v>
      </c>
      <c r="M246" s="603"/>
      <c r="N246" s="602"/>
      <c r="V246" s="674"/>
      <c r="W246" s="675"/>
      <c r="AA246" s="537" t="s">
        <v>1632</v>
      </c>
      <c r="AC246" s="675"/>
      <c r="AD246" s="675"/>
      <c r="AF246" s="675"/>
      <c r="AG246" s="675"/>
    </row>
    <row r="247" spans="1:33" s="536" customFormat="1" ht="33.75" x14ac:dyDescent="0.2">
      <c r="A247" s="605"/>
      <c r="B247" s="552" t="s">
        <v>1634</v>
      </c>
      <c r="C247" s="1822" t="s">
        <v>1635</v>
      </c>
      <c r="D247" s="1822"/>
      <c r="E247" s="1822"/>
      <c r="F247" s="562" t="s">
        <v>322</v>
      </c>
      <c r="G247" s="562" t="s">
        <v>786</v>
      </c>
      <c r="H247" s="562"/>
      <c r="I247" s="562" t="s">
        <v>786</v>
      </c>
      <c r="J247" s="604"/>
      <c r="K247" s="562"/>
      <c r="L247" s="604">
        <v>87.59</v>
      </c>
      <c r="M247" s="603"/>
      <c r="N247" s="602"/>
      <c r="V247" s="674"/>
      <c r="W247" s="675"/>
      <c r="AA247" s="537" t="s">
        <v>1635</v>
      </c>
      <c r="AC247" s="675"/>
      <c r="AD247" s="675"/>
      <c r="AF247" s="675"/>
      <c r="AG247" s="675"/>
    </row>
    <row r="248" spans="1:33" s="536" customFormat="1" ht="12" x14ac:dyDescent="0.2">
      <c r="A248" s="569"/>
      <c r="B248" s="656"/>
      <c r="C248" s="1823" t="s">
        <v>327</v>
      </c>
      <c r="D248" s="1823"/>
      <c r="E248" s="1823"/>
      <c r="F248" s="573"/>
      <c r="G248" s="573"/>
      <c r="H248" s="573"/>
      <c r="I248" s="573"/>
      <c r="J248" s="572"/>
      <c r="K248" s="573"/>
      <c r="L248" s="572">
        <v>470.56</v>
      </c>
      <c r="M248" s="601"/>
      <c r="N248" s="570"/>
      <c r="V248" s="674"/>
      <c r="W248" s="675"/>
      <c r="AC248" s="675" t="s">
        <v>327</v>
      </c>
      <c r="AD248" s="675"/>
      <c r="AF248" s="675"/>
      <c r="AG248" s="675"/>
    </row>
    <row r="249" spans="1:33" s="536" customFormat="1" ht="45" x14ac:dyDescent="0.2">
      <c r="A249" s="575" t="s">
        <v>1067</v>
      </c>
      <c r="B249" s="657" t="s">
        <v>2259</v>
      </c>
      <c r="C249" s="1823" t="s">
        <v>2260</v>
      </c>
      <c r="D249" s="1823"/>
      <c r="E249" s="1823"/>
      <c r="F249" s="573" t="s">
        <v>628</v>
      </c>
      <c r="G249" s="573"/>
      <c r="H249" s="573"/>
      <c r="I249" s="573" t="s">
        <v>677</v>
      </c>
      <c r="J249" s="572">
        <v>97.94</v>
      </c>
      <c r="K249" s="573" t="s">
        <v>716</v>
      </c>
      <c r="L249" s="572">
        <v>480.29</v>
      </c>
      <c r="M249" s="571">
        <v>8.32</v>
      </c>
      <c r="N249" s="570">
        <v>3996</v>
      </c>
      <c r="V249" s="674"/>
      <c r="W249" s="675" t="s">
        <v>2260</v>
      </c>
      <c r="AC249" s="675"/>
      <c r="AD249" s="675"/>
      <c r="AF249" s="675"/>
      <c r="AG249" s="675"/>
    </row>
    <row r="250" spans="1:33" s="536" customFormat="1" ht="12" x14ac:dyDescent="0.2">
      <c r="A250" s="569"/>
      <c r="B250" s="656"/>
      <c r="C250" s="661" t="s">
        <v>1658</v>
      </c>
      <c r="D250" s="662"/>
      <c r="E250" s="662"/>
      <c r="F250" s="563"/>
      <c r="G250" s="563"/>
      <c r="H250" s="563"/>
      <c r="I250" s="563"/>
      <c r="J250" s="566"/>
      <c r="K250" s="563"/>
      <c r="L250" s="566"/>
      <c r="M250" s="565"/>
      <c r="N250" s="564"/>
      <c r="V250" s="674"/>
      <c r="W250" s="675"/>
      <c r="AC250" s="675"/>
      <c r="AD250" s="675"/>
      <c r="AF250" s="675"/>
      <c r="AG250" s="675"/>
    </row>
    <row r="251" spans="1:33" s="536" customFormat="1" ht="22.5" x14ac:dyDescent="0.2">
      <c r="A251" s="609"/>
      <c r="B251" s="552" t="s">
        <v>718</v>
      </c>
      <c r="C251" s="1822" t="s">
        <v>719</v>
      </c>
      <c r="D251" s="1822"/>
      <c r="E251" s="1822"/>
      <c r="F251" s="1822"/>
      <c r="G251" s="1822"/>
      <c r="H251" s="1822"/>
      <c r="I251" s="1822"/>
      <c r="J251" s="1822"/>
      <c r="K251" s="1822"/>
      <c r="L251" s="1822"/>
      <c r="M251" s="1822"/>
      <c r="N251" s="1827"/>
      <c r="V251" s="674"/>
      <c r="W251" s="675"/>
      <c r="Y251" s="537" t="s">
        <v>719</v>
      </c>
      <c r="AC251" s="675"/>
      <c r="AD251" s="675"/>
      <c r="AF251" s="675"/>
      <c r="AG251" s="675"/>
    </row>
    <row r="252" spans="1:33" s="536" customFormat="1" ht="22.5" x14ac:dyDescent="0.2">
      <c r="A252" s="575" t="s">
        <v>912</v>
      </c>
      <c r="B252" s="657" t="s">
        <v>2261</v>
      </c>
      <c r="C252" s="1823" t="s">
        <v>2262</v>
      </c>
      <c r="D252" s="1823"/>
      <c r="E252" s="1823"/>
      <c r="F252" s="573" t="s">
        <v>307</v>
      </c>
      <c r="G252" s="573"/>
      <c r="H252" s="573"/>
      <c r="I252" s="573" t="s">
        <v>728</v>
      </c>
      <c r="J252" s="572"/>
      <c r="K252" s="573"/>
      <c r="L252" s="572"/>
      <c r="M252" s="571"/>
      <c r="N252" s="570"/>
      <c r="V252" s="674"/>
      <c r="W252" s="675" t="s">
        <v>2262</v>
      </c>
      <c r="AC252" s="675"/>
      <c r="AD252" s="675"/>
      <c r="AF252" s="675"/>
      <c r="AG252" s="675"/>
    </row>
    <row r="253" spans="1:33" s="536" customFormat="1" ht="12" x14ac:dyDescent="0.2">
      <c r="A253" s="676"/>
      <c r="B253" s="655"/>
      <c r="C253" s="1822" t="s">
        <v>2263</v>
      </c>
      <c r="D253" s="1822"/>
      <c r="E253" s="1822"/>
      <c r="F253" s="1822"/>
      <c r="G253" s="1822"/>
      <c r="H253" s="1822"/>
      <c r="I253" s="1822"/>
      <c r="J253" s="1822"/>
      <c r="K253" s="1822"/>
      <c r="L253" s="1822"/>
      <c r="M253" s="1822"/>
      <c r="N253" s="1827"/>
      <c r="V253" s="674"/>
      <c r="W253" s="675"/>
      <c r="X253" s="537" t="s">
        <v>2263</v>
      </c>
      <c r="AC253" s="675"/>
      <c r="AD253" s="675"/>
      <c r="AF253" s="675"/>
      <c r="AG253" s="675"/>
    </row>
    <row r="254" spans="1:33" s="536" customFormat="1" ht="33.75" x14ac:dyDescent="0.2">
      <c r="A254" s="609"/>
      <c r="B254" s="552" t="s">
        <v>310</v>
      </c>
      <c r="C254" s="1822" t="s">
        <v>311</v>
      </c>
      <c r="D254" s="1822"/>
      <c r="E254" s="1822"/>
      <c r="F254" s="1822"/>
      <c r="G254" s="1822"/>
      <c r="H254" s="1822"/>
      <c r="I254" s="1822"/>
      <c r="J254" s="1822"/>
      <c r="K254" s="1822"/>
      <c r="L254" s="1822"/>
      <c r="M254" s="1822"/>
      <c r="N254" s="1827"/>
      <c r="V254" s="674"/>
      <c r="W254" s="675"/>
      <c r="Y254" s="537" t="s">
        <v>311</v>
      </c>
      <c r="AC254" s="675"/>
      <c r="AD254" s="675"/>
      <c r="AF254" s="675"/>
      <c r="AG254" s="675"/>
    </row>
    <row r="255" spans="1:33" s="536" customFormat="1" ht="12" x14ac:dyDescent="0.2">
      <c r="A255" s="605"/>
      <c r="B255" s="552" t="s">
        <v>185</v>
      </c>
      <c r="C255" s="1822" t="s">
        <v>312</v>
      </c>
      <c r="D255" s="1822"/>
      <c r="E255" s="1822"/>
      <c r="F255" s="562"/>
      <c r="G255" s="562"/>
      <c r="H255" s="562"/>
      <c r="I255" s="562"/>
      <c r="J255" s="604">
        <v>603.92999999999995</v>
      </c>
      <c r="K255" s="562" t="s">
        <v>313</v>
      </c>
      <c r="L255" s="604">
        <v>30.2</v>
      </c>
      <c r="M255" s="603"/>
      <c r="N255" s="602"/>
      <c r="V255" s="674"/>
      <c r="W255" s="675"/>
      <c r="Z255" s="537" t="s">
        <v>312</v>
      </c>
      <c r="AC255" s="675"/>
      <c r="AD255" s="675"/>
      <c r="AF255" s="675"/>
      <c r="AG255" s="675"/>
    </row>
    <row r="256" spans="1:33" s="536" customFormat="1" ht="12" x14ac:dyDescent="0.2">
      <c r="A256" s="605"/>
      <c r="B256" s="552" t="s">
        <v>186</v>
      </c>
      <c r="C256" s="1822" t="s">
        <v>344</v>
      </c>
      <c r="D256" s="1822"/>
      <c r="E256" s="1822"/>
      <c r="F256" s="562"/>
      <c r="G256" s="562"/>
      <c r="H256" s="562"/>
      <c r="I256" s="562"/>
      <c r="J256" s="604">
        <v>38.549999999999997</v>
      </c>
      <c r="K256" s="562" t="s">
        <v>313</v>
      </c>
      <c r="L256" s="604">
        <v>1.93</v>
      </c>
      <c r="M256" s="603"/>
      <c r="N256" s="602"/>
      <c r="V256" s="674"/>
      <c r="W256" s="675"/>
      <c r="Z256" s="537" t="s">
        <v>344</v>
      </c>
      <c r="AC256" s="675"/>
      <c r="AD256" s="675"/>
      <c r="AF256" s="675"/>
      <c r="AG256" s="675"/>
    </row>
    <row r="257" spans="1:33" s="536" customFormat="1" ht="12" x14ac:dyDescent="0.2">
      <c r="A257" s="605"/>
      <c r="B257" s="552" t="s">
        <v>187</v>
      </c>
      <c r="C257" s="1822" t="s">
        <v>345</v>
      </c>
      <c r="D257" s="1822"/>
      <c r="E257" s="1822"/>
      <c r="F257" s="562"/>
      <c r="G257" s="562"/>
      <c r="H257" s="562"/>
      <c r="I257" s="562"/>
      <c r="J257" s="604">
        <v>2.0099999999999998</v>
      </c>
      <c r="K257" s="562" t="s">
        <v>313</v>
      </c>
      <c r="L257" s="604">
        <v>0.1</v>
      </c>
      <c r="M257" s="603"/>
      <c r="N257" s="602"/>
      <c r="V257" s="674"/>
      <c r="W257" s="675"/>
      <c r="Z257" s="537" t="s">
        <v>345</v>
      </c>
      <c r="AC257" s="675"/>
      <c r="AD257" s="675"/>
      <c r="AF257" s="675"/>
      <c r="AG257" s="675"/>
    </row>
    <row r="258" spans="1:33" s="536" customFormat="1" ht="12" x14ac:dyDescent="0.2">
      <c r="A258" s="605"/>
      <c r="B258" s="552" t="s">
        <v>188</v>
      </c>
      <c r="C258" s="1822" t="s">
        <v>475</v>
      </c>
      <c r="D258" s="1822"/>
      <c r="E258" s="1822"/>
      <c r="F258" s="562"/>
      <c r="G258" s="562"/>
      <c r="H258" s="562"/>
      <c r="I258" s="562"/>
      <c r="J258" s="604">
        <v>128.13999999999999</v>
      </c>
      <c r="K258" s="562"/>
      <c r="L258" s="604">
        <v>5.13</v>
      </c>
      <c r="M258" s="603"/>
      <c r="N258" s="602"/>
      <c r="V258" s="674"/>
      <c r="W258" s="675"/>
      <c r="Z258" s="537" t="s">
        <v>475</v>
      </c>
      <c r="AC258" s="675"/>
      <c r="AD258" s="675"/>
      <c r="AF258" s="675"/>
      <c r="AG258" s="675"/>
    </row>
    <row r="259" spans="1:33" s="536" customFormat="1" ht="12" x14ac:dyDescent="0.2">
      <c r="A259" s="605"/>
      <c r="B259" s="552"/>
      <c r="C259" s="1822" t="s">
        <v>314</v>
      </c>
      <c r="D259" s="1822"/>
      <c r="E259" s="1822"/>
      <c r="F259" s="562" t="s">
        <v>315</v>
      </c>
      <c r="G259" s="562" t="s">
        <v>2264</v>
      </c>
      <c r="H259" s="562" t="s">
        <v>313</v>
      </c>
      <c r="I259" s="562" t="s">
        <v>2265</v>
      </c>
      <c r="J259" s="604"/>
      <c r="K259" s="562"/>
      <c r="L259" s="604"/>
      <c r="M259" s="603"/>
      <c r="N259" s="602"/>
      <c r="V259" s="674"/>
      <c r="W259" s="675"/>
      <c r="AA259" s="537" t="s">
        <v>314</v>
      </c>
      <c r="AC259" s="675"/>
      <c r="AD259" s="675"/>
      <c r="AF259" s="675"/>
      <c r="AG259" s="675"/>
    </row>
    <row r="260" spans="1:33" s="536" customFormat="1" ht="12" x14ac:dyDescent="0.2">
      <c r="A260" s="605"/>
      <c r="B260" s="552"/>
      <c r="C260" s="1822" t="s">
        <v>348</v>
      </c>
      <c r="D260" s="1822"/>
      <c r="E260" s="1822"/>
      <c r="F260" s="562" t="s">
        <v>315</v>
      </c>
      <c r="G260" s="562" t="s">
        <v>822</v>
      </c>
      <c r="H260" s="562" t="s">
        <v>313</v>
      </c>
      <c r="I260" s="562" t="s">
        <v>2266</v>
      </c>
      <c r="J260" s="604"/>
      <c r="K260" s="562"/>
      <c r="L260" s="604"/>
      <c r="M260" s="603"/>
      <c r="N260" s="602"/>
      <c r="V260" s="674"/>
      <c r="W260" s="675"/>
      <c r="AA260" s="537" t="s">
        <v>348</v>
      </c>
      <c r="AC260" s="675"/>
      <c r="AD260" s="675"/>
      <c r="AF260" s="675"/>
      <c r="AG260" s="675"/>
    </row>
    <row r="261" spans="1:33" s="536" customFormat="1" ht="12" x14ac:dyDescent="0.2">
      <c r="A261" s="605"/>
      <c r="B261" s="552"/>
      <c r="C261" s="1828" t="s">
        <v>318</v>
      </c>
      <c r="D261" s="1828"/>
      <c r="E261" s="1828"/>
      <c r="F261" s="608"/>
      <c r="G261" s="608"/>
      <c r="H261" s="608"/>
      <c r="I261" s="608"/>
      <c r="J261" s="607">
        <v>770.62</v>
      </c>
      <c r="K261" s="608"/>
      <c r="L261" s="607">
        <v>37.26</v>
      </c>
      <c r="M261" s="601"/>
      <c r="N261" s="606"/>
      <c r="V261" s="674"/>
      <c r="W261" s="675"/>
      <c r="AB261" s="537" t="s">
        <v>318</v>
      </c>
      <c r="AC261" s="675"/>
      <c r="AD261" s="675"/>
      <c r="AF261" s="675"/>
      <c r="AG261" s="675"/>
    </row>
    <row r="262" spans="1:33" s="536" customFormat="1" ht="12" x14ac:dyDescent="0.2">
      <c r="A262" s="605"/>
      <c r="B262" s="552"/>
      <c r="C262" s="1822" t="s">
        <v>319</v>
      </c>
      <c r="D262" s="1822"/>
      <c r="E262" s="1822"/>
      <c r="F262" s="562"/>
      <c r="G262" s="562"/>
      <c r="H262" s="562"/>
      <c r="I262" s="562"/>
      <c r="J262" s="604"/>
      <c r="K262" s="562"/>
      <c r="L262" s="604">
        <v>30.3</v>
      </c>
      <c r="M262" s="603"/>
      <c r="N262" s="602"/>
      <c r="V262" s="674"/>
      <c r="W262" s="675"/>
      <c r="AA262" s="537" t="s">
        <v>319</v>
      </c>
      <c r="AC262" s="675"/>
      <c r="AD262" s="675"/>
      <c r="AF262" s="675"/>
      <c r="AG262" s="675"/>
    </row>
    <row r="263" spans="1:33" s="536" customFormat="1" ht="33.75" x14ac:dyDescent="0.2">
      <c r="A263" s="605"/>
      <c r="B263" s="552" t="s">
        <v>1631</v>
      </c>
      <c r="C263" s="1822" t="s">
        <v>1632</v>
      </c>
      <c r="D263" s="1822"/>
      <c r="E263" s="1822"/>
      <c r="F263" s="562" t="s">
        <v>322</v>
      </c>
      <c r="G263" s="562" t="s">
        <v>1633</v>
      </c>
      <c r="H263" s="562"/>
      <c r="I263" s="562" t="s">
        <v>1633</v>
      </c>
      <c r="J263" s="604"/>
      <c r="K263" s="562"/>
      <c r="L263" s="604">
        <v>29.39</v>
      </c>
      <c r="M263" s="603"/>
      <c r="N263" s="602"/>
      <c r="V263" s="674"/>
      <c r="W263" s="675"/>
      <c r="AA263" s="537" t="s">
        <v>1632</v>
      </c>
      <c r="AC263" s="675"/>
      <c r="AD263" s="675"/>
      <c r="AF263" s="675"/>
      <c r="AG263" s="675"/>
    </row>
    <row r="264" spans="1:33" s="536" customFormat="1" ht="33.75" x14ac:dyDescent="0.2">
      <c r="A264" s="605"/>
      <c r="B264" s="552" t="s">
        <v>1634</v>
      </c>
      <c r="C264" s="1822" t="s">
        <v>1635</v>
      </c>
      <c r="D264" s="1822"/>
      <c r="E264" s="1822"/>
      <c r="F264" s="562" t="s">
        <v>322</v>
      </c>
      <c r="G264" s="562" t="s">
        <v>786</v>
      </c>
      <c r="H264" s="562"/>
      <c r="I264" s="562" t="s">
        <v>786</v>
      </c>
      <c r="J264" s="604"/>
      <c r="K264" s="562"/>
      <c r="L264" s="604">
        <v>15.45</v>
      </c>
      <c r="M264" s="603"/>
      <c r="N264" s="602"/>
      <c r="V264" s="674"/>
      <c r="W264" s="675"/>
      <c r="AA264" s="537" t="s">
        <v>1635</v>
      </c>
      <c r="AC264" s="675"/>
      <c r="AD264" s="675"/>
      <c r="AF264" s="675"/>
      <c r="AG264" s="675"/>
    </row>
    <row r="265" spans="1:33" s="536" customFormat="1" ht="12" x14ac:dyDescent="0.2">
      <c r="A265" s="569"/>
      <c r="B265" s="656"/>
      <c r="C265" s="1823" t="s">
        <v>327</v>
      </c>
      <c r="D265" s="1823"/>
      <c r="E265" s="1823"/>
      <c r="F265" s="573"/>
      <c r="G265" s="573"/>
      <c r="H265" s="573"/>
      <c r="I265" s="573"/>
      <c r="J265" s="572"/>
      <c r="K265" s="573"/>
      <c r="L265" s="572">
        <v>82.1</v>
      </c>
      <c r="M265" s="601"/>
      <c r="N265" s="570"/>
      <c r="V265" s="674"/>
      <c r="W265" s="675"/>
      <c r="AC265" s="675" t="s">
        <v>327</v>
      </c>
      <c r="AD265" s="675"/>
      <c r="AF265" s="675"/>
      <c r="AG265" s="675"/>
    </row>
    <row r="266" spans="1:33" s="536" customFormat="1" ht="45" x14ac:dyDescent="0.2">
      <c r="A266" s="575" t="s">
        <v>757</v>
      </c>
      <c r="B266" s="657" t="s">
        <v>2267</v>
      </c>
      <c r="C266" s="1823" t="s">
        <v>2268</v>
      </c>
      <c r="D266" s="1823"/>
      <c r="E266" s="1823"/>
      <c r="F266" s="573" t="s">
        <v>628</v>
      </c>
      <c r="G266" s="573"/>
      <c r="H266" s="573"/>
      <c r="I266" s="573" t="s">
        <v>188</v>
      </c>
      <c r="J266" s="572">
        <v>196.74</v>
      </c>
      <c r="K266" s="573" t="s">
        <v>716</v>
      </c>
      <c r="L266" s="572">
        <v>96.51</v>
      </c>
      <c r="M266" s="571">
        <v>8.32</v>
      </c>
      <c r="N266" s="570">
        <v>803</v>
      </c>
      <c r="V266" s="674"/>
      <c r="W266" s="675" t="s">
        <v>2268</v>
      </c>
      <c r="AC266" s="675"/>
      <c r="AD266" s="675"/>
      <c r="AF266" s="675"/>
      <c r="AG266" s="675"/>
    </row>
    <row r="267" spans="1:33" s="536" customFormat="1" ht="12" x14ac:dyDescent="0.2">
      <c r="A267" s="569"/>
      <c r="B267" s="656"/>
      <c r="C267" s="661" t="s">
        <v>1658</v>
      </c>
      <c r="D267" s="662"/>
      <c r="E267" s="662"/>
      <c r="F267" s="563"/>
      <c r="G267" s="563"/>
      <c r="H267" s="563"/>
      <c r="I267" s="563"/>
      <c r="J267" s="566"/>
      <c r="K267" s="563"/>
      <c r="L267" s="566"/>
      <c r="M267" s="565"/>
      <c r="N267" s="564"/>
      <c r="V267" s="674"/>
      <c r="W267" s="675"/>
      <c r="AC267" s="675"/>
      <c r="AD267" s="675"/>
      <c r="AF267" s="675"/>
      <c r="AG267" s="675"/>
    </row>
    <row r="268" spans="1:33" s="536" customFormat="1" ht="22.5" x14ac:dyDescent="0.2">
      <c r="A268" s="609"/>
      <c r="B268" s="552" t="s">
        <v>718</v>
      </c>
      <c r="C268" s="1822" t="s">
        <v>719</v>
      </c>
      <c r="D268" s="1822"/>
      <c r="E268" s="1822"/>
      <c r="F268" s="1822"/>
      <c r="G268" s="1822"/>
      <c r="H268" s="1822"/>
      <c r="I268" s="1822"/>
      <c r="J268" s="1822"/>
      <c r="K268" s="1822"/>
      <c r="L268" s="1822"/>
      <c r="M268" s="1822"/>
      <c r="N268" s="1827"/>
      <c r="V268" s="674"/>
      <c r="W268" s="675"/>
      <c r="Y268" s="537" t="s">
        <v>719</v>
      </c>
      <c r="AC268" s="675"/>
      <c r="AD268" s="675"/>
      <c r="AF268" s="675"/>
      <c r="AG268" s="675"/>
    </row>
    <row r="269" spans="1:33" s="536" customFormat="1" ht="12" x14ac:dyDescent="0.2">
      <c r="A269" s="1830" t="s">
        <v>1667</v>
      </c>
      <c r="B269" s="1831"/>
      <c r="C269" s="1831"/>
      <c r="D269" s="1831"/>
      <c r="E269" s="1831"/>
      <c r="F269" s="1831"/>
      <c r="G269" s="1831"/>
      <c r="H269" s="1831"/>
      <c r="I269" s="1831"/>
      <c r="J269" s="1831"/>
      <c r="K269" s="1831"/>
      <c r="L269" s="1831"/>
      <c r="M269" s="1831"/>
      <c r="N269" s="1832"/>
      <c r="V269" s="674"/>
      <c r="W269" s="675"/>
      <c r="AC269" s="675"/>
      <c r="AD269" s="675"/>
      <c r="AF269" s="675"/>
      <c r="AG269" s="675" t="s">
        <v>1667</v>
      </c>
    </row>
    <row r="270" spans="1:33" s="536" customFormat="1" ht="45" x14ac:dyDescent="0.2">
      <c r="A270" s="575" t="s">
        <v>1079</v>
      </c>
      <c r="B270" s="657" t="s">
        <v>1668</v>
      </c>
      <c r="C270" s="1823" t="s">
        <v>1669</v>
      </c>
      <c r="D270" s="1823"/>
      <c r="E270" s="1823"/>
      <c r="F270" s="573" t="s">
        <v>1110</v>
      </c>
      <c r="G270" s="573"/>
      <c r="H270" s="573"/>
      <c r="I270" s="573" t="s">
        <v>2269</v>
      </c>
      <c r="J270" s="572"/>
      <c r="K270" s="573"/>
      <c r="L270" s="572"/>
      <c r="M270" s="571"/>
      <c r="N270" s="570"/>
      <c r="V270" s="674"/>
      <c r="W270" s="675" t="s">
        <v>1669</v>
      </c>
      <c r="AC270" s="675"/>
      <c r="AD270" s="675"/>
      <c r="AF270" s="675"/>
      <c r="AG270" s="675"/>
    </row>
    <row r="271" spans="1:33" s="536" customFormat="1" ht="12" x14ac:dyDescent="0.2">
      <c r="A271" s="676"/>
      <c r="B271" s="655"/>
      <c r="C271" s="1822" t="s">
        <v>2270</v>
      </c>
      <c r="D271" s="1822"/>
      <c r="E271" s="1822"/>
      <c r="F271" s="1822"/>
      <c r="G271" s="1822"/>
      <c r="H271" s="1822"/>
      <c r="I271" s="1822"/>
      <c r="J271" s="1822"/>
      <c r="K271" s="1822"/>
      <c r="L271" s="1822"/>
      <c r="M271" s="1822"/>
      <c r="N271" s="1827"/>
      <c r="V271" s="674"/>
      <c r="W271" s="675"/>
      <c r="X271" s="537" t="s">
        <v>2270</v>
      </c>
      <c r="AC271" s="675"/>
      <c r="AD271" s="675"/>
      <c r="AF271" s="675"/>
      <c r="AG271" s="675"/>
    </row>
    <row r="272" spans="1:33" s="536" customFormat="1" ht="33.75" x14ac:dyDescent="0.2">
      <c r="A272" s="609"/>
      <c r="B272" s="552" t="s">
        <v>310</v>
      </c>
      <c r="C272" s="1822" t="s">
        <v>311</v>
      </c>
      <c r="D272" s="1822"/>
      <c r="E272" s="1822"/>
      <c r="F272" s="1822"/>
      <c r="G272" s="1822"/>
      <c r="H272" s="1822"/>
      <c r="I272" s="1822"/>
      <c r="J272" s="1822"/>
      <c r="K272" s="1822"/>
      <c r="L272" s="1822"/>
      <c r="M272" s="1822"/>
      <c r="N272" s="1827"/>
      <c r="V272" s="674"/>
      <c r="W272" s="675"/>
      <c r="Y272" s="537" t="s">
        <v>311</v>
      </c>
      <c r="AC272" s="675"/>
      <c r="AD272" s="675"/>
      <c r="AF272" s="675"/>
      <c r="AG272" s="675"/>
    </row>
    <row r="273" spans="1:33" s="536" customFormat="1" ht="12" x14ac:dyDescent="0.2">
      <c r="A273" s="605"/>
      <c r="B273" s="552" t="s">
        <v>185</v>
      </c>
      <c r="C273" s="1822" t="s">
        <v>312</v>
      </c>
      <c r="D273" s="1822"/>
      <c r="E273" s="1822"/>
      <c r="F273" s="562"/>
      <c r="G273" s="562"/>
      <c r="H273" s="562"/>
      <c r="I273" s="562"/>
      <c r="J273" s="604">
        <v>139.54</v>
      </c>
      <c r="K273" s="562" t="s">
        <v>313</v>
      </c>
      <c r="L273" s="604">
        <v>1377.96</v>
      </c>
      <c r="M273" s="603"/>
      <c r="N273" s="602"/>
      <c r="V273" s="674"/>
      <c r="W273" s="675"/>
      <c r="Z273" s="537" t="s">
        <v>312</v>
      </c>
      <c r="AC273" s="675"/>
      <c r="AD273" s="675"/>
      <c r="AF273" s="675"/>
      <c r="AG273" s="675"/>
    </row>
    <row r="274" spans="1:33" s="536" customFormat="1" ht="12" x14ac:dyDescent="0.2">
      <c r="A274" s="605"/>
      <c r="B274" s="552" t="s">
        <v>188</v>
      </c>
      <c r="C274" s="1822" t="s">
        <v>475</v>
      </c>
      <c r="D274" s="1822"/>
      <c r="E274" s="1822"/>
      <c r="F274" s="562"/>
      <c r="G274" s="562"/>
      <c r="H274" s="562"/>
      <c r="I274" s="562"/>
      <c r="J274" s="604">
        <v>16.79</v>
      </c>
      <c r="K274" s="562"/>
      <c r="L274" s="604">
        <v>132.63999999999999</v>
      </c>
      <c r="M274" s="603"/>
      <c r="N274" s="602"/>
      <c r="V274" s="674"/>
      <c r="W274" s="675"/>
      <c r="Z274" s="537" t="s">
        <v>475</v>
      </c>
      <c r="AC274" s="675"/>
      <c r="AD274" s="675"/>
      <c r="AF274" s="675"/>
      <c r="AG274" s="675"/>
    </row>
    <row r="275" spans="1:33" s="536" customFormat="1" ht="12" x14ac:dyDescent="0.2">
      <c r="A275" s="605"/>
      <c r="B275" s="552"/>
      <c r="C275" s="1822" t="s">
        <v>314</v>
      </c>
      <c r="D275" s="1822"/>
      <c r="E275" s="1822"/>
      <c r="F275" s="562" t="s">
        <v>315</v>
      </c>
      <c r="G275" s="562" t="s">
        <v>1671</v>
      </c>
      <c r="H275" s="562" t="s">
        <v>313</v>
      </c>
      <c r="I275" s="562" t="s">
        <v>2271</v>
      </c>
      <c r="J275" s="604"/>
      <c r="K275" s="562"/>
      <c r="L275" s="604"/>
      <c r="M275" s="603"/>
      <c r="N275" s="602"/>
      <c r="V275" s="674"/>
      <c r="W275" s="675"/>
      <c r="AA275" s="537" t="s">
        <v>314</v>
      </c>
      <c r="AC275" s="675"/>
      <c r="AD275" s="675"/>
      <c r="AF275" s="675"/>
      <c r="AG275" s="675"/>
    </row>
    <row r="276" spans="1:33" s="536" customFormat="1" ht="12" x14ac:dyDescent="0.2">
      <c r="A276" s="605"/>
      <c r="B276" s="552"/>
      <c r="C276" s="1828" t="s">
        <v>318</v>
      </c>
      <c r="D276" s="1828"/>
      <c r="E276" s="1828"/>
      <c r="F276" s="608"/>
      <c r="G276" s="608"/>
      <c r="H276" s="608"/>
      <c r="I276" s="608"/>
      <c r="J276" s="607">
        <v>156.33000000000001</v>
      </c>
      <c r="K276" s="608"/>
      <c r="L276" s="607">
        <v>1510.6</v>
      </c>
      <c r="M276" s="601"/>
      <c r="N276" s="606"/>
      <c r="V276" s="674"/>
      <c r="W276" s="675"/>
      <c r="AB276" s="537" t="s">
        <v>318</v>
      </c>
      <c r="AC276" s="675"/>
      <c r="AD276" s="675"/>
      <c r="AF276" s="675"/>
      <c r="AG276" s="675"/>
    </row>
    <row r="277" spans="1:33" s="536" customFormat="1" ht="12" x14ac:dyDescent="0.2">
      <c r="A277" s="605"/>
      <c r="B277" s="552"/>
      <c r="C277" s="1822" t="s">
        <v>319</v>
      </c>
      <c r="D277" s="1822"/>
      <c r="E277" s="1822"/>
      <c r="F277" s="562"/>
      <c r="G277" s="562"/>
      <c r="H277" s="562"/>
      <c r="I277" s="562"/>
      <c r="J277" s="604"/>
      <c r="K277" s="562"/>
      <c r="L277" s="604">
        <v>1377.96</v>
      </c>
      <c r="M277" s="603"/>
      <c r="N277" s="602"/>
      <c r="V277" s="674"/>
      <c r="W277" s="675"/>
      <c r="AA277" s="537" t="s">
        <v>319</v>
      </c>
      <c r="AC277" s="675"/>
      <c r="AD277" s="675"/>
      <c r="AF277" s="675"/>
      <c r="AG277" s="675"/>
    </row>
    <row r="278" spans="1:33" s="536" customFormat="1" ht="33.75" x14ac:dyDescent="0.2">
      <c r="A278" s="605"/>
      <c r="B278" s="552" t="s">
        <v>1631</v>
      </c>
      <c r="C278" s="1822" t="s">
        <v>1632</v>
      </c>
      <c r="D278" s="1822"/>
      <c r="E278" s="1822"/>
      <c r="F278" s="562" t="s">
        <v>322</v>
      </c>
      <c r="G278" s="562" t="s">
        <v>1633</v>
      </c>
      <c r="H278" s="562"/>
      <c r="I278" s="562" t="s">
        <v>1633</v>
      </c>
      <c r="J278" s="604"/>
      <c r="K278" s="562"/>
      <c r="L278" s="604">
        <v>1336.62</v>
      </c>
      <c r="M278" s="603"/>
      <c r="N278" s="602"/>
      <c r="V278" s="674"/>
      <c r="W278" s="675"/>
      <c r="AA278" s="537" t="s">
        <v>1632</v>
      </c>
      <c r="AC278" s="675"/>
      <c r="AD278" s="675"/>
      <c r="AF278" s="675"/>
      <c r="AG278" s="675"/>
    </row>
    <row r="279" spans="1:33" s="536" customFormat="1" ht="33.75" x14ac:dyDescent="0.2">
      <c r="A279" s="605"/>
      <c r="B279" s="552" t="s">
        <v>1634</v>
      </c>
      <c r="C279" s="1822" t="s">
        <v>1635</v>
      </c>
      <c r="D279" s="1822"/>
      <c r="E279" s="1822"/>
      <c r="F279" s="562" t="s">
        <v>322</v>
      </c>
      <c r="G279" s="562" t="s">
        <v>786</v>
      </c>
      <c r="H279" s="562"/>
      <c r="I279" s="562" t="s">
        <v>786</v>
      </c>
      <c r="J279" s="604"/>
      <c r="K279" s="562"/>
      <c r="L279" s="604">
        <v>702.76</v>
      </c>
      <c r="M279" s="603"/>
      <c r="N279" s="602"/>
      <c r="V279" s="674"/>
      <c r="W279" s="675"/>
      <c r="AA279" s="537" t="s">
        <v>1635</v>
      </c>
      <c r="AC279" s="675"/>
      <c r="AD279" s="675"/>
      <c r="AF279" s="675"/>
      <c r="AG279" s="675"/>
    </row>
    <row r="280" spans="1:33" s="536" customFormat="1" ht="12" x14ac:dyDescent="0.2">
      <c r="A280" s="569"/>
      <c r="B280" s="656"/>
      <c r="C280" s="1823" t="s">
        <v>327</v>
      </c>
      <c r="D280" s="1823"/>
      <c r="E280" s="1823"/>
      <c r="F280" s="573"/>
      <c r="G280" s="573"/>
      <c r="H280" s="573"/>
      <c r="I280" s="573"/>
      <c r="J280" s="572"/>
      <c r="K280" s="573"/>
      <c r="L280" s="572">
        <v>3549.98</v>
      </c>
      <c r="M280" s="601"/>
      <c r="N280" s="570"/>
      <c r="V280" s="674"/>
      <c r="W280" s="675"/>
      <c r="AC280" s="675" t="s">
        <v>327</v>
      </c>
      <c r="AD280" s="675"/>
      <c r="AF280" s="675"/>
      <c r="AG280" s="675"/>
    </row>
    <row r="281" spans="1:33" s="536" customFormat="1" ht="45" x14ac:dyDescent="0.2">
      <c r="A281" s="575" t="s">
        <v>759</v>
      </c>
      <c r="B281" s="657" t="s">
        <v>2272</v>
      </c>
      <c r="C281" s="1823" t="s">
        <v>2273</v>
      </c>
      <c r="D281" s="1823"/>
      <c r="E281" s="1823"/>
      <c r="F281" s="573" t="s">
        <v>483</v>
      </c>
      <c r="G281" s="573"/>
      <c r="H281" s="573"/>
      <c r="I281" s="573" t="s">
        <v>2274</v>
      </c>
      <c r="J281" s="572">
        <v>1.61</v>
      </c>
      <c r="K281" s="573"/>
      <c r="L281" s="572">
        <v>213.49</v>
      </c>
      <c r="M281" s="571"/>
      <c r="N281" s="570"/>
      <c r="V281" s="674"/>
      <c r="W281" s="675" t="s">
        <v>2273</v>
      </c>
      <c r="AC281" s="675"/>
      <c r="AD281" s="675"/>
      <c r="AF281" s="675"/>
      <c r="AG281" s="675"/>
    </row>
    <row r="282" spans="1:33" s="536" customFormat="1" ht="12" x14ac:dyDescent="0.2">
      <c r="A282" s="569"/>
      <c r="B282" s="656"/>
      <c r="C282" s="661" t="s">
        <v>1658</v>
      </c>
      <c r="D282" s="662"/>
      <c r="E282" s="662"/>
      <c r="F282" s="563"/>
      <c r="G282" s="563"/>
      <c r="H282" s="563"/>
      <c r="I282" s="563"/>
      <c r="J282" s="566"/>
      <c r="K282" s="563"/>
      <c r="L282" s="566"/>
      <c r="M282" s="565"/>
      <c r="N282" s="564"/>
      <c r="V282" s="674"/>
      <c r="W282" s="675"/>
      <c r="AC282" s="675"/>
      <c r="AD282" s="675"/>
      <c r="AF282" s="675"/>
      <c r="AG282" s="675"/>
    </row>
    <row r="283" spans="1:33" s="536" customFormat="1" ht="12" x14ac:dyDescent="0.2">
      <c r="A283" s="676"/>
      <c r="B283" s="655"/>
      <c r="C283" s="1822" t="s">
        <v>2275</v>
      </c>
      <c r="D283" s="1822"/>
      <c r="E283" s="1822"/>
      <c r="F283" s="1822"/>
      <c r="G283" s="1822"/>
      <c r="H283" s="1822"/>
      <c r="I283" s="1822"/>
      <c r="J283" s="1822"/>
      <c r="K283" s="1822"/>
      <c r="L283" s="1822"/>
      <c r="M283" s="1822"/>
      <c r="N283" s="1827"/>
      <c r="V283" s="674"/>
      <c r="W283" s="675"/>
      <c r="X283" s="537" t="s">
        <v>2275</v>
      </c>
      <c r="AC283" s="675"/>
      <c r="AD283" s="675"/>
      <c r="AF283" s="675"/>
      <c r="AG283" s="675"/>
    </row>
    <row r="284" spans="1:33" s="536" customFormat="1" ht="33.75" x14ac:dyDescent="0.2">
      <c r="A284" s="575" t="s">
        <v>917</v>
      </c>
      <c r="B284" s="657" t="s">
        <v>2276</v>
      </c>
      <c r="C284" s="1823" t="s">
        <v>2277</v>
      </c>
      <c r="D284" s="1823"/>
      <c r="E284" s="1823"/>
      <c r="F284" s="573" t="s">
        <v>2278</v>
      </c>
      <c r="G284" s="573"/>
      <c r="H284" s="573"/>
      <c r="I284" s="573" t="s">
        <v>2279</v>
      </c>
      <c r="J284" s="572">
        <v>21.2</v>
      </c>
      <c r="K284" s="573"/>
      <c r="L284" s="572">
        <v>1394.75</v>
      </c>
      <c r="M284" s="571"/>
      <c r="N284" s="570"/>
      <c r="V284" s="674"/>
      <c r="W284" s="675" t="s">
        <v>2277</v>
      </c>
      <c r="AC284" s="675"/>
      <c r="AD284" s="675"/>
      <c r="AF284" s="675"/>
      <c r="AG284" s="675"/>
    </row>
    <row r="285" spans="1:33" s="536" customFormat="1" ht="12" x14ac:dyDescent="0.2">
      <c r="A285" s="569"/>
      <c r="B285" s="656"/>
      <c r="C285" s="661" t="s">
        <v>1658</v>
      </c>
      <c r="D285" s="662"/>
      <c r="E285" s="662"/>
      <c r="F285" s="563"/>
      <c r="G285" s="563"/>
      <c r="H285" s="563"/>
      <c r="I285" s="563"/>
      <c r="J285" s="566"/>
      <c r="K285" s="563"/>
      <c r="L285" s="566"/>
      <c r="M285" s="565"/>
      <c r="N285" s="564"/>
      <c r="V285" s="674"/>
      <c r="W285" s="675"/>
      <c r="AC285" s="675"/>
      <c r="AD285" s="675"/>
      <c r="AF285" s="675"/>
      <c r="AG285" s="675"/>
    </row>
    <row r="286" spans="1:33" s="536" customFormat="1" ht="12" x14ac:dyDescent="0.2">
      <c r="A286" s="676"/>
      <c r="B286" s="655"/>
      <c r="C286" s="1822" t="s">
        <v>2280</v>
      </c>
      <c r="D286" s="1822"/>
      <c r="E286" s="1822"/>
      <c r="F286" s="1822"/>
      <c r="G286" s="1822"/>
      <c r="H286" s="1822"/>
      <c r="I286" s="1822"/>
      <c r="J286" s="1822"/>
      <c r="K286" s="1822"/>
      <c r="L286" s="1822"/>
      <c r="M286" s="1822"/>
      <c r="N286" s="1827"/>
      <c r="V286" s="674"/>
      <c r="W286" s="675"/>
      <c r="X286" s="537" t="s">
        <v>2280</v>
      </c>
      <c r="AC286" s="675"/>
      <c r="AD286" s="675"/>
      <c r="AF286" s="675"/>
      <c r="AG286" s="675"/>
    </row>
    <row r="287" spans="1:33" s="536" customFormat="1" ht="33.75" x14ac:dyDescent="0.2">
      <c r="A287" s="575" t="s">
        <v>761</v>
      </c>
      <c r="B287" s="657" t="s">
        <v>2281</v>
      </c>
      <c r="C287" s="1823" t="s">
        <v>2282</v>
      </c>
      <c r="D287" s="1823"/>
      <c r="E287" s="1823"/>
      <c r="F287" s="573" t="s">
        <v>2278</v>
      </c>
      <c r="G287" s="573"/>
      <c r="H287" s="573"/>
      <c r="I287" s="573" t="s">
        <v>716</v>
      </c>
      <c r="J287" s="572">
        <v>37.299999999999997</v>
      </c>
      <c r="K287" s="573"/>
      <c r="L287" s="572">
        <v>38.049999999999997</v>
      </c>
      <c r="M287" s="571"/>
      <c r="N287" s="570"/>
      <c r="V287" s="674"/>
      <c r="W287" s="675" t="s">
        <v>2282</v>
      </c>
      <c r="AC287" s="675"/>
      <c r="AD287" s="675"/>
      <c r="AF287" s="675"/>
      <c r="AG287" s="675"/>
    </row>
    <row r="288" spans="1:33" s="536" customFormat="1" ht="12" x14ac:dyDescent="0.2">
      <c r="A288" s="569"/>
      <c r="B288" s="656"/>
      <c r="C288" s="661" t="s">
        <v>1658</v>
      </c>
      <c r="D288" s="662"/>
      <c r="E288" s="662"/>
      <c r="F288" s="563"/>
      <c r="G288" s="563"/>
      <c r="H288" s="563"/>
      <c r="I288" s="563"/>
      <c r="J288" s="566"/>
      <c r="K288" s="563"/>
      <c r="L288" s="566"/>
      <c r="M288" s="565"/>
      <c r="N288" s="564"/>
      <c r="V288" s="674"/>
      <c r="W288" s="675"/>
      <c r="AC288" s="675"/>
      <c r="AD288" s="675"/>
      <c r="AF288" s="675"/>
      <c r="AG288" s="675"/>
    </row>
    <row r="289" spans="1:33" s="536" customFormat="1" ht="12" x14ac:dyDescent="0.2">
      <c r="A289" s="676"/>
      <c r="B289" s="655"/>
      <c r="C289" s="1822" t="s">
        <v>2283</v>
      </c>
      <c r="D289" s="1822"/>
      <c r="E289" s="1822"/>
      <c r="F289" s="1822"/>
      <c r="G289" s="1822"/>
      <c r="H289" s="1822"/>
      <c r="I289" s="1822"/>
      <c r="J289" s="1822"/>
      <c r="K289" s="1822"/>
      <c r="L289" s="1822"/>
      <c r="M289" s="1822"/>
      <c r="N289" s="1827"/>
      <c r="V289" s="674"/>
      <c r="W289" s="675"/>
      <c r="X289" s="537" t="s">
        <v>2283</v>
      </c>
      <c r="AC289" s="675"/>
      <c r="AD289" s="675"/>
      <c r="AF289" s="675"/>
      <c r="AG289" s="675"/>
    </row>
    <row r="290" spans="1:33" s="536" customFormat="1" ht="45" x14ac:dyDescent="0.2">
      <c r="A290" s="575" t="s">
        <v>762</v>
      </c>
      <c r="B290" s="657" t="s">
        <v>2284</v>
      </c>
      <c r="C290" s="1823" t="s">
        <v>2285</v>
      </c>
      <c r="D290" s="1823"/>
      <c r="E290" s="1823"/>
      <c r="F290" s="573" t="s">
        <v>483</v>
      </c>
      <c r="G290" s="573"/>
      <c r="H290" s="573"/>
      <c r="I290" s="573" t="s">
        <v>2286</v>
      </c>
      <c r="J290" s="572">
        <v>9.76</v>
      </c>
      <c r="K290" s="573"/>
      <c r="L290" s="572">
        <v>49.78</v>
      </c>
      <c r="M290" s="571"/>
      <c r="N290" s="570"/>
      <c r="V290" s="674"/>
      <c r="W290" s="675" t="s">
        <v>2285</v>
      </c>
      <c r="AC290" s="675"/>
      <c r="AD290" s="675"/>
      <c r="AF290" s="675"/>
      <c r="AG290" s="675"/>
    </row>
    <row r="291" spans="1:33" s="536" customFormat="1" ht="12" x14ac:dyDescent="0.2">
      <c r="A291" s="569"/>
      <c r="B291" s="656"/>
      <c r="C291" s="661" t="s">
        <v>1658</v>
      </c>
      <c r="D291" s="662"/>
      <c r="E291" s="662"/>
      <c r="F291" s="563"/>
      <c r="G291" s="563"/>
      <c r="H291" s="563"/>
      <c r="I291" s="563"/>
      <c r="J291" s="566"/>
      <c r="K291" s="563"/>
      <c r="L291" s="566"/>
      <c r="M291" s="565"/>
      <c r="N291" s="564"/>
      <c r="V291" s="674"/>
      <c r="W291" s="675"/>
      <c r="AC291" s="675"/>
      <c r="AD291" s="675"/>
      <c r="AF291" s="675"/>
      <c r="AG291" s="675"/>
    </row>
    <row r="292" spans="1:33" s="536" customFormat="1" ht="12" x14ac:dyDescent="0.2">
      <c r="A292" s="676"/>
      <c r="B292" s="655"/>
      <c r="C292" s="1822" t="s">
        <v>2287</v>
      </c>
      <c r="D292" s="1822"/>
      <c r="E292" s="1822"/>
      <c r="F292" s="1822"/>
      <c r="G292" s="1822"/>
      <c r="H292" s="1822"/>
      <c r="I292" s="1822"/>
      <c r="J292" s="1822"/>
      <c r="K292" s="1822"/>
      <c r="L292" s="1822"/>
      <c r="M292" s="1822"/>
      <c r="N292" s="1827"/>
      <c r="V292" s="674"/>
      <c r="W292" s="675"/>
      <c r="X292" s="537" t="s">
        <v>2287</v>
      </c>
      <c r="AC292" s="675"/>
      <c r="AD292" s="675"/>
      <c r="AF292" s="675"/>
      <c r="AG292" s="675"/>
    </row>
    <row r="293" spans="1:33" s="536" customFormat="1" ht="56.25" x14ac:dyDescent="0.2">
      <c r="A293" s="575" t="s">
        <v>763</v>
      </c>
      <c r="B293" s="657" t="s">
        <v>1680</v>
      </c>
      <c r="C293" s="1823" t="s">
        <v>1681</v>
      </c>
      <c r="D293" s="1823"/>
      <c r="E293" s="1823"/>
      <c r="F293" s="573" t="s">
        <v>1110</v>
      </c>
      <c r="G293" s="573"/>
      <c r="H293" s="573"/>
      <c r="I293" s="573" t="s">
        <v>1201</v>
      </c>
      <c r="J293" s="572"/>
      <c r="K293" s="573"/>
      <c r="L293" s="572"/>
      <c r="M293" s="571"/>
      <c r="N293" s="570"/>
      <c r="V293" s="674"/>
      <c r="W293" s="675" t="s">
        <v>1681</v>
      </c>
      <c r="AC293" s="675"/>
      <c r="AD293" s="675"/>
      <c r="AF293" s="675"/>
      <c r="AG293" s="675"/>
    </row>
    <row r="294" spans="1:33" s="536" customFormat="1" ht="12" x14ac:dyDescent="0.2">
      <c r="A294" s="676"/>
      <c r="B294" s="655"/>
      <c r="C294" s="1822" t="s">
        <v>2288</v>
      </c>
      <c r="D294" s="1822"/>
      <c r="E294" s="1822"/>
      <c r="F294" s="1822"/>
      <c r="G294" s="1822"/>
      <c r="H294" s="1822"/>
      <c r="I294" s="1822"/>
      <c r="J294" s="1822"/>
      <c r="K294" s="1822"/>
      <c r="L294" s="1822"/>
      <c r="M294" s="1822"/>
      <c r="N294" s="1827"/>
      <c r="V294" s="674"/>
      <c r="W294" s="675"/>
      <c r="X294" s="537" t="s">
        <v>2288</v>
      </c>
      <c r="AC294" s="675"/>
      <c r="AD294" s="675"/>
      <c r="AF294" s="675"/>
      <c r="AG294" s="675"/>
    </row>
    <row r="295" spans="1:33" s="536" customFormat="1" ht="33.75" x14ac:dyDescent="0.2">
      <c r="A295" s="609"/>
      <c r="B295" s="552" t="s">
        <v>310</v>
      </c>
      <c r="C295" s="1822" t="s">
        <v>311</v>
      </c>
      <c r="D295" s="1822"/>
      <c r="E295" s="1822"/>
      <c r="F295" s="1822"/>
      <c r="G295" s="1822"/>
      <c r="H295" s="1822"/>
      <c r="I295" s="1822"/>
      <c r="J295" s="1822"/>
      <c r="K295" s="1822"/>
      <c r="L295" s="1822"/>
      <c r="M295" s="1822"/>
      <c r="N295" s="1827"/>
      <c r="V295" s="674"/>
      <c r="W295" s="675"/>
      <c r="Y295" s="537" t="s">
        <v>311</v>
      </c>
      <c r="AC295" s="675"/>
      <c r="AD295" s="675"/>
      <c r="AF295" s="675"/>
      <c r="AG295" s="675"/>
    </row>
    <row r="296" spans="1:33" s="536" customFormat="1" ht="12" x14ac:dyDescent="0.2">
      <c r="A296" s="605"/>
      <c r="B296" s="552" t="s">
        <v>185</v>
      </c>
      <c r="C296" s="1822" t="s">
        <v>312</v>
      </c>
      <c r="D296" s="1822"/>
      <c r="E296" s="1822"/>
      <c r="F296" s="562"/>
      <c r="G296" s="562"/>
      <c r="H296" s="562"/>
      <c r="I296" s="562"/>
      <c r="J296" s="604">
        <v>50.67</v>
      </c>
      <c r="K296" s="562" t="s">
        <v>313</v>
      </c>
      <c r="L296" s="604">
        <v>85.51</v>
      </c>
      <c r="M296" s="603"/>
      <c r="N296" s="602"/>
      <c r="V296" s="674"/>
      <c r="W296" s="675"/>
      <c r="Z296" s="537" t="s">
        <v>312</v>
      </c>
      <c r="AC296" s="675"/>
      <c r="AD296" s="675"/>
      <c r="AF296" s="675"/>
      <c r="AG296" s="675"/>
    </row>
    <row r="297" spans="1:33" s="536" customFormat="1" ht="12" x14ac:dyDescent="0.2">
      <c r="A297" s="605"/>
      <c r="B297" s="552" t="s">
        <v>186</v>
      </c>
      <c r="C297" s="1822" t="s">
        <v>344</v>
      </c>
      <c r="D297" s="1822"/>
      <c r="E297" s="1822"/>
      <c r="F297" s="562"/>
      <c r="G297" s="562"/>
      <c r="H297" s="562"/>
      <c r="I297" s="562"/>
      <c r="J297" s="604">
        <v>3.62</v>
      </c>
      <c r="K297" s="562" t="s">
        <v>313</v>
      </c>
      <c r="L297" s="604">
        <v>6.11</v>
      </c>
      <c r="M297" s="603"/>
      <c r="N297" s="602"/>
      <c r="V297" s="674"/>
      <c r="W297" s="675"/>
      <c r="Z297" s="537" t="s">
        <v>344</v>
      </c>
      <c r="AC297" s="675"/>
      <c r="AD297" s="675"/>
      <c r="AF297" s="675"/>
      <c r="AG297" s="675"/>
    </row>
    <row r="298" spans="1:33" s="536" customFormat="1" ht="12" x14ac:dyDescent="0.2">
      <c r="A298" s="605"/>
      <c r="B298" s="552" t="s">
        <v>187</v>
      </c>
      <c r="C298" s="1822" t="s">
        <v>345</v>
      </c>
      <c r="D298" s="1822"/>
      <c r="E298" s="1822"/>
      <c r="F298" s="562"/>
      <c r="G298" s="562"/>
      <c r="H298" s="562"/>
      <c r="I298" s="562"/>
      <c r="J298" s="604">
        <v>0.5</v>
      </c>
      <c r="K298" s="562" t="s">
        <v>313</v>
      </c>
      <c r="L298" s="604">
        <v>0.84</v>
      </c>
      <c r="M298" s="603"/>
      <c r="N298" s="602"/>
      <c r="V298" s="674"/>
      <c r="W298" s="675"/>
      <c r="Z298" s="537" t="s">
        <v>345</v>
      </c>
      <c r="AC298" s="675"/>
      <c r="AD298" s="675"/>
      <c r="AF298" s="675"/>
      <c r="AG298" s="675"/>
    </row>
    <row r="299" spans="1:33" s="536" customFormat="1" ht="12" x14ac:dyDescent="0.2">
      <c r="A299" s="605"/>
      <c r="B299" s="552" t="s">
        <v>188</v>
      </c>
      <c r="C299" s="1822" t="s">
        <v>475</v>
      </c>
      <c r="D299" s="1822"/>
      <c r="E299" s="1822"/>
      <c r="F299" s="562"/>
      <c r="G299" s="562"/>
      <c r="H299" s="562"/>
      <c r="I299" s="562"/>
      <c r="J299" s="604">
        <v>14.48</v>
      </c>
      <c r="K299" s="562"/>
      <c r="L299" s="604">
        <v>19.55</v>
      </c>
      <c r="M299" s="603"/>
      <c r="N299" s="602"/>
      <c r="V299" s="674"/>
      <c r="W299" s="675"/>
      <c r="Z299" s="537" t="s">
        <v>475</v>
      </c>
      <c r="AC299" s="675"/>
      <c r="AD299" s="675"/>
      <c r="AF299" s="675"/>
      <c r="AG299" s="675"/>
    </row>
    <row r="300" spans="1:33" s="536" customFormat="1" ht="12" x14ac:dyDescent="0.2">
      <c r="A300" s="605"/>
      <c r="B300" s="552"/>
      <c r="C300" s="1822" t="s">
        <v>314</v>
      </c>
      <c r="D300" s="1822"/>
      <c r="E300" s="1822"/>
      <c r="F300" s="562" t="s">
        <v>315</v>
      </c>
      <c r="G300" s="562" t="s">
        <v>1682</v>
      </c>
      <c r="H300" s="562" t="s">
        <v>313</v>
      </c>
      <c r="I300" s="562" t="s">
        <v>2289</v>
      </c>
      <c r="J300" s="604"/>
      <c r="K300" s="562"/>
      <c r="L300" s="604"/>
      <c r="M300" s="603"/>
      <c r="N300" s="602"/>
      <c r="V300" s="674"/>
      <c r="W300" s="675"/>
      <c r="AA300" s="537" t="s">
        <v>314</v>
      </c>
      <c r="AC300" s="675"/>
      <c r="AD300" s="675"/>
      <c r="AF300" s="675"/>
      <c r="AG300" s="675"/>
    </row>
    <row r="301" spans="1:33" s="536" customFormat="1" ht="12" x14ac:dyDescent="0.2">
      <c r="A301" s="605"/>
      <c r="B301" s="552"/>
      <c r="C301" s="1822" t="s">
        <v>348</v>
      </c>
      <c r="D301" s="1822"/>
      <c r="E301" s="1822"/>
      <c r="F301" s="562" t="s">
        <v>315</v>
      </c>
      <c r="G301" s="562" t="s">
        <v>728</v>
      </c>
      <c r="H301" s="562" t="s">
        <v>313</v>
      </c>
      <c r="I301" s="562" t="s">
        <v>2290</v>
      </c>
      <c r="J301" s="604"/>
      <c r="K301" s="562"/>
      <c r="L301" s="604"/>
      <c r="M301" s="603"/>
      <c r="N301" s="602"/>
      <c r="V301" s="674"/>
      <c r="W301" s="675"/>
      <c r="AA301" s="537" t="s">
        <v>348</v>
      </c>
      <c r="AC301" s="675"/>
      <c r="AD301" s="675"/>
      <c r="AF301" s="675"/>
      <c r="AG301" s="675"/>
    </row>
    <row r="302" spans="1:33" s="536" customFormat="1" ht="12" x14ac:dyDescent="0.2">
      <c r="A302" s="605"/>
      <c r="B302" s="552"/>
      <c r="C302" s="1828" t="s">
        <v>318</v>
      </c>
      <c r="D302" s="1828"/>
      <c r="E302" s="1828"/>
      <c r="F302" s="608"/>
      <c r="G302" s="608"/>
      <c r="H302" s="608"/>
      <c r="I302" s="608"/>
      <c r="J302" s="607">
        <v>68.77</v>
      </c>
      <c r="K302" s="608"/>
      <c r="L302" s="607">
        <v>111.17</v>
      </c>
      <c r="M302" s="601"/>
      <c r="N302" s="606"/>
      <c r="V302" s="674"/>
      <c r="W302" s="675"/>
      <c r="AB302" s="537" t="s">
        <v>318</v>
      </c>
      <c r="AC302" s="675"/>
      <c r="AD302" s="675"/>
      <c r="AF302" s="675"/>
      <c r="AG302" s="675"/>
    </row>
    <row r="303" spans="1:33" s="536" customFormat="1" ht="12" x14ac:dyDescent="0.2">
      <c r="A303" s="605"/>
      <c r="B303" s="552"/>
      <c r="C303" s="1822" t="s">
        <v>319</v>
      </c>
      <c r="D303" s="1822"/>
      <c r="E303" s="1822"/>
      <c r="F303" s="562"/>
      <c r="G303" s="562"/>
      <c r="H303" s="562"/>
      <c r="I303" s="562"/>
      <c r="J303" s="604"/>
      <c r="K303" s="562"/>
      <c r="L303" s="604">
        <v>86.35</v>
      </c>
      <c r="M303" s="603"/>
      <c r="N303" s="602"/>
      <c r="V303" s="674"/>
      <c r="W303" s="675"/>
      <c r="AA303" s="537" t="s">
        <v>319</v>
      </c>
      <c r="AC303" s="675"/>
      <c r="AD303" s="675"/>
      <c r="AF303" s="675"/>
      <c r="AG303" s="675"/>
    </row>
    <row r="304" spans="1:33" s="536" customFormat="1" ht="33.75" x14ac:dyDescent="0.2">
      <c r="A304" s="605"/>
      <c r="B304" s="552" t="s">
        <v>1631</v>
      </c>
      <c r="C304" s="1822" t="s">
        <v>1632</v>
      </c>
      <c r="D304" s="1822"/>
      <c r="E304" s="1822"/>
      <c r="F304" s="562" t="s">
        <v>322</v>
      </c>
      <c r="G304" s="562" t="s">
        <v>1633</v>
      </c>
      <c r="H304" s="562"/>
      <c r="I304" s="562" t="s">
        <v>1633</v>
      </c>
      <c r="J304" s="604"/>
      <c r="K304" s="562"/>
      <c r="L304" s="604">
        <v>83.76</v>
      </c>
      <c r="M304" s="603"/>
      <c r="N304" s="602"/>
      <c r="V304" s="674"/>
      <c r="W304" s="675"/>
      <c r="AA304" s="537" t="s">
        <v>1632</v>
      </c>
      <c r="AC304" s="675"/>
      <c r="AD304" s="675"/>
      <c r="AF304" s="675"/>
      <c r="AG304" s="675"/>
    </row>
    <row r="305" spans="1:33" s="536" customFormat="1" ht="33.75" x14ac:dyDescent="0.2">
      <c r="A305" s="605"/>
      <c r="B305" s="552" t="s">
        <v>1634</v>
      </c>
      <c r="C305" s="1822" t="s">
        <v>1635</v>
      </c>
      <c r="D305" s="1822"/>
      <c r="E305" s="1822"/>
      <c r="F305" s="562" t="s">
        <v>322</v>
      </c>
      <c r="G305" s="562" t="s">
        <v>786</v>
      </c>
      <c r="H305" s="562"/>
      <c r="I305" s="562" t="s">
        <v>786</v>
      </c>
      <c r="J305" s="604"/>
      <c r="K305" s="562"/>
      <c r="L305" s="604">
        <v>44.04</v>
      </c>
      <c r="M305" s="603"/>
      <c r="N305" s="602"/>
      <c r="V305" s="674"/>
      <c r="W305" s="675"/>
      <c r="AA305" s="537" t="s">
        <v>1635</v>
      </c>
      <c r="AC305" s="675"/>
      <c r="AD305" s="675"/>
      <c r="AF305" s="675"/>
      <c r="AG305" s="675"/>
    </row>
    <row r="306" spans="1:33" s="536" customFormat="1" ht="12" x14ac:dyDescent="0.2">
      <c r="A306" s="569"/>
      <c r="B306" s="656"/>
      <c r="C306" s="1823" t="s">
        <v>327</v>
      </c>
      <c r="D306" s="1823"/>
      <c r="E306" s="1823"/>
      <c r="F306" s="573"/>
      <c r="G306" s="573"/>
      <c r="H306" s="573"/>
      <c r="I306" s="573"/>
      <c r="J306" s="572"/>
      <c r="K306" s="573"/>
      <c r="L306" s="572">
        <v>238.97</v>
      </c>
      <c r="M306" s="601"/>
      <c r="N306" s="570"/>
      <c r="V306" s="674"/>
      <c r="W306" s="675"/>
      <c r="AC306" s="675" t="s">
        <v>327</v>
      </c>
      <c r="AD306" s="675"/>
      <c r="AF306" s="675"/>
      <c r="AG306" s="675"/>
    </row>
    <row r="307" spans="1:33" s="536" customFormat="1" ht="22.5" x14ac:dyDescent="0.2">
      <c r="A307" s="575" t="s">
        <v>922</v>
      </c>
      <c r="B307" s="657" t="s">
        <v>1685</v>
      </c>
      <c r="C307" s="1823" t="s">
        <v>1686</v>
      </c>
      <c r="D307" s="1823"/>
      <c r="E307" s="1823"/>
      <c r="F307" s="573" t="s">
        <v>1687</v>
      </c>
      <c r="G307" s="573"/>
      <c r="H307" s="573"/>
      <c r="I307" s="573" t="s">
        <v>2291</v>
      </c>
      <c r="J307" s="572">
        <v>4832.12</v>
      </c>
      <c r="K307" s="573"/>
      <c r="L307" s="572">
        <v>394.3</v>
      </c>
      <c r="M307" s="571"/>
      <c r="N307" s="570"/>
      <c r="V307" s="674"/>
      <c r="W307" s="675" t="s">
        <v>1686</v>
      </c>
      <c r="AC307" s="675"/>
      <c r="AD307" s="675"/>
      <c r="AF307" s="675"/>
      <c r="AG307" s="675"/>
    </row>
    <row r="308" spans="1:33" s="536" customFormat="1" ht="12" x14ac:dyDescent="0.2">
      <c r="A308" s="569"/>
      <c r="B308" s="656"/>
      <c r="C308" s="661" t="s">
        <v>1658</v>
      </c>
      <c r="D308" s="662"/>
      <c r="E308" s="662"/>
      <c r="F308" s="563"/>
      <c r="G308" s="563"/>
      <c r="H308" s="563"/>
      <c r="I308" s="563"/>
      <c r="J308" s="566"/>
      <c r="K308" s="563"/>
      <c r="L308" s="566"/>
      <c r="M308" s="565"/>
      <c r="N308" s="564"/>
      <c r="V308" s="674"/>
      <c r="W308" s="675"/>
      <c r="AC308" s="675"/>
      <c r="AD308" s="675"/>
      <c r="AF308" s="675"/>
      <c r="AG308" s="675"/>
    </row>
    <row r="309" spans="1:33" s="536" customFormat="1" ht="12" x14ac:dyDescent="0.2">
      <c r="A309" s="676"/>
      <c r="B309" s="655"/>
      <c r="C309" s="1822" t="s">
        <v>2292</v>
      </c>
      <c r="D309" s="1822"/>
      <c r="E309" s="1822"/>
      <c r="F309" s="1822"/>
      <c r="G309" s="1822"/>
      <c r="H309" s="1822"/>
      <c r="I309" s="1822"/>
      <c r="J309" s="1822"/>
      <c r="K309" s="1822"/>
      <c r="L309" s="1822"/>
      <c r="M309" s="1822"/>
      <c r="N309" s="1827"/>
      <c r="V309" s="674"/>
      <c r="W309" s="675"/>
      <c r="X309" s="537" t="s">
        <v>2292</v>
      </c>
      <c r="AC309" s="675"/>
      <c r="AD309" s="675"/>
      <c r="AF309" s="675"/>
      <c r="AG309" s="675"/>
    </row>
    <row r="310" spans="1:33" s="536" customFormat="1" ht="22.5" x14ac:dyDescent="0.2">
      <c r="A310" s="575" t="s">
        <v>765</v>
      </c>
      <c r="B310" s="657" t="s">
        <v>2293</v>
      </c>
      <c r="C310" s="1823" t="s">
        <v>2294</v>
      </c>
      <c r="D310" s="1823"/>
      <c r="E310" s="1823"/>
      <c r="F310" s="573" t="s">
        <v>1687</v>
      </c>
      <c r="G310" s="573"/>
      <c r="H310" s="573"/>
      <c r="I310" s="573" t="s">
        <v>2295</v>
      </c>
      <c r="J310" s="572">
        <v>15826.32</v>
      </c>
      <c r="K310" s="573"/>
      <c r="L310" s="572">
        <v>887.86</v>
      </c>
      <c r="M310" s="571"/>
      <c r="N310" s="570"/>
      <c r="V310" s="674"/>
      <c r="W310" s="675" t="s">
        <v>2294</v>
      </c>
      <c r="AC310" s="675"/>
      <c r="AD310" s="675"/>
      <c r="AF310" s="675"/>
      <c r="AG310" s="675"/>
    </row>
    <row r="311" spans="1:33" s="536" customFormat="1" ht="12" x14ac:dyDescent="0.2">
      <c r="A311" s="569"/>
      <c r="B311" s="656"/>
      <c r="C311" s="661" t="s">
        <v>1658</v>
      </c>
      <c r="D311" s="662"/>
      <c r="E311" s="662"/>
      <c r="F311" s="563"/>
      <c r="G311" s="563"/>
      <c r="H311" s="563"/>
      <c r="I311" s="563"/>
      <c r="J311" s="566"/>
      <c r="K311" s="563"/>
      <c r="L311" s="566"/>
      <c r="M311" s="565"/>
      <c r="N311" s="564"/>
      <c r="V311" s="674"/>
      <c r="W311" s="675"/>
      <c r="AC311" s="675"/>
      <c r="AD311" s="675"/>
      <c r="AF311" s="675"/>
      <c r="AG311" s="675"/>
    </row>
    <row r="312" spans="1:33" s="536" customFormat="1" ht="12" x14ac:dyDescent="0.2">
      <c r="A312" s="676"/>
      <c r="B312" s="655"/>
      <c r="C312" s="1822" t="s">
        <v>2296</v>
      </c>
      <c r="D312" s="1822"/>
      <c r="E312" s="1822"/>
      <c r="F312" s="1822"/>
      <c r="G312" s="1822"/>
      <c r="H312" s="1822"/>
      <c r="I312" s="1822"/>
      <c r="J312" s="1822"/>
      <c r="K312" s="1822"/>
      <c r="L312" s="1822"/>
      <c r="M312" s="1822"/>
      <c r="N312" s="1827"/>
      <c r="V312" s="674"/>
      <c r="W312" s="675"/>
      <c r="X312" s="537" t="s">
        <v>2296</v>
      </c>
      <c r="AC312" s="675"/>
      <c r="AD312" s="675"/>
      <c r="AF312" s="675"/>
      <c r="AG312" s="675"/>
    </row>
    <row r="313" spans="1:33" s="536" customFormat="1" ht="56.25" x14ac:dyDescent="0.2">
      <c r="A313" s="575" t="s">
        <v>505</v>
      </c>
      <c r="B313" s="657" t="s">
        <v>2297</v>
      </c>
      <c r="C313" s="1823" t="s">
        <v>2298</v>
      </c>
      <c r="D313" s="1823"/>
      <c r="E313" s="1823"/>
      <c r="F313" s="573" t="s">
        <v>1110</v>
      </c>
      <c r="G313" s="573"/>
      <c r="H313" s="573"/>
      <c r="I313" s="573" t="s">
        <v>2299</v>
      </c>
      <c r="J313" s="572"/>
      <c r="K313" s="573"/>
      <c r="L313" s="572"/>
      <c r="M313" s="571"/>
      <c r="N313" s="570"/>
      <c r="V313" s="674"/>
      <c r="W313" s="675" t="s">
        <v>2298</v>
      </c>
      <c r="AC313" s="675"/>
      <c r="AD313" s="675"/>
      <c r="AF313" s="675"/>
      <c r="AG313" s="675"/>
    </row>
    <row r="314" spans="1:33" s="536" customFormat="1" ht="12" x14ac:dyDescent="0.2">
      <c r="A314" s="676"/>
      <c r="B314" s="655"/>
      <c r="C314" s="1822" t="s">
        <v>2300</v>
      </c>
      <c r="D314" s="1822"/>
      <c r="E314" s="1822"/>
      <c r="F314" s="1822"/>
      <c r="G314" s="1822"/>
      <c r="H314" s="1822"/>
      <c r="I314" s="1822"/>
      <c r="J314" s="1822"/>
      <c r="K314" s="1822"/>
      <c r="L314" s="1822"/>
      <c r="M314" s="1822"/>
      <c r="N314" s="1827"/>
      <c r="V314" s="674"/>
      <c r="W314" s="675"/>
      <c r="X314" s="537" t="s">
        <v>2300</v>
      </c>
      <c r="AC314" s="675"/>
      <c r="AD314" s="675"/>
      <c r="AF314" s="675"/>
      <c r="AG314" s="675"/>
    </row>
    <row r="315" spans="1:33" s="536" customFormat="1" ht="33.75" x14ac:dyDescent="0.2">
      <c r="A315" s="609"/>
      <c r="B315" s="552" t="s">
        <v>310</v>
      </c>
      <c r="C315" s="1822" t="s">
        <v>311</v>
      </c>
      <c r="D315" s="1822"/>
      <c r="E315" s="1822"/>
      <c r="F315" s="1822"/>
      <c r="G315" s="1822"/>
      <c r="H315" s="1822"/>
      <c r="I315" s="1822"/>
      <c r="J315" s="1822"/>
      <c r="K315" s="1822"/>
      <c r="L315" s="1822"/>
      <c r="M315" s="1822"/>
      <c r="N315" s="1827"/>
      <c r="V315" s="674"/>
      <c r="W315" s="675"/>
      <c r="Y315" s="537" t="s">
        <v>311</v>
      </c>
      <c r="AC315" s="675"/>
      <c r="AD315" s="675"/>
      <c r="AF315" s="675"/>
      <c r="AG315" s="675"/>
    </row>
    <row r="316" spans="1:33" s="536" customFormat="1" ht="12" x14ac:dyDescent="0.2">
      <c r="A316" s="605"/>
      <c r="B316" s="552" t="s">
        <v>185</v>
      </c>
      <c r="C316" s="1822" t="s">
        <v>312</v>
      </c>
      <c r="D316" s="1822"/>
      <c r="E316" s="1822"/>
      <c r="F316" s="562"/>
      <c r="G316" s="562"/>
      <c r="H316" s="562"/>
      <c r="I316" s="562"/>
      <c r="J316" s="604">
        <v>59.13</v>
      </c>
      <c r="K316" s="562" t="s">
        <v>313</v>
      </c>
      <c r="L316" s="604">
        <v>484.13</v>
      </c>
      <c r="M316" s="603"/>
      <c r="N316" s="602"/>
      <c r="V316" s="674"/>
      <c r="W316" s="675"/>
      <c r="Z316" s="537" t="s">
        <v>312</v>
      </c>
      <c r="AC316" s="675"/>
      <c r="AD316" s="675"/>
      <c r="AF316" s="675"/>
      <c r="AG316" s="675"/>
    </row>
    <row r="317" spans="1:33" s="536" customFormat="1" ht="12" x14ac:dyDescent="0.2">
      <c r="A317" s="605"/>
      <c r="B317" s="552" t="s">
        <v>186</v>
      </c>
      <c r="C317" s="1822" t="s">
        <v>344</v>
      </c>
      <c r="D317" s="1822"/>
      <c r="E317" s="1822"/>
      <c r="F317" s="562"/>
      <c r="G317" s="562"/>
      <c r="H317" s="562"/>
      <c r="I317" s="562"/>
      <c r="J317" s="604">
        <v>5.43</v>
      </c>
      <c r="K317" s="562" t="s">
        <v>313</v>
      </c>
      <c r="L317" s="604">
        <v>44.46</v>
      </c>
      <c r="M317" s="603"/>
      <c r="N317" s="602"/>
      <c r="V317" s="674"/>
      <c r="W317" s="675"/>
      <c r="Z317" s="537" t="s">
        <v>344</v>
      </c>
      <c r="AC317" s="675"/>
      <c r="AD317" s="675"/>
      <c r="AF317" s="675"/>
      <c r="AG317" s="675"/>
    </row>
    <row r="318" spans="1:33" s="536" customFormat="1" ht="12" x14ac:dyDescent="0.2">
      <c r="A318" s="605"/>
      <c r="B318" s="552" t="s">
        <v>187</v>
      </c>
      <c r="C318" s="1822" t="s">
        <v>345</v>
      </c>
      <c r="D318" s="1822"/>
      <c r="E318" s="1822"/>
      <c r="F318" s="562"/>
      <c r="G318" s="562"/>
      <c r="H318" s="562"/>
      <c r="I318" s="562"/>
      <c r="J318" s="604">
        <v>0.76</v>
      </c>
      <c r="K318" s="562" t="s">
        <v>313</v>
      </c>
      <c r="L318" s="604">
        <v>6.22</v>
      </c>
      <c r="M318" s="603"/>
      <c r="N318" s="602"/>
      <c r="V318" s="674"/>
      <c r="W318" s="675"/>
      <c r="Z318" s="537" t="s">
        <v>345</v>
      </c>
      <c r="AC318" s="675"/>
      <c r="AD318" s="675"/>
      <c r="AF318" s="675"/>
      <c r="AG318" s="675"/>
    </row>
    <row r="319" spans="1:33" s="536" customFormat="1" ht="12" x14ac:dyDescent="0.2">
      <c r="A319" s="605"/>
      <c r="B319" s="552" t="s">
        <v>188</v>
      </c>
      <c r="C319" s="1822" t="s">
        <v>475</v>
      </c>
      <c r="D319" s="1822"/>
      <c r="E319" s="1822"/>
      <c r="F319" s="562"/>
      <c r="G319" s="562"/>
      <c r="H319" s="562"/>
      <c r="I319" s="562"/>
      <c r="J319" s="604">
        <v>22.69</v>
      </c>
      <c r="K319" s="562"/>
      <c r="L319" s="604">
        <v>148.62</v>
      </c>
      <c r="M319" s="603"/>
      <c r="N319" s="602"/>
      <c r="V319" s="674"/>
      <c r="W319" s="675"/>
      <c r="Z319" s="537" t="s">
        <v>475</v>
      </c>
      <c r="AC319" s="675"/>
      <c r="AD319" s="675"/>
      <c r="AF319" s="675"/>
      <c r="AG319" s="675"/>
    </row>
    <row r="320" spans="1:33" s="536" customFormat="1" ht="12" x14ac:dyDescent="0.2">
      <c r="A320" s="605"/>
      <c r="B320" s="552"/>
      <c r="C320" s="1822" t="s">
        <v>314</v>
      </c>
      <c r="D320" s="1822"/>
      <c r="E320" s="1822"/>
      <c r="F320" s="562" t="s">
        <v>315</v>
      </c>
      <c r="G320" s="562" t="s">
        <v>2301</v>
      </c>
      <c r="H320" s="562" t="s">
        <v>313</v>
      </c>
      <c r="I320" s="562" t="s">
        <v>2302</v>
      </c>
      <c r="J320" s="604"/>
      <c r="K320" s="562"/>
      <c r="L320" s="604"/>
      <c r="M320" s="603"/>
      <c r="N320" s="602"/>
      <c r="V320" s="674"/>
      <c r="W320" s="675"/>
      <c r="AA320" s="537" t="s">
        <v>314</v>
      </c>
      <c r="AC320" s="675"/>
      <c r="AD320" s="675"/>
      <c r="AF320" s="675"/>
      <c r="AG320" s="675"/>
    </row>
    <row r="321" spans="1:33" s="536" customFormat="1" ht="12" x14ac:dyDescent="0.2">
      <c r="A321" s="605"/>
      <c r="B321" s="552"/>
      <c r="C321" s="1822" t="s">
        <v>348</v>
      </c>
      <c r="D321" s="1822"/>
      <c r="E321" s="1822"/>
      <c r="F321" s="562" t="s">
        <v>315</v>
      </c>
      <c r="G321" s="562" t="s">
        <v>1554</v>
      </c>
      <c r="H321" s="562" t="s">
        <v>313</v>
      </c>
      <c r="I321" s="562" t="s">
        <v>2303</v>
      </c>
      <c r="J321" s="604"/>
      <c r="K321" s="562"/>
      <c r="L321" s="604"/>
      <c r="M321" s="603"/>
      <c r="N321" s="602"/>
      <c r="V321" s="674"/>
      <c r="W321" s="675"/>
      <c r="AA321" s="537" t="s">
        <v>348</v>
      </c>
      <c r="AC321" s="675"/>
      <c r="AD321" s="675"/>
      <c r="AF321" s="675"/>
      <c r="AG321" s="675"/>
    </row>
    <row r="322" spans="1:33" s="536" customFormat="1" ht="12" x14ac:dyDescent="0.2">
      <c r="A322" s="605"/>
      <c r="B322" s="552"/>
      <c r="C322" s="1828" t="s">
        <v>318</v>
      </c>
      <c r="D322" s="1828"/>
      <c r="E322" s="1828"/>
      <c r="F322" s="608"/>
      <c r="G322" s="608"/>
      <c r="H322" s="608"/>
      <c r="I322" s="608"/>
      <c r="J322" s="607">
        <v>87.25</v>
      </c>
      <c r="K322" s="608"/>
      <c r="L322" s="607">
        <v>677.21</v>
      </c>
      <c r="M322" s="601"/>
      <c r="N322" s="606"/>
      <c r="V322" s="674"/>
      <c r="W322" s="675"/>
      <c r="AB322" s="537" t="s">
        <v>318</v>
      </c>
      <c r="AC322" s="675"/>
      <c r="AD322" s="675"/>
      <c r="AF322" s="675"/>
      <c r="AG322" s="675"/>
    </row>
    <row r="323" spans="1:33" s="536" customFormat="1" ht="12" x14ac:dyDescent="0.2">
      <c r="A323" s="605"/>
      <c r="B323" s="552"/>
      <c r="C323" s="1822" t="s">
        <v>319</v>
      </c>
      <c r="D323" s="1822"/>
      <c r="E323" s="1822"/>
      <c r="F323" s="562"/>
      <c r="G323" s="562"/>
      <c r="H323" s="562"/>
      <c r="I323" s="562"/>
      <c r="J323" s="604"/>
      <c r="K323" s="562"/>
      <c r="L323" s="604">
        <v>490.35</v>
      </c>
      <c r="M323" s="603"/>
      <c r="N323" s="602"/>
      <c r="V323" s="674"/>
      <c r="W323" s="675"/>
      <c r="AA323" s="537" t="s">
        <v>319</v>
      </c>
      <c r="AC323" s="675"/>
      <c r="AD323" s="675"/>
      <c r="AF323" s="675"/>
      <c r="AG323" s="675"/>
    </row>
    <row r="324" spans="1:33" s="536" customFormat="1" ht="33.75" x14ac:dyDescent="0.2">
      <c r="A324" s="605"/>
      <c r="B324" s="552" t="s">
        <v>1631</v>
      </c>
      <c r="C324" s="1822" t="s">
        <v>1632</v>
      </c>
      <c r="D324" s="1822"/>
      <c r="E324" s="1822"/>
      <c r="F324" s="562" t="s">
        <v>322</v>
      </c>
      <c r="G324" s="562" t="s">
        <v>1633</v>
      </c>
      <c r="H324" s="562"/>
      <c r="I324" s="562" t="s">
        <v>1633</v>
      </c>
      <c r="J324" s="604"/>
      <c r="K324" s="562"/>
      <c r="L324" s="604">
        <v>475.64</v>
      </c>
      <c r="M324" s="603"/>
      <c r="N324" s="602"/>
      <c r="V324" s="674"/>
      <c r="W324" s="675"/>
      <c r="AA324" s="537" t="s">
        <v>1632</v>
      </c>
      <c r="AC324" s="675"/>
      <c r="AD324" s="675"/>
      <c r="AF324" s="675"/>
      <c r="AG324" s="675"/>
    </row>
    <row r="325" spans="1:33" s="536" customFormat="1" ht="33.75" x14ac:dyDescent="0.2">
      <c r="A325" s="605"/>
      <c r="B325" s="552" t="s">
        <v>1634</v>
      </c>
      <c r="C325" s="1822" t="s">
        <v>1635</v>
      </c>
      <c r="D325" s="1822"/>
      <c r="E325" s="1822"/>
      <c r="F325" s="562" t="s">
        <v>322</v>
      </c>
      <c r="G325" s="562" t="s">
        <v>786</v>
      </c>
      <c r="H325" s="562"/>
      <c r="I325" s="562" t="s">
        <v>786</v>
      </c>
      <c r="J325" s="604"/>
      <c r="K325" s="562"/>
      <c r="L325" s="604">
        <v>250.08</v>
      </c>
      <c r="M325" s="603"/>
      <c r="N325" s="602"/>
      <c r="V325" s="674"/>
      <c r="W325" s="675"/>
      <c r="AA325" s="537" t="s">
        <v>1635</v>
      </c>
      <c r="AC325" s="675"/>
      <c r="AD325" s="675"/>
      <c r="AF325" s="675"/>
      <c r="AG325" s="675"/>
    </row>
    <row r="326" spans="1:33" s="536" customFormat="1" ht="12" x14ac:dyDescent="0.2">
      <c r="A326" s="569"/>
      <c r="B326" s="656"/>
      <c r="C326" s="1823" t="s">
        <v>327</v>
      </c>
      <c r="D326" s="1823"/>
      <c r="E326" s="1823"/>
      <c r="F326" s="573"/>
      <c r="G326" s="573"/>
      <c r="H326" s="573"/>
      <c r="I326" s="573"/>
      <c r="J326" s="572"/>
      <c r="K326" s="573"/>
      <c r="L326" s="572">
        <v>1402.93</v>
      </c>
      <c r="M326" s="601"/>
      <c r="N326" s="570"/>
      <c r="V326" s="674"/>
      <c r="W326" s="675"/>
      <c r="AC326" s="675" t="s">
        <v>327</v>
      </c>
      <c r="AD326" s="675"/>
      <c r="AF326" s="675"/>
      <c r="AG326" s="675"/>
    </row>
    <row r="327" spans="1:33" s="536" customFormat="1" ht="22.5" x14ac:dyDescent="0.2">
      <c r="A327" s="575" t="s">
        <v>767</v>
      </c>
      <c r="B327" s="657" t="s">
        <v>2304</v>
      </c>
      <c r="C327" s="1823" t="s">
        <v>2305</v>
      </c>
      <c r="D327" s="1823"/>
      <c r="E327" s="1823"/>
      <c r="F327" s="573" t="s">
        <v>1687</v>
      </c>
      <c r="G327" s="573"/>
      <c r="H327" s="573"/>
      <c r="I327" s="573" t="s">
        <v>2306</v>
      </c>
      <c r="J327" s="572">
        <v>6920.41</v>
      </c>
      <c r="K327" s="573"/>
      <c r="L327" s="572">
        <v>4623.53</v>
      </c>
      <c r="M327" s="571"/>
      <c r="N327" s="570"/>
      <c r="V327" s="674"/>
      <c r="W327" s="675" t="s">
        <v>2305</v>
      </c>
      <c r="AC327" s="675"/>
      <c r="AD327" s="675"/>
      <c r="AF327" s="675"/>
      <c r="AG327" s="675"/>
    </row>
    <row r="328" spans="1:33" s="536" customFormat="1" ht="12" x14ac:dyDescent="0.2">
      <c r="A328" s="569"/>
      <c r="B328" s="656"/>
      <c r="C328" s="661" t="s">
        <v>1658</v>
      </c>
      <c r="D328" s="662"/>
      <c r="E328" s="662"/>
      <c r="F328" s="563"/>
      <c r="G328" s="563"/>
      <c r="H328" s="563"/>
      <c r="I328" s="563"/>
      <c r="J328" s="566"/>
      <c r="K328" s="563"/>
      <c r="L328" s="566"/>
      <c r="M328" s="565"/>
      <c r="N328" s="564"/>
      <c r="V328" s="674"/>
      <c r="W328" s="675"/>
      <c r="AC328" s="675"/>
      <c r="AD328" s="675"/>
      <c r="AF328" s="675"/>
      <c r="AG328" s="675"/>
    </row>
    <row r="329" spans="1:33" s="536" customFormat="1" ht="12" x14ac:dyDescent="0.2">
      <c r="A329" s="676"/>
      <c r="B329" s="655"/>
      <c r="C329" s="1822" t="s">
        <v>2307</v>
      </c>
      <c r="D329" s="1822"/>
      <c r="E329" s="1822"/>
      <c r="F329" s="1822"/>
      <c r="G329" s="1822"/>
      <c r="H329" s="1822"/>
      <c r="I329" s="1822"/>
      <c r="J329" s="1822"/>
      <c r="K329" s="1822"/>
      <c r="L329" s="1822"/>
      <c r="M329" s="1822"/>
      <c r="N329" s="1827"/>
      <c r="V329" s="674"/>
      <c r="W329" s="675"/>
      <c r="X329" s="537" t="s">
        <v>2307</v>
      </c>
      <c r="AC329" s="675"/>
      <c r="AD329" s="675"/>
      <c r="AF329" s="675"/>
      <c r="AG329" s="675"/>
    </row>
    <row r="330" spans="1:33" s="536" customFormat="1" ht="56.25" x14ac:dyDescent="0.2">
      <c r="A330" s="575" t="s">
        <v>768</v>
      </c>
      <c r="B330" s="657" t="s">
        <v>2308</v>
      </c>
      <c r="C330" s="1823" t="s">
        <v>2309</v>
      </c>
      <c r="D330" s="1823"/>
      <c r="E330" s="1823"/>
      <c r="F330" s="573" t="s">
        <v>1110</v>
      </c>
      <c r="G330" s="573"/>
      <c r="H330" s="573"/>
      <c r="I330" s="573" t="s">
        <v>646</v>
      </c>
      <c r="J330" s="572"/>
      <c r="K330" s="573"/>
      <c r="L330" s="572"/>
      <c r="M330" s="571"/>
      <c r="N330" s="570"/>
      <c r="V330" s="674"/>
      <c r="W330" s="675" t="s">
        <v>2309</v>
      </c>
      <c r="AC330" s="675"/>
      <c r="AD330" s="675"/>
      <c r="AF330" s="675"/>
      <c r="AG330" s="675"/>
    </row>
    <row r="331" spans="1:33" s="536" customFormat="1" ht="12" x14ac:dyDescent="0.2">
      <c r="A331" s="676"/>
      <c r="B331" s="655"/>
      <c r="C331" s="1822" t="s">
        <v>1697</v>
      </c>
      <c r="D331" s="1822"/>
      <c r="E331" s="1822"/>
      <c r="F331" s="1822"/>
      <c r="G331" s="1822"/>
      <c r="H331" s="1822"/>
      <c r="I331" s="1822"/>
      <c r="J331" s="1822"/>
      <c r="K331" s="1822"/>
      <c r="L331" s="1822"/>
      <c r="M331" s="1822"/>
      <c r="N331" s="1827"/>
      <c r="V331" s="674"/>
      <c r="W331" s="675"/>
      <c r="X331" s="537" t="s">
        <v>1697</v>
      </c>
      <c r="AC331" s="675"/>
      <c r="AD331" s="675"/>
      <c r="AF331" s="675"/>
      <c r="AG331" s="675"/>
    </row>
    <row r="332" spans="1:33" s="536" customFormat="1" ht="33.75" x14ac:dyDescent="0.2">
      <c r="A332" s="609"/>
      <c r="B332" s="552" t="s">
        <v>310</v>
      </c>
      <c r="C332" s="1822" t="s">
        <v>311</v>
      </c>
      <c r="D332" s="1822"/>
      <c r="E332" s="1822"/>
      <c r="F332" s="1822"/>
      <c r="G332" s="1822"/>
      <c r="H332" s="1822"/>
      <c r="I332" s="1822"/>
      <c r="J332" s="1822"/>
      <c r="K332" s="1822"/>
      <c r="L332" s="1822"/>
      <c r="M332" s="1822"/>
      <c r="N332" s="1827"/>
      <c r="V332" s="674"/>
      <c r="W332" s="675"/>
      <c r="Y332" s="537" t="s">
        <v>311</v>
      </c>
      <c r="AC332" s="675"/>
      <c r="AD332" s="675"/>
      <c r="AF332" s="675"/>
      <c r="AG332" s="675"/>
    </row>
    <row r="333" spans="1:33" s="536" customFormat="1" ht="12" x14ac:dyDescent="0.2">
      <c r="A333" s="605"/>
      <c r="B333" s="552" t="s">
        <v>185</v>
      </c>
      <c r="C333" s="1822" t="s">
        <v>312</v>
      </c>
      <c r="D333" s="1822"/>
      <c r="E333" s="1822"/>
      <c r="F333" s="562"/>
      <c r="G333" s="562"/>
      <c r="H333" s="562"/>
      <c r="I333" s="562"/>
      <c r="J333" s="604">
        <v>84.22</v>
      </c>
      <c r="K333" s="562" t="s">
        <v>313</v>
      </c>
      <c r="L333" s="604">
        <v>12.63</v>
      </c>
      <c r="M333" s="603"/>
      <c r="N333" s="602"/>
      <c r="V333" s="674"/>
      <c r="W333" s="675"/>
      <c r="Z333" s="537" t="s">
        <v>312</v>
      </c>
      <c r="AC333" s="675"/>
      <c r="AD333" s="675"/>
      <c r="AF333" s="675"/>
      <c r="AG333" s="675"/>
    </row>
    <row r="334" spans="1:33" s="536" customFormat="1" ht="12" x14ac:dyDescent="0.2">
      <c r="A334" s="605"/>
      <c r="B334" s="552" t="s">
        <v>186</v>
      </c>
      <c r="C334" s="1822" t="s">
        <v>344</v>
      </c>
      <c r="D334" s="1822"/>
      <c r="E334" s="1822"/>
      <c r="F334" s="562"/>
      <c r="G334" s="562"/>
      <c r="H334" s="562"/>
      <c r="I334" s="562"/>
      <c r="J334" s="604">
        <v>10.86</v>
      </c>
      <c r="K334" s="562" t="s">
        <v>313</v>
      </c>
      <c r="L334" s="604">
        <v>1.63</v>
      </c>
      <c r="M334" s="603"/>
      <c r="N334" s="602"/>
      <c r="V334" s="674"/>
      <c r="W334" s="675"/>
      <c r="Z334" s="537" t="s">
        <v>344</v>
      </c>
      <c r="AC334" s="675"/>
      <c r="AD334" s="675"/>
      <c r="AF334" s="675"/>
      <c r="AG334" s="675"/>
    </row>
    <row r="335" spans="1:33" s="536" customFormat="1" ht="12" x14ac:dyDescent="0.2">
      <c r="A335" s="605"/>
      <c r="B335" s="552" t="s">
        <v>187</v>
      </c>
      <c r="C335" s="1822" t="s">
        <v>345</v>
      </c>
      <c r="D335" s="1822"/>
      <c r="E335" s="1822"/>
      <c r="F335" s="562"/>
      <c r="G335" s="562"/>
      <c r="H335" s="562"/>
      <c r="I335" s="562"/>
      <c r="J335" s="604">
        <v>1.51</v>
      </c>
      <c r="K335" s="562" t="s">
        <v>313</v>
      </c>
      <c r="L335" s="604">
        <v>0.23</v>
      </c>
      <c r="M335" s="603"/>
      <c r="N335" s="602"/>
      <c r="V335" s="674"/>
      <c r="W335" s="675"/>
      <c r="Z335" s="537" t="s">
        <v>345</v>
      </c>
      <c r="AC335" s="675"/>
      <c r="AD335" s="675"/>
      <c r="AF335" s="675"/>
      <c r="AG335" s="675"/>
    </row>
    <row r="336" spans="1:33" s="536" customFormat="1" ht="12" x14ac:dyDescent="0.2">
      <c r="A336" s="605"/>
      <c r="B336" s="552" t="s">
        <v>188</v>
      </c>
      <c r="C336" s="1822" t="s">
        <v>475</v>
      </c>
      <c r="D336" s="1822"/>
      <c r="E336" s="1822"/>
      <c r="F336" s="562"/>
      <c r="G336" s="562"/>
      <c r="H336" s="562"/>
      <c r="I336" s="562"/>
      <c r="J336" s="604">
        <v>36.43</v>
      </c>
      <c r="K336" s="562"/>
      <c r="L336" s="604">
        <v>4.37</v>
      </c>
      <c r="M336" s="603"/>
      <c r="N336" s="602"/>
      <c r="V336" s="674"/>
      <c r="W336" s="675"/>
      <c r="Z336" s="537" t="s">
        <v>475</v>
      </c>
      <c r="AC336" s="675"/>
      <c r="AD336" s="675"/>
      <c r="AF336" s="675"/>
      <c r="AG336" s="675"/>
    </row>
    <row r="337" spans="1:33" s="536" customFormat="1" ht="12" x14ac:dyDescent="0.2">
      <c r="A337" s="605"/>
      <c r="B337" s="552"/>
      <c r="C337" s="1822" t="s">
        <v>314</v>
      </c>
      <c r="D337" s="1822"/>
      <c r="E337" s="1822"/>
      <c r="F337" s="562" t="s">
        <v>315</v>
      </c>
      <c r="G337" s="562" t="s">
        <v>2310</v>
      </c>
      <c r="H337" s="562" t="s">
        <v>313</v>
      </c>
      <c r="I337" s="562" t="s">
        <v>2311</v>
      </c>
      <c r="J337" s="604"/>
      <c r="K337" s="562"/>
      <c r="L337" s="604"/>
      <c r="M337" s="603"/>
      <c r="N337" s="602"/>
      <c r="V337" s="674"/>
      <c r="W337" s="675"/>
      <c r="AA337" s="537" t="s">
        <v>314</v>
      </c>
      <c r="AC337" s="675"/>
      <c r="AD337" s="675"/>
      <c r="AF337" s="675"/>
      <c r="AG337" s="675"/>
    </row>
    <row r="338" spans="1:33" s="536" customFormat="1" ht="12" x14ac:dyDescent="0.2">
      <c r="A338" s="605"/>
      <c r="B338" s="552"/>
      <c r="C338" s="1822" t="s">
        <v>348</v>
      </c>
      <c r="D338" s="1822"/>
      <c r="E338" s="1822"/>
      <c r="F338" s="562" t="s">
        <v>315</v>
      </c>
      <c r="G338" s="562" t="s">
        <v>646</v>
      </c>
      <c r="H338" s="562" t="s">
        <v>313</v>
      </c>
      <c r="I338" s="562" t="s">
        <v>2312</v>
      </c>
      <c r="J338" s="604"/>
      <c r="K338" s="562"/>
      <c r="L338" s="604"/>
      <c r="M338" s="603"/>
      <c r="N338" s="602"/>
      <c r="V338" s="674"/>
      <c r="W338" s="675"/>
      <c r="AA338" s="537" t="s">
        <v>348</v>
      </c>
      <c r="AC338" s="675"/>
      <c r="AD338" s="675"/>
      <c r="AF338" s="675"/>
      <c r="AG338" s="675"/>
    </row>
    <row r="339" spans="1:33" s="536" customFormat="1" ht="12" x14ac:dyDescent="0.2">
      <c r="A339" s="605"/>
      <c r="B339" s="552"/>
      <c r="C339" s="1828" t="s">
        <v>318</v>
      </c>
      <c r="D339" s="1828"/>
      <c r="E339" s="1828"/>
      <c r="F339" s="608"/>
      <c r="G339" s="608"/>
      <c r="H339" s="608"/>
      <c r="I339" s="608"/>
      <c r="J339" s="607">
        <v>131.51</v>
      </c>
      <c r="K339" s="608"/>
      <c r="L339" s="607">
        <v>18.63</v>
      </c>
      <c r="M339" s="601"/>
      <c r="N339" s="606"/>
      <c r="V339" s="674"/>
      <c r="W339" s="675"/>
      <c r="AB339" s="537" t="s">
        <v>318</v>
      </c>
      <c r="AC339" s="675"/>
      <c r="AD339" s="675"/>
      <c r="AF339" s="675"/>
      <c r="AG339" s="675"/>
    </row>
    <row r="340" spans="1:33" s="536" customFormat="1" ht="12" x14ac:dyDescent="0.2">
      <c r="A340" s="605"/>
      <c r="B340" s="552"/>
      <c r="C340" s="1822" t="s">
        <v>319</v>
      </c>
      <c r="D340" s="1822"/>
      <c r="E340" s="1822"/>
      <c r="F340" s="562"/>
      <c r="G340" s="562"/>
      <c r="H340" s="562"/>
      <c r="I340" s="562"/>
      <c r="J340" s="604"/>
      <c r="K340" s="562"/>
      <c r="L340" s="604">
        <v>12.86</v>
      </c>
      <c r="M340" s="603"/>
      <c r="N340" s="602"/>
      <c r="V340" s="674"/>
      <c r="W340" s="675"/>
      <c r="AA340" s="537" t="s">
        <v>319</v>
      </c>
      <c r="AC340" s="675"/>
      <c r="AD340" s="675"/>
      <c r="AF340" s="675"/>
      <c r="AG340" s="675"/>
    </row>
    <row r="341" spans="1:33" s="536" customFormat="1" ht="33.75" x14ac:dyDescent="0.2">
      <c r="A341" s="605"/>
      <c r="B341" s="552" t="s">
        <v>1631</v>
      </c>
      <c r="C341" s="1822" t="s">
        <v>1632</v>
      </c>
      <c r="D341" s="1822"/>
      <c r="E341" s="1822"/>
      <c r="F341" s="562" t="s">
        <v>322</v>
      </c>
      <c r="G341" s="562" t="s">
        <v>1633</v>
      </c>
      <c r="H341" s="562"/>
      <c r="I341" s="562" t="s">
        <v>1633</v>
      </c>
      <c r="J341" s="604"/>
      <c r="K341" s="562"/>
      <c r="L341" s="604">
        <v>12.47</v>
      </c>
      <c r="M341" s="603"/>
      <c r="N341" s="602"/>
      <c r="V341" s="674"/>
      <c r="W341" s="675"/>
      <c r="AA341" s="537" t="s">
        <v>1632</v>
      </c>
      <c r="AC341" s="675"/>
      <c r="AD341" s="675"/>
      <c r="AF341" s="675"/>
      <c r="AG341" s="675"/>
    </row>
    <row r="342" spans="1:33" s="536" customFormat="1" ht="33.75" x14ac:dyDescent="0.2">
      <c r="A342" s="605"/>
      <c r="B342" s="552" t="s">
        <v>1634</v>
      </c>
      <c r="C342" s="1822" t="s">
        <v>1635</v>
      </c>
      <c r="D342" s="1822"/>
      <c r="E342" s="1822"/>
      <c r="F342" s="562" t="s">
        <v>322</v>
      </c>
      <c r="G342" s="562" t="s">
        <v>786</v>
      </c>
      <c r="H342" s="562"/>
      <c r="I342" s="562" t="s">
        <v>786</v>
      </c>
      <c r="J342" s="604"/>
      <c r="K342" s="562"/>
      <c r="L342" s="604">
        <v>6.56</v>
      </c>
      <c r="M342" s="603"/>
      <c r="N342" s="602"/>
      <c r="V342" s="674"/>
      <c r="W342" s="675"/>
      <c r="AA342" s="537" t="s">
        <v>1635</v>
      </c>
      <c r="AC342" s="675"/>
      <c r="AD342" s="675"/>
      <c r="AF342" s="675"/>
      <c r="AG342" s="675"/>
    </row>
    <row r="343" spans="1:33" s="536" customFormat="1" ht="12" x14ac:dyDescent="0.2">
      <c r="A343" s="569"/>
      <c r="B343" s="656"/>
      <c r="C343" s="1823" t="s">
        <v>327</v>
      </c>
      <c r="D343" s="1823"/>
      <c r="E343" s="1823"/>
      <c r="F343" s="573"/>
      <c r="G343" s="573"/>
      <c r="H343" s="573"/>
      <c r="I343" s="573"/>
      <c r="J343" s="572"/>
      <c r="K343" s="573"/>
      <c r="L343" s="572">
        <v>37.659999999999997</v>
      </c>
      <c r="M343" s="601"/>
      <c r="N343" s="570"/>
      <c r="V343" s="674"/>
      <c r="W343" s="675"/>
      <c r="AC343" s="675" t="s">
        <v>327</v>
      </c>
      <c r="AD343" s="675"/>
      <c r="AF343" s="675"/>
      <c r="AG343" s="675"/>
    </row>
    <row r="344" spans="1:33" s="536" customFormat="1" ht="22.5" x14ac:dyDescent="0.2">
      <c r="A344" s="575" t="s">
        <v>769</v>
      </c>
      <c r="B344" s="657" t="s">
        <v>2313</v>
      </c>
      <c r="C344" s="1823" t="s">
        <v>2314</v>
      </c>
      <c r="D344" s="1823"/>
      <c r="E344" s="1823"/>
      <c r="F344" s="573" t="s">
        <v>1687</v>
      </c>
      <c r="G344" s="573"/>
      <c r="H344" s="573"/>
      <c r="I344" s="573" t="s">
        <v>1800</v>
      </c>
      <c r="J344" s="572">
        <v>15727.78</v>
      </c>
      <c r="K344" s="573"/>
      <c r="L344" s="572">
        <v>192.51</v>
      </c>
      <c r="M344" s="571"/>
      <c r="N344" s="570"/>
      <c r="V344" s="674"/>
      <c r="W344" s="675" t="s">
        <v>2314</v>
      </c>
      <c r="AC344" s="675"/>
      <c r="AD344" s="675"/>
      <c r="AF344" s="675"/>
      <c r="AG344" s="675"/>
    </row>
    <row r="345" spans="1:33" s="536" customFormat="1" ht="12" x14ac:dyDescent="0.2">
      <c r="A345" s="569"/>
      <c r="B345" s="656"/>
      <c r="C345" s="661" t="s">
        <v>1658</v>
      </c>
      <c r="D345" s="662"/>
      <c r="E345" s="662"/>
      <c r="F345" s="563"/>
      <c r="G345" s="563"/>
      <c r="H345" s="563"/>
      <c r="I345" s="563"/>
      <c r="J345" s="566"/>
      <c r="K345" s="563"/>
      <c r="L345" s="566"/>
      <c r="M345" s="565"/>
      <c r="N345" s="564"/>
      <c r="V345" s="674"/>
      <c r="W345" s="675"/>
      <c r="AC345" s="675"/>
      <c r="AD345" s="675"/>
      <c r="AF345" s="675"/>
      <c r="AG345" s="675"/>
    </row>
    <row r="346" spans="1:33" s="536" customFormat="1" ht="12" x14ac:dyDescent="0.2">
      <c r="A346" s="676"/>
      <c r="B346" s="655"/>
      <c r="C346" s="1822" t="s">
        <v>1801</v>
      </c>
      <c r="D346" s="1822"/>
      <c r="E346" s="1822"/>
      <c r="F346" s="1822"/>
      <c r="G346" s="1822"/>
      <c r="H346" s="1822"/>
      <c r="I346" s="1822"/>
      <c r="J346" s="1822"/>
      <c r="K346" s="1822"/>
      <c r="L346" s="1822"/>
      <c r="M346" s="1822"/>
      <c r="N346" s="1827"/>
      <c r="V346" s="674"/>
      <c r="W346" s="675"/>
      <c r="X346" s="537" t="s">
        <v>1801</v>
      </c>
      <c r="AC346" s="675"/>
      <c r="AD346" s="675"/>
      <c r="AF346" s="675"/>
      <c r="AG346" s="675"/>
    </row>
    <row r="347" spans="1:33" s="536" customFormat="1" ht="56.25" x14ac:dyDescent="0.2">
      <c r="A347" s="575" t="s">
        <v>770</v>
      </c>
      <c r="B347" s="657" t="s">
        <v>2315</v>
      </c>
      <c r="C347" s="1823" t="s">
        <v>2316</v>
      </c>
      <c r="D347" s="1823"/>
      <c r="E347" s="1823"/>
      <c r="F347" s="573" t="s">
        <v>1110</v>
      </c>
      <c r="G347" s="573"/>
      <c r="H347" s="573"/>
      <c r="I347" s="573" t="s">
        <v>856</v>
      </c>
      <c r="J347" s="572"/>
      <c r="K347" s="573"/>
      <c r="L347" s="572"/>
      <c r="M347" s="571"/>
      <c r="N347" s="570"/>
      <c r="V347" s="674"/>
      <c r="W347" s="675" t="s">
        <v>2316</v>
      </c>
      <c r="AC347" s="675"/>
      <c r="AD347" s="675"/>
      <c r="AF347" s="675"/>
      <c r="AG347" s="675"/>
    </row>
    <row r="348" spans="1:33" s="536" customFormat="1" ht="12" x14ac:dyDescent="0.2">
      <c r="A348" s="676"/>
      <c r="B348" s="655"/>
      <c r="C348" s="1822" t="s">
        <v>2317</v>
      </c>
      <c r="D348" s="1822"/>
      <c r="E348" s="1822"/>
      <c r="F348" s="1822"/>
      <c r="G348" s="1822"/>
      <c r="H348" s="1822"/>
      <c r="I348" s="1822"/>
      <c r="J348" s="1822"/>
      <c r="K348" s="1822"/>
      <c r="L348" s="1822"/>
      <c r="M348" s="1822"/>
      <c r="N348" s="1827"/>
      <c r="V348" s="674"/>
      <c r="W348" s="675"/>
      <c r="X348" s="537" t="s">
        <v>2317</v>
      </c>
      <c r="AC348" s="675"/>
      <c r="AD348" s="675"/>
      <c r="AF348" s="675"/>
      <c r="AG348" s="675"/>
    </row>
    <row r="349" spans="1:33" s="536" customFormat="1" ht="33.75" x14ac:dyDescent="0.2">
      <c r="A349" s="609"/>
      <c r="B349" s="552" t="s">
        <v>310</v>
      </c>
      <c r="C349" s="1822" t="s">
        <v>311</v>
      </c>
      <c r="D349" s="1822"/>
      <c r="E349" s="1822"/>
      <c r="F349" s="1822"/>
      <c r="G349" s="1822"/>
      <c r="H349" s="1822"/>
      <c r="I349" s="1822"/>
      <c r="J349" s="1822"/>
      <c r="K349" s="1822"/>
      <c r="L349" s="1822"/>
      <c r="M349" s="1822"/>
      <c r="N349" s="1827"/>
      <c r="V349" s="674"/>
      <c r="W349" s="675"/>
      <c r="Y349" s="537" t="s">
        <v>311</v>
      </c>
      <c r="AC349" s="675"/>
      <c r="AD349" s="675"/>
      <c r="AF349" s="675"/>
      <c r="AG349" s="675"/>
    </row>
    <row r="350" spans="1:33" s="536" customFormat="1" ht="12" x14ac:dyDescent="0.2">
      <c r="A350" s="605"/>
      <c r="B350" s="552" t="s">
        <v>185</v>
      </c>
      <c r="C350" s="1822" t="s">
        <v>312</v>
      </c>
      <c r="D350" s="1822"/>
      <c r="E350" s="1822"/>
      <c r="F350" s="562"/>
      <c r="G350" s="562"/>
      <c r="H350" s="562"/>
      <c r="I350" s="562"/>
      <c r="J350" s="604">
        <v>135.36000000000001</v>
      </c>
      <c r="K350" s="562" t="s">
        <v>313</v>
      </c>
      <c r="L350" s="604">
        <v>8.4600000000000009</v>
      </c>
      <c r="M350" s="603"/>
      <c r="N350" s="602"/>
      <c r="V350" s="674"/>
      <c r="W350" s="675"/>
      <c r="Z350" s="537" t="s">
        <v>312</v>
      </c>
      <c r="AC350" s="675"/>
      <c r="AD350" s="675"/>
      <c r="AF350" s="675"/>
      <c r="AG350" s="675"/>
    </row>
    <row r="351" spans="1:33" s="536" customFormat="1" ht="12" x14ac:dyDescent="0.2">
      <c r="A351" s="605"/>
      <c r="B351" s="552" t="s">
        <v>186</v>
      </c>
      <c r="C351" s="1822" t="s">
        <v>344</v>
      </c>
      <c r="D351" s="1822"/>
      <c r="E351" s="1822"/>
      <c r="F351" s="562"/>
      <c r="G351" s="562"/>
      <c r="H351" s="562"/>
      <c r="I351" s="562"/>
      <c r="J351" s="604">
        <v>36.22</v>
      </c>
      <c r="K351" s="562" t="s">
        <v>313</v>
      </c>
      <c r="L351" s="604">
        <v>2.2599999999999998</v>
      </c>
      <c r="M351" s="603"/>
      <c r="N351" s="602"/>
      <c r="V351" s="674"/>
      <c r="W351" s="675"/>
      <c r="Z351" s="537" t="s">
        <v>344</v>
      </c>
      <c r="AC351" s="675"/>
      <c r="AD351" s="675"/>
      <c r="AF351" s="675"/>
      <c r="AG351" s="675"/>
    </row>
    <row r="352" spans="1:33" s="536" customFormat="1" ht="12" x14ac:dyDescent="0.2">
      <c r="A352" s="605"/>
      <c r="B352" s="552" t="s">
        <v>187</v>
      </c>
      <c r="C352" s="1822" t="s">
        <v>345</v>
      </c>
      <c r="D352" s="1822"/>
      <c r="E352" s="1822"/>
      <c r="F352" s="562"/>
      <c r="G352" s="562"/>
      <c r="H352" s="562"/>
      <c r="I352" s="562"/>
      <c r="J352" s="604">
        <v>5.0199999999999996</v>
      </c>
      <c r="K352" s="562" t="s">
        <v>313</v>
      </c>
      <c r="L352" s="604">
        <v>0.31</v>
      </c>
      <c r="M352" s="603"/>
      <c r="N352" s="602"/>
      <c r="V352" s="674"/>
      <c r="W352" s="675"/>
      <c r="Z352" s="537" t="s">
        <v>345</v>
      </c>
      <c r="AC352" s="675"/>
      <c r="AD352" s="675"/>
      <c r="AF352" s="675"/>
      <c r="AG352" s="675"/>
    </row>
    <row r="353" spans="1:33" s="536" customFormat="1" ht="12" x14ac:dyDescent="0.2">
      <c r="A353" s="605"/>
      <c r="B353" s="552" t="s">
        <v>188</v>
      </c>
      <c r="C353" s="1822" t="s">
        <v>475</v>
      </c>
      <c r="D353" s="1822"/>
      <c r="E353" s="1822"/>
      <c r="F353" s="562"/>
      <c r="G353" s="562"/>
      <c r="H353" s="562"/>
      <c r="I353" s="562"/>
      <c r="J353" s="604">
        <v>91.11</v>
      </c>
      <c r="K353" s="562"/>
      <c r="L353" s="604">
        <v>4.5599999999999996</v>
      </c>
      <c r="M353" s="603"/>
      <c r="N353" s="602"/>
      <c r="V353" s="674"/>
      <c r="W353" s="675"/>
      <c r="Z353" s="537" t="s">
        <v>475</v>
      </c>
      <c r="AC353" s="675"/>
      <c r="AD353" s="675"/>
      <c r="AF353" s="675"/>
      <c r="AG353" s="675"/>
    </row>
    <row r="354" spans="1:33" s="536" customFormat="1" ht="12" x14ac:dyDescent="0.2">
      <c r="A354" s="605"/>
      <c r="B354" s="552"/>
      <c r="C354" s="1822" t="s">
        <v>314</v>
      </c>
      <c r="D354" s="1822"/>
      <c r="E354" s="1822"/>
      <c r="F354" s="562" t="s">
        <v>315</v>
      </c>
      <c r="G354" s="562" t="s">
        <v>1028</v>
      </c>
      <c r="H354" s="562" t="s">
        <v>313</v>
      </c>
      <c r="I354" s="562" t="s">
        <v>1533</v>
      </c>
      <c r="J354" s="604"/>
      <c r="K354" s="562"/>
      <c r="L354" s="604"/>
      <c r="M354" s="603"/>
      <c r="N354" s="602"/>
      <c r="V354" s="674"/>
      <c r="W354" s="675"/>
      <c r="AA354" s="537" t="s">
        <v>314</v>
      </c>
      <c r="AC354" s="675"/>
      <c r="AD354" s="675"/>
      <c r="AF354" s="675"/>
      <c r="AG354" s="675"/>
    </row>
    <row r="355" spans="1:33" s="536" customFormat="1" ht="12" x14ac:dyDescent="0.2">
      <c r="A355" s="605"/>
      <c r="B355" s="552"/>
      <c r="C355" s="1822" t="s">
        <v>348</v>
      </c>
      <c r="D355" s="1822"/>
      <c r="E355" s="1822"/>
      <c r="F355" s="562" t="s">
        <v>315</v>
      </c>
      <c r="G355" s="562" t="s">
        <v>947</v>
      </c>
      <c r="H355" s="562" t="s">
        <v>313</v>
      </c>
      <c r="I355" s="562" t="s">
        <v>2258</v>
      </c>
      <c r="J355" s="604"/>
      <c r="K355" s="562"/>
      <c r="L355" s="604"/>
      <c r="M355" s="603"/>
      <c r="N355" s="602"/>
      <c r="V355" s="674"/>
      <c r="W355" s="675"/>
      <c r="AA355" s="537" t="s">
        <v>348</v>
      </c>
      <c r="AC355" s="675"/>
      <c r="AD355" s="675"/>
      <c r="AF355" s="675"/>
      <c r="AG355" s="675"/>
    </row>
    <row r="356" spans="1:33" s="536" customFormat="1" ht="12" x14ac:dyDescent="0.2">
      <c r="A356" s="605"/>
      <c r="B356" s="552"/>
      <c r="C356" s="1828" t="s">
        <v>318</v>
      </c>
      <c r="D356" s="1828"/>
      <c r="E356" s="1828"/>
      <c r="F356" s="608"/>
      <c r="G356" s="608"/>
      <c r="H356" s="608"/>
      <c r="I356" s="608"/>
      <c r="J356" s="607">
        <v>262.69</v>
      </c>
      <c r="K356" s="608"/>
      <c r="L356" s="607">
        <v>15.28</v>
      </c>
      <c r="M356" s="601"/>
      <c r="N356" s="606"/>
      <c r="V356" s="674"/>
      <c r="W356" s="675"/>
      <c r="AB356" s="537" t="s">
        <v>318</v>
      </c>
      <c r="AC356" s="675"/>
      <c r="AD356" s="675"/>
      <c r="AF356" s="675"/>
      <c r="AG356" s="675"/>
    </row>
    <row r="357" spans="1:33" s="536" customFormat="1" ht="12" x14ac:dyDescent="0.2">
      <c r="A357" s="605"/>
      <c r="B357" s="552"/>
      <c r="C357" s="1822" t="s">
        <v>319</v>
      </c>
      <c r="D357" s="1822"/>
      <c r="E357" s="1822"/>
      <c r="F357" s="562"/>
      <c r="G357" s="562"/>
      <c r="H357" s="562"/>
      <c r="I357" s="562"/>
      <c r="J357" s="604"/>
      <c r="K357" s="562"/>
      <c r="L357" s="604">
        <v>8.77</v>
      </c>
      <c r="M357" s="603"/>
      <c r="N357" s="602"/>
      <c r="V357" s="674"/>
      <c r="W357" s="675"/>
      <c r="AA357" s="537" t="s">
        <v>319</v>
      </c>
      <c r="AC357" s="675"/>
      <c r="AD357" s="675"/>
      <c r="AF357" s="675"/>
      <c r="AG357" s="675"/>
    </row>
    <row r="358" spans="1:33" s="536" customFormat="1" ht="33.75" x14ac:dyDescent="0.2">
      <c r="A358" s="605"/>
      <c r="B358" s="552" t="s">
        <v>1631</v>
      </c>
      <c r="C358" s="1822" t="s">
        <v>1632</v>
      </c>
      <c r="D358" s="1822"/>
      <c r="E358" s="1822"/>
      <c r="F358" s="562" t="s">
        <v>322</v>
      </c>
      <c r="G358" s="562" t="s">
        <v>1633</v>
      </c>
      <c r="H358" s="562"/>
      <c r="I358" s="562" t="s">
        <v>1633</v>
      </c>
      <c r="J358" s="604"/>
      <c r="K358" s="562"/>
      <c r="L358" s="604">
        <v>8.51</v>
      </c>
      <c r="M358" s="603"/>
      <c r="N358" s="602"/>
      <c r="V358" s="674"/>
      <c r="W358" s="675"/>
      <c r="AA358" s="537" t="s">
        <v>1632</v>
      </c>
      <c r="AC358" s="675"/>
      <c r="AD358" s="675"/>
      <c r="AF358" s="675"/>
      <c r="AG358" s="675"/>
    </row>
    <row r="359" spans="1:33" s="536" customFormat="1" ht="33.75" x14ac:dyDescent="0.2">
      <c r="A359" s="605"/>
      <c r="B359" s="552" t="s">
        <v>1634</v>
      </c>
      <c r="C359" s="1822" t="s">
        <v>1635</v>
      </c>
      <c r="D359" s="1822"/>
      <c r="E359" s="1822"/>
      <c r="F359" s="562" t="s">
        <v>322</v>
      </c>
      <c r="G359" s="562" t="s">
        <v>786</v>
      </c>
      <c r="H359" s="562"/>
      <c r="I359" s="562" t="s">
        <v>786</v>
      </c>
      <c r="J359" s="604"/>
      <c r="K359" s="562"/>
      <c r="L359" s="604">
        <v>4.47</v>
      </c>
      <c r="M359" s="603"/>
      <c r="N359" s="602"/>
      <c r="V359" s="674"/>
      <c r="W359" s="675"/>
      <c r="AA359" s="537" t="s">
        <v>1635</v>
      </c>
      <c r="AC359" s="675"/>
      <c r="AD359" s="675"/>
      <c r="AF359" s="675"/>
      <c r="AG359" s="675"/>
    </row>
    <row r="360" spans="1:33" s="536" customFormat="1" ht="12" x14ac:dyDescent="0.2">
      <c r="A360" s="569"/>
      <c r="B360" s="656"/>
      <c r="C360" s="1823" t="s">
        <v>327</v>
      </c>
      <c r="D360" s="1823"/>
      <c r="E360" s="1823"/>
      <c r="F360" s="573"/>
      <c r="G360" s="573"/>
      <c r="H360" s="573"/>
      <c r="I360" s="573"/>
      <c r="J360" s="572"/>
      <c r="K360" s="573"/>
      <c r="L360" s="572">
        <v>28.26</v>
      </c>
      <c r="M360" s="601"/>
      <c r="N360" s="570"/>
      <c r="V360" s="674"/>
      <c r="W360" s="675"/>
      <c r="AC360" s="675" t="s">
        <v>327</v>
      </c>
      <c r="AD360" s="675"/>
      <c r="AF360" s="675"/>
      <c r="AG360" s="675"/>
    </row>
    <row r="361" spans="1:33" s="536" customFormat="1" ht="22.5" x14ac:dyDescent="0.2">
      <c r="A361" s="575" t="s">
        <v>771</v>
      </c>
      <c r="B361" s="657" t="s">
        <v>2318</v>
      </c>
      <c r="C361" s="1823" t="s">
        <v>2319</v>
      </c>
      <c r="D361" s="1823"/>
      <c r="E361" s="1823"/>
      <c r="F361" s="573" t="s">
        <v>1687</v>
      </c>
      <c r="G361" s="573"/>
      <c r="H361" s="573"/>
      <c r="I361" s="573" t="s">
        <v>2320</v>
      </c>
      <c r="J361" s="572">
        <v>69309.47</v>
      </c>
      <c r="K361" s="573"/>
      <c r="L361" s="572">
        <v>353.48</v>
      </c>
      <c r="M361" s="571"/>
      <c r="N361" s="570"/>
      <c r="V361" s="674"/>
      <c r="W361" s="675" t="s">
        <v>2319</v>
      </c>
      <c r="AC361" s="675"/>
      <c r="AD361" s="675"/>
      <c r="AF361" s="675"/>
      <c r="AG361" s="675"/>
    </row>
    <row r="362" spans="1:33" s="536" customFormat="1" ht="12" x14ac:dyDescent="0.2">
      <c r="A362" s="569"/>
      <c r="B362" s="656"/>
      <c r="C362" s="661" t="s">
        <v>1658</v>
      </c>
      <c r="D362" s="662"/>
      <c r="E362" s="662"/>
      <c r="F362" s="563"/>
      <c r="G362" s="563"/>
      <c r="H362" s="563"/>
      <c r="I362" s="563"/>
      <c r="J362" s="566"/>
      <c r="K362" s="563"/>
      <c r="L362" s="566"/>
      <c r="M362" s="565"/>
      <c r="N362" s="564"/>
      <c r="V362" s="674"/>
      <c r="W362" s="675"/>
      <c r="AC362" s="675"/>
      <c r="AD362" s="675"/>
      <c r="AF362" s="675"/>
      <c r="AG362" s="675"/>
    </row>
    <row r="363" spans="1:33" s="536" customFormat="1" ht="12" x14ac:dyDescent="0.2">
      <c r="A363" s="676"/>
      <c r="B363" s="655"/>
      <c r="C363" s="1822" t="s">
        <v>2321</v>
      </c>
      <c r="D363" s="1822"/>
      <c r="E363" s="1822"/>
      <c r="F363" s="1822"/>
      <c r="G363" s="1822"/>
      <c r="H363" s="1822"/>
      <c r="I363" s="1822"/>
      <c r="J363" s="1822"/>
      <c r="K363" s="1822"/>
      <c r="L363" s="1822"/>
      <c r="M363" s="1822"/>
      <c r="N363" s="1827"/>
      <c r="V363" s="674"/>
      <c r="W363" s="675"/>
      <c r="X363" s="537" t="s">
        <v>2321</v>
      </c>
      <c r="AC363" s="675"/>
      <c r="AD363" s="675"/>
      <c r="AF363" s="675"/>
      <c r="AG363" s="675"/>
    </row>
    <row r="364" spans="1:33" s="536" customFormat="1" ht="12" x14ac:dyDescent="0.2">
      <c r="A364" s="575" t="s">
        <v>772</v>
      </c>
      <c r="B364" s="657" t="s">
        <v>1690</v>
      </c>
      <c r="C364" s="1823" t="s">
        <v>1691</v>
      </c>
      <c r="D364" s="1823"/>
      <c r="E364" s="1823"/>
      <c r="F364" s="573" t="s">
        <v>617</v>
      </c>
      <c r="G364" s="573"/>
      <c r="H364" s="573"/>
      <c r="I364" s="573" t="s">
        <v>844</v>
      </c>
      <c r="J364" s="572"/>
      <c r="K364" s="573"/>
      <c r="L364" s="572"/>
      <c r="M364" s="571"/>
      <c r="N364" s="570"/>
      <c r="V364" s="674"/>
      <c r="W364" s="675" t="s">
        <v>1691</v>
      </c>
      <c r="AC364" s="675"/>
      <c r="AD364" s="675"/>
      <c r="AF364" s="675"/>
      <c r="AG364" s="675"/>
    </row>
    <row r="365" spans="1:33" s="536" customFormat="1" ht="33.75" x14ac:dyDescent="0.2">
      <c r="A365" s="609"/>
      <c r="B365" s="552" t="s">
        <v>310</v>
      </c>
      <c r="C365" s="1822" t="s">
        <v>311</v>
      </c>
      <c r="D365" s="1822"/>
      <c r="E365" s="1822"/>
      <c r="F365" s="1822"/>
      <c r="G365" s="1822"/>
      <c r="H365" s="1822"/>
      <c r="I365" s="1822"/>
      <c r="J365" s="1822"/>
      <c r="K365" s="1822"/>
      <c r="L365" s="1822"/>
      <c r="M365" s="1822"/>
      <c r="N365" s="1827"/>
      <c r="V365" s="674"/>
      <c r="W365" s="675"/>
      <c r="Y365" s="537" t="s">
        <v>311</v>
      </c>
      <c r="AC365" s="675"/>
      <c r="AD365" s="675"/>
      <c r="AF365" s="675"/>
      <c r="AG365" s="675"/>
    </row>
    <row r="366" spans="1:33" s="536" customFormat="1" ht="12" x14ac:dyDescent="0.2">
      <c r="A366" s="605"/>
      <c r="B366" s="552" t="s">
        <v>185</v>
      </c>
      <c r="C366" s="1822" t="s">
        <v>312</v>
      </c>
      <c r="D366" s="1822"/>
      <c r="E366" s="1822"/>
      <c r="F366" s="562"/>
      <c r="G366" s="562"/>
      <c r="H366" s="562"/>
      <c r="I366" s="562"/>
      <c r="J366" s="604">
        <v>4.88</v>
      </c>
      <c r="K366" s="562" t="s">
        <v>313</v>
      </c>
      <c r="L366" s="604">
        <v>610</v>
      </c>
      <c r="M366" s="603"/>
      <c r="N366" s="602"/>
      <c r="V366" s="674"/>
      <c r="W366" s="675"/>
      <c r="Z366" s="537" t="s">
        <v>312</v>
      </c>
      <c r="AC366" s="675"/>
      <c r="AD366" s="675"/>
      <c r="AF366" s="675"/>
      <c r="AG366" s="675"/>
    </row>
    <row r="367" spans="1:33" s="536" customFormat="1" ht="12" x14ac:dyDescent="0.2">
      <c r="A367" s="605"/>
      <c r="B367" s="552" t="s">
        <v>188</v>
      </c>
      <c r="C367" s="1822" t="s">
        <v>475</v>
      </c>
      <c r="D367" s="1822"/>
      <c r="E367" s="1822"/>
      <c r="F367" s="562"/>
      <c r="G367" s="562"/>
      <c r="H367" s="562"/>
      <c r="I367" s="562"/>
      <c r="J367" s="604">
        <v>0.41</v>
      </c>
      <c r="K367" s="562"/>
      <c r="L367" s="604">
        <v>41</v>
      </c>
      <c r="M367" s="603"/>
      <c r="N367" s="602"/>
      <c r="V367" s="674"/>
      <c r="W367" s="675"/>
      <c r="Z367" s="537" t="s">
        <v>475</v>
      </c>
      <c r="AC367" s="675"/>
      <c r="AD367" s="675"/>
      <c r="AF367" s="675"/>
      <c r="AG367" s="675"/>
    </row>
    <row r="368" spans="1:33" s="536" customFormat="1" ht="12" x14ac:dyDescent="0.2">
      <c r="A368" s="605"/>
      <c r="B368" s="552"/>
      <c r="C368" s="1822" t="s">
        <v>314</v>
      </c>
      <c r="D368" s="1822"/>
      <c r="E368" s="1822"/>
      <c r="F368" s="562" t="s">
        <v>315</v>
      </c>
      <c r="G368" s="562" t="s">
        <v>1692</v>
      </c>
      <c r="H368" s="562" t="s">
        <v>313</v>
      </c>
      <c r="I368" s="562" t="s">
        <v>2322</v>
      </c>
      <c r="J368" s="604"/>
      <c r="K368" s="562"/>
      <c r="L368" s="604"/>
      <c r="M368" s="603"/>
      <c r="N368" s="602"/>
      <c r="V368" s="674"/>
      <c r="W368" s="675"/>
      <c r="AA368" s="537" t="s">
        <v>314</v>
      </c>
      <c r="AC368" s="675"/>
      <c r="AD368" s="675"/>
      <c r="AF368" s="675"/>
      <c r="AG368" s="675"/>
    </row>
    <row r="369" spans="1:33" s="536" customFormat="1" ht="12" x14ac:dyDescent="0.2">
      <c r="A369" s="605"/>
      <c r="B369" s="552"/>
      <c r="C369" s="1828" t="s">
        <v>318</v>
      </c>
      <c r="D369" s="1828"/>
      <c r="E369" s="1828"/>
      <c r="F369" s="608"/>
      <c r="G369" s="608"/>
      <c r="H369" s="608"/>
      <c r="I369" s="608"/>
      <c r="J369" s="607">
        <v>5.29</v>
      </c>
      <c r="K369" s="608"/>
      <c r="L369" s="607">
        <v>651</v>
      </c>
      <c r="M369" s="601"/>
      <c r="N369" s="606"/>
      <c r="V369" s="674"/>
      <c r="W369" s="675"/>
      <c r="AB369" s="537" t="s">
        <v>318</v>
      </c>
      <c r="AC369" s="675"/>
      <c r="AD369" s="675"/>
      <c r="AF369" s="675"/>
      <c r="AG369" s="675"/>
    </row>
    <row r="370" spans="1:33" s="536" customFormat="1" ht="12" x14ac:dyDescent="0.2">
      <c r="A370" s="605"/>
      <c r="B370" s="552"/>
      <c r="C370" s="1822" t="s">
        <v>319</v>
      </c>
      <c r="D370" s="1822"/>
      <c r="E370" s="1822"/>
      <c r="F370" s="562"/>
      <c r="G370" s="562"/>
      <c r="H370" s="562"/>
      <c r="I370" s="562"/>
      <c r="J370" s="604"/>
      <c r="K370" s="562"/>
      <c r="L370" s="604">
        <v>610</v>
      </c>
      <c r="M370" s="603"/>
      <c r="N370" s="602"/>
      <c r="V370" s="674"/>
      <c r="W370" s="675"/>
      <c r="AA370" s="537" t="s">
        <v>319</v>
      </c>
      <c r="AC370" s="675"/>
      <c r="AD370" s="675"/>
      <c r="AF370" s="675"/>
      <c r="AG370" s="675"/>
    </row>
    <row r="371" spans="1:33" s="536" customFormat="1" ht="33.75" x14ac:dyDescent="0.2">
      <c r="A371" s="605"/>
      <c r="B371" s="552" t="s">
        <v>884</v>
      </c>
      <c r="C371" s="1822" t="s">
        <v>885</v>
      </c>
      <c r="D371" s="1822"/>
      <c r="E371" s="1822"/>
      <c r="F371" s="562" t="s">
        <v>322</v>
      </c>
      <c r="G371" s="562" t="s">
        <v>886</v>
      </c>
      <c r="H371" s="562"/>
      <c r="I371" s="562" t="s">
        <v>886</v>
      </c>
      <c r="J371" s="604"/>
      <c r="K371" s="562"/>
      <c r="L371" s="604">
        <v>549</v>
      </c>
      <c r="M371" s="603"/>
      <c r="N371" s="602"/>
      <c r="V371" s="674"/>
      <c r="W371" s="675"/>
      <c r="AA371" s="537" t="s">
        <v>885</v>
      </c>
      <c r="AC371" s="675"/>
      <c r="AD371" s="675"/>
      <c r="AF371" s="675"/>
      <c r="AG371" s="675"/>
    </row>
    <row r="372" spans="1:33" s="536" customFormat="1" ht="33.75" x14ac:dyDescent="0.2">
      <c r="A372" s="605"/>
      <c r="B372" s="552" t="s">
        <v>887</v>
      </c>
      <c r="C372" s="1822" t="s">
        <v>888</v>
      </c>
      <c r="D372" s="1822"/>
      <c r="E372" s="1822"/>
      <c r="F372" s="562" t="s">
        <v>322</v>
      </c>
      <c r="G372" s="562" t="s">
        <v>465</v>
      </c>
      <c r="H372" s="562"/>
      <c r="I372" s="562" t="s">
        <v>465</v>
      </c>
      <c r="J372" s="604"/>
      <c r="K372" s="562"/>
      <c r="L372" s="604">
        <v>280.60000000000002</v>
      </c>
      <c r="M372" s="603"/>
      <c r="N372" s="602"/>
      <c r="V372" s="674"/>
      <c r="W372" s="675"/>
      <c r="AA372" s="537" t="s">
        <v>888</v>
      </c>
      <c r="AC372" s="675"/>
      <c r="AD372" s="675"/>
      <c r="AF372" s="675"/>
      <c r="AG372" s="675"/>
    </row>
    <row r="373" spans="1:33" s="536" customFormat="1" ht="12" x14ac:dyDescent="0.2">
      <c r="A373" s="569"/>
      <c r="B373" s="656"/>
      <c r="C373" s="1823" t="s">
        <v>327</v>
      </c>
      <c r="D373" s="1823"/>
      <c r="E373" s="1823"/>
      <c r="F373" s="573"/>
      <c r="G373" s="573"/>
      <c r="H373" s="573"/>
      <c r="I373" s="573"/>
      <c r="J373" s="572"/>
      <c r="K373" s="573"/>
      <c r="L373" s="572">
        <v>1480.6</v>
      </c>
      <c r="M373" s="601"/>
      <c r="N373" s="570"/>
      <c r="V373" s="674"/>
      <c r="W373" s="675"/>
      <c r="AC373" s="675" t="s">
        <v>327</v>
      </c>
      <c r="AD373" s="675"/>
      <c r="AF373" s="675"/>
      <c r="AG373" s="675"/>
    </row>
    <row r="374" spans="1:33" s="536" customFormat="1" ht="56.25" x14ac:dyDescent="0.2">
      <c r="A374" s="575" t="s">
        <v>677</v>
      </c>
      <c r="B374" s="657" t="s">
        <v>1693</v>
      </c>
      <c r="C374" s="1823" t="s">
        <v>1694</v>
      </c>
      <c r="D374" s="1823"/>
      <c r="E374" s="1823"/>
      <c r="F374" s="573" t="s">
        <v>617</v>
      </c>
      <c r="G374" s="573"/>
      <c r="H374" s="573"/>
      <c r="I374" s="573" t="s">
        <v>844</v>
      </c>
      <c r="J374" s="572">
        <v>81.2</v>
      </c>
      <c r="K374" s="573" t="s">
        <v>716</v>
      </c>
      <c r="L374" s="572">
        <v>995.43</v>
      </c>
      <c r="M374" s="571">
        <v>8.32</v>
      </c>
      <c r="N374" s="570">
        <v>8282</v>
      </c>
      <c r="V374" s="674"/>
      <c r="W374" s="675" t="s">
        <v>1694</v>
      </c>
      <c r="AC374" s="675"/>
      <c r="AD374" s="675"/>
      <c r="AF374" s="675"/>
      <c r="AG374" s="675"/>
    </row>
    <row r="375" spans="1:33" s="536" customFormat="1" ht="12" x14ac:dyDescent="0.2">
      <c r="A375" s="569"/>
      <c r="B375" s="656"/>
      <c r="C375" s="661" t="s">
        <v>1658</v>
      </c>
      <c r="D375" s="662"/>
      <c r="E375" s="662"/>
      <c r="F375" s="563"/>
      <c r="G375" s="563"/>
      <c r="H375" s="563"/>
      <c r="I375" s="563"/>
      <c r="J375" s="566"/>
      <c r="K375" s="563"/>
      <c r="L375" s="566"/>
      <c r="M375" s="565"/>
      <c r="N375" s="564"/>
      <c r="V375" s="674"/>
      <c r="W375" s="675"/>
      <c r="AC375" s="675"/>
      <c r="AD375" s="675"/>
      <c r="AF375" s="675"/>
      <c r="AG375" s="675"/>
    </row>
    <row r="376" spans="1:33" s="536" customFormat="1" ht="22.5" x14ac:dyDescent="0.2">
      <c r="A376" s="609"/>
      <c r="B376" s="552" t="s">
        <v>718</v>
      </c>
      <c r="C376" s="1822" t="s">
        <v>719</v>
      </c>
      <c r="D376" s="1822"/>
      <c r="E376" s="1822"/>
      <c r="F376" s="1822"/>
      <c r="G376" s="1822"/>
      <c r="H376" s="1822"/>
      <c r="I376" s="1822"/>
      <c r="J376" s="1822"/>
      <c r="K376" s="1822"/>
      <c r="L376" s="1822"/>
      <c r="M376" s="1822"/>
      <c r="N376" s="1827"/>
      <c r="V376" s="674"/>
      <c r="W376" s="675"/>
      <c r="Y376" s="537" t="s">
        <v>719</v>
      </c>
      <c r="AC376" s="675"/>
      <c r="AD376" s="675"/>
      <c r="AF376" s="675"/>
      <c r="AG376" s="675"/>
    </row>
    <row r="377" spans="1:33" s="536" customFormat="1" ht="22.5" x14ac:dyDescent="0.2">
      <c r="A377" s="575" t="s">
        <v>326</v>
      </c>
      <c r="B377" s="657" t="s">
        <v>1695</v>
      </c>
      <c r="C377" s="1823" t="s">
        <v>1696</v>
      </c>
      <c r="D377" s="1823"/>
      <c r="E377" s="1823"/>
      <c r="F377" s="573" t="s">
        <v>307</v>
      </c>
      <c r="G377" s="573"/>
      <c r="H377" s="573"/>
      <c r="I377" s="573" t="s">
        <v>2323</v>
      </c>
      <c r="J377" s="572">
        <v>118</v>
      </c>
      <c r="K377" s="573"/>
      <c r="L377" s="572">
        <v>11.8</v>
      </c>
      <c r="M377" s="571"/>
      <c r="N377" s="570"/>
      <c r="V377" s="674"/>
      <c r="W377" s="675" t="s">
        <v>1696</v>
      </c>
      <c r="AC377" s="675"/>
      <c r="AD377" s="675"/>
      <c r="AF377" s="675"/>
      <c r="AG377" s="675"/>
    </row>
    <row r="378" spans="1:33" s="536" customFormat="1" ht="12" x14ac:dyDescent="0.2">
      <c r="A378" s="569"/>
      <c r="B378" s="656"/>
      <c r="C378" s="661" t="s">
        <v>1658</v>
      </c>
      <c r="D378" s="662"/>
      <c r="E378" s="662"/>
      <c r="F378" s="563"/>
      <c r="G378" s="563"/>
      <c r="H378" s="563"/>
      <c r="I378" s="563"/>
      <c r="J378" s="566"/>
      <c r="K378" s="563"/>
      <c r="L378" s="566"/>
      <c r="M378" s="565"/>
      <c r="N378" s="564"/>
      <c r="V378" s="674"/>
      <c r="W378" s="675"/>
      <c r="AC378" s="675"/>
      <c r="AD378" s="675"/>
      <c r="AF378" s="675"/>
      <c r="AG378" s="675"/>
    </row>
    <row r="379" spans="1:33" s="536" customFormat="1" ht="12" x14ac:dyDescent="0.2">
      <c r="A379" s="676"/>
      <c r="B379" s="655"/>
      <c r="C379" s="1822" t="s">
        <v>2324</v>
      </c>
      <c r="D379" s="1822"/>
      <c r="E379" s="1822"/>
      <c r="F379" s="1822"/>
      <c r="G379" s="1822"/>
      <c r="H379" s="1822"/>
      <c r="I379" s="1822"/>
      <c r="J379" s="1822"/>
      <c r="K379" s="1822"/>
      <c r="L379" s="1822"/>
      <c r="M379" s="1822"/>
      <c r="N379" s="1827"/>
      <c r="V379" s="674"/>
      <c r="W379" s="675"/>
      <c r="X379" s="537" t="s">
        <v>2324</v>
      </c>
      <c r="AC379" s="675"/>
      <c r="AD379" s="675"/>
      <c r="AF379" s="675"/>
      <c r="AG379" s="675"/>
    </row>
    <row r="380" spans="1:33" s="536" customFormat="1" ht="12" x14ac:dyDescent="0.2">
      <c r="A380" s="1830" t="s">
        <v>1698</v>
      </c>
      <c r="B380" s="1831"/>
      <c r="C380" s="1831"/>
      <c r="D380" s="1831"/>
      <c r="E380" s="1831"/>
      <c r="F380" s="1831"/>
      <c r="G380" s="1831"/>
      <c r="H380" s="1831"/>
      <c r="I380" s="1831"/>
      <c r="J380" s="1831"/>
      <c r="K380" s="1831"/>
      <c r="L380" s="1831"/>
      <c r="M380" s="1831"/>
      <c r="N380" s="1832"/>
      <c r="V380" s="674"/>
      <c r="W380" s="675"/>
      <c r="AC380" s="675"/>
      <c r="AD380" s="675"/>
      <c r="AF380" s="675"/>
      <c r="AG380" s="675" t="s">
        <v>1698</v>
      </c>
    </row>
    <row r="381" spans="1:33" s="536" customFormat="1" ht="33.75" x14ac:dyDescent="0.2">
      <c r="A381" s="575" t="s">
        <v>774</v>
      </c>
      <c r="B381" s="657" t="s">
        <v>1699</v>
      </c>
      <c r="C381" s="1823" t="s">
        <v>1700</v>
      </c>
      <c r="D381" s="1823"/>
      <c r="E381" s="1823"/>
      <c r="F381" s="573" t="s">
        <v>1110</v>
      </c>
      <c r="G381" s="573"/>
      <c r="H381" s="573"/>
      <c r="I381" s="573" t="s">
        <v>2325</v>
      </c>
      <c r="J381" s="572"/>
      <c r="K381" s="573"/>
      <c r="L381" s="572"/>
      <c r="M381" s="571"/>
      <c r="N381" s="570"/>
      <c r="V381" s="674"/>
      <c r="W381" s="675" t="s">
        <v>1700</v>
      </c>
      <c r="AC381" s="675"/>
      <c r="AD381" s="675"/>
      <c r="AF381" s="675"/>
      <c r="AG381" s="675"/>
    </row>
    <row r="382" spans="1:33" s="536" customFormat="1" ht="12" x14ac:dyDescent="0.2">
      <c r="A382" s="676"/>
      <c r="B382" s="655"/>
      <c r="C382" s="1822" t="s">
        <v>2326</v>
      </c>
      <c r="D382" s="1822"/>
      <c r="E382" s="1822"/>
      <c r="F382" s="1822"/>
      <c r="G382" s="1822"/>
      <c r="H382" s="1822"/>
      <c r="I382" s="1822"/>
      <c r="J382" s="1822"/>
      <c r="K382" s="1822"/>
      <c r="L382" s="1822"/>
      <c r="M382" s="1822"/>
      <c r="N382" s="1827"/>
      <c r="V382" s="674"/>
      <c r="W382" s="675"/>
      <c r="X382" s="537" t="s">
        <v>2326</v>
      </c>
      <c r="AC382" s="675"/>
      <c r="AD382" s="675"/>
      <c r="AF382" s="675"/>
      <c r="AG382" s="675"/>
    </row>
    <row r="383" spans="1:33" s="536" customFormat="1" ht="33.75" x14ac:dyDescent="0.2">
      <c r="A383" s="609"/>
      <c r="B383" s="552" t="s">
        <v>310</v>
      </c>
      <c r="C383" s="1822" t="s">
        <v>311</v>
      </c>
      <c r="D383" s="1822"/>
      <c r="E383" s="1822"/>
      <c r="F383" s="1822"/>
      <c r="G383" s="1822"/>
      <c r="H383" s="1822"/>
      <c r="I383" s="1822"/>
      <c r="J383" s="1822"/>
      <c r="K383" s="1822"/>
      <c r="L383" s="1822"/>
      <c r="M383" s="1822"/>
      <c r="N383" s="1827"/>
      <c r="V383" s="674"/>
      <c r="W383" s="675"/>
      <c r="Y383" s="537" t="s">
        <v>311</v>
      </c>
      <c r="AC383" s="675"/>
      <c r="AD383" s="675"/>
      <c r="AF383" s="675"/>
      <c r="AG383" s="675"/>
    </row>
    <row r="384" spans="1:33" s="536" customFormat="1" ht="12" x14ac:dyDescent="0.2">
      <c r="A384" s="605"/>
      <c r="B384" s="552" t="s">
        <v>185</v>
      </c>
      <c r="C384" s="1822" t="s">
        <v>312</v>
      </c>
      <c r="D384" s="1822"/>
      <c r="E384" s="1822"/>
      <c r="F384" s="562"/>
      <c r="G384" s="562"/>
      <c r="H384" s="562"/>
      <c r="I384" s="562"/>
      <c r="J384" s="604">
        <v>110.54</v>
      </c>
      <c r="K384" s="562" t="s">
        <v>313</v>
      </c>
      <c r="L384" s="604">
        <v>530.59</v>
      </c>
      <c r="M384" s="603"/>
      <c r="N384" s="602"/>
      <c r="V384" s="674"/>
      <c r="W384" s="675"/>
      <c r="Z384" s="537" t="s">
        <v>312</v>
      </c>
      <c r="AC384" s="675"/>
      <c r="AD384" s="675"/>
      <c r="AF384" s="675"/>
      <c r="AG384" s="675"/>
    </row>
    <row r="385" spans="1:33" s="536" customFormat="1" ht="12" x14ac:dyDescent="0.2">
      <c r="A385" s="605"/>
      <c r="B385" s="552" t="s">
        <v>186</v>
      </c>
      <c r="C385" s="1822" t="s">
        <v>344</v>
      </c>
      <c r="D385" s="1822"/>
      <c r="E385" s="1822"/>
      <c r="F385" s="562"/>
      <c r="G385" s="562"/>
      <c r="H385" s="562"/>
      <c r="I385" s="562"/>
      <c r="J385" s="604">
        <v>577.26</v>
      </c>
      <c r="K385" s="562" t="s">
        <v>313</v>
      </c>
      <c r="L385" s="604">
        <v>2770.85</v>
      </c>
      <c r="M385" s="603"/>
      <c r="N385" s="602"/>
      <c r="V385" s="674"/>
      <c r="W385" s="675"/>
      <c r="Z385" s="537" t="s">
        <v>344</v>
      </c>
      <c r="AC385" s="675"/>
      <c r="AD385" s="675"/>
      <c r="AF385" s="675"/>
      <c r="AG385" s="675"/>
    </row>
    <row r="386" spans="1:33" s="536" customFormat="1" ht="12" x14ac:dyDescent="0.2">
      <c r="A386" s="605"/>
      <c r="B386" s="552" t="s">
        <v>187</v>
      </c>
      <c r="C386" s="1822" t="s">
        <v>345</v>
      </c>
      <c r="D386" s="1822"/>
      <c r="E386" s="1822"/>
      <c r="F386" s="562"/>
      <c r="G386" s="562"/>
      <c r="H386" s="562"/>
      <c r="I386" s="562"/>
      <c r="J386" s="604">
        <v>55.11</v>
      </c>
      <c r="K386" s="562" t="s">
        <v>313</v>
      </c>
      <c r="L386" s="604">
        <v>264.52999999999997</v>
      </c>
      <c r="M386" s="603"/>
      <c r="N386" s="602"/>
      <c r="V386" s="674"/>
      <c r="W386" s="675"/>
      <c r="Z386" s="537" t="s">
        <v>345</v>
      </c>
      <c r="AC386" s="675"/>
      <c r="AD386" s="675"/>
      <c r="AF386" s="675"/>
      <c r="AG386" s="675"/>
    </row>
    <row r="387" spans="1:33" s="536" customFormat="1" ht="12" x14ac:dyDescent="0.2">
      <c r="A387" s="605"/>
      <c r="B387" s="552" t="s">
        <v>188</v>
      </c>
      <c r="C387" s="1822" t="s">
        <v>475</v>
      </c>
      <c r="D387" s="1822"/>
      <c r="E387" s="1822"/>
      <c r="F387" s="562"/>
      <c r="G387" s="562"/>
      <c r="H387" s="562"/>
      <c r="I387" s="562"/>
      <c r="J387" s="604">
        <v>60.47</v>
      </c>
      <c r="K387" s="562"/>
      <c r="L387" s="604">
        <v>225.72</v>
      </c>
      <c r="M387" s="603"/>
      <c r="N387" s="602"/>
      <c r="V387" s="674"/>
      <c r="W387" s="675"/>
      <c r="Z387" s="537" t="s">
        <v>475</v>
      </c>
      <c r="AC387" s="675"/>
      <c r="AD387" s="675"/>
      <c r="AF387" s="675"/>
      <c r="AG387" s="675"/>
    </row>
    <row r="388" spans="1:33" s="536" customFormat="1" ht="12" x14ac:dyDescent="0.2">
      <c r="A388" s="605"/>
      <c r="B388" s="552"/>
      <c r="C388" s="1822" t="s">
        <v>314</v>
      </c>
      <c r="D388" s="1822"/>
      <c r="E388" s="1822"/>
      <c r="F388" s="562" t="s">
        <v>315</v>
      </c>
      <c r="G388" s="562" t="s">
        <v>1703</v>
      </c>
      <c r="H388" s="562" t="s">
        <v>313</v>
      </c>
      <c r="I388" s="562" t="s">
        <v>2327</v>
      </c>
      <c r="J388" s="604"/>
      <c r="K388" s="562"/>
      <c r="L388" s="604"/>
      <c r="M388" s="603"/>
      <c r="N388" s="602"/>
      <c r="V388" s="674"/>
      <c r="W388" s="675"/>
      <c r="AA388" s="537" t="s">
        <v>314</v>
      </c>
      <c r="AC388" s="675"/>
      <c r="AD388" s="675"/>
      <c r="AF388" s="675"/>
      <c r="AG388" s="675"/>
    </row>
    <row r="389" spans="1:33" s="536" customFormat="1" ht="12" x14ac:dyDescent="0.2">
      <c r="A389" s="605"/>
      <c r="B389" s="552"/>
      <c r="C389" s="1822" t="s">
        <v>348</v>
      </c>
      <c r="D389" s="1822"/>
      <c r="E389" s="1822"/>
      <c r="F389" s="562" t="s">
        <v>315</v>
      </c>
      <c r="G389" s="562" t="s">
        <v>1705</v>
      </c>
      <c r="H389" s="562" t="s">
        <v>313</v>
      </c>
      <c r="I389" s="562" t="s">
        <v>2328</v>
      </c>
      <c r="J389" s="604"/>
      <c r="K389" s="562"/>
      <c r="L389" s="604"/>
      <c r="M389" s="603"/>
      <c r="N389" s="602"/>
      <c r="V389" s="674"/>
      <c r="W389" s="675"/>
      <c r="AA389" s="537" t="s">
        <v>348</v>
      </c>
      <c r="AC389" s="675"/>
      <c r="AD389" s="675"/>
      <c r="AF389" s="675"/>
      <c r="AG389" s="675"/>
    </row>
    <row r="390" spans="1:33" s="536" customFormat="1" ht="12" x14ac:dyDescent="0.2">
      <c r="A390" s="605"/>
      <c r="B390" s="552"/>
      <c r="C390" s="1828" t="s">
        <v>318</v>
      </c>
      <c r="D390" s="1828"/>
      <c r="E390" s="1828"/>
      <c r="F390" s="608"/>
      <c r="G390" s="608"/>
      <c r="H390" s="608"/>
      <c r="I390" s="608"/>
      <c r="J390" s="607">
        <v>746.58</v>
      </c>
      <c r="K390" s="608"/>
      <c r="L390" s="607">
        <v>3527.16</v>
      </c>
      <c r="M390" s="601"/>
      <c r="N390" s="606"/>
      <c r="V390" s="674"/>
      <c r="W390" s="675"/>
      <c r="AB390" s="537" t="s">
        <v>318</v>
      </c>
      <c r="AC390" s="675"/>
      <c r="AD390" s="675"/>
      <c r="AF390" s="675"/>
      <c r="AG390" s="675"/>
    </row>
    <row r="391" spans="1:33" s="536" customFormat="1" ht="12" x14ac:dyDescent="0.2">
      <c r="A391" s="605"/>
      <c r="B391" s="552"/>
      <c r="C391" s="1822" t="s">
        <v>319</v>
      </c>
      <c r="D391" s="1822"/>
      <c r="E391" s="1822"/>
      <c r="F391" s="562"/>
      <c r="G391" s="562"/>
      <c r="H391" s="562"/>
      <c r="I391" s="562"/>
      <c r="J391" s="604"/>
      <c r="K391" s="562"/>
      <c r="L391" s="604">
        <v>795.12</v>
      </c>
      <c r="M391" s="603"/>
      <c r="N391" s="602"/>
      <c r="V391" s="674"/>
      <c r="W391" s="675"/>
      <c r="AA391" s="537" t="s">
        <v>319</v>
      </c>
      <c r="AC391" s="675"/>
      <c r="AD391" s="675"/>
      <c r="AF391" s="675"/>
      <c r="AG391" s="675"/>
    </row>
    <row r="392" spans="1:33" s="536" customFormat="1" ht="33.75" x14ac:dyDescent="0.2">
      <c r="A392" s="605"/>
      <c r="B392" s="552" t="s">
        <v>1631</v>
      </c>
      <c r="C392" s="1822" t="s">
        <v>1632</v>
      </c>
      <c r="D392" s="1822"/>
      <c r="E392" s="1822"/>
      <c r="F392" s="562" t="s">
        <v>322</v>
      </c>
      <c r="G392" s="562" t="s">
        <v>1633</v>
      </c>
      <c r="H392" s="562"/>
      <c r="I392" s="562" t="s">
        <v>1633</v>
      </c>
      <c r="J392" s="604"/>
      <c r="K392" s="562"/>
      <c r="L392" s="604">
        <v>771.27</v>
      </c>
      <c r="M392" s="603"/>
      <c r="N392" s="602"/>
      <c r="V392" s="674"/>
      <c r="W392" s="675"/>
      <c r="AA392" s="537" t="s">
        <v>1632</v>
      </c>
      <c r="AC392" s="675"/>
      <c r="AD392" s="675"/>
      <c r="AF392" s="675"/>
      <c r="AG392" s="675"/>
    </row>
    <row r="393" spans="1:33" s="536" customFormat="1" ht="33.75" x14ac:dyDescent="0.2">
      <c r="A393" s="605"/>
      <c r="B393" s="552" t="s">
        <v>1634</v>
      </c>
      <c r="C393" s="1822" t="s">
        <v>1635</v>
      </c>
      <c r="D393" s="1822"/>
      <c r="E393" s="1822"/>
      <c r="F393" s="562" t="s">
        <v>322</v>
      </c>
      <c r="G393" s="562" t="s">
        <v>786</v>
      </c>
      <c r="H393" s="562"/>
      <c r="I393" s="562" t="s">
        <v>786</v>
      </c>
      <c r="J393" s="604"/>
      <c r="K393" s="562"/>
      <c r="L393" s="604">
        <v>405.51</v>
      </c>
      <c r="M393" s="603"/>
      <c r="N393" s="602"/>
      <c r="V393" s="674"/>
      <c r="W393" s="675"/>
      <c r="AA393" s="537" t="s">
        <v>1635</v>
      </c>
      <c r="AC393" s="675"/>
      <c r="AD393" s="675"/>
      <c r="AF393" s="675"/>
      <c r="AG393" s="675"/>
    </row>
    <row r="394" spans="1:33" s="536" customFormat="1" ht="12" x14ac:dyDescent="0.2">
      <c r="A394" s="569"/>
      <c r="B394" s="656"/>
      <c r="C394" s="1823" t="s">
        <v>327</v>
      </c>
      <c r="D394" s="1823"/>
      <c r="E394" s="1823"/>
      <c r="F394" s="573"/>
      <c r="G394" s="573"/>
      <c r="H394" s="573"/>
      <c r="I394" s="573"/>
      <c r="J394" s="572"/>
      <c r="K394" s="573"/>
      <c r="L394" s="572">
        <v>4703.9399999999996</v>
      </c>
      <c r="M394" s="601"/>
      <c r="N394" s="570"/>
      <c r="V394" s="674"/>
      <c r="W394" s="675"/>
      <c r="AC394" s="675" t="s">
        <v>327</v>
      </c>
      <c r="AD394" s="675"/>
      <c r="AF394" s="675"/>
      <c r="AG394" s="675"/>
    </row>
    <row r="395" spans="1:33" s="536" customFormat="1" ht="33.75" x14ac:dyDescent="0.2">
      <c r="A395" s="575" t="s">
        <v>775</v>
      </c>
      <c r="B395" s="657" t="s">
        <v>1707</v>
      </c>
      <c r="C395" s="1823" t="s">
        <v>2329</v>
      </c>
      <c r="D395" s="1823"/>
      <c r="E395" s="1823"/>
      <c r="F395" s="573" t="s">
        <v>483</v>
      </c>
      <c r="G395" s="573"/>
      <c r="H395" s="573"/>
      <c r="I395" s="573" t="s">
        <v>2330</v>
      </c>
      <c r="J395" s="572">
        <v>679.03</v>
      </c>
      <c r="K395" s="573" t="s">
        <v>716</v>
      </c>
      <c r="L395" s="572">
        <v>32606.01</v>
      </c>
      <c r="M395" s="571">
        <v>8.32</v>
      </c>
      <c r="N395" s="570">
        <v>271282</v>
      </c>
      <c r="V395" s="674"/>
      <c r="W395" s="675" t="s">
        <v>2329</v>
      </c>
      <c r="AC395" s="675"/>
      <c r="AD395" s="675"/>
      <c r="AF395" s="675"/>
      <c r="AG395" s="675"/>
    </row>
    <row r="396" spans="1:33" s="536" customFormat="1" ht="12" x14ac:dyDescent="0.2">
      <c r="A396" s="569"/>
      <c r="B396" s="656"/>
      <c r="C396" s="661" t="s">
        <v>1658</v>
      </c>
      <c r="D396" s="662"/>
      <c r="E396" s="662"/>
      <c r="F396" s="563"/>
      <c r="G396" s="563"/>
      <c r="H396" s="563"/>
      <c r="I396" s="563"/>
      <c r="J396" s="566"/>
      <c r="K396" s="563"/>
      <c r="L396" s="566"/>
      <c r="M396" s="565"/>
      <c r="N396" s="564"/>
      <c r="V396" s="674"/>
      <c r="W396" s="675"/>
      <c r="AC396" s="675"/>
      <c r="AD396" s="675"/>
      <c r="AF396" s="675"/>
      <c r="AG396" s="675"/>
    </row>
    <row r="397" spans="1:33" s="536" customFormat="1" ht="12" x14ac:dyDescent="0.2">
      <c r="A397" s="676"/>
      <c r="B397" s="655"/>
      <c r="C397" s="1822" t="s">
        <v>2331</v>
      </c>
      <c r="D397" s="1822"/>
      <c r="E397" s="1822"/>
      <c r="F397" s="1822"/>
      <c r="G397" s="1822"/>
      <c r="H397" s="1822"/>
      <c r="I397" s="1822"/>
      <c r="J397" s="1822"/>
      <c r="K397" s="1822"/>
      <c r="L397" s="1822"/>
      <c r="M397" s="1822"/>
      <c r="N397" s="1827"/>
      <c r="V397" s="674"/>
      <c r="W397" s="675"/>
      <c r="X397" s="537" t="s">
        <v>2331</v>
      </c>
      <c r="AC397" s="675"/>
      <c r="AD397" s="675"/>
      <c r="AF397" s="675"/>
      <c r="AG397" s="675"/>
    </row>
    <row r="398" spans="1:33" s="536" customFormat="1" ht="22.5" x14ac:dyDescent="0.2">
      <c r="A398" s="609"/>
      <c r="B398" s="552" t="s">
        <v>718</v>
      </c>
      <c r="C398" s="1822" t="s">
        <v>719</v>
      </c>
      <c r="D398" s="1822"/>
      <c r="E398" s="1822"/>
      <c r="F398" s="1822"/>
      <c r="G398" s="1822"/>
      <c r="H398" s="1822"/>
      <c r="I398" s="1822"/>
      <c r="J398" s="1822"/>
      <c r="K398" s="1822"/>
      <c r="L398" s="1822"/>
      <c r="M398" s="1822"/>
      <c r="N398" s="1827"/>
      <c r="V398" s="674"/>
      <c r="W398" s="675"/>
      <c r="Y398" s="537" t="s">
        <v>719</v>
      </c>
      <c r="AC398" s="675"/>
      <c r="AD398" s="675"/>
      <c r="AF398" s="675"/>
      <c r="AG398" s="675"/>
    </row>
    <row r="399" spans="1:33" s="536" customFormat="1" ht="33.75" x14ac:dyDescent="0.2">
      <c r="A399" s="575" t="s">
        <v>776</v>
      </c>
      <c r="B399" s="657" t="s">
        <v>1711</v>
      </c>
      <c r="C399" s="1823" t="s">
        <v>1712</v>
      </c>
      <c r="D399" s="1823"/>
      <c r="E399" s="1823"/>
      <c r="F399" s="573" t="s">
        <v>617</v>
      </c>
      <c r="G399" s="573"/>
      <c r="H399" s="573"/>
      <c r="I399" s="573" t="s">
        <v>197</v>
      </c>
      <c r="J399" s="572">
        <v>379.81</v>
      </c>
      <c r="K399" s="573" t="s">
        <v>716</v>
      </c>
      <c r="L399" s="572">
        <v>605.29</v>
      </c>
      <c r="M399" s="571">
        <v>8.32</v>
      </c>
      <c r="N399" s="570">
        <v>5036</v>
      </c>
      <c r="V399" s="674"/>
      <c r="W399" s="675" t="s">
        <v>1712</v>
      </c>
      <c r="AC399" s="675"/>
      <c r="AD399" s="675"/>
      <c r="AF399" s="675"/>
      <c r="AG399" s="675"/>
    </row>
    <row r="400" spans="1:33" s="536" customFormat="1" ht="12" x14ac:dyDescent="0.2">
      <c r="A400" s="569"/>
      <c r="B400" s="656"/>
      <c r="C400" s="661" t="s">
        <v>1658</v>
      </c>
      <c r="D400" s="662"/>
      <c r="E400" s="662"/>
      <c r="F400" s="563"/>
      <c r="G400" s="563"/>
      <c r="H400" s="563"/>
      <c r="I400" s="563"/>
      <c r="J400" s="566"/>
      <c r="K400" s="563"/>
      <c r="L400" s="566"/>
      <c r="M400" s="565"/>
      <c r="N400" s="564"/>
      <c r="V400" s="674"/>
      <c r="W400" s="675"/>
      <c r="AC400" s="675"/>
      <c r="AD400" s="675"/>
      <c r="AF400" s="675"/>
      <c r="AG400" s="675"/>
    </row>
    <row r="401" spans="1:33" s="536" customFormat="1" ht="22.5" x14ac:dyDescent="0.2">
      <c r="A401" s="609"/>
      <c r="B401" s="552" t="s">
        <v>718</v>
      </c>
      <c r="C401" s="1822" t="s">
        <v>719</v>
      </c>
      <c r="D401" s="1822"/>
      <c r="E401" s="1822"/>
      <c r="F401" s="1822"/>
      <c r="G401" s="1822"/>
      <c r="H401" s="1822"/>
      <c r="I401" s="1822"/>
      <c r="J401" s="1822"/>
      <c r="K401" s="1822"/>
      <c r="L401" s="1822"/>
      <c r="M401" s="1822"/>
      <c r="N401" s="1827"/>
      <c r="V401" s="674"/>
      <c r="W401" s="675"/>
      <c r="Y401" s="537" t="s">
        <v>719</v>
      </c>
      <c r="AC401" s="675"/>
      <c r="AD401" s="675"/>
      <c r="AF401" s="675"/>
      <c r="AG401" s="675"/>
    </row>
    <row r="402" spans="1:33" s="536" customFormat="1" ht="33.75" x14ac:dyDescent="0.2">
      <c r="A402" s="575" t="s">
        <v>931</v>
      </c>
      <c r="B402" s="657" t="s">
        <v>2332</v>
      </c>
      <c r="C402" s="1823" t="s">
        <v>1714</v>
      </c>
      <c r="D402" s="1823"/>
      <c r="E402" s="1823"/>
      <c r="F402" s="573" t="s">
        <v>617</v>
      </c>
      <c r="G402" s="573"/>
      <c r="H402" s="573"/>
      <c r="I402" s="573" t="s">
        <v>193</v>
      </c>
      <c r="J402" s="572">
        <v>650.20000000000005</v>
      </c>
      <c r="K402" s="573" t="s">
        <v>716</v>
      </c>
      <c r="L402" s="572">
        <v>717.43</v>
      </c>
      <c r="M402" s="571">
        <v>8.32</v>
      </c>
      <c r="N402" s="570">
        <v>5969</v>
      </c>
      <c r="V402" s="674"/>
      <c r="W402" s="675" t="s">
        <v>1714</v>
      </c>
      <c r="AC402" s="675"/>
      <c r="AD402" s="675"/>
      <c r="AF402" s="675"/>
      <c r="AG402" s="675"/>
    </row>
    <row r="403" spans="1:33" s="536" customFormat="1" ht="12" x14ac:dyDescent="0.2">
      <c r="A403" s="569"/>
      <c r="B403" s="656"/>
      <c r="C403" s="661" t="s">
        <v>1658</v>
      </c>
      <c r="D403" s="662"/>
      <c r="E403" s="662"/>
      <c r="F403" s="563"/>
      <c r="G403" s="563"/>
      <c r="H403" s="563"/>
      <c r="I403" s="563"/>
      <c r="J403" s="566"/>
      <c r="K403" s="563"/>
      <c r="L403" s="566"/>
      <c r="M403" s="565"/>
      <c r="N403" s="564"/>
      <c r="V403" s="674"/>
      <c r="W403" s="675"/>
      <c r="AC403" s="675"/>
      <c r="AD403" s="675"/>
      <c r="AF403" s="675"/>
      <c r="AG403" s="675"/>
    </row>
    <row r="404" spans="1:33" s="536" customFormat="1" ht="22.5" x14ac:dyDescent="0.2">
      <c r="A404" s="609"/>
      <c r="B404" s="552" t="s">
        <v>718</v>
      </c>
      <c r="C404" s="1822" t="s">
        <v>719</v>
      </c>
      <c r="D404" s="1822"/>
      <c r="E404" s="1822"/>
      <c r="F404" s="1822"/>
      <c r="G404" s="1822"/>
      <c r="H404" s="1822"/>
      <c r="I404" s="1822"/>
      <c r="J404" s="1822"/>
      <c r="K404" s="1822"/>
      <c r="L404" s="1822"/>
      <c r="M404" s="1822"/>
      <c r="N404" s="1827"/>
      <c r="V404" s="674"/>
      <c r="W404" s="675"/>
      <c r="Y404" s="537" t="s">
        <v>719</v>
      </c>
      <c r="AC404" s="675"/>
      <c r="AD404" s="675"/>
      <c r="AF404" s="675"/>
      <c r="AG404" s="675"/>
    </row>
    <row r="405" spans="1:33" s="536" customFormat="1" ht="56.25" x14ac:dyDescent="0.2">
      <c r="A405" s="575" t="s">
        <v>465</v>
      </c>
      <c r="B405" s="657" t="s">
        <v>1680</v>
      </c>
      <c r="C405" s="1823" t="s">
        <v>1681</v>
      </c>
      <c r="D405" s="1823"/>
      <c r="E405" s="1823"/>
      <c r="F405" s="573" t="s">
        <v>1110</v>
      </c>
      <c r="G405" s="573"/>
      <c r="H405" s="573"/>
      <c r="I405" s="573" t="s">
        <v>890</v>
      </c>
      <c r="J405" s="572"/>
      <c r="K405" s="573"/>
      <c r="L405" s="572"/>
      <c r="M405" s="571"/>
      <c r="N405" s="570"/>
      <c r="V405" s="674"/>
      <c r="W405" s="675" t="s">
        <v>1681</v>
      </c>
      <c r="AC405" s="675"/>
      <c r="AD405" s="675"/>
      <c r="AF405" s="675"/>
      <c r="AG405" s="675"/>
    </row>
    <row r="406" spans="1:33" s="536" customFormat="1" ht="12" x14ac:dyDescent="0.2">
      <c r="A406" s="676"/>
      <c r="B406" s="655"/>
      <c r="C406" s="1822" t="s">
        <v>2333</v>
      </c>
      <c r="D406" s="1822"/>
      <c r="E406" s="1822"/>
      <c r="F406" s="1822"/>
      <c r="G406" s="1822"/>
      <c r="H406" s="1822"/>
      <c r="I406" s="1822"/>
      <c r="J406" s="1822"/>
      <c r="K406" s="1822"/>
      <c r="L406" s="1822"/>
      <c r="M406" s="1822"/>
      <c r="N406" s="1827"/>
      <c r="V406" s="674"/>
      <c r="W406" s="675"/>
      <c r="X406" s="537" t="s">
        <v>2333</v>
      </c>
      <c r="AC406" s="675"/>
      <c r="AD406" s="675"/>
      <c r="AF406" s="675"/>
      <c r="AG406" s="675"/>
    </row>
    <row r="407" spans="1:33" s="536" customFormat="1" ht="33.75" x14ac:dyDescent="0.2">
      <c r="A407" s="609"/>
      <c r="B407" s="552" t="s">
        <v>310</v>
      </c>
      <c r="C407" s="1822" t="s">
        <v>311</v>
      </c>
      <c r="D407" s="1822"/>
      <c r="E407" s="1822"/>
      <c r="F407" s="1822"/>
      <c r="G407" s="1822"/>
      <c r="H407" s="1822"/>
      <c r="I407" s="1822"/>
      <c r="J407" s="1822"/>
      <c r="K407" s="1822"/>
      <c r="L407" s="1822"/>
      <c r="M407" s="1822"/>
      <c r="N407" s="1827"/>
      <c r="V407" s="674"/>
      <c r="W407" s="675"/>
      <c r="Y407" s="537" t="s">
        <v>311</v>
      </c>
      <c r="AC407" s="675"/>
      <c r="AD407" s="675"/>
      <c r="AF407" s="675"/>
      <c r="AG407" s="675"/>
    </row>
    <row r="408" spans="1:33" s="536" customFormat="1" ht="12" x14ac:dyDescent="0.2">
      <c r="A408" s="605"/>
      <c r="B408" s="552" t="s">
        <v>185</v>
      </c>
      <c r="C408" s="1822" t="s">
        <v>312</v>
      </c>
      <c r="D408" s="1822"/>
      <c r="E408" s="1822"/>
      <c r="F408" s="562"/>
      <c r="G408" s="562"/>
      <c r="H408" s="562"/>
      <c r="I408" s="562"/>
      <c r="J408" s="604">
        <v>50.67</v>
      </c>
      <c r="K408" s="562" t="s">
        <v>313</v>
      </c>
      <c r="L408" s="604">
        <v>12.67</v>
      </c>
      <c r="M408" s="603"/>
      <c r="N408" s="602"/>
      <c r="V408" s="674"/>
      <c r="W408" s="675"/>
      <c r="Z408" s="537" t="s">
        <v>312</v>
      </c>
      <c r="AC408" s="675"/>
      <c r="AD408" s="675"/>
      <c r="AF408" s="675"/>
      <c r="AG408" s="675"/>
    </row>
    <row r="409" spans="1:33" s="536" customFormat="1" ht="12" x14ac:dyDescent="0.2">
      <c r="A409" s="605"/>
      <c r="B409" s="552" t="s">
        <v>186</v>
      </c>
      <c r="C409" s="1822" t="s">
        <v>344</v>
      </c>
      <c r="D409" s="1822"/>
      <c r="E409" s="1822"/>
      <c r="F409" s="562"/>
      <c r="G409" s="562"/>
      <c r="H409" s="562"/>
      <c r="I409" s="562"/>
      <c r="J409" s="604">
        <v>3.62</v>
      </c>
      <c r="K409" s="562" t="s">
        <v>313</v>
      </c>
      <c r="L409" s="604">
        <v>0.91</v>
      </c>
      <c r="M409" s="603"/>
      <c r="N409" s="602"/>
      <c r="V409" s="674"/>
      <c r="W409" s="675"/>
      <c r="Z409" s="537" t="s">
        <v>344</v>
      </c>
      <c r="AC409" s="675"/>
      <c r="AD409" s="675"/>
      <c r="AF409" s="675"/>
      <c r="AG409" s="675"/>
    </row>
    <row r="410" spans="1:33" s="536" customFormat="1" ht="12" x14ac:dyDescent="0.2">
      <c r="A410" s="605"/>
      <c r="B410" s="552" t="s">
        <v>187</v>
      </c>
      <c r="C410" s="1822" t="s">
        <v>345</v>
      </c>
      <c r="D410" s="1822"/>
      <c r="E410" s="1822"/>
      <c r="F410" s="562"/>
      <c r="G410" s="562"/>
      <c r="H410" s="562"/>
      <c r="I410" s="562"/>
      <c r="J410" s="604">
        <v>0.5</v>
      </c>
      <c r="K410" s="562" t="s">
        <v>313</v>
      </c>
      <c r="L410" s="604">
        <v>0.13</v>
      </c>
      <c r="M410" s="603"/>
      <c r="N410" s="602"/>
      <c r="V410" s="674"/>
      <c r="W410" s="675"/>
      <c r="Z410" s="537" t="s">
        <v>345</v>
      </c>
      <c r="AC410" s="675"/>
      <c r="AD410" s="675"/>
      <c r="AF410" s="675"/>
      <c r="AG410" s="675"/>
    </row>
    <row r="411" spans="1:33" s="536" customFormat="1" ht="12" x14ac:dyDescent="0.2">
      <c r="A411" s="605"/>
      <c r="B411" s="552" t="s">
        <v>188</v>
      </c>
      <c r="C411" s="1822" t="s">
        <v>475</v>
      </c>
      <c r="D411" s="1822"/>
      <c r="E411" s="1822"/>
      <c r="F411" s="562"/>
      <c r="G411" s="562"/>
      <c r="H411" s="562"/>
      <c r="I411" s="562"/>
      <c r="J411" s="604">
        <v>14.48</v>
      </c>
      <c r="K411" s="562"/>
      <c r="L411" s="604">
        <v>2.9</v>
      </c>
      <c r="M411" s="603"/>
      <c r="N411" s="602"/>
      <c r="V411" s="674"/>
      <c r="W411" s="675"/>
      <c r="Z411" s="537" t="s">
        <v>475</v>
      </c>
      <c r="AC411" s="675"/>
      <c r="AD411" s="675"/>
      <c r="AF411" s="675"/>
      <c r="AG411" s="675"/>
    </row>
    <row r="412" spans="1:33" s="536" customFormat="1" ht="12" x14ac:dyDescent="0.2">
      <c r="A412" s="605"/>
      <c r="B412" s="552"/>
      <c r="C412" s="1822" t="s">
        <v>314</v>
      </c>
      <c r="D412" s="1822"/>
      <c r="E412" s="1822"/>
      <c r="F412" s="562" t="s">
        <v>315</v>
      </c>
      <c r="G412" s="562" t="s">
        <v>1682</v>
      </c>
      <c r="H412" s="562" t="s">
        <v>313</v>
      </c>
      <c r="I412" s="562" t="s">
        <v>2334</v>
      </c>
      <c r="J412" s="604"/>
      <c r="K412" s="562"/>
      <c r="L412" s="604"/>
      <c r="M412" s="603"/>
      <c r="N412" s="602"/>
      <c r="V412" s="674"/>
      <c r="W412" s="675"/>
      <c r="AA412" s="537" t="s">
        <v>314</v>
      </c>
      <c r="AC412" s="675"/>
      <c r="AD412" s="675"/>
      <c r="AF412" s="675"/>
      <c r="AG412" s="675"/>
    </row>
    <row r="413" spans="1:33" s="536" customFormat="1" ht="12" x14ac:dyDescent="0.2">
      <c r="A413" s="605"/>
      <c r="B413" s="552"/>
      <c r="C413" s="1822" t="s">
        <v>348</v>
      </c>
      <c r="D413" s="1822"/>
      <c r="E413" s="1822"/>
      <c r="F413" s="562" t="s">
        <v>315</v>
      </c>
      <c r="G413" s="562" t="s">
        <v>728</v>
      </c>
      <c r="H413" s="562" t="s">
        <v>313</v>
      </c>
      <c r="I413" s="562" t="s">
        <v>809</v>
      </c>
      <c r="J413" s="604"/>
      <c r="K413" s="562"/>
      <c r="L413" s="604"/>
      <c r="M413" s="603"/>
      <c r="N413" s="602"/>
      <c r="V413" s="674"/>
      <c r="W413" s="675"/>
      <c r="AA413" s="537" t="s">
        <v>348</v>
      </c>
      <c r="AC413" s="675"/>
      <c r="AD413" s="675"/>
      <c r="AF413" s="675"/>
      <c r="AG413" s="675"/>
    </row>
    <row r="414" spans="1:33" s="536" customFormat="1" ht="12" x14ac:dyDescent="0.2">
      <c r="A414" s="605"/>
      <c r="B414" s="552"/>
      <c r="C414" s="1828" t="s">
        <v>318</v>
      </c>
      <c r="D414" s="1828"/>
      <c r="E414" s="1828"/>
      <c r="F414" s="608"/>
      <c r="G414" s="608"/>
      <c r="H414" s="608"/>
      <c r="I414" s="608"/>
      <c r="J414" s="607">
        <v>68.77</v>
      </c>
      <c r="K414" s="608"/>
      <c r="L414" s="607">
        <v>16.48</v>
      </c>
      <c r="M414" s="601"/>
      <c r="N414" s="606"/>
      <c r="V414" s="674"/>
      <c r="W414" s="675"/>
      <c r="AB414" s="537" t="s">
        <v>318</v>
      </c>
      <c r="AC414" s="675"/>
      <c r="AD414" s="675"/>
      <c r="AF414" s="675"/>
      <c r="AG414" s="675"/>
    </row>
    <row r="415" spans="1:33" s="536" customFormat="1" ht="12" x14ac:dyDescent="0.2">
      <c r="A415" s="605"/>
      <c r="B415" s="552"/>
      <c r="C415" s="1822" t="s">
        <v>319</v>
      </c>
      <c r="D415" s="1822"/>
      <c r="E415" s="1822"/>
      <c r="F415" s="562"/>
      <c r="G415" s="562"/>
      <c r="H415" s="562"/>
      <c r="I415" s="562"/>
      <c r="J415" s="604"/>
      <c r="K415" s="562"/>
      <c r="L415" s="604">
        <v>12.8</v>
      </c>
      <c r="M415" s="603"/>
      <c r="N415" s="602"/>
      <c r="V415" s="674"/>
      <c r="W415" s="675"/>
      <c r="AA415" s="537" t="s">
        <v>319</v>
      </c>
      <c r="AC415" s="675"/>
      <c r="AD415" s="675"/>
      <c r="AF415" s="675"/>
      <c r="AG415" s="675"/>
    </row>
    <row r="416" spans="1:33" s="536" customFormat="1" ht="33.75" x14ac:dyDescent="0.2">
      <c r="A416" s="605"/>
      <c r="B416" s="552" t="s">
        <v>1631</v>
      </c>
      <c r="C416" s="1822" t="s">
        <v>1632</v>
      </c>
      <c r="D416" s="1822"/>
      <c r="E416" s="1822"/>
      <c r="F416" s="562" t="s">
        <v>322</v>
      </c>
      <c r="G416" s="562" t="s">
        <v>1633</v>
      </c>
      <c r="H416" s="562"/>
      <c r="I416" s="562" t="s">
        <v>1633</v>
      </c>
      <c r="J416" s="604"/>
      <c r="K416" s="562"/>
      <c r="L416" s="604">
        <v>12.42</v>
      </c>
      <c r="M416" s="603"/>
      <c r="N416" s="602"/>
      <c r="V416" s="674"/>
      <c r="W416" s="675"/>
      <c r="AA416" s="537" t="s">
        <v>1632</v>
      </c>
      <c r="AC416" s="675"/>
      <c r="AD416" s="675"/>
      <c r="AF416" s="675"/>
      <c r="AG416" s="675"/>
    </row>
    <row r="417" spans="1:33" s="536" customFormat="1" ht="33.75" x14ac:dyDescent="0.2">
      <c r="A417" s="605"/>
      <c r="B417" s="552" t="s">
        <v>1634</v>
      </c>
      <c r="C417" s="1822" t="s">
        <v>1635</v>
      </c>
      <c r="D417" s="1822"/>
      <c r="E417" s="1822"/>
      <c r="F417" s="562" t="s">
        <v>322</v>
      </c>
      <c r="G417" s="562" t="s">
        <v>786</v>
      </c>
      <c r="H417" s="562"/>
      <c r="I417" s="562" t="s">
        <v>786</v>
      </c>
      <c r="J417" s="604"/>
      <c r="K417" s="562"/>
      <c r="L417" s="604">
        <v>6.53</v>
      </c>
      <c r="M417" s="603"/>
      <c r="N417" s="602"/>
      <c r="V417" s="674"/>
      <c r="W417" s="675"/>
      <c r="AA417" s="537" t="s">
        <v>1635</v>
      </c>
      <c r="AC417" s="675"/>
      <c r="AD417" s="675"/>
      <c r="AF417" s="675"/>
      <c r="AG417" s="675"/>
    </row>
    <row r="418" spans="1:33" s="536" customFormat="1" ht="12" x14ac:dyDescent="0.2">
      <c r="A418" s="569"/>
      <c r="B418" s="656"/>
      <c r="C418" s="1823" t="s">
        <v>327</v>
      </c>
      <c r="D418" s="1823"/>
      <c r="E418" s="1823"/>
      <c r="F418" s="573"/>
      <c r="G418" s="573"/>
      <c r="H418" s="573"/>
      <c r="I418" s="573"/>
      <c r="J418" s="572"/>
      <c r="K418" s="573"/>
      <c r="L418" s="572">
        <v>35.43</v>
      </c>
      <c r="M418" s="601"/>
      <c r="N418" s="570"/>
      <c r="V418" s="674"/>
      <c r="W418" s="675"/>
      <c r="AC418" s="675" t="s">
        <v>327</v>
      </c>
      <c r="AD418" s="675"/>
      <c r="AF418" s="675"/>
      <c r="AG418" s="675"/>
    </row>
    <row r="419" spans="1:33" s="536" customFormat="1" ht="33.75" x14ac:dyDescent="0.2">
      <c r="A419" s="575" t="s">
        <v>782</v>
      </c>
      <c r="B419" s="657" t="s">
        <v>2335</v>
      </c>
      <c r="C419" s="1823" t="s">
        <v>1720</v>
      </c>
      <c r="D419" s="1823"/>
      <c r="E419" s="1823"/>
      <c r="F419" s="573" t="s">
        <v>483</v>
      </c>
      <c r="G419" s="573"/>
      <c r="H419" s="573"/>
      <c r="I419" s="573" t="s">
        <v>2336</v>
      </c>
      <c r="J419" s="572">
        <v>253.2</v>
      </c>
      <c r="K419" s="573" t="s">
        <v>716</v>
      </c>
      <c r="L419" s="572">
        <v>633.29</v>
      </c>
      <c r="M419" s="571">
        <v>8.32</v>
      </c>
      <c r="N419" s="570">
        <v>5269</v>
      </c>
      <c r="V419" s="674"/>
      <c r="W419" s="675" t="s">
        <v>1720</v>
      </c>
      <c r="AC419" s="675"/>
      <c r="AD419" s="675"/>
      <c r="AF419" s="675"/>
      <c r="AG419" s="675"/>
    </row>
    <row r="420" spans="1:33" s="536" customFormat="1" ht="12" x14ac:dyDescent="0.2">
      <c r="A420" s="569"/>
      <c r="B420" s="656"/>
      <c r="C420" s="661" t="s">
        <v>1658</v>
      </c>
      <c r="D420" s="662"/>
      <c r="E420" s="662"/>
      <c r="F420" s="563"/>
      <c r="G420" s="563"/>
      <c r="H420" s="563"/>
      <c r="I420" s="563"/>
      <c r="J420" s="566"/>
      <c r="K420" s="563"/>
      <c r="L420" s="566"/>
      <c r="M420" s="565"/>
      <c r="N420" s="564"/>
      <c r="V420" s="674"/>
      <c r="W420" s="675"/>
      <c r="AC420" s="675"/>
      <c r="AD420" s="675"/>
      <c r="AF420" s="675"/>
      <c r="AG420" s="675"/>
    </row>
    <row r="421" spans="1:33" s="536" customFormat="1" ht="12" x14ac:dyDescent="0.2">
      <c r="A421" s="676"/>
      <c r="B421" s="655"/>
      <c r="C421" s="1822" t="s">
        <v>2337</v>
      </c>
      <c r="D421" s="1822"/>
      <c r="E421" s="1822"/>
      <c r="F421" s="1822"/>
      <c r="G421" s="1822"/>
      <c r="H421" s="1822"/>
      <c r="I421" s="1822"/>
      <c r="J421" s="1822"/>
      <c r="K421" s="1822"/>
      <c r="L421" s="1822"/>
      <c r="M421" s="1822"/>
      <c r="N421" s="1827"/>
      <c r="V421" s="674"/>
      <c r="W421" s="675"/>
      <c r="X421" s="537" t="s">
        <v>2337</v>
      </c>
      <c r="AC421" s="675"/>
      <c r="AD421" s="675"/>
      <c r="AF421" s="675"/>
      <c r="AG421" s="675"/>
    </row>
    <row r="422" spans="1:33" s="536" customFormat="1" ht="22.5" x14ac:dyDescent="0.2">
      <c r="A422" s="609"/>
      <c r="B422" s="552" t="s">
        <v>718</v>
      </c>
      <c r="C422" s="1822" t="s">
        <v>719</v>
      </c>
      <c r="D422" s="1822"/>
      <c r="E422" s="1822"/>
      <c r="F422" s="1822"/>
      <c r="G422" s="1822"/>
      <c r="H422" s="1822"/>
      <c r="I422" s="1822"/>
      <c r="J422" s="1822"/>
      <c r="K422" s="1822"/>
      <c r="L422" s="1822"/>
      <c r="M422" s="1822"/>
      <c r="N422" s="1827"/>
      <c r="V422" s="674"/>
      <c r="W422" s="675"/>
      <c r="Y422" s="537" t="s">
        <v>719</v>
      </c>
      <c r="AC422" s="675"/>
      <c r="AD422" s="675"/>
      <c r="AF422" s="675"/>
      <c r="AG422" s="675"/>
    </row>
    <row r="423" spans="1:33" s="536" customFormat="1" ht="45" x14ac:dyDescent="0.2">
      <c r="A423" s="575" t="s">
        <v>501</v>
      </c>
      <c r="B423" s="657" t="s">
        <v>1668</v>
      </c>
      <c r="C423" s="1823" t="s">
        <v>1669</v>
      </c>
      <c r="D423" s="1823"/>
      <c r="E423" s="1823"/>
      <c r="F423" s="573" t="s">
        <v>1110</v>
      </c>
      <c r="G423" s="573"/>
      <c r="H423" s="573"/>
      <c r="I423" s="573" t="s">
        <v>890</v>
      </c>
      <c r="J423" s="572"/>
      <c r="K423" s="573"/>
      <c r="L423" s="572"/>
      <c r="M423" s="571"/>
      <c r="N423" s="570"/>
      <c r="V423" s="674"/>
      <c r="W423" s="675" t="s">
        <v>1669</v>
      </c>
      <c r="AC423" s="675"/>
      <c r="AD423" s="675"/>
      <c r="AF423" s="675"/>
      <c r="AG423" s="675"/>
    </row>
    <row r="424" spans="1:33" s="536" customFormat="1" ht="12" x14ac:dyDescent="0.2">
      <c r="A424" s="676"/>
      <c r="B424" s="655"/>
      <c r="C424" s="1822" t="s">
        <v>2333</v>
      </c>
      <c r="D424" s="1822"/>
      <c r="E424" s="1822"/>
      <c r="F424" s="1822"/>
      <c r="G424" s="1822"/>
      <c r="H424" s="1822"/>
      <c r="I424" s="1822"/>
      <c r="J424" s="1822"/>
      <c r="K424" s="1822"/>
      <c r="L424" s="1822"/>
      <c r="M424" s="1822"/>
      <c r="N424" s="1827"/>
      <c r="V424" s="674"/>
      <c r="W424" s="675"/>
      <c r="X424" s="537" t="s">
        <v>2333</v>
      </c>
      <c r="AC424" s="675"/>
      <c r="AD424" s="675"/>
      <c r="AF424" s="675"/>
      <c r="AG424" s="675"/>
    </row>
    <row r="425" spans="1:33" s="536" customFormat="1" ht="33.75" x14ac:dyDescent="0.2">
      <c r="A425" s="609"/>
      <c r="B425" s="552" t="s">
        <v>310</v>
      </c>
      <c r="C425" s="1822" t="s">
        <v>311</v>
      </c>
      <c r="D425" s="1822"/>
      <c r="E425" s="1822"/>
      <c r="F425" s="1822"/>
      <c r="G425" s="1822"/>
      <c r="H425" s="1822"/>
      <c r="I425" s="1822"/>
      <c r="J425" s="1822"/>
      <c r="K425" s="1822"/>
      <c r="L425" s="1822"/>
      <c r="M425" s="1822"/>
      <c r="N425" s="1827"/>
      <c r="V425" s="674"/>
      <c r="W425" s="675"/>
      <c r="Y425" s="537" t="s">
        <v>311</v>
      </c>
      <c r="AC425" s="675"/>
      <c r="AD425" s="675"/>
      <c r="AF425" s="675"/>
      <c r="AG425" s="675"/>
    </row>
    <row r="426" spans="1:33" s="536" customFormat="1" ht="12" x14ac:dyDescent="0.2">
      <c r="A426" s="605"/>
      <c r="B426" s="552" t="s">
        <v>185</v>
      </c>
      <c r="C426" s="1822" t="s">
        <v>312</v>
      </c>
      <c r="D426" s="1822"/>
      <c r="E426" s="1822"/>
      <c r="F426" s="562"/>
      <c r="G426" s="562"/>
      <c r="H426" s="562"/>
      <c r="I426" s="562"/>
      <c r="J426" s="604">
        <v>139.54</v>
      </c>
      <c r="K426" s="562" t="s">
        <v>313</v>
      </c>
      <c r="L426" s="604">
        <v>34.89</v>
      </c>
      <c r="M426" s="603"/>
      <c r="N426" s="602"/>
      <c r="V426" s="674"/>
      <c r="W426" s="675"/>
      <c r="Z426" s="537" t="s">
        <v>312</v>
      </c>
      <c r="AC426" s="675"/>
      <c r="AD426" s="675"/>
      <c r="AF426" s="675"/>
      <c r="AG426" s="675"/>
    </row>
    <row r="427" spans="1:33" s="536" customFormat="1" ht="12" x14ac:dyDescent="0.2">
      <c r="A427" s="605"/>
      <c r="B427" s="552" t="s">
        <v>188</v>
      </c>
      <c r="C427" s="1822" t="s">
        <v>475</v>
      </c>
      <c r="D427" s="1822"/>
      <c r="E427" s="1822"/>
      <c r="F427" s="562"/>
      <c r="G427" s="562"/>
      <c r="H427" s="562"/>
      <c r="I427" s="562"/>
      <c r="J427" s="604">
        <v>16.79</v>
      </c>
      <c r="K427" s="562"/>
      <c r="L427" s="604">
        <v>3.36</v>
      </c>
      <c r="M427" s="603"/>
      <c r="N427" s="602"/>
      <c r="V427" s="674"/>
      <c r="W427" s="675"/>
      <c r="Z427" s="537" t="s">
        <v>475</v>
      </c>
      <c r="AC427" s="675"/>
      <c r="AD427" s="675"/>
      <c r="AF427" s="675"/>
      <c r="AG427" s="675"/>
    </row>
    <row r="428" spans="1:33" s="536" customFormat="1" ht="12" x14ac:dyDescent="0.2">
      <c r="A428" s="605"/>
      <c r="B428" s="552"/>
      <c r="C428" s="1822" t="s">
        <v>314</v>
      </c>
      <c r="D428" s="1822"/>
      <c r="E428" s="1822"/>
      <c r="F428" s="562" t="s">
        <v>315</v>
      </c>
      <c r="G428" s="562" t="s">
        <v>1671</v>
      </c>
      <c r="H428" s="562" t="s">
        <v>313</v>
      </c>
      <c r="I428" s="562" t="s">
        <v>422</v>
      </c>
      <c r="J428" s="604"/>
      <c r="K428" s="562"/>
      <c r="L428" s="604"/>
      <c r="M428" s="603"/>
      <c r="N428" s="602"/>
      <c r="V428" s="674"/>
      <c r="W428" s="675"/>
      <c r="AA428" s="537" t="s">
        <v>314</v>
      </c>
      <c r="AC428" s="675"/>
      <c r="AD428" s="675"/>
      <c r="AF428" s="675"/>
      <c r="AG428" s="675"/>
    </row>
    <row r="429" spans="1:33" s="536" customFormat="1" ht="12" x14ac:dyDescent="0.2">
      <c r="A429" s="605"/>
      <c r="B429" s="552"/>
      <c r="C429" s="1828" t="s">
        <v>318</v>
      </c>
      <c r="D429" s="1828"/>
      <c r="E429" s="1828"/>
      <c r="F429" s="608"/>
      <c r="G429" s="608"/>
      <c r="H429" s="608"/>
      <c r="I429" s="608"/>
      <c r="J429" s="607">
        <v>156.33000000000001</v>
      </c>
      <c r="K429" s="608"/>
      <c r="L429" s="607">
        <v>38.25</v>
      </c>
      <c r="M429" s="601"/>
      <c r="N429" s="606"/>
      <c r="V429" s="674"/>
      <c r="W429" s="675"/>
      <c r="AB429" s="537" t="s">
        <v>318</v>
      </c>
      <c r="AC429" s="675"/>
      <c r="AD429" s="675"/>
      <c r="AF429" s="675"/>
      <c r="AG429" s="675"/>
    </row>
    <row r="430" spans="1:33" s="536" customFormat="1" ht="12" x14ac:dyDescent="0.2">
      <c r="A430" s="605"/>
      <c r="B430" s="552"/>
      <c r="C430" s="1822" t="s">
        <v>319</v>
      </c>
      <c r="D430" s="1822"/>
      <c r="E430" s="1822"/>
      <c r="F430" s="562"/>
      <c r="G430" s="562"/>
      <c r="H430" s="562"/>
      <c r="I430" s="562"/>
      <c r="J430" s="604"/>
      <c r="K430" s="562"/>
      <c r="L430" s="604">
        <v>34.89</v>
      </c>
      <c r="M430" s="603"/>
      <c r="N430" s="602"/>
      <c r="V430" s="674"/>
      <c r="W430" s="675"/>
      <c r="AA430" s="537" t="s">
        <v>319</v>
      </c>
      <c r="AC430" s="675"/>
      <c r="AD430" s="675"/>
      <c r="AF430" s="675"/>
      <c r="AG430" s="675"/>
    </row>
    <row r="431" spans="1:33" s="536" customFormat="1" ht="33.75" x14ac:dyDescent="0.2">
      <c r="A431" s="605"/>
      <c r="B431" s="552" t="s">
        <v>1631</v>
      </c>
      <c r="C431" s="1822" t="s">
        <v>1632</v>
      </c>
      <c r="D431" s="1822"/>
      <c r="E431" s="1822"/>
      <c r="F431" s="562" t="s">
        <v>322</v>
      </c>
      <c r="G431" s="562" t="s">
        <v>1633</v>
      </c>
      <c r="H431" s="562"/>
      <c r="I431" s="562" t="s">
        <v>1633</v>
      </c>
      <c r="J431" s="604"/>
      <c r="K431" s="562"/>
      <c r="L431" s="604">
        <v>33.840000000000003</v>
      </c>
      <c r="M431" s="603"/>
      <c r="N431" s="602"/>
      <c r="V431" s="674"/>
      <c r="W431" s="675"/>
      <c r="AA431" s="537" t="s">
        <v>1632</v>
      </c>
      <c r="AC431" s="675"/>
      <c r="AD431" s="675"/>
      <c r="AF431" s="675"/>
      <c r="AG431" s="675"/>
    </row>
    <row r="432" spans="1:33" s="536" customFormat="1" ht="33.75" x14ac:dyDescent="0.2">
      <c r="A432" s="605"/>
      <c r="B432" s="552" t="s">
        <v>1634</v>
      </c>
      <c r="C432" s="1822" t="s">
        <v>1635</v>
      </c>
      <c r="D432" s="1822"/>
      <c r="E432" s="1822"/>
      <c r="F432" s="562" t="s">
        <v>322</v>
      </c>
      <c r="G432" s="562" t="s">
        <v>786</v>
      </c>
      <c r="H432" s="562"/>
      <c r="I432" s="562" t="s">
        <v>786</v>
      </c>
      <c r="J432" s="604"/>
      <c r="K432" s="562"/>
      <c r="L432" s="604">
        <v>17.79</v>
      </c>
      <c r="M432" s="603"/>
      <c r="N432" s="602"/>
      <c r="V432" s="674"/>
      <c r="W432" s="675"/>
      <c r="AA432" s="537" t="s">
        <v>1635</v>
      </c>
      <c r="AC432" s="675"/>
      <c r="AD432" s="675"/>
      <c r="AF432" s="675"/>
      <c r="AG432" s="675"/>
    </row>
    <row r="433" spans="1:33" s="536" customFormat="1" ht="12" x14ac:dyDescent="0.2">
      <c r="A433" s="569"/>
      <c r="B433" s="656"/>
      <c r="C433" s="1823" t="s">
        <v>327</v>
      </c>
      <c r="D433" s="1823"/>
      <c r="E433" s="1823"/>
      <c r="F433" s="573"/>
      <c r="G433" s="573"/>
      <c r="H433" s="573"/>
      <c r="I433" s="573"/>
      <c r="J433" s="572"/>
      <c r="K433" s="573"/>
      <c r="L433" s="572">
        <v>89.88</v>
      </c>
      <c r="M433" s="601"/>
      <c r="N433" s="570"/>
      <c r="V433" s="674"/>
      <c r="W433" s="675"/>
      <c r="AC433" s="675" t="s">
        <v>327</v>
      </c>
      <c r="AD433" s="675"/>
      <c r="AF433" s="675"/>
      <c r="AG433" s="675"/>
    </row>
    <row r="434" spans="1:33" s="536" customFormat="1" ht="45" x14ac:dyDescent="0.2">
      <c r="A434" s="575" t="s">
        <v>784</v>
      </c>
      <c r="B434" s="657" t="s">
        <v>1724</v>
      </c>
      <c r="C434" s="1823" t="s">
        <v>1725</v>
      </c>
      <c r="D434" s="1823"/>
      <c r="E434" s="1823"/>
      <c r="F434" s="573" t="s">
        <v>483</v>
      </c>
      <c r="G434" s="573"/>
      <c r="H434" s="573"/>
      <c r="I434" s="573" t="s">
        <v>2336</v>
      </c>
      <c r="J434" s="572">
        <v>3</v>
      </c>
      <c r="K434" s="573"/>
      <c r="L434" s="572">
        <v>61.2</v>
      </c>
      <c r="M434" s="571"/>
      <c r="N434" s="570"/>
      <c r="V434" s="674"/>
      <c r="W434" s="675" t="s">
        <v>1725</v>
      </c>
      <c r="AC434" s="675"/>
      <c r="AD434" s="675"/>
      <c r="AF434" s="675"/>
      <c r="AG434" s="675"/>
    </row>
    <row r="435" spans="1:33" s="536" customFormat="1" ht="12" x14ac:dyDescent="0.2">
      <c r="A435" s="569"/>
      <c r="B435" s="656"/>
      <c r="C435" s="661" t="s">
        <v>1658</v>
      </c>
      <c r="D435" s="662"/>
      <c r="E435" s="662"/>
      <c r="F435" s="563"/>
      <c r="G435" s="563"/>
      <c r="H435" s="563"/>
      <c r="I435" s="563"/>
      <c r="J435" s="566"/>
      <c r="K435" s="563"/>
      <c r="L435" s="566"/>
      <c r="M435" s="565"/>
      <c r="N435" s="564"/>
      <c r="V435" s="674"/>
      <c r="W435" s="675"/>
      <c r="AC435" s="675"/>
      <c r="AD435" s="675"/>
      <c r="AF435" s="675"/>
      <c r="AG435" s="675"/>
    </row>
    <row r="436" spans="1:33" s="536" customFormat="1" ht="12" x14ac:dyDescent="0.2">
      <c r="A436" s="676"/>
      <c r="B436" s="655"/>
      <c r="C436" s="1822" t="s">
        <v>2337</v>
      </c>
      <c r="D436" s="1822"/>
      <c r="E436" s="1822"/>
      <c r="F436" s="1822"/>
      <c r="G436" s="1822"/>
      <c r="H436" s="1822"/>
      <c r="I436" s="1822"/>
      <c r="J436" s="1822"/>
      <c r="K436" s="1822"/>
      <c r="L436" s="1822"/>
      <c r="M436" s="1822"/>
      <c r="N436" s="1827"/>
      <c r="V436" s="674"/>
      <c r="W436" s="675"/>
      <c r="X436" s="537" t="s">
        <v>2337</v>
      </c>
      <c r="AC436" s="675"/>
      <c r="AD436" s="675"/>
      <c r="AF436" s="675"/>
      <c r="AG436" s="675"/>
    </row>
    <row r="437" spans="1:33" s="536" customFormat="1" ht="12" x14ac:dyDescent="0.2">
      <c r="A437" s="575" t="s">
        <v>1679</v>
      </c>
      <c r="B437" s="657" t="s">
        <v>1690</v>
      </c>
      <c r="C437" s="1823" t="s">
        <v>1691</v>
      </c>
      <c r="D437" s="1823"/>
      <c r="E437" s="1823"/>
      <c r="F437" s="573" t="s">
        <v>617</v>
      </c>
      <c r="G437" s="573"/>
      <c r="H437" s="573"/>
      <c r="I437" s="573" t="s">
        <v>188</v>
      </c>
      <c r="J437" s="572"/>
      <c r="K437" s="573"/>
      <c r="L437" s="572"/>
      <c r="M437" s="571"/>
      <c r="N437" s="570"/>
      <c r="V437" s="674"/>
      <c r="W437" s="675" t="s">
        <v>1691</v>
      </c>
      <c r="AC437" s="675"/>
      <c r="AD437" s="675"/>
      <c r="AF437" s="675"/>
      <c r="AG437" s="675"/>
    </row>
    <row r="438" spans="1:33" s="536" customFormat="1" ht="33.75" x14ac:dyDescent="0.2">
      <c r="A438" s="609"/>
      <c r="B438" s="552" t="s">
        <v>310</v>
      </c>
      <c r="C438" s="1822" t="s">
        <v>311</v>
      </c>
      <c r="D438" s="1822"/>
      <c r="E438" s="1822"/>
      <c r="F438" s="1822"/>
      <c r="G438" s="1822"/>
      <c r="H438" s="1822"/>
      <c r="I438" s="1822"/>
      <c r="J438" s="1822"/>
      <c r="K438" s="1822"/>
      <c r="L438" s="1822"/>
      <c r="M438" s="1822"/>
      <c r="N438" s="1827"/>
      <c r="V438" s="674"/>
      <c r="W438" s="675"/>
      <c r="Y438" s="537" t="s">
        <v>311</v>
      </c>
      <c r="AC438" s="675"/>
      <c r="AD438" s="675"/>
      <c r="AF438" s="675"/>
      <c r="AG438" s="675"/>
    </row>
    <row r="439" spans="1:33" s="536" customFormat="1" ht="12" x14ac:dyDescent="0.2">
      <c r="A439" s="605"/>
      <c r="B439" s="552" t="s">
        <v>185</v>
      </c>
      <c r="C439" s="1822" t="s">
        <v>312</v>
      </c>
      <c r="D439" s="1822"/>
      <c r="E439" s="1822"/>
      <c r="F439" s="562"/>
      <c r="G439" s="562"/>
      <c r="H439" s="562"/>
      <c r="I439" s="562"/>
      <c r="J439" s="604">
        <v>4.88</v>
      </c>
      <c r="K439" s="562" t="s">
        <v>313</v>
      </c>
      <c r="L439" s="604">
        <v>24.4</v>
      </c>
      <c r="M439" s="603"/>
      <c r="N439" s="602"/>
      <c r="V439" s="674"/>
      <c r="W439" s="675"/>
      <c r="Z439" s="537" t="s">
        <v>312</v>
      </c>
      <c r="AC439" s="675"/>
      <c r="AD439" s="675"/>
      <c r="AF439" s="675"/>
      <c r="AG439" s="675"/>
    </row>
    <row r="440" spans="1:33" s="536" customFormat="1" ht="12" x14ac:dyDescent="0.2">
      <c r="A440" s="605"/>
      <c r="B440" s="552" t="s">
        <v>188</v>
      </c>
      <c r="C440" s="1822" t="s">
        <v>475</v>
      </c>
      <c r="D440" s="1822"/>
      <c r="E440" s="1822"/>
      <c r="F440" s="562"/>
      <c r="G440" s="562"/>
      <c r="H440" s="562"/>
      <c r="I440" s="562"/>
      <c r="J440" s="604">
        <v>0.41</v>
      </c>
      <c r="K440" s="562"/>
      <c r="L440" s="604">
        <v>1.64</v>
      </c>
      <c r="M440" s="603"/>
      <c r="N440" s="602"/>
      <c r="V440" s="674"/>
      <c r="W440" s="675"/>
      <c r="Z440" s="537" t="s">
        <v>475</v>
      </c>
      <c r="AC440" s="675"/>
      <c r="AD440" s="675"/>
      <c r="AF440" s="675"/>
      <c r="AG440" s="675"/>
    </row>
    <row r="441" spans="1:33" s="536" customFormat="1" ht="12" x14ac:dyDescent="0.2">
      <c r="A441" s="605"/>
      <c r="B441" s="552"/>
      <c r="C441" s="1822" t="s">
        <v>314</v>
      </c>
      <c r="D441" s="1822"/>
      <c r="E441" s="1822"/>
      <c r="F441" s="562" t="s">
        <v>315</v>
      </c>
      <c r="G441" s="562" t="s">
        <v>1692</v>
      </c>
      <c r="H441" s="562" t="s">
        <v>313</v>
      </c>
      <c r="I441" s="562" t="s">
        <v>722</v>
      </c>
      <c r="J441" s="604"/>
      <c r="K441" s="562"/>
      <c r="L441" s="604"/>
      <c r="M441" s="603"/>
      <c r="N441" s="602"/>
      <c r="V441" s="674"/>
      <c r="W441" s="675"/>
      <c r="AA441" s="537" t="s">
        <v>314</v>
      </c>
      <c r="AC441" s="675"/>
      <c r="AD441" s="675"/>
      <c r="AF441" s="675"/>
      <c r="AG441" s="675"/>
    </row>
    <row r="442" spans="1:33" s="536" customFormat="1" ht="12" x14ac:dyDescent="0.2">
      <c r="A442" s="605"/>
      <c r="B442" s="552"/>
      <c r="C442" s="1828" t="s">
        <v>318</v>
      </c>
      <c r="D442" s="1828"/>
      <c r="E442" s="1828"/>
      <c r="F442" s="608"/>
      <c r="G442" s="608"/>
      <c r="H442" s="608"/>
      <c r="I442" s="608"/>
      <c r="J442" s="607">
        <v>5.29</v>
      </c>
      <c r="K442" s="608"/>
      <c r="L442" s="607">
        <v>26.04</v>
      </c>
      <c r="M442" s="601"/>
      <c r="N442" s="606"/>
      <c r="V442" s="674"/>
      <c r="W442" s="675"/>
      <c r="AB442" s="537" t="s">
        <v>318</v>
      </c>
      <c r="AC442" s="675"/>
      <c r="AD442" s="675"/>
      <c r="AF442" s="675"/>
      <c r="AG442" s="675"/>
    </row>
    <row r="443" spans="1:33" s="536" customFormat="1" ht="12" x14ac:dyDescent="0.2">
      <c r="A443" s="605"/>
      <c r="B443" s="552"/>
      <c r="C443" s="1822" t="s">
        <v>319</v>
      </c>
      <c r="D443" s="1822"/>
      <c r="E443" s="1822"/>
      <c r="F443" s="562"/>
      <c r="G443" s="562"/>
      <c r="H443" s="562"/>
      <c r="I443" s="562"/>
      <c r="J443" s="604"/>
      <c r="K443" s="562"/>
      <c r="L443" s="604">
        <v>24.4</v>
      </c>
      <c r="M443" s="603"/>
      <c r="N443" s="602"/>
      <c r="V443" s="674"/>
      <c r="W443" s="675"/>
      <c r="AA443" s="537" t="s">
        <v>319</v>
      </c>
      <c r="AC443" s="675"/>
      <c r="AD443" s="675"/>
      <c r="AF443" s="675"/>
      <c r="AG443" s="675"/>
    </row>
    <row r="444" spans="1:33" s="536" customFormat="1" ht="33.75" x14ac:dyDescent="0.2">
      <c r="A444" s="605"/>
      <c r="B444" s="552" t="s">
        <v>884</v>
      </c>
      <c r="C444" s="1822" t="s">
        <v>885</v>
      </c>
      <c r="D444" s="1822"/>
      <c r="E444" s="1822"/>
      <c r="F444" s="562" t="s">
        <v>322</v>
      </c>
      <c r="G444" s="562" t="s">
        <v>886</v>
      </c>
      <c r="H444" s="562"/>
      <c r="I444" s="562" t="s">
        <v>886</v>
      </c>
      <c r="J444" s="604"/>
      <c r="K444" s="562"/>
      <c r="L444" s="604">
        <v>21.96</v>
      </c>
      <c r="M444" s="603"/>
      <c r="N444" s="602"/>
      <c r="V444" s="674"/>
      <c r="W444" s="675"/>
      <c r="AA444" s="537" t="s">
        <v>885</v>
      </c>
      <c r="AC444" s="675"/>
      <c r="AD444" s="675"/>
      <c r="AF444" s="675"/>
      <c r="AG444" s="675"/>
    </row>
    <row r="445" spans="1:33" s="536" customFormat="1" ht="33.75" x14ac:dyDescent="0.2">
      <c r="A445" s="605"/>
      <c r="B445" s="552" t="s">
        <v>887</v>
      </c>
      <c r="C445" s="1822" t="s">
        <v>888</v>
      </c>
      <c r="D445" s="1822"/>
      <c r="E445" s="1822"/>
      <c r="F445" s="562" t="s">
        <v>322</v>
      </c>
      <c r="G445" s="562" t="s">
        <v>465</v>
      </c>
      <c r="H445" s="562"/>
      <c r="I445" s="562" t="s">
        <v>465</v>
      </c>
      <c r="J445" s="604"/>
      <c r="K445" s="562"/>
      <c r="L445" s="604">
        <v>11.22</v>
      </c>
      <c r="M445" s="603"/>
      <c r="N445" s="602"/>
      <c r="V445" s="674"/>
      <c r="W445" s="675"/>
      <c r="AA445" s="537" t="s">
        <v>888</v>
      </c>
      <c r="AC445" s="675"/>
      <c r="AD445" s="675"/>
      <c r="AF445" s="675"/>
      <c r="AG445" s="675"/>
    </row>
    <row r="446" spans="1:33" s="536" customFormat="1" ht="12" x14ac:dyDescent="0.2">
      <c r="A446" s="569"/>
      <c r="B446" s="656"/>
      <c r="C446" s="1823" t="s">
        <v>327</v>
      </c>
      <c r="D446" s="1823"/>
      <c r="E446" s="1823"/>
      <c r="F446" s="573"/>
      <c r="G446" s="573"/>
      <c r="H446" s="573"/>
      <c r="I446" s="573"/>
      <c r="J446" s="572"/>
      <c r="K446" s="573"/>
      <c r="L446" s="572">
        <v>59.22</v>
      </c>
      <c r="M446" s="601"/>
      <c r="N446" s="570"/>
      <c r="V446" s="674"/>
      <c r="W446" s="675"/>
      <c r="AC446" s="675" t="s">
        <v>327</v>
      </c>
      <c r="AD446" s="675"/>
      <c r="AF446" s="675"/>
      <c r="AG446" s="675"/>
    </row>
    <row r="447" spans="1:33" s="536" customFormat="1" ht="33.75" x14ac:dyDescent="0.2">
      <c r="A447" s="575" t="s">
        <v>786</v>
      </c>
      <c r="B447" s="657" t="s">
        <v>2338</v>
      </c>
      <c r="C447" s="1823" t="s">
        <v>1728</v>
      </c>
      <c r="D447" s="1823"/>
      <c r="E447" s="1823"/>
      <c r="F447" s="573" t="s">
        <v>483</v>
      </c>
      <c r="G447" s="573"/>
      <c r="H447" s="573"/>
      <c r="I447" s="573" t="s">
        <v>188</v>
      </c>
      <c r="J447" s="572">
        <v>902.71</v>
      </c>
      <c r="K447" s="573" t="s">
        <v>716</v>
      </c>
      <c r="L447" s="572">
        <v>442.67</v>
      </c>
      <c r="M447" s="571">
        <v>8.32</v>
      </c>
      <c r="N447" s="570">
        <v>3683</v>
      </c>
      <c r="V447" s="674"/>
      <c r="W447" s="675" t="s">
        <v>1728</v>
      </c>
      <c r="AC447" s="675"/>
      <c r="AD447" s="675"/>
      <c r="AF447" s="675"/>
      <c r="AG447" s="675"/>
    </row>
    <row r="448" spans="1:33" s="536" customFormat="1" ht="12" x14ac:dyDescent="0.2">
      <c r="A448" s="569"/>
      <c r="B448" s="656"/>
      <c r="C448" s="661" t="s">
        <v>1658</v>
      </c>
      <c r="D448" s="662"/>
      <c r="E448" s="662"/>
      <c r="F448" s="563"/>
      <c r="G448" s="563"/>
      <c r="H448" s="563"/>
      <c r="I448" s="563"/>
      <c r="J448" s="566"/>
      <c r="K448" s="563"/>
      <c r="L448" s="566"/>
      <c r="M448" s="565"/>
      <c r="N448" s="564"/>
      <c r="V448" s="674"/>
      <c r="W448" s="675"/>
      <c r="AC448" s="675"/>
      <c r="AD448" s="675"/>
      <c r="AF448" s="675"/>
      <c r="AG448" s="675"/>
    </row>
    <row r="449" spans="1:33" s="536" customFormat="1" ht="22.5" x14ac:dyDescent="0.2">
      <c r="A449" s="609"/>
      <c r="B449" s="552" t="s">
        <v>718</v>
      </c>
      <c r="C449" s="1822" t="s">
        <v>719</v>
      </c>
      <c r="D449" s="1822"/>
      <c r="E449" s="1822"/>
      <c r="F449" s="1822"/>
      <c r="G449" s="1822"/>
      <c r="H449" s="1822"/>
      <c r="I449" s="1822"/>
      <c r="J449" s="1822"/>
      <c r="K449" s="1822"/>
      <c r="L449" s="1822"/>
      <c r="M449" s="1822"/>
      <c r="N449" s="1827"/>
      <c r="V449" s="674"/>
      <c r="W449" s="675"/>
      <c r="Y449" s="537" t="s">
        <v>719</v>
      </c>
      <c r="AC449" s="675"/>
      <c r="AD449" s="675"/>
      <c r="AF449" s="675"/>
      <c r="AG449" s="675"/>
    </row>
    <row r="450" spans="1:33" s="536" customFormat="1" ht="33.75" x14ac:dyDescent="0.2">
      <c r="A450" s="575" t="s">
        <v>787</v>
      </c>
      <c r="B450" s="657" t="s">
        <v>1729</v>
      </c>
      <c r="C450" s="1823" t="s">
        <v>1730</v>
      </c>
      <c r="D450" s="1823"/>
      <c r="E450" s="1823"/>
      <c r="F450" s="573" t="s">
        <v>617</v>
      </c>
      <c r="G450" s="573"/>
      <c r="H450" s="573"/>
      <c r="I450" s="573" t="s">
        <v>193</v>
      </c>
      <c r="J450" s="572">
        <v>17.22</v>
      </c>
      <c r="K450" s="573" t="s">
        <v>716</v>
      </c>
      <c r="L450" s="572">
        <v>18.989999999999998</v>
      </c>
      <c r="M450" s="571">
        <v>8.32</v>
      </c>
      <c r="N450" s="570">
        <v>158</v>
      </c>
      <c r="V450" s="674"/>
      <c r="W450" s="675" t="s">
        <v>1730</v>
      </c>
      <c r="AC450" s="675"/>
      <c r="AD450" s="675"/>
      <c r="AF450" s="675"/>
      <c r="AG450" s="675"/>
    </row>
    <row r="451" spans="1:33" s="536" customFormat="1" ht="12" x14ac:dyDescent="0.2">
      <c r="A451" s="569"/>
      <c r="B451" s="656"/>
      <c r="C451" s="661" t="s">
        <v>1658</v>
      </c>
      <c r="D451" s="662"/>
      <c r="E451" s="662"/>
      <c r="F451" s="563"/>
      <c r="G451" s="563"/>
      <c r="H451" s="563"/>
      <c r="I451" s="563"/>
      <c r="J451" s="566"/>
      <c r="K451" s="563"/>
      <c r="L451" s="566"/>
      <c r="M451" s="565"/>
      <c r="N451" s="564"/>
      <c r="V451" s="674"/>
      <c r="W451" s="675"/>
      <c r="AC451" s="675"/>
      <c r="AD451" s="675"/>
      <c r="AF451" s="675"/>
      <c r="AG451" s="675"/>
    </row>
    <row r="452" spans="1:33" s="536" customFormat="1" ht="22.5" x14ac:dyDescent="0.2">
      <c r="A452" s="609"/>
      <c r="B452" s="552" t="s">
        <v>718</v>
      </c>
      <c r="C452" s="1822" t="s">
        <v>719</v>
      </c>
      <c r="D452" s="1822"/>
      <c r="E452" s="1822"/>
      <c r="F452" s="1822"/>
      <c r="G452" s="1822"/>
      <c r="H452" s="1822"/>
      <c r="I452" s="1822"/>
      <c r="J452" s="1822"/>
      <c r="K452" s="1822"/>
      <c r="L452" s="1822"/>
      <c r="M452" s="1822"/>
      <c r="N452" s="1827"/>
      <c r="V452" s="674"/>
      <c r="W452" s="675"/>
      <c r="Y452" s="537" t="s">
        <v>719</v>
      </c>
      <c r="AC452" s="675"/>
      <c r="AD452" s="675"/>
      <c r="AF452" s="675"/>
      <c r="AG452" s="675"/>
    </row>
    <row r="453" spans="1:33" s="536" customFormat="1" ht="33.75" x14ac:dyDescent="0.2">
      <c r="A453" s="575" t="s">
        <v>624</v>
      </c>
      <c r="B453" s="657" t="s">
        <v>1731</v>
      </c>
      <c r="C453" s="1823" t="s">
        <v>1732</v>
      </c>
      <c r="D453" s="1823"/>
      <c r="E453" s="1823"/>
      <c r="F453" s="573" t="s">
        <v>617</v>
      </c>
      <c r="G453" s="573"/>
      <c r="H453" s="573"/>
      <c r="I453" s="573" t="s">
        <v>193</v>
      </c>
      <c r="J453" s="572">
        <v>7.81</v>
      </c>
      <c r="K453" s="573" t="s">
        <v>716</v>
      </c>
      <c r="L453" s="572">
        <v>8.65</v>
      </c>
      <c r="M453" s="571">
        <v>8.32</v>
      </c>
      <c r="N453" s="570">
        <v>72</v>
      </c>
      <c r="V453" s="674"/>
      <c r="W453" s="675" t="s">
        <v>1732</v>
      </c>
      <c r="AC453" s="675"/>
      <c r="AD453" s="675"/>
      <c r="AF453" s="675"/>
      <c r="AG453" s="675"/>
    </row>
    <row r="454" spans="1:33" s="536" customFormat="1" ht="12" x14ac:dyDescent="0.2">
      <c r="A454" s="569"/>
      <c r="B454" s="656"/>
      <c r="C454" s="661" t="s">
        <v>1658</v>
      </c>
      <c r="D454" s="662"/>
      <c r="E454" s="662"/>
      <c r="F454" s="563"/>
      <c r="G454" s="563"/>
      <c r="H454" s="563"/>
      <c r="I454" s="563"/>
      <c r="J454" s="566"/>
      <c r="K454" s="563"/>
      <c r="L454" s="566"/>
      <c r="M454" s="565"/>
      <c r="N454" s="564"/>
      <c r="V454" s="674"/>
      <c r="W454" s="675"/>
      <c r="AC454" s="675"/>
      <c r="AD454" s="675"/>
      <c r="AF454" s="675"/>
      <c r="AG454" s="675"/>
    </row>
    <row r="455" spans="1:33" s="536" customFormat="1" ht="22.5" x14ac:dyDescent="0.2">
      <c r="A455" s="609"/>
      <c r="B455" s="552" t="s">
        <v>718</v>
      </c>
      <c r="C455" s="1822" t="s">
        <v>719</v>
      </c>
      <c r="D455" s="1822"/>
      <c r="E455" s="1822"/>
      <c r="F455" s="1822"/>
      <c r="G455" s="1822"/>
      <c r="H455" s="1822"/>
      <c r="I455" s="1822"/>
      <c r="J455" s="1822"/>
      <c r="K455" s="1822"/>
      <c r="L455" s="1822"/>
      <c r="M455" s="1822"/>
      <c r="N455" s="1827"/>
      <c r="V455" s="674"/>
      <c r="W455" s="675"/>
      <c r="Y455" s="537" t="s">
        <v>719</v>
      </c>
      <c r="AC455" s="675"/>
      <c r="AD455" s="675"/>
      <c r="AF455" s="675"/>
      <c r="AG455" s="675"/>
    </row>
    <row r="456" spans="1:33" s="536" customFormat="1" ht="22.5" x14ac:dyDescent="0.2">
      <c r="A456" s="575" t="s">
        <v>1784</v>
      </c>
      <c r="B456" s="657" t="s">
        <v>1733</v>
      </c>
      <c r="C456" s="1823" t="s">
        <v>1734</v>
      </c>
      <c r="D456" s="1823"/>
      <c r="E456" s="1823"/>
      <c r="F456" s="573" t="s">
        <v>307</v>
      </c>
      <c r="G456" s="573"/>
      <c r="H456" s="573"/>
      <c r="I456" s="573" t="s">
        <v>728</v>
      </c>
      <c r="J456" s="572">
        <v>125</v>
      </c>
      <c r="K456" s="573"/>
      <c r="L456" s="572">
        <v>5</v>
      </c>
      <c r="M456" s="571"/>
      <c r="N456" s="570"/>
      <c r="V456" s="674"/>
      <c r="W456" s="675" t="s">
        <v>1734</v>
      </c>
      <c r="AC456" s="675"/>
      <c r="AD456" s="675"/>
      <c r="AF456" s="675"/>
      <c r="AG456" s="675"/>
    </row>
    <row r="457" spans="1:33" s="536" customFormat="1" ht="12" x14ac:dyDescent="0.2">
      <c r="A457" s="569"/>
      <c r="B457" s="656"/>
      <c r="C457" s="661" t="s">
        <v>1658</v>
      </c>
      <c r="D457" s="662"/>
      <c r="E457" s="662"/>
      <c r="F457" s="563"/>
      <c r="G457" s="563"/>
      <c r="H457" s="563"/>
      <c r="I457" s="563"/>
      <c r="J457" s="566"/>
      <c r="K457" s="563"/>
      <c r="L457" s="566"/>
      <c r="M457" s="565"/>
      <c r="N457" s="564"/>
      <c r="V457" s="674"/>
      <c r="W457" s="675"/>
      <c r="AC457" s="675"/>
      <c r="AD457" s="675"/>
      <c r="AF457" s="675"/>
      <c r="AG457" s="675"/>
    </row>
    <row r="458" spans="1:33" s="536" customFormat="1" ht="12" x14ac:dyDescent="0.2">
      <c r="A458" s="676"/>
      <c r="B458" s="655"/>
      <c r="C458" s="1822" t="s">
        <v>2263</v>
      </c>
      <c r="D458" s="1822"/>
      <c r="E458" s="1822"/>
      <c r="F458" s="1822"/>
      <c r="G458" s="1822"/>
      <c r="H458" s="1822"/>
      <c r="I458" s="1822"/>
      <c r="J458" s="1822"/>
      <c r="K458" s="1822"/>
      <c r="L458" s="1822"/>
      <c r="M458" s="1822"/>
      <c r="N458" s="1827"/>
      <c r="V458" s="674"/>
      <c r="W458" s="675"/>
      <c r="X458" s="537" t="s">
        <v>2263</v>
      </c>
      <c r="AC458" s="675"/>
      <c r="AD458" s="675"/>
      <c r="AF458" s="675"/>
      <c r="AG458" s="675"/>
    </row>
    <row r="459" spans="1:33" s="536" customFormat="1" ht="22.5" x14ac:dyDescent="0.2">
      <c r="A459" s="575" t="s">
        <v>789</v>
      </c>
      <c r="B459" s="657" t="s">
        <v>1736</v>
      </c>
      <c r="C459" s="1823" t="s">
        <v>1737</v>
      </c>
      <c r="D459" s="1823"/>
      <c r="E459" s="1823"/>
      <c r="F459" s="573" t="s">
        <v>307</v>
      </c>
      <c r="G459" s="573"/>
      <c r="H459" s="573"/>
      <c r="I459" s="573" t="s">
        <v>809</v>
      </c>
      <c r="J459" s="572">
        <v>20</v>
      </c>
      <c r="K459" s="573"/>
      <c r="L459" s="572">
        <v>0.2</v>
      </c>
      <c r="M459" s="571"/>
      <c r="N459" s="570"/>
      <c r="V459" s="674"/>
      <c r="W459" s="675" t="s">
        <v>1737</v>
      </c>
      <c r="AC459" s="675"/>
      <c r="AD459" s="675"/>
      <c r="AF459" s="675"/>
      <c r="AG459" s="675"/>
    </row>
    <row r="460" spans="1:33" s="536" customFormat="1" ht="12" x14ac:dyDescent="0.2">
      <c r="A460" s="569"/>
      <c r="B460" s="656"/>
      <c r="C460" s="661" t="s">
        <v>1658</v>
      </c>
      <c r="D460" s="662"/>
      <c r="E460" s="662"/>
      <c r="F460" s="563"/>
      <c r="G460" s="563"/>
      <c r="H460" s="563"/>
      <c r="I460" s="563"/>
      <c r="J460" s="566"/>
      <c r="K460" s="563"/>
      <c r="L460" s="566"/>
      <c r="M460" s="565"/>
      <c r="N460" s="564"/>
      <c r="V460" s="674"/>
      <c r="W460" s="675"/>
      <c r="AC460" s="675"/>
      <c r="AD460" s="675"/>
      <c r="AF460" s="675"/>
      <c r="AG460" s="675"/>
    </row>
    <row r="461" spans="1:33" s="536" customFormat="1" ht="12" x14ac:dyDescent="0.2">
      <c r="A461" s="676"/>
      <c r="B461" s="655"/>
      <c r="C461" s="1822" t="s">
        <v>843</v>
      </c>
      <c r="D461" s="1822"/>
      <c r="E461" s="1822"/>
      <c r="F461" s="1822"/>
      <c r="G461" s="1822"/>
      <c r="H461" s="1822"/>
      <c r="I461" s="1822"/>
      <c r="J461" s="1822"/>
      <c r="K461" s="1822"/>
      <c r="L461" s="1822"/>
      <c r="M461" s="1822"/>
      <c r="N461" s="1827"/>
      <c r="V461" s="674"/>
      <c r="W461" s="675"/>
      <c r="X461" s="537" t="s">
        <v>843</v>
      </c>
      <c r="AC461" s="675"/>
      <c r="AD461" s="675"/>
      <c r="AF461" s="675"/>
      <c r="AG461" s="675"/>
    </row>
    <row r="462" spans="1:33" s="536" customFormat="1" ht="22.5" x14ac:dyDescent="0.2">
      <c r="A462" s="575" t="s">
        <v>2339</v>
      </c>
      <c r="B462" s="657" t="s">
        <v>1738</v>
      </c>
      <c r="C462" s="1823" t="s">
        <v>1739</v>
      </c>
      <c r="D462" s="1823"/>
      <c r="E462" s="1823"/>
      <c r="F462" s="573" t="s">
        <v>307</v>
      </c>
      <c r="G462" s="573"/>
      <c r="H462" s="573"/>
      <c r="I462" s="573" t="s">
        <v>185</v>
      </c>
      <c r="J462" s="572">
        <v>14.46</v>
      </c>
      <c r="K462" s="573"/>
      <c r="L462" s="572">
        <v>14.46</v>
      </c>
      <c r="M462" s="571"/>
      <c r="N462" s="570"/>
      <c r="V462" s="674"/>
      <c r="W462" s="675" t="s">
        <v>1739</v>
      </c>
      <c r="AC462" s="675"/>
      <c r="AD462" s="675"/>
      <c r="AF462" s="675"/>
      <c r="AG462" s="675"/>
    </row>
    <row r="463" spans="1:33" s="536" customFormat="1" ht="12" x14ac:dyDescent="0.2">
      <c r="A463" s="569"/>
      <c r="B463" s="656"/>
      <c r="C463" s="661" t="s">
        <v>1658</v>
      </c>
      <c r="D463" s="662"/>
      <c r="E463" s="662"/>
      <c r="F463" s="563"/>
      <c r="G463" s="563"/>
      <c r="H463" s="563"/>
      <c r="I463" s="563"/>
      <c r="J463" s="566"/>
      <c r="K463" s="563"/>
      <c r="L463" s="566"/>
      <c r="M463" s="565"/>
      <c r="N463" s="564"/>
      <c r="V463" s="674"/>
      <c r="W463" s="675"/>
      <c r="AC463" s="675"/>
      <c r="AD463" s="675"/>
      <c r="AF463" s="675"/>
      <c r="AG463" s="675"/>
    </row>
    <row r="464" spans="1:33" s="536" customFormat="1" ht="12" x14ac:dyDescent="0.2">
      <c r="A464" s="676"/>
      <c r="B464" s="655"/>
      <c r="C464" s="1822" t="s">
        <v>2340</v>
      </c>
      <c r="D464" s="1822"/>
      <c r="E464" s="1822"/>
      <c r="F464" s="1822"/>
      <c r="G464" s="1822"/>
      <c r="H464" s="1822"/>
      <c r="I464" s="1822"/>
      <c r="J464" s="1822"/>
      <c r="K464" s="1822"/>
      <c r="L464" s="1822"/>
      <c r="M464" s="1822"/>
      <c r="N464" s="1827"/>
      <c r="V464" s="674"/>
      <c r="W464" s="675"/>
      <c r="X464" s="537" t="s">
        <v>2340</v>
      </c>
      <c r="AC464" s="675"/>
      <c r="AD464" s="675"/>
      <c r="AF464" s="675"/>
      <c r="AG464" s="675"/>
    </row>
    <row r="465" spans="1:33" s="536" customFormat="1" ht="33.75" x14ac:dyDescent="0.2">
      <c r="A465" s="575" t="s">
        <v>791</v>
      </c>
      <c r="B465" s="657" t="s">
        <v>1741</v>
      </c>
      <c r="C465" s="1823" t="s">
        <v>1742</v>
      </c>
      <c r="D465" s="1823"/>
      <c r="E465" s="1823"/>
      <c r="F465" s="573" t="s">
        <v>617</v>
      </c>
      <c r="G465" s="573"/>
      <c r="H465" s="573"/>
      <c r="I465" s="573" t="s">
        <v>897</v>
      </c>
      <c r="J465" s="572">
        <v>45.33</v>
      </c>
      <c r="K465" s="573" t="s">
        <v>716</v>
      </c>
      <c r="L465" s="572">
        <v>400.12</v>
      </c>
      <c r="M465" s="571">
        <v>8.32</v>
      </c>
      <c r="N465" s="570">
        <v>3329</v>
      </c>
      <c r="V465" s="674"/>
      <c r="W465" s="675" t="s">
        <v>1742</v>
      </c>
      <c r="AC465" s="675"/>
      <c r="AD465" s="675"/>
      <c r="AF465" s="675"/>
      <c r="AG465" s="675"/>
    </row>
    <row r="466" spans="1:33" s="536" customFormat="1" ht="12" x14ac:dyDescent="0.2">
      <c r="A466" s="569"/>
      <c r="B466" s="656"/>
      <c r="C466" s="661" t="s">
        <v>1658</v>
      </c>
      <c r="D466" s="662"/>
      <c r="E466" s="662"/>
      <c r="F466" s="563"/>
      <c r="G466" s="563"/>
      <c r="H466" s="563"/>
      <c r="I466" s="563"/>
      <c r="J466" s="566"/>
      <c r="K466" s="563"/>
      <c r="L466" s="566"/>
      <c r="M466" s="565"/>
      <c r="N466" s="564"/>
      <c r="V466" s="674"/>
      <c r="W466" s="675"/>
      <c r="AC466" s="675"/>
      <c r="AD466" s="675"/>
      <c r="AF466" s="675"/>
      <c r="AG466" s="675"/>
    </row>
    <row r="467" spans="1:33" s="536" customFormat="1" ht="22.5" x14ac:dyDescent="0.2">
      <c r="A467" s="609"/>
      <c r="B467" s="552" t="s">
        <v>718</v>
      </c>
      <c r="C467" s="1822" t="s">
        <v>719</v>
      </c>
      <c r="D467" s="1822"/>
      <c r="E467" s="1822"/>
      <c r="F467" s="1822"/>
      <c r="G467" s="1822"/>
      <c r="H467" s="1822"/>
      <c r="I467" s="1822"/>
      <c r="J467" s="1822"/>
      <c r="K467" s="1822"/>
      <c r="L467" s="1822"/>
      <c r="M467" s="1822"/>
      <c r="N467" s="1827"/>
      <c r="V467" s="674"/>
      <c r="W467" s="675"/>
      <c r="Y467" s="537" t="s">
        <v>719</v>
      </c>
      <c r="AC467" s="675"/>
      <c r="AD467" s="675"/>
      <c r="AF467" s="675"/>
      <c r="AG467" s="675"/>
    </row>
    <row r="468" spans="1:33" s="536" customFormat="1" ht="33.75" x14ac:dyDescent="0.2">
      <c r="A468" s="575" t="s">
        <v>690</v>
      </c>
      <c r="B468" s="657" t="s">
        <v>1744</v>
      </c>
      <c r="C468" s="1823" t="s">
        <v>1745</v>
      </c>
      <c r="D468" s="1823"/>
      <c r="E468" s="1823"/>
      <c r="F468" s="573" t="s">
        <v>617</v>
      </c>
      <c r="G468" s="573"/>
      <c r="H468" s="573"/>
      <c r="I468" s="573" t="s">
        <v>733</v>
      </c>
      <c r="J468" s="572">
        <v>42.2</v>
      </c>
      <c r="K468" s="573" t="s">
        <v>716</v>
      </c>
      <c r="L468" s="572">
        <v>103.49</v>
      </c>
      <c r="M468" s="571">
        <v>8.32</v>
      </c>
      <c r="N468" s="570">
        <v>861</v>
      </c>
      <c r="V468" s="674"/>
      <c r="W468" s="675" t="s">
        <v>1745</v>
      </c>
      <c r="AC468" s="675"/>
      <c r="AD468" s="675"/>
      <c r="AF468" s="675"/>
      <c r="AG468" s="675"/>
    </row>
    <row r="469" spans="1:33" s="536" customFormat="1" ht="12" x14ac:dyDescent="0.2">
      <c r="A469" s="569"/>
      <c r="B469" s="656"/>
      <c r="C469" s="661" t="s">
        <v>1658</v>
      </c>
      <c r="D469" s="662"/>
      <c r="E469" s="662"/>
      <c r="F469" s="563"/>
      <c r="G469" s="563"/>
      <c r="H469" s="563"/>
      <c r="I469" s="563"/>
      <c r="J469" s="566"/>
      <c r="K469" s="563"/>
      <c r="L469" s="566"/>
      <c r="M469" s="565"/>
      <c r="N469" s="564"/>
      <c r="V469" s="674"/>
      <c r="W469" s="675"/>
      <c r="AC469" s="675"/>
      <c r="AD469" s="675"/>
      <c r="AF469" s="675"/>
      <c r="AG469" s="675"/>
    </row>
    <row r="470" spans="1:33" s="536" customFormat="1" ht="22.5" x14ac:dyDescent="0.2">
      <c r="A470" s="609"/>
      <c r="B470" s="552" t="s">
        <v>718</v>
      </c>
      <c r="C470" s="1822" t="s">
        <v>719</v>
      </c>
      <c r="D470" s="1822"/>
      <c r="E470" s="1822"/>
      <c r="F470" s="1822"/>
      <c r="G470" s="1822"/>
      <c r="H470" s="1822"/>
      <c r="I470" s="1822"/>
      <c r="J470" s="1822"/>
      <c r="K470" s="1822"/>
      <c r="L470" s="1822"/>
      <c r="M470" s="1822"/>
      <c r="N470" s="1827"/>
      <c r="V470" s="674"/>
      <c r="W470" s="675"/>
      <c r="Y470" s="537" t="s">
        <v>719</v>
      </c>
      <c r="AC470" s="675"/>
      <c r="AD470" s="675"/>
      <c r="AF470" s="675"/>
      <c r="AG470" s="675"/>
    </row>
    <row r="471" spans="1:33" s="536" customFormat="1" ht="33.75" x14ac:dyDescent="0.2">
      <c r="A471" s="575" t="s">
        <v>792</v>
      </c>
      <c r="B471" s="657" t="s">
        <v>1747</v>
      </c>
      <c r="C471" s="1823" t="s">
        <v>1748</v>
      </c>
      <c r="D471" s="1823"/>
      <c r="E471" s="1823"/>
      <c r="F471" s="573" t="s">
        <v>483</v>
      </c>
      <c r="G471" s="573"/>
      <c r="H471" s="573"/>
      <c r="I471" s="573" t="s">
        <v>733</v>
      </c>
      <c r="J471" s="572">
        <v>31.26</v>
      </c>
      <c r="K471" s="573" t="s">
        <v>716</v>
      </c>
      <c r="L471" s="572">
        <v>76.680000000000007</v>
      </c>
      <c r="M471" s="571">
        <v>8.32</v>
      </c>
      <c r="N471" s="570">
        <v>638</v>
      </c>
      <c r="V471" s="674"/>
      <c r="W471" s="675" t="s">
        <v>1748</v>
      </c>
      <c r="AC471" s="675"/>
      <c r="AD471" s="675"/>
      <c r="AF471" s="675"/>
      <c r="AG471" s="675"/>
    </row>
    <row r="472" spans="1:33" s="536" customFormat="1" ht="12" x14ac:dyDescent="0.2">
      <c r="A472" s="569"/>
      <c r="B472" s="656"/>
      <c r="C472" s="661" t="s">
        <v>1658</v>
      </c>
      <c r="D472" s="662"/>
      <c r="E472" s="662"/>
      <c r="F472" s="563"/>
      <c r="G472" s="563"/>
      <c r="H472" s="563"/>
      <c r="I472" s="563"/>
      <c r="J472" s="566"/>
      <c r="K472" s="563"/>
      <c r="L472" s="566"/>
      <c r="M472" s="565"/>
      <c r="N472" s="564"/>
      <c r="V472" s="674"/>
      <c r="W472" s="675"/>
      <c r="AC472" s="675"/>
      <c r="AD472" s="675"/>
      <c r="AF472" s="675"/>
      <c r="AG472" s="675"/>
    </row>
    <row r="473" spans="1:33" s="536" customFormat="1" ht="22.5" x14ac:dyDescent="0.2">
      <c r="A473" s="609"/>
      <c r="B473" s="552" t="s">
        <v>718</v>
      </c>
      <c r="C473" s="1822" t="s">
        <v>719</v>
      </c>
      <c r="D473" s="1822"/>
      <c r="E473" s="1822"/>
      <c r="F473" s="1822"/>
      <c r="G473" s="1822"/>
      <c r="H473" s="1822"/>
      <c r="I473" s="1822"/>
      <c r="J473" s="1822"/>
      <c r="K473" s="1822"/>
      <c r="L473" s="1822"/>
      <c r="M473" s="1822"/>
      <c r="N473" s="1827"/>
      <c r="V473" s="674"/>
      <c r="W473" s="675"/>
      <c r="Y473" s="537" t="s">
        <v>719</v>
      </c>
      <c r="AC473" s="675"/>
      <c r="AD473" s="675"/>
      <c r="AF473" s="675"/>
      <c r="AG473" s="675"/>
    </row>
    <row r="474" spans="1:33" s="536" customFormat="1" ht="33.75" x14ac:dyDescent="0.2">
      <c r="A474" s="575" t="s">
        <v>713</v>
      </c>
      <c r="B474" s="657" t="s">
        <v>1749</v>
      </c>
      <c r="C474" s="1823" t="s">
        <v>1750</v>
      </c>
      <c r="D474" s="1823"/>
      <c r="E474" s="1823"/>
      <c r="F474" s="573" t="s">
        <v>617</v>
      </c>
      <c r="G474" s="573"/>
      <c r="H474" s="573"/>
      <c r="I474" s="573" t="s">
        <v>186</v>
      </c>
      <c r="J474" s="572">
        <v>147.62</v>
      </c>
      <c r="K474" s="573" t="s">
        <v>716</v>
      </c>
      <c r="L474" s="572">
        <v>36.18</v>
      </c>
      <c r="M474" s="571">
        <v>8.32</v>
      </c>
      <c r="N474" s="570">
        <v>301</v>
      </c>
      <c r="V474" s="674"/>
      <c r="W474" s="675" t="s">
        <v>1750</v>
      </c>
      <c r="AC474" s="675"/>
      <c r="AD474" s="675"/>
      <c r="AF474" s="675"/>
      <c r="AG474" s="675"/>
    </row>
    <row r="475" spans="1:33" s="536" customFormat="1" ht="12" x14ac:dyDescent="0.2">
      <c r="A475" s="569"/>
      <c r="B475" s="656"/>
      <c r="C475" s="661" t="s">
        <v>1658</v>
      </c>
      <c r="D475" s="662"/>
      <c r="E475" s="662"/>
      <c r="F475" s="563"/>
      <c r="G475" s="563"/>
      <c r="H475" s="563"/>
      <c r="I475" s="563"/>
      <c r="J475" s="566"/>
      <c r="K475" s="563"/>
      <c r="L475" s="566"/>
      <c r="M475" s="565"/>
      <c r="N475" s="564"/>
      <c r="V475" s="674"/>
      <c r="W475" s="675"/>
      <c r="AC475" s="675"/>
      <c r="AD475" s="675"/>
      <c r="AF475" s="675"/>
      <c r="AG475" s="675"/>
    </row>
    <row r="476" spans="1:33" s="536" customFormat="1" ht="22.5" x14ac:dyDescent="0.2">
      <c r="A476" s="609"/>
      <c r="B476" s="552" t="s">
        <v>718</v>
      </c>
      <c r="C476" s="1822" t="s">
        <v>719</v>
      </c>
      <c r="D476" s="1822"/>
      <c r="E476" s="1822"/>
      <c r="F476" s="1822"/>
      <c r="G476" s="1822"/>
      <c r="H476" s="1822"/>
      <c r="I476" s="1822"/>
      <c r="J476" s="1822"/>
      <c r="K476" s="1822"/>
      <c r="L476" s="1822"/>
      <c r="M476" s="1822"/>
      <c r="N476" s="1827"/>
      <c r="V476" s="674"/>
      <c r="W476" s="675"/>
      <c r="Y476" s="537" t="s">
        <v>719</v>
      </c>
      <c r="AC476" s="675"/>
      <c r="AD476" s="675"/>
      <c r="AF476" s="675"/>
      <c r="AG476" s="675"/>
    </row>
    <row r="477" spans="1:33" s="536" customFormat="1" ht="12" x14ac:dyDescent="0.2">
      <c r="A477" s="575" t="s">
        <v>793</v>
      </c>
      <c r="B477" s="657" t="s">
        <v>2341</v>
      </c>
      <c r="C477" s="1823" t="s">
        <v>2342</v>
      </c>
      <c r="D477" s="1823"/>
      <c r="E477" s="1823"/>
      <c r="F477" s="573" t="s">
        <v>617</v>
      </c>
      <c r="G477" s="573"/>
      <c r="H477" s="573"/>
      <c r="I477" s="573" t="s">
        <v>185</v>
      </c>
      <c r="J477" s="572"/>
      <c r="K477" s="573"/>
      <c r="L477" s="572"/>
      <c r="M477" s="571"/>
      <c r="N477" s="570"/>
      <c r="V477" s="674"/>
      <c r="W477" s="675" t="s">
        <v>2342</v>
      </c>
      <c r="AC477" s="675"/>
      <c r="AD477" s="675"/>
      <c r="AF477" s="675"/>
      <c r="AG477" s="675"/>
    </row>
    <row r="478" spans="1:33" s="536" customFormat="1" ht="33.75" x14ac:dyDescent="0.2">
      <c r="A478" s="609"/>
      <c r="B478" s="552" t="s">
        <v>310</v>
      </c>
      <c r="C478" s="1822" t="s">
        <v>311</v>
      </c>
      <c r="D478" s="1822"/>
      <c r="E478" s="1822"/>
      <c r="F478" s="1822"/>
      <c r="G478" s="1822"/>
      <c r="H478" s="1822"/>
      <c r="I478" s="1822"/>
      <c r="J478" s="1822"/>
      <c r="K478" s="1822"/>
      <c r="L478" s="1822"/>
      <c r="M478" s="1822"/>
      <c r="N478" s="1827"/>
      <c r="V478" s="674"/>
      <c r="W478" s="675"/>
      <c r="Y478" s="537" t="s">
        <v>311</v>
      </c>
      <c r="AC478" s="675"/>
      <c r="AD478" s="675"/>
      <c r="AF478" s="675"/>
      <c r="AG478" s="675"/>
    </row>
    <row r="479" spans="1:33" s="536" customFormat="1" ht="12" x14ac:dyDescent="0.2">
      <c r="A479" s="605"/>
      <c r="B479" s="552" t="s">
        <v>185</v>
      </c>
      <c r="C479" s="1822" t="s">
        <v>312</v>
      </c>
      <c r="D479" s="1822"/>
      <c r="E479" s="1822"/>
      <c r="F479" s="562"/>
      <c r="G479" s="562"/>
      <c r="H479" s="562"/>
      <c r="I479" s="562"/>
      <c r="J479" s="604">
        <v>18.73</v>
      </c>
      <c r="K479" s="562" t="s">
        <v>313</v>
      </c>
      <c r="L479" s="604">
        <v>23.41</v>
      </c>
      <c r="M479" s="603"/>
      <c r="N479" s="602"/>
      <c r="V479" s="674"/>
      <c r="W479" s="675"/>
      <c r="Z479" s="537" t="s">
        <v>312</v>
      </c>
      <c r="AC479" s="675"/>
      <c r="AD479" s="675"/>
      <c r="AF479" s="675"/>
      <c r="AG479" s="675"/>
    </row>
    <row r="480" spans="1:33" s="536" customFormat="1" ht="12" x14ac:dyDescent="0.2">
      <c r="A480" s="605"/>
      <c r="B480" s="552" t="s">
        <v>186</v>
      </c>
      <c r="C480" s="1822" t="s">
        <v>344</v>
      </c>
      <c r="D480" s="1822"/>
      <c r="E480" s="1822"/>
      <c r="F480" s="562"/>
      <c r="G480" s="562"/>
      <c r="H480" s="562"/>
      <c r="I480" s="562"/>
      <c r="J480" s="604">
        <v>44.62</v>
      </c>
      <c r="K480" s="562" t="s">
        <v>313</v>
      </c>
      <c r="L480" s="604">
        <v>55.78</v>
      </c>
      <c r="M480" s="603"/>
      <c r="N480" s="602"/>
      <c r="V480" s="674"/>
      <c r="W480" s="675"/>
      <c r="Z480" s="537" t="s">
        <v>344</v>
      </c>
      <c r="AC480" s="675"/>
      <c r="AD480" s="675"/>
      <c r="AF480" s="675"/>
      <c r="AG480" s="675"/>
    </row>
    <row r="481" spans="1:33" s="536" customFormat="1" ht="12" x14ac:dyDescent="0.2">
      <c r="A481" s="605"/>
      <c r="B481" s="552" t="s">
        <v>187</v>
      </c>
      <c r="C481" s="1822" t="s">
        <v>345</v>
      </c>
      <c r="D481" s="1822"/>
      <c r="E481" s="1822"/>
      <c r="F481" s="562"/>
      <c r="G481" s="562"/>
      <c r="H481" s="562"/>
      <c r="I481" s="562"/>
      <c r="J481" s="604">
        <v>4.3099999999999996</v>
      </c>
      <c r="K481" s="562" t="s">
        <v>313</v>
      </c>
      <c r="L481" s="604">
        <v>5.39</v>
      </c>
      <c r="M481" s="603"/>
      <c r="N481" s="602"/>
      <c r="V481" s="674"/>
      <c r="W481" s="675"/>
      <c r="Z481" s="537" t="s">
        <v>345</v>
      </c>
      <c r="AC481" s="675"/>
      <c r="AD481" s="675"/>
      <c r="AF481" s="675"/>
      <c r="AG481" s="675"/>
    </row>
    <row r="482" spans="1:33" s="536" customFormat="1" ht="12" x14ac:dyDescent="0.2">
      <c r="A482" s="605"/>
      <c r="B482" s="552" t="s">
        <v>188</v>
      </c>
      <c r="C482" s="1822" t="s">
        <v>475</v>
      </c>
      <c r="D482" s="1822"/>
      <c r="E482" s="1822"/>
      <c r="F482" s="562"/>
      <c r="G482" s="562"/>
      <c r="H482" s="562"/>
      <c r="I482" s="562"/>
      <c r="J482" s="604">
        <v>0.37</v>
      </c>
      <c r="K482" s="562"/>
      <c r="L482" s="604">
        <v>0.37</v>
      </c>
      <c r="M482" s="603"/>
      <c r="N482" s="602"/>
      <c r="V482" s="674"/>
      <c r="W482" s="675"/>
      <c r="Z482" s="537" t="s">
        <v>475</v>
      </c>
      <c r="AC482" s="675"/>
      <c r="AD482" s="675"/>
      <c r="AF482" s="675"/>
      <c r="AG482" s="675"/>
    </row>
    <row r="483" spans="1:33" s="536" customFormat="1" ht="12" x14ac:dyDescent="0.2">
      <c r="A483" s="605"/>
      <c r="B483" s="552"/>
      <c r="C483" s="1822" t="s">
        <v>314</v>
      </c>
      <c r="D483" s="1822"/>
      <c r="E483" s="1822"/>
      <c r="F483" s="562" t="s">
        <v>315</v>
      </c>
      <c r="G483" s="562" t="s">
        <v>1244</v>
      </c>
      <c r="H483" s="562" t="s">
        <v>313</v>
      </c>
      <c r="I483" s="562" t="s">
        <v>2343</v>
      </c>
      <c r="J483" s="604"/>
      <c r="K483" s="562"/>
      <c r="L483" s="604"/>
      <c r="M483" s="603"/>
      <c r="N483" s="602"/>
      <c r="V483" s="674"/>
      <c r="W483" s="675"/>
      <c r="AA483" s="537" t="s">
        <v>314</v>
      </c>
      <c r="AC483" s="675"/>
      <c r="AD483" s="675"/>
      <c r="AF483" s="675"/>
      <c r="AG483" s="675"/>
    </row>
    <row r="484" spans="1:33" s="536" customFormat="1" ht="12" x14ac:dyDescent="0.2">
      <c r="A484" s="605"/>
      <c r="B484" s="552"/>
      <c r="C484" s="1822" t="s">
        <v>348</v>
      </c>
      <c r="D484" s="1822"/>
      <c r="E484" s="1822"/>
      <c r="F484" s="562" t="s">
        <v>315</v>
      </c>
      <c r="G484" s="562" t="s">
        <v>2344</v>
      </c>
      <c r="H484" s="562" t="s">
        <v>313</v>
      </c>
      <c r="I484" s="562" t="s">
        <v>947</v>
      </c>
      <c r="J484" s="604"/>
      <c r="K484" s="562"/>
      <c r="L484" s="604"/>
      <c r="M484" s="603"/>
      <c r="N484" s="602"/>
      <c r="V484" s="674"/>
      <c r="W484" s="675"/>
      <c r="AA484" s="537" t="s">
        <v>348</v>
      </c>
      <c r="AC484" s="675"/>
      <c r="AD484" s="675"/>
      <c r="AF484" s="675"/>
      <c r="AG484" s="675"/>
    </row>
    <row r="485" spans="1:33" s="536" customFormat="1" ht="12" x14ac:dyDescent="0.2">
      <c r="A485" s="605"/>
      <c r="B485" s="552"/>
      <c r="C485" s="1828" t="s">
        <v>318</v>
      </c>
      <c r="D485" s="1828"/>
      <c r="E485" s="1828"/>
      <c r="F485" s="608"/>
      <c r="G485" s="608"/>
      <c r="H485" s="608"/>
      <c r="I485" s="608"/>
      <c r="J485" s="607">
        <v>63.72</v>
      </c>
      <c r="K485" s="608"/>
      <c r="L485" s="607">
        <v>79.56</v>
      </c>
      <c r="M485" s="601"/>
      <c r="N485" s="606"/>
      <c r="V485" s="674"/>
      <c r="W485" s="675"/>
      <c r="AB485" s="537" t="s">
        <v>318</v>
      </c>
      <c r="AC485" s="675"/>
      <c r="AD485" s="675"/>
      <c r="AF485" s="675"/>
      <c r="AG485" s="675"/>
    </row>
    <row r="486" spans="1:33" s="536" customFormat="1" ht="12" x14ac:dyDescent="0.2">
      <c r="A486" s="605"/>
      <c r="B486" s="552"/>
      <c r="C486" s="1822" t="s">
        <v>319</v>
      </c>
      <c r="D486" s="1822"/>
      <c r="E486" s="1822"/>
      <c r="F486" s="562"/>
      <c r="G486" s="562"/>
      <c r="H486" s="562"/>
      <c r="I486" s="562"/>
      <c r="J486" s="604"/>
      <c r="K486" s="562"/>
      <c r="L486" s="604">
        <v>28.8</v>
      </c>
      <c r="M486" s="603"/>
      <c r="N486" s="602"/>
      <c r="V486" s="674"/>
      <c r="W486" s="675"/>
      <c r="AA486" s="537" t="s">
        <v>319</v>
      </c>
      <c r="AC486" s="675"/>
      <c r="AD486" s="675"/>
      <c r="AF486" s="675"/>
      <c r="AG486" s="675"/>
    </row>
    <row r="487" spans="1:33" s="536" customFormat="1" ht="33.75" x14ac:dyDescent="0.2">
      <c r="A487" s="605"/>
      <c r="B487" s="552" t="s">
        <v>1631</v>
      </c>
      <c r="C487" s="1822" t="s">
        <v>1632</v>
      </c>
      <c r="D487" s="1822"/>
      <c r="E487" s="1822"/>
      <c r="F487" s="562" t="s">
        <v>322</v>
      </c>
      <c r="G487" s="562" t="s">
        <v>1633</v>
      </c>
      <c r="H487" s="562"/>
      <c r="I487" s="562" t="s">
        <v>1633</v>
      </c>
      <c r="J487" s="604"/>
      <c r="K487" s="562"/>
      <c r="L487" s="604">
        <v>27.94</v>
      </c>
      <c r="M487" s="603"/>
      <c r="N487" s="602"/>
      <c r="V487" s="674"/>
      <c r="W487" s="675"/>
      <c r="AA487" s="537" t="s">
        <v>1632</v>
      </c>
      <c r="AC487" s="675"/>
      <c r="AD487" s="675"/>
      <c r="AF487" s="675"/>
      <c r="AG487" s="675"/>
    </row>
    <row r="488" spans="1:33" s="536" customFormat="1" ht="33.75" x14ac:dyDescent="0.2">
      <c r="A488" s="605"/>
      <c r="B488" s="552" t="s">
        <v>1634</v>
      </c>
      <c r="C488" s="1822" t="s">
        <v>1635</v>
      </c>
      <c r="D488" s="1822"/>
      <c r="E488" s="1822"/>
      <c r="F488" s="562" t="s">
        <v>322</v>
      </c>
      <c r="G488" s="562" t="s">
        <v>786</v>
      </c>
      <c r="H488" s="562"/>
      <c r="I488" s="562" t="s">
        <v>786</v>
      </c>
      <c r="J488" s="604"/>
      <c r="K488" s="562"/>
      <c r="L488" s="604">
        <v>14.69</v>
      </c>
      <c r="M488" s="603"/>
      <c r="N488" s="602"/>
      <c r="V488" s="674"/>
      <c r="W488" s="675"/>
      <c r="AA488" s="537" t="s">
        <v>1635</v>
      </c>
      <c r="AC488" s="675"/>
      <c r="AD488" s="675"/>
      <c r="AF488" s="675"/>
      <c r="AG488" s="675"/>
    </row>
    <row r="489" spans="1:33" s="536" customFormat="1" ht="12" x14ac:dyDescent="0.2">
      <c r="A489" s="569"/>
      <c r="B489" s="656"/>
      <c r="C489" s="1823" t="s">
        <v>327</v>
      </c>
      <c r="D489" s="1823"/>
      <c r="E489" s="1823"/>
      <c r="F489" s="573"/>
      <c r="G489" s="573"/>
      <c r="H489" s="573"/>
      <c r="I489" s="573"/>
      <c r="J489" s="572"/>
      <c r="K489" s="573"/>
      <c r="L489" s="572">
        <v>122.19</v>
      </c>
      <c r="M489" s="601"/>
      <c r="N489" s="570"/>
      <c r="V489" s="674"/>
      <c r="W489" s="675"/>
      <c r="AC489" s="675" t="s">
        <v>327</v>
      </c>
      <c r="AD489" s="675"/>
      <c r="AF489" s="675"/>
      <c r="AG489" s="675"/>
    </row>
    <row r="490" spans="1:33" s="536" customFormat="1" ht="33.75" x14ac:dyDescent="0.2">
      <c r="A490" s="575" t="s">
        <v>653</v>
      </c>
      <c r="B490" s="657" t="s">
        <v>1756</v>
      </c>
      <c r="C490" s="1823" t="s">
        <v>1757</v>
      </c>
      <c r="D490" s="1823"/>
      <c r="E490" s="1823"/>
      <c r="F490" s="573" t="s">
        <v>483</v>
      </c>
      <c r="G490" s="573"/>
      <c r="H490" s="573"/>
      <c r="I490" s="573" t="s">
        <v>2345</v>
      </c>
      <c r="J490" s="572">
        <v>117.22</v>
      </c>
      <c r="K490" s="573" t="s">
        <v>716</v>
      </c>
      <c r="L490" s="572">
        <v>146.63</v>
      </c>
      <c r="M490" s="571">
        <v>8.32</v>
      </c>
      <c r="N490" s="570">
        <v>1220</v>
      </c>
      <c r="V490" s="674"/>
      <c r="W490" s="675" t="s">
        <v>1757</v>
      </c>
      <c r="AC490" s="675"/>
      <c r="AD490" s="675"/>
      <c r="AF490" s="675"/>
      <c r="AG490" s="675"/>
    </row>
    <row r="491" spans="1:33" s="536" customFormat="1" ht="12" x14ac:dyDescent="0.2">
      <c r="A491" s="569"/>
      <c r="B491" s="656"/>
      <c r="C491" s="661" t="s">
        <v>1658</v>
      </c>
      <c r="D491" s="662"/>
      <c r="E491" s="662"/>
      <c r="F491" s="563"/>
      <c r="G491" s="563"/>
      <c r="H491" s="563"/>
      <c r="I491" s="563"/>
      <c r="J491" s="566"/>
      <c r="K491" s="563"/>
      <c r="L491" s="566"/>
      <c r="M491" s="565"/>
      <c r="N491" s="564"/>
      <c r="V491" s="674"/>
      <c r="W491" s="675"/>
      <c r="AC491" s="675"/>
      <c r="AD491" s="675"/>
      <c r="AF491" s="675"/>
      <c r="AG491" s="675"/>
    </row>
    <row r="492" spans="1:33" s="536" customFormat="1" ht="12" x14ac:dyDescent="0.2">
      <c r="A492" s="676"/>
      <c r="B492" s="655"/>
      <c r="C492" s="1822" t="s">
        <v>2346</v>
      </c>
      <c r="D492" s="1822"/>
      <c r="E492" s="1822"/>
      <c r="F492" s="1822"/>
      <c r="G492" s="1822"/>
      <c r="H492" s="1822"/>
      <c r="I492" s="1822"/>
      <c r="J492" s="1822"/>
      <c r="K492" s="1822"/>
      <c r="L492" s="1822"/>
      <c r="M492" s="1822"/>
      <c r="N492" s="1827"/>
      <c r="V492" s="674"/>
      <c r="W492" s="675"/>
      <c r="X492" s="537" t="s">
        <v>2346</v>
      </c>
      <c r="AC492" s="675"/>
      <c r="AD492" s="675"/>
      <c r="AF492" s="675"/>
      <c r="AG492" s="675"/>
    </row>
    <row r="493" spans="1:33" s="536" customFormat="1" ht="22.5" x14ac:dyDescent="0.2">
      <c r="A493" s="609"/>
      <c r="B493" s="552" t="s">
        <v>718</v>
      </c>
      <c r="C493" s="1822" t="s">
        <v>719</v>
      </c>
      <c r="D493" s="1822"/>
      <c r="E493" s="1822"/>
      <c r="F493" s="1822"/>
      <c r="G493" s="1822"/>
      <c r="H493" s="1822"/>
      <c r="I493" s="1822"/>
      <c r="J493" s="1822"/>
      <c r="K493" s="1822"/>
      <c r="L493" s="1822"/>
      <c r="M493" s="1822"/>
      <c r="N493" s="1827"/>
      <c r="V493" s="674"/>
      <c r="W493" s="675"/>
      <c r="Y493" s="537" t="s">
        <v>719</v>
      </c>
      <c r="AC493" s="675"/>
      <c r="AD493" s="675"/>
      <c r="AF493" s="675"/>
      <c r="AG493" s="675"/>
    </row>
    <row r="494" spans="1:33" s="536" customFormat="1" ht="33.75" x14ac:dyDescent="0.2">
      <c r="A494" s="575" t="s">
        <v>794</v>
      </c>
      <c r="B494" s="657" t="s">
        <v>1760</v>
      </c>
      <c r="C494" s="1823" t="s">
        <v>1761</v>
      </c>
      <c r="D494" s="1823"/>
      <c r="E494" s="1823"/>
      <c r="F494" s="573" t="s">
        <v>617</v>
      </c>
      <c r="G494" s="573"/>
      <c r="H494" s="573"/>
      <c r="I494" s="573" t="s">
        <v>186</v>
      </c>
      <c r="J494" s="572">
        <v>232.88</v>
      </c>
      <c r="K494" s="573" t="s">
        <v>716</v>
      </c>
      <c r="L494" s="572">
        <v>57.09</v>
      </c>
      <c r="M494" s="571">
        <v>8.32</v>
      </c>
      <c r="N494" s="570">
        <v>475</v>
      </c>
      <c r="V494" s="674"/>
      <c r="W494" s="675" t="s">
        <v>1761</v>
      </c>
      <c r="AC494" s="675"/>
      <c r="AD494" s="675"/>
      <c r="AF494" s="675"/>
      <c r="AG494" s="675"/>
    </row>
    <row r="495" spans="1:33" s="536" customFormat="1" ht="12" x14ac:dyDescent="0.2">
      <c r="A495" s="569"/>
      <c r="B495" s="656"/>
      <c r="C495" s="661" t="s">
        <v>1658</v>
      </c>
      <c r="D495" s="662"/>
      <c r="E495" s="662"/>
      <c r="F495" s="563"/>
      <c r="G495" s="563"/>
      <c r="H495" s="563"/>
      <c r="I495" s="563"/>
      <c r="J495" s="566"/>
      <c r="K495" s="563"/>
      <c r="L495" s="566"/>
      <c r="M495" s="565"/>
      <c r="N495" s="564"/>
      <c r="V495" s="674"/>
      <c r="W495" s="675"/>
      <c r="AC495" s="675"/>
      <c r="AD495" s="675"/>
      <c r="AF495" s="675"/>
      <c r="AG495" s="675"/>
    </row>
    <row r="496" spans="1:33" s="536" customFormat="1" ht="22.5" x14ac:dyDescent="0.2">
      <c r="A496" s="609"/>
      <c r="B496" s="552" t="s">
        <v>718</v>
      </c>
      <c r="C496" s="1822" t="s">
        <v>719</v>
      </c>
      <c r="D496" s="1822"/>
      <c r="E496" s="1822"/>
      <c r="F496" s="1822"/>
      <c r="G496" s="1822"/>
      <c r="H496" s="1822"/>
      <c r="I496" s="1822"/>
      <c r="J496" s="1822"/>
      <c r="K496" s="1822"/>
      <c r="L496" s="1822"/>
      <c r="M496" s="1822"/>
      <c r="N496" s="1827"/>
      <c r="V496" s="674"/>
      <c r="W496" s="675"/>
      <c r="Y496" s="537" t="s">
        <v>719</v>
      </c>
      <c r="AC496" s="675"/>
      <c r="AD496" s="675"/>
      <c r="AF496" s="675"/>
      <c r="AG496" s="675"/>
    </row>
    <row r="497" spans="1:33" s="536" customFormat="1" ht="33.75" x14ac:dyDescent="0.2">
      <c r="A497" s="575" t="s">
        <v>2347</v>
      </c>
      <c r="B497" s="657" t="s">
        <v>1762</v>
      </c>
      <c r="C497" s="1823" t="s">
        <v>1763</v>
      </c>
      <c r="D497" s="1823"/>
      <c r="E497" s="1823"/>
      <c r="F497" s="573" t="s">
        <v>617</v>
      </c>
      <c r="G497" s="573"/>
      <c r="H497" s="573"/>
      <c r="I497" s="573" t="s">
        <v>186</v>
      </c>
      <c r="J497" s="572">
        <v>232.88</v>
      </c>
      <c r="K497" s="573" t="s">
        <v>716</v>
      </c>
      <c r="L497" s="572">
        <v>57.09</v>
      </c>
      <c r="M497" s="571">
        <v>8.32</v>
      </c>
      <c r="N497" s="570">
        <v>475</v>
      </c>
      <c r="V497" s="674"/>
      <c r="W497" s="675" t="s">
        <v>1763</v>
      </c>
      <c r="AC497" s="675"/>
      <c r="AD497" s="675"/>
      <c r="AF497" s="675"/>
      <c r="AG497" s="675"/>
    </row>
    <row r="498" spans="1:33" s="536" customFormat="1" ht="12" x14ac:dyDescent="0.2">
      <c r="A498" s="569"/>
      <c r="B498" s="656"/>
      <c r="C498" s="661" t="s">
        <v>1658</v>
      </c>
      <c r="D498" s="662"/>
      <c r="E498" s="662"/>
      <c r="F498" s="563"/>
      <c r="G498" s="563"/>
      <c r="H498" s="563"/>
      <c r="I498" s="563"/>
      <c r="J498" s="566"/>
      <c r="K498" s="563"/>
      <c r="L498" s="566"/>
      <c r="M498" s="565"/>
      <c r="N498" s="564"/>
      <c r="V498" s="674"/>
      <c r="W498" s="675"/>
      <c r="AC498" s="675"/>
      <c r="AD498" s="675"/>
      <c r="AF498" s="675"/>
      <c r="AG498" s="675"/>
    </row>
    <row r="499" spans="1:33" s="536" customFormat="1" ht="22.5" x14ac:dyDescent="0.2">
      <c r="A499" s="609"/>
      <c r="B499" s="552" t="s">
        <v>718</v>
      </c>
      <c r="C499" s="1822" t="s">
        <v>719</v>
      </c>
      <c r="D499" s="1822"/>
      <c r="E499" s="1822"/>
      <c r="F499" s="1822"/>
      <c r="G499" s="1822"/>
      <c r="H499" s="1822"/>
      <c r="I499" s="1822"/>
      <c r="J499" s="1822"/>
      <c r="K499" s="1822"/>
      <c r="L499" s="1822"/>
      <c r="M499" s="1822"/>
      <c r="N499" s="1827"/>
      <c r="V499" s="674"/>
      <c r="W499" s="675"/>
      <c r="Y499" s="537" t="s">
        <v>719</v>
      </c>
      <c r="AC499" s="675"/>
      <c r="AD499" s="675"/>
      <c r="AF499" s="675"/>
      <c r="AG499" s="675"/>
    </row>
    <row r="500" spans="1:33" s="536" customFormat="1" ht="33.75" x14ac:dyDescent="0.2">
      <c r="A500" s="575" t="s">
        <v>796</v>
      </c>
      <c r="B500" s="657" t="s">
        <v>1764</v>
      </c>
      <c r="C500" s="1823" t="s">
        <v>1765</v>
      </c>
      <c r="D500" s="1823"/>
      <c r="E500" s="1823"/>
      <c r="F500" s="573" t="s">
        <v>617</v>
      </c>
      <c r="G500" s="573"/>
      <c r="H500" s="573"/>
      <c r="I500" s="573" t="s">
        <v>886</v>
      </c>
      <c r="J500" s="572">
        <v>184.43</v>
      </c>
      <c r="K500" s="573" t="s">
        <v>716</v>
      </c>
      <c r="L500" s="572">
        <v>2034.98</v>
      </c>
      <c r="M500" s="571">
        <v>8.32</v>
      </c>
      <c r="N500" s="570">
        <v>16931</v>
      </c>
      <c r="V500" s="674"/>
      <c r="W500" s="675" t="s">
        <v>1765</v>
      </c>
      <c r="AC500" s="675"/>
      <c r="AD500" s="675"/>
      <c r="AF500" s="675"/>
      <c r="AG500" s="675"/>
    </row>
    <row r="501" spans="1:33" s="536" customFormat="1" ht="12" x14ac:dyDescent="0.2">
      <c r="A501" s="569"/>
      <c r="B501" s="656"/>
      <c r="C501" s="661" t="s">
        <v>1658</v>
      </c>
      <c r="D501" s="662"/>
      <c r="E501" s="662"/>
      <c r="F501" s="563"/>
      <c r="G501" s="563"/>
      <c r="H501" s="563"/>
      <c r="I501" s="563"/>
      <c r="J501" s="566"/>
      <c r="K501" s="563"/>
      <c r="L501" s="566"/>
      <c r="M501" s="565"/>
      <c r="N501" s="564"/>
      <c r="V501" s="674"/>
      <c r="W501" s="675"/>
      <c r="AC501" s="675"/>
      <c r="AD501" s="675"/>
      <c r="AF501" s="675"/>
      <c r="AG501" s="675"/>
    </row>
    <row r="502" spans="1:33" s="536" customFormat="1" ht="22.5" x14ac:dyDescent="0.2">
      <c r="A502" s="609"/>
      <c r="B502" s="552" t="s">
        <v>718</v>
      </c>
      <c r="C502" s="1822" t="s">
        <v>719</v>
      </c>
      <c r="D502" s="1822"/>
      <c r="E502" s="1822"/>
      <c r="F502" s="1822"/>
      <c r="G502" s="1822"/>
      <c r="H502" s="1822"/>
      <c r="I502" s="1822"/>
      <c r="J502" s="1822"/>
      <c r="K502" s="1822"/>
      <c r="L502" s="1822"/>
      <c r="M502" s="1822"/>
      <c r="N502" s="1827"/>
      <c r="V502" s="674"/>
      <c r="W502" s="675"/>
      <c r="Y502" s="537" t="s">
        <v>719</v>
      </c>
      <c r="AC502" s="675"/>
      <c r="AD502" s="675"/>
      <c r="AF502" s="675"/>
      <c r="AG502" s="675"/>
    </row>
    <row r="503" spans="1:33" s="536" customFormat="1" ht="33.75" x14ac:dyDescent="0.2">
      <c r="A503" s="575" t="s">
        <v>797</v>
      </c>
      <c r="B503" s="657" t="s">
        <v>1767</v>
      </c>
      <c r="C503" s="1823" t="s">
        <v>1768</v>
      </c>
      <c r="D503" s="1823"/>
      <c r="E503" s="1823"/>
      <c r="F503" s="573" t="s">
        <v>617</v>
      </c>
      <c r="G503" s="573"/>
      <c r="H503" s="573"/>
      <c r="I503" s="573" t="s">
        <v>2348</v>
      </c>
      <c r="J503" s="572">
        <v>26.57</v>
      </c>
      <c r="K503" s="573" t="s">
        <v>716</v>
      </c>
      <c r="L503" s="572">
        <v>1465.87</v>
      </c>
      <c r="M503" s="571">
        <v>8.32</v>
      </c>
      <c r="N503" s="570">
        <v>12196</v>
      </c>
      <c r="V503" s="674"/>
      <c r="W503" s="675" t="s">
        <v>1768</v>
      </c>
      <c r="AC503" s="675"/>
      <c r="AD503" s="675"/>
      <c r="AF503" s="675"/>
      <c r="AG503" s="675"/>
    </row>
    <row r="504" spans="1:33" s="536" customFormat="1" ht="12" x14ac:dyDescent="0.2">
      <c r="A504" s="569"/>
      <c r="B504" s="656"/>
      <c r="C504" s="661" t="s">
        <v>1658</v>
      </c>
      <c r="D504" s="662"/>
      <c r="E504" s="662"/>
      <c r="F504" s="563"/>
      <c r="G504" s="563"/>
      <c r="H504" s="563"/>
      <c r="I504" s="563"/>
      <c r="J504" s="566"/>
      <c r="K504" s="563"/>
      <c r="L504" s="566"/>
      <c r="M504" s="565"/>
      <c r="N504" s="564"/>
      <c r="V504" s="674"/>
      <c r="W504" s="675"/>
      <c r="AC504" s="675"/>
      <c r="AD504" s="675"/>
      <c r="AF504" s="675"/>
      <c r="AG504" s="675"/>
    </row>
    <row r="505" spans="1:33" s="536" customFormat="1" ht="22.5" x14ac:dyDescent="0.2">
      <c r="A505" s="609"/>
      <c r="B505" s="552" t="s">
        <v>718</v>
      </c>
      <c r="C505" s="1822" t="s">
        <v>719</v>
      </c>
      <c r="D505" s="1822"/>
      <c r="E505" s="1822"/>
      <c r="F505" s="1822"/>
      <c r="G505" s="1822"/>
      <c r="H505" s="1822"/>
      <c r="I505" s="1822"/>
      <c r="J505" s="1822"/>
      <c r="K505" s="1822"/>
      <c r="L505" s="1822"/>
      <c r="M505" s="1822"/>
      <c r="N505" s="1827"/>
      <c r="V505" s="674"/>
      <c r="W505" s="675"/>
      <c r="Y505" s="537" t="s">
        <v>719</v>
      </c>
      <c r="AC505" s="675"/>
      <c r="AD505" s="675"/>
      <c r="AF505" s="675"/>
      <c r="AG505" s="675"/>
    </row>
    <row r="506" spans="1:33" s="536" customFormat="1" ht="33.75" x14ac:dyDescent="0.2">
      <c r="A506" s="575" t="s">
        <v>798</v>
      </c>
      <c r="B506" s="657" t="s">
        <v>1770</v>
      </c>
      <c r="C506" s="1823" t="s">
        <v>1771</v>
      </c>
      <c r="D506" s="1823"/>
      <c r="E506" s="1823"/>
      <c r="F506" s="573" t="s">
        <v>617</v>
      </c>
      <c r="G506" s="573"/>
      <c r="H506" s="573"/>
      <c r="I506" s="573" t="s">
        <v>844</v>
      </c>
      <c r="J506" s="572">
        <v>21.88</v>
      </c>
      <c r="K506" s="573" t="s">
        <v>716</v>
      </c>
      <c r="L506" s="572">
        <v>268.27</v>
      </c>
      <c r="M506" s="571">
        <v>8.32</v>
      </c>
      <c r="N506" s="570">
        <v>2232</v>
      </c>
      <c r="V506" s="674"/>
      <c r="W506" s="675" t="s">
        <v>1771</v>
      </c>
      <c r="AC506" s="675"/>
      <c r="AD506" s="675"/>
      <c r="AF506" s="675"/>
      <c r="AG506" s="675"/>
    </row>
    <row r="507" spans="1:33" s="536" customFormat="1" ht="12" x14ac:dyDescent="0.2">
      <c r="A507" s="569"/>
      <c r="B507" s="656"/>
      <c r="C507" s="661" t="s">
        <v>1658</v>
      </c>
      <c r="D507" s="662"/>
      <c r="E507" s="662"/>
      <c r="F507" s="563"/>
      <c r="G507" s="563"/>
      <c r="H507" s="563"/>
      <c r="I507" s="563"/>
      <c r="J507" s="566"/>
      <c r="K507" s="563"/>
      <c r="L507" s="566"/>
      <c r="M507" s="565"/>
      <c r="N507" s="564"/>
      <c r="V507" s="674"/>
      <c r="W507" s="675"/>
      <c r="AC507" s="675"/>
      <c r="AD507" s="675"/>
      <c r="AF507" s="675"/>
      <c r="AG507" s="675"/>
    </row>
    <row r="508" spans="1:33" s="536" customFormat="1" ht="22.5" x14ac:dyDescent="0.2">
      <c r="A508" s="609"/>
      <c r="B508" s="552" t="s">
        <v>718</v>
      </c>
      <c r="C508" s="1822" t="s">
        <v>719</v>
      </c>
      <c r="D508" s="1822"/>
      <c r="E508" s="1822"/>
      <c r="F508" s="1822"/>
      <c r="G508" s="1822"/>
      <c r="H508" s="1822"/>
      <c r="I508" s="1822"/>
      <c r="J508" s="1822"/>
      <c r="K508" s="1822"/>
      <c r="L508" s="1822"/>
      <c r="M508" s="1822"/>
      <c r="N508" s="1827"/>
      <c r="V508" s="674"/>
      <c r="W508" s="675"/>
      <c r="Y508" s="537" t="s">
        <v>719</v>
      </c>
      <c r="AC508" s="675"/>
      <c r="AD508" s="675"/>
      <c r="AF508" s="675"/>
      <c r="AG508" s="675"/>
    </row>
    <row r="509" spans="1:33" s="536" customFormat="1" ht="33.75" x14ac:dyDescent="0.2">
      <c r="A509" s="575" t="s">
        <v>2349</v>
      </c>
      <c r="B509" s="657" t="s">
        <v>1773</v>
      </c>
      <c r="C509" s="1823" t="s">
        <v>1774</v>
      </c>
      <c r="D509" s="1823"/>
      <c r="E509" s="1823"/>
      <c r="F509" s="573" t="s">
        <v>617</v>
      </c>
      <c r="G509" s="573"/>
      <c r="H509" s="573"/>
      <c r="I509" s="573" t="s">
        <v>2350</v>
      </c>
      <c r="J509" s="572">
        <v>10.94</v>
      </c>
      <c r="K509" s="573" t="s">
        <v>716</v>
      </c>
      <c r="L509" s="572">
        <v>804.69</v>
      </c>
      <c r="M509" s="571">
        <v>8.32</v>
      </c>
      <c r="N509" s="570">
        <v>6695</v>
      </c>
      <c r="V509" s="674"/>
      <c r="W509" s="675" t="s">
        <v>1774</v>
      </c>
      <c r="AC509" s="675"/>
      <c r="AD509" s="675"/>
      <c r="AF509" s="675"/>
      <c r="AG509" s="675"/>
    </row>
    <row r="510" spans="1:33" s="536" customFormat="1" ht="12" x14ac:dyDescent="0.2">
      <c r="A510" s="569"/>
      <c r="B510" s="656"/>
      <c r="C510" s="661" t="s">
        <v>1658</v>
      </c>
      <c r="D510" s="662"/>
      <c r="E510" s="662"/>
      <c r="F510" s="563"/>
      <c r="G510" s="563"/>
      <c r="H510" s="563"/>
      <c r="I510" s="563"/>
      <c r="J510" s="566"/>
      <c r="K510" s="563"/>
      <c r="L510" s="566"/>
      <c r="M510" s="565"/>
      <c r="N510" s="564"/>
      <c r="V510" s="674"/>
      <c r="W510" s="675"/>
      <c r="AC510" s="675"/>
      <c r="AD510" s="675"/>
      <c r="AF510" s="675"/>
      <c r="AG510" s="675"/>
    </row>
    <row r="511" spans="1:33" s="536" customFormat="1" ht="22.5" x14ac:dyDescent="0.2">
      <c r="A511" s="609"/>
      <c r="B511" s="552" t="s">
        <v>718</v>
      </c>
      <c r="C511" s="1822" t="s">
        <v>719</v>
      </c>
      <c r="D511" s="1822"/>
      <c r="E511" s="1822"/>
      <c r="F511" s="1822"/>
      <c r="G511" s="1822"/>
      <c r="H511" s="1822"/>
      <c r="I511" s="1822"/>
      <c r="J511" s="1822"/>
      <c r="K511" s="1822"/>
      <c r="L511" s="1822"/>
      <c r="M511" s="1822"/>
      <c r="N511" s="1827"/>
      <c r="V511" s="674"/>
      <c r="W511" s="675"/>
      <c r="Y511" s="537" t="s">
        <v>719</v>
      </c>
      <c r="AC511" s="675"/>
      <c r="AD511" s="675"/>
      <c r="AF511" s="675"/>
      <c r="AG511" s="675"/>
    </row>
    <row r="512" spans="1:33" s="536" customFormat="1" ht="22.5" x14ac:dyDescent="0.2">
      <c r="A512" s="575" t="s">
        <v>2037</v>
      </c>
      <c r="B512" s="657" t="s">
        <v>1776</v>
      </c>
      <c r="C512" s="1823" t="s">
        <v>1777</v>
      </c>
      <c r="D512" s="1823"/>
      <c r="E512" s="1823"/>
      <c r="F512" s="573" t="s">
        <v>617</v>
      </c>
      <c r="G512" s="573"/>
      <c r="H512" s="573"/>
      <c r="I512" s="573" t="s">
        <v>185</v>
      </c>
      <c r="J512" s="572"/>
      <c r="K512" s="573"/>
      <c r="L512" s="572"/>
      <c r="M512" s="571"/>
      <c r="N512" s="570"/>
      <c r="V512" s="674"/>
      <c r="W512" s="675" t="s">
        <v>1777</v>
      </c>
      <c r="AC512" s="675"/>
      <c r="AD512" s="675"/>
      <c r="AF512" s="675"/>
      <c r="AG512" s="675"/>
    </row>
    <row r="513" spans="1:33" s="536" customFormat="1" ht="33.75" x14ac:dyDescent="0.2">
      <c r="A513" s="609"/>
      <c r="B513" s="552" t="s">
        <v>310</v>
      </c>
      <c r="C513" s="1822" t="s">
        <v>311</v>
      </c>
      <c r="D513" s="1822"/>
      <c r="E513" s="1822"/>
      <c r="F513" s="1822"/>
      <c r="G513" s="1822"/>
      <c r="H513" s="1822"/>
      <c r="I513" s="1822"/>
      <c r="J513" s="1822"/>
      <c r="K513" s="1822"/>
      <c r="L513" s="1822"/>
      <c r="M513" s="1822"/>
      <c r="N513" s="1827"/>
      <c r="V513" s="674"/>
      <c r="W513" s="675"/>
      <c r="Y513" s="537" t="s">
        <v>311</v>
      </c>
      <c r="AC513" s="675"/>
      <c r="AD513" s="675"/>
      <c r="AF513" s="675"/>
      <c r="AG513" s="675"/>
    </row>
    <row r="514" spans="1:33" s="536" customFormat="1" ht="12" x14ac:dyDescent="0.2">
      <c r="A514" s="605"/>
      <c r="B514" s="552" t="s">
        <v>185</v>
      </c>
      <c r="C514" s="1822" t="s">
        <v>312</v>
      </c>
      <c r="D514" s="1822"/>
      <c r="E514" s="1822"/>
      <c r="F514" s="562"/>
      <c r="G514" s="562"/>
      <c r="H514" s="562"/>
      <c r="I514" s="562"/>
      <c r="J514" s="604">
        <v>5.35</v>
      </c>
      <c r="K514" s="562" t="s">
        <v>313</v>
      </c>
      <c r="L514" s="604">
        <v>6.69</v>
      </c>
      <c r="M514" s="603"/>
      <c r="N514" s="602"/>
      <c r="V514" s="674"/>
      <c r="W514" s="675"/>
      <c r="Z514" s="537" t="s">
        <v>312</v>
      </c>
      <c r="AC514" s="675"/>
      <c r="AD514" s="675"/>
      <c r="AF514" s="675"/>
      <c r="AG514" s="675"/>
    </row>
    <row r="515" spans="1:33" s="536" customFormat="1" ht="12" x14ac:dyDescent="0.2">
      <c r="A515" s="605"/>
      <c r="B515" s="552" t="s">
        <v>188</v>
      </c>
      <c r="C515" s="1822" t="s">
        <v>475</v>
      </c>
      <c r="D515" s="1822"/>
      <c r="E515" s="1822"/>
      <c r="F515" s="562"/>
      <c r="G515" s="562"/>
      <c r="H515" s="562"/>
      <c r="I515" s="562"/>
      <c r="J515" s="604">
        <v>0.94</v>
      </c>
      <c r="K515" s="562"/>
      <c r="L515" s="604">
        <v>0.94</v>
      </c>
      <c r="M515" s="603"/>
      <c r="N515" s="602"/>
      <c r="V515" s="674"/>
      <c r="W515" s="675"/>
      <c r="Z515" s="537" t="s">
        <v>475</v>
      </c>
      <c r="AC515" s="675"/>
      <c r="AD515" s="675"/>
      <c r="AF515" s="675"/>
      <c r="AG515" s="675"/>
    </row>
    <row r="516" spans="1:33" s="536" customFormat="1" ht="12" x14ac:dyDescent="0.2">
      <c r="A516" s="605"/>
      <c r="B516" s="552"/>
      <c r="C516" s="1822" t="s">
        <v>314</v>
      </c>
      <c r="D516" s="1822"/>
      <c r="E516" s="1822"/>
      <c r="F516" s="562" t="s">
        <v>315</v>
      </c>
      <c r="G516" s="562" t="s">
        <v>1778</v>
      </c>
      <c r="H516" s="562" t="s">
        <v>313</v>
      </c>
      <c r="I516" s="562" t="s">
        <v>2351</v>
      </c>
      <c r="J516" s="604"/>
      <c r="K516" s="562"/>
      <c r="L516" s="604"/>
      <c r="M516" s="603"/>
      <c r="N516" s="602"/>
      <c r="V516" s="674"/>
      <c r="W516" s="675"/>
      <c r="AA516" s="537" t="s">
        <v>314</v>
      </c>
      <c r="AC516" s="675"/>
      <c r="AD516" s="675"/>
      <c r="AF516" s="675"/>
      <c r="AG516" s="675"/>
    </row>
    <row r="517" spans="1:33" s="536" customFormat="1" ht="12" x14ac:dyDescent="0.2">
      <c r="A517" s="605"/>
      <c r="B517" s="552"/>
      <c r="C517" s="1828" t="s">
        <v>318</v>
      </c>
      <c r="D517" s="1828"/>
      <c r="E517" s="1828"/>
      <c r="F517" s="608"/>
      <c r="G517" s="608"/>
      <c r="H517" s="608"/>
      <c r="I517" s="608"/>
      <c r="J517" s="607">
        <v>6.29</v>
      </c>
      <c r="K517" s="608"/>
      <c r="L517" s="607">
        <v>7.63</v>
      </c>
      <c r="M517" s="601"/>
      <c r="N517" s="606"/>
      <c r="V517" s="674"/>
      <c r="W517" s="675"/>
      <c r="AB517" s="537" t="s">
        <v>318</v>
      </c>
      <c r="AC517" s="675"/>
      <c r="AD517" s="675"/>
      <c r="AF517" s="675"/>
      <c r="AG517" s="675"/>
    </row>
    <row r="518" spans="1:33" s="536" customFormat="1" ht="12" x14ac:dyDescent="0.2">
      <c r="A518" s="605"/>
      <c r="B518" s="552"/>
      <c r="C518" s="1822" t="s">
        <v>319</v>
      </c>
      <c r="D518" s="1822"/>
      <c r="E518" s="1822"/>
      <c r="F518" s="562"/>
      <c r="G518" s="562"/>
      <c r="H518" s="562"/>
      <c r="I518" s="562"/>
      <c r="J518" s="604"/>
      <c r="K518" s="562"/>
      <c r="L518" s="604">
        <v>6.69</v>
      </c>
      <c r="M518" s="603"/>
      <c r="N518" s="602"/>
      <c r="V518" s="674"/>
      <c r="W518" s="675"/>
      <c r="AA518" s="537" t="s">
        <v>319</v>
      </c>
      <c r="AC518" s="675"/>
      <c r="AD518" s="675"/>
      <c r="AF518" s="675"/>
      <c r="AG518" s="675"/>
    </row>
    <row r="519" spans="1:33" s="536" customFormat="1" ht="33.75" x14ac:dyDescent="0.2">
      <c r="A519" s="605"/>
      <c r="B519" s="552" t="s">
        <v>1631</v>
      </c>
      <c r="C519" s="1822" t="s">
        <v>1632</v>
      </c>
      <c r="D519" s="1822"/>
      <c r="E519" s="1822"/>
      <c r="F519" s="562" t="s">
        <v>322</v>
      </c>
      <c r="G519" s="562" t="s">
        <v>1633</v>
      </c>
      <c r="H519" s="562"/>
      <c r="I519" s="562" t="s">
        <v>1633</v>
      </c>
      <c r="J519" s="604"/>
      <c r="K519" s="562"/>
      <c r="L519" s="604">
        <v>6.49</v>
      </c>
      <c r="M519" s="603"/>
      <c r="N519" s="602"/>
      <c r="V519" s="674"/>
      <c r="W519" s="675"/>
      <c r="AA519" s="537" t="s">
        <v>1632</v>
      </c>
      <c r="AC519" s="675"/>
      <c r="AD519" s="675"/>
      <c r="AF519" s="675"/>
      <c r="AG519" s="675"/>
    </row>
    <row r="520" spans="1:33" s="536" customFormat="1" ht="33.75" x14ac:dyDescent="0.2">
      <c r="A520" s="605"/>
      <c r="B520" s="552" t="s">
        <v>1634</v>
      </c>
      <c r="C520" s="1822" t="s">
        <v>1635</v>
      </c>
      <c r="D520" s="1822"/>
      <c r="E520" s="1822"/>
      <c r="F520" s="562" t="s">
        <v>322</v>
      </c>
      <c r="G520" s="562" t="s">
        <v>786</v>
      </c>
      <c r="H520" s="562"/>
      <c r="I520" s="562" t="s">
        <v>786</v>
      </c>
      <c r="J520" s="604"/>
      <c r="K520" s="562"/>
      <c r="L520" s="604">
        <v>3.41</v>
      </c>
      <c r="M520" s="603"/>
      <c r="N520" s="602"/>
      <c r="V520" s="674"/>
      <c r="W520" s="675"/>
      <c r="AA520" s="537" t="s">
        <v>1635</v>
      </c>
      <c r="AC520" s="675"/>
      <c r="AD520" s="675"/>
      <c r="AF520" s="675"/>
      <c r="AG520" s="675"/>
    </row>
    <row r="521" spans="1:33" s="536" customFormat="1" ht="12" x14ac:dyDescent="0.2">
      <c r="A521" s="569"/>
      <c r="B521" s="656"/>
      <c r="C521" s="1823" t="s">
        <v>327</v>
      </c>
      <c r="D521" s="1823"/>
      <c r="E521" s="1823"/>
      <c r="F521" s="573"/>
      <c r="G521" s="573"/>
      <c r="H521" s="573"/>
      <c r="I521" s="573"/>
      <c r="J521" s="572"/>
      <c r="K521" s="573"/>
      <c r="L521" s="572">
        <v>17.53</v>
      </c>
      <c r="M521" s="601"/>
      <c r="N521" s="570"/>
      <c r="V521" s="674"/>
      <c r="W521" s="675"/>
      <c r="AC521" s="675" t="s">
        <v>327</v>
      </c>
      <c r="AD521" s="675"/>
      <c r="AF521" s="675"/>
      <c r="AG521" s="675"/>
    </row>
    <row r="522" spans="1:33" s="536" customFormat="1" ht="33.75" x14ac:dyDescent="0.2">
      <c r="A522" s="575" t="s">
        <v>804</v>
      </c>
      <c r="B522" s="657" t="s">
        <v>1780</v>
      </c>
      <c r="C522" s="1823" t="s">
        <v>1781</v>
      </c>
      <c r="D522" s="1823"/>
      <c r="E522" s="1823"/>
      <c r="F522" s="573" t="s">
        <v>483</v>
      </c>
      <c r="G522" s="573"/>
      <c r="H522" s="573"/>
      <c r="I522" s="573" t="s">
        <v>185</v>
      </c>
      <c r="J522" s="572">
        <v>211</v>
      </c>
      <c r="K522" s="573" t="s">
        <v>716</v>
      </c>
      <c r="L522" s="572">
        <v>25.84</v>
      </c>
      <c r="M522" s="571">
        <v>8.32</v>
      </c>
      <c r="N522" s="570">
        <v>215</v>
      </c>
      <c r="V522" s="674"/>
      <c r="W522" s="675" t="s">
        <v>1781</v>
      </c>
      <c r="AC522" s="675"/>
      <c r="AD522" s="675"/>
      <c r="AF522" s="675"/>
      <c r="AG522" s="675"/>
    </row>
    <row r="523" spans="1:33" s="536" customFormat="1" ht="12" x14ac:dyDescent="0.2">
      <c r="A523" s="569"/>
      <c r="B523" s="656"/>
      <c r="C523" s="661" t="s">
        <v>1658</v>
      </c>
      <c r="D523" s="662"/>
      <c r="E523" s="662"/>
      <c r="F523" s="563"/>
      <c r="G523" s="563"/>
      <c r="H523" s="563"/>
      <c r="I523" s="563"/>
      <c r="J523" s="566"/>
      <c r="K523" s="563"/>
      <c r="L523" s="566"/>
      <c r="M523" s="565"/>
      <c r="N523" s="564"/>
      <c r="V523" s="674"/>
      <c r="W523" s="675"/>
      <c r="AC523" s="675"/>
      <c r="AD523" s="675"/>
      <c r="AF523" s="675"/>
      <c r="AG523" s="675"/>
    </row>
    <row r="524" spans="1:33" s="536" customFormat="1" ht="22.5" x14ac:dyDescent="0.2">
      <c r="A524" s="609"/>
      <c r="B524" s="552" t="s">
        <v>718</v>
      </c>
      <c r="C524" s="1822" t="s">
        <v>719</v>
      </c>
      <c r="D524" s="1822"/>
      <c r="E524" s="1822"/>
      <c r="F524" s="1822"/>
      <c r="G524" s="1822"/>
      <c r="H524" s="1822"/>
      <c r="I524" s="1822"/>
      <c r="J524" s="1822"/>
      <c r="K524" s="1822"/>
      <c r="L524" s="1822"/>
      <c r="M524" s="1822"/>
      <c r="N524" s="1827"/>
      <c r="V524" s="674"/>
      <c r="W524" s="675"/>
      <c r="Y524" s="537" t="s">
        <v>719</v>
      </c>
      <c r="AC524" s="675"/>
      <c r="AD524" s="675"/>
      <c r="AF524" s="675"/>
      <c r="AG524" s="675"/>
    </row>
    <row r="525" spans="1:33" s="536" customFormat="1" ht="33.75" x14ac:dyDescent="0.2">
      <c r="A525" s="575" t="s">
        <v>2352</v>
      </c>
      <c r="B525" s="657" t="s">
        <v>1782</v>
      </c>
      <c r="C525" s="1823" t="s">
        <v>1783</v>
      </c>
      <c r="D525" s="1823"/>
      <c r="E525" s="1823"/>
      <c r="F525" s="573" t="s">
        <v>617</v>
      </c>
      <c r="G525" s="573"/>
      <c r="H525" s="573"/>
      <c r="I525" s="573" t="s">
        <v>197</v>
      </c>
      <c r="J525" s="572"/>
      <c r="K525" s="573"/>
      <c r="L525" s="572"/>
      <c r="M525" s="571"/>
      <c r="N525" s="570"/>
      <c r="V525" s="674"/>
      <c r="W525" s="675" t="s">
        <v>1783</v>
      </c>
      <c r="AC525" s="675"/>
      <c r="AD525" s="675"/>
      <c r="AF525" s="675"/>
      <c r="AG525" s="675"/>
    </row>
    <row r="526" spans="1:33" s="536" customFormat="1" ht="33.75" x14ac:dyDescent="0.2">
      <c r="A526" s="609"/>
      <c r="B526" s="552" t="s">
        <v>310</v>
      </c>
      <c r="C526" s="1822" t="s">
        <v>311</v>
      </c>
      <c r="D526" s="1822"/>
      <c r="E526" s="1822"/>
      <c r="F526" s="1822"/>
      <c r="G526" s="1822"/>
      <c r="H526" s="1822"/>
      <c r="I526" s="1822"/>
      <c r="J526" s="1822"/>
      <c r="K526" s="1822"/>
      <c r="L526" s="1822"/>
      <c r="M526" s="1822"/>
      <c r="N526" s="1827"/>
      <c r="V526" s="674"/>
      <c r="W526" s="675"/>
      <c r="Y526" s="537" t="s">
        <v>311</v>
      </c>
      <c r="AC526" s="675"/>
      <c r="AD526" s="675"/>
      <c r="AF526" s="675"/>
      <c r="AG526" s="675"/>
    </row>
    <row r="527" spans="1:33" s="536" customFormat="1" ht="12" x14ac:dyDescent="0.2">
      <c r="A527" s="605"/>
      <c r="B527" s="552" t="s">
        <v>185</v>
      </c>
      <c r="C527" s="1822" t="s">
        <v>312</v>
      </c>
      <c r="D527" s="1822"/>
      <c r="E527" s="1822"/>
      <c r="F527" s="562"/>
      <c r="G527" s="562"/>
      <c r="H527" s="562"/>
      <c r="I527" s="562"/>
      <c r="J527" s="604">
        <v>3.57</v>
      </c>
      <c r="K527" s="562" t="s">
        <v>313</v>
      </c>
      <c r="L527" s="604">
        <v>58.01</v>
      </c>
      <c r="M527" s="603"/>
      <c r="N527" s="602"/>
      <c r="V527" s="674"/>
      <c r="W527" s="675"/>
      <c r="Z527" s="537" t="s">
        <v>312</v>
      </c>
      <c r="AC527" s="675"/>
      <c r="AD527" s="675"/>
      <c r="AF527" s="675"/>
      <c r="AG527" s="675"/>
    </row>
    <row r="528" spans="1:33" s="536" customFormat="1" ht="12" x14ac:dyDescent="0.2">
      <c r="A528" s="605"/>
      <c r="B528" s="552" t="s">
        <v>188</v>
      </c>
      <c r="C528" s="1822" t="s">
        <v>475</v>
      </c>
      <c r="D528" s="1822"/>
      <c r="E528" s="1822"/>
      <c r="F528" s="562"/>
      <c r="G528" s="562"/>
      <c r="H528" s="562"/>
      <c r="I528" s="562"/>
      <c r="J528" s="604">
        <v>15.07</v>
      </c>
      <c r="K528" s="562"/>
      <c r="L528" s="604">
        <v>0.91</v>
      </c>
      <c r="M528" s="603"/>
      <c r="N528" s="602"/>
      <c r="V528" s="674"/>
      <c r="W528" s="675"/>
      <c r="Z528" s="537" t="s">
        <v>475</v>
      </c>
      <c r="AC528" s="675"/>
      <c r="AD528" s="675"/>
      <c r="AF528" s="675"/>
      <c r="AG528" s="675"/>
    </row>
    <row r="529" spans="1:33" s="536" customFormat="1" ht="12" x14ac:dyDescent="0.2">
      <c r="A529" s="605"/>
      <c r="B529" s="552"/>
      <c r="C529" s="1822" t="s">
        <v>314</v>
      </c>
      <c r="D529" s="1822"/>
      <c r="E529" s="1822"/>
      <c r="F529" s="562" t="s">
        <v>315</v>
      </c>
      <c r="G529" s="562" t="s">
        <v>1785</v>
      </c>
      <c r="H529" s="562" t="s">
        <v>313</v>
      </c>
      <c r="I529" s="562" t="s">
        <v>2353</v>
      </c>
      <c r="J529" s="604"/>
      <c r="K529" s="562"/>
      <c r="L529" s="604"/>
      <c r="M529" s="603"/>
      <c r="N529" s="602"/>
      <c r="V529" s="674"/>
      <c r="W529" s="675"/>
      <c r="AA529" s="537" t="s">
        <v>314</v>
      </c>
      <c r="AC529" s="675"/>
      <c r="AD529" s="675"/>
      <c r="AF529" s="675"/>
      <c r="AG529" s="675"/>
    </row>
    <row r="530" spans="1:33" s="536" customFormat="1" ht="12" x14ac:dyDescent="0.2">
      <c r="A530" s="605"/>
      <c r="B530" s="552"/>
      <c r="C530" s="1828" t="s">
        <v>318</v>
      </c>
      <c r="D530" s="1828"/>
      <c r="E530" s="1828"/>
      <c r="F530" s="608"/>
      <c r="G530" s="608"/>
      <c r="H530" s="608"/>
      <c r="I530" s="608"/>
      <c r="J530" s="607">
        <v>3.64</v>
      </c>
      <c r="K530" s="608"/>
      <c r="L530" s="607">
        <v>58.92</v>
      </c>
      <c r="M530" s="601"/>
      <c r="N530" s="606"/>
      <c r="V530" s="674"/>
      <c r="W530" s="675"/>
      <c r="AB530" s="537" t="s">
        <v>318</v>
      </c>
      <c r="AC530" s="675"/>
      <c r="AD530" s="675"/>
      <c r="AF530" s="675"/>
      <c r="AG530" s="675"/>
    </row>
    <row r="531" spans="1:33" s="536" customFormat="1" ht="12" x14ac:dyDescent="0.2">
      <c r="A531" s="605"/>
      <c r="B531" s="552"/>
      <c r="C531" s="1822" t="s">
        <v>319</v>
      </c>
      <c r="D531" s="1822"/>
      <c r="E531" s="1822"/>
      <c r="F531" s="562"/>
      <c r="G531" s="562"/>
      <c r="H531" s="562"/>
      <c r="I531" s="562"/>
      <c r="J531" s="604"/>
      <c r="K531" s="562"/>
      <c r="L531" s="604">
        <v>58.01</v>
      </c>
      <c r="M531" s="603"/>
      <c r="N531" s="602"/>
      <c r="V531" s="674"/>
      <c r="W531" s="675"/>
      <c r="AA531" s="537" t="s">
        <v>319</v>
      </c>
      <c r="AC531" s="675"/>
      <c r="AD531" s="675"/>
      <c r="AF531" s="675"/>
      <c r="AG531" s="675"/>
    </row>
    <row r="532" spans="1:33" s="536" customFormat="1" ht="33.75" x14ac:dyDescent="0.2">
      <c r="A532" s="605"/>
      <c r="B532" s="552" t="s">
        <v>1631</v>
      </c>
      <c r="C532" s="1822" t="s">
        <v>1632</v>
      </c>
      <c r="D532" s="1822"/>
      <c r="E532" s="1822"/>
      <c r="F532" s="562" t="s">
        <v>322</v>
      </c>
      <c r="G532" s="562" t="s">
        <v>1633</v>
      </c>
      <c r="H532" s="562"/>
      <c r="I532" s="562" t="s">
        <v>1633</v>
      </c>
      <c r="J532" s="604"/>
      <c r="K532" s="562"/>
      <c r="L532" s="604">
        <v>56.27</v>
      </c>
      <c r="M532" s="603"/>
      <c r="N532" s="602"/>
      <c r="V532" s="674"/>
      <c r="W532" s="675"/>
      <c r="AA532" s="537" t="s">
        <v>1632</v>
      </c>
      <c r="AC532" s="675"/>
      <c r="AD532" s="675"/>
      <c r="AF532" s="675"/>
      <c r="AG532" s="675"/>
    </row>
    <row r="533" spans="1:33" s="536" customFormat="1" ht="33.75" x14ac:dyDescent="0.2">
      <c r="A533" s="605"/>
      <c r="B533" s="552" t="s">
        <v>1634</v>
      </c>
      <c r="C533" s="1822" t="s">
        <v>1635</v>
      </c>
      <c r="D533" s="1822"/>
      <c r="E533" s="1822"/>
      <c r="F533" s="562" t="s">
        <v>322</v>
      </c>
      <c r="G533" s="562" t="s">
        <v>786</v>
      </c>
      <c r="H533" s="562"/>
      <c r="I533" s="562" t="s">
        <v>786</v>
      </c>
      <c r="J533" s="604"/>
      <c r="K533" s="562"/>
      <c r="L533" s="604">
        <v>29.59</v>
      </c>
      <c r="M533" s="603"/>
      <c r="N533" s="602"/>
      <c r="V533" s="674"/>
      <c r="W533" s="675"/>
      <c r="AA533" s="537" t="s">
        <v>1635</v>
      </c>
      <c r="AC533" s="675"/>
      <c r="AD533" s="675"/>
      <c r="AF533" s="675"/>
      <c r="AG533" s="675"/>
    </row>
    <row r="534" spans="1:33" s="536" customFormat="1" ht="12" x14ac:dyDescent="0.2">
      <c r="A534" s="569"/>
      <c r="B534" s="656"/>
      <c r="C534" s="1823" t="s">
        <v>327</v>
      </c>
      <c r="D534" s="1823"/>
      <c r="E534" s="1823"/>
      <c r="F534" s="573"/>
      <c r="G534" s="573"/>
      <c r="H534" s="573"/>
      <c r="I534" s="573"/>
      <c r="J534" s="572"/>
      <c r="K534" s="573"/>
      <c r="L534" s="572">
        <v>144.78</v>
      </c>
      <c r="M534" s="601"/>
      <c r="N534" s="570"/>
      <c r="V534" s="674"/>
      <c r="W534" s="675"/>
      <c r="AC534" s="675" t="s">
        <v>327</v>
      </c>
      <c r="AD534" s="675"/>
      <c r="AF534" s="675"/>
      <c r="AG534" s="675"/>
    </row>
    <row r="535" spans="1:33" s="536" customFormat="1" ht="33.75" x14ac:dyDescent="0.2">
      <c r="A535" s="575" t="s">
        <v>897</v>
      </c>
      <c r="B535" s="657" t="s">
        <v>1787</v>
      </c>
      <c r="C535" s="1823" t="s">
        <v>1788</v>
      </c>
      <c r="D535" s="1823"/>
      <c r="E535" s="1823"/>
      <c r="F535" s="573" t="s">
        <v>617</v>
      </c>
      <c r="G535" s="573"/>
      <c r="H535" s="573"/>
      <c r="I535" s="573" t="s">
        <v>188</v>
      </c>
      <c r="J535" s="572">
        <v>1266.02</v>
      </c>
      <c r="K535" s="573" t="s">
        <v>716</v>
      </c>
      <c r="L535" s="572">
        <v>620.79</v>
      </c>
      <c r="M535" s="571">
        <v>8.32</v>
      </c>
      <c r="N535" s="570">
        <v>5165</v>
      </c>
      <c r="V535" s="674"/>
      <c r="W535" s="675" t="s">
        <v>1788</v>
      </c>
      <c r="AC535" s="675"/>
      <c r="AD535" s="675"/>
      <c r="AF535" s="675"/>
      <c r="AG535" s="675"/>
    </row>
    <row r="536" spans="1:33" s="536" customFormat="1" ht="12" x14ac:dyDescent="0.2">
      <c r="A536" s="569"/>
      <c r="B536" s="656"/>
      <c r="C536" s="661" t="s">
        <v>1658</v>
      </c>
      <c r="D536" s="662"/>
      <c r="E536" s="662"/>
      <c r="F536" s="563"/>
      <c r="G536" s="563"/>
      <c r="H536" s="563"/>
      <c r="I536" s="563"/>
      <c r="J536" s="566"/>
      <c r="K536" s="563"/>
      <c r="L536" s="566"/>
      <c r="M536" s="565"/>
      <c r="N536" s="564"/>
      <c r="V536" s="674"/>
      <c r="W536" s="675"/>
      <c r="AC536" s="675"/>
      <c r="AD536" s="675"/>
      <c r="AF536" s="675"/>
      <c r="AG536" s="675"/>
    </row>
    <row r="537" spans="1:33" s="536" customFormat="1" ht="22.5" x14ac:dyDescent="0.2">
      <c r="A537" s="609"/>
      <c r="B537" s="552" t="s">
        <v>718</v>
      </c>
      <c r="C537" s="1822" t="s">
        <v>719</v>
      </c>
      <c r="D537" s="1822"/>
      <c r="E537" s="1822"/>
      <c r="F537" s="1822"/>
      <c r="G537" s="1822"/>
      <c r="H537" s="1822"/>
      <c r="I537" s="1822"/>
      <c r="J537" s="1822"/>
      <c r="K537" s="1822"/>
      <c r="L537" s="1822"/>
      <c r="M537" s="1822"/>
      <c r="N537" s="1827"/>
      <c r="V537" s="674"/>
      <c r="W537" s="675"/>
      <c r="Y537" s="537" t="s">
        <v>719</v>
      </c>
      <c r="AC537" s="675"/>
      <c r="AD537" s="675"/>
      <c r="AF537" s="675"/>
      <c r="AG537" s="675"/>
    </row>
    <row r="538" spans="1:33" s="536" customFormat="1" ht="33.75" x14ac:dyDescent="0.2">
      <c r="A538" s="575" t="s">
        <v>817</v>
      </c>
      <c r="B538" s="657" t="s">
        <v>1789</v>
      </c>
      <c r="C538" s="1823" t="s">
        <v>1790</v>
      </c>
      <c r="D538" s="1823"/>
      <c r="E538" s="1823"/>
      <c r="F538" s="573" t="s">
        <v>617</v>
      </c>
      <c r="G538" s="573"/>
      <c r="H538" s="573"/>
      <c r="I538" s="573" t="s">
        <v>185</v>
      </c>
      <c r="J538" s="572"/>
      <c r="K538" s="573"/>
      <c r="L538" s="572"/>
      <c r="M538" s="571"/>
      <c r="N538" s="570"/>
      <c r="V538" s="674"/>
      <c r="W538" s="675" t="s">
        <v>1790</v>
      </c>
      <c r="AC538" s="675"/>
      <c r="AD538" s="675"/>
      <c r="AF538" s="675"/>
      <c r="AG538" s="675"/>
    </row>
    <row r="539" spans="1:33" s="536" customFormat="1" ht="12" x14ac:dyDescent="0.2">
      <c r="A539" s="605"/>
      <c r="B539" s="552" t="s">
        <v>185</v>
      </c>
      <c r="C539" s="1822" t="s">
        <v>312</v>
      </c>
      <c r="D539" s="1822"/>
      <c r="E539" s="1822"/>
      <c r="F539" s="562"/>
      <c r="G539" s="562"/>
      <c r="H539" s="562"/>
      <c r="I539" s="562"/>
      <c r="J539" s="604">
        <v>10.220000000000001</v>
      </c>
      <c r="K539" s="562"/>
      <c r="L539" s="604">
        <v>10.220000000000001</v>
      </c>
      <c r="M539" s="603"/>
      <c r="N539" s="602"/>
      <c r="V539" s="674"/>
      <c r="W539" s="675"/>
      <c r="Z539" s="537" t="s">
        <v>312</v>
      </c>
      <c r="AC539" s="675"/>
      <c r="AD539" s="675"/>
      <c r="AF539" s="675"/>
      <c r="AG539" s="675"/>
    </row>
    <row r="540" spans="1:33" s="536" customFormat="1" ht="12" x14ac:dyDescent="0.2">
      <c r="A540" s="605"/>
      <c r="B540" s="552" t="s">
        <v>188</v>
      </c>
      <c r="C540" s="1822" t="s">
        <v>475</v>
      </c>
      <c r="D540" s="1822"/>
      <c r="E540" s="1822"/>
      <c r="F540" s="562"/>
      <c r="G540" s="562"/>
      <c r="H540" s="562"/>
      <c r="I540" s="562"/>
      <c r="J540" s="604">
        <v>1.31</v>
      </c>
      <c r="K540" s="562"/>
      <c r="L540" s="604">
        <v>1.31</v>
      </c>
      <c r="M540" s="603"/>
      <c r="N540" s="602"/>
      <c r="V540" s="674"/>
      <c r="W540" s="675"/>
      <c r="Z540" s="537" t="s">
        <v>475</v>
      </c>
      <c r="AC540" s="675"/>
      <c r="AD540" s="675"/>
      <c r="AF540" s="675"/>
      <c r="AG540" s="675"/>
    </row>
    <row r="541" spans="1:33" s="536" customFormat="1" ht="12" x14ac:dyDescent="0.2">
      <c r="A541" s="605"/>
      <c r="B541" s="552"/>
      <c r="C541" s="1822" t="s">
        <v>314</v>
      </c>
      <c r="D541" s="1822"/>
      <c r="E541" s="1822"/>
      <c r="F541" s="562" t="s">
        <v>315</v>
      </c>
      <c r="G541" s="562" t="s">
        <v>702</v>
      </c>
      <c r="H541" s="562"/>
      <c r="I541" s="562" t="s">
        <v>702</v>
      </c>
      <c r="J541" s="604"/>
      <c r="K541" s="562"/>
      <c r="L541" s="604"/>
      <c r="M541" s="603"/>
      <c r="N541" s="602"/>
      <c r="V541" s="674"/>
      <c r="W541" s="675"/>
      <c r="AA541" s="537" t="s">
        <v>314</v>
      </c>
      <c r="AC541" s="675"/>
      <c r="AD541" s="675"/>
      <c r="AF541" s="675"/>
      <c r="AG541" s="675"/>
    </row>
    <row r="542" spans="1:33" s="536" customFormat="1" ht="12" x14ac:dyDescent="0.2">
      <c r="A542" s="605"/>
      <c r="B542" s="552"/>
      <c r="C542" s="1828" t="s">
        <v>318</v>
      </c>
      <c r="D542" s="1828"/>
      <c r="E542" s="1828"/>
      <c r="F542" s="608"/>
      <c r="G542" s="608"/>
      <c r="H542" s="608"/>
      <c r="I542" s="608"/>
      <c r="J542" s="607">
        <v>11.53</v>
      </c>
      <c r="K542" s="608"/>
      <c r="L542" s="607">
        <v>11.53</v>
      </c>
      <c r="M542" s="601"/>
      <c r="N542" s="606"/>
      <c r="V542" s="674"/>
      <c r="W542" s="675"/>
      <c r="AB542" s="537" t="s">
        <v>318</v>
      </c>
      <c r="AC542" s="675"/>
      <c r="AD542" s="675"/>
      <c r="AF542" s="675"/>
      <c r="AG542" s="675"/>
    </row>
    <row r="543" spans="1:33" s="536" customFormat="1" ht="12" x14ac:dyDescent="0.2">
      <c r="A543" s="605"/>
      <c r="B543" s="552"/>
      <c r="C543" s="1822" t="s">
        <v>319</v>
      </c>
      <c r="D543" s="1822"/>
      <c r="E543" s="1822"/>
      <c r="F543" s="562"/>
      <c r="G543" s="562"/>
      <c r="H543" s="562"/>
      <c r="I543" s="562"/>
      <c r="J543" s="604"/>
      <c r="K543" s="562"/>
      <c r="L543" s="604">
        <v>10.220000000000001</v>
      </c>
      <c r="M543" s="603"/>
      <c r="N543" s="602"/>
      <c r="V543" s="674"/>
      <c r="W543" s="675"/>
      <c r="AA543" s="537" t="s">
        <v>319</v>
      </c>
      <c r="AC543" s="675"/>
      <c r="AD543" s="675"/>
      <c r="AF543" s="675"/>
      <c r="AG543" s="675"/>
    </row>
    <row r="544" spans="1:33" s="536" customFormat="1" ht="33.75" x14ac:dyDescent="0.2">
      <c r="A544" s="605"/>
      <c r="B544" s="552" t="s">
        <v>948</v>
      </c>
      <c r="C544" s="1822" t="s">
        <v>949</v>
      </c>
      <c r="D544" s="1822"/>
      <c r="E544" s="1822"/>
      <c r="F544" s="562" t="s">
        <v>322</v>
      </c>
      <c r="G544" s="562" t="s">
        <v>886</v>
      </c>
      <c r="H544" s="562"/>
      <c r="I544" s="562" t="s">
        <v>886</v>
      </c>
      <c r="J544" s="604"/>
      <c r="K544" s="562"/>
      <c r="L544" s="604">
        <v>9.1999999999999993</v>
      </c>
      <c r="M544" s="603"/>
      <c r="N544" s="602"/>
      <c r="V544" s="674"/>
      <c r="W544" s="675"/>
      <c r="AA544" s="537" t="s">
        <v>949</v>
      </c>
      <c r="AC544" s="675"/>
      <c r="AD544" s="675"/>
      <c r="AF544" s="675"/>
      <c r="AG544" s="675"/>
    </row>
    <row r="545" spans="1:33" s="536" customFormat="1" ht="33.75" x14ac:dyDescent="0.2">
      <c r="A545" s="605"/>
      <c r="B545" s="552" t="s">
        <v>950</v>
      </c>
      <c r="C545" s="1822" t="s">
        <v>951</v>
      </c>
      <c r="D545" s="1822"/>
      <c r="E545" s="1822"/>
      <c r="F545" s="562" t="s">
        <v>322</v>
      </c>
      <c r="G545" s="562" t="s">
        <v>465</v>
      </c>
      <c r="H545" s="562"/>
      <c r="I545" s="562" t="s">
        <v>465</v>
      </c>
      <c r="J545" s="604"/>
      <c r="K545" s="562"/>
      <c r="L545" s="604">
        <v>4.7</v>
      </c>
      <c r="M545" s="603"/>
      <c r="N545" s="602"/>
      <c r="V545" s="674"/>
      <c r="W545" s="675"/>
      <c r="AA545" s="537" t="s">
        <v>951</v>
      </c>
      <c r="AC545" s="675"/>
      <c r="AD545" s="675"/>
      <c r="AF545" s="675"/>
      <c r="AG545" s="675"/>
    </row>
    <row r="546" spans="1:33" s="536" customFormat="1" ht="12" x14ac:dyDescent="0.2">
      <c r="A546" s="569"/>
      <c r="B546" s="656"/>
      <c r="C546" s="1823" t="s">
        <v>327</v>
      </c>
      <c r="D546" s="1823"/>
      <c r="E546" s="1823"/>
      <c r="F546" s="573"/>
      <c r="G546" s="573"/>
      <c r="H546" s="573"/>
      <c r="I546" s="573"/>
      <c r="J546" s="572"/>
      <c r="K546" s="573"/>
      <c r="L546" s="572">
        <v>25.43</v>
      </c>
      <c r="M546" s="601"/>
      <c r="N546" s="570"/>
      <c r="V546" s="674"/>
      <c r="W546" s="675"/>
      <c r="AC546" s="675" t="s">
        <v>327</v>
      </c>
      <c r="AD546" s="675"/>
      <c r="AF546" s="675"/>
      <c r="AG546" s="675"/>
    </row>
    <row r="547" spans="1:33" s="536" customFormat="1" ht="33.75" x14ac:dyDescent="0.2">
      <c r="A547" s="575" t="s">
        <v>824</v>
      </c>
      <c r="B547" s="657" t="s">
        <v>1792</v>
      </c>
      <c r="C547" s="1823" t="s">
        <v>1793</v>
      </c>
      <c r="D547" s="1823"/>
      <c r="E547" s="1823"/>
      <c r="F547" s="573" t="s">
        <v>617</v>
      </c>
      <c r="G547" s="573"/>
      <c r="H547" s="573"/>
      <c r="I547" s="573" t="s">
        <v>185</v>
      </c>
      <c r="J547" s="572">
        <v>3876.2</v>
      </c>
      <c r="K547" s="573" t="s">
        <v>629</v>
      </c>
      <c r="L547" s="572">
        <v>854.68</v>
      </c>
      <c r="M547" s="571">
        <v>4.59</v>
      </c>
      <c r="N547" s="570">
        <v>3923</v>
      </c>
      <c r="V547" s="674"/>
      <c r="W547" s="675" t="s">
        <v>1793</v>
      </c>
      <c r="AC547" s="675"/>
      <c r="AD547" s="675"/>
      <c r="AF547" s="675"/>
      <c r="AG547" s="675"/>
    </row>
    <row r="548" spans="1:33" s="536" customFormat="1" ht="12" x14ac:dyDescent="0.2">
      <c r="A548" s="569"/>
      <c r="B548" s="656"/>
      <c r="C548" s="661" t="s">
        <v>630</v>
      </c>
      <c r="D548" s="662"/>
      <c r="E548" s="662"/>
      <c r="F548" s="563"/>
      <c r="G548" s="563"/>
      <c r="H548" s="563"/>
      <c r="I548" s="563"/>
      <c r="J548" s="566"/>
      <c r="K548" s="563"/>
      <c r="L548" s="566"/>
      <c r="M548" s="565"/>
      <c r="N548" s="564"/>
      <c r="V548" s="674"/>
      <c r="W548" s="675"/>
      <c r="AC548" s="675"/>
      <c r="AD548" s="675"/>
      <c r="AF548" s="675"/>
      <c r="AG548" s="675"/>
    </row>
    <row r="549" spans="1:33" s="536" customFormat="1" ht="22.5" x14ac:dyDescent="0.2">
      <c r="A549" s="609"/>
      <c r="B549" s="552" t="s">
        <v>1638</v>
      </c>
      <c r="C549" s="1822" t="s">
        <v>632</v>
      </c>
      <c r="D549" s="1822"/>
      <c r="E549" s="1822"/>
      <c r="F549" s="1822"/>
      <c r="G549" s="1822"/>
      <c r="H549" s="1822"/>
      <c r="I549" s="1822"/>
      <c r="J549" s="1822"/>
      <c r="K549" s="1822"/>
      <c r="L549" s="1822"/>
      <c r="M549" s="1822"/>
      <c r="N549" s="1827"/>
      <c r="V549" s="674"/>
      <c r="W549" s="675"/>
      <c r="Y549" s="537" t="s">
        <v>632</v>
      </c>
      <c r="AC549" s="675"/>
      <c r="AD549" s="675"/>
      <c r="AF549" s="675"/>
      <c r="AG549" s="675"/>
    </row>
    <row r="550" spans="1:33" s="536" customFormat="1" ht="12" x14ac:dyDescent="0.2">
      <c r="A550" s="1830" t="s">
        <v>2354</v>
      </c>
      <c r="B550" s="1831"/>
      <c r="C550" s="1831"/>
      <c r="D550" s="1831"/>
      <c r="E550" s="1831"/>
      <c r="F550" s="1831"/>
      <c r="G550" s="1831"/>
      <c r="H550" s="1831"/>
      <c r="I550" s="1831"/>
      <c r="J550" s="1831"/>
      <c r="K550" s="1831"/>
      <c r="L550" s="1831"/>
      <c r="M550" s="1831"/>
      <c r="N550" s="1832"/>
      <c r="V550" s="674"/>
      <c r="W550" s="675"/>
      <c r="AC550" s="675"/>
      <c r="AD550" s="675"/>
      <c r="AF550" s="675"/>
      <c r="AG550" s="675" t="s">
        <v>2354</v>
      </c>
    </row>
    <row r="551" spans="1:33" s="536" customFormat="1" ht="56.25" x14ac:dyDescent="0.2">
      <c r="A551" s="575" t="s">
        <v>966</v>
      </c>
      <c r="B551" s="657" t="s">
        <v>2355</v>
      </c>
      <c r="C551" s="1823" t="s">
        <v>2356</v>
      </c>
      <c r="D551" s="1823"/>
      <c r="E551" s="1823"/>
      <c r="F551" s="573" t="s">
        <v>617</v>
      </c>
      <c r="G551" s="573"/>
      <c r="H551" s="573"/>
      <c r="I551" s="573" t="s">
        <v>188</v>
      </c>
      <c r="J551" s="572"/>
      <c r="K551" s="573"/>
      <c r="L551" s="572"/>
      <c r="M551" s="571"/>
      <c r="N551" s="570"/>
      <c r="V551" s="674"/>
      <c r="W551" s="675" t="s">
        <v>2356</v>
      </c>
      <c r="AC551" s="675"/>
      <c r="AD551" s="675"/>
      <c r="AF551" s="675"/>
      <c r="AG551" s="675"/>
    </row>
    <row r="552" spans="1:33" s="536" customFormat="1" ht="33.75" x14ac:dyDescent="0.2">
      <c r="A552" s="609"/>
      <c r="B552" s="552" t="s">
        <v>310</v>
      </c>
      <c r="C552" s="1822" t="s">
        <v>311</v>
      </c>
      <c r="D552" s="1822"/>
      <c r="E552" s="1822"/>
      <c r="F552" s="1822"/>
      <c r="G552" s="1822"/>
      <c r="H552" s="1822"/>
      <c r="I552" s="1822"/>
      <c r="J552" s="1822"/>
      <c r="K552" s="1822"/>
      <c r="L552" s="1822"/>
      <c r="M552" s="1822"/>
      <c r="N552" s="1827"/>
      <c r="V552" s="674"/>
      <c r="W552" s="675"/>
      <c r="Y552" s="537" t="s">
        <v>311</v>
      </c>
      <c r="AC552" s="675"/>
      <c r="AD552" s="675"/>
      <c r="AF552" s="675"/>
      <c r="AG552" s="675"/>
    </row>
    <row r="553" spans="1:33" s="536" customFormat="1" ht="12" x14ac:dyDescent="0.2">
      <c r="A553" s="605"/>
      <c r="B553" s="552" t="s">
        <v>185</v>
      </c>
      <c r="C553" s="1822" t="s">
        <v>312</v>
      </c>
      <c r="D553" s="1822"/>
      <c r="E553" s="1822"/>
      <c r="F553" s="562"/>
      <c r="G553" s="562"/>
      <c r="H553" s="562"/>
      <c r="I553" s="562"/>
      <c r="J553" s="604">
        <v>42.41</v>
      </c>
      <c r="K553" s="562" t="s">
        <v>313</v>
      </c>
      <c r="L553" s="604">
        <v>212.05</v>
      </c>
      <c r="M553" s="603"/>
      <c r="N553" s="602"/>
      <c r="V553" s="674"/>
      <c r="W553" s="675"/>
      <c r="Z553" s="537" t="s">
        <v>312</v>
      </c>
      <c r="AC553" s="675"/>
      <c r="AD553" s="675"/>
      <c r="AF553" s="675"/>
      <c r="AG553" s="675"/>
    </row>
    <row r="554" spans="1:33" s="536" customFormat="1" ht="12" x14ac:dyDescent="0.2">
      <c r="A554" s="605"/>
      <c r="B554" s="552" t="s">
        <v>186</v>
      </c>
      <c r="C554" s="1822" t="s">
        <v>344</v>
      </c>
      <c r="D554" s="1822"/>
      <c r="E554" s="1822"/>
      <c r="F554" s="562"/>
      <c r="G554" s="562"/>
      <c r="H554" s="562"/>
      <c r="I554" s="562"/>
      <c r="J554" s="604">
        <v>2.27</v>
      </c>
      <c r="K554" s="562" t="s">
        <v>313</v>
      </c>
      <c r="L554" s="604">
        <v>11.35</v>
      </c>
      <c r="M554" s="603"/>
      <c r="N554" s="602"/>
      <c r="V554" s="674"/>
      <c r="W554" s="675"/>
      <c r="Z554" s="537" t="s">
        <v>344</v>
      </c>
      <c r="AC554" s="675"/>
      <c r="AD554" s="675"/>
      <c r="AF554" s="675"/>
      <c r="AG554" s="675"/>
    </row>
    <row r="555" spans="1:33" s="536" customFormat="1" ht="12" x14ac:dyDescent="0.2">
      <c r="A555" s="605"/>
      <c r="B555" s="552" t="s">
        <v>188</v>
      </c>
      <c r="C555" s="1822" t="s">
        <v>475</v>
      </c>
      <c r="D555" s="1822"/>
      <c r="E555" s="1822"/>
      <c r="F555" s="562"/>
      <c r="G555" s="562"/>
      <c r="H555" s="562"/>
      <c r="I555" s="562"/>
      <c r="J555" s="604">
        <v>98.28</v>
      </c>
      <c r="K555" s="562"/>
      <c r="L555" s="604">
        <v>393.12</v>
      </c>
      <c r="M555" s="603"/>
      <c r="N555" s="602"/>
      <c r="V555" s="674"/>
      <c r="W555" s="675"/>
      <c r="Z555" s="537" t="s">
        <v>475</v>
      </c>
      <c r="AC555" s="675"/>
      <c r="AD555" s="675"/>
      <c r="AF555" s="675"/>
      <c r="AG555" s="675"/>
    </row>
    <row r="556" spans="1:33" s="536" customFormat="1" ht="12" x14ac:dyDescent="0.2">
      <c r="A556" s="605"/>
      <c r="B556" s="552"/>
      <c r="C556" s="1822" t="s">
        <v>314</v>
      </c>
      <c r="D556" s="1822"/>
      <c r="E556" s="1822"/>
      <c r="F556" s="562" t="s">
        <v>315</v>
      </c>
      <c r="G556" s="562" t="s">
        <v>2357</v>
      </c>
      <c r="H556" s="562" t="s">
        <v>313</v>
      </c>
      <c r="I556" s="562" t="s">
        <v>2358</v>
      </c>
      <c r="J556" s="604"/>
      <c r="K556" s="562"/>
      <c r="L556" s="604"/>
      <c r="M556" s="603"/>
      <c r="N556" s="602"/>
      <c r="V556" s="674"/>
      <c r="W556" s="675"/>
      <c r="AA556" s="537" t="s">
        <v>314</v>
      </c>
      <c r="AC556" s="675"/>
      <c r="AD556" s="675"/>
      <c r="AF556" s="675"/>
      <c r="AG556" s="675"/>
    </row>
    <row r="557" spans="1:33" s="536" customFormat="1" ht="12" x14ac:dyDescent="0.2">
      <c r="A557" s="605"/>
      <c r="B557" s="552"/>
      <c r="C557" s="1828" t="s">
        <v>318</v>
      </c>
      <c r="D557" s="1828"/>
      <c r="E557" s="1828"/>
      <c r="F557" s="608"/>
      <c r="G557" s="608"/>
      <c r="H557" s="608"/>
      <c r="I557" s="608"/>
      <c r="J557" s="607">
        <v>142.96</v>
      </c>
      <c r="K557" s="608"/>
      <c r="L557" s="607">
        <v>616.52</v>
      </c>
      <c r="M557" s="601"/>
      <c r="N557" s="606"/>
      <c r="V557" s="674"/>
      <c r="W557" s="675"/>
      <c r="AB557" s="537" t="s">
        <v>318</v>
      </c>
      <c r="AC557" s="675"/>
      <c r="AD557" s="675"/>
      <c r="AF557" s="675"/>
      <c r="AG557" s="675"/>
    </row>
    <row r="558" spans="1:33" s="536" customFormat="1" ht="12" x14ac:dyDescent="0.2">
      <c r="A558" s="605"/>
      <c r="B558" s="552"/>
      <c r="C558" s="1822" t="s">
        <v>319</v>
      </c>
      <c r="D558" s="1822"/>
      <c r="E558" s="1822"/>
      <c r="F558" s="562"/>
      <c r="G558" s="562"/>
      <c r="H558" s="562"/>
      <c r="I558" s="562"/>
      <c r="J558" s="604"/>
      <c r="K558" s="562"/>
      <c r="L558" s="604">
        <v>212.05</v>
      </c>
      <c r="M558" s="603"/>
      <c r="N558" s="602"/>
      <c r="V558" s="674"/>
      <c r="W558" s="675"/>
      <c r="AA558" s="537" t="s">
        <v>319</v>
      </c>
      <c r="AC558" s="675"/>
      <c r="AD558" s="675"/>
      <c r="AF558" s="675"/>
      <c r="AG558" s="675"/>
    </row>
    <row r="559" spans="1:33" s="536" customFormat="1" ht="33.75" x14ac:dyDescent="0.2">
      <c r="A559" s="605"/>
      <c r="B559" s="552" t="s">
        <v>1631</v>
      </c>
      <c r="C559" s="1822" t="s">
        <v>1632</v>
      </c>
      <c r="D559" s="1822"/>
      <c r="E559" s="1822"/>
      <c r="F559" s="562" t="s">
        <v>322</v>
      </c>
      <c r="G559" s="562" t="s">
        <v>1633</v>
      </c>
      <c r="H559" s="562"/>
      <c r="I559" s="562" t="s">
        <v>1633</v>
      </c>
      <c r="J559" s="604"/>
      <c r="K559" s="562"/>
      <c r="L559" s="604">
        <v>205.69</v>
      </c>
      <c r="M559" s="603"/>
      <c r="N559" s="602"/>
      <c r="V559" s="674"/>
      <c r="W559" s="675"/>
      <c r="AA559" s="537" t="s">
        <v>1632</v>
      </c>
      <c r="AC559" s="675"/>
      <c r="AD559" s="675"/>
      <c r="AF559" s="675"/>
      <c r="AG559" s="675"/>
    </row>
    <row r="560" spans="1:33" s="536" customFormat="1" ht="33.75" x14ac:dyDescent="0.2">
      <c r="A560" s="605"/>
      <c r="B560" s="552" t="s">
        <v>1634</v>
      </c>
      <c r="C560" s="1822" t="s">
        <v>1635</v>
      </c>
      <c r="D560" s="1822"/>
      <c r="E560" s="1822"/>
      <c r="F560" s="562" t="s">
        <v>322</v>
      </c>
      <c r="G560" s="562" t="s">
        <v>786</v>
      </c>
      <c r="H560" s="562"/>
      <c r="I560" s="562" t="s">
        <v>786</v>
      </c>
      <c r="J560" s="604"/>
      <c r="K560" s="562"/>
      <c r="L560" s="604">
        <v>108.15</v>
      </c>
      <c r="M560" s="603"/>
      <c r="N560" s="602"/>
      <c r="V560" s="674"/>
      <c r="W560" s="675"/>
      <c r="AA560" s="537" t="s">
        <v>1635</v>
      </c>
      <c r="AC560" s="675"/>
      <c r="AD560" s="675"/>
      <c r="AF560" s="675"/>
      <c r="AG560" s="675"/>
    </row>
    <row r="561" spans="1:33" s="536" customFormat="1" ht="12" x14ac:dyDescent="0.2">
      <c r="A561" s="569"/>
      <c r="B561" s="656"/>
      <c r="C561" s="1823" t="s">
        <v>327</v>
      </c>
      <c r="D561" s="1823"/>
      <c r="E561" s="1823"/>
      <c r="F561" s="573"/>
      <c r="G561" s="573"/>
      <c r="H561" s="573"/>
      <c r="I561" s="573"/>
      <c r="J561" s="572"/>
      <c r="K561" s="573"/>
      <c r="L561" s="572">
        <v>930.36</v>
      </c>
      <c r="M561" s="601"/>
      <c r="N561" s="570"/>
      <c r="V561" s="674"/>
      <c r="W561" s="675"/>
      <c r="AC561" s="675" t="s">
        <v>327</v>
      </c>
      <c r="AD561" s="675"/>
      <c r="AF561" s="675"/>
      <c r="AG561" s="675"/>
    </row>
    <row r="562" spans="1:33" s="536" customFormat="1" ht="33.75" x14ac:dyDescent="0.2">
      <c r="A562" s="575" t="s">
        <v>2359</v>
      </c>
      <c r="B562" s="657" t="s">
        <v>2360</v>
      </c>
      <c r="C562" s="1823" t="s">
        <v>2361</v>
      </c>
      <c r="D562" s="1823"/>
      <c r="E562" s="1823"/>
      <c r="F562" s="573" t="s">
        <v>889</v>
      </c>
      <c r="G562" s="573"/>
      <c r="H562" s="573"/>
      <c r="I562" s="573" t="s">
        <v>947</v>
      </c>
      <c r="J562" s="572">
        <v>276.3</v>
      </c>
      <c r="K562" s="573"/>
      <c r="L562" s="572">
        <v>110.52</v>
      </c>
      <c r="M562" s="571"/>
      <c r="N562" s="570"/>
      <c r="V562" s="674"/>
      <c r="W562" s="675" t="s">
        <v>2361</v>
      </c>
      <c r="AC562" s="675"/>
      <c r="AD562" s="675"/>
      <c r="AF562" s="675"/>
      <c r="AG562" s="675"/>
    </row>
    <row r="563" spans="1:33" s="536" customFormat="1" ht="12" x14ac:dyDescent="0.2">
      <c r="A563" s="569"/>
      <c r="B563" s="656"/>
      <c r="C563" s="661" t="s">
        <v>1658</v>
      </c>
      <c r="D563" s="662"/>
      <c r="E563" s="662"/>
      <c r="F563" s="563"/>
      <c r="G563" s="563"/>
      <c r="H563" s="563"/>
      <c r="I563" s="563"/>
      <c r="J563" s="566"/>
      <c r="K563" s="563"/>
      <c r="L563" s="566"/>
      <c r="M563" s="565"/>
      <c r="N563" s="564"/>
      <c r="V563" s="674"/>
      <c r="W563" s="675"/>
      <c r="AC563" s="675"/>
      <c r="AD563" s="675"/>
      <c r="AF563" s="675"/>
      <c r="AG563" s="675"/>
    </row>
    <row r="564" spans="1:33" s="536" customFormat="1" ht="12" x14ac:dyDescent="0.2">
      <c r="A564" s="676"/>
      <c r="B564" s="655"/>
      <c r="C564" s="1822" t="s">
        <v>2362</v>
      </c>
      <c r="D564" s="1822"/>
      <c r="E564" s="1822"/>
      <c r="F564" s="1822"/>
      <c r="G564" s="1822"/>
      <c r="H564" s="1822"/>
      <c r="I564" s="1822"/>
      <c r="J564" s="1822"/>
      <c r="K564" s="1822"/>
      <c r="L564" s="1822"/>
      <c r="M564" s="1822"/>
      <c r="N564" s="1827"/>
      <c r="V564" s="674"/>
      <c r="W564" s="675"/>
      <c r="X564" s="537" t="s">
        <v>2362</v>
      </c>
      <c r="AC564" s="675"/>
      <c r="AD564" s="675"/>
      <c r="AF564" s="675"/>
      <c r="AG564" s="675"/>
    </row>
    <row r="565" spans="1:33" s="536" customFormat="1" ht="45" x14ac:dyDescent="0.2">
      <c r="A565" s="575" t="s">
        <v>2363</v>
      </c>
      <c r="B565" s="657" t="s">
        <v>1794</v>
      </c>
      <c r="C565" s="1823" t="s">
        <v>1795</v>
      </c>
      <c r="D565" s="1823"/>
      <c r="E565" s="1823"/>
      <c r="F565" s="573" t="s">
        <v>1110</v>
      </c>
      <c r="G565" s="573"/>
      <c r="H565" s="573"/>
      <c r="I565" s="573" t="s">
        <v>2364</v>
      </c>
      <c r="J565" s="572"/>
      <c r="K565" s="573"/>
      <c r="L565" s="572"/>
      <c r="M565" s="571"/>
      <c r="N565" s="570"/>
      <c r="V565" s="674"/>
      <c r="W565" s="675" t="s">
        <v>1795</v>
      </c>
      <c r="AC565" s="675"/>
      <c r="AD565" s="675"/>
      <c r="AF565" s="675"/>
      <c r="AG565" s="675"/>
    </row>
    <row r="566" spans="1:33" s="536" customFormat="1" ht="12" x14ac:dyDescent="0.2">
      <c r="A566" s="676"/>
      <c r="B566" s="655"/>
      <c r="C566" s="1822" t="s">
        <v>2365</v>
      </c>
      <c r="D566" s="1822"/>
      <c r="E566" s="1822"/>
      <c r="F566" s="1822"/>
      <c r="G566" s="1822"/>
      <c r="H566" s="1822"/>
      <c r="I566" s="1822"/>
      <c r="J566" s="1822"/>
      <c r="K566" s="1822"/>
      <c r="L566" s="1822"/>
      <c r="M566" s="1822"/>
      <c r="N566" s="1827"/>
      <c r="V566" s="674"/>
      <c r="W566" s="675"/>
      <c r="X566" s="537" t="s">
        <v>2365</v>
      </c>
      <c r="AC566" s="675"/>
      <c r="AD566" s="675"/>
      <c r="AF566" s="675"/>
      <c r="AG566" s="675"/>
    </row>
    <row r="567" spans="1:33" s="536" customFormat="1" ht="33.75" x14ac:dyDescent="0.2">
      <c r="A567" s="609"/>
      <c r="B567" s="552" t="s">
        <v>310</v>
      </c>
      <c r="C567" s="1822" t="s">
        <v>311</v>
      </c>
      <c r="D567" s="1822"/>
      <c r="E567" s="1822"/>
      <c r="F567" s="1822"/>
      <c r="G567" s="1822"/>
      <c r="H567" s="1822"/>
      <c r="I567" s="1822"/>
      <c r="J567" s="1822"/>
      <c r="K567" s="1822"/>
      <c r="L567" s="1822"/>
      <c r="M567" s="1822"/>
      <c r="N567" s="1827"/>
      <c r="V567" s="674"/>
      <c r="W567" s="675"/>
      <c r="Y567" s="537" t="s">
        <v>311</v>
      </c>
      <c r="AC567" s="675"/>
      <c r="AD567" s="675"/>
      <c r="AF567" s="675"/>
      <c r="AG567" s="675"/>
    </row>
    <row r="568" spans="1:33" s="536" customFormat="1" ht="12" x14ac:dyDescent="0.2">
      <c r="A568" s="605"/>
      <c r="B568" s="552" t="s">
        <v>185</v>
      </c>
      <c r="C568" s="1822" t="s">
        <v>312</v>
      </c>
      <c r="D568" s="1822"/>
      <c r="E568" s="1822"/>
      <c r="F568" s="562"/>
      <c r="G568" s="562"/>
      <c r="H568" s="562"/>
      <c r="I568" s="562"/>
      <c r="J568" s="604">
        <v>302.3</v>
      </c>
      <c r="K568" s="562" t="s">
        <v>313</v>
      </c>
      <c r="L568" s="604">
        <v>332.53</v>
      </c>
      <c r="M568" s="603"/>
      <c r="N568" s="602"/>
      <c r="V568" s="674"/>
      <c r="W568" s="675"/>
      <c r="Z568" s="537" t="s">
        <v>312</v>
      </c>
      <c r="AC568" s="675"/>
      <c r="AD568" s="675"/>
      <c r="AF568" s="675"/>
      <c r="AG568" s="675"/>
    </row>
    <row r="569" spans="1:33" s="536" customFormat="1" ht="12" x14ac:dyDescent="0.2">
      <c r="A569" s="605"/>
      <c r="B569" s="552" t="s">
        <v>186</v>
      </c>
      <c r="C569" s="1822" t="s">
        <v>344</v>
      </c>
      <c r="D569" s="1822"/>
      <c r="E569" s="1822"/>
      <c r="F569" s="562"/>
      <c r="G569" s="562"/>
      <c r="H569" s="562"/>
      <c r="I569" s="562"/>
      <c r="J569" s="604">
        <v>5.43</v>
      </c>
      <c r="K569" s="562" t="s">
        <v>313</v>
      </c>
      <c r="L569" s="604">
        <v>5.97</v>
      </c>
      <c r="M569" s="603"/>
      <c r="N569" s="602"/>
      <c r="V569" s="674"/>
      <c r="W569" s="675"/>
      <c r="Z569" s="537" t="s">
        <v>344</v>
      </c>
      <c r="AC569" s="675"/>
      <c r="AD569" s="675"/>
      <c r="AF569" s="675"/>
      <c r="AG569" s="675"/>
    </row>
    <row r="570" spans="1:33" s="536" customFormat="1" ht="12" x14ac:dyDescent="0.2">
      <c r="A570" s="605"/>
      <c r="B570" s="552" t="s">
        <v>187</v>
      </c>
      <c r="C570" s="1822" t="s">
        <v>345</v>
      </c>
      <c r="D570" s="1822"/>
      <c r="E570" s="1822"/>
      <c r="F570" s="562"/>
      <c r="G570" s="562"/>
      <c r="H570" s="562"/>
      <c r="I570" s="562"/>
      <c r="J570" s="604">
        <v>0.76</v>
      </c>
      <c r="K570" s="562" t="s">
        <v>313</v>
      </c>
      <c r="L570" s="604">
        <v>0.84</v>
      </c>
      <c r="M570" s="603"/>
      <c r="N570" s="602"/>
      <c r="V570" s="674"/>
      <c r="W570" s="675"/>
      <c r="Z570" s="537" t="s">
        <v>345</v>
      </c>
      <c r="AC570" s="675"/>
      <c r="AD570" s="675"/>
      <c r="AF570" s="675"/>
      <c r="AG570" s="675"/>
    </row>
    <row r="571" spans="1:33" s="536" customFormat="1" ht="12" x14ac:dyDescent="0.2">
      <c r="A571" s="605"/>
      <c r="B571" s="552" t="s">
        <v>188</v>
      </c>
      <c r="C571" s="1822" t="s">
        <v>475</v>
      </c>
      <c r="D571" s="1822"/>
      <c r="E571" s="1822"/>
      <c r="F571" s="562"/>
      <c r="G571" s="562"/>
      <c r="H571" s="562"/>
      <c r="I571" s="562"/>
      <c r="J571" s="604">
        <v>185.57</v>
      </c>
      <c r="K571" s="562"/>
      <c r="L571" s="604">
        <v>163.30000000000001</v>
      </c>
      <c r="M571" s="603"/>
      <c r="N571" s="602"/>
      <c r="V571" s="674"/>
      <c r="W571" s="675"/>
      <c r="Z571" s="537" t="s">
        <v>475</v>
      </c>
      <c r="AC571" s="675"/>
      <c r="AD571" s="675"/>
      <c r="AF571" s="675"/>
      <c r="AG571" s="675"/>
    </row>
    <row r="572" spans="1:33" s="536" customFormat="1" ht="12" x14ac:dyDescent="0.2">
      <c r="A572" s="605"/>
      <c r="B572" s="552"/>
      <c r="C572" s="1822" t="s">
        <v>314</v>
      </c>
      <c r="D572" s="1822"/>
      <c r="E572" s="1822"/>
      <c r="F572" s="562" t="s">
        <v>315</v>
      </c>
      <c r="G572" s="562" t="s">
        <v>1796</v>
      </c>
      <c r="H572" s="562" t="s">
        <v>313</v>
      </c>
      <c r="I572" s="562" t="s">
        <v>2366</v>
      </c>
      <c r="J572" s="604"/>
      <c r="K572" s="562"/>
      <c r="L572" s="604"/>
      <c r="M572" s="603"/>
      <c r="N572" s="602"/>
      <c r="V572" s="674"/>
      <c r="W572" s="675"/>
      <c r="AA572" s="537" t="s">
        <v>314</v>
      </c>
      <c r="AC572" s="675"/>
      <c r="AD572" s="675"/>
      <c r="AF572" s="675"/>
      <c r="AG572" s="675"/>
    </row>
    <row r="573" spans="1:33" s="536" customFormat="1" ht="12" x14ac:dyDescent="0.2">
      <c r="A573" s="605"/>
      <c r="B573" s="552"/>
      <c r="C573" s="1822" t="s">
        <v>348</v>
      </c>
      <c r="D573" s="1822"/>
      <c r="E573" s="1822"/>
      <c r="F573" s="562" t="s">
        <v>315</v>
      </c>
      <c r="G573" s="562" t="s">
        <v>1554</v>
      </c>
      <c r="H573" s="562" t="s">
        <v>313</v>
      </c>
      <c r="I573" s="562" t="s">
        <v>2367</v>
      </c>
      <c r="J573" s="604"/>
      <c r="K573" s="562"/>
      <c r="L573" s="604"/>
      <c r="M573" s="603"/>
      <c r="N573" s="602"/>
      <c r="V573" s="674"/>
      <c r="W573" s="675"/>
      <c r="AA573" s="537" t="s">
        <v>348</v>
      </c>
      <c r="AC573" s="675"/>
      <c r="AD573" s="675"/>
      <c r="AF573" s="675"/>
      <c r="AG573" s="675"/>
    </row>
    <row r="574" spans="1:33" s="536" customFormat="1" ht="12" x14ac:dyDescent="0.2">
      <c r="A574" s="605"/>
      <c r="B574" s="552"/>
      <c r="C574" s="1828" t="s">
        <v>318</v>
      </c>
      <c r="D574" s="1828"/>
      <c r="E574" s="1828"/>
      <c r="F574" s="608"/>
      <c r="G574" s="608"/>
      <c r="H574" s="608"/>
      <c r="I574" s="608"/>
      <c r="J574" s="607">
        <v>493.3</v>
      </c>
      <c r="K574" s="608"/>
      <c r="L574" s="607">
        <v>501.8</v>
      </c>
      <c r="M574" s="601"/>
      <c r="N574" s="606"/>
      <c r="V574" s="674"/>
      <c r="W574" s="675"/>
      <c r="AB574" s="537" t="s">
        <v>318</v>
      </c>
      <c r="AC574" s="675"/>
      <c r="AD574" s="675"/>
      <c r="AF574" s="675"/>
      <c r="AG574" s="675"/>
    </row>
    <row r="575" spans="1:33" s="536" customFormat="1" ht="12" x14ac:dyDescent="0.2">
      <c r="A575" s="605"/>
      <c r="B575" s="552"/>
      <c r="C575" s="1822" t="s">
        <v>319</v>
      </c>
      <c r="D575" s="1822"/>
      <c r="E575" s="1822"/>
      <c r="F575" s="562"/>
      <c r="G575" s="562"/>
      <c r="H575" s="562"/>
      <c r="I575" s="562"/>
      <c r="J575" s="604"/>
      <c r="K575" s="562"/>
      <c r="L575" s="604">
        <v>333.37</v>
      </c>
      <c r="M575" s="603"/>
      <c r="N575" s="602"/>
      <c r="V575" s="674"/>
      <c r="W575" s="675"/>
      <c r="AA575" s="537" t="s">
        <v>319</v>
      </c>
      <c r="AC575" s="675"/>
      <c r="AD575" s="675"/>
      <c r="AF575" s="675"/>
      <c r="AG575" s="675"/>
    </row>
    <row r="576" spans="1:33" s="536" customFormat="1" ht="33.75" x14ac:dyDescent="0.2">
      <c r="A576" s="605"/>
      <c r="B576" s="552" t="s">
        <v>1631</v>
      </c>
      <c r="C576" s="1822" t="s">
        <v>1632</v>
      </c>
      <c r="D576" s="1822"/>
      <c r="E576" s="1822"/>
      <c r="F576" s="562" t="s">
        <v>322</v>
      </c>
      <c r="G576" s="562" t="s">
        <v>1633</v>
      </c>
      <c r="H576" s="562"/>
      <c r="I576" s="562" t="s">
        <v>1633</v>
      </c>
      <c r="J576" s="604"/>
      <c r="K576" s="562"/>
      <c r="L576" s="604">
        <v>323.37</v>
      </c>
      <c r="M576" s="603"/>
      <c r="N576" s="602"/>
      <c r="V576" s="674"/>
      <c r="W576" s="675"/>
      <c r="AA576" s="537" t="s">
        <v>1632</v>
      </c>
      <c r="AC576" s="675"/>
      <c r="AD576" s="675"/>
      <c r="AF576" s="675"/>
      <c r="AG576" s="675"/>
    </row>
    <row r="577" spans="1:33" s="536" customFormat="1" ht="33.75" x14ac:dyDescent="0.2">
      <c r="A577" s="605"/>
      <c r="B577" s="552" t="s">
        <v>1634</v>
      </c>
      <c r="C577" s="1822" t="s">
        <v>1635</v>
      </c>
      <c r="D577" s="1822"/>
      <c r="E577" s="1822"/>
      <c r="F577" s="562" t="s">
        <v>322</v>
      </c>
      <c r="G577" s="562" t="s">
        <v>786</v>
      </c>
      <c r="H577" s="562"/>
      <c r="I577" s="562" t="s">
        <v>786</v>
      </c>
      <c r="J577" s="604"/>
      <c r="K577" s="562"/>
      <c r="L577" s="604">
        <v>170.02</v>
      </c>
      <c r="M577" s="603"/>
      <c r="N577" s="602"/>
      <c r="V577" s="674"/>
      <c r="W577" s="675"/>
      <c r="AA577" s="537" t="s">
        <v>1635</v>
      </c>
      <c r="AC577" s="675"/>
      <c r="AD577" s="675"/>
      <c r="AF577" s="675"/>
      <c r="AG577" s="675"/>
    </row>
    <row r="578" spans="1:33" s="536" customFormat="1" ht="12" x14ac:dyDescent="0.2">
      <c r="A578" s="569"/>
      <c r="B578" s="656"/>
      <c r="C578" s="1823" t="s">
        <v>327</v>
      </c>
      <c r="D578" s="1823"/>
      <c r="E578" s="1823"/>
      <c r="F578" s="573"/>
      <c r="G578" s="573"/>
      <c r="H578" s="573"/>
      <c r="I578" s="573"/>
      <c r="J578" s="572"/>
      <c r="K578" s="573"/>
      <c r="L578" s="572">
        <v>995.19</v>
      </c>
      <c r="M578" s="601"/>
      <c r="N578" s="570"/>
      <c r="V578" s="674"/>
      <c r="W578" s="675"/>
      <c r="AC578" s="675" t="s">
        <v>327</v>
      </c>
      <c r="AD578" s="675"/>
      <c r="AF578" s="675"/>
      <c r="AG578" s="675"/>
    </row>
    <row r="579" spans="1:33" s="536" customFormat="1" ht="22.5" x14ac:dyDescent="0.2">
      <c r="A579" s="575" t="s">
        <v>2368</v>
      </c>
      <c r="B579" s="657" t="s">
        <v>2369</v>
      </c>
      <c r="C579" s="1823" t="s">
        <v>2370</v>
      </c>
      <c r="D579" s="1823"/>
      <c r="E579" s="1823"/>
      <c r="F579" s="573" t="s">
        <v>1687</v>
      </c>
      <c r="G579" s="573"/>
      <c r="H579" s="573"/>
      <c r="I579" s="573" t="s">
        <v>2371</v>
      </c>
      <c r="J579" s="572">
        <v>2291.15</v>
      </c>
      <c r="K579" s="573"/>
      <c r="L579" s="572">
        <v>65.44</v>
      </c>
      <c r="M579" s="571"/>
      <c r="N579" s="570"/>
      <c r="V579" s="674"/>
      <c r="W579" s="675" t="s">
        <v>2370</v>
      </c>
      <c r="AC579" s="675"/>
      <c r="AD579" s="675"/>
      <c r="AF579" s="675"/>
      <c r="AG579" s="675"/>
    </row>
    <row r="580" spans="1:33" s="536" customFormat="1" ht="12" x14ac:dyDescent="0.2">
      <c r="A580" s="569"/>
      <c r="B580" s="656"/>
      <c r="C580" s="661" t="s">
        <v>1658</v>
      </c>
      <c r="D580" s="662"/>
      <c r="E580" s="662"/>
      <c r="F580" s="563"/>
      <c r="G580" s="563"/>
      <c r="H580" s="563"/>
      <c r="I580" s="563"/>
      <c r="J580" s="566"/>
      <c r="K580" s="563"/>
      <c r="L580" s="566"/>
      <c r="M580" s="565"/>
      <c r="N580" s="564"/>
      <c r="V580" s="674"/>
      <c r="W580" s="675"/>
      <c r="AC580" s="675"/>
      <c r="AD580" s="675"/>
      <c r="AF580" s="675"/>
      <c r="AG580" s="675"/>
    </row>
    <row r="581" spans="1:33" s="536" customFormat="1" ht="12" x14ac:dyDescent="0.2">
      <c r="A581" s="676"/>
      <c r="B581" s="655"/>
      <c r="C581" s="1822" t="s">
        <v>2372</v>
      </c>
      <c r="D581" s="1822"/>
      <c r="E581" s="1822"/>
      <c r="F581" s="1822"/>
      <c r="G581" s="1822"/>
      <c r="H581" s="1822"/>
      <c r="I581" s="1822"/>
      <c r="J581" s="1822"/>
      <c r="K581" s="1822"/>
      <c r="L581" s="1822"/>
      <c r="M581" s="1822"/>
      <c r="N581" s="1827"/>
      <c r="V581" s="674"/>
      <c r="W581" s="675"/>
      <c r="X581" s="537" t="s">
        <v>2372</v>
      </c>
      <c r="AC581" s="675"/>
      <c r="AD581" s="675"/>
      <c r="AF581" s="675"/>
      <c r="AG581" s="675"/>
    </row>
    <row r="582" spans="1:33" s="536" customFormat="1" ht="22.5" x14ac:dyDescent="0.2">
      <c r="A582" s="575" t="s">
        <v>2373</v>
      </c>
      <c r="B582" s="657" t="s">
        <v>1798</v>
      </c>
      <c r="C582" s="1823" t="s">
        <v>2374</v>
      </c>
      <c r="D582" s="1823"/>
      <c r="E582" s="1823"/>
      <c r="F582" s="573" t="s">
        <v>1687</v>
      </c>
      <c r="G582" s="573"/>
      <c r="H582" s="573"/>
      <c r="I582" s="573" t="s">
        <v>2375</v>
      </c>
      <c r="J582" s="572">
        <v>4999.13</v>
      </c>
      <c r="K582" s="573"/>
      <c r="L582" s="572">
        <v>203.96</v>
      </c>
      <c r="M582" s="571"/>
      <c r="N582" s="570"/>
      <c r="V582" s="674"/>
      <c r="W582" s="675" t="s">
        <v>2374</v>
      </c>
      <c r="AC582" s="675"/>
      <c r="AD582" s="675"/>
      <c r="AF582" s="675"/>
      <c r="AG582" s="675"/>
    </row>
    <row r="583" spans="1:33" s="536" customFormat="1" ht="12" x14ac:dyDescent="0.2">
      <c r="A583" s="569"/>
      <c r="B583" s="656"/>
      <c r="C583" s="661" t="s">
        <v>1658</v>
      </c>
      <c r="D583" s="662"/>
      <c r="E583" s="662"/>
      <c r="F583" s="563"/>
      <c r="G583" s="563"/>
      <c r="H583" s="563"/>
      <c r="I583" s="563"/>
      <c r="J583" s="566"/>
      <c r="K583" s="563"/>
      <c r="L583" s="566"/>
      <c r="M583" s="565"/>
      <c r="N583" s="564"/>
      <c r="V583" s="674"/>
      <c r="W583" s="675"/>
      <c r="AC583" s="675"/>
      <c r="AD583" s="675"/>
      <c r="AF583" s="675"/>
      <c r="AG583" s="675"/>
    </row>
    <row r="584" spans="1:33" s="536" customFormat="1" ht="12" x14ac:dyDescent="0.2">
      <c r="A584" s="676"/>
      <c r="B584" s="655"/>
      <c r="C584" s="1822" t="s">
        <v>2376</v>
      </c>
      <c r="D584" s="1822"/>
      <c r="E584" s="1822"/>
      <c r="F584" s="1822"/>
      <c r="G584" s="1822"/>
      <c r="H584" s="1822"/>
      <c r="I584" s="1822"/>
      <c r="J584" s="1822"/>
      <c r="K584" s="1822"/>
      <c r="L584" s="1822"/>
      <c r="M584" s="1822"/>
      <c r="N584" s="1827"/>
      <c r="V584" s="674"/>
      <c r="W584" s="675"/>
      <c r="X584" s="537" t="s">
        <v>2376</v>
      </c>
      <c r="AC584" s="675"/>
      <c r="AD584" s="675"/>
      <c r="AF584" s="675"/>
      <c r="AG584" s="675"/>
    </row>
    <row r="585" spans="1:33" s="536" customFormat="1" ht="22.5" x14ac:dyDescent="0.2">
      <c r="A585" s="575" t="s">
        <v>1540</v>
      </c>
      <c r="B585" s="657" t="s">
        <v>2377</v>
      </c>
      <c r="C585" s="1823" t="s">
        <v>2378</v>
      </c>
      <c r="D585" s="1823"/>
      <c r="E585" s="1823"/>
      <c r="F585" s="573" t="s">
        <v>1687</v>
      </c>
      <c r="G585" s="573"/>
      <c r="H585" s="573"/>
      <c r="I585" s="573" t="s">
        <v>2379</v>
      </c>
      <c r="J585" s="572">
        <v>19362.189999999999</v>
      </c>
      <c r="K585" s="573"/>
      <c r="L585" s="572">
        <v>394.99</v>
      </c>
      <c r="M585" s="571"/>
      <c r="N585" s="570"/>
      <c r="V585" s="674"/>
      <c r="W585" s="675" t="s">
        <v>2378</v>
      </c>
      <c r="AC585" s="675"/>
      <c r="AD585" s="675"/>
      <c r="AF585" s="675"/>
      <c r="AG585" s="675"/>
    </row>
    <row r="586" spans="1:33" s="536" customFormat="1" ht="12" x14ac:dyDescent="0.2">
      <c r="A586" s="569"/>
      <c r="B586" s="656"/>
      <c r="C586" s="661" t="s">
        <v>1658</v>
      </c>
      <c r="D586" s="662"/>
      <c r="E586" s="662"/>
      <c r="F586" s="563"/>
      <c r="G586" s="563"/>
      <c r="H586" s="563"/>
      <c r="I586" s="563"/>
      <c r="J586" s="566"/>
      <c r="K586" s="563"/>
      <c r="L586" s="566"/>
      <c r="M586" s="565"/>
      <c r="N586" s="564"/>
      <c r="V586" s="674"/>
      <c r="W586" s="675"/>
      <c r="AC586" s="675"/>
      <c r="AD586" s="675"/>
      <c r="AF586" s="675"/>
      <c r="AG586" s="675"/>
    </row>
    <row r="587" spans="1:33" s="536" customFormat="1" ht="12" x14ac:dyDescent="0.2">
      <c r="A587" s="676"/>
      <c r="B587" s="655"/>
      <c r="C587" s="1822" t="s">
        <v>2380</v>
      </c>
      <c r="D587" s="1822"/>
      <c r="E587" s="1822"/>
      <c r="F587" s="1822"/>
      <c r="G587" s="1822"/>
      <c r="H587" s="1822"/>
      <c r="I587" s="1822"/>
      <c r="J587" s="1822"/>
      <c r="K587" s="1822"/>
      <c r="L587" s="1822"/>
      <c r="M587" s="1822"/>
      <c r="N587" s="1827"/>
      <c r="V587" s="674"/>
      <c r="W587" s="675"/>
      <c r="X587" s="537" t="s">
        <v>2380</v>
      </c>
      <c r="AC587" s="675"/>
      <c r="AD587" s="675"/>
      <c r="AF587" s="675"/>
      <c r="AG587" s="675"/>
    </row>
    <row r="588" spans="1:33" s="536" customFormat="1" ht="22.5" x14ac:dyDescent="0.2">
      <c r="A588" s="575" t="s">
        <v>968</v>
      </c>
      <c r="B588" s="657" t="s">
        <v>2381</v>
      </c>
      <c r="C588" s="1823" t="s">
        <v>2382</v>
      </c>
      <c r="D588" s="1823"/>
      <c r="E588" s="1823"/>
      <c r="F588" s="573" t="s">
        <v>1110</v>
      </c>
      <c r="G588" s="573"/>
      <c r="H588" s="573"/>
      <c r="I588" s="573" t="s">
        <v>891</v>
      </c>
      <c r="J588" s="572"/>
      <c r="K588" s="573"/>
      <c r="L588" s="572"/>
      <c r="M588" s="571"/>
      <c r="N588" s="570"/>
      <c r="V588" s="674"/>
      <c r="W588" s="675" t="s">
        <v>2382</v>
      </c>
      <c r="AC588" s="675"/>
      <c r="AD588" s="675"/>
      <c r="AF588" s="675"/>
      <c r="AG588" s="675"/>
    </row>
    <row r="589" spans="1:33" s="536" customFormat="1" ht="12" x14ac:dyDescent="0.2">
      <c r="A589" s="676"/>
      <c r="B589" s="655"/>
      <c r="C589" s="1822" t="s">
        <v>2383</v>
      </c>
      <c r="D589" s="1822"/>
      <c r="E589" s="1822"/>
      <c r="F589" s="1822"/>
      <c r="G589" s="1822"/>
      <c r="H589" s="1822"/>
      <c r="I589" s="1822"/>
      <c r="J589" s="1822"/>
      <c r="K589" s="1822"/>
      <c r="L589" s="1822"/>
      <c r="M589" s="1822"/>
      <c r="N589" s="1827"/>
      <c r="V589" s="674"/>
      <c r="W589" s="675"/>
      <c r="X589" s="537" t="s">
        <v>2383</v>
      </c>
      <c r="AC589" s="675"/>
      <c r="AD589" s="675"/>
      <c r="AF589" s="675"/>
      <c r="AG589" s="675"/>
    </row>
    <row r="590" spans="1:33" s="536" customFormat="1" ht="33.75" x14ac:dyDescent="0.2">
      <c r="A590" s="609"/>
      <c r="B590" s="552" t="s">
        <v>310</v>
      </c>
      <c r="C590" s="1822" t="s">
        <v>311</v>
      </c>
      <c r="D590" s="1822"/>
      <c r="E590" s="1822"/>
      <c r="F590" s="1822"/>
      <c r="G590" s="1822"/>
      <c r="H590" s="1822"/>
      <c r="I590" s="1822"/>
      <c r="J590" s="1822"/>
      <c r="K590" s="1822"/>
      <c r="L590" s="1822"/>
      <c r="M590" s="1822"/>
      <c r="N590" s="1827"/>
      <c r="V590" s="674"/>
      <c r="W590" s="675"/>
      <c r="Y590" s="537" t="s">
        <v>311</v>
      </c>
      <c r="AC590" s="675"/>
      <c r="AD590" s="675"/>
      <c r="AF590" s="675"/>
      <c r="AG590" s="675"/>
    </row>
    <row r="591" spans="1:33" s="536" customFormat="1" ht="12" x14ac:dyDescent="0.2">
      <c r="A591" s="605"/>
      <c r="B591" s="552" t="s">
        <v>185</v>
      </c>
      <c r="C591" s="1822" t="s">
        <v>312</v>
      </c>
      <c r="D591" s="1822"/>
      <c r="E591" s="1822"/>
      <c r="F591" s="562"/>
      <c r="G591" s="562"/>
      <c r="H591" s="562"/>
      <c r="I591" s="562"/>
      <c r="J591" s="604">
        <v>135.36000000000001</v>
      </c>
      <c r="K591" s="562" t="s">
        <v>313</v>
      </c>
      <c r="L591" s="604">
        <v>118.44</v>
      </c>
      <c r="M591" s="603"/>
      <c r="N591" s="602"/>
      <c r="V591" s="674"/>
      <c r="W591" s="675"/>
      <c r="Z591" s="537" t="s">
        <v>312</v>
      </c>
      <c r="AC591" s="675"/>
      <c r="AD591" s="675"/>
      <c r="AF591" s="675"/>
      <c r="AG591" s="675"/>
    </row>
    <row r="592" spans="1:33" s="536" customFormat="1" ht="12" x14ac:dyDescent="0.2">
      <c r="A592" s="605"/>
      <c r="B592" s="552" t="s">
        <v>186</v>
      </c>
      <c r="C592" s="1822" t="s">
        <v>344</v>
      </c>
      <c r="D592" s="1822"/>
      <c r="E592" s="1822"/>
      <c r="F592" s="562"/>
      <c r="G592" s="562"/>
      <c r="H592" s="562"/>
      <c r="I592" s="562"/>
      <c r="J592" s="604">
        <v>58.09</v>
      </c>
      <c r="K592" s="562" t="s">
        <v>313</v>
      </c>
      <c r="L592" s="604">
        <v>50.83</v>
      </c>
      <c r="M592" s="603"/>
      <c r="N592" s="602"/>
      <c r="V592" s="674"/>
      <c r="W592" s="675"/>
      <c r="Z592" s="537" t="s">
        <v>344</v>
      </c>
      <c r="AC592" s="675"/>
      <c r="AD592" s="675"/>
      <c r="AF592" s="675"/>
      <c r="AG592" s="675"/>
    </row>
    <row r="593" spans="1:33" s="536" customFormat="1" ht="12" x14ac:dyDescent="0.2">
      <c r="A593" s="605"/>
      <c r="B593" s="552" t="s">
        <v>187</v>
      </c>
      <c r="C593" s="1822" t="s">
        <v>345</v>
      </c>
      <c r="D593" s="1822"/>
      <c r="E593" s="1822"/>
      <c r="F593" s="562"/>
      <c r="G593" s="562"/>
      <c r="H593" s="562"/>
      <c r="I593" s="562"/>
      <c r="J593" s="604">
        <v>5.0199999999999996</v>
      </c>
      <c r="K593" s="562" t="s">
        <v>313</v>
      </c>
      <c r="L593" s="604">
        <v>4.3899999999999997</v>
      </c>
      <c r="M593" s="603"/>
      <c r="N593" s="602"/>
      <c r="V593" s="674"/>
      <c r="W593" s="675"/>
      <c r="Z593" s="537" t="s">
        <v>345</v>
      </c>
      <c r="AC593" s="675"/>
      <c r="AD593" s="675"/>
      <c r="AF593" s="675"/>
      <c r="AG593" s="675"/>
    </row>
    <row r="594" spans="1:33" s="536" customFormat="1" ht="12" x14ac:dyDescent="0.2">
      <c r="A594" s="605"/>
      <c r="B594" s="552" t="s">
        <v>188</v>
      </c>
      <c r="C594" s="1822" t="s">
        <v>475</v>
      </c>
      <c r="D594" s="1822"/>
      <c r="E594" s="1822"/>
      <c r="F594" s="562"/>
      <c r="G594" s="562"/>
      <c r="H594" s="562"/>
      <c r="I594" s="562"/>
      <c r="J594" s="604">
        <v>894.6</v>
      </c>
      <c r="K594" s="562"/>
      <c r="L594" s="604">
        <v>8.5500000000000007</v>
      </c>
      <c r="M594" s="603"/>
      <c r="N594" s="602"/>
      <c r="V594" s="674"/>
      <c r="W594" s="675"/>
      <c r="Z594" s="537" t="s">
        <v>475</v>
      </c>
      <c r="AC594" s="675"/>
      <c r="AD594" s="675"/>
      <c r="AF594" s="675"/>
      <c r="AG594" s="675"/>
    </row>
    <row r="595" spans="1:33" s="536" customFormat="1" ht="12" x14ac:dyDescent="0.2">
      <c r="A595" s="605"/>
      <c r="B595" s="552"/>
      <c r="C595" s="1822" t="s">
        <v>314</v>
      </c>
      <c r="D595" s="1822"/>
      <c r="E595" s="1822"/>
      <c r="F595" s="562" t="s">
        <v>315</v>
      </c>
      <c r="G595" s="562" t="s">
        <v>1028</v>
      </c>
      <c r="H595" s="562" t="s">
        <v>313</v>
      </c>
      <c r="I595" s="562" t="s">
        <v>2384</v>
      </c>
      <c r="J595" s="604"/>
      <c r="K595" s="562"/>
      <c r="L595" s="604"/>
      <c r="M595" s="603"/>
      <c r="N595" s="602"/>
      <c r="V595" s="674"/>
      <c r="W595" s="675"/>
      <c r="AA595" s="537" t="s">
        <v>314</v>
      </c>
      <c r="AC595" s="675"/>
      <c r="AD595" s="675"/>
      <c r="AF595" s="675"/>
      <c r="AG595" s="675"/>
    </row>
    <row r="596" spans="1:33" s="536" customFormat="1" ht="12" x14ac:dyDescent="0.2">
      <c r="A596" s="605"/>
      <c r="B596" s="552"/>
      <c r="C596" s="1822" t="s">
        <v>348</v>
      </c>
      <c r="D596" s="1822"/>
      <c r="E596" s="1822"/>
      <c r="F596" s="562" t="s">
        <v>315</v>
      </c>
      <c r="G596" s="562" t="s">
        <v>947</v>
      </c>
      <c r="H596" s="562" t="s">
        <v>313</v>
      </c>
      <c r="I596" s="562" t="s">
        <v>691</v>
      </c>
      <c r="J596" s="604"/>
      <c r="K596" s="562"/>
      <c r="L596" s="604"/>
      <c r="M596" s="603"/>
      <c r="N596" s="602"/>
      <c r="V596" s="674"/>
      <c r="W596" s="675"/>
      <c r="AA596" s="537" t="s">
        <v>348</v>
      </c>
      <c r="AC596" s="675"/>
      <c r="AD596" s="675"/>
      <c r="AF596" s="675"/>
      <c r="AG596" s="675"/>
    </row>
    <row r="597" spans="1:33" s="536" customFormat="1" ht="12" x14ac:dyDescent="0.2">
      <c r="A597" s="605"/>
      <c r="B597" s="552"/>
      <c r="C597" s="1828" t="s">
        <v>318</v>
      </c>
      <c r="D597" s="1828"/>
      <c r="E597" s="1828"/>
      <c r="F597" s="608"/>
      <c r="G597" s="608"/>
      <c r="H597" s="608"/>
      <c r="I597" s="608"/>
      <c r="J597" s="607">
        <v>205.67</v>
      </c>
      <c r="K597" s="608"/>
      <c r="L597" s="607">
        <v>177.82</v>
      </c>
      <c r="M597" s="601"/>
      <c r="N597" s="606"/>
      <c r="V597" s="674"/>
      <c r="W597" s="675"/>
      <c r="AB597" s="537" t="s">
        <v>318</v>
      </c>
      <c r="AC597" s="675"/>
      <c r="AD597" s="675"/>
      <c r="AF597" s="675"/>
      <c r="AG597" s="675"/>
    </row>
    <row r="598" spans="1:33" s="536" customFormat="1" ht="12" x14ac:dyDescent="0.2">
      <c r="A598" s="605"/>
      <c r="B598" s="552"/>
      <c r="C598" s="1822" t="s">
        <v>319</v>
      </c>
      <c r="D598" s="1822"/>
      <c r="E598" s="1822"/>
      <c r="F598" s="562"/>
      <c r="G598" s="562"/>
      <c r="H598" s="562"/>
      <c r="I598" s="562"/>
      <c r="J598" s="604"/>
      <c r="K598" s="562"/>
      <c r="L598" s="604">
        <v>122.83</v>
      </c>
      <c r="M598" s="603"/>
      <c r="N598" s="602"/>
      <c r="V598" s="674"/>
      <c r="W598" s="675"/>
      <c r="AA598" s="537" t="s">
        <v>319</v>
      </c>
      <c r="AC598" s="675"/>
      <c r="AD598" s="675"/>
      <c r="AF598" s="675"/>
      <c r="AG598" s="675"/>
    </row>
    <row r="599" spans="1:33" s="536" customFormat="1" ht="33.75" x14ac:dyDescent="0.2">
      <c r="A599" s="605"/>
      <c r="B599" s="552" t="s">
        <v>1631</v>
      </c>
      <c r="C599" s="1822" t="s">
        <v>1632</v>
      </c>
      <c r="D599" s="1822"/>
      <c r="E599" s="1822"/>
      <c r="F599" s="562" t="s">
        <v>322</v>
      </c>
      <c r="G599" s="562" t="s">
        <v>1633</v>
      </c>
      <c r="H599" s="562"/>
      <c r="I599" s="562" t="s">
        <v>1633</v>
      </c>
      <c r="J599" s="604"/>
      <c r="K599" s="562"/>
      <c r="L599" s="604">
        <v>119.15</v>
      </c>
      <c r="M599" s="603"/>
      <c r="N599" s="602"/>
      <c r="V599" s="674"/>
      <c r="W599" s="675"/>
      <c r="AA599" s="537" t="s">
        <v>1632</v>
      </c>
      <c r="AC599" s="675"/>
      <c r="AD599" s="675"/>
      <c r="AF599" s="675"/>
      <c r="AG599" s="675"/>
    </row>
    <row r="600" spans="1:33" s="536" customFormat="1" ht="33.75" x14ac:dyDescent="0.2">
      <c r="A600" s="605"/>
      <c r="B600" s="552" t="s">
        <v>1634</v>
      </c>
      <c r="C600" s="1822" t="s">
        <v>1635</v>
      </c>
      <c r="D600" s="1822"/>
      <c r="E600" s="1822"/>
      <c r="F600" s="562" t="s">
        <v>322</v>
      </c>
      <c r="G600" s="562" t="s">
        <v>786</v>
      </c>
      <c r="H600" s="562"/>
      <c r="I600" s="562" t="s">
        <v>786</v>
      </c>
      <c r="J600" s="604"/>
      <c r="K600" s="562"/>
      <c r="L600" s="604">
        <v>62.64</v>
      </c>
      <c r="M600" s="603"/>
      <c r="N600" s="602"/>
      <c r="V600" s="674"/>
      <c r="W600" s="675"/>
      <c r="AA600" s="537" t="s">
        <v>1635</v>
      </c>
      <c r="AC600" s="675"/>
      <c r="AD600" s="675"/>
      <c r="AF600" s="675"/>
      <c r="AG600" s="675"/>
    </row>
    <row r="601" spans="1:33" s="536" customFormat="1" ht="12" x14ac:dyDescent="0.2">
      <c r="A601" s="569"/>
      <c r="B601" s="656"/>
      <c r="C601" s="1823" t="s">
        <v>327</v>
      </c>
      <c r="D601" s="1823"/>
      <c r="E601" s="1823"/>
      <c r="F601" s="573"/>
      <c r="G601" s="573"/>
      <c r="H601" s="573"/>
      <c r="I601" s="573"/>
      <c r="J601" s="572"/>
      <c r="K601" s="573"/>
      <c r="L601" s="572">
        <v>359.61</v>
      </c>
      <c r="M601" s="601"/>
      <c r="N601" s="570"/>
      <c r="V601" s="674"/>
      <c r="W601" s="675"/>
      <c r="AC601" s="675" t="s">
        <v>327</v>
      </c>
      <c r="AD601" s="675"/>
      <c r="AF601" s="675"/>
      <c r="AG601" s="675"/>
    </row>
    <row r="602" spans="1:33" s="536" customFormat="1" ht="33.75" x14ac:dyDescent="0.2">
      <c r="A602" s="575" t="s">
        <v>2385</v>
      </c>
      <c r="B602" s="657" t="s">
        <v>2386</v>
      </c>
      <c r="C602" s="1823" t="s">
        <v>2387</v>
      </c>
      <c r="D602" s="1823"/>
      <c r="E602" s="1823"/>
      <c r="F602" s="573" t="s">
        <v>483</v>
      </c>
      <c r="G602" s="573"/>
      <c r="H602" s="573"/>
      <c r="I602" s="573" t="s">
        <v>804</v>
      </c>
      <c r="J602" s="572">
        <v>112</v>
      </c>
      <c r="K602" s="573" t="s">
        <v>716</v>
      </c>
      <c r="L602" s="572">
        <v>961.18</v>
      </c>
      <c r="M602" s="571">
        <v>8.32</v>
      </c>
      <c r="N602" s="570">
        <v>7997</v>
      </c>
      <c r="V602" s="674"/>
      <c r="W602" s="675" t="s">
        <v>2387</v>
      </c>
      <c r="AC602" s="675"/>
      <c r="AD602" s="675"/>
      <c r="AF602" s="675"/>
      <c r="AG602" s="675"/>
    </row>
    <row r="603" spans="1:33" s="536" customFormat="1" ht="12" x14ac:dyDescent="0.2">
      <c r="A603" s="569"/>
      <c r="B603" s="656"/>
      <c r="C603" s="661" t="s">
        <v>1658</v>
      </c>
      <c r="D603" s="662"/>
      <c r="E603" s="662"/>
      <c r="F603" s="563"/>
      <c r="G603" s="563"/>
      <c r="H603" s="563"/>
      <c r="I603" s="563"/>
      <c r="J603" s="566"/>
      <c r="K603" s="563"/>
      <c r="L603" s="566"/>
      <c r="M603" s="565"/>
      <c r="N603" s="564"/>
      <c r="V603" s="674"/>
      <c r="W603" s="675"/>
      <c r="AC603" s="675"/>
      <c r="AD603" s="675"/>
      <c r="AF603" s="675"/>
      <c r="AG603" s="675"/>
    </row>
    <row r="604" spans="1:33" s="536" customFormat="1" ht="22.5" x14ac:dyDescent="0.2">
      <c r="A604" s="609"/>
      <c r="B604" s="552" t="s">
        <v>2388</v>
      </c>
      <c r="C604" s="1822" t="s">
        <v>719</v>
      </c>
      <c r="D604" s="1822"/>
      <c r="E604" s="1822"/>
      <c r="F604" s="1822"/>
      <c r="G604" s="1822"/>
      <c r="H604" s="1822"/>
      <c r="I604" s="1822"/>
      <c r="J604" s="1822"/>
      <c r="K604" s="1822"/>
      <c r="L604" s="1822"/>
      <c r="M604" s="1822"/>
      <c r="N604" s="1827"/>
      <c r="V604" s="674"/>
      <c r="W604" s="675"/>
      <c r="Y604" s="537" t="s">
        <v>719</v>
      </c>
      <c r="AC604" s="675"/>
      <c r="AD604" s="675"/>
      <c r="AF604" s="675"/>
      <c r="AG604" s="675"/>
    </row>
    <row r="605" spans="1:33" s="536" customFormat="1" ht="33.75" x14ac:dyDescent="0.2">
      <c r="A605" s="575" t="s">
        <v>2389</v>
      </c>
      <c r="B605" s="657" t="s">
        <v>2390</v>
      </c>
      <c r="C605" s="1823" t="s">
        <v>2391</v>
      </c>
      <c r="D605" s="1823"/>
      <c r="E605" s="1823"/>
      <c r="F605" s="573" t="s">
        <v>1110</v>
      </c>
      <c r="G605" s="573"/>
      <c r="H605" s="573"/>
      <c r="I605" s="573" t="s">
        <v>1118</v>
      </c>
      <c r="J605" s="572"/>
      <c r="K605" s="573"/>
      <c r="L605" s="572"/>
      <c r="M605" s="571"/>
      <c r="N605" s="570"/>
      <c r="V605" s="674"/>
      <c r="W605" s="675" t="s">
        <v>2391</v>
      </c>
      <c r="AC605" s="675"/>
      <c r="AD605" s="675"/>
      <c r="AF605" s="675"/>
      <c r="AG605" s="675"/>
    </row>
    <row r="606" spans="1:33" s="536" customFormat="1" ht="12" x14ac:dyDescent="0.2">
      <c r="A606" s="676"/>
      <c r="B606" s="655"/>
      <c r="C606" s="1822" t="s">
        <v>2392</v>
      </c>
      <c r="D606" s="1822"/>
      <c r="E606" s="1822"/>
      <c r="F606" s="1822"/>
      <c r="G606" s="1822"/>
      <c r="H606" s="1822"/>
      <c r="I606" s="1822"/>
      <c r="J606" s="1822"/>
      <c r="K606" s="1822"/>
      <c r="L606" s="1822"/>
      <c r="M606" s="1822"/>
      <c r="N606" s="1827"/>
      <c r="V606" s="674"/>
      <c r="W606" s="675"/>
      <c r="X606" s="537" t="s">
        <v>2392</v>
      </c>
      <c r="AC606" s="675"/>
      <c r="AD606" s="675"/>
      <c r="AF606" s="675"/>
      <c r="AG606" s="675"/>
    </row>
    <row r="607" spans="1:33" s="536" customFormat="1" ht="33.75" x14ac:dyDescent="0.2">
      <c r="A607" s="609"/>
      <c r="B607" s="552" t="s">
        <v>310</v>
      </c>
      <c r="C607" s="1822" t="s">
        <v>311</v>
      </c>
      <c r="D607" s="1822"/>
      <c r="E607" s="1822"/>
      <c r="F607" s="1822"/>
      <c r="G607" s="1822"/>
      <c r="H607" s="1822"/>
      <c r="I607" s="1822"/>
      <c r="J607" s="1822"/>
      <c r="K607" s="1822"/>
      <c r="L607" s="1822"/>
      <c r="M607" s="1822"/>
      <c r="N607" s="1827"/>
      <c r="V607" s="674"/>
      <c r="W607" s="675"/>
      <c r="Y607" s="537" t="s">
        <v>311</v>
      </c>
      <c r="AC607" s="675"/>
      <c r="AD607" s="675"/>
      <c r="AF607" s="675"/>
      <c r="AG607" s="675"/>
    </row>
    <row r="608" spans="1:33" s="536" customFormat="1" ht="12" x14ac:dyDescent="0.2">
      <c r="A608" s="605"/>
      <c r="B608" s="552" t="s">
        <v>185</v>
      </c>
      <c r="C608" s="1822" t="s">
        <v>312</v>
      </c>
      <c r="D608" s="1822"/>
      <c r="E608" s="1822"/>
      <c r="F608" s="562"/>
      <c r="G608" s="562"/>
      <c r="H608" s="562"/>
      <c r="I608" s="562"/>
      <c r="J608" s="604">
        <v>155.1</v>
      </c>
      <c r="K608" s="562" t="s">
        <v>313</v>
      </c>
      <c r="L608" s="604">
        <v>126.02</v>
      </c>
      <c r="M608" s="603"/>
      <c r="N608" s="602"/>
      <c r="V608" s="674"/>
      <c r="W608" s="675"/>
      <c r="Z608" s="537" t="s">
        <v>312</v>
      </c>
      <c r="AC608" s="675"/>
      <c r="AD608" s="675"/>
      <c r="AF608" s="675"/>
      <c r="AG608" s="675"/>
    </row>
    <row r="609" spans="1:33" s="536" customFormat="1" ht="12" x14ac:dyDescent="0.2">
      <c r="A609" s="605"/>
      <c r="B609" s="552" t="s">
        <v>186</v>
      </c>
      <c r="C609" s="1822" t="s">
        <v>344</v>
      </c>
      <c r="D609" s="1822"/>
      <c r="E609" s="1822"/>
      <c r="F609" s="562"/>
      <c r="G609" s="562"/>
      <c r="H609" s="562"/>
      <c r="I609" s="562"/>
      <c r="J609" s="604">
        <v>54.28</v>
      </c>
      <c r="K609" s="562" t="s">
        <v>313</v>
      </c>
      <c r="L609" s="604">
        <v>44.1</v>
      </c>
      <c r="M609" s="603"/>
      <c r="N609" s="602"/>
      <c r="V609" s="674"/>
      <c r="W609" s="675"/>
      <c r="Z609" s="537" t="s">
        <v>344</v>
      </c>
      <c r="AC609" s="675"/>
      <c r="AD609" s="675"/>
      <c r="AF609" s="675"/>
      <c r="AG609" s="675"/>
    </row>
    <row r="610" spans="1:33" s="536" customFormat="1" ht="12" x14ac:dyDescent="0.2">
      <c r="A610" s="605"/>
      <c r="B610" s="552" t="s">
        <v>187</v>
      </c>
      <c r="C610" s="1822" t="s">
        <v>345</v>
      </c>
      <c r="D610" s="1822"/>
      <c r="E610" s="1822"/>
      <c r="F610" s="562"/>
      <c r="G610" s="562"/>
      <c r="H610" s="562"/>
      <c r="I610" s="562"/>
      <c r="J610" s="604">
        <v>4.2699999999999996</v>
      </c>
      <c r="K610" s="562" t="s">
        <v>313</v>
      </c>
      <c r="L610" s="604">
        <v>3.47</v>
      </c>
      <c r="M610" s="603"/>
      <c r="N610" s="602"/>
      <c r="V610" s="674"/>
      <c r="W610" s="675"/>
      <c r="Z610" s="537" t="s">
        <v>345</v>
      </c>
      <c r="AC610" s="675"/>
      <c r="AD610" s="675"/>
      <c r="AF610" s="675"/>
      <c r="AG610" s="675"/>
    </row>
    <row r="611" spans="1:33" s="536" customFormat="1" ht="12" x14ac:dyDescent="0.2">
      <c r="A611" s="605"/>
      <c r="B611" s="552" t="s">
        <v>188</v>
      </c>
      <c r="C611" s="1822" t="s">
        <v>475</v>
      </c>
      <c r="D611" s="1822"/>
      <c r="E611" s="1822"/>
      <c r="F611" s="562"/>
      <c r="G611" s="562"/>
      <c r="H611" s="562"/>
      <c r="I611" s="562"/>
      <c r="J611" s="604">
        <v>508.92</v>
      </c>
      <c r="K611" s="562"/>
      <c r="L611" s="604">
        <v>5.79</v>
      </c>
      <c r="M611" s="603"/>
      <c r="N611" s="602"/>
      <c r="V611" s="674"/>
      <c r="W611" s="675"/>
      <c r="Z611" s="537" t="s">
        <v>475</v>
      </c>
      <c r="AC611" s="675"/>
      <c r="AD611" s="675"/>
      <c r="AF611" s="675"/>
      <c r="AG611" s="675"/>
    </row>
    <row r="612" spans="1:33" s="536" customFormat="1" ht="12" x14ac:dyDescent="0.2">
      <c r="A612" s="605"/>
      <c r="B612" s="552"/>
      <c r="C612" s="1822" t="s">
        <v>314</v>
      </c>
      <c r="D612" s="1822"/>
      <c r="E612" s="1822"/>
      <c r="F612" s="562" t="s">
        <v>315</v>
      </c>
      <c r="G612" s="562" t="s">
        <v>2393</v>
      </c>
      <c r="H612" s="562" t="s">
        <v>313</v>
      </c>
      <c r="I612" s="562" t="s">
        <v>2394</v>
      </c>
      <c r="J612" s="604"/>
      <c r="K612" s="562"/>
      <c r="L612" s="604"/>
      <c r="M612" s="603"/>
      <c r="N612" s="602"/>
      <c r="V612" s="674"/>
      <c r="W612" s="675"/>
      <c r="AA612" s="537" t="s">
        <v>314</v>
      </c>
      <c r="AC612" s="675"/>
      <c r="AD612" s="675"/>
      <c r="AF612" s="675"/>
      <c r="AG612" s="675"/>
    </row>
    <row r="613" spans="1:33" s="536" customFormat="1" ht="12" x14ac:dyDescent="0.2">
      <c r="A613" s="605"/>
      <c r="B613" s="552"/>
      <c r="C613" s="1822" t="s">
        <v>348</v>
      </c>
      <c r="D613" s="1822"/>
      <c r="E613" s="1822"/>
      <c r="F613" s="562" t="s">
        <v>315</v>
      </c>
      <c r="G613" s="562" t="s">
        <v>2172</v>
      </c>
      <c r="H613" s="562" t="s">
        <v>313</v>
      </c>
      <c r="I613" s="562" t="s">
        <v>2395</v>
      </c>
      <c r="J613" s="604"/>
      <c r="K613" s="562"/>
      <c r="L613" s="604"/>
      <c r="M613" s="603"/>
      <c r="N613" s="602"/>
      <c r="V613" s="674"/>
      <c r="W613" s="675"/>
      <c r="AA613" s="537" t="s">
        <v>348</v>
      </c>
      <c r="AC613" s="675"/>
      <c r="AD613" s="675"/>
      <c r="AF613" s="675"/>
      <c r="AG613" s="675"/>
    </row>
    <row r="614" spans="1:33" s="536" customFormat="1" ht="12" x14ac:dyDescent="0.2">
      <c r="A614" s="605"/>
      <c r="B614" s="552"/>
      <c r="C614" s="1828" t="s">
        <v>318</v>
      </c>
      <c r="D614" s="1828"/>
      <c r="E614" s="1828"/>
      <c r="F614" s="608"/>
      <c r="G614" s="608"/>
      <c r="H614" s="608"/>
      <c r="I614" s="608"/>
      <c r="J614" s="607">
        <v>218.29</v>
      </c>
      <c r="K614" s="608"/>
      <c r="L614" s="607">
        <v>175.91</v>
      </c>
      <c r="M614" s="601"/>
      <c r="N614" s="606"/>
      <c r="V614" s="674"/>
      <c r="W614" s="675"/>
      <c r="AB614" s="537" t="s">
        <v>318</v>
      </c>
      <c r="AC614" s="675"/>
      <c r="AD614" s="675"/>
      <c r="AF614" s="675"/>
      <c r="AG614" s="675"/>
    </row>
    <row r="615" spans="1:33" s="536" customFormat="1" ht="12" x14ac:dyDescent="0.2">
      <c r="A615" s="605"/>
      <c r="B615" s="552"/>
      <c r="C615" s="1822" t="s">
        <v>319</v>
      </c>
      <c r="D615" s="1822"/>
      <c r="E615" s="1822"/>
      <c r="F615" s="562"/>
      <c r="G615" s="562"/>
      <c r="H615" s="562"/>
      <c r="I615" s="562"/>
      <c r="J615" s="604"/>
      <c r="K615" s="562"/>
      <c r="L615" s="604">
        <v>129.49</v>
      </c>
      <c r="M615" s="603"/>
      <c r="N615" s="602"/>
      <c r="V615" s="674"/>
      <c r="W615" s="675"/>
      <c r="AA615" s="537" t="s">
        <v>319</v>
      </c>
      <c r="AC615" s="675"/>
      <c r="AD615" s="675"/>
      <c r="AF615" s="675"/>
      <c r="AG615" s="675"/>
    </row>
    <row r="616" spans="1:33" s="536" customFormat="1" ht="33.75" x14ac:dyDescent="0.2">
      <c r="A616" s="605"/>
      <c r="B616" s="552" t="s">
        <v>1631</v>
      </c>
      <c r="C616" s="1822" t="s">
        <v>1632</v>
      </c>
      <c r="D616" s="1822"/>
      <c r="E616" s="1822"/>
      <c r="F616" s="562" t="s">
        <v>322</v>
      </c>
      <c r="G616" s="562" t="s">
        <v>1633</v>
      </c>
      <c r="H616" s="562"/>
      <c r="I616" s="562" t="s">
        <v>1633</v>
      </c>
      <c r="J616" s="604"/>
      <c r="K616" s="562"/>
      <c r="L616" s="604">
        <v>125.61</v>
      </c>
      <c r="M616" s="603"/>
      <c r="N616" s="602"/>
      <c r="V616" s="674"/>
      <c r="W616" s="675"/>
      <c r="AA616" s="537" t="s">
        <v>1632</v>
      </c>
      <c r="AC616" s="675"/>
      <c r="AD616" s="675"/>
      <c r="AF616" s="675"/>
      <c r="AG616" s="675"/>
    </row>
    <row r="617" spans="1:33" s="536" customFormat="1" ht="33.75" x14ac:dyDescent="0.2">
      <c r="A617" s="605"/>
      <c r="B617" s="552" t="s">
        <v>1634</v>
      </c>
      <c r="C617" s="1822" t="s">
        <v>1635</v>
      </c>
      <c r="D617" s="1822"/>
      <c r="E617" s="1822"/>
      <c r="F617" s="562" t="s">
        <v>322</v>
      </c>
      <c r="G617" s="562" t="s">
        <v>786</v>
      </c>
      <c r="H617" s="562"/>
      <c r="I617" s="562" t="s">
        <v>786</v>
      </c>
      <c r="J617" s="604"/>
      <c r="K617" s="562"/>
      <c r="L617" s="604">
        <v>66.040000000000006</v>
      </c>
      <c r="M617" s="603"/>
      <c r="N617" s="602"/>
      <c r="V617" s="674"/>
      <c r="W617" s="675"/>
      <c r="AA617" s="537" t="s">
        <v>1635</v>
      </c>
      <c r="AC617" s="675"/>
      <c r="AD617" s="675"/>
      <c r="AF617" s="675"/>
      <c r="AG617" s="675"/>
    </row>
    <row r="618" spans="1:33" s="536" customFormat="1" ht="12" x14ac:dyDescent="0.2">
      <c r="A618" s="569"/>
      <c r="B618" s="656"/>
      <c r="C618" s="1823" t="s">
        <v>327</v>
      </c>
      <c r="D618" s="1823"/>
      <c r="E618" s="1823"/>
      <c r="F618" s="573"/>
      <c r="G618" s="573"/>
      <c r="H618" s="573"/>
      <c r="I618" s="573"/>
      <c r="J618" s="572"/>
      <c r="K618" s="573"/>
      <c r="L618" s="572">
        <v>367.56</v>
      </c>
      <c r="M618" s="601"/>
      <c r="N618" s="570"/>
      <c r="V618" s="674"/>
      <c r="W618" s="675"/>
      <c r="AC618" s="675" t="s">
        <v>327</v>
      </c>
      <c r="AD618" s="675"/>
      <c r="AF618" s="675"/>
      <c r="AG618" s="675"/>
    </row>
    <row r="619" spans="1:33" s="536" customFormat="1" ht="33.75" x14ac:dyDescent="0.2">
      <c r="A619" s="575" t="s">
        <v>1746</v>
      </c>
      <c r="B619" s="657" t="s">
        <v>2396</v>
      </c>
      <c r="C619" s="1823" t="s">
        <v>2397</v>
      </c>
      <c r="D619" s="1823"/>
      <c r="E619" s="1823"/>
      <c r="F619" s="573" t="s">
        <v>483</v>
      </c>
      <c r="G619" s="573"/>
      <c r="H619" s="573"/>
      <c r="I619" s="573" t="s">
        <v>796</v>
      </c>
      <c r="J619" s="572">
        <v>62.92</v>
      </c>
      <c r="K619" s="573" t="s">
        <v>716</v>
      </c>
      <c r="L619" s="572">
        <v>501.44</v>
      </c>
      <c r="M619" s="571">
        <v>8.32</v>
      </c>
      <c r="N619" s="570">
        <v>4172</v>
      </c>
      <c r="V619" s="674"/>
      <c r="W619" s="675" t="s">
        <v>2397</v>
      </c>
      <c r="AC619" s="675"/>
      <c r="AD619" s="675"/>
      <c r="AF619" s="675"/>
      <c r="AG619" s="675"/>
    </row>
    <row r="620" spans="1:33" s="536" customFormat="1" ht="12" x14ac:dyDescent="0.2">
      <c r="A620" s="569"/>
      <c r="B620" s="656"/>
      <c r="C620" s="661" t="s">
        <v>1658</v>
      </c>
      <c r="D620" s="662"/>
      <c r="E620" s="662"/>
      <c r="F620" s="563"/>
      <c r="G620" s="563"/>
      <c r="H620" s="563"/>
      <c r="I620" s="563"/>
      <c r="J620" s="566"/>
      <c r="K620" s="563"/>
      <c r="L620" s="566"/>
      <c r="M620" s="565"/>
      <c r="N620" s="564"/>
      <c r="V620" s="674"/>
      <c r="W620" s="675"/>
      <c r="AC620" s="675"/>
      <c r="AD620" s="675"/>
      <c r="AF620" s="675"/>
      <c r="AG620" s="675"/>
    </row>
    <row r="621" spans="1:33" s="536" customFormat="1" ht="22.5" x14ac:dyDescent="0.2">
      <c r="A621" s="609"/>
      <c r="B621" s="552" t="s">
        <v>2388</v>
      </c>
      <c r="C621" s="1822" t="s">
        <v>719</v>
      </c>
      <c r="D621" s="1822"/>
      <c r="E621" s="1822"/>
      <c r="F621" s="1822"/>
      <c r="G621" s="1822"/>
      <c r="H621" s="1822"/>
      <c r="I621" s="1822"/>
      <c r="J621" s="1822"/>
      <c r="K621" s="1822"/>
      <c r="L621" s="1822"/>
      <c r="M621" s="1822"/>
      <c r="N621" s="1827"/>
      <c r="V621" s="674"/>
      <c r="W621" s="675"/>
      <c r="Y621" s="537" t="s">
        <v>719</v>
      </c>
      <c r="AC621" s="675"/>
      <c r="AD621" s="675"/>
      <c r="AF621" s="675"/>
      <c r="AG621" s="675"/>
    </row>
    <row r="622" spans="1:33" s="536" customFormat="1" ht="22.5" x14ac:dyDescent="0.2">
      <c r="A622" s="575" t="s">
        <v>2398</v>
      </c>
      <c r="B622" s="657" t="s">
        <v>2399</v>
      </c>
      <c r="C622" s="1823" t="s">
        <v>2400</v>
      </c>
      <c r="D622" s="1823"/>
      <c r="E622" s="1823"/>
      <c r="F622" s="573" t="s">
        <v>889</v>
      </c>
      <c r="G622" s="573"/>
      <c r="H622" s="573"/>
      <c r="I622" s="573" t="s">
        <v>947</v>
      </c>
      <c r="J622" s="572"/>
      <c r="K622" s="573"/>
      <c r="L622" s="572"/>
      <c r="M622" s="571"/>
      <c r="N622" s="570"/>
      <c r="V622" s="674"/>
      <c r="W622" s="675" t="s">
        <v>2400</v>
      </c>
      <c r="AC622" s="675"/>
      <c r="AD622" s="675"/>
      <c r="AF622" s="675"/>
      <c r="AG622" s="675"/>
    </row>
    <row r="623" spans="1:33" s="536" customFormat="1" ht="12" x14ac:dyDescent="0.2">
      <c r="A623" s="676"/>
      <c r="B623" s="655"/>
      <c r="C623" s="1822" t="s">
        <v>2362</v>
      </c>
      <c r="D623" s="1822"/>
      <c r="E623" s="1822"/>
      <c r="F623" s="1822"/>
      <c r="G623" s="1822"/>
      <c r="H623" s="1822"/>
      <c r="I623" s="1822"/>
      <c r="J623" s="1822"/>
      <c r="K623" s="1822"/>
      <c r="L623" s="1822"/>
      <c r="M623" s="1822"/>
      <c r="N623" s="1827"/>
      <c r="V623" s="674"/>
      <c r="W623" s="675"/>
      <c r="X623" s="537" t="s">
        <v>2362</v>
      </c>
      <c r="AC623" s="675"/>
      <c r="AD623" s="675"/>
      <c r="AF623" s="675"/>
      <c r="AG623" s="675"/>
    </row>
    <row r="624" spans="1:33" s="536" customFormat="1" ht="33.75" x14ac:dyDescent="0.2">
      <c r="A624" s="609"/>
      <c r="B624" s="552" t="s">
        <v>310</v>
      </c>
      <c r="C624" s="1822" t="s">
        <v>311</v>
      </c>
      <c r="D624" s="1822"/>
      <c r="E624" s="1822"/>
      <c r="F624" s="1822"/>
      <c r="G624" s="1822"/>
      <c r="H624" s="1822"/>
      <c r="I624" s="1822"/>
      <c r="J624" s="1822"/>
      <c r="K624" s="1822"/>
      <c r="L624" s="1822"/>
      <c r="M624" s="1822"/>
      <c r="N624" s="1827"/>
      <c r="V624" s="674"/>
      <c r="W624" s="675"/>
      <c r="Y624" s="537" t="s">
        <v>311</v>
      </c>
      <c r="AC624" s="675"/>
      <c r="AD624" s="675"/>
      <c r="AF624" s="675"/>
      <c r="AG624" s="675"/>
    </row>
    <row r="625" spans="1:33" s="536" customFormat="1" ht="12" x14ac:dyDescent="0.2">
      <c r="A625" s="605"/>
      <c r="B625" s="552" t="s">
        <v>185</v>
      </c>
      <c r="C625" s="1822" t="s">
        <v>312</v>
      </c>
      <c r="D625" s="1822"/>
      <c r="E625" s="1822"/>
      <c r="F625" s="562"/>
      <c r="G625" s="562"/>
      <c r="H625" s="562"/>
      <c r="I625" s="562"/>
      <c r="J625" s="604">
        <v>96.82</v>
      </c>
      <c r="K625" s="562" t="s">
        <v>313</v>
      </c>
      <c r="L625" s="604">
        <v>48.41</v>
      </c>
      <c r="M625" s="603"/>
      <c r="N625" s="602"/>
      <c r="V625" s="674"/>
      <c r="W625" s="675"/>
      <c r="Z625" s="537" t="s">
        <v>312</v>
      </c>
      <c r="AC625" s="675"/>
      <c r="AD625" s="675"/>
      <c r="AF625" s="675"/>
      <c r="AG625" s="675"/>
    </row>
    <row r="626" spans="1:33" s="536" customFormat="1" ht="12" x14ac:dyDescent="0.2">
      <c r="A626" s="605"/>
      <c r="B626" s="552" t="s">
        <v>186</v>
      </c>
      <c r="C626" s="1822" t="s">
        <v>344</v>
      </c>
      <c r="D626" s="1822"/>
      <c r="E626" s="1822"/>
      <c r="F626" s="562"/>
      <c r="G626" s="562"/>
      <c r="H626" s="562"/>
      <c r="I626" s="562"/>
      <c r="J626" s="604">
        <v>61.13</v>
      </c>
      <c r="K626" s="562" t="s">
        <v>313</v>
      </c>
      <c r="L626" s="604">
        <v>30.57</v>
      </c>
      <c r="M626" s="603"/>
      <c r="N626" s="602"/>
      <c r="V626" s="674"/>
      <c r="W626" s="675"/>
      <c r="Z626" s="537" t="s">
        <v>344</v>
      </c>
      <c r="AC626" s="675"/>
      <c r="AD626" s="675"/>
      <c r="AF626" s="675"/>
      <c r="AG626" s="675"/>
    </row>
    <row r="627" spans="1:33" s="536" customFormat="1" ht="12" x14ac:dyDescent="0.2">
      <c r="A627" s="605"/>
      <c r="B627" s="552" t="s">
        <v>187</v>
      </c>
      <c r="C627" s="1822" t="s">
        <v>345</v>
      </c>
      <c r="D627" s="1822"/>
      <c r="E627" s="1822"/>
      <c r="F627" s="562"/>
      <c r="G627" s="562"/>
      <c r="H627" s="562"/>
      <c r="I627" s="562"/>
      <c r="J627" s="604">
        <v>6.78</v>
      </c>
      <c r="K627" s="562" t="s">
        <v>313</v>
      </c>
      <c r="L627" s="604">
        <v>3.39</v>
      </c>
      <c r="M627" s="603"/>
      <c r="N627" s="602"/>
      <c r="V627" s="674"/>
      <c r="W627" s="675"/>
      <c r="Z627" s="537" t="s">
        <v>345</v>
      </c>
      <c r="AC627" s="675"/>
      <c r="AD627" s="675"/>
      <c r="AF627" s="675"/>
      <c r="AG627" s="675"/>
    </row>
    <row r="628" spans="1:33" s="536" customFormat="1" ht="12" x14ac:dyDescent="0.2">
      <c r="A628" s="605"/>
      <c r="B628" s="552" t="s">
        <v>188</v>
      </c>
      <c r="C628" s="1822" t="s">
        <v>475</v>
      </c>
      <c r="D628" s="1822"/>
      <c r="E628" s="1822"/>
      <c r="F628" s="562"/>
      <c r="G628" s="562"/>
      <c r="H628" s="562"/>
      <c r="I628" s="562"/>
      <c r="J628" s="604">
        <v>581.9</v>
      </c>
      <c r="K628" s="562"/>
      <c r="L628" s="604">
        <v>3.82</v>
      </c>
      <c r="M628" s="603"/>
      <c r="N628" s="602"/>
      <c r="V628" s="674"/>
      <c r="W628" s="675"/>
      <c r="Z628" s="537" t="s">
        <v>475</v>
      </c>
      <c r="AC628" s="675"/>
      <c r="AD628" s="675"/>
      <c r="AF628" s="675"/>
      <c r="AG628" s="675"/>
    </row>
    <row r="629" spans="1:33" s="536" customFormat="1" ht="12" x14ac:dyDescent="0.2">
      <c r="A629" s="605"/>
      <c r="B629" s="552"/>
      <c r="C629" s="1822" t="s">
        <v>314</v>
      </c>
      <c r="D629" s="1822"/>
      <c r="E629" s="1822"/>
      <c r="F629" s="562" t="s">
        <v>315</v>
      </c>
      <c r="G629" s="562" t="s">
        <v>618</v>
      </c>
      <c r="H629" s="562" t="s">
        <v>313</v>
      </c>
      <c r="I629" s="562" t="s">
        <v>2191</v>
      </c>
      <c r="J629" s="604"/>
      <c r="K629" s="562"/>
      <c r="L629" s="604"/>
      <c r="M629" s="603"/>
      <c r="N629" s="602"/>
      <c r="V629" s="674"/>
      <c r="W629" s="675"/>
      <c r="AA629" s="537" t="s">
        <v>314</v>
      </c>
      <c r="AC629" s="675"/>
      <c r="AD629" s="675"/>
      <c r="AF629" s="675"/>
      <c r="AG629" s="675"/>
    </row>
    <row r="630" spans="1:33" s="536" customFormat="1" ht="12" x14ac:dyDescent="0.2">
      <c r="A630" s="605"/>
      <c r="B630" s="552"/>
      <c r="C630" s="1822" t="s">
        <v>348</v>
      </c>
      <c r="D630" s="1822"/>
      <c r="E630" s="1822"/>
      <c r="F630" s="562" t="s">
        <v>315</v>
      </c>
      <c r="G630" s="562" t="s">
        <v>866</v>
      </c>
      <c r="H630" s="562" t="s">
        <v>313</v>
      </c>
      <c r="I630" s="562" t="s">
        <v>1846</v>
      </c>
      <c r="J630" s="604"/>
      <c r="K630" s="562"/>
      <c r="L630" s="604"/>
      <c r="M630" s="603"/>
      <c r="N630" s="602"/>
      <c r="V630" s="674"/>
      <c r="W630" s="675"/>
      <c r="AA630" s="537" t="s">
        <v>348</v>
      </c>
      <c r="AC630" s="675"/>
      <c r="AD630" s="675"/>
      <c r="AF630" s="675"/>
      <c r="AG630" s="675"/>
    </row>
    <row r="631" spans="1:33" s="536" customFormat="1" ht="12" x14ac:dyDescent="0.2">
      <c r="A631" s="605"/>
      <c r="B631" s="552"/>
      <c r="C631" s="1828" t="s">
        <v>318</v>
      </c>
      <c r="D631" s="1828"/>
      <c r="E631" s="1828"/>
      <c r="F631" s="608"/>
      <c r="G631" s="608"/>
      <c r="H631" s="608"/>
      <c r="I631" s="608"/>
      <c r="J631" s="607">
        <v>167.5</v>
      </c>
      <c r="K631" s="608"/>
      <c r="L631" s="607">
        <v>82.8</v>
      </c>
      <c r="M631" s="601"/>
      <c r="N631" s="606"/>
      <c r="V631" s="674"/>
      <c r="W631" s="675"/>
      <c r="AB631" s="537" t="s">
        <v>318</v>
      </c>
      <c r="AC631" s="675"/>
      <c r="AD631" s="675"/>
      <c r="AF631" s="675"/>
      <c r="AG631" s="675"/>
    </row>
    <row r="632" spans="1:33" s="536" customFormat="1" ht="12" x14ac:dyDescent="0.2">
      <c r="A632" s="605"/>
      <c r="B632" s="552"/>
      <c r="C632" s="1822" t="s">
        <v>319</v>
      </c>
      <c r="D632" s="1822"/>
      <c r="E632" s="1822"/>
      <c r="F632" s="562"/>
      <c r="G632" s="562"/>
      <c r="H632" s="562"/>
      <c r="I632" s="562"/>
      <c r="J632" s="604"/>
      <c r="K632" s="562"/>
      <c r="L632" s="604">
        <v>51.8</v>
      </c>
      <c r="M632" s="603"/>
      <c r="N632" s="602"/>
      <c r="V632" s="674"/>
      <c r="W632" s="675"/>
      <c r="AA632" s="537" t="s">
        <v>319</v>
      </c>
      <c r="AC632" s="675"/>
      <c r="AD632" s="675"/>
      <c r="AF632" s="675"/>
      <c r="AG632" s="675"/>
    </row>
    <row r="633" spans="1:33" s="536" customFormat="1" ht="33.75" x14ac:dyDescent="0.2">
      <c r="A633" s="605"/>
      <c r="B633" s="552" t="s">
        <v>1631</v>
      </c>
      <c r="C633" s="1822" t="s">
        <v>1632</v>
      </c>
      <c r="D633" s="1822"/>
      <c r="E633" s="1822"/>
      <c r="F633" s="562" t="s">
        <v>322</v>
      </c>
      <c r="G633" s="562" t="s">
        <v>1633</v>
      </c>
      <c r="H633" s="562"/>
      <c r="I633" s="562" t="s">
        <v>1633</v>
      </c>
      <c r="J633" s="604"/>
      <c r="K633" s="562"/>
      <c r="L633" s="604">
        <v>50.25</v>
      </c>
      <c r="M633" s="603"/>
      <c r="N633" s="602"/>
      <c r="V633" s="674"/>
      <c r="W633" s="675"/>
      <c r="AA633" s="537" t="s">
        <v>1632</v>
      </c>
      <c r="AC633" s="675"/>
      <c r="AD633" s="675"/>
      <c r="AF633" s="675"/>
      <c r="AG633" s="675"/>
    </row>
    <row r="634" spans="1:33" s="536" customFormat="1" ht="33.75" x14ac:dyDescent="0.2">
      <c r="A634" s="605"/>
      <c r="B634" s="552" t="s">
        <v>1634</v>
      </c>
      <c r="C634" s="1822" t="s">
        <v>1635</v>
      </c>
      <c r="D634" s="1822"/>
      <c r="E634" s="1822"/>
      <c r="F634" s="562" t="s">
        <v>322</v>
      </c>
      <c r="G634" s="562" t="s">
        <v>786</v>
      </c>
      <c r="H634" s="562"/>
      <c r="I634" s="562" t="s">
        <v>786</v>
      </c>
      <c r="J634" s="604"/>
      <c r="K634" s="562"/>
      <c r="L634" s="604">
        <v>26.42</v>
      </c>
      <c r="M634" s="603"/>
      <c r="N634" s="602"/>
      <c r="V634" s="674"/>
      <c r="W634" s="675"/>
      <c r="AA634" s="537" t="s">
        <v>1635</v>
      </c>
      <c r="AC634" s="675"/>
      <c r="AD634" s="675"/>
      <c r="AF634" s="675"/>
      <c r="AG634" s="675"/>
    </row>
    <row r="635" spans="1:33" s="536" customFormat="1" ht="12" x14ac:dyDescent="0.2">
      <c r="A635" s="569"/>
      <c r="B635" s="656"/>
      <c r="C635" s="1823" t="s">
        <v>327</v>
      </c>
      <c r="D635" s="1823"/>
      <c r="E635" s="1823"/>
      <c r="F635" s="573"/>
      <c r="G635" s="573"/>
      <c r="H635" s="573"/>
      <c r="I635" s="573"/>
      <c r="J635" s="572"/>
      <c r="K635" s="573"/>
      <c r="L635" s="572">
        <v>159.47</v>
      </c>
      <c r="M635" s="601"/>
      <c r="N635" s="570"/>
      <c r="V635" s="674"/>
      <c r="W635" s="675"/>
      <c r="AC635" s="675" t="s">
        <v>327</v>
      </c>
      <c r="AD635" s="675"/>
      <c r="AF635" s="675"/>
      <c r="AG635" s="675"/>
    </row>
    <row r="636" spans="1:33" s="536" customFormat="1" ht="33.75" x14ac:dyDescent="0.2">
      <c r="A636" s="575" t="s">
        <v>969</v>
      </c>
      <c r="B636" s="657" t="s">
        <v>2401</v>
      </c>
      <c r="C636" s="1823" t="s">
        <v>8106</v>
      </c>
      <c r="D636" s="1823"/>
      <c r="E636" s="1823"/>
      <c r="F636" s="573" t="s">
        <v>617</v>
      </c>
      <c r="G636" s="573"/>
      <c r="H636" s="573"/>
      <c r="I636" s="573" t="s">
        <v>188</v>
      </c>
      <c r="J636" s="572">
        <v>744.63</v>
      </c>
      <c r="K636" s="573" t="s">
        <v>716</v>
      </c>
      <c r="L636" s="572">
        <v>365.14</v>
      </c>
      <c r="M636" s="571">
        <v>8.32</v>
      </c>
      <c r="N636" s="570">
        <v>3038</v>
      </c>
      <c r="V636" s="674"/>
      <c r="W636" s="675" t="s">
        <v>8106</v>
      </c>
      <c r="AC636" s="675"/>
      <c r="AD636" s="675"/>
      <c r="AF636" s="675"/>
      <c r="AG636" s="675"/>
    </row>
    <row r="637" spans="1:33" s="536" customFormat="1" ht="12" x14ac:dyDescent="0.2">
      <c r="A637" s="569"/>
      <c r="B637" s="656"/>
      <c r="C637" s="661" t="s">
        <v>1658</v>
      </c>
      <c r="D637" s="662"/>
      <c r="E637" s="662"/>
      <c r="F637" s="563"/>
      <c r="G637" s="563"/>
      <c r="H637" s="563"/>
      <c r="I637" s="563"/>
      <c r="J637" s="566"/>
      <c r="K637" s="563"/>
      <c r="L637" s="566"/>
      <c r="M637" s="565"/>
      <c r="N637" s="564"/>
      <c r="V637" s="674"/>
      <c r="W637" s="675"/>
      <c r="AC637" s="675"/>
      <c r="AD637" s="675"/>
      <c r="AF637" s="675"/>
      <c r="AG637" s="675"/>
    </row>
    <row r="638" spans="1:33" s="536" customFormat="1" ht="22.5" x14ac:dyDescent="0.2">
      <c r="A638" s="609"/>
      <c r="B638" s="552" t="s">
        <v>2388</v>
      </c>
      <c r="C638" s="1822" t="s">
        <v>719</v>
      </c>
      <c r="D638" s="1822"/>
      <c r="E638" s="1822"/>
      <c r="F638" s="1822"/>
      <c r="G638" s="1822"/>
      <c r="H638" s="1822"/>
      <c r="I638" s="1822"/>
      <c r="J638" s="1822"/>
      <c r="K638" s="1822"/>
      <c r="L638" s="1822"/>
      <c r="M638" s="1822"/>
      <c r="N638" s="1827"/>
      <c r="V638" s="674"/>
      <c r="W638" s="675"/>
      <c r="Y638" s="537" t="s">
        <v>719</v>
      </c>
      <c r="AC638" s="675"/>
      <c r="AD638" s="675"/>
      <c r="AF638" s="675"/>
      <c r="AG638" s="675"/>
    </row>
    <row r="639" spans="1:33" s="536" customFormat="1" ht="33.75" x14ac:dyDescent="0.2">
      <c r="A639" s="575" t="s">
        <v>2403</v>
      </c>
      <c r="B639" s="657" t="s">
        <v>2404</v>
      </c>
      <c r="C639" s="1823" t="s">
        <v>2405</v>
      </c>
      <c r="D639" s="1823"/>
      <c r="E639" s="1823"/>
      <c r="F639" s="573" t="s">
        <v>1110</v>
      </c>
      <c r="G639" s="573"/>
      <c r="H639" s="573"/>
      <c r="I639" s="573" t="s">
        <v>1550</v>
      </c>
      <c r="J639" s="572"/>
      <c r="K639" s="573"/>
      <c r="L639" s="572"/>
      <c r="M639" s="571"/>
      <c r="N639" s="570"/>
      <c r="V639" s="674"/>
      <c r="W639" s="675" t="s">
        <v>2405</v>
      </c>
      <c r="AC639" s="675"/>
      <c r="AD639" s="675"/>
      <c r="AF639" s="675"/>
      <c r="AG639" s="675"/>
    </row>
    <row r="640" spans="1:33" s="536" customFormat="1" ht="12" x14ac:dyDescent="0.2">
      <c r="A640" s="676"/>
      <c r="B640" s="655"/>
      <c r="C640" s="1822" t="s">
        <v>1551</v>
      </c>
      <c r="D640" s="1822"/>
      <c r="E640" s="1822"/>
      <c r="F640" s="1822"/>
      <c r="G640" s="1822"/>
      <c r="H640" s="1822"/>
      <c r="I640" s="1822"/>
      <c r="J640" s="1822"/>
      <c r="K640" s="1822"/>
      <c r="L640" s="1822"/>
      <c r="M640" s="1822"/>
      <c r="N640" s="1827"/>
      <c r="V640" s="674"/>
      <c r="W640" s="675"/>
      <c r="X640" s="537" t="s">
        <v>1551</v>
      </c>
      <c r="AC640" s="675"/>
      <c r="AD640" s="675"/>
      <c r="AF640" s="675"/>
      <c r="AG640" s="675"/>
    </row>
    <row r="641" spans="1:33" s="536" customFormat="1" ht="33.75" x14ac:dyDescent="0.2">
      <c r="A641" s="609"/>
      <c r="B641" s="552" t="s">
        <v>310</v>
      </c>
      <c r="C641" s="1822" t="s">
        <v>311</v>
      </c>
      <c r="D641" s="1822"/>
      <c r="E641" s="1822"/>
      <c r="F641" s="1822"/>
      <c r="G641" s="1822"/>
      <c r="H641" s="1822"/>
      <c r="I641" s="1822"/>
      <c r="J641" s="1822"/>
      <c r="K641" s="1822"/>
      <c r="L641" s="1822"/>
      <c r="M641" s="1822"/>
      <c r="N641" s="1827"/>
      <c r="V641" s="674"/>
      <c r="W641" s="675"/>
      <c r="Y641" s="537" t="s">
        <v>311</v>
      </c>
      <c r="AC641" s="675"/>
      <c r="AD641" s="675"/>
      <c r="AF641" s="675"/>
      <c r="AG641" s="675"/>
    </row>
    <row r="642" spans="1:33" s="536" customFormat="1" ht="12" x14ac:dyDescent="0.2">
      <c r="A642" s="605"/>
      <c r="B642" s="552" t="s">
        <v>185</v>
      </c>
      <c r="C642" s="1822" t="s">
        <v>312</v>
      </c>
      <c r="D642" s="1822"/>
      <c r="E642" s="1822"/>
      <c r="F642" s="562"/>
      <c r="G642" s="562"/>
      <c r="H642" s="562"/>
      <c r="I642" s="562"/>
      <c r="J642" s="604">
        <v>164.5</v>
      </c>
      <c r="K642" s="562" t="s">
        <v>313</v>
      </c>
      <c r="L642" s="604">
        <v>267.31</v>
      </c>
      <c r="M642" s="603"/>
      <c r="N642" s="602"/>
      <c r="V642" s="674"/>
      <c r="W642" s="675"/>
      <c r="Z642" s="537" t="s">
        <v>312</v>
      </c>
      <c r="AC642" s="675"/>
      <c r="AD642" s="675"/>
      <c r="AF642" s="675"/>
      <c r="AG642" s="675"/>
    </row>
    <row r="643" spans="1:33" s="536" customFormat="1" ht="12" x14ac:dyDescent="0.2">
      <c r="A643" s="605"/>
      <c r="B643" s="552" t="s">
        <v>186</v>
      </c>
      <c r="C643" s="1822" t="s">
        <v>344</v>
      </c>
      <c r="D643" s="1822"/>
      <c r="E643" s="1822"/>
      <c r="F643" s="562"/>
      <c r="G643" s="562"/>
      <c r="H643" s="562"/>
      <c r="I643" s="562"/>
      <c r="J643" s="604">
        <v>41.6</v>
      </c>
      <c r="K643" s="562" t="s">
        <v>313</v>
      </c>
      <c r="L643" s="604">
        <v>67.599999999999994</v>
      </c>
      <c r="M643" s="603"/>
      <c r="N643" s="602"/>
      <c r="V643" s="674"/>
      <c r="W643" s="675"/>
      <c r="Z643" s="537" t="s">
        <v>344</v>
      </c>
      <c r="AC643" s="675"/>
      <c r="AD643" s="675"/>
      <c r="AF643" s="675"/>
      <c r="AG643" s="675"/>
    </row>
    <row r="644" spans="1:33" s="536" customFormat="1" ht="12" x14ac:dyDescent="0.2">
      <c r="A644" s="605"/>
      <c r="B644" s="552" t="s">
        <v>187</v>
      </c>
      <c r="C644" s="1822" t="s">
        <v>345</v>
      </c>
      <c r="D644" s="1822"/>
      <c r="E644" s="1822"/>
      <c r="F644" s="562"/>
      <c r="G644" s="562"/>
      <c r="H644" s="562"/>
      <c r="I644" s="562"/>
      <c r="J644" s="604">
        <v>2.5099999999999998</v>
      </c>
      <c r="K644" s="562" t="s">
        <v>313</v>
      </c>
      <c r="L644" s="604">
        <v>4.08</v>
      </c>
      <c r="M644" s="603"/>
      <c r="N644" s="602"/>
      <c r="V644" s="674"/>
      <c r="W644" s="675"/>
      <c r="Z644" s="537" t="s">
        <v>345</v>
      </c>
      <c r="AC644" s="675"/>
      <c r="AD644" s="675"/>
      <c r="AF644" s="675"/>
      <c r="AG644" s="675"/>
    </row>
    <row r="645" spans="1:33" s="536" customFormat="1" ht="12" x14ac:dyDescent="0.2">
      <c r="A645" s="605"/>
      <c r="B645" s="552" t="s">
        <v>188</v>
      </c>
      <c r="C645" s="1822" t="s">
        <v>475</v>
      </c>
      <c r="D645" s="1822"/>
      <c r="E645" s="1822"/>
      <c r="F645" s="562"/>
      <c r="G645" s="562"/>
      <c r="H645" s="562"/>
      <c r="I645" s="562"/>
      <c r="J645" s="604">
        <v>512.80999999999995</v>
      </c>
      <c r="K645" s="562"/>
      <c r="L645" s="604">
        <v>16.64</v>
      </c>
      <c r="M645" s="603"/>
      <c r="N645" s="602"/>
      <c r="V645" s="674"/>
      <c r="W645" s="675"/>
      <c r="Z645" s="537" t="s">
        <v>475</v>
      </c>
      <c r="AC645" s="675"/>
      <c r="AD645" s="675"/>
      <c r="AF645" s="675"/>
      <c r="AG645" s="675"/>
    </row>
    <row r="646" spans="1:33" s="536" customFormat="1" ht="12" x14ac:dyDescent="0.2">
      <c r="A646" s="605"/>
      <c r="B646" s="552"/>
      <c r="C646" s="1822" t="s">
        <v>314</v>
      </c>
      <c r="D646" s="1822"/>
      <c r="E646" s="1822"/>
      <c r="F646" s="562" t="s">
        <v>315</v>
      </c>
      <c r="G646" s="562" t="s">
        <v>2406</v>
      </c>
      <c r="H646" s="562" t="s">
        <v>313</v>
      </c>
      <c r="I646" s="562" t="s">
        <v>2407</v>
      </c>
      <c r="J646" s="604"/>
      <c r="K646" s="562"/>
      <c r="L646" s="604"/>
      <c r="M646" s="603"/>
      <c r="N646" s="602"/>
      <c r="V646" s="674"/>
      <c r="W646" s="675"/>
      <c r="AA646" s="537" t="s">
        <v>314</v>
      </c>
      <c r="AC646" s="675"/>
      <c r="AD646" s="675"/>
      <c r="AF646" s="675"/>
      <c r="AG646" s="675"/>
    </row>
    <row r="647" spans="1:33" s="536" customFormat="1" ht="12" x14ac:dyDescent="0.2">
      <c r="A647" s="605"/>
      <c r="B647" s="552"/>
      <c r="C647" s="1822" t="s">
        <v>348</v>
      </c>
      <c r="D647" s="1822"/>
      <c r="E647" s="1822"/>
      <c r="F647" s="562" t="s">
        <v>315</v>
      </c>
      <c r="G647" s="562" t="s">
        <v>890</v>
      </c>
      <c r="H647" s="562" t="s">
        <v>313</v>
      </c>
      <c r="I647" s="562" t="s">
        <v>1545</v>
      </c>
      <c r="J647" s="604"/>
      <c r="K647" s="562"/>
      <c r="L647" s="604"/>
      <c r="M647" s="603"/>
      <c r="N647" s="602"/>
      <c r="V647" s="674"/>
      <c r="W647" s="675"/>
      <c r="AA647" s="537" t="s">
        <v>348</v>
      </c>
      <c r="AC647" s="675"/>
      <c r="AD647" s="675"/>
      <c r="AF647" s="675"/>
      <c r="AG647" s="675"/>
    </row>
    <row r="648" spans="1:33" s="536" customFormat="1" ht="12" x14ac:dyDescent="0.2">
      <c r="A648" s="605"/>
      <c r="B648" s="552"/>
      <c r="C648" s="1828" t="s">
        <v>318</v>
      </c>
      <c r="D648" s="1828"/>
      <c r="E648" s="1828"/>
      <c r="F648" s="608"/>
      <c r="G648" s="608"/>
      <c r="H648" s="608"/>
      <c r="I648" s="608"/>
      <c r="J648" s="607">
        <v>218.9</v>
      </c>
      <c r="K648" s="608"/>
      <c r="L648" s="607">
        <v>351.55</v>
      </c>
      <c r="M648" s="601"/>
      <c r="N648" s="606"/>
      <c r="V648" s="674"/>
      <c r="W648" s="675"/>
      <c r="AB648" s="537" t="s">
        <v>318</v>
      </c>
      <c r="AC648" s="675"/>
      <c r="AD648" s="675"/>
      <c r="AF648" s="675"/>
      <c r="AG648" s="675"/>
    </row>
    <row r="649" spans="1:33" s="536" customFormat="1" ht="12" x14ac:dyDescent="0.2">
      <c r="A649" s="605"/>
      <c r="B649" s="552"/>
      <c r="C649" s="1822" t="s">
        <v>319</v>
      </c>
      <c r="D649" s="1822"/>
      <c r="E649" s="1822"/>
      <c r="F649" s="562"/>
      <c r="G649" s="562"/>
      <c r="H649" s="562"/>
      <c r="I649" s="562"/>
      <c r="J649" s="604"/>
      <c r="K649" s="562"/>
      <c r="L649" s="604">
        <v>271.39</v>
      </c>
      <c r="M649" s="603"/>
      <c r="N649" s="602"/>
      <c r="V649" s="674"/>
      <c r="W649" s="675"/>
      <c r="AA649" s="537" t="s">
        <v>319</v>
      </c>
      <c r="AC649" s="675"/>
      <c r="AD649" s="675"/>
      <c r="AF649" s="675"/>
      <c r="AG649" s="675"/>
    </row>
    <row r="650" spans="1:33" s="536" customFormat="1" ht="33.75" x14ac:dyDescent="0.2">
      <c r="A650" s="605"/>
      <c r="B650" s="552" t="s">
        <v>1631</v>
      </c>
      <c r="C650" s="1822" t="s">
        <v>1632</v>
      </c>
      <c r="D650" s="1822"/>
      <c r="E650" s="1822"/>
      <c r="F650" s="562" t="s">
        <v>322</v>
      </c>
      <c r="G650" s="562" t="s">
        <v>1633</v>
      </c>
      <c r="H650" s="562"/>
      <c r="I650" s="562" t="s">
        <v>1633</v>
      </c>
      <c r="J650" s="604"/>
      <c r="K650" s="562"/>
      <c r="L650" s="604">
        <v>263.25</v>
      </c>
      <c r="M650" s="603"/>
      <c r="N650" s="602"/>
      <c r="V650" s="674"/>
      <c r="W650" s="675"/>
      <c r="AA650" s="537" t="s">
        <v>1632</v>
      </c>
      <c r="AC650" s="675"/>
      <c r="AD650" s="675"/>
      <c r="AF650" s="675"/>
      <c r="AG650" s="675"/>
    </row>
    <row r="651" spans="1:33" s="536" customFormat="1" ht="33.75" x14ac:dyDescent="0.2">
      <c r="A651" s="605"/>
      <c r="B651" s="552" t="s">
        <v>1634</v>
      </c>
      <c r="C651" s="1822" t="s">
        <v>1635</v>
      </c>
      <c r="D651" s="1822"/>
      <c r="E651" s="1822"/>
      <c r="F651" s="562" t="s">
        <v>322</v>
      </c>
      <c r="G651" s="562" t="s">
        <v>786</v>
      </c>
      <c r="H651" s="562"/>
      <c r="I651" s="562" t="s">
        <v>786</v>
      </c>
      <c r="J651" s="604"/>
      <c r="K651" s="562"/>
      <c r="L651" s="604">
        <v>138.41</v>
      </c>
      <c r="M651" s="603"/>
      <c r="N651" s="602"/>
      <c r="V651" s="674"/>
      <c r="W651" s="675"/>
      <c r="AA651" s="537" t="s">
        <v>1635</v>
      </c>
      <c r="AC651" s="675"/>
      <c r="AD651" s="675"/>
      <c r="AF651" s="675"/>
      <c r="AG651" s="675"/>
    </row>
    <row r="652" spans="1:33" s="536" customFormat="1" ht="12" x14ac:dyDescent="0.2">
      <c r="A652" s="569"/>
      <c r="B652" s="656"/>
      <c r="C652" s="1823" t="s">
        <v>327</v>
      </c>
      <c r="D652" s="1823"/>
      <c r="E652" s="1823"/>
      <c r="F652" s="573"/>
      <c r="G652" s="573"/>
      <c r="H652" s="573"/>
      <c r="I652" s="573"/>
      <c r="J652" s="572"/>
      <c r="K652" s="573"/>
      <c r="L652" s="572">
        <v>753.21</v>
      </c>
      <c r="M652" s="601"/>
      <c r="N652" s="570"/>
      <c r="V652" s="674"/>
      <c r="W652" s="675"/>
      <c r="AC652" s="675" t="s">
        <v>327</v>
      </c>
      <c r="AD652" s="675"/>
      <c r="AF652" s="675"/>
      <c r="AG652" s="675"/>
    </row>
    <row r="653" spans="1:33" s="536" customFormat="1" ht="33.75" x14ac:dyDescent="0.2">
      <c r="A653" s="575" t="s">
        <v>2408</v>
      </c>
      <c r="B653" s="657" t="s">
        <v>2409</v>
      </c>
      <c r="C653" s="1823" t="s">
        <v>2410</v>
      </c>
      <c r="D653" s="1823"/>
      <c r="E653" s="1823"/>
      <c r="F653" s="573" t="s">
        <v>483</v>
      </c>
      <c r="G653" s="573"/>
      <c r="H653" s="573"/>
      <c r="I653" s="573" t="s">
        <v>2411</v>
      </c>
      <c r="J653" s="572">
        <v>60.38</v>
      </c>
      <c r="K653" s="573" t="s">
        <v>716</v>
      </c>
      <c r="L653" s="572">
        <v>962.26</v>
      </c>
      <c r="M653" s="571">
        <v>8.32</v>
      </c>
      <c r="N653" s="570">
        <v>8006</v>
      </c>
      <c r="V653" s="674"/>
      <c r="W653" s="675" t="s">
        <v>2410</v>
      </c>
      <c r="AC653" s="675"/>
      <c r="AD653" s="675"/>
      <c r="AF653" s="675"/>
      <c r="AG653" s="675"/>
    </row>
    <row r="654" spans="1:33" s="536" customFormat="1" ht="12" x14ac:dyDescent="0.2">
      <c r="A654" s="569"/>
      <c r="B654" s="656"/>
      <c r="C654" s="661" t="s">
        <v>1658</v>
      </c>
      <c r="D654" s="662"/>
      <c r="E654" s="662"/>
      <c r="F654" s="563"/>
      <c r="G654" s="563"/>
      <c r="H654" s="563"/>
      <c r="I654" s="563"/>
      <c r="J654" s="566"/>
      <c r="K654" s="563"/>
      <c r="L654" s="566"/>
      <c r="M654" s="565"/>
      <c r="N654" s="564"/>
      <c r="V654" s="674"/>
      <c r="W654" s="675"/>
      <c r="AC654" s="675"/>
      <c r="AD654" s="675"/>
      <c r="AF654" s="675"/>
      <c r="AG654" s="675"/>
    </row>
    <row r="655" spans="1:33" s="536" customFormat="1" ht="22.5" x14ac:dyDescent="0.2">
      <c r="A655" s="609"/>
      <c r="B655" s="552" t="s">
        <v>2388</v>
      </c>
      <c r="C655" s="1822" t="s">
        <v>719</v>
      </c>
      <c r="D655" s="1822"/>
      <c r="E655" s="1822"/>
      <c r="F655" s="1822"/>
      <c r="G655" s="1822"/>
      <c r="H655" s="1822"/>
      <c r="I655" s="1822"/>
      <c r="J655" s="1822"/>
      <c r="K655" s="1822"/>
      <c r="L655" s="1822"/>
      <c r="M655" s="1822"/>
      <c r="N655" s="1827"/>
      <c r="V655" s="674"/>
      <c r="W655" s="675"/>
      <c r="Y655" s="537" t="s">
        <v>719</v>
      </c>
      <c r="AC655" s="675"/>
      <c r="AD655" s="675"/>
      <c r="AF655" s="675"/>
      <c r="AG655" s="675"/>
    </row>
    <row r="656" spans="1:33" s="536" customFormat="1" ht="33.75" x14ac:dyDescent="0.2">
      <c r="A656" s="575" t="s">
        <v>323</v>
      </c>
      <c r="B656" s="657" t="s">
        <v>2412</v>
      </c>
      <c r="C656" s="1823" t="s">
        <v>2413</v>
      </c>
      <c r="D656" s="1823"/>
      <c r="E656" s="1823"/>
      <c r="F656" s="573" t="s">
        <v>617</v>
      </c>
      <c r="G656" s="573"/>
      <c r="H656" s="573"/>
      <c r="I656" s="573" t="s">
        <v>196</v>
      </c>
      <c r="J656" s="572">
        <v>110.69</v>
      </c>
      <c r="K656" s="573" t="s">
        <v>716</v>
      </c>
      <c r="L656" s="572">
        <v>162.86000000000001</v>
      </c>
      <c r="M656" s="571">
        <v>8.32</v>
      </c>
      <c r="N656" s="570">
        <v>1355</v>
      </c>
      <c r="V656" s="674"/>
      <c r="W656" s="675" t="s">
        <v>2413</v>
      </c>
      <c r="AC656" s="675"/>
      <c r="AD656" s="675"/>
      <c r="AF656" s="675"/>
      <c r="AG656" s="675"/>
    </row>
    <row r="657" spans="1:33" s="536" customFormat="1" ht="12" x14ac:dyDescent="0.2">
      <c r="A657" s="569"/>
      <c r="B657" s="656"/>
      <c r="C657" s="661" t="s">
        <v>1658</v>
      </c>
      <c r="D657" s="662"/>
      <c r="E657" s="662"/>
      <c r="F657" s="563"/>
      <c r="G657" s="563"/>
      <c r="H657" s="563"/>
      <c r="I657" s="563"/>
      <c r="J657" s="566"/>
      <c r="K657" s="563"/>
      <c r="L657" s="566"/>
      <c r="M657" s="565"/>
      <c r="N657" s="564"/>
      <c r="V657" s="674"/>
      <c r="W657" s="675"/>
      <c r="AC657" s="675"/>
      <c r="AD657" s="675"/>
      <c r="AF657" s="675"/>
      <c r="AG657" s="675"/>
    </row>
    <row r="658" spans="1:33" s="536" customFormat="1" ht="22.5" x14ac:dyDescent="0.2">
      <c r="A658" s="609"/>
      <c r="B658" s="552" t="s">
        <v>2388</v>
      </c>
      <c r="C658" s="1822" t="s">
        <v>719</v>
      </c>
      <c r="D658" s="1822"/>
      <c r="E658" s="1822"/>
      <c r="F658" s="1822"/>
      <c r="G658" s="1822"/>
      <c r="H658" s="1822"/>
      <c r="I658" s="1822"/>
      <c r="J658" s="1822"/>
      <c r="K658" s="1822"/>
      <c r="L658" s="1822"/>
      <c r="M658" s="1822"/>
      <c r="N658" s="1827"/>
      <c r="V658" s="674"/>
      <c r="W658" s="675"/>
      <c r="Y658" s="537" t="s">
        <v>719</v>
      </c>
      <c r="AC658" s="675"/>
      <c r="AD658" s="675"/>
      <c r="AF658" s="675"/>
      <c r="AG658" s="675"/>
    </row>
    <row r="659" spans="1:33" s="536" customFormat="1" ht="33.75" x14ac:dyDescent="0.2">
      <c r="A659" s="575" t="s">
        <v>886</v>
      </c>
      <c r="B659" s="657" t="s">
        <v>2414</v>
      </c>
      <c r="C659" s="1823" t="s">
        <v>2415</v>
      </c>
      <c r="D659" s="1823"/>
      <c r="E659" s="1823"/>
      <c r="F659" s="573" t="s">
        <v>617</v>
      </c>
      <c r="G659" s="573"/>
      <c r="H659" s="573"/>
      <c r="I659" s="573" t="s">
        <v>2416</v>
      </c>
      <c r="J659" s="572">
        <v>118.72</v>
      </c>
      <c r="K659" s="573" t="s">
        <v>716</v>
      </c>
      <c r="L659" s="572">
        <v>1528.25</v>
      </c>
      <c r="M659" s="571">
        <v>8.32</v>
      </c>
      <c r="N659" s="570">
        <v>12715</v>
      </c>
      <c r="V659" s="674"/>
      <c r="W659" s="675" t="s">
        <v>2415</v>
      </c>
      <c r="AC659" s="675"/>
      <c r="AD659" s="675"/>
      <c r="AF659" s="675"/>
      <c r="AG659" s="675"/>
    </row>
    <row r="660" spans="1:33" s="536" customFormat="1" ht="12" x14ac:dyDescent="0.2">
      <c r="A660" s="569"/>
      <c r="B660" s="656"/>
      <c r="C660" s="661" t="s">
        <v>1658</v>
      </c>
      <c r="D660" s="662"/>
      <c r="E660" s="662"/>
      <c r="F660" s="563"/>
      <c r="G660" s="563"/>
      <c r="H660" s="563"/>
      <c r="I660" s="563"/>
      <c r="J660" s="566"/>
      <c r="K660" s="563"/>
      <c r="L660" s="566"/>
      <c r="M660" s="565"/>
      <c r="N660" s="564"/>
      <c r="V660" s="674"/>
      <c r="W660" s="675"/>
      <c r="AC660" s="675"/>
      <c r="AD660" s="675"/>
      <c r="AF660" s="675"/>
      <c r="AG660" s="675"/>
    </row>
    <row r="661" spans="1:33" s="536" customFormat="1" ht="22.5" x14ac:dyDescent="0.2">
      <c r="A661" s="609"/>
      <c r="B661" s="552" t="s">
        <v>2388</v>
      </c>
      <c r="C661" s="1822" t="s">
        <v>719</v>
      </c>
      <c r="D661" s="1822"/>
      <c r="E661" s="1822"/>
      <c r="F661" s="1822"/>
      <c r="G661" s="1822"/>
      <c r="H661" s="1822"/>
      <c r="I661" s="1822"/>
      <c r="J661" s="1822"/>
      <c r="K661" s="1822"/>
      <c r="L661" s="1822"/>
      <c r="M661" s="1822"/>
      <c r="N661" s="1827"/>
      <c r="V661" s="674"/>
      <c r="W661" s="675"/>
      <c r="Y661" s="537" t="s">
        <v>719</v>
      </c>
      <c r="AC661" s="675"/>
      <c r="AD661" s="675"/>
      <c r="AF661" s="675"/>
      <c r="AG661" s="675"/>
    </row>
    <row r="662" spans="1:33" s="536" customFormat="1" ht="12" x14ac:dyDescent="0.2">
      <c r="A662" s="1830" t="s">
        <v>2417</v>
      </c>
      <c r="B662" s="1831"/>
      <c r="C662" s="1831"/>
      <c r="D662" s="1831"/>
      <c r="E662" s="1831"/>
      <c r="F662" s="1831"/>
      <c r="G662" s="1831"/>
      <c r="H662" s="1831"/>
      <c r="I662" s="1831"/>
      <c r="J662" s="1831"/>
      <c r="K662" s="1831"/>
      <c r="L662" s="1831"/>
      <c r="M662" s="1831"/>
      <c r="N662" s="1832"/>
      <c r="V662" s="674"/>
      <c r="W662" s="675"/>
      <c r="AC662" s="675"/>
      <c r="AD662" s="675"/>
      <c r="AF662" s="675"/>
      <c r="AG662" s="675" t="s">
        <v>2417</v>
      </c>
    </row>
    <row r="663" spans="1:33" s="536" customFormat="1" ht="33.75" x14ac:dyDescent="0.2">
      <c r="A663" s="575" t="s">
        <v>2418</v>
      </c>
      <c r="B663" s="657" t="s">
        <v>1514</v>
      </c>
      <c r="C663" s="1823" t="s">
        <v>1515</v>
      </c>
      <c r="D663" s="1823"/>
      <c r="E663" s="1823"/>
      <c r="F663" s="573" t="s">
        <v>509</v>
      </c>
      <c r="G663" s="573"/>
      <c r="H663" s="573"/>
      <c r="I663" s="573" t="s">
        <v>2419</v>
      </c>
      <c r="J663" s="572"/>
      <c r="K663" s="573"/>
      <c r="L663" s="572"/>
      <c r="M663" s="571"/>
      <c r="N663" s="570"/>
      <c r="V663" s="674"/>
      <c r="W663" s="675" t="s">
        <v>1515</v>
      </c>
      <c r="AC663" s="675"/>
      <c r="AD663" s="675"/>
      <c r="AF663" s="675"/>
      <c r="AG663" s="675"/>
    </row>
    <row r="664" spans="1:33" s="536" customFormat="1" ht="12" x14ac:dyDescent="0.2">
      <c r="A664" s="676"/>
      <c r="B664" s="655"/>
      <c r="C664" s="1822" t="s">
        <v>2420</v>
      </c>
      <c r="D664" s="1822"/>
      <c r="E664" s="1822"/>
      <c r="F664" s="1822"/>
      <c r="G664" s="1822"/>
      <c r="H664" s="1822"/>
      <c r="I664" s="1822"/>
      <c r="J664" s="1822"/>
      <c r="K664" s="1822"/>
      <c r="L664" s="1822"/>
      <c r="M664" s="1822"/>
      <c r="N664" s="1827"/>
      <c r="V664" s="674"/>
      <c r="W664" s="675"/>
      <c r="X664" s="537" t="s">
        <v>2420</v>
      </c>
      <c r="AC664" s="675"/>
      <c r="AD664" s="675"/>
      <c r="AF664" s="675"/>
      <c r="AG664" s="675"/>
    </row>
    <row r="665" spans="1:33" s="536" customFormat="1" ht="33.75" x14ac:dyDescent="0.2">
      <c r="A665" s="609"/>
      <c r="B665" s="552" t="s">
        <v>310</v>
      </c>
      <c r="C665" s="1822" t="s">
        <v>311</v>
      </c>
      <c r="D665" s="1822"/>
      <c r="E665" s="1822"/>
      <c r="F665" s="1822"/>
      <c r="G665" s="1822"/>
      <c r="H665" s="1822"/>
      <c r="I665" s="1822"/>
      <c r="J665" s="1822"/>
      <c r="K665" s="1822"/>
      <c r="L665" s="1822"/>
      <c r="M665" s="1822"/>
      <c r="N665" s="1827"/>
      <c r="V665" s="674"/>
      <c r="W665" s="675"/>
      <c r="Y665" s="537" t="s">
        <v>311</v>
      </c>
      <c r="AC665" s="675"/>
      <c r="AD665" s="675"/>
      <c r="AF665" s="675"/>
      <c r="AG665" s="675"/>
    </row>
    <row r="666" spans="1:33" s="536" customFormat="1" ht="12" x14ac:dyDescent="0.2">
      <c r="A666" s="605"/>
      <c r="B666" s="552" t="s">
        <v>185</v>
      </c>
      <c r="C666" s="1822" t="s">
        <v>312</v>
      </c>
      <c r="D666" s="1822"/>
      <c r="E666" s="1822"/>
      <c r="F666" s="562"/>
      <c r="G666" s="562"/>
      <c r="H666" s="562"/>
      <c r="I666" s="562"/>
      <c r="J666" s="604">
        <v>3036.68</v>
      </c>
      <c r="K666" s="562" t="s">
        <v>313</v>
      </c>
      <c r="L666" s="604">
        <v>743.99</v>
      </c>
      <c r="M666" s="603"/>
      <c r="N666" s="602"/>
      <c r="V666" s="674"/>
      <c r="W666" s="675"/>
      <c r="Z666" s="537" t="s">
        <v>312</v>
      </c>
      <c r="AC666" s="675"/>
      <c r="AD666" s="675"/>
      <c r="AF666" s="675"/>
      <c r="AG666" s="675"/>
    </row>
    <row r="667" spans="1:33" s="536" customFormat="1" ht="12" x14ac:dyDescent="0.2">
      <c r="A667" s="605"/>
      <c r="B667" s="552"/>
      <c r="C667" s="1822" t="s">
        <v>314</v>
      </c>
      <c r="D667" s="1822"/>
      <c r="E667" s="1822"/>
      <c r="F667" s="562" t="s">
        <v>315</v>
      </c>
      <c r="G667" s="562" t="s">
        <v>1521</v>
      </c>
      <c r="H667" s="562" t="s">
        <v>313</v>
      </c>
      <c r="I667" s="562" t="s">
        <v>2421</v>
      </c>
      <c r="J667" s="604"/>
      <c r="K667" s="562"/>
      <c r="L667" s="604"/>
      <c r="M667" s="603"/>
      <c r="N667" s="602"/>
      <c r="V667" s="674"/>
      <c r="W667" s="675"/>
      <c r="AA667" s="537" t="s">
        <v>314</v>
      </c>
      <c r="AC667" s="675"/>
      <c r="AD667" s="675"/>
      <c r="AF667" s="675"/>
      <c r="AG667" s="675"/>
    </row>
    <row r="668" spans="1:33" s="536" customFormat="1" ht="12" x14ac:dyDescent="0.2">
      <c r="A668" s="605"/>
      <c r="B668" s="552"/>
      <c r="C668" s="1828" t="s">
        <v>318</v>
      </c>
      <c r="D668" s="1828"/>
      <c r="E668" s="1828"/>
      <c r="F668" s="608"/>
      <c r="G668" s="608"/>
      <c r="H668" s="608"/>
      <c r="I668" s="608"/>
      <c r="J668" s="607">
        <v>3036.68</v>
      </c>
      <c r="K668" s="608"/>
      <c r="L668" s="607">
        <v>743.99</v>
      </c>
      <c r="M668" s="601"/>
      <c r="N668" s="606"/>
      <c r="V668" s="674"/>
      <c r="W668" s="675"/>
      <c r="AB668" s="537" t="s">
        <v>318</v>
      </c>
      <c r="AC668" s="675"/>
      <c r="AD668" s="675"/>
      <c r="AF668" s="675"/>
      <c r="AG668" s="675"/>
    </row>
    <row r="669" spans="1:33" s="536" customFormat="1" ht="12" x14ac:dyDescent="0.2">
      <c r="A669" s="605"/>
      <c r="B669" s="552"/>
      <c r="C669" s="1822" t="s">
        <v>319</v>
      </c>
      <c r="D669" s="1822"/>
      <c r="E669" s="1822"/>
      <c r="F669" s="562"/>
      <c r="G669" s="562"/>
      <c r="H669" s="562"/>
      <c r="I669" s="562"/>
      <c r="J669" s="604"/>
      <c r="K669" s="562"/>
      <c r="L669" s="604">
        <v>743.99</v>
      </c>
      <c r="M669" s="603"/>
      <c r="N669" s="602"/>
      <c r="V669" s="674"/>
      <c r="W669" s="675"/>
      <c r="AA669" s="537" t="s">
        <v>319</v>
      </c>
      <c r="AC669" s="675"/>
      <c r="AD669" s="675"/>
      <c r="AF669" s="675"/>
      <c r="AG669" s="675"/>
    </row>
    <row r="670" spans="1:33" s="536" customFormat="1" ht="33.75" x14ac:dyDescent="0.2">
      <c r="A670" s="605"/>
      <c r="B670" s="552" t="s">
        <v>673</v>
      </c>
      <c r="C670" s="1822" t="s">
        <v>674</v>
      </c>
      <c r="D670" s="1822"/>
      <c r="E670" s="1822"/>
      <c r="F670" s="562" t="s">
        <v>322</v>
      </c>
      <c r="G670" s="562" t="s">
        <v>323</v>
      </c>
      <c r="H670" s="562"/>
      <c r="I670" s="562" t="s">
        <v>323</v>
      </c>
      <c r="J670" s="604"/>
      <c r="K670" s="562"/>
      <c r="L670" s="604">
        <v>662.15</v>
      </c>
      <c r="M670" s="603"/>
      <c r="N670" s="602"/>
      <c r="V670" s="674"/>
      <c r="W670" s="675"/>
      <c r="AA670" s="537" t="s">
        <v>674</v>
      </c>
      <c r="AC670" s="675"/>
      <c r="AD670" s="675"/>
      <c r="AF670" s="675"/>
      <c r="AG670" s="675"/>
    </row>
    <row r="671" spans="1:33" s="536" customFormat="1" ht="33.75" x14ac:dyDescent="0.2">
      <c r="A671" s="605"/>
      <c r="B671" s="552" t="s">
        <v>675</v>
      </c>
      <c r="C671" s="1822" t="s">
        <v>676</v>
      </c>
      <c r="D671" s="1822"/>
      <c r="E671" s="1822"/>
      <c r="F671" s="562" t="s">
        <v>322</v>
      </c>
      <c r="G671" s="562" t="s">
        <v>677</v>
      </c>
      <c r="H671" s="562"/>
      <c r="I671" s="562" t="s">
        <v>677</v>
      </c>
      <c r="J671" s="604"/>
      <c r="K671" s="562"/>
      <c r="L671" s="604">
        <v>297.60000000000002</v>
      </c>
      <c r="M671" s="603"/>
      <c r="N671" s="602"/>
      <c r="V671" s="674"/>
      <c r="W671" s="675"/>
      <c r="AA671" s="537" t="s">
        <v>676</v>
      </c>
      <c r="AC671" s="675"/>
      <c r="AD671" s="675"/>
      <c r="AF671" s="675"/>
      <c r="AG671" s="675"/>
    </row>
    <row r="672" spans="1:33" s="536" customFormat="1" ht="12" x14ac:dyDescent="0.2">
      <c r="A672" s="569"/>
      <c r="B672" s="656"/>
      <c r="C672" s="1823" t="s">
        <v>327</v>
      </c>
      <c r="D672" s="1823"/>
      <c r="E672" s="1823"/>
      <c r="F672" s="573"/>
      <c r="G672" s="573"/>
      <c r="H672" s="573"/>
      <c r="I672" s="573"/>
      <c r="J672" s="572"/>
      <c r="K672" s="573"/>
      <c r="L672" s="572">
        <v>1703.74</v>
      </c>
      <c r="M672" s="601"/>
      <c r="N672" s="570"/>
      <c r="V672" s="674"/>
      <c r="W672" s="675"/>
      <c r="AC672" s="675" t="s">
        <v>327</v>
      </c>
      <c r="AD672" s="675"/>
      <c r="AF672" s="675"/>
      <c r="AG672" s="675"/>
    </row>
    <row r="673" spans="1:33" s="536" customFormat="1" ht="22.5" x14ac:dyDescent="0.2">
      <c r="A673" s="575" t="s">
        <v>462</v>
      </c>
      <c r="B673" s="657" t="s">
        <v>2422</v>
      </c>
      <c r="C673" s="1823" t="s">
        <v>2423</v>
      </c>
      <c r="D673" s="1823"/>
      <c r="E673" s="1823"/>
      <c r="F673" s="573" t="s">
        <v>509</v>
      </c>
      <c r="G673" s="573"/>
      <c r="H673" s="573"/>
      <c r="I673" s="573" t="s">
        <v>2419</v>
      </c>
      <c r="J673" s="572"/>
      <c r="K673" s="573"/>
      <c r="L673" s="572"/>
      <c r="M673" s="571"/>
      <c r="N673" s="570"/>
      <c r="V673" s="674"/>
      <c r="W673" s="675" t="s">
        <v>2423</v>
      </c>
      <c r="AC673" s="675"/>
      <c r="AD673" s="675"/>
      <c r="AF673" s="675"/>
      <c r="AG673" s="675"/>
    </row>
    <row r="674" spans="1:33" s="536" customFormat="1" ht="12" x14ac:dyDescent="0.2">
      <c r="A674" s="676"/>
      <c r="B674" s="655"/>
      <c r="C674" s="1822" t="s">
        <v>2420</v>
      </c>
      <c r="D674" s="1822"/>
      <c r="E674" s="1822"/>
      <c r="F674" s="1822"/>
      <c r="G674" s="1822"/>
      <c r="H674" s="1822"/>
      <c r="I674" s="1822"/>
      <c r="J674" s="1822"/>
      <c r="K674" s="1822"/>
      <c r="L674" s="1822"/>
      <c r="M674" s="1822"/>
      <c r="N674" s="1827"/>
      <c r="V674" s="674"/>
      <c r="W674" s="675"/>
      <c r="X674" s="537" t="s">
        <v>2420</v>
      </c>
      <c r="AC674" s="675"/>
      <c r="AD674" s="675"/>
      <c r="AF674" s="675"/>
      <c r="AG674" s="675"/>
    </row>
    <row r="675" spans="1:33" s="536" customFormat="1" ht="33.75" x14ac:dyDescent="0.2">
      <c r="A675" s="609"/>
      <c r="B675" s="552" t="s">
        <v>310</v>
      </c>
      <c r="C675" s="1822" t="s">
        <v>311</v>
      </c>
      <c r="D675" s="1822"/>
      <c r="E675" s="1822"/>
      <c r="F675" s="1822"/>
      <c r="G675" s="1822"/>
      <c r="H675" s="1822"/>
      <c r="I675" s="1822"/>
      <c r="J675" s="1822"/>
      <c r="K675" s="1822"/>
      <c r="L675" s="1822"/>
      <c r="M675" s="1822"/>
      <c r="N675" s="1827"/>
      <c r="V675" s="674"/>
      <c r="W675" s="675"/>
      <c r="Y675" s="537" t="s">
        <v>311</v>
      </c>
      <c r="AC675" s="675"/>
      <c r="AD675" s="675"/>
      <c r="AF675" s="675"/>
      <c r="AG675" s="675"/>
    </row>
    <row r="676" spans="1:33" s="536" customFormat="1" ht="12" x14ac:dyDescent="0.2">
      <c r="A676" s="605"/>
      <c r="B676" s="552" t="s">
        <v>185</v>
      </c>
      <c r="C676" s="1822" t="s">
        <v>312</v>
      </c>
      <c r="D676" s="1822"/>
      <c r="E676" s="1822"/>
      <c r="F676" s="562"/>
      <c r="G676" s="562"/>
      <c r="H676" s="562"/>
      <c r="I676" s="562"/>
      <c r="J676" s="604">
        <v>907.5</v>
      </c>
      <c r="K676" s="562" t="s">
        <v>313</v>
      </c>
      <c r="L676" s="604">
        <v>222.34</v>
      </c>
      <c r="M676" s="603"/>
      <c r="N676" s="602"/>
      <c r="V676" s="674"/>
      <c r="W676" s="675"/>
      <c r="Z676" s="537" t="s">
        <v>312</v>
      </c>
      <c r="AC676" s="675"/>
      <c r="AD676" s="675"/>
      <c r="AF676" s="675"/>
      <c r="AG676" s="675"/>
    </row>
    <row r="677" spans="1:33" s="536" customFormat="1" ht="12" x14ac:dyDescent="0.2">
      <c r="A677" s="605"/>
      <c r="B677" s="552"/>
      <c r="C677" s="1822" t="s">
        <v>314</v>
      </c>
      <c r="D677" s="1822"/>
      <c r="E677" s="1822"/>
      <c r="F677" s="562" t="s">
        <v>315</v>
      </c>
      <c r="G677" s="562" t="s">
        <v>894</v>
      </c>
      <c r="H677" s="562" t="s">
        <v>313</v>
      </c>
      <c r="I677" s="562" t="s">
        <v>2424</v>
      </c>
      <c r="J677" s="604"/>
      <c r="K677" s="562"/>
      <c r="L677" s="604"/>
      <c r="M677" s="603"/>
      <c r="N677" s="602"/>
      <c r="V677" s="674"/>
      <c r="W677" s="675"/>
      <c r="AA677" s="537" t="s">
        <v>314</v>
      </c>
      <c r="AC677" s="675"/>
      <c r="AD677" s="675"/>
      <c r="AF677" s="675"/>
      <c r="AG677" s="675"/>
    </row>
    <row r="678" spans="1:33" s="536" customFormat="1" ht="12" x14ac:dyDescent="0.2">
      <c r="A678" s="605"/>
      <c r="B678" s="552"/>
      <c r="C678" s="1828" t="s">
        <v>318</v>
      </c>
      <c r="D678" s="1828"/>
      <c r="E678" s="1828"/>
      <c r="F678" s="608"/>
      <c r="G678" s="608"/>
      <c r="H678" s="608"/>
      <c r="I678" s="608"/>
      <c r="J678" s="607">
        <v>907.5</v>
      </c>
      <c r="K678" s="608"/>
      <c r="L678" s="607">
        <v>222.34</v>
      </c>
      <c r="M678" s="601"/>
      <c r="N678" s="606"/>
      <c r="V678" s="674"/>
      <c r="W678" s="675"/>
      <c r="AB678" s="537" t="s">
        <v>318</v>
      </c>
      <c r="AC678" s="675"/>
      <c r="AD678" s="675"/>
      <c r="AF678" s="675"/>
      <c r="AG678" s="675"/>
    </row>
    <row r="679" spans="1:33" s="536" customFormat="1" ht="12" x14ac:dyDescent="0.2">
      <c r="A679" s="605"/>
      <c r="B679" s="552"/>
      <c r="C679" s="1822" t="s">
        <v>319</v>
      </c>
      <c r="D679" s="1822"/>
      <c r="E679" s="1822"/>
      <c r="F679" s="562"/>
      <c r="G679" s="562"/>
      <c r="H679" s="562"/>
      <c r="I679" s="562"/>
      <c r="J679" s="604"/>
      <c r="K679" s="562"/>
      <c r="L679" s="604">
        <v>222.34</v>
      </c>
      <c r="M679" s="603"/>
      <c r="N679" s="602"/>
      <c r="V679" s="674"/>
      <c r="W679" s="675"/>
      <c r="AA679" s="537" t="s">
        <v>319</v>
      </c>
      <c r="AC679" s="675"/>
      <c r="AD679" s="675"/>
      <c r="AF679" s="675"/>
      <c r="AG679" s="675"/>
    </row>
    <row r="680" spans="1:33" s="536" customFormat="1" ht="33.75" x14ac:dyDescent="0.2">
      <c r="A680" s="605"/>
      <c r="B680" s="552" t="s">
        <v>673</v>
      </c>
      <c r="C680" s="1822" t="s">
        <v>674</v>
      </c>
      <c r="D680" s="1822"/>
      <c r="E680" s="1822"/>
      <c r="F680" s="562" t="s">
        <v>322</v>
      </c>
      <c r="G680" s="562" t="s">
        <v>323</v>
      </c>
      <c r="H680" s="562"/>
      <c r="I680" s="562" t="s">
        <v>323</v>
      </c>
      <c r="J680" s="604"/>
      <c r="K680" s="562"/>
      <c r="L680" s="604">
        <v>197.88</v>
      </c>
      <c r="M680" s="603"/>
      <c r="N680" s="602"/>
      <c r="V680" s="674"/>
      <c r="W680" s="675"/>
      <c r="AA680" s="537" t="s">
        <v>674</v>
      </c>
      <c r="AC680" s="675"/>
      <c r="AD680" s="675"/>
      <c r="AF680" s="675"/>
      <c r="AG680" s="675"/>
    </row>
    <row r="681" spans="1:33" s="536" customFormat="1" ht="33.75" x14ac:dyDescent="0.2">
      <c r="A681" s="605"/>
      <c r="B681" s="552" t="s">
        <v>675</v>
      </c>
      <c r="C681" s="1822" t="s">
        <v>676</v>
      </c>
      <c r="D681" s="1822"/>
      <c r="E681" s="1822"/>
      <c r="F681" s="562" t="s">
        <v>322</v>
      </c>
      <c r="G681" s="562" t="s">
        <v>677</v>
      </c>
      <c r="H681" s="562"/>
      <c r="I681" s="562" t="s">
        <v>677</v>
      </c>
      <c r="J681" s="604"/>
      <c r="K681" s="562"/>
      <c r="L681" s="604">
        <v>88.94</v>
      </c>
      <c r="M681" s="603"/>
      <c r="N681" s="602"/>
      <c r="V681" s="674"/>
      <c r="W681" s="675"/>
      <c r="AA681" s="537" t="s">
        <v>676</v>
      </c>
      <c r="AC681" s="675"/>
      <c r="AD681" s="675"/>
      <c r="AF681" s="675"/>
      <c r="AG681" s="675"/>
    </row>
    <row r="682" spans="1:33" s="536" customFormat="1" ht="12" x14ac:dyDescent="0.2">
      <c r="A682" s="569"/>
      <c r="B682" s="656"/>
      <c r="C682" s="1823" t="s">
        <v>327</v>
      </c>
      <c r="D682" s="1823"/>
      <c r="E682" s="1823"/>
      <c r="F682" s="573"/>
      <c r="G682" s="573"/>
      <c r="H682" s="573"/>
      <c r="I682" s="573"/>
      <c r="J682" s="572"/>
      <c r="K682" s="573"/>
      <c r="L682" s="572">
        <v>509.16</v>
      </c>
      <c r="M682" s="601"/>
      <c r="N682" s="570"/>
      <c r="V682" s="674"/>
      <c r="W682" s="675"/>
      <c r="AC682" s="675" t="s">
        <v>327</v>
      </c>
      <c r="AD682" s="675"/>
      <c r="AF682" s="675"/>
      <c r="AG682" s="675"/>
    </row>
    <row r="683" spans="1:33" s="536" customFormat="1" ht="22.5" x14ac:dyDescent="0.2">
      <c r="A683" s="575" t="s">
        <v>650</v>
      </c>
      <c r="B683" s="657" t="s">
        <v>507</v>
      </c>
      <c r="C683" s="1823" t="s">
        <v>508</v>
      </c>
      <c r="D683" s="1823"/>
      <c r="E683" s="1823"/>
      <c r="F683" s="573" t="s">
        <v>509</v>
      </c>
      <c r="G683" s="573"/>
      <c r="H683" s="573"/>
      <c r="I683" s="573" t="s">
        <v>2419</v>
      </c>
      <c r="J683" s="572"/>
      <c r="K683" s="573"/>
      <c r="L683" s="572"/>
      <c r="M683" s="571"/>
      <c r="N683" s="570"/>
      <c r="V683" s="674"/>
      <c r="W683" s="675" t="s">
        <v>508</v>
      </c>
      <c r="AC683" s="675"/>
      <c r="AD683" s="675"/>
      <c r="AF683" s="675"/>
      <c r="AG683" s="675"/>
    </row>
    <row r="684" spans="1:33" s="536" customFormat="1" ht="12" x14ac:dyDescent="0.2">
      <c r="A684" s="676"/>
      <c r="B684" s="655"/>
      <c r="C684" s="1822" t="s">
        <v>2425</v>
      </c>
      <c r="D684" s="1822"/>
      <c r="E684" s="1822"/>
      <c r="F684" s="1822"/>
      <c r="G684" s="1822"/>
      <c r="H684" s="1822"/>
      <c r="I684" s="1822"/>
      <c r="J684" s="1822"/>
      <c r="K684" s="1822"/>
      <c r="L684" s="1822"/>
      <c r="M684" s="1822"/>
      <c r="N684" s="1827"/>
      <c r="V684" s="674"/>
      <c r="W684" s="675"/>
      <c r="X684" s="537" t="s">
        <v>2425</v>
      </c>
      <c r="AC684" s="675"/>
      <c r="AD684" s="675"/>
      <c r="AF684" s="675"/>
      <c r="AG684" s="675"/>
    </row>
    <row r="685" spans="1:33" s="536" customFormat="1" ht="33.75" x14ac:dyDescent="0.2">
      <c r="A685" s="609"/>
      <c r="B685" s="552" t="s">
        <v>310</v>
      </c>
      <c r="C685" s="1822" t="s">
        <v>311</v>
      </c>
      <c r="D685" s="1822"/>
      <c r="E685" s="1822"/>
      <c r="F685" s="1822"/>
      <c r="G685" s="1822"/>
      <c r="H685" s="1822"/>
      <c r="I685" s="1822"/>
      <c r="J685" s="1822"/>
      <c r="K685" s="1822"/>
      <c r="L685" s="1822"/>
      <c r="M685" s="1822"/>
      <c r="N685" s="1827"/>
      <c r="V685" s="674"/>
      <c r="W685" s="675"/>
      <c r="Y685" s="537" t="s">
        <v>311</v>
      </c>
      <c r="AC685" s="675"/>
      <c r="AD685" s="675"/>
      <c r="AF685" s="675"/>
      <c r="AG685" s="675"/>
    </row>
    <row r="686" spans="1:33" s="536" customFormat="1" ht="12" x14ac:dyDescent="0.2">
      <c r="A686" s="605"/>
      <c r="B686" s="552" t="s">
        <v>185</v>
      </c>
      <c r="C686" s="1822" t="s">
        <v>312</v>
      </c>
      <c r="D686" s="1822"/>
      <c r="E686" s="1822"/>
      <c r="F686" s="562"/>
      <c r="G686" s="562"/>
      <c r="H686" s="562"/>
      <c r="I686" s="562"/>
      <c r="J686" s="604">
        <v>127.61</v>
      </c>
      <c r="K686" s="562" t="s">
        <v>313</v>
      </c>
      <c r="L686" s="604">
        <v>31.26</v>
      </c>
      <c r="M686" s="603"/>
      <c r="N686" s="602"/>
      <c r="V686" s="674"/>
      <c r="W686" s="675"/>
      <c r="Z686" s="537" t="s">
        <v>312</v>
      </c>
      <c r="AC686" s="675"/>
      <c r="AD686" s="675"/>
      <c r="AF686" s="675"/>
      <c r="AG686" s="675"/>
    </row>
    <row r="687" spans="1:33" s="536" customFormat="1" ht="12" x14ac:dyDescent="0.2">
      <c r="A687" s="605"/>
      <c r="B687" s="552" t="s">
        <v>186</v>
      </c>
      <c r="C687" s="1822" t="s">
        <v>344</v>
      </c>
      <c r="D687" s="1822"/>
      <c r="E687" s="1822"/>
      <c r="F687" s="562"/>
      <c r="G687" s="562"/>
      <c r="H687" s="562"/>
      <c r="I687" s="562"/>
      <c r="J687" s="604">
        <v>288.58</v>
      </c>
      <c r="K687" s="562" t="s">
        <v>313</v>
      </c>
      <c r="L687" s="604">
        <v>70.7</v>
      </c>
      <c r="M687" s="603"/>
      <c r="N687" s="602"/>
      <c r="V687" s="674"/>
      <c r="W687" s="675"/>
      <c r="Z687" s="537" t="s">
        <v>344</v>
      </c>
      <c r="AC687" s="675"/>
      <c r="AD687" s="675"/>
      <c r="AF687" s="675"/>
      <c r="AG687" s="675"/>
    </row>
    <row r="688" spans="1:33" s="536" customFormat="1" ht="12" x14ac:dyDescent="0.2">
      <c r="A688" s="605"/>
      <c r="B688" s="552" t="s">
        <v>187</v>
      </c>
      <c r="C688" s="1822" t="s">
        <v>345</v>
      </c>
      <c r="D688" s="1822"/>
      <c r="E688" s="1822"/>
      <c r="F688" s="562"/>
      <c r="G688" s="562"/>
      <c r="H688" s="562"/>
      <c r="I688" s="562"/>
      <c r="J688" s="604">
        <v>31.49</v>
      </c>
      <c r="K688" s="562" t="s">
        <v>313</v>
      </c>
      <c r="L688" s="604">
        <v>7.72</v>
      </c>
      <c r="M688" s="603"/>
      <c r="N688" s="602"/>
      <c r="V688" s="674"/>
      <c r="W688" s="675"/>
      <c r="Z688" s="537" t="s">
        <v>345</v>
      </c>
      <c r="AC688" s="675"/>
      <c r="AD688" s="675"/>
      <c r="AF688" s="675"/>
      <c r="AG688" s="675"/>
    </row>
    <row r="689" spans="1:33" s="536" customFormat="1" ht="12" x14ac:dyDescent="0.2">
      <c r="A689" s="605"/>
      <c r="B689" s="552"/>
      <c r="C689" s="1822" t="s">
        <v>314</v>
      </c>
      <c r="D689" s="1822"/>
      <c r="E689" s="1822"/>
      <c r="F689" s="562" t="s">
        <v>315</v>
      </c>
      <c r="G689" s="562" t="s">
        <v>512</v>
      </c>
      <c r="H689" s="562" t="s">
        <v>313</v>
      </c>
      <c r="I689" s="562" t="s">
        <v>2426</v>
      </c>
      <c r="J689" s="604"/>
      <c r="K689" s="562"/>
      <c r="L689" s="604"/>
      <c r="M689" s="603"/>
      <c r="N689" s="602"/>
      <c r="V689" s="674"/>
      <c r="W689" s="675"/>
      <c r="AA689" s="537" t="s">
        <v>314</v>
      </c>
      <c r="AC689" s="675"/>
      <c r="AD689" s="675"/>
      <c r="AF689" s="675"/>
      <c r="AG689" s="675"/>
    </row>
    <row r="690" spans="1:33" s="536" customFormat="1" ht="12" x14ac:dyDescent="0.2">
      <c r="A690" s="605"/>
      <c r="B690" s="552"/>
      <c r="C690" s="1822" t="s">
        <v>348</v>
      </c>
      <c r="D690" s="1822"/>
      <c r="E690" s="1822"/>
      <c r="F690" s="562" t="s">
        <v>315</v>
      </c>
      <c r="G690" s="562" t="s">
        <v>514</v>
      </c>
      <c r="H690" s="562" t="s">
        <v>313</v>
      </c>
      <c r="I690" s="562" t="s">
        <v>2427</v>
      </c>
      <c r="J690" s="604"/>
      <c r="K690" s="562"/>
      <c r="L690" s="604"/>
      <c r="M690" s="603"/>
      <c r="N690" s="602"/>
      <c r="V690" s="674"/>
      <c r="W690" s="675"/>
      <c r="AA690" s="537" t="s">
        <v>348</v>
      </c>
      <c r="AC690" s="675"/>
      <c r="AD690" s="675"/>
      <c r="AF690" s="675"/>
      <c r="AG690" s="675"/>
    </row>
    <row r="691" spans="1:33" s="536" customFormat="1" ht="12" x14ac:dyDescent="0.2">
      <c r="A691" s="605"/>
      <c r="B691" s="552"/>
      <c r="C691" s="1828" t="s">
        <v>318</v>
      </c>
      <c r="D691" s="1828"/>
      <c r="E691" s="1828"/>
      <c r="F691" s="608"/>
      <c r="G691" s="608"/>
      <c r="H691" s="608"/>
      <c r="I691" s="608"/>
      <c r="J691" s="607">
        <v>416.19</v>
      </c>
      <c r="K691" s="608"/>
      <c r="L691" s="607">
        <v>101.96</v>
      </c>
      <c r="M691" s="601"/>
      <c r="N691" s="606"/>
      <c r="V691" s="674"/>
      <c r="W691" s="675"/>
      <c r="AB691" s="537" t="s">
        <v>318</v>
      </c>
      <c r="AC691" s="675"/>
      <c r="AD691" s="675"/>
      <c r="AF691" s="675"/>
      <c r="AG691" s="675"/>
    </row>
    <row r="692" spans="1:33" s="536" customFormat="1" ht="12" x14ac:dyDescent="0.2">
      <c r="A692" s="605"/>
      <c r="B692" s="552"/>
      <c r="C692" s="1822" t="s">
        <v>319</v>
      </c>
      <c r="D692" s="1822"/>
      <c r="E692" s="1822"/>
      <c r="F692" s="562"/>
      <c r="G692" s="562"/>
      <c r="H692" s="562"/>
      <c r="I692" s="562"/>
      <c r="J692" s="604"/>
      <c r="K692" s="562"/>
      <c r="L692" s="604">
        <v>38.979999999999997</v>
      </c>
      <c r="M692" s="603"/>
      <c r="N692" s="602"/>
      <c r="V692" s="674"/>
      <c r="W692" s="675"/>
      <c r="AA692" s="537" t="s">
        <v>319</v>
      </c>
      <c r="AC692" s="675"/>
      <c r="AD692" s="675"/>
      <c r="AF692" s="675"/>
      <c r="AG692" s="675"/>
    </row>
    <row r="693" spans="1:33" s="536" customFormat="1" ht="33.75" x14ac:dyDescent="0.2">
      <c r="A693" s="605"/>
      <c r="B693" s="552" t="s">
        <v>460</v>
      </c>
      <c r="C693" s="1822" t="s">
        <v>461</v>
      </c>
      <c r="D693" s="1822"/>
      <c r="E693" s="1822"/>
      <c r="F693" s="562" t="s">
        <v>322</v>
      </c>
      <c r="G693" s="562" t="s">
        <v>462</v>
      </c>
      <c r="H693" s="562"/>
      <c r="I693" s="562" t="s">
        <v>462</v>
      </c>
      <c r="J693" s="604"/>
      <c r="K693" s="562"/>
      <c r="L693" s="604">
        <v>35.86</v>
      </c>
      <c r="M693" s="603"/>
      <c r="N693" s="602"/>
      <c r="V693" s="674"/>
      <c r="W693" s="675"/>
      <c r="AA693" s="537" t="s">
        <v>461</v>
      </c>
      <c r="AC693" s="675"/>
      <c r="AD693" s="675"/>
      <c r="AF693" s="675"/>
      <c r="AG693" s="675"/>
    </row>
    <row r="694" spans="1:33" s="536" customFormat="1" ht="33.75" x14ac:dyDescent="0.2">
      <c r="A694" s="605"/>
      <c r="B694" s="552" t="s">
        <v>463</v>
      </c>
      <c r="C694" s="1822" t="s">
        <v>464</v>
      </c>
      <c r="D694" s="1822"/>
      <c r="E694" s="1822"/>
      <c r="F694" s="562" t="s">
        <v>322</v>
      </c>
      <c r="G694" s="562" t="s">
        <v>465</v>
      </c>
      <c r="H694" s="562"/>
      <c r="I694" s="562" t="s">
        <v>465</v>
      </c>
      <c r="J694" s="604"/>
      <c r="K694" s="562"/>
      <c r="L694" s="604">
        <v>17.93</v>
      </c>
      <c r="M694" s="603"/>
      <c r="N694" s="602"/>
      <c r="V694" s="674"/>
      <c r="W694" s="675"/>
      <c r="AA694" s="537" t="s">
        <v>464</v>
      </c>
      <c r="AC694" s="675"/>
      <c r="AD694" s="675"/>
      <c r="AF694" s="675"/>
      <c r="AG694" s="675"/>
    </row>
    <row r="695" spans="1:33" s="536" customFormat="1" ht="12" x14ac:dyDescent="0.2">
      <c r="A695" s="569"/>
      <c r="B695" s="656"/>
      <c r="C695" s="1823" t="s">
        <v>327</v>
      </c>
      <c r="D695" s="1823"/>
      <c r="E695" s="1823"/>
      <c r="F695" s="573"/>
      <c r="G695" s="573"/>
      <c r="H695" s="573"/>
      <c r="I695" s="573"/>
      <c r="J695" s="572"/>
      <c r="K695" s="573"/>
      <c r="L695" s="572">
        <v>155.75</v>
      </c>
      <c r="M695" s="601"/>
      <c r="N695" s="570"/>
      <c r="V695" s="674"/>
      <c r="W695" s="675"/>
      <c r="AC695" s="675" t="s">
        <v>327</v>
      </c>
      <c r="AD695" s="675"/>
      <c r="AF695" s="675"/>
      <c r="AG695" s="675"/>
    </row>
    <row r="696" spans="1:33" s="536" customFormat="1" ht="1.5" customHeight="1" x14ac:dyDescent="0.2">
      <c r="A696" s="563"/>
      <c r="B696" s="656"/>
      <c r="C696" s="656"/>
      <c r="D696" s="656"/>
      <c r="E696" s="656"/>
      <c r="F696" s="563"/>
      <c r="G696" s="563"/>
      <c r="H696" s="563"/>
      <c r="I696" s="563"/>
      <c r="J696" s="546"/>
      <c r="K696" s="563"/>
      <c r="L696" s="546"/>
      <c r="M696" s="562"/>
      <c r="N696" s="546"/>
      <c r="V696" s="674"/>
      <c r="W696" s="675"/>
      <c r="AC696" s="675"/>
      <c r="AD696" s="675"/>
      <c r="AF696" s="675"/>
      <c r="AG696" s="675"/>
    </row>
    <row r="697" spans="1:33" s="536" customFormat="1" ht="12" x14ac:dyDescent="0.2">
      <c r="A697" s="557"/>
      <c r="B697" s="556"/>
      <c r="C697" s="1823" t="s">
        <v>1802</v>
      </c>
      <c r="D697" s="1823"/>
      <c r="E697" s="1823"/>
      <c r="F697" s="1823"/>
      <c r="G697" s="1823"/>
      <c r="H697" s="1823"/>
      <c r="I697" s="1823"/>
      <c r="J697" s="1823"/>
      <c r="K697" s="1823"/>
      <c r="L697" s="555"/>
      <c r="M697" s="554"/>
      <c r="N697" s="553"/>
      <c r="V697" s="674"/>
      <c r="W697" s="675"/>
      <c r="AC697" s="675"/>
      <c r="AD697" s="675" t="s">
        <v>1802</v>
      </c>
      <c r="AF697" s="675"/>
      <c r="AG697" s="675"/>
    </row>
    <row r="698" spans="1:33" s="536" customFormat="1" ht="12" x14ac:dyDescent="0.2">
      <c r="A698" s="548"/>
      <c r="B698" s="552"/>
      <c r="C698" s="1822" t="s">
        <v>403</v>
      </c>
      <c r="D698" s="1822"/>
      <c r="E698" s="1822"/>
      <c r="F698" s="1822"/>
      <c r="G698" s="1822"/>
      <c r="H698" s="1822"/>
      <c r="I698" s="1822"/>
      <c r="J698" s="1822"/>
      <c r="K698" s="1822"/>
      <c r="L698" s="551">
        <v>88685.29</v>
      </c>
      <c r="M698" s="550"/>
      <c r="N698" s="549"/>
      <c r="V698" s="674"/>
      <c r="W698" s="675"/>
      <c r="AC698" s="675"/>
      <c r="AD698" s="675"/>
      <c r="AE698" s="537" t="s">
        <v>403</v>
      </c>
      <c r="AF698" s="675"/>
      <c r="AG698" s="675"/>
    </row>
    <row r="699" spans="1:33" s="536" customFormat="1" ht="12" x14ac:dyDescent="0.2">
      <c r="A699" s="548"/>
      <c r="B699" s="552"/>
      <c r="C699" s="1822" t="s">
        <v>204</v>
      </c>
      <c r="D699" s="1822"/>
      <c r="E699" s="1822"/>
      <c r="F699" s="1822"/>
      <c r="G699" s="1822"/>
      <c r="H699" s="1822"/>
      <c r="I699" s="1822"/>
      <c r="J699" s="1822"/>
      <c r="K699" s="1822"/>
      <c r="L699" s="551"/>
      <c r="M699" s="550"/>
      <c r="N699" s="549"/>
      <c r="V699" s="674"/>
      <c r="W699" s="675"/>
      <c r="AC699" s="675"/>
      <c r="AD699" s="675"/>
      <c r="AE699" s="537" t="s">
        <v>204</v>
      </c>
      <c r="AF699" s="675"/>
      <c r="AG699" s="675"/>
    </row>
    <row r="700" spans="1:33" s="536" customFormat="1" ht="12" x14ac:dyDescent="0.2">
      <c r="A700" s="548"/>
      <c r="B700" s="552"/>
      <c r="C700" s="1822" t="s">
        <v>404</v>
      </c>
      <c r="D700" s="1822"/>
      <c r="E700" s="1822"/>
      <c r="F700" s="1822"/>
      <c r="G700" s="1822"/>
      <c r="H700" s="1822"/>
      <c r="I700" s="1822"/>
      <c r="J700" s="1822"/>
      <c r="K700" s="1822"/>
      <c r="L700" s="551">
        <v>6057.84</v>
      </c>
      <c r="M700" s="550"/>
      <c r="N700" s="549"/>
      <c r="V700" s="674"/>
      <c r="W700" s="675"/>
      <c r="AC700" s="675"/>
      <c r="AD700" s="675"/>
      <c r="AE700" s="537" t="s">
        <v>404</v>
      </c>
      <c r="AF700" s="675"/>
      <c r="AG700" s="675"/>
    </row>
    <row r="701" spans="1:33" s="536" customFormat="1" ht="12" x14ac:dyDescent="0.2">
      <c r="A701" s="548"/>
      <c r="B701" s="552"/>
      <c r="C701" s="1822" t="s">
        <v>405</v>
      </c>
      <c r="D701" s="1822"/>
      <c r="E701" s="1822"/>
      <c r="F701" s="1822"/>
      <c r="G701" s="1822"/>
      <c r="H701" s="1822"/>
      <c r="I701" s="1822"/>
      <c r="J701" s="1822"/>
      <c r="K701" s="1822"/>
      <c r="L701" s="551">
        <v>3253.1</v>
      </c>
      <c r="M701" s="550"/>
      <c r="N701" s="549"/>
      <c r="V701" s="674"/>
      <c r="W701" s="675"/>
      <c r="AC701" s="675"/>
      <c r="AD701" s="675"/>
      <c r="AE701" s="537" t="s">
        <v>405</v>
      </c>
      <c r="AF701" s="675"/>
      <c r="AG701" s="675"/>
    </row>
    <row r="702" spans="1:33" s="536" customFormat="1" ht="12" x14ac:dyDescent="0.2">
      <c r="A702" s="548"/>
      <c r="B702" s="552"/>
      <c r="C702" s="1822" t="s">
        <v>406</v>
      </c>
      <c r="D702" s="1822"/>
      <c r="E702" s="1822"/>
      <c r="F702" s="1822"/>
      <c r="G702" s="1822"/>
      <c r="H702" s="1822"/>
      <c r="I702" s="1822"/>
      <c r="J702" s="1822"/>
      <c r="K702" s="1822"/>
      <c r="L702" s="551">
        <v>313.48</v>
      </c>
      <c r="M702" s="550"/>
      <c r="N702" s="549"/>
      <c r="V702" s="674"/>
      <c r="W702" s="675"/>
      <c r="AC702" s="675"/>
      <c r="AD702" s="675"/>
      <c r="AE702" s="537" t="s">
        <v>406</v>
      </c>
      <c r="AF702" s="675"/>
      <c r="AG702" s="675"/>
    </row>
    <row r="703" spans="1:33" s="536" customFormat="1" ht="12" x14ac:dyDescent="0.2">
      <c r="A703" s="548"/>
      <c r="B703" s="552"/>
      <c r="C703" s="1822" t="s">
        <v>480</v>
      </c>
      <c r="D703" s="1822"/>
      <c r="E703" s="1822"/>
      <c r="F703" s="1822"/>
      <c r="G703" s="1822"/>
      <c r="H703" s="1822"/>
      <c r="I703" s="1822"/>
      <c r="J703" s="1822"/>
      <c r="K703" s="1822"/>
      <c r="L703" s="551">
        <v>79374.350000000006</v>
      </c>
      <c r="M703" s="550"/>
      <c r="N703" s="549"/>
      <c r="V703" s="674"/>
      <c r="W703" s="675"/>
      <c r="AC703" s="675"/>
      <c r="AD703" s="675"/>
      <c r="AE703" s="537" t="s">
        <v>480</v>
      </c>
      <c r="AF703" s="675"/>
      <c r="AG703" s="675"/>
    </row>
    <row r="704" spans="1:33" s="536" customFormat="1" ht="12" x14ac:dyDescent="0.2">
      <c r="A704" s="548"/>
      <c r="B704" s="552"/>
      <c r="C704" s="1822" t="s">
        <v>407</v>
      </c>
      <c r="D704" s="1822"/>
      <c r="E704" s="1822"/>
      <c r="F704" s="1822"/>
      <c r="G704" s="1822"/>
      <c r="H704" s="1822"/>
      <c r="I704" s="1822"/>
      <c r="J704" s="1822"/>
      <c r="K704" s="1822"/>
      <c r="L704" s="551">
        <v>2368.65</v>
      </c>
      <c r="M704" s="550"/>
      <c r="N704" s="549"/>
      <c r="V704" s="674"/>
      <c r="W704" s="675"/>
      <c r="AC704" s="675"/>
      <c r="AD704" s="675"/>
      <c r="AE704" s="537" t="s">
        <v>407</v>
      </c>
      <c r="AF704" s="675"/>
      <c r="AG704" s="675"/>
    </row>
    <row r="705" spans="1:33" s="536" customFormat="1" ht="12" x14ac:dyDescent="0.2">
      <c r="A705" s="548"/>
      <c r="B705" s="552"/>
      <c r="C705" s="1822" t="s">
        <v>204</v>
      </c>
      <c r="D705" s="1822"/>
      <c r="E705" s="1822"/>
      <c r="F705" s="1822"/>
      <c r="G705" s="1822"/>
      <c r="H705" s="1822"/>
      <c r="I705" s="1822"/>
      <c r="J705" s="1822"/>
      <c r="K705" s="1822"/>
      <c r="L705" s="551"/>
      <c r="M705" s="550"/>
      <c r="N705" s="549"/>
      <c r="V705" s="674"/>
      <c r="W705" s="675"/>
      <c r="AC705" s="675"/>
      <c r="AD705" s="675"/>
      <c r="AE705" s="537" t="s">
        <v>204</v>
      </c>
      <c r="AF705" s="675"/>
      <c r="AG705" s="675"/>
    </row>
    <row r="706" spans="1:33" s="536" customFormat="1" ht="12" x14ac:dyDescent="0.2">
      <c r="A706" s="548"/>
      <c r="B706" s="552"/>
      <c r="C706" s="1822" t="s">
        <v>546</v>
      </c>
      <c r="D706" s="1822"/>
      <c r="E706" s="1822"/>
      <c r="F706" s="1822"/>
      <c r="G706" s="1822"/>
      <c r="H706" s="1822"/>
      <c r="I706" s="1822"/>
      <c r="J706" s="1822"/>
      <c r="K706" s="1822"/>
      <c r="L706" s="551">
        <v>997.59</v>
      </c>
      <c r="M706" s="550"/>
      <c r="N706" s="549"/>
      <c r="V706" s="674"/>
      <c r="W706" s="675"/>
      <c r="AC706" s="675"/>
      <c r="AD706" s="675"/>
      <c r="AE706" s="537" t="s">
        <v>546</v>
      </c>
      <c r="AF706" s="675"/>
      <c r="AG706" s="675"/>
    </row>
    <row r="707" spans="1:33" s="536" customFormat="1" ht="12" x14ac:dyDescent="0.2">
      <c r="A707" s="548"/>
      <c r="B707" s="552"/>
      <c r="C707" s="1822" t="s">
        <v>442</v>
      </c>
      <c r="D707" s="1822"/>
      <c r="E707" s="1822"/>
      <c r="F707" s="1822"/>
      <c r="G707" s="1822"/>
      <c r="H707" s="1822"/>
      <c r="I707" s="1822"/>
      <c r="J707" s="1822"/>
      <c r="K707" s="1822"/>
      <c r="L707" s="551">
        <v>70.7</v>
      </c>
      <c r="M707" s="550"/>
      <c r="N707" s="549"/>
      <c r="V707" s="674"/>
      <c r="W707" s="675"/>
      <c r="AC707" s="675"/>
      <c r="AD707" s="675"/>
      <c r="AE707" s="537" t="s">
        <v>442</v>
      </c>
      <c r="AF707" s="675"/>
      <c r="AG707" s="675"/>
    </row>
    <row r="708" spans="1:33" s="536" customFormat="1" ht="12" x14ac:dyDescent="0.2">
      <c r="A708" s="548"/>
      <c r="B708" s="552"/>
      <c r="C708" s="1822" t="s">
        <v>443</v>
      </c>
      <c r="D708" s="1822"/>
      <c r="E708" s="1822"/>
      <c r="F708" s="1822"/>
      <c r="G708" s="1822"/>
      <c r="H708" s="1822"/>
      <c r="I708" s="1822"/>
      <c r="J708" s="1822"/>
      <c r="K708" s="1822"/>
      <c r="L708" s="551">
        <v>895.89</v>
      </c>
      <c r="M708" s="550"/>
      <c r="N708" s="549"/>
      <c r="V708" s="674"/>
      <c r="W708" s="675"/>
      <c r="AC708" s="675"/>
      <c r="AD708" s="675"/>
      <c r="AE708" s="537" t="s">
        <v>443</v>
      </c>
      <c r="AF708" s="675"/>
      <c r="AG708" s="675"/>
    </row>
    <row r="709" spans="1:33" s="536" customFormat="1" ht="12" x14ac:dyDescent="0.2">
      <c r="A709" s="548"/>
      <c r="B709" s="552"/>
      <c r="C709" s="1822" t="s">
        <v>444</v>
      </c>
      <c r="D709" s="1822"/>
      <c r="E709" s="1822"/>
      <c r="F709" s="1822"/>
      <c r="G709" s="1822"/>
      <c r="H709" s="1822"/>
      <c r="I709" s="1822"/>
      <c r="J709" s="1822"/>
      <c r="K709" s="1822"/>
      <c r="L709" s="551">
        <v>404.47</v>
      </c>
      <c r="M709" s="550"/>
      <c r="N709" s="549"/>
      <c r="V709" s="674"/>
      <c r="W709" s="675"/>
      <c r="AC709" s="675"/>
      <c r="AD709" s="675"/>
      <c r="AE709" s="537" t="s">
        <v>444</v>
      </c>
      <c r="AF709" s="675"/>
      <c r="AG709" s="675"/>
    </row>
    <row r="710" spans="1:33" s="536" customFormat="1" ht="12" x14ac:dyDescent="0.2">
      <c r="A710" s="548"/>
      <c r="B710" s="552"/>
      <c r="C710" s="1822" t="s">
        <v>753</v>
      </c>
      <c r="D710" s="1822"/>
      <c r="E710" s="1822"/>
      <c r="F710" s="1822"/>
      <c r="G710" s="1822"/>
      <c r="H710" s="1822"/>
      <c r="I710" s="1822"/>
      <c r="J710" s="1822"/>
      <c r="K710" s="1822"/>
      <c r="L710" s="551">
        <v>95481.37</v>
      </c>
      <c r="M710" s="550"/>
      <c r="N710" s="549"/>
      <c r="V710" s="674"/>
      <c r="W710" s="675"/>
      <c r="AC710" s="675"/>
      <c r="AD710" s="675"/>
      <c r="AE710" s="537" t="s">
        <v>753</v>
      </c>
      <c r="AF710" s="675"/>
      <c r="AG710" s="675"/>
    </row>
    <row r="711" spans="1:33" s="536" customFormat="1" ht="12" x14ac:dyDescent="0.2">
      <c r="A711" s="548"/>
      <c r="B711" s="552"/>
      <c r="C711" s="1822" t="s">
        <v>204</v>
      </c>
      <c r="D711" s="1822"/>
      <c r="E711" s="1822"/>
      <c r="F711" s="1822"/>
      <c r="G711" s="1822"/>
      <c r="H711" s="1822"/>
      <c r="I711" s="1822"/>
      <c r="J711" s="1822"/>
      <c r="K711" s="1822"/>
      <c r="L711" s="551"/>
      <c r="M711" s="550"/>
      <c r="N711" s="549"/>
      <c r="V711" s="674"/>
      <c r="W711" s="675"/>
      <c r="AC711" s="675"/>
      <c r="AD711" s="675"/>
      <c r="AE711" s="537" t="s">
        <v>204</v>
      </c>
      <c r="AF711" s="675"/>
      <c r="AG711" s="675"/>
    </row>
    <row r="712" spans="1:33" s="536" customFormat="1" ht="12" x14ac:dyDescent="0.2">
      <c r="A712" s="548"/>
      <c r="B712" s="552"/>
      <c r="C712" s="1822" t="s">
        <v>546</v>
      </c>
      <c r="D712" s="1822"/>
      <c r="E712" s="1822"/>
      <c r="F712" s="1822"/>
      <c r="G712" s="1822"/>
      <c r="H712" s="1822"/>
      <c r="I712" s="1822"/>
      <c r="J712" s="1822"/>
      <c r="K712" s="1822"/>
      <c r="L712" s="551">
        <v>5060.25</v>
      </c>
      <c r="M712" s="550"/>
      <c r="N712" s="549"/>
      <c r="V712" s="674"/>
      <c r="W712" s="675"/>
      <c r="AC712" s="675"/>
      <c r="AD712" s="675"/>
      <c r="AE712" s="537" t="s">
        <v>546</v>
      </c>
      <c r="AF712" s="675"/>
      <c r="AG712" s="675"/>
    </row>
    <row r="713" spans="1:33" s="536" customFormat="1" ht="12" x14ac:dyDescent="0.2">
      <c r="A713" s="548"/>
      <c r="B713" s="552"/>
      <c r="C713" s="1822" t="s">
        <v>442</v>
      </c>
      <c r="D713" s="1822"/>
      <c r="E713" s="1822"/>
      <c r="F713" s="1822"/>
      <c r="G713" s="1822"/>
      <c r="H713" s="1822"/>
      <c r="I713" s="1822"/>
      <c r="J713" s="1822"/>
      <c r="K713" s="1822"/>
      <c r="L713" s="551">
        <v>3182.4</v>
      </c>
      <c r="M713" s="550"/>
      <c r="N713" s="549"/>
      <c r="V713" s="674"/>
      <c r="W713" s="675"/>
      <c r="AC713" s="675"/>
      <c r="AD713" s="675"/>
      <c r="AE713" s="537" t="s">
        <v>442</v>
      </c>
      <c r="AF713" s="675"/>
      <c r="AG713" s="675"/>
    </row>
    <row r="714" spans="1:33" s="536" customFormat="1" ht="12" x14ac:dyDescent="0.2">
      <c r="A714" s="548"/>
      <c r="B714" s="552"/>
      <c r="C714" s="1822" t="s">
        <v>547</v>
      </c>
      <c r="D714" s="1822"/>
      <c r="E714" s="1822"/>
      <c r="F714" s="1822"/>
      <c r="G714" s="1822"/>
      <c r="H714" s="1822"/>
      <c r="I714" s="1822"/>
      <c r="J714" s="1822"/>
      <c r="K714" s="1822"/>
      <c r="L714" s="551">
        <v>79374.350000000006</v>
      </c>
      <c r="M714" s="550"/>
      <c r="N714" s="549"/>
      <c r="V714" s="674"/>
      <c r="W714" s="675"/>
      <c r="AC714" s="675"/>
      <c r="AD714" s="675"/>
      <c r="AE714" s="537" t="s">
        <v>547</v>
      </c>
      <c r="AF714" s="675"/>
      <c r="AG714" s="675"/>
    </row>
    <row r="715" spans="1:33" s="536" customFormat="1" ht="12" x14ac:dyDescent="0.2">
      <c r="A715" s="548"/>
      <c r="B715" s="552"/>
      <c r="C715" s="1822" t="s">
        <v>443</v>
      </c>
      <c r="D715" s="1822"/>
      <c r="E715" s="1822"/>
      <c r="F715" s="1822"/>
      <c r="G715" s="1822"/>
      <c r="H715" s="1822"/>
      <c r="I715" s="1822"/>
      <c r="J715" s="1822"/>
      <c r="K715" s="1822"/>
      <c r="L715" s="551">
        <v>5159.9399999999996</v>
      </c>
      <c r="M715" s="550"/>
      <c r="N715" s="549"/>
      <c r="V715" s="674"/>
      <c r="W715" s="675"/>
      <c r="AC715" s="675"/>
      <c r="AD715" s="675"/>
      <c r="AE715" s="537" t="s">
        <v>443</v>
      </c>
      <c r="AF715" s="675"/>
      <c r="AG715" s="675"/>
    </row>
    <row r="716" spans="1:33" s="536" customFormat="1" ht="12" x14ac:dyDescent="0.2">
      <c r="A716" s="548"/>
      <c r="B716" s="552"/>
      <c r="C716" s="1822" t="s">
        <v>444</v>
      </c>
      <c r="D716" s="1822"/>
      <c r="E716" s="1822"/>
      <c r="F716" s="1822"/>
      <c r="G716" s="1822"/>
      <c r="H716" s="1822"/>
      <c r="I716" s="1822"/>
      <c r="J716" s="1822"/>
      <c r="K716" s="1822"/>
      <c r="L716" s="551">
        <v>2704.43</v>
      </c>
      <c r="M716" s="550"/>
      <c r="N716" s="549"/>
      <c r="V716" s="674"/>
      <c r="W716" s="675"/>
      <c r="AC716" s="675"/>
      <c r="AD716" s="675"/>
      <c r="AE716" s="537" t="s">
        <v>444</v>
      </c>
      <c r="AF716" s="675"/>
      <c r="AG716" s="675"/>
    </row>
    <row r="717" spans="1:33" s="536" customFormat="1" ht="12" x14ac:dyDescent="0.2">
      <c r="A717" s="548"/>
      <c r="B717" s="552"/>
      <c r="C717" s="1822" t="s">
        <v>754</v>
      </c>
      <c r="D717" s="1822"/>
      <c r="E717" s="1822"/>
      <c r="F717" s="1822"/>
      <c r="G717" s="1822"/>
      <c r="H717" s="1822"/>
      <c r="I717" s="1822"/>
      <c r="J717" s="1822"/>
      <c r="K717" s="1822"/>
      <c r="L717" s="551">
        <v>854.68</v>
      </c>
      <c r="M717" s="550"/>
      <c r="N717" s="549"/>
      <c r="V717" s="674"/>
      <c r="W717" s="675"/>
      <c r="AC717" s="675"/>
      <c r="AD717" s="675"/>
      <c r="AE717" s="537" t="s">
        <v>754</v>
      </c>
      <c r="AF717" s="675"/>
      <c r="AG717" s="675"/>
    </row>
    <row r="718" spans="1:33" s="536" customFormat="1" ht="12" x14ac:dyDescent="0.2">
      <c r="A718" s="548"/>
      <c r="B718" s="552"/>
      <c r="C718" s="1822" t="s">
        <v>415</v>
      </c>
      <c r="D718" s="1822"/>
      <c r="E718" s="1822"/>
      <c r="F718" s="1822"/>
      <c r="G718" s="1822"/>
      <c r="H718" s="1822"/>
      <c r="I718" s="1822"/>
      <c r="J718" s="1822"/>
      <c r="K718" s="1822"/>
      <c r="L718" s="551">
        <v>6371.32</v>
      </c>
      <c r="M718" s="550"/>
      <c r="N718" s="549"/>
      <c r="V718" s="674"/>
      <c r="W718" s="675"/>
      <c r="AC718" s="675"/>
      <c r="AD718" s="675"/>
      <c r="AE718" s="537" t="s">
        <v>415</v>
      </c>
      <c r="AF718" s="675"/>
      <c r="AG718" s="675"/>
    </row>
    <row r="719" spans="1:33" s="536" customFormat="1" ht="12" x14ac:dyDescent="0.2">
      <c r="A719" s="548"/>
      <c r="B719" s="552"/>
      <c r="C719" s="1822" t="s">
        <v>416</v>
      </c>
      <c r="D719" s="1822"/>
      <c r="E719" s="1822"/>
      <c r="F719" s="1822"/>
      <c r="G719" s="1822"/>
      <c r="H719" s="1822"/>
      <c r="I719" s="1822"/>
      <c r="J719" s="1822"/>
      <c r="K719" s="1822"/>
      <c r="L719" s="551">
        <v>6055.83</v>
      </c>
      <c r="M719" s="550"/>
      <c r="N719" s="549"/>
      <c r="V719" s="674"/>
      <c r="W719" s="675"/>
      <c r="AC719" s="675"/>
      <c r="AD719" s="675"/>
      <c r="AE719" s="537" t="s">
        <v>416</v>
      </c>
      <c r="AF719" s="675"/>
      <c r="AG719" s="675"/>
    </row>
    <row r="720" spans="1:33" s="536" customFormat="1" ht="12" x14ac:dyDescent="0.2">
      <c r="A720" s="548"/>
      <c r="B720" s="552"/>
      <c r="C720" s="1822" t="s">
        <v>417</v>
      </c>
      <c r="D720" s="1822"/>
      <c r="E720" s="1822"/>
      <c r="F720" s="1822"/>
      <c r="G720" s="1822"/>
      <c r="H720" s="1822"/>
      <c r="I720" s="1822"/>
      <c r="J720" s="1822"/>
      <c r="K720" s="1822"/>
      <c r="L720" s="551">
        <v>3108.9</v>
      </c>
      <c r="M720" s="550"/>
      <c r="N720" s="549"/>
      <c r="V720" s="674"/>
      <c r="W720" s="675"/>
      <c r="AC720" s="675"/>
      <c r="AD720" s="675"/>
      <c r="AE720" s="537" t="s">
        <v>417</v>
      </c>
      <c r="AF720" s="675"/>
      <c r="AG720" s="675"/>
    </row>
    <row r="721" spans="1:33" s="536" customFormat="1" ht="12" x14ac:dyDescent="0.2">
      <c r="A721" s="548"/>
      <c r="B721" s="546"/>
      <c r="C721" s="1819" t="s">
        <v>1803</v>
      </c>
      <c r="D721" s="1819"/>
      <c r="E721" s="1819"/>
      <c r="F721" s="1819"/>
      <c r="G721" s="1819"/>
      <c r="H721" s="1819"/>
      <c r="I721" s="1819"/>
      <c r="J721" s="1819"/>
      <c r="K721" s="1819"/>
      <c r="L721" s="544">
        <v>98704.7</v>
      </c>
      <c r="M721" s="543"/>
      <c r="N721" s="681"/>
      <c r="V721" s="674"/>
      <c r="W721" s="675"/>
      <c r="AC721" s="675"/>
      <c r="AD721" s="675"/>
      <c r="AF721" s="675" t="s">
        <v>1803</v>
      </c>
      <c r="AG721" s="675"/>
    </row>
    <row r="722" spans="1:33" s="536" customFormat="1" ht="12" x14ac:dyDescent="0.2">
      <c r="A722" s="548"/>
      <c r="B722" s="552"/>
      <c r="C722" s="1822" t="s">
        <v>204</v>
      </c>
      <c r="D722" s="1822"/>
      <c r="E722" s="1822"/>
      <c r="F722" s="1822"/>
      <c r="G722" s="1822"/>
      <c r="H722" s="1822"/>
      <c r="I722" s="1822"/>
      <c r="J722" s="1822"/>
      <c r="K722" s="1822"/>
      <c r="L722" s="551"/>
      <c r="M722" s="550"/>
      <c r="N722" s="549"/>
      <c r="V722" s="674"/>
      <c r="W722" s="675"/>
      <c r="AC722" s="675"/>
      <c r="AD722" s="675"/>
      <c r="AE722" s="537" t="s">
        <v>204</v>
      </c>
      <c r="AF722" s="675"/>
      <c r="AG722" s="675"/>
    </row>
    <row r="723" spans="1:33" s="536" customFormat="1" ht="12" x14ac:dyDescent="0.2">
      <c r="A723" s="548"/>
      <c r="B723" s="552"/>
      <c r="C723" s="1822" t="s">
        <v>8095</v>
      </c>
      <c r="D723" s="1822"/>
      <c r="E723" s="1822"/>
      <c r="F723" s="1822"/>
      <c r="G723" s="1822"/>
      <c r="H723" s="1822"/>
      <c r="I723" s="1822"/>
      <c r="J723" s="1822"/>
      <c r="K723" s="1822"/>
      <c r="L723" s="551">
        <v>68895.67</v>
      </c>
      <c r="M723" s="550"/>
      <c r="N723" s="549"/>
      <c r="V723" s="674"/>
      <c r="W723" s="675"/>
      <c r="AC723" s="675"/>
      <c r="AD723" s="675"/>
      <c r="AE723" s="537" t="s">
        <v>8095</v>
      </c>
      <c r="AF723" s="675"/>
      <c r="AG723" s="675"/>
    </row>
    <row r="724" spans="1:33" s="536" customFormat="1" ht="12" x14ac:dyDescent="0.2">
      <c r="A724" s="548"/>
      <c r="B724" s="552"/>
      <c r="C724" s="1822" t="s">
        <v>8097</v>
      </c>
      <c r="D724" s="1822"/>
      <c r="E724" s="1822"/>
      <c r="F724" s="1822"/>
      <c r="G724" s="1822"/>
      <c r="H724" s="1822"/>
      <c r="I724" s="1822"/>
      <c r="J724" s="1822"/>
      <c r="K724" s="1822"/>
      <c r="L724" s="551">
        <v>854.68</v>
      </c>
      <c r="M724" s="550"/>
      <c r="N724" s="549"/>
      <c r="V724" s="674"/>
      <c r="W724" s="675"/>
      <c r="AC724" s="675"/>
      <c r="AD724" s="675"/>
      <c r="AE724" s="537" t="s">
        <v>8097</v>
      </c>
      <c r="AF724" s="675"/>
      <c r="AG724" s="675"/>
    </row>
    <row r="725" spans="1:33" s="536" customFormat="1" ht="12" x14ac:dyDescent="0.2">
      <c r="A725" s="1824" t="s">
        <v>1124</v>
      </c>
      <c r="B725" s="1825"/>
      <c r="C725" s="1825"/>
      <c r="D725" s="1825"/>
      <c r="E725" s="1825"/>
      <c r="F725" s="1825"/>
      <c r="G725" s="1825"/>
      <c r="H725" s="1825"/>
      <c r="I725" s="1825"/>
      <c r="J725" s="1825"/>
      <c r="K725" s="1825"/>
      <c r="L725" s="1825"/>
      <c r="M725" s="1825"/>
      <c r="N725" s="1826"/>
      <c r="V725" s="674" t="s">
        <v>1124</v>
      </c>
      <c r="W725" s="675"/>
      <c r="AC725" s="675"/>
      <c r="AD725" s="675"/>
      <c r="AF725" s="675"/>
      <c r="AG725" s="675"/>
    </row>
    <row r="726" spans="1:33" s="536" customFormat="1" ht="67.5" x14ac:dyDescent="0.2">
      <c r="A726" s="575" t="s">
        <v>1484</v>
      </c>
      <c r="B726" s="657" t="s">
        <v>1503</v>
      </c>
      <c r="C726" s="1823" t="s">
        <v>1804</v>
      </c>
      <c r="D726" s="1823"/>
      <c r="E726" s="1823"/>
      <c r="F726" s="573" t="s">
        <v>201</v>
      </c>
      <c r="G726" s="573"/>
      <c r="H726" s="573"/>
      <c r="I726" s="573" t="s">
        <v>1996</v>
      </c>
      <c r="J726" s="572">
        <v>127.09</v>
      </c>
      <c r="K726" s="573"/>
      <c r="L726" s="572">
        <v>21.99</v>
      </c>
      <c r="M726" s="571"/>
      <c r="N726" s="570"/>
      <c r="V726" s="674"/>
      <c r="W726" s="675" t="s">
        <v>1804</v>
      </c>
      <c r="AC726" s="675"/>
      <c r="AD726" s="675"/>
      <c r="AF726" s="675"/>
      <c r="AG726" s="675"/>
    </row>
    <row r="727" spans="1:33" s="536" customFormat="1" ht="12" x14ac:dyDescent="0.2">
      <c r="A727" s="569"/>
      <c r="B727" s="656"/>
      <c r="C727" s="661" t="s">
        <v>1658</v>
      </c>
      <c r="D727" s="662"/>
      <c r="E727" s="662"/>
      <c r="F727" s="563"/>
      <c r="G727" s="563"/>
      <c r="H727" s="563"/>
      <c r="I727" s="563"/>
      <c r="J727" s="566"/>
      <c r="K727" s="563"/>
      <c r="L727" s="566"/>
      <c r="M727" s="565"/>
      <c r="N727" s="564"/>
      <c r="V727" s="674"/>
      <c r="W727" s="675"/>
      <c r="AC727" s="675"/>
      <c r="AD727" s="675"/>
      <c r="AF727" s="675"/>
      <c r="AG727" s="675"/>
    </row>
    <row r="728" spans="1:33" s="536" customFormat="1" ht="12" x14ac:dyDescent="0.2">
      <c r="A728" s="676"/>
      <c r="B728" s="655"/>
      <c r="C728" s="1822" t="s">
        <v>2428</v>
      </c>
      <c r="D728" s="1822"/>
      <c r="E728" s="1822"/>
      <c r="F728" s="1822"/>
      <c r="G728" s="1822"/>
      <c r="H728" s="1822"/>
      <c r="I728" s="1822"/>
      <c r="J728" s="1822"/>
      <c r="K728" s="1822"/>
      <c r="L728" s="1822"/>
      <c r="M728" s="1822"/>
      <c r="N728" s="1827"/>
      <c r="V728" s="674"/>
      <c r="W728" s="675"/>
      <c r="X728" s="537" t="s">
        <v>2428</v>
      </c>
      <c r="AC728" s="675"/>
      <c r="AD728" s="675"/>
      <c r="AF728" s="675"/>
      <c r="AG728" s="675"/>
    </row>
    <row r="729" spans="1:33" s="536" customFormat="1" ht="67.5" x14ac:dyDescent="0.2">
      <c r="A729" s="575" t="s">
        <v>559</v>
      </c>
      <c r="B729" s="657" t="s">
        <v>1497</v>
      </c>
      <c r="C729" s="1823" t="s">
        <v>2429</v>
      </c>
      <c r="D729" s="1823"/>
      <c r="E729" s="1823"/>
      <c r="F729" s="573" t="s">
        <v>201</v>
      </c>
      <c r="G729" s="573"/>
      <c r="H729" s="573"/>
      <c r="I729" s="573" t="s">
        <v>1505</v>
      </c>
      <c r="J729" s="572">
        <v>76.88</v>
      </c>
      <c r="K729" s="573"/>
      <c r="L729" s="572">
        <v>0.85</v>
      </c>
      <c r="M729" s="571"/>
      <c r="N729" s="570"/>
      <c r="V729" s="674"/>
      <c r="W729" s="675" t="s">
        <v>2429</v>
      </c>
      <c r="AC729" s="675"/>
      <c r="AD729" s="675"/>
      <c r="AF729" s="675"/>
      <c r="AG729" s="675"/>
    </row>
    <row r="730" spans="1:33" s="536" customFormat="1" ht="12" x14ac:dyDescent="0.2">
      <c r="A730" s="569"/>
      <c r="B730" s="656"/>
      <c r="C730" s="661" t="s">
        <v>1658</v>
      </c>
      <c r="D730" s="662"/>
      <c r="E730" s="662"/>
      <c r="F730" s="563"/>
      <c r="G730" s="563"/>
      <c r="H730" s="563"/>
      <c r="I730" s="563"/>
      <c r="J730" s="566"/>
      <c r="K730" s="563"/>
      <c r="L730" s="566"/>
      <c r="M730" s="565"/>
      <c r="N730" s="564"/>
      <c r="V730" s="674"/>
      <c r="W730" s="675"/>
      <c r="AC730" s="675"/>
      <c r="AD730" s="675"/>
      <c r="AF730" s="675"/>
      <c r="AG730" s="675"/>
    </row>
    <row r="731" spans="1:33" s="536" customFormat="1" ht="12" x14ac:dyDescent="0.2">
      <c r="A731" s="676"/>
      <c r="B731" s="655"/>
      <c r="C731" s="1822" t="s">
        <v>2430</v>
      </c>
      <c r="D731" s="1822"/>
      <c r="E731" s="1822"/>
      <c r="F731" s="1822"/>
      <c r="G731" s="1822"/>
      <c r="H731" s="1822"/>
      <c r="I731" s="1822"/>
      <c r="J731" s="1822"/>
      <c r="K731" s="1822"/>
      <c r="L731" s="1822"/>
      <c r="M731" s="1822"/>
      <c r="N731" s="1827"/>
      <c r="V731" s="674"/>
      <c r="W731" s="675"/>
      <c r="X731" s="537" t="s">
        <v>2430</v>
      </c>
      <c r="AC731" s="675"/>
      <c r="AD731" s="675"/>
      <c r="AF731" s="675"/>
      <c r="AG731" s="675"/>
    </row>
    <row r="732" spans="1:33" s="536" customFormat="1" ht="1.5" customHeight="1" x14ac:dyDescent="0.2">
      <c r="A732" s="563"/>
      <c r="B732" s="656"/>
      <c r="C732" s="656"/>
      <c r="D732" s="656"/>
      <c r="E732" s="656"/>
      <c r="F732" s="563"/>
      <c r="G732" s="563"/>
      <c r="H732" s="563"/>
      <c r="I732" s="563"/>
      <c r="J732" s="546"/>
      <c r="K732" s="563"/>
      <c r="L732" s="546"/>
      <c r="M732" s="562"/>
      <c r="N732" s="546"/>
      <c r="V732" s="674"/>
      <c r="W732" s="675"/>
      <c r="AC732" s="675"/>
      <c r="AD732" s="675"/>
      <c r="AF732" s="675"/>
      <c r="AG732" s="675"/>
    </row>
    <row r="733" spans="1:33" s="536" customFormat="1" ht="22.5" x14ac:dyDescent="0.2">
      <c r="A733" s="557"/>
      <c r="B733" s="556"/>
      <c r="C733" s="1823" t="s">
        <v>1138</v>
      </c>
      <c r="D733" s="1823"/>
      <c r="E733" s="1823"/>
      <c r="F733" s="1823"/>
      <c r="G733" s="1823"/>
      <c r="H733" s="1823"/>
      <c r="I733" s="1823"/>
      <c r="J733" s="1823"/>
      <c r="K733" s="1823"/>
      <c r="L733" s="555"/>
      <c r="M733" s="554"/>
      <c r="N733" s="553"/>
      <c r="V733" s="674"/>
      <c r="W733" s="675"/>
      <c r="AC733" s="675"/>
      <c r="AD733" s="675" t="s">
        <v>1138</v>
      </c>
      <c r="AF733" s="675"/>
      <c r="AG733" s="675"/>
    </row>
    <row r="734" spans="1:33" s="536" customFormat="1" ht="12" x14ac:dyDescent="0.2">
      <c r="A734" s="548"/>
      <c r="B734" s="552"/>
      <c r="C734" s="1822" t="s">
        <v>403</v>
      </c>
      <c r="D734" s="1822"/>
      <c r="E734" s="1822"/>
      <c r="F734" s="1822"/>
      <c r="G734" s="1822"/>
      <c r="H734" s="1822"/>
      <c r="I734" s="1822"/>
      <c r="J734" s="1822"/>
      <c r="K734" s="1822"/>
      <c r="L734" s="551">
        <v>22.84</v>
      </c>
      <c r="M734" s="550"/>
      <c r="N734" s="549"/>
      <c r="V734" s="674"/>
      <c r="W734" s="675"/>
      <c r="AC734" s="675"/>
      <c r="AD734" s="675"/>
      <c r="AE734" s="537" t="s">
        <v>403</v>
      </c>
      <c r="AF734" s="675"/>
      <c r="AG734" s="675"/>
    </row>
    <row r="735" spans="1:33" s="536" customFormat="1" ht="12" x14ac:dyDescent="0.2">
      <c r="A735" s="548"/>
      <c r="B735" s="552"/>
      <c r="C735" s="1822" t="s">
        <v>204</v>
      </c>
      <c r="D735" s="1822"/>
      <c r="E735" s="1822"/>
      <c r="F735" s="1822"/>
      <c r="G735" s="1822"/>
      <c r="H735" s="1822"/>
      <c r="I735" s="1822"/>
      <c r="J735" s="1822"/>
      <c r="K735" s="1822"/>
      <c r="L735" s="551"/>
      <c r="M735" s="550"/>
      <c r="N735" s="549"/>
      <c r="V735" s="674"/>
      <c r="W735" s="675"/>
      <c r="AC735" s="675"/>
      <c r="AD735" s="675"/>
      <c r="AE735" s="537" t="s">
        <v>204</v>
      </c>
      <c r="AF735" s="675"/>
      <c r="AG735" s="675"/>
    </row>
    <row r="736" spans="1:33" s="536" customFormat="1" ht="12" x14ac:dyDescent="0.2">
      <c r="A736" s="548"/>
      <c r="B736" s="552"/>
      <c r="C736" s="1822" t="s">
        <v>480</v>
      </c>
      <c r="D736" s="1822"/>
      <c r="E736" s="1822"/>
      <c r="F736" s="1822"/>
      <c r="G736" s="1822"/>
      <c r="H736" s="1822"/>
      <c r="I736" s="1822"/>
      <c r="J736" s="1822"/>
      <c r="K736" s="1822"/>
      <c r="L736" s="551">
        <v>22.84</v>
      </c>
      <c r="M736" s="550"/>
      <c r="N736" s="549"/>
      <c r="V736" s="674"/>
      <c r="W736" s="675"/>
      <c r="AC736" s="675"/>
      <c r="AD736" s="675"/>
      <c r="AE736" s="537" t="s">
        <v>480</v>
      </c>
      <c r="AF736" s="675"/>
      <c r="AG736" s="675"/>
    </row>
    <row r="737" spans="1:35" s="536" customFormat="1" ht="12" x14ac:dyDescent="0.2">
      <c r="A737" s="548"/>
      <c r="B737" s="552"/>
      <c r="C737" s="1822" t="s">
        <v>753</v>
      </c>
      <c r="D737" s="1822"/>
      <c r="E737" s="1822"/>
      <c r="F737" s="1822"/>
      <c r="G737" s="1822"/>
      <c r="H737" s="1822"/>
      <c r="I737" s="1822"/>
      <c r="J737" s="1822"/>
      <c r="K737" s="1822"/>
      <c r="L737" s="551">
        <v>22.84</v>
      </c>
      <c r="M737" s="550"/>
      <c r="N737" s="549"/>
      <c r="V737" s="674"/>
      <c r="W737" s="675"/>
      <c r="AC737" s="675"/>
      <c r="AD737" s="675"/>
      <c r="AE737" s="537" t="s">
        <v>753</v>
      </c>
      <c r="AF737" s="675"/>
      <c r="AG737" s="675"/>
    </row>
    <row r="738" spans="1:35" s="536" customFormat="1" ht="12" x14ac:dyDescent="0.2">
      <c r="A738" s="548"/>
      <c r="B738" s="552"/>
      <c r="C738" s="1822" t="s">
        <v>204</v>
      </c>
      <c r="D738" s="1822"/>
      <c r="E738" s="1822"/>
      <c r="F738" s="1822"/>
      <c r="G738" s="1822"/>
      <c r="H738" s="1822"/>
      <c r="I738" s="1822"/>
      <c r="J738" s="1822"/>
      <c r="K738" s="1822"/>
      <c r="L738" s="551"/>
      <c r="M738" s="550"/>
      <c r="N738" s="549"/>
      <c r="V738" s="674"/>
      <c r="W738" s="675"/>
      <c r="AC738" s="675"/>
      <c r="AD738" s="675"/>
      <c r="AE738" s="537" t="s">
        <v>204</v>
      </c>
      <c r="AF738" s="675"/>
      <c r="AG738" s="675"/>
    </row>
    <row r="739" spans="1:35" s="536" customFormat="1" ht="12" x14ac:dyDescent="0.2">
      <c r="A739" s="548"/>
      <c r="B739" s="552"/>
      <c r="C739" s="1822" t="s">
        <v>547</v>
      </c>
      <c r="D739" s="1822"/>
      <c r="E739" s="1822"/>
      <c r="F739" s="1822"/>
      <c r="G739" s="1822"/>
      <c r="H739" s="1822"/>
      <c r="I739" s="1822"/>
      <c r="J739" s="1822"/>
      <c r="K739" s="1822"/>
      <c r="L739" s="551">
        <v>22.84</v>
      </c>
      <c r="M739" s="550"/>
      <c r="N739" s="549"/>
      <c r="V739" s="674"/>
      <c r="W739" s="675"/>
      <c r="AC739" s="675"/>
      <c r="AD739" s="675"/>
      <c r="AE739" s="537" t="s">
        <v>547</v>
      </c>
      <c r="AF739" s="675"/>
      <c r="AG739" s="675"/>
    </row>
    <row r="740" spans="1:35" s="536" customFormat="1" ht="22.5" x14ac:dyDescent="0.2">
      <c r="A740" s="548"/>
      <c r="B740" s="546"/>
      <c r="C740" s="1819" t="s">
        <v>1139</v>
      </c>
      <c r="D740" s="1819"/>
      <c r="E740" s="1819"/>
      <c r="F740" s="1819"/>
      <c r="G740" s="1819"/>
      <c r="H740" s="1819"/>
      <c r="I740" s="1819"/>
      <c r="J740" s="1819"/>
      <c r="K740" s="1819"/>
      <c r="L740" s="544">
        <v>22.84</v>
      </c>
      <c r="M740" s="543"/>
      <c r="N740" s="681"/>
      <c r="V740" s="674"/>
      <c r="W740" s="675"/>
      <c r="AC740" s="675"/>
      <c r="AD740" s="675"/>
      <c r="AF740" s="675" t="s">
        <v>1139</v>
      </c>
      <c r="AG740" s="675"/>
    </row>
    <row r="741" spans="1:35" s="536" customFormat="1" ht="2.25" customHeight="1" x14ac:dyDescent="0.2">
      <c r="B741" s="561"/>
      <c r="C741" s="561"/>
      <c r="D741" s="561"/>
      <c r="E741" s="561"/>
      <c r="F741" s="561"/>
      <c r="G741" s="561"/>
      <c r="H741" s="561"/>
      <c r="I741" s="561"/>
      <c r="J741" s="561"/>
      <c r="K741" s="561"/>
      <c r="L741" s="560"/>
      <c r="M741" s="559"/>
      <c r="N741" s="558"/>
    </row>
    <row r="742" spans="1:35" s="536" customFormat="1" x14ac:dyDescent="0.2">
      <c r="A742" s="557"/>
      <c r="B742" s="556"/>
      <c r="C742" s="1823" t="s">
        <v>205</v>
      </c>
      <c r="D742" s="1823"/>
      <c r="E742" s="1823"/>
      <c r="F742" s="1823"/>
      <c r="G742" s="1823"/>
      <c r="H742" s="1823"/>
      <c r="I742" s="1823"/>
      <c r="J742" s="1823"/>
      <c r="K742" s="1823"/>
      <c r="L742" s="555"/>
      <c r="M742" s="554"/>
      <c r="N742" s="553"/>
      <c r="AH742" s="675" t="s">
        <v>205</v>
      </c>
    </row>
    <row r="743" spans="1:35" s="536" customFormat="1" x14ac:dyDescent="0.2">
      <c r="A743" s="548"/>
      <c r="B743" s="552"/>
      <c r="C743" s="1822" t="s">
        <v>403</v>
      </c>
      <c r="D743" s="1822"/>
      <c r="E743" s="1822"/>
      <c r="F743" s="1822"/>
      <c r="G743" s="1822"/>
      <c r="H743" s="1822"/>
      <c r="I743" s="1822"/>
      <c r="J743" s="1822"/>
      <c r="K743" s="1822"/>
      <c r="L743" s="551">
        <v>89306.46</v>
      </c>
      <c r="M743" s="550"/>
      <c r="N743" s="549"/>
      <c r="AH743" s="675"/>
      <c r="AI743" s="537" t="s">
        <v>403</v>
      </c>
    </row>
    <row r="744" spans="1:35" s="536" customFormat="1" x14ac:dyDescent="0.2">
      <c r="A744" s="548"/>
      <c r="B744" s="552"/>
      <c r="C744" s="1822" t="s">
        <v>204</v>
      </c>
      <c r="D744" s="1822"/>
      <c r="E744" s="1822"/>
      <c r="F744" s="1822"/>
      <c r="G744" s="1822"/>
      <c r="H744" s="1822"/>
      <c r="I744" s="1822"/>
      <c r="J744" s="1822"/>
      <c r="K744" s="1822"/>
      <c r="L744" s="551"/>
      <c r="M744" s="550"/>
      <c r="N744" s="549"/>
      <c r="AH744" s="675"/>
      <c r="AI744" s="537" t="s">
        <v>204</v>
      </c>
    </row>
    <row r="745" spans="1:35" s="536" customFormat="1" x14ac:dyDescent="0.2">
      <c r="A745" s="548"/>
      <c r="B745" s="552"/>
      <c r="C745" s="1822" t="s">
        <v>404</v>
      </c>
      <c r="D745" s="1822"/>
      <c r="E745" s="1822"/>
      <c r="F745" s="1822"/>
      <c r="G745" s="1822"/>
      <c r="H745" s="1822"/>
      <c r="I745" s="1822"/>
      <c r="J745" s="1822"/>
      <c r="K745" s="1822"/>
      <c r="L745" s="551">
        <v>6416.37</v>
      </c>
      <c r="M745" s="550"/>
      <c r="N745" s="549"/>
      <c r="AH745" s="675"/>
      <c r="AI745" s="537" t="s">
        <v>404</v>
      </c>
    </row>
    <row r="746" spans="1:35" s="536" customFormat="1" x14ac:dyDescent="0.2">
      <c r="A746" s="548"/>
      <c r="B746" s="552"/>
      <c r="C746" s="1822" t="s">
        <v>405</v>
      </c>
      <c r="D746" s="1822"/>
      <c r="E746" s="1822"/>
      <c r="F746" s="1822"/>
      <c r="G746" s="1822"/>
      <c r="H746" s="1822"/>
      <c r="I746" s="1822"/>
      <c r="J746" s="1822"/>
      <c r="K746" s="1822"/>
      <c r="L746" s="551">
        <v>3349.14</v>
      </c>
      <c r="M746" s="550"/>
      <c r="N746" s="549"/>
      <c r="AH746" s="675"/>
      <c r="AI746" s="537" t="s">
        <v>405</v>
      </c>
    </row>
    <row r="747" spans="1:35" s="536" customFormat="1" x14ac:dyDescent="0.2">
      <c r="A747" s="548"/>
      <c r="B747" s="552"/>
      <c r="C747" s="1822" t="s">
        <v>406</v>
      </c>
      <c r="D747" s="1822"/>
      <c r="E747" s="1822"/>
      <c r="F747" s="1822"/>
      <c r="G747" s="1822"/>
      <c r="H747" s="1822"/>
      <c r="I747" s="1822"/>
      <c r="J747" s="1822"/>
      <c r="K747" s="1822"/>
      <c r="L747" s="551">
        <v>323.45</v>
      </c>
      <c r="M747" s="550"/>
      <c r="N747" s="549"/>
      <c r="AH747" s="675"/>
      <c r="AI747" s="537" t="s">
        <v>406</v>
      </c>
    </row>
    <row r="748" spans="1:35" s="536" customFormat="1" x14ac:dyDescent="0.2">
      <c r="A748" s="548"/>
      <c r="B748" s="552"/>
      <c r="C748" s="1822" t="s">
        <v>480</v>
      </c>
      <c r="D748" s="1822"/>
      <c r="E748" s="1822"/>
      <c r="F748" s="1822"/>
      <c r="G748" s="1822"/>
      <c r="H748" s="1822"/>
      <c r="I748" s="1822"/>
      <c r="J748" s="1822"/>
      <c r="K748" s="1822"/>
      <c r="L748" s="551">
        <v>79540.95</v>
      </c>
      <c r="M748" s="550"/>
      <c r="N748" s="549"/>
      <c r="AH748" s="675"/>
      <c r="AI748" s="537" t="s">
        <v>480</v>
      </c>
    </row>
    <row r="749" spans="1:35" s="536" customFormat="1" x14ac:dyDescent="0.2">
      <c r="A749" s="548"/>
      <c r="B749" s="552" t="s">
        <v>185</v>
      </c>
      <c r="C749" s="1822" t="s">
        <v>407</v>
      </c>
      <c r="D749" s="1822"/>
      <c r="E749" s="1822"/>
      <c r="F749" s="1822"/>
      <c r="G749" s="1822"/>
      <c r="H749" s="1822"/>
      <c r="I749" s="1822"/>
      <c r="J749" s="1822"/>
      <c r="K749" s="1822"/>
      <c r="L749" s="551">
        <v>2368.65</v>
      </c>
      <c r="M749" s="550">
        <v>8.32</v>
      </c>
      <c r="N749" s="549">
        <v>19707</v>
      </c>
      <c r="AH749" s="675"/>
      <c r="AI749" s="537" t="s">
        <v>407</v>
      </c>
    </row>
    <row r="750" spans="1:35" s="536" customFormat="1" x14ac:dyDescent="0.2">
      <c r="A750" s="548"/>
      <c r="B750" s="552"/>
      <c r="C750" s="1822" t="s">
        <v>204</v>
      </c>
      <c r="D750" s="1822"/>
      <c r="E750" s="1822"/>
      <c r="F750" s="1822"/>
      <c r="G750" s="1822"/>
      <c r="H750" s="1822"/>
      <c r="I750" s="1822"/>
      <c r="J750" s="1822"/>
      <c r="K750" s="1822"/>
      <c r="L750" s="551"/>
      <c r="M750" s="550"/>
      <c r="N750" s="549"/>
      <c r="AH750" s="675"/>
      <c r="AI750" s="537" t="s">
        <v>204</v>
      </c>
    </row>
    <row r="751" spans="1:35" s="536" customFormat="1" x14ac:dyDescent="0.2">
      <c r="A751" s="548"/>
      <c r="B751" s="552"/>
      <c r="C751" s="1822" t="s">
        <v>546</v>
      </c>
      <c r="D751" s="1822"/>
      <c r="E751" s="1822"/>
      <c r="F751" s="1822"/>
      <c r="G751" s="1822"/>
      <c r="H751" s="1822"/>
      <c r="I751" s="1822"/>
      <c r="J751" s="1822"/>
      <c r="K751" s="1822"/>
      <c r="L751" s="551">
        <v>997.59</v>
      </c>
      <c r="M751" s="550"/>
      <c r="N751" s="549"/>
      <c r="AH751" s="675"/>
      <c r="AI751" s="537" t="s">
        <v>546</v>
      </c>
    </row>
    <row r="752" spans="1:35" s="536" customFormat="1" x14ac:dyDescent="0.2">
      <c r="A752" s="548"/>
      <c r="B752" s="552"/>
      <c r="C752" s="1822" t="s">
        <v>442</v>
      </c>
      <c r="D752" s="1822"/>
      <c r="E752" s="1822"/>
      <c r="F752" s="1822"/>
      <c r="G752" s="1822"/>
      <c r="H752" s="1822"/>
      <c r="I752" s="1822"/>
      <c r="J752" s="1822"/>
      <c r="K752" s="1822"/>
      <c r="L752" s="551">
        <v>70.7</v>
      </c>
      <c r="M752" s="550"/>
      <c r="N752" s="549"/>
      <c r="AH752" s="675"/>
      <c r="AI752" s="537" t="s">
        <v>442</v>
      </c>
    </row>
    <row r="753" spans="1:36" x14ac:dyDescent="0.2">
      <c r="A753" s="548"/>
      <c r="B753" s="552"/>
      <c r="C753" s="1822" t="s">
        <v>443</v>
      </c>
      <c r="D753" s="1822"/>
      <c r="E753" s="1822"/>
      <c r="F753" s="1822"/>
      <c r="G753" s="1822"/>
      <c r="H753" s="1822"/>
      <c r="I753" s="1822"/>
      <c r="J753" s="1822"/>
      <c r="K753" s="1822"/>
      <c r="L753" s="551">
        <v>895.89</v>
      </c>
      <c r="M753" s="550"/>
      <c r="N753" s="549"/>
      <c r="P753" s="536"/>
      <c r="Q753" s="536"/>
      <c r="R753" s="536"/>
      <c r="S753" s="536"/>
      <c r="T753" s="536"/>
      <c r="U753" s="536"/>
      <c r="V753" s="536"/>
      <c r="W753" s="536"/>
      <c r="X753" s="536"/>
      <c r="Y753" s="536"/>
      <c r="Z753" s="536"/>
      <c r="AA753" s="536"/>
      <c r="AB753" s="536"/>
      <c r="AC753" s="536"/>
      <c r="AD753" s="536"/>
      <c r="AE753" s="536"/>
      <c r="AF753" s="536"/>
      <c r="AG753" s="536"/>
      <c r="AH753" s="675"/>
      <c r="AI753" s="537" t="s">
        <v>443</v>
      </c>
      <c r="AJ753" s="536"/>
    </row>
    <row r="754" spans="1:36" x14ac:dyDescent="0.2">
      <c r="A754" s="548"/>
      <c r="B754" s="552"/>
      <c r="C754" s="1822" t="s">
        <v>444</v>
      </c>
      <c r="D754" s="1822"/>
      <c r="E754" s="1822"/>
      <c r="F754" s="1822"/>
      <c r="G754" s="1822"/>
      <c r="H754" s="1822"/>
      <c r="I754" s="1822"/>
      <c r="J754" s="1822"/>
      <c r="K754" s="1822"/>
      <c r="L754" s="551">
        <v>404.47</v>
      </c>
      <c r="M754" s="550"/>
      <c r="N754" s="549"/>
      <c r="P754" s="536"/>
      <c r="Q754" s="536"/>
      <c r="R754" s="536"/>
      <c r="S754" s="536"/>
      <c r="T754" s="536"/>
      <c r="U754" s="536"/>
      <c r="V754" s="536"/>
      <c r="W754" s="536"/>
      <c r="X754" s="536"/>
      <c r="Y754" s="536"/>
      <c r="Z754" s="536"/>
      <c r="AA754" s="536"/>
      <c r="AB754" s="536"/>
      <c r="AC754" s="536"/>
      <c r="AD754" s="536"/>
      <c r="AE754" s="536"/>
      <c r="AF754" s="536"/>
      <c r="AG754" s="536"/>
      <c r="AH754" s="675"/>
      <c r="AI754" s="537" t="s">
        <v>444</v>
      </c>
      <c r="AJ754" s="536"/>
    </row>
    <row r="755" spans="1:36" x14ac:dyDescent="0.2">
      <c r="A755" s="548"/>
      <c r="B755" s="552" t="s">
        <v>185</v>
      </c>
      <c r="C755" s="1822" t="s">
        <v>753</v>
      </c>
      <c r="D755" s="1822"/>
      <c r="E755" s="1822"/>
      <c r="F755" s="1822"/>
      <c r="G755" s="1822"/>
      <c r="H755" s="1822"/>
      <c r="I755" s="1822"/>
      <c r="J755" s="1822"/>
      <c r="K755" s="1822"/>
      <c r="L755" s="551">
        <v>96647.92</v>
      </c>
      <c r="M755" s="550">
        <v>8.32</v>
      </c>
      <c r="N755" s="549">
        <v>804111</v>
      </c>
      <c r="P755" s="536"/>
      <c r="Q755" s="536"/>
      <c r="R755" s="536"/>
      <c r="S755" s="536"/>
      <c r="T755" s="536"/>
      <c r="U755" s="536"/>
      <c r="V755" s="536"/>
      <c r="W755" s="536"/>
      <c r="X755" s="536"/>
      <c r="Y755" s="536"/>
      <c r="Z755" s="536"/>
      <c r="AA755" s="536"/>
      <c r="AB755" s="536"/>
      <c r="AC755" s="536"/>
      <c r="AD755" s="536"/>
      <c r="AE755" s="536"/>
      <c r="AF755" s="536"/>
      <c r="AG755" s="536"/>
      <c r="AH755" s="675"/>
      <c r="AI755" s="537" t="s">
        <v>753</v>
      </c>
      <c r="AJ755" s="536"/>
    </row>
    <row r="756" spans="1:36" x14ac:dyDescent="0.2">
      <c r="A756" s="548"/>
      <c r="B756" s="552"/>
      <c r="C756" s="1822" t="s">
        <v>204</v>
      </c>
      <c r="D756" s="1822"/>
      <c r="E756" s="1822"/>
      <c r="F756" s="1822"/>
      <c r="G756" s="1822"/>
      <c r="H756" s="1822"/>
      <c r="I756" s="1822"/>
      <c r="J756" s="1822"/>
      <c r="K756" s="1822"/>
      <c r="L756" s="551"/>
      <c r="M756" s="550"/>
      <c r="N756" s="549"/>
      <c r="P756" s="536"/>
      <c r="Q756" s="536"/>
      <c r="R756" s="536"/>
      <c r="S756" s="536"/>
      <c r="T756" s="536"/>
      <c r="U756" s="536"/>
      <c r="V756" s="536"/>
      <c r="W756" s="536"/>
      <c r="X756" s="536"/>
      <c r="Y756" s="536"/>
      <c r="Z756" s="536"/>
      <c r="AA756" s="536"/>
      <c r="AB756" s="536"/>
      <c r="AC756" s="536"/>
      <c r="AD756" s="536"/>
      <c r="AE756" s="536"/>
      <c r="AF756" s="536"/>
      <c r="AG756" s="536"/>
      <c r="AH756" s="675"/>
      <c r="AI756" s="537" t="s">
        <v>204</v>
      </c>
      <c r="AJ756" s="536"/>
    </row>
    <row r="757" spans="1:36" x14ac:dyDescent="0.2">
      <c r="A757" s="548"/>
      <c r="B757" s="552"/>
      <c r="C757" s="1822" t="s">
        <v>546</v>
      </c>
      <c r="D757" s="1822"/>
      <c r="E757" s="1822"/>
      <c r="F757" s="1822"/>
      <c r="G757" s="1822"/>
      <c r="H757" s="1822"/>
      <c r="I757" s="1822"/>
      <c r="J757" s="1822"/>
      <c r="K757" s="1822"/>
      <c r="L757" s="551">
        <v>5418.78</v>
      </c>
      <c r="M757" s="550"/>
      <c r="N757" s="549"/>
      <c r="P757" s="536"/>
      <c r="Q757" s="536"/>
      <c r="R757" s="536"/>
      <c r="S757" s="536"/>
      <c r="T757" s="536"/>
      <c r="U757" s="536"/>
      <c r="V757" s="536"/>
      <c r="W757" s="536"/>
      <c r="X757" s="536"/>
      <c r="Y757" s="536"/>
      <c r="Z757" s="536"/>
      <c r="AA757" s="536"/>
      <c r="AB757" s="536"/>
      <c r="AC757" s="536"/>
      <c r="AD757" s="536"/>
      <c r="AE757" s="536"/>
      <c r="AF757" s="536"/>
      <c r="AG757" s="536"/>
      <c r="AH757" s="675"/>
      <c r="AI757" s="537" t="s">
        <v>546</v>
      </c>
      <c r="AJ757" s="536"/>
    </row>
    <row r="758" spans="1:36" x14ac:dyDescent="0.2">
      <c r="A758" s="548"/>
      <c r="B758" s="552"/>
      <c r="C758" s="1822" t="s">
        <v>442</v>
      </c>
      <c r="D758" s="1822"/>
      <c r="E758" s="1822"/>
      <c r="F758" s="1822"/>
      <c r="G758" s="1822"/>
      <c r="H758" s="1822"/>
      <c r="I758" s="1822"/>
      <c r="J758" s="1822"/>
      <c r="K758" s="1822"/>
      <c r="L758" s="551">
        <v>3278.44</v>
      </c>
      <c r="M758" s="550"/>
      <c r="N758" s="549"/>
      <c r="P758" s="536"/>
      <c r="Q758" s="536"/>
      <c r="R758" s="536"/>
      <c r="S758" s="536"/>
      <c r="T758" s="536"/>
      <c r="U758" s="536"/>
      <c r="V758" s="536"/>
      <c r="W758" s="536"/>
      <c r="X758" s="536"/>
      <c r="Y758" s="536"/>
      <c r="Z758" s="536"/>
      <c r="AA758" s="536"/>
      <c r="AB758" s="536"/>
      <c r="AC758" s="536"/>
      <c r="AD758" s="536"/>
      <c r="AE758" s="536"/>
      <c r="AF758" s="536"/>
      <c r="AG758" s="536"/>
      <c r="AH758" s="675"/>
      <c r="AI758" s="537" t="s">
        <v>442</v>
      </c>
      <c r="AJ758" s="536"/>
    </row>
    <row r="759" spans="1:36" x14ac:dyDescent="0.2">
      <c r="A759" s="548"/>
      <c r="B759" s="552"/>
      <c r="C759" s="1822" t="s">
        <v>547</v>
      </c>
      <c r="D759" s="1822"/>
      <c r="E759" s="1822"/>
      <c r="F759" s="1822"/>
      <c r="G759" s="1822"/>
      <c r="H759" s="1822"/>
      <c r="I759" s="1822"/>
      <c r="J759" s="1822"/>
      <c r="K759" s="1822"/>
      <c r="L759" s="551">
        <v>79540.95</v>
      </c>
      <c r="M759" s="550"/>
      <c r="N759" s="549"/>
      <c r="P759" s="536"/>
      <c r="Q759" s="536"/>
      <c r="R759" s="536"/>
      <c r="S759" s="536"/>
      <c r="T759" s="536"/>
      <c r="U759" s="536"/>
      <c r="V759" s="536"/>
      <c r="W759" s="536"/>
      <c r="X759" s="536"/>
      <c r="Y759" s="536"/>
      <c r="Z759" s="536"/>
      <c r="AA759" s="536"/>
      <c r="AB759" s="536"/>
      <c r="AC759" s="536"/>
      <c r="AD759" s="536"/>
      <c r="AE759" s="536"/>
      <c r="AF759" s="536"/>
      <c r="AG759" s="536"/>
      <c r="AH759" s="675"/>
      <c r="AI759" s="537" t="s">
        <v>547</v>
      </c>
      <c r="AJ759" s="536"/>
    </row>
    <row r="760" spans="1:36" x14ac:dyDescent="0.2">
      <c r="A760" s="548"/>
      <c r="B760" s="552"/>
      <c r="C760" s="1822" t="s">
        <v>443</v>
      </c>
      <c r="D760" s="1822"/>
      <c r="E760" s="1822"/>
      <c r="F760" s="1822"/>
      <c r="G760" s="1822"/>
      <c r="H760" s="1822"/>
      <c r="I760" s="1822"/>
      <c r="J760" s="1822"/>
      <c r="K760" s="1822"/>
      <c r="L760" s="551">
        <v>5517.38</v>
      </c>
      <c r="M760" s="550"/>
      <c r="N760" s="549"/>
      <c r="P760" s="536"/>
      <c r="Q760" s="536"/>
      <c r="R760" s="536"/>
      <c r="S760" s="536"/>
      <c r="T760" s="536"/>
      <c r="U760" s="536"/>
      <c r="V760" s="536"/>
      <c r="W760" s="536"/>
      <c r="X760" s="536"/>
      <c r="Y760" s="536"/>
      <c r="Z760" s="536"/>
      <c r="AA760" s="536"/>
      <c r="AB760" s="536"/>
      <c r="AC760" s="536"/>
      <c r="AD760" s="536"/>
      <c r="AE760" s="536"/>
      <c r="AF760" s="536"/>
      <c r="AG760" s="536"/>
      <c r="AH760" s="675"/>
      <c r="AI760" s="537" t="s">
        <v>443</v>
      </c>
      <c r="AJ760" s="536"/>
    </row>
    <row r="761" spans="1:36" x14ac:dyDescent="0.2">
      <c r="A761" s="548"/>
      <c r="B761" s="552"/>
      <c r="C761" s="1822" t="s">
        <v>444</v>
      </c>
      <c r="D761" s="1822"/>
      <c r="E761" s="1822"/>
      <c r="F761" s="1822"/>
      <c r="G761" s="1822"/>
      <c r="H761" s="1822"/>
      <c r="I761" s="1822"/>
      <c r="J761" s="1822"/>
      <c r="K761" s="1822"/>
      <c r="L761" s="551">
        <v>2892.37</v>
      </c>
      <c r="M761" s="550"/>
      <c r="N761" s="549"/>
      <c r="P761" s="536"/>
      <c r="Q761" s="536"/>
      <c r="R761" s="536"/>
      <c r="S761" s="536"/>
      <c r="T761" s="536"/>
      <c r="U761" s="536"/>
      <c r="V761" s="536"/>
      <c r="W761" s="536"/>
      <c r="X761" s="536"/>
      <c r="Y761" s="536"/>
      <c r="Z761" s="536"/>
      <c r="AA761" s="536"/>
      <c r="AB761" s="536"/>
      <c r="AC761" s="536"/>
      <c r="AD761" s="536"/>
      <c r="AE761" s="536"/>
      <c r="AF761" s="536"/>
      <c r="AG761" s="536"/>
      <c r="AH761" s="675"/>
      <c r="AI761" s="537" t="s">
        <v>444</v>
      </c>
      <c r="AJ761" s="536"/>
    </row>
    <row r="762" spans="1:36" x14ac:dyDescent="0.2">
      <c r="A762" s="548"/>
      <c r="B762" s="552"/>
      <c r="C762" s="1822" t="s">
        <v>754</v>
      </c>
      <c r="D762" s="1822"/>
      <c r="E762" s="1822"/>
      <c r="F762" s="1822"/>
      <c r="G762" s="1822"/>
      <c r="H762" s="1822"/>
      <c r="I762" s="1822"/>
      <c r="J762" s="1822"/>
      <c r="K762" s="1822"/>
      <c r="L762" s="551">
        <v>96028.63</v>
      </c>
      <c r="M762" s="550"/>
      <c r="N762" s="549">
        <v>440771</v>
      </c>
      <c r="P762" s="536"/>
      <c r="Q762" s="536"/>
      <c r="R762" s="536"/>
      <c r="S762" s="536"/>
      <c r="T762" s="536"/>
      <c r="U762" s="536"/>
      <c r="V762" s="536"/>
      <c r="W762" s="536"/>
      <c r="X762" s="536"/>
      <c r="Y762" s="536"/>
      <c r="Z762" s="536"/>
      <c r="AA762" s="536"/>
      <c r="AB762" s="536"/>
      <c r="AC762" s="536"/>
      <c r="AD762" s="536"/>
      <c r="AE762" s="536"/>
      <c r="AF762" s="536"/>
      <c r="AG762" s="536"/>
      <c r="AH762" s="675"/>
      <c r="AI762" s="537" t="s">
        <v>754</v>
      </c>
      <c r="AJ762" s="536"/>
    </row>
    <row r="763" spans="1:36" x14ac:dyDescent="0.2">
      <c r="A763" s="548"/>
      <c r="B763" s="552" t="s">
        <v>186</v>
      </c>
      <c r="C763" s="1822" t="s">
        <v>2223</v>
      </c>
      <c r="D763" s="1822"/>
      <c r="E763" s="1822"/>
      <c r="F763" s="1822"/>
      <c r="G763" s="1822"/>
      <c r="H763" s="1822"/>
      <c r="I763" s="1822"/>
      <c r="J763" s="1822"/>
      <c r="K763" s="1822"/>
      <c r="L763" s="551">
        <v>95394.34</v>
      </c>
      <c r="M763" s="550">
        <v>4.59</v>
      </c>
      <c r="N763" s="549">
        <v>437860</v>
      </c>
      <c r="P763" s="536"/>
      <c r="Q763" s="536"/>
      <c r="R763" s="536"/>
      <c r="S763" s="536"/>
      <c r="T763" s="536"/>
      <c r="U763" s="536"/>
      <c r="V763" s="536"/>
      <c r="W763" s="536"/>
      <c r="X763" s="536"/>
      <c r="Y763" s="536"/>
      <c r="Z763" s="536"/>
      <c r="AA763" s="536"/>
      <c r="AB763" s="536"/>
      <c r="AC763" s="536"/>
      <c r="AD763" s="536"/>
      <c r="AE763" s="536"/>
      <c r="AF763" s="536"/>
      <c r="AG763" s="536"/>
      <c r="AH763" s="675"/>
      <c r="AI763" s="537" t="s">
        <v>2223</v>
      </c>
      <c r="AJ763" s="536"/>
    </row>
    <row r="764" spans="1:36" x14ac:dyDescent="0.2">
      <c r="A764" s="548"/>
      <c r="B764" s="552" t="s">
        <v>186</v>
      </c>
      <c r="C764" s="1822" t="s">
        <v>2224</v>
      </c>
      <c r="D764" s="1822"/>
      <c r="E764" s="1822"/>
      <c r="F764" s="1822"/>
      <c r="G764" s="1822"/>
      <c r="H764" s="1822"/>
      <c r="I764" s="1822"/>
      <c r="J764" s="1822"/>
      <c r="K764" s="1822"/>
      <c r="L764" s="551">
        <v>634.29</v>
      </c>
      <c r="M764" s="550">
        <v>4.59</v>
      </c>
      <c r="N764" s="549">
        <v>2911</v>
      </c>
      <c r="P764" s="536"/>
      <c r="Q764" s="536"/>
      <c r="R764" s="536"/>
      <c r="S764" s="536"/>
      <c r="T764" s="536"/>
      <c r="U764" s="536"/>
      <c r="V764" s="536"/>
      <c r="W764" s="536"/>
      <c r="X764" s="536"/>
      <c r="Y764" s="536"/>
      <c r="Z764" s="536"/>
      <c r="AA764" s="536"/>
      <c r="AB764" s="536"/>
      <c r="AC764" s="536"/>
      <c r="AD764" s="536"/>
      <c r="AE764" s="536"/>
      <c r="AF764" s="536"/>
      <c r="AG764" s="536"/>
      <c r="AH764" s="675"/>
      <c r="AI764" s="537" t="s">
        <v>2224</v>
      </c>
      <c r="AJ764" s="536"/>
    </row>
    <row r="765" spans="1:36" x14ac:dyDescent="0.2">
      <c r="A765" s="548"/>
      <c r="B765" s="552"/>
      <c r="C765" s="1822" t="s">
        <v>415</v>
      </c>
      <c r="D765" s="1822"/>
      <c r="E765" s="1822"/>
      <c r="F765" s="1822"/>
      <c r="G765" s="1822"/>
      <c r="H765" s="1822"/>
      <c r="I765" s="1822"/>
      <c r="J765" s="1822"/>
      <c r="K765" s="1822"/>
      <c r="L765" s="551">
        <v>6739.82</v>
      </c>
      <c r="M765" s="550"/>
      <c r="N765" s="549"/>
      <c r="P765" s="536"/>
      <c r="Q765" s="536"/>
      <c r="R765" s="536"/>
      <c r="S765" s="536"/>
      <c r="T765" s="536"/>
      <c r="U765" s="536"/>
      <c r="V765" s="536"/>
      <c r="W765" s="536"/>
      <c r="X765" s="536"/>
      <c r="Y765" s="536"/>
      <c r="Z765" s="536"/>
      <c r="AA765" s="536"/>
      <c r="AB765" s="536"/>
      <c r="AC765" s="536"/>
      <c r="AD765" s="536"/>
      <c r="AE765" s="536"/>
      <c r="AF765" s="536"/>
      <c r="AG765" s="536"/>
      <c r="AH765" s="675"/>
      <c r="AI765" s="537" t="s">
        <v>415</v>
      </c>
      <c r="AJ765" s="536"/>
    </row>
    <row r="766" spans="1:36" x14ac:dyDescent="0.2">
      <c r="A766" s="548"/>
      <c r="B766" s="552"/>
      <c r="C766" s="1822" t="s">
        <v>416</v>
      </c>
      <c r="D766" s="1822"/>
      <c r="E766" s="1822"/>
      <c r="F766" s="1822"/>
      <c r="G766" s="1822"/>
      <c r="H766" s="1822"/>
      <c r="I766" s="1822"/>
      <c r="J766" s="1822"/>
      <c r="K766" s="1822"/>
      <c r="L766" s="551">
        <v>6413.27</v>
      </c>
      <c r="M766" s="550"/>
      <c r="N766" s="549"/>
      <c r="P766" s="536"/>
      <c r="Q766" s="536"/>
      <c r="R766" s="536"/>
      <c r="S766" s="536"/>
      <c r="T766" s="536"/>
      <c r="U766" s="536"/>
      <c r="V766" s="536"/>
      <c r="W766" s="536"/>
      <c r="X766" s="536"/>
      <c r="Y766" s="536"/>
      <c r="Z766" s="536"/>
      <c r="AA766" s="536"/>
      <c r="AB766" s="536"/>
      <c r="AC766" s="536"/>
      <c r="AD766" s="536"/>
      <c r="AE766" s="536"/>
      <c r="AF766" s="536"/>
      <c r="AG766" s="536"/>
      <c r="AH766" s="675"/>
      <c r="AI766" s="537" t="s">
        <v>416</v>
      </c>
      <c r="AJ766" s="536"/>
    </row>
    <row r="767" spans="1:36" x14ac:dyDescent="0.2">
      <c r="A767" s="548"/>
      <c r="B767" s="552"/>
      <c r="C767" s="1822" t="s">
        <v>417</v>
      </c>
      <c r="D767" s="1822"/>
      <c r="E767" s="1822"/>
      <c r="F767" s="1822"/>
      <c r="G767" s="1822"/>
      <c r="H767" s="1822"/>
      <c r="I767" s="1822"/>
      <c r="J767" s="1822"/>
      <c r="K767" s="1822"/>
      <c r="L767" s="551">
        <v>3296.84</v>
      </c>
      <c r="M767" s="550"/>
      <c r="N767" s="549"/>
      <c r="P767" s="536"/>
      <c r="Q767" s="536"/>
      <c r="R767" s="536"/>
      <c r="S767" s="536"/>
      <c r="T767" s="536"/>
      <c r="U767" s="536"/>
      <c r="V767" s="536"/>
      <c r="W767" s="536"/>
      <c r="X767" s="536"/>
      <c r="Y767" s="536"/>
      <c r="Z767" s="536"/>
      <c r="AA767" s="536"/>
      <c r="AB767" s="536"/>
      <c r="AC767" s="536"/>
      <c r="AD767" s="536"/>
      <c r="AE767" s="536"/>
      <c r="AF767" s="536"/>
      <c r="AG767" s="536"/>
      <c r="AH767" s="675"/>
      <c r="AI767" s="537" t="s">
        <v>417</v>
      </c>
      <c r="AJ767" s="536"/>
    </row>
    <row r="768" spans="1:36" x14ac:dyDescent="0.2">
      <c r="A768" s="548"/>
      <c r="B768" s="546"/>
      <c r="C768" s="1819" t="s">
        <v>206</v>
      </c>
      <c r="D768" s="1819"/>
      <c r="E768" s="1819"/>
      <c r="F768" s="1819"/>
      <c r="G768" s="1819"/>
      <c r="H768" s="1819"/>
      <c r="I768" s="1819"/>
      <c r="J768" s="1819"/>
      <c r="K768" s="1819"/>
      <c r="L768" s="544">
        <v>195045.2</v>
      </c>
      <c r="M768" s="543"/>
      <c r="N768" s="547">
        <v>1264589</v>
      </c>
      <c r="P768" s="536"/>
      <c r="Q768" s="536"/>
      <c r="R768" s="536"/>
      <c r="S768" s="536"/>
      <c r="T768" s="536"/>
      <c r="U768" s="536"/>
      <c r="V768" s="536"/>
      <c r="W768" s="536"/>
      <c r="X768" s="536"/>
      <c r="Y768" s="536"/>
      <c r="Z768" s="536"/>
      <c r="AA768" s="536"/>
      <c r="AB768" s="536"/>
      <c r="AC768" s="536"/>
      <c r="AD768" s="536"/>
      <c r="AE768" s="536"/>
      <c r="AF768" s="536"/>
      <c r="AG768" s="536"/>
      <c r="AH768" s="675"/>
      <c r="AI768" s="536"/>
      <c r="AJ768" s="675" t="s">
        <v>206</v>
      </c>
    </row>
    <row r="769" spans="1:36" x14ac:dyDescent="0.2">
      <c r="A769" s="548"/>
      <c r="B769" s="552"/>
      <c r="C769" s="1822" t="s">
        <v>204</v>
      </c>
      <c r="D769" s="1822"/>
      <c r="E769" s="1822"/>
      <c r="F769" s="1822"/>
      <c r="G769" s="1822"/>
      <c r="H769" s="1822"/>
      <c r="I769" s="1822"/>
      <c r="J769" s="1822"/>
      <c r="K769" s="1822"/>
      <c r="L769" s="551"/>
      <c r="M769" s="550"/>
      <c r="N769" s="549"/>
      <c r="P769" s="536"/>
      <c r="Q769" s="536"/>
      <c r="R769" s="536"/>
      <c r="S769" s="536"/>
      <c r="T769" s="536"/>
      <c r="U769" s="536"/>
      <c r="V769" s="536"/>
      <c r="W769" s="536"/>
      <c r="X769" s="536"/>
      <c r="Y769" s="536"/>
      <c r="Z769" s="536"/>
      <c r="AA769" s="536"/>
      <c r="AB769" s="536"/>
      <c r="AC769" s="536"/>
      <c r="AD769" s="536"/>
      <c r="AE769" s="536"/>
      <c r="AF769" s="536"/>
      <c r="AG769" s="536"/>
      <c r="AH769" s="675"/>
      <c r="AI769" s="537" t="s">
        <v>204</v>
      </c>
      <c r="AJ769" s="675"/>
    </row>
    <row r="770" spans="1:36" x14ac:dyDescent="0.2">
      <c r="A770" s="548"/>
      <c r="B770" s="552"/>
      <c r="C770" s="1822" t="s">
        <v>8095</v>
      </c>
      <c r="D770" s="1822"/>
      <c r="E770" s="1822"/>
      <c r="F770" s="1822"/>
      <c r="G770" s="1822"/>
      <c r="H770" s="1822"/>
      <c r="I770" s="1822"/>
      <c r="J770" s="1822"/>
      <c r="K770" s="1822"/>
      <c r="L770" s="551">
        <v>68895.67</v>
      </c>
      <c r="M770" s="550"/>
      <c r="N770" s="549">
        <v>573212</v>
      </c>
      <c r="P770" s="536"/>
      <c r="Q770" s="536"/>
      <c r="R770" s="536"/>
      <c r="S770" s="536"/>
      <c r="T770" s="536"/>
      <c r="U770" s="536"/>
      <c r="V770" s="536"/>
      <c r="W770" s="536"/>
      <c r="X770" s="536"/>
      <c r="Y770" s="536"/>
      <c r="Z770" s="536"/>
      <c r="AA770" s="536"/>
      <c r="AB770" s="536"/>
      <c r="AC770" s="536"/>
      <c r="AD770" s="536"/>
      <c r="AE770" s="536"/>
      <c r="AF770" s="536"/>
      <c r="AG770" s="536"/>
      <c r="AH770" s="675"/>
      <c r="AI770" s="537" t="s">
        <v>8095</v>
      </c>
      <c r="AJ770" s="675"/>
    </row>
    <row r="771" spans="1:36" x14ac:dyDescent="0.2">
      <c r="A771" s="548"/>
      <c r="B771" s="552"/>
      <c r="C771" s="1822" t="s">
        <v>8097</v>
      </c>
      <c r="D771" s="1822"/>
      <c r="E771" s="1822"/>
      <c r="F771" s="1822"/>
      <c r="G771" s="1822"/>
      <c r="H771" s="1822"/>
      <c r="I771" s="1822"/>
      <c r="J771" s="1822"/>
      <c r="K771" s="1822"/>
      <c r="L771" s="551"/>
      <c r="M771" s="550"/>
      <c r="N771" s="549">
        <v>437860</v>
      </c>
      <c r="P771" s="536"/>
      <c r="Q771" s="536"/>
      <c r="R771" s="536"/>
      <c r="S771" s="536"/>
      <c r="T771" s="536"/>
      <c r="U771" s="536"/>
      <c r="V771" s="536"/>
      <c r="W771" s="536"/>
      <c r="X771" s="536"/>
      <c r="Y771" s="536"/>
      <c r="Z771" s="536"/>
      <c r="AA771" s="536"/>
      <c r="AB771" s="536"/>
      <c r="AC771" s="536"/>
      <c r="AD771" s="536"/>
      <c r="AE771" s="536"/>
      <c r="AF771" s="536"/>
      <c r="AG771" s="536"/>
      <c r="AH771" s="675"/>
      <c r="AI771" s="537" t="s">
        <v>8097</v>
      </c>
      <c r="AJ771" s="675"/>
    </row>
    <row r="772" spans="1:36" ht="1.5" customHeight="1" x14ac:dyDescent="0.2">
      <c r="B772" s="546"/>
      <c r="C772" s="656"/>
      <c r="D772" s="656"/>
      <c r="E772" s="656"/>
      <c r="F772" s="656"/>
      <c r="G772" s="656"/>
      <c r="H772" s="656"/>
      <c r="I772" s="656"/>
      <c r="J772" s="656"/>
      <c r="K772" s="656"/>
      <c r="L772" s="544"/>
      <c r="M772" s="543"/>
      <c r="N772" s="542"/>
      <c r="P772" s="536"/>
      <c r="Q772" s="536"/>
      <c r="R772" s="536"/>
      <c r="S772" s="536"/>
      <c r="T772" s="536"/>
      <c r="U772" s="536"/>
      <c r="V772" s="536"/>
      <c r="W772" s="536"/>
      <c r="X772" s="536"/>
      <c r="Y772" s="536"/>
      <c r="Z772" s="536"/>
      <c r="AA772" s="536"/>
      <c r="AB772" s="536"/>
      <c r="AC772" s="536"/>
      <c r="AD772" s="536"/>
      <c r="AE772" s="536"/>
      <c r="AF772" s="536"/>
      <c r="AG772" s="536"/>
      <c r="AH772" s="536"/>
      <c r="AI772" s="536"/>
      <c r="AJ772" s="536"/>
    </row>
    <row r="773" spans="1:36" ht="53.25" customHeight="1" x14ac:dyDescent="0.2">
      <c r="A773" s="541"/>
      <c r="B773" s="541"/>
      <c r="C773" s="541"/>
      <c r="D773" s="541"/>
      <c r="E773" s="541"/>
      <c r="F773" s="541"/>
      <c r="G773" s="541"/>
      <c r="H773" s="541"/>
      <c r="I773" s="541"/>
      <c r="J773" s="541"/>
      <c r="K773" s="541"/>
      <c r="L773" s="541"/>
      <c r="M773" s="541"/>
      <c r="N773" s="541"/>
      <c r="P773" s="536"/>
      <c r="Q773" s="536"/>
      <c r="R773" s="536"/>
      <c r="S773" s="536"/>
      <c r="T773" s="536"/>
      <c r="U773" s="536"/>
      <c r="V773" s="536"/>
      <c r="W773" s="536"/>
      <c r="X773" s="536"/>
      <c r="Y773" s="536"/>
      <c r="Z773" s="536"/>
      <c r="AA773" s="536"/>
      <c r="AB773" s="536"/>
      <c r="AC773" s="536"/>
      <c r="AD773" s="536"/>
      <c r="AE773" s="536"/>
      <c r="AF773" s="536"/>
      <c r="AG773" s="536"/>
      <c r="AH773" s="536"/>
      <c r="AI773" s="536"/>
      <c r="AJ773" s="536"/>
    </row>
    <row r="774" spans="1:36" x14ac:dyDescent="0.2">
      <c r="B774" s="539" t="s">
        <v>149</v>
      </c>
      <c r="C774" s="1943" t="s">
        <v>207</v>
      </c>
      <c r="D774" s="1943"/>
      <c r="E774" s="1943"/>
      <c r="F774" s="1943"/>
      <c r="G774" s="1943"/>
      <c r="H774" s="1943"/>
      <c r="I774" s="1943"/>
      <c r="J774" s="1943"/>
      <c r="K774" s="1943"/>
      <c r="L774" s="1943"/>
    </row>
    <row r="775" spans="1:36" ht="13.5" customHeight="1" x14ac:dyDescent="0.2">
      <c r="B775" s="540"/>
      <c r="C775" s="1821" t="s">
        <v>150</v>
      </c>
      <c r="D775" s="1821"/>
      <c r="E775" s="1821"/>
      <c r="F775" s="1821"/>
      <c r="G775" s="1821"/>
      <c r="H775" s="1821"/>
      <c r="I775" s="1821"/>
      <c r="J775" s="1821"/>
      <c r="K775" s="1821"/>
      <c r="L775" s="1821"/>
    </row>
    <row r="776" spans="1:36" ht="12.75" customHeight="1" x14ac:dyDescent="0.2">
      <c r="B776" s="539" t="s">
        <v>151</v>
      </c>
      <c r="C776" s="1943" t="s">
        <v>208</v>
      </c>
      <c r="D776" s="1943"/>
      <c r="E776" s="1943"/>
      <c r="F776" s="1943"/>
      <c r="G776" s="1943"/>
      <c r="H776" s="1943"/>
      <c r="I776" s="1943"/>
      <c r="J776" s="1943"/>
      <c r="K776" s="1943"/>
      <c r="L776" s="1943"/>
    </row>
    <row r="777" spans="1:36" ht="13.5" customHeight="1" x14ac:dyDescent="0.2">
      <c r="C777" s="1821" t="s">
        <v>150</v>
      </c>
      <c r="D777" s="1821"/>
      <c r="E777" s="1821"/>
      <c r="F777" s="1821"/>
      <c r="G777" s="1821"/>
      <c r="H777" s="1821"/>
      <c r="I777" s="1821"/>
      <c r="J777" s="1821"/>
      <c r="K777" s="1821"/>
      <c r="L777" s="1821"/>
    </row>
    <row r="779" spans="1:36" x14ac:dyDescent="0.2">
      <c r="B779" s="538"/>
      <c r="D779" s="538"/>
      <c r="F779" s="538"/>
      <c r="P779" s="536"/>
      <c r="Q779" s="536"/>
      <c r="R779" s="536"/>
      <c r="S779" s="536"/>
      <c r="T779" s="536"/>
      <c r="U779" s="536"/>
      <c r="V779" s="536"/>
      <c r="W779" s="536"/>
      <c r="X779" s="536"/>
      <c r="Y779" s="536"/>
      <c r="Z779" s="536"/>
      <c r="AA779" s="536"/>
      <c r="AB779" s="536"/>
      <c r="AC779" s="536"/>
      <c r="AD779" s="536"/>
      <c r="AE779" s="536"/>
      <c r="AF779" s="536"/>
      <c r="AG779" s="536"/>
      <c r="AH779" s="536"/>
      <c r="AI779" s="536"/>
      <c r="AJ779" s="536"/>
    </row>
  </sheetData>
  <mergeCells count="699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7:E47"/>
    <mergeCell ref="C48:E48"/>
    <mergeCell ref="C49:E49"/>
    <mergeCell ref="C50:E50"/>
    <mergeCell ref="C51:E51"/>
    <mergeCell ref="C52:E52"/>
    <mergeCell ref="C41:N41"/>
    <mergeCell ref="C42:N42"/>
    <mergeCell ref="C43:E43"/>
    <mergeCell ref="C44:E44"/>
    <mergeCell ref="C45:E45"/>
    <mergeCell ref="C46:E46"/>
    <mergeCell ref="C61:N61"/>
    <mergeCell ref="C62:N62"/>
    <mergeCell ref="C63:E63"/>
    <mergeCell ref="C64:E64"/>
    <mergeCell ref="C65:E65"/>
    <mergeCell ref="C66:E66"/>
    <mergeCell ref="C53:E53"/>
    <mergeCell ref="C54:E54"/>
    <mergeCell ref="C56:N56"/>
    <mergeCell ref="C57:E57"/>
    <mergeCell ref="C59:N59"/>
    <mergeCell ref="C60:E60"/>
    <mergeCell ref="C73:E73"/>
    <mergeCell ref="C74:E74"/>
    <mergeCell ref="C75:N75"/>
    <mergeCell ref="C76:N76"/>
    <mergeCell ref="C77:E77"/>
    <mergeCell ref="C78:E78"/>
    <mergeCell ref="C67:E67"/>
    <mergeCell ref="C68:E68"/>
    <mergeCell ref="C69:E69"/>
    <mergeCell ref="C70:E70"/>
    <mergeCell ref="C71:E71"/>
    <mergeCell ref="C72:E72"/>
    <mergeCell ref="C85:E85"/>
    <mergeCell ref="C86:E86"/>
    <mergeCell ref="C87:E87"/>
    <mergeCell ref="C88:E88"/>
    <mergeCell ref="C89:N89"/>
    <mergeCell ref="C90:N90"/>
    <mergeCell ref="C79:E79"/>
    <mergeCell ref="C80:E80"/>
    <mergeCell ref="C81:E81"/>
    <mergeCell ref="C82:E82"/>
    <mergeCell ref="C83:E83"/>
    <mergeCell ref="C84:E84"/>
    <mergeCell ref="C97:E97"/>
    <mergeCell ref="C98:E98"/>
    <mergeCell ref="C99:E99"/>
    <mergeCell ref="C100:E100"/>
    <mergeCell ref="C101:E101"/>
    <mergeCell ref="C102:E102"/>
    <mergeCell ref="C91:E91"/>
    <mergeCell ref="C92:E92"/>
    <mergeCell ref="C93:E93"/>
    <mergeCell ref="C94:E94"/>
    <mergeCell ref="C95:E95"/>
    <mergeCell ref="C96:E96"/>
    <mergeCell ref="C109:E109"/>
    <mergeCell ref="C110:E110"/>
    <mergeCell ref="C111:E111"/>
    <mergeCell ref="C112:E112"/>
    <mergeCell ref="C113:E113"/>
    <mergeCell ref="C114:E114"/>
    <mergeCell ref="C103:N103"/>
    <mergeCell ref="C104:N104"/>
    <mergeCell ref="C105:E105"/>
    <mergeCell ref="C106:E106"/>
    <mergeCell ref="C107:E107"/>
    <mergeCell ref="C108:E108"/>
    <mergeCell ref="C121:E121"/>
    <mergeCell ref="C122:E122"/>
    <mergeCell ref="C123:E123"/>
    <mergeCell ref="C124:E124"/>
    <mergeCell ref="C125:E125"/>
    <mergeCell ref="C126:E126"/>
    <mergeCell ref="C115:E115"/>
    <mergeCell ref="C116:E116"/>
    <mergeCell ref="C117:N117"/>
    <mergeCell ref="C118:N118"/>
    <mergeCell ref="C119:E119"/>
    <mergeCell ref="C120:E120"/>
    <mergeCell ref="C133:E133"/>
    <mergeCell ref="C134:E134"/>
    <mergeCell ref="C135:E135"/>
    <mergeCell ref="C136:E136"/>
    <mergeCell ref="C137:E137"/>
    <mergeCell ref="C138:E138"/>
    <mergeCell ref="C127:E127"/>
    <mergeCell ref="C128:E128"/>
    <mergeCell ref="C129:E129"/>
    <mergeCell ref="C130:E130"/>
    <mergeCell ref="C131:N131"/>
    <mergeCell ref="C132:E132"/>
    <mergeCell ref="C147:K147"/>
    <mergeCell ref="C148:K148"/>
    <mergeCell ref="C149:K149"/>
    <mergeCell ref="C150:K150"/>
    <mergeCell ref="C151:K151"/>
    <mergeCell ref="C152:K152"/>
    <mergeCell ref="C139:E139"/>
    <mergeCell ref="C140:E140"/>
    <mergeCell ref="C141:E141"/>
    <mergeCell ref="C142:E142"/>
    <mergeCell ref="C143:E143"/>
    <mergeCell ref="C146:K146"/>
    <mergeCell ref="C159:K159"/>
    <mergeCell ref="C160:K160"/>
    <mergeCell ref="C161:K161"/>
    <mergeCell ref="C162:K162"/>
    <mergeCell ref="C163:K163"/>
    <mergeCell ref="C164:K164"/>
    <mergeCell ref="C153:K153"/>
    <mergeCell ref="C154:K154"/>
    <mergeCell ref="C155:K155"/>
    <mergeCell ref="C156:K156"/>
    <mergeCell ref="C157:K157"/>
    <mergeCell ref="C158:K158"/>
    <mergeCell ref="C171:E171"/>
    <mergeCell ref="C172:N172"/>
    <mergeCell ref="C173:N173"/>
    <mergeCell ref="C174:E174"/>
    <mergeCell ref="C175:E175"/>
    <mergeCell ref="C176:E176"/>
    <mergeCell ref="C165:K165"/>
    <mergeCell ref="C166:K166"/>
    <mergeCell ref="C167:K167"/>
    <mergeCell ref="C168:K168"/>
    <mergeCell ref="A169:N169"/>
    <mergeCell ref="A170:N170"/>
    <mergeCell ref="C183:E183"/>
    <mergeCell ref="C184:E184"/>
    <mergeCell ref="C185:E185"/>
    <mergeCell ref="C187:N187"/>
    <mergeCell ref="C188:E188"/>
    <mergeCell ref="C190:N190"/>
    <mergeCell ref="C177:E177"/>
    <mergeCell ref="C178:E178"/>
    <mergeCell ref="C179:E179"/>
    <mergeCell ref="C180:E180"/>
    <mergeCell ref="C181:E181"/>
    <mergeCell ref="C182:E182"/>
    <mergeCell ref="A200:N200"/>
    <mergeCell ref="C201:E201"/>
    <mergeCell ref="C202:N202"/>
    <mergeCell ref="C203:N203"/>
    <mergeCell ref="C204:E204"/>
    <mergeCell ref="C205:E205"/>
    <mergeCell ref="C191:E191"/>
    <mergeCell ref="C193:N193"/>
    <mergeCell ref="C194:E194"/>
    <mergeCell ref="C196:N196"/>
    <mergeCell ref="C197:E197"/>
    <mergeCell ref="C199:N199"/>
    <mergeCell ref="C212:E212"/>
    <mergeCell ref="C213:E213"/>
    <mergeCell ref="C214:E214"/>
    <mergeCell ref="C215:E215"/>
    <mergeCell ref="C217:N217"/>
    <mergeCell ref="C218:E218"/>
    <mergeCell ref="C206:E206"/>
    <mergeCell ref="C207:E207"/>
    <mergeCell ref="C208:E208"/>
    <mergeCell ref="C209:E209"/>
    <mergeCell ref="C210:E210"/>
    <mergeCell ref="C211:E211"/>
    <mergeCell ref="C225:E225"/>
    <mergeCell ref="C226:E226"/>
    <mergeCell ref="C227:E227"/>
    <mergeCell ref="C228:E228"/>
    <mergeCell ref="C229:E229"/>
    <mergeCell ref="C230:E230"/>
    <mergeCell ref="C219:N219"/>
    <mergeCell ref="C220:N220"/>
    <mergeCell ref="C221:E221"/>
    <mergeCell ref="C222:E222"/>
    <mergeCell ref="C223:E223"/>
    <mergeCell ref="C224:E224"/>
    <mergeCell ref="C238:E238"/>
    <mergeCell ref="C239:E239"/>
    <mergeCell ref="C240:E240"/>
    <mergeCell ref="C241:E241"/>
    <mergeCell ref="C242:E242"/>
    <mergeCell ref="C243:E243"/>
    <mergeCell ref="C231:E231"/>
    <mergeCell ref="C232:E232"/>
    <mergeCell ref="C234:N234"/>
    <mergeCell ref="C235:E235"/>
    <mergeCell ref="C236:N236"/>
    <mergeCell ref="C237:N237"/>
    <mergeCell ref="C251:N251"/>
    <mergeCell ref="C252:E252"/>
    <mergeCell ref="C253:N253"/>
    <mergeCell ref="C254:N254"/>
    <mergeCell ref="C255:E255"/>
    <mergeCell ref="C256:E256"/>
    <mergeCell ref="C244:E244"/>
    <mergeCell ref="C245:E245"/>
    <mergeCell ref="C246:E246"/>
    <mergeCell ref="C247:E247"/>
    <mergeCell ref="C248:E248"/>
    <mergeCell ref="C249:E249"/>
    <mergeCell ref="C263:E263"/>
    <mergeCell ref="C264:E264"/>
    <mergeCell ref="C265:E265"/>
    <mergeCell ref="C266:E266"/>
    <mergeCell ref="C268:N268"/>
    <mergeCell ref="A269:N269"/>
    <mergeCell ref="C257:E257"/>
    <mergeCell ref="C258:E258"/>
    <mergeCell ref="C259:E259"/>
    <mergeCell ref="C260:E260"/>
    <mergeCell ref="C261:E261"/>
    <mergeCell ref="C262:E262"/>
    <mergeCell ref="C276:E276"/>
    <mergeCell ref="C277:E277"/>
    <mergeCell ref="C278:E278"/>
    <mergeCell ref="C279:E279"/>
    <mergeCell ref="C280:E280"/>
    <mergeCell ref="C281:E281"/>
    <mergeCell ref="C270:E270"/>
    <mergeCell ref="C271:N271"/>
    <mergeCell ref="C272:N272"/>
    <mergeCell ref="C273:E273"/>
    <mergeCell ref="C274:E274"/>
    <mergeCell ref="C275:E275"/>
    <mergeCell ref="C292:N292"/>
    <mergeCell ref="C293:E293"/>
    <mergeCell ref="C294:N294"/>
    <mergeCell ref="C295:N295"/>
    <mergeCell ref="C296:E296"/>
    <mergeCell ref="C297:E297"/>
    <mergeCell ref="C283:N283"/>
    <mergeCell ref="C284:E284"/>
    <mergeCell ref="C286:N286"/>
    <mergeCell ref="C287:E287"/>
    <mergeCell ref="C289:N289"/>
    <mergeCell ref="C290:E290"/>
    <mergeCell ref="C304:E304"/>
    <mergeCell ref="C305:E305"/>
    <mergeCell ref="C306:E306"/>
    <mergeCell ref="C307:E307"/>
    <mergeCell ref="C309:N309"/>
    <mergeCell ref="C310:E310"/>
    <mergeCell ref="C298:E298"/>
    <mergeCell ref="C299:E299"/>
    <mergeCell ref="C300:E300"/>
    <mergeCell ref="C301:E301"/>
    <mergeCell ref="C302:E302"/>
    <mergeCell ref="C303:E303"/>
    <mergeCell ref="C318:E318"/>
    <mergeCell ref="C319:E319"/>
    <mergeCell ref="C320:E320"/>
    <mergeCell ref="C321:E321"/>
    <mergeCell ref="C322:E322"/>
    <mergeCell ref="C323:E323"/>
    <mergeCell ref="C312:N312"/>
    <mergeCell ref="C313:E313"/>
    <mergeCell ref="C314:N314"/>
    <mergeCell ref="C315:N315"/>
    <mergeCell ref="C316:E316"/>
    <mergeCell ref="C317:E317"/>
    <mergeCell ref="C331:N331"/>
    <mergeCell ref="C332:N332"/>
    <mergeCell ref="C333:E333"/>
    <mergeCell ref="C334:E334"/>
    <mergeCell ref="C335:E335"/>
    <mergeCell ref="C336:E336"/>
    <mergeCell ref="C324:E324"/>
    <mergeCell ref="C325:E325"/>
    <mergeCell ref="C326:E326"/>
    <mergeCell ref="C327:E327"/>
    <mergeCell ref="C329:N329"/>
    <mergeCell ref="C330:E330"/>
    <mergeCell ref="C343:E343"/>
    <mergeCell ref="C344:E344"/>
    <mergeCell ref="C346:N346"/>
    <mergeCell ref="C347:E347"/>
    <mergeCell ref="C348:N348"/>
    <mergeCell ref="C349:N349"/>
    <mergeCell ref="C337:E337"/>
    <mergeCell ref="C338:E338"/>
    <mergeCell ref="C339:E339"/>
    <mergeCell ref="C340:E340"/>
    <mergeCell ref="C341:E341"/>
    <mergeCell ref="C342:E342"/>
    <mergeCell ref="C356:E356"/>
    <mergeCell ref="C357:E357"/>
    <mergeCell ref="C358:E358"/>
    <mergeCell ref="C359:E359"/>
    <mergeCell ref="C360:E360"/>
    <mergeCell ref="C361:E361"/>
    <mergeCell ref="C350:E350"/>
    <mergeCell ref="C351:E351"/>
    <mergeCell ref="C352:E352"/>
    <mergeCell ref="C353:E353"/>
    <mergeCell ref="C354:E354"/>
    <mergeCell ref="C355:E355"/>
    <mergeCell ref="C369:E369"/>
    <mergeCell ref="C370:E370"/>
    <mergeCell ref="C371:E371"/>
    <mergeCell ref="C372:E372"/>
    <mergeCell ref="C373:E373"/>
    <mergeCell ref="C374:E374"/>
    <mergeCell ref="C363:N363"/>
    <mergeCell ref="C364:E364"/>
    <mergeCell ref="C365:N365"/>
    <mergeCell ref="C366:E366"/>
    <mergeCell ref="C367:E367"/>
    <mergeCell ref="C368:E368"/>
    <mergeCell ref="C383:N383"/>
    <mergeCell ref="C384:E384"/>
    <mergeCell ref="C385:E385"/>
    <mergeCell ref="C386:E386"/>
    <mergeCell ref="C387:E387"/>
    <mergeCell ref="C388:E388"/>
    <mergeCell ref="C376:N376"/>
    <mergeCell ref="C377:E377"/>
    <mergeCell ref="C379:N379"/>
    <mergeCell ref="A380:N380"/>
    <mergeCell ref="C381:E381"/>
    <mergeCell ref="C382:N382"/>
    <mergeCell ref="C395:E395"/>
    <mergeCell ref="C397:N397"/>
    <mergeCell ref="C398:N398"/>
    <mergeCell ref="C399:E399"/>
    <mergeCell ref="C401:N401"/>
    <mergeCell ref="C402:E402"/>
    <mergeCell ref="C389:E389"/>
    <mergeCell ref="C390:E390"/>
    <mergeCell ref="C391:E391"/>
    <mergeCell ref="C392:E392"/>
    <mergeCell ref="C393:E393"/>
    <mergeCell ref="C394:E394"/>
    <mergeCell ref="C410:E410"/>
    <mergeCell ref="C411:E411"/>
    <mergeCell ref="C412:E412"/>
    <mergeCell ref="C413:E413"/>
    <mergeCell ref="C414:E414"/>
    <mergeCell ref="C415:E415"/>
    <mergeCell ref="C404:N404"/>
    <mergeCell ref="C405:E405"/>
    <mergeCell ref="C406:N406"/>
    <mergeCell ref="C407:N407"/>
    <mergeCell ref="C408:E408"/>
    <mergeCell ref="C409:E409"/>
    <mergeCell ref="C423:E423"/>
    <mergeCell ref="C424:N424"/>
    <mergeCell ref="C425:N425"/>
    <mergeCell ref="C426:E426"/>
    <mergeCell ref="C427:E427"/>
    <mergeCell ref="C428:E428"/>
    <mergeCell ref="C416:E416"/>
    <mergeCell ref="C417:E417"/>
    <mergeCell ref="C418:E418"/>
    <mergeCell ref="C419:E419"/>
    <mergeCell ref="C421:N421"/>
    <mergeCell ref="C422:N422"/>
    <mergeCell ref="C436:N436"/>
    <mergeCell ref="C437:E437"/>
    <mergeCell ref="C438:N438"/>
    <mergeCell ref="C439:E439"/>
    <mergeCell ref="C440:E440"/>
    <mergeCell ref="C441:E441"/>
    <mergeCell ref="C429:E429"/>
    <mergeCell ref="C430:E430"/>
    <mergeCell ref="C431:E431"/>
    <mergeCell ref="C432:E432"/>
    <mergeCell ref="C433:E433"/>
    <mergeCell ref="C434:E434"/>
    <mergeCell ref="C449:N449"/>
    <mergeCell ref="C450:E450"/>
    <mergeCell ref="C452:N452"/>
    <mergeCell ref="C453:E453"/>
    <mergeCell ref="C455:N455"/>
    <mergeCell ref="C456:E456"/>
    <mergeCell ref="C442:E442"/>
    <mergeCell ref="C443:E443"/>
    <mergeCell ref="C444:E444"/>
    <mergeCell ref="C445:E445"/>
    <mergeCell ref="C446:E446"/>
    <mergeCell ref="C447:E447"/>
    <mergeCell ref="C467:N467"/>
    <mergeCell ref="C468:E468"/>
    <mergeCell ref="C470:N470"/>
    <mergeCell ref="C471:E471"/>
    <mergeCell ref="C473:N473"/>
    <mergeCell ref="C474:E474"/>
    <mergeCell ref="C458:N458"/>
    <mergeCell ref="C459:E459"/>
    <mergeCell ref="C461:N461"/>
    <mergeCell ref="C462:E462"/>
    <mergeCell ref="C464:N464"/>
    <mergeCell ref="C465:E465"/>
    <mergeCell ref="C482:E482"/>
    <mergeCell ref="C483:E483"/>
    <mergeCell ref="C484:E484"/>
    <mergeCell ref="C485:E485"/>
    <mergeCell ref="C486:E486"/>
    <mergeCell ref="C487:E487"/>
    <mergeCell ref="C476:N476"/>
    <mergeCell ref="C477:E477"/>
    <mergeCell ref="C478:N478"/>
    <mergeCell ref="C479:E479"/>
    <mergeCell ref="C480:E480"/>
    <mergeCell ref="C481:E481"/>
    <mergeCell ref="C496:N496"/>
    <mergeCell ref="C497:E497"/>
    <mergeCell ref="C499:N499"/>
    <mergeCell ref="C500:E500"/>
    <mergeCell ref="C502:N502"/>
    <mergeCell ref="C503:E503"/>
    <mergeCell ref="C488:E488"/>
    <mergeCell ref="C489:E489"/>
    <mergeCell ref="C490:E490"/>
    <mergeCell ref="C492:N492"/>
    <mergeCell ref="C493:N493"/>
    <mergeCell ref="C494:E494"/>
    <mergeCell ref="C513:N513"/>
    <mergeCell ref="C514:E514"/>
    <mergeCell ref="C515:E515"/>
    <mergeCell ref="C516:E516"/>
    <mergeCell ref="C517:E517"/>
    <mergeCell ref="C518:E518"/>
    <mergeCell ref="C505:N505"/>
    <mergeCell ref="C506:E506"/>
    <mergeCell ref="C508:N508"/>
    <mergeCell ref="C509:E509"/>
    <mergeCell ref="C511:N511"/>
    <mergeCell ref="C512:E512"/>
    <mergeCell ref="C526:N526"/>
    <mergeCell ref="C527:E527"/>
    <mergeCell ref="C528:E528"/>
    <mergeCell ref="C529:E529"/>
    <mergeCell ref="C530:E530"/>
    <mergeCell ref="C531:E531"/>
    <mergeCell ref="C519:E519"/>
    <mergeCell ref="C520:E520"/>
    <mergeCell ref="C521:E521"/>
    <mergeCell ref="C522:E522"/>
    <mergeCell ref="C524:N524"/>
    <mergeCell ref="C525:E525"/>
    <mergeCell ref="C539:E539"/>
    <mergeCell ref="C540:E540"/>
    <mergeCell ref="C541:E541"/>
    <mergeCell ref="C542:E542"/>
    <mergeCell ref="C543:E543"/>
    <mergeCell ref="C544:E544"/>
    <mergeCell ref="C532:E532"/>
    <mergeCell ref="C533:E533"/>
    <mergeCell ref="C534:E534"/>
    <mergeCell ref="C535:E535"/>
    <mergeCell ref="C537:N537"/>
    <mergeCell ref="C538:E538"/>
    <mergeCell ref="C552:N552"/>
    <mergeCell ref="C553:E553"/>
    <mergeCell ref="C554:E554"/>
    <mergeCell ref="C555:E555"/>
    <mergeCell ref="C556:E556"/>
    <mergeCell ref="C557:E557"/>
    <mergeCell ref="C545:E545"/>
    <mergeCell ref="C546:E546"/>
    <mergeCell ref="C547:E547"/>
    <mergeCell ref="C549:N549"/>
    <mergeCell ref="A550:N550"/>
    <mergeCell ref="C551:E551"/>
    <mergeCell ref="C565:E565"/>
    <mergeCell ref="C566:N566"/>
    <mergeCell ref="C567:N567"/>
    <mergeCell ref="C568:E568"/>
    <mergeCell ref="C569:E569"/>
    <mergeCell ref="C570:E570"/>
    <mergeCell ref="C558:E558"/>
    <mergeCell ref="C559:E559"/>
    <mergeCell ref="C560:E560"/>
    <mergeCell ref="C561:E561"/>
    <mergeCell ref="C562:E562"/>
    <mergeCell ref="C564:N564"/>
    <mergeCell ref="C577:E577"/>
    <mergeCell ref="C578:E578"/>
    <mergeCell ref="C579:E579"/>
    <mergeCell ref="C581:N581"/>
    <mergeCell ref="C582:E582"/>
    <mergeCell ref="C584:N584"/>
    <mergeCell ref="C571:E571"/>
    <mergeCell ref="C572:E572"/>
    <mergeCell ref="C573:E573"/>
    <mergeCell ref="C574:E574"/>
    <mergeCell ref="C575:E575"/>
    <mergeCell ref="C576:E576"/>
    <mergeCell ref="C592:E592"/>
    <mergeCell ref="C593:E593"/>
    <mergeCell ref="C594:E594"/>
    <mergeCell ref="C595:E595"/>
    <mergeCell ref="C596:E596"/>
    <mergeCell ref="C597:E597"/>
    <mergeCell ref="C585:E585"/>
    <mergeCell ref="C587:N587"/>
    <mergeCell ref="C588:E588"/>
    <mergeCell ref="C589:N589"/>
    <mergeCell ref="C590:N590"/>
    <mergeCell ref="C591:E591"/>
    <mergeCell ref="C605:E605"/>
    <mergeCell ref="C606:N606"/>
    <mergeCell ref="C607:N607"/>
    <mergeCell ref="C608:E608"/>
    <mergeCell ref="C609:E609"/>
    <mergeCell ref="C610:E610"/>
    <mergeCell ref="C598:E598"/>
    <mergeCell ref="C599:E599"/>
    <mergeCell ref="C600:E600"/>
    <mergeCell ref="C601:E601"/>
    <mergeCell ref="C602:E602"/>
    <mergeCell ref="C604:N604"/>
    <mergeCell ref="C617:E617"/>
    <mergeCell ref="C618:E618"/>
    <mergeCell ref="C619:E619"/>
    <mergeCell ref="C621:N621"/>
    <mergeCell ref="C622:E622"/>
    <mergeCell ref="C623:N623"/>
    <mergeCell ref="C611:E611"/>
    <mergeCell ref="C612:E612"/>
    <mergeCell ref="C613:E613"/>
    <mergeCell ref="C614:E614"/>
    <mergeCell ref="C615:E615"/>
    <mergeCell ref="C616:E616"/>
    <mergeCell ref="C630:E630"/>
    <mergeCell ref="C631:E631"/>
    <mergeCell ref="C632:E632"/>
    <mergeCell ref="C633:E633"/>
    <mergeCell ref="C634:E634"/>
    <mergeCell ref="C635:E635"/>
    <mergeCell ref="C624:N624"/>
    <mergeCell ref="C625:E625"/>
    <mergeCell ref="C626:E626"/>
    <mergeCell ref="C627:E627"/>
    <mergeCell ref="C628:E628"/>
    <mergeCell ref="C629:E629"/>
    <mergeCell ref="C643:E643"/>
    <mergeCell ref="C644:E644"/>
    <mergeCell ref="C645:E645"/>
    <mergeCell ref="C646:E646"/>
    <mergeCell ref="C647:E647"/>
    <mergeCell ref="C648:E648"/>
    <mergeCell ref="C636:E636"/>
    <mergeCell ref="C638:N638"/>
    <mergeCell ref="C639:E639"/>
    <mergeCell ref="C640:N640"/>
    <mergeCell ref="C641:N641"/>
    <mergeCell ref="C642:E642"/>
    <mergeCell ref="C656:E656"/>
    <mergeCell ref="C658:N658"/>
    <mergeCell ref="C659:E659"/>
    <mergeCell ref="C661:N661"/>
    <mergeCell ref="A662:N662"/>
    <mergeCell ref="C663:E663"/>
    <mergeCell ref="C649:E649"/>
    <mergeCell ref="C650:E650"/>
    <mergeCell ref="C651:E651"/>
    <mergeCell ref="C652:E652"/>
    <mergeCell ref="C653:E653"/>
    <mergeCell ref="C655:N655"/>
    <mergeCell ref="C670:E670"/>
    <mergeCell ref="C671:E671"/>
    <mergeCell ref="C672:E672"/>
    <mergeCell ref="C673:E673"/>
    <mergeCell ref="C674:N674"/>
    <mergeCell ref="C675:N675"/>
    <mergeCell ref="C664:N664"/>
    <mergeCell ref="C665:N665"/>
    <mergeCell ref="C666:E666"/>
    <mergeCell ref="C667:E667"/>
    <mergeCell ref="C668:E668"/>
    <mergeCell ref="C669:E669"/>
    <mergeCell ref="C682:E682"/>
    <mergeCell ref="C683:E683"/>
    <mergeCell ref="C684:N684"/>
    <mergeCell ref="C685:N685"/>
    <mergeCell ref="C686:E686"/>
    <mergeCell ref="C687:E687"/>
    <mergeCell ref="C676:E676"/>
    <mergeCell ref="C677:E677"/>
    <mergeCell ref="C678:E678"/>
    <mergeCell ref="C679:E679"/>
    <mergeCell ref="C680:E680"/>
    <mergeCell ref="C681:E681"/>
    <mergeCell ref="C694:E694"/>
    <mergeCell ref="C695:E695"/>
    <mergeCell ref="C697:K697"/>
    <mergeCell ref="C698:K698"/>
    <mergeCell ref="C699:K699"/>
    <mergeCell ref="C700:K700"/>
    <mergeCell ref="C688:E688"/>
    <mergeCell ref="C689:E689"/>
    <mergeCell ref="C690:E690"/>
    <mergeCell ref="C691:E691"/>
    <mergeCell ref="C692:E692"/>
    <mergeCell ref="C693:E693"/>
    <mergeCell ref="C707:K707"/>
    <mergeCell ref="C708:K708"/>
    <mergeCell ref="C709:K709"/>
    <mergeCell ref="C710:K710"/>
    <mergeCell ref="C711:K711"/>
    <mergeCell ref="C712:K712"/>
    <mergeCell ref="C701:K701"/>
    <mergeCell ref="C702:K702"/>
    <mergeCell ref="C703:K703"/>
    <mergeCell ref="C704:K704"/>
    <mergeCell ref="C705:K705"/>
    <mergeCell ref="C706:K706"/>
    <mergeCell ref="C719:K719"/>
    <mergeCell ref="C720:K720"/>
    <mergeCell ref="C721:K721"/>
    <mergeCell ref="C722:K722"/>
    <mergeCell ref="C723:K723"/>
    <mergeCell ref="C724:K724"/>
    <mergeCell ref="C713:K713"/>
    <mergeCell ref="C714:K714"/>
    <mergeCell ref="C715:K715"/>
    <mergeCell ref="C716:K716"/>
    <mergeCell ref="C717:K717"/>
    <mergeCell ref="C718:K718"/>
    <mergeCell ref="C734:K734"/>
    <mergeCell ref="C735:K735"/>
    <mergeCell ref="C736:K736"/>
    <mergeCell ref="C737:K737"/>
    <mergeCell ref="C738:K738"/>
    <mergeCell ref="C739:K739"/>
    <mergeCell ref="A725:N725"/>
    <mergeCell ref="C726:E726"/>
    <mergeCell ref="C728:N728"/>
    <mergeCell ref="C729:E729"/>
    <mergeCell ref="C731:N731"/>
    <mergeCell ref="C733:K733"/>
    <mergeCell ref="C747:K747"/>
    <mergeCell ref="C748:K748"/>
    <mergeCell ref="C749:K749"/>
    <mergeCell ref="C750:K750"/>
    <mergeCell ref="C751:K751"/>
    <mergeCell ref="C752:K752"/>
    <mergeCell ref="C740:K740"/>
    <mergeCell ref="C742:K742"/>
    <mergeCell ref="C743:K743"/>
    <mergeCell ref="C744:K744"/>
    <mergeCell ref="C745:K745"/>
    <mergeCell ref="C746:K746"/>
    <mergeCell ref="C759:K759"/>
    <mergeCell ref="C760:K760"/>
    <mergeCell ref="C761:K761"/>
    <mergeCell ref="C762:K762"/>
    <mergeCell ref="C763:K763"/>
    <mergeCell ref="C764:K764"/>
    <mergeCell ref="C753:K753"/>
    <mergeCell ref="C754:K754"/>
    <mergeCell ref="C755:K755"/>
    <mergeCell ref="C756:K756"/>
    <mergeCell ref="C757:K757"/>
    <mergeCell ref="C758:K758"/>
    <mergeCell ref="C771:K771"/>
    <mergeCell ref="C774:L774"/>
    <mergeCell ref="C775:L775"/>
    <mergeCell ref="C776:L776"/>
    <mergeCell ref="C777:L777"/>
    <mergeCell ref="C765:K765"/>
    <mergeCell ref="C766:K766"/>
    <mergeCell ref="C767:K767"/>
    <mergeCell ref="C768:K768"/>
    <mergeCell ref="C769:K769"/>
    <mergeCell ref="C770:K770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77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B4:F119"/>
  <sheetViews>
    <sheetView topLeftCell="A86" zoomScaleNormal="100" workbookViewId="0">
      <selection activeCell="E110" sqref="E110"/>
    </sheetView>
  </sheetViews>
  <sheetFormatPr defaultRowHeight="12.75" x14ac:dyDescent="0.2"/>
  <cols>
    <col min="3" max="3" width="21.42578125" customWidth="1"/>
    <col min="4" max="4" width="48.5703125" customWidth="1"/>
    <col min="5" max="5" width="18.28515625" customWidth="1"/>
  </cols>
  <sheetData>
    <row r="4" spans="2:6" ht="31.5" customHeight="1" x14ac:dyDescent="0.25">
      <c r="B4" s="1684" t="s">
        <v>20</v>
      </c>
      <c r="C4" s="1684"/>
      <c r="D4" s="1684"/>
      <c r="E4" s="1684"/>
    </row>
    <row r="5" spans="2:6" ht="15.75" x14ac:dyDescent="0.25">
      <c r="B5" s="481"/>
      <c r="C5" s="481"/>
      <c r="D5" s="481"/>
      <c r="E5" s="481"/>
    </row>
    <row r="6" spans="2:6" ht="15.75" x14ac:dyDescent="0.25">
      <c r="B6" s="481"/>
      <c r="C6" s="481" t="s">
        <v>9</v>
      </c>
      <c r="D6" s="481"/>
      <c r="E6" s="481"/>
    </row>
    <row r="7" spans="2:6" ht="15.75" x14ac:dyDescent="0.25">
      <c r="B7" s="481"/>
      <c r="C7" s="481"/>
      <c r="D7" s="481"/>
      <c r="E7" s="481"/>
    </row>
    <row r="8" spans="2:6" ht="15.75" x14ac:dyDescent="0.25">
      <c r="B8" s="481"/>
      <c r="C8" s="481"/>
      <c r="D8" s="481"/>
      <c r="E8" s="481"/>
    </row>
    <row r="9" spans="2:6" ht="15.75" x14ac:dyDescent="0.25">
      <c r="B9" s="482" t="s">
        <v>8</v>
      </c>
      <c r="C9" s="483" t="s">
        <v>10</v>
      </c>
      <c r="D9" s="484" t="s">
        <v>6</v>
      </c>
      <c r="E9" s="482" t="s">
        <v>7</v>
      </c>
    </row>
    <row r="10" spans="2:6" ht="15.75" x14ac:dyDescent="0.2">
      <c r="B10" s="485">
        <v>1</v>
      </c>
      <c r="C10" s="492" t="s">
        <v>6536</v>
      </c>
      <c r="D10" s="488" t="s">
        <v>11</v>
      </c>
      <c r="E10" s="487">
        <v>1</v>
      </c>
    </row>
    <row r="11" spans="2:6" s="1" customFormat="1" ht="15.75" x14ac:dyDescent="0.2">
      <c r="B11" s="485">
        <v>2</v>
      </c>
      <c r="C11" s="492" t="s">
        <v>6537</v>
      </c>
      <c r="D11" s="488" t="s">
        <v>11</v>
      </c>
      <c r="E11" s="487">
        <v>1</v>
      </c>
    </row>
    <row r="12" spans="2:6" ht="15.75" x14ac:dyDescent="0.2">
      <c r="B12" s="485">
        <v>3</v>
      </c>
      <c r="C12" s="492" t="s">
        <v>6538</v>
      </c>
      <c r="D12" s="488" t="s">
        <v>18</v>
      </c>
      <c r="E12" s="487">
        <v>1</v>
      </c>
      <c r="F12" s="452"/>
    </row>
    <row r="13" spans="2:6" s="1" customFormat="1" ht="15.75" x14ac:dyDescent="0.2">
      <c r="B13" s="485">
        <v>4</v>
      </c>
      <c r="C13" s="492" t="s">
        <v>6539</v>
      </c>
      <c r="D13" s="488" t="s">
        <v>18</v>
      </c>
      <c r="E13" s="487">
        <v>1</v>
      </c>
      <c r="F13" s="452"/>
    </row>
    <row r="14" spans="2:6" s="1" customFormat="1" ht="15.75" x14ac:dyDescent="0.2">
      <c r="B14" s="485">
        <v>5</v>
      </c>
      <c r="C14" s="492" t="s">
        <v>12</v>
      </c>
      <c r="D14" s="486" t="s">
        <v>14</v>
      </c>
      <c r="E14" s="487">
        <v>1</v>
      </c>
    </row>
    <row r="15" spans="2:6" s="1" customFormat="1" ht="15.75" x14ac:dyDescent="0.2">
      <c r="B15" s="485">
        <v>6</v>
      </c>
      <c r="C15" s="492" t="s">
        <v>13</v>
      </c>
      <c r="D15" s="486" t="s">
        <v>15</v>
      </c>
      <c r="E15" s="487">
        <v>1</v>
      </c>
    </row>
    <row r="16" spans="2:6" s="1" customFormat="1" ht="15.75" x14ac:dyDescent="0.2">
      <c r="B16" s="485">
        <f>B15+1</f>
        <v>7</v>
      </c>
      <c r="C16" s="492" t="s">
        <v>6540</v>
      </c>
      <c r="D16" s="488" t="s">
        <v>17</v>
      </c>
      <c r="E16" s="487">
        <v>1</v>
      </c>
    </row>
    <row r="17" spans="2:5" s="1" customFormat="1" ht="15.75" x14ac:dyDescent="0.2">
      <c r="B17" s="485">
        <v>8</v>
      </c>
      <c r="C17" s="492" t="s">
        <v>6541</v>
      </c>
      <c r="D17" s="488" t="s">
        <v>17</v>
      </c>
      <c r="E17" s="487">
        <v>1</v>
      </c>
    </row>
    <row r="18" spans="2:5" ht="15.75" x14ac:dyDescent="0.2">
      <c r="B18" s="485">
        <v>9</v>
      </c>
      <c r="C18" s="492" t="s">
        <v>0</v>
      </c>
      <c r="D18" s="486" t="s">
        <v>137</v>
      </c>
      <c r="E18" s="487">
        <v>1</v>
      </c>
    </row>
    <row r="19" spans="2:5" s="1" customFormat="1" ht="15.75" x14ac:dyDescent="0.2">
      <c r="B19" s="485">
        <f t="shared" ref="B19:B93" si="0">B18+1</f>
        <v>10</v>
      </c>
      <c r="C19" s="492" t="s">
        <v>16</v>
      </c>
      <c r="D19" s="486" t="s">
        <v>138</v>
      </c>
      <c r="E19" s="487">
        <v>1</v>
      </c>
    </row>
    <row r="20" spans="2:5" s="1" customFormat="1" ht="15.75" x14ac:dyDescent="0.2">
      <c r="B20" s="528">
        <v>11</v>
      </c>
      <c r="C20" s="530" t="s">
        <v>7073</v>
      </c>
      <c r="D20" s="531" t="s">
        <v>7072</v>
      </c>
      <c r="E20" s="529">
        <v>1</v>
      </c>
    </row>
    <row r="21" spans="2:5" s="1" customFormat="1" ht="31.5" x14ac:dyDescent="0.2">
      <c r="B21" s="528">
        <v>12</v>
      </c>
      <c r="C21" s="530" t="s">
        <v>7076</v>
      </c>
      <c r="D21" s="531" t="s">
        <v>7075</v>
      </c>
      <c r="E21" s="529">
        <v>1</v>
      </c>
    </row>
    <row r="22" spans="2:5" s="1" customFormat="1" ht="15.75" x14ac:dyDescent="0.2">
      <c r="B22" s="485">
        <v>13</v>
      </c>
      <c r="C22" s="1107" t="s">
        <v>123</v>
      </c>
      <c r="D22" s="486" t="s">
        <v>6531</v>
      </c>
      <c r="E22" s="487">
        <v>1</v>
      </c>
    </row>
    <row r="23" spans="2:5" ht="31.5" x14ac:dyDescent="0.2">
      <c r="B23" s="485">
        <v>14</v>
      </c>
      <c r="C23" s="1107" t="s">
        <v>6542</v>
      </c>
      <c r="D23" s="488" t="s">
        <v>19</v>
      </c>
      <c r="E23" s="487">
        <v>1</v>
      </c>
    </row>
    <row r="24" spans="2:5" s="1" customFormat="1" ht="31.5" x14ac:dyDescent="0.2">
      <c r="B24" s="485">
        <v>15</v>
      </c>
      <c r="C24" s="1107" t="s">
        <v>6543</v>
      </c>
      <c r="D24" s="488" t="s">
        <v>19</v>
      </c>
      <c r="E24" s="487">
        <v>1</v>
      </c>
    </row>
    <row r="25" spans="2:5" ht="15.75" x14ac:dyDescent="0.2">
      <c r="B25" s="485">
        <v>16</v>
      </c>
      <c r="C25" s="492" t="s">
        <v>5</v>
      </c>
      <c r="D25" s="486" t="s">
        <v>21</v>
      </c>
      <c r="E25" s="487">
        <v>1</v>
      </c>
    </row>
    <row r="26" spans="2:5" ht="15.75" x14ac:dyDescent="0.2">
      <c r="B26" s="485">
        <f t="shared" si="0"/>
        <v>17</v>
      </c>
      <c r="C26" s="610" t="s">
        <v>4</v>
      </c>
      <c r="D26" s="486" t="s">
        <v>22</v>
      </c>
      <c r="E26" s="487">
        <v>1</v>
      </c>
    </row>
    <row r="27" spans="2:5" ht="15.75" x14ac:dyDescent="0.2">
      <c r="B27" s="485">
        <f t="shared" si="0"/>
        <v>18</v>
      </c>
      <c r="C27" s="492" t="s">
        <v>3</v>
      </c>
      <c r="D27" s="486" t="s">
        <v>23</v>
      </c>
      <c r="E27" s="487">
        <v>1</v>
      </c>
    </row>
    <row r="28" spans="2:5" s="1" customFormat="1" ht="15.75" x14ac:dyDescent="0.2">
      <c r="B28" s="485">
        <f t="shared" si="0"/>
        <v>19</v>
      </c>
      <c r="C28" s="492" t="s">
        <v>24</v>
      </c>
      <c r="D28" s="486" t="s">
        <v>25</v>
      </c>
      <c r="E28" s="487">
        <v>1</v>
      </c>
    </row>
    <row r="29" spans="2:5" s="1" customFormat="1" ht="18.75" customHeight="1" x14ac:dyDescent="0.2">
      <c r="B29" s="485">
        <f t="shared" si="0"/>
        <v>20</v>
      </c>
      <c r="C29" s="492" t="s">
        <v>26</v>
      </c>
      <c r="D29" s="486" t="s">
        <v>59</v>
      </c>
      <c r="E29" s="487">
        <v>1</v>
      </c>
    </row>
    <row r="30" spans="2:5" s="1" customFormat="1" ht="30.75" customHeight="1" x14ac:dyDescent="0.2">
      <c r="B30" s="485">
        <f t="shared" si="0"/>
        <v>21</v>
      </c>
      <c r="C30" s="1106" t="s">
        <v>27</v>
      </c>
      <c r="D30" s="486" t="s">
        <v>28</v>
      </c>
      <c r="E30" s="487">
        <v>1</v>
      </c>
    </row>
    <row r="31" spans="2:5" s="1" customFormat="1" ht="15.75" x14ac:dyDescent="0.2">
      <c r="B31" s="485">
        <f t="shared" si="0"/>
        <v>22</v>
      </c>
      <c r="C31" s="492" t="s">
        <v>29</v>
      </c>
      <c r="D31" s="486" t="s">
        <v>30</v>
      </c>
      <c r="E31" s="487">
        <v>1</v>
      </c>
    </row>
    <row r="32" spans="2:5" ht="15.75" x14ac:dyDescent="0.25">
      <c r="B32" s="485">
        <f t="shared" si="0"/>
        <v>23</v>
      </c>
      <c r="C32" s="1107" t="s">
        <v>6544</v>
      </c>
      <c r="D32" s="489" t="s">
        <v>31</v>
      </c>
      <c r="E32" s="487">
        <v>1</v>
      </c>
    </row>
    <row r="33" spans="2:5" s="1" customFormat="1" ht="15.75" x14ac:dyDescent="0.25">
      <c r="B33" s="485">
        <v>22</v>
      </c>
      <c r="C33" s="1107" t="s">
        <v>6545</v>
      </c>
      <c r="D33" s="489" t="s">
        <v>31</v>
      </c>
      <c r="E33" s="487">
        <v>1</v>
      </c>
    </row>
    <row r="34" spans="2:5" s="1" customFormat="1" ht="15.75" x14ac:dyDescent="0.25">
      <c r="B34" s="485">
        <v>23</v>
      </c>
      <c r="C34" s="1107" t="s">
        <v>32</v>
      </c>
      <c r="D34" s="490" t="s">
        <v>33</v>
      </c>
      <c r="E34" s="487">
        <v>1</v>
      </c>
    </row>
    <row r="35" spans="2:5" s="1" customFormat="1" ht="15.75" x14ac:dyDescent="0.25">
      <c r="B35" s="485">
        <f t="shared" si="0"/>
        <v>24</v>
      </c>
      <c r="C35" s="1107" t="s">
        <v>34</v>
      </c>
      <c r="D35" s="490" t="s">
        <v>58</v>
      </c>
      <c r="E35" s="487">
        <v>1</v>
      </c>
    </row>
    <row r="36" spans="2:5" s="1" customFormat="1" ht="15.75" x14ac:dyDescent="0.25">
      <c r="B36" s="485">
        <f t="shared" si="0"/>
        <v>25</v>
      </c>
      <c r="C36" s="1107" t="s">
        <v>35</v>
      </c>
      <c r="D36" s="490" t="s">
        <v>36</v>
      </c>
      <c r="E36" s="487">
        <v>1</v>
      </c>
    </row>
    <row r="37" spans="2:5" s="1" customFormat="1" ht="15.75" x14ac:dyDescent="0.25">
      <c r="B37" s="485">
        <f t="shared" si="0"/>
        <v>26</v>
      </c>
      <c r="C37" s="1107" t="s">
        <v>37</v>
      </c>
      <c r="D37" s="490" t="s">
        <v>38</v>
      </c>
      <c r="E37" s="487">
        <v>1</v>
      </c>
    </row>
    <row r="38" spans="2:5" s="1" customFormat="1" ht="15.75" x14ac:dyDescent="0.25">
      <c r="B38" s="485">
        <f t="shared" si="0"/>
        <v>27</v>
      </c>
      <c r="C38" s="1107" t="s">
        <v>39</v>
      </c>
      <c r="D38" s="490" t="s">
        <v>40</v>
      </c>
      <c r="E38" s="487">
        <v>1</v>
      </c>
    </row>
    <row r="39" spans="2:5" s="1" customFormat="1" ht="30" customHeight="1" x14ac:dyDescent="0.2">
      <c r="B39" s="485">
        <f t="shared" si="0"/>
        <v>28</v>
      </c>
      <c r="C39" s="1107" t="s">
        <v>41</v>
      </c>
      <c r="D39" s="491" t="s">
        <v>42</v>
      </c>
      <c r="E39" s="487">
        <v>1</v>
      </c>
    </row>
    <row r="40" spans="2:5" s="1" customFormat="1" ht="31.5" x14ac:dyDescent="0.25">
      <c r="B40" s="485">
        <f t="shared" si="0"/>
        <v>29</v>
      </c>
      <c r="C40" s="1107" t="s">
        <v>43</v>
      </c>
      <c r="D40" s="490" t="s">
        <v>44</v>
      </c>
      <c r="E40" s="487">
        <v>1</v>
      </c>
    </row>
    <row r="41" spans="2:5" s="1" customFormat="1" ht="15.75" x14ac:dyDescent="0.25">
      <c r="B41" s="485">
        <f t="shared" si="0"/>
        <v>30</v>
      </c>
      <c r="C41" s="1107" t="s">
        <v>45</v>
      </c>
      <c r="D41" s="490" t="s">
        <v>46</v>
      </c>
      <c r="E41" s="487">
        <v>1</v>
      </c>
    </row>
    <row r="42" spans="2:5" s="1" customFormat="1" ht="15.75" x14ac:dyDescent="0.25">
      <c r="B42" s="485">
        <f t="shared" si="0"/>
        <v>31</v>
      </c>
      <c r="C42" s="493" t="s">
        <v>47</v>
      </c>
      <c r="D42" s="490" t="s">
        <v>48</v>
      </c>
      <c r="E42" s="487">
        <v>1</v>
      </c>
    </row>
    <row r="43" spans="2:5" s="1" customFormat="1" ht="15.75" x14ac:dyDescent="0.25">
      <c r="B43" s="485">
        <f t="shared" si="0"/>
        <v>32</v>
      </c>
      <c r="C43" s="493" t="s">
        <v>49</v>
      </c>
      <c r="D43" s="490" t="s">
        <v>50</v>
      </c>
      <c r="E43" s="487">
        <v>1</v>
      </c>
    </row>
    <row r="44" spans="2:5" s="1" customFormat="1" ht="15.75" x14ac:dyDescent="0.25">
      <c r="B44" s="485">
        <f t="shared" si="0"/>
        <v>33</v>
      </c>
      <c r="C44" s="493" t="s">
        <v>51</v>
      </c>
      <c r="D44" s="490" t="s">
        <v>52</v>
      </c>
      <c r="E44" s="487">
        <v>1</v>
      </c>
    </row>
    <row r="45" spans="2:5" s="1" customFormat="1" ht="15.75" x14ac:dyDescent="0.25">
      <c r="B45" s="485">
        <f t="shared" si="0"/>
        <v>34</v>
      </c>
      <c r="C45" s="493" t="s">
        <v>53</v>
      </c>
      <c r="D45" s="490" t="s">
        <v>54</v>
      </c>
      <c r="E45" s="487">
        <v>1</v>
      </c>
    </row>
    <row r="46" spans="2:5" ht="15.75" x14ac:dyDescent="0.25">
      <c r="B46" s="485">
        <f t="shared" si="0"/>
        <v>35</v>
      </c>
      <c r="C46" s="493" t="s">
        <v>6546</v>
      </c>
      <c r="D46" s="489" t="s">
        <v>55</v>
      </c>
      <c r="E46" s="487">
        <v>1</v>
      </c>
    </row>
    <row r="47" spans="2:5" s="1" customFormat="1" ht="15.75" x14ac:dyDescent="0.25">
      <c r="B47" s="485">
        <v>36</v>
      </c>
      <c r="C47" s="493" t="s">
        <v>6547</v>
      </c>
      <c r="D47" s="489" t="s">
        <v>55</v>
      </c>
      <c r="E47" s="487">
        <v>1</v>
      </c>
    </row>
    <row r="48" spans="2:5" s="1" customFormat="1" ht="15.75" x14ac:dyDescent="0.25">
      <c r="B48" s="485">
        <v>37</v>
      </c>
      <c r="C48" s="1106" t="s">
        <v>56</v>
      </c>
      <c r="D48" s="490" t="s">
        <v>33</v>
      </c>
      <c r="E48" s="487">
        <v>1</v>
      </c>
    </row>
    <row r="49" spans="2:5" s="1" customFormat="1" ht="15.75" x14ac:dyDescent="0.25">
      <c r="B49" s="485">
        <f t="shared" si="0"/>
        <v>38</v>
      </c>
      <c r="C49" s="493" t="s">
        <v>57</v>
      </c>
      <c r="D49" s="490" t="s">
        <v>58</v>
      </c>
      <c r="E49" s="487">
        <v>1</v>
      </c>
    </row>
    <row r="50" spans="2:5" s="1" customFormat="1" ht="15.75" x14ac:dyDescent="0.25">
      <c r="B50" s="485">
        <f t="shared" si="0"/>
        <v>39</v>
      </c>
      <c r="C50" s="493" t="s">
        <v>60</v>
      </c>
      <c r="D50" s="490" t="s">
        <v>36</v>
      </c>
      <c r="E50" s="487">
        <v>1</v>
      </c>
    </row>
    <row r="51" spans="2:5" s="1" customFormat="1" ht="15.75" x14ac:dyDescent="0.25">
      <c r="B51" s="485">
        <f t="shared" si="0"/>
        <v>40</v>
      </c>
      <c r="C51" s="493" t="s">
        <v>6548</v>
      </c>
      <c r="D51" s="489" t="s">
        <v>61</v>
      </c>
      <c r="E51" s="487">
        <v>1</v>
      </c>
    </row>
    <row r="52" spans="2:5" s="1" customFormat="1" ht="15.75" x14ac:dyDescent="0.25">
      <c r="B52" s="485">
        <v>41</v>
      </c>
      <c r="C52" s="1106" t="s">
        <v>6549</v>
      </c>
      <c r="D52" s="489" t="s">
        <v>61</v>
      </c>
      <c r="E52" s="487">
        <v>1</v>
      </c>
    </row>
    <row r="53" spans="2:5" s="1" customFormat="1" ht="15.75" x14ac:dyDescent="0.25">
      <c r="B53" s="485">
        <v>42</v>
      </c>
      <c r="C53" s="493" t="s">
        <v>62</v>
      </c>
      <c r="D53" s="490" t="s">
        <v>33</v>
      </c>
      <c r="E53" s="487">
        <v>1</v>
      </c>
    </row>
    <row r="54" spans="2:5" s="1" customFormat="1" ht="15.75" x14ac:dyDescent="0.25">
      <c r="B54" s="485">
        <f t="shared" si="0"/>
        <v>43</v>
      </c>
      <c r="C54" s="493" t="s">
        <v>63</v>
      </c>
      <c r="D54" s="490" t="s">
        <v>58</v>
      </c>
      <c r="E54" s="487">
        <v>1</v>
      </c>
    </row>
    <row r="55" spans="2:5" s="1" customFormat="1" ht="15.75" x14ac:dyDescent="0.25">
      <c r="B55" s="485">
        <f t="shared" si="0"/>
        <v>44</v>
      </c>
      <c r="C55" s="493" t="s">
        <v>64</v>
      </c>
      <c r="D55" s="490" t="s">
        <v>6565</v>
      </c>
      <c r="E55" s="487">
        <v>1</v>
      </c>
    </row>
    <row r="56" spans="2:5" s="1" customFormat="1" ht="31.5" x14ac:dyDescent="0.25">
      <c r="B56" s="485">
        <f t="shared" si="0"/>
        <v>45</v>
      </c>
      <c r="C56" s="493" t="s">
        <v>65</v>
      </c>
      <c r="D56" s="490" t="s">
        <v>66</v>
      </c>
      <c r="E56" s="487">
        <v>1</v>
      </c>
    </row>
    <row r="57" spans="2:5" s="1" customFormat="1" ht="15.75" x14ac:dyDescent="0.25">
      <c r="B57" s="485">
        <f t="shared" si="0"/>
        <v>46</v>
      </c>
      <c r="C57" s="493" t="s">
        <v>6550</v>
      </c>
      <c r="D57" s="489" t="s">
        <v>67</v>
      </c>
      <c r="E57" s="487">
        <v>1</v>
      </c>
    </row>
    <row r="58" spans="2:5" s="1" customFormat="1" ht="15.75" x14ac:dyDescent="0.25">
      <c r="B58" s="485">
        <v>47</v>
      </c>
      <c r="C58" s="1107" t="s">
        <v>6551</v>
      </c>
      <c r="D58" s="489" t="s">
        <v>67</v>
      </c>
      <c r="E58" s="487">
        <v>1</v>
      </c>
    </row>
    <row r="59" spans="2:5" s="1" customFormat="1" ht="15.75" x14ac:dyDescent="0.25">
      <c r="B59" s="485">
        <v>48</v>
      </c>
      <c r="C59" s="1107" t="s">
        <v>7077</v>
      </c>
      <c r="D59" s="490" t="s">
        <v>67</v>
      </c>
      <c r="E59" s="487">
        <v>1</v>
      </c>
    </row>
    <row r="60" spans="2:5" s="1" customFormat="1" ht="15.75" x14ac:dyDescent="0.25">
      <c r="B60" s="485">
        <f t="shared" si="0"/>
        <v>49</v>
      </c>
      <c r="C60" s="493" t="s">
        <v>7078</v>
      </c>
      <c r="D60" s="490" t="s">
        <v>68</v>
      </c>
      <c r="E60" s="487">
        <v>1</v>
      </c>
    </row>
    <row r="61" spans="2:5" s="1" customFormat="1" ht="15.75" x14ac:dyDescent="0.25">
      <c r="B61" s="485">
        <f t="shared" si="0"/>
        <v>50</v>
      </c>
      <c r="C61" s="769" t="s">
        <v>9189</v>
      </c>
      <c r="D61" s="534" t="s">
        <v>9194</v>
      </c>
      <c r="E61" s="529"/>
    </row>
    <row r="62" spans="2:5" s="1" customFormat="1" ht="15.75" x14ac:dyDescent="0.25">
      <c r="B62" s="485">
        <f t="shared" si="0"/>
        <v>51</v>
      </c>
      <c r="C62" s="769" t="s">
        <v>9190</v>
      </c>
      <c r="D62" s="534" t="s">
        <v>9194</v>
      </c>
      <c r="E62" s="529"/>
    </row>
    <row r="63" spans="2:5" s="1" customFormat="1" ht="15.75" x14ac:dyDescent="0.25">
      <c r="B63" s="485">
        <f t="shared" si="0"/>
        <v>52</v>
      </c>
      <c r="C63" s="769" t="s">
        <v>9191</v>
      </c>
      <c r="D63" s="534" t="s">
        <v>8584</v>
      </c>
      <c r="E63" s="529"/>
    </row>
    <row r="64" spans="2:5" s="1" customFormat="1" ht="15.75" x14ac:dyDescent="0.25">
      <c r="B64" s="485">
        <f t="shared" si="0"/>
        <v>53</v>
      </c>
      <c r="C64" s="769" t="s">
        <v>9192</v>
      </c>
      <c r="D64" s="534" t="s">
        <v>9193</v>
      </c>
      <c r="E64" s="529"/>
    </row>
    <row r="65" spans="2:5" s="1" customFormat="1" ht="15.75" x14ac:dyDescent="0.25">
      <c r="B65" s="485">
        <f t="shared" si="0"/>
        <v>54</v>
      </c>
      <c r="C65" s="493" t="s">
        <v>69</v>
      </c>
      <c r="D65" s="490" t="s">
        <v>70</v>
      </c>
      <c r="E65" s="487">
        <v>1</v>
      </c>
    </row>
    <row r="66" spans="2:5" s="1" customFormat="1" ht="15.75" x14ac:dyDescent="0.25">
      <c r="B66" s="485">
        <f t="shared" si="0"/>
        <v>55</v>
      </c>
      <c r="C66" s="493" t="s">
        <v>6552</v>
      </c>
      <c r="D66" s="489" t="s">
        <v>3884</v>
      </c>
      <c r="E66" s="487">
        <v>1</v>
      </c>
    </row>
    <row r="67" spans="2:5" s="1" customFormat="1" ht="15.75" x14ac:dyDescent="0.25">
      <c r="B67" s="485">
        <f t="shared" si="0"/>
        <v>56</v>
      </c>
      <c r="C67" s="1106" t="s">
        <v>6553</v>
      </c>
      <c r="D67" s="489" t="s">
        <v>3884</v>
      </c>
      <c r="E67" s="487">
        <v>1</v>
      </c>
    </row>
    <row r="68" spans="2:5" s="1" customFormat="1" ht="15.75" x14ac:dyDescent="0.25">
      <c r="B68" s="485">
        <f t="shared" si="0"/>
        <v>57</v>
      </c>
      <c r="C68" s="493" t="s">
        <v>72</v>
      </c>
      <c r="D68" s="490" t="s">
        <v>33</v>
      </c>
      <c r="E68" s="487">
        <v>1</v>
      </c>
    </row>
    <row r="69" spans="2:5" s="1" customFormat="1" ht="15.75" x14ac:dyDescent="0.25">
      <c r="B69" s="485">
        <f t="shared" si="0"/>
        <v>58</v>
      </c>
      <c r="C69" s="493" t="s">
        <v>73</v>
      </c>
      <c r="D69" s="490" t="s">
        <v>58</v>
      </c>
      <c r="E69" s="487">
        <v>1</v>
      </c>
    </row>
    <row r="70" spans="2:5" s="1" customFormat="1" ht="15.75" x14ac:dyDescent="0.25">
      <c r="B70" s="485">
        <f t="shared" si="0"/>
        <v>59</v>
      </c>
      <c r="C70" s="493" t="s">
        <v>74</v>
      </c>
      <c r="D70" s="490" t="s">
        <v>6565</v>
      </c>
      <c r="E70" s="487">
        <v>1</v>
      </c>
    </row>
    <row r="71" spans="2:5" s="1" customFormat="1" ht="15.75" x14ac:dyDescent="0.25">
      <c r="B71" s="485">
        <f t="shared" si="0"/>
        <v>60</v>
      </c>
      <c r="C71" s="1106" t="s">
        <v>75</v>
      </c>
      <c r="D71" s="490" t="s">
        <v>76</v>
      </c>
      <c r="E71" s="487">
        <v>1</v>
      </c>
    </row>
    <row r="72" spans="2:5" s="1" customFormat="1" ht="15.75" x14ac:dyDescent="0.25">
      <c r="B72" s="485">
        <f t="shared" si="0"/>
        <v>61</v>
      </c>
      <c r="C72" s="493" t="s">
        <v>77</v>
      </c>
      <c r="D72" s="490" t="s">
        <v>78</v>
      </c>
      <c r="E72" s="487">
        <v>1</v>
      </c>
    </row>
    <row r="73" spans="2:5" s="1" customFormat="1" ht="15.75" x14ac:dyDescent="0.25">
      <c r="B73" s="485">
        <f t="shared" si="0"/>
        <v>62</v>
      </c>
      <c r="C73" s="1107" t="s">
        <v>6554</v>
      </c>
      <c r="D73" s="489" t="s">
        <v>82</v>
      </c>
      <c r="E73" s="487">
        <v>1</v>
      </c>
    </row>
    <row r="74" spans="2:5" s="1" customFormat="1" ht="15.75" x14ac:dyDescent="0.25">
      <c r="B74" s="485">
        <f t="shared" si="0"/>
        <v>63</v>
      </c>
      <c r="C74" s="1107" t="s">
        <v>6555</v>
      </c>
      <c r="D74" s="489" t="s">
        <v>82</v>
      </c>
      <c r="E74" s="487">
        <v>1</v>
      </c>
    </row>
    <row r="75" spans="2:5" s="1" customFormat="1" ht="15.75" x14ac:dyDescent="0.25">
      <c r="B75" s="485">
        <f t="shared" si="0"/>
        <v>64</v>
      </c>
      <c r="C75" s="493" t="s">
        <v>80</v>
      </c>
      <c r="D75" s="490" t="s">
        <v>79</v>
      </c>
      <c r="E75" s="487">
        <v>1</v>
      </c>
    </row>
    <row r="76" spans="2:5" s="1" customFormat="1" ht="31.5" x14ac:dyDescent="0.25">
      <c r="B76" s="485">
        <f t="shared" si="0"/>
        <v>65</v>
      </c>
      <c r="C76" s="493" t="s">
        <v>81</v>
      </c>
      <c r="D76" s="490" t="s">
        <v>83</v>
      </c>
      <c r="E76" s="487">
        <v>1</v>
      </c>
    </row>
    <row r="77" spans="2:5" s="1" customFormat="1" ht="15.75" x14ac:dyDescent="0.25">
      <c r="B77" s="485">
        <f t="shared" si="0"/>
        <v>66</v>
      </c>
      <c r="C77" s="493" t="s">
        <v>84</v>
      </c>
      <c r="D77" s="490" t="s">
        <v>85</v>
      </c>
      <c r="E77" s="487">
        <v>1</v>
      </c>
    </row>
    <row r="78" spans="2:5" s="1" customFormat="1" ht="15.75" x14ac:dyDescent="0.25">
      <c r="B78" s="485">
        <f t="shared" si="0"/>
        <v>67</v>
      </c>
      <c r="C78" s="493" t="s">
        <v>86</v>
      </c>
      <c r="D78" s="490" t="s">
        <v>87</v>
      </c>
      <c r="E78" s="487">
        <v>1</v>
      </c>
    </row>
    <row r="79" spans="2:5" s="1" customFormat="1" ht="15.75" x14ac:dyDescent="0.25">
      <c r="B79" s="485">
        <f t="shared" si="0"/>
        <v>68</v>
      </c>
      <c r="C79" s="493" t="s">
        <v>88</v>
      </c>
      <c r="D79" s="490" t="s">
        <v>89</v>
      </c>
      <c r="E79" s="487">
        <v>1</v>
      </c>
    </row>
    <row r="80" spans="2:5" s="1" customFormat="1" ht="15.75" x14ac:dyDescent="0.25">
      <c r="B80" s="485">
        <f t="shared" si="0"/>
        <v>69</v>
      </c>
      <c r="C80" s="1107" t="s">
        <v>6556</v>
      </c>
      <c r="D80" s="489" t="s">
        <v>90</v>
      </c>
      <c r="E80" s="487">
        <v>1</v>
      </c>
    </row>
    <row r="81" spans="2:5" s="1" customFormat="1" ht="15.75" x14ac:dyDescent="0.25">
      <c r="B81" s="485">
        <f t="shared" si="0"/>
        <v>70</v>
      </c>
      <c r="C81" s="1107" t="s">
        <v>6557</v>
      </c>
      <c r="D81" s="489" t="s">
        <v>90</v>
      </c>
      <c r="E81" s="487"/>
    </row>
    <row r="82" spans="2:5" s="1" customFormat="1" ht="15.75" x14ac:dyDescent="0.25">
      <c r="B82" s="485">
        <f t="shared" si="0"/>
        <v>71</v>
      </c>
      <c r="C82" s="493" t="s">
        <v>91</v>
      </c>
      <c r="D82" s="490" t="s">
        <v>92</v>
      </c>
      <c r="E82" s="487">
        <v>1</v>
      </c>
    </row>
    <row r="83" spans="2:5" s="1" customFormat="1" ht="15.75" x14ac:dyDescent="0.25">
      <c r="B83" s="485">
        <f t="shared" si="0"/>
        <v>72</v>
      </c>
      <c r="C83" s="493" t="s">
        <v>93</v>
      </c>
      <c r="D83" s="490" t="s">
        <v>94</v>
      </c>
      <c r="E83" s="487">
        <v>1</v>
      </c>
    </row>
    <row r="84" spans="2:5" s="1" customFormat="1" ht="15.75" x14ac:dyDescent="0.25">
      <c r="B84" s="485">
        <f t="shared" si="0"/>
        <v>73</v>
      </c>
      <c r="C84" s="493" t="s">
        <v>95</v>
      </c>
      <c r="D84" s="490" t="s">
        <v>96</v>
      </c>
      <c r="E84" s="487">
        <v>1</v>
      </c>
    </row>
    <row r="85" spans="2:5" s="1" customFormat="1" ht="15.75" x14ac:dyDescent="0.25">
      <c r="B85" s="485">
        <f t="shared" si="0"/>
        <v>74</v>
      </c>
      <c r="C85" s="493" t="s">
        <v>97</v>
      </c>
      <c r="D85" s="490" t="s">
        <v>98</v>
      </c>
      <c r="E85" s="487">
        <v>1</v>
      </c>
    </row>
    <row r="86" spans="2:5" s="1" customFormat="1" ht="15.75" x14ac:dyDescent="0.25">
      <c r="B86" s="485">
        <f t="shared" si="0"/>
        <v>75</v>
      </c>
      <c r="C86" s="493" t="s">
        <v>99</v>
      </c>
      <c r="D86" s="490" t="s">
        <v>100</v>
      </c>
      <c r="E86" s="487">
        <v>1</v>
      </c>
    </row>
    <row r="87" spans="2:5" s="1" customFormat="1" ht="31.5" x14ac:dyDescent="0.25">
      <c r="B87" s="485">
        <f t="shared" si="0"/>
        <v>76</v>
      </c>
      <c r="C87" s="494" t="s">
        <v>212</v>
      </c>
      <c r="D87" s="490" t="s">
        <v>101</v>
      </c>
      <c r="E87" s="487">
        <v>1</v>
      </c>
    </row>
    <row r="88" spans="2:5" s="1" customFormat="1" ht="31.5" x14ac:dyDescent="0.25">
      <c r="B88" s="485">
        <f t="shared" si="0"/>
        <v>77</v>
      </c>
      <c r="C88" s="493" t="s">
        <v>211</v>
      </c>
      <c r="D88" s="490" t="s">
        <v>102</v>
      </c>
      <c r="E88" s="487">
        <v>1</v>
      </c>
    </row>
    <row r="89" spans="2:5" s="1" customFormat="1" ht="15.75" x14ac:dyDescent="0.25">
      <c r="B89" s="485">
        <f t="shared" si="0"/>
        <v>78</v>
      </c>
      <c r="C89" s="493" t="s">
        <v>210</v>
      </c>
      <c r="D89" s="490" t="s">
        <v>103</v>
      </c>
      <c r="E89" s="487">
        <v>1</v>
      </c>
    </row>
    <row r="90" spans="2:5" s="1" customFormat="1" ht="31.5" x14ac:dyDescent="0.25">
      <c r="B90" s="485">
        <f t="shared" si="0"/>
        <v>79</v>
      </c>
      <c r="C90" s="493" t="s">
        <v>6558</v>
      </c>
      <c r="D90" s="489" t="s">
        <v>104</v>
      </c>
      <c r="E90" s="487">
        <v>1</v>
      </c>
    </row>
    <row r="91" spans="2:5" s="1" customFormat="1" ht="31.5" x14ac:dyDescent="0.25">
      <c r="B91" s="485">
        <f t="shared" si="0"/>
        <v>80</v>
      </c>
      <c r="C91" s="493" t="s">
        <v>6559</v>
      </c>
      <c r="D91" s="489" t="s">
        <v>104</v>
      </c>
      <c r="E91" s="487">
        <v>1</v>
      </c>
    </row>
    <row r="92" spans="2:5" s="1" customFormat="1" ht="15.75" x14ac:dyDescent="0.25">
      <c r="B92" s="485">
        <f t="shared" si="0"/>
        <v>81</v>
      </c>
      <c r="C92" s="493" t="s">
        <v>105</v>
      </c>
      <c r="D92" s="490" t="s">
        <v>106</v>
      </c>
      <c r="E92" s="487">
        <v>1</v>
      </c>
    </row>
    <row r="93" spans="2:5" ht="15.75" x14ac:dyDescent="0.25">
      <c r="B93" s="485">
        <f t="shared" si="0"/>
        <v>82</v>
      </c>
      <c r="C93" s="493" t="s">
        <v>107</v>
      </c>
      <c r="D93" s="490" t="s">
        <v>108</v>
      </c>
      <c r="E93" s="487">
        <v>1</v>
      </c>
    </row>
    <row r="94" spans="2:5" ht="31.5" x14ac:dyDescent="0.25">
      <c r="B94" s="485">
        <f t="shared" ref="B94:B118" si="1">B93+1</f>
        <v>83</v>
      </c>
      <c r="C94" s="494" t="s">
        <v>109</v>
      </c>
      <c r="D94" s="490" t="s">
        <v>110</v>
      </c>
      <c r="E94" s="487">
        <v>1</v>
      </c>
    </row>
    <row r="95" spans="2:5" ht="31.5" x14ac:dyDescent="0.25">
      <c r="B95" s="485">
        <f t="shared" si="1"/>
        <v>84</v>
      </c>
      <c r="C95" s="1106" t="s">
        <v>112</v>
      </c>
      <c r="D95" s="490" t="s">
        <v>9238</v>
      </c>
      <c r="E95" s="487">
        <v>1</v>
      </c>
    </row>
    <row r="96" spans="2:5" s="1" customFormat="1" ht="31.5" x14ac:dyDescent="0.25">
      <c r="B96" s="485">
        <f t="shared" si="1"/>
        <v>85</v>
      </c>
      <c r="C96" s="494" t="s">
        <v>6560</v>
      </c>
      <c r="D96" s="489" t="s">
        <v>113</v>
      </c>
      <c r="E96" s="487">
        <v>1</v>
      </c>
    </row>
    <row r="97" spans="2:5" s="1" customFormat="1" ht="31.5" x14ac:dyDescent="0.25">
      <c r="B97" s="485">
        <f t="shared" si="1"/>
        <v>86</v>
      </c>
      <c r="C97" s="494" t="s">
        <v>6561</v>
      </c>
      <c r="D97" s="489" t="s">
        <v>113</v>
      </c>
      <c r="E97" s="487">
        <v>1</v>
      </c>
    </row>
    <row r="98" spans="2:5" s="1" customFormat="1" ht="47.25" x14ac:dyDescent="0.25">
      <c r="B98" s="485">
        <f t="shared" si="1"/>
        <v>87</v>
      </c>
      <c r="C98" s="494" t="s">
        <v>114</v>
      </c>
      <c r="D98" s="490" t="s">
        <v>135</v>
      </c>
      <c r="E98" s="487">
        <v>1</v>
      </c>
    </row>
    <row r="99" spans="2:5" s="1" customFormat="1" ht="31.5" x14ac:dyDescent="0.25">
      <c r="B99" s="485">
        <f t="shared" si="1"/>
        <v>88</v>
      </c>
      <c r="C99" s="494" t="s">
        <v>115</v>
      </c>
      <c r="D99" s="490" t="s">
        <v>136</v>
      </c>
      <c r="E99" s="487">
        <v>1</v>
      </c>
    </row>
    <row r="100" spans="2:5" s="1" customFormat="1" ht="31.5" x14ac:dyDescent="0.25">
      <c r="B100" s="485">
        <f t="shared" si="1"/>
        <v>89</v>
      </c>
      <c r="C100" s="1106" t="s">
        <v>9195</v>
      </c>
      <c r="D100" s="534" t="s">
        <v>111</v>
      </c>
      <c r="E100" s="529">
        <v>1</v>
      </c>
    </row>
    <row r="101" spans="2:5" s="1" customFormat="1" ht="31.5" x14ac:dyDescent="0.25">
      <c r="B101" s="485">
        <f t="shared" si="1"/>
        <v>90</v>
      </c>
      <c r="C101" s="1106" t="s">
        <v>7081</v>
      </c>
      <c r="D101" s="534" t="s">
        <v>5883</v>
      </c>
      <c r="E101" s="529">
        <v>1</v>
      </c>
    </row>
    <row r="102" spans="2:5" s="1" customFormat="1" ht="15.75" x14ac:dyDescent="0.25">
      <c r="B102" s="485">
        <f t="shared" si="1"/>
        <v>91</v>
      </c>
      <c r="C102" s="494" t="s">
        <v>6562</v>
      </c>
      <c r="D102" s="489" t="s">
        <v>116</v>
      </c>
      <c r="E102" s="487">
        <v>1</v>
      </c>
    </row>
    <row r="103" spans="2:5" s="1" customFormat="1" ht="15.75" x14ac:dyDescent="0.25">
      <c r="B103" s="485">
        <f t="shared" si="1"/>
        <v>92</v>
      </c>
      <c r="C103" s="1106" t="s">
        <v>6563</v>
      </c>
      <c r="D103" s="489" t="s">
        <v>116</v>
      </c>
      <c r="E103" s="487">
        <v>1</v>
      </c>
    </row>
    <row r="104" spans="2:5" s="1" customFormat="1" ht="15.75" x14ac:dyDescent="0.25">
      <c r="B104" s="485">
        <f t="shared" si="1"/>
        <v>93</v>
      </c>
      <c r="C104" s="494" t="s">
        <v>6564</v>
      </c>
      <c r="D104" s="489" t="s">
        <v>116</v>
      </c>
      <c r="E104" s="487">
        <v>1</v>
      </c>
    </row>
    <row r="105" spans="2:5" s="1" customFormat="1" ht="15.75" x14ac:dyDescent="0.25">
      <c r="B105" s="485">
        <f t="shared" si="1"/>
        <v>94</v>
      </c>
      <c r="C105" s="494" t="s">
        <v>1</v>
      </c>
      <c r="D105" s="490" t="s">
        <v>124</v>
      </c>
      <c r="E105" s="487">
        <v>1</v>
      </c>
    </row>
    <row r="106" spans="2:5" s="1" customFormat="1" ht="15.75" x14ac:dyDescent="0.25">
      <c r="B106" s="485">
        <f t="shared" si="1"/>
        <v>95</v>
      </c>
      <c r="C106" s="1106" t="s">
        <v>117</v>
      </c>
      <c r="D106" s="490" t="s">
        <v>125</v>
      </c>
      <c r="E106" s="487">
        <v>1</v>
      </c>
    </row>
    <row r="107" spans="2:5" s="1" customFormat="1" ht="15.75" x14ac:dyDescent="0.25">
      <c r="B107" s="485">
        <f t="shared" si="1"/>
        <v>96</v>
      </c>
      <c r="C107" s="1106" t="s">
        <v>126</v>
      </c>
      <c r="D107" s="490" t="s">
        <v>127</v>
      </c>
      <c r="E107" s="487">
        <v>1</v>
      </c>
    </row>
    <row r="108" spans="2:5" s="1" customFormat="1" ht="18" customHeight="1" x14ac:dyDescent="0.2">
      <c r="B108" s="485">
        <f t="shared" si="1"/>
        <v>97</v>
      </c>
      <c r="C108" s="494" t="s">
        <v>128</v>
      </c>
      <c r="D108" s="491" t="s">
        <v>129</v>
      </c>
      <c r="E108" s="487">
        <v>1</v>
      </c>
    </row>
    <row r="109" spans="2:5" s="1" customFormat="1" ht="15.75" x14ac:dyDescent="0.25">
      <c r="B109" s="485">
        <f t="shared" si="1"/>
        <v>98</v>
      </c>
      <c r="C109" s="1106" t="s">
        <v>130</v>
      </c>
      <c r="D109" s="490" t="s">
        <v>131</v>
      </c>
      <c r="E109" s="487">
        <v>1</v>
      </c>
    </row>
    <row r="110" spans="2:5" s="1" customFormat="1" ht="15.75" x14ac:dyDescent="0.25">
      <c r="B110" s="485">
        <f t="shared" si="1"/>
        <v>99</v>
      </c>
      <c r="C110" s="1106" t="s">
        <v>132</v>
      </c>
      <c r="D110" s="490" t="s">
        <v>133</v>
      </c>
      <c r="E110" s="487">
        <v>1</v>
      </c>
    </row>
    <row r="111" spans="2:5" s="1" customFormat="1" ht="15.75" x14ac:dyDescent="0.25">
      <c r="B111" s="485">
        <f t="shared" si="1"/>
        <v>100</v>
      </c>
      <c r="C111" s="494" t="s">
        <v>2</v>
      </c>
      <c r="D111" s="490" t="s">
        <v>118</v>
      </c>
      <c r="E111" s="487">
        <v>1</v>
      </c>
    </row>
    <row r="112" spans="2:5" s="1" customFormat="1" ht="15.75" x14ac:dyDescent="0.25">
      <c r="B112" s="485">
        <f t="shared" si="1"/>
        <v>101</v>
      </c>
      <c r="C112" s="494" t="s">
        <v>120</v>
      </c>
      <c r="D112" s="490" t="s">
        <v>119</v>
      </c>
      <c r="E112" s="487">
        <v>1</v>
      </c>
    </row>
    <row r="113" spans="2:5" s="1" customFormat="1" ht="15.75" x14ac:dyDescent="0.25">
      <c r="B113" s="485">
        <f t="shared" si="1"/>
        <v>102</v>
      </c>
      <c r="C113" s="494" t="s">
        <v>213</v>
      </c>
      <c r="D113" s="490" t="s">
        <v>122</v>
      </c>
      <c r="E113" s="487">
        <v>1</v>
      </c>
    </row>
    <row r="114" spans="2:5" s="1" customFormat="1" ht="31.5" x14ac:dyDescent="0.25">
      <c r="B114" s="485">
        <f t="shared" si="1"/>
        <v>103</v>
      </c>
      <c r="C114" s="494" t="s">
        <v>214</v>
      </c>
      <c r="D114" s="490" t="s">
        <v>134</v>
      </c>
      <c r="E114" s="487">
        <v>1</v>
      </c>
    </row>
    <row r="115" spans="2:5" s="1" customFormat="1" ht="15.75" x14ac:dyDescent="0.25">
      <c r="B115" s="485">
        <f t="shared" si="1"/>
        <v>104</v>
      </c>
      <c r="C115" s="533" t="s">
        <v>9236</v>
      </c>
      <c r="D115" s="534" t="s">
        <v>9631</v>
      </c>
      <c r="E115" s="529">
        <v>1</v>
      </c>
    </row>
    <row r="116" spans="2:5" s="1" customFormat="1" ht="15.75" x14ac:dyDescent="0.25">
      <c r="B116" s="485">
        <f t="shared" si="1"/>
        <v>105</v>
      </c>
      <c r="C116" s="533" t="s">
        <v>9237</v>
      </c>
      <c r="D116" s="534" t="s">
        <v>9634</v>
      </c>
      <c r="E116" s="529">
        <v>1</v>
      </c>
    </row>
    <row r="117" spans="2:5" s="1" customFormat="1" ht="63" customHeight="1" x14ac:dyDescent="0.2">
      <c r="B117" s="485">
        <f t="shared" si="1"/>
        <v>106</v>
      </c>
      <c r="C117" s="1106" t="s">
        <v>215</v>
      </c>
      <c r="D117" s="491" t="s">
        <v>121</v>
      </c>
      <c r="E117" s="487">
        <v>1</v>
      </c>
    </row>
    <row r="118" spans="2:5" ht="28.5" customHeight="1" x14ac:dyDescent="0.25">
      <c r="B118" s="485">
        <f t="shared" si="1"/>
        <v>107</v>
      </c>
      <c r="C118" s="495" t="s">
        <v>216</v>
      </c>
      <c r="D118" s="491" t="s">
        <v>217</v>
      </c>
      <c r="E118" s="482">
        <v>1</v>
      </c>
    </row>
    <row r="119" spans="2:5" ht="15" x14ac:dyDescent="0.2">
      <c r="B119" s="2"/>
      <c r="C119" s="2"/>
      <c r="D119" s="2"/>
      <c r="E119" s="2"/>
    </row>
  </sheetData>
  <mergeCells count="1">
    <mergeCell ref="B4:E4"/>
  </mergeCells>
  <hyperlinks>
    <hyperlink ref="C10" location="'ССРСС(2000г )'!A1" display="ССР СС(2000г)"/>
    <hyperlink ref="C11" location="'ССРСС(2021г.)'!A1" display="ССР СС(2021г)"/>
    <hyperlink ref="C12" location="'ОСР 01-01(2000г)'!A1" display="ОСР 01-01(2000г)"/>
    <hyperlink ref="C13" location="'ОСР 01-01 (2021г)'!A1" display="ОСР 01-01(2021г)"/>
    <hyperlink ref="C14" location="' ЛСР 01-01-01'!A1" display="ЛСР 01-01-01"/>
    <hyperlink ref="C15" location="'ЛСР 01-01-02'!A1" display="ЛСР 01-01-02"/>
    <hyperlink ref="C16" location="'ОСР 01-02(2000г)'!A1" display="ОСР 01-02 (2000г)"/>
    <hyperlink ref="C17" location="'ОСР 02-01(2021г)'!A1" display="ОСР 01-02 (2021г)"/>
    <hyperlink ref="C18" location="'ЛСР 01-02-01'!A1" display="ЛСР 01-02-01"/>
    <hyperlink ref="C19" location="'ЛСР 01-02-02'!A1" display="ЛСР 01-02-02"/>
    <hyperlink ref="C25" location="'ЛСР 02-01-01'!A1" display="ЛСР 02-01-01"/>
    <hyperlink ref="C27" location="'ЛСР 02-01-03'!A1" display="ЛСР 02-01-03"/>
    <hyperlink ref="C28" location="'ЛСР 02-01-04'!A1" display="ЛСР 02-01-04"/>
    <hyperlink ref="C29" location="'ЛСР 02-01-05'!A1" display="ЛСР 02-01-05"/>
    <hyperlink ref="C31" location="'ЛСР 02-01-07'!A1" display="ЛСР 02-01-07"/>
    <hyperlink ref="C42" location="'ЛСР 03-01-09'!A1" display="ЛСР 03-01-09"/>
    <hyperlink ref="C43" location="'ЛСР 03-01-10'!A1" display="ЛСР 03-01-10"/>
    <hyperlink ref="C44" location="'ЛСР 03-01-11'!A1" display="ЛСР 03-01-11"/>
    <hyperlink ref="C45" location="'ЛСР 03-01-12'!A1" display="ЛСР 03-01-12"/>
    <hyperlink ref="C46" location="'ОСР 03-02(2000г)'!A1" display="ОСР 03-02 (2000г)"/>
    <hyperlink ref="C47" location="'ОСР 03-02(2021г)'!A1" display="ОСР 03-02 (2021г)"/>
    <hyperlink ref="C49" location="'ЛСР 03-02-02'!A1" display="ЛСР 03-02-02"/>
    <hyperlink ref="C50" location="'ЛСР 03-02-03'!A1" display="ЛСР 03-02-03"/>
    <hyperlink ref="C51" location="'ОСР 03-03(2000г)'!A1" display="ОСР 03-03 (2000г)"/>
    <hyperlink ref="C53" location="'ЛСР 03-03-01'!A1" display="ЛСР 03-03-01"/>
    <hyperlink ref="C54" location="'ЛСР 03-03-02'!A1" display="ЛСР 03-03-02"/>
    <hyperlink ref="C55" location="'ЛСР 03-03-03'!A1" display="ЛСР 03-03-03"/>
    <hyperlink ref="C56" location="'ЛСР 03-04-01'!A1" display="ЛСР 03-04-01"/>
    <hyperlink ref="C57" location="'ОСР 04-01(2000г)'!A1" display="ОСР 04-01(2000г)"/>
    <hyperlink ref="C60" location="'ЛСР 04-01-02'!A1" display="ЛСР 04-01-02"/>
    <hyperlink ref="C65" location="'ЛСР 05-01-01'!A1" display="ЛСР 05-01-01"/>
    <hyperlink ref="C66" location="'ОСР 05-02(2000г)'!A1" display="ОСР 05-02(2000г)"/>
    <hyperlink ref="C68" location="'ЛСР 05-02-01'!A1" display="ЛСР 05-02-01"/>
    <hyperlink ref="C69" location="'ЛСР 05-02-02'!A1" display="ЛСР 05-02-02"/>
    <hyperlink ref="C70" location="'ЛСР 05-02-03'!A1" display="ЛСР 05-02-03"/>
    <hyperlink ref="C72" location="'ЛСР 06-01-01'!A1" display="ЛСР 06-01-01"/>
    <hyperlink ref="C75" location="'ЛСР 06-02-01'!A1" display="ЛСР 06-02-01"/>
    <hyperlink ref="C76" location="'ЛСР 06-02-02'!A1" display="ЛСР 06-02-02"/>
    <hyperlink ref="C77" location="'ЛСР 06-02-03'!A1" display="ЛСР 06-02-03"/>
    <hyperlink ref="C78" location="'ЛСР 06-02-04'!A1" display="ЛСР 06-02-04"/>
    <hyperlink ref="C79" location="'ЛСР 06-02-05'!A1" display="ЛСР 06-02-05"/>
    <hyperlink ref="C82" location="'ЛСР 07-01-01'!A1" display="ЛСР 07-01-01"/>
    <hyperlink ref="C83" location="'ЛСР 07-01-02'!A1" display="ЛСР 07-01-02"/>
    <hyperlink ref="C84" location="'ЛСР 07-01-03'!A1" display="ЛСР 07-01-03"/>
    <hyperlink ref="C85" location="'ЛСР 07-01-04'!A1" display="ЛСР 07-01-04"/>
    <hyperlink ref="C86" location="'ЛСР 07-02-01'!A1" display="ЛСР 07-02-01"/>
    <hyperlink ref="C87" location="'Расчет 09-01-01'!A1" display="Расчет 09-01-01"/>
    <hyperlink ref="C88" location="'Расчет 09-02-01'!A1" display="Расчет 09-02-01"/>
    <hyperlink ref="C89" location="'Расчет 09-03-01'!A1" display="Расчет 09-03-01"/>
    <hyperlink ref="C90" location="'ОСР 09-04(2000г)'!Print_Titles" display="ОСР 09-04(2000г)"/>
    <hyperlink ref="C91" location="'ОСР 09-04 (2021г)'!Print_Titles" display="ОСР 09-04(2021г)"/>
    <hyperlink ref="C92" location="'ЛСР 09-04-01'!Print_Titles" display="ЛСР 09-04-01"/>
    <hyperlink ref="C93" location="'ЛСР 09-04-02 '!Print_Titles" display="ЛСР 09-04-02"/>
    <hyperlink ref="C94" location="'Расчет 09-05-01'!A1" display="ЛСР 09-05-01"/>
    <hyperlink ref="C96" location="'ОСР 09-07 (2000г.)'!A1" display="ОСР 09-07(2000г)"/>
    <hyperlink ref="C97" location="'ОСР 09-07_(2021г)'!A1" display="ОСР 09-07(2021г)"/>
    <hyperlink ref="C98" location="'ЛСР 09-07-01'!A1" display="ЛСР 09-07-01"/>
    <hyperlink ref="C99" location="'ЛСР 09-07-02'!A1" display="ЛСР 09-07-02"/>
    <hyperlink ref="C102" location="'ОСР ПИР (2021 г.)'!A1" display="ОСР ПИР (2021г)"/>
    <hyperlink ref="C104" location="'ОСР ПИР (2000 г).'!A1" display="ОСР ПИР (2000г)"/>
    <hyperlink ref="C105" location="'ЛСР 12-01-01'!A1" display="ЛСР 12-01-01"/>
    <hyperlink ref="C108" location="'ЛСР 12-01-04'!A1" display="ЛСР 12-01-04"/>
    <hyperlink ref="C111" location="'ЛСР 12-02-01'!A1" display="ЛСР 12-02-01"/>
    <hyperlink ref="C112" location="'ЛСР 12-03-01'!A1" display="ЛСР 12-03-01"/>
    <hyperlink ref="C113" location="'Расчет 12-04-01'!A1" display="Расчет 12-04-01"/>
    <hyperlink ref="C114" location="'Расчет 12-05-01'!A1" display="Расчет 12-05-01"/>
    <hyperlink ref="C118" location="' Калькуляция №1'!Print_Area" display="Калькуляция №1"/>
    <hyperlink ref="C20" location="'ЛСР 01-02-03'!Print_Area" display="ЛСР01-02-03"/>
    <hyperlink ref="C21" location="'ЛСР 01-03-01'!A1" display="ЛСР 01-03-01"/>
    <hyperlink ref="C26" location="'ЛСР 02-01-02'!Print_Area" display="ЛСР 02-01-02"/>
    <hyperlink ref="C61" location="'ОСР 04-02(2000г)'!A1" display="ОСР 04-02(2000г)"/>
    <hyperlink ref="C62" location="'ОСР04-02(2021г)'!A1" display="ОСР 04-02(2021г)"/>
    <hyperlink ref="C63" location="'ЛСР 04-02-01'!A1" display="ЛСР 04-02-01"/>
    <hyperlink ref="C64" location="'ЛСР 04-02-02'!A1" display="ЛСР 04-02-02"/>
    <hyperlink ref="C115" location="'ЛСР 12-06-01'!A1" display="ЛСР 12-06-01"/>
    <hyperlink ref="C116" location="'ЛСР 12-07-01'!A1" display="ЛСР12-07-01"/>
    <hyperlink ref="C22" location="'ЛСР 01-04-01'!A1" display="ЛСР 01-04-01"/>
    <hyperlink ref="C23" location="'ОСР 02-01(2000г)'!A1" display="ОСР 02-01 (2000г)"/>
    <hyperlink ref="C32" location="'ОСР 03-01(2000г)'!A1" display="ОСР 03-01 (2000г)"/>
    <hyperlink ref="C33" location="'ОСР 03-01(2021г)'!A1" display="ОСР 03-01 (2021г)"/>
    <hyperlink ref="C34" location="'ЛСР 03-01-01'!A1" display="ЛСР 03-01-01"/>
    <hyperlink ref="C35" location="'ЛСР 03-01-02'!A1" display="ЛСР 03-01-02"/>
    <hyperlink ref="C36" location="'ЛСР 03-01-03'!A1" display="ЛСР 03-01-03"/>
    <hyperlink ref="C37" location="'ЛСР 03-01-04'!A1" display="ЛСР 03-01-04"/>
    <hyperlink ref="C38" location="'ЛСР 03-01-05'!A1" display="ЛСР 03-01-05"/>
    <hyperlink ref="C39" location="'ЛСР 03-01-06'!A1" display="ЛСР 03-01-06"/>
    <hyperlink ref="C40" location="'ЛСР 03-01-07'!A1" display="ЛСР 03-01-07"/>
    <hyperlink ref="C41" location="' ЛСР 03-01-08'!A1" display="ЛСР 03-01-08"/>
    <hyperlink ref="C48" location="'ЛСР 03-02-01 '!A1" display="ЛСР 03-02-01"/>
    <hyperlink ref="C52" location="'ОСР03-03(2021г)'!A1" display="ОСР 03-03 (2021г)"/>
    <hyperlink ref="C58" location="'ОСР04-01(2021г)'!A1" display="ОСР 04-01(2021г)"/>
    <hyperlink ref="C59" location="'ЛСР 04-01-01'!A1" display="ЛСР 04-01-01"/>
    <hyperlink ref="C67" location="'ОСР 05-02(2021г)'!A1" display="ОСР 05-02(2021г)"/>
    <hyperlink ref="C71" location="'ЛСР 05-03-01'!A1" display="ЛСР 05-03-01"/>
    <hyperlink ref="C73" location="'ОСР 06-02(2000г)'!A1" display="ОСР 06-02(2000г)"/>
    <hyperlink ref="C74" location="'ОСР06-02(2021г)'!A1" display="ОСР 06-02(2021г)"/>
    <hyperlink ref="C80" location="'ОСР 07-01(2000г)'!A1" display="ОСР 07-01 (2000г)"/>
    <hyperlink ref="C81" location="'ОСР07-01(2021г)'!A1" display="ОСР 07-01 (2021г)"/>
    <hyperlink ref="C95" location="'Расчет 09-06-01 '!A1" display="ЛСР 09-06-01"/>
    <hyperlink ref="C100" location="'Расчет 09-08-01'!A1" display="ЛСР 09-08-01"/>
    <hyperlink ref="C101" location="'Расчет 10-01-01'!A1" display="Расчет 10-01-01"/>
    <hyperlink ref="C106" location="'ЛСР 12-01-02'!A1" display="ЛСР 12-01-02"/>
    <hyperlink ref="C107" location="'ЛСР 12-01-03'!A1" display="ЛСР 12-01-03"/>
    <hyperlink ref="C109" location="'ЛСР 12-01-05'!A1" display="ЛСР 12-01-05"/>
    <hyperlink ref="C24" location="'ОСР 02-01(2021г)'!A1" display="ОСР 02-01 (2021г)"/>
    <hyperlink ref="C30" location="'ЛСР 02-01-06'!A1" display="ЛСР 02-01-06"/>
    <hyperlink ref="C103" location="'ОСР ПИР ( 2001 г.) '!A1" display="ОСР ПИР (2001г)"/>
    <hyperlink ref="C110" location="'ЛСР 12-01-06 '!A1" display="ЛСР 12-01-06"/>
    <hyperlink ref="C117" location="'СР-7 '!A1" display="Расчет СР-7"/>
  </hyperlinks>
  <pageMargins left="0.7" right="0.7" top="0.75" bottom="0.75" header="0.3" footer="0.3"/>
  <pageSetup paperSize="9" scale="68" orientation="portrait" r:id="rId1"/>
  <colBreaks count="1" manualBreakCount="1">
    <brk id="7" max="28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29"/>
  <sheetViews>
    <sheetView topLeftCell="A394" zoomScale="115" zoomScaleNormal="115" workbookViewId="0">
      <selection activeCell="K442" sqref="K442"/>
    </sheetView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3" width="138.42578125" style="537" hidden="1" customWidth="1"/>
    <col min="24" max="24" width="34.140625" style="537" hidden="1" customWidth="1"/>
    <col min="25" max="25" width="110.140625" style="537" hidden="1" customWidth="1"/>
    <col min="26" max="29" width="34.140625" style="537" hidden="1" customWidth="1"/>
    <col min="30" max="30" width="110.140625" style="537" hidden="1" customWidth="1"/>
    <col min="31" max="31" width="34.140625" style="537" hidden="1" customWidth="1"/>
    <col min="32" max="37" width="84.42578125" style="537" hidden="1" customWidth="1"/>
    <col min="38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1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1806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1806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2431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58"/>
      <c r="B19" s="658"/>
      <c r="C19" s="658"/>
      <c r="D19" s="658"/>
      <c r="E19" s="658"/>
      <c r="F19" s="658"/>
      <c r="G19" s="658"/>
      <c r="H19" s="658"/>
      <c r="I19" s="658"/>
      <c r="J19" s="658"/>
      <c r="K19" s="658"/>
      <c r="L19" s="658"/>
      <c r="M19" s="658"/>
      <c r="N19" s="658"/>
    </row>
    <row r="20" spans="1:21" s="536" customFormat="1" x14ac:dyDescent="0.2">
      <c r="A20" s="1840" t="s">
        <v>38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38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2432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2433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177.25</v>
      </c>
      <c r="D28" s="579" t="s">
        <v>8107</v>
      </c>
      <c r="E28" s="661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1"/>
    </row>
    <row r="30" spans="1:21" s="536" customFormat="1" ht="12.75" customHeight="1" x14ac:dyDescent="0.2">
      <c r="B30" s="536" t="s">
        <v>169</v>
      </c>
      <c r="C30" s="580">
        <v>161.41999999999999</v>
      </c>
      <c r="D30" s="579" t="s">
        <v>8108</v>
      </c>
      <c r="E30" s="661" t="s">
        <v>167</v>
      </c>
      <c r="G30" s="536" t="s">
        <v>170</v>
      </c>
      <c r="L30" s="580">
        <v>0</v>
      </c>
      <c r="M30" s="579" t="s">
        <v>2434</v>
      </c>
      <c r="N30" s="661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661" t="s">
        <v>167</v>
      </c>
      <c r="G31" s="536" t="s">
        <v>172</v>
      </c>
      <c r="L31" s="582"/>
      <c r="M31" s="582">
        <v>42.65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15.83</v>
      </c>
      <c r="D32" s="583" t="s">
        <v>2435</v>
      </c>
      <c r="E32" s="661" t="s">
        <v>167</v>
      </c>
      <c r="G32" s="536" t="s">
        <v>174</v>
      </c>
      <c r="L32" s="582"/>
      <c r="M32" s="582">
        <v>2.06</v>
      </c>
      <c r="N32" s="581" t="s">
        <v>173</v>
      </c>
    </row>
    <row r="33" spans="1:28" s="536" customFormat="1" ht="12.75" customHeight="1" x14ac:dyDescent="0.2">
      <c r="B33" s="536" t="s">
        <v>147</v>
      </c>
      <c r="C33" s="580">
        <v>0</v>
      </c>
      <c r="D33" s="579" t="s">
        <v>171</v>
      </c>
      <c r="E33" s="661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659" t="s">
        <v>182</v>
      </c>
      <c r="H37" s="659" t="s">
        <v>183</v>
      </c>
      <c r="I37" s="659" t="s">
        <v>184</v>
      </c>
      <c r="J37" s="659" t="s">
        <v>182</v>
      </c>
      <c r="K37" s="659" t="s">
        <v>183</v>
      </c>
      <c r="L37" s="659" t="s">
        <v>148</v>
      </c>
      <c r="M37" s="1833"/>
      <c r="N37" s="1833"/>
    </row>
    <row r="38" spans="1:28" s="536" customFormat="1" x14ac:dyDescent="0.2">
      <c r="A38" s="660">
        <v>1</v>
      </c>
      <c r="B38" s="660">
        <v>2</v>
      </c>
      <c r="C38" s="1834">
        <v>3</v>
      </c>
      <c r="D38" s="1834"/>
      <c r="E38" s="1834"/>
      <c r="F38" s="660">
        <v>4</v>
      </c>
      <c r="G38" s="660">
        <v>5</v>
      </c>
      <c r="H38" s="660">
        <v>6</v>
      </c>
      <c r="I38" s="660">
        <v>7</v>
      </c>
      <c r="J38" s="660">
        <v>8</v>
      </c>
      <c r="K38" s="660">
        <v>9</v>
      </c>
      <c r="L38" s="660">
        <v>10</v>
      </c>
      <c r="M38" s="660">
        <v>11</v>
      </c>
      <c r="N38" s="660">
        <v>12</v>
      </c>
    </row>
    <row r="39" spans="1:28" s="536" customFormat="1" ht="12" x14ac:dyDescent="0.2">
      <c r="A39" s="1824" t="s">
        <v>2436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2436</v>
      </c>
    </row>
    <row r="40" spans="1:28" s="536" customFormat="1" ht="12" x14ac:dyDescent="0.2">
      <c r="A40" s="1830" t="s">
        <v>2437</v>
      </c>
      <c r="B40" s="1831"/>
      <c r="C40" s="1831"/>
      <c r="D40" s="1831"/>
      <c r="E40" s="1831"/>
      <c r="F40" s="1831"/>
      <c r="G40" s="1831"/>
      <c r="H40" s="1831"/>
      <c r="I40" s="1831"/>
      <c r="J40" s="1831"/>
      <c r="K40" s="1831"/>
      <c r="L40" s="1831"/>
      <c r="M40" s="1831"/>
      <c r="N40" s="1832"/>
      <c r="V40" s="674"/>
      <c r="W40" s="675" t="s">
        <v>2437</v>
      </c>
    </row>
    <row r="41" spans="1:28" s="536" customFormat="1" ht="22.5" x14ac:dyDescent="0.2">
      <c r="A41" s="575" t="s">
        <v>185</v>
      </c>
      <c r="B41" s="657" t="s">
        <v>2438</v>
      </c>
      <c r="C41" s="1823" t="s">
        <v>2439</v>
      </c>
      <c r="D41" s="1823"/>
      <c r="E41" s="1823"/>
      <c r="F41" s="573" t="s">
        <v>638</v>
      </c>
      <c r="G41" s="573"/>
      <c r="H41" s="573"/>
      <c r="I41" s="573" t="s">
        <v>185</v>
      </c>
      <c r="J41" s="572"/>
      <c r="K41" s="573"/>
      <c r="L41" s="572"/>
      <c r="M41" s="571"/>
      <c r="N41" s="570"/>
      <c r="V41" s="674"/>
      <c r="W41" s="675"/>
      <c r="X41" s="675" t="s">
        <v>2439</v>
      </c>
    </row>
    <row r="42" spans="1:28" s="536" customFormat="1" ht="22.5" x14ac:dyDescent="0.2">
      <c r="A42" s="609"/>
      <c r="B42" s="552" t="s">
        <v>499</v>
      </c>
      <c r="C42" s="1822" t="s">
        <v>500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X42" s="675"/>
      <c r="Y42" s="537" t="s">
        <v>500</v>
      </c>
    </row>
    <row r="43" spans="1:28" s="536" customFormat="1" ht="12" x14ac:dyDescent="0.2">
      <c r="A43" s="605"/>
      <c r="B43" s="552" t="s">
        <v>185</v>
      </c>
      <c r="C43" s="1822" t="s">
        <v>312</v>
      </c>
      <c r="D43" s="1822"/>
      <c r="E43" s="1822"/>
      <c r="F43" s="562"/>
      <c r="G43" s="562"/>
      <c r="H43" s="562"/>
      <c r="I43" s="562"/>
      <c r="J43" s="604">
        <v>2.1800000000000002</v>
      </c>
      <c r="K43" s="562" t="s">
        <v>313</v>
      </c>
      <c r="L43" s="604">
        <v>2.73</v>
      </c>
      <c r="M43" s="603"/>
      <c r="N43" s="602"/>
      <c r="V43" s="674"/>
      <c r="W43" s="675"/>
      <c r="X43" s="675"/>
      <c r="Z43" s="537" t="s">
        <v>312</v>
      </c>
    </row>
    <row r="44" spans="1:28" s="536" customFormat="1" ht="12" x14ac:dyDescent="0.2">
      <c r="A44" s="605"/>
      <c r="B44" s="552" t="s">
        <v>188</v>
      </c>
      <c r="C44" s="1822" t="s">
        <v>475</v>
      </c>
      <c r="D44" s="1822"/>
      <c r="E44" s="1822"/>
      <c r="F44" s="562"/>
      <c r="G44" s="562"/>
      <c r="H44" s="562"/>
      <c r="I44" s="562"/>
      <c r="J44" s="604">
        <v>0.84</v>
      </c>
      <c r="K44" s="562"/>
      <c r="L44" s="604">
        <v>0.84</v>
      </c>
      <c r="M44" s="603"/>
      <c r="N44" s="602"/>
      <c r="V44" s="674"/>
      <c r="W44" s="675"/>
      <c r="X44" s="675"/>
      <c r="Z44" s="537" t="s">
        <v>475</v>
      </c>
    </row>
    <row r="45" spans="1:28" s="536" customFormat="1" ht="12" x14ac:dyDescent="0.2">
      <c r="A45" s="605"/>
      <c r="B45" s="552"/>
      <c r="C45" s="1822" t="s">
        <v>314</v>
      </c>
      <c r="D45" s="1822"/>
      <c r="E45" s="1822"/>
      <c r="F45" s="562" t="s">
        <v>315</v>
      </c>
      <c r="G45" s="562" t="s">
        <v>2440</v>
      </c>
      <c r="H45" s="562" t="s">
        <v>313</v>
      </c>
      <c r="I45" s="562" t="s">
        <v>2441</v>
      </c>
      <c r="J45" s="604"/>
      <c r="K45" s="562"/>
      <c r="L45" s="604"/>
      <c r="M45" s="603"/>
      <c r="N45" s="602"/>
      <c r="V45" s="674"/>
      <c r="W45" s="675"/>
      <c r="X45" s="675"/>
      <c r="AA45" s="537" t="s">
        <v>314</v>
      </c>
    </row>
    <row r="46" spans="1:28" s="536" customFormat="1" ht="12" x14ac:dyDescent="0.2">
      <c r="A46" s="605"/>
      <c r="B46" s="552"/>
      <c r="C46" s="1828" t="s">
        <v>318</v>
      </c>
      <c r="D46" s="1828"/>
      <c r="E46" s="1828"/>
      <c r="F46" s="608"/>
      <c r="G46" s="608"/>
      <c r="H46" s="608"/>
      <c r="I46" s="608"/>
      <c r="J46" s="607">
        <v>3.02</v>
      </c>
      <c r="K46" s="608"/>
      <c r="L46" s="607">
        <v>3.57</v>
      </c>
      <c r="M46" s="601"/>
      <c r="N46" s="606"/>
      <c r="V46" s="674"/>
      <c r="W46" s="675"/>
      <c r="X46" s="675"/>
      <c r="AB46" s="537" t="s">
        <v>318</v>
      </c>
    </row>
    <row r="47" spans="1:28" s="536" customFormat="1" ht="12" x14ac:dyDescent="0.2">
      <c r="A47" s="605"/>
      <c r="B47" s="552"/>
      <c r="C47" s="1822" t="s">
        <v>319</v>
      </c>
      <c r="D47" s="1822"/>
      <c r="E47" s="1822"/>
      <c r="F47" s="562"/>
      <c r="G47" s="562"/>
      <c r="H47" s="562"/>
      <c r="I47" s="562"/>
      <c r="J47" s="604"/>
      <c r="K47" s="562"/>
      <c r="L47" s="604">
        <v>2.73</v>
      </c>
      <c r="M47" s="603"/>
      <c r="N47" s="602"/>
      <c r="V47" s="674"/>
      <c r="W47" s="675"/>
      <c r="X47" s="675"/>
      <c r="AA47" s="537" t="s">
        <v>319</v>
      </c>
    </row>
    <row r="48" spans="1:28" s="536" customFormat="1" ht="45" x14ac:dyDescent="0.2">
      <c r="A48" s="605"/>
      <c r="B48" s="552" t="s">
        <v>892</v>
      </c>
      <c r="C48" s="1822" t="s">
        <v>893</v>
      </c>
      <c r="D48" s="1822"/>
      <c r="E48" s="1822"/>
      <c r="F48" s="562" t="s">
        <v>322</v>
      </c>
      <c r="G48" s="562" t="s">
        <v>894</v>
      </c>
      <c r="H48" s="562"/>
      <c r="I48" s="562" t="s">
        <v>894</v>
      </c>
      <c r="J48" s="604"/>
      <c r="K48" s="562"/>
      <c r="L48" s="604">
        <v>3.3</v>
      </c>
      <c r="M48" s="603"/>
      <c r="N48" s="602"/>
      <c r="V48" s="674"/>
      <c r="W48" s="675"/>
      <c r="X48" s="675"/>
      <c r="AA48" s="537" t="s">
        <v>893</v>
      </c>
    </row>
    <row r="49" spans="1:29" s="536" customFormat="1" ht="45" x14ac:dyDescent="0.2">
      <c r="A49" s="605"/>
      <c r="B49" s="552" t="s">
        <v>895</v>
      </c>
      <c r="C49" s="1822" t="s">
        <v>896</v>
      </c>
      <c r="D49" s="1822"/>
      <c r="E49" s="1822"/>
      <c r="F49" s="562" t="s">
        <v>322</v>
      </c>
      <c r="G49" s="562" t="s">
        <v>897</v>
      </c>
      <c r="H49" s="562"/>
      <c r="I49" s="562" t="s">
        <v>897</v>
      </c>
      <c r="J49" s="604"/>
      <c r="K49" s="562"/>
      <c r="L49" s="604">
        <v>1.97</v>
      </c>
      <c r="M49" s="603"/>
      <c r="N49" s="602"/>
      <c r="V49" s="674"/>
      <c r="W49" s="675"/>
      <c r="X49" s="675"/>
      <c r="AA49" s="537" t="s">
        <v>896</v>
      </c>
    </row>
    <row r="50" spans="1:29" s="536" customFormat="1" ht="12" x14ac:dyDescent="0.2">
      <c r="A50" s="569"/>
      <c r="B50" s="656"/>
      <c r="C50" s="1823" t="s">
        <v>327</v>
      </c>
      <c r="D50" s="1823"/>
      <c r="E50" s="1823"/>
      <c r="F50" s="573"/>
      <c r="G50" s="573"/>
      <c r="H50" s="573"/>
      <c r="I50" s="573"/>
      <c r="J50" s="572"/>
      <c r="K50" s="573"/>
      <c r="L50" s="572">
        <v>8.84</v>
      </c>
      <c r="M50" s="601"/>
      <c r="N50" s="570"/>
      <c r="V50" s="674"/>
      <c r="W50" s="675"/>
      <c r="X50" s="675"/>
      <c r="AC50" s="675" t="s">
        <v>327</v>
      </c>
    </row>
    <row r="51" spans="1:29" s="536" customFormat="1" ht="33.75" x14ac:dyDescent="0.2">
      <c r="A51" s="575" t="s">
        <v>625</v>
      </c>
      <c r="B51" s="657" t="s">
        <v>2442</v>
      </c>
      <c r="C51" s="1823" t="s">
        <v>2443</v>
      </c>
      <c r="D51" s="1823"/>
      <c r="E51" s="1823"/>
      <c r="F51" s="573" t="s">
        <v>628</v>
      </c>
      <c r="G51" s="573"/>
      <c r="H51" s="573"/>
      <c r="I51" s="573" t="s">
        <v>185</v>
      </c>
      <c r="J51" s="572">
        <v>1436.47</v>
      </c>
      <c r="K51" s="573" t="s">
        <v>629</v>
      </c>
      <c r="L51" s="572">
        <v>316.77999999999997</v>
      </c>
      <c r="M51" s="571">
        <v>4.59</v>
      </c>
      <c r="N51" s="570">
        <v>1454</v>
      </c>
      <c r="V51" s="674"/>
      <c r="W51" s="675"/>
      <c r="X51" s="675" t="s">
        <v>2443</v>
      </c>
      <c r="AC51" s="675"/>
    </row>
    <row r="52" spans="1:29" s="536" customFormat="1" ht="12" x14ac:dyDescent="0.2">
      <c r="A52" s="569"/>
      <c r="B52" s="656"/>
      <c r="C52" s="661" t="s">
        <v>630</v>
      </c>
      <c r="D52" s="662"/>
      <c r="E52" s="662"/>
      <c r="F52" s="563"/>
      <c r="G52" s="563"/>
      <c r="H52" s="563"/>
      <c r="I52" s="563"/>
      <c r="J52" s="566"/>
      <c r="K52" s="563"/>
      <c r="L52" s="566"/>
      <c r="M52" s="565"/>
      <c r="N52" s="564"/>
      <c r="V52" s="674"/>
      <c r="W52" s="675"/>
      <c r="X52" s="675"/>
      <c r="AC52" s="675"/>
    </row>
    <row r="53" spans="1:29" s="536" customFormat="1" ht="22.5" x14ac:dyDescent="0.2">
      <c r="A53" s="609"/>
      <c r="B53" s="552" t="s">
        <v>631</v>
      </c>
      <c r="C53" s="1822" t="s">
        <v>632</v>
      </c>
      <c r="D53" s="1822"/>
      <c r="E53" s="1822"/>
      <c r="F53" s="1822"/>
      <c r="G53" s="1822"/>
      <c r="H53" s="1822"/>
      <c r="I53" s="1822"/>
      <c r="J53" s="1822"/>
      <c r="K53" s="1822"/>
      <c r="L53" s="1822"/>
      <c r="M53" s="1822"/>
      <c r="N53" s="1827"/>
      <c r="V53" s="674"/>
      <c r="W53" s="675"/>
      <c r="X53" s="675"/>
      <c r="Y53" s="537" t="s">
        <v>632</v>
      </c>
      <c r="AC53" s="675"/>
    </row>
    <row r="54" spans="1:29" s="536" customFormat="1" ht="33.75" x14ac:dyDescent="0.2">
      <c r="A54" s="575" t="s">
        <v>187</v>
      </c>
      <c r="B54" s="657" t="s">
        <v>2444</v>
      </c>
      <c r="C54" s="1823" t="s">
        <v>2445</v>
      </c>
      <c r="D54" s="1823"/>
      <c r="E54" s="1823"/>
      <c r="F54" s="573" t="s">
        <v>617</v>
      </c>
      <c r="G54" s="573"/>
      <c r="H54" s="573"/>
      <c r="I54" s="573" t="s">
        <v>185</v>
      </c>
      <c r="J54" s="572">
        <v>146.24</v>
      </c>
      <c r="K54" s="573"/>
      <c r="L54" s="572">
        <v>146.24</v>
      </c>
      <c r="M54" s="571"/>
      <c r="N54" s="570"/>
      <c r="V54" s="674"/>
      <c r="W54" s="675"/>
      <c r="X54" s="675" t="s">
        <v>2445</v>
      </c>
      <c r="AC54" s="675"/>
    </row>
    <row r="55" spans="1:29" s="536" customFormat="1" ht="12" x14ac:dyDescent="0.2">
      <c r="A55" s="569"/>
      <c r="B55" s="656"/>
      <c r="C55" s="661" t="s">
        <v>717</v>
      </c>
      <c r="D55" s="662"/>
      <c r="E55" s="662"/>
      <c r="F55" s="563"/>
      <c r="G55" s="563"/>
      <c r="H55" s="563"/>
      <c r="I55" s="563"/>
      <c r="J55" s="566"/>
      <c r="K55" s="563"/>
      <c r="L55" s="566"/>
      <c r="M55" s="565"/>
      <c r="N55" s="564"/>
      <c r="V55" s="674"/>
      <c r="W55" s="675"/>
      <c r="X55" s="675"/>
      <c r="AC55" s="675"/>
    </row>
    <row r="56" spans="1:29" s="536" customFormat="1" ht="22.5" x14ac:dyDescent="0.2">
      <c r="A56" s="575" t="s">
        <v>188</v>
      </c>
      <c r="B56" s="657" t="s">
        <v>2446</v>
      </c>
      <c r="C56" s="1823" t="s">
        <v>2447</v>
      </c>
      <c r="D56" s="1823"/>
      <c r="E56" s="1823"/>
      <c r="F56" s="573" t="s">
        <v>617</v>
      </c>
      <c r="G56" s="573"/>
      <c r="H56" s="573"/>
      <c r="I56" s="573" t="s">
        <v>185</v>
      </c>
      <c r="J56" s="572"/>
      <c r="K56" s="573"/>
      <c r="L56" s="572"/>
      <c r="M56" s="571"/>
      <c r="N56" s="570"/>
      <c r="V56" s="674"/>
      <c r="W56" s="675"/>
      <c r="X56" s="675" t="s">
        <v>2447</v>
      </c>
      <c r="AC56" s="675"/>
    </row>
    <row r="57" spans="1:29" s="536" customFormat="1" ht="22.5" x14ac:dyDescent="0.2">
      <c r="A57" s="609"/>
      <c r="B57" s="552" t="s">
        <v>499</v>
      </c>
      <c r="C57" s="1822" t="s">
        <v>500</v>
      </c>
      <c r="D57" s="1822"/>
      <c r="E57" s="1822"/>
      <c r="F57" s="1822"/>
      <c r="G57" s="1822"/>
      <c r="H57" s="1822"/>
      <c r="I57" s="1822"/>
      <c r="J57" s="1822"/>
      <c r="K57" s="1822"/>
      <c r="L57" s="1822"/>
      <c r="M57" s="1822"/>
      <c r="N57" s="1827"/>
      <c r="V57" s="674"/>
      <c r="W57" s="675"/>
      <c r="X57" s="675"/>
      <c r="Y57" s="537" t="s">
        <v>500</v>
      </c>
      <c r="AC57" s="675"/>
    </row>
    <row r="58" spans="1:29" s="536" customFormat="1" ht="12" x14ac:dyDescent="0.2">
      <c r="A58" s="605"/>
      <c r="B58" s="552" t="s">
        <v>185</v>
      </c>
      <c r="C58" s="1822" t="s">
        <v>312</v>
      </c>
      <c r="D58" s="1822"/>
      <c r="E58" s="1822"/>
      <c r="F58" s="562"/>
      <c r="G58" s="562"/>
      <c r="H58" s="562"/>
      <c r="I58" s="562"/>
      <c r="J58" s="604">
        <v>3.85</v>
      </c>
      <c r="K58" s="562" t="s">
        <v>313</v>
      </c>
      <c r="L58" s="604">
        <v>4.8099999999999996</v>
      </c>
      <c r="M58" s="603"/>
      <c r="N58" s="602"/>
      <c r="V58" s="674"/>
      <c r="W58" s="675"/>
      <c r="X58" s="675"/>
      <c r="Z58" s="537" t="s">
        <v>312</v>
      </c>
      <c r="AC58" s="675"/>
    </row>
    <row r="59" spans="1:29" s="536" customFormat="1" ht="12" x14ac:dyDescent="0.2">
      <c r="A59" s="605"/>
      <c r="B59" s="552" t="s">
        <v>186</v>
      </c>
      <c r="C59" s="1822" t="s">
        <v>344</v>
      </c>
      <c r="D59" s="1822"/>
      <c r="E59" s="1822"/>
      <c r="F59" s="562"/>
      <c r="G59" s="562"/>
      <c r="H59" s="562"/>
      <c r="I59" s="562"/>
      <c r="J59" s="604">
        <v>0.66</v>
      </c>
      <c r="K59" s="562" t="s">
        <v>313</v>
      </c>
      <c r="L59" s="604">
        <v>0.83</v>
      </c>
      <c r="M59" s="603"/>
      <c r="N59" s="602"/>
      <c r="V59" s="674"/>
      <c r="W59" s="675"/>
      <c r="X59" s="675"/>
      <c r="Z59" s="537" t="s">
        <v>344</v>
      </c>
      <c r="AC59" s="675"/>
    </row>
    <row r="60" spans="1:29" s="536" customFormat="1" ht="12" x14ac:dyDescent="0.2">
      <c r="A60" s="605"/>
      <c r="B60" s="552" t="s">
        <v>187</v>
      </c>
      <c r="C60" s="1822" t="s">
        <v>345</v>
      </c>
      <c r="D60" s="1822"/>
      <c r="E60" s="1822"/>
      <c r="F60" s="562"/>
      <c r="G60" s="562"/>
      <c r="H60" s="562"/>
      <c r="I60" s="562"/>
      <c r="J60" s="604">
        <v>0.12</v>
      </c>
      <c r="K60" s="562" t="s">
        <v>313</v>
      </c>
      <c r="L60" s="604">
        <v>0.15</v>
      </c>
      <c r="M60" s="603"/>
      <c r="N60" s="602"/>
      <c r="V60" s="674"/>
      <c r="W60" s="675"/>
      <c r="X60" s="675"/>
      <c r="Z60" s="537" t="s">
        <v>345</v>
      </c>
      <c r="AC60" s="675"/>
    </row>
    <row r="61" spans="1:29" s="536" customFormat="1" ht="12" x14ac:dyDescent="0.2">
      <c r="A61" s="605"/>
      <c r="B61" s="552" t="s">
        <v>188</v>
      </c>
      <c r="C61" s="1822" t="s">
        <v>475</v>
      </c>
      <c r="D61" s="1822"/>
      <c r="E61" s="1822"/>
      <c r="F61" s="562"/>
      <c r="G61" s="562"/>
      <c r="H61" s="562"/>
      <c r="I61" s="562"/>
      <c r="J61" s="604">
        <v>0.84</v>
      </c>
      <c r="K61" s="562"/>
      <c r="L61" s="604">
        <v>0.84</v>
      </c>
      <c r="M61" s="603"/>
      <c r="N61" s="602"/>
      <c r="V61" s="674"/>
      <c r="W61" s="675"/>
      <c r="X61" s="675"/>
      <c r="Z61" s="537" t="s">
        <v>475</v>
      </c>
      <c r="AC61" s="675"/>
    </row>
    <row r="62" spans="1:29" s="536" customFormat="1" ht="12" x14ac:dyDescent="0.2">
      <c r="A62" s="605"/>
      <c r="B62" s="552"/>
      <c r="C62" s="1822" t="s">
        <v>314</v>
      </c>
      <c r="D62" s="1822"/>
      <c r="E62" s="1822"/>
      <c r="F62" s="562" t="s">
        <v>315</v>
      </c>
      <c r="G62" s="562" t="s">
        <v>2225</v>
      </c>
      <c r="H62" s="562" t="s">
        <v>313</v>
      </c>
      <c r="I62" s="562" t="s">
        <v>2448</v>
      </c>
      <c r="J62" s="604"/>
      <c r="K62" s="562"/>
      <c r="L62" s="604"/>
      <c r="M62" s="603"/>
      <c r="N62" s="602"/>
      <c r="V62" s="674"/>
      <c r="W62" s="675"/>
      <c r="X62" s="675"/>
      <c r="AA62" s="537" t="s">
        <v>314</v>
      </c>
      <c r="AC62" s="675"/>
    </row>
    <row r="63" spans="1:29" s="536" customFormat="1" ht="12" x14ac:dyDescent="0.2">
      <c r="A63" s="605"/>
      <c r="B63" s="552"/>
      <c r="C63" s="1822" t="s">
        <v>348</v>
      </c>
      <c r="D63" s="1822"/>
      <c r="E63" s="1822"/>
      <c r="F63" s="562" t="s">
        <v>315</v>
      </c>
      <c r="G63" s="562" t="s">
        <v>809</v>
      </c>
      <c r="H63" s="562" t="s">
        <v>313</v>
      </c>
      <c r="I63" s="562" t="s">
        <v>810</v>
      </c>
      <c r="J63" s="604"/>
      <c r="K63" s="562"/>
      <c r="L63" s="604"/>
      <c r="M63" s="603"/>
      <c r="N63" s="602"/>
      <c r="V63" s="674"/>
      <c r="W63" s="675"/>
      <c r="X63" s="675"/>
      <c r="AA63" s="537" t="s">
        <v>348</v>
      </c>
      <c r="AC63" s="675"/>
    </row>
    <row r="64" spans="1:29" s="536" customFormat="1" ht="12" x14ac:dyDescent="0.2">
      <c r="A64" s="605"/>
      <c r="B64" s="552"/>
      <c r="C64" s="1828" t="s">
        <v>318</v>
      </c>
      <c r="D64" s="1828"/>
      <c r="E64" s="1828"/>
      <c r="F64" s="608"/>
      <c r="G64" s="608"/>
      <c r="H64" s="608"/>
      <c r="I64" s="608"/>
      <c r="J64" s="607">
        <v>5.35</v>
      </c>
      <c r="K64" s="608"/>
      <c r="L64" s="607">
        <v>6.48</v>
      </c>
      <c r="M64" s="601"/>
      <c r="N64" s="606"/>
      <c r="V64" s="674"/>
      <c r="W64" s="675"/>
      <c r="X64" s="675"/>
      <c r="AB64" s="537" t="s">
        <v>318</v>
      </c>
      <c r="AC64" s="675"/>
    </row>
    <row r="65" spans="1:31" s="536" customFormat="1" ht="12" x14ac:dyDescent="0.2">
      <c r="A65" s="605"/>
      <c r="B65" s="552"/>
      <c r="C65" s="1822" t="s">
        <v>319</v>
      </c>
      <c r="D65" s="1822"/>
      <c r="E65" s="1822"/>
      <c r="F65" s="562"/>
      <c r="G65" s="562"/>
      <c r="H65" s="562"/>
      <c r="I65" s="562"/>
      <c r="J65" s="604"/>
      <c r="K65" s="562"/>
      <c r="L65" s="604">
        <v>4.96</v>
      </c>
      <c r="M65" s="603"/>
      <c r="N65" s="602"/>
      <c r="V65" s="674"/>
      <c r="W65" s="675"/>
      <c r="X65" s="675"/>
      <c r="AA65" s="537" t="s">
        <v>319</v>
      </c>
      <c r="AC65" s="675"/>
    </row>
    <row r="66" spans="1:31" s="536" customFormat="1" ht="45" x14ac:dyDescent="0.2">
      <c r="A66" s="605"/>
      <c r="B66" s="552" t="s">
        <v>892</v>
      </c>
      <c r="C66" s="1822" t="s">
        <v>893</v>
      </c>
      <c r="D66" s="1822"/>
      <c r="E66" s="1822"/>
      <c r="F66" s="562" t="s">
        <v>322</v>
      </c>
      <c r="G66" s="562" t="s">
        <v>894</v>
      </c>
      <c r="H66" s="562"/>
      <c r="I66" s="562" t="s">
        <v>894</v>
      </c>
      <c r="J66" s="604"/>
      <c r="K66" s="562"/>
      <c r="L66" s="604">
        <v>6</v>
      </c>
      <c r="M66" s="603"/>
      <c r="N66" s="602"/>
      <c r="V66" s="674"/>
      <c r="W66" s="675"/>
      <c r="X66" s="675"/>
      <c r="AA66" s="537" t="s">
        <v>893</v>
      </c>
      <c r="AC66" s="675"/>
    </row>
    <row r="67" spans="1:31" s="536" customFormat="1" ht="45" x14ac:dyDescent="0.2">
      <c r="A67" s="605"/>
      <c r="B67" s="552" t="s">
        <v>895</v>
      </c>
      <c r="C67" s="1822" t="s">
        <v>896</v>
      </c>
      <c r="D67" s="1822"/>
      <c r="E67" s="1822"/>
      <c r="F67" s="562" t="s">
        <v>322</v>
      </c>
      <c r="G67" s="562" t="s">
        <v>897</v>
      </c>
      <c r="H67" s="562"/>
      <c r="I67" s="562" t="s">
        <v>897</v>
      </c>
      <c r="J67" s="604"/>
      <c r="K67" s="562"/>
      <c r="L67" s="604">
        <v>3.57</v>
      </c>
      <c r="M67" s="603"/>
      <c r="N67" s="602"/>
      <c r="V67" s="674"/>
      <c r="W67" s="675"/>
      <c r="X67" s="675"/>
      <c r="AA67" s="537" t="s">
        <v>896</v>
      </c>
      <c r="AC67" s="675"/>
    </row>
    <row r="68" spans="1:31" s="536" customFormat="1" ht="12" x14ac:dyDescent="0.2">
      <c r="A68" s="569"/>
      <c r="B68" s="656"/>
      <c r="C68" s="1823" t="s">
        <v>327</v>
      </c>
      <c r="D68" s="1823"/>
      <c r="E68" s="1823"/>
      <c r="F68" s="573"/>
      <c r="G68" s="573"/>
      <c r="H68" s="573"/>
      <c r="I68" s="573"/>
      <c r="J68" s="572"/>
      <c r="K68" s="573"/>
      <c r="L68" s="572">
        <v>16.05</v>
      </c>
      <c r="M68" s="601"/>
      <c r="N68" s="570"/>
      <c r="V68" s="674"/>
      <c r="W68" s="675"/>
      <c r="X68" s="675"/>
      <c r="AC68" s="675" t="s">
        <v>327</v>
      </c>
    </row>
    <row r="69" spans="1:31" s="536" customFormat="1" ht="22.5" x14ac:dyDescent="0.2">
      <c r="A69" s="575" t="s">
        <v>871</v>
      </c>
      <c r="B69" s="657" t="s">
        <v>2449</v>
      </c>
      <c r="C69" s="1823" t="s">
        <v>2450</v>
      </c>
      <c r="D69" s="1823"/>
      <c r="E69" s="1823"/>
      <c r="F69" s="573" t="s">
        <v>617</v>
      </c>
      <c r="G69" s="573"/>
      <c r="H69" s="573"/>
      <c r="I69" s="573" t="s">
        <v>185</v>
      </c>
      <c r="J69" s="572">
        <v>221.48</v>
      </c>
      <c r="K69" s="573"/>
      <c r="L69" s="572">
        <v>221.48</v>
      </c>
      <c r="M69" s="571"/>
      <c r="N69" s="570"/>
      <c r="V69" s="674"/>
      <c r="W69" s="675"/>
      <c r="X69" s="675" t="s">
        <v>2450</v>
      </c>
      <c r="AC69" s="675"/>
    </row>
    <row r="70" spans="1:31" s="536" customFormat="1" ht="12" x14ac:dyDescent="0.2">
      <c r="A70" s="569"/>
      <c r="B70" s="656"/>
      <c r="C70" s="661" t="s">
        <v>2222</v>
      </c>
      <c r="D70" s="662"/>
      <c r="E70" s="662"/>
      <c r="F70" s="563"/>
      <c r="G70" s="563"/>
      <c r="H70" s="563"/>
      <c r="I70" s="563"/>
      <c r="J70" s="566"/>
      <c r="K70" s="563"/>
      <c r="L70" s="566"/>
      <c r="M70" s="565"/>
      <c r="N70" s="564"/>
      <c r="V70" s="674"/>
      <c r="W70" s="675"/>
      <c r="X70" s="675"/>
      <c r="AC70" s="675"/>
    </row>
    <row r="71" spans="1:31" s="536" customFormat="1" ht="12" x14ac:dyDescent="0.2">
      <c r="A71" s="1830" t="s">
        <v>2451</v>
      </c>
      <c r="B71" s="1831"/>
      <c r="C71" s="1831"/>
      <c r="D71" s="1831"/>
      <c r="E71" s="1831"/>
      <c r="F71" s="1831"/>
      <c r="G71" s="1831"/>
      <c r="H71" s="1831"/>
      <c r="I71" s="1831"/>
      <c r="J71" s="1831"/>
      <c r="K71" s="1831"/>
      <c r="L71" s="1831"/>
      <c r="M71" s="1831"/>
      <c r="N71" s="1832"/>
      <c r="V71" s="674"/>
      <c r="W71" s="675" t="s">
        <v>2451</v>
      </c>
      <c r="X71" s="675"/>
      <c r="AC71" s="675"/>
    </row>
    <row r="72" spans="1:31" s="536" customFormat="1" ht="45" x14ac:dyDescent="0.2">
      <c r="A72" s="575" t="s">
        <v>190</v>
      </c>
      <c r="B72" s="657" t="s">
        <v>2452</v>
      </c>
      <c r="C72" s="1823" t="s">
        <v>2453</v>
      </c>
      <c r="D72" s="1823"/>
      <c r="E72" s="1823"/>
      <c r="F72" s="573" t="s">
        <v>1110</v>
      </c>
      <c r="G72" s="573"/>
      <c r="H72" s="573"/>
      <c r="I72" s="573" t="s">
        <v>728</v>
      </c>
      <c r="J72" s="572"/>
      <c r="K72" s="573"/>
      <c r="L72" s="572"/>
      <c r="M72" s="571"/>
      <c r="N72" s="570"/>
      <c r="V72" s="674"/>
      <c r="W72" s="675"/>
      <c r="X72" s="675" t="s">
        <v>2453</v>
      </c>
      <c r="AC72" s="675"/>
    </row>
    <row r="73" spans="1:31" s="536" customFormat="1" ht="12" x14ac:dyDescent="0.2">
      <c r="A73" s="676"/>
      <c r="B73" s="655"/>
      <c r="C73" s="1822" t="s">
        <v>2263</v>
      </c>
      <c r="D73" s="1822"/>
      <c r="E73" s="1822"/>
      <c r="F73" s="1822"/>
      <c r="G73" s="1822"/>
      <c r="H73" s="1822"/>
      <c r="I73" s="1822"/>
      <c r="J73" s="1822"/>
      <c r="K73" s="1822"/>
      <c r="L73" s="1822"/>
      <c r="M73" s="1822"/>
      <c r="N73" s="1827"/>
      <c r="V73" s="674"/>
      <c r="W73" s="675"/>
      <c r="X73" s="675"/>
      <c r="AC73" s="675"/>
      <c r="AD73" s="537" t="s">
        <v>2263</v>
      </c>
    </row>
    <row r="74" spans="1:31" s="536" customFormat="1" ht="22.5" x14ac:dyDescent="0.2">
      <c r="A74" s="609"/>
      <c r="B74" s="552" t="s">
        <v>499</v>
      </c>
      <c r="C74" s="1822" t="s">
        <v>500</v>
      </c>
      <c r="D74" s="1822"/>
      <c r="E74" s="1822"/>
      <c r="F74" s="1822"/>
      <c r="G74" s="1822"/>
      <c r="H74" s="1822"/>
      <c r="I74" s="1822"/>
      <c r="J74" s="1822"/>
      <c r="K74" s="1822"/>
      <c r="L74" s="1822"/>
      <c r="M74" s="1822"/>
      <c r="N74" s="1827"/>
      <c r="V74" s="674"/>
      <c r="W74" s="675"/>
      <c r="X74" s="675"/>
      <c r="Y74" s="537" t="s">
        <v>500</v>
      </c>
      <c r="AC74" s="675"/>
    </row>
    <row r="75" spans="1:31" s="536" customFormat="1" ht="12" x14ac:dyDescent="0.2">
      <c r="A75" s="605"/>
      <c r="B75" s="552" t="s">
        <v>185</v>
      </c>
      <c r="C75" s="1822" t="s">
        <v>312</v>
      </c>
      <c r="D75" s="1822"/>
      <c r="E75" s="1822"/>
      <c r="F75" s="562"/>
      <c r="G75" s="562"/>
      <c r="H75" s="562"/>
      <c r="I75" s="562"/>
      <c r="J75" s="604">
        <v>1010.1</v>
      </c>
      <c r="K75" s="562" t="s">
        <v>313</v>
      </c>
      <c r="L75" s="604">
        <v>50.51</v>
      </c>
      <c r="M75" s="603"/>
      <c r="N75" s="602"/>
      <c r="V75" s="674"/>
      <c r="W75" s="675"/>
      <c r="X75" s="675"/>
      <c r="Z75" s="537" t="s">
        <v>312</v>
      </c>
      <c r="AC75" s="675"/>
    </row>
    <row r="76" spans="1:31" s="536" customFormat="1" ht="12" x14ac:dyDescent="0.2">
      <c r="A76" s="605"/>
      <c r="B76" s="552" t="s">
        <v>186</v>
      </c>
      <c r="C76" s="1822" t="s">
        <v>344</v>
      </c>
      <c r="D76" s="1822"/>
      <c r="E76" s="1822"/>
      <c r="F76" s="562"/>
      <c r="G76" s="562"/>
      <c r="H76" s="562"/>
      <c r="I76" s="562"/>
      <c r="J76" s="604">
        <v>419.32</v>
      </c>
      <c r="K76" s="562" t="s">
        <v>313</v>
      </c>
      <c r="L76" s="604">
        <v>20.97</v>
      </c>
      <c r="M76" s="603"/>
      <c r="N76" s="602"/>
      <c r="V76" s="674"/>
      <c r="W76" s="675"/>
      <c r="X76" s="675"/>
      <c r="Z76" s="537" t="s">
        <v>344</v>
      </c>
      <c r="AC76" s="675"/>
    </row>
    <row r="77" spans="1:31" s="536" customFormat="1" ht="12" x14ac:dyDescent="0.2">
      <c r="A77" s="605"/>
      <c r="B77" s="552" t="s">
        <v>187</v>
      </c>
      <c r="C77" s="1822" t="s">
        <v>345</v>
      </c>
      <c r="D77" s="1822"/>
      <c r="E77" s="1822"/>
      <c r="F77" s="562"/>
      <c r="G77" s="562"/>
      <c r="H77" s="562"/>
      <c r="I77" s="562"/>
      <c r="J77" s="604">
        <v>57.14</v>
      </c>
      <c r="K77" s="562" t="s">
        <v>313</v>
      </c>
      <c r="L77" s="604">
        <v>2.86</v>
      </c>
      <c r="M77" s="603"/>
      <c r="N77" s="602"/>
      <c r="V77" s="674"/>
      <c r="W77" s="675"/>
      <c r="X77" s="675"/>
      <c r="Z77" s="537" t="s">
        <v>345</v>
      </c>
      <c r="AC77" s="675"/>
    </row>
    <row r="78" spans="1:31" s="536" customFormat="1" ht="12" x14ac:dyDescent="0.2">
      <c r="A78" s="605"/>
      <c r="B78" s="552" t="s">
        <v>188</v>
      </c>
      <c r="C78" s="1822" t="s">
        <v>475</v>
      </c>
      <c r="D78" s="1822"/>
      <c r="E78" s="1822"/>
      <c r="F78" s="562"/>
      <c r="G78" s="562"/>
      <c r="H78" s="562"/>
      <c r="I78" s="562"/>
      <c r="J78" s="604">
        <v>45.22</v>
      </c>
      <c r="K78" s="562"/>
      <c r="L78" s="604">
        <v>1.81</v>
      </c>
      <c r="M78" s="603"/>
      <c r="N78" s="602"/>
      <c r="V78" s="674"/>
      <c r="W78" s="675"/>
      <c r="X78" s="675"/>
      <c r="Z78" s="537" t="s">
        <v>475</v>
      </c>
      <c r="AC78" s="675"/>
    </row>
    <row r="79" spans="1:31" s="536" customFormat="1" ht="12" x14ac:dyDescent="0.2">
      <c r="A79" s="676"/>
      <c r="B79" s="677" t="s">
        <v>2454</v>
      </c>
      <c r="C79" s="1829" t="s">
        <v>2455</v>
      </c>
      <c r="D79" s="1829"/>
      <c r="E79" s="1829"/>
      <c r="F79" s="678" t="s">
        <v>617</v>
      </c>
      <c r="G79" s="678" t="s">
        <v>525</v>
      </c>
      <c r="H79" s="678"/>
      <c r="I79" s="678" t="s">
        <v>525</v>
      </c>
      <c r="J79" s="552"/>
      <c r="K79" s="562"/>
      <c r="L79" s="604"/>
      <c r="M79" s="562"/>
      <c r="N79" s="679"/>
      <c r="V79" s="674"/>
      <c r="W79" s="675"/>
      <c r="X79" s="675"/>
      <c r="AC79" s="675"/>
      <c r="AE79" s="680" t="s">
        <v>2455</v>
      </c>
    </row>
    <row r="80" spans="1:31" s="536" customFormat="1" ht="12" x14ac:dyDescent="0.2">
      <c r="A80" s="676"/>
      <c r="B80" s="677" t="s">
        <v>2456</v>
      </c>
      <c r="C80" s="1829" t="s">
        <v>2457</v>
      </c>
      <c r="D80" s="1829"/>
      <c r="E80" s="1829"/>
      <c r="F80" s="678" t="s">
        <v>699</v>
      </c>
      <c r="G80" s="678" t="s">
        <v>525</v>
      </c>
      <c r="H80" s="678"/>
      <c r="I80" s="678" t="s">
        <v>525</v>
      </c>
      <c r="J80" s="552"/>
      <c r="K80" s="562"/>
      <c r="L80" s="604"/>
      <c r="M80" s="562"/>
      <c r="N80" s="679"/>
      <c r="V80" s="674"/>
      <c r="W80" s="675"/>
      <c r="X80" s="675"/>
      <c r="AC80" s="675"/>
      <c r="AE80" s="680" t="s">
        <v>2457</v>
      </c>
    </row>
    <row r="81" spans="1:31" s="536" customFormat="1" ht="12" x14ac:dyDescent="0.2">
      <c r="A81" s="676"/>
      <c r="B81" s="677" t="s">
        <v>2458</v>
      </c>
      <c r="C81" s="1829" t="s">
        <v>2459</v>
      </c>
      <c r="D81" s="1829"/>
      <c r="E81" s="1829"/>
      <c r="F81" s="678" t="s">
        <v>483</v>
      </c>
      <c r="G81" s="678" t="s">
        <v>2460</v>
      </c>
      <c r="H81" s="678"/>
      <c r="I81" s="678" t="s">
        <v>2461</v>
      </c>
      <c r="J81" s="552"/>
      <c r="K81" s="562"/>
      <c r="L81" s="604"/>
      <c r="M81" s="562"/>
      <c r="N81" s="679"/>
      <c r="V81" s="674"/>
      <c r="W81" s="675"/>
      <c r="X81" s="675"/>
      <c r="AC81" s="675"/>
      <c r="AE81" s="680" t="s">
        <v>2459</v>
      </c>
    </row>
    <row r="82" spans="1:31" s="536" customFormat="1" ht="22.5" x14ac:dyDescent="0.2">
      <c r="A82" s="676"/>
      <c r="B82" s="677" t="s">
        <v>2462</v>
      </c>
      <c r="C82" s="1829" t="s">
        <v>2463</v>
      </c>
      <c r="D82" s="1829"/>
      <c r="E82" s="1829"/>
      <c r="F82" s="678" t="s">
        <v>617</v>
      </c>
      <c r="G82" s="678" t="s">
        <v>525</v>
      </c>
      <c r="H82" s="678"/>
      <c r="I82" s="678" t="s">
        <v>525</v>
      </c>
      <c r="J82" s="552"/>
      <c r="K82" s="562"/>
      <c r="L82" s="604"/>
      <c r="M82" s="562"/>
      <c r="N82" s="679"/>
      <c r="V82" s="674"/>
      <c r="W82" s="675"/>
      <c r="X82" s="675"/>
      <c r="AC82" s="675"/>
      <c r="AE82" s="680" t="s">
        <v>2463</v>
      </c>
    </row>
    <row r="83" spans="1:31" s="536" customFormat="1" ht="12" x14ac:dyDescent="0.2">
      <c r="A83" s="605"/>
      <c r="B83" s="552"/>
      <c r="C83" s="1822" t="s">
        <v>314</v>
      </c>
      <c r="D83" s="1822"/>
      <c r="E83" s="1822"/>
      <c r="F83" s="562" t="s">
        <v>315</v>
      </c>
      <c r="G83" s="562" t="s">
        <v>2416</v>
      </c>
      <c r="H83" s="562" t="s">
        <v>313</v>
      </c>
      <c r="I83" s="562" t="s">
        <v>2464</v>
      </c>
      <c r="J83" s="604"/>
      <c r="K83" s="562"/>
      <c r="L83" s="604"/>
      <c r="M83" s="603"/>
      <c r="N83" s="602"/>
      <c r="V83" s="674"/>
      <c r="W83" s="675"/>
      <c r="X83" s="675"/>
      <c r="AA83" s="537" t="s">
        <v>314</v>
      </c>
      <c r="AC83" s="675"/>
      <c r="AE83" s="680"/>
    </row>
    <row r="84" spans="1:31" s="536" customFormat="1" ht="12" x14ac:dyDescent="0.2">
      <c r="A84" s="605"/>
      <c r="B84" s="552"/>
      <c r="C84" s="1822" t="s">
        <v>348</v>
      </c>
      <c r="D84" s="1822"/>
      <c r="E84" s="1822"/>
      <c r="F84" s="562" t="s">
        <v>315</v>
      </c>
      <c r="G84" s="562" t="s">
        <v>2465</v>
      </c>
      <c r="H84" s="562" t="s">
        <v>313</v>
      </c>
      <c r="I84" s="562" t="s">
        <v>2466</v>
      </c>
      <c r="J84" s="604"/>
      <c r="K84" s="562"/>
      <c r="L84" s="604"/>
      <c r="M84" s="603"/>
      <c r="N84" s="602"/>
      <c r="V84" s="674"/>
      <c r="W84" s="675"/>
      <c r="X84" s="675"/>
      <c r="AA84" s="537" t="s">
        <v>348</v>
      </c>
      <c r="AC84" s="675"/>
      <c r="AE84" s="680"/>
    </row>
    <row r="85" spans="1:31" s="536" customFormat="1" ht="12" x14ac:dyDescent="0.2">
      <c r="A85" s="605"/>
      <c r="B85" s="552"/>
      <c r="C85" s="1828" t="s">
        <v>318</v>
      </c>
      <c r="D85" s="1828"/>
      <c r="E85" s="1828"/>
      <c r="F85" s="608"/>
      <c r="G85" s="608"/>
      <c r="H85" s="608"/>
      <c r="I85" s="608"/>
      <c r="J85" s="607">
        <v>1474.64</v>
      </c>
      <c r="K85" s="608"/>
      <c r="L85" s="607">
        <v>73.290000000000006</v>
      </c>
      <c r="M85" s="601"/>
      <c r="N85" s="606"/>
      <c r="V85" s="674"/>
      <c r="W85" s="675"/>
      <c r="X85" s="675"/>
      <c r="AB85" s="537" t="s">
        <v>318</v>
      </c>
      <c r="AC85" s="675"/>
      <c r="AE85" s="680"/>
    </row>
    <row r="86" spans="1:31" s="536" customFormat="1" ht="12" x14ac:dyDescent="0.2">
      <c r="A86" s="605"/>
      <c r="B86" s="552"/>
      <c r="C86" s="1822" t="s">
        <v>319</v>
      </c>
      <c r="D86" s="1822"/>
      <c r="E86" s="1822"/>
      <c r="F86" s="562"/>
      <c r="G86" s="562"/>
      <c r="H86" s="562"/>
      <c r="I86" s="562"/>
      <c r="J86" s="604"/>
      <c r="K86" s="562"/>
      <c r="L86" s="604">
        <v>53.37</v>
      </c>
      <c r="M86" s="603"/>
      <c r="N86" s="602"/>
      <c r="V86" s="674"/>
      <c r="W86" s="675"/>
      <c r="X86" s="675"/>
      <c r="AA86" s="537" t="s">
        <v>319</v>
      </c>
      <c r="AC86" s="675"/>
      <c r="AE86" s="680"/>
    </row>
    <row r="87" spans="1:31" s="536" customFormat="1" ht="45" x14ac:dyDescent="0.2">
      <c r="A87" s="605"/>
      <c r="B87" s="552" t="s">
        <v>892</v>
      </c>
      <c r="C87" s="1822" t="s">
        <v>893</v>
      </c>
      <c r="D87" s="1822"/>
      <c r="E87" s="1822"/>
      <c r="F87" s="562" t="s">
        <v>322</v>
      </c>
      <c r="G87" s="562" t="s">
        <v>894</v>
      </c>
      <c r="H87" s="562"/>
      <c r="I87" s="562" t="s">
        <v>894</v>
      </c>
      <c r="J87" s="604"/>
      <c r="K87" s="562"/>
      <c r="L87" s="604">
        <v>64.58</v>
      </c>
      <c r="M87" s="603"/>
      <c r="N87" s="602"/>
      <c r="V87" s="674"/>
      <c r="W87" s="675"/>
      <c r="X87" s="675"/>
      <c r="AA87" s="537" t="s">
        <v>893</v>
      </c>
      <c r="AC87" s="675"/>
      <c r="AE87" s="680"/>
    </row>
    <row r="88" spans="1:31" s="536" customFormat="1" ht="45" x14ac:dyDescent="0.2">
      <c r="A88" s="605"/>
      <c r="B88" s="552" t="s">
        <v>895</v>
      </c>
      <c r="C88" s="1822" t="s">
        <v>896</v>
      </c>
      <c r="D88" s="1822"/>
      <c r="E88" s="1822"/>
      <c r="F88" s="562" t="s">
        <v>322</v>
      </c>
      <c r="G88" s="562" t="s">
        <v>897</v>
      </c>
      <c r="H88" s="562"/>
      <c r="I88" s="562" t="s">
        <v>897</v>
      </c>
      <c r="J88" s="604"/>
      <c r="K88" s="562"/>
      <c r="L88" s="604">
        <v>38.43</v>
      </c>
      <c r="M88" s="603"/>
      <c r="N88" s="602"/>
      <c r="V88" s="674"/>
      <c r="W88" s="675"/>
      <c r="X88" s="675"/>
      <c r="AA88" s="537" t="s">
        <v>896</v>
      </c>
      <c r="AC88" s="675"/>
      <c r="AE88" s="680"/>
    </row>
    <row r="89" spans="1:31" s="536" customFormat="1" ht="12" x14ac:dyDescent="0.2">
      <c r="A89" s="569"/>
      <c r="B89" s="656"/>
      <c r="C89" s="1823" t="s">
        <v>327</v>
      </c>
      <c r="D89" s="1823"/>
      <c r="E89" s="1823"/>
      <c r="F89" s="573"/>
      <c r="G89" s="573"/>
      <c r="H89" s="573"/>
      <c r="I89" s="573"/>
      <c r="J89" s="572"/>
      <c r="K89" s="573"/>
      <c r="L89" s="572">
        <v>176.3</v>
      </c>
      <c r="M89" s="601"/>
      <c r="N89" s="570"/>
      <c r="V89" s="674"/>
      <c r="W89" s="675"/>
      <c r="X89" s="675"/>
      <c r="AC89" s="675" t="s">
        <v>327</v>
      </c>
      <c r="AE89" s="680"/>
    </row>
    <row r="90" spans="1:31" s="536" customFormat="1" ht="33.75" x14ac:dyDescent="0.2">
      <c r="A90" s="575" t="s">
        <v>191</v>
      </c>
      <c r="B90" s="657" t="s">
        <v>8109</v>
      </c>
      <c r="C90" s="1823" t="s">
        <v>2467</v>
      </c>
      <c r="D90" s="1823"/>
      <c r="E90" s="1823"/>
      <c r="F90" s="573" t="s">
        <v>2468</v>
      </c>
      <c r="G90" s="573"/>
      <c r="H90" s="573"/>
      <c r="I90" s="573" t="s">
        <v>2461</v>
      </c>
      <c r="J90" s="572">
        <v>40.25</v>
      </c>
      <c r="K90" s="573" t="s">
        <v>716</v>
      </c>
      <c r="L90" s="572">
        <v>18.510000000000002</v>
      </c>
      <c r="M90" s="571">
        <v>8.32</v>
      </c>
      <c r="N90" s="570">
        <v>154</v>
      </c>
      <c r="V90" s="674"/>
      <c r="W90" s="675"/>
      <c r="X90" s="675" t="s">
        <v>2467</v>
      </c>
      <c r="AC90" s="675"/>
      <c r="AE90" s="680"/>
    </row>
    <row r="91" spans="1:31" s="536" customFormat="1" ht="12" x14ac:dyDescent="0.2">
      <c r="A91" s="569"/>
      <c r="B91" s="656"/>
      <c r="C91" s="661" t="s">
        <v>717</v>
      </c>
      <c r="D91" s="662"/>
      <c r="E91" s="662"/>
      <c r="F91" s="563"/>
      <c r="G91" s="563"/>
      <c r="H91" s="563"/>
      <c r="I91" s="563"/>
      <c r="J91" s="566"/>
      <c r="K91" s="563"/>
      <c r="L91" s="566"/>
      <c r="M91" s="565"/>
      <c r="N91" s="564"/>
      <c r="V91" s="674"/>
      <c r="W91" s="675"/>
      <c r="X91" s="675"/>
      <c r="AC91" s="675"/>
      <c r="AE91" s="680"/>
    </row>
    <row r="92" spans="1:31" s="536" customFormat="1" ht="22.5" x14ac:dyDescent="0.2">
      <c r="A92" s="609"/>
      <c r="B92" s="552" t="s">
        <v>718</v>
      </c>
      <c r="C92" s="1822" t="s">
        <v>719</v>
      </c>
      <c r="D92" s="1822"/>
      <c r="E92" s="1822"/>
      <c r="F92" s="1822"/>
      <c r="G92" s="1822"/>
      <c r="H92" s="1822"/>
      <c r="I92" s="1822"/>
      <c r="J92" s="1822"/>
      <c r="K92" s="1822"/>
      <c r="L92" s="1822"/>
      <c r="M92" s="1822"/>
      <c r="N92" s="1827"/>
      <c r="V92" s="674"/>
      <c r="W92" s="675"/>
      <c r="X92" s="675"/>
      <c r="Y92" s="537" t="s">
        <v>719</v>
      </c>
      <c r="AC92" s="675"/>
      <c r="AE92" s="680"/>
    </row>
    <row r="93" spans="1:31" s="536" customFormat="1" ht="33.75" x14ac:dyDescent="0.2">
      <c r="A93" s="575" t="s">
        <v>192</v>
      </c>
      <c r="B93" s="657" t="s">
        <v>2469</v>
      </c>
      <c r="C93" s="1823" t="s">
        <v>2470</v>
      </c>
      <c r="D93" s="1823"/>
      <c r="E93" s="1823"/>
      <c r="F93" s="573" t="s">
        <v>519</v>
      </c>
      <c r="G93" s="573"/>
      <c r="H93" s="573"/>
      <c r="I93" s="573" t="s">
        <v>2471</v>
      </c>
      <c r="J93" s="572"/>
      <c r="K93" s="573"/>
      <c r="L93" s="572"/>
      <c r="M93" s="571"/>
      <c r="N93" s="570"/>
      <c r="V93" s="674"/>
      <c r="W93" s="675"/>
      <c r="X93" s="675" t="s">
        <v>2470</v>
      </c>
      <c r="AC93" s="675"/>
      <c r="AE93" s="680"/>
    </row>
    <row r="94" spans="1:31" s="536" customFormat="1" ht="12" x14ac:dyDescent="0.2">
      <c r="A94" s="676"/>
      <c r="B94" s="655"/>
      <c r="C94" s="1822" t="s">
        <v>2472</v>
      </c>
      <c r="D94" s="1822"/>
      <c r="E94" s="1822"/>
      <c r="F94" s="1822"/>
      <c r="G94" s="1822"/>
      <c r="H94" s="1822"/>
      <c r="I94" s="1822"/>
      <c r="J94" s="1822"/>
      <c r="K94" s="1822"/>
      <c r="L94" s="1822"/>
      <c r="M94" s="1822"/>
      <c r="N94" s="1827"/>
      <c r="V94" s="674"/>
      <c r="W94" s="675"/>
      <c r="X94" s="675"/>
      <c r="AC94" s="675"/>
      <c r="AD94" s="537" t="s">
        <v>2472</v>
      </c>
      <c r="AE94" s="680"/>
    </row>
    <row r="95" spans="1:31" s="536" customFormat="1" ht="22.5" x14ac:dyDescent="0.2">
      <c r="A95" s="609"/>
      <c r="B95" s="552" t="s">
        <v>499</v>
      </c>
      <c r="C95" s="1822" t="s">
        <v>500</v>
      </c>
      <c r="D95" s="1822"/>
      <c r="E95" s="1822"/>
      <c r="F95" s="1822"/>
      <c r="G95" s="1822"/>
      <c r="H95" s="1822"/>
      <c r="I95" s="1822"/>
      <c r="J95" s="1822"/>
      <c r="K95" s="1822"/>
      <c r="L95" s="1822"/>
      <c r="M95" s="1822"/>
      <c r="N95" s="1827"/>
      <c r="V95" s="674"/>
      <c r="W95" s="675"/>
      <c r="X95" s="675"/>
      <c r="Y95" s="537" t="s">
        <v>500</v>
      </c>
      <c r="AC95" s="675"/>
      <c r="AE95" s="680"/>
    </row>
    <row r="96" spans="1:31" s="536" customFormat="1" ht="12" x14ac:dyDescent="0.2">
      <c r="A96" s="605"/>
      <c r="B96" s="552" t="s">
        <v>185</v>
      </c>
      <c r="C96" s="1822" t="s">
        <v>312</v>
      </c>
      <c r="D96" s="1822"/>
      <c r="E96" s="1822"/>
      <c r="F96" s="562"/>
      <c r="G96" s="562"/>
      <c r="H96" s="562"/>
      <c r="I96" s="562"/>
      <c r="J96" s="604">
        <v>5230.76</v>
      </c>
      <c r="K96" s="562" t="s">
        <v>313</v>
      </c>
      <c r="L96" s="604">
        <v>26.15</v>
      </c>
      <c r="M96" s="603"/>
      <c r="N96" s="602"/>
      <c r="V96" s="674"/>
      <c r="W96" s="675"/>
      <c r="X96" s="675"/>
      <c r="Z96" s="537" t="s">
        <v>312</v>
      </c>
      <c r="AC96" s="675"/>
      <c r="AE96" s="680"/>
    </row>
    <row r="97" spans="1:31" s="536" customFormat="1" ht="12" x14ac:dyDescent="0.2">
      <c r="A97" s="605"/>
      <c r="B97" s="552" t="s">
        <v>186</v>
      </c>
      <c r="C97" s="1822" t="s">
        <v>344</v>
      </c>
      <c r="D97" s="1822"/>
      <c r="E97" s="1822"/>
      <c r="F97" s="562"/>
      <c r="G97" s="562"/>
      <c r="H97" s="562"/>
      <c r="I97" s="562"/>
      <c r="J97" s="604">
        <v>15958.76</v>
      </c>
      <c r="K97" s="562" t="s">
        <v>313</v>
      </c>
      <c r="L97" s="604">
        <v>79.790000000000006</v>
      </c>
      <c r="M97" s="603"/>
      <c r="N97" s="602"/>
      <c r="V97" s="674"/>
      <c r="W97" s="675"/>
      <c r="X97" s="675"/>
      <c r="Z97" s="537" t="s">
        <v>344</v>
      </c>
      <c r="AC97" s="675"/>
      <c r="AE97" s="680"/>
    </row>
    <row r="98" spans="1:31" s="536" customFormat="1" ht="12" x14ac:dyDescent="0.2">
      <c r="A98" s="605"/>
      <c r="B98" s="552" t="s">
        <v>187</v>
      </c>
      <c r="C98" s="1822" t="s">
        <v>345</v>
      </c>
      <c r="D98" s="1822"/>
      <c r="E98" s="1822"/>
      <c r="F98" s="562"/>
      <c r="G98" s="562"/>
      <c r="H98" s="562"/>
      <c r="I98" s="562"/>
      <c r="J98" s="604">
        <v>1931.36</v>
      </c>
      <c r="K98" s="562" t="s">
        <v>313</v>
      </c>
      <c r="L98" s="604">
        <v>9.66</v>
      </c>
      <c r="M98" s="603"/>
      <c r="N98" s="602"/>
      <c r="V98" s="674"/>
      <c r="W98" s="675"/>
      <c r="X98" s="675"/>
      <c r="Z98" s="537" t="s">
        <v>345</v>
      </c>
      <c r="AC98" s="675"/>
      <c r="AE98" s="680"/>
    </row>
    <row r="99" spans="1:31" s="536" customFormat="1" ht="12" x14ac:dyDescent="0.2">
      <c r="A99" s="605"/>
      <c r="B99" s="552" t="s">
        <v>188</v>
      </c>
      <c r="C99" s="1822" t="s">
        <v>475</v>
      </c>
      <c r="D99" s="1822"/>
      <c r="E99" s="1822"/>
      <c r="F99" s="562"/>
      <c r="G99" s="562"/>
      <c r="H99" s="562"/>
      <c r="I99" s="562"/>
      <c r="J99" s="604">
        <v>478.97</v>
      </c>
      <c r="K99" s="562"/>
      <c r="L99" s="604">
        <v>1.92</v>
      </c>
      <c r="M99" s="603"/>
      <c r="N99" s="602"/>
      <c r="V99" s="674"/>
      <c r="W99" s="675"/>
      <c r="X99" s="675"/>
      <c r="Z99" s="537" t="s">
        <v>475</v>
      </c>
      <c r="AC99" s="675"/>
      <c r="AE99" s="680"/>
    </row>
    <row r="100" spans="1:31" s="536" customFormat="1" ht="12" x14ac:dyDescent="0.2">
      <c r="A100" s="676"/>
      <c r="B100" s="677" t="s">
        <v>2458</v>
      </c>
      <c r="C100" s="1829" t="s">
        <v>2459</v>
      </c>
      <c r="D100" s="1829"/>
      <c r="E100" s="1829"/>
      <c r="F100" s="678" t="s">
        <v>483</v>
      </c>
      <c r="G100" s="678" t="s">
        <v>2473</v>
      </c>
      <c r="H100" s="678"/>
      <c r="I100" s="678" t="s">
        <v>2474</v>
      </c>
      <c r="J100" s="552"/>
      <c r="K100" s="562"/>
      <c r="L100" s="604"/>
      <c r="M100" s="562"/>
      <c r="N100" s="679"/>
      <c r="V100" s="674"/>
      <c r="W100" s="675"/>
      <c r="X100" s="675"/>
      <c r="AC100" s="675"/>
      <c r="AE100" s="680" t="s">
        <v>2459</v>
      </c>
    </row>
    <row r="101" spans="1:31" s="536" customFormat="1" ht="12" x14ac:dyDescent="0.2">
      <c r="A101" s="605"/>
      <c r="B101" s="552"/>
      <c r="C101" s="1822" t="s">
        <v>314</v>
      </c>
      <c r="D101" s="1822"/>
      <c r="E101" s="1822"/>
      <c r="F101" s="562" t="s">
        <v>315</v>
      </c>
      <c r="G101" s="562" t="s">
        <v>2475</v>
      </c>
      <c r="H101" s="562" t="s">
        <v>313</v>
      </c>
      <c r="I101" s="562" t="s">
        <v>2476</v>
      </c>
      <c r="J101" s="604"/>
      <c r="K101" s="562"/>
      <c r="L101" s="604"/>
      <c r="M101" s="603"/>
      <c r="N101" s="602"/>
      <c r="V101" s="674"/>
      <c r="W101" s="675"/>
      <c r="X101" s="675"/>
      <c r="AA101" s="537" t="s">
        <v>314</v>
      </c>
      <c r="AC101" s="675"/>
      <c r="AE101" s="680"/>
    </row>
    <row r="102" spans="1:31" s="536" customFormat="1" ht="12" x14ac:dyDescent="0.2">
      <c r="A102" s="605"/>
      <c r="B102" s="552"/>
      <c r="C102" s="1822" t="s">
        <v>348</v>
      </c>
      <c r="D102" s="1822"/>
      <c r="E102" s="1822"/>
      <c r="F102" s="562" t="s">
        <v>315</v>
      </c>
      <c r="G102" s="562" t="s">
        <v>2477</v>
      </c>
      <c r="H102" s="562" t="s">
        <v>313</v>
      </c>
      <c r="I102" s="562" t="s">
        <v>2478</v>
      </c>
      <c r="J102" s="604"/>
      <c r="K102" s="562"/>
      <c r="L102" s="604"/>
      <c r="M102" s="603"/>
      <c r="N102" s="602"/>
      <c r="V102" s="674"/>
      <c r="W102" s="675"/>
      <c r="X102" s="675"/>
      <c r="AA102" s="537" t="s">
        <v>348</v>
      </c>
      <c r="AC102" s="675"/>
      <c r="AE102" s="680"/>
    </row>
    <row r="103" spans="1:31" s="536" customFormat="1" ht="12" x14ac:dyDescent="0.2">
      <c r="A103" s="605"/>
      <c r="B103" s="552"/>
      <c r="C103" s="1828" t="s">
        <v>318</v>
      </c>
      <c r="D103" s="1828"/>
      <c r="E103" s="1828"/>
      <c r="F103" s="608"/>
      <c r="G103" s="608"/>
      <c r="H103" s="608"/>
      <c r="I103" s="608"/>
      <c r="J103" s="607">
        <v>21668.49</v>
      </c>
      <c r="K103" s="608"/>
      <c r="L103" s="607">
        <v>107.86</v>
      </c>
      <c r="M103" s="601"/>
      <c r="N103" s="606"/>
      <c r="V103" s="674"/>
      <c r="W103" s="675"/>
      <c r="X103" s="675"/>
      <c r="AB103" s="537" t="s">
        <v>318</v>
      </c>
      <c r="AC103" s="675"/>
      <c r="AE103" s="680"/>
    </row>
    <row r="104" spans="1:31" s="536" customFormat="1" ht="12" x14ac:dyDescent="0.2">
      <c r="A104" s="605"/>
      <c r="B104" s="552"/>
      <c r="C104" s="1822" t="s">
        <v>319</v>
      </c>
      <c r="D104" s="1822"/>
      <c r="E104" s="1822"/>
      <c r="F104" s="562"/>
      <c r="G104" s="562"/>
      <c r="H104" s="562"/>
      <c r="I104" s="562"/>
      <c r="J104" s="604"/>
      <c r="K104" s="562"/>
      <c r="L104" s="604">
        <v>35.81</v>
      </c>
      <c r="M104" s="603"/>
      <c r="N104" s="602"/>
      <c r="V104" s="674"/>
      <c r="W104" s="675"/>
      <c r="X104" s="675"/>
      <c r="AA104" s="537" t="s">
        <v>319</v>
      </c>
      <c r="AC104" s="675"/>
      <c r="AE104" s="680"/>
    </row>
    <row r="105" spans="1:31" s="536" customFormat="1" ht="33.75" x14ac:dyDescent="0.2">
      <c r="A105" s="605"/>
      <c r="B105" s="552" t="s">
        <v>533</v>
      </c>
      <c r="C105" s="1822" t="s">
        <v>534</v>
      </c>
      <c r="D105" s="1822"/>
      <c r="E105" s="1822"/>
      <c r="F105" s="562" t="s">
        <v>322</v>
      </c>
      <c r="G105" s="562" t="s">
        <v>535</v>
      </c>
      <c r="H105" s="562"/>
      <c r="I105" s="562" t="s">
        <v>535</v>
      </c>
      <c r="J105" s="604"/>
      <c r="K105" s="562"/>
      <c r="L105" s="604">
        <v>41.9</v>
      </c>
      <c r="M105" s="603"/>
      <c r="N105" s="602"/>
      <c r="V105" s="674"/>
      <c r="W105" s="675"/>
      <c r="X105" s="675"/>
      <c r="AA105" s="537" t="s">
        <v>534</v>
      </c>
      <c r="AC105" s="675"/>
      <c r="AE105" s="680"/>
    </row>
    <row r="106" spans="1:31" s="536" customFormat="1" ht="33.75" x14ac:dyDescent="0.2">
      <c r="A106" s="605"/>
      <c r="B106" s="552" t="s">
        <v>536</v>
      </c>
      <c r="C106" s="1822" t="s">
        <v>537</v>
      </c>
      <c r="D106" s="1822"/>
      <c r="E106" s="1822"/>
      <c r="F106" s="562" t="s">
        <v>322</v>
      </c>
      <c r="G106" s="562" t="s">
        <v>538</v>
      </c>
      <c r="H106" s="562"/>
      <c r="I106" s="562" t="s">
        <v>538</v>
      </c>
      <c r="J106" s="604"/>
      <c r="K106" s="562"/>
      <c r="L106" s="604">
        <v>26.5</v>
      </c>
      <c r="M106" s="603"/>
      <c r="N106" s="602"/>
      <c r="V106" s="674"/>
      <c r="W106" s="675"/>
      <c r="X106" s="675"/>
      <c r="AA106" s="537" t="s">
        <v>537</v>
      </c>
      <c r="AC106" s="675"/>
      <c r="AE106" s="680"/>
    </row>
    <row r="107" spans="1:31" s="536" customFormat="1" ht="12" x14ac:dyDescent="0.2">
      <c r="A107" s="569"/>
      <c r="B107" s="656"/>
      <c r="C107" s="1823" t="s">
        <v>327</v>
      </c>
      <c r="D107" s="1823"/>
      <c r="E107" s="1823"/>
      <c r="F107" s="573"/>
      <c r="G107" s="573"/>
      <c r="H107" s="573"/>
      <c r="I107" s="573"/>
      <c r="J107" s="572"/>
      <c r="K107" s="573"/>
      <c r="L107" s="572">
        <v>176.26</v>
      </c>
      <c r="M107" s="601"/>
      <c r="N107" s="570"/>
      <c r="V107" s="674"/>
      <c r="W107" s="675"/>
      <c r="X107" s="675"/>
      <c r="AC107" s="675" t="s">
        <v>327</v>
      </c>
      <c r="AE107" s="680"/>
    </row>
    <row r="108" spans="1:31" s="536" customFormat="1" ht="56.25" x14ac:dyDescent="0.2">
      <c r="A108" s="575" t="s">
        <v>193</v>
      </c>
      <c r="B108" s="657" t="s">
        <v>2479</v>
      </c>
      <c r="C108" s="1823" t="s">
        <v>2480</v>
      </c>
      <c r="D108" s="1823"/>
      <c r="E108" s="1823"/>
      <c r="F108" s="573" t="s">
        <v>483</v>
      </c>
      <c r="G108" s="573"/>
      <c r="H108" s="573"/>
      <c r="I108" s="573" t="s">
        <v>2474</v>
      </c>
      <c r="J108" s="572">
        <v>2560.8000000000002</v>
      </c>
      <c r="K108" s="573"/>
      <c r="L108" s="572">
        <v>10345.629999999999</v>
      </c>
      <c r="M108" s="571"/>
      <c r="N108" s="570"/>
      <c r="V108" s="674"/>
      <c r="W108" s="675"/>
      <c r="X108" s="675" t="s">
        <v>2480</v>
      </c>
      <c r="AC108" s="675"/>
      <c r="AE108" s="680"/>
    </row>
    <row r="109" spans="1:31" s="536" customFormat="1" ht="12" x14ac:dyDescent="0.2">
      <c r="A109" s="569"/>
      <c r="B109" s="656"/>
      <c r="C109" s="661" t="s">
        <v>717</v>
      </c>
      <c r="D109" s="662"/>
      <c r="E109" s="662"/>
      <c r="F109" s="563"/>
      <c r="G109" s="563"/>
      <c r="H109" s="563"/>
      <c r="I109" s="563"/>
      <c r="J109" s="566"/>
      <c r="K109" s="563"/>
      <c r="L109" s="566"/>
      <c r="M109" s="565"/>
      <c r="N109" s="564"/>
      <c r="V109" s="674"/>
      <c r="W109" s="675"/>
      <c r="X109" s="675"/>
      <c r="AC109" s="675"/>
      <c r="AE109" s="680"/>
    </row>
    <row r="110" spans="1:31" s="536" customFormat="1" ht="56.25" x14ac:dyDescent="0.2">
      <c r="A110" s="575" t="s">
        <v>194</v>
      </c>
      <c r="B110" s="657" t="s">
        <v>2481</v>
      </c>
      <c r="C110" s="1823" t="s">
        <v>2482</v>
      </c>
      <c r="D110" s="1823"/>
      <c r="E110" s="1823"/>
      <c r="F110" s="573" t="s">
        <v>2483</v>
      </c>
      <c r="G110" s="573"/>
      <c r="H110" s="573"/>
      <c r="I110" s="573" t="s">
        <v>728</v>
      </c>
      <c r="J110" s="572"/>
      <c r="K110" s="573"/>
      <c r="L110" s="572"/>
      <c r="M110" s="571"/>
      <c r="N110" s="570"/>
      <c r="V110" s="674"/>
      <c r="W110" s="675"/>
      <c r="X110" s="675" t="s">
        <v>2482</v>
      </c>
      <c r="AC110" s="675"/>
      <c r="AE110" s="680"/>
    </row>
    <row r="111" spans="1:31" s="536" customFormat="1" ht="12" x14ac:dyDescent="0.2">
      <c r="A111" s="676"/>
      <c r="B111" s="655"/>
      <c r="C111" s="1822" t="s">
        <v>2263</v>
      </c>
      <c r="D111" s="1822"/>
      <c r="E111" s="1822"/>
      <c r="F111" s="1822"/>
      <c r="G111" s="1822"/>
      <c r="H111" s="1822"/>
      <c r="I111" s="1822"/>
      <c r="J111" s="1822"/>
      <c r="K111" s="1822"/>
      <c r="L111" s="1822"/>
      <c r="M111" s="1822"/>
      <c r="N111" s="1827"/>
      <c r="V111" s="674"/>
      <c r="W111" s="675"/>
      <c r="X111" s="675"/>
      <c r="AC111" s="675"/>
      <c r="AD111" s="537" t="s">
        <v>2263</v>
      </c>
      <c r="AE111" s="680"/>
    </row>
    <row r="112" spans="1:31" s="536" customFormat="1" ht="22.5" x14ac:dyDescent="0.2">
      <c r="A112" s="609"/>
      <c r="B112" s="552" t="s">
        <v>499</v>
      </c>
      <c r="C112" s="1822" t="s">
        <v>500</v>
      </c>
      <c r="D112" s="1822"/>
      <c r="E112" s="1822"/>
      <c r="F112" s="1822"/>
      <c r="G112" s="1822"/>
      <c r="H112" s="1822"/>
      <c r="I112" s="1822"/>
      <c r="J112" s="1822"/>
      <c r="K112" s="1822"/>
      <c r="L112" s="1822"/>
      <c r="M112" s="1822"/>
      <c r="N112" s="1827"/>
      <c r="V112" s="674"/>
      <c r="W112" s="675"/>
      <c r="X112" s="675"/>
      <c r="Y112" s="537" t="s">
        <v>500</v>
      </c>
      <c r="AC112" s="675"/>
      <c r="AE112" s="680"/>
    </row>
    <row r="113" spans="1:31" s="536" customFormat="1" ht="12" x14ac:dyDescent="0.2">
      <c r="A113" s="605"/>
      <c r="B113" s="552" t="s">
        <v>185</v>
      </c>
      <c r="C113" s="1822" t="s">
        <v>312</v>
      </c>
      <c r="D113" s="1822"/>
      <c r="E113" s="1822"/>
      <c r="F113" s="562"/>
      <c r="G113" s="562"/>
      <c r="H113" s="562"/>
      <c r="I113" s="562"/>
      <c r="J113" s="604">
        <v>689.47</v>
      </c>
      <c r="K113" s="562" t="s">
        <v>313</v>
      </c>
      <c r="L113" s="604">
        <v>34.47</v>
      </c>
      <c r="M113" s="603"/>
      <c r="N113" s="602"/>
      <c r="V113" s="674"/>
      <c r="W113" s="675"/>
      <c r="X113" s="675"/>
      <c r="Z113" s="537" t="s">
        <v>312</v>
      </c>
      <c r="AC113" s="675"/>
      <c r="AE113" s="680"/>
    </row>
    <row r="114" spans="1:31" s="536" customFormat="1" ht="12" x14ac:dyDescent="0.2">
      <c r="A114" s="605"/>
      <c r="B114" s="552" t="s">
        <v>186</v>
      </c>
      <c r="C114" s="1822" t="s">
        <v>344</v>
      </c>
      <c r="D114" s="1822"/>
      <c r="E114" s="1822"/>
      <c r="F114" s="562"/>
      <c r="G114" s="562"/>
      <c r="H114" s="562"/>
      <c r="I114" s="562"/>
      <c r="J114" s="604">
        <v>72.67</v>
      </c>
      <c r="K114" s="562" t="s">
        <v>313</v>
      </c>
      <c r="L114" s="604">
        <v>3.63</v>
      </c>
      <c r="M114" s="603"/>
      <c r="N114" s="602"/>
      <c r="V114" s="674"/>
      <c r="W114" s="675"/>
      <c r="X114" s="675"/>
      <c r="Z114" s="537" t="s">
        <v>344</v>
      </c>
      <c r="AC114" s="675"/>
      <c r="AE114" s="680"/>
    </row>
    <row r="115" spans="1:31" s="536" customFormat="1" ht="12" x14ac:dyDescent="0.2">
      <c r="A115" s="605"/>
      <c r="B115" s="552" t="s">
        <v>187</v>
      </c>
      <c r="C115" s="1822" t="s">
        <v>345</v>
      </c>
      <c r="D115" s="1822"/>
      <c r="E115" s="1822"/>
      <c r="F115" s="562"/>
      <c r="G115" s="562"/>
      <c r="H115" s="562"/>
      <c r="I115" s="562"/>
      <c r="J115" s="604">
        <v>0.41</v>
      </c>
      <c r="K115" s="562" t="s">
        <v>313</v>
      </c>
      <c r="L115" s="604">
        <v>0.02</v>
      </c>
      <c r="M115" s="603"/>
      <c r="N115" s="602"/>
      <c r="V115" s="674"/>
      <c r="W115" s="675"/>
      <c r="X115" s="675"/>
      <c r="Z115" s="537" t="s">
        <v>345</v>
      </c>
      <c r="AC115" s="675"/>
      <c r="AE115" s="680"/>
    </row>
    <row r="116" spans="1:31" s="536" customFormat="1" ht="12" x14ac:dyDescent="0.2">
      <c r="A116" s="605"/>
      <c r="B116" s="552" t="s">
        <v>188</v>
      </c>
      <c r="C116" s="1822" t="s">
        <v>475</v>
      </c>
      <c r="D116" s="1822"/>
      <c r="E116" s="1822"/>
      <c r="F116" s="562"/>
      <c r="G116" s="562"/>
      <c r="H116" s="562"/>
      <c r="I116" s="562"/>
      <c r="J116" s="604">
        <v>484.59</v>
      </c>
      <c r="K116" s="562"/>
      <c r="L116" s="604">
        <v>19.38</v>
      </c>
      <c r="M116" s="603"/>
      <c r="N116" s="602"/>
      <c r="V116" s="674"/>
      <c r="W116" s="675"/>
      <c r="X116" s="675"/>
      <c r="Z116" s="537" t="s">
        <v>475</v>
      </c>
      <c r="AC116" s="675"/>
      <c r="AE116" s="680"/>
    </row>
    <row r="117" spans="1:31" s="536" customFormat="1" ht="12" x14ac:dyDescent="0.2">
      <c r="A117" s="676"/>
      <c r="B117" s="677" t="s">
        <v>2458</v>
      </c>
      <c r="C117" s="1829" t="s">
        <v>2459</v>
      </c>
      <c r="D117" s="1829"/>
      <c r="E117" s="1829"/>
      <c r="F117" s="678" t="s">
        <v>483</v>
      </c>
      <c r="G117" s="678" t="s">
        <v>2034</v>
      </c>
      <c r="H117" s="678"/>
      <c r="I117" s="678" t="s">
        <v>2484</v>
      </c>
      <c r="J117" s="552"/>
      <c r="K117" s="562"/>
      <c r="L117" s="604"/>
      <c r="M117" s="562"/>
      <c r="N117" s="679"/>
      <c r="V117" s="674"/>
      <c r="W117" s="675"/>
      <c r="X117" s="675"/>
      <c r="AC117" s="675"/>
      <c r="AE117" s="680" t="s">
        <v>2459</v>
      </c>
    </row>
    <row r="118" spans="1:31" s="536" customFormat="1" ht="12" x14ac:dyDescent="0.2">
      <c r="A118" s="605"/>
      <c r="B118" s="552"/>
      <c r="C118" s="1822" t="s">
        <v>314</v>
      </c>
      <c r="D118" s="1822"/>
      <c r="E118" s="1822"/>
      <c r="F118" s="562" t="s">
        <v>315</v>
      </c>
      <c r="G118" s="562" t="s">
        <v>2485</v>
      </c>
      <c r="H118" s="562" t="s">
        <v>313</v>
      </c>
      <c r="I118" s="562" t="s">
        <v>2486</v>
      </c>
      <c r="J118" s="604"/>
      <c r="K118" s="562"/>
      <c r="L118" s="604"/>
      <c r="M118" s="603"/>
      <c r="N118" s="602"/>
      <c r="V118" s="674"/>
      <c r="W118" s="675"/>
      <c r="X118" s="675"/>
      <c r="AA118" s="537" t="s">
        <v>314</v>
      </c>
      <c r="AC118" s="675"/>
      <c r="AE118" s="680"/>
    </row>
    <row r="119" spans="1:31" s="536" customFormat="1" ht="12" x14ac:dyDescent="0.2">
      <c r="A119" s="605"/>
      <c r="B119" s="552"/>
      <c r="C119" s="1822" t="s">
        <v>348</v>
      </c>
      <c r="D119" s="1822"/>
      <c r="E119" s="1822"/>
      <c r="F119" s="562" t="s">
        <v>315</v>
      </c>
      <c r="G119" s="562" t="s">
        <v>1292</v>
      </c>
      <c r="H119" s="562" t="s">
        <v>313</v>
      </c>
      <c r="I119" s="562" t="s">
        <v>2487</v>
      </c>
      <c r="J119" s="604"/>
      <c r="K119" s="562"/>
      <c r="L119" s="604"/>
      <c r="M119" s="603"/>
      <c r="N119" s="602"/>
      <c r="V119" s="674"/>
      <c r="W119" s="675"/>
      <c r="X119" s="675"/>
      <c r="AA119" s="537" t="s">
        <v>348</v>
      </c>
      <c r="AC119" s="675"/>
      <c r="AE119" s="680"/>
    </row>
    <row r="120" spans="1:31" s="536" customFormat="1" ht="12" x14ac:dyDescent="0.2">
      <c r="A120" s="605"/>
      <c r="B120" s="552"/>
      <c r="C120" s="1828" t="s">
        <v>318</v>
      </c>
      <c r="D120" s="1828"/>
      <c r="E120" s="1828"/>
      <c r="F120" s="608"/>
      <c r="G120" s="608"/>
      <c r="H120" s="608"/>
      <c r="I120" s="608"/>
      <c r="J120" s="607">
        <v>1246.73</v>
      </c>
      <c r="K120" s="608"/>
      <c r="L120" s="607">
        <v>57.48</v>
      </c>
      <c r="M120" s="601"/>
      <c r="N120" s="606"/>
      <c r="V120" s="674"/>
      <c r="W120" s="675"/>
      <c r="X120" s="675"/>
      <c r="AB120" s="537" t="s">
        <v>318</v>
      </c>
      <c r="AC120" s="675"/>
      <c r="AE120" s="680"/>
    </row>
    <row r="121" spans="1:31" s="536" customFormat="1" ht="12" x14ac:dyDescent="0.2">
      <c r="A121" s="605"/>
      <c r="B121" s="552"/>
      <c r="C121" s="1822" t="s">
        <v>319</v>
      </c>
      <c r="D121" s="1822"/>
      <c r="E121" s="1822"/>
      <c r="F121" s="562"/>
      <c r="G121" s="562"/>
      <c r="H121" s="562"/>
      <c r="I121" s="562"/>
      <c r="J121" s="604"/>
      <c r="K121" s="562"/>
      <c r="L121" s="604">
        <v>34.49</v>
      </c>
      <c r="M121" s="603"/>
      <c r="N121" s="602"/>
      <c r="V121" s="674"/>
      <c r="W121" s="675"/>
      <c r="X121" s="675"/>
      <c r="AA121" s="537" t="s">
        <v>319</v>
      </c>
      <c r="AC121" s="675"/>
      <c r="AE121" s="680"/>
    </row>
    <row r="122" spans="1:31" s="536" customFormat="1" ht="33.75" x14ac:dyDescent="0.2">
      <c r="A122" s="605"/>
      <c r="B122" s="552" t="s">
        <v>533</v>
      </c>
      <c r="C122" s="1822" t="s">
        <v>534</v>
      </c>
      <c r="D122" s="1822"/>
      <c r="E122" s="1822"/>
      <c r="F122" s="562" t="s">
        <v>322</v>
      </c>
      <c r="G122" s="562" t="s">
        <v>535</v>
      </c>
      <c r="H122" s="562"/>
      <c r="I122" s="562" t="s">
        <v>535</v>
      </c>
      <c r="J122" s="604"/>
      <c r="K122" s="562"/>
      <c r="L122" s="604">
        <v>40.35</v>
      </c>
      <c r="M122" s="603"/>
      <c r="N122" s="602"/>
      <c r="V122" s="674"/>
      <c r="W122" s="675"/>
      <c r="X122" s="675"/>
      <c r="AA122" s="537" t="s">
        <v>534</v>
      </c>
      <c r="AC122" s="675"/>
      <c r="AE122" s="680"/>
    </row>
    <row r="123" spans="1:31" s="536" customFormat="1" ht="33.75" x14ac:dyDescent="0.2">
      <c r="A123" s="605"/>
      <c r="B123" s="552" t="s">
        <v>536</v>
      </c>
      <c r="C123" s="1822" t="s">
        <v>537</v>
      </c>
      <c r="D123" s="1822"/>
      <c r="E123" s="1822"/>
      <c r="F123" s="562" t="s">
        <v>322</v>
      </c>
      <c r="G123" s="562" t="s">
        <v>538</v>
      </c>
      <c r="H123" s="562"/>
      <c r="I123" s="562" t="s">
        <v>538</v>
      </c>
      <c r="J123" s="604"/>
      <c r="K123" s="562"/>
      <c r="L123" s="604">
        <v>25.52</v>
      </c>
      <c r="M123" s="603"/>
      <c r="N123" s="602"/>
      <c r="V123" s="674"/>
      <c r="W123" s="675"/>
      <c r="X123" s="675"/>
      <c r="AA123" s="537" t="s">
        <v>537</v>
      </c>
      <c r="AC123" s="675"/>
      <c r="AE123" s="680"/>
    </row>
    <row r="124" spans="1:31" s="536" customFormat="1" ht="12" x14ac:dyDescent="0.2">
      <c r="A124" s="569"/>
      <c r="B124" s="656"/>
      <c r="C124" s="1823" t="s">
        <v>327</v>
      </c>
      <c r="D124" s="1823"/>
      <c r="E124" s="1823"/>
      <c r="F124" s="573"/>
      <c r="G124" s="573"/>
      <c r="H124" s="573"/>
      <c r="I124" s="573"/>
      <c r="J124" s="572"/>
      <c r="K124" s="573"/>
      <c r="L124" s="572">
        <v>123.35</v>
      </c>
      <c r="M124" s="601"/>
      <c r="N124" s="570"/>
      <c r="V124" s="674"/>
      <c r="W124" s="675"/>
      <c r="X124" s="675"/>
      <c r="AC124" s="675" t="s">
        <v>327</v>
      </c>
      <c r="AE124" s="680"/>
    </row>
    <row r="125" spans="1:31" s="536" customFormat="1" ht="67.5" x14ac:dyDescent="0.2">
      <c r="A125" s="575" t="s">
        <v>195</v>
      </c>
      <c r="B125" s="657" t="s">
        <v>2488</v>
      </c>
      <c r="C125" s="1823" t="s">
        <v>2489</v>
      </c>
      <c r="D125" s="1823"/>
      <c r="E125" s="1823"/>
      <c r="F125" s="573" t="s">
        <v>2490</v>
      </c>
      <c r="G125" s="573"/>
      <c r="H125" s="573"/>
      <c r="I125" s="573" t="s">
        <v>1901</v>
      </c>
      <c r="J125" s="572"/>
      <c r="K125" s="573"/>
      <c r="L125" s="572"/>
      <c r="M125" s="571"/>
      <c r="N125" s="570"/>
      <c r="V125" s="674"/>
      <c r="W125" s="675"/>
      <c r="X125" s="675" t="s">
        <v>2489</v>
      </c>
      <c r="AC125" s="675"/>
      <c r="AE125" s="680"/>
    </row>
    <row r="126" spans="1:31" s="536" customFormat="1" ht="12" x14ac:dyDescent="0.2">
      <c r="A126" s="676"/>
      <c r="B126" s="655"/>
      <c r="C126" s="1822" t="s">
        <v>2491</v>
      </c>
      <c r="D126" s="1822"/>
      <c r="E126" s="1822"/>
      <c r="F126" s="1822"/>
      <c r="G126" s="1822"/>
      <c r="H126" s="1822"/>
      <c r="I126" s="1822"/>
      <c r="J126" s="1822"/>
      <c r="K126" s="1822"/>
      <c r="L126" s="1822"/>
      <c r="M126" s="1822"/>
      <c r="N126" s="1827"/>
      <c r="V126" s="674"/>
      <c r="W126" s="675"/>
      <c r="X126" s="675"/>
      <c r="AC126" s="675"/>
      <c r="AD126" s="537" t="s">
        <v>2491</v>
      </c>
      <c r="AE126" s="680"/>
    </row>
    <row r="127" spans="1:31" s="536" customFormat="1" ht="22.5" x14ac:dyDescent="0.2">
      <c r="A127" s="609"/>
      <c r="B127" s="552" t="s">
        <v>499</v>
      </c>
      <c r="C127" s="1822" t="s">
        <v>500</v>
      </c>
      <c r="D127" s="1822"/>
      <c r="E127" s="1822"/>
      <c r="F127" s="1822"/>
      <c r="G127" s="1822"/>
      <c r="H127" s="1822"/>
      <c r="I127" s="1822"/>
      <c r="J127" s="1822"/>
      <c r="K127" s="1822"/>
      <c r="L127" s="1822"/>
      <c r="M127" s="1822"/>
      <c r="N127" s="1827"/>
      <c r="V127" s="674"/>
      <c r="W127" s="675"/>
      <c r="X127" s="675"/>
      <c r="Y127" s="537" t="s">
        <v>500</v>
      </c>
      <c r="AC127" s="675"/>
      <c r="AE127" s="680"/>
    </row>
    <row r="128" spans="1:31" s="536" customFormat="1" ht="12" x14ac:dyDescent="0.2">
      <c r="A128" s="605"/>
      <c r="B128" s="552" t="s">
        <v>185</v>
      </c>
      <c r="C128" s="1822" t="s">
        <v>312</v>
      </c>
      <c r="D128" s="1822"/>
      <c r="E128" s="1822"/>
      <c r="F128" s="562"/>
      <c r="G128" s="562"/>
      <c r="H128" s="562"/>
      <c r="I128" s="562"/>
      <c r="J128" s="604">
        <v>23.89</v>
      </c>
      <c r="K128" s="562" t="s">
        <v>313</v>
      </c>
      <c r="L128" s="604">
        <v>4.4800000000000004</v>
      </c>
      <c r="M128" s="603"/>
      <c r="N128" s="602"/>
      <c r="V128" s="674"/>
      <c r="W128" s="675"/>
      <c r="X128" s="675"/>
      <c r="Z128" s="537" t="s">
        <v>312</v>
      </c>
      <c r="AC128" s="675"/>
      <c r="AE128" s="680"/>
    </row>
    <row r="129" spans="1:31" s="536" customFormat="1" ht="12" x14ac:dyDescent="0.2">
      <c r="A129" s="605"/>
      <c r="B129" s="552"/>
      <c r="C129" s="1822" t="s">
        <v>314</v>
      </c>
      <c r="D129" s="1822"/>
      <c r="E129" s="1822"/>
      <c r="F129" s="562" t="s">
        <v>315</v>
      </c>
      <c r="G129" s="562" t="s">
        <v>2030</v>
      </c>
      <c r="H129" s="562" t="s">
        <v>313</v>
      </c>
      <c r="I129" s="562" t="s">
        <v>2492</v>
      </c>
      <c r="J129" s="604"/>
      <c r="K129" s="562"/>
      <c r="L129" s="604"/>
      <c r="M129" s="603"/>
      <c r="N129" s="602"/>
      <c r="V129" s="674"/>
      <c r="W129" s="675"/>
      <c r="X129" s="675"/>
      <c r="AA129" s="537" t="s">
        <v>314</v>
      </c>
      <c r="AC129" s="675"/>
      <c r="AE129" s="680"/>
    </row>
    <row r="130" spans="1:31" s="536" customFormat="1" ht="12" x14ac:dyDescent="0.2">
      <c r="A130" s="605"/>
      <c r="B130" s="552"/>
      <c r="C130" s="1828" t="s">
        <v>318</v>
      </c>
      <c r="D130" s="1828"/>
      <c r="E130" s="1828"/>
      <c r="F130" s="608"/>
      <c r="G130" s="608"/>
      <c r="H130" s="608"/>
      <c r="I130" s="608"/>
      <c r="J130" s="607">
        <v>23.89</v>
      </c>
      <c r="K130" s="608"/>
      <c r="L130" s="607">
        <v>4.4800000000000004</v>
      </c>
      <c r="M130" s="601"/>
      <c r="N130" s="606"/>
      <c r="V130" s="674"/>
      <c r="W130" s="675"/>
      <c r="X130" s="675"/>
      <c r="AB130" s="537" t="s">
        <v>318</v>
      </c>
      <c r="AC130" s="675"/>
      <c r="AE130" s="680"/>
    </row>
    <row r="131" spans="1:31" s="536" customFormat="1" ht="12" x14ac:dyDescent="0.2">
      <c r="A131" s="605"/>
      <c r="B131" s="552"/>
      <c r="C131" s="1822" t="s">
        <v>319</v>
      </c>
      <c r="D131" s="1822"/>
      <c r="E131" s="1822"/>
      <c r="F131" s="562"/>
      <c r="G131" s="562"/>
      <c r="H131" s="562"/>
      <c r="I131" s="562"/>
      <c r="J131" s="604"/>
      <c r="K131" s="562"/>
      <c r="L131" s="604">
        <v>4.4800000000000004</v>
      </c>
      <c r="M131" s="603"/>
      <c r="N131" s="602"/>
      <c r="V131" s="674"/>
      <c r="W131" s="675"/>
      <c r="X131" s="675"/>
      <c r="AA131" s="537" t="s">
        <v>319</v>
      </c>
      <c r="AC131" s="675"/>
      <c r="AE131" s="680"/>
    </row>
    <row r="132" spans="1:31" s="536" customFormat="1" ht="45" x14ac:dyDescent="0.2">
      <c r="A132" s="605"/>
      <c r="B132" s="552" t="s">
        <v>892</v>
      </c>
      <c r="C132" s="1822" t="s">
        <v>893</v>
      </c>
      <c r="D132" s="1822"/>
      <c r="E132" s="1822"/>
      <c r="F132" s="562" t="s">
        <v>322</v>
      </c>
      <c r="G132" s="562" t="s">
        <v>894</v>
      </c>
      <c r="H132" s="562"/>
      <c r="I132" s="562" t="s">
        <v>894</v>
      </c>
      <c r="J132" s="604"/>
      <c r="K132" s="562"/>
      <c r="L132" s="604">
        <v>5.42</v>
      </c>
      <c r="M132" s="603"/>
      <c r="N132" s="602"/>
      <c r="V132" s="674"/>
      <c r="W132" s="675"/>
      <c r="X132" s="675"/>
      <c r="AA132" s="537" t="s">
        <v>893</v>
      </c>
      <c r="AC132" s="675"/>
      <c r="AE132" s="680"/>
    </row>
    <row r="133" spans="1:31" s="536" customFormat="1" ht="45" x14ac:dyDescent="0.2">
      <c r="A133" s="605"/>
      <c r="B133" s="552" t="s">
        <v>895</v>
      </c>
      <c r="C133" s="1822" t="s">
        <v>896</v>
      </c>
      <c r="D133" s="1822"/>
      <c r="E133" s="1822"/>
      <c r="F133" s="562" t="s">
        <v>322</v>
      </c>
      <c r="G133" s="562" t="s">
        <v>897</v>
      </c>
      <c r="H133" s="562"/>
      <c r="I133" s="562" t="s">
        <v>897</v>
      </c>
      <c r="J133" s="604"/>
      <c r="K133" s="562"/>
      <c r="L133" s="604">
        <v>3.23</v>
      </c>
      <c r="M133" s="603"/>
      <c r="N133" s="602"/>
      <c r="V133" s="674"/>
      <c r="W133" s="675"/>
      <c r="X133" s="675"/>
      <c r="AA133" s="537" t="s">
        <v>896</v>
      </c>
      <c r="AC133" s="675"/>
      <c r="AE133" s="680"/>
    </row>
    <row r="134" spans="1:31" s="536" customFormat="1" ht="12" x14ac:dyDescent="0.2">
      <c r="A134" s="569"/>
      <c r="B134" s="656"/>
      <c r="C134" s="1823" t="s">
        <v>327</v>
      </c>
      <c r="D134" s="1823"/>
      <c r="E134" s="1823"/>
      <c r="F134" s="573"/>
      <c r="G134" s="573"/>
      <c r="H134" s="573"/>
      <c r="I134" s="573"/>
      <c r="J134" s="572"/>
      <c r="K134" s="573"/>
      <c r="L134" s="572">
        <v>13.13</v>
      </c>
      <c r="M134" s="601"/>
      <c r="N134" s="570"/>
      <c r="V134" s="674"/>
      <c r="W134" s="675"/>
      <c r="X134" s="675"/>
      <c r="AC134" s="675" t="s">
        <v>327</v>
      </c>
      <c r="AE134" s="680"/>
    </row>
    <row r="135" spans="1:31" s="536" customFormat="1" ht="56.25" x14ac:dyDescent="0.2">
      <c r="A135" s="575" t="s">
        <v>196</v>
      </c>
      <c r="B135" s="657" t="s">
        <v>2493</v>
      </c>
      <c r="C135" s="1823" t="s">
        <v>2494</v>
      </c>
      <c r="D135" s="1823"/>
      <c r="E135" s="1823"/>
      <c r="F135" s="573" t="s">
        <v>1110</v>
      </c>
      <c r="G135" s="573"/>
      <c r="H135" s="573"/>
      <c r="I135" s="573" t="s">
        <v>856</v>
      </c>
      <c r="J135" s="572"/>
      <c r="K135" s="573"/>
      <c r="L135" s="572"/>
      <c r="M135" s="571"/>
      <c r="N135" s="570"/>
      <c r="V135" s="674"/>
      <c r="W135" s="675"/>
      <c r="X135" s="675" t="s">
        <v>2494</v>
      </c>
      <c r="AC135" s="675"/>
      <c r="AE135" s="680"/>
    </row>
    <row r="136" spans="1:31" s="536" customFormat="1" ht="12" x14ac:dyDescent="0.2">
      <c r="A136" s="676"/>
      <c r="B136" s="655"/>
      <c r="C136" s="1822" t="s">
        <v>2317</v>
      </c>
      <c r="D136" s="1822"/>
      <c r="E136" s="1822"/>
      <c r="F136" s="1822"/>
      <c r="G136" s="1822"/>
      <c r="H136" s="1822"/>
      <c r="I136" s="1822"/>
      <c r="J136" s="1822"/>
      <c r="K136" s="1822"/>
      <c r="L136" s="1822"/>
      <c r="M136" s="1822"/>
      <c r="N136" s="1827"/>
      <c r="V136" s="674"/>
      <c r="W136" s="675"/>
      <c r="X136" s="675"/>
      <c r="AC136" s="675"/>
      <c r="AD136" s="537" t="s">
        <v>2317</v>
      </c>
      <c r="AE136" s="680"/>
    </row>
    <row r="137" spans="1:31" s="536" customFormat="1" ht="22.5" x14ac:dyDescent="0.2">
      <c r="A137" s="609"/>
      <c r="B137" s="552" t="s">
        <v>499</v>
      </c>
      <c r="C137" s="1822" t="s">
        <v>500</v>
      </c>
      <c r="D137" s="1822"/>
      <c r="E137" s="1822"/>
      <c r="F137" s="1822"/>
      <c r="G137" s="1822"/>
      <c r="H137" s="1822"/>
      <c r="I137" s="1822"/>
      <c r="J137" s="1822"/>
      <c r="K137" s="1822"/>
      <c r="L137" s="1822"/>
      <c r="M137" s="1822"/>
      <c r="N137" s="1827"/>
      <c r="V137" s="674"/>
      <c r="W137" s="675"/>
      <c r="X137" s="675"/>
      <c r="Y137" s="537" t="s">
        <v>500</v>
      </c>
      <c r="AC137" s="675"/>
      <c r="AE137" s="680"/>
    </row>
    <row r="138" spans="1:31" s="536" customFormat="1" ht="12" x14ac:dyDescent="0.2">
      <c r="A138" s="605"/>
      <c r="B138" s="552" t="s">
        <v>185</v>
      </c>
      <c r="C138" s="1822" t="s">
        <v>312</v>
      </c>
      <c r="D138" s="1822"/>
      <c r="E138" s="1822"/>
      <c r="F138" s="562"/>
      <c r="G138" s="562"/>
      <c r="H138" s="562"/>
      <c r="I138" s="562"/>
      <c r="J138" s="604">
        <v>120.32</v>
      </c>
      <c r="K138" s="562" t="s">
        <v>313</v>
      </c>
      <c r="L138" s="604">
        <v>7.52</v>
      </c>
      <c r="M138" s="603"/>
      <c r="N138" s="602"/>
      <c r="V138" s="674"/>
      <c r="W138" s="675"/>
      <c r="X138" s="675"/>
      <c r="Z138" s="537" t="s">
        <v>312</v>
      </c>
      <c r="AC138" s="675"/>
      <c r="AE138" s="680"/>
    </row>
    <row r="139" spans="1:31" s="536" customFormat="1" ht="12" x14ac:dyDescent="0.2">
      <c r="A139" s="605"/>
      <c r="B139" s="552" t="s">
        <v>186</v>
      </c>
      <c r="C139" s="1822" t="s">
        <v>344</v>
      </c>
      <c r="D139" s="1822"/>
      <c r="E139" s="1822"/>
      <c r="F139" s="562"/>
      <c r="G139" s="562"/>
      <c r="H139" s="562"/>
      <c r="I139" s="562"/>
      <c r="J139" s="604">
        <v>41.17</v>
      </c>
      <c r="K139" s="562" t="s">
        <v>313</v>
      </c>
      <c r="L139" s="604">
        <v>2.57</v>
      </c>
      <c r="M139" s="603"/>
      <c r="N139" s="602"/>
      <c r="V139" s="674"/>
      <c r="W139" s="675"/>
      <c r="X139" s="675"/>
      <c r="Z139" s="537" t="s">
        <v>344</v>
      </c>
      <c r="AC139" s="675"/>
      <c r="AE139" s="680"/>
    </row>
    <row r="140" spans="1:31" s="536" customFormat="1" ht="12" x14ac:dyDescent="0.2">
      <c r="A140" s="605"/>
      <c r="B140" s="552" t="s">
        <v>187</v>
      </c>
      <c r="C140" s="1822" t="s">
        <v>345</v>
      </c>
      <c r="D140" s="1822"/>
      <c r="E140" s="1822"/>
      <c r="F140" s="562"/>
      <c r="G140" s="562"/>
      <c r="H140" s="562"/>
      <c r="I140" s="562"/>
      <c r="J140" s="604">
        <v>0.6</v>
      </c>
      <c r="K140" s="562" t="s">
        <v>313</v>
      </c>
      <c r="L140" s="604">
        <v>0.04</v>
      </c>
      <c r="M140" s="603"/>
      <c r="N140" s="602"/>
      <c r="V140" s="674"/>
      <c r="W140" s="675"/>
      <c r="X140" s="675"/>
      <c r="Z140" s="537" t="s">
        <v>345</v>
      </c>
      <c r="AC140" s="675"/>
      <c r="AE140" s="680"/>
    </row>
    <row r="141" spans="1:31" s="536" customFormat="1" ht="12" x14ac:dyDescent="0.2">
      <c r="A141" s="605"/>
      <c r="B141" s="552" t="s">
        <v>188</v>
      </c>
      <c r="C141" s="1822" t="s">
        <v>475</v>
      </c>
      <c r="D141" s="1822"/>
      <c r="E141" s="1822"/>
      <c r="F141" s="562"/>
      <c r="G141" s="562"/>
      <c r="H141" s="562"/>
      <c r="I141" s="562"/>
      <c r="J141" s="604">
        <v>68.930000000000007</v>
      </c>
      <c r="K141" s="562"/>
      <c r="L141" s="604">
        <v>0.11</v>
      </c>
      <c r="M141" s="603"/>
      <c r="N141" s="602"/>
      <c r="V141" s="674"/>
      <c r="W141" s="675"/>
      <c r="X141" s="675"/>
      <c r="Z141" s="537" t="s">
        <v>475</v>
      </c>
      <c r="AC141" s="675"/>
      <c r="AE141" s="680"/>
    </row>
    <row r="142" spans="1:31" s="536" customFormat="1" ht="12" x14ac:dyDescent="0.2">
      <c r="A142" s="676"/>
      <c r="B142" s="677" t="s">
        <v>2495</v>
      </c>
      <c r="C142" s="1829" t="s">
        <v>2496</v>
      </c>
      <c r="D142" s="1829"/>
      <c r="E142" s="1829"/>
      <c r="F142" s="678" t="s">
        <v>617</v>
      </c>
      <c r="G142" s="678" t="s">
        <v>525</v>
      </c>
      <c r="H142" s="678"/>
      <c r="I142" s="678" t="s">
        <v>525</v>
      </c>
      <c r="J142" s="552"/>
      <c r="K142" s="562"/>
      <c r="L142" s="604"/>
      <c r="M142" s="562"/>
      <c r="N142" s="679"/>
      <c r="V142" s="674"/>
      <c r="W142" s="675"/>
      <c r="X142" s="675"/>
      <c r="AC142" s="675"/>
      <c r="AE142" s="680" t="s">
        <v>2496</v>
      </c>
    </row>
    <row r="143" spans="1:31" s="536" customFormat="1" ht="12" x14ac:dyDescent="0.2">
      <c r="A143" s="676"/>
      <c r="B143" s="677" t="s">
        <v>2454</v>
      </c>
      <c r="C143" s="1829" t="s">
        <v>2455</v>
      </c>
      <c r="D143" s="1829"/>
      <c r="E143" s="1829"/>
      <c r="F143" s="678" t="s">
        <v>694</v>
      </c>
      <c r="G143" s="678" t="s">
        <v>525</v>
      </c>
      <c r="H143" s="678"/>
      <c r="I143" s="678" t="s">
        <v>525</v>
      </c>
      <c r="J143" s="552"/>
      <c r="K143" s="562"/>
      <c r="L143" s="604"/>
      <c r="M143" s="562"/>
      <c r="N143" s="679"/>
      <c r="V143" s="674"/>
      <c r="W143" s="675"/>
      <c r="X143" s="675"/>
      <c r="AC143" s="675"/>
      <c r="AE143" s="680" t="s">
        <v>2455</v>
      </c>
    </row>
    <row r="144" spans="1:31" s="536" customFormat="1" ht="12" x14ac:dyDescent="0.2">
      <c r="A144" s="676"/>
      <c r="B144" s="677" t="s">
        <v>2497</v>
      </c>
      <c r="C144" s="1829" t="s">
        <v>2498</v>
      </c>
      <c r="D144" s="1829"/>
      <c r="E144" s="1829"/>
      <c r="F144" s="678" t="s">
        <v>889</v>
      </c>
      <c r="G144" s="678" t="s">
        <v>2499</v>
      </c>
      <c r="H144" s="678"/>
      <c r="I144" s="678" t="s">
        <v>2500</v>
      </c>
      <c r="J144" s="552"/>
      <c r="K144" s="562"/>
      <c r="L144" s="604"/>
      <c r="M144" s="562"/>
      <c r="N144" s="679"/>
      <c r="V144" s="674"/>
      <c r="W144" s="675"/>
      <c r="X144" s="675"/>
      <c r="AC144" s="675"/>
      <c r="AE144" s="680" t="s">
        <v>2498</v>
      </c>
    </row>
    <row r="145" spans="1:31" s="536" customFormat="1" ht="12" x14ac:dyDescent="0.2">
      <c r="A145" s="676"/>
      <c r="B145" s="677" t="s">
        <v>2501</v>
      </c>
      <c r="C145" s="1829" t="s">
        <v>2502</v>
      </c>
      <c r="D145" s="1829"/>
      <c r="E145" s="1829"/>
      <c r="F145" s="678" t="s">
        <v>483</v>
      </c>
      <c r="G145" s="678" t="s">
        <v>2503</v>
      </c>
      <c r="H145" s="678"/>
      <c r="I145" s="678" t="s">
        <v>2504</v>
      </c>
      <c r="J145" s="552"/>
      <c r="K145" s="562"/>
      <c r="L145" s="604"/>
      <c r="M145" s="562"/>
      <c r="N145" s="679"/>
      <c r="V145" s="674"/>
      <c r="W145" s="675"/>
      <c r="X145" s="675"/>
      <c r="AC145" s="675"/>
      <c r="AE145" s="680" t="s">
        <v>2502</v>
      </c>
    </row>
    <row r="146" spans="1:31" s="536" customFormat="1" ht="12" x14ac:dyDescent="0.2">
      <c r="A146" s="676"/>
      <c r="B146" s="677" t="s">
        <v>2462</v>
      </c>
      <c r="C146" s="1829" t="s">
        <v>2505</v>
      </c>
      <c r="D146" s="1829"/>
      <c r="E146" s="1829"/>
      <c r="F146" s="678" t="s">
        <v>617</v>
      </c>
      <c r="G146" s="678" t="s">
        <v>525</v>
      </c>
      <c r="H146" s="678"/>
      <c r="I146" s="678" t="s">
        <v>525</v>
      </c>
      <c r="J146" s="552"/>
      <c r="K146" s="562"/>
      <c r="L146" s="604"/>
      <c r="M146" s="562"/>
      <c r="N146" s="679"/>
      <c r="V146" s="674"/>
      <c r="W146" s="675"/>
      <c r="X146" s="675"/>
      <c r="AC146" s="675"/>
      <c r="AE146" s="680" t="s">
        <v>2505</v>
      </c>
    </row>
    <row r="147" spans="1:31" s="536" customFormat="1" ht="12" x14ac:dyDescent="0.2">
      <c r="A147" s="605"/>
      <c r="B147" s="552"/>
      <c r="C147" s="1822" t="s">
        <v>314</v>
      </c>
      <c r="D147" s="1822"/>
      <c r="E147" s="1822"/>
      <c r="F147" s="562" t="s">
        <v>315</v>
      </c>
      <c r="G147" s="562" t="s">
        <v>2506</v>
      </c>
      <c r="H147" s="562" t="s">
        <v>313</v>
      </c>
      <c r="I147" s="562" t="s">
        <v>2507</v>
      </c>
      <c r="J147" s="604"/>
      <c r="K147" s="562"/>
      <c r="L147" s="604"/>
      <c r="M147" s="603"/>
      <c r="N147" s="602"/>
      <c r="V147" s="674"/>
      <c r="W147" s="675"/>
      <c r="X147" s="675"/>
      <c r="AA147" s="537" t="s">
        <v>314</v>
      </c>
      <c r="AC147" s="675"/>
      <c r="AE147" s="680"/>
    </row>
    <row r="148" spans="1:31" s="536" customFormat="1" ht="12" x14ac:dyDescent="0.2">
      <c r="A148" s="605"/>
      <c r="B148" s="552"/>
      <c r="C148" s="1822" t="s">
        <v>348</v>
      </c>
      <c r="D148" s="1822"/>
      <c r="E148" s="1822"/>
      <c r="F148" s="562" t="s">
        <v>315</v>
      </c>
      <c r="G148" s="562" t="s">
        <v>856</v>
      </c>
      <c r="H148" s="562" t="s">
        <v>313</v>
      </c>
      <c r="I148" s="562" t="s">
        <v>2508</v>
      </c>
      <c r="J148" s="604"/>
      <c r="K148" s="562"/>
      <c r="L148" s="604"/>
      <c r="M148" s="603"/>
      <c r="N148" s="602"/>
      <c r="V148" s="674"/>
      <c r="W148" s="675"/>
      <c r="X148" s="675"/>
      <c r="AA148" s="537" t="s">
        <v>348</v>
      </c>
      <c r="AC148" s="675"/>
      <c r="AE148" s="680"/>
    </row>
    <row r="149" spans="1:31" s="536" customFormat="1" ht="12" x14ac:dyDescent="0.2">
      <c r="A149" s="605"/>
      <c r="B149" s="552"/>
      <c r="C149" s="1828" t="s">
        <v>318</v>
      </c>
      <c r="D149" s="1828"/>
      <c r="E149" s="1828"/>
      <c r="F149" s="608"/>
      <c r="G149" s="608"/>
      <c r="H149" s="608"/>
      <c r="I149" s="608"/>
      <c r="J149" s="607">
        <v>163.61000000000001</v>
      </c>
      <c r="K149" s="608"/>
      <c r="L149" s="607">
        <v>10.199999999999999</v>
      </c>
      <c r="M149" s="601"/>
      <c r="N149" s="606"/>
      <c r="V149" s="674"/>
      <c r="W149" s="675"/>
      <c r="X149" s="675"/>
      <c r="AB149" s="537" t="s">
        <v>318</v>
      </c>
      <c r="AC149" s="675"/>
      <c r="AE149" s="680"/>
    </row>
    <row r="150" spans="1:31" s="536" customFormat="1" ht="12" x14ac:dyDescent="0.2">
      <c r="A150" s="605"/>
      <c r="B150" s="552"/>
      <c r="C150" s="1822" t="s">
        <v>319</v>
      </c>
      <c r="D150" s="1822"/>
      <c r="E150" s="1822"/>
      <c r="F150" s="562"/>
      <c r="G150" s="562"/>
      <c r="H150" s="562"/>
      <c r="I150" s="562"/>
      <c r="J150" s="604"/>
      <c r="K150" s="562"/>
      <c r="L150" s="604">
        <v>7.56</v>
      </c>
      <c r="M150" s="603"/>
      <c r="N150" s="602"/>
      <c r="V150" s="674"/>
      <c r="W150" s="675"/>
      <c r="X150" s="675"/>
      <c r="AA150" s="537" t="s">
        <v>319</v>
      </c>
      <c r="AC150" s="675"/>
      <c r="AE150" s="680"/>
    </row>
    <row r="151" spans="1:31" s="536" customFormat="1" ht="45" x14ac:dyDescent="0.2">
      <c r="A151" s="605"/>
      <c r="B151" s="552" t="s">
        <v>892</v>
      </c>
      <c r="C151" s="1822" t="s">
        <v>893</v>
      </c>
      <c r="D151" s="1822"/>
      <c r="E151" s="1822"/>
      <c r="F151" s="562" t="s">
        <v>322</v>
      </c>
      <c r="G151" s="562" t="s">
        <v>894</v>
      </c>
      <c r="H151" s="562"/>
      <c r="I151" s="562" t="s">
        <v>894</v>
      </c>
      <c r="J151" s="604"/>
      <c r="K151" s="562"/>
      <c r="L151" s="604">
        <v>9.15</v>
      </c>
      <c r="M151" s="603"/>
      <c r="N151" s="602"/>
      <c r="V151" s="674"/>
      <c r="W151" s="675"/>
      <c r="X151" s="675"/>
      <c r="AA151" s="537" t="s">
        <v>893</v>
      </c>
      <c r="AC151" s="675"/>
      <c r="AE151" s="680"/>
    </row>
    <row r="152" spans="1:31" s="536" customFormat="1" ht="45" x14ac:dyDescent="0.2">
      <c r="A152" s="605"/>
      <c r="B152" s="552" t="s">
        <v>895</v>
      </c>
      <c r="C152" s="1822" t="s">
        <v>896</v>
      </c>
      <c r="D152" s="1822"/>
      <c r="E152" s="1822"/>
      <c r="F152" s="562" t="s">
        <v>322</v>
      </c>
      <c r="G152" s="562" t="s">
        <v>897</v>
      </c>
      <c r="H152" s="562"/>
      <c r="I152" s="562" t="s">
        <v>897</v>
      </c>
      <c r="J152" s="604"/>
      <c r="K152" s="562"/>
      <c r="L152" s="604">
        <v>5.44</v>
      </c>
      <c r="M152" s="603"/>
      <c r="N152" s="602"/>
      <c r="V152" s="674"/>
      <c r="W152" s="675"/>
      <c r="X152" s="675"/>
      <c r="AA152" s="537" t="s">
        <v>896</v>
      </c>
      <c r="AC152" s="675"/>
      <c r="AE152" s="680"/>
    </row>
    <row r="153" spans="1:31" s="536" customFormat="1" ht="12" x14ac:dyDescent="0.2">
      <c r="A153" s="569"/>
      <c r="B153" s="656"/>
      <c r="C153" s="1823" t="s">
        <v>327</v>
      </c>
      <c r="D153" s="1823"/>
      <c r="E153" s="1823"/>
      <c r="F153" s="573"/>
      <c r="G153" s="573"/>
      <c r="H153" s="573"/>
      <c r="I153" s="573"/>
      <c r="J153" s="572"/>
      <c r="K153" s="573"/>
      <c r="L153" s="572">
        <v>24.79</v>
      </c>
      <c r="M153" s="601"/>
      <c r="N153" s="570"/>
      <c r="V153" s="674"/>
      <c r="W153" s="675"/>
      <c r="X153" s="675"/>
      <c r="AC153" s="675" t="s">
        <v>327</v>
      </c>
      <c r="AE153" s="680"/>
    </row>
    <row r="154" spans="1:31" s="536" customFormat="1" ht="33.75" x14ac:dyDescent="0.2">
      <c r="A154" s="575" t="s">
        <v>197</v>
      </c>
      <c r="B154" s="657" t="s">
        <v>2509</v>
      </c>
      <c r="C154" s="1823" t="s">
        <v>2510</v>
      </c>
      <c r="D154" s="1823"/>
      <c r="E154" s="1823"/>
      <c r="F154" s="573" t="s">
        <v>699</v>
      </c>
      <c r="G154" s="573"/>
      <c r="H154" s="573"/>
      <c r="I154" s="573" t="s">
        <v>2198</v>
      </c>
      <c r="J154" s="572">
        <v>17.21</v>
      </c>
      <c r="K154" s="573"/>
      <c r="L154" s="572">
        <v>15.66</v>
      </c>
      <c r="M154" s="571"/>
      <c r="N154" s="570"/>
      <c r="V154" s="674"/>
      <c r="W154" s="675"/>
      <c r="X154" s="675" t="s">
        <v>2510</v>
      </c>
      <c r="AC154" s="675"/>
      <c r="AE154" s="680"/>
    </row>
    <row r="155" spans="1:31" s="536" customFormat="1" ht="12" x14ac:dyDescent="0.2">
      <c r="A155" s="569"/>
      <c r="B155" s="656"/>
      <c r="C155" s="661" t="s">
        <v>717</v>
      </c>
      <c r="D155" s="662"/>
      <c r="E155" s="662"/>
      <c r="F155" s="563"/>
      <c r="G155" s="563"/>
      <c r="H155" s="563"/>
      <c r="I155" s="563"/>
      <c r="J155" s="566"/>
      <c r="K155" s="563"/>
      <c r="L155" s="566"/>
      <c r="M155" s="565"/>
      <c r="N155" s="564"/>
      <c r="V155" s="674"/>
      <c r="W155" s="675"/>
      <c r="X155" s="675"/>
      <c r="AC155" s="675"/>
      <c r="AE155" s="680"/>
    </row>
    <row r="156" spans="1:31" s="536" customFormat="1" ht="12" x14ac:dyDescent="0.2">
      <c r="A156" s="676"/>
      <c r="B156" s="655"/>
      <c r="C156" s="1822" t="s">
        <v>2511</v>
      </c>
      <c r="D156" s="1822"/>
      <c r="E156" s="1822"/>
      <c r="F156" s="1822"/>
      <c r="G156" s="1822"/>
      <c r="H156" s="1822"/>
      <c r="I156" s="1822"/>
      <c r="J156" s="1822"/>
      <c r="K156" s="1822"/>
      <c r="L156" s="1822"/>
      <c r="M156" s="1822"/>
      <c r="N156" s="1827"/>
      <c r="V156" s="674"/>
      <c r="W156" s="675"/>
      <c r="X156" s="675"/>
      <c r="AC156" s="675"/>
      <c r="AD156" s="537" t="s">
        <v>2511</v>
      </c>
      <c r="AE156" s="680"/>
    </row>
    <row r="157" spans="1:31" s="536" customFormat="1" ht="33.75" x14ac:dyDescent="0.2">
      <c r="A157" s="575" t="s">
        <v>198</v>
      </c>
      <c r="B157" s="657" t="s">
        <v>2512</v>
      </c>
      <c r="C157" s="1823" t="s">
        <v>2513</v>
      </c>
      <c r="D157" s="1823"/>
      <c r="E157" s="1823"/>
      <c r="F157" s="573" t="s">
        <v>483</v>
      </c>
      <c r="G157" s="573"/>
      <c r="H157" s="573"/>
      <c r="I157" s="573" t="s">
        <v>2504</v>
      </c>
      <c r="J157" s="572">
        <v>12.63</v>
      </c>
      <c r="K157" s="573"/>
      <c r="L157" s="572">
        <v>64.73</v>
      </c>
      <c r="M157" s="571"/>
      <c r="N157" s="570"/>
      <c r="V157" s="674"/>
      <c r="W157" s="675"/>
      <c r="X157" s="675" t="s">
        <v>2513</v>
      </c>
      <c r="AC157" s="675"/>
      <c r="AE157" s="680"/>
    </row>
    <row r="158" spans="1:31" s="536" customFormat="1" ht="12" x14ac:dyDescent="0.2">
      <c r="A158" s="569"/>
      <c r="B158" s="656"/>
      <c r="C158" s="661" t="s">
        <v>717</v>
      </c>
      <c r="D158" s="662"/>
      <c r="E158" s="662"/>
      <c r="F158" s="563"/>
      <c r="G158" s="563"/>
      <c r="H158" s="563"/>
      <c r="I158" s="563"/>
      <c r="J158" s="566"/>
      <c r="K158" s="563"/>
      <c r="L158" s="566"/>
      <c r="M158" s="565"/>
      <c r="N158" s="564"/>
      <c r="V158" s="674"/>
      <c r="W158" s="675"/>
      <c r="X158" s="675"/>
      <c r="AC158" s="675"/>
      <c r="AE158" s="680"/>
    </row>
    <row r="159" spans="1:31" s="536" customFormat="1" ht="56.25" x14ac:dyDescent="0.2">
      <c r="A159" s="575" t="s">
        <v>199</v>
      </c>
      <c r="B159" s="657" t="s">
        <v>2514</v>
      </c>
      <c r="C159" s="1823" t="s">
        <v>2515</v>
      </c>
      <c r="D159" s="1823"/>
      <c r="E159" s="1823"/>
      <c r="F159" s="573" t="s">
        <v>1110</v>
      </c>
      <c r="G159" s="573"/>
      <c r="H159" s="573"/>
      <c r="I159" s="573" t="s">
        <v>2516</v>
      </c>
      <c r="J159" s="572"/>
      <c r="K159" s="573"/>
      <c r="L159" s="572"/>
      <c r="M159" s="571"/>
      <c r="N159" s="570"/>
      <c r="V159" s="674"/>
      <c r="W159" s="675"/>
      <c r="X159" s="675" t="s">
        <v>2515</v>
      </c>
      <c r="AC159" s="675"/>
      <c r="AE159" s="680"/>
    </row>
    <row r="160" spans="1:31" s="536" customFormat="1" ht="12" x14ac:dyDescent="0.2">
      <c r="A160" s="676"/>
      <c r="B160" s="655"/>
      <c r="C160" s="1822" t="s">
        <v>2517</v>
      </c>
      <c r="D160" s="1822"/>
      <c r="E160" s="1822"/>
      <c r="F160" s="1822"/>
      <c r="G160" s="1822"/>
      <c r="H160" s="1822"/>
      <c r="I160" s="1822"/>
      <c r="J160" s="1822"/>
      <c r="K160" s="1822"/>
      <c r="L160" s="1822"/>
      <c r="M160" s="1822"/>
      <c r="N160" s="1827"/>
      <c r="V160" s="674"/>
      <c r="W160" s="675"/>
      <c r="X160" s="675"/>
      <c r="AC160" s="675"/>
      <c r="AD160" s="537" t="s">
        <v>2517</v>
      </c>
      <c r="AE160" s="680"/>
    </row>
    <row r="161" spans="1:31" s="536" customFormat="1" ht="22.5" x14ac:dyDescent="0.2">
      <c r="A161" s="609"/>
      <c r="B161" s="552" t="s">
        <v>499</v>
      </c>
      <c r="C161" s="1822" t="s">
        <v>500</v>
      </c>
      <c r="D161" s="1822"/>
      <c r="E161" s="1822"/>
      <c r="F161" s="1822"/>
      <c r="G161" s="1822"/>
      <c r="H161" s="1822"/>
      <c r="I161" s="1822"/>
      <c r="J161" s="1822"/>
      <c r="K161" s="1822"/>
      <c r="L161" s="1822"/>
      <c r="M161" s="1822"/>
      <c r="N161" s="1827"/>
      <c r="V161" s="674"/>
      <c r="W161" s="675"/>
      <c r="X161" s="675"/>
      <c r="Y161" s="537" t="s">
        <v>500</v>
      </c>
      <c r="AC161" s="675"/>
      <c r="AE161" s="680"/>
    </row>
    <row r="162" spans="1:31" s="536" customFormat="1" ht="12" x14ac:dyDescent="0.2">
      <c r="A162" s="605"/>
      <c r="B162" s="552" t="s">
        <v>185</v>
      </c>
      <c r="C162" s="1822" t="s">
        <v>312</v>
      </c>
      <c r="D162" s="1822"/>
      <c r="E162" s="1822"/>
      <c r="F162" s="562"/>
      <c r="G162" s="562"/>
      <c r="H162" s="562"/>
      <c r="I162" s="562"/>
      <c r="J162" s="604">
        <v>123.89</v>
      </c>
      <c r="K162" s="562" t="s">
        <v>313</v>
      </c>
      <c r="L162" s="604">
        <v>32.67</v>
      </c>
      <c r="M162" s="603"/>
      <c r="N162" s="602"/>
      <c r="V162" s="674"/>
      <c r="W162" s="675"/>
      <c r="X162" s="675"/>
      <c r="Z162" s="537" t="s">
        <v>312</v>
      </c>
      <c r="AC162" s="675"/>
      <c r="AE162" s="680"/>
    </row>
    <row r="163" spans="1:31" s="536" customFormat="1" ht="12" x14ac:dyDescent="0.2">
      <c r="A163" s="605"/>
      <c r="B163" s="552" t="s">
        <v>186</v>
      </c>
      <c r="C163" s="1822" t="s">
        <v>344</v>
      </c>
      <c r="D163" s="1822"/>
      <c r="E163" s="1822"/>
      <c r="F163" s="562"/>
      <c r="G163" s="562"/>
      <c r="H163" s="562"/>
      <c r="I163" s="562"/>
      <c r="J163" s="604">
        <v>40.51</v>
      </c>
      <c r="K163" s="562" t="s">
        <v>313</v>
      </c>
      <c r="L163" s="604">
        <v>10.68</v>
      </c>
      <c r="M163" s="603"/>
      <c r="N163" s="602"/>
      <c r="V163" s="674"/>
      <c r="W163" s="675"/>
      <c r="X163" s="675"/>
      <c r="Z163" s="537" t="s">
        <v>344</v>
      </c>
      <c r="AC163" s="675"/>
      <c r="AE163" s="680"/>
    </row>
    <row r="164" spans="1:31" s="536" customFormat="1" ht="12" x14ac:dyDescent="0.2">
      <c r="A164" s="605"/>
      <c r="B164" s="552" t="s">
        <v>187</v>
      </c>
      <c r="C164" s="1822" t="s">
        <v>345</v>
      </c>
      <c r="D164" s="1822"/>
      <c r="E164" s="1822"/>
      <c r="F164" s="562"/>
      <c r="G164" s="562"/>
      <c r="H164" s="562"/>
      <c r="I164" s="562"/>
      <c r="J164" s="604">
        <v>0.49</v>
      </c>
      <c r="K164" s="562" t="s">
        <v>313</v>
      </c>
      <c r="L164" s="604">
        <v>0.13</v>
      </c>
      <c r="M164" s="603"/>
      <c r="N164" s="602"/>
      <c r="V164" s="674"/>
      <c r="W164" s="675"/>
      <c r="X164" s="675"/>
      <c r="Z164" s="537" t="s">
        <v>345</v>
      </c>
      <c r="AC164" s="675"/>
      <c r="AE164" s="680"/>
    </row>
    <row r="165" spans="1:31" s="536" customFormat="1" ht="12" x14ac:dyDescent="0.2">
      <c r="A165" s="605"/>
      <c r="B165" s="552" t="s">
        <v>188</v>
      </c>
      <c r="C165" s="1822" t="s">
        <v>475</v>
      </c>
      <c r="D165" s="1822"/>
      <c r="E165" s="1822"/>
      <c r="F165" s="562"/>
      <c r="G165" s="562"/>
      <c r="H165" s="562"/>
      <c r="I165" s="562"/>
      <c r="J165" s="604">
        <v>77.510000000000005</v>
      </c>
      <c r="K165" s="562"/>
      <c r="L165" s="604">
        <v>0.24</v>
      </c>
      <c r="M165" s="603"/>
      <c r="N165" s="602"/>
      <c r="V165" s="674"/>
      <c r="W165" s="675"/>
      <c r="X165" s="675"/>
      <c r="Z165" s="537" t="s">
        <v>475</v>
      </c>
      <c r="AC165" s="675"/>
      <c r="AE165" s="680"/>
    </row>
    <row r="166" spans="1:31" s="536" customFormat="1" ht="12" x14ac:dyDescent="0.2">
      <c r="A166" s="676"/>
      <c r="B166" s="677" t="s">
        <v>2495</v>
      </c>
      <c r="C166" s="1829" t="s">
        <v>2496</v>
      </c>
      <c r="D166" s="1829"/>
      <c r="E166" s="1829"/>
      <c r="F166" s="678" t="s">
        <v>617</v>
      </c>
      <c r="G166" s="678" t="s">
        <v>525</v>
      </c>
      <c r="H166" s="678"/>
      <c r="I166" s="678" t="s">
        <v>525</v>
      </c>
      <c r="J166" s="552"/>
      <c r="K166" s="562"/>
      <c r="L166" s="604"/>
      <c r="M166" s="562"/>
      <c r="N166" s="679"/>
      <c r="V166" s="674"/>
      <c r="W166" s="675"/>
      <c r="X166" s="675"/>
      <c r="AC166" s="675"/>
      <c r="AE166" s="680" t="s">
        <v>2496</v>
      </c>
    </row>
    <row r="167" spans="1:31" s="536" customFormat="1" ht="12" x14ac:dyDescent="0.2">
      <c r="A167" s="676"/>
      <c r="B167" s="677" t="s">
        <v>2454</v>
      </c>
      <c r="C167" s="1829" t="s">
        <v>2455</v>
      </c>
      <c r="D167" s="1829"/>
      <c r="E167" s="1829"/>
      <c r="F167" s="678" t="s">
        <v>694</v>
      </c>
      <c r="G167" s="678" t="s">
        <v>525</v>
      </c>
      <c r="H167" s="678"/>
      <c r="I167" s="678" t="s">
        <v>525</v>
      </c>
      <c r="J167" s="552"/>
      <c r="K167" s="562"/>
      <c r="L167" s="604"/>
      <c r="M167" s="562"/>
      <c r="N167" s="679"/>
      <c r="V167" s="674"/>
      <c r="W167" s="675"/>
      <c r="X167" s="675"/>
      <c r="AC167" s="675"/>
      <c r="AE167" s="680" t="s">
        <v>2455</v>
      </c>
    </row>
    <row r="168" spans="1:31" s="536" customFormat="1" ht="12" x14ac:dyDescent="0.2">
      <c r="A168" s="676"/>
      <c r="B168" s="677" t="s">
        <v>2497</v>
      </c>
      <c r="C168" s="1829" t="s">
        <v>2498</v>
      </c>
      <c r="D168" s="1829"/>
      <c r="E168" s="1829"/>
      <c r="F168" s="678" t="s">
        <v>889</v>
      </c>
      <c r="G168" s="678" t="s">
        <v>2518</v>
      </c>
      <c r="H168" s="678"/>
      <c r="I168" s="678" t="s">
        <v>2519</v>
      </c>
      <c r="J168" s="552"/>
      <c r="K168" s="562"/>
      <c r="L168" s="604"/>
      <c r="M168" s="562"/>
      <c r="N168" s="679"/>
      <c r="V168" s="674"/>
      <c r="W168" s="675"/>
      <c r="X168" s="675"/>
      <c r="AC168" s="675"/>
      <c r="AE168" s="680" t="s">
        <v>2498</v>
      </c>
    </row>
    <row r="169" spans="1:31" s="536" customFormat="1" ht="12" x14ac:dyDescent="0.2">
      <c r="A169" s="676"/>
      <c r="B169" s="677" t="s">
        <v>2501</v>
      </c>
      <c r="C169" s="1829" t="s">
        <v>2502</v>
      </c>
      <c r="D169" s="1829"/>
      <c r="E169" s="1829"/>
      <c r="F169" s="678" t="s">
        <v>483</v>
      </c>
      <c r="G169" s="678" t="s">
        <v>2503</v>
      </c>
      <c r="H169" s="678"/>
      <c r="I169" s="678" t="s">
        <v>2520</v>
      </c>
      <c r="J169" s="552"/>
      <c r="K169" s="562"/>
      <c r="L169" s="604"/>
      <c r="M169" s="562"/>
      <c r="N169" s="679"/>
      <c r="V169" s="674"/>
      <c r="W169" s="675"/>
      <c r="X169" s="675"/>
      <c r="AC169" s="675"/>
      <c r="AE169" s="680" t="s">
        <v>2502</v>
      </c>
    </row>
    <row r="170" spans="1:31" s="536" customFormat="1" ht="12" x14ac:dyDescent="0.2">
      <c r="A170" s="676"/>
      <c r="B170" s="677" t="s">
        <v>2462</v>
      </c>
      <c r="C170" s="1829" t="s">
        <v>2505</v>
      </c>
      <c r="D170" s="1829"/>
      <c r="E170" s="1829"/>
      <c r="F170" s="678" t="s">
        <v>617</v>
      </c>
      <c r="G170" s="678" t="s">
        <v>525</v>
      </c>
      <c r="H170" s="678"/>
      <c r="I170" s="678" t="s">
        <v>525</v>
      </c>
      <c r="J170" s="552"/>
      <c r="K170" s="562"/>
      <c r="L170" s="604"/>
      <c r="M170" s="562"/>
      <c r="N170" s="679"/>
      <c r="V170" s="674"/>
      <c r="W170" s="675"/>
      <c r="X170" s="675"/>
      <c r="AC170" s="675"/>
      <c r="AE170" s="680" t="s">
        <v>2505</v>
      </c>
    </row>
    <row r="171" spans="1:31" s="536" customFormat="1" ht="12" x14ac:dyDescent="0.2">
      <c r="A171" s="605"/>
      <c r="B171" s="552"/>
      <c r="C171" s="1822" t="s">
        <v>314</v>
      </c>
      <c r="D171" s="1822"/>
      <c r="E171" s="1822"/>
      <c r="F171" s="562" t="s">
        <v>315</v>
      </c>
      <c r="G171" s="562" t="s">
        <v>2521</v>
      </c>
      <c r="H171" s="562" t="s">
        <v>313</v>
      </c>
      <c r="I171" s="562" t="s">
        <v>2522</v>
      </c>
      <c r="J171" s="604"/>
      <c r="K171" s="562"/>
      <c r="L171" s="604"/>
      <c r="M171" s="603"/>
      <c r="N171" s="602"/>
      <c r="V171" s="674"/>
      <c r="W171" s="675"/>
      <c r="X171" s="675"/>
      <c r="AA171" s="537" t="s">
        <v>314</v>
      </c>
      <c r="AC171" s="675"/>
      <c r="AE171" s="680"/>
    </row>
    <row r="172" spans="1:31" s="536" customFormat="1" ht="12" x14ac:dyDescent="0.2">
      <c r="A172" s="605"/>
      <c r="B172" s="552"/>
      <c r="C172" s="1822" t="s">
        <v>348</v>
      </c>
      <c r="D172" s="1822"/>
      <c r="E172" s="1822"/>
      <c r="F172" s="562" t="s">
        <v>315</v>
      </c>
      <c r="G172" s="562" t="s">
        <v>728</v>
      </c>
      <c r="H172" s="562" t="s">
        <v>313</v>
      </c>
      <c r="I172" s="562" t="s">
        <v>2523</v>
      </c>
      <c r="J172" s="604"/>
      <c r="K172" s="562"/>
      <c r="L172" s="604"/>
      <c r="M172" s="603"/>
      <c r="N172" s="602"/>
      <c r="V172" s="674"/>
      <c r="W172" s="675"/>
      <c r="X172" s="675"/>
      <c r="AA172" s="537" t="s">
        <v>348</v>
      </c>
      <c r="AC172" s="675"/>
      <c r="AE172" s="680"/>
    </row>
    <row r="173" spans="1:31" s="536" customFormat="1" ht="12" x14ac:dyDescent="0.2">
      <c r="A173" s="605"/>
      <c r="B173" s="552"/>
      <c r="C173" s="1828" t="s">
        <v>318</v>
      </c>
      <c r="D173" s="1828"/>
      <c r="E173" s="1828"/>
      <c r="F173" s="608"/>
      <c r="G173" s="608"/>
      <c r="H173" s="608"/>
      <c r="I173" s="608"/>
      <c r="J173" s="607">
        <v>165.52</v>
      </c>
      <c r="K173" s="608"/>
      <c r="L173" s="607">
        <v>43.59</v>
      </c>
      <c r="M173" s="601"/>
      <c r="N173" s="606"/>
      <c r="V173" s="674"/>
      <c r="W173" s="675"/>
      <c r="X173" s="675"/>
      <c r="AB173" s="537" t="s">
        <v>318</v>
      </c>
      <c r="AC173" s="675"/>
      <c r="AE173" s="680"/>
    </row>
    <row r="174" spans="1:31" s="536" customFormat="1" ht="12" x14ac:dyDescent="0.2">
      <c r="A174" s="605"/>
      <c r="B174" s="552"/>
      <c r="C174" s="1822" t="s">
        <v>319</v>
      </c>
      <c r="D174" s="1822"/>
      <c r="E174" s="1822"/>
      <c r="F174" s="562"/>
      <c r="G174" s="562"/>
      <c r="H174" s="562"/>
      <c r="I174" s="562"/>
      <c r="J174" s="604"/>
      <c r="K174" s="562"/>
      <c r="L174" s="604">
        <v>32.799999999999997</v>
      </c>
      <c r="M174" s="603"/>
      <c r="N174" s="602"/>
      <c r="V174" s="674"/>
      <c r="W174" s="675"/>
      <c r="X174" s="675"/>
      <c r="AA174" s="537" t="s">
        <v>319</v>
      </c>
      <c r="AC174" s="675"/>
      <c r="AE174" s="680"/>
    </row>
    <row r="175" spans="1:31" s="536" customFormat="1" ht="45" x14ac:dyDescent="0.2">
      <c r="A175" s="605"/>
      <c r="B175" s="552" t="s">
        <v>892</v>
      </c>
      <c r="C175" s="1822" t="s">
        <v>893</v>
      </c>
      <c r="D175" s="1822"/>
      <c r="E175" s="1822"/>
      <c r="F175" s="562" t="s">
        <v>322</v>
      </c>
      <c r="G175" s="562" t="s">
        <v>894</v>
      </c>
      <c r="H175" s="562"/>
      <c r="I175" s="562" t="s">
        <v>894</v>
      </c>
      <c r="J175" s="604"/>
      <c r="K175" s="562"/>
      <c r="L175" s="604">
        <v>39.69</v>
      </c>
      <c r="M175" s="603"/>
      <c r="N175" s="602"/>
      <c r="V175" s="674"/>
      <c r="W175" s="675"/>
      <c r="X175" s="675"/>
      <c r="AA175" s="537" t="s">
        <v>893</v>
      </c>
      <c r="AC175" s="675"/>
      <c r="AE175" s="680"/>
    </row>
    <row r="176" spans="1:31" s="536" customFormat="1" ht="45" x14ac:dyDescent="0.2">
      <c r="A176" s="605"/>
      <c r="B176" s="552" t="s">
        <v>895</v>
      </c>
      <c r="C176" s="1822" t="s">
        <v>896</v>
      </c>
      <c r="D176" s="1822"/>
      <c r="E176" s="1822"/>
      <c r="F176" s="562" t="s">
        <v>322</v>
      </c>
      <c r="G176" s="562" t="s">
        <v>897</v>
      </c>
      <c r="H176" s="562"/>
      <c r="I176" s="562" t="s">
        <v>897</v>
      </c>
      <c r="J176" s="604"/>
      <c r="K176" s="562"/>
      <c r="L176" s="604">
        <v>23.62</v>
      </c>
      <c r="M176" s="603"/>
      <c r="N176" s="602"/>
      <c r="V176" s="674"/>
      <c r="W176" s="675"/>
      <c r="X176" s="675"/>
      <c r="AA176" s="537" t="s">
        <v>896</v>
      </c>
      <c r="AC176" s="675"/>
      <c r="AE176" s="680"/>
    </row>
    <row r="177" spans="1:31" s="536" customFormat="1" ht="12" x14ac:dyDescent="0.2">
      <c r="A177" s="569"/>
      <c r="B177" s="656"/>
      <c r="C177" s="1823" t="s">
        <v>327</v>
      </c>
      <c r="D177" s="1823"/>
      <c r="E177" s="1823"/>
      <c r="F177" s="573"/>
      <c r="G177" s="573"/>
      <c r="H177" s="573"/>
      <c r="I177" s="573"/>
      <c r="J177" s="572"/>
      <c r="K177" s="573"/>
      <c r="L177" s="572">
        <v>106.9</v>
      </c>
      <c r="M177" s="601"/>
      <c r="N177" s="570"/>
      <c r="V177" s="674"/>
      <c r="W177" s="675"/>
      <c r="X177" s="675"/>
      <c r="AC177" s="675" t="s">
        <v>327</v>
      </c>
      <c r="AE177" s="680"/>
    </row>
    <row r="178" spans="1:31" s="536" customFormat="1" ht="33.75" x14ac:dyDescent="0.2">
      <c r="A178" s="575" t="s">
        <v>200</v>
      </c>
      <c r="B178" s="657" t="s">
        <v>2509</v>
      </c>
      <c r="C178" s="1823" t="s">
        <v>2510</v>
      </c>
      <c r="D178" s="1823"/>
      <c r="E178" s="1823"/>
      <c r="F178" s="573" t="s">
        <v>699</v>
      </c>
      <c r="G178" s="573"/>
      <c r="H178" s="573"/>
      <c r="I178" s="573" t="s">
        <v>2524</v>
      </c>
      <c r="J178" s="572">
        <v>17.21</v>
      </c>
      <c r="K178" s="573"/>
      <c r="L178" s="572">
        <v>64.02</v>
      </c>
      <c r="M178" s="571"/>
      <c r="N178" s="570"/>
      <c r="V178" s="674"/>
      <c r="W178" s="675"/>
      <c r="X178" s="675" t="s">
        <v>2510</v>
      </c>
      <c r="AC178" s="675"/>
      <c r="AE178" s="680"/>
    </row>
    <row r="179" spans="1:31" s="536" customFormat="1" ht="12" x14ac:dyDescent="0.2">
      <c r="A179" s="569"/>
      <c r="B179" s="656"/>
      <c r="C179" s="661" t="s">
        <v>717</v>
      </c>
      <c r="D179" s="662"/>
      <c r="E179" s="662"/>
      <c r="F179" s="563"/>
      <c r="G179" s="563"/>
      <c r="H179" s="563"/>
      <c r="I179" s="563"/>
      <c r="J179" s="566"/>
      <c r="K179" s="563"/>
      <c r="L179" s="566"/>
      <c r="M179" s="565"/>
      <c r="N179" s="564"/>
      <c r="V179" s="674"/>
      <c r="W179" s="675"/>
      <c r="X179" s="675"/>
      <c r="AC179" s="675"/>
      <c r="AE179" s="680"/>
    </row>
    <row r="180" spans="1:31" s="536" customFormat="1" ht="12" x14ac:dyDescent="0.2">
      <c r="A180" s="676"/>
      <c r="B180" s="655"/>
      <c r="C180" s="1822" t="s">
        <v>2525</v>
      </c>
      <c r="D180" s="1822"/>
      <c r="E180" s="1822"/>
      <c r="F180" s="1822"/>
      <c r="G180" s="1822"/>
      <c r="H180" s="1822"/>
      <c r="I180" s="1822"/>
      <c r="J180" s="1822"/>
      <c r="K180" s="1822"/>
      <c r="L180" s="1822"/>
      <c r="M180" s="1822"/>
      <c r="N180" s="1827"/>
      <c r="V180" s="674"/>
      <c r="W180" s="675"/>
      <c r="X180" s="675"/>
      <c r="AC180" s="675"/>
      <c r="AD180" s="537" t="s">
        <v>2525</v>
      </c>
      <c r="AE180" s="680"/>
    </row>
    <row r="181" spans="1:31" s="536" customFormat="1" ht="33.75" x14ac:dyDescent="0.2">
      <c r="A181" s="575" t="s">
        <v>425</v>
      </c>
      <c r="B181" s="657" t="s">
        <v>2526</v>
      </c>
      <c r="C181" s="1823" t="s">
        <v>2527</v>
      </c>
      <c r="D181" s="1823"/>
      <c r="E181" s="1823"/>
      <c r="F181" s="573" t="s">
        <v>483</v>
      </c>
      <c r="G181" s="573"/>
      <c r="H181" s="573"/>
      <c r="I181" s="573" t="s">
        <v>2528</v>
      </c>
      <c r="J181" s="572">
        <v>5.54</v>
      </c>
      <c r="K181" s="573"/>
      <c r="L181" s="572">
        <v>113.57</v>
      </c>
      <c r="M181" s="571"/>
      <c r="N181" s="570"/>
      <c r="V181" s="674"/>
      <c r="W181" s="675"/>
      <c r="X181" s="675" t="s">
        <v>2527</v>
      </c>
      <c r="AC181" s="675"/>
      <c r="AE181" s="680"/>
    </row>
    <row r="182" spans="1:31" s="536" customFormat="1" ht="12" x14ac:dyDescent="0.2">
      <c r="A182" s="569"/>
      <c r="B182" s="656"/>
      <c r="C182" s="661" t="s">
        <v>717</v>
      </c>
      <c r="D182" s="662"/>
      <c r="E182" s="662"/>
      <c r="F182" s="563"/>
      <c r="G182" s="563"/>
      <c r="H182" s="563"/>
      <c r="I182" s="563"/>
      <c r="J182" s="566"/>
      <c r="K182" s="563"/>
      <c r="L182" s="566"/>
      <c r="M182" s="565"/>
      <c r="N182" s="564"/>
      <c r="V182" s="674"/>
      <c r="W182" s="675"/>
      <c r="X182" s="675"/>
      <c r="AC182" s="675"/>
      <c r="AE182" s="680"/>
    </row>
    <row r="183" spans="1:31" s="536" customFormat="1" ht="33.75" x14ac:dyDescent="0.2">
      <c r="A183" s="575" t="s">
        <v>430</v>
      </c>
      <c r="B183" s="657" t="s">
        <v>8110</v>
      </c>
      <c r="C183" s="1823" t="s">
        <v>2529</v>
      </c>
      <c r="D183" s="1823"/>
      <c r="E183" s="1823"/>
      <c r="F183" s="573" t="s">
        <v>628</v>
      </c>
      <c r="G183" s="573"/>
      <c r="H183" s="573"/>
      <c r="I183" s="573" t="s">
        <v>188</v>
      </c>
      <c r="J183" s="572">
        <v>13.13</v>
      </c>
      <c r="K183" s="573" t="s">
        <v>716</v>
      </c>
      <c r="L183" s="572">
        <v>6.49</v>
      </c>
      <c r="M183" s="571">
        <v>8.32</v>
      </c>
      <c r="N183" s="570">
        <v>54</v>
      </c>
      <c r="V183" s="674"/>
      <c r="W183" s="675"/>
      <c r="X183" s="675" t="s">
        <v>2529</v>
      </c>
      <c r="AC183" s="675"/>
      <c r="AE183" s="680"/>
    </row>
    <row r="184" spans="1:31" s="536" customFormat="1" ht="12" x14ac:dyDescent="0.2">
      <c r="A184" s="569"/>
      <c r="B184" s="656"/>
      <c r="C184" s="661" t="s">
        <v>717</v>
      </c>
      <c r="D184" s="662"/>
      <c r="E184" s="662"/>
      <c r="F184" s="563"/>
      <c r="G184" s="563"/>
      <c r="H184" s="563"/>
      <c r="I184" s="563"/>
      <c r="J184" s="566"/>
      <c r="K184" s="563"/>
      <c r="L184" s="566"/>
      <c r="M184" s="565"/>
      <c r="N184" s="564"/>
      <c r="V184" s="674"/>
      <c r="W184" s="675"/>
      <c r="X184" s="675"/>
      <c r="AC184" s="675"/>
      <c r="AE184" s="680"/>
    </row>
    <row r="185" spans="1:31" s="536" customFormat="1" ht="22.5" x14ac:dyDescent="0.2">
      <c r="A185" s="609"/>
      <c r="B185" s="552" t="s">
        <v>718</v>
      </c>
      <c r="C185" s="1822" t="s">
        <v>719</v>
      </c>
      <c r="D185" s="1822"/>
      <c r="E185" s="1822"/>
      <c r="F185" s="1822"/>
      <c r="G185" s="1822"/>
      <c r="H185" s="1822"/>
      <c r="I185" s="1822"/>
      <c r="J185" s="1822"/>
      <c r="K185" s="1822"/>
      <c r="L185" s="1822"/>
      <c r="M185" s="1822"/>
      <c r="N185" s="1827"/>
      <c r="V185" s="674"/>
      <c r="W185" s="675"/>
      <c r="X185" s="675"/>
      <c r="Y185" s="537" t="s">
        <v>719</v>
      </c>
      <c r="AC185" s="675"/>
      <c r="AE185" s="680"/>
    </row>
    <row r="186" spans="1:31" s="536" customFormat="1" ht="33.75" x14ac:dyDescent="0.2">
      <c r="A186" s="575" t="s">
        <v>436</v>
      </c>
      <c r="B186" s="657" t="s">
        <v>8111</v>
      </c>
      <c r="C186" s="1823" t="s">
        <v>2530</v>
      </c>
      <c r="D186" s="1823"/>
      <c r="E186" s="1823"/>
      <c r="F186" s="573" t="s">
        <v>628</v>
      </c>
      <c r="G186" s="573"/>
      <c r="H186" s="573"/>
      <c r="I186" s="573" t="s">
        <v>187</v>
      </c>
      <c r="J186" s="572">
        <v>18.38</v>
      </c>
      <c r="K186" s="573" t="s">
        <v>716</v>
      </c>
      <c r="L186" s="572">
        <v>6.73</v>
      </c>
      <c r="M186" s="571">
        <v>8.32</v>
      </c>
      <c r="N186" s="570">
        <v>56</v>
      </c>
      <c r="V186" s="674"/>
      <c r="W186" s="675"/>
      <c r="X186" s="675" t="s">
        <v>2530</v>
      </c>
      <c r="AC186" s="675"/>
      <c r="AE186" s="680"/>
    </row>
    <row r="187" spans="1:31" s="536" customFormat="1" ht="12" x14ac:dyDescent="0.2">
      <c r="A187" s="569"/>
      <c r="B187" s="656"/>
      <c r="C187" s="661" t="s">
        <v>717</v>
      </c>
      <c r="D187" s="662"/>
      <c r="E187" s="662"/>
      <c r="F187" s="563"/>
      <c r="G187" s="563"/>
      <c r="H187" s="563"/>
      <c r="I187" s="563"/>
      <c r="J187" s="566"/>
      <c r="K187" s="563"/>
      <c r="L187" s="566"/>
      <c r="M187" s="565"/>
      <c r="N187" s="564"/>
      <c r="V187" s="674"/>
      <c r="W187" s="675"/>
      <c r="X187" s="675"/>
      <c r="AC187" s="675"/>
      <c r="AE187" s="680"/>
    </row>
    <row r="188" spans="1:31" s="536" customFormat="1" ht="22.5" x14ac:dyDescent="0.2">
      <c r="A188" s="609"/>
      <c r="B188" s="552" t="s">
        <v>718</v>
      </c>
      <c r="C188" s="1822" t="s">
        <v>719</v>
      </c>
      <c r="D188" s="1822"/>
      <c r="E188" s="1822"/>
      <c r="F188" s="1822"/>
      <c r="G188" s="1822"/>
      <c r="H188" s="1822"/>
      <c r="I188" s="1822"/>
      <c r="J188" s="1822"/>
      <c r="K188" s="1822"/>
      <c r="L188" s="1822"/>
      <c r="M188" s="1822"/>
      <c r="N188" s="1827"/>
      <c r="V188" s="674"/>
      <c r="W188" s="675"/>
      <c r="X188" s="675"/>
      <c r="Y188" s="537" t="s">
        <v>719</v>
      </c>
      <c r="AC188" s="675"/>
      <c r="AE188" s="680"/>
    </row>
    <row r="189" spans="1:31" s="536" customFormat="1" ht="33.75" x14ac:dyDescent="0.2">
      <c r="A189" s="575" t="s">
        <v>733</v>
      </c>
      <c r="B189" s="657" t="s">
        <v>8112</v>
      </c>
      <c r="C189" s="1823" t="s">
        <v>2531</v>
      </c>
      <c r="D189" s="1823"/>
      <c r="E189" s="1823"/>
      <c r="F189" s="573" t="s">
        <v>628</v>
      </c>
      <c r="G189" s="573"/>
      <c r="H189" s="573"/>
      <c r="I189" s="573" t="s">
        <v>186</v>
      </c>
      <c r="J189" s="572">
        <v>18.38</v>
      </c>
      <c r="K189" s="573" t="s">
        <v>716</v>
      </c>
      <c r="L189" s="572">
        <v>4.45</v>
      </c>
      <c r="M189" s="571">
        <v>8.32</v>
      </c>
      <c r="N189" s="570">
        <v>37</v>
      </c>
      <c r="V189" s="674"/>
      <c r="W189" s="675"/>
      <c r="X189" s="675" t="s">
        <v>2531</v>
      </c>
      <c r="AC189" s="675"/>
      <c r="AE189" s="680"/>
    </row>
    <row r="190" spans="1:31" s="536" customFormat="1" ht="12" x14ac:dyDescent="0.2">
      <c r="A190" s="569"/>
      <c r="B190" s="656"/>
      <c r="C190" s="661" t="s">
        <v>717</v>
      </c>
      <c r="D190" s="662"/>
      <c r="E190" s="662"/>
      <c r="F190" s="563"/>
      <c r="G190" s="563"/>
      <c r="H190" s="563"/>
      <c r="I190" s="563"/>
      <c r="J190" s="566"/>
      <c r="K190" s="563"/>
      <c r="L190" s="566"/>
      <c r="M190" s="565"/>
      <c r="N190" s="564"/>
      <c r="V190" s="674"/>
      <c r="W190" s="675"/>
      <c r="X190" s="675"/>
      <c r="AC190" s="675"/>
      <c r="AE190" s="680"/>
    </row>
    <row r="191" spans="1:31" s="536" customFormat="1" ht="22.5" x14ac:dyDescent="0.2">
      <c r="A191" s="609"/>
      <c r="B191" s="552" t="s">
        <v>718</v>
      </c>
      <c r="C191" s="1822" t="s">
        <v>719</v>
      </c>
      <c r="D191" s="1822"/>
      <c r="E191" s="1822"/>
      <c r="F191" s="1822"/>
      <c r="G191" s="1822"/>
      <c r="H191" s="1822"/>
      <c r="I191" s="1822"/>
      <c r="J191" s="1822"/>
      <c r="K191" s="1822"/>
      <c r="L191" s="1822"/>
      <c r="M191" s="1822"/>
      <c r="N191" s="1827"/>
      <c r="V191" s="674"/>
      <c r="W191" s="675"/>
      <c r="X191" s="675"/>
      <c r="Y191" s="537" t="s">
        <v>719</v>
      </c>
      <c r="AC191" s="675"/>
      <c r="AE191" s="680"/>
    </row>
    <row r="192" spans="1:31" s="536" customFormat="1" ht="33.75" x14ac:dyDescent="0.2">
      <c r="A192" s="575" t="s">
        <v>736</v>
      </c>
      <c r="B192" s="657" t="s">
        <v>8113</v>
      </c>
      <c r="C192" s="1823" t="s">
        <v>2532</v>
      </c>
      <c r="D192" s="1823"/>
      <c r="E192" s="1823"/>
      <c r="F192" s="573" t="s">
        <v>628</v>
      </c>
      <c r="G192" s="573"/>
      <c r="H192" s="573"/>
      <c r="I192" s="573" t="s">
        <v>190</v>
      </c>
      <c r="J192" s="572">
        <v>101.5</v>
      </c>
      <c r="K192" s="573" t="s">
        <v>716</v>
      </c>
      <c r="L192" s="572">
        <v>74.64</v>
      </c>
      <c r="M192" s="571">
        <v>8.32</v>
      </c>
      <c r="N192" s="570">
        <v>621</v>
      </c>
      <c r="V192" s="674"/>
      <c r="W192" s="675"/>
      <c r="X192" s="675" t="s">
        <v>2532</v>
      </c>
      <c r="AC192" s="675"/>
      <c r="AE192" s="680"/>
    </row>
    <row r="193" spans="1:31" s="536" customFormat="1" ht="12" x14ac:dyDescent="0.2">
      <c r="A193" s="569"/>
      <c r="B193" s="656"/>
      <c r="C193" s="661" t="s">
        <v>717</v>
      </c>
      <c r="D193" s="662"/>
      <c r="E193" s="662"/>
      <c r="F193" s="563"/>
      <c r="G193" s="563"/>
      <c r="H193" s="563"/>
      <c r="I193" s="563"/>
      <c r="J193" s="566"/>
      <c r="K193" s="563"/>
      <c r="L193" s="566"/>
      <c r="M193" s="565"/>
      <c r="N193" s="564"/>
      <c r="V193" s="674"/>
      <c r="W193" s="675"/>
      <c r="X193" s="675"/>
      <c r="AC193" s="675"/>
      <c r="AE193" s="680"/>
    </row>
    <row r="194" spans="1:31" s="536" customFormat="1" ht="22.5" x14ac:dyDescent="0.2">
      <c r="A194" s="609"/>
      <c r="B194" s="552" t="s">
        <v>718</v>
      </c>
      <c r="C194" s="1822" t="s">
        <v>719</v>
      </c>
      <c r="D194" s="1822"/>
      <c r="E194" s="1822"/>
      <c r="F194" s="1822"/>
      <c r="G194" s="1822"/>
      <c r="H194" s="1822"/>
      <c r="I194" s="1822"/>
      <c r="J194" s="1822"/>
      <c r="K194" s="1822"/>
      <c r="L194" s="1822"/>
      <c r="M194" s="1822"/>
      <c r="N194" s="1827"/>
      <c r="V194" s="674"/>
      <c r="W194" s="675"/>
      <c r="X194" s="675"/>
      <c r="Y194" s="537" t="s">
        <v>719</v>
      </c>
      <c r="AC194" s="675"/>
      <c r="AE194" s="680"/>
    </row>
    <row r="195" spans="1:31" s="536" customFormat="1" ht="33.75" x14ac:dyDescent="0.2">
      <c r="A195" s="575" t="s">
        <v>1067</v>
      </c>
      <c r="B195" s="657" t="s">
        <v>2533</v>
      </c>
      <c r="C195" s="1823" t="s">
        <v>2534</v>
      </c>
      <c r="D195" s="1823"/>
      <c r="E195" s="1823"/>
      <c r="F195" s="573" t="s">
        <v>617</v>
      </c>
      <c r="G195" s="573"/>
      <c r="H195" s="573"/>
      <c r="I195" s="573" t="s">
        <v>187</v>
      </c>
      <c r="J195" s="572">
        <v>63.17</v>
      </c>
      <c r="K195" s="573"/>
      <c r="L195" s="572">
        <v>189.51</v>
      </c>
      <c r="M195" s="571"/>
      <c r="N195" s="570"/>
      <c r="V195" s="674"/>
      <c r="W195" s="675"/>
      <c r="X195" s="675" t="s">
        <v>2534</v>
      </c>
      <c r="AC195" s="675"/>
      <c r="AE195" s="680"/>
    </row>
    <row r="196" spans="1:31" s="536" customFormat="1" ht="12" x14ac:dyDescent="0.2">
      <c r="A196" s="569"/>
      <c r="B196" s="656"/>
      <c r="C196" s="661" t="s">
        <v>717</v>
      </c>
      <c r="D196" s="662"/>
      <c r="E196" s="662"/>
      <c r="F196" s="563"/>
      <c r="G196" s="563"/>
      <c r="H196" s="563"/>
      <c r="I196" s="563"/>
      <c r="J196" s="566"/>
      <c r="K196" s="563"/>
      <c r="L196" s="566"/>
      <c r="M196" s="565"/>
      <c r="N196" s="564"/>
      <c r="V196" s="674"/>
      <c r="W196" s="675"/>
      <c r="X196" s="675"/>
      <c r="AC196" s="675"/>
      <c r="AE196" s="680"/>
    </row>
    <row r="197" spans="1:31" s="536" customFormat="1" ht="22.5" x14ac:dyDescent="0.2">
      <c r="A197" s="575" t="s">
        <v>912</v>
      </c>
      <c r="B197" s="657" t="s">
        <v>2535</v>
      </c>
      <c r="C197" s="1823" t="s">
        <v>2536</v>
      </c>
      <c r="D197" s="1823"/>
      <c r="E197" s="1823"/>
      <c r="F197" s="573" t="s">
        <v>617</v>
      </c>
      <c r="G197" s="573"/>
      <c r="H197" s="573"/>
      <c r="I197" s="573" t="s">
        <v>185</v>
      </c>
      <c r="J197" s="572">
        <v>323.13</v>
      </c>
      <c r="K197" s="573"/>
      <c r="L197" s="572">
        <v>323.13</v>
      </c>
      <c r="M197" s="571"/>
      <c r="N197" s="570"/>
      <c r="V197" s="674"/>
      <c r="W197" s="675"/>
      <c r="X197" s="675" t="s">
        <v>2536</v>
      </c>
      <c r="AC197" s="675"/>
      <c r="AE197" s="680"/>
    </row>
    <row r="198" spans="1:31" s="536" customFormat="1" ht="12" x14ac:dyDescent="0.2">
      <c r="A198" s="569"/>
      <c r="B198" s="656"/>
      <c r="C198" s="661" t="s">
        <v>717</v>
      </c>
      <c r="D198" s="662"/>
      <c r="E198" s="662"/>
      <c r="F198" s="563"/>
      <c r="G198" s="563"/>
      <c r="H198" s="563"/>
      <c r="I198" s="563"/>
      <c r="J198" s="566"/>
      <c r="K198" s="563"/>
      <c r="L198" s="566"/>
      <c r="M198" s="565"/>
      <c r="N198" s="564"/>
      <c r="V198" s="674"/>
      <c r="W198" s="675"/>
      <c r="X198" s="675"/>
      <c r="AC198" s="675"/>
      <c r="AE198" s="680"/>
    </row>
    <row r="199" spans="1:31" s="536" customFormat="1" ht="33.75" x14ac:dyDescent="0.2">
      <c r="A199" s="575" t="s">
        <v>757</v>
      </c>
      <c r="B199" s="657" t="s">
        <v>2537</v>
      </c>
      <c r="C199" s="1823" t="s">
        <v>2538</v>
      </c>
      <c r="D199" s="1823"/>
      <c r="E199" s="1823"/>
      <c r="F199" s="573" t="s">
        <v>617</v>
      </c>
      <c r="G199" s="573"/>
      <c r="H199" s="573"/>
      <c r="I199" s="573" t="s">
        <v>186</v>
      </c>
      <c r="J199" s="572">
        <v>126.86</v>
      </c>
      <c r="K199" s="573"/>
      <c r="L199" s="572">
        <v>253.72</v>
      </c>
      <c r="M199" s="571"/>
      <c r="N199" s="570"/>
      <c r="V199" s="674"/>
      <c r="W199" s="675"/>
      <c r="X199" s="675" t="s">
        <v>2538</v>
      </c>
      <c r="AC199" s="675"/>
      <c r="AE199" s="680"/>
    </row>
    <row r="200" spans="1:31" s="536" customFormat="1" ht="12" x14ac:dyDescent="0.2">
      <c r="A200" s="569"/>
      <c r="B200" s="656"/>
      <c r="C200" s="661" t="s">
        <v>717</v>
      </c>
      <c r="D200" s="662"/>
      <c r="E200" s="662"/>
      <c r="F200" s="563"/>
      <c r="G200" s="563"/>
      <c r="H200" s="563"/>
      <c r="I200" s="563"/>
      <c r="J200" s="566"/>
      <c r="K200" s="563"/>
      <c r="L200" s="566"/>
      <c r="M200" s="565"/>
      <c r="N200" s="564"/>
      <c r="V200" s="674"/>
      <c r="W200" s="675"/>
      <c r="X200" s="675"/>
      <c r="AC200" s="675"/>
      <c r="AE200" s="680"/>
    </row>
    <row r="201" spans="1:31" s="536" customFormat="1" ht="67.5" x14ac:dyDescent="0.2">
      <c r="A201" s="575" t="s">
        <v>1079</v>
      </c>
      <c r="B201" s="657" t="s">
        <v>2539</v>
      </c>
      <c r="C201" s="1823" t="s">
        <v>2540</v>
      </c>
      <c r="D201" s="1823"/>
      <c r="E201" s="1823"/>
      <c r="F201" s="573" t="s">
        <v>2490</v>
      </c>
      <c r="G201" s="573"/>
      <c r="H201" s="573"/>
      <c r="I201" s="573" t="s">
        <v>2541</v>
      </c>
      <c r="J201" s="572"/>
      <c r="K201" s="573"/>
      <c r="L201" s="572"/>
      <c r="M201" s="571"/>
      <c r="N201" s="570"/>
      <c r="V201" s="674"/>
      <c r="W201" s="675"/>
      <c r="X201" s="675" t="s">
        <v>2540</v>
      </c>
      <c r="AC201" s="675"/>
      <c r="AE201" s="680"/>
    </row>
    <row r="202" spans="1:31" s="536" customFormat="1" ht="12" x14ac:dyDescent="0.2">
      <c r="A202" s="676"/>
      <c r="B202" s="655"/>
      <c r="C202" s="1822" t="s">
        <v>2542</v>
      </c>
      <c r="D202" s="1822"/>
      <c r="E202" s="1822"/>
      <c r="F202" s="1822"/>
      <c r="G202" s="1822"/>
      <c r="H202" s="1822"/>
      <c r="I202" s="1822"/>
      <c r="J202" s="1822"/>
      <c r="K202" s="1822"/>
      <c r="L202" s="1822"/>
      <c r="M202" s="1822"/>
      <c r="N202" s="1827"/>
      <c r="V202" s="674"/>
      <c r="W202" s="675"/>
      <c r="X202" s="675"/>
      <c r="AC202" s="675"/>
      <c r="AD202" s="537" t="s">
        <v>2542</v>
      </c>
      <c r="AE202" s="680"/>
    </row>
    <row r="203" spans="1:31" s="536" customFormat="1" ht="22.5" x14ac:dyDescent="0.2">
      <c r="A203" s="609"/>
      <c r="B203" s="552" t="s">
        <v>499</v>
      </c>
      <c r="C203" s="1822" t="s">
        <v>500</v>
      </c>
      <c r="D203" s="1822"/>
      <c r="E203" s="1822"/>
      <c r="F203" s="1822"/>
      <c r="G203" s="1822"/>
      <c r="H203" s="1822"/>
      <c r="I203" s="1822"/>
      <c r="J203" s="1822"/>
      <c r="K203" s="1822"/>
      <c r="L203" s="1822"/>
      <c r="M203" s="1822"/>
      <c r="N203" s="1827"/>
      <c r="V203" s="674"/>
      <c r="W203" s="675"/>
      <c r="X203" s="675"/>
      <c r="Y203" s="537" t="s">
        <v>500</v>
      </c>
      <c r="AC203" s="675"/>
      <c r="AE203" s="680"/>
    </row>
    <row r="204" spans="1:31" s="536" customFormat="1" ht="12" x14ac:dyDescent="0.2">
      <c r="A204" s="605"/>
      <c r="B204" s="552" t="s">
        <v>185</v>
      </c>
      <c r="C204" s="1822" t="s">
        <v>312</v>
      </c>
      <c r="D204" s="1822"/>
      <c r="E204" s="1822"/>
      <c r="F204" s="562"/>
      <c r="G204" s="562"/>
      <c r="H204" s="562"/>
      <c r="I204" s="562"/>
      <c r="J204" s="604">
        <v>16.149999999999999</v>
      </c>
      <c r="K204" s="562" t="s">
        <v>313</v>
      </c>
      <c r="L204" s="604">
        <v>15.34</v>
      </c>
      <c r="M204" s="603"/>
      <c r="N204" s="602"/>
      <c r="V204" s="674"/>
      <c r="W204" s="675"/>
      <c r="X204" s="675"/>
      <c r="Z204" s="537" t="s">
        <v>312</v>
      </c>
      <c r="AC204" s="675"/>
      <c r="AE204" s="680"/>
    </row>
    <row r="205" spans="1:31" s="536" customFormat="1" ht="12" x14ac:dyDescent="0.2">
      <c r="A205" s="605"/>
      <c r="B205" s="552"/>
      <c r="C205" s="1822" t="s">
        <v>314</v>
      </c>
      <c r="D205" s="1822"/>
      <c r="E205" s="1822"/>
      <c r="F205" s="562" t="s">
        <v>315</v>
      </c>
      <c r="G205" s="562" t="s">
        <v>1641</v>
      </c>
      <c r="H205" s="562" t="s">
        <v>313</v>
      </c>
      <c r="I205" s="562" t="s">
        <v>2543</v>
      </c>
      <c r="J205" s="604"/>
      <c r="K205" s="562"/>
      <c r="L205" s="604"/>
      <c r="M205" s="603"/>
      <c r="N205" s="602"/>
      <c r="V205" s="674"/>
      <c r="W205" s="675"/>
      <c r="X205" s="675"/>
      <c r="AA205" s="537" t="s">
        <v>314</v>
      </c>
      <c r="AC205" s="675"/>
      <c r="AE205" s="680"/>
    </row>
    <row r="206" spans="1:31" s="536" customFormat="1" ht="12" x14ac:dyDescent="0.2">
      <c r="A206" s="605"/>
      <c r="B206" s="552"/>
      <c r="C206" s="1828" t="s">
        <v>318</v>
      </c>
      <c r="D206" s="1828"/>
      <c r="E206" s="1828"/>
      <c r="F206" s="608"/>
      <c r="G206" s="608"/>
      <c r="H206" s="608"/>
      <c r="I206" s="608"/>
      <c r="J206" s="607">
        <v>16.149999999999999</v>
      </c>
      <c r="K206" s="608"/>
      <c r="L206" s="607">
        <v>15.34</v>
      </c>
      <c r="M206" s="601"/>
      <c r="N206" s="606"/>
      <c r="V206" s="674"/>
      <c r="W206" s="675"/>
      <c r="X206" s="675"/>
      <c r="AB206" s="537" t="s">
        <v>318</v>
      </c>
      <c r="AC206" s="675"/>
      <c r="AE206" s="680"/>
    </row>
    <row r="207" spans="1:31" s="536" customFormat="1" ht="12" x14ac:dyDescent="0.2">
      <c r="A207" s="605"/>
      <c r="B207" s="552"/>
      <c r="C207" s="1822" t="s">
        <v>319</v>
      </c>
      <c r="D207" s="1822"/>
      <c r="E207" s="1822"/>
      <c r="F207" s="562"/>
      <c r="G207" s="562"/>
      <c r="H207" s="562"/>
      <c r="I207" s="562"/>
      <c r="J207" s="604"/>
      <c r="K207" s="562"/>
      <c r="L207" s="604">
        <v>15.34</v>
      </c>
      <c r="M207" s="603"/>
      <c r="N207" s="602"/>
      <c r="V207" s="674"/>
      <c r="W207" s="675"/>
      <c r="X207" s="675"/>
      <c r="AA207" s="537" t="s">
        <v>319</v>
      </c>
      <c r="AC207" s="675"/>
      <c r="AE207" s="680"/>
    </row>
    <row r="208" spans="1:31" s="536" customFormat="1" ht="45" x14ac:dyDescent="0.2">
      <c r="A208" s="605"/>
      <c r="B208" s="552" t="s">
        <v>892</v>
      </c>
      <c r="C208" s="1822" t="s">
        <v>893</v>
      </c>
      <c r="D208" s="1822"/>
      <c r="E208" s="1822"/>
      <c r="F208" s="562" t="s">
        <v>322</v>
      </c>
      <c r="G208" s="562" t="s">
        <v>894</v>
      </c>
      <c r="H208" s="562"/>
      <c r="I208" s="562" t="s">
        <v>894</v>
      </c>
      <c r="J208" s="604"/>
      <c r="K208" s="562"/>
      <c r="L208" s="604">
        <v>18.559999999999999</v>
      </c>
      <c r="M208" s="603"/>
      <c r="N208" s="602"/>
      <c r="V208" s="674"/>
      <c r="W208" s="675"/>
      <c r="X208" s="675"/>
      <c r="AA208" s="537" t="s">
        <v>893</v>
      </c>
      <c r="AC208" s="675"/>
      <c r="AE208" s="680"/>
    </row>
    <row r="209" spans="1:31" s="536" customFormat="1" ht="45" x14ac:dyDescent="0.2">
      <c r="A209" s="605"/>
      <c r="B209" s="552" t="s">
        <v>895</v>
      </c>
      <c r="C209" s="1822" t="s">
        <v>896</v>
      </c>
      <c r="D209" s="1822"/>
      <c r="E209" s="1822"/>
      <c r="F209" s="562" t="s">
        <v>322</v>
      </c>
      <c r="G209" s="562" t="s">
        <v>897</v>
      </c>
      <c r="H209" s="562"/>
      <c r="I209" s="562" t="s">
        <v>897</v>
      </c>
      <c r="J209" s="604"/>
      <c r="K209" s="562"/>
      <c r="L209" s="604">
        <v>11.04</v>
      </c>
      <c r="M209" s="603"/>
      <c r="N209" s="602"/>
      <c r="V209" s="674"/>
      <c r="W209" s="675"/>
      <c r="X209" s="675"/>
      <c r="AA209" s="537" t="s">
        <v>896</v>
      </c>
      <c r="AC209" s="675"/>
      <c r="AE209" s="680"/>
    </row>
    <row r="210" spans="1:31" s="536" customFormat="1" ht="12" x14ac:dyDescent="0.2">
      <c r="A210" s="569"/>
      <c r="B210" s="656"/>
      <c r="C210" s="1823" t="s">
        <v>327</v>
      </c>
      <c r="D210" s="1823"/>
      <c r="E210" s="1823"/>
      <c r="F210" s="573"/>
      <c r="G210" s="573"/>
      <c r="H210" s="573"/>
      <c r="I210" s="573"/>
      <c r="J210" s="572"/>
      <c r="K210" s="573"/>
      <c r="L210" s="572">
        <v>44.94</v>
      </c>
      <c r="M210" s="601"/>
      <c r="N210" s="570"/>
      <c r="V210" s="674"/>
      <c r="W210" s="675"/>
      <c r="X210" s="675"/>
      <c r="AC210" s="675" t="s">
        <v>327</v>
      </c>
      <c r="AE210" s="680"/>
    </row>
    <row r="211" spans="1:31" s="536" customFormat="1" ht="56.25" x14ac:dyDescent="0.2">
      <c r="A211" s="575" t="s">
        <v>759</v>
      </c>
      <c r="B211" s="657" t="s">
        <v>2544</v>
      </c>
      <c r="C211" s="1823" t="s">
        <v>2545</v>
      </c>
      <c r="D211" s="1823"/>
      <c r="E211" s="1823"/>
      <c r="F211" s="573" t="s">
        <v>1110</v>
      </c>
      <c r="G211" s="573"/>
      <c r="H211" s="573"/>
      <c r="I211" s="573" t="s">
        <v>2546</v>
      </c>
      <c r="J211" s="572"/>
      <c r="K211" s="573"/>
      <c r="L211" s="572"/>
      <c r="M211" s="571"/>
      <c r="N211" s="570"/>
      <c r="V211" s="674"/>
      <c r="W211" s="675"/>
      <c r="X211" s="675" t="s">
        <v>2545</v>
      </c>
      <c r="AC211" s="675"/>
      <c r="AE211" s="680"/>
    </row>
    <row r="212" spans="1:31" s="536" customFormat="1" ht="12" x14ac:dyDescent="0.2">
      <c r="A212" s="676"/>
      <c r="B212" s="655"/>
      <c r="C212" s="1822" t="s">
        <v>2547</v>
      </c>
      <c r="D212" s="1822"/>
      <c r="E212" s="1822"/>
      <c r="F212" s="1822"/>
      <c r="G212" s="1822"/>
      <c r="H212" s="1822"/>
      <c r="I212" s="1822"/>
      <c r="J212" s="1822"/>
      <c r="K212" s="1822"/>
      <c r="L212" s="1822"/>
      <c r="M212" s="1822"/>
      <c r="N212" s="1827"/>
      <c r="V212" s="674"/>
      <c r="W212" s="675"/>
      <c r="X212" s="675"/>
      <c r="AC212" s="675"/>
      <c r="AD212" s="537" t="s">
        <v>2547</v>
      </c>
      <c r="AE212" s="680"/>
    </row>
    <row r="213" spans="1:31" s="536" customFormat="1" ht="22.5" x14ac:dyDescent="0.2">
      <c r="A213" s="609"/>
      <c r="B213" s="552" t="s">
        <v>499</v>
      </c>
      <c r="C213" s="1822" t="s">
        <v>500</v>
      </c>
      <c r="D213" s="1822"/>
      <c r="E213" s="1822"/>
      <c r="F213" s="1822"/>
      <c r="G213" s="1822"/>
      <c r="H213" s="1822"/>
      <c r="I213" s="1822"/>
      <c r="J213" s="1822"/>
      <c r="K213" s="1822"/>
      <c r="L213" s="1822"/>
      <c r="M213" s="1822"/>
      <c r="N213" s="1827"/>
      <c r="V213" s="674"/>
      <c r="W213" s="675"/>
      <c r="X213" s="675"/>
      <c r="Y213" s="537" t="s">
        <v>500</v>
      </c>
      <c r="AC213" s="675"/>
      <c r="AE213" s="680"/>
    </row>
    <row r="214" spans="1:31" s="536" customFormat="1" ht="12" x14ac:dyDescent="0.2">
      <c r="A214" s="605"/>
      <c r="B214" s="552" t="s">
        <v>185</v>
      </c>
      <c r="C214" s="1822" t="s">
        <v>312</v>
      </c>
      <c r="D214" s="1822"/>
      <c r="E214" s="1822"/>
      <c r="F214" s="562"/>
      <c r="G214" s="562"/>
      <c r="H214" s="562"/>
      <c r="I214" s="562"/>
      <c r="J214" s="604">
        <v>128.87</v>
      </c>
      <c r="K214" s="562" t="s">
        <v>313</v>
      </c>
      <c r="L214" s="604">
        <v>48.53</v>
      </c>
      <c r="M214" s="603"/>
      <c r="N214" s="602"/>
      <c r="V214" s="674"/>
      <c r="W214" s="675"/>
      <c r="X214" s="675"/>
      <c r="Z214" s="537" t="s">
        <v>312</v>
      </c>
      <c r="AC214" s="675"/>
      <c r="AE214" s="680"/>
    </row>
    <row r="215" spans="1:31" s="536" customFormat="1" ht="12" x14ac:dyDescent="0.2">
      <c r="A215" s="605"/>
      <c r="B215" s="552" t="s">
        <v>186</v>
      </c>
      <c r="C215" s="1822" t="s">
        <v>344</v>
      </c>
      <c r="D215" s="1822"/>
      <c r="E215" s="1822"/>
      <c r="F215" s="562"/>
      <c r="G215" s="562"/>
      <c r="H215" s="562"/>
      <c r="I215" s="562"/>
      <c r="J215" s="604">
        <v>38.99</v>
      </c>
      <c r="K215" s="562" t="s">
        <v>313</v>
      </c>
      <c r="L215" s="604">
        <v>14.68</v>
      </c>
      <c r="M215" s="603"/>
      <c r="N215" s="602"/>
      <c r="V215" s="674"/>
      <c r="W215" s="675"/>
      <c r="X215" s="675"/>
      <c r="Z215" s="537" t="s">
        <v>344</v>
      </c>
      <c r="AC215" s="675"/>
      <c r="AE215" s="680"/>
    </row>
    <row r="216" spans="1:31" s="536" customFormat="1" ht="12" x14ac:dyDescent="0.2">
      <c r="A216" s="605"/>
      <c r="B216" s="552" t="s">
        <v>187</v>
      </c>
      <c r="C216" s="1822" t="s">
        <v>345</v>
      </c>
      <c r="D216" s="1822"/>
      <c r="E216" s="1822"/>
      <c r="F216" s="562"/>
      <c r="G216" s="562"/>
      <c r="H216" s="562"/>
      <c r="I216" s="562"/>
      <c r="J216" s="604">
        <v>0.23</v>
      </c>
      <c r="K216" s="562" t="s">
        <v>313</v>
      </c>
      <c r="L216" s="604">
        <v>0.09</v>
      </c>
      <c r="M216" s="603"/>
      <c r="N216" s="602"/>
      <c r="V216" s="674"/>
      <c r="W216" s="675"/>
      <c r="X216" s="675"/>
      <c r="Z216" s="537" t="s">
        <v>345</v>
      </c>
      <c r="AC216" s="675"/>
      <c r="AE216" s="680"/>
    </row>
    <row r="217" spans="1:31" s="536" customFormat="1" ht="12" x14ac:dyDescent="0.2">
      <c r="A217" s="605"/>
      <c r="B217" s="552" t="s">
        <v>188</v>
      </c>
      <c r="C217" s="1822" t="s">
        <v>475</v>
      </c>
      <c r="D217" s="1822"/>
      <c r="E217" s="1822"/>
      <c r="F217" s="562"/>
      <c r="G217" s="562"/>
      <c r="H217" s="562"/>
      <c r="I217" s="562"/>
      <c r="J217" s="604">
        <v>89.83</v>
      </c>
      <c r="K217" s="562"/>
      <c r="L217" s="604">
        <v>0.21</v>
      </c>
      <c r="M217" s="603"/>
      <c r="N217" s="602"/>
      <c r="V217" s="674"/>
      <c r="W217" s="675"/>
      <c r="X217" s="675"/>
      <c r="Z217" s="537" t="s">
        <v>475</v>
      </c>
      <c r="AC217" s="675"/>
      <c r="AE217" s="680"/>
    </row>
    <row r="218" spans="1:31" s="536" customFormat="1" ht="12" x14ac:dyDescent="0.2">
      <c r="A218" s="676"/>
      <c r="B218" s="677" t="s">
        <v>2495</v>
      </c>
      <c r="C218" s="1829" t="s">
        <v>2496</v>
      </c>
      <c r="D218" s="1829"/>
      <c r="E218" s="1829"/>
      <c r="F218" s="678" t="s">
        <v>617</v>
      </c>
      <c r="G218" s="678" t="s">
        <v>525</v>
      </c>
      <c r="H218" s="678"/>
      <c r="I218" s="678" t="s">
        <v>525</v>
      </c>
      <c r="J218" s="552"/>
      <c r="K218" s="562"/>
      <c r="L218" s="604"/>
      <c r="M218" s="562"/>
      <c r="N218" s="679"/>
      <c r="V218" s="674"/>
      <c r="W218" s="675"/>
      <c r="X218" s="675"/>
      <c r="AC218" s="675"/>
      <c r="AE218" s="680" t="s">
        <v>2496</v>
      </c>
    </row>
    <row r="219" spans="1:31" s="536" customFormat="1" ht="12" x14ac:dyDescent="0.2">
      <c r="A219" s="676"/>
      <c r="B219" s="677" t="s">
        <v>2454</v>
      </c>
      <c r="C219" s="1829" t="s">
        <v>2455</v>
      </c>
      <c r="D219" s="1829"/>
      <c r="E219" s="1829"/>
      <c r="F219" s="678" t="s">
        <v>694</v>
      </c>
      <c r="G219" s="678" t="s">
        <v>525</v>
      </c>
      <c r="H219" s="678"/>
      <c r="I219" s="678" t="s">
        <v>525</v>
      </c>
      <c r="J219" s="552"/>
      <c r="K219" s="562"/>
      <c r="L219" s="604"/>
      <c r="M219" s="562"/>
      <c r="N219" s="679"/>
      <c r="V219" s="674"/>
      <c r="W219" s="675"/>
      <c r="X219" s="675"/>
      <c r="AC219" s="675"/>
      <c r="AE219" s="680" t="s">
        <v>2455</v>
      </c>
    </row>
    <row r="220" spans="1:31" s="536" customFormat="1" ht="12" x14ac:dyDescent="0.2">
      <c r="A220" s="676"/>
      <c r="B220" s="677" t="s">
        <v>2497</v>
      </c>
      <c r="C220" s="1829" t="s">
        <v>2498</v>
      </c>
      <c r="D220" s="1829"/>
      <c r="E220" s="1829"/>
      <c r="F220" s="678" t="s">
        <v>889</v>
      </c>
      <c r="G220" s="678" t="s">
        <v>2548</v>
      </c>
      <c r="H220" s="678"/>
      <c r="I220" s="678" t="s">
        <v>2549</v>
      </c>
      <c r="J220" s="552"/>
      <c r="K220" s="562"/>
      <c r="L220" s="604"/>
      <c r="M220" s="562"/>
      <c r="N220" s="679"/>
      <c r="V220" s="674"/>
      <c r="W220" s="675"/>
      <c r="X220" s="675"/>
      <c r="AC220" s="675"/>
      <c r="AE220" s="680" t="s">
        <v>2498</v>
      </c>
    </row>
    <row r="221" spans="1:31" s="536" customFormat="1" ht="12" x14ac:dyDescent="0.2">
      <c r="A221" s="676"/>
      <c r="B221" s="677" t="s">
        <v>2501</v>
      </c>
      <c r="C221" s="1829" t="s">
        <v>2502</v>
      </c>
      <c r="D221" s="1829"/>
      <c r="E221" s="1829"/>
      <c r="F221" s="678" t="s">
        <v>483</v>
      </c>
      <c r="G221" s="678" t="s">
        <v>2503</v>
      </c>
      <c r="H221" s="678"/>
      <c r="I221" s="678" t="s">
        <v>2550</v>
      </c>
      <c r="J221" s="552"/>
      <c r="K221" s="562"/>
      <c r="L221" s="604"/>
      <c r="M221" s="562"/>
      <c r="N221" s="679"/>
      <c r="V221" s="674"/>
      <c r="W221" s="675"/>
      <c r="X221" s="675"/>
      <c r="AC221" s="675"/>
      <c r="AE221" s="680" t="s">
        <v>2502</v>
      </c>
    </row>
    <row r="222" spans="1:31" s="536" customFormat="1" ht="12" x14ac:dyDescent="0.2">
      <c r="A222" s="676"/>
      <c r="B222" s="677" t="s">
        <v>2462</v>
      </c>
      <c r="C222" s="1829" t="s">
        <v>2505</v>
      </c>
      <c r="D222" s="1829"/>
      <c r="E222" s="1829"/>
      <c r="F222" s="678" t="s">
        <v>617</v>
      </c>
      <c r="G222" s="678" t="s">
        <v>525</v>
      </c>
      <c r="H222" s="678"/>
      <c r="I222" s="678" t="s">
        <v>525</v>
      </c>
      <c r="J222" s="552"/>
      <c r="K222" s="562"/>
      <c r="L222" s="604"/>
      <c r="M222" s="562"/>
      <c r="N222" s="679"/>
      <c r="V222" s="674"/>
      <c r="W222" s="675"/>
      <c r="X222" s="675"/>
      <c r="AC222" s="675"/>
      <c r="AE222" s="680" t="s">
        <v>2505</v>
      </c>
    </row>
    <row r="223" spans="1:31" s="536" customFormat="1" ht="12" x14ac:dyDescent="0.2">
      <c r="A223" s="605"/>
      <c r="B223" s="552"/>
      <c r="C223" s="1822" t="s">
        <v>314</v>
      </c>
      <c r="D223" s="1822"/>
      <c r="E223" s="1822"/>
      <c r="F223" s="562" t="s">
        <v>315</v>
      </c>
      <c r="G223" s="562" t="s">
        <v>2551</v>
      </c>
      <c r="H223" s="562" t="s">
        <v>313</v>
      </c>
      <c r="I223" s="562" t="s">
        <v>2552</v>
      </c>
      <c r="J223" s="604"/>
      <c r="K223" s="562"/>
      <c r="L223" s="604"/>
      <c r="M223" s="603"/>
      <c r="N223" s="602"/>
      <c r="V223" s="674"/>
      <c r="W223" s="675"/>
      <c r="X223" s="675"/>
      <c r="AA223" s="537" t="s">
        <v>314</v>
      </c>
      <c r="AC223" s="675"/>
      <c r="AE223" s="680"/>
    </row>
    <row r="224" spans="1:31" s="536" customFormat="1" ht="12" x14ac:dyDescent="0.2">
      <c r="A224" s="605"/>
      <c r="B224" s="552"/>
      <c r="C224" s="1822" t="s">
        <v>348</v>
      </c>
      <c r="D224" s="1822"/>
      <c r="E224" s="1822"/>
      <c r="F224" s="562" t="s">
        <v>315</v>
      </c>
      <c r="G224" s="562" t="s">
        <v>695</v>
      </c>
      <c r="H224" s="562" t="s">
        <v>313</v>
      </c>
      <c r="I224" s="562" t="s">
        <v>2553</v>
      </c>
      <c r="J224" s="604"/>
      <c r="K224" s="562"/>
      <c r="L224" s="604"/>
      <c r="M224" s="603"/>
      <c r="N224" s="602"/>
      <c r="V224" s="674"/>
      <c r="W224" s="675"/>
      <c r="X224" s="675"/>
      <c r="AA224" s="537" t="s">
        <v>348</v>
      </c>
      <c r="AC224" s="675"/>
      <c r="AE224" s="680"/>
    </row>
    <row r="225" spans="1:31" s="536" customFormat="1" ht="12" x14ac:dyDescent="0.2">
      <c r="A225" s="605"/>
      <c r="B225" s="552"/>
      <c r="C225" s="1828" t="s">
        <v>318</v>
      </c>
      <c r="D225" s="1828"/>
      <c r="E225" s="1828"/>
      <c r="F225" s="608"/>
      <c r="G225" s="608"/>
      <c r="H225" s="608"/>
      <c r="I225" s="608"/>
      <c r="J225" s="607">
        <v>168.57</v>
      </c>
      <c r="K225" s="608"/>
      <c r="L225" s="607">
        <v>63.42</v>
      </c>
      <c r="M225" s="601"/>
      <c r="N225" s="606"/>
      <c r="V225" s="674"/>
      <c r="W225" s="675"/>
      <c r="X225" s="675"/>
      <c r="AB225" s="537" t="s">
        <v>318</v>
      </c>
      <c r="AC225" s="675"/>
      <c r="AE225" s="680"/>
    </row>
    <row r="226" spans="1:31" s="536" customFormat="1" ht="12" x14ac:dyDescent="0.2">
      <c r="A226" s="605"/>
      <c r="B226" s="552"/>
      <c r="C226" s="1822" t="s">
        <v>319</v>
      </c>
      <c r="D226" s="1822"/>
      <c r="E226" s="1822"/>
      <c r="F226" s="562"/>
      <c r="G226" s="562"/>
      <c r="H226" s="562"/>
      <c r="I226" s="562"/>
      <c r="J226" s="604"/>
      <c r="K226" s="562"/>
      <c r="L226" s="604">
        <v>48.62</v>
      </c>
      <c r="M226" s="603"/>
      <c r="N226" s="602"/>
      <c r="V226" s="674"/>
      <c r="W226" s="675"/>
      <c r="X226" s="675"/>
      <c r="AA226" s="537" t="s">
        <v>319</v>
      </c>
      <c r="AC226" s="675"/>
      <c r="AE226" s="680"/>
    </row>
    <row r="227" spans="1:31" s="536" customFormat="1" ht="45" x14ac:dyDescent="0.2">
      <c r="A227" s="605"/>
      <c r="B227" s="552" t="s">
        <v>892</v>
      </c>
      <c r="C227" s="1822" t="s">
        <v>893</v>
      </c>
      <c r="D227" s="1822"/>
      <c r="E227" s="1822"/>
      <c r="F227" s="562" t="s">
        <v>322</v>
      </c>
      <c r="G227" s="562" t="s">
        <v>894</v>
      </c>
      <c r="H227" s="562"/>
      <c r="I227" s="562" t="s">
        <v>894</v>
      </c>
      <c r="J227" s="604"/>
      <c r="K227" s="562"/>
      <c r="L227" s="604">
        <v>58.83</v>
      </c>
      <c r="M227" s="603"/>
      <c r="N227" s="602"/>
      <c r="V227" s="674"/>
      <c r="W227" s="675"/>
      <c r="X227" s="675"/>
      <c r="AA227" s="537" t="s">
        <v>893</v>
      </c>
      <c r="AC227" s="675"/>
      <c r="AE227" s="680"/>
    </row>
    <row r="228" spans="1:31" s="536" customFormat="1" ht="45" x14ac:dyDescent="0.2">
      <c r="A228" s="605"/>
      <c r="B228" s="552" t="s">
        <v>895</v>
      </c>
      <c r="C228" s="1822" t="s">
        <v>896</v>
      </c>
      <c r="D228" s="1822"/>
      <c r="E228" s="1822"/>
      <c r="F228" s="562" t="s">
        <v>322</v>
      </c>
      <c r="G228" s="562" t="s">
        <v>897</v>
      </c>
      <c r="H228" s="562"/>
      <c r="I228" s="562" t="s">
        <v>897</v>
      </c>
      <c r="J228" s="604"/>
      <c r="K228" s="562"/>
      <c r="L228" s="604">
        <v>35.01</v>
      </c>
      <c r="M228" s="603"/>
      <c r="N228" s="602"/>
      <c r="V228" s="674"/>
      <c r="W228" s="675"/>
      <c r="X228" s="675"/>
      <c r="AA228" s="537" t="s">
        <v>896</v>
      </c>
      <c r="AC228" s="675"/>
      <c r="AE228" s="680"/>
    </row>
    <row r="229" spans="1:31" s="536" customFormat="1" ht="12" x14ac:dyDescent="0.2">
      <c r="A229" s="569"/>
      <c r="B229" s="656"/>
      <c r="C229" s="1823" t="s">
        <v>327</v>
      </c>
      <c r="D229" s="1823"/>
      <c r="E229" s="1823"/>
      <c r="F229" s="573"/>
      <c r="G229" s="573"/>
      <c r="H229" s="573"/>
      <c r="I229" s="573"/>
      <c r="J229" s="572"/>
      <c r="K229" s="573"/>
      <c r="L229" s="572">
        <v>157.26</v>
      </c>
      <c r="M229" s="601"/>
      <c r="N229" s="570"/>
      <c r="V229" s="674"/>
      <c r="W229" s="675"/>
      <c r="X229" s="675"/>
      <c r="AC229" s="675" t="s">
        <v>327</v>
      </c>
      <c r="AE229" s="680"/>
    </row>
    <row r="230" spans="1:31" s="536" customFormat="1" ht="33.75" x14ac:dyDescent="0.2">
      <c r="A230" s="575" t="s">
        <v>917</v>
      </c>
      <c r="B230" s="657" t="s">
        <v>2509</v>
      </c>
      <c r="C230" s="1823" t="s">
        <v>2510</v>
      </c>
      <c r="D230" s="1823"/>
      <c r="E230" s="1823"/>
      <c r="F230" s="573" t="s">
        <v>699</v>
      </c>
      <c r="G230" s="573"/>
      <c r="H230" s="573"/>
      <c r="I230" s="573" t="s">
        <v>2554</v>
      </c>
      <c r="J230" s="572">
        <v>17.21</v>
      </c>
      <c r="K230" s="573"/>
      <c r="L230" s="572">
        <v>98.44</v>
      </c>
      <c r="M230" s="571"/>
      <c r="N230" s="570"/>
      <c r="V230" s="674"/>
      <c r="W230" s="675"/>
      <c r="X230" s="675" t="s">
        <v>2510</v>
      </c>
      <c r="AC230" s="675"/>
      <c r="AE230" s="680"/>
    </row>
    <row r="231" spans="1:31" s="536" customFormat="1" ht="12" x14ac:dyDescent="0.2">
      <c r="A231" s="569"/>
      <c r="B231" s="656"/>
      <c r="C231" s="661" t="s">
        <v>717</v>
      </c>
      <c r="D231" s="662"/>
      <c r="E231" s="662"/>
      <c r="F231" s="563"/>
      <c r="G231" s="563"/>
      <c r="H231" s="563"/>
      <c r="I231" s="563"/>
      <c r="J231" s="566"/>
      <c r="K231" s="563"/>
      <c r="L231" s="566"/>
      <c r="M231" s="565"/>
      <c r="N231" s="564"/>
      <c r="V231" s="674"/>
      <c r="W231" s="675"/>
      <c r="X231" s="675"/>
      <c r="AC231" s="675"/>
      <c r="AE231" s="680"/>
    </row>
    <row r="232" spans="1:31" s="536" customFormat="1" ht="12" x14ac:dyDescent="0.2">
      <c r="A232" s="676"/>
      <c r="B232" s="655"/>
      <c r="C232" s="1822" t="s">
        <v>2555</v>
      </c>
      <c r="D232" s="1822"/>
      <c r="E232" s="1822"/>
      <c r="F232" s="1822"/>
      <c r="G232" s="1822"/>
      <c r="H232" s="1822"/>
      <c r="I232" s="1822"/>
      <c r="J232" s="1822"/>
      <c r="K232" s="1822"/>
      <c r="L232" s="1822"/>
      <c r="M232" s="1822"/>
      <c r="N232" s="1827"/>
      <c r="V232" s="674"/>
      <c r="W232" s="675"/>
      <c r="X232" s="675"/>
      <c r="AC232" s="675"/>
      <c r="AD232" s="537" t="s">
        <v>2555</v>
      </c>
      <c r="AE232" s="680"/>
    </row>
    <row r="233" spans="1:31" s="536" customFormat="1" ht="33.75" x14ac:dyDescent="0.2">
      <c r="A233" s="575" t="s">
        <v>761</v>
      </c>
      <c r="B233" s="657" t="s">
        <v>2556</v>
      </c>
      <c r="C233" s="1823" t="s">
        <v>2557</v>
      </c>
      <c r="D233" s="1823"/>
      <c r="E233" s="1823"/>
      <c r="F233" s="573" t="s">
        <v>483</v>
      </c>
      <c r="G233" s="573"/>
      <c r="H233" s="573"/>
      <c r="I233" s="573" t="s">
        <v>2558</v>
      </c>
      <c r="J233" s="572">
        <v>4.97</v>
      </c>
      <c r="K233" s="573"/>
      <c r="L233" s="572">
        <v>132.44999999999999</v>
      </c>
      <c r="M233" s="571"/>
      <c r="N233" s="570"/>
      <c r="V233" s="674"/>
      <c r="W233" s="675"/>
      <c r="X233" s="675" t="s">
        <v>2557</v>
      </c>
      <c r="AC233" s="675"/>
      <c r="AE233" s="680"/>
    </row>
    <row r="234" spans="1:31" s="536" customFormat="1" ht="12" x14ac:dyDescent="0.2">
      <c r="A234" s="569"/>
      <c r="B234" s="656"/>
      <c r="C234" s="661" t="s">
        <v>717</v>
      </c>
      <c r="D234" s="662"/>
      <c r="E234" s="662"/>
      <c r="F234" s="563"/>
      <c r="G234" s="563"/>
      <c r="H234" s="563"/>
      <c r="I234" s="563"/>
      <c r="J234" s="566"/>
      <c r="K234" s="563"/>
      <c r="L234" s="566"/>
      <c r="M234" s="565"/>
      <c r="N234" s="564"/>
      <c r="V234" s="674"/>
      <c r="W234" s="675"/>
      <c r="X234" s="675"/>
      <c r="AC234" s="675"/>
      <c r="AE234" s="680"/>
    </row>
    <row r="235" spans="1:31" s="536" customFormat="1" ht="33.75" x14ac:dyDescent="0.2">
      <c r="A235" s="575" t="s">
        <v>762</v>
      </c>
      <c r="B235" s="657" t="s">
        <v>8114</v>
      </c>
      <c r="C235" s="1823" t="s">
        <v>2559</v>
      </c>
      <c r="D235" s="1823"/>
      <c r="E235" s="1823"/>
      <c r="F235" s="573" t="s">
        <v>628</v>
      </c>
      <c r="G235" s="573"/>
      <c r="H235" s="573"/>
      <c r="I235" s="573" t="s">
        <v>189</v>
      </c>
      <c r="J235" s="572">
        <v>9.6300000000000008</v>
      </c>
      <c r="K235" s="573" t="s">
        <v>716</v>
      </c>
      <c r="L235" s="572">
        <v>5.89</v>
      </c>
      <c r="M235" s="571">
        <v>8.32</v>
      </c>
      <c r="N235" s="570">
        <v>49</v>
      </c>
      <c r="V235" s="674"/>
      <c r="W235" s="675"/>
      <c r="X235" s="675" t="s">
        <v>2559</v>
      </c>
      <c r="AC235" s="675"/>
      <c r="AE235" s="680"/>
    </row>
    <row r="236" spans="1:31" s="536" customFormat="1" ht="12" x14ac:dyDescent="0.2">
      <c r="A236" s="569"/>
      <c r="B236" s="656"/>
      <c r="C236" s="661" t="s">
        <v>717</v>
      </c>
      <c r="D236" s="662"/>
      <c r="E236" s="662"/>
      <c r="F236" s="563"/>
      <c r="G236" s="563"/>
      <c r="H236" s="563"/>
      <c r="I236" s="563"/>
      <c r="J236" s="566"/>
      <c r="K236" s="563"/>
      <c r="L236" s="566"/>
      <c r="M236" s="565"/>
      <c r="N236" s="564"/>
      <c r="V236" s="674"/>
      <c r="W236" s="675"/>
      <c r="X236" s="675"/>
      <c r="AC236" s="675"/>
      <c r="AE236" s="680"/>
    </row>
    <row r="237" spans="1:31" s="536" customFormat="1" ht="22.5" x14ac:dyDescent="0.2">
      <c r="A237" s="609"/>
      <c r="B237" s="552" t="s">
        <v>718</v>
      </c>
      <c r="C237" s="1822" t="s">
        <v>719</v>
      </c>
      <c r="D237" s="1822"/>
      <c r="E237" s="1822"/>
      <c r="F237" s="1822"/>
      <c r="G237" s="1822"/>
      <c r="H237" s="1822"/>
      <c r="I237" s="1822"/>
      <c r="J237" s="1822"/>
      <c r="K237" s="1822"/>
      <c r="L237" s="1822"/>
      <c r="M237" s="1822"/>
      <c r="N237" s="1827"/>
      <c r="V237" s="674"/>
      <c r="W237" s="675"/>
      <c r="X237" s="675"/>
      <c r="Y237" s="537" t="s">
        <v>719</v>
      </c>
      <c r="AC237" s="675"/>
      <c r="AE237" s="680"/>
    </row>
    <row r="238" spans="1:31" s="536" customFormat="1" ht="33.75" x14ac:dyDescent="0.2">
      <c r="A238" s="575" t="s">
        <v>763</v>
      </c>
      <c r="B238" s="657" t="s">
        <v>8115</v>
      </c>
      <c r="C238" s="1823" t="s">
        <v>2560</v>
      </c>
      <c r="D238" s="1823"/>
      <c r="E238" s="1823"/>
      <c r="F238" s="573" t="s">
        <v>628</v>
      </c>
      <c r="G238" s="573"/>
      <c r="H238" s="573"/>
      <c r="I238" s="573" t="s">
        <v>430</v>
      </c>
      <c r="J238" s="572">
        <v>7.88</v>
      </c>
      <c r="K238" s="573" t="s">
        <v>716</v>
      </c>
      <c r="L238" s="572">
        <v>17.43</v>
      </c>
      <c r="M238" s="571">
        <v>8.32</v>
      </c>
      <c r="N238" s="570">
        <v>145</v>
      </c>
      <c r="V238" s="674"/>
      <c r="W238" s="675"/>
      <c r="X238" s="675" t="s">
        <v>2560</v>
      </c>
      <c r="AC238" s="675"/>
      <c r="AE238" s="680"/>
    </row>
    <row r="239" spans="1:31" s="536" customFormat="1" ht="12" x14ac:dyDescent="0.2">
      <c r="A239" s="569"/>
      <c r="B239" s="656"/>
      <c r="C239" s="661" t="s">
        <v>717</v>
      </c>
      <c r="D239" s="662"/>
      <c r="E239" s="662"/>
      <c r="F239" s="563"/>
      <c r="G239" s="563"/>
      <c r="H239" s="563"/>
      <c r="I239" s="563"/>
      <c r="J239" s="566"/>
      <c r="K239" s="563"/>
      <c r="L239" s="566"/>
      <c r="M239" s="565"/>
      <c r="N239" s="564"/>
      <c r="V239" s="674"/>
      <c r="W239" s="675"/>
      <c r="X239" s="675"/>
      <c r="AC239" s="675"/>
      <c r="AE239" s="680"/>
    </row>
    <row r="240" spans="1:31" s="536" customFormat="1" ht="22.5" x14ac:dyDescent="0.2">
      <c r="A240" s="609"/>
      <c r="B240" s="552" t="s">
        <v>718</v>
      </c>
      <c r="C240" s="1822" t="s">
        <v>719</v>
      </c>
      <c r="D240" s="1822"/>
      <c r="E240" s="1822"/>
      <c r="F240" s="1822"/>
      <c r="G240" s="1822"/>
      <c r="H240" s="1822"/>
      <c r="I240" s="1822"/>
      <c r="J240" s="1822"/>
      <c r="K240" s="1822"/>
      <c r="L240" s="1822"/>
      <c r="M240" s="1822"/>
      <c r="N240" s="1827"/>
      <c r="V240" s="674"/>
      <c r="W240" s="675"/>
      <c r="X240" s="675"/>
      <c r="Y240" s="537" t="s">
        <v>719</v>
      </c>
      <c r="AC240" s="675"/>
      <c r="AE240" s="680"/>
    </row>
    <row r="241" spans="1:31" s="536" customFormat="1" ht="33.75" x14ac:dyDescent="0.2">
      <c r="A241" s="575" t="s">
        <v>922</v>
      </c>
      <c r="B241" s="657" t="s">
        <v>8114</v>
      </c>
      <c r="C241" s="1823" t="s">
        <v>2561</v>
      </c>
      <c r="D241" s="1823"/>
      <c r="E241" s="1823"/>
      <c r="F241" s="573" t="s">
        <v>628</v>
      </c>
      <c r="G241" s="573"/>
      <c r="H241" s="573"/>
      <c r="I241" s="573" t="s">
        <v>190</v>
      </c>
      <c r="J241" s="572">
        <v>9.6300000000000008</v>
      </c>
      <c r="K241" s="573" t="s">
        <v>716</v>
      </c>
      <c r="L241" s="572">
        <v>7.09</v>
      </c>
      <c r="M241" s="571">
        <v>8.32</v>
      </c>
      <c r="N241" s="570">
        <v>59</v>
      </c>
      <c r="V241" s="674"/>
      <c r="W241" s="675"/>
      <c r="X241" s="675" t="s">
        <v>2561</v>
      </c>
      <c r="AC241" s="675"/>
      <c r="AE241" s="680"/>
    </row>
    <row r="242" spans="1:31" s="536" customFormat="1" ht="12" x14ac:dyDescent="0.2">
      <c r="A242" s="569"/>
      <c r="B242" s="656"/>
      <c r="C242" s="661" t="s">
        <v>717</v>
      </c>
      <c r="D242" s="662"/>
      <c r="E242" s="662"/>
      <c r="F242" s="563"/>
      <c r="G242" s="563"/>
      <c r="H242" s="563"/>
      <c r="I242" s="563"/>
      <c r="J242" s="566"/>
      <c r="K242" s="563"/>
      <c r="L242" s="566"/>
      <c r="M242" s="565"/>
      <c r="N242" s="564"/>
      <c r="V242" s="674"/>
      <c r="W242" s="675"/>
      <c r="X242" s="675"/>
      <c r="AC242" s="675"/>
      <c r="AE242" s="680"/>
    </row>
    <row r="243" spans="1:31" s="536" customFormat="1" ht="22.5" x14ac:dyDescent="0.2">
      <c r="A243" s="609"/>
      <c r="B243" s="552" t="s">
        <v>718</v>
      </c>
      <c r="C243" s="1822" t="s">
        <v>719</v>
      </c>
      <c r="D243" s="1822"/>
      <c r="E243" s="1822"/>
      <c r="F243" s="1822"/>
      <c r="G243" s="1822"/>
      <c r="H243" s="1822"/>
      <c r="I243" s="1822"/>
      <c r="J243" s="1822"/>
      <c r="K243" s="1822"/>
      <c r="L243" s="1822"/>
      <c r="M243" s="1822"/>
      <c r="N243" s="1827"/>
      <c r="V243" s="674"/>
      <c r="W243" s="675"/>
      <c r="X243" s="675"/>
      <c r="Y243" s="537" t="s">
        <v>719</v>
      </c>
      <c r="AC243" s="675"/>
      <c r="AE243" s="680"/>
    </row>
    <row r="244" spans="1:31" s="536" customFormat="1" ht="33.75" x14ac:dyDescent="0.2">
      <c r="A244" s="575" t="s">
        <v>765</v>
      </c>
      <c r="B244" s="657" t="s">
        <v>2562</v>
      </c>
      <c r="C244" s="1823" t="s">
        <v>2563</v>
      </c>
      <c r="D244" s="1823"/>
      <c r="E244" s="1823"/>
      <c r="F244" s="573" t="s">
        <v>628</v>
      </c>
      <c r="G244" s="573"/>
      <c r="H244" s="573"/>
      <c r="I244" s="573" t="s">
        <v>912</v>
      </c>
      <c r="J244" s="572">
        <v>14</v>
      </c>
      <c r="K244" s="573" t="s">
        <v>716</v>
      </c>
      <c r="L244" s="572">
        <v>39.42</v>
      </c>
      <c r="M244" s="571">
        <v>8.32</v>
      </c>
      <c r="N244" s="570">
        <v>328</v>
      </c>
      <c r="V244" s="674"/>
      <c r="W244" s="675"/>
      <c r="X244" s="675" t="s">
        <v>2563</v>
      </c>
      <c r="AC244" s="675"/>
      <c r="AE244" s="680"/>
    </row>
    <row r="245" spans="1:31" s="536" customFormat="1" ht="12" x14ac:dyDescent="0.2">
      <c r="A245" s="569"/>
      <c r="B245" s="656"/>
      <c r="C245" s="661" t="s">
        <v>717</v>
      </c>
      <c r="D245" s="662"/>
      <c r="E245" s="662"/>
      <c r="F245" s="563"/>
      <c r="G245" s="563"/>
      <c r="H245" s="563"/>
      <c r="I245" s="563"/>
      <c r="J245" s="566"/>
      <c r="K245" s="563"/>
      <c r="L245" s="566"/>
      <c r="M245" s="565"/>
      <c r="N245" s="564"/>
      <c r="V245" s="674"/>
      <c r="W245" s="675"/>
      <c r="X245" s="675"/>
      <c r="AC245" s="675"/>
      <c r="AE245" s="680"/>
    </row>
    <row r="246" spans="1:31" s="536" customFormat="1" ht="22.5" x14ac:dyDescent="0.2">
      <c r="A246" s="609"/>
      <c r="B246" s="552" t="s">
        <v>718</v>
      </c>
      <c r="C246" s="1822" t="s">
        <v>719</v>
      </c>
      <c r="D246" s="1822"/>
      <c r="E246" s="1822"/>
      <c r="F246" s="1822"/>
      <c r="G246" s="1822"/>
      <c r="H246" s="1822"/>
      <c r="I246" s="1822"/>
      <c r="J246" s="1822"/>
      <c r="K246" s="1822"/>
      <c r="L246" s="1822"/>
      <c r="M246" s="1822"/>
      <c r="N246" s="1827"/>
      <c r="V246" s="674"/>
      <c r="W246" s="675"/>
      <c r="X246" s="675"/>
      <c r="Y246" s="537" t="s">
        <v>719</v>
      </c>
      <c r="AC246" s="675"/>
      <c r="AE246" s="680"/>
    </row>
    <row r="247" spans="1:31" s="536" customFormat="1" ht="33.75" x14ac:dyDescent="0.2">
      <c r="A247" s="575" t="s">
        <v>505</v>
      </c>
      <c r="B247" s="657" t="s">
        <v>2564</v>
      </c>
      <c r="C247" s="1823" t="s">
        <v>2565</v>
      </c>
      <c r="D247" s="1823"/>
      <c r="E247" s="1823"/>
      <c r="F247" s="573" t="s">
        <v>628</v>
      </c>
      <c r="G247" s="573"/>
      <c r="H247" s="573"/>
      <c r="I247" s="573" t="s">
        <v>194</v>
      </c>
      <c r="J247" s="572">
        <v>82.25</v>
      </c>
      <c r="K247" s="573" t="s">
        <v>716</v>
      </c>
      <c r="L247" s="572">
        <v>100.84</v>
      </c>
      <c r="M247" s="571">
        <v>8.32</v>
      </c>
      <c r="N247" s="570">
        <v>839</v>
      </c>
      <c r="V247" s="674"/>
      <c r="W247" s="675"/>
      <c r="X247" s="675" t="s">
        <v>2565</v>
      </c>
      <c r="AC247" s="675"/>
      <c r="AE247" s="680"/>
    </row>
    <row r="248" spans="1:31" s="536" customFormat="1" ht="12" x14ac:dyDescent="0.2">
      <c r="A248" s="569"/>
      <c r="B248" s="656"/>
      <c r="C248" s="661" t="s">
        <v>717</v>
      </c>
      <c r="D248" s="662"/>
      <c r="E248" s="662"/>
      <c r="F248" s="563"/>
      <c r="G248" s="563"/>
      <c r="H248" s="563"/>
      <c r="I248" s="563"/>
      <c r="J248" s="566"/>
      <c r="K248" s="563"/>
      <c r="L248" s="566"/>
      <c r="M248" s="565"/>
      <c r="N248" s="564"/>
      <c r="V248" s="674"/>
      <c r="W248" s="675"/>
      <c r="X248" s="675"/>
      <c r="AC248" s="675"/>
      <c r="AE248" s="680"/>
    </row>
    <row r="249" spans="1:31" s="536" customFormat="1" ht="22.5" x14ac:dyDescent="0.2">
      <c r="A249" s="609"/>
      <c r="B249" s="552" t="s">
        <v>718</v>
      </c>
      <c r="C249" s="1822" t="s">
        <v>719</v>
      </c>
      <c r="D249" s="1822"/>
      <c r="E249" s="1822"/>
      <c r="F249" s="1822"/>
      <c r="G249" s="1822"/>
      <c r="H249" s="1822"/>
      <c r="I249" s="1822"/>
      <c r="J249" s="1822"/>
      <c r="K249" s="1822"/>
      <c r="L249" s="1822"/>
      <c r="M249" s="1822"/>
      <c r="N249" s="1827"/>
      <c r="V249" s="674"/>
      <c r="W249" s="675"/>
      <c r="X249" s="675"/>
      <c r="Y249" s="537" t="s">
        <v>719</v>
      </c>
      <c r="AC249" s="675"/>
      <c r="AE249" s="680"/>
    </row>
    <row r="250" spans="1:31" s="536" customFormat="1" ht="33.75" x14ac:dyDescent="0.2">
      <c r="A250" s="575" t="s">
        <v>767</v>
      </c>
      <c r="B250" s="657" t="s">
        <v>2566</v>
      </c>
      <c r="C250" s="1823" t="s">
        <v>2567</v>
      </c>
      <c r="D250" s="1823"/>
      <c r="E250" s="1823"/>
      <c r="F250" s="573" t="s">
        <v>628</v>
      </c>
      <c r="G250" s="573"/>
      <c r="H250" s="573"/>
      <c r="I250" s="573" t="s">
        <v>190</v>
      </c>
      <c r="J250" s="572">
        <v>89.25</v>
      </c>
      <c r="K250" s="573" t="s">
        <v>716</v>
      </c>
      <c r="L250" s="572">
        <v>65.63</v>
      </c>
      <c r="M250" s="571">
        <v>8.32</v>
      </c>
      <c r="N250" s="570">
        <v>546</v>
      </c>
      <c r="V250" s="674"/>
      <c r="W250" s="675"/>
      <c r="X250" s="675" t="s">
        <v>2567</v>
      </c>
      <c r="AC250" s="675"/>
      <c r="AE250" s="680"/>
    </row>
    <row r="251" spans="1:31" s="536" customFormat="1" ht="12" x14ac:dyDescent="0.2">
      <c r="A251" s="569"/>
      <c r="B251" s="656"/>
      <c r="C251" s="661" t="s">
        <v>717</v>
      </c>
      <c r="D251" s="662"/>
      <c r="E251" s="662"/>
      <c r="F251" s="563"/>
      <c r="G251" s="563"/>
      <c r="H251" s="563"/>
      <c r="I251" s="563"/>
      <c r="J251" s="566"/>
      <c r="K251" s="563"/>
      <c r="L251" s="566"/>
      <c r="M251" s="565"/>
      <c r="N251" s="564"/>
      <c r="V251" s="674"/>
      <c r="W251" s="675"/>
      <c r="X251" s="675"/>
      <c r="AC251" s="675"/>
      <c r="AE251" s="680"/>
    </row>
    <row r="252" spans="1:31" s="536" customFormat="1" ht="22.5" x14ac:dyDescent="0.2">
      <c r="A252" s="609"/>
      <c r="B252" s="552" t="s">
        <v>718</v>
      </c>
      <c r="C252" s="1822" t="s">
        <v>719</v>
      </c>
      <c r="D252" s="1822"/>
      <c r="E252" s="1822"/>
      <c r="F252" s="1822"/>
      <c r="G252" s="1822"/>
      <c r="H252" s="1822"/>
      <c r="I252" s="1822"/>
      <c r="J252" s="1822"/>
      <c r="K252" s="1822"/>
      <c r="L252" s="1822"/>
      <c r="M252" s="1822"/>
      <c r="N252" s="1827"/>
      <c r="V252" s="674"/>
      <c r="W252" s="675"/>
      <c r="X252" s="675"/>
      <c r="Y252" s="537" t="s">
        <v>719</v>
      </c>
      <c r="AC252" s="675"/>
      <c r="AE252" s="680"/>
    </row>
    <row r="253" spans="1:31" s="536" customFormat="1" ht="22.5" x14ac:dyDescent="0.2">
      <c r="A253" s="575" t="s">
        <v>768</v>
      </c>
      <c r="B253" s="657" t="s">
        <v>2568</v>
      </c>
      <c r="C253" s="1823" t="s">
        <v>2569</v>
      </c>
      <c r="D253" s="1823"/>
      <c r="E253" s="1823"/>
      <c r="F253" s="573" t="s">
        <v>617</v>
      </c>
      <c r="G253" s="573"/>
      <c r="H253" s="573"/>
      <c r="I253" s="573" t="s">
        <v>189</v>
      </c>
      <c r="J253" s="572">
        <v>0.62</v>
      </c>
      <c r="K253" s="573"/>
      <c r="L253" s="572">
        <v>3.1</v>
      </c>
      <c r="M253" s="571"/>
      <c r="N253" s="570"/>
      <c r="V253" s="674"/>
      <c r="W253" s="675"/>
      <c r="X253" s="675" t="s">
        <v>2569</v>
      </c>
      <c r="AC253" s="675"/>
      <c r="AE253" s="680"/>
    </row>
    <row r="254" spans="1:31" s="536" customFormat="1" ht="12" x14ac:dyDescent="0.2">
      <c r="A254" s="569"/>
      <c r="B254" s="656"/>
      <c r="C254" s="661" t="s">
        <v>717</v>
      </c>
      <c r="D254" s="662"/>
      <c r="E254" s="662"/>
      <c r="F254" s="563"/>
      <c r="G254" s="563"/>
      <c r="H254" s="563"/>
      <c r="I254" s="563"/>
      <c r="J254" s="566"/>
      <c r="K254" s="563"/>
      <c r="L254" s="566"/>
      <c r="M254" s="565"/>
      <c r="N254" s="564"/>
      <c r="V254" s="674"/>
      <c r="W254" s="675"/>
      <c r="X254" s="675"/>
      <c r="AC254" s="675"/>
      <c r="AE254" s="680"/>
    </row>
    <row r="255" spans="1:31" s="536" customFormat="1" ht="33.75" x14ac:dyDescent="0.2">
      <c r="A255" s="575" t="s">
        <v>769</v>
      </c>
      <c r="B255" s="657" t="s">
        <v>2570</v>
      </c>
      <c r="C255" s="1823" t="s">
        <v>2571</v>
      </c>
      <c r="D255" s="1823"/>
      <c r="E255" s="1823"/>
      <c r="F255" s="573" t="s">
        <v>617</v>
      </c>
      <c r="G255" s="573"/>
      <c r="H255" s="573"/>
      <c r="I255" s="573" t="s">
        <v>190</v>
      </c>
      <c r="J255" s="572">
        <v>28.58</v>
      </c>
      <c r="K255" s="573"/>
      <c r="L255" s="572">
        <v>171.48</v>
      </c>
      <c r="M255" s="571"/>
      <c r="N255" s="570"/>
      <c r="V255" s="674"/>
      <c r="W255" s="675"/>
      <c r="X255" s="675" t="s">
        <v>2571</v>
      </c>
      <c r="AC255" s="675"/>
      <c r="AE255" s="680"/>
    </row>
    <row r="256" spans="1:31" s="536" customFormat="1" ht="12" x14ac:dyDescent="0.2">
      <c r="A256" s="569"/>
      <c r="B256" s="656"/>
      <c r="C256" s="661" t="s">
        <v>717</v>
      </c>
      <c r="D256" s="662"/>
      <c r="E256" s="662"/>
      <c r="F256" s="563"/>
      <c r="G256" s="563"/>
      <c r="H256" s="563"/>
      <c r="I256" s="563"/>
      <c r="J256" s="566"/>
      <c r="K256" s="563"/>
      <c r="L256" s="566"/>
      <c r="M256" s="565"/>
      <c r="N256" s="564"/>
      <c r="V256" s="674"/>
      <c r="W256" s="675"/>
      <c r="X256" s="675"/>
      <c r="AC256" s="675"/>
      <c r="AE256" s="680"/>
    </row>
    <row r="257" spans="1:31" s="536" customFormat="1" ht="12" x14ac:dyDescent="0.2">
      <c r="A257" s="676"/>
      <c r="B257" s="655"/>
      <c r="C257" s="1822" t="s">
        <v>2572</v>
      </c>
      <c r="D257" s="1822"/>
      <c r="E257" s="1822"/>
      <c r="F257" s="1822"/>
      <c r="G257" s="1822"/>
      <c r="H257" s="1822"/>
      <c r="I257" s="1822"/>
      <c r="J257" s="1822"/>
      <c r="K257" s="1822"/>
      <c r="L257" s="1822"/>
      <c r="M257" s="1822"/>
      <c r="N257" s="1827"/>
      <c r="V257" s="674"/>
      <c r="W257" s="675"/>
      <c r="X257" s="675"/>
      <c r="AC257" s="675"/>
      <c r="AD257" s="537" t="s">
        <v>2572</v>
      </c>
      <c r="AE257" s="680"/>
    </row>
    <row r="258" spans="1:31" s="536" customFormat="1" ht="33.75" x14ac:dyDescent="0.2">
      <c r="A258" s="575" t="s">
        <v>770</v>
      </c>
      <c r="B258" s="657" t="s">
        <v>2573</v>
      </c>
      <c r="C258" s="1823" t="s">
        <v>2574</v>
      </c>
      <c r="D258" s="1823"/>
      <c r="E258" s="1823"/>
      <c r="F258" s="573" t="s">
        <v>617</v>
      </c>
      <c r="G258" s="573"/>
      <c r="H258" s="573"/>
      <c r="I258" s="573" t="s">
        <v>186</v>
      </c>
      <c r="J258" s="572">
        <v>41.33</v>
      </c>
      <c r="K258" s="573"/>
      <c r="L258" s="572">
        <v>82.66</v>
      </c>
      <c r="M258" s="571"/>
      <c r="N258" s="570"/>
      <c r="V258" s="674"/>
      <c r="W258" s="675"/>
      <c r="X258" s="675" t="s">
        <v>2574</v>
      </c>
      <c r="AC258" s="675"/>
      <c r="AE258" s="680"/>
    </row>
    <row r="259" spans="1:31" s="536" customFormat="1" ht="12" x14ac:dyDescent="0.2">
      <c r="A259" s="569"/>
      <c r="B259" s="656"/>
      <c r="C259" s="661" t="s">
        <v>717</v>
      </c>
      <c r="D259" s="662"/>
      <c r="E259" s="662"/>
      <c r="F259" s="563"/>
      <c r="G259" s="563"/>
      <c r="H259" s="563"/>
      <c r="I259" s="563"/>
      <c r="J259" s="566"/>
      <c r="K259" s="563"/>
      <c r="L259" s="566"/>
      <c r="M259" s="565"/>
      <c r="N259" s="564"/>
      <c r="V259" s="674"/>
      <c r="W259" s="675"/>
      <c r="X259" s="675"/>
      <c r="AC259" s="675"/>
      <c r="AE259" s="680"/>
    </row>
    <row r="260" spans="1:31" s="536" customFormat="1" ht="45" x14ac:dyDescent="0.2">
      <c r="A260" s="575" t="s">
        <v>771</v>
      </c>
      <c r="B260" s="657" t="s">
        <v>2575</v>
      </c>
      <c r="C260" s="1823" t="s">
        <v>2576</v>
      </c>
      <c r="D260" s="1823"/>
      <c r="E260" s="1823"/>
      <c r="F260" s="573" t="s">
        <v>617</v>
      </c>
      <c r="G260" s="573"/>
      <c r="H260" s="573"/>
      <c r="I260" s="573" t="s">
        <v>186</v>
      </c>
      <c r="J260" s="572">
        <v>116.96</v>
      </c>
      <c r="K260" s="573"/>
      <c r="L260" s="572">
        <v>233.92</v>
      </c>
      <c r="M260" s="571"/>
      <c r="N260" s="570"/>
      <c r="V260" s="674"/>
      <c r="W260" s="675"/>
      <c r="X260" s="675" t="s">
        <v>2576</v>
      </c>
      <c r="AC260" s="675"/>
      <c r="AE260" s="680"/>
    </row>
    <row r="261" spans="1:31" s="536" customFormat="1" ht="12" x14ac:dyDescent="0.2">
      <c r="A261" s="569"/>
      <c r="B261" s="656"/>
      <c r="C261" s="661" t="s">
        <v>717</v>
      </c>
      <c r="D261" s="662"/>
      <c r="E261" s="662"/>
      <c r="F261" s="563"/>
      <c r="G261" s="563"/>
      <c r="H261" s="563"/>
      <c r="I261" s="563"/>
      <c r="J261" s="566"/>
      <c r="K261" s="563"/>
      <c r="L261" s="566"/>
      <c r="M261" s="565"/>
      <c r="N261" s="564"/>
      <c r="V261" s="674"/>
      <c r="W261" s="675"/>
      <c r="X261" s="675"/>
      <c r="AC261" s="675"/>
      <c r="AE261" s="680"/>
    </row>
    <row r="262" spans="1:31" s="536" customFormat="1" ht="12" x14ac:dyDescent="0.2">
      <c r="A262" s="575" t="s">
        <v>772</v>
      </c>
      <c r="B262" s="657" t="s">
        <v>2577</v>
      </c>
      <c r="C262" s="1823" t="s">
        <v>2578</v>
      </c>
      <c r="D262" s="1823"/>
      <c r="E262" s="1823"/>
      <c r="F262" s="573" t="s">
        <v>638</v>
      </c>
      <c r="G262" s="573"/>
      <c r="H262" s="573"/>
      <c r="I262" s="573" t="s">
        <v>186</v>
      </c>
      <c r="J262" s="572"/>
      <c r="K262" s="573"/>
      <c r="L262" s="572"/>
      <c r="M262" s="571"/>
      <c r="N262" s="570"/>
      <c r="V262" s="674"/>
      <c r="W262" s="675"/>
      <c r="X262" s="675" t="s">
        <v>2578</v>
      </c>
      <c r="AC262" s="675"/>
      <c r="AE262" s="680"/>
    </row>
    <row r="263" spans="1:31" s="536" customFormat="1" ht="22.5" x14ac:dyDescent="0.2">
      <c r="A263" s="609"/>
      <c r="B263" s="552" t="s">
        <v>499</v>
      </c>
      <c r="C263" s="1822" t="s">
        <v>500</v>
      </c>
      <c r="D263" s="1822"/>
      <c r="E263" s="1822"/>
      <c r="F263" s="1822"/>
      <c r="G263" s="1822"/>
      <c r="H263" s="1822"/>
      <c r="I263" s="1822"/>
      <c r="J263" s="1822"/>
      <c r="K263" s="1822"/>
      <c r="L263" s="1822"/>
      <c r="M263" s="1822"/>
      <c r="N263" s="1827"/>
      <c r="V263" s="674"/>
      <c r="W263" s="675"/>
      <c r="X263" s="675"/>
      <c r="Y263" s="537" t="s">
        <v>500</v>
      </c>
      <c r="AC263" s="675"/>
      <c r="AE263" s="680"/>
    </row>
    <row r="264" spans="1:31" s="536" customFormat="1" ht="12" x14ac:dyDescent="0.2">
      <c r="A264" s="605"/>
      <c r="B264" s="552" t="s">
        <v>185</v>
      </c>
      <c r="C264" s="1822" t="s">
        <v>312</v>
      </c>
      <c r="D264" s="1822"/>
      <c r="E264" s="1822"/>
      <c r="F264" s="562"/>
      <c r="G264" s="562"/>
      <c r="H264" s="562"/>
      <c r="I264" s="562"/>
      <c r="J264" s="604">
        <v>1.23</v>
      </c>
      <c r="K264" s="562" t="s">
        <v>313</v>
      </c>
      <c r="L264" s="604">
        <v>3.08</v>
      </c>
      <c r="M264" s="603"/>
      <c r="N264" s="602"/>
      <c r="V264" s="674"/>
      <c r="W264" s="675"/>
      <c r="X264" s="675"/>
      <c r="Z264" s="537" t="s">
        <v>312</v>
      </c>
      <c r="AC264" s="675"/>
      <c r="AE264" s="680"/>
    </row>
    <row r="265" spans="1:31" s="536" customFormat="1" ht="12" x14ac:dyDescent="0.2">
      <c r="A265" s="605"/>
      <c r="B265" s="552" t="s">
        <v>188</v>
      </c>
      <c r="C265" s="1822" t="s">
        <v>475</v>
      </c>
      <c r="D265" s="1822"/>
      <c r="E265" s="1822"/>
      <c r="F265" s="562"/>
      <c r="G265" s="562"/>
      <c r="H265" s="562"/>
      <c r="I265" s="562"/>
      <c r="J265" s="604">
        <v>25.93</v>
      </c>
      <c r="K265" s="562"/>
      <c r="L265" s="604">
        <v>1.68</v>
      </c>
      <c r="M265" s="603"/>
      <c r="N265" s="602"/>
      <c r="V265" s="674"/>
      <c r="W265" s="675"/>
      <c r="X265" s="675"/>
      <c r="Z265" s="537" t="s">
        <v>475</v>
      </c>
      <c r="AC265" s="675"/>
      <c r="AE265" s="680"/>
    </row>
    <row r="266" spans="1:31" s="536" customFormat="1" ht="12" x14ac:dyDescent="0.2">
      <c r="A266" s="605"/>
      <c r="B266" s="552"/>
      <c r="C266" s="1822" t="s">
        <v>314</v>
      </c>
      <c r="D266" s="1822"/>
      <c r="E266" s="1822"/>
      <c r="F266" s="562" t="s">
        <v>315</v>
      </c>
      <c r="G266" s="562" t="s">
        <v>646</v>
      </c>
      <c r="H266" s="562" t="s">
        <v>313</v>
      </c>
      <c r="I266" s="562" t="s">
        <v>913</v>
      </c>
      <c r="J266" s="604"/>
      <c r="K266" s="562"/>
      <c r="L266" s="604"/>
      <c r="M266" s="603"/>
      <c r="N266" s="602"/>
      <c r="V266" s="674"/>
      <c r="W266" s="675"/>
      <c r="X266" s="675"/>
      <c r="AA266" s="537" t="s">
        <v>314</v>
      </c>
      <c r="AC266" s="675"/>
      <c r="AE266" s="680"/>
    </row>
    <row r="267" spans="1:31" s="536" customFormat="1" ht="12" x14ac:dyDescent="0.2">
      <c r="A267" s="605"/>
      <c r="B267" s="552"/>
      <c r="C267" s="1828" t="s">
        <v>318</v>
      </c>
      <c r="D267" s="1828"/>
      <c r="E267" s="1828"/>
      <c r="F267" s="608"/>
      <c r="G267" s="608"/>
      <c r="H267" s="608"/>
      <c r="I267" s="608"/>
      <c r="J267" s="607">
        <v>2.0699999999999998</v>
      </c>
      <c r="K267" s="608"/>
      <c r="L267" s="607">
        <v>4.76</v>
      </c>
      <c r="M267" s="601"/>
      <c r="N267" s="606"/>
      <c r="V267" s="674"/>
      <c r="W267" s="675"/>
      <c r="X267" s="675"/>
      <c r="AB267" s="537" t="s">
        <v>318</v>
      </c>
      <c r="AC267" s="675"/>
      <c r="AE267" s="680"/>
    </row>
    <row r="268" spans="1:31" s="536" customFormat="1" ht="12" x14ac:dyDescent="0.2">
      <c r="A268" s="605"/>
      <c r="B268" s="552"/>
      <c r="C268" s="1822" t="s">
        <v>319</v>
      </c>
      <c r="D268" s="1822"/>
      <c r="E268" s="1822"/>
      <c r="F268" s="562"/>
      <c r="G268" s="562"/>
      <c r="H268" s="562"/>
      <c r="I268" s="562"/>
      <c r="J268" s="604"/>
      <c r="K268" s="562"/>
      <c r="L268" s="604">
        <v>3.08</v>
      </c>
      <c r="M268" s="603"/>
      <c r="N268" s="602"/>
      <c r="V268" s="674"/>
      <c r="W268" s="675"/>
      <c r="X268" s="675"/>
      <c r="AA268" s="537" t="s">
        <v>319</v>
      </c>
      <c r="AC268" s="675"/>
      <c r="AE268" s="680"/>
    </row>
    <row r="269" spans="1:31" s="536" customFormat="1" ht="45" x14ac:dyDescent="0.2">
      <c r="A269" s="605"/>
      <c r="B269" s="552" t="s">
        <v>892</v>
      </c>
      <c r="C269" s="1822" t="s">
        <v>893</v>
      </c>
      <c r="D269" s="1822"/>
      <c r="E269" s="1822"/>
      <c r="F269" s="562" t="s">
        <v>322</v>
      </c>
      <c r="G269" s="562" t="s">
        <v>894</v>
      </c>
      <c r="H269" s="562"/>
      <c r="I269" s="562" t="s">
        <v>894</v>
      </c>
      <c r="J269" s="604"/>
      <c r="K269" s="562"/>
      <c r="L269" s="604">
        <v>3.73</v>
      </c>
      <c r="M269" s="603"/>
      <c r="N269" s="602"/>
      <c r="V269" s="674"/>
      <c r="W269" s="675"/>
      <c r="X269" s="675"/>
      <c r="AA269" s="537" t="s">
        <v>893</v>
      </c>
      <c r="AC269" s="675"/>
      <c r="AE269" s="680"/>
    </row>
    <row r="270" spans="1:31" s="536" customFormat="1" ht="45" x14ac:dyDescent="0.2">
      <c r="A270" s="605"/>
      <c r="B270" s="552" t="s">
        <v>895</v>
      </c>
      <c r="C270" s="1822" t="s">
        <v>896</v>
      </c>
      <c r="D270" s="1822"/>
      <c r="E270" s="1822"/>
      <c r="F270" s="562" t="s">
        <v>322</v>
      </c>
      <c r="G270" s="562" t="s">
        <v>897</v>
      </c>
      <c r="H270" s="562"/>
      <c r="I270" s="562" t="s">
        <v>897</v>
      </c>
      <c r="J270" s="604"/>
      <c r="K270" s="562"/>
      <c r="L270" s="604">
        <v>2.2200000000000002</v>
      </c>
      <c r="M270" s="603"/>
      <c r="N270" s="602"/>
      <c r="V270" s="674"/>
      <c r="W270" s="675"/>
      <c r="X270" s="675"/>
      <c r="AA270" s="537" t="s">
        <v>896</v>
      </c>
      <c r="AC270" s="675"/>
      <c r="AE270" s="680"/>
    </row>
    <row r="271" spans="1:31" s="536" customFormat="1" ht="12" x14ac:dyDescent="0.2">
      <c r="A271" s="569"/>
      <c r="B271" s="656"/>
      <c r="C271" s="1823" t="s">
        <v>327</v>
      </c>
      <c r="D271" s="1823"/>
      <c r="E271" s="1823"/>
      <c r="F271" s="573"/>
      <c r="G271" s="573"/>
      <c r="H271" s="573"/>
      <c r="I271" s="573"/>
      <c r="J271" s="572"/>
      <c r="K271" s="573"/>
      <c r="L271" s="572">
        <v>10.71</v>
      </c>
      <c r="M271" s="601"/>
      <c r="N271" s="570"/>
      <c r="V271" s="674"/>
      <c r="W271" s="675"/>
      <c r="X271" s="675"/>
      <c r="AC271" s="675" t="s">
        <v>327</v>
      </c>
      <c r="AE271" s="680"/>
    </row>
    <row r="272" spans="1:31" s="536" customFormat="1" ht="33.75" x14ac:dyDescent="0.2">
      <c r="A272" s="575" t="s">
        <v>677</v>
      </c>
      <c r="B272" s="657" t="s">
        <v>2579</v>
      </c>
      <c r="C272" s="1823" t="s">
        <v>2580</v>
      </c>
      <c r="D272" s="1823"/>
      <c r="E272" s="1823"/>
      <c r="F272" s="573" t="s">
        <v>617</v>
      </c>
      <c r="G272" s="573"/>
      <c r="H272" s="573"/>
      <c r="I272" s="573" t="s">
        <v>186</v>
      </c>
      <c r="J272" s="572">
        <v>120.2</v>
      </c>
      <c r="K272" s="573"/>
      <c r="L272" s="572">
        <v>240.4</v>
      </c>
      <c r="M272" s="571"/>
      <c r="N272" s="570"/>
      <c r="V272" s="674"/>
      <c r="W272" s="675"/>
      <c r="X272" s="675" t="s">
        <v>2580</v>
      </c>
      <c r="AC272" s="675"/>
      <c r="AE272" s="680"/>
    </row>
    <row r="273" spans="1:31" s="536" customFormat="1" ht="12" x14ac:dyDescent="0.2">
      <c r="A273" s="569"/>
      <c r="B273" s="656"/>
      <c r="C273" s="661" t="s">
        <v>717</v>
      </c>
      <c r="D273" s="662"/>
      <c r="E273" s="662"/>
      <c r="F273" s="563"/>
      <c r="G273" s="563"/>
      <c r="H273" s="563"/>
      <c r="I273" s="563"/>
      <c r="J273" s="566"/>
      <c r="K273" s="563"/>
      <c r="L273" s="566"/>
      <c r="M273" s="565"/>
      <c r="N273" s="564"/>
      <c r="V273" s="674"/>
      <c r="W273" s="675"/>
      <c r="X273" s="675"/>
      <c r="AC273" s="675"/>
      <c r="AE273" s="680"/>
    </row>
    <row r="274" spans="1:31" s="536" customFormat="1" ht="12" x14ac:dyDescent="0.2">
      <c r="A274" s="1830" t="s">
        <v>2581</v>
      </c>
      <c r="B274" s="1831"/>
      <c r="C274" s="1831"/>
      <c r="D274" s="1831"/>
      <c r="E274" s="1831"/>
      <c r="F274" s="1831"/>
      <c r="G274" s="1831"/>
      <c r="H274" s="1831"/>
      <c r="I274" s="1831"/>
      <c r="J274" s="1831"/>
      <c r="K274" s="1831"/>
      <c r="L274" s="1831"/>
      <c r="M274" s="1831"/>
      <c r="N274" s="1832"/>
      <c r="V274" s="674"/>
      <c r="W274" s="675" t="s">
        <v>2581</v>
      </c>
      <c r="X274" s="675"/>
      <c r="AC274" s="675"/>
      <c r="AE274" s="680"/>
    </row>
    <row r="275" spans="1:31" s="536" customFormat="1" ht="45" x14ac:dyDescent="0.2">
      <c r="A275" s="575" t="s">
        <v>326</v>
      </c>
      <c r="B275" s="657" t="s">
        <v>2582</v>
      </c>
      <c r="C275" s="1823" t="s">
        <v>2583</v>
      </c>
      <c r="D275" s="1823"/>
      <c r="E275" s="1823"/>
      <c r="F275" s="573" t="s">
        <v>2278</v>
      </c>
      <c r="G275" s="573"/>
      <c r="H275" s="573"/>
      <c r="I275" s="573" t="s">
        <v>2584</v>
      </c>
      <c r="J275" s="572"/>
      <c r="K275" s="573"/>
      <c r="L275" s="572"/>
      <c r="M275" s="571"/>
      <c r="N275" s="570"/>
      <c r="V275" s="674"/>
      <c r="W275" s="675"/>
      <c r="X275" s="675" t="s">
        <v>2583</v>
      </c>
      <c r="AC275" s="675"/>
      <c r="AE275" s="680"/>
    </row>
    <row r="276" spans="1:31" s="536" customFormat="1" ht="12" x14ac:dyDescent="0.2">
      <c r="A276" s="676"/>
      <c r="B276" s="655"/>
      <c r="C276" s="1822" t="s">
        <v>2585</v>
      </c>
      <c r="D276" s="1822"/>
      <c r="E276" s="1822"/>
      <c r="F276" s="1822"/>
      <c r="G276" s="1822"/>
      <c r="H276" s="1822"/>
      <c r="I276" s="1822"/>
      <c r="J276" s="1822"/>
      <c r="K276" s="1822"/>
      <c r="L276" s="1822"/>
      <c r="M276" s="1822"/>
      <c r="N276" s="1827"/>
      <c r="V276" s="674"/>
      <c r="W276" s="675"/>
      <c r="X276" s="675"/>
      <c r="AC276" s="675"/>
      <c r="AD276" s="537" t="s">
        <v>2585</v>
      </c>
      <c r="AE276" s="680"/>
    </row>
    <row r="277" spans="1:31" s="536" customFormat="1" ht="22.5" x14ac:dyDescent="0.2">
      <c r="A277" s="609"/>
      <c r="B277" s="552" t="s">
        <v>499</v>
      </c>
      <c r="C277" s="1822" t="s">
        <v>500</v>
      </c>
      <c r="D277" s="1822"/>
      <c r="E277" s="1822"/>
      <c r="F277" s="1822"/>
      <c r="G277" s="1822"/>
      <c r="H277" s="1822"/>
      <c r="I277" s="1822"/>
      <c r="J277" s="1822"/>
      <c r="K277" s="1822"/>
      <c r="L277" s="1822"/>
      <c r="M277" s="1822"/>
      <c r="N277" s="1827"/>
      <c r="V277" s="674"/>
      <c r="W277" s="675"/>
      <c r="X277" s="675"/>
      <c r="Y277" s="537" t="s">
        <v>500</v>
      </c>
      <c r="AC277" s="675"/>
      <c r="AE277" s="680"/>
    </row>
    <row r="278" spans="1:31" s="536" customFormat="1" ht="12" x14ac:dyDescent="0.2">
      <c r="A278" s="605"/>
      <c r="B278" s="552" t="s">
        <v>185</v>
      </c>
      <c r="C278" s="1822" t="s">
        <v>312</v>
      </c>
      <c r="D278" s="1822"/>
      <c r="E278" s="1822"/>
      <c r="F278" s="562"/>
      <c r="G278" s="562"/>
      <c r="H278" s="562"/>
      <c r="I278" s="562"/>
      <c r="J278" s="604">
        <v>21.82</v>
      </c>
      <c r="K278" s="562" t="s">
        <v>313</v>
      </c>
      <c r="L278" s="604">
        <v>95.46</v>
      </c>
      <c r="M278" s="603"/>
      <c r="N278" s="602"/>
      <c r="V278" s="674"/>
      <c r="W278" s="675"/>
      <c r="X278" s="675"/>
      <c r="Z278" s="537" t="s">
        <v>312</v>
      </c>
      <c r="AC278" s="675"/>
      <c r="AE278" s="680"/>
    </row>
    <row r="279" spans="1:31" s="536" customFormat="1" ht="12" x14ac:dyDescent="0.2">
      <c r="A279" s="605"/>
      <c r="B279" s="552" t="s">
        <v>186</v>
      </c>
      <c r="C279" s="1822" t="s">
        <v>344</v>
      </c>
      <c r="D279" s="1822"/>
      <c r="E279" s="1822"/>
      <c r="F279" s="562"/>
      <c r="G279" s="562"/>
      <c r="H279" s="562"/>
      <c r="I279" s="562"/>
      <c r="J279" s="604">
        <v>17.27</v>
      </c>
      <c r="K279" s="562" t="s">
        <v>313</v>
      </c>
      <c r="L279" s="604">
        <v>75.56</v>
      </c>
      <c r="M279" s="603"/>
      <c r="N279" s="602"/>
      <c r="V279" s="674"/>
      <c r="W279" s="675"/>
      <c r="X279" s="675"/>
      <c r="Z279" s="537" t="s">
        <v>344</v>
      </c>
      <c r="AC279" s="675"/>
      <c r="AE279" s="680"/>
    </row>
    <row r="280" spans="1:31" s="536" customFormat="1" ht="12" x14ac:dyDescent="0.2">
      <c r="A280" s="605"/>
      <c r="B280" s="552" t="s">
        <v>187</v>
      </c>
      <c r="C280" s="1822" t="s">
        <v>345</v>
      </c>
      <c r="D280" s="1822"/>
      <c r="E280" s="1822"/>
      <c r="F280" s="562"/>
      <c r="G280" s="562"/>
      <c r="H280" s="562"/>
      <c r="I280" s="562"/>
      <c r="J280" s="604">
        <v>2.9</v>
      </c>
      <c r="K280" s="562" t="s">
        <v>313</v>
      </c>
      <c r="L280" s="604">
        <v>12.69</v>
      </c>
      <c r="M280" s="603"/>
      <c r="N280" s="602"/>
      <c r="V280" s="674"/>
      <c r="W280" s="675"/>
      <c r="X280" s="675"/>
      <c r="Z280" s="537" t="s">
        <v>345</v>
      </c>
      <c r="AC280" s="675"/>
      <c r="AE280" s="680"/>
    </row>
    <row r="281" spans="1:31" s="536" customFormat="1" ht="12" x14ac:dyDescent="0.2">
      <c r="A281" s="605"/>
      <c r="B281" s="552" t="s">
        <v>188</v>
      </c>
      <c r="C281" s="1822" t="s">
        <v>475</v>
      </c>
      <c r="D281" s="1822"/>
      <c r="E281" s="1822"/>
      <c r="F281" s="562"/>
      <c r="G281" s="562"/>
      <c r="H281" s="562"/>
      <c r="I281" s="562"/>
      <c r="J281" s="604">
        <v>89.78</v>
      </c>
      <c r="K281" s="562"/>
      <c r="L281" s="604">
        <v>314.23</v>
      </c>
      <c r="M281" s="603"/>
      <c r="N281" s="602"/>
      <c r="V281" s="674"/>
      <c r="W281" s="675"/>
      <c r="X281" s="675"/>
      <c r="Z281" s="537" t="s">
        <v>475</v>
      </c>
      <c r="AC281" s="675"/>
      <c r="AE281" s="680"/>
    </row>
    <row r="282" spans="1:31" s="536" customFormat="1" ht="22.5" x14ac:dyDescent="0.2">
      <c r="A282" s="676"/>
      <c r="B282" s="677" t="s">
        <v>2586</v>
      </c>
      <c r="C282" s="1829" t="s">
        <v>2587</v>
      </c>
      <c r="D282" s="1829"/>
      <c r="E282" s="1829"/>
      <c r="F282" s="678" t="s">
        <v>483</v>
      </c>
      <c r="G282" s="678" t="s">
        <v>195</v>
      </c>
      <c r="H282" s="678"/>
      <c r="I282" s="678" t="s">
        <v>2588</v>
      </c>
      <c r="J282" s="552"/>
      <c r="K282" s="562"/>
      <c r="L282" s="604"/>
      <c r="M282" s="562"/>
      <c r="N282" s="679"/>
      <c r="V282" s="674"/>
      <c r="W282" s="675"/>
      <c r="X282" s="675"/>
      <c r="AC282" s="675"/>
      <c r="AE282" s="680" t="s">
        <v>2587</v>
      </c>
    </row>
    <row r="283" spans="1:31" s="536" customFormat="1" ht="33.75" x14ac:dyDescent="0.2">
      <c r="A283" s="676"/>
      <c r="B283" s="677" t="s">
        <v>2589</v>
      </c>
      <c r="C283" s="1829" t="s">
        <v>2590</v>
      </c>
      <c r="D283" s="1829"/>
      <c r="E283" s="1829"/>
      <c r="F283" s="678" t="s">
        <v>2591</v>
      </c>
      <c r="G283" s="678" t="s">
        <v>525</v>
      </c>
      <c r="H283" s="678"/>
      <c r="I283" s="678" t="s">
        <v>525</v>
      </c>
      <c r="J283" s="552"/>
      <c r="K283" s="562"/>
      <c r="L283" s="604"/>
      <c r="M283" s="562"/>
      <c r="N283" s="679"/>
      <c r="V283" s="674"/>
      <c r="W283" s="675"/>
      <c r="X283" s="675"/>
      <c r="AC283" s="675"/>
      <c r="AE283" s="680" t="s">
        <v>2590</v>
      </c>
    </row>
    <row r="284" spans="1:31" s="536" customFormat="1" ht="12" x14ac:dyDescent="0.2">
      <c r="A284" s="605"/>
      <c r="B284" s="552"/>
      <c r="C284" s="1822" t="s">
        <v>314</v>
      </c>
      <c r="D284" s="1822"/>
      <c r="E284" s="1822"/>
      <c r="F284" s="562" t="s">
        <v>315</v>
      </c>
      <c r="G284" s="562" t="s">
        <v>2592</v>
      </c>
      <c r="H284" s="562" t="s">
        <v>313</v>
      </c>
      <c r="I284" s="562" t="s">
        <v>2593</v>
      </c>
      <c r="J284" s="604"/>
      <c r="K284" s="562"/>
      <c r="L284" s="604"/>
      <c r="M284" s="603"/>
      <c r="N284" s="602"/>
      <c r="V284" s="674"/>
      <c r="W284" s="675"/>
      <c r="X284" s="675"/>
      <c r="AA284" s="537" t="s">
        <v>314</v>
      </c>
      <c r="AC284" s="675"/>
      <c r="AE284" s="680"/>
    </row>
    <row r="285" spans="1:31" s="536" customFormat="1" ht="12" x14ac:dyDescent="0.2">
      <c r="A285" s="605"/>
      <c r="B285" s="552"/>
      <c r="C285" s="1822" t="s">
        <v>348</v>
      </c>
      <c r="D285" s="1822"/>
      <c r="E285" s="1822"/>
      <c r="F285" s="562" t="s">
        <v>315</v>
      </c>
      <c r="G285" s="562" t="s">
        <v>1181</v>
      </c>
      <c r="H285" s="562" t="s">
        <v>313</v>
      </c>
      <c r="I285" s="562" t="s">
        <v>2594</v>
      </c>
      <c r="J285" s="604"/>
      <c r="K285" s="562"/>
      <c r="L285" s="604"/>
      <c r="M285" s="603"/>
      <c r="N285" s="602"/>
      <c r="V285" s="674"/>
      <c r="W285" s="675"/>
      <c r="X285" s="675"/>
      <c r="AA285" s="537" t="s">
        <v>348</v>
      </c>
      <c r="AC285" s="675"/>
      <c r="AE285" s="680"/>
    </row>
    <row r="286" spans="1:31" s="536" customFormat="1" ht="12" x14ac:dyDescent="0.2">
      <c r="A286" s="605"/>
      <c r="B286" s="552"/>
      <c r="C286" s="1828" t="s">
        <v>318</v>
      </c>
      <c r="D286" s="1828"/>
      <c r="E286" s="1828"/>
      <c r="F286" s="608"/>
      <c r="G286" s="608"/>
      <c r="H286" s="608"/>
      <c r="I286" s="608"/>
      <c r="J286" s="607">
        <v>128.87</v>
      </c>
      <c r="K286" s="608"/>
      <c r="L286" s="607">
        <v>485.25</v>
      </c>
      <c r="M286" s="601"/>
      <c r="N286" s="606"/>
      <c r="V286" s="674"/>
      <c r="W286" s="675"/>
      <c r="X286" s="675"/>
      <c r="AB286" s="537" t="s">
        <v>318</v>
      </c>
      <c r="AC286" s="675"/>
      <c r="AE286" s="680"/>
    </row>
    <row r="287" spans="1:31" s="536" customFormat="1" ht="12" x14ac:dyDescent="0.2">
      <c r="A287" s="605"/>
      <c r="B287" s="552"/>
      <c r="C287" s="1822" t="s">
        <v>319</v>
      </c>
      <c r="D287" s="1822"/>
      <c r="E287" s="1822"/>
      <c r="F287" s="562"/>
      <c r="G287" s="562"/>
      <c r="H287" s="562"/>
      <c r="I287" s="562"/>
      <c r="J287" s="604"/>
      <c r="K287" s="562"/>
      <c r="L287" s="604">
        <v>108.15</v>
      </c>
      <c r="M287" s="603"/>
      <c r="N287" s="602"/>
      <c r="V287" s="674"/>
      <c r="W287" s="675"/>
      <c r="X287" s="675"/>
      <c r="AA287" s="537" t="s">
        <v>319</v>
      </c>
      <c r="AC287" s="675"/>
      <c r="AE287" s="680"/>
    </row>
    <row r="288" spans="1:31" s="536" customFormat="1" ht="33.75" x14ac:dyDescent="0.2">
      <c r="A288" s="605"/>
      <c r="B288" s="552" t="s">
        <v>2595</v>
      </c>
      <c r="C288" s="1822" t="s">
        <v>2596</v>
      </c>
      <c r="D288" s="1822"/>
      <c r="E288" s="1822"/>
      <c r="F288" s="562" t="s">
        <v>322</v>
      </c>
      <c r="G288" s="562" t="s">
        <v>1633</v>
      </c>
      <c r="H288" s="562"/>
      <c r="I288" s="562" t="s">
        <v>1633</v>
      </c>
      <c r="J288" s="604"/>
      <c r="K288" s="562"/>
      <c r="L288" s="604">
        <v>104.91</v>
      </c>
      <c r="M288" s="603"/>
      <c r="N288" s="602"/>
      <c r="V288" s="674"/>
      <c r="W288" s="675"/>
      <c r="X288" s="675"/>
      <c r="AA288" s="537" t="s">
        <v>2596</v>
      </c>
      <c r="AC288" s="675"/>
      <c r="AE288" s="680"/>
    </row>
    <row r="289" spans="1:33" s="536" customFormat="1" ht="33.75" x14ac:dyDescent="0.2">
      <c r="A289" s="605"/>
      <c r="B289" s="552" t="s">
        <v>2597</v>
      </c>
      <c r="C289" s="1822" t="s">
        <v>2598</v>
      </c>
      <c r="D289" s="1822"/>
      <c r="E289" s="1822"/>
      <c r="F289" s="562" t="s">
        <v>322</v>
      </c>
      <c r="G289" s="562" t="s">
        <v>789</v>
      </c>
      <c r="H289" s="562"/>
      <c r="I289" s="562" t="s">
        <v>789</v>
      </c>
      <c r="J289" s="604"/>
      <c r="K289" s="562"/>
      <c r="L289" s="604">
        <v>59.48</v>
      </c>
      <c r="M289" s="603"/>
      <c r="N289" s="602"/>
      <c r="V289" s="674"/>
      <c r="W289" s="675"/>
      <c r="X289" s="675"/>
      <c r="AA289" s="537" t="s">
        <v>2598</v>
      </c>
      <c r="AC289" s="675"/>
      <c r="AE289" s="680"/>
    </row>
    <row r="290" spans="1:33" s="536" customFormat="1" ht="12" x14ac:dyDescent="0.2">
      <c r="A290" s="569"/>
      <c r="B290" s="656"/>
      <c r="C290" s="1823" t="s">
        <v>327</v>
      </c>
      <c r="D290" s="1823"/>
      <c r="E290" s="1823"/>
      <c r="F290" s="573"/>
      <c r="G290" s="573"/>
      <c r="H290" s="573"/>
      <c r="I290" s="573"/>
      <c r="J290" s="572"/>
      <c r="K290" s="573"/>
      <c r="L290" s="572">
        <v>649.64</v>
      </c>
      <c r="M290" s="601"/>
      <c r="N290" s="570"/>
      <c r="V290" s="674"/>
      <c r="W290" s="675"/>
      <c r="X290" s="675"/>
      <c r="AC290" s="675" t="s">
        <v>327</v>
      </c>
      <c r="AE290" s="680"/>
    </row>
    <row r="291" spans="1:33" s="536" customFormat="1" ht="45" x14ac:dyDescent="0.2">
      <c r="A291" s="575" t="s">
        <v>774</v>
      </c>
      <c r="B291" s="657" t="s">
        <v>2599</v>
      </c>
      <c r="C291" s="1823" t="s">
        <v>2600</v>
      </c>
      <c r="D291" s="1823"/>
      <c r="E291" s="1823"/>
      <c r="F291" s="573" t="s">
        <v>2278</v>
      </c>
      <c r="G291" s="573"/>
      <c r="H291" s="573"/>
      <c r="I291" s="573" t="s">
        <v>185</v>
      </c>
      <c r="J291" s="572">
        <v>87.1</v>
      </c>
      <c r="K291" s="573"/>
      <c r="L291" s="572">
        <v>87.1</v>
      </c>
      <c r="M291" s="571"/>
      <c r="N291" s="570"/>
      <c r="V291" s="674"/>
      <c r="W291" s="675"/>
      <c r="X291" s="675" t="s">
        <v>2600</v>
      </c>
      <c r="AC291" s="675"/>
      <c r="AE291" s="680"/>
    </row>
    <row r="292" spans="1:33" s="536" customFormat="1" ht="12" x14ac:dyDescent="0.2">
      <c r="A292" s="569"/>
      <c r="B292" s="656"/>
      <c r="C292" s="661" t="s">
        <v>717</v>
      </c>
      <c r="D292" s="662"/>
      <c r="E292" s="662"/>
      <c r="F292" s="563"/>
      <c r="G292" s="563"/>
      <c r="H292" s="563"/>
      <c r="I292" s="563"/>
      <c r="J292" s="566"/>
      <c r="K292" s="563"/>
      <c r="L292" s="566"/>
      <c r="M292" s="565"/>
      <c r="N292" s="564"/>
      <c r="V292" s="674"/>
      <c r="W292" s="675"/>
      <c r="X292" s="675"/>
      <c r="AC292" s="675"/>
      <c r="AE292" s="680"/>
    </row>
    <row r="293" spans="1:33" s="536" customFormat="1" ht="12" x14ac:dyDescent="0.2">
      <c r="A293" s="676"/>
      <c r="B293" s="655"/>
      <c r="C293" s="1822" t="s">
        <v>2601</v>
      </c>
      <c r="D293" s="1822"/>
      <c r="E293" s="1822"/>
      <c r="F293" s="1822"/>
      <c r="G293" s="1822"/>
      <c r="H293" s="1822"/>
      <c r="I293" s="1822"/>
      <c r="J293" s="1822"/>
      <c r="K293" s="1822"/>
      <c r="L293" s="1822"/>
      <c r="M293" s="1822"/>
      <c r="N293" s="1827"/>
      <c r="V293" s="674"/>
      <c r="W293" s="675"/>
      <c r="X293" s="675"/>
      <c r="AC293" s="675"/>
      <c r="AD293" s="537" t="s">
        <v>2601</v>
      </c>
      <c r="AE293" s="680"/>
    </row>
    <row r="294" spans="1:33" s="536" customFormat="1" ht="45" x14ac:dyDescent="0.2">
      <c r="A294" s="575" t="s">
        <v>775</v>
      </c>
      <c r="B294" s="657" t="s">
        <v>2602</v>
      </c>
      <c r="C294" s="1823" t="s">
        <v>2603</v>
      </c>
      <c r="D294" s="1823"/>
      <c r="E294" s="1823"/>
      <c r="F294" s="573" t="s">
        <v>2278</v>
      </c>
      <c r="G294" s="573"/>
      <c r="H294" s="573"/>
      <c r="I294" s="573" t="s">
        <v>186</v>
      </c>
      <c r="J294" s="572">
        <v>112.2</v>
      </c>
      <c r="K294" s="573"/>
      <c r="L294" s="572">
        <v>224.4</v>
      </c>
      <c r="M294" s="571"/>
      <c r="N294" s="570"/>
      <c r="V294" s="674"/>
      <c r="W294" s="675"/>
      <c r="X294" s="675" t="s">
        <v>2603</v>
      </c>
      <c r="AC294" s="675"/>
      <c r="AE294" s="680"/>
    </row>
    <row r="295" spans="1:33" s="536" customFormat="1" ht="12" x14ac:dyDescent="0.2">
      <c r="A295" s="569"/>
      <c r="B295" s="656"/>
      <c r="C295" s="661" t="s">
        <v>717</v>
      </c>
      <c r="D295" s="662"/>
      <c r="E295" s="662"/>
      <c r="F295" s="563"/>
      <c r="G295" s="563"/>
      <c r="H295" s="563"/>
      <c r="I295" s="563"/>
      <c r="J295" s="566"/>
      <c r="K295" s="563"/>
      <c r="L295" s="566"/>
      <c r="M295" s="565"/>
      <c r="N295" s="564"/>
      <c r="V295" s="674"/>
      <c r="W295" s="675"/>
      <c r="X295" s="675"/>
      <c r="AC295" s="675"/>
      <c r="AE295" s="680"/>
    </row>
    <row r="296" spans="1:33" s="536" customFormat="1" ht="12" x14ac:dyDescent="0.2">
      <c r="A296" s="676"/>
      <c r="B296" s="655"/>
      <c r="C296" s="1822" t="s">
        <v>2604</v>
      </c>
      <c r="D296" s="1822"/>
      <c r="E296" s="1822"/>
      <c r="F296" s="1822"/>
      <c r="G296" s="1822"/>
      <c r="H296" s="1822"/>
      <c r="I296" s="1822"/>
      <c r="J296" s="1822"/>
      <c r="K296" s="1822"/>
      <c r="L296" s="1822"/>
      <c r="M296" s="1822"/>
      <c r="N296" s="1827"/>
      <c r="V296" s="674"/>
      <c r="W296" s="675"/>
      <c r="X296" s="675"/>
      <c r="AC296" s="675"/>
      <c r="AD296" s="537" t="s">
        <v>2604</v>
      </c>
      <c r="AE296" s="680"/>
    </row>
    <row r="297" spans="1:33" s="536" customFormat="1" ht="45" x14ac:dyDescent="0.2">
      <c r="A297" s="575" t="s">
        <v>776</v>
      </c>
      <c r="B297" s="657" t="s">
        <v>2605</v>
      </c>
      <c r="C297" s="1823" t="s">
        <v>2606</v>
      </c>
      <c r="D297" s="1823"/>
      <c r="E297" s="1823"/>
      <c r="F297" s="573" t="s">
        <v>2278</v>
      </c>
      <c r="G297" s="573"/>
      <c r="H297" s="573"/>
      <c r="I297" s="573" t="s">
        <v>1692</v>
      </c>
      <c r="J297" s="572">
        <v>133.30000000000001</v>
      </c>
      <c r="K297" s="573"/>
      <c r="L297" s="572">
        <v>66.650000000000006</v>
      </c>
      <c r="M297" s="571"/>
      <c r="N297" s="570"/>
      <c r="V297" s="674"/>
      <c r="W297" s="675"/>
      <c r="X297" s="675" t="s">
        <v>2606</v>
      </c>
      <c r="AC297" s="675"/>
      <c r="AE297" s="680"/>
    </row>
    <row r="298" spans="1:33" s="536" customFormat="1" ht="12" x14ac:dyDescent="0.2">
      <c r="A298" s="569"/>
      <c r="B298" s="656"/>
      <c r="C298" s="661" t="s">
        <v>717</v>
      </c>
      <c r="D298" s="662"/>
      <c r="E298" s="662"/>
      <c r="F298" s="563"/>
      <c r="G298" s="563"/>
      <c r="H298" s="563"/>
      <c r="I298" s="563"/>
      <c r="J298" s="566"/>
      <c r="K298" s="563"/>
      <c r="L298" s="566"/>
      <c r="M298" s="565"/>
      <c r="N298" s="564"/>
      <c r="V298" s="674"/>
      <c r="W298" s="675"/>
      <c r="X298" s="675"/>
      <c r="AC298" s="675"/>
      <c r="AE298" s="680"/>
    </row>
    <row r="299" spans="1:33" s="536" customFormat="1" ht="12" x14ac:dyDescent="0.2">
      <c r="A299" s="676"/>
      <c r="B299" s="655"/>
      <c r="C299" s="1822" t="s">
        <v>2607</v>
      </c>
      <c r="D299" s="1822"/>
      <c r="E299" s="1822"/>
      <c r="F299" s="1822"/>
      <c r="G299" s="1822"/>
      <c r="H299" s="1822"/>
      <c r="I299" s="1822"/>
      <c r="J299" s="1822"/>
      <c r="K299" s="1822"/>
      <c r="L299" s="1822"/>
      <c r="M299" s="1822"/>
      <c r="N299" s="1827"/>
      <c r="V299" s="674"/>
      <c r="W299" s="675"/>
      <c r="X299" s="675"/>
      <c r="AC299" s="675"/>
      <c r="AD299" s="537" t="s">
        <v>2607</v>
      </c>
      <c r="AE299" s="680"/>
    </row>
    <row r="300" spans="1:33" s="536" customFormat="1" ht="1.5" customHeight="1" x14ac:dyDescent="0.2">
      <c r="A300" s="563"/>
      <c r="B300" s="656"/>
      <c r="C300" s="656"/>
      <c r="D300" s="656"/>
      <c r="E300" s="656"/>
      <c r="F300" s="563"/>
      <c r="G300" s="563"/>
      <c r="H300" s="563"/>
      <c r="I300" s="563"/>
      <c r="J300" s="546"/>
      <c r="K300" s="563"/>
      <c r="L300" s="546"/>
      <c r="M300" s="562"/>
      <c r="N300" s="546"/>
      <c r="V300" s="674"/>
      <c r="W300" s="675"/>
      <c r="X300" s="675"/>
      <c r="AC300" s="675"/>
      <c r="AE300" s="680"/>
    </row>
    <row r="301" spans="1:33" s="536" customFormat="1" ht="12" x14ac:dyDescent="0.2">
      <c r="A301" s="557"/>
      <c r="B301" s="556"/>
      <c r="C301" s="1823" t="s">
        <v>2608</v>
      </c>
      <c r="D301" s="1823"/>
      <c r="E301" s="1823"/>
      <c r="F301" s="1823"/>
      <c r="G301" s="1823"/>
      <c r="H301" s="1823"/>
      <c r="I301" s="1823"/>
      <c r="J301" s="1823"/>
      <c r="K301" s="1823"/>
      <c r="L301" s="555"/>
      <c r="M301" s="554"/>
      <c r="N301" s="553"/>
      <c r="V301" s="674"/>
      <c r="W301" s="675"/>
      <c r="X301" s="675"/>
      <c r="AC301" s="675"/>
      <c r="AE301" s="680"/>
      <c r="AF301" s="675" t="s">
        <v>2608</v>
      </c>
    </row>
    <row r="302" spans="1:33" s="536" customFormat="1" ht="12" x14ac:dyDescent="0.2">
      <c r="A302" s="548"/>
      <c r="B302" s="552"/>
      <c r="C302" s="1822" t="s">
        <v>403</v>
      </c>
      <c r="D302" s="1822"/>
      <c r="E302" s="1822"/>
      <c r="F302" s="1822"/>
      <c r="G302" s="1822"/>
      <c r="H302" s="1822"/>
      <c r="I302" s="1822"/>
      <c r="J302" s="1822"/>
      <c r="K302" s="1822"/>
      <c r="L302" s="551">
        <v>14079.65</v>
      </c>
      <c r="M302" s="550"/>
      <c r="N302" s="549"/>
      <c r="V302" s="674"/>
      <c r="W302" s="675"/>
      <c r="X302" s="675"/>
      <c r="AC302" s="675"/>
      <c r="AE302" s="680"/>
      <c r="AF302" s="675"/>
      <c r="AG302" s="537" t="s">
        <v>403</v>
      </c>
    </row>
    <row r="303" spans="1:33" s="536" customFormat="1" ht="12" x14ac:dyDescent="0.2">
      <c r="A303" s="548"/>
      <c r="B303" s="552"/>
      <c r="C303" s="1822" t="s">
        <v>204</v>
      </c>
      <c r="D303" s="1822"/>
      <c r="E303" s="1822"/>
      <c r="F303" s="1822"/>
      <c r="G303" s="1822"/>
      <c r="H303" s="1822"/>
      <c r="I303" s="1822"/>
      <c r="J303" s="1822"/>
      <c r="K303" s="1822"/>
      <c r="L303" s="551"/>
      <c r="M303" s="550"/>
      <c r="N303" s="549"/>
      <c r="V303" s="674"/>
      <c r="W303" s="675"/>
      <c r="X303" s="675"/>
      <c r="AC303" s="675"/>
      <c r="AE303" s="680"/>
      <c r="AF303" s="675"/>
      <c r="AG303" s="537" t="s">
        <v>204</v>
      </c>
    </row>
    <row r="304" spans="1:33" s="536" customFormat="1" ht="12" x14ac:dyDescent="0.2">
      <c r="A304" s="548"/>
      <c r="B304" s="552"/>
      <c r="C304" s="1822" t="s">
        <v>404</v>
      </c>
      <c r="D304" s="1822"/>
      <c r="E304" s="1822"/>
      <c r="F304" s="1822"/>
      <c r="G304" s="1822"/>
      <c r="H304" s="1822"/>
      <c r="I304" s="1822"/>
      <c r="J304" s="1822"/>
      <c r="K304" s="1822"/>
      <c r="L304" s="551">
        <v>325.75</v>
      </c>
      <c r="M304" s="550"/>
      <c r="N304" s="549"/>
      <c r="V304" s="674"/>
      <c r="W304" s="675"/>
      <c r="X304" s="675"/>
      <c r="AC304" s="675"/>
      <c r="AE304" s="680"/>
      <c r="AF304" s="675"/>
      <c r="AG304" s="537" t="s">
        <v>404</v>
      </c>
    </row>
    <row r="305" spans="1:33" s="536" customFormat="1" ht="12" x14ac:dyDescent="0.2">
      <c r="A305" s="548"/>
      <c r="B305" s="552"/>
      <c r="C305" s="1822" t="s">
        <v>405</v>
      </c>
      <c r="D305" s="1822"/>
      <c r="E305" s="1822"/>
      <c r="F305" s="1822"/>
      <c r="G305" s="1822"/>
      <c r="H305" s="1822"/>
      <c r="I305" s="1822"/>
      <c r="J305" s="1822"/>
      <c r="K305" s="1822"/>
      <c r="L305" s="551">
        <v>208.71</v>
      </c>
      <c r="M305" s="550"/>
      <c r="N305" s="549"/>
      <c r="V305" s="674"/>
      <c r="W305" s="675"/>
      <c r="X305" s="675"/>
      <c r="AC305" s="675"/>
      <c r="AE305" s="680"/>
      <c r="AF305" s="675"/>
      <c r="AG305" s="537" t="s">
        <v>405</v>
      </c>
    </row>
    <row r="306" spans="1:33" s="536" customFormat="1" ht="12" x14ac:dyDescent="0.2">
      <c r="A306" s="548"/>
      <c r="B306" s="552"/>
      <c r="C306" s="1822" t="s">
        <v>406</v>
      </c>
      <c r="D306" s="1822"/>
      <c r="E306" s="1822"/>
      <c r="F306" s="1822"/>
      <c r="G306" s="1822"/>
      <c r="H306" s="1822"/>
      <c r="I306" s="1822"/>
      <c r="J306" s="1822"/>
      <c r="K306" s="1822"/>
      <c r="L306" s="551">
        <v>25.64</v>
      </c>
      <c r="M306" s="550"/>
      <c r="N306" s="549"/>
      <c r="V306" s="674"/>
      <c r="W306" s="675"/>
      <c r="X306" s="675"/>
      <c r="AC306" s="675"/>
      <c r="AE306" s="680"/>
      <c r="AF306" s="675"/>
      <c r="AG306" s="537" t="s">
        <v>406</v>
      </c>
    </row>
    <row r="307" spans="1:33" s="536" customFormat="1" ht="12" x14ac:dyDescent="0.2">
      <c r="A307" s="548"/>
      <c r="B307" s="552"/>
      <c r="C307" s="1822" t="s">
        <v>480</v>
      </c>
      <c r="D307" s="1822"/>
      <c r="E307" s="1822"/>
      <c r="F307" s="1822"/>
      <c r="G307" s="1822"/>
      <c r="H307" s="1822"/>
      <c r="I307" s="1822"/>
      <c r="J307" s="1822"/>
      <c r="K307" s="1822"/>
      <c r="L307" s="551">
        <v>13545.19</v>
      </c>
      <c r="M307" s="550"/>
      <c r="N307" s="549"/>
      <c r="V307" s="674"/>
      <c r="W307" s="675"/>
      <c r="X307" s="675"/>
      <c r="AC307" s="675"/>
      <c r="AE307" s="680"/>
      <c r="AF307" s="675"/>
      <c r="AG307" s="537" t="s">
        <v>480</v>
      </c>
    </row>
    <row r="308" spans="1:33" s="536" customFormat="1" ht="12" x14ac:dyDescent="0.2">
      <c r="A308" s="548"/>
      <c r="B308" s="552"/>
      <c r="C308" s="1822" t="s">
        <v>407</v>
      </c>
      <c r="D308" s="1822"/>
      <c r="E308" s="1822"/>
      <c r="F308" s="1822"/>
      <c r="G308" s="1822"/>
      <c r="H308" s="1822"/>
      <c r="I308" s="1822"/>
      <c r="J308" s="1822"/>
      <c r="K308" s="1822"/>
      <c r="L308" s="551">
        <v>14712.1</v>
      </c>
      <c r="M308" s="550"/>
      <c r="N308" s="549"/>
      <c r="V308" s="674"/>
      <c r="W308" s="675"/>
      <c r="X308" s="675"/>
      <c r="AC308" s="675"/>
      <c r="AE308" s="680"/>
      <c r="AF308" s="675"/>
      <c r="AG308" s="537" t="s">
        <v>407</v>
      </c>
    </row>
    <row r="309" spans="1:33" s="536" customFormat="1" ht="12" x14ac:dyDescent="0.2">
      <c r="A309" s="548"/>
      <c r="B309" s="552"/>
      <c r="C309" s="1822" t="s">
        <v>204</v>
      </c>
      <c r="D309" s="1822"/>
      <c r="E309" s="1822"/>
      <c r="F309" s="1822"/>
      <c r="G309" s="1822"/>
      <c r="H309" s="1822"/>
      <c r="I309" s="1822"/>
      <c r="J309" s="1822"/>
      <c r="K309" s="1822"/>
      <c r="L309" s="551"/>
      <c r="M309" s="550"/>
      <c r="N309" s="549"/>
      <c r="V309" s="674"/>
      <c r="W309" s="675"/>
      <c r="X309" s="675"/>
      <c r="AC309" s="675"/>
      <c r="AE309" s="680"/>
      <c r="AF309" s="675"/>
      <c r="AG309" s="537" t="s">
        <v>204</v>
      </c>
    </row>
    <row r="310" spans="1:33" s="536" customFormat="1" ht="12" x14ac:dyDescent="0.2">
      <c r="A310" s="548"/>
      <c r="B310" s="552"/>
      <c r="C310" s="1822" t="s">
        <v>546</v>
      </c>
      <c r="D310" s="1822"/>
      <c r="E310" s="1822"/>
      <c r="F310" s="1822"/>
      <c r="G310" s="1822"/>
      <c r="H310" s="1822"/>
      <c r="I310" s="1822"/>
      <c r="J310" s="1822"/>
      <c r="K310" s="1822"/>
      <c r="L310" s="551">
        <v>325.75</v>
      </c>
      <c r="M310" s="550"/>
      <c r="N310" s="549"/>
      <c r="V310" s="674"/>
      <c r="W310" s="675"/>
      <c r="X310" s="675"/>
      <c r="AC310" s="675"/>
      <c r="AE310" s="680"/>
      <c r="AF310" s="675"/>
      <c r="AG310" s="537" t="s">
        <v>546</v>
      </c>
    </row>
    <row r="311" spans="1:33" s="536" customFormat="1" ht="12" x14ac:dyDescent="0.2">
      <c r="A311" s="548"/>
      <c r="B311" s="552"/>
      <c r="C311" s="1822" t="s">
        <v>442</v>
      </c>
      <c r="D311" s="1822"/>
      <c r="E311" s="1822"/>
      <c r="F311" s="1822"/>
      <c r="G311" s="1822"/>
      <c r="H311" s="1822"/>
      <c r="I311" s="1822"/>
      <c r="J311" s="1822"/>
      <c r="K311" s="1822"/>
      <c r="L311" s="551">
        <v>208.71</v>
      </c>
      <c r="M311" s="550"/>
      <c r="N311" s="549"/>
      <c r="V311" s="674"/>
      <c r="W311" s="675"/>
      <c r="X311" s="675"/>
      <c r="AC311" s="675"/>
      <c r="AE311" s="680"/>
      <c r="AF311" s="675"/>
      <c r="AG311" s="537" t="s">
        <v>442</v>
      </c>
    </row>
    <row r="312" spans="1:33" s="536" customFormat="1" ht="12" x14ac:dyDescent="0.2">
      <c r="A312" s="548"/>
      <c r="B312" s="552"/>
      <c r="C312" s="1822" t="s">
        <v>547</v>
      </c>
      <c r="D312" s="1822"/>
      <c r="E312" s="1822"/>
      <c r="F312" s="1822"/>
      <c r="G312" s="1822"/>
      <c r="H312" s="1822"/>
      <c r="I312" s="1822"/>
      <c r="J312" s="1822"/>
      <c r="K312" s="1822"/>
      <c r="L312" s="551">
        <v>13545.19</v>
      </c>
      <c r="M312" s="550"/>
      <c r="N312" s="549"/>
      <c r="V312" s="674"/>
      <c r="W312" s="675"/>
      <c r="X312" s="675"/>
      <c r="AC312" s="675"/>
      <c r="AE312" s="680"/>
      <c r="AF312" s="675"/>
      <c r="AG312" s="537" t="s">
        <v>547</v>
      </c>
    </row>
    <row r="313" spans="1:33" s="536" customFormat="1" ht="12" x14ac:dyDescent="0.2">
      <c r="A313" s="548"/>
      <c r="B313" s="552"/>
      <c r="C313" s="1822" t="s">
        <v>443</v>
      </c>
      <c r="D313" s="1822"/>
      <c r="E313" s="1822"/>
      <c r="F313" s="1822"/>
      <c r="G313" s="1822"/>
      <c r="H313" s="1822"/>
      <c r="I313" s="1822"/>
      <c r="J313" s="1822"/>
      <c r="K313" s="1822"/>
      <c r="L313" s="551">
        <v>396.42</v>
      </c>
      <c r="M313" s="550"/>
      <c r="N313" s="549"/>
      <c r="V313" s="674"/>
      <c r="W313" s="675"/>
      <c r="X313" s="675"/>
      <c r="AC313" s="675"/>
      <c r="AE313" s="680"/>
      <c r="AF313" s="675"/>
      <c r="AG313" s="537" t="s">
        <v>443</v>
      </c>
    </row>
    <row r="314" spans="1:33" s="536" customFormat="1" ht="12" x14ac:dyDescent="0.2">
      <c r="A314" s="548"/>
      <c r="B314" s="552"/>
      <c r="C314" s="1822" t="s">
        <v>444</v>
      </c>
      <c r="D314" s="1822"/>
      <c r="E314" s="1822"/>
      <c r="F314" s="1822"/>
      <c r="G314" s="1822"/>
      <c r="H314" s="1822"/>
      <c r="I314" s="1822"/>
      <c r="J314" s="1822"/>
      <c r="K314" s="1822"/>
      <c r="L314" s="551">
        <v>236.03</v>
      </c>
      <c r="M314" s="550"/>
      <c r="N314" s="549"/>
      <c r="V314" s="674"/>
      <c r="W314" s="675"/>
      <c r="X314" s="675"/>
      <c r="AC314" s="675"/>
      <c r="AE314" s="680"/>
      <c r="AF314" s="675"/>
      <c r="AG314" s="537" t="s">
        <v>444</v>
      </c>
    </row>
    <row r="315" spans="1:33" s="536" customFormat="1" ht="12" x14ac:dyDescent="0.2">
      <c r="A315" s="548"/>
      <c r="B315" s="552"/>
      <c r="C315" s="1822" t="s">
        <v>754</v>
      </c>
      <c r="D315" s="1822"/>
      <c r="E315" s="1822"/>
      <c r="F315" s="1822"/>
      <c r="G315" s="1822"/>
      <c r="H315" s="1822"/>
      <c r="I315" s="1822"/>
      <c r="J315" s="1822"/>
      <c r="K315" s="1822"/>
      <c r="L315" s="551">
        <v>538.26</v>
      </c>
      <c r="M315" s="550"/>
      <c r="N315" s="549"/>
      <c r="V315" s="674"/>
      <c r="W315" s="675"/>
      <c r="X315" s="675"/>
      <c r="AC315" s="675"/>
      <c r="AE315" s="680"/>
      <c r="AF315" s="675"/>
      <c r="AG315" s="537" t="s">
        <v>754</v>
      </c>
    </row>
    <row r="316" spans="1:33" s="536" customFormat="1" ht="12" x14ac:dyDescent="0.2">
      <c r="A316" s="548"/>
      <c r="B316" s="552"/>
      <c r="C316" s="1822" t="s">
        <v>2223</v>
      </c>
      <c r="D316" s="1822"/>
      <c r="E316" s="1822"/>
      <c r="F316" s="1822"/>
      <c r="G316" s="1822"/>
      <c r="H316" s="1822"/>
      <c r="I316" s="1822"/>
      <c r="J316" s="1822"/>
      <c r="K316" s="1822"/>
      <c r="L316" s="551">
        <v>316.77999999999997</v>
      </c>
      <c r="M316" s="550"/>
      <c r="N316" s="549"/>
      <c r="V316" s="674"/>
      <c r="W316" s="675"/>
      <c r="X316" s="675"/>
      <c r="AC316" s="675"/>
      <c r="AE316" s="680"/>
      <c r="AF316" s="675"/>
      <c r="AG316" s="537" t="s">
        <v>2223</v>
      </c>
    </row>
    <row r="317" spans="1:33" s="536" customFormat="1" ht="12" x14ac:dyDescent="0.2">
      <c r="A317" s="548"/>
      <c r="B317" s="552"/>
      <c r="C317" s="1822" t="s">
        <v>2224</v>
      </c>
      <c r="D317" s="1822"/>
      <c r="E317" s="1822"/>
      <c r="F317" s="1822"/>
      <c r="G317" s="1822"/>
      <c r="H317" s="1822"/>
      <c r="I317" s="1822"/>
      <c r="J317" s="1822"/>
      <c r="K317" s="1822"/>
      <c r="L317" s="551">
        <v>221.48</v>
      </c>
      <c r="M317" s="550"/>
      <c r="N317" s="549"/>
      <c r="V317" s="674"/>
      <c r="W317" s="675"/>
      <c r="X317" s="675"/>
      <c r="AC317" s="675"/>
      <c r="AE317" s="680"/>
      <c r="AF317" s="675"/>
      <c r="AG317" s="537" t="s">
        <v>2224</v>
      </c>
    </row>
    <row r="318" spans="1:33" s="536" customFormat="1" ht="12" x14ac:dyDescent="0.2">
      <c r="A318" s="548"/>
      <c r="B318" s="552"/>
      <c r="C318" s="1822" t="s">
        <v>415</v>
      </c>
      <c r="D318" s="1822"/>
      <c r="E318" s="1822"/>
      <c r="F318" s="1822"/>
      <c r="G318" s="1822"/>
      <c r="H318" s="1822"/>
      <c r="I318" s="1822"/>
      <c r="J318" s="1822"/>
      <c r="K318" s="1822"/>
      <c r="L318" s="551">
        <v>351.39</v>
      </c>
      <c r="M318" s="550"/>
      <c r="N318" s="549"/>
      <c r="V318" s="674"/>
      <c r="W318" s="675"/>
      <c r="X318" s="675"/>
      <c r="AC318" s="675"/>
      <c r="AE318" s="680"/>
      <c r="AF318" s="675"/>
      <c r="AG318" s="537" t="s">
        <v>415</v>
      </c>
    </row>
    <row r="319" spans="1:33" s="536" customFormat="1" ht="12" x14ac:dyDescent="0.2">
      <c r="A319" s="548"/>
      <c r="B319" s="552"/>
      <c r="C319" s="1822" t="s">
        <v>416</v>
      </c>
      <c r="D319" s="1822"/>
      <c r="E319" s="1822"/>
      <c r="F319" s="1822"/>
      <c r="G319" s="1822"/>
      <c r="H319" s="1822"/>
      <c r="I319" s="1822"/>
      <c r="J319" s="1822"/>
      <c r="K319" s="1822"/>
      <c r="L319" s="551">
        <v>396.42</v>
      </c>
      <c r="M319" s="550"/>
      <c r="N319" s="549"/>
      <c r="V319" s="674"/>
      <c r="W319" s="675"/>
      <c r="X319" s="675"/>
      <c r="AC319" s="675"/>
      <c r="AE319" s="680"/>
      <c r="AF319" s="675"/>
      <c r="AG319" s="537" t="s">
        <v>416</v>
      </c>
    </row>
    <row r="320" spans="1:33" s="536" customFormat="1" ht="12" x14ac:dyDescent="0.2">
      <c r="A320" s="548"/>
      <c r="B320" s="552"/>
      <c r="C320" s="1822" t="s">
        <v>417</v>
      </c>
      <c r="D320" s="1822"/>
      <c r="E320" s="1822"/>
      <c r="F320" s="1822"/>
      <c r="G320" s="1822"/>
      <c r="H320" s="1822"/>
      <c r="I320" s="1822"/>
      <c r="J320" s="1822"/>
      <c r="K320" s="1822"/>
      <c r="L320" s="551">
        <v>236.03</v>
      </c>
      <c r="M320" s="550"/>
      <c r="N320" s="549"/>
      <c r="V320" s="674"/>
      <c r="W320" s="675"/>
      <c r="X320" s="675"/>
      <c r="AC320" s="675"/>
      <c r="AE320" s="680"/>
      <c r="AF320" s="675"/>
      <c r="AG320" s="537" t="s">
        <v>417</v>
      </c>
    </row>
    <row r="321" spans="1:34" s="536" customFormat="1" ht="12" x14ac:dyDescent="0.2">
      <c r="A321" s="548"/>
      <c r="B321" s="546"/>
      <c r="C321" s="1819" t="s">
        <v>2609</v>
      </c>
      <c r="D321" s="1819"/>
      <c r="E321" s="1819"/>
      <c r="F321" s="1819"/>
      <c r="G321" s="1819"/>
      <c r="H321" s="1819"/>
      <c r="I321" s="1819"/>
      <c r="J321" s="1819"/>
      <c r="K321" s="1819"/>
      <c r="L321" s="544">
        <v>15250.36</v>
      </c>
      <c r="M321" s="543"/>
      <c r="N321" s="681"/>
      <c r="V321" s="674"/>
      <c r="W321" s="675"/>
      <c r="X321" s="675"/>
      <c r="AC321" s="675"/>
      <c r="AE321" s="680"/>
      <c r="AF321" s="675"/>
      <c r="AH321" s="675" t="s">
        <v>2609</v>
      </c>
    </row>
    <row r="322" spans="1:34" s="536" customFormat="1" ht="12" x14ac:dyDescent="0.2">
      <c r="A322" s="548"/>
      <c r="B322" s="552"/>
      <c r="C322" s="1822" t="s">
        <v>204</v>
      </c>
      <c r="D322" s="1822"/>
      <c r="E322" s="1822"/>
      <c r="F322" s="1822"/>
      <c r="G322" s="1822"/>
      <c r="H322" s="1822"/>
      <c r="I322" s="1822"/>
      <c r="J322" s="1822"/>
      <c r="K322" s="1822"/>
      <c r="L322" s="551"/>
      <c r="M322" s="550"/>
      <c r="N322" s="549"/>
      <c r="V322" s="674"/>
      <c r="W322" s="675"/>
      <c r="X322" s="675"/>
      <c r="AC322" s="675"/>
      <c r="AE322" s="680"/>
      <c r="AF322" s="675"/>
      <c r="AG322" s="537" t="s">
        <v>204</v>
      </c>
      <c r="AH322" s="675"/>
    </row>
    <row r="323" spans="1:34" s="536" customFormat="1" ht="12" x14ac:dyDescent="0.2">
      <c r="A323" s="548"/>
      <c r="B323" s="552"/>
      <c r="C323" s="1822" t="s">
        <v>8095</v>
      </c>
      <c r="D323" s="1822"/>
      <c r="E323" s="1822"/>
      <c r="F323" s="1822"/>
      <c r="G323" s="1822"/>
      <c r="H323" s="1822"/>
      <c r="I323" s="1822"/>
      <c r="J323" s="1822"/>
      <c r="K323" s="1822"/>
      <c r="L323" s="551">
        <v>347.12</v>
      </c>
      <c r="M323" s="550"/>
      <c r="N323" s="549"/>
      <c r="V323" s="674"/>
      <c r="W323" s="675"/>
      <c r="X323" s="675"/>
      <c r="AC323" s="675"/>
      <c r="AE323" s="680"/>
      <c r="AF323" s="675"/>
      <c r="AG323" s="537" t="s">
        <v>8095</v>
      </c>
      <c r="AH323" s="675"/>
    </row>
    <row r="324" spans="1:34" s="536" customFormat="1" ht="12" x14ac:dyDescent="0.2">
      <c r="A324" s="548"/>
      <c r="B324" s="552"/>
      <c r="C324" s="1822" t="s">
        <v>8097</v>
      </c>
      <c r="D324" s="1822"/>
      <c r="E324" s="1822"/>
      <c r="F324" s="1822"/>
      <c r="G324" s="1822"/>
      <c r="H324" s="1822"/>
      <c r="I324" s="1822"/>
      <c r="J324" s="1822"/>
      <c r="K324" s="1822"/>
      <c r="L324" s="551">
        <v>316.77999999999997</v>
      </c>
      <c r="M324" s="550"/>
      <c r="N324" s="549"/>
      <c r="V324" s="674"/>
      <c r="W324" s="675"/>
      <c r="X324" s="675"/>
      <c r="AC324" s="675"/>
      <c r="AE324" s="680"/>
      <c r="AF324" s="675"/>
      <c r="AG324" s="537" t="s">
        <v>8097</v>
      </c>
      <c r="AH324" s="675"/>
    </row>
    <row r="325" spans="1:34" s="536" customFormat="1" ht="12" x14ac:dyDescent="0.2">
      <c r="A325" s="1824" t="s">
        <v>2610</v>
      </c>
      <c r="B325" s="1825"/>
      <c r="C325" s="1825"/>
      <c r="D325" s="1825"/>
      <c r="E325" s="1825"/>
      <c r="F325" s="1825"/>
      <c r="G325" s="1825"/>
      <c r="H325" s="1825"/>
      <c r="I325" s="1825"/>
      <c r="J325" s="1825"/>
      <c r="K325" s="1825"/>
      <c r="L325" s="1825"/>
      <c r="M325" s="1825"/>
      <c r="N325" s="1826"/>
      <c r="V325" s="674" t="s">
        <v>2610</v>
      </c>
      <c r="W325" s="675"/>
      <c r="X325" s="675"/>
      <c r="AC325" s="675"/>
      <c r="AE325" s="680"/>
      <c r="AF325" s="675"/>
      <c r="AH325" s="675"/>
    </row>
    <row r="326" spans="1:34" s="536" customFormat="1" ht="12" x14ac:dyDescent="0.2">
      <c r="A326" s="575" t="s">
        <v>931</v>
      </c>
      <c r="B326" s="657" t="s">
        <v>2611</v>
      </c>
      <c r="C326" s="1823" t="s">
        <v>2612</v>
      </c>
      <c r="D326" s="1823"/>
      <c r="E326" s="1823"/>
      <c r="F326" s="573" t="s">
        <v>889</v>
      </c>
      <c r="G326" s="573"/>
      <c r="H326" s="573"/>
      <c r="I326" s="573" t="s">
        <v>891</v>
      </c>
      <c r="J326" s="572"/>
      <c r="K326" s="573"/>
      <c r="L326" s="572"/>
      <c r="M326" s="571"/>
      <c r="N326" s="570"/>
      <c r="V326" s="674"/>
      <c r="W326" s="675"/>
      <c r="X326" s="675" t="s">
        <v>2612</v>
      </c>
      <c r="AC326" s="675"/>
      <c r="AE326" s="680"/>
      <c r="AF326" s="675"/>
      <c r="AH326" s="675"/>
    </row>
    <row r="327" spans="1:34" s="536" customFormat="1" ht="12" x14ac:dyDescent="0.2">
      <c r="A327" s="676"/>
      <c r="B327" s="655"/>
      <c r="C327" s="1822" t="s">
        <v>2613</v>
      </c>
      <c r="D327" s="1822"/>
      <c r="E327" s="1822"/>
      <c r="F327" s="1822"/>
      <c r="G327" s="1822"/>
      <c r="H327" s="1822"/>
      <c r="I327" s="1822"/>
      <c r="J327" s="1822"/>
      <c r="K327" s="1822"/>
      <c r="L327" s="1822"/>
      <c r="M327" s="1822"/>
      <c r="N327" s="1827"/>
      <c r="V327" s="674"/>
      <c r="W327" s="675"/>
      <c r="X327" s="675"/>
      <c r="AC327" s="675"/>
      <c r="AD327" s="537" t="s">
        <v>2613</v>
      </c>
      <c r="AE327" s="680"/>
      <c r="AF327" s="675"/>
      <c r="AH327" s="675"/>
    </row>
    <row r="328" spans="1:34" s="536" customFormat="1" ht="22.5" x14ac:dyDescent="0.2">
      <c r="A328" s="609"/>
      <c r="B328" s="552" t="s">
        <v>499</v>
      </c>
      <c r="C328" s="1822" t="s">
        <v>500</v>
      </c>
      <c r="D328" s="1822"/>
      <c r="E328" s="1822"/>
      <c r="F328" s="1822"/>
      <c r="G328" s="1822"/>
      <c r="H328" s="1822"/>
      <c r="I328" s="1822"/>
      <c r="J328" s="1822"/>
      <c r="K328" s="1822"/>
      <c r="L328" s="1822"/>
      <c r="M328" s="1822"/>
      <c r="N328" s="1827"/>
      <c r="V328" s="674"/>
      <c r="W328" s="675"/>
      <c r="X328" s="675"/>
      <c r="Y328" s="537" t="s">
        <v>500</v>
      </c>
      <c r="AC328" s="675"/>
      <c r="AE328" s="680"/>
      <c r="AF328" s="675"/>
      <c r="AH328" s="675"/>
    </row>
    <row r="329" spans="1:34" s="536" customFormat="1" ht="12" x14ac:dyDescent="0.2">
      <c r="A329" s="605"/>
      <c r="B329" s="552" t="s">
        <v>185</v>
      </c>
      <c r="C329" s="1822" t="s">
        <v>312</v>
      </c>
      <c r="D329" s="1822"/>
      <c r="E329" s="1822"/>
      <c r="F329" s="562"/>
      <c r="G329" s="562"/>
      <c r="H329" s="562"/>
      <c r="I329" s="562"/>
      <c r="J329" s="604">
        <v>67.34</v>
      </c>
      <c r="K329" s="562" t="s">
        <v>313</v>
      </c>
      <c r="L329" s="604">
        <v>58.92</v>
      </c>
      <c r="M329" s="603"/>
      <c r="N329" s="602"/>
      <c r="V329" s="674"/>
      <c r="W329" s="675"/>
      <c r="X329" s="675"/>
      <c r="Z329" s="537" t="s">
        <v>312</v>
      </c>
      <c r="AC329" s="675"/>
      <c r="AE329" s="680"/>
      <c r="AF329" s="675"/>
      <c r="AH329" s="675"/>
    </row>
    <row r="330" spans="1:34" s="536" customFormat="1" ht="12" x14ac:dyDescent="0.2">
      <c r="A330" s="605"/>
      <c r="B330" s="552" t="s">
        <v>188</v>
      </c>
      <c r="C330" s="1822" t="s">
        <v>475</v>
      </c>
      <c r="D330" s="1822"/>
      <c r="E330" s="1822"/>
      <c r="F330" s="562"/>
      <c r="G330" s="562"/>
      <c r="H330" s="562"/>
      <c r="I330" s="562"/>
      <c r="J330" s="604">
        <v>15.42</v>
      </c>
      <c r="K330" s="562"/>
      <c r="L330" s="604">
        <v>10.79</v>
      </c>
      <c r="M330" s="603"/>
      <c r="N330" s="602"/>
      <c r="V330" s="674"/>
      <c r="W330" s="675"/>
      <c r="X330" s="675"/>
      <c r="Z330" s="537" t="s">
        <v>475</v>
      </c>
      <c r="AC330" s="675"/>
      <c r="AE330" s="680"/>
      <c r="AF330" s="675"/>
      <c r="AH330" s="675"/>
    </row>
    <row r="331" spans="1:34" s="536" customFormat="1" ht="12" x14ac:dyDescent="0.2">
      <c r="A331" s="676"/>
      <c r="B331" s="677" t="s">
        <v>2614</v>
      </c>
      <c r="C331" s="1829" t="s">
        <v>2615</v>
      </c>
      <c r="D331" s="1829"/>
      <c r="E331" s="1829"/>
      <c r="F331" s="678" t="s">
        <v>617</v>
      </c>
      <c r="G331" s="678" t="s">
        <v>194</v>
      </c>
      <c r="H331" s="678"/>
      <c r="I331" s="678" t="s">
        <v>191</v>
      </c>
      <c r="J331" s="552"/>
      <c r="K331" s="562"/>
      <c r="L331" s="604"/>
      <c r="M331" s="562"/>
      <c r="N331" s="679"/>
      <c r="V331" s="674"/>
      <c r="W331" s="675"/>
      <c r="X331" s="675"/>
      <c r="AC331" s="675"/>
      <c r="AE331" s="680" t="s">
        <v>2615</v>
      </c>
      <c r="AF331" s="675"/>
      <c r="AH331" s="675"/>
    </row>
    <row r="332" spans="1:34" s="536" customFormat="1" ht="12" x14ac:dyDescent="0.2">
      <c r="A332" s="605"/>
      <c r="B332" s="552"/>
      <c r="C332" s="1822" t="s">
        <v>314</v>
      </c>
      <c r="D332" s="1822"/>
      <c r="E332" s="1822"/>
      <c r="F332" s="562" t="s">
        <v>315</v>
      </c>
      <c r="G332" s="562" t="s">
        <v>191</v>
      </c>
      <c r="H332" s="562" t="s">
        <v>313</v>
      </c>
      <c r="I332" s="562" t="s">
        <v>2616</v>
      </c>
      <c r="J332" s="604"/>
      <c r="K332" s="562"/>
      <c r="L332" s="604"/>
      <c r="M332" s="603"/>
      <c r="N332" s="602"/>
      <c r="V332" s="674"/>
      <c r="W332" s="675"/>
      <c r="X332" s="675"/>
      <c r="AA332" s="537" t="s">
        <v>314</v>
      </c>
      <c r="AC332" s="675"/>
      <c r="AE332" s="680"/>
      <c r="AF332" s="675"/>
      <c r="AH332" s="675"/>
    </row>
    <row r="333" spans="1:34" s="536" customFormat="1" ht="12" x14ac:dyDescent="0.2">
      <c r="A333" s="605"/>
      <c r="B333" s="552"/>
      <c r="C333" s="1828" t="s">
        <v>318</v>
      </c>
      <c r="D333" s="1828"/>
      <c r="E333" s="1828"/>
      <c r="F333" s="608"/>
      <c r="G333" s="608"/>
      <c r="H333" s="608"/>
      <c r="I333" s="608"/>
      <c r="J333" s="607">
        <v>82.76</v>
      </c>
      <c r="K333" s="608"/>
      <c r="L333" s="607">
        <v>69.709999999999994</v>
      </c>
      <c r="M333" s="601"/>
      <c r="N333" s="606"/>
      <c r="V333" s="674"/>
      <c r="W333" s="675"/>
      <c r="X333" s="675"/>
      <c r="AB333" s="537" t="s">
        <v>318</v>
      </c>
      <c r="AC333" s="675"/>
      <c r="AE333" s="680"/>
      <c r="AF333" s="675"/>
      <c r="AH333" s="675"/>
    </row>
    <row r="334" spans="1:34" s="536" customFormat="1" ht="12" x14ac:dyDescent="0.2">
      <c r="A334" s="605"/>
      <c r="B334" s="552"/>
      <c r="C334" s="1822" t="s">
        <v>319</v>
      </c>
      <c r="D334" s="1822"/>
      <c r="E334" s="1822"/>
      <c r="F334" s="562"/>
      <c r="G334" s="562"/>
      <c r="H334" s="562"/>
      <c r="I334" s="562"/>
      <c r="J334" s="604"/>
      <c r="K334" s="562"/>
      <c r="L334" s="604">
        <v>58.92</v>
      </c>
      <c r="M334" s="603"/>
      <c r="N334" s="602"/>
      <c r="V334" s="674"/>
      <c r="W334" s="675"/>
      <c r="X334" s="675"/>
      <c r="AA334" s="537" t="s">
        <v>319</v>
      </c>
      <c r="AC334" s="675"/>
      <c r="AE334" s="680"/>
      <c r="AF334" s="675"/>
      <c r="AH334" s="675"/>
    </row>
    <row r="335" spans="1:34" s="536" customFormat="1" ht="45" x14ac:dyDescent="0.2">
      <c r="A335" s="605"/>
      <c r="B335" s="552" t="s">
        <v>892</v>
      </c>
      <c r="C335" s="1822" t="s">
        <v>893</v>
      </c>
      <c r="D335" s="1822"/>
      <c r="E335" s="1822"/>
      <c r="F335" s="562" t="s">
        <v>322</v>
      </c>
      <c r="G335" s="562" t="s">
        <v>894</v>
      </c>
      <c r="H335" s="562"/>
      <c r="I335" s="562" t="s">
        <v>894</v>
      </c>
      <c r="J335" s="604"/>
      <c r="K335" s="562"/>
      <c r="L335" s="604">
        <v>71.290000000000006</v>
      </c>
      <c r="M335" s="603"/>
      <c r="N335" s="602"/>
      <c r="V335" s="674"/>
      <c r="W335" s="675"/>
      <c r="X335" s="675"/>
      <c r="AA335" s="537" t="s">
        <v>893</v>
      </c>
      <c r="AC335" s="675"/>
      <c r="AE335" s="680"/>
      <c r="AF335" s="675"/>
      <c r="AH335" s="675"/>
    </row>
    <row r="336" spans="1:34" s="536" customFormat="1" ht="45" x14ac:dyDescent="0.2">
      <c r="A336" s="605"/>
      <c r="B336" s="552" t="s">
        <v>895</v>
      </c>
      <c r="C336" s="1822" t="s">
        <v>896</v>
      </c>
      <c r="D336" s="1822"/>
      <c r="E336" s="1822"/>
      <c r="F336" s="562" t="s">
        <v>322</v>
      </c>
      <c r="G336" s="562" t="s">
        <v>897</v>
      </c>
      <c r="H336" s="562"/>
      <c r="I336" s="562" t="s">
        <v>897</v>
      </c>
      <c r="J336" s="604"/>
      <c r="K336" s="562"/>
      <c r="L336" s="604">
        <v>42.42</v>
      </c>
      <c r="M336" s="603"/>
      <c r="N336" s="602"/>
      <c r="V336" s="674"/>
      <c r="W336" s="675"/>
      <c r="X336" s="675"/>
      <c r="AA336" s="537" t="s">
        <v>896</v>
      </c>
      <c r="AC336" s="675"/>
      <c r="AE336" s="680"/>
      <c r="AF336" s="675"/>
      <c r="AH336" s="675"/>
    </row>
    <row r="337" spans="1:34" s="536" customFormat="1" ht="12" x14ac:dyDescent="0.2">
      <c r="A337" s="569"/>
      <c r="B337" s="656"/>
      <c r="C337" s="1823" t="s">
        <v>327</v>
      </c>
      <c r="D337" s="1823"/>
      <c r="E337" s="1823"/>
      <c r="F337" s="573"/>
      <c r="G337" s="573"/>
      <c r="H337" s="573"/>
      <c r="I337" s="573"/>
      <c r="J337" s="572"/>
      <c r="K337" s="573"/>
      <c r="L337" s="572">
        <v>183.42</v>
      </c>
      <c r="M337" s="601"/>
      <c r="N337" s="570"/>
      <c r="V337" s="674"/>
      <c r="W337" s="675"/>
      <c r="X337" s="675"/>
      <c r="AC337" s="675" t="s">
        <v>327</v>
      </c>
      <c r="AE337" s="680"/>
      <c r="AF337" s="675"/>
      <c r="AH337" s="675"/>
    </row>
    <row r="338" spans="1:34" s="536" customFormat="1" ht="33.75" x14ac:dyDescent="0.2">
      <c r="A338" s="575" t="s">
        <v>465</v>
      </c>
      <c r="B338" s="657" t="s">
        <v>2617</v>
      </c>
      <c r="C338" s="1823" t="s">
        <v>2618</v>
      </c>
      <c r="D338" s="1823"/>
      <c r="E338" s="1823"/>
      <c r="F338" s="573" t="s">
        <v>628</v>
      </c>
      <c r="G338" s="573"/>
      <c r="H338" s="573"/>
      <c r="I338" s="573" t="s">
        <v>188</v>
      </c>
      <c r="J338" s="572">
        <v>3883.25</v>
      </c>
      <c r="K338" s="573" t="s">
        <v>716</v>
      </c>
      <c r="L338" s="572">
        <v>1904.33</v>
      </c>
      <c r="M338" s="571">
        <v>8.32</v>
      </c>
      <c r="N338" s="570">
        <v>15844</v>
      </c>
      <c r="V338" s="674"/>
      <c r="W338" s="675"/>
      <c r="X338" s="675" t="s">
        <v>2618</v>
      </c>
      <c r="AC338" s="675"/>
      <c r="AE338" s="680"/>
      <c r="AF338" s="675"/>
      <c r="AH338" s="675"/>
    </row>
    <row r="339" spans="1:34" s="536" customFormat="1" ht="12" x14ac:dyDescent="0.2">
      <c r="A339" s="569"/>
      <c r="B339" s="656"/>
      <c r="C339" s="661" t="s">
        <v>717</v>
      </c>
      <c r="D339" s="662"/>
      <c r="E339" s="662"/>
      <c r="F339" s="563"/>
      <c r="G339" s="563"/>
      <c r="H339" s="563"/>
      <c r="I339" s="563"/>
      <c r="J339" s="566"/>
      <c r="K339" s="563"/>
      <c r="L339" s="566"/>
      <c r="M339" s="565"/>
      <c r="N339" s="564"/>
      <c r="V339" s="674"/>
      <c r="W339" s="675"/>
      <c r="X339" s="675"/>
      <c r="AC339" s="675"/>
      <c r="AE339" s="680"/>
      <c r="AF339" s="675"/>
      <c r="AH339" s="675"/>
    </row>
    <row r="340" spans="1:34" s="536" customFormat="1" ht="22.5" x14ac:dyDescent="0.2">
      <c r="A340" s="609"/>
      <c r="B340" s="552" t="s">
        <v>718</v>
      </c>
      <c r="C340" s="1822" t="s">
        <v>719</v>
      </c>
      <c r="D340" s="1822"/>
      <c r="E340" s="1822"/>
      <c r="F340" s="1822"/>
      <c r="G340" s="1822"/>
      <c r="H340" s="1822"/>
      <c r="I340" s="1822"/>
      <c r="J340" s="1822"/>
      <c r="K340" s="1822"/>
      <c r="L340" s="1822"/>
      <c r="M340" s="1822"/>
      <c r="N340" s="1827"/>
      <c r="V340" s="674"/>
      <c r="W340" s="675"/>
      <c r="X340" s="675"/>
      <c r="Y340" s="537" t="s">
        <v>719</v>
      </c>
      <c r="AC340" s="675"/>
      <c r="AE340" s="680"/>
      <c r="AF340" s="675"/>
      <c r="AH340" s="675"/>
    </row>
    <row r="341" spans="1:34" s="536" customFormat="1" ht="33.75" x14ac:dyDescent="0.2">
      <c r="A341" s="575" t="s">
        <v>782</v>
      </c>
      <c r="B341" s="657" t="s">
        <v>2619</v>
      </c>
      <c r="C341" s="1823" t="s">
        <v>2620</v>
      </c>
      <c r="D341" s="1823"/>
      <c r="E341" s="1823"/>
      <c r="F341" s="573" t="s">
        <v>628</v>
      </c>
      <c r="G341" s="573"/>
      <c r="H341" s="573"/>
      <c r="I341" s="573" t="s">
        <v>185</v>
      </c>
      <c r="J341" s="572">
        <v>9843.75</v>
      </c>
      <c r="K341" s="573" t="s">
        <v>716</v>
      </c>
      <c r="L341" s="572">
        <v>1206.8499999999999</v>
      </c>
      <c r="M341" s="571">
        <v>8.32</v>
      </c>
      <c r="N341" s="570">
        <v>10041</v>
      </c>
      <c r="V341" s="674"/>
      <c r="W341" s="675"/>
      <c r="X341" s="675" t="s">
        <v>2620</v>
      </c>
      <c r="AC341" s="675"/>
      <c r="AE341" s="680"/>
      <c r="AF341" s="675"/>
      <c r="AH341" s="675"/>
    </row>
    <row r="342" spans="1:34" s="536" customFormat="1" ht="12" x14ac:dyDescent="0.2">
      <c r="A342" s="569"/>
      <c r="B342" s="656"/>
      <c r="C342" s="661" t="s">
        <v>717</v>
      </c>
      <c r="D342" s="662"/>
      <c r="E342" s="662"/>
      <c r="F342" s="563"/>
      <c r="G342" s="563"/>
      <c r="H342" s="563"/>
      <c r="I342" s="563"/>
      <c r="J342" s="566"/>
      <c r="K342" s="563"/>
      <c r="L342" s="566"/>
      <c r="M342" s="565"/>
      <c r="N342" s="564"/>
      <c r="V342" s="674"/>
      <c r="W342" s="675"/>
      <c r="X342" s="675"/>
      <c r="AC342" s="675"/>
      <c r="AE342" s="680"/>
      <c r="AF342" s="675"/>
      <c r="AH342" s="675"/>
    </row>
    <row r="343" spans="1:34" s="536" customFormat="1" ht="22.5" x14ac:dyDescent="0.2">
      <c r="A343" s="609"/>
      <c r="B343" s="552" t="s">
        <v>718</v>
      </c>
      <c r="C343" s="1822" t="s">
        <v>719</v>
      </c>
      <c r="D343" s="1822"/>
      <c r="E343" s="1822"/>
      <c r="F343" s="1822"/>
      <c r="G343" s="1822"/>
      <c r="H343" s="1822"/>
      <c r="I343" s="1822"/>
      <c r="J343" s="1822"/>
      <c r="K343" s="1822"/>
      <c r="L343" s="1822"/>
      <c r="M343" s="1822"/>
      <c r="N343" s="1827"/>
      <c r="V343" s="674"/>
      <c r="W343" s="675"/>
      <c r="X343" s="675"/>
      <c r="Y343" s="537" t="s">
        <v>719</v>
      </c>
      <c r="AC343" s="675"/>
      <c r="AE343" s="680"/>
      <c r="AF343" s="675"/>
      <c r="AH343" s="675"/>
    </row>
    <row r="344" spans="1:34" s="536" customFormat="1" ht="33.75" x14ac:dyDescent="0.2">
      <c r="A344" s="575" t="s">
        <v>501</v>
      </c>
      <c r="B344" s="657" t="s">
        <v>2621</v>
      </c>
      <c r="C344" s="1823" t="s">
        <v>2622</v>
      </c>
      <c r="D344" s="1823"/>
      <c r="E344" s="1823"/>
      <c r="F344" s="573" t="s">
        <v>628</v>
      </c>
      <c r="G344" s="573"/>
      <c r="H344" s="573"/>
      <c r="I344" s="573" t="s">
        <v>186</v>
      </c>
      <c r="J344" s="572">
        <v>5312.13</v>
      </c>
      <c r="K344" s="573" t="s">
        <v>716</v>
      </c>
      <c r="L344" s="572">
        <v>1302.52</v>
      </c>
      <c r="M344" s="571">
        <v>8.32</v>
      </c>
      <c r="N344" s="570">
        <v>10837</v>
      </c>
      <c r="V344" s="674"/>
      <c r="W344" s="675"/>
      <c r="X344" s="675" t="s">
        <v>2622</v>
      </c>
      <c r="AC344" s="675"/>
      <c r="AE344" s="680"/>
      <c r="AF344" s="675"/>
      <c r="AH344" s="675"/>
    </row>
    <row r="345" spans="1:34" s="536" customFormat="1" ht="12" x14ac:dyDescent="0.2">
      <c r="A345" s="569"/>
      <c r="B345" s="656"/>
      <c r="C345" s="661" t="s">
        <v>717</v>
      </c>
      <c r="D345" s="662"/>
      <c r="E345" s="662"/>
      <c r="F345" s="563"/>
      <c r="G345" s="563"/>
      <c r="H345" s="563"/>
      <c r="I345" s="563"/>
      <c r="J345" s="566"/>
      <c r="K345" s="563"/>
      <c r="L345" s="566"/>
      <c r="M345" s="565"/>
      <c r="N345" s="564"/>
      <c r="V345" s="674"/>
      <c r="W345" s="675"/>
      <c r="X345" s="675"/>
      <c r="AC345" s="675"/>
      <c r="AE345" s="680"/>
      <c r="AF345" s="675"/>
      <c r="AH345" s="675"/>
    </row>
    <row r="346" spans="1:34" s="536" customFormat="1" ht="22.5" x14ac:dyDescent="0.2">
      <c r="A346" s="609"/>
      <c r="B346" s="552" t="s">
        <v>718</v>
      </c>
      <c r="C346" s="1822" t="s">
        <v>719</v>
      </c>
      <c r="D346" s="1822"/>
      <c r="E346" s="1822"/>
      <c r="F346" s="1822"/>
      <c r="G346" s="1822"/>
      <c r="H346" s="1822"/>
      <c r="I346" s="1822"/>
      <c r="J346" s="1822"/>
      <c r="K346" s="1822"/>
      <c r="L346" s="1822"/>
      <c r="M346" s="1822"/>
      <c r="N346" s="1827"/>
      <c r="V346" s="674"/>
      <c r="W346" s="675"/>
      <c r="X346" s="675"/>
      <c r="Y346" s="537" t="s">
        <v>719</v>
      </c>
      <c r="AC346" s="675"/>
      <c r="AE346" s="680"/>
      <c r="AF346" s="675"/>
      <c r="AH346" s="675"/>
    </row>
    <row r="347" spans="1:34" s="536" customFormat="1" ht="33.75" x14ac:dyDescent="0.2">
      <c r="A347" s="575" t="s">
        <v>784</v>
      </c>
      <c r="B347" s="657" t="s">
        <v>2623</v>
      </c>
      <c r="C347" s="1823" t="s">
        <v>2624</v>
      </c>
      <c r="D347" s="1823"/>
      <c r="E347" s="1823"/>
      <c r="F347" s="573" t="s">
        <v>617</v>
      </c>
      <c r="G347" s="573"/>
      <c r="H347" s="573"/>
      <c r="I347" s="573" t="s">
        <v>185</v>
      </c>
      <c r="J347" s="572"/>
      <c r="K347" s="573"/>
      <c r="L347" s="572"/>
      <c r="M347" s="571"/>
      <c r="N347" s="570"/>
      <c r="V347" s="674"/>
      <c r="W347" s="675"/>
      <c r="X347" s="675" t="s">
        <v>2624</v>
      </c>
      <c r="AC347" s="675"/>
      <c r="AE347" s="680"/>
      <c r="AF347" s="675"/>
      <c r="AH347" s="675"/>
    </row>
    <row r="348" spans="1:34" s="536" customFormat="1" ht="22.5" x14ac:dyDescent="0.2">
      <c r="A348" s="609"/>
      <c r="B348" s="552" t="s">
        <v>499</v>
      </c>
      <c r="C348" s="1822" t="s">
        <v>500</v>
      </c>
      <c r="D348" s="1822"/>
      <c r="E348" s="1822"/>
      <c r="F348" s="1822"/>
      <c r="G348" s="1822"/>
      <c r="H348" s="1822"/>
      <c r="I348" s="1822"/>
      <c r="J348" s="1822"/>
      <c r="K348" s="1822"/>
      <c r="L348" s="1822"/>
      <c r="M348" s="1822"/>
      <c r="N348" s="1827"/>
      <c r="V348" s="674"/>
      <c r="W348" s="675"/>
      <c r="X348" s="675"/>
      <c r="Y348" s="537" t="s">
        <v>500</v>
      </c>
      <c r="AC348" s="675"/>
      <c r="AE348" s="680"/>
      <c r="AF348" s="675"/>
      <c r="AH348" s="675"/>
    </row>
    <row r="349" spans="1:34" s="536" customFormat="1" ht="12" x14ac:dyDescent="0.2">
      <c r="A349" s="605"/>
      <c r="B349" s="552" t="s">
        <v>185</v>
      </c>
      <c r="C349" s="1822" t="s">
        <v>312</v>
      </c>
      <c r="D349" s="1822"/>
      <c r="E349" s="1822"/>
      <c r="F349" s="562"/>
      <c r="G349" s="562"/>
      <c r="H349" s="562"/>
      <c r="I349" s="562"/>
      <c r="J349" s="604">
        <v>20.14</v>
      </c>
      <c r="K349" s="562" t="s">
        <v>313</v>
      </c>
      <c r="L349" s="604">
        <v>25.18</v>
      </c>
      <c r="M349" s="603"/>
      <c r="N349" s="602"/>
      <c r="V349" s="674"/>
      <c r="W349" s="675"/>
      <c r="X349" s="675"/>
      <c r="Z349" s="537" t="s">
        <v>312</v>
      </c>
      <c r="AC349" s="675"/>
      <c r="AE349" s="680"/>
      <c r="AF349" s="675"/>
      <c r="AH349" s="675"/>
    </row>
    <row r="350" spans="1:34" s="536" customFormat="1" ht="12" x14ac:dyDescent="0.2">
      <c r="A350" s="605"/>
      <c r="B350" s="552" t="s">
        <v>188</v>
      </c>
      <c r="C350" s="1822" t="s">
        <v>475</v>
      </c>
      <c r="D350" s="1822"/>
      <c r="E350" s="1822"/>
      <c r="F350" s="562"/>
      <c r="G350" s="562"/>
      <c r="H350" s="562"/>
      <c r="I350" s="562"/>
      <c r="J350" s="604">
        <v>0.89</v>
      </c>
      <c r="K350" s="562"/>
      <c r="L350" s="604">
        <v>0.89</v>
      </c>
      <c r="M350" s="603"/>
      <c r="N350" s="602"/>
      <c r="V350" s="674"/>
      <c r="W350" s="675"/>
      <c r="X350" s="675"/>
      <c r="Z350" s="537" t="s">
        <v>475</v>
      </c>
      <c r="AC350" s="675"/>
      <c r="AE350" s="680"/>
      <c r="AF350" s="675"/>
      <c r="AH350" s="675"/>
    </row>
    <row r="351" spans="1:34" s="536" customFormat="1" ht="12" x14ac:dyDescent="0.2">
      <c r="A351" s="676"/>
      <c r="B351" s="677" t="s">
        <v>2458</v>
      </c>
      <c r="C351" s="1829" t="s">
        <v>2459</v>
      </c>
      <c r="D351" s="1829"/>
      <c r="E351" s="1829"/>
      <c r="F351" s="678" t="s">
        <v>483</v>
      </c>
      <c r="G351" s="678" t="s">
        <v>1520</v>
      </c>
      <c r="H351" s="678"/>
      <c r="I351" s="678" t="s">
        <v>1520</v>
      </c>
      <c r="J351" s="552"/>
      <c r="K351" s="562"/>
      <c r="L351" s="604"/>
      <c r="M351" s="562"/>
      <c r="N351" s="679"/>
      <c r="V351" s="674"/>
      <c r="W351" s="675"/>
      <c r="X351" s="675"/>
      <c r="AC351" s="675"/>
      <c r="AE351" s="680" t="s">
        <v>2459</v>
      </c>
      <c r="AF351" s="675"/>
      <c r="AH351" s="675"/>
    </row>
    <row r="352" spans="1:34" s="536" customFormat="1" ht="12" x14ac:dyDescent="0.2">
      <c r="A352" s="605"/>
      <c r="B352" s="552"/>
      <c r="C352" s="1822" t="s">
        <v>314</v>
      </c>
      <c r="D352" s="1822"/>
      <c r="E352" s="1822"/>
      <c r="F352" s="562" t="s">
        <v>315</v>
      </c>
      <c r="G352" s="562" t="s">
        <v>2625</v>
      </c>
      <c r="H352" s="562" t="s">
        <v>313</v>
      </c>
      <c r="I352" s="562" t="s">
        <v>2626</v>
      </c>
      <c r="J352" s="604"/>
      <c r="K352" s="562"/>
      <c r="L352" s="604"/>
      <c r="M352" s="603"/>
      <c r="N352" s="602"/>
      <c r="V352" s="674"/>
      <c r="W352" s="675"/>
      <c r="X352" s="675"/>
      <c r="AA352" s="537" t="s">
        <v>314</v>
      </c>
      <c r="AC352" s="675"/>
      <c r="AE352" s="680"/>
      <c r="AF352" s="675"/>
      <c r="AH352" s="675"/>
    </row>
    <row r="353" spans="1:34" s="536" customFormat="1" ht="12" x14ac:dyDescent="0.2">
      <c r="A353" s="605"/>
      <c r="B353" s="552"/>
      <c r="C353" s="1828" t="s">
        <v>318</v>
      </c>
      <c r="D353" s="1828"/>
      <c r="E353" s="1828"/>
      <c r="F353" s="608"/>
      <c r="G353" s="608"/>
      <c r="H353" s="608"/>
      <c r="I353" s="608"/>
      <c r="J353" s="607">
        <v>21.03</v>
      </c>
      <c r="K353" s="608"/>
      <c r="L353" s="607">
        <v>26.07</v>
      </c>
      <c r="M353" s="601"/>
      <c r="N353" s="606"/>
      <c r="V353" s="674"/>
      <c r="W353" s="675"/>
      <c r="X353" s="675"/>
      <c r="AB353" s="537" t="s">
        <v>318</v>
      </c>
      <c r="AC353" s="675"/>
      <c r="AE353" s="680"/>
      <c r="AF353" s="675"/>
      <c r="AH353" s="675"/>
    </row>
    <row r="354" spans="1:34" s="536" customFormat="1" ht="12" x14ac:dyDescent="0.2">
      <c r="A354" s="605"/>
      <c r="B354" s="552"/>
      <c r="C354" s="1822" t="s">
        <v>319</v>
      </c>
      <c r="D354" s="1822"/>
      <c r="E354" s="1822"/>
      <c r="F354" s="562"/>
      <c r="G354" s="562"/>
      <c r="H354" s="562"/>
      <c r="I354" s="562"/>
      <c r="J354" s="604"/>
      <c r="K354" s="562"/>
      <c r="L354" s="604">
        <v>25.18</v>
      </c>
      <c r="M354" s="603"/>
      <c r="N354" s="602"/>
      <c r="V354" s="674"/>
      <c r="W354" s="675"/>
      <c r="X354" s="675"/>
      <c r="AA354" s="537" t="s">
        <v>319</v>
      </c>
      <c r="AC354" s="675"/>
      <c r="AE354" s="680"/>
      <c r="AF354" s="675"/>
      <c r="AH354" s="675"/>
    </row>
    <row r="355" spans="1:34" s="536" customFormat="1" ht="45" x14ac:dyDescent="0.2">
      <c r="A355" s="605"/>
      <c r="B355" s="552" t="s">
        <v>892</v>
      </c>
      <c r="C355" s="1822" t="s">
        <v>893</v>
      </c>
      <c r="D355" s="1822"/>
      <c r="E355" s="1822"/>
      <c r="F355" s="562" t="s">
        <v>322</v>
      </c>
      <c r="G355" s="562" t="s">
        <v>894</v>
      </c>
      <c r="H355" s="562"/>
      <c r="I355" s="562" t="s">
        <v>894</v>
      </c>
      <c r="J355" s="604"/>
      <c r="K355" s="562"/>
      <c r="L355" s="604">
        <v>30.47</v>
      </c>
      <c r="M355" s="603"/>
      <c r="N355" s="602"/>
      <c r="V355" s="674"/>
      <c r="W355" s="675"/>
      <c r="X355" s="675"/>
      <c r="AA355" s="537" t="s">
        <v>893</v>
      </c>
      <c r="AC355" s="675"/>
      <c r="AE355" s="680"/>
      <c r="AF355" s="675"/>
      <c r="AH355" s="675"/>
    </row>
    <row r="356" spans="1:34" s="536" customFormat="1" ht="45" x14ac:dyDescent="0.2">
      <c r="A356" s="605"/>
      <c r="B356" s="552" t="s">
        <v>895</v>
      </c>
      <c r="C356" s="1822" t="s">
        <v>896</v>
      </c>
      <c r="D356" s="1822"/>
      <c r="E356" s="1822"/>
      <c r="F356" s="562" t="s">
        <v>322</v>
      </c>
      <c r="G356" s="562" t="s">
        <v>897</v>
      </c>
      <c r="H356" s="562"/>
      <c r="I356" s="562" t="s">
        <v>897</v>
      </c>
      <c r="J356" s="604"/>
      <c r="K356" s="562"/>
      <c r="L356" s="604">
        <v>18.13</v>
      </c>
      <c r="M356" s="603"/>
      <c r="N356" s="602"/>
      <c r="V356" s="674"/>
      <c r="W356" s="675"/>
      <c r="X356" s="675"/>
      <c r="AA356" s="537" t="s">
        <v>896</v>
      </c>
      <c r="AC356" s="675"/>
      <c r="AE356" s="680"/>
      <c r="AF356" s="675"/>
      <c r="AH356" s="675"/>
    </row>
    <row r="357" spans="1:34" s="536" customFormat="1" ht="12" x14ac:dyDescent="0.2">
      <c r="A357" s="569"/>
      <c r="B357" s="656"/>
      <c r="C357" s="1823" t="s">
        <v>327</v>
      </c>
      <c r="D357" s="1823"/>
      <c r="E357" s="1823"/>
      <c r="F357" s="573"/>
      <c r="G357" s="573"/>
      <c r="H357" s="573"/>
      <c r="I357" s="573"/>
      <c r="J357" s="572"/>
      <c r="K357" s="573"/>
      <c r="L357" s="572">
        <v>74.67</v>
      </c>
      <c r="M357" s="601"/>
      <c r="N357" s="570"/>
      <c r="V357" s="674"/>
      <c r="W357" s="675"/>
      <c r="X357" s="675"/>
      <c r="AC357" s="675" t="s">
        <v>327</v>
      </c>
      <c r="AE357" s="680"/>
      <c r="AF357" s="675"/>
      <c r="AH357" s="675"/>
    </row>
    <row r="358" spans="1:34" s="536" customFormat="1" ht="45" x14ac:dyDescent="0.2">
      <c r="A358" s="575" t="s">
        <v>785</v>
      </c>
      <c r="B358" s="657" t="s">
        <v>2627</v>
      </c>
      <c r="C358" s="1823" t="s">
        <v>8116</v>
      </c>
      <c r="D358" s="1823"/>
      <c r="E358" s="1823"/>
      <c r="F358" s="573" t="s">
        <v>628</v>
      </c>
      <c r="G358" s="573"/>
      <c r="H358" s="573"/>
      <c r="I358" s="573" t="s">
        <v>185</v>
      </c>
      <c r="J358" s="572">
        <v>13203.75</v>
      </c>
      <c r="K358" s="573" t="s">
        <v>629</v>
      </c>
      <c r="L358" s="572">
        <v>2911.11</v>
      </c>
      <c r="M358" s="571">
        <v>4.59</v>
      </c>
      <c r="N358" s="570">
        <v>13362</v>
      </c>
      <c r="V358" s="674"/>
      <c r="W358" s="675"/>
      <c r="X358" s="675" t="s">
        <v>8116</v>
      </c>
      <c r="AC358" s="675"/>
      <c r="AE358" s="680"/>
      <c r="AF358" s="675"/>
      <c r="AH358" s="675"/>
    </row>
    <row r="359" spans="1:34" s="536" customFormat="1" ht="12" x14ac:dyDescent="0.2">
      <c r="A359" s="569"/>
      <c r="B359" s="656"/>
      <c r="C359" s="661" t="s">
        <v>630</v>
      </c>
      <c r="D359" s="662"/>
      <c r="E359" s="662"/>
      <c r="F359" s="563"/>
      <c r="G359" s="563"/>
      <c r="H359" s="563"/>
      <c r="I359" s="563"/>
      <c r="J359" s="566"/>
      <c r="K359" s="563"/>
      <c r="L359" s="566"/>
      <c r="M359" s="565"/>
      <c r="N359" s="564"/>
      <c r="V359" s="674"/>
      <c r="W359" s="675"/>
      <c r="X359" s="675"/>
      <c r="AC359" s="675"/>
      <c r="AE359" s="680"/>
      <c r="AF359" s="675"/>
      <c r="AH359" s="675"/>
    </row>
    <row r="360" spans="1:34" s="536" customFormat="1" ht="22.5" x14ac:dyDescent="0.2">
      <c r="A360" s="609"/>
      <c r="B360" s="552" t="s">
        <v>631</v>
      </c>
      <c r="C360" s="1822" t="s">
        <v>632</v>
      </c>
      <c r="D360" s="1822"/>
      <c r="E360" s="1822"/>
      <c r="F360" s="1822"/>
      <c r="G360" s="1822"/>
      <c r="H360" s="1822"/>
      <c r="I360" s="1822"/>
      <c r="J360" s="1822"/>
      <c r="K360" s="1822"/>
      <c r="L360" s="1822"/>
      <c r="M360" s="1822"/>
      <c r="N360" s="1827"/>
      <c r="V360" s="674"/>
      <c r="W360" s="675"/>
      <c r="X360" s="675"/>
      <c r="Y360" s="537" t="s">
        <v>632</v>
      </c>
      <c r="AC360" s="675"/>
      <c r="AE360" s="680"/>
      <c r="AF360" s="675"/>
      <c r="AH360" s="675"/>
    </row>
    <row r="361" spans="1:34" s="536" customFormat="1" ht="1.5" customHeight="1" x14ac:dyDescent="0.2">
      <c r="A361" s="563"/>
      <c r="B361" s="656"/>
      <c r="C361" s="656"/>
      <c r="D361" s="656"/>
      <c r="E361" s="656"/>
      <c r="F361" s="563"/>
      <c r="G361" s="563"/>
      <c r="H361" s="563"/>
      <c r="I361" s="563"/>
      <c r="J361" s="546"/>
      <c r="K361" s="563"/>
      <c r="L361" s="546"/>
      <c r="M361" s="562"/>
      <c r="N361" s="546"/>
      <c r="V361" s="674"/>
      <c r="W361" s="675"/>
      <c r="X361" s="675"/>
      <c r="AC361" s="675"/>
      <c r="AE361" s="680"/>
      <c r="AF361" s="675"/>
      <c r="AH361" s="675"/>
    </row>
    <row r="362" spans="1:34" s="536" customFormat="1" ht="12" x14ac:dyDescent="0.2">
      <c r="A362" s="557"/>
      <c r="B362" s="556"/>
      <c r="C362" s="1823" t="s">
        <v>2628</v>
      </c>
      <c r="D362" s="1823"/>
      <c r="E362" s="1823"/>
      <c r="F362" s="1823"/>
      <c r="G362" s="1823"/>
      <c r="H362" s="1823"/>
      <c r="I362" s="1823"/>
      <c r="J362" s="1823"/>
      <c r="K362" s="1823"/>
      <c r="L362" s="555"/>
      <c r="M362" s="554"/>
      <c r="N362" s="553"/>
      <c r="V362" s="674"/>
      <c r="W362" s="675"/>
      <c r="X362" s="675"/>
      <c r="AC362" s="675"/>
      <c r="AE362" s="680"/>
      <c r="AF362" s="675" t="s">
        <v>2628</v>
      </c>
      <c r="AH362" s="675"/>
    </row>
    <row r="363" spans="1:34" s="536" customFormat="1" ht="12" x14ac:dyDescent="0.2">
      <c r="A363" s="548"/>
      <c r="B363" s="552"/>
      <c r="C363" s="1822" t="s">
        <v>403</v>
      </c>
      <c r="D363" s="1822"/>
      <c r="E363" s="1822"/>
      <c r="F363" s="1822"/>
      <c r="G363" s="1822"/>
      <c r="H363" s="1822"/>
      <c r="I363" s="1822"/>
      <c r="J363" s="1822"/>
      <c r="K363" s="1822"/>
      <c r="L363" s="551">
        <v>4509.4799999999996</v>
      </c>
      <c r="M363" s="550"/>
      <c r="N363" s="549"/>
      <c r="V363" s="674"/>
      <c r="W363" s="675"/>
      <c r="X363" s="675"/>
      <c r="AC363" s="675"/>
      <c r="AE363" s="680"/>
      <c r="AF363" s="675"/>
      <c r="AG363" s="537" t="s">
        <v>403</v>
      </c>
      <c r="AH363" s="675"/>
    </row>
    <row r="364" spans="1:34" s="536" customFormat="1" ht="12" x14ac:dyDescent="0.2">
      <c r="A364" s="548"/>
      <c r="B364" s="552"/>
      <c r="C364" s="1822" t="s">
        <v>204</v>
      </c>
      <c r="D364" s="1822"/>
      <c r="E364" s="1822"/>
      <c r="F364" s="1822"/>
      <c r="G364" s="1822"/>
      <c r="H364" s="1822"/>
      <c r="I364" s="1822"/>
      <c r="J364" s="1822"/>
      <c r="K364" s="1822"/>
      <c r="L364" s="551"/>
      <c r="M364" s="550"/>
      <c r="N364" s="549"/>
      <c r="V364" s="674"/>
      <c r="W364" s="675"/>
      <c r="X364" s="675"/>
      <c r="AC364" s="675"/>
      <c r="AE364" s="680"/>
      <c r="AF364" s="675"/>
      <c r="AG364" s="537" t="s">
        <v>204</v>
      </c>
      <c r="AH364" s="675"/>
    </row>
    <row r="365" spans="1:34" s="536" customFormat="1" ht="12" x14ac:dyDescent="0.2">
      <c r="A365" s="548"/>
      <c r="B365" s="552"/>
      <c r="C365" s="1822" t="s">
        <v>404</v>
      </c>
      <c r="D365" s="1822"/>
      <c r="E365" s="1822"/>
      <c r="F365" s="1822"/>
      <c r="G365" s="1822"/>
      <c r="H365" s="1822"/>
      <c r="I365" s="1822"/>
      <c r="J365" s="1822"/>
      <c r="K365" s="1822"/>
      <c r="L365" s="551">
        <v>84.1</v>
      </c>
      <c r="M365" s="550"/>
      <c r="N365" s="549"/>
      <c r="V365" s="674"/>
      <c r="W365" s="675"/>
      <c r="X365" s="675"/>
      <c r="AC365" s="675"/>
      <c r="AE365" s="680"/>
      <c r="AF365" s="675"/>
      <c r="AG365" s="537" t="s">
        <v>404</v>
      </c>
      <c r="AH365" s="675"/>
    </row>
    <row r="366" spans="1:34" s="536" customFormat="1" ht="12" x14ac:dyDescent="0.2">
      <c r="A366" s="548"/>
      <c r="B366" s="552"/>
      <c r="C366" s="1822" t="s">
        <v>480</v>
      </c>
      <c r="D366" s="1822"/>
      <c r="E366" s="1822"/>
      <c r="F366" s="1822"/>
      <c r="G366" s="1822"/>
      <c r="H366" s="1822"/>
      <c r="I366" s="1822"/>
      <c r="J366" s="1822"/>
      <c r="K366" s="1822"/>
      <c r="L366" s="551">
        <v>4425.38</v>
      </c>
      <c r="M366" s="550"/>
      <c r="N366" s="549"/>
      <c r="V366" s="674"/>
      <c r="W366" s="675"/>
      <c r="X366" s="675"/>
      <c r="AC366" s="675"/>
      <c r="AE366" s="680"/>
      <c r="AF366" s="675"/>
      <c r="AG366" s="537" t="s">
        <v>480</v>
      </c>
      <c r="AH366" s="675"/>
    </row>
    <row r="367" spans="1:34" s="536" customFormat="1" ht="12" x14ac:dyDescent="0.2">
      <c r="A367" s="548"/>
      <c r="B367" s="552"/>
      <c r="C367" s="1822" t="s">
        <v>407</v>
      </c>
      <c r="D367" s="1822"/>
      <c r="E367" s="1822"/>
      <c r="F367" s="1822"/>
      <c r="G367" s="1822"/>
      <c r="H367" s="1822"/>
      <c r="I367" s="1822"/>
      <c r="J367" s="1822"/>
      <c r="K367" s="1822"/>
      <c r="L367" s="551">
        <v>4671.79</v>
      </c>
      <c r="M367" s="550"/>
      <c r="N367" s="549"/>
      <c r="V367" s="674"/>
      <c r="W367" s="675"/>
      <c r="X367" s="675"/>
      <c r="AC367" s="675"/>
      <c r="AE367" s="680"/>
      <c r="AF367" s="675"/>
      <c r="AG367" s="537" t="s">
        <v>407</v>
      </c>
      <c r="AH367" s="675"/>
    </row>
    <row r="368" spans="1:34" s="536" customFormat="1" ht="12" x14ac:dyDescent="0.2">
      <c r="A368" s="548"/>
      <c r="B368" s="552"/>
      <c r="C368" s="1822" t="s">
        <v>204</v>
      </c>
      <c r="D368" s="1822"/>
      <c r="E368" s="1822"/>
      <c r="F368" s="1822"/>
      <c r="G368" s="1822"/>
      <c r="H368" s="1822"/>
      <c r="I368" s="1822"/>
      <c r="J368" s="1822"/>
      <c r="K368" s="1822"/>
      <c r="L368" s="551"/>
      <c r="M368" s="550"/>
      <c r="N368" s="549"/>
      <c r="V368" s="674"/>
      <c r="W368" s="675"/>
      <c r="X368" s="675"/>
      <c r="AC368" s="675"/>
      <c r="AE368" s="680"/>
      <c r="AF368" s="675"/>
      <c r="AG368" s="537" t="s">
        <v>204</v>
      </c>
      <c r="AH368" s="675"/>
    </row>
    <row r="369" spans="1:34" s="536" customFormat="1" ht="12" x14ac:dyDescent="0.2">
      <c r="A369" s="548"/>
      <c r="B369" s="552"/>
      <c r="C369" s="1822" t="s">
        <v>546</v>
      </c>
      <c r="D369" s="1822"/>
      <c r="E369" s="1822"/>
      <c r="F369" s="1822"/>
      <c r="G369" s="1822"/>
      <c r="H369" s="1822"/>
      <c r="I369" s="1822"/>
      <c r="J369" s="1822"/>
      <c r="K369" s="1822"/>
      <c r="L369" s="551">
        <v>84.1</v>
      </c>
      <c r="M369" s="550"/>
      <c r="N369" s="549"/>
      <c r="V369" s="674"/>
      <c r="W369" s="675"/>
      <c r="X369" s="675"/>
      <c r="AC369" s="675"/>
      <c r="AE369" s="680"/>
      <c r="AF369" s="675"/>
      <c r="AG369" s="537" t="s">
        <v>546</v>
      </c>
      <c r="AH369" s="675"/>
    </row>
    <row r="370" spans="1:34" s="536" customFormat="1" ht="12" x14ac:dyDescent="0.2">
      <c r="A370" s="548"/>
      <c r="B370" s="552"/>
      <c r="C370" s="1822" t="s">
        <v>547</v>
      </c>
      <c r="D370" s="1822"/>
      <c r="E370" s="1822"/>
      <c r="F370" s="1822"/>
      <c r="G370" s="1822"/>
      <c r="H370" s="1822"/>
      <c r="I370" s="1822"/>
      <c r="J370" s="1822"/>
      <c r="K370" s="1822"/>
      <c r="L370" s="551">
        <v>4425.38</v>
      </c>
      <c r="M370" s="550"/>
      <c r="N370" s="549"/>
      <c r="V370" s="674"/>
      <c r="W370" s="675"/>
      <c r="X370" s="675"/>
      <c r="AC370" s="675"/>
      <c r="AE370" s="680"/>
      <c r="AF370" s="675"/>
      <c r="AG370" s="537" t="s">
        <v>547</v>
      </c>
      <c r="AH370" s="675"/>
    </row>
    <row r="371" spans="1:34" s="536" customFormat="1" ht="12" x14ac:dyDescent="0.2">
      <c r="A371" s="548"/>
      <c r="B371" s="552"/>
      <c r="C371" s="1822" t="s">
        <v>443</v>
      </c>
      <c r="D371" s="1822"/>
      <c r="E371" s="1822"/>
      <c r="F371" s="1822"/>
      <c r="G371" s="1822"/>
      <c r="H371" s="1822"/>
      <c r="I371" s="1822"/>
      <c r="J371" s="1822"/>
      <c r="K371" s="1822"/>
      <c r="L371" s="551">
        <v>101.76</v>
      </c>
      <c r="M371" s="550"/>
      <c r="N371" s="549"/>
      <c r="V371" s="674"/>
      <c r="W371" s="675"/>
      <c r="X371" s="675"/>
      <c r="AC371" s="675"/>
      <c r="AE371" s="680"/>
      <c r="AF371" s="675"/>
      <c r="AG371" s="537" t="s">
        <v>443</v>
      </c>
      <c r="AH371" s="675"/>
    </row>
    <row r="372" spans="1:34" s="536" customFormat="1" ht="12" x14ac:dyDescent="0.2">
      <c r="A372" s="548"/>
      <c r="B372" s="552"/>
      <c r="C372" s="1822" t="s">
        <v>444</v>
      </c>
      <c r="D372" s="1822"/>
      <c r="E372" s="1822"/>
      <c r="F372" s="1822"/>
      <c r="G372" s="1822"/>
      <c r="H372" s="1822"/>
      <c r="I372" s="1822"/>
      <c r="J372" s="1822"/>
      <c r="K372" s="1822"/>
      <c r="L372" s="551">
        <v>60.55</v>
      </c>
      <c r="M372" s="550"/>
      <c r="N372" s="549"/>
      <c r="V372" s="674"/>
      <c r="W372" s="675"/>
      <c r="X372" s="675"/>
      <c r="AC372" s="675"/>
      <c r="AE372" s="680"/>
      <c r="AF372" s="675"/>
      <c r="AG372" s="537" t="s">
        <v>444</v>
      </c>
      <c r="AH372" s="675"/>
    </row>
    <row r="373" spans="1:34" s="536" customFormat="1" ht="12" x14ac:dyDescent="0.2">
      <c r="A373" s="548"/>
      <c r="B373" s="552"/>
      <c r="C373" s="1822" t="s">
        <v>754</v>
      </c>
      <c r="D373" s="1822"/>
      <c r="E373" s="1822"/>
      <c r="F373" s="1822"/>
      <c r="G373" s="1822"/>
      <c r="H373" s="1822"/>
      <c r="I373" s="1822"/>
      <c r="J373" s="1822"/>
      <c r="K373" s="1822"/>
      <c r="L373" s="551">
        <v>2911.11</v>
      </c>
      <c r="M373" s="550"/>
      <c r="N373" s="549"/>
      <c r="V373" s="674"/>
      <c r="W373" s="675"/>
      <c r="X373" s="675"/>
      <c r="AC373" s="675"/>
      <c r="AE373" s="680"/>
      <c r="AF373" s="675"/>
      <c r="AG373" s="537" t="s">
        <v>754</v>
      </c>
      <c r="AH373" s="675"/>
    </row>
    <row r="374" spans="1:34" s="536" customFormat="1" ht="12" x14ac:dyDescent="0.2">
      <c r="A374" s="548"/>
      <c r="B374" s="552"/>
      <c r="C374" s="1822" t="s">
        <v>415</v>
      </c>
      <c r="D374" s="1822"/>
      <c r="E374" s="1822"/>
      <c r="F374" s="1822"/>
      <c r="G374" s="1822"/>
      <c r="H374" s="1822"/>
      <c r="I374" s="1822"/>
      <c r="J374" s="1822"/>
      <c r="K374" s="1822"/>
      <c r="L374" s="551">
        <v>84.1</v>
      </c>
      <c r="M374" s="550"/>
      <c r="N374" s="549"/>
      <c r="V374" s="674"/>
      <c r="W374" s="675"/>
      <c r="X374" s="675"/>
      <c r="AC374" s="675"/>
      <c r="AE374" s="680"/>
      <c r="AF374" s="675"/>
      <c r="AG374" s="537" t="s">
        <v>415</v>
      </c>
      <c r="AH374" s="675"/>
    </row>
    <row r="375" spans="1:34" s="536" customFormat="1" ht="12" x14ac:dyDescent="0.2">
      <c r="A375" s="548"/>
      <c r="B375" s="552"/>
      <c r="C375" s="1822" t="s">
        <v>416</v>
      </c>
      <c r="D375" s="1822"/>
      <c r="E375" s="1822"/>
      <c r="F375" s="1822"/>
      <c r="G375" s="1822"/>
      <c r="H375" s="1822"/>
      <c r="I375" s="1822"/>
      <c r="J375" s="1822"/>
      <c r="K375" s="1822"/>
      <c r="L375" s="551">
        <v>101.76</v>
      </c>
      <c r="M375" s="550"/>
      <c r="N375" s="549"/>
      <c r="V375" s="674"/>
      <c r="W375" s="675"/>
      <c r="X375" s="675"/>
      <c r="AC375" s="675"/>
      <c r="AE375" s="680"/>
      <c r="AF375" s="675"/>
      <c r="AG375" s="537" t="s">
        <v>416</v>
      </c>
      <c r="AH375" s="675"/>
    </row>
    <row r="376" spans="1:34" s="536" customFormat="1" ht="12" x14ac:dyDescent="0.2">
      <c r="A376" s="548"/>
      <c r="B376" s="552"/>
      <c r="C376" s="1822" t="s">
        <v>417</v>
      </c>
      <c r="D376" s="1822"/>
      <c r="E376" s="1822"/>
      <c r="F376" s="1822"/>
      <c r="G376" s="1822"/>
      <c r="H376" s="1822"/>
      <c r="I376" s="1822"/>
      <c r="J376" s="1822"/>
      <c r="K376" s="1822"/>
      <c r="L376" s="551">
        <v>60.55</v>
      </c>
      <c r="M376" s="550"/>
      <c r="N376" s="549"/>
      <c r="V376" s="674"/>
      <c r="W376" s="675"/>
      <c r="X376" s="675"/>
      <c r="AC376" s="675"/>
      <c r="AE376" s="680"/>
      <c r="AF376" s="675"/>
      <c r="AG376" s="537" t="s">
        <v>417</v>
      </c>
      <c r="AH376" s="675"/>
    </row>
    <row r="377" spans="1:34" s="536" customFormat="1" ht="12" x14ac:dyDescent="0.2">
      <c r="A377" s="548"/>
      <c r="B377" s="546"/>
      <c r="C377" s="1819" t="s">
        <v>2629</v>
      </c>
      <c r="D377" s="1819"/>
      <c r="E377" s="1819"/>
      <c r="F377" s="1819"/>
      <c r="G377" s="1819"/>
      <c r="H377" s="1819"/>
      <c r="I377" s="1819"/>
      <c r="J377" s="1819"/>
      <c r="K377" s="1819"/>
      <c r="L377" s="544">
        <v>7582.9</v>
      </c>
      <c r="M377" s="543"/>
      <c r="N377" s="681"/>
      <c r="V377" s="674"/>
      <c r="W377" s="675"/>
      <c r="X377" s="675"/>
      <c r="AC377" s="675"/>
      <c r="AE377" s="680"/>
      <c r="AF377" s="675"/>
      <c r="AH377" s="675" t="s">
        <v>2629</v>
      </c>
    </row>
    <row r="378" spans="1:34" s="536" customFormat="1" ht="12" x14ac:dyDescent="0.2">
      <c r="A378" s="548"/>
      <c r="B378" s="552"/>
      <c r="C378" s="1822" t="s">
        <v>204</v>
      </c>
      <c r="D378" s="1822"/>
      <c r="E378" s="1822"/>
      <c r="F378" s="1822"/>
      <c r="G378" s="1822"/>
      <c r="H378" s="1822"/>
      <c r="I378" s="1822"/>
      <c r="J378" s="1822"/>
      <c r="K378" s="1822"/>
      <c r="L378" s="551"/>
      <c r="M378" s="550"/>
      <c r="N378" s="549"/>
      <c r="V378" s="674"/>
      <c r="W378" s="675"/>
      <c r="X378" s="675"/>
      <c r="AC378" s="675"/>
      <c r="AE378" s="680"/>
      <c r="AF378" s="675"/>
      <c r="AG378" s="537" t="s">
        <v>204</v>
      </c>
      <c r="AH378" s="675"/>
    </row>
    <row r="379" spans="1:34" s="536" customFormat="1" ht="12" x14ac:dyDescent="0.2">
      <c r="A379" s="548"/>
      <c r="B379" s="552"/>
      <c r="C379" s="1822" t="s">
        <v>8095</v>
      </c>
      <c r="D379" s="1822"/>
      <c r="E379" s="1822"/>
      <c r="F379" s="1822"/>
      <c r="G379" s="1822"/>
      <c r="H379" s="1822"/>
      <c r="I379" s="1822"/>
      <c r="J379" s="1822"/>
      <c r="K379" s="1822"/>
      <c r="L379" s="551">
        <v>4413.7</v>
      </c>
      <c r="M379" s="550"/>
      <c r="N379" s="549"/>
      <c r="V379" s="674"/>
      <c r="W379" s="675"/>
      <c r="X379" s="675"/>
      <c r="AC379" s="675"/>
      <c r="AE379" s="680"/>
      <c r="AF379" s="675"/>
      <c r="AG379" s="537" t="s">
        <v>8095</v>
      </c>
      <c r="AH379" s="675"/>
    </row>
    <row r="380" spans="1:34" s="536" customFormat="1" ht="12" x14ac:dyDescent="0.2">
      <c r="A380" s="548"/>
      <c r="B380" s="552"/>
      <c r="C380" s="1822" t="s">
        <v>8097</v>
      </c>
      <c r="D380" s="1822"/>
      <c r="E380" s="1822"/>
      <c r="F380" s="1822"/>
      <c r="G380" s="1822"/>
      <c r="H380" s="1822"/>
      <c r="I380" s="1822"/>
      <c r="J380" s="1822"/>
      <c r="K380" s="1822"/>
      <c r="L380" s="551">
        <v>2911.11</v>
      </c>
      <c r="M380" s="550"/>
      <c r="N380" s="549"/>
      <c r="V380" s="674"/>
      <c r="W380" s="675"/>
      <c r="X380" s="675"/>
      <c r="AC380" s="675"/>
      <c r="AE380" s="680"/>
      <c r="AF380" s="675"/>
      <c r="AG380" s="537" t="s">
        <v>8097</v>
      </c>
      <c r="AH380" s="675"/>
    </row>
    <row r="381" spans="1:34" s="536" customFormat="1" ht="12" x14ac:dyDescent="0.2">
      <c r="A381" s="1824" t="s">
        <v>1124</v>
      </c>
      <c r="B381" s="1825"/>
      <c r="C381" s="1825"/>
      <c r="D381" s="1825"/>
      <c r="E381" s="1825"/>
      <c r="F381" s="1825"/>
      <c r="G381" s="1825"/>
      <c r="H381" s="1825"/>
      <c r="I381" s="1825"/>
      <c r="J381" s="1825"/>
      <c r="K381" s="1825"/>
      <c r="L381" s="1825"/>
      <c r="M381" s="1825"/>
      <c r="N381" s="1826"/>
      <c r="V381" s="674" t="s">
        <v>1124</v>
      </c>
      <c r="W381" s="675"/>
      <c r="X381" s="675"/>
      <c r="AC381" s="675"/>
      <c r="AE381" s="680"/>
      <c r="AF381" s="675"/>
      <c r="AH381" s="675"/>
    </row>
    <row r="382" spans="1:34" s="536" customFormat="1" ht="67.5" x14ac:dyDescent="0.2">
      <c r="A382" s="575" t="s">
        <v>786</v>
      </c>
      <c r="B382" s="657" t="s">
        <v>1616</v>
      </c>
      <c r="C382" s="1823" t="s">
        <v>2630</v>
      </c>
      <c r="D382" s="1823"/>
      <c r="E382" s="1823"/>
      <c r="F382" s="573" t="s">
        <v>201</v>
      </c>
      <c r="G382" s="573"/>
      <c r="H382" s="573"/>
      <c r="I382" s="573" t="s">
        <v>2631</v>
      </c>
      <c r="J382" s="572">
        <v>90.45</v>
      </c>
      <c r="K382" s="573"/>
      <c r="L382" s="572">
        <v>16.37</v>
      </c>
      <c r="M382" s="571"/>
      <c r="N382" s="570"/>
      <c r="V382" s="674"/>
      <c r="W382" s="675"/>
      <c r="X382" s="675" t="s">
        <v>2630</v>
      </c>
      <c r="AC382" s="675"/>
      <c r="AE382" s="680"/>
      <c r="AF382" s="675"/>
      <c r="AH382" s="675"/>
    </row>
    <row r="383" spans="1:34" s="536" customFormat="1" ht="12" x14ac:dyDescent="0.2">
      <c r="A383" s="569"/>
      <c r="B383" s="656"/>
      <c r="C383" s="661" t="s">
        <v>717</v>
      </c>
      <c r="D383" s="662"/>
      <c r="E383" s="662"/>
      <c r="F383" s="563"/>
      <c r="G383" s="563"/>
      <c r="H383" s="563"/>
      <c r="I383" s="563"/>
      <c r="J383" s="566"/>
      <c r="K383" s="563"/>
      <c r="L383" s="566"/>
      <c r="M383" s="565"/>
      <c r="N383" s="564"/>
      <c r="V383" s="674"/>
      <c r="W383" s="675"/>
      <c r="X383" s="675"/>
      <c r="AC383" s="675"/>
      <c r="AE383" s="680"/>
      <c r="AF383" s="675"/>
      <c r="AH383" s="675"/>
    </row>
    <row r="384" spans="1:34" s="536" customFormat="1" ht="12" x14ac:dyDescent="0.2">
      <c r="A384" s="676"/>
      <c r="B384" s="655"/>
      <c r="C384" s="1822" t="s">
        <v>2632</v>
      </c>
      <c r="D384" s="1822"/>
      <c r="E384" s="1822"/>
      <c r="F384" s="1822"/>
      <c r="G384" s="1822"/>
      <c r="H384" s="1822"/>
      <c r="I384" s="1822"/>
      <c r="J384" s="1822"/>
      <c r="K384" s="1822"/>
      <c r="L384" s="1822"/>
      <c r="M384" s="1822"/>
      <c r="N384" s="1827"/>
      <c r="V384" s="674"/>
      <c r="W384" s="675"/>
      <c r="X384" s="675"/>
      <c r="AC384" s="675"/>
      <c r="AD384" s="537" t="s">
        <v>2632</v>
      </c>
      <c r="AE384" s="680"/>
      <c r="AF384" s="675"/>
      <c r="AH384" s="675"/>
    </row>
    <row r="385" spans="1:36" s="536" customFormat="1" ht="67.5" x14ac:dyDescent="0.2">
      <c r="A385" s="575" t="s">
        <v>787</v>
      </c>
      <c r="B385" s="657" t="s">
        <v>1497</v>
      </c>
      <c r="C385" s="1823" t="s">
        <v>2633</v>
      </c>
      <c r="D385" s="1823"/>
      <c r="E385" s="1823"/>
      <c r="F385" s="573" t="s">
        <v>201</v>
      </c>
      <c r="G385" s="573"/>
      <c r="H385" s="573"/>
      <c r="I385" s="573" t="s">
        <v>1505</v>
      </c>
      <c r="J385" s="572">
        <v>76.88</v>
      </c>
      <c r="K385" s="573"/>
      <c r="L385" s="572">
        <v>0.85</v>
      </c>
      <c r="M385" s="571"/>
      <c r="N385" s="570"/>
      <c r="V385" s="674"/>
      <c r="W385" s="675"/>
      <c r="X385" s="675" t="s">
        <v>2633</v>
      </c>
      <c r="AC385" s="675"/>
      <c r="AE385" s="680"/>
      <c r="AF385" s="675"/>
      <c r="AH385" s="675"/>
    </row>
    <row r="386" spans="1:36" s="536" customFormat="1" ht="12" x14ac:dyDescent="0.2">
      <c r="A386" s="569"/>
      <c r="B386" s="656"/>
      <c r="C386" s="661" t="s">
        <v>717</v>
      </c>
      <c r="D386" s="662"/>
      <c r="E386" s="662"/>
      <c r="F386" s="563"/>
      <c r="G386" s="563"/>
      <c r="H386" s="563"/>
      <c r="I386" s="563"/>
      <c r="J386" s="566"/>
      <c r="K386" s="563"/>
      <c r="L386" s="566"/>
      <c r="M386" s="565"/>
      <c r="N386" s="564"/>
      <c r="V386" s="674"/>
      <c r="W386" s="675"/>
      <c r="X386" s="675"/>
      <c r="AC386" s="675"/>
      <c r="AE386" s="680"/>
      <c r="AF386" s="675"/>
      <c r="AH386" s="675"/>
    </row>
    <row r="387" spans="1:36" s="536" customFormat="1" ht="12" x14ac:dyDescent="0.2">
      <c r="A387" s="676"/>
      <c r="B387" s="655"/>
      <c r="C387" s="1822" t="s">
        <v>2634</v>
      </c>
      <c r="D387" s="1822"/>
      <c r="E387" s="1822"/>
      <c r="F387" s="1822"/>
      <c r="G387" s="1822"/>
      <c r="H387" s="1822"/>
      <c r="I387" s="1822"/>
      <c r="J387" s="1822"/>
      <c r="K387" s="1822"/>
      <c r="L387" s="1822"/>
      <c r="M387" s="1822"/>
      <c r="N387" s="1827"/>
      <c r="V387" s="674"/>
      <c r="W387" s="675"/>
      <c r="X387" s="675"/>
      <c r="AC387" s="675"/>
      <c r="AD387" s="537" t="s">
        <v>2634</v>
      </c>
      <c r="AE387" s="680"/>
      <c r="AF387" s="675"/>
      <c r="AH387" s="675"/>
    </row>
    <row r="388" spans="1:36" s="536" customFormat="1" ht="1.5" customHeight="1" x14ac:dyDescent="0.2">
      <c r="A388" s="563"/>
      <c r="B388" s="656"/>
      <c r="C388" s="656"/>
      <c r="D388" s="656"/>
      <c r="E388" s="656"/>
      <c r="F388" s="563"/>
      <c r="G388" s="563"/>
      <c r="H388" s="563"/>
      <c r="I388" s="563"/>
      <c r="J388" s="546"/>
      <c r="K388" s="563"/>
      <c r="L388" s="546"/>
      <c r="M388" s="562"/>
      <c r="N388" s="546"/>
      <c r="V388" s="674"/>
      <c r="W388" s="675"/>
      <c r="X388" s="675"/>
      <c r="AC388" s="675"/>
      <c r="AE388" s="680"/>
      <c r="AF388" s="675"/>
      <c r="AH388" s="675"/>
    </row>
    <row r="389" spans="1:36" s="536" customFormat="1" ht="22.5" x14ac:dyDescent="0.2">
      <c r="A389" s="557"/>
      <c r="B389" s="556"/>
      <c r="C389" s="1823" t="s">
        <v>1138</v>
      </c>
      <c r="D389" s="1823"/>
      <c r="E389" s="1823"/>
      <c r="F389" s="1823"/>
      <c r="G389" s="1823"/>
      <c r="H389" s="1823"/>
      <c r="I389" s="1823"/>
      <c r="J389" s="1823"/>
      <c r="K389" s="1823"/>
      <c r="L389" s="555"/>
      <c r="M389" s="554"/>
      <c r="N389" s="553"/>
      <c r="V389" s="674"/>
      <c r="W389" s="675"/>
      <c r="X389" s="675"/>
      <c r="AC389" s="675"/>
      <c r="AE389" s="680"/>
      <c r="AF389" s="675" t="s">
        <v>1138</v>
      </c>
      <c r="AH389" s="675"/>
    </row>
    <row r="390" spans="1:36" s="536" customFormat="1" ht="12" x14ac:dyDescent="0.2">
      <c r="A390" s="548"/>
      <c r="B390" s="552"/>
      <c r="C390" s="1822" t="s">
        <v>403</v>
      </c>
      <c r="D390" s="1822"/>
      <c r="E390" s="1822"/>
      <c r="F390" s="1822"/>
      <c r="G390" s="1822"/>
      <c r="H390" s="1822"/>
      <c r="I390" s="1822"/>
      <c r="J390" s="1822"/>
      <c r="K390" s="1822"/>
      <c r="L390" s="551">
        <v>17.22</v>
      </c>
      <c r="M390" s="550"/>
      <c r="N390" s="549"/>
      <c r="V390" s="674"/>
      <c r="W390" s="675"/>
      <c r="X390" s="675"/>
      <c r="AC390" s="675"/>
      <c r="AE390" s="680"/>
      <c r="AF390" s="675"/>
      <c r="AG390" s="537" t="s">
        <v>403</v>
      </c>
      <c r="AH390" s="675"/>
    </row>
    <row r="391" spans="1:36" s="536" customFormat="1" ht="12" x14ac:dyDescent="0.2">
      <c r="A391" s="548"/>
      <c r="B391" s="552"/>
      <c r="C391" s="1822" t="s">
        <v>204</v>
      </c>
      <c r="D391" s="1822"/>
      <c r="E391" s="1822"/>
      <c r="F391" s="1822"/>
      <c r="G391" s="1822"/>
      <c r="H391" s="1822"/>
      <c r="I391" s="1822"/>
      <c r="J391" s="1822"/>
      <c r="K391" s="1822"/>
      <c r="L391" s="551"/>
      <c r="M391" s="550"/>
      <c r="N391" s="549"/>
      <c r="V391" s="674"/>
      <c r="W391" s="675"/>
      <c r="X391" s="675"/>
      <c r="AC391" s="675"/>
      <c r="AE391" s="680"/>
      <c r="AF391" s="675"/>
      <c r="AG391" s="537" t="s">
        <v>204</v>
      </c>
      <c r="AH391" s="675"/>
    </row>
    <row r="392" spans="1:36" s="536" customFormat="1" ht="12" x14ac:dyDescent="0.2">
      <c r="A392" s="548"/>
      <c r="B392" s="552"/>
      <c r="C392" s="1822" t="s">
        <v>480</v>
      </c>
      <c r="D392" s="1822"/>
      <c r="E392" s="1822"/>
      <c r="F392" s="1822"/>
      <c r="G392" s="1822"/>
      <c r="H392" s="1822"/>
      <c r="I392" s="1822"/>
      <c r="J392" s="1822"/>
      <c r="K392" s="1822"/>
      <c r="L392" s="551">
        <v>17.22</v>
      </c>
      <c r="M392" s="550"/>
      <c r="N392" s="549"/>
      <c r="V392" s="674"/>
      <c r="W392" s="675"/>
      <c r="X392" s="675"/>
      <c r="AC392" s="675"/>
      <c r="AE392" s="680"/>
      <c r="AF392" s="675"/>
      <c r="AG392" s="537" t="s">
        <v>480</v>
      </c>
      <c r="AH392" s="675"/>
    </row>
    <row r="393" spans="1:36" s="536" customFormat="1" ht="12" x14ac:dyDescent="0.2">
      <c r="A393" s="548"/>
      <c r="B393" s="552"/>
      <c r="C393" s="1822" t="s">
        <v>407</v>
      </c>
      <c r="D393" s="1822"/>
      <c r="E393" s="1822"/>
      <c r="F393" s="1822"/>
      <c r="G393" s="1822"/>
      <c r="H393" s="1822"/>
      <c r="I393" s="1822"/>
      <c r="J393" s="1822"/>
      <c r="K393" s="1822"/>
      <c r="L393" s="551">
        <v>17.22</v>
      </c>
      <c r="M393" s="550"/>
      <c r="N393" s="549"/>
      <c r="V393" s="674"/>
      <c r="W393" s="675"/>
      <c r="X393" s="675"/>
      <c r="AC393" s="675"/>
      <c r="AE393" s="680"/>
      <c r="AF393" s="675"/>
      <c r="AG393" s="537" t="s">
        <v>407</v>
      </c>
      <c r="AH393" s="675"/>
    </row>
    <row r="394" spans="1:36" s="536" customFormat="1" ht="12" x14ac:dyDescent="0.2">
      <c r="A394" s="548"/>
      <c r="B394" s="552"/>
      <c r="C394" s="1822" t="s">
        <v>204</v>
      </c>
      <c r="D394" s="1822"/>
      <c r="E394" s="1822"/>
      <c r="F394" s="1822"/>
      <c r="G394" s="1822"/>
      <c r="H394" s="1822"/>
      <c r="I394" s="1822"/>
      <c r="J394" s="1822"/>
      <c r="K394" s="1822"/>
      <c r="L394" s="551"/>
      <c r="M394" s="550"/>
      <c r="N394" s="549"/>
      <c r="V394" s="674"/>
      <c r="W394" s="675"/>
      <c r="X394" s="675"/>
      <c r="AC394" s="675"/>
      <c r="AE394" s="680"/>
      <c r="AF394" s="675"/>
      <c r="AG394" s="537" t="s">
        <v>204</v>
      </c>
      <c r="AH394" s="675"/>
    </row>
    <row r="395" spans="1:36" s="536" customFormat="1" ht="12" x14ac:dyDescent="0.2">
      <c r="A395" s="548"/>
      <c r="B395" s="552"/>
      <c r="C395" s="1822" t="s">
        <v>547</v>
      </c>
      <c r="D395" s="1822"/>
      <c r="E395" s="1822"/>
      <c r="F395" s="1822"/>
      <c r="G395" s="1822"/>
      <c r="H395" s="1822"/>
      <c r="I395" s="1822"/>
      <c r="J395" s="1822"/>
      <c r="K395" s="1822"/>
      <c r="L395" s="551">
        <v>17.22</v>
      </c>
      <c r="M395" s="550"/>
      <c r="N395" s="549"/>
      <c r="V395" s="674"/>
      <c r="W395" s="675"/>
      <c r="X395" s="675"/>
      <c r="AC395" s="675"/>
      <c r="AE395" s="680"/>
      <c r="AF395" s="675"/>
      <c r="AG395" s="537" t="s">
        <v>547</v>
      </c>
      <c r="AH395" s="675"/>
    </row>
    <row r="396" spans="1:36" s="536" customFormat="1" ht="22.5" x14ac:dyDescent="0.2">
      <c r="A396" s="548"/>
      <c r="B396" s="546"/>
      <c r="C396" s="1819" t="s">
        <v>1139</v>
      </c>
      <c r="D396" s="1819"/>
      <c r="E396" s="1819"/>
      <c r="F396" s="1819"/>
      <c r="G396" s="1819"/>
      <c r="H396" s="1819"/>
      <c r="I396" s="1819"/>
      <c r="J396" s="1819"/>
      <c r="K396" s="1819"/>
      <c r="L396" s="544">
        <v>17.22</v>
      </c>
      <c r="M396" s="543"/>
      <c r="N396" s="681"/>
      <c r="V396" s="674"/>
      <c r="W396" s="675"/>
      <c r="X396" s="675"/>
      <c r="AC396" s="675"/>
      <c r="AE396" s="680"/>
      <c r="AF396" s="675"/>
      <c r="AH396" s="675" t="s">
        <v>1139</v>
      </c>
    </row>
    <row r="397" spans="1:36" s="536" customFormat="1" ht="2.25" customHeight="1" x14ac:dyDescent="0.2">
      <c r="B397" s="561"/>
      <c r="C397" s="561"/>
      <c r="D397" s="561"/>
      <c r="E397" s="561"/>
      <c r="F397" s="561"/>
      <c r="G397" s="561"/>
      <c r="H397" s="561"/>
      <c r="I397" s="561"/>
      <c r="J397" s="561"/>
      <c r="K397" s="561"/>
      <c r="L397" s="560"/>
      <c r="M397" s="559"/>
      <c r="N397" s="558"/>
    </row>
    <row r="398" spans="1:36" s="536" customFormat="1" x14ac:dyDescent="0.2">
      <c r="A398" s="557"/>
      <c r="B398" s="556"/>
      <c r="C398" s="1823" t="s">
        <v>205</v>
      </c>
      <c r="D398" s="1823"/>
      <c r="E398" s="1823"/>
      <c r="F398" s="1823"/>
      <c r="G398" s="1823"/>
      <c r="H398" s="1823"/>
      <c r="I398" s="1823"/>
      <c r="J398" s="1823"/>
      <c r="K398" s="1823"/>
      <c r="L398" s="555"/>
      <c r="M398" s="554"/>
      <c r="N398" s="553"/>
      <c r="AI398" s="675" t="s">
        <v>205</v>
      </c>
    </row>
    <row r="399" spans="1:36" s="536" customFormat="1" x14ac:dyDescent="0.2">
      <c r="A399" s="548"/>
      <c r="B399" s="552"/>
      <c r="C399" s="1822" t="s">
        <v>403</v>
      </c>
      <c r="D399" s="1822"/>
      <c r="E399" s="1822"/>
      <c r="F399" s="1822"/>
      <c r="G399" s="1822"/>
      <c r="H399" s="1822"/>
      <c r="I399" s="1822"/>
      <c r="J399" s="1822"/>
      <c r="K399" s="1822"/>
      <c r="L399" s="551">
        <v>18606.349999999999</v>
      </c>
      <c r="M399" s="550"/>
      <c r="N399" s="549"/>
      <c r="AI399" s="675"/>
      <c r="AJ399" s="537" t="s">
        <v>403</v>
      </c>
    </row>
    <row r="400" spans="1:36" s="536" customFormat="1" x14ac:dyDescent="0.2">
      <c r="A400" s="548"/>
      <c r="B400" s="552"/>
      <c r="C400" s="1822" t="s">
        <v>204</v>
      </c>
      <c r="D400" s="1822"/>
      <c r="E400" s="1822"/>
      <c r="F400" s="1822"/>
      <c r="G400" s="1822"/>
      <c r="H400" s="1822"/>
      <c r="I400" s="1822"/>
      <c r="J400" s="1822"/>
      <c r="K400" s="1822"/>
      <c r="L400" s="551"/>
      <c r="M400" s="550"/>
      <c r="N400" s="549"/>
      <c r="AI400" s="675"/>
      <c r="AJ400" s="537" t="s">
        <v>204</v>
      </c>
    </row>
    <row r="401" spans="1:36" s="536" customFormat="1" x14ac:dyDescent="0.2">
      <c r="A401" s="548"/>
      <c r="B401" s="552"/>
      <c r="C401" s="1822" t="s">
        <v>404</v>
      </c>
      <c r="D401" s="1822"/>
      <c r="E401" s="1822"/>
      <c r="F401" s="1822"/>
      <c r="G401" s="1822"/>
      <c r="H401" s="1822"/>
      <c r="I401" s="1822"/>
      <c r="J401" s="1822"/>
      <c r="K401" s="1822"/>
      <c r="L401" s="551">
        <v>409.85</v>
      </c>
      <c r="M401" s="550"/>
      <c r="N401" s="549"/>
      <c r="AI401" s="675"/>
      <c r="AJ401" s="537" t="s">
        <v>404</v>
      </c>
    </row>
    <row r="402" spans="1:36" s="536" customFormat="1" x14ac:dyDescent="0.2">
      <c r="A402" s="548"/>
      <c r="B402" s="552"/>
      <c r="C402" s="1822" t="s">
        <v>405</v>
      </c>
      <c r="D402" s="1822"/>
      <c r="E402" s="1822"/>
      <c r="F402" s="1822"/>
      <c r="G402" s="1822"/>
      <c r="H402" s="1822"/>
      <c r="I402" s="1822"/>
      <c r="J402" s="1822"/>
      <c r="K402" s="1822"/>
      <c r="L402" s="551">
        <v>208.71</v>
      </c>
      <c r="M402" s="550"/>
      <c r="N402" s="549"/>
      <c r="AI402" s="675"/>
      <c r="AJ402" s="537" t="s">
        <v>405</v>
      </c>
    </row>
    <row r="403" spans="1:36" s="536" customFormat="1" x14ac:dyDescent="0.2">
      <c r="A403" s="548"/>
      <c r="B403" s="552"/>
      <c r="C403" s="1822" t="s">
        <v>406</v>
      </c>
      <c r="D403" s="1822"/>
      <c r="E403" s="1822"/>
      <c r="F403" s="1822"/>
      <c r="G403" s="1822"/>
      <c r="H403" s="1822"/>
      <c r="I403" s="1822"/>
      <c r="J403" s="1822"/>
      <c r="K403" s="1822"/>
      <c r="L403" s="551">
        <v>25.64</v>
      </c>
      <c r="M403" s="550"/>
      <c r="N403" s="549"/>
      <c r="AI403" s="675"/>
      <c r="AJ403" s="537" t="s">
        <v>406</v>
      </c>
    </row>
    <row r="404" spans="1:36" s="536" customFormat="1" x14ac:dyDescent="0.2">
      <c r="A404" s="548"/>
      <c r="B404" s="552"/>
      <c r="C404" s="1822" t="s">
        <v>480</v>
      </c>
      <c r="D404" s="1822"/>
      <c r="E404" s="1822"/>
      <c r="F404" s="1822"/>
      <c r="G404" s="1822"/>
      <c r="H404" s="1822"/>
      <c r="I404" s="1822"/>
      <c r="J404" s="1822"/>
      <c r="K404" s="1822"/>
      <c r="L404" s="551">
        <v>17987.79</v>
      </c>
      <c r="M404" s="550"/>
      <c r="N404" s="549"/>
      <c r="AI404" s="675"/>
      <c r="AJ404" s="537" t="s">
        <v>480</v>
      </c>
    </row>
    <row r="405" spans="1:36" s="536" customFormat="1" x14ac:dyDescent="0.2">
      <c r="A405" s="548"/>
      <c r="B405" s="552" t="s">
        <v>185</v>
      </c>
      <c r="C405" s="1822" t="s">
        <v>407</v>
      </c>
      <c r="D405" s="1822"/>
      <c r="E405" s="1822"/>
      <c r="F405" s="1822"/>
      <c r="G405" s="1822"/>
      <c r="H405" s="1822"/>
      <c r="I405" s="1822"/>
      <c r="J405" s="1822"/>
      <c r="K405" s="1822"/>
      <c r="L405" s="551">
        <v>19401.11</v>
      </c>
      <c r="M405" s="550">
        <v>8.32</v>
      </c>
      <c r="N405" s="549">
        <v>161417</v>
      </c>
      <c r="AI405" s="675"/>
      <c r="AJ405" s="537" t="s">
        <v>407</v>
      </c>
    </row>
    <row r="406" spans="1:36" s="536" customFormat="1" x14ac:dyDescent="0.2">
      <c r="A406" s="548"/>
      <c r="B406" s="552"/>
      <c r="C406" s="1822" t="s">
        <v>204</v>
      </c>
      <c r="D406" s="1822"/>
      <c r="E406" s="1822"/>
      <c r="F406" s="1822"/>
      <c r="G406" s="1822"/>
      <c r="H406" s="1822"/>
      <c r="I406" s="1822"/>
      <c r="J406" s="1822"/>
      <c r="K406" s="1822"/>
      <c r="L406" s="551"/>
      <c r="M406" s="550"/>
      <c r="N406" s="549"/>
      <c r="AI406" s="675"/>
      <c r="AJ406" s="537" t="s">
        <v>204</v>
      </c>
    </row>
    <row r="407" spans="1:36" s="536" customFormat="1" x14ac:dyDescent="0.2">
      <c r="A407" s="548"/>
      <c r="B407" s="552"/>
      <c r="C407" s="1822" t="s">
        <v>546</v>
      </c>
      <c r="D407" s="1822"/>
      <c r="E407" s="1822"/>
      <c r="F407" s="1822"/>
      <c r="G407" s="1822"/>
      <c r="H407" s="1822"/>
      <c r="I407" s="1822"/>
      <c r="J407" s="1822"/>
      <c r="K407" s="1822"/>
      <c r="L407" s="551">
        <v>409.85</v>
      </c>
      <c r="M407" s="550"/>
      <c r="N407" s="549"/>
      <c r="AI407" s="675"/>
      <c r="AJ407" s="537" t="s">
        <v>546</v>
      </c>
    </row>
    <row r="408" spans="1:36" s="536" customFormat="1" x14ac:dyDescent="0.2">
      <c r="A408" s="548"/>
      <c r="B408" s="552"/>
      <c r="C408" s="1822" t="s">
        <v>442</v>
      </c>
      <c r="D408" s="1822"/>
      <c r="E408" s="1822"/>
      <c r="F408" s="1822"/>
      <c r="G408" s="1822"/>
      <c r="H408" s="1822"/>
      <c r="I408" s="1822"/>
      <c r="J408" s="1822"/>
      <c r="K408" s="1822"/>
      <c r="L408" s="551">
        <v>208.71</v>
      </c>
      <c r="M408" s="550"/>
      <c r="N408" s="549"/>
      <c r="AI408" s="675"/>
      <c r="AJ408" s="537" t="s">
        <v>442</v>
      </c>
    </row>
    <row r="409" spans="1:36" s="536" customFormat="1" x14ac:dyDescent="0.2">
      <c r="A409" s="548"/>
      <c r="B409" s="552"/>
      <c r="C409" s="1822" t="s">
        <v>547</v>
      </c>
      <c r="D409" s="1822"/>
      <c r="E409" s="1822"/>
      <c r="F409" s="1822"/>
      <c r="G409" s="1822"/>
      <c r="H409" s="1822"/>
      <c r="I409" s="1822"/>
      <c r="J409" s="1822"/>
      <c r="K409" s="1822"/>
      <c r="L409" s="551">
        <v>17987.79</v>
      </c>
      <c r="M409" s="550"/>
      <c r="N409" s="549"/>
      <c r="AI409" s="675"/>
      <c r="AJ409" s="537" t="s">
        <v>547</v>
      </c>
    </row>
    <row r="410" spans="1:36" s="536" customFormat="1" x14ac:dyDescent="0.2">
      <c r="A410" s="548"/>
      <c r="B410" s="552"/>
      <c r="C410" s="1822" t="s">
        <v>443</v>
      </c>
      <c r="D410" s="1822"/>
      <c r="E410" s="1822"/>
      <c r="F410" s="1822"/>
      <c r="G410" s="1822"/>
      <c r="H410" s="1822"/>
      <c r="I410" s="1822"/>
      <c r="J410" s="1822"/>
      <c r="K410" s="1822"/>
      <c r="L410" s="551">
        <v>498.18</v>
      </c>
      <c r="M410" s="550"/>
      <c r="N410" s="549"/>
      <c r="AI410" s="675"/>
      <c r="AJ410" s="537" t="s">
        <v>443</v>
      </c>
    </row>
    <row r="411" spans="1:36" s="536" customFormat="1" x14ac:dyDescent="0.2">
      <c r="A411" s="548"/>
      <c r="B411" s="552"/>
      <c r="C411" s="1822" t="s">
        <v>444</v>
      </c>
      <c r="D411" s="1822"/>
      <c r="E411" s="1822"/>
      <c r="F411" s="1822"/>
      <c r="G411" s="1822"/>
      <c r="H411" s="1822"/>
      <c r="I411" s="1822"/>
      <c r="J411" s="1822"/>
      <c r="K411" s="1822"/>
      <c r="L411" s="551">
        <v>296.58</v>
      </c>
      <c r="M411" s="550"/>
      <c r="N411" s="549"/>
      <c r="AI411" s="675"/>
      <c r="AJ411" s="537" t="s">
        <v>444</v>
      </c>
    </row>
    <row r="412" spans="1:36" s="536" customFormat="1" x14ac:dyDescent="0.2">
      <c r="A412" s="548"/>
      <c r="B412" s="552"/>
      <c r="C412" s="1822" t="s">
        <v>754</v>
      </c>
      <c r="D412" s="1822"/>
      <c r="E412" s="1822"/>
      <c r="F412" s="1822"/>
      <c r="G412" s="1822"/>
      <c r="H412" s="1822"/>
      <c r="I412" s="1822"/>
      <c r="J412" s="1822"/>
      <c r="K412" s="1822"/>
      <c r="L412" s="551">
        <v>3449.37</v>
      </c>
      <c r="M412" s="550"/>
      <c r="N412" s="549">
        <v>15833</v>
      </c>
      <c r="AI412" s="675"/>
      <c r="AJ412" s="537" t="s">
        <v>754</v>
      </c>
    </row>
    <row r="413" spans="1:36" s="536" customFormat="1" x14ac:dyDescent="0.2">
      <c r="A413" s="548"/>
      <c r="B413" s="552" t="s">
        <v>186</v>
      </c>
      <c r="C413" s="1822" t="s">
        <v>2223</v>
      </c>
      <c r="D413" s="1822"/>
      <c r="E413" s="1822"/>
      <c r="F413" s="1822"/>
      <c r="G413" s="1822"/>
      <c r="H413" s="1822"/>
      <c r="I413" s="1822"/>
      <c r="J413" s="1822"/>
      <c r="K413" s="1822"/>
      <c r="L413" s="551">
        <v>3227.89</v>
      </c>
      <c r="M413" s="550">
        <v>4.59</v>
      </c>
      <c r="N413" s="549">
        <v>14816</v>
      </c>
      <c r="AI413" s="675"/>
      <c r="AJ413" s="537" t="s">
        <v>2223</v>
      </c>
    </row>
    <row r="414" spans="1:36" s="536" customFormat="1" x14ac:dyDescent="0.2">
      <c r="A414" s="548"/>
      <c r="B414" s="552" t="s">
        <v>186</v>
      </c>
      <c r="C414" s="1822" t="s">
        <v>2224</v>
      </c>
      <c r="D414" s="1822"/>
      <c r="E414" s="1822"/>
      <c r="F414" s="1822"/>
      <c r="G414" s="1822"/>
      <c r="H414" s="1822"/>
      <c r="I414" s="1822"/>
      <c r="J414" s="1822"/>
      <c r="K414" s="1822"/>
      <c r="L414" s="551">
        <v>221.48</v>
      </c>
      <c r="M414" s="550">
        <v>4.59</v>
      </c>
      <c r="N414" s="549">
        <v>1017</v>
      </c>
      <c r="AI414" s="675"/>
      <c r="AJ414" s="537" t="s">
        <v>2224</v>
      </c>
    </row>
    <row r="415" spans="1:36" s="536" customFormat="1" x14ac:dyDescent="0.2">
      <c r="A415" s="548"/>
      <c r="B415" s="552"/>
      <c r="C415" s="1822" t="s">
        <v>415</v>
      </c>
      <c r="D415" s="1822"/>
      <c r="E415" s="1822"/>
      <c r="F415" s="1822"/>
      <c r="G415" s="1822"/>
      <c r="H415" s="1822"/>
      <c r="I415" s="1822"/>
      <c r="J415" s="1822"/>
      <c r="K415" s="1822"/>
      <c r="L415" s="551">
        <v>435.49</v>
      </c>
      <c r="M415" s="550"/>
      <c r="N415" s="549"/>
      <c r="AI415" s="675"/>
      <c r="AJ415" s="537" t="s">
        <v>415</v>
      </c>
    </row>
    <row r="416" spans="1:36" s="536" customFormat="1" x14ac:dyDescent="0.2">
      <c r="A416" s="548"/>
      <c r="B416" s="552"/>
      <c r="C416" s="1822" t="s">
        <v>416</v>
      </c>
      <c r="D416" s="1822"/>
      <c r="E416" s="1822"/>
      <c r="F416" s="1822"/>
      <c r="G416" s="1822"/>
      <c r="H416" s="1822"/>
      <c r="I416" s="1822"/>
      <c r="J416" s="1822"/>
      <c r="K416" s="1822"/>
      <c r="L416" s="551">
        <v>498.18</v>
      </c>
      <c r="M416" s="550"/>
      <c r="N416" s="549"/>
      <c r="AI416" s="675"/>
      <c r="AJ416" s="537" t="s">
        <v>416</v>
      </c>
    </row>
    <row r="417" spans="1:37" x14ac:dyDescent="0.2">
      <c r="A417" s="548"/>
      <c r="B417" s="552"/>
      <c r="C417" s="1822" t="s">
        <v>417</v>
      </c>
      <c r="D417" s="1822"/>
      <c r="E417" s="1822"/>
      <c r="F417" s="1822"/>
      <c r="G417" s="1822"/>
      <c r="H417" s="1822"/>
      <c r="I417" s="1822"/>
      <c r="J417" s="1822"/>
      <c r="K417" s="1822"/>
      <c r="L417" s="551">
        <v>296.58</v>
      </c>
      <c r="M417" s="550"/>
      <c r="N417" s="549"/>
      <c r="P417" s="536"/>
      <c r="Q417" s="536"/>
      <c r="R417" s="536"/>
      <c r="S417" s="536"/>
      <c r="T417" s="536"/>
      <c r="U417" s="536"/>
      <c r="V417" s="536"/>
      <c r="W417" s="536"/>
      <c r="X417" s="536"/>
      <c r="Y417" s="536"/>
      <c r="Z417" s="536"/>
      <c r="AA417" s="536"/>
      <c r="AB417" s="536"/>
      <c r="AC417" s="536"/>
      <c r="AD417" s="536"/>
      <c r="AE417" s="536"/>
      <c r="AF417" s="536"/>
      <c r="AG417" s="536"/>
      <c r="AH417" s="536"/>
      <c r="AI417" s="675"/>
      <c r="AJ417" s="537" t="s">
        <v>417</v>
      </c>
      <c r="AK417" s="536"/>
    </row>
    <row r="418" spans="1:37" x14ac:dyDescent="0.2">
      <c r="A418" s="548"/>
      <c r="B418" s="546"/>
      <c r="C418" s="1819" t="s">
        <v>206</v>
      </c>
      <c r="D418" s="1819"/>
      <c r="E418" s="1819"/>
      <c r="F418" s="1819"/>
      <c r="G418" s="1819"/>
      <c r="H418" s="1819"/>
      <c r="I418" s="1819"/>
      <c r="J418" s="1819"/>
      <c r="K418" s="1819"/>
      <c r="L418" s="544">
        <v>22850.48</v>
      </c>
      <c r="M418" s="543"/>
      <c r="N418" s="547">
        <v>177250</v>
      </c>
      <c r="P418" s="536"/>
      <c r="Q418" s="536"/>
      <c r="R418" s="536"/>
      <c r="S418" s="536"/>
      <c r="T418" s="536"/>
      <c r="U418" s="536"/>
      <c r="V418" s="536"/>
      <c r="W418" s="536"/>
      <c r="X418" s="536"/>
      <c r="Y418" s="536"/>
      <c r="Z418" s="536"/>
      <c r="AA418" s="536"/>
      <c r="AB418" s="536"/>
      <c r="AC418" s="536"/>
      <c r="AD418" s="536"/>
      <c r="AE418" s="536"/>
      <c r="AF418" s="536"/>
      <c r="AG418" s="536"/>
      <c r="AH418" s="536"/>
      <c r="AI418" s="675"/>
      <c r="AJ418" s="536"/>
      <c r="AK418" s="675" t="s">
        <v>206</v>
      </c>
    </row>
    <row r="419" spans="1:37" x14ac:dyDescent="0.2">
      <c r="A419" s="548"/>
      <c r="B419" s="552"/>
      <c r="C419" s="1822" t="s">
        <v>204</v>
      </c>
      <c r="D419" s="1822"/>
      <c r="E419" s="1822"/>
      <c r="F419" s="1822"/>
      <c r="G419" s="1822"/>
      <c r="H419" s="1822"/>
      <c r="I419" s="1822"/>
      <c r="J419" s="1822"/>
      <c r="K419" s="1822"/>
      <c r="L419" s="551"/>
      <c r="M419" s="550"/>
      <c r="N419" s="549"/>
      <c r="P419" s="536"/>
      <c r="Q419" s="536"/>
      <c r="R419" s="536"/>
      <c r="S419" s="536"/>
      <c r="T419" s="536"/>
      <c r="U419" s="536"/>
      <c r="V419" s="536"/>
      <c r="W419" s="536"/>
      <c r="X419" s="536"/>
      <c r="Y419" s="536"/>
      <c r="Z419" s="536"/>
      <c r="AA419" s="536"/>
      <c r="AB419" s="536"/>
      <c r="AC419" s="536"/>
      <c r="AD419" s="536"/>
      <c r="AE419" s="536"/>
      <c r="AF419" s="536"/>
      <c r="AG419" s="536"/>
      <c r="AH419" s="536"/>
      <c r="AI419" s="675"/>
      <c r="AJ419" s="537" t="s">
        <v>204</v>
      </c>
      <c r="AK419" s="675"/>
    </row>
    <row r="420" spans="1:37" x14ac:dyDescent="0.2">
      <c r="A420" s="548"/>
      <c r="B420" s="552"/>
      <c r="C420" s="1822" t="s">
        <v>8095</v>
      </c>
      <c r="D420" s="1822"/>
      <c r="E420" s="1822"/>
      <c r="F420" s="1822"/>
      <c r="G420" s="1822"/>
      <c r="H420" s="1822"/>
      <c r="I420" s="1822"/>
      <c r="J420" s="1822"/>
      <c r="K420" s="1822"/>
      <c r="L420" s="551">
        <v>4760.82</v>
      </c>
      <c r="M420" s="550"/>
      <c r="N420" s="549">
        <v>39610</v>
      </c>
      <c r="P420" s="536"/>
      <c r="Q420" s="536"/>
      <c r="R420" s="536"/>
      <c r="S420" s="536"/>
      <c r="T420" s="536"/>
      <c r="U420" s="536"/>
      <c r="V420" s="536"/>
      <c r="W420" s="536"/>
      <c r="X420" s="536"/>
      <c r="Y420" s="536"/>
      <c r="Z420" s="536"/>
      <c r="AA420" s="536"/>
      <c r="AB420" s="536"/>
      <c r="AC420" s="536"/>
      <c r="AD420" s="536"/>
      <c r="AE420" s="536"/>
      <c r="AF420" s="536"/>
      <c r="AG420" s="536"/>
      <c r="AH420" s="536"/>
      <c r="AI420" s="675"/>
      <c r="AJ420" s="537" t="s">
        <v>8095</v>
      </c>
      <c r="AK420" s="675"/>
    </row>
    <row r="421" spans="1:37" x14ac:dyDescent="0.2">
      <c r="A421" s="548"/>
      <c r="B421" s="552"/>
      <c r="C421" s="1822" t="s">
        <v>8097</v>
      </c>
      <c r="D421" s="1822"/>
      <c r="E421" s="1822"/>
      <c r="F421" s="1822"/>
      <c r="G421" s="1822"/>
      <c r="H421" s="1822"/>
      <c r="I421" s="1822"/>
      <c r="J421" s="1822"/>
      <c r="K421" s="1822"/>
      <c r="L421" s="551"/>
      <c r="M421" s="550"/>
      <c r="N421" s="549">
        <v>14816</v>
      </c>
      <c r="P421" s="536"/>
      <c r="Q421" s="536"/>
      <c r="R421" s="536"/>
      <c r="S421" s="536"/>
      <c r="T421" s="536"/>
      <c r="U421" s="536"/>
      <c r="V421" s="536"/>
      <c r="W421" s="536"/>
      <c r="X421" s="536"/>
      <c r="Y421" s="536"/>
      <c r="Z421" s="536"/>
      <c r="AA421" s="536"/>
      <c r="AB421" s="536"/>
      <c r="AC421" s="536"/>
      <c r="AD421" s="536"/>
      <c r="AE421" s="536"/>
      <c r="AF421" s="536"/>
      <c r="AG421" s="536"/>
      <c r="AH421" s="536"/>
      <c r="AI421" s="675"/>
      <c r="AJ421" s="537" t="s">
        <v>8097</v>
      </c>
      <c r="AK421" s="675"/>
    </row>
    <row r="422" spans="1:37" ht="1.5" customHeight="1" x14ac:dyDescent="0.2">
      <c r="B422" s="546"/>
      <c r="C422" s="656"/>
      <c r="D422" s="656"/>
      <c r="E422" s="656"/>
      <c r="F422" s="656"/>
      <c r="G422" s="656"/>
      <c r="H422" s="656"/>
      <c r="I422" s="656"/>
      <c r="J422" s="656"/>
      <c r="K422" s="656"/>
      <c r="L422" s="544"/>
      <c r="M422" s="543"/>
      <c r="N422" s="542"/>
      <c r="P422" s="536"/>
      <c r="Q422" s="536"/>
      <c r="R422" s="536"/>
      <c r="S422" s="536"/>
      <c r="T422" s="536"/>
      <c r="U422" s="536"/>
      <c r="V422" s="536"/>
      <c r="W422" s="536"/>
      <c r="X422" s="536"/>
      <c r="Y422" s="536"/>
      <c r="Z422" s="536"/>
      <c r="AA422" s="536"/>
      <c r="AB422" s="536"/>
      <c r="AC422" s="536"/>
      <c r="AD422" s="536"/>
      <c r="AE422" s="536"/>
      <c r="AF422" s="536"/>
      <c r="AG422" s="536"/>
      <c r="AH422" s="536"/>
      <c r="AI422" s="536"/>
      <c r="AJ422" s="536"/>
      <c r="AK422" s="536"/>
    </row>
    <row r="423" spans="1:37" ht="53.25" customHeight="1" x14ac:dyDescent="0.2">
      <c r="A423" s="541"/>
      <c r="B423" s="541"/>
      <c r="C423" s="541"/>
      <c r="D423" s="541"/>
      <c r="E423" s="541"/>
      <c r="F423" s="541"/>
      <c r="G423" s="541"/>
      <c r="H423" s="541"/>
      <c r="I423" s="541"/>
      <c r="J423" s="541"/>
      <c r="K423" s="541"/>
      <c r="L423" s="541"/>
      <c r="M423" s="541"/>
      <c r="N423" s="541"/>
      <c r="P423" s="536"/>
      <c r="Q423" s="536"/>
      <c r="R423" s="536"/>
      <c r="S423" s="536"/>
      <c r="T423" s="536"/>
      <c r="U423" s="536"/>
      <c r="V423" s="536"/>
      <c r="W423" s="536"/>
      <c r="X423" s="536"/>
      <c r="Y423" s="536"/>
      <c r="Z423" s="536"/>
      <c r="AA423" s="536"/>
      <c r="AB423" s="536"/>
      <c r="AC423" s="536"/>
      <c r="AD423" s="536"/>
      <c r="AE423" s="536"/>
      <c r="AF423" s="536"/>
      <c r="AG423" s="536"/>
      <c r="AH423" s="536"/>
      <c r="AI423" s="536"/>
      <c r="AJ423" s="536"/>
      <c r="AK423" s="536"/>
    </row>
    <row r="424" spans="1:37" x14ac:dyDescent="0.2">
      <c r="B424" s="539" t="s">
        <v>149</v>
      </c>
      <c r="C424" s="1943" t="s">
        <v>207</v>
      </c>
      <c r="D424" s="1943"/>
      <c r="E424" s="1943"/>
      <c r="F424" s="1943"/>
      <c r="G424" s="1943"/>
      <c r="H424" s="1943"/>
      <c r="I424" s="1943"/>
      <c r="J424" s="1943"/>
      <c r="K424" s="1943"/>
      <c r="L424" s="1943"/>
    </row>
    <row r="425" spans="1:37" ht="13.5" customHeight="1" x14ac:dyDescent="0.2">
      <c r="B425" s="540"/>
      <c r="C425" s="1821" t="s">
        <v>150</v>
      </c>
      <c r="D425" s="1821"/>
      <c r="E425" s="1821"/>
      <c r="F425" s="1821"/>
      <c r="G425" s="1821"/>
      <c r="H425" s="1821"/>
      <c r="I425" s="1821"/>
      <c r="J425" s="1821"/>
      <c r="K425" s="1821"/>
      <c r="L425" s="1821"/>
    </row>
    <row r="426" spans="1:37" ht="12.75" customHeight="1" x14ac:dyDescent="0.2">
      <c r="B426" s="539" t="s">
        <v>151</v>
      </c>
      <c r="C426" s="1943" t="s">
        <v>208</v>
      </c>
      <c r="D426" s="1943"/>
      <c r="E426" s="1943"/>
      <c r="F426" s="1943"/>
      <c r="G426" s="1943"/>
      <c r="H426" s="1943"/>
      <c r="I426" s="1943"/>
      <c r="J426" s="1943"/>
      <c r="K426" s="1943"/>
      <c r="L426" s="1943"/>
    </row>
    <row r="427" spans="1:37" ht="13.5" customHeight="1" x14ac:dyDescent="0.2">
      <c r="C427" s="1821" t="s">
        <v>150</v>
      </c>
      <c r="D427" s="1821"/>
      <c r="E427" s="1821"/>
      <c r="F427" s="1821"/>
      <c r="G427" s="1821"/>
      <c r="H427" s="1821"/>
      <c r="I427" s="1821"/>
      <c r="J427" s="1821"/>
      <c r="K427" s="1821"/>
      <c r="L427" s="1821"/>
    </row>
    <row r="429" spans="1:37" x14ac:dyDescent="0.2">
      <c r="B429" s="538"/>
      <c r="D429" s="538"/>
      <c r="F429" s="538"/>
      <c r="P429" s="536"/>
      <c r="Q429" s="536"/>
      <c r="R429" s="536"/>
      <c r="S429" s="536"/>
      <c r="T429" s="536"/>
      <c r="U429" s="536"/>
      <c r="V429" s="536"/>
      <c r="W429" s="536"/>
      <c r="X429" s="536"/>
      <c r="Y429" s="536"/>
      <c r="Z429" s="536"/>
      <c r="AA429" s="536"/>
      <c r="AB429" s="536"/>
      <c r="AC429" s="536"/>
      <c r="AD429" s="536"/>
      <c r="AE429" s="536"/>
      <c r="AF429" s="536"/>
      <c r="AG429" s="536"/>
      <c r="AH429" s="536"/>
      <c r="AI429" s="536"/>
      <c r="AJ429" s="536"/>
      <c r="AK429" s="536"/>
    </row>
  </sheetData>
  <mergeCells count="371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E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A40:N40"/>
    <mergeCell ref="C54:E54"/>
    <mergeCell ref="C56:E56"/>
    <mergeCell ref="C57:N57"/>
    <mergeCell ref="C58:E58"/>
    <mergeCell ref="C59:E59"/>
    <mergeCell ref="C60:E60"/>
    <mergeCell ref="C47:E47"/>
    <mergeCell ref="C48:E48"/>
    <mergeCell ref="C49:E49"/>
    <mergeCell ref="C50:E50"/>
    <mergeCell ref="C51:E51"/>
    <mergeCell ref="C53:N53"/>
    <mergeCell ref="C67:E67"/>
    <mergeCell ref="C68:E68"/>
    <mergeCell ref="C69:E69"/>
    <mergeCell ref="A71:N71"/>
    <mergeCell ref="C72:E72"/>
    <mergeCell ref="C73:N73"/>
    <mergeCell ref="C61:E61"/>
    <mergeCell ref="C62:E62"/>
    <mergeCell ref="C63:E63"/>
    <mergeCell ref="C64:E64"/>
    <mergeCell ref="C65:E65"/>
    <mergeCell ref="C66:E66"/>
    <mergeCell ref="C80:E80"/>
    <mergeCell ref="C81:E81"/>
    <mergeCell ref="C82:E82"/>
    <mergeCell ref="C83:E83"/>
    <mergeCell ref="C84:E84"/>
    <mergeCell ref="C85:E85"/>
    <mergeCell ref="C74:N74"/>
    <mergeCell ref="C75:E75"/>
    <mergeCell ref="C76:E76"/>
    <mergeCell ref="C77:E77"/>
    <mergeCell ref="C78:E78"/>
    <mergeCell ref="C79:E79"/>
    <mergeCell ref="C93:E93"/>
    <mergeCell ref="C94:N94"/>
    <mergeCell ref="C95:N95"/>
    <mergeCell ref="C96:E96"/>
    <mergeCell ref="C97:E97"/>
    <mergeCell ref="C98:E98"/>
    <mergeCell ref="C86:E86"/>
    <mergeCell ref="C87:E87"/>
    <mergeCell ref="C88:E88"/>
    <mergeCell ref="C89:E89"/>
    <mergeCell ref="C90:E90"/>
    <mergeCell ref="C92:N92"/>
    <mergeCell ref="C105:E105"/>
    <mergeCell ref="C106:E106"/>
    <mergeCell ref="C107:E107"/>
    <mergeCell ref="C108:E108"/>
    <mergeCell ref="C110:E110"/>
    <mergeCell ref="C111:N111"/>
    <mergeCell ref="C99:E99"/>
    <mergeCell ref="C100:E100"/>
    <mergeCell ref="C101:E101"/>
    <mergeCell ref="C102:E102"/>
    <mergeCell ref="C103:E103"/>
    <mergeCell ref="C104:E104"/>
    <mergeCell ref="C118:E118"/>
    <mergeCell ref="C119:E119"/>
    <mergeCell ref="C120:E120"/>
    <mergeCell ref="C121:E121"/>
    <mergeCell ref="C122:E122"/>
    <mergeCell ref="C123:E123"/>
    <mergeCell ref="C112:N112"/>
    <mergeCell ref="C113:E113"/>
    <mergeCell ref="C114:E114"/>
    <mergeCell ref="C115:E115"/>
    <mergeCell ref="C116:E116"/>
    <mergeCell ref="C117:E117"/>
    <mergeCell ref="C130:E130"/>
    <mergeCell ref="C131:E131"/>
    <mergeCell ref="C132:E132"/>
    <mergeCell ref="C133:E133"/>
    <mergeCell ref="C134:E134"/>
    <mergeCell ref="C135:E135"/>
    <mergeCell ref="C124:E124"/>
    <mergeCell ref="C125:E125"/>
    <mergeCell ref="C126:N126"/>
    <mergeCell ref="C127:N127"/>
    <mergeCell ref="C128:E128"/>
    <mergeCell ref="C129:E129"/>
    <mergeCell ref="C142:E142"/>
    <mergeCell ref="C143:E143"/>
    <mergeCell ref="C144:E144"/>
    <mergeCell ref="C145:E145"/>
    <mergeCell ref="C146:E146"/>
    <mergeCell ref="C147:E147"/>
    <mergeCell ref="C136:N136"/>
    <mergeCell ref="C137:N137"/>
    <mergeCell ref="C138:E138"/>
    <mergeCell ref="C139:E139"/>
    <mergeCell ref="C140:E140"/>
    <mergeCell ref="C141:E141"/>
    <mergeCell ref="C154:E154"/>
    <mergeCell ref="C156:N156"/>
    <mergeCell ref="C157:E157"/>
    <mergeCell ref="C159:E159"/>
    <mergeCell ref="C160:N160"/>
    <mergeCell ref="C161:N161"/>
    <mergeCell ref="C148:E148"/>
    <mergeCell ref="C149:E149"/>
    <mergeCell ref="C150:E150"/>
    <mergeCell ref="C151:E151"/>
    <mergeCell ref="C152:E152"/>
    <mergeCell ref="C153:E153"/>
    <mergeCell ref="C168:E168"/>
    <mergeCell ref="C169:E169"/>
    <mergeCell ref="C170:E170"/>
    <mergeCell ref="C171:E171"/>
    <mergeCell ref="C172:E172"/>
    <mergeCell ref="C173:E173"/>
    <mergeCell ref="C162:E162"/>
    <mergeCell ref="C163:E163"/>
    <mergeCell ref="C164:E164"/>
    <mergeCell ref="C165:E165"/>
    <mergeCell ref="C166:E166"/>
    <mergeCell ref="C167:E167"/>
    <mergeCell ref="C181:E181"/>
    <mergeCell ref="C183:E183"/>
    <mergeCell ref="C185:N185"/>
    <mergeCell ref="C186:E186"/>
    <mergeCell ref="C188:N188"/>
    <mergeCell ref="C189:E189"/>
    <mergeCell ref="C174:E174"/>
    <mergeCell ref="C175:E175"/>
    <mergeCell ref="C176:E176"/>
    <mergeCell ref="C177:E177"/>
    <mergeCell ref="C178:E178"/>
    <mergeCell ref="C180:N180"/>
    <mergeCell ref="C201:E201"/>
    <mergeCell ref="C202:N202"/>
    <mergeCell ref="C203:N203"/>
    <mergeCell ref="C204:E204"/>
    <mergeCell ref="C205:E205"/>
    <mergeCell ref="C206:E206"/>
    <mergeCell ref="C191:N191"/>
    <mergeCell ref="C192:E192"/>
    <mergeCell ref="C194:N194"/>
    <mergeCell ref="C195:E195"/>
    <mergeCell ref="C197:E197"/>
    <mergeCell ref="C199:E199"/>
    <mergeCell ref="C213:N213"/>
    <mergeCell ref="C214:E214"/>
    <mergeCell ref="C215:E215"/>
    <mergeCell ref="C216:E216"/>
    <mergeCell ref="C217:E217"/>
    <mergeCell ref="C218:E218"/>
    <mergeCell ref="C207:E207"/>
    <mergeCell ref="C208:E208"/>
    <mergeCell ref="C209:E209"/>
    <mergeCell ref="C210:E210"/>
    <mergeCell ref="C211:E211"/>
    <mergeCell ref="C212:N212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41:E241"/>
    <mergeCell ref="C243:N243"/>
    <mergeCell ref="C244:E244"/>
    <mergeCell ref="C246:N246"/>
    <mergeCell ref="C247:E247"/>
    <mergeCell ref="C249:N249"/>
    <mergeCell ref="C232:N232"/>
    <mergeCell ref="C233:E233"/>
    <mergeCell ref="C235:E235"/>
    <mergeCell ref="C237:N237"/>
    <mergeCell ref="C238:E238"/>
    <mergeCell ref="C240:N240"/>
    <mergeCell ref="C260:E260"/>
    <mergeCell ref="C262:E262"/>
    <mergeCell ref="C263:N263"/>
    <mergeCell ref="C264:E264"/>
    <mergeCell ref="C265:E265"/>
    <mergeCell ref="C266:E266"/>
    <mergeCell ref="C250:E250"/>
    <mergeCell ref="C252:N252"/>
    <mergeCell ref="C253:E253"/>
    <mergeCell ref="C255:E255"/>
    <mergeCell ref="C257:N257"/>
    <mergeCell ref="C258:E258"/>
    <mergeCell ref="A274:N274"/>
    <mergeCell ref="C275:E275"/>
    <mergeCell ref="C276:N276"/>
    <mergeCell ref="C277:N277"/>
    <mergeCell ref="C278:E278"/>
    <mergeCell ref="C279:E279"/>
    <mergeCell ref="C267:E267"/>
    <mergeCell ref="C268:E268"/>
    <mergeCell ref="C269:E269"/>
    <mergeCell ref="C270:E270"/>
    <mergeCell ref="C271:E271"/>
    <mergeCell ref="C272:E272"/>
    <mergeCell ref="C286:E286"/>
    <mergeCell ref="C287:E287"/>
    <mergeCell ref="C288:E288"/>
    <mergeCell ref="C289:E289"/>
    <mergeCell ref="C290:E290"/>
    <mergeCell ref="C291:E291"/>
    <mergeCell ref="C280:E280"/>
    <mergeCell ref="C281:E281"/>
    <mergeCell ref="C282:E282"/>
    <mergeCell ref="C283:E283"/>
    <mergeCell ref="C284:E284"/>
    <mergeCell ref="C285:E285"/>
    <mergeCell ref="C302:K302"/>
    <mergeCell ref="C303:K303"/>
    <mergeCell ref="C304:K304"/>
    <mergeCell ref="C305:K305"/>
    <mergeCell ref="C306:K306"/>
    <mergeCell ref="C307:K307"/>
    <mergeCell ref="C293:N293"/>
    <mergeCell ref="C294:E294"/>
    <mergeCell ref="C296:N296"/>
    <mergeCell ref="C297:E297"/>
    <mergeCell ref="C299:N299"/>
    <mergeCell ref="C301:K301"/>
    <mergeCell ref="C314:K314"/>
    <mergeCell ref="C315:K315"/>
    <mergeCell ref="C316:K316"/>
    <mergeCell ref="C317:K317"/>
    <mergeCell ref="C318:K318"/>
    <mergeCell ref="C319:K319"/>
    <mergeCell ref="C308:K308"/>
    <mergeCell ref="C309:K309"/>
    <mergeCell ref="C310:K310"/>
    <mergeCell ref="C311:K311"/>
    <mergeCell ref="C312:K312"/>
    <mergeCell ref="C313:K313"/>
    <mergeCell ref="C326:E326"/>
    <mergeCell ref="C327:N327"/>
    <mergeCell ref="C328:N328"/>
    <mergeCell ref="C329:E329"/>
    <mergeCell ref="C330:E330"/>
    <mergeCell ref="C331:E331"/>
    <mergeCell ref="C320:K320"/>
    <mergeCell ref="C321:K321"/>
    <mergeCell ref="C322:K322"/>
    <mergeCell ref="C323:K323"/>
    <mergeCell ref="C324:K324"/>
    <mergeCell ref="A325:N325"/>
    <mergeCell ref="C338:E338"/>
    <mergeCell ref="C340:N340"/>
    <mergeCell ref="C341:E341"/>
    <mergeCell ref="C343:N343"/>
    <mergeCell ref="C344:E344"/>
    <mergeCell ref="C346:N346"/>
    <mergeCell ref="C332:E332"/>
    <mergeCell ref="C333:E333"/>
    <mergeCell ref="C334:E334"/>
    <mergeCell ref="C335:E335"/>
    <mergeCell ref="C336:E336"/>
    <mergeCell ref="C337:E337"/>
    <mergeCell ref="C353:E353"/>
    <mergeCell ref="C354:E354"/>
    <mergeCell ref="C355:E355"/>
    <mergeCell ref="C356:E356"/>
    <mergeCell ref="C357:E357"/>
    <mergeCell ref="C358:E358"/>
    <mergeCell ref="C347:E347"/>
    <mergeCell ref="C348:N348"/>
    <mergeCell ref="C349:E349"/>
    <mergeCell ref="C350:E350"/>
    <mergeCell ref="C351:E351"/>
    <mergeCell ref="C352:E352"/>
    <mergeCell ref="C367:K367"/>
    <mergeCell ref="C368:K368"/>
    <mergeCell ref="C369:K369"/>
    <mergeCell ref="C370:K370"/>
    <mergeCell ref="C371:K371"/>
    <mergeCell ref="C372:K372"/>
    <mergeCell ref="C360:N360"/>
    <mergeCell ref="C362:K362"/>
    <mergeCell ref="C363:K363"/>
    <mergeCell ref="C364:K364"/>
    <mergeCell ref="C365:K365"/>
    <mergeCell ref="C366:K366"/>
    <mergeCell ref="C379:K379"/>
    <mergeCell ref="C380:K380"/>
    <mergeCell ref="A381:N381"/>
    <mergeCell ref="C382:E382"/>
    <mergeCell ref="C384:N384"/>
    <mergeCell ref="C385:E385"/>
    <mergeCell ref="C373:K373"/>
    <mergeCell ref="C374:K374"/>
    <mergeCell ref="C375:K375"/>
    <mergeCell ref="C376:K376"/>
    <mergeCell ref="C377:K377"/>
    <mergeCell ref="C378:K378"/>
    <mergeCell ref="C394:K394"/>
    <mergeCell ref="C395:K395"/>
    <mergeCell ref="C396:K396"/>
    <mergeCell ref="C398:K398"/>
    <mergeCell ref="C399:K399"/>
    <mergeCell ref="C400:K400"/>
    <mergeCell ref="C387:N387"/>
    <mergeCell ref="C389:K389"/>
    <mergeCell ref="C390:K390"/>
    <mergeCell ref="C391:K391"/>
    <mergeCell ref="C392:K392"/>
    <mergeCell ref="C393:K393"/>
    <mergeCell ref="C407:K407"/>
    <mergeCell ref="C408:K408"/>
    <mergeCell ref="C409:K409"/>
    <mergeCell ref="C410:K410"/>
    <mergeCell ref="C411:K411"/>
    <mergeCell ref="C412:K412"/>
    <mergeCell ref="C401:K401"/>
    <mergeCell ref="C402:K402"/>
    <mergeCell ref="C403:K403"/>
    <mergeCell ref="C404:K404"/>
    <mergeCell ref="C405:K405"/>
    <mergeCell ref="C406:K406"/>
    <mergeCell ref="C427:L427"/>
    <mergeCell ref="C419:K419"/>
    <mergeCell ref="C420:K420"/>
    <mergeCell ref="C421:K421"/>
    <mergeCell ref="C424:L424"/>
    <mergeCell ref="C425:L425"/>
    <mergeCell ref="C426:L426"/>
    <mergeCell ref="C413:K413"/>
    <mergeCell ref="C414:K414"/>
    <mergeCell ref="C415:K415"/>
    <mergeCell ref="C416:K416"/>
    <mergeCell ref="C417:K417"/>
    <mergeCell ref="C418:K418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428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:AJ280"/>
  <sheetViews>
    <sheetView topLeftCell="A243" zoomScale="115" zoomScaleNormal="115" workbookViewId="0">
      <selection activeCell="C229" sqref="C229:K229"/>
    </sheetView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30" width="34.140625" style="537" hidden="1" customWidth="1"/>
    <col min="31" max="36" width="84.42578125" style="537" hidden="1" customWidth="1"/>
    <col min="37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1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1806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1806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2635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58"/>
      <c r="B19" s="658"/>
      <c r="C19" s="658"/>
      <c r="D19" s="658"/>
      <c r="E19" s="658"/>
      <c r="F19" s="658"/>
      <c r="G19" s="658"/>
      <c r="H19" s="658"/>
      <c r="I19" s="658"/>
      <c r="J19" s="658"/>
      <c r="K19" s="658"/>
      <c r="L19" s="658"/>
      <c r="M19" s="658"/>
      <c r="N19" s="658"/>
    </row>
    <row r="20" spans="1:21" s="536" customFormat="1" x14ac:dyDescent="0.2">
      <c r="A20" s="1840" t="s">
        <v>40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40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2636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63.65</v>
      </c>
      <c r="D28" s="579" t="s">
        <v>2637</v>
      </c>
      <c r="E28" s="661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1"/>
    </row>
    <row r="30" spans="1:21" s="536" customFormat="1" ht="12.75" customHeight="1" x14ac:dyDescent="0.2">
      <c r="B30" s="536" t="s">
        <v>169</v>
      </c>
      <c r="C30" s="580">
        <v>63.65</v>
      </c>
      <c r="D30" s="579" t="s">
        <v>2637</v>
      </c>
      <c r="E30" s="661" t="s">
        <v>167</v>
      </c>
      <c r="G30" s="536" t="s">
        <v>170</v>
      </c>
      <c r="L30" s="580">
        <v>0</v>
      </c>
      <c r="M30" s="579" t="s">
        <v>2638</v>
      </c>
      <c r="N30" s="661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661" t="s">
        <v>167</v>
      </c>
      <c r="G31" s="536" t="s">
        <v>172</v>
      </c>
      <c r="L31" s="582"/>
      <c r="M31" s="582">
        <v>34.07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661" t="s">
        <v>167</v>
      </c>
      <c r="G32" s="536" t="s">
        <v>174</v>
      </c>
      <c r="L32" s="582"/>
      <c r="M32" s="582">
        <v>0.56999999999999995</v>
      </c>
      <c r="N32" s="581" t="s">
        <v>173</v>
      </c>
    </row>
    <row r="33" spans="1:27" s="536" customFormat="1" ht="12.75" customHeight="1" x14ac:dyDescent="0.2">
      <c r="B33" s="536" t="s">
        <v>147</v>
      </c>
      <c r="C33" s="580">
        <v>0</v>
      </c>
      <c r="D33" s="579" t="s">
        <v>171</v>
      </c>
      <c r="E33" s="661" t="s">
        <v>167</v>
      </c>
      <c r="G33" s="536" t="s">
        <v>175</v>
      </c>
      <c r="L33" s="1836"/>
      <c r="M33" s="1836"/>
    </row>
    <row r="34" spans="1:27" s="536" customFormat="1" ht="9.75" customHeight="1" x14ac:dyDescent="0.2">
      <c r="A34" s="578"/>
    </row>
    <row r="35" spans="1:27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7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7" s="536" customFormat="1" ht="45" x14ac:dyDescent="0.2">
      <c r="A37" s="1833"/>
      <c r="B37" s="1833"/>
      <c r="C37" s="1833"/>
      <c r="D37" s="1833"/>
      <c r="E37" s="1833"/>
      <c r="F37" s="1833"/>
      <c r="G37" s="659" t="s">
        <v>182</v>
      </c>
      <c r="H37" s="659" t="s">
        <v>183</v>
      </c>
      <c r="I37" s="659" t="s">
        <v>184</v>
      </c>
      <c r="J37" s="659" t="s">
        <v>182</v>
      </c>
      <c r="K37" s="659" t="s">
        <v>183</v>
      </c>
      <c r="L37" s="659" t="s">
        <v>148</v>
      </c>
      <c r="M37" s="1833"/>
      <c r="N37" s="1833"/>
    </row>
    <row r="38" spans="1:27" s="536" customFormat="1" x14ac:dyDescent="0.2">
      <c r="A38" s="660">
        <v>1</v>
      </c>
      <c r="B38" s="660">
        <v>2</v>
      </c>
      <c r="C38" s="1834">
        <v>3</v>
      </c>
      <c r="D38" s="1834"/>
      <c r="E38" s="1834"/>
      <c r="F38" s="660">
        <v>4</v>
      </c>
      <c r="G38" s="660">
        <v>5</v>
      </c>
      <c r="H38" s="660">
        <v>6</v>
      </c>
      <c r="I38" s="660">
        <v>7</v>
      </c>
      <c r="J38" s="660">
        <v>8</v>
      </c>
      <c r="K38" s="660">
        <v>9</v>
      </c>
      <c r="L38" s="660">
        <v>10</v>
      </c>
      <c r="M38" s="660">
        <v>11</v>
      </c>
      <c r="N38" s="660">
        <v>12</v>
      </c>
    </row>
    <row r="39" spans="1:27" s="536" customFormat="1" ht="12" x14ac:dyDescent="0.2">
      <c r="A39" s="1824" t="s">
        <v>2639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2639</v>
      </c>
    </row>
    <row r="40" spans="1:27" s="536" customFormat="1" ht="33.75" x14ac:dyDescent="0.2">
      <c r="A40" s="575" t="s">
        <v>185</v>
      </c>
      <c r="B40" s="657" t="s">
        <v>2640</v>
      </c>
      <c r="C40" s="1823" t="s">
        <v>2641</v>
      </c>
      <c r="D40" s="1823"/>
      <c r="E40" s="1823"/>
      <c r="F40" s="573" t="s">
        <v>1110</v>
      </c>
      <c r="G40" s="573"/>
      <c r="H40" s="573"/>
      <c r="I40" s="573" t="s">
        <v>1911</v>
      </c>
      <c r="J40" s="572"/>
      <c r="K40" s="573"/>
      <c r="L40" s="572"/>
      <c r="M40" s="571"/>
      <c r="N40" s="570"/>
      <c r="V40" s="674"/>
      <c r="W40" s="675" t="s">
        <v>2641</v>
      </c>
    </row>
    <row r="41" spans="1:27" s="536" customFormat="1" ht="12" x14ac:dyDescent="0.2">
      <c r="A41" s="676"/>
      <c r="B41" s="655"/>
      <c r="C41" s="1822" t="s">
        <v>2642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2642</v>
      </c>
    </row>
    <row r="42" spans="1:27" s="536" customFormat="1" ht="22.5" x14ac:dyDescent="0.2">
      <c r="A42" s="609"/>
      <c r="B42" s="552" t="s">
        <v>499</v>
      </c>
      <c r="C42" s="1822" t="s">
        <v>500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Y42" s="537" t="s">
        <v>500</v>
      </c>
    </row>
    <row r="43" spans="1:27" s="536" customFormat="1" ht="12" x14ac:dyDescent="0.2">
      <c r="A43" s="605"/>
      <c r="B43" s="552" t="s">
        <v>185</v>
      </c>
      <c r="C43" s="1822" t="s">
        <v>312</v>
      </c>
      <c r="D43" s="1822"/>
      <c r="E43" s="1822"/>
      <c r="F43" s="562"/>
      <c r="G43" s="562"/>
      <c r="H43" s="562"/>
      <c r="I43" s="562"/>
      <c r="J43" s="604">
        <v>524.79999999999995</v>
      </c>
      <c r="K43" s="562" t="s">
        <v>313</v>
      </c>
      <c r="L43" s="604">
        <v>111.52</v>
      </c>
      <c r="M43" s="603"/>
      <c r="N43" s="602"/>
      <c r="V43" s="674"/>
      <c r="W43" s="675"/>
      <c r="Z43" s="537" t="s">
        <v>312</v>
      </c>
    </row>
    <row r="44" spans="1:27" s="536" customFormat="1" ht="12" x14ac:dyDescent="0.2">
      <c r="A44" s="605"/>
      <c r="B44" s="552" t="s">
        <v>186</v>
      </c>
      <c r="C44" s="1822" t="s">
        <v>344</v>
      </c>
      <c r="D44" s="1822"/>
      <c r="E44" s="1822"/>
      <c r="F44" s="562"/>
      <c r="G44" s="562"/>
      <c r="H44" s="562"/>
      <c r="I44" s="562"/>
      <c r="J44" s="604">
        <v>41.24</v>
      </c>
      <c r="K44" s="562" t="s">
        <v>313</v>
      </c>
      <c r="L44" s="604">
        <v>8.76</v>
      </c>
      <c r="M44" s="603"/>
      <c r="N44" s="602"/>
      <c r="V44" s="674"/>
      <c r="W44" s="675"/>
      <c r="Z44" s="537" t="s">
        <v>344</v>
      </c>
    </row>
    <row r="45" spans="1:27" s="536" customFormat="1" ht="12" x14ac:dyDescent="0.2">
      <c r="A45" s="605"/>
      <c r="B45" s="552" t="s">
        <v>187</v>
      </c>
      <c r="C45" s="1822" t="s">
        <v>345</v>
      </c>
      <c r="D45" s="1822"/>
      <c r="E45" s="1822"/>
      <c r="F45" s="562"/>
      <c r="G45" s="562"/>
      <c r="H45" s="562"/>
      <c r="I45" s="562"/>
      <c r="J45" s="604">
        <v>5.87</v>
      </c>
      <c r="K45" s="562" t="s">
        <v>313</v>
      </c>
      <c r="L45" s="604">
        <v>1.25</v>
      </c>
      <c r="M45" s="603"/>
      <c r="N45" s="602"/>
      <c r="V45" s="674"/>
      <c r="W45" s="675"/>
      <c r="Z45" s="537" t="s">
        <v>345</v>
      </c>
    </row>
    <row r="46" spans="1:27" s="536" customFormat="1" ht="12" x14ac:dyDescent="0.2">
      <c r="A46" s="605"/>
      <c r="B46" s="552" t="s">
        <v>188</v>
      </c>
      <c r="C46" s="1822" t="s">
        <v>475</v>
      </c>
      <c r="D46" s="1822"/>
      <c r="E46" s="1822"/>
      <c r="F46" s="562"/>
      <c r="G46" s="562"/>
      <c r="H46" s="562"/>
      <c r="I46" s="562"/>
      <c r="J46" s="604">
        <v>58.29</v>
      </c>
      <c r="K46" s="562"/>
      <c r="L46" s="604">
        <v>9.91</v>
      </c>
      <c r="M46" s="603"/>
      <c r="N46" s="602"/>
      <c r="V46" s="674"/>
      <c r="W46" s="675"/>
      <c r="Z46" s="537" t="s">
        <v>475</v>
      </c>
    </row>
    <row r="47" spans="1:27" s="536" customFormat="1" ht="12" x14ac:dyDescent="0.2">
      <c r="A47" s="676"/>
      <c r="B47" s="677" t="s">
        <v>2643</v>
      </c>
      <c r="C47" s="1829" t="s">
        <v>2644</v>
      </c>
      <c r="D47" s="1829"/>
      <c r="E47" s="1829"/>
      <c r="F47" s="678" t="s">
        <v>617</v>
      </c>
      <c r="G47" s="678" t="s">
        <v>525</v>
      </c>
      <c r="H47" s="678"/>
      <c r="I47" s="678" t="s">
        <v>525</v>
      </c>
      <c r="J47" s="552"/>
      <c r="K47" s="562"/>
      <c r="L47" s="604"/>
      <c r="M47" s="562"/>
      <c r="N47" s="679"/>
      <c r="V47" s="674"/>
      <c r="W47" s="675"/>
      <c r="AA47" s="680" t="s">
        <v>2644</v>
      </c>
    </row>
    <row r="48" spans="1:27" s="536" customFormat="1" ht="12" x14ac:dyDescent="0.2">
      <c r="A48" s="676"/>
      <c r="B48" s="677" t="s">
        <v>2456</v>
      </c>
      <c r="C48" s="1829" t="s">
        <v>2457</v>
      </c>
      <c r="D48" s="1829"/>
      <c r="E48" s="1829"/>
      <c r="F48" s="678" t="s">
        <v>699</v>
      </c>
      <c r="G48" s="678" t="s">
        <v>525</v>
      </c>
      <c r="H48" s="678"/>
      <c r="I48" s="678" t="s">
        <v>525</v>
      </c>
      <c r="J48" s="552"/>
      <c r="K48" s="562"/>
      <c r="L48" s="604"/>
      <c r="M48" s="562"/>
      <c r="N48" s="679"/>
      <c r="V48" s="674"/>
      <c r="W48" s="675"/>
      <c r="AA48" s="680" t="s">
        <v>2457</v>
      </c>
    </row>
    <row r="49" spans="1:30" s="536" customFormat="1" ht="22.5" x14ac:dyDescent="0.2">
      <c r="A49" s="676"/>
      <c r="B49" s="677" t="s">
        <v>2645</v>
      </c>
      <c r="C49" s="1829" t="s">
        <v>2646</v>
      </c>
      <c r="D49" s="1829"/>
      <c r="E49" s="1829"/>
      <c r="F49" s="678" t="s">
        <v>483</v>
      </c>
      <c r="G49" s="678" t="s">
        <v>2647</v>
      </c>
      <c r="H49" s="678"/>
      <c r="I49" s="678" t="s">
        <v>2648</v>
      </c>
      <c r="J49" s="552"/>
      <c r="K49" s="562"/>
      <c r="L49" s="604"/>
      <c r="M49" s="562"/>
      <c r="N49" s="679"/>
      <c r="V49" s="674"/>
      <c r="W49" s="675"/>
      <c r="AA49" s="680" t="s">
        <v>2646</v>
      </c>
    </row>
    <row r="50" spans="1:30" s="536" customFormat="1" ht="22.5" x14ac:dyDescent="0.2">
      <c r="A50" s="676"/>
      <c r="B50" s="677" t="s">
        <v>2462</v>
      </c>
      <c r="C50" s="1829" t="s">
        <v>2649</v>
      </c>
      <c r="D50" s="1829"/>
      <c r="E50" s="1829"/>
      <c r="F50" s="678" t="s">
        <v>617</v>
      </c>
      <c r="G50" s="678" t="s">
        <v>525</v>
      </c>
      <c r="H50" s="678"/>
      <c r="I50" s="678" t="s">
        <v>525</v>
      </c>
      <c r="J50" s="552"/>
      <c r="K50" s="562"/>
      <c r="L50" s="604"/>
      <c r="M50" s="562"/>
      <c r="N50" s="679"/>
      <c r="V50" s="674"/>
      <c r="W50" s="675"/>
      <c r="AA50" s="680" t="s">
        <v>2649</v>
      </c>
    </row>
    <row r="51" spans="1:30" s="536" customFormat="1" ht="12" x14ac:dyDescent="0.2">
      <c r="A51" s="605"/>
      <c r="B51" s="552"/>
      <c r="C51" s="1822" t="s">
        <v>314</v>
      </c>
      <c r="D51" s="1822"/>
      <c r="E51" s="1822"/>
      <c r="F51" s="562" t="s">
        <v>315</v>
      </c>
      <c r="G51" s="562" t="s">
        <v>2650</v>
      </c>
      <c r="H51" s="562" t="s">
        <v>313</v>
      </c>
      <c r="I51" s="562" t="s">
        <v>2651</v>
      </c>
      <c r="J51" s="604"/>
      <c r="K51" s="562"/>
      <c r="L51" s="604"/>
      <c r="M51" s="603"/>
      <c r="N51" s="602"/>
      <c r="V51" s="674"/>
      <c r="W51" s="675"/>
      <c r="AA51" s="680"/>
      <c r="AB51" s="537" t="s">
        <v>314</v>
      </c>
    </row>
    <row r="52" spans="1:30" s="536" customFormat="1" ht="12" x14ac:dyDescent="0.2">
      <c r="A52" s="605"/>
      <c r="B52" s="552"/>
      <c r="C52" s="1822" t="s">
        <v>348</v>
      </c>
      <c r="D52" s="1822"/>
      <c r="E52" s="1822"/>
      <c r="F52" s="562" t="s">
        <v>315</v>
      </c>
      <c r="G52" s="562" t="s">
        <v>1042</v>
      </c>
      <c r="H52" s="562" t="s">
        <v>313</v>
      </c>
      <c r="I52" s="562" t="s">
        <v>2652</v>
      </c>
      <c r="J52" s="604"/>
      <c r="K52" s="562"/>
      <c r="L52" s="604"/>
      <c r="M52" s="603"/>
      <c r="N52" s="602"/>
      <c r="V52" s="674"/>
      <c r="W52" s="675"/>
      <c r="AA52" s="680"/>
      <c r="AB52" s="537" t="s">
        <v>348</v>
      </c>
    </row>
    <row r="53" spans="1:30" s="536" customFormat="1" ht="12" x14ac:dyDescent="0.2">
      <c r="A53" s="605"/>
      <c r="B53" s="552"/>
      <c r="C53" s="1828" t="s">
        <v>318</v>
      </c>
      <c r="D53" s="1828"/>
      <c r="E53" s="1828"/>
      <c r="F53" s="608"/>
      <c r="G53" s="608"/>
      <c r="H53" s="608"/>
      <c r="I53" s="608"/>
      <c r="J53" s="607">
        <v>624.33000000000004</v>
      </c>
      <c r="K53" s="608"/>
      <c r="L53" s="607">
        <v>130.19</v>
      </c>
      <c r="M53" s="601"/>
      <c r="N53" s="606"/>
      <c r="V53" s="674"/>
      <c r="W53" s="675"/>
      <c r="AA53" s="680"/>
      <c r="AC53" s="537" t="s">
        <v>318</v>
      </c>
    </row>
    <row r="54" spans="1:30" s="536" customFormat="1" ht="12" x14ac:dyDescent="0.2">
      <c r="A54" s="605"/>
      <c r="B54" s="552"/>
      <c r="C54" s="1822" t="s">
        <v>319</v>
      </c>
      <c r="D54" s="1822"/>
      <c r="E54" s="1822"/>
      <c r="F54" s="562"/>
      <c r="G54" s="562"/>
      <c r="H54" s="562"/>
      <c r="I54" s="562"/>
      <c r="J54" s="604"/>
      <c r="K54" s="562"/>
      <c r="L54" s="604">
        <v>112.77</v>
      </c>
      <c r="M54" s="603"/>
      <c r="N54" s="602"/>
      <c r="V54" s="674"/>
      <c r="W54" s="675"/>
      <c r="AA54" s="680"/>
      <c r="AB54" s="537" t="s">
        <v>319</v>
      </c>
    </row>
    <row r="55" spans="1:30" s="536" customFormat="1" ht="45" x14ac:dyDescent="0.2">
      <c r="A55" s="605"/>
      <c r="B55" s="552" t="s">
        <v>892</v>
      </c>
      <c r="C55" s="1822" t="s">
        <v>893</v>
      </c>
      <c r="D55" s="1822"/>
      <c r="E55" s="1822"/>
      <c r="F55" s="562" t="s">
        <v>322</v>
      </c>
      <c r="G55" s="562" t="s">
        <v>894</v>
      </c>
      <c r="H55" s="562"/>
      <c r="I55" s="562" t="s">
        <v>894</v>
      </c>
      <c r="J55" s="604"/>
      <c r="K55" s="562"/>
      <c r="L55" s="604">
        <v>136.44999999999999</v>
      </c>
      <c r="M55" s="603"/>
      <c r="N55" s="602"/>
      <c r="V55" s="674"/>
      <c r="W55" s="675"/>
      <c r="AA55" s="680"/>
      <c r="AB55" s="537" t="s">
        <v>893</v>
      </c>
    </row>
    <row r="56" spans="1:30" s="536" customFormat="1" ht="45" x14ac:dyDescent="0.2">
      <c r="A56" s="605"/>
      <c r="B56" s="552" t="s">
        <v>895</v>
      </c>
      <c r="C56" s="1822" t="s">
        <v>896</v>
      </c>
      <c r="D56" s="1822"/>
      <c r="E56" s="1822"/>
      <c r="F56" s="562" t="s">
        <v>322</v>
      </c>
      <c r="G56" s="562" t="s">
        <v>897</v>
      </c>
      <c r="H56" s="562"/>
      <c r="I56" s="562" t="s">
        <v>897</v>
      </c>
      <c r="J56" s="604"/>
      <c r="K56" s="562"/>
      <c r="L56" s="604">
        <v>81.19</v>
      </c>
      <c r="M56" s="603"/>
      <c r="N56" s="602"/>
      <c r="V56" s="674"/>
      <c r="W56" s="675"/>
      <c r="AA56" s="680"/>
      <c r="AB56" s="537" t="s">
        <v>896</v>
      </c>
    </row>
    <row r="57" spans="1:30" s="536" customFormat="1" ht="12" x14ac:dyDescent="0.2">
      <c r="A57" s="569"/>
      <c r="B57" s="656"/>
      <c r="C57" s="1823" t="s">
        <v>327</v>
      </c>
      <c r="D57" s="1823"/>
      <c r="E57" s="1823"/>
      <c r="F57" s="573"/>
      <c r="G57" s="573"/>
      <c r="H57" s="573"/>
      <c r="I57" s="573"/>
      <c r="J57" s="572"/>
      <c r="K57" s="573"/>
      <c r="L57" s="572">
        <v>347.83</v>
      </c>
      <c r="M57" s="601"/>
      <c r="N57" s="570"/>
      <c r="V57" s="674"/>
      <c r="W57" s="675"/>
      <c r="AA57" s="680"/>
      <c r="AD57" s="675" t="s">
        <v>327</v>
      </c>
    </row>
    <row r="58" spans="1:30" s="536" customFormat="1" ht="45" x14ac:dyDescent="0.2">
      <c r="A58" s="575" t="s">
        <v>186</v>
      </c>
      <c r="B58" s="657" t="s">
        <v>2653</v>
      </c>
      <c r="C58" s="1823" t="s">
        <v>2654</v>
      </c>
      <c r="D58" s="1823"/>
      <c r="E58" s="1823"/>
      <c r="F58" s="573" t="s">
        <v>694</v>
      </c>
      <c r="G58" s="573"/>
      <c r="H58" s="573"/>
      <c r="I58" s="573" t="s">
        <v>2655</v>
      </c>
      <c r="J58" s="572">
        <v>37529.15</v>
      </c>
      <c r="K58" s="573"/>
      <c r="L58" s="572">
        <v>15.01</v>
      </c>
      <c r="M58" s="571"/>
      <c r="N58" s="570"/>
      <c r="V58" s="674"/>
      <c r="W58" s="675" t="s">
        <v>2654</v>
      </c>
      <c r="AA58" s="680"/>
      <c r="AD58" s="675"/>
    </row>
    <row r="59" spans="1:30" s="536" customFormat="1" ht="12" x14ac:dyDescent="0.2">
      <c r="A59" s="569"/>
      <c r="B59" s="656"/>
      <c r="C59" s="661" t="s">
        <v>717</v>
      </c>
      <c r="D59" s="662"/>
      <c r="E59" s="662"/>
      <c r="F59" s="563"/>
      <c r="G59" s="563"/>
      <c r="H59" s="563"/>
      <c r="I59" s="563"/>
      <c r="J59" s="566"/>
      <c r="K59" s="563"/>
      <c r="L59" s="566"/>
      <c r="M59" s="565"/>
      <c r="N59" s="564"/>
      <c r="V59" s="674"/>
      <c r="W59" s="675"/>
      <c r="AA59" s="680"/>
      <c r="AD59" s="675"/>
    </row>
    <row r="60" spans="1:30" s="536" customFormat="1" ht="12" x14ac:dyDescent="0.2">
      <c r="A60" s="676"/>
      <c r="B60" s="655"/>
      <c r="C60" s="1822" t="s">
        <v>2656</v>
      </c>
      <c r="D60" s="1822"/>
      <c r="E60" s="1822"/>
      <c r="F60" s="1822"/>
      <c r="G60" s="1822"/>
      <c r="H60" s="1822"/>
      <c r="I60" s="1822"/>
      <c r="J60" s="1822"/>
      <c r="K60" s="1822"/>
      <c r="L60" s="1822"/>
      <c r="M60" s="1822"/>
      <c r="N60" s="1827"/>
      <c r="V60" s="674"/>
      <c r="W60" s="675"/>
      <c r="X60" s="537" t="s">
        <v>2656</v>
      </c>
      <c r="AA60" s="680"/>
      <c r="AD60" s="675"/>
    </row>
    <row r="61" spans="1:30" s="536" customFormat="1" ht="22.5" x14ac:dyDescent="0.2">
      <c r="A61" s="575" t="s">
        <v>187</v>
      </c>
      <c r="B61" s="657" t="s">
        <v>2657</v>
      </c>
      <c r="C61" s="1823" t="s">
        <v>2658</v>
      </c>
      <c r="D61" s="1823"/>
      <c r="E61" s="1823"/>
      <c r="F61" s="573" t="s">
        <v>483</v>
      </c>
      <c r="G61" s="573"/>
      <c r="H61" s="573"/>
      <c r="I61" s="573" t="s">
        <v>2659</v>
      </c>
      <c r="J61" s="572">
        <v>43.52</v>
      </c>
      <c r="K61" s="573"/>
      <c r="L61" s="572">
        <v>390.9</v>
      </c>
      <c r="M61" s="571"/>
      <c r="N61" s="570"/>
      <c r="V61" s="674"/>
      <c r="W61" s="675" t="s">
        <v>2658</v>
      </c>
      <c r="AA61" s="680"/>
      <c r="AD61" s="675"/>
    </row>
    <row r="62" spans="1:30" s="536" customFormat="1" ht="12" x14ac:dyDescent="0.2">
      <c r="A62" s="569"/>
      <c r="B62" s="656"/>
      <c r="C62" s="661" t="s">
        <v>717</v>
      </c>
      <c r="D62" s="662"/>
      <c r="E62" s="662"/>
      <c r="F62" s="563"/>
      <c r="G62" s="563"/>
      <c r="H62" s="563"/>
      <c r="I62" s="563"/>
      <c r="J62" s="566"/>
      <c r="K62" s="563"/>
      <c r="L62" s="566"/>
      <c r="M62" s="565"/>
      <c r="N62" s="564"/>
      <c r="V62" s="674"/>
      <c r="W62" s="675"/>
      <c r="AA62" s="680"/>
      <c r="AD62" s="675"/>
    </row>
    <row r="63" spans="1:30" s="536" customFormat="1" ht="12" x14ac:dyDescent="0.2">
      <c r="A63" s="676"/>
      <c r="B63" s="655"/>
      <c r="C63" s="1822" t="s">
        <v>2660</v>
      </c>
      <c r="D63" s="1822"/>
      <c r="E63" s="1822"/>
      <c r="F63" s="1822"/>
      <c r="G63" s="1822"/>
      <c r="H63" s="1822"/>
      <c r="I63" s="1822"/>
      <c r="J63" s="1822"/>
      <c r="K63" s="1822"/>
      <c r="L63" s="1822"/>
      <c r="M63" s="1822"/>
      <c r="N63" s="1827"/>
      <c r="V63" s="674"/>
      <c r="W63" s="675"/>
      <c r="X63" s="537" t="s">
        <v>2660</v>
      </c>
      <c r="AA63" s="680"/>
      <c r="AD63" s="675"/>
    </row>
    <row r="64" spans="1:30" s="536" customFormat="1" ht="45" x14ac:dyDescent="0.2">
      <c r="A64" s="575" t="s">
        <v>188</v>
      </c>
      <c r="B64" s="657" t="s">
        <v>2661</v>
      </c>
      <c r="C64" s="1823" t="s">
        <v>2662</v>
      </c>
      <c r="D64" s="1823"/>
      <c r="E64" s="1823"/>
      <c r="F64" s="573" t="s">
        <v>483</v>
      </c>
      <c r="G64" s="573"/>
      <c r="H64" s="573"/>
      <c r="I64" s="573" t="s">
        <v>2663</v>
      </c>
      <c r="J64" s="572">
        <v>138.36000000000001</v>
      </c>
      <c r="K64" s="573"/>
      <c r="L64" s="572">
        <v>1104.67</v>
      </c>
      <c r="M64" s="571"/>
      <c r="N64" s="570"/>
      <c r="V64" s="674"/>
      <c r="W64" s="675" t="s">
        <v>2662</v>
      </c>
      <c r="AA64" s="680"/>
      <c r="AD64" s="675"/>
    </row>
    <row r="65" spans="1:30" s="536" customFormat="1" ht="12" x14ac:dyDescent="0.2">
      <c r="A65" s="569"/>
      <c r="B65" s="656"/>
      <c r="C65" s="661" t="s">
        <v>717</v>
      </c>
      <c r="D65" s="662"/>
      <c r="E65" s="662"/>
      <c r="F65" s="563"/>
      <c r="G65" s="563"/>
      <c r="H65" s="563"/>
      <c r="I65" s="563"/>
      <c r="J65" s="566"/>
      <c r="K65" s="563"/>
      <c r="L65" s="566"/>
      <c r="M65" s="565"/>
      <c r="N65" s="564"/>
      <c r="V65" s="674"/>
      <c r="W65" s="675"/>
      <c r="AA65" s="680"/>
      <c r="AD65" s="675"/>
    </row>
    <row r="66" spans="1:30" s="536" customFormat="1" ht="12" x14ac:dyDescent="0.2">
      <c r="A66" s="676"/>
      <c r="B66" s="655"/>
      <c r="C66" s="1822" t="s">
        <v>2664</v>
      </c>
      <c r="D66" s="1822"/>
      <c r="E66" s="1822"/>
      <c r="F66" s="1822"/>
      <c r="G66" s="1822"/>
      <c r="H66" s="1822"/>
      <c r="I66" s="1822"/>
      <c r="J66" s="1822"/>
      <c r="K66" s="1822"/>
      <c r="L66" s="1822"/>
      <c r="M66" s="1822"/>
      <c r="N66" s="1827"/>
      <c r="V66" s="674"/>
      <c r="W66" s="675"/>
      <c r="X66" s="537" t="s">
        <v>2664</v>
      </c>
      <c r="AA66" s="680"/>
      <c r="AD66" s="675"/>
    </row>
    <row r="67" spans="1:30" s="536" customFormat="1" ht="22.5" x14ac:dyDescent="0.2">
      <c r="A67" s="575" t="s">
        <v>189</v>
      </c>
      <c r="B67" s="657" t="s">
        <v>2665</v>
      </c>
      <c r="C67" s="1823" t="s">
        <v>2666</v>
      </c>
      <c r="D67" s="1823"/>
      <c r="E67" s="1823"/>
      <c r="F67" s="573" t="s">
        <v>617</v>
      </c>
      <c r="G67" s="573"/>
      <c r="H67" s="573"/>
      <c r="I67" s="573" t="s">
        <v>1067</v>
      </c>
      <c r="J67" s="572">
        <v>20.8</v>
      </c>
      <c r="K67" s="573"/>
      <c r="L67" s="572">
        <v>457.6</v>
      </c>
      <c r="M67" s="571"/>
      <c r="N67" s="570"/>
      <c r="V67" s="674"/>
      <c r="W67" s="675" t="s">
        <v>2666</v>
      </c>
      <c r="AA67" s="680"/>
      <c r="AD67" s="675"/>
    </row>
    <row r="68" spans="1:30" s="536" customFormat="1" ht="12" x14ac:dyDescent="0.2">
      <c r="A68" s="569"/>
      <c r="B68" s="656"/>
      <c r="C68" s="661" t="s">
        <v>717</v>
      </c>
      <c r="D68" s="662"/>
      <c r="E68" s="662"/>
      <c r="F68" s="563"/>
      <c r="G68" s="563"/>
      <c r="H68" s="563"/>
      <c r="I68" s="563"/>
      <c r="J68" s="566"/>
      <c r="K68" s="563"/>
      <c r="L68" s="566"/>
      <c r="M68" s="565"/>
      <c r="N68" s="564"/>
      <c r="V68" s="674"/>
      <c r="W68" s="675"/>
      <c r="AA68" s="680"/>
      <c r="AD68" s="675"/>
    </row>
    <row r="69" spans="1:30" s="536" customFormat="1" ht="22.5" x14ac:dyDescent="0.2">
      <c r="A69" s="575" t="s">
        <v>190</v>
      </c>
      <c r="B69" s="657" t="s">
        <v>2667</v>
      </c>
      <c r="C69" s="1823" t="s">
        <v>2668</v>
      </c>
      <c r="D69" s="1823"/>
      <c r="E69" s="1823"/>
      <c r="F69" s="573" t="s">
        <v>617</v>
      </c>
      <c r="G69" s="573"/>
      <c r="H69" s="573"/>
      <c r="I69" s="573" t="s">
        <v>186</v>
      </c>
      <c r="J69" s="572">
        <v>7.1</v>
      </c>
      <c r="K69" s="573"/>
      <c r="L69" s="572">
        <v>14.2</v>
      </c>
      <c r="M69" s="571"/>
      <c r="N69" s="570"/>
      <c r="V69" s="674"/>
      <c r="W69" s="675" t="s">
        <v>2668</v>
      </c>
      <c r="AA69" s="680"/>
      <c r="AD69" s="675"/>
    </row>
    <row r="70" spans="1:30" s="536" customFormat="1" ht="12" x14ac:dyDescent="0.2">
      <c r="A70" s="569"/>
      <c r="B70" s="656"/>
      <c r="C70" s="661" t="s">
        <v>717</v>
      </c>
      <c r="D70" s="662"/>
      <c r="E70" s="662"/>
      <c r="F70" s="563"/>
      <c r="G70" s="563"/>
      <c r="H70" s="563"/>
      <c r="I70" s="563"/>
      <c r="J70" s="566"/>
      <c r="K70" s="563"/>
      <c r="L70" s="566"/>
      <c r="M70" s="565"/>
      <c r="N70" s="564"/>
      <c r="V70" s="674"/>
      <c r="W70" s="675"/>
      <c r="AA70" s="680"/>
      <c r="AD70" s="675"/>
    </row>
    <row r="71" spans="1:30" s="536" customFormat="1" ht="22.5" x14ac:dyDescent="0.2">
      <c r="A71" s="575" t="s">
        <v>191</v>
      </c>
      <c r="B71" s="657" t="s">
        <v>2669</v>
      </c>
      <c r="C71" s="1823" t="s">
        <v>2670</v>
      </c>
      <c r="D71" s="1823"/>
      <c r="E71" s="1823"/>
      <c r="F71" s="573" t="s">
        <v>617</v>
      </c>
      <c r="G71" s="573"/>
      <c r="H71" s="573"/>
      <c r="I71" s="573" t="s">
        <v>186</v>
      </c>
      <c r="J71" s="572">
        <v>7.81</v>
      </c>
      <c r="K71" s="573"/>
      <c r="L71" s="572">
        <v>15.62</v>
      </c>
      <c r="M71" s="571"/>
      <c r="N71" s="570"/>
      <c r="V71" s="674"/>
      <c r="W71" s="675" t="s">
        <v>2670</v>
      </c>
      <c r="AA71" s="680"/>
      <c r="AD71" s="675"/>
    </row>
    <row r="72" spans="1:30" s="536" customFormat="1" ht="12" x14ac:dyDescent="0.2">
      <c r="A72" s="569"/>
      <c r="B72" s="656"/>
      <c r="C72" s="661" t="s">
        <v>717</v>
      </c>
      <c r="D72" s="662"/>
      <c r="E72" s="662"/>
      <c r="F72" s="563"/>
      <c r="G72" s="563"/>
      <c r="H72" s="563"/>
      <c r="I72" s="563"/>
      <c r="J72" s="566"/>
      <c r="K72" s="563"/>
      <c r="L72" s="566"/>
      <c r="M72" s="565"/>
      <c r="N72" s="564"/>
      <c r="V72" s="674"/>
      <c r="W72" s="675"/>
      <c r="AA72" s="680"/>
      <c r="AD72" s="675"/>
    </row>
    <row r="73" spans="1:30" s="536" customFormat="1" ht="33.75" x14ac:dyDescent="0.2">
      <c r="A73" s="575" t="s">
        <v>192</v>
      </c>
      <c r="B73" s="657" t="s">
        <v>2671</v>
      </c>
      <c r="C73" s="1823" t="s">
        <v>2672</v>
      </c>
      <c r="D73" s="1823"/>
      <c r="E73" s="1823"/>
      <c r="F73" s="573" t="s">
        <v>617</v>
      </c>
      <c r="G73" s="573"/>
      <c r="H73" s="573"/>
      <c r="I73" s="573" t="s">
        <v>185</v>
      </c>
      <c r="J73" s="572">
        <v>15.18</v>
      </c>
      <c r="K73" s="573"/>
      <c r="L73" s="572">
        <v>15.18</v>
      </c>
      <c r="M73" s="571"/>
      <c r="N73" s="570"/>
      <c r="V73" s="674"/>
      <c r="W73" s="675" t="s">
        <v>2672</v>
      </c>
      <c r="AA73" s="680"/>
      <c r="AD73" s="675"/>
    </row>
    <row r="74" spans="1:30" s="536" customFormat="1" ht="12" x14ac:dyDescent="0.2">
      <c r="A74" s="569"/>
      <c r="B74" s="656"/>
      <c r="C74" s="661" t="s">
        <v>717</v>
      </c>
      <c r="D74" s="662"/>
      <c r="E74" s="662"/>
      <c r="F74" s="563"/>
      <c r="G74" s="563"/>
      <c r="H74" s="563"/>
      <c r="I74" s="563"/>
      <c r="J74" s="566"/>
      <c r="K74" s="563"/>
      <c r="L74" s="566"/>
      <c r="M74" s="565"/>
      <c r="N74" s="564"/>
      <c r="V74" s="674"/>
      <c r="W74" s="675"/>
      <c r="AA74" s="680"/>
      <c r="AD74" s="675"/>
    </row>
    <row r="75" spans="1:30" s="536" customFormat="1" ht="22.5" x14ac:dyDescent="0.2">
      <c r="A75" s="575" t="s">
        <v>193</v>
      </c>
      <c r="B75" s="657" t="s">
        <v>2673</v>
      </c>
      <c r="C75" s="1823" t="s">
        <v>2674</v>
      </c>
      <c r="D75" s="1823"/>
      <c r="E75" s="1823"/>
      <c r="F75" s="573" t="s">
        <v>617</v>
      </c>
      <c r="G75" s="573"/>
      <c r="H75" s="573"/>
      <c r="I75" s="573" t="s">
        <v>196</v>
      </c>
      <c r="J75" s="572">
        <v>2.89</v>
      </c>
      <c r="K75" s="573"/>
      <c r="L75" s="572">
        <v>34.68</v>
      </c>
      <c r="M75" s="571"/>
      <c r="N75" s="570"/>
      <c r="V75" s="674"/>
      <c r="W75" s="675" t="s">
        <v>2674</v>
      </c>
      <c r="AA75" s="680"/>
      <c r="AD75" s="675"/>
    </row>
    <row r="76" spans="1:30" s="536" customFormat="1" ht="12" x14ac:dyDescent="0.2">
      <c r="A76" s="569"/>
      <c r="B76" s="656"/>
      <c r="C76" s="661" t="s">
        <v>717</v>
      </c>
      <c r="D76" s="662"/>
      <c r="E76" s="662"/>
      <c r="F76" s="563"/>
      <c r="G76" s="563"/>
      <c r="H76" s="563"/>
      <c r="I76" s="563"/>
      <c r="J76" s="566"/>
      <c r="K76" s="563"/>
      <c r="L76" s="566"/>
      <c r="M76" s="565"/>
      <c r="N76" s="564"/>
      <c r="V76" s="674"/>
      <c r="W76" s="675"/>
      <c r="AA76" s="680"/>
      <c r="AD76" s="675"/>
    </row>
    <row r="77" spans="1:30" s="536" customFormat="1" ht="33.75" x14ac:dyDescent="0.2">
      <c r="A77" s="575" t="s">
        <v>194</v>
      </c>
      <c r="B77" s="657" t="s">
        <v>2675</v>
      </c>
      <c r="C77" s="1823" t="s">
        <v>2676</v>
      </c>
      <c r="D77" s="1823"/>
      <c r="E77" s="1823"/>
      <c r="F77" s="573" t="s">
        <v>1110</v>
      </c>
      <c r="G77" s="573"/>
      <c r="H77" s="573"/>
      <c r="I77" s="573" t="s">
        <v>1232</v>
      </c>
      <c r="J77" s="572"/>
      <c r="K77" s="573"/>
      <c r="L77" s="572"/>
      <c r="M77" s="571"/>
      <c r="N77" s="570"/>
      <c r="V77" s="674"/>
      <c r="W77" s="675" t="s">
        <v>2676</v>
      </c>
      <c r="AA77" s="680"/>
      <c r="AD77" s="675"/>
    </row>
    <row r="78" spans="1:30" s="536" customFormat="1" ht="12" x14ac:dyDescent="0.2">
      <c r="A78" s="676"/>
      <c r="B78" s="655"/>
      <c r="C78" s="1822" t="s">
        <v>2677</v>
      </c>
      <c r="D78" s="1822"/>
      <c r="E78" s="1822"/>
      <c r="F78" s="1822"/>
      <c r="G78" s="1822"/>
      <c r="H78" s="1822"/>
      <c r="I78" s="1822"/>
      <c r="J78" s="1822"/>
      <c r="K78" s="1822"/>
      <c r="L78" s="1822"/>
      <c r="M78" s="1822"/>
      <c r="N78" s="1827"/>
      <c r="V78" s="674"/>
      <c r="W78" s="675"/>
      <c r="X78" s="537" t="s">
        <v>2677</v>
      </c>
      <c r="AA78" s="680"/>
      <c r="AD78" s="675"/>
    </row>
    <row r="79" spans="1:30" s="536" customFormat="1" ht="22.5" x14ac:dyDescent="0.2">
      <c r="A79" s="609"/>
      <c r="B79" s="552" t="s">
        <v>499</v>
      </c>
      <c r="C79" s="1822" t="s">
        <v>500</v>
      </c>
      <c r="D79" s="1822"/>
      <c r="E79" s="1822"/>
      <c r="F79" s="1822"/>
      <c r="G79" s="1822"/>
      <c r="H79" s="1822"/>
      <c r="I79" s="1822"/>
      <c r="J79" s="1822"/>
      <c r="K79" s="1822"/>
      <c r="L79" s="1822"/>
      <c r="M79" s="1822"/>
      <c r="N79" s="1827"/>
      <c r="V79" s="674"/>
      <c r="W79" s="675"/>
      <c r="Y79" s="537" t="s">
        <v>500</v>
      </c>
      <c r="AA79" s="680"/>
      <c r="AD79" s="675"/>
    </row>
    <row r="80" spans="1:30" s="536" customFormat="1" ht="12" x14ac:dyDescent="0.2">
      <c r="A80" s="605"/>
      <c r="B80" s="552" t="s">
        <v>185</v>
      </c>
      <c r="C80" s="1822" t="s">
        <v>312</v>
      </c>
      <c r="D80" s="1822"/>
      <c r="E80" s="1822"/>
      <c r="F80" s="562"/>
      <c r="G80" s="562"/>
      <c r="H80" s="562"/>
      <c r="I80" s="562"/>
      <c r="J80" s="604">
        <v>563.25</v>
      </c>
      <c r="K80" s="562" t="s">
        <v>313</v>
      </c>
      <c r="L80" s="604">
        <v>77.45</v>
      </c>
      <c r="M80" s="603"/>
      <c r="N80" s="602"/>
      <c r="V80" s="674"/>
      <c r="W80" s="675"/>
      <c r="Z80" s="537" t="s">
        <v>312</v>
      </c>
      <c r="AA80" s="680"/>
      <c r="AD80" s="675"/>
    </row>
    <row r="81" spans="1:30" s="536" customFormat="1" ht="12" x14ac:dyDescent="0.2">
      <c r="A81" s="605"/>
      <c r="B81" s="552" t="s">
        <v>186</v>
      </c>
      <c r="C81" s="1822" t="s">
        <v>344</v>
      </c>
      <c r="D81" s="1822"/>
      <c r="E81" s="1822"/>
      <c r="F81" s="562"/>
      <c r="G81" s="562"/>
      <c r="H81" s="562"/>
      <c r="I81" s="562"/>
      <c r="J81" s="604">
        <v>8.98</v>
      </c>
      <c r="K81" s="562" t="s">
        <v>313</v>
      </c>
      <c r="L81" s="604">
        <v>1.23</v>
      </c>
      <c r="M81" s="603"/>
      <c r="N81" s="602"/>
      <c r="V81" s="674"/>
      <c r="W81" s="675"/>
      <c r="Z81" s="537" t="s">
        <v>344</v>
      </c>
      <c r="AA81" s="680"/>
      <c r="AD81" s="675"/>
    </row>
    <row r="82" spans="1:30" s="536" customFormat="1" ht="12" x14ac:dyDescent="0.2">
      <c r="A82" s="605"/>
      <c r="B82" s="552" t="s">
        <v>187</v>
      </c>
      <c r="C82" s="1822" t="s">
        <v>345</v>
      </c>
      <c r="D82" s="1822"/>
      <c r="E82" s="1822"/>
      <c r="F82" s="562"/>
      <c r="G82" s="562"/>
      <c r="H82" s="562"/>
      <c r="I82" s="562"/>
      <c r="J82" s="604">
        <v>1.27</v>
      </c>
      <c r="K82" s="562" t="s">
        <v>313</v>
      </c>
      <c r="L82" s="604">
        <v>0.17</v>
      </c>
      <c r="M82" s="603"/>
      <c r="N82" s="602"/>
      <c r="V82" s="674"/>
      <c r="W82" s="675"/>
      <c r="Z82" s="537" t="s">
        <v>345</v>
      </c>
      <c r="AA82" s="680"/>
      <c r="AD82" s="675"/>
    </row>
    <row r="83" spans="1:30" s="536" customFormat="1" ht="12" x14ac:dyDescent="0.2">
      <c r="A83" s="605"/>
      <c r="B83" s="552" t="s">
        <v>188</v>
      </c>
      <c r="C83" s="1822" t="s">
        <v>475</v>
      </c>
      <c r="D83" s="1822"/>
      <c r="E83" s="1822"/>
      <c r="F83" s="562"/>
      <c r="G83" s="562"/>
      <c r="H83" s="562"/>
      <c r="I83" s="562"/>
      <c r="J83" s="604">
        <v>27.16</v>
      </c>
      <c r="K83" s="562"/>
      <c r="L83" s="604">
        <v>2.99</v>
      </c>
      <c r="M83" s="603"/>
      <c r="N83" s="602"/>
      <c r="V83" s="674"/>
      <c r="W83" s="675"/>
      <c r="Z83" s="537" t="s">
        <v>475</v>
      </c>
      <c r="AA83" s="680"/>
      <c r="AD83" s="675"/>
    </row>
    <row r="84" spans="1:30" s="536" customFormat="1" ht="12" x14ac:dyDescent="0.2">
      <c r="A84" s="676"/>
      <c r="B84" s="677" t="s">
        <v>2643</v>
      </c>
      <c r="C84" s="1829" t="s">
        <v>2644</v>
      </c>
      <c r="D84" s="1829"/>
      <c r="E84" s="1829"/>
      <c r="F84" s="678" t="s">
        <v>617</v>
      </c>
      <c r="G84" s="678" t="s">
        <v>525</v>
      </c>
      <c r="H84" s="678"/>
      <c r="I84" s="678" t="s">
        <v>525</v>
      </c>
      <c r="J84" s="552"/>
      <c r="K84" s="562"/>
      <c r="L84" s="604"/>
      <c r="M84" s="562"/>
      <c r="N84" s="679"/>
      <c r="V84" s="674"/>
      <c r="W84" s="675"/>
      <c r="AA84" s="680" t="s">
        <v>2644</v>
      </c>
      <c r="AD84" s="675"/>
    </row>
    <row r="85" spans="1:30" s="536" customFormat="1" ht="12" x14ac:dyDescent="0.2">
      <c r="A85" s="676"/>
      <c r="B85" s="677" t="s">
        <v>2456</v>
      </c>
      <c r="C85" s="1829" t="s">
        <v>2457</v>
      </c>
      <c r="D85" s="1829"/>
      <c r="E85" s="1829"/>
      <c r="F85" s="678" t="s">
        <v>699</v>
      </c>
      <c r="G85" s="678" t="s">
        <v>525</v>
      </c>
      <c r="H85" s="678"/>
      <c r="I85" s="678" t="s">
        <v>525</v>
      </c>
      <c r="J85" s="552"/>
      <c r="K85" s="562"/>
      <c r="L85" s="604"/>
      <c r="M85" s="562"/>
      <c r="N85" s="679"/>
      <c r="V85" s="674"/>
      <c r="W85" s="675"/>
      <c r="AA85" s="680" t="s">
        <v>2457</v>
      </c>
      <c r="AD85" s="675"/>
    </row>
    <row r="86" spans="1:30" s="536" customFormat="1" ht="22.5" x14ac:dyDescent="0.2">
      <c r="A86" s="676"/>
      <c r="B86" s="677" t="s">
        <v>2645</v>
      </c>
      <c r="C86" s="1829" t="s">
        <v>2646</v>
      </c>
      <c r="D86" s="1829"/>
      <c r="E86" s="1829"/>
      <c r="F86" s="678" t="s">
        <v>483</v>
      </c>
      <c r="G86" s="678" t="s">
        <v>2647</v>
      </c>
      <c r="H86" s="678"/>
      <c r="I86" s="678" t="s">
        <v>2678</v>
      </c>
      <c r="J86" s="552"/>
      <c r="K86" s="562"/>
      <c r="L86" s="604"/>
      <c r="M86" s="562"/>
      <c r="N86" s="679"/>
      <c r="V86" s="674"/>
      <c r="W86" s="675"/>
      <c r="AA86" s="680" t="s">
        <v>2646</v>
      </c>
      <c r="AD86" s="675"/>
    </row>
    <row r="87" spans="1:30" s="536" customFormat="1" ht="22.5" x14ac:dyDescent="0.2">
      <c r="A87" s="676"/>
      <c r="B87" s="677" t="s">
        <v>2462</v>
      </c>
      <c r="C87" s="1829" t="s">
        <v>2649</v>
      </c>
      <c r="D87" s="1829"/>
      <c r="E87" s="1829"/>
      <c r="F87" s="678" t="s">
        <v>617</v>
      </c>
      <c r="G87" s="678" t="s">
        <v>525</v>
      </c>
      <c r="H87" s="678"/>
      <c r="I87" s="678" t="s">
        <v>525</v>
      </c>
      <c r="J87" s="552"/>
      <c r="K87" s="562"/>
      <c r="L87" s="604"/>
      <c r="M87" s="562"/>
      <c r="N87" s="679"/>
      <c r="V87" s="674"/>
      <c r="W87" s="675"/>
      <c r="AA87" s="680" t="s">
        <v>2649</v>
      </c>
      <c r="AD87" s="675"/>
    </row>
    <row r="88" spans="1:30" s="536" customFormat="1" ht="12" x14ac:dyDescent="0.2">
      <c r="A88" s="605"/>
      <c r="B88" s="552"/>
      <c r="C88" s="1822" t="s">
        <v>314</v>
      </c>
      <c r="D88" s="1822"/>
      <c r="E88" s="1822"/>
      <c r="F88" s="562" t="s">
        <v>315</v>
      </c>
      <c r="G88" s="562" t="s">
        <v>2679</v>
      </c>
      <c r="H88" s="562" t="s">
        <v>313</v>
      </c>
      <c r="I88" s="562" t="s">
        <v>2680</v>
      </c>
      <c r="J88" s="604"/>
      <c r="K88" s="562"/>
      <c r="L88" s="604"/>
      <c r="M88" s="603"/>
      <c r="N88" s="602"/>
      <c r="V88" s="674"/>
      <c r="W88" s="675"/>
      <c r="AA88" s="680"/>
      <c r="AB88" s="537" t="s">
        <v>314</v>
      </c>
      <c r="AD88" s="675"/>
    </row>
    <row r="89" spans="1:30" s="536" customFormat="1" ht="12" x14ac:dyDescent="0.2">
      <c r="A89" s="605"/>
      <c r="B89" s="552"/>
      <c r="C89" s="1822" t="s">
        <v>348</v>
      </c>
      <c r="D89" s="1822"/>
      <c r="E89" s="1822"/>
      <c r="F89" s="562" t="s">
        <v>315</v>
      </c>
      <c r="G89" s="562" t="s">
        <v>2323</v>
      </c>
      <c r="H89" s="562" t="s">
        <v>313</v>
      </c>
      <c r="I89" s="562" t="s">
        <v>2681</v>
      </c>
      <c r="J89" s="604"/>
      <c r="K89" s="562"/>
      <c r="L89" s="604"/>
      <c r="M89" s="603"/>
      <c r="N89" s="602"/>
      <c r="V89" s="674"/>
      <c r="W89" s="675"/>
      <c r="AA89" s="680"/>
      <c r="AB89" s="537" t="s">
        <v>348</v>
      </c>
      <c r="AD89" s="675"/>
    </row>
    <row r="90" spans="1:30" s="536" customFormat="1" ht="12" x14ac:dyDescent="0.2">
      <c r="A90" s="605"/>
      <c r="B90" s="552"/>
      <c r="C90" s="1828" t="s">
        <v>318</v>
      </c>
      <c r="D90" s="1828"/>
      <c r="E90" s="1828"/>
      <c r="F90" s="608"/>
      <c r="G90" s="608"/>
      <c r="H90" s="608"/>
      <c r="I90" s="608"/>
      <c r="J90" s="607">
        <v>599.39</v>
      </c>
      <c r="K90" s="608"/>
      <c r="L90" s="607">
        <v>81.67</v>
      </c>
      <c r="M90" s="601"/>
      <c r="N90" s="606"/>
      <c r="V90" s="674"/>
      <c r="W90" s="675"/>
      <c r="AA90" s="680"/>
      <c r="AC90" s="537" t="s">
        <v>318</v>
      </c>
      <c r="AD90" s="675"/>
    </row>
    <row r="91" spans="1:30" s="536" customFormat="1" ht="12" x14ac:dyDescent="0.2">
      <c r="A91" s="605"/>
      <c r="B91" s="552"/>
      <c r="C91" s="1822" t="s">
        <v>319</v>
      </c>
      <c r="D91" s="1822"/>
      <c r="E91" s="1822"/>
      <c r="F91" s="562"/>
      <c r="G91" s="562"/>
      <c r="H91" s="562"/>
      <c r="I91" s="562"/>
      <c r="J91" s="604"/>
      <c r="K91" s="562"/>
      <c r="L91" s="604">
        <v>77.62</v>
      </c>
      <c r="M91" s="603"/>
      <c r="N91" s="602"/>
      <c r="V91" s="674"/>
      <c r="W91" s="675"/>
      <c r="AA91" s="680"/>
      <c r="AB91" s="537" t="s">
        <v>319</v>
      </c>
      <c r="AD91" s="675"/>
    </row>
    <row r="92" spans="1:30" s="536" customFormat="1" ht="45" x14ac:dyDescent="0.2">
      <c r="A92" s="605"/>
      <c r="B92" s="552" t="s">
        <v>892</v>
      </c>
      <c r="C92" s="1822" t="s">
        <v>893</v>
      </c>
      <c r="D92" s="1822"/>
      <c r="E92" s="1822"/>
      <c r="F92" s="562" t="s">
        <v>322</v>
      </c>
      <c r="G92" s="562" t="s">
        <v>894</v>
      </c>
      <c r="H92" s="562"/>
      <c r="I92" s="562" t="s">
        <v>894</v>
      </c>
      <c r="J92" s="604"/>
      <c r="K92" s="562"/>
      <c r="L92" s="604">
        <v>93.92</v>
      </c>
      <c r="M92" s="603"/>
      <c r="N92" s="602"/>
      <c r="V92" s="674"/>
      <c r="W92" s="675"/>
      <c r="AA92" s="680"/>
      <c r="AB92" s="537" t="s">
        <v>893</v>
      </c>
      <c r="AD92" s="675"/>
    </row>
    <row r="93" spans="1:30" s="536" customFormat="1" ht="45" x14ac:dyDescent="0.2">
      <c r="A93" s="605"/>
      <c r="B93" s="552" t="s">
        <v>895</v>
      </c>
      <c r="C93" s="1822" t="s">
        <v>896</v>
      </c>
      <c r="D93" s="1822"/>
      <c r="E93" s="1822"/>
      <c r="F93" s="562" t="s">
        <v>322</v>
      </c>
      <c r="G93" s="562" t="s">
        <v>897</v>
      </c>
      <c r="H93" s="562"/>
      <c r="I93" s="562" t="s">
        <v>897</v>
      </c>
      <c r="J93" s="604"/>
      <c r="K93" s="562"/>
      <c r="L93" s="604">
        <v>55.89</v>
      </c>
      <c r="M93" s="603"/>
      <c r="N93" s="602"/>
      <c r="V93" s="674"/>
      <c r="W93" s="675"/>
      <c r="AA93" s="680"/>
      <c r="AB93" s="537" t="s">
        <v>896</v>
      </c>
      <c r="AD93" s="675"/>
    </row>
    <row r="94" spans="1:30" s="536" customFormat="1" ht="12" x14ac:dyDescent="0.2">
      <c r="A94" s="569"/>
      <c r="B94" s="656"/>
      <c r="C94" s="1823" t="s">
        <v>327</v>
      </c>
      <c r="D94" s="1823"/>
      <c r="E94" s="1823"/>
      <c r="F94" s="573"/>
      <c r="G94" s="573"/>
      <c r="H94" s="573"/>
      <c r="I94" s="573"/>
      <c r="J94" s="572"/>
      <c r="K94" s="573"/>
      <c r="L94" s="572">
        <v>231.48</v>
      </c>
      <c r="M94" s="601"/>
      <c r="N94" s="570"/>
      <c r="V94" s="674"/>
      <c r="W94" s="675"/>
      <c r="AA94" s="680"/>
      <c r="AD94" s="675" t="s">
        <v>327</v>
      </c>
    </row>
    <row r="95" spans="1:30" s="536" customFormat="1" ht="45" x14ac:dyDescent="0.2">
      <c r="A95" s="575" t="s">
        <v>195</v>
      </c>
      <c r="B95" s="657" t="s">
        <v>2682</v>
      </c>
      <c r="C95" s="1823" t="s">
        <v>2683</v>
      </c>
      <c r="D95" s="1823"/>
      <c r="E95" s="1823"/>
      <c r="F95" s="573" t="s">
        <v>694</v>
      </c>
      <c r="G95" s="573"/>
      <c r="H95" s="573"/>
      <c r="I95" s="573" t="s">
        <v>2684</v>
      </c>
      <c r="J95" s="572">
        <v>26729.37</v>
      </c>
      <c r="K95" s="573"/>
      <c r="L95" s="572">
        <v>11.76</v>
      </c>
      <c r="M95" s="571"/>
      <c r="N95" s="570"/>
      <c r="V95" s="674"/>
      <c r="W95" s="675" t="s">
        <v>2683</v>
      </c>
      <c r="AA95" s="680"/>
      <c r="AD95" s="675"/>
    </row>
    <row r="96" spans="1:30" s="536" customFormat="1" ht="12" x14ac:dyDescent="0.2">
      <c r="A96" s="569"/>
      <c r="B96" s="656"/>
      <c r="C96" s="661" t="s">
        <v>717</v>
      </c>
      <c r="D96" s="662"/>
      <c r="E96" s="662"/>
      <c r="F96" s="563"/>
      <c r="G96" s="563"/>
      <c r="H96" s="563"/>
      <c r="I96" s="563"/>
      <c r="J96" s="566"/>
      <c r="K96" s="563"/>
      <c r="L96" s="566"/>
      <c r="M96" s="565"/>
      <c r="N96" s="564"/>
      <c r="V96" s="674"/>
      <c r="W96" s="675"/>
      <c r="AA96" s="680"/>
      <c r="AD96" s="675"/>
    </row>
    <row r="97" spans="1:30" s="536" customFormat="1" ht="12" x14ac:dyDescent="0.2">
      <c r="A97" s="676"/>
      <c r="B97" s="655"/>
      <c r="C97" s="1822" t="s">
        <v>2685</v>
      </c>
      <c r="D97" s="1822"/>
      <c r="E97" s="1822"/>
      <c r="F97" s="1822"/>
      <c r="G97" s="1822"/>
      <c r="H97" s="1822"/>
      <c r="I97" s="1822"/>
      <c r="J97" s="1822"/>
      <c r="K97" s="1822"/>
      <c r="L97" s="1822"/>
      <c r="M97" s="1822"/>
      <c r="N97" s="1827"/>
      <c r="V97" s="674"/>
      <c r="W97" s="675"/>
      <c r="X97" s="537" t="s">
        <v>2685</v>
      </c>
      <c r="AA97" s="680"/>
      <c r="AD97" s="675"/>
    </row>
    <row r="98" spans="1:30" s="536" customFormat="1" ht="33.75" x14ac:dyDescent="0.2">
      <c r="A98" s="575" t="s">
        <v>196</v>
      </c>
      <c r="B98" s="657" t="s">
        <v>2686</v>
      </c>
      <c r="C98" s="1823" t="s">
        <v>2687</v>
      </c>
      <c r="D98" s="1823"/>
      <c r="E98" s="1823"/>
      <c r="F98" s="573" t="s">
        <v>483</v>
      </c>
      <c r="G98" s="573"/>
      <c r="H98" s="573"/>
      <c r="I98" s="573" t="s">
        <v>2688</v>
      </c>
      <c r="J98" s="572">
        <v>21.89</v>
      </c>
      <c r="K98" s="573"/>
      <c r="L98" s="572">
        <v>240.35</v>
      </c>
      <c r="M98" s="571"/>
      <c r="N98" s="570"/>
      <c r="V98" s="674"/>
      <c r="W98" s="675" t="s">
        <v>2687</v>
      </c>
      <c r="AA98" s="680"/>
      <c r="AD98" s="675"/>
    </row>
    <row r="99" spans="1:30" s="536" customFormat="1" ht="12" x14ac:dyDescent="0.2">
      <c r="A99" s="569"/>
      <c r="B99" s="656"/>
      <c r="C99" s="661" t="s">
        <v>717</v>
      </c>
      <c r="D99" s="662"/>
      <c r="E99" s="662"/>
      <c r="F99" s="563"/>
      <c r="G99" s="563"/>
      <c r="H99" s="563"/>
      <c r="I99" s="563"/>
      <c r="J99" s="566"/>
      <c r="K99" s="563"/>
      <c r="L99" s="566"/>
      <c r="M99" s="565"/>
      <c r="N99" s="564"/>
      <c r="V99" s="674"/>
      <c r="W99" s="675"/>
      <c r="AA99" s="680"/>
      <c r="AD99" s="675"/>
    </row>
    <row r="100" spans="1:30" s="536" customFormat="1" ht="22.5" x14ac:dyDescent="0.2">
      <c r="A100" s="575" t="s">
        <v>197</v>
      </c>
      <c r="B100" s="657" t="s">
        <v>2689</v>
      </c>
      <c r="C100" s="1823" t="s">
        <v>2690</v>
      </c>
      <c r="D100" s="1823"/>
      <c r="E100" s="1823"/>
      <c r="F100" s="573" t="s">
        <v>617</v>
      </c>
      <c r="G100" s="573"/>
      <c r="H100" s="573"/>
      <c r="I100" s="573" t="s">
        <v>192</v>
      </c>
      <c r="J100" s="572">
        <v>7.95</v>
      </c>
      <c r="K100" s="573"/>
      <c r="L100" s="572">
        <v>63.6</v>
      </c>
      <c r="M100" s="571"/>
      <c r="N100" s="570"/>
      <c r="V100" s="674"/>
      <c r="W100" s="675" t="s">
        <v>2690</v>
      </c>
      <c r="AA100" s="680"/>
      <c r="AD100" s="675"/>
    </row>
    <row r="101" spans="1:30" s="536" customFormat="1" ht="12" x14ac:dyDescent="0.2">
      <c r="A101" s="569"/>
      <c r="B101" s="656"/>
      <c r="C101" s="661" t="s">
        <v>717</v>
      </c>
      <c r="D101" s="662"/>
      <c r="E101" s="662"/>
      <c r="F101" s="563"/>
      <c r="G101" s="563"/>
      <c r="H101" s="563"/>
      <c r="I101" s="563"/>
      <c r="J101" s="566"/>
      <c r="K101" s="563"/>
      <c r="L101" s="566"/>
      <c r="M101" s="565"/>
      <c r="N101" s="564"/>
      <c r="V101" s="674"/>
      <c r="W101" s="675"/>
      <c r="AA101" s="680"/>
      <c r="AD101" s="675"/>
    </row>
    <row r="102" spans="1:30" s="536" customFormat="1" ht="22.5" x14ac:dyDescent="0.2">
      <c r="A102" s="575" t="s">
        <v>198</v>
      </c>
      <c r="B102" s="657" t="s">
        <v>2691</v>
      </c>
      <c r="C102" s="1823" t="s">
        <v>2692</v>
      </c>
      <c r="D102" s="1823"/>
      <c r="E102" s="1823"/>
      <c r="F102" s="573" t="s">
        <v>617</v>
      </c>
      <c r="G102" s="573"/>
      <c r="H102" s="573"/>
      <c r="I102" s="573" t="s">
        <v>186</v>
      </c>
      <c r="J102" s="572">
        <v>3.16</v>
      </c>
      <c r="K102" s="573"/>
      <c r="L102" s="572">
        <v>6.32</v>
      </c>
      <c r="M102" s="571"/>
      <c r="N102" s="570"/>
      <c r="V102" s="674"/>
      <c r="W102" s="675" t="s">
        <v>2692</v>
      </c>
      <c r="AA102" s="680"/>
      <c r="AD102" s="675"/>
    </row>
    <row r="103" spans="1:30" s="536" customFormat="1" ht="12" x14ac:dyDescent="0.2">
      <c r="A103" s="569"/>
      <c r="B103" s="656"/>
      <c r="C103" s="661" t="s">
        <v>717</v>
      </c>
      <c r="D103" s="662"/>
      <c r="E103" s="662"/>
      <c r="F103" s="563"/>
      <c r="G103" s="563"/>
      <c r="H103" s="563"/>
      <c r="I103" s="563"/>
      <c r="J103" s="566"/>
      <c r="K103" s="563"/>
      <c r="L103" s="566"/>
      <c r="M103" s="565"/>
      <c r="N103" s="564"/>
      <c r="V103" s="674"/>
      <c r="W103" s="675"/>
      <c r="AA103" s="680"/>
      <c r="AD103" s="675"/>
    </row>
    <row r="104" spans="1:30" s="536" customFormat="1" ht="12" x14ac:dyDescent="0.2">
      <c r="A104" s="575" t="s">
        <v>199</v>
      </c>
      <c r="B104" s="657" t="s">
        <v>2693</v>
      </c>
      <c r="C104" s="1823" t="s">
        <v>2694</v>
      </c>
      <c r="D104" s="1823"/>
      <c r="E104" s="1823"/>
      <c r="F104" s="573" t="s">
        <v>2695</v>
      </c>
      <c r="G104" s="573"/>
      <c r="H104" s="573"/>
      <c r="I104" s="573" t="s">
        <v>2323</v>
      </c>
      <c r="J104" s="572"/>
      <c r="K104" s="573"/>
      <c r="L104" s="572"/>
      <c r="M104" s="571"/>
      <c r="N104" s="570"/>
      <c r="V104" s="674"/>
      <c r="W104" s="675" t="s">
        <v>2694</v>
      </c>
      <c r="AA104" s="680"/>
      <c r="AD104" s="675"/>
    </row>
    <row r="105" spans="1:30" s="536" customFormat="1" ht="12" x14ac:dyDescent="0.2">
      <c r="A105" s="676"/>
      <c r="B105" s="655"/>
      <c r="C105" s="1822" t="s">
        <v>2696</v>
      </c>
      <c r="D105" s="1822"/>
      <c r="E105" s="1822"/>
      <c r="F105" s="1822"/>
      <c r="G105" s="1822"/>
      <c r="H105" s="1822"/>
      <c r="I105" s="1822"/>
      <c r="J105" s="1822"/>
      <c r="K105" s="1822"/>
      <c r="L105" s="1822"/>
      <c r="M105" s="1822"/>
      <c r="N105" s="1827"/>
      <c r="V105" s="674"/>
      <c r="W105" s="675"/>
      <c r="X105" s="537" t="s">
        <v>2696</v>
      </c>
      <c r="AA105" s="680"/>
      <c r="AD105" s="675"/>
    </row>
    <row r="106" spans="1:30" s="536" customFormat="1" ht="22.5" x14ac:dyDescent="0.2">
      <c r="A106" s="609"/>
      <c r="B106" s="552" t="s">
        <v>499</v>
      </c>
      <c r="C106" s="1822" t="s">
        <v>500</v>
      </c>
      <c r="D106" s="1822"/>
      <c r="E106" s="1822"/>
      <c r="F106" s="1822"/>
      <c r="G106" s="1822"/>
      <c r="H106" s="1822"/>
      <c r="I106" s="1822"/>
      <c r="J106" s="1822"/>
      <c r="K106" s="1822"/>
      <c r="L106" s="1822"/>
      <c r="M106" s="1822"/>
      <c r="N106" s="1827"/>
      <c r="V106" s="674"/>
      <c r="W106" s="675"/>
      <c r="Y106" s="537" t="s">
        <v>500</v>
      </c>
      <c r="AA106" s="680"/>
      <c r="AD106" s="675"/>
    </row>
    <row r="107" spans="1:30" s="536" customFormat="1" ht="12" x14ac:dyDescent="0.2">
      <c r="A107" s="605"/>
      <c r="B107" s="552" t="s">
        <v>185</v>
      </c>
      <c r="C107" s="1822" t="s">
        <v>312</v>
      </c>
      <c r="D107" s="1822"/>
      <c r="E107" s="1822"/>
      <c r="F107" s="562"/>
      <c r="G107" s="562"/>
      <c r="H107" s="562"/>
      <c r="I107" s="562"/>
      <c r="J107" s="604">
        <v>44.25</v>
      </c>
      <c r="K107" s="562" t="s">
        <v>313</v>
      </c>
      <c r="L107" s="604">
        <v>5.53</v>
      </c>
      <c r="M107" s="603"/>
      <c r="N107" s="602"/>
      <c r="V107" s="674"/>
      <c r="W107" s="675"/>
      <c r="Z107" s="537" t="s">
        <v>312</v>
      </c>
      <c r="AA107" s="680"/>
      <c r="AD107" s="675"/>
    </row>
    <row r="108" spans="1:30" s="536" customFormat="1" ht="12" x14ac:dyDescent="0.2">
      <c r="A108" s="605"/>
      <c r="B108" s="552" t="s">
        <v>186</v>
      </c>
      <c r="C108" s="1822" t="s">
        <v>344</v>
      </c>
      <c r="D108" s="1822"/>
      <c r="E108" s="1822"/>
      <c r="F108" s="562"/>
      <c r="G108" s="562"/>
      <c r="H108" s="562"/>
      <c r="I108" s="562"/>
      <c r="J108" s="604">
        <v>7.51</v>
      </c>
      <c r="K108" s="562" t="s">
        <v>313</v>
      </c>
      <c r="L108" s="604">
        <v>0.94</v>
      </c>
      <c r="M108" s="603"/>
      <c r="N108" s="602"/>
      <c r="V108" s="674"/>
      <c r="W108" s="675"/>
      <c r="Z108" s="537" t="s">
        <v>344</v>
      </c>
      <c r="AA108" s="680"/>
      <c r="AD108" s="675"/>
    </row>
    <row r="109" spans="1:30" s="536" customFormat="1" ht="12" x14ac:dyDescent="0.2">
      <c r="A109" s="605"/>
      <c r="B109" s="552" t="s">
        <v>187</v>
      </c>
      <c r="C109" s="1822" t="s">
        <v>345</v>
      </c>
      <c r="D109" s="1822"/>
      <c r="E109" s="1822"/>
      <c r="F109" s="562"/>
      <c r="G109" s="562"/>
      <c r="H109" s="562"/>
      <c r="I109" s="562"/>
      <c r="J109" s="604">
        <v>1.57</v>
      </c>
      <c r="K109" s="562" t="s">
        <v>313</v>
      </c>
      <c r="L109" s="604">
        <v>0.2</v>
      </c>
      <c r="M109" s="603"/>
      <c r="N109" s="602"/>
      <c r="V109" s="674"/>
      <c r="W109" s="675"/>
      <c r="Z109" s="537" t="s">
        <v>345</v>
      </c>
      <c r="AA109" s="680"/>
      <c r="AD109" s="675"/>
    </row>
    <row r="110" spans="1:30" s="536" customFormat="1" ht="12" x14ac:dyDescent="0.2">
      <c r="A110" s="605"/>
      <c r="B110" s="552" t="s">
        <v>188</v>
      </c>
      <c r="C110" s="1822" t="s">
        <v>475</v>
      </c>
      <c r="D110" s="1822"/>
      <c r="E110" s="1822"/>
      <c r="F110" s="562"/>
      <c r="G110" s="562"/>
      <c r="H110" s="562"/>
      <c r="I110" s="562"/>
      <c r="J110" s="604">
        <v>23.22</v>
      </c>
      <c r="K110" s="562"/>
      <c r="L110" s="604">
        <v>2.3199999999999998</v>
      </c>
      <c r="M110" s="603"/>
      <c r="N110" s="602"/>
      <c r="V110" s="674"/>
      <c r="W110" s="675"/>
      <c r="Z110" s="537" t="s">
        <v>475</v>
      </c>
      <c r="AA110" s="680"/>
      <c r="AD110" s="675"/>
    </row>
    <row r="111" spans="1:30" s="536" customFormat="1" ht="12" x14ac:dyDescent="0.2">
      <c r="A111" s="676"/>
      <c r="B111" s="677" t="s">
        <v>2697</v>
      </c>
      <c r="C111" s="1829" t="s">
        <v>2698</v>
      </c>
      <c r="D111" s="1829"/>
      <c r="E111" s="1829"/>
      <c r="F111" s="678" t="s">
        <v>638</v>
      </c>
      <c r="G111" s="678" t="s">
        <v>194</v>
      </c>
      <c r="H111" s="678"/>
      <c r="I111" s="678" t="s">
        <v>185</v>
      </c>
      <c r="J111" s="552"/>
      <c r="K111" s="562"/>
      <c r="L111" s="604"/>
      <c r="M111" s="562"/>
      <c r="N111" s="679"/>
      <c r="V111" s="674"/>
      <c r="W111" s="675"/>
      <c r="AA111" s="680" t="s">
        <v>2698</v>
      </c>
      <c r="AD111" s="675"/>
    </row>
    <row r="112" spans="1:30" s="536" customFormat="1" ht="12" x14ac:dyDescent="0.2">
      <c r="A112" s="605"/>
      <c r="B112" s="552"/>
      <c r="C112" s="1822" t="s">
        <v>314</v>
      </c>
      <c r="D112" s="1822"/>
      <c r="E112" s="1822"/>
      <c r="F112" s="562" t="s">
        <v>315</v>
      </c>
      <c r="G112" s="562" t="s">
        <v>2699</v>
      </c>
      <c r="H112" s="562" t="s">
        <v>313</v>
      </c>
      <c r="I112" s="562" t="s">
        <v>2700</v>
      </c>
      <c r="J112" s="604"/>
      <c r="K112" s="562"/>
      <c r="L112" s="604"/>
      <c r="M112" s="603"/>
      <c r="N112" s="602"/>
      <c r="V112" s="674"/>
      <c r="W112" s="675"/>
      <c r="AA112" s="680"/>
      <c r="AB112" s="537" t="s">
        <v>314</v>
      </c>
      <c r="AD112" s="675"/>
    </row>
    <row r="113" spans="1:30" s="536" customFormat="1" ht="12" x14ac:dyDescent="0.2">
      <c r="A113" s="605"/>
      <c r="B113" s="552"/>
      <c r="C113" s="1822" t="s">
        <v>348</v>
      </c>
      <c r="D113" s="1822"/>
      <c r="E113" s="1822"/>
      <c r="F113" s="562" t="s">
        <v>315</v>
      </c>
      <c r="G113" s="562" t="s">
        <v>1552</v>
      </c>
      <c r="H113" s="562" t="s">
        <v>313</v>
      </c>
      <c r="I113" s="562" t="s">
        <v>2701</v>
      </c>
      <c r="J113" s="604"/>
      <c r="K113" s="562"/>
      <c r="L113" s="604"/>
      <c r="M113" s="603"/>
      <c r="N113" s="602"/>
      <c r="V113" s="674"/>
      <c r="W113" s="675"/>
      <c r="AA113" s="680"/>
      <c r="AB113" s="537" t="s">
        <v>348</v>
      </c>
      <c r="AD113" s="675"/>
    </row>
    <row r="114" spans="1:30" s="536" customFormat="1" ht="12" x14ac:dyDescent="0.2">
      <c r="A114" s="605"/>
      <c r="B114" s="552"/>
      <c r="C114" s="1828" t="s">
        <v>318</v>
      </c>
      <c r="D114" s="1828"/>
      <c r="E114" s="1828"/>
      <c r="F114" s="608"/>
      <c r="G114" s="608"/>
      <c r="H114" s="608"/>
      <c r="I114" s="608"/>
      <c r="J114" s="607">
        <v>74.98</v>
      </c>
      <c r="K114" s="608"/>
      <c r="L114" s="607">
        <v>8.7899999999999991</v>
      </c>
      <c r="M114" s="601"/>
      <c r="N114" s="606"/>
      <c r="V114" s="674"/>
      <c r="W114" s="675"/>
      <c r="AA114" s="680"/>
      <c r="AC114" s="537" t="s">
        <v>318</v>
      </c>
      <c r="AD114" s="675"/>
    </row>
    <row r="115" spans="1:30" s="536" customFormat="1" ht="12" x14ac:dyDescent="0.2">
      <c r="A115" s="605"/>
      <c r="B115" s="552"/>
      <c r="C115" s="1822" t="s">
        <v>319</v>
      </c>
      <c r="D115" s="1822"/>
      <c r="E115" s="1822"/>
      <c r="F115" s="562"/>
      <c r="G115" s="562"/>
      <c r="H115" s="562"/>
      <c r="I115" s="562"/>
      <c r="J115" s="604"/>
      <c r="K115" s="562"/>
      <c r="L115" s="604">
        <v>5.73</v>
      </c>
      <c r="M115" s="603"/>
      <c r="N115" s="602"/>
      <c r="V115" s="674"/>
      <c r="W115" s="675"/>
      <c r="AA115" s="680"/>
      <c r="AB115" s="537" t="s">
        <v>319</v>
      </c>
      <c r="AD115" s="675"/>
    </row>
    <row r="116" spans="1:30" s="536" customFormat="1" ht="45" x14ac:dyDescent="0.2">
      <c r="A116" s="605"/>
      <c r="B116" s="552" t="s">
        <v>892</v>
      </c>
      <c r="C116" s="1822" t="s">
        <v>893</v>
      </c>
      <c r="D116" s="1822"/>
      <c r="E116" s="1822"/>
      <c r="F116" s="562" t="s">
        <v>322</v>
      </c>
      <c r="G116" s="562" t="s">
        <v>894</v>
      </c>
      <c r="H116" s="562"/>
      <c r="I116" s="562" t="s">
        <v>894</v>
      </c>
      <c r="J116" s="604"/>
      <c r="K116" s="562"/>
      <c r="L116" s="604">
        <v>6.93</v>
      </c>
      <c r="M116" s="603"/>
      <c r="N116" s="602"/>
      <c r="V116" s="674"/>
      <c r="W116" s="675"/>
      <c r="AA116" s="680"/>
      <c r="AB116" s="537" t="s">
        <v>893</v>
      </c>
      <c r="AD116" s="675"/>
    </row>
    <row r="117" spans="1:30" s="536" customFormat="1" ht="45" x14ac:dyDescent="0.2">
      <c r="A117" s="605"/>
      <c r="B117" s="552" t="s">
        <v>895</v>
      </c>
      <c r="C117" s="1822" t="s">
        <v>896</v>
      </c>
      <c r="D117" s="1822"/>
      <c r="E117" s="1822"/>
      <c r="F117" s="562" t="s">
        <v>322</v>
      </c>
      <c r="G117" s="562" t="s">
        <v>897</v>
      </c>
      <c r="H117" s="562"/>
      <c r="I117" s="562" t="s">
        <v>897</v>
      </c>
      <c r="J117" s="604"/>
      <c r="K117" s="562"/>
      <c r="L117" s="604">
        <v>4.13</v>
      </c>
      <c r="M117" s="603"/>
      <c r="N117" s="602"/>
      <c r="V117" s="674"/>
      <c r="W117" s="675"/>
      <c r="AA117" s="680"/>
      <c r="AB117" s="537" t="s">
        <v>896</v>
      </c>
      <c r="AD117" s="675"/>
    </row>
    <row r="118" spans="1:30" s="536" customFormat="1" ht="12" x14ac:dyDescent="0.2">
      <c r="A118" s="569"/>
      <c r="B118" s="656"/>
      <c r="C118" s="1823" t="s">
        <v>327</v>
      </c>
      <c r="D118" s="1823"/>
      <c r="E118" s="1823"/>
      <c r="F118" s="573"/>
      <c r="G118" s="573"/>
      <c r="H118" s="573"/>
      <c r="I118" s="573"/>
      <c r="J118" s="572"/>
      <c r="K118" s="573"/>
      <c r="L118" s="572">
        <v>19.850000000000001</v>
      </c>
      <c r="M118" s="601"/>
      <c r="N118" s="570"/>
      <c r="V118" s="674"/>
      <c r="W118" s="675"/>
      <c r="AA118" s="680"/>
      <c r="AD118" s="675" t="s">
        <v>327</v>
      </c>
    </row>
    <row r="119" spans="1:30" s="536" customFormat="1" ht="33.75" x14ac:dyDescent="0.2">
      <c r="A119" s="575" t="s">
        <v>200</v>
      </c>
      <c r="B119" s="657" t="s">
        <v>2702</v>
      </c>
      <c r="C119" s="1823" t="s">
        <v>2703</v>
      </c>
      <c r="D119" s="1823"/>
      <c r="E119" s="1823"/>
      <c r="F119" s="573" t="s">
        <v>617</v>
      </c>
      <c r="G119" s="573"/>
      <c r="H119" s="573"/>
      <c r="I119" s="573" t="s">
        <v>185</v>
      </c>
      <c r="J119" s="572">
        <v>504.79</v>
      </c>
      <c r="K119" s="573"/>
      <c r="L119" s="572">
        <v>504.79</v>
      </c>
      <c r="M119" s="571"/>
      <c r="N119" s="570"/>
      <c r="V119" s="674"/>
      <c r="W119" s="675" t="s">
        <v>2703</v>
      </c>
      <c r="AA119" s="680"/>
      <c r="AD119" s="675"/>
    </row>
    <row r="120" spans="1:30" s="536" customFormat="1" ht="12" x14ac:dyDescent="0.2">
      <c r="A120" s="569"/>
      <c r="B120" s="656"/>
      <c r="C120" s="661" t="s">
        <v>717</v>
      </c>
      <c r="D120" s="662"/>
      <c r="E120" s="662"/>
      <c r="F120" s="563"/>
      <c r="G120" s="563"/>
      <c r="H120" s="563"/>
      <c r="I120" s="563"/>
      <c r="J120" s="566"/>
      <c r="K120" s="563"/>
      <c r="L120" s="566"/>
      <c r="M120" s="565"/>
      <c r="N120" s="564"/>
      <c r="V120" s="674"/>
      <c r="W120" s="675"/>
      <c r="AA120" s="680"/>
      <c r="AD120" s="675"/>
    </row>
    <row r="121" spans="1:30" s="536" customFormat="1" ht="56.25" x14ac:dyDescent="0.2">
      <c r="A121" s="575" t="s">
        <v>425</v>
      </c>
      <c r="B121" s="657" t="s">
        <v>2704</v>
      </c>
      <c r="C121" s="1823" t="s">
        <v>2705</v>
      </c>
      <c r="D121" s="1823"/>
      <c r="E121" s="1823"/>
      <c r="F121" s="573" t="s">
        <v>307</v>
      </c>
      <c r="G121" s="573"/>
      <c r="H121" s="573"/>
      <c r="I121" s="573" t="s">
        <v>809</v>
      </c>
      <c r="J121" s="572"/>
      <c r="K121" s="573"/>
      <c r="L121" s="572"/>
      <c r="M121" s="571"/>
      <c r="N121" s="570"/>
      <c r="V121" s="674"/>
      <c r="W121" s="675" t="s">
        <v>2705</v>
      </c>
      <c r="AA121" s="680"/>
      <c r="AD121" s="675"/>
    </row>
    <row r="122" spans="1:30" s="536" customFormat="1" ht="12" x14ac:dyDescent="0.2">
      <c r="A122" s="676"/>
      <c r="B122" s="655"/>
      <c r="C122" s="1822" t="s">
        <v>843</v>
      </c>
      <c r="D122" s="1822"/>
      <c r="E122" s="1822"/>
      <c r="F122" s="1822"/>
      <c r="G122" s="1822"/>
      <c r="H122" s="1822"/>
      <c r="I122" s="1822"/>
      <c r="J122" s="1822"/>
      <c r="K122" s="1822"/>
      <c r="L122" s="1822"/>
      <c r="M122" s="1822"/>
      <c r="N122" s="1827"/>
      <c r="V122" s="674"/>
      <c r="W122" s="675"/>
      <c r="X122" s="537" t="s">
        <v>843</v>
      </c>
      <c r="AA122" s="680"/>
      <c r="AD122" s="675"/>
    </row>
    <row r="123" spans="1:30" s="536" customFormat="1" ht="22.5" x14ac:dyDescent="0.2">
      <c r="A123" s="609"/>
      <c r="B123" s="552" t="s">
        <v>499</v>
      </c>
      <c r="C123" s="1822" t="s">
        <v>500</v>
      </c>
      <c r="D123" s="1822"/>
      <c r="E123" s="1822"/>
      <c r="F123" s="1822"/>
      <c r="G123" s="1822"/>
      <c r="H123" s="1822"/>
      <c r="I123" s="1822"/>
      <c r="J123" s="1822"/>
      <c r="K123" s="1822"/>
      <c r="L123" s="1822"/>
      <c r="M123" s="1822"/>
      <c r="N123" s="1827"/>
      <c r="V123" s="674"/>
      <c r="W123" s="675"/>
      <c r="Y123" s="537" t="s">
        <v>500</v>
      </c>
      <c r="AA123" s="680"/>
      <c r="AD123" s="675"/>
    </row>
    <row r="124" spans="1:30" s="536" customFormat="1" ht="12" x14ac:dyDescent="0.2">
      <c r="A124" s="605"/>
      <c r="B124" s="552" t="s">
        <v>185</v>
      </c>
      <c r="C124" s="1822" t="s">
        <v>312</v>
      </c>
      <c r="D124" s="1822"/>
      <c r="E124" s="1822"/>
      <c r="F124" s="562"/>
      <c r="G124" s="562"/>
      <c r="H124" s="562"/>
      <c r="I124" s="562"/>
      <c r="J124" s="604">
        <v>63.8</v>
      </c>
      <c r="K124" s="562" t="s">
        <v>313</v>
      </c>
      <c r="L124" s="604">
        <v>0.8</v>
      </c>
      <c r="M124" s="603"/>
      <c r="N124" s="602"/>
      <c r="V124" s="674"/>
      <c r="W124" s="675"/>
      <c r="Z124" s="537" t="s">
        <v>312</v>
      </c>
      <c r="AA124" s="680"/>
      <c r="AD124" s="675"/>
    </row>
    <row r="125" spans="1:30" s="536" customFormat="1" ht="12" x14ac:dyDescent="0.2">
      <c r="A125" s="605"/>
      <c r="B125" s="552" t="s">
        <v>186</v>
      </c>
      <c r="C125" s="1822" t="s">
        <v>344</v>
      </c>
      <c r="D125" s="1822"/>
      <c r="E125" s="1822"/>
      <c r="F125" s="562"/>
      <c r="G125" s="562"/>
      <c r="H125" s="562"/>
      <c r="I125" s="562"/>
      <c r="J125" s="604">
        <v>3.94</v>
      </c>
      <c r="K125" s="562" t="s">
        <v>313</v>
      </c>
      <c r="L125" s="604">
        <v>0.05</v>
      </c>
      <c r="M125" s="603"/>
      <c r="N125" s="602"/>
      <c r="V125" s="674"/>
      <c r="W125" s="675"/>
      <c r="Z125" s="537" t="s">
        <v>344</v>
      </c>
      <c r="AA125" s="680"/>
      <c r="AD125" s="675"/>
    </row>
    <row r="126" spans="1:30" s="536" customFormat="1" ht="12" x14ac:dyDescent="0.2">
      <c r="A126" s="605"/>
      <c r="B126" s="552" t="s">
        <v>187</v>
      </c>
      <c r="C126" s="1822" t="s">
        <v>345</v>
      </c>
      <c r="D126" s="1822"/>
      <c r="E126" s="1822"/>
      <c r="F126" s="562"/>
      <c r="G126" s="562"/>
      <c r="H126" s="562"/>
      <c r="I126" s="562"/>
      <c r="J126" s="604">
        <v>0.7</v>
      </c>
      <c r="K126" s="562" t="s">
        <v>313</v>
      </c>
      <c r="L126" s="604">
        <v>0.01</v>
      </c>
      <c r="M126" s="603"/>
      <c r="N126" s="602"/>
      <c r="V126" s="674"/>
      <c r="W126" s="675"/>
      <c r="Z126" s="537" t="s">
        <v>345</v>
      </c>
      <c r="AA126" s="680"/>
      <c r="AD126" s="675"/>
    </row>
    <row r="127" spans="1:30" s="536" customFormat="1" ht="12" x14ac:dyDescent="0.2">
      <c r="A127" s="605"/>
      <c r="B127" s="552" t="s">
        <v>188</v>
      </c>
      <c r="C127" s="1822" t="s">
        <v>475</v>
      </c>
      <c r="D127" s="1822"/>
      <c r="E127" s="1822"/>
      <c r="F127" s="562"/>
      <c r="G127" s="562"/>
      <c r="H127" s="562"/>
      <c r="I127" s="562"/>
      <c r="J127" s="604">
        <v>83.63</v>
      </c>
      <c r="K127" s="562"/>
      <c r="L127" s="604">
        <v>0.84</v>
      </c>
      <c r="M127" s="603"/>
      <c r="N127" s="602"/>
      <c r="V127" s="674"/>
      <c r="W127" s="675"/>
      <c r="Z127" s="537" t="s">
        <v>475</v>
      </c>
      <c r="AA127" s="680"/>
      <c r="AD127" s="675"/>
    </row>
    <row r="128" spans="1:30" s="536" customFormat="1" ht="33.75" x14ac:dyDescent="0.2">
      <c r="A128" s="676"/>
      <c r="B128" s="677" t="s">
        <v>2706</v>
      </c>
      <c r="C128" s="1829" t="s">
        <v>2707</v>
      </c>
      <c r="D128" s="1829"/>
      <c r="E128" s="1829"/>
      <c r="F128" s="678" t="s">
        <v>617</v>
      </c>
      <c r="G128" s="678" t="s">
        <v>844</v>
      </c>
      <c r="H128" s="678"/>
      <c r="I128" s="678" t="s">
        <v>185</v>
      </c>
      <c r="J128" s="552"/>
      <c r="K128" s="562"/>
      <c r="L128" s="604"/>
      <c r="M128" s="562"/>
      <c r="N128" s="679"/>
      <c r="V128" s="674"/>
      <c r="W128" s="675"/>
      <c r="AA128" s="680" t="s">
        <v>2707</v>
      </c>
      <c r="AD128" s="675"/>
    </row>
    <row r="129" spans="1:32" s="536" customFormat="1" ht="12" x14ac:dyDescent="0.2">
      <c r="A129" s="605"/>
      <c r="B129" s="552"/>
      <c r="C129" s="1822" t="s">
        <v>314</v>
      </c>
      <c r="D129" s="1822"/>
      <c r="E129" s="1822"/>
      <c r="F129" s="562" t="s">
        <v>315</v>
      </c>
      <c r="G129" s="562" t="s">
        <v>2708</v>
      </c>
      <c r="H129" s="562" t="s">
        <v>313</v>
      </c>
      <c r="I129" s="562" t="s">
        <v>2709</v>
      </c>
      <c r="J129" s="604"/>
      <c r="K129" s="562"/>
      <c r="L129" s="604"/>
      <c r="M129" s="603"/>
      <c r="N129" s="602"/>
      <c r="V129" s="674"/>
      <c r="W129" s="675"/>
      <c r="AA129" s="680"/>
      <c r="AB129" s="537" t="s">
        <v>314</v>
      </c>
      <c r="AD129" s="675"/>
    </row>
    <row r="130" spans="1:32" s="536" customFormat="1" ht="12" x14ac:dyDescent="0.2">
      <c r="A130" s="605"/>
      <c r="B130" s="552"/>
      <c r="C130" s="1822" t="s">
        <v>348</v>
      </c>
      <c r="D130" s="1822"/>
      <c r="E130" s="1822"/>
      <c r="F130" s="562" t="s">
        <v>315</v>
      </c>
      <c r="G130" s="562" t="s">
        <v>1554</v>
      </c>
      <c r="H130" s="562" t="s">
        <v>313</v>
      </c>
      <c r="I130" s="562" t="s">
        <v>2710</v>
      </c>
      <c r="J130" s="604"/>
      <c r="K130" s="562"/>
      <c r="L130" s="604"/>
      <c r="M130" s="603"/>
      <c r="N130" s="602"/>
      <c r="V130" s="674"/>
      <c r="W130" s="675"/>
      <c r="AA130" s="680"/>
      <c r="AB130" s="537" t="s">
        <v>348</v>
      </c>
      <c r="AD130" s="675"/>
    </row>
    <row r="131" spans="1:32" s="536" customFormat="1" ht="12" x14ac:dyDescent="0.2">
      <c r="A131" s="605"/>
      <c r="B131" s="552"/>
      <c r="C131" s="1828" t="s">
        <v>318</v>
      </c>
      <c r="D131" s="1828"/>
      <c r="E131" s="1828"/>
      <c r="F131" s="608"/>
      <c r="G131" s="608"/>
      <c r="H131" s="608"/>
      <c r="I131" s="608"/>
      <c r="J131" s="607">
        <v>151.37</v>
      </c>
      <c r="K131" s="608"/>
      <c r="L131" s="607">
        <v>1.69</v>
      </c>
      <c r="M131" s="601"/>
      <c r="N131" s="606"/>
      <c r="V131" s="674"/>
      <c r="W131" s="675"/>
      <c r="AA131" s="680"/>
      <c r="AC131" s="537" t="s">
        <v>318</v>
      </c>
      <c r="AD131" s="675"/>
    </row>
    <row r="132" spans="1:32" s="536" customFormat="1" ht="12" x14ac:dyDescent="0.2">
      <c r="A132" s="605"/>
      <c r="B132" s="552"/>
      <c r="C132" s="1822" t="s">
        <v>319</v>
      </c>
      <c r="D132" s="1822"/>
      <c r="E132" s="1822"/>
      <c r="F132" s="562"/>
      <c r="G132" s="562"/>
      <c r="H132" s="562"/>
      <c r="I132" s="562"/>
      <c r="J132" s="604"/>
      <c r="K132" s="562"/>
      <c r="L132" s="604">
        <v>0.81</v>
      </c>
      <c r="M132" s="603"/>
      <c r="N132" s="602"/>
      <c r="V132" s="674"/>
      <c r="W132" s="675"/>
      <c r="AA132" s="680"/>
      <c r="AB132" s="537" t="s">
        <v>319</v>
      </c>
      <c r="AD132" s="675"/>
    </row>
    <row r="133" spans="1:32" s="536" customFormat="1" ht="45" x14ac:dyDescent="0.2">
      <c r="A133" s="605"/>
      <c r="B133" s="552" t="s">
        <v>892</v>
      </c>
      <c r="C133" s="1822" t="s">
        <v>893</v>
      </c>
      <c r="D133" s="1822"/>
      <c r="E133" s="1822"/>
      <c r="F133" s="562" t="s">
        <v>322</v>
      </c>
      <c r="G133" s="562" t="s">
        <v>894</v>
      </c>
      <c r="H133" s="562"/>
      <c r="I133" s="562" t="s">
        <v>894</v>
      </c>
      <c r="J133" s="604"/>
      <c r="K133" s="562"/>
      <c r="L133" s="604">
        <v>0.98</v>
      </c>
      <c r="M133" s="603"/>
      <c r="N133" s="602"/>
      <c r="V133" s="674"/>
      <c r="W133" s="675"/>
      <c r="AA133" s="680"/>
      <c r="AB133" s="537" t="s">
        <v>893</v>
      </c>
      <c r="AD133" s="675"/>
    </row>
    <row r="134" spans="1:32" s="536" customFormat="1" ht="45" x14ac:dyDescent="0.2">
      <c r="A134" s="605"/>
      <c r="B134" s="552" t="s">
        <v>895</v>
      </c>
      <c r="C134" s="1822" t="s">
        <v>896</v>
      </c>
      <c r="D134" s="1822"/>
      <c r="E134" s="1822"/>
      <c r="F134" s="562" t="s">
        <v>322</v>
      </c>
      <c r="G134" s="562" t="s">
        <v>897</v>
      </c>
      <c r="H134" s="562"/>
      <c r="I134" s="562" t="s">
        <v>897</v>
      </c>
      <c r="J134" s="604"/>
      <c r="K134" s="562"/>
      <c r="L134" s="604">
        <v>0.57999999999999996</v>
      </c>
      <c r="M134" s="603"/>
      <c r="N134" s="602"/>
      <c r="V134" s="674"/>
      <c r="W134" s="675"/>
      <c r="AA134" s="680"/>
      <c r="AB134" s="537" t="s">
        <v>896</v>
      </c>
      <c r="AD134" s="675"/>
    </row>
    <row r="135" spans="1:32" s="536" customFormat="1" ht="12" x14ac:dyDescent="0.2">
      <c r="A135" s="569"/>
      <c r="B135" s="656"/>
      <c r="C135" s="1823" t="s">
        <v>327</v>
      </c>
      <c r="D135" s="1823"/>
      <c r="E135" s="1823"/>
      <c r="F135" s="573"/>
      <c r="G135" s="573"/>
      <c r="H135" s="573"/>
      <c r="I135" s="573"/>
      <c r="J135" s="572"/>
      <c r="K135" s="573"/>
      <c r="L135" s="572">
        <v>3.25</v>
      </c>
      <c r="M135" s="601"/>
      <c r="N135" s="570"/>
      <c r="V135" s="674"/>
      <c r="W135" s="675"/>
      <c r="AA135" s="680"/>
      <c r="AD135" s="675" t="s">
        <v>327</v>
      </c>
    </row>
    <row r="136" spans="1:32" s="536" customFormat="1" ht="22.5" x14ac:dyDescent="0.2">
      <c r="A136" s="575" t="s">
        <v>430</v>
      </c>
      <c r="B136" s="657" t="s">
        <v>2711</v>
      </c>
      <c r="C136" s="1823" t="s">
        <v>2712</v>
      </c>
      <c r="D136" s="1823"/>
      <c r="E136" s="1823"/>
      <c r="F136" s="573" t="s">
        <v>617</v>
      </c>
      <c r="G136" s="573"/>
      <c r="H136" s="573"/>
      <c r="I136" s="573" t="s">
        <v>185</v>
      </c>
      <c r="J136" s="572">
        <v>43.79</v>
      </c>
      <c r="K136" s="573"/>
      <c r="L136" s="572">
        <v>43.79</v>
      </c>
      <c r="M136" s="571"/>
      <c r="N136" s="570"/>
      <c r="V136" s="674"/>
      <c r="W136" s="675" t="s">
        <v>2712</v>
      </c>
      <c r="AA136" s="680"/>
      <c r="AD136" s="675"/>
    </row>
    <row r="137" spans="1:32" s="536" customFormat="1" ht="12" x14ac:dyDescent="0.2">
      <c r="A137" s="569"/>
      <c r="B137" s="656"/>
      <c r="C137" s="661" t="s">
        <v>717</v>
      </c>
      <c r="D137" s="662"/>
      <c r="E137" s="662"/>
      <c r="F137" s="563"/>
      <c r="G137" s="563"/>
      <c r="H137" s="563"/>
      <c r="I137" s="563"/>
      <c r="J137" s="566"/>
      <c r="K137" s="563"/>
      <c r="L137" s="566"/>
      <c r="M137" s="565"/>
      <c r="N137" s="564"/>
      <c r="V137" s="674"/>
      <c r="W137" s="675"/>
      <c r="AA137" s="680"/>
      <c r="AD137" s="675"/>
    </row>
    <row r="138" spans="1:32" s="536" customFormat="1" ht="1.5" customHeight="1" x14ac:dyDescent="0.2">
      <c r="A138" s="563"/>
      <c r="B138" s="656"/>
      <c r="C138" s="656"/>
      <c r="D138" s="656"/>
      <c r="E138" s="656"/>
      <c r="F138" s="563"/>
      <c r="G138" s="563"/>
      <c r="H138" s="563"/>
      <c r="I138" s="563"/>
      <c r="J138" s="546"/>
      <c r="K138" s="563"/>
      <c r="L138" s="546"/>
      <c r="M138" s="562"/>
      <c r="N138" s="546"/>
      <c r="V138" s="674"/>
      <c r="W138" s="675"/>
      <c r="AA138" s="680"/>
      <c r="AD138" s="675"/>
    </row>
    <row r="139" spans="1:32" s="536" customFormat="1" ht="12" x14ac:dyDescent="0.2">
      <c r="A139" s="557"/>
      <c r="B139" s="556"/>
      <c r="C139" s="1823" t="s">
        <v>2713</v>
      </c>
      <c r="D139" s="1823"/>
      <c r="E139" s="1823"/>
      <c r="F139" s="1823"/>
      <c r="G139" s="1823"/>
      <c r="H139" s="1823"/>
      <c r="I139" s="1823"/>
      <c r="J139" s="1823"/>
      <c r="K139" s="1823"/>
      <c r="L139" s="555"/>
      <c r="M139" s="554"/>
      <c r="N139" s="553"/>
      <c r="V139" s="674"/>
      <c r="W139" s="675"/>
      <c r="AA139" s="680"/>
      <c r="AD139" s="675"/>
      <c r="AE139" s="675" t="s">
        <v>2713</v>
      </c>
    </row>
    <row r="140" spans="1:32" s="536" customFormat="1" ht="12" x14ac:dyDescent="0.2">
      <c r="A140" s="548"/>
      <c r="B140" s="552"/>
      <c r="C140" s="1822" t="s">
        <v>403</v>
      </c>
      <c r="D140" s="1822"/>
      <c r="E140" s="1822"/>
      <c r="F140" s="1822"/>
      <c r="G140" s="1822"/>
      <c r="H140" s="1822"/>
      <c r="I140" s="1822"/>
      <c r="J140" s="1822"/>
      <c r="K140" s="1822"/>
      <c r="L140" s="551">
        <v>3140.81</v>
      </c>
      <c r="M140" s="550"/>
      <c r="N140" s="549"/>
      <c r="V140" s="674"/>
      <c r="W140" s="675"/>
      <c r="AA140" s="680"/>
      <c r="AD140" s="675"/>
      <c r="AE140" s="675"/>
      <c r="AF140" s="537" t="s">
        <v>403</v>
      </c>
    </row>
    <row r="141" spans="1:32" s="536" customFormat="1" ht="12" x14ac:dyDescent="0.2">
      <c r="A141" s="548"/>
      <c r="B141" s="552"/>
      <c r="C141" s="1822" t="s">
        <v>204</v>
      </c>
      <c r="D141" s="1822"/>
      <c r="E141" s="1822"/>
      <c r="F141" s="1822"/>
      <c r="G141" s="1822"/>
      <c r="H141" s="1822"/>
      <c r="I141" s="1822"/>
      <c r="J141" s="1822"/>
      <c r="K141" s="1822"/>
      <c r="L141" s="551"/>
      <c r="M141" s="550"/>
      <c r="N141" s="549"/>
      <c r="V141" s="674"/>
      <c r="W141" s="675"/>
      <c r="AA141" s="680"/>
      <c r="AD141" s="675"/>
      <c r="AE141" s="675"/>
      <c r="AF141" s="537" t="s">
        <v>204</v>
      </c>
    </row>
    <row r="142" spans="1:32" s="536" customFormat="1" ht="12" x14ac:dyDescent="0.2">
      <c r="A142" s="548"/>
      <c r="B142" s="552"/>
      <c r="C142" s="1822" t="s">
        <v>404</v>
      </c>
      <c r="D142" s="1822"/>
      <c r="E142" s="1822"/>
      <c r="F142" s="1822"/>
      <c r="G142" s="1822"/>
      <c r="H142" s="1822"/>
      <c r="I142" s="1822"/>
      <c r="J142" s="1822"/>
      <c r="K142" s="1822"/>
      <c r="L142" s="551">
        <v>195.3</v>
      </c>
      <c r="M142" s="550"/>
      <c r="N142" s="549"/>
      <c r="V142" s="674"/>
      <c r="W142" s="675"/>
      <c r="AA142" s="680"/>
      <c r="AD142" s="675"/>
      <c r="AE142" s="675"/>
      <c r="AF142" s="537" t="s">
        <v>404</v>
      </c>
    </row>
    <row r="143" spans="1:32" s="536" customFormat="1" ht="12" x14ac:dyDescent="0.2">
      <c r="A143" s="548"/>
      <c r="B143" s="552"/>
      <c r="C143" s="1822" t="s">
        <v>405</v>
      </c>
      <c r="D143" s="1822"/>
      <c r="E143" s="1822"/>
      <c r="F143" s="1822"/>
      <c r="G143" s="1822"/>
      <c r="H143" s="1822"/>
      <c r="I143" s="1822"/>
      <c r="J143" s="1822"/>
      <c r="K143" s="1822"/>
      <c r="L143" s="551">
        <v>10.98</v>
      </c>
      <c r="M143" s="550"/>
      <c r="N143" s="549"/>
      <c r="V143" s="674"/>
      <c r="W143" s="675"/>
      <c r="AA143" s="680"/>
      <c r="AD143" s="675"/>
      <c r="AE143" s="675"/>
      <c r="AF143" s="537" t="s">
        <v>405</v>
      </c>
    </row>
    <row r="144" spans="1:32" s="536" customFormat="1" ht="12" x14ac:dyDescent="0.2">
      <c r="A144" s="548"/>
      <c r="B144" s="552"/>
      <c r="C144" s="1822" t="s">
        <v>406</v>
      </c>
      <c r="D144" s="1822"/>
      <c r="E144" s="1822"/>
      <c r="F144" s="1822"/>
      <c r="G144" s="1822"/>
      <c r="H144" s="1822"/>
      <c r="I144" s="1822"/>
      <c r="J144" s="1822"/>
      <c r="K144" s="1822"/>
      <c r="L144" s="551">
        <v>1.63</v>
      </c>
      <c r="M144" s="550"/>
      <c r="N144" s="549"/>
      <c r="V144" s="674"/>
      <c r="W144" s="675"/>
      <c r="AA144" s="680"/>
      <c r="AD144" s="675"/>
      <c r="AE144" s="675"/>
      <c r="AF144" s="537" t="s">
        <v>406</v>
      </c>
    </row>
    <row r="145" spans="1:33" s="536" customFormat="1" ht="12" x14ac:dyDescent="0.2">
      <c r="A145" s="548"/>
      <c r="B145" s="552"/>
      <c r="C145" s="1822" t="s">
        <v>480</v>
      </c>
      <c r="D145" s="1822"/>
      <c r="E145" s="1822"/>
      <c r="F145" s="1822"/>
      <c r="G145" s="1822"/>
      <c r="H145" s="1822"/>
      <c r="I145" s="1822"/>
      <c r="J145" s="1822"/>
      <c r="K145" s="1822"/>
      <c r="L145" s="551">
        <v>2934.53</v>
      </c>
      <c r="M145" s="550"/>
      <c r="N145" s="549"/>
      <c r="V145" s="674"/>
      <c r="W145" s="675"/>
      <c r="AA145" s="680"/>
      <c r="AD145" s="675"/>
      <c r="AE145" s="675"/>
      <c r="AF145" s="537" t="s">
        <v>480</v>
      </c>
    </row>
    <row r="146" spans="1:33" s="536" customFormat="1" ht="12" x14ac:dyDescent="0.2">
      <c r="A146" s="548"/>
      <c r="B146" s="552"/>
      <c r="C146" s="1822" t="s">
        <v>407</v>
      </c>
      <c r="D146" s="1822"/>
      <c r="E146" s="1822"/>
      <c r="F146" s="1822"/>
      <c r="G146" s="1822"/>
      <c r="H146" s="1822"/>
      <c r="I146" s="1822"/>
      <c r="J146" s="1822"/>
      <c r="K146" s="1822"/>
      <c r="L146" s="551">
        <v>3520.88</v>
      </c>
      <c r="M146" s="550"/>
      <c r="N146" s="549"/>
      <c r="V146" s="674"/>
      <c r="W146" s="675"/>
      <c r="AA146" s="680"/>
      <c r="AD146" s="675"/>
      <c r="AE146" s="675"/>
      <c r="AF146" s="537" t="s">
        <v>407</v>
      </c>
    </row>
    <row r="147" spans="1:33" s="536" customFormat="1" ht="12" x14ac:dyDescent="0.2">
      <c r="A147" s="548"/>
      <c r="B147" s="552"/>
      <c r="C147" s="1822" t="s">
        <v>204</v>
      </c>
      <c r="D147" s="1822"/>
      <c r="E147" s="1822"/>
      <c r="F147" s="1822"/>
      <c r="G147" s="1822"/>
      <c r="H147" s="1822"/>
      <c r="I147" s="1822"/>
      <c r="J147" s="1822"/>
      <c r="K147" s="1822"/>
      <c r="L147" s="551"/>
      <c r="M147" s="550"/>
      <c r="N147" s="549"/>
      <c r="V147" s="674"/>
      <c r="W147" s="675"/>
      <c r="AA147" s="680"/>
      <c r="AD147" s="675"/>
      <c r="AE147" s="675"/>
      <c r="AF147" s="537" t="s">
        <v>204</v>
      </c>
    </row>
    <row r="148" spans="1:33" s="536" customFormat="1" ht="12" x14ac:dyDescent="0.2">
      <c r="A148" s="548"/>
      <c r="B148" s="552"/>
      <c r="C148" s="1822" t="s">
        <v>546</v>
      </c>
      <c r="D148" s="1822"/>
      <c r="E148" s="1822"/>
      <c r="F148" s="1822"/>
      <c r="G148" s="1822"/>
      <c r="H148" s="1822"/>
      <c r="I148" s="1822"/>
      <c r="J148" s="1822"/>
      <c r="K148" s="1822"/>
      <c r="L148" s="551">
        <v>195.3</v>
      </c>
      <c r="M148" s="550"/>
      <c r="N148" s="549"/>
      <c r="V148" s="674"/>
      <c r="W148" s="675"/>
      <c r="AA148" s="680"/>
      <c r="AD148" s="675"/>
      <c r="AE148" s="675"/>
      <c r="AF148" s="537" t="s">
        <v>546</v>
      </c>
    </row>
    <row r="149" spans="1:33" s="536" customFormat="1" ht="12" x14ac:dyDescent="0.2">
      <c r="A149" s="548"/>
      <c r="B149" s="552"/>
      <c r="C149" s="1822" t="s">
        <v>442</v>
      </c>
      <c r="D149" s="1822"/>
      <c r="E149" s="1822"/>
      <c r="F149" s="1822"/>
      <c r="G149" s="1822"/>
      <c r="H149" s="1822"/>
      <c r="I149" s="1822"/>
      <c r="J149" s="1822"/>
      <c r="K149" s="1822"/>
      <c r="L149" s="551">
        <v>10.98</v>
      </c>
      <c r="M149" s="550"/>
      <c r="N149" s="549"/>
      <c r="V149" s="674"/>
      <c r="W149" s="675"/>
      <c r="AA149" s="680"/>
      <c r="AD149" s="675"/>
      <c r="AE149" s="675"/>
      <c r="AF149" s="537" t="s">
        <v>442</v>
      </c>
    </row>
    <row r="150" spans="1:33" s="536" customFormat="1" ht="12" x14ac:dyDescent="0.2">
      <c r="A150" s="548"/>
      <c r="B150" s="552"/>
      <c r="C150" s="1822" t="s">
        <v>547</v>
      </c>
      <c r="D150" s="1822"/>
      <c r="E150" s="1822"/>
      <c r="F150" s="1822"/>
      <c r="G150" s="1822"/>
      <c r="H150" s="1822"/>
      <c r="I150" s="1822"/>
      <c r="J150" s="1822"/>
      <c r="K150" s="1822"/>
      <c r="L150" s="551">
        <v>2934.53</v>
      </c>
      <c r="M150" s="550"/>
      <c r="N150" s="549"/>
      <c r="V150" s="674"/>
      <c r="W150" s="675"/>
      <c r="AA150" s="680"/>
      <c r="AD150" s="675"/>
      <c r="AE150" s="675"/>
      <c r="AF150" s="537" t="s">
        <v>547</v>
      </c>
    </row>
    <row r="151" spans="1:33" s="536" customFormat="1" ht="12" x14ac:dyDescent="0.2">
      <c r="A151" s="548"/>
      <c r="B151" s="552"/>
      <c r="C151" s="1822" t="s">
        <v>443</v>
      </c>
      <c r="D151" s="1822"/>
      <c r="E151" s="1822"/>
      <c r="F151" s="1822"/>
      <c r="G151" s="1822"/>
      <c r="H151" s="1822"/>
      <c r="I151" s="1822"/>
      <c r="J151" s="1822"/>
      <c r="K151" s="1822"/>
      <c r="L151" s="551">
        <v>238.28</v>
      </c>
      <c r="M151" s="550"/>
      <c r="N151" s="549"/>
      <c r="V151" s="674"/>
      <c r="W151" s="675"/>
      <c r="AA151" s="680"/>
      <c r="AD151" s="675"/>
      <c r="AE151" s="675"/>
      <c r="AF151" s="537" t="s">
        <v>443</v>
      </c>
    </row>
    <row r="152" spans="1:33" s="536" customFormat="1" ht="12" x14ac:dyDescent="0.2">
      <c r="A152" s="548"/>
      <c r="B152" s="552"/>
      <c r="C152" s="1822" t="s">
        <v>444</v>
      </c>
      <c r="D152" s="1822"/>
      <c r="E152" s="1822"/>
      <c r="F152" s="1822"/>
      <c r="G152" s="1822"/>
      <c r="H152" s="1822"/>
      <c r="I152" s="1822"/>
      <c r="J152" s="1822"/>
      <c r="K152" s="1822"/>
      <c r="L152" s="551">
        <v>141.79</v>
      </c>
      <c r="M152" s="550"/>
      <c r="N152" s="549"/>
      <c r="V152" s="674"/>
      <c r="W152" s="675"/>
      <c r="AA152" s="680"/>
      <c r="AD152" s="675"/>
      <c r="AE152" s="675"/>
      <c r="AF152" s="537" t="s">
        <v>444</v>
      </c>
    </row>
    <row r="153" spans="1:33" s="536" customFormat="1" ht="12" x14ac:dyDescent="0.2">
      <c r="A153" s="548"/>
      <c r="B153" s="552"/>
      <c r="C153" s="1822" t="s">
        <v>415</v>
      </c>
      <c r="D153" s="1822"/>
      <c r="E153" s="1822"/>
      <c r="F153" s="1822"/>
      <c r="G153" s="1822"/>
      <c r="H153" s="1822"/>
      <c r="I153" s="1822"/>
      <c r="J153" s="1822"/>
      <c r="K153" s="1822"/>
      <c r="L153" s="551">
        <v>196.93</v>
      </c>
      <c r="M153" s="550"/>
      <c r="N153" s="549"/>
      <c r="V153" s="674"/>
      <c r="W153" s="675"/>
      <c r="AA153" s="680"/>
      <c r="AD153" s="675"/>
      <c r="AE153" s="675"/>
      <c r="AF153" s="537" t="s">
        <v>415</v>
      </c>
    </row>
    <row r="154" spans="1:33" s="536" customFormat="1" ht="12" x14ac:dyDescent="0.2">
      <c r="A154" s="548"/>
      <c r="B154" s="552"/>
      <c r="C154" s="1822" t="s">
        <v>416</v>
      </c>
      <c r="D154" s="1822"/>
      <c r="E154" s="1822"/>
      <c r="F154" s="1822"/>
      <c r="G154" s="1822"/>
      <c r="H154" s="1822"/>
      <c r="I154" s="1822"/>
      <c r="J154" s="1822"/>
      <c r="K154" s="1822"/>
      <c r="L154" s="551">
        <v>238.28</v>
      </c>
      <c r="M154" s="550"/>
      <c r="N154" s="549"/>
      <c r="V154" s="674"/>
      <c r="W154" s="675"/>
      <c r="AA154" s="680"/>
      <c r="AD154" s="675"/>
      <c r="AE154" s="675"/>
      <c r="AF154" s="537" t="s">
        <v>416</v>
      </c>
    </row>
    <row r="155" spans="1:33" s="536" customFormat="1" ht="12" x14ac:dyDescent="0.2">
      <c r="A155" s="548"/>
      <c r="B155" s="552"/>
      <c r="C155" s="1822" t="s">
        <v>417</v>
      </c>
      <c r="D155" s="1822"/>
      <c r="E155" s="1822"/>
      <c r="F155" s="1822"/>
      <c r="G155" s="1822"/>
      <c r="H155" s="1822"/>
      <c r="I155" s="1822"/>
      <c r="J155" s="1822"/>
      <c r="K155" s="1822"/>
      <c r="L155" s="551">
        <v>141.79</v>
      </c>
      <c r="M155" s="550"/>
      <c r="N155" s="549"/>
      <c r="V155" s="674"/>
      <c r="W155" s="675"/>
      <c r="AA155" s="680"/>
      <c r="AD155" s="675"/>
      <c r="AE155" s="675"/>
      <c r="AF155" s="537" t="s">
        <v>417</v>
      </c>
    </row>
    <row r="156" spans="1:33" s="536" customFormat="1" ht="12" x14ac:dyDescent="0.2">
      <c r="A156" s="548"/>
      <c r="B156" s="546"/>
      <c r="C156" s="1819" t="s">
        <v>2714</v>
      </c>
      <c r="D156" s="1819"/>
      <c r="E156" s="1819"/>
      <c r="F156" s="1819"/>
      <c r="G156" s="1819"/>
      <c r="H156" s="1819"/>
      <c r="I156" s="1819"/>
      <c r="J156" s="1819"/>
      <c r="K156" s="1819"/>
      <c r="L156" s="544">
        <v>3520.88</v>
      </c>
      <c r="M156" s="543"/>
      <c r="N156" s="681"/>
      <c r="V156" s="674"/>
      <c r="W156" s="675"/>
      <c r="AA156" s="680"/>
      <c r="AD156" s="675"/>
      <c r="AE156" s="675"/>
      <c r="AG156" s="675" t="s">
        <v>2714</v>
      </c>
    </row>
    <row r="157" spans="1:33" s="536" customFormat="1" ht="12" x14ac:dyDescent="0.2">
      <c r="A157" s="1824" t="s">
        <v>2715</v>
      </c>
      <c r="B157" s="1825"/>
      <c r="C157" s="1825"/>
      <c r="D157" s="1825"/>
      <c r="E157" s="1825"/>
      <c r="F157" s="1825"/>
      <c r="G157" s="1825"/>
      <c r="H157" s="1825"/>
      <c r="I157" s="1825"/>
      <c r="J157" s="1825"/>
      <c r="K157" s="1825"/>
      <c r="L157" s="1825"/>
      <c r="M157" s="1825"/>
      <c r="N157" s="1826"/>
      <c r="V157" s="674" t="s">
        <v>2715</v>
      </c>
      <c r="W157" s="675"/>
      <c r="AA157" s="680"/>
      <c r="AD157" s="675"/>
      <c r="AE157" s="675"/>
      <c r="AG157" s="675"/>
    </row>
    <row r="158" spans="1:33" s="536" customFormat="1" ht="22.5" x14ac:dyDescent="0.2">
      <c r="A158" s="575" t="s">
        <v>436</v>
      </c>
      <c r="B158" s="657" t="s">
        <v>2716</v>
      </c>
      <c r="C158" s="1823" t="s">
        <v>2717</v>
      </c>
      <c r="D158" s="1823"/>
      <c r="E158" s="1823"/>
      <c r="F158" s="573" t="s">
        <v>2695</v>
      </c>
      <c r="G158" s="573"/>
      <c r="H158" s="573"/>
      <c r="I158" s="573" t="s">
        <v>913</v>
      </c>
      <c r="J158" s="572"/>
      <c r="K158" s="573"/>
      <c r="L158" s="572"/>
      <c r="M158" s="571"/>
      <c r="N158" s="570"/>
      <c r="V158" s="674"/>
      <c r="W158" s="675" t="s">
        <v>2717</v>
      </c>
      <c r="AA158" s="680"/>
      <c r="AD158" s="675"/>
      <c r="AE158" s="675"/>
      <c r="AG158" s="675"/>
    </row>
    <row r="159" spans="1:33" s="536" customFormat="1" ht="12" x14ac:dyDescent="0.2">
      <c r="A159" s="676"/>
      <c r="B159" s="655"/>
      <c r="C159" s="1822" t="s">
        <v>2718</v>
      </c>
      <c r="D159" s="1822"/>
      <c r="E159" s="1822"/>
      <c r="F159" s="1822"/>
      <c r="G159" s="1822"/>
      <c r="H159" s="1822"/>
      <c r="I159" s="1822"/>
      <c r="J159" s="1822"/>
      <c r="K159" s="1822"/>
      <c r="L159" s="1822"/>
      <c r="M159" s="1822"/>
      <c r="N159" s="1827"/>
      <c r="V159" s="674"/>
      <c r="W159" s="675"/>
      <c r="X159" s="537" t="s">
        <v>2718</v>
      </c>
      <c r="AA159" s="680"/>
      <c r="AD159" s="675"/>
      <c r="AE159" s="675"/>
      <c r="AG159" s="675"/>
    </row>
    <row r="160" spans="1:33" s="536" customFormat="1" ht="22.5" x14ac:dyDescent="0.2">
      <c r="A160" s="609"/>
      <c r="B160" s="552" t="s">
        <v>499</v>
      </c>
      <c r="C160" s="1822" t="s">
        <v>500</v>
      </c>
      <c r="D160" s="1822"/>
      <c r="E160" s="1822"/>
      <c r="F160" s="1822"/>
      <c r="G160" s="1822"/>
      <c r="H160" s="1822"/>
      <c r="I160" s="1822"/>
      <c r="J160" s="1822"/>
      <c r="K160" s="1822"/>
      <c r="L160" s="1822"/>
      <c r="M160" s="1822"/>
      <c r="N160" s="1827"/>
      <c r="V160" s="674"/>
      <c r="W160" s="675"/>
      <c r="Y160" s="537" t="s">
        <v>500</v>
      </c>
      <c r="AA160" s="680"/>
      <c r="AD160" s="675"/>
      <c r="AE160" s="675"/>
      <c r="AG160" s="675"/>
    </row>
    <row r="161" spans="1:33" s="536" customFormat="1" ht="12" x14ac:dyDescent="0.2">
      <c r="A161" s="605"/>
      <c r="B161" s="552" t="s">
        <v>185</v>
      </c>
      <c r="C161" s="1822" t="s">
        <v>312</v>
      </c>
      <c r="D161" s="1822"/>
      <c r="E161" s="1822"/>
      <c r="F161" s="562"/>
      <c r="G161" s="562"/>
      <c r="H161" s="562"/>
      <c r="I161" s="562"/>
      <c r="J161" s="604">
        <v>211.12</v>
      </c>
      <c r="K161" s="562" t="s">
        <v>313</v>
      </c>
      <c r="L161" s="604">
        <v>79.17</v>
      </c>
      <c r="M161" s="603"/>
      <c r="N161" s="602"/>
      <c r="V161" s="674"/>
      <c r="W161" s="675"/>
      <c r="Z161" s="537" t="s">
        <v>312</v>
      </c>
      <c r="AA161" s="680"/>
      <c r="AD161" s="675"/>
      <c r="AE161" s="675"/>
      <c r="AG161" s="675"/>
    </row>
    <row r="162" spans="1:33" s="536" customFormat="1" ht="12" x14ac:dyDescent="0.2">
      <c r="A162" s="605"/>
      <c r="B162" s="552" t="s">
        <v>186</v>
      </c>
      <c r="C162" s="1822" t="s">
        <v>344</v>
      </c>
      <c r="D162" s="1822"/>
      <c r="E162" s="1822"/>
      <c r="F162" s="562"/>
      <c r="G162" s="562"/>
      <c r="H162" s="562"/>
      <c r="I162" s="562"/>
      <c r="J162" s="604">
        <v>35.630000000000003</v>
      </c>
      <c r="K162" s="562" t="s">
        <v>313</v>
      </c>
      <c r="L162" s="604">
        <v>13.36</v>
      </c>
      <c r="M162" s="603"/>
      <c r="N162" s="602"/>
      <c r="V162" s="674"/>
      <c r="W162" s="675"/>
      <c r="Z162" s="537" t="s">
        <v>344</v>
      </c>
      <c r="AA162" s="680"/>
      <c r="AD162" s="675"/>
      <c r="AE162" s="675"/>
      <c r="AG162" s="675"/>
    </row>
    <row r="163" spans="1:33" s="536" customFormat="1" ht="12" x14ac:dyDescent="0.2">
      <c r="A163" s="605"/>
      <c r="B163" s="552" t="s">
        <v>187</v>
      </c>
      <c r="C163" s="1822" t="s">
        <v>345</v>
      </c>
      <c r="D163" s="1822"/>
      <c r="E163" s="1822"/>
      <c r="F163" s="562"/>
      <c r="G163" s="562"/>
      <c r="H163" s="562"/>
      <c r="I163" s="562"/>
      <c r="J163" s="604">
        <v>8.84</v>
      </c>
      <c r="K163" s="562" t="s">
        <v>313</v>
      </c>
      <c r="L163" s="604">
        <v>3.32</v>
      </c>
      <c r="M163" s="603"/>
      <c r="N163" s="602"/>
      <c r="V163" s="674"/>
      <c r="W163" s="675"/>
      <c r="Z163" s="537" t="s">
        <v>345</v>
      </c>
      <c r="AA163" s="680"/>
      <c r="AD163" s="675"/>
      <c r="AE163" s="675"/>
      <c r="AG163" s="675"/>
    </row>
    <row r="164" spans="1:33" s="536" customFormat="1" ht="12" x14ac:dyDescent="0.2">
      <c r="A164" s="605"/>
      <c r="B164" s="552" t="s">
        <v>188</v>
      </c>
      <c r="C164" s="1822" t="s">
        <v>475</v>
      </c>
      <c r="D164" s="1822"/>
      <c r="E164" s="1822"/>
      <c r="F164" s="562"/>
      <c r="G164" s="562"/>
      <c r="H164" s="562"/>
      <c r="I164" s="562"/>
      <c r="J164" s="604">
        <v>283.52999999999997</v>
      </c>
      <c r="K164" s="562"/>
      <c r="L164" s="604">
        <v>85.06</v>
      </c>
      <c r="M164" s="603"/>
      <c r="N164" s="602"/>
      <c r="V164" s="674"/>
      <c r="W164" s="675"/>
      <c r="Z164" s="537" t="s">
        <v>475</v>
      </c>
      <c r="AA164" s="680"/>
      <c r="AD164" s="675"/>
      <c r="AE164" s="675"/>
      <c r="AG164" s="675"/>
    </row>
    <row r="165" spans="1:33" s="536" customFormat="1" ht="12" x14ac:dyDescent="0.2">
      <c r="A165" s="676"/>
      <c r="B165" s="677" t="s">
        <v>2719</v>
      </c>
      <c r="C165" s="1829" t="s">
        <v>2720</v>
      </c>
      <c r="D165" s="1829"/>
      <c r="E165" s="1829"/>
      <c r="F165" s="678" t="s">
        <v>638</v>
      </c>
      <c r="G165" s="678" t="s">
        <v>194</v>
      </c>
      <c r="H165" s="678"/>
      <c r="I165" s="678" t="s">
        <v>187</v>
      </c>
      <c r="J165" s="552"/>
      <c r="K165" s="562"/>
      <c r="L165" s="604"/>
      <c r="M165" s="562"/>
      <c r="N165" s="679"/>
      <c r="V165" s="674"/>
      <c r="W165" s="675"/>
      <c r="AA165" s="680" t="s">
        <v>2720</v>
      </c>
      <c r="AD165" s="675"/>
      <c r="AE165" s="675"/>
      <c r="AG165" s="675"/>
    </row>
    <row r="166" spans="1:33" s="536" customFormat="1" ht="12" x14ac:dyDescent="0.2">
      <c r="A166" s="605"/>
      <c r="B166" s="552"/>
      <c r="C166" s="1822" t="s">
        <v>314</v>
      </c>
      <c r="D166" s="1822"/>
      <c r="E166" s="1822"/>
      <c r="F166" s="562" t="s">
        <v>315</v>
      </c>
      <c r="G166" s="562" t="s">
        <v>2721</v>
      </c>
      <c r="H166" s="562" t="s">
        <v>313</v>
      </c>
      <c r="I166" s="562" t="s">
        <v>2722</v>
      </c>
      <c r="J166" s="604"/>
      <c r="K166" s="562"/>
      <c r="L166" s="604"/>
      <c r="M166" s="603"/>
      <c r="N166" s="602"/>
      <c r="V166" s="674"/>
      <c r="W166" s="675"/>
      <c r="AA166" s="680"/>
      <c r="AB166" s="537" t="s">
        <v>314</v>
      </c>
      <c r="AD166" s="675"/>
      <c r="AE166" s="675"/>
      <c r="AG166" s="675"/>
    </row>
    <row r="167" spans="1:33" s="536" customFormat="1" ht="12" x14ac:dyDescent="0.2">
      <c r="A167" s="605"/>
      <c r="B167" s="552"/>
      <c r="C167" s="1822" t="s">
        <v>348</v>
      </c>
      <c r="D167" s="1822"/>
      <c r="E167" s="1822"/>
      <c r="F167" s="562" t="s">
        <v>315</v>
      </c>
      <c r="G167" s="562" t="s">
        <v>2723</v>
      </c>
      <c r="H167" s="562" t="s">
        <v>313</v>
      </c>
      <c r="I167" s="562" t="s">
        <v>2724</v>
      </c>
      <c r="J167" s="604"/>
      <c r="K167" s="562"/>
      <c r="L167" s="604"/>
      <c r="M167" s="603"/>
      <c r="N167" s="602"/>
      <c r="V167" s="674"/>
      <c r="W167" s="675"/>
      <c r="AA167" s="680"/>
      <c r="AB167" s="537" t="s">
        <v>348</v>
      </c>
      <c r="AD167" s="675"/>
      <c r="AE167" s="675"/>
      <c r="AG167" s="675"/>
    </row>
    <row r="168" spans="1:33" s="536" customFormat="1" ht="12" x14ac:dyDescent="0.2">
      <c r="A168" s="605"/>
      <c r="B168" s="552"/>
      <c r="C168" s="1828" t="s">
        <v>318</v>
      </c>
      <c r="D168" s="1828"/>
      <c r="E168" s="1828"/>
      <c r="F168" s="608"/>
      <c r="G168" s="608"/>
      <c r="H168" s="608"/>
      <c r="I168" s="608"/>
      <c r="J168" s="607">
        <v>530.28</v>
      </c>
      <c r="K168" s="608"/>
      <c r="L168" s="607">
        <v>177.59</v>
      </c>
      <c r="M168" s="601"/>
      <c r="N168" s="606"/>
      <c r="V168" s="674"/>
      <c r="W168" s="675"/>
      <c r="AA168" s="680"/>
      <c r="AC168" s="537" t="s">
        <v>318</v>
      </c>
      <c r="AD168" s="675"/>
      <c r="AE168" s="675"/>
      <c r="AG168" s="675"/>
    </row>
    <row r="169" spans="1:33" s="536" customFormat="1" ht="12" x14ac:dyDescent="0.2">
      <c r="A169" s="605"/>
      <c r="B169" s="552"/>
      <c r="C169" s="1822" t="s">
        <v>319</v>
      </c>
      <c r="D169" s="1822"/>
      <c r="E169" s="1822"/>
      <c r="F169" s="562"/>
      <c r="G169" s="562"/>
      <c r="H169" s="562"/>
      <c r="I169" s="562"/>
      <c r="J169" s="604"/>
      <c r="K169" s="562"/>
      <c r="L169" s="604">
        <v>82.49</v>
      </c>
      <c r="M169" s="603"/>
      <c r="N169" s="602"/>
      <c r="V169" s="674"/>
      <c r="W169" s="675"/>
      <c r="AA169" s="680"/>
      <c r="AB169" s="537" t="s">
        <v>319</v>
      </c>
      <c r="AD169" s="675"/>
      <c r="AE169" s="675"/>
      <c r="AG169" s="675"/>
    </row>
    <row r="170" spans="1:33" s="536" customFormat="1" ht="45" x14ac:dyDescent="0.2">
      <c r="A170" s="605"/>
      <c r="B170" s="552" t="s">
        <v>892</v>
      </c>
      <c r="C170" s="1822" t="s">
        <v>893</v>
      </c>
      <c r="D170" s="1822"/>
      <c r="E170" s="1822"/>
      <c r="F170" s="562" t="s">
        <v>322</v>
      </c>
      <c r="G170" s="562" t="s">
        <v>894</v>
      </c>
      <c r="H170" s="562"/>
      <c r="I170" s="562" t="s">
        <v>894</v>
      </c>
      <c r="J170" s="604"/>
      <c r="K170" s="562"/>
      <c r="L170" s="604">
        <v>99.81</v>
      </c>
      <c r="M170" s="603"/>
      <c r="N170" s="602"/>
      <c r="V170" s="674"/>
      <c r="W170" s="675"/>
      <c r="AA170" s="680"/>
      <c r="AB170" s="537" t="s">
        <v>893</v>
      </c>
      <c r="AD170" s="675"/>
      <c r="AE170" s="675"/>
      <c r="AG170" s="675"/>
    </row>
    <row r="171" spans="1:33" s="536" customFormat="1" ht="45" x14ac:dyDescent="0.2">
      <c r="A171" s="605"/>
      <c r="B171" s="552" t="s">
        <v>895</v>
      </c>
      <c r="C171" s="1822" t="s">
        <v>896</v>
      </c>
      <c r="D171" s="1822"/>
      <c r="E171" s="1822"/>
      <c r="F171" s="562" t="s">
        <v>322</v>
      </c>
      <c r="G171" s="562" t="s">
        <v>897</v>
      </c>
      <c r="H171" s="562"/>
      <c r="I171" s="562" t="s">
        <v>897</v>
      </c>
      <c r="J171" s="604"/>
      <c r="K171" s="562"/>
      <c r="L171" s="604">
        <v>59.39</v>
      </c>
      <c r="M171" s="603"/>
      <c r="N171" s="602"/>
      <c r="V171" s="674"/>
      <c r="W171" s="675"/>
      <c r="AA171" s="680"/>
      <c r="AB171" s="537" t="s">
        <v>896</v>
      </c>
      <c r="AD171" s="675"/>
      <c r="AE171" s="675"/>
      <c r="AG171" s="675"/>
    </row>
    <row r="172" spans="1:33" s="536" customFormat="1" ht="12" x14ac:dyDescent="0.2">
      <c r="A172" s="569"/>
      <c r="B172" s="656"/>
      <c r="C172" s="1823" t="s">
        <v>327</v>
      </c>
      <c r="D172" s="1823"/>
      <c r="E172" s="1823"/>
      <c r="F172" s="573"/>
      <c r="G172" s="573"/>
      <c r="H172" s="573"/>
      <c r="I172" s="573"/>
      <c r="J172" s="572"/>
      <c r="K172" s="573"/>
      <c r="L172" s="572">
        <v>336.79</v>
      </c>
      <c r="M172" s="601"/>
      <c r="N172" s="570"/>
      <c r="V172" s="674"/>
      <c r="W172" s="675"/>
      <c r="AA172" s="680"/>
      <c r="AD172" s="675" t="s">
        <v>327</v>
      </c>
      <c r="AE172" s="675"/>
      <c r="AG172" s="675"/>
    </row>
    <row r="173" spans="1:33" s="536" customFormat="1" ht="45" x14ac:dyDescent="0.2">
      <c r="A173" s="575" t="s">
        <v>733</v>
      </c>
      <c r="B173" s="657" t="s">
        <v>2725</v>
      </c>
      <c r="C173" s="1823" t="s">
        <v>2726</v>
      </c>
      <c r="D173" s="1823"/>
      <c r="E173" s="1823"/>
      <c r="F173" s="573" t="s">
        <v>663</v>
      </c>
      <c r="G173" s="573"/>
      <c r="H173" s="573"/>
      <c r="I173" s="573" t="s">
        <v>187</v>
      </c>
      <c r="J173" s="572">
        <v>3965.5</v>
      </c>
      <c r="K173" s="573" t="s">
        <v>716</v>
      </c>
      <c r="L173" s="572">
        <v>1458.41</v>
      </c>
      <c r="M173" s="571">
        <v>8.32</v>
      </c>
      <c r="N173" s="570">
        <v>12134</v>
      </c>
      <c r="V173" s="674"/>
      <c r="W173" s="675" t="s">
        <v>2726</v>
      </c>
      <c r="AA173" s="680"/>
      <c r="AD173" s="675"/>
      <c r="AE173" s="675"/>
      <c r="AG173" s="675"/>
    </row>
    <row r="174" spans="1:33" s="536" customFormat="1" ht="12" x14ac:dyDescent="0.2">
      <c r="A174" s="569"/>
      <c r="B174" s="656"/>
      <c r="C174" s="661" t="s">
        <v>717</v>
      </c>
      <c r="D174" s="662"/>
      <c r="E174" s="662"/>
      <c r="F174" s="563"/>
      <c r="G174" s="563"/>
      <c r="H174" s="563"/>
      <c r="I174" s="563"/>
      <c r="J174" s="566"/>
      <c r="K174" s="563"/>
      <c r="L174" s="566"/>
      <c r="M174" s="565"/>
      <c r="N174" s="564"/>
      <c r="V174" s="674"/>
      <c r="W174" s="675"/>
      <c r="AA174" s="680"/>
      <c r="AD174" s="675"/>
      <c r="AE174" s="675"/>
      <c r="AG174" s="675"/>
    </row>
    <row r="175" spans="1:33" s="536" customFormat="1" ht="22.5" x14ac:dyDescent="0.2">
      <c r="A175" s="609"/>
      <c r="B175" s="552" t="s">
        <v>718</v>
      </c>
      <c r="C175" s="1822" t="s">
        <v>719</v>
      </c>
      <c r="D175" s="1822"/>
      <c r="E175" s="1822"/>
      <c r="F175" s="1822"/>
      <c r="G175" s="1822"/>
      <c r="H175" s="1822"/>
      <c r="I175" s="1822"/>
      <c r="J175" s="1822"/>
      <c r="K175" s="1822"/>
      <c r="L175" s="1822"/>
      <c r="M175" s="1822"/>
      <c r="N175" s="1827"/>
      <c r="V175" s="674"/>
      <c r="W175" s="675"/>
      <c r="Y175" s="537" t="s">
        <v>719</v>
      </c>
      <c r="AA175" s="680"/>
      <c r="AD175" s="675"/>
      <c r="AE175" s="675"/>
      <c r="AG175" s="675"/>
    </row>
    <row r="176" spans="1:33" s="536" customFormat="1" ht="12" x14ac:dyDescent="0.2">
      <c r="A176" s="575" t="s">
        <v>736</v>
      </c>
      <c r="B176" s="657" t="s">
        <v>2727</v>
      </c>
      <c r="C176" s="1823" t="s">
        <v>2728</v>
      </c>
      <c r="D176" s="1823"/>
      <c r="E176" s="1823"/>
      <c r="F176" s="573" t="s">
        <v>2695</v>
      </c>
      <c r="G176" s="573"/>
      <c r="H176" s="573"/>
      <c r="I176" s="573" t="s">
        <v>913</v>
      </c>
      <c r="J176" s="572"/>
      <c r="K176" s="573"/>
      <c r="L176" s="572"/>
      <c r="M176" s="571"/>
      <c r="N176" s="570"/>
      <c r="V176" s="674"/>
      <c r="W176" s="675" t="s">
        <v>2728</v>
      </c>
      <c r="AA176" s="680"/>
      <c r="AD176" s="675"/>
      <c r="AE176" s="675"/>
      <c r="AG176" s="675"/>
    </row>
    <row r="177" spans="1:33" s="536" customFormat="1" ht="12" x14ac:dyDescent="0.2">
      <c r="A177" s="676"/>
      <c r="B177" s="655"/>
      <c r="C177" s="1822" t="s">
        <v>2718</v>
      </c>
      <c r="D177" s="1822"/>
      <c r="E177" s="1822"/>
      <c r="F177" s="1822"/>
      <c r="G177" s="1822"/>
      <c r="H177" s="1822"/>
      <c r="I177" s="1822"/>
      <c r="J177" s="1822"/>
      <c r="K177" s="1822"/>
      <c r="L177" s="1822"/>
      <c r="M177" s="1822"/>
      <c r="N177" s="1827"/>
      <c r="V177" s="674"/>
      <c r="W177" s="675"/>
      <c r="X177" s="537" t="s">
        <v>2718</v>
      </c>
      <c r="AA177" s="680"/>
      <c r="AD177" s="675"/>
      <c r="AE177" s="675"/>
      <c r="AG177" s="675"/>
    </row>
    <row r="178" spans="1:33" s="536" customFormat="1" ht="22.5" x14ac:dyDescent="0.2">
      <c r="A178" s="609"/>
      <c r="B178" s="552" t="s">
        <v>499</v>
      </c>
      <c r="C178" s="1822" t="s">
        <v>500</v>
      </c>
      <c r="D178" s="1822"/>
      <c r="E178" s="1822"/>
      <c r="F178" s="1822"/>
      <c r="G178" s="1822"/>
      <c r="H178" s="1822"/>
      <c r="I178" s="1822"/>
      <c r="J178" s="1822"/>
      <c r="K178" s="1822"/>
      <c r="L178" s="1822"/>
      <c r="M178" s="1822"/>
      <c r="N178" s="1827"/>
      <c r="V178" s="674"/>
      <c r="W178" s="675"/>
      <c r="Y178" s="537" t="s">
        <v>500</v>
      </c>
      <c r="AA178" s="680"/>
      <c r="AD178" s="675"/>
      <c r="AE178" s="675"/>
      <c r="AG178" s="675"/>
    </row>
    <row r="179" spans="1:33" s="536" customFormat="1" ht="12" x14ac:dyDescent="0.2">
      <c r="A179" s="605"/>
      <c r="B179" s="552" t="s">
        <v>185</v>
      </c>
      <c r="C179" s="1822" t="s">
        <v>312</v>
      </c>
      <c r="D179" s="1822"/>
      <c r="E179" s="1822"/>
      <c r="F179" s="562"/>
      <c r="G179" s="562"/>
      <c r="H179" s="562"/>
      <c r="I179" s="562"/>
      <c r="J179" s="604">
        <v>77.92</v>
      </c>
      <c r="K179" s="562" t="s">
        <v>313</v>
      </c>
      <c r="L179" s="604">
        <v>29.22</v>
      </c>
      <c r="M179" s="603"/>
      <c r="N179" s="602"/>
      <c r="V179" s="674"/>
      <c r="W179" s="675"/>
      <c r="Z179" s="537" t="s">
        <v>312</v>
      </c>
      <c r="AA179" s="680"/>
      <c r="AD179" s="675"/>
      <c r="AE179" s="675"/>
      <c r="AG179" s="675"/>
    </row>
    <row r="180" spans="1:33" s="536" customFormat="1" ht="12" x14ac:dyDescent="0.2">
      <c r="A180" s="605"/>
      <c r="B180" s="552" t="s">
        <v>186</v>
      </c>
      <c r="C180" s="1822" t="s">
        <v>344</v>
      </c>
      <c r="D180" s="1822"/>
      <c r="E180" s="1822"/>
      <c r="F180" s="562"/>
      <c r="G180" s="562"/>
      <c r="H180" s="562"/>
      <c r="I180" s="562"/>
      <c r="J180" s="604">
        <v>11.39</v>
      </c>
      <c r="K180" s="562" t="s">
        <v>313</v>
      </c>
      <c r="L180" s="604">
        <v>4.2699999999999996</v>
      </c>
      <c r="M180" s="603"/>
      <c r="N180" s="602"/>
      <c r="V180" s="674"/>
      <c r="W180" s="675"/>
      <c r="Z180" s="537" t="s">
        <v>344</v>
      </c>
      <c r="AA180" s="680"/>
      <c r="AD180" s="675"/>
      <c r="AE180" s="675"/>
      <c r="AG180" s="675"/>
    </row>
    <row r="181" spans="1:33" s="536" customFormat="1" ht="12" x14ac:dyDescent="0.2">
      <c r="A181" s="605"/>
      <c r="B181" s="552" t="s">
        <v>187</v>
      </c>
      <c r="C181" s="1822" t="s">
        <v>345</v>
      </c>
      <c r="D181" s="1822"/>
      <c r="E181" s="1822"/>
      <c r="F181" s="562"/>
      <c r="G181" s="562"/>
      <c r="H181" s="562"/>
      <c r="I181" s="562"/>
      <c r="J181" s="604">
        <v>2.57</v>
      </c>
      <c r="K181" s="562" t="s">
        <v>313</v>
      </c>
      <c r="L181" s="604">
        <v>0.96</v>
      </c>
      <c r="M181" s="603"/>
      <c r="N181" s="602"/>
      <c r="V181" s="674"/>
      <c r="W181" s="675"/>
      <c r="Z181" s="537" t="s">
        <v>345</v>
      </c>
      <c r="AA181" s="680"/>
      <c r="AD181" s="675"/>
      <c r="AE181" s="675"/>
      <c r="AG181" s="675"/>
    </row>
    <row r="182" spans="1:33" s="536" customFormat="1" ht="12" x14ac:dyDescent="0.2">
      <c r="A182" s="605"/>
      <c r="B182" s="552" t="s">
        <v>188</v>
      </c>
      <c r="C182" s="1822" t="s">
        <v>475</v>
      </c>
      <c r="D182" s="1822"/>
      <c r="E182" s="1822"/>
      <c r="F182" s="562"/>
      <c r="G182" s="562"/>
      <c r="H182" s="562"/>
      <c r="I182" s="562"/>
      <c r="J182" s="604">
        <v>111.07</v>
      </c>
      <c r="K182" s="562"/>
      <c r="L182" s="604">
        <v>33.32</v>
      </c>
      <c r="M182" s="603"/>
      <c r="N182" s="602"/>
      <c r="V182" s="674"/>
      <c r="W182" s="675"/>
      <c r="Z182" s="537" t="s">
        <v>475</v>
      </c>
      <c r="AA182" s="680"/>
      <c r="AD182" s="675"/>
      <c r="AE182" s="675"/>
      <c r="AG182" s="675"/>
    </row>
    <row r="183" spans="1:33" s="536" customFormat="1" ht="12" x14ac:dyDescent="0.2">
      <c r="A183" s="676"/>
      <c r="B183" s="677" t="s">
        <v>2729</v>
      </c>
      <c r="C183" s="1829" t="s">
        <v>2730</v>
      </c>
      <c r="D183" s="1829"/>
      <c r="E183" s="1829"/>
      <c r="F183" s="678" t="s">
        <v>638</v>
      </c>
      <c r="G183" s="678" t="s">
        <v>194</v>
      </c>
      <c r="H183" s="678"/>
      <c r="I183" s="678" t="s">
        <v>187</v>
      </c>
      <c r="J183" s="552"/>
      <c r="K183" s="562"/>
      <c r="L183" s="604"/>
      <c r="M183" s="562"/>
      <c r="N183" s="679"/>
      <c r="V183" s="674"/>
      <c r="W183" s="675"/>
      <c r="AA183" s="680" t="s">
        <v>2730</v>
      </c>
      <c r="AD183" s="675"/>
      <c r="AE183" s="675"/>
      <c r="AG183" s="675"/>
    </row>
    <row r="184" spans="1:33" s="536" customFormat="1" ht="12" x14ac:dyDescent="0.2">
      <c r="A184" s="605"/>
      <c r="B184" s="552"/>
      <c r="C184" s="1822" t="s">
        <v>314</v>
      </c>
      <c r="D184" s="1822"/>
      <c r="E184" s="1822"/>
      <c r="F184" s="562" t="s">
        <v>315</v>
      </c>
      <c r="G184" s="562" t="s">
        <v>1386</v>
      </c>
      <c r="H184" s="562" t="s">
        <v>313</v>
      </c>
      <c r="I184" s="562" t="s">
        <v>2731</v>
      </c>
      <c r="J184" s="604"/>
      <c r="K184" s="562"/>
      <c r="L184" s="604"/>
      <c r="M184" s="603"/>
      <c r="N184" s="602"/>
      <c r="V184" s="674"/>
      <c r="W184" s="675"/>
      <c r="AA184" s="680"/>
      <c r="AB184" s="537" t="s">
        <v>314</v>
      </c>
      <c r="AD184" s="675"/>
      <c r="AE184" s="675"/>
      <c r="AG184" s="675"/>
    </row>
    <row r="185" spans="1:33" s="536" customFormat="1" ht="12" x14ac:dyDescent="0.2">
      <c r="A185" s="605"/>
      <c r="B185" s="552"/>
      <c r="C185" s="1822" t="s">
        <v>348</v>
      </c>
      <c r="D185" s="1822"/>
      <c r="E185" s="1822"/>
      <c r="F185" s="562" t="s">
        <v>315</v>
      </c>
      <c r="G185" s="562" t="s">
        <v>1265</v>
      </c>
      <c r="H185" s="562" t="s">
        <v>313</v>
      </c>
      <c r="I185" s="562" t="s">
        <v>2732</v>
      </c>
      <c r="J185" s="604"/>
      <c r="K185" s="562"/>
      <c r="L185" s="604"/>
      <c r="M185" s="603"/>
      <c r="N185" s="602"/>
      <c r="V185" s="674"/>
      <c r="W185" s="675"/>
      <c r="AA185" s="680"/>
      <c r="AB185" s="537" t="s">
        <v>348</v>
      </c>
      <c r="AD185" s="675"/>
      <c r="AE185" s="675"/>
      <c r="AG185" s="675"/>
    </row>
    <row r="186" spans="1:33" s="536" customFormat="1" ht="12" x14ac:dyDescent="0.2">
      <c r="A186" s="605"/>
      <c r="B186" s="552"/>
      <c r="C186" s="1828" t="s">
        <v>318</v>
      </c>
      <c r="D186" s="1828"/>
      <c r="E186" s="1828"/>
      <c r="F186" s="608"/>
      <c r="G186" s="608"/>
      <c r="H186" s="608"/>
      <c r="I186" s="608"/>
      <c r="J186" s="607">
        <v>200.38</v>
      </c>
      <c r="K186" s="608"/>
      <c r="L186" s="607">
        <v>66.81</v>
      </c>
      <c r="M186" s="601"/>
      <c r="N186" s="606"/>
      <c r="V186" s="674"/>
      <c r="W186" s="675"/>
      <c r="AA186" s="680"/>
      <c r="AC186" s="537" t="s">
        <v>318</v>
      </c>
      <c r="AD186" s="675"/>
      <c r="AE186" s="675"/>
      <c r="AG186" s="675"/>
    </row>
    <row r="187" spans="1:33" s="536" customFormat="1" ht="12" x14ac:dyDescent="0.2">
      <c r="A187" s="605"/>
      <c r="B187" s="552"/>
      <c r="C187" s="1822" t="s">
        <v>319</v>
      </c>
      <c r="D187" s="1822"/>
      <c r="E187" s="1822"/>
      <c r="F187" s="562"/>
      <c r="G187" s="562"/>
      <c r="H187" s="562"/>
      <c r="I187" s="562"/>
      <c r="J187" s="604"/>
      <c r="K187" s="562"/>
      <c r="L187" s="604">
        <v>30.18</v>
      </c>
      <c r="M187" s="603"/>
      <c r="N187" s="602"/>
      <c r="V187" s="674"/>
      <c r="W187" s="675"/>
      <c r="AA187" s="680"/>
      <c r="AB187" s="537" t="s">
        <v>319</v>
      </c>
      <c r="AD187" s="675"/>
      <c r="AE187" s="675"/>
      <c r="AG187" s="675"/>
    </row>
    <row r="188" spans="1:33" s="536" customFormat="1" ht="45" x14ac:dyDescent="0.2">
      <c r="A188" s="605"/>
      <c r="B188" s="552" t="s">
        <v>892</v>
      </c>
      <c r="C188" s="1822" t="s">
        <v>893</v>
      </c>
      <c r="D188" s="1822"/>
      <c r="E188" s="1822"/>
      <c r="F188" s="562" t="s">
        <v>322</v>
      </c>
      <c r="G188" s="562" t="s">
        <v>894</v>
      </c>
      <c r="H188" s="562"/>
      <c r="I188" s="562" t="s">
        <v>894</v>
      </c>
      <c r="J188" s="604"/>
      <c r="K188" s="562"/>
      <c r="L188" s="604">
        <v>36.520000000000003</v>
      </c>
      <c r="M188" s="603"/>
      <c r="N188" s="602"/>
      <c r="V188" s="674"/>
      <c r="W188" s="675"/>
      <c r="AA188" s="680"/>
      <c r="AB188" s="537" t="s">
        <v>893</v>
      </c>
      <c r="AD188" s="675"/>
      <c r="AE188" s="675"/>
      <c r="AG188" s="675"/>
    </row>
    <row r="189" spans="1:33" s="536" customFormat="1" ht="45" x14ac:dyDescent="0.2">
      <c r="A189" s="605"/>
      <c r="B189" s="552" t="s">
        <v>895</v>
      </c>
      <c r="C189" s="1822" t="s">
        <v>896</v>
      </c>
      <c r="D189" s="1822"/>
      <c r="E189" s="1822"/>
      <c r="F189" s="562" t="s">
        <v>322</v>
      </c>
      <c r="G189" s="562" t="s">
        <v>897</v>
      </c>
      <c r="H189" s="562"/>
      <c r="I189" s="562" t="s">
        <v>897</v>
      </c>
      <c r="J189" s="604"/>
      <c r="K189" s="562"/>
      <c r="L189" s="604">
        <v>21.73</v>
      </c>
      <c r="M189" s="603"/>
      <c r="N189" s="602"/>
      <c r="V189" s="674"/>
      <c r="W189" s="675"/>
      <c r="AA189" s="680"/>
      <c r="AB189" s="537" t="s">
        <v>896</v>
      </c>
      <c r="AD189" s="675"/>
      <c r="AE189" s="675"/>
      <c r="AG189" s="675"/>
    </row>
    <row r="190" spans="1:33" s="536" customFormat="1" ht="12" x14ac:dyDescent="0.2">
      <c r="A190" s="569"/>
      <c r="B190" s="656"/>
      <c r="C190" s="1823" t="s">
        <v>327</v>
      </c>
      <c r="D190" s="1823"/>
      <c r="E190" s="1823"/>
      <c r="F190" s="573"/>
      <c r="G190" s="573"/>
      <c r="H190" s="573"/>
      <c r="I190" s="573"/>
      <c r="J190" s="572"/>
      <c r="K190" s="573"/>
      <c r="L190" s="572">
        <v>125.06</v>
      </c>
      <c r="M190" s="601"/>
      <c r="N190" s="570"/>
      <c r="V190" s="674"/>
      <c r="W190" s="675"/>
      <c r="AA190" s="680"/>
      <c r="AD190" s="675" t="s">
        <v>327</v>
      </c>
      <c r="AE190" s="675"/>
      <c r="AG190" s="675"/>
    </row>
    <row r="191" spans="1:33" s="536" customFormat="1" ht="33.75" x14ac:dyDescent="0.2">
      <c r="A191" s="575" t="s">
        <v>1067</v>
      </c>
      <c r="B191" s="657" t="s">
        <v>2733</v>
      </c>
      <c r="C191" s="1823" t="s">
        <v>2734</v>
      </c>
      <c r="D191" s="1823"/>
      <c r="E191" s="1823"/>
      <c r="F191" s="573" t="s">
        <v>663</v>
      </c>
      <c r="G191" s="573"/>
      <c r="H191" s="573"/>
      <c r="I191" s="573" t="s">
        <v>187</v>
      </c>
      <c r="J191" s="572">
        <v>3765.12</v>
      </c>
      <c r="K191" s="573" t="s">
        <v>716</v>
      </c>
      <c r="L191" s="572">
        <v>1384.74</v>
      </c>
      <c r="M191" s="571">
        <v>8.32</v>
      </c>
      <c r="N191" s="570">
        <v>11521</v>
      </c>
      <c r="V191" s="674"/>
      <c r="W191" s="675" t="s">
        <v>2734</v>
      </c>
      <c r="AA191" s="680"/>
      <c r="AD191" s="675"/>
      <c r="AE191" s="675"/>
      <c r="AG191" s="675"/>
    </row>
    <row r="192" spans="1:33" s="536" customFormat="1" ht="12" x14ac:dyDescent="0.2">
      <c r="A192" s="569"/>
      <c r="B192" s="656"/>
      <c r="C192" s="661" t="s">
        <v>717</v>
      </c>
      <c r="D192" s="662"/>
      <c r="E192" s="662"/>
      <c r="F192" s="563"/>
      <c r="G192" s="563"/>
      <c r="H192" s="563"/>
      <c r="I192" s="563"/>
      <c r="J192" s="566"/>
      <c r="K192" s="563"/>
      <c r="L192" s="566"/>
      <c r="M192" s="565"/>
      <c r="N192" s="564"/>
      <c r="V192" s="674"/>
      <c r="W192" s="675"/>
      <c r="AA192" s="680"/>
      <c r="AD192" s="675"/>
      <c r="AE192" s="675"/>
      <c r="AG192" s="675"/>
    </row>
    <row r="193" spans="1:33" s="536" customFormat="1" ht="22.5" x14ac:dyDescent="0.2">
      <c r="A193" s="609"/>
      <c r="B193" s="552" t="s">
        <v>718</v>
      </c>
      <c r="C193" s="1822" t="s">
        <v>719</v>
      </c>
      <c r="D193" s="1822"/>
      <c r="E193" s="1822"/>
      <c r="F193" s="1822"/>
      <c r="G193" s="1822"/>
      <c r="H193" s="1822"/>
      <c r="I193" s="1822"/>
      <c r="J193" s="1822"/>
      <c r="K193" s="1822"/>
      <c r="L193" s="1822"/>
      <c r="M193" s="1822"/>
      <c r="N193" s="1827"/>
      <c r="V193" s="674"/>
      <c r="W193" s="675"/>
      <c r="Y193" s="537" t="s">
        <v>719</v>
      </c>
      <c r="AA193" s="680"/>
      <c r="AD193" s="675"/>
      <c r="AE193" s="675"/>
      <c r="AG193" s="675"/>
    </row>
    <row r="194" spans="1:33" s="536" customFormat="1" ht="45" x14ac:dyDescent="0.2">
      <c r="A194" s="575" t="s">
        <v>912</v>
      </c>
      <c r="B194" s="657" t="s">
        <v>2735</v>
      </c>
      <c r="C194" s="1823" t="s">
        <v>2736</v>
      </c>
      <c r="D194" s="1823"/>
      <c r="E194" s="1823"/>
      <c r="F194" s="573" t="s">
        <v>638</v>
      </c>
      <c r="G194" s="573"/>
      <c r="H194" s="573"/>
      <c r="I194" s="573" t="s">
        <v>189</v>
      </c>
      <c r="J194" s="572">
        <v>20.95</v>
      </c>
      <c r="K194" s="573"/>
      <c r="L194" s="572">
        <v>104.75</v>
      </c>
      <c r="M194" s="571"/>
      <c r="N194" s="570"/>
      <c r="V194" s="674"/>
      <c r="W194" s="675" t="s">
        <v>2736</v>
      </c>
      <c r="AA194" s="680"/>
      <c r="AD194" s="675"/>
      <c r="AE194" s="675"/>
      <c r="AG194" s="675"/>
    </row>
    <row r="195" spans="1:33" s="536" customFormat="1" ht="12" x14ac:dyDescent="0.2">
      <c r="A195" s="569"/>
      <c r="B195" s="656"/>
      <c r="C195" s="661" t="s">
        <v>717</v>
      </c>
      <c r="D195" s="662"/>
      <c r="E195" s="662"/>
      <c r="F195" s="563"/>
      <c r="G195" s="563"/>
      <c r="H195" s="563"/>
      <c r="I195" s="563"/>
      <c r="J195" s="566"/>
      <c r="K195" s="563"/>
      <c r="L195" s="566"/>
      <c r="M195" s="565"/>
      <c r="N195" s="564"/>
      <c r="V195" s="674"/>
      <c r="W195" s="675"/>
      <c r="AA195" s="680"/>
      <c r="AD195" s="675"/>
      <c r="AE195" s="675"/>
      <c r="AG195" s="675"/>
    </row>
    <row r="196" spans="1:33" s="536" customFormat="1" ht="12" x14ac:dyDescent="0.2">
      <c r="A196" s="676"/>
      <c r="B196" s="655"/>
      <c r="C196" s="1822" t="s">
        <v>2737</v>
      </c>
      <c r="D196" s="1822"/>
      <c r="E196" s="1822"/>
      <c r="F196" s="1822"/>
      <c r="G196" s="1822"/>
      <c r="H196" s="1822"/>
      <c r="I196" s="1822"/>
      <c r="J196" s="1822"/>
      <c r="K196" s="1822"/>
      <c r="L196" s="1822"/>
      <c r="M196" s="1822"/>
      <c r="N196" s="1827"/>
      <c r="V196" s="674"/>
      <c r="W196" s="675"/>
      <c r="X196" s="537" t="s">
        <v>2737</v>
      </c>
      <c r="AA196" s="680"/>
      <c r="AD196" s="675"/>
      <c r="AE196" s="675"/>
      <c r="AG196" s="675"/>
    </row>
    <row r="197" spans="1:33" s="536" customFormat="1" ht="22.5" x14ac:dyDescent="0.2">
      <c r="A197" s="575" t="s">
        <v>757</v>
      </c>
      <c r="B197" s="657" t="s">
        <v>2738</v>
      </c>
      <c r="C197" s="1823" t="s">
        <v>2739</v>
      </c>
      <c r="D197" s="1823"/>
      <c r="E197" s="1823"/>
      <c r="F197" s="573" t="s">
        <v>2695</v>
      </c>
      <c r="G197" s="573"/>
      <c r="H197" s="573"/>
      <c r="I197" s="573" t="s">
        <v>2323</v>
      </c>
      <c r="J197" s="572"/>
      <c r="K197" s="573"/>
      <c r="L197" s="572"/>
      <c r="M197" s="571"/>
      <c r="N197" s="570"/>
      <c r="V197" s="674"/>
      <c r="W197" s="675" t="s">
        <v>2739</v>
      </c>
      <c r="AA197" s="680"/>
      <c r="AD197" s="675"/>
      <c r="AE197" s="675"/>
      <c r="AG197" s="675"/>
    </row>
    <row r="198" spans="1:33" s="536" customFormat="1" ht="12" x14ac:dyDescent="0.2">
      <c r="A198" s="676"/>
      <c r="B198" s="655"/>
      <c r="C198" s="1822" t="s">
        <v>2696</v>
      </c>
      <c r="D198" s="1822"/>
      <c r="E198" s="1822"/>
      <c r="F198" s="1822"/>
      <c r="G198" s="1822"/>
      <c r="H198" s="1822"/>
      <c r="I198" s="1822"/>
      <c r="J198" s="1822"/>
      <c r="K198" s="1822"/>
      <c r="L198" s="1822"/>
      <c r="M198" s="1822"/>
      <c r="N198" s="1827"/>
      <c r="V198" s="674"/>
      <c r="W198" s="675"/>
      <c r="X198" s="537" t="s">
        <v>2696</v>
      </c>
      <c r="AA198" s="680"/>
      <c r="AD198" s="675"/>
      <c r="AE198" s="675"/>
      <c r="AG198" s="675"/>
    </row>
    <row r="199" spans="1:33" s="536" customFormat="1" ht="22.5" x14ac:dyDescent="0.2">
      <c r="A199" s="609"/>
      <c r="B199" s="552" t="s">
        <v>499</v>
      </c>
      <c r="C199" s="1822" t="s">
        <v>500</v>
      </c>
      <c r="D199" s="1822"/>
      <c r="E199" s="1822"/>
      <c r="F199" s="1822"/>
      <c r="G199" s="1822"/>
      <c r="H199" s="1822"/>
      <c r="I199" s="1822"/>
      <c r="J199" s="1822"/>
      <c r="K199" s="1822"/>
      <c r="L199" s="1822"/>
      <c r="M199" s="1822"/>
      <c r="N199" s="1827"/>
      <c r="V199" s="674"/>
      <c r="W199" s="675"/>
      <c r="Y199" s="537" t="s">
        <v>500</v>
      </c>
      <c r="AA199" s="680"/>
      <c r="AD199" s="675"/>
      <c r="AE199" s="675"/>
      <c r="AG199" s="675"/>
    </row>
    <row r="200" spans="1:33" s="536" customFormat="1" ht="12" x14ac:dyDescent="0.2">
      <c r="A200" s="605"/>
      <c r="B200" s="552" t="s">
        <v>185</v>
      </c>
      <c r="C200" s="1822" t="s">
        <v>312</v>
      </c>
      <c r="D200" s="1822"/>
      <c r="E200" s="1822"/>
      <c r="F200" s="562"/>
      <c r="G200" s="562"/>
      <c r="H200" s="562"/>
      <c r="I200" s="562"/>
      <c r="J200" s="604">
        <v>149.11000000000001</v>
      </c>
      <c r="K200" s="562" t="s">
        <v>313</v>
      </c>
      <c r="L200" s="604">
        <v>18.64</v>
      </c>
      <c r="M200" s="603"/>
      <c r="N200" s="602"/>
      <c r="V200" s="674"/>
      <c r="W200" s="675"/>
      <c r="Z200" s="537" t="s">
        <v>312</v>
      </c>
      <c r="AA200" s="680"/>
      <c r="AD200" s="675"/>
      <c r="AE200" s="675"/>
      <c r="AG200" s="675"/>
    </row>
    <row r="201" spans="1:33" s="536" customFormat="1" ht="12" x14ac:dyDescent="0.2">
      <c r="A201" s="605"/>
      <c r="B201" s="552" t="s">
        <v>186</v>
      </c>
      <c r="C201" s="1822" t="s">
        <v>344</v>
      </c>
      <c r="D201" s="1822"/>
      <c r="E201" s="1822"/>
      <c r="F201" s="562"/>
      <c r="G201" s="562"/>
      <c r="H201" s="562"/>
      <c r="I201" s="562"/>
      <c r="J201" s="604">
        <v>43.73</v>
      </c>
      <c r="K201" s="562" t="s">
        <v>313</v>
      </c>
      <c r="L201" s="604">
        <v>5.47</v>
      </c>
      <c r="M201" s="603"/>
      <c r="N201" s="602"/>
      <c r="V201" s="674"/>
      <c r="W201" s="675"/>
      <c r="Z201" s="537" t="s">
        <v>344</v>
      </c>
      <c r="AA201" s="680"/>
      <c r="AD201" s="675"/>
      <c r="AE201" s="675"/>
      <c r="AG201" s="675"/>
    </row>
    <row r="202" spans="1:33" s="536" customFormat="1" ht="12" x14ac:dyDescent="0.2">
      <c r="A202" s="605"/>
      <c r="B202" s="552" t="s">
        <v>187</v>
      </c>
      <c r="C202" s="1822" t="s">
        <v>345</v>
      </c>
      <c r="D202" s="1822"/>
      <c r="E202" s="1822"/>
      <c r="F202" s="562"/>
      <c r="G202" s="562"/>
      <c r="H202" s="562"/>
      <c r="I202" s="562"/>
      <c r="J202" s="604">
        <v>10.38</v>
      </c>
      <c r="K202" s="562" t="s">
        <v>313</v>
      </c>
      <c r="L202" s="604">
        <v>1.3</v>
      </c>
      <c r="M202" s="603"/>
      <c r="N202" s="602"/>
      <c r="V202" s="674"/>
      <c r="W202" s="675"/>
      <c r="Z202" s="537" t="s">
        <v>345</v>
      </c>
      <c r="AA202" s="680"/>
      <c r="AD202" s="675"/>
      <c r="AE202" s="675"/>
      <c r="AG202" s="675"/>
    </row>
    <row r="203" spans="1:33" s="536" customFormat="1" ht="12" x14ac:dyDescent="0.2">
      <c r="A203" s="605"/>
      <c r="B203" s="552" t="s">
        <v>188</v>
      </c>
      <c r="C203" s="1822" t="s">
        <v>475</v>
      </c>
      <c r="D203" s="1822"/>
      <c r="E203" s="1822"/>
      <c r="F203" s="562"/>
      <c r="G203" s="562"/>
      <c r="H203" s="562"/>
      <c r="I203" s="562"/>
      <c r="J203" s="604">
        <v>482.92</v>
      </c>
      <c r="K203" s="562"/>
      <c r="L203" s="604">
        <v>48.29</v>
      </c>
      <c r="M203" s="603"/>
      <c r="N203" s="602"/>
      <c r="V203" s="674"/>
      <c r="W203" s="675"/>
      <c r="Z203" s="537" t="s">
        <v>475</v>
      </c>
      <c r="AA203" s="680"/>
      <c r="AD203" s="675"/>
      <c r="AE203" s="675"/>
      <c r="AG203" s="675"/>
    </row>
    <row r="204" spans="1:33" s="536" customFormat="1" ht="12" x14ac:dyDescent="0.2">
      <c r="A204" s="676"/>
      <c r="B204" s="677" t="s">
        <v>2740</v>
      </c>
      <c r="C204" s="1829" t="s">
        <v>2741</v>
      </c>
      <c r="D204" s="1829"/>
      <c r="E204" s="1829"/>
      <c r="F204" s="678" t="s">
        <v>638</v>
      </c>
      <c r="G204" s="678" t="s">
        <v>194</v>
      </c>
      <c r="H204" s="678"/>
      <c r="I204" s="678" t="s">
        <v>185</v>
      </c>
      <c r="J204" s="552"/>
      <c r="K204" s="562"/>
      <c r="L204" s="604"/>
      <c r="M204" s="562"/>
      <c r="N204" s="679"/>
      <c r="V204" s="674"/>
      <c r="W204" s="675"/>
      <c r="AA204" s="680" t="s">
        <v>2741</v>
      </c>
      <c r="AD204" s="675"/>
      <c r="AE204" s="675"/>
      <c r="AG204" s="675"/>
    </row>
    <row r="205" spans="1:33" s="536" customFormat="1" ht="12" x14ac:dyDescent="0.2">
      <c r="A205" s="605"/>
      <c r="B205" s="552"/>
      <c r="C205" s="1822" t="s">
        <v>314</v>
      </c>
      <c r="D205" s="1822"/>
      <c r="E205" s="1822"/>
      <c r="F205" s="562" t="s">
        <v>315</v>
      </c>
      <c r="G205" s="562" t="s">
        <v>2742</v>
      </c>
      <c r="H205" s="562" t="s">
        <v>313</v>
      </c>
      <c r="I205" s="562" t="s">
        <v>2743</v>
      </c>
      <c r="J205" s="604"/>
      <c r="K205" s="562"/>
      <c r="L205" s="604"/>
      <c r="M205" s="603"/>
      <c r="N205" s="602"/>
      <c r="V205" s="674"/>
      <c r="W205" s="675"/>
      <c r="AA205" s="680"/>
      <c r="AB205" s="537" t="s">
        <v>314</v>
      </c>
      <c r="AD205" s="675"/>
      <c r="AE205" s="675"/>
      <c r="AG205" s="675"/>
    </row>
    <row r="206" spans="1:33" s="536" customFormat="1" ht="12" x14ac:dyDescent="0.2">
      <c r="A206" s="605"/>
      <c r="B206" s="552"/>
      <c r="C206" s="1822" t="s">
        <v>348</v>
      </c>
      <c r="D206" s="1822"/>
      <c r="E206" s="1822"/>
      <c r="F206" s="562" t="s">
        <v>315</v>
      </c>
      <c r="G206" s="562" t="s">
        <v>2744</v>
      </c>
      <c r="H206" s="562" t="s">
        <v>313</v>
      </c>
      <c r="I206" s="562" t="s">
        <v>2745</v>
      </c>
      <c r="J206" s="604"/>
      <c r="K206" s="562"/>
      <c r="L206" s="604"/>
      <c r="M206" s="603"/>
      <c r="N206" s="602"/>
      <c r="V206" s="674"/>
      <c r="W206" s="675"/>
      <c r="AA206" s="680"/>
      <c r="AB206" s="537" t="s">
        <v>348</v>
      </c>
      <c r="AD206" s="675"/>
      <c r="AE206" s="675"/>
      <c r="AG206" s="675"/>
    </row>
    <row r="207" spans="1:33" s="536" customFormat="1" ht="12" x14ac:dyDescent="0.2">
      <c r="A207" s="605"/>
      <c r="B207" s="552"/>
      <c r="C207" s="1828" t="s">
        <v>318</v>
      </c>
      <c r="D207" s="1828"/>
      <c r="E207" s="1828"/>
      <c r="F207" s="608"/>
      <c r="G207" s="608"/>
      <c r="H207" s="608"/>
      <c r="I207" s="608"/>
      <c r="J207" s="607">
        <v>675.76</v>
      </c>
      <c r="K207" s="608"/>
      <c r="L207" s="607">
        <v>72.400000000000006</v>
      </c>
      <c r="M207" s="601"/>
      <c r="N207" s="606"/>
      <c r="V207" s="674"/>
      <c r="W207" s="675"/>
      <c r="AA207" s="680"/>
      <c r="AC207" s="537" t="s">
        <v>318</v>
      </c>
      <c r="AD207" s="675"/>
      <c r="AE207" s="675"/>
      <c r="AG207" s="675"/>
    </row>
    <row r="208" spans="1:33" s="536" customFormat="1" ht="12" x14ac:dyDescent="0.2">
      <c r="A208" s="605"/>
      <c r="B208" s="552"/>
      <c r="C208" s="1822" t="s">
        <v>319</v>
      </c>
      <c r="D208" s="1822"/>
      <c r="E208" s="1822"/>
      <c r="F208" s="562"/>
      <c r="G208" s="562"/>
      <c r="H208" s="562"/>
      <c r="I208" s="562"/>
      <c r="J208" s="604"/>
      <c r="K208" s="562"/>
      <c r="L208" s="604">
        <v>19.940000000000001</v>
      </c>
      <c r="M208" s="603"/>
      <c r="N208" s="602"/>
      <c r="V208" s="674"/>
      <c r="W208" s="675"/>
      <c r="AA208" s="680"/>
      <c r="AB208" s="537" t="s">
        <v>319</v>
      </c>
      <c r="AD208" s="675"/>
      <c r="AE208" s="675"/>
      <c r="AG208" s="675"/>
    </row>
    <row r="209" spans="1:33" s="536" customFormat="1" ht="45" x14ac:dyDescent="0.2">
      <c r="A209" s="605"/>
      <c r="B209" s="552" t="s">
        <v>892</v>
      </c>
      <c r="C209" s="1822" t="s">
        <v>893</v>
      </c>
      <c r="D209" s="1822"/>
      <c r="E209" s="1822"/>
      <c r="F209" s="562" t="s">
        <v>322</v>
      </c>
      <c r="G209" s="562" t="s">
        <v>894</v>
      </c>
      <c r="H209" s="562"/>
      <c r="I209" s="562" t="s">
        <v>894</v>
      </c>
      <c r="J209" s="604"/>
      <c r="K209" s="562"/>
      <c r="L209" s="604">
        <v>24.13</v>
      </c>
      <c r="M209" s="603"/>
      <c r="N209" s="602"/>
      <c r="V209" s="674"/>
      <c r="W209" s="675"/>
      <c r="AA209" s="680"/>
      <c r="AB209" s="537" t="s">
        <v>893</v>
      </c>
      <c r="AD209" s="675"/>
      <c r="AE209" s="675"/>
      <c r="AG209" s="675"/>
    </row>
    <row r="210" spans="1:33" s="536" customFormat="1" ht="45" x14ac:dyDescent="0.2">
      <c r="A210" s="605"/>
      <c r="B210" s="552" t="s">
        <v>895</v>
      </c>
      <c r="C210" s="1822" t="s">
        <v>896</v>
      </c>
      <c r="D210" s="1822"/>
      <c r="E210" s="1822"/>
      <c r="F210" s="562" t="s">
        <v>322</v>
      </c>
      <c r="G210" s="562" t="s">
        <v>897</v>
      </c>
      <c r="H210" s="562"/>
      <c r="I210" s="562" t="s">
        <v>897</v>
      </c>
      <c r="J210" s="604"/>
      <c r="K210" s="562"/>
      <c r="L210" s="604">
        <v>14.36</v>
      </c>
      <c r="M210" s="603"/>
      <c r="N210" s="602"/>
      <c r="V210" s="674"/>
      <c r="W210" s="675"/>
      <c r="AA210" s="680"/>
      <c r="AB210" s="537" t="s">
        <v>896</v>
      </c>
      <c r="AD210" s="675"/>
      <c r="AE210" s="675"/>
      <c r="AG210" s="675"/>
    </row>
    <row r="211" spans="1:33" s="536" customFormat="1" ht="12" x14ac:dyDescent="0.2">
      <c r="A211" s="569"/>
      <c r="B211" s="656"/>
      <c r="C211" s="1823" t="s">
        <v>327</v>
      </c>
      <c r="D211" s="1823"/>
      <c r="E211" s="1823"/>
      <c r="F211" s="573"/>
      <c r="G211" s="573"/>
      <c r="H211" s="573"/>
      <c r="I211" s="573"/>
      <c r="J211" s="572"/>
      <c r="K211" s="573"/>
      <c r="L211" s="572">
        <v>110.89</v>
      </c>
      <c r="M211" s="601"/>
      <c r="N211" s="570"/>
      <c r="V211" s="674"/>
      <c r="W211" s="675"/>
      <c r="AA211" s="680"/>
      <c r="AD211" s="675" t="s">
        <v>327</v>
      </c>
      <c r="AE211" s="675"/>
      <c r="AG211" s="675"/>
    </row>
    <row r="212" spans="1:33" s="536" customFormat="1" ht="33.75" x14ac:dyDescent="0.2">
      <c r="A212" s="575" t="s">
        <v>1079</v>
      </c>
      <c r="B212" s="657" t="s">
        <v>2746</v>
      </c>
      <c r="C212" s="1823" t="s">
        <v>2747</v>
      </c>
      <c r="D212" s="1823"/>
      <c r="E212" s="1823"/>
      <c r="F212" s="573" t="s">
        <v>628</v>
      </c>
      <c r="G212" s="573"/>
      <c r="H212" s="573"/>
      <c r="I212" s="573" t="s">
        <v>185</v>
      </c>
      <c r="J212" s="572">
        <v>4908.75</v>
      </c>
      <c r="K212" s="573" t="s">
        <v>716</v>
      </c>
      <c r="L212" s="572">
        <v>601.79999999999995</v>
      </c>
      <c r="M212" s="571">
        <v>8.32</v>
      </c>
      <c r="N212" s="570">
        <v>5007</v>
      </c>
      <c r="V212" s="674"/>
      <c r="W212" s="675" t="s">
        <v>2747</v>
      </c>
      <c r="AA212" s="680"/>
      <c r="AD212" s="675"/>
      <c r="AE212" s="675"/>
      <c r="AG212" s="675"/>
    </row>
    <row r="213" spans="1:33" s="536" customFormat="1" ht="12" x14ac:dyDescent="0.2">
      <c r="A213" s="569"/>
      <c r="B213" s="656"/>
      <c r="C213" s="661" t="s">
        <v>717</v>
      </c>
      <c r="D213" s="662"/>
      <c r="E213" s="662"/>
      <c r="F213" s="563"/>
      <c r="G213" s="563"/>
      <c r="H213" s="563"/>
      <c r="I213" s="563"/>
      <c r="J213" s="566"/>
      <c r="K213" s="563"/>
      <c r="L213" s="566"/>
      <c r="M213" s="565"/>
      <c r="N213" s="564"/>
      <c r="V213" s="674"/>
      <c r="W213" s="675"/>
      <c r="AA213" s="680"/>
      <c r="AD213" s="675"/>
      <c r="AE213" s="675"/>
      <c r="AG213" s="675"/>
    </row>
    <row r="214" spans="1:33" s="536" customFormat="1" ht="22.5" x14ac:dyDescent="0.2">
      <c r="A214" s="609"/>
      <c r="B214" s="552" t="s">
        <v>718</v>
      </c>
      <c r="C214" s="1822" t="s">
        <v>719</v>
      </c>
      <c r="D214" s="1822"/>
      <c r="E214" s="1822"/>
      <c r="F214" s="1822"/>
      <c r="G214" s="1822"/>
      <c r="H214" s="1822"/>
      <c r="I214" s="1822"/>
      <c r="J214" s="1822"/>
      <c r="K214" s="1822"/>
      <c r="L214" s="1822"/>
      <c r="M214" s="1822"/>
      <c r="N214" s="1827"/>
      <c r="V214" s="674"/>
      <c r="W214" s="675"/>
      <c r="Y214" s="537" t="s">
        <v>719</v>
      </c>
      <c r="AA214" s="680"/>
      <c r="AD214" s="675"/>
      <c r="AE214" s="675"/>
      <c r="AG214" s="675"/>
    </row>
    <row r="215" spans="1:33" s="536" customFormat="1" ht="1.5" customHeight="1" x14ac:dyDescent="0.2">
      <c r="A215" s="563"/>
      <c r="B215" s="656"/>
      <c r="C215" s="656"/>
      <c r="D215" s="656"/>
      <c r="E215" s="656"/>
      <c r="F215" s="563"/>
      <c r="G215" s="563"/>
      <c r="H215" s="563"/>
      <c r="I215" s="563"/>
      <c r="J215" s="546"/>
      <c r="K215" s="563"/>
      <c r="L215" s="546"/>
      <c r="M215" s="562"/>
      <c r="N215" s="546"/>
      <c r="V215" s="674"/>
      <c r="W215" s="675"/>
      <c r="AA215" s="680"/>
      <c r="AD215" s="675"/>
      <c r="AE215" s="675"/>
      <c r="AG215" s="675"/>
    </row>
    <row r="216" spans="1:33" s="536" customFormat="1" ht="12" x14ac:dyDescent="0.2">
      <c r="A216" s="557"/>
      <c r="B216" s="556"/>
      <c r="C216" s="1823" t="s">
        <v>2748</v>
      </c>
      <c r="D216" s="1823"/>
      <c r="E216" s="1823"/>
      <c r="F216" s="1823"/>
      <c r="G216" s="1823"/>
      <c r="H216" s="1823"/>
      <c r="I216" s="1823"/>
      <c r="J216" s="1823"/>
      <c r="K216" s="1823"/>
      <c r="L216" s="555"/>
      <c r="M216" s="554"/>
      <c r="N216" s="553"/>
      <c r="V216" s="674"/>
      <c r="W216" s="675"/>
      <c r="AA216" s="680"/>
      <c r="AD216" s="675"/>
      <c r="AE216" s="675" t="s">
        <v>2748</v>
      </c>
      <c r="AG216" s="675"/>
    </row>
    <row r="217" spans="1:33" s="536" customFormat="1" ht="12" x14ac:dyDescent="0.2">
      <c r="A217" s="548"/>
      <c r="B217" s="552"/>
      <c r="C217" s="1822" t="s">
        <v>403</v>
      </c>
      <c r="D217" s="1822"/>
      <c r="E217" s="1822"/>
      <c r="F217" s="1822"/>
      <c r="G217" s="1822"/>
      <c r="H217" s="1822"/>
      <c r="I217" s="1822"/>
      <c r="J217" s="1822"/>
      <c r="K217" s="1822"/>
      <c r="L217" s="551">
        <v>3866.5</v>
      </c>
      <c r="M217" s="550"/>
      <c r="N217" s="549"/>
      <c r="V217" s="674"/>
      <c r="W217" s="675"/>
      <c r="AA217" s="680"/>
      <c r="AD217" s="675"/>
      <c r="AE217" s="675"/>
      <c r="AF217" s="537" t="s">
        <v>403</v>
      </c>
      <c r="AG217" s="675"/>
    </row>
    <row r="218" spans="1:33" s="536" customFormat="1" ht="12" x14ac:dyDescent="0.2">
      <c r="A218" s="548"/>
      <c r="B218" s="552"/>
      <c r="C218" s="1822" t="s">
        <v>204</v>
      </c>
      <c r="D218" s="1822"/>
      <c r="E218" s="1822"/>
      <c r="F218" s="1822"/>
      <c r="G218" s="1822"/>
      <c r="H218" s="1822"/>
      <c r="I218" s="1822"/>
      <c r="J218" s="1822"/>
      <c r="K218" s="1822"/>
      <c r="L218" s="551"/>
      <c r="M218" s="550"/>
      <c r="N218" s="549"/>
      <c r="V218" s="674"/>
      <c r="W218" s="675"/>
      <c r="AA218" s="680"/>
      <c r="AD218" s="675"/>
      <c r="AE218" s="675"/>
      <c r="AF218" s="537" t="s">
        <v>204</v>
      </c>
      <c r="AG218" s="675"/>
    </row>
    <row r="219" spans="1:33" s="536" customFormat="1" ht="12" x14ac:dyDescent="0.2">
      <c r="A219" s="548"/>
      <c r="B219" s="552"/>
      <c r="C219" s="1822" t="s">
        <v>404</v>
      </c>
      <c r="D219" s="1822"/>
      <c r="E219" s="1822"/>
      <c r="F219" s="1822"/>
      <c r="G219" s="1822"/>
      <c r="H219" s="1822"/>
      <c r="I219" s="1822"/>
      <c r="J219" s="1822"/>
      <c r="K219" s="1822"/>
      <c r="L219" s="551">
        <v>127.03</v>
      </c>
      <c r="M219" s="550"/>
      <c r="N219" s="549"/>
      <c r="V219" s="674"/>
      <c r="W219" s="675"/>
      <c r="AA219" s="680"/>
      <c r="AD219" s="675"/>
      <c r="AE219" s="675"/>
      <c r="AF219" s="537" t="s">
        <v>404</v>
      </c>
      <c r="AG219" s="675"/>
    </row>
    <row r="220" spans="1:33" s="536" customFormat="1" ht="12" x14ac:dyDescent="0.2">
      <c r="A220" s="548"/>
      <c r="B220" s="552"/>
      <c r="C220" s="1822" t="s">
        <v>405</v>
      </c>
      <c r="D220" s="1822"/>
      <c r="E220" s="1822"/>
      <c r="F220" s="1822"/>
      <c r="G220" s="1822"/>
      <c r="H220" s="1822"/>
      <c r="I220" s="1822"/>
      <c r="J220" s="1822"/>
      <c r="K220" s="1822"/>
      <c r="L220" s="551">
        <v>23.1</v>
      </c>
      <c r="M220" s="550"/>
      <c r="N220" s="549"/>
      <c r="V220" s="674"/>
      <c r="W220" s="675"/>
      <c r="AA220" s="680"/>
      <c r="AD220" s="675"/>
      <c r="AE220" s="675"/>
      <c r="AF220" s="537" t="s">
        <v>405</v>
      </c>
      <c r="AG220" s="675"/>
    </row>
    <row r="221" spans="1:33" s="536" customFormat="1" ht="12" x14ac:dyDescent="0.2">
      <c r="A221" s="548"/>
      <c r="B221" s="552"/>
      <c r="C221" s="1822" t="s">
        <v>406</v>
      </c>
      <c r="D221" s="1822"/>
      <c r="E221" s="1822"/>
      <c r="F221" s="1822"/>
      <c r="G221" s="1822"/>
      <c r="H221" s="1822"/>
      <c r="I221" s="1822"/>
      <c r="J221" s="1822"/>
      <c r="K221" s="1822"/>
      <c r="L221" s="551">
        <v>5.58</v>
      </c>
      <c r="M221" s="550"/>
      <c r="N221" s="549"/>
      <c r="V221" s="674"/>
      <c r="W221" s="675"/>
      <c r="AA221" s="680"/>
      <c r="AD221" s="675"/>
      <c r="AE221" s="675"/>
      <c r="AF221" s="537" t="s">
        <v>406</v>
      </c>
      <c r="AG221" s="675"/>
    </row>
    <row r="222" spans="1:33" s="536" customFormat="1" ht="12" x14ac:dyDescent="0.2">
      <c r="A222" s="548"/>
      <c r="B222" s="552"/>
      <c r="C222" s="1822" t="s">
        <v>480</v>
      </c>
      <c r="D222" s="1822"/>
      <c r="E222" s="1822"/>
      <c r="F222" s="1822"/>
      <c r="G222" s="1822"/>
      <c r="H222" s="1822"/>
      <c r="I222" s="1822"/>
      <c r="J222" s="1822"/>
      <c r="K222" s="1822"/>
      <c r="L222" s="551">
        <v>3716.37</v>
      </c>
      <c r="M222" s="550"/>
      <c r="N222" s="549"/>
      <c r="V222" s="674"/>
      <c r="W222" s="675"/>
      <c r="AA222" s="680"/>
      <c r="AD222" s="675"/>
      <c r="AE222" s="675"/>
      <c r="AF222" s="537" t="s">
        <v>480</v>
      </c>
      <c r="AG222" s="675"/>
    </row>
    <row r="223" spans="1:33" s="536" customFormat="1" ht="12" x14ac:dyDescent="0.2">
      <c r="A223" s="548"/>
      <c r="B223" s="552"/>
      <c r="C223" s="1822" t="s">
        <v>407</v>
      </c>
      <c r="D223" s="1822"/>
      <c r="E223" s="1822"/>
      <c r="F223" s="1822"/>
      <c r="G223" s="1822"/>
      <c r="H223" s="1822"/>
      <c r="I223" s="1822"/>
      <c r="J223" s="1822"/>
      <c r="K223" s="1822"/>
      <c r="L223" s="551">
        <v>4122.4399999999996</v>
      </c>
      <c r="M223" s="550"/>
      <c r="N223" s="549"/>
      <c r="V223" s="674"/>
      <c r="W223" s="675"/>
      <c r="AA223" s="680"/>
      <c r="AD223" s="675"/>
      <c r="AE223" s="675"/>
      <c r="AF223" s="537" t="s">
        <v>407</v>
      </c>
      <c r="AG223" s="675"/>
    </row>
    <row r="224" spans="1:33" s="536" customFormat="1" ht="12" x14ac:dyDescent="0.2">
      <c r="A224" s="548"/>
      <c r="B224" s="552"/>
      <c r="C224" s="1822" t="s">
        <v>204</v>
      </c>
      <c r="D224" s="1822"/>
      <c r="E224" s="1822"/>
      <c r="F224" s="1822"/>
      <c r="G224" s="1822"/>
      <c r="H224" s="1822"/>
      <c r="I224" s="1822"/>
      <c r="J224" s="1822"/>
      <c r="K224" s="1822"/>
      <c r="L224" s="551"/>
      <c r="M224" s="550"/>
      <c r="N224" s="549"/>
      <c r="V224" s="674"/>
      <c r="W224" s="675"/>
      <c r="AA224" s="680"/>
      <c r="AD224" s="675"/>
      <c r="AE224" s="675"/>
      <c r="AF224" s="537" t="s">
        <v>204</v>
      </c>
      <c r="AG224" s="675"/>
    </row>
    <row r="225" spans="1:33" s="536" customFormat="1" ht="12" x14ac:dyDescent="0.2">
      <c r="A225" s="548"/>
      <c r="B225" s="552"/>
      <c r="C225" s="1822" t="s">
        <v>546</v>
      </c>
      <c r="D225" s="1822"/>
      <c r="E225" s="1822"/>
      <c r="F225" s="1822"/>
      <c r="G225" s="1822"/>
      <c r="H225" s="1822"/>
      <c r="I225" s="1822"/>
      <c r="J225" s="1822"/>
      <c r="K225" s="1822"/>
      <c r="L225" s="551">
        <v>127.03</v>
      </c>
      <c r="M225" s="550"/>
      <c r="N225" s="549"/>
      <c r="V225" s="674"/>
      <c r="W225" s="675"/>
      <c r="AA225" s="680"/>
      <c r="AD225" s="675"/>
      <c r="AE225" s="675"/>
      <c r="AF225" s="537" t="s">
        <v>546</v>
      </c>
      <c r="AG225" s="675"/>
    </row>
    <row r="226" spans="1:33" s="536" customFormat="1" ht="12" x14ac:dyDescent="0.2">
      <c r="A226" s="548"/>
      <c r="B226" s="552"/>
      <c r="C226" s="1822" t="s">
        <v>442</v>
      </c>
      <c r="D226" s="1822"/>
      <c r="E226" s="1822"/>
      <c r="F226" s="1822"/>
      <c r="G226" s="1822"/>
      <c r="H226" s="1822"/>
      <c r="I226" s="1822"/>
      <c r="J226" s="1822"/>
      <c r="K226" s="1822"/>
      <c r="L226" s="551">
        <v>23.1</v>
      </c>
      <c r="M226" s="550"/>
      <c r="N226" s="549"/>
      <c r="V226" s="674"/>
      <c r="W226" s="675"/>
      <c r="AA226" s="680"/>
      <c r="AD226" s="675"/>
      <c r="AE226" s="675"/>
      <c r="AF226" s="537" t="s">
        <v>442</v>
      </c>
      <c r="AG226" s="675"/>
    </row>
    <row r="227" spans="1:33" s="536" customFormat="1" ht="12" x14ac:dyDescent="0.2">
      <c r="A227" s="548"/>
      <c r="B227" s="552"/>
      <c r="C227" s="1822" t="s">
        <v>547</v>
      </c>
      <c r="D227" s="1822"/>
      <c r="E227" s="1822"/>
      <c r="F227" s="1822"/>
      <c r="G227" s="1822"/>
      <c r="H227" s="1822"/>
      <c r="I227" s="1822"/>
      <c r="J227" s="1822"/>
      <c r="K227" s="1822"/>
      <c r="L227" s="551">
        <v>3716.37</v>
      </c>
      <c r="M227" s="550"/>
      <c r="N227" s="549"/>
      <c r="V227" s="674"/>
      <c r="W227" s="675"/>
      <c r="AA227" s="680"/>
      <c r="AD227" s="675"/>
      <c r="AE227" s="675"/>
      <c r="AF227" s="537" t="s">
        <v>547</v>
      </c>
      <c r="AG227" s="675"/>
    </row>
    <row r="228" spans="1:33" s="536" customFormat="1" ht="12" x14ac:dyDescent="0.2">
      <c r="A228" s="548"/>
      <c r="B228" s="552"/>
      <c r="C228" s="1822" t="s">
        <v>443</v>
      </c>
      <c r="D228" s="1822"/>
      <c r="E228" s="1822"/>
      <c r="F228" s="1822"/>
      <c r="G228" s="1822"/>
      <c r="H228" s="1822"/>
      <c r="I228" s="1822"/>
      <c r="J228" s="1822"/>
      <c r="K228" s="1822"/>
      <c r="L228" s="551">
        <v>160.46</v>
      </c>
      <c r="M228" s="550"/>
      <c r="N228" s="549"/>
      <c r="V228" s="674"/>
      <c r="W228" s="675"/>
      <c r="AA228" s="680"/>
      <c r="AD228" s="675"/>
      <c r="AE228" s="675"/>
      <c r="AF228" s="537" t="s">
        <v>443</v>
      </c>
      <c r="AG228" s="675"/>
    </row>
    <row r="229" spans="1:33" s="536" customFormat="1" ht="12" x14ac:dyDescent="0.2">
      <c r="A229" s="548"/>
      <c r="B229" s="552"/>
      <c r="C229" s="1822" t="s">
        <v>444</v>
      </c>
      <c r="D229" s="1822"/>
      <c r="E229" s="1822"/>
      <c r="F229" s="1822"/>
      <c r="G229" s="1822"/>
      <c r="H229" s="1822"/>
      <c r="I229" s="1822"/>
      <c r="J229" s="1822"/>
      <c r="K229" s="1822"/>
      <c r="L229" s="551">
        <v>95.48</v>
      </c>
      <c r="M229" s="550"/>
      <c r="N229" s="549"/>
      <c r="V229" s="674"/>
      <c r="W229" s="675"/>
      <c r="AA229" s="680"/>
      <c r="AD229" s="675"/>
      <c r="AE229" s="675"/>
      <c r="AF229" s="537" t="s">
        <v>444</v>
      </c>
      <c r="AG229" s="675"/>
    </row>
    <row r="230" spans="1:33" s="536" customFormat="1" ht="12" x14ac:dyDescent="0.2">
      <c r="A230" s="548"/>
      <c r="B230" s="552"/>
      <c r="C230" s="1822" t="s">
        <v>415</v>
      </c>
      <c r="D230" s="1822"/>
      <c r="E230" s="1822"/>
      <c r="F230" s="1822"/>
      <c r="G230" s="1822"/>
      <c r="H230" s="1822"/>
      <c r="I230" s="1822"/>
      <c r="J230" s="1822"/>
      <c r="K230" s="1822"/>
      <c r="L230" s="551">
        <v>132.61000000000001</v>
      </c>
      <c r="M230" s="550"/>
      <c r="N230" s="549"/>
      <c r="V230" s="674"/>
      <c r="W230" s="675"/>
      <c r="AA230" s="680"/>
      <c r="AD230" s="675"/>
      <c r="AE230" s="675"/>
      <c r="AF230" s="537" t="s">
        <v>415</v>
      </c>
      <c r="AG230" s="675"/>
    </row>
    <row r="231" spans="1:33" s="536" customFormat="1" ht="12" x14ac:dyDescent="0.2">
      <c r="A231" s="548"/>
      <c r="B231" s="552"/>
      <c r="C231" s="1822" t="s">
        <v>416</v>
      </c>
      <c r="D231" s="1822"/>
      <c r="E231" s="1822"/>
      <c r="F231" s="1822"/>
      <c r="G231" s="1822"/>
      <c r="H231" s="1822"/>
      <c r="I231" s="1822"/>
      <c r="J231" s="1822"/>
      <c r="K231" s="1822"/>
      <c r="L231" s="551">
        <v>160.46</v>
      </c>
      <c r="M231" s="550"/>
      <c r="N231" s="549"/>
      <c r="V231" s="674"/>
      <c r="W231" s="675"/>
      <c r="AA231" s="680"/>
      <c r="AD231" s="675"/>
      <c r="AE231" s="675"/>
      <c r="AF231" s="537" t="s">
        <v>416</v>
      </c>
      <c r="AG231" s="675"/>
    </row>
    <row r="232" spans="1:33" s="536" customFormat="1" ht="12" x14ac:dyDescent="0.2">
      <c r="A232" s="548"/>
      <c r="B232" s="552"/>
      <c r="C232" s="1822" t="s">
        <v>417</v>
      </c>
      <c r="D232" s="1822"/>
      <c r="E232" s="1822"/>
      <c r="F232" s="1822"/>
      <c r="G232" s="1822"/>
      <c r="H232" s="1822"/>
      <c r="I232" s="1822"/>
      <c r="J232" s="1822"/>
      <c r="K232" s="1822"/>
      <c r="L232" s="551">
        <v>95.48</v>
      </c>
      <c r="M232" s="550"/>
      <c r="N232" s="549"/>
      <c r="V232" s="674"/>
      <c r="W232" s="675"/>
      <c r="AA232" s="680"/>
      <c r="AD232" s="675"/>
      <c r="AE232" s="675"/>
      <c r="AF232" s="537" t="s">
        <v>417</v>
      </c>
      <c r="AG232" s="675"/>
    </row>
    <row r="233" spans="1:33" s="536" customFormat="1" ht="12" x14ac:dyDescent="0.2">
      <c r="A233" s="548"/>
      <c r="B233" s="546"/>
      <c r="C233" s="1819" t="s">
        <v>2749</v>
      </c>
      <c r="D233" s="1819"/>
      <c r="E233" s="1819"/>
      <c r="F233" s="1819"/>
      <c r="G233" s="1819"/>
      <c r="H233" s="1819"/>
      <c r="I233" s="1819"/>
      <c r="J233" s="1819"/>
      <c r="K233" s="1819"/>
      <c r="L233" s="544">
        <v>4122.4399999999996</v>
      </c>
      <c r="M233" s="543"/>
      <c r="N233" s="681"/>
      <c r="V233" s="674"/>
      <c r="W233" s="675"/>
      <c r="AA233" s="680"/>
      <c r="AD233" s="675"/>
      <c r="AE233" s="675"/>
      <c r="AG233" s="675" t="s">
        <v>2749</v>
      </c>
    </row>
    <row r="234" spans="1:33" s="536" customFormat="1" ht="12" x14ac:dyDescent="0.2">
      <c r="A234" s="548"/>
      <c r="B234" s="552"/>
      <c r="C234" s="1822" t="s">
        <v>204</v>
      </c>
      <c r="D234" s="1822"/>
      <c r="E234" s="1822"/>
      <c r="F234" s="1822"/>
      <c r="G234" s="1822"/>
      <c r="H234" s="1822"/>
      <c r="I234" s="1822"/>
      <c r="J234" s="1822"/>
      <c r="K234" s="1822"/>
      <c r="L234" s="551"/>
      <c r="M234" s="550"/>
      <c r="N234" s="549"/>
      <c r="V234" s="674"/>
      <c r="W234" s="675"/>
      <c r="AA234" s="680"/>
      <c r="AD234" s="675"/>
      <c r="AE234" s="675"/>
      <c r="AF234" s="537" t="s">
        <v>204</v>
      </c>
      <c r="AG234" s="675"/>
    </row>
    <row r="235" spans="1:33" s="536" customFormat="1" ht="12" x14ac:dyDescent="0.2">
      <c r="A235" s="548"/>
      <c r="B235" s="552"/>
      <c r="C235" s="1822" t="s">
        <v>8095</v>
      </c>
      <c r="D235" s="1822"/>
      <c r="E235" s="1822"/>
      <c r="F235" s="1822"/>
      <c r="G235" s="1822"/>
      <c r="H235" s="1822"/>
      <c r="I235" s="1822"/>
      <c r="J235" s="1822"/>
      <c r="K235" s="1822"/>
      <c r="L235" s="551">
        <v>3444.95</v>
      </c>
      <c r="M235" s="550"/>
      <c r="N235" s="549"/>
      <c r="V235" s="674"/>
      <c r="W235" s="675"/>
      <c r="AA235" s="680"/>
      <c r="AD235" s="675"/>
      <c r="AE235" s="675"/>
      <c r="AF235" s="537" t="s">
        <v>8095</v>
      </c>
      <c r="AG235" s="675"/>
    </row>
    <row r="236" spans="1:33" s="536" customFormat="1" ht="12" x14ac:dyDescent="0.2">
      <c r="A236" s="1824" t="s">
        <v>1124</v>
      </c>
      <c r="B236" s="1825"/>
      <c r="C236" s="1825"/>
      <c r="D236" s="1825"/>
      <c r="E236" s="1825"/>
      <c r="F236" s="1825"/>
      <c r="G236" s="1825"/>
      <c r="H236" s="1825"/>
      <c r="I236" s="1825"/>
      <c r="J236" s="1825"/>
      <c r="K236" s="1825"/>
      <c r="L236" s="1825"/>
      <c r="M236" s="1825"/>
      <c r="N236" s="1826"/>
      <c r="V236" s="674" t="s">
        <v>1124</v>
      </c>
      <c r="W236" s="675"/>
      <c r="AA236" s="680"/>
      <c r="AD236" s="675"/>
      <c r="AE236" s="675"/>
      <c r="AG236" s="675"/>
    </row>
    <row r="237" spans="1:33" s="536" customFormat="1" ht="67.5" x14ac:dyDescent="0.2">
      <c r="A237" s="575" t="s">
        <v>759</v>
      </c>
      <c r="B237" s="657" t="s">
        <v>1616</v>
      </c>
      <c r="C237" s="1823" t="s">
        <v>2630</v>
      </c>
      <c r="D237" s="1823"/>
      <c r="E237" s="1823"/>
      <c r="F237" s="573" t="s">
        <v>201</v>
      </c>
      <c r="G237" s="573"/>
      <c r="H237" s="573"/>
      <c r="I237" s="573" t="s">
        <v>2750</v>
      </c>
      <c r="J237" s="572">
        <v>90.45</v>
      </c>
      <c r="K237" s="573"/>
      <c r="L237" s="572">
        <v>5.7</v>
      </c>
      <c r="M237" s="571"/>
      <c r="N237" s="570"/>
      <c r="V237" s="674"/>
      <c r="W237" s="675" t="s">
        <v>2630</v>
      </c>
      <c r="AA237" s="680"/>
      <c r="AD237" s="675"/>
      <c r="AE237" s="675"/>
      <c r="AG237" s="675"/>
    </row>
    <row r="238" spans="1:33" s="536" customFormat="1" ht="12" x14ac:dyDescent="0.2">
      <c r="A238" s="569"/>
      <c r="B238" s="656"/>
      <c r="C238" s="661" t="s">
        <v>717</v>
      </c>
      <c r="D238" s="662"/>
      <c r="E238" s="662"/>
      <c r="F238" s="563"/>
      <c r="G238" s="563"/>
      <c r="H238" s="563"/>
      <c r="I238" s="563"/>
      <c r="J238" s="566"/>
      <c r="K238" s="563"/>
      <c r="L238" s="566"/>
      <c r="M238" s="565"/>
      <c r="N238" s="564"/>
      <c r="V238" s="674"/>
      <c r="W238" s="675"/>
      <c r="AA238" s="680"/>
      <c r="AD238" s="675"/>
      <c r="AE238" s="675"/>
      <c r="AG238" s="675"/>
    </row>
    <row r="239" spans="1:33" s="536" customFormat="1" ht="12" x14ac:dyDescent="0.2">
      <c r="A239" s="676"/>
      <c r="B239" s="655"/>
      <c r="C239" s="1822" t="s">
        <v>2751</v>
      </c>
      <c r="D239" s="1822"/>
      <c r="E239" s="1822"/>
      <c r="F239" s="1822"/>
      <c r="G239" s="1822"/>
      <c r="H239" s="1822"/>
      <c r="I239" s="1822"/>
      <c r="J239" s="1822"/>
      <c r="K239" s="1822"/>
      <c r="L239" s="1822"/>
      <c r="M239" s="1822"/>
      <c r="N239" s="1827"/>
      <c r="V239" s="674"/>
      <c r="W239" s="675"/>
      <c r="X239" s="537" t="s">
        <v>2751</v>
      </c>
      <c r="AA239" s="680"/>
      <c r="AD239" s="675"/>
      <c r="AE239" s="675"/>
      <c r="AG239" s="675"/>
    </row>
    <row r="240" spans="1:33" s="536" customFormat="1" ht="67.5" x14ac:dyDescent="0.2">
      <c r="A240" s="575" t="s">
        <v>917</v>
      </c>
      <c r="B240" s="657" t="s">
        <v>1497</v>
      </c>
      <c r="C240" s="1823" t="s">
        <v>2633</v>
      </c>
      <c r="D240" s="1823"/>
      <c r="E240" s="1823"/>
      <c r="F240" s="573" t="s">
        <v>201</v>
      </c>
      <c r="G240" s="573"/>
      <c r="H240" s="573"/>
      <c r="I240" s="573" t="s">
        <v>2250</v>
      </c>
      <c r="J240" s="572">
        <v>76.88</v>
      </c>
      <c r="K240" s="573"/>
      <c r="L240" s="572">
        <v>0.92</v>
      </c>
      <c r="M240" s="571"/>
      <c r="N240" s="570"/>
      <c r="V240" s="674"/>
      <c r="W240" s="675" t="s">
        <v>2633</v>
      </c>
      <c r="AA240" s="680"/>
      <c r="AD240" s="675"/>
      <c r="AE240" s="675"/>
      <c r="AG240" s="675"/>
    </row>
    <row r="241" spans="1:35" s="536" customFormat="1" ht="12" x14ac:dyDescent="0.2">
      <c r="A241" s="569"/>
      <c r="B241" s="656"/>
      <c r="C241" s="661" t="s">
        <v>717</v>
      </c>
      <c r="D241" s="662"/>
      <c r="E241" s="662"/>
      <c r="F241" s="563"/>
      <c r="G241" s="563"/>
      <c r="H241" s="563"/>
      <c r="I241" s="563"/>
      <c r="J241" s="566"/>
      <c r="K241" s="563"/>
      <c r="L241" s="566"/>
      <c r="M241" s="565"/>
      <c r="N241" s="564"/>
      <c r="V241" s="674"/>
      <c r="W241" s="675"/>
      <c r="AA241" s="680"/>
      <c r="AD241" s="675"/>
      <c r="AE241" s="675"/>
      <c r="AG241" s="675"/>
    </row>
    <row r="242" spans="1:35" s="536" customFormat="1" ht="12" x14ac:dyDescent="0.2">
      <c r="A242" s="676"/>
      <c r="B242" s="655"/>
      <c r="C242" s="1822" t="s">
        <v>2752</v>
      </c>
      <c r="D242" s="1822"/>
      <c r="E242" s="1822"/>
      <c r="F242" s="1822"/>
      <c r="G242" s="1822"/>
      <c r="H242" s="1822"/>
      <c r="I242" s="1822"/>
      <c r="J242" s="1822"/>
      <c r="K242" s="1822"/>
      <c r="L242" s="1822"/>
      <c r="M242" s="1822"/>
      <c r="N242" s="1827"/>
      <c r="V242" s="674"/>
      <c r="W242" s="675"/>
      <c r="X242" s="537" t="s">
        <v>2752</v>
      </c>
      <c r="AA242" s="680"/>
      <c r="AD242" s="675"/>
      <c r="AE242" s="675"/>
      <c r="AG242" s="675"/>
    </row>
    <row r="243" spans="1:35" s="536" customFormat="1" ht="1.5" customHeight="1" x14ac:dyDescent="0.2">
      <c r="A243" s="563"/>
      <c r="B243" s="656"/>
      <c r="C243" s="656"/>
      <c r="D243" s="656"/>
      <c r="E243" s="656"/>
      <c r="F243" s="563"/>
      <c r="G243" s="563"/>
      <c r="H243" s="563"/>
      <c r="I243" s="563"/>
      <c r="J243" s="546"/>
      <c r="K243" s="563"/>
      <c r="L243" s="546"/>
      <c r="M243" s="562"/>
      <c r="N243" s="546"/>
      <c r="V243" s="674"/>
      <c r="W243" s="675"/>
      <c r="AA243" s="680"/>
      <c r="AD243" s="675"/>
      <c r="AE243" s="675"/>
      <c r="AG243" s="675"/>
    </row>
    <row r="244" spans="1:35" s="536" customFormat="1" ht="22.5" x14ac:dyDescent="0.2">
      <c r="A244" s="557"/>
      <c r="B244" s="556"/>
      <c r="C244" s="1823" t="s">
        <v>1138</v>
      </c>
      <c r="D244" s="1823"/>
      <c r="E244" s="1823"/>
      <c r="F244" s="1823"/>
      <c r="G244" s="1823"/>
      <c r="H244" s="1823"/>
      <c r="I244" s="1823"/>
      <c r="J244" s="1823"/>
      <c r="K244" s="1823"/>
      <c r="L244" s="555"/>
      <c r="M244" s="554"/>
      <c r="N244" s="553"/>
      <c r="V244" s="674"/>
      <c r="W244" s="675"/>
      <c r="AA244" s="680"/>
      <c r="AD244" s="675"/>
      <c r="AE244" s="675" t="s">
        <v>1138</v>
      </c>
      <c r="AG244" s="675"/>
    </row>
    <row r="245" spans="1:35" s="536" customFormat="1" ht="12" x14ac:dyDescent="0.2">
      <c r="A245" s="548"/>
      <c r="B245" s="552"/>
      <c r="C245" s="1822" t="s">
        <v>403</v>
      </c>
      <c r="D245" s="1822"/>
      <c r="E245" s="1822"/>
      <c r="F245" s="1822"/>
      <c r="G245" s="1822"/>
      <c r="H245" s="1822"/>
      <c r="I245" s="1822"/>
      <c r="J245" s="1822"/>
      <c r="K245" s="1822"/>
      <c r="L245" s="551">
        <v>6.62</v>
      </c>
      <c r="M245" s="550"/>
      <c r="N245" s="549"/>
      <c r="V245" s="674"/>
      <c r="W245" s="675"/>
      <c r="AA245" s="680"/>
      <c r="AD245" s="675"/>
      <c r="AE245" s="675"/>
      <c r="AF245" s="537" t="s">
        <v>403</v>
      </c>
      <c r="AG245" s="675"/>
    </row>
    <row r="246" spans="1:35" s="536" customFormat="1" ht="12" x14ac:dyDescent="0.2">
      <c r="A246" s="548"/>
      <c r="B246" s="552"/>
      <c r="C246" s="1822" t="s">
        <v>204</v>
      </c>
      <c r="D246" s="1822"/>
      <c r="E246" s="1822"/>
      <c r="F246" s="1822"/>
      <c r="G246" s="1822"/>
      <c r="H246" s="1822"/>
      <c r="I246" s="1822"/>
      <c r="J246" s="1822"/>
      <c r="K246" s="1822"/>
      <c r="L246" s="551"/>
      <c r="M246" s="550"/>
      <c r="N246" s="549"/>
      <c r="V246" s="674"/>
      <c r="W246" s="675"/>
      <c r="AA246" s="680"/>
      <c r="AD246" s="675"/>
      <c r="AE246" s="675"/>
      <c r="AF246" s="537" t="s">
        <v>204</v>
      </c>
      <c r="AG246" s="675"/>
    </row>
    <row r="247" spans="1:35" s="536" customFormat="1" ht="12" x14ac:dyDescent="0.2">
      <c r="A247" s="548"/>
      <c r="B247" s="552"/>
      <c r="C247" s="1822" t="s">
        <v>480</v>
      </c>
      <c r="D247" s="1822"/>
      <c r="E247" s="1822"/>
      <c r="F247" s="1822"/>
      <c r="G247" s="1822"/>
      <c r="H247" s="1822"/>
      <c r="I247" s="1822"/>
      <c r="J247" s="1822"/>
      <c r="K247" s="1822"/>
      <c r="L247" s="551">
        <v>6.62</v>
      </c>
      <c r="M247" s="550"/>
      <c r="N247" s="549"/>
      <c r="V247" s="674"/>
      <c r="W247" s="675"/>
      <c r="AA247" s="680"/>
      <c r="AD247" s="675"/>
      <c r="AE247" s="675"/>
      <c r="AF247" s="537" t="s">
        <v>480</v>
      </c>
      <c r="AG247" s="675"/>
    </row>
    <row r="248" spans="1:35" s="536" customFormat="1" ht="12" x14ac:dyDescent="0.2">
      <c r="A248" s="548"/>
      <c r="B248" s="552"/>
      <c r="C248" s="1822" t="s">
        <v>407</v>
      </c>
      <c r="D248" s="1822"/>
      <c r="E248" s="1822"/>
      <c r="F248" s="1822"/>
      <c r="G248" s="1822"/>
      <c r="H248" s="1822"/>
      <c r="I248" s="1822"/>
      <c r="J248" s="1822"/>
      <c r="K248" s="1822"/>
      <c r="L248" s="551">
        <v>6.62</v>
      </c>
      <c r="M248" s="550"/>
      <c r="N248" s="549"/>
      <c r="V248" s="674"/>
      <c r="W248" s="675"/>
      <c r="AA248" s="680"/>
      <c r="AD248" s="675"/>
      <c r="AE248" s="675"/>
      <c r="AF248" s="537" t="s">
        <v>407</v>
      </c>
      <c r="AG248" s="675"/>
    </row>
    <row r="249" spans="1:35" s="536" customFormat="1" ht="12" x14ac:dyDescent="0.2">
      <c r="A249" s="548"/>
      <c r="B249" s="552"/>
      <c r="C249" s="1822" t="s">
        <v>204</v>
      </c>
      <c r="D249" s="1822"/>
      <c r="E249" s="1822"/>
      <c r="F249" s="1822"/>
      <c r="G249" s="1822"/>
      <c r="H249" s="1822"/>
      <c r="I249" s="1822"/>
      <c r="J249" s="1822"/>
      <c r="K249" s="1822"/>
      <c r="L249" s="551"/>
      <c r="M249" s="550"/>
      <c r="N249" s="549"/>
      <c r="V249" s="674"/>
      <c r="W249" s="675"/>
      <c r="AA249" s="680"/>
      <c r="AD249" s="675"/>
      <c r="AE249" s="675"/>
      <c r="AF249" s="537" t="s">
        <v>204</v>
      </c>
      <c r="AG249" s="675"/>
    </row>
    <row r="250" spans="1:35" s="536" customFormat="1" ht="12" x14ac:dyDescent="0.2">
      <c r="A250" s="548"/>
      <c r="B250" s="552"/>
      <c r="C250" s="1822" t="s">
        <v>547</v>
      </c>
      <c r="D250" s="1822"/>
      <c r="E250" s="1822"/>
      <c r="F250" s="1822"/>
      <c r="G250" s="1822"/>
      <c r="H250" s="1822"/>
      <c r="I250" s="1822"/>
      <c r="J250" s="1822"/>
      <c r="K250" s="1822"/>
      <c r="L250" s="551">
        <v>6.62</v>
      </c>
      <c r="M250" s="550"/>
      <c r="N250" s="549"/>
      <c r="V250" s="674"/>
      <c r="W250" s="675"/>
      <c r="AA250" s="680"/>
      <c r="AD250" s="675"/>
      <c r="AE250" s="675"/>
      <c r="AF250" s="537" t="s">
        <v>547</v>
      </c>
      <c r="AG250" s="675"/>
    </row>
    <row r="251" spans="1:35" s="536" customFormat="1" ht="22.5" x14ac:dyDescent="0.2">
      <c r="A251" s="548"/>
      <c r="B251" s="546"/>
      <c r="C251" s="1819" t="s">
        <v>1139</v>
      </c>
      <c r="D251" s="1819"/>
      <c r="E251" s="1819"/>
      <c r="F251" s="1819"/>
      <c r="G251" s="1819"/>
      <c r="H251" s="1819"/>
      <c r="I251" s="1819"/>
      <c r="J251" s="1819"/>
      <c r="K251" s="1819"/>
      <c r="L251" s="544">
        <v>6.62</v>
      </c>
      <c r="M251" s="543"/>
      <c r="N251" s="681"/>
      <c r="V251" s="674"/>
      <c r="W251" s="675"/>
      <c r="AA251" s="680"/>
      <c r="AD251" s="675"/>
      <c r="AE251" s="675"/>
      <c r="AG251" s="675" t="s">
        <v>1139</v>
      </c>
    </row>
    <row r="252" spans="1:35" s="536" customFormat="1" ht="2.25" customHeight="1" x14ac:dyDescent="0.2">
      <c r="B252" s="561"/>
      <c r="C252" s="561"/>
      <c r="D252" s="561"/>
      <c r="E252" s="561"/>
      <c r="F252" s="561"/>
      <c r="G252" s="561"/>
      <c r="H252" s="561"/>
      <c r="I252" s="561"/>
      <c r="J252" s="561"/>
      <c r="K252" s="561"/>
      <c r="L252" s="560"/>
      <c r="M252" s="559"/>
      <c r="N252" s="558"/>
    </row>
    <row r="253" spans="1:35" s="536" customFormat="1" x14ac:dyDescent="0.2">
      <c r="A253" s="557"/>
      <c r="B253" s="556"/>
      <c r="C253" s="1823" t="s">
        <v>205</v>
      </c>
      <c r="D253" s="1823"/>
      <c r="E253" s="1823"/>
      <c r="F253" s="1823"/>
      <c r="G253" s="1823"/>
      <c r="H253" s="1823"/>
      <c r="I253" s="1823"/>
      <c r="J253" s="1823"/>
      <c r="K253" s="1823"/>
      <c r="L253" s="555"/>
      <c r="M253" s="554"/>
      <c r="N253" s="553"/>
      <c r="AH253" s="675" t="s">
        <v>205</v>
      </c>
    </row>
    <row r="254" spans="1:35" s="536" customFormat="1" x14ac:dyDescent="0.2">
      <c r="A254" s="548"/>
      <c r="B254" s="552"/>
      <c r="C254" s="1822" t="s">
        <v>403</v>
      </c>
      <c r="D254" s="1822"/>
      <c r="E254" s="1822"/>
      <c r="F254" s="1822"/>
      <c r="G254" s="1822"/>
      <c r="H254" s="1822"/>
      <c r="I254" s="1822"/>
      <c r="J254" s="1822"/>
      <c r="K254" s="1822"/>
      <c r="L254" s="551">
        <v>7013.93</v>
      </c>
      <c r="M254" s="550"/>
      <c r="N254" s="549"/>
      <c r="AH254" s="675"/>
      <c r="AI254" s="537" t="s">
        <v>403</v>
      </c>
    </row>
    <row r="255" spans="1:35" s="536" customFormat="1" x14ac:dyDescent="0.2">
      <c r="A255" s="548"/>
      <c r="B255" s="552"/>
      <c r="C255" s="1822" t="s">
        <v>204</v>
      </c>
      <c r="D255" s="1822"/>
      <c r="E255" s="1822"/>
      <c r="F255" s="1822"/>
      <c r="G255" s="1822"/>
      <c r="H255" s="1822"/>
      <c r="I255" s="1822"/>
      <c r="J255" s="1822"/>
      <c r="K255" s="1822"/>
      <c r="L255" s="551"/>
      <c r="M255" s="550"/>
      <c r="N255" s="549"/>
      <c r="AH255" s="675"/>
      <c r="AI255" s="537" t="s">
        <v>204</v>
      </c>
    </row>
    <row r="256" spans="1:35" s="536" customFormat="1" x14ac:dyDescent="0.2">
      <c r="A256" s="548"/>
      <c r="B256" s="552"/>
      <c r="C256" s="1822" t="s">
        <v>404</v>
      </c>
      <c r="D256" s="1822"/>
      <c r="E256" s="1822"/>
      <c r="F256" s="1822"/>
      <c r="G256" s="1822"/>
      <c r="H256" s="1822"/>
      <c r="I256" s="1822"/>
      <c r="J256" s="1822"/>
      <c r="K256" s="1822"/>
      <c r="L256" s="551">
        <v>322.33</v>
      </c>
      <c r="M256" s="550"/>
      <c r="N256" s="549"/>
      <c r="AH256" s="675"/>
      <c r="AI256" s="537" t="s">
        <v>404</v>
      </c>
    </row>
    <row r="257" spans="1:36" x14ac:dyDescent="0.2">
      <c r="A257" s="548"/>
      <c r="B257" s="552"/>
      <c r="C257" s="1822" t="s">
        <v>405</v>
      </c>
      <c r="D257" s="1822"/>
      <c r="E257" s="1822"/>
      <c r="F257" s="1822"/>
      <c r="G257" s="1822"/>
      <c r="H257" s="1822"/>
      <c r="I257" s="1822"/>
      <c r="J257" s="1822"/>
      <c r="K257" s="1822"/>
      <c r="L257" s="551">
        <v>34.08</v>
      </c>
      <c r="M257" s="550"/>
      <c r="N257" s="549"/>
      <c r="P257" s="536"/>
      <c r="Q257" s="536"/>
      <c r="R257" s="536"/>
      <c r="S257" s="536"/>
      <c r="T257" s="536"/>
      <c r="U257" s="536"/>
      <c r="V257" s="536"/>
      <c r="W257" s="536"/>
      <c r="X257" s="536"/>
      <c r="Y257" s="536"/>
      <c r="Z257" s="536"/>
      <c r="AA257" s="536"/>
      <c r="AB257" s="536"/>
      <c r="AC257" s="536"/>
      <c r="AD257" s="536"/>
      <c r="AE257" s="536"/>
      <c r="AF257" s="536"/>
      <c r="AG257" s="536"/>
      <c r="AH257" s="675"/>
      <c r="AI257" s="537" t="s">
        <v>405</v>
      </c>
      <c r="AJ257" s="536"/>
    </row>
    <row r="258" spans="1:36" x14ac:dyDescent="0.2">
      <c r="A258" s="548"/>
      <c r="B258" s="552"/>
      <c r="C258" s="1822" t="s">
        <v>406</v>
      </c>
      <c r="D258" s="1822"/>
      <c r="E258" s="1822"/>
      <c r="F258" s="1822"/>
      <c r="G258" s="1822"/>
      <c r="H258" s="1822"/>
      <c r="I258" s="1822"/>
      <c r="J258" s="1822"/>
      <c r="K258" s="1822"/>
      <c r="L258" s="551">
        <v>7.21</v>
      </c>
      <c r="M258" s="550"/>
      <c r="N258" s="549"/>
      <c r="P258" s="536"/>
      <c r="Q258" s="536"/>
      <c r="R258" s="536"/>
      <c r="S258" s="536"/>
      <c r="T258" s="536"/>
      <c r="U258" s="536"/>
      <c r="V258" s="536"/>
      <c r="W258" s="536"/>
      <c r="X258" s="536"/>
      <c r="Y258" s="536"/>
      <c r="Z258" s="536"/>
      <c r="AA258" s="536"/>
      <c r="AB258" s="536"/>
      <c r="AC258" s="536"/>
      <c r="AD258" s="536"/>
      <c r="AE258" s="536"/>
      <c r="AF258" s="536"/>
      <c r="AG258" s="536"/>
      <c r="AH258" s="675"/>
      <c r="AI258" s="537" t="s">
        <v>406</v>
      </c>
      <c r="AJ258" s="536"/>
    </row>
    <row r="259" spans="1:36" x14ac:dyDescent="0.2">
      <c r="A259" s="548"/>
      <c r="B259" s="552"/>
      <c r="C259" s="1822" t="s">
        <v>480</v>
      </c>
      <c r="D259" s="1822"/>
      <c r="E259" s="1822"/>
      <c r="F259" s="1822"/>
      <c r="G259" s="1822"/>
      <c r="H259" s="1822"/>
      <c r="I259" s="1822"/>
      <c r="J259" s="1822"/>
      <c r="K259" s="1822"/>
      <c r="L259" s="551">
        <v>6657.52</v>
      </c>
      <c r="M259" s="550"/>
      <c r="N259" s="549"/>
      <c r="P259" s="536"/>
      <c r="Q259" s="536"/>
      <c r="R259" s="536"/>
      <c r="S259" s="536"/>
      <c r="T259" s="536"/>
      <c r="U259" s="536"/>
      <c r="V259" s="536"/>
      <c r="W259" s="536"/>
      <c r="X259" s="536"/>
      <c r="Y259" s="536"/>
      <c r="Z259" s="536"/>
      <c r="AA259" s="536"/>
      <c r="AB259" s="536"/>
      <c r="AC259" s="536"/>
      <c r="AD259" s="536"/>
      <c r="AE259" s="536"/>
      <c r="AF259" s="536"/>
      <c r="AG259" s="536"/>
      <c r="AH259" s="675"/>
      <c r="AI259" s="537" t="s">
        <v>480</v>
      </c>
      <c r="AJ259" s="536"/>
    </row>
    <row r="260" spans="1:36" x14ac:dyDescent="0.2">
      <c r="A260" s="548"/>
      <c r="B260" s="552" t="s">
        <v>185</v>
      </c>
      <c r="C260" s="1822" t="s">
        <v>407</v>
      </c>
      <c r="D260" s="1822"/>
      <c r="E260" s="1822"/>
      <c r="F260" s="1822"/>
      <c r="G260" s="1822"/>
      <c r="H260" s="1822"/>
      <c r="I260" s="1822"/>
      <c r="J260" s="1822"/>
      <c r="K260" s="1822"/>
      <c r="L260" s="551">
        <v>7649.94</v>
      </c>
      <c r="M260" s="550">
        <v>8.32</v>
      </c>
      <c r="N260" s="549">
        <v>63648</v>
      </c>
      <c r="P260" s="536"/>
      <c r="Q260" s="536"/>
      <c r="R260" s="536"/>
      <c r="S260" s="536"/>
      <c r="T260" s="536"/>
      <c r="U260" s="536"/>
      <c r="V260" s="536"/>
      <c r="W260" s="536"/>
      <c r="X260" s="536"/>
      <c r="Y260" s="536"/>
      <c r="Z260" s="536"/>
      <c r="AA260" s="536"/>
      <c r="AB260" s="536"/>
      <c r="AC260" s="536"/>
      <c r="AD260" s="536"/>
      <c r="AE260" s="536"/>
      <c r="AF260" s="536"/>
      <c r="AG260" s="536"/>
      <c r="AH260" s="675"/>
      <c r="AI260" s="537" t="s">
        <v>407</v>
      </c>
      <c r="AJ260" s="536"/>
    </row>
    <row r="261" spans="1:36" x14ac:dyDescent="0.2">
      <c r="A261" s="548"/>
      <c r="B261" s="552"/>
      <c r="C261" s="1822" t="s">
        <v>204</v>
      </c>
      <c r="D261" s="1822"/>
      <c r="E261" s="1822"/>
      <c r="F261" s="1822"/>
      <c r="G261" s="1822"/>
      <c r="H261" s="1822"/>
      <c r="I261" s="1822"/>
      <c r="J261" s="1822"/>
      <c r="K261" s="1822"/>
      <c r="L261" s="551"/>
      <c r="M261" s="550"/>
      <c r="N261" s="549"/>
      <c r="P261" s="536"/>
      <c r="Q261" s="536"/>
      <c r="R261" s="536"/>
      <c r="S261" s="536"/>
      <c r="T261" s="536"/>
      <c r="U261" s="536"/>
      <c r="V261" s="536"/>
      <c r="W261" s="536"/>
      <c r="X261" s="536"/>
      <c r="Y261" s="536"/>
      <c r="Z261" s="536"/>
      <c r="AA261" s="536"/>
      <c r="AB261" s="536"/>
      <c r="AC261" s="536"/>
      <c r="AD261" s="536"/>
      <c r="AE261" s="536"/>
      <c r="AF261" s="536"/>
      <c r="AG261" s="536"/>
      <c r="AH261" s="675"/>
      <c r="AI261" s="537" t="s">
        <v>204</v>
      </c>
      <c r="AJ261" s="536"/>
    </row>
    <row r="262" spans="1:36" x14ac:dyDescent="0.2">
      <c r="A262" s="548"/>
      <c r="B262" s="552"/>
      <c r="C262" s="1822" t="s">
        <v>546</v>
      </c>
      <c r="D262" s="1822"/>
      <c r="E262" s="1822"/>
      <c r="F262" s="1822"/>
      <c r="G262" s="1822"/>
      <c r="H262" s="1822"/>
      <c r="I262" s="1822"/>
      <c r="J262" s="1822"/>
      <c r="K262" s="1822"/>
      <c r="L262" s="551">
        <v>322.33</v>
      </c>
      <c r="M262" s="550"/>
      <c r="N262" s="549"/>
      <c r="P262" s="536"/>
      <c r="Q262" s="536"/>
      <c r="R262" s="536"/>
      <c r="S262" s="536"/>
      <c r="T262" s="536"/>
      <c r="U262" s="536"/>
      <c r="V262" s="536"/>
      <c r="W262" s="536"/>
      <c r="X262" s="536"/>
      <c r="Y262" s="536"/>
      <c r="Z262" s="536"/>
      <c r="AA262" s="536"/>
      <c r="AB262" s="536"/>
      <c r="AC262" s="536"/>
      <c r="AD262" s="536"/>
      <c r="AE262" s="536"/>
      <c r="AF262" s="536"/>
      <c r="AG262" s="536"/>
      <c r="AH262" s="675"/>
      <c r="AI262" s="537" t="s">
        <v>546</v>
      </c>
      <c r="AJ262" s="536"/>
    </row>
    <row r="263" spans="1:36" x14ac:dyDescent="0.2">
      <c r="A263" s="548"/>
      <c r="B263" s="552"/>
      <c r="C263" s="1822" t="s">
        <v>442</v>
      </c>
      <c r="D263" s="1822"/>
      <c r="E263" s="1822"/>
      <c r="F263" s="1822"/>
      <c r="G263" s="1822"/>
      <c r="H263" s="1822"/>
      <c r="I263" s="1822"/>
      <c r="J263" s="1822"/>
      <c r="K263" s="1822"/>
      <c r="L263" s="551">
        <v>34.08</v>
      </c>
      <c r="M263" s="550"/>
      <c r="N263" s="549"/>
      <c r="P263" s="536"/>
      <c r="Q263" s="536"/>
      <c r="R263" s="536"/>
      <c r="S263" s="536"/>
      <c r="T263" s="536"/>
      <c r="U263" s="536"/>
      <c r="V263" s="536"/>
      <c r="W263" s="536"/>
      <c r="X263" s="536"/>
      <c r="Y263" s="536"/>
      <c r="Z263" s="536"/>
      <c r="AA263" s="536"/>
      <c r="AB263" s="536"/>
      <c r="AC263" s="536"/>
      <c r="AD263" s="536"/>
      <c r="AE263" s="536"/>
      <c r="AF263" s="536"/>
      <c r="AG263" s="536"/>
      <c r="AH263" s="675"/>
      <c r="AI263" s="537" t="s">
        <v>442</v>
      </c>
      <c r="AJ263" s="536"/>
    </row>
    <row r="264" spans="1:36" x14ac:dyDescent="0.2">
      <c r="A264" s="548"/>
      <c r="B264" s="552"/>
      <c r="C264" s="1822" t="s">
        <v>547</v>
      </c>
      <c r="D264" s="1822"/>
      <c r="E264" s="1822"/>
      <c r="F264" s="1822"/>
      <c r="G264" s="1822"/>
      <c r="H264" s="1822"/>
      <c r="I264" s="1822"/>
      <c r="J264" s="1822"/>
      <c r="K264" s="1822"/>
      <c r="L264" s="551">
        <v>6657.52</v>
      </c>
      <c r="M264" s="550"/>
      <c r="N264" s="549"/>
      <c r="P264" s="536"/>
      <c r="Q264" s="536"/>
      <c r="R264" s="536"/>
      <c r="S264" s="536"/>
      <c r="T264" s="536"/>
      <c r="U264" s="536"/>
      <c r="V264" s="536"/>
      <c r="W264" s="536"/>
      <c r="X264" s="536"/>
      <c r="Y264" s="536"/>
      <c r="Z264" s="536"/>
      <c r="AA264" s="536"/>
      <c r="AB264" s="536"/>
      <c r="AC264" s="536"/>
      <c r="AD264" s="536"/>
      <c r="AE264" s="536"/>
      <c r="AF264" s="536"/>
      <c r="AG264" s="536"/>
      <c r="AH264" s="675"/>
      <c r="AI264" s="537" t="s">
        <v>547</v>
      </c>
      <c r="AJ264" s="536"/>
    </row>
    <row r="265" spans="1:36" x14ac:dyDescent="0.2">
      <c r="A265" s="548"/>
      <c r="B265" s="552"/>
      <c r="C265" s="1822" t="s">
        <v>443</v>
      </c>
      <c r="D265" s="1822"/>
      <c r="E265" s="1822"/>
      <c r="F265" s="1822"/>
      <c r="G265" s="1822"/>
      <c r="H265" s="1822"/>
      <c r="I265" s="1822"/>
      <c r="J265" s="1822"/>
      <c r="K265" s="1822"/>
      <c r="L265" s="551">
        <v>398.74</v>
      </c>
      <c r="M265" s="550"/>
      <c r="N265" s="549"/>
      <c r="P265" s="536"/>
      <c r="Q265" s="536"/>
      <c r="R265" s="536"/>
      <c r="S265" s="536"/>
      <c r="T265" s="536"/>
      <c r="U265" s="536"/>
      <c r="V265" s="536"/>
      <c r="W265" s="536"/>
      <c r="X265" s="536"/>
      <c r="Y265" s="536"/>
      <c r="Z265" s="536"/>
      <c r="AA265" s="536"/>
      <c r="AB265" s="536"/>
      <c r="AC265" s="536"/>
      <c r="AD265" s="536"/>
      <c r="AE265" s="536"/>
      <c r="AF265" s="536"/>
      <c r="AG265" s="536"/>
      <c r="AH265" s="675"/>
      <c r="AI265" s="537" t="s">
        <v>443</v>
      </c>
      <c r="AJ265" s="536"/>
    </row>
    <row r="266" spans="1:36" x14ac:dyDescent="0.2">
      <c r="A266" s="548"/>
      <c r="B266" s="552"/>
      <c r="C266" s="1822" t="s">
        <v>444</v>
      </c>
      <c r="D266" s="1822"/>
      <c r="E266" s="1822"/>
      <c r="F266" s="1822"/>
      <c r="G266" s="1822"/>
      <c r="H266" s="1822"/>
      <c r="I266" s="1822"/>
      <c r="J266" s="1822"/>
      <c r="K266" s="1822"/>
      <c r="L266" s="551">
        <v>237.27</v>
      </c>
      <c r="M266" s="550"/>
      <c r="N266" s="549"/>
      <c r="P266" s="536"/>
      <c r="Q266" s="536"/>
      <c r="R266" s="536"/>
      <c r="S266" s="536"/>
      <c r="T266" s="536"/>
      <c r="U266" s="536"/>
      <c r="V266" s="536"/>
      <c r="W266" s="536"/>
      <c r="X266" s="536"/>
      <c r="Y266" s="536"/>
      <c r="Z266" s="536"/>
      <c r="AA266" s="536"/>
      <c r="AB266" s="536"/>
      <c r="AC266" s="536"/>
      <c r="AD266" s="536"/>
      <c r="AE266" s="536"/>
      <c r="AF266" s="536"/>
      <c r="AG266" s="536"/>
      <c r="AH266" s="675"/>
      <c r="AI266" s="537" t="s">
        <v>444</v>
      </c>
      <c r="AJ266" s="536"/>
    </row>
    <row r="267" spans="1:36" x14ac:dyDescent="0.2">
      <c r="A267" s="548"/>
      <c r="B267" s="552"/>
      <c r="C267" s="1822" t="s">
        <v>415</v>
      </c>
      <c r="D267" s="1822"/>
      <c r="E267" s="1822"/>
      <c r="F267" s="1822"/>
      <c r="G267" s="1822"/>
      <c r="H267" s="1822"/>
      <c r="I267" s="1822"/>
      <c r="J267" s="1822"/>
      <c r="K267" s="1822"/>
      <c r="L267" s="551">
        <v>329.54</v>
      </c>
      <c r="M267" s="550"/>
      <c r="N267" s="549"/>
      <c r="P267" s="536"/>
      <c r="Q267" s="536"/>
      <c r="R267" s="536"/>
      <c r="S267" s="536"/>
      <c r="T267" s="536"/>
      <c r="U267" s="536"/>
      <c r="V267" s="536"/>
      <c r="W267" s="536"/>
      <c r="X267" s="536"/>
      <c r="Y267" s="536"/>
      <c r="Z267" s="536"/>
      <c r="AA267" s="536"/>
      <c r="AB267" s="536"/>
      <c r="AC267" s="536"/>
      <c r="AD267" s="536"/>
      <c r="AE267" s="536"/>
      <c r="AF267" s="536"/>
      <c r="AG267" s="536"/>
      <c r="AH267" s="675"/>
      <c r="AI267" s="537" t="s">
        <v>415</v>
      </c>
      <c r="AJ267" s="536"/>
    </row>
    <row r="268" spans="1:36" x14ac:dyDescent="0.2">
      <c r="A268" s="548"/>
      <c r="B268" s="552"/>
      <c r="C268" s="1822" t="s">
        <v>416</v>
      </c>
      <c r="D268" s="1822"/>
      <c r="E268" s="1822"/>
      <c r="F268" s="1822"/>
      <c r="G268" s="1822"/>
      <c r="H268" s="1822"/>
      <c r="I268" s="1822"/>
      <c r="J268" s="1822"/>
      <c r="K268" s="1822"/>
      <c r="L268" s="551">
        <v>398.74</v>
      </c>
      <c r="M268" s="550"/>
      <c r="N268" s="549"/>
      <c r="P268" s="536"/>
      <c r="Q268" s="536"/>
      <c r="R268" s="536"/>
      <c r="S268" s="536"/>
      <c r="T268" s="536"/>
      <c r="U268" s="536"/>
      <c r="V268" s="536"/>
      <c r="W268" s="536"/>
      <c r="X268" s="536"/>
      <c r="Y268" s="536"/>
      <c r="Z268" s="536"/>
      <c r="AA268" s="536"/>
      <c r="AB268" s="536"/>
      <c r="AC268" s="536"/>
      <c r="AD268" s="536"/>
      <c r="AE268" s="536"/>
      <c r="AF268" s="536"/>
      <c r="AG268" s="536"/>
      <c r="AH268" s="675"/>
      <c r="AI268" s="537" t="s">
        <v>416</v>
      </c>
      <c r="AJ268" s="536"/>
    </row>
    <row r="269" spans="1:36" x14ac:dyDescent="0.2">
      <c r="A269" s="548"/>
      <c r="B269" s="552"/>
      <c r="C269" s="1822" t="s">
        <v>417</v>
      </c>
      <c r="D269" s="1822"/>
      <c r="E269" s="1822"/>
      <c r="F269" s="1822"/>
      <c r="G269" s="1822"/>
      <c r="H269" s="1822"/>
      <c r="I269" s="1822"/>
      <c r="J269" s="1822"/>
      <c r="K269" s="1822"/>
      <c r="L269" s="551">
        <v>237.27</v>
      </c>
      <c r="M269" s="550"/>
      <c r="N269" s="549"/>
      <c r="P269" s="536"/>
      <c r="Q269" s="536"/>
      <c r="R269" s="536"/>
      <c r="S269" s="536"/>
      <c r="T269" s="536"/>
      <c r="U269" s="536"/>
      <c r="V269" s="536"/>
      <c r="W269" s="536"/>
      <c r="X269" s="536"/>
      <c r="Y269" s="536"/>
      <c r="Z269" s="536"/>
      <c r="AA269" s="536"/>
      <c r="AB269" s="536"/>
      <c r="AC269" s="536"/>
      <c r="AD269" s="536"/>
      <c r="AE269" s="536"/>
      <c r="AF269" s="536"/>
      <c r="AG269" s="536"/>
      <c r="AH269" s="675"/>
      <c r="AI269" s="537" t="s">
        <v>417</v>
      </c>
      <c r="AJ269" s="536"/>
    </row>
    <row r="270" spans="1:36" x14ac:dyDescent="0.2">
      <c r="A270" s="548"/>
      <c r="B270" s="546"/>
      <c r="C270" s="1819" t="s">
        <v>206</v>
      </c>
      <c r="D270" s="1819"/>
      <c r="E270" s="1819"/>
      <c r="F270" s="1819"/>
      <c r="G270" s="1819"/>
      <c r="H270" s="1819"/>
      <c r="I270" s="1819"/>
      <c r="J270" s="1819"/>
      <c r="K270" s="1819"/>
      <c r="L270" s="544">
        <v>7649.94</v>
      </c>
      <c r="M270" s="543"/>
      <c r="N270" s="547">
        <v>63648</v>
      </c>
      <c r="P270" s="536"/>
      <c r="Q270" s="536"/>
      <c r="R270" s="536"/>
      <c r="S270" s="536"/>
      <c r="T270" s="536"/>
      <c r="U270" s="536"/>
      <c r="V270" s="536"/>
      <c r="W270" s="536"/>
      <c r="X270" s="536"/>
      <c r="Y270" s="536"/>
      <c r="Z270" s="536"/>
      <c r="AA270" s="536"/>
      <c r="AB270" s="536"/>
      <c r="AC270" s="536"/>
      <c r="AD270" s="536"/>
      <c r="AE270" s="536"/>
      <c r="AF270" s="536"/>
      <c r="AG270" s="536"/>
      <c r="AH270" s="675"/>
      <c r="AI270" s="536"/>
      <c r="AJ270" s="675" t="s">
        <v>206</v>
      </c>
    </row>
    <row r="271" spans="1:36" x14ac:dyDescent="0.2">
      <c r="A271" s="548"/>
      <c r="B271" s="552"/>
      <c r="C271" s="1822" t="s">
        <v>204</v>
      </c>
      <c r="D271" s="1822"/>
      <c r="E271" s="1822"/>
      <c r="F271" s="1822"/>
      <c r="G271" s="1822"/>
      <c r="H271" s="1822"/>
      <c r="I271" s="1822"/>
      <c r="J271" s="1822"/>
      <c r="K271" s="1822"/>
      <c r="L271" s="551"/>
      <c r="M271" s="550"/>
      <c r="N271" s="549"/>
      <c r="P271" s="536"/>
      <c r="Q271" s="536"/>
      <c r="R271" s="536"/>
      <c r="S271" s="536"/>
      <c r="T271" s="536"/>
      <c r="U271" s="536"/>
      <c r="V271" s="536"/>
      <c r="W271" s="536"/>
      <c r="X271" s="536"/>
      <c r="Y271" s="536"/>
      <c r="Z271" s="536"/>
      <c r="AA271" s="536"/>
      <c r="AB271" s="536"/>
      <c r="AC271" s="536"/>
      <c r="AD271" s="536"/>
      <c r="AE271" s="536"/>
      <c r="AF271" s="536"/>
      <c r="AG271" s="536"/>
      <c r="AH271" s="675"/>
      <c r="AI271" s="537" t="s">
        <v>204</v>
      </c>
      <c r="AJ271" s="675"/>
    </row>
    <row r="272" spans="1:36" x14ac:dyDescent="0.2">
      <c r="A272" s="548"/>
      <c r="B272" s="552"/>
      <c r="C272" s="1822" t="s">
        <v>8095</v>
      </c>
      <c r="D272" s="1822"/>
      <c r="E272" s="1822"/>
      <c r="F272" s="1822"/>
      <c r="G272" s="1822"/>
      <c r="H272" s="1822"/>
      <c r="I272" s="1822"/>
      <c r="J272" s="1822"/>
      <c r="K272" s="1822"/>
      <c r="L272" s="551">
        <v>3444.95</v>
      </c>
      <c r="M272" s="550"/>
      <c r="N272" s="549">
        <v>28662</v>
      </c>
      <c r="P272" s="536"/>
      <c r="Q272" s="536"/>
      <c r="R272" s="536"/>
      <c r="S272" s="536"/>
      <c r="T272" s="536"/>
      <c r="U272" s="536"/>
      <c r="V272" s="536"/>
      <c r="W272" s="536"/>
      <c r="X272" s="536"/>
      <c r="Y272" s="536"/>
      <c r="Z272" s="536"/>
      <c r="AA272" s="536"/>
      <c r="AB272" s="536"/>
      <c r="AC272" s="536"/>
      <c r="AD272" s="536"/>
      <c r="AE272" s="536"/>
      <c r="AF272" s="536"/>
      <c r="AG272" s="536"/>
      <c r="AH272" s="675"/>
      <c r="AI272" s="537" t="s">
        <v>8095</v>
      </c>
      <c r="AJ272" s="675"/>
    </row>
    <row r="273" spans="1:36" ht="1.5" customHeight="1" x14ac:dyDescent="0.2">
      <c r="B273" s="546"/>
      <c r="C273" s="656"/>
      <c r="D273" s="656"/>
      <c r="E273" s="656"/>
      <c r="F273" s="656"/>
      <c r="G273" s="656"/>
      <c r="H273" s="656"/>
      <c r="I273" s="656"/>
      <c r="J273" s="656"/>
      <c r="K273" s="656"/>
      <c r="L273" s="544"/>
      <c r="M273" s="543"/>
      <c r="N273" s="542"/>
      <c r="P273" s="536"/>
      <c r="Q273" s="536"/>
      <c r="R273" s="536"/>
      <c r="S273" s="536"/>
      <c r="T273" s="536"/>
      <c r="U273" s="536"/>
      <c r="V273" s="536"/>
      <c r="W273" s="536"/>
      <c r="X273" s="536"/>
      <c r="Y273" s="536"/>
      <c r="Z273" s="536"/>
      <c r="AA273" s="536"/>
      <c r="AB273" s="536"/>
      <c r="AC273" s="536"/>
      <c r="AD273" s="536"/>
      <c r="AE273" s="536"/>
      <c r="AF273" s="536"/>
      <c r="AG273" s="536"/>
      <c r="AH273" s="536"/>
      <c r="AI273" s="536"/>
      <c r="AJ273" s="536"/>
    </row>
    <row r="274" spans="1:36" ht="53.25" customHeight="1" x14ac:dyDescent="0.2">
      <c r="A274" s="541"/>
      <c r="B274" s="541"/>
      <c r="C274" s="541"/>
      <c r="D274" s="541"/>
      <c r="E274" s="541"/>
      <c r="F274" s="541"/>
      <c r="G274" s="541"/>
      <c r="H274" s="541"/>
      <c r="I274" s="541"/>
      <c r="J274" s="541"/>
      <c r="K274" s="541"/>
      <c r="L274" s="541"/>
      <c r="M274" s="541"/>
      <c r="N274" s="541"/>
      <c r="P274" s="536"/>
      <c r="Q274" s="536"/>
      <c r="R274" s="536"/>
      <c r="S274" s="536"/>
      <c r="T274" s="536"/>
      <c r="U274" s="536"/>
      <c r="V274" s="536"/>
      <c r="W274" s="536"/>
      <c r="X274" s="536"/>
      <c r="Y274" s="536"/>
      <c r="Z274" s="536"/>
      <c r="AA274" s="536"/>
      <c r="AB274" s="536"/>
      <c r="AC274" s="536"/>
      <c r="AD274" s="536"/>
      <c r="AE274" s="536"/>
      <c r="AF274" s="536"/>
      <c r="AG274" s="536"/>
      <c r="AH274" s="536"/>
      <c r="AI274" s="536"/>
      <c r="AJ274" s="536"/>
    </row>
    <row r="275" spans="1:36" x14ac:dyDescent="0.2">
      <c r="B275" s="539" t="s">
        <v>149</v>
      </c>
      <c r="C275" s="1943" t="s">
        <v>207</v>
      </c>
      <c r="D275" s="1943"/>
      <c r="E275" s="1943"/>
      <c r="F275" s="1943"/>
      <c r="G275" s="1943"/>
      <c r="H275" s="1943"/>
      <c r="I275" s="1943"/>
      <c r="J275" s="1943"/>
      <c r="K275" s="1943"/>
      <c r="L275" s="1943"/>
    </row>
    <row r="276" spans="1:36" ht="13.5" customHeight="1" x14ac:dyDescent="0.2">
      <c r="B276" s="540"/>
      <c r="C276" s="1821" t="s">
        <v>150</v>
      </c>
      <c r="D276" s="1821"/>
      <c r="E276" s="1821"/>
      <c r="F276" s="1821"/>
      <c r="G276" s="1821"/>
      <c r="H276" s="1821"/>
      <c r="I276" s="1821"/>
      <c r="J276" s="1821"/>
      <c r="K276" s="1821"/>
      <c r="L276" s="1821"/>
    </row>
    <row r="277" spans="1:36" ht="12.75" customHeight="1" x14ac:dyDescent="0.2">
      <c r="B277" s="539" t="s">
        <v>151</v>
      </c>
      <c r="C277" s="1943" t="s">
        <v>208</v>
      </c>
      <c r="D277" s="1943"/>
      <c r="E277" s="1943"/>
      <c r="F277" s="1943"/>
      <c r="G277" s="1943"/>
      <c r="H277" s="1943"/>
      <c r="I277" s="1943"/>
      <c r="J277" s="1943"/>
      <c r="K277" s="1943"/>
      <c r="L277" s="1943"/>
    </row>
    <row r="278" spans="1:36" ht="13.5" customHeight="1" x14ac:dyDescent="0.2">
      <c r="C278" s="1821" t="s">
        <v>150</v>
      </c>
      <c r="D278" s="1821"/>
      <c r="E278" s="1821"/>
      <c r="F278" s="1821"/>
      <c r="G278" s="1821"/>
      <c r="H278" s="1821"/>
      <c r="I278" s="1821"/>
      <c r="J278" s="1821"/>
      <c r="K278" s="1821"/>
      <c r="L278" s="1821"/>
    </row>
    <row r="280" spans="1:36" x14ac:dyDescent="0.2">
      <c r="B280" s="538"/>
      <c r="D280" s="538"/>
      <c r="F280" s="538"/>
      <c r="P280" s="536"/>
      <c r="Q280" s="536"/>
      <c r="R280" s="536"/>
      <c r="S280" s="536"/>
      <c r="T280" s="536"/>
      <c r="U280" s="536"/>
      <c r="V280" s="536"/>
      <c r="W280" s="536"/>
      <c r="X280" s="536"/>
      <c r="Y280" s="536"/>
      <c r="Z280" s="536"/>
      <c r="AA280" s="536"/>
      <c r="AB280" s="536"/>
      <c r="AC280" s="536"/>
      <c r="AD280" s="536"/>
      <c r="AE280" s="536"/>
      <c r="AF280" s="536"/>
      <c r="AG280" s="536"/>
      <c r="AH280" s="536"/>
      <c r="AI280" s="536"/>
      <c r="AJ280" s="536"/>
    </row>
  </sheetData>
  <mergeCells count="240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C53:E53"/>
    <mergeCell ref="C54:E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E52"/>
    <mergeCell ref="C69:E69"/>
    <mergeCell ref="C71:E71"/>
    <mergeCell ref="C73:E73"/>
    <mergeCell ref="C75:E75"/>
    <mergeCell ref="C77:E77"/>
    <mergeCell ref="C78:N78"/>
    <mergeCell ref="C60:N60"/>
    <mergeCell ref="C61:E61"/>
    <mergeCell ref="C63:N63"/>
    <mergeCell ref="C64:E64"/>
    <mergeCell ref="C66:N66"/>
    <mergeCell ref="C67:E67"/>
    <mergeCell ref="C85:E85"/>
    <mergeCell ref="C86:E86"/>
    <mergeCell ref="C87:E87"/>
    <mergeCell ref="C88:E88"/>
    <mergeCell ref="C89:E89"/>
    <mergeCell ref="C90:E90"/>
    <mergeCell ref="C79:N79"/>
    <mergeCell ref="C80:E80"/>
    <mergeCell ref="C81:E81"/>
    <mergeCell ref="C82:E82"/>
    <mergeCell ref="C83:E83"/>
    <mergeCell ref="C84:E84"/>
    <mergeCell ref="C98:E98"/>
    <mergeCell ref="C100:E100"/>
    <mergeCell ref="C102:E102"/>
    <mergeCell ref="C104:E104"/>
    <mergeCell ref="C105:N105"/>
    <mergeCell ref="C106:N106"/>
    <mergeCell ref="C91:E91"/>
    <mergeCell ref="C92:E92"/>
    <mergeCell ref="C93:E93"/>
    <mergeCell ref="C94:E94"/>
    <mergeCell ref="C95:E95"/>
    <mergeCell ref="C97:N97"/>
    <mergeCell ref="C113:E113"/>
    <mergeCell ref="C114:E114"/>
    <mergeCell ref="C115:E115"/>
    <mergeCell ref="C116:E116"/>
    <mergeCell ref="C117:E117"/>
    <mergeCell ref="C118:E118"/>
    <mergeCell ref="C107:E107"/>
    <mergeCell ref="C108:E108"/>
    <mergeCell ref="C109:E109"/>
    <mergeCell ref="C110:E110"/>
    <mergeCell ref="C111:E111"/>
    <mergeCell ref="C112:E112"/>
    <mergeCell ref="C126:E126"/>
    <mergeCell ref="C127:E127"/>
    <mergeCell ref="C128:E128"/>
    <mergeCell ref="C129:E129"/>
    <mergeCell ref="C130:E130"/>
    <mergeCell ref="C131:E131"/>
    <mergeCell ref="C119:E119"/>
    <mergeCell ref="C121:E121"/>
    <mergeCell ref="C122:N122"/>
    <mergeCell ref="C123:N123"/>
    <mergeCell ref="C124:E124"/>
    <mergeCell ref="C125:E125"/>
    <mergeCell ref="C140:K140"/>
    <mergeCell ref="C141:K141"/>
    <mergeCell ref="C142:K142"/>
    <mergeCell ref="C143:K143"/>
    <mergeCell ref="C144:K144"/>
    <mergeCell ref="C145:K145"/>
    <mergeCell ref="C132:E132"/>
    <mergeCell ref="C133:E133"/>
    <mergeCell ref="C134:E134"/>
    <mergeCell ref="C135:E135"/>
    <mergeCell ref="C136:E136"/>
    <mergeCell ref="C139:K139"/>
    <mergeCell ref="C152:K152"/>
    <mergeCell ref="C153:K153"/>
    <mergeCell ref="C154:K154"/>
    <mergeCell ref="C155:K155"/>
    <mergeCell ref="C156:K156"/>
    <mergeCell ref="A157:N157"/>
    <mergeCell ref="C146:K146"/>
    <mergeCell ref="C147:K147"/>
    <mergeCell ref="C148:K148"/>
    <mergeCell ref="C149:K149"/>
    <mergeCell ref="C150:K150"/>
    <mergeCell ref="C151:K151"/>
    <mergeCell ref="C164:E164"/>
    <mergeCell ref="C165:E165"/>
    <mergeCell ref="C166:E166"/>
    <mergeCell ref="C167:E167"/>
    <mergeCell ref="C168:E168"/>
    <mergeCell ref="C169:E169"/>
    <mergeCell ref="C158:E158"/>
    <mergeCell ref="C159:N159"/>
    <mergeCell ref="C160:N160"/>
    <mergeCell ref="C161:E161"/>
    <mergeCell ref="C162:E162"/>
    <mergeCell ref="C163:E163"/>
    <mergeCell ref="C177:N177"/>
    <mergeCell ref="C178:N178"/>
    <mergeCell ref="C179:E179"/>
    <mergeCell ref="C180:E180"/>
    <mergeCell ref="C181:E181"/>
    <mergeCell ref="C182:E182"/>
    <mergeCell ref="C170:E170"/>
    <mergeCell ref="C171:E171"/>
    <mergeCell ref="C172:E172"/>
    <mergeCell ref="C173:E173"/>
    <mergeCell ref="C175:N175"/>
    <mergeCell ref="C176:E176"/>
    <mergeCell ref="C189:E189"/>
    <mergeCell ref="C190:E190"/>
    <mergeCell ref="C191:E191"/>
    <mergeCell ref="C193:N193"/>
    <mergeCell ref="C194:E194"/>
    <mergeCell ref="C196:N196"/>
    <mergeCell ref="C183:E183"/>
    <mergeCell ref="C184:E184"/>
    <mergeCell ref="C185:E185"/>
    <mergeCell ref="C186:E186"/>
    <mergeCell ref="C187:E187"/>
    <mergeCell ref="C188:E188"/>
    <mergeCell ref="C203:E203"/>
    <mergeCell ref="C204:E204"/>
    <mergeCell ref="C205:E205"/>
    <mergeCell ref="C206:E206"/>
    <mergeCell ref="C207:E207"/>
    <mergeCell ref="C208:E208"/>
    <mergeCell ref="C197:E197"/>
    <mergeCell ref="C198:N198"/>
    <mergeCell ref="C199:N199"/>
    <mergeCell ref="C200:E200"/>
    <mergeCell ref="C201:E201"/>
    <mergeCell ref="C202:E202"/>
    <mergeCell ref="C217:K217"/>
    <mergeCell ref="C218:K218"/>
    <mergeCell ref="C219:K219"/>
    <mergeCell ref="C220:K220"/>
    <mergeCell ref="C221:K221"/>
    <mergeCell ref="C222:K222"/>
    <mergeCell ref="C209:E209"/>
    <mergeCell ref="C210:E210"/>
    <mergeCell ref="C211:E211"/>
    <mergeCell ref="C212:E212"/>
    <mergeCell ref="C214:N214"/>
    <mergeCell ref="C216:K216"/>
    <mergeCell ref="C229:K229"/>
    <mergeCell ref="C230:K230"/>
    <mergeCell ref="C231:K231"/>
    <mergeCell ref="C232:K232"/>
    <mergeCell ref="C233:K233"/>
    <mergeCell ref="C234:K234"/>
    <mergeCell ref="C223:K223"/>
    <mergeCell ref="C224:K224"/>
    <mergeCell ref="C225:K225"/>
    <mergeCell ref="C226:K226"/>
    <mergeCell ref="C227:K227"/>
    <mergeCell ref="C228:K228"/>
    <mergeCell ref="C244:K244"/>
    <mergeCell ref="C245:K245"/>
    <mergeCell ref="C246:K246"/>
    <mergeCell ref="C247:K247"/>
    <mergeCell ref="C248:K248"/>
    <mergeCell ref="C249:K249"/>
    <mergeCell ref="C235:K235"/>
    <mergeCell ref="A236:N236"/>
    <mergeCell ref="C237:E237"/>
    <mergeCell ref="C239:N239"/>
    <mergeCell ref="C240:E240"/>
    <mergeCell ref="C242:N242"/>
    <mergeCell ref="C257:K257"/>
    <mergeCell ref="C258:K258"/>
    <mergeCell ref="C259:K259"/>
    <mergeCell ref="C260:K260"/>
    <mergeCell ref="C261:K261"/>
    <mergeCell ref="C262:K262"/>
    <mergeCell ref="C250:K250"/>
    <mergeCell ref="C251:K251"/>
    <mergeCell ref="C253:K253"/>
    <mergeCell ref="C254:K254"/>
    <mergeCell ref="C255:K255"/>
    <mergeCell ref="C256:K256"/>
    <mergeCell ref="C277:L277"/>
    <mergeCell ref="C278:L278"/>
    <mergeCell ref="C269:K269"/>
    <mergeCell ref="C270:K270"/>
    <mergeCell ref="C271:K271"/>
    <mergeCell ref="C272:K272"/>
    <mergeCell ref="C275:L275"/>
    <mergeCell ref="C276:L276"/>
    <mergeCell ref="C263:K263"/>
    <mergeCell ref="C264:K264"/>
    <mergeCell ref="C265:K265"/>
    <mergeCell ref="C266:K266"/>
    <mergeCell ref="C267:K267"/>
    <mergeCell ref="C268:K268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279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/>
  <dimension ref="A1:AK910"/>
  <sheetViews>
    <sheetView topLeftCell="A868" zoomScale="115" zoomScaleNormal="115" workbookViewId="0">
      <selection activeCell="C898" sqref="C898:K898"/>
    </sheetView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29" width="34.140625" style="537" hidden="1" customWidth="1"/>
    <col min="30" max="32" width="84.42578125" style="537" hidden="1" customWidth="1"/>
    <col min="33" max="33" width="138.42578125" style="537" hidden="1" customWidth="1"/>
    <col min="34" max="34" width="34.140625" style="537" hidden="1" customWidth="1"/>
    <col min="35" max="37" width="84.42578125" style="537" hidden="1" customWidth="1"/>
    <col min="38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1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1806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1806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2753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58"/>
      <c r="B19" s="658"/>
      <c r="C19" s="658"/>
      <c r="D19" s="658"/>
      <c r="E19" s="658"/>
      <c r="F19" s="658"/>
      <c r="G19" s="658"/>
      <c r="H19" s="658"/>
      <c r="I19" s="658"/>
      <c r="J19" s="658"/>
      <c r="K19" s="658"/>
      <c r="L19" s="658"/>
      <c r="M19" s="658"/>
      <c r="N19" s="658"/>
    </row>
    <row r="20" spans="1:21" s="536" customFormat="1" x14ac:dyDescent="0.2">
      <c r="A20" s="1840" t="s">
        <v>42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42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2754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1031.01</v>
      </c>
      <c r="D28" s="579" t="s">
        <v>8117</v>
      </c>
      <c r="E28" s="661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1"/>
    </row>
    <row r="30" spans="1:21" s="536" customFormat="1" ht="12.75" customHeight="1" x14ac:dyDescent="0.2">
      <c r="B30" s="536" t="s">
        <v>169</v>
      </c>
      <c r="C30" s="580">
        <v>636.92999999999995</v>
      </c>
      <c r="D30" s="579" t="s">
        <v>8118</v>
      </c>
      <c r="E30" s="661" t="s">
        <v>167</v>
      </c>
      <c r="G30" s="536" t="s">
        <v>170</v>
      </c>
      <c r="L30" s="580">
        <v>0</v>
      </c>
      <c r="M30" s="579" t="s">
        <v>8119</v>
      </c>
      <c r="N30" s="661" t="s">
        <v>167</v>
      </c>
    </row>
    <row r="31" spans="1:21" s="536" customFormat="1" ht="12.75" customHeight="1" x14ac:dyDescent="0.2">
      <c r="B31" s="536" t="s">
        <v>140</v>
      </c>
      <c r="C31" s="580">
        <v>6.26</v>
      </c>
      <c r="D31" s="583" t="s">
        <v>2755</v>
      </c>
      <c r="E31" s="661" t="s">
        <v>167</v>
      </c>
      <c r="G31" s="536" t="s">
        <v>172</v>
      </c>
      <c r="L31" s="582"/>
      <c r="M31" s="582">
        <v>386.11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387.82</v>
      </c>
      <c r="D32" s="583" t="s">
        <v>8120</v>
      </c>
      <c r="E32" s="661" t="s">
        <v>167</v>
      </c>
      <c r="G32" s="536" t="s">
        <v>174</v>
      </c>
      <c r="L32" s="582"/>
      <c r="M32" s="582">
        <v>6</v>
      </c>
      <c r="N32" s="581" t="s">
        <v>173</v>
      </c>
    </row>
    <row r="33" spans="1:27" s="536" customFormat="1" ht="12.75" customHeight="1" x14ac:dyDescent="0.2">
      <c r="B33" s="536" t="s">
        <v>147</v>
      </c>
      <c r="C33" s="580">
        <v>0</v>
      </c>
      <c r="D33" s="579" t="s">
        <v>171</v>
      </c>
      <c r="E33" s="661" t="s">
        <v>167</v>
      </c>
      <c r="G33" s="536" t="s">
        <v>175</v>
      </c>
      <c r="L33" s="1836"/>
      <c r="M33" s="1836"/>
    </row>
    <row r="34" spans="1:27" s="536" customFormat="1" ht="9.75" customHeight="1" x14ac:dyDescent="0.2">
      <c r="A34" s="578"/>
    </row>
    <row r="35" spans="1:27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7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7" s="536" customFormat="1" ht="45" x14ac:dyDescent="0.2">
      <c r="A37" s="1833"/>
      <c r="B37" s="1833"/>
      <c r="C37" s="1833"/>
      <c r="D37" s="1833"/>
      <c r="E37" s="1833"/>
      <c r="F37" s="1833"/>
      <c r="G37" s="659" t="s">
        <v>182</v>
      </c>
      <c r="H37" s="659" t="s">
        <v>183</v>
      </c>
      <c r="I37" s="659" t="s">
        <v>184</v>
      </c>
      <c r="J37" s="659" t="s">
        <v>182</v>
      </c>
      <c r="K37" s="659" t="s">
        <v>183</v>
      </c>
      <c r="L37" s="659" t="s">
        <v>148</v>
      </c>
      <c r="M37" s="1833"/>
      <c r="N37" s="1833"/>
    </row>
    <row r="38" spans="1:27" s="536" customFormat="1" x14ac:dyDescent="0.2">
      <c r="A38" s="660">
        <v>1</v>
      </c>
      <c r="B38" s="660">
        <v>2</v>
      </c>
      <c r="C38" s="1834">
        <v>3</v>
      </c>
      <c r="D38" s="1834"/>
      <c r="E38" s="1834"/>
      <c r="F38" s="660">
        <v>4</v>
      </c>
      <c r="G38" s="660">
        <v>5</v>
      </c>
      <c r="H38" s="660">
        <v>6</v>
      </c>
      <c r="I38" s="660">
        <v>7</v>
      </c>
      <c r="J38" s="660">
        <v>8</v>
      </c>
      <c r="K38" s="660">
        <v>9</v>
      </c>
      <c r="L38" s="660">
        <v>10</v>
      </c>
      <c r="M38" s="660">
        <v>11</v>
      </c>
      <c r="N38" s="660">
        <v>12</v>
      </c>
    </row>
    <row r="39" spans="1:27" s="536" customFormat="1" ht="12" x14ac:dyDescent="0.2">
      <c r="A39" s="1824" t="s">
        <v>2756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2756</v>
      </c>
    </row>
    <row r="40" spans="1:27" s="536" customFormat="1" ht="22.5" x14ac:dyDescent="0.2">
      <c r="A40" s="575" t="s">
        <v>185</v>
      </c>
      <c r="B40" s="657" t="s">
        <v>2757</v>
      </c>
      <c r="C40" s="1823" t="s">
        <v>2758</v>
      </c>
      <c r="D40" s="1823"/>
      <c r="E40" s="1823"/>
      <c r="F40" s="573" t="s">
        <v>617</v>
      </c>
      <c r="G40" s="573"/>
      <c r="H40" s="573"/>
      <c r="I40" s="573" t="s">
        <v>425</v>
      </c>
      <c r="J40" s="572"/>
      <c r="K40" s="573"/>
      <c r="L40" s="572"/>
      <c r="M40" s="571"/>
      <c r="N40" s="570"/>
      <c r="V40" s="674"/>
      <c r="W40" s="675" t="s">
        <v>2758</v>
      </c>
    </row>
    <row r="41" spans="1:27" s="536" customFormat="1" ht="12" x14ac:dyDescent="0.2">
      <c r="A41" s="676"/>
      <c r="B41" s="655"/>
      <c r="C41" s="1822" t="s">
        <v>2759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2759</v>
      </c>
    </row>
    <row r="42" spans="1:27" s="536" customFormat="1" ht="22.5" x14ac:dyDescent="0.2">
      <c r="A42" s="609"/>
      <c r="B42" s="552" t="s">
        <v>499</v>
      </c>
      <c r="C42" s="1822" t="s">
        <v>500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Y42" s="537" t="s">
        <v>500</v>
      </c>
    </row>
    <row r="43" spans="1:27" s="536" customFormat="1" ht="12" x14ac:dyDescent="0.2">
      <c r="A43" s="605"/>
      <c r="B43" s="552" t="s">
        <v>185</v>
      </c>
      <c r="C43" s="1822" t="s">
        <v>312</v>
      </c>
      <c r="D43" s="1822"/>
      <c r="E43" s="1822"/>
      <c r="F43" s="562"/>
      <c r="G43" s="562"/>
      <c r="H43" s="562"/>
      <c r="I43" s="562"/>
      <c r="J43" s="604">
        <v>9.52</v>
      </c>
      <c r="K43" s="562" t="s">
        <v>313</v>
      </c>
      <c r="L43" s="604">
        <v>202.3</v>
      </c>
      <c r="M43" s="603"/>
      <c r="N43" s="602"/>
      <c r="V43" s="674"/>
      <c r="W43" s="675"/>
      <c r="Z43" s="537" t="s">
        <v>312</v>
      </c>
    </row>
    <row r="44" spans="1:27" s="536" customFormat="1" ht="12" x14ac:dyDescent="0.2">
      <c r="A44" s="605"/>
      <c r="B44" s="552" t="s">
        <v>186</v>
      </c>
      <c r="C44" s="1822" t="s">
        <v>344</v>
      </c>
      <c r="D44" s="1822"/>
      <c r="E44" s="1822"/>
      <c r="F44" s="562"/>
      <c r="G44" s="562"/>
      <c r="H44" s="562"/>
      <c r="I44" s="562"/>
      <c r="J44" s="604">
        <v>1.81</v>
      </c>
      <c r="K44" s="562" t="s">
        <v>313</v>
      </c>
      <c r="L44" s="604">
        <v>38.46</v>
      </c>
      <c r="M44" s="603"/>
      <c r="N44" s="602"/>
      <c r="V44" s="674"/>
      <c r="W44" s="675"/>
      <c r="Z44" s="537" t="s">
        <v>344</v>
      </c>
    </row>
    <row r="45" spans="1:27" s="536" customFormat="1" ht="12" x14ac:dyDescent="0.2">
      <c r="A45" s="605"/>
      <c r="B45" s="552" t="s">
        <v>187</v>
      </c>
      <c r="C45" s="1822" t="s">
        <v>345</v>
      </c>
      <c r="D45" s="1822"/>
      <c r="E45" s="1822"/>
      <c r="F45" s="562"/>
      <c r="G45" s="562"/>
      <c r="H45" s="562"/>
      <c r="I45" s="562"/>
      <c r="J45" s="604">
        <v>0.26</v>
      </c>
      <c r="K45" s="562" t="s">
        <v>313</v>
      </c>
      <c r="L45" s="604">
        <v>5.53</v>
      </c>
      <c r="M45" s="603"/>
      <c r="N45" s="602"/>
      <c r="V45" s="674"/>
      <c r="W45" s="675"/>
      <c r="Z45" s="537" t="s">
        <v>345</v>
      </c>
    </row>
    <row r="46" spans="1:27" s="536" customFormat="1" ht="12" x14ac:dyDescent="0.2">
      <c r="A46" s="605"/>
      <c r="B46" s="552" t="s">
        <v>188</v>
      </c>
      <c r="C46" s="1822" t="s">
        <v>475</v>
      </c>
      <c r="D46" s="1822"/>
      <c r="E46" s="1822"/>
      <c r="F46" s="562"/>
      <c r="G46" s="562"/>
      <c r="H46" s="562"/>
      <c r="I46" s="562"/>
      <c r="J46" s="604">
        <v>2.5099999999999998</v>
      </c>
      <c r="K46" s="562"/>
      <c r="L46" s="604">
        <v>42.67</v>
      </c>
      <c r="M46" s="603"/>
      <c r="N46" s="602"/>
      <c r="V46" s="674"/>
      <c r="W46" s="675"/>
      <c r="Z46" s="537" t="s">
        <v>475</v>
      </c>
    </row>
    <row r="47" spans="1:27" s="536" customFormat="1" ht="12" x14ac:dyDescent="0.2">
      <c r="A47" s="605"/>
      <c r="B47" s="552"/>
      <c r="C47" s="1822" t="s">
        <v>314</v>
      </c>
      <c r="D47" s="1822"/>
      <c r="E47" s="1822"/>
      <c r="F47" s="562" t="s">
        <v>315</v>
      </c>
      <c r="G47" s="562" t="s">
        <v>2760</v>
      </c>
      <c r="H47" s="562" t="s">
        <v>313</v>
      </c>
      <c r="I47" s="562" t="s">
        <v>2336</v>
      </c>
      <c r="J47" s="604"/>
      <c r="K47" s="562"/>
      <c r="L47" s="604"/>
      <c r="M47" s="603"/>
      <c r="N47" s="602"/>
      <c r="V47" s="674"/>
      <c r="W47" s="675"/>
      <c r="AA47" s="537" t="s">
        <v>314</v>
      </c>
    </row>
    <row r="48" spans="1:27" s="536" customFormat="1" ht="12" x14ac:dyDescent="0.2">
      <c r="A48" s="605"/>
      <c r="B48" s="552"/>
      <c r="C48" s="1822" t="s">
        <v>348</v>
      </c>
      <c r="D48" s="1822"/>
      <c r="E48" s="1822"/>
      <c r="F48" s="562" t="s">
        <v>315</v>
      </c>
      <c r="G48" s="562" t="s">
        <v>695</v>
      </c>
      <c r="H48" s="562" t="s">
        <v>313</v>
      </c>
      <c r="I48" s="562" t="s">
        <v>2761</v>
      </c>
      <c r="J48" s="604"/>
      <c r="K48" s="562"/>
      <c r="L48" s="604"/>
      <c r="M48" s="603"/>
      <c r="N48" s="602"/>
      <c r="V48" s="674"/>
      <c r="W48" s="675"/>
      <c r="AA48" s="537" t="s">
        <v>348</v>
      </c>
    </row>
    <row r="49" spans="1:30" s="536" customFormat="1" ht="12" x14ac:dyDescent="0.2">
      <c r="A49" s="605"/>
      <c r="B49" s="552"/>
      <c r="C49" s="1828" t="s">
        <v>318</v>
      </c>
      <c r="D49" s="1828"/>
      <c r="E49" s="1828"/>
      <c r="F49" s="608"/>
      <c r="G49" s="608"/>
      <c r="H49" s="608"/>
      <c r="I49" s="608"/>
      <c r="J49" s="607">
        <v>13.84</v>
      </c>
      <c r="K49" s="608"/>
      <c r="L49" s="607">
        <v>283.43</v>
      </c>
      <c r="M49" s="601"/>
      <c r="N49" s="606"/>
      <c r="V49" s="674"/>
      <c r="W49" s="675"/>
      <c r="AB49" s="537" t="s">
        <v>318</v>
      </c>
    </row>
    <row r="50" spans="1:30" s="536" customFormat="1" ht="12" x14ac:dyDescent="0.2">
      <c r="A50" s="605"/>
      <c r="B50" s="552"/>
      <c r="C50" s="1822" t="s">
        <v>319</v>
      </c>
      <c r="D50" s="1822"/>
      <c r="E50" s="1822"/>
      <c r="F50" s="562"/>
      <c r="G50" s="562"/>
      <c r="H50" s="562"/>
      <c r="I50" s="562"/>
      <c r="J50" s="604"/>
      <c r="K50" s="562"/>
      <c r="L50" s="604">
        <v>207.83</v>
      </c>
      <c r="M50" s="603"/>
      <c r="N50" s="602"/>
      <c r="V50" s="674"/>
      <c r="W50" s="675"/>
      <c r="AA50" s="537" t="s">
        <v>319</v>
      </c>
    </row>
    <row r="51" spans="1:30" s="536" customFormat="1" ht="33.75" x14ac:dyDescent="0.2">
      <c r="A51" s="605"/>
      <c r="B51" s="552" t="s">
        <v>1631</v>
      </c>
      <c r="C51" s="1822" t="s">
        <v>1632</v>
      </c>
      <c r="D51" s="1822"/>
      <c r="E51" s="1822"/>
      <c r="F51" s="562" t="s">
        <v>322</v>
      </c>
      <c r="G51" s="562" t="s">
        <v>1633</v>
      </c>
      <c r="H51" s="562"/>
      <c r="I51" s="562" t="s">
        <v>1633</v>
      </c>
      <c r="J51" s="604"/>
      <c r="K51" s="562"/>
      <c r="L51" s="604">
        <v>201.6</v>
      </c>
      <c r="M51" s="603"/>
      <c r="N51" s="602"/>
      <c r="V51" s="674"/>
      <c r="W51" s="675"/>
      <c r="AA51" s="537" t="s">
        <v>1632</v>
      </c>
    </row>
    <row r="52" spans="1:30" s="536" customFormat="1" ht="33.75" x14ac:dyDescent="0.2">
      <c r="A52" s="605"/>
      <c r="B52" s="552" t="s">
        <v>1634</v>
      </c>
      <c r="C52" s="1822" t="s">
        <v>1635</v>
      </c>
      <c r="D52" s="1822"/>
      <c r="E52" s="1822"/>
      <c r="F52" s="562" t="s">
        <v>322</v>
      </c>
      <c r="G52" s="562" t="s">
        <v>786</v>
      </c>
      <c r="H52" s="562"/>
      <c r="I52" s="562" t="s">
        <v>786</v>
      </c>
      <c r="J52" s="604"/>
      <c r="K52" s="562"/>
      <c r="L52" s="604">
        <v>105.99</v>
      </c>
      <c r="M52" s="603"/>
      <c r="N52" s="602"/>
      <c r="V52" s="674"/>
      <c r="W52" s="675"/>
      <c r="AA52" s="537" t="s">
        <v>1635</v>
      </c>
    </row>
    <row r="53" spans="1:30" s="536" customFormat="1" ht="12" x14ac:dyDescent="0.2">
      <c r="A53" s="569"/>
      <c r="B53" s="656"/>
      <c r="C53" s="1823" t="s">
        <v>327</v>
      </c>
      <c r="D53" s="1823"/>
      <c r="E53" s="1823"/>
      <c r="F53" s="573"/>
      <c r="G53" s="573"/>
      <c r="H53" s="573"/>
      <c r="I53" s="573"/>
      <c r="J53" s="572"/>
      <c r="K53" s="573"/>
      <c r="L53" s="572">
        <v>591.02</v>
      </c>
      <c r="M53" s="601"/>
      <c r="N53" s="570"/>
      <c r="V53" s="674"/>
      <c r="W53" s="675"/>
      <c r="AC53" s="675" t="s">
        <v>327</v>
      </c>
    </row>
    <row r="54" spans="1:30" s="536" customFormat="1" ht="33.75" x14ac:dyDescent="0.2">
      <c r="A54" s="575" t="s">
        <v>186</v>
      </c>
      <c r="B54" s="657" t="s">
        <v>2762</v>
      </c>
      <c r="C54" s="1823" t="s">
        <v>2763</v>
      </c>
      <c r="D54" s="1823"/>
      <c r="E54" s="1823"/>
      <c r="F54" s="573" t="s">
        <v>628</v>
      </c>
      <c r="G54" s="573"/>
      <c r="H54" s="573"/>
      <c r="I54" s="573" t="s">
        <v>190</v>
      </c>
      <c r="J54" s="572">
        <v>9097.2000000000007</v>
      </c>
      <c r="K54" s="573" t="s">
        <v>716</v>
      </c>
      <c r="L54" s="572">
        <v>6691.71</v>
      </c>
      <c r="M54" s="571">
        <v>8.32</v>
      </c>
      <c r="N54" s="570">
        <v>55675</v>
      </c>
      <c r="V54" s="674"/>
      <c r="W54" s="675" t="s">
        <v>2763</v>
      </c>
      <c r="AC54" s="675"/>
    </row>
    <row r="55" spans="1:30" s="536" customFormat="1" ht="12" x14ac:dyDescent="0.2">
      <c r="A55" s="569"/>
      <c r="B55" s="656"/>
      <c r="C55" s="661" t="s">
        <v>717</v>
      </c>
      <c r="D55" s="662"/>
      <c r="E55" s="662"/>
      <c r="F55" s="563"/>
      <c r="G55" s="563"/>
      <c r="H55" s="563"/>
      <c r="I55" s="563"/>
      <c r="J55" s="566"/>
      <c r="K55" s="563"/>
      <c r="L55" s="566"/>
      <c r="M55" s="565"/>
      <c r="N55" s="564"/>
      <c r="V55" s="674"/>
      <c r="W55" s="675"/>
      <c r="AC55" s="675"/>
    </row>
    <row r="56" spans="1:30" s="536" customFormat="1" ht="22.5" x14ac:dyDescent="0.2">
      <c r="A56" s="609"/>
      <c r="B56" s="552" t="s">
        <v>718</v>
      </c>
      <c r="C56" s="1822" t="s">
        <v>719</v>
      </c>
      <c r="D56" s="1822"/>
      <c r="E56" s="1822"/>
      <c r="F56" s="1822"/>
      <c r="G56" s="1822"/>
      <c r="H56" s="1822"/>
      <c r="I56" s="1822"/>
      <c r="J56" s="1822"/>
      <c r="K56" s="1822"/>
      <c r="L56" s="1822"/>
      <c r="M56" s="1822"/>
      <c r="N56" s="1827"/>
      <c r="V56" s="674"/>
      <c r="W56" s="675"/>
      <c r="Y56" s="537" t="s">
        <v>719</v>
      </c>
      <c r="AC56" s="675"/>
    </row>
    <row r="57" spans="1:30" s="536" customFormat="1" ht="33.75" x14ac:dyDescent="0.2">
      <c r="A57" s="575" t="s">
        <v>187</v>
      </c>
      <c r="B57" s="657" t="s">
        <v>2764</v>
      </c>
      <c r="C57" s="1823" t="s">
        <v>2765</v>
      </c>
      <c r="D57" s="1823"/>
      <c r="E57" s="1823"/>
      <c r="F57" s="573" t="s">
        <v>628</v>
      </c>
      <c r="G57" s="573"/>
      <c r="H57" s="573"/>
      <c r="I57" s="573" t="s">
        <v>188</v>
      </c>
      <c r="J57" s="572">
        <v>9655.7999999999993</v>
      </c>
      <c r="K57" s="573" t="s">
        <v>716</v>
      </c>
      <c r="L57" s="572">
        <v>4735.1000000000004</v>
      </c>
      <c r="M57" s="571">
        <v>8.32</v>
      </c>
      <c r="N57" s="570">
        <v>39396</v>
      </c>
      <c r="V57" s="674"/>
      <c r="W57" s="675" t="s">
        <v>2765</v>
      </c>
      <c r="AC57" s="675"/>
    </row>
    <row r="58" spans="1:30" s="536" customFormat="1" ht="12" x14ac:dyDescent="0.2">
      <c r="A58" s="569"/>
      <c r="B58" s="656"/>
      <c r="C58" s="661" t="s">
        <v>717</v>
      </c>
      <c r="D58" s="662"/>
      <c r="E58" s="662"/>
      <c r="F58" s="563"/>
      <c r="G58" s="563"/>
      <c r="H58" s="563"/>
      <c r="I58" s="563"/>
      <c r="J58" s="566"/>
      <c r="K58" s="563"/>
      <c r="L58" s="566"/>
      <c r="M58" s="565"/>
      <c r="N58" s="564"/>
      <c r="V58" s="674"/>
      <c r="W58" s="675"/>
      <c r="AC58" s="675"/>
    </row>
    <row r="59" spans="1:30" s="536" customFormat="1" ht="22.5" x14ac:dyDescent="0.2">
      <c r="A59" s="609"/>
      <c r="B59" s="552" t="s">
        <v>718</v>
      </c>
      <c r="C59" s="1822" t="s">
        <v>719</v>
      </c>
      <c r="D59" s="1822"/>
      <c r="E59" s="1822"/>
      <c r="F59" s="1822"/>
      <c r="G59" s="1822"/>
      <c r="H59" s="1822"/>
      <c r="I59" s="1822"/>
      <c r="J59" s="1822"/>
      <c r="K59" s="1822"/>
      <c r="L59" s="1822"/>
      <c r="M59" s="1822"/>
      <c r="N59" s="1827"/>
      <c r="V59" s="674"/>
      <c r="W59" s="675"/>
      <c r="Y59" s="537" t="s">
        <v>719</v>
      </c>
      <c r="AC59" s="675"/>
    </row>
    <row r="60" spans="1:30" s="536" customFormat="1" ht="33.75" x14ac:dyDescent="0.2">
      <c r="A60" s="575" t="s">
        <v>188</v>
      </c>
      <c r="B60" s="657" t="s">
        <v>2766</v>
      </c>
      <c r="C60" s="1823" t="s">
        <v>2767</v>
      </c>
      <c r="D60" s="1823"/>
      <c r="E60" s="1823"/>
      <c r="F60" s="573" t="s">
        <v>628</v>
      </c>
      <c r="G60" s="573"/>
      <c r="H60" s="573"/>
      <c r="I60" s="573" t="s">
        <v>191</v>
      </c>
      <c r="J60" s="572">
        <v>10374</v>
      </c>
      <c r="K60" s="573" t="s">
        <v>716</v>
      </c>
      <c r="L60" s="572">
        <v>8902.64</v>
      </c>
      <c r="M60" s="571">
        <v>8.32</v>
      </c>
      <c r="N60" s="570">
        <v>74070</v>
      </c>
      <c r="V60" s="674"/>
      <c r="W60" s="675" t="s">
        <v>2767</v>
      </c>
      <c r="AC60" s="675"/>
    </row>
    <row r="61" spans="1:30" s="536" customFormat="1" ht="12" x14ac:dyDescent="0.2">
      <c r="A61" s="569"/>
      <c r="B61" s="656"/>
      <c r="C61" s="661" t="s">
        <v>717</v>
      </c>
      <c r="D61" s="662"/>
      <c r="E61" s="662"/>
      <c r="F61" s="563"/>
      <c r="G61" s="563"/>
      <c r="H61" s="563"/>
      <c r="I61" s="563"/>
      <c r="J61" s="566"/>
      <c r="K61" s="563"/>
      <c r="L61" s="566"/>
      <c r="M61" s="565"/>
      <c r="N61" s="564"/>
      <c r="V61" s="674"/>
      <c r="W61" s="675"/>
      <c r="AC61" s="675"/>
    </row>
    <row r="62" spans="1:30" s="536" customFormat="1" ht="22.5" x14ac:dyDescent="0.2">
      <c r="A62" s="609"/>
      <c r="B62" s="552" t="s">
        <v>718</v>
      </c>
      <c r="C62" s="1822" t="s">
        <v>719</v>
      </c>
      <c r="D62" s="1822"/>
      <c r="E62" s="1822"/>
      <c r="F62" s="1822"/>
      <c r="G62" s="1822"/>
      <c r="H62" s="1822"/>
      <c r="I62" s="1822"/>
      <c r="J62" s="1822"/>
      <c r="K62" s="1822"/>
      <c r="L62" s="1822"/>
      <c r="M62" s="1822"/>
      <c r="N62" s="1827"/>
      <c r="V62" s="674"/>
      <c r="W62" s="675"/>
      <c r="Y62" s="537" t="s">
        <v>719</v>
      </c>
      <c r="AC62" s="675"/>
    </row>
    <row r="63" spans="1:30" s="536" customFormat="1" ht="1.5" customHeight="1" x14ac:dyDescent="0.2">
      <c r="A63" s="563"/>
      <c r="B63" s="656"/>
      <c r="C63" s="656"/>
      <c r="D63" s="656"/>
      <c r="E63" s="656"/>
      <c r="F63" s="563"/>
      <c r="G63" s="563"/>
      <c r="H63" s="563"/>
      <c r="I63" s="563"/>
      <c r="J63" s="546"/>
      <c r="K63" s="563"/>
      <c r="L63" s="546"/>
      <c r="M63" s="562"/>
      <c r="N63" s="546"/>
      <c r="V63" s="674"/>
      <c r="W63" s="675"/>
      <c r="AC63" s="675"/>
    </row>
    <row r="64" spans="1:30" s="536" customFormat="1" ht="12" x14ac:dyDescent="0.2">
      <c r="A64" s="557"/>
      <c r="B64" s="556"/>
      <c r="C64" s="1823" t="s">
        <v>2768</v>
      </c>
      <c r="D64" s="1823"/>
      <c r="E64" s="1823"/>
      <c r="F64" s="1823"/>
      <c r="G64" s="1823"/>
      <c r="H64" s="1823"/>
      <c r="I64" s="1823"/>
      <c r="J64" s="1823"/>
      <c r="K64" s="1823"/>
      <c r="L64" s="555"/>
      <c r="M64" s="554"/>
      <c r="N64" s="553"/>
      <c r="V64" s="674"/>
      <c r="W64" s="675"/>
      <c r="AC64" s="675"/>
      <c r="AD64" s="675" t="s">
        <v>2768</v>
      </c>
    </row>
    <row r="65" spans="1:31" s="536" customFormat="1" ht="12" x14ac:dyDescent="0.2">
      <c r="A65" s="548"/>
      <c r="B65" s="552"/>
      <c r="C65" s="1822" t="s">
        <v>403</v>
      </c>
      <c r="D65" s="1822"/>
      <c r="E65" s="1822"/>
      <c r="F65" s="1822"/>
      <c r="G65" s="1822"/>
      <c r="H65" s="1822"/>
      <c r="I65" s="1822"/>
      <c r="J65" s="1822"/>
      <c r="K65" s="1822"/>
      <c r="L65" s="551">
        <v>20612.88</v>
      </c>
      <c r="M65" s="550"/>
      <c r="N65" s="549"/>
      <c r="V65" s="674"/>
      <c r="W65" s="675"/>
      <c r="AC65" s="675"/>
      <c r="AD65" s="675"/>
      <c r="AE65" s="537" t="s">
        <v>403</v>
      </c>
    </row>
    <row r="66" spans="1:31" s="536" customFormat="1" ht="12" x14ac:dyDescent="0.2">
      <c r="A66" s="548"/>
      <c r="B66" s="552"/>
      <c r="C66" s="1822" t="s">
        <v>204</v>
      </c>
      <c r="D66" s="1822"/>
      <c r="E66" s="1822"/>
      <c r="F66" s="1822"/>
      <c r="G66" s="1822"/>
      <c r="H66" s="1822"/>
      <c r="I66" s="1822"/>
      <c r="J66" s="1822"/>
      <c r="K66" s="1822"/>
      <c r="L66" s="551"/>
      <c r="M66" s="550"/>
      <c r="N66" s="549"/>
      <c r="V66" s="674"/>
      <c r="W66" s="675"/>
      <c r="AC66" s="675"/>
      <c r="AD66" s="675"/>
      <c r="AE66" s="537" t="s">
        <v>204</v>
      </c>
    </row>
    <row r="67" spans="1:31" s="536" customFormat="1" ht="12" x14ac:dyDescent="0.2">
      <c r="A67" s="548"/>
      <c r="B67" s="552"/>
      <c r="C67" s="1822" t="s">
        <v>404</v>
      </c>
      <c r="D67" s="1822"/>
      <c r="E67" s="1822"/>
      <c r="F67" s="1822"/>
      <c r="G67" s="1822"/>
      <c r="H67" s="1822"/>
      <c r="I67" s="1822"/>
      <c r="J67" s="1822"/>
      <c r="K67" s="1822"/>
      <c r="L67" s="551">
        <v>202.3</v>
      </c>
      <c r="M67" s="550"/>
      <c r="N67" s="549"/>
      <c r="V67" s="674"/>
      <c r="W67" s="675"/>
      <c r="AC67" s="675"/>
      <c r="AD67" s="675"/>
      <c r="AE67" s="537" t="s">
        <v>404</v>
      </c>
    </row>
    <row r="68" spans="1:31" s="536" customFormat="1" ht="12" x14ac:dyDescent="0.2">
      <c r="A68" s="548"/>
      <c r="B68" s="552"/>
      <c r="C68" s="1822" t="s">
        <v>405</v>
      </c>
      <c r="D68" s="1822"/>
      <c r="E68" s="1822"/>
      <c r="F68" s="1822"/>
      <c r="G68" s="1822"/>
      <c r="H68" s="1822"/>
      <c r="I68" s="1822"/>
      <c r="J68" s="1822"/>
      <c r="K68" s="1822"/>
      <c r="L68" s="551">
        <v>38.46</v>
      </c>
      <c r="M68" s="550"/>
      <c r="N68" s="549"/>
      <c r="V68" s="674"/>
      <c r="W68" s="675"/>
      <c r="AC68" s="675"/>
      <c r="AD68" s="675"/>
      <c r="AE68" s="537" t="s">
        <v>405</v>
      </c>
    </row>
    <row r="69" spans="1:31" s="536" customFormat="1" ht="12" x14ac:dyDescent="0.2">
      <c r="A69" s="548"/>
      <c r="B69" s="552"/>
      <c r="C69" s="1822" t="s">
        <v>406</v>
      </c>
      <c r="D69" s="1822"/>
      <c r="E69" s="1822"/>
      <c r="F69" s="1822"/>
      <c r="G69" s="1822"/>
      <c r="H69" s="1822"/>
      <c r="I69" s="1822"/>
      <c r="J69" s="1822"/>
      <c r="K69" s="1822"/>
      <c r="L69" s="551">
        <v>5.53</v>
      </c>
      <c r="M69" s="550"/>
      <c r="N69" s="549"/>
      <c r="V69" s="674"/>
      <c r="W69" s="675"/>
      <c r="AC69" s="675"/>
      <c r="AD69" s="675"/>
      <c r="AE69" s="537" t="s">
        <v>406</v>
      </c>
    </row>
    <row r="70" spans="1:31" s="536" customFormat="1" ht="12" x14ac:dyDescent="0.2">
      <c r="A70" s="548"/>
      <c r="B70" s="552"/>
      <c r="C70" s="1822" t="s">
        <v>480</v>
      </c>
      <c r="D70" s="1822"/>
      <c r="E70" s="1822"/>
      <c r="F70" s="1822"/>
      <c r="G70" s="1822"/>
      <c r="H70" s="1822"/>
      <c r="I70" s="1822"/>
      <c r="J70" s="1822"/>
      <c r="K70" s="1822"/>
      <c r="L70" s="551">
        <v>20372.12</v>
      </c>
      <c r="M70" s="550"/>
      <c r="N70" s="549"/>
      <c r="V70" s="674"/>
      <c r="W70" s="675"/>
      <c r="AC70" s="675"/>
      <c r="AD70" s="675"/>
      <c r="AE70" s="537" t="s">
        <v>480</v>
      </c>
    </row>
    <row r="71" spans="1:31" s="536" customFormat="1" ht="12" x14ac:dyDescent="0.2">
      <c r="A71" s="548"/>
      <c r="B71" s="552"/>
      <c r="C71" s="1822" t="s">
        <v>407</v>
      </c>
      <c r="D71" s="1822"/>
      <c r="E71" s="1822"/>
      <c r="F71" s="1822"/>
      <c r="G71" s="1822"/>
      <c r="H71" s="1822"/>
      <c r="I71" s="1822"/>
      <c r="J71" s="1822"/>
      <c r="K71" s="1822"/>
      <c r="L71" s="551">
        <v>20329.45</v>
      </c>
      <c r="M71" s="550"/>
      <c r="N71" s="549"/>
      <c r="V71" s="674"/>
      <c r="W71" s="675"/>
      <c r="AC71" s="675"/>
      <c r="AD71" s="675"/>
      <c r="AE71" s="537" t="s">
        <v>407</v>
      </c>
    </row>
    <row r="72" spans="1:31" s="536" customFormat="1" ht="12" x14ac:dyDescent="0.2">
      <c r="A72" s="548"/>
      <c r="B72" s="552"/>
      <c r="C72" s="1822" t="s">
        <v>204</v>
      </c>
      <c r="D72" s="1822"/>
      <c r="E72" s="1822"/>
      <c r="F72" s="1822"/>
      <c r="G72" s="1822"/>
      <c r="H72" s="1822"/>
      <c r="I72" s="1822"/>
      <c r="J72" s="1822"/>
      <c r="K72" s="1822"/>
      <c r="L72" s="551"/>
      <c r="M72" s="550"/>
      <c r="N72" s="549"/>
      <c r="V72" s="674"/>
      <c r="W72" s="675"/>
      <c r="AC72" s="675"/>
      <c r="AD72" s="675"/>
      <c r="AE72" s="537" t="s">
        <v>204</v>
      </c>
    </row>
    <row r="73" spans="1:31" s="536" customFormat="1" ht="12" x14ac:dyDescent="0.2">
      <c r="A73" s="548"/>
      <c r="B73" s="552"/>
      <c r="C73" s="1822" t="s">
        <v>547</v>
      </c>
      <c r="D73" s="1822"/>
      <c r="E73" s="1822"/>
      <c r="F73" s="1822"/>
      <c r="G73" s="1822"/>
      <c r="H73" s="1822"/>
      <c r="I73" s="1822"/>
      <c r="J73" s="1822"/>
      <c r="K73" s="1822"/>
      <c r="L73" s="551">
        <v>20329.45</v>
      </c>
      <c r="M73" s="550"/>
      <c r="N73" s="549"/>
      <c r="V73" s="674"/>
      <c r="W73" s="675"/>
      <c r="AC73" s="675"/>
      <c r="AD73" s="675"/>
      <c r="AE73" s="537" t="s">
        <v>547</v>
      </c>
    </row>
    <row r="74" spans="1:31" s="536" customFormat="1" ht="12" x14ac:dyDescent="0.2">
      <c r="A74" s="548"/>
      <c r="B74" s="552"/>
      <c r="C74" s="1822" t="s">
        <v>753</v>
      </c>
      <c r="D74" s="1822"/>
      <c r="E74" s="1822"/>
      <c r="F74" s="1822"/>
      <c r="G74" s="1822"/>
      <c r="H74" s="1822"/>
      <c r="I74" s="1822"/>
      <c r="J74" s="1822"/>
      <c r="K74" s="1822"/>
      <c r="L74" s="551">
        <v>591.02</v>
      </c>
      <c r="M74" s="550"/>
      <c r="N74" s="549"/>
      <c r="V74" s="674"/>
      <c r="W74" s="675"/>
      <c r="AC74" s="675"/>
      <c r="AD74" s="675"/>
      <c r="AE74" s="537" t="s">
        <v>753</v>
      </c>
    </row>
    <row r="75" spans="1:31" s="536" customFormat="1" ht="12" x14ac:dyDescent="0.2">
      <c r="A75" s="548"/>
      <c r="B75" s="552"/>
      <c r="C75" s="1822" t="s">
        <v>204</v>
      </c>
      <c r="D75" s="1822"/>
      <c r="E75" s="1822"/>
      <c r="F75" s="1822"/>
      <c r="G75" s="1822"/>
      <c r="H75" s="1822"/>
      <c r="I75" s="1822"/>
      <c r="J75" s="1822"/>
      <c r="K75" s="1822"/>
      <c r="L75" s="551"/>
      <c r="M75" s="550"/>
      <c r="N75" s="549"/>
      <c r="V75" s="674"/>
      <c r="W75" s="675"/>
      <c r="AC75" s="675"/>
      <c r="AD75" s="675"/>
      <c r="AE75" s="537" t="s">
        <v>204</v>
      </c>
    </row>
    <row r="76" spans="1:31" s="536" customFormat="1" ht="12" x14ac:dyDescent="0.2">
      <c r="A76" s="548"/>
      <c r="B76" s="552"/>
      <c r="C76" s="1822" t="s">
        <v>546</v>
      </c>
      <c r="D76" s="1822"/>
      <c r="E76" s="1822"/>
      <c r="F76" s="1822"/>
      <c r="G76" s="1822"/>
      <c r="H76" s="1822"/>
      <c r="I76" s="1822"/>
      <c r="J76" s="1822"/>
      <c r="K76" s="1822"/>
      <c r="L76" s="551">
        <v>202.3</v>
      </c>
      <c r="M76" s="550"/>
      <c r="N76" s="549"/>
      <c r="V76" s="674"/>
      <c r="W76" s="675"/>
      <c r="AC76" s="675"/>
      <c r="AD76" s="675"/>
      <c r="AE76" s="537" t="s">
        <v>546</v>
      </c>
    </row>
    <row r="77" spans="1:31" s="536" customFormat="1" ht="12" x14ac:dyDescent="0.2">
      <c r="A77" s="548"/>
      <c r="B77" s="552"/>
      <c r="C77" s="1822" t="s">
        <v>442</v>
      </c>
      <c r="D77" s="1822"/>
      <c r="E77" s="1822"/>
      <c r="F77" s="1822"/>
      <c r="G77" s="1822"/>
      <c r="H77" s="1822"/>
      <c r="I77" s="1822"/>
      <c r="J77" s="1822"/>
      <c r="K77" s="1822"/>
      <c r="L77" s="551">
        <v>38.46</v>
      </c>
      <c r="M77" s="550"/>
      <c r="N77" s="549"/>
      <c r="V77" s="674"/>
      <c r="W77" s="675"/>
      <c r="AC77" s="675"/>
      <c r="AD77" s="675"/>
      <c r="AE77" s="537" t="s">
        <v>442</v>
      </c>
    </row>
    <row r="78" spans="1:31" s="536" customFormat="1" ht="12" x14ac:dyDescent="0.2">
      <c r="A78" s="548"/>
      <c r="B78" s="552"/>
      <c r="C78" s="1822" t="s">
        <v>547</v>
      </c>
      <c r="D78" s="1822"/>
      <c r="E78" s="1822"/>
      <c r="F78" s="1822"/>
      <c r="G78" s="1822"/>
      <c r="H78" s="1822"/>
      <c r="I78" s="1822"/>
      <c r="J78" s="1822"/>
      <c r="K78" s="1822"/>
      <c r="L78" s="551">
        <v>42.67</v>
      </c>
      <c r="M78" s="550"/>
      <c r="N78" s="549"/>
      <c r="V78" s="674"/>
      <c r="W78" s="675"/>
      <c r="AC78" s="675"/>
      <c r="AD78" s="675"/>
      <c r="AE78" s="537" t="s">
        <v>547</v>
      </c>
    </row>
    <row r="79" spans="1:31" s="536" customFormat="1" ht="12" x14ac:dyDescent="0.2">
      <c r="A79" s="548"/>
      <c r="B79" s="552"/>
      <c r="C79" s="1822" t="s">
        <v>443</v>
      </c>
      <c r="D79" s="1822"/>
      <c r="E79" s="1822"/>
      <c r="F79" s="1822"/>
      <c r="G79" s="1822"/>
      <c r="H79" s="1822"/>
      <c r="I79" s="1822"/>
      <c r="J79" s="1822"/>
      <c r="K79" s="1822"/>
      <c r="L79" s="551">
        <v>201.6</v>
      </c>
      <c r="M79" s="550"/>
      <c r="N79" s="549"/>
      <c r="V79" s="674"/>
      <c r="W79" s="675"/>
      <c r="AC79" s="675"/>
      <c r="AD79" s="675"/>
      <c r="AE79" s="537" t="s">
        <v>443</v>
      </c>
    </row>
    <row r="80" spans="1:31" s="536" customFormat="1" ht="12" x14ac:dyDescent="0.2">
      <c r="A80" s="548"/>
      <c r="B80" s="552"/>
      <c r="C80" s="1822" t="s">
        <v>444</v>
      </c>
      <c r="D80" s="1822"/>
      <c r="E80" s="1822"/>
      <c r="F80" s="1822"/>
      <c r="G80" s="1822"/>
      <c r="H80" s="1822"/>
      <c r="I80" s="1822"/>
      <c r="J80" s="1822"/>
      <c r="K80" s="1822"/>
      <c r="L80" s="551">
        <v>105.99</v>
      </c>
      <c r="M80" s="550"/>
      <c r="N80" s="549"/>
      <c r="V80" s="674"/>
      <c r="W80" s="675"/>
      <c r="AC80" s="675"/>
      <c r="AD80" s="675"/>
      <c r="AE80" s="537" t="s">
        <v>444</v>
      </c>
    </row>
    <row r="81" spans="1:33" s="536" customFormat="1" ht="12" x14ac:dyDescent="0.2">
      <c r="A81" s="548"/>
      <c r="B81" s="552"/>
      <c r="C81" s="1822" t="s">
        <v>415</v>
      </c>
      <c r="D81" s="1822"/>
      <c r="E81" s="1822"/>
      <c r="F81" s="1822"/>
      <c r="G81" s="1822"/>
      <c r="H81" s="1822"/>
      <c r="I81" s="1822"/>
      <c r="J81" s="1822"/>
      <c r="K81" s="1822"/>
      <c r="L81" s="551">
        <v>207.83</v>
      </c>
      <c r="M81" s="550"/>
      <c r="N81" s="549"/>
      <c r="V81" s="674"/>
      <c r="W81" s="675"/>
      <c r="AC81" s="675"/>
      <c r="AD81" s="675"/>
      <c r="AE81" s="537" t="s">
        <v>415</v>
      </c>
    </row>
    <row r="82" spans="1:33" s="536" customFormat="1" ht="12" x14ac:dyDescent="0.2">
      <c r="A82" s="548"/>
      <c r="B82" s="552"/>
      <c r="C82" s="1822" t="s">
        <v>416</v>
      </c>
      <c r="D82" s="1822"/>
      <c r="E82" s="1822"/>
      <c r="F82" s="1822"/>
      <c r="G82" s="1822"/>
      <c r="H82" s="1822"/>
      <c r="I82" s="1822"/>
      <c r="J82" s="1822"/>
      <c r="K82" s="1822"/>
      <c r="L82" s="551">
        <v>201.6</v>
      </c>
      <c r="M82" s="550"/>
      <c r="N82" s="549"/>
      <c r="V82" s="674"/>
      <c r="W82" s="675"/>
      <c r="AC82" s="675"/>
      <c r="AD82" s="675"/>
      <c r="AE82" s="537" t="s">
        <v>416</v>
      </c>
    </row>
    <row r="83" spans="1:33" s="536" customFormat="1" ht="12" x14ac:dyDescent="0.2">
      <c r="A83" s="548"/>
      <c r="B83" s="552"/>
      <c r="C83" s="1822" t="s">
        <v>417</v>
      </c>
      <c r="D83" s="1822"/>
      <c r="E83" s="1822"/>
      <c r="F83" s="1822"/>
      <c r="G83" s="1822"/>
      <c r="H83" s="1822"/>
      <c r="I83" s="1822"/>
      <c r="J83" s="1822"/>
      <c r="K83" s="1822"/>
      <c r="L83" s="551">
        <v>105.99</v>
      </c>
      <c r="M83" s="550"/>
      <c r="N83" s="549"/>
      <c r="V83" s="674"/>
      <c r="W83" s="675"/>
      <c r="AC83" s="675"/>
      <c r="AD83" s="675"/>
      <c r="AE83" s="537" t="s">
        <v>417</v>
      </c>
    </row>
    <row r="84" spans="1:33" s="536" customFormat="1" ht="12" x14ac:dyDescent="0.2">
      <c r="A84" s="548"/>
      <c r="B84" s="546"/>
      <c r="C84" s="1819" t="s">
        <v>2769</v>
      </c>
      <c r="D84" s="1819"/>
      <c r="E84" s="1819"/>
      <c r="F84" s="1819"/>
      <c r="G84" s="1819"/>
      <c r="H84" s="1819"/>
      <c r="I84" s="1819"/>
      <c r="J84" s="1819"/>
      <c r="K84" s="1819"/>
      <c r="L84" s="544">
        <v>20920.47</v>
      </c>
      <c r="M84" s="543"/>
      <c r="N84" s="681"/>
      <c r="V84" s="674"/>
      <c r="W84" s="675"/>
      <c r="AC84" s="675"/>
      <c r="AD84" s="675"/>
      <c r="AF84" s="675" t="s">
        <v>2769</v>
      </c>
    </row>
    <row r="85" spans="1:33" s="536" customFormat="1" ht="12" x14ac:dyDescent="0.2">
      <c r="A85" s="548"/>
      <c r="B85" s="552"/>
      <c r="C85" s="1822" t="s">
        <v>204</v>
      </c>
      <c r="D85" s="1822"/>
      <c r="E85" s="1822"/>
      <c r="F85" s="1822"/>
      <c r="G85" s="1822"/>
      <c r="H85" s="1822"/>
      <c r="I85" s="1822"/>
      <c r="J85" s="1822"/>
      <c r="K85" s="1822"/>
      <c r="L85" s="551"/>
      <c r="M85" s="550"/>
      <c r="N85" s="549"/>
      <c r="V85" s="674"/>
      <c r="W85" s="675"/>
      <c r="AC85" s="675"/>
      <c r="AD85" s="675"/>
      <c r="AE85" s="537" t="s">
        <v>204</v>
      </c>
      <c r="AF85" s="675"/>
    </row>
    <row r="86" spans="1:33" s="536" customFormat="1" ht="12" x14ac:dyDescent="0.2">
      <c r="A86" s="548"/>
      <c r="B86" s="552"/>
      <c r="C86" s="1822" t="s">
        <v>8095</v>
      </c>
      <c r="D86" s="1822"/>
      <c r="E86" s="1822"/>
      <c r="F86" s="1822"/>
      <c r="G86" s="1822"/>
      <c r="H86" s="1822"/>
      <c r="I86" s="1822"/>
      <c r="J86" s="1822"/>
      <c r="K86" s="1822"/>
      <c r="L86" s="551">
        <v>20329.45</v>
      </c>
      <c r="M86" s="550"/>
      <c r="N86" s="549"/>
      <c r="V86" s="674"/>
      <c r="W86" s="675"/>
      <c r="AC86" s="675"/>
      <c r="AD86" s="675"/>
      <c r="AE86" s="537" t="s">
        <v>8095</v>
      </c>
      <c r="AF86" s="675"/>
    </row>
    <row r="87" spans="1:33" s="536" customFormat="1" ht="12" x14ac:dyDescent="0.2">
      <c r="A87" s="1824" t="s">
        <v>2770</v>
      </c>
      <c r="B87" s="1825"/>
      <c r="C87" s="1825"/>
      <c r="D87" s="1825"/>
      <c r="E87" s="1825"/>
      <c r="F87" s="1825"/>
      <c r="G87" s="1825"/>
      <c r="H87" s="1825"/>
      <c r="I87" s="1825"/>
      <c r="J87" s="1825"/>
      <c r="K87" s="1825"/>
      <c r="L87" s="1825"/>
      <c r="M87" s="1825"/>
      <c r="N87" s="1826"/>
      <c r="V87" s="674" t="s">
        <v>2770</v>
      </c>
      <c r="W87" s="675"/>
      <c r="AC87" s="675"/>
      <c r="AD87" s="675"/>
      <c r="AF87" s="675"/>
    </row>
    <row r="88" spans="1:33" s="536" customFormat="1" ht="12" x14ac:dyDescent="0.2">
      <c r="A88" s="1830" t="s">
        <v>2771</v>
      </c>
      <c r="B88" s="1831"/>
      <c r="C88" s="1831"/>
      <c r="D88" s="1831"/>
      <c r="E88" s="1831"/>
      <c r="F88" s="1831"/>
      <c r="G88" s="1831"/>
      <c r="H88" s="1831"/>
      <c r="I88" s="1831"/>
      <c r="J88" s="1831"/>
      <c r="K88" s="1831"/>
      <c r="L88" s="1831"/>
      <c r="M88" s="1831"/>
      <c r="N88" s="1832"/>
      <c r="V88" s="674"/>
      <c r="W88" s="675"/>
      <c r="AC88" s="675"/>
      <c r="AD88" s="675"/>
      <c r="AF88" s="675"/>
      <c r="AG88" s="675" t="s">
        <v>2771</v>
      </c>
    </row>
    <row r="89" spans="1:33" s="536" customFormat="1" ht="22.5" x14ac:dyDescent="0.2">
      <c r="A89" s="575" t="s">
        <v>189</v>
      </c>
      <c r="B89" s="657" t="s">
        <v>2772</v>
      </c>
      <c r="C89" s="1823" t="s">
        <v>2773</v>
      </c>
      <c r="D89" s="1823"/>
      <c r="E89" s="1823"/>
      <c r="F89" s="573" t="s">
        <v>617</v>
      </c>
      <c r="G89" s="573"/>
      <c r="H89" s="573"/>
      <c r="I89" s="573" t="s">
        <v>185</v>
      </c>
      <c r="J89" s="572"/>
      <c r="K89" s="573"/>
      <c r="L89" s="572"/>
      <c r="M89" s="571"/>
      <c r="N89" s="570"/>
      <c r="V89" s="674"/>
      <c r="W89" s="675" t="s">
        <v>2773</v>
      </c>
      <c r="AC89" s="675"/>
      <c r="AD89" s="675"/>
      <c r="AF89" s="675"/>
      <c r="AG89" s="675"/>
    </row>
    <row r="90" spans="1:33" s="536" customFormat="1" ht="12" x14ac:dyDescent="0.2">
      <c r="A90" s="609"/>
      <c r="B90" s="552" t="s">
        <v>2774</v>
      </c>
      <c r="C90" s="1822" t="s">
        <v>2775</v>
      </c>
      <c r="D90" s="1822"/>
      <c r="E90" s="1822"/>
      <c r="F90" s="1822"/>
      <c r="G90" s="1822"/>
      <c r="H90" s="1822"/>
      <c r="I90" s="1822"/>
      <c r="J90" s="1822"/>
      <c r="K90" s="1822"/>
      <c r="L90" s="1822"/>
      <c r="M90" s="1822"/>
      <c r="N90" s="1827"/>
      <c r="V90" s="674"/>
      <c r="W90" s="675"/>
      <c r="Y90" s="537" t="s">
        <v>2775</v>
      </c>
      <c r="AC90" s="675"/>
      <c r="AD90" s="675"/>
      <c r="AF90" s="675"/>
      <c r="AG90" s="675"/>
    </row>
    <row r="91" spans="1:33" s="536" customFormat="1" ht="22.5" x14ac:dyDescent="0.2">
      <c r="A91" s="609"/>
      <c r="B91" s="552" t="s">
        <v>499</v>
      </c>
      <c r="C91" s="1822" t="s">
        <v>500</v>
      </c>
      <c r="D91" s="1822"/>
      <c r="E91" s="1822"/>
      <c r="F91" s="1822"/>
      <c r="G91" s="1822"/>
      <c r="H91" s="1822"/>
      <c r="I91" s="1822"/>
      <c r="J91" s="1822"/>
      <c r="K91" s="1822"/>
      <c r="L91" s="1822"/>
      <c r="M91" s="1822"/>
      <c r="N91" s="1827"/>
      <c r="V91" s="674"/>
      <c r="W91" s="675"/>
      <c r="Y91" s="537" t="s">
        <v>500</v>
      </c>
      <c r="AC91" s="675"/>
      <c r="AD91" s="675"/>
      <c r="AF91" s="675"/>
      <c r="AG91" s="675"/>
    </row>
    <row r="92" spans="1:33" s="536" customFormat="1" ht="12" x14ac:dyDescent="0.2">
      <c r="A92" s="605"/>
      <c r="B92" s="552" t="s">
        <v>185</v>
      </c>
      <c r="C92" s="1822" t="s">
        <v>312</v>
      </c>
      <c r="D92" s="1822"/>
      <c r="E92" s="1822"/>
      <c r="F92" s="562"/>
      <c r="G92" s="562"/>
      <c r="H92" s="562"/>
      <c r="I92" s="562"/>
      <c r="J92" s="604">
        <v>35.11</v>
      </c>
      <c r="K92" s="562" t="s">
        <v>2776</v>
      </c>
      <c r="L92" s="604">
        <v>46.08</v>
      </c>
      <c r="M92" s="603"/>
      <c r="N92" s="602"/>
      <c r="V92" s="674"/>
      <c r="W92" s="675"/>
      <c r="Z92" s="537" t="s">
        <v>312</v>
      </c>
      <c r="AC92" s="675"/>
      <c r="AD92" s="675"/>
      <c r="AF92" s="675"/>
      <c r="AG92" s="675"/>
    </row>
    <row r="93" spans="1:33" s="536" customFormat="1" ht="12" x14ac:dyDescent="0.2">
      <c r="A93" s="605"/>
      <c r="B93" s="552" t="s">
        <v>186</v>
      </c>
      <c r="C93" s="1822" t="s">
        <v>344</v>
      </c>
      <c r="D93" s="1822"/>
      <c r="E93" s="1822"/>
      <c r="F93" s="562"/>
      <c r="G93" s="562"/>
      <c r="H93" s="562"/>
      <c r="I93" s="562"/>
      <c r="J93" s="604">
        <v>6.62</v>
      </c>
      <c r="K93" s="562" t="s">
        <v>2776</v>
      </c>
      <c r="L93" s="604">
        <v>8.69</v>
      </c>
      <c r="M93" s="603"/>
      <c r="N93" s="602"/>
      <c r="V93" s="674"/>
      <c r="W93" s="675"/>
      <c r="Z93" s="537" t="s">
        <v>344</v>
      </c>
      <c r="AC93" s="675"/>
      <c r="AD93" s="675"/>
      <c r="AF93" s="675"/>
      <c r="AG93" s="675"/>
    </row>
    <row r="94" spans="1:33" s="536" customFormat="1" ht="12" x14ac:dyDescent="0.2">
      <c r="A94" s="605"/>
      <c r="B94" s="552" t="s">
        <v>187</v>
      </c>
      <c r="C94" s="1822" t="s">
        <v>345</v>
      </c>
      <c r="D94" s="1822"/>
      <c r="E94" s="1822"/>
      <c r="F94" s="562"/>
      <c r="G94" s="562"/>
      <c r="H94" s="562"/>
      <c r="I94" s="562"/>
      <c r="J94" s="604">
        <v>0.6</v>
      </c>
      <c r="K94" s="562" t="s">
        <v>2776</v>
      </c>
      <c r="L94" s="604">
        <v>0.79</v>
      </c>
      <c r="M94" s="603"/>
      <c r="N94" s="602"/>
      <c r="V94" s="674"/>
      <c r="W94" s="675"/>
      <c r="Z94" s="537" t="s">
        <v>345</v>
      </c>
      <c r="AC94" s="675"/>
      <c r="AD94" s="675"/>
      <c r="AF94" s="675"/>
      <c r="AG94" s="675"/>
    </row>
    <row r="95" spans="1:33" s="536" customFormat="1" ht="12" x14ac:dyDescent="0.2">
      <c r="A95" s="605"/>
      <c r="B95" s="552" t="s">
        <v>188</v>
      </c>
      <c r="C95" s="1822" t="s">
        <v>475</v>
      </c>
      <c r="D95" s="1822"/>
      <c r="E95" s="1822"/>
      <c r="F95" s="562"/>
      <c r="G95" s="562"/>
      <c r="H95" s="562"/>
      <c r="I95" s="562"/>
      <c r="J95" s="604">
        <v>2.0299999999999998</v>
      </c>
      <c r="K95" s="562"/>
      <c r="L95" s="604">
        <v>2.0299999999999998</v>
      </c>
      <c r="M95" s="603"/>
      <c r="N95" s="602"/>
      <c r="V95" s="674"/>
      <c r="W95" s="675"/>
      <c r="Z95" s="537" t="s">
        <v>475</v>
      </c>
      <c r="AC95" s="675"/>
      <c r="AD95" s="675"/>
      <c r="AF95" s="675"/>
      <c r="AG95" s="675"/>
    </row>
    <row r="96" spans="1:33" s="536" customFormat="1" ht="12" x14ac:dyDescent="0.2">
      <c r="A96" s="605"/>
      <c r="B96" s="552"/>
      <c r="C96" s="1822" t="s">
        <v>314</v>
      </c>
      <c r="D96" s="1822"/>
      <c r="E96" s="1822"/>
      <c r="F96" s="562" t="s">
        <v>315</v>
      </c>
      <c r="G96" s="562" t="s">
        <v>2777</v>
      </c>
      <c r="H96" s="562" t="s">
        <v>2776</v>
      </c>
      <c r="I96" s="562" t="s">
        <v>2778</v>
      </c>
      <c r="J96" s="604"/>
      <c r="K96" s="562"/>
      <c r="L96" s="604"/>
      <c r="M96" s="603"/>
      <c r="N96" s="602"/>
      <c r="V96" s="674"/>
      <c r="W96" s="675"/>
      <c r="AA96" s="537" t="s">
        <v>314</v>
      </c>
      <c r="AC96" s="675"/>
      <c r="AD96" s="675"/>
      <c r="AF96" s="675"/>
      <c r="AG96" s="675"/>
    </row>
    <row r="97" spans="1:33" s="536" customFormat="1" ht="12" x14ac:dyDescent="0.2">
      <c r="A97" s="605"/>
      <c r="B97" s="552"/>
      <c r="C97" s="1822" t="s">
        <v>348</v>
      </c>
      <c r="D97" s="1822"/>
      <c r="E97" s="1822"/>
      <c r="F97" s="562" t="s">
        <v>315</v>
      </c>
      <c r="G97" s="562" t="s">
        <v>856</v>
      </c>
      <c r="H97" s="562" t="s">
        <v>2776</v>
      </c>
      <c r="I97" s="562" t="s">
        <v>2779</v>
      </c>
      <c r="J97" s="604"/>
      <c r="K97" s="562"/>
      <c r="L97" s="604"/>
      <c r="M97" s="603"/>
      <c r="N97" s="602"/>
      <c r="V97" s="674"/>
      <c r="W97" s="675"/>
      <c r="AA97" s="537" t="s">
        <v>348</v>
      </c>
      <c r="AC97" s="675"/>
      <c r="AD97" s="675"/>
      <c r="AF97" s="675"/>
      <c r="AG97" s="675"/>
    </row>
    <row r="98" spans="1:33" s="536" customFormat="1" ht="12" x14ac:dyDescent="0.2">
      <c r="A98" s="605"/>
      <c r="B98" s="552"/>
      <c r="C98" s="1828" t="s">
        <v>318</v>
      </c>
      <c r="D98" s="1828"/>
      <c r="E98" s="1828"/>
      <c r="F98" s="608"/>
      <c r="G98" s="608"/>
      <c r="H98" s="608"/>
      <c r="I98" s="608"/>
      <c r="J98" s="607">
        <v>43.76</v>
      </c>
      <c r="K98" s="608"/>
      <c r="L98" s="607">
        <v>56.8</v>
      </c>
      <c r="M98" s="601"/>
      <c r="N98" s="606"/>
      <c r="V98" s="674"/>
      <c r="W98" s="675"/>
      <c r="AB98" s="537" t="s">
        <v>318</v>
      </c>
      <c r="AC98" s="675"/>
      <c r="AD98" s="675"/>
      <c r="AF98" s="675"/>
      <c r="AG98" s="675"/>
    </row>
    <row r="99" spans="1:33" s="536" customFormat="1" ht="12" x14ac:dyDescent="0.2">
      <c r="A99" s="605"/>
      <c r="B99" s="552"/>
      <c r="C99" s="1822" t="s">
        <v>319</v>
      </c>
      <c r="D99" s="1822"/>
      <c r="E99" s="1822"/>
      <c r="F99" s="562"/>
      <c r="G99" s="562"/>
      <c r="H99" s="562"/>
      <c r="I99" s="562"/>
      <c r="J99" s="604"/>
      <c r="K99" s="562"/>
      <c r="L99" s="604">
        <v>46.87</v>
      </c>
      <c r="M99" s="603"/>
      <c r="N99" s="602"/>
      <c r="V99" s="674"/>
      <c r="W99" s="675"/>
      <c r="AA99" s="537" t="s">
        <v>319</v>
      </c>
      <c r="AC99" s="675"/>
      <c r="AD99" s="675"/>
      <c r="AF99" s="675"/>
      <c r="AG99" s="675"/>
    </row>
    <row r="100" spans="1:33" s="536" customFormat="1" ht="45" x14ac:dyDescent="0.2">
      <c r="A100" s="605"/>
      <c r="B100" s="552" t="s">
        <v>892</v>
      </c>
      <c r="C100" s="1822" t="s">
        <v>893</v>
      </c>
      <c r="D100" s="1822"/>
      <c r="E100" s="1822"/>
      <c r="F100" s="562" t="s">
        <v>322</v>
      </c>
      <c r="G100" s="562" t="s">
        <v>894</v>
      </c>
      <c r="H100" s="562"/>
      <c r="I100" s="562" t="s">
        <v>894</v>
      </c>
      <c r="J100" s="604"/>
      <c r="K100" s="562"/>
      <c r="L100" s="604">
        <v>56.71</v>
      </c>
      <c r="M100" s="603"/>
      <c r="N100" s="602"/>
      <c r="V100" s="674"/>
      <c r="W100" s="675"/>
      <c r="AA100" s="537" t="s">
        <v>893</v>
      </c>
      <c r="AC100" s="675"/>
      <c r="AD100" s="675"/>
      <c r="AF100" s="675"/>
      <c r="AG100" s="675"/>
    </row>
    <row r="101" spans="1:33" s="536" customFormat="1" ht="45" x14ac:dyDescent="0.2">
      <c r="A101" s="605"/>
      <c r="B101" s="552" t="s">
        <v>895</v>
      </c>
      <c r="C101" s="1822" t="s">
        <v>896</v>
      </c>
      <c r="D101" s="1822"/>
      <c r="E101" s="1822"/>
      <c r="F101" s="562" t="s">
        <v>322</v>
      </c>
      <c r="G101" s="562" t="s">
        <v>897</v>
      </c>
      <c r="H101" s="562"/>
      <c r="I101" s="562" t="s">
        <v>897</v>
      </c>
      <c r="J101" s="604"/>
      <c r="K101" s="562"/>
      <c r="L101" s="604">
        <v>33.75</v>
      </c>
      <c r="M101" s="603"/>
      <c r="N101" s="602"/>
      <c r="V101" s="674"/>
      <c r="W101" s="675"/>
      <c r="AA101" s="537" t="s">
        <v>896</v>
      </c>
      <c r="AC101" s="675"/>
      <c r="AD101" s="675"/>
      <c r="AF101" s="675"/>
      <c r="AG101" s="675"/>
    </row>
    <row r="102" spans="1:33" s="536" customFormat="1" ht="12" x14ac:dyDescent="0.2">
      <c r="A102" s="569"/>
      <c r="B102" s="656"/>
      <c r="C102" s="1823" t="s">
        <v>327</v>
      </c>
      <c r="D102" s="1823"/>
      <c r="E102" s="1823"/>
      <c r="F102" s="573"/>
      <c r="G102" s="573"/>
      <c r="H102" s="573"/>
      <c r="I102" s="573"/>
      <c r="J102" s="572"/>
      <c r="K102" s="573"/>
      <c r="L102" s="572">
        <v>147.26</v>
      </c>
      <c r="M102" s="601"/>
      <c r="N102" s="570"/>
      <c r="V102" s="674"/>
      <c r="W102" s="675"/>
      <c r="AC102" s="675" t="s">
        <v>327</v>
      </c>
      <c r="AD102" s="675"/>
      <c r="AF102" s="675"/>
      <c r="AG102" s="675"/>
    </row>
    <row r="103" spans="1:33" s="536" customFormat="1" ht="33.75" x14ac:dyDescent="0.2">
      <c r="A103" s="575" t="s">
        <v>874</v>
      </c>
      <c r="B103" s="657" t="s">
        <v>2780</v>
      </c>
      <c r="C103" s="1823" t="s">
        <v>2781</v>
      </c>
      <c r="D103" s="1823"/>
      <c r="E103" s="1823"/>
      <c r="F103" s="573" t="s">
        <v>628</v>
      </c>
      <c r="G103" s="573"/>
      <c r="H103" s="573"/>
      <c r="I103" s="573" t="s">
        <v>185</v>
      </c>
      <c r="J103" s="572">
        <v>11052.48</v>
      </c>
      <c r="K103" s="573" t="s">
        <v>629</v>
      </c>
      <c r="L103" s="572">
        <v>2436.8200000000002</v>
      </c>
      <c r="M103" s="571">
        <v>4.59</v>
      </c>
      <c r="N103" s="570">
        <v>11185</v>
      </c>
      <c r="V103" s="674"/>
      <c r="W103" s="675" t="s">
        <v>2781</v>
      </c>
      <c r="AC103" s="675"/>
      <c r="AD103" s="675"/>
      <c r="AF103" s="675"/>
      <c r="AG103" s="675"/>
    </row>
    <row r="104" spans="1:33" s="536" customFormat="1" ht="12" x14ac:dyDescent="0.2">
      <c r="A104" s="569"/>
      <c r="B104" s="656"/>
      <c r="C104" s="661" t="s">
        <v>630</v>
      </c>
      <c r="D104" s="662"/>
      <c r="E104" s="662"/>
      <c r="F104" s="563"/>
      <c r="G104" s="563"/>
      <c r="H104" s="563"/>
      <c r="I104" s="563"/>
      <c r="J104" s="566"/>
      <c r="K104" s="563"/>
      <c r="L104" s="566"/>
      <c r="M104" s="565"/>
      <c r="N104" s="564"/>
      <c r="V104" s="674"/>
      <c r="W104" s="675"/>
      <c r="AC104" s="675"/>
      <c r="AD104" s="675"/>
      <c r="AF104" s="675"/>
      <c r="AG104" s="675"/>
    </row>
    <row r="105" spans="1:33" s="536" customFormat="1" ht="22.5" x14ac:dyDescent="0.2">
      <c r="A105" s="609"/>
      <c r="B105" s="552" t="s">
        <v>631</v>
      </c>
      <c r="C105" s="1822" t="s">
        <v>632</v>
      </c>
      <c r="D105" s="1822"/>
      <c r="E105" s="1822"/>
      <c r="F105" s="1822"/>
      <c r="G105" s="1822"/>
      <c r="H105" s="1822"/>
      <c r="I105" s="1822"/>
      <c r="J105" s="1822"/>
      <c r="K105" s="1822"/>
      <c r="L105" s="1822"/>
      <c r="M105" s="1822"/>
      <c r="N105" s="1827"/>
      <c r="V105" s="674"/>
      <c r="W105" s="675"/>
      <c r="Y105" s="537" t="s">
        <v>632</v>
      </c>
      <c r="AC105" s="675"/>
      <c r="AD105" s="675"/>
      <c r="AF105" s="675"/>
      <c r="AG105" s="675"/>
    </row>
    <row r="106" spans="1:33" s="536" customFormat="1" ht="12" x14ac:dyDescent="0.2">
      <c r="A106" s="575" t="s">
        <v>191</v>
      </c>
      <c r="B106" s="657" t="s">
        <v>2782</v>
      </c>
      <c r="C106" s="1823" t="s">
        <v>2783</v>
      </c>
      <c r="D106" s="1823"/>
      <c r="E106" s="1823"/>
      <c r="F106" s="573" t="s">
        <v>617</v>
      </c>
      <c r="G106" s="573"/>
      <c r="H106" s="573"/>
      <c r="I106" s="573" t="s">
        <v>185</v>
      </c>
      <c r="J106" s="572"/>
      <c r="K106" s="573"/>
      <c r="L106" s="572"/>
      <c r="M106" s="571"/>
      <c r="N106" s="570"/>
      <c r="V106" s="674"/>
      <c r="W106" s="675" t="s">
        <v>2783</v>
      </c>
      <c r="AC106" s="675"/>
      <c r="AD106" s="675"/>
      <c r="AF106" s="675"/>
      <c r="AG106" s="675"/>
    </row>
    <row r="107" spans="1:33" s="536" customFormat="1" ht="12" x14ac:dyDescent="0.2">
      <c r="A107" s="609"/>
      <c r="B107" s="552" t="s">
        <v>2774</v>
      </c>
      <c r="C107" s="1822" t="s">
        <v>2775</v>
      </c>
      <c r="D107" s="1822"/>
      <c r="E107" s="1822"/>
      <c r="F107" s="1822"/>
      <c r="G107" s="1822"/>
      <c r="H107" s="1822"/>
      <c r="I107" s="1822"/>
      <c r="J107" s="1822"/>
      <c r="K107" s="1822"/>
      <c r="L107" s="1822"/>
      <c r="M107" s="1822"/>
      <c r="N107" s="1827"/>
      <c r="V107" s="674"/>
      <c r="W107" s="675"/>
      <c r="Y107" s="537" t="s">
        <v>2775</v>
      </c>
      <c r="AC107" s="675"/>
      <c r="AD107" s="675"/>
      <c r="AF107" s="675"/>
      <c r="AG107" s="675"/>
    </row>
    <row r="108" spans="1:33" s="536" customFormat="1" ht="22.5" x14ac:dyDescent="0.2">
      <c r="A108" s="609"/>
      <c r="B108" s="552" t="s">
        <v>499</v>
      </c>
      <c r="C108" s="1822" t="s">
        <v>500</v>
      </c>
      <c r="D108" s="1822"/>
      <c r="E108" s="1822"/>
      <c r="F108" s="1822"/>
      <c r="G108" s="1822"/>
      <c r="H108" s="1822"/>
      <c r="I108" s="1822"/>
      <c r="J108" s="1822"/>
      <c r="K108" s="1822"/>
      <c r="L108" s="1822"/>
      <c r="M108" s="1822"/>
      <c r="N108" s="1827"/>
      <c r="V108" s="674"/>
      <c r="W108" s="675"/>
      <c r="Y108" s="537" t="s">
        <v>500</v>
      </c>
      <c r="AC108" s="675"/>
      <c r="AD108" s="675"/>
      <c r="AF108" s="675"/>
      <c r="AG108" s="675"/>
    </row>
    <row r="109" spans="1:33" s="536" customFormat="1" ht="12" x14ac:dyDescent="0.2">
      <c r="A109" s="605"/>
      <c r="B109" s="552" t="s">
        <v>185</v>
      </c>
      <c r="C109" s="1822" t="s">
        <v>312</v>
      </c>
      <c r="D109" s="1822"/>
      <c r="E109" s="1822"/>
      <c r="F109" s="562"/>
      <c r="G109" s="562"/>
      <c r="H109" s="562"/>
      <c r="I109" s="562"/>
      <c r="J109" s="604">
        <v>41.54</v>
      </c>
      <c r="K109" s="562" t="s">
        <v>2776</v>
      </c>
      <c r="L109" s="604">
        <v>54.52</v>
      </c>
      <c r="M109" s="603"/>
      <c r="N109" s="602"/>
      <c r="V109" s="674"/>
      <c r="W109" s="675"/>
      <c r="Z109" s="537" t="s">
        <v>312</v>
      </c>
      <c r="AC109" s="675"/>
      <c r="AD109" s="675"/>
      <c r="AF109" s="675"/>
      <c r="AG109" s="675"/>
    </row>
    <row r="110" spans="1:33" s="536" customFormat="1" ht="12" x14ac:dyDescent="0.2">
      <c r="A110" s="605"/>
      <c r="B110" s="552" t="s">
        <v>186</v>
      </c>
      <c r="C110" s="1822" t="s">
        <v>344</v>
      </c>
      <c r="D110" s="1822"/>
      <c r="E110" s="1822"/>
      <c r="F110" s="562"/>
      <c r="G110" s="562"/>
      <c r="H110" s="562"/>
      <c r="I110" s="562"/>
      <c r="J110" s="604">
        <v>12.26</v>
      </c>
      <c r="K110" s="562" t="s">
        <v>2776</v>
      </c>
      <c r="L110" s="604">
        <v>16.09</v>
      </c>
      <c r="M110" s="603"/>
      <c r="N110" s="602"/>
      <c r="V110" s="674"/>
      <c r="W110" s="675"/>
      <c r="Z110" s="537" t="s">
        <v>344</v>
      </c>
      <c r="AC110" s="675"/>
      <c r="AD110" s="675"/>
      <c r="AF110" s="675"/>
      <c r="AG110" s="675"/>
    </row>
    <row r="111" spans="1:33" s="536" customFormat="1" ht="12" x14ac:dyDescent="0.2">
      <c r="A111" s="605"/>
      <c r="B111" s="552" t="s">
        <v>187</v>
      </c>
      <c r="C111" s="1822" t="s">
        <v>345</v>
      </c>
      <c r="D111" s="1822"/>
      <c r="E111" s="1822"/>
      <c r="F111" s="562"/>
      <c r="G111" s="562"/>
      <c r="H111" s="562"/>
      <c r="I111" s="562"/>
      <c r="J111" s="604">
        <v>0.99</v>
      </c>
      <c r="K111" s="562" t="s">
        <v>2776</v>
      </c>
      <c r="L111" s="604">
        <v>1.3</v>
      </c>
      <c r="M111" s="603"/>
      <c r="N111" s="602"/>
      <c r="V111" s="674"/>
      <c r="W111" s="675"/>
      <c r="Z111" s="537" t="s">
        <v>345</v>
      </c>
      <c r="AC111" s="675"/>
      <c r="AD111" s="675"/>
      <c r="AF111" s="675"/>
      <c r="AG111" s="675"/>
    </row>
    <row r="112" spans="1:33" s="536" customFormat="1" ht="12" x14ac:dyDescent="0.2">
      <c r="A112" s="605"/>
      <c r="B112" s="552" t="s">
        <v>188</v>
      </c>
      <c r="C112" s="1822" t="s">
        <v>475</v>
      </c>
      <c r="D112" s="1822"/>
      <c r="E112" s="1822"/>
      <c r="F112" s="562"/>
      <c r="G112" s="562"/>
      <c r="H112" s="562"/>
      <c r="I112" s="562"/>
      <c r="J112" s="604">
        <v>57.43</v>
      </c>
      <c r="K112" s="562"/>
      <c r="L112" s="604">
        <v>57.43</v>
      </c>
      <c r="M112" s="603"/>
      <c r="N112" s="602"/>
      <c r="V112" s="674"/>
      <c r="W112" s="675"/>
      <c r="Z112" s="537" t="s">
        <v>475</v>
      </c>
      <c r="AC112" s="675"/>
      <c r="AD112" s="675"/>
      <c r="AF112" s="675"/>
      <c r="AG112" s="675"/>
    </row>
    <row r="113" spans="1:33" s="536" customFormat="1" ht="12" x14ac:dyDescent="0.2">
      <c r="A113" s="605"/>
      <c r="B113" s="552"/>
      <c r="C113" s="1822" t="s">
        <v>314</v>
      </c>
      <c r="D113" s="1822"/>
      <c r="E113" s="1822"/>
      <c r="F113" s="562" t="s">
        <v>315</v>
      </c>
      <c r="G113" s="562" t="s">
        <v>2784</v>
      </c>
      <c r="H113" s="562" t="s">
        <v>2776</v>
      </c>
      <c r="I113" s="562" t="s">
        <v>2785</v>
      </c>
      <c r="J113" s="604"/>
      <c r="K113" s="562"/>
      <c r="L113" s="604"/>
      <c r="M113" s="603"/>
      <c r="N113" s="602"/>
      <c r="V113" s="674"/>
      <c r="W113" s="675"/>
      <c r="AA113" s="537" t="s">
        <v>314</v>
      </c>
      <c r="AC113" s="675"/>
      <c r="AD113" s="675"/>
      <c r="AF113" s="675"/>
      <c r="AG113" s="675"/>
    </row>
    <row r="114" spans="1:33" s="536" customFormat="1" ht="12" x14ac:dyDescent="0.2">
      <c r="A114" s="605"/>
      <c r="B114" s="552"/>
      <c r="C114" s="1822" t="s">
        <v>348</v>
      </c>
      <c r="D114" s="1822"/>
      <c r="E114" s="1822"/>
      <c r="F114" s="562" t="s">
        <v>315</v>
      </c>
      <c r="G114" s="562" t="s">
        <v>2247</v>
      </c>
      <c r="H114" s="562" t="s">
        <v>2776</v>
      </c>
      <c r="I114" s="562" t="s">
        <v>960</v>
      </c>
      <c r="J114" s="604"/>
      <c r="K114" s="562"/>
      <c r="L114" s="604"/>
      <c r="M114" s="603"/>
      <c r="N114" s="602"/>
      <c r="V114" s="674"/>
      <c r="W114" s="675"/>
      <c r="AA114" s="537" t="s">
        <v>348</v>
      </c>
      <c r="AC114" s="675"/>
      <c r="AD114" s="675"/>
      <c r="AF114" s="675"/>
      <c r="AG114" s="675"/>
    </row>
    <row r="115" spans="1:33" s="536" customFormat="1" ht="12" x14ac:dyDescent="0.2">
      <c r="A115" s="605"/>
      <c r="B115" s="552"/>
      <c r="C115" s="1828" t="s">
        <v>318</v>
      </c>
      <c r="D115" s="1828"/>
      <c r="E115" s="1828"/>
      <c r="F115" s="608"/>
      <c r="G115" s="608"/>
      <c r="H115" s="608"/>
      <c r="I115" s="608"/>
      <c r="J115" s="607">
        <v>111.23</v>
      </c>
      <c r="K115" s="608"/>
      <c r="L115" s="607">
        <v>128.04</v>
      </c>
      <c r="M115" s="601"/>
      <c r="N115" s="606"/>
      <c r="V115" s="674"/>
      <c r="W115" s="675"/>
      <c r="AB115" s="537" t="s">
        <v>318</v>
      </c>
      <c r="AC115" s="675"/>
      <c r="AD115" s="675"/>
      <c r="AF115" s="675"/>
      <c r="AG115" s="675"/>
    </row>
    <row r="116" spans="1:33" s="536" customFormat="1" ht="12" x14ac:dyDescent="0.2">
      <c r="A116" s="605"/>
      <c r="B116" s="552"/>
      <c r="C116" s="1822" t="s">
        <v>319</v>
      </c>
      <c r="D116" s="1822"/>
      <c r="E116" s="1822"/>
      <c r="F116" s="562"/>
      <c r="G116" s="562"/>
      <c r="H116" s="562"/>
      <c r="I116" s="562"/>
      <c r="J116" s="604"/>
      <c r="K116" s="562"/>
      <c r="L116" s="604">
        <v>55.82</v>
      </c>
      <c r="M116" s="603"/>
      <c r="N116" s="602"/>
      <c r="V116" s="674"/>
      <c r="W116" s="675"/>
      <c r="AA116" s="537" t="s">
        <v>319</v>
      </c>
      <c r="AC116" s="675"/>
      <c r="AD116" s="675"/>
      <c r="AF116" s="675"/>
      <c r="AG116" s="675"/>
    </row>
    <row r="117" spans="1:33" s="536" customFormat="1" ht="45" x14ac:dyDescent="0.2">
      <c r="A117" s="605"/>
      <c r="B117" s="552" t="s">
        <v>892</v>
      </c>
      <c r="C117" s="1822" t="s">
        <v>893</v>
      </c>
      <c r="D117" s="1822"/>
      <c r="E117" s="1822"/>
      <c r="F117" s="562" t="s">
        <v>322</v>
      </c>
      <c r="G117" s="562" t="s">
        <v>894</v>
      </c>
      <c r="H117" s="562"/>
      <c r="I117" s="562" t="s">
        <v>894</v>
      </c>
      <c r="J117" s="604"/>
      <c r="K117" s="562"/>
      <c r="L117" s="604">
        <v>67.540000000000006</v>
      </c>
      <c r="M117" s="603"/>
      <c r="N117" s="602"/>
      <c r="V117" s="674"/>
      <c r="W117" s="675"/>
      <c r="AA117" s="537" t="s">
        <v>893</v>
      </c>
      <c r="AC117" s="675"/>
      <c r="AD117" s="675"/>
      <c r="AF117" s="675"/>
      <c r="AG117" s="675"/>
    </row>
    <row r="118" spans="1:33" s="536" customFormat="1" ht="45" x14ac:dyDescent="0.2">
      <c r="A118" s="605"/>
      <c r="B118" s="552" t="s">
        <v>895</v>
      </c>
      <c r="C118" s="1822" t="s">
        <v>896</v>
      </c>
      <c r="D118" s="1822"/>
      <c r="E118" s="1822"/>
      <c r="F118" s="562" t="s">
        <v>322</v>
      </c>
      <c r="G118" s="562" t="s">
        <v>897</v>
      </c>
      <c r="H118" s="562"/>
      <c r="I118" s="562" t="s">
        <v>897</v>
      </c>
      <c r="J118" s="604"/>
      <c r="K118" s="562"/>
      <c r="L118" s="604">
        <v>40.19</v>
      </c>
      <c r="M118" s="603"/>
      <c r="N118" s="602"/>
      <c r="V118" s="674"/>
      <c r="W118" s="675"/>
      <c r="AA118" s="537" t="s">
        <v>896</v>
      </c>
      <c r="AC118" s="675"/>
      <c r="AD118" s="675"/>
      <c r="AF118" s="675"/>
      <c r="AG118" s="675"/>
    </row>
    <row r="119" spans="1:33" s="536" customFormat="1" ht="12" x14ac:dyDescent="0.2">
      <c r="A119" s="569"/>
      <c r="B119" s="656"/>
      <c r="C119" s="1823" t="s">
        <v>327</v>
      </c>
      <c r="D119" s="1823"/>
      <c r="E119" s="1823"/>
      <c r="F119" s="573"/>
      <c r="G119" s="573"/>
      <c r="H119" s="573"/>
      <c r="I119" s="573"/>
      <c r="J119" s="572"/>
      <c r="K119" s="573"/>
      <c r="L119" s="572">
        <v>235.77</v>
      </c>
      <c r="M119" s="601"/>
      <c r="N119" s="570"/>
      <c r="V119" s="674"/>
      <c r="W119" s="675"/>
      <c r="AC119" s="675" t="s">
        <v>327</v>
      </c>
      <c r="AD119" s="675"/>
      <c r="AF119" s="675"/>
      <c r="AG119" s="675"/>
    </row>
    <row r="120" spans="1:33" s="536" customFormat="1" ht="33.75" x14ac:dyDescent="0.2">
      <c r="A120" s="575" t="s">
        <v>660</v>
      </c>
      <c r="B120" s="657" t="s">
        <v>2786</v>
      </c>
      <c r="C120" s="1823" t="s">
        <v>2787</v>
      </c>
      <c r="D120" s="1823"/>
      <c r="E120" s="1823"/>
      <c r="F120" s="573" t="s">
        <v>617</v>
      </c>
      <c r="G120" s="573"/>
      <c r="H120" s="573"/>
      <c r="I120" s="573" t="s">
        <v>185</v>
      </c>
      <c r="J120" s="572">
        <v>2236.31</v>
      </c>
      <c r="K120" s="573"/>
      <c r="L120" s="572">
        <v>2236.31</v>
      </c>
      <c r="M120" s="571"/>
      <c r="N120" s="570"/>
      <c r="V120" s="674"/>
      <c r="W120" s="675" t="s">
        <v>2787</v>
      </c>
      <c r="AC120" s="675"/>
      <c r="AD120" s="675"/>
      <c r="AF120" s="675"/>
      <c r="AG120" s="675"/>
    </row>
    <row r="121" spans="1:33" s="536" customFormat="1" ht="12" x14ac:dyDescent="0.2">
      <c r="A121" s="569"/>
      <c r="B121" s="656"/>
      <c r="C121" s="661" t="s">
        <v>2222</v>
      </c>
      <c r="D121" s="662"/>
      <c r="E121" s="662"/>
      <c r="F121" s="563"/>
      <c r="G121" s="563"/>
      <c r="H121" s="563"/>
      <c r="I121" s="563"/>
      <c r="J121" s="566"/>
      <c r="K121" s="563"/>
      <c r="L121" s="566"/>
      <c r="M121" s="565"/>
      <c r="N121" s="564"/>
      <c r="V121" s="674"/>
      <c r="W121" s="675"/>
      <c r="AC121" s="675"/>
      <c r="AD121" s="675"/>
      <c r="AF121" s="675"/>
      <c r="AG121" s="675"/>
    </row>
    <row r="122" spans="1:33" s="536" customFormat="1" ht="33.75" x14ac:dyDescent="0.2">
      <c r="A122" s="575" t="s">
        <v>193</v>
      </c>
      <c r="B122" s="657" t="s">
        <v>2788</v>
      </c>
      <c r="C122" s="1823" t="s">
        <v>2789</v>
      </c>
      <c r="D122" s="1823"/>
      <c r="E122" s="1823"/>
      <c r="F122" s="573" t="s">
        <v>617</v>
      </c>
      <c r="G122" s="573"/>
      <c r="H122" s="573"/>
      <c r="I122" s="573" t="s">
        <v>185</v>
      </c>
      <c r="J122" s="572"/>
      <c r="K122" s="573"/>
      <c r="L122" s="572"/>
      <c r="M122" s="571"/>
      <c r="N122" s="570"/>
      <c r="V122" s="674"/>
      <c r="W122" s="675" t="s">
        <v>2789</v>
      </c>
      <c r="AC122" s="675"/>
      <c r="AD122" s="675"/>
      <c r="AF122" s="675"/>
      <c r="AG122" s="675"/>
    </row>
    <row r="123" spans="1:33" s="536" customFormat="1" ht="22.5" x14ac:dyDescent="0.2">
      <c r="A123" s="609"/>
      <c r="B123" s="552" t="s">
        <v>499</v>
      </c>
      <c r="C123" s="1822" t="s">
        <v>500</v>
      </c>
      <c r="D123" s="1822"/>
      <c r="E123" s="1822"/>
      <c r="F123" s="1822"/>
      <c r="G123" s="1822"/>
      <c r="H123" s="1822"/>
      <c r="I123" s="1822"/>
      <c r="J123" s="1822"/>
      <c r="K123" s="1822"/>
      <c r="L123" s="1822"/>
      <c r="M123" s="1822"/>
      <c r="N123" s="1827"/>
      <c r="V123" s="674"/>
      <c r="W123" s="675"/>
      <c r="Y123" s="537" t="s">
        <v>500</v>
      </c>
      <c r="AC123" s="675"/>
      <c r="AD123" s="675"/>
      <c r="AF123" s="675"/>
      <c r="AG123" s="675"/>
    </row>
    <row r="124" spans="1:33" s="536" customFormat="1" ht="12" x14ac:dyDescent="0.2">
      <c r="A124" s="605"/>
      <c r="B124" s="552" t="s">
        <v>185</v>
      </c>
      <c r="C124" s="1822" t="s">
        <v>312</v>
      </c>
      <c r="D124" s="1822"/>
      <c r="E124" s="1822"/>
      <c r="F124" s="562"/>
      <c r="G124" s="562"/>
      <c r="H124" s="562"/>
      <c r="I124" s="562"/>
      <c r="J124" s="604">
        <v>5.16</v>
      </c>
      <c r="K124" s="562" t="s">
        <v>313</v>
      </c>
      <c r="L124" s="604">
        <v>6.45</v>
      </c>
      <c r="M124" s="603"/>
      <c r="N124" s="602"/>
      <c r="V124" s="674"/>
      <c r="W124" s="675"/>
      <c r="Z124" s="537" t="s">
        <v>312</v>
      </c>
      <c r="AC124" s="675"/>
      <c r="AD124" s="675"/>
      <c r="AF124" s="675"/>
      <c r="AG124" s="675"/>
    </row>
    <row r="125" spans="1:33" s="536" customFormat="1" ht="12" x14ac:dyDescent="0.2">
      <c r="A125" s="605"/>
      <c r="B125" s="552" t="s">
        <v>188</v>
      </c>
      <c r="C125" s="1822" t="s">
        <v>475</v>
      </c>
      <c r="D125" s="1822"/>
      <c r="E125" s="1822"/>
      <c r="F125" s="562"/>
      <c r="G125" s="562"/>
      <c r="H125" s="562"/>
      <c r="I125" s="562"/>
      <c r="J125" s="604">
        <v>1.0900000000000001</v>
      </c>
      <c r="K125" s="562"/>
      <c r="L125" s="604">
        <v>1.0900000000000001</v>
      </c>
      <c r="M125" s="603"/>
      <c r="N125" s="602"/>
      <c r="V125" s="674"/>
      <c r="W125" s="675"/>
      <c r="Z125" s="537" t="s">
        <v>475</v>
      </c>
      <c r="AC125" s="675"/>
      <c r="AD125" s="675"/>
      <c r="AF125" s="675"/>
      <c r="AG125" s="675"/>
    </row>
    <row r="126" spans="1:33" s="536" customFormat="1" ht="12" x14ac:dyDescent="0.2">
      <c r="A126" s="605"/>
      <c r="B126" s="552"/>
      <c r="C126" s="1822" t="s">
        <v>314</v>
      </c>
      <c r="D126" s="1822"/>
      <c r="E126" s="1822"/>
      <c r="F126" s="562" t="s">
        <v>315</v>
      </c>
      <c r="G126" s="562" t="s">
        <v>2790</v>
      </c>
      <c r="H126" s="562" t="s">
        <v>313</v>
      </c>
      <c r="I126" s="562" t="s">
        <v>1118</v>
      </c>
      <c r="J126" s="604"/>
      <c r="K126" s="562"/>
      <c r="L126" s="604"/>
      <c r="M126" s="603"/>
      <c r="N126" s="602"/>
      <c r="V126" s="674"/>
      <c r="W126" s="675"/>
      <c r="AA126" s="537" t="s">
        <v>314</v>
      </c>
      <c r="AC126" s="675"/>
      <c r="AD126" s="675"/>
      <c r="AF126" s="675"/>
      <c r="AG126" s="675"/>
    </row>
    <row r="127" spans="1:33" s="536" customFormat="1" ht="12" x14ac:dyDescent="0.2">
      <c r="A127" s="605"/>
      <c r="B127" s="552"/>
      <c r="C127" s="1828" t="s">
        <v>318</v>
      </c>
      <c r="D127" s="1828"/>
      <c r="E127" s="1828"/>
      <c r="F127" s="608"/>
      <c r="G127" s="608"/>
      <c r="H127" s="608"/>
      <c r="I127" s="608"/>
      <c r="J127" s="607">
        <v>6.25</v>
      </c>
      <c r="K127" s="608"/>
      <c r="L127" s="607">
        <v>7.54</v>
      </c>
      <c r="M127" s="601"/>
      <c r="N127" s="606"/>
      <c r="V127" s="674"/>
      <c r="W127" s="675"/>
      <c r="AB127" s="537" t="s">
        <v>318</v>
      </c>
      <c r="AC127" s="675"/>
      <c r="AD127" s="675"/>
      <c r="AF127" s="675"/>
      <c r="AG127" s="675"/>
    </row>
    <row r="128" spans="1:33" s="536" customFormat="1" ht="12" x14ac:dyDescent="0.2">
      <c r="A128" s="605"/>
      <c r="B128" s="552"/>
      <c r="C128" s="1822" t="s">
        <v>319</v>
      </c>
      <c r="D128" s="1822"/>
      <c r="E128" s="1822"/>
      <c r="F128" s="562"/>
      <c r="G128" s="562"/>
      <c r="H128" s="562"/>
      <c r="I128" s="562"/>
      <c r="J128" s="604"/>
      <c r="K128" s="562"/>
      <c r="L128" s="604">
        <v>6.45</v>
      </c>
      <c r="M128" s="603"/>
      <c r="N128" s="602"/>
      <c r="V128" s="674"/>
      <c r="W128" s="675"/>
      <c r="AA128" s="537" t="s">
        <v>319</v>
      </c>
      <c r="AC128" s="675"/>
      <c r="AD128" s="675"/>
      <c r="AF128" s="675"/>
      <c r="AG128" s="675"/>
    </row>
    <row r="129" spans="1:33" s="536" customFormat="1" ht="33.75" x14ac:dyDescent="0.2">
      <c r="A129" s="605"/>
      <c r="B129" s="552" t="s">
        <v>884</v>
      </c>
      <c r="C129" s="1822" t="s">
        <v>885</v>
      </c>
      <c r="D129" s="1822"/>
      <c r="E129" s="1822"/>
      <c r="F129" s="562" t="s">
        <v>322</v>
      </c>
      <c r="G129" s="562" t="s">
        <v>886</v>
      </c>
      <c r="H129" s="562"/>
      <c r="I129" s="562" t="s">
        <v>886</v>
      </c>
      <c r="J129" s="604"/>
      <c r="K129" s="562"/>
      <c r="L129" s="604">
        <v>5.81</v>
      </c>
      <c r="M129" s="603"/>
      <c r="N129" s="602"/>
      <c r="V129" s="674"/>
      <c r="W129" s="675"/>
      <c r="AA129" s="537" t="s">
        <v>885</v>
      </c>
      <c r="AC129" s="675"/>
      <c r="AD129" s="675"/>
      <c r="AF129" s="675"/>
      <c r="AG129" s="675"/>
    </row>
    <row r="130" spans="1:33" s="536" customFormat="1" ht="33.75" x14ac:dyDescent="0.2">
      <c r="A130" s="605"/>
      <c r="B130" s="552" t="s">
        <v>887</v>
      </c>
      <c r="C130" s="1822" t="s">
        <v>888</v>
      </c>
      <c r="D130" s="1822"/>
      <c r="E130" s="1822"/>
      <c r="F130" s="562" t="s">
        <v>322</v>
      </c>
      <c r="G130" s="562" t="s">
        <v>465</v>
      </c>
      <c r="H130" s="562"/>
      <c r="I130" s="562" t="s">
        <v>465</v>
      </c>
      <c r="J130" s="604"/>
      <c r="K130" s="562"/>
      <c r="L130" s="604">
        <v>2.97</v>
      </c>
      <c r="M130" s="603"/>
      <c r="N130" s="602"/>
      <c r="V130" s="674"/>
      <c r="W130" s="675"/>
      <c r="AA130" s="537" t="s">
        <v>888</v>
      </c>
      <c r="AC130" s="675"/>
      <c r="AD130" s="675"/>
      <c r="AF130" s="675"/>
      <c r="AG130" s="675"/>
    </row>
    <row r="131" spans="1:33" s="536" customFormat="1" ht="12" x14ac:dyDescent="0.2">
      <c r="A131" s="569"/>
      <c r="B131" s="656"/>
      <c r="C131" s="1823" t="s">
        <v>327</v>
      </c>
      <c r="D131" s="1823"/>
      <c r="E131" s="1823"/>
      <c r="F131" s="573"/>
      <c r="G131" s="573"/>
      <c r="H131" s="573"/>
      <c r="I131" s="573"/>
      <c r="J131" s="572"/>
      <c r="K131" s="573"/>
      <c r="L131" s="572">
        <v>16.32</v>
      </c>
      <c r="M131" s="601"/>
      <c r="N131" s="570"/>
      <c r="V131" s="674"/>
      <c r="W131" s="675"/>
      <c r="AC131" s="675" t="s">
        <v>327</v>
      </c>
      <c r="AD131" s="675"/>
      <c r="AF131" s="675"/>
      <c r="AG131" s="675"/>
    </row>
    <row r="132" spans="1:33" s="536" customFormat="1" ht="33.75" x14ac:dyDescent="0.2">
      <c r="A132" s="575" t="s">
        <v>664</v>
      </c>
      <c r="B132" s="657" t="s">
        <v>2791</v>
      </c>
      <c r="C132" s="1823" t="s">
        <v>2792</v>
      </c>
      <c r="D132" s="1823"/>
      <c r="E132" s="1823"/>
      <c r="F132" s="573" t="s">
        <v>628</v>
      </c>
      <c r="G132" s="573"/>
      <c r="H132" s="573"/>
      <c r="I132" s="573" t="s">
        <v>185</v>
      </c>
      <c r="J132" s="572">
        <v>20618.68</v>
      </c>
      <c r="K132" s="573" t="s">
        <v>629</v>
      </c>
      <c r="L132" s="572">
        <v>4545.97</v>
      </c>
      <c r="M132" s="571">
        <v>4.59</v>
      </c>
      <c r="N132" s="570">
        <v>20866</v>
      </c>
      <c r="V132" s="674"/>
      <c r="W132" s="675" t="s">
        <v>2792</v>
      </c>
      <c r="AC132" s="675"/>
      <c r="AD132" s="675"/>
      <c r="AF132" s="675"/>
      <c r="AG132" s="675"/>
    </row>
    <row r="133" spans="1:33" s="536" customFormat="1" ht="12" x14ac:dyDescent="0.2">
      <c r="A133" s="569"/>
      <c r="B133" s="656"/>
      <c r="C133" s="661" t="s">
        <v>630</v>
      </c>
      <c r="D133" s="662"/>
      <c r="E133" s="662"/>
      <c r="F133" s="563"/>
      <c r="G133" s="563"/>
      <c r="H133" s="563"/>
      <c r="I133" s="563"/>
      <c r="J133" s="566"/>
      <c r="K133" s="563"/>
      <c r="L133" s="566"/>
      <c r="M133" s="565"/>
      <c r="N133" s="564"/>
      <c r="V133" s="674"/>
      <c r="W133" s="675"/>
      <c r="AC133" s="675"/>
      <c r="AD133" s="675"/>
      <c r="AF133" s="675"/>
      <c r="AG133" s="675"/>
    </row>
    <row r="134" spans="1:33" s="536" customFormat="1" ht="22.5" x14ac:dyDescent="0.2">
      <c r="A134" s="609"/>
      <c r="B134" s="552" t="s">
        <v>631</v>
      </c>
      <c r="C134" s="1822" t="s">
        <v>632</v>
      </c>
      <c r="D134" s="1822"/>
      <c r="E134" s="1822"/>
      <c r="F134" s="1822"/>
      <c r="G134" s="1822"/>
      <c r="H134" s="1822"/>
      <c r="I134" s="1822"/>
      <c r="J134" s="1822"/>
      <c r="K134" s="1822"/>
      <c r="L134" s="1822"/>
      <c r="M134" s="1822"/>
      <c r="N134" s="1827"/>
      <c r="V134" s="674"/>
      <c r="W134" s="675"/>
      <c r="Y134" s="537" t="s">
        <v>632</v>
      </c>
      <c r="AC134" s="675"/>
      <c r="AD134" s="675"/>
      <c r="AF134" s="675"/>
      <c r="AG134" s="675"/>
    </row>
    <row r="135" spans="1:33" s="536" customFormat="1" ht="22.5" x14ac:dyDescent="0.2">
      <c r="A135" s="575" t="s">
        <v>195</v>
      </c>
      <c r="B135" s="657" t="s">
        <v>2793</v>
      </c>
      <c r="C135" s="1823" t="s">
        <v>2794</v>
      </c>
      <c r="D135" s="1823"/>
      <c r="E135" s="1823"/>
      <c r="F135" s="573" t="s">
        <v>617</v>
      </c>
      <c r="G135" s="573"/>
      <c r="H135" s="573"/>
      <c r="I135" s="573" t="s">
        <v>185</v>
      </c>
      <c r="J135" s="572"/>
      <c r="K135" s="573"/>
      <c r="L135" s="572"/>
      <c r="M135" s="571"/>
      <c r="N135" s="570"/>
      <c r="V135" s="674"/>
      <c r="W135" s="675" t="s">
        <v>2794</v>
      </c>
      <c r="AC135" s="675"/>
      <c r="AD135" s="675"/>
      <c r="AF135" s="675"/>
      <c r="AG135" s="675"/>
    </row>
    <row r="136" spans="1:33" s="536" customFormat="1" ht="22.5" x14ac:dyDescent="0.2">
      <c r="A136" s="609"/>
      <c r="B136" s="552" t="s">
        <v>499</v>
      </c>
      <c r="C136" s="1822" t="s">
        <v>500</v>
      </c>
      <c r="D136" s="1822"/>
      <c r="E136" s="1822"/>
      <c r="F136" s="1822"/>
      <c r="G136" s="1822"/>
      <c r="H136" s="1822"/>
      <c r="I136" s="1822"/>
      <c r="J136" s="1822"/>
      <c r="K136" s="1822"/>
      <c r="L136" s="1822"/>
      <c r="M136" s="1822"/>
      <c r="N136" s="1827"/>
      <c r="V136" s="674"/>
      <c r="W136" s="675"/>
      <c r="Y136" s="537" t="s">
        <v>500</v>
      </c>
      <c r="AC136" s="675"/>
      <c r="AD136" s="675"/>
      <c r="AF136" s="675"/>
      <c r="AG136" s="675"/>
    </row>
    <row r="137" spans="1:33" s="536" customFormat="1" ht="12" x14ac:dyDescent="0.2">
      <c r="A137" s="605"/>
      <c r="B137" s="552" t="s">
        <v>185</v>
      </c>
      <c r="C137" s="1822" t="s">
        <v>312</v>
      </c>
      <c r="D137" s="1822"/>
      <c r="E137" s="1822"/>
      <c r="F137" s="562"/>
      <c r="G137" s="562"/>
      <c r="H137" s="562"/>
      <c r="I137" s="562"/>
      <c r="J137" s="604">
        <v>4.4400000000000004</v>
      </c>
      <c r="K137" s="562" t="s">
        <v>313</v>
      </c>
      <c r="L137" s="604">
        <v>5.55</v>
      </c>
      <c r="M137" s="603"/>
      <c r="N137" s="602"/>
      <c r="V137" s="674"/>
      <c r="W137" s="675"/>
      <c r="Z137" s="537" t="s">
        <v>312</v>
      </c>
      <c r="AC137" s="675"/>
      <c r="AD137" s="675"/>
      <c r="AF137" s="675"/>
      <c r="AG137" s="675"/>
    </row>
    <row r="138" spans="1:33" s="536" customFormat="1" ht="12" x14ac:dyDescent="0.2">
      <c r="A138" s="605"/>
      <c r="B138" s="552" t="s">
        <v>186</v>
      </c>
      <c r="C138" s="1822" t="s">
        <v>344</v>
      </c>
      <c r="D138" s="1822"/>
      <c r="E138" s="1822"/>
      <c r="F138" s="562"/>
      <c r="G138" s="562"/>
      <c r="H138" s="562"/>
      <c r="I138" s="562"/>
      <c r="J138" s="604">
        <v>29.85</v>
      </c>
      <c r="K138" s="562" t="s">
        <v>313</v>
      </c>
      <c r="L138" s="604">
        <v>37.31</v>
      </c>
      <c r="M138" s="603"/>
      <c r="N138" s="602"/>
      <c r="V138" s="674"/>
      <c r="W138" s="675"/>
      <c r="Z138" s="537" t="s">
        <v>344</v>
      </c>
      <c r="AC138" s="675"/>
      <c r="AD138" s="675"/>
      <c r="AF138" s="675"/>
      <c r="AG138" s="675"/>
    </row>
    <row r="139" spans="1:33" s="536" customFormat="1" ht="12" x14ac:dyDescent="0.2">
      <c r="A139" s="605"/>
      <c r="B139" s="552" t="s">
        <v>187</v>
      </c>
      <c r="C139" s="1822" t="s">
        <v>345</v>
      </c>
      <c r="D139" s="1822"/>
      <c r="E139" s="1822"/>
      <c r="F139" s="562"/>
      <c r="G139" s="562"/>
      <c r="H139" s="562"/>
      <c r="I139" s="562"/>
      <c r="J139" s="604">
        <v>2.93</v>
      </c>
      <c r="K139" s="562" t="s">
        <v>313</v>
      </c>
      <c r="L139" s="604">
        <v>3.66</v>
      </c>
      <c r="M139" s="603"/>
      <c r="N139" s="602"/>
      <c r="V139" s="674"/>
      <c r="W139" s="675"/>
      <c r="Z139" s="537" t="s">
        <v>345</v>
      </c>
      <c r="AC139" s="675"/>
      <c r="AD139" s="675"/>
      <c r="AF139" s="675"/>
      <c r="AG139" s="675"/>
    </row>
    <row r="140" spans="1:33" s="536" customFormat="1" ht="12" x14ac:dyDescent="0.2">
      <c r="A140" s="605"/>
      <c r="B140" s="552" t="s">
        <v>188</v>
      </c>
      <c r="C140" s="1822" t="s">
        <v>475</v>
      </c>
      <c r="D140" s="1822"/>
      <c r="E140" s="1822"/>
      <c r="F140" s="562"/>
      <c r="G140" s="562"/>
      <c r="H140" s="562"/>
      <c r="I140" s="562"/>
      <c r="J140" s="604">
        <v>8.33</v>
      </c>
      <c r="K140" s="562"/>
      <c r="L140" s="604">
        <v>8.33</v>
      </c>
      <c r="M140" s="603"/>
      <c r="N140" s="602"/>
      <c r="V140" s="674"/>
      <c r="W140" s="675"/>
      <c r="Z140" s="537" t="s">
        <v>475</v>
      </c>
      <c r="AC140" s="675"/>
      <c r="AD140" s="675"/>
      <c r="AF140" s="675"/>
      <c r="AG140" s="675"/>
    </row>
    <row r="141" spans="1:33" s="536" customFormat="1" ht="12" x14ac:dyDescent="0.2">
      <c r="A141" s="605"/>
      <c r="B141" s="552"/>
      <c r="C141" s="1822" t="s">
        <v>314</v>
      </c>
      <c r="D141" s="1822"/>
      <c r="E141" s="1822"/>
      <c r="F141" s="562" t="s">
        <v>315</v>
      </c>
      <c r="G141" s="562" t="s">
        <v>2790</v>
      </c>
      <c r="H141" s="562" t="s">
        <v>313</v>
      </c>
      <c r="I141" s="562" t="s">
        <v>1118</v>
      </c>
      <c r="J141" s="604"/>
      <c r="K141" s="562"/>
      <c r="L141" s="604"/>
      <c r="M141" s="603"/>
      <c r="N141" s="602"/>
      <c r="V141" s="674"/>
      <c r="W141" s="675"/>
      <c r="AA141" s="537" t="s">
        <v>314</v>
      </c>
      <c r="AC141" s="675"/>
      <c r="AD141" s="675"/>
      <c r="AF141" s="675"/>
      <c r="AG141" s="675"/>
    </row>
    <row r="142" spans="1:33" s="536" customFormat="1" ht="12" x14ac:dyDescent="0.2">
      <c r="A142" s="605"/>
      <c r="B142" s="552"/>
      <c r="C142" s="1822" t="s">
        <v>348</v>
      </c>
      <c r="D142" s="1822"/>
      <c r="E142" s="1822"/>
      <c r="F142" s="562" t="s">
        <v>315</v>
      </c>
      <c r="G142" s="562" t="s">
        <v>2440</v>
      </c>
      <c r="H142" s="562" t="s">
        <v>313</v>
      </c>
      <c r="I142" s="562" t="s">
        <v>2441</v>
      </c>
      <c r="J142" s="604"/>
      <c r="K142" s="562"/>
      <c r="L142" s="604"/>
      <c r="M142" s="603"/>
      <c r="N142" s="602"/>
      <c r="V142" s="674"/>
      <c r="W142" s="675"/>
      <c r="AA142" s="537" t="s">
        <v>348</v>
      </c>
      <c r="AC142" s="675"/>
      <c r="AD142" s="675"/>
      <c r="AF142" s="675"/>
      <c r="AG142" s="675"/>
    </row>
    <row r="143" spans="1:33" s="536" customFormat="1" ht="12" x14ac:dyDescent="0.2">
      <c r="A143" s="605"/>
      <c r="B143" s="552"/>
      <c r="C143" s="1828" t="s">
        <v>318</v>
      </c>
      <c r="D143" s="1828"/>
      <c r="E143" s="1828"/>
      <c r="F143" s="608"/>
      <c r="G143" s="608"/>
      <c r="H143" s="608"/>
      <c r="I143" s="608"/>
      <c r="J143" s="607">
        <v>42.62</v>
      </c>
      <c r="K143" s="608"/>
      <c r="L143" s="607">
        <v>51.19</v>
      </c>
      <c r="M143" s="601"/>
      <c r="N143" s="606"/>
      <c r="V143" s="674"/>
      <c r="W143" s="675"/>
      <c r="AB143" s="537" t="s">
        <v>318</v>
      </c>
      <c r="AC143" s="675"/>
      <c r="AD143" s="675"/>
      <c r="AF143" s="675"/>
      <c r="AG143" s="675"/>
    </row>
    <row r="144" spans="1:33" s="536" customFormat="1" ht="12" x14ac:dyDescent="0.2">
      <c r="A144" s="605"/>
      <c r="B144" s="552"/>
      <c r="C144" s="1822" t="s">
        <v>319</v>
      </c>
      <c r="D144" s="1822"/>
      <c r="E144" s="1822"/>
      <c r="F144" s="562"/>
      <c r="G144" s="562"/>
      <c r="H144" s="562"/>
      <c r="I144" s="562"/>
      <c r="J144" s="604"/>
      <c r="K144" s="562"/>
      <c r="L144" s="604">
        <v>9.2100000000000009</v>
      </c>
      <c r="M144" s="603"/>
      <c r="N144" s="602"/>
      <c r="V144" s="674"/>
      <c r="W144" s="675"/>
      <c r="AA144" s="537" t="s">
        <v>319</v>
      </c>
      <c r="AC144" s="675"/>
      <c r="AD144" s="675"/>
      <c r="AF144" s="675"/>
      <c r="AG144" s="675"/>
    </row>
    <row r="145" spans="1:34" s="536" customFormat="1" ht="33.75" x14ac:dyDescent="0.2">
      <c r="A145" s="605"/>
      <c r="B145" s="552" t="s">
        <v>884</v>
      </c>
      <c r="C145" s="1822" t="s">
        <v>885</v>
      </c>
      <c r="D145" s="1822"/>
      <c r="E145" s="1822"/>
      <c r="F145" s="562" t="s">
        <v>322</v>
      </c>
      <c r="G145" s="562" t="s">
        <v>886</v>
      </c>
      <c r="H145" s="562"/>
      <c r="I145" s="562" t="s">
        <v>886</v>
      </c>
      <c r="J145" s="604"/>
      <c r="K145" s="562"/>
      <c r="L145" s="604">
        <v>8.2899999999999991</v>
      </c>
      <c r="M145" s="603"/>
      <c r="N145" s="602"/>
      <c r="V145" s="674"/>
      <c r="W145" s="675"/>
      <c r="AA145" s="537" t="s">
        <v>885</v>
      </c>
      <c r="AC145" s="675"/>
      <c r="AD145" s="675"/>
      <c r="AF145" s="675"/>
      <c r="AG145" s="675"/>
    </row>
    <row r="146" spans="1:34" s="536" customFormat="1" ht="33.75" x14ac:dyDescent="0.2">
      <c r="A146" s="605"/>
      <c r="B146" s="552" t="s">
        <v>887</v>
      </c>
      <c r="C146" s="1822" t="s">
        <v>888</v>
      </c>
      <c r="D146" s="1822"/>
      <c r="E146" s="1822"/>
      <c r="F146" s="562" t="s">
        <v>322</v>
      </c>
      <c r="G146" s="562" t="s">
        <v>465</v>
      </c>
      <c r="H146" s="562"/>
      <c r="I146" s="562" t="s">
        <v>465</v>
      </c>
      <c r="J146" s="604"/>
      <c r="K146" s="562"/>
      <c r="L146" s="604">
        <v>4.24</v>
      </c>
      <c r="M146" s="603"/>
      <c r="N146" s="602"/>
      <c r="V146" s="674"/>
      <c r="W146" s="675"/>
      <c r="AA146" s="537" t="s">
        <v>888</v>
      </c>
      <c r="AC146" s="675"/>
      <c r="AD146" s="675"/>
      <c r="AF146" s="675"/>
      <c r="AG146" s="675"/>
    </row>
    <row r="147" spans="1:34" s="536" customFormat="1" ht="12" x14ac:dyDescent="0.2">
      <c r="A147" s="569"/>
      <c r="B147" s="656"/>
      <c r="C147" s="1823" t="s">
        <v>327</v>
      </c>
      <c r="D147" s="1823"/>
      <c r="E147" s="1823"/>
      <c r="F147" s="573"/>
      <c r="G147" s="573"/>
      <c r="H147" s="573"/>
      <c r="I147" s="573"/>
      <c r="J147" s="572"/>
      <c r="K147" s="573"/>
      <c r="L147" s="572">
        <v>63.72</v>
      </c>
      <c r="M147" s="601"/>
      <c r="N147" s="570"/>
      <c r="V147" s="674"/>
      <c r="W147" s="675"/>
      <c r="AC147" s="675" t="s">
        <v>327</v>
      </c>
      <c r="AD147" s="675"/>
      <c r="AF147" s="675"/>
      <c r="AG147" s="675"/>
    </row>
    <row r="148" spans="1:34" s="536" customFormat="1" ht="33.75" x14ac:dyDescent="0.2">
      <c r="A148" s="575" t="s">
        <v>2795</v>
      </c>
      <c r="B148" s="657" t="s">
        <v>2796</v>
      </c>
      <c r="C148" s="1823" t="s">
        <v>2797</v>
      </c>
      <c r="D148" s="1823"/>
      <c r="E148" s="1823"/>
      <c r="F148" s="573" t="s">
        <v>628</v>
      </c>
      <c r="G148" s="573"/>
      <c r="H148" s="573"/>
      <c r="I148" s="573" t="s">
        <v>185</v>
      </c>
      <c r="J148" s="572">
        <v>7416.79</v>
      </c>
      <c r="K148" s="573" t="s">
        <v>629</v>
      </c>
      <c r="L148" s="572">
        <v>1635.29</v>
      </c>
      <c r="M148" s="571">
        <v>4.59</v>
      </c>
      <c r="N148" s="570">
        <v>7506</v>
      </c>
      <c r="V148" s="674"/>
      <c r="W148" s="675" t="s">
        <v>2797</v>
      </c>
      <c r="AC148" s="675"/>
      <c r="AD148" s="675"/>
      <c r="AF148" s="675"/>
      <c r="AG148" s="675"/>
    </row>
    <row r="149" spans="1:34" s="536" customFormat="1" ht="12" x14ac:dyDescent="0.2">
      <c r="A149" s="569"/>
      <c r="B149" s="656"/>
      <c r="C149" s="661" t="s">
        <v>630</v>
      </c>
      <c r="D149" s="662"/>
      <c r="E149" s="662"/>
      <c r="F149" s="563"/>
      <c r="G149" s="563"/>
      <c r="H149" s="563"/>
      <c r="I149" s="563"/>
      <c r="J149" s="566"/>
      <c r="K149" s="563"/>
      <c r="L149" s="566"/>
      <c r="M149" s="565"/>
      <c r="N149" s="564"/>
      <c r="V149" s="674"/>
      <c r="W149" s="675"/>
      <c r="AC149" s="675"/>
      <c r="AD149" s="675"/>
      <c r="AF149" s="675"/>
      <c r="AG149" s="675"/>
    </row>
    <row r="150" spans="1:34" s="536" customFormat="1" ht="22.5" x14ac:dyDescent="0.2">
      <c r="A150" s="609"/>
      <c r="B150" s="552" t="s">
        <v>631</v>
      </c>
      <c r="C150" s="1822" t="s">
        <v>632</v>
      </c>
      <c r="D150" s="1822"/>
      <c r="E150" s="1822"/>
      <c r="F150" s="1822"/>
      <c r="G150" s="1822"/>
      <c r="H150" s="1822"/>
      <c r="I150" s="1822"/>
      <c r="J150" s="1822"/>
      <c r="K150" s="1822"/>
      <c r="L150" s="1822"/>
      <c r="M150" s="1822"/>
      <c r="N150" s="1827"/>
      <c r="V150" s="674"/>
      <c r="W150" s="675"/>
      <c r="Y150" s="537" t="s">
        <v>632</v>
      </c>
      <c r="AC150" s="675"/>
      <c r="AD150" s="675"/>
      <c r="AF150" s="675"/>
      <c r="AG150" s="675"/>
    </row>
    <row r="151" spans="1:34" s="536" customFormat="1" ht="22.5" x14ac:dyDescent="0.2">
      <c r="A151" s="575" t="s">
        <v>197</v>
      </c>
      <c r="B151" s="657" t="s">
        <v>2798</v>
      </c>
      <c r="C151" s="1823" t="s">
        <v>2799</v>
      </c>
      <c r="D151" s="1823"/>
      <c r="E151" s="1823"/>
      <c r="F151" s="573" t="s">
        <v>617</v>
      </c>
      <c r="G151" s="573"/>
      <c r="H151" s="573"/>
      <c r="I151" s="573" t="s">
        <v>185</v>
      </c>
      <c r="J151" s="572"/>
      <c r="K151" s="573"/>
      <c r="L151" s="572"/>
      <c r="M151" s="571"/>
      <c r="N151" s="570"/>
      <c r="V151" s="674"/>
      <c r="W151" s="675" t="s">
        <v>2799</v>
      </c>
      <c r="AC151" s="675"/>
      <c r="AD151" s="675"/>
      <c r="AF151" s="675"/>
      <c r="AG151" s="675"/>
    </row>
    <row r="152" spans="1:34" s="536" customFormat="1" ht="12" x14ac:dyDescent="0.2">
      <c r="A152" s="609"/>
      <c r="B152" s="552" t="s">
        <v>2774</v>
      </c>
      <c r="C152" s="1822" t="s">
        <v>2775</v>
      </c>
      <c r="D152" s="1822"/>
      <c r="E152" s="1822"/>
      <c r="F152" s="1822"/>
      <c r="G152" s="1822"/>
      <c r="H152" s="1822"/>
      <c r="I152" s="1822"/>
      <c r="J152" s="1822"/>
      <c r="K152" s="1822"/>
      <c r="L152" s="1822"/>
      <c r="M152" s="1822"/>
      <c r="N152" s="1827"/>
      <c r="V152" s="674"/>
      <c r="W152" s="675"/>
      <c r="Y152" s="537" t="s">
        <v>2775</v>
      </c>
      <c r="AC152" s="675"/>
      <c r="AD152" s="675"/>
      <c r="AF152" s="675"/>
      <c r="AG152" s="675"/>
    </row>
    <row r="153" spans="1:34" s="536" customFormat="1" ht="22.5" x14ac:dyDescent="0.2">
      <c r="A153" s="609"/>
      <c r="B153" s="552" t="s">
        <v>499</v>
      </c>
      <c r="C153" s="1822" t="s">
        <v>500</v>
      </c>
      <c r="D153" s="1822"/>
      <c r="E153" s="1822"/>
      <c r="F153" s="1822"/>
      <c r="G153" s="1822"/>
      <c r="H153" s="1822"/>
      <c r="I153" s="1822"/>
      <c r="J153" s="1822"/>
      <c r="K153" s="1822"/>
      <c r="L153" s="1822"/>
      <c r="M153" s="1822"/>
      <c r="N153" s="1827"/>
      <c r="V153" s="674"/>
      <c r="W153" s="675"/>
      <c r="Y153" s="537" t="s">
        <v>500</v>
      </c>
      <c r="AC153" s="675"/>
      <c r="AD153" s="675"/>
      <c r="AF153" s="675"/>
      <c r="AG153" s="675"/>
    </row>
    <row r="154" spans="1:34" s="536" customFormat="1" ht="12" x14ac:dyDescent="0.2">
      <c r="A154" s="605"/>
      <c r="B154" s="552" t="s">
        <v>185</v>
      </c>
      <c r="C154" s="1822" t="s">
        <v>312</v>
      </c>
      <c r="D154" s="1822"/>
      <c r="E154" s="1822"/>
      <c r="F154" s="562"/>
      <c r="G154" s="562"/>
      <c r="H154" s="562"/>
      <c r="I154" s="562"/>
      <c r="J154" s="604">
        <v>89.66</v>
      </c>
      <c r="K154" s="562" t="s">
        <v>2776</v>
      </c>
      <c r="L154" s="604">
        <v>117.68</v>
      </c>
      <c r="M154" s="603"/>
      <c r="N154" s="602"/>
      <c r="V154" s="674"/>
      <c r="W154" s="675"/>
      <c r="Z154" s="537" t="s">
        <v>312</v>
      </c>
      <c r="AC154" s="675"/>
      <c r="AD154" s="675"/>
      <c r="AF154" s="675"/>
      <c r="AG154" s="675"/>
    </row>
    <row r="155" spans="1:34" s="536" customFormat="1" ht="12" x14ac:dyDescent="0.2">
      <c r="A155" s="605"/>
      <c r="B155" s="552" t="s">
        <v>186</v>
      </c>
      <c r="C155" s="1822" t="s">
        <v>344</v>
      </c>
      <c r="D155" s="1822"/>
      <c r="E155" s="1822"/>
      <c r="F155" s="562"/>
      <c r="G155" s="562"/>
      <c r="H155" s="562"/>
      <c r="I155" s="562"/>
      <c r="J155" s="604">
        <v>12.61</v>
      </c>
      <c r="K155" s="562" t="s">
        <v>2776</v>
      </c>
      <c r="L155" s="604">
        <v>16.55</v>
      </c>
      <c r="M155" s="603"/>
      <c r="N155" s="602"/>
      <c r="V155" s="674"/>
      <c r="W155" s="675"/>
      <c r="Z155" s="537" t="s">
        <v>344</v>
      </c>
      <c r="AC155" s="675"/>
      <c r="AD155" s="675"/>
      <c r="AF155" s="675"/>
      <c r="AG155" s="675"/>
    </row>
    <row r="156" spans="1:34" s="536" customFormat="1" ht="12" x14ac:dyDescent="0.2">
      <c r="A156" s="605"/>
      <c r="B156" s="552" t="s">
        <v>187</v>
      </c>
      <c r="C156" s="1822" t="s">
        <v>345</v>
      </c>
      <c r="D156" s="1822"/>
      <c r="E156" s="1822"/>
      <c r="F156" s="562"/>
      <c r="G156" s="562"/>
      <c r="H156" s="562"/>
      <c r="I156" s="562"/>
      <c r="J156" s="604">
        <v>0.62</v>
      </c>
      <c r="K156" s="562" t="s">
        <v>2776</v>
      </c>
      <c r="L156" s="604">
        <v>0.81</v>
      </c>
      <c r="M156" s="603"/>
      <c r="N156" s="602"/>
      <c r="V156" s="674"/>
      <c r="W156" s="675"/>
      <c r="Z156" s="537" t="s">
        <v>345</v>
      </c>
      <c r="AC156" s="675"/>
      <c r="AD156" s="675"/>
      <c r="AF156" s="675"/>
      <c r="AG156" s="675"/>
    </row>
    <row r="157" spans="1:34" s="536" customFormat="1" ht="12" x14ac:dyDescent="0.2">
      <c r="A157" s="605"/>
      <c r="B157" s="552" t="s">
        <v>188</v>
      </c>
      <c r="C157" s="1822" t="s">
        <v>475</v>
      </c>
      <c r="D157" s="1822"/>
      <c r="E157" s="1822"/>
      <c r="F157" s="562"/>
      <c r="G157" s="562"/>
      <c r="H157" s="562"/>
      <c r="I157" s="562"/>
      <c r="J157" s="604">
        <v>28.79</v>
      </c>
      <c r="K157" s="562"/>
      <c r="L157" s="604">
        <v>28.79</v>
      </c>
      <c r="M157" s="603"/>
      <c r="N157" s="602"/>
      <c r="V157" s="674"/>
      <c r="W157" s="675"/>
      <c r="Z157" s="537" t="s">
        <v>475</v>
      </c>
      <c r="AC157" s="675"/>
      <c r="AD157" s="675"/>
      <c r="AF157" s="675"/>
      <c r="AG157" s="675"/>
    </row>
    <row r="158" spans="1:34" s="536" customFormat="1" ht="12" x14ac:dyDescent="0.2">
      <c r="A158" s="676"/>
      <c r="B158" s="677" t="s">
        <v>2800</v>
      </c>
      <c r="C158" s="1829" t="s">
        <v>2457</v>
      </c>
      <c r="D158" s="1829"/>
      <c r="E158" s="1829"/>
      <c r="F158" s="678" t="s">
        <v>699</v>
      </c>
      <c r="G158" s="678" t="s">
        <v>525</v>
      </c>
      <c r="H158" s="678"/>
      <c r="I158" s="678" t="s">
        <v>525</v>
      </c>
      <c r="J158" s="552"/>
      <c r="K158" s="562"/>
      <c r="L158" s="604"/>
      <c r="M158" s="562"/>
      <c r="N158" s="679"/>
      <c r="V158" s="674"/>
      <c r="W158" s="675"/>
      <c r="AC158" s="675"/>
      <c r="AD158" s="675"/>
      <c r="AF158" s="675"/>
      <c r="AG158" s="675"/>
      <c r="AH158" s="680" t="s">
        <v>2457</v>
      </c>
    </row>
    <row r="159" spans="1:34" s="536" customFormat="1" ht="12" x14ac:dyDescent="0.2">
      <c r="A159" s="676"/>
      <c r="B159" s="677" t="s">
        <v>2801</v>
      </c>
      <c r="C159" s="1829" t="s">
        <v>2802</v>
      </c>
      <c r="D159" s="1829"/>
      <c r="E159" s="1829"/>
      <c r="F159" s="678" t="s">
        <v>617</v>
      </c>
      <c r="G159" s="678" t="s">
        <v>185</v>
      </c>
      <c r="H159" s="678"/>
      <c r="I159" s="678" t="s">
        <v>185</v>
      </c>
      <c r="J159" s="552"/>
      <c r="K159" s="562"/>
      <c r="L159" s="604"/>
      <c r="M159" s="562"/>
      <c r="N159" s="679"/>
      <c r="V159" s="674"/>
      <c r="W159" s="675"/>
      <c r="AC159" s="675"/>
      <c r="AD159" s="675"/>
      <c r="AF159" s="675"/>
      <c r="AG159" s="675"/>
      <c r="AH159" s="680" t="s">
        <v>2802</v>
      </c>
    </row>
    <row r="160" spans="1:34" s="536" customFormat="1" ht="12" x14ac:dyDescent="0.2">
      <c r="A160" s="605"/>
      <c r="B160" s="552"/>
      <c r="C160" s="1822" t="s">
        <v>314</v>
      </c>
      <c r="D160" s="1822"/>
      <c r="E160" s="1822"/>
      <c r="F160" s="562" t="s">
        <v>315</v>
      </c>
      <c r="G160" s="562" t="s">
        <v>2803</v>
      </c>
      <c r="H160" s="562" t="s">
        <v>2776</v>
      </c>
      <c r="I160" s="562" t="s">
        <v>2804</v>
      </c>
      <c r="J160" s="604"/>
      <c r="K160" s="562"/>
      <c r="L160" s="604"/>
      <c r="M160" s="603"/>
      <c r="N160" s="602"/>
      <c r="V160" s="674"/>
      <c r="W160" s="675"/>
      <c r="AA160" s="537" t="s">
        <v>314</v>
      </c>
      <c r="AC160" s="675"/>
      <c r="AD160" s="675"/>
      <c r="AF160" s="675"/>
      <c r="AG160" s="675"/>
      <c r="AH160" s="680"/>
    </row>
    <row r="161" spans="1:34" s="536" customFormat="1" ht="12" x14ac:dyDescent="0.2">
      <c r="A161" s="605"/>
      <c r="B161" s="552"/>
      <c r="C161" s="1822" t="s">
        <v>348</v>
      </c>
      <c r="D161" s="1822"/>
      <c r="E161" s="1822"/>
      <c r="F161" s="562" t="s">
        <v>315</v>
      </c>
      <c r="G161" s="562" t="s">
        <v>856</v>
      </c>
      <c r="H161" s="562" t="s">
        <v>2776</v>
      </c>
      <c r="I161" s="562" t="s">
        <v>2779</v>
      </c>
      <c r="J161" s="604"/>
      <c r="K161" s="562"/>
      <c r="L161" s="604"/>
      <c r="M161" s="603"/>
      <c r="N161" s="602"/>
      <c r="V161" s="674"/>
      <c r="W161" s="675"/>
      <c r="AA161" s="537" t="s">
        <v>348</v>
      </c>
      <c r="AC161" s="675"/>
      <c r="AD161" s="675"/>
      <c r="AF161" s="675"/>
      <c r="AG161" s="675"/>
      <c r="AH161" s="680"/>
    </row>
    <row r="162" spans="1:34" s="536" customFormat="1" ht="12" x14ac:dyDescent="0.2">
      <c r="A162" s="605"/>
      <c r="B162" s="552"/>
      <c r="C162" s="1828" t="s">
        <v>318</v>
      </c>
      <c r="D162" s="1828"/>
      <c r="E162" s="1828"/>
      <c r="F162" s="608"/>
      <c r="G162" s="608"/>
      <c r="H162" s="608"/>
      <c r="I162" s="608"/>
      <c r="J162" s="607">
        <v>131.06</v>
      </c>
      <c r="K162" s="608"/>
      <c r="L162" s="607">
        <v>163.02000000000001</v>
      </c>
      <c r="M162" s="601"/>
      <c r="N162" s="606"/>
      <c r="V162" s="674"/>
      <c r="W162" s="675"/>
      <c r="AB162" s="537" t="s">
        <v>318</v>
      </c>
      <c r="AC162" s="675"/>
      <c r="AD162" s="675"/>
      <c r="AF162" s="675"/>
      <c r="AG162" s="675"/>
      <c r="AH162" s="680"/>
    </row>
    <row r="163" spans="1:34" s="536" customFormat="1" ht="12" x14ac:dyDescent="0.2">
      <c r="A163" s="605"/>
      <c r="B163" s="552"/>
      <c r="C163" s="1822" t="s">
        <v>319</v>
      </c>
      <c r="D163" s="1822"/>
      <c r="E163" s="1822"/>
      <c r="F163" s="562"/>
      <c r="G163" s="562"/>
      <c r="H163" s="562"/>
      <c r="I163" s="562"/>
      <c r="J163" s="604"/>
      <c r="K163" s="562"/>
      <c r="L163" s="604">
        <v>118.49</v>
      </c>
      <c r="M163" s="603"/>
      <c r="N163" s="602"/>
      <c r="V163" s="674"/>
      <c r="W163" s="675"/>
      <c r="AA163" s="537" t="s">
        <v>319</v>
      </c>
      <c r="AC163" s="675"/>
      <c r="AD163" s="675"/>
      <c r="AF163" s="675"/>
      <c r="AG163" s="675"/>
      <c r="AH163" s="680"/>
    </row>
    <row r="164" spans="1:34" s="536" customFormat="1" ht="45" x14ac:dyDescent="0.2">
      <c r="A164" s="605"/>
      <c r="B164" s="552" t="s">
        <v>892</v>
      </c>
      <c r="C164" s="1822" t="s">
        <v>893</v>
      </c>
      <c r="D164" s="1822"/>
      <c r="E164" s="1822"/>
      <c r="F164" s="562" t="s">
        <v>322</v>
      </c>
      <c r="G164" s="562" t="s">
        <v>894</v>
      </c>
      <c r="H164" s="562"/>
      <c r="I164" s="562" t="s">
        <v>894</v>
      </c>
      <c r="J164" s="604"/>
      <c r="K164" s="562"/>
      <c r="L164" s="604">
        <v>143.37</v>
      </c>
      <c r="M164" s="603"/>
      <c r="N164" s="602"/>
      <c r="V164" s="674"/>
      <c r="W164" s="675"/>
      <c r="AA164" s="537" t="s">
        <v>893</v>
      </c>
      <c r="AC164" s="675"/>
      <c r="AD164" s="675"/>
      <c r="AF164" s="675"/>
      <c r="AG164" s="675"/>
      <c r="AH164" s="680"/>
    </row>
    <row r="165" spans="1:34" s="536" customFormat="1" ht="45" x14ac:dyDescent="0.2">
      <c r="A165" s="605"/>
      <c r="B165" s="552" t="s">
        <v>895</v>
      </c>
      <c r="C165" s="1822" t="s">
        <v>896</v>
      </c>
      <c r="D165" s="1822"/>
      <c r="E165" s="1822"/>
      <c r="F165" s="562" t="s">
        <v>322</v>
      </c>
      <c r="G165" s="562" t="s">
        <v>897</v>
      </c>
      <c r="H165" s="562"/>
      <c r="I165" s="562" t="s">
        <v>897</v>
      </c>
      <c r="J165" s="604"/>
      <c r="K165" s="562"/>
      <c r="L165" s="604">
        <v>85.31</v>
      </c>
      <c r="M165" s="603"/>
      <c r="N165" s="602"/>
      <c r="V165" s="674"/>
      <c r="W165" s="675"/>
      <c r="AA165" s="537" t="s">
        <v>896</v>
      </c>
      <c r="AC165" s="675"/>
      <c r="AD165" s="675"/>
      <c r="AF165" s="675"/>
      <c r="AG165" s="675"/>
      <c r="AH165" s="680"/>
    </row>
    <row r="166" spans="1:34" s="536" customFormat="1" ht="12" x14ac:dyDescent="0.2">
      <c r="A166" s="569"/>
      <c r="B166" s="656"/>
      <c r="C166" s="1823" t="s">
        <v>327</v>
      </c>
      <c r="D166" s="1823"/>
      <c r="E166" s="1823"/>
      <c r="F166" s="573"/>
      <c r="G166" s="573"/>
      <c r="H166" s="573"/>
      <c r="I166" s="573"/>
      <c r="J166" s="572"/>
      <c r="K166" s="573"/>
      <c r="L166" s="572">
        <v>391.7</v>
      </c>
      <c r="M166" s="601"/>
      <c r="N166" s="570"/>
      <c r="V166" s="674"/>
      <c r="W166" s="675"/>
      <c r="AC166" s="675" t="s">
        <v>327</v>
      </c>
      <c r="AD166" s="675"/>
      <c r="AF166" s="675"/>
      <c r="AG166" s="675"/>
      <c r="AH166" s="680"/>
    </row>
    <row r="167" spans="1:34" s="536" customFormat="1" ht="33.75" x14ac:dyDescent="0.2">
      <c r="A167" s="575" t="s">
        <v>198</v>
      </c>
      <c r="B167" s="657" t="s">
        <v>2805</v>
      </c>
      <c r="C167" s="1823" t="s">
        <v>2806</v>
      </c>
      <c r="D167" s="1823"/>
      <c r="E167" s="1823"/>
      <c r="F167" s="573" t="s">
        <v>628</v>
      </c>
      <c r="G167" s="573"/>
      <c r="H167" s="573"/>
      <c r="I167" s="573" t="s">
        <v>185</v>
      </c>
      <c r="J167" s="572">
        <v>2238.39</v>
      </c>
      <c r="K167" s="573" t="s">
        <v>716</v>
      </c>
      <c r="L167" s="572">
        <v>274.39999999999998</v>
      </c>
      <c r="M167" s="571">
        <v>8.32</v>
      </c>
      <c r="N167" s="570">
        <v>2283</v>
      </c>
      <c r="V167" s="674"/>
      <c r="W167" s="675" t="s">
        <v>2806</v>
      </c>
      <c r="AC167" s="675"/>
      <c r="AD167" s="675"/>
      <c r="AF167" s="675"/>
      <c r="AG167" s="675"/>
      <c r="AH167" s="680"/>
    </row>
    <row r="168" spans="1:34" s="536" customFormat="1" ht="12" x14ac:dyDescent="0.2">
      <c r="A168" s="569"/>
      <c r="B168" s="656"/>
      <c r="C168" s="661" t="s">
        <v>717</v>
      </c>
      <c r="D168" s="662"/>
      <c r="E168" s="662"/>
      <c r="F168" s="563"/>
      <c r="G168" s="563"/>
      <c r="H168" s="563"/>
      <c r="I168" s="563"/>
      <c r="J168" s="566"/>
      <c r="K168" s="563"/>
      <c r="L168" s="566"/>
      <c r="M168" s="565"/>
      <c r="N168" s="564"/>
      <c r="V168" s="674"/>
      <c r="W168" s="675"/>
      <c r="AC168" s="675"/>
      <c r="AD168" s="675"/>
      <c r="AF168" s="675"/>
      <c r="AG168" s="675"/>
      <c r="AH168" s="680"/>
    </row>
    <row r="169" spans="1:34" s="536" customFormat="1" ht="22.5" x14ac:dyDescent="0.2">
      <c r="A169" s="609"/>
      <c r="B169" s="552" t="s">
        <v>718</v>
      </c>
      <c r="C169" s="1822" t="s">
        <v>719</v>
      </c>
      <c r="D169" s="1822"/>
      <c r="E169" s="1822"/>
      <c r="F169" s="1822"/>
      <c r="G169" s="1822"/>
      <c r="H169" s="1822"/>
      <c r="I169" s="1822"/>
      <c r="J169" s="1822"/>
      <c r="K169" s="1822"/>
      <c r="L169" s="1822"/>
      <c r="M169" s="1822"/>
      <c r="N169" s="1827"/>
      <c r="V169" s="674"/>
      <c r="W169" s="675"/>
      <c r="Y169" s="537" t="s">
        <v>719</v>
      </c>
      <c r="AC169" s="675"/>
      <c r="AD169" s="675"/>
      <c r="AF169" s="675"/>
      <c r="AG169" s="675"/>
      <c r="AH169" s="680"/>
    </row>
    <row r="170" spans="1:34" s="536" customFormat="1" ht="33.75" x14ac:dyDescent="0.2">
      <c r="A170" s="575" t="s">
        <v>199</v>
      </c>
      <c r="B170" s="657" t="s">
        <v>2807</v>
      </c>
      <c r="C170" s="1823" t="s">
        <v>2808</v>
      </c>
      <c r="D170" s="1823"/>
      <c r="E170" s="1823"/>
      <c r="F170" s="573" t="s">
        <v>628</v>
      </c>
      <c r="G170" s="573"/>
      <c r="H170" s="573"/>
      <c r="I170" s="573" t="s">
        <v>185</v>
      </c>
      <c r="J170" s="572">
        <v>402.15</v>
      </c>
      <c r="K170" s="573" t="s">
        <v>716</v>
      </c>
      <c r="L170" s="572">
        <v>49.28</v>
      </c>
      <c r="M170" s="571">
        <v>8.32</v>
      </c>
      <c r="N170" s="570">
        <v>410</v>
      </c>
      <c r="V170" s="674"/>
      <c r="W170" s="675" t="s">
        <v>2808</v>
      </c>
      <c r="AC170" s="675"/>
      <c r="AD170" s="675"/>
      <c r="AF170" s="675"/>
      <c r="AG170" s="675"/>
      <c r="AH170" s="680"/>
    </row>
    <row r="171" spans="1:34" s="536" customFormat="1" ht="12" x14ac:dyDescent="0.2">
      <c r="A171" s="569"/>
      <c r="B171" s="656"/>
      <c r="C171" s="661" t="s">
        <v>717</v>
      </c>
      <c r="D171" s="662"/>
      <c r="E171" s="662"/>
      <c r="F171" s="563"/>
      <c r="G171" s="563"/>
      <c r="H171" s="563"/>
      <c r="I171" s="563"/>
      <c r="J171" s="566"/>
      <c r="K171" s="563"/>
      <c r="L171" s="566"/>
      <c r="M171" s="565"/>
      <c r="N171" s="564"/>
      <c r="V171" s="674"/>
      <c r="W171" s="675"/>
      <c r="AC171" s="675"/>
      <c r="AD171" s="675"/>
      <c r="AF171" s="675"/>
      <c r="AG171" s="675"/>
      <c r="AH171" s="680"/>
    </row>
    <row r="172" spans="1:34" s="536" customFormat="1" ht="22.5" x14ac:dyDescent="0.2">
      <c r="A172" s="609"/>
      <c r="B172" s="552" t="s">
        <v>718</v>
      </c>
      <c r="C172" s="1822" t="s">
        <v>719</v>
      </c>
      <c r="D172" s="1822"/>
      <c r="E172" s="1822"/>
      <c r="F172" s="1822"/>
      <c r="G172" s="1822"/>
      <c r="H172" s="1822"/>
      <c r="I172" s="1822"/>
      <c r="J172" s="1822"/>
      <c r="K172" s="1822"/>
      <c r="L172" s="1822"/>
      <c r="M172" s="1822"/>
      <c r="N172" s="1827"/>
      <c r="V172" s="674"/>
      <c r="W172" s="675"/>
      <c r="Y172" s="537" t="s">
        <v>719</v>
      </c>
      <c r="AC172" s="675"/>
      <c r="AD172" s="675"/>
      <c r="AF172" s="675"/>
      <c r="AG172" s="675"/>
      <c r="AH172" s="680"/>
    </row>
    <row r="173" spans="1:34" s="536" customFormat="1" ht="33.75" x14ac:dyDescent="0.2">
      <c r="A173" s="575" t="s">
        <v>200</v>
      </c>
      <c r="B173" s="657" t="s">
        <v>2788</v>
      </c>
      <c r="C173" s="1823" t="s">
        <v>2789</v>
      </c>
      <c r="D173" s="1823"/>
      <c r="E173" s="1823"/>
      <c r="F173" s="573" t="s">
        <v>617</v>
      </c>
      <c r="G173" s="573"/>
      <c r="H173" s="573"/>
      <c r="I173" s="573" t="s">
        <v>185</v>
      </c>
      <c r="J173" s="572"/>
      <c r="K173" s="573"/>
      <c r="L173" s="572"/>
      <c r="M173" s="571"/>
      <c r="N173" s="570"/>
      <c r="V173" s="674"/>
      <c r="W173" s="675" t="s">
        <v>2789</v>
      </c>
      <c r="AC173" s="675"/>
      <c r="AD173" s="675"/>
      <c r="AF173" s="675"/>
      <c r="AG173" s="675"/>
      <c r="AH173" s="680"/>
    </row>
    <row r="174" spans="1:34" s="536" customFormat="1" ht="22.5" x14ac:dyDescent="0.2">
      <c r="A174" s="609"/>
      <c r="B174" s="552" t="s">
        <v>499</v>
      </c>
      <c r="C174" s="1822" t="s">
        <v>500</v>
      </c>
      <c r="D174" s="1822"/>
      <c r="E174" s="1822"/>
      <c r="F174" s="1822"/>
      <c r="G174" s="1822"/>
      <c r="H174" s="1822"/>
      <c r="I174" s="1822"/>
      <c r="J174" s="1822"/>
      <c r="K174" s="1822"/>
      <c r="L174" s="1822"/>
      <c r="M174" s="1822"/>
      <c r="N174" s="1827"/>
      <c r="V174" s="674"/>
      <c r="W174" s="675"/>
      <c r="Y174" s="537" t="s">
        <v>500</v>
      </c>
      <c r="AC174" s="675"/>
      <c r="AD174" s="675"/>
      <c r="AF174" s="675"/>
      <c r="AG174" s="675"/>
      <c r="AH174" s="680"/>
    </row>
    <row r="175" spans="1:34" s="536" customFormat="1" ht="12" x14ac:dyDescent="0.2">
      <c r="A175" s="605"/>
      <c r="B175" s="552" t="s">
        <v>185</v>
      </c>
      <c r="C175" s="1822" t="s">
        <v>312</v>
      </c>
      <c r="D175" s="1822"/>
      <c r="E175" s="1822"/>
      <c r="F175" s="562"/>
      <c r="G175" s="562"/>
      <c r="H175" s="562"/>
      <c r="I175" s="562"/>
      <c r="J175" s="604">
        <v>5.16</v>
      </c>
      <c r="K175" s="562" t="s">
        <v>313</v>
      </c>
      <c r="L175" s="604">
        <v>6.45</v>
      </c>
      <c r="M175" s="603"/>
      <c r="N175" s="602"/>
      <c r="V175" s="674"/>
      <c r="W175" s="675"/>
      <c r="Z175" s="537" t="s">
        <v>312</v>
      </c>
      <c r="AC175" s="675"/>
      <c r="AD175" s="675"/>
      <c r="AF175" s="675"/>
      <c r="AG175" s="675"/>
      <c r="AH175" s="680"/>
    </row>
    <row r="176" spans="1:34" s="536" customFormat="1" ht="12" x14ac:dyDescent="0.2">
      <c r="A176" s="605"/>
      <c r="B176" s="552" t="s">
        <v>188</v>
      </c>
      <c r="C176" s="1822" t="s">
        <v>475</v>
      </c>
      <c r="D176" s="1822"/>
      <c r="E176" s="1822"/>
      <c r="F176" s="562"/>
      <c r="G176" s="562"/>
      <c r="H176" s="562"/>
      <c r="I176" s="562"/>
      <c r="J176" s="604">
        <v>1.0900000000000001</v>
      </c>
      <c r="K176" s="562"/>
      <c r="L176" s="604">
        <v>1.0900000000000001</v>
      </c>
      <c r="M176" s="603"/>
      <c r="N176" s="602"/>
      <c r="V176" s="674"/>
      <c r="W176" s="675"/>
      <c r="Z176" s="537" t="s">
        <v>475</v>
      </c>
      <c r="AC176" s="675"/>
      <c r="AD176" s="675"/>
      <c r="AF176" s="675"/>
      <c r="AG176" s="675"/>
      <c r="AH176" s="680"/>
    </row>
    <row r="177" spans="1:34" s="536" customFormat="1" ht="12" x14ac:dyDescent="0.2">
      <c r="A177" s="605"/>
      <c r="B177" s="552"/>
      <c r="C177" s="1822" t="s">
        <v>314</v>
      </c>
      <c r="D177" s="1822"/>
      <c r="E177" s="1822"/>
      <c r="F177" s="562" t="s">
        <v>315</v>
      </c>
      <c r="G177" s="562" t="s">
        <v>2790</v>
      </c>
      <c r="H177" s="562" t="s">
        <v>313</v>
      </c>
      <c r="I177" s="562" t="s">
        <v>1118</v>
      </c>
      <c r="J177" s="604"/>
      <c r="K177" s="562"/>
      <c r="L177" s="604"/>
      <c r="M177" s="603"/>
      <c r="N177" s="602"/>
      <c r="V177" s="674"/>
      <c r="W177" s="675"/>
      <c r="AA177" s="537" t="s">
        <v>314</v>
      </c>
      <c r="AC177" s="675"/>
      <c r="AD177" s="675"/>
      <c r="AF177" s="675"/>
      <c r="AG177" s="675"/>
      <c r="AH177" s="680"/>
    </row>
    <row r="178" spans="1:34" s="536" customFormat="1" ht="12" x14ac:dyDescent="0.2">
      <c r="A178" s="605"/>
      <c r="B178" s="552"/>
      <c r="C178" s="1828" t="s">
        <v>318</v>
      </c>
      <c r="D178" s="1828"/>
      <c r="E178" s="1828"/>
      <c r="F178" s="608"/>
      <c r="G178" s="608"/>
      <c r="H178" s="608"/>
      <c r="I178" s="608"/>
      <c r="J178" s="607">
        <v>6.25</v>
      </c>
      <c r="K178" s="608"/>
      <c r="L178" s="607">
        <v>7.54</v>
      </c>
      <c r="M178" s="601"/>
      <c r="N178" s="606"/>
      <c r="V178" s="674"/>
      <c r="W178" s="675"/>
      <c r="AB178" s="537" t="s">
        <v>318</v>
      </c>
      <c r="AC178" s="675"/>
      <c r="AD178" s="675"/>
      <c r="AF178" s="675"/>
      <c r="AG178" s="675"/>
      <c r="AH178" s="680"/>
    </row>
    <row r="179" spans="1:34" s="536" customFormat="1" ht="12" x14ac:dyDescent="0.2">
      <c r="A179" s="605"/>
      <c r="B179" s="552"/>
      <c r="C179" s="1822" t="s">
        <v>319</v>
      </c>
      <c r="D179" s="1822"/>
      <c r="E179" s="1822"/>
      <c r="F179" s="562"/>
      <c r="G179" s="562"/>
      <c r="H179" s="562"/>
      <c r="I179" s="562"/>
      <c r="J179" s="604"/>
      <c r="K179" s="562"/>
      <c r="L179" s="604">
        <v>6.45</v>
      </c>
      <c r="M179" s="603"/>
      <c r="N179" s="602"/>
      <c r="V179" s="674"/>
      <c r="W179" s="675"/>
      <c r="AA179" s="537" t="s">
        <v>319</v>
      </c>
      <c r="AC179" s="675"/>
      <c r="AD179" s="675"/>
      <c r="AF179" s="675"/>
      <c r="AG179" s="675"/>
      <c r="AH179" s="680"/>
    </row>
    <row r="180" spans="1:34" s="536" customFormat="1" ht="33.75" x14ac:dyDescent="0.2">
      <c r="A180" s="605"/>
      <c r="B180" s="552" t="s">
        <v>884</v>
      </c>
      <c r="C180" s="1822" t="s">
        <v>885</v>
      </c>
      <c r="D180" s="1822"/>
      <c r="E180" s="1822"/>
      <c r="F180" s="562" t="s">
        <v>322</v>
      </c>
      <c r="G180" s="562" t="s">
        <v>886</v>
      </c>
      <c r="H180" s="562"/>
      <c r="I180" s="562" t="s">
        <v>886</v>
      </c>
      <c r="J180" s="604"/>
      <c r="K180" s="562"/>
      <c r="L180" s="604">
        <v>5.81</v>
      </c>
      <c r="M180" s="603"/>
      <c r="N180" s="602"/>
      <c r="V180" s="674"/>
      <c r="W180" s="675"/>
      <c r="AA180" s="537" t="s">
        <v>885</v>
      </c>
      <c r="AC180" s="675"/>
      <c r="AD180" s="675"/>
      <c r="AF180" s="675"/>
      <c r="AG180" s="675"/>
      <c r="AH180" s="680"/>
    </row>
    <row r="181" spans="1:34" s="536" customFormat="1" ht="33.75" x14ac:dyDescent="0.2">
      <c r="A181" s="605"/>
      <c r="B181" s="552" t="s">
        <v>887</v>
      </c>
      <c r="C181" s="1822" t="s">
        <v>888</v>
      </c>
      <c r="D181" s="1822"/>
      <c r="E181" s="1822"/>
      <c r="F181" s="562" t="s">
        <v>322</v>
      </c>
      <c r="G181" s="562" t="s">
        <v>465</v>
      </c>
      <c r="H181" s="562"/>
      <c r="I181" s="562" t="s">
        <v>465</v>
      </c>
      <c r="J181" s="604"/>
      <c r="K181" s="562"/>
      <c r="L181" s="604">
        <v>2.97</v>
      </c>
      <c r="M181" s="603"/>
      <c r="N181" s="602"/>
      <c r="V181" s="674"/>
      <c r="W181" s="675"/>
      <c r="AA181" s="537" t="s">
        <v>888</v>
      </c>
      <c r="AC181" s="675"/>
      <c r="AD181" s="675"/>
      <c r="AF181" s="675"/>
      <c r="AG181" s="675"/>
      <c r="AH181" s="680"/>
    </row>
    <row r="182" spans="1:34" s="536" customFormat="1" ht="12" x14ac:dyDescent="0.2">
      <c r="A182" s="569"/>
      <c r="B182" s="656"/>
      <c r="C182" s="1823" t="s">
        <v>327</v>
      </c>
      <c r="D182" s="1823"/>
      <c r="E182" s="1823"/>
      <c r="F182" s="573"/>
      <c r="G182" s="573"/>
      <c r="H182" s="573"/>
      <c r="I182" s="573"/>
      <c r="J182" s="572"/>
      <c r="K182" s="573"/>
      <c r="L182" s="572">
        <v>16.32</v>
      </c>
      <c r="M182" s="601"/>
      <c r="N182" s="570"/>
      <c r="V182" s="674"/>
      <c r="W182" s="675"/>
      <c r="AC182" s="675" t="s">
        <v>327</v>
      </c>
      <c r="AD182" s="675"/>
      <c r="AF182" s="675"/>
      <c r="AG182" s="675"/>
      <c r="AH182" s="680"/>
    </row>
    <row r="183" spans="1:34" s="536" customFormat="1" ht="33.75" x14ac:dyDescent="0.2">
      <c r="A183" s="575" t="s">
        <v>899</v>
      </c>
      <c r="B183" s="657" t="s">
        <v>2809</v>
      </c>
      <c r="C183" s="1823" t="s">
        <v>2810</v>
      </c>
      <c r="D183" s="1823"/>
      <c r="E183" s="1823"/>
      <c r="F183" s="573" t="s">
        <v>628</v>
      </c>
      <c r="G183" s="573"/>
      <c r="H183" s="573"/>
      <c r="I183" s="573" t="s">
        <v>185</v>
      </c>
      <c r="J183" s="572">
        <v>1939.04</v>
      </c>
      <c r="K183" s="573" t="s">
        <v>629</v>
      </c>
      <c r="L183" s="572">
        <v>427.45</v>
      </c>
      <c r="M183" s="571">
        <v>4.59</v>
      </c>
      <c r="N183" s="570">
        <v>1962</v>
      </c>
      <c r="V183" s="674"/>
      <c r="W183" s="675" t="s">
        <v>2810</v>
      </c>
      <c r="AC183" s="675"/>
      <c r="AD183" s="675"/>
      <c r="AF183" s="675"/>
      <c r="AG183" s="675"/>
      <c r="AH183" s="680"/>
    </row>
    <row r="184" spans="1:34" s="536" customFormat="1" ht="12" x14ac:dyDescent="0.2">
      <c r="A184" s="569"/>
      <c r="B184" s="656"/>
      <c r="C184" s="661" t="s">
        <v>630</v>
      </c>
      <c r="D184" s="662"/>
      <c r="E184" s="662"/>
      <c r="F184" s="563"/>
      <c r="G184" s="563"/>
      <c r="H184" s="563"/>
      <c r="I184" s="563"/>
      <c r="J184" s="566"/>
      <c r="K184" s="563"/>
      <c r="L184" s="566"/>
      <c r="M184" s="565"/>
      <c r="N184" s="564"/>
      <c r="V184" s="674"/>
      <c r="W184" s="675"/>
      <c r="AC184" s="675"/>
      <c r="AD184" s="675"/>
      <c r="AF184" s="675"/>
      <c r="AG184" s="675"/>
      <c r="AH184" s="680"/>
    </row>
    <row r="185" spans="1:34" s="536" customFormat="1" ht="22.5" x14ac:dyDescent="0.2">
      <c r="A185" s="609"/>
      <c r="B185" s="552" t="s">
        <v>631</v>
      </c>
      <c r="C185" s="1822" t="s">
        <v>632</v>
      </c>
      <c r="D185" s="1822"/>
      <c r="E185" s="1822"/>
      <c r="F185" s="1822"/>
      <c r="G185" s="1822"/>
      <c r="H185" s="1822"/>
      <c r="I185" s="1822"/>
      <c r="J185" s="1822"/>
      <c r="K185" s="1822"/>
      <c r="L185" s="1822"/>
      <c r="M185" s="1822"/>
      <c r="N185" s="1827"/>
      <c r="V185" s="674"/>
      <c r="W185" s="675"/>
      <c r="Y185" s="537" t="s">
        <v>632</v>
      </c>
      <c r="AC185" s="675"/>
      <c r="AD185" s="675"/>
      <c r="AF185" s="675"/>
      <c r="AG185" s="675"/>
      <c r="AH185" s="680"/>
    </row>
    <row r="186" spans="1:34" s="536" customFormat="1" ht="45" x14ac:dyDescent="0.2">
      <c r="A186" s="575" t="s">
        <v>430</v>
      </c>
      <c r="B186" s="657" t="s">
        <v>2811</v>
      </c>
      <c r="C186" s="1823" t="s">
        <v>2812</v>
      </c>
      <c r="D186" s="1823"/>
      <c r="E186" s="1823"/>
      <c r="F186" s="573" t="s">
        <v>617</v>
      </c>
      <c r="G186" s="573"/>
      <c r="H186" s="573"/>
      <c r="I186" s="573" t="s">
        <v>186</v>
      </c>
      <c r="J186" s="572"/>
      <c r="K186" s="573"/>
      <c r="L186" s="572"/>
      <c r="M186" s="571"/>
      <c r="N186" s="570"/>
      <c r="V186" s="674"/>
      <c r="W186" s="675" t="s">
        <v>2812</v>
      </c>
      <c r="AC186" s="675"/>
      <c r="AD186" s="675"/>
      <c r="AF186" s="675"/>
      <c r="AG186" s="675"/>
      <c r="AH186" s="680"/>
    </row>
    <row r="187" spans="1:34" s="536" customFormat="1" ht="12" x14ac:dyDescent="0.2">
      <c r="A187" s="609"/>
      <c r="B187" s="552" t="s">
        <v>2774</v>
      </c>
      <c r="C187" s="1822" t="s">
        <v>2775</v>
      </c>
      <c r="D187" s="1822"/>
      <c r="E187" s="1822"/>
      <c r="F187" s="1822"/>
      <c r="G187" s="1822"/>
      <c r="H187" s="1822"/>
      <c r="I187" s="1822"/>
      <c r="J187" s="1822"/>
      <c r="K187" s="1822"/>
      <c r="L187" s="1822"/>
      <c r="M187" s="1822"/>
      <c r="N187" s="1827"/>
      <c r="V187" s="674"/>
      <c r="W187" s="675"/>
      <c r="Y187" s="537" t="s">
        <v>2775</v>
      </c>
      <c r="AC187" s="675"/>
      <c r="AD187" s="675"/>
      <c r="AF187" s="675"/>
      <c r="AG187" s="675"/>
      <c r="AH187" s="680"/>
    </row>
    <row r="188" spans="1:34" s="536" customFormat="1" ht="22.5" x14ac:dyDescent="0.2">
      <c r="A188" s="609"/>
      <c r="B188" s="552" t="s">
        <v>499</v>
      </c>
      <c r="C188" s="1822" t="s">
        <v>500</v>
      </c>
      <c r="D188" s="1822"/>
      <c r="E188" s="1822"/>
      <c r="F188" s="1822"/>
      <c r="G188" s="1822"/>
      <c r="H188" s="1822"/>
      <c r="I188" s="1822"/>
      <c r="J188" s="1822"/>
      <c r="K188" s="1822"/>
      <c r="L188" s="1822"/>
      <c r="M188" s="1822"/>
      <c r="N188" s="1827"/>
      <c r="V188" s="674"/>
      <c r="W188" s="675"/>
      <c r="Y188" s="537" t="s">
        <v>500</v>
      </c>
      <c r="AC188" s="675"/>
      <c r="AD188" s="675"/>
      <c r="AF188" s="675"/>
      <c r="AG188" s="675"/>
      <c r="AH188" s="680"/>
    </row>
    <row r="189" spans="1:34" s="536" customFormat="1" ht="12" x14ac:dyDescent="0.2">
      <c r="A189" s="605"/>
      <c r="B189" s="552" t="s">
        <v>185</v>
      </c>
      <c r="C189" s="1822" t="s">
        <v>312</v>
      </c>
      <c r="D189" s="1822"/>
      <c r="E189" s="1822"/>
      <c r="F189" s="562"/>
      <c r="G189" s="562"/>
      <c r="H189" s="562"/>
      <c r="I189" s="562"/>
      <c r="J189" s="604">
        <v>13.64</v>
      </c>
      <c r="K189" s="562" t="s">
        <v>2776</v>
      </c>
      <c r="L189" s="604">
        <v>35.81</v>
      </c>
      <c r="M189" s="603"/>
      <c r="N189" s="602"/>
      <c r="V189" s="674"/>
      <c r="W189" s="675"/>
      <c r="Z189" s="537" t="s">
        <v>312</v>
      </c>
      <c r="AC189" s="675"/>
      <c r="AD189" s="675"/>
      <c r="AF189" s="675"/>
      <c r="AG189" s="675"/>
      <c r="AH189" s="680"/>
    </row>
    <row r="190" spans="1:34" s="536" customFormat="1" ht="12" x14ac:dyDescent="0.2">
      <c r="A190" s="605"/>
      <c r="B190" s="552" t="s">
        <v>186</v>
      </c>
      <c r="C190" s="1822" t="s">
        <v>344</v>
      </c>
      <c r="D190" s="1822"/>
      <c r="E190" s="1822"/>
      <c r="F190" s="562"/>
      <c r="G190" s="562"/>
      <c r="H190" s="562"/>
      <c r="I190" s="562"/>
      <c r="J190" s="604">
        <v>1.88</v>
      </c>
      <c r="K190" s="562" t="s">
        <v>2776</v>
      </c>
      <c r="L190" s="604">
        <v>4.9400000000000004</v>
      </c>
      <c r="M190" s="603"/>
      <c r="N190" s="602"/>
      <c r="V190" s="674"/>
      <c r="W190" s="675"/>
      <c r="Z190" s="537" t="s">
        <v>344</v>
      </c>
      <c r="AC190" s="675"/>
      <c r="AD190" s="675"/>
      <c r="AF190" s="675"/>
      <c r="AG190" s="675"/>
      <c r="AH190" s="680"/>
    </row>
    <row r="191" spans="1:34" s="536" customFormat="1" ht="12" x14ac:dyDescent="0.2">
      <c r="A191" s="605"/>
      <c r="B191" s="552" t="s">
        <v>187</v>
      </c>
      <c r="C191" s="1822" t="s">
        <v>345</v>
      </c>
      <c r="D191" s="1822"/>
      <c r="E191" s="1822"/>
      <c r="F191" s="562"/>
      <c r="G191" s="562"/>
      <c r="H191" s="562"/>
      <c r="I191" s="562"/>
      <c r="J191" s="604">
        <v>0.12</v>
      </c>
      <c r="K191" s="562" t="s">
        <v>2776</v>
      </c>
      <c r="L191" s="604">
        <v>0.32</v>
      </c>
      <c r="M191" s="603"/>
      <c r="N191" s="602"/>
      <c r="V191" s="674"/>
      <c r="W191" s="675"/>
      <c r="Z191" s="537" t="s">
        <v>345</v>
      </c>
      <c r="AC191" s="675"/>
      <c r="AD191" s="675"/>
      <c r="AF191" s="675"/>
      <c r="AG191" s="675"/>
      <c r="AH191" s="680"/>
    </row>
    <row r="192" spans="1:34" s="536" customFormat="1" ht="12" x14ac:dyDescent="0.2">
      <c r="A192" s="605"/>
      <c r="B192" s="552" t="s">
        <v>188</v>
      </c>
      <c r="C192" s="1822" t="s">
        <v>475</v>
      </c>
      <c r="D192" s="1822"/>
      <c r="E192" s="1822"/>
      <c r="F192" s="562"/>
      <c r="G192" s="562"/>
      <c r="H192" s="562"/>
      <c r="I192" s="562"/>
      <c r="J192" s="604">
        <v>7.33</v>
      </c>
      <c r="K192" s="562"/>
      <c r="L192" s="604">
        <v>14.66</v>
      </c>
      <c r="M192" s="603"/>
      <c r="N192" s="602"/>
      <c r="V192" s="674"/>
      <c r="W192" s="675"/>
      <c r="Z192" s="537" t="s">
        <v>475</v>
      </c>
      <c r="AC192" s="675"/>
      <c r="AD192" s="675"/>
      <c r="AF192" s="675"/>
      <c r="AG192" s="675"/>
      <c r="AH192" s="680"/>
    </row>
    <row r="193" spans="1:34" s="536" customFormat="1" ht="12" x14ac:dyDescent="0.2">
      <c r="A193" s="676"/>
      <c r="B193" s="677" t="s">
        <v>2800</v>
      </c>
      <c r="C193" s="1829" t="s">
        <v>2457</v>
      </c>
      <c r="D193" s="1829"/>
      <c r="E193" s="1829"/>
      <c r="F193" s="678" t="s">
        <v>699</v>
      </c>
      <c r="G193" s="678" t="s">
        <v>525</v>
      </c>
      <c r="H193" s="678"/>
      <c r="I193" s="678" t="s">
        <v>525</v>
      </c>
      <c r="J193" s="552"/>
      <c r="K193" s="562"/>
      <c r="L193" s="604"/>
      <c r="M193" s="562"/>
      <c r="N193" s="679"/>
      <c r="V193" s="674"/>
      <c r="W193" s="675"/>
      <c r="AC193" s="675"/>
      <c r="AD193" s="675"/>
      <c r="AF193" s="675"/>
      <c r="AG193" s="675"/>
      <c r="AH193" s="680" t="s">
        <v>2457</v>
      </c>
    </row>
    <row r="194" spans="1:34" s="536" customFormat="1" ht="12" x14ac:dyDescent="0.2">
      <c r="A194" s="676"/>
      <c r="B194" s="677" t="s">
        <v>2813</v>
      </c>
      <c r="C194" s="1829" t="s">
        <v>2814</v>
      </c>
      <c r="D194" s="1829"/>
      <c r="E194" s="1829"/>
      <c r="F194" s="678" t="s">
        <v>617</v>
      </c>
      <c r="G194" s="678" t="s">
        <v>185</v>
      </c>
      <c r="H194" s="678"/>
      <c r="I194" s="678" t="s">
        <v>186</v>
      </c>
      <c r="J194" s="552"/>
      <c r="K194" s="562"/>
      <c r="L194" s="604"/>
      <c r="M194" s="562"/>
      <c r="N194" s="679"/>
      <c r="V194" s="674"/>
      <c r="W194" s="675"/>
      <c r="AC194" s="675"/>
      <c r="AD194" s="675"/>
      <c r="AF194" s="675"/>
      <c r="AG194" s="675"/>
      <c r="AH194" s="680" t="s">
        <v>2814</v>
      </c>
    </row>
    <row r="195" spans="1:34" s="536" customFormat="1" ht="12" x14ac:dyDescent="0.2">
      <c r="A195" s="605"/>
      <c r="B195" s="552"/>
      <c r="C195" s="1822" t="s">
        <v>314</v>
      </c>
      <c r="D195" s="1822"/>
      <c r="E195" s="1822"/>
      <c r="F195" s="562" t="s">
        <v>315</v>
      </c>
      <c r="G195" s="562" t="s">
        <v>2815</v>
      </c>
      <c r="H195" s="562" t="s">
        <v>2776</v>
      </c>
      <c r="I195" s="562" t="s">
        <v>2816</v>
      </c>
      <c r="J195" s="604"/>
      <c r="K195" s="562"/>
      <c r="L195" s="604"/>
      <c r="M195" s="603"/>
      <c r="N195" s="602"/>
      <c r="V195" s="674"/>
      <c r="W195" s="675"/>
      <c r="AA195" s="537" t="s">
        <v>314</v>
      </c>
      <c r="AC195" s="675"/>
      <c r="AD195" s="675"/>
      <c r="AF195" s="675"/>
      <c r="AG195" s="675"/>
      <c r="AH195" s="680"/>
    </row>
    <row r="196" spans="1:34" s="536" customFormat="1" ht="12" x14ac:dyDescent="0.2">
      <c r="A196" s="605"/>
      <c r="B196" s="552"/>
      <c r="C196" s="1822" t="s">
        <v>348</v>
      </c>
      <c r="D196" s="1822"/>
      <c r="E196" s="1822"/>
      <c r="F196" s="562" t="s">
        <v>315</v>
      </c>
      <c r="G196" s="562" t="s">
        <v>809</v>
      </c>
      <c r="H196" s="562" t="s">
        <v>2776</v>
      </c>
      <c r="I196" s="562" t="s">
        <v>2817</v>
      </c>
      <c r="J196" s="604"/>
      <c r="K196" s="562"/>
      <c r="L196" s="604"/>
      <c r="M196" s="603"/>
      <c r="N196" s="602"/>
      <c r="V196" s="674"/>
      <c r="W196" s="675"/>
      <c r="AA196" s="537" t="s">
        <v>348</v>
      </c>
      <c r="AC196" s="675"/>
      <c r="AD196" s="675"/>
      <c r="AF196" s="675"/>
      <c r="AG196" s="675"/>
      <c r="AH196" s="680"/>
    </row>
    <row r="197" spans="1:34" s="536" customFormat="1" ht="12" x14ac:dyDescent="0.2">
      <c r="A197" s="605"/>
      <c r="B197" s="552"/>
      <c r="C197" s="1828" t="s">
        <v>318</v>
      </c>
      <c r="D197" s="1828"/>
      <c r="E197" s="1828"/>
      <c r="F197" s="608"/>
      <c r="G197" s="608"/>
      <c r="H197" s="608"/>
      <c r="I197" s="608"/>
      <c r="J197" s="607">
        <v>22.85</v>
      </c>
      <c r="K197" s="608"/>
      <c r="L197" s="607">
        <v>55.41</v>
      </c>
      <c r="M197" s="601"/>
      <c r="N197" s="606"/>
      <c r="V197" s="674"/>
      <c r="W197" s="675"/>
      <c r="AB197" s="537" t="s">
        <v>318</v>
      </c>
      <c r="AC197" s="675"/>
      <c r="AD197" s="675"/>
      <c r="AF197" s="675"/>
      <c r="AG197" s="675"/>
      <c r="AH197" s="680"/>
    </row>
    <row r="198" spans="1:34" s="536" customFormat="1" ht="12" x14ac:dyDescent="0.2">
      <c r="A198" s="605"/>
      <c r="B198" s="552"/>
      <c r="C198" s="1822" t="s">
        <v>319</v>
      </c>
      <c r="D198" s="1822"/>
      <c r="E198" s="1822"/>
      <c r="F198" s="562"/>
      <c r="G198" s="562"/>
      <c r="H198" s="562"/>
      <c r="I198" s="562"/>
      <c r="J198" s="604"/>
      <c r="K198" s="562"/>
      <c r="L198" s="604">
        <v>36.130000000000003</v>
      </c>
      <c r="M198" s="603"/>
      <c r="N198" s="602"/>
      <c r="V198" s="674"/>
      <c r="W198" s="675"/>
      <c r="AA198" s="537" t="s">
        <v>319</v>
      </c>
      <c r="AC198" s="675"/>
      <c r="AD198" s="675"/>
      <c r="AF198" s="675"/>
      <c r="AG198" s="675"/>
      <c r="AH198" s="680"/>
    </row>
    <row r="199" spans="1:34" s="536" customFormat="1" ht="45" x14ac:dyDescent="0.2">
      <c r="A199" s="605"/>
      <c r="B199" s="552" t="s">
        <v>892</v>
      </c>
      <c r="C199" s="1822" t="s">
        <v>893</v>
      </c>
      <c r="D199" s="1822"/>
      <c r="E199" s="1822"/>
      <c r="F199" s="562" t="s">
        <v>322</v>
      </c>
      <c r="G199" s="562" t="s">
        <v>894</v>
      </c>
      <c r="H199" s="562"/>
      <c r="I199" s="562" t="s">
        <v>894</v>
      </c>
      <c r="J199" s="604"/>
      <c r="K199" s="562"/>
      <c r="L199" s="604">
        <v>43.72</v>
      </c>
      <c r="M199" s="603"/>
      <c r="N199" s="602"/>
      <c r="V199" s="674"/>
      <c r="W199" s="675"/>
      <c r="AA199" s="537" t="s">
        <v>893</v>
      </c>
      <c r="AC199" s="675"/>
      <c r="AD199" s="675"/>
      <c r="AF199" s="675"/>
      <c r="AG199" s="675"/>
      <c r="AH199" s="680"/>
    </row>
    <row r="200" spans="1:34" s="536" customFormat="1" ht="45" x14ac:dyDescent="0.2">
      <c r="A200" s="605"/>
      <c r="B200" s="552" t="s">
        <v>895</v>
      </c>
      <c r="C200" s="1822" t="s">
        <v>896</v>
      </c>
      <c r="D200" s="1822"/>
      <c r="E200" s="1822"/>
      <c r="F200" s="562" t="s">
        <v>322</v>
      </c>
      <c r="G200" s="562" t="s">
        <v>897</v>
      </c>
      <c r="H200" s="562"/>
      <c r="I200" s="562" t="s">
        <v>897</v>
      </c>
      <c r="J200" s="604"/>
      <c r="K200" s="562"/>
      <c r="L200" s="604">
        <v>26.01</v>
      </c>
      <c r="M200" s="603"/>
      <c r="N200" s="602"/>
      <c r="V200" s="674"/>
      <c r="W200" s="675"/>
      <c r="AA200" s="537" t="s">
        <v>896</v>
      </c>
      <c r="AC200" s="675"/>
      <c r="AD200" s="675"/>
      <c r="AF200" s="675"/>
      <c r="AG200" s="675"/>
      <c r="AH200" s="680"/>
    </row>
    <row r="201" spans="1:34" s="536" customFormat="1" ht="12" x14ac:dyDescent="0.2">
      <c r="A201" s="569"/>
      <c r="B201" s="656"/>
      <c r="C201" s="1823" t="s">
        <v>327</v>
      </c>
      <c r="D201" s="1823"/>
      <c r="E201" s="1823"/>
      <c r="F201" s="573"/>
      <c r="G201" s="573"/>
      <c r="H201" s="573"/>
      <c r="I201" s="573"/>
      <c r="J201" s="572"/>
      <c r="K201" s="573"/>
      <c r="L201" s="572">
        <v>125.14</v>
      </c>
      <c r="M201" s="601"/>
      <c r="N201" s="570"/>
      <c r="V201" s="674"/>
      <c r="W201" s="675"/>
      <c r="AC201" s="675" t="s">
        <v>327</v>
      </c>
      <c r="AD201" s="675"/>
      <c r="AF201" s="675"/>
      <c r="AG201" s="675"/>
      <c r="AH201" s="680"/>
    </row>
    <row r="202" spans="1:34" s="536" customFormat="1" ht="22.5" x14ac:dyDescent="0.2">
      <c r="A202" s="575" t="s">
        <v>436</v>
      </c>
      <c r="B202" s="657" t="s">
        <v>2818</v>
      </c>
      <c r="C202" s="1823" t="s">
        <v>2819</v>
      </c>
      <c r="D202" s="1823"/>
      <c r="E202" s="1823"/>
      <c r="F202" s="573" t="s">
        <v>617</v>
      </c>
      <c r="G202" s="573"/>
      <c r="H202" s="573"/>
      <c r="I202" s="573" t="s">
        <v>186</v>
      </c>
      <c r="J202" s="572">
        <v>1363.81</v>
      </c>
      <c r="K202" s="573"/>
      <c r="L202" s="572">
        <v>2727.62</v>
      </c>
      <c r="M202" s="571"/>
      <c r="N202" s="570"/>
      <c r="V202" s="674"/>
      <c r="W202" s="675" t="s">
        <v>2819</v>
      </c>
      <c r="AC202" s="675"/>
      <c r="AD202" s="675"/>
      <c r="AF202" s="675"/>
      <c r="AG202" s="675"/>
      <c r="AH202" s="680"/>
    </row>
    <row r="203" spans="1:34" s="536" customFormat="1" ht="12" x14ac:dyDescent="0.2">
      <c r="A203" s="569"/>
      <c r="B203" s="656"/>
      <c r="C203" s="661" t="s">
        <v>2820</v>
      </c>
      <c r="D203" s="662"/>
      <c r="E203" s="662"/>
      <c r="F203" s="563"/>
      <c r="G203" s="563"/>
      <c r="H203" s="563"/>
      <c r="I203" s="563"/>
      <c r="J203" s="566"/>
      <c r="K203" s="563"/>
      <c r="L203" s="566"/>
      <c r="M203" s="565"/>
      <c r="N203" s="564"/>
      <c r="V203" s="674"/>
      <c r="W203" s="675"/>
      <c r="AC203" s="675"/>
      <c r="AD203" s="675"/>
      <c r="AF203" s="675"/>
      <c r="AG203" s="675"/>
      <c r="AH203" s="680"/>
    </row>
    <row r="204" spans="1:34" s="536" customFormat="1" ht="12" x14ac:dyDescent="0.2">
      <c r="A204" s="1830" t="s">
        <v>2821</v>
      </c>
      <c r="B204" s="1831"/>
      <c r="C204" s="1831"/>
      <c r="D204" s="1831"/>
      <c r="E204" s="1831"/>
      <c r="F204" s="1831"/>
      <c r="G204" s="1831"/>
      <c r="H204" s="1831"/>
      <c r="I204" s="1831"/>
      <c r="J204" s="1831"/>
      <c r="K204" s="1831"/>
      <c r="L204" s="1831"/>
      <c r="M204" s="1831"/>
      <c r="N204" s="1832"/>
      <c r="V204" s="674"/>
      <c r="W204" s="675"/>
      <c r="AC204" s="675"/>
      <c r="AD204" s="675"/>
      <c r="AF204" s="675"/>
      <c r="AG204" s="675" t="s">
        <v>2821</v>
      </c>
      <c r="AH204" s="680"/>
    </row>
    <row r="205" spans="1:34" s="536" customFormat="1" ht="22.5" x14ac:dyDescent="0.2">
      <c r="A205" s="575" t="s">
        <v>733</v>
      </c>
      <c r="B205" s="657" t="s">
        <v>2772</v>
      </c>
      <c r="C205" s="1823" t="s">
        <v>2773</v>
      </c>
      <c r="D205" s="1823"/>
      <c r="E205" s="1823"/>
      <c r="F205" s="573" t="s">
        <v>617</v>
      </c>
      <c r="G205" s="573"/>
      <c r="H205" s="573"/>
      <c r="I205" s="573" t="s">
        <v>185</v>
      </c>
      <c r="J205" s="572"/>
      <c r="K205" s="573"/>
      <c r="L205" s="572"/>
      <c r="M205" s="571"/>
      <c r="N205" s="570"/>
      <c r="V205" s="674"/>
      <c r="W205" s="675" t="s">
        <v>2773</v>
      </c>
      <c r="AC205" s="675"/>
      <c r="AD205" s="675"/>
      <c r="AF205" s="675"/>
      <c r="AG205" s="675"/>
      <c r="AH205" s="680"/>
    </row>
    <row r="206" spans="1:34" s="536" customFormat="1" ht="12" x14ac:dyDescent="0.2">
      <c r="A206" s="609"/>
      <c r="B206" s="552" t="s">
        <v>2774</v>
      </c>
      <c r="C206" s="1822" t="s">
        <v>2775</v>
      </c>
      <c r="D206" s="1822"/>
      <c r="E206" s="1822"/>
      <c r="F206" s="1822"/>
      <c r="G206" s="1822"/>
      <c r="H206" s="1822"/>
      <c r="I206" s="1822"/>
      <c r="J206" s="1822"/>
      <c r="K206" s="1822"/>
      <c r="L206" s="1822"/>
      <c r="M206" s="1822"/>
      <c r="N206" s="1827"/>
      <c r="V206" s="674"/>
      <c r="W206" s="675"/>
      <c r="Y206" s="537" t="s">
        <v>2775</v>
      </c>
      <c r="AC206" s="675"/>
      <c r="AD206" s="675"/>
      <c r="AF206" s="675"/>
      <c r="AG206" s="675"/>
      <c r="AH206" s="680"/>
    </row>
    <row r="207" spans="1:34" s="536" customFormat="1" ht="22.5" x14ac:dyDescent="0.2">
      <c r="A207" s="609"/>
      <c r="B207" s="552" t="s">
        <v>499</v>
      </c>
      <c r="C207" s="1822" t="s">
        <v>500</v>
      </c>
      <c r="D207" s="1822"/>
      <c r="E207" s="1822"/>
      <c r="F207" s="1822"/>
      <c r="G207" s="1822"/>
      <c r="H207" s="1822"/>
      <c r="I207" s="1822"/>
      <c r="J207" s="1822"/>
      <c r="K207" s="1822"/>
      <c r="L207" s="1822"/>
      <c r="M207" s="1822"/>
      <c r="N207" s="1827"/>
      <c r="V207" s="674"/>
      <c r="W207" s="675"/>
      <c r="Y207" s="537" t="s">
        <v>500</v>
      </c>
      <c r="AC207" s="675"/>
      <c r="AD207" s="675"/>
      <c r="AF207" s="675"/>
      <c r="AG207" s="675"/>
      <c r="AH207" s="680"/>
    </row>
    <row r="208" spans="1:34" s="536" customFormat="1" ht="12" x14ac:dyDescent="0.2">
      <c r="A208" s="605"/>
      <c r="B208" s="552" t="s">
        <v>185</v>
      </c>
      <c r="C208" s="1822" t="s">
        <v>312</v>
      </c>
      <c r="D208" s="1822"/>
      <c r="E208" s="1822"/>
      <c r="F208" s="562"/>
      <c r="G208" s="562"/>
      <c r="H208" s="562"/>
      <c r="I208" s="562"/>
      <c r="J208" s="604">
        <v>35.11</v>
      </c>
      <c r="K208" s="562" t="s">
        <v>2776</v>
      </c>
      <c r="L208" s="604">
        <v>46.08</v>
      </c>
      <c r="M208" s="603"/>
      <c r="N208" s="602"/>
      <c r="V208" s="674"/>
      <c r="W208" s="675"/>
      <c r="Z208" s="537" t="s">
        <v>312</v>
      </c>
      <c r="AC208" s="675"/>
      <c r="AD208" s="675"/>
      <c r="AF208" s="675"/>
      <c r="AG208" s="675"/>
      <c r="AH208" s="680"/>
    </row>
    <row r="209" spans="1:34" s="536" customFormat="1" ht="12" x14ac:dyDescent="0.2">
      <c r="A209" s="605"/>
      <c r="B209" s="552" t="s">
        <v>186</v>
      </c>
      <c r="C209" s="1822" t="s">
        <v>344</v>
      </c>
      <c r="D209" s="1822"/>
      <c r="E209" s="1822"/>
      <c r="F209" s="562"/>
      <c r="G209" s="562"/>
      <c r="H209" s="562"/>
      <c r="I209" s="562"/>
      <c r="J209" s="604">
        <v>6.62</v>
      </c>
      <c r="K209" s="562" t="s">
        <v>2776</v>
      </c>
      <c r="L209" s="604">
        <v>8.69</v>
      </c>
      <c r="M209" s="603"/>
      <c r="N209" s="602"/>
      <c r="V209" s="674"/>
      <c r="W209" s="675"/>
      <c r="Z209" s="537" t="s">
        <v>344</v>
      </c>
      <c r="AC209" s="675"/>
      <c r="AD209" s="675"/>
      <c r="AF209" s="675"/>
      <c r="AG209" s="675"/>
      <c r="AH209" s="680"/>
    </row>
    <row r="210" spans="1:34" s="536" customFormat="1" ht="12" x14ac:dyDescent="0.2">
      <c r="A210" s="605"/>
      <c r="B210" s="552" t="s">
        <v>187</v>
      </c>
      <c r="C210" s="1822" t="s">
        <v>345</v>
      </c>
      <c r="D210" s="1822"/>
      <c r="E210" s="1822"/>
      <c r="F210" s="562"/>
      <c r="G210" s="562"/>
      <c r="H210" s="562"/>
      <c r="I210" s="562"/>
      <c r="J210" s="604">
        <v>0.6</v>
      </c>
      <c r="K210" s="562" t="s">
        <v>2776</v>
      </c>
      <c r="L210" s="604">
        <v>0.79</v>
      </c>
      <c r="M210" s="603"/>
      <c r="N210" s="602"/>
      <c r="V210" s="674"/>
      <c r="W210" s="675"/>
      <c r="Z210" s="537" t="s">
        <v>345</v>
      </c>
      <c r="AC210" s="675"/>
      <c r="AD210" s="675"/>
      <c r="AF210" s="675"/>
      <c r="AG210" s="675"/>
      <c r="AH210" s="680"/>
    </row>
    <row r="211" spans="1:34" s="536" customFormat="1" ht="12" x14ac:dyDescent="0.2">
      <c r="A211" s="605"/>
      <c r="B211" s="552" t="s">
        <v>188</v>
      </c>
      <c r="C211" s="1822" t="s">
        <v>475</v>
      </c>
      <c r="D211" s="1822"/>
      <c r="E211" s="1822"/>
      <c r="F211" s="562"/>
      <c r="G211" s="562"/>
      <c r="H211" s="562"/>
      <c r="I211" s="562"/>
      <c r="J211" s="604">
        <v>2.0299999999999998</v>
      </c>
      <c r="K211" s="562"/>
      <c r="L211" s="604">
        <v>2.0299999999999998</v>
      </c>
      <c r="M211" s="603"/>
      <c r="N211" s="602"/>
      <c r="V211" s="674"/>
      <c r="W211" s="675"/>
      <c r="Z211" s="537" t="s">
        <v>475</v>
      </c>
      <c r="AC211" s="675"/>
      <c r="AD211" s="675"/>
      <c r="AF211" s="675"/>
      <c r="AG211" s="675"/>
      <c r="AH211" s="680"/>
    </row>
    <row r="212" spans="1:34" s="536" customFormat="1" ht="12" x14ac:dyDescent="0.2">
      <c r="A212" s="605"/>
      <c r="B212" s="552"/>
      <c r="C212" s="1822" t="s">
        <v>314</v>
      </c>
      <c r="D212" s="1822"/>
      <c r="E212" s="1822"/>
      <c r="F212" s="562" t="s">
        <v>315</v>
      </c>
      <c r="G212" s="562" t="s">
        <v>2777</v>
      </c>
      <c r="H212" s="562" t="s">
        <v>2776</v>
      </c>
      <c r="I212" s="562" t="s">
        <v>2778</v>
      </c>
      <c r="J212" s="604"/>
      <c r="K212" s="562"/>
      <c r="L212" s="604"/>
      <c r="M212" s="603"/>
      <c r="N212" s="602"/>
      <c r="V212" s="674"/>
      <c r="W212" s="675"/>
      <c r="AA212" s="537" t="s">
        <v>314</v>
      </c>
      <c r="AC212" s="675"/>
      <c r="AD212" s="675"/>
      <c r="AF212" s="675"/>
      <c r="AG212" s="675"/>
      <c r="AH212" s="680"/>
    </row>
    <row r="213" spans="1:34" s="536" customFormat="1" ht="12" x14ac:dyDescent="0.2">
      <c r="A213" s="605"/>
      <c r="B213" s="552"/>
      <c r="C213" s="1822" t="s">
        <v>348</v>
      </c>
      <c r="D213" s="1822"/>
      <c r="E213" s="1822"/>
      <c r="F213" s="562" t="s">
        <v>315</v>
      </c>
      <c r="G213" s="562" t="s">
        <v>856</v>
      </c>
      <c r="H213" s="562" t="s">
        <v>2776</v>
      </c>
      <c r="I213" s="562" t="s">
        <v>2779</v>
      </c>
      <c r="J213" s="604"/>
      <c r="K213" s="562"/>
      <c r="L213" s="604"/>
      <c r="M213" s="603"/>
      <c r="N213" s="602"/>
      <c r="V213" s="674"/>
      <c r="W213" s="675"/>
      <c r="AA213" s="537" t="s">
        <v>348</v>
      </c>
      <c r="AC213" s="675"/>
      <c r="AD213" s="675"/>
      <c r="AF213" s="675"/>
      <c r="AG213" s="675"/>
      <c r="AH213" s="680"/>
    </row>
    <row r="214" spans="1:34" s="536" customFormat="1" ht="12" x14ac:dyDescent="0.2">
      <c r="A214" s="605"/>
      <c r="B214" s="552"/>
      <c r="C214" s="1828" t="s">
        <v>318</v>
      </c>
      <c r="D214" s="1828"/>
      <c r="E214" s="1828"/>
      <c r="F214" s="608"/>
      <c r="G214" s="608"/>
      <c r="H214" s="608"/>
      <c r="I214" s="608"/>
      <c r="J214" s="607">
        <v>43.76</v>
      </c>
      <c r="K214" s="608"/>
      <c r="L214" s="607">
        <v>56.8</v>
      </c>
      <c r="M214" s="601"/>
      <c r="N214" s="606"/>
      <c r="V214" s="674"/>
      <c r="W214" s="675"/>
      <c r="AB214" s="537" t="s">
        <v>318</v>
      </c>
      <c r="AC214" s="675"/>
      <c r="AD214" s="675"/>
      <c r="AF214" s="675"/>
      <c r="AG214" s="675"/>
      <c r="AH214" s="680"/>
    </row>
    <row r="215" spans="1:34" s="536" customFormat="1" ht="12" x14ac:dyDescent="0.2">
      <c r="A215" s="605"/>
      <c r="B215" s="552"/>
      <c r="C215" s="1822" t="s">
        <v>319</v>
      </c>
      <c r="D215" s="1822"/>
      <c r="E215" s="1822"/>
      <c r="F215" s="562"/>
      <c r="G215" s="562"/>
      <c r="H215" s="562"/>
      <c r="I215" s="562"/>
      <c r="J215" s="604"/>
      <c r="K215" s="562"/>
      <c r="L215" s="604">
        <v>46.87</v>
      </c>
      <c r="M215" s="603"/>
      <c r="N215" s="602"/>
      <c r="V215" s="674"/>
      <c r="W215" s="675"/>
      <c r="AA215" s="537" t="s">
        <v>319</v>
      </c>
      <c r="AC215" s="675"/>
      <c r="AD215" s="675"/>
      <c r="AF215" s="675"/>
      <c r="AG215" s="675"/>
      <c r="AH215" s="680"/>
    </row>
    <row r="216" spans="1:34" s="536" customFormat="1" ht="45" x14ac:dyDescent="0.2">
      <c r="A216" s="605"/>
      <c r="B216" s="552" t="s">
        <v>892</v>
      </c>
      <c r="C216" s="1822" t="s">
        <v>893</v>
      </c>
      <c r="D216" s="1822"/>
      <c r="E216" s="1822"/>
      <c r="F216" s="562" t="s">
        <v>322</v>
      </c>
      <c r="G216" s="562" t="s">
        <v>894</v>
      </c>
      <c r="H216" s="562"/>
      <c r="I216" s="562" t="s">
        <v>894</v>
      </c>
      <c r="J216" s="604"/>
      <c r="K216" s="562"/>
      <c r="L216" s="604">
        <v>56.71</v>
      </c>
      <c r="M216" s="603"/>
      <c r="N216" s="602"/>
      <c r="V216" s="674"/>
      <c r="W216" s="675"/>
      <c r="AA216" s="537" t="s">
        <v>893</v>
      </c>
      <c r="AC216" s="675"/>
      <c r="AD216" s="675"/>
      <c r="AF216" s="675"/>
      <c r="AG216" s="675"/>
      <c r="AH216" s="680"/>
    </row>
    <row r="217" spans="1:34" s="536" customFormat="1" ht="45" x14ac:dyDescent="0.2">
      <c r="A217" s="605"/>
      <c r="B217" s="552" t="s">
        <v>895</v>
      </c>
      <c r="C217" s="1822" t="s">
        <v>896</v>
      </c>
      <c r="D217" s="1822"/>
      <c r="E217" s="1822"/>
      <c r="F217" s="562" t="s">
        <v>322</v>
      </c>
      <c r="G217" s="562" t="s">
        <v>897</v>
      </c>
      <c r="H217" s="562"/>
      <c r="I217" s="562" t="s">
        <v>897</v>
      </c>
      <c r="J217" s="604"/>
      <c r="K217" s="562"/>
      <c r="L217" s="604">
        <v>33.75</v>
      </c>
      <c r="M217" s="603"/>
      <c r="N217" s="602"/>
      <c r="V217" s="674"/>
      <c r="W217" s="675"/>
      <c r="AA217" s="537" t="s">
        <v>896</v>
      </c>
      <c r="AC217" s="675"/>
      <c r="AD217" s="675"/>
      <c r="AF217" s="675"/>
      <c r="AG217" s="675"/>
      <c r="AH217" s="680"/>
    </row>
    <row r="218" spans="1:34" s="536" customFormat="1" ht="12" x14ac:dyDescent="0.2">
      <c r="A218" s="569"/>
      <c r="B218" s="656"/>
      <c r="C218" s="1823" t="s">
        <v>327</v>
      </c>
      <c r="D218" s="1823"/>
      <c r="E218" s="1823"/>
      <c r="F218" s="573"/>
      <c r="G218" s="573"/>
      <c r="H218" s="573"/>
      <c r="I218" s="573"/>
      <c r="J218" s="572"/>
      <c r="K218" s="573"/>
      <c r="L218" s="572">
        <v>147.26</v>
      </c>
      <c r="M218" s="601"/>
      <c r="N218" s="570"/>
      <c r="V218" s="674"/>
      <c r="W218" s="675"/>
      <c r="AC218" s="675" t="s">
        <v>327</v>
      </c>
      <c r="AD218" s="675"/>
      <c r="AF218" s="675"/>
      <c r="AG218" s="675"/>
      <c r="AH218" s="680"/>
    </row>
    <row r="219" spans="1:34" s="536" customFormat="1" ht="33.75" x14ac:dyDescent="0.2">
      <c r="A219" s="575" t="s">
        <v>910</v>
      </c>
      <c r="B219" s="657" t="s">
        <v>2822</v>
      </c>
      <c r="C219" s="1823" t="s">
        <v>2823</v>
      </c>
      <c r="D219" s="1823"/>
      <c r="E219" s="1823"/>
      <c r="F219" s="573" t="s">
        <v>628</v>
      </c>
      <c r="G219" s="573"/>
      <c r="H219" s="573"/>
      <c r="I219" s="573" t="s">
        <v>185</v>
      </c>
      <c r="J219" s="572">
        <v>7552.52</v>
      </c>
      <c r="K219" s="573" t="s">
        <v>629</v>
      </c>
      <c r="L219" s="572">
        <v>1665.14</v>
      </c>
      <c r="M219" s="571">
        <v>4.59</v>
      </c>
      <c r="N219" s="570">
        <v>7643</v>
      </c>
      <c r="V219" s="674"/>
      <c r="W219" s="675" t="s">
        <v>2823</v>
      </c>
      <c r="AC219" s="675"/>
      <c r="AD219" s="675"/>
      <c r="AF219" s="675"/>
      <c r="AG219" s="675"/>
      <c r="AH219" s="680"/>
    </row>
    <row r="220" spans="1:34" s="536" customFormat="1" ht="12" x14ac:dyDescent="0.2">
      <c r="A220" s="569"/>
      <c r="B220" s="656"/>
      <c r="C220" s="661" t="s">
        <v>630</v>
      </c>
      <c r="D220" s="662"/>
      <c r="E220" s="662"/>
      <c r="F220" s="563"/>
      <c r="G220" s="563"/>
      <c r="H220" s="563"/>
      <c r="I220" s="563"/>
      <c r="J220" s="566"/>
      <c r="K220" s="563"/>
      <c r="L220" s="566"/>
      <c r="M220" s="565"/>
      <c r="N220" s="564"/>
      <c r="V220" s="674"/>
      <c r="W220" s="675"/>
      <c r="AC220" s="675"/>
      <c r="AD220" s="675"/>
      <c r="AF220" s="675"/>
      <c r="AG220" s="675"/>
      <c r="AH220" s="680"/>
    </row>
    <row r="221" spans="1:34" s="536" customFormat="1" ht="22.5" x14ac:dyDescent="0.2">
      <c r="A221" s="609"/>
      <c r="B221" s="552" t="s">
        <v>631</v>
      </c>
      <c r="C221" s="1822" t="s">
        <v>632</v>
      </c>
      <c r="D221" s="1822"/>
      <c r="E221" s="1822"/>
      <c r="F221" s="1822"/>
      <c r="G221" s="1822"/>
      <c r="H221" s="1822"/>
      <c r="I221" s="1822"/>
      <c r="J221" s="1822"/>
      <c r="K221" s="1822"/>
      <c r="L221" s="1822"/>
      <c r="M221" s="1822"/>
      <c r="N221" s="1827"/>
      <c r="V221" s="674"/>
      <c r="W221" s="675"/>
      <c r="Y221" s="537" t="s">
        <v>632</v>
      </c>
      <c r="AC221" s="675"/>
      <c r="AD221" s="675"/>
      <c r="AF221" s="675"/>
      <c r="AG221" s="675"/>
      <c r="AH221" s="680"/>
    </row>
    <row r="222" spans="1:34" s="536" customFormat="1" ht="33.75" x14ac:dyDescent="0.2">
      <c r="A222" s="575" t="s">
        <v>1067</v>
      </c>
      <c r="B222" s="657" t="s">
        <v>2788</v>
      </c>
      <c r="C222" s="1823" t="s">
        <v>2789</v>
      </c>
      <c r="D222" s="1823"/>
      <c r="E222" s="1823"/>
      <c r="F222" s="573" t="s">
        <v>617</v>
      </c>
      <c r="G222" s="573"/>
      <c r="H222" s="573"/>
      <c r="I222" s="573" t="s">
        <v>185</v>
      </c>
      <c r="J222" s="572"/>
      <c r="K222" s="573"/>
      <c r="L222" s="572"/>
      <c r="M222" s="571"/>
      <c r="N222" s="570"/>
      <c r="V222" s="674"/>
      <c r="W222" s="675" t="s">
        <v>2789</v>
      </c>
      <c r="AC222" s="675"/>
      <c r="AD222" s="675"/>
      <c r="AF222" s="675"/>
      <c r="AG222" s="675"/>
      <c r="AH222" s="680"/>
    </row>
    <row r="223" spans="1:34" s="536" customFormat="1" ht="22.5" x14ac:dyDescent="0.2">
      <c r="A223" s="609"/>
      <c r="B223" s="552" t="s">
        <v>499</v>
      </c>
      <c r="C223" s="1822" t="s">
        <v>500</v>
      </c>
      <c r="D223" s="1822"/>
      <c r="E223" s="1822"/>
      <c r="F223" s="1822"/>
      <c r="G223" s="1822"/>
      <c r="H223" s="1822"/>
      <c r="I223" s="1822"/>
      <c r="J223" s="1822"/>
      <c r="K223" s="1822"/>
      <c r="L223" s="1822"/>
      <c r="M223" s="1822"/>
      <c r="N223" s="1827"/>
      <c r="V223" s="674"/>
      <c r="W223" s="675"/>
      <c r="Y223" s="537" t="s">
        <v>500</v>
      </c>
      <c r="AC223" s="675"/>
      <c r="AD223" s="675"/>
      <c r="AF223" s="675"/>
      <c r="AG223" s="675"/>
      <c r="AH223" s="680"/>
    </row>
    <row r="224" spans="1:34" s="536" customFormat="1" ht="12" x14ac:dyDescent="0.2">
      <c r="A224" s="605"/>
      <c r="B224" s="552" t="s">
        <v>185</v>
      </c>
      <c r="C224" s="1822" t="s">
        <v>312</v>
      </c>
      <c r="D224" s="1822"/>
      <c r="E224" s="1822"/>
      <c r="F224" s="562"/>
      <c r="G224" s="562"/>
      <c r="H224" s="562"/>
      <c r="I224" s="562"/>
      <c r="J224" s="604">
        <v>5.16</v>
      </c>
      <c r="K224" s="562" t="s">
        <v>313</v>
      </c>
      <c r="L224" s="604">
        <v>6.45</v>
      </c>
      <c r="M224" s="603"/>
      <c r="N224" s="602"/>
      <c r="V224" s="674"/>
      <c r="W224" s="675"/>
      <c r="Z224" s="537" t="s">
        <v>312</v>
      </c>
      <c r="AC224" s="675"/>
      <c r="AD224" s="675"/>
      <c r="AF224" s="675"/>
      <c r="AG224" s="675"/>
      <c r="AH224" s="680"/>
    </row>
    <row r="225" spans="1:34" s="536" customFormat="1" ht="12" x14ac:dyDescent="0.2">
      <c r="A225" s="605"/>
      <c r="B225" s="552" t="s">
        <v>188</v>
      </c>
      <c r="C225" s="1822" t="s">
        <v>475</v>
      </c>
      <c r="D225" s="1822"/>
      <c r="E225" s="1822"/>
      <c r="F225" s="562"/>
      <c r="G225" s="562"/>
      <c r="H225" s="562"/>
      <c r="I225" s="562"/>
      <c r="J225" s="604">
        <v>1.0900000000000001</v>
      </c>
      <c r="K225" s="562"/>
      <c r="L225" s="604">
        <v>1.0900000000000001</v>
      </c>
      <c r="M225" s="603"/>
      <c r="N225" s="602"/>
      <c r="V225" s="674"/>
      <c r="W225" s="675"/>
      <c r="Z225" s="537" t="s">
        <v>475</v>
      </c>
      <c r="AC225" s="675"/>
      <c r="AD225" s="675"/>
      <c r="AF225" s="675"/>
      <c r="AG225" s="675"/>
      <c r="AH225" s="680"/>
    </row>
    <row r="226" spans="1:34" s="536" customFormat="1" ht="12" x14ac:dyDescent="0.2">
      <c r="A226" s="605"/>
      <c r="B226" s="552"/>
      <c r="C226" s="1822" t="s">
        <v>314</v>
      </c>
      <c r="D226" s="1822"/>
      <c r="E226" s="1822"/>
      <c r="F226" s="562" t="s">
        <v>315</v>
      </c>
      <c r="G226" s="562" t="s">
        <v>2790</v>
      </c>
      <c r="H226" s="562" t="s">
        <v>313</v>
      </c>
      <c r="I226" s="562" t="s">
        <v>1118</v>
      </c>
      <c r="J226" s="604"/>
      <c r="K226" s="562"/>
      <c r="L226" s="604"/>
      <c r="M226" s="603"/>
      <c r="N226" s="602"/>
      <c r="V226" s="674"/>
      <c r="W226" s="675"/>
      <c r="AA226" s="537" t="s">
        <v>314</v>
      </c>
      <c r="AC226" s="675"/>
      <c r="AD226" s="675"/>
      <c r="AF226" s="675"/>
      <c r="AG226" s="675"/>
      <c r="AH226" s="680"/>
    </row>
    <row r="227" spans="1:34" s="536" customFormat="1" ht="12" x14ac:dyDescent="0.2">
      <c r="A227" s="605"/>
      <c r="B227" s="552"/>
      <c r="C227" s="1828" t="s">
        <v>318</v>
      </c>
      <c r="D227" s="1828"/>
      <c r="E227" s="1828"/>
      <c r="F227" s="608"/>
      <c r="G227" s="608"/>
      <c r="H227" s="608"/>
      <c r="I227" s="608"/>
      <c r="J227" s="607">
        <v>6.25</v>
      </c>
      <c r="K227" s="608"/>
      <c r="L227" s="607">
        <v>7.54</v>
      </c>
      <c r="M227" s="601"/>
      <c r="N227" s="606"/>
      <c r="V227" s="674"/>
      <c r="W227" s="675"/>
      <c r="AB227" s="537" t="s">
        <v>318</v>
      </c>
      <c r="AC227" s="675"/>
      <c r="AD227" s="675"/>
      <c r="AF227" s="675"/>
      <c r="AG227" s="675"/>
      <c r="AH227" s="680"/>
    </row>
    <row r="228" spans="1:34" s="536" customFormat="1" ht="12" x14ac:dyDescent="0.2">
      <c r="A228" s="605"/>
      <c r="B228" s="552"/>
      <c r="C228" s="1822" t="s">
        <v>319</v>
      </c>
      <c r="D228" s="1822"/>
      <c r="E228" s="1822"/>
      <c r="F228" s="562"/>
      <c r="G228" s="562"/>
      <c r="H228" s="562"/>
      <c r="I228" s="562"/>
      <c r="J228" s="604"/>
      <c r="K228" s="562"/>
      <c r="L228" s="604">
        <v>6.45</v>
      </c>
      <c r="M228" s="603"/>
      <c r="N228" s="602"/>
      <c r="V228" s="674"/>
      <c r="W228" s="675"/>
      <c r="AA228" s="537" t="s">
        <v>319</v>
      </c>
      <c r="AC228" s="675"/>
      <c r="AD228" s="675"/>
      <c r="AF228" s="675"/>
      <c r="AG228" s="675"/>
      <c r="AH228" s="680"/>
    </row>
    <row r="229" spans="1:34" s="536" customFormat="1" ht="33.75" x14ac:dyDescent="0.2">
      <c r="A229" s="605"/>
      <c r="B229" s="552" t="s">
        <v>884</v>
      </c>
      <c r="C229" s="1822" t="s">
        <v>885</v>
      </c>
      <c r="D229" s="1822"/>
      <c r="E229" s="1822"/>
      <c r="F229" s="562" t="s">
        <v>322</v>
      </c>
      <c r="G229" s="562" t="s">
        <v>886</v>
      </c>
      <c r="H229" s="562"/>
      <c r="I229" s="562" t="s">
        <v>886</v>
      </c>
      <c r="J229" s="604"/>
      <c r="K229" s="562"/>
      <c r="L229" s="604">
        <v>5.81</v>
      </c>
      <c r="M229" s="603"/>
      <c r="N229" s="602"/>
      <c r="V229" s="674"/>
      <c r="W229" s="675"/>
      <c r="AA229" s="537" t="s">
        <v>885</v>
      </c>
      <c r="AC229" s="675"/>
      <c r="AD229" s="675"/>
      <c r="AF229" s="675"/>
      <c r="AG229" s="675"/>
      <c r="AH229" s="680"/>
    </row>
    <row r="230" spans="1:34" s="536" customFormat="1" ht="33.75" x14ac:dyDescent="0.2">
      <c r="A230" s="605"/>
      <c r="B230" s="552" t="s">
        <v>887</v>
      </c>
      <c r="C230" s="1822" t="s">
        <v>888</v>
      </c>
      <c r="D230" s="1822"/>
      <c r="E230" s="1822"/>
      <c r="F230" s="562" t="s">
        <v>322</v>
      </c>
      <c r="G230" s="562" t="s">
        <v>465</v>
      </c>
      <c r="H230" s="562"/>
      <c r="I230" s="562" t="s">
        <v>465</v>
      </c>
      <c r="J230" s="604"/>
      <c r="K230" s="562"/>
      <c r="L230" s="604">
        <v>2.97</v>
      </c>
      <c r="M230" s="603"/>
      <c r="N230" s="602"/>
      <c r="V230" s="674"/>
      <c r="W230" s="675"/>
      <c r="AA230" s="537" t="s">
        <v>888</v>
      </c>
      <c r="AC230" s="675"/>
      <c r="AD230" s="675"/>
      <c r="AF230" s="675"/>
      <c r="AG230" s="675"/>
      <c r="AH230" s="680"/>
    </row>
    <row r="231" spans="1:34" s="536" customFormat="1" ht="12" x14ac:dyDescent="0.2">
      <c r="A231" s="569"/>
      <c r="B231" s="656"/>
      <c r="C231" s="1823" t="s">
        <v>327</v>
      </c>
      <c r="D231" s="1823"/>
      <c r="E231" s="1823"/>
      <c r="F231" s="573"/>
      <c r="G231" s="573"/>
      <c r="H231" s="573"/>
      <c r="I231" s="573"/>
      <c r="J231" s="572"/>
      <c r="K231" s="573"/>
      <c r="L231" s="572">
        <v>16.32</v>
      </c>
      <c r="M231" s="601"/>
      <c r="N231" s="570"/>
      <c r="V231" s="674"/>
      <c r="W231" s="675"/>
      <c r="AC231" s="675" t="s">
        <v>327</v>
      </c>
      <c r="AD231" s="675"/>
      <c r="AF231" s="675"/>
      <c r="AG231" s="675"/>
      <c r="AH231" s="680"/>
    </row>
    <row r="232" spans="1:34" s="536" customFormat="1" ht="33.75" x14ac:dyDescent="0.2">
      <c r="A232" s="575" t="s">
        <v>749</v>
      </c>
      <c r="B232" s="657" t="s">
        <v>2809</v>
      </c>
      <c r="C232" s="1823" t="s">
        <v>2810</v>
      </c>
      <c r="D232" s="1823"/>
      <c r="E232" s="1823"/>
      <c r="F232" s="573" t="s">
        <v>628</v>
      </c>
      <c r="G232" s="573"/>
      <c r="H232" s="573"/>
      <c r="I232" s="573" t="s">
        <v>185</v>
      </c>
      <c r="J232" s="572">
        <v>1939.04</v>
      </c>
      <c r="K232" s="573" t="s">
        <v>629</v>
      </c>
      <c r="L232" s="572">
        <v>427.45</v>
      </c>
      <c r="M232" s="571">
        <v>4.59</v>
      </c>
      <c r="N232" s="570">
        <v>1962</v>
      </c>
      <c r="V232" s="674"/>
      <c r="W232" s="675" t="s">
        <v>2810</v>
      </c>
      <c r="AC232" s="675"/>
      <c r="AD232" s="675"/>
      <c r="AF232" s="675"/>
      <c r="AG232" s="675"/>
      <c r="AH232" s="680"/>
    </row>
    <row r="233" spans="1:34" s="536" customFormat="1" ht="12" x14ac:dyDescent="0.2">
      <c r="A233" s="569"/>
      <c r="B233" s="656"/>
      <c r="C233" s="661" t="s">
        <v>630</v>
      </c>
      <c r="D233" s="662"/>
      <c r="E233" s="662"/>
      <c r="F233" s="563"/>
      <c r="G233" s="563"/>
      <c r="H233" s="563"/>
      <c r="I233" s="563"/>
      <c r="J233" s="566"/>
      <c r="K233" s="563"/>
      <c r="L233" s="566"/>
      <c r="M233" s="565"/>
      <c r="N233" s="564"/>
      <c r="V233" s="674"/>
      <c r="W233" s="675"/>
      <c r="AC233" s="675"/>
      <c r="AD233" s="675"/>
      <c r="AF233" s="675"/>
      <c r="AG233" s="675"/>
      <c r="AH233" s="680"/>
    </row>
    <row r="234" spans="1:34" s="536" customFormat="1" ht="22.5" x14ac:dyDescent="0.2">
      <c r="A234" s="609"/>
      <c r="B234" s="552" t="s">
        <v>631</v>
      </c>
      <c r="C234" s="1822" t="s">
        <v>632</v>
      </c>
      <c r="D234" s="1822"/>
      <c r="E234" s="1822"/>
      <c r="F234" s="1822"/>
      <c r="G234" s="1822"/>
      <c r="H234" s="1822"/>
      <c r="I234" s="1822"/>
      <c r="J234" s="1822"/>
      <c r="K234" s="1822"/>
      <c r="L234" s="1822"/>
      <c r="M234" s="1822"/>
      <c r="N234" s="1827"/>
      <c r="V234" s="674"/>
      <c r="W234" s="675"/>
      <c r="Y234" s="537" t="s">
        <v>632</v>
      </c>
      <c r="AC234" s="675"/>
      <c r="AD234" s="675"/>
      <c r="AF234" s="675"/>
      <c r="AG234" s="675"/>
      <c r="AH234" s="680"/>
    </row>
    <row r="235" spans="1:34" s="536" customFormat="1" ht="45" x14ac:dyDescent="0.2">
      <c r="A235" s="575" t="s">
        <v>757</v>
      </c>
      <c r="B235" s="657" t="s">
        <v>2824</v>
      </c>
      <c r="C235" s="1823" t="s">
        <v>2825</v>
      </c>
      <c r="D235" s="1823"/>
      <c r="E235" s="1823"/>
      <c r="F235" s="573" t="s">
        <v>617</v>
      </c>
      <c r="G235" s="573"/>
      <c r="H235" s="573"/>
      <c r="I235" s="573" t="s">
        <v>186</v>
      </c>
      <c r="J235" s="572"/>
      <c r="K235" s="573"/>
      <c r="L235" s="572"/>
      <c r="M235" s="571"/>
      <c r="N235" s="570"/>
      <c r="V235" s="674"/>
      <c r="W235" s="675" t="s">
        <v>2825</v>
      </c>
      <c r="AC235" s="675"/>
      <c r="AD235" s="675"/>
      <c r="AF235" s="675"/>
      <c r="AG235" s="675"/>
      <c r="AH235" s="680"/>
    </row>
    <row r="236" spans="1:34" s="536" customFormat="1" ht="12" x14ac:dyDescent="0.2">
      <c r="A236" s="609"/>
      <c r="B236" s="552" t="s">
        <v>2774</v>
      </c>
      <c r="C236" s="1822" t="s">
        <v>2775</v>
      </c>
      <c r="D236" s="1822"/>
      <c r="E236" s="1822"/>
      <c r="F236" s="1822"/>
      <c r="G236" s="1822"/>
      <c r="H236" s="1822"/>
      <c r="I236" s="1822"/>
      <c r="J236" s="1822"/>
      <c r="K236" s="1822"/>
      <c r="L236" s="1822"/>
      <c r="M236" s="1822"/>
      <c r="N236" s="1827"/>
      <c r="V236" s="674"/>
      <c r="W236" s="675"/>
      <c r="Y236" s="537" t="s">
        <v>2775</v>
      </c>
      <c r="AC236" s="675"/>
      <c r="AD236" s="675"/>
      <c r="AF236" s="675"/>
      <c r="AG236" s="675"/>
      <c r="AH236" s="680"/>
    </row>
    <row r="237" spans="1:34" s="536" customFormat="1" ht="22.5" x14ac:dyDescent="0.2">
      <c r="A237" s="609"/>
      <c r="B237" s="552" t="s">
        <v>499</v>
      </c>
      <c r="C237" s="1822" t="s">
        <v>500</v>
      </c>
      <c r="D237" s="1822"/>
      <c r="E237" s="1822"/>
      <c r="F237" s="1822"/>
      <c r="G237" s="1822"/>
      <c r="H237" s="1822"/>
      <c r="I237" s="1822"/>
      <c r="J237" s="1822"/>
      <c r="K237" s="1822"/>
      <c r="L237" s="1822"/>
      <c r="M237" s="1822"/>
      <c r="N237" s="1827"/>
      <c r="V237" s="674"/>
      <c r="W237" s="675"/>
      <c r="Y237" s="537" t="s">
        <v>500</v>
      </c>
      <c r="AC237" s="675"/>
      <c r="AD237" s="675"/>
      <c r="AF237" s="675"/>
      <c r="AG237" s="675"/>
      <c r="AH237" s="680"/>
    </row>
    <row r="238" spans="1:34" s="536" customFormat="1" ht="12" x14ac:dyDescent="0.2">
      <c r="A238" s="605"/>
      <c r="B238" s="552" t="s">
        <v>185</v>
      </c>
      <c r="C238" s="1822" t="s">
        <v>312</v>
      </c>
      <c r="D238" s="1822"/>
      <c r="E238" s="1822"/>
      <c r="F238" s="562"/>
      <c r="G238" s="562"/>
      <c r="H238" s="562"/>
      <c r="I238" s="562"/>
      <c r="J238" s="604">
        <v>9.66</v>
      </c>
      <c r="K238" s="562" t="s">
        <v>2776</v>
      </c>
      <c r="L238" s="604">
        <v>25.36</v>
      </c>
      <c r="M238" s="603"/>
      <c r="N238" s="602"/>
      <c r="V238" s="674"/>
      <c r="W238" s="675"/>
      <c r="Z238" s="537" t="s">
        <v>312</v>
      </c>
      <c r="AC238" s="675"/>
      <c r="AD238" s="675"/>
      <c r="AF238" s="675"/>
      <c r="AG238" s="675"/>
      <c r="AH238" s="680"/>
    </row>
    <row r="239" spans="1:34" s="536" customFormat="1" ht="12" x14ac:dyDescent="0.2">
      <c r="A239" s="605"/>
      <c r="B239" s="552" t="s">
        <v>186</v>
      </c>
      <c r="C239" s="1822" t="s">
        <v>344</v>
      </c>
      <c r="D239" s="1822"/>
      <c r="E239" s="1822"/>
      <c r="F239" s="562"/>
      <c r="G239" s="562"/>
      <c r="H239" s="562"/>
      <c r="I239" s="562"/>
      <c r="J239" s="604">
        <v>1.5</v>
      </c>
      <c r="K239" s="562" t="s">
        <v>2776</v>
      </c>
      <c r="L239" s="604">
        <v>3.94</v>
      </c>
      <c r="M239" s="603"/>
      <c r="N239" s="602"/>
      <c r="V239" s="674"/>
      <c r="W239" s="675"/>
      <c r="Z239" s="537" t="s">
        <v>344</v>
      </c>
      <c r="AC239" s="675"/>
      <c r="AD239" s="675"/>
      <c r="AF239" s="675"/>
      <c r="AG239" s="675"/>
      <c r="AH239" s="680"/>
    </row>
    <row r="240" spans="1:34" s="536" customFormat="1" ht="12" x14ac:dyDescent="0.2">
      <c r="A240" s="605"/>
      <c r="B240" s="552" t="s">
        <v>187</v>
      </c>
      <c r="C240" s="1822" t="s">
        <v>345</v>
      </c>
      <c r="D240" s="1822"/>
      <c r="E240" s="1822"/>
      <c r="F240" s="562"/>
      <c r="G240" s="562"/>
      <c r="H240" s="562"/>
      <c r="I240" s="562"/>
      <c r="J240" s="604">
        <v>0.12</v>
      </c>
      <c r="K240" s="562" t="s">
        <v>2776</v>
      </c>
      <c r="L240" s="604">
        <v>0.32</v>
      </c>
      <c r="M240" s="603"/>
      <c r="N240" s="602"/>
      <c r="V240" s="674"/>
      <c r="W240" s="675"/>
      <c r="Z240" s="537" t="s">
        <v>345</v>
      </c>
      <c r="AC240" s="675"/>
      <c r="AD240" s="675"/>
      <c r="AF240" s="675"/>
      <c r="AG240" s="675"/>
      <c r="AH240" s="680"/>
    </row>
    <row r="241" spans="1:34" s="536" customFormat="1" ht="12" x14ac:dyDescent="0.2">
      <c r="A241" s="605"/>
      <c r="B241" s="552" t="s">
        <v>188</v>
      </c>
      <c r="C241" s="1822" t="s">
        <v>475</v>
      </c>
      <c r="D241" s="1822"/>
      <c r="E241" s="1822"/>
      <c r="F241" s="562"/>
      <c r="G241" s="562"/>
      <c r="H241" s="562"/>
      <c r="I241" s="562"/>
      <c r="J241" s="604">
        <v>4.93</v>
      </c>
      <c r="K241" s="562"/>
      <c r="L241" s="604">
        <v>9.86</v>
      </c>
      <c r="M241" s="603"/>
      <c r="N241" s="602"/>
      <c r="V241" s="674"/>
      <c r="W241" s="675"/>
      <c r="Z241" s="537" t="s">
        <v>475</v>
      </c>
      <c r="AC241" s="675"/>
      <c r="AD241" s="675"/>
      <c r="AF241" s="675"/>
      <c r="AG241" s="675"/>
      <c r="AH241" s="680"/>
    </row>
    <row r="242" spans="1:34" s="536" customFormat="1" ht="12" x14ac:dyDescent="0.2">
      <c r="A242" s="676"/>
      <c r="B242" s="677" t="s">
        <v>2800</v>
      </c>
      <c r="C242" s="1829" t="s">
        <v>2457</v>
      </c>
      <c r="D242" s="1829"/>
      <c r="E242" s="1829"/>
      <c r="F242" s="678" t="s">
        <v>699</v>
      </c>
      <c r="G242" s="678" t="s">
        <v>525</v>
      </c>
      <c r="H242" s="678"/>
      <c r="I242" s="678" t="s">
        <v>525</v>
      </c>
      <c r="J242" s="552"/>
      <c r="K242" s="562"/>
      <c r="L242" s="604"/>
      <c r="M242" s="562"/>
      <c r="N242" s="679"/>
      <c r="V242" s="674"/>
      <c r="W242" s="675"/>
      <c r="AC242" s="675"/>
      <c r="AD242" s="675"/>
      <c r="AF242" s="675"/>
      <c r="AG242" s="675"/>
      <c r="AH242" s="680" t="s">
        <v>2457</v>
      </c>
    </row>
    <row r="243" spans="1:34" s="536" customFormat="1" ht="12" x14ac:dyDescent="0.2">
      <c r="A243" s="676"/>
      <c r="B243" s="677" t="s">
        <v>2813</v>
      </c>
      <c r="C243" s="1829" t="s">
        <v>2814</v>
      </c>
      <c r="D243" s="1829"/>
      <c r="E243" s="1829"/>
      <c r="F243" s="678" t="s">
        <v>617</v>
      </c>
      <c r="G243" s="678" t="s">
        <v>185</v>
      </c>
      <c r="H243" s="678"/>
      <c r="I243" s="678" t="s">
        <v>186</v>
      </c>
      <c r="J243" s="552"/>
      <c r="K243" s="562"/>
      <c r="L243" s="604"/>
      <c r="M243" s="562"/>
      <c r="N243" s="679"/>
      <c r="V243" s="674"/>
      <c r="W243" s="675"/>
      <c r="AC243" s="675"/>
      <c r="AD243" s="675"/>
      <c r="AF243" s="675"/>
      <c r="AG243" s="675"/>
      <c r="AH243" s="680" t="s">
        <v>2814</v>
      </c>
    </row>
    <row r="244" spans="1:34" s="536" customFormat="1" ht="12" x14ac:dyDescent="0.2">
      <c r="A244" s="605"/>
      <c r="B244" s="552"/>
      <c r="C244" s="1822" t="s">
        <v>314</v>
      </c>
      <c r="D244" s="1822"/>
      <c r="E244" s="1822"/>
      <c r="F244" s="562" t="s">
        <v>315</v>
      </c>
      <c r="G244" s="562" t="s">
        <v>2826</v>
      </c>
      <c r="H244" s="562" t="s">
        <v>2776</v>
      </c>
      <c r="I244" s="562" t="s">
        <v>2827</v>
      </c>
      <c r="J244" s="604"/>
      <c r="K244" s="562"/>
      <c r="L244" s="604"/>
      <c r="M244" s="603"/>
      <c r="N244" s="602"/>
      <c r="V244" s="674"/>
      <c r="W244" s="675"/>
      <c r="AA244" s="537" t="s">
        <v>314</v>
      </c>
      <c r="AC244" s="675"/>
      <c r="AD244" s="675"/>
      <c r="AF244" s="675"/>
      <c r="AG244" s="675"/>
      <c r="AH244" s="680"/>
    </row>
    <row r="245" spans="1:34" s="536" customFormat="1" ht="12" x14ac:dyDescent="0.2">
      <c r="A245" s="605"/>
      <c r="B245" s="552"/>
      <c r="C245" s="1822" t="s">
        <v>348</v>
      </c>
      <c r="D245" s="1822"/>
      <c r="E245" s="1822"/>
      <c r="F245" s="562" t="s">
        <v>315</v>
      </c>
      <c r="G245" s="562" t="s">
        <v>809</v>
      </c>
      <c r="H245" s="562" t="s">
        <v>2776</v>
      </c>
      <c r="I245" s="562" t="s">
        <v>2817</v>
      </c>
      <c r="J245" s="604"/>
      <c r="K245" s="562"/>
      <c r="L245" s="604"/>
      <c r="M245" s="603"/>
      <c r="N245" s="602"/>
      <c r="V245" s="674"/>
      <c r="W245" s="675"/>
      <c r="AA245" s="537" t="s">
        <v>348</v>
      </c>
      <c r="AC245" s="675"/>
      <c r="AD245" s="675"/>
      <c r="AF245" s="675"/>
      <c r="AG245" s="675"/>
      <c r="AH245" s="680"/>
    </row>
    <row r="246" spans="1:34" s="536" customFormat="1" ht="12" x14ac:dyDescent="0.2">
      <c r="A246" s="605"/>
      <c r="B246" s="552"/>
      <c r="C246" s="1828" t="s">
        <v>318</v>
      </c>
      <c r="D246" s="1828"/>
      <c r="E246" s="1828"/>
      <c r="F246" s="608"/>
      <c r="G246" s="608"/>
      <c r="H246" s="608"/>
      <c r="I246" s="608"/>
      <c r="J246" s="607">
        <v>16.09</v>
      </c>
      <c r="K246" s="608"/>
      <c r="L246" s="607">
        <v>39.159999999999997</v>
      </c>
      <c r="M246" s="601"/>
      <c r="N246" s="606"/>
      <c r="V246" s="674"/>
      <c r="W246" s="675"/>
      <c r="AB246" s="537" t="s">
        <v>318</v>
      </c>
      <c r="AC246" s="675"/>
      <c r="AD246" s="675"/>
      <c r="AF246" s="675"/>
      <c r="AG246" s="675"/>
      <c r="AH246" s="680"/>
    </row>
    <row r="247" spans="1:34" s="536" customFormat="1" ht="12" x14ac:dyDescent="0.2">
      <c r="A247" s="605"/>
      <c r="B247" s="552"/>
      <c r="C247" s="1822" t="s">
        <v>319</v>
      </c>
      <c r="D247" s="1822"/>
      <c r="E247" s="1822"/>
      <c r="F247" s="562"/>
      <c r="G247" s="562"/>
      <c r="H247" s="562"/>
      <c r="I247" s="562"/>
      <c r="J247" s="604"/>
      <c r="K247" s="562"/>
      <c r="L247" s="604">
        <v>25.68</v>
      </c>
      <c r="M247" s="603"/>
      <c r="N247" s="602"/>
      <c r="V247" s="674"/>
      <c r="W247" s="675"/>
      <c r="AA247" s="537" t="s">
        <v>319</v>
      </c>
      <c r="AC247" s="675"/>
      <c r="AD247" s="675"/>
      <c r="AF247" s="675"/>
      <c r="AG247" s="675"/>
      <c r="AH247" s="680"/>
    </row>
    <row r="248" spans="1:34" s="536" customFormat="1" ht="45" x14ac:dyDescent="0.2">
      <c r="A248" s="605"/>
      <c r="B248" s="552" t="s">
        <v>892</v>
      </c>
      <c r="C248" s="1822" t="s">
        <v>893</v>
      </c>
      <c r="D248" s="1822"/>
      <c r="E248" s="1822"/>
      <c r="F248" s="562" t="s">
        <v>322</v>
      </c>
      <c r="G248" s="562" t="s">
        <v>894</v>
      </c>
      <c r="H248" s="562"/>
      <c r="I248" s="562" t="s">
        <v>894</v>
      </c>
      <c r="J248" s="604"/>
      <c r="K248" s="562"/>
      <c r="L248" s="604">
        <v>31.07</v>
      </c>
      <c r="M248" s="603"/>
      <c r="N248" s="602"/>
      <c r="V248" s="674"/>
      <c r="W248" s="675"/>
      <c r="AA248" s="537" t="s">
        <v>893</v>
      </c>
      <c r="AC248" s="675"/>
      <c r="AD248" s="675"/>
      <c r="AF248" s="675"/>
      <c r="AG248" s="675"/>
      <c r="AH248" s="680"/>
    </row>
    <row r="249" spans="1:34" s="536" customFormat="1" ht="45" x14ac:dyDescent="0.2">
      <c r="A249" s="605"/>
      <c r="B249" s="552" t="s">
        <v>895</v>
      </c>
      <c r="C249" s="1822" t="s">
        <v>896</v>
      </c>
      <c r="D249" s="1822"/>
      <c r="E249" s="1822"/>
      <c r="F249" s="562" t="s">
        <v>322</v>
      </c>
      <c r="G249" s="562" t="s">
        <v>897</v>
      </c>
      <c r="H249" s="562"/>
      <c r="I249" s="562" t="s">
        <v>897</v>
      </c>
      <c r="J249" s="604"/>
      <c r="K249" s="562"/>
      <c r="L249" s="604">
        <v>18.489999999999998</v>
      </c>
      <c r="M249" s="603"/>
      <c r="N249" s="602"/>
      <c r="V249" s="674"/>
      <c r="W249" s="675"/>
      <c r="AA249" s="537" t="s">
        <v>896</v>
      </c>
      <c r="AC249" s="675"/>
      <c r="AD249" s="675"/>
      <c r="AF249" s="675"/>
      <c r="AG249" s="675"/>
      <c r="AH249" s="680"/>
    </row>
    <row r="250" spans="1:34" s="536" customFormat="1" ht="12" x14ac:dyDescent="0.2">
      <c r="A250" s="569"/>
      <c r="B250" s="656"/>
      <c r="C250" s="1823" t="s">
        <v>327</v>
      </c>
      <c r="D250" s="1823"/>
      <c r="E250" s="1823"/>
      <c r="F250" s="573"/>
      <c r="G250" s="573"/>
      <c r="H250" s="573"/>
      <c r="I250" s="573"/>
      <c r="J250" s="572"/>
      <c r="K250" s="573"/>
      <c r="L250" s="572">
        <v>88.72</v>
      </c>
      <c r="M250" s="601"/>
      <c r="N250" s="570"/>
      <c r="V250" s="674"/>
      <c r="W250" s="675"/>
      <c r="AC250" s="675" t="s">
        <v>327</v>
      </c>
      <c r="AD250" s="675"/>
      <c r="AF250" s="675"/>
      <c r="AG250" s="675"/>
      <c r="AH250" s="680"/>
    </row>
    <row r="251" spans="1:34" s="536" customFormat="1" ht="22.5" x14ac:dyDescent="0.2">
      <c r="A251" s="575" t="s">
        <v>1079</v>
      </c>
      <c r="B251" s="657" t="s">
        <v>2828</v>
      </c>
      <c r="C251" s="1823" t="s">
        <v>2829</v>
      </c>
      <c r="D251" s="1823"/>
      <c r="E251" s="1823"/>
      <c r="F251" s="573" t="s">
        <v>617</v>
      </c>
      <c r="G251" s="573"/>
      <c r="H251" s="573"/>
      <c r="I251" s="573" t="s">
        <v>186</v>
      </c>
      <c r="J251" s="572">
        <v>784.19</v>
      </c>
      <c r="K251" s="573"/>
      <c r="L251" s="572">
        <v>1568.38</v>
      </c>
      <c r="M251" s="571"/>
      <c r="N251" s="570"/>
      <c r="V251" s="674"/>
      <c r="W251" s="675" t="s">
        <v>2829</v>
      </c>
      <c r="AC251" s="675"/>
      <c r="AD251" s="675"/>
      <c r="AF251" s="675"/>
      <c r="AG251" s="675"/>
      <c r="AH251" s="680"/>
    </row>
    <row r="252" spans="1:34" s="536" customFormat="1" ht="12" x14ac:dyDescent="0.2">
      <c r="A252" s="569"/>
      <c r="B252" s="656"/>
      <c r="C252" s="661" t="s">
        <v>2820</v>
      </c>
      <c r="D252" s="662"/>
      <c r="E252" s="662"/>
      <c r="F252" s="563"/>
      <c r="G252" s="563"/>
      <c r="H252" s="563"/>
      <c r="I252" s="563"/>
      <c r="J252" s="566"/>
      <c r="K252" s="563"/>
      <c r="L252" s="566"/>
      <c r="M252" s="565"/>
      <c r="N252" s="564"/>
      <c r="V252" s="674"/>
      <c r="W252" s="675"/>
      <c r="AC252" s="675"/>
      <c r="AD252" s="675"/>
      <c r="AF252" s="675"/>
      <c r="AG252" s="675"/>
      <c r="AH252" s="680"/>
    </row>
    <row r="253" spans="1:34" s="536" customFormat="1" ht="12" x14ac:dyDescent="0.2">
      <c r="A253" s="1830" t="s">
        <v>2830</v>
      </c>
      <c r="B253" s="1831"/>
      <c r="C253" s="1831"/>
      <c r="D253" s="1831"/>
      <c r="E253" s="1831"/>
      <c r="F253" s="1831"/>
      <c r="G253" s="1831"/>
      <c r="H253" s="1831"/>
      <c r="I253" s="1831"/>
      <c r="J253" s="1831"/>
      <c r="K253" s="1831"/>
      <c r="L253" s="1831"/>
      <c r="M253" s="1831"/>
      <c r="N253" s="1832"/>
      <c r="V253" s="674"/>
      <c r="W253" s="675"/>
      <c r="AC253" s="675"/>
      <c r="AD253" s="675"/>
      <c r="AF253" s="675"/>
      <c r="AG253" s="675" t="s">
        <v>2830</v>
      </c>
      <c r="AH253" s="680"/>
    </row>
    <row r="254" spans="1:34" s="536" customFormat="1" ht="22.5" x14ac:dyDescent="0.2">
      <c r="A254" s="575" t="s">
        <v>759</v>
      </c>
      <c r="B254" s="657" t="s">
        <v>2772</v>
      </c>
      <c r="C254" s="1823" t="s">
        <v>2773</v>
      </c>
      <c r="D254" s="1823"/>
      <c r="E254" s="1823"/>
      <c r="F254" s="573" t="s">
        <v>617</v>
      </c>
      <c r="G254" s="573"/>
      <c r="H254" s="573"/>
      <c r="I254" s="573" t="s">
        <v>185</v>
      </c>
      <c r="J254" s="572"/>
      <c r="K254" s="573"/>
      <c r="L254" s="572"/>
      <c r="M254" s="571"/>
      <c r="N254" s="570"/>
      <c r="V254" s="674"/>
      <c r="W254" s="675" t="s">
        <v>2773</v>
      </c>
      <c r="AC254" s="675"/>
      <c r="AD254" s="675"/>
      <c r="AF254" s="675"/>
      <c r="AG254" s="675"/>
      <c r="AH254" s="680"/>
    </row>
    <row r="255" spans="1:34" s="536" customFormat="1" ht="12" x14ac:dyDescent="0.2">
      <c r="A255" s="609"/>
      <c r="B255" s="552" t="s">
        <v>2774</v>
      </c>
      <c r="C255" s="1822" t="s">
        <v>2775</v>
      </c>
      <c r="D255" s="1822"/>
      <c r="E255" s="1822"/>
      <c r="F255" s="1822"/>
      <c r="G255" s="1822"/>
      <c r="H255" s="1822"/>
      <c r="I255" s="1822"/>
      <c r="J255" s="1822"/>
      <c r="K255" s="1822"/>
      <c r="L255" s="1822"/>
      <c r="M255" s="1822"/>
      <c r="N255" s="1827"/>
      <c r="V255" s="674"/>
      <c r="W255" s="675"/>
      <c r="Y255" s="537" t="s">
        <v>2775</v>
      </c>
      <c r="AC255" s="675"/>
      <c r="AD255" s="675"/>
      <c r="AF255" s="675"/>
      <c r="AG255" s="675"/>
      <c r="AH255" s="680"/>
    </row>
    <row r="256" spans="1:34" s="536" customFormat="1" ht="22.5" x14ac:dyDescent="0.2">
      <c r="A256" s="609"/>
      <c r="B256" s="552" t="s">
        <v>499</v>
      </c>
      <c r="C256" s="1822" t="s">
        <v>500</v>
      </c>
      <c r="D256" s="1822"/>
      <c r="E256" s="1822"/>
      <c r="F256" s="1822"/>
      <c r="G256" s="1822"/>
      <c r="H256" s="1822"/>
      <c r="I256" s="1822"/>
      <c r="J256" s="1822"/>
      <c r="K256" s="1822"/>
      <c r="L256" s="1822"/>
      <c r="M256" s="1822"/>
      <c r="N256" s="1827"/>
      <c r="V256" s="674"/>
      <c r="W256" s="675"/>
      <c r="Y256" s="537" t="s">
        <v>500</v>
      </c>
      <c r="AC256" s="675"/>
      <c r="AD256" s="675"/>
      <c r="AF256" s="675"/>
      <c r="AG256" s="675"/>
      <c r="AH256" s="680"/>
    </row>
    <row r="257" spans="1:34" s="536" customFormat="1" ht="12" x14ac:dyDescent="0.2">
      <c r="A257" s="605"/>
      <c r="B257" s="552" t="s">
        <v>185</v>
      </c>
      <c r="C257" s="1822" t="s">
        <v>312</v>
      </c>
      <c r="D257" s="1822"/>
      <c r="E257" s="1822"/>
      <c r="F257" s="562"/>
      <c r="G257" s="562"/>
      <c r="H257" s="562"/>
      <c r="I257" s="562"/>
      <c r="J257" s="604">
        <v>35.11</v>
      </c>
      <c r="K257" s="562" t="s">
        <v>2776</v>
      </c>
      <c r="L257" s="604">
        <v>46.08</v>
      </c>
      <c r="M257" s="603"/>
      <c r="N257" s="602"/>
      <c r="V257" s="674"/>
      <c r="W257" s="675"/>
      <c r="Z257" s="537" t="s">
        <v>312</v>
      </c>
      <c r="AC257" s="675"/>
      <c r="AD257" s="675"/>
      <c r="AF257" s="675"/>
      <c r="AG257" s="675"/>
      <c r="AH257" s="680"/>
    </row>
    <row r="258" spans="1:34" s="536" customFormat="1" ht="12" x14ac:dyDescent="0.2">
      <c r="A258" s="605"/>
      <c r="B258" s="552" t="s">
        <v>186</v>
      </c>
      <c r="C258" s="1822" t="s">
        <v>344</v>
      </c>
      <c r="D258" s="1822"/>
      <c r="E258" s="1822"/>
      <c r="F258" s="562"/>
      <c r="G258" s="562"/>
      <c r="H258" s="562"/>
      <c r="I258" s="562"/>
      <c r="J258" s="604">
        <v>6.62</v>
      </c>
      <c r="K258" s="562" t="s">
        <v>2776</v>
      </c>
      <c r="L258" s="604">
        <v>8.69</v>
      </c>
      <c r="M258" s="603"/>
      <c r="N258" s="602"/>
      <c r="V258" s="674"/>
      <c r="W258" s="675"/>
      <c r="Z258" s="537" t="s">
        <v>344</v>
      </c>
      <c r="AC258" s="675"/>
      <c r="AD258" s="675"/>
      <c r="AF258" s="675"/>
      <c r="AG258" s="675"/>
      <c r="AH258" s="680"/>
    </row>
    <row r="259" spans="1:34" s="536" customFormat="1" ht="12" x14ac:dyDescent="0.2">
      <c r="A259" s="605"/>
      <c r="B259" s="552" t="s">
        <v>187</v>
      </c>
      <c r="C259" s="1822" t="s">
        <v>345</v>
      </c>
      <c r="D259" s="1822"/>
      <c r="E259" s="1822"/>
      <c r="F259" s="562"/>
      <c r="G259" s="562"/>
      <c r="H259" s="562"/>
      <c r="I259" s="562"/>
      <c r="J259" s="604">
        <v>0.6</v>
      </c>
      <c r="K259" s="562" t="s">
        <v>2776</v>
      </c>
      <c r="L259" s="604">
        <v>0.79</v>
      </c>
      <c r="M259" s="603"/>
      <c r="N259" s="602"/>
      <c r="V259" s="674"/>
      <c r="W259" s="675"/>
      <c r="Z259" s="537" t="s">
        <v>345</v>
      </c>
      <c r="AC259" s="675"/>
      <c r="AD259" s="675"/>
      <c r="AF259" s="675"/>
      <c r="AG259" s="675"/>
      <c r="AH259" s="680"/>
    </row>
    <row r="260" spans="1:34" s="536" customFormat="1" ht="12" x14ac:dyDescent="0.2">
      <c r="A260" s="605"/>
      <c r="B260" s="552" t="s">
        <v>188</v>
      </c>
      <c r="C260" s="1822" t="s">
        <v>475</v>
      </c>
      <c r="D260" s="1822"/>
      <c r="E260" s="1822"/>
      <c r="F260" s="562"/>
      <c r="G260" s="562"/>
      <c r="H260" s="562"/>
      <c r="I260" s="562"/>
      <c r="J260" s="604">
        <v>2.0299999999999998</v>
      </c>
      <c r="K260" s="562"/>
      <c r="L260" s="604">
        <v>2.0299999999999998</v>
      </c>
      <c r="M260" s="603"/>
      <c r="N260" s="602"/>
      <c r="V260" s="674"/>
      <c r="W260" s="675"/>
      <c r="Z260" s="537" t="s">
        <v>475</v>
      </c>
      <c r="AC260" s="675"/>
      <c r="AD260" s="675"/>
      <c r="AF260" s="675"/>
      <c r="AG260" s="675"/>
      <c r="AH260" s="680"/>
    </row>
    <row r="261" spans="1:34" s="536" customFormat="1" ht="12" x14ac:dyDescent="0.2">
      <c r="A261" s="605"/>
      <c r="B261" s="552"/>
      <c r="C261" s="1822" t="s">
        <v>314</v>
      </c>
      <c r="D261" s="1822"/>
      <c r="E261" s="1822"/>
      <c r="F261" s="562" t="s">
        <v>315</v>
      </c>
      <c r="G261" s="562" t="s">
        <v>2777</v>
      </c>
      <c r="H261" s="562" t="s">
        <v>2776</v>
      </c>
      <c r="I261" s="562" t="s">
        <v>2778</v>
      </c>
      <c r="J261" s="604"/>
      <c r="K261" s="562"/>
      <c r="L261" s="604"/>
      <c r="M261" s="603"/>
      <c r="N261" s="602"/>
      <c r="V261" s="674"/>
      <c r="W261" s="675"/>
      <c r="AA261" s="537" t="s">
        <v>314</v>
      </c>
      <c r="AC261" s="675"/>
      <c r="AD261" s="675"/>
      <c r="AF261" s="675"/>
      <c r="AG261" s="675"/>
      <c r="AH261" s="680"/>
    </row>
    <row r="262" spans="1:34" s="536" customFormat="1" ht="12" x14ac:dyDescent="0.2">
      <c r="A262" s="605"/>
      <c r="B262" s="552"/>
      <c r="C262" s="1822" t="s">
        <v>348</v>
      </c>
      <c r="D262" s="1822"/>
      <c r="E262" s="1822"/>
      <c r="F262" s="562" t="s">
        <v>315</v>
      </c>
      <c r="G262" s="562" t="s">
        <v>856</v>
      </c>
      <c r="H262" s="562" t="s">
        <v>2776</v>
      </c>
      <c r="I262" s="562" t="s">
        <v>2779</v>
      </c>
      <c r="J262" s="604"/>
      <c r="K262" s="562"/>
      <c r="L262" s="604"/>
      <c r="M262" s="603"/>
      <c r="N262" s="602"/>
      <c r="V262" s="674"/>
      <c r="W262" s="675"/>
      <c r="AA262" s="537" t="s">
        <v>348</v>
      </c>
      <c r="AC262" s="675"/>
      <c r="AD262" s="675"/>
      <c r="AF262" s="675"/>
      <c r="AG262" s="675"/>
      <c r="AH262" s="680"/>
    </row>
    <row r="263" spans="1:34" s="536" customFormat="1" ht="12" x14ac:dyDescent="0.2">
      <c r="A263" s="605"/>
      <c r="B263" s="552"/>
      <c r="C263" s="1828" t="s">
        <v>318</v>
      </c>
      <c r="D263" s="1828"/>
      <c r="E263" s="1828"/>
      <c r="F263" s="608"/>
      <c r="G263" s="608"/>
      <c r="H263" s="608"/>
      <c r="I263" s="608"/>
      <c r="J263" s="607">
        <v>43.76</v>
      </c>
      <c r="K263" s="608"/>
      <c r="L263" s="607">
        <v>56.8</v>
      </c>
      <c r="M263" s="601"/>
      <c r="N263" s="606"/>
      <c r="V263" s="674"/>
      <c r="W263" s="675"/>
      <c r="AB263" s="537" t="s">
        <v>318</v>
      </c>
      <c r="AC263" s="675"/>
      <c r="AD263" s="675"/>
      <c r="AF263" s="675"/>
      <c r="AG263" s="675"/>
      <c r="AH263" s="680"/>
    </row>
    <row r="264" spans="1:34" s="536" customFormat="1" ht="12" x14ac:dyDescent="0.2">
      <c r="A264" s="605"/>
      <c r="B264" s="552"/>
      <c r="C264" s="1822" t="s">
        <v>319</v>
      </c>
      <c r="D264" s="1822"/>
      <c r="E264" s="1822"/>
      <c r="F264" s="562"/>
      <c r="G264" s="562"/>
      <c r="H264" s="562"/>
      <c r="I264" s="562"/>
      <c r="J264" s="604"/>
      <c r="K264" s="562"/>
      <c r="L264" s="604">
        <v>46.87</v>
      </c>
      <c r="M264" s="603"/>
      <c r="N264" s="602"/>
      <c r="V264" s="674"/>
      <c r="W264" s="675"/>
      <c r="AA264" s="537" t="s">
        <v>319</v>
      </c>
      <c r="AC264" s="675"/>
      <c r="AD264" s="675"/>
      <c r="AF264" s="675"/>
      <c r="AG264" s="675"/>
      <c r="AH264" s="680"/>
    </row>
    <row r="265" spans="1:34" s="536" customFormat="1" ht="45" x14ac:dyDescent="0.2">
      <c r="A265" s="605"/>
      <c r="B265" s="552" t="s">
        <v>892</v>
      </c>
      <c r="C265" s="1822" t="s">
        <v>893</v>
      </c>
      <c r="D265" s="1822"/>
      <c r="E265" s="1822"/>
      <c r="F265" s="562" t="s">
        <v>322</v>
      </c>
      <c r="G265" s="562" t="s">
        <v>894</v>
      </c>
      <c r="H265" s="562"/>
      <c r="I265" s="562" t="s">
        <v>894</v>
      </c>
      <c r="J265" s="604"/>
      <c r="K265" s="562"/>
      <c r="L265" s="604">
        <v>56.71</v>
      </c>
      <c r="M265" s="603"/>
      <c r="N265" s="602"/>
      <c r="V265" s="674"/>
      <c r="W265" s="675"/>
      <c r="AA265" s="537" t="s">
        <v>893</v>
      </c>
      <c r="AC265" s="675"/>
      <c r="AD265" s="675"/>
      <c r="AF265" s="675"/>
      <c r="AG265" s="675"/>
      <c r="AH265" s="680"/>
    </row>
    <row r="266" spans="1:34" s="536" customFormat="1" ht="45" x14ac:dyDescent="0.2">
      <c r="A266" s="605"/>
      <c r="B266" s="552" t="s">
        <v>895</v>
      </c>
      <c r="C266" s="1822" t="s">
        <v>896</v>
      </c>
      <c r="D266" s="1822"/>
      <c r="E266" s="1822"/>
      <c r="F266" s="562" t="s">
        <v>322</v>
      </c>
      <c r="G266" s="562" t="s">
        <v>897</v>
      </c>
      <c r="H266" s="562"/>
      <c r="I266" s="562" t="s">
        <v>897</v>
      </c>
      <c r="J266" s="604"/>
      <c r="K266" s="562"/>
      <c r="L266" s="604">
        <v>33.75</v>
      </c>
      <c r="M266" s="603"/>
      <c r="N266" s="602"/>
      <c r="V266" s="674"/>
      <c r="W266" s="675"/>
      <c r="AA266" s="537" t="s">
        <v>896</v>
      </c>
      <c r="AC266" s="675"/>
      <c r="AD266" s="675"/>
      <c r="AF266" s="675"/>
      <c r="AG266" s="675"/>
      <c r="AH266" s="680"/>
    </row>
    <row r="267" spans="1:34" s="536" customFormat="1" ht="12" x14ac:dyDescent="0.2">
      <c r="A267" s="569"/>
      <c r="B267" s="656"/>
      <c r="C267" s="1823" t="s">
        <v>327</v>
      </c>
      <c r="D267" s="1823"/>
      <c r="E267" s="1823"/>
      <c r="F267" s="573"/>
      <c r="G267" s="573"/>
      <c r="H267" s="573"/>
      <c r="I267" s="573"/>
      <c r="J267" s="572"/>
      <c r="K267" s="573"/>
      <c r="L267" s="572">
        <v>147.26</v>
      </c>
      <c r="M267" s="601"/>
      <c r="N267" s="570"/>
      <c r="V267" s="674"/>
      <c r="W267" s="675"/>
      <c r="AC267" s="675" t="s">
        <v>327</v>
      </c>
      <c r="AD267" s="675"/>
      <c r="AF267" s="675"/>
      <c r="AG267" s="675"/>
      <c r="AH267" s="680"/>
    </row>
    <row r="268" spans="1:34" s="536" customFormat="1" ht="33.75" x14ac:dyDescent="0.2">
      <c r="A268" s="575" t="s">
        <v>760</v>
      </c>
      <c r="B268" s="657" t="s">
        <v>2822</v>
      </c>
      <c r="C268" s="1823" t="s">
        <v>2823</v>
      </c>
      <c r="D268" s="1823"/>
      <c r="E268" s="1823"/>
      <c r="F268" s="573" t="s">
        <v>628</v>
      </c>
      <c r="G268" s="573"/>
      <c r="H268" s="573"/>
      <c r="I268" s="573" t="s">
        <v>185</v>
      </c>
      <c r="J268" s="572">
        <v>7552.52</v>
      </c>
      <c r="K268" s="573" t="s">
        <v>629</v>
      </c>
      <c r="L268" s="572">
        <v>1665.14</v>
      </c>
      <c r="M268" s="571">
        <v>4.59</v>
      </c>
      <c r="N268" s="570">
        <v>7643</v>
      </c>
      <c r="V268" s="674"/>
      <c r="W268" s="675" t="s">
        <v>2823</v>
      </c>
      <c r="AC268" s="675"/>
      <c r="AD268" s="675"/>
      <c r="AF268" s="675"/>
      <c r="AG268" s="675"/>
      <c r="AH268" s="680"/>
    </row>
    <row r="269" spans="1:34" s="536" customFormat="1" ht="12" x14ac:dyDescent="0.2">
      <c r="A269" s="569"/>
      <c r="B269" s="656"/>
      <c r="C269" s="661" t="s">
        <v>630</v>
      </c>
      <c r="D269" s="662"/>
      <c r="E269" s="662"/>
      <c r="F269" s="563"/>
      <c r="G269" s="563"/>
      <c r="H269" s="563"/>
      <c r="I269" s="563"/>
      <c r="J269" s="566"/>
      <c r="K269" s="563"/>
      <c r="L269" s="566"/>
      <c r="M269" s="565"/>
      <c r="N269" s="564"/>
      <c r="V269" s="674"/>
      <c r="W269" s="675"/>
      <c r="AC269" s="675"/>
      <c r="AD269" s="675"/>
      <c r="AF269" s="675"/>
      <c r="AG269" s="675"/>
      <c r="AH269" s="680"/>
    </row>
    <row r="270" spans="1:34" s="536" customFormat="1" ht="22.5" x14ac:dyDescent="0.2">
      <c r="A270" s="609"/>
      <c r="B270" s="552" t="s">
        <v>631</v>
      </c>
      <c r="C270" s="1822" t="s">
        <v>632</v>
      </c>
      <c r="D270" s="1822"/>
      <c r="E270" s="1822"/>
      <c r="F270" s="1822"/>
      <c r="G270" s="1822"/>
      <c r="H270" s="1822"/>
      <c r="I270" s="1822"/>
      <c r="J270" s="1822"/>
      <c r="K270" s="1822"/>
      <c r="L270" s="1822"/>
      <c r="M270" s="1822"/>
      <c r="N270" s="1827"/>
      <c r="V270" s="674"/>
      <c r="W270" s="675"/>
      <c r="Y270" s="537" t="s">
        <v>632</v>
      </c>
      <c r="AC270" s="675"/>
      <c r="AD270" s="675"/>
      <c r="AF270" s="675"/>
      <c r="AG270" s="675"/>
      <c r="AH270" s="680"/>
    </row>
    <row r="271" spans="1:34" s="536" customFormat="1" ht="33.75" x14ac:dyDescent="0.2">
      <c r="A271" s="575" t="s">
        <v>761</v>
      </c>
      <c r="B271" s="657" t="s">
        <v>2788</v>
      </c>
      <c r="C271" s="1823" t="s">
        <v>2789</v>
      </c>
      <c r="D271" s="1823"/>
      <c r="E271" s="1823"/>
      <c r="F271" s="573" t="s">
        <v>617</v>
      </c>
      <c r="G271" s="573"/>
      <c r="H271" s="573"/>
      <c r="I271" s="573" t="s">
        <v>185</v>
      </c>
      <c r="J271" s="572"/>
      <c r="K271" s="573"/>
      <c r="L271" s="572"/>
      <c r="M271" s="571"/>
      <c r="N271" s="570"/>
      <c r="V271" s="674"/>
      <c r="W271" s="675" t="s">
        <v>2789</v>
      </c>
      <c r="AC271" s="675"/>
      <c r="AD271" s="675"/>
      <c r="AF271" s="675"/>
      <c r="AG271" s="675"/>
      <c r="AH271" s="680"/>
    </row>
    <row r="272" spans="1:34" s="536" customFormat="1" ht="22.5" x14ac:dyDescent="0.2">
      <c r="A272" s="609"/>
      <c r="B272" s="552" t="s">
        <v>499</v>
      </c>
      <c r="C272" s="1822" t="s">
        <v>500</v>
      </c>
      <c r="D272" s="1822"/>
      <c r="E272" s="1822"/>
      <c r="F272" s="1822"/>
      <c r="G272" s="1822"/>
      <c r="H272" s="1822"/>
      <c r="I272" s="1822"/>
      <c r="J272" s="1822"/>
      <c r="K272" s="1822"/>
      <c r="L272" s="1822"/>
      <c r="M272" s="1822"/>
      <c r="N272" s="1827"/>
      <c r="V272" s="674"/>
      <c r="W272" s="675"/>
      <c r="Y272" s="537" t="s">
        <v>500</v>
      </c>
      <c r="AC272" s="675"/>
      <c r="AD272" s="675"/>
      <c r="AF272" s="675"/>
      <c r="AG272" s="675"/>
      <c r="AH272" s="680"/>
    </row>
    <row r="273" spans="1:34" s="536" customFormat="1" ht="12" x14ac:dyDescent="0.2">
      <c r="A273" s="605"/>
      <c r="B273" s="552" t="s">
        <v>185</v>
      </c>
      <c r="C273" s="1822" t="s">
        <v>312</v>
      </c>
      <c r="D273" s="1822"/>
      <c r="E273" s="1822"/>
      <c r="F273" s="562"/>
      <c r="G273" s="562"/>
      <c r="H273" s="562"/>
      <c r="I273" s="562"/>
      <c r="J273" s="604">
        <v>5.16</v>
      </c>
      <c r="K273" s="562" t="s">
        <v>313</v>
      </c>
      <c r="L273" s="604">
        <v>6.45</v>
      </c>
      <c r="M273" s="603"/>
      <c r="N273" s="602"/>
      <c r="V273" s="674"/>
      <c r="W273" s="675"/>
      <c r="Z273" s="537" t="s">
        <v>312</v>
      </c>
      <c r="AC273" s="675"/>
      <c r="AD273" s="675"/>
      <c r="AF273" s="675"/>
      <c r="AG273" s="675"/>
      <c r="AH273" s="680"/>
    </row>
    <row r="274" spans="1:34" s="536" customFormat="1" ht="12" x14ac:dyDescent="0.2">
      <c r="A274" s="605"/>
      <c r="B274" s="552" t="s">
        <v>188</v>
      </c>
      <c r="C274" s="1822" t="s">
        <v>475</v>
      </c>
      <c r="D274" s="1822"/>
      <c r="E274" s="1822"/>
      <c r="F274" s="562"/>
      <c r="G274" s="562"/>
      <c r="H274" s="562"/>
      <c r="I274" s="562"/>
      <c r="J274" s="604">
        <v>1.0900000000000001</v>
      </c>
      <c r="K274" s="562"/>
      <c r="L274" s="604">
        <v>1.0900000000000001</v>
      </c>
      <c r="M274" s="603"/>
      <c r="N274" s="602"/>
      <c r="V274" s="674"/>
      <c r="W274" s="675"/>
      <c r="Z274" s="537" t="s">
        <v>475</v>
      </c>
      <c r="AC274" s="675"/>
      <c r="AD274" s="675"/>
      <c r="AF274" s="675"/>
      <c r="AG274" s="675"/>
      <c r="AH274" s="680"/>
    </row>
    <row r="275" spans="1:34" s="536" customFormat="1" ht="12" x14ac:dyDescent="0.2">
      <c r="A275" s="605"/>
      <c r="B275" s="552"/>
      <c r="C275" s="1822" t="s">
        <v>314</v>
      </c>
      <c r="D275" s="1822"/>
      <c r="E275" s="1822"/>
      <c r="F275" s="562" t="s">
        <v>315</v>
      </c>
      <c r="G275" s="562" t="s">
        <v>2790</v>
      </c>
      <c r="H275" s="562" t="s">
        <v>313</v>
      </c>
      <c r="I275" s="562" t="s">
        <v>1118</v>
      </c>
      <c r="J275" s="604"/>
      <c r="K275" s="562"/>
      <c r="L275" s="604"/>
      <c r="M275" s="603"/>
      <c r="N275" s="602"/>
      <c r="V275" s="674"/>
      <c r="W275" s="675"/>
      <c r="AA275" s="537" t="s">
        <v>314</v>
      </c>
      <c r="AC275" s="675"/>
      <c r="AD275" s="675"/>
      <c r="AF275" s="675"/>
      <c r="AG275" s="675"/>
      <c r="AH275" s="680"/>
    </row>
    <row r="276" spans="1:34" s="536" customFormat="1" ht="12" x14ac:dyDescent="0.2">
      <c r="A276" s="605"/>
      <c r="B276" s="552"/>
      <c r="C276" s="1828" t="s">
        <v>318</v>
      </c>
      <c r="D276" s="1828"/>
      <c r="E276" s="1828"/>
      <c r="F276" s="608"/>
      <c r="G276" s="608"/>
      <c r="H276" s="608"/>
      <c r="I276" s="608"/>
      <c r="J276" s="607">
        <v>6.25</v>
      </c>
      <c r="K276" s="608"/>
      <c r="L276" s="607">
        <v>7.54</v>
      </c>
      <c r="M276" s="601"/>
      <c r="N276" s="606"/>
      <c r="V276" s="674"/>
      <c r="W276" s="675"/>
      <c r="AB276" s="537" t="s">
        <v>318</v>
      </c>
      <c r="AC276" s="675"/>
      <c r="AD276" s="675"/>
      <c r="AF276" s="675"/>
      <c r="AG276" s="675"/>
      <c r="AH276" s="680"/>
    </row>
    <row r="277" spans="1:34" s="536" customFormat="1" ht="12" x14ac:dyDescent="0.2">
      <c r="A277" s="605"/>
      <c r="B277" s="552"/>
      <c r="C277" s="1822" t="s">
        <v>319</v>
      </c>
      <c r="D277" s="1822"/>
      <c r="E277" s="1822"/>
      <c r="F277" s="562"/>
      <c r="G277" s="562"/>
      <c r="H277" s="562"/>
      <c r="I277" s="562"/>
      <c r="J277" s="604"/>
      <c r="K277" s="562"/>
      <c r="L277" s="604">
        <v>6.45</v>
      </c>
      <c r="M277" s="603"/>
      <c r="N277" s="602"/>
      <c r="V277" s="674"/>
      <c r="W277" s="675"/>
      <c r="AA277" s="537" t="s">
        <v>319</v>
      </c>
      <c r="AC277" s="675"/>
      <c r="AD277" s="675"/>
      <c r="AF277" s="675"/>
      <c r="AG277" s="675"/>
      <c r="AH277" s="680"/>
    </row>
    <row r="278" spans="1:34" s="536" customFormat="1" ht="33.75" x14ac:dyDescent="0.2">
      <c r="A278" s="605"/>
      <c r="B278" s="552" t="s">
        <v>884</v>
      </c>
      <c r="C278" s="1822" t="s">
        <v>885</v>
      </c>
      <c r="D278" s="1822"/>
      <c r="E278" s="1822"/>
      <c r="F278" s="562" t="s">
        <v>322</v>
      </c>
      <c r="G278" s="562" t="s">
        <v>886</v>
      </c>
      <c r="H278" s="562"/>
      <c r="I278" s="562" t="s">
        <v>886</v>
      </c>
      <c r="J278" s="604"/>
      <c r="K278" s="562"/>
      <c r="L278" s="604">
        <v>5.81</v>
      </c>
      <c r="M278" s="603"/>
      <c r="N278" s="602"/>
      <c r="V278" s="674"/>
      <c r="W278" s="675"/>
      <c r="AA278" s="537" t="s">
        <v>885</v>
      </c>
      <c r="AC278" s="675"/>
      <c r="AD278" s="675"/>
      <c r="AF278" s="675"/>
      <c r="AG278" s="675"/>
      <c r="AH278" s="680"/>
    </row>
    <row r="279" spans="1:34" s="536" customFormat="1" ht="33.75" x14ac:dyDescent="0.2">
      <c r="A279" s="605"/>
      <c r="B279" s="552" t="s">
        <v>887</v>
      </c>
      <c r="C279" s="1822" t="s">
        <v>888</v>
      </c>
      <c r="D279" s="1822"/>
      <c r="E279" s="1822"/>
      <c r="F279" s="562" t="s">
        <v>322</v>
      </c>
      <c r="G279" s="562" t="s">
        <v>465</v>
      </c>
      <c r="H279" s="562"/>
      <c r="I279" s="562" t="s">
        <v>465</v>
      </c>
      <c r="J279" s="604"/>
      <c r="K279" s="562"/>
      <c r="L279" s="604">
        <v>2.97</v>
      </c>
      <c r="M279" s="603"/>
      <c r="N279" s="602"/>
      <c r="V279" s="674"/>
      <c r="W279" s="675"/>
      <c r="AA279" s="537" t="s">
        <v>888</v>
      </c>
      <c r="AC279" s="675"/>
      <c r="AD279" s="675"/>
      <c r="AF279" s="675"/>
      <c r="AG279" s="675"/>
      <c r="AH279" s="680"/>
    </row>
    <row r="280" spans="1:34" s="536" customFormat="1" ht="12" x14ac:dyDescent="0.2">
      <c r="A280" s="569"/>
      <c r="B280" s="656"/>
      <c r="C280" s="1823" t="s">
        <v>327</v>
      </c>
      <c r="D280" s="1823"/>
      <c r="E280" s="1823"/>
      <c r="F280" s="573"/>
      <c r="G280" s="573"/>
      <c r="H280" s="573"/>
      <c r="I280" s="573"/>
      <c r="J280" s="572"/>
      <c r="K280" s="573"/>
      <c r="L280" s="572">
        <v>16.32</v>
      </c>
      <c r="M280" s="601"/>
      <c r="N280" s="570"/>
      <c r="V280" s="674"/>
      <c r="W280" s="675"/>
      <c r="AC280" s="675" t="s">
        <v>327</v>
      </c>
      <c r="AD280" s="675"/>
      <c r="AF280" s="675"/>
      <c r="AG280" s="675"/>
      <c r="AH280" s="680"/>
    </row>
    <row r="281" spans="1:34" s="536" customFormat="1" ht="33.75" x14ac:dyDescent="0.2">
      <c r="A281" s="575" t="s">
        <v>919</v>
      </c>
      <c r="B281" s="657" t="s">
        <v>2809</v>
      </c>
      <c r="C281" s="1823" t="s">
        <v>2810</v>
      </c>
      <c r="D281" s="1823"/>
      <c r="E281" s="1823"/>
      <c r="F281" s="573" t="s">
        <v>628</v>
      </c>
      <c r="G281" s="573"/>
      <c r="H281" s="573"/>
      <c r="I281" s="573" t="s">
        <v>185</v>
      </c>
      <c r="J281" s="572">
        <v>1939.04</v>
      </c>
      <c r="K281" s="573" t="s">
        <v>629</v>
      </c>
      <c r="L281" s="572">
        <v>427.45</v>
      </c>
      <c r="M281" s="571">
        <v>4.59</v>
      </c>
      <c r="N281" s="570">
        <v>1962</v>
      </c>
      <c r="V281" s="674"/>
      <c r="W281" s="675" t="s">
        <v>2810</v>
      </c>
      <c r="AC281" s="675"/>
      <c r="AD281" s="675"/>
      <c r="AF281" s="675"/>
      <c r="AG281" s="675"/>
      <c r="AH281" s="680"/>
    </row>
    <row r="282" spans="1:34" s="536" customFormat="1" ht="12" x14ac:dyDescent="0.2">
      <c r="A282" s="569"/>
      <c r="B282" s="656"/>
      <c r="C282" s="661" t="s">
        <v>630</v>
      </c>
      <c r="D282" s="662"/>
      <c r="E282" s="662"/>
      <c r="F282" s="563"/>
      <c r="G282" s="563"/>
      <c r="H282" s="563"/>
      <c r="I282" s="563"/>
      <c r="J282" s="566"/>
      <c r="K282" s="563"/>
      <c r="L282" s="566"/>
      <c r="M282" s="565"/>
      <c r="N282" s="564"/>
      <c r="V282" s="674"/>
      <c r="W282" s="675"/>
      <c r="AC282" s="675"/>
      <c r="AD282" s="675"/>
      <c r="AF282" s="675"/>
      <c r="AG282" s="675"/>
      <c r="AH282" s="680"/>
    </row>
    <row r="283" spans="1:34" s="536" customFormat="1" ht="22.5" x14ac:dyDescent="0.2">
      <c r="A283" s="609"/>
      <c r="B283" s="552" t="s">
        <v>631</v>
      </c>
      <c r="C283" s="1822" t="s">
        <v>632</v>
      </c>
      <c r="D283" s="1822"/>
      <c r="E283" s="1822"/>
      <c r="F283" s="1822"/>
      <c r="G283" s="1822"/>
      <c r="H283" s="1822"/>
      <c r="I283" s="1822"/>
      <c r="J283" s="1822"/>
      <c r="K283" s="1822"/>
      <c r="L283" s="1822"/>
      <c r="M283" s="1822"/>
      <c r="N283" s="1827"/>
      <c r="V283" s="674"/>
      <c r="W283" s="675"/>
      <c r="Y283" s="537" t="s">
        <v>632</v>
      </c>
      <c r="AC283" s="675"/>
      <c r="AD283" s="675"/>
      <c r="AF283" s="675"/>
      <c r="AG283" s="675"/>
      <c r="AH283" s="680"/>
    </row>
    <row r="284" spans="1:34" s="536" customFormat="1" ht="45" x14ac:dyDescent="0.2">
      <c r="A284" s="575" t="s">
        <v>763</v>
      </c>
      <c r="B284" s="657" t="s">
        <v>2824</v>
      </c>
      <c r="C284" s="1823" t="s">
        <v>2825</v>
      </c>
      <c r="D284" s="1823"/>
      <c r="E284" s="1823"/>
      <c r="F284" s="573" t="s">
        <v>617</v>
      </c>
      <c r="G284" s="573"/>
      <c r="H284" s="573"/>
      <c r="I284" s="573" t="s">
        <v>186</v>
      </c>
      <c r="J284" s="572"/>
      <c r="K284" s="573"/>
      <c r="L284" s="572"/>
      <c r="M284" s="571"/>
      <c r="N284" s="570"/>
      <c r="V284" s="674"/>
      <c r="W284" s="675" t="s">
        <v>2825</v>
      </c>
      <c r="AC284" s="675"/>
      <c r="AD284" s="675"/>
      <c r="AF284" s="675"/>
      <c r="AG284" s="675"/>
      <c r="AH284" s="680"/>
    </row>
    <row r="285" spans="1:34" s="536" customFormat="1" ht="12" x14ac:dyDescent="0.2">
      <c r="A285" s="609"/>
      <c r="B285" s="552" t="s">
        <v>2774</v>
      </c>
      <c r="C285" s="1822" t="s">
        <v>2775</v>
      </c>
      <c r="D285" s="1822"/>
      <c r="E285" s="1822"/>
      <c r="F285" s="1822"/>
      <c r="G285" s="1822"/>
      <c r="H285" s="1822"/>
      <c r="I285" s="1822"/>
      <c r="J285" s="1822"/>
      <c r="K285" s="1822"/>
      <c r="L285" s="1822"/>
      <c r="M285" s="1822"/>
      <c r="N285" s="1827"/>
      <c r="V285" s="674"/>
      <c r="W285" s="675"/>
      <c r="Y285" s="537" t="s">
        <v>2775</v>
      </c>
      <c r="AC285" s="675"/>
      <c r="AD285" s="675"/>
      <c r="AF285" s="675"/>
      <c r="AG285" s="675"/>
      <c r="AH285" s="680"/>
    </row>
    <row r="286" spans="1:34" s="536" customFormat="1" ht="22.5" x14ac:dyDescent="0.2">
      <c r="A286" s="609"/>
      <c r="B286" s="552" t="s">
        <v>499</v>
      </c>
      <c r="C286" s="1822" t="s">
        <v>500</v>
      </c>
      <c r="D286" s="1822"/>
      <c r="E286" s="1822"/>
      <c r="F286" s="1822"/>
      <c r="G286" s="1822"/>
      <c r="H286" s="1822"/>
      <c r="I286" s="1822"/>
      <c r="J286" s="1822"/>
      <c r="K286" s="1822"/>
      <c r="L286" s="1822"/>
      <c r="M286" s="1822"/>
      <c r="N286" s="1827"/>
      <c r="V286" s="674"/>
      <c r="W286" s="675"/>
      <c r="Y286" s="537" t="s">
        <v>500</v>
      </c>
      <c r="AC286" s="675"/>
      <c r="AD286" s="675"/>
      <c r="AF286" s="675"/>
      <c r="AG286" s="675"/>
      <c r="AH286" s="680"/>
    </row>
    <row r="287" spans="1:34" s="536" customFormat="1" ht="12" x14ac:dyDescent="0.2">
      <c r="A287" s="605"/>
      <c r="B287" s="552" t="s">
        <v>185</v>
      </c>
      <c r="C287" s="1822" t="s">
        <v>312</v>
      </c>
      <c r="D287" s="1822"/>
      <c r="E287" s="1822"/>
      <c r="F287" s="562"/>
      <c r="G287" s="562"/>
      <c r="H287" s="562"/>
      <c r="I287" s="562"/>
      <c r="J287" s="604">
        <v>9.66</v>
      </c>
      <c r="K287" s="562" t="s">
        <v>2776</v>
      </c>
      <c r="L287" s="604">
        <v>25.36</v>
      </c>
      <c r="M287" s="603"/>
      <c r="N287" s="602"/>
      <c r="V287" s="674"/>
      <c r="W287" s="675"/>
      <c r="Z287" s="537" t="s">
        <v>312</v>
      </c>
      <c r="AC287" s="675"/>
      <c r="AD287" s="675"/>
      <c r="AF287" s="675"/>
      <c r="AG287" s="675"/>
      <c r="AH287" s="680"/>
    </row>
    <row r="288" spans="1:34" s="536" customFormat="1" ht="12" x14ac:dyDescent="0.2">
      <c r="A288" s="605"/>
      <c r="B288" s="552" t="s">
        <v>186</v>
      </c>
      <c r="C288" s="1822" t="s">
        <v>344</v>
      </c>
      <c r="D288" s="1822"/>
      <c r="E288" s="1822"/>
      <c r="F288" s="562"/>
      <c r="G288" s="562"/>
      <c r="H288" s="562"/>
      <c r="I288" s="562"/>
      <c r="J288" s="604">
        <v>1.5</v>
      </c>
      <c r="K288" s="562" t="s">
        <v>2776</v>
      </c>
      <c r="L288" s="604">
        <v>3.94</v>
      </c>
      <c r="M288" s="603"/>
      <c r="N288" s="602"/>
      <c r="V288" s="674"/>
      <c r="W288" s="675"/>
      <c r="Z288" s="537" t="s">
        <v>344</v>
      </c>
      <c r="AC288" s="675"/>
      <c r="AD288" s="675"/>
      <c r="AF288" s="675"/>
      <c r="AG288" s="675"/>
      <c r="AH288" s="680"/>
    </row>
    <row r="289" spans="1:34" s="536" customFormat="1" ht="12" x14ac:dyDescent="0.2">
      <c r="A289" s="605"/>
      <c r="B289" s="552" t="s">
        <v>187</v>
      </c>
      <c r="C289" s="1822" t="s">
        <v>345</v>
      </c>
      <c r="D289" s="1822"/>
      <c r="E289" s="1822"/>
      <c r="F289" s="562"/>
      <c r="G289" s="562"/>
      <c r="H289" s="562"/>
      <c r="I289" s="562"/>
      <c r="J289" s="604">
        <v>0.12</v>
      </c>
      <c r="K289" s="562" t="s">
        <v>2776</v>
      </c>
      <c r="L289" s="604">
        <v>0.32</v>
      </c>
      <c r="M289" s="603"/>
      <c r="N289" s="602"/>
      <c r="V289" s="674"/>
      <c r="W289" s="675"/>
      <c r="Z289" s="537" t="s">
        <v>345</v>
      </c>
      <c r="AC289" s="675"/>
      <c r="AD289" s="675"/>
      <c r="AF289" s="675"/>
      <c r="AG289" s="675"/>
      <c r="AH289" s="680"/>
    </row>
    <row r="290" spans="1:34" s="536" customFormat="1" ht="12" x14ac:dyDescent="0.2">
      <c r="A290" s="605"/>
      <c r="B290" s="552" t="s">
        <v>188</v>
      </c>
      <c r="C290" s="1822" t="s">
        <v>475</v>
      </c>
      <c r="D290" s="1822"/>
      <c r="E290" s="1822"/>
      <c r="F290" s="562"/>
      <c r="G290" s="562"/>
      <c r="H290" s="562"/>
      <c r="I290" s="562"/>
      <c r="J290" s="604">
        <v>4.93</v>
      </c>
      <c r="K290" s="562"/>
      <c r="L290" s="604">
        <v>9.86</v>
      </c>
      <c r="M290" s="603"/>
      <c r="N290" s="602"/>
      <c r="V290" s="674"/>
      <c r="W290" s="675"/>
      <c r="Z290" s="537" t="s">
        <v>475</v>
      </c>
      <c r="AC290" s="675"/>
      <c r="AD290" s="675"/>
      <c r="AF290" s="675"/>
      <c r="AG290" s="675"/>
      <c r="AH290" s="680"/>
    </row>
    <row r="291" spans="1:34" s="536" customFormat="1" ht="12" x14ac:dyDescent="0.2">
      <c r="A291" s="676"/>
      <c r="B291" s="677" t="s">
        <v>2800</v>
      </c>
      <c r="C291" s="1829" t="s">
        <v>2457</v>
      </c>
      <c r="D291" s="1829"/>
      <c r="E291" s="1829"/>
      <c r="F291" s="678" t="s">
        <v>699</v>
      </c>
      <c r="G291" s="678" t="s">
        <v>525</v>
      </c>
      <c r="H291" s="678"/>
      <c r="I291" s="678" t="s">
        <v>525</v>
      </c>
      <c r="J291" s="552"/>
      <c r="K291" s="562"/>
      <c r="L291" s="604"/>
      <c r="M291" s="562"/>
      <c r="N291" s="679"/>
      <c r="V291" s="674"/>
      <c r="W291" s="675"/>
      <c r="AC291" s="675"/>
      <c r="AD291" s="675"/>
      <c r="AF291" s="675"/>
      <c r="AG291" s="675"/>
      <c r="AH291" s="680" t="s">
        <v>2457</v>
      </c>
    </row>
    <row r="292" spans="1:34" s="536" customFormat="1" ht="12" x14ac:dyDescent="0.2">
      <c r="A292" s="676"/>
      <c r="B292" s="677" t="s">
        <v>2813</v>
      </c>
      <c r="C292" s="1829" t="s">
        <v>2814</v>
      </c>
      <c r="D292" s="1829"/>
      <c r="E292" s="1829"/>
      <c r="F292" s="678" t="s">
        <v>617</v>
      </c>
      <c r="G292" s="678" t="s">
        <v>185</v>
      </c>
      <c r="H292" s="678"/>
      <c r="I292" s="678" t="s">
        <v>186</v>
      </c>
      <c r="J292" s="552"/>
      <c r="K292" s="562"/>
      <c r="L292" s="604"/>
      <c r="M292" s="562"/>
      <c r="N292" s="679"/>
      <c r="V292" s="674"/>
      <c r="W292" s="675"/>
      <c r="AC292" s="675"/>
      <c r="AD292" s="675"/>
      <c r="AF292" s="675"/>
      <c r="AG292" s="675"/>
      <c r="AH292" s="680" t="s">
        <v>2814</v>
      </c>
    </row>
    <row r="293" spans="1:34" s="536" customFormat="1" ht="12" x14ac:dyDescent="0.2">
      <c r="A293" s="605"/>
      <c r="B293" s="552"/>
      <c r="C293" s="1822" t="s">
        <v>314</v>
      </c>
      <c r="D293" s="1822"/>
      <c r="E293" s="1822"/>
      <c r="F293" s="562" t="s">
        <v>315</v>
      </c>
      <c r="G293" s="562" t="s">
        <v>2826</v>
      </c>
      <c r="H293" s="562" t="s">
        <v>2776</v>
      </c>
      <c r="I293" s="562" t="s">
        <v>2827</v>
      </c>
      <c r="J293" s="604"/>
      <c r="K293" s="562"/>
      <c r="L293" s="604"/>
      <c r="M293" s="603"/>
      <c r="N293" s="602"/>
      <c r="V293" s="674"/>
      <c r="W293" s="675"/>
      <c r="AA293" s="537" t="s">
        <v>314</v>
      </c>
      <c r="AC293" s="675"/>
      <c r="AD293" s="675"/>
      <c r="AF293" s="675"/>
      <c r="AG293" s="675"/>
      <c r="AH293" s="680"/>
    </row>
    <row r="294" spans="1:34" s="536" customFormat="1" ht="12" x14ac:dyDescent="0.2">
      <c r="A294" s="605"/>
      <c r="B294" s="552"/>
      <c r="C294" s="1822" t="s">
        <v>348</v>
      </c>
      <c r="D294" s="1822"/>
      <c r="E294" s="1822"/>
      <c r="F294" s="562" t="s">
        <v>315</v>
      </c>
      <c r="G294" s="562" t="s">
        <v>809</v>
      </c>
      <c r="H294" s="562" t="s">
        <v>2776</v>
      </c>
      <c r="I294" s="562" t="s">
        <v>2817</v>
      </c>
      <c r="J294" s="604"/>
      <c r="K294" s="562"/>
      <c r="L294" s="604"/>
      <c r="M294" s="603"/>
      <c r="N294" s="602"/>
      <c r="V294" s="674"/>
      <c r="W294" s="675"/>
      <c r="AA294" s="537" t="s">
        <v>348</v>
      </c>
      <c r="AC294" s="675"/>
      <c r="AD294" s="675"/>
      <c r="AF294" s="675"/>
      <c r="AG294" s="675"/>
      <c r="AH294" s="680"/>
    </row>
    <row r="295" spans="1:34" s="536" customFormat="1" ht="12" x14ac:dyDescent="0.2">
      <c r="A295" s="605"/>
      <c r="B295" s="552"/>
      <c r="C295" s="1828" t="s">
        <v>318</v>
      </c>
      <c r="D295" s="1828"/>
      <c r="E295" s="1828"/>
      <c r="F295" s="608"/>
      <c r="G295" s="608"/>
      <c r="H295" s="608"/>
      <c r="I295" s="608"/>
      <c r="J295" s="607">
        <v>16.09</v>
      </c>
      <c r="K295" s="608"/>
      <c r="L295" s="607">
        <v>39.159999999999997</v>
      </c>
      <c r="M295" s="601"/>
      <c r="N295" s="606"/>
      <c r="V295" s="674"/>
      <c r="W295" s="675"/>
      <c r="AB295" s="537" t="s">
        <v>318</v>
      </c>
      <c r="AC295" s="675"/>
      <c r="AD295" s="675"/>
      <c r="AF295" s="675"/>
      <c r="AG295" s="675"/>
      <c r="AH295" s="680"/>
    </row>
    <row r="296" spans="1:34" s="536" customFormat="1" ht="12" x14ac:dyDescent="0.2">
      <c r="A296" s="605"/>
      <c r="B296" s="552"/>
      <c r="C296" s="1822" t="s">
        <v>319</v>
      </c>
      <c r="D296" s="1822"/>
      <c r="E296" s="1822"/>
      <c r="F296" s="562"/>
      <c r="G296" s="562"/>
      <c r="H296" s="562"/>
      <c r="I296" s="562"/>
      <c r="J296" s="604"/>
      <c r="K296" s="562"/>
      <c r="L296" s="604">
        <v>25.68</v>
      </c>
      <c r="M296" s="603"/>
      <c r="N296" s="602"/>
      <c r="V296" s="674"/>
      <c r="W296" s="675"/>
      <c r="AA296" s="537" t="s">
        <v>319</v>
      </c>
      <c r="AC296" s="675"/>
      <c r="AD296" s="675"/>
      <c r="AF296" s="675"/>
      <c r="AG296" s="675"/>
      <c r="AH296" s="680"/>
    </row>
    <row r="297" spans="1:34" s="536" customFormat="1" ht="45" x14ac:dyDescent="0.2">
      <c r="A297" s="605"/>
      <c r="B297" s="552" t="s">
        <v>892</v>
      </c>
      <c r="C297" s="1822" t="s">
        <v>893</v>
      </c>
      <c r="D297" s="1822"/>
      <c r="E297" s="1822"/>
      <c r="F297" s="562" t="s">
        <v>322</v>
      </c>
      <c r="G297" s="562" t="s">
        <v>894</v>
      </c>
      <c r="H297" s="562"/>
      <c r="I297" s="562" t="s">
        <v>894</v>
      </c>
      <c r="J297" s="604"/>
      <c r="K297" s="562"/>
      <c r="L297" s="604">
        <v>31.07</v>
      </c>
      <c r="M297" s="603"/>
      <c r="N297" s="602"/>
      <c r="V297" s="674"/>
      <c r="W297" s="675"/>
      <c r="AA297" s="537" t="s">
        <v>893</v>
      </c>
      <c r="AC297" s="675"/>
      <c r="AD297" s="675"/>
      <c r="AF297" s="675"/>
      <c r="AG297" s="675"/>
      <c r="AH297" s="680"/>
    </row>
    <row r="298" spans="1:34" s="536" customFormat="1" ht="45" x14ac:dyDescent="0.2">
      <c r="A298" s="605"/>
      <c r="B298" s="552" t="s">
        <v>895</v>
      </c>
      <c r="C298" s="1822" t="s">
        <v>896</v>
      </c>
      <c r="D298" s="1822"/>
      <c r="E298" s="1822"/>
      <c r="F298" s="562" t="s">
        <v>322</v>
      </c>
      <c r="G298" s="562" t="s">
        <v>897</v>
      </c>
      <c r="H298" s="562"/>
      <c r="I298" s="562" t="s">
        <v>897</v>
      </c>
      <c r="J298" s="604"/>
      <c r="K298" s="562"/>
      <c r="L298" s="604">
        <v>18.489999999999998</v>
      </c>
      <c r="M298" s="603"/>
      <c r="N298" s="602"/>
      <c r="V298" s="674"/>
      <c r="W298" s="675"/>
      <c r="AA298" s="537" t="s">
        <v>896</v>
      </c>
      <c r="AC298" s="675"/>
      <c r="AD298" s="675"/>
      <c r="AF298" s="675"/>
      <c r="AG298" s="675"/>
      <c r="AH298" s="680"/>
    </row>
    <row r="299" spans="1:34" s="536" customFormat="1" ht="12" x14ac:dyDescent="0.2">
      <c r="A299" s="569"/>
      <c r="B299" s="656"/>
      <c r="C299" s="1823" t="s">
        <v>327</v>
      </c>
      <c r="D299" s="1823"/>
      <c r="E299" s="1823"/>
      <c r="F299" s="573"/>
      <c r="G299" s="573"/>
      <c r="H299" s="573"/>
      <c r="I299" s="573"/>
      <c r="J299" s="572"/>
      <c r="K299" s="573"/>
      <c r="L299" s="572">
        <v>88.72</v>
      </c>
      <c r="M299" s="601"/>
      <c r="N299" s="570"/>
      <c r="V299" s="674"/>
      <c r="W299" s="675"/>
      <c r="AC299" s="675" t="s">
        <v>327</v>
      </c>
      <c r="AD299" s="675"/>
      <c r="AF299" s="675"/>
      <c r="AG299" s="675"/>
      <c r="AH299" s="680"/>
    </row>
    <row r="300" spans="1:34" s="536" customFormat="1" ht="22.5" x14ac:dyDescent="0.2">
      <c r="A300" s="575" t="s">
        <v>922</v>
      </c>
      <c r="B300" s="657" t="s">
        <v>2828</v>
      </c>
      <c r="C300" s="1823" t="s">
        <v>2829</v>
      </c>
      <c r="D300" s="1823"/>
      <c r="E300" s="1823"/>
      <c r="F300" s="573" t="s">
        <v>617</v>
      </c>
      <c r="G300" s="573"/>
      <c r="H300" s="573"/>
      <c r="I300" s="573" t="s">
        <v>186</v>
      </c>
      <c r="J300" s="572">
        <v>784.19</v>
      </c>
      <c r="K300" s="573"/>
      <c r="L300" s="572">
        <v>1568.38</v>
      </c>
      <c r="M300" s="571"/>
      <c r="N300" s="570"/>
      <c r="V300" s="674"/>
      <c r="W300" s="675" t="s">
        <v>2829</v>
      </c>
      <c r="AC300" s="675"/>
      <c r="AD300" s="675"/>
      <c r="AF300" s="675"/>
      <c r="AG300" s="675"/>
      <c r="AH300" s="680"/>
    </row>
    <row r="301" spans="1:34" s="536" customFormat="1" ht="12" x14ac:dyDescent="0.2">
      <c r="A301" s="569"/>
      <c r="B301" s="656"/>
      <c r="C301" s="661" t="s">
        <v>2820</v>
      </c>
      <c r="D301" s="662"/>
      <c r="E301" s="662"/>
      <c r="F301" s="563"/>
      <c r="G301" s="563"/>
      <c r="H301" s="563"/>
      <c r="I301" s="563"/>
      <c r="J301" s="566"/>
      <c r="K301" s="563"/>
      <c r="L301" s="566"/>
      <c r="M301" s="565"/>
      <c r="N301" s="564"/>
      <c r="V301" s="674"/>
      <c r="W301" s="675"/>
      <c r="AC301" s="675"/>
      <c r="AD301" s="675"/>
      <c r="AF301" s="675"/>
      <c r="AG301" s="675"/>
      <c r="AH301" s="680"/>
    </row>
    <row r="302" spans="1:34" s="536" customFormat="1" ht="12" x14ac:dyDescent="0.2">
      <c r="A302" s="1830" t="s">
        <v>2831</v>
      </c>
      <c r="B302" s="1831"/>
      <c r="C302" s="1831"/>
      <c r="D302" s="1831"/>
      <c r="E302" s="1831"/>
      <c r="F302" s="1831"/>
      <c r="G302" s="1831"/>
      <c r="H302" s="1831"/>
      <c r="I302" s="1831"/>
      <c r="J302" s="1831"/>
      <c r="K302" s="1831"/>
      <c r="L302" s="1831"/>
      <c r="M302" s="1831"/>
      <c r="N302" s="1832"/>
      <c r="V302" s="674"/>
      <c r="W302" s="675"/>
      <c r="AC302" s="675"/>
      <c r="AD302" s="675"/>
      <c r="AF302" s="675"/>
      <c r="AG302" s="675" t="s">
        <v>2831</v>
      </c>
      <c r="AH302" s="680"/>
    </row>
    <row r="303" spans="1:34" s="536" customFormat="1" ht="22.5" x14ac:dyDescent="0.2">
      <c r="A303" s="575" t="s">
        <v>765</v>
      </c>
      <c r="B303" s="657" t="s">
        <v>2772</v>
      </c>
      <c r="C303" s="1823" t="s">
        <v>2773</v>
      </c>
      <c r="D303" s="1823"/>
      <c r="E303" s="1823"/>
      <c r="F303" s="573" t="s">
        <v>617</v>
      </c>
      <c r="G303" s="573"/>
      <c r="H303" s="573"/>
      <c r="I303" s="573" t="s">
        <v>185</v>
      </c>
      <c r="J303" s="572"/>
      <c r="K303" s="573"/>
      <c r="L303" s="572"/>
      <c r="M303" s="571"/>
      <c r="N303" s="570"/>
      <c r="V303" s="674"/>
      <c r="W303" s="675" t="s">
        <v>2773</v>
      </c>
      <c r="AC303" s="675"/>
      <c r="AD303" s="675"/>
      <c r="AF303" s="675"/>
      <c r="AG303" s="675"/>
      <c r="AH303" s="680"/>
    </row>
    <row r="304" spans="1:34" s="536" customFormat="1" ht="12" x14ac:dyDescent="0.2">
      <c r="A304" s="609"/>
      <c r="B304" s="552" t="s">
        <v>2774</v>
      </c>
      <c r="C304" s="1822" t="s">
        <v>2775</v>
      </c>
      <c r="D304" s="1822"/>
      <c r="E304" s="1822"/>
      <c r="F304" s="1822"/>
      <c r="G304" s="1822"/>
      <c r="H304" s="1822"/>
      <c r="I304" s="1822"/>
      <c r="J304" s="1822"/>
      <c r="K304" s="1822"/>
      <c r="L304" s="1822"/>
      <c r="M304" s="1822"/>
      <c r="N304" s="1827"/>
      <c r="V304" s="674"/>
      <c r="W304" s="675"/>
      <c r="Y304" s="537" t="s">
        <v>2775</v>
      </c>
      <c r="AC304" s="675"/>
      <c r="AD304" s="675"/>
      <c r="AF304" s="675"/>
      <c r="AG304" s="675"/>
      <c r="AH304" s="680"/>
    </row>
    <row r="305" spans="1:34" s="536" customFormat="1" ht="22.5" x14ac:dyDescent="0.2">
      <c r="A305" s="609"/>
      <c r="B305" s="552" t="s">
        <v>499</v>
      </c>
      <c r="C305" s="1822" t="s">
        <v>500</v>
      </c>
      <c r="D305" s="1822"/>
      <c r="E305" s="1822"/>
      <c r="F305" s="1822"/>
      <c r="G305" s="1822"/>
      <c r="H305" s="1822"/>
      <c r="I305" s="1822"/>
      <c r="J305" s="1822"/>
      <c r="K305" s="1822"/>
      <c r="L305" s="1822"/>
      <c r="M305" s="1822"/>
      <c r="N305" s="1827"/>
      <c r="V305" s="674"/>
      <c r="W305" s="675"/>
      <c r="Y305" s="537" t="s">
        <v>500</v>
      </c>
      <c r="AC305" s="675"/>
      <c r="AD305" s="675"/>
      <c r="AF305" s="675"/>
      <c r="AG305" s="675"/>
      <c r="AH305" s="680"/>
    </row>
    <row r="306" spans="1:34" s="536" customFormat="1" ht="12" x14ac:dyDescent="0.2">
      <c r="A306" s="605"/>
      <c r="B306" s="552" t="s">
        <v>185</v>
      </c>
      <c r="C306" s="1822" t="s">
        <v>312</v>
      </c>
      <c r="D306" s="1822"/>
      <c r="E306" s="1822"/>
      <c r="F306" s="562"/>
      <c r="G306" s="562"/>
      <c r="H306" s="562"/>
      <c r="I306" s="562"/>
      <c r="J306" s="604">
        <v>35.11</v>
      </c>
      <c r="K306" s="562" t="s">
        <v>2776</v>
      </c>
      <c r="L306" s="604">
        <v>46.08</v>
      </c>
      <c r="M306" s="603"/>
      <c r="N306" s="602"/>
      <c r="V306" s="674"/>
      <c r="W306" s="675"/>
      <c r="Z306" s="537" t="s">
        <v>312</v>
      </c>
      <c r="AC306" s="675"/>
      <c r="AD306" s="675"/>
      <c r="AF306" s="675"/>
      <c r="AG306" s="675"/>
      <c r="AH306" s="680"/>
    </row>
    <row r="307" spans="1:34" s="536" customFormat="1" ht="12" x14ac:dyDescent="0.2">
      <c r="A307" s="605"/>
      <c r="B307" s="552" t="s">
        <v>186</v>
      </c>
      <c r="C307" s="1822" t="s">
        <v>344</v>
      </c>
      <c r="D307" s="1822"/>
      <c r="E307" s="1822"/>
      <c r="F307" s="562"/>
      <c r="G307" s="562"/>
      <c r="H307" s="562"/>
      <c r="I307" s="562"/>
      <c r="J307" s="604">
        <v>6.62</v>
      </c>
      <c r="K307" s="562" t="s">
        <v>2776</v>
      </c>
      <c r="L307" s="604">
        <v>8.69</v>
      </c>
      <c r="M307" s="603"/>
      <c r="N307" s="602"/>
      <c r="V307" s="674"/>
      <c r="W307" s="675"/>
      <c r="Z307" s="537" t="s">
        <v>344</v>
      </c>
      <c r="AC307" s="675"/>
      <c r="AD307" s="675"/>
      <c r="AF307" s="675"/>
      <c r="AG307" s="675"/>
      <c r="AH307" s="680"/>
    </row>
    <row r="308" spans="1:34" s="536" customFormat="1" ht="12" x14ac:dyDescent="0.2">
      <c r="A308" s="605"/>
      <c r="B308" s="552" t="s">
        <v>187</v>
      </c>
      <c r="C308" s="1822" t="s">
        <v>345</v>
      </c>
      <c r="D308" s="1822"/>
      <c r="E308" s="1822"/>
      <c r="F308" s="562"/>
      <c r="G308" s="562"/>
      <c r="H308" s="562"/>
      <c r="I308" s="562"/>
      <c r="J308" s="604">
        <v>0.6</v>
      </c>
      <c r="K308" s="562" t="s">
        <v>2776</v>
      </c>
      <c r="L308" s="604">
        <v>0.79</v>
      </c>
      <c r="M308" s="603"/>
      <c r="N308" s="602"/>
      <c r="V308" s="674"/>
      <c r="W308" s="675"/>
      <c r="Z308" s="537" t="s">
        <v>345</v>
      </c>
      <c r="AC308" s="675"/>
      <c r="AD308" s="675"/>
      <c r="AF308" s="675"/>
      <c r="AG308" s="675"/>
      <c r="AH308" s="680"/>
    </row>
    <row r="309" spans="1:34" s="536" customFormat="1" ht="12" x14ac:dyDescent="0.2">
      <c r="A309" s="605"/>
      <c r="B309" s="552" t="s">
        <v>188</v>
      </c>
      <c r="C309" s="1822" t="s">
        <v>475</v>
      </c>
      <c r="D309" s="1822"/>
      <c r="E309" s="1822"/>
      <c r="F309" s="562"/>
      <c r="G309" s="562"/>
      <c r="H309" s="562"/>
      <c r="I309" s="562"/>
      <c r="J309" s="604">
        <v>2.0299999999999998</v>
      </c>
      <c r="K309" s="562"/>
      <c r="L309" s="604">
        <v>2.0299999999999998</v>
      </c>
      <c r="M309" s="603"/>
      <c r="N309" s="602"/>
      <c r="V309" s="674"/>
      <c r="W309" s="675"/>
      <c r="Z309" s="537" t="s">
        <v>475</v>
      </c>
      <c r="AC309" s="675"/>
      <c r="AD309" s="675"/>
      <c r="AF309" s="675"/>
      <c r="AG309" s="675"/>
      <c r="AH309" s="680"/>
    </row>
    <row r="310" spans="1:34" s="536" customFormat="1" ht="12" x14ac:dyDescent="0.2">
      <c r="A310" s="605"/>
      <c r="B310" s="552"/>
      <c r="C310" s="1822" t="s">
        <v>314</v>
      </c>
      <c r="D310" s="1822"/>
      <c r="E310" s="1822"/>
      <c r="F310" s="562" t="s">
        <v>315</v>
      </c>
      <c r="G310" s="562" t="s">
        <v>2777</v>
      </c>
      <c r="H310" s="562" t="s">
        <v>2776</v>
      </c>
      <c r="I310" s="562" t="s">
        <v>2778</v>
      </c>
      <c r="J310" s="604"/>
      <c r="K310" s="562"/>
      <c r="L310" s="604"/>
      <c r="M310" s="603"/>
      <c r="N310" s="602"/>
      <c r="V310" s="674"/>
      <c r="W310" s="675"/>
      <c r="AA310" s="537" t="s">
        <v>314</v>
      </c>
      <c r="AC310" s="675"/>
      <c r="AD310" s="675"/>
      <c r="AF310" s="675"/>
      <c r="AG310" s="675"/>
      <c r="AH310" s="680"/>
    </row>
    <row r="311" spans="1:34" s="536" customFormat="1" ht="12" x14ac:dyDescent="0.2">
      <c r="A311" s="605"/>
      <c r="B311" s="552"/>
      <c r="C311" s="1822" t="s">
        <v>348</v>
      </c>
      <c r="D311" s="1822"/>
      <c r="E311" s="1822"/>
      <c r="F311" s="562" t="s">
        <v>315</v>
      </c>
      <c r="G311" s="562" t="s">
        <v>856</v>
      </c>
      <c r="H311" s="562" t="s">
        <v>2776</v>
      </c>
      <c r="I311" s="562" t="s">
        <v>2779</v>
      </c>
      <c r="J311" s="604"/>
      <c r="K311" s="562"/>
      <c r="L311" s="604"/>
      <c r="M311" s="603"/>
      <c r="N311" s="602"/>
      <c r="V311" s="674"/>
      <c r="W311" s="675"/>
      <c r="AA311" s="537" t="s">
        <v>348</v>
      </c>
      <c r="AC311" s="675"/>
      <c r="AD311" s="675"/>
      <c r="AF311" s="675"/>
      <c r="AG311" s="675"/>
      <c r="AH311" s="680"/>
    </row>
    <row r="312" spans="1:34" s="536" customFormat="1" ht="12" x14ac:dyDescent="0.2">
      <c r="A312" s="605"/>
      <c r="B312" s="552"/>
      <c r="C312" s="1828" t="s">
        <v>318</v>
      </c>
      <c r="D312" s="1828"/>
      <c r="E312" s="1828"/>
      <c r="F312" s="608"/>
      <c r="G312" s="608"/>
      <c r="H312" s="608"/>
      <c r="I312" s="608"/>
      <c r="J312" s="607">
        <v>43.76</v>
      </c>
      <c r="K312" s="608"/>
      <c r="L312" s="607">
        <v>56.8</v>
      </c>
      <c r="M312" s="601"/>
      <c r="N312" s="606"/>
      <c r="V312" s="674"/>
      <c r="W312" s="675"/>
      <c r="AB312" s="537" t="s">
        <v>318</v>
      </c>
      <c r="AC312" s="675"/>
      <c r="AD312" s="675"/>
      <c r="AF312" s="675"/>
      <c r="AG312" s="675"/>
      <c r="AH312" s="680"/>
    </row>
    <row r="313" spans="1:34" s="536" customFormat="1" ht="12" x14ac:dyDescent="0.2">
      <c r="A313" s="605"/>
      <c r="B313" s="552"/>
      <c r="C313" s="1822" t="s">
        <v>319</v>
      </c>
      <c r="D313" s="1822"/>
      <c r="E313" s="1822"/>
      <c r="F313" s="562"/>
      <c r="G313" s="562"/>
      <c r="H313" s="562"/>
      <c r="I313" s="562"/>
      <c r="J313" s="604"/>
      <c r="K313" s="562"/>
      <c r="L313" s="604">
        <v>46.87</v>
      </c>
      <c r="M313" s="603"/>
      <c r="N313" s="602"/>
      <c r="V313" s="674"/>
      <c r="W313" s="675"/>
      <c r="AA313" s="537" t="s">
        <v>319</v>
      </c>
      <c r="AC313" s="675"/>
      <c r="AD313" s="675"/>
      <c r="AF313" s="675"/>
      <c r="AG313" s="675"/>
      <c r="AH313" s="680"/>
    </row>
    <row r="314" spans="1:34" s="536" customFormat="1" ht="45" x14ac:dyDescent="0.2">
      <c r="A314" s="605"/>
      <c r="B314" s="552" t="s">
        <v>892</v>
      </c>
      <c r="C314" s="1822" t="s">
        <v>893</v>
      </c>
      <c r="D314" s="1822"/>
      <c r="E314" s="1822"/>
      <c r="F314" s="562" t="s">
        <v>322</v>
      </c>
      <c r="G314" s="562" t="s">
        <v>894</v>
      </c>
      <c r="H314" s="562"/>
      <c r="I314" s="562" t="s">
        <v>894</v>
      </c>
      <c r="J314" s="604"/>
      <c r="K314" s="562"/>
      <c r="L314" s="604">
        <v>56.71</v>
      </c>
      <c r="M314" s="603"/>
      <c r="N314" s="602"/>
      <c r="V314" s="674"/>
      <c r="W314" s="675"/>
      <c r="AA314" s="537" t="s">
        <v>893</v>
      </c>
      <c r="AC314" s="675"/>
      <c r="AD314" s="675"/>
      <c r="AF314" s="675"/>
      <c r="AG314" s="675"/>
      <c r="AH314" s="680"/>
    </row>
    <row r="315" spans="1:34" s="536" customFormat="1" ht="45" x14ac:dyDescent="0.2">
      <c r="A315" s="605"/>
      <c r="B315" s="552" t="s">
        <v>895</v>
      </c>
      <c r="C315" s="1822" t="s">
        <v>896</v>
      </c>
      <c r="D315" s="1822"/>
      <c r="E315" s="1822"/>
      <c r="F315" s="562" t="s">
        <v>322</v>
      </c>
      <c r="G315" s="562" t="s">
        <v>897</v>
      </c>
      <c r="H315" s="562"/>
      <c r="I315" s="562" t="s">
        <v>897</v>
      </c>
      <c r="J315" s="604"/>
      <c r="K315" s="562"/>
      <c r="L315" s="604">
        <v>33.75</v>
      </c>
      <c r="M315" s="603"/>
      <c r="N315" s="602"/>
      <c r="V315" s="674"/>
      <c r="W315" s="675"/>
      <c r="AA315" s="537" t="s">
        <v>896</v>
      </c>
      <c r="AC315" s="675"/>
      <c r="AD315" s="675"/>
      <c r="AF315" s="675"/>
      <c r="AG315" s="675"/>
      <c r="AH315" s="680"/>
    </row>
    <row r="316" spans="1:34" s="536" customFormat="1" ht="12" x14ac:dyDescent="0.2">
      <c r="A316" s="569"/>
      <c r="B316" s="656"/>
      <c r="C316" s="1823" t="s">
        <v>327</v>
      </c>
      <c r="D316" s="1823"/>
      <c r="E316" s="1823"/>
      <c r="F316" s="573"/>
      <c r="G316" s="573"/>
      <c r="H316" s="573"/>
      <c r="I316" s="573"/>
      <c r="J316" s="572"/>
      <c r="K316" s="573"/>
      <c r="L316" s="572">
        <v>147.26</v>
      </c>
      <c r="M316" s="601"/>
      <c r="N316" s="570"/>
      <c r="V316" s="674"/>
      <c r="W316" s="675"/>
      <c r="AC316" s="675" t="s">
        <v>327</v>
      </c>
      <c r="AD316" s="675"/>
      <c r="AF316" s="675"/>
      <c r="AG316" s="675"/>
      <c r="AH316" s="680"/>
    </row>
    <row r="317" spans="1:34" s="536" customFormat="1" ht="33.75" x14ac:dyDescent="0.2">
      <c r="A317" s="575" t="s">
        <v>766</v>
      </c>
      <c r="B317" s="657" t="s">
        <v>2832</v>
      </c>
      <c r="C317" s="1823" t="s">
        <v>2833</v>
      </c>
      <c r="D317" s="1823"/>
      <c r="E317" s="1823"/>
      <c r="F317" s="573" t="s">
        <v>628</v>
      </c>
      <c r="G317" s="573"/>
      <c r="H317" s="573"/>
      <c r="I317" s="573" t="s">
        <v>185</v>
      </c>
      <c r="J317" s="572">
        <v>4697.3</v>
      </c>
      <c r="K317" s="573" t="s">
        <v>629</v>
      </c>
      <c r="L317" s="572">
        <v>1035.73</v>
      </c>
      <c r="M317" s="571">
        <v>4.59</v>
      </c>
      <c r="N317" s="570">
        <v>4754</v>
      </c>
      <c r="V317" s="674"/>
      <c r="W317" s="675" t="s">
        <v>2833</v>
      </c>
      <c r="AC317" s="675"/>
      <c r="AD317" s="675"/>
      <c r="AF317" s="675"/>
      <c r="AG317" s="675"/>
      <c r="AH317" s="680"/>
    </row>
    <row r="318" spans="1:34" s="536" customFormat="1" ht="12" x14ac:dyDescent="0.2">
      <c r="A318" s="569"/>
      <c r="B318" s="656"/>
      <c r="C318" s="661" t="s">
        <v>630</v>
      </c>
      <c r="D318" s="662"/>
      <c r="E318" s="662"/>
      <c r="F318" s="563"/>
      <c r="G318" s="563"/>
      <c r="H318" s="563"/>
      <c r="I318" s="563"/>
      <c r="J318" s="566"/>
      <c r="K318" s="563"/>
      <c r="L318" s="566"/>
      <c r="M318" s="565"/>
      <c r="N318" s="564"/>
      <c r="V318" s="674"/>
      <c r="W318" s="675"/>
      <c r="AC318" s="675"/>
      <c r="AD318" s="675"/>
      <c r="AF318" s="675"/>
      <c r="AG318" s="675"/>
      <c r="AH318" s="680"/>
    </row>
    <row r="319" spans="1:34" s="536" customFormat="1" ht="22.5" x14ac:dyDescent="0.2">
      <c r="A319" s="609"/>
      <c r="B319" s="552" t="s">
        <v>631</v>
      </c>
      <c r="C319" s="1822" t="s">
        <v>632</v>
      </c>
      <c r="D319" s="1822"/>
      <c r="E319" s="1822"/>
      <c r="F319" s="1822"/>
      <c r="G319" s="1822"/>
      <c r="H319" s="1822"/>
      <c r="I319" s="1822"/>
      <c r="J319" s="1822"/>
      <c r="K319" s="1822"/>
      <c r="L319" s="1822"/>
      <c r="M319" s="1822"/>
      <c r="N319" s="1827"/>
      <c r="V319" s="674"/>
      <c r="W319" s="675"/>
      <c r="Y319" s="537" t="s">
        <v>632</v>
      </c>
      <c r="AC319" s="675"/>
      <c r="AD319" s="675"/>
      <c r="AF319" s="675"/>
      <c r="AG319" s="675"/>
      <c r="AH319" s="680"/>
    </row>
    <row r="320" spans="1:34" s="536" customFormat="1" ht="33.75" x14ac:dyDescent="0.2">
      <c r="A320" s="575" t="s">
        <v>767</v>
      </c>
      <c r="B320" s="657" t="s">
        <v>2788</v>
      </c>
      <c r="C320" s="1823" t="s">
        <v>2789</v>
      </c>
      <c r="D320" s="1823"/>
      <c r="E320" s="1823"/>
      <c r="F320" s="573" t="s">
        <v>617</v>
      </c>
      <c r="G320" s="573"/>
      <c r="H320" s="573"/>
      <c r="I320" s="573" t="s">
        <v>185</v>
      </c>
      <c r="J320" s="572"/>
      <c r="K320" s="573"/>
      <c r="L320" s="572"/>
      <c r="M320" s="571"/>
      <c r="N320" s="570"/>
      <c r="V320" s="674"/>
      <c r="W320" s="675" t="s">
        <v>2789</v>
      </c>
      <c r="AC320" s="675"/>
      <c r="AD320" s="675"/>
      <c r="AF320" s="675"/>
      <c r="AG320" s="675"/>
      <c r="AH320" s="680"/>
    </row>
    <row r="321" spans="1:34" s="536" customFormat="1" ht="22.5" x14ac:dyDescent="0.2">
      <c r="A321" s="609"/>
      <c r="B321" s="552" t="s">
        <v>499</v>
      </c>
      <c r="C321" s="1822" t="s">
        <v>500</v>
      </c>
      <c r="D321" s="1822"/>
      <c r="E321" s="1822"/>
      <c r="F321" s="1822"/>
      <c r="G321" s="1822"/>
      <c r="H321" s="1822"/>
      <c r="I321" s="1822"/>
      <c r="J321" s="1822"/>
      <c r="K321" s="1822"/>
      <c r="L321" s="1822"/>
      <c r="M321" s="1822"/>
      <c r="N321" s="1827"/>
      <c r="V321" s="674"/>
      <c r="W321" s="675"/>
      <c r="Y321" s="537" t="s">
        <v>500</v>
      </c>
      <c r="AC321" s="675"/>
      <c r="AD321" s="675"/>
      <c r="AF321" s="675"/>
      <c r="AG321" s="675"/>
      <c r="AH321" s="680"/>
    </row>
    <row r="322" spans="1:34" s="536" customFormat="1" ht="12" x14ac:dyDescent="0.2">
      <c r="A322" s="605"/>
      <c r="B322" s="552" t="s">
        <v>185</v>
      </c>
      <c r="C322" s="1822" t="s">
        <v>312</v>
      </c>
      <c r="D322" s="1822"/>
      <c r="E322" s="1822"/>
      <c r="F322" s="562"/>
      <c r="G322" s="562"/>
      <c r="H322" s="562"/>
      <c r="I322" s="562"/>
      <c r="J322" s="604">
        <v>5.16</v>
      </c>
      <c r="K322" s="562" t="s">
        <v>313</v>
      </c>
      <c r="L322" s="604">
        <v>6.45</v>
      </c>
      <c r="M322" s="603"/>
      <c r="N322" s="602"/>
      <c r="V322" s="674"/>
      <c r="W322" s="675"/>
      <c r="Z322" s="537" t="s">
        <v>312</v>
      </c>
      <c r="AC322" s="675"/>
      <c r="AD322" s="675"/>
      <c r="AF322" s="675"/>
      <c r="AG322" s="675"/>
      <c r="AH322" s="680"/>
    </row>
    <row r="323" spans="1:34" s="536" customFormat="1" ht="12" x14ac:dyDescent="0.2">
      <c r="A323" s="605"/>
      <c r="B323" s="552" t="s">
        <v>188</v>
      </c>
      <c r="C323" s="1822" t="s">
        <v>475</v>
      </c>
      <c r="D323" s="1822"/>
      <c r="E323" s="1822"/>
      <c r="F323" s="562"/>
      <c r="G323" s="562"/>
      <c r="H323" s="562"/>
      <c r="I323" s="562"/>
      <c r="J323" s="604">
        <v>1.0900000000000001</v>
      </c>
      <c r="K323" s="562"/>
      <c r="L323" s="604">
        <v>1.0900000000000001</v>
      </c>
      <c r="M323" s="603"/>
      <c r="N323" s="602"/>
      <c r="V323" s="674"/>
      <c r="W323" s="675"/>
      <c r="Z323" s="537" t="s">
        <v>475</v>
      </c>
      <c r="AC323" s="675"/>
      <c r="AD323" s="675"/>
      <c r="AF323" s="675"/>
      <c r="AG323" s="675"/>
      <c r="AH323" s="680"/>
    </row>
    <row r="324" spans="1:34" s="536" customFormat="1" ht="12" x14ac:dyDescent="0.2">
      <c r="A324" s="605"/>
      <c r="B324" s="552"/>
      <c r="C324" s="1822" t="s">
        <v>314</v>
      </c>
      <c r="D324" s="1822"/>
      <c r="E324" s="1822"/>
      <c r="F324" s="562" t="s">
        <v>315</v>
      </c>
      <c r="G324" s="562" t="s">
        <v>2790</v>
      </c>
      <c r="H324" s="562" t="s">
        <v>313</v>
      </c>
      <c r="I324" s="562" t="s">
        <v>1118</v>
      </c>
      <c r="J324" s="604"/>
      <c r="K324" s="562"/>
      <c r="L324" s="604"/>
      <c r="M324" s="603"/>
      <c r="N324" s="602"/>
      <c r="V324" s="674"/>
      <c r="W324" s="675"/>
      <c r="AA324" s="537" t="s">
        <v>314</v>
      </c>
      <c r="AC324" s="675"/>
      <c r="AD324" s="675"/>
      <c r="AF324" s="675"/>
      <c r="AG324" s="675"/>
      <c r="AH324" s="680"/>
    </row>
    <row r="325" spans="1:34" s="536" customFormat="1" ht="12" x14ac:dyDescent="0.2">
      <c r="A325" s="605"/>
      <c r="B325" s="552"/>
      <c r="C325" s="1828" t="s">
        <v>318</v>
      </c>
      <c r="D325" s="1828"/>
      <c r="E325" s="1828"/>
      <c r="F325" s="608"/>
      <c r="G325" s="608"/>
      <c r="H325" s="608"/>
      <c r="I325" s="608"/>
      <c r="J325" s="607">
        <v>6.25</v>
      </c>
      <c r="K325" s="608"/>
      <c r="L325" s="607">
        <v>7.54</v>
      </c>
      <c r="M325" s="601"/>
      <c r="N325" s="606"/>
      <c r="V325" s="674"/>
      <c r="W325" s="675"/>
      <c r="AB325" s="537" t="s">
        <v>318</v>
      </c>
      <c r="AC325" s="675"/>
      <c r="AD325" s="675"/>
      <c r="AF325" s="675"/>
      <c r="AG325" s="675"/>
      <c r="AH325" s="680"/>
    </row>
    <row r="326" spans="1:34" s="536" customFormat="1" ht="12" x14ac:dyDescent="0.2">
      <c r="A326" s="605"/>
      <c r="B326" s="552"/>
      <c r="C326" s="1822" t="s">
        <v>319</v>
      </c>
      <c r="D326" s="1822"/>
      <c r="E326" s="1822"/>
      <c r="F326" s="562"/>
      <c r="G326" s="562"/>
      <c r="H326" s="562"/>
      <c r="I326" s="562"/>
      <c r="J326" s="604"/>
      <c r="K326" s="562"/>
      <c r="L326" s="604">
        <v>6.45</v>
      </c>
      <c r="M326" s="603"/>
      <c r="N326" s="602"/>
      <c r="V326" s="674"/>
      <c r="W326" s="675"/>
      <c r="AA326" s="537" t="s">
        <v>319</v>
      </c>
      <c r="AC326" s="675"/>
      <c r="AD326" s="675"/>
      <c r="AF326" s="675"/>
      <c r="AG326" s="675"/>
      <c r="AH326" s="680"/>
    </row>
    <row r="327" spans="1:34" s="536" customFormat="1" ht="33.75" x14ac:dyDescent="0.2">
      <c r="A327" s="605"/>
      <c r="B327" s="552" t="s">
        <v>884</v>
      </c>
      <c r="C327" s="1822" t="s">
        <v>885</v>
      </c>
      <c r="D327" s="1822"/>
      <c r="E327" s="1822"/>
      <c r="F327" s="562" t="s">
        <v>322</v>
      </c>
      <c r="G327" s="562" t="s">
        <v>886</v>
      </c>
      <c r="H327" s="562"/>
      <c r="I327" s="562" t="s">
        <v>886</v>
      </c>
      <c r="J327" s="604"/>
      <c r="K327" s="562"/>
      <c r="L327" s="604">
        <v>5.81</v>
      </c>
      <c r="M327" s="603"/>
      <c r="N327" s="602"/>
      <c r="V327" s="674"/>
      <c r="W327" s="675"/>
      <c r="AA327" s="537" t="s">
        <v>885</v>
      </c>
      <c r="AC327" s="675"/>
      <c r="AD327" s="675"/>
      <c r="AF327" s="675"/>
      <c r="AG327" s="675"/>
      <c r="AH327" s="680"/>
    </row>
    <row r="328" spans="1:34" s="536" customFormat="1" ht="33.75" x14ac:dyDescent="0.2">
      <c r="A328" s="605"/>
      <c r="B328" s="552" t="s">
        <v>887</v>
      </c>
      <c r="C328" s="1822" t="s">
        <v>888</v>
      </c>
      <c r="D328" s="1822"/>
      <c r="E328" s="1822"/>
      <c r="F328" s="562" t="s">
        <v>322</v>
      </c>
      <c r="G328" s="562" t="s">
        <v>465</v>
      </c>
      <c r="H328" s="562"/>
      <c r="I328" s="562" t="s">
        <v>465</v>
      </c>
      <c r="J328" s="604"/>
      <c r="K328" s="562"/>
      <c r="L328" s="604">
        <v>2.97</v>
      </c>
      <c r="M328" s="603"/>
      <c r="N328" s="602"/>
      <c r="V328" s="674"/>
      <c r="W328" s="675"/>
      <c r="AA328" s="537" t="s">
        <v>888</v>
      </c>
      <c r="AC328" s="675"/>
      <c r="AD328" s="675"/>
      <c r="AF328" s="675"/>
      <c r="AG328" s="675"/>
      <c r="AH328" s="680"/>
    </row>
    <row r="329" spans="1:34" s="536" customFormat="1" ht="12" x14ac:dyDescent="0.2">
      <c r="A329" s="569"/>
      <c r="B329" s="656"/>
      <c r="C329" s="1823" t="s">
        <v>327</v>
      </c>
      <c r="D329" s="1823"/>
      <c r="E329" s="1823"/>
      <c r="F329" s="573"/>
      <c r="G329" s="573"/>
      <c r="H329" s="573"/>
      <c r="I329" s="573"/>
      <c r="J329" s="572"/>
      <c r="K329" s="573"/>
      <c r="L329" s="572">
        <v>16.32</v>
      </c>
      <c r="M329" s="601"/>
      <c r="N329" s="570"/>
      <c r="V329" s="674"/>
      <c r="W329" s="675"/>
      <c r="AC329" s="675" t="s">
        <v>327</v>
      </c>
      <c r="AD329" s="675"/>
      <c r="AF329" s="675"/>
      <c r="AG329" s="675"/>
      <c r="AH329" s="680"/>
    </row>
    <row r="330" spans="1:34" s="536" customFormat="1" ht="33.75" x14ac:dyDescent="0.2">
      <c r="A330" s="575" t="s">
        <v>924</v>
      </c>
      <c r="B330" s="657" t="s">
        <v>2809</v>
      </c>
      <c r="C330" s="1823" t="s">
        <v>2810</v>
      </c>
      <c r="D330" s="1823"/>
      <c r="E330" s="1823"/>
      <c r="F330" s="573" t="s">
        <v>628</v>
      </c>
      <c r="G330" s="573"/>
      <c r="H330" s="573"/>
      <c r="I330" s="573" t="s">
        <v>185</v>
      </c>
      <c r="J330" s="572">
        <v>1939.04</v>
      </c>
      <c r="K330" s="573" t="s">
        <v>629</v>
      </c>
      <c r="L330" s="572">
        <v>427.45</v>
      </c>
      <c r="M330" s="571">
        <v>4.59</v>
      </c>
      <c r="N330" s="570">
        <v>1962</v>
      </c>
      <c r="V330" s="674"/>
      <c r="W330" s="675" t="s">
        <v>2810</v>
      </c>
      <c r="AC330" s="675"/>
      <c r="AD330" s="675"/>
      <c r="AF330" s="675"/>
      <c r="AG330" s="675"/>
      <c r="AH330" s="680"/>
    </row>
    <row r="331" spans="1:34" s="536" customFormat="1" ht="12" x14ac:dyDescent="0.2">
      <c r="A331" s="569"/>
      <c r="B331" s="656"/>
      <c r="C331" s="661" t="s">
        <v>630</v>
      </c>
      <c r="D331" s="662"/>
      <c r="E331" s="662"/>
      <c r="F331" s="563"/>
      <c r="G331" s="563"/>
      <c r="H331" s="563"/>
      <c r="I331" s="563"/>
      <c r="J331" s="566"/>
      <c r="K331" s="563"/>
      <c r="L331" s="566"/>
      <c r="M331" s="565"/>
      <c r="N331" s="564"/>
      <c r="V331" s="674"/>
      <c r="W331" s="675"/>
      <c r="AC331" s="675"/>
      <c r="AD331" s="675"/>
      <c r="AF331" s="675"/>
      <c r="AG331" s="675"/>
      <c r="AH331" s="680"/>
    </row>
    <row r="332" spans="1:34" s="536" customFormat="1" ht="22.5" x14ac:dyDescent="0.2">
      <c r="A332" s="609"/>
      <c r="B332" s="552" t="s">
        <v>631</v>
      </c>
      <c r="C332" s="1822" t="s">
        <v>632</v>
      </c>
      <c r="D332" s="1822"/>
      <c r="E332" s="1822"/>
      <c r="F332" s="1822"/>
      <c r="G332" s="1822"/>
      <c r="H332" s="1822"/>
      <c r="I332" s="1822"/>
      <c r="J332" s="1822"/>
      <c r="K332" s="1822"/>
      <c r="L332" s="1822"/>
      <c r="M332" s="1822"/>
      <c r="N332" s="1827"/>
      <c r="V332" s="674"/>
      <c r="W332" s="675"/>
      <c r="Y332" s="537" t="s">
        <v>632</v>
      </c>
      <c r="AC332" s="675"/>
      <c r="AD332" s="675"/>
      <c r="AF332" s="675"/>
      <c r="AG332" s="675"/>
      <c r="AH332" s="680"/>
    </row>
    <row r="333" spans="1:34" s="536" customFormat="1" ht="45" x14ac:dyDescent="0.2">
      <c r="A333" s="575" t="s">
        <v>769</v>
      </c>
      <c r="B333" s="657" t="s">
        <v>2834</v>
      </c>
      <c r="C333" s="1823" t="s">
        <v>2835</v>
      </c>
      <c r="D333" s="1823"/>
      <c r="E333" s="1823"/>
      <c r="F333" s="573" t="s">
        <v>617</v>
      </c>
      <c r="G333" s="573"/>
      <c r="H333" s="573"/>
      <c r="I333" s="573" t="s">
        <v>186</v>
      </c>
      <c r="J333" s="572"/>
      <c r="K333" s="573"/>
      <c r="L333" s="572"/>
      <c r="M333" s="571"/>
      <c r="N333" s="570"/>
      <c r="V333" s="674"/>
      <c r="W333" s="675" t="s">
        <v>2835</v>
      </c>
      <c r="AC333" s="675"/>
      <c r="AD333" s="675"/>
      <c r="AF333" s="675"/>
      <c r="AG333" s="675"/>
      <c r="AH333" s="680"/>
    </row>
    <row r="334" spans="1:34" s="536" customFormat="1" ht="22.5" x14ac:dyDescent="0.2">
      <c r="A334" s="609"/>
      <c r="B334" s="552" t="s">
        <v>499</v>
      </c>
      <c r="C334" s="1822" t="s">
        <v>500</v>
      </c>
      <c r="D334" s="1822"/>
      <c r="E334" s="1822"/>
      <c r="F334" s="1822"/>
      <c r="G334" s="1822"/>
      <c r="H334" s="1822"/>
      <c r="I334" s="1822"/>
      <c r="J334" s="1822"/>
      <c r="K334" s="1822"/>
      <c r="L334" s="1822"/>
      <c r="M334" s="1822"/>
      <c r="N334" s="1827"/>
      <c r="V334" s="674"/>
      <c r="W334" s="675"/>
      <c r="Y334" s="537" t="s">
        <v>500</v>
      </c>
      <c r="AC334" s="675"/>
      <c r="AD334" s="675"/>
      <c r="AF334" s="675"/>
      <c r="AG334" s="675"/>
      <c r="AH334" s="680"/>
    </row>
    <row r="335" spans="1:34" s="536" customFormat="1" ht="12" x14ac:dyDescent="0.2">
      <c r="A335" s="605"/>
      <c r="B335" s="552" t="s">
        <v>185</v>
      </c>
      <c r="C335" s="1822" t="s">
        <v>312</v>
      </c>
      <c r="D335" s="1822"/>
      <c r="E335" s="1822"/>
      <c r="F335" s="562"/>
      <c r="G335" s="562"/>
      <c r="H335" s="562"/>
      <c r="I335" s="562"/>
      <c r="J335" s="604">
        <v>9.66</v>
      </c>
      <c r="K335" s="562" t="s">
        <v>313</v>
      </c>
      <c r="L335" s="604">
        <v>24.15</v>
      </c>
      <c r="M335" s="603"/>
      <c r="N335" s="602"/>
      <c r="V335" s="674"/>
      <c r="W335" s="675"/>
      <c r="Z335" s="537" t="s">
        <v>312</v>
      </c>
      <c r="AC335" s="675"/>
      <c r="AD335" s="675"/>
      <c r="AF335" s="675"/>
      <c r="AG335" s="675"/>
      <c r="AH335" s="680"/>
    </row>
    <row r="336" spans="1:34" s="536" customFormat="1" ht="12" x14ac:dyDescent="0.2">
      <c r="A336" s="605"/>
      <c r="B336" s="552" t="s">
        <v>186</v>
      </c>
      <c r="C336" s="1822" t="s">
        <v>344</v>
      </c>
      <c r="D336" s="1822"/>
      <c r="E336" s="1822"/>
      <c r="F336" s="562"/>
      <c r="G336" s="562"/>
      <c r="H336" s="562"/>
      <c r="I336" s="562"/>
      <c r="J336" s="604">
        <v>1.5</v>
      </c>
      <c r="K336" s="562" t="s">
        <v>313</v>
      </c>
      <c r="L336" s="604">
        <v>3.75</v>
      </c>
      <c r="M336" s="603"/>
      <c r="N336" s="602"/>
      <c r="V336" s="674"/>
      <c r="W336" s="675"/>
      <c r="Z336" s="537" t="s">
        <v>344</v>
      </c>
      <c r="AC336" s="675"/>
      <c r="AD336" s="675"/>
      <c r="AF336" s="675"/>
      <c r="AG336" s="675"/>
      <c r="AH336" s="680"/>
    </row>
    <row r="337" spans="1:34" s="536" customFormat="1" ht="12" x14ac:dyDescent="0.2">
      <c r="A337" s="605"/>
      <c r="B337" s="552" t="s">
        <v>187</v>
      </c>
      <c r="C337" s="1822" t="s">
        <v>345</v>
      </c>
      <c r="D337" s="1822"/>
      <c r="E337" s="1822"/>
      <c r="F337" s="562"/>
      <c r="G337" s="562"/>
      <c r="H337" s="562"/>
      <c r="I337" s="562"/>
      <c r="J337" s="604">
        <v>0.12</v>
      </c>
      <c r="K337" s="562" t="s">
        <v>313</v>
      </c>
      <c r="L337" s="604">
        <v>0.3</v>
      </c>
      <c r="M337" s="603"/>
      <c r="N337" s="602"/>
      <c r="V337" s="674"/>
      <c r="W337" s="675"/>
      <c r="Z337" s="537" t="s">
        <v>345</v>
      </c>
      <c r="AC337" s="675"/>
      <c r="AD337" s="675"/>
      <c r="AF337" s="675"/>
      <c r="AG337" s="675"/>
      <c r="AH337" s="680"/>
    </row>
    <row r="338" spans="1:34" s="536" customFormat="1" ht="12" x14ac:dyDescent="0.2">
      <c r="A338" s="605"/>
      <c r="B338" s="552" t="s">
        <v>188</v>
      </c>
      <c r="C338" s="1822" t="s">
        <v>475</v>
      </c>
      <c r="D338" s="1822"/>
      <c r="E338" s="1822"/>
      <c r="F338" s="562"/>
      <c r="G338" s="562"/>
      <c r="H338" s="562"/>
      <c r="I338" s="562"/>
      <c r="J338" s="604">
        <v>4.93</v>
      </c>
      <c r="K338" s="562"/>
      <c r="L338" s="604">
        <v>9.86</v>
      </c>
      <c r="M338" s="603"/>
      <c r="N338" s="602"/>
      <c r="V338" s="674"/>
      <c r="W338" s="675"/>
      <c r="Z338" s="537" t="s">
        <v>475</v>
      </c>
      <c r="AC338" s="675"/>
      <c r="AD338" s="675"/>
      <c r="AF338" s="675"/>
      <c r="AG338" s="675"/>
      <c r="AH338" s="680"/>
    </row>
    <row r="339" spans="1:34" s="536" customFormat="1" ht="12" x14ac:dyDescent="0.2">
      <c r="A339" s="676"/>
      <c r="B339" s="677" t="s">
        <v>2800</v>
      </c>
      <c r="C339" s="1829" t="s">
        <v>2457</v>
      </c>
      <c r="D339" s="1829"/>
      <c r="E339" s="1829"/>
      <c r="F339" s="678" t="s">
        <v>699</v>
      </c>
      <c r="G339" s="678" t="s">
        <v>525</v>
      </c>
      <c r="H339" s="678"/>
      <c r="I339" s="678" t="s">
        <v>525</v>
      </c>
      <c r="J339" s="552"/>
      <c r="K339" s="562"/>
      <c r="L339" s="604"/>
      <c r="M339" s="562"/>
      <c r="N339" s="679"/>
      <c r="V339" s="674"/>
      <c r="W339" s="675"/>
      <c r="AC339" s="675"/>
      <c r="AD339" s="675"/>
      <c r="AF339" s="675"/>
      <c r="AG339" s="675"/>
      <c r="AH339" s="680" t="s">
        <v>2457</v>
      </c>
    </row>
    <row r="340" spans="1:34" s="536" customFormat="1" ht="12" x14ac:dyDescent="0.2">
      <c r="A340" s="676"/>
      <c r="B340" s="677" t="s">
        <v>2813</v>
      </c>
      <c r="C340" s="1829" t="s">
        <v>2814</v>
      </c>
      <c r="D340" s="1829"/>
      <c r="E340" s="1829"/>
      <c r="F340" s="678" t="s">
        <v>617</v>
      </c>
      <c r="G340" s="678" t="s">
        <v>185</v>
      </c>
      <c r="H340" s="678"/>
      <c r="I340" s="678" t="s">
        <v>186</v>
      </c>
      <c r="J340" s="552"/>
      <c r="K340" s="562"/>
      <c r="L340" s="604"/>
      <c r="M340" s="562"/>
      <c r="N340" s="679"/>
      <c r="V340" s="674"/>
      <c r="W340" s="675"/>
      <c r="AC340" s="675"/>
      <c r="AD340" s="675"/>
      <c r="AF340" s="675"/>
      <c r="AG340" s="675"/>
      <c r="AH340" s="680" t="s">
        <v>2814</v>
      </c>
    </row>
    <row r="341" spans="1:34" s="536" customFormat="1" ht="12" x14ac:dyDescent="0.2">
      <c r="A341" s="605"/>
      <c r="B341" s="552"/>
      <c r="C341" s="1822" t="s">
        <v>314</v>
      </c>
      <c r="D341" s="1822"/>
      <c r="E341" s="1822"/>
      <c r="F341" s="562" t="s">
        <v>315</v>
      </c>
      <c r="G341" s="562" t="s">
        <v>2826</v>
      </c>
      <c r="H341" s="562" t="s">
        <v>313</v>
      </c>
      <c r="I341" s="562" t="s">
        <v>2836</v>
      </c>
      <c r="J341" s="604"/>
      <c r="K341" s="562"/>
      <c r="L341" s="604"/>
      <c r="M341" s="603"/>
      <c r="N341" s="602"/>
      <c r="V341" s="674"/>
      <c r="W341" s="675"/>
      <c r="AA341" s="537" t="s">
        <v>314</v>
      </c>
      <c r="AC341" s="675"/>
      <c r="AD341" s="675"/>
      <c r="AF341" s="675"/>
      <c r="AG341" s="675"/>
      <c r="AH341" s="680"/>
    </row>
    <row r="342" spans="1:34" s="536" customFormat="1" ht="12" x14ac:dyDescent="0.2">
      <c r="A342" s="605"/>
      <c r="B342" s="552"/>
      <c r="C342" s="1822" t="s">
        <v>348</v>
      </c>
      <c r="D342" s="1822"/>
      <c r="E342" s="1822"/>
      <c r="F342" s="562" t="s">
        <v>315</v>
      </c>
      <c r="G342" s="562" t="s">
        <v>809</v>
      </c>
      <c r="H342" s="562" t="s">
        <v>313</v>
      </c>
      <c r="I342" s="562" t="s">
        <v>2258</v>
      </c>
      <c r="J342" s="604"/>
      <c r="K342" s="562"/>
      <c r="L342" s="604"/>
      <c r="M342" s="603"/>
      <c r="N342" s="602"/>
      <c r="V342" s="674"/>
      <c r="W342" s="675"/>
      <c r="AA342" s="537" t="s">
        <v>348</v>
      </c>
      <c r="AC342" s="675"/>
      <c r="AD342" s="675"/>
      <c r="AF342" s="675"/>
      <c r="AG342" s="675"/>
      <c r="AH342" s="680"/>
    </row>
    <row r="343" spans="1:34" s="536" customFormat="1" ht="12" x14ac:dyDescent="0.2">
      <c r="A343" s="605"/>
      <c r="B343" s="552"/>
      <c r="C343" s="1828" t="s">
        <v>318</v>
      </c>
      <c r="D343" s="1828"/>
      <c r="E343" s="1828"/>
      <c r="F343" s="608"/>
      <c r="G343" s="608"/>
      <c r="H343" s="608"/>
      <c r="I343" s="608"/>
      <c r="J343" s="607">
        <v>16.09</v>
      </c>
      <c r="K343" s="608"/>
      <c r="L343" s="607">
        <v>37.76</v>
      </c>
      <c r="M343" s="601"/>
      <c r="N343" s="606"/>
      <c r="V343" s="674"/>
      <c r="W343" s="675"/>
      <c r="AB343" s="537" t="s">
        <v>318</v>
      </c>
      <c r="AC343" s="675"/>
      <c r="AD343" s="675"/>
      <c r="AF343" s="675"/>
      <c r="AG343" s="675"/>
      <c r="AH343" s="680"/>
    </row>
    <row r="344" spans="1:34" s="536" customFormat="1" ht="12" x14ac:dyDescent="0.2">
      <c r="A344" s="605"/>
      <c r="B344" s="552"/>
      <c r="C344" s="1822" t="s">
        <v>319</v>
      </c>
      <c r="D344" s="1822"/>
      <c r="E344" s="1822"/>
      <c r="F344" s="562"/>
      <c r="G344" s="562"/>
      <c r="H344" s="562"/>
      <c r="I344" s="562"/>
      <c r="J344" s="604"/>
      <c r="K344" s="562"/>
      <c r="L344" s="604">
        <v>24.45</v>
      </c>
      <c r="M344" s="603"/>
      <c r="N344" s="602"/>
      <c r="V344" s="674"/>
      <c r="W344" s="675"/>
      <c r="AA344" s="537" t="s">
        <v>319</v>
      </c>
      <c r="AC344" s="675"/>
      <c r="AD344" s="675"/>
      <c r="AF344" s="675"/>
      <c r="AG344" s="675"/>
      <c r="AH344" s="680"/>
    </row>
    <row r="345" spans="1:34" s="536" customFormat="1" ht="45" x14ac:dyDescent="0.2">
      <c r="A345" s="605"/>
      <c r="B345" s="552" t="s">
        <v>892</v>
      </c>
      <c r="C345" s="1822" t="s">
        <v>893</v>
      </c>
      <c r="D345" s="1822"/>
      <c r="E345" s="1822"/>
      <c r="F345" s="562" t="s">
        <v>322</v>
      </c>
      <c r="G345" s="562" t="s">
        <v>894</v>
      </c>
      <c r="H345" s="562"/>
      <c r="I345" s="562" t="s">
        <v>894</v>
      </c>
      <c r="J345" s="604"/>
      <c r="K345" s="562"/>
      <c r="L345" s="604">
        <v>29.58</v>
      </c>
      <c r="M345" s="603"/>
      <c r="N345" s="602"/>
      <c r="V345" s="674"/>
      <c r="W345" s="675"/>
      <c r="AA345" s="537" t="s">
        <v>893</v>
      </c>
      <c r="AC345" s="675"/>
      <c r="AD345" s="675"/>
      <c r="AF345" s="675"/>
      <c r="AG345" s="675"/>
      <c r="AH345" s="680"/>
    </row>
    <row r="346" spans="1:34" s="536" customFormat="1" ht="45" x14ac:dyDescent="0.2">
      <c r="A346" s="605"/>
      <c r="B346" s="552" t="s">
        <v>895</v>
      </c>
      <c r="C346" s="1822" t="s">
        <v>896</v>
      </c>
      <c r="D346" s="1822"/>
      <c r="E346" s="1822"/>
      <c r="F346" s="562" t="s">
        <v>322</v>
      </c>
      <c r="G346" s="562" t="s">
        <v>897</v>
      </c>
      <c r="H346" s="562"/>
      <c r="I346" s="562" t="s">
        <v>897</v>
      </c>
      <c r="J346" s="604"/>
      <c r="K346" s="562"/>
      <c r="L346" s="604">
        <v>17.600000000000001</v>
      </c>
      <c r="M346" s="603"/>
      <c r="N346" s="602"/>
      <c r="V346" s="674"/>
      <c r="W346" s="675"/>
      <c r="AA346" s="537" t="s">
        <v>896</v>
      </c>
      <c r="AC346" s="675"/>
      <c r="AD346" s="675"/>
      <c r="AF346" s="675"/>
      <c r="AG346" s="675"/>
      <c r="AH346" s="680"/>
    </row>
    <row r="347" spans="1:34" s="536" customFormat="1" ht="12" x14ac:dyDescent="0.2">
      <c r="A347" s="569"/>
      <c r="B347" s="656"/>
      <c r="C347" s="1823" t="s">
        <v>327</v>
      </c>
      <c r="D347" s="1823"/>
      <c r="E347" s="1823"/>
      <c r="F347" s="573"/>
      <c r="G347" s="573"/>
      <c r="H347" s="573"/>
      <c r="I347" s="573"/>
      <c r="J347" s="572"/>
      <c r="K347" s="573"/>
      <c r="L347" s="572">
        <v>84.94</v>
      </c>
      <c r="M347" s="601"/>
      <c r="N347" s="570"/>
      <c r="V347" s="674"/>
      <c r="W347" s="675"/>
      <c r="AC347" s="675" t="s">
        <v>327</v>
      </c>
      <c r="AD347" s="675"/>
      <c r="AF347" s="675"/>
      <c r="AG347" s="675"/>
      <c r="AH347" s="680"/>
    </row>
    <row r="348" spans="1:34" s="536" customFormat="1" ht="22.5" x14ac:dyDescent="0.2">
      <c r="A348" s="575" t="s">
        <v>770</v>
      </c>
      <c r="B348" s="657" t="s">
        <v>2837</v>
      </c>
      <c r="C348" s="1823" t="s">
        <v>2838</v>
      </c>
      <c r="D348" s="1823"/>
      <c r="E348" s="1823"/>
      <c r="F348" s="573" t="s">
        <v>617</v>
      </c>
      <c r="G348" s="573"/>
      <c r="H348" s="573"/>
      <c r="I348" s="573" t="s">
        <v>186</v>
      </c>
      <c r="J348" s="572">
        <v>375.05</v>
      </c>
      <c r="K348" s="573"/>
      <c r="L348" s="572">
        <v>750.1</v>
      </c>
      <c r="M348" s="571"/>
      <c r="N348" s="570"/>
      <c r="V348" s="674"/>
      <c r="W348" s="675" t="s">
        <v>2838</v>
      </c>
      <c r="AC348" s="675"/>
      <c r="AD348" s="675"/>
      <c r="AF348" s="675"/>
      <c r="AG348" s="675"/>
      <c r="AH348" s="680"/>
    </row>
    <row r="349" spans="1:34" s="536" customFormat="1" ht="12" x14ac:dyDescent="0.2">
      <c r="A349" s="569"/>
      <c r="B349" s="656"/>
      <c r="C349" s="661" t="s">
        <v>2820</v>
      </c>
      <c r="D349" s="662"/>
      <c r="E349" s="662"/>
      <c r="F349" s="563"/>
      <c r="G349" s="563"/>
      <c r="H349" s="563"/>
      <c r="I349" s="563"/>
      <c r="J349" s="566"/>
      <c r="K349" s="563"/>
      <c r="L349" s="566"/>
      <c r="M349" s="565"/>
      <c r="N349" s="564"/>
      <c r="V349" s="674"/>
      <c r="W349" s="675"/>
      <c r="AC349" s="675"/>
      <c r="AD349" s="675"/>
      <c r="AF349" s="675"/>
      <c r="AG349" s="675"/>
      <c r="AH349" s="680"/>
    </row>
    <row r="350" spans="1:34" s="536" customFormat="1" ht="12" x14ac:dyDescent="0.2">
      <c r="A350" s="1830" t="s">
        <v>2839</v>
      </c>
      <c r="B350" s="1831"/>
      <c r="C350" s="1831"/>
      <c r="D350" s="1831"/>
      <c r="E350" s="1831"/>
      <c r="F350" s="1831"/>
      <c r="G350" s="1831"/>
      <c r="H350" s="1831"/>
      <c r="I350" s="1831"/>
      <c r="J350" s="1831"/>
      <c r="K350" s="1831"/>
      <c r="L350" s="1831"/>
      <c r="M350" s="1831"/>
      <c r="N350" s="1832"/>
      <c r="V350" s="674"/>
      <c r="W350" s="675"/>
      <c r="AC350" s="675"/>
      <c r="AD350" s="675"/>
      <c r="AF350" s="675"/>
      <c r="AG350" s="675" t="s">
        <v>2839</v>
      </c>
      <c r="AH350" s="680"/>
    </row>
    <row r="351" spans="1:34" s="536" customFormat="1" ht="22.5" x14ac:dyDescent="0.2">
      <c r="A351" s="575" t="s">
        <v>771</v>
      </c>
      <c r="B351" s="657" t="s">
        <v>2772</v>
      </c>
      <c r="C351" s="1823" t="s">
        <v>2773</v>
      </c>
      <c r="D351" s="1823"/>
      <c r="E351" s="1823"/>
      <c r="F351" s="573" t="s">
        <v>617</v>
      </c>
      <c r="G351" s="573"/>
      <c r="H351" s="573"/>
      <c r="I351" s="573" t="s">
        <v>185</v>
      </c>
      <c r="J351" s="572"/>
      <c r="K351" s="573"/>
      <c r="L351" s="572"/>
      <c r="M351" s="571"/>
      <c r="N351" s="570"/>
      <c r="V351" s="674"/>
      <c r="W351" s="675" t="s">
        <v>2773</v>
      </c>
      <c r="AC351" s="675"/>
      <c r="AD351" s="675"/>
      <c r="AF351" s="675"/>
      <c r="AG351" s="675"/>
      <c r="AH351" s="680"/>
    </row>
    <row r="352" spans="1:34" s="536" customFormat="1" ht="12" x14ac:dyDescent="0.2">
      <c r="A352" s="609"/>
      <c r="B352" s="552" t="s">
        <v>2774</v>
      </c>
      <c r="C352" s="1822" t="s">
        <v>2775</v>
      </c>
      <c r="D352" s="1822"/>
      <c r="E352" s="1822"/>
      <c r="F352" s="1822"/>
      <c r="G352" s="1822"/>
      <c r="H352" s="1822"/>
      <c r="I352" s="1822"/>
      <c r="J352" s="1822"/>
      <c r="K352" s="1822"/>
      <c r="L352" s="1822"/>
      <c r="M352" s="1822"/>
      <c r="N352" s="1827"/>
      <c r="V352" s="674"/>
      <c r="W352" s="675"/>
      <c r="Y352" s="537" t="s">
        <v>2775</v>
      </c>
      <c r="AC352" s="675"/>
      <c r="AD352" s="675"/>
      <c r="AF352" s="675"/>
      <c r="AG352" s="675"/>
      <c r="AH352" s="680"/>
    </row>
    <row r="353" spans="1:34" s="536" customFormat="1" ht="22.5" x14ac:dyDescent="0.2">
      <c r="A353" s="609"/>
      <c r="B353" s="552" t="s">
        <v>499</v>
      </c>
      <c r="C353" s="1822" t="s">
        <v>500</v>
      </c>
      <c r="D353" s="1822"/>
      <c r="E353" s="1822"/>
      <c r="F353" s="1822"/>
      <c r="G353" s="1822"/>
      <c r="H353" s="1822"/>
      <c r="I353" s="1822"/>
      <c r="J353" s="1822"/>
      <c r="K353" s="1822"/>
      <c r="L353" s="1822"/>
      <c r="M353" s="1822"/>
      <c r="N353" s="1827"/>
      <c r="V353" s="674"/>
      <c r="W353" s="675"/>
      <c r="Y353" s="537" t="s">
        <v>500</v>
      </c>
      <c r="AC353" s="675"/>
      <c r="AD353" s="675"/>
      <c r="AF353" s="675"/>
      <c r="AG353" s="675"/>
      <c r="AH353" s="680"/>
    </row>
    <row r="354" spans="1:34" s="536" customFormat="1" ht="12" x14ac:dyDescent="0.2">
      <c r="A354" s="605"/>
      <c r="B354" s="552" t="s">
        <v>185</v>
      </c>
      <c r="C354" s="1822" t="s">
        <v>312</v>
      </c>
      <c r="D354" s="1822"/>
      <c r="E354" s="1822"/>
      <c r="F354" s="562"/>
      <c r="G354" s="562"/>
      <c r="H354" s="562"/>
      <c r="I354" s="562"/>
      <c r="J354" s="604">
        <v>35.11</v>
      </c>
      <c r="K354" s="562" t="s">
        <v>2776</v>
      </c>
      <c r="L354" s="604">
        <v>46.08</v>
      </c>
      <c r="M354" s="603"/>
      <c r="N354" s="602"/>
      <c r="V354" s="674"/>
      <c r="W354" s="675"/>
      <c r="Z354" s="537" t="s">
        <v>312</v>
      </c>
      <c r="AC354" s="675"/>
      <c r="AD354" s="675"/>
      <c r="AF354" s="675"/>
      <c r="AG354" s="675"/>
      <c r="AH354" s="680"/>
    </row>
    <row r="355" spans="1:34" s="536" customFormat="1" ht="12" x14ac:dyDescent="0.2">
      <c r="A355" s="605"/>
      <c r="B355" s="552" t="s">
        <v>186</v>
      </c>
      <c r="C355" s="1822" t="s">
        <v>344</v>
      </c>
      <c r="D355" s="1822"/>
      <c r="E355" s="1822"/>
      <c r="F355" s="562"/>
      <c r="G355" s="562"/>
      <c r="H355" s="562"/>
      <c r="I355" s="562"/>
      <c r="J355" s="604">
        <v>6.62</v>
      </c>
      <c r="K355" s="562" t="s">
        <v>2776</v>
      </c>
      <c r="L355" s="604">
        <v>8.69</v>
      </c>
      <c r="M355" s="603"/>
      <c r="N355" s="602"/>
      <c r="V355" s="674"/>
      <c r="W355" s="675"/>
      <c r="Z355" s="537" t="s">
        <v>344</v>
      </c>
      <c r="AC355" s="675"/>
      <c r="AD355" s="675"/>
      <c r="AF355" s="675"/>
      <c r="AG355" s="675"/>
      <c r="AH355" s="680"/>
    </row>
    <row r="356" spans="1:34" s="536" customFormat="1" ht="12" x14ac:dyDescent="0.2">
      <c r="A356" s="605"/>
      <c r="B356" s="552" t="s">
        <v>187</v>
      </c>
      <c r="C356" s="1822" t="s">
        <v>345</v>
      </c>
      <c r="D356" s="1822"/>
      <c r="E356" s="1822"/>
      <c r="F356" s="562"/>
      <c r="G356" s="562"/>
      <c r="H356" s="562"/>
      <c r="I356" s="562"/>
      <c r="J356" s="604">
        <v>0.6</v>
      </c>
      <c r="K356" s="562" t="s">
        <v>2776</v>
      </c>
      <c r="L356" s="604">
        <v>0.79</v>
      </c>
      <c r="M356" s="603"/>
      <c r="N356" s="602"/>
      <c r="V356" s="674"/>
      <c r="W356" s="675"/>
      <c r="Z356" s="537" t="s">
        <v>345</v>
      </c>
      <c r="AC356" s="675"/>
      <c r="AD356" s="675"/>
      <c r="AF356" s="675"/>
      <c r="AG356" s="675"/>
      <c r="AH356" s="680"/>
    </row>
    <row r="357" spans="1:34" s="536" customFormat="1" ht="12" x14ac:dyDescent="0.2">
      <c r="A357" s="605"/>
      <c r="B357" s="552" t="s">
        <v>188</v>
      </c>
      <c r="C357" s="1822" t="s">
        <v>475</v>
      </c>
      <c r="D357" s="1822"/>
      <c r="E357" s="1822"/>
      <c r="F357" s="562"/>
      <c r="G357" s="562"/>
      <c r="H357" s="562"/>
      <c r="I357" s="562"/>
      <c r="J357" s="604">
        <v>2.0299999999999998</v>
      </c>
      <c r="K357" s="562"/>
      <c r="L357" s="604">
        <v>2.0299999999999998</v>
      </c>
      <c r="M357" s="603"/>
      <c r="N357" s="602"/>
      <c r="V357" s="674"/>
      <c r="W357" s="675"/>
      <c r="Z357" s="537" t="s">
        <v>475</v>
      </c>
      <c r="AC357" s="675"/>
      <c r="AD357" s="675"/>
      <c r="AF357" s="675"/>
      <c r="AG357" s="675"/>
      <c r="AH357" s="680"/>
    </row>
    <row r="358" spans="1:34" s="536" customFormat="1" ht="12" x14ac:dyDescent="0.2">
      <c r="A358" s="605"/>
      <c r="B358" s="552"/>
      <c r="C358" s="1822" t="s">
        <v>314</v>
      </c>
      <c r="D358" s="1822"/>
      <c r="E358" s="1822"/>
      <c r="F358" s="562" t="s">
        <v>315</v>
      </c>
      <c r="G358" s="562" t="s">
        <v>2777</v>
      </c>
      <c r="H358" s="562" t="s">
        <v>2776</v>
      </c>
      <c r="I358" s="562" t="s">
        <v>2778</v>
      </c>
      <c r="J358" s="604"/>
      <c r="K358" s="562"/>
      <c r="L358" s="604"/>
      <c r="M358" s="603"/>
      <c r="N358" s="602"/>
      <c r="V358" s="674"/>
      <c r="W358" s="675"/>
      <c r="AA358" s="537" t="s">
        <v>314</v>
      </c>
      <c r="AC358" s="675"/>
      <c r="AD358" s="675"/>
      <c r="AF358" s="675"/>
      <c r="AG358" s="675"/>
      <c r="AH358" s="680"/>
    </row>
    <row r="359" spans="1:34" s="536" customFormat="1" ht="12" x14ac:dyDescent="0.2">
      <c r="A359" s="605"/>
      <c r="B359" s="552"/>
      <c r="C359" s="1822" t="s">
        <v>348</v>
      </c>
      <c r="D359" s="1822"/>
      <c r="E359" s="1822"/>
      <c r="F359" s="562" t="s">
        <v>315</v>
      </c>
      <c r="G359" s="562" t="s">
        <v>856</v>
      </c>
      <c r="H359" s="562" t="s">
        <v>2776</v>
      </c>
      <c r="I359" s="562" t="s">
        <v>2779</v>
      </c>
      <c r="J359" s="604"/>
      <c r="K359" s="562"/>
      <c r="L359" s="604"/>
      <c r="M359" s="603"/>
      <c r="N359" s="602"/>
      <c r="V359" s="674"/>
      <c r="W359" s="675"/>
      <c r="AA359" s="537" t="s">
        <v>348</v>
      </c>
      <c r="AC359" s="675"/>
      <c r="AD359" s="675"/>
      <c r="AF359" s="675"/>
      <c r="AG359" s="675"/>
      <c r="AH359" s="680"/>
    </row>
    <row r="360" spans="1:34" s="536" customFormat="1" ht="12" x14ac:dyDescent="0.2">
      <c r="A360" s="605"/>
      <c r="B360" s="552"/>
      <c r="C360" s="1828" t="s">
        <v>318</v>
      </c>
      <c r="D360" s="1828"/>
      <c r="E360" s="1828"/>
      <c r="F360" s="608"/>
      <c r="G360" s="608"/>
      <c r="H360" s="608"/>
      <c r="I360" s="608"/>
      <c r="J360" s="607">
        <v>43.76</v>
      </c>
      <c r="K360" s="608"/>
      <c r="L360" s="607">
        <v>56.8</v>
      </c>
      <c r="M360" s="601"/>
      <c r="N360" s="606"/>
      <c r="V360" s="674"/>
      <c r="W360" s="675"/>
      <c r="AB360" s="537" t="s">
        <v>318</v>
      </c>
      <c r="AC360" s="675"/>
      <c r="AD360" s="675"/>
      <c r="AF360" s="675"/>
      <c r="AG360" s="675"/>
      <c r="AH360" s="680"/>
    </row>
    <row r="361" spans="1:34" s="536" customFormat="1" ht="12" x14ac:dyDescent="0.2">
      <c r="A361" s="605"/>
      <c r="B361" s="552"/>
      <c r="C361" s="1822" t="s">
        <v>319</v>
      </c>
      <c r="D361" s="1822"/>
      <c r="E361" s="1822"/>
      <c r="F361" s="562"/>
      <c r="G361" s="562"/>
      <c r="H361" s="562"/>
      <c r="I361" s="562"/>
      <c r="J361" s="604"/>
      <c r="K361" s="562"/>
      <c r="L361" s="604">
        <v>46.87</v>
      </c>
      <c r="M361" s="603"/>
      <c r="N361" s="602"/>
      <c r="V361" s="674"/>
      <c r="W361" s="675"/>
      <c r="AA361" s="537" t="s">
        <v>319</v>
      </c>
      <c r="AC361" s="675"/>
      <c r="AD361" s="675"/>
      <c r="AF361" s="675"/>
      <c r="AG361" s="675"/>
      <c r="AH361" s="680"/>
    </row>
    <row r="362" spans="1:34" s="536" customFormat="1" ht="45" x14ac:dyDescent="0.2">
      <c r="A362" s="605"/>
      <c r="B362" s="552" t="s">
        <v>892</v>
      </c>
      <c r="C362" s="1822" t="s">
        <v>893</v>
      </c>
      <c r="D362" s="1822"/>
      <c r="E362" s="1822"/>
      <c r="F362" s="562" t="s">
        <v>322</v>
      </c>
      <c r="G362" s="562" t="s">
        <v>894</v>
      </c>
      <c r="H362" s="562"/>
      <c r="I362" s="562" t="s">
        <v>894</v>
      </c>
      <c r="J362" s="604"/>
      <c r="K362" s="562"/>
      <c r="L362" s="604">
        <v>56.71</v>
      </c>
      <c r="M362" s="603"/>
      <c r="N362" s="602"/>
      <c r="V362" s="674"/>
      <c r="W362" s="675"/>
      <c r="AA362" s="537" t="s">
        <v>893</v>
      </c>
      <c r="AC362" s="675"/>
      <c r="AD362" s="675"/>
      <c r="AF362" s="675"/>
      <c r="AG362" s="675"/>
      <c r="AH362" s="680"/>
    </row>
    <row r="363" spans="1:34" s="536" customFormat="1" ht="45" x14ac:dyDescent="0.2">
      <c r="A363" s="605"/>
      <c r="B363" s="552" t="s">
        <v>895</v>
      </c>
      <c r="C363" s="1822" t="s">
        <v>896</v>
      </c>
      <c r="D363" s="1822"/>
      <c r="E363" s="1822"/>
      <c r="F363" s="562" t="s">
        <v>322</v>
      </c>
      <c r="G363" s="562" t="s">
        <v>897</v>
      </c>
      <c r="H363" s="562"/>
      <c r="I363" s="562" t="s">
        <v>897</v>
      </c>
      <c r="J363" s="604"/>
      <c r="K363" s="562"/>
      <c r="L363" s="604">
        <v>33.75</v>
      </c>
      <c r="M363" s="603"/>
      <c r="N363" s="602"/>
      <c r="V363" s="674"/>
      <c r="W363" s="675"/>
      <c r="AA363" s="537" t="s">
        <v>896</v>
      </c>
      <c r="AC363" s="675"/>
      <c r="AD363" s="675"/>
      <c r="AF363" s="675"/>
      <c r="AG363" s="675"/>
      <c r="AH363" s="680"/>
    </row>
    <row r="364" spans="1:34" s="536" customFormat="1" ht="12" x14ac:dyDescent="0.2">
      <c r="A364" s="569"/>
      <c r="B364" s="656"/>
      <c r="C364" s="1823" t="s">
        <v>327</v>
      </c>
      <c r="D364" s="1823"/>
      <c r="E364" s="1823"/>
      <c r="F364" s="573"/>
      <c r="G364" s="573"/>
      <c r="H364" s="573"/>
      <c r="I364" s="573"/>
      <c r="J364" s="572"/>
      <c r="K364" s="573"/>
      <c r="L364" s="572">
        <v>147.26</v>
      </c>
      <c r="M364" s="601"/>
      <c r="N364" s="570"/>
      <c r="V364" s="674"/>
      <c r="W364" s="675"/>
      <c r="AC364" s="675" t="s">
        <v>327</v>
      </c>
      <c r="AD364" s="675"/>
      <c r="AF364" s="675"/>
      <c r="AG364" s="675"/>
      <c r="AH364" s="680"/>
    </row>
    <row r="365" spans="1:34" s="536" customFormat="1" ht="33.75" x14ac:dyDescent="0.2">
      <c r="A365" s="575" t="s">
        <v>928</v>
      </c>
      <c r="B365" s="657" t="s">
        <v>2780</v>
      </c>
      <c r="C365" s="1823" t="s">
        <v>2840</v>
      </c>
      <c r="D365" s="1823"/>
      <c r="E365" s="1823"/>
      <c r="F365" s="573" t="s">
        <v>628</v>
      </c>
      <c r="G365" s="573"/>
      <c r="H365" s="573"/>
      <c r="I365" s="573" t="s">
        <v>185</v>
      </c>
      <c r="J365" s="572">
        <v>4697.3</v>
      </c>
      <c r="K365" s="573" t="s">
        <v>629</v>
      </c>
      <c r="L365" s="572">
        <v>1035.73</v>
      </c>
      <c r="M365" s="571">
        <v>4.59</v>
      </c>
      <c r="N365" s="570">
        <v>4754</v>
      </c>
      <c r="V365" s="674"/>
      <c r="W365" s="675" t="s">
        <v>2840</v>
      </c>
      <c r="AC365" s="675"/>
      <c r="AD365" s="675"/>
      <c r="AF365" s="675"/>
      <c r="AG365" s="675"/>
      <c r="AH365" s="680"/>
    </row>
    <row r="366" spans="1:34" s="536" customFormat="1" ht="12" x14ac:dyDescent="0.2">
      <c r="A366" s="569"/>
      <c r="B366" s="656"/>
      <c r="C366" s="661" t="s">
        <v>630</v>
      </c>
      <c r="D366" s="662"/>
      <c r="E366" s="662"/>
      <c r="F366" s="563"/>
      <c r="G366" s="563"/>
      <c r="H366" s="563"/>
      <c r="I366" s="563"/>
      <c r="J366" s="566"/>
      <c r="K366" s="563"/>
      <c r="L366" s="566"/>
      <c r="M366" s="565"/>
      <c r="N366" s="564"/>
      <c r="V366" s="674"/>
      <c r="W366" s="675"/>
      <c r="AC366" s="675"/>
      <c r="AD366" s="675"/>
      <c r="AF366" s="675"/>
      <c r="AG366" s="675"/>
      <c r="AH366" s="680"/>
    </row>
    <row r="367" spans="1:34" s="536" customFormat="1" ht="22.5" x14ac:dyDescent="0.2">
      <c r="A367" s="609"/>
      <c r="B367" s="552" t="s">
        <v>631</v>
      </c>
      <c r="C367" s="1822" t="s">
        <v>632</v>
      </c>
      <c r="D367" s="1822"/>
      <c r="E367" s="1822"/>
      <c r="F367" s="1822"/>
      <c r="G367" s="1822"/>
      <c r="H367" s="1822"/>
      <c r="I367" s="1822"/>
      <c r="J367" s="1822"/>
      <c r="K367" s="1822"/>
      <c r="L367" s="1822"/>
      <c r="M367" s="1822"/>
      <c r="N367" s="1827"/>
      <c r="V367" s="674"/>
      <c r="W367" s="675"/>
      <c r="Y367" s="537" t="s">
        <v>632</v>
      </c>
      <c r="AC367" s="675"/>
      <c r="AD367" s="675"/>
      <c r="AF367" s="675"/>
      <c r="AG367" s="675"/>
      <c r="AH367" s="680"/>
    </row>
    <row r="368" spans="1:34" s="536" customFormat="1" ht="33.75" x14ac:dyDescent="0.2">
      <c r="A368" s="575" t="s">
        <v>677</v>
      </c>
      <c r="B368" s="657" t="s">
        <v>2788</v>
      </c>
      <c r="C368" s="1823" t="s">
        <v>2789</v>
      </c>
      <c r="D368" s="1823"/>
      <c r="E368" s="1823"/>
      <c r="F368" s="573" t="s">
        <v>617</v>
      </c>
      <c r="G368" s="573"/>
      <c r="H368" s="573"/>
      <c r="I368" s="573" t="s">
        <v>185</v>
      </c>
      <c r="J368" s="572"/>
      <c r="K368" s="573"/>
      <c r="L368" s="572"/>
      <c r="M368" s="571"/>
      <c r="N368" s="570"/>
      <c r="V368" s="674"/>
      <c r="W368" s="675" t="s">
        <v>2789</v>
      </c>
      <c r="AC368" s="675"/>
      <c r="AD368" s="675"/>
      <c r="AF368" s="675"/>
      <c r="AG368" s="675"/>
      <c r="AH368" s="680"/>
    </row>
    <row r="369" spans="1:34" s="536" customFormat="1" ht="22.5" x14ac:dyDescent="0.2">
      <c r="A369" s="609"/>
      <c r="B369" s="552" t="s">
        <v>499</v>
      </c>
      <c r="C369" s="1822" t="s">
        <v>500</v>
      </c>
      <c r="D369" s="1822"/>
      <c r="E369" s="1822"/>
      <c r="F369" s="1822"/>
      <c r="G369" s="1822"/>
      <c r="H369" s="1822"/>
      <c r="I369" s="1822"/>
      <c r="J369" s="1822"/>
      <c r="K369" s="1822"/>
      <c r="L369" s="1822"/>
      <c r="M369" s="1822"/>
      <c r="N369" s="1827"/>
      <c r="V369" s="674"/>
      <c r="W369" s="675"/>
      <c r="Y369" s="537" t="s">
        <v>500</v>
      </c>
      <c r="AC369" s="675"/>
      <c r="AD369" s="675"/>
      <c r="AF369" s="675"/>
      <c r="AG369" s="675"/>
      <c r="AH369" s="680"/>
    </row>
    <row r="370" spans="1:34" s="536" customFormat="1" ht="12" x14ac:dyDescent="0.2">
      <c r="A370" s="605"/>
      <c r="B370" s="552" t="s">
        <v>185</v>
      </c>
      <c r="C370" s="1822" t="s">
        <v>312</v>
      </c>
      <c r="D370" s="1822"/>
      <c r="E370" s="1822"/>
      <c r="F370" s="562"/>
      <c r="G370" s="562"/>
      <c r="H370" s="562"/>
      <c r="I370" s="562"/>
      <c r="J370" s="604">
        <v>5.16</v>
      </c>
      <c r="K370" s="562" t="s">
        <v>313</v>
      </c>
      <c r="L370" s="604">
        <v>6.45</v>
      </c>
      <c r="M370" s="603"/>
      <c r="N370" s="602"/>
      <c r="V370" s="674"/>
      <c r="W370" s="675"/>
      <c r="Z370" s="537" t="s">
        <v>312</v>
      </c>
      <c r="AC370" s="675"/>
      <c r="AD370" s="675"/>
      <c r="AF370" s="675"/>
      <c r="AG370" s="675"/>
      <c r="AH370" s="680"/>
    </row>
    <row r="371" spans="1:34" s="536" customFormat="1" ht="12" x14ac:dyDescent="0.2">
      <c r="A371" s="605"/>
      <c r="B371" s="552" t="s">
        <v>188</v>
      </c>
      <c r="C371" s="1822" t="s">
        <v>475</v>
      </c>
      <c r="D371" s="1822"/>
      <c r="E371" s="1822"/>
      <c r="F371" s="562"/>
      <c r="G371" s="562"/>
      <c r="H371" s="562"/>
      <c r="I371" s="562"/>
      <c r="J371" s="604">
        <v>1.0900000000000001</v>
      </c>
      <c r="K371" s="562"/>
      <c r="L371" s="604">
        <v>1.0900000000000001</v>
      </c>
      <c r="M371" s="603"/>
      <c r="N371" s="602"/>
      <c r="V371" s="674"/>
      <c r="W371" s="675"/>
      <c r="Z371" s="537" t="s">
        <v>475</v>
      </c>
      <c r="AC371" s="675"/>
      <c r="AD371" s="675"/>
      <c r="AF371" s="675"/>
      <c r="AG371" s="675"/>
      <c r="AH371" s="680"/>
    </row>
    <row r="372" spans="1:34" s="536" customFormat="1" ht="12" x14ac:dyDescent="0.2">
      <c r="A372" s="605"/>
      <c r="B372" s="552"/>
      <c r="C372" s="1822" t="s">
        <v>314</v>
      </c>
      <c r="D372" s="1822"/>
      <c r="E372" s="1822"/>
      <c r="F372" s="562" t="s">
        <v>315</v>
      </c>
      <c r="G372" s="562" t="s">
        <v>2790</v>
      </c>
      <c r="H372" s="562" t="s">
        <v>313</v>
      </c>
      <c r="I372" s="562" t="s">
        <v>1118</v>
      </c>
      <c r="J372" s="604"/>
      <c r="K372" s="562"/>
      <c r="L372" s="604"/>
      <c r="M372" s="603"/>
      <c r="N372" s="602"/>
      <c r="V372" s="674"/>
      <c r="W372" s="675"/>
      <c r="AA372" s="537" t="s">
        <v>314</v>
      </c>
      <c r="AC372" s="675"/>
      <c r="AD372" s="675"/>
      <c r="AF372" s="675"/>
      <c r="AG372" s="675"/>
      <c r="AH372" s="680"/>
    </row>
    <row r="373" spans="1:34" s="536" customFormat="1" ht="12" x14ac:dyDescent="0.2">
      <c r="A373" s="605"/>
      <c r="B373" s="552"/>
      <c r="C373" s="1828" t="s">
        <v>318</v>
      </c>
      <c r="D373" s="1828"/>
      <c r="E373" s="1828"/>
      <c r="F373" s="608"/>
      <c r="G373" s="608"/>
      <c r="H373" s="608"/>
      <c r="I373" s="608"/>
      <c r="J373" s="607">
        <v>6.25</v>
      </c>
      <c r="K373" s="608"/>
      <c r="L373" s="607">
        <v>7.54</v>
      </c>
      <c r="M373" s="601"/>
      <c r="N373" s="606"/>
      <c r="V373" s="674"/>
      <c r="W373" s="675"/>
      <c r="AB373" s="537" t="s">
        <v>318</v>
      </c>
      <c r="AC373" s="675"/>
      <c r="AD373" s="675"/>
      <c r="AF373" s="675"/>
      <c r="AG373" s="675"/>
      <c r="AH373" s="680"/>
    </row>
    <row r="374" spans="1:34" s="536" customFormat="1" ht="12" x14ac:dyDescent="0.2">
      <c r="A374" s="605"/>
      <c r="B374" s="552"/>
      <c r="C374" s="1822" t="s">
        <v>319</v>
      </c>
      <c r="D374" s="1822"/>
      <c r="E374" s="1822"/>
      <c r="F374" s="562"/>
      <c r="G374" s="562"/>
      <c r="H374" s="562"/>
      <c r="I374" s="562"/>
      <c r="J374" s="604"/>
      <c r="K374" s="562"/>
      <c r="L374" s="604">
        <v>6.45</v>
      </c>
      <c r="M374" s="603"/>
      <c r="N374" s="602"/>
      <c r="V374" s="674"/>
      <c r="W374" s="675"/>
      <c r="AA374" s="537" t="s">
        <v>319</v>
      </c>
      <c r="AC374" s="675"/>
      <c r="AD374" s="675"/>
      <c r="AF374" s="675"/>
      <c r="AG374" s="675"/>
      <c r="AH374" s="680"/>
    </row>
    <row r="375" spans="1:34" s="536" customFormat="1" ht="33.75" x14ac:dyDescent="0.2">
      <c r="A375" s="605"/>
      <c r="B375" s="552" t="s">
        <v>884</v>
      </c>
      <c r="C375" s="1822" t="s">
        <v>885</v>
      </c>
      <c r="D375" s="1822"/>
      <c r="E375" s="1822"/>
      <c r="F375" s="562" t="s">
        <v>322</v>
      </c>
      <c r="G375" s="562" t="s">
        <v>886</v>
      </c>
      <c r="H375" s="562"/>
      <c r="I375" s="562" t="s">
        <v>886</v>
      </c>
      <c r="J375" s="604"/>
      <c r="K375" s="562"/>
      <c r="L375" s="604">
        <v>5.81</v>
      </c>
      <c r="M375" s="603"/>
      <c r="N375" s="602"/>
      <c r="V375" s="674"/>
      <c r="W375" s="675"/>
      <c r="AA375" s="537" t="s">
        <v>885</v>
      </c>
      <c r="AC375" s="675"/>
      <c r="AD375" s="675"/>
      <c r="AF375" s="675"/>
      <c r="AG375" s="675"/>
      <c r="AH375" s="680"/>
    </row>
    <row r="376" spans="1:34" s="536" customFormat="1" ht="33.75" x14ac:dyDescent="0.2">
      <c r="A376" s="605"/>
      <c r="B376" s="552" t="s">
        <v>887</v>
      </c>
      <c r="C376" s="1822" t="s">
        <v>888</v>
      </c>
      <c r="D376" s="1822"/>
      <c r="E376" s="1822"/>
      <c r="F376" s="562" t="s">
        <v>322</v>
      </c>
      <c r="G376" s="562" t="s">
        <v>465</v>
      </c>
      <c r="H376" s="562"/>
      <c r="I376" s="562" t="s">
        <v>465</v>
      </c>
      <c r="J376" s="604"/>
      <c r="K376" s="562"/>
      <c r="L376" s="604">
        <v>2.97</v>
      </c>
      <c r="M376" s="603"/>
      <c r="N376" s="602"/>
      <c r="V376" s="674"/>
      <c r="W376" s="675"/>
      <c r="AA376" s="537" t="s">
        <v>888</v>
      </c>
      <c r="AC376" s="675"/>
      <c r="AD376" s="675"/>
      <c r="AF376" s="675"/>
      <c r="AG376" s="675"/>
      <c r="AH376" s="680"/>
    </row>
    <row r="377" spans="1:34" s="536" customFormat="1" ht="12" x14ac:dyDescent="0.2">
      <c r="A377" s="569"/>
      <c r="B377" s="656"/>
      <c r="C377" s="1823" t="s">
        <v>327</v>
      </c>
      <c r="D377" s="1823"/>
      <c r="E377" s="1823"/>
      <c r="F377" s="573"/>
      <c r="G377" s="573"/>
      <c r="H377" s="573"/>
      <c r="I377" s="573"/>
      <c r="J377" s="572"/>
      <c r="K377" s="573"/>
      <c r="L377" s="572">
        <v>16.32</v>
      </c>
      <c r="M377" s="601"/>
      <c r="N377" s="570"/>
      <c r="V377" s="674"/>
      <c r="W377" s="675"/>
      <c r="AC377" s="675" t="s">
        <v>327</v>
      </c>
      <c r="AD377" s="675"/>
      <c r="AF377" s="675"/>
      <c r="AG377" s="675"/>
      <c r="AH377" s="680"/>
    </row>
    <row r="378" spans="1:34" s="536" customFormat="1" ht="33.75" x14ac:dyDescent="0.2">
      <c r="A378" s="575" t="s">
        <v>773</v>
      </c>
      <c r="B378" s="657" t="s">
        <v>2809</v>
      </c>
      <c r="C378" s="1823" t="s">
        <v>2810</v>
      </c>
      <c r="D378" s="1823"/>
      <c r="E378" s="1823"/>
      <c r="F378" s="573" t="s">
        <v>628</v>
      </c>
      <c r="G378" s="573"/>
      <c r="H378" s="573"/>
      <c r="I378" s="573" t="s">
        <v>185</v>
      </c>
      <c r="J378" s="572">
        <v>1939.04</v>
      </c>
      <c r="K378" s="573" t="s">
        <v>629</v>
      </c>
      <c r="L378" s="572">
        <v>427.45</v>
      </c>
      <c r="M378" s="571">
        <v>4.59</v>
      </c>
      <c r="N378" s="570">
        <v>1962</v>
      </c>
      <c r="V378" s="674"/>
      <c r="W378" s="675" t="s">
        <v>2810</v>
      </c>
      <c r="AC378" s="675"/>
      <c r="AD378" s="675"/>
      <c r="AF378" s="675"/>
      <c r="AG378" s="675"/>
      <c r="AH378" s="680"/>
    </row>
    <row r="379" spans="1:34" s="536" customFormat="1" ht="12" x14ac:dyDescent="0.2">
      <c r="A379" s="569"/>
      <c r="B379" s="656"/>
      <c r="C379" s="661" t="s">
        <v>630</v>
      </c>
      <c r="D379" s="662"/>
      <c r="E379" s="662"/>
      <c r="F379" s="563"/>
      <c r="G379" s="563"/>
      <c r="H379" s="563"/>
      <c r="I379" s="563"/>
      <c r="J379" s="566"/>
      <c r="K379" s="563"/>
      <c r="L379" s="566"/>
      <c r="M379" s="565"/>
      <c r="N379" s="564"/>
      <c r="V379" s="674"/>
      <c r="W379" s="675"/>
      <c r="AC379" s="675"/>
      <c r="AD379" s="675"/>
      <c r="AF379" s="675"/>
      <c r="AG379" s="675"/>
      <c r="AH379" s="680"/>
    </row>
    <row r="380" spans="1:34" s="536" customFormat="1" ht="22.5" x14ac:dyDescent="0.2">
      <c r="A380" s="609"/>
      <c r="B380" s="552" t="s">
        <v>631</v>
      </c>
      <c r="C380" s="1822" t="s">
        <v>632</v>
      </c>
      <c r="D380" s="1822"/>
      <c r="E380" s="1822"/>
      <c r="F380" s="1822"/>
      <c r="G380" s="1822"/>
      <c r="H380" s="1822"/>
      <c r="I380" s="1822"/>
      <c r="J380" s="1822"/>
      <c r="K380" s="1822"/>
      <c r="L380" s="1822"/>
      <c r="M380" s="1822"/>
      <c r="N380" s="1827"/>
      <c r="V380" s="674"/>
      <c r="W380" s="675"/>
      <c r="Y380" s="537" t="s">
        <v>632</v>
      </c>
      <c r="AC380" s="675"/>
      <c r="AD380" s="675"/>
      <c r="AF380" s="675"/>
      <c r="AG380" s="675"/>
      <c r="AH380" s="680"/>
    </row>
    <row r="381" spans="1:34" s="536" customFormat="1" ht="45" x14ac:dyDescent="0.2">
      <c r="A381" s="575" t="s">
        <v>774</v>
      </c>
      <c r="B381" s="657" t="s">
        <v>2834</v>
      </c>
      <c r="C381" s="1823" t="s">
        <v>2835</v>
      </c>
      <c r="D381" s="1823"/>
      <c r="E381" s="1823"/>
      <c r="F381" s="573" t="s">
        <v>617</v>
      </c>
      <c r="G381" s="573"/>
      <c r="H381" s="573"/>
      <c r="I381" s="573" t="s">
        <v>186</v>
      </c>
      <c r="J381" s="572"/>
      <c r="K381" s="573"/>
      <c r="L381" s="572"/>
      <c r="M381" s="571"/>
      <c r="N381" s="570"/>
      <c r="V381" s="674"/>
      <c r="W381" s="675" t="s">
        <v>2835</v>
      </c>
      <c r="AC381" s="675"/>
      <c r="AD381" s="675"/>
      <c r="AF381" s="675"/>
      <c r="AG381" s="675"/>
      <c r="AH381" s="680"/>
    </row>
    <row r="382" spans="1:34" s="536" customFormat="1" ht="22.5" x14ac:dyDescent="0.2">
      <c r="A382" s="609"/>
      <c r="B382" s="552" t="s">
        <v>499</v>
      </c>
      <c r="C382" s="1822" t="s">
        <v>500</v>
      </c>
      <c r="D382" s="1822"/>
      <c r="E382" s="1822"/>
      <c r="F382" s="1822"/>
      <c r="G382" s="1822"/>
      <c r="H382" s="1822"/>
      <c r="I382" s="1822"/>
      <c r="J382" s="1822"/>
      <c r="K382" s="1822"/>
      <c r="L382" s="1822"/>
      <c r="M382" s="1822"/>
      <c r="N382" s="1827"/>
      <c r="V382" s="674"/>
      <c r="W382" s="675"/>
      <c r="Y382" s="537" t="s">
        <v>500</v>
      </c>
      <c r="AC382" s="675"/>
      <c r="AD382" s="675"/>
      <c r="AF382" s="675"/>
      <c r="AG382" s="675"/>
      <c r="AH382" s="680"/>
    </row>
    <row r="383" spans="1:34" s="536" customFormat="1" ht="12" x14ac:dyDescent="0.2">
      <c r="A383" s="605"/>
      <c r="B383" s="552" t="s">
        <v>185</v>
      </c>
      <c r="C383" s="1822" t="s">
        <v>312</v>
      </c>
      <c r="D383" s="1822"/>
      <c r="E383" s="1822"/>
      <c r="F383" s="562"/>
      <c r="G383" s="562"/>
      <c r="H383" s="562"/>
      <c r="I383" s="562"/>
      <c r="J383" s="604">
        <v>9.66</v>
      </c>
      <c r="K383" s="562" t="s">
        <v>313</v>
      </c>
      <c r="L383" s="604">
        <v>24.15</v>
      </c>
      <c r="M383" s="603"/>
      <c r="N383" s="602"/>
      <c r="V383" s="674"/>
      <c r="W383" s="675"/>
      <c r="Z383" s="537" t="s">
        <v>312</v>
      </c>
      <c r="AC383" s="675"/>
      <c r="AD383" s="675"/>
      <c r="AF383" s="675"/>
      <c r="AG383" s="675"/>
      <c r="AH383" s="680"/>
    </row>
    <row r="384" spans="1:34" s="536" customFormat="1" ht="12" x14ac:dyDescent="0.2">
      <c r="A384" s="605"/>
      <c r="B384" s="552" t="s">
        <v>186</v>
      </c>
      <c r="C384" s="1822" t="s">
        <v>344</v>
      </c>
      <c r="D384" s="1822"/>
      <c r="E384" s="1822"/>
      <c r="F384" s="562"/>
      <c r="G384" s="562"/>
      <c r="H384" s="562"/>
      <c r="I384" s="562"/>
      <c r="J384" s="604">
        <v>1.5</v>
      </c>
      <c r="K384" s="562" t="s">
        <v>313</v>
      </c>
      <c r="L384" s="604">
        <v>3.75</v>
      </c>
      <c r="M384" s="603"/>
      <c r="N384" s="602"/>
      <c r="V384" s="674"/>
      <c r="W384" s="675"/>
      <c r="Z384" s="537" t="s">
        <v>344</v>
      </c>
      <c r="AC384" s="675"/>
      <c r="AD384" s="675"/>
      <c r="AF384" s="675"/>
      <c r="AG384" s="675"/>
      <c r="AH384" s="680"/>
    </row>
    <row r="385" spans="1:34" s="536" customFormat="1" ht="12" x14ac:dyDescent="0.2">
      <c r="A385" s="605"/>
      <c r="B385" s="552" t="s">
        <v>187</v>
      </c>
      <c r="C385" s="1822" t="s">
        <v>345</v>
      </c>
      <c r="D385" s="1822"/>
      <c r="E385" s="1822"/>
      <c r="F385" s="562"/>
      <c r="G385" s="562"/>
      <c r="H385" s="562"/>
      <c r="I385" s="562"/>
      <c r="J385" s="604">
        <v>0.12</v>
      </c>
      <c r="K385" s="562" t="s">
        <v>313</v>
      </c>
      <c r="L385" s="604">
        <v>0.3</v>
      </c>
      <c r="M385" s="603"/>
      <c r="N385" s="602"/>
      <c r="V385" s="674"/>
      <c r="W385" s="675"/>
      <c r="Z385" s="537" t="s">
        <v>345</v>
      </c>
      <c r="AC385" s="675"/>
      <c r="AD385" s="675"/>
      <c r="AF385" s="675"/>
      <c r="AG385" s="675"/>
      <c r="AH385" s="680"/>
    </row>
    <row r="386" spans="1:34" s="536" customFormat="1" ht="12" x14ac:dyDescent="0.2">
      <c r="A386" s="605"/>
      <c r="B386" s="552" t="s">
        <v>188</v>
      </c>
      <c r="C386" s="1822" t="s">
        <v>475</v>
      </c>
      <c r="D386" s="1822"/>
      <c r="E386" s="1822"/>
      <c r="F386" s="562"/>
      <c r="G386" s="562"/>
      <c r="H386" s="562"/>
      <c r="I386" s="562"/>
      <c r="J386" s="604">
        <v>4.93</v>
      </c>
      <c r="K386" s="562"/>
      <c r="L386" s="604">
        <v>9.86</v>
      </c>
      <c r="M386" s="603"/>
      <c r="N386" s="602"/>
      <c r="V386" s="674"/>
      <c r="W386" s="675"/>
      <c r="Z386" s="537" t="s">
        <v>475</v>
      </c>
      <c r="AC386" s="675"/>
      <c r="AD386" s="675"/>
      <c r="AF386" s="675"/>
      <c r="AG386" s="675"/>
      <c r="AH386" s="680"/>
    </row>
    <row r="387" spans="1:34" s="536" customFormat="1" ht="12" x14ac:dyDescent="0.2">
      <c r="A387" s="676"/>
      <c r="B387" s="677" t="s">
        <v>2800</v>
      </c>
      <c r="C387" s="1829" t="s">
        <v>2457</v>
      </c>
      <c r="D387" s="1829"/>
      <c r="E387" s="1829"/>
      <c r="F387" s="678" t="s">
        <v>699</v>
      </c>
      <c r="G387" s="678" t="s">
        <v>525</v>
      </c>
      <c r="H387" s="678"/>
      <c r="I387" s="678" t="s">
        <v>525</v>
      </c>
      <c r="J387" s="552"/>
      <c r="K387" s="562"/>
      <c r="L387" s="604"/>
      <c r="M387" s="562"/>
      <c r="N387" s="679"/>
      <c r="V387" s="674"/>
      <c r="W387" s="675"/>
      <c r="AC387" s="675"/>
      <c r="AD387" s="675"/>
      <c r="AF387" s="675"/>
      <c r="AG387" s="675"/>
      <c r="AH387" s="680" t="s">
        <v>2457</v>
      </c>
    </row>
    <row r="388" spans="1:34" s="536" customFormat="1" ht="12" x14ac:dyDescent="0.2">
      <c r="A388" s="676"/>
      <c r="B388" s="677" t="s">
        <v>2813</v>
      </c>
      <c r="C388" s="1829" t="s">
        <v>2814</v>
      </c>
      <c r="D388" s="1829"/>
      <c r="E388" s="1829"/>
      <c r="F388" s="678" t="s">
        <v>617</v>
      </c>
      <c r="G388" s="678" t="s">
        <v>185</v>
      </c>
      <c r="H388" s="678"/>
      <c r="I388" s="678" t="s">
        <v>186</v>
      </c>
      <c r="J388" s="552"/>
      <c r="K388" s="562"/>
      <c r="L388" s="604"/>
      <c r="M388" s="562"/>
      <c r="N388" s="679"/>
      <c r="V388" s="674"/>
      <c r="W388" s="675"/>
      <c r="AC388" s="675"/>
      <c r="AD388" s="675"/>
      <c r="AF388" s="675"/>
      <c r="AG388" s="675"/>
      <c r="AH388" s="680" t="s">
        <v>2814</v>
      </c>
    </row>
    <row r="389" spans="1:34" s="536" customFormat="1" ht="12" x14ac:dyDescent="0.2">
      <c r="A389" s="605"/>
      <c r="B389" s="552"/>
      <c r="C389" s="1822" t="s">
        <v>314</v>
      </c>
      <c r="D389" s="1822"/>
      <c r="E389" s="1822"/>
      <c r="F389" s="562" t="s">
        <v>315</v>
      </c>
      <c r="G389" s="562" t="s">
        <v>2826</v>
      </c>
      <c r="H389" s="562" t="s">
        <v>313</v>
      </c>
      <c r="I389" s="562" t="s">
        <v>2836</v>
      </c>
      <c r="J389" s="604"/>
      <c r="K389" s="562"/>
      <c r="L389" s="604"/>
      <c r="M389" s="603"/>
      <c r="N389" s="602"/>
      <c r="V389" s="674"/>
      <c r="W389" s="675"/>
      <c r="AA389" s="537" t="s">
        <v>314</v>
      </c>
      <c r="AC389" s="675"/>
      <c r="AD389" s="675"/>
      <c r="AF389" s="675"/>
      <c r="AG389" s="675"/>
      <c r="AH389" s="680"/>
    </row>
    <row r="390" spans="1:34" s="536" customFormat="1" ht="12" x14ac:dyDescent="0.2">
      <c r="A390" s="605"/>
      <c r="B390" s="552"/>
      <c r="C390" s="1822" t="s">
        <v>348</v>
      </c>
      <c r="D390" s="1822"/>
      <c r="E390" s="1822"/>
      <c r="F390" s="562" t="s">
        <v>315</v>
      </c>
      <c r="G390" s="562" t="s">
        <v>809</v>
      </c>
      <c r="H390" s="562" t="s">
        <v>313</v>
      </c>
      <c r="I390" s="562" t="s">
        <v>2258</v>
      </c>
      <c r="J390" s="604"/>
      <c r="K390" s="562"/>
      <c r="L390" s="604"/>
      <c r="M390" s="603"/>
      <c r="N390" s="602"/>
      <c r="V390" s="674"/>
      <c r="W390" s="675"/>
      <c r="AA390" s="537" t="s">
        <v>348</v>
      </c>
      <c r="AC390" s="675"/>
      <c r="AD390" s="675"/>
      <c r="AF390" s="675"/>
      <c r="AG390" s="675"/>
      <c r="AH390" s="680"/>
    </row>
    <row r="391" spans="1:34" s="536" customFormat="1" ht="12" x14ac:dyDescent="0.2">
      <c r="A391" s="605"/>
      <c r="B391" s="552"/>
      <c r="C391" s="1828" t="s">
        <v>318</v>
      </c>
      <c r="D391" s="1828"/>
      <c r="E391" s="1828"/>
      <c r="F391" s="608"/>
      <c r="G391" s="608"/>
      <c r="H391" s="608"/>
      <c r="I391" s="608"/>
      <c r="J391" s="607">
        <v>16.09</v>
      </c>
      <c r="K391" s="608"/>
      <c r="L391" s="607">
        <v>37.76</v>
      </c>
      <c r="M391" s="601"/>
      <c r="N391" s="606"/>
      <c r="V391" s="674"/>
      <c r="W391" s="675"/>
      <c r="AB391" s="537" t="s">
        <v>318</v>
      </c>
      <c r="AC391" s="675"/>
      <c r="AD391" s="675"/>
      <c r="AF391" s="675"/>
      <c r="AG391" s="675"/>
      <c r="AH391" s="680"/>
    </row>
    <row r="392" spans="1:34" s="536" customFormat="1" ht="12" x14ac:dyDescent="0.2">
      <c r="A392" s="605"/>
      <c r="B392" s="552"/>
      <c r="C392" s="1822" t="s">
        <v>319</v>
      </c>
      <c r="D392" s="1822"/>
      <c r="E392" s="1822"/>
      <c r="F392" s="562"/>
      <c r="G392" s="562"/>
      <c r="H392" s="562"/>
      <c r="I392" s="562"/>
      <c r="J392" s="604"/>
      <c r="K392" s="562"/>
      <c r="L392" s="604">
        <v>24.45</v>
      </c>
      <c r="M392" s="603"/>
      <c r="N392" s="602"/>
      <c r="V392" s="674"/>
      <c r="W392" s="675"/>
      <c r="AA392" s="537" t="s">
        <v>319</v>
      </c>
      <c r="AC392" s="675"/>
      <c r="AD392" s="675"/>
      <c r="AF392" s="675"/>
      <c r="AG392" s="675"/>
      <c r="AH392" s="680"/>
    </row>
    <row r="393" spans="1:34" s="536" customFormat="1" ht="45" x14ac:dyDescent="0.2">
      <c r="A393" s="605"/>
      <c r="B393" s="552" t="s">
        <v>892</v>
      </c>
      <c r="C393" s="1822" t="s">
        <v>893</v>
      </c>
      <c r="D393" s="1822"/>
      <c r="E393" s="1822"/>
      <c r="F393" s="562" t="s">
        <v>322</v>
      </c>
      <c r="G393" s="562" t="s">
        <v>894</v>
      </c>
      <c r="H393" s="562"/>
      <c r="I393" s="562" t="s">
        <v>894</v>
      </c>
      <c r="J393" s="604"/>
      <c r="K393" s="562"/>
      <c r="L393" s="604">
        <v>29.58</v>
      </c>
      <c r="M393" s="603"/>
      <c r="N393" s="602"/>
      <c r="V393" s="674"/>
      <c r="W393" s="675"/>
      <c r="AA393" s="537" t="s">
        <v>893</v>
      </c>
      <c r="AC393" s="675"/>
      <c r="AD393" s="675"/>
      <c r="AF393" s="675"/>
      <c r="AG393" s="675"/>
      <c r="AH393" s="680"/>
    </row>
    <row r="394" spans="1:34" s="536" customFormat="1" ht="45" x14ac:dyDescent="0.2">
      <c r="A394" s="605"/>
      <c r="B394" s="552" t="s">
        <v>895</v>
      </c>
      <c r="C394" s="1822" t="s">
        <v>896</v>
      </c>
      <c r="D394" s="1822"/>
      <c r="E394" s="1822"/>
      <c r="F394" s="562" t="s">
        <v>322</v>
      </c>
      <c r="G394" s="562" t="s">
        <v>897</v>
      </c>
      <c r="H394" s="562"/>
      <c r="I394" s="562" t="s">
        <v>897</v>
      </c>
      <c r="J394" s="604"/>
      <c r="K394" s="562"/>
      <c r="L394" s="604">
        <v>17.600000000000001</v>
      </c>
      <c r="M394" s="603"/>
      <c r="N394" s="602"/>
      <c r="V394" s="674"/>
      <c r="W394" s="675"/>
      <c r="AA394" s="537" t="s">
        <v>896</v>
      </c>
      <c r="AC394" s="675"/>
      <c r="AD394" s="675"/>
      <c r="AF394" s="675"/>
      <c r="AG394" s="675"/>
      <c r="AH394" s="680"/>
    </row>
    <row r="395" spans="1:34" s="536" customFormat="1" ht="12" x14ac:dyDescent="0.2">
      <c r="A395" s="569"/>
      <c r="B395" s="656"/>
      <c r="C395" s="1823" t="s">
        <v>327</v>
      </c>
      <c r="D395" s="1823"/>
      <c r="E395" s="1823"/>
      <c r="F395" s="573"/>
      <c r="G395" s="573"/>
      <c r="H395" s="573"/>
      <c r="I395" s="573"/>
      <c r="J395" s="572"/>
      <c r="K395" s="573"/>
      <c r="L395" s="572">
        <v>84.94</v>
      </c>
      <c r="M395" s="601"/>
      <c r="N395" s="570"/>
      <c r="V395" s="674"/>
      <c r="W395" s="675"/>
      <c r="AC395" s="675" t="s">
        <v>327</v>
      </c>
      <c r="AD395" s="675"/>
      <c r="AF395" s="675"/>
      <c r="AG395" s="675"/>
      <c r="AH395" s="680"/>
    </row>
    <row r="396" spans="1:34" s="536" customFormat="1" ht="22.5" x14ac:dyDescent="0.2">
      <c r="A396" s="575" t="s">
        <v>775</v>
      </c>
      <c r="B396" s="657" t="s">
        <v>2841</v>
      </c>
      <c r="C396" s="1823" t="s">
        <v>2842</v>
      </c>
      <c r="D396" s="1823"/>
      <c r="E396" s="1823"/>
      <c r="F396" s="573" t="s">
        <v>617</v>
      </c>
      <c r="G396" s="573"/>
      <c r="H396" s="573"/>
      <c r="I396" s="573" t="s">
        <v>186</v>
      </c>
      <c r="J396" s="572">
        <v>477.34</v>
      </c>
      <c r="K396" s="573"/>
      <c r="L396" s="572">
        <v>954.68</v>
      </c>
      <c r="M396" s="571"/>
      <c r="N396" s="570"/>
      <c r="V396" s="674"/>
      <c r="W396" s="675" t="s">
        <v>2842</v>
      </c>
      <c r="AC396" s="675"/>
      <c r="AD396" s="675"/>
      <c r="AF396" s="675"/>
      <c r="AG396" s="675"/>
      <c r="AH396" s="680"/>
    </row>
    <row r="397" spans="1:34" s="536" customFormat="1" ht="12" x14ac:dyDescent="0.2">
      <c r="A397" s="569"/>
      <c r="B397" s="656"/>
      <c r="C397" s="661" t="s">
        <v>2820</v>
      </c>
      <c r="D397" s="662"/>
      <c r="E397" s="662"/>
      <c r="F397" s="563"/>
      <c r="G397" s="563"/>
      <c r="H397" s="563"/>
      <c r="I397" s="563"/>
      <c r="J397" s="566"/>
      <c r="K397" s="563"/>
      <c r="L397" s="566"/>
      <c r="M397" s="565"/>
      <c r="N397" s="564"/>
      <c r="V397" s="674"/>
      <c r="W397" s="675"/>
      <c r="AC397" s="675"/>
      <c r="AD397" s="675"/>
      <c r="AF397" s="675"/>
      <c r="AG397" s="675"/>
      <c r="AH397" s="680"/>
    </row>
    <row r="398" spans="1:34" s="536" customFormat="1" ht="12" x14ac:dyDescent="0.2">
      <c r="A398" s="1830" t="s">
        <v>2843</v>
      </c>
      <c r="B398" s="1831"/>
      <c r="C398" s="1831"/>
      <c r="D398" s="1831"/>
      <c r="E398" s="1831"/>
      <c r="F398" s="1831"/>
      <c r="G398" s="1831"/>
      <c r="H398" s="1831"/>
      <c r="I398" s="1831"/>
      <c r="J398" s="1831"/>
      <c r="K398" s="1831"/>
      <c r="L398" s="1831"/>
      <c r="M398" s="1831"/>
      <c r="N398" s="1832"/>
      <c r="V398" s="674"/>
      <c r="W398" s="675"/>
      <c r="AC398" s="675"/>
      <c r="AD398" s="675"/>
      <c r="AF398" s="675"/>
      <c r="AG398" s="675" t="s">
        <v>2843</v>
      </c>
      <c r="AH398" s="680"/>
    </row>
    <row r="399" spans="1:34" s="536" customFormat="1" ht="22.5" x14ac:dyDescent="0.2">
      <c r="A399" s="575" t="s">
        <v>776</v>
      </c>
      <c r="B399" s="657" t="s">
        <v>2844</v>
      </c>
      <c r="C399" s="1823" t="s">
        <v>2845</v>
      </c>
      <c r="D399" s="1823"/>
      <c r="E399" s="1823"/>
      <c r="F399" s="573" t="s">
        <v>617</v>
      </c>
      <c r="G399" s="573"/>
      <c r="H399" s="573"/>
      <c r="I399" s="573" t="s">
        <v>189</v>
      </c>
      <c r="J399" s="572"/>
      <c r="K399" s="573"/>
      <c r="L399" s="572"/>
      <c r="M399" s="571"/>
      <c r="N399" s="570"/>
      <c r="V399" s="674"/>
      <c r="W399" s="675" t="s">
        <v>2845</v>
      </c>
      <c r="AC399" s="675"/>
      <c r="AD399" s="675"/>
      <c r="AF399" s="675"/>
      <c r="AG399" s="675"/>
      <c r="AH399" s="680"/>
    </row>
    <row r="400" spans="1:34" s="536" customFormat="1" ht="12" x14ac:dyDescent="0.2">
      <c r="A400" s="676"/>
      <c r="B400" s="655"/>
      <c r="C400" s="1822" t="s">
        <v>2846</v>
      </c>
      <c r="D400" s="1822"/>
      <c r="E400" s="1822"/>
      <c r="F400" s="1822"/>
      <c r="G400" s="1822"/>
      <c r="H400" s="1822"/>
      <c r="I400" s="1822"/>
      <c r="J400" s="1822"/>
      <c r="K400" s="1822"/>
      <c r="L400" s="1822"/>
      <c r="M400" s="1822"/>
      <c r="N400" s="1827"/>
      <c r="V400" s="674"/>
      <c r="W400" s="675"/>
      <c r="X400" s="537" t="s">
        <v>2846</v>
      </c>
      <c r="AC400" s="675"/>
      <c r="AD400" s="675"/>
      <c r="AF400" s="675"/>
      <c r="AG400" s="675"/>
      <c r="AH400" s="680"/>
    </row>
    <row r="401" spans="1:34" s="536" customFormat="1" ht="12" x14ac:dyDescent="0.2">
      <c r="A401" s="609"/>
      <c r="B401" s="552" t="s">
        <v>2774</v>
      </c>
      <c r="C401" s="1822" t="s">
        <v>2775</v>
      </c>
      <c r="D401" s="1822"/>
      <c r="E401" s="1822"/>
      <c r="F401" s="1822"/>
      <c r="G401" s="1822"/>
      <c r="H401" s="1822"/>
      <c r="I401" s="1822"/>
      <c r="J401" s="1822"/>
      <c r="K401" s="1822"/>
      <c r="L401" s="1822"/>
      <c r="M401" s="1822"/>
      <c r="N401" s="1827"/>
      <c r="V401" s="674"/>
      <c r="W401" s="675"/>
      <c r="Y401" s="537" t="s">
        <v>2775</v>
      </c>
      <c r="AC401" s="675"/>
      <c r="AD401" s="675"/>
      <c r="AF401" s="675"/>
      <c r="AG401" s="675"/>
      <c r="AH401" s="680"/>
    </row>
    <row r="402" spans="1:34" s="536" customFormat="1" ht="22.5" x14ac:dyDescent="0.2">
      <c r="A402" s="609"/>
      <c r="B402" s="552" t="s">
        <v>499</v>
      </c>
      <c r="C402" s="1822" t="s">
        <v>500</v>
      </c>
      <c r="D402" s="1822"/>
      <c r="E402" s="1822"/>
      <c r="F402" s="1822"/>
      <c r="G402" s="1822"/>
      <c r="H402" s="1822"/>
      <c r="I402" s="1822"/>
      <c r="J402" s="1822"/>
      <c r="K402" s="1822"/>
      <c r="L402" s="1822"/>
      <c r="M402" s="1822"/>
      <c r="N402" s="1827"/>
      <c r="V402" s="674"/>
      <c r="W402" s="675"/>
      <c r="Y402" s="537" t="s">
        <v>500</v>
      </c>
      <c r="AC402" s="675"/>
      <c r="AD402" s="675"/>
      <c r="AF402" s="675"/>
      <c r="AG402" s="675"/>
      <c r="AH402" s="680"/>
    </row>
    <row r="403" spans="1:34" s="536" customFormat="1" ht="12" x14ac:dyDescent="0.2">
      <c r="A403" s="605"/>
      <c r="B403" s="552" t="s">
        <v>185</v>
      </c>
      <c r="C403" s="1822" t="s">
        <v>312</v>
      </c>
      <c r="D403" s="1822"/>
      <c r="E403" s="1822"/>
      <c r="F403" s="562"/>
      <c r="G403" s="562"/>
      <c r="H403" s="562"/>
      <c r="I403" s="562"/>
      <c r="J403" s="604">
        <v>9.6</v>
      </c>
      <c r="K403" s="562" t="s">
        <v>2776</v>
      </c>
      <c r="L403" s="604">
        <v>63</v>
      </c>
      <c r="M403" s="603"/>
      <c r="N403" s="602"/>
      <c r="V403" s="674"/>
      <c r="W403" s="675"/>
      <c r="Z403" s="537" t="s">
        <v>312</v>
      </c>
      <c r="AC403" s="675"/>
      <c r="AD403" s="675"/>
      <c r="AF403" s="675"/>
      <c r="AG403" s="675"/>
      <c r="AH403" s="680"/>
    </row>
    <row r="404" spans="1:34" s="536" customFormat="1" ht="12" x14ac:dyDescent="0.2">
      <c r="A404" s="605"/>
      <c r="B404" s="552" t="s">
        <v>186</v>
      </c>
      <c r="C404" s="1822" t="s">
        <v>344</v>
      </c>
      <c r="D404" s="1822"/>
      <c r="E404" s="1822"/>
      <c r="F404" s="562"/>
      <c r="G404" s="562"/>
      <c r="H404" s="562"/>
      <c r="I404" s="562"/>
      <c r="J404" s="604">
        <v>1.47</v>
      </c>
      <c r="K404" s="562" t="s">
        <v>2776</v>
      </c>
      <c r="L404" s="604">
        <v>9.65</v>
      </c>
      <c r="M404" s="603"/>
      <c r="N404" s="602"/>
      <c r="V404" s="674"/>
      <c r="W404" s="675"/>
      <c r="Z404" s="537" t="s">
        <v>344</v>
      </c>
      <c r="AC404" s="675"/>
      <c r="AD404" s="675"/>
      <c r="AF404" s="675"/>
      <c r="AG404" s="675"/>
      <c r="AH404" s="680"/>
    </row>
    <row r="405" spans="1:34" s="536" customFormat="1" ht="12" x14ac:dyDescent="0.2">
      <c r="A405" s="605"/>
      <c r="B405" s="552" t="s">
        <v>187</v>
      </c>
      <c r="C405" s="1822" t="s">
        <v>345</v>
      </c>
      <c r="D405" s="1822"/>
      <c r="E405" s="1822"/>
      <c r="F405" s="562"/>
      <c r="G405" s="562"/>
      <c r="H405" s="562"/>
      <c r="I405" s="562"/>
      <c r="J405" s="604">
        <v>0.12</v>
      </c>
      <c r="K405" s="562" t="s">
        <v>2776</v>
      </c>
      <c r="L405" s="604">
        <v>0.79</v>
      </c>
      <c r="M405" s="603"/>
      <c r="N405" s="602"/>
      <c r="V405" s="674"/>
      <c r="W405" s="675"/>
      <c r="Z405" s="537" t="s">
        <v>345</v>
      </c>
      <c r="AC405" s="675"/>
      <c r="AD405" s="675"/>
      <c r="AF405" s="675"/>
      <c r="AG405" s="675"/>
      <c r="AH405" s="680"/>
    </row>
    <row r="406" spans="1:34" s="536" customFormat="1" ht="12" x14ac:dyDescent="0.2">
      <c r="A406" s="605"/>
      <c r="B406" s="552" t="s">
        <v>188</v>
      </c>
      <c r="C406" s="1822" t="s">
        <v>475</v>
      </c>
      <c r="D406" s="1822"/>
      <c r="E406" s="1822"/>
      <c r="F406" s="562"/>
      <c r="G406" s="562"/>
      <c r="H406" s="562"/>
      <c r="I406" s="562"/>
      <c r="J406" s="604">
        <v>4.0999999999999996</v>
      </c>
      <c r="K406" s="562"/>
      <c r="L406" s="604">
        <v>20.5</v>
      </c>
      <c r="M406" s="603"/>
      <c r="N406" s="602"/>
      <c r="V406" s="674"/>
      <c r="W406" s="675"/>
      <c r="Z406" s="537" t="s">
        <v>475</v>
      </c>
      <c r="AC406" s="675"/>
      <c r="AD406" s="675"/>
      <c r="AF406" s="675"/>
      <c r="AG406" s="675"/>
      <c r="AH406" s="680"/>
    </row>
    <row r="407" spans="1:34" s="536" customFormat="1" ht="12" x14ac:dyDescent="0.2">
      <c r="A407" s="676"/>
      <c r="B407" s="677" t="s">
        <v>2847</v>
      </c>
      <c r="C407" s="1829" t="s">
        <v>2848</v>
      </c>
      <c r="D407" s="1829"/>
      <c r="E407" s="1829"/>
      <c r="F407" s="678" t="s">
        <v>617</v>
      </c>
      <c r="G407" s="678" t="s">
        <v>185</v>
      </c>
      <c r="H407" s="678"/>
      <c r="I407" s="678" t="s">
        <v>189</v>
      </c>
      <c r="J407" s="552"/>
      <c r="K407" s="562"/>
      <c r="L407" s="604"/>
      <c r="M407" s="562"/>
      <c r="N407" s="679"/>
      <c r="V407" s="674"/>
      <c r="W407" s="675"/>
      <c r="AC407" s="675"/>
      <c r="AD407" s="675"/>
      <c r="AF407" s="675"/>
      <c r="AG407" s="675"/>
      <c r="AH407" s="680" t="s">
        <v>2848</v>
      </c>
    </row>
    <row r="408" spans="1:34" s="536" customFormat="1" ht="12" x14ac:dyDescent="0.2">
      <c r="A408" s="605"/>
      <c r="B408" s="552"/>
      <c r="C408" s="1822" t="s">
        <v>314</v>
      </c>
      <c r="D408" s="1822"/>
      <c r="E408" s="1822"/>
      <c r="F408" s="562" t="s">
        <v>315</v>
      </c>
      <c r="G408" s="562" t="s">
        <v>367</v>
      </c>
      <c r="H408" s="562" t="s">
        <v>2776</v>
      </c>
      <c r="I408" s="562" t="s">
        <v>2849</v>
      </c>
      <c r="J408" s="604"/>
      <c r="K408" s="562"/>
      <c r="L408" s="604"/>
      <c r="M408" s="603"/>
      <c r="N408" s="602"/>
      <c r="V408" s="674"/>
      <c r="W408" s="675"/>
      <c r="AA408" s="537" t="s">
        <v>314</v>
      </c>
      <c r="AC408" s="675"/>
      <c r="AD408" s="675"/>
      <c r="AF408" s="675"/>
      <c r="AG408" s="675"/>
      <c r="AH408" s="680"/>
    </row>
    <row r="409" spans="1:34" s="536" customFormat="1" ht="12" x14ac:dyDescent="0.2">
      <c r="A409" s="605"/>
      <c r="B409" s="552"/>
      <c r="C409" s="1822" t="s">
        <v>348</v>
      </c>
      <c r="D409" s="1822"/>
      <c r="E409" s="1822"/>
      <c r="F409" s="562" t="s">
        <v>315</v>
      </c>
      <c r="G409" s="562" t="s">
        <v>809</v>
      </c>
      <c r="H409" s="562" t="s">
        <v>2776</v>
      </c>
      <c r="I409" s="562" t="s">
        <v>2779</v>
      </c>
      <c r="J409" s="604"/>
      <c r="K409" s="562"/>
      <c r="L409" s="604"/>
      <c r="M409" s="603"/>
      <c r="N409" s="602"/>
      <c r="V409" s="674"/>
      <c r="W409" s="675"/>
      <c r="AA409" s="537" t="s">
        <v>348</v>
      </c>
      <c r="AC409" s="675"/>
      <c r="AD409" s="675"/>
      <c r="AF409" s="675"/>
      <c r="AG409" s="675"/>
      <c r="AH409" s="680"/>
    </row>
    <row r="410" spans="1:34" s="536" customFormat="1" ht="12" x14ac:dyDescent="0.2">
      <c r="A410" s="605"/>
      <c r="B410" s="552"/>
      <c r="C410" s="1828" t="s">
        <v>318</v>
      </c>
      <c r="D410" s="1828"/>
      <c r="E410" s="1828"/>
      <c r="F410" s="608"/>
      <c r="G410" s="608"/>
      <c r="H410" s="608"/>
      <c r="I410" s="608"/>
      <c r="J410" s="607">
        <v>15.17</v>
      </c>
      <c r="K410" s="608"/>
      <c r="L410" s="607">
        <v>93.15</v>
      </c>
      <c r="M410" s="601"/>
      <c r="N410" s="606"/>
      <c r="V410" s="674"/>
      <c r="W410" s="675"/>
      <c r="AB410" s="537" t="s">
        <v>318</v>
      </c>
      <c r="AC410" s="675"/>
      <c r="AD410" s="675"/>
      <c r="AF410" s="675"/>
      <c r="AG410" s="675"/>
      <c r="AH410" s="680"/>
    </row>
    <row r="411" spans="1:34" s="536" customFormat="1" ht="12" x14ac:dyDescent="0.2">
      <c r="A411" s="605"/>
      <c r="B411" s="552"/>
      <c r="C411" s="1822" t="s">
        <v>319</v>
      </c>
      <c r="D411" s="1822"/>
      <c r="E411" s="1822"/>
      <c r="F411" s="562"/>
      <c r="G411" s="562"/>
      <c r="H411" s="562"/>
      <c r="I411" s="562"/>
      <c r="J411" s="604"/>
      <c r="K411" s="562"/>
      <c r="L411" s="604">
        <v>63.79</v>
      </c>
      <c r="M411" s="603"/>
      <c r="N411" s="602"/>
      <c r="V411" s="674"/>
      <c r="W411" s="675"/>
      <c r="AA411" s="537" t="s">
        <v>319</v>
      </c>
      <c r="AC411" s="675"/>
      <c r="AD411" s="675"/>
      <c r="AF411" s="675"/>
      <c r="AG411" s="675"/>
      <c r="AH411" s="680"/>
    </row>
    <row r="412" spans="1:34" s="536" customFormat="1" ht="45" x14ac:dyDescent="0.2">
      <c r="A412" s="605"/>
      <c r="B412" s="552" t="s">
        <v>892</v>
      </c>
      <c r="C412" s="1822" t="s">
        <v>893</v>
      </c>
      <c r="D412" s="1822"/>
      <c r="E412" s="1822"/>
      <c r="F412" s="562" t="s">
        <v>322</v>
      </c>
      <c r="G412" s="562" t="s">
        <v>894</v>
      </c>
      <c r="H412" s="562"/>
      <c r="I412" s="562" t="s">
        <v>894</v>
      </c>
      <c r="J412" s="604"/>
      <c r="K412" s="562"/>
      <c r="L412" s="604">
        <v>77.19</v>
      </c>
      <c r="M412" s="603"/>
      <c r="N412" s="602"/>
      <c r="V412" s="674"/>
      <c r="W412" s="675"/>
      <c r="AA412" s="537" t="s">
        <v>893</v>
      </c>
      <c r="AC412" s="675"/>
      <c r="AD412" s="675"/>
      <c r="AF412" s="675"/>
      <c r="AG412" s="675"/>
      <c r="AH412" s="680"/>
    </row>
    <row r="413" spans="1:34" s="536" customFormat="1" ht="45" x14ac:dyDescent="0.2">
      <c r="A413" s="605"/>
      <c r="B413" s="552" t="s">
        <v>895</v>
      </c>
      <c r="C413" s="1822" t="s">
        <v>896</v>
      </c>
      <c r="D413" s="1822"/>
      <c r="E413" s="1822"/>
      <c r="F413" s="562" t="s">
        <v>322</v>
      </c>
      <c r="G413" s="562" t="s">
        <v>897</v>
      </c>
      <c r="H413" s="562"/>
      <c r="I413" s="562" t="s">
        <v>897</v>
      </c>
      <c r="J413" s="604"/>
      <c r="K413" s="562"/>
      <c r="L413" s="604">
        <v>45.93</v>
      </c>
      <c r="M413" s="603"/>
      <c r="N413" s="602"/>
      <c r="V413" s="674"/>
      <c r="W413" s="675"/>
      <c r="AA413" s="537" t="s">
        <v>896</v>
      </c>
      <c r="AC413" s="675"/>
      <c r="AD413" s="675"/>
      <c r="AF413" s="675"/>
      <c r="AG413" s="675"/>
      <c r="AH413" s="680"/>
    </row>
    <row r="414" spans="1:34" s="536" customFormat="1" ht="12" x14ac:dyDescent="0.2">
      <c r="A414" s="569"/>
      <c r="B414" s="656"/>
      <c r="C414" s="1823" t="s">
        <v>327</v>
      </c>
      <c r="D414" s="1823"/>
      <c r="E414" s="1823"/>
      <c r="F414" s="573"/>
      <c r="G414" s="573"/>
      <c r="H414" s="573"/>
      <c r="I414" s="573"/>
      <c r="J414" s="572"/>
      <c r="K414" s="573"/>
      <c r="L414" s="572">
        <v>216.27</v>
      </c>
      <c r="M414" s="601"/>
      <c r="N414" s="570"/>
      <c r="V414" s="674"/>
      <c r="W414" s="675"/>
      <c r="AC414" s="675" t="s">
        <v>327</v>
      </c>
      <c r="AD414" s="675"/>
      <c r="AF414" s="675"/>
      <c r="AG414" s="675"/>
      <c r="AH414" s="680"/>
    </row>
    <row r="415" spans="1:34" s="536" customFormat="1" ht="45" x14ac:dyDescent="0.2">
      <c r="A415" s="575" t="s">
        <v>931</v>
      </c>
      <c r="B415" s="657" t="s">
        <v>2850</v>
      </c>
      <c r="C415" s="1823" t="s">
        <v>2851</v>
      </c>
      <c r="D415" s="1823"/>
      <c r="E415" s="1823"/>
      <c r="F415" s="573" t="s">
        <v>617</v>
      </c>
      <c r="G415" s="573"/>
      <c r="H415" s="573"/>
      <c r="I415" s="573" t="s">
        <v>186</v>
      </c>
      <c r="J415" s="572">
        <v>270.91000000000003</v>
      </c>
      <c r="K415" s="573"/>
      <c r="L415" s="572">
        <v>541.82000000000005</v>
      </c>
      <c r="M415" s="571"/>
      <c r="N415" s="570"/>
      <c r="V415" s="674"/>
      <c r="W415" s="675" t="s">
        <v>2851</v>
      </c>
      <c r="AC415" s="675"/>
      <c r="AD415" s="675"/>
      <c r="AF415" s="675"/>
      <c r="AG415" s="675"/>
      <c r="AH415" s="680"/>
    </row>
    <row r="416" spans="1:34" s="536" customFormat="1" ht="12" x14ac:dyDescent="0.2">
      <c r="A416" s="569"/>
      <c r="B416" s="656"/>
      <c r="C416" s="661" t="s">
        <v>2820</v>
      </c>
      <c r="D416" s="662"/>
      <c r="E416" s="662"/>
      <c r="F416" s="563"/>
      <c r="G416" s="563"/>
      <c r="H416" s="563"/>
      <c r="I416" s="563"/>
      <c r="J416" s="566"/>
      <c r="K416" s="563"/>
      <c r="L416" s="566"/>
      <c r="M416" s="565"/>
      <c r="N416" s="564"/>
      <c r="V416" s="674"/>
      <c r="W416" s="675"/>
      <c r="AC416" s="675"/>
      <c r="AD416" s="675"/>
      <c r="AF416" s="675"/>
      <c r="AG416" s="675"/>
      <c r="AH416" s="680"/>
    </row>
    <row r="417" spans="1:34" s="536" customFormat="1" ht="33.75" x14ac:dyDescent="0.2">
      <c r="A417" s="575" t="s">
        <v>465</v>
      </c>
      <c r="B417" s="657" t="s">
        <v>2852</v>
      </c>
      <c r="C417" s="1823" t="s">
        <v>2853</v>
      </c>
      <c r="D417" s="1823"/>
      <c r="E417" s="1823"/>
      <c r="F417" s="573" t="s">
        <v>617</v>
      </c>
      <c r="G417" s="573"/>
      <c r="H417" s="573"/>
      <c r="I417" s="573" t="s">
        <v>186</v>
      </c>
      <c r="J417" s="572">
        <v>502.93</v>
      </c>
      <c r="K417" s="573"/>
      <c r="L417" s="572">
        <v>1005.86</v>
      </c>
      <c r="M417" s="571"/>
      <c r="N417" s="570"/>
      <c r="V417" s="674"/>
      <c r="W417" s="675" t="s">
        <v>2853</v>
      </c>
      <c r="AC417" s="675"/>
      <c r="AD417" s="675"/>
      <c r="AF417" s="675"/>
      <c r="AG417" s="675"/>
      <c r="AH417" s="680"/>
    </row>
    <row r="418" spans="1:34" s="536" customFormat="1" ht="12" x14ac:dyDescent="0.2">
      <c r="A418" s="569"/>
      <c r="B418" s="656"/>
      <c r="C418" s="661" t="s">
        <v>2820</v>
      </c>
      <c r="D418" s="662"/>
      <c r="E418" s="662"/>
      <c r="F418" s="563"/>
      <c r="G418" s="563"/>
      <c r="H418" s="563"/>
      <c r="I418" s="563"/>
      <c r="J418" s="566"/>
      <c r="K418" s="563"/>
      <c r="L418" s="566"/>
      <c r="M418" s="565"/>
      <c r="N418" s="564"/>
      <c r="V418" s="674"/>
      <c r="W418" s="675"/>
      <c r="AC418" s="675"/>
      <c r="AD418" s="675"/>
      <c r="AF418" s="675"/>
      <c r="AG418" s="675"/>
      <c r="AH418" s="680"/>
    </row>
    <row r="419" spans="1:34" s="536" customFormat="1" ht="33.75" x14ac:dyDescent="0.2">
      <c r="A419" s="575" t="s">
        <v>782</v>
      </c>
      <c r="B419" s="657" t="s">
        <v>2854</v>
      </c>
      <c r="C419" s="1823" t="s">
        <v>2855</v>
      </c>
      <c r="D419" s="1823"/>
      <c r="E419" s="1823"/>
      <c r="F419" s="573" t="s">
        <v>617</v>
      </c>
      <c r="G419" s="573"/>
      <c r="H419" s="573"/>
      <c r="I419" s="573" t="s">
        <v>185</v>
      </c>
      <c r="J419" s="572">
        <v>1335.01</v>
      </c>
      <c r="K419" s="573"/>
      <c r="L419" s="572">
        <v>1335.01</v>
      </c>
      <c r="M419" s="571"/>
      <c r="N419" s="570"/>
      <c r="V419" s="674"/>
      <c r="W419" s="675" t="s">
        <v>2855</v>
      </c>
      <c r="AC419" s="675"/>
      <c r="AD419" s="675"/>
      <c r="AF419" s="675"/>
      <c r="AG419" s="675"/>
      <c r="AH419" s="680"/>
    </row>
    <row r="420" spans="1:34" s="536" customFormat="1" ht="12" x14ac:dyDescent="0.2">
      <c r="A420" s="569"/>
      <c r="B420" s="656"/>
      <c r="C420" s="661" t="s">
        <v>2820</v>
      </c>
      <c r="D420" s="662"/>
      <c r="E420" s="662"/>
      <c r="F420" s="563"/>
      <c r="G420" s="563"/>
      <c r="H420" s="563"/>
      <c r="I420" s="563"/>
      <c r="J420" s="566"/>
      <c r="K420" s="563"/>
      <c r="L420" s="566"/>
      <c r="M420" s="565"/>
      <c r="N420" s="564"/>
      <c r="V420" s="674"/>
      <c r="W420" s="675"/>
      <c r="AC420" s="675"/>
      <c r="AD420" s="675"/>
      <c r="AF420" s="675"/>
      <c r="AG420" s="675"/>
      <c r="AH420" s="680"/>
    </row>
    <row r="421" spans="1:34" s="536" customFormat="1" ht="22.5" x14ac:dyDescent="0.2">
      <c r="A421" s="575" t="s">
        <v>501</v>
      </c>
      <c r="B421" s="657" t="s">
        <v>2844</v>
      </c>
      <c r="C421" s="1823" t="s">
        <v>2845</v>
      </c>
      <c r="D421" s="1823"/>
      <c r="E421" s="1823"/>
      <c r="F421" s="573" t="s">
        <v>617</v>
      </c>
      <c r="G421" s="573"/>
      <c r="H421" s="573"/>
      <c r="I421" s="573" t="s">
        <v>188</v>
      </c>
      <c r="J421" s="572"/>
      <c r="K421" s="573"/>
      <c r="L421" s="572"/>
      <c r="M421" s="571"/>
      <c r="N421" s="570"/>
      <c r="V421" s="674"/>
      <c r="W421" s="675" t="s">
        <v>2845</v>
      </c>
      <c r="AC421" s="675"/>
      <c r="AD421" s="675"/>
      <c r="AF421" s="675"/>
      <c r="AG421" s="675"/>
      <c r="AH421" s="680"/>
    </row>
    <row r="422" spans="1:34" s="536" customFormat="1" ht="12" x14ac:dyDescent="0.2">
      <c r="A422" s="609"/>
      <c r="B422" s="552" t="s">
        <v>2774</v>
      </c>
      <c r="C422" s="1822" t="s">
        <v>2775</v>
      </c>
      <c r="D422" s="1822"/>
      <c r="E422" s="1822"/>
      <c r="F422" s="1822"/>
      <c r="G422" s="1822"/>
      <c r="H422" s="1822"/>
      <c r="I422" s="1822"/>
      <c r="J422" s="1822"/>
      <c r="K422" s="1822"/>
      <c r="L422" s="1822"/>
      <c r="M422" s="1822"/>
      <c r="N422" s="1827"/>
      <c r="V422" s="674"/>
      <c r="W422" s="675"/>
      <c r="Y422" s="537" t="s">
        <v>2775</v>
      </c>
      <c r="AC422" s="675"/>
      <c r="AD422" s="675"/>
      <c r="AF422" s="675"/>
      <c r="AG422" s="675"/>
      <c r="AH422" s="680"/>
    </row>
    <row r="423" spans="1:34" s="536" customFormat="1" ht="22.5" x14ac:dyDescent="0.2">
      <c r="A423" s="609"/>
      <c r="B423" s="552" t="s">
        <v>499</v>
      </c>
      <c r="C423" s="1822" t="s">
        <v>500</v>
      </c>
      <c r="D423" s="1822"/>
      <c r="E423" s="1822"/>
      <c r="F423" s="1822"/>
      <c r="G423" s="1822"/>
      <c r="H423" s="1822"/>
      <c r="I423" s="1822"/>
      <c r="J423" s="1822"/>
      <c r="K423" s="1822"/>
      <c r="L423" s="1822"/>
      <c r="M423" s="1822"/>
      <c r="N423" s="1827"/>
      <c r="V423" s="674"/>
      <c r="W423" s="675"/>
      <c r="Y423" s="537" t="s">
        <v>500</v>
      </c>
      <c r="AC423" s="675"/>
      <c r="AD423" s="675"/>
      <c r="AF423" s="675"/>
      <c r="AG423" s="675"/>
      <c r="AH423" s="680"/>
    </row>
    <row r="424" spans="1:34" s="536" customFormat="1" ht="12" x14ac:dyDescent="0.2">
      <c r="A424" s="605"/>
      <c r="B424" s="552" t="s">
        <v>185</v>
      </c>
      <c r="C424" s="1822" t="s">
        <v>312</v>
      </c>
      <c r="D424" s="1822"/>
      <c r="E424" s="1822"/>
      <c r="F424" s="562"/>
      <c r="G424" s="562"/>
      <c r="H424" s="562"/>
      <c r="I424" s="562"/>
      <c r="J424" s="604">
        <v>9.6</v>
      </c>
      <c r="K424" s="562" t="s">
        <v>2776</v>
      </c>
      <c r="L424" s="604">
        <v>50.4</v>
      </c>
      <c r="M424" s="603"/>
      <c r="N424" s="602"/>
      <c r="V424" s="674"/>
      <c r="W424" s="675"/>
      <c r="Z424" s="537" t="s">
        <v>312</v>
      </c>
      <c r="AC424" s="675"/>
      <c r="AD424" s="675"/>
      <c r="AF424" s="675"/>
      <c r="AG424" s="675"/>
      <c r="AH424" s="680"/>
    </row>
    <row r="425" spans="1:34" s="536" customFormat="1" ht="12" x14ac:dyDescent="0.2">
      <c r="A425" s="605"/>
      <c r="B425" s="552" t="s">
        <v>186</v>
      </c>
      <c r="C425" s="1822" t="s">
        <v>344</v>
      </c>
      <c r="D425" s="1822"/>
      <c r="E425" s="1822"/>
      <c r="F425" s="562"/>
      <c r="G425" s="562"/>
      <c r="H425" s="562"/>
      <c r="I425" s="562"/>
      <c r="J425" s="604">
        <v>1.47</v>
      </c>
      <c r="K425" s="562" t="s">
        <v>2776</v>
      </c>
      <c r="L425" s="604">
        <v>7.72</v>
      </c>
      <c r="M425" s="603"/>
      <c r="N425" s="602"/>
      <c r="V425" s="674"/>
      <c r="W425" s="675"/>
      <c r="Z425" s="537" t="s">
        <v>344</v>
      </c>
      <c r="AC425" s="675"/>
      <c r="AD425" s="675"/>
      <c r="AF425" s="675"/>
      <c r="AG425" s="675"/>
      <c r="AH425" s="680"/>
    </row>
    <row r="426" spans="1:34" s="536" customFormat="1" ht="12" x14ac:dyDescent="0.2">
      <c r="A426" s="605"/>
      <c r="B426" s="552" t="s">
        <v>187</v>
      </c>
      <c r="C426" s="1822" t="s">
        <v>345</v>
      </c>
      <c r="D426" s="1822"/>
      <c r="E426" s="1822"/>
      <c r="F426" s="562"/>
      <c r="G426" s="562"/>
      <c r="H426" s="562"/>
      <c r="I426" s="562"/>
      <c r="J426" s="604">
        <v>0.12</v>
      </c>
      <c r="K426" s="562" t="s">
        <v>2776</v>
      </c>
      <c r="L426" s="604">
        <v>0.63</v>
      </c>
      <c r="M426" s="603"/>
      <c r="N426" s="602"/>
      <c r="V426" s="674"/>
      <c r="W426" s="675"/>
      <c r="Z426" s="537" t="s">
        <v>345</v>
      </c>
      <c r="AC426" s="675"/>
      <c r="AD426" s="675"/>
      <c r="AF426" s="675"/>
      <c r="AG426" s="675"/>
      <c r="AH426" s="680"/>
    </row>
    <row r="427" spans="1:34" s="536" customFormat="1" ht="12" x14ac:dyDescent="0.2">
      <c r="A427" s="605"/>
      <c r="B427" s="552" t="s">
        <v>188</v>
      </c>
      <c r="C427" s="1822" t="s">
        <v>475</v>
      </c>
      <c r="D427" s="1822"/>
      <c r="E427" s="1822"/>
      <c r="F427" s="562"/>
      <c r="G427" s="562"/>
      <c r="H427" s="562"/>
      <c r="I427" s="562"/>
      <c r="J427" s="604">
        <v>4.0999999999999996</v>
      </c>
      <c r="K427" s="562"/>
      <c r="L427" s="604">
        <v>16.399999999999999</v>
      </c>
      <c r="M427" s="603"/>
      <c r="N427" s="602"/>
      <c r="V427" s="674"/>
      <c r="W427" s="675"/>
      <c r="Z427" s="537" t="s">
        <v>475</v>
      </c>
      <c r="AC427" s="675"/>
      <c r="AD427" s="675"/>
      <c r="AF427" s="675"/>
      <c r="AG427" s="675"/>
      <c r="AH427" s="680"/>
    </row>
    <row r="428" spans="1:34" s="536" customFormat="1" ht="12" x14ac:dyDescent="0.2">
      <c r="A428" s="676"/>
      <c r="B428" s="677" t="s">
        <v>2847</v>
      </c>
      <c r="C428" s="1829" t="s">
        <v>2848</v>
      </c>
      <c r="D428" s="1829"/>
      <c r="E428" s="1829"/>
      <c r="F428" s="678" t="s">
        <v>617</v>
      </c>
      <c r="G428" s="678" t="s">
        <v>185</v>
      </c>
      <c r="H428" s="678"/>
      <c r="I428" s="678" t="s">
        <v>188</v>
      </c>
      <c r="J428" s="552"/>
      <c r="K428" s="562"/>
      <c r="L428" s="604"/>
      <c r="M428" s="562"/>
      <c r="N428" s="679"/>
      <c r="V428" s="674"/>
      <c r="W428" s="675"/>
      <c r="AC428" s="675"/>
      <c r="AD428" s="675"/>
      <c r="AF428" s="675"/>
      <c r="AG428" s="675"/>
      <c r="AH428" s="680" t="s">
        <v>2848</v>
      </c>
    </row>
    <row r="429" spans="1:34" s="536" customFormat="1" ht="12" x14ac:dyDescent="0.2">
      <c r="A429" s="605"/>
      <c r="B429" s="552"/>
      <c r="C429" s="1822" t="s">
        <v>314</v>
      </c>
      <c r="D429" s="1822"/>
      <c r="E429" s="1822"/>
      <c r="F429" s="562" t="s">
        <v>315</v>
      </c>
      <c r="G429" s="562" t="s">
        <v>367</v>
      </c>
      <c r="H429" s="562" t="s">
        <v>2776</v>
      </c>
      <c r="I429" s="562" t="s">
        <v>8121</v>
      </c>
      <c r="J429" s="604"/>
      <c r="K429" s="562"/>
      <c r="L429" s="604"/>
      <c r="M429" s="603"/>
      <c r="N429" s="602"/>
      <c r="V429" s="674"/>
      <c r="W429" s="675"/>
      <c r="AA429" s="537" t="s">
        <v>314</v>
      </c>
      <c r="AC429" s="675"/>
      <c r="AD429" s="675"/>
      <c r="AF429" s="675"/>
      <c r="AG429" s="675"/>
      <c r="AH429" s="680"/>
    </row>
    <row r="430" spans="1:34" s="536" customFormat="1" ht="12" x14ac:dyDescent="0.2">
      <c r="A430" s="605"/>
      <c r="B430" s="552"/>
      <c r="C430" s="1822" t="s">
        <v>348</v>
      </c>
      <c r="D430" s="1822"/>
      <c r="E430" s="1822"/>
      <c r="F430" s="562" t="s">
        <v>315</v>
      </c>
      <c r="G430" s="562" t="s">
        <v>809</v>
      </c>
      <c r="H430" s="562" t="s">
        <v>2776</v>
      </c>
      <c r="I430" s="562" t="s">
        <v>848</v>
      </c>
      <c r="J430" s="604"/>
      <c r="K430" s="562"/>
      <c r="L430" s="604"/>
      <c r="M430" s="603"/>
      <c r="N430" s="602"/>
      <c r="V430" s="674"/>
      <c r="W430" s="675"/>
      <c r="AA430" s="537" t="s">
        <v>348</v>
      </c>
      <c r="AC430" s="675"/>
      <c r="AD430" s="675"/>
      <c r="AF430" s="675"/>
      <c r="AG430" s="675"/>
      <c r="AH430" s="680"/>
    </row>
    <row r="431" spans="1:34" s="536" customFormat="1" ht="12" x14ac:dyDescent="0.2">
      <c r="A431" s="605"/>
      <c r="B431" s="552"/>
      <c r="C431" s="1828" t="s">
        <v>318</v>
      </c>
      <c r="D431" s="1828"/>
      <c r="E431" s="1828"/>
      <c r="F431" s="608"/>
      <c r="G431" s="608"/>
      <c r="H431" s="608"/>
      <c r="I431" s="608"/>
      <c r="J431" s="607">
        <v>15.17</v>
      </c>
      <c r="K431" s="608"/>
      <c r="L431" s="607">
        <v>74.52</v>
      </c>
      <c r="M431" s="601"/>
      <c r="N431" s="606"/>
      <c r="V431" s="674"/>
      <c r="W431" s="675"/>
      <c r="AB431" s="537" t="s">
        <v>318</v>
      </c>
      <c r="AC431" s="675"/>
      <c r="AD431" s="675"/>
      <c r="AF431" s="675"/>
      <c r="AG431" s="675"/>
      <c r="AH431" s="680"/>
    </row>
    <row r="432" spans="1:34" s="536" customFormat="1" ht="12" x14ac:dyDescent="0.2">
      <c r="A432" s="605"/>
      <c r="B432" s="552"/>
      <c r="C432" s="1822" t="s">
        <v>319</v>
      </c>
      <c r="D432" s="1822"/>
      <c r="E432" s="1822"/>
      <c r="F432" s="562"/>
      <c r="G432" s="562"/>
      <c r="H432" s="562"/>
      <c r="I432" s="562"/>
      <c r="J432" s="604"/>
      <c r="K432" s="562"/>
      <c r="L432" s="604">
        <v>51.03</v>
      </c>
      <c r="M432" s="603"/>
      <c r="N432" s="602"/>
      <c r="V432" s="674"/>
      <c r="W432" s="675"/>
      <c r="AA432" s="537" t="s">
        <v>319</v>
      </c>
      <c r="AC432" s="675"/>
      <c r="AD432" s="675"/>
      <c r="AF432" s="675"/>
      <c r="AG432" s="675"/>
      <c r="AH432" s="680"/>
    </row>
    <row r="433" spans="1:34" s="536" customFormat="1" ht="45" x14ac:dyDescent="0.2">
      <c r="A433" s="605"/>
      <c r="B433" s="552" t="s">
        <v>892</v>
      </c>
      <c r="C433" s="1822" t="s">
        <v>893</v>
      </c>
      <c r="D433" s="1822"/>
      <c r="E433" s="1822"/>
      <c r="F433" s="562" t="s">
        <v>322</v>
      </c>
      <c r="G433" s="562" t="s">
        <v>894</v>
      </c>
      <c r="H433" s="562"/>
      <c r="I433" s="562" t="s">
        <v>894</v>
      </c>
      <c r="J433" s="604"/>
      <c r="K433" s="562"/>
      <c r="L433" s="604">
        <v>61.75</v>
      </c>
      <c r="M433" s="603"/>
      <c r="N433" s="602"/>
      <c r="V433" s="674"/>
      <c r="W433" s="675"/>
      <c r="AA433" s="537" t="s">
        <v>893</v>
      </c>
      <c r="AC433" s="675"/>
      <c r="AD433" s="675"/>
      <c r="AF433" s="675"/>
      <c r="AG433" s="675"/>
      <c r="AH433" s="680"/>
    </row>
    <row r="434" spans="1:34" s="536" customFormat="1" ht="45" x14ac:dyDescent="0.2">
      <c r="A434" s="605"/>
      <c r="B434" s="552" t="s">
        <v>895</v>
      </c>
      <c r="C434" s="1822" t="s">
        <v>896</v>
      </c>
      <c r="D434" s="1822"/>
      <c r="E434" s="1822"/>
      <c r="F434" s="562" t="s">
        <v>322</v>
      </c>
      <c r="G434" s="562" t="s">
        <v>897</v>
      </c>
      <c r="H434" s="562"/>
      <c r="I434" s="562" t="s">
        <v>897</v>
      </c>
      <c r="J434" s="604"/>
      <c r="K434" s="562"/>
      <c r="L434" s="604">
        <v>36.74</v>
      </c>
      <c r="M434" s="603"/>
      <c r="N434" s="602"/>
      <c r="V434" s="674"/>
      <c r="W434" s="675"/>
      <c r="AA434" s="537" t="s">
        <v>896</v>
      </c>
      <c r="AC434" s="675"/>
      <c r="AD434" s="675"/>
      <c r="AF434" s="675"/>
      <c r="AG434" s="675"/>
      <c r="AH434" s="680"/>
    </row>
    <row r="435" spans="1:34" s="536" customFormat="1" ht="12" x14ac:dyDescent="0.2">
      <c r="A435" s="569"/>
      <c r="B435" s="656"/>
      <c r="C435" s="1823" t="s">
        <v>327</v>
      </c>
      <c r="D435" s="1823"/>
      <c r="E435" s="1823"/>
      <c r="F435" s="573"/>
      <c r="G435" s="573"/>
      <c r="H435" s="573"/>
      <c r="I435" s="573"/>
      <c r="J435" s="572"/>
      <c r="K435" s="573"/>
      <c r="L435" s="572">
        <v>173.01</v>
      </c>
      <c r="M435" s="601"/>
      <c r="N435" s="570"/>
      <c r="V435" s="674"/>
      <c r="W435" s="675"/>
      <c r="AC435" s="675" t="s">
        <v>327</v>
      </c>
      <c r="AD435" s="675"/>
      <c r="AF435" s="675"/>
      <c r="AG435" s="675"/>
      <c r="AH435" s="680"/>
    </row>
    <row r="436" spans="1:34" s="536" customFormat="1" ht="45" x14ac:dyDescent="0.2">
      <c r="A436" s="575" t="s">
        <v>784</v>
      </c>
      <c r="B436" s="657" t="s">
        <v>2856</v>
      </c>
      <c r="C436" s="1823" t="s">
        <v>2857</v>
      </c>
      <c r="D436" s="1823"/>
      <c r="E436" s="1823"/>
      <c r="F436" s="573" t="s">
        <v>617</v>
      </c>
      <c r="G436" s="573"/>
      <c r="H436" s="573"/>
      <c r="I436" s="573" t="s">
        <v>188</v>
      </c>
      <c r="J436" s="572">
        <v>286.52</v>
      </c>
      <c r="K436" s="573"/>
      <c r="L436" s="572">
        <v>1146.08</v>
      </c>
      <c r="M436" s="571"/>
      <c r="N436" s="570"/>
      <c r="V436" s="674"/>
      <c r="W436" s="675" t="s">
        <v>2857</v>
      </c>
      <c r="AC436" s="675"/>
      <c r="AD436" s="675"/>
      <c r="AF436" s="675"/>
      <c r="AG436" s="675"/>
      <c r="AH436" s="680"/>
    </row>
    <row r="437" spans="1:34" s="536" customFormat="1" ht="12" x14ac:dyDescent="0.2">
      <c r="A437" s="569"/>
      <c r="B437" s="656"/>
      <c r="C437" s="661" t="s">
        <v>2820</v>
      </c>
      <c r="D437" s="662"/>
      <c r="E437" s="662"/>
      <c r="F437" s="563"/>
      <c r="G437" s="563"/>
      <c r="H437" s="563"/>
      <c r="I437" s="563"/>
      <c r="J437" s="566"/>
      <c r="K437" s="563"/>
      <c r="L437" s="566"/>
      <c r="M437" s="565"/>
      <c r="N437" s="564"/>
      <c r="V437" s="674"/>
      <c r="W437" s="675"/>
      <c r="AC437" s="675"/>
      <c r="AD437" s="675"/>
      <c r="AF437" s="675"/>
      <c r="AG437" s="675"/>
      <c r="AH437" s="680"/>
    </row>
    <row r="438" spans="1:34" s="536" customFormat="1" ht="12" x14ac:dyDescent="0.2">
      <c r="A438" s="1830" t="s">
        <v>2858</v>
      </c>
      <c r="B438" s="1831"/>
      <c r="C438" s="1831"/>
      <c r="D438" s="1831"/>
      <c r="E438" s="1831"/>
      <c r="F438" s="1831"/>
      <c r="G438" s="1831"/>
      <c r="H438" s="1831"/>
      <c r="I438" s="1831"/>
      <c r="J438" s="1831"/>
      <c r="K438" s="1831"/>
      <c r="L438" s="1831"/>
      <c r="M438" s="1831"/>
      <c r="N438" s="1832"/>
      <c r="V438" s="674"/>
      <c r="W438" s="675"/>
      <c r="AC438" s="675"/>
      <c r="AD438" s="675"/>
      <c r="AF438" s="675"/>
      <c r="AG438" s="675" t="s">
        <v>2858</v>
      </c>
      <c r="AH438" s="680"/>
    </row>
    <row r="439" spans="1:34" s="536" customFormat="1" ht="33.75" x14ac:dyDescent="0.2">
      <c r="A439" s="575" t="s">
        <v>1679</v>
      </c>
      <c r="B439" s="657" t="s">
        <v>2859</v>
      </c>
      <c r="C439" s="1823" t="s">
        <v>2860</v>
      </c>
      <c r="D439" s="1823"/>
      <c r="E439" s="1823"/>
      <c r="F439" s="573" t="s">
        <v>617</v>
      </c>
      <c r="G439" s="573"/>
      <c r="H439" s="573"/>
      <c r="I439" s="573" t="s">
        <v>187</v>
      </c>
      <c r="J439" s="572"/>
      <c r="K439" s="573"/>
      <c r="L439" s="572"/>
      <c r="M439" s="571"/>
      <c r="N439" s="570"/>
      <c r="V439" s="674"/>
      <c r="W439" s="675" t="s">
        <v>2860</v>
      </c>
      <c r="AC439" s="675"/>
      <c r="AD439" s="675"/>
      <c r="AF439" s="675"/>
      <c r="AG439" s="675"/>
      <c r="AH439" s="680"/>
    </row>
    <row r="440" spans="1:34" s="536" customFormat="1" ht="12" x14ac:dyDescent="0.2">
      <c r="A440" s="609"/>
      <c r="B440" s="552" t="s">
        <v>2774</v>
      </c>
      <c r="C440" s="1822" t="s">
        <v>2775</v>
      </c>
      <c r="D440" s="1822"/>
      <c r="E440" s="1822"/>
      <c r="F440" s="1822"/>
      <c r="G440" s="1822"/>
      <c r="H440" s="1822"/>
      <c r="I440" s="1822"/>
      <c r="J440" s="1822"/>
      <c r="K440" s="1822"/>
      <c r="L440" s="1822"/>
      <c r="M440" s="1822"/>
      <c r="N440" s="1827"/>
      <c r="V440" s="674"/>
      <c r="W440" s="675"/>
      <c r="Y440" s="537" t="s">
        <v>2775</v>
      </c>
      <c r="AC440" s="675"/>
      <c r="AD440" s="675"/>
      <c r="AF440" s="675"/>
      <c r="AG440" s="675"/>
      <c r="AH440" s="680"/>
    </row>
    <row r="441" spans="1:34" s="536" customFormat="1" ht="22.5" x14ac:dyDescent="0.2">
      <c r="A441" s="609"/>
      <c r="B441" s="552" t="s">
        <v>499</v>
      </c>
      <c r="C441" s="1822" t="s">
        <v>500</v>
      </c>
      <c r="D441" s="1822"/>
      <c r="E441" s="1822"/>
      <c r="F441" s="1822"/>
      <c r="G441" s="1822"/>
      <c r="H441" s="1822"/>
      <c r="I441" s="1822"/>
      <c r="J441" s="1822"/>
      <c r="K441" s="1822"/>
      <c r="L441" s="1822"/>
      <c r="M441" s="1822"/>
      <c r="N441" s="1827"/>
      <c r="V441" s="674"/>
      <c r="W441" s="675"/>
      <c r="Y441" s="537" t="s">
        <v>500</v>
      </c>
      <c r="AC441" s="675"/>
      <c r="AD441" s="675"/>
      <c r="AF441" s="675"/>
      <c r="AG441" s="675"/>
      <c r="AH441" s="680"/>
    </row>
    <row r="442" spans="1:34" s="536" customFormat="1" ht="12" x14ac:dyDescent="0.2">
      <c r="A442" s="605"/>
      <c r="B442" s="552" t="s">
        <v>185</v>
      </c>
      <c r="C442" s="1822" t="s">
        <v>312</v>
      </c>
      <c r="D442" s="1822"/>
      <c r="E442" s="1822"/>
      <c r="F442" s="562"/>
      <c r="G442" s="562"/>
      <c r="H442" s="562"/>
      <c r="I442" s="562"/>
      <c r="J442" s="604">
        <v>9.51</v>
      </c>
      <c r="K442" s="562" t="s">
        <v>2776</v>
      </c>
      <c r="L442" s="604">
        <v>37.450000000000003</v>
      </c>
      <c r="M442" s="603"/>
      <c r="N442" s="602"/>
      <c r="V442" s="674"/>
      <c r="W442" s="675"/>
      <c r="Z442" s="537" t="s">
        <v>312</v>
      </c>
      <c r="AC442" s="675"/>
      <c r="AD442" s="675"/>
      <c r="AF442" s="675"/>
      <c r="AG442" s="675"/>
      <c r="AH442" s="680"/>
    </row>
    <row r="443" spans="1:34" s="536" customFormat="1" ht="12" x14ac:dyDescent="0.2">
      <c r="A443" s="605"/>
      <c r="B443" s="552" t="s">
        <v>186</v>
      </c>
      <c r="C443" s="1822" t="s">
        <v>344</v>
      </c>
      <c r="D443" s="1822"/>
      <c r="E443" s="1822"/>
      <c r="F443" s="562"/>
      <c r="G443" s="562"/>
      <c r="H443" s="562"/>
      <c r="I443" s="562"/>
      <c r="J443" s="604">
        <v>1.5</v>
      </c>
      <c r="K443" s="562" t="s">
        <v>2776</v>
      </c>
      <c r="L443" s="604">
        <v>5.91</v>
      </c>
      <c r="M443" s="603"/>
      <c r="N443" s="602"/>
      <c r="V443" s="674"/>
      <c r="W443" s="675"/>
      <c r="Z443" s="537" t="s">
        <v>344</v>
      </c>
      <c r="AC443" s="675"/>
      <c r="AD443" s="675"/>
      <c r="AF443" s="675"/>
      <c r="AG443" s="675"/>
      <c r="AH443" s="680"/>
    </row>
    <row r="444" spans="1:34" s="536" customFormat="1" ht="12" x14ac:dyDescent="0.2">
      <c r="A444" s="605"/>
      <c r="B444" s="552" t="s">
        <v>187</v>
      </c>
      <c r="C444" s="1822" t="s">
        <v>345</v>
      </c>
      <c r="D444" s="1822"/>
      <c r="E444" s="1822"/>
      <c r="F444" s="562"/>
      <c r="G444" s="562"/>
      <c r="H444" s="562"/>
      <c r="I444" s="562"/>
      <c r="J444" s="604">
        <v>0.12</v>
      </c>
      <c r="K444" s="562" t="s">
        <v>2776</v>
      </c>
      <c r="L444" s="604">
        <v>0.47</v>
      </c>
      <c r="M444" s="603"/>
      <c r="N444" s="602"/>
      <c r="V444" s="674"/>
      <c r="W444" s="675"/>
      <c r="Z444" s="537" t="s">
        <v>345</v>
      </c>
      <c r="AC444" s="675"/>
      <c r="AD444" s="675"/>
      <c r="AF444" s="675"/>
      <c r="AG444" s="675"/>
      <c r="AH444" s="680"/>
    </row>
    <row r="445" spans="1:34" s="536" customFormat="1" ht="12" x14ac:dyDescent="0.2">
      <c r="A445" s="605"/>
      <c r="B445" s="552" t="s">
        <v>188</v>
      </c>
      <c r="C445" s="1822" t="s">
        <v>475</v>
      </c>
      <c r="D445" s="1822"/>
      <c r="E445" s="1822"/>
      <c r="F445" s="562"/>
      <c r="G445" s="562"/>
      <c r="H445" s="562"/>
      <c r="I445" s="562"/>
      <c r="J445" s="604">
        <v>14.74</v>
      </c>
      <c r="K445" s="562"/>
      <c r="L445" s="604">
        <v>44.22</v>
      </c>
      <c r="M445" s="603"/>
      <c r="N445" s="602"/>
      <c r="V445" s="674"/>
      <c r="W445" s="675"/>
      <c r="Z445" s="537" t="s">
        <v>475</v>
      </c>
      <c r="AC445" s="675"/>
      <c r="AD445" s="675"/>
      <c r="AF445" s="675"/>
      <c r="AG445" s="675"/>
      <c r="AH445" s="680"/>
    </row>
    <row r="446" spans="1:34" s="536" customFormat="1" ht="12" x14ac:dyDescent="0.2">
      <c r="A446" s="676"/>
      <c r="B446" s="677" t="s">
        <v>2861</v>
      </c>
      <c r="C446" s="1829" t="s">
        <v>2862</v>
      </c>
      <c r="D446" s="1829"/>
      <c r="E446" s="1829"/>
      <c r="F446" s="678" t="s">
        <v>617</v>
      </c>
      <c r="G446" s="678" t="s">
        <v>185</v>
      </c>
      <c r="H446" s="678"/>
      <c r="I446" s="678" t="s">
        <v>187</v>
      </c>
      <c r="J446" s="552"/>
      <c r="K446" s="562"/>
      <c r="L446" s="604"/>
      <c r="M446" s="562"/>
      <c r="N446" s="679"/>
      <c r="V446" s="674"/>
      <c r="W446" s="675"/>
      <c r="AC446" s="675"/>
      <c r="AD446" s="675"/>
      <c r="AF446" s="675"/>
      <c r="AG446" s="675"/>
      <c r="AH446" s="680" t="s">
        <v>2862</v>
      </c>
    </row>
    <row r="447" spans="1:34" s="536" customFormat="1" ht="12" x14ac:dyDescent="0.2">
      <c r="A447" s="605"/>
      <c r="B447" s="552"/>
      <c r="C447" s="1822" t="s">
        <v>314</v>
      </c>
      <c r="D447" s="1822"/>
      <c r="E447" s="1822"/>
      <c r="F447" s="562" t="s">
        <v>315</v>
      </c>
      <c r="G447" s="562" t="s">
        <v>2863</v>
      </c>
      <c r="H447" s="562" t="s">
        <v>2776</v>
      </c>
      <c r="I447" s="562" t="s">
        <v>2864</v>
      </c>
      <c r="J447" s="604"/>
      <c r="K447" s="562"/>
      <c r="L447" s="604"/>
      <c r="M447" s="603"/>
      <c r="N447" s="602"/>
      <c r="V447" s="674"/>
      <c r="W447" s="675"/>
      <c r="AA447" s="537" t="s">
        <v>314</v>
      </c>
      <c r="AC447" s="675"/>
      <c r="AD447" s="675"/>
      <c r="AF447" s="675"/>
      <c r="AG447" s="675"/>
      <c r="AH447" s="680"/>
    </row>
    <row r="448" spans="1:34" s="536" customFormat="1" ht="12" x14ac:dyDescent="0.2">
      <c r="A448" s="605"/>
      <c r="B448" s="552"/>
      <c r="C448" s="1822" t="s">
        <v>348</v>
      </c>
      <c r="D448" s="1822"/>
      <c r="E448" s="1822"/>
      <c r="F448" s="562" t="s">
        <v>315</v>
      </c>
      <c r="G448" s="562" t="s">
        <v>809</v>
      </c>
      <c r="H448" s="562" t="s">
        <v>2776</v>
      </c>
      <c r="I448" s="562" t="s">
        <v>2865</v>
      </c>
      <c r="J448" s="604"/>
      <c r="K448" s="562"/>
      <c r="L448" s="604"/>
      <c r="M448" s="603"/>
      <c r="N448" s="602"/>
      <c r="V448" s="674"/>
      <c r="W448" s="675"/>
      <c r="AA448" s="537" t="s">
        <v>348</v>
      </c>
      <c r="AC448" s="675"/>
      <c r="AD448" s="675"/>
      <c r="AF448" s="675"/>
      <c r="AG448" s="675"/>
      <c r="AH448" s="680"/>
    </row>
    <row r="449" spans="1:34" s="536" customFormat="1" ht="12" x14ac:dyDescent="0.2">
      <c r="A449" s="605"/>
      <c r="B449" s="552"/>
      <c r="C449" s="1828" t="s">
        <v>318</v>
      </c>
      <c r="D449" s="1828"/>
      <c r="E449" s="1828"/>
      <c r="F449" s="608"/>
      <c r="G449" s="608"/>
      <c r="H449" s="608"/>
      <c r="I449" s="608"/>
      <c r="J449" s="607">
        <v>25.75</v>
      </c>
      <c r="K449" s="608"/>
      <c r="L449" s="607">
        <v>87.58</v>
      </c>
      <c r="M449" s="601"/>
      <c r="N449" s="606"/>
      <c r="V449" s="674"/>
      <c r="W449" s="675"/>
      <c r="AB449" s="537" t="s">
        <v>318</v>
      </c>
      <c r="AC449" s="675"/>
      <c r="AD449" s="675"/>
      <c r="AF449" s="675"/>
      <c r="AG449" s="675"/>
      <c r="AH449" s="680"/>
    </row>
    <row r="450" spans="1:34" s="536" customFormat="1" ht="12" x14ac:dyDescent="0.2">
      <c r="A450" s="605"/>
      <c r="B450" s="552"/>
      <c r="C450" s="1822" t="s">
        <v>319</v>
      </c>
      <c r="D450" s="1822"/>
      <c r="E450" s="1822"/>
      <c r="F450" s="562"/>
      <c r="G450" s="562"/>
      <c r="H450" s="562"/>
      <c r="I450" s="562"/>
      <c r="J450" s="604"/>
      <c r="K450" s="562"/>
      <c r="L450" s="604">
        <v>37.92</v>
      </c>
      <c r="M450" s="603"/>
      <c r="N450" s="602"/>
      <c r="V450" s="674"/>
      <c r="W450" s="675"/>
      <c r="AA450" s="537" t="s">
        <v>319</v>
      </c>
      <c r="AC450" s="675"/>
      <c r="AD450" s="675"/>
      <c r="AF450" s="675"/>
      <c r="AG450" s="675"/>
      <c r="AH450" s="680"/>
    </row>
    <row r="451" spans="1:34" s="536" customFormat="1" ht="45" x14ac:dyDescent="0.2">
      <c r="A451" s="605"/>
      <c r="B451" s="552" t="s">
        <v>892</v>
      </c>
      <c r="C451" s="1822" t="s">
        <v>893</v>
      </c>
      <c r="D451" s="1822"/>
      <c r="E451" s="1822"/>
      <c r="F451" s="562" t="s">
        <v>322</v>
      </c>
      <c r="G451" s="562" t="s">
        <v>894</v>
      </c>
      <c r="H451" s="562"/>
      <c r="I451" s="562" t="s">
        <v>894</v>
      </c>
      <c r="J451" s="604"/>
      <c r="K451" s="562"/>
      <c r="L451" s="604">
        <v>45.88</v>
      </c>
      <c r="M451" s="603"/>
      <c r="N451" s="602"/>
      <c r="V451" s="674"/>
      <c r="W451" s="675"/>
      <c r="AA451" s="537" t="s">
        <v>893</v>
      </c>
      <c r="AC451" s="675"/>
      <c r="AD451" s="675"/>
      <c r="AF451" s="675"/>
      <c r="AG451" s="675"/>
      <c r="AH451" s="680"/>
    </row>
    <row r="452" spans="1:34" s="536" customFormat="1" ht="45" x14ac:dyDescent="0.2">
      <c r="A452" s="605"/>
      <c r="B452" s="552" t="s">
        <v>895</v>
      </c>
      <c r="C452" s="1822" t="s">
        <v>896</v>
      </c>
      <c r="D452" s="1822"/>
      <c r="E452" s="1822"/>
      <c r="F452" s="562" t="s">
        <v>322</v>
      </c>
      <c r="G452" s="562" t="s">
        <v>897</v>
      </c>
      <c r="H452" s="562"/>
      <c r="I452" s="562" t="s">
        <v>897</v>
      </c>
      <c r="J452" s="604"/>
      <c r="K452" s="562"/>
      <c r="L452" s="604">
        <v>27.3</v>
      </c>
      <c r="M452" s="603"/>
      <c r="N452" s="602"/>
      <c r="V452" s="674"/>
      <c r="W452" s="675"/>
      <c r="AA452" s="537" t="s">
        <v>896</v>
      </c>
      <c r="AC452" s="675"/>
      <c r="AD452" s="675"/>
      <c r="AF452" s="675"/>
      <c r="AG452" s="675"/>
      <c r="AH452" s="680"/>
    </row>
    <row r="453" spans="1:34" s="536" customFormat="1" ht="12" x14ac:dyDescent="0.2">
      <c r="A453" s="569"/>
      <c r="B453" s="656"/>
      <c r="C453" s="1823" t="s">
        <v>327</v>
      </c>
      <c r="D453" s="1823"/>
      <c r="E453" s="1823"/>
      <c r="F453" s="573"/>
      <c r="G453" s="573"/>
      <c r="H453" s="573"/>
      <c r="I453" s="573"/>
      <c r="J453" s="572"/>
      <c r="K453" s="573"/>
      <c r="L453" s="572">
        <v>160.76</v>
      </c>
      <c r="M453" s="601"/>
      <c r="N453" s="570"/>
      <c r="V453" s="674"/>
      <c r="W453" s="675"/>
      <c r="AC453" s="675" t="s">
        <v>327</v>
      </c>
      <c r="AD453" s="675"/>
      <c r="AF453" s="675"/>
      <c r="AG453" s="675"/>
      <c r="AH453" s="680"/>
    </row>
    <row r="454" spans="1:34" s="536" customFormat="1" ht="12" x14ac:dyDescent="0.2">
      <c r="A454" s="575" t="s">
        <v>786</v>
      </c>
      <c r="B454" s="657" t="s">
        <v>2866</v>
      </c>
      <c r="C454" s="1823" t="s">
        <v>2867</v>
      </c>
      <c r="D454" s="1823"/>
      <c r="E454" s="1823"/>
      <c r="F454" s="573" t="s">
        <v>617</v>
      </c>
      <c r="G454" s="573"/>
      <c r="H454" s="573"/>
      <c r="I454" s="573" t="s">
        <v>187</v>
      </c>
      <c r="J454" s="572">
        <v>726.69</v>
      </c>
      <c r="K454" s="573"/>
      <c r="L454" s="572">
        <v>2180.0700000000002</v>
      </c>
      <c r="M454" s="571"/>
      <c r="N454" s="570"/>
      <c r="V454" s="674"/>
      <c r="W454" s="675" t="s">
        <v>2867</v>
      </c>
      <c r="AC454" s="675"/>
      <c r="AD454" s="675"/>
      <c r="AF454" s="675"/>
      <c r="AG454" s="675"/>
      <c r="AH454" s="680"/>
    </row>
    <row r="455" spans="1:34" s="536" customFormat="1" ht="12" x14ac:dyDescent="0.2">
      <c r="A455" s="569"/>
      <c r="B455" s="656"/>
      <c r="C455" s="661" t="s">
        <v>2820</v>
      </c>
      <c r="D455" s="662"/>
      <c r="E455" s="662"/>
      <c r="F455" s="563"/>
      <c r="G455" s="563"/>
      <c r="H455" s="563"/>
      <c r="I455" s="563"/>
      <c r="J455" s="566"/>
      <c r="K455" s="563"/>
      <c r="L455" s="566"/>
      <c r="M455" s="565"/>
      <c r="N455" s="564"/>
      <c r="V455" s="674"/>
      <c r="W455" s="675"/>
      <c r="AC455" s="675"/>
      <c r="AD455" s="675"/>
      <c r="AF455" s="675"/>
      <c r="AG455" s="675"/>
      <c r="AH455" s="680"/>
    </row>
    <row r="456" spans="1:34" s="536" customFormat="1" ht="45" x14ac:dyDescent="0.2">
      <c r="A456" s="575" t="s">
        <v>787</v>
      </c>
      <c r="B456" s="657" t="s">
        <v>2868</v>
      </c>
      <c r="C456" s="1823" t="s">
        <v>2869</v>
      </c>
      <c r="D456" s="1823"/>
      <c r="E456" s="1823"/>
      <c r="F456" s="573" t="s">
        <v>617</v>
      </c>
      <c r="G456" s="573"/>
      <c r="H456" s="573"/>
      <c r="I456" s="573" t="s">
        <v>185</v>
      </c>
      <c r="J456" s="572"/>
      <c r="K456" s="573"/>
      <c r="L456" s="572"/>
      <c r="M456" s="571"/>
      <c r="N456" s="570"/>
      <c r="V456" s="674"/>
      <c r="W456" s="675" t="s">
        <v>2869</v>
      </c>
      <c r="AC456" s="675"/>
      <c r="AD456" s="675"/>
      <c r="AF456" s="675"/>
      <c r="AG456" s="675"/>
      <c r="AH456" s="680"/>
    </row>
    <row r="457" spans="1:34" s="536" customFormat="1" ht="12" x14ac:dyDescent="0.2">
      <c r="A457" s="609"/>
      <c r="B457" s="552" t="s">
        <v>2774</v>
      </c>
      <c r="C457" s="1822" t="s">
        <v>2775</v>
      </c>
      <c r="D457" s="1822"/>
      <c r="E457" s="1822"/>
      <c r="F457" s="1822"/>
      <c r="G457" s="1822"/>
      <c r="H457" s="1822"/>
      <c r="I457" s="1822"/>
      <c r="J457" s="1822"/>
      <c r="K457" s="1822"/>
      <c r="L457" s="1822"/>
      <c r="M457" s="1822"/>
      <c r="N457" s="1827"/>
      <c r="V457" s="674"/>
      <c r="W457" s="675"/>
      <c r="Y457" s="537" t="s">
        <v>2775</v>
      </c>
      <c r="AC457" s="675"/>
      <c r="AD457" s="675"/>
      <c r="AF457" s="675"/>
      <c r="AG457" s="675"/>
      <c r="AH457" s="680"/>
    </row>
    <row r="458" spans="1:34" s="536" customFormat="1" ht="22.5" x14ac:dyDescent="0.2">
      <c r="A458" s="609"/>
      <c r="B458" s="552" t="s">
        <v>499</v>
      </c>
      <c r="C458" s="1822" t="s">
        <v>500</v>
      </c>
      <c r="D458" s="1822"/>
      <c r="E458" s="1822"/>
      <c r="F458" s="1822"/>
      <c r="G458" s="1822"/>
      <c r="H458" s="1822"/>
      <c r="I458" s="1822"/>
      <c r="J458" s="1822"/>
      <c r="K458" s="1822"/>
      <c r="L458" s="1822"/>
      <c r="M458" s="1822"/>
      <c r="N458" s="1827"/>
      <c r="V458" s="674"/>
      <c r="W458" s="675"/>
      <c r="Y458" s="537" t="s">
        <v>500</v>
      </c>
      <c r="AC458" s="675"/>
      <c r="AD458" s="675"/>
      <c r="AF458" s="675"/>
      <c r="AG458" s="675"/>
      <c r="AH458" s="680"/>
    </row>
    <row r="459" spans="1:34" s="536" customFormat="1" ht="12" x14ac:dyDescent="0.2">
      <c r="A459" s="605"/>
      <c r="B459" s="552" t="s">
        <v>185</v>
      </c>
      <c r="C459" s="1822" t="s">
        <v>312</v>
      </c>
      <c r="D459" s="1822"/>
      <c r="E459" s="1822"/>
      <c r="F459" s="562"/>
      <c r="G459" s="562"/>
      <c r="H459" s="562"/>
      <c r="I459" s="562"/>
      <c r="J459" s="604">
        <v>12.74</v>
      </c>
      <c r="K459" s="562" t="s">
        <v>2776</v>
      </c>
      <c r="L459" s="604">
        <v>16.72</v>
      </c>
      <c r="M459" s="603"/>
      <c r="N459" s="602"/>
      <c r="V459" s="674"/>
      <c r="W459" s="675"/>
      <c r="Z459" s="537" t="s">
        <v>312</v>
      </c>
      <c r="AC459" s="675"/>
      <c r="AD459" s="675"/>
      <c r="AF459" s="675"/>
      <c r="AG459" s="675"/>
      <c r="AH459" s="680"/>
    </row>
    <row r="460" spans="1:34" s="536" customFormat="1" ht="12" x14ac:dyDescent="0.2">
      <c r="A460" s="605"/>
      <c r="B460" s="552" t="s">
        <v>186</v>
      </c>
      <c r="C460" s="1822" t="s">
        <v>344</v>
      </c>
      <c r="D460" s="1822"/>
      <c r="E460" s="1822"/>
      <c r="F460" s="562"/>
      <c r="G460" s="562"/>
      <c r="H460" s="562"/>
      <c r="I460" s="562"/>
      <c r="J460" s="604">
        <v>1.75</v>
      </c>
      <c r="K460" s="562" t="s">
        <v>2776</v>
      </c>
      <c r="L460" s="604">
        <v>2.2999999999999998</v>
      </c>
      <c r="M460" s="603"/>
      <c r="N460" s="602"/>
      <c r="V460" s="674"/>
      <c r="W460" s="675"/>
      <c r="Z460" s="537" t="s">
        <v>344</v>
      </c>
      <c r="AC460" s="675"/>
      <c r="AD460" s="675"/>
      <c r="AF460" s="675"/>
      <c r="AG460" s="675"/>
      <c r="AH460" s="680"/>
    </row>
    <row r="461" spans="1:34" s="536" customFormat="1" ht="12" x14ac:dyDescent="0.2">
      <c r="A461" s="605"/>
      <c r="B461" s="552" t="s">
        <v>187</v>
      </c>
      <c r="C461" s="1822" t="s">
        <v>345</v>
      </c>
      <c r="D461" s="1822"/>
      <c r="E461" s="1822"/>
      <c r="F461" s="562"/>
      <c r="G461" s="562"/>
      <c r="H461" s="562"/>
      <c r="I461" s="562"/>
      <c r="J461" s="604">
        <v>0.12</v>
      </c>
      <c r="K461" s="562" t="s">
        <v>2776</v>
      </c>
      <c r="L461" s="604">
        <v>0.16</v>
      </c>
      <c r="M461" s="603"/>
      <c r="N461" s="602"/>
      <c r="V461" s="674"/>
      <c r="W461" s="675"/>
      <c r="Z461" s="537" t="s">
        <v>345</v>
      </c>
      <c r="AC461" s="675"/>
      <c r="AD461" s="675"/>
      <c r="AF461" s="675"/>
      <c r="AG461" s="675"/>
      <c r="AH461" s="680"/>
    </row>
    <row r="462" spans="1:34" s="536" customFormat="1" ht="12" x14ac:dyDescent="0.2">
      <c r="A462" s="605"/>
      <c r="B462" s="552" t="s">
        <v>188</v>
      </c>
      <c r="C462" s="1822" t="s">
        <v>475</v>
      </c>
      <c r="D462" s="1822"/>
      <c r="E462" s="1822"/>
      <c r="F462" s="562"/>
      <c r="G462" s="562"/>
      <c r="H462" s="562"/>
      <c r="I462" s="562"/>
      <c r="J462" s="604">
        <v>14.74</v>
      </c>
      <c r="K462" s="562"/>
      <c r="L462" s="604">
        <v>14.74</v>
      </c>
      <c r="M462" s="603"/>
      <c r="N462" s="602"/>
      <c r="V462" s="674"/>
      <c r="W462" s="675"/>
      <c r="Z462" s="537" t="s">
        <v>475</v>
      </c>
      <c r="AC462" s="675"/>
      <c r="AD462" s="675"/>
      <c r="AF462" s="675"/>
      <c r="AG462" s="675"/>
      <c r="AH462" s="680"/>
    </row>
    <row r="463" spans="1:34" s="536" customFormat="1" ht="12" x14ac:dyDescent="0.2">
      <c r="A463" s="676"/>
      <c r="B463" s="677" t="s">
        <v>2861</v>
      </c>
      <c r="C463" s="1829" t="s">
        <v>2862</v>
      </c>
      <c r="D463" s="1829"/>
      <c r="E463" s="1829"/>
      <c r="F463" s="678" t="s">
        <v>617</v>
      </c>
      <c r="G463" s="678" t="s">
        <v>185</v>
      </c>
      <c r="H463" s="678"/>
      <c r="I463" s="678" t="s">
        <v>185</v>
      </c>
      <c r="J463" s="552"/>
      <c r="K463" s="562"/>
      <c r="L463" s="604"/>
      <c r="M463" s="562"/>
      <c r="N463" s="679"/>
      <c r="V463" s="674"/>
      <c r="W463" s="675"/>
      <c r="AC463" s="675"/>
      <c r="AD463" s="675"/>
      <c r="AF463" s="675"/>
      <c r="AG463" s="675"/>
      <c r="AH463" s="680" t="s">
        <v>2862</v>
      </c>
    </row>
    <row r="464" spans="1:34" s="536" customFormat="1" ht="12" x14ac:dyDescent="0.2">
      <c r="A464" s="605"/>
      <c r="B464" s="552"/>
      <c r="C464" s="1822" t="s">
        <v>314</v>
      </c>
      <c r="D464" s="1822"/>
      <c r="E464" s="1822"/>
      <c r="F464" s="562" t="s">
        <v>315</v>
      </c>
      <c r="G464" s="562" t="s">
        <v>2870</v>
      </c>
      <c r="H464" s="562" t="s">
        <v>2776</v>
      </c>
      <c r="I464" s="562" t="s">
        <v>8122</v>
      </c>
      <c r="J464" s="604"/>
      <c r="K464" s="562"/>
      <c r="L464" s="604"/>
      <c r="M464" s="603"/>
      <c r="N464" s="602"/>
      <c r="V464" s="674"/>
      <c r="W464" s="675"/>
      <c r="AA464" s="537" t="s">
        <v>314</v>
      </c>
      <c r="AC464" s="675"/>
      <c r="AD464" s="675"/>
      <c r="AF464" s="675"/>
      <c r="AG464" s="675"/>
      <c r="AH464" s="680"/>
    </row>
    <row r="465" spans="1:34" s="536" customFormat="1" ht="12" x14ac:dyDescent="0.2">
      <c r="A465" s="605"/>
      <c r="B465" s="552"/>
      <c r="C465" s="1822" t="s">
        <v>348</v>
      </c>
      <c r="D465" s="1822"/>
      <c r="E465" s="1822"/>
      <c r="F465" s="562" t="s">
        <v>315</v>
      </c>
      <c r="G465" s="562" t="s">
        <v>809</v>
      </c>
      <c r="H465" s="562" t="s">
        <v>2776</v>
      </c>
      <c r="I465" s="562" t="s">
        <v>2882</v>
      </c>
      <c r="J465" s="604"/>
      <c r="K465" s="562"/>
      <c r="L465" s="604"/>
      <c r="M465" s="603"/>
      <c r="N465" s="602"/>
      <c r="V465" s="674"/>
      <c r="W465" s="675"/>
      <c r="AA465" s="537" t="s">
        <v>348</v>
      </c>
      <c r="AC465" s="675"/>
      <c r="AD465" s="675"/>
      <c r="AF465" s="675"/>
      <c r="AG465" s="675"/>
      <c r="AH465" s="680"/>
    </row>
    <row r="466" spans="1:34" s="536" customFormat="1" ht="12" x14ac:dyDescent="0.2">
      <c r="A466" s="605"/>
      <c r="B466" s="552"/>
      <c r="C466" s="1828" t="s">
        <v>318</v>
      </c>
      <c r="D466" s="1828"/>
      <c r="E466" s="1828"/>
      <c r="F466" s="608"/>
      <c r="G466" s="608"/>
      <c r="H466" s="608"/>
      <c r="I466" s="608"/>
      <c r="J466" s="607">
        <v>29.23</v>
      </c>
      <c r="K466" s="608"/>
      <c r="L466" s="607">
        <v>33.76</v>
      </c>
      <c r="M466" s="601"/>
      <c r="N466" s="606"/>
      <c r="V466" s="674"/>
      <c r="W466" s="675"/>
      <c r="AB466" s="537" t="s">
        <v>318</v>
      </c>
      <c r="AC466" s="675"/>
      <c r="AD466" s="675"/>
      <c r="AF466" s="675"/>
      <c r="AG466" s="675"/>
      <c r="AH466" s="680"/>
    </row>
    <row r="467" spans="1:34" s="536" customFormat="1" ht="12" x14ac:dyDescent="0.2">
      <c r="A467" s="605"/>
      <c r="B467" s="552"/>
      <c r="C467" s="1822" t="s">
        <v>319</v>
      </c>
      <c r="D467" s="1822"/>
      <c r="E467" s="1822"/>
      <c r="F467" s="562"/>
      <c r="G467" s="562"/>
      <c r="H467" s="562"/>
      <c r="I467" s="562"/>
      <c r="J467" s="604"/>
      <c r="K467" s="562"/>
      <c r="L467" s="604">
        <v>16.88</v>
      </c>
      <c r="M467" s="603"/>
      <c r="N467" s="602"/>
      <c r="V467" s="674"/>
      <c r="W467" s="675"/>
      <c r="AA467" s="537" t="s">
        <v>319</v>
      </c>
      <c r="AC467" s="675"/>
      <c r="AD467" s="675"/>
      <c r="AF467" s="675"/>
      <c r="AG467" s="675"/>
      <c r="AH467" s="680"/>
    </row>
    <row r="468" spans="1:34" s="536" customFormat="1" ht="45" x14ac:dyDescent="0.2">
      <c r="A468" s="605"/>
      <c r="B468" s="552" t="s">
        <v>892</v>
      </c>
      <c r="C468" s="1822" t="s">
        <v>893</v>
      </c>
      <c r="D468" s="1822"/>
      <c r="E468" s="1822"/>
      <c r="F468" s="562" t="s">
        <v>322</v>
      </c>
      <c r="G468" s="562" t="s">
        <v>894</v>
      </c>
      <c r="H468" s="562"/>
      <c r="I468" s="562" t="s">
        <v>894</v>
      </c>
      <c r="J468" s="604"/>
      <c r="K468" s="562"/>
      <c r="L468" s="604">
        <v>20.420000000000002</v>
      </c>
      <c r="M468" s="603"/>
      <c r="N468" s="602"/>
      <c r="V468" s="674"/>
      <c r="W468" s="675"/>
      <c r="AA468" s="537" t="s">
        <v>893</v>
      </c>
      <c r="AC468" s="675"/>
      <c r="AD468" s="675"/>
      <c r="AF468" s="675"/>
      <c r="AG468" s="675"/>
      <c r="AH468" s="680"/>
    </row>
    <row r="469" spans="1:34" s="536" customFormat="1" ht="45" x14ac:dyDescent="0.2">
      <c r="A469" s="605"/>
      <c r="B469" s="552" t="s">
        <v>895</v>
      </c>
      <c r="C469" s="1822" t="s">
        <v>896</v>
      </c>
      <c r="D469" s="1822"/>
      <c r="E469" s="1822"/>
      <c r="F469" s="562" t="s">
        <v>322</v>
      </c>
      <c r="G469" s="562" t="s">
        <v>897</v>
      </c>
      <c r="H469" s="562"/>
      <c r="I469" s="562" t="s">
        <v>897</v>
      </c>
      <c r="J469" s="604"/>
      <c r="K469" s="562"/>
      <c r="L469" s="604">
        <v>12.15</v>
      </c>
      <c r="M469" s="603"/>
      <c r="N469" s="602"/>
      <c r="V469" s="674"/>
      <c r="W469" s="675"/>
      <c r="AA469" s="537" t="s">
        <v>896</v>
      </c>
      <c r="AC469" s="675"/>
      <c r="AD469" s="675"/>
      <c r="AF469" s="675"/>
      <c r="AG469" s="675"/>
      <c r="AH469" s="680"/>
    </row>
    <row r="470" spans="1:34" s="536" customFormat="1" ht="12" x14ac:dyDescent="0.2">
      <c r="A470" s="569"/>
      <c r="B470" s="656"/>
      <c r="C470" s="1823" t="s">
        <v>327</v>
      </c>
      <c r="D470" s="1823"/>
      <c r="E470" s="1823"/>
      <c r="F470" s="573"/>
      <c r="G470" s="573"/>
      <c r="H470" s="573"/>
      <c r="I470" s="573"/>
      <c r="J470" s="572"/>
      <c r="K470" s="573"/>
      <c r="L470" s="572">
        <v>66.33</v>
      </c>
      <c r="M470" s="601"/>
      <c r="N470" s="570"/>
      <c r="V470" s="674"/>
      <c r="W470" s="675"/>
      <c r="AC470" s="675" t="s">
        <v>327</v>
      </c>
      <c r="AD470" s="675"/>
      <c r="AF470" s="675"/>
      <c r="AG470" s="675"/>
      <c r="AH470" s="680"/>
    </row>
    <row r="471" spans="1:34" s="536" customFormat="1" ht="33.75" x14ac:dyDescent="0.2">
      <c r="A471" s="575" t="s">
        <v>938</v>
      </c>
      <c r="B471" s="657" t="s">
        <v>2871</v>
      </c>
      <c r="C471" s="1823" t="s">
        <v>2872</v>
      </c>
      <c r="D471" s="1823"/>
      <c r="E471" s="1823"/>
      <c r="F471" s="573" t="s">
        <v>628</v>
      </c>
      <c r="G471" s="573"/>
      <c r="H471" s="573"/>
      <c r="I471" s="573" t="s">
        <v>185</v>
      </c>
      <c r="J471" s="572">
        <v>6375.25</v>
      </c>
      <c r="K471" s="573" t="s">
        <v>629</v>
      </c>
      <c r="L471" s="572">
        <v>1405.66</v>
      </c>
      <c r="M471" s="571">
        <v>4.59</v>
      </c>
      <c r="N471" s="570">
        <v>6452</v>
      </c>
      <c r="V471" s="674"/>
      <c r="W471" s="675" t="s">
        <v>2872</v>
      </c>
      <c r="AC471" s="675"/>
      <c r="AD471" s="675"/>
      <c r="AF471" s="675"/>
      <c r="AG471" s="675"/>
      <c r="AH471" s="680"/>
    </row>
    <row r="472" spans="1:34" s="536" customFormat="1" ht="12" x14ac:dyDescent="0.2">
      <c r="A472" s="569"/>
      <c r="B472" s="656"/>
      <c r="C472" s="661" t="s">
        <v>630</v>
      </c>
      <c r="D472" s="662"/>
      <c r="E472" s="662"/>
      <c r="F472" s="563"/>
      <c r="G472" s="563"/>
      <c r="H472" s="563"/>
      <c r="I472" s="563"/>
      <c r="J472" s="566"/>
      <c r="K472" s="563"/>
      <c r="L472" s="566"/>
      <c r="M472" s="565"/>
      <c r="N472" s="564"/>
      <c r="V472" s="674"/>
      <c r="W472" s="675"/>
      <c r="AC472" s="675"/>
      <c r="AD472" s="675"/>
      <c r="AF472" s="675"/>
      <c r="AG472" s="675"/>
      <c r="AH472" s="680"/>
    </row>
    <row r="473" spans="1:34" s="536" customFormat="1" ht="22.5" x14ac:dyDescent="0.2">
      <c r="A473" s="609"/>
      <c r="B473" s="552" t="s">
        <v>631</v>
      </c>
      <c r="C473" s="1822" t="s">
        <v>632</v>
      </c>
      <c r="D473" s="1822"/>
      <c r="E473" s="1822"/>
      <c r="F473" s="1822"/>
      <c r="G473" s="1822"/>
      <c r="H473" s="1822"/>
      <c r="I473" s="1822"/>
      <c r="J473" s="1822"/>
      <c r="K473" s="1822"/>
      <c r="L473" s="1822"/>
      <c r="M473" s="1822"/>
      <c r="N473" s="1827"/>
      <c r="V473" s="674"/>
      <c r="W473" s="675"/>
      <c r="Y473" s="537" t="s">
        <v>632</v>
      </c>
      <c r="AC473" s="675"/>
      <c r="AD473" s="675"/>
      <c r="AF473" s="675"/>
      <c r="AG473" s="675"/>
      <c r="AH473" s="680"/>
    </row>
    <row r="474" spans="1:34" s="536" customFormat="1" ht="33.75" x14ac:dyDescent="0.2">
      <c r="A474" s="575" t="s">
        <v>1784</v>
      </c>
      <c r="B474" s="657" t="s">
        <v>2859</v>
      </c>
      <c r="C474" s="1823" t="s">
        <v>2860</v>
      </c>
      <c r="D474" s="1823"/>
      <c r="E474" s="1823"/>
      <c r="F474" s="573" t="s">
        <v>617</v>
      </c>
      <c r="G474" s="573"/>
      <c r="H474" s="573"/>
      <c r="I474" s="573" t="s">
        <v>1067</v>
      </c>
      <c r="J474" s="572"/>
      <c r="K474" s="573"/>
      <c r="L474" s="572"/>
      <c r="M474" s="571"/>
      <c r="N474" s="570"/>
      <c r="V474" s="674"/>
      <c r="W474" s="675" t="s">
        <v>2860</v>
      </c>
      <c r="AC474" s="675"/>
      <c r="AD474" s="675"/>
      <c r="AF474" s="675"/>
      <c r="AG474" s="675"/>
      <c r="AH474" s="680"/>
    </row>
    <row r="475" spans="1:34" s="536" customFormat="1" ht="12" x14ac:dyDescent="0.2">
      <c r="A475" s="676"/>
      <c r="B475" s="655"/>
      <c r="C475" s="1822" t="s">
        <v>8123</v>
      </c>
      <c r="D475" s="1822"/>
      <c r="E475" s="1822"/>
      <c r="F475" s="1822"/>
      <c r="G475" s="1822"/>
      <c r="H475" s="1822"/>
      <c r="I475" s="1822"/>
      <c r="J475" s="1822"/>
      <c r="K475" s="1822"/>
      <c r="L475" s="1822"/>
      <c r="M475" s="1822"/>
      <c r="N475" s="1827"/>
      <c r="V475" s="674"/>
      <c r="W475" s="675"/>
      <c r="X475" s="537" t="s">
        <v>8123</v>
      </c>
      <c r="AC475" s="675"/>
      <c r="AD475" s="675"/>
      <c r="AF475" s="675"/>
      <c r="AG475" s="675"/>
      <c r="AH475" s="680"/>
    </row>
    <row r="476" spans="1:34" s="536" customFormat="1" ht="12" x14ac:dyDescent="0.2">
      <c r="A476" s="609"/>
      <c r="B476" s="552" t="s">
        <v>2774</v>
      </c>
      <c r="C476" s="1822" t="s">
        <v>2775</v>
      </c>
      <c r="D476" s="1822"/>
      <c r="E476" s="1822"/>
      <c r="F476" s="1822"/>
      <c r="G476" s="1822"/>
      <c r="H476" s="1822"/>
      <c r="I476" s="1822"/>
      <c r="J476" s="1822"/>
      <c r="K476" s="1822"/>
      <c r="L476" s="1822"/>
      <c r="M476" s="1822"/>
      <c r="N476" s="1827"/>
      <c r="V476" s="674"/>
      <c r="W476" s="675"/>
      <c r="Y476" s="537" t="s">
        <v>2775</v>
      </c>
      <c r="AC476" s="675"/>
      <c r="AD476" s="675"/>
      <c r="AF476" s="675"/>
      <c r="AG476" s="675"/>
      <c r="AH476" s="680"/>
    </row>
    <row r="477" spans="1:34" s="536" customFormat="1" ht="22.5" x14ac:dyDescent="0.2">
      <c r="A477" s="609"/>
      <c r="B477" s="552" t="s">
        <v>499</v>
      </c>
      <c r="C477" s="1822" t="s">
        <v>500</v>
      </c>
      <c r="D477" s="1822"/>
      <c r="E477" s="1822"/>
      <c r="F477" s="1822"/>
      <c r="G477" s="1822"/>
      <c r="H477" s="1822"/>
      <c r="I477" s="1822"/>
      <c r="J477" s="1822"/>
      <c r="K477" s="1822"/>
      <c r="L477" s="1822"/>
      <c r="M477" s="1822"/>
      <c r="N477" s="1827"/>
      <c r="V477" s="674"/>
      <c r="W477" s="675"/>
      <c r="Y477" s="537" t="s">
        <v>500</v>
      </c>
      <c r="AC477" s="675"/>
      <c r="AD477" s="675"/>
      <c r="AF477" s="675"/>
      <c r="AG477" s="675"/>
      <c r="AH477" s="680"/>
    </row>
    <row r="478" spans="1:34" s="536" customFormat="1" ht="12" x14ac:dyDescent="0.2">
      <c r="A478" s="605"/>
      <c r="B478" s="552" t="s">
        <v>185</v>
      </c>
      <c r="C478" s="1822" t="s">
        <v>312</v>
      </c>
      <c r="D478" s="1822"/>
      <c r="E478" s="1822"/>
      <c r="F478" s="562"/>
      <c r="G478" s="562"/>
      <c r="H478" s="562"/>
      <c r="I478" s="562"/>
      <c r="J478" s="604">
        <v>9.51</v>
      </c>
      <c r="K478" s="562" t="s">
        <v>2776</v>
      </c>
      <c r="L478" s="604">
        <v>274.60000000000002</v>
      </c>
      <c r="M478" s="603"/>
      <c r="N478" s="602"/>
      <c r="V478" s="674"/>
      <c r="W478" s="675"/>
      <c r="Z478" s="537" t="s">
        <v>312</v>
      </c>
      <c r="AC478" s="675"/>
      <c r="AD478" s="675"/>
      <c r="AF478" s="675"/>
      <c r="AG478" s="675"/>
      <c r="AH478" s="680"/>
    </row>
    <row r="479" spans="1:34" s="536" customFormat="1" ht="12" x14ac:dyDescent="0.2">
      <c r="A479" s="605"/>
      <c r="B479" s="552" t="s">
        <v>186</v>
      </c>
      <c r="C479" s="1822" t="s">
        <v>344</v>
      </c>
      <c r="D479" s="1822"/>
      <c r="E479" s="1822"/>
      <c r="F479" s="562"/>
      <c r="G479" s="562"/>
      <c r="H479" s="562"/>
      <c r="I479" s="562"/>
      <c r="J479" s="604">
        <v>1.5</v>
      </c>
      <c r="K479" s="562" t="s">
        <v>2776</v>
      </c>
      <c r="L479" s="604">
        <v>43.31</v>
      </c>
      <c r="M479" s="603"/>
      <c r="N479" s="602"/>
      <c r="V479" s="674"/>
      <c r="W479" s="675"/>
      <c r="Z479" s="537" t="s">
        <v>344</v>
      </c>
      <c r="AC479" s="675"/>
      <c r="AD479" s="675"/>
      <c r="AF479" s="675"/>
      <c r="AG479" s="675"/>
      <c r="AH479" s="680"/>
    </row>
    <row r="480" spans="1:34" s="536" customFormat="1" ht="12" x14ac:dyDescent="0.2">
      <c r="A480" s="605"/>
      <c r="B480" s="552" t="s">
        <v>187</v>
      </c>
      <c r="C480" s="1822" t="s">
        <v>345</v>
      </c>
      <c r="D480" s="1822"/>
      <c r="E480" s="1822"/>
      <c r="F480" s="562"/>
      <c r="G480" s="562"/>
      <c r="H480" s="562"/>
      <c r="I480" s="562"/>
      <c r="J480" s="604">
        <v>0.12</v>
      </c>
      <c r="K480" s="562" t="s">
        <v>2776</v>
      </c>
      <c r="L480" s="604">
        <v>3.47</v>
      </c>
      <c r="M480" s="603"/>
      <c r="N480" s="602"/>
      <c r="V480" s="674"/>
      <c r="W480" s="675"/>
      <c r="Z480" s="537" t="s">
        <v>345</v>
      </c>
      <c r="AC480" s="675"/>
      <c r="AD480" s="675"/>
      <c r="AF480" s="675"/>
      <c r="AG480" s="675"/>
      <c r="AH480" s="680"/>
    </row>
    <row r="481" spans="1:34" s="536" customFormat="1" ht="12" x14ac:dyDescent="0.2">
      <c r="A481" s="605"/>
      <c r="B481" s="552" t="s">
        <v>188</v>
      </c>
      <c r="C481" s="1822" t="s">
        <v>475</v>
      </c>
      <c r="D481" s="1822"/>
      <c r="E481" s="1822"/>
      <c r="F481" s="562"/>
      <c r="G481" s="562"/>
      <c r="H481" s="562"/>
      <c r="I481" s="562"/>
      <c r="J481" s="604">
        <v>14.74</v>
      </c>
      <c r="K481" s="562"/>
      <c r="L481" s="604">
        <v>324.27999999999997</v>
      </c>
      <c r="M481" s="603"/>
      <c r="N481" s="602"/>
      <c r="V481" s="674"/>
      <c r="W481" s="675"/>
      <c r="Z481" s="537" t="s">
        <v>475</v>
      </c>
      <c r="AC481" s="675"/>
      <c r="AD481" s="675"/>
      <c r="AF481" s="675"/>
      <c r="AG481" s="675"/>
      <c r="AH481" s="680"/>
    </row>
    <row r="482" spans="1:34" s="536" customFormat="1" ht="12" x14ac:dyDescent="0.2">
      <c r="A482" s="676"/>
      <c r="B482" s="677" t="s">
        <v>2861</v>
      </c>
      <c r="C482" s="1829" t="s">
        <v>2862</v>
      </c>
      <c r="D482" s="1829"/>
      <c r="E482" s="1829"/>
      <c r="F482" s="678" t="s">
        <v>617</v>
      </c>
      <c r="G482" s="678" t="s">
        <v>185</v>
      </c>
      <c r="H482" s="678"/>
      <c r="I482" s="678" t="s">
        <v>1067</v>
      </c>
      <c r="J482" s="552"/>
      <c r="K482" s="562"/>
      <c r="L482" s="604"/>
      <c r="M482" s="562"/>
      <c r="N482" s="679"/>
      <c r="V482" s="674"/>
      <c r="W482" s="675"/>
      <c r="AC482" s="675"/>
      <c r="AD482" s="675"/>
      <c r="AF482" s="675"/>
      <c r="AG482" s="675"/>
      <c r="AH482" s="680" t="s">
        <v>2862</v>
      </c>
    </row>
    <row r="483" spans="1:34" s="536" customFormat="1" ht="12" x14ac:dyDescent="0.2">
      <c r="A483" s="605"/>
      <c r="B483" s="552"/>
      <c r="C483" s="1822" t="s">
        <v>314</v>
      </c>
      <c r="D483" s="1822"/>
      <c r="E483" s="1822"/>
      <c r="F483" s="562" t="s">
        <v>315</v>
      </c>
      <c r="G483" s="562" t="s">
        <v>2863</v>
      </c>
      <c r="H483" s="562" t="s">
        <v>2776</v>
      </c>
      <c r="I483" s="562" t="s">
        <v>8124</v>
      </c>
      <c r="J483" s="604"/>
      <c r="K483" s="562"/>
      <c r="L483" s="604"/>
      <c r="M483" s="603"/>
      <c r="N483" s="602"/>
      <c r="V483" s="674"/>
      <c r="W483" s="675"/>
      <c r="AA483" s="537" t="s">
        <v>314</v>
      </c>
      <c r="AC483" s="675"/>
      <c r="AD483" s="675"/>
      <c r="AF483" s="675"/>
      <c r="AG483" s="675"/>
      <c r="AH483" s="680"/>
    </row>
    <row r="484" spans="1:34" s="536" customFormat="1" ht="12" x14ac:dyDescent="0.2">
      <c r="A484" s="605"/>
      <c r="B484" s="552"/>
      <c r="C484" s="1822" t="s">
        <v>348</v>
      </c>
      <c r="D484" s="1822"/>
      <c r="E484" s="1822"/>
      <c r="F484" s="562" t="s">
        <v>315</v>
      </c>
      <c r="G484" s="562" t="s">
        <v>809</v>
      </c>
      <c r="H484" s="562" t="s">
        <v>2776</v>
      </c>
      <c r="I484" s="562" t="s">
        <v>8125</v>
      </c>
      <c r="J484" s="604"/>
      <c r="K484" s="562"/>
      <c r="L484" s="604"/>
      <c r="M484" s="603"/>
      <c r="N484" s="602"/>
      <c r="V484" s="674"/>
      <c r="W484" s="675"/>
      <c r="AA484" s="537" t="s">
        <v>348</v>
      </c>
      <c r="AC484" s="675"/>
      <c r="AD484" s="675"/>
      <c r="AF484" s="675"/>
      <c r="AG484" s="675"/>
      <c r="AH484" s="680"/>
    </row>
    <row r="485" spans="1:34" s="536" customFormat="1" ht="12" x14ac:dyDescent="0.2">
      <c r="A485" s="605"/>
      <c r="B485" s="552"/>
      <c r="C485" s="1828" t="s">
        <v>318</v>
      </c>
      <c r="D485" s="1828"/>
      <c r="E485" s="1828"/>
      <c r="F485" s="608"/>
      <c r="G485" s="608"/>
      <c r="H485" s="608"/>
      <c r="I485" s="608"/>
      <c r="J485" s="607">
        <v>25.75</v>
      </c>
      <c r="K485" s="608"/>
      <c r="L485" s="607">
        <v>642.19000000000005</v>
      </c>
      <c r="M485" s="601"/>
      <c r="N485" s="606"/>
      <c r="V485" s="674"/>
      <c r="W485" s="675"/>
      <c r="AB485" s="537" t="s">
        <v>318</v>
      </c>
      <c r="AC485" s="675"/>
      <c r="AD485" s="675"/>
      <c r="AF485" s="675"/>
      <c r="AG485" s="675"/>
      <c r="AH485" s="680"/>
    </row>
    <row r="486" spans="1:34" s="536" customFormat="1" ht="12" x14ac:dyDescent="0.2">
      <c r="A486" s="605"/>
      <c r="B486" s="552"/>
      <c r="C486" s="1822" t="s">
        <v>319</v>
      </c>
      <c r="D486" s="1822"/>
      <c r="E486" s="1822"/>
      <c r="F486" s="562"/>
      <c r="G486" s="562"/>
      <c r="H486" s="562"/>
      <c r="I486" s="562"/>
      <c r="J486" s="604"/>
      <c r="K486" s="562"/>
      <c r="L486" s="604">
        <v>278.07</v>
      </c>
      <c r="M486" s="603"/>
      <c r="N486" s="602"/>
      <c r="V486" s="674"/>
      <c r="W486" s="675"/>
      <c r="AA486" s="537" t="s">
        <v>319</v>
      </c>
      <c r="AC486" s="675"/>
      <c r="AD486" s="675"/>
      <c r="AF486" s="675"/>
      <c r="AG486" s="675"/>
      <c r="AH486" s="680"/>
    </row>
    <row r="487" spans="1:34" s="536" customFormat="1" ht="45" x14ac:dyDescent="0.2">
      <c r="A487" s="605"/>
      <c r="B487" s="552" t="s">
        <v>892</v>
      </c>
      <c r="C487" s="1822" t="s">
        <v>893</v>
      </c>
      <c r="D487" s="1822"/>
      <c r="E487" s="1822"/>
      <c r="F487" s="562" t="s">
        <v>322</v>
      </c>
      <c r="G487" s="562" t="s">
        <v>894</v>
      </c>
      <c r="H487" s="562"/>
      <c r="I487" s="562" t="s">
        <v>894</v>
      </c>
      <c r="J487" s="604"/>
      <c r="K487" s="562"/>
      <c r="L487" s="604">
        <v>336.46</v>
      </c>
      <c r="M487" s="603"/>
      <c r="N487" s="602"/>
      <c r="V487" s="674"/>
      <c r="W487" s="675"/>
      <c r="AA487" s="537" t="s">
        <v>893</v>
      </c>
      <c r="AC487" s="675"/>
      <c r="AD487" s="675"/>
      <c r="AF487" s="675"/>
      <c r="AG487" s="675"/>
      <c r="AH487" s="680"/>
    </row>
    <row r="488" spans="1:34" s="536" customFormat="1" ht="45" x14ac:dyDescent="0.2">
      <c r="A488" s="605"/>
      <c r="B488" s="552" t="s">
        <v>895</v>
      </c>
      <c r="C488" s="1822" t="s">
        <v>896</v>
      </c>
      <c r="D488" s="1822"/>
      <c r="E488" s="1822"/>
      <c r="F488" s="562" t="s">
        <v>322</v>
      </c>
      <c r="G488" s="562" t="s">
        <v>897</v>
      </c>
      <c r="H488" s="562"/>
      <c r="I488" s="562" t="s">
        <v>897</v>
      </c>
      <c r="J488" s="604"/>
      <c r="K488" s="562"/>
      <c r="L488" s="604">
        <v>200.21</v>
      </c>
      <c r="M488" s="603"/>
      <c r="N488" s="602"/>
      <c r="V488" s="674"/>
      <c r="W488" s="675"/>
      <c r="AA488" s="537" t="s">
        <v>896</v>
      </c>
      <c r="AC488" s="675"/>
      <c r="AD488" s="675"/>
      <c r="AF488" s="675"/>
      <c r="AG488" s="675"/>
      <c r="AH488" s="680"/>
    </row>
    <row r="489" spans="1:34" s="536" customFormat="1" ht="12" x14ac:dyDescent="0.2">
      <c r="A489" s="569"/>
      <c r="B489" s="656"/>
      <c r="C489" s="1823" t="s">
        <v>327</v>
      </c>
      <c r="D489" s="1823"/>
      <c r="E489" s="1823"/>
      <c r="F489" s="573"/>
      <c r="G489" s="573"/>
      <c r="H489" s="573"/>
      <c r="I489" s="573"/>
      <c r="J489" s="572"/>
      <c r="K489" s="573"/>
      <c r="L489" s="572">
        <v>1178.8599999999999</v>
      </c>
      <c r="M489" s="601"/>
      <c r="N489" s="570"/>
      <c r="V489" s="674"/>
      <c r="W489" s="675"/>
      <c r="AC489" s="675" t="s">
        <v>327</v>
      </c>
      <c r="AD489" s="675"/>
      <c r="AF489" s="675"/>
      <c r="AG489" s="675"/>
      <c r="AH489" s="680"/>
    </row>
    <row r="490" spans="1:34" s="536" customFormat="1" ht="33.75" x14ac:dyDescent="0.2">
      <c r="A490" s="575" t="s">
        <v>789</v>
      </c>
      <c r="B490" s="657" t="s">
        <v>2873</v>
      </c>
      <c r="C490" s="1823" t="s">
        <v>2874</v>
      </c>
      <c r="D490" s="1823"/>
      <c r="E490" s="1823"/>
      <c r="F490" s="573" t="s">
        <v>628</v>
      </c>
      <c r="G490" s="573"/>
      <c r="H490" s="573"/>
      <c r="I490" s="573" t="s">
        <v>189</v>
      </c>
      <c r="J490" s="572">
        <v>652.75</v>
      </c>
      <c r="K490" s="573" t="s">
        <v>716</v>
      </c>
      <c r="L490" s="572">
        <v>400.12</v>
      </c>
      <c r="M490" s="571">
        <v>8.32</v>
      </c>
      <c r="N490" s="570">
        <v>3329</v>
      </c>
      <c r="V490" s="674"/>
      <c r="W490" s="675" t="s">
        <v>2874</v>
      </c>
      <c r="AC490" s="675"/>
      <c r="AD490" s="675"/>
      <c r="AF490" s="675"/>
      <c r="AG490" s="675"/>
      <c r="AH490" s="680"/>
    </row>
    <row r="491" spans="1:34" s="536" customFormat="1" ht="12" x14ac:dyDescent="0.2">
      <c r="A491" s="569"/>
      <c r="B491" s="656"/>
      <c r="C491" s="661" t="s">
        <v>717</v>
      </c>
      <c r="D491" s="662"/>
      <c r="E491" s="662"/>
      <c r="F491" s="563"/>
      <c r="G491" s="563"/>
      <c r="H491" s="563"/>
      <c r="I491" s="563"/>
      <c r="J491" s="566"/>
      <c r="K491" s="563"/>
      <c r="L491" s="566"/>
      <c r="M491" s="565"/>
      <c r="N491" s="564"/>
      <c r="V491" s="674"/>
      <c r="W491" s="675"/>
      <c r="AC491" s="675"/>
      <c r="AD491" s="675"/>
      <c r="AF491" s="675"/>
      <c r="AG491" s="675"/>
      <c r="AH491" s="680"/>
    </row>
    <row r="492" spans="1:34" s="536" customFormat="1" ht="22.5" x14ac:dyDescent="0.2">
      <c r="A492" s="609"/>
      <c r="B492" s="552" t="s">
        <v>718</v>
      </c>
      <c r="C492" s="1822" t="s">
        <v>719</v>
      </c>
      <c r="D492" s="1822"/>
      <c r="E492" s="1822"/>
      <c r="F492" s="1822"/>
      <c r="G492" s="1822"/>
      <c r="H492" s="1822"/>
      <c r="I492" s="1822"/>
      <c r="J492" s="1822"/>
      <c r="K492" s="1822"/>
      <c r="L492" s="1822"/>
      <c r="M492" s="1822"/>
      <c r="N492" s="1827"/>
      <c r="V492" s="674"/>
      <c r="W492" s="675"/>
      <c r="Y492" s="537" t="s">
        <v>719</v>
      </c>
      <c r="AC492" s="675"/>
      <c r="AD492" s="675"/>
      <c r="AF492" s="675"/>
      <c r="AG492" s="675"/>
      <c r="AH492" s="680"/>
    </row>
    <row r="493" spans="1:34" s="536" customFormat="1" ht="33.75" x14ac:dyDescent="0.2">
      <c r="A493" s="575" t="s">
        <v>2339</v>
      </c>
      <c r="B493" s="657" t="s">
        <v>2875</v>
      </c>
      <c r="C493" s="1823" t="s">
        <v>2876</v>
      </c>
      <c r="D493" s="1823"/>
      <c r="E493" s="1823"/>
      <c r="F493" s="573" t="s">
        <v>628</v>
      </c>
      <c r="G493" s="573"/>
      <c r="H493" s="573"/>
      <c r="I493" s="573" t="s">
        <v>198</v>
      </c>
      <c r="J493" s="572">
        <v>700</v>
      </c>
      <c r="K493" s="573" t="s">
        <v>716</v>
      </c>
      <c r="L493" s="572">
        <v>1201.44</v>
      </c>
      <c r="M493" s="571">
        <v>8.32</v>
      </c>
      <c r="N493" s="570">
        <v>9996</v>
      </c>
      <c r="V493" s="674"/>
      <c r="W493" s="675" t="s">
        <v>2876</v>
      </c>
      <c r="AC493" s="675"/>
      <c r="AD493" s="675"/>
      <c r="AF493" s="675"/>
      <c r="AG493" s="675"/>
      <c r="AH493" s="680"/>
    </row>
    <row r="494" spans="1:34" s="536" customFormat="1" ht="12" x14ac:dyDescent="0.2">
      <c r="A494" s="569"/>
      <c r="B494" s="656"/>
      <c r="C494" s="661" t="s">
        <v>717</v>
      </c>
      <c r="D494" s="662"/>
      <c r="E494" s="662"/>
      <c r="F494" s="563"/>
      <c r="G494" s="563"/>
      <c r="H494" s="563"/>
      <c r="I494" s="563"/>
      <c r="J494" s="566"/>
      <c r="K494" s="563"/>
      <c r="L494" s="566"/>
      <c r="M494" s="565"/>
      <c r="N494" s="564"/>
      <c r="V494" s="674"/>
      <c r="W494" s="675"/>
      <c r="AC494" s="675"/>
      <c r="AD494" s="675"/>
      <c r="AF494" s="675"/>
      <c r="AG494" s="675"/>
      <c r="AH494" s="680"/>
    </row>
    <row r="495" spans="1:34" s="536" customFormat="1" ht="22.5" x14ac:dyDescent="0.2">
      <c r="A495" s="609"/>
      <c r="B495" s="552" t="s">
        <v>718</v>
      </c>
      <c r="C495" s="1822" t="s">
        <v>719</v>
      </c>
      <c r="D495" s="1822"/>
      <c r="E495" s="1822"/>
      <c r="F495" s="1822"/>
      <c r="G495" s="1822"/>
      <c r="H495" s="1822"/>
      <c r="I495" s="1822"/>
      <c r="J495" s="1822"/>
      <c r="K495" s="1822"/>
      <c r="L495" s="1822"/>
      <c r="M495" s="1822"/>
      <c r="N495" s="1827"/>
      <c r="V495" s="674"/>
      <c r="W495" s="675"/>
      <c r="Y495" s="537" t="s">
        <v>719</v>
      </c>
      <c r="AC495" s="675"/>
      <c r="AD495" s="675"/>
      <c r="AF495" s="675"/>
      <c r="AG495" s="675"/>
      <c r="AH495" s="680"/>
    </row>
    <row r="496" spans="1:34" s="536" customFormat="1" ht="33.75" x14ac:dyDescent="0.2">
      <c r="A496" s="575" t="s">
        <v>791</v>
      </c>
      <c r="B496" s="657" t="s">
        <v>2877</v>
      </c>
      <c r="C496" s="1823" t="s">
        <v>2878</v>
      </c>
      <c r="D496" s="1823"/>
      <c r="E496" s="1823"/>
      <c r="F496" s="573" t="s">
        <v>628</v>
      </c>
      <c r="G496" s="573"/>
      <c r="H496" s="573"/>
      <c r="I496" s="573" t="s">
        <v>187</v>
      </c>
      <c r="J496" s="572">
        <v>790.13</v>
      </c>
      <c r="K496" s="573" t="s">
        <v>716</v>
      </c>
      <c r="L496" s="572">
        <v>290.63</v>
      </c>
      <c r="M496" s="571">
        <v>8.32</v>
      </c>
      <c r="N496" s="570">
        <v>2418</v>
      </c>
      <c r="V496" s="674"/>
      <c r="W496" s="675" t="s">
        <v>2878</v>
      </c>
      <c r="AC496" s="675"/>
      <c r="AD496" s="675"/>
      <c r="AF496" s="675"/>
      <c r="AG496" s="675"/>
      <c r="AH496" s="680"/>
    </row>
    <row r="497" spans="1:34" s="536" customFormat="1" ht="12" x14ac:dyDescent="0.2">
      <c r="A497" s="569"/>
      <c r="B497" s="656"/>
      <c r="C497" s="661" t="s">
        <v>717</v>
      </c>
      <c r="D497" s="662"/>
      <c r="E497" s="662"/>
      <c r="F497" s="563"/>
      <c r="G497" s="563"/>
      <c r="H497" s="563"/>
      <c r="I497" s="563"/>
      <c r="J497" s="566"/>
      <c r="K497" s="563"/>
      <c r="L497" s="566"/>
      <c r="M497" s="565"/>
      <c r="N497" s="564"/>
      <c r="V497" s="674"/>
      <c r="W497" s="675"/>
      <c r="AC497" s="675"/>
      <c r="AD497" s="675"/>
      <c r="AF497" s="675"/>
      <c r="AG497" s="675"/>
      <c r="AH497" s="680"/>
    </row>
    <row r="498" spans="1:34" s="536" customFormat="1" ht="22.5" x14ac:dyDescent="0.2">
      <c r="A498" s="609"/>
      <c r="B498" s="552" t="s">
        <v>718</v>
      </c>
      <c r="C498" s="1822" t="s">
        <v>719</v>
      </c>
      <c r="D498" s="1822"/>
      <c r="E498" s="1822"/>
      <c r="F498" s="1822"/>
      <c r="G498" s="1822"/>
      <c r="H498" s="1822"/>
      <c r="I498" s="1822"/>
      <c r="J498" s="1822"/>
      <c r="K498" s="1822"/>
      <c r="L498" s="1822"/>
      <c r="M498" s="1822"/>
      <c r="N498" s="1827"/>
      <c r="V498" s="674"/>
      <c r="W498" s="675"/>
      <c r="Y498" s="537" t="s">
        <v>719</v>
      </c>
      <c r="AC498" s="675"/>
      <c r="AD498" s="675"/>
      <c r="AF498" s="675"/>
      <c r="AG498" s="675"/>
      <c r="AH498" s="680"/>
    </row>
    <row r="499" spans="1:34" s="536" customFormat="1" ht="33.75" x14ac:dyDescent="0.2">
      <c r="A499" s="575" t="s">
        <v>690</v>
      </c>
      <c r="B499" s="657" t="s">
        <v>2879</v>
      </c>
      <c r="C499" s="1823" t="s">
        <v>2880</v>
      </c>
      <c r="D499" s="1823"/>
      <c r="E499" s="1823"/>
      <c r="F499" s="573" t="s">
        <v>617</v>
      </c>
      <c r="G499" s="573"/>
      <c r="H499" s="573"/>
      <c r="I499" s="573" t="s">
        <v>185</v>
      </c>
      <c r="J499" s="572"/>
      <c r="K499" s="573"/>
      <c r="L499" s="572"/>
      <c r="M499" s="571"/>
      <c r="N499" s="570"/>
      <c r="V499" s="674"/>
      <c r="W499" s="675" t="s">
        <v>2880</v>
      </c>
      <c r="AC499" s="675"/>
      <c r="AD499" s="675"/>
      <c r="AF499" s="675"/>
      <c r="AG499" s="675"/>
      <c r="AH499" s="680"/>
    </row>
    <row r="500" spans="1:34" s="536" customFormat="1" ht="12" x14ac:dyDescent="0.2">
      <c r="A500" s="609"/>
      <c r="B500" s="552" t="s">
        <v>2774</v>
      </c>
      <c r="C500" s="1822" t="s">
        <v>2775</v>
      </c>
      <c r="D500" s="1822"/>
      <c r="E500" s="1822"/>
      <c r="F500" s="1822"/>
      <c r="G500" s="1822"/>
      <c r="H500" s="1822"/>
      <c r="I500" s="1822"/>
      <c r="J500" s="1822"/>
      <c r="K500" s="1822"/>
      <c r="L500" s="1822"/>
      <c r="M500" s="1822"/>
      <c r="N500" s="1827"/>
      <c r="V500" s="674"/>
      <c r="W500" s="675"/>
      <c r="Y500" s="537" t="s">
        <v>2775</v>
      </c>
      <c r="AC500" s="675"/>
      <c r="AD500" s="675"/>
      <c r="AF500" s="675"/>
      <c r="AG500" s="675"/>
      <c r="AH500" s="680"/>
    </row>
    <row r="501" spans="1:34" s="536" customFormat="1" ht="22.5" x14ac:dyDescent="0.2">
      <c r="A501" s="609"/>
      <c r="B501" s="552" t="s">
        <v>499</v>
      </c>
      <c r="C501" s="1822" t="s">
        <v>500</v>
      </c>
      <c r="D501" s="1822"/>
      <c r="E501" s="1822"/>
      <c r="F501" s="1822"/>
      <c r="G501" s="1822"/>
      <c r="H501" s="1822"/>
      <c r="I501" s="1822"/>
      <c r="J501" s="1822"/>
      <c r="K501" s="1822"/>
      <c r="L501" s="1822"/>
      <c r="M501" s="1822"/>
      <c r="N501" s="1827"/>
      <c r="V501" s="674"/>
      <c r="W501" s="675"/>
      <c r="Y501" s="537" t="s">
        <v>500</v>
      </c>
      <c r="AC501" s="675"/>
      <c r="AD501" s="675"/>
      <c r="AF501" s="675"/>
      <c r="AG501" s="675"/>
      <c r="AH501" s="680"/>
    </row>
    <row r="502" spans="1:34" s="536" customFormat="1" ht="12" x14ac:dyDescent="0.2">
      <c r="A502" s="605"/>
      <c r="B502" s="552" t="s">
        <v>185</v>
      </c>
      <c r="C502" s="1822" t="s">
        <v>312</v>
      </c>
      <c r="D502" s="1822"/>
      <c r="E502" s="1822"/>
      <c r="F502" s="562"/>
      <c r="G502" s="562"/>
      <c r="H502" s="562"/>
      <c r="I502" s="562"/>
      <c r="J502" s="604">
        <v>10.58</v>
      </c>
      <c r="K502" s="562" t="s">
        <v>2776</v>
      </c>
      <c r="L502" s="604">
        <v>13.89</v>
      </c>
      <c r="M502" s="603"/>
      <c r="N502" s="602"/>
      <c r="V502" s="674"/>
      <c r="W502" s="675"/>
      <c r="Z502" s="537" t="s">
        <v>312</v>
      </c>
      <c r="AC502" s="675"/>
      <c r="AD502" s="675"/>
      <c r="AF502" s="675"/>
      <c r="AG502" s="675"/>
      <c r="AH502" s="680"/>
    </row>
    <row r="503" spans="1:34" s="536" customFormat="1" ht="12" x14ac:dyDescent="0.2">
      <c r="A503" s="605"/>
      <c r="B503" s="552" t="s">
        <v>186</v>
      </c>
      <c r="C503" s="1822" t="s">
        <v>344</v>
      </c>
      <c r="D503" s="1822"/>
      <c r="E503" s="1822"/>
      <c r="F503" s="562"/>
      <c r="G503" s="562"/>
      <c r="H503" s="562"/>
      <c r="I503" s="562"/>
      <c r="J503" s="604">
        <v>1.6</v>
      </c>
      <c r="K503" s="562" t="s">
        <v>2776</v>
      </c>
      <c r="L503" s="604">
        <v>2.1</v>
      </c>
      <c r="M503" s="603"/>
      <c r="N503" s="602"/>
      <c r="V503" s="674"/>
      <c r="W503" s="675"/>
      <c r="Z503" s="537" t="s">
        <v>344</v>
      </c>
      <c r="AC503" s="675"/>
      <c r="AD503" s="675"/>
      <c r="AF503" s="675"/>
      <c r="AG503" s="675"/>
      <c r="AH503" s="680"/>
    </row>
    <row r="504" spans="1:34" s="536" customFormat="1" ht="12" x14ac:dyDescent="0.2">
      <c r="A504" s="605"/>
      <c r="B504" s="552" t="s">
        <v>187</v>
      </c>
      <c r="C504" s="1822" t="s">
        <v>345</v>
      </c>
      <c r="D504" s="1822"/>
      <c r="E504" s="1822"/>
      <c r="F504" s="562"/>
      <c r="G504" s="562"/>
      <c r="H504" s="562"/>
      <c r="I504" s="562"/>
      <c r="J504" s="604">
        <v>0.12</v>
      </c>
      <c r="K504" s="562" t="s">
        <v>2776</v>
      </c>
      <c r="L504" s="604">
        <v>0.16</v>
      </c>
      <c r="M504" s="603"/>
      <c r="N504" s="602"/>
      <c r="V504" s="674"/>
      <c r="W504" s="675"/>
      <c r="Z504" s="537" t="s">
        <v>345</v>
      </c>
      <c r="AC504" s="675"/>
      <c r="AD504" s="675"/>
      <c r="AF504" s="675"/>
      <c r="AG504" s="675"/>
      <c r="AH504" s="680"/>
    </row>
    <row r="505" spans="1:34" s="536" customFormat="1" ht="12" x14ac:dyDescent="0.2">
      <c r="A505" s="605"/>
      <c r="B505" s="552" t="s">
        <v>188</v>
      </c>
      <c r="C505" s="1822" t="s">
        <v>475</v>
      </c>
      <c r="D505" s="1822"/>
      <c r="E505" s="1822"/>
      <c r="F505" s="562"/>
      <c r="G505" s="562"/>
      <c r="H505" s="562"/>
      <c r="I505" s="562"/>
      <c r="J505" s="604">
        <v>18.64</v>
      </c>
      <c r="K505" s="562"/>
      <c r="L505" s="604">
        <v>18.64</v>
      </c>
      <c r="M505" s="603"/>
      <c r="N505" s="602"/>
      <c r="V505" s="674"/>
      <c r="W505" s="675"/>
      <c r="Z505" s="537" t="s">
        <v>475</v>
      </c>
      <c r="AC505" s="675"/>
      <c r="AD505" s="675"/>
      <c r="AF505" s="675"/>
      <c r="AG505" s="675"/>
      <c r="AH505" s="680"/>
    </row>
    <row r="506" spans="1:34" s="536" customFormat="1" ht="12" x14ac:dyDescent="0.2">
      <c r="A506" s="676"/>
      <c r="B506" s="677" t="s">
        <v>2861</v>
      </c>
      <c r="C506" s="1829" t="s">
        <v>2862</v>
      </c>
      <c r="D506" s="1829"/>
      <c r="E506" s="1829"/>
      <c r="F506" s="678" t="s">
        <v>617</v>
      </c>
      <c r="G506" s="678" t="s">
        <v>185</v>
      </c>
      <c r="H506" s="678"/>
      <c r="I506" s="678" t="s">
        <v>185</v>
      </c>
      <c r="J506" s="552"/>
      <c r="K506" s="562"/>
      <c r="L506" s="604"/>
      <c r="M506" s="562"/>
      <c r="N506" s="679"/>
      <c r="V506" s="674"/>
      <c r="W506" s="675"/>
      <c r="AC506" s="675"/>
      <c r="AD506" s="675"/>
      <c r="AF506" s="675"/>
      <c r="AG506" s="675"/>
      <c r="AH506" s="680" t="s">
        <v>2862</v>
      </c>
    </row>
    <row r="507" spans="1:34" s="536" customFormat="1" ht="12" x14ac:dyDescent="0.2">
      <c r="A507" s="605"/>
      <c r="B507" s="552"/>
      <c r="C507" s="1822" t="s">
        <v>314</v>
      </c>
      <c r="D507" s="1822"/>
      <c r="E507" s="1822"/>
      <c r="F507" s="562" t="s">
        <v>315</v>
      </c>
      <c r="G507" s="562" t="s">
        <v>1606</v>
      </c>
      <c r="H507" s="562" t="s">
        <v>2776</v>
      </c>
      <c r="I507" s="562" t="s">
        <v>2881</v>
      </c>
      <c r="J507" s="604"/>
      <c r="K507" s="562"/>
      <c r="L507" s="604"/>
      <c r="M507" s="603"/>
      <c r="N507" s="602"/>
      <c r="V507" s="674"/>
      <c r="W507" s="675"/>
      <c r="AA507" s="537" t="s">
        <v>314</v>
      </c>
      <c r="AC507" s="675"/>
      <c r="AD507" s="675"/>
      <c r="AF507" s="675"/>
      <c r="AG507" s="675"/>
      <c r="AH507" s="680"/>
    </row>
    <row r="508" spans="1:34" s="536" customFormat="1" ht="12" x14ac:dyDescent="0.2">
      <c r="A508" s="605"/>
      <c r="B508" s="552"/>
      <c r="C508" s="1822" t="s">
        <v>348</v>
      </c>
      <c r="D508" s="1822"/>
      <c r="E508" s="1822"/>
      <c r="F508" s="562" t="s">
        <v>315</v>
      </c>
      <c r="G508" s="562" t="s">
        <v>809</v>
      </c>
      <c r="H508" s="562" t="s">
        <v>2776</v>
      </c>
      <c r="I508" s="562" t="s">
        <v>2882</v>
      </c>
      <c r="J508" s="604"/>
      <c r="K508" s="562"/>
      <c r="L508" s="604"/>
      <c r="M508" s="603"/>
      <c r="N508" s="602"/>
      <c r="V508" s="674"/>
      <c r="W508" s="675"/>
      <c r="AA508" s="537" t="s">
        <v>348</v>
      </c>
      <c r="AC508" s="675"/>
      <c r="AD508" s="675"/>
      <c r="AF508" s="675"/>
      <c r="AG508" s="675"/>
      <c r="AH508" s="680"/>
    </row>
    <row r="509" spans="1:34" s="536" customFormat="1" ht="12" x14ac:dyDescent="0.2">
      <c r="A509" s="605"/>
      <c r="B509" s="552"/>
      <c r="C509" s="1828" t="s">
        <v>318</v>
      </c>
      <c r="D509" s="1828"/>
      <c r="E509" s="1828"/>
      <c r="F509" s="608"/>
      <c r="G509" s="608"/>
      <c r="H509" s="608"/>
      <c r="I509" s="608"/>
      <c r="J509" s="607">
        <v>30.82</v>
      </c>
      <c r="K509" s="608"/>
      <c r="L509" s="607">
        <v>34.630000000000003</v>
      </c>
      <c r="M509" s="601"/>
      <c r="N509" s="606"/>
      <c r="V509" s="674"/>
      <c r="W509" s="675"/>
      <c r="AB509" s="537" t="s">
        <v>318</v>
      </c>
      <c r="AC509" s="675"/>
      <c r="AD509" s="675"/>
      <c r="AF509" s="675"/>
      <c r="AG509" s="675"/>
      <c r="AH509" s="680"/>
    </row>
    <row r="510" spans="1:34" s="536" customFormat="1" ht="12" x14ac:dyDescent="0.2">
      <c r="A510" s="605"/>
      <c r="B510" s="552"/>
      <c r="C510" s="1822" t="s">
        <v>319</v>
      </c>
      <c r="D510" s="1822"/>
      <c r="E510" s="1822"/>
      <c r="F510" s="562"/>
      <c r="G510" s="562"/>
      <c r="H510" s="562"/>
      <c r="I510" s="562"/>
      <c r="J510" s="604"/>
      <c r="K510" s="562"/>
      <c r="L510" s="604">
        <v>14.05</v>
      </c>
      <c r="M510" s="603"/>
      <c r="N510" s="602"/>
      <c r="V510" s="674"/>
      <c r="W510" s="675"/>
      <c r="AA510" s="537" t="s">
        <v>319</v>
      </c>
      <c r="AC510" s="675"/>
      <c r="AD510" s="675"/>
      <c r="AF510" s="675"/>
      <c r="AG510" s="675"/>
      <c r="AH510" s="680"/>
    </row>
    <row r="511" spans="1:34" s="536" customFormat="1" ht="45" x14ac:dyDescent="0.2">
      <c r="A511" s="605"/>
      <c r="B511" s="552" t="s">
        <v>892</v>
      </c>
      <c r="C511" s="1822" t="s">
        <v>893</v>
      </c>
      <c r="D511" s="1822"/>
      <c r="E511" s="1822"/>
      <c r="F511" s="562" t="s">
        <v>322</v>
      </c>
      <c r="G511" s="562" t="s">
        <v>894</v>
      </c>
      <c r="H511" s="562"/>
      <c r="I511" s="562" t="s">
        <v>894</v>
      </c>
      <c r="J511" s="604"/>
      <c r="K511" s="562"/>
      <c r="L511" s="604">
        <v>17</v>
      </c>
      <c r="M511" s="603"/>
      <c r="N511" s="602"/>
      <c r="V511" s="674"/>
      <c r="W511" s="675"/>
      <c r="AA511" s="537" t="s">
        <v>893</v>
      </c>
      <c r="AC511" s="675"/>
      <c r="AD511" s="675"/>
      <c r="AF511" s="675"/>
      <c r="AG511" s="675"/>
      <c r="AH511" s="680"/>
    </row>
    <row r="512" spans="1:34" s="536" customFormat="1" ht="45" x14ac:dyDescent="0.2">
      <c r="A512" s="605"/>
      <c r="B512" s="552" t="s">
        <v>895</v>
      </c>
      <c r="C512" s="1822" t="s">
        <v>896</v>
      </c>
      <c r="D512" s="1822"/>
      <c r="E512" s="1822"/>
      <c r="F512" s="562" t="s">
        <v>322</v>
      </c>
      <c r="G512" s="562" t="s">
        <v>897</v>
      </c>
      <c r="H512" s="562"/>
      <c r="I512" s="562" t="s">
        <v>897</v>
      </c>
      <c r="J512" s="604"/>
      <c r="K512" s="562"/>
      <c r="L512" s="604">
        <v>10.119999999999999</v>
      </c>
      <c r="M512" s="603"/>
      <c r="N512" s="602"/>
      <c r="V512" s="674"/>
      <c r="W512" s="675"/>
      <c r="AA512" s="537" t="s">
        <v>896</v>
      </c>
      <c r="AC512" s="675"/>
      <c r="AD512" s="675"/>
      <c r="AF512" s="675"/>
      <c r="AG512" s="675"/>
      <c r="AH512" s="680"/>
    </row>
    <row r="513" spans="1:34" s="536" customFormat="1" ht="12" x14ac:dyDescent="0.2">
      <c r="A513" s="569"/>
      <c r="B513" s="656"/>
      <c r="C513" s="1823" t="s">
        <v>327</v>
      </c>
      <c r="D513" s="1823"/>
      <c r="E513" s="1823"/>
      <c r="F513" s="573"/>
      <c r="G513" s="573"/>
      <c r="H513" s="573"/>
      <c r="I513" s="573"/>
      <c r="J513" s="572"/>
      <c r="K513" s="573"/>
      <c r="L513" s="572">
        <v>61.75</v>
      </c>
      <c r="M513" s="601"/>
      <c r="N513" s="570"/>
      <c r="V513" s="674"/>
      <c r="W513" s="675"/>
      <c r="AC513" s="675" t="s">
        <v>327</v>
      </c>
      <c r="AD513" s="675"/>
      <c r="AF513" s="675"/>
      <c r="AG513" s="675"/>
      <c r="AH513" s="680"/>
    </row>
    <row r="514" spans="1:34" s="536" customFormat="1" ht="33.75" x14ac:dyDescent="0.2">
      <c r="A514" s="575" t="s">
        <v>792</v>
      </c>
      <c r="B514" s="657" t="s">
        <v>2883</v>
      </c>
      <c r="C514" s="1823" t="s">
        <v>2884</v>
      </c>
      <c r="D514" s="1823"/>
      <c r="E514" s="1823"/>
      <c r="F514" s="573" t="s">
        <v>628</v>
      </c>
      <c r="G514" s="573"/>
      <c r="H514" s="573"/>
      <c r="I514" s="573" t="s">
        <v>185</v>
      </c>
      <c r="J514" s="572">
        <v>2126.25</v>
      </c>
      <c r="K514" s="573" t="s">
        <v>716</v>
      </c>
      <c r="L514" s="572">
        <v>260.7</v>
      </c>
      <c r="M514" s="571">
        <v>8.32</v>
      </c>
      <c r="N514" s="570">
        <v>2169</v>
      </c>
      <c r="V514" s="674"/>
      <c r="W514" s="675" t="s">
        <v>2884</v>
      </c>
      <c r="AC514" s="675"/>
      <c r="AD514" s="675"/>
      <c r="AF514" s="675"/>
      <c r="AG514" s="675"/>
      <c r="AH514" s="680"/>
    </row>
    <row r="515" spans="1:34" s="536" customFormat="1" ht="12" x14ac:dyDescent="0.2">
      <c r="A515" s="569"/>
      <c r="B515" s="656"/>
      <c r="C515" s="661" t="s">
        <v>717</v>
      </c>
      <c r="D515" s="662"/>
      <c r="E515" s="662"/>
      <c r="F515" s="563"/>
      <c r="G515" s="563"/>
      <c r="H515" s="563"/>
      <c r="I515" s="563"/>
      <c r="J515" s="566"/>
      <c r="K515" s="563"/>
      <c r="L515" s="566"/>
      <c r="M515" s="565"/>
      <c r="N515" s="564"/>
      <c r="V515" s="674"/>
      <c r="W515" s="675"/>
      <c r="AC515" s="675"/>
      <c r="AD515" s="675"/>
      <c r="AF515" s="675"/>
      <c r="AG515" s="675"/>
      <c r="AH515" s="680"/>
    </row>
    <row r="516" spans="1:34" s="536" customFormat="1" ht="22.5" x14ac:dyDescent="0.2">
      <c r="A516" s="609"/>
      <c r="B516" s="552" t="s">
        <v>718</v>
      </c>
      <c r="C516" s="1822" t="s">
        <v>719</v>
      </c>
      <c r="D516" s="1822"/>
      <c r="E516" s="1822"/>
      <c r="F516" s="1822"/>
      <c r="G516" s="1822"/>
      <c r="H516" s="1822"/>
      <c r="I516" s="1822"/>
      <c r="J516" s="1822"/>
      <c r="K516" s="1822"/>
      <c r="L516" s="1822"/>
      <c r="M516" s="1822"/>
      <c r="N516" s="1827"/>
      <c r="V516" s="674"/>
      <c r="W516" s="675"/>
      <c r="Y516" s="537" t="s">
        <v>719</v>
      </c>
      <c r="AC516" s="675"/>
      <c r="AD516" s="675"/>
      <c r="AF516" s="675"/>
      <c r="AG516" s="675"/>
      <c r="AH516" s="680"/>
    </row>
    <row r="517" spans="1:34" s="536" customFormat="1" ht="22.5" x14ac:dyDescent="0.2">
      <c r="A517" s="575" t="s">
        <v>713</v>
      </c>
      <c r="B517" s="657" t="s">
        <v>8126</v>
      </c>
      <c r="C517" s="1823" t="s">
        <v>8127</v>
      </c>
      <c r="D517" s="1823"/>
      <c r="E517" s="1823"/>
      <c r="F517" s="573" t="s">
        <v>617</v>
      </c>
      <c r="G517" s="573"/>
      <c r="H517" s="573"/>
      <c r="I517" s="573" t="s">
        <v>186</v>
      </c>
      <c r="J517" s="572"/>
      <c r="K517" s="573"/>
      <c r="L517" s="572"/>
      <c r="M517" s="571"/>
      <c r="N517" s="570"/>
      <c r="V517" s="674"/>
      <c r="W517" s="675" t="s">
        <v>8127</v>
      </c>
      <c r="AC517" s="675"/>
      <c r="AD517" s="675"/>
      <c r="AF517" s="675"/>
      <c r="AG517" s="675"/>
      <c r="AH517" s="680"/>
    </row>
    <row r="518" spans="1:34" s="536" customFormat="1" ht="22.5" x14ac:dyDescent="0.2">
      <c r="A518" s="609"/>
      <c r="B518" s="552" t="s">
        <v>499</v>
      </c>
      <c r="C518" s="1822" t="s">
        <v>500</v>
      </c>
      <c r="D518" s="1822"/>
      <c r="E518" s="1822"/>
      <c r="F518" s="1822"/>
      <c r="G518" s="1822"/>
      <c r="H518" s="1822"/>
      <c r="I518" s="1822"/>
      <c r="J518" s="1822"/>
      <c r="K518" s="1822"/>
      <c r="L518" s="1822"/>
      <c r="M518" s="1822"/>
      <c r="N518" s="1827"/>
      <c r="V518" s="674"/>
      <c r="W518" s="675"/>
      <c r="Y518" s="537" t="s">
        <v>500</v>
      </c>
      <c r="AC518" s="675"/>
      <c r="AD518" s="675"/>
      <c r="AF518" s="675"/>
      <c r="AG518" s="675"/>
      <c r="AH518" s="680"/>
    </row>
    <row r="519" spans="1:34" s="536" customFormat="1" ht="12" x14ac:dyDescent="0.2">
      <c r="A519" s="605"/>
      <c r="B519" s="552" t="s">
        <v>185</v>
      </c>
      <c r="C519" s="1822" t="s">
        <v>312</v>
      </c>
      <c r="D519" s="1822"/>
      <c r="E519" s="1822"/>
      <c r="F519" s="562"/>
      <c r="G519" s="562"/>
      <c r="H519" s="562"/>
      <c r="I519" s="562"/>
      <c r="J519" s="604">
        <v>9.1300000000000008</v>
      </c>
      <c r="K519" s="562" t="s">
        <v>313</v>
      </c>
      <c r="L519" s="604">
        <v>22.83</v>
      </c>
      <c r="M519" s="603"/>
      <c r="N519" s="602"/>
      <c r="V519" s="674"/>
      <c r="W519" s="675"/>
      <c r="Z519" s="537" t="s">
        <v>312</v>
      </c>
      <c r="AC519" s="675"/>
      <c r="AD519" s="675"/>
      <c r="AF519" s="675"/>
      <c r="AG519" s="675"/>
      <c r="AH519" s="680"/>
    </row>
    <row r="520" spans="1:34" s="536" customFormat="1" ht="12" x14ac:dyDescent="0.2">
      <c r="A520" s="605"/>
      <c r="B520" s="552" t="s">
        <v>186</v>
      </c>
      <c r="C520" s="1822" t="s">
        <v>344</v>
      </c>
      <c r="D520" s="1822"/>
      <c r="E520" s="1822"/>
      <c r="F520" s="562"/>
      <c r="G520" s="562"/>
      <c r="H520" s="562"/>
      <c r="I520" s="562"/>
      <c r="J520" s="604">
        <v>1.47</v>
      </c>
      <c r="K520" s="562" t="s">
        <v>313</v>
      </c>
      <c r="L520" s="604">
        <v>3.68</v>
      </c>
      <c r="M520" s="603"/>
      <c r="N520" s="602"/>
      <c r="V520" s="674"/>
      <c r="W520" s="675"/>
      <c r="Z520" s="537" t="s">
        <v>344</v>
      </c>
      <c r="AC520" s="675"/>
      <c r="AD520" s="675"/>
      <c r="AF520" s="675"/>
      <c r="AG520" s="675"/>
      <c r="AH520" s="680"/>
    </row>
    <row r="521" spans="1:34" s="536" customFormat="1" ht="12" x14ac:dyDescent="0.2">
      <c r="A521" s="605"/>
      <c r="B521" s="552" t="s">
        <v>187</v>
      </c>
      <c r="C521" s="1822" t="s">
        <v>345</v>
      </c>
      <c r="D521" s="1822"/>
      <c r="E521" s="1822"/>
      <c r="F521" s="562"/>
      <c r="G521" s="562"/>
      <c r="H521" s="562"/>
      <c r="I521" s="562"/>
      <c r="J521" s="604">
        <v>0.12</v>
      </c>
      <c r="K521" s="562" t="s">
        <v>313</v>
      </c>
      <c r="L521" s="604">
        <v>0.3</v>
      </c>
      <c r="M521" s="603"/>
      <c r="N521" s="602"/>
      <c r="V521" s="674"/>
      <c r="W521" s="675"/>
      <c r="Z521" s="537" t="s">
        <v>345</v>
      </c>
      <c r="AC521" s="675"/>
      <c r="AD521" s="675"/>
      <c r="AF521" s="675"/>
      <c r="AG521" s="675"/>
      <c r="AH521" s="680"/>
    </row>
    <row r="522" spans="1:34" s="536" customFormat="1" ht="12" x14ac:dyDescent="0.2">
      <c r="A522" s="605"/>
      <c r="B522" s="552" t="s">
        <v>188</v>
      </c>
      <c r="C522" s="1822" t="s">
        <v>475</v>
      </c>
      <c r="D522" s="1822"/>
      <c r="E522" s="1822"/>
      <c r="F522" s="562"/>
      <c r="G522" s="562"/>
      <c r="H522" s="562"/>
      <c r="I522" s="562"/>
      <c r="J522" s="604">
        <v>7.49</v>
      </c>
      <c r="K522" s="562"/>
      <c r="L522" s="604">
        <v>14.98</v>
      </c>
      <c r="M522" s="603"/>
      <c r="N522" s="602"/>
      <c r="V522" s="674"/>
      <c r="W522" s="675"/>
      <c r="Z522" s="537" t="s">
        <v>475</v>
      </c>
      <c r="AC522" s="675"/>
      <c r="AD522" s="675"/>
      <c r="AF522" s="675"/>
      <c r="AG522" s="675"/>
      <c r="AH522" s="680"/>
    </row>
    <row r="523" spans="1:34" s="536" customFormat="1" ht="12" x14ac:dyDescent="0.2">
      <c r="A523" s="676"/>
      <c r="B523" s="677" t="s">
        <v>8128</v>
      </c>
      <c r="C523" s="1829" t="s">
        <v>8129</v>
      </c>
      <c r="D523" s="1829"/>
      <c r="E523" s="1829"/>
      <c r="F523" s="678" t="s">
        <v>617</v>
      </c>
      <c r="G523" s="678" t="s">
        <v>185</v>
      </c>
      <c r="H523" s="678"/>
      <c r="I523" s="678" t="s">
        <v>186</v>
      </c>
      <c r="J523" s="552"/>
      <c r="K523" s="562"/>
      <c r="L523" s="604"/>
      <c r="M523" s="562"/>
      <c r="N523" s="679"/>
      <c r="V523" s="674"/>
      <c r="W523" s="675"/>
      <c r="AC523" s="675"/>
      <c r="AD523" s="675"/>
      <c r="AF523" s="675"/>
      <c r="AG523" s="675"/>
      <c r="AH523" s="680" t="s">
        <v>8129</v>
      </c>
    </row>
    <row r="524" spans="1:34" s="536" customFormat="1" ht="12" x14ac:dyDescent="0.2">
      <c r="A524" s="605"/>
      <c r="B524" s="552"/>
      <c r="C524" s="1822" t="s">
        <v>314</v>
      </c>
      <c r="D524" s="1822"/>
      <c r="E524" s="1822"/>
      <c r="F524" s="562" t="s">
        <v>315</v>
      </c>
      <c r="G524" s="562" t="s">
        <v>702</v>
      </c>
      <c r="H524" s="562" t="s">
        <v>313</v>
      </c>
      <c r="I524" s="562" t="s">
        <v>808</v>
      </c>
      <c r="J524" s="604"/>
      <c r="K524" s="562"/>
      <c r="L524" s="604"/>
      <c r="M524" s="603"/>
      <c r="N524" s="602"/>
      <c r="V524" s="674"/>
      <c r="W524" s="675"/>
      <c r="AA524" s="537" t="s">
        <v>314</v>
      </c>
      <c r="AC524" s="675"/>
      <c r="AD524" s="675"/>
      <c r="AF524" s="675"/>
      <c r="AG524" s="675"/>
      <c r="AH524" s="680"/>
    </row>
    <row r="525" spans="1:34" s="536" customFormat="1" ht="12" x14ac:dyDescent="0.2">
      <c r="A525" s="605"/>
      <c r="B525" s="552"/>
      <c r="C525" s="1822" t="s">
        <v>348</v>
      </c>
      <c r="D525" s="1822"/>
      <c r="E525" s="1822"/>
      <c r="F525" s="562" t="s">
        <v>315</v>
      </c>
      <c r="G525" s="562" t="s">
        <v>809</v>
      </c>
      <c r="H525" s="562" t="s">
        <v>313</v>
      </c>
      <c r="I525" s="562" t="s">
        <v>2258</v>
      </c>
      <c r="J525" s="604"/>
      <c r="K525" s="562"/>
      <c r="L525" s="604"/>
      <c r="M525" s="603"/>
      <c r="N525" s="602"/>
      <c r="V525" s="674"/>
      <c r="W525" s="675"/>
      <c r="AA525" s="537" t="s">
        <v>348</v>
      </c>
      <c r="AC525" s="675"/>
      <c r="AD525" s="675"/>
      <c r="AF525" s="675"/>
      <c r="AG525" s="675"/>
      <c r="AH525" s="680"/>
    </row>
    <row r="526" spans="1:34" s="536" customFormat="1" ht="12" x14ac:dyDescent="0.2">
      <c r="A526" s="605"/>
      <c r="B526" s="552"/>
      <c r="C526" s="1828" t="s">
        <v>318</v>
      </c>
      <c r="D526" s="1828"/>
      <c r="E526" s="1828"/>
      <c r="F526" s="608"/>
      <c r="G526" s="608"/>
      <c r="H526" s="608"/>
      <c r="I526" s="608"/>
      <c r="J526" s="607">
        <v>18.09</v>
      </c>
      <c r="K526" s="608"/>
      <c r="L526" s="607">
        <v>41.49</v>
      </c>
      <c r="M526" s="601"/>
      <c r="N526" s="606"/>
      <c r="V526" s="674"/>
      <c r="W526" s="675"/>
      <c r="AB526" s="537" t="s">
        <v>318</v>
      </c>
      <c r="AC526" s="675"/>
      <c r="AD526" s="675"/>
      <c r="AF526" s="675"/>
      <c r="AG526" s="675"/>
      <c r="AH526" s="680"/>
    </row>
    <row r="527" spans="1:34" s="536" customFormat="1" ht="12" x14ac:dyDescent="0.2">
      <c r="A527" s="605"/>
      <c r="B527" s="552"/>
      <c r="C527" s="1822" t="s">
        <v>319</v>
      </c>
      <c r="D527" s="1822"/>
      <c r="E527" s="1822"/>
      <c r="F527" s="562"/>
      <c r="G527" s="562"/>
      <c r="H527" s="562"/>
      <c r="I527" s="562"/>
      <c r="J527" s="604"/>
      <c r="K527" s="562"/>
      <c r="L527" s="604">
        <v>23.13</v>
      </c>
      <c r="M527" s="603"/>
      <c r="N527" s="602"/>
      <c r="V527" s="674"/>
      <c r="W527" s="675"/>
      <c r="AA527" s="537" t="s">
        <v>319</v>
      </c>
      <c r="AC527" s="675"/>
      <c r="AD527" s="675"/>
      <c r="AF527" s="675"/>
      <c r="AG527" s="675"/>
      <c r="AH527" s="680"/>
    </row>
    <row r="528" spans="1:34" s="536" customFormat="1" ht="45" x14ac:dyDescent="0.2">
      <c r="A528" s="605"/>
      <c r="B528" s="552" t="s">
        <v>892</v>
      </c>
      <c r="C528" s="1822" t="s">
        <v>893</v>
      </c>
      <c r="D528" s="1822"/>
      <c r="E528" s="1822"/>
      <c r="F528" s="562" t="s">
        <v>322</v>
      </c>
      <c r="G528" s="562" t="s">
        <v>894</v>
      </c>
      <c r="H528" s="562"/>
      <c r="I528" s="562" t="s">
        <v>894</v>
      </c>
      <c r="J528" s="604"/>
      <c r="K528" s="562"/>
      <c r="L528" s="604">
        <v>27.99</v>
      </c>
      <c r="M528" s="603"/>
      <c r="N528" s="602"/>
      <c r="V528" s="674"/>
      <c r="W528" s="675"/>
      <c r="AA528" s="537" t="s">
        <v>893</v>
      </c>
      <c r="AC528" s="675"/>
      <c r="AD528" s="675"/>
      <c r="AF528" s="675"/>
      <c r="AG528" s="675"/>
      <c r="AH528" s="680"/>
    </row>
    <row r="529" spans="1:34" s="536" customFormat="1" ht="45" x14ac:dyDescent="0.2">
      <c r="A529" s="605"/>
      <c r="B529" s="552" t="s">
        <v>895</v>
      </c>
      <c r="C529" s="1822" t="s">
        <v>896</v>
      </c>
      <c r="D529" s="1822"/>
      <c r="E529" s="1822"/>
      <c r="F529" s="562" t="s">
        <v>322</v>
      </c>
      <c r="G529" s="562" t="s">
        <v>897</v>
      </c>
      <c r="H529" s="562"/>
      <c r="I529" s="562" t="s">
        <v>897</v>
      </c>
      <c r="J529" s="604"/>
      <c r="K529" s="562"/>
      <c r="L529" s="604">
        <v>16.649999999999999</v>
      </c>
      <c r="M529" s="603"/>
      <c r="N529" s="602"/>
      <c r="V529" s="674"/>
      <c r="W529" s="675"/>
      <c r="AA529" s="537" t="s">
        <v>896</v>
      </c>
      <c r="AC529" s="675"/>
      <c r="AD529" s="675"/>
      <c r="AF529" s="675"/>
      <c r="AG529" s="675"/>
      <c r="AH529" s="680"/>
    </row>
    <row r="530" spans="1:34" s="536" customFormat="1" ht="12" x14ac:dyDescent="0.2">
      <c r="A530" s="569"/>
      <c r="B530" s="656"/>
      <c r="C530" s="1823" t="s">
        <v>327</v>
      </c>
      <c r="D530" s="1823"/>
      <c r="E530" s="1823"/>
      <c r="F530" s="573"/>
      <c r="G530" s="573"/>
      <c r="H530" s="573"/>
      <c r="I530" s="573"/>
      <c r="J530" s="572"/>
      <c r="K530" s="573"/>
      <c r="L530" s="572">
        <v>86.13</v>
      </c>
      <c r="M530" s="601"/>
      <c r="N530" s="570"/>
      <c r="V530" s="674"/>
      <c r="W530" s="675"/>
      <c r="AC530" s="675" t="s">
        <v>327</v>
      </c>
      <c r="AD530" s="675"/>
      <c r="AF530" s="675"/>
      <c r="AG530" s="675"/>
      <c r="AH530" s="680"/>
    </row>
    <row r="531" spans="1:34" s="536" customFormat="1" ht="22.5" x14ac:dyDescent="0.2">
      <c r="A531" s="575" t="s">
        <v>793</v>
      </c>
      <c r="B531" s="657" t="s">
        <v>8130</v>
      </c>
      <c r="C531" s="1823" t="s">
        <v>8131</v>
      </c>
      <c r="D531" s="1823"/>
      <c r="E531" s="1823"/>
      <c r="F531" s="573" t="s">
        <v>617</v>
      </c>
      <c r="G531" s="573"/>
      <c r="H531" s="573"/>
      <c r="I531" s="573" t="s">
        <v>186</v>
      </c>
      <c r="J531" s="572">
        <v>76.14</v>
      </c>
      <c r="K531" s="573"/>
      <c r="L531" s="572">
        <v>152.28</v>
      </c>
      <c r="M531" s="571"/>
      <c r="N531" s="570"/>
      <c r="V531" s="674"/>
      <c r="W531" s="675" t="s">
        <v>8131</v>
      </c>
      <c r="AC531" s="675"/>
      <c r="AD531" s="675"/>
      <c r="AF531" s="675"/>
      <c r="AG531" s="675"/>
      <c r="AH531" s="680"/>
    </row>
    <row r="532" spans="1:34" s="536" customFormat="1" ht="12" x14ac:dyDescent="0.2">
      <c r="A532" s="569"/>
      <c r="B532" s="656"/>
      <c r="C532" s="661" t="s">
        <v>2820</v>
      </c>
      <c r="D532" s="662"/>
      <c r="E532" s="662"/>
      <c r="F532" s="563"/>
      <c r="G532" s="563"/>
      <c r="H532" s="563"/>
      <c r="I532" s="563"/>
      <c r="J532" s="566"/>
      <c r="K532" s="563"/>
      <c r="L532" s="566"/>
      <c r="M532" s="565"/>
      <c r="N532" s="564"/>
      <c r="V532" s="674"/>
      <c r="W532" s="675"/>
      <c r="AC532" s="675"/>
      <c r="AD532" s="675"/>
      <c r="AF532" s="675"/>
      <c r="AG532" s="675"/>
      <c r="AH532" s="680"/>
    </row>
    <row r="533" spans="1:34" s="536" customFormat="1" ht="12" x14ac:dyDescent="0.2">
      <c r="A533" s="1830" t="s">
        <v>2885</v>
      </c>
      <c r="B533" s="1831"/>
      <c r="C533" s="1831"/>
      <c r="D533" s="1831"/>
      <c r="E533" s="1831"/>
      <c r="F533" s="1831"/>
      <c r="G533" s="1831"/>
      <c r="H533" s="1831"/>
      <c r="I533" s="1831"/>
      <c r="J533" s="1831"/>
      <c r="K533" s="1831"/>
      <c r="L533" s="1831"/>
      <c r="M533" s="1831"/>
      <c r="N533" s="1832"/>
      <c r="V533" s="674"/>
      <c r="W533" s="675"/>
      <c r="AC533" s="675"/>
      <c r="AD533" s="675"/>
      <c r="AF533" s="675"/>
      <c r="AG533" s="675" t="s">
        <v>2885</v>
      </c>
      <c r="AH533" s="680"/>
    </row>
    <row r="534" spans="1:34" s="536" customFormat="1" ht="22.5" x14ac:dyDescent="0.2">
      <c r="A534" s="575" t="s">
        <v>653</v>
      </c>
      <c r="B534" s="657" t="s">
        <v>2844</v>
      </c>
      <c r="C534" s="1823" t="s">
        <v>2845</v>
      </c>
      <c r="D534" s="1823"/>
      <c r="E534" s="1823"/>
      <c r="F534" s="573" t="s">
        <v>617</v>
      </c>
      <c r="G534" s="573"/>
      <c r="H534" s="573"/>
      <c r="I534" s="573" t="s">
        <v>733</v>
      </c>
      <c r="J534" s="572"/>
      <c r="K534" s="573"/>
      <c r="L534" s="572"/>
      <c r="M534" s="571"/>
      <c r="N534" s="570"/>
      <c r="V534" s="674"/>
      <c r="W534" s="675" t="s">
        <v>2845</v>
      </c>
      <c r="AC534" s="675"/>
      <c r="AD534" s="675"/>
      <c r="AF534" s="675"/>
      <c r="AG534" s="675"/>
      <c r="AH534" s="680"/>
    </row>
    <row r="535" spans="1:34" s="536" customFormat="1" ht="12" x14ac:dyDescent="0.2">
      <c r="A535" s="676"/>
      <c r="B535" s="655"/>
      <c r="C535" s="1822" t="s">
        <v>8132</v>
      </c>
      <c r="D535" s="1822"/>
      <c r="E535" s="1822"/>
      <c r="F535" s="1822"/>
      <c r="G535" s="1822"/>
      <c r="H535" s="1822"/>
      <c r="I535" s="1822"/>
      <c r="J535" s="1822"/>
      <c r="K535" s="1822"/>
      <c r="L535" s="1822"/>
      <c r="M535" s="1822"/>
      <c r="N535" s="1827"/>
      <c r="V535" s="674"/>
      <c r="W535" s="675"/>
      <c r="X535" s="537" t="s">
        <v>8132</v>
      </c>
      <c r="AC535" s="675"/>
      <c r="AD535" s="675"/>
      <c r="AF535" s="675"/>
      <c r="AG535" s="675"/>
      <c r="AH535" s="680"/>
    </row>
    <row r="536" spans="1:34" s="536" customFormat="1" ht="12" x14ac:dyDescent="0.2">
      <c r="A536" s="609"/>
      <c r="B536" s="552" t="s">
        <v>2774</v>
      </c>
      <c r="C536" s="1822" t="s">
        <v>2775</v>
      </c>
      <c r="D536" s="1822"/>
      <c r="E536" s="1822"/>
      <c r="F536" s="1822"/>
      <c r="G536" s="1822"/>
      <c r="H536" s="1822"/>
      <c r="I536" s="1822"/>
      <c r="J536" s="1822"/>
      <c r="K536" s="1822"/>
      <c r="L536" s="1822"/>
      <c r="M536" s="1822"/>
      <c r="N536" s="1827"/>
      <c r="V536" s="674"/>
      <c r="W536" s="675"/>
      <c r="Y536" s="537" t="s">
        <v>2775</v>
      </c>
      <c r="AC536" s="675"/>
      <c r="AD536" s="675"/>
      <c r="AF536" s="675"/>
      <c r="AG536" s="675"/>
      <c r="AH536" s="680"/>
    </row>
    <row r="537" spans="1:34" s="536" customFormat="1" ht="22.5" x14ac:dyDescent="0.2">
      <c r="A537" s="609"/>
      <c r="B537" s="552" t="s">
        <v>499</v>
      </c>
      <c r="C537" s="1822" t="s">
        <v>500</v>
      </c>
      <c r="D537" s="1822"/>
      <c r="E537" s="1822"/>
      <c r="F537" s="1822"/>
      <c r="G537" s="1822"/>
      <c r="H537" s="1822"/>
      <c r="I537" s="1822"/>
      <c r="J537" s="1822"/>
      <c r="K537" s="1822"/>
      <c r="L537" s="1822"/>
      <c r="M537" s="1822"/>
      <c r="N537" s="1827"/>
      <c r="V537" s="674"/>
      <c r="W537" s="675"/>
      <c r="Y537" s="537" t="s">
        <v>500</v>
      </c>
      <c r="AC537" s="675"/>
      <c r="AD537" s="675"/>
      <c r="AF537" s="675"/>
      <c r="AG537" s="675"/>
      <c r="AH537" s="680"/>
    </row>
    <row r="538" spans="1:34" s="536" customFormat="1" ht="12" x14ac:dyDescent="0.2">
      <c r="A538" s="605"/>
      <c r="B538" s="552" t="s">
        <v>185</v>
      </c>
      <c r="C538" s="1822" t="s">
        <v>312</v>
      </c>
      <c r="D538" s="1822"/>
      <c r="E538" s="1822"/>
      <c r="F538" s="562"/>
      <c r="G538" s="562"/>
      <c r="H538" s="562"/>
      <c r="I538" s="562"/>
      <c r="J538" s="604">
        <v>9.6</v>
      </c>
      <c r="K538" s="562" t="s">
        <v>2776</v>
      </c>
      <c r="L538" s="604">
        <v>252</v>
      </c>
      <c r="M538" s="603"/>
      <c r="N538" s="602"/>
      <c r="V538" s="674"/>
      <c r="W538" s="675"/>
      <c r="Z538" s="537" t="s">
        <v>312</v>
      </c>
      <c r="AC538" s="675"/>
      <c r="AD538" s="675"/>
      <c r="AF538" s="675"/>
      <c r="AG538" s="675"/>
      <c r="AH538" s="680"/>
    </row>
    <row r="539" spans="1:34" s="536" customFormat="1" ht="12" x14ac:dyDescent="0.2">
      <c r="A539" s="605"/>
      <c r="B539" s="552" t="s">
        <v>186</v>
      </c>
      <c r="C539" s="1822" t="s">
        <v>344</v>
      </c>
      <c r="D539" s="1822"/>
      <c r="E539" s="1822"/>
      <c r="F539" s="562"/>
      <c r="G539" s="562"/>
      <c r="H539" s="562"/>
      <c r="I539" s="562"/>
      <c r="J539" s="604">
        <v>1.47</v>
      </c>
      <c r="K539" s="562" t="s">
        <v>2776</v>
      </c>
      <c r="L539" s="604">
        <v>38.590000000000003</v>
      </c>
      <c r="M539" s="603"/>
      <c r="N539" s="602"/>
      <c r="V539" s="674"/>
      <c r="W539" s="675"/>
      <c r="Z539" s="537" t="s">
        <v>344</v>
      </c>
      <c r="AC539" s="675"/>
      <c r="AD539" s="675"/>
      <c r="AF539" s="675"/>
      <c r="AG539" s="675"/>
      <c r="AH539" s="680"/>
    </row>
    <row r="540" spans="1:34" s="536" customFormat="1" ht="12" x14ac:dyDescent="0.2">
      <c r="A540" s="605"/>
      <c r="B540" s="552" t="s">
        <v>187</v>
      </c>
      <c r="C540" s="1822" t="s">
        <v>345</v>
      </c>
      <c r="D540" s="1822"/>
      <c r="E540" s="1822"/>
      <c r="F540" s="562"/>
      <c r="G540" s="562"/>
      <c r="H540" s="562"/>
      <c r="I540" s="562"/>
      <c r="J540" s="604">
        <v>0.12</v>
      </c>
      <c r="K540" s="562" t="s">
        <v>2776</v>
      </c>
      <c r="L540" s="604">
        <v>3.15</v>
      </c>
      <c r="M540" s="603"/>
      <c r="N540" s="602"/>
      <c r="V540" s="674"/>
      <c r="W540" s="675"/>
      <c r="Z540" s="537" t="s">
        <v>345</v>
      </c>
      <c r="AC540" s="675"/>
      <c r="AD540" s="675"/>
      <c r="AF540" s="675"/>
      <c r="AG540" s="675"/>
      <c r="AH540" s="680"/>
    </row>
    <row r="541" spans="1:34" s="536" customFormat="1" ht="12" x14ac:dyDescent="0.2">
      <c r="A541" s="605"/>
      <c r="B541" s="552" t="s">
        <v>188</v>
      </c>
      <c r="C541" s="1822" t="s">
        <v>475</v>
      </c>
      <c r="D541" s="1822"/>
      <c r="E541" s="1822"/>
      <c r="F541" s="562"/>
      <c r="G541" s="562"/>
      <c r="H541" s="562"/>
      <c r="I541" s="562"/>
      <c r="J541" s="604">
        <v>4.0999999999999996</v>
      </c>
      <c r="K541" s="562"/>
      <c r="L541" s="604">
        <v>82</v>
      </c>
      <c r="M541" s="603"/>
      <c r="N541" s="602"/>
      <c r="V541" s="674"/>
      <c r="W541" s="675"/>
      <c r="Z541" s="537" t="s">
        <v>475</v>
      </c>
      <c r="AC541" s="675"/>
      <c r="AD541" s="675"/>
      <c r="AF541" s="675"/>
      <c r="AG541" s="675"/>
      <c r="AH541" s="680"/>
    </row>
    <row r="542" spans="1:34" s="536" customFormat="1" ht="12" x14ac:dyDescent="0.2">
      <c r="A542" s="676"/>
      <c r="B542" s="677" t="s">
        <v>2847</v>
      </c>
      <c r="C542" s="1829" t="s">
        <v>2848</v>
      </c>
      <c r="D542" s="1829"/>
      <c r="E542" s="1829"/>
      <c r="F542" s="678" t="s">
        <v>617</v>
      </c>
      <c r="G542" s="678" t="s">
        <v>185</v>
      </c>
      <c r="H542" s="678"/>
      <c r="I542" s="678" t="s">
        <v>733</v>
      </c>
      <c r="J542" s="552"/>
      <c r="K542" s="562"/>
      <c r="L542" s="604"/>
      <c r="M542" s="562"/>
      <c r="N542" s="679"/>
      <c r="V542" s="674"/>
      <c r="W542" s="675"/>
      <c r="AC542" s="675"/>
      <c r="AD542" s="675"/>
      <c r="AF542" s="675"/>
      <c r="AG542" s="675"/>
      <c r="AH542" s="680" t="s">
        <v>2848</v>
      </c>
    </row>
    <row r="543" spans="1:34" s="536" customFormat="1" ht="12" x14ac:dyDescent="0.2">
      <c r="A543" s="605"/>
      <c r="B543" s="552"/>
      <c r="C543" s="1822" t="s">
        <v>314</v>
      </c>
      <c r="D543" s="1822"/>
      <c r="E543" s="1822"/>
      <c r="F543" s="562" t="s">
        <v>315</v>
      </c>
      <c r="G543" s="562" t="s">
        <v>367</v>
      </c>
      <c r="H543" s="562" t="s">
        <v>2776</v>
      </c>
      <c r="I543" s="562" t="s">
        <v>8133</v>
      </c>
      <c r="J543" s="604"/>
      <c r="K543" s="562"/>
      <c r="L543" s="604"/>
      <c r="M543" s="603"/>
      <c r="N543" s="602"/>
      <c r="V543" s="674"/>
      <c r="W543" s="675"/>
      <c r="AA543" s="537" t="s">
        <v>314</v>
      </c>
      <c r="AC543" s="675"/>
      <c r="AD543" s="675"/>
      <c r="AF543" s="675"/>
      <c r="AG543" s="675"/>
      <c r="AH543" s="680"/>
    </row>
    <row r="544" spans="1:34" s="536" customFormat="1" ht="12" x14ac:dyDescent="0.2">
      <c r="A544" s="605"/>
      <c r="B544" s="552"/>
      <c r="C544" s="1822" t="s">
        <v>348</v>
      </c>
      <c r="D544" s="1822"/>
      <c r="E544" s="1822"/>
      <c r="F544" s="562" t="s">
        <v>315</v>
      </c>
      <c r="G544" s="562" t="s">
        <v>809</v>
      </c>
      <c r="H544" s="562" t="s">
        <v>2776</v>
      </c>
      <c r="I544" s="562" t="s">
        <v>859</v>
      </c>
      <c r="J544" s="604"/>
      <c r="K544" s="562"/>
      <c r="L544" s="604"/>
      <c r="M544" s="603"/>
      <c r="N544" s="602"/>
      <c r="V544" s="674"/>
      <c r="W544" s="675"/>
      <c r="AA544" s="537" t="s">
        <v>348</v>
      </c>
      <c r="AC544" s="675"/>
      <c r="AD544" s="675"/>
      <c r="AF544" s="675"/>
      <c r="AG544" s="675"/>
      <c r="AH544" s="680"/>
    </row>
    <row r="545" spans="1:34" s="536" customFormat="1" ht="12" x14ac:dyDescent="0.2">
      <c r="A545" s="605"/>
      <c r="B545" s="552"/>
      <c r="C545" s="1828" t="s">
        <v>318</v>
      </c>
      <c r="D545" s="1828"/>
      <c r="E545" s="1828"/>
      <c r="F545" s="608"/>
      <c r="G545" s="608"/>
      <c r="H545" s="608"/>
      <c r="I545" s="608"/>
      <c r="J545" s="607">
        <v>15.17</v>
      </c>
      <c r="K545" s="608"/>
      <c r="L545" s="607">
        <v>372.59</v>
      </c>
      <c r="M545" s="601"/>
      <c r="N545" s="606"/>
      <c r="V545" s="674"/>
      <c r="W545" s="675"/>
      <c r="AB545" s="537" t="s">
        <v>318</v>
      </c>
      <c r="AC545" s="675"/>
      <c r="AD545" s="675"/>
      <c r="AF545" s="675"/>
      <c r="AG545" s="675"/>
      <c r="AH545" s="680"/>
    </row>
    <row r="546" spans="1:34" s="536" customFormat="1" ht="12" x14ac:dyDescent="0.2">
      <c r="A546" s="605"/>
      <c r="B546" s="552"/>
      <c r="C546" s="1822" t="s">
        <v>319</v>
      </c>
      <c r="D546" s="1822"/>
      <c r="E546" s="1822"/>
      <c r="F546" s="562"/>
      <c r="G546" s="562"/>
      <c r="H546" s="562"/>
      <c r="I546" s="562"/>
      <c r="J546" s="604"/>
      <c r="K546" s="562"/>
      <c r="L546" s="604">
        <v>255.15</v>
      </c>
      <c r="M546" s="603"/>
      <c r="N546" s="602"/>
      <c r="V546" s="674"/>
      <c r="W546" s="675"/>
      <c r="AA546" s="537" t="s">
        <v>319</v>
      </c>
      <c r="AC546" s="675"/>
      <c r="AD546" s="675"/>
      <c r="AF546" s="675"/>
      <c r="AG546" s="675"/>
      <c r="AH546" s="680"/>
    </row>
    <row r="547" spans="1:34" s="536" customFormat="1" ht="45" x14ac:dyDescent="0.2">
      <c r="A547" s="605"/>
      <c r="B547" s="552" t="s">
        <v>892</v>
      </c>
      <c r="C547" s="1822" t="s">
        <v>893</v>
      </c>
      <c r="D547" s="1822"/>
      <c r="E547" s="1822"/>
      <c r="F547" s="562" t="s">
        <v>322</v>
      </c>
      <c r="G547" s="562" t="s">
        <v>894</v>
      </c>
      <c r="H547" s="562"/>
      <c r="I547" s="562" t="s">
        <v>894</v>
      </c>
      <c r="J547" s="604"/>
      <c r="K547" s="562"/>
      <c r="L547" s="604">
        <v>308.73</v>
      </c>
      <c r="M547" s="603"/>
      <c r="N547" s="602"/>
      <c r="V547" s="674"/>
      <c r="W547" s="675"/>
      <c r="AA547" s="537" t="s">
        <v>893</v>
      </c>
      <c r="AC547" s="675"/>
      <c r="AD547" s="675"/>
      <c r="AF547" s="675"/>
      <c r="AG547" s="675"/>
      <c r="AH547" s="680"/>
    </row>
    <row r="548" spans="1:34" s="536" customFormat="1" ht="45" x14ac:dyDescent="0.2">
      <c r="A548" s="605"/>
      <c r="B548" s="552" t="s">
        <v>895</v>
      </c>
      <c r="C548" s="1822" t="s">
        <v>896</v>
      </c>
      <c r="D548" s="1822"/>
      <c r="E548" s="1822"/>
      <c r="F548" s="562" t="s">
        <v>322</v>
      </c>
      <c r="G548" s="562" t="s">
        <v>897</v>
      </c>
      <c r="H548" s="562"/>
      <c r="I548" s="562" t="s">
        <v>897</v>
      </c>
      <c r="J548" s="604"/>
      <c r="K548" s="562"/>
      <c r="L548" s="604">
        <v>183.71</v>
      </c>
      <c r="M548" s="603"/>
      <c r="N548" s="602"/>
      <c r="V548" s="674"/>
      <c r="W548" s="675"/>
      <c r="AA548" s="537" t="s">
        <v>896</v>
      </c>
      <c r="AC548" s="675"/>
      <c r="AD548" s="675"/>
      <c r="AF548" s="675"/>
      <c r="AG548" s="675"/>
      <c r="AH548" s="680"/>
    </row>
    <row r="549" spans="1:34" s="536" customFormat="1" ht="12" x14ac:dyDescent="0.2">
      <c r="A549" s="569"/>
      <c r="B549" s="656"/>
      <c r="C549" s="1823" t="s">
        <v>327</v>
      </c>
      <c r="D549" s="1823"/>
      <c r="E549" s="1823"/>
      <c r="F549" s="573"/>
      <c r="G549" s="573"/>
      <c r="H549" s="573"/>
      <c r="I549" s="573"/>
      <c r="J549" s="572"/>
      <c r="K549" s="573"/>
      <c r="L549" s="572">
        <v>865.03</v>
      </c>
      <c r="M549" s="601"/>
      <c r="N549" s="570"/>
      <c r="V549" s="674"/>
      <c r="W549" s="675"/>
      <c r="AC549" s="675" t="s">
        <v>327</v>
      </c>
      <c r="AD549" s="675"/>
      <c r="AF549" s="675"/>
      <c r="AG549" s="675"/>
      <c r="AH549" s="680"/>
    </row>
    <row r="550" spans="1:34" s="536" customFormat="1" ht="33.75" x14ac:dyDescent="0.2">
      <c r="A550" s="575" t="s">
        <v>794</v>
      </c>
      <c r="B550" s="657" t="s">
        <v>2886</v>
      </c>
      <c r="C550" s="1823" t="s">
        <v>2887</v>
      </c>
      <c r="D550" s="1823"/>
      <c r="E550" s="1823"/>
      <c r="F550" s="573" t="s">
        <v>617</v>
      </c>
      <c r="G550" s="573"/>
      <c r="H550" s="573"/>
      <c r="I550" s="573" t="s">
        <v>198</v>
      </c>
      <c r="J550" s="572">
        <v>51.59</v>
      </c>
      <c r="K550" s="573"/>
      <c r="L550" s="572">
        <v>722.26</v>
      </c>
      <c r="M550" s="571"/>
      <c r="N550" s="570"/>
      <c r="V550" s="674"/>
      <c r="W550" s="675" t="s">
        <v>2887</v>
      </c>
      <c r="AC550" s="675"/>
      <c r="AD550" s="675"/>
      <c r="AF550" s="675"/>
      <c r="AG550" s="675"/>
      <c r="AH550" s="680"/>
    </row>
    <row r="551" spans="1:34" s="536" customFormat="1" ht="12" x14ac:dyDescent="0.2">
      <c r="A551" s="569"/>
      <c r="B551" s="656"/>
      <c r="C551" s="661" t="s">
        <v>2820</v>
      </c>
      <c r="D551" s="662"/>
      <c r="E551" s="662"/>
      <c r="F551" s="563"/>
      <c r="G551" s="563"/>
      <c r="H551" s="563"/>
      <c r="I551" s="563"/>
      <c r="J551" s="566"/>
      <c r="K551" s="563"/>
      <c r="L551" s="566"/>
      <c r="M551" s="565"/>
      <c r="N551" s="564"/>
      <c r="V551" s="674"/>
      <c r="W551" s="675"/>
      <c r="AC551" s="675"/>
      <c r="AD551" s="675"/>
      <c r="AF551" s="675"/>
      <c r="AG551" s="675"/>
      <c r="AH551" s="680"/>
    </row>
    <row r="552" spans="1:34" s="536" customFormat="1" ht="12" x14ac:dyDescent="0.2">
      <c r="A552" s="676"/>
      <c r="B552" s="655"/>
      <c r="C552" s="1822" t="s">
        <v>2888</v>
      </c>
      <c r="D552" s="1822"/>
      <c r="E552" s="1822"/>
      <c r="F552" s="1822"/>
      <c r="G552" s="1822"/>
      <c r="H552" s="1822"/>
      <c r="I552" s="1822"/>
      <c r="J552" s="1822"/>
      <c r="K552" s="1822"/>
      <c r="L552" s="1822"/>
      <c r="M552" s="1822"/>
      <c r="N552" s="1827"/>
      <c r="V552" s="674"/>
      <c r="W552" s="675"/>
      <c r="X552" s="537" t="s">
        <v>2888</v>
      </c>
      <c r="AC552" s="675"/>
      <c r="AD552" s="675"/>
      <c r="AF552" s="675"/>
      <c r="AG552" s="675"/>
      <c r="AH552" s="680"/>
    </row>
    <row r="553" spans="1:34" s="536" customFormat="1" ht="33.75" x14ac:dyDescent="0.2">
      <c r="A553" s="575" t="s">
        <v>2347</v>
      </c>
      <c r="B553" s="657" t="s">
        <v>2889</v>
      </c>
      <c r="C553" s="1823" t="s">
        <v>2890</v>
      </c>
      <c r="D553" s="1823"/>
      <c r="E553" s="1823"/>
      <c r="F553" s="573" t="s">
        <v>617</v>
      </c>
      <c r="G553" s="573"/>
      <c r="H553" s="573"/>
      <c r="I553" s="573" t="s">
        <v>188</v>
      </c>
      <c r="J553" s="572">
        <v>46.11</v>
      </c>
      <c r="K553" s="573"/>
      <c r="L553" s="572">
        <v>184.44</v>
      </c>
      <c r="M553" s="571"/>
      <c r="N553" s="570"/>
      <c r="V553" s="674"/>
      <c r="W553" s="675" t="s">
        <v>2890</v>
      </c>
      <c r="AC553" s="675"/>
      <c r="AD553" s="675"/>
      <c r="AF553" s="675"/>
      <c r="AG553" s="675"/>
      <c r="AH553" s="680"/>
    </row>
    <row r="554" spans="1:34" s="536" customFormat="1" ht="12" x14ac:dyDescent="0.2">
      <c r="A554" s="569"/>
      <c r="B554" s="656"/>
      <c r="C554" s="661" t="s">
        <v>2820</v>
      </c>
      <c r="D554" s="662"/>
      <c r="E554" s="662"/>
      <c r="F554" s="563"/>
      <c r="G554" s="563"/>
      <c r="H554" s="563"/>
      <c r="I554" s="563"/>
      <c r="J554" s="566"/>
      <c r="K554" s="563"/>
      <c r="L554" s="566"/>
      <c r="M554" s="565"/>
      <c r="N554" s="564"/>
      <c r="V554" s="674"/>
      <c r="W554" s="675"/>
      <c r="AC554" s="675"/>
      <c r="AD554" s="675"/>
      <c r="AF554" s="675"/>
      <c r="AG554" s="675"/>
      <c r="AH554" s="680"/>
    </row>
    <row r="555" spans="1:34" s="536" customFormat="1" ht="33.75" x14ac:dyDescent="0.2">
      <c r="A555" s="575" t="s">
        <v>796</v>
      </c>
      <c r="B555" s="657" t="s">
        <v>2891</v>
      </c>
      <c r="C555" s="1823" t="s">
        <v>2892</v>
      </c>
      <c r="D555" s="1823"/>
      <c r="E555" s="1823"/>
      <c r="F555" s="573" t="s">
        <v>617</v>
      </c>
      <c r="G555" s="573"/>
      <c r="H555" s="573"/>
      <c r="I555" s="573" t="s">
        <v>186</v>
      </c>
      <c r="J555" s="572">
        <v>70.709999999999994</v>
      </c>
      <c r="K555" s="573"/>
      <c r="L555" s="572">
        <v>141.41999999999999</v>
      </c>
      <c r="M555" s="571"/>
      <c r="N555" s="570"/>
      <c r="V555" s="674"/>
      <c r="W555" s="675" t="s">
        <v>2892</v>
      </c>
      <c r="AC555" s="675"/>
      <c r="AD555" s="675"/>
      <c r="AF555" s="675"/>
      <c r="AG555" s="675"/>
      <c r="AH555" s="680"/>
    </row>
    <row r="556" spans="1:34" s="536" customFormat="1" ht="12" x14ac:dyDescent="0.2">
      <c r="A556" s="569"/>
      <c r="B556" s="656"/>
      <c r="C556" s="661" t="s">
        <v>2820</v>
      </c>
      <c r="D556" s="662"/>
      <c r="E556" s="662"/>
      <c r="F556" s="563"/>
      <c r="G556" s="563"/>
      <c r="H556" s="563"/>
      <c r="I556" s="563"/>
      <c r="J556" s="566"/>
      <c r="K556" s="563"/>
      <c r="L556" s="566"/>
      <c r="M556" s="565"/>
      <c r="N556" s="564"/>
      <c r="V556" s="674"/>
      <c r="W556" s="675"/>
      <c r="AC556" s="675"/>
      <c r="AD556" s="675"/>
      <c r="AF556" s="675"/>
      <c r="AG556" s="675"/>
      <c r="AH556" s="680"/>
    </row>
    <row r="557" spans="1:34" s="536" customFormat="1" ht="12" x14ac:dyDescent="0.2">
      <c r="A557" s="676"/>
      <c r="B557" s="655"/>
      <c r="C557" s="1822" t="s">
        <v>946</v>
      </c>
      <c r="D557" s="1822"/>
      <c r="E557" s="1822"/>
      <c r="F557" s="1822"/>
      <c r="G557" s="1822"/>
      <c r="H557" s="1822"/>
      <c r="I557" s="1822"/>
      <c r="J557" s="1822"/>
      <c r="K557" s="1822"/>
      <c r="L557" s="1822"/>
      <c r="M557" s="1822"/>
      <c r="N557" s="1827"/>
      <c r="V557" s="674"/>
      <c r="W557" s="675"/>
      <c r="X557" s="537" t="s">
        <v>946</v>
      </c>
      <c r="AC557" s="675"/>
      <c r="AD557" s="675"/>
      <c r="AF557" s="675"/>
      <c r="AG557" s="675"/>
      <c r="AH557" s="680"/>
    </row>
    <row r="558" spans="1:34" s="536" customFormat="1" ht="45" x14ac:dyDescent="0.2">
      <c r="A558" s="575" t="s">
        <v>797</v>
      </c>
      <c r="B558" s="657" t="s">
        <v>2893</v>
      </c>
      <c r="C558" s="1823" t="s">
        <v>2894</v>
      </c>
      <c r="D558" s="1823"/>
      <c r="E558" s="1823"/>
      <c r="F558" s="573" t="s">
        <v>862</v>
      </c>
      <c r="G558" s="573"/>
      <c r="H558" s="573"/>
      <c r="I558" s="573" t="s">
        <v>2895</v>
      </c>
      <c r="J558" s="572"/>
      <c r="K558" s="573"/>
      <c r="L558" s="572"/>
      <c r="M558" s="571"/>
      <c r="N558" s="570"/>
      <c r="V558" s="674"/>
      <c r="W558" s="675" t="s">
        <v>2894</v>
      </c>
      <c r="AC558" s="675"/>
      <c r="AD558" s="675"/>
      <c r="AF558" s="675"/>
      <c r="AG558" s="675"/>
      <c r="AH558" s="680"/>
    </row>
    <row r="559" spans="1:34" s="536" customFormat="1" ht="22.5" x14ac:dyDescent="0.2">
      <c r="A559" s="676"/>
      <c r="B559" s="655"/>
      <c r="C559" s="1822" t="s">
        <v>2896</v>
      </c>
      <c r="D559" s="1822"/>
      <c r="E559" s="1822"/>
      <c r="F559" s="1822"/>
      <c r="G559" s="1822"/>
      <c r="H559" s="1822"/>
      <c r="I559" s="1822"/>
      <c r="J559" s="1822"/>
      <c r="K559" s="1822"/>
      <c r="L559" s="1822"/>
      <c r="M559" s="1822"/>
      <c r="N559" s="1827"/>
      <c r="V559" s="674"/>
      <c r="W559" s="675"/>
      <c r="X559" s="537" t="s">
        <v>2896</v>
      </c>
      <c r="AC559" s="675"/>
      <c r="AD559" s="675"/>
      <c r="AF559" s="675"/>
      <c r="AG559" s="675"/>
      <c r="AH559" s="680"/>
    </row>
    <row r="560" spans="1:34" s="536" customFormat="1" ht="12" x14ac:dyDescent="0.2">
      <c r="A560" s="609"/>
      <c r="B560" s="552" t="s">
        <v>2774</v>
      </c>
      <c r="C560" s="1822" t="s">
        <v>2775</v>
      </c>
      <c r="D560" s="1822"/>
      <c r="E560" s="1822"/>
      <c r="F560" s="1822"/>
      <c r="G560" s="1822"/>
      <c r="H560" s="1822"/>
      <c r="I560" s="1822"/>
      <c r="J560" s="1822"/>
      <c r="K560" s="1822"/>
      <c r="L560" s="1822"/>
      <c r="M560" s="1822"/>
      <c r="N560" s="1827"/>
      <c r="V560" s="674"/>
      <c r="W560" s="675"/>
      <c r="Y560" s="537" t="s">
        <v>2775</v>
      </c>
      <c r="AC560" s="675"/>
      <c r="AD560" s="675"/>
      <c r="AF560" s="675"/>
      <c r="AG560" s="675"/>
      <c r="AH560" s="680"/>
    </row>
    <row r="561" spans="1:34" s="536" customFormat="1" ht="22.5" x14ac:dyDescent="0.2">
      <c r="A561" s="609"/>
      <c r="B561" s="552" t="s">
        <v>499</v>
      </c>
      <c r="C561" s="1822" t="s">
        <v>500</v>
      </c>
      <c r="D561" s="1822"/>
      <c r="E561" s="1822"/>
      <c r="F561" s="1822"/>
      <c r="G561" s="1822"/>
      <c r="H561" s="1822"/>
      <c r="I561" s="1822"/>
      <c r="J561" s="1822"/>
      <c r="K561" s="1822"/>
      <c r="L561" s="1822"/>
      <c r="M561" s="1822"/>
      <c r="N561" s="1827"/>
      <c r="V561" s="674"/>
      <c r="W561" s="675"/>
      <c r="Y561" s="537" t="s">
        <v>500</v>
      </c>
      <c r="AC561" s="675"/>
      <c r="AD561" s="675"/>
      <c r="AF561" s="675"/>
      <c r="AG561" s="675"/>
      <c r="AH561" s="680"/>
    </row>
    <row r="562" spans="1:34" s="536" customFormat="1" ht="12" x14ac:dyDescent="0.2">
      <c r="A562" s="605"/>
      <c r="B562" s="552" t="s">
        <v>185</v>
      </c>
      <c r="C562" s="1822" t="s">
        <v>312</v>
      </c>
      <c r="D562" s="1822"/>
      <c r="E562" s="1822"/>
      <c r="F562" s="562"/>
      <c r="G562" s="562"/>
      <c r="H562" s="562"/>
      <c r="I562" s="562"/>
      <c r="J562" s="604">
        <v>1345.96</v>
      </c>
      <c r="K562" s="562" t="s">
        <v>2776</v>
      </c>
      <c r="L562" s="604">
        <v>881.52</v>
      </c>
      <c r="M562" s="603"/>
      <c r="N562" s="602"/>
      <c r="V562" s="674"/>
      <c r="W562" s="675"/>
      <c r="Z562" s="537" t="s">
        <v>312</v>
      </c>
      <c r="AC562" s="675"/>
      <c r="AD562" s="675"/>
      <c r="AF562" s="675"/>
      <c r="AG562" s="675"/>
      <c r="AH562" s="680"/>
    </row>
    <row r="563" spans="1:34" s="536" customFormat="1" ht="12" x14ac:dyDescent="0.2">
      <c r="A563" s="605"/>
      <c r="B563" s="552" t="s">
        <v>186</v>
      </c>
      <c r="C563" s="1822" t="s">
        <v>344</v>
      </c>
      <c r="D563" s="1822"/>
      <c r="E563" s="1822"/>
      <c r="F563" s="562"/>
      <c r="G563" s="562"/>
      <c r="H563" s="562"/>
      <c r="I563" s="562"/>
      <c r="J563" s="604">
        <v>118.09</v>
      </c>
      <c r="K563" s="562" t="s">
        <v>2776</v>
      </c>
      <c r="L563" s="604">
        <v>77.34</v>
      </c>
      <c r="M563" s="603"/>
      <c r="N563" s="602"/>
      <c r="V563" s="674"/>
      <c r="W563" s="675"/>
      <c r="Z563" s="537" t="s">
        <v>344</v>
      </c>
      <c r="AC563" s="675"/>
      <c r="AD563" s="675"/>
      <c r="AF563" s="675"/>
      <c r="AG563" s="675"/>
      <c r="AH563" s="680"/>
    </row>
    <row r="564" spans="1:34" s="536" customFormat="1" ht="12" x14ac:dyDescent="0.2">
      <c r="A564" s="605"/>
      <c r="B564" s="552" t="s">
        <v>187</v>
      </c>
      <c r="C564" s="1822" t="s">
        <v>345</v>
      </c>
      <c r="D564" s="1822"/>
      <c r="E564" s="1822"/>
      <c r="F564" s="562"/>
      <c r="G564" s="562"/>
      <c r="H564" s="562"/>
      <c r="I564" s="562"/>
      <c r="J564" s="604">
        <v>14.95</v>
      </c>
      <c r="K564" s="562" t="s">
        <v>2776</v>
      </c>
      <c r="L564" s="604">
        <v>9.7899999999999991</v>
      </c>
      <c r="M564" s="603"/>
      <c r="N564" s="602"/>
      <c r="V564" s="674"/>
      <c r="W564" s="675"/>
      <c r="Z564" s="537" t="s">
        <v>345</v>
      </c>
      <c r="AC564" s="675"/>
      <c r="AD564" s="675"/>
      <c r="AF564" s="675"/>
      <c r="AG564" s="675"/>
      <c r="AH564" s="680"/>
    </row>
    <row r="565" spans="1:34" s="536" customFormat="1" ht="12" x14ac:dyDescent="0.2">
      <c r="A565" s="605"/>
      <c r="B565" s="552" t="s">
        <v>188</v>
      </c>
      <c r="C565" s="1822" t="s">
        <v>475</v>
      </c>
      <c r="D565" s="1822"/>
      <c r="E565" s="1822"/>
      <c r="F565" s="562"/>
      <c r="G565" s="562"/>
      <c r="H565" s="562"/>
      <c r="I565" s="562"/>
      <c r="J565" s="604">
        <v>434.65</v>
      </c>
      <c r="K565" s="562"/>
      <c r="L565" s="604">
        <v>216.89</v>
      </c>
      <c r="M565" s="603"/>
      <c r="N565" s="602"/>
      <c r="V565" s="674"/>
      <c r="W565" s="675"/>
      <c r="Z565" s="537" t="s">
        <v>475</v>
      </c>
      <c r="AC565" s="675"/>
      <c r="AD565" s="675"/>
      <c r="AF565" s="675"/>
      <c r="AG565" s="675"/>
      <c r="AH565" s="680"/>
    </row>
    <row r="566" spans="1:34" s="536" customFormat="1" ht="12" x14ac:dyDescent="0.2">
      <c r="A566" s="676"/>
      <c r="B566" s="677" t="s">
        <v>2897</v>
      </c>
      <c r="C566" s="1829" t="s">
        <v>2898</v>
      </c>
      <c r="D566" s="1829"/>
      <c r="E566" s="1829"/>
      <c r="F566" s="678" t="s">
        <v>865</v>
      </c>
      <c r="G566" s="678" t="s">
        <v>525</v>
      </c>
      <c r="H566" s="678"/>
      <c r="I566" s="678" t="s">
        <v>525</v>
      </c>
      <c r="J566" s="552"/>
      <c r="K566" s="562"/>
      <c r="L566" s="604"/>
      <c r="M566" s="562"/>
      <c r="N566" s="679"/>
      <c r="V566" s="674"/>
      <c r="W566" s="675"/>
      <c r="AC566" s="675"/>
      <c r="AD566" s="675"/>
      <c r="AF566" s="675"/>
      <c r="AG566" s="675"/>
      <c r="AH566" s="680" t="s">
        <v>2898</v>
      </c>
    </row>
    <row r="567" spans="1:34" s="536" customFormat="1" ht="12" x14ac:dyDescent="0.2">
      <c r="A567" s="676"/>
      <c r="B567" s="677" t="s">
        <v>2899</v>
      </c>
      <c r="C567" s="1829" t="s">
        <v>2900</v>
      </c>
      <c r="D567" s="1829"/>
      <c r="E567" s="1829"/>
      <c r="F567" s="678" t="s">
        <v>865</v>
      </c>
      <c r="G567" s="678" t="s">
        <v>844</v>
      </c>
      <c r="H567" s="678"/>
      <c r="I567" s="678" t="s">
        <v>2901</v>
      </c>
      <c r="J567" s="552"/>
      <c r="K567" s="562"/>
      <c r="L567" s="604"/>
      <c r="M567" s="562"/>
      <c r="N567" s="679"/>
      <c r="V567" s="674"/>
      <c r="W567" s="675"/>
      <c r="AC567" s="675"/>
      <c r="AD567" s="675"/>
      <c r="AF567" s="675"/>
      <c r="AG567" s="675"/>
      <c r="AH567" s="680" t="s">
        <v>2900</v>
      </c>
    </row>
    <row r="568" spans="1:34" s="536" customFormat="1" ht="12" x14ac:dyDescent="0.2">
      <c r="A568" s="676"/>
      <c r="B568" s="677" t="s">
        <v>2800</v>
      </c>
      <c r="C568" s="1829" t="s">
        <v>2902</v>
      </c>
      <c r="D568" s="1829"/>
      <c r="E568" s="1829"/>
      <c r="F568" s="678" t="s">
        <v>617</v>
      </c>
      <c r="G568" s="678" t="s">
        <v>525</v>
      </c>
      <c r="H568" s="678"/>
      <c r="I568" s="678" t="s">
        <v>525</v>
      </c>
      <c r="J568" s="552"/>
      <c r="K568" s="562"/>
      <c r="L568" s="604"/>
      <c r="M568" s="562"/>
      <c r="N568" s="679"/>
      <c r="V568" s="674"/>
      <c r="W568" s="675"/>
      <c r="AC568" s="675"/>
      <c r="AD568" s="675"/>
      <c r="AF568" s="675"/>
      <c r="AG568" s="675"/>
      <c r="AH568" s="680" t="s">
        <v>2902</v>
      </c>
    </row>
    <row r="569" spans="1:34" s="536" customFormat="1" ht="12" x14ac:dyDescent="0.2">
      <c r="A569" s="676"/>
      <c r="B569" s="677" t="s">
        <v>2800</v>
      </c>
      <c r="C569" s="1829" t="s">
        <v>2457</v>
      </c>
      <c r="D569" s="1829"/>
      <c r="E569" s="1829"/>
      <c r="F569" s="678" t="s">
        <v>699</v>
      </c>
      <c r="G569" s="678" t="s">
        <v>525</v>
      </c>
      <c r="H569" s="678"/>
      <c r="I569" s="678" t="s">
        <v>525</v>
      </c>
      <c r="J569" s="552"/>
      <c r="K569" s="562"/>
      <c r="L569" s="604"/>
      <c r="M569" s="562"/>
      <c r="N569" s="679"/>
      <c r="V569" s="674"/>
      <c r="W569" s="675"/>
      <c r="AC569" s="675"/>
      <c r="AD569" s="675"/>
      <c r="AF569" s="675"/>
      <c r="AG569" s="675"/>
      <c r="AH569" s="680" t="s">
        <v>2457</v>
      </c>
    </row>
    <row r="570" spans="1:34" s="536" customFormat="1" ht="12" x14ac:dyDescent="0.2">
      <c r="A570" s="676"/>
      <c r="B570" s="677" t="s">
        <v>2903</v>
      </c>
      <c r="C570" s="1829" t="s">
        <v>2904</v>
      </c>
      <c r="D570" s="1829"/>
      <c r="E570" s="1829"/>
      <c r="F570" s="678" t="s">
        <v>617</v>
      </c>
      <c r="G570" s="678" t="s">
        <v>525</v>
      </c>
      <c r="H570" s="678"/>
      <c r="I570" s="678" t="s">
        <v>525</v>
      </c>
      <c r="J570" s="552"/>
      <c r="K570" s="562"/>
      <c r="L570" s="604"/>
      <c r="M570" s="562"/>
      <c r="N570" s="679"/>
      <c r="V570" s="674"/>
      <c r="W570" s="675"/>
      <c r="AC570" s="675"/>
      <c r="AD570" s="675"/>
      <c r="AF570" s="675"/>
      <c r="AG570" s="675"/>
      <c r="AH570" s="680" t="s">
        <v>2904</v>
      </c>
    </row>
    <row r="571" spans="1:34" s="536" customFormat="1" ht="12" x14ac:dyDescent="0.2">
      <c r="A571" s="676"/>
      <c r="B571" s="677" t="s">
        <v>2905</v>
      </c>
      <c r="C571" s="1829" t="s">
        <v>2906</v>
      </c>
      <c r="D571" s="1829"/>
      <c r="E571" s="1829"/>
      <c r="F571" s="678" t="s">
        <v>617</v>
      </c>
      <c r="G571" s="678" t="s">
        <v>525</v>
      </c>
      <c r="H571" s="678"/>
      <c r="I571" s="678" t="s">
        <v>525</v>
      </c>
      <c r="J571" s="552"/>
      <c r="K571" s="562"/>
      <c r="L571" s="604"/>
      <c r="M571" s="562"/>
      <c r="N571" s="679"/>
      <c r="V571" s="674"/>
      <c r="W571" s="675"/>
      <c r="AC571" s="675"/>
      <c r="AD571" s="675"/>
      <c r="AF571" s="675"/>
      <c r="AG571" s="675"/>
      <c r="AH571" s="680" t="s">
        <v>2906</v>
      </c>
    </row>
    <row r="572" spans="1:34" s="536" customFormat="1" ht="22.5" x14ac:dyDescent="0.2">
      <c r="A572" s="605"/>
      <c r="B572" s="552"/>
      <c r="C572" s="1822" t="s">
        <v>314</v>
      </c>
      <c r="D572" s="1822"/>
      <c r="E572" s="1822"/>
      <c r="F572" s="562" t="s">
        <v>315</v>
      </c>
      <c r="G572" s="562" t="s">
        <v>2907</v>
      </c>
      <c r="H572" s="562" t="s">
        <v>2776</v>
      </c>
      <c r="I572" s="562" t="s">
        <v>2908</v>
      </c>
      <c r="J572" s="604"/>
      <c r="K572" s="562"/>
      <c r="L572" s="604"/>
      <c r="M572" s="603"/>
      <c r="N572" s="602"/>
      <c r="V572" s="674"/>
      <c r="W572" s="675"/>
      <c r="AA572" s="537" t="s">
        <v>314</v>
      </c>
      <c r="AC572" s="675"/>
      <c r="AD572" s="675"/>
      <c r="AF572" s="675"/>
      <c r="AG572" s="675"/>
      <c r="AH572" s="680"/>
    </row>
    <row r="573" spans="1:34" s="536" customFormat="1" ht="12" x14ac:dyDescent="0.2">
      <c r="A573" s="605"/>
      <c r="B573" s="552"/>
      <c r="C573" s="1822" t="s">
        <v>348</v>
      </c>
      <c r="D573" s="1822"/>
      <c r="E573" s="1822"/>
      <c r="F573" s="562" t="s">
        <v>315</v>
      </c>
      <c r="G573" s="562" t="s">
        <v>2909</v>
      </c>
      <c r="H573" s="562" t="s">
        <v>2776</v>
      </c>
      <c r="I573" s="562" t="s">
        <v>2910</v>
      </c>
      <c r="J573" s="604"/>
      <c r="K573" s="562"/>
      <c r="L573" s="604"/>
      <c r="M573" s="603"/>
      <c r="N573" s="602"/>
      <c r="V573" s="674"/>
      <c r="W573" s="675"/>
      <c r="AA573" s="537" t="s">
        <v>348</v>
      </c>
      <c r="AC573" s="675"/>
      <c r="AD573" s="675"/>
      <c r="AF573" s="675"/>
      <c r="AG573" s="675"/>
      <c r="AH573" s="680"/>
    </row>
    <row r="574" spans="1:34" s="536" customFormat="1" ht="12" x14ac:dyDescent="0.2">
      <c r="A574" s="605"/>
      <c r="B574" s="552"/>
      <c r="C574" s="1828" t="s">
        <v>318</v>
      </c>
      <c r="D574" s="1828"/>
      <c r="E574" s="1828"/>
      <c r="F574" s="608"/>
      <c r="G574" s="608"/>
      <c r="H574" s="608"/>
      <c r="I574" s="608"/>
      <c r="J574" s="607">
        <v>1898.7</v>
      </c>
      <c r="K574" s="608"/>
      <c r="L574" s="607">
        <v>1175.75</v>
      </c>
      <c r="M574" s="601"/>
      <c r="N574" s="606"/>
      <c r="V574" s="674"/>
      <c r="W574" s="675"/>
      <c r="AB574" s="537" t="s">
        <v>318</v>
      </c>
      <c r="AC574" s="675"/>
      <c r="AD574" s="675"/>
      <c r="AF574" s="675"/>
      <c r="AG574" s="675"/>
      <c r="AH574" s="680"/>
    </row>
    <row r="575" spans="1:34" s="536" customFormat="1" ht="12" x14ac:dyDescent="0.2">
      <c r="A575" s="605"/>
      <c r="B575" s="552"/>
      <c r="C575" s="1822" t="s">
        <v>319</v>
      </c>
      <c r="D575" s="1822"/>
      <c r="E575" s="1822"/>
      <c r="F575" s="562"/>
      <c r="G575" s="562"/>
      <c r="H575" s="562"/>
      <c r="I575" s="562"/>
      <c r="J575" s="604"/>
      <c r="K575" s="562"/>
      <c r="L575" s="604">
        <v>891.31</v>
      </c>
      <c r="M575" s="603"/>
      <c r="N575" s="602"/>
      <c r="V575" s="674"/>
      <c r="W575" s="675"/>
      <c r="AA575" s="537" t="s">
        <v>319</v>
      </c>
      <c r="AC575" s="675"/>
      <c r="AD575" s="675"/>
      <c r="AF575" s="675"/>
      <c r="AG575" s="675"/>
      <c r="AH575" s="680"/>
    </row>
    <row r="576" spans="1:34" s="536" customFormat="1" ht="45" x14ac:dyDescent="0.2">
      <c r="A576" s="605"/>
      <c r="B576" s="552" t="s">
        <v>892</v>
      </c>
      <c r="C576" s="1822" t="s">
        <v>893</v>
      </c>
      <c r="D576" s="1822"/>
      <c r="E576" s="1822"/>
      <c r="F576" s="562" t="s">
        <v>322</v>
      </c>
      <c r="G576" s="562" t="s">
        <v>894</v>
      </c>
      <c r="H576" s="562"/>
      <c r="I576" s="562" t="s">
        <v>894</v>
      </c>
      <c r="J576" s="604"/>
      <c r="K576" s="562"/>
      <c r="L576" s="604">
        <v>1078.49</v>
      </c>
      <c r="M576" s="603"/>
      <c r="N576" s="602"/>
      <c r="V576" s="674"/>
      <c r="W576" s="675"/>
      <c r="AA576" s="537" t="s">
        <v>893</v>
      </c>
      <c r="AC576" s="675"/>
      <c r="AD576" s="675"/>
      <c r="AF576" s="675"/>
      <c r="AG576" s="675"/>
      <c r="AH576" s="680"/>
    </row>
    <row r="577" spans="1:34" s="536" customFormat="1" ht="45" x14ac:dyDescent="0.2">
      <c r="A577" s="605"/>
      <c r="B577" s="552" t="s">
        <v>895</v>
      </c>
      <c r="C577" s="1822" t="s">
        <v>896</v>
      </c>
      <c r="D577" s="1822"/>
      <c r="E577" s="1822"/>
      <c r="F577" s="562" t="s">
        <v>322</v>
      </c>
      <c r="G577" s="562" t="s">
        <v>897</v>
      </c>
      <c r="H577" s="562"/>
      <c r="I577" s="562" t="s">
        <v>897</v>
      </c>
      <c r="J577" s="604"/>
      <c r="K577" s="562"/>
      <c r="L577" s="604">
        <v>641.74</v>
      </c>
      <c r="M577" s="603"/>
      <c r="N577" s="602"/>
      <c r="V577" s="674"/>
      <c r="W577" s="675"/>
      <c r="AA577" s="537" t="s">
        <v>896</v>
      </c>
      <c r="AC577" s="675"/>
      <c r="AD577" s="675"/>
      <c r="AF577" s="675"/>
      <c r="AG577" s="675"/>
      <c r="AH577" s="680"/>
    </row>
    <row r="578" spans="1:34" s="536" customFormat="1" ht="12" x14ac:dyDescent="0.2">
      <c r="A578" s="569"/>
      <c r="B578" s="656"/>
      <c r="C578" s="1823" t="s">
        <v>327</v>
      </c>
      <c r="D578" s="1823"/>
      <c r="E578" s="1823"/>
      <c r="F578" s="573"/>
      <c r="G578" s="573"/>
      <c r="H578" s="573"/>
      <c r="I578" s="573"/>
      <c r="J578" s="572"/>
      <c r="K578" s="573"/>
      <c r="L578" s="572">
        <v>2895.98</v>
      </c>
      <c r="M578" s="601"/>
      <c r="N578" s="570"/>
      <c r="V578" s="674"/>
      <c r="W578" s="675"/>
      <c r="AC578" s="675" t="s">
        <v>327</v>
      </c>
      <c r="AD578" s="675"/>
      <c r="AF578" s="675"/>
      <c r="AG578" s="675"/>
      <c r="AH578" s="680"/>
    </row>
    <row r="579" spans="1:34" s="536" customFormat="1" ht="22.5" x14ac:dyDescent="0.2">
      <c r="A579" s="575" t="s">
        <v>798</v>
      </c>
      <c r="B579" s="657" t="s">
        <v>2911</v>
      </c>
      <c r="C579" s="1823" t="s">
        <v>2912</v>
      </c>
      <c r="D579" s="1823"/>
      <c r="E579" s="1823"/>
      <c r="F579" s="573" t="s">
        <v>865</v>
      </c>
      <c r="G579" s="573"/>
      <c r="H579" s="573"/>
      <c r="I579" s="573" t="s">
        <v>2913</v>
      </c>
      <c r="J579" s="572">
        <v>93.52</v>
      </c>
      <c r="K579" s="573"/>
      <c r="L579" s="572">
        <v>3949.63</v>
      </c>
      <c r="M579" s="571"/>
      <c r="N579" s="570"/>
      <c r="V579" s="674"/>
      <c r="W579" s="675" t="s">
        <v>2912</v>
      </c>
      <c r="AC579" s="675"/>
      <c r="AD579" s="675"/>
      <c r="AF579" s="675"/>
      <c r="AG579" s="675"/>
      <c r="AH579" s="680"/>
    </row>
    <row r="580" spans="1:34" s="536" customFormat="1" ht="12" x14ac:dyDescent="0.2">
      <c r="A580" s="569"/>
      <c r="B580" s="656"/>
      <c r="C580" s="661" t="s">
        <v>2820</v>
      </c>
      <c r="D580" s="662"/>
      <c r="E580" s="662"/>
      <c r="F580" s="563"/>
      <c r="G580" s="563"/>
      <c r="H580" s="563"/>
      <c r="I580" s="563"/>
      <c r="J580" s="566"/>
      <c r="K580" s="563"/>
      <c r="L580" s="566"/>
      <c r="M580" s="565"/>
      <c r="N580" s="564"/>
      <c r="V580" s="674"/>
      <c r="W580" s="675"/>
      <c r="AC580" s="675"/>
      <c r="AD580" s="675"/>
      <c r="AF580" s="675"/>
      <c r="AG580" s="675"/>
      <c r="AH580" s="680"/>
    </row>
    <row r="581" spans="1:34" s="536" customFormat="1" ht="12" x14ac:dyDescent="0.2">
      <c r="A581" s="676"/>
      <c r="B581" s="655"/>
      <c r="C581" s="1822" t="s">
        <v>2914</v>
      </c>
      <c r="D581" s="1822"/>
      <c r="E581" s="1822"/>
      <c r="F581" s="1822"/>
      <c r="G581" s="1822"/>
      <c r="H581" s="1822"/>
      <c r="I581" s="1822"/>
      <c r="J581" s="1822"/>
      <c r="K581" s="1822"/>
      <c r="L581" s="1822"/>
      <c r="M581" s="1822"/>
      <c r="N581" s="1827"/>
      <c r="V581" s="674"/>
      <c r="W581" s="675"/>
      <c r="X581" s="537" t="s">
        <v>2914</v>
      </c>
      <c r="AC581" s="675"/>
      <c r="AD581" s="675"/>
      <c r="AF581" s="675"/>
      <c r="AG581" s="675"/>
      <c r="AH581" s="680"/>
    </row>
    <row r="582" spans="1:34" s="536" customFormat="1" ht="22.5" x14ac:dyDescent="0.2">
      <c r="A582" s="575" t="s">
        <v>2349</v>
      </c>
      <c r="B582" s="657" t="s">
        <v>2915</v>
      </c>
      <c r="C582" s="1823" t="s">
        <v>2916</v>
      </c>
      <c r="D582" s="1823"/>
      <c r="E582" s="1823"/>
      <c r="F582" s="573" t="s">
        <v>617</v>
      </c>
      <c r="G582" s="573"/>
      <c r="H582" s="573"/>
      <c r="I582" s="573" t="s">
        <v>186</v>
      </c>
      <c r="J582" s="572">
        <v>33.51</v>
      </c>
      <c r="K582" s="573"/>
      <c r="L582" s="572">
        <v>67.02</v>
      </c>
      <c r="M582" s="571"/>
      <c r="N582" s="570"/>
      <c r="V582" s="674"/>
      <c r="W582" s="675" t="s">
        <v>2916</v>
      </c>
      <c r="AC582" s="675"/>
      <c r="AD582" s="675"/>
      <c r="AF582" s="675"/>
      <c r="AG582" s="675"/>
      <c r="AH582" s="680"/>
    </row>
    <row r="583" spans="1:34" s="536" customFormat="1" ht="12" x14ac:dyDescent="0.2">
      <c r="A583" s="569"/>
      <c r="B583" s="656"/>
      <c r="C583" s="661" t="s">
        <v>2820</v>
      </c>
      <c r="D583" s="662"/>
      <c r="E583" s="662"/>
      <c r="F583" s="563"/>
      <c r="G583" s="563"/>
      <c r="H583" s="563"/>
      <c r="I583" s="563"/>
      <c r="J583" s="566"/>
      <c r="K583" s="563"/>
      <c r="L583" s="566"/>
      <c r="M583" s="565"/>
      <c r="N583" s="564"/>
      <c r="V583" s="674"/>
      <c r="W583" s="675"/>
      <c r="AC583" s="675"/>
      <c r="AD583" s="675"/>
      <c r="AF583" s="675"/>
      <c r="AG583" s="675"/>
      <c r="AH583" s="680"/>
    </row>
    <row r="584" spans="1:34" s="536" customFormat="1" ht="22.5" x14ac:dyDescent="0.2">
      <c r="A584" s="575" t="s">
        <v>2037</v>
      </c>
      <c r="B584" s="657" t="s">
        <v>2917</v>
      </c>
      <c r="C584" s="1823" t="s">
        <v>2918</v>
      </c>
      <c r="D584" s="1823"/>
      <c r="E584" s="1823"/>
      <c r="F584" s="573" t="s">
        <v>617</v>
      </c>
      <c r="G584" s="573"/>
      <c r="H584" s="573"/>
      <c r="I584" s="573" t="s">
        <v>187</v>
      </c>
      <c r="J584" s="572">
        <v>34.130000000000003</v>
      </c>
      <c r="K584" s="573"/>
      <c r="L584" s="572">
        <v>102.39</v>
      </c>
      <c r="M584" s="571"/>
      <c r="N584" s="570"/>
      <c r="V584" s="674"/>
      <c r="W584" s="675" t="s">
        <v>2918</v>
      </c>
      <c r="AC584" s="675"/>
      <c r="AD584" s="675"/>
      <c r="AF584" s="675"/>
      <c r="AG584" s="675"/>
      <c r="AH584" s="680"/>
    </row>
    <row r="585" spans="1:34" s="536" customFormat="1" ht="12" x14ac:dyDescent="0.2">
      <c r="A585" s="569"/>
      <c r="B585" s="656"/>
      <c r="C585" s="661" t="s">
        <v>2820</v>
      </c>
      <c r="D585" s="662"/>
      <c r="E585" s="662"/>
      <c r="F585" s="563"/>
      <c r="G585" s="563"/>
      <c r="H585" s="563"/>
      <c r="I585" s="563"/>
      <c r="J585" s="566"/>
      <c r="K585" s="563"/>
      <c r="L585" s="566"/>
      <c r="M585" s="565"/>
      <c r="N585" s="564"/>
      <c r="V585" s="674"/>
      <c r="W585" s="675"/>
      <c r="AC585" s="675"/>
      <c r="AD585" s="675"/>
      <c r="AF585" s="675"/>
      <c r="AG585" s="675"/>
      <c r="AH585" s="680"/>
    </row>
    <row r="586" spans="1:34" s="536" customFormat="1" ht="22.5" x14ac:dyDescent="0.2">
      <c r="A586" s="575" t="s">
        <v>804</v>
      </c>
      <c r="B586" s="657" t="s">
        <v>2919</v>
      </c>
      <c r="C586" s="1823" t="s">
        <v>2920</v>
      </c>
      <c r="D586" s="1823"/>
      <c r="E586" s="1823"/>
      <c r="F586" s="573" t="s">
        <v>617</v>
      </c>
      <c r="G586" s="573"/>
      <c r="H586" s="573"/>
      <c r="I586" s="573" t="s">
        <v>187</v>
      </c>
      <c r="J586" s="572">
        <v>35.99</v>
      </c>
      <c r="K586" s="573"/>
      <c r="L586" s="572">
        <v>107.97</v>
      </c>
      <c r="M586" s="571"/>
      <c r="N586" s="570"/>
      <c r="V586" s="674"/>
      <c r="W586" s="675" t="s">
        <v>2920</v>
      </c>
      <c r="AC586" s="675"/>
      <c r="AD586" s="675"/>
      <c r="AF586" s="675"/>
      <c r="AG586" s="675"/>
      <c r="AH586" s="680"/>
    </row>
    <row r="587" spans="1:34" s="536" customFormat="1" ht="12" x14ac:dyDescent="0.2">
      <c r="A587" s="569"/>
      <c r="B587" s="656"/>
      <c r="C587" s="661" t="s">
        <v>2820</v>
      </c>
      <c r="D587" s="662"/>
      <c r="E587" s="662"/>
      <c r="F587" s="563"/>
      <c r="G587" s="563"/>
      <c r="H587" s="563"/>
      <c r="I587" s="563"/>
      <c r="J587" s="566"/>
      <c r="K587" s="563"/>
      <c r="L587" s="566"/>
      <c r="M587" s="565"/>
      <c r="N587" s="564"/>
      <c r="V587" s="674"/>
      <c r="W587" s="675"/>
      <c r="AC587" s="675"/>
      <c r="AD587" s="675"/>
      <c r="AF587" s="675"/>
      <c r="AG587" s="675"/>
      <c r="AH587" s="680"/>
    </row>
    <row r="588" spans="1:34" s="536" customFormat="1" ht="22.5" x14ac:dyDescent="0.2">
      <c r="A588" s="575" t="s">
        <v>2352</v>
      </c>
      <c r="B588" s="657" t="s">
        <v>2921</v>
      </c>
      <c r="C588" s="1823" t="s">
        <v>2922</v>
      </c>
      <c r="D588" s="1823"/>
      <c r="E588" s="1823"/>
      <c r="F588" s="573" t="s">
        <v>617</v>
      </c>
      <c r="G588" s="573"/>
      <c r="H588" s="573"/>
      <c r="I588" s="573" t="s">
        <v>187</v>
      </c>
      <c r="J588" s="572">
        <v>37.22</v>
      </c>
      <c r="K588" s="573"/>
      <c r="L588" s="572">
        <v>111.66</v>
      </c>
      <c r="M588" s="571"/>
      <c r="N588" s="570"/>
      <c r="V588" s="674"/>
      <c r="W588" s="675" t="s">
        <v>2922</v>
      </c>
      <c r="AC588" s="675"/>
      <c r="AD588" s="675"/>
      <c r="AF588" s="675"/>
      <c r="AG588" s="675"/>
      <c r="AH588" s="680"/>
    </row>
    <row r="589" spans="1:34" s="536" customFormat="1" ht="12" x14ac:dyDescent="0.2">
      <c r="A589" s="569"/>
      <c r="B589" s="656"/>
      <c r="C589" s="661" t="s">
        <v>2820</v>
      </c>
      <c r="D589" s="662"/>
      <c r="E589" s="662"/>
      <c r="F589" s="563"/>
      <c r="G589" s="563"/>
      <c r="H589" s="563"/>
      <c r="I589" s="563"/>
      <c r="J589" s="566"/>
      <c r="K589" s="563"/>
      <c r="L589" s="566"/>
      <c r="M589" s="565"/>
      <c r="N589" s="564"/>
      <c r="V589" s="674"/>
      <c r="W589" s="675"/>
      <c r="AC589" s="675"/>
      <c r="AD589" s="675"/>
      <c r="AF589" s="675"/>
      <c r="AG589" s="675"/>
      <c r="AH589" s="680"/>
    </row>
    <row r="590" spans="1:34" s="536" customFormat="1" ht="22.5" x14ac:dyDescent="0.2">
      <c r="A590" s="575" t="s">
        <v>897</v>
      </c>
      <c r="B590" s="657" t="s">
        <v>2923</v>
      </c>
      <c r="C590" s="1823" t="s">
        <v>2924</v>
      </c>
      <c r="D590" s="1823"/>
      <c r="E590" s="1823"/>
      <c r="F590" s="573" t="s">
        <v>617</v>
      </c>
      <c r="G590" s="573"/>
      <c r="H590" s="573"/>
      <c r="I590" s="573" t="s">
        <v>185</v>
      </c>
      <c r="J590" s="572">
        <v>34.76</v>
      </c>
      <c r="K590" s="573"/>
      <c r="L590" s="572">
        <v>34.76</v>
      </c>
      <c r="M590" s="571"/>
      <c r="N590" s="570"/>
      <c r="V590" s="674"/>
      <c r="W590" s="675" t="s">
        <v>2924</v>
      </c>
      <c r="AC590" s="675"/>
      <c r="AD590" s="675"/>
      <c r="AF590" s="675"/>
      <c r="AG590" s="675"/>
      <c r="AH590" s="680"/>
    </row>
    <row r="591" spans="1:34" s="536" customFormat="1" ht="12" x14ac:dyDescent="0.2">
      <c r="A591" s="569"/>
      <c r="B591" s="656"/>
      <c r="C591" s="661" t="s">
        <v>2820</v>
      </c>
      <c r="D591" s="662"/>
      <c r="E591" s="662"/>
      <c r="F591" s="563"/>
      <c r="G591" s="563"/>
      <c r="H591" s="563"/>
      <c r="I591" s="563"/>
      <c r="J591" s="566"/>
      <c r="K591" s="563"/>
      <c r="L591" s="566"/>
      <c r="M591" s="565"/>
      <c r="N591" s="564"/>
      <c r="V591" s="674"/>
      <c r="W591" s="675"/>
      <c r="AC591" s="675"/>
      <c r="AD591" s="675"/>
      <c r="AF591" s="675"/>
      <c r="AG591" s="675"/>
      <c r="AH591" s="680"/>
    </row>
    <row r="592" spans="1:34" s="536" customFormat="1" ht="22.5" x14ac:dyDescent="0.2">
      <c r="A592" s="575" t="s">
        <v>817</v>
      </c>
      <c r="B592" s="657" t="s">
        <v>2925</v>
      </c>
      <c r="C592" s="1823" t="s">
        <v>2926</v>
      </c>
      <c r="D592" s="1823"/>
      <c r="E592" s="1823"/>
      <c r="F592" s="573" t="s">
        <v>617</v>
      </c>
      <c r="G592" s="573"/>
      <c r="H592" s="573"/>
      <c r="I592" s="573" t="s">
        <v>191</v>
      </c>
      <c r="J592" s="572">
        <v>39.71</v>
      </c>
      <c r="K592" s="573"/>
      <c r="L592" s="572">
        <v>277.97000000000003</v>
      </c>
      <c r="M592" s="571"/>
      <c r="N592" s="570"/>
      <c r="V592" s="674"/>
      <c r="W592" s="675" t="s">
        <v>2926</v>
      </c>
      <c r="AC592" s="675"/>
      <c r="AD592" s="675"/>
      <c r="AF592" s="675"/>
      <c r="AG592" s="675"/>
      <c r="AH592" s="680"/>
    </row>
    <row r="593" spans="1:34" s="536" customFormat="1" ht="12" x14ac:dyDescent="0.2">
      <c r="A593" s="569"/>
      <c r="B593" s="656"/>
      <c r="C593" s="661" t="s">
        <v>2820</v>
      </c>
      <c r="D593" s="662"/>
      <c r="E593" s="662"/>
      <c r="F593" s="563"/>
      <c r="G593" s="563"/>
      <c r="H593" s="563"/>
      <c r="I593" s="563"/>
      <c r="J593" s="566"/>
      <c r="K593" s="563"/>
      <c r="L593" s="566"/>
      <c r="M593" s="565"/>
      <c r="N593" s="564"/>
      <c r="V593" s="674"/>
      <c r="W593" s="675"/>
      <c r="AC593" s="675"/>
      <c r="AD593" s="675"/>
      <c r="AF593" s="675"/>
      <c r="AG593" s="675"/>
      <c r="AH593" s="680"/>
    </row>
    <row r="594" spans="1:34" s="536" customFormat="1" ht="22.5" x14ac:dyDescent="0.2">
      <c r="A594" s="575" t="s">
        <v>538</v>
      </c>
      <c r="B594" s="657" t="s">
        <v>2927</v>
      </c>
      <c r="C594" s="1823" t="s">
        <v>2928</v>
      </c>
      <c r="D594" s="1823"/>
      <c r="E594" s="1823"/>
      <c r="F594" s="573" t="s">
        <v>617</v>
      </c>
      <c r="G594" s="573"/>
      <c r="H594" s="573"/>
      <c r="I594" s="573" t="s">
        <v>186</v>
      </c>
      <c r="J594" s="572">
        <v>45.91</v>
      </c>
      <c r="K594" s="573"/>
      <c r="L594" s="572">
        <v>91.82</v>
      </c>
      <c r="M594" s="571"/>
      <c r="N594" s="570"/>
      <c r="V594" s="674"/>
      <c r="W594" s="675" t="s">
        <v>2928</v>
      </c>
      <c r="AC594" s="675"/>
      <c r="AD594" s="675"/>
      <c r="AF594" s="675"/>
      <c r="AG594" s="675"/>
      <c r="AH594" s="680"/>
    </row>
    <row r="595" spans="1:34" s="536" customFormat="1" ht="12" x14ac:dyDescent="0.2">
      <c r="A595" s="569"/>
      <c r="B595" s="656"/>
      <c r="C595" s="661" t="s">
        <v>2820</v>
      </c>
      <c r="D595" s="662"/>
      <c r="E595" s="662"/>
      <c r="F595" s="563"/>
      <c r="G595" s="563"/>
      <c r="H595" s="563"/>
      <c r="I595" s="563"/>
      <c r="J595" s="566"/>
      <c r="K595" s="563"/>
      <c r="L595" s="566"/>
      <c r="M595" s="565"/>
      <c r="N595" s="564"/>
      <c r="V595" s="674"/>
      <c r="W595" s="675"/>
      <c r="AC595" s="675"/>
      <c r="AD595" s="675"/>
      <c r="AF595" s="675"/>
      <c r="AG595" s="675"/>
      <c r="AH595" s="680"/>
    </row>
    <row r="596" spans="1:34" s="536" customFormat="1" ht="33.75" x14ac:dyDescent="0.2">
      <c r="A596" s="575" t="s">
        <v>966</v>
      </c>
      <c r="B596" s="657" t="s">
        <v>2929</v>
      </c>
      <c r="C596" s="1823" t="s">
        <v>2930</v>
      </c>
      <c r="D596" s="1823"/>
      <c r="E596" s="1823"/>
      <c r="F596" s="573" t="s">
        <v>628</v>
      </c>
      <c r="G596" s="573"/>
      <c r="H596" s="573"/>
      <c r="I596" s="573" t="s">
        <v>192</v>
      </c>
      <c r="J596" s="572">
        <v>61.25</v>
      </c>
      <c r="K596" s="573" t="s">
        <v>716</v>
      </c>
      <c r="L596" s="572">
        <v>60.1</v>
      </c>
      <c r="M596" s="571">
        <v>8.32</v>
      </c>
      <c r="N596" s="570">
        <v>500</v>
      </c>
      <c r="V596" s="674"/>
      <c r="W596" s="675" t="s">
        <v>2930</v>
      </c>
      <c r="AC596" s="675"/>
      <c r="AD596" s="675"/>
      <c r="AF596" s="675"/>
      <c r="AG596" s="675"/>
      <c r="AH596" s="680"/>
    </row>
    <row r="597" spans="1:34" s="536" customFormat="1" ht="12" x14ac:dyDescent="0.2">
      <c r="A597" s="569"/>
      <c r="B597" s="656"/>
      <c r="C597" s="661" t="s">
        <v>717</v>
      </c>
      <c r="D597" s="662"/>
      <c r="E597" s="662"/>
      <c r="F597" s="563"/>
      <c r="G597" s="563"/>
      <c r="H597" s="563"/>
      <c r="I597" s="563"/>
      <c r="J597" s="566"/>
      <c r="K597" s="563"/>
      <c r="L597" s="566"/>
      <c r="M597" s="565"/>
      <c r="N597" s="564"/>
      <c r="V597" s="674"/>
      <c r="W597" s="675"/>
      <c r="AC597" s="675"/>
      <c r="AD597" s="675"/>
      <c r="AF597" s="675"/>
      <c r="AG597" s="675"/>
      <c r="AH597" s="680"/>
    </row>
    <row r="598" spans="1:34" s="536" customFormat="1" ht="22.5" x14ac:dyDescent="0.2">
      <c r="A598" s="609"/>
      <c r="B598" s="552" t="s">
        <v>718</v>
      </c>
      <c r="C598" s="1822" t="s">
        <v>719</v>
      </c>
      <c r="D598" s="1822"/>
      <c r="E598" s="1822"/>
      <c r="F598" s="1822"/>
      <c r="G598" s="1822"/>
      <c r="H598" s="1822"/>
      <c r="I598" s="1822"/>
      <c r="J598" s="1822"/>
      <c r="K598" s="1822"/>
      <c r="L598" s="1822"/>
      <c r="M598" s="1822"/>
      <c r="N598" s="1827"/>
      <c r="V598" s="674"/>
      <c r="W598" s="675"/>
      <c r="Y598" s="537" t="s">
        <v>719</v>
      </c>
      <c r="AC598" s="675"/>
      <c r="AD598" s="675"/>
      <c r="AF598" s="675"/>
      <c r="AG598" s="675"/>
      <c r="AH598" s="680"/>
    </row>
    <row r="599" spans="1:34" s="536" customFormat="1" ht="33.75" x14ac:dyDescent="0.2">
      <c r="A599" s="575" t="s">
        <v>2359</v>
      </c>
      <c r="B599" s="657" t="s">
        <v>2931</v>
      </c>
      <c r="C599" s="1823" t="s">
        <v>2932</v>
      </c>
      <c r="D599" s="1823"/>
      <c r="E599" s="1823"/>
      <c r="F599" s="573" t="s">
        <v>628</v>
      </c>
      <c r="G599" s="573"/>
      <c r="H599" s="573"/>
      <c r="I599" s="573" t="s">
        <v>200</v>
      </c>
      <c r="J599" s="572">
        <v>70</v>
      </c>
      <c r="K599" s="573" t="s">
        <v>716</v>
      </c>
      <c r="L599" s="572">
        <v>137.26</v>
      </c>
      <c r="M599" s="571">
        <v>8.32</v>
      </c>
      <c r="N599" s="570">
        <v>1142</v>
      </c>
      <c r="V599" s="674"/>
      <c r="W599" s="675" t="s">
        <v>2932</v>
      </c>
      <c r="AC599" s="675"/>
      <c r="AD599" s="675"/>
      <c r="AF599" s="675"/>
      <c r="AG599" s="675"/>
      <c r="AH599" s="680"/>
    </row>
    <row r="600" spans="1:34" s="536" customFormat="1" ht="12" x14ac:dyDescent="0.2">
      <c r="A600" s="569"/>
      <c r="B600" s="656"/>
      <c r="C600" s="661" t="s">
        <v>717</v>
      </c>
      <c r="D600" s="662"/>
      <c r="E600" s="662"/>
      <c r="F600" s="563"/>
      <c r="G600" s="563"/>
      <c r="H600" s="563"/>
      <c r="I600" s="563"/>
      <c r="J600" s="566"/>
      <c r="K600" s="563"/>
      <c r="L600" s="566"/>
      <c r="M600" s="565"/>
      <c r="N600" s="564"/>
      <c r="V600" s="674"/>
      <c r="W600" s="675"/>
      <c r="AC600" s="675"/>
      <c r="AD600" s="675"/>
      <c r="AF600" s="675"/>
      <c r="AG600" s="675"/>
      <c r="AH600" s="680"/>
    </row>
    <row r="601" spans="1:34" s="536" customFormat="1" ht="22.5" x14ac:dyDescent="0.2">
      <c r="A601" s="609"/>
      <c r="B601" s="552" t="s">
        <v>718</v>
      </c>
      <c r="C601" s="1822" t="s">
        <v>719</v>
      </c>
      <c r="D601" s="1822"/>
      <c r="E601" s="1822"/>
      <c r="F601" s="1822"/>
      <c r="G601" s="1822"/>
      <c r="H601" s="1822"/>
      <c r="I601" s="1822"/>
      <c r="J601" s="1822"/>
      <c r="K601" s="1822"/>
      <c r="L601" s="1822"/>
      <c r="M601" s="1822"/>
      <c r="N601" s="1827"/>
      <c r="V601" s="674"/>
      <c r="W601" s="675"/>
      <c r="Y601" s="537" t="s">
        <v>719</v>
      </c>
      <c r="AC601" s="675"/>
      <c r="AD601" s="675"/>
      <c r="AF601" s="675"/>
      <c r="AG601" s="675"/>
      <c r="AH601" s="680"/>
    </row>
    <row r="602" spans="1:34" s="536" customFormat="1" ht="33.75" x14ac:dyDescent="0.2">
      <c r="A602" s="575" t="s">
        <v>2363</v>
      </c>
      <c r="B602" s="657" t="s">
        <v>2933</v>
      </c>
      <c r="C602" s="1823" t="s">
        <v>2934</v>
      </c>
      <c r="D602" s="1823"/>
      <c r="E602" s="1823"/>
      <c r="F602" s="573" t="s">
        <v>628</v>
      </c>
      <c r="G602" s="573"/>
      <c r="H602" s="573"/>
      <c r="I602" s="573" t="s">
        <v>186</v>
      </c>
      <c r="J602" s="572">
        <v>87.5</v>
      </c>
      <c r="K602" s="573" t="s">
        <v>716</v>
      </c>
      <c r="L602" s="572">
        <v>21.51</v>
      </c>
      <c r="M602" s="571">
        <v>8.32</v>
      </c>
      <c r="N602" s="570">
        <v>179</v>
      </c>
      <c r="V602" s="674"/>
      <c r="W602" s="675" t="s">
        <v>2934</v>
      </c>
      <c r="AC602" s="675"/>
      <c r="AD602" s="675"/>
      <c r="AF602" s="675"/>
      <c r="AG602" s="675"/>
      <c r="AH602" s="680"/>
    </row>
    <row r="603" spans="1:34" s="536" customFormat="1" ht="12" x14ac:dyDescent="0.2">
      <c r="A603" s="569"/>
      <c r="B603" s="656"/>
      <c r="C603" s="661" t="s">
        <v>717</v>
      </c>
      <c r="D603" s="662"/>
      <c r="E603" s="662"/>
      <c r="F603" s="563"/>
      <c r="G603" s="563"/>
      <c r="H603" s="563"/>
      <c r="I603" s="563"/>
      <c r="J603" s="566"/>
      <c r="K603" s="563"/>
      <c r="L603" s="566"/>
      <c r="M603" s="565"/>
      <c r="N603" s="564"/>
      <c r="V603" s="674"/>
      <c r="W603" s="675"/>
      <c r="AC603" s="675"/>
      <c r="AD603" s="675"/>
      <c r="AF603" s="675"/>
      <c r="AG603" s="675"/>
      <c r="AH603" s="680"/>
    </row>
    <row r="604" spans="1:34" s="536" customFormat="1" ht="22.5" x14ac:dyDescent="0.2">
      <c r="A604" s="609"/>
      <c r="B604" s="552" t="s">
        <v>718</v>
      </c>
      <c r="C604" s="1822" t="s">
        <v>719</v>
      </c>
      <c r="D604" s="1822"/>
      <c r="E604" s="1822"/>
      <c r="F604" s="1822"/>
      <c r="G604" s="1822"/>
      <c r="H604" s="1822"/>
      <c r="I604" s="1822"/>
      <c r="J604" s="1822"/>
      <c r="K604" s="1822"/>
      <c r="L604" s="1822"/>
      <c r="M604" s="1822"/>
      <c r="N604" s="1827"/>
      <c r="V604" s="674"/>
      <c r="W604" s="675"/>
      <c r="Y604" s="537" t="s">
        <v>719</v>
      </c>
      <c r="AC604" s="675"/>
      <c r="AD604" s="675"/>
      <c r="AF604" s="675"/>
      <c r="AG604" s="675"/>
      <c r="AH604" s="680"/>
    </row>
    <row r="605" spans="1:34" s="536" customFormat="1" ht="33.75" x14ac:dyDescent="0.2">
      <c r="A605" s="575" t="s">
        <v>2368</v>
      </c>
      <c r="B605" s="657" t="s">
        <v>2935</v>
      </c>
      <c r="C605" s="1823" t="s">
        <v>2936</v>
      </c>
      <c r="D605" s="1823"/>
      <c r="E605" s="1823"/>
      <c r="F605" s="573" t="s">
        <v>628</v>
      </c>
      <c r="G605" s="573"/>
      <c r="H605" s="573"/>
      <c r="I605" s="573" t="s">
        <v>188</v>
      </c>
      <c r="J605" s="572">
        <v>96.25</v>
      </c>
      <c r="K605" s="573" t="s">
        <v>716</v>
      </c>
      <c r="L605" s="572">
        <v>47.24</v>
      </c>
      <c r="M605" s="571">
        <v>8.32</v>
      </c>
      <c r="N605" s="570">
        <v>393</v>
      </c>
      <c r="V605" s="674"/>
      <c r="W605" s="675" t="s">
        <v>2936</v>
      </c>
      <c r="AC605" s="675"/>
      <c r="AD605" s="675"/>
      <c r="AF605" s="675"/>
      <c r="AG605" s="675"/>
      <c r="AH605" s="680"/>
    </row>
    <row r="606" spans="1:34" s="536" customFormat="1" ht="12" x14ac:dyDescent="0.2">
      <c r="A606" s="569"/>
      <c r="B606" s="656"/>
      <c r="C606" s="661" t="s">
        <v>717</v>
      </c>
      <c r="D606" s="662"/>
      <c r="E606" s="662"/>
      <c r="F606" s="563"/>
      <c r="G606" s="563"/>
      <c r="H606" s="563"/>
      <c r="I606" s="563"/>
      <c r="J606" s="566"/>
      <c r="K606" s="563"/>
      <c r="L606" s="566"/>
      <c r="M606" s="565"/>
      <c r="N606" s="564"/>
      <c r="V606" s="674"/>
      <c r="W606" s="675"/>
      <c r="AC606" s="675"/>
      <c r="AD606" s="675"/>
      <c r="AF606" s="675"/>
      <c r="AG606" s="675"/>
      <c r="AH606" s="680"/>
    </row>
    <row r="607" spans="1:34" s="536" customFormat="1" ht="22.5" x14ac:dyDescent="0.2">
      <c r="A607" s="609"/>
      <c r="B607" s="552" t="s">
        <v>718</v>
      </c>
      <c r="C607" s="1822" t="s">
        <v>719</v>
      </c>
      <c r="D607" s="1822"/>
      <c r="E607" s="1822"/>
      <c r="F607" s="1822"/>
      <c r="G607" s="1822"/>
      <c r="H607" s="1822"/>
      <c r="I607" s="1822"/>
      <c r="J607" s="1822"/>
      <c r="K607" s="1822"/>
      <c r="L607" s="1822"/>
      <c r="M607" s="1822"/>
      <c r="N607" s="1827"/>
      <c r="V607" s="674"/>
      <c r="W607" s="675"/>
      <c r="Y607" s="537" t="s">
        <v>719</v>
      </c>
      <c r="AC607" s="675"/>
      <c r="AD607" s="675"/>
      <c r="AF607" s="675"/>
      <c r="AG607" s="675"/>
      <c r="AH607" s="680"/>
    </row>
    <row r="608" spans="1:34" s="536" customFormat="1" ht="33.75" x14ac:dyDescent="0.2">
      <c r="A608" s="575" t="s">
        <v>2373</v>
      </c>
      <c r="B608" s="657" t="s">
        <v>2937</v>
      </c>
      <c r="C608" s="1823" t="s">
        <v>2938</v>
      </c>
      <c r="D608" s="1823"/>
      <c r="E608" s="1823"/>
      <c r="F608" s="573" t="s">
        <v>628</v>
      </c>
      <c r="G608" s="573"/>
      <c r="H608" s="573"/>
      <c r="I608" s="573" t="s">
        <v>194</v>
      </c>
      <c r="J608" s="572">
        <v>175</v>
      </c>
      <c r="K608" s="573" t="s">
        <v>716</v>
      </c>
      <c r="L608" s="572">
        <v>214.54</v>
      </c>
      <c r="M608" s="571">
        <v>8.32</v>
      </c>
      <c r="N608" s="570">
        <v>1785</v>
      </c>
      <c r="V608" s="674"/>
      <c r="W608" s="675" t="s">
        <v>2938</v>
      </c>
      <c r="AC608" s="675"/>
      <c r="AD608" s="675"/>
      <c r="AF608" s="675"/>
      <c r="AG608" s="675"/>
      <c r="AH608" s="680"/>
    </row>
    <row r="609" spans="1:34" s="536" customFormat="1" ht="12" x14ac:dyDescent="0.2">
      <c r="A609" s="569"/>
      <c r="B609" s="656"/>
      <c r="C609" s="661" t="s">
        <v>717</v>
      </c>
      <c r="D609" s="662"/>
      <c r="E609" s="662"/>
      <c r="F609" s="563"/>
      <c r="G609" s="563"/>
      <c r="H609" s="563"/>
      <c r="I609" s="563"/>
      <c r="J609" s="566"/>
      <c r="K609" s="563"/>
      <c r="L609" s="566"/>
      <c r="M609" s="565"/>
      <c r="N609" s="564"/>
      <c r="V609" s="674"/>
      <c r="W609" s="675"/>
      <c r="AC609" s="675"/>
      <c r="AD609" s="675"/>
      <c r="AF609" s="675"/>
      <c r="AG609" s="675"/>
      <c r="AH609" s="680"/>
    </row>
    <row r="610" spans="1:34" s="536" customFormat="1" ht="22.5" x14ac:dyDescent="0.2">
      <c r="A610" s="609"/>
      <c r="B610" s="552" t="s">
        <v>718</v>
      </c>
      <c r="C610" s="1822" t="s">
        <v>719</v>
      </c>
      <c r="D610" s="1822"/>
      <c r="E610" s="1822"/>
      <c r="F610" s="1822"/>
      <c r="G610" s="1822"/>
      <c r="H610" s="1822"/>
      <c r="I610" s="1822"/>
      <c r="J610" s="1822"/>
      <c r="K610" s="1822"/>
      <c r="L610" s="1822"/>
      <c r="M610" s="1822"/>
      <c r="N610" s="1827"/>
      <c r="V610" s="674"/>
      <c r="W610" s="675"/>
      <c r="Y610" s="537" t="s">
        <v>719</v>
      </c>
      <c r="AC610" s="675"/>
      <c r="AD610" s="675"/>
      <c r="AF610" s="675"/>
      <c r="AG610" s="675"/>
      <c r="AH610" s="680"/>
    </row>
    <row r="611" spans="1:34" s="536" customFormat="1" ht="33.75" x14ac:dyDescent="0.2">
      <c r="A611" s="575" t="s">
        <v>1540</v>
      </c>
      <c r="B611" s="657" t="s">
        <v>2939</v>
      </c>
      <c r="C611" s="1823" t="s">
        <v>2940</v>
      </c>
      <c r="D611" s="1823"/>
      <c r="E611" s="1823"/>
      <c r="F611" s="573" t="s">
        <v>628</v>
      </c>
      <c r="G611" s="573"/>
      <c r="H611" s="573"/>
      <c r="I611" s="573" t="s">
        <v>736</v>
      </c>
      <c r="J611" s="572">
        <v>218.75</v>
      </c>
      <c r="K611" s="573" t="s">
        <v>716</v>
      </c>
      <c r="L611" s="572">
        <v>563.22</v>
      </c>
      <c r="M611" s="571">
        <v>8.32</v>
      </c>
      <c r="N611" s="570">
        <v>4686</v>
      </c>
      <c r="V611" s="674"/>
      <c r="W611" s="675" t="s">
        <v>2940</v>
      </c>
      <c r="AC611" s="675"/>
      <c r="AD611" s="675"/>
      <c r="AF611" s="675"/>
      <c r="AG611" s="675"/>
      <c r="AH611" s="680"/>
    </row>
    <row r="612" spans="1:34" s="536" customFormat="1" ht="12" x14ac:dyDescent="0.2">
      <c r="A612" s="569"/>
      <c r="B612" s="656"/>
      <c r="C612" s="661" t="s">
        <v>717</v>
      </c>
      <c r="D612" s="662"/>
      <c r="E612" s="662"/>
      <c r="F612" s="563"/>
      <c r="G612" s="563"/>
      <c r="H612" s="563"/>
      <c r="I612" s="563"/>
      <c r="J612" s="566"/>
      <c r="K612" s="563"/>
      <c r="L612" s="566"/>
      <c r="M612" s="565"/>
      <c r="N612" s="564"/>
      <c r="V612" s="674"/>
      <c r="W612" s="675"/>
      <c r="AC612" s="675"/>
      <c r="AD612" s="675"/>
      <c r="AF612" s="675"/>
      <c r="AG612" s="675"/>
      <c r="AH612" s="680"/>
    </row>
    <row r="613" spans="1:34" s="536" customFormat="1" ht="22.5" x14ac:dyDescent="0.2">
      <c r="A613" s="609"/>
      <c r="B613" s="552" t="s">
        <v>718</v>
      </c>
      <c r="C613" s="1822" t="s">
        <v>719</v>
      </c>
      <c r="D613" s="1822"/>
      <c r="E613" s="1822"/>
      <c r="F613" s="1822"/>
      <c r="G613" s="1822"/>
      <c r="H613" s="1822"/>
      <c r="I613" s="1822"/>
      <c r="J613" s="1822"/>
      <c r="K613" s="1822"/>
      <c r="L613" s="1822"/>
      <c r="M613" s="1822"/>
      <c r="N613" s="1827"/>
      <c r="V613" s="674"/>
      <c r="W613" s="675"/>
      <c r="Y613" s="537" t="s">
        <v>719</v>
      </c>
      <c r="AC613" s="675"/>
      <c r="AD613" s="675"/>
      <c r="AF613" s="675"/>
      <c r="AG613" s="675"/>
      <c r="AH613" s="680"/>
    </row>
    <row r="614" spans="1:34" s="536" customFormat="1" ht="33.75" x14ac:dyDescent="0.2">
      <c r="A614" s="575" t="s">
        <v>968</v>
      </c>
      <c r="B614" s="657" t="s">
        <v>2941</v>
      </c>
      <c r="C614" s="1823" t="s">
        <v>2942</v>
      </c>
      <c r="D614" s="1823"/>
      <c r="E614" s="1823"/>
      <c r="F614" s="573" t="s">
        <v>628</v>
      </c>
      <c r="G614" s="573"/>
      <c r="H614" s="573"/>
      <c r="I614" s="573" t="s">
        <v>186</v>
      </c>
      <c r="J614" s="572">
        <v>262.5</v>
      </c>
      <c r="K614" s="573" t="s">
        <v>716</v>
      </c>
      <c r="L614" s="572">
        <v>64.42</v>
      </c>
      <c r="M614" s="571">
        <v>8.32</v>
      </c>
      <c r="N614" s="570">
        <v>536</v>
      </c>
      <c r="V614" s="674"/>
      <c r="W614" s="675" t="s">
        <v>2942</v>
      </c>
      <c r="AC614" s="675"/>
      <c r="AD614" s="675"/>
      <c r="AF614" s="675"/>
      <c r="AG614" s="675"/>
      <c r="AH614" s="680"/>
    </row>
    <row r="615" spans="1:34" s="536" customFormat="1" ht="12" x14ac:dyDescent="0.2">
      <c r="A615" s="569"/>
      <c r="B615" s="656"/>
      <c r="C615" s="661" t="s">
        <v>717</v>
      </c>
      <c r="D615" s="662"/>
      <c r="E615" s="662"/>
      <c r="F615" s="563"/>
      <c r="G615" s="563"/>
      <c r="H615" s="563"/>
      <c r="I615" s="563"/>
      <c r="J615" s="566"/>
      <c r="K615" s="563"/>
      <c r="L615" s="566"/>
      <c r="M615" s="565"/>
      <c r="N615" s="564"/>
      <c r="V615" s="674"/>
      <c r="W615" s="675"/>
      <c r="AC615" s="675"/>
      <c r="AD615" s="675"/>
      <c r="AF615" s="675"/>
      <c r="AG615" s="675"/>
      <c r="AH615" s="680"/>
    </row>
    <row r="616" spans="1:34" s="536" customFormat="1" ht="22.5" x14ac:dyDescent="0.2">
      <c r="A616" s="609"/>
      <c r="B616" s="552" t="s">
        <v>718</v>
      </c>
      <c r="C616" s="1822" t="s">
        <v>719</v>
      </c>
      <c r="D616" s="1822"/>
      <c r="E616" s="1822"/>
      <c r="F616" s="1822"/>
      <c r="G616" s="1822"/>
      <c r="H616" s="1822"/>
      <c r="I616" s="1822"/>
      <c r="J616" s="1822"/>
      <c r="K616" s="1822"/>
      <c r="L616" s="1822"/>
      <c r="M616" s="1822"/>
      <c r="N616" s="1827"/>
      <c r="V616" s="674"/>
      <c r="W616" s="675"/>
      <c r="Y616" s="537" t="s">
        <v>719</v>
      </c>
      <c r="AC616" s="675"/>
      <c r="AD616" s="675"/>
      <c r="AF616" s="675"/>
      <c r="AG616" s="675"/>
      <c r="AH616" s="680"/>
    </row>
    <row r="617" spans="1:34" s="536" customFormat="1" ht="33.75" x14ac:dyDescent="0.2">
      <c r="A617" s="575" t="s">
        <v>2385</v>
      </c>
      <c r="B617" s="657" t="s">
        <v>2943</v>
      </c>
      <c r="C617" s="1823" t="s">
        <v>2944</v>
      </c>
      <c r="D617" s="1823"/>
      <c r="E617" s="1823"/>
      <c r="F617" s="573" t="s">
        <v>628</v>
      </c>
      <c r="G617" s="573"/>
      <c r="H617" s="573"/>
      <c r="I617" s="573" t="s">
        <v>189</v>
      </c>
      <c r="J617" s="572">
        <v>315</v>
      </c>
      <c r="K617" s="573" t="s">
        <v>716</v>
      </c>
      <c r="L617" s="572">
        <v>193.15</v>
      </c>
      <c r="M617" s="571">
        <v>8.32</v>
      </c>
      <c r="N617" s="570">
        <v>1607</v>
      </c>
      <c r="V617" s="674"/>
      <c r="W617" s="675" t="s">
        <v>2944</v>
      </c>
      <c r="AC617" s="675"/>
      <c r="AD617" s="675"/>
      <c r="AF617" s="675"/>
      <c r="AG617" s="675"/>
      <c r="AH617" s="680"/>
    </row>
    <row r="618" spans="1:34" s="536" customFormat="1" ht="12" x14ac:dyDescent="0.2">
      <c r="A618" s="569"/>
      <c r="B618" s="656"/>
      <c r="C618" s="661" t="s">
        <v>717</v>
      </c>
      <c r="D618" s="662"/>
      <c r="E618" s="662"/>
      <c r="F618" s="563"/>
      <c r="G618" s="563"/>
      <c r="H618" s="563"/>
      <c r="I618" s="563"/>
      <c r="J618" s="566"/>
      <c r="K618" s="563"/>
      <c r="L618" s="566"/>
      <c r="M618" s="565"/>
      <c r="N618" s="564"/>
      <c r="V618" s="674"/>
      <c r="W618" s="675"/>
      <c r="AC618" s="675"/>
      <c r="AD618" s="675"/>
      <c r="AF618" s="675"/>
      <c r="AG618" s="675"/>
      <c r="AH618" s="680"/>
    </row>
    <row r="619" spans="1:34" s="536" customFormat="1" ht="22.5" x14ac:dyDescent="0.2">
      <c r="A619" s="609"/>
      <c r="B619" s="552" t="s">
        <v>718</v>
      </c>
      <c r="C619" s="1822" t="s">
        <v>719</v>
      </c>
      <c r="D619" s="1822"/>
      <c r="E619" s="1822"/>
      <c r="F619" s="1822"/>
      <c r="G619" s="1822"/>
      <c r="H619" s="1822"/>
      <c r="I619" s="1822"/>
      <c r="J619" s="1822"/>
      <c r="K619" s="1822"/>
      <c r="L619" s="1822"/>
      <c r="M619" s="1822"/>
      <c r="N619" s="1827"/>
      <c r="V619" s="674"/>
      <c r="W619" s="675"/>
      <c r="Y619" s="537" t="s">
        <v>719</v>
      </c>
      <c r="AC619" s="675"/>
      <c r="AD619" s="675"/>
      <c r="AF619" s="675"/>
      <c r="AG619" s="675"/>
      <c r="AH619" s="680"/>
    </row>
    <row r="620" spans="1:34" s="536" customFormat="1" ht="33.75" x14ac:dyDescent="0.2">
      <c r="A620" s="575" t="s">
        <v>2389</v>
      </c>
      <c r="B620" s="657" t="s">
        <v>2945</v>
      </c>
      <c r="C620" s="1823" t="s">
        <v>2946</v>
      </c>
      <c r="D620" s="1823"/>
      <c r="E620" s="1823"/>
      <c r="F620" s="573" t="s">
        <v>628</v>
      </c>
      <c r="G620" s="573"/>
      <c r="H620" s="573"/>
      <c r="I620" s="573" t="s">
        <v>187</v>
      </c>
      <c r="J620" s="572">
        <v>166.25</v>
      </c>
      <c r="K620" s="573" t="s">
        <v>716</v>
      </c>
      <c r="L620" s="572">
        <v>61.18</v>
      </c>
      <c r="M620" s="571">
        <v>8.32</v>
      </c>
      <c r="N620" s="570">
        <v>509</v>
      </c>
      <c r="V620" s="674"/>
      <c r="W620" s="675" t="s">
        <v>2946</v>
      </c>
      <c r="AC620" s="675"/>
      <c r="AD620" s="675"/>
      <c r="AF620" s="675"/>
      <c r="AG620" s="675"/>
      <c r="AH620" s="680"/>
    </row>
    <row r="621" spans="1:34" s="536" customFormat="1" ht="12" x14ac:dyDescent="0.2">
      <c r="A621" s="569"/>
      <c r="B621" s="656"/>
      <c r="C621" s="661" t="s">
        <v>717</v>
      </c>
      <c r="D621" s="662"/>
      <c r="E621" s="662"/>
      <c r="F621" s="563"/>
      <c r="G621" s="563"/>
      <c r="H621" s="563"/>
      <c r="I621" s="563"/>
      <c r="J621" s="566"/>
      <c r="K621" s="563"/>
      <c r="L621" s="566"/>
      <c r="M621" s="565"/>
      <c r="N621" s="564"/>
      <c r="V621" s="674"/>
      <c r="W621" s="675"/>
      <c r="AC621" s="675"/>
      <c r="AD621" s="675"/>
      <c r="AF621" s="675"/>
      <c r="AG621" s="675"/>
      <c r="AH621" s="680"/>
    </row>
    <row r="622" spans="1:34" s="536" customFormat="1" ht="22.5" x14ac:dyDescent="0.2">
      <c r="A622" s="609"/>
      <c r="B622" s="552" t="s">
        <v>718</v>
      </c>
      <c r="C622" s="1822" t="s">
        <v>719</v>
      </c>
      <c r="D622" s="1822"/>
      <c r="E622" s="1822"/>
      <c r="F622" s="1822"/>
      <c r="G622" s="1822"/>
      <c r="H622" s="1822"/>
      <c r="I622" s="1822"/>
      <c r="J622" s="1822"/>
      <c r="K622" s="1822"/>
      <c r="L622" s="1822"/>
      <c r="M622" s="1822"/>
      <c r="N622" s="1827"/>
      <c r="V622" s="674"/>
      <c r="W622" s="675"/>
      <c r="Y622" s="537" t="s">
        <v>719</v>
      </c>
      <c r="AC622" s="675"/>
      <c r="AD622" s="675"/>
      <c r="AF622" s="675"/>
      <c r="AG622" s="675"/>
      <c r="AH622" s="680"/>
    </row>
    <row r="623" spans="1:34" s="536" customFormat="1" ht="33.75" x14ac:dyDescent="0.2">
      <c r="A623" s="575" t="s">
        <v>1746</v>
      </c>
      <c r="B623" s="657" t="s">
        <v>2947</v>
      </c>
      <c r="C623" s="1823" t="s">
        <v>2948</v>
      </c>
      <c r="D623" s="1823"/>
      <c r="E623" s="1823"/>
      <c r="F623" s="573" t="s">
        <v>628</v>
      </c>
      <c r="G623" s="573"/>
      <c r="H623" s="573"/>
      <c r="I623" s="573" t="s">
        <v>189</v>
      </c>
      <c r="J623" s="572">
        <v>253.75</v>
      </c>
      <c r="K623" s="573" t="s">
        <v>716</v>
      </c>
      <c r="L623" s="572">
        <v>155.53</v>
      </c>
      <c r="M623" s="571">
        <v>8.32</v>
      </c>
      <c r="N623" s="570">
        <v>1294</v>
      </c>
      <c r="V623" s="674"/>
      <c r="W623" s="675" t="s">
        <v>2948</v>
      </c>
      <c r="AC623" s="675"/>
      <c r="AD623" s="675"/>
      <c r="AF623" s="675"/>
      <c r="AG623" s="675"/>
      <c r="AH623" s="680"/>
    </row>
    <row r="624" spans="1:34" s="536" customFormat="1" ht="12" x14ac:dyDescent="0.2">
      <c r="A624" s="569"/>
      <c r="B624" s="656"/>
      <c r="C624" s="661" t="s">
        <v>717</v>
      </c>
      <c r="D624" s="662"/>
      <c r="E624" s="662"/>
      <c r="F624" s="563"/>
      <c r="G624" s="563"/>
      <c r="H624" s="563"/>
      <c r="I624" s="563"/>
      <c r="J624" s="566"/>
      <c r="K624" s="563"/>
      <c r="L624" s="566"/>
      <c r="M624" s="565"/>
      <c r="N624" s="564"/>
      <c r="V624" s="674"/>
      <c r="W624" s="675"/>
      <c r="AC624" s="675"/>
      <c r="AD624" s="675"/>
      <c r="AF624" s="675"/>
      <c r="AG624" s="675"/>
      <c r="AH624" s="680"/>
    </row>
    <row r="625" spans="1:34" s="536" customFormat="1" ht="22.5" x14ac:dyDescent="0.2">
      <c r="A625" s="609"/>
      <c r="B625" s="552" t="s">
        <v>718</v>
      </c>
      <c r="C625" s="1822" t="s">
        <v>719</v>
      </c>
      <c r="D625" s="1822"/>
      <c r="E625" s="1822"/>
      <c r="F625" s="1822"/>
      <c r="G625" s="1822"/>
      <c r="H625" s="1822"/>
      <c r="I625" s="1822"/>
      <c r="J625" s="1822"/>
      <c r="K625" s="1822"/>
      <c r="L625" s="1822"/>
      <c r="M625" s="1822"/>
      <c r="N625" s="1827"/>
      <c r="V625" s="674"/>
      <c r="W625" s="675"/>
      <c r="Y625" s="537" t="s">
        <v>719</v>
      </c>
      <c r="AC625" s="675"/>
      <c r="AD625" s="675"/>
      <c r="AF625" s="675"/>
      <c r="AG625" s="675"/>
      <c r="AH625" s="680"/>
    </row>
    <row r="626" spans="1:34" s="536" customFormat="1" ht="33.75" x14ac:dyDescent="0.2">
      <c r="A626" s="575" t="s">
        <v>2398</v>
      </c>
      <c r="B626" s="657" t="s">
        <v>2949</v>
      </c>
      <c r="C626" s="1823" t="s">
        <v>2950</v>
      </c>
      <c r="D626" s="1823"/>
      <c r="E626" s="1823"/>
      <c r="F626" s="573" t="s">
        <v>628</v>
      </c>
      <c r="G626" s="573"/>
      <c r="H626" s="573"/>
      <c r="I626" s="573" t="s">
        <v>189</v>
      </c>
      <c r="J626" s="572">
        <v>315</v>
      </c>
      <c r="K626" s="573" t="s">
        <v>716</v>
      </c>
      <c r="L626" s="572">
        <v>193.15</v>
      </c>
      <c r="M626" s="571">
        <v>8.32</v>
      </c>
      <c r="N626" s="570">
        <v>1607</v>
      </c>
      <c r="V626" s="674"/>
      <c r="W626" s="675" t="s">
        <v>2950</v>
      </c>
      <c r="AC626" s="675"/>
      <c r="AD626" s="675"/>
      <c r="AF626" s="675"/>
      <c r="AG626" s="675"/>
      <c r="AH626" s="680"/>
    </row>
    <row r="627" spans="1:34" s="536" customFormat="1" ht="12" x14ac:dyDescent="0.2">
      <c r="A627" s="569"/>
      <c r="B627" s="656"/>
      <c r="C627" s="661" t="s">
        <v>717</v>
      </c>
      <c r="D627" s="662"/>
      <c r="E627" s="662"/>
      <c r="F627" s="563"/>
      <c r="G627" s="563"/>
      <c r="H627" s="563"/>
      <c r="I627" s="563"/>
      <c r="J627" s="566"/>
      <c r="K627" s="563"/>
      <c r="L627" s="566"/>
      <c r="M627" s="565"/>
      <c r="N627" s="564"/>
      <c r="V627" s="674"/>
      <c r="W627" s="675"/>
      <c r="AC627" s="675"/>
      <c r="AD627" s="675"/>
      <c r="AF627" s="675"/>
      <c r="AG627" s="675"/>
      <c r="AH627" s="680"/>
    </row>
    <row r="628" spans="1:34" s="536" customFormat="1" ht="22.5" x14ac:dyDescent="0.2">
      <c r="A628" s="609"/>
      <c r="B628" s="552" t="s">
        <v>718</v>
      </c>
      <c r="C628" s="1822" t="s">
        <v>719</v>
      </c>
      <c r="D628" s="1822"/>
      <c r="E628" s="1822"/>
      <c r="F628" s="1822"/>
      <c r="G628" s="1822"/>
      <c r="H628" s="1822"/>
      <c r="I628" s="1822"/>
      <c r="J628" s="1822"/>
      <c r="K628" s="1822"/>
      <c r="L628" s="1822"/>
      <c r="M628" s="1822"/>
      <c r="N628" s="1827"/>
      <c r="V628" s="674"/>
      <c r="W628" s="675"/>
      <c r="Y628" s="537" t="s">
        <v>719</v>
      </c>
      <c r="AC628" s="675"/>
      <c r="AD628" s="675"/>
      <c r="AF628" s="675"/>
      <c r="AG628" s="675"/>
      <c r="AH628" s="680"/>
    </row>
    <row r="629" spans="1:34" s="536" customFormat="1" ht="33.75" x14ac:dyDescent="0.2">
      <c r="A629" s="575" t="s">
        <v>969</v>
      </c>
      <c r="B629" s="657" t="s">
        <v>2951</v>
      </c>
      <c r="C629" s="1823" t="s">
        <v>2952</v>
      </c>
      <c r="D629" s="1823"/>
      <c r="E629" s="1823"/>
      <c r="F629" s="573" t="s">
        <v>628</v>
      </c>
      <c r="G629" s="573"/>
      <c r="H629" s="573"/>
      <c r="I629" s="573" t="s">
        <v>185</v>
      </c>
      <c r="J629" s="572">
        <v>332.5</v>
      </c>
      <c r="K629" s="573" t="s">
        <v>716</v>
      </c>
      <c r="L629" s="572">
        <v>40.75</v>
      </c>
      <c r="M629" s="571">
        <v>8.32</v>
      </c>
      <c r="N629" s="570">
        <v>339</v>
      </c>
      <c r="V629" s="674"/>
      <c r="W629" s="675" t="s">
        <v>2952</v>
      </c>
      <c r="AC629" s="675"/>
      <c r="AD629" s="675"/>
      <c r="AF629" s="675"/>
      <c r="AG629" s="675"/>
      <c r="AH629" s="680"/>
    </row>
    <row r="630" spans="1:34" s="536" customFormat="1" ht="12" x14ac:dyDescent="0.2">
      <c r="A630" s="569"/>
      <c r="B630" s="656"/>
      <c r="C630" s="661" t="s">
        <v>717</v>
      </c>
      <c r="D630" s="662"/>
      <c r="E630" s="662"/>
      <c r="F630" s="563"/>
      <c r="G630" s="563"/>
      <c r="H630" s="563"/>
      <c r="I630" s="563"/>
      <c r="J630" s="566"/>
      <c r="K630" s="563"/>
      <c r="L630" s="566"/>
      <c r="M630" s="565"/>
      <c r="N630" s="564"/>
      <c r="V630" s="674"/>
      <c r="W630" s="675"/>
      <c r="AC630" s="675"/>
      <c r="AD630" s="675"/>
      <c r="AF630" s="675"/>
      <c r="AG630" s="675"/>
      <c r="AH630" s="680"/>
    </row>
    <row r="631" spans="1:34" s="536" customFormat="1" ht="22.5" x14ac:dyDescent="0.2">
      <c r="A631" s="609"/>
      <c r="B631" s="552" t="s">
        <v>718</v>
      </c>
      <c r="C631" s="1822" t="s">
        <v>719</v>
      </c>
      <c r="D631" s="1822"/>
      <c r="E631" s="1822"/>
      <c r="F631" s="1822"/>
      <c r="G631" s="1822"/>
      <c r="H631" s="1822"/>
      <c r="I631" s="1822"/>
      <c r="J631" s="1822"/>
      <c r="K631" s="1822"/>
      <c r="L631" s="1822"/>
      <c r="M631" s="1822"/>
      <c r="N631" s="1827"/>
      <c r="V631" s="674"/>
      <c r="W631" s="675"/>
      <c r="Y631" s="537" t="s">
        <v>719</v>
      </c>
      <c r="AC631" s="675"/>
      <c r="AD631" s="675"/>
      <c r="AF631" s="675"/>
      <c r="AG631" s="675"/>
      <c r="AH631" s="680"/>
    </row>
    <row r="632" spans="1:34" s="536" customFormat="1" ht="33.75" x14ac:dyDescent="0.2">
      <c r="A632" s="575" t="s">
        <v>2403</v>
      </c>
      <c r="B632" s="657" t="s">
        <v>2953</v>
      </c>
      <c r="C632" s="1823" t="s">
        <v>2954</v>
      </c>
      <c r="D632" s="1823"/>
      <c r="E632" s="1823"/>
      <c r="F632" s="573" t="s">
        <v>628</v>
      </c>
      <c r="G632" s="573"/>
      <c r="H632" s="573"/>
      <c r="I632" s="573" t="s">
        <v>185</v>
      </c>
      <c r="J632" s="572">
        <v>341.25</v>
      </c>
      <c r="K632" s="573" t="s">
        <v>716</v>
      </c>
      <c r="L632" s="572">
        <v>41.83</v>
      </c>
      <c r="M632" s="571">
        <v>8.32</v>
      </c>
      <c r="N632" s="570">
        <v>348</v>
      </c>
      <c r="V632" s="674"/>
      <c r="W632" s="675" t="s">
        <v>2954</v>
      </c>
      <c r="AC632" s="675"/>
      <c r="AD632" s="675"/>
      <c r="AF632" s="675"/>
      <c r="AG632" s="675"/>
      <c r="AH632" s="680"/>
    </row>
    <row r="633" spans="1:34" s="536" customFormat="1" ht="12" x14ac:dyDescent="0.2">
      <c r="A633" s="569"/>
      <c r="B633" s="656"/>
      <c r="C633" s="661" t="s">
        <v>717</v>
      </c>
      <c r="D633" s="662"/>
      <c r="E633" s="662"/>
      <c r="F633" s="563"/>
      <c r="G633" s="563"/>
      <c r="H633" s="563"/>
      <c r="I633" s="563"/>
      <c r="J633" s="566"/>
      <c r="K633" s="563"/>
      <c r="L633" s="566"/>
      <c r="M633" s="565"/>
      <c r="N633" s="564"/>
      <c r="V633" s="674"/>
      <c r="W633" s="675"/>
      <c r="AC633" s="675"/>
      <c r="AD633" s="675"/>
      <c r="AF633" s="675"/>
      <c r="AG633" s="675"/>
      <c r="AH633" s="680"/>
    </row>
    <row r="634" spans="1:34" s="536" customFormat="1" ht="22.5" x14ac:dyDescent="0.2">
      <c r="A634" s="609"/>
      <c r="B634" s="552" t="s">
        <v>718</v>
      </c>
      <c r="C634" s="1822" t="s">
        <v>719</v>
      </c>
      <c r="D634" s="1822"/>
      <c r="E634" s="1822"/>
      <c r="F634" s="1822"/>
      <c r="G634" s="1822"/>
      <c r="H634" s="1822"/>
      <c r="I634" s="1822"/>
      <c r="J634" s="1822"/>
      <c r="K634" s="1822"/>
      <c r="L634" s="1822"/>
      <c r="M634" s="1822"/>
      <c r="N634" s="1827"/>
      <c r="V634" s="674"/>
      <c r="W634" s="675"/>
      <c r="Y634" s="537" t="s">
        <v>719</v>
      </c>
      <c r="AC634" s="675"/>
      <c r="AD634" s="675"/>
      <c r="AF634" s="675"/>
      <c r="AG634" s="675"/>
      <c r="AH634" s="680"/>
    </row>
    <row r="635" spans="1:34" s="536" customFormat="1" ht="33.75" x14ac:dyDescent="0.2">
      <c r="A635" s="575" t="s">
        <v>2408</v>
      </c>
      <c r="B635" s="657" t="s">
        <v>2955</v>
      </c>
      <c r="C635" s="1823" t="s">
        <v>2956</v>
      </c>
      <c r="D635" s="1823"/>
      <c r="E635" s="1823"/>
      <c r="F635" s="573" t="s">
        <v>628</v>
      </c>
      <c r="G635" s="573"/>
      <c r="H635" s="573"/>
      <c r="I635" s="573" t="s">
        <v>186</v>
      </c>
      <c r="J635" s="572">
        <v>166.25</v>
      </c>
      <c r="K635" s="573" t="s">
        <v>716</v>
      </c>
      <c r="L635" s="572">
        <v>40.75</v>
      </c>
      <c r="M635" s="571">
        <v>8.32</v>
      </c>
      <c r="N635" s="570">
        <v>339</v>
      </c>
      <c r="V635" s="674"/>
      <c r="W635" s="675" t="s">
        <v>2956</v>
      </c>
      <c r="AC635" s="675"/>
      <c r="AD635" s="675"/>
      <c r="AF635" s="675"/>
      <c r="AG635" s="675"/>
      <c r="AH635" s="680"/>
    </row>
    <row r="636" spans="1:34" s="536" customFormat="1" ht="12" x14ac:dyDescent="0.2">
      <c r="A636" s="569"/>
      <c r="B636" s="656"/>
      <c r="C636" s="661" t="s">
        <v>717</v>
      </c>
      <c r="D636" s="662"/>
      <c r="E636" s="662"/>
      <c r="F636" s="563"/>
      <c r="G636" s="563"/>
      <c r="H636" s="563"/>
      <c r="I636" s="563"/>
      <c r="J636" s="566"/>
      <c r="K636" s="563"/>
      <c r="L636" s="566"/>
      <c r="M636" s="565"/>
      <c r="N636" s="564"/>
      <c r="V636" s="674"/>
      <c r="W636" s="675"/>
      <c r="AC636" s="675"/>
      <c r="AD636" s="675"/>
      <c r="AF636" s="675"/>
      <c r="AG636" s="675"/>
      <c r="AH636" s="680"/>
    </row>
    <row r="637" spans="1:34" s="536" customFormat="1" ht="22.5" x14ac:dyDescent="0.2">
      <c r="A637" s="609"/>
      <c r="B637" s="552" t="s">
        <v>718</v>
      </c>
      <c r="C637" s="1822" t="s">
        <v>719</v>
      </c>
      <c r="D637" s="1822"/>
      <c r="E637" s="1822"/>
      <c r="F637" s="1822"/>
      <c r="G637" s="1822"/>
      <c r="H637" s="1822"/>
      <c r="I637" s="1822"/>
      <c r="J637" s="1822"/>
      <c r="K637" s="1822"/>
      <c r="L637" s="1822"/>
      <c r="M637" s="1822"/>
      <c r="N637" s="1827"/>
      <c r="V637" s="674"/>
      <c r="W637" s="675"/>
      <c r="Y637" s="537" t="s">
        <v>719</v>
      </c>
      <c r="AC637" s="675"/>
      <c r="AD637" s="675"/>
      <c r="AF637" s="675"/>
      <c r="AG637" s="675"/>
      <c r="AH637" s="680"/>
    </row>
    <row r="638" spans="1:34" s="536" customFormat="1" ht="22.5" x14ac:dyDescent="0.2">
      <c r="A638" s="575" t="s">
        <v>323</v>
      </c>
      <c r="B638" s="657" t="s">
        <v>2957</v>
      </c>
      <c r="C638" s="1823" t="s">
        <v>2958</v>
      </c>
      <c r="D638" s="1823"/>
      <c r="E638" s="1823"/>
      <c r="F638" s="573" t="s">
        <v>617</v>
      </c>
      <c r="G638" s="573"/>
      <c r="H638" s="573"/>
      <c r="I638" s="573" t="s">
        <v>194</v>
      </c>
      <c r="J638" s="572">
        <v>66.09</v>
      </c>
      <c r="K638" s="573"/>
      <c r="L638" s="572">
        <v>660.9</v>
      </c>
      <c r="M638" s="571"/>
      <c r="N638" s="570"/>
      <c r="V638" s="674"/>
      <c r="W638" s="675" t="s">
        <v>2958</v>
      </c>
      <c r="AC638" s="675"/>
      <c r="AD638" s="675"/>
      <c r="AF638" s="675"/>
      <c r="AG638" s="675"/>
      <c r="AH638" s="680"/>
    </row>
    <row r="639" spans="1:34" s="536" customFormat="1" ht="12" x14ac:dyDescent="0.2">
      <c r="A639" s="569"/>
      <c r="B639" s="656"/>
      <c r="C639" s="661" t="s">
        <v>2820</v>
      </c>
      <c r="D639" s="662"/>
      <c r="E639" s="662"/>
      <c r="F639" s="563"/>
      <c r="G639" s="563"/>
      <c r="H639" s="563"/>
      <c r="I639" s="563"/>
      <c r="J639" s="566"/>
      <c r="K639" s="563"/>
      <c r="L639" s="566"/>
      <c r="M639" s="565"/>
      <c r="N639" s="564"/>
      <c r="V639" s="674"/>
      <c r="W639" s="675"/>
      <c r="AC639" s="675"/>
      <c r="AD639" s="675"/>
      <c r="AF639" s="675"/>
      <c r="AG639" s="675"/>
      <c r="AH639" s="680"/>
    </row>
    <row r="640" spans="1:34" s="536" customFormat="1" ht="22.5" x14ac:dyDescent="0.2">
      <c r="A640" s="575" t="s">
        <v>886</v>
      </c>
      <c r="B640" s="657" t="s">
        <v>2959</v>
      </c>
      <c r="C640" s="1823" t="s">
        <v>2960</v>
      </c>
      <c r="D640" s="1823"/>
      <c r="E640" s="1823"/>
      <c r="F640" s="573" t="s">
        <v>617</v>
      </c>
      <c r="G640" s="573"/>
      <c r="H640" s="573"/>
      <c r="I640" s="573" t="s">
        <v>757</v>
      </c>
      <c r="J640" s="572">
        <v>68.34</v>
      </c>
      <c r="K640" s="573"/>
      <c r="L640" s="572">
        <v>1640.16</v>
      </c>
      <c r="M640" s="571"/>
      <c r="N640" s="570"/>
      <c r="V640" s="674"/>
      <c r="W640" s="675" t="s">
        <v>2960</v>
      </c>
      <c r="AC640" s="675"/>
      <c r="AD640" s="675"/>
      <c r="AF640" s="675"/>
      <c r="AG640" s="675"/>
      <c r="AH640" s="680"/>
    </row>
    <row r="641" spans="1:34" s="536" customFormat="1" ht="12" x14ac:dyDescent="0.2">
      <c r="A641" s="569"/>
      <c r="B641" s="656"/>
      <c r="C641" s="661" t="s">
        <v>2820</v>
      </c>
      <c r="D641" s="662"/>
      <c r="E641" s="662"/>
      <c r="F641" s="563"/>
      <c r="G641" s="563"/>
      <c r="H641" s="563"/>
      <c r="I641" s="563"/>
      <c r="J641" s="566"/>
      <c r="K641" s="563"/>
      <c r="L641" s="566"/>
      <c r="M641" s="565"/>
      <c r="N641" s="564"/>
      <c r="V641" s="674"/>
      <c r="W641" s="675"/>
      <c r="AC641" s="675"/>
      <c r="AD641" s="675"/>
      <c r="AF641" s="675"/>
      <c r="AG641" s="675"/>
      <c r="AH641" s="680"/>
    </row>
    <row r="642" spans="1:34" s="536" customFormat="1" ht="22.5" x14ac:dyDescent="0.2">
      <c r="A642" s="575" t="s">
        <v>2418</v>
      </c>
      <c r="B642" s="657" t="s">
        <v>2961</v>
      </c>
      <c r="C642" s="1823" t="s">
        <v>2962</v>
      </c>
      <c r="D642" s="1823"/>
      <c r="E642" s="1823"/>
      <c r="F642" s="573" t="s">
        <v>617</v>
      </c>
      <c r="G642" s="573"/>
      <c r="H642" s="573"/>
      <c r="I642" s="573" t="s">
        <v>190</v>
      </c>
      <c r="J642" s="572">
        <v>70.84</v>
      </c>
      <c r="K642" s="573"/>
      <c r="L642" s="572">
        <v>425.04</v>
      </c>
      <c r="M642" s="571"/>
      <c r="N642" s="570"/>
      <c r="V642" s="674"/>
      <c r="W642" s="675" t="s">
        <v>2962</v>
      </c>
      <c r="AC642" s="675"/>
      <c r="AD642" s="675"/>
      <c r="AF642" s="675"/>
      <c r="AG642" s="675"/>
      <c r="AH642" s="680"/>
    </row>
    <row r="643" spans="1:34" s="536" customFormat="1" ht="12" x14ac:dyDescent="0.2">
      <c r="A643" s="569"/>
      <c r="B643" s="656"/>
      <c r="C643" s="661" t="s">
        <v>2820</v>
      </c>
      <c r="D643" s="662"/>
      <c r="E643" s="662"/>
      <c r="F643" s="563"/>
      <c r="G643" s="563"/>
      <c r="H643" s="563"/>
      <c r="I643" s="563"/>
      <c r="J643" s="566"/>
      <c r="K643" s="563"/>
      <c r="L643" s="566"/>
      <c r="M643" s="565"/>
      <c r="N643" s="564"/>
      <c r="V643" s="674"/>
      <c r="W643" s="675"/>
      <c r="AC643" s="675"/>
      <c r="AD643" s="675"/>
      <c r="AF643" s="675"/>
      <c r="AG643" s="675"/>
      <c r="AH643" s="680"/>
    </row>
    <row r="644" spans="1:34" s="536" customFormat="1" ht="22.5" x14ac:dyDescent="0.2">
      <c r="A644" s="575" t="s">
        <v>462</v>
      </c>
      <c r="B644" s="657" t="s">
        <v>2963</v>
      </c>
      <c r="C644" s="1823" t="s">
        <v>2964</v>
      </c>
      <c r="D644" s="1823"/>
      <c r="E644" s="1823"/>
      <c r="F644" s="573" t="s">
        <v>617</v>
      </c>
      <c r="G644" s="573"/>
      <c r="H644" s="573"/>
      <c r="I644" s="573" t="s">
        <v>194</v>
      </c>
      <c r="J644" s="572">
        <v>73.34</v>
      </c>
      <c r="K644" s="573"/>
      <c r="L644" s="572">
        <v>733.4</v>
      </c>
      <c r="M644" s="571"/>
      <c r="N644" s="570"/>
      <c r="V644" s="674"/>
      <c r="W644" s="675" t="s">
        <v>2964</v>
      </c>
      <c r="AC644" s="675"/>
      <c r="AD644" s="675"/>
      <c r="AF644" s="675"/>
      <c r="AG644" s="675"/>
      <c r="AH644" s="680"/>
    </row>
    <row r="645" spans="1:34" s="536" customFormat="1" ht="12" x14ac:dyDescent="0.2">
      <c r="A645" s="569"/>
      <c r="B645" s="656"/>
      <c r="C645" s="661" t="s">
        <v>2820</v>
      </c>
      <c r="D645" s="662"/>
      <c r="E645" s="662"/>
      <c r="F645" s="563"/>
      <c r="G645" s="563"/>
      <c r="H645" s="563"/>
      <c r="I645" s="563"/>
      <c r="J645" s="566"/>
      <c r="K645" s="563"/>
      <c r="L645" s="566"/>
      <c r="M645" s="565"/>
      <c r="N645" s="564"/>
      <c r="V645" s="674"/>
      <c r="W645" s="675"/>
      <c r="AC645" s="675"/>
      <c r="AD645" s="675"/>
      <c r="AF645" s="675"/>
      <c r="AG645" s="675"/>
      <c r="AH645" s="680"/>
    </row>
    <row r="646" spans="1:34" s="536" customFormat="1" ht="33.75" x14ac:dyDescent="0.2">
      <c r="A646" s="575" t="s">
        <v>650</v>
      </c>
      <c r="B646" s="657" t="s">
        <v>2965</v>
      </c>
      <c r="C646" s="1823" t="s">
        <v>2966</v>
      </c>
      <c r="D646" s="1823"/>
      <c r="E646" s="1823"/>
      <c r="F646" s="573" t="s">
        <v>483</v>
      </c>
      <c r="G646" s="573"/>
      <c r="H646" s="573"/>
      <c r="I646" s="573" t="s">
        <v>200</v>
      </c>
      <c r="J646" s="572">
        <v>223.13</v>
      </c>
      <c r="K646" s="573" t="s">
        <v>716</v>
      </c>
      <c r="L646" s="572">
        <v>437.62</v>
      </c>
      <c r="M646" s="571">
        <v>8.32</v>
      </c>
      <c r="N646" s="570">
        <v>3641</v>
      </c>
      <c r="V646" s="674"/>
      <c r="W646" s="675" t="s">
        <v>2966</v>
      </c>
      <c r="AC646" s="675"/>
      <c r="AD646" s="675"/>
      <c r="AF646" s="675"/>
      <c r="AG646" s="675"/>
      <c r="AH646" s="680"/>
    </row>
    <row r="647" spans="1:34" s="536" customFormat="1" ht="12" x14ac:dyDescent="0.2">
      <c r="A647" s="569"/>
      <c r="B647" s="656"/>
      <c r="C647" s="661" t="s">
        <v>717</v>
      </c>
      <c r="D647" s="662"/>
      <c r="E647" s="662"/>
      <c r="F647" s="563"/>
      <c r="G647" s="563"/>
      <c r="H647" s="563"/>
      <c r="I647" s="563"/>
      <c r="J647" s="566"/>
      <c r="K647" s="563"/>
      <c r="L647" s="566"/>
      <c r="M647" s="565"/>
      <c r="N647" s="564"/>
      <c r="V647" s="674"/>
      <c r="W647" s="675"/>
      <c r="AC647" s="675"/>
      <c r="AD647" s="675"/>
      <c r="AF647" s="675"/>
      <c r="AG647" s="675"/>
      <c r="AH647" s="680"/>
    </row>
    <row r="648" spans="1:34" s="536" customFormat="1" ht="22.5" x14ac:dyDescent="0.2">
      <c r="A648" s="609"/>
      <c r="B648" s="552" t="s">
        <v>718</v>
      </c>
      <c r="C648" s="1822" t="s">
        <v>719</v>
      </c>
      <c r="D648" s="1822"/>
      <c r="E648" s="1822"/>
      <c r="F648" s="1822"/>
      <c r="G648" s="1822"/>
      <c r="H648" s="1822"/>
      <c r="I648" s="1822"/>
      <c r="J648" s="1822"/>
      <c r="K648" s="1822"/>
      <c r="L648" s="1822"/>
      <c r="M648" s="1822"/>
      <c r="N648" s="1827"/>
      <c r="V648" s="674"/>
      <c r="W648" s="675"/>
      <c r="Y648" s="537" t="s">
        <v>719</v>
      </c>
      <c r="AC648" s="675"/>
      <c r="AD648" s="675"/>
      <c r="AF648" s="675"/>
      <c r="AG648" s="675"/>
      <c r="AH648" s="680"/>
    </row>
    <row r="649" spans="1:34" s="536" customFormat="1" ht="45" x14ac:dyDescent="0.2">
      <c r="A649" s="575" t="s">
        <v>1484</v>
      </c>
      <c r="B649" s="657" t="s">
        <v>2967</v>
      </c>
      <c r="C649" s="1823" t="s">
        <v>2968</v>
      </c>
      <c r="D649" s="1823"/>
      <c r="E649" s="1823"/>
      <c r="F649" s="573" t="s">
        <v>862</v>
      </c>
      <c r="G649" s="573"/>
      <c r="H649" s="573"/>
      <c r="I649" s="573" t="s">
        <v>2969</v>
      </c>
      <c r="J649" s="572"/>
      <c r="K649" s="573"/>
      <c r="L649" s="572"/>
      <c r="M649" s="571"/>
      <c r="N649" s="570"/>
      <c r="V649" s="674"/>
      <c r="W649" s="675" t="s">
        <v>2968</v>
      </c>
      <c r="AC649" s="675"/>
      <c r="AD649" s="675"/>
      <c r="AF649" s="675"/>
      <c r="AG649" s="675"/>
      <c r="AH649" s="680"/>
    </row>
    <row r="650" spans="1:34" s="536" customFormat="1" ht="12" x14ac:dyDescent="0.2">
      <c r="A650" s="676"/>
      <c r="B650" s="655"/>
      <c r="C650" s="1822" t="s">
        <v>2970</v>
      </c>
      <c r="D650" s="1822"/>
      <c r="E650" s="1822"/>
      <c r="F650" s="1822"/>
      <c r="G650" s="1822"/>
      <c r="H650" s="1822"/>
      <c r="I650" s="1822"/>
      <c r="J650" s="1822"/>
      <c r="K650" s="1822"/>
      <c r="L650" s="1822"/>
      <c r="M650" s="1822"/>
      <c r="N650" s="1827"/>
      <c r="V650" s="674"/>
      <c r="W650" s="675"/>
      <c r="X650" s="537" t="s">
        <v>2970</v>
      </c>
      <c r="AC650" s="675"/>
      <c r="AD650" s="675"/>
      <c r="AF650" s="675"/>
      <c r="AG650" s="675"/>
      <c r="AH650" s="680"/>
    </row>
    <row r="651" spans="1:34" s="536" customFormat="1" ht="12" x14ac:dyDescent="0.2">
      <c r="A651" s="609"/>
      <c r="B651" s="552" t="s">
        <v>2774</v>
      </c>
      <c r="C651" s="1822" t="s">
        <v>2775</v>
      </c>
      <c r="D651" s="1822"/>
      <c r="E651" s="1822"/>
      <c r="F651" s="1822"/>
      <c r="G651" s="1822"/>
      <c r="H651" s="1822"/>
      <c r="I651" s="1822"/>
      <c r="J651" s="1822"/>
      <c r="K651" s="1822"/>
      <c r="L651" s="1822"/>
      <c r="M651" s="1822"/>
      <c r="N651" s="1827"/>
      <c r="V651" s="674"/>
      <c r="W651" s="675"/>
      <c r="Y651" s="537" t="s">
        <v>2775</v>
      </c>
      <c r="AC651" s="675"/>
      <c r="AD651" s="675"/>
      <c r="AF651" s="675"/>
      <c r="AG651" s="675"/>
      <c r="AH651" s="680"/>
    </row>
    <row r="652" spans="1:34" s="536" customFormat="1" ht="22.5" x14ac:dyDescent="0.2">
      <c r="A652" s="609"/>
      <c r="B652" s="552" t="s">
        <v>499</v>
      </c>
      <c r="C652" s="1822" t="s">
        <v>500</v>
      </c>
      <c r="D652" s="1822"/>
      <c r="E652" s="1822"/>
      <c r="F652" s="1822"/>
      <c r="G652" s="1822"/>
      <c r="H652" s="1822"/>
      <c r="I652" s="1822"/>
      <c r="J652" s="1822"/>
      <c r="K652" s="1822"/>
      <c r="L652" s="1822"/>
      <c r="M652" s="1822"/>
      <c r="N652" s="1827"/>
      <c r="V652" s="674"/>
      <c r="W652" s="675"/>
      <c r="Y652" s="537" t="s">
        <v>500</v>
      </c>
      <c r="AC652" s="675"/>
      <c r="AD652" s="675"/>
      <c r="AF652" s="675"/>
      <c r="AG652" s="675"/>
      <c r="AH652" s="680"/>
    </row>
    <row r="653" spans="1:34" s="536" customFormat="1" ht="12" x14ac:dyDescent="0.2">
      <c r="A653" s="605"/>
      <c r="B653" s="552" t="s">
        <v>185</v>
      </c>
      <c r="C653" s="1822" t="s">
        <v>312</v>
      </c>
      <c r="D653" s="1822"/>
      <c r="E653" s="1822"/>
      <c r="F653" s="562"/>
      <c r="G653" s="562"/>
      <c r="H653" s="562"/>
      <c r="I653" s="562"/>
      <c r="J653" s="604">
        <v>1232.3399999999999</v>
      </c>
      <c r="K653" s="562" t="s">
        <v>2776</v>
      </c>
      <c r="L653" s="604">
        <v>82.49</v>
      </c>
      <c r="M653" s="603"/>
      <c r="N653" s="602"/>
      <c r="V653" s="674"/>
      <c r="W653" s="675"/>
      <c r="Z653" s="537" t="s">
        <v>312</v>
      </c>
      <c r="AC653" s="675"/>
      <c r="AD653" s="675"/>
      <c r="AF653" s="675"/>
      <c r="AG653" s="675"/>
      <c r="AH653" s="680"/>
    </row>
    <row r="654" spans="1:34" s="536" customFormat="1" ht="12" x14ac:dyDescent="0.2">
      <c r="A654" s="605"/>
      <c r="B654" s="552" t="s">
        <v>186</v>
      </c>
      <c r="C654" s="1822" t="s">
        <v>344</v>
      </c>
      <c r="D654" s="1822"/>
      <c r="E654" s="1822"/>
      <c r="F654" s="562"/>
      <c r="G654" s="562"/>
      <c r="H654" s="562"/>
      <c r="I654" s="562"/>
      <c r="J654" s="604">
        <v>96.06</v>
      </c>
      <c r="K654" s="562" t="s">
        <v>2776</v>
      </c>
      <c r="L654" s="604">
        <v>6.43</v>
      </c>
      <c r="M654" s="603"/>
      <c r="N654" s="602"/>
      <c r="V654" s="674"/>
      <c r="W654" s="675"/>
      <c r="Z654" s="537" t="s">
        <v>344</v>
      </c>
      <c r="AC654" s="675"/>
      <c r="AD654" s="675"/>
      <c r="AF654" s="675"/>
      <c r="AG654" s="675"/>
      <c r="AH654" s="680"/>
    </row>
    <row r="655" spans="1:34" s="536" customFormat="1" ht="12" x14ac:dyDescent="0.2">
      <c r="A655" s="605"/>
      <c r="B655" s="552" t="s">
        <v>187</v>
      </c>
      <c r="C655" s="1822" t="s">
        <v>345</v>
      </c>
      <c r="D655" s="1822"/>
      <c r="E655" s="1822"/>
      <c r="F655" s="562"/>
      <c r="G655" s="562"/>
      <c r="H655" s="562"/>
      <c r="I655" s="562"/>
      <c r="J655" s="604">
        <v>11.88</v>
      </c>
      <c r="K655" s="562" t="s">
        <v>2776</v>
      </c>
      <c r="L655" s="604">
        <v>0.8</v>
      </c>
      <c r="M655" s="603"/>
      <c r="N655" s="602"/>
      <c r="V655" s="674"/>
      <c r="W655" s="675"/>
      <c r="Z655" s="537" t="s">
        <v>345</v>
      </c>
      <c r="AC655" s="675"/>
      <c r="AD655" s="675"/>
      <c r="AF655" s="675"/>
      <c r="AG655" s="675"/>
      <c r="AH655" s="680"/>
    </row>
    <row r="656" spans="1:34" s="536" customFormat="1" ht="12" x14ac:dyDescent="0.2">
      <c r="A656" s="605"/>
      <c r="B656" s="552" t="s">
        <v>188</v>
      </c>
      <c r="C656" s="1822" t="s">
        <v>475</v>
      </c>
      <c r="D656" s="1822"/>
      <c r="E656" s="1822"/>
      <c r="F656" s="562"/>
      <c r="G656" s="562"/>
      <c r="H656" s="562"/>
      <c r="I656" s="562"/>
      <c r="J656" s="604">
        <v>398.08</v>
      </c>
      <c r="K656" s="562"/>
      <c r="L656" s="604">
        <v>20.3</v>
      </c>
      <c r="M656" s="603"/>
      <c r="N656" s="602"/>
      <c r="V656" s="674"/>
      <c r="W656" s="675"/>
      <c r="Z656" s="537" t="s">
        <v>475</v>
      </c>
      <c r="AC656" s="675"/>
      <c r="AD656" s="675"/>
      <c r="AF656" s="675"/>
      <c r="AG656" s="675"/>
      <c r="AH656" s="680"/>
    </row>
    <row r="657" spans="1:34" s="536" customFormat="1" ht="12" x14ac:dyDescent="0.2">
      <c r="A657" s="676"/>
      <c r="B657" s="677" t="s">
        <v>2897</v>
      </c>
      <c r="C657" s="1829" t="s">
        <v>2898</v>
      </c>
      <c r="D657" s="1829"/>
      <c r="E657" s="1829"/>
      <c r="F657" s="678" t="s">
        <v>865</v>
      </c>
      <c r="G657" s="678" t="s">
        <v>525</v>
      </c>
      <c r="H657" s="678"/>
      <c r="I657" s="678" t="s">
        <v>525</v>
      </c>
      <c r="J657" s="552"/>
      <c r="K657" s="562"/>
      <c r="L657" s="604"/>
      <c r="M657" s="562"/>
      <c r="N657" s="679"/>
      <c r="V657" s="674"/>
      <c r="W657" s="675"/>
      <c r="AC657" s="675"/>
      <c r="AD657" s="675"/>
      <c r="AF657" s="675"/>
      <c r="AG657" s="675"/>
      <c r="AH657" s="680" t="s">
        <v>2898</v>
      </c>
    </row>
    <row r="658" spans="1:34" s="536" customFormat="1" ht="12" x14ac:dyDescent="0.2">
      <c r="A658" s="676"/>
      <c r="B658" s="677" t="s">
        <v>2899</v>
      </c>
      <c r="C658" s="1829" t="s">
        <v>2900</v>
      </c>
      <c r="D658" s="1829"/>
      <c r="E658" s="1829"/>
      <c r="F658" s="678" t="s">
        <v>865</v>
      </c>
      <c r="G658" s="678" t="s">
        <v>844</v>
      </c>
      <c r="H658" s="678"/>
      <c r="I658" s="678" t="s">
        <v>2286</v>
      </c>
      <c r="J658" s="552"/>
      <c r="K658" s="562"/>
      <c r="L658" s="604"/>
      <c r="M658" s="562"/>
      <c r="N658" s="679"/>
      <c r="V658" s="674"/>
      <c r="W658" s="675"/>
      <c r="AC658" s="675"/>
      <c r="AD658" s="675"/>
      <c r="AF658" s="675"/>
      <c r="AG658" s="675"/>
      <c r="AH658" s="680" t="s">
        <v>2900</v>
      </c>
    </row>
    <row r="659" spans="1:34" s="536" customFormat="1" ht="12" x14ac:dyDescent="0.2">
      <c r="A659" s="676"/>
      <c r="B659" s="677" t="s">
        <v>2800</v>
      </c>
      <c r="C659" s="1829" t="s">
        <v>2902</v>
      </c>
      <c r="D659" s="1829"/>
      <c r="E659" s="1829"/>
      <c r="F659" s="678" t="s">
        <v>617</v>
      </c>
      <c r="G659" s="678" t="s">
        <v>525</v>
      </c>
      <c r="H659" s="678"/>
      <c r="I659" s="678" t="s">
        <v>525</v>
      </c>
      <c r="J659" s="552"/>
      <c r="K659" s="562"/>
      <c r="L659" s="604"/>
      <c r="M659" s="562"/>
      <c r="N659" s="679"/>
      <c r="V659" s="674"/>
      <c r="W659" s="675"/>
      <c r="AC659" s="675"/>
      <c r="AD659" s="675"/>
      <c r="AF659" s="675"/>
      <c r="AG659" s="675"/>
      <c r="AH659" s="680" t="s">
        <v>2902</v>
      </c>
    </row>
    <row r="660" spans="1:34" s="536" customFormat="1" ht="12" x14ac:dyDescent="0.2">
      <c r="A660" s="676"/>
      <c r="B660" s="677" t="s">
        <v>2800</v>
      </c>
      <c r="C660" s="1829" t="s">
        <v>2457</v>
      </c>
      <c r="D660" s="1829"/>
      <c r="E660" s="1829"/>
      <c r="F660" s="678" t="s">
        <v>699</v>
      </c>
      <c r="G660" s="678" t="s">
        <v>525</v>
      </c>
      <c r="H660" s="678"/>
      <c r="I660" s="678" t="s">
        <v>525</v>
      </c>
      <c r="J660" s="552"/>
      <c r="K660" s="562"/>
      <c r="L660" s="604"/>
      <c r="M660" s="562"/>
      <c r="N660" s="679"/>
      <c r="V660" s="674"/>
      <c r="W660" s="675"/>
      <c r="AC660" s="675"/>
      <c r="AD660" s="675"/>
      <c r="AF660" s="675"/>
      <c r="AG660" s="675"/>
      <c r="AH660" s="680" t="s">
        <v>2457</v>
      </c>
    </row>
    <row r="661" spans="1:34" s="536" customFormat="1" ht="12" x14ac:dyDescent="0.2">
      <c r="A661" s="676"/>
      <c r="B661" s="677" t="s">
        <v>2903</v>
      </c>
      <c r="C661" s="1829" t="s">
        <v>2904</v>
      </c>
      <c r="D661" s="1829"/>
      <c r="E661" s="1829"/>
      <c r="F661" s="678" t="s">
        <v>617</v>
      </c>
      <c r="G661" s="678" t="s">
        <v>525</v>
      </c>
      <c r="H661" s="678"/>
      <c r="I661" s="678" t="s">
        <v>525</v>
      </c>
      <c r="J661" s="552"/>
      <c r="K661" s="562"/>
      <c r="L661" s="604"/>
      <c r="M661" s="562"/>
      <c r="N661" s="679"/>
      <c r="V661" s="674"/>
      <c r="W661" s="675"/>
      <c r="AC661" s="675"/>
      <c r="AD661" s="675"/>
      <c r="AF661" s="675"/>
      <c r="AG661" s="675"/>
      <c r="AH661" s="680" t="s">
        <v>2904</v>
      </c>
    </row>
    <row r="662" spans="1:34" s="536" customFormat="1" ht="12" x14ac:dyDescent="0.2">
      <c r="A662" s="676"/>
      <c r="B662" s="677" t="s">
        <v>2905</v>
      </c>
      <c r="C662" s="1829" t="s">
        <v>2906</v>
      </c>
      <c r="D662" s="1829"/>
      <c r="E662" s="1829"/>
      <c r="F662" s="678" t="s">
        <v>617</v>
      </c>
      <c r="G662" s="678" t="s">
        <v>525</v>
      </c>
      <c r="H662" s="678"/>
      <c r="I662" s="678" t="s">
        <v>525</v>
      </c>
      <c r="J662" s="552"/>
      <c r="K662" s="562"/>
      <c r="L662" s="604"/>
      <c r="M662" s="562"/>
      <c r="N662" s="679"/>
      <c r="V662" s="674"/>
      <c r="W662" s="675"/>
      <c r="AC662" s="675"/>
      <c r="AD662" s="675"/>
      <c r="AF662" s="675"/>
      <c r="AG662" s="675"/>
      <c r="AH662" s="680" t="s">
        <v>2906</v>
      </c>
    </row>
    <row r="663" spans="1:34" s="536" customFormat="1" ht="12" x14ac:dyDescent="0.2">
      <c r="A663" s="605"/>
      <c r="B663" s="552"/>
      <c r="C663" s="1822" t="s">
        <v>314</v>
      </c>
      <c r="D663" s="1822"/>
      <c r="E663" s="1822"/>
      <c r="F663" s="562" t="s">
        <v>315</v>
      </c>
      <c r="G663" s="562" t="s">
        <v>2971</v>
      </c>
      <c r="H663" s="562" t="s">
        <v>2776</v>
      </c>
      <c r="I663" s="562" t="s">
        <v>2972</v>
      </c>
      <c r="J663" s="604"/>
      <c r="K663" s="562"/>
      <c r="L663" s="604"/>
      <c r="M663" s="603"/>
      <c r="N663" s="602"/>
      <c r="V663" s="674"/>
      <c r="W663" s="675"/>
      <c r="AA663" s="537" t="s">
        <v>314</v>
      </c>
      <c r="AC663" s="675"/>
      <c r="AD663" s="675"/>
      <c r="AF663" s="675"/>
      <c r="AG663" s="675"/>
      <c r="AH663" s="680"/>
    </row>
    <row r="664" spans="1:34" s="536" customFormat="1" ht="12" x14ac:dyDescent="0.2">
      <c r="A664" s="605"/>
      <c r="B664" s="552"/>
      <c r="C664" s="1822" t="s">
        <v>348</v>
      </c>
      <c r="D664" s="1822"/>
      <c r="E664" s="1822"/>
      <c r="F664" s="562" t="s">
        <v>315</v>
      </c>
      <c r="G664" s="562" t="s">
        <v>2760</v>
      </c>
      <c r="H664" s="562" t="s">
        <v>2776</v>
      </c>
      <c r="I664" s="562" t="s">
        <v>2973</v>
      </c>
      <c r="J664" s="604"/>
      <c r="K664" s="562"/>
      <c r="L664" s="604"/>
      <c r="M664" s="603"/>
      <c r="N664" s="602"/>
      <c r="V664" s="674"/>
      <c r="W664" s="675"/>
      <c r="AA664" s="537" t="s">
        <v>348</v>
      </c>
      <c r="AC664" s="675"/>
      <c r="AD664" s="675"/>
      <c r="AF664" s="675"/>
      <c r="AG664" s="675"/>
      <c r="AH664" s="680"/>
    </row>
    <row r="665" spans="1:34" s="536" customFormat="1" ht="12" x14ac:dyDescent="0.2">
      <c r="A665" s="605"/>
      <c r="B665" s="552"/>
      <c r="C665" s="1828" t="s">
        <v>318</v>
      </c>
      <c r="D665" s="1828"/>
      <c r="E665" s="1828"/>
      <c r="F665" s="608"/>
      <c r="G665" s="608"/>
      <c r="H665" s="608"/>
      <c r="I665" s="608"/>
      <c r="J665" s="607">
        <v>1726.48</v>
      </c>
      <c r="K665" s="608"/>
      <c r="L665" s="607">
        <v>109.22</v>
      </c>
      <c r="M665" s="601"/>
      <c r="N665" s="606"/>
      <c r="V665" s="674"/>
      <c r="W665" s="675"/>
      <c r="AB665" s="537" t="s">
        <v>318</v>
      </c>
      <c r="AC665" s="675"/>
      <c r="AD665" s="675"/>
      <c r="AF665" s="675"/>
      <c r="AG665" s="675"/>
      <c r="AH665" s="680"/>
    </row>
    <row r="666" spans="1:34" s="536" customFormat="1" ht="12" x14ac:dyDescent="0.2">
      <c r="A666" s="605"/>
      <c r="B666" s="552"/>
      <c r="C666" s="1822" t="s">
        <v>319</v>
      </c>
      <c r="D666" s="1822"/>
      <c r="E666" s="1822"/>
      <c r="F666" s="562"/>
      <c r="G666" s="562"/>
      <c r="H666" s="562"/>
      <c r="I666" s="562"/>
      <c r="J666" s="604"/>
      <c r="K666" s="562"/>
      <c r="L666" s="604">
        <v>83.29</v>
      </c>
      <c r="M666" s="603"/>
      <c r="N666" s="602"/>
      <c r="V666" s="674"/>
      <c r="W666" s="675"/>
      <c r="AA666" s="537" t="s">
        <v>319</v>
      </c>
      <c r="AC666" s="675"/>
      <c r="AD666" s="675"/>
      <c r="AF666" s="675"/>
      <c r="AG666" s="675"/>
      <c r="AH666" s="680"/>
    </row>
    <row r="667" spans="1:34" s="536" customFormat="1" ht="45" x14ac:dyDescent="0.2">
      <c r="A667" s="605"/>
      <c r="B667" s="552" t="s">
        <v>892</v>
      </c>
      <c r="C667" s="1822" t="s">
        <v>893</v>
      </c>
      <c r="D667" s="1822"/>
      <c r="E667" s="1822"/>
      <c r="F667" s="562" t="s">
        <v>322</v>
      </c>
      <c r="G667" s="562" t="s">
        <v>894</v>
      </c>
      <c r="H667" s="562"/>
      <c r="I667" s="562" t="s">
        <v>894</v>
      </c>
      <c r="J667" s="604"/>
      <c r="K667" s="562"/>
      <c r="L667" s="604">
        <v>100.78</v>
      </c>
      <c r="M667" s="603"/>
      <c r="N667" s="602"/>
      <c r="V667" s="674"/>
      <c r="W667" s="675"/>
      <c r="AA667" s="537" t="s">
        <v>893</v>
      </c>
      <c r="AC667" s="675"/>
      <c r="AD667" s="675"/>
      <c r="AF667" s="675"/>
      <c r="AG667" s="675"/>
      <c r="AH667" s="680"/>
    </row>
    <row r="668" spans="1:34" s="536" customFormat="1" ht="45" x14ac:dyDescent="0.2">
      <c r="A668" s="605"/>
      <c r="B668" s="552" t="s">
        <v>895</v>
      </c>
      <c r="C668" s="1822" t="s">
        <v>896</v>
      </c>
      <c r="D668" s="1822"/>
      <c r="E668" s="1822"/>
      <c r="F668" s="562" t="s">
        <v>322</v>
      </c>
      <c r="G668" s="562" t="s">
        <v>897</v>
      </c>
      <c r="H668" s="562"/>
      <c r="I668" s="562" t="s">
        <v>897</v>
      </c>
      <c r="J668" s="604"/>
      <c r="K668" s="562"/>
      <c r="L668" s="604">
        <v>59.97</v>
      </c>
      <c r="M668" s="603"/>
      <c r="N668" s="602"/>
      <c r="V668" s="674"/>
      <c r="W668" s="675"/>
      <c r="AA668" s="537" t="s">
        <v>896</v>
      </c>
      <c r="AC668" s="675"/>
      <c r="AD668" s="675"/>
      <c r="AF668" s="675"/>
      <c r="AG668" s="675"/>
      <c r="AH668" s="680"/>
    </row>
    <row r="669" spans="1:34" s="536" customFormat="1" ht="12" x14ac:dyDescent="0.2">
      <c r="A669" s="569"/>
      <c r="B669" s="656"/>
      <c r="C669" s="1823" t="s">
        <v>327</v>
      </c>
      <c r="D669" s="1823"/>
      <c r="E669" s="1823"/>
      <c r="F669" s="573"/>
      <c r="G669" s="573"/>
      <c r="H669" s="573"/>
      <c r="I669" s="573"/>
      <c r="J669" s="572"/>
      <c r="K669" s="573"/>
      <c r="L669" s="572">
        <v>269.97000000000003</v>
      </c>
      <c r="M669" s="601"/>
      <c r="N669" s="570"/>
      <c r="V669" s="674"/>
      <c r="W669" s="675"/>
      <c r="AC669" s="675" t="s">
        <v>327</v>
      </c>
      <c r="AD669" s="675"/>
      <c r="AF669" s="675"/>
      <c r="AG669" s="675"/>
      <c r="AH669" s="680"/>
    </row>
    <row r="670" spans="1:34" s="536" customFormat="1" ht="22.5" x14ac:dyDescent="0.2">
      <c r="A670" s="575" t="s">
        <v>559</v>
      </c>
      <c r="B670" s="657" t="s">
        <v>2974</v>
      </c>
      <c r="C670" s="1823" t="s">
        <v>2975</v>
      </c>
      <c r="D670" s="1823"/>
      <c r="E670" s="1823"/>
      <c r="F670" s="573" t="s">
        <v>865</v>
      </c>
      <c r="G670" s="573"/>
      <c r="H670" s="573"/>
      <c r="I670" s="573" t="s">
        <v>2976</v>
      </c>
      <c r="J670" s="572">
        <v>84.05</v>
      </c>
      <c r="K670" s="573"/>
      <c r="L670" s="572">
        <v>415.71</v>
      </c>
      <c r="M670" s="571"/>
      <c r="N670" s="570"/>
      <c r="V670" s="674"/>
      <c r="W670" s="675" t="s">
        <v>2975</v>
      </c>
      <c r="AC670" s="675"/>
      <c r="AD670" s="675"/>
      <c r="AF670" s="675"/>
      <c r="AG670" s="675"/>
      <c r="AH670" s="680"/>
    </row>
    <row r="671" spans="1:34" s="536" customFormat="1" ht="12" x14ac:dyDescent="0.2">
      <c r="A671" s="569"/>
      <c r="B671" s="656"/>
      <c r="C671" s="661" t="s">
        <v>2820</v>
      </c>
      <c r="D671" s="662"/>
      <c r="E671" s="662"/>
      <c r="F671" s="563"/>
      <c r="G671" s="563"/>
      <c r="H671" s="563"/>
      <c r="I671" s="563"/>
      <c r="J671" s="566"/>
      <c r="K671" s="563"/>
      <c r="L671" s="566"/>
      <c r="M671" s="565"/>
      <c r="N671" s="564"/>
      <c r="V671" s="674"/>
      <c r="W671" s="675"/>
      <c r="AC671" s="675"/>
      <c r="AD671" s="675"/>
      <c r="AF671" s="675"/>
      <c r="AG671" s="675"/>
      <c r="AH671" s="680"/>
    </row>
    <row r="672" spans="1:34" s="536" customFormat="1" ht="12" x14ac:dyDescent="0.2">
      <c r="A672" s="676"/>
      <c r="B672" s="655"/>
      <c r="C672" s="1822" t="s">
        <v>2977</v>
      </c>
      <c r="D672" s="1822"/>
      <c r="E672" s="1822"/>
      <c r="F672" s="1822"/>
      <c r="G672" s="1822"/>
      <c r="H672" s="1822"/>
      <c r="I672" s="1822"/>
      <c r="J672" s="1822"/>
      <c r="K672" s="1822"/>
      <c r="L672" s="1822"/>
      <c r="M672" s="1822"/>
      <c r="N672" s="1827"/>
      <c r="V672" s="674"/>
      <c r="W672" s="675"/>
      <c r="X672" s="537" t="s">
        <v>2977</v>
      </c>
      <c r="AC672" s="675"/>
      <c r="AD672" s="675"/>
      <c r="AF672" s="675"/>
      <c r="AG672" s="675"/>
      <c r="AH672" s="680"/>
    </row>
    <row r="673" spans="1:34" s="536" customFormat="1" ht="22.5" x14ac:dyDescent="0.2">
      <c r="A673" s="575" t="s">
        <v>2980</v>
      </c>
      <c r="B673" s="657" t="s">
        <v>2978</v>
      </c>
      <c r="C673" s="1823" t="s">
        <v>2979</v>
      </c>
      <c r="D673" s="1823"/>
      <c r="E673" s="1823"/>
      <c r="F673" s="573" t="s">
        <v>617</v>
      </c>
      <c r="G673" s="573"/>
      <c r="H673" s="573"/>
      <c r="I673" s="573" t="s">
        <v>185</v>
      </c>
      <c r="J673" s="572">
        <v>60.8</v>
      </c>
      <c r="K673" s="573"/>
      <c r="L673" s="572">
        <v>60.8</v>
      </c>
      <c r="M673" s="571"/>
      <c r="N673" s="570"/>
      <c r="V673" s="674"/>
      <c r="W673" s="675" t="s">
        <v>2979</v>
      </c>
      <c r="AC673" s="675"/>
      <c r="AD673" s="675"/>
      <c r="AF673" s="675"/>
      <c r="AG673" s="675"/>
      <c r="AH673" s="680"/>
    </row>
    <row r="674" spans="1:34" s="536" customFormat="1" ht="12" x14ac:dyDescent="0.2">
      <c r="A674" s="569"/>
      <c r="B674" s="656"/>
      <c r="C674" s="661" t="s">
        <v>2820</v>
      </c>
      <c r="D674" s="662"/>
      <c r="E674" s="662"/>
      <c r="F674" s="563"/>
      <c r="G674" s="563"/>
      <c r="H674" s="563"/>
      <c r="I674" s="563"/>
      <c r="J674" s="566"/>
      <c r="K674" s="563"/>
      <c r="L674" s="566"/>
      <c r="M674" s="565"/>
      <c r="N674" s="564"/>
      <c r="V674" s="674"/>
      <c r="W674" s="675"/>
      <c r="AC674" s="675"/>
      <c r="AD674" s="675"/>
      <c r="AF674" s="675"/>
      <c r="AG674" s="675"/>
      <c r="AH674" s="680"/>
    </row>
    <row r="675" spans="1:34" s="536" customFormat="1" ht="33.75" x14ac:dyDescent="0.2">
      <c r="A675" s="575" t="s">
        <v>1633</v>
      </c>
      <c r="B675" s="657" t="s">
        <v>2981</v>
      </c>
      <c r="C675" s="1823" t="s">
        <v>2982</v>
      </c>
      <c r="D675" s="1823"/>
      <c r="E675" s="1823"/>
      <c r="F675" s="573" t="s">
        <v>628</v>
      </c>
      <c r="G675" s="573"/>
      <c r="H675" s="573"/>
      <c r="I675" s="573" t="s">
        <v>185</v>
      </c>
      <c r="J675" s="572">
        <v>472.5</v>
      </c>
      <c r="K675" s="573" t="s">
        <v>716</v>
      </c>
      <c r="L675" s="572">
        <v>57.93</v>
      </c>
      <c r="M675" s="571">
        <v>8.32</v>
      </c>
      <c r="N675" s="570">
        <v>482</v>
      </c>
      <c r="V675" s="674"/>
      <c r="W675" s="675" t="s">
        <v>2982</v>
      </c>
      <c r="AC675" s="675"/>
      <c r="AD675" s="675"/>
      <c r="AF675" s="675"/>
      <c r="AG675" s="675"/>
      <c r="AH675" s="680"/>
    </row>
    <row r="676" spans="1:34" s="536" customFormat="1" ht="12" x14ac:dyDescent="0.2">
      <c r="A676" s="569"/>
      <c r="B676" s="656"/>
      <c r="C676" s="661" t="s">
        <v>717</v>
      </c>
      <c r="D676" s="662"/>
      <c r="E676" s="662"/>
      <c r="F676" s="563"/>
      <c r="G676" s="563"/>
      <c r="H676" s="563"/>
      <c r="I676" s="563"/>
      <c r="J676" s="566"/>
      <c r="K676" s="563"/>
      <c r="L676" s="566"/>
      <c r="M676" s="565"/>
      <c r="N676" s="564"/>
      <c r="V676" s="674"/>
      <c r="W676" s="675"/>
      <c r="AC676" s="675"/>
      <c r="AD676" s="675"/>
      <c r="AF676" s="675"/>
      <c r="AG676" s="675"/>
      <c r="AH676" s="680"/>
    </row>
    <row r="677" spans="1:34" s="536" customFormat="1" ht="22.5" x14ac:dyDescent="0.2">
      <c r="A677" s="609"/>
      <c r="B677" s="552" t="s">
        <v>718</v>
      </c>
      <c r="C677" s="1822" t="s">
        <v>719</v>
      </c>
      <c r="D677" s="1822"/>
      <c r="E677" s="1822"/>
      <c r="F677" s="1822"/>
      <c r="G677" s="1822"/>
      <c r="H677" s="1822"/>
      <c r="I677" s="1822"/>
      <c r="J677" s="1822"/>
      <c r="K677" s="1822"/>
      <c r="L677" s="1822"/>
      <c r="M677" s="1822"/>
      <c r="N677" s="1827"/>
      <c r="V677" s="674"/>
      <c r="W677" s="675"/>
      <c r="Y677" s="537" t="s">
        <v>719</v>
      </c>
      <c r="AC677" s="675"/>
      <c r="AD677" s="675"/>
      <c r="AF677" s="675"/>
      <c r="AG677" s="675"/>
      <c r="AH677" s="680"/>
    </row>
    <row r="678" spans="1:34" s="536" customFormat="1" ht="33.75" x14ac:dyDescent="0.2">
      <c r="A678" s="575" t="s">
        <v>743</v>
      </c>
      <c r="B678" s="657" t="s">
        <v>2965</v>
      </c>
      <c r="C678" s="1823" t="s">
        <v>2966</v>
      </c>
      <c r="D678" s="1823"/>
      <c r="E678" s="1823"/>
      <c r="F678" s="573" t="s">
        <v>483</v>
      </c>
      <c r="G678" s="573"/>
      <c r="H678" s="573"/>
      <c r="I678" s="573" t="s">
        <v>188</v>
      </c>
      <c r="J678" s="572">
        <v>223.13</v>
      </c>
      <c r="K678" s="573" t="s">
        <v>716</v>
      </c>
      <c r="L678" s="572">
        <v>109.38</v>
      </c>
      <c r="M678" s="571">
        <v>8.32</v>
      </c>
      <c r="N678" s="570">
        <v>910</v>
      </c>
      <c r="V678" s="674"/>
      <c r="W678" s="675" t="s">
        <v>2966</v>
      </c>
      <c r="AC678" s="675"/>
      <c r="AD678" s="675"/>
      <c r="AF678" s="675"/>
      <c r="AG678" s="675"/>
      <c r="AH678" s="680"/>
    </row>
    <row r="679" spans="1:34" s="536" customFormat="1" ht="12" x14ac:dyDescent="0.2">
      <c r="A679" s="569"/>
      <c r="B679" s="656"/>
      <c r="C679" s="661" t="s">
        <v>717</v>
      </c>
      <c r="D679" s="662"/>
      <c r="E679" s="662"/>
      <c r="F679" s="563"/>
      <c r="G679" s="563"/>
      <c r="H679" s="563"/>
      <c r="I679" s="563"/>
      <c r="J679" s="566"/>
      <c r="K679" s="563"/>
      <c r="L679" s="566"/>
      <c r="M679" s="565"/>
      <c r="N679" s="564"/>
      <c r="V679" s="674"/>
      <c r="W679" s="675"/>
      <c r="AC679" s="675"/>
      <c r="AD679" s="675"/>
      <c r="AF679" s="675"/>
      <c r="AG679" s="675"/>
      <c r="AH679" s="680"/>
    </row>
    <row r="680" spans="1:34" s="536" customFormat="1" ht="22.5" x14ac:dyDescent="0.2">
      <c r="A680" s="609"/>
      <c r="B680" s="552" t="s">
        <v>718</v>
      </c>
      <c r="C680" s="1822" t="s">
        <v>719</v>
      </c>
      <c r="D680" s="1822"/>
      <c r="E680" s="1822"/>
      <c r="F680" s="1822"/>
      <c r="G680" s="1822"/>
      <c r="H680" s="1822"/>
      <c r="I680" s="1822"/>
      <c r="J680" s="1822"/>
      <c r="K680" s="1822"/>
      <c r="L680" s="1822"/>
      <c r="M680" s="1822"/>
      <c r="N680" s="1827"/>
      <c r="V680" s="674"/>
      <c r="W680" s="675"/>
      <c r="Y680" s="537" t="s">
        <v>719</v>
      </c>
      <c r="AC680" s="675"/>
      <c r="AD680" s="675"/>
      <c r="AF680" s="675"/>
      <c r="AG680" s="675"/>
      <c r="AH680" s="680"/>
    </row>
    <row r="681" spans="1:34" s="536" customFormat="1" ht="78.75" x14ac:dyDescent="0.2">
      <c r="A681" s="575" t="s">
        <v>2984</v>
      </c>
      <c r="B681" s="657" t="s">
        <v>8134</v>
      </c>
      <c r="C681" s="1823" t="s">
        <v>8135</v>
      </c>
      <c r="D681" s="1823"/>
      <c r="E681" s="1823"/>
      <c r="F681" s="573" t="s">
        <v>641</v>
      </c>
      <c r="G681" s="573"/>
      <c r="H681" s="573"/>
      <c r="I681" s="573" t="s">
        <v>3131</v>
      </c>
      <c r="J681" s="572"/>
      <c r="K681" s="573"/>
      <c r="L681" s="572"/>
      <c r="M681" s="571"/>
      <c r="N681" s="570"/>
      <c r="V681" s="674"/>
      <c r="W681" s="675" t="s">
        <v>8135</v>
      </c>
      <c r="AC681" s="675"/>
      <c r="AD681" s="675"/>
      <c r="AF681" s="675"/>
      <c r="AG681" s="675"/>
      <c r="AH681" s="680"/>
    </row>
    <row r="682" spans="1:34" s="536" customFormat="1" ht="22.5" x14ac:dyDescent="0.2">
      <c r="A682" s="609"/>
      <c r="B682" s="552" t="s">
        <v>499</v>
      </c>
      <c r="C682" s="1822" t="s">
        <v>500</v>
      </c>
      <c r="D682" s="1822"/>
      <c r="E682" s="1822"/>
      <c r="F682" s="1822"/>
      <c r="G682" s="1822"/>
      <c r="H682" s="1822"/>
      <c r="I682" s="1822"/>
      <c r="J682" s="1822"/>
      <c r="K682" s="1822"/>
      <c r="L682" s="1822"/>
      <c r="M682" s="1822"/>
      <c r="N682" s="1827"/>
      <c r="V682" s="674"/>
      <c r="W682" s="675"/>
      <c r="Y682" s="537" t="s">
        <v>500</v>
      </c>
      <c r="AC682" s="675"/>
      <c r="AD682" s="675"/>
      <c r="AF682" s="675"/>
      <c r="AG682" s="675"/>
      <c r="AH682" s="680"/>
    </row>
    <row r="683" spans="1:34" s="536" customFormat="1" ht="12" x14ac:dyDescent="0.2">
      <c r="A683" s="605"/>
      <c r="B683" s="552" t="s">
        <v>185</v>
      </c>
      <c r="C683" s="1822" t="s">
        <v>312</v>
      </c>
      <c r="D683" s="1822"/>
      <c r="E683" s="1822"/>
      <c r="F683" s="562"/>
      <c r="G683" s="562"/>
      <c r="H683" s="562"/>
      <c r="I683" s="562"/>
      <c r="J683" s="604">
        <v>137.49</v>
      </c>
      <c r="K683" s="562" t="s">
        <v>313</v>
      </c>
      <c r="L683" s="604">
        <v>824.94</v>
      </c>
      <c r="M683" s="603"/>
      <c r="N683" s="602"/>
      <c r="V683" s="674"/>
      <c r="W683" s="675"/>
      <c r="Z683" s="537" t="s">
        <v>312</v>
      </c>
      <c r="AC683" s="675"/>
      <c r="AD683" s="675"/>
      <c r="AF683" s="675"/>
      <c r="AG683" s="675"/>
      <c r="AH683" s="680"/>
    </row>
    <row r="684" spans="1:34" s="536" customFormat="1" ht="12" x14ac:dyDescent="0.2">
      <c r="A684" s="605"/>
      <c r="B684" s="552" t="s">
        <v>186</v>
      </c>
      <c r="C684" s="1822" t="s">
        <v>344</v>
      </c>
      <c r="D684" s="1822"/>
      <c r="E684" s="1822"/>
      <c r="F684" s="562"/>
      <c r="G684" s="562"/>
      <c r="H684" s="562"/>
      <c r="I684" s="562"/>
      <c r="J684" s="604">
        <v>33.94</v>
      </c>
      <c r="K684" s="562" t="s">
        <v>313</v>
      </c>
      <c r="L684" s="604">
        <v>203.64</v>
      </c>
      <c r="M684" s="603"/>
      <c r="N684" s="602"/>
      <c r="V684" s="674"/>
      <c r="W684" s="675"/>
      <c r="Z684" s="537" t="s">
        <v>344</v>
      </c>
      <c r="AC684" s="675"/>
      <c r="AD684" s="675"/>
      <c r="AF684" s="675"/>
      <c r="AG684" s="675"/>
      <c r="AH684" s="680"/>
    </row>
    <row r="685" spans="1:34" s="536" customFormat="1" ht="12" x14ac:dyDescent="0.2">
      <c r="A685" s="605"/>
      <c r="B685" s="552" t="s">
        <v>187</v>
      </c>
      <c r="C685" s="1822" t="s">
        <v>345</v>
      </c>
      <c r="D685" s="1822"/>
      <c r="E685" s="1822"/>
      <c r="F685" s="562"/>
      <c r="G685" s="562"/>
      <c r="H685" s="562"/>
      <c r="I685" s="562"/>
      <c r="J685" s="604">
        <v>5.92</v>
      </c>
      <c r="K685" s="562" t="s">
        <v>313</v>
      </c>
      <c r="L685" s="604">
        <v>35.520000000000003</v>
      </c>
      <c r="M685" s="603"/>
      <c r="N685" s="602"/>
      <c r="V685" s="674"/>
      <c r="W685" s="675"/>
      <c r="Z685" s="537" t="s">
        <v>345</v>
      </c>
      <c r="AC685" s="675"/>
      <c r="AD685" s="675"/>
      <c r="AF685" s="675"/>
      <c r="AG685" s="675"/>
      <c r="AH685" s="680"/>
    </row>
    <row r="686" spans="1:34" s="536" customFormat="1" ht="12" x14ac:dyDescent="0.2">
      <c r="A686" s="605"/>
      <c r="B686" s="552" t="s">
        <v>188</v>
      </c>
      <c r="C686" s="1822" t="s">
        <v>475</v>
      </c>
      <c r="D686" s="1822"/>
      <c r="E686" s="1822"/>
      <c r="F686" s="562"/>
      <c r="G686" s="562"/>
      <c r="H686" s="562"/>
      <c r="I686" s="562"/>
      <c r="J686" s="604">
        <v>135.18</v>
      </c>
      <c r="K686" s="562"/>
      <c r="L686" s="604">
        <v>648.86</v>
      </c>
      <c r="M686" s="603"/>
      <c r="N686" s="602"/>
      <c r="V686" s="674"/>
      <c r="W686" s="675"/>
      <c r="Z686" s="537" t="s">
        <v>475</v>
      </c>
      <c r="AC686" s="675"/>
      <c r="AD686" s="675"/>
      <c r="AF686" s="675"/>
      <c r="AG686" s="675"/>
      <c r="AH686" s="680"/>
    </row>
    <row r="687" spans="1:34" s="536" customFormat="1" ht="12" x14ac:dyDescent="0.2">
      <c r="A687" s="676"/>
      <c r="B687" s="677" t="s">
        <v>8136</v>
      </c>
      <c r="C687" s="1829" t="s">
        <v>4876</v>
      </c>
      <c r="D687" s="1829"/>
      <c r="E687" s="1829"/>
      <c r="F687" s="678" t="s">
        <v>641</v>
      </c>
      <c r="G687" s="678" t="s">
        <v>3178</v>
      </c>
      <c r="H687" s="678"/>
      <c r="I687" s="678" t="s">
        <v>8137</v>
      </c>
      <c r="J687" s="552"/>
      <c r="K687" s="562"/>
      <c r="L687" s="604"/>
      <c r="M687" s="562"/>
      <c r="N687" s="679"/>
      <c r="V687" s="674"/>
      <c r="W687" s="675"/>
      <c r="AC687" s="675"/>
      <c r="AD687" s="675"/>
      <c r="AF687" s="675"/>
      <c r="AG687" s="675"/>
      <c r="AH687" s="680" t="s">
        <v>4876</v>
      </c>
    </row>
    <row r="688" spans="1:34" s="536" customFormat="1" ht="12" x14ac:dyDescent="0.2">
      <c r="A688" s="605"/>
      <c r="B688" s="552"/>
      <c r="C688" s="1822" t="s">
        <v>314</v>
      </c>
      <c r="D688" s="1822"/>
      <c r="E688" s="1822"/>
      <c r="F688" s="562" t="s">
        <v>315</v>
      </c>
      <c r="G688" s="562" t="s">
        <v>346</v>
      </c>
      <c r="H688" s="562" t="s">
        <v>313</v>
      </c>
      <c r="I688" s="562" t="s">
        <v>8138</v>
      </c>
      <c r="J688" s="604"/>
      <c r="K688" s="562"/>
      <c r="L688" s="604"/>
      <c r="M688" s="603"/>
      <c r="N688" s="602"/>
      <c r="V688" s="674"/>
      <c r="W688" s="675"/>
      <c r="AA688" s="537" t="s">
        <v>314</v>
      </c>
      <c r="AC688" s="675"/>
      <c r="AD688" s="675"/>
      <c r="AF688" s="675"/>
      <c r="AG688" s="675"/>
      <c r="AH688" s="680"/>
    </row>
    <row r="689" spans="1:34" s="536" customFormat="1" ht="12" x14ac:dyDescent="0.2">
      <c r="A689" s="605"/>
      <c r="B689" s="552"/>
      <c r="C689" s="1822" t="s">
        <v>348</v>
      </c>
      <c r="D689" s="1822"/>
      <c r="E689" s="1822"/>
      <c r="F689" s="562" t="s">
        <v>315</v>
      </c>
      <c r="G689" s="562" t="s">
        <v>439</v>
      </c>
      <c r="H689" s="562" t="s">
        <v>313</v>
      </c>
      <c r="I689" s="562" t="s">
        <v>8139</v>
      </c>
      <c r="J689" s="604"/>
      <c r="K689" s="562"/>
      <c r="L689" s="604"/>
      <c r="M689" s="603"/>
      <c r="N689" s="602"/>
      <c r="V689" s="674"/>
      <c r="W689" s="675"/>
      <c r="AA689" s="537" t="s">
        <v>348</v>
      </c>
      <c r="AC689" s="675"/>
      <c r="AD689" s="675"/>
      <c r="AF689" s="675"/>
      <c r="AG689" s="675"/>
      <c r="AH689" s="680"/>
    </row>
    <row r="690" spans="1:34" s="536" customFormat="1" ht="12" x14ac:dyDescent="0.2">
      <c r="A690" s="605"/>
      <c r="B690" s="552"/>
      <c r="C690" s="1828" t="s">
        <v>318</v>
      </c>
      <c r="D690" s="1828"/>
      <c r="E690" s="1828"/>
      <c r="F690" s="608"/>
      <c r="G690" s="608"/>
      <c r="H690" s="608"/>
      <c r="I690" s="608"/>
      <c r="J690" s="607">
        <v>306.61</v>
      </c>
      <c r="K690" s="608"/>
      <c r="L690" s="607">
        <v>1677.44</v>
      </c>
      <c r="M690" s="601"/>
      <c r="N690" s="606"/>
      <c r="V690" s="674"/>
      <c r="W690" s="675"/>
      <c r="AB690" s="537" t="s">
        <v>318</v>
      </c>
      <c r="AC690" s="675"/>
      <c r="AD690" s="675"/>
      <c r="AF690" s="675"/>
      <c r="AG690" s="675"/>
      <c r="AH690" s="680"/>
    </row>
    <row r="691" spans="1:34" s="536" customFormat="1" ht="12" x14ac:dyDescent="0.2">
      <c r="A691" s="605"/>
      <c r="B691" s="552"/>
      <c r="C691" s="1822" t="s">
        <v>319</v>
      </c>
      <c r="D691" s="1822"/>
      <c r="E691" s="1822"/>
      <c r="F691" s="562"/>
      <c r="G691" s="562"/>
      <c r="H691" s="562"/>
      <c r="I691" s="562"/>
      <c r="J691" s="604"/>
      <c r="K691" s="562"/>
      <c r="L691" s="604">
        <v>860.46</v>
      </c>
      <c r="M691" s="603"/>
      <c r="N691" s="602"/>
      <c r="V691" s="674"/>
      <c r="W691" s="675"/>
      <c r="AA691" s="537" t="s">
        <v>319</v>
      </c>
      <c r="AC691" s="675"/>
      <c r="AD691" s="675"/>
      <c r="AF691" s="675"/>
      <c r="AG691" s="675"/>
      <c r="AH691" s="680"/>
    </row>
    <row r="692" spans="1:34" s="536" customFormat="1" ht="33.75" x14ac:dyDescent="0.2">
      <c r="A692" s="605"/>
      <c r="B692" s="552" t="s">
        <v>2595</v>
      </c>
      <c r="C692" s="1822" t="s">
        <v>2596</v>
      </c>
      <c r="D692" s="1822"/>
      <c r="E692" s="1822"/>
      <c r="F692" s="562" t="s">
        <v>322</v>
      </c>
      <c r="G692" s="562" t="s">
        <v>1633</v>
      </c>
      <c r="H692" s="562"/>
      <c r="I692" s="562" t="s">
        <v>1633</v>
      </c>
      <c r="J692" s="604"/>
      <c r="K692" s="562"/>
      <c r="L692" s="604">
        <v>834.65</v>
      </c>
      <c r="M692" s="603"/>
      <c r="N692" s="602"/>
      <c r="V692" s="674"/>
      <c r="W692" s="675"/>
      <c r="AA692" s="537" t="s">
        <v>2596</v>
      </c>
      <c r="AC692" s="675"/>
      <c r="AD692" s="675"/>
      <c r="AF692" s="675"/>
      <c r="AG692" s="675"/>
      <c r="AH692" s="680"/>
    </row>
    <row r="693" spans="1:34" s="536" customFormat="1" ht="33.75" x14ac:dyDescent="0.2">
      <c r="A693" s="605"/>
      <c r="B693" s="552" t="s">
        <v>2597</v>
      </c>
      <c r="C693" s="1822" t="s">
        <v>2598</v>
      </c>
      <c r="D693" s="1822"/>
      <c r="E693" s="1822"/>
      <c r="F693" s="562" t="s">
        <v>322</v>
      </c>
      <c r="G693" s="562" t="s">
        <v>789</v>
      </c>
      <c r="H693" s="562"/>
      <c r="I693" s="562" t="s">
        <v>789</v>
      </c>
      <c r="J693" s="604"/>
      <c r="K693" s="562"/>
      <c r="L693" s="604">
        <v>473.25</v>
      </c>
      <c r="M693" s="603"/>
      <c r="N693" s="602"/>
      <c r="V693" s="674"/>
      <c r="W693" s="675"/>
      <c r="AA693" s="537" t="s">
        <v>2598</v>
      </c>
      <c r="AC693" s="675"/>
      <c r="AD693" s="675"/>
      <c r="AF693" s="675"/>
      <c r="AG693" s="675"/>
      <c r="AH693" s="680"/>
    </row>
    <row r="694" spans="1:34" s="536" customFormat="1" ht="12" x14ac:dyDescent="0.2">
      <c r="A694" s="569"/>
      <c r="B694" s="656"/>
      <c r="C694" s="1823" t="s">
        <v>327</v>
      </c>
      <c r="D694" s="1823"/>
      <c r="E694" s="1823"/>
      <c r="F694" s="573"/>
      <c r="G694" s="573"/>
      <c r="H694" s="573"/>
      <c r="I694" s="573"/>
      <c r="J694" s="572"/>
      <c r="K694" s="573"/>
      <c r="L694" s="572">
        <v>2985.34</v>
      </c>
      <c r="M694" s="601"/>
      <c r="N694" s="570"/>
      <c r="V694" s="674"/>
      <c r="W694" s="675"/>
      <c r="AC694" s="675" t="s">
        <v>327</v>
      </c>
      <c r="AD694" s="675"/>
      <c r="AF694" s="675"/>
      <c r="AG694" s="675"/>
      <c r="AH694" s="680"/>
    </row>
    <row r="695" spans="1:34" s="536" customFormat="1" ht="56.25" x14ac:dyDescent="0.2">
      <c r="A695" s="575" t="s">
        <v>844</v>
      </c>
      <c r="B695" s="657" t="s">
        <v>8140</v>
      </c>
      <c r="C695" s="1823" t="s">
        <v>8141</v>
      </c>
      <c r="D695" s="1823"/>
      <c r="E695" s="1823"/>
      <c r="F695" s="573" t="s">
        <v>641</v>
      </c>
      <c r="G695" s="573"/>
      <c r="H695" s="573"/>
      <c r="I695" s="573" t="s">
        <v>8137</v>
      </c>
      <c r="J695" s="572">
        <v>1749.01</v>
      </c>
      <c r="K695" s="573"/>
      <c r="L695" s="572">
        <v>9066.8700000000008</v>
      </c>
      <c r="M695" s="571"/>
      <c r="N695" s="570"/>
      <c r="V695" s="674"/>
      <c r="W695" s="675" t="s">
        <v>8141</v>
      </c>
      <c r="AC695" s="675"/>
      <c r="AD695" s="675"/>
      <c r="AF695" s="675"/>
      <c r="AG695" s="675"/>
      <c r="AH695" s="680"/>
    </row>
    <row r="696" spans="1:34" s="536" customFormat="1" ht="12" x14ac:dyDescent="0.2">
      <c r="A696" s="569"/>
      <c r="B696" s="656"/>
      <c r="C696" s="661" t="s">
        <v>2820</v>
      </c>
      <c r="D696" s="662"/>
      <c r="E696" s="662"/>
      <c r="F696" s="563"/>
      <c r="G696" s="563"/>
      <c r="H696" s="563"/>
      <c r="I696" s="563"/>
      <c r="J696" s="566"/>
      <c r="K696" s="563"/>
      <c r="L696" s="566"/>
      <c r="M696" s="565"/>
      <c r="N696" s="564"/>
      <c r="V696" s="674"/>
      <c r="W696" s="675"/>
      <c r="AC696" s="675"/>
      <c r="AD696" s="675"/>
      <c r="AF696" s="675"/>
      <c r="AG696" s="675"/>
      <c r="AH696" s="680"/>
    </row>
    <row r="697" spans="1:34" s="536" customFormat="1" ht="1.5" customHeight="1" x14ac:dyDescent="0.2">
      <c r="A697" s="563"/>
      <c r="B697" s="656"/>
      <c r="C697" s="656"/>
      <c r="D697" s="656"/>
      <c r="E697" s="656"/>
      <c r="F697" s="563"/>
      <c r="G697" s="563"/>
      <c r="H697" s="563"/>
      <c r="I697" s="563"/>
      <c r="J697" s="546"/>
      <c r="K697" s="563"/>
      <c r="L697" s="546"/>
      <c r="M697" s="562"/>
      <c r="N697" s="546"/>
      <c r="V697" s="674"/>
      <c r="W697" s="675"/>
      <c r="AC697" s="675"/>
      <c r="AD697" s="675"/>
      <c r="AF697" s="675"/>
      <c r="AG697" s="675"/>
      <c r="AH697" s="680"/>
    </row>
    <row r="698" spans="1:34" s="536" customFormat="1" ht="12" x14ac:dyDescent="0.2">
      <c r="A698" s="557"/>
      <c r="B698" s="556"/>
      <c r="C698" s="1823" t="s">
        <v>2985</v>
      </c>
      <c r="D698" s="1823"/>
      <c r="E698" s="1823"/>
      <c r="F698" s="1823"/>
      <c r="G698" s="1823"/>
      <c r="H698" s="1823"/>
      <c r="I698" s="1823"/>
      <c r="J698" s="1823"/>
      <c r="K698" s="1823"/>
      <c r="L698" s="555"/>
      <c r="M698" s="554"/>
      <c r="N698" s="553"/>
      <c r="V698" s="674"/>
      <c r="W698" s="675"/>
      <c r="AC698" s="675"/>
      <c r="AD698" s="675" t="s">
        <v>2985</v>
      </c>
      <c r="AF698" s="675"/>
      <c r="AG698" s="675"/>
      <c r="AH698" s="680"/>
    </row>
    <row r="699" spans="1:34" s="536" customFormat="1" ht="12" x14ac:dyDescent="0.2">
      <c r="A699" s="548"/>
      <c r="B699" s="552"/>
      <c r="C699" s="1822" t="s">
        <v>403</v>
      </c>
      <c r="D699" s="1822"/>
      <c r="E699" s="1822"/>
      <c r="F699" s="1822"/>
      <c r="G699" s="1822"/>
      <c r="H699" s="1822"/>
      <c r="I699" s="1822"/>
      <c r="J699" s="1822"/>
      <c r="K699" s="1822"/>
      <c r="L699" s="551">
        <v>42863.69</v>
      </c>
      <c r="M699" s="550"/>
      <c r="N699" s="549"/>
      <c r="V699" s="674"/>
      <c r="W699" s="675"/>
      <c r="AC699" s="675"/>
      <c r="AD699" s="675"/>
      <c r="AE699" s="537" t="s">
        <v>403</v>
      </c>
      <c r="AF699" s="675"/>
      <c r="AG699" s="675"/>
      <c r="AH699" s="680"/>
    </row>
    <row r="700" spans="1:34" s="536" customFormat="1" ht="12" x14ac:dyDescent="0.2">
      <c r="A700" s="548"/>
      <c r="B700" s="552"/>
      <c r="C700" s="1822" t="s">
        <v>204</v>
      </c>
      <c r="D700" s="1822"/>
      <c r="E700" s="1822"/>
      <c r="F700" s="1822"/>
      <c r="G700" s="1822"/>
      <c r="H700" s="1822"/>
      <c r="I700" s="1822"/>
      <c r="J700" s="1822"/>
      <c r="K700" s="1822"/>
      <c r="L700" s="551"/>
      <c r="M700" s="550"/>
      <c r="N700" s="549"/>
      <c r="V700" s="674"/>
      <c r="W700" s="675"/>
      <c r="AC700" s="675"/>
      <c r="AD700" s="675"/>
      <c r="AE700" s="537" t="s">
        <v>204</v>
      </c>
      <c r="AF700" s="675"/>
      <c r="AG700" s="675"/>
      <c r="AH700" s="680"/>
    </row>
    <row r="701" spans="1:34" s="536" customFormat="1" ht="12" x14ac:dyDescent="0.2">
      <c r="A701" s="548"/>
      <c r="B701" s="552"/>
      <c r="C701" s="1822" t="s">
        <v>404</v>
      </c>
      <c r="D701" s="1822"/>
      <c r="E701" s="1822"/>
      <c r="F701" s="1822"/>
      <c r="G701" s="1822"/>
      <c r="H701" s="1822"/>
      <c r="I701" s="1822"/>
      <c r="J701" s="1822"/>
      <c r="K701" s="1822"/>
      <c r="L701" s="551">
        <v>3101.52</v>
      </c>
      <c r="M701" s="550"/>
      <c r="N701" s="549"/>
      <c r="V701" s="674"/>
      <c r="W701" s="675"/>
      <c r="AC701" s="675"/>
      <c r="AD701" s="675"/>
      <c r="AE701" s="537" t="s">
        <v>404</v>
      </c>
      <c r="AF701" s="675"/>
      <c r="AG701" s="675"/>
      <c r="AH701" s="680"/>
    </row>
    <row r="702" spans="1:34" s="536" customFormat="1" ht="12" x14ac:dyDescent="0.2">
      <c r="A702" s="548"/>
      <c r="B702" s="552"/>
      <c r="C702" s="1822" t="s">
        <v>405</v>
      </c>
      <c r="D702" s="1822"/>
      <c r="E702" s="1822"/>
      <c r="F702" s="1822"/>
      <c r="G702" s="1822"/>
      <c r="H702" s="1822"/>
      <c r="I702" s="1822"/>
      <c r="J702" s="1822"/>
      <c r="K702" s="1822"/>
      <c r="L702" s="551">
        <v>534.39</v>
      </c>
      <c r="M702" s="550"/>
      <c r="N702" s="549"/>
      <c r="V702" s="674"/>
      <c r="W702" s="675"/>
      <c r="AC702" s="675"/>
      <c r="AD702" s="675"/>
      <c r="AE702" s="537" t="s">
        <v>405</v>
      </c>
      <c r="AF702" s="675"/>
      <c r="AG702" s="675"/>
      <c r="AH702" s="680"/>
    </row>
    <row r="703" spans="1:34" s="536" customFormat="1" ht="12" x14ac:dyDescent="0.2">
      <c r="A703" s="548"/>
      <c r="B703" s="552"/>
      <c r="C703" s="1822" t="s">
        <v>406</v>
      </c>
      <c r="D703" s="1822"/>
      <c r="E703" s="1822"/>
      <c r="F703" s="1822"/>
      <c r="G703" s="1822"/>
      <c r="H703" s="1822"/>
      <c r="I703" s="1822"/>
      <c r="J703" s="1822"/>
      <c r="K703" s="1822"/>
      <c r="L703" s="551">
        <v>66.52</v>
      </c>
      <c r="M703" s="550"/>
      <c r="N703" s="549"/>
      <c r="V703" s="674"/>
      <c r="W703" s="675"/>
      <c r="AC703" s="675"/>
      <c r="AD703" s="675"/>
      <c r="AE703" s="537" t="s">
        <v>406</v>
      </c>
      <c r="AF703" s="675"/>
      <c r="AG703" s="675"/>
      <c r="AH703" s="680"/>
    </row>
    <row r="704" spans="1:34" s="536" customFormat="1" ht="12" x14ac:dyDescent="0.2">
      <c r="A704" s="548"/>
      <c r="B704" s="552"/>
      <c r="C704" s="1822" t="s">
        <v>480</v>
      </c>
      <c r="D704" s="1822"/>
      <c r="E704" s="1822"/>
      <c r="F704" s="1822"/>
      <c r="G704" s="1822"/>
      <c r="H704" s="1822"/>
      <c r="I704" s="1822"/>
      <c r="J704" s="1822"/>
      <c r="K704" s="1822"/>
      <c r="L704" s="551">
        <v>39227.78</v>
      </c>
      <c r="M704" s="550"/>
      <c r="N704" s="549"/>
      <c r="V704" s="674"/>
      <c r="W704" s="675"/>
      <c r="AC704" s="675"/>
      <c r="AD704" s="675"/>
      <c r="AE704" s="537" t="s">
        <v>480</v>
      </c>
      <c r="AF704" s="675"/>
      <c r="AG704" s="675"/>
      <c r="AH704" s="680"/>
    </row>
    <row r="705" spans="1:34" s="536" customFormat="1" ht="12" x14ac:dyDescent="0.2">
      <c r="A705" s="548"/>
      <c r="B705" s="552"/>
      <c r="C705" s="1822" t="s">
        <v>407</v>
      </c>
      <c r="D705" s="1822"/>
      <c r="E705" s="1822"/>
      <c r="F705" s="1822"/>
      <c r="G705" s="1822"/>
      <c r="H705" s="1822"/>
      <c r="I705" s="1822"/>
      <c r="J705" s="1822"/>
      <c r="K705" s="1822"/>
      <c r="L705" s="551">
        <v>48436.29</v>
      </c>
      <c r="M705" s="550"/>
      <c r="N705" s="549"/>
      <c r="V705" s="674"/>
      <c r="W705" s="675"/>
      <c r="AC705" s="675"/>
      <c r="AD705" s="675"/>
      <c r="AE705" s="537" t="s">
        <v>407</v>
      </c>
      <c r="AF705" s="675"/>
      <c r="AG705" s="675"/>
      <c r="AH705" s="680"/>
    </row>
    <row r="706" spans="1:34" s="536" customFormat="1" ht="12" x14ac:dyDescent="0.2">
      <c r="A706" s="548"/>
      <c r="B706" s="552"/>
      <c r="C706" s="1822" t="s">
        <v>204</v>
      </c>
      <c r="D706" s="1822"/>
      <c r="E706" s="1822"/>
      <c r="F706" s="1822"/>
      <c r="G706" s="1822"/>
      <c r="H706" s="1822"/>
      <c r="I706" s="1822"/>
      <c r="J706" s="1822"/>
      <c r="K706" s="1822"/>
      <c r="L706" s="551"/>
      <c r="M706" s="550"/>
      <c r="N706" s="549"/>
      <c r="V706" s="674"/>
      <c r="W706" s="675"/>
      <c r="AC706" s="675"/>
      <c r="AD706" s="675"/>
      <c r="AE706" s="537" t="s">
        <v>204</v>
      </c>
      <c r="AF706" s="675"/>
      <c r="AG706" s="675"/>
      <c r="AH706" s="680"/>
    </row>
    <row r="707" spans="1:34" s="536" customFormat="1" ht="12" x14ac:dyDescent="0.2">
      <c r="A707" s="548"/>
      <c r="B707" s="552"/>
      <c r="C707" s="1822" t="s">
        <v>546</v>
      </c>
      <c r="D707" s="1822"/>
      <c r="E707" s="1822"/>
      <c r="F707" s="1822"/>
      <c r="G707" s="1822"/>
      <c r="H707" s="1822"/>
      <c r="I707" s="1822"/>
      <c r="J707" s="1822"/>
      <c r="K707" s="1822"/>
      <c r="L707" s="551">
        <v>3057.27</v>
      </c>
      <c r="M707" s="550"/>
      <c r="N707" s="549"/>
      <c r="V707" s="674"/>
      <c r="W707" s="675"/>
      <c r="AC707" s="675"/>
      <c r="AD707" s="675"/>
      <c r="AE707" s="537" t="s">
        <v>546</v>
      </c>
      <c r="AF707" s="675"/>
      <c r="AG707" s="675"/>
      <c r="AH707" s="680"/>
    </row>
    <row r="708" spans="1:34" s="536" customFormat="1" ht="12" x14ac:dyDescent="0.2">
      <c r="A708" s="548"/>
      <c r="B708" s="552"/>
      <c r="C708" s="1822" t="s">
        <v>442</v>
      </c>
      <c r="D708" s="1822"/>
      <c r="E708" s="1822"/>
      <c r="F708" s="1822"/>
      <c r="G708" s="1822"/>
      <c r="H708" s="1822"/>
      <c r="I708" s="1822"/>
      <c r="J708" s="1822"/>
      <c r="K708" s="1822"/>
      <c r="L708" s="551">
        <v>497.08</v>
      </c>
      <c r="M708" s="550"/>
      <c r="N708" s="549"/>
      <c r="V708" s="674"/>
      <c r="W708" s="675"/>
      <c r="AC708" s="675"/>
      <c r="AD708" s="675"/>
      <c r="AE708" s="537" t="s">
        <v>442</v>
      </c>
      <c r="AF708" s="675"/>
      <c r="AG708" s="675"/>
      <c r="AH708" s="680"/>
    </row>
    <row r="709" spans="1:34" s="536" customFormat="1" ht="12" x14ac:dyDescent="0.2">
      <c r="A709" s="548"/>
      <c r="B709" s="552"/>
      <c r="C709" s="1822" t="s">
        <v>547</v>
      </c>
      <c r="D709" s="1822"/>
      <c r="E709" s="1822"/>
      <c r="F709" s="1822"/>
      <c r="G709" s="1822"/>
      <c r="H709" s="1822"/>
      <c r="I709" s="1822"/>
      <c r="J709" s="1822"/>
      <c r="K709" s="1822"/>
      <c r="L709" s="551">
        <v>39212.910000000003</v>
      </c>
      <c r="M709" s="550"/>
      <c r="N709" s="549"/>
      <c r="V709" s="674"/>
      <c r="W709" s="675"/>
      <c r="AC709" s="675"/>
      <c r="AD709" s="675"/>
      <c r="AE709" s="537" t="s">
        <v>547</v>
      </c>
      <c r="AF709" s="675"/>
      <c r="AG709" s="675"/>
      <c r="AH709" s="680"/>
    </row>
    <row r="710" spans="1:34" s="536" customFormat="1" ht="12" x14ac:dyDescent="0.2">
      <c r="A710" s="548"/>
      <c r="B710" s="552"/>
      <c r="C710" s="1822" t="s">
        <v>443</v>
      </c>
      <c r="D710" s="1822"/>
      <c r="E710" s="1822"/>
      <c r="F710" s="1822"/>
      <c r="G710" s="1822"/>
      <c r="H710" s="1822"/>
      <c r="I710" s="1822"/>
      <c r="J710" s="1822"/>
      <c r="K710" s="1822"/>
      <c r="L710" s="551">
        <v>3568.82</v>
      </c>
      <c r="M710" s="550"/>
      <c r="N710" s="549"/>
      <c r="V710" s="674"/>
      <c r="W710" s="675"/>
      <c r="AC710" s="675"/>
      <c r="AD710" s="675"/>
      <c r="AE710" s="537" t="s">
        <v>443</v>
      </c>
      <c r="AF710" s="675"/>
      <c r="AG710" s="675"/>
      <c r="AH710" s="680"/>
    </row>
    <row r="711" spans="1:34" s="536" customFormat="1" ht="12" x14ac:dyDescent="0.2">
      <c r="A711" s="548"/>
      <c r="B711" s="552"/>
      <c r="C711" s="1822" t="s">
        <v>444</v>
      </c>
      <c r="D711" s="1822"/>
      <c r="E711" s="1822"/>
      <c r="F711" s="1822"/>
      <c r="G711" s="1822"/>
      <c r="H711" s="1822"/>
      <c r="I711" s="1822"/>
      <c r="J711" s="1822"/>
      <c r="K711" s="1822"/>
      <c r="L711" s="551">
        <v>2100.21</v>
      </c>
      <c r="M711" s="550"/>
      <c r="N711" s="549"/>
      <c r="V711" s="674"/>
      <c r="W711" s="675"/>
      <c r="AC711" s="675"/>
      <c r="AD711" s="675"/>
      <c r="AE711" s="537" t="s">
        <v>444</v>
      </c>
      <c r="AF711" s="675"/>
      <c r="AG711" s="675"/>
      <c r="AH711" s="680"/>
    </row>
    <row r="712" spans="1:34" s="536" customFormat="1" ht="12" x14ac:dyDescent="0.2">
      <c r="A712" s="548"/>
      <c r="B712" s="552"/>
      <c r="C712" s="1822" t="s">
        <v>753</v>
      </c>
      <c r="D712" s="1822"/>
      <c r="E712" s="1822"/>
      <c r="F712" s="1822"/>
      <c r="G712" s="1822"/>
      <c r="H712" s="1822"/>
      <c r="I712" s="1822"/>
      <c r="J712" s="1822"/>
      <c r="K712" s="1822"/>
      <c r="L712" s="551">
        <v>161.63999999999999</v>
      </c>
      <c r="M712" s="550"/>
      <c r="N712" s="549"/>
      <c r="V712" s="674"/>
      <c r="W712" s="675"/>
      <c r="AC712" s="675"/>
      <c r="AD712" s="675"/>
      <c r="AE712" s="537" t="s">
        <v>753</v>
      </c>
      <c r="AF712" s="675"/>
      <c r="AG712" s="675"/>
      <c r="AH712" s="680"/>
    </row>
    <row r="713" spans="1:34" s="536" customFormat="1" ht="12" x14ac:dyDescent="0.2">
      <c r="A713" s="548"/>
      <c r="B713" s="552"/>
      <c r="C713" s="1822" t="s">
        <v>204</v>
      </c>
      <c r="D713" s="1822"/>
      <c r="E713" s="1822"/>
      <c r="F713" s="1822"/>
      <c r="G713" s="1822"/>
      <c r="H713" s="1822"/>
      <c r="I713" s="1822"/>
      <c r="J713" s="1822"/>
      <c r="K713" s="1822"/>
      <c r="L713" s="551"/>
      <c r="M713" s="550"/>
      <c r="N713" s="549"/>
      <c r="V713" s="674"/>
      <c r="W713" s="675"/>
      <c r="AC713" s="675"/>
      <c r="AD713" s="675"/>
      <c r="AE713" s="537" t="s">
        <v>204</v>
      </c>
      <c r="AF713" s="675"/>
      <c r="AG713" s="675"/>
      <c r="AH713" s="680"/>
    </row>
    <row r="714" spans="1:34" s="536" customFormat="1" ht="12" x14ac:dyDescent="0.2">
      <c r="A714" s="548"/>
      <c r="B714" s="552"/>
      <c r="C714" s="1822" t="s">
        <v>546</v>
      </c>
      <c r="D714" s="1822"/>
      <c r="E714" s="1822"/>
      <c r="F714" s="1822"/>
      <c r="G714" s="1822"/>
      <c r="H714" s="1822"/>
      <c r="I714" s="1822"/>
      <c r="J714" s="1822"/>
      <c r="K714" s="1822"/>
      <c r="L714" s="551">
        <v>44.25</v>
      </c>
      <c r="M714" s="550"/>
      <c r="N714" s="549"/>
      <c r="V714" s="674"/>
      <c r="W714" s="675"/>
      <c r="AC714" s="675"/>
      <c r="AD714" s="675"/>
      <c r="AE714" s="537" t="s">
        <v>546</v>
      </c>
      <c r="AF714" s="675"/>
      <c r="AG714" s="675"/>
      <c r="AH714" s="680"/>
    </row>
    <row r="715" spans="1:34" s="536" customFormat="1" ht="12" x14ac:dyDescent="0.2">
      <c r="A715" s="548"/>
      <c r="B715" s="552"/>
      <c r="C715" s="1822" t="s">
        <v>442</v>
      </c>
      <c r="D715" s="1822"/>
      <c r="E715" s="1822"/>
      <c r="F715" s="1822"/>
      <c r="G715" s="1822"/>
      <c r="H715" s="1822"/>
      <c r="I715" s="1822"/>
      <c r="J715" s="1822"/>
      <c r="K715" s="1822"/>
      <c r="L715" s="551">
        <v>37.31</v>
      </c>
      <c r="M715" s="550"/>
      <c r="N715" s="549"/>
      <c r="V715" s="674"/>
      <c r="W715" s="675"/>
      <c r="AC715" s="675"/>
      <c r="AD715" s="675"/>
      <c r="AE715" s="537" t="s">
        <v>442</v>
      </c>
      <c r="AF715" s="675"/>
      <c r="AG715" s="675"/>
      <c r="AH715" s="680"/>
    </row>
    <row r="716" spans="1:34" s="536" customFormat="1" ht="12" x14ac:dyDescent="0.2">
      <c r="A716" s="548"/>
      <c r="B716" s="552"/>
      <c r="C716" s="1822" t="s">
        <v>547</v>
      </c>
      <c r="D716" s="1822"/>
      <c r="E716" s="1822"/>
      <c r="F716" s="1822"/>
      <c r="G716" s="1822"/>
      <c r="H716" s="1822"/>
      <c r="I716" s="1822"/>
      <c r="J716" s="1822"/>
      <c r="K716" s="1822"/>
      <c r="L716" s="551">
        <v>14.87</v>
      </c>
      <c r="M716" s="550"/>
      <c r="N716" s="549"/>
      <c r="V716" s="674"/>
      <c r="W716" s="675"/>
      <c r="AC716" s="675"/>
      <c r="AD716" s="675"/>
      <c r="AE716" s="537" t="s">
        <v>547</v>
      </c>
      <c r="AF716" s="675"/>
      <c r="AG716" s="675"/>
      <c r="AH716" s="680"/>
    </row>
    <row r="717" spans="1:34" s="536" customFormat="1" ht="12" x14ac:dyDescent="0.2">
      <c r="A717" s="548"/>
      <c r="B717" s="552"/>
      <c r="C717" s="1822" t="s">
        <v>443</v>
      </c>
      <c r="D717" s="1822"/>
      <c r="E717" s="1822"/>
      <c r="F717" s="1822"/>
      <c r="G717" s="1822"/>
      <c r="H717" s="1822"/>
      <c r="I717" s="1822"/>
      <c r="J717" s="1822"/>
      <c r="K717" s="1822"/>
      <c r="L717" s="551">
        <v>43.15</v>
      </c>
      <c r="M717" s="550"/>
      <c r="N717" s="549"/>
      <c r="V717" s="674"/>
      <c r="W717" s="675"/>
      <c r="AC717" s="675"/>
      <c r="AD717" s="675"/>
      <c r="AE717" s="537" t="s">
        <v>443</v>
      </c>
      <c r="AF717" s="675"/>
      <c r="AG717" s="675"/>
      <c r="AH717" s="680"/>
    </row>
    <row r="718" spans="1:34" s="536" customFormat="1" ht="12" x14ac:dyDescent="0.2">
      <c r="A718" s="548"/>
      <c r="B718" s="552"/>
      <c r="C718" s="1822" t="s">
        <v>444</v>
      </c>
      <c r="D718" s="1822"/>
      <c r="E718" s="1822"/>
      <c r="F718" s="1822"/>
      <c r="G718" s="1822"/>
      <c r="H718" s="1822"/>
      <c r="I718" s="1822"/>
      <c r="J718" s="1822"/>
      <c r="K718" s="1822"/>
      <c r="L718" s="551">
        <v>22.06</v>
      </c>
      <c r="M718" s="550"/>
      <c r="N718" s="549"/>
      <c r="V718" s="674"/>
      <c r="W718" s="675"/>
      <c r="AC718" s="675"/>
      <c r="AD718" s="675"/>
      <c r="AE718" s="537" t="s">
        <v>444</v>
      </c>
      <c r="AF718" s="675"/>
      <c r="AG718" s="675"/>
      <c r="AH718" s="680"/>
    </row>
    <row r="719" spans="1:34" s="536" customFormat="1" ht="12" x14ac:dyDescent="0.2">
      <c r="A719" s="548"/>
      <c r="B719" s="552"/>
      <c r="C719" s="1822" t="s">
        <v>754</v>
      </c>
      <c r="D719" s="1822"/>
      <c r="E719" s="1822"/>
      <c r="F719" s="1822"/>
      <c r="G719" s="1822"/>
      <c r="H719" s="1822"/>
      <c r="I719" s="1822"/>
      <c r="J719" s="1822"/>
      <c r="K719" s="1822"/>
      <c r="L719" s="551">
        <v>19799.04</v>
      </c>
      <c r="M719" s="550"/>
      <c r="N719" s="549"/>
      <c r="V719" s="674"/>
      <c r="W719" s="675"/>
      <c r="AC719" s="675"/>
      <c r="AD719" s="675"/>
      <c r="AE719" s="537" t="s">
        <v>754</v>
      </c>
      <c r="AF719" s="675"/>
      <c r="AG719" s="675"/>
      <c r="AH719" s="680"/>
    </row>
    <row r="720" spans="1:34" s="536" customFormat="1" ht="12" x14ac:dyDescent="0.2">
      <c r="A720" s="548"/>
      <c r="B720" s="552"/>
      <c r="C720" s="1822" t="s">
        <v>2223</v>
      </c>
      <c r="D720" s="1822"/>
      <c r="E720" s="1822"/>
      <c r="F720" s="1822"/>
      <c r="G720" s="1822"/>
      <c r="H720" s="1822"/>
      <c r="I720" s="1822"/>
      <c r="J720" s="1822"/>
      <c r="K720" s="1822"/>
      <c r="L720" s="551">
        <v>17562.73</v>
      </c>
      <c r="M720" s="550"/>
      <c r="N720" s="549"/>
      <c r="V720" s="674"/>
      <c r="W720" s="675"/>
      <c r="AC720" s="675"/>
      <c r="AD720" s="675"/>
      <c r="AE720" s="537" t="s">
        <v>2223</v>
      </c>
      <c r="AF720" s="675"/>
      <c r="AG720" s="675"/>
      <c r="AH720" s="680"/>
    </row>
    <row r="721" spans="1:34" s="536" customFormat="1" ht="12" x14ac:dyDescent="0.2">
      <c r="A721" s="548"/>
      <c r="B721" s="552"/>
      <c r="C721" s="1822" t="s">
        <v>2224</v>
      </c>
      <c r="D721" s="1822"/>
      <c r="E721" s="1822"/>
      <c r="F721" s="1822"/>
      <c r="G721" s="1822"/>
      <c r="H721" s="1822"/>
      <c r="I721" s="1822"/>
      <c r="J721" s="1822"/>
      <c r="K721" s="1822"/>
      <c r="L721" s="551">
        <v>2236.31</v>
      </c>
      <c r="M721" s="550"/>
      <c r="N721" s="549"/>
      <c r="V721" s="674"/>
      <c r="W721" s="675"/>
      <c r="AC721" s="675"/>
      <c r="AD721" s="675"/>
      <c r="AE721" s="537" t="s">
        <v>2224</v>
      </c>
      <c r="AF721" s="675"/>
      <c r="AG721" s="675"/>
      <c r="AH721" s="680"/>
    </row>
    <row r="722" spans="1:34" s="536" customFormat="1" ht="12" x14ac:dyDescent="0.2">
      <c r="A722" s="548"/>
      <c r="B722" s="552"/>
      <c r="C722" s="1822" t="s">
        <v>415</v>
      </c>
      <c r="D722" s="1822"/>
      <c r="E722" s="1822"/>
      <c r="F722" s="1822"/>
      <c r="G722" s="1822"/>
      <c r="H722" s="1822"/>
      <c r="I722" s="1822"/>
      <c r="J722" s="1822"/>
      <c r="K722" s="1822"/>
      <c r="L722" s="551">
        <v>3168.04</v>
      </c>
      <c r="M722" s="550"/>
      <c r="N722" s="549"/>
      <c r="V722" s="674"/>
      <c r="W722" s="675"/>
      <c r="AC722" s="675"/>
      <c r="AD722" s="675"/>
      <c r="AE722" s="537" t="s">
        <v>415</v>
      </c>
      <c r="AF722" s="675"/>
      <c r="AG722" s="675"/>
      <c r="AH722" s="680"/>
    </row>
    <row r="723" spans="1:34" s="536" customFormat="1" ht="12" x14ac:dyDescent="0.2">
      <c r="A723" s="548"/>
      <c r="B723" s="552"/>
      <c r="C723" s="1822" t="s">
        <v>416</v>
      </c>
      <c r="D723" s="1822"/>
      <c r="E723" s="1822"/>
      <c r="F723" s="1822"/>
      <c r="G723" s="1822"/>
      <c r="H723" s="1822"/>
      <c r="I723" s="1822"/>
      <c r="J723" s="1822"/>
      <c r="K723" s="1822"/>
      <c r="L723" s="551">
        <v>3611.97</v>
      </c>
      <c r="M723" s="550"/>
      <c r="N723" s="549"/>
      <c r="V723" s="674"/>
      <c r="W723" s="675"/>
      <c r="AC723" s="675"/>
      <c r="AD723" s="675"/>
      <c r="AE723" s="537" t="s">
        <v>416</v>
      </c>
      <c r="AF723" s="675"/>
      <c r="AG723" s="675"/>
      <c r="AH723" s="680"/>
    </row>
    <row r="724" spans="1:34" s="536" customFormat="1" ht="12" x14ac:dyDescent="0.2">
      <c r="A724" s="548"/>
      <c r="B724" s="552"/>
      <c r="C724" s="1822" t="s">
        <v>417</v>
      </c>
      <c r="D724" s="1822"/>
      <c r="E724" s="1822"/>
      <c r="F724" s="1822"/>
      <c r="G724" s="1822"/>
      <c r="H724" s="1822"/>
      <c r="I724" s="1822"/>
      <c r="J724" s="1822"/>
      <c r="K724" s="1822"/>
      <c r="L724" s="551">
        <v>2122.27</v>
      </c>
      <c r="M724" s="550"/>
      <c r="N724" s="549"/>
      <c r="V724" s="674"/>
      <c r="W724" s="675"/>
      <c r="AC724" s="675"/>
      <c r="AD724" s="675"/>
      <c r="AE724" s="537" t="s">
        <v>417</v>
      </c>
      <c r="AF724" s="675"/>
      <c r="AG724" s="675"/>
      <c r="AH724" s="680"/>
    </row>
    <row r="725" spans="1:34" s="536" customFormat="1" ht="12" x14ac:dyDescent="0.2">
      <c r="A725" s="548"/>
      <c r="B725" s="546"/>
      <c r="C725" s="1819" t="s">
        <v>2986</v>
      </c>
      <c r="D725" s="1819"/>
      <c r="E725" s="1819"/>
      <c r="F725" s="1819"/>
      <c r="G725" s="1819"/>
      <c r="H725" s="1819"/>
      <c r="I725" s="1819"/>
      <c r="J725" s="1819"/>
      <c r="K725" s="1819"/>
      <c r="L725" s="544">
        <v>68396.97</v>
      </c>
      <c r="M725" s="543"/>
      <c r="N725" s="681"/>
      <c r="V725" s="674"/>
      <c r="W725" s="675"/>
      <c r="AC725" s="675"/>
      <c r="AD725" s="675"/>
      <c r="AF725" s="675" t="s">
        <v>2986</v>
      </c>
      <c r="AG725" s="675"/>
      <c r="AH725" s="680"/>
    </row>
    <row r="726" spans="1:34" s="536" customFormat="1" ht="12" x14ac:dyDescent="0.2">
      <c r="A726" s="548"/>
      <c r="B726" s="552"/>
      <c r="C726" s="1822" t="s">
        <v>204</v>
      </c>
      <c r="D726" s="1822"/>
      <c r="E726" s="1822"/>
      <c r="F726" s="1822"/>
      <c r="G726" s="1822"/>
      <c r="H726" s="1822"/>
      <c r="I726" s="1822"/>
      <c r="J726" s="1822"/>
      <c r="K726" s="1822"/>
      <c r="L726" s="551"/>
      <c r="M726" s="550"/>
      <c r="N726" s="549"/>
      <c r="V726" s="674"/>
      <c r="W726" s="675"/>
      <c r="AC726" s="675"/>
      <c r="AD726" s="675"/>
      <c r="AE726" s="537" t="s">
        <v>204</v>
      </c>
      <c r="AF726" s="675"/>
      <c r="AG726" s="675"/>
      <c r="AH726" s="680"/>
    </row>
    <row r="727" spans="1:34" s="536" customFormat="1" ht="12" x14ac:dyDescent="0.2">
      <c r="A727" s="548"/>
      <c r="B727" s="552"/>
      <c r="C727" s="1822" t="s">
        <v>8095</v>
      </c>
      <c r="D727" s="1822"/>
      <c r="E727" s="1822"/>
      <c r="F727" s="1822"/>
      <c r="G727" s="1822"/>
      <c r="H727" s="1822"/>
      <c r="I727" s="1822"/>
      <c r="J727" s="1822"/>
      <c r="K727" s="1822"/>
      <c r="L727" s="551">
        <v>4916.13</v>
      </c>
      <c r="M727" s="550"/>
      <c r="N727" s="549"/>
      <c r="V727" s="674"/>
      <c r="W727" s="675"/>
      <c r="AC727" s="675"/>
      <c r="AD727" s="675"/>
      <c r="AE727" s="537" t="s">
        <v>8095</v>
      </c>
      <c r="AF727" s="675"/>
      <c r="AG727" s="675"/>
      <c r="AH727" s="680"/>
    </row>
    <row r="728" spans="1:34" s="536" customFormat="1" ht="12" x14ac:dyDescent="0.2">
      <c r="A728" s="548"/>
      <c r="B728" s="552"/>
      <c r="C728" s="1822" t="s">
        <v>8097</v>
      </c>
      <c r="D728" s="1822"/>
      <c r="E728" s="1822"/>
      <c r="F728" s="1822"/>
      <c r="G728" s="1822"/>
      <c r="H728" s="1822"/>
      <c r="I728" s="1822"/>
      <c r="J728" s="1822"/>
      <c r="K728" s="1822"/>
      <c r="L728" s="551">
        <v>17562.73</v>
      </c>
      <c r="M728" s="550"/>
      <c r="N728" s="549"/>
      <c r="V728" s="674"/>
      <c r="W728" s="675"/>
      <c r="AC728" s="675"/>
      <c r="AD728" s="675"/>
      <c r="AE728" s="537" t="s">
        <v>8097</v>
      </c>
      <c r="AF728" s="675"/>
      <c r="AG728" s="675"/>
      <c r="AH728" s="680"/>
    </row>
    <row r="729" spans="1:34" s="536" customFormat="1" ht="12" x14ac:dyDescent="0.2">
      <c r="A729" s="1824" t="s">
        <v>2987</v>
      </c>
      <c r="B729" s="1825"/>
      <c r="C729" s="1825"/>
      <c r="D729" s="1825"/>
      <c r="E729" s="1825"/>
      <c r="F729" s="1825"/>
      <c r="G729" s="1825"/>
      <c r="H729" s="1825"/>
      <c r="I729" s="1825"/>
      <c r="J729" s="1825"/>
      <c r="K729" s="1825"/>
      <c r="L729" s="1825"/>
      <c r="M729" s="1825"/>
      <c r="N729" s="1826"/>
      <c r="V729" s="674" t="s">
        <v>2987</v>
      </c>
      <c r="W729" s="675"/>
      <c r="AC729" s="675"/>
      <c r="AD729" s="675"/>
      <c r="AF729" s="675"/>
      <c r="AG729" s="675"/>
      <c r="AH729" s="680"/>
    </row>
    <row r="730" spans="1:34" s="536" customFormat="1" ht="12" x14ac:dyDescent="0.2">
      <c r="A730" s="1830" t="s">
        <v>2988</v>
      </c>
      <c r="B730" s="1831"/>
      <c r="C730" s="1831"/>
      <c r="D730" s="1831"/>
      <c r="E730" s="1831"/>
      <c r="F730" s="1831"/>
      <c r="G730" s="1831"/>
      <c r="H730" s="1831"/>
      <c r="I730" s="1831"/>
      <c r="J730" s="1831"/>
      <c r="K730" s="1831"/>
      <c r="L730" s="1831"/>
      <c r="M730" s="1831"/>
      <c r="N730" s="1832"/>
      <c r="V730" s="674"/>
      <c r="W730" s="675"/>
      <c r="AC730" s="675"/>
      <c r="AD730" s="675"/>
      <c r="AF730" s="675"/>
      <c r="AG730" s="675" t="s">
        <v>2988</v>
      </c>
      <c r="AH730" s="680"/>
    </row>
    <row r="731" spans="1:34" s="536" customFormat="1" ht="22.5" x14ac:dyDescent="0.2">
      <c r="A731" s="575" t="s">
        <v>4636</v>
      </c>
      <c r="B731" s="657" t="s">
        <v>2989</v>
      </c>
      <c r="C731" s="1823" t="s">
        <v>2990</v>
      </c>
      <c r="D731" s="1823"/>
      <c r="E731" s="1823"/>
      <c r="F731" s="573" t="s">
        <v>617</v>
      </c>
      <c r="G731" s="573"/>
      <c r="H731" s="573"/>
      <c r="I731" s="573" t="s">
        <v>185</v>
      </c>
      <c r="J731" s="572"/>
      <c r="K731" s="573"/>
      <c r="L731" s="572"/>
      <c r="M731" s="571"/>
      <c r="N731" s="570"/>
      <c r="V731" s="674"/>
      <c r="W731" s="675" t="s">
        <v>2990</v>
      </c>
      <c r="AC731" s="675"/>
      <c r="AD731" s="675"/>
      <c r="AF731" s="675"/>
      <c r="AG731" s="675"/>
      <c r="AH731" s="680"/>
    </row>
    <row r="732" spans="1:34" s="536" customFormat="1" ht="12" x14ac:dyDescent="0.2">
      <c r="A732" s="609"/>
      <c r="B732" s="552" t="s">
        <v>2774</v>
      </c>
      <c r="C732" s="1822" t="s">
        <v>2775</v>
      </c>
      <c r="D732" s="1822"/>
      <c r="E732" s="1822"/>
      <c r="F732" s="1822"/>
      <c r="G732" s="1822"/>
      <c r="H732" s="1822"/>
      <c r="I732" s="1822"/>
      <c r="J732" s="1822"/>
      <c r="K732" s="1822"/>
      <c r="L732" s="1822"/>
      <c r="M732" s="1822"/>
      <c r="N732" s="1827"/>
      <c r="V732" s="674"/>
      <c r="W732" s="675"/>
      <c r="Y732" s="537" t="s">
        <v>2775</v>
      </c>
      <c r="AC732" s="675"/>
      <c r="AD732" s="675"/>
      <c r="AF732" s="675"/>
      <c r="AG732" s="675"/>
      <c r="AH732" s="680"/>
    </row>
    <row r="733" spans="1:34" s="536" customFormat="1" ht="22.5" x14ac:dyDescent="0.2">
      <c r="A733" s="609"/>
      <c r="B733" s="552" t="s">
        <v>499</v>
      </c>
      <c r="C733" s="1822" t="s">
        <v>500</v>
      </c>
      <c r="D733" s="1822"/>
      <c r="E733" s="1822"/>
      <c r="F733" s="1822"/>
      <c r="G733" s="1822"/>
      <c r="H733" s="1822"/>
      <c r="I733" s="1822"/>
      <c r="J733" s="1822"/>
      <c r="K733" s="1822"/>
      <c r="L733" s="1822"/>
      <c r="M733" s="1822"/>
      <c r="N733" s="1827"/>
      <c r="V733" s="674"/>
      <c r="W733" s="675"/>
      <c r="Y733" s="537" t="s">
        <v>500</v>
      </c>
      <c r="AC733" s="675"/>
      <c r="AD733" s="675"/>
      <c r="AF733" s="675"/>
      <c r="AG733" s="675"/>
      <c r="AH733" s="680"/>
    </row>
    <row r="734" spans="1:34" s="536" customFormat="1" ht="12" x14ac:dyDescent="0.2">
      <c r="A734" s="605"/>
      <c r="B734" s="552" t="s">
        <v>185</v>
      </c>
      <c r="C734" s="1822" t="s">
        <v>312</v>
      </c>
      <c r="D734" s="1822"/>
      <c r="E734" s="1822"/>
      <c r="F734" s="562"/>
      <c r="G734" s="562"/>
      <c r="H734" s="562"/>
      <c r="I734" s="562"/>
      <c r="J734" s="604">
        <v>13.2</v>
      </c>
      <c r="K734" s="562" t="s">
        <v>2776</v>
      </c>
      <c r="L734" s="604">
        <v>17.329999999999998</v>
      </c>
      <c r="M734" s="603"/>
      <c r="N734" s="602"/>
      <c r="V734" s="674"/>
      <c r="W734" s="675"/>
      <c r="Z734" s="537" t="s">
        <v>312</v>
      </c>
      <c r="AC734" s="675"/>
      <c r="AD734" s="675"/>
      <c r="AF734" s="675"/>
      <c r="AG734" s="675"/>
      <c r="AH734" s="680"/>
    </row>
    <row r="735" spans="1:34" s="536" customFormat="1" ht="12" x14ac:dyDescent="0.2">
      <c r="A735" s="605"/>
      <c r="B735" s="552" t="s">
        <v>188</v>
      </c>
      <c r="C735" s="1822" t="s">
        <v>475</v>
      </c>
      <c r="D735" s="1822"/>
      <c r="E735" s="1822"/>
      <c r="F735" s="562"/>
      <c r="G735" s="562"/>
      <c r="H735" s="562"/>
      <c r="I735" s="562"/>
      <c r="J735" s="604">
        <v>212.77</v>
      </c>
      <c r="K735" s="562"/>
      <c r="L735" s="604">
        <v>212.77</v>
      </c>
      <c r="M735" s="603"/>
      <c r="N735" s="602"/>
      <c r="V735" s="674"/>
      <c r="W735" s="675"/>
      <c r="Z735" s="537" t="s">
        <v>475</v>
      </c>
      <c r="AC735" s="675"/>
      <c r="AD735" s="675"/>
      <c r="AF735" s="675"/>
      <c r="AG735" s="675"/>
      <c r="AH735" s="680"/>
    </row>
    <row r="736" spans="1:34" s="536" customFormat="1" ht="12" x14ac:dyDescent="0.2">
      <c r="A736" s="605"/>
      <c r="B736" s="552"/>
      <c r="C736" s="1822" t="s">
        <v>314</v>
      </c>
      <c r="D736" s="1822"/>
      <c r="E736" s="1822"/>
      <c r="F736" s="562" t="s">
        <v>315</v>
      </c>
      <c r="G736" s="562" t="s">
        <v>2991</v>
      </c>
      <c r="H736" s="562" t="s">
        <v>2776</v>
      </c>
      <c r="I736" s="562" t="s">
        <v>2992</v>
      </c>
      <c r="J736" s="604"/>
      <c r="K736" s="562"/>
      <c r="L736" s="604"/>
      <c r="M736" s="603"/>
      <c r="N736" s="602"/>
      <c r="V736" s="674"/>
      <c r="W736" s="675"/>
      <c r="AA736" s="537" t="s">
        <v>314</v>
      </c>
      <c r="AC736" s="675"/>
      <c r="AD736" s="675"/>
      <c r="AF736" s="675"/>
      <c r="AG736" s="675"/>
      <c r="AH736" s="680"/>
    </row>
    <row r="737" spans="1:34" s="536" customFormat="1" ht="12" x14ac:dyDescent="0.2">
      <c r="A737" s="605"/>
      <c r="B737" s="552"/>
      <c r="C737" s="1828" t="s">
        <v>318</v>
      </c>
      <c r="D737" s="1828"/>
      <c r="E737" s="1828"/>
      <c r="F737" s="608"/>
      <c r="G737" s="608"/>
      <c r="H737" s="608"/>
      <c r="I737" s="608"/>
      <c r="J737" s="607">
        <v>225.97</v>
      </c>
      <c r="K737" s="608"/>
      <c r="L737" s="607">
        <v>230.1</v>
      </c>
      <c r="M737" s="601"/>
      <c r="N737" s="606"/>
      <c r="V737" s="674"/>
      <c r="W737" s="675"/>
      <c r="AB737" s="537" t="s">
        <v>318</v>
      </c>
      <c r="AC737" s="675"/>
      <c r="AD737" s="675"/>
      <c r="AF737" s="675"/>
      <c r="AG737" s="675"/>
      <c r="AH737" s="680"/>
    </row>
    <row r="738" spans="1:34" s="536" customFormat="1" ht="12" x14ac:dyDescent="0.2">
      <c r="A738" s="605"/>
      <c r="B738" s="552"/>
      <c r="C738" s="1822" t="s">
        <v>319</v>
      </c>
      <c r="D738" s="1822"/>
      <c r="E738" s="1822"/>
      <c r="F738" s="562"/>
      <c r="G738" s="562"/>
      <c r="H738" s="562"/>
      <c r="I738" s="562"/>
      <c r="J738" s="604"/>
      <c r="K738" s="562"/>
      <c r="L738" s="604">
        <v>17.329999999999998</v>
      </c>
      <c r="M738" s="603"/>
      <c r="N738" s="602"/>
      <c r="V738" s="674"/>
      <c r="W738" s="675"/>
      <c r="AA738" s="537" t="s">
        <v>319</v>
      </c>
      <c r="AC738" s="675"/>
      <c r="AD738" s="675"/>
      <c r="AF738" s="675"/>
      <c r="AG738" s="675"/>
      <c r="AH738" s="680"/>
    </row>
    <row r="739" spans="1:34" s="536" customFormat="1" ht="45" x14ac:dyDescent="0.2">
      <c r="A739" s="605"/>
      <c r="B739" s="552" t="s">
        <v>892</v>
      </c>
      <c r="C739" s="1822" t="s">
        <v>893</v>
      </c>
      <c r="D739" s="1822"/>
      <c r="E739" s="1822"/>
      <c r="F739" s="562" t="s">
        <v>322</v>
      </c>
      <c r="G739" s="562" t="s">
        <v>894</v>
      </c>
      <c r="H739" s="562"/>
      <c r="I739" s="562" t="s">
        <v>894</v>
      </c>
      <c r="J739" s="604"/>
      <c r="K739" s="562"/>
      <c r="L739" s="604">
        <v>20.97</v>
      </c>
      <c r="M739" s="603"/>
      <c r="N739" s="602"/>
      <c r="V739" s="674"/>
      <c r="W739" s="675"/>
      <c r="AA739" s="537" t="s">
        <v>893</v>
      </c>
      <c r="AC739" s="675"/>
      <c r="AD739" s="675"/>
      <c r="AF739" s="675"/>
      <c r="AG739" s="675"/>
      <c r="AH739" s="680"/>
    </row>
    <row r="740" spans="1:34" s="536" customFormat="1" ht="45" x14ac:dyDescent="0.2">
      <c r="A740" s="605"/>
      <c r="B740" s="552" t="s">
        <v>895</v>
      </c>
      <c r="C740" s="1822" t="s">
        <v>896</v>
      </c>
      <c r="D740" s="1822"/>
      <c r="E740" s="1822"/>
      <c r="F740" s="562" t="s">
        <v>322</v>
      </c>
      <c r="G740" s="562" t="s">
        <v>897</v>
      </c>
      <c r="H740" s="562"/>
      <c r="I740" s="562" t="s">
        <v>897</v>
      </c>
      <c r="J740" s="604"/>
      <c r="K740" s="562"/>
      <c r="L740" s="604">
        <v>12.48</v>
      </c>
      <c r="M740" s="603"/>
      <c r="N740" s="602"/>
      <c r="V740" s="674"/>
      <c r="W740" s="675"/>
      <c r="AA740" s="537" t="s">
        <v>896</v>
      </c>
      <c r="AC740" s="675"/>
      <c r="AD740" s="675"/>
      <c r="AF740" s="675"/>
      <c r="AG740" s="675"/>
      <c r="AH740" s="680"/>
    </row>
    <row r="741" spans="1:34" s="536" customFormat="1" ht="12" x14ac:dyDescent="0.2">
      <c r="A741" s="569"/>
      <c r="B741" s="656"/>
      <c r="C741" s="1823" t="s">
        <v>327</v>
      </c>
      <c r="D741" s="1823"/>
      <c r="E741" s="1823"/>
      <c r="F741" s="573"/>
      <c r="G741" s="573"/>
      <c r="H741" s="573"/>
      <c r="I741" s="573"/>
      <c r="J741" s="572"/>
      <c r="K741" s="573"/>
      <c r="L741" s="572">
        <v>263.55</v>
      </c>
      <c r="M741" s="601"/>
      <c r="N741" s="570"/>
      <c r="V741" s="674"/>
      <c r="W741" s="675"/>
      <c r="AC741" s="675" t="s">
        <v>327</v>
      </c>
      <c r="AD741" s="675"/>
      <c r="AF741" s="675"/>
      <c r="AG741" s="675"/>
      <c r="AH741" s="680"/>
    </row>
    <row r="742" spans="1:34" s="536" customFormat="1" ht="33.75" x14ac:dyDescent="0.2">
      <c r="A742" s="575" t="s">
        <v>8142</v>
      </c>
      <c r="B742" s="657" t="s">
        <v>2993</v>
      </c>
      <c r="C742" s="1823" t="s">
        <v>2994</v>
      </c>
      <c r="D742" s="1823"/>
      <c r="E742" s="1823"/>
      <c r="F742" s="573" t="s">
        <v>628</v>
      </c>
      <c r="G742" s="573"/>
      <c r="H742" s="573"/>
      <c r="I742" s="573" t="s">
        <v>185</v>
      </c>
      <c r="J742" s="572">
        <v>124512.5</v>
      </c>
      <c r="K742" s="573" t="s">
        <v>629</v>
      </c>
      <c r="L742" s="572">
        <v>27452.51</v>
      </c>
      <c r="M742" s="571">
        <v>4.59</v>
      </c>
      <c r="N742" s="570">
        <v>126007</v>
      </c>
      <c r="V742" s="674"/>
      <c r="W742" s="675" t="s">
        <v>2994</v>
      </c>
      <c r="AC742" s="675"/>
      <c r="AD742" s="675"/>
      <c r="AF742" s="675"/>
      <c r="AG742" s="675"/>
      <c r="AH742" s="680"/>
    </row>
    <row r="743" spans="1:34" s="536" customFormat="1" ht="12" x14ac:dyDescent="0.2">
      <c r="A743" s="569"/>
      <c r="B743" s="656"/>
      <c r="C743" s="661" t="s">
        <v>630</v>
      </c>
      <c r="D743" s="662"/>
      <c r="E743" s="662"/>
      <c r="F743" s="563"/>
      <c r="G743" s="563"/>
      <c r="H743" s="563"/>
      <c r="I743" s="563"/>
      <c r="J743" s="566"/>
      <c r="K743" s="563"/>
      <c r="L743" s="566"/>
      <c r="M743" s="565"/>
      <c r="N743" s="564"/>
      <c r="V743" s="674"/>
      <c r="W743" s="675"/>
      <c r="AC743" s="675"/>
      <c r="AD743" s="675"/>
      <c r="AF743" s="675"/>
      <c r="AG743" s="675"/>
      <c r="AH743" s="680"/>
    </row>
    <row r="744" spans="1:34" s="536" customFormat="1" ht="22.5" x14ac:dyDescent="0.2">
      <c r="A744" s="609"/>
      <c r="B744" s="552" t="s">
        <v>631</v>
      </c>
      <c r="C744" s="1822" t="s">
        <v>632</v>
      </c>
      <c r="D744" s="1822"/>
      <c r="E744" s="1822"/>
      <c r="F744" s="1822"/>
      <c r="G744" s="1822"/>
      <c r="H744" s="1822"/>
      <c r="I744" s="1822"/>
      <c r="J744" s="1822"/>
      <c r="K744" s="1822"/>
      <c r="L744" s="1822"/>
      <c r="M744" s="1822"/>
      <c r="N744" s="1827"/>
      <c r="V744" s="674"/>
      <c r="W744" s="675"/>
      <c r="Y744" s="537" t="s">
        <v>632</v>
      </c>
      <c r="AC744" s="675"/>
      <c r="AD744" s="675"/>
      <c r="AF744" s="675"/>
      <c r="AG744" s="675"/>
      <c r="AH744" s="680"/>
    </row>
    <row r="745" spans="1:34" s="536" customFormat="1" ht="22.5" x14ac:dyDescent="0.2">
      <c r="A745" s="575" t="s">
        <v>710</v>
      </c>
      <c r="B745" s="657" t="s">
        <v>2995</v>
      </c>
      <c r="C745" s="1823" t="s">
        <v>2996</v>
      </c>
      <c r="D745" s="1823"/>
      <c r="E745" s="1823"/>
      <c r="F745" s="573" t="s">
        <v>617</v>
      </c>
      <c r="G745" s="573"/>
      <c r="H745" s="573"/>
      <c r="I745" s="573" t="s">
        <v>189</v>
      </c>
      <c r="J745" s="572"/>
      <c r="K745" s="573"/>
      <c r="L745" s="572"/>
      <c r="M745" s="571"/>
      <c r="N745" s="570"/>
      <c r="V745" s="674"/>
      <c r="W745" s="675" t="s">
        <v>2996</v>
      </c>
      <c r="AC745" s="675"/>
      <c r="AD745" s="675"/>
      <c r="AF745" s="675"/>
      <c r="AG745" s="675"/>
      <c r="AH745" s="680"/>
    </row>
    <row r="746" spans="1:34" s="536" customFormat="1" ht="12" x14ac:dyDescent="0.2">
      <c r="A746" s="676"/>
      <c r="B746" s="655"/>
      <c r="C746" s="1822" t="s">
        <v>2737</v>
      </c>
      <c r="D746" s="1822"/>
      <c r="E746" s="1822"/>
      <c r="F746" s="1822"/>
      <c r="G746" s="1822"/>
      <c r="H746" s="1822"/>
      <c r="I746" s="1822"/>
      <c r="J746" s="1822"/>
      <c r="K746" s="1822"/>
      <c r="L746" s="1822"/>
      <c r="M746" s="1822"/>
      <c r="N746" s="1827"/>
      <c r="V746" s="674"/>
      <c r="W746" s="675"/>
      <c r="X746" s="537" t="s">
        <v>2737</v>
      </c>
      <c r="AC746" s="675"/>
      <c r="AD746" s="675"/>
      <c r="AF746" s="675"/>
      <c r="AG746" s="675"/>
      <c r="AH746" s="680"/>
    </row>
    <row r="747" spans="1:34" s="536" customFormat="1" ht="12" x14ac:dyDescent="0.2">
      <c r="A747" s="609"/>
      <c r="B747" s="552" t="s">
        <v>2774</v>
      </c>
      <c r="C747" s="1822" t="s">
        <v>2775</v>
      </c>
      <c r="D747" s="1822"/>
      <c r="E747" s="1822"/>
      <c r="F747" s="1822"/>
      <c r="G747" s="1822"/>
      <c r="H747" s="1822"/>
      <c r="I747" s="1822"/>
      <c r="J747" s="1822"/>
      <c r="K747" s="1822"/>
      <c r="L747" s="1822"/>
      <c r="M747" s="1822"/>
      <c r="N747" s="1827"/>
      <c r="V747" s="674"/>
      <c r="W747" s="675"/>
      <c r="Y747" s="537" t="s">
        <v>2775</v>
      </c>
      <c r="AC747" s="675"/>
      <c r="AD747" s="675"/>
      <c r="AF747" s="675"/>
      <c r="AG747" s="675"/>
      <c r="AH747" s="680"/>
    </row>
    <row r="748" spans="1:34" s="536" customFormat="1" ht="22.5" x14ac:dyDescent="0.2">
      <c r="A748" s="609"/>
      <c r="B748" s="552" t="s">
        <v>499</v>
      </c>
      <c r="C748" s="1822" t="s">
        <v>500</v>
      </c>
      <c r="D748" s="1822"/>
      <c r="E748" s="1822"/>
      <c r="F748" s="1822"/>
      <c r="G748" s="1822"/>
      <c r="H748" s="1822"/>
      <c r="I748" s="1822"/>
      <c r="J748" s="1822"/>
      <c r="K748" s="1822"/>
      <c r="L748" s="1822"/>
      <c r="M748" s="1822"/>
      <c r="N748" s="1827"/>
      <c r="V748" s="674"/>
      <c r="W748" s="675"/>
      <c r="Y748" s="537" t="s">
        <v>500</v>
      </c>
      <c r="AC748" s="675"/>
      <c r="AD748" s="675"/>
      <c r="AF748" s="675"/>
      <c r="AG748" s="675"/>
      <c r="AH748" s="680"/>
    </row>
    <row r="749" spans="1:34" s="536" customFormat="1" ht="12" x14ac:dyDescent="0.2">
      <c r="A749" s="605"/>
      <c r="B749" s="552" t="s">
        <v>185</v>
      </c>
      <c r="C749" s="1822" t="s">
        <v>312</v>
      </c>
      <c r="D749" s="1822"/>
      <c r="E749" s="1822"/>
      <c r="F749" s="562"/>
      <c r="G749" s="562"/>
      <c r="H749" s="562"/>
      <c r="I749" s="562"/>
      <c r="J749" s="604">
        <v>26.51</v>
      </c>
      <c r="K749" s="562" t="s">
        <v>2776</v>
      </c>
      <c r="L749" s="604">
        <v>173.97</v>
      </c>
      <c r="M749" s="603"/>
      <c r="N749" s="602"/>
      <c r="V749" s="674"/>
      <c r="W749" s="675"/>
      <c r="Z749" s="537" t="s">
        <v>312</v>
      </c>
      <c r="AC749" s="675"/>
      <c r="AD749" s="675"/>
      <c r="AF749" s="675"/>
      <c r="AG749" s="675"/>
      <c r="AH749" s="680"/>
    </row>
    <row r="750" spans="1:34" s="536" customFormat="1" ht="12" x14ac:dyDescent="0.2">
      <c r="A750" s="605"/>
      <c r="B750" s="552" t="s">
        <v>188</v>
      </c>
      <c r="C750" s="1822" t="s">
        <v>475</v>
      </c>
      <c r="D750" s="1822"/>
      <c r="E750" s="1822"/>
      <c r="F750" s="562"/>
      <c r="G750" s="562"/>
      <c r="H750" s="562"/>
      <c r="I750" s="562"/>
      <c r="J750" s="604">
        <v>3.04</v>
      </c>
      <c r="K750" s="562"/>
      <c r="L750" s="604">
        <v>15.2</v>
      </c>
      <c r="M750" s="603"/>
      <c r="N750" s="602"/>
      <c r="V750" s="674"/>
      <c r="W750" s="675"/>
      <c r="Z750" s="537" t="s">
        <v>475</v>
      </c>
      <c r="AC750" s="675"/>
      <c r="AD750" s="675"/>
      <c r="AF750" s="675"/>
      <c r="AG750" s="675"/>
      <c r="AH750" s="680"/>
    </row>
    <row r="751" spans="1:34" s="536" customFormat="1" ht="22.5" x14ac:dyDescent="0.2">
      <c r="A751" s="676"/>
      <c r="B751" s="677" t="s">
        <v>2997</v>
      </c>
      <c r="C751" s="1829" t="s">
        <v>2998</v>
      </c>
      <c r="D751" s="1829"/>
      <c r="E751" s="1829"/>
      <c r="F751" s="678" t="s">
        <v>699</v>
      </c>
      <c r="G751" s="678" t="s">
        <v>525</v>
      </c>
      <c r="H751" s="678"/>
      <c r="I751" s="678" t="s">
        <v>525</v>
      </c>
      <c r="J751" s="552"/>
      <c r="K751" s="562"/>
      <c r="L751" s="604"/>
      <c r="M751" s="562"/>
      <c r="N751" s="679"/>
      <c r="V751" s="674"/>
      <c r="W751" s="675"/>
      <c r="AC751" s="675"/>
      <c r="AD751" s="675"/>
      <c r="AF751" s="675"/>
      <c r="AG751" s="675"/>
      <c r="AH751" s="680" t="s">
        <v>2998</v>
      </c>
    </row>
    <row r="752" spans="1:34" s="536" customFormat="1" ht="22.5" x14ac:dyDescent="0.2">
      <c r="A752" s="676"/>
      <c r="B752" s="677" t="s">
        <v>2586</v>
      </c>
      <c r="C752" s="1829" t="s">
        <v>2587</v>
      </c>
      <c r="D752" s="1829"/>
      <c r="E752" s="1829"/>
      <c r="F752" s="678" t="s">
        <v>483</v>
      </c>
      <c r="G752" s="678" t="s">
        <v>525</v>
      </c>
      <c r="H752" s="678"/>
      <c r="I752" s="678" t="s">
        <v>525</v>
      </c>
      <c r="J752" s="552"/>
      <c r="K752" s="562"/>
      <c r="L752" s="604"/>
      <c r="M752" s="562"/>
      <c r="N752" s="679"/>
      <c r="V752" s="674"/>
      <c r="W752" s="675"/>
      <c r="AC752" s="675"/>
      <c r="AD752" s="675"/>
      <c r="AF752" s="675"/>
      <c r="AG752" s="675"/>
      <c r="AH752" s="680" t="s">
        <v>2587</v>
      </c>
    </row>
    <row r="753" spans="1:34" s="536" customFormat="1" ht="12" x14ac:dyDescent="0.2">
      <c r="A753" s="676"/>
      <c r="B753" s="677" t="s">
        <v>2999</v>
      </c>
      <c r="C753" s="1829" t="s">
        <v>3000</v>
      </c>
      <c r="D753" s="1829"/>
      <c r="E753" s="1829"/>
      <c r="F753" s="678" t="s">
        <v>2591</v>
      </c>
      <c r="G753" s="678" t="s">
        <v>525</v>
      </c>
      <c r="H753" s="678"/>
      <c r="I753" s="678" t="s">
        <v>525</v>
      </c>
      <c r="J753" s="552"/>
      <c r="K753" s="562"/>
      <c r="L753" s="604"/>
      <c r="M753" s="562"/>
      <c r="N753" s="679"/>
      <c r="V753" s="674"/>
      <c r="W753" s="675"/>
      <c r="AC753" s="675"/>
      <c r="AD753" s="675"/>
      <c r="AF753" s="675"/>
      <c r="AG753" s="675"/>
      <c r="AH753" s="680" t="s">
        <v>3000</v>
      </c>
    </row>
    <row r="754" spans="1:34" s="536" customFormat="1" ht="33.75" x14ac:dyDescent="0.2">
      <c r="A754" s="676"/>
      <c r="B754" s="677" t="s">
        <v>3001</v>
      </c>
      <c r="C754" s="1829" t="s">
        <v>3002</v>
      </c>
      <c r="D754" s="1829"/>
      <c r="E754" s="1829"/>
      <c r="F754" s="678" t="s">
        <v>2278</v>
      </c>
      <c r="G754" s="678" t="s">
        <v>525</v>
      </c>
      <c r="H754" s="678"/>
      <c r="I754" s="678" t="s">
        <v>525</v>
      </c>
      <c r="J754" s="552"/>
      <c r="K754" s="562"/>
      <c r="L754" s="604"/>
      <c r="M754" s="562"/>
      <c r="N754" s="679"/>
      <c r="V754" s="674"/>
      <c r="W754" s="675"/>
      <c r="AC754" s="675"/>
      <c r="AD754" s="675"/>
      <c r="AF754" s="675"/>
      <c r="AG754" s="675"/>
      <c r="AH754" s="680" t="s">
        <v>3002</v>
      </c>
    </row>
    <row r="755" spans="1:34" s="536" customFormat="1" ht="12" x14ac:dyDescent="0.2">
      <c r="A755" s="676"/>
      <c r="B755" s="677" t="s">
        <v>3003</v>
      </c>
      <c r="C755" s="1829" t="s">
        <v>3004</v>
      </c>
      <c r="D755" s="1829"/>
      <c r="E755" s="1829"/>
      <c r="F755" s="678" t="s">
        <v>1687</v>
      </c>
      <c r="G755" s="678" t="s">
        <v>525</v>
      </c>
      <c r="H755" s="678"/>
      <c r="I755" s="678" t="s">
        <v>525</v>
      </c>
      <c r="J755" s="552"/>
      <c r="K755" s="562"/>
      <c r="L755" s="604"/>
      <c r="M755" s="562"/>
      <c r="N755" s="679"/>
      <c r="V755" s="674"/>
      <c r="W755" s="675"/>
      <c r="AC755" s="675"/>
      <c r="AD755" s="675"/>
      <c r="AF755" s="675"/>
      <c r="AG755" s="675"/>
      <c r="AH755" s="680" t="s">
        <v>3004</v>
      </c>
    </row>
    <row r="756" spans="1:34" s="536" customFormat="1" ht="22.5" x14ac:dyDescent="0.2">
      <c r="A756" s="676"/>
      <c r="B756" s="677" t="s">
        <v>3005</v>
      </c>
      <c r="C756" s="1829" t="s">
        <v>3006</v>
      </c>
      <c r="D756" s="1829"/>
      <c r="E756" s="1829"/>
      <c r="F756" s="678" t="s">
        <v>483</v>
      </c>
      <c r="G756" s="678" t="s">
        <v>525</v>
      </c>
      <c r="H756" s="678"/>
      <c r="I756" s="678" t="s">
        <v>525</v>
      </c>
      <c r="J756" s="552"/>
      <c r="K756" s="562"/>
      <c r="L756" s="604"/>
      <c r="M756" s="562"/>
      <c r="N756" s="679"/>
      <c r="V756" s="674"/>
      <c r="W756" s="675"/>
      <c r="AC756" s="675"/>
      <c r="AD756" s="675"/>
      <c r="AF756" s="675"/>
      <c r="AG756" s="675"/>
      <c r="AH756" s="680" t="s">
        <v>3006</v>
      </c>
    </row>
    <row r="757" spans="1:34" s="536" customFormat="1" ht="12" x14ac:dyDescent="0.2">
      <c r="A757" s="605"/>
      <c r="B757" s="552"/>
      <c r="C757" s="1822" t="s">
        <v>314</v>
      </c>
      <c r="D757" s="1822"/>
      <c r="E757" s="1822"/>
      <c r="F757" s="562" t="s">
        <v>315</v>
      </c>
      <c r="G757" s="562" t="s">
        <v>3007</v>
      </c>
      <c r="H757" s="562" t="s">
        <v>2776</v>
      </c>
      <c r="I757" s="562" t="s">
        <v>3008</v>
      </c>
      <c r="J757" s="604"/>
      <c r="K757" s="562"/>
      <c r="L757" s="604"/>
      <c r="M757" s="603"/>
      <c r="N757" s="602"/>
      <c r="V757" s="674"/>
      <c r="W757" s="675"/>
      <c r="AA757" s="537" t="s">
        <v>314</v>
      </c>
      <c r="AC757" s="675"/>
      <c r="AD757" s="675"/>
      <c r="AF757" s="675"/>
      <c r="AG757" s="675"/>
      <c r="AH757" s="680"/>
    </row>
    <row r="758" spans="1:34" s="536" customFormat="1" ht="12" x14ac:dyDescent="0.2">
      <c r="A758" s="605"/>
      <c r="B758" s="552"/>
      <c r="C758" s="1828" t="s">
        <v>318</v>
      </c>
      <c r="D758" s="1828"/>
      <c r="E758" s="1828"/>
      <c r="F758" s="608"/>
      <c r="G758" s="608"/>
      <c r="H758" s="608"/>
      <c r="I758" s="608"/>
      <c r="J758" s="607">
        <v>29.55</v>
      </c>
      <c r="K758" s="608"/>
      <c r="L758" s="607">
        <v>189.17</v>
      </c>
      <c r="M758" s="601"/>
      <c r="N758" s="606"/>
      <c r="V758" s="674"/>
      <c r="W758" s="675"/>
      <c r="AB758" s="537" t="s">
        <v>318</v>
      </c>
      <c r="AC758" s="675"/>
      <c r="AD758" s="675"/>
      <c r="AF758" s="675"/>
      <c r="AG758" s="675"/>
      <c r="AH758" s="680"/>
    </row>
    <row r="759" spans="1:34" s="536" customFormat="1" ht="12" x14ac:dyDescent="0.2">
      <c r="A759" s="605"/>
      <c r="B759" s="552"/>
      <c r="C759" s="1822" t="s">
        <v>319</v>
      </c>
      <c r="D759" s="1822"/>
      <c r="E759" s="1822"/>
      <c r="F759" s="562"/>
      <c r="G759" s="562"/>
      <c r="H759" s="562"/>
      <c r="I759" s="562"/>
      <c r="J759" s="604"/>
      <c r="K759" s="562"/>
      <c r="L759" s="604">
        <v>173.97</v>
      </c>
      <c r="M759" s="603"/>
      <c r="N759" s="602"/>
      <c r="V759" s="674"/>
      <c r="W759" s="675"/>
      <c r="AA759" s="537" t="s">
        <v>319</v>
      </c>
      <c r="AC759" s="675"/>
      <c r="AD759" s="675"/>
      <c r="AF759" s="675"/>
      <c r="AG759" s="675"/>
      <c r="AH759" s="680"/>
    </row>
    <row r="760" spans="1:34" s="536" customFormat="1" ht="45" x14ac:dyDescent="0.2">
      <c r="A760" s="605"/>
      <c r="B760" s="552" t="s">
        <v>892</v>
      </c>
      <c r="C760" s="1822" t="s">
        <v>893</v>
      </c>
      <c r="D760" s="1822"/>
      <c r="E760" s="1822"/>
      <c r="F760" s="562" t="s">
        <v>322</v>
      </c>
      <c r="G760" s="562" t="s">
        <v>894</v>
      </c>
      <c r="H760" s="562"/>
      <c r="I760" s="562" t="s">
        <v>894</v>
      </c>
      <c r="J760" s="604"/>
      <c r="K760" s="562"/>
      <c r="L760" s="604">
        <v>210.5</v>
      </c>
      <c r="M760" s="603"/>
      <c r="N760" s="602"/>
      <c r="V760" s="674"/>
      <c r="W760" s="675"/>
      <c r="AA760" s="537" t="s">
        <v>893</v>
      </c>
      <c r="AC760" s="675"/>
      <c r="AD760" s="675"/>
      <c r="AF760" s="675"/>
      <c r="AG760" s="675"/>
      <c r="AH760" s="680"/>
    </row>
    <row r="761" spans="1:34" s="536" customFormat="1" ht="45" x14ac:dyDescent="0.2">
      <c r="A761" s="605"/>
      <c r="B761" s="552" t="s">
        <v>895</v>
      </c>
      <c r="C761" s="1822" t="s">
        <v>896</v>
      </c>
      <c r="D761" s="1822"/>
      <c r="E761" s="1822"/>
      <c r="F761" s="562" t="s">
        <v>322</v>
      </c>
      <c r="G761" s="562" t="s">
        <v>897</v>
      </c>
      <c r="H761" s="562"/>
      <c r="I761" s="562" t="s">
        <v>897</v>
      </c>
      <c r="J761" s="604"/>
      <c r="K761" s="562"/>
      <c r="L761" s="604">
        <v>125.26</v>
      </c>
      <c r="M761" s="603"/>
      <c r="N761" s="602"/>
      <c r="V761" s="674"/>
      <c r="W761" s="675"/>
      <c r="AA761" s="537" t="s">
        <v>896</v>
      </c>
      <c r="AC761" s="675"/>
      <c r="AD761" s="675"/>
      <c r="AF761" s="675"/>
      <c r="AG761" s="675"/>
      <c r="AH761" s="680"/>
    </row>
    <row r="762" spans="1:34" s="536" customFormat="1" ht="12" x14ac:dyDescent="0.2">
      <c r="A762" s="569"/>
      <c r="B762" s="656"/>
      <c r="C762" s="1823" t="s">
        <v>327</v>
      </c>
      <c r="D762" s="1823"/>
      <c r="E762" s="1823"/>
      <c r="F762" s="573"/>
      <c r="G762" s="573"/>
      <c r="H762" s="573"/>
      <c r="I762" s="573"/>
      <c r="J762" s="572"/>
      <c r="K762" s="573"/>
      <c r="L762" s="572">
        <v>524.92999999999995</v>
      </c>
      <c r="M762" s="601"/>
      <c r="N762" s="570"/>
      <c r="V762" s="674"/>
      <c r="W762" s="675"/>
      <c r="AC762" s="675" t="s">
        <v>327</v>
      </c>
      <c r="AD762" s="675"/>
      <c r="AF762" s="675"/>
      <c r="AG762" s="675"/>
      <c r="AH762" s="680"/>
    </row>
    <row r="763" spans="1:34" s="536" customFormat="1" ht="33.75" x14ac:dyDescent="0.2">
      <c r="A763" s="575" t="s">
        <v>3011</v>
      </c>
      <c r="B763" s="657" t="s">
        <v>3009</v>
      </c>
      <c r="C763" s="1823" t="s">
        <v>3010</v>
      </c>
      <c r="D763" s="1823"/>
      <c r="E763" s="1823"/>
      <c r="F763" s="573" t="s">
        <v>628</v>
      </c>
      <c r="G763" s="573"/>
      <c r="H763" s="573"/>
      <c r="I763" s="573" t="s">
        <v>187</v>
      </c>
      <c r="J763" s="572">
        <v>17062.5</v>
      </c>
      <c r="K763" s="573" t="s">
        <v>629</v>
      </c>
      <c r="L763" s="572">
        <v>11285.84</v>
      </c>
      <c r="M763" s="571">
        <v>4.59</v>
      </c>
      <c r="N763" s="570">
        <v>51802</v>
      </c>
      <c r="V763" s="674"/>
      <c r="W763" s="675" t="s">
        <v>3010</v>
      </c>
      <c r="AC763" s="675"/>
      <c r="AD763" s="675"/>
      <c r="AF763" s="675"/>
      <c r="AG763" s="675"/>
      <c r="AH763" s="680"/>
    </row>
    <row r="764" spans="1:34" s="536" customFormat="1" ht="12" x14ac:dyDescent="0.2">
      <c r="A764" s="569"/>
      <c r="B764" s="656"/>
      <c r="C764" s="661" t="s">
        <v>630</v>
      </c>
      <c r="D764" s="662"/>
      <c r="E764" s="662"/>
      <c r="F764" s="563"/>
      <c r="G764" s="563"/>
      <c r="H764" s="563"/>
      <c r="I764" s="563"/>
      <c r="J764" s="566"/>
      <c r="K764" s="563"/>
      <c r="L764" s="566"/>
      <c r="M764" s="565"/>
      <c r="N764" s="564"/>
      <c r="V764" s="674"/>
      <c r="W764" s="675"/>
      <c r="AC764" s="675"/>
      <c r="AD764" s="675"/>
      <c r="AF764" s="675"/>
      <c r="AG764" s="675"/>
      <c r="AH764" s="680"/>
    </row>
    <row r="765" spans="1:34" s="536" customFormat="1" ht="22.5" x14ac:dyDescent="0.2">
      <c r="A765" s="609"/>
      <c r="B765" s="552" t="s">
        <v>631</v>
      </c>
      <c r="C765" s="1822" t="s">
        <v>632</v>
      </c>
      <c r="D765" s="1822"/>
      <c r="E765" s="1822"/>
      <c r="F765" s="1822"/>
      <c r="G765" s="1822"/>
      <c r="H765" s="1822"/>
      <c r="I765" s="1822"/>
      <c r="J765" s="1822"/>
      <c r="K765" s="1822"/>
      <c r="L765" s="1822"/>
      <c r="M765" s="1822"/>
      <c r="N765" s="1827"/>
      <c r="V765" s="674"/>
      <c r="W765" s="675"/>
      <c r="Y765" s="537" t="s">
        <v>632</v>
      </c>
      <c r="AC765" s="675"/>
      <c r="AD765" s="675"/>
      <c r="AF765" s="675"/>
      <c r="AG765" s="675"/>
      <c r="AH765" s="680"/>
    </row>
    <row r="766" spans="1:34" s="536" customFormat="1" ht="33.75" x14ac:dyDescent="0.2">
      <c r="A766" s="575" t="s">
        <v>8143</v>
      </c>
      <c r="B766" s="657" t="s">
        <v>3012</v>
      </c>
      <c r="C766" s="1823" t="s">
        <v>3013</v>
      </c>
      <c r="D766" s="1823"/>
      <c r="E766" s="1823"/>
      <c r="F766" s="573" t="s">
        <v>628</v>
      </c>
      <c r="G766" s="573"/>
      <c r="H766" s="573"/>
      <c r="I766" s="573" t="s">
        <v>186</v>
      </c>
      <c r="J766" s="572">
        <v>19250</v>
      </c>
      <c r="K766" s="573" t="s">
        <v>629</v>
      </c>
      <c r="L766" s="572">
        <v>8488.4500000000007</v>
      </c>
      <c r="M766" s="571">
        <v>4.59</v>
      </c>
      <c r="N766" s="570">
        <v>38962</v>
      </c>
      <c r="V766" s="674"/>
      <c r="W766" s="675" t="s">
        <v>3013</v>
      </c>
      <c r="AC766" s="675"/>
      <c r="AD766" s="675"/>
      <c r="AF766" s="675"/>
      <c r="AG766" s="675"/>
      <c r="AH766" s="680"/>
    </row>
    <row r="767" spans="1:34" s="536" customFormat="1" ht="12" x14ac:dyDescent="0.2">
      <c r="A767" s="569"/>
      <c r="B767" s="656"/>
      <c r="C767" s="661" t="s">
        <v>630</v>
      </c>
      <c r="D767" s="662"/>
      <c r="E767" s="662"/>
      <c r="F767" s="563"/>
      <c r="G767" s="563"/>
      <c r="H767" s="563"/>
      <c r="I767" s="563"/>
      <c r="J767" s="566"/>
      <c r="K767" s="563"/>
      <c r="L767" s="566"/>
      <c r="M767" s="565"/>
      <c r="N767" s="564"/>
      <c r="V767" s="674"/>
      <c r="W767" s="675"/>
      <c r="AC767" s="675"/>
      <c r="AD767" s="675"/>
      <c r="AF767" s="675"/>
      <c r="AG767" s="675"/>
      <c r="AH767" s="680"/>
    </row>
    <row r="768" spans="1:34" s="536" customFormat="1" ht="22.5" x14ac:dyDescent="0.2">
      <c r="A768" s="609"/>
      <c r="B768" s="552" t="s">
        <v>631</v>
      </c>
      <c r="C768" s="1822" t="s">
        <v>632</v>
      </c>
      <c r="D768" s="1822"/>
      <c r="E768" s="1822"/>
      <c r="F768" s="1822"/>
      <c r="G768" s="1822"/>
      <c r="H768" s="1822"/>
      <c r="I768" s="1822"/>
      <c r="J768" s="1822"/>
      <c r="K768" s="1822"/>
      <c r="L768" s="1822"/>
      <c r="M768" s="1822"/>
      <c r="N768" s="1827"/>
      <c r="V768" s="674"/>
      <c r="W768" s="675"/>
      <c r="Y768" s="537" t="s">
        <v>632</v>
      </c>
      <c r="AC768" s="675"/>
      <c r="AD768" s="675"/>
      <c r="AF768" s="675"/>
      <c r="AG768" s="675"/>
      <c r="AH768" s="680"/>
    </row>
    <row r="769" spans="1:34" s="536" customFormat="1" ht="33.75" x14ac:dyDescent="0.2">
      <c r="A769" s="575" t="s">
        <v>1527</v>
      </c>
      <c r="B769" s="657" t="s">
        <v>3014</v>
      </c>
      <c r="C769" s="1823" t="s">
        <v>3015</v>
      </c>
      <c r="D769" s="1823"/>
      <c r="E769" s="1823"/>
      <c r="F769" s="573" t="s">
        <v>483</v>
      </c>
      <c r="G769" s="573"/>
      <c r="H769" s="573"/>
      <c r="I769" s="573" t="s">
        <v>1679</v>
      </c>
      <c r="J769" s="572">
        <v>28.69</v>
      </c>
      <c r="K769" s="573"/>
      <c r="L769" s="572">
        <v>1434.5</v>
      </c>
      <c r="M769" s="571"/>
      <c r="N769" s="570"/>
      <c r="V769" s="674"/>
      <c r="W769" s="675" t="s">
        <v>3015</v>
      </c>
      <c r="AC769" s="675"/>
      <c r="AD769" s="675"/>
      <c r="AF769" s="675"/>
      <c r="AG769" s="675"/>
      <c r="AH769" s="680"/>
    </row>
    <row r="770" spans="1:34" s="536" customFormat="1" ht="12" x14ac:dyDescent="0.2">
      <c r="A770" s="569"/>
      <c r="B770" s="656"/>
      <c r="C770" s="661" t="s">
        <v>2820</v>
      </c>
      <c r="D770" s="662"/>
      <c r="E770" s="662"/>
      <c r="F770" s="563"/>
      <c r="G770" s="563"/>
      <c r="H770" s="563"/>
      <c r="I770" s="563"/>
      <c r="J770" s="566"/>
      <c r="K770" s="563"/>
      <c r="L770" s="566"/>
      <c r="M770" s="565"/>
      <c r="N770" s="564"/>
      <c r="V770" s="674"/>
      <c r="W770" s="675"/>
      <c r="AC770" s="675"/>
      <c r="AD770" s="675"/>
      <c r="AF770" s="675"/>
      <c r="AG770" s="675"/>
      <c r="AH770" s="680"/>
    </row>
    <row r="771" spans="1:34" s="536" customFormat="1" ht="33.75" x14ac:dyDescent="0.2">
      <c r="A771" s="575" t="s">
        <v>3018</v>
      </c>
      <c r="B771" s="657" t="s">
        <v>3016</v>
      </c>
      <c r="C771" s="1823" t="s">
        <v>3017</v>
      </c>
      <c r="D771" s="1823"/>
      <c r="E771" s="1823"/>
      <c r="F771" s="573" t="s">
        <v>483</v>
      </c>
      <c r="G771" s="573"/>
      <c r="H771" s="573"/>
      <c r="I771" s="573" t="s">
        <v>1679</v>
      </c>
      <c r="J771" s="572">
        <v>47.54</v>
      </c>
      <c r="K771" s="573"/>
      <c r="L771" s="572">
        <v>2377</v>
      </c>
      <c r="M771" s="571"/>
      <c r="N771" s="570"/>
      <c r="V771" s="674"/>
      <c r="W771" s="675" t="s">
        <v>3017</v>
      </c>
      <c r="AC771" s="675"/>
      <c r="AD771" s="675"/>
      <c r="AF771" s="675"/>
      <c r="AG771" s="675"/>
      <c r="AH771" s="680"/>
    </row>
    <row r="772" spans="1:34" s="536" customFormat="1" ht="12" x14ac:dyDescent="0.2">
      <c r="A772" s="569"/>
      <c r="B772" s="656"/>
      <c r="C772" s="661" t="s">
        <v>2820</v>
      </c>
      <c r="D772" s="662"/>
      <c r="E772" s="662"/>
      <c r="F772" s="563"/>
      <c r="G772" s="563"/>
      <c r="H772" s="563"/>
      <c r="I772" s="563"/>
      <c r="J772" s="566"/>
      <c r="K772" s="563"/>
      <c r="L772" s="566"/>
      <c r="M772" s="565"/>
      <c r="N772" s="564"/>
      <c r="V772" s="674"/>
      <c r="W772" s="675"/>
      <c r="AC772" s="675"/>
      <c r="AD772" s="675"/>
      <c r="AF772" s="675"/>
      <c r="AG772" s="675"/>
      <c r="AH772" s="680"/>
    </row>
    <row r="773" spans="1:34" s="536" customFormat="1" ht="45" x14ac:dyDescent="0.2">
      <c r="A773" s="575" t="s">
        <v>851</v>
      </c>
      <c r="B773" s="657" t="s">
        <v>3019</v>
      </c>
      <c r="C773" s="1823" t="s">
        <v>3020</v>
      </c>
      <c r="D773" s="1823"/>
      <c r="E773" s="1823"/>
      <c r="F773" s="573" t="s">
        <v>2278</v>
      </c>
      <c r="G773" s="573"/>
      <c r="H773" s="573"/>
      <c r="I773" s="573" t="s">
        <v>189</v>
      </c>
      <c r="J773" s="572">
        <v>35.9</v>
      </c>
      <c r="K773" s="573"/>
      <c r="L773" s="572">
        <v>179.5</v>
      </c>
      <c r="M773" s="571"/>
      <c r="N773" s="570"/>
      <c r="V773" s="674"/>
      <c r="W773" s="675" t="s">
        <v>3020</v>
      </c>
      <c r="AC773" s="675"/>
      <c r="AD773" s="675"/>
      <c r="AF773" s="675"/>
      <c r="AG773" s="675"/>
      <c r="AH773" s="680"/>
    </row>
    <row r="774" spans="1:34" s="536" customFormat="1" ht="12" x14ac:dyDescent="0.2">
      <c r="A774" s="569"/>
      <c r="B774" s="656"/>
      <c r="C774" s="661" t="s">
        <v>2820</v>
      </c>
      <c r="D774" s="662"/>
      <c r="E774" s="662"/>
      <c r="F774" s="563"/>
      <c r="G774" s="563"/>
      <c r="H774" s="563"/>
      <c r="I774" s="563"/>
      <c r="J774" s="566"/>
      <c r="K774" s="563"/>
      <c r="L774" s="566"/>
      <c r="M774" s="565"/>
      <c r="N774" s="564"/>
      <c r="V774" s="674"/>
      <c r="W774" s="675"/>
      <c r="AC774" s="675"/>
      <c r="AD774" s="675"/>
      <c r="AF774" s="675"/>
      <c r="AG774" s="675"/>
      <c r="AH774" s="680"/>
    </row>
    <row r="775" spans="1:34" s="536" customFormat="1" ht="12" x14ac:dyDescent="0.2">
      <c r="A775" s="676"/>
      <c r="B775" s="655"/>
      <c r="C775" s="1822" t="s">
        <v>3021</v>
      </c>
      <c r="D775" s="1822"/>
      <c r="E775" s="1822"/>
      <c r="F775" s="1822"/>
      <c r="G775" s="1822"/>
      <c r="H775" s="1822"/>
      <c r="I775" s="1822"/>
      <c r="J775" s="1822"/>
      <c r="K775" s="1822"/>
      <c r="L775" s="1822"/>
      <c r="M775" s="1822"/>
      <c r="N775" s="1827"/>
      <c r="V775" s="674"/>
      <c r="W775" s="675"/>
      <c r="X775" s="537" t="s">
        <v>3021</v>
      </c>
      <c r="AC775" s="675"/>
      <c r="AD775" s="675"/>
      <c r="AF775" s="675"/>
      <c r="AG775" s="675"/>
      <c r="AH775" s="680"/>
    </row>
    <row r="776" spans="1:34" s="536" customFormat="1" ht="33.75" x14ac:dyDescent="0.2">
      <c r="A776" s="575" t="s">
        <v>1157</v>
      </c>
      <c r="B776" s="657" t="s">
        <v>3022</v>
      </c>
      <c r="C776" s="1823" t="s">
        <v>3023</v>
      </c>
      <c r="D776" s="1823"/>
      <c r="E776" s="1823"/>
      <c r="F776" s="573" t="s">
        <v>2278</v>
      </c>
      <c r="G776" s="573"/>
      <c r="H776" s="573"/>
      <c r="I776" s="573" t="s">
        <v>189</v>
      </c>
      <c r="J776" s="572">
        <v>191.51</v>
      </c>
      <c r="K776" s="573"/>
      <c r="L776" s="572">
        <v>957.55</v>
      </c>
      <c r="M776" s="571"/>
      <c r="N776" s="570"/>
      <c r="V776" s="674"/>
      <c r="W776" s="675" t="s">
        <v>3023</v>
      </c>
      <c r="AC776" s="675"/>
      <c r="AD776" s="675"/>
      <c r="AF776" s="675"/>
      <c r="AG776" s="675"/>
      <c r="AH776" s="680"/>
    </row>
    <row r="777" spans="1:34" s="536" customFormat="1" ht="12" x14ac:dyDescent="0.2">
      <c r="A777" s="569"/>
      <c r="B777" s="656"/>
      <c r="C777" s="661" t="s">
        <v>2820</v>
      </c>
      <c r="D777" s="662"/>
      <c r="E777" s="662"/>
      <c r="F777" s="563"/>
      <c r="G777" s="563"/>
      <c r="H777" s="563"/>
      <c r="I777" s="563"/>
      <c r="J777" s="566"/>
      <c r="K777" s="563"/>
      <c r="L777" s="566"/>
      <c r="M777" s="565"/>
      <c r="N777" s="564"/>
      <c r="V777" s="674"/>
      <c r="W777" s="675"/>
      <c r="AC777" s="675"/>
      <c r="AD777" s="675"/>
      <c r="AF777" s="675"/>
      <c r="AG777" s="675"/>
      <c r="AH777" s="680"/>
    </row>
    <row r="778" spans="1:34" s="536" customFormat="1" ht="12" x14ac:dyDescent="0.2">
      <c r="A778" s="676"/>
      <c r="B778" s="655"/>
      <c r="C778" s="1822" t="s">
        <v>3021</v>
      </c>
      <c r="D778" s="1822"/>
      <c r="E778" s="1822"/>
      <c r="F778" s="1822"/>
      <c r="G778" s="1822"/>
      <c r="H778" s="1822"/>
      <c r="I778" s="1822"/>
      <c r="J778" s="1822"/>
      <c r="K778" s="1822"/>
      <c r="L778" s="1822"/>
      <c r="M778" s="1822"/>
      <c r="N778" s="1827"/>
      <c r="V778" s="674"/>
      <c r="W778" s="675"/>
      <c r="X778" s="537" t="s">
        <v>3021</v>
      </c>
      <c r="AC778" s="675"/>
      <c r="AD778" s="675"/>
      <c r="AF778" s="675"/>
      <c r="AG778" s="675"/>
      <c r="AH778" s="680"/>
    </row>
    <row r="779" spans="1:34" s="536" customFormat="1" ht="12" x14ac:dyDescent="0.2">
      <c r="A779" s="1830" t="s">
        <v>3024</v>
      </c>
      <c r="B779" s="1831"/>
      <c r="C779" s="1831"/>
      <c r="D779" s="1831"/>
      <c r="E779" s="1831"/>
      <c r="F779" s="1831"/>
      <c r="G779" s="1831"/>
      <c r="H779" s="1831"/>
      <c r="I779" s="1831"/>
      <c r="J779" s="1831"/>
      <c r="K779" s="1831"/>
      <c r="L779" s="1831"/>
      <c r="M779" s="1831"/>
      <c r="N779" s="1832"/>
      <c r="V779" s="674"/>
      <c r="W779" s="675"/>
      <c r="AC779" s="675"/>
      <c r="AD779" s="675"/>
      <c r="AF779" s="675"/>
      <c r="AG779" s="675" t="s">
        <v>3024</v>
      </c>
      <c r="AH779" s="680"/>
    </row>
    <row r="780" spans="1:34" s="536" customFormat="1" ht="22.5" x14ac:dyDescent="0.2">
      <c r="A780" s="575" t="s">
        <v>2034</v>
      </c>
      <c r="B780" s="657" t="s">
        <v>2989</v>
      </c>
      <c r="C780" s="1823" t="s">
        <v>2990</v>
      </c>
      <c r="D780" s="1823"/>
      <c r="E780" s="1823"/>
      <c r="F780" s="573" t="s">
        <v>617</v>
      </c>
      <c r="G780" s="573"/>
      <c r="H780" s="573"/>
      <c r="I780" s="573" t="s">
        <v>185</v>
      </c>
      <c r="J780" s="572"/>
      <c r="K780" s="573"/>
      <c r="L780" s="572"/>
      <c r="M780" s="571"/>
      <c r="N780" s="570"/>
      <c r="V780" s="674"/>
      <c r="W780" s="675" t="s">
        <v>2990</v>
      </c>
      <c r="AC780" s="675"/>
      <c r="AD780" s="675"/>
      <c r="AF780" s="675"/>
      <c r="AG780" s="675"/>
      <c r="AH780" s="680"/>
    </row>
    <row r="781" spans="1:34" s="536" customFormat="1" ht="12" x14ac:dyDescent="0.2">
      <c r="A781" s="609"/>
      <c r="B781" s="552" t="s">
        <v>2774</v>
      </c>
      <c r="C781" s="1822" t="s">
        <v>2775</v>
      </c>
      <c r="D781" s="1822"/>
      <c r="E781" s="1822"/>
      <c r="F781" s="1822"/>
      <c r="G781" s="1822"/>
      <c r="H781" s="1822"/>
      <c r="I781" s="1822"/>
      <c r="J781" s="1822"/>
      <c r="K781" s="1822"/>
      <c r="L781" s="1822"/>
      <c r="M781" s="1822"/>
      <c r="N781" s="1827"/>
      <c r="V781" s="674"/>
      <c r="W781" s="675"/>
      <c r="Y781" s="537" t="s">
        <v>2775</v>
      </c>
      <c r="AC781" s="675"/>
      <c r="AD781" s="675"/>
      <c r="AF781" s="675"/>
      <c r="AG781" s="675"/>
      <c r="AH781" s="680"/>
    </row>
    <row r="782" spans="1:34" s="536" customFormat="1" ht="22.5" x14ac:dyDescent="0.2">
      <c r="A782" s="609"/>
      <c r="B782" s="552" t="s">
        <v>499</v>
      </c>
      <c r="C782" s="1822" t="s">
        <v>500</v>
      </c>
      <c r="D782" s="1822"/>
      <c r="E782" s="1822"/>
      <c r="F782" s="1822"/>
      <c r="G782" s="1822"/>
      <c r="H782" s="1822"/>
      <c r="I782" s="1822"/>
      <c r="J782" s="1822"/>
      <c r="K782" s="1822"/>
      <c r="L782" s="1822"/>
      <c r="M782" s="1822"/>
      <c r="N782" s="1827"/>
      <c r="V782" s="674"/>
      <c r="W782" s="675"/>
      <c r="Y782" s="537" t="s">
        <v>500</v>
      </c>
      <c r="AC782" s="675"/>
      <c r="AD782" s="675"/>
      <c r="AF782" s="675"/>
      <c r="AG782" s="675"/>
      <c r="AH782" s="680"/>
    </row>
    <row r="783" spans="1:34" s="536" customFormat="1" ht="12" x14ac:dyDescent="0.2">
      <c r="A783" s="605"/>
      <c r="B783" s="552" t="s">
        <v>185</v>
      </c>
      <c r="C783" s="1822" t="s">
        <v>312</v>
      </c>
      <c r="D783" s="1822"/>
      <c r="E783" s="1822"/>
      <c r="F783" s="562"/>
      <c r="G783" s="562"/>
      <c r="H783" s="562"/>
      <c r="I783" s="562"/>
      <c r="J783" s="604">
        <v>13.2</v>
      </c>
      <c r="K783" s="562" t="s">
        <v>2776</v>
      </c>
      <c r="L783" s="604">
        <v>17.329999999999998</v>
      </c>
      <c r="M783" s="603"/>
      <c r="N783" s="602"/>
      <c r="V783" s="674"/>
      <c r="W783" s="675"/>
      <c r="Z783" s="537" t="s">
        <v>312</v>
      </c>
      <c r="AC783" s="675"/>
      <c r="AD783" s="675"/>
      <c r="AF783" s="675"/>
      <c r="AG783" s="675"/>
      <c r="AH783" s="680"/>
    </row>
    <row r="784" spans="1:34" s="536" customFormat="1" ht="12" x14ac:dyDescent="0.2">
      <c r="A784" s="605"/>
      <c r="B784" s="552" t="s">
        <v>188</v>
      </c>
      <c r="C784" s="1822" t="s">
        <v>475</v>
      </c>
      <c r="D784" s="1822"/>
      <c r="E784" s="1822"/>
      <c r="F784" s="562"/>
      <c r="G784" s="562"/>
      <c r="H784" s="562"/>
      <c r="I784" s="562"/>
      <c r="J784" s="604">
        <v>212.77</v>
      </c>
      <c r="K784" s="562"/>
      <c r="L784" s="604">
        <v>212.77</v>
      </c>
      <c r="M784" s="603"/>
      <c r="N784" s="602"/>
      <c r="V784" s="674"/>
      <c r="W784" s="675"/>
      <c r="Z784" s="537" t="s">
        <v>475</v>
      </c>
      <c r="AC784" s="675"/>
      <c r="AD784" s="675"/>
      <c r="AF784" s="675"/>
      <c r="AG784" s="675"/>
      <c r="AH784" s="680"/>
    </row>
    <row r="785" spans="1:34" s="536" customFormat="1" ht="12" x14ac:dyDescent="0.2">
      <c r="A785" s="605"/>
      <c r="B785" s="552"/>
      <c r="C785" s="1822" t="s">
        <v>314</v>
      </c>
      <c r="D785" s="1822"/>
      <c r="E785" s="1822"/>
      <c r="F785" s="562" t="s">
        <v>315</v>
      </c>
      <c r="G785" s="562" t="s">
        <v>2991</v>
      </c>
      <c r="H785" s="562" t="s">
        <v>2776</v>
      </c>
      <c r="I785" s="562" t="s">
        <v>2992</v>
      </c>
      <c r="J785" s="604"/>
      <c r="K785" s="562"/>
      <c r="L785" s="604"/>
      <c r="M785" s="603"/>
      <c r="N785" s="602"/>
      <c r="V785" s="674"/>
      <c r="W785" s="675"/>
      <c r="AA785" s="537" t="s">
        <v>314</v>
      </c>
      <c r="AC785" s="675"/>
      <c r="AD785" s="675"/>
      <c r="AF785" s="675"/>
      <c r="AG785" s="675"/>
      <c r="AH785" s="680"/>
    </row>
    <row r="786" spans="1:34" s="536" customFormat="1" ht="12" x14ac:dyDescent="0.2">
      <c r="A786" s="605"/>
      <c r="B786" s="552"/>
      <c r="C786" s="1828" t="s">
        <v>318</v>
      </c>
      <c r="D786" s="1828"/>
      <c r="E786" s="1828"/>
      <c r="F786" s="608"/>
      <c r="G786" s="608"/>
      <c r="H786" s="608"/>
      <c r="I786" s="608"/>
      <c r="J786" s="607">
        <v>225.97</v>
      </c>
      <c r="K786" s="608"/>
      <c r="L786" s="607">
        <v>230.1</v>
      </c>
      <c r="M786" s="601"/>
      <c r="N786" s="606"/>
      <c r="V786" s="674"/>
      <c r="W786" s="675"/>
      <c r="AB786" s="537" t="s">
        <v>318</v>
      </c>
      <c r="AC786" s="675"/>
      <c r="AD786" s="675"/>
      <c r="AF786" s="675"/>
      <c r="AG786" s="675"/>
      <c r="AH786" s="680"/>
    </row>
    <row r="787" spans="1:34" s="536" customFormat="1" ht="12" x14ac:dyDescent="0.2">
      <c r="A787" s="605"/>
      <c r="B787" s="552"/>
      <c r="C787" s="1822" t="s">
        <v>319</v>
      </c>
      <c r="D787" s="1822"/>
      <c r="E787" s="1822"/>
      <c r="F787" s="562"/>
      <c r="G787" s="562"/>
      <c r="H787" s="562"/>
      <c r="I787" s="562"/>
      <c r="J787" s="604"/>
      <c r="K787" s="562"/>
      <c r="L787" s="604">
        <v>17.329999999999998</v>
      </c>
      <c r="M787" s="603"/>
      <c r="N787" s="602"/>
      <c r="V787" s="674"/>
      <c r="W787" s="675"/>
      <c r="AA787" s="537" t="s">
        <v>319</v>
      </c>
      <c r="AC787" s="675"/>
      <c r="AD787" s="675"/>
      <c r="AF787" s="675"/>
      <c r="AG787" s="675"/>
      <c r="AH787" s="680"/>
    </row>
    <row r="788" spans="1:34" s="536" customFormat="1" ht="45" x14ac:dyDescent="0.2">
      <c r="A788" s="605"/>
      <c r="B788" s="552" t="s">
        <v>892</v>
      </c>
      <c r="C788" s="1822" t="s">
        <v>893</v>
      </c>
      <c r="D788" s="1822"/>
      <c r="E788" s="1822"/>
      <c r="F788" s="562" t="s">
        <v>322</v>
      </c>
      <c r="G788" s="562" t="s">
        <v>894</v>
      </c>
      <c r="H788" s="562"/>
      <c r="I788" s="562" t="s">
        <v>894</v>
      </c>
      <c r="J788" s="604"/>
      <c r="K788" s="562"/>
      <c r="L788" s="604">
        <v>20.97</v>
      </c>
      <c r="M788" s="603"/>
      <c r="N788" s="602"/>
      <c r="V788" s="674"/>
      <c r="W788" s="675"/>
      <c r="AA788" s="537" t="s">
        <v>893</v>
      </c>
      <c r="AC788" s="675"/>
      <c r="AD788" s="675"/>
      <c r="AF788" s="675"/>
      <c r="AG788" s="675"/>
      <c r="AH788" s="680"/>
    </row>
    <row r="789" spans="1:34" s="536" customFormat="1" ht="45" x14ac:dyDescent="0.2">
      <c r="A789" s="605"/>
      <c r="B789" s="552" t="s">
        <v>895</v>
      </c>
      <c r="C789" s="1822" t="s">
        <v>896</v>
      </c>
      <c r="D789" s="1822"/>
      <c r="E789" s="1822"/>
      <c r="F789" s="562" t="s">
        <v>322</v>
      </c>
      <c r="G789" s="562" t="s">
        <v>897</v>
      </c>
      <c r="H789" s="562"/>
      <c r="I789" s="562" t="s">
        <v>897</v>
      </c>
      <c r="J789" s="604"/>
      <c r="K789" s="562"/>
      <c r="L789" s="604">
        <v>12.48</v>
      </c>
      <c r="M789" s="603"/>
      <c r="N789" s="602"/>
      <c r="V789" s="674"/>
      <c r="W789" s="675"/>
      <c r="AA789" s="537" t="s">
        <v>896</v>
      </c>
      <c r="AC789" s="675"/>
      <c r="AD789" s="675"/>
      <c r="AF789" s="675"/>
      <c r="AG789" s="675"/>
      <c r="AH789" s="680"/>
    </row>
    <row r="790" spans="1:34" s="536" customFormat="1" ht="12" x14ac:dyDescent="0.2">
      <c r="A790" s="569"/>
      <c r="B790" s="656"/>
      <c r="C790" s="1823" t="s">
        <v>327</v>
      </c>
      <c r="D790" s="1823"/>
      <c r="E790" s="1823"/>
      <c r="F790" s="573"/>
      <c r="G790" s="573"/>
      <c r="H790" s="573"/>
      <c r="I790" s="573"/>
      <c r="J790" s="572"/>
      <c r="K790" s="573"/>
      <c r="L790" s="572">
        <v>263.55</v>
      </c>
      <c r="M790" s="601"/>
      <c r="N790" s="570"/>
      <c r="V790" s="674"/>
      <c r="W790" s="675"/>
      <c r="AC790" s="675" t="s">
        <v>327</v>
      </c>
      <c r="AD790" s="675"/>
      <c r="AF790" s="675"/>
      <c r="AG790" s="675"/>
      <c r="AH790" s="680"/>
    </row>
    <row r="791" spans="1:34" s="536" customFormat="1" ht="33.75" x14ac:dyDescent="0.2">
      <c r="A791" s="575" t="s">
        <v>8144</v>
      </c>
      <c r="B791" s="657" t="s">
        <v>3025</v>
      </c>
      <c r="C791" s="1823" t="s">
        <v>3026</v>
      </c>
      <c r="D791" s="1823"/>
      <c r="E791" s="1823"/>
      <c r="F791" s="573" t="s">
        <v>628</v>
      </c>
      <c r="G791" s="573"/>
      <c r="H791" s="573"/>
      <c r="I791" s="573" t="s">
        <v>185</v>
      </c>
      <c r="J791" s="572">
        <v>38299.620000000003</v>
      </c>
      <c r="K791" s="573" t="s">
        <v>629</v>
      </c>
      <c r="L791" s="572">
        <v>8444.23</v>
      </c>
      <c r="M791" s="571">
        <v>4.59</v>
      </c>
      <c r="N791" s="570">
        <v>38759</v>
      </c>
      <c r="V791" s="674"/>
      <c r="W791" s="675" t="s">
        <v>3026</v>
      </c>
      <c r="AC791" s="675"/>
      <c r="AD791" s="675"/>
      <c r="AF791" s="675"/>
      <c r="AG791" s="675"/>
      <c r="AH791" s="680"/>
    </row>
    <row r="792" spans="1:34" s="536" customFormat="1" ht="12" x14ac:dyDescent="0.2">
      <c r="A792" s="569"/>
      <c r="B792" s="656"/>
      <c r="C792" s="661" t="s">
        <v>630</v>
      </c>
      <c r="D792" s="662"/>
      <c r="E792" s="662"/>
      <c r="F792" s="563"/>
      <c r="G792" s="563"/>
      <c r="H792" s="563"/>
      <c r="I792" s="563"/>
      <c r="J792" s="566"/>
      <c r="K792" s="563"/>
      <c r="L792" s="566"/>
      <c r="M792" s="565"/>
      <c r="N792" s="564"/>
      <c r="V792" s="674"/>
      <c r="W792" s="675"/>
      <c r="AC792" s="675"/>
      <c r="AD792" s="675"/>
      <c r="AF792" s="675"/>
      <c r="AG792" s="675"/>
      <c r="AH792" s="680"/>
    </row>
    <row r="793" spans="1:34" s="536" customFormat="1" ht="22.5" x14ac:dyDescent="0.2">
      <c r="A793" s="609"/>
      <c r="B793" s="552" t="s">
        <v>631</v>
      </c>
      <c r="C793" s="1822" t="s">
        <v>632</v>
      </c>
      <c r="D793" s="1822"/>
      <c r="E793" s="1822"/>
      <c r="F793" s="1822"/>
      <c r="G793" s="1822"/>
      <c r="H793" s="1822"/>
      <c r="I793" s="1822"/>
      <c r="J793" s="1822"/>
      <c r="K793" s="1822"/>
      <c r="L793" s="1822"/>
      <c r="M793" s="1822"/>
      <c r="N793" s="1827"/>
      <c r="V793" s="674"/>
      <c r="W793" s="675"/>
      <c r="Y793" s="537" t="s">
        <v>632</v>
      </c>
      <c r="AC793" s="675"/>
      <c r="AD793" s="675"/>
      <c r="AF793" s="675"/>
      <c r="AG793" s="675"/>
      <c r="AH793" s="680"/>
    </row>
    <row r="794" spans="1:34" s="536" customFormat="1" ht="33.75" x14ac:dyDescent="0.2">
      <c r="A794" s="575" t="s">
        <v>1252</v>
      </c>
      <c r="B794" s="657" t="s">
        <v>3028</v>
      </c>
      <c r="C794" s="1823" t="s">
        <v>3029</v>
      </c>
      <c r="D794" s="1823"/>
      <c r="E794" s="1823"/>
      <c r="F794" s="573" t="s">
        <v>617</v>
      </c>
      <c r="G794" s="573"/>
      <c r="H794" s="573"/>
      <c r="I794" s="573" t="s">
        <v>185</v>
      </c>
      <c r="J794" s="572"/>
      <c r="K794" s="573"/>
      <c r="L794" s="572"/>
      <c r="M794" s="571"/>
      <c r="N794" s="570"/>
      <c r="V794" s="674"/>
      <c r="W794" s="675" t="s">
        <v>3029</v>
      </c>
      <c r="AC794" s="675"/>
      <c r="AD794" s="675"/>
      <c r="AF794" s="675"/>
      <c r="AG794" s="675"/>
      <c r="AH794" s="680"/>
    </row>
    <row r="795" spans="1:34" s="536" customFormat="1" ht="12" x14ac:dyDescent="0.2">
      <c r="A795" s="609"/>
      <c r="B795" s="552" t="s">
        <v>2774</v>
      </c>
      <c r="C795" s="1822" t="s">
        <v>2775</v>
      </c>
      <c r="D795" s="1822"/>
      <c r="E795" s="1822"/>
      <c r="F795" s="1822"/>
      <c r="G795" s="1822"/>
      <c r="H795" s="1822"/>
      <c r="I795" s="1822"/>
      <c r="J795" s="1822"/>
      <c r="K795" s="1822"/>
      <c r="L795" s="1822"/>
      <c r="M795" s="1822"/>
      <c r="N795" s="1827"/>
      <c r="V795" s="674"/>
      <c r="W795" s="675"/>
      <c r="Y795" s="537" t="s">
        <v>2775</v>
      </c>
      <c r="AC795" s="675"/>
      <c r="AD795" s="675"/>
      <c r="AF795" s="675"/>
      <c r="AG795" s="675"/>
      <c r="AH795" s="680"/>
    </row>
    <row r="796" spans="1:34" s="536" customFormat="1" ht="22.5" x14ac:dyDescent="0.2">
      <c r="A796" s="609"/>
      <c r="B796" s="552" t="s">
        <v>499</v>
      </c>
      <c r="C796" s="1822" t="s">
        <v>500</v>
      </c>
      <c r="D796" s="1822"/>
      <c r="E796" s="1822"/>
      <c r="F796" s="1822"/>
      <c r="G796" s="1822"/>
      <c r="H796" s="1822"/>
      <c r="I796" s="1822"/>
      <c r="J796" s="1822"/>
      <c r="K796" s="1822"/>
      <c r="L796" s="1822"/>
      <c r="M796" s="1822"/>
      <c r="N796" s="1827"/>
      <c r="V796" s="674"/>
      <c r="W796" s="675"/>
      <c r="Y796" s="537" t="s">
        <v>500</v>
      </c>
      <c r="AC796" s="675"/>
      <c r="AD796" s="675"/>
      <c r="AF796" s="675"/>
      <c r="AG796" s="675"/>
      <c r="AH796" s="680"/>
    </row>
    <row r="797" spans="1:34" s="536" customFormat="1" ht="12" x14ac:dyDescent="0.2">
      <c r="A797" s="605"/>
      <c r="B797" s="552" t="s">
        <v>185</v>
      </c>
      <c r="C797" s="1822" t="s">
        <v>312</v>
      </c>
      <c r="D797" s="1822"/>
      <c r="E797" s="1822"/>
      <c r="F797" s="562"/>
      <c r="G797" s="562"/>
      <c r="H797" s="562"/>
      <c r="I797" s="562"/>
      <c r="J797" s="604">
        <v>33.49</v>
      </c>
      <c r="K797" s="562" t="s">
        <v>2776</v>
      </c>
      <c r="L797" s="604">
        <v>43.96</v>
      </c>
      <c r="M797" s="603"/>
      <c r="N797" s="602"/>
      <c r="V797" s="674"/>
      <c r="W797" s="675"/>
      <c r="Z797" s="537" t="s">
        <v>312</v>
      </c>
      <c r="AC797" s="675"/>
      <c r="AD797" s="675"/>
      <c r="AF797" s="675"/>
      <c r="AG797" s="675"/>
      <c r="AH797" s="680"/>
    </row>
    <row r="798" spans="1:34" s="536" customFormat="1" ht="12" x14ac:dyDescent="0.2">
      <c r="A798" s="605"/>
      <c r="B798" s="552" t="s">
        <v>188</v>
      </c>
      <c r="C798" s="1822" t="s">
        <v>475</v>
      </c>
      <c r="D798" s="1822"/>
      <c r="E798" s="1822"/>
      <c r="F798" s="562"/>
      <c r="G798" s="562"/>
      <c r="H798" s="562"/>
      <c r="I798" s="562"/>
      <c r="J798" s="604">
        <v>3.04</v>
      </c>
      <c r="K798" s="562"/>
      <c r="L798" s="604">
        <v>3.04</v>
      </c>
      <c r="M798" s="603"/>
      <c r="N798" s="602"/>
      <c r="V798" s="674"/>
      <c r="W798" s="675"/>
      <c r="Z798" s="537" t="s">
        <v>475</v>
      </c>
      <c r="AC798" s="675"/>
      <c r="AD798" s="675"/>
      <c r="AF798" s="675"/>
      <c r="AG798" s="675"/>
      <c r="AH798" s="680"/>
    </row>
    <row r="799" spans="1:34" s="536" customFormat="1" ht="22.5" x14ac:dyDescent="0.2">
      <c r="A799" s="676"/>
      <c r="B799" s="677" t="s">
        <v>2997</v>
      </c>
      <c r="C799" s="1829" t="s">
        <v>2998</v>
      </c>
      <c r="D799" s="1829"/>
      <c r="E799" s="1829"/>
      <c r="F799" s="678" t="s">
        <v>699</v>
      </c>
      <c r="G799" s="678" t="s">
        <v>525</v>
      </c>
      <c r="H799" s="678"/>
      <c r="I799" s="678" t="s">
        <v>525</v>
      </c>
      <c r="J799" s="552"/>
      <c r="K799" s="562"/>
      <c r="L799" s="604"/>
      <c r="M799" s="562"/>
      <c r="N799" s="679"/>
      <c r="V799" s="674"/>
      <c r="W799" s="675"/>
      <c r="AC799" s="675"/>
      <c r="AD799" s="675"/>
      <c r="AF799" s="675"/>
      <c r="AG799" s="675"/>
      <c r="AH799" s="680" t="s">
        <v>2998</v>
      </c>
    </row>
    <row r="800" spans="1:34" s="536" customFormat="1" ht="22.5" x14ac:dyDescent="0.2">
      <c r="A800" s="676"/>
      <c r="B800" s="677" t="s">
        <v>2586</v>
      </c>
      <c r="C800" s="1829" t="s">
        <v>2587</v>
      </c>
      <c r="D800" s="1829"/>
      <c r="E800" s="1829"/>
      <c r="F800" s="678" t="s">
        <v>483</v>
      </c>
      <c r="G800" s="678" t="s">
        <v>525</v>
      </c>
      <c r="H800" s="678"/>
      <c r="I800" s="678" t="s">
        <v>525</v>
      </c>
      <c r="J800" s="552"/>
      <c r="K800" s="562"/>
      <c r="L800" s="604"/>
      <c r="M800" s="562"/>
      <c r="N800" s="679"/>
      <c r="V800" s="674"/>
      <c r="W800" s="675"/>
      <c r="AC800" s="675"/>
      <c r="AD800" s="675"/>
      <c r="AF800" s="675"/>
      <c r="AG800" s="675"/>
      <c r="AH800" s="680" t="s">
        <v>2587</v>
      </c>
    </row>
    <row r="801" spans="1:34" s="536" customFormat="1" ht="12" x14ac:dyDescent="0.2">
      <c r="A801" s="676"/>
      <c r="B801" s="677" t="s">
        <v>2999</v>
      </c>
      <c r="C801" s="1829" t="s">
        <v>3000</v>
      </c>
      <c r="D801" s="1829"/>
      <c r="E801" s="1829"/>
      <c r="F801" s="678" t="s">
        <v>2591</v>
      </c>
      <c r="G801" s="678" t="s">
        <v>525</v>
      </c>
      <c r="H801" s="678"/>
      <c r="I801" s="678" t="s">
        <v>525</v>
      </c>
      <c r="J801" s="552"/>
      <c r="K801" s="562"/>
      <c r="L801" s="604"/>
      <c r="M801" s="562"/>
      <c r="N801" s="679"/>
      <c r="V801" s="674"/>
      <c r="W801" s="675"/>
      <c r="AC801" s="675"/>
      <c r="AD801" s="675"/>
      <c r="AF801" s="675"/>
      <c r="AG801" s="675"/>
      <c r="AH801" s="680" t="s">
        <v>3000</v>
      </c>
    </row>
    <row r="802" spans="1:34" s="536" customFormat="1" ht="33.75" x14ac:dyDescent="0.2">
      <c r="A802" s="676"/>
      <c r="B802" s="677" t="s">
        <v>3001</v>
      </c>
      <c r="C802" s="1829" t="s">
        <v>3002</v>
      </c>
      <c r="D802" s="1829"/>
      <c r="E802" s="1829"/>
      <c r="F802" s="678" t="s">
        <v>2278</v>
      </c>
      <c r="G802" s="678" t="s">
        <v>525</v>
      </c>
      <c r="H802" s="678"/>
      <c r="I802" s="678" t="s">
        <v>525</v>
      </c>
      <c r="J802" s="552"/>
      <c r="K802" s="562"/>
      <c r="L802" s="604"/>
      <c r="M802" s="562"/>
      <c r="N802" s="679"/>
      <c r="V802" s="674"/>
      <c r="W802" s="675"/>
      <c r="AC802" s="675"/>
      <c r="AD802" s="675"/>
      <c r="AF802" s="675"/>
      <c r="AG802" s="675"/>
      <c r="AH802" s="680" t="s">
        <v>3002</v>
      </c>
    </row>
    <row r="803" spans="1:34" s="536" customFormat="1" ht="12" x14ac:dyDescent="0.2">
      <c r="A803" s="676"/>
      <c r="B803" s="677" t="s">
        <v>3003</v>
      </c>
      <c r="C803" s="1829" t="s">
        <v>3004</v>
      </c>
      <c r="D803" s="1829"/>
      <c r="E803" s="1829"/>
      <c r="F803" s="678" t="s">
        <v>1687</v>
      </c>
      <c r="G803" s="678" t="s">
        <v>525</v>
      </c>
      <c r="H803" s="678"/>
      <c r="I803" s="678" t="s">
        <v>525</v>
      </c>
      <c r="J803" s="552"/>
      <c r="K803" s="562"/>
      <c r="L803" s="604"/>
      <c r="M803" s="562"/>
      <c r="N803" s="679"/>
      <c r="V803" s="674"/>
      <c r="W803" s="675"/>
      <c r="AC803" s="675"/>
      <c r="AD803" s="675"/>
      <c r="AF803" s="675"/>
      <c r="AG803" s="675"/>
      <c r="AH803" s="680" t="s">
        <v>3004</v>
      </c>
    </row>
    <row r="804" spans="1:34" s="536" customFormat="1" ht="22.5" x14ac:dyDescent="0.2">
      <c r="A804" s="676"/>
      <c r="B804" s="677" t="s">
        <v>3005</v>
      </c>
      <c r="C804" s="1829" t="s">
        <v>3006</v>
      </c>
      <c r="D804" s="1829"/>
      <c r="E804" s="1829"/>
      <c r="F804" s="678" t="s">
        <v>483</v>
      </c>
      <c r="G804" s="678" t="s">
        <v>525</v>
      </c>
      <c r="H804" s="678"/>
      <c r="I804" s="678" t="s">
        <v>525</v>
      </c>
      <c r="J804" s="552"/>
      <c r="K804" s="562"/>
      <c r="L804" s="604"/>
      <c r="M804" s="562"/>
      <c r="N804" s="679"/>
      <c r="V804" s="674"/>
      <c r="W804" s="675"/>
      <c r="AC804" s="675"/>
      <c r="AD804" s="675"/>
      <c r="AF804" s="675"/>
      <c r="AG804" s="675"/>
      <c r="AH804" s="680" t="s">
        <v>3006</v>
      </c>
    </row>
    <row r="805" spans="1:34" s="536" customFormat="1" ht="12" x14ac:dyDescent="0.2">
      <c r="A805" s="605"/>
      <c r="B805" s="552"/>
      <c r="C805" s="1822" t="s">
        <v>314</v>
      </c>
      <c r="D805" s="1822"/>
      <c r="E805" s="1822"/>
      <c r="F805" s="562" t="s">
        <v>315</v>
      </c>
      <c r="G805" s="562" t="s">
        <v>3030</v>
      </c>
      <c r="H805" s="562" t="s">
        <v>2776</v>
      </c>
      <c r="I805" s="562" t="s">
        <v>3031</v>
      </c>
      <c r="J805" s="604"/>
      <c r="K805" s="562"/>
      <c r="L805" s="604"/>
      <c r="M805" s="603"/>
      <c r="N805" s="602"/>
      <c r="V805" s="674"/>
      <c r="W805" s="675"/>
      <c r="AA805" s="537" t="s">
        <v>314</v>
      </c>
      <c r="AC805" s="675"/>
      <c r="AD805" s="675"/>
      <c r="AF805" s="675"/>
      <c r="AG805" s="675"/>
      <c r="AH805" s="680"/>
    </row>
    <row r="806" spans="1:34" s="536" customFormat="1" ht="12" x14ac:dyDescent="0.2">
      <c r="A806" s="605"/>
      <c r="B806" s="552"/>
      <c r="C806" s="1828" t="s">
        <v>318</v>
      </c>
      <c r="D806" s="1828"/>
      <c r="E806" s="1828"/>
      <c r="F806" s="608"/>
      <c r="G806" s="608"/>
      <c r="H806" s="608"/>
      <c r="I806" s="608"/>
      <c r="J806" s="607">
        <v>36.53</v>
      </c>
      <c r="K806" s="608"/>
      <c r="L806" s="607">
        <v>47</v>
      </c>
      <c r="M806" s="601"/>
      <c r="N806" s="606"/>
      <c r="V806" s="674"/>
      <c r="W806" s="675"/>
      <c r="AB806" s="537" t="s">
        <v>318</v>
      </c>
      <c r="AC806" s="675"/>
      <c r="AD806" s="675"/>
      <c r="AF806" s="675"/>
      <c r="AG806" s="675"/>
      <c r="AH806" s="680"/>
    </row>
    <row r="807" spans="1:34" s="536" customFormat="1" ht="12" x14ac:dyDescent="0.2">
      <c r="A807" s="605"/>
      <c r="B807" s="552"/>
      <c r="C807" s="1822" t="s">
        <v>319</v>
      </c>
      <c r="D807" s="1822"/>
      <c r="E807" s="1822"/>
      <c r="F807" s="562"/>
      <c r="G807" s="562"/>
      <c r="H807" s="562"/>
      <c r="I807" s="562"/>
      <c r="J807" s="604"/>
      <c r="K807" s="562"/>
      <c r="L807" s="604">
        <v>43.96</v>
      </c>
      <c r="M807" s="603"/>
      <c r="N807" s="602"/>
      <c r="V807" s="674"/>
      <c r="W807" s="675"/>
      <c r="AA807" s="537" t="s">
        <v>319</v>
      </c>
      <c r="AC807" s="675"/>
      <c r="AD807" s="675"/>
      <c r="AF807" s="675"/>
      <c r="AG807" s="675"/>
      <c r="AH807" s="680"/>
    </row>
    <row r="808" spans="1:34" s="536" customFormat="1" ht="45" x14ac:dyDescent="0.2">
      <c r="A808" s="605"/>
      <c r="B808" s="552" t="s">
        <v>892</v>
      </c>
      <c r="C808" s="1822" t="s">
        <v>893</v>
      </c>
      <c r="D808" s="1822"/>
      <c r="E808" s="1822"/>
      <c r="F808" s="562" t="s">
        <v>322</v>
      </c>
      <c r="G808" s="562" t="s">
        <v>894</v>
      </c>
      <c r="H808" s="562"/>
      <c r="I808" s="562" t="s">
        <v>894</v>
      </c>
      <c r="J808" s="604"/>
      <c r="K808" s="562"/>
      <c r="L808" s="604">
        <v>53.19</v>
      </c>
      <c r="M808" s="603"/>
      <c r="N808" s="602"/>
      <c r="V808" s="674"/>
      <c r="W808" s="675"/>
      <c r="AA808" s="537" t="s">
        <v>893</v>
      </c>
      <c r="AC808" s="675"/>
      <c r="AD808" s="675"/>
      <c r="AF808" s="675"/>
      <c r="AG808" s="675"/>
      <c r="AH808" s="680"/>
    </row>
    <row r="809" spans="1:34" s="536" customFormat="1" ht="45" x14ac:dyDescent="0.2">
      <c r="A809" s="605"/>
      <c r="B809" s="552" t="s">
        <v>895</v>
      </c>
      <c r="C809" s="1822" t="s">
        <v>896</v>
      </c>
      <c r="D809" s="1822"/>
      <c r="E809" s="1822"/>
      <c r="F809" s="562" t="s">
        <v>322</v>
      </c>
      <c r="G809" s="562" t="s">
        <v>897</v>
      </c>
      <c r="H809" s="562"/>
      <c r="I809" s="562" t="s">
        <v>897</v>
      </c>
      <c r="J809" s="604"/>
      <c r="K809" s="562"/>
      <c r="L809" s="604">
        <v>31.65</v>
      </c>
      <c r="M809" s="603"/>
      <c r="N809" s="602"/>
      <c r="V809" s="674"/>
      <c r="W809" s="675"/>
      <c r="AA809" s="537" t="s">
        <v>896</v>
      </c>
      <c r="AC809" s="675"/>
      <c r="AD809" s="675"/>
      <c r="AF809" s="675"/>
      <c r="AG809" s="675"/>
      <c r="AH809" s="680"/>
    </row>
    <row r="810" spans="1:34" s="536" customFormat="1" ht="12" x14ac:dyDescent="0.2">
      <c r="A810" s="569"/>
      <c r="B810" s="656"/>
      <c r="C810" s="1823" t="s">
        <v>327</v>
      </c>
      <c r="D810" s="1823"/>
      <c r="E810" s="1823"/>
      <c r="F810" s="573"/>
      <c r="G810" s="573"/>
      <c r="H810" s="573"/>
      <c r="I810" s="573"/>
      <c r="J810" s="572"/>
      <c r="K810" s="573"/>
      <c r="L810" s="572">
        <v>131.84</v>
      </c>
      <c r="M810" s="601"/>
      <c r="N810" s="570"/>
      <c r="V810" s="674"/>
      <c r="W810" s="675"/>
      <c r="AC810" s="675" t="s">
        <v>327</v>
      </c>
      <c r="AD810" s="675"/>
      <c r="AF810" s="675"/>
      <c r="AG810" s="675"/>
      <c r="AH810" s="680"/>
    </row>
    <row r="811" spans="1:34" s="536" customFormat="1" ht="33.75" x14ac:dyDescent="0.2">
      <c r="A811" s="575" t="s">
        <v>8145</v>
      </c>
      <c r="B811" s="657" t="s">
        <v>3032</v>
      </c>
      <c r="C811" s="1823" t="s">
        <v>3033</v>
      </c>
      <c r="D811" s="1823"/>
      <c r="E811" s="1823"/>
      <c r="F811" s="573" t="s">
        <v>628</v>
      </c>
      <c r="G811" s="573"/>
      <c r="H811" s="573"/>
      <c r="I811" s="573" t="s">
        <v>185</v>
      </c>
      <c r="J811" s="572">
        <v>40924.620000000003</v>
      </c>
      <c r="K811" s="573" t="s">
        <v>629</v>
      </c>
      <c r="L811" s="572">
        <v>9023.09</v>
      </c>
      <c r="M811" s="571">
        <v>4.59</v>
      </c>
      <c r="N811" s="570">
        <v>41416</v>
      </c>
      <c r="V811" s="674"/>
      <c r="W811" s="675" t="s">
        <v>3033</v>
      </c>
      <c r="AC811" s="675"/>
      <c r="AD811" s="675"/>
      <c r="AF811" s="675"/>
      <c r="AG811" s="675"/>
      <c r="AH811" s="680"/>
    </row>
    <row r="812" spans="1:34" s="536" customFormat="1" ht="12" x14ac:dyDescent="0.2">
      <c r="A812" s="569"/>
      <c r="B812" s="656"/>
      <c r="C812" s="661" t="s">
        <v>630</v>
      </c>
      <c r="D812" s="662"/>
      <c r="E812" s="662"/>
      <c r="F812" s="563"/>
      <c r="G812" s="563"/>
      <c r="H812" s="563"/>
      <c r="I812" s="563"/>
      <c r="J812" s="566"/>
      <c r="K812" s="563"/>
      <c r="L812" s="566"/>
      <c r="M812" s="565"/>
      <c r="N812" s="564"/>
      <c r="V812" s="674"/>
      <c r="W812" s="675"/>
      <c r="AC812" s="675"/>
      <c r="AD812" s="675"/>
      <c r="AF812" s="675"/>
      <c r="AG812" s="675"/>
      <c r="AH812" s="680"/>
    </row>
    <row r="813" spans="1:34" s="536" customFormat="1" ht="22.5" x14ac:dyDescent="0.2">
      <c r="A813" s="609"/>
      <c r="B813" s="552" t="s">
        <v>631</v>
      </c>
      <c r="C813" s="1822" t="s">
        <v>632</v>
      </c>
      <c r="D813" s="1822"/>
      <c r="E813" s="1822"/>
      <c r="F813" s="1822"/>
      <c r="G813" s="1822"/>
      <c r="H813" s="1822"/>
      <c r="I813" s="1822"/>
      <c r="J813" s="1822"/>
      <c r="K813" s="1822"/>
      <c r="L813" s="1822"/>
      <c r="M813" s="1822"/>
      <c r="N813" s="1827"/>
      <c r="V813" s="674"/>
      <c r="W813" s="675"/>
      <c r="Y813" s="537" t="s">
        <v>632</v>
      </c>
      <c r="AC813" s="675"/>
      <c r="AD813" s="675"/>
      <c r="AF813" s="675"/>
      <c r="AG813" s="675"/>
      <c r="AH813" s="680"/>
    </row>
    <row r="814" spans="1:34" s="536" customFormat="1" ht="33.75" x14ac:dyDescent="0.2">
      <c r="A814" s="575" t="s">
        <v>3035</v>
      </c>
      <c r="B814" s="657" t="s">
        <v>3014</v>
      </c>
      <c r="C814" s="1823" t="s">
        <v>3015</v>
      </c>
      <c r="D814" s="1823"/>
      <c r="E814" s="1823"/>
      <c r="F814" s="573" t="s">
        <v>483</v>
      </c>
      <c r="G814" s="573"/>
      <c r="H814" s="573"/>
      <c r="I814" s="573" t="s">
        <v>194</v>
      </c>
      <c r="J814" s="572">
        <v>28.69</v>
      </c>
      <c r="K814" s="573"/>
      <c r="L814" s="572">
        <v>286.89999999999998</v>
      </c>
      <c r="M814" s="571"/>
      <c r="N814" s="570"/>
      <c r="V814" s="674"/>
      <c r="W814" s="675" t="s">
        <v>3015</v>
      </c>
      <c r="AC814" s="675"/>
      <c r="AD814" s="675"/>
      <c r="AF814" s="675"/>
      <c r="AG814" s="675"/>
      <c r="AH814" s="680"/>
    </row>
    <row r="815" spans="1:34" s="536" customFormat="1" ht="12" x14ac:dyDescent="0.2">
      <c r="A815" s="569"/>
      <c r="B815" s="656"/>
      <c r="C815" s="661" t="s">
        <v>2820</v>
      </c>
      <c r="D815" s="662"/>
      <c r="E815" s="662"/>
      <c r="F815" s="563"/>
      <c r="G815" s="563"/>
      <c r="H815" s="563"/>
      <c r="I815" s="563"/>
      <c r="J815" s="566"/>
      <c r="K815" s="563"/>
      <c r="L815" s="566"/>
      <c r="M815" s="565"/>
      <c r="N815" s="564"/>
      <c r="V815" s="674"/>
      <c r="W815" s="675"/>
      <c r="AC815" s="675"/>
      <c r="AD815" s="675"/>
      <c r="AF815" s="675"/>
      <c r="AG815" s="675"/>
      <c r="AH815" s="680"/>
    </row>
    <row r="816" spans="1:34" s="536" customFormat="1" ht="33.75" x14ac:dyDescent="0.2">
      <c r="A816" s="575" t="s">
        <v>3036</v>
      </c>
      <c r="B816" s="657" t="s">
        <v>3016</v>
      </c>
      <c r="C816" s="1823" t="s">
        <v>3017</v>
      </c>
      <c r="D816" s="1823"/>
      <c r="E816" s="1823"/>
      <c r="F816" s="573" t="s">
        <v>483</v>
      </c>
      <c r="G816" s="573"/>
      <c r="H816" s="573"/>
      <c r="I816" s="573" t="s">
        <v>194</v>
      </c>
      <c r="J816" s="572">
        <v>47.54</v>
      </c>
      <c r="K816" s="573"/>
      <c r="L816" s="572">
        <v>475.4</v>
      </c>
      <c r="M816" s="571"/>
      <c r="N816" s="570"/>
      <c r="V816" s="674"/>
      <c r="W816" s="675" t="s">
        <v>3017</v>
      </c>
      <c r="AC816" s="675"/>
      <c r="AD816" s="675"/>
      <c r="AF816" s="675"/>
      <c r="AG816" s="675"/>
      <c r="AH816" s="680"/>
    </row>
    <row r="817" spans="1:34" s="536" customFormat="1" ht="12" x14ac:dyDescent="0.2">
      <c r="A817" s="569"/>
      <c r="B817" s="656"/>
      <c r="C817" s="661" t="s">
        <v>2820</v>
      </c>
      <c r="D817" s="662"/>
      <c r="E817" s="662"/>
      <c r="F817" s="563"/>
      <c r="G817" s="563"/>
      <c r="H817" s="563"/>
      <c r="I817" s="563"/>
      <c r="J817" s="566"/>
      <c r="K817" s="563"/>
      <c r="L817" s="566"/>
      <c r="M817" s="565"/>
      <c r="N817" s="564"/>
      <c r="V817" s="674"/>
      <c r="W817" s="675"/>
      <c r="AC817" s="675"/>
      <c r="AD817" s="675"/>
      <c r="AF817" s="675"/>
      <c r="AG817" s="675"/>
      <c r="AH817" s="680"/>
    </row>
    <row r="818" spans="1:34" s="536" customFormat="1" ht="33.75" x14ac:dyDescent="0.2">
      <c r="A818" s="575" t="s">
        <v>3039</v>
      </c>
      <c r="B818" s="657" t="s">
        <v>3037</v>
      </c>
      <c r="C818" s="1823" t="s">
        <v>3038</v>
      </c>
      <c r="D818" s="1823"/>
      <c r="E818" s="1823"/>
      <c r="F818" s="573" t="s">
        <v>2278</v>
      </c>
      <c r="G818" s="573"/>
      <c r="H818" s="573"/>
      <c r="I818" s="573" t="s">
        <v>185</v>
      </c>
      <c r="J818" s="572">
        <v>180.9</v>
      </c>
      <c r="K818" s="573"/>
      <c r="L818" s="572">
        <v>180.9</v>
      </c>
      <c r="M818" s="571"/>
      <c r="N818" s="570"/>
      <c r="V818" s="674"/>
      <c r="W818" s="675" t="s">
        <v>3038</v>
      </c>
      <c r="AC818" s="675"/>
      <c r="AD818" s="675"/>
      <c r="AF818" s="675"/>
      <c r="AG818" s="675"/>
      <c r="AH818" s="680"/>
    </row>
    <row r="819" spans="1:34" s="536" customFormat="1" ht="12" x14ac:dyDescent="0.2">
      <c r="A819" s="569"/>
      <c r="B819" s="656"/>
      <c r="C819" s="661" t="s">
        <v>2820</v>
      </c>
      <c r="D819" s="662"/>
      <c r="E819" s="662"/>
      <c r="F819" s="563"/>
      <c r="G819" s="563"/>
      <c r="H819" s="563"/>
      <c r="I819" s="563"/>
      <c r="J819" s="566"/>
      <c r="K819" s="563"/>
      <c r="L819" s="566"/>
      <c r="M819" s="565"/>
      <c r="N819" s="564"/>
      <c r="V819" s="674"/>
      <c r="W819" s="675"/>
      <c r="AC819" s="675"/>
      <c r="AD819" s="675"/>
      <c r="AF819" s="675"/>
      <c r="AG819" s="675"/>
      <c r="AH819" s="680"/>
    </row>
    <row r="820" spans="1:34" s="536" customFormat="1" ht="12" x14ac:dyDescent="0.2">
      <c r="A820" s="676"/>
      <c r="B820" s="655"/>
      <c r="C820" s="1822" t="s">
        <v>2601</v>
      </c>
      <c r="D820" s="1822"/>
      <c r="E820" s="1822"/>
      <c r="F820" s="1822"/>
      <c r="G820" s="1822"/>
      <c r="H820" s="1822"/>
      <c r="I820" s="1822"/>
      <c r="J820" s="1822"/>
      <c r="K820" s="1822"/>
      <c r="L820" s="1822"/>
      <c r="M820" s="1822"/>
      <c r="N820" s="1827"/>
      <c r="V820" s="674"/>
      <c r="W820" s="675"/>
      <c r="X820" s="537" t="s">
        <v>2601</v>
      </c>
      <c r="AC820" s="675"/>
      <c r="AD820" s="675"/>
      <c r="AF820" s="675"/>
      <c r="AG820" s="675"/>
      <c r="AH820" s="680"/>
    </row>
    <row r="821" spans="1:34" s="536" customFormat="1" ht="33.75" x14ac:dyDescent="0.2">
      <c r="A821" s="575" t="s">
        <v>535</v>
      </c>
      <c r="B821" s="657" t="s">
        <v>3040</v>
      </c>
      <c r="C821" s="1823" t="s">
        <v>3041</v>
      </c>
      <c r="D821" s="1823"/>
      <c r="E821" s="1823"/>
      <c r="F821" s="573" t="s">
        <v>2278</v>
      </c>
      <c r="G821" s="573"/>
      <c r="H821" s="573"/>
      <c r="I821" s="573" t="s">
        <v>185</v>
      </c>
      <c r="J821" s="572">
        <v>198.9</v>
      </c>
      <c r="K821" s="573"/>
      <c r="L821" s="572">
        <v>198.9</v>
      </c>
      <c r="M821" s="571"/>
      <c r="N821" s="570"/>
      <c r="V821" s="674"/>
      <c r="W821" s="675" t="s">
        <v>3041</v>
      </c>
      <c r="AC821" s="675"/>
      <c r="AD821" s="675"/>
      <c r="AF821" s="675"/>
      <c r="AG821" s="675"/>
      <c r="AH821" s="680"/>
    </row>
    <row r="822" spans="1:34" s="536" customFormat="1" ht="12" x14ac:dyDescent="0.2">
      <c r="A822" s="569"/>
      <c r="B822" s="656"/>
      <c r="C822" s="661" t="s">
        <v>2820</v>
      </c>
      <c r="D822" s="662"/>
      <c r="E822" s="662"/>
      <c r="F822" s="563"/>
      <c r="G822" s="563"/>
      <c r="H822" s="563"/>
      <c r="I822" s="563"/>
      <c r="J822" s="566"/>
      <c r="K822" s="563"/>
      <c r="L822" s="566"/>
      <c r="M822" s="565"/>
      <c r="N822" s="564"/>
      <c r="V822" s="674"/>
      <c r="W822" s="675"/>
      <c r="AC822" s="675"/>
      <c r="AD822" s="675"/>
      <c r="AF822" s="675"/>
      <c r="AG822" s="675"/>
      <c r="AH822" s="680"/>
    </row>
    <row r="823" spans="1:34" s="536" customFormat="1" ht="12" x14ac:dyDescent="0.2">
      <c r="A823" s="676"/>
      <c r="B823" s="655"/>
      <c r="C823" s="1822" t="s">
        <v>2601</v>
      </c>
      <c r="D823" s="1822"/>
      <c r="E823" s="1822"/>
      <c r="F823" s="1822"/>
      <c r="G823" s="1822"/>
      <c r="H823" s="1822"/>
      <c r="I823" s="1822"/>
      <c r="J823" s="1822"/>
      <c r="K823" s="1822"/>
      <c r="L823" s="1822"/>
      <c r="M823" s="1822"/>
      <c r="N823" s="1827"/>
      <c r="V823" s="674"/>
      <c r="W823" s="675"/>
      <c r="X823" s="537" t="s">
        <v>2601</v>
      </c>
      <c r="AC823" s="675"/>
      <c r="AD823" s="675"/>
      <c r="AF823" s="675"/>
      <c r="AG823" s="675"/>
      <c r="AH823" s="680"/>
    </row>
    <row r="824" spans="1:34" s="536" customFormat="1" ht="12" x14ac:dyDescent="0.2">
      <c r="A824" s="1830" t="s">
        <v>3042</v>
      </c>
      <c r="B824" s="1831"/>
      <c r="C824" s="1831"/>
      <c r="D824" s="1831"/>
      <c r="E824" s="1831"/>
      <c r="F824" s="1831"/>
      <c r="G824" s="1831"/>
      <c r="H824" s="1831"/>
      <c r="I824" s="1831"/>
      <c r="J824" s="1831"/>
      <c r="K824" s="1831"/>
      <c r="L824" s="1831"/>
      <c r="M824" s="1831"/>
      <c r="N824" s="1832"/>
      <c r="V824" s="674"/>
      <c r="W824" s="675"/>
      <c r="AC824" s="675"/>
      <c r="AD824" s="675"/>
      <c r="AF824" s="675"/>
      <c r="AG824" s="675" t="s">
        <v>3042</v>
      </c>
      <c r="AH824" s="680"/>
    </row>
    <row r="825" spans="1:34" s="536" customFormat="1" ht="33.75" x14ac:dyDescent="0.2">
      <c r="A825" s="575" t="s">
        <v>3045</v>
      </c>
      <c r="B825" s="657" t="s">
        <v>3043</v>
      </c>
      <c r="C825" s="1823" t="s">
        <v>3044</v>
      </c>
      <c r="D825" s="1823"/>
      <c r="E825" s="1823"/>
      <c r="F825" s="573" t="s">
        <v>483</v>
      </c>
      <c r="G825" s="573"/>
      <c r="H825" s="573"/>
      <c r="I825" s="573" t="s">
        <v>763</v>
      </c>
      <c r="J825" s="572">
        <v>62.83</v>
      </c>
      <c r="K825" s="573" t="s">
        <v>716</v>
      </c>
      <c r="L825" s="572">
        <v>231.13</v>
      </c>
      <c r="M825" s="571">
        <v>8.32</v>
      </c>
      <c r="N825" s="570">
        <v>1923</v>
      </c>
      <c r="V825" s="674"/>
      <c r="W825" s="675" t="s">
        <v>3044</v>
      </c>
      <c r="AC825" s="675"/>
      <c r="AD825" s="675"/>
      <c r="AF825" s="675"/>
      <c r="AG825" s="675"/>
      <c r="AH825" s="680"/>
    </row>
    <row r="826" spans="1:34" s="536" customFormat="1" ht="12" x14ac:dyDescent="0.2">
      <c r="A826" s="569"/>
      <c r="B826" s="656"/>
      <c r="C826" s="661" t="s">
        <v>717</v>
      </c>
      <c r="D826" s="662"/>
      <c r="E826" s="662"/>
      <c r="F826" s="563"/>
      <c r="G826" s="563"/>
      <c r="H826" s="563"/>
      <c r="I826" s="563"/>
      <c r="J826" s="566"/>
      <c r="K826" s="563"/>
      <c r="L826" s="566"/>
      <c r="M826" s="565"/>
      <c r="N826" s="564"/>
      <c r="V826" s="674"/>
      <c r="W826" s="675"/>
      <c r="AC826" s="675"/>
      <c r="AD826" s="675"/>
      <c r="AF826" s="675"/>
      <c r="AG826" s="675"/>
      <c r="AH826" s="680"/>
    </row>
    <row r="827" spans="1:34" s="536" customFormat="1" ht="22.5" x14ac:dyDescent="0.2">
      <c r="A827" s="609"/>
      <c r="B827" s="552" t="s">
        <v>718</v>
      </c>
      <c r="C827" s="1822" t="s">
        <v>719</v>
      </c>
      <c r="D827" s="1822"/>
      <c r="E827" s="1822"/>
      <c r="F827" s="1822"/>
      <c r="G827" s="1822"/>
      <c r="H827" s="1822"/>
      <c r="I827" s="1822"/>
      <c r="J827" s="1822"/>
      <c r="K827" s="1822"/>
      <c r="L827" s="1822"/>
      <c r="M827" s="1822"/>
      <c r="N827" s="1827"/>
      <c r="V827" s="674"/>
      <c r="W827" s="675"/>
      <c r="Y827" s="537" t="s">
        <v>719</v>
      </c>
      <c r="AC827" s="675"/>
      <c r="AD827" s="675"/>
      <c r="AF827" s="675"/>
      <c r="AG827" s="675"/>
      <c r="AH827" s="680"/>
    </row>
    <row r="828" spans="1:34" s="536" customFormat="1" ht="45" x14ac:dyDescent="0.2">
      <c r="A828" s="575" t="s">
        <v>3048</v>
      </c>
      <c r="B828" s="657" t="s">
        <v>3046</v>
      </c>
      <c r="C828" s="1823" t="s">
        <v>3047</v>
      </c>
      <c r="D828" s="1823"/>
      <c r="E828" s="1823"/>
      <c r="F828" s="573" t="s">
        <v>617</v>
      </c>
      <c r="G828" s="573"/>
      <c r="H828" s="573"/>
      <c r="I828" s="573" t="s">
        <v>196</v>
      </c>
      <c r="J828" s="572">
        <v>7.09</v>
      </c>
      <c r="K828" s="573"/>
      <c r="L828" s="572">
        <v>85.08</v>
      </c>
      <c r="M828" s="571"/>
      <c r="N828" s="570"/>
      <c r="V828" s="674"/>
      <c r="W828" s="675" t="s">
        <v>3047</v>
      </c>
      <c r="AC828" s="675"/>
      <c r="AD828" s="675"/>
      <c r="AF828" s="675"/>
      <c r="AG828" s="675"/>
      <c r="AH828" s="680"/>
    </row>
    <row r="829" spans="1:34" s="536" customFormat="1" ht="12" x14ac:dyDescent="0.2">
      <c r="A829" s="569"/>
      <c r="B829" s="656"/>
      <c r="C829" s="661" t="s">
        <v>2820</v>
      </c>
      <c r="D829" s="662"/>
      <c r="E829" s="662"/>
      <c r="F829" s="563"/>
      <c r="G829" s="563"/>
      <c r="H829" s="563"/>
      <c r="I829" s="563"/>
      <c r="J829" s="566"/>
      <c r="K829" s="563"/>
      <c r="L829" s="566"/>
      <c r="M829" s="565"/>
      <c r="N829" s="564"/>
      <c r="V829" s="674"/>
      <c r="W829" s="675"/>
      <c r="AC829" s="675"/>
      <c r="AD829" s="675"/>
      <c r="AF829" s="675"/>
      <c r="AG829" s="675"/>
      <c r="AH829" s="680"/>
    </row>
    <row r="830" spans="1:34" s="536" customFormat="1" ht="33.75" x14ac:dyDescent="0.2">
      <c r="A830" s="575" t="s">
        <v>3053</v>
      </c>
      <c r="B830" s="657" t="s">
        <v>3049</v>
      </c>
      <c r="C830" s="1823" t="s">
        <v>3050</v>
      </c>
      <c r="D830" s="1823"/>
      <c r="E830" s="1823"/>
      <c r="F830" s="573" t="s">
        <v>638</v>
      </c>
      <c r="G830" s="573"/>
      <c r="H830" s="573"/>
      <c r="I830" s="573" t="s">
        <v>190</v>
      </c>
      <c r="J830" s="572">
        <v>24.87</v>
      </c>
      <c r="K830" s="573"/>
      <c r="L830" s="572">
        <v>149.22</v>
      </c>
      <c r="M830" s="571"/>
      <c r="N830" s="570"/>
      <c r="V830" s="674"/>
      <c r="W830" s="675" t="s">
        <v>3050</v>
      </c>
      <c r="AC830" s="675"/>
      <c r="AD830" s="675"/>
      <c r="AF830" s="675"/>
      <c r="AG830" s="675"/>
      <c r="AH830" s="680"/>
    </row>
    <row r="831" spans="1:34" s="536" customFormat="1" ht="12" x14ac:dyDescent="0.2">
      <c r="A831" s="569"/>
      <c r="B831" s="656"/>
      <c r="C831" s="661" t="s">
        <v>2820</v>
      </c>
      <c r="D831" s="662"/>
      <c r="E831" s="662"/>
      <c r="F831" s="563"/>
      <c r="G831" s="563"/>
      <c r="H831" s="563"/>
      <c r="I831" s="563"/>
      <c r="J831" s="566"/>
      <c r="K831" s="563"/>
      <c r="L831" s="566"/>
      <c r="M831" s="565"/>
      <c r="N831" s="564"/>
      <c r="V831" s="674"/>
      <c r="W831" s="675"/>
      <c r="AC831" s="675"/>
      <c r="AD831" s="675"/>
      <c r="AF831" s="675"/>
      <c r="AG831" s="675"/>
      <c r="AH831" s="680"/>
    </row>
    <row r="832" spans="1:34" s="536" customFormat="1" ht="1.5" customHeight="1" x14ac:dyDescent="0.2">
      <c r="A832" s="563"/>
      <c r="B832" s="656"/>
      <c r="C832" s="656"/>
      <c r="D832" s="656"/>
      <c r="E832" s="656"/>
      <c r="F832" s="563"/>
      <c r="G832" s="563"/>
      <c r="H832" s="563"/>
      <c r="I832" s="563"/>
      <c r="J832" s="546"/>
      <c r="K832" s="563"/>
      <c r="L832" s="546"/>
      <c r="M832" s="562"/>
      <c r="N832" s="546"/>
      <c r="V832" s="674"/>
      <c r="W832" s="675"/>
      <c r="AC832" s="675"/>
      <c r="AD832" s="675"/>
      <c r="AF832" s="675"/>
      <c r="AG832" s="675"/>
      <c r="AH832" s="680"/>
    </row>
    <row r="833" spans="1:34" s="536" customFormat="1" ht="12" x14ac:dyDescent="0.2">
      <c r="A833" s="557"/>
      <c r="B833" s="556"/>
      <c r="C833" s="1823" t="s">
        <v>3051</v>
      </c>
      <c r="D833" s="1823"/>
      <c r="E833" s="1823"/>
      <c r="F833" s="1823"/>
      <c r="G833" s="1823"/>
      <c r="H833" s="1823"/>
      <c r="I833" s="1823"/>
      <c r="J833" s="1823"/>
      <c r="K833" s="1823"/>
      <c r="L833" s="555"/>
      <c r="M833" s="554"/>
      <c r="N833" s="553"/>
      <c r="V833" s="674"/>
      <c r="W833" s="675"/>
      <c r="AC833" s="675"/>
      <c r="AD833" s="675" t="s">
        <v>3051</v>
      </c>
      <c r="AF833" s="675"/>
      <c r="AG833" s="675"/>
      <c r="AH833" s="680"/>
    </row>
    <row r="834" spans="1:34" s="536" customFormat="1" ht="12" x14ac:dyDescent="0.2">
      <c r="A834" s="548"/>
      <c r="B834" s="552"/>
      <c r="C834" s="1822" t="s">
        <v>403</v>
      </c>
      <c r="D834" s="1822"/>
      <c r="E834" s="1822"/>
      <c r="F834" s="1822"/>
      <c r="G834" s="1822"/>
      <c r="H834" s="1822"/>
      <c r="I834" s="1822"/>
      <c r="J834" s="1822"/>
      <c r="K834" s="1822"/>
      <c r="L834" s="551">
        <v>7252.45</v>
      </c>
      <c r="M834" s="550"/>
      <c r="N834" s="549"/>
      <c r="V834" s="674"/>
      <c r="W834" s="675"/>
      <c r="AC834" s="675"/>
      <c r="AD834" s="675"/>
      <c r="AE834" s="537" t="s">
        <v>403</v>
      </c>
      <c r="AF834" s="675"/>
      <c r="AG834" s="675"/>
      <c r="AH834" s="680"/>
    </row>
    <row r="835" spans="1:34" s="536" customFormat="1" ht="12" x14ac:dyDescent="0.2">
      <c r="A835" s="548"/>
      <c r="B835" s="552"/>
      <c r="C835" s="1822" t="s">
        <v>204</v>
      </c>
      <c r="D835" s="1822"/>
      <c r="E835" s="1822"/>
      <c r="F835" s="1822"/>
      <c r="G835" s="1822"/>
      <c r="H835" s="1822"/>
      <c r="I835" s="1822"/>
      <c r="J835" s="1822"/>
      <c r="K835" s="1822"/>
      <c r="L835" s="551"/>
      <c r="M835" s="550"/>
      <c r="N835" s="549"/>
      <c r="V835" s="674"/>
      <c r="W835" s="675"/>
      <c r="AC835" s="675"/>
      <c r="AD835" s="675"/>
      <c r="AE835" s="537" t="s">
        <v>204</v>
      </c>
      <c r="AF835" s="675"/>
      <c r="AG835" s="675"/>
      <c r="AH835" s="680"/>
    </row>
    <row r="836" spans="1:34" s="536" customFormat="1" ht="12" x14ac:dyDescent="0.2">
      <c r="A836" s="548"/>
      <c r="B836" s="552"/>
      <c r="C836" s="1822" t="s">
        <v>404</v>
      </c>
      <c r="D836" s="1822"/>
      <c r="E836" s="1822"/>
      <c r="F836" s="1822"/>
      <c r="G836" s="1822"/>
      <c r="H836" s="1822"/>
      <c r="I836" s="1822"/>
      <c r="J836" s="1822"/>
      <c r="K836" s="1822"/>
      <c r="L836" s="551">
        <v>252.59</v>
      </c>
      <c r="M836" s="550"/>
      <c r="N836" s="549"/>
      <c r="V836" s="674"/>
      <c r="W836" s="675"/>
      <c r="AC836" s="675"/>
      <c r="AD836" s="675"/>
      <c r="AE836" s="537" t="s">
        <v>404</v>
      </c>
      <c r="AF836" s="675"/>
      <c r="AG836" s="675"/>
      <c r="AH836" s="680"/>
    </row>
    <row r="837" spans="1:34" s="536" customFormat="1" ht="12" x14ac:dyDescent="0.2">
      <c r="A837" s="548"/>
      <c r="B837" s="552"/>
      <c r="C837" s="1822" t="s">
        <v>480</v>
      </c>
      <c r="D837" s="1822"/>
      <c r="E837" s="1822"/>
      <c r="F837" s="1822"/>
      <c r="G837" s="1822"/>
      <c r="H837" s="1822"/>
      <c r="I837" s="1822"/>
      <c r="J837" s="1822"/>
      <c r="K837" s="1822"/>
      <c r="L837" s="551">
        <v>6999.86</v>
      </c>
      <c r="M837" s="550"/>
      <c r="N837" s="549"/>
      <c r="V837" s="674"/>
      <c r="W837" s="675"/>
      <c r="AC837" s="675"/>
      <c r="AD837" s="675"/>
      <c r="AE837" s="537" t="s">
        <v>480</v>
      </c>
      <c r="AF837" s="675"/>
      <c r="AG837" s="675"/>
      <c r="AH837" s="680"/>
    </row>
    <row r="838" spans="1:34" s="536" customFormat="1" ht="12" x14ac:dyDescent="0.2">
      <c r="A838" s="548"/>
      <c r="B838" s="552"/>
      <c r="C838" s="1822" t="s">
        <v>407</v>
      </c>
      <c r="D838" s="1822"/>
      <c r="E838" s="1822"/>
      <c r="F838" s="1822"/>
      <c r="G838" s="1822"/>
      <c r="H838" s="1822"/>
      <c r="I838" s="1822"/>
      <c r="J838" s="1822"/>
      <c r="K838" s="1822"/>
      <c r="L838" s="551">
        <v>7739.95</v>
      </c>
      <c r="M838" s="550"/>
      <c r="N838" s="549"/>
      <c r="V838" s="674"/>
      <c r="W838" s="675"/>
      <c r="AC838" s="675"/>
      <c r="AD838" s="675"/>
      <c r="AE838" s="537" t="s">
        <v>407</v>
      </c>
      <c r="AF838" s="675"/>
      <c r="AG838" s="675"/>
      <c r="AH838" s="680"/>
    </row>
    <row r="839" spans="1:34" s="536" customFormat="1" ht="12" x14ac:dyDescent="0.2">
      <c r="A839" s="548"/>
      <c r="B839" s="552"/>
      <c r="C839" s="1822" t="s">
        <v>204</v>
      </c>
      <c r="D839" s="1822"/>
      <c r="E839" s="1822"/>
      <c r="F839" s="1822"/>
      <c r="G839" s="1822"/>
      <c r="H839" s="1822"/>
      <c r="I839" s="1822"/>
      <c r="J839" s="1822"/>
      <c r="K839" s="1822"/>
      <c r="L839" s="551"/>
      <c r="M839" s="550"/>
      <c r="N839" s="549"/>
      <c r="V839" s="674"/>
      <c r="W839" s="675"/>
      <c r="AC839" s="675"/>
      <c r="AD839" s="675"/>
      <c r="AE839" s="537" t="s">
        <v>204</v>
      </c>
      <c r="AF839" s="675"/>
      <c r="AG839" s="675"/>
      <c r="AH839" s="680"/>
    </row>
    <row r="840" spans="1:34" s="536" customFormat="1" ht="12" x14ac:dyDescent="0.2">
      <c r="A840" s="548"/>
      <c r="B840" s="552"/>
      <c r="C840" s="1822" t="s">
        <v>546</v>
      </c>
      <c r="D840" s="1822"/>
      <c r="E840" s="1822"/>
      <c r="F840" s="1822"/>
      <c r="G840" s="1822"/>
      <c r="H840" s="1822"/>
      <c r="I840" s="1822"/>
      <c r="J840" s="1822"/>
      <c r="K840" s="1822"/>
      <c r="L840" s="551">
        <v>252.59</v>
      </c>
      <c r="M840" s="550"/>
      <c r="N840" s="549"/>
      <c r="V840" s="674"/>
      <c r="W840" s="675"/>
      <c r="AC840" s="675"/>
      <c r="AD840" s="675"/>
      <c r="AE840" s="537" t="s">
        <v>546</v>
      </c>
      <c r="AF840" s="675"/>
      <c r="AG840" s="675"/>
      <c r="AH840" s="680"/>
    </row>
    <row r="841" spans="1:34" s="536" customFormat="1" ht="12" x14ac:dyDescent="0.2">
      <c r="A841" s="548"/>
      <c r="B841" s="552"/>
      <c r="C841" s="1822" t="s">
        <v>547</v>
      </c>
      <c r="D841" s="1822"/>
      <c r="E841" s="1822"/>
      <c r="F841" s="1822"/>
      <c r="G841" s="1822"/>
      <c r="H841" s="1822"/>
      <c r="I841" s="1822"/>
      <c r="J841" s="1822"/>
      <c r="K841" s="1822"/>
      <c r="L841" s="551">
        <v>6999.86</v>
      </c>
      <c r="M841" s="550"/>
      <c r="N841" s="549"/>
      <c r="V841" s="674"/>
      <c r="W841" s="675"/>
      <c r="AC841" s="675"/>
      <c r="AD841" s="675"/>
      <c r="AE841" s="537" t="s">
        <v>547</v>
      </c>
      <c r="AF841" s="675"/>
      <c r="AG841" s="675"/>
      <c r="AH841" s="680"/>
    </row>
    <row r="842" spans="1:34" s="536" customFormat="1" ht="12" x14ac:dyDescent="0.2">
      <c r="A842" s="548"/>
      <c r="B842" s="552"/>
      <c r="C842" s="1822" t="s">
        <v>443</v>
      </c>
      <c r="D842" s="1822"/>
      <c r="E842" s="1822"/>
      <c r="F842" s="1822"/>
      <c r="G842" s="1822"/>
      <c r="H842" s="1822"/>
      <c r="I842" s="1822"/>
      <c r="J842" s="1822"/>
      <c r="K842" s="1822"/>
      <c r="L842" s="551">
        <v>305.63</v>
      </c>
      <c r="M842" s="550"/>
      <c r="N842" s="549"/>
      <c r="V842" s="674"/>
      <c r="W842" s="675"/>
      <c r="AC842" s="675"/>
      <c r="AD842" s="675"/>
      <c r="AE842" s="537" t="s">
        <v>443</v>
      </c>
      <c r="AF842" s="675"/>
      <c r="AG842" s="675"/>
      <c r="AH842" s="680"/>
    </row>
    <row r="843" spans="1:34" s="536" customFormat="1" ht="12" x14ac:dyDescent="0.2">
      <c r="A843" s="548"/>
      <c r="B843" s="552"/>
      <c r="C843" s="1822" t="s">
        <v>444</v>
      </c>
      <c r="D843" s="1822"/>
      <c r="E843" s="1822"/>
      <c r="F843" s="1822"/>
      <c r="G843" s="1822"/>
      <c r="H843" s="1822"/>
      <c r="I843" s="1822"/>
      <c r="J843" s="1822"/>
      <c r="K843" s="1822"/>
      <c r="L843" s="551">
        <v>181.87</v>
      </c>
      <c r="M843" s="550"/>
      <c r="N843" s="549"/>
      <c r="V843" s="674"/>
      <c r="W843" s="675"/>
      <c r="AC843" s="675"/>
      <c r="AD843" s="675"/>
      <c r="AE843" s="537" t="s">
        <v>444</v>
      </c>
      <c r="AF843" s="675"/>
      <c r="AG843" s="675"/>
      <c r="AH843" s="680"/>
    </row>
    <row r="844" spans="1:34" s="536" customFormat="1" ht="12" x14ac:dyDescent="0.2">
      <c r="A844" s="548"/>
      <c r="B844" s="552"/>
      <c r="C844" s="1822" t="s">
        <v>754</v>
      </c>
      <c r="D844" s="1822"/>
      <c r="E844" s="1822"/>
      <c r="F844" s="1822"/>
      <c r="G844" s="1822"/>
      <c r="H844" s="1822"/>
      <c r="I844" s="1822"/>
      <c r="J844" s="1822"/>
      <c r="K844" s="1822"/>
      <c r="L844" s="551">
        <v>64694.12</v>
      </c>
      <c r="M844" s="550"/>
      <c r="N844" s="549"/>
      <c r="V844" s="674"/>
      <c r="W844" s="675"/>
      <c r="AC844" s="675"/>
      <c r="AD844" s="675"/>
      <c r="AE844" s="537" t="s">
        <v>754</v>
      </c>
      <c r="AF844" s="675"/>
      <c r="AG844" s="675"/>
      <c r="AH844" s="680"/>
    </row>
    <row r="845" spans="1:34" s="536" customFormat="1" ht="12" x14ac:dyDescent="0.2">
      <c r="A845" s="548"/>
      <c r="B845" s="552"/>
      <c r="C845" s="1822" t="s">
        <v>415</v>
      </c>
      <c r="D845" s="1822"/>
      <c r="E845" s="1822"/>
      <c r="F845" s="1822"/>
      <c r="G845" s="1822"/>
      <c r="H845" s="1822"/>
      <c r="I845" s="1822"/>
      <c r="J845" s="1822"/>
      <c r="K845" s="1822"/>
      <c r="L845" s="551">
        <v>252.59</v>
      </c>
      <c r="M845" s="550"/>
      <c r="N845" s="549"/>
      <c r="V845" s="674"/>
      <c r="W845" s="675"/>
      <c r="AC845" s="675"/>
      <c r="AD845" s="675"/>
      <c r="AE845" s="537" t="s">
        <v>415</v>
      </c>
      <c r="AF845" s="675"/>
      <c r="AG845" s="675"/>
      <c r="AH845" s="680"/>
    </row>
    <row r="846" spans="1:34" s="536" customFormat="1" ht="12" x14ac:dyDescent="0.2">
      <c r="A846" s="548"/>
      <c r="B846" s="552"/>
      <c r="C846" s="1822" t="s">
        <v>416</v>
      </c>
      <c r="D846" s="1822"/>
      <c r="E846" s="1822"/>
      <c r="F846" s="1822"/>
      <c r="G846" s="1822"/>
      <c r="H846" s="1822"/>
      <c r="I846" s="1822"/>
      <c r="J846" s="1822"/>
      <c r="K846" s="1822"/>
      <c r="L846" s="551">
        <v>305.63</v>
      </c>
      <c r="M846" s="550"/>
      <c r="N846" s="549"/>
      <c r="V846" s="674"/>
      <c r="W846" s="675"/>
      <c r="AC846" s="675"/>
      <c r="AD846" s="675"/>
      <c r="AE846" s="537" t="s">
        <v>416</v>
      </c>
      <c r="AF846" s="675"/>
      <c r="AG846" s="675"/>
      <c r="AH846" s="680"/>
    </row>
    <row r="847" spans="1:34" s="536" customFormat="1" ht="12" x14ac:dyDescent="0.2">
      <c r="A847" s="548"/>
      <c r="B847" s="552"/>
      <c r="C847" s="1822" t="s">
        <v>417</v>
      </c>
      <c r="D847" s="1822"/>
      <c r="E847" s="1822"/>
      <c r="F847" s="1822"/>
      <c r="G847" s="1822"/>
      <c r="H847" s="1822"/>
      <c r="I847" s="1822"/>
      <c r="J847" s="1822"/>
      <c r="K847" s="1822"/>
      <c r="L847" s="551">
        <v>181.87</v>
      </c>
      <c r="M847" s="550"/>
      <c r="N847" s="549"/>
      <c r="V847" s="674"/>
      <c r="W847" s="675"/>
      <c r="AC847" s="675"/>
      <c r="AD847" s="675"/>
      <c r="AE847" s="537" t="s">
        <v>417</v>
      </c>
      <c r="AF847" s="675"/>
      <c r="AG847" s="675"/>
      <c r="AH847" s="680"/>
    </row>
    <row r="848" spans="1:34" s="536" customFormat="1" ht="12" x14ac:dyDescent="0.2">
      <c r="A848" s="548"/>
      <c r="B848" s="546"/>
      <c r="C848" s="1819" t="s">
        <v>3052</v>
      </c>
      <c r="D848" s="1819"/>
      <c r="E848" s="1819"/>
      <c r="F848" s="1819"/>
      <c r="G848" s="1819"/>
      <c r="H848" s="1819"/>
      <c r="I848" s="1819"/>
      <c r="J848" s="1819"/>
      <c r="K848" s="1819"/>
      <c r="L848" s="544">
        <v>72434.070000000007</v>
      </c>
      <c r="M848" s="543"/>
      <c r="N848" s="681"/>
      <c r="V848" s="674"/>
      <c r="W848" s="675"/>
      <c r="AC848" s="675"/>
      <c r="AD848" s="675"/>
      <c r="AF848" s="675" t="s">
        <v>3052</v>
      </c>
      <c r="AG848" s="675"/>
      <c r="AH848" s="680"/>
    </row>
    <row r="849" spans="1:34" s="536" customFormat="1" ht="12" x14ac:dyDescent="0.2">
      <c r="A849" s="548"/>
      <c r="B849" s="552"/>
      <c r="C849" s="1822" t="s">
        <v>204</v>
      </c>
      <c r="D849" s="1822"/>
      <c r="E849" s="1822"/>
      <c r="F849" s="1822"/>
      <c r="G849" s="1822"/>
      <c r="H849" s="1822"/>
      <c r="I849" s="1822"/>
      <c r="J849" s="1822"/>
      <c r="K849" s="1822"/>
      <c r="L849" s="551"/>
      <c r="M849" s="550"/>
      <c r="N849" s="549"/>
      <c r="V849" s="674"/>
      <c r="W849" s="675"/>
      <c r="AC849" s="675"/>
      <c r="AD849" s="675"/>
      <c r="AE849" s="537" t="s">
        <v>204</v>
      </c>
      <c r="AF849" s="675"/>
      <c r="AG849" s="675"/>
      <c r="AH849" s="680"/>
    </row>
    <row r="850" spans="1:34" s="536" customFormat="1" ht="12" x14ac:dyDescent="0.2">
      <c r="A850" s="548"/>
      <c r="B850" s="552"/>
      <c r="C850" s="1822" t="s">
        <v>8095</v>
      </c>
      <c r="D850" s="1822"/>
      <c r="E850" s="1822"/>
      <c r="F850" s="1822"/>
      <c r="G850" s="1822"/>
      <c r="H850" s="1822"/>
      <c r="I850" s="1822"/>
      <c r="J850" s="1822"/>
      <c r="K850" s="1822"/>
      <c r="L850" s="551">
        <v>231.13</v>
      </c>
      <c r="M850" s="550"/>
      <c r="N850" s="549"/>
      <c r="V850" s="674"/>
      <c r="W850" s="675"/>
      <c r="AC850" s="675"/>
      <c r="AD850" s="675"/>
      <c r="AE850" s="537" t="s">
        <v>8095</v>
      </c>
      <c r="AF850" s="675"/>
      <c r="AG850" s="675"/>
      <c r="AH850" s="680"/>
    </row>
    <row r="851" spans="1:34" s="536" customFormat="1" ht="12" x14ac:dyDescent="0.2">
      <c r="A851" s="548"/>
      <c r="B851" s="552"/>
      <c r="C851" s="1822" t="s">
        <v>8097</v>
      </c>
      <c r="D851" s="1822"/>
      <c r="E851" s="1822"/>
      <c r="F851" s="1822"/>
      <c r="G851" s="1822"/>
      <c r="H851" s="1822"/>
      <c r="I851" s="1822"/>
      <c r="J851" s="1822"/>
      <c r="K851" s="1822"/>
      <c r="L851" s="551">
        <v>64694.12</v>
      </c>
      <c r="M851" s="550"/>
      <c r="N851" s="549"/>
      <c r="V851" s="674"/>
      <c r="W851" s="675"/>
      <c r="AC851" s="675"/>
      <c r="AD851" s="675"/>
      <c r="AE851" s="537" t="s">
        <v>8097</v>
      </c>
      <c r="AF851" s="675"/>
      <c r="AG851" s="675"/>
      <c r="AH851" s="680"/>
    </row>
    <row r="852" spans="1:34" s="536" customFormat="1" ht="12" x14ac:dyDescent="0.2">
      <c r="A852" s="1824" t="s">
        <v>1614</v>
      </c>
      <c r="B852" s="1825"/>
      <c r="C852" s="1825"/>
      <c r="D852" s="1825"/>
      <c r="E852" s="1825"/>
      <c r="F852" s="1825"/>
      <c r="G852" s="1825"/>
      <c r="H852" s="1825"/>
      <c r="I852" s="1825"/>
      <c r="J852" s="1825"/>
      <c r="K852" s="1825"/>
      <c r="L852" s="1825"/>
      <c r="M852" s="1825"/>
      <c r="N852" s="1826"/>
      <c r="V852" s="674" t="s">
        <v>1614</v>
      </c>
      <c r="W852" s="675"/>
      <c r="AC852" s="675"/>
      <c r="AD852" s="675"/>
      <c r="AF852" s="675"/>
      <c r="AG852" s="675"/>
      <c r="AH852" s="680"/>
    </row>
    <row r="853" spans="1:34" s="536" customFormat="1" ht="67.5" x14ac:dyDescent="0.2">
      <c r="A853" s="575" t="s">
        <v>894</v>
      </c>
      <c r="B853" s="657" t="s">
        <v>1616</v>
      </c>
      <c r="C853" s="1823" t="s">
        <v>2630</v>
      </c>
      <c r="D853" s="1823"/>
      <c r="E853" s="1823"/>
      <c r="F853" s="573" t="s">
        <v>201</v>
      </c>
      <c r="G853" s="573"/>
      <c r="H853" s="573"/>
      <c r="I853" s="573" t="s">
        <v>3054</v>
      </c>
      <c r="J853" s="572">
        <v>90.45</v>
      </c>
      <c r="K853" s="573"/>
      <c r="L853" s="572">
        <v>7.42</v>
      </c>
      <c r="M853" s="571"/>
      <c r="N853" s="570"/>
      <c r="V853" s="674"/>
      <c r="W853" s="675" t="s">
        <v>2630</v>
      </c>
      <c r="AC853" s="675"/>
      <c r="AD853" s="675"/>
      <c r="AF853" s="675"/>
      <c r="AG853" s="675"/>
      <c r="AH853" s="680"/>
    </row>
    <row r="854" spans="1:34" s="536" customFormat="1" ht="12" x14ac:dyDescent="0.2">
      <c r="A854" s="569"/>
      <c r="B854" s="656"/>
      <c r="C854" s="661" t="s">
        <v>717</v>
      </c>
      <c r="D854" s="662"/>
      <c r="E854" s="662"/>
      <c r="F854" s="563"/>
      <c r="G854" s="563"/>
      <c r="H854" s="563"/>
      <c r="I854" s="563"/>
      <c r="J854" s="566"/>
      <c r="K854" s="563"/>
      <c r="L854" s="566"/>
      <c r="M854" s="565"/>
      <c r="N854" s="564"/>
      <c r="V854" s="674"/>
      <c r="W854" s="675"/>
      <c r="AC854" s="675"/>
      <c r="AD854" s="675"/>
      <c r="AF854" s="675"/>
      <c r="AG854" s="675"/>
      <c r="AH854" s="680"/>
    </row>
    <row r="855" spans="1:34" s="536" customFormat="1" ht="12" x14ac:dyDescent="0.2">
      <c r="A855" s="676"/>
      <c r="B855" s="655"/>
      <c r="C855" s="1822" t="s">
        <v>3055</v>
      </c>
      <c r="D855" s="1822"/>
      <c r="E855" s="1822"/>
      <c r="F855" s="1822"/>
      <c r="G855" s="1822"/>
      <c r="H855" s="1822"/>
      <c r="I855" s="1822"/>
      <c r="J855" s="1822"/>
      <c r="K855" s="1822"/>
      <c r="L855" s="1822"/>
      <c r="M855" s="1822"/>
      <c r="N855" s="1827"/>
      <c r="V855" s="674"/>
      <c r="W855" s="675"/>
      <c r="X855" s="537" t="s">
        <v>3055</v>
      </c>
      <c r="AC855" s="675"/>
      <c r="AD855" s="675"/>
      <c r="AF855" s="675"/>
      <c r="AG855" s="675"/>
      <c r="AH855" s="680"/>
    </row>
    <row r="856" spans="1:34" s="536" customFormat="1" ht="67.5" x14ac:dyDescent="0.2">
      <c r="A856" s="575" t="s">
        <v>1539</v>
      </c>
      <c r="B856" s="657" t="s">
        <v>1497</v>
      </c>
      <c r="C856" s="1823" t="s">
        <v>2633</v>
      </c>
      <c r="D856" s="1823"/>
      <c r="E856" s="1823"/>
      <c r="F856" s="573" t="s">
        <v>201</v>
      </c>
      <c r="G856" s="573"/>
      <c r="H856" s="573"/>
      <c r="I856" s="573" t="s">
        <v>3056</v>
      </c>
      <c r="J856" s="572">
        <v>76.88</v>
      </c>
      <c r="K856" s="573"/>
      <c r="L856" s="572">
        <v>2.08</v>
      </c>
      <c r="M856" s="571"/>
      <c r="N856" s="570"/>
      <c r="V856" s="674"/>
      <c r="W856" s="675" t="s">
        <v>2633</v>
      </c>
      <c r="AC856" s="675"/>
      <c r="AD856" s="675"/>
      <c r="AF856" s="675"/>
      <c r="AG856" s="675"/>
      <c r="AH856" s="680"/>
    </row>
    <row r="857" spans="1:34" s="536" customFormat="1" ht="12" x14ac:dyDescent="0.2">
      <c r="A857" s="569"/>
      <c r="B857" s="656"/>
      <c r="C857" s="661" t="s">
        <v>717</v>
      </c>
      <c r="D857" s="662"/>
      <c r="E857" s="662"/>
      <c r="F857" s="563"/>
      <c r="G857" s="563"/>
      <c r="H857" s="563"/>
      <c r="I857" s="563"/>
      <c r="J857" s="566"/>
      <c r="K857" s="563"/>
      <c r="L857" s="566"/>
      <c r="M857" s="565"/>
      <c r="N857" s="564"/>
      <c r="V857" s="674"/>
      <c r="W857" s="675"/>
      <c r="AC857" s="675"/>
      <c r="AD857" s="675"/>
      <c r="AF857" s="675"/>
      <c r="AG857" s="675"/>
      <c r="AH857" s="680"/>
    </row>
    <row r="858" spans="1:34" s="536" customFormat="1" ht="12" x14ac:dyDescent="0.2">
      <c r="A858" s="676"/>
      <c r="B858" s="655"/>
      <c r="C858" s="1822" t="s">
        <v>3057</v>
      </c>
      <c r="D858" s="1822"/>
      <c r="E858" s="1822"/>
      <c r="F858" s="1822"/>
      <c r="G858" s="1822"/>
      <c r="H858" s="1822"/>
      <c r="I858" s="1822"/>
      <c r="J858" s="1822"/>
      <c r="K858" s="1822"/>
      <c r="L858" s="1822"/>
      <c r="M858" s="1822"/>
      <c r="N858" s="1827"/>
      <c r="V858" s="674"/>
      <c r="W858" s="675"/>
      <c r="X858" s="537" t="s">
        <v>3057</v>
      </c>
      <c r="AC858" s="675"/>
      <c r="AD858" s="675"/>
      <c r="AF858" s="675"/>
      <c r="AG858" s="675"/>
      <c r="AH858" s="680"/>
    </row>
    <row r="859" spans="1:34" s="536" customFormat="1" ht="67.5" x14ac:dyDescent="0.2">
      <c r="A859" s="575" t="s">
        <v>5231</v>
      </c>
      <c r="B859" s="657" t="s">
        <v>1503</v>
      </c>
      <c r="C859" s="1823" t="s">
        <v>3058</v>
      </c>
      <c r="D859" s="1823"/>
      <c r="E859" s="1823"/>
      <c r="F859" s="573" t="s">
        <v>201</v>
      </c>
      <c r="G859" s="573"/>
      <c r="H859" s="573"/>
      <c r="I859" s="573" t="s">
        <v>3059</v>
      </c>
      <c r="J859" s="572">
        <v>127.09</v>
      </c>
      <c r="K859" s="573"/>
      <c r="L859" s="572">
        <v>38.380000000000003</v>
      </c>
      <c r="M859" s="571"/>
      <c r="N859" s="570"/>
      <c r="V859" s="674"/>
      <c r="W859" s="675" t="s">
        <v>3058</v>
      </c>
      <c r="AC859" s="675"/>
      <c r="AD859" s="675"/>
      <c r="AF859" s="675"/>
      <c r="AG859" s="675"/>
      <c r="AH859" s="680"/>
    </row>
    <row r="860" spans="1:34" s="536" customFormat="1" ht="12" x14ac:dyDescent="0.2">
      <c r="A860" s="569"/>
      <c r="B860" s="656"/>
      <c r="C860" s="661" t="s">
        <v>717</v>
      </c>
      <c r="D860" s="662"/>
      <c r="E860" s="662"/>
      <c r="F860" s="563"/>
      <c r="G860" s="563"/>
      <c r="H860" s="563"/>
      <c r="I860" s="563"/>
      <c r="J860" s="566"/>
      <c r="K860" s="563"/>
      <c r="L860" s="566"/>
      <c r="M860" s="565"/>
      <c r="N860" s="564"/>
      <c r="V860" s="674"/>
      <c r="W860" s="675"/>
      <c r="AC860" s="675"/>
      <c r="AD860" s="675"/>
      <c r="AF860" s="675"/>
      <c r="AG860" s="675"/>
      <c r="AH860" s="680"/>
    </row>
    <row r="861" spans="1:34" s="536" customFormat="1" ht="12" x14ac:dyDescent="0.2">
      <c r="A861" s="676"/>
      <c r="B861" s="655"/>
      <c r="C861" s="1822" t="s">
        <v>3060</v>
      </c>
      <c r="D861" s="1822"/>
      <c r="E861" s="1822"/>
      <c r="F861" s="1822"/>
      <c r="G861" s="1822"/>
      <c r="H861" s="1822"/>
      <c r="I861" s="1822"/>
      <c r="J861" s="1822"/>
      <c r="K861" s="1822"/>
      <c r="L861" s="1822"/>
      <c r="M861" s="1822"/>
      <c r="N861" s="1827"/>
      <c r="V861" s="674"/>
      <c r="W861" s="675"/>
      <c r="X861" s="537" t="s">
        <v>3060</v>
      </c>
      <c r="AC861" s="675"/>
      <c r="AD861" s="675"/>
      <c r="AF861" s="675"/>
      <c r="AG861" s="675"/>
      <c r="AH861" s="680"/>
    </row>
    <row r="862" spans="1:34" s="536" customFormat="1" ht="1.5" customHeight="1" x14ac:dyDescent="0.2">
      <c r="A862" s="563"/>
      <c r="B862" s="656"/>
      <c r="C862" s="656"/>
      <c r="D862" s="656"/>
      <c r="E862" s="656"/>
      <c r="F862" s="563"/>
      <c r="G862" s="563"/>
      <c r="H862" s="563"/>
      <c r="I862" s="563"/>
      <c r="J862" s="546"/>
      <c r="K862" s="563"/>
      <c r="L862" s="546"/>
      <c r="M862" s="562"/>
      <c r="N862" s="546"/>
      <c r="V862" s="674"/>
      <c r="W862" s="675"/>
      <c r="AC862" s="675"/>
      <c r="AD862" s="675"/>
      <c r="AF862" s="675"/>
      <c r="AG862" s="675"/>
      <c r="AH862" s="680"/>
    </row>
    <row r="863" spans="1:34" s="536" customFormat="1" ht="22.5" x14ac:dyDescent="0.2">
      <c r="A863" s="557"/>
      <c r="B863" s="556"/>
      <c r="C863" s="1823" t="s">
        <v>1620</v>
      </c>
      <c r="D863" s="1823"/>
      <c r="E863" s="1823"/>
      <c r="F863" s="1823"/>
      <c r="G863" s="1823"/>
      <c r="H863" s="1823"/>
      <c r="I863" s="1823"/>
      <c r="J863" s="1823"/>
      <c r="K863" s="1823"/>
      <c r="L863" s="555"/>
      <c r="M863" s="554"/>
      <c r="N863" s="553"/>
      <c r="V863" s="674"/>
      <c r="W863" s="675"/>
      <c r="AC863" s="675"/>
      <c r="AD863" s="675" t="s">
        <v>1620</v>
      </c>
      <c r="AF863" s="675"/>
      <c r="AG863" s="675"/>
      <c r="AH863" s="680"/>
    </row>
    <row r="864" spans="1:34" s="536" customFormat="1" ht="12" x14ac:dyDescent="0.2">
      <c r="A864" s="548"/>
      <c r="B864" s="552"/>
      <c r="C864" s="1822" t="s">
        <v>403</v>
      </c>
      <c r="D864" s="1822"/>
      <c r="E864" s="1822"/>
      <c r="F864" s="1822"/>
      <c r="G864" s="1822"/>
      <c r="H864" s="1822"/>
      <c r="I864" s="1822"/>
      <c r="J864" s="1822"/>
      <c r="K864" s="1822"/>
      <c r="L864" s="551">
        <v>47.88</v>
      </c>
      <c r="M864" s="550"/>
      <c r="N864" s="549"/>
      <c r="V864" s="674"/>
      <c r="W864" s="675"/>
      <c r="AC864" s="675"/>
      <c r="AD864" s="675"/>
      <c r="AE864" s="537" t="s">
        <v>403</v>
      </c>
      <c r="AF864" s="675"/>
      <c r="AG864" s="675"/>
      <c r="AH864" s="680"/>
    </row>
    <row r="865" spans="1:36" s="536" customFormat="1" ht="12" x14ac:dyDescent="0.2">
      <c r="A865" s="548"/>
      <c r="B865" s="552"/>
      <c r="C865" s="1822" t="s">
        <v>204</v>
      </c>
      <c r="D865" s="1822"/>
      <c r="E865" s="1822"/>
      <c r="F865" s="1822"/>
      <c r="G865" s="1822"/>
      <c r="H865" s="1822"/>
      <c r="I865" s="1822"/>
      <c r="J865" s="1822"/>
      <c r="K865" s="1822"/>
      <c r="L865" s="551"/>
      <c r="M865" s="550"/>
      <c r="N865" s="549"/>
      <c r="V865" s="674"/>
      <c r="W865" s="675"/>
      <c r="AC865" s="675"/>
      <c r="AD865" s="675"/>
      <c r="AE865" s="537" t="s">
        <v>204</v>
      </c>
      <c r="AF865" s="675"/>
      <c r="AG865" s="675"/>
      <c r="AH865" s="680"/>
    </row>
    <row r="866" spans="1:36" s="536" customFormat="1" ht="12" x14ac:dyDescent="0.2">
      <c r="A866" s="548"/>
      <c r="B866" s="552"/>
      <c r="C866" s="1822" t="s">
        <v>480</v>
      </c>
      <c r="D866" s="1822"/>
      <c r="E866" s="1822"/>
      <c r="F866" s="1822"/>
      <c r="G866" s="1822"/>
      <c r="H866" s="1822"/>
      <c r="I866" s="1822"/>
      <c r="J866" s="1822"/>
      <c r="K866" s="1822"/>
      <c r="L866" s="551">
        <v>47.88</v>
      </c>
      <c r="M866" s="550"/>
      <c r="N866" s="549"/>
      <c r="V866" s="674"/>
      <c r="W866" s="675"/>
      <c r="AC866" s="675"/>
      <c r="AD866" s="675"/>
      <c r="AE866" s="537" t="s">
        <v>480</v>
      </c>
      <c r="AF866" s="675"/>
      <c r="AG866" s="675"/>
      <c r="AH866" s="680"/>
    </row>
    <row r="867" spans="1:36" s="536" customFormat="1" ht="12" x14ac:dyDescent="0.2">
      <c r="A867" s="548"/>
      <c r="B867" s="552"/>
      <c r="C867" s="1822" t="s">
        <v>407</v>
      </c>
      <c r="D867" s="1822"/>
      <c r="E867" s="1822"/>
      <c r="F867" s="1822"/>
      <c r="G867" s="1822"/>
      <c r="H867" s="1822"/>
      <c r="I867" s="1822"/>
      <c r="J867" s="1822"/>
      <c r="K867" s="1822"/>
      <c r="L867" s="551">
        <v>47.88</v>
      </c>
      <c r="M867" s="550"/>
      <c r="N867" s="549"/>
      <c r="V867" s="674"/>
      <c r="W867" s="675"/>
      <c r="AC867" s="675"/>
      <c r="AD867" s="675"/>
      <c r="AE867" s="537" t="s">
        <v>407</v>
      </c>
      <c r="AF867" s="675"/>
      <c r="AG867" s="675"/>
      <c r="AH867" s="680"/>
    </row>
    <row r="868" spans="1:36" s="536" customFormat="1" ht="12" x14ac:dyDescent="0.2">
      <c r="A868" s="548"/>
      <c r="B868" s="552"/>
      <c r="C868" s="1822" t="s">
        <v>204</v>
      </c>
      <c r="D868" s="1822"/>
      <c r="E868" s="1822"/>
      <c r="F868" s="1822"/>
      <c r="G868" s="1822"/>
      <c r="H868" s="1822"/>
      <c r="I868" s="1822"/>
      <c r="J868" s="1822"/>
      <c r="K868" s="1822"/>
      <c r="L868" s="551"/>
      <c r="M868" s="550"/>
      <c r="N868" s="549"/>
      <c r="V868" s="674"/>
      <c r="W868" s="675"/>
      <c r="AC868" s="675"/>
      <c r="AD868" s="675"/>
      <c r="AE868" s="537" t="s">
        <v>204</v>
      </c>
      <c r="AF868" s="675"/>
      <c r="AG868" s="675"/>
      <c r="AH868" s="680"/>
    </row>
    <row r="869" spans="1:36" s="536" customFormat="1" ht="12" x14ac:dyDescent="0.2">
      <c r="A869" s="548"/>
      <c r="B869" s="552"/>
      <c r="C869" s="1822" t="s">
        <v>547</v>
      </c>
      <c r="D869" s="1822"/>
      <c r="E869" s="1822"/>
      <c r="F869" s="1822"/>
      <c r="G869" s="1822"/>
      <c r="H869" s="1822"/>
      <c r="I869" s="1822"/>
      <c r="J869" s="1822"/>
      <c r="K869" s="1822"/>
      <c r="L869" s="551">
        <v>47.88</v>
      </c>
      <c r="M869" s="550"/>
      <c r="N869" s="549"/>
      <c r="V869" s="674"/>
      <c r="W869" s="675"/>
      <c r="AC869" s="675"/>
      <c r="AD869" s="675"/>
      <c r="AE869" s="537" t="s">
        <v>547</v>
      </c>
      <c r="AF869" s="675"/>
      <c r="AG869" s="675"/>
      <c r="AH869" s="680"/>
    </row>
    <row r="870" spans="1:36" s="536" customFormat="1" ht="22.5" x14ac:dyDescent="0.2">
      <c r="A870" s="548"/>
      <c r="B870" s="546"/>
      <c r="C870" s="1819" t="s">
        <v>1621</v>
      </c>
      <c r="D870" s="1819"/>
      <c r="E870" s="1819"/>
      <c r="F870" s="1819"/>
      <c r="G870" s="1819"/>
      <c r="H870" s="1819"/>
      <c r="I870" s="1819"/>
      <c r="J870" s="1819"/>
      <c r="K870" s="1819"/>
      <c r="L870" s="544">
        <v>47.88</v>
      </c>
      <c r="M870" s="543"/>
      <c r="N870" s="681"/>
      <c r="V870" s="674"/>
      <c r="W870" s="675"/>
      <c r="AC870" s="675"/>
      <c r="AD870" s="675"/>
      <c r="AF870" s="675" t="s">
        <v>1621</v>
      </c>
      <c r="AG870" s="675"/>
      <c r="AH870" s="680"/>
    </row>
    <row r="871" spans="1:36" s="536" customFormat="1" ht="2.25" customHeight="1" x14ac:dyDescent="0.2">
      <c r="B871" s="561"/>
      <c r="C871" s="561"/>
      <c r="D871" s="561"/>
      <c r="E871" s="561"/>
      <c r="F871" s="561"/>
      <c r="G871" s="561"/>
      <c r="H871" s="561"/>
      <c r="I871" s="561"/>
      <c r="J871" s="561"/>
      <c r="K871" s="561"/>
      <c r="L871" s="560"/>
      <c r="M871" s="559"/>
      <c r="N871" s="558"/>
    </row>
    <row r="872" spans="1:36" s="536" customFormat="1" x14ac:dyDescent="0.2">
      <c r="A872" s="557"/>
      <c r="B872" s="556"/>
      <c r="C872" s="1823" t="s">
        <v>205</v>
      </c>
      <c r="D872" s="1823"/>
      <c r="E872" s="1823"/>
      <c r="F872" s="1823"/>
      <c r="G872" s="1823"/>
      <c r="H872" s="1823"/>
      <c r="I872" s="1823"/>
      <c r="J872" s="1823"/>
      <c r="K872" s="1823"/>
      <c r="L872" s="555"/>
      <c r="M872" s="554"/>
      <c r="N872" s="553"/>
      <c r="AI872" s="675" t="s">
        <v>205</v>
      </c>
    </row>
    <row r="873" spans="1:36" s="536" customFormat="1" x14ac:dyDescent="0.2">
      <c r="A873" s="548"/>
      <c r="B873" s="552"/>
      <c r="C873" s="1822" t="s">
        <v>403</v>
      </c>
      <c r="D873" s="1822"/>
      <c r="E873" s="1822"/>
      <c r="F873" s="1822"/>
      <c r="G873" s="1822"/>
      <c r="H873" s="1822"/>
      <c r="I873" s="1822"/>
      <c r="J873" s="1822"/>
      <c r="K873" s="1822"/>
      <c r="L873" s="551">
        <v>70776.899999999994</v>
      </c>
      <c r="M873" s="550"/>
      <c r="N873" s="549"/>
      <c r="AI873" s="675"/>
      <c r="AJ873" s="537" t="s">
        <v>403</v>
      </c>
    </row>
    <row r="874" spans="1:36" s="536" customFormat="1" x14ac:dyDescent="0.2">
      <c r="A874" s="548"/>
      <c r="B874" s="552"/>
      <c r="C874" s="1822" t="s">
        <v>204</v>
      </c>
      <c r="D874" s="1822"/>
      <c r="E874" s="1822"/>
      <c r="F874" s="1822"/>
      <c r="G874" s="1822"/>
      <c r="H874" s="1822"/>
      <c r="I874" s="1822"/>
      <c r="J874" s="1822"/>
      <c r="K874" s="1822"/>
      <c r="L874" s="551"/>
      <c r="M874" s="550"/>
      <c r="N874" s="549"/>
      <c r="AI874" s="675"/>
      <c r="AJ874" s="537" t="s">
        <v>204</v>
      </c>
    </row>
    <row r="875" spans="1:36" s="536" customFormat="1" x14ac:dyDescent="0.2">
      <c r="A875" s="548"/>
      <c r="B875" s="552"/>
      <c r="C875" s="1822" t="s">
        <v>404</v>
      </c>
      <c r="D875" s="1822"/>
      <c r="E875" s="1822"/>
      <c r="F875" s="1822"/>
      <c r="G875" s="1822"/>
      <c r="H875" s="1822"/>
      <c r="I875" s="1822"/>
      <c r="J875" s="1822"/>
      <c r="K875" s="1822"/>
      <c r="L875" s="551">
        <v>3556.41</v>
      </c>
      <c r="M875" s="550"/>
      <c r="N875" s="549"/>
      <c r="AI875" s="675"/>
      <c r="AJ875" s="537" t="s">
        <v>404</v>
      </c>
    </row>
    <row r="876" spans="1:36" s="536" customFormat="1" x14ac:dyDescent="0.2">
      <c r="A876" s="548"/>
      <c r="B876" s="552"/>
      <c r="C876" s="1822" t="s">
        <v>405</v>
      </c>
      <c r="D876" s="1822"/>
      <c r="E876" s="1822"/>
      <c r="F876" s="1822"/>
      <c r="G876" s="1822"/>
      <c r="H876" s="1822"/>
      <c r="I876" s="1822"/>
      <c r="J876" s="1822"/>
      <c r="K876" s="1822"/>
      <c r="L876" s="551">
        <v>572.85</v>
      </c>
      <c r="M876" s="550"/>
      <c r="N876" s="549"/>
      <c r="AI876" s="675"/>
      <c r="AJ876" s="537" t="s">
        <v>405</v>
      </c>
    </row>
    <row r="877" spans="1:36" s="536" customFormat="1" x14ac:dyDescent="0.2">
      <c r="A877" s="548"/>
      <c r="B877" s="552"/>
      <c r="C877" s="1822" t="s">
        <v>406</v>
      </c>
      <c r="D877" s="1822"/>
      <c r="E877" s="1822"/>
      <c r="F877" s="1822"/>
      <c r="G877" s="1822"/>
      <c r="H877" s="1822"/>
      <c r="I877" s="1822"/>
      <c r="J877" s="1822"/>
      <c r="K877" s="1822"/>
      <c r="L877" s="551">
        <v>72.05</v>
      </c>
      <c r="M877" s="550"/>
      <c r="N877" s="549"/>
      <c r="AI877" s="675"/>
      <c r="AJ877" s="537" t="s">
        <v>406</v>
      </c>
    </row>
    <row r="878" spans="1:36" s="536" customFormat="1" x14ac:dyDescent="0.2">
      <c r="A878" s="548"/>
      <c r="B878" s="552"/>
      <c r="C878" s="1822" t="s">
        <v>480</v>
      </c>
      <c r="D878" s="1822"/>
      <c r="E878" s="1822"/>
      <c r="F878" s="1822"/>
      <c r="G878" s="1822"/>
      <c r="H878" s="1822"/>
      <c r="I878" s="1822"/>
      <c r="J878" s="1822"/>
      <c r="K878" s="1822"/>
      <c r="L878" s="551">
        <v>66647.64</v>
      </c>
      <c r="M878" s="550"/>
      <c r="N878" s="549"/>
      <c r="AI878" s="675"/>
      <c r="AJ878" s="537" t="s">
        <v>480</v>
      </c>
    </row>
    <row r="879" spans="1:36" s="536" customFormat="1" x14ac:dyDescent="0.2">
      <c r="A879" s="548"/>
      <c r="B879" s="552" t="s">
        <v>185</v>
      </c>
      <c r="C879" s="1822" t="s">
        <v>407</v>
      </c>
      <c r="D879" s="1822"/>
      <c r="E879" s="1822"/>
      <c r="F879" s="1822"/>
      <c r="G879" s="1822"/>
      <c r="H879" s="1822"/>
      <c r="I879" s="1822"/>
      <c r="J879" s="1822"/>
      <c r="K879" s="1822"/>
      <c r="L879" s="551">
        <v>76553.570000000007</v>
      </c>
      <c r="M879" s="550">
        <v>8.32</v>
      </c>
      <c r="N879" s="549">
        <v>636926</v>
      </c>
      <c r="AI879" s="675"/>
      <c r="AJ879" s="537" t="s">
        <v>407</v>
      </c>
    </row>
    <row r="880" spans="1:36" s="536" customFormat="1" x14ac:dyDescent="0.2">
      <c r="A880" s="548"/>
      <c r="B880" s="552"/>
      <c r="C880" s="1822" t="s">
        <v>204</v>
      </c>
      <c r="D880" s="1822"/>
      <c r="E880" s="1822"/>
      <c r="F880" s="1822"/>
      <c r="G880" s="1822"/>
      <c r="H880" s="1822"/>
      <c r="I880" s="1822"/>
      <c r="J880" s="1822"/>
      <c r="K880" s="1822"/>
      <c r="L880" s="551"/>
      <c r="M880" s="550"/>
      <c r="N880" s="549"/>
      <c r="AI880" s="675"/>
      <c r="AJ880" s="537" t="s">
        <v>204</v>
      </c>
    </row>
    <row r="881" spans="1:36" s="536" customFormat="1" x14ac:dyDescent="0.2">
      <c r="A881" s="548"/>
      <c r="B881" s="552"/>
      <c r="C881" s="1822" t="s">
        <v>546</v>
      </c>
      <c r="D881" s="1822"/>
      <c r="E881" s="1822"/>
      <c r="F881" s="1822"/>
      <c r="G881" s="1822"/>
      <c r="H881" s="1822"/>
      <c r="I881" s="1822"/>
      <c r="J881" s="1822"/>
      <c r="K881" s="1822"/>
      <c r="L881" s="551">
        <v>3309.86</v>
      </c>
      <c r="M881" s="550"/>
      <c r="N881" s="549"/>
      <c r="AI881" s="675"/>
      <c r="AJ881" s="537" t="s">
        <v>546</v>
      </c>
    </row>
    <row r="882" spans="1:36" s="536" customFormat="1" x14ac:dyDescent="0.2">
      <c r="A882" s="548"/>
      <c r="B882" s="552"/>
      <c r="C882" s="1822" t="s">
        <v>442</v>
      </c>
      <c r="D882" s="1822"/>
      <c r="E882" s="1822"/>
      <c r="F882" s="1822"/>
      <c r="G882" s="1822"/>
      <c r="H882" s="1822"/>
      <c r="I882" s="1822"/>
      <c r="J882" s="1822"/>
      <c r="K882" s="1822"/>
      <c r="L882" s="551">
        <v>497.08</v>
      </c>
      <c r="M882" s="550"/>
      <c r="N882" s="549"/>
      <c r="AI882" s="675"/>
      <c r="AJ882" s="537" t="s">
        <v>442</v>
      </c>
    </row>
    <row r="883" spans="1:36" s="536" customFormat="1" x14ac:dyDescent="0.2">
      <c r="A883" s="548"/>
      <c r="B883" s="552"/>
      <c r="C883" s="1822" t="s">
        <v>547</v>
      </c>
      <c r="D883" s="1822"/>
      <c r="E883" s="1822"/>
      <c r="F883" s="1822"/>
      <c r="G883" s="1822"/>
      <c r="H883" s="1822"/>
      <c r="I883" s="1822"/>
      <c r="J883" s="1822"/>
      <c r="K883" s="1822"/>
      <c r="L883" s="551">
        <v>66590.100000000006</v>
      </c>
      <c r="M883" s="550"/>
      <c r="N883" s="549"/>
      <c r="AI883" s="675"/>
      <c r="AJ883" s="537" t="s">
        <v>547</v>
      </c>
    </row>
    <row r="884" spans="1:36" s="536" customFormat="1" x14ac:dyDescent="0.2">
      <c r="A884" s="548"/>
      <c r="B884" s="552"/>
      <c r="C884" s="1822" t="s">
        <v>443</v>
      </c>
      <c r="D884" s="1822"/>
      <c r="E884" s="1822"/>
      <c r="F884" s="1822"/>
      <c r="G884" s="1822"/>
      <c r="H884" s="1822"/>
      <c r="I884" s="1822"/>
      <c r="J884" s="1822"/>
      <c r="K884" s="1822"/>
      <c r="L884" s="551">
        <v>3874.45</v>
      </c>
      <c r="M884" s="550"/>
      <c r="N884" s="549"/>
      <c r="AI884" s="675"/>
      <c r="AJ884" s="537" t="s">
        <v>443</v>
      </c>
    </row>
    <row r="885" spans="1:36" s="536" customFormat="1" x14ac:dyDescent="0.2">
      <c r="A885" s="548"/>
      <c r="B885" s="552"/>
      <c r="C885" s="1822" t="s">
        <v>444</v>
      </c>
      <c r="D885" s="1822"/>
      <c r="E885" s="1822"/>
      <c r="F885" s="1822"/>
      <c r="G885" s="1822"/>
      <c r="H885" s="1822"/>
      <c r="I885" s="1822"/>
      <c r="J885" s="1822"/>
      <c r="K885" s="1822"/>
      <c r="L885" s="551">
        <v>2282.08</v>
      </c>
      <c r="M885" s="550"/>
      <c r="N885" s="549"/>
      <c r="AI885" s="675"/>
      <c r="AJ885" s="537" t="s">
        <v>444</v>
      </c>
    </row>
    <row r="886" spans="1:36" s="536" customFormat="1" x14ac:dyDescent="0.2">
      <c r="A886" s="548"/>
      <c r="B886" s="552" t="s">
        <v>185</v>
      </c>
      <c r="C886" s="1822" t="s">
        <v>753</v>
      </c>
      <c r="D886" s="1822"/>
      <c r="E886" s="1822"/>
      <c r="F886" s="1822"/>
      <c r="G886" s="1822"/>
      <c r="H886" s="1822"/>
      <c r="I886" s="1822"/>
      <c r="J886" s="1822"/>
      <c r="K886" s="1822"/>
      <c r="L886" s="551">
        <v>752.66</v>
      </c>
      <c r="M886" s="550">
        <v>8.32</v>
      </c>
      <c r="N886" s="549">
        <v>6262</v>
      </c>
      <c r="AI886" s="675"/>
      <c r="AJ886" s="537" t="s">
        <v>753</v>
      </c>
    </row>
    <row r="887" spans="1:36" s="536" customFormat="1" x14ac:dyDescent="0.2">
      <c r="A887" s="548"/>
      <c r="B887" s="552"/>
      <c r="C887" s="1822" t="s">
        <v>204</v>
      </c>
      <c r="D887" s="1822"/>
      <c r="E887" s="1822"/>
      <c r="F887" s="1822"/>
      <c r="G887" s="1822"/>
      <c r="H887" s="1822"/>
      <c r="I887" s="1822"/>
      <c r="J887" s="1822"/>
      <c r="K887" s="1822"/>
      <c r="L887" s="551"/>
      <c r="M887" s="550"/>
      <c r="N887" s="549"/>
      <c r="AI887" s="675"/>
      <c r="AJ887" s="537" t="s">
        <v>204</v>
      </c>
    </row>
    <row r="888" spans="1:36" s="536" customFormat="1" x14ac:dyDescent="0.2">
      <c r="A888" s="548"/>
      <c r="B888" s="552"/>
      <c r="C888" s="1822" t="s">
        <v>546</v>
      </c>
      <c r="D888" s="1822"/>
      <c r="E888" s="1822"/>
      <c r="F888" s="1822"/>
      <c r="G888" s="1822"/>
      <c r="H888" s="1822"/>
      <c r="I888" s="1822"/>
      <c r="J888" s="1822"/>
      <c r="K888" s="1822"/>
      <c r="L888" s="551">
        <v>246.55</v>
      </c>
      <c r="M888" s="550"/>
      <c r="N888" s="549"/>
      <c r="AI888" s="675"/>
      <c r="AJ888" s="537" t="s">
        <v>546</v>
      </c>
    </row>
    <row r="889" spans="1:36" s="536" customFormat="1" x14ac:dyDescent="0.2">
      <c r="A889" s="548"/>
      <c r="B889" s="552"/>
      <c r="C889" s="1822" t="s">
        <v>442</v>
      </c>
      <c r="D889" s="1822"/>
      <c r="E889" s="1822"/>
      <c r="F889" s="1822"/>
      <c r="G889" s="1822"/>
      <c r="H889" s="1822"/>
      <c r="I889" s="1822"/>
      <c r="J889" s="1822"/>
      <c r="K889" s="1822"/>
      <c r="L889" s="551">
        <v>75.77</v>
      </c>
      <c r="M889" s="550"/>
      <c r="N889" s="549"/>
      <c r="AI889" s="675"/>
      <c r="AJ889" s="537" t="s">
        <v>442</v>
      </c>
    </row>
    <row r="890" spans="1:36" s="536" customFormat="1" x14ac:dyDescent="0.2">
      <c r="A890" s="548"/>
      <c r="B890" s="552"/>
      <c r="C890" s="1822" t="s">
        <v>547</v>
      </c>
      <c r="D890" s="1822"/>
      <c r="E890" s="1822"/>
      <c r="F890" s="1822"/>
      <c r="G890" s="1822"/>
      <c r="H890" s="1822"/>
      <c r="I890" s="1822"/>
      <c r="J890" s="1822"/>
      <c r="K890" s="1822"/>
      <c r="L890" s="551">
        <v>57.54</v>
      </c>
      <c r="M890" s="550"/>
      <c r="N890" s="549"/>
      <c r="AI890" s="675"/>
      <c r="AJ890" s="537" t="s">
        <v>547</v>
      </c>
    </row>
    <row r="891" spans="1:36" s="536" customFormat="1" x14ac:dyDescent="0.2">
      <c r="A891" s="548"/>
      <c r="B891" s="552"/>
      <c r="C891" s="1822" t="s">
        <v>443</v>
      </c>
      <c r="D891" s="1822"/>
      <c r="E891" s="1822"/>
      <c r="F891" s="1822"/>
      <c r="G891" s="1822"/>
      <c r="H891" s="1822"/>
      <c r="I891" s="1822"/>
      <c r="J891" s="1822"/>
      <c r="K891" s="1822"/>
      <c r="L891" s="551">
        <v>244.75</v>
      </c>
      <c r="M891" s="550"/>
      <c r="N891" s="549"/>
      <c r="AI891" s="675"/>
      <c r="AJ891" s="537" t="s">
        <v>443</v>
      </c>
    </row>
    <row r="892" spans="1:36" s="536" customFormat="1" x14ac:dyDescent="0.2">
      <c r="A892" s="548"/>
      <c r="B892" s="552"/>
      <c r="C892" s="1822" t="s">
        <v>444</v>
      </c>
      <c r="D892" s="1822"/>
      <c r="E892" s="1822"/>
      <c r="F892" s="1822"/>
      <c r="G892" s="1822"/>
      <c r="H892" s="1822"/>
      <c r="I892" s="1822"/>
      <c r="J892" s="1822"/>
      <c r="K892" s="1822"/>
      <c r="L892" s="551">
        <v>128.05000000000001</v>
      </c>
      <c r="M892" s="550"/>
      <c r="N892" s="549"/>
      <c r="AI892" s="675"/>
      <c r="AJ892" s="537" t="s">
        <v>444</v>
      </c>
    </row>
    <row r="893" spans="1:36" s="536" customFormat="1" x14ac:dyDescent="0.2">
      <c r="A893" s="548"/>
      <c r="B893" s="552"/>
      <c r="C893" s="1822" t="s">
        <v>754</v>
      </c>
      <c r="D893" s="1822"/>
      <c r="E893" s="1822"/>
      <c r="F893" s="1822"/>
      <c r="G893" s="1822"/>
      <c r="H893" s="1822"/>
      <c r="I893" s="1822"/>
      <c r="J893" s="1822"/>
      <c r="K893" s="1822"/>
      <c r="L893" s="551">
        <v>84493.16</v>
      </c>
      <c r="M893" s="550"/>
      <c r="N893" s="549">
        <v>387824</v>
      </c>
      <c r="AI893" s="675"/>
      <c r="AJ893" s="537" t="s">
        <v>754</v>
      </c>
    </row>
    <row r="894" spans="1:36" s="536" customFormat="1" x14ac:dyDescent="0.2">
      <c r="A894" s="548"/>
      <c r="B894" s="552" t="s">
        <v>186</v>
      </c>
      <c r="C894" s="1822" t="s">
        <v>2223</v>
      </c>
      <c r="D894" s="1822"/>
      <c r="E894" s="1822"/>
      <c r="F894" s="1822"/>
      <c r="G894" s="1822"/>
      <c r="H894" s="1822"/>
      <c r="I894" s="1822"/>
      <c r="J894" s="1822"/>
      <c r="K894" s="1822"/>
      <c r="L894" s="551">
        <v>82256.850000000006</v>
      </c>
      <c r="M894" s="550">
        <v>4.59</v>
      </c>
      <c r="N894" s="549">
        <v>377559</v>
      </c>
      <c r="AI894" s="675"/>
      <c r="AJ894" s="537" t="s">
        <v>2223</v>
      </c>
    </row>
    <row r="895" spans="1:36" s="536" customFormat="1" x14ac:dyDescent="0.2">
      <c r="A895" s="548"/>
      <c r="B895" s="552" t="s">
        <v>186</v>
      </c>
      <c r="C895" s="1822" t="s">
        <v>2224</v>
      </c>
      <c r="D895" s="1822"/>
      <c r="E895" s="1822"/>
      <c r="F895" s="1822"/>
      <c r="G895" s="1822"/>
      <c r="H895" s="1822"/>
      <c r="I895" s="1822"/>
      <c r="J895" s="1822"/>
      <c r="K895" s="1822"/>
      <c r="L895" s="551">
        <v>2236.31</v>
      </c>
      <c r="M895" s="550">
        <v>4.59</v>
      </c>
      <c r="N895" s="549">
        <v>10265</v>
      </c>
      <c r="AI895" s="675"/>
      <c r="AJ895" s="537" t="s">
        <v>2224</v>
      </c>
    </row>
    <row r="896" spans="1:36" s="536" customFormat="1" x14ac:dyDescent="0.2">
      <c r="A896" s="548"/>
      <c r="B896" s="552"/>
      <c r="C896" s="1822" t="s">
        <v>415</v>
      </c>
      <c r="D896" s="1822"/>
      <c r="E896" s="1822"/>
      <c r="F896" s="1822"/>
      <c r="G896" s="1822"/>
      <c r="H896" s="1822"/>
      <c r="I896" s="1822"/>
      <c r="J896" s="1822"/>
      <c r="K896" s="1822"/>
      <c r="L896" s="551">
        <v>3628.46</v>
      </c>
      <c r="M896" s="550"/>
      <c r="N896" s="549"/>
      <c r="AI896" s="675"/>
      <c r="AJ896" s="537" t="s">
        <v>415</v>
      </c>
    </row>
    <row r="897" spans="1:37" x14ac:dyDescent="0.2">
      <c r="A897" s="548"/>
      <c r="B897" s="552"/>
      <c r="C897" s="1822" t="s">
        <v>416</v>
      </c>
      <c r="D897" s="1822"/>
      <c r="E897" s="1822"/>
      <c r="F897" s="1822"/>
      <c r="G897" s="1822"/>
      <c r="H897" s="1822"/>
      <c r="I897" s="1822"/>
      <c r="J897" s="1822"/>
      <c r="K897" s="1822"/>
      <c r="L897" s="551">
        <v>4119.2</v>
      </c>
      <c r="M897" s="550"/>
      <c r="N897" s="549"/>
      <c r="P897" s="536"/>
      <c r="Q897" s="536"/>
      <c r="R897" s="536"/>
      <c r="S897" s="536"/>
      <c r="T897" s="536"/>
      <c r="U897" s="536"/>
      <c r="V897" s="536"/>
      <c r="W897" s="536"/>
      <c r="X897" s="536"/>
      <c r="Y897" s="536"/>
      <c r="Z897" s="536"/>
      <c r="AA897" s="536"/>
      <c r="AB897" s="536"/>
      <c r="AC897" s="536"/>
      <c r="AD897" s="536"/>
      <c r="AE897" s="536"/>
      <c r="AF897" s="536"/>
      <c r="AG897" s="536"/>
      <c r="AH897" s="536"/>
      <c r="AI897" s="675"/>
      <c r="AJ897" s="537" t="s">
        <v>416</v>
      </c>
      <c r="AK897" s="536"/>
    </row>
    <row r="898" spans="1:37" x14ac:dyDescent="0.2">
      <c r="A898" s="548"/>
      <c r="B898" s="552"/>
      <c r="C898" s="1822" t="s">
        <v>417</v>
      </c>
      <c r="D898" s="1822"/>
      <c r="E898" s="1822"/>
      <c r="F898" s="1822"/>
      <c r="G898" s="1822"/>
      <c r="H898" s="1822"/>
      <c r="I898" s="1822"/>
      <c r="J898" s="1822"/>
      <c r="K898" s="1822"/>
      <c r="L898" s="551">
        <v>2410.13</v>
      </c>
      <c r="M898" s="550"/>
      <c r="N898" s="549"/>
      <c r="P898" s="536"/>
      <c r="Q898" s="536"/>
      <c r="R898" s="536"/>
      <c r="S898" s="536"/>
      <c r="T898" s="536"/>
      <c r="U898" s="536"/>
      <c r="V898" s="536"/>
      <c r="W898" s="536"/>
      <c r="X898" s="536"/>
      <c r="Y898" s="536"/>
      <c r="Z898" s="536"/>
      <c r="AA898" s="536"/>
      <c r="AB898" s="536"/>
      <c r="AC898" s="536"/>
      <c r="AD898" s="536"/>
      <c r="AE898" s="536"/>
      <c r="AF898" s="536"/>
      <c r="AG898" s="536"/>
      <c r="AH898" s="536"/>
      <c r="AI898" s="675"/>
      <c r="AJ898" s="537" t="s">
        <v>417</v>
      </c>
      <c r="AK898" s="536"/>
    </row>
    <row r="899" spans="1:37" x14ac:dyDescent="0.2">
      <c r="A899" s="548"/>
      <c r="B899" s="546"/>
      <c r="C899" s="1819" t="s">
        <v>206</v>
      </c>
      <c r="D899" s="1819"/>
      <c r="E899" s="1819"/>
      <c r="F899" s="1819"/>
      <c r="G899" s="1819"/>
      <c r="H899" s="1819"/>
      <c r="I899" s="1819"/>
      <c r="J899" s="1819"/>
      <c r="K899" s="1819"/>
      <c r="L899" s="544">
        <v>161799.39000000001</v>
      </c>
      <c r="M899" s="543"/>
      <c r="N899" s="547">
        <v>1031012</v>
      </c>
      <c r="P899" s="536"/>
      <c r="Q899" s="536"/>
      <c r="R899" s="536"/>
      <c r="S899" s="536"/>
      <c r="T899" s="536"/>
      <c r="U899" s="536"/>
      <c r="V899" s="536"/>
      <c r="W899" s="536"/>
      <c r="X899" s="536"/>
      <c r="Y899" s="536"/>
      <c r="Z899" s="536"/>
      <c r="AA899" s="536"/>
      <c r="AB899" s="536"/>
      <c r="AC899" s="536"/>
      <c r="AD899" s="536"/>
      <c r="AE899" s="536"/>
      <c r="AF899" s="536"/>
      <c r="AG899" s="536"/>
      <c r="AH899" s="536"/>
      <c r="AI899" s="675"/>
      <c r="AJ899" s="536"/>
      <c r="AK899" s="675" t="s">
        <v>206</v>
      </c>
    </row>
    <row r="900" spans="1:37" x14ac:dyDescent="0.2">
      <c r="A900" s="548"/>
      <c r="B900" s="552"/>
      <c r="C900" s="1822" t="s">
        <v>204</v>
      </c>
      <c r="D900" s="1822"/>
      <c r="E900" s="1822"/>
      <c r="F900" s="1822"/>
      <c r="G900" s="1822"/>
      <c r="H900" s="1822"/>
      <c r="I900" s="1822"/>
      <c r="J900" s="1822"/>
      <c r="K900" s="1822"/>
      <c r="L900" s="551"/>
      <c r="M900" s="550"/>
      <c r="N900" s="549"/>
      <c r="P900" s="536"/>
      <c r="Q900" s="536"/>
      <c r="R900" s="536"/>
      <c r="S900" s="536"/>
      <c r="T900" s="536"/>
      <c r="U900" s="536"/>
      <c r="V900" s="536"/>
      <c r="W900" s="536"/>
      <c r="X900" s="536"/>
      <c r="Y900" s="536"/>
      <c r="Z900" s="536"/>
      <c r="AA900" s="536"/>
      <c r="AB900" s="536"/>
      <c r="AC900" s="536"/>
      <c r="AD900" s="536"/>
      <c r="AE900" s="536"/>
      <c r="AF900" s="536"/>
      <c r="AG900" s="536"/>
      <c r="AH900" s="536"/>
      <c r="AI900" s="675"/>
      <c r="AJ900" s="537" t="s">
        <v>204</v>
      </c>
      <c r="AK900" s="675"/>
    </row>
    <row r="901" spans="1:37" x14ac:dyDescent="0.2">
      <c r="A901" s="548"/>
      <c r="B901" s="552"/>
      <c r="C901" s="1822" t="s">
        <v>8095</v>
      </c>
      <c r="D901" s="1822"/>
      <c r="E901" s="1822"/>
      <c r="F901" s="1822"/>
      <c r="G901" s="1822"/>
      <c r="H901" s="1822"/>
      <c r="I901" s="1822"/>
      <c r="J901" s="1822"/>
      <c r="K901" s="1822"/>
      <c r="L901" s="551">
        <v>25476.71</v>
      </c>
      <c r="M901" s="550"/>
      <c r="N901" s="549">
        <v>211966</v>
      </c>
      <c r="P901" s="536"/>
      <c r="Q901" s="536"/>
      <c r="R901" s="536"/>
      <c r="S901" s="536"/>
      <c r="T901" s="536"/>
      <c r="U901" s="536"/>
      <c r="V901" s="536"/>
      <c r="W901" s="536"/>
      <c r="X901" s="536"/>
      <c r="Y901" s="536"/>
      <c r="Z901" s="536"/>
      <c r="AA901" s="536"/>
      <c r="AB901" s="536"/>
      <c r="AC901" s="536"/>
      <c r="AD901" s="536"/>
      <c r="AE901" s="536"/>
      <c r="AF901" s="536"/>
      <c r="AG901" s="536"/>
      <c r="AH901" s="536"/>
      <c r="AI901" s="675"/>
      <c r="AJ901" s="537" t="s">
        <v>8095</v>
      </c>
      <c r="AK901" s="675"/>
    </row>
    <row r="902" spans="1:37" x14ac:dyDescent="0.2">
      <c r="A902" s="548"/>
      <c r="B902" s="552"/>
      <c r="C902" s="1822" t="s">
        <v>8097</v>
      </c>
      <c r="D902" s="1822"/>
      <c r="E902" s="1822"/>
      <c r="F902" s="1822"/>
      <c r="G902" s="1822"/>
      <c r="H902" s="1822"/>
      <c r="I902" s="1822"/>
      <c r="J902" s="1822"/>
      <c r="K902" s="1822"/>
      <c r="L902" s="551"/>
      <c r="M902" s="550"/>
      <c r="N902" s="549">
        <v>377559</v>
      </c>
      <c r="P902" s="536"/>
      <c r="Q902" s="536"/>
      <c r="R902" s="536"/>
      <c r="S902" s="536"/>
      <c r="T902" s="536"/>
      <c r="U902" s="536"/>
      <c r="V902" s="536"/>
      <c r="W902" s="536"/>
      <c r="X902" s="536"/>
      <c r="Y902" s="536"/>
      <c r="Z902" s="536"/>
      <c r="AA902" s="536"/>
      <c r="AB902" s="536"/>
      <c r="AC902" s="536"/>
      <c r="AD902" s="536"/>
      <c r="AE902" s="536"/>
      <c r="AF902" s="536"/>
      <c r="AG902" s="536"/>
      <c r="AH902" s="536"/>
      <c r="AI902" s="675"/>
      <c r="AJ902" s="537" t="s">
        <v>8097</v>
      </c>
      <c r="AK902" s="675"/>
    </row>
    <row r="903" spans="1:37" ht="1.5" customHeight="1" x14ac:dyDescent="0.2">
      <c r="B903" s="546"/>
      <c r="C903" s="656"/>
      <c r="D903" s="656"/>
      <c r="E903" s="656"/>
      <c r="F903" s="656"/>
      <c r="G903" s="656"/>
      <c r="H903" s="656"/>
      <c r="I903" s="656"/>
      <c r="J903" s="656"/>
      <c r="K903" s="656"/>
      <c r="L903" s="544"/>
      <c r="M903" s="543"/>
      <c r="N903" s="542"/>
      <c r="P903" s="536"/>
      <c r="Q903" s="536"/>
      <c r="R903" s="536"/>
      <c r="S903" s="536"/>
      <c r="T903" s="536"/>
      <c r="U903" s="536"/>
      <c r="V903" s="536"/>
      <c r="W903" s="536"/>
      <c r="X903" s="536"/>
      <c r="Y903" s="536"/>
      <c r="Z903" s="536"/>
      <c r="AA903" s="536"/>
      <c r="AB903" s="536"/>
      <c r="AC903" s="536"/>
      <c r="AD903" s="536"/>
      <c r="AE903" s="536"/>
      <c r="AF903" s="536"/>
      <c r="AG903" s="536"/>
      <c r="AH903" s="536"/>
      <c r="AI903" s="536"/>
      <c r="AJ903" s="536"/>
      <c r="AK903" s="536"/>
    </row>
    <row r="904" spans="1:37" ht="53.25" customHeight="1" x14ac:dyDescent="0.2">
      <c r="A904" s="541"/>
      <c r="B904" s="541"/>
      <c r="C904" s="541"/>
      <c r="D904" s="541"/>
      <c r="E904" s="541"/>
      <c r="F904" s="541"/>
      <c r="G904" s="541"/>
      <c r="H904" s="541"/>
      <c r="I904" s="541"/>
      <c r="J904" s="541"/>
      <c r="K904" s="541"/>
      <c r="L904" s="541"/>
      <c r="M904" s="541"/>
      <c r="N904" s="541"/>
      <c r="P904" s="536"/>
      <c r="Q904" s="536"/>
      <c r="R904" s="536"/>
      <c r="S904" s="536"/>
      <c r="T904" s="536"/>
      <c r="U904" s="536"/>
      <c r="V904" s="536"/>
      <c r="W904" s="536"/>
      <c r="X904" s="536"/>
      <c r="Y904" s="536"/>
      <c r="Z904" s="536"/>
      <c r="AA904" s="536"/>
      <c r="AB904" s="536"/>
      <c r="AC904" s="536"/>
      <c r="AD904" s="536"/>
      <c r="AE904" s="536"/>
      <c r="AF904" s="536"/>
      <c r="AG904" s="536"/>
      <c r="AH904" s="536"/>
      <c r="AI904" s="536"/>
      <c r="AJ904" s="536"/>
      <c r="AK904" s="536"/>
    </row>
    <row r="905" spans="1:37" x14ac:dyDescent="0.2">
      <c r="B905" s="539" t="s">
        <v>149</v>
      </c>
      <c r="C905" s="1943" t="s">
        <v>3061</v>
      </c>
      <c r="D905" s="1943"/>
      <c r="E905" s="1943"/>
      <c r="F905" s="1943"/>
      <c r="G905" s="1943"/>
      <c r="H905" s="1943"/>
      <c r="I905" s="1943"/>
      <c r="J905" s="1943"/>
      <c r="K905" s="1943"/>
      <c r="L905" s="1943"/>
    </row>
    <row r="906" spans="1:37" ht="13.5" customHeight="1" x14ac:dyDescent="0.2">
      <c r="B906" s="540"/>
      <c r="C906" s="1821" t="s">
        <v>150</v>
      </c>
      <c r="D906" s="1821"/>
      <c r="E906" s="1821"/>
      <c r="F906" s="1821"/>
      <c r="G906" s="1821"/>
      <c r="H906" s="1821"/>
      <c r="I906" s="1821"/>
      <c r="J906" s="1821"/>
      <c r="K906" s="1821"/>
      <c r="L906" s="1821"/>
    </row>
    <row r="907" spans="1:37" ht="12.75" customHeight="1" x14ac:dyDescent="0.2">
      <c r="B907" s="539" t="s">
        <v>151</v>
      </c>
      <c r="C907" s="1943" t="s">
        <v>208</v>
      </c>
      <c r="D907" s="1943"/>
      <c r="E907" s="1943"/>
      <c r="F907" s="1943"/>
      <c r="G907" s="1943"/>
      <c r="H907" s="1943"/>
      <c r="I907" s="1943"/>
      <c r="J907" s="1943"/>
      <c r="K907" s="1943"/>
      <c r="L907" s="1943"/>
    </row>
    <row r="908" spans="1:37" ht="13.5" customHeight="1" x14ac:dyDescent="0.2">
      <c r="C908" s="1821" t="s">
        <v>150</v>
      </c>
      <c r="D908" s="1821"/>
      <c r="E908" s="1821"/>
      <c r="F908" s="1821"/>
      <c r="G908" s="1821"/>
      <c r="H908" s="1821"/>
      <c r="I908" s="1821"/>
      <c r="J908" s="1821"/>
      <c r="K908" s="1821"/>
      <c r="L908" s="1821"/>
    </row>
    <row r="910" spans="1:37" x14ac:dyDescent="0.2">
      <c r="B910" s="538"/>
      <c r="D910" s="538"/>
      <c r="F910" s="538"/>
      <c r="P910" s="536"/>
      <c r="Q910" s="536"/>
      <c r="R910" s="536"/>
      <c r="S910" s="536"/>
      <c r="T910" s="536"/>
      <c r="U910" s="536"/>
      <c r="V910" s="536"/>
      <c r="W910" s="536"/>
      <c r="X910" s="536"/>
      <c r="Y910" s="536"/>
      <c r="Z910" s="536"/>
      <c r="AA910" s="536"/>
      <c r="AB910" s="536"/>
      <c r="AC910" s="536"/>
      <c r="AD910" s="536"/>
      <c r="AE910" s="536"/>
      <c r="AF910" s="536"/>
      <c r="AG910" s="536"/>
      <c r="AH910" s="536"/>
      <c r="AI910" s="536"/>
      <c r="AJ910" s="536"/>
      <c r="AK910" s="536"/>
    </row>
  </sheetData>
  <mergeCells count="801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C53:E53"/>
    <mergeCell ref="C54:E54"/>
    <mergeCell ref="C56:N56"/>
    <mergeCell ref="C57:E57"/>
    <mergeCell ref="C59:N59"/>
    <mergeCell ref="C60:E60"/>
    <mergeCell ref="C47:E47"/>
    <mergeCell ref="C48:E48"/>
    <mergeCell ref="C49:E49"/>
    <mergeCell ref="C50:E50"/>
    <mergeCell ref="C51:E51"/>
    <mergeCell ref="C52:E52"/>
    <mergeCell ref="C69:K69"/>
    <mergeCell ref="C70:K70"/>
    <mergeCell ref="C71:K71"/>
    <mergeCell ref="C72:K72"/>
    <mergeCell ref="C73:K73"/>
    <mergeCell ref="C74:K74"/>
    <mergeCell ref="C62:N62"/>
    <mergeCell ref="C64:K64"/>
    <mergeCell ref="C65:K65"/>
    <mergeCell ref="C66:K66"/>
    <mergeCell ref="C67:K67"/>
    <mergeCell ref="C68:K68"/>
    <mergeCell ref="C81:K81"/>
    <mergeCell ref="C82:K82"/>
    <mergeCell ref="C83:K83"/>
    <mergeCell ref="C84:K84"/>
    <mergeCell ref="C85:K85"/>
    <mergeCell ref="C86:K86"/>
    <mergeCell ref="C75:K75"/>
    <mergeCell ref="C76:K76"/>
    <mergeCell ref="C77:K77"/>
    <mergeCell ref="C78:K78"/>
    <mergeCell ref="C79:K79"/>
    <mergeCell ref="C80:K80"/>
    <mergeCell ref="C93:E93"/>
    <mergeCell ref="C94:E94"/>
    <mergeCell ref="C95:E95"/>
    <mergeCell ref="C96:E96"/>
    <mergeCell ref="C97:E97"/>
    <mergeCell ref="C98:E98"/>
    <mergeCell ref="A87:N87"/>
    <mergeCell ref="A88:N88"/>
    <mergeCell ref="C89:E89"/>
    <mergeCell ref="C90:N90"/>
    <mergeCell ref="C91:N91"/>
    <mergeCell ref="C92:E92"/>
    <mergeCell ref="C106:E106"/>
    <mergeCell ref="C107:N107"/>
    <mergeCell ref="C108:N108"/>
    <mergeCell ref="C109:E109"/>
    <mergeCell ref="C110:E110"/>
    <mergeCell ref="C111:E111"/>
    <mergeCell ref="C99:E99"/>
    <mergeCell ref="C100:E100"/>
    <mergeCell ref="C101:E101"/>
    <mergeCell ref="C102:E102"/>
    <mergeCell ref="C103:E103"/>
    <mergeCell ref="C105:N105"/>
    <mergeCell ref="C118:E118"/>
    <mergeCell ref="C119:E119"/>
    <mergeCell ref="C120:E120"/>
    <mergeCell ref="C122:E122"/>
    <mergeCell ref="C123:N123"/>
    <mergeCell ref="C124:E124"/>
    <mergeCell ref="C112:E112"/>
    <mergeCell ref="C113:E113"/>
    <mergeCell ref="C114:E114"/>
    <mergeCell ref="C115:E115"/>
    <mergeCell ref="C116:E116"/>
    <mergeCell ref="C117:E117"/>
    <mergeCell ref="C131:E131"/>
    <mergeCell ref="C132:E132"/>
    <mergeCell ref="C134:N134"/>
    <mergeCell ref="C135:E135"/>
    <mergeCell ref="C136:N136"/>
    <mergeCell ref="C137:E137"/>
    <mergeCell ref="C125:E125"/>
    <mergeCell ref="C126:E126"/>
    <mergeCell ref="C127:E127"/>
    <mergeCell ref="C128:E128"/>
    <mergeCell ref="C129:E129"/>
    <mergeCell ref="C130:E130"/>
    <mergeCell ref="C144:E144"/>
    <mergeCell ref="C145:E145"/>
    <mergeCell ref="C146:E146"/>
    <mergeCell ref="C147:E147"/>
    <mergeCell ref="C148:E148"/>
    <mergeCell ref="C150:N150"/>
    <mergeCell ref="C138:E138"/>
    <mergeCell ref="C139:E139"/>
    <mergeCell ref="C140:E140"/>
    <mergeCell ref="C141:E141"/>
    <mergeCell ref="C142:E142"/>
    <mergeCell ref="C143:E143"/>
    <mergeCell ref="C157:E157"/>
    <mergeCell ref="C158:E158"/>
    <mergeCell ref="C159:E159"/>
    <mergeCell ref="C160:E160"/>
    <mergeCell ref="C161:E161"/>
    <mergeCell ref="C162:E162"/>
    <mergeCell ref="C151:E151"/>
    <mergeCell ref="C152:N152"/>
    <mergeCell ref="C153:N153"/>
    <mergeCell ref="C154:E154"/>
    <mergeCell ref="C155:E155"/>
    <mergeCell ref="C156:E156"/>
    <mergeCell ref="C170:E170"/>
    <mergeCell ref="C172:N172"/>
    <mergeCell ref="C173:E173"/>
    <mergeCell ref="C174:N174"/>
    <mergeCell ref="C175:E175"/>
    <mergeCell ref="C176:E176"/>
    <mergeCell ref="C163:E163"/>
    <mergeCell ref="C164:E164"/>
    <mergeCell ref="C165:E165"/>
    <mergeCell ref="C166:E166"/>
    <mergeCell ref="C167:E167"/>
    <mergeCell ref="C169:N169"/>
    <mergeCell ref="C183:E183"/>
    <mergeCell ref="C185:N185"/>
    <mergeCell ref="C186:E186"/>
    <mergeCell ref="C187:N187"/>
    <mergeCell ref="C188:N188"/>
    <mergeCell ref="C189:E189"/>
    <mergeCell ref="C177:E177"/>
    <mergeCell ref="C178:E178"/>
    <mergeCell ref="C179:E179"/>
    <mergeCell ref="C180:E180"/>
    <mergeCell ref="C181:E181"/>
    <mergeCell ref="C182:E182"/>
    <mergeCell ref="C196:E196"/>
    <mergeCell ref="C197:E197"/>
    <mergeCell ref="C198:E198"/>
    <mergeCell ref="C199:E199"/>
    <mergeCell ref="C200:E200"/>
    <mergeCell ref="C201:E201"/>
    <mergeCell ref="C190:E190"/>
    <mergeCell ref="C191:E191"/>
    <mergeCell ref="C192:E192"/>
    <mergeCell ref="C193:E193"/>
    <mergeCell ref="C194:E194"/>
    <mergeCell ref="C195:E195"/>
    <mergeCell ref="C209:E209"/>
    <mergeCell ref="C210:E210"/>
    <mergeCell ref="C211:E211"/>
    <mergeCell ref="C212:E212"/>
    <mergeCell ref="C213:E213"/>
    <mergeCell ref="C214:E214"/>
    <mergeCell ref="C202:E202"/>
    <mergeCell ref="A204:N204"/>
    <mergeCell ref="C205:E205"/>
    <mergeCell ref="C206:N206"/>
    <mergeCell ref="C207:N207"/>
    <mergeCell ref="C208:E208"/>
    <mergeCell ref="C222:E222"/>
    <mergeCell ref="C223:N223"/>
    <mergeCell ref="C224:E224"/>
    <mergeCell ref="C225:E225"/>
    <mergeCell ref="C226:E226"/>
    <mergeCell ref="C227:E227"/>
    <mergeCell ref="C215:E215"/>
    <mergeCell ref="C216:E216"/>
    <mergeCell ref="C217:E217"/>
    <mergeCell ref="C218:E218"/>
    <mergeCell ref="C219:E219"/>
    <mergeCell ref="C221:N221"/>
    <mergeCell ref="C235:E235"/>
    <mergeCell ref="C236:N236"/>
    <mergeCell ref="C237:N237"/>
    <mergeCell ref="C238:E238"/>
    <mergeCell ref="C239:E239"/>
    <mergeCell ref="C240:E240"/>
    <mergeCell ref="C228:E228"/>
    <mergeCell ref="C229:E229"/>
    <mergeCell ref="C230:E230"/>
    <mergeCell ref="C231:E231"/>
    <mergeCell ref="C232:E232"/>
    <mergeCell ref="C234:N234"/>
    <mergeCell ref="C247:E247"/>
    <mergeCell ref="C248:E248"/>
    <mergeCell ref="C249:E249"/>
    <mergeCell ref="C250:E250"/>
    <mergeCell ref="C251:E251"/>
    <mergeCell ref="A253:N253"/>
    <mergeCell ref="C241:E241"/>
    <mergeCell ref="C242:E242"/>
    <mergeCell ref="C243:E243"/>
    <mergeCell ref="C244:E244"/>
    <mergeCell ref="C245:E245"/>
    <mergeCell ref="C246:E246"/>
    <mergeCell ref="C260:E260"/>
    <mergeCell ref="C261:E261"/>
    <mergeCell ref="C262:E262"/>
    <mergeCell ref="C263:E263"/>
    <mergeCell ref="C264:E264"/>
    <mergeCell ref="C265:E265"/>
    <mergeCell ref="C254:E254"/>
    <mergeCell ref="C255:N255"/>
    <mergeCell ref="C256:N256"/>
    <mergeCell ref="C257:E257"/>
    <mergeCell ref="C258:E258"/>
    <mergeCell ref="C259:E259"/>
    <mergeCell ref="C273:E273"/>
    <mergeCell ref="C274:E274"/>
    <mergeCell ref="C275:E275"/>
    <mergeCell ref="C276:E276"/>
    <mergeCell ref="C277:E277"/>
    <mergeCell ref="C278:E278"/>
    <mergeCell ref="C266:E266"/>
    <mergeCell ref="C267:E267"/>
    <mergeCell ref="C268:E268"/>
    <mergeCell ref="C270:N270"/>
    <mergeCell ref="C271:E271"/>
    <mergeCell ref="C272:N272"/>
    <mergeCell ref="C286:N286"/>
    <mergeCell ref="C287:E287"/>
    <mergeCell ref="C288:E288"/>
    <mergeCell ref="C289:E289"/>
    <mergeCell ref="C290:E290"/>
    <mergeCell ref="C291:E291"/>
    <mergeCell ref="C279:E279"/>
    <mergeCell ref="C280:E280"/>
    <mergeCell ref="C281:E281"/>
    <mergeCell ref="C283:N283"/>
    <mergeCell ref="C284:E284"/>
    <mergeCell ref="C285:N285"/>
    <mergeCell ref="C298:E298"/>
    <mergeCell ref="C299:E299"/>
    <mergeCell ref="C300:E300"/>
    <mergeCell ref="A302:N302"/>
    <mergeCell ref="C303:E303"/>
    <mergeCell ref="C304:N304"/>
    <mergeCell ref="C292:E292"/>
    <mergeCell ref="C293:E293"/>
    <mergeCell ref="C294:E294"/>
    <mergeCell ref="C295:E295"/>
    <mergeCell ref="C296:E296"/>
    <mergeCell ref="C297:E297"/>
    <mergeCell ref="C311:E311"/>
    <mergeCell ref="C312:E312"/>
    <mergeCell ref="C313:E313"/>
    <mergeCell ref="C314:E314"/>
    <mergeCell ref="C315:E315"/>
    <mergeCell ref="C316:E316"/>
    <mergeCell ref="C305:N305"/>
    <mergeCell ref="C306:E306"/>
    <mergeCell ref="C307:E307"/>
    <mergeCell ref="C308:E308"/>
    <mergeCell ref="C309:E309"/>
    <mergeCell ref="C310:E310"/>
    <mergeCell ref="C324:E324"/>
    <mergeCell ref="C325:E325"/>
    <mergeCell ref="C326:E326"/>
    <mergeCell ref="C327:E327"/>
    <mergeCell ref="C328:E328"/>
    <mergeCell ref="C329:E329"/>
    <mergeCell ref="C317:E317"/>
    <mergeCell ref="C319:N319"/>
    <mergeCell ref="C320:E320"/>
    <mergeCell ref="C321:N321"/>
    <mergeCell ref="C322:E322"/>
    <mergeCell ref="C323:E323"/>
    <mergeCell ref="C337:E337"/>
    <mergeCell ref="C338:E338"/>
    <mergeCell ref="C339:E339"/>
    <mergeCell ref="C340:E340"/>
    <mergeCell ref="C341:E341"/>
    <mergeCell ref="C342:E342"/>
    <mergeCell ref="C330:E330"/>
    <mergeCell ref="C332:N332"/>
    <mergeCell ref="C333:E333"/>
    <mergeCell ref="C334:N334"/>
    <mergeCell ref="C335:E335"/>
    <mergeCell ref="C336:E336"/>
    <mergeCell ref="A350:N350"/>
    <mergeCell ref="C351:E351"/>
    <mergeCell ref="C352:N352"/>
    <mergeCell ref="C353:N353"/>
    <mergeCell ref="C354:E354"/>
    <mergeCell ref="C355:E355"/>
    <mergeCell ref="C343:E343"/>
    <mergeCell ref="C344:E344"/>
    <mergeCell ref="C345:E345"/>
    <mergeCell ref="C346:E346"/>
    <mergeCell ref="C347:E347"/>
    <mergeCell ref="C348:E348"/>
    <mergeCell ref="C362:E362"/>
    <mergeCell ref="C363:E363"/>
    <mergeCell ref="C364:E364"/>
    <mergeCell ref="C365:E365"/>
    <mergeCell ref="C367:N367"/>
    <mergeCell ref="C368:E368"/>
    <mergeCell ref="C356:E356"/>
    <mergeCell ref="C357:E357"/>
    <mergeCell ref="C358:E358"/>
    <mergeCell ref="C359:E359"/>
    <mergeCell ref="C360:E360"/>
    <mergeCell ref="C361:E361"/>
    <mergeCell ref="C375:E375"/>
    <mergeCell ref="C376:E376"/>
    <mergeCell ref="C377:E377"/>
    <mergeCell ref="C378:E378"/>
    <mergeCell ref="C380:N380"/>
    <mergeCell ref="C381:E381"/>
    <mergeCell ref="C369:N369"/>
    <mergeCell ref="C370:E370"/>
    <mergeCell ref="C371:E371"/>
    <mergeCell ref="C372:E372"/>
    <mergeCell ref="C373:E373"/>
    <mergeCell ref="C374:E374"/>
    <mergeCell ref="C388:E388"/>
    <mergeCell ref="C389:E389"/>
    <mergeCell ref="C390:E390"/>
    <mergeCell ref="C391:E391"/>
    <mergeCell ref="C392:E392"/>
    <mergeCell ref="C393:E393"/>
    <mergeCell ref="C382:N382"/>
    <mergeCell ref="C383:E383"/>
    <mergeCell ref="C384:E384"/>
    <mergeCell ref="C385:E385"/>
    <mergeCell ref="C386:E386"/>
    <mergeCell ref="C387:E387"/>
    <mergeCell ref="C401:N401"/>
    <mergeCell ref="C402:N402"/>
    <mergeCell ref="C403:E403"/>
    <mergeCell ref="C404:E404"/>
    <mergeCell ref="C405:E405"/>
    <mergeCell ref="C406:E406"/>
    <mergeCell ref="C394:E394"/>
    <mergeCell ref="C395:E395"/>
    <mergeCell ref="C396:E396"/>
    <mergeCell ref="A398:N398"/>
    <mergeCell ref="C399:E399"/>
    <mergeCell ref="C400:N400"/>
    <mergeCell ref="C413:E413"/>
    <mergeCell ref="C414:E414"/>
    <mergeCell ref="C415:E415"/>
    <mergeCell ref="C417:E417"/>
    <mergeCell ref="C419:E419"/>
    <mergeCell ref="C421:E421"/>
    <mergeCell ref="C407:E407"/>
    <mergeCell ref="C408:E408"/>
    <mergeCell ref="C409:E409"/>
    <mergeCell ref="C410:E410"/>
    <mergeCell ref="C411:E411"/>
    <mergeCell ref="C412:E412"/>
    <mergeCell ref="C428:E428"/>
    <mergeCell ref="C429:E429"/>
    <mergeCell ref="C430:E430"/>
    <mergeCell ref="C431:E431"/>
    <mergeCell ref="C432:E432"/>
    <mergeCell ref="C433:E433"/>
    <mergeCell ref="C422:N422"/>
    <mergeCell ref="C423:N423"/>
    <mergeCell ref="C424:E424"/>
    <mergeCell ref="C425:E425"/>
    <mergeCell ref="C426:E426"/>
    <mergeCell ref="C427:E427"/>
    <mergeCell ref="C441:N441"/>
    <mergeCell ref="C442:E442"/>
    <mergeCell ref="C443:E443"/>
    <mergeCell ref="C444:E444"/>
    <mergeCell ref="C445:E445"/>
    <mergeCell ref="C446:E446"/>
    <mergeCell ref="C434:E434"/>
    <mergeCell ref="C435:E435"/>
    <mergeCell ref="C436:E436"/>
    <mergeCell ref="A438:N438"/>
    <mergeCell ref="C439:E439"/>
    <mergeCell ref="C440:N440"/>
    <mergeCell ref="C453:E453"/>
    <mergeCell ref="C454:E454"/>
    <mergeCell ref="C456:E456"/>
    <mergeCell ref="C457:N457"/>
    <mergeCell ref="C458:N458"/>
    <mergeCell ref="C459:E459"/>
    <mergeCell ref="C447:E447"/>
    <mergeCell ref="C448:E448"/>
    <mergeCell ref="C449:E449"/>
    <mergeCell ref="C450:E450"/>
    <mergeCell ref="C451:E451"/>
    <mergeCell ref="C452:E452"/>
    <mergeCell ref="C466:E466"/>
    <mergeCell ref="C467:E467"/>
    <mergeCell ref="C468:E468"/>
    <mergeCell ref="C469:E469"/>
    <mergeCell ref="C470:E470"/>
    <mergeCell ref="C471:E471"/>
    <mergeCell ref="C460:E460"/>
    <mergeCell ref="C461:E461"/>
    <mergeCell ref="C462:E462"/>
    <mergeCell ref="C463:E463"/>
    <mergeCell ref="C464:E464"/>
    <mergeCell ref="C465:E465"/>
    <mergeCell ref="C479:E479"/>
    <mergeCell ref="C480:E480"/>
    <mergeCell ref="C481:E481"/>
    <mergeCell ref="C482:E482"/>
    <mergeCell ref="C483:E483"/>
    <mergeCell ref="C484:E484"/>
    <mergeCell ref="C473:N473"/>
    <mergeCell ref="C474:E474"/>
    <mergeCell ref="C475:N475"/>
    <mergeCell ref="C476:N476"/>
    <mergeCell ref="C477:N477"/>
    <mergeCell ref="C478:E478"/>
    <mergeCell ref="C492:N492"/>
    <mergeCell ref="C493:E493"/>
    <mergeCell ref="C495:N495"/>
    <mergeCell ref="C496:E496"/>
    <mergeCell ref="C498:N498"/>
    <mergeCell ref="C499:E499"/>
    <mergeCell ref="C485:E485"/>
    <mergeCell ref="C486:E486"/>
    <mergeCell ref="C487:E487"/>
    <mergeCell ref="C488:E488"/>
    <mergeCell ref="C489:E489"/>
    <mergeCell ref="C490:E490"/>
    <mergeCell ref="C506:E506"/>
    <mergeCell ref="C507:E507"/>
    <mergeCell ref="C508:E508"/>
    <mergeCell ref="C509:E509"/>
    <mergeCell ref="C510:E510"/>
    <mergeCell ref="C511:E511"/>
    <mergeCell ref="C500:N500"/>
    <mergeCell ref="C501:N501"/>
    <mergeCell ref="C502:E502"/>
    <mergeCell ref="C503:E503"/>
    <mergeCell ref="C504:E504"/>
    <mergeCell ref="C505:E505"/>
    <mergeCell ref="C519:E519"/>
    <mergeCell ref="C520:E520"/>
    <mergeCell ref="C521:E521"/>
    <mergeCell ref="C522:E522"/>
    <mergeCell ref="C523:E523"/>
    <mergeCell ref="C524:E524"/>
    <mergeCell ref="C512:E512"/>
    <mergeCell ref="C513:E513"/>
    <mergeCell ref="C514:E514"/>
    <mergeCell ref="C516:N516"/>
    <mergeCell ref="C517:E517"/>
    <mergeCell ref="C518:N518"/>
    <mergeCell ref="C531:E531"/>
    <mergeCell ref="A533:N533"/>
    <mergeCell ref="C534:E534"/>
    <mergeCell ref="C535:N535"/>
    <mergeCell ref="C536:N536"/>
    <mergeCell ref="C537:N537"/>
    <mergeCell ref="C525:E525"/>
    <mergeCell ref="C526:E526"/>
    <mergeCell ref="C527:E527"/>
    <mergeCell ref="C528:E528"/>
    <mergeCell ref="C529:E529"/>
    <mergeCell ref="C530:E530"/>
    <mergeCell ref="C544:E544"/>
    <mergeCell ref="C545:E545"/>
    <mergeCell ref="C546:E546"/>
    <mergeCell ref="C547:E547"/>
    <mergeCell ref="C548:E548"/>
    <mergeCell ref="C549:E549"/>
    <mergeCell ref="C538:E538"/>
    <mergeCell ref="C539:E539"/>
    <mergeCell ref="C540:E540"/>
    <mergeCell ref="C541:E541"/>
    <mergeCell ref="C542:E542"/>
    <mergeCell ref="C543:E543"/>
    <mergeCell ref="C559:N559"/>
    <mergeCell ref="C560:N560"/>
    <mergeCell ref="C561:N561"/>
    <mergeCell ref="C562:E562"/>
    <mergeCell ref="C563:E563"/>
    <mergeCell ref="C564:E564"/>
    <mergeCell ref="C550:E550"/>
    <mergeCell ref="C552:N552"/>
    <mergeCell ref="C553:E553"/>
    <mergeCell ref="C555:E555"/>
    <mergeCell ref="C557:N557"/>
    <mergeCell ref="C558:E558"/>
    <mergeCell ref="C571:E571"/>
    <mergeCell ref="C572:E572"/>
    <mergeCell ref="C573:E573"/>
    <mergeCell ref="C574:E574"/>
    <mergeCell ref="C575:E575"/>
    <mergeCell ref="C576:E576"/>
    <mergeCell ref="C565:E565"/>
    <mergeCell ref="C566:E566"/>
    <mergeCell ref="C567:E567"/>
    <mergeCell ref="C568:E568"/>
    <mergeCell ref="C569:E569"/>
    <mergeCell ref="C570:E570"/>
    <mergeCell ref="C586:E586"/>
    <mergeCell ref="C588:E588"/>
    <mergeCell ref="C590:E590"/>
    <mergeCell ref="C592:E592"/>
    <mergeCell ref="C594:E594"/>
    <mergeCell ref="C596:E596"/>
    <mergeCell ref="C577:E577"/>
    <mergeCell ref="C578:E578"/>
    <mergeCell ref="C579:E579"/>
    <mergeCell ref="C581:N581"/>
    <mergeCell ref="C582:E582"/>
    <mergeCell ref="C584:E584"/>
    <mergeCell ref="C607:N607"/>
    <mergeCell ref="C608:E608"/>
    <mergeCell ref="C610:N610"/>
    <mergeCell ref="C611:E611"/>
    <mergeCell ref="C613:N613"/>
    <mergeCell ref="C614:E614"/>
    <mergeCell ref="C598:N598"/>
    <mergeCell ref="C599:E599"/>
    <mergeCell ref="C601:N601"/>
    <mergeCell ref="C602:E602"/>
    <mergeCell ref="C604:N604"/>
    <mergeCell ref="C605:E605"/>
    <mergeCell ref="C625:N625"/>
    <mergeCell ref="C626:E626"/>
    <mergeCell ref="C628:N628"/>
    <mergeCell ref="C629:E629"/>
    <mergeCell ref="C631:N631"/>
    <mergeCell ref="C632:E632"/>
    <mergeCell ref="C616:N616"/>
    <mergeCell ref="C617:E617"/>
    <mergeCell ref="C619:N619"/>
    <mergeCell ref="C620:E620"/>
    <mergeCell ref="C622:N622"/>
    <mergeCell ref="C623:E623"/>
    <mergeCell ref="C644:E644"/>
    <mergeCell ref="C646:E646"/>
    <mergeCell ref="C648:N648"/>
    <mergeCell ref="C649:E649"/>
    <mergeCell ref="C650:N650"/>
    <mergeCell ref="C651:N651"/>
    <mergeCell ref="C634:N634"/>
    <mergeCell ref="C635:E635"/>
    <mergeCell ref="C637:N637"/>
    <mergeCell ref="C638:E638"/>
    <mergeCell ref="C640:E640"/>
    <mergeCell ref="C642:E642"/>
    <mergeCell ref="C658:E658"/>
    <mergeCell ref="C659:E659"/>
    <mergeCell ref="C660:E660"/>
    <mergeCell ref="C661:E661"/>
    <mergeCell ref="C662:E662"/>
    <mergeCell ref="C663:E663"/>
    <mergeCell ref="C652:N652"/>
    <mergeCell ref="C653:E653"/>
    <mergeCell ref="C654:E654"/>
    <mergeCell ref="C655:E655"/>
    <mergeCell ref="C656:E656"/>
    <mergeCell ref="C657:E657"/>
    <mergeCell ref="C670:E670"/>
    <mergeCell ref="C672:N672"/>
    <mergeCell ref="C673:E673"/>
    <mergeCell ref="C675:E675"/>
    <mergeCell ref="C677:N677"/>
    <mergeCell ref="C678:E678"/>
    <mergeCell ref="C664:E664"/>
    <mergeCell ref="C665:E665"/>
    <mergeCell ref="C666:E666"/>
    <mergeCell ref="C667:E667"/>
    <mergeCell ref="C668:E668"/>
    <mergeCell ref="C669:E669"/>
    <mergeCell ref="C686:E686"/>
    <mergeCell ref="C687:E687"/>
    <mergeCell ref="C688:E688"/>
    <mergeCell ref="C689:E689"/>
    <mergeCell ref="C690:E690"/>
    <mergeCell ref="C691:E691"/>
    <mergeCell ref="C680:N680"/>
    <mergeCell ref="C681:E681"/>
    <mergeCell ref="C682:N682"/>
    <mergeCell ref="C683:E683"/>
    <mergeCell ref="C684:E684"/>
    <mergeCell ref="C685:E685"/>
    <mergeCell ref="C700:K700"/>
    <mergeCell ref="C701:K701"/>
    <mergeCell ref="C702:K702"/>
    <mergeCell ref="C703:K703"/>
    <mergeCell ref="C704:K704"/>
    <mergeCell ref="C705:K705"/>
    <mergeCell ref="C692:E692"/>
    <mergeCell ref="C693:E693"/>
    <mergeCell ref="C694:E694"/>
    <mergeCell ref="C695:E695"/>
    <mergeCell ref="C698:K698"/>
    <mergeCell ref="C699:K699"/>
    <mergeCell ref="C712:K712"/>
    <mergeCell ref="C713:K713"/>
    <mergeCell ref="C714:K714"/>
    <mergeCell ref="C715:K715"/>
    <mergeCell ref="C716:K716"/>
    <mergeCell ref="C717:K717"/>
    <mergeCell ref="C706:K706"/>
    <mergeCell ref="C707:K707"/>
    <mergeCell ref="C708:K708"/>
    <mergeCell ref="C709:K709"/>
    <mergeCell ref="C710:K710"/>
    <mergeCell ref="C711:K711"/>
    <mergeCell ref="C724:K724"/>
    <mergeCell ref="C725:K725"/>
    <mergeCell ref="C726:K726"/>
    <mergeCell ref="C727:K727"/>
    <mergeCell ref="C728:K728"/>
    <mergeCell ref="A729:N729"/>
    <mergeCell ref="C718:K718"/>
    <mergeCell ref="C719:K719"/>
    <mergeCell ref="C720:K720"/>
    <mergeCell ref="C721:K721"/>
    <mergeCell ref="C722:K722"/>
    <mergeCell ref="C723:K723"/>
    <mergeCell ref="C736:E736"/>
    <mergeCell ref="C737:E737"/>
    <mergeCell ref="C738:E738"/>
    <mergeCell ref="C739:E739"/>
    <mergeCell ref="C740:E740"/>
    <mergeCell ref="C741:E741"/>
    <mergeCell ref="A730:N730"/>
    <mergeCell ref="C731:E731"/>
    <mergeCell ref="C732:N732"/>
    <mergeCell ref="C733:N733"/>
    <mergeCell ref="C734:E734"/>
    <mergeCell ref="C735:E735"/>
    <mergeCell ref="C749:E749"/>
    <mergeCell ref="C750:E750"/>
    <mergeCell ref="C751:E751"/>
    <mergeCell ref="C752:E752"/>
    <mergeCell ref="C753:E753"/>
    <mergeCell ref="C754:E754"/>
    <mergeCell ref="C742:E742"/>
    <mergeCell ref="C744:N744"/>
    <mergeCell ref="C745:E745"/>
    <mergeCell ref="C746:N746"/>
    <mergeCell ref="C747:N747"/>
    <mergeCell ref="C748:N748"/>
    <mergeCell ref="C761:E761"/>
    <mergeCell ref="C762:E762"/>
    <mergeCell ref="C763:E763"/>
    <mergeCell ref="C765:N765"/>
    <mergeCell ref="C766:E766"/>
    <mergeCell ref="C768:N768"/>
    <mergeCell ref="C755:E755"/>
    <mergeCell ref="C756:E756"/>
    <mergeCell ref="C757:E757"/>
    <mergeCell ref="C758:E758"/>
    <mergeCell ref="C759:E759"/>
    <mergeCell ref="C760:E760"/>
    <mergeCell ref="A779:N779"/>
    <mergeCell ref="C780:E780"/>
    <mergeCell ref="C781:N781"/>
    <mergeCell ref="C782:N782"/>
    <mergeCell ref="C783:E783"/>
    <mergeCell ref="C784:E784"/>
    <mergeCell ref="C769:E769"/>
    <mergeCell ref="C771:E771"/>
    <mergeCell ref="C773:E773"/>
    <mergeCell ref="C775:N775"/>
    <mergeCell ref="C776:E776"/>
    <mergeCell ref="C778:N778"/>
    <mergeCell ref="C791:E791"/>
    <mergeCell ref="C793:N793"/>
    <mergeCell ref="C794:E794"/>
    <mergeCell ref="C795:N795"/>
    <mergeCell ref="C796:N796"/>
    <mergeCell ref="C797:E797"/>
    <mergeCell ref="C785:E785"/>
    <mergeCell ref="C786:E786"/>
    <mergeCell ref="C787:E787"/>
    <mergeCell ref="C788:E788"/>
    <mergeCell ref="C789:E789"/>
    <mergeCell ref="C790:E790"/>
    <mergeCell ref="C804:E804"/>
    <mergeCell ref="C805:E805"/>
    <mergeCell ref="C806:E806"/>
    <mergeCell ref="C807:E807"/>
    <mergeCell ref="C808:E808"/>
    <mergeCell ref="C809:E809"/>
    <mergeCell ref="C798:E798"/>
    <mergeCell ref="C799:E799"/>
    <mergeCell ref="C800:E800"/>
    <mergeCell ref="C801:E801"/>
    <mergeCell ref="C802:E802"/>
    <mergeCell ref="C803:E803"/>
    <mergeCell ref="C820:N820"/>
    <mergeCell ref="C821:E821"/>
    <mergeCell ref="C823:N823"/>
    <mergeCell ref="A824:N824"/>
    <mergeCell ref="C825:E825"/>
    <mergeCell ref="C827:N827"/>
    <mergeCell ref="C810:E810"/>
    <mergeCell ref="C811:E811"/>
    <mergeCell ref="C813:N813"/>
    <mergeCell ref="C814:E814"/>
    <mergeCell ref="C816:E816"/>
    <mergeCell ref="C818:E818"/>
    <mergeCell ref="C837:K837"/>
    <mergeCell ref="C838:K838"/>
    <mergeCell ref="C839:K839"/>
    <mergeCell ref="C840:K840"/>
    <mergeCell ref="C841:K841"/>
    <mergeCell ref="C842:K842"/>
    <mergeCell ref="C828:E828"/>
    <mergeCell ref="C830:E830"/>
    <mergeCell ref="C833:K833"/>
    <mergeCell ref="C834:K834"/>
    <mergeCell ref="C835:K835"/>
    <mergeCell ref="C836:K836"/>
    <mergeCell ref="C849:K849"/>
    <mergeCell ref="C850:K850"/>
    <mergeCell ref="C851:K851"/>
    <mergeCell ref="A852:N852"/>
    <mergeCell ref="C853:E853"/>
    <mergeCell ref="C855:N855"/>
    <mergeCell ref="C843:K843"/>
    <mergeCell ref="C844:K844"/>
    <mergeCell ref="C845:K845"/>
    <mergeCell ref="C846:K846"/>
    <mergeCell ref="C847:K847"/>
    <mergeCell ref="C848:K848"/>
    <mergeCell ref="C865:K865"/>
    <mergeCell ref="C866:K866"/>
    <mergeCell ref="C867:K867"/>
    <mergeCell ref="C868:K868"/>
    <mergeCell ref="C869:K869"/>
    <mergeCell ref="C870:K870"/>
    <mergeCell ref="C856:E856"/>
    <mergeCell ref="C858:N858"/>
    <mergeCell ref="C859:E859"/>
    <mergeCell ref="C861:N861"/>
    <mergeCell ref="C863:K863"/>
    <mergeCell ref="C864:K864"/>
    <mergeCell ref="C878:K878"/>
    <mergeCell ref="C879:K879"/>
    <mergeCell ref="C880:K880"/>
    <mergeCell ref="C881:K881"/>
    <mergeCell ref="C882:K882"/>
    <mergeCell ref="C883:K883"/>
    <mergeCell ref="C872:K872"/>
    <mergeCell ref="C873:K873"/>
    <mergeCell ref="C874:K874"/>
    <mergeCell ref="C875:K875"/>
    <mergeCell ref="C876:K876"/>
    <mergeCell ref="C877:K877"/>
    <mergeCell ref="C890:K890"/>
    <mergeCell ref="C891:K891"/>
    <mergeCell ref="C892:K892"/>
    <mergeCell ref="C893:K893"/>
    <mergeCell ref="C894:K894"/>
    <mergeCell ref="C895:K895"/>
    <mergeCell ref="C884:K884"/>
    <mergeCell ref="C885:K885"/>
    <mergeCell ref="C886:K886"/>
    <mergeCell ref="C887:K887"/>
    <mergeCell ref="C888:K888"/>
    <mergeCell ref="C889:K889"/>
    <mergeCell ref="C902:K902"/>
    <mergeCell ref="C905:L905"/>
    <mergeCell ref="C906:L906"/>
    <mergeCell ref="C907:L907"/>
    <mergeCell ref="C908:L908"/>
    <mergeCell ref="C896:K896"/>
    <mergeCell ref="C897:K897"/>
    <mergeCell ref="C898:K898"/>
    <mergeCell ref="C899:K899"/>
    <mergeCell ref="C900:K900"/>
    <mergeCell ref="C901:K901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909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/>
  <dimension ref="A1:AJ257"/>
  <sheetViews>
    <sheetView topLeftCell="A225" zoomScale="115" zoomScaleNormal="115" workbookViewId="0">
      <selection activeCell="AK254" sqref="AK254"/>
    </sheetView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4" width="110.140625" style="537" hidden="1" customWidth="1"/>
    <col min="25" max="28" width="34.140625" style="537" hidden="1" customWidth="1"/>
    <col min="29" max="29" width="110.140625" style="537" hidden="1" customWidth="1"/>
    <col min="30" max="35" width="84.42578125" style="537" hidden="1" customWidth="1"/>
    <col min="36" max="36" width="138.42578125" style="537" hidden="1" customWidth="1"/>
    <col min="37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1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159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1806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1806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3062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58"/>
      <c r="B19" s="658"/>
      <c r="C19" s="658"/>
      <c r="D19" s="658"/>
      <c r="E19" s="658"/>
      <c r="F19" s="658"/>
      <c r="G19" s="658"/>
      <c r="H19" s="658"/>
      <c r="I19" s="658"/>
      <c r="J19" s="658"/>
      <c r="K19" s="658"/>
      <c r="L19" s="658"/>
      <c r="M19" s="658"/>
      <c r="N19" s="658"/>
    </row>
    <row r="20" spans="1:21" s="536" customFormat="1" x14ac:dyDescent="0.2">
      <c r="A20" s="1840" t="s">
        <v>3063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3063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3064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50.05</v>
      </c>
      <c r="D28" s="579" t="s">
        <v>8146</v>
      </c>
      <c r="E28" s="661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1"/>
    </row>
    <row r="30" spans="1:21" s="536" customFormat="1" ht="12.75" customHeight="1" x14ac:dyDescent="0.2">
      <c r="B30" s="536" t="s">
        <v>169</v>
      </c>
      <c r="C30" s="580">
        <v>0</v>
      </c>
      <c r="D30" s="579" t="s">
        <v>171</v>
      </c>
      <c r="E30" s="661" t="s">
        <v>167</v>
      </c>
      <c r="G30" s="536" t="s">
        <v>170</v>
      </c>
      <c r="L30" s="580">
        <v>0</v>
      </c>
      <c r="M30" s="579" t="s">
        <v>8147</v>
      </c>
      <c r="N30" s="661" t="s">
        <v>167</v>
      </c>
    </row>
    <row r="31" spans="1:21" s="536" customFormat="1" ht="12.75" customHeight="1" x14ac:dyDescent="0.2">
      <c r="B31" s="536" t="s">
        <v>140</v>
      </c>
      <c r="C31" s="580">
        <v>31.11</v>
      </c>
      <c r="D31" s="583" t="s">
        <v>8148</v>
      </c>
      <c r="E31" s="661" t="s">
        <v>167</v>
      </c>
      <c r="G31" s="536" t="s">
        <v>172</v>
      </c>
      <c r="L31" s="582"/>
      <c r="M31" s="582">
        <v>52.07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18.940000000000001</v>
      </c>
      <c r="D32" s="583" t="s">
        <v>8149</v>
      </c>
      <c r="E32" s="661" t="s">
        <v>167</v>
      </c>
      <c r="G32" s="536" t="s">
        <v>174</v>
      </c>
      <c r="L32" s="582"/>
      <c r="M32" s="582">
        <v>0.7</v>
      </c>
      <c r="N32" s="581" t="s">
        <v>173</v>
      </c>
    </row>
    <row r="33" spans="1:27" s="536" customFormat="1" ht="12.75" customHeight="1" x14ac:dyDescent="0.2">
      <c r="B33" s="536" t="s">
        <v>147</v>
      </c>
      <c r="C33" s="580">
        <v>0</v>
      </c>
      <c r="D33" s="579" t="s">
        <v>171</v>
      </c>
      <c r="E33" s="661" t="s">
        <v>167</v>
      </c>
      <c r="G33" s="536" t="s">
        <v>175</v>
      </c>
      <c r="L33" s="1836"/>
      <c r="M33" s="1836"/>
    </row>
    <row r="34" spans="1:27" s="536" customFormat="1" ht="9.75" customHeight="1" x14ac:dyDescent="0.2">
      <c r="A34" s="578"/>
    </row>
    <row r="35" spans="1:27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7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7" s="536" customFormat="1" ht="45" x14ac:dyDescent="0.2">
      <c r="A37" s="1833"/>
      <c r="B37" s="1833"/>
      <c r="C37" s="1833"/>
      <c r="D37" s="1833"/>
      <c r="E37" s="1833"/>
      <c r="F37" s="1833"/>
      <c r="G37" s="659" t="s">
        <v>182</v>
      </c>
      <c r="H37" s="659" t="s">
        <v>183</v>
      </c>
      <c r="I37" s="659" t="s">
        <v>184</v>
      </c>
      <c r="J37" s="659" t="s">
        <v>182</v>
      </c>
      <c r="K37" s="659" t="s">
        <v>183</v>
      </c>
      <c r="L37" s="659" t="s">
        <v>148</v>
      </c>
      <c r="M37" s="1833"/>
      <c r="N37" s="1833"/>
    </row>
    <row r="38" spans="1:27" s="536" customFormat="1" x14ac:dyDescent="0.2">
      <c r="A38" s="660">
        <v>1</v>
      </c>
      <c r="B38" s="660">
        <v>2</v>
      </c>
      <c r="C38" s="1834">
        <v>3</v>
      </c>
      <c r="D38" s="1834"/>
      <c r="E38" s="1834"/>
      <c r="F38" s="660">
        <v>4</v>
      </c>
      <c r="G38" s="660">
        <v>5</v>
      </c>
      <c r="H38" s="660">
        <v>6</v>
      </c>
      <c r="I38" s="660">
        <v>7</v>
      </c>
      <c r="J38" s="660">
        <v>8</v>
      </c>
      <c r="K38" s="660">
        <v>9</v>
      </c>
      <c r="L38" s="660">
        <v>10</v>
      </c>
      <c r="M38" s="660">
        <v>11</v>
      </c>
      <c r="N38" s="660">
        <v>12</v>
      </c>
    </row>
    <row r="39" spans="1:27" s="536" customFormat="1" ht="12" x14ac:dyDescent="0.2">
      <c r="A39" s="1824" t="s">
        <v>3066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537" t="s">
        <v>3066</v>
      </c>
    </row>
    <row r="40" spans="1:27" s="536" customFormat="1" ht="33.75" x14ac:dyDescent="0.2">
      <c r="A40" s="575" t="s">
        <v>185</v>
      </c>
      <c r="B40" s="657" t="s">
        <v>1626</v>
      </c>
      <c r="C40" s="1823" t="s">
        <v>1627</v>
      </c>
      <c r="D40" s="1823"/>
      <c r="E40" s="1823"/>
      <c r="F40" s="573" t="s">
        <v>617</v>
      </c>
      <c r="G40" s="573"/>
      <c r="H40" s="573"/>
      <c r="I40" s="573" t="s">
        <v>185</v>
      </c>
      <c r="J40" s="572"/>
      <c r="K40" s="573"/>
      <c r="L40" s="572"/>
      <c r="M40" s="571"/>
      <c r="N40" s="570"/>
      <c r="W40" s="537" t="s">
        <v>1627</v>
      </c>
    </row>
    <row r="41" spans="1:27" s="536" customFormat="1" ht="33.75" x14ac:dyDescent="0.2">
      <c r="A41" s="609"/>
      <c r="B41" s="552" t="s">
        <v>310</v>
      </c>
      <c r="C41" s="1822" t="s">
        <v>311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X41" s="537" t="s">
        <v>311</v>
      </c>
    </row>
    <row r="42" spans="1:27" s="536" customFormat="1" x14ac:dyDescent="0.2">
      <c r="A42" s="605"/>
      <c r="B42" s="552" t="s">
        <v>185</v>
      </c>
      <c r="C42" s="1822" t="s">
        <v>312</v>
      </c>
      <c r="D42" s="1822"/>
      <c r="E42" s="1822"/>
      <c r="F42" s="562"/>
      <c r="G42" s="562"/>
      <c r="H42" s="562"/>
      <c r="I42" s="562"/>
      <c r="J42" s="604">
        <v>20.440000000000001</v>
      </c>
      <c r="K42" s="562" t="s">
        <v>313</v>
      </c>
      <c r="L42" s="604">
        <v>25.55</v>
      </c>
      <c r="M42" s="603"/>
      <c r="N42" s="602"/>
      <c r="Y42" s="537" t="s">
        <v>312</v>
      </c>
    </row>
    <row r="43" spans="1:27" s="536" customFormat="1" x14ac:dyDescent="0.2">
      <c r="A43" s="605"/>
      <c r="B43" s="552" t="s">
        <v>186</v>
      </c>
      <c r="C43" s="1822" t="s">
        <v>344</v>
      </c>
      <c r="D43" s="1822"/>
      <c r="E43" s="1822"/>
      <c r="F43" s="562"/>
      <c r="G43" s="562"/>
      <c r="H43" s="562"/>
      <c r="I43" s="562"/>
      <c r="J43" s="604">
        <v>33.47</v>
      </c>
      <c r="K43" s="562" t="s">
        <v>313</v>
      </c>
      <c r="L43" s="604">
        <v>41.84</v>
      </c>
      <c r="M43" s="603"/>
      <c r="N43" s="602"/>
      <c r="Y43" s="537" t="s">
        <v>344</v>
      </c>
    </row>
    <row r="44" spans="1:27" s="536" customFormat="1" x14ac:dyDescent="0.2">
      <c r="A44" s="605"/>
      <c r="B44" s="552" t="s">
        <v>187</v>
      </c>
      <c r="C44" s="1822" t="s">
        <v>345</v>
      </c>
      <c r="D44" s="1822"/>
      <c r="E44" s="1822"/>
      <c r="F44" s="562"/>
      <c r="G44" s="562"/>
      <c r="H44" s="562"/>
      <c r="I44" s="562"/>
      <c r="J44" s="604">
        <v>3.42</v>
      </c>
      <c r="K44" s="562" t="s">
        <v>313</v>
      </c>
      <c r="L44" s="604">
        <v>4.28</v>
      </c>
      <c r="M44" s="603"/>
      <c r="N44" s="602"/>
      <c r="Y44" s="537" t="s">
        <v>345</v>
      </c>
    </row>
    <row r="45" spans="1:27" s="536" customFormat="1" x14ac:dyDescent="0.2">
      <c r="A45" s="605"/>
      <c r="B45" s="552" t="s">
        <v>188</v>
      </c>
      <c r="C45" s="1822" t="s">
        <v>475</v>
      </c>
      <c r="D45" s="1822"/>
      <c r="E45" s="1822"/>
      <c r="F45" s="562"/>
      <c r="G45" s="562"/>
      <c r="H45" s="562"/>
      <c r="I45" s="562"/>
      <c r="J45" s="604">
        <v>2.94</v>
      </c>
      <c r="K45" s="562"/>
      <c r="L45" s="604">
        <v>2.94</v>
      </c>
      <c r="M45" s="603"/>
      <c r="N45" s="602"/>
      <c r="Y45" s="537" t="s">
        <v>475</v>
      </c>
    </row>
    <row r="46" spans="1:27" s="536" customFormat="1" x14ac:dyDescent="0.2">
      <c r="A46" s="605"/>
      <c r="B46" s="552"/>
      <c r="C46" s="1822" t="s">
        <v>314</v>
      </c>
      <c r="D46" s="1822"/>
      <c r="E46" s="1822"/>
      <c r="F46" s="562" t="s">
        <v>315</v>
      </c>
      <c r="G46" s="562" t="s">
        <v>807</v>
      </c>
      <c r="H46" s="562" t="s">
        <v>313</v>
      </c>
      <c r="I46" s="562" t="s">
        <v>808</v>
      </c>
      <c r="J46" s="604"/>
      <c r="K46" s="562"/>
      <c r="L46" s="604"/>
      <c r="M46" s="603"/>
      <c r="N46" s="602"/>
      <c r="Z46" s="537" t="s">
        <v>314</v>
      </c>
    </row>
    <row r="47" spans="1:27" s="536" customFormat="1" x14ac:dyDescent="0.2">
      <c r="A47" s="605"/>
      <c r="B47" s="552"/>
      <c r="C47" s="1822" t="s">
        <v>348</v>
      </c>
      <c r="D47" s="1822"/>
      <c r="E47" s="1822"/>
      <c r="F47" s="562" t="s">
        <v>315</v>
      </c>
      <c r="G47" s="562" t="s">
        <v>1629</v>
      </c>
      <c r="H47" s="562" t="s">
        <v>313</v>
      </c>
      <c r="I47" s="562" t="s">
        <v>3130</v>
      </c>
      <c r="J47" s="604"/>
      <c r="K47" s="562"/>
      <c r="L47" s="604"/>
      <c r="M47" s="603"/>
      <c r="N47" s="602"/>
      <c r="Z47" s="537" t="s">
        <v>348</v>
      </c>
    </row>
    <row r="48" spans="1:27" s="536" customFormat="1" x14ac:dyDescent="0.2">
      <c r="A48" s="605"/>
      <c r="B48" s="552"/>
      <c r="C48" s="1828" t="s">
        <v>318</v>
      </c>
      <c r="D48" s="1828"/>
      <c r="E48" s="1828"/>
      <c r="F48" s="608"/>
      <c r="G48" s="608"/>
      <c r="H48" s="608"/>
      <c r="I48" s="608"/>
      <c r="J48" s="607">
        <v>56.85</v>
      </c>
      <c r="K48" s="608"/>
      <c r="L48" s="607">
        <v>70.33</v>
      </c>
      <c r="M48" s="601"/>
      <c r="N48" s="606"/>
      <c r="AA48" s="537" t="s">
        <v>318</v>
      </c>
    </row>
    <row r="49" spans="1:28" s="536" customFormat="1" x14ac:dyDescent="0.2">
      <c r="A49" s="605"/>
      <c r="B49" s="552"/>
      <c r="C49" s="1822" t="s">
        <v>319</v>
      </c>
      <c r="D49" s="1822"/>
      <c r="E49" s="1822"/>
      <c r="F49" s="562"/>
      <c r="G49" s="562"/>
      <c r="H49" s="562"/>
      <c r="I49" s="562"/>
      <c r="J49" s="604"/>
      <c r="K49" s="562"/>
      <c r="L49" s="604">
        <v>29.83</v>
      </c>
      <c r="M49" s="603"/>
      <c r="N49" s="602"/>
      <c r="Z49" s="537" t="s">
        <v>319</v>
      </c>
    </row>
    <row r="50" spans="1:28" s="536" customFormat="1" ht="33.75" x14ac:dyDescent="0.2">
      <c r="A50" s="605"/>
      <c r="B50" s="552" t="s">
        <v>1631</v>
      </c>
      <c r="C50" s="1822" t="s">
        <v>1632</v>
      </c>
      <c r="D50" s="1822"/>
      <c r="E50" s="1822"/>
      <c r="F50" s="562" t="s">
        <v>322</v>
      </c>
      <c r="G50" s="562" t="s">
        <v>1633</v>
      </c>
      <c r="H50" s="562"/>
      <c r="I50" s="562" t="s">
        <v>1633</v>
      </c>
      <c r="J50" s="604"/>
      <c r="K50" s="562"/>
      <c r="L50" s="604">
        <v>28.94</v>
      </c>
      <c r="M50" s="603"/>
      <c r="N50" s="602"/>
      <c r="Z50" s="537" t="s">
        <v>1632</v>
      </c>
    </row>
    <row r="51" spans="1:28" s="536" customFormat="1" ht="33.75" x14ac:dyDescent="0.2">
      <c r="A51" s="605"/>
      <c r="B51" s="552" t="s">
        <v>1634</v>
      </c>
      <c r="C51" s="1822" t="s">
        <v>1635</v>
      </c>
      <c r="D51" s="1822"/>
      <c r="E51" s="1822"/>
      <c r="F51" s="562" t="s">
        <v>322</v>
      </c>
      <c r="G51" s="562" t="s">
        <v>786</v>
      </c>
      <c r="H51" s="562"/>
      <c r="I51" s="562" t="s">
        <v>786</v>
      </c>
      <c r="J51" s="604"/>
      <c r="K51" s="562"/>
      <c r="L51" s="604">
        <v>15.21</v>
      </c>
      <c r="M51" s="603"/>
      <c r="N51" s="602"/>
      <c r="Z51" s="537" t="s">
        <v>1635</v>
      </c>
    </row>
    <row r="52" spans="1:28" s="536" customFormat="1" x14ac:dyDescent="0.2">
      <c r="A52" s="569"/>
      <c r="B52" s="656"/>
      <c r="C52" s="1823" t="s">
        <v>327</v>
      </c>
      <c r="D52" s="1823"/>
      <c r="E52" s="1823"/>
      <c r="F52" s="573"/>
      <c r="G52" s="573"/>
      <c r="H52" s="573"/>
      <c r="I52" s="573"/>
      <c r="J52" s="572"/>
      <c r="K52" s="573"/>
      <c r="L52" s="572">
        <v>114.48</v>
      </c>
      <c r="M52" s="601"/>
      <c r="N52" s="570"/>
      <c r="AB52" s="537" t="s">
        <v>327</v>
      </c>
    </row>
    <row r="53" spans="1:28" s="536" customFormat="1" ht="33.75" x14ac:dyDescent="0.2">
      <c r="A53" s="575" t="s">
        <v>625</v>
      </c>
      <c r="B53" s="657" t="s">
        <v>8150</v>
      </c>
      <c r="C53" s="1823" t="s">
        <v>8151</v>
      </c>
      <c r="D53" s="1823"/>
      <c r="E53" s="1823"/>
      <c r="F53" s="573" t="s">
        <v>617</v>
      </c>
      <c r="G53" s="573"/>
      <c r="H53" s="573"/>
      <c r="I53" s="573" t="s">
        <v>185</v>
      </c>
      <c r="J53" s="572">
        <v>15730.26</v>
      </c>
      <c r="K53" s="573" t="s">
        <v>629</v>
      </c>
      <c r="L53" s="572">
        <v>3468.19</v>
      </c>
      <c r="M53" s="571">
        <v>4.59</v>
      </c>
      <c r="N53" s="570">
        <v>15919</v>
      </c>
      <c r="W53" s="537" t="s">
        <v>8151</v>
      </c>
    </row>
    <row r="54" spans="1:28" s="536" customFormat="1" x14ac:dyDescent="0.2">
      <c r="A54" s="569"/>
      <c r="B54" s="656"/>
      <c r="C54" s="661" t="s">
        <v>630</v>
      </c>
      <c r="D54" s="662"/>
      <c r="E54" s="662"/>
      <c r="F54" s="563"/>
      <c r="G54" s="563"/>
      <c r="H54" s="563"/>
      <c r="I54" s="563"/>
      <c r="J54" s="566"/>
      <c r="K54" s="563"/>
      <c r="L54" s="566"/>
      <c r="M54" s="565"/>
      <c r="N54" s="564"/>
    </row>
    <row r="55" spans="1:28" s="536" customFormat="1" ht="22.5" x14ac:dyDescent="0.2">
      <c r="A55" s="609"/>
      <c r="B55" s="552" t="s">
        <v>631</v>
      </c>
      <c r="C55" s="1822" t="s">
        <v>632</v>
      </c>
      <c r="D55" s="1822"/>
      <c r="E55" s="1822"/>
      <c r="F55" s="1822"/>
      <c r="G55" s="1822"/>
      <c r="H55" s="1822"/>
      <c r="I55" s="1822"/>
      <c r="J55" s="1822"/>
      <c r="K55" s="1822"/>
      <c r="L55" s="1822"/>
      <c r="M55" s="1822"/>
      <c r="N55" s="1827"/>
      <c r="X55" s="537" t="s">
        <v>632</v>
      </c>
    </row>
    <row r="56" spans="1:28" s="536" customFormat="1" ht="33.75" x14ac:dyDescent="0.2">
      <c r="A56" s="575" t="s">
        <v>187</v>
      </c>
      <c r="B56" s="657" t="s">
        <v>3067</v>
      </c>
      <c r="C56" s="1823" t="s">
        <v>3068</v>
      </c>
      <c r="D56" s="1823"/>
      <c r="E56" s="1823"/>
      <c r="F56" s="573" t="s">
        <v>617</v>
      </c>
      <c r="G56" s="573"/>
      <c r="H56" s="573"/>
      <c r="I56" s="573" t="s">
        <v>185</v>
      </c>
      <c r="J56" s="572"/>
      <c r="K56" s="573"/>
      <c r="L56" s="572"/>
      <c r="M56" s="571"/>
      <c r="N56" s="570"/>
      <c r="W56" s="537" t="s">
        <v>3068</v>
      </c>
    </row>
    <row r="57" spans="1:28" s="536" customFormat="1" ht="33.75" x14ac:dyDescent="0.2">
      <c r="A57" s="609"/>
      <c r="B57" s="552" t="s">
        <v>310</v>
      </c>
      <c r="C57" s="1822" t="s">
        <v>311</v>
      </c>
      <c r="D57" s="1822"/>
      <c r="E57" s="1822"/>
      <c r="F57" s="1822"/>
      <c r="G57" s="1822"/>
      <c r="H57" s="1822"/>
      <c r="I57" s="1822"/>
      <c r="J57" s="1822"/>
      <c r="K57" s="1822"/>
      <c r="L57" s="1822"/>
      <c r="M57" s="1822"/>
      <c r="N57" s="1827"/>
      <c r="X57" s="537" t="s">
        <v>311</v>
      </c>
    </row>
    <row r="58" spans="1:28" s="536" customFormat="1" x14ac:dyDescent="0.2">
      <c r="A58" s="605"/>
      <c r="B58" s="552" t="s">
        <v>185</v>
      </c>
      <c r="C58" s="1822" t="s">
        <v>312</v>
      </c>
      <c r="D58" s="1822"/>
      <c r="E58" s="1822"/>
      <c r="F58" s="562"/>
      <c r="G58" s="562"/>
      <c r="H58" s="562"/>
      <c r="I58" s="562"/>
      <c r="J58" s="604">
        <v>72.430000000000007</v>
      </c>
      <c r="K58" s="562" t="s">
        <v>313</v>
      </c>
      <c r="L58" s="604">
        <v>90.54</v>
      </c>
      <c r="M58" s="603"/>
      <c r="N58" s="602"/>
      <c r="Y58" s="537" t="s">
        <v>312</v>
      </c>
    </row>
    <row r="59" spans="1:28" s="536" customFormat="1" x14ac:dyDescent="0.2">
      <c r="A59" s="605"/>
      <c r="B59" s="552" t="s">
        <v>188</v>
      </c>
      <c r="C59" s="1822" t="s">
        <v>475</v>
      </c>
      <c r="D59" s="1822"/>
      <c r="E59" s="1822"/>
      <c r="F59" s="562"/>
      <c r="G59" s="562"/>
      <c r="H59" s="562"/>
      <c r="I59" s="562"/>
      <c r="J59" s="604">
        <v>8.8800000000000008</v>
      </c>
      <c r="K59" s="562"/>
      <c r="L59" s="604">
        <v>8.8800000000000008</v>
      </c>
      <c r="M59" s="603"/>
      <c r="N59" s="602"/>
      <c r="Y59" s="537" t="s">
        <v>475</v>
      </c>
    </row>
    <row r="60" spans="1:28" s="536" customFormat="1" x14ac:dyDescent="0.2">
      <c r="A60" s="605"/>
      <c r="B60" s="552"/>
      <c r="C60" s="1822" t="s">
        <v>314</v>
      </c>
      <c r="D60" s="1822"/>
      <c r="E60" s="1822"/>
      <c r="F60" s="562" t="s">
        <v>315</v>
      </c>
      <c r="G60" s="562" t="s">
        <v>3069</v>
      </c>
      <c r="H60" s="562" t="s">
        <v>313</v>
      </c>
      <c r="I60" s="562" t="s">
        <v>193</v>
      </c>
      <c r="J60" s="604"/>
      <c r="K60" s="562"/>
      <c r="L60" s="604"/>
      <c r="M60" s="603"/>
      <c r="N60" s="602"/>
      <c r="Z60" s="537" t="s">
        <v>314</v>
      </c>
    </row>
    <row r="61" spans="1:28" s="536" customFormat="1" x14ac:dyDescent="0.2">
      <c r="A61" s="605"/>
      <c r="B61" s="552"/>
      <c r="C61" s="1828" t="s">
        <v>318</v>
      </c>
      <c r="D61" s="1828"/>
      <c r="E61" s="1828"/>
      <c r="F61" s="608"/>
      <c r="G61" s="608"/>
      <c r="H61" s="608"/>
      <c r="I61" s="608"/>
      <c r="J61" s="607">
        <v>81.31</v>
      </c>
      <c r="K61" s="608"/>
      <c r="L61" s="607">
        <v>99.42</v>
      </c>
      <c r="M61" s="601"/>
      <c r="N61" s="606"/>
      <c r="AA61" s="537" t="s">
        <v>318</v>
      </c>
    </row>
    <row r="62" spans="1:28" s="536" customFormat="1" x14ac:dyDescent="0.2">
      <c r="A62" s="605"/>
      <c r="B62" s="552"/>
      <c r="C62" s="1822" t="s">
        <v>319</v>
      </c>
      <c r="D62" s="1822"/>
      <c r="E62" s="1822"/>
      <c r="F62" s="562"/>
      <c r="G62" s="562"/>
      <c r="H62" s="562"/>
      <c r="I62" s="562"/>
      <c r="J62" s="604"/>
      <c r="K62" s="562"/>
      <c r="L62" s="604">
        <v>90.54</v>
      </c>
      <c r="M62" s="603"/>
      <c r="N62" s="602"/>
      <c r="Z62" s="537" t="s">
        <v>319</v>
      </c>
    </row>
    <row r="63" spans="1:28" s="536" customFormat="1" ht="33.75" x14ac:dyDescent="0.2">
      <c r="A63" s="605"/>
      <c r="B63" s="552" t="s">
        <v>884</v>
      </c>
      <c r="C63" s="1822" t="s">
        <v>885</v>
      </c>
      <c r="D63" s="1822"/>
      <c r="E63" s="1822"/>
      <c r="F63" s="562" t="s">
        <v>322</v>
      </c>
      <c r="G63" s="562" t="s">
        <v>886</v>
      </c>
      <c r="H63" s="562"/>
      <c r="I63" s="562" t="s">
        <v>886</v>
      </c>
      <c r="J63" s="604"/>
      <c r="K63" s="562"/>
      <c r="L63" s="604">
        <v>81.489999999999995</v>
      </c>
      <c r="M63" s="603"/>
      <c r="N63" s="602"/>
      <c r="Z63" s="537" t="s">
        <v>885</v>
      </c>
    </row>
    <row r="64" spans="1:28" s="536" customFormat="1" ht="33.75" x14ac:dyDescent="0.2">
      <c r="A64" s="605"/>
      <c r="B64" s="552" t="s">
        <v>887</v>
      </c>
      <c r="C64" s="1822" t="s">
        <v>888</v>
      </c>
      <c r="D64" s="1822"/>
      <c r="E64" s="1822"/>
      <c r="F64" s="562" t="s">
        <v>322</v>
      </c>
      <c r="G64" s="562" t="s">
        <v>465</v>
      </c>
      <c r="H64" s="562"/>
      <c r="I64" s="562" t="s">
        <v>465</v>
      </c>
      <c r="J64" s="604"/>
      <c r="K64" s="562"/>
      <c r="L64" s="604">
        <v>41.65</v>
      </c>
      <c r="M64" s="603"/>
      <c r="N64" s="602"/>
      <c r="Z64" s="537" t="s">
        <v>888</v>
      </c>
    </row>
    <row r="65" spans="1:29" s="536" customFormat="1" x14ac:dyDescent="0.2">
      <c r="A65" s="569"/>
      <c r="B65" s="656"/>
      <c r="C65" s="1823" t="s">
        <v>327</v>
      </c>
      <c r="D65" s="1823"/>
      <c r="E65" s="1823"/>
      <c r="F65" s="573"/>
      <c r="G65" s="573"/>
      <c r="H65" s="573"/>
      <c r="I65" s="573"/>
      <c r="J65" s="572"/>
      <c r="K65" s="573"/>
      <c r="L65" s="572">
        <v>222.56</v>
      </c>
      <c r="M65" s="601"/>
      <c r="N65" s="570"/>
      <c r="AB65" s="537" t="s">
        <v>327</v>
      </c>
    </row>
    <row r="66" spans="1:29" s="536" customFormat="1" ht="22.5" x14ac:dyDescent="0.2">
      <c r="A66" s="575" t="s">
        <v>633</v>
      </c>
      <c r="B66" s="657" t="s">
        <v>3070</v>
      </c>
      <c r="C66" s="1823" t="s">
        <v>3071</v>
      </c>
      <c r="D66" s="1823"/>
      <c r="E66" s="1823"/>
      <c r="F66" s="573" t="s">
        <v>617</v>
      </c>
      <c r="G66" s="573"/>
      <c r="H66" s="573"/>
      <c r="I66" s="573" t="s">
        <v>185</v>
      </c>
      <c r="J66" s="572">
        <v>243.85</v>
      </c>
      <c r="K66" s="573"/>
      <c r="L66" s="572">
        <v>243.85</v>
      </c>
      <c r="M66" s="571"/>
      <c r="N66" s="570"/>
      <c r="W66" s="537" t="s">
        <v>3071</v>
      </c>
    </row>
    <row r="67" spans="1:29" s="536" customFormat="1" x14ac:dyDescent="0.2">
      <c r="A67" s="569"/>
      <c r="B67" s="656"/>
      <c r="C67" s="661" t="s">
        <v>2222</v>
      </c>
      <c r="D67" s="662"/>
      <c r="E67" s="662"/>
      <c r="F67" s="563"/>
      <c r="G67" s="563"/>
      <c r="H67" s="563"/>
      <c r="I67" s="563"/>
      <c r="J67" s="566"/>
      <c r="K67" s="563"/>
      <c r="L67" s="566"/>
      <c r="M67" s="565"/>
      <c r="N67" s="564"/>
    </row>
    <row r="68" spans="1:29" s="536" customFormat="1" x14ac:dyDescent="0.2">
      <c r="A68" s="575" t="s">
        <v>189</v>
      </c>
      <c r="B68" s="657" t="s">
        <v>3072</v>
      </c>
      <c r="C68" s="1823" t="s">
        <v>3073</v>
      </c>
      <c r="D68" s="1823"/>
      <c r="E68" s="1823"/>
      <c r="F68" s="573" t="s">
        <v>307</v>
      </c>
      <c r="G68" s="573"/>
      <c r="H68" s="573"/>
      <c r="I68" s="573" t="s">
        <v>695</v>
      </c>
      <c r="J68" s="572"/>
      <c r="K68" s="573"/>
      <c r="L68" s="572"/>
      <c r="M68" s="571"/>
      <c r="N68" s="570"/>
      <c r="W68" s="537" t="s">
        <v>3073</v>
      </c>
    </row>
    <row r="69" spans="1:29" s="536" customFormat="1" x14ac:dyDescent="0.2">
      <c r="A69" s="676"/>
      <c r="B69" s="655"/>
      <c r="C69" s="1822" t="s">
        <v>1597</v>
      </c>
      <c r="D69" s="1822"/>
      <c r="E69" s="1822"/>
      <c r="F69" s="1822"/>
      <c r="G69" s="1822"/>
      <c r="H69" s="1822"/>
      <c r="I69" s="1822"/>
      <c r="J69" s="1822"/>
      <c r="K69" s="1822"/>
      <c r="L69" s="1822"/>
      <c r="M69" s="1822"/>
      <c r="N69" s="1827"/>
      <c r="AC69" s="537" t="s">
        <v>1597</v>
      </c>
    </row>
    <row r="70" spans="1:29" s="536" customFormat="1" ht="33.75" x14ac:dyDescent="0.2">
      <c r="A70" s="609"/>
      <c r="B70" s="552" t="s">
        <v>310</v>
      </c>
      <c r="C70" s="1822" t="s">
        <v>311</v>
      </c>
      <c r="D70" s="1822"/>
      <c r="E70" s="1822"/>
      <c r="F70" s="1822"/>
      <c r="G70" s="1822"/>
      <c r="H70" s="1822"/>
      <c r="I70" s="1822"/>
      <c r="J70" s="1822"/>
      <c r="K70" s="1822"/>
      <c r="L70" s="1822"/>
      <c r="M70" s="1822"/>
      <c r="N70" s="1827"/>
      <c r="X70" s="537" t="s">
        <v>311</v>
      </c>
    </row>
    <row r="71" spans="1:29" s="536" customFormat="1" x14ac:dyDescent="0.2">
      <c r="A71" s="605"/>
      <c r="B71" s="552" t="s">
        <v>185</v>
      </c>
      <c r="C71" s="1822" t="s">
        <v>312</v>
      </c>
      <c r="D71" s="1822"/>
      <c r="E71" s="1822"/>
      <c r="F71" s="562"/>
      <c r="G71" s="562"/>
      <c r="H71" s="562"/>
      <c r="I71" s="562"/>
      <c r="J71" s="604">
        <v>779.32</v>
      </c>
      <c r="K71" s="562" t="s">
        <v>313</v>
      </c>
      <c r="L71" s="604">
        <v>19.48</v>
      </c>
      <c r="M71" s="603"/>
      <c r="N71" s="602"/>
      <c r="Y71" s="537" t="s">
        <v>312</v>
      </c>
    </row>
    <row r="72" spans="1:29" s="536" customFormat="1" x14ac:dyDescent="0.2">
      <c r="A72" s="605"/>
      <c r="B72" s="552" t="s">
        <v>186</v>
      </c>
      <c r="C72" s="1822" t="s">
        <v>344</v>
      </c>
      <c r="D72" s="1822"/>
      <c r="E72" s="1822"/>
      <c r="F72" s="562"/>
      <c r="G72" s="562"/>
      <c r="H72" s="562"/>
      <c r="I72" s="562"/>
      <c r="J72" s="604">
        <v>36.22</v>
      </c>
      <c r="K72" s="562" t="s">
        <v>313</v>
      </c>
      <c r="L72" s="604">
        <v>0.91</v>
      </c>
      <c r="M72" s="603"/>
      <c r="N72" s="602"/>
      <c r="Y72" s="537" t="s">
        <v>344</v>
      </c>
    </row>
    <row r="73" spans="1:29" s="536" customFormat="1" x14ac:dyDescent="0.2">
      <c r="A73" s="605"/>
      <c r="B73" s="552" t="s">
        <v>187</v>
      </c>
      <c r="C73" s="1822" t="s">
        <v>345</v>
      </c>
      <c r="D73" s="1822"/>
      <c r="E73" s="1822"/>
      <c r="F73" s="562"/>
      <c r="G73" s="562"/>
      <c r="H73" s="562"/>
      <c r="I73" s="562"/>
      <c r="J73" s="604">
        <v>5.0199999999999996</v>
      </c>
      <c r="K73" s="562" t="s">
        <v>313</v>
      </c>
      <c r="L73" s="604">
        <v>0.13</v>
      </c>
      <c r="M73" s="603"/>
      <c r="N73" s="602"/>
      <c r="Y73" s="537" t="s">
        <v>345</v>
      </c>
    </row>
    <row r="74" spans="1:29" s="536" customFormat="1" x14ac:dyDescent="0.2">
      <c r="A74" s="605"/>
      <c r="B74" s="552" t="s">
        <v>188</v>
      </c>
      <c r="C74" s="1822" t="s">
        <v>475</v>
      </c>
      <c r="D74" s="1822"/>
      <c r="E74" s="1822"/>
      <c r="F74" s="562"/>
      <c r="G74" s="562"/>
      <c r="H74" s="562"/>
      <c r="I74" s="562"/>
      <c r="J74" s="604">
        <v>520.4</v>
      </c>
      <c r="K74" s="562"/>
      <c r="L74" s="604">
        <v>10.41</v>
      </c>
      <c r="M74" s="603"/>
      <c r="N74" s="602"/>
      <c r="Y74" s="537" t="s">
        <v>475</v>
      </c>
    </row>
    <row r="75" spans="1:29" s="536" customFormat="1" x14ac:dyDescent="0.2">
      <c r="A75" s="605"/>
      <c r="B75" s="552"/>
      <c r="C75" s="1822" t="s">
        <v>314</v>
      </c>
      <c r="D75" s="1822"/>
      <c r="E75" s="1822"/>
      <c r="F75" s="562" t="s">
        <v>315</v>
      </c>
      <c r="G75" s="562" t="s">
        <v>3075</v>
      </c>
      <c r="H75" s="562" t="s">
        <v>313</v>
      </c>
      <c r="I75" s="562" t="s">
        <v>8152</v>
      </c>
      <c r="J75" s="604"/>
      <c r="K75" s="562"/>
      <c r="L75" s="604"/>
      <c r="M75" s="603"/>
      <c r="N75" s="602"/>
      <c r="Z75" s="537" t="s">
        <v>314</v>
      </c>
    </row>
    <row r="76" spans="1:29" s="536" customFormat="1" x14ac:dyDescent="0.2">
      <c r="A76" s="605"/>
      <c r="B76" s="552"/>
      <c r="C76" s="1822" t="s">
        <v>348</v>
      </c>
      <c r="D76" s="1822"/>
      <c r="E76" s="1822"/>
      <c r="F76" s="562" t="s">
        <v>315</v>
      </c>
      <c r="G76" s="562" t="s">
        <v>947</v>
      </c>
      <c r="H76" s="562" t="s">
        <v>313</v>
      </c>
      <c r="I76" s="562" t="s">
        <v>809</v>
      </c>
      <c r="J76" s="604"/>
      <c r="K76" s="562"/>
      <c r="L76" s="604"/>
      <c r="M76" s="603"/>
      <c r="N76" s="602"/>
      <c r="Z76" s="537" t="s">
        <v>348</v>
      </c>
    </row>
    <row r="77" spans="1:29" s="536" customFormat="1" x14ac:dyDescent="0.2">
      <c r="A77" s="605"/>
      <c r="B77" s="552"/>
      <c r="C77" s="1828" t="s">
        <v>318</v>
      </c>
      <c r="D77" s="1828"/>
      <c r="E77" s="1828"/>
      <c r="F77" s="608"/>
      <c r="G77" s="608"/>
      <c r="H77" s="608"/>
      <c r="I77" s="608"/>
      <c r="J77" s="607">
        <v>1335.94</v>
      </c>
      <c r="K77" s="608"/>
      <c r="L77" s="607">
        <v>30.8</v>
      </c>
      <c r="M77" s="601"/>
      <c r="N77" s="606"/>
      <c r="AA77" s="537" t="s">
        <v>318</v>
      </c>
    </row>
    <row r="78" spans="1:29" s="536" customFormat="1" x14ac:dyDescent="0.2">
      <c r="A78" s="605"/>
      <c r="B78" s="552"/>
      <c r="C78" s="1822" t="s">
        <v>319</v>
      </c>
      <c r="D78" s="1822"/>
      <c r="E78" s="1822"/>
      <c r="F78" s="562"/>
      <c r="G78" s="562"/>
      <c r="H78" s="562"/>
      <c r="I78" s="562"/>
      <c r="J78" s="604"/>
      <c r="K78" s="562"/>
      <c r="L78" s="604">
        <v>19.61</v>
      </c>
      <c r="M78" s="603"/>
      <c r="N78" s="602"/>
      <c r="Z78" s="537" t="s">
        <v>319</v>
      </c>
    </row>
    <row r="79" spans="1:29" s="536" customFormat="1" ht="33.75" x14ac:dyDescent="0.2">
      <c r="A79" s="605"/>
      <c r="B79" s="552" t="s">
        <v>1631</v>
      </c>
      <c r="C79" s="1822" t="s">
        <v>1632</v>
      </c>
      <c r="D79" s="1822"/>
      <c r="E79" s="1822"/>
      <c r="F79" s="562" t="s">
        <v>322</v>
      </c>
      <c r="G79" s="562" t="s">
        <v>1633</v>
      </c>
      <c r="H79" s="562"/>
      <c r="I79" s="562" t="s">
        <v>1633</v>
      </c>
      <c r="J79" s="604"/>
      <c r="K79" s="562"/>
      <c r="L79" s="604">
        <v>19.02</v>
      </c>
      <c r="M79" s="603"/>
      <c r="N79" s="602"/>
      <c r="Z79" s="537" t="s">
        <v>1632</v>
      </c>
    </row>
    <row r="80" spans="1:29" s="536" customFormat="1" ht="33.75" x14ac:dyDescent="0.2">
      <c r="A80" s="605"/>
      <c r="B80" s="552" t="s">
        <v>1634</v>
      </c>
      <c r="C80" s="1822" t="s">
        <v>1635</v>
      </c>
      <c r="D80" s="1822"/>
      <c r="E80" s="1822"/>
      <c r="F80" s="562" t="s">
        <v>322</v>
      </c>
      <c r="G80" s="562" t="s">
        <v>786</v>
      </c>
      <c r="H80" s="562"/>
      <c r="I80" s="562" t="s">
        <v>786</v>
      </c>
      <c r="J80" s="604"/>
      <c r="K80" s="562"/>
      <c r="L80" s="604">
        <v>10</v>
      </c>
      <c r="M80" s="603"/>
      <c r="N80" s="602"/>
      <c r="Z80" s="537" t="s">
        <v>1635</v>
      </c>
    </row>
    <row r="81" spans="1:28" s="536" customFormat="1" x14ac:dyDescent="0.2">
      <c r="A81" s="569"/>
      <c r="B81" s="656"/>
      <c r="C81" s="1823" t="s">
        <v>327</v>
      </c>
      <c r="D81" s="1823"/>
      <c r="E81" s="1823"/>
      <c r="F81" s="573"/>
      <c r="G81" s="573"/>
      <c r="H81" s="573"/>
      <c r="I81" s="573"/>
      <c r="J81" s="572"/>
      <c r="K81" s="573"/>
      <c r="L81" s="572">
        <v>59.82</v>
      </c>
      <c r="M81" s="601"/>
      <c r="N81" s="570"/>
      <c r="AB81" s="537" t="s">
        <v>327</v>
      </c>
    </row>
    <row r="82" spans="1:28" s="536" customFormat="1" ht="33.75" x14ac:dyDescent="0.2">
      <c r="A82" s="575" t="s">
        <v>874</v>
      </c>
      <c r="B82" s="657" t="s">
        <v>3077</v>
      </c>
      <c r="C82" s="1823" t="s">
        <v>3078</v>
      </c>
      <c r="D82" s="1823"/>
      <c r="E82" s="1823"/>
      <c r="F82" s="573" t="s">
        <v>628</v>
      </c>
      <c r="G82" s="573"/>
      <c r="H82" s="573"/>
      <c r="I82" s="573" t="s">
        <v>186</v>
      </c>
      <c r="J82" s="572">
        <v>491.4</v>
      </c>
      <c r="K82" s="573" t="s">
        <v>629</v>
      </c>
      <c r="L82" s="572">
        <v>216.78</v>
      </c>
      <c r="M82" s="571">
        <v>4.59</v>
      </c>
      <c r="N82" s="570">
        <v>995</v>
      </c>
      <c r="W82" s="537" t="s">
        <v>3078</v>
      </c>
    </row>
    <row r="83" spans="1:28" s="536" customFormat="1" x14ac:dyDescent="0.2">
      <c r="A83" s="569"/>
      <c r="B83" s="656"/>
      <c r="C83" s="661" t="s">
        <v>630</v>
      </c>
      <c r="D83" s="662"/>
      <c r="E83" s="662"/>
      <c r="F83" s="563"/>
      <c r="G83" s="563"/>
      <c r="H83" s="563"/>
      <c r="I83" s="563"/>
      <c r="J83" s="566"/>
      <c r="K83" s="563"/>
      <c r="L83" s="566"/>
      <c r="M83" s="565"/>
      <c r="N83" s="564"/>
    </row>
    <row r="84" spans="1:28" s="536" customFormat="1" ht="22.5" x14ac:dyDescent="0.2">
      <c r="A84" s="609"/>
      <c r="B84" s="552" t="s">
        <v>631</v>
      </c>
      <c r="C84" s="1822" t="s">
        <v>632</v>
      </c>
      <c r="D84" s="1822"/>
      <c r="E84" s="1822"/>
      <c r="F84" s="1822"/>
      <c r="G84" s="1822"/>
      <c r="H84" s="1822"/>
      <c r="I84" s="1822"/>
      <c r="J84" s="1822"/>
      <c r="K84" s="1822"/>
      <c r="L84" s="1822"/>
      <c r="M84" s="1822"/>
      <c r="N84" s="1827"/>
      <c r="X84" s="537" t="s">
        <v>632</v>
      </c>
    </row>
    <row r="85" spans="1:28" s="536" customFormat="1" ht="56.25" x14ac:dyDescent="0.2">
      <c r="A85" s="575" t="s">
        <v>191</v>
      </c>
      <c r="B85" s="657" t="s">
        <v>3079</v>
      </c>
      <c r="C85" s="1823" t="s">
        <v>3080</v>
      </c>
      <c r="D85" s="1823"/>
      <c r="E85" s="1823"/>
      <c r="F85" s="573" t="s">
        <v>617</v>
      </c>
      <c r="G85" s="573"/>
      <c r="H85" s="573"/>
      <c r="I85" s="573" t="s">
        <v>186</v>
      </c>
      <c r="J85" s="572"/>
      <c r="K85" s="573"/>
      <c r="L85" s="572"/>
      <c r="M85" s="571"/>
      <c r="N85" s="570"/>
      <c r="W85" s="537" t="s">
        <v>3080</v>
      </c>
    </row>
    <row r="86" spans="1:28" s="536" customFormat="1" ht="33.75" x14ac:dyDescent="0.2">
      <c r="A86" s="609"/>
      <c r="B86" s="552" t="s">
        <v>310</v>
      </c>
      <c r="C86" s="1822" t="s">
        <v>311</v>
      </c>
      <c r="D86" s="1822"/>
      <c r="E86" s="1822"/>
      <c r="F86" s="1822"/>
      <c r="G86" s="1822"/>
      <c r="H86" s="1822"/>
      <c r="I86" s="1822"/>
      <c r="J86" s="1822"/>
      <c r="K86" s="1822"/>
      <c r="L86" s="1822"/>
      <c r="M86" s="1822"/>
      <c r="N86" s="1827"/>
      <c r="X86" s="537" t="s">
        <v>311</v>
      </c>
    </row>
    <row r="87" spans="1:28" s="536" customFormat="1" x14ac:dyDescent="0.2">
      <c r="A87" s="605"/>
      <c r="B87" s="552" t="s">
        <v>185</v>
      </c>
      <c r="C87" s="1822" t="s">
        <v>312</v>
      </c>
      <c r="D87" s="1822"/>
      <c r="E87" s="1822"/>
      <c r="F87" s="562"/>
      <c r="G87" s="562"/>
      <c r="H87" s="562"/>
      <c r="I87" s="562"/>
      <c r="J87" s="604">
        <v>9.91</v>
      </c>
      <c r="K87" s="562" t="s">
        <v>313</v>
      </c>
      <c r="L87" s="604">
        <v>24.78</v>
      </c>
      <c r="M87" s="603"/>
      <c r="N87" s="602"/>
      <c r="Y87" s="537" t="s">
        <v>312</v>
      </c>
    </row>
    <row r="88" spans="1:28" s="536" customFormat="1" x14ac:dyDescent="0.2">
      <c r="A88" s="605"/>
      <c r="B88" s="552" t="s">
        <v>186</v>
      </c>
      <c r="C88" s="1822" t="s">
        <v>344</v>
      </c>
      <c r="D88" s="1822"/>
      <c r="E88" s="1822"/>
      <c r="F88" s="562"/>
      <c r="G88" s="562"/>
      <c r="H88" s="562"/>
      <c r="I88" s="562"/>
      <c r="J88" s="604">
        <v>5.43</v>
      </c>
      <c r="K88" s="562" t="s">
        <v>313</v>
      </c>
      <c r="L88" s="604">
        <v>13.58</v>
      </c>
      <c r="M88" s="603"/>
      <c r="N88" s="602"/>
      <c r="Y88" s="537" t="s">
        <v>344</v>
      </c>
    </row>
    <row r="89" spans="1:28" s="536" customFormat="1" x14ac:dyDescent="0.2">
      <c r="A89" s="605"/>
      <c r="B89" s="552" t="s">
        <v>187</v>
      </c>
      <c r="C89" s="1822" t="s">
        <v>345</v>
      </c>
      <c r="D89" s="1822"/>
      <c r="E89" s="1822"/>
      <c r="F89" s="562"/>
      <c r="G89" s="562"/>
      <c r="H89" s="562"/>
      <c r="I89" s="562"/>
      <c r="J89" s="604">
        <v>0.76</v>
      </c>
      <c r="K89" s="562" t="s">
        <v>313</v>
      </c>
      <c r="L89" s="604">
        <v>1.9</v>
      </c>
      <c r="M89" s="603"/>
      <c r="N89" s="602"/>
      <c r="Y89" s="537" t="s">
        <v>345</v>
      </c>
    </row>
    <row r="90" spans="1:28" s="536" customFormat="1" x14ac:dyDescent="0.2">
      <c r="A90" s="605"/>
      <c r="B90" s="552" t="s">
        <v>188</v>
      </c>
      <c r="C90" s="1822" t="s">
        <v>475</v>
      </c>
      <c r="D90" s="1822"/>
      <c r="E90" s="1822"/>
      <c r="F90" s="562"/>
      <c r="G90" s="562"/>
      <c r="H90" s="562"/>
      <c r="I90" s="562"/>
      <c r="J90" s="604">
        <v>0.74</v>
      </c>
      <c r="K90" s="562"/>
      <c r="L90" s="604">
        <v>1.48</v>
      </c>
      <c r="M90" s="603"/>
      <c r="N90" s="602"/>
      <c r="Y90" s="537" t="s">
        <v>475</v>
      </c>
    </row>
    <row r="91" spans="1:28" s="536" customFormat="1" x14ac:dyDescent="0.2">
      <c r="A91" s="605"/>
      <c r="B91" s="552"/>
      <c r="C91" s="1822" t="s">
        <v>314</v>
      </c>
      <c r="D91" s="1822"/>
      <c r="E91" s="1822"/>
      <c r="F91" s="562" t="s">
        <v>315</v>
      </c>
      <c r="G91" s="562" t="s">
        <v>702</v>
      </c>
      <c r="H91" s="562" t="s">
        <v>313</v>
      </c>
      <c r="I91" s="562" t="s">
        <v>808</v>
      </c>
      <c r="J91" s="604"/>
      <c r="K91" s="562"/>
      <c r="L91" s="604"/>
      <c r="M91" s="603"/>
      <c r="N91" s="602"/>
      <c r="Z91" s="537" t="s">
        <v>314</v>
      </c>
    </row>
    <row r="92" spans="1:28" s="536" customFormat="1" x14ac:dyDescent="0.2">
      <c r="A92" s="605"/>
      <c r="B92" s="552"/>
      <c r="C92" s="1822" t="s">
        <v>348</v>
      </c>
      <c r="D92" s="1822"/>
      <c r="E92" s="1822"/>
      <c r="F92" s="562" t="s">
        <v>315</v>
      </c>
      <c r="G92" s="562" t="s">
        <v>1554</v>
      </c>
      <c r="H92" s="562" t="s">
        <v>313</v>
      </c>
      <c r="I92" s="562" t="s">
        <v>1901</v>
      </c>
      <c r="J92" s="604"/>
      <c r="K92" s="562"/>
      <c r="L92" s="604"/>
      <c r="M92" s="603"/>
      <c r="N92" s="602"/>
      <c r="Z92" s="537" t="s">
        <v>348</v>
      </c>
    </row>
    <row r="93" spans="1:28" s="536" customFormat="1" x14ac:dyDescent="0.2">
      <c r="A93" s="605"/>
      <c r="B93" s="552"/>
      <c r="C93" s="1828" t="s">
        <v>318</v>
      </c>
      <c r="D93" s="1828"/>
      <c r="E93" s="1828"/>
      <c r="F93" s="608"/>
      <c r="G93" s="608"/>
      <c r="H93" s="608"/>
      <c r="I93" s="608"/>
      <c r="J93" s="607">
        <v>16.079999999999998</v>
      </c>
      <c r="K93" s="608"/>
      <c r="L93" s="607">
        <v>39.840000000000003</v>
      </c>
      <c r="M93" s="601"/>
      <c r="N93" s="606"/>
      <c r="AA93" s="537" t="s">
        <v>318</v>
      </c>
    </row>
    <row r="94" spans="1:28" s="536" customFormat="1" x14ac:dyDescent="0.2">
      <c r="A94" s="605"/>
      <c r="B94" s="552"/>
      <c r="C94" s="1822" t="s">
        <v>319</v>
      </c>
      <c r="D94" s="1822"/>
      <c r="E94" s="1822"/>
      <c r="F94" s="562"/>
      <c r="G94" s="562"/>
      <c r="H94" s="562"/>
      <c r="I94" s="562"/>
      <c r="J94" s="604"/>
      <c r="K94" s="562"/>
      <c r="L94" s="604">
        <v>26.68</v>
      </c>
      <c r="M94" s="603"/>
      <c r="N94" s="602"/>
      <c r="Z94" s="537" t="s">
        <v>319</v>
      </c>
    </row>
    <row r="95" spans="1:28" s="536" customFormat="1" ht="33.75" x14ac:dyDescent="0.2">
      <c r="A95" s="605"/>
      <c r="B95" s="552" t="s">
        <v>1631</v>
      </c>
      <c r="C95" s="1822" t="s">
        <v>1632</v>
      </c>
      <c r="D95" s="1822"/>
      <c r="E95" s="1822"/>
      <c r="F95" s="562" t="s">
        <v>322</v>
      </c>
      <c r="G95" s="562" t="s">
        <v>1633</v>
      </c>
      <c r="H95" s="562"/>
      <c r="I95" s="562" t="s">
        <v>1633</v>
      </c>
      <c r="J95" s="604"/>
      <c r="K95" s="562"/>
      <c r="L95" s="604">
        <v>25.88</v>
      </c>
      <c r="M95" s="603"/>
      <c r="N95" s="602"/>
      <c r="Z95" s="537" t="s">
        <v>1632</v>
      </c>
    </row>
    <row r="96" spans="1:28" s="536" customFormat="1" ht="33.75" x14ac:dyDescent="0.2">
      <c r="A96" s="605"/>
      <c r="B96" s="552" t="s">
        <v>1634</v>
      </c>
      <c r="C96" s="1822" t="s">
        <v>1635</v>
      </c>
      <c r="D96" s="1822"/>
      <c r="E96" s="1822"/>
      <c r="F96" s="562" t="s">
        <v>322</v>
      </c>
      <c r="G96" s="562" t="s">
        <v>786</v>
      </c>
      <c r="H96" s="562"/>
      <c r="I96" s="562" t="s">
        <v>786</v>
      </c>
      <c r="J96" s="604"/>
      <c r="K96" s="562"/>
      <c r="L96" s="604">
        <v>13.61</v>
      </c>
      <c r="M96" s="603"/>
      <c r="N96" s="602"/>
      <c r="Z96" s="537" t="s">
        <v>1635</v>
      </c>
    </row>
    <row r="97" spans="1:29" s="536" customFormat="1" x14ac:dyDescent="0.2">
      <c r="A97" s="569"/>
      <c r="B97" s="656"/>
      <c r="C97" s="1823" t="s">
        <v>327</v>
      </c>
      <c r="D97" s="1823"/>
      <c r="E97" s="1823"/>
      <c r="F97" s="573"/>
      <c r="G97" s="573"/>
      <c r="H97" s="573"/>
      <c r="I97" s="573"/>
      <c r="J97" s="572"/>
      <c r="K97" s="573"/>
      <c r="L97" s="572">
        <v>79.33</v>
      </c>
      <c r="M97" s="601"/>
      <c r="N97" s="570"/>
      <c r="AB97" s="537" t="s">
        <v>327</v>
      </c>
    </row>
    <row r="98" spans="1:29" s="536" customFormat="1" ht="33.75" x14ac:dyDescent="0.2">
      <c r="A98" s="575" t="s">
        <v>660</v>
      </c>
      <c r="B98" s="657" t="s">
        <v>3082</v>
      </c>
      <c r="C98" s="1823" t="s">
        <v>3083</v>
      </c>
      <c r="D98" s="1823"/>
      <c r="E98" s="1823"/>
      <c r="F98" s="573" t="s">
        <v>628</v>
      </c>
      <c r="G98" s="573"/>
      <c r="H98" s="573"/>
      <c r="I98" s="573" t="s">
        <v>186</v>
      </c>
      <c r="J98" s="572">
        <v>447.53</v>
      </c>
      <c r="K98" s="573" t="s">
        <v>629</v>
      </c>
      <c r="L98" s="572">
        <v>197.39</v>
      </c>
      <c r="M98" s="571">
        <v>4.59</v>
      </c>
      <c r="N98" s="570">
        <v>906</v>
      </c>
      <c r="W98" s="537" t="s">
        <v>3083</v>
      </c>
    </row>
    <row r="99" spans="1:29" s="536" customFormat="1" x14ac:dyDescent="0.2">
      <c r="A99" s="569"/>
      <c r="B99" s="656"/>
      <c r="C99" s="661" t="s">
        <v>630</v>
      </c>
      <c r="D99" s="662"/>
      <c r="E99" s="662"/>
      <c r="F99" s="563"/>
      <c r="G99" s="563"/>
      <c r="H99" s="563"/>
      <c r="I99" s="563"/>
      <c r="J99" s="566"/>
      <c r="K99" s="563"/>
      <c r="L99" s="566"/>
      <c r="M99" s="565"/>
      <c r="N99" s="564"/>
    </row>
    <row r="100" spans="1:29" s="536" customFormat="1" ht="22.5" x14ac:dyDescent="0.2">
      <c r="A100" s="609"/>
      <c r="B100" s="552" t="s">
        <v>631</v>
      </c>
      <c r="C100" s="1822" t="s">
        <v>632</v>
      </c>
      <c r="D100" s="1822"/>
      <c r="E100" s="1822"/>
      <c r="F100" s="1822"/>
      <c r="G100" s="1822"/>
      <c r="H100" s="1822"/>
      <c r="I100" s="1822"/>
      <c r="J100" s="1822"/>
      <c r="K100" s="1822"/>
      <c r="L100" s="1822"/>
      <c r="M100" s="1822"/>
      <c r="N100" s="1827"/>
      <c r="X100" s="537" t="s">
        <v>632</v>
      </c>
    </row>
    <row r="101" spans="1:29" s="536" customFormat="1" x14ac:dyDescent="0.2">
      <c r="A101" s="575" t="s">
        <v>193</v>
      </c>
      <c r="B101" s="657" t="s">
        <v>3087</v>
      </c>
      <c r="C101" s="1823" t="s">
        <v>3088</v>
      </c>
      <c r="D101" s="1823"/>
      <c r="E101" s="1823"/>
      <c r="F101" s="573" t="s">
        <v>1110</v>
      </c>
      <c r="G101" s="573"/>
      <c r="H101" s="573"/>
      <c r="I101" s="573" t="s">
        <v>1908</v>
      </c>
      <c r="J101" s="572"/>
      <c r="K101" s="573"/>
      <c r="L101" s="572"/>
      <c r="M101" s="571"/>
      <c r="N101" s="570"/>
      <c r="W101" s="537" t="s">
        <v>3088</v>
      </c>
    </row>
    <row r="102" spans="1:29" s="536" customFormat="1" x14ac:dyDescent="0.2">
      <c r="A102" s="676"/>
      <c r="B102" s="655"/>
      <c r="C102" s="1822" t="s">
        <v>3089</v>
      </c>
      <c r="D102" s="1822"/>
      <c r="E102" s="1822"/>
      <c r="F102" s="1822"/>
      <c r="G102" s="1822"/>
      <c r="H102" s="1822"/>
      <c r="I102" s="1822"/>
      <c r="J102" s="1822"/>
      <c r="K102" s="1822"/>
      <c r="L102" s="1822"/>
      <c r="M102" s="1822"/>
      <c r="N102" s="1827"/>
      <c r="AC102" s="537" t="s">
        <v>3089</v>
      </c>
    </row>
    <row r="103" spans="1:29" s="536" customFormat="1" ht="33.75" x14ac:dyDescent="0.2">
      <c r="A103" s="609"/>
      <c r="B103" s="552" t="s">
        <v>310</v>
      </c>
      <c r="C103" s="1822" t="s">
        <v>311</v>
      </c>
      <c r="D103" s="1822"/>
      <c r="E103" s="1822"/>
      <c r="F103" s="1822"/>
      <c r="G103" s="1822"/>
      <c r="H103" s="1822"/>
      <c r="I103" s="1822"/>
      <c r="J103" s="1822"/>
      <c r="K103" s="1822"/>
      <c r="L103" s="1822"/>
      <c r="M103" s="1822"/>
      <c r="N103" s="1827"/>
      <c r="X103" s="537" t="s">
        <v>311</v>
      </c>
    </row>
    <row r="104" spans="1:29" s="536" customFormat="1" x14ac:dyDescent="0.2">
      <c r="A104" s="605"/>
      <c r="B104" s="552" t="s">
        <v>185</v>
      </c>
      <c r="C104" s="1822" t="s">
        <v>312</v>
      </c>
      <c r="D104" s="1822"/>
      <c r="E104" s="1822"/>
      <c r="F104" s="562"/>
      <c r="G104" s="562"/>
      <c r="H104" s="562"/>
      <c r="I104" s="562"/>
      <c r="J104" s="604">
        <v>154.91999999999999</v>
      </c>
      <c r="K104" s="562" t="s">
        <v>313</v>
      </c>
      <c r="L104" s="604">
        <v>232.38</v>
      </c>
      <c r="M104" s="603"/>
      <c r="N104" s="602"/>
      <c r="Y104" s="537" t="s">
        <v>312</v>
      </c>
    </row>
    <row r="105" spans="1:29" s="536" customFormat="1" x14ac:dyDescent="0.2">
      <c r="A105" s="605"/>
      <c r="B105" s="552" t="s">
        <v>186</v>
      </c>
      <c r="C105" s="1822" t="s">
        <v>344</v>
      </c>
      <c r="D105" s="1822"/>
      <c r="E105" s="1822"/>
      <c r="F105" s="562"/>
      <c r="G105" s="562"/>
      <c r="H105" s="562"/>
      <c r="I105" s="562"/>
      <c r="J105" s="604">
        <v>0.31</v>
      </c>
      <c r="K105" s="562" t="s">
        <v>313</v>
      </c>
      <c r="L105" s="604">
        <v>0.47</v>
      </c>
      <c r="M105" s="603"/>
      <c r="N105" s="602"/>
      <c r="Y105" s="537" t="s">
        <v>344</v>
      </c>
    </row>
    <row r="106" spans="1:29" s="536" customFormat="1" x14ac:dyDescent="0.2">
      <c r="A106" s="605"/>
      <c r="B106" s="552" t="s">
        <v>187</v>
      </c>
      <c r="C106" s="1822" t="s">
        <v>345</v>
      </c>
      <c r="D106" s="1822"/>
      <c r="E106" s="1822"/>
      <c r="F106" s="562"/>
      <c r="G106" s="562"/>
      <c r="H106" s="562"/>
      <c r="I106" s="562"/>
      <c r="J106" s="604">
        <v>0.14000000000000001</v>
      </c>
      <c r="K106" s="562" t="s">
        <v>313</v>
      </c>
      <c r="L106" s="604">
        <v>0.21</v>
      </c>
      <c r="M106" s="603"/>
      <c r="N106" s="602"/>
      <c r="Y106" s="537" t="s">
        <v>345</v>
      </c>
    </row>
    <row r="107" spans="1:29" s="536" customFormat="1" x14ac:dyDescent="0.2">
      <c r="A107" s="605"/>
      <c r="B107" s="552" t="s">
        <v>188</v>
      </c>
      <c r="C107" s="1822" t="s">
        <v>475</v>
      </c>
      <c r="D107" s="1822"/>
      <c r="E107" s="1822"/>
      <c r="F107" s="562"/>
      <c r="G107" s="562"/>
      <c r="H107" s="562"/>
      <c r="I107" s="562"/>
      <c r="J107" s="604">
        <v>51.53</v>
      </c>
      <c r="K107" s="562"/>
      <c r="L107" s="604">
        <v>61.84</v>
      </c>
      <c r="M107" s="603"/>
      <c r="N107" s="602"/>
      <c r="Y107" s="537" t="s">
        <v>475</v>
      </c>
    </row>
    <row r="108" spans="1:29" s="536" customFormat="1" x14ac:dyDescent="0.2">
      <c r="A108" s="605"/>
      <c r="B108" s="552"/>
      <c r="C108" s="1822" t="s">
        <v>314</v>
      </c>
      <c r="D108" s="1822"/>
      <c r="E108" s="1822"/>
      <c r="F108" s="562" t="s">
        <v>315</v>
      </c>
      <c r="G108" s="562" t="s">
        <v>3090</v>
      </c>
      <c r="H108" s="562" t="s">
        <v>313</v>
      </c>
      <c r="I108" s="562" t="s">
        <v>3091</v>
      </c>
      <c r="J108" s="604"/>
      <c r="K108" s="562"/>
      <c r="L108" s="604"/>
      <c r="M108" s="603"/>
      <c r="N108" s="602"/>
      <c r="Z108" s="537" t="s">
        <v>314</v>
      </c>
    </row>
    <row r="109" spans="1:29" s="536" customFormat="1" x14ac:dyDescent="0.2">
      <c r="A109" s="605"/>
      <c r="B109" s="552"/>
      <c r="C109" s="1822" t="s">
        <v>348</v>
      </c>
      <c r="D109" s="1822"/>
      <c r="E109" s="1822"/>
      <c r="F109" s="562" t="s">
        <v>315</v>
      </c>
      <c r="G109" s="562" t="s">
        <v>809</v>
      </c>
      <c r="H109" s="562" t="s">
        <v>313</v>
      </c>
      <c r="I109" s="562" t="s">
        <v>3076</v>
      </c>
      <c r="J109" s="604"/>
      <c r="K109" s="562"/>
      <c r="L109" s="604"/>
      <c r="M109" s="603"/>
      <c r="N109" s="602"/>
      <c r="Z109" s="537" t="s">
        <v>348</v>
      </c>
    </row>
    <row r="110" spans="1:29" s="536" customFormat="1" x14ac:dyDescent="0.2">
      <c r="A110" s="605"/>
      <c r="B110" s="552"/>
      <c r="C110" s="1828" t="s">
        <v>318</v>
      </c>
      <c r="D110" s="1828"/>
      <c r="E110" s="1828"/>
      <c r="F110" s="608"/>
      <c r="G110" s="608"/>
      <c r="H110" s="608"/>
      <c r="I110" s="608"/>
      <c r="J110" s="607">
        <v>206.76</v>
      </c>
      <c r="K110" s="608"/>
      <c r="L110" s="607">
        <v>294.69</v>
      </c>
      <c r="M110" s="601"/>
      <c r="N110" s="606"/>
      <c r="AA110" s="537" t="s">
        <v>318</v>
      </c>
    </row>
    <row r="111" spans="1:29" s="536" customFormat="1" x14ac:dyDescent="0.2">
      <c r="A111" s="605"/>
      <c r="B111" s="552"/>
      <c r="C111" s="1822" t="s">
        <v>319</v>
      </c>
      <c r="D111" s="1822"/>
      <c r="E111" s="1822"/>
      <c r="F111" s="562"/>
      <c r="G111" s="562"/>
      <c r="H111" s="562"/>
      <c r="I111" s="562"/>
      <c r="J111" s="604"/>
      <c r="K111" s="562"/>
      <c r="L111" s="604">
        <v>232.59</v>
      </c>
      <c r="M111" s="603"/>
      <c r="N111" s="602"/>
      <c r="Z111" s="537" t="s">
        <v>319</v>
      </c>
    </row>
    <row r="112" spans="1:29" s="536" customFormat="1" ht="33.75" x14ac:dyDescent="0.2">
      <c r="A112" s="605"/>
      <c r="B112" s="552" t="s">
        <v>1631</v>
      </c>
      <c r="C112" s="1822" t="s">
        <v>1632</v>
      </c>
      <c r="D112" s="1822"/>
      <c r="E112" s="1822"/>
      <c r="F112" s="562" t="s">
        <v>322</v>
      </c>
      <c r="G112" s="562" t="s">
        <v>1633</v>
      </c>
      <c r="H112" s="562"/>
      <c r="I112" s="562" t="s">
        <v>1633</v>
      </c>
      <c r="J112" s="604"/>
      <c r="K112" s="562"/>
      <c r="L112" s="604">
        <v>225.61</v>
      </c>
      <c r="M112" s="603"/>
      <c r="N112" s="602"/>
      <c r="Z112" s="537" t="s">
        <v>1632</v>
      </c>
    </row>
    <row r="113" spans="1:29" s="536" customFormat="1" ht="33.75" x14ac:dyDescent="0.2">
      <c r="A113" s="605"/>
      <c r="B113" s="552" t="s">
        <v>1634</v>
      </c>
      <c r="C113" s="1822" t="s">
        <v>1635</v>
      </c>
      <c r="D113" s="1822"/>
      <c r="E113" s="1822"/>
      <c r="F113" s="562" t="s">
        <v>322</v>
      </c>
      <c r="G113" s="562" t="s">
        <v>786</v>
      </c>
      <c r="H113" s="562"/>
      <c r="I113" s="562" t="s">
        <v>786</v>
      </c>
      <c r="J113" s="604"/>
      <c r="K113" s="562"/>
      <c r="L113" s="604">
        <v>118.62</v>
      </c>
      <c r="M113" s="603"/>
      <c r="N113" s="602"/>
      <c r="Z113" s="537" t="s">
        <v>1635</v>
      </c>
    </row>
    <row r="114" spans="1:29" s="536" customFormat="1" x14ac:dyDescent="0.2">
      <c r="A114" s="569"/>
      <c r="B114" s="656"/>
      <c r="C114" s="1823" t="s">
        <v>327</v>
      </c>
      <c r="D114" s="1823"/>
      <c r="E114" s="1823"/>
      <c r="F114" s="573"/>
      <c r="G114" s="573"/>
      <c r="H114" s="573"/>
      <c r="I114" s="573"/>
      <c r="J114" s="572"/>
      <c r="K114" s="573"/>
      <c r="L114" s="572">
        <v>638.91999999999996</v>
      </c>
      <c r="M114" s="601"/>
      <c r="N114" s="570"/>
      <c r="AB114" s="537" t="s">
        <v>327</v>
      </c>
    </row>
    <row r="115" spans="1:29" s="536" customFormat="1" ht="33.75" x14ac:dyDescent="0.2">
      <c r="A115" s="575" t="s">
        <v>194</v>
      </c>
      <c r="B115" s="657" t="s">
        <v>3092</v>
      </c>
      <c r="C115" s="1823" t="s">
        <v>3093</v>
      </c>
      <c r="D115" s="1823"/>
      <c r="E115" s="1823"/>
      <c r="F115" s="573" t="s">
        <v>483</v>
      </c>
      <c r="G115" s="573"/>
      <c r="H115" s="573"/>
      <c r="I115" s="573" t="s">
        <v>3053</v>
      </c>
      <c r="J115" s="572">
        <v>62.16</v>
      </c>
      <c r="K115" s="573" t="s">
        <v>716</v>
      </c>
      <c r="L115" s="572">
        <v>914.42</v>
      </c>
      <c r="M115" s="571">
        <v>8.32</v>
      </c>
      <c r="N115" s="570">
        <v>7608</v>
      </c>
      <c r="W115" s="537" t="s">
        <v>3093</v>
      </c>
    </row>
    <row r="116" spans="1:29" s="536" customFormat="1" x14ac:dyDescent="0.2">
      <c r="A116" s="569"/>
      <c r="B116" s="656"/>
      <c r="C116" s="661" t="s">
        <v>1658</v>
      </c>
      <c r="D116" s="662"/>
      <c r="E116" s="662"/>
      <c r="F116" s="563"/>
      <c r="G116" s="563"/>
      <c r="H116" s="563"/>
      <c r="I116" s="563"/>
      <c r="J116" s="566"/>
      <c r="K116" s="563"/>
      <c r="L116" s="566"/>
      <c r="M116" s="565"/>
      <c r="N116" s="564"/>
    </row>
    <row r="117" spans="1:29" s="536" customFormat="1" ht="22.5" x14ac:dyDescent="0.2">
      <c r="A117" s="609"/>
      <c r="B117" s="552" t="s">
        <v>718</v>
      </c>
      <c r="C117" s="1822" t="s">
        <v>719</v>
      </c>
      <c r="D117" s="1822"/>
      <c r="E117" s="1822"/>
      <c r="F117" s="1822"/>
      <c r="G117" s="1822"/>
      <c r="H117" s="1822"/>
      <c r="I117" s="1822"/>
      <c r="J117" s="1822"/>
      <c r="K117" s="1822"/>
      <c r="L117" s="1822"/>
      <c r="M117" s="1822"/>
      <c r="N117" s="1827"/>
      <c r="X117" s="537" t="s">
        <v>719</v>
      </c>
    </row>
    <row r="118" spans="1:29" s="536" customFormat="1" x14ac:dyDescent="0.2">
      <c r="A118" s="575" t="s">
        <v>195</v>
      </c>
      <c r="B118" s="657" t="s">
        <v>3094</v>
      </c>
      <c r="C118" s="1823" t="s">
        <v>3095</v>
      </c>
      <c r="D118" s="1823"/>
      <c r="E118" s="1823"/>
      <c r="F118" s="573" t="s">
        <v>1110</v>
      </c>
      <c r="G118" s="573"/>
      <c r="H118" s="573"/>
      <c r="I118" s="573" t="s">
        <v>3808</v>
      </c>
      <c r="J118" s="572"/>
      <c r="K118" s="573"/>
      <c r="L118" s="572"/>
      <c r="M118" s="571"/>
      <c r="N118" s="570"/>
      <c r="W118" s="537" t="s">
        <v>3095</v>
      </c>
    </row>
    <row r="119" spans="1:29" s="536" customFormat="1" x14ac:dyDescent="0.2">
      <c r="A119" s="676"/>
      <c r="B119" s="655"/>
      <c r="C119" s="1822" t="s">
        <v>8153</v>
      </c>
      <c r="D119" s="1822"/>
      <c r="E119" s="1822"/>
      <c r="F119" s="1822"/>
      <c r="G119" s="1822"/>
      <c r="H119" s="1822"/>
      <c r="I119" s="1822"/>
      <c r="J119" s="1822"/>
      <c r="K119" s="1822"/>
      <c r="L119" s="1822"/>
      <c r="M119" s="1822"/>
      <c r="N119" s="1827"/>
      <c r="AC119" s="537" t="s">
        <v>8153</v>
      </c>
    </row>
    <row r="120" spans="1:29" s="536" customFormat="1" ht="33.75" x14ac:dyDescent="0.2">
      <c r="A120" s="609"/>
      <c r="B120" s="552" t="s">
        <v>310</v>
      </c>
      <c r="C120" s="1822" t="s">
        <v>311</v>
      </c>
      <c r="D120" s="1822"/>
      <c r="E120" s="1822"/>
      <c r="F120" s="1822"/>
      <c r="G120" s="1822"/>
      <c r="H120" s="1822"/>
      <c r="I120" s="1822"/>
      <c r="J120" s="1822"/>
      <c r="K120" s="1822"/>
      <c r="L120" s="1822"/>
      <c r="M120" s="1822"/>
      <c r="N120" s="1827"/>
      <c r="X120" s="537" t="s">
        <v>311</v>
      </c>
    </row>
    <row r="121" spans="1:29" s="536" customFormat="1" x14ac:dyDescent="0.2">
      <c r="A121" s="605"/>
      <c r="B121" s="552" t="s">
        <v>185</v>
      </c>
      <c r="C121" s="1822" t="s">
        <v>312</v>
      </c>
      <c r="D121" s="1822"/>
      <c r="E121" s="1822"/>
      <c r="F121" s="562"/>
      <c r="G121" s="562"/>
      <c r="H121" s="562"/>
      <c r="I121" s="562"/>
      <c r="J121" s="604">
        <v>26.51</v>
      </c>
      <c r="K121" s="562" t="s">
        <v>313</v>
      </c>
      <c r="L121" s="604">
        <v>56.33</v>
      </c>
      <c r="M121" s="603"/>
      <c r="N121" s="602"/>
      <c r="Y121" s="537" t="s">
        <v>312</v>
      </c>
    </row>
    <row r="122" spans="1:29" s="536" customFormat="1" x14ac:dyDescent="0.2">
      <c r="A122" s="605"/>
      <c r="B122" s="552" t="s">
        <v>186</v>
      </c>
      <c r="C122" s="1822" t="s">
        <v>344</v>
      </c>
      <c r="D122" s="1822"/>
      <c r="E122" s="1822"/>
      <c r="F122" s="562"/>
      <c r="G122" s="562"/>
      <c r="H122" s="562"/>
      <c r="I122" s="562"/>
      <c r="J122" s="604">
        <v>1.81</v>
      </c>
      <c r="K122" s="562" t="s">
        <v>313</v>
      </c>
      <c r="L122" s="604">
        <v>3.85</v>
      </c>
      <c r="M122" s="603"/>
      <c r="N122" s="602"/>
      <c r="Y122" s="537" t="s">
        <v>344</v>
      </c>
    </row>
    <row r="123" spans="1:29" s="536" customFormat="1" x14ac:dyDescent="0.2">
      <c r="A123" s="605"/>
      <c r="B123" s="552" t="s">
        <v>187</v>
      </c>
      <c r="C123" s="1822" t="s">
        <v>345</v>
      </c>
      <c r="D123" s="1822"/>
      <c r="E123" s="1822"/>
      <c r="F123" s="562"/>
      <c r="G123" s="562"/>
      <c r="H123" s="562"/>
      <c r="I123" s="562"/>
      <c r="J123" s="604">
        <v>0.26</v>
      </c>
      <c r="K123" s="562" t="s">
        <v>313</v>
      </c>
      <c r="L123" s="604">
        <v>0.55000000000000004</v>
      </c>
      <c r="M123" s="603"/>
      <c r="N123" s="602"/>
      <c r="Y123" s="537" t="s">
        <v>345</v>
      </c>
    </row>
    <row r="124" spans="1:29" s="536" customFormat="1" x14ac:dyDescent="0.2">
      <c r="A124" s="605"/>
      <c r="B124" s="552" t="s">
        <v>188</v>
      </c>
      <c r="C124" s="1822" t="s">
        <v>475</v>
      </c>
      <c r="D124" s="1822"/>
      <c r="E124" s="1822"/>
      <c r="F124" s="562"/>
      <c r="G124" s="562"/>
      <c r="H124" s="562"/>
      <c r="I124" s="562"/>
      <c r="J124" s="604">
        <v>10.27</v>
      </c>
      <c r="K124" s="562"/>
      <c r="L124" s="604">
        <v>17.46</v>
      </c>
      <c r="M124" s="603"/>
      <c r="N124" s="602"/>
      <c r="Y124" s="537" t="s">
        <v>475</v>
      </c>
    </row>
    <row r="125" spans="1:29" s="536" customFormat="1" x14ac:dyDescent="0.2">
      <c r="A125" s="605"/>
      <c r="B125" s="552"/>
      <c r="C125" s="1822" t="s">
        <v>314</v>
      </c>
      <c r="D125" s="1822"/>
      <c r="E125" s="1822"/>
      <c r="F125" s="562" t="s">
        <v>315</v>
      </c>
      <c r="G125" s="562" t="s">
        <v>3096</v>
      </c>
      <c r="H125" s="562" t="s">
        <v>313</v>
      </c>
      <c r="I125" s="562" t="s">
        <v>8154</v>
      </c>
      <c r="J125" s="604"/>
      <c r="K125" s="562"/>
      <c r="L125" s="604"/>
      <c r="M125" s="603"/>
      <c r="N125" s="602"/>
      <c r="Z125" s="537" t="s">
        <v>314</v>
      </c>
    </row>
    <row r="126" spans="1:29" s="536" customFormat="1" x14ac:dyDescent="0.2">
      <c r="A126" s="605"/>
      <c r="B126" s="552"/>
      <c r="C126" s="1822" t="s">
        <v>348</v>
      </c>
      <c r="D126" s="1822"/>
      <c r="E126" s="1822"/>
      <c r="F126" s="562" t="s">
        <v>315</v>
      </c>
      <c r="G126" s="562" t="s">
        <v>695</v>
      </c>
      <c r="H126" s="562" t="s">
        <v>313</v>
      </c>
      <c r="I126" s="562" t="s">
        <v>4415</v>
      </c>
      <c r="J126" s="604"/>
      <c r="K126" s="562"/>
      <c r="L126" s="604"/>
      <c r="M126" s="603"/>
      <c r="N126" s="602"/>
      <c r="Z126" s="537" t="s">
        <v>348</v>
      </c>
    </row>
    <row r="127" spans="1:29" s="536" customFormat="1" x14ac:dyDescent="0.2">
      <c r="A127" s="605"/>
      <c r="B127" s="552"/>
      <c r="C127" s="1828" t="s">
        <v>318</v>
      </c>
      <c r="D127" s="1828"/>
      <c r="E127" s="1828"/>
      <c r="F127" s="608"/>
      <c r="G127" s="608"/>
      <c r="H127" s="608"/>
      <c r="I127" s="608"/>
      <c r="J127" s="607">
        <v>38.590000000000003</v>
      </c>
      <c r="K127" s="608"/>
      <c r="L127" s="607">
        <v>77.64</v>
      </c>
      <c r="M127" s="601"/>
      <c r="N127" s="606"/>
      <c r="AA127" s="537" t="s">
        <v>318</v>
      </c>
    </row>
    <row r="128" spans="1:29" s="536" customFormat="1" x14ac:dyDescent="0.2">
      <c r="A128" s="605"/>
      <c r="B128" s="552"/>
      <c r="C128" s="1822" t="s">
        <v>319</v>
      </c>
      <c r="D128" s="1822"/>
      <c r="E128" s="1822"/>
      <c r="F128" s="562"/>
      <c r="G128" s="562"/>
      <c r="H128" s="562"/>
      <c r="I128" s="562"/>
      <c r="J128" s="604"/>
      <c r="K128" s="562"/>
      <c r="L128" s="604">
        <v>56.88</v>
      </c>
      <c r="M128" s="603"/>
      <c r="N128" s="602"/>
      <c r="Z128" s="537" t="s">
        <v>319</v>
      </c>
    </row>
    <row r="129" spans="1:29" s="536" customFormat="1" ht="33.75" x14ac:dyDescent="0.2">
      <c r="A129" s="605"/>
      <c r="B129" s="552" t="s">
        <v>1631</v>
      </c>
      <c r="C129" s="1822" t="s">
        <v>1632</v>
      </c>
      <c r="D129" s="1822"/>
      <c r="E129" s="1822"/>
      <c r="F129" s="562" t="s">
        <v>322</v>
      </c>
      <c r="G129" s="562" t="s">
        <v>1633</v>
      </c>
      <c r="H129" s="562"/>
      <c r="I129" s="562" t="s">
        <v>1633</v>
      </c>
      <c r="J129" s="604"/>
      <c r="K129" s="562"/>
      <c r="L129" s="604">
        <v>55.17</v>
      </c>
      <c r="M129" s="603"/>
      <c r="N129" s="602"/>
      <c r="Z129" s="537" t="s">
        <v>1632</v>
      </c>
    </row>
    <row r="130" spans="1:29" s="536" customFormat="1" ht="33.75" x14ac:dyDescent="0.2">
      <c r="A130" s="605"/>
      <c r="B130" s="552" t="s">
        <v>1634</v>
      </c>
      <c r="C130" s="1822" t="s">
        <v>1635</v>
      </c>
      <c r="D130" s="1822"/>
      <c r="E130" s="1822"/>
      <c r="F130" s="562" t="s">
        <v>322</v>
      </c>
      <c r="G130" s="562" t="s">
        <v>786</v>
      </c>
      <c r="H130" s="562"/>
      <c r="I130" s="562" t="s">
        <v>786</v>
      </c>
      <c r="J130" s="604"/>
      <c r="K130" s="562"/>
      <c r="L130" s="604">
        <v>29.01</v>
      </c>
      <c r="M130" s="603"/>
      <c r="N130" s="602"/>
      <c r="Z130" s="537" t="s">
        <v>1635</v>
      </c>
    </row>
    <row r="131" spans="1:29" s="536" customFormat="1" x14ac:dyDescent="0.2">
      <c r="A131" s="569"/>
      <c r="B131" s="656"/>
      <c r="C131" s="1823" t="s">
        <v>327</v>
      </c>
      <c r="D131" s="1823"/>
      <c r="E131" s="1823"/>
      <c r="F131" s="573"/>
      <c r="G131" s="573"/>
      <c r="H131" s="573"/>
      <c r="I131" s="573"/>
      <c r="J131" s="572"/>
      <c r="K131" s="573"/>
      <c r="L131" s="572">
        <v>161.82</v>
      </c>
      <c r="M131" s="601"/>
      <c r="N131" s="570"/>
      <c r="AB131" s="537" t="s">
        <v>327</v>
      </c>
    </row>
    <row r="132" spans="1:29" s="536" customFormat="1" ht="101.25" x14ac:dyDescent="0.2">
      <c r="A132" s="575" t="s">
        <v>196</v>
      </c>
      <c r="B132" s="657" t="s">
        <v>3097</v>
      </c>
      <c r="C132" s="1823" t="s">
        <v>3098</v>
      </c>
      <c r="D132" s="1823"/>
      <c r="E132" s="1823"/>
      <c r="F132" s="573" t="s">
        <v>1687</v>
      </c>
      <c r="G132" s="573"/>
      <c r="H132" s="573"/>
      <c r="I132" s="573" t="s">
        <v>2119</v>
      </c>
      <c r="J132" s="572">
        <v>6984.54</v>
      </c>
      <c r="K132" s="573"/>
      <c r="L132" s="572">
        <v>997.39</v>
      </c>
      <c r="M132" s="571"/>
      <c r="N132" s="570"/>
      <c r="W132" s="537" t="s">
        <v>3098</v>
      </c>
    </row>
    <row r="133" spans="1:29" s="536" customFormat="1" x14ac:dyDescent="0.2">
      <c r="A133" s="569"/>
      <c r="B133" s="656"/>
      <c r="C133" s="661" t="s">
        <v>1658</v>
      </c>
      <c r="D133" s="662"/>
      <c r="E133" s="662"/>
      <c r="F133" s="563"/>
      <c r="G133" s="563"/>
      <c r="H133" s="563"/>
      <c r="I133" s="563"/>
      <c r="J133" s="566"/>
      <c r="K133" s="563"/>
      <c r="L133" s="566"/>
      <c r="M133" s="565"/>
      <c r="N133" s="564"/>
    </row>
    <row r="134" spans="1:29" s="536" customFormat="1" x14ac:dyDescent="0.2">
      <c r="A134" s="676"/>
      <c r="B134" s="655"/>
      <c r="C134" s="1822" t="s">
        <v>8155</v>
      </c>
      <c r="D134" s="1822"/>
      <c r="E134" s="1822"/>
      <c r="F134" s="1822"/>
      <c r="G134" s="1822"/>
      <c r="H134" s="1822"/>
      <c r="I134" s="1822"/>
      <c r="J134" s="1822"/>
      <c r="K134" s="1822"/>
      <c r="L134" s="1822"/>
      <c r="M134" s="1822"/>
      <c r="N134" s="1827"/>
      <c r="AC134" s="537" t="s">
        <v>8155</v>
      </c>
    </row>
    <row r="135" spans="1:29" s="536" customFormat="1" ht="33.75" x14ac:dyDescent="0.2">
      <c r="A135" s="575" t="s">
        <v>197</v>
      </c>
      <c r="B135" s="657" t="s">
        <v>8156</v>
      </c>
      <c r="C135" s="1823" t="s">
        <v>8157</v>
      </c>
      <c r="D135" s="1823"/>
      <c r="E135" s="1823"/>
      <c r="F135" s="573" t="s">
        <v>483</v>
      </c>
      <c r="G135" s="573"/>
      <c r="H135" s="573"/>
      <c r="I135" s="573" t="s">
        <v>3167</v>
      </c>
      <c r="J135" s="572">
        <v>23.14</v>
      </c>
      <c r="K135" s="573" t="s">
        <v>716</v>
      </c>
      <c r="L135" s="572">
        <v>86.78</v>
      </c>
      <c r="M135" s="571">
        <v>8.32</v>
      </c>
      <c r="N135" s="570">
        <v>722</v>
      </c>
      <c r="W135" s="537" t="s">
        <v>8157</v>
      </c>
    </row>
    <row r="136" spans="1:29" s="536" customFormat="1" x14ac:dyDescent="0.2">
      <c r="A136" s="569"/>
      <c r="B136" s="656"/>
      <c r="C136" s="661" t="s">
        <v>1658</v>
      </c>
      <c r="D136" s="662"/>
      <c r="E136" s="662"/>
      <c r="F136" s="563"/>
      <c r="G136" s="563"/>
      <c r="H136" s="563"/>
      <c r="I136" s="563"/>
      <c r="J136" s="566"/>
      <c r="K136" s="563"/>
      <c r="L136" s="566"/>
      <c r="M136" s="565"/>
      <c r="N136" s="564"/>
    </row>
    <row r="137" spans="1:29" s="536" customFormat="1" x14ac:dyDescent="0.2">
      <c r="A137" s="676"/>
      <c r="B137" s="655"/>
      <c r="C137" s="1822" t="s">
        <v>3168</v>
      </c>
      <c r="D137" s="1822"/>
      <c r="E137" s="1822"/>
      <c r="F137" s="1822"/>
      <c r="G137" s="1822"/>
      <c r="H137" s="1822"/>
      <c r="I137" s="1822"/>
      <c r="J137" s="1822"/>
      <c r="K137" s="1822"/>
      <c r="L137" s="1822"/>
      <c r="M137" s="1822"/>
      <c r="N137" s="1827"/>
      <c r="AC137" s="537" t="s">
        <v>3168</v>
      </c>
    </row>
    <row r="138" spans="1:29" s="536" customFormat="1" ht="22.5" x14ac:dyDescent="0.2">
      <c r="A138" s="609"/>
      <c r="B138" s="552" t="s">
        <v>718</v>
      </c>
      <c r="C138" s="1822" t="s">
        <v>719</v>
      </c>
      <c r="D138" s="1822"/>
      <c r="E138" s="1822"/>
      <c r="F138" s="1822"/>
      <c r="G138" s="1822"/>
      <c r="H138" s="1822"/>
      <c r="I138" s="1822"/>
      <c r="J138" s="1822"/>
      <c r="K138" s="1822"/>
      <c r="L138" s="1822"/>
      <c r="M138" s="1822"/>
      <c r="N138" s="1827"/>
      <c r="X138" s="537" t="s">
        <v>719</v>
      </c>
    </row>
    <row r="139" spans="1:29" s="536" customFormat="1" ht="33.75" x14ac:dyDescent="0.2">
      <c r="A139" s="575" t="s">
        <v>198</v>
      </c>
      <c r="B139" s="657" t="s">
        <v>3160</v>
      </c>
      <c r="C139" s="1823" t="s">
        <v>3161</v>
      </c>
      <c r="D139" s="1823"/>
      <c r="E139" s="1823"/>
      <c r="F139" s="573" t="s">
        <v>617</v>
      </c>
      <c r="G139" s="573"/>
      <c r="H139" s="573"/>
      <c r="I139" s="573" t="s">
        <v>186</v>
      </c>
      <c r="J139" s="572"/>
      <c r="K139" s="573"/>
      <c r="L139" s="572"/>
      <c r="M139" s="571"/>
      <c r="N139" s="570"/>
      <c r="W139" s="537" t="s">
        <v>3161</v>
      </c>
    </row>
    <row r="140" spans="1:29" s="536" customFormat="1" x14ac:dyDescent="0.2">
      <c r="A140" s="676"/>
      <c r="B140" s="655"/>
      <c r="C140" s="1822" t="s">
        <v>8158</v>
      </c>
      <c r="D140" s="1822"/>
      <c r="E140" s="1822"/>
      <c r="F140" s="1822"/>
      <c r="G140" s="1822"/>
      <c r="H140" s="1822"/>
      <c r="I140" s="1822"/>
      <c r="J140" s="1822"/>
      <c r="K140" s="1822"/>
      <c r="L140" s="1822"/>
      <c r="M140" s="1822"/>
      <c r="N140" s="1827"/>
      <c r="AC140" s="537" t="s">
        <v>8158</v>
      </c>
    </row>
    <row r="141" spans="1:29" s="536" customFormat="1" ht="33.75" x14ac:dyDescent="0.2">
      <c r="A141" s="609"/>
      <c r="B141" s="552" t="s">
        <v>310</v>
      </c>
      <c r="C141" s="1822" t="s">
        <v>311</v>
      </c>
      <c r="D141" s="1822"/>
      <c r="E141" s="1822"/>
      <c r="F141" s="1822"/>
      <c r="G141" s="1822"/>
      <c r="H141" s="1822"/>
      <c r="I141" s="1822"/>
      <c r="J141" s="1822"/>
      <c r="K141" s="1822"/>
      <c r="L141" s="1822"/>
      <c r="M141" s="1822"/>
      <c r="N141" s="1827"/>
      <c r="X141" s="537" t="s">
        <v>311</v>
      </c>
    </row>
    <row r="142" spans="1:29" s="536" customFormat="1" x14ac:dyDescent="0.2">
      <c r="A142" s="605"/>
      <c r="B142" s="552" t="s">
        <v>185</v>
      </c>
      <c r="C142" s="1822" t="s">
        <v>312</v>
      </c>
      <c r="D142" s="1822"/>
      <c r="E142" s="1822"/>
      <c r="F142" s="562"/>
      <c r="G142" s="562"/>
      <c r="H142" s="562"/>
      <c r="I142" s="562"/>
      <c r="J142" s="604">
        <v>2.0699999999999998</v>
      </c>
      <c r="K142" s="562" t="s">
        <v>313</v>
      </c>
      <c r="L142" s="604">
        <v>5.18</v>
      </c>
      <c r="M142" s="603"/>
      <c r="N142" s="602"/>
      <c r="Y142" s="537" t="s">
        <v>312</v>
      </c>
    </row>
    <row r="143" spans="1:29" s="536" customFormat="1" x14ac:dyDescent="0.2">
      <c r="A143" s="605"/>
      <c r="B143" s="552" t="s">
        <v>188</v>
      </c>
      <c r="C143" s="1822" t="s">
        <v>475</v>
      </c>
      <c r="D143" s="1822"/>
      <c r="E143" s="1822"/>
      <c r="F143" s="562"/>
      <c r="G143" s="562"/>
      <c r="H143" s="562"/>
      <c r="I143" s="562"/>
      <c r="J143" s="604">
        <v>0.04</v>
      </c>
      <c r="K143" s="562"/>
      <c r="L143" s="604">
        <v>0.08</v>
      </c>
      <c r="M143" s="603"/>
      <c r="N143" s="602"/>
      <c r="Y143" s="537" t="s">
        <v>475</v>
      </c>
    </row>
    <row r="144" spans="1:29" s="536" customFormat="1" x14ac:dyDescent="0.2">
      <c r="A144" s="605"/>
      <c r="B144" s="552"/>
      <c r="C144" s="1822" t="s">
        <v>314</v>
      </c>
      <c r="D144" s="1822"/>
      <c r="E144" s="1822"/>
      <c r="F144" s="562" t="s">
        <v>315</v>
      </c>
      <c r="G144" s="562" t="s">
        <v>2440</v>
      </c>
      <c r="H144" s="562" t="s">
        <v>313</v>
      </c>
      <c r="I144" s="562" t="s">
        <v>1755</v>
      </c>
      <c r="J144" s="604"/>
      <c r="K144" s="562"/>
      <c r="L144" s="604"/>
      <c r="M144" s="603"/>
      <c r="N144" s="602"/>
      <c r="Z144" s="537" t="s">
        <v>314</v>
      </c>
    </row>
    <row r="145" spans="1:29" s="536" customFormat="1" x14ac:dyDescent="0.2">
      <c r="A145" s="605"/>
      <c r="B145" s="552"/>
      <c r="C145" s="1828" t="s">
        <v>318</v>
      </c>
      <c r="D145" s="1828"/>
      <c r="E145" s="1828"/>
      <c r="F145" s="608"/>
      <c r="G145" s="608"/>
      <c r="H145" s="608"/>
      <c r="I145" s="608"/>
      <c r="J145" s="607">
        <v>2.11</v>
      </c>
      <c r="K145" s="608"/>
      <c r="L145" s="607">
        <v>5.26</v>
      </c>
      <c r="M145" s="601"/>
      <c r="N145" s="606"/>
      <c r="AA145" s="537" t="s">
        <v>318</v>
      </c>
    </row>
    <row r="146" spans="1:29" s="536" customFormat="1" x14ac:dyDescent="0.2">
      <c r="A146" s="605"/>
      <c r="B146" s="552"/>
      <c r="C146" s="1822" t="s">
        <v>319</v>
      </c>
      <c r="D146" s="1822"/>
      <c r="E146" s="1822"/>
      <c r="F146" s="562"/>
      <c r="G146" s="562"/>
      <c r="H146" s="562"/>
      <c r="I146" s="562"/>
      <c r="J146" s="604"/>
      <c r="K146" s="562"/>
      <c r="L146" s="604">
        <v>5.18</v>
      </c>
      <c r="M146" s="603"/>
      <c r="N146" s="602"/>
      <c r="Z146" s="537" t="s">
        <v>319</v>
      </c>
    </row>
    <row r="147" spans="1:29" s="536" customFormat="1" ht="33.75" x14ac:dyDescent="0.2">
      <c r="A147" s="605"/>
      <c r="B147" s="552" t="s">
        <v>948</v>
      </c>
      <c r="C147" s="1822" t="s">
        <v>949</v>
      </c>
      <c r="D147" s="1822"/>
      <c r="E147" s="1822"/>
      <c r="F147" s="562" t="s">
        <v>322</v>
      </c>
      <c r="G147" s="562" t="s">
        <v>886</v>
      </c>
      <c r="H147" s="562"/>
      <c r="I147" s="562" t="s">
        <v>886</v>
      </c>
      <c r="J147" s="604"/>
      <c r="K147" s="562"/>
      <c r="L147" s="604">
        <v>4.66</v>
      </c>
      <c r="M147" s="603"/>
      <c r="N147" s="602"/>
      <c r="Z147" s="537" t="s">
        <v>949</v>
      </c>
    </row>
    <row r="148" spans="1:29" s="536" customFormat="1" ht="33.75" x14ac:dyDescent="0.2">
      <c r="A148" s="605"/>
      <c r="B148" s="552" t="s">
        <v>950</v>
      </c>
      <c r="C148" s="1822" t="s">
        <v>951</v>
      </c>
      <c r="D148" s="1822"/>
      <c r="E148" s="1822"/>
      <c r="F148" s="562" t="s">
        <v>322</v>
      </c>
      <c r="G148" s="562" t="s">
        <v>465</v>
      </c>
      <c r="H148" s="562"/>
      <c r="I148" s="562" t="s">
        <v>465</v>
      </c>
      <c r="J148" s="604"/>
      <c r="K148" s="562"/>
      <c r="L148" s="604">
        <v>2.38</v>
      </c>
      <c r="M148" s="603"/>
      <c r="N148" s="602"/>
      <c r="Z148" s="537" t="s">
        <v>951</v>
      </c>
    </row>
    <row r="149" spans="1:29" s="536" customFormat="1" x14ac:dyDescent="0.2">
      <c r="A149" s="569"/>
      <c r="B149" s="656"/>
      <c r="C149" s="1823" t="s">
        <v>327</v>
      </c>
      <c r="D149" s="1823"/>
      <c r="E149" s="1823"/>
      <c r="F149" s="573"/>
      <c r="G149" s="573"/>
      <c r="H149" s="573"/>
      <c r="I149" s="573"/>
      <c r="J149" s="572"/>
      <c r="K149" s="573"/>
      <c r="L149" s="572">
        <v>12.3</v>
      </c>
      <c r="M149" s="601"/>
      <c r="N149" s="570"/>
      <c r="AB149" s="537" t="s">
        <v>327</v>
      </c>
    </row>
    <row r="150" spans="1:29" s="536" customFormat="1" ht="33.75" x14ac:dyDescent="0.2">
      <c r="A150" s="575" t="s">
        <v>199</v>
      </c>
      <c r="B150" s="657" t="s">
        <v>3177</v>
      </c>
      <c r="C150" s="1823" t="s">
        <v>3169</v>
      </c>
      <c r="D150" s="1823"/>
      <c r="E150" s="1823"/>
      <c r="F150" s="573" t="s">
        <v>628</v>
      </c>
      <c r="G150" s="573"/>
      <c r="H150" s="573"/>
      <c r="I150" s="573" t="s">
        <v>186</v>
      </c>
      <c r="J150" s="572">
        <v>171.14</v>
      </c>
      <c r="K150" s="573" t="s">
        <v>716</v>
      </c>
      <c r="L150" s="572">
        <v>41.95</v>
      </c>
      <c r="M150" s="571">
        <v>8.32</v>
      </c>
      <c r="N150" s="570">
        <v>349</v>
      </c>
      <c r="W150" s="537" t="s">
        <v>3169</v>
      </c>
    </row>
    <row r="151" spans="1:29" s="536" customFormat="1" x14ac:dyDescent="0.2">
      <c r="A151" s="569"/>
      <c r="B151" s="656"/>
      <c r="C151" s="661" t="s">
        <v>1658</v>
      </c>
      <c r="D151" s="662"/>
      <c r="E151" s="662"/>
      <c r="F151" s="563"/>
      <c r="G151" s="563"/>
      <c r="H151" s="563"/>
      <c r="I151" s="563"/>
      <c r="J151" s="566"/>
      <c r="K151" s="563"/>
      <c r="L151" s="566"/>
      <c r="M151" s="565"/>
      <c r="N151" s="564"/>
    </row>
    <row r="152" spans="1:29" s="536" customFormat="1" ht="22.5" x14ac:dyDescent="0.2">
      <c r="A152" s="609"/>
      <c r="B152" s="552" t="s">
        <v>718</v>
      </c>
      <c r="C152" s="1822" t="s">
        <v>719</v>
      </c>
      <c r="D152" s="1822"/>
      <c r="E152" s="1822"/>
      <c r="F152" s="1822"/>
      <c r="G152" s="1822"/>
      <c r="H152" s="1822"/>
      <c r="I152" s="1822"/>
      <c r="J152" s="1822"/>
      <c r="K152" s="1822"/>
      <c r="L152" s="1822"/>
      <c r="M152" s="1822"/>
      <c r="N152" s="1827"/>
      <c r="X152" s="537" t="s">
        <v>719</v>
      </c>
    </row>
    <row r="153" spans="1:29" s="536" customFormat="1" ht="33.75" x14ac:dyDescent="0.2">
      <c r="A153" s="575" t="s">
        <v>200</v>
      </c>
      <c r="B153" s="657" t="s">
        <v>3103</v>
      </c>
      <c r="C153" s="1823" t="s">
        <v>3104</v>
      </c>
      <c r="D153" s="1823"/>
      <c r="E153" s="1823"/>
      <c r="F153" s="573" t="s">
        <v>1110</v>
      </c>
      <c r="G153" s="573"/>
      <c r="H153" s="573"/>
      <c r="I153" s="573" t="s">
        <v>856</v>
      </c>
      <c r="J153" s="572"/>
      <c r="K153" s="573"/>
      <c r="L153" s="572"/>
      <c r="M153" s="571"/>
      <c r="N153" s="570"/>
      <c r="W153" s="537" t="s">
        <v>3104</v>
      </c>
    </row>
    <row r="154" spans="1:29" s="536" customFormat="1" x14ac:dyDescent="0.2">
      <c r="A154" s="676"/>
      <c r="B154" s="655"/>
      <c r="C154" s="1822" t="s">
        <v>2317</v>
      </c>
      <c r="D154" s="1822"/>
      <c r="E154" s="1822"/>
      <c r="F154" s="1822"/>
      <c r="G154" s="1822"/>
      <c r="H154" s="1822"/>
      <c r="I154" s="1822"/>
      <c r="J154" s="1822"/>
      <c r="K154" s="1822"/>
      <c r="L154" s="1822"/>
      <c r="M154" s="1822"/>
      <c r="N154" s="1827"/>
      <c r="AC154" s="537" t="s">
        <v>2317</v>
      </c>
    </row>
    <row r="155" spans="1:29" s="536" customFormat="1" ht="33.75" x14ac:dyDescent="0.2">
      <c r="A155" s="609"/>
      <c r="B155" s="552" t="s">
        <v>310</v>
      </c>
      <c r="C155" s="1822" t="s">
        <v>311</v>
      </c>
      <c r="D155" s="1822"/>
      <c r="E155" s="1822"/>
      <c r="F155" s="1822"/>
      <c r="G155" s="1822"/>
      <c r="H155" s="1822"/>
      <c r="I155" s="1822"/>
      <c r="J155" s="1822"/>
      <c r="K155" s="1822"/>
      <c r="L155" s="1822"/>
      <c r="M155" s="1822"/>
      <c r="N155" s="1827"/>
      <c r="X155" s="537" t="s">
        <v>311</v>
      </c>
    </row>
    <row r="156" spans="1:29" s="536" customFormat="1" x14ac:dyDescent="0.2">
      <c r="A156" s="605"/>
      <c r="B156" s="552" t="s">
        <v>185</v>
      </c>
      <c r="C156" s="1822" t="s">
        <v>312</v>
      </c>
      <c r="D156" s="1822"/>
      <c r="E156" s="1822"/>
      <c r="F156" s="562"/>
      <c r="G156" s="562"/>
      <c r="H156" s="562"/>
      <c r="I156" s="562"/>
      <c r="J156" s="604">
        <v>391.79</v>
      </c>
      <c r="K156" s="562" t="s">
        <v>313</v>
      </c>
      <c r="L156" s="604">
        <v>24.49</v>
      </c>
      <c r="M156" s="603"/>
      <c r="N156" s="602"/>
      <c r="Y156" s="537" t="s">
        <v>312</v>
      </c>
    </row>
    <row r="157" spans="1:29" s="536" customFormat="1" x14ac:dyDescent="0.2">
      <c r="A157" s="605"/>
      <c r="B157" s="552" t="s">
        <v>186</v>
      </c>
      <c r="C157" s="1822" t="s">
        <v>344</v>
      </c>
      <c r="D157" s="1822"/>
      <c r="E157" s="1822"/>
      <c r="F157" s="562"/>
      <c r="G157" s="562"/>
      <c r="H157" s="562"/>
      <c r="I157" s="562"/>
      <c r="J157" s="604">
        <v>176.36</v>
      </c>
      <c r="K157" s="562" t="s">
        <v>313</v>
      </c>
      <c r="L157" s="604">
        <v>11.02</v>
      </c>
      <c r="M157" s="603"/>
      <c r="N157" s="602"/>
      <c r="Y157" s="537" t="s">
        <v>344</v>
      </c>
    </row>
    <row r="158" spans="1:29" s="536" customFormat="1" x14ac:dyDescent="0.2">
      <c r="A158" s="605"/>
      <c r="B158" s="552" t="s">
        <v>187</v>
      </c>
      <c r="C158" s="1822" t="s">
        <v>345</v>
      </c>
      <c r="D158" s="1822"/>
      <c r="E158" s="1822"/>
      <c r="F158" s="562"/>
      <c r="G158" s="562"/>
      <c r="H158" s="562"/>
      <c r="I158" s="562"/>
      <c r="J158" s="604">
        <v>18.329999999999998</v>
      </c>
      <c r="K158" s="562" t="s">
        <v>313</v>
      </c>
      <c r="L158" s="604">
        <v>1.1499999999999999</v>
      </c>
      <c r="M158" s="603"/>
      <c r="N158" s="602"/>
      <c r="Y158" s="537" t="s">
        <v>345</v>
      </c>
    </row>
    <row r="159" spans="1:29" s="536" customFormat="1" x14ac:dyDescent="0.2">
      <c r="A159" s="605"/>
      <c r="B159" s="552" t="s">
        <v>188</v>
      </c>
      <c r="C159" s="1822" t="s">
        <v>475</v>
      </c>
      <c r="D159" s="1822"/>
      <c r="E159" s="1822"/>
      <c r="F159" s="562"/>
      <c r="G159" s="562"/>
      <c r="H159" s="562"/>
      <c r="I159" s="562"/>
      <c r="J159" s="604">
        <v>373.17</v>
      </c>
      <c r="K159" s="562"/>
      <c r="L159" s="604">
        <v>18.66</v>
      </c>
      <c r="M159" s="603"/>
      <c r="N159" s="602"/>
      <c r="Y159" s="537" t="s">
        <v>475</v>
      </c>
    </row>
    <row r="160" spans="1:29" s="536" customFormat="1" x14ac:dyDescent="0.2">
      <c r="A160" s="605"/>
      <c r="B160" s="552"/>
      <c r="C160" s="1822" t="s">
        <v>314</v>
      </c>
      <c r="D160" s="1822"/>
      <c r="E160" s="1822"/>
      <c r="F160" s="562" t="s">
        <v>315</v>
      </c>
      <c r="G160" s="562" t="s">
        <v>3105</v>
      </c>
      <c r="H160" s="562" t="s">
        <v>313</v>
      </c>
      <c r="I160" s="562" t="s">
        <v>3106</v>
      </c>
      <c r="J160" s="604"/>
      <c r="K160" s="562"/>
      <c r="L160" s="604"/>
      <c r="M160" s="603"/>
      <c r="N160" s="602"/>
      <c r="Z160" s="537" t="s">
        <v>314</v>
      </c>
    </row>
    <row r="161" spans="1:29" s="536" customFormat="1" x14ac:dyDescent="0.2">
      <c r="A161" s="605"/>
      <c r="B161" s="552"/>
      <c r="C161" s="1822" t="s">
        <v>348</v>
      </c>
      <c r="D161" s="1822"/>
      <c r="E161" s="1822"/>
      <c r="F161" s="562" t="s">
        <v>315</v>
      </c>
      <c r="G161" s="562" t="s">
        <v>3107</v>
      </c>
      <c r="H161" s="562" t="s">
        <v>313</v>
      </c>
      <c r="I161" s="562" t="s">
        <v>3108</v>
      </c>
      <c r="J161" s="604"/>
      <c r="K161" s="562"/>
      <c r="L161" s="604"/>
      <c r="M161" s="603"/>
      <c r="N161" s="602"/>
      <c r="Z161" s="537" t="s">
        <v>348</v>
      </c>
    </row>
    <row r="162" spans="1:29" s="536" customFormat="1" x14ac:dyDescent="0.2">
      <c r="A162" s="605"/>
      <c r="B162" s="552"/>
      <c r="C162" s="1828" t="s">
        <v>318</v>
      </c>
      <c r="D162" s="1828"/>
      <c r="E162" s="1828"/>
      <c r="F162" s="608"/>
      <c r="G162" s="608"/>
      <c r="H162" s="608"/>
      <c r="I162" s="608"/>
      <c r="J162" s="607">
        <v>941.32</v>
      </c>
      <c r="K162" s="608"/>
      <c r="L162" s="607">
        <v>54.17</v>
      </c>
      <c r="M162" s="601"/>
      <c r="N162" s="606"/>
      <c r="AA162" s="537" t="s">
        <v>318</v>
      </c>
    </row>
    <row r="163" spans="1:29" s="536" customFormat="1" x14ac:dyDescent="0.2">
      <c r="A163" s="605"/>
      <c r="B163" s="552"/>
      <c r="C163" s="1822" t="s">
        <v>319</v>
      </c>
      <c r="D163" s="1822"/>
      <c r="E163" s="1822"/>
      <c r="F163" s="562"/>
      <c r="G163" s="562"/>
      <c r="H163" s="562"/>
      <c r="I163" s="562"/>
      <c r="J163" s="604"/>
      <c r="K163" s="562"/>
      <c r="L163" s="604">
        <v>25.64</v>
      </c>
      <c r="M163" s="603"/>
      <c r="N163" s="602"/>
      <c r="Z163" s="537" t="s">
        <v>319</v>
      </c>
    </row>
    <row r="164" spans="1:29" s="536" customFormat="1" ht="33.75" x14ac:dyDescent="0.2">
      <c r="A164" s="605"/>
      <c r="B164" s="552" t="s">
        <v>1631</v>
      </c>
      <c r="C164" s="1822" t="s">
        <v>1632</v>
      </c>
      <c r="D164" s="1822"/>
      <c r="E164" s="1822"/>
      <c r="F164" s="562" t="s">
        <v>322</v>
      </c>
      <c r="G164" s="562" t="s">
        <v>1633</v>
      </c>
      <c r="H164" s="562"/>
      <c r="I164" s="562" t="s">
        <v>1633</v>
      </c>
      <c r="J164" s="604"/>
      <c r="K164" s="562"/>
      <c r="L164" s="604">
        <v>24.87</v>
      </c>
      <c r="M164" s="603"/>
      <c r="N164" s="602"/>
      <c r="Z164" s="537" t="s">
        <v>1632</v>
      </c>
    </row>
    <row r="165" spans="1:29" s="536" customFormat="1" ht="33.75" x14ac:dyDescent="0.2">
      <c r="A165" s="605"/>
      <c r="B165" s="552" t="s">
        <v>1634</v>
      </c>
      <c r="C165" s="1822" t="s">
        <v>1635</v>
      </c>
      <c r="D165" s="1822"/>
      <c r="E165" s="1822"/>
      <c r="F165" s="562" t="s">
        <v>322</v>
      </c>
      <c r="G165" s="562" t="s">
        <v>786</v>
      </c>
      <c r="H165" s="562"/>
      <c r="I165" s="562" t="s">
        <v>786</v>
      </c>
      <c r="J165" s="604"/>
      <c r="K165" s="562"/>
      <c r="L165" s="604">
        <v>13.08</v>
      </c>
      <c r="M165" s="603"/>
      <c r="N165" s="602"/>
      <c r="Z165" s="537" t="s">
        <v>1635</v>
      </c>
    </row>
    <row r="166" spans="1:29" s="536" customFormat="1" x14ac:dyDescent="0.2">
      <c r="A166" s="569"/>
      <c r="B166" s="656"/>
      <c r="C166" s="1823" t="s">
        <v>327</v>
      </c>
      <c r="D166" s="1823"/>
      <c r="E166" s="1823"/>
      <c r="F166" s="573"/>
      <c r="G166" s="573"/>
      <c r="H166" s="573"/>
      <c r="I166" s="573"/>
      <c r="J166" s="572"/>
      <c r="K166" s="573"/>
      <c r="L166" s="572">
        <v>92.12</v>
      </c>
      <c r="M166" s="601"/>
      <c r="N166" s="570"/>
      <c r="AB166" s="537" t="s">
        <v>327</v>
      </c>
    </row>
    <row r="167" spans="1:29" s="536" customFormat="1" ht="45" x14ac:dyDescent="0.2">
      <c r="A167" s="575" t="s">
        <v>425</v>
      </c>
      <c r="B167" s="657" t="s">
        <v>3109</v>
      </c>
      <c r="C167" s="1823" t="s">
        <v>3110</v>
      </c>
      <c r="D167" s="1823"/>
      <c r="E167" s="1823"/>
      <c r="F167" s="573" t="s">
        <v>483</v>
      </c>
      <c r="G167" s="573"/>
      <c r="H167" s="573"/>
      <c r="I167" s="573" t="s">
        <v>2286</v>
      </c>
      <c r="J167" s="572">
        <v>39.6</v>
      </c>
      <c r="K167" s="573"/>
      <c r="L167" s="572">
        <v>201.96</v>
      </c>
      <c r="M167" s="571"/>
      <c r="N167" s="570"/>
      <c r="W167" s="537" t="s">
        <v>3110</v>
      </c>
    </row>
    <row r="168" spans="1:29" s="536" customFormat="1" x14ac:dyDescent="0.2">
      <c r="A168" s="569"/>
      <c r="B168" s="656"/>
      <c r="C168" s="661" t="s">
        <v>1658</v>
      </c>
      <c r="D168" s="662"/>
      <c r="E168" s="662"/>
      <c r="F168" s="563"/>
      <c r="G168" s="563"/>
      <c r="H168" s="563"/>
      <c r="I168" s="563"/>
      <c r="J168" s="566"/>
      <c r="K168" s="563"/>
      <c r="L168" s="566"/>
      <c r="M168" s="565"/>
      <c r="N168" s="564"/>
    </row>
    <row r="169" spans="1:29" s="536" customFormat="1" x14ac:dyDescent="0.2">
      <c r="A169" s="676"/>
      <c r="B169" s="655"/>
      <c r="C169" s="1822" t="s">
        <v>2287</v>
      </c>
      <c r="D169" s="1822"/>
      <c r="E169" s="1822"/>
      <c r="F169" s="1822"/>
      <c r="G169" s="1822"/>
      <c r="H169" s="1822"/>
      <c r="I169" s="1822"/>
      <c r="J169" s="1822"/>
      <c r="K169" s="1822"/>
      <c r="L169" s="1822"/>
      <c r="M169" s="1822"/>
      <c r="N169" s="1827"/>
      <c r="AC169" s="537" t="s">
        <v>2287</v>
      </c>
    </row>
    <row r="170" spans="1:29" s="536" customFormat="1" ht="33.75" x14ac:dyDescent="0.2">
      <c r="A170" s="575" t="s">
        <v>430</v>
      </c>
      <c r="B170" s="657" t="s">
        <v>1782</v>
      </c>
      <c r="C170" s="1823" t="s">
        <v>1783</v>
      </c>
      <c r="D170" s="1823"/>
      <c r="E170" s="1823"/>
      <c r="F170" s="573" t="s">
        <v>617</v>
      </c>
      <c r="G170" s="573"/>
      <c r="H170" s="573"/>
      <c r="I170" s="573" t="s">
        <v>189</v>
      </c>
      <c r="J170" s="572"/>
      <c r="K170" s="573"/>
      <c r="L170" s="572"/>
      <c r="M170" s="571"/>
      <c r="N170" s="570"/>
      <c r="W170" s="537" t="s">
        <v>1783</v>
      </c>
    </row>
    <row r="171" spans="1:29" s="536" customFormat="1" ht="33.75" x14ac:dyDescent="0.2">
      <c r="A171" s="609"/>
      <c r="B171" s="552" t="s">
        <v>310</v>
      </c>
      <c r="C171" s="1822" t="s">
        <v>311</v>
      </c>
      <c r="D171" s="1822"/>
      <c r="E171" s="1822"/>
      <c r="F171" s="1822"/>
      <c r="G171" s="1822"/>
      <c r="H171" s="1822"/>
      <c r="I171" s="1822"/>
      <c r="J171" s="1822"/>
      <c r="K171" s="1822"/>
      <c r="L171" s="1822"/>
      <c r="M171" s="1822"/>
      <c r="N171" s="1827"/>
      <c r="X171" s="537" t="s">
        <v>311</v>
      </c>
    </row>
    <row r="172" spans="1:29" s="536" customFormat="1" x14ac:dyDescent="0.2">
      <c r="A172" s="605"/>
      <c r="B172" s="552" t="s">
        <v>185</v>
      </c>
      <c r="C172" s="1822" t="s">
        <v>312</v>
      </c>
      <c r="D172" s="1822"/>
      <c r="E172" s="1822"/>
      <c r="F172" s="562"/>
      <c r="G172" s="562"/>
      <c r="H172" s="562"/>
      <c r="I172" s="562"/>
      <c r="J172" s="604">
        <v>3.57</v>
      </c>
      <c r="K172" s="562" t="s">
        <v>313</v>
      </c>
      <c r="L172" s="604">
        <v>22.31</v>
      </c>
      <c r="M172" s="603"/>
      <c r="N172" s="602"/>
      <c r="Y172" s="537" t="s">
        <v>312</v>
      </c>
    </row>
    <row r="173" spans="1:29" s="536" customFormat="1" x14ac:dyDescent="0.2">
      <c r="A173" s="605"/>
      <c r="B173" s="552" t="s">
        <v>188</v>
      </c>
      <c r="C173" s="1822" t="s">
        <v>475</v>
      </c>
      <c r="D173" s="1822"/>
      <c r="E173" s="1822"/>
      <c r="F173" s="562"/>
      <c r="G173" s="562"/>
      <c r="H173" s="562"/>
      <c r="I173" s="562"/>
      <c r="J173" s="604">
        <v>15.07</v>
      </c>
      <c r="K173" s="562"/>
      <c r="L173" s="604">
        <v>0.35</v>
      </c>
      <c r="M173" s="603"/>
      <c r="N173" s="602"/>
      <c r="Y173" s="537" t="s">
        <v>475</v>
      </c>
    </row>
    <row r="174" spans="1:29" s="536" customFormat="1" x14ac:dyDescent="0.2">
      <c r="A174" s="605"/>
      <c r="B174" s="552"/>
      <c r="C174" s="1822" t="s">
        <v>314</v>
      </c>
      <c r="D174" s="1822"/>
      <c r="E174" s="1822"/>
      <c r="F174" s="562" t="s">
        <v>315</v>
      </c>
      <c r="G174" s="562" t="s">
        <v>1785</v>
      </c>
      <c r="H174" s="562" t="s">
        <v>313</v>
      </c>
      <c r="I174" s="562" t="s">
        <v>3102</v>
      </c>
      <c r="J174" s="604"/>
      <c r="K174" s="562"/>
      <c r="L174" s="604"/>
      <c r="M174" s="603"/>
      <c r="N174" s="602"/>
      <c r="Z174" s="537" t="s">
        <v>314</v>
      </c>
    </row>
    <row r="175" spans="1:29" s="536" customFormat="1" x14ac:dyDescent="0.2">
      <c r="A175" s="605"/>
      <c r="B175" s="552"/>
      <c r="C175" s="1828" t="s">
        <v>318</v>
      </c>
      <c r="D175" s="1828"/>
      <c r="E175" s="1828"/>
      <c r="F175" s="608"/>
      <c r="G175" s="608"/>
      <c r="H175" s="608"/>
      <c r="I175" s="608"/>
      <c r="J175" s="607">
        <v>3.64</v>
      </c>
      <c r="K175" s="608"/>
      <c r="L175" s="607">
        <v>22.66</v>
      </c>
      <c r="M175" s="601"/>
      <c r="N175" s="606"/>
      <c r="AA175" s="537" t="s">
        <v>318</v>
      </c>
    </row>
    <row r="176" spans="1:29" s="536" customFormat="1" x14ac:dyDescent="0.2">
      <c r="A176" s="605"/>
      <c r="B176" s="552"/>
      <c r="C176" s="1822" t="s">
        <v>319</v>
      </c>
      <c r="D176" s="1822"/>
      <c r="E176" s="1822"/>
      <c r="F176" s="562"/>
      <c r="G176" s="562"/>
      <c r="H176" s="562"/>
      <c r="I176" s="562"/>
      <c r="J176" s="604"/>
      <c r="K176" s="562"/>
      <c r="L176" s="604">
        <v>22.31</v>
      </c>
      <c r="M176" s="603"/>
      <c r="N176" s="602"/>
      <c r="Z176" s="537" t="s">
        <v>319</v>
      </c>
    </row>
    <row r="177" spans="1:31" s="536" customFormat="1" ht="33.75" x14ac:dyDescent="0.2">
      <c r="A177" s="605"/>
      <c r="B177" s="552" t="s">
        <v>1631</v>
      </c>
      <c r="C177" s="1822" t="s">
        <v>1632</v>
      </c>
      <c r="D177" s="1822"/>
      <c r="E177" s="1822"/>
      <c r="F177" s="562" t="s">
        <v>322</v>
      </c>
      <c r="G177" s="562" t="s">
        <v>1633</v>
      </c>
      <c r="H177" s="562"/>
      <c r="I177" s="562" t="s">
        <v>1633</v>
      </c>
      <c r="J177" s="604"/>
      <c r="K177" s="562"/>
      <c r="L177" s="604">
        <v>21.64</v>
      </c>
      <c r="M177" s="603"/>
      <c r="N177" s="602"/>
      <c r="Z177" s="537" t="s">
        <v>1632</v>
      </c>
    </row>
    <row r="178" spans="1:31" s="536" customFormat="1" ht="33.75" x14ac:dyDescent="0.2">
      <c r="A178" s="605"/>
      <c r="B178" s="552" t="s">
        <v>1634</v>
      </c>
      <c r="C178" s="1822" t="s">
        <v>1635</v>
      </c>
      <c r="D178" s="1822"/>
      <c r="E178" s="1822"/>
      <c r="F178" s="562" t="s">
        <v>322</v>
      </c>
      <c r="G178" s="562" t="s">
        <v>786</v>
      </c>
      <c r="H178" s="562"/>
      <c r="I178" s="562" t="s">
        <v>786</v>
      </c>
      <c r="J178" s="604"/>
      <c r="K178" s="562"/>
      <c r="L178" s="604">
        <v>11.38</v>
      </c>
      <c r="M178" s="603"/>
      <c r="N178" s="602"/>
      <c r="Z178" s="537" t="s">
        <v>1635</v>
      </c>
    </row>
    <row r="179" spans="1:31" s="536" customFormat="1" x14ac:dyDescent="0.2">
      <c r="A179" s="569"/>
      <c r="B179" s="656"/>
      <c r="C179" s="1823" t="s">
        <v>327</v>
      </c>
      <c r="D179" s="1823"/>
      <c r="E179" s="1823"/>
      <c r="F179" s="573"/>
      <c r="G179" s="573"/>
      <c r="H179" s="573"/>
      <c r="I179" s="573"/>
      <c r="J179" s="572"/>
      <c r="K179" s="573"/>
      <c r="L179" s="572">
        <v>55.68</v>
      </c>
      <c r="M179" s="601"/>
      <c r="N179" s="570"/>
      <c r="AB179" s="537" t="s">
        <v>327</v>
      </c>
    </row>
    <row r="180" spans="1:31" s="536" customFormat="1" ht="33.75" x14ac:dyDescent="0.2">
      <c r="A180" s="575" t="s">
        <v>436</v>
      </c>
      <c r="B180" s="657" t="s">
        <v>3111</v>
      </c>
      <c r="C180" s="1823" t="s">
        <v>3112</v>
      </c>
      <c r="D180" s="1823"/>
      <c r="E180" s="1823"/>
      <c r="F180" s="573" t="s">
        <v>617</v>
      </c>
      <c r="G180" s="573"/>
      <c r="H180" s="573"/>
      <c r="I180" s="573" t="s">
        <v>185</v>
      </c>
      <c r="J180" s="572">
        <v>349.25</v>
      </c>
      <c r="K180" s="573" t="s">
        <v>716</v>
      </c>
      <c r="L180" s="572">
        <v>42.79</v>
      </c>
      <c r="M180" s="571">
        <v>8.32</v>
      </c>
      <c r="N180" s="570">
        <v>356</v>
      </c>
      <c r="W180" s="537" t="s">
        <v>3112</v>
      </c>
    </row>
    <row r="181" spans="1:31" s="536" customFormat="1" x14ac:dyDescent="0.2">
      <c r="A181" s="569"/>
      <c r="B181" s="656"/>
      <c r="C181" s="661" t="s">
        <v>1658</v>
      </c>
      <c r="D181" s="662"/>
      <c r="E181" s="662"/>
      <c r="F181" s="563"/>
      <c r="G181" s="563"/>
      <c r="H181" s="563"/>
      <c r="I181" s="563"/>
      <c r="J181" s="566"/>
      <c r="K181" s="563"/>
      <c r="L181" s="566"/>
      <c r="M181" s="565"/>
      <c r="N181" s="564"/>
    </row>
    <row r="182" spans="1:31" s="536" customFormat="1" ht="22.5" x14ac:dyDescent="0.2">
      <c r="A182" s="609"/>
      <c r="B182" s="552" t="s">
        <v>718</v>
      </c>
      <c r="C182" s="1822" t="s">
        <v>719</v>
      </c>
      <c r="D182" s="1822"/>
      <c r="E182" s="1822"/>
      <c r="F182" s="1822"/>
      <c r="G182" s="1822"/>
      <c r="H182" s="1822"/>
      <c r="I182" s="1822"/>
      <c r="J182" s="1822"/>
      <c r="K182" s="1822"/>
      <c r="L182" s="1822"/>
      <c r="M182" s="1822"/>
      <c r="N182" s="1827"/>
      <c r="X182" s="537" t="s">
        <v>719</v>
      </c>
    </row>
    <row r="183" spans="1:31" s="536" customFormat="1" ht="22.5" x14ac:dyDescent="0.2">
      <c r="A183" s="575" t="s">
        <v>733</v>
      </c>
      <c r="B183" s="657" t="s">
        <v>3113</v>
      </c>
      <c r="C183" s="1823" t="s">
        <v>3114</v>
      </c>
      <c r="D183" s="1823"/>
      <c r="E183" s="1823"/>
      <c r="F183" s="573" t="s">
        <v>2278</v>
      </c>
      <c r="G183" s="573"/>
      <c r="H183" s="573"/>
      <c r="I183" s="573" t="s">
        <v>1901</v>
      </c>
      <c r="J183" s="572">
        <v>101.1</v>
      </c>
      <c r="K183" s="573"/>
      <c r="L183" s="572">
        <v>15.17</v>
      </c>
      <c r="M183" s="571"/>
      <c r="N183" s="570"/>
      <c r="W183" s="537" t="s">
        <v>3114</v>
      </c>
    </row>
    <row r="184" spans="1:31" s="536" customFormat="1" x14ac:dyDescent="0.2">
      <c r="A184" s="569"/>
      <c r="B184" s="656"/>
      <c r="C184" s="661" t="s">
        <v>1658</v>
      </c>
      <c r="D184" s="662"/>
      <c r="E184" s="662"/>
      <c r="F184" s="563"/>
      <c r="G184" s="563"/>
      <c r="H184" s="563"/>
      <c r="I184" s="563"/>
      <c r="J184" s="566"/>
      <c r="K184" s="563"/>
      <c r="L184" s="566"/>
      <c r="M184" s="565"/>
      <c r="N184" s="564"/>
    </row>
    <row r="185" spans="1:31" s="536" customFormat="1" x14ac:dyDescent="0.2">
      <c r="A185" s="676"/>
      <c r="B185" s="655"/>
      <c r="C185" s="1822" t="s">
        <v>3115</v>
      </c>
      <c r="D185" s="1822"/>
      <c r="E185" s="1822"/>
      <c r="F185" s="1822"/>
      <c r="G185" s="1822"/>
      <c r="H185" s="1822"/>
      <c r="I185" s="1822"/>
      <c r="J185" s="1822"/>
      <c r="K185" s="1822"/>
      <c r="L185" s="1822"/>
      <c r="M185" s="1822"/>
      <c r="N185" s="1827"/>
      <c r="AC185" s="537" t="s">
        <v>3115</v>
      </c>
    </row>
    <row r="186" spans="1:31" s="536" customFormat="1" ht="1.5" customHeight="1" x14ac:dyDescent="0.2">
      <c r="A186" s="563"/>
      <c r="B186" s="656"/>
      <c r="C186" s="656"/>
      <c r="D186" s="656"/>
      <c r="E186" s="656"/>
      <c r="F186" s="563"/>
      <c r="G186" s="563"/>
      <c r="H186" s="563"/>
      <c r="I186" s="563"/>
      <c r="J186" s="546"/>
      <c r="K186" s="563"/>
      <c r="L186" s="546"/>
      <c r="M186" s="562"/>
      <c r="N186" s="546"/>
    </row>
    <row r="187" spans="1:31" s="536" customFormat="1" x14ac:dyDescent="0.2">
      <c r="A187" s="557"/>
      <c r="B187" s="556"/>
      <c r="C187" s="1823" t="s">
        <v>3116</v>
      </c>
      <c r="D187" s="1823"/>
      <c r="E187" s="1823"/>
      <c r="F187" s="1823"/>
      <c r="G187" s="1823"/>
      <c r="H187" s="1823"/>
      <c r="I187" s="1823"/>
      <c r="J187" s="1823"/>
      <c r="K187" s="1823"/>
      <c r="L187" s="555"/>
      <c r="M187" s="554"/>
      <c r="N187" s="553"/>
      <c r="AD187" s="537" t="s">
        <v>3116</v>
      </c>
    </row>
    <row r="188" spans="1:31" s="536" customFormat="1" x14ac:dyDescent="0.2">
      <c r="A188" s="548"/>
      <c r="B188" s="552"/>
      <c r="C188" s="1822" t="s">
        <v>403</v>
      </c>
      <c r="D188" s="1822"/>
      <c r="E188" s="1822"/>
      <c r="F188" s="1822"/>
      <c r="G188" s="1822"/>
      <c r="H188" s="1822"/>
      <c r="I188" s="1822"/>
      <c r="J188" s="1822"/>
      <c r="K188" s="1822"/>
      <c r="L188" s="551">
        <v>2995.27</v>
      </c>
      <c r="M188" s="550"/>
      <c r="N188" s="549"/>
      <c r="AE188" s="537" t="s">
        <v>403</v>
      </c>
    </row>
    <row r="189" spans="1:31" s="536" customFormat="1" x14ac:dyDescent="0.2">
      <c r="A189" s="548"/>
      <c r="B189" s="552"/>
      <c r="C189" s="1822" t="s">
        <v>204</v>
      </c>
      <c r="D189" s="1822"/>
      <c r="E189" s="1822"/>
      <c r="F189" s="1822"/>
      <c r="G189" s="1822"/>
      <c r="H189" s="1822"/>
      <c r="I189" s="1822"/>
      <c r="J189" s="1822"/>
      <c r="K189" s="1822"/>
      <c r="L189" s="551"/>
      <c r="M189" s="550"/>
      <c r="N189" s="549"/>
      <c r="AE189" s="537" t="s">
        <v>204</v>
      </c>
    </row>
    <row r="190" spans="1:31" s="536" customFormat="1" x14ac:dyDescent="0.2">
      <c r="A190" s="548"/>
      <c r="B190" s="552"/>
      <c r="C190" s="1822" t="s">
        <v>404</v>
      </c>
      <c r="D190" s="1822"/>
      <c r="E190" s="1822"/>
      <c r="F190" s="1822"/>
      <c r="G190" s="1822"/>
      <c r="H190" s="1822"/>
      <c r="I190" s="1822"/>
      <c r="J190" s="1822"/>
      <c r="K190" s="1822"/>
      <c r="L190" s="551">
        <v>501.04</v>
      </c>
      <c r="M190" s="550"/>
      <c r="N190" s="549"/>
      <c r="AE190" s="537" t="s">
        <v>404</v>
      </c>
    </row>
    <row r="191" spans="1:31" s="536" customFormat="1" x14ac:dyDescent="0.2">
      <c r="A191" s="548"/>
      <c r="B191" s="552"/>
      <c r="C191" s="1822" t="s">
        <v>405</v>
      </c>
      <c r="D191" s="1822"/>
      <c r="E191" s="1822"/>
      <c r="F191" s="1822"/>
      <c r="G191" s="1822"/>
      <c r="H191" s="1822"/>
      <c r="I191" s="1822"/>
      <c r="J191" s="1822"/>
      <c r="K191" s="1822"/>
      <c r="L191" s="551">
        <v>71.67</v>
      </c>
      <c r="M191" s="550"/>
      <c r="N191" s="549"/>
      <c r="AE191" s="537" t="s">
        <v>405</v>
      </c>
    </row>
    <row r="192" spans="1:31" s="536" customFormat="1" x14ac:dyDescent="0.2">
      <c r="A192" s="548"/>
      <c r="B192" s="552"/>
      <c r="C192" s="1822" t="s">
        <v>406</v>
      </c>
      <c r="D192" s="1822"/>
      <c r="E192" s="1822"/>
      <c r="F192" s="1822"/>
      <c r="G192" s="1822"/>
      <c r="H192" s="1822"/>
      <c r="I192" s="1822"/>
      <c r="J192" s="1822"/>
      <c r="K192" s="1822"/>
      <c r="L192" s="551">
        <v>8.2200000000000006</v>
      </c>
      <c r="M192" s="550"/>
      <c r="N192" s="549"/>
      <c r="AE192" s="537" t="s">
        <v>406</v>
      </c>
    </row>
    <row r="193" spans="1:32" s="536" customFormat="1" x14ac:dyDescent="0.2">
      <c r="A193" s="548"/>
      <c r="B193" s="552"/>
      <c r="C193" s="1822" t="s">
        <v>480</v>
      </c>
      <c r="D193" s="1822"/>
      <c r="E193" s="1822"/>
      <c r="F193" s="1822"/>
      <c r="G193" s="1822"/>
      <c r="H193" s="1822"/>
      <c r="I193" s="1822"/>
      <c r="J193" s="1822"/>
      <c r="K193" s="1822"/>
      <c r="L193" s="551">
        <v>2422.56</v>
      </c>
      <c r="M193" s="550"/>
      <c r="N193" s="549"/>
      <c r="AE193" s="537" t="s">
        <v>480</v>
      </c>
    </row>
    <row r="194" spans="1:32" s="536" customFormat="1" x14ac:dyDescent="0.2">
      <c r="A194" s="548"/>
      <c r="B194" s="552" t="s">
        <v>185</v>
      </c>
      <c r="C194" s="1822" t="s">
        <v>753</v>
      </c>
      <c r="D194" s="1822"/>
      <c r="E194" s="1822"/>
      <c r="F194" s="1822"/>
      <c r="G194" s="1822"/>
      <c r="H194" s="1822"/>
      <c r="I194" s="1822"/>
      <c r="J194" s="1822"/>
      <c r="K194" s="1822"/>
      <c r="L194" s="551">
        <v>3737.49</v>
      </c>
      <c r="M194" s="550"/>
      <c r="N194" s="549"/>
      <c r="AE194" s="537" t="s">
        <v>753</v>
      </c>
    </row>
    <row r="195" spans="1:32" s="536" customFormat="1" x14ac:dyDescent="0.2">
      <c r="A195" s="548"/>
      <c r="B195" s="552"/>
      <c r="C195" s="1822" t="s">
        <v>204</v>
      </c>
      <c r="D195" s="1822"/>
      <c r="E195" s="1822"/>
      <c r="F195" s="1822"/>
      <c r="G195" s="1822"/>
      <c r="H195" s="1822"/>
      <c r="I195" s="1822"/>
      <c r="J195" s="1822"/>
      <c r="K195" s="1822"/>
      <c r="L195" s="551"/>
      <c r="M195" s="550"/>
      <c r="N195" s="549"/>
      <c r="AE195" s="537" t="s">
        <v>204</v>
      </c>
    </row>
    <row r="196" spans="1:32" s="536" customFormat="1" x14ac:dyDescent="0.2">
      <c r="A196" s="548"/>
      <c r="B196" s="552"/>
      <c r="C196" s="1822" t="s">
        <v>546</v>
      </c>
      <c r="D196" s="1822"/>
      <c r="E196" s="1822"/>
      <c r="F196" s="1822"/>
      <c r="G196" s="1822"/>
      <c r="H196" s="1822"/>
      <c r="I196" s="1822"/>
      <c r="J196" s="1822"/>
      <c r="K196" s="1822"/>
      <c r="L196" s="551">
        <v>501.04</v>
      </c>
      <c r="M196" s="550"/>
      <c r="N196" s="549"/>
      <c r="AE196" s="537" t="s">
        <v>546</v>
      </c>
    </row>
    <row r="197" spans="1:32" s="536" customFormat="1" x14ac:dyDescent="0.2">
      <c r="A197" s="548"/>
      <c r="B197" s="552"/>
      <c r="C197" s="1822" t="s">
        <v>442</v>
      </c>
      <c r="D197" s="1822"/>
      <c r="E197" s="1822"/>
      <c r="F197" s="1822"/>
      <c r="G197" s="1822"/>
      <c r="H197" s="1822"/>
      <c r="I197" s="1822"/>
      <c r="J197" s="1822"/>
      <c r="K197" s="1822"/>
      <c r="L197" s="551">
        <v>71.67</v>
      </c>
      <c r="M197" s="550"/>
      <c r="N197" s="549"/>
      <c r="AE197" s="537" t="s">
        <v>442</v>
      </c>
    </row>
    <row r="198" spans="1:32" s="536" customFormat="1" x14ac:dyDescent="0.2">
      <c r="A198" s="548"/>
      <c r="B198" s="552"/>
      <c r="C198" s="1822" t="s">
        <v>547</v>
      </c>
      <c r="D198" s="1822"/>
      <c r="E198" s="1822"/>
      <c r="F198" s="1822"/>
      <c r="G198" s="1822"/>
      <c r="H198" s="1822"/>
      <c r="I198" s="1822"/>
      <c r="J198" s="1822"/>
      <c r="K198" s="1822"/>
      <c r="L198" s="551">
        <v>2422.56</v>
      </c>
      <c r="M198" s="550"/>
      <c r="N198" s="549"/>
      <c r="AE198" s="537" t="s">
        <v>547</v>
      </c>
    </row>
    <row r="199" spans="1:32" s="536" customFormat="1" x14ac:dyDescent="0.2">
      <c r="A199" s="548"/>
      <c r="B199" s="552"/>
      <c r="C199" s="1822" t="s">
        <v>443</v>
      </c>
      <c r="D199" s="1822"/>
      <c r="E199" s="1822"/>
      <c r="F199" s="1822"/>
      <c r="G199" s="1822"/>
      <c r="H199" s="1822"/>
      <c r="I199" s="1822"/>
      <c r="J199" s="1822"/>
      <c r="K199" s="1822"/>
      <c r="L199" s="551">
        <v>487.28</v>
      </c>
      <c r="M199" s="550"/>
      <c r="N199" s="549"/>
      <c r="AE199" s="537" t="s">
        <v>443</v>
      </c>
    </row>
    <row r="200" spans="1:32" s="536" customFormat="1" x14ac:dyDescent="0.2">
      <c r="A200" s="548"/>
      <c r="B200" s="552"/>
      <c r="C200" s="1822" t="s">
        <v>444</v>
      </c>
      <c r="D200" s="1822"/>
      <c r="E200" s="1822"/>
      <c r="F200" s="1822"/>
      <c r="G200" s="1822"/>
      <c r="H200" s="1822"/>
      <c r="I200" s="1822"/>
      <c r="J200" s="1822"/>
      <c r="K200" s="1822"/>
      <c r="L200" s="551">
        <v>254.94</v>
      </c>
      <c r="M200" s="550"/>
      <c r="N200" s="549"/>
      <c r="AE200" s="537" t="s">
        <v>444</v>
      </c>
    </row>
    <row r="201" spans="1:32" s="536" customFormat="1" x14ac:dyDescent="0.2">
      <c r="A201" s="548"/>
      <c r="B201" s="552"/>
      <c r="C201" s="1822" t="s">
        <v>754</v>
      </c>
      <c r="D201" s="1822"/>
      <c r="E201" s="1822"/>
      <c r="F201" s="1822"/>
      <c r="G201" s="1822"/>
      <c r="H201" s="1822"/>
      <c r="I201" s="1822"/>
      <c r="J201" s="1822"/>
      <c r="K201" s="1822"/>
      <c r="L201" s="551">
        <v>4126.21</v>
      </c>
      <c r="M201" s="550"/>
      <c r="N201" s="549"/>
      <c r="AE201" s="537" t="s">
        <v>754</v>
      </c>
    </row>
    <row r="202" spans="1:32" s="536" customFormat="1" x14ac:dyDescent="0.2">
      <c r="A202" s="548"/>
      <c r="B202" s="552" t="s">
        <v>186</v>
      </c>
      <c r="C202" s="1822" t="s">
        <v>2223</v>
      </c>
      <c r="D202" s="1822"/>
      <c r="E202" s="1822"/>
      <c r="F202" s="1822"/>
      <c r="G202" s="1822"/>
      <c r="H202" s="1822"/>
      <c r="I202" s="1822"/>
      <c r="J202" s="1822"/>
      <c r="K202" s="1822"/>
      <c r="L202" s="551">
        <v>3882.36</v>
      </c>
      <c r="M202" s="550"/>
      <c r="N202" s="549"/>
      <c r="AE202" s="537" t="s">
        <v>2223</v>
      </c>
    </row>
    <row r="203" spans="1:32" s="536" customFormat="1" x14ac:dyDescent="0.2">
      <c r="A203" s="548"/>
      <c r="B203" s="552" t="s">
        <v>186</v>
      </c>
      <c r="C203" s="1822" t="s">
        <v>2224</v>
      </c>
      <c r="D203" s="1822"/>
      <c r="E203" s="1822"/>
      <c r="F203" s="1822"/>
      <c r="G203" s="1822"/>
      <c r="H203" s="1822"/>
      <c r="I203" s="1822"/>
      <c r="J203" s="1822"/>
      <c r="K203" s="1822"/>
      <c r="L203" s="551">
        <v>243.85</v>
      </c>
      <c r="M203" s="550"/>
      <c r="N203" s="549"/>
      <c r="AE203" s="537" t="s">
        <v>2224</v>
      </c>
    </row>
    <row r="204" spans="1:32" s="536" customFormat="1" x14ac:dyDescent="0.2">
      <c r="A204" s="548"/>
      <c r="B204" s="552"/>
      <c r="C204" s="1822" t="s">
        <v>415</v>
      </c>
      <c r="D204" s="1822"/>
      <c r="E204" s="1822"/>
      <c r="F204" s="1822"/>
      <c r="G204" s="1822"/>
      <c r="H204" s="1822"/>
      <c r="I204" s="1822"/>
      <c r="J204" s="1822"/>
      <c r="K204" s="1822"/>
      <c r="L204" s="551">
        <v>509.26</v>
      </c>
      <c r="M204" s="550"/>
      <c r="N204" s="549"/>
      <c r="AE204" s="537" t="s">
        <v>415</v>
      </c>
    </row>
    <row r="205" spans="1:32" s="536" customFormat="1" x14ac:dyDescent="0.2">
      <c r="A205" s="548"/>
      <c r="B205" s="552"/>
      <c r="C205" s="1822" t="s">
        <v>416</v>
      </c>
      <c r="D205" s="1822"/>
      <c r="E205" s="1822"/>
      <c r="F205" s="1822"/>
      <c r="G205" s="1822"/>
      <c r="H205" s="1822"/>
      <c r="I205" s="1822"/>
      <c r="J205" s="1822"/>
      <c r="K205" s="1822"/>
      <c r="L205" s="551">
        <v>487.28</v>
      </c>
      <c r="M205" s="550"/>
      <c r="N205" s="549"/>
      <c r="AE205" s="537" t="s">
        <v>416</v>
      </c>
    </row>
    <row r="206" spans="1:32" s="536" customFormat="1" x14ac:dyDescent="0.2">
      <c r="A206" s="548"/>
      <c r="B206" s="552"/>
      <c r="C206" s="1822" t="s">
        <v>417</v>
      </c>
      <c r="D206" s="1822"/>
      <c r="E206" s="1822"/>
      <c r="F206" s="1822"/>
      <c r="G206" s="1822"/>
      <c r="H206" s="1822"/>
      <c r="I206" s="1822"/>
      <c r="J206" s="1822"/>
      <c r="K206" s="1822"/>
      <c r="L206" s="551">
        <v>254.94</v>
      </c>
      <c r="M206" s="550"/>
      <c r="N206" s="549"/>
      <c r="AE206" s="537" t="s">
        <v>417</v>
      </c>
    </row>
    <row r="207" spans="1:32" s="536" customFormat="1" x14ac:dyDescent="0.2">
      <c r="A207" s="548"/>
      <c r="B207" s="546"/>
      <c r="C207" s="1819" t="s">
        <v>3117</v>
      </c>
      <c r="D207" s="1819"/>
      <c r="E207" s="1819"/>
      <c r="F207" s="1819"/>
      <c r="G207" s="1819"/>
      <c r="H207" s="1819"/>
      <c r="I207" s="1819"/>
      <c r="J207" s="1819"/>
      <c r="K207" s="1819"/>
      <c r="L207" s="544">
        <v>7863.7</v>
      </c>
      <c r="M207" s="543"/>
      <c r="N207" s="681"/>
      <c r="AF207" s="537" t="s">
        <v>3117</v>
      </c>
    </row>
    <row r="208" spans="1:32" s="536" customFormat="1" x14ac:dyDescent="0.2">
      <c r="A208" s="548"/>
      <c r="B208" s="552"/>
      <c r="C208" s="1822" t="s">
        <v>204</v>
      </c>
      <c r="D208" s="1822"/>
      <c r="E208" s="1822"/>
      <c r="F208" s="1822"/>
      <c r="G208" s="1822"/>
      <c r="H208" s="1822"/>
      <c r="I208" s="1822"/>
      <c r="J208" s="1822"/>
      <c r="K208" s="1822"/>
      <c r="L208" s="551"/>
      <c r="M208" s="550"/>
      <c r="N208" s="549"/>
      <c r="AE208" s="537" t="s">
        <v>204</v>
      </c>
    </row>
    <row r="209" spans="1:32" s="536" customFormat="1" x14ac:dyDescent="0.2">
      <c r="A209" s="548"/>
      <c r="B209" s="552"/>
      <c r="C209" s="1822" t="s">
        <v>8095</v>
      </c>
      <c r="D209" s="1822"/>
      <c r="E209" s="1822"/>
      <c r="F209" s="1822"/>
      <c r="G209" s="1822"/>
      <c r="H209" s="1822"/>
      <c r="I209" s="1822"/>
      <c r="J209" s="1822"/>
      <c r="K209" s="1822"/>
      <c r="L209" s="551">
        <v>1085.94</v>
      </c>
      <c r="M209" s="550"/>
      <c r="N209" s="549"/>
      <c r="AE209" s="537" t="s">
        <v>8095</v>
      </c>
    </row>
    <row r="210" spans="1:32" s="536" customFormat="1" x14ac:dyDescent="0.2">
      <c r="A210" s="548"/>
      <c r="B210" s="552"/>
      <c r="C210" s="1822" t="s">
        <v>8097</v>
      </c>
      <c r="D210" s="1822"/>
      <c r="E210" s="1822"/>
      <c r="F210" s="1822"/>
      <c r="G210" s="1822"/>
      <c r="H210" s="1822"/>
      <c r="I210" s="1822"/>
      <c r="J210" s="1822"/>
      <c r="K210" s="1822"/>
      <c r="L210" s="551">
        <v>3882.36</v>
      </c>
      <c r="M210" s="550"/>
      <c r="N210" s="549"/>
      <c r="AE210" s="537" t="s">
        <v>8097</v>
      </c>
    </row>
    <row r="211" spans="1:32" s="536" customFormat="1" ht="12" x14ac:dyDescent="0.2">
      <c r="A211" s="1824" t="s">
        <v>1336</v>
      </c>
      <c r="B211" s="1825"/>
      <c r="C211" s="1825"/>
      <c r="D211" s="1825"/>
      <c r="E211" s="1825"/>
      <c r="F211" s="1825"/>
      <c r="G211" s="1825"/>
      <c r="H211" s="1825"/>
      <c r="I211" s="1825"/>
      <c r="J211" s="1825"/>
      <c r="K211" s="1825"/>
      <c r="L211" s="1825"/>
      <c r="M211" s="1825"/>
      <c r="N211" s="1826"/>
      <c r="V211" s="537" t="s">
        <v>1336</v>
      </c>
    </row>
    <row r="212" spans="1:32" s="536" customFormat="1" ht="67.5" x14ac:dyDescent="0.2">
      <c r="A212" s="575" t="s">
        <v>736</v>
      </c>
      <c r="B212" s="657" t="s">
        <v>1503</v>
      </c>
      <c r="C212" s="1823" t="s">
        <v>1804</v>
      </c>
      <c r="D212" s="1823"/>
      <c r="E212" s="1823"/>
      <c r="F212" s="573" t="s">
        <v>201</v>
      </c>
      <c r="G212" s="573"/>
      <c r="H212" s="573"/>
      <c r="I212" s="573" t="s">
        <v>809</v>
      </c>
      <c r="J212" s="572">
        <v>127.09</v>
      </c>
      <c r="K212" s="573"/>
      <c r="L212" s="572">
        <v>1.27</v>
      </c>
      <c r="M212" s="571"/>
      <c r="N212" s="570"/>
      <c r="W212" s="537" t="s">
        <v>1804</v>
      </c>
    </row>
    <row r="213" spans="1:32" s="536" customFormat="1" x14ac:dyDescent="0.2">
      <c r="A213" s="569"/>
      <c r="B213" s="656"/>
      <c r="C213" s="661" t="s">
        <v>1658</v>
      </c>
      <c r="D213" s="662"/>
      <c r="E213" s="662"/>
      <c r="F213" s="563"/>
      <c r="G213" s="563"/>
      <c r="H213" s="563"/>
      <c r="I213" s="563"/>
      <c r="J213" s="566"/>
      <c r="K213" s="563"/>
      <c r="L213" s="566"/>
      <c r="M213" s="565"/>
      <c r="N213" s="564"/>
    </row>
    <row r="214" spans="1:32" s="536" customFormat="1" x14ac:dyDescent="0.2">
      <c r="A214" s="676"/>
      <c r="B214" s="655"/>
      <c r="C214" s="1822" t="s">
        <v>8159</v>
      </c>
      <c r="D214" s="1822"/>
      <c r="E214" s="1822"/>
      <c r="F214" s="1822"/>
      <c r="G214" s="1822"/>
      <c r="H214" s="1822"/>
      <c r="I214" s="1822"/>
      <c r="J214" s="1822"/>
      <c r="K214" s="1822"/>
      <c r="L214" s="1822"/>
      <c r="M214" s="1822"/>
      <c r="N214" s="1827"/>
      <c r="AC214" s="537" t="s">
        <v>8159</v>
      </c>
    </row>
    <row r="215" spans="1:32" s="536" customFormat="1" ht="1.5" customHeight="1" x14ac:dyDescent="0.2">
      <c r="A215" s="563"/>
      <c r="B215" s="656"/>
      <c r="C215" s="656"/>
      <c r="D215" s="656"/>
      <c r="E215" s="656"/>
      <c r="F215" s="563"/>
      <c r="G215" s="563"/>
      <c r="H215" s="563"/>
      <c r="I215" s="563"/>
      <c r="J215" s="546"/>
      <c r="K215" s="563"/>
      <c r="L215" s="546"/>
      <c r="M215" s="562"/>
      <c r="N215" s="546"/>
    </row>
    <row r="216" spans="1:32" s="536" customFormat="1" ht="22.5" x14ac:dyDescent="0.2">
      <c r="A216" s="557"/>
      <c r="B216" s="556"/>
      <c r="C216" s="1823" t="s">
        <v>1342</v>
      </c>
      <c r="D216" s="1823"/>
      <c r="E216" s="1823"/>
      <c r="F216" s="1823"/>
      <c r="G216" s="1823"/>
      <c r="H216" s="1823"/>
      <c r="I216" s="1823"/>
      <c r="J216" s="1823"/>
      <c r="K216" s="1823"/>
      <c r="L216" s="555"/>
      <c r="M216" s="554"/>
      <c r="N216" s="553"/>
      <c r="AD216" s="537" t="s">
        <v>1342</v>
      </c>
    </row>
    <row r="217" spans="1:32" s="536" customFormat="1" x14ac:dyDescent="0.2">
      <c r="A217" s="548"/>
      <c r="B217" s="552"/>
      <c r="C217" s="1822" t="s">
        <v>403</v>
      </c>
      <c r="D217" s="1822"/>
      <c r="E217" s="1822"/>
      <c r="F217" s="1822"/>
      <c r="G217" s="1822"/>
      <c r="H217" s="1822"/>
      <c r="I217" s="1822"/>
      <c r="J217" s="1822"/>
      <c r="K217" s="1822"/>
      <c r="L217" s="551">
        <v>1.27</v>
      </c>
      <c r="M217" s="550"/>
      <c r="N217" s="549"/>
      <c r="AE217" s="537" t="s">
        <v>403</v>
      </c>
    </row>
    <row r="218" spans="1:32" s="536" customFormat="1" x14ac:dyDescent="0.2">
      <c r="A218" s="548"/>
      <c r="B218" s="552"/>
      <c r="C218" s="1822" t="s">
        <v>204</v>
      </c>
      <c r="D218" s="1822"/>
      <c r="E218" s="1822"/>
      <c r="F218" s="1822"/>
      <c r="G218" s="1822"/>
      <c r="H218" s="1822"/>
      <c r="I218" s="1822"/>
      <c r="J218" s="1822"/>
      <c r="K218" s="1822"/>
      <c r="L218" s="551"/>
      <c r="M218" s="550"/>
      <c r="N218" s="549"/>
      <c r="AE218" s="537" t="s">
        <v>204</v>
      </c>
    </row>
    <row r="219" spans="1:32" s="536" customFormat="1" x14ac:dyDescent="0.2">
      <c r="A219" s="548"/>
      <c r="B219" s="552"/>
      <c r="C219" s="1822" t="s">
        <v>480</v>
      </c>
      <c r="D219" s="1822"/>
      <c r="E219" s="1822"/>
      <c r="F219" s="1822"/>
      <c r="G219" s="1822"/>
      <c r="H219" s="1822"/>
      <c r="I219" s="1822"/>
      <c r="J219" s="1822"/>
      <c r="K219" s="1822"/>
      <c r="L219" s="551">
        <v>1.27</v>
      </c>
      <c r="M219" s="550"/>
      <c r="N219" s="549"/>
      <c r="AE219" s="537" t="s">
        <v>480</v>
      </c>
    </row>
    <row r="220" spans="1:32" s="536" customFormat="1" x14ac:dyDescent="0.2">
      <c r="A220" s="548"/>
      <c r="B220" s="552" t="s">
        <v>185</v>
      </c>
      <c r="C220" s="1822" t="s">
        <v>753</v>
      </c>
      <c r="D220" s="1822"/>
      <c r="E220" s="1822"/>
      <c r="F220" s="1822"/>
      <c r="G220" s="1822"/>
      <c r="H220" s="1822"/>
      <c r="I220" s="1822"/>
      <c r="J220" s="1822"/>
      <c r="K220" s="1822"/>
      <c r="L220" s="551">
        <v>1.27</v>
      </c>
      <c r="M220" s="550"/>
      <c r="N220" s="549"/>
      <c r="AE220" s="537" t="s">
        <v>753</v>
      </c>
    </row>
    <row r="221" spans="1:32" s="536" customFormat="1" x14ac:dyDescent="0.2">
      <c r="A221" s="548"/>
      <c r="B221" s="552"/>
      <c r="C221" s="1822" t="s">
        <v>204</v>
      </c>
      <c r="D221" s="1822"/>
      <c r="E221" s="1822"/>
      <c r="F221" s="1822"/>
      <c r="G221" s="1822"/>
      <c r="H221" s="1822"/>
      <c r="I221" s="1822"/>
      <c r="J221" s="1822"/>
      <c r="K221" s="1822"/>
      <c r="L221" s="551"/>
      <c r="M221" s="550"/>
      <c r="N221" s="549"/>
      <c r="AE221" s="537" t="s">
        <v>204</v>
      </c>
    </row>
    <row r="222" spans="1:32" s="536" customFormat="1" x14ac:dyDescent="0.2">
      <c r="A222" s="548"/>
      <c r="B222" s="552"/>
      <c r="C222" s="1822" t="s">
        <v>547</v>
      </c>
      <c r="D222" s="1822"/>
      <c r="E222" s="1822"/>
      <c r="F222" s="1822"/>
      <c r="G222" s="1822"/>
      <c r="H222" s="1822"/>
      <c r="I222" s="1822"/>
      <c r="J222" s="1822"/>
      <c r="K222" s="1822"/>
      <c r="L222" s="551">
        <v>1.27</v>
      </c>
      <c r="M222" s="550"/>
      <c r="N222" s="549"/>
      <c r="AE222" s="537" t="s">
        <v>547</v>
      </c>
    </row>
    <row r="223" spans="1:32" s="536" customFormat="1" ht="22.5" x14ac:dyDescent="0.2">
      <c r="A223" s="548"/>
      <c r="B223" s="546"/>
      <c r="C223" s="1819" t="s">
        <v>1343</v>
      </c>
      <c r="D223" s="1819"/>
      <c r="E223" s="1819"/>
      <c r="F223" s="1819"/>
      <c r="G223" s="1819"/>
      <c r="H223" s="1819"/>
      <c r="I223" s="1819"/>
      <c r="J223" s="1819"/>
      <c r="K223" s="1819"/>
      <c r="L223" s="544">
        <v>1.27</v>
      </c>
      <c r="M223" s="543"/>
      <c r="N223" s="681"/>
      <c r="AF223" s="537" t="s">
        <v>1343</v>
      </c>
    </row>
    <row r="224" spans="1:32" s="536" customFormat="1" ht="2.25" customHeight="1" x14ac:dyDescent="0.2">
      <c r="B224" s="561"/>
      <c r="C224" s="561"/>
      <c r="D224" s="561"/>
      <c r="E224" s="561"/>
      <c r="F224" s="561"/>
      <c r="G224" s="561"/>
      <c r="H224" s="561"/>
      <c r="I224" s="561"/>
      <c r="J224" s="561"/>
      <c r="K224" s="561"/>
      <c r="L224" s="560"/>
      <c r="M224" s="559"/>
      <c r="N224" s="558"/>
    </row>
    <row r="225" spans="1:34" s="536" customFormat="1" x14ac:dyDescent="0.2">
      <c r="A225" s="557"/>
      <c r="B225" s="556"/>
      <c r="C225" s="1823" t="s">
        <v>205</v>
      </c>
      <c r="D225" s="1823"/>
      <c r="E225" s="1823"/>
      <c r="F225" s="1823"/>
      <c r="G225" s="1823"/>
      <c r="H225" s="1823"/>
      <c r="I225" s="1823"/>
      <c r="J225" s="1823"/>
      <c r="K225" s="1823"/>
      <c r="L225" s="555"/>
      <c r="M225" s="554"/>
      <c r="N225" s="553"/>
      <c r="AG225" s="537" t="s">
        <v>205</v>
      </c>
    </row>
    <row r="226" spans="1:34" s="536" customFormat="1" x14ac:dyDescent="0.2">
      <c r="A226" s="548"/>
      <c r="B226" s="552"/>
      <c r="C226" s="1822" t="s">
        <v>403</v>
      </c>
      <c r="D226" s="1822"/>
      <c r="E226" s="1822"/>
      <c r="F226" s="1822"/>
      <c r="G226" s="1822"/>
      <c r="H226" s="1822"/>
      <c r="I226" s="1822"/>
      <c r="J226" s="1822"/>
      <c r="K226" s="1822"/>
      <c r="L226" s="551">
        <v>2996.54</v>
      </c>
      <c r="M226" s="550"/>
      <c r="N226" s="549"/>
      <c r="AH226" s="537" t="s">
        <v>403</v>
      </c>
    </row>
    <row r="227" spans="1:34" s="536" customFormat="1" x14ac:dyDescent="0.2">
      <c r="A227" s="548"/>
      <c r="B227" s="552"/>
      <c r="C227" s="1822" t="s">
        <v>204</v>
      </c>
      <c r="D227" s="1822"/>
      <c r="E227" s="1822"/>
      <c r="F227" s="1822"/>
      <c r="G227" s="1822"/>
      <c r="H227" s="1822"/>
      <c r="I227" s="1822"/>
      <c r="J227" s="1822"/>
      <c r="K227" s="1822"/>
      <c r="L227" s="551"/>
      <c r="M227" s="550"/>
      <c r="N227" s="549"/>
      <c r="AH227" s="537" t="s">
        <v>204</v>
      </c>
    </row>
    <row r="228" spans="1:34" s="536" customFormat="1" x14ac:dyDescent="0.2">
      <c r="A228" s="548"/>
      <c r="B228" s="552"/>
      <c r="C228" s="1822" t="s">
        <v>404</v>
      </c>
      <c r="D228" s="1822"/>
      <c r="E228" s="1822"/>
      <c r="F228" s="1822"/>
      <c r="G228" s="1822"/>
      <c r="H228" s="1822"/>
      <c r="I228" s="1822"/>
      <c r="J228" s="1822"/>
      <c r="K228" s="1822"/>
      <c r="L228" s="551">
        <v>501.04</v>
      </c>
      <c r="M228" s="550"/>
      <c r="N228" s="549"/>
      <c r="AH228" s="537" t="s">
        <v>404</v>
      </c>
    </row>
    <row r="229" spans="1:34" s="536" customFormat="1" x14ac:dyDescent="0.2">
      <c r="A229" s="548"/>
      <c r="B229" s="552"/>
      <c r="C229" s="1822" t="s">
        <v>405</v>
      </c>
      <c r="D229" s="1822"/>
      <c r="E229" s="1822"/>
      <c r="F229" s="1822"/>
      <c r="G229" s="1822"/>
      <c r="H229" s="1822"/>
      <c r="I229" s="1822"/>
      <c r="J229" s="1822"/>
      <c r="K229" s="1822"/>
      <c r="L229" s="551">
        <v>71.67</v>
      </c>
      <c r="M229" s="550"/>
      <c r="N229" s="549"/>
      <c r="AH229" s="537" t="s">
        <v>405</v>
      </c>
    </row>
    <row r="230" spans="1:34" s="536" customFormat="1" x14ac:dyDescent="0.2">
      <c r="A230" s="548"/>
      <c r="B230" s="552"/>
      <c r="C230" s="1822" t="s">
        <v>406</v>
      </c>
      <c r="D230" s="1822"/>
      <c r="E230" s="1822"/>
      <c r="F230" s="1822"/>
      <c r="G230" s="1822"/>
      <c r="H230" s="1822"/>
      <c r="I230" s="1822"/>
      <c r="J230" s="1822"/>
      <c r="K230" s="1822"/>
      <c r="L230" s="551">
        <v>8.2200000000000006</v>
      </c>
      <c r="M230" s="550"/>
      <c r="N230" s="549"/>
      <c r="AH230" s="537" t="s">
        <v>406</v>
      </c>
    </row>
    <row r="231" spans="1:34" s="536" customFormat="1" x14ac:dyDescent="0.2">
      <c r="A231" s="548"/>
      <c r="B231" s="552"/>
      <c r="C231" s="1822" t="s">
        <v>480</v>
      </c>
      <c r="D231" s="1822"/>
      <c r="E231" s="1822"/>
      <c r="F231" s="1822"/>
      <c r="G231" s="1822"/>
      <c r="H231" s="1822"/>
      <c r="I231" s="1822"/>
      <c r="J231" s="1822"/>
      <c r="K231" s="1822"/>
      <c r="L231" s="551">
        <v>2423.83</v>
      </c>
      <c r="M231" s="550"/>
      <c r="N231" s="549"/>
      <c r="AH231" s="537" t="s">
        <v>480</v>
      </c>
    </row>
    <row r="232" spans="1:34" s="536" customFormat="1" x14ac:dyDescent="0.2">
      <c r="A232" s="548"/>
      <c r="B232" s="552" t="s">
        <v>185</v>
      </c>
      <c r="C232" s="1822" t="s">
        <v>753</v>
      </c>
      <c r="D232" s="1822"/>
      <c r="E232" s="1822"/>
      <c r="F232" s="1822"/>
      <c r="G232" s="1822"/>
      <c r="H232" s="1822"/>
      <c r="I232" s="1822"/>
      <c r="J232" s="1822"/>
      <c r="K232" s="1822"/>
      <c r="L232" s="551">
        <v>3738.76</v>
      </c>
      <c r="M232" s="550">
        <v>8.32</v>
      </c>
      <c r="N232" s="549">
        <v>31106</v>
      </c>
      <c r="AH232" s="537" t="s">
        <v>753</v>
      </c>
    </row>
    <row r="233" spans="1:34" s="536" customFormat="1" x14ac:dyDescent="0.2">
      <c r="A233" s="548"/>
      <c r="B233" s="552"/>
      <c r="C233" s="1822" t="s">
        <v>204</v>
      </c>
      <c r="D233" s="1822"/>
      <c r="E233" s="1822"/>
      <c r="F233" s="1822"/>
      <c r="G233" s="1822"/>
      <c r="H233" s="1822"/>
      <c r="I233" s="1822"/>
      <c r="J233" s="1822"/>
      <c r="K233" s="1822"/>
      <c r="L233" s="551"/>
      <c r="M233" s="550"/>
      <c r="N233" s="549"/>
      <c r="AH233" s="537" t="s">
        <v>204</v>
      </c>
    </row>
    <row r="234" spans="1:34" s="536" customFormat="1" x14ac:dyDescent="0.2">
      <c r="A234" s="548"/>
      <c r="B234" s="552"/>
      <c r="C234" s="1822" t="s">
        <v>546</v>
      </c>
      <c r="D234" s="1822"/>
      <c r="E234" s="1822"/>
      <c r="F234" s="1822"/>
      <c r="G234" s="1822"/>
      <c r="H234" s="1822"/>
      <c r="I234" s="1822"/>
      <c r="J234" s="1822"/>
      <c r="K234" s="1822"/>
      <c r="L234" s="551">
        <v>501.04</v>
      </c>
      <c r="M234" s="550"/>
      <c r="N234" s="549"/>
      <c r="AH234" s="537" t="s">
        <v>546</v>
      </c>
    </row>
    <row r="235" spans="1:34" s="536" customFormat="1" x14ac:dyDescent="0.2">
      <c r="A235" s="548"/>
      <c r="B235" s="552"/>
      <c r="C235" s="1822" t="s">
        <v>442</v>
      </c>
      <c r="D235" s="1822"/>
      <c r="E235" s="1822"/>
      <c r="F235" s="1822"/>
      <c r="G235" s="1822"/>
      <c r="H235" s="1822"/>
      <c r="I235" s="1822"/>
      <c r="J235" s="1822"/>
      <c r="K235" s="1822"/>
      <c r="L235" s="551">
        <v>71.67</v>
      </c>
      <c r="M235" s="550"/>
      <c r="N235" s="549"/>
      <c r="AH235" s="537" t="s">
        <v>442</v>
      </c>
    </row>
    <row r="236" spans="1:34" s="536" customFormat="1" x14ac:dyDescent="0.2">
      <c r="A236" s="548"/>
      <c r="B236" s="552"/>
      <c r="C236" s="1822" t="s">
        <v>547</v>
      </c>
      <c r="D236" s="1822"/>
      <c r="E236" s="1822"/>
      <c r="F236" s="1822"/>
      <c r="G236" s="1822"/>
      <c r="H236" s="1822"/>
      <c r="I236" s="1822"/>
      <c r="J236" s="1822"/>
      <c r="K236" s="1822"/>
      <c r="L236" s="551">
        <v>2423.83</v>
      </c>
      <c r="M236" s="550"/>
      <c r="N236" s="549"/>
      <c r="AH236" s="537" t="s">
        <v>547</v>
      </c>
    </row>
    <row r="237" spans="1:34" s="536" customFormat="1" x14ac:dyDescent="0.2">
      <c r="A237" s="548"/>
      <c r="B237" s="552"/>
      <c r="C237" s="1822" t="s">
        <v>443</v>
      </c>
      <c r="D237" s="1822"/>
      <c r="E237" s="1822"/>
      <c r="F237" s="1822"/>
      <c r="G237" s="1822"/>
      <c r="H237" s="1822"/>
      <c r="I237" s="1822"/>
      <c r="J237" s="1822"/>
      <c r="K237" s="1822"/>
      <c r="L237" s="551">
        <v>487.28</v>
      </c>
      <c r="M237" s="550"/>
      <c r="N237" s="549"/>
      <c r="AH237" s="537" t="s">
        <v>443</v>
      </c>
    </row>
    <row r="238" spans="1:34" s="536" customFormat="1" x14ac:dyDescent="0.2">
      <c r="A238" s="548"/>
      <c r="B238" s="552"/>
      <c r="C238" s="1822" t="s">
        <v>444</v>
      </c>
      <c r="D238" s="1822"/>
      <c r="E238" s="1822"/>
      <c r="F238" s="1822"/>
      <c r="G238" s="1822"/>
      <c r="H238" s="1822"/>
      <c r="I238" s="1822"/>
      <c r="J238" s="1822"/>
      <c r="K238" s="1822"/>
      <c r="L238" s="551">
        <v>254.94</v>
      </c>
      <c r="M238" s="550"/>
      <c r="N238" s="549"/>
      <c r="AH238" s="537" t="s">
        <v>444</v>
      </c>
    </row>
    <row r="239" spans="1:34" s="536" customFormat="1" x14ac:dyDescent="0.2">
      <c r="A239" s="548"/>
      <c r="B239" s="552"/>
      <c r="C239" s="1822" t="s">
        <v>754</v>
      </c>
      <c r="D239" s="1822"/>
      <c r="E239" s="1822"/>
      <c r="F239" s="1822"/>
      <c r="G239" s="1822"/>
      <c r="H239" s="1822"/>
      <c r="I239" s="1822"/>
      <c r="J239" s="1822"/>
      <c r="K239" s="1822"/>
      <c r="L239" s="551">
        <v>4126.21</v>
      </c>
      <c r="M239" s="550"/>
      <c r="N239" s="549">
        <v>18939</v>
      </c>
      <c r="AH239" s="537" t="s">
        <v>754</v>
      </c>
    </row>
    <row r="240" spans="1:34" s="536" customFormat="1" x14ac:dyDescent="0.2">
      <c r="A240" s="548"/>
      <c r="B240" s="552" t="s">
        <v>186</v>
      </c>
      <c r="C240" s="1822" t="s">
        <v>2223</v>
      </c>
      <c r="D240" s="1822"/>
      <c r="E240" s="1822"/>
      <c r="F240" s="1822"/>
      <c r="G240" s="1822"/>
      <c r="H240" s="1822"/>
      <c r="I240" s="1822"/>
      <c r="J240" s="1822"/>
      <c r="K240" s="1822"/>
      <c r="L240" s="551">
        <v>3882.36</v>
      </c>
      <c r="M240" s="550">
        <v>4.59</v>
      </c>
      <c r="N240" s="549">
        <v>17820</v>
      </c>
      <c r="AH240" s="537" t="s">
        <v>2223</v>
      </c>
    </row>
    <row r="241" spans="1:36" x14ac:dyDescent="0.2">
      <c r="A241" s="548"/>
      <c r="B241" s="552" t="s">
        <v>186</v>
      </c>
      <c r="C241" s="1822" t="s">
        <v>2224</v>
      </c>
      <c r="D241" s="1822"/>
      <c r="E241" s="1822"/>
      <c r="F241" s="1822"/>
      <c r="G241" s="1822"/>
      <c r="H241" s="1822"/>
      <c r="I241" s="1822"/>
      <c r="J241" s="1822"/>
      <c r="K241" s="1822"/>
      <c r="L241" s="551">
        <v>243.85</v>
      </c>
      <c r="M241" s="550">
        <v>4.59</v>
      </c>
      <c r="N241" s="549">
        <v>1119</v>
      </c>
      <c r="P241" s="536"/>
      <c r="Q241" s="536"/>
      <c r="R241" s="536"/>
      <c r="S241" s="536"/>
      <c r="T241" s="536"/>
      <c r="U241" s="536"/>
      <c r="V241" s="536"/>
      <c r="W241" s="536"/>
      <c r="X241" s="536"/>
      <c r="Y241" s="536"/>
      <c r="Z241" s="536"/>
      <c r="AA241" s="536"/>
      <c r="AB241" s="536"/>
      <c r="AC241" s="536"/>
      <c r="AD241" s="536"/>
      <c r="AE241" s="536"/>
      <c r="AF241" s="536"/>
      <c r="AG241" s="536"/>
      <c r="AH241" s="537" t="s">
        <v>2224</v>
      </c>
      <c r="AI241" s="536"/>
      <c r="AJ241" s="536"/>
    </row>
    <row r="242" spans="1:36" x14ac:dyDescent="0.2">
      <c r="A242" s="548"/>
      <c r="B242" s="552"/>
      <c r="C242" s="1822" t="s">
        <v>415</v>
      </c>
      <c r="D242" s="1822"/>
      <c r="E242" s="1822"/>
      <c r="F242" s="1822"/>
      <c r="G242" s="1822"/>
      <c r="H242" s="1822"/>
      <c r="I242" s="1822"/>
      <c r="J242" s="1822"/>
      <c r="K242" s="1822"/>
      <c r="L242" s="551">
        <v>509.26</v>
      </c>
      <c r="M242" s="550"/>
      <c r="N242" s="549"/>
      <c r="P242" s="536"/>
      <c r="Q242" s="536"/>
      <c r="R242" s="536"/>
      <c r="S242" s="536"/>
      <c r="T242" s="536"/>
      <c r="U242" s="536"/>
      <c r="V242" s="536"/>
      <c r="W242" s="536"/>
      <c r="X242" s="536"/>
      <c r="Y242" s="536"/>
      <c r="Z242" s="536"/>
      <c r="AA242" s="536"/>
      <c r="AB242" s="536"/>
      <c r="AC242" s="536"/>
      <c r="AD242" s="536"/>
      <c r="AE242" s="536"/>
      <c r="AF242" s="536"/>
      <c r="AG242" s="536"/>
      <c r="AH242" s="537" t="s">
        <v>415</v>
      </c>
      <c r="AI242" s="536"/>
      <c r="AJ242" s="536"/>
    </row>
    <row r="243" spans="1:36" x14ac:dyDescent="0.2">
      <c r="A243" s="548"/>
      <c r="B243" s="552"/>
      <c r="C243" s="1822" t="s">
        <v>416</v>
      </c>
      <c r="D243" s="1822"/>
      <c r="E243" s="1822"/>
      <c r="F243" s="1822"/>
      <c r="G243" s="1822"/>
      <c r="H243" s="1822"/>
      <c r="I243" s="1822"/>
      <c r="J243" s="1822"/>
      <c r="K243" s="1822"/>
      <c r="L243" s="551">
        <v>487.28</v>
      </c>
      <c r="M243" s="550"/>
      <c r="N243" s="549"/>
      <c r="P243" s="536"/>
      <c r="Q243" s="536"/>
      <c r="R243" s="536"/>
      <c r="S243" s="536"/>
      <c r="T243" s="536"/>
      <c r="U243" s="536"/>
      <c r="V243" s="536"/>
      <c r="W243" s="536"/>
      <c r="X243" s="536"/>
      <c r="Y243" s="536"/>
      <c r="Z243" s="536"/>
      <c r="AA243" s="536"/>
      <c r="AB243" s="536"/>
      <c r="AC243" s="536"/>
      <c r="AD243" s="536"/>
      <c r="AE243" s="536"/>
      <c r="AF243" s="536"/>
      <c r="AG243" s="536"/>
      <c r="AH243" s="537" t="s">
        <v>416</v>
      </c>
      <c r="AI243" s="536"/>
      <c r="AJ243" s="536"/>
    </row>
    <row r="244" spans="1:36" x14ac:dyDescent="0.2">
      <c r="A244" s="548"/>
      <c r="B244" s="552"/>
      <c r="C244" s="1822" t="s">
        <v>417</v>
      </c>
      <c r="D244" s="1822"/>
      <c r="E244" s="1822"/>
      <c r="F244" s="1822"/>
      <c r="G244" s="1822"/>
      <c r="H244" s="1822"/>
      <c r="I244" s="1822"/>
      <c r="J244" s="1822"/>
      <c r="K244" s="1822"/>
      <c r="L244" s="551">
        <v>254.94</v>
      </c>
      <c r="M244" s="550"/>
      <c r="N244" s="549"/>
      <c r="P244" s="536"/>
      <c r="Q244" s="536"/>
      <c r="R244" s="536"/>
      <c r="S244" s="536"/>
      <c r="T244" s="536"/>
      <c r="U244" s="536"/>
      <c r="V244" s="536"/>
      <c r="W244" s="536"/>
      <c r="X244" s="536"/>
      <c r="Y244" s="536"/>
      <c r="Z244" s="536"/>
      <c r="AA244" s="536"/>
      <c r="AB244" s="536"/>
      <c r="AC244" s="536"/>
      <c r="AD244" s="536"/>
      <c r="AE244" s="536"/>
      <c r="AF244" s="536"/>
      <c r="AG244" s="536"/>
      <c r="AH244" s="537" t="s">
        <v>417</v>
      </c>
      <c r="AI244" s="536"/>
      <c r="AJ244" s="536"/>
    </row>
    <row r="245" spans="1:36" x14ac:dyDescent="0.2">
      <c r="A245" s="548"/>
      <c r="B245" s="546"/>
      <c r="C245" s="1819" t="s">
        <v>206</v>
      </c>
      <c r="D245" s="1819"/>
      <c r="E245" s="1819"/>
      <c r="F245" s="1819"/>
      <c r="G245" s="1819"/>
      <c r="H245" s="1819"/>
      <c r="I245" s="1819"/>
      <c r="J245" s="1819"/>
      <c r="K245" s="1819"/>
      <c r="L245" s="544">
        <v>7864.97</v>
      </c>
      <c r="M245" s="543"/>
      <c r="N245" s="547">
        <v>50045</v>
      </c>
      <c r="P245" s="536"/>
      <c r="Q245" s="536"/>
      <c r="R245" s="536"/>
      <c r="S245" s="536"/>
      <c r="T245" s="536"/>
      <c r="U245" s="536"/>
      <c r="V245" s="536"/>
      <c r="W245" s="536"/>
      <c r="X245" s="536"/>
      <c r="Y245" s="536"/>
      <c r="Z245" s="536"/>
      <c r="AA245" s="536"/>
      <c r="AB245" s="536"/>
      <c r="AC245" s="536"/>
      <c r="AD245" s="536"/>
      <c r="AE245" s="536"/>
      <c r="AF245" s="536"/>
      <c r="AG245" s="536"/>
      <c r="AH245" s="536"/>
      <c r="AI245" s="537" t="s">
        <v>206</v>
      </c>
      <c r="AJ245" s="536"/>
    </row>
    <row r="246" spans="1:36" x14ac:dyDescent="0.2">
      <c r="A246" s="548"/>
      <c r="B246" s="552"/>
      <c r="C246" s="1822" t="s">
        <v>204</v>
      </c>
      <c r="D246" s="1822"/>
      <c r="E246" s="1822"/>
      <c r="F246" s="1822"/>
      <c r="G246" s="1822"/>
      <c r="H246" s="1822"/>
      <c r="I246" s="1822"/>
      <c r="J246" s="1822"/>
      <c r="K246" s="1822"/>
      <c r="L246" s="551"/>
      <c r="M246" s="550"/>
      <c r="N246" s="549"/>
      <c r="P246" s="536"/>
      <c r="Q246" s="536"/>
      <c r="R246" s="536"/>
      <c r="S246" s="536"/>
      <c r="T246" s="536"/>
      <c r="U246" s="536"/>
      <c r="V246" s="536"/>
      <c r="W246" s="536"/>
      <c r="X246" s="536"/>
      <c r="Y246" s="536"/>
      <c r="Z246" s="536"/>
      <c r="AA246" s="536"/>
      <c r="AB246" s="536"/>
      <c r="AC246" s="536"/>
      <c r="AD246" s="536"/>
      <c r="AE246" s="536"/>
      <c r="AF246" s="536"/>
      <c r="AG246" s="536"/>
      <c r="AH246" s="537" t="s">
        <v>204</v>
      </c>
      <c r="AI246" s="536"/>
      <c r="AJ246" s="536"/>
    </row>
    <row r="247" spans="1:36" x14ac:dyDescent="0.2">
      <c r="A247" s="548"/>
      <c r="B247" s="552"/>
      <c r="C247" s="1822" t="s">
        <v>8095</v>
      </c>
      <c r="D247" s="1822"/>
      <c r="E247" s="1822"/>
      <c r="F247" s="1822"/>
      <c r="G247" s="1822"/>
      <c r="H247" s="1822"/>
      <c r="I247" s="1822"/>
      <c r="J247" s="1822"/>
      <c r="K247" s="1822"/>
      <c r="L247" s="551">
        <v>1085.94</v>
      </c>
      <c r="M247" s="550"/>
      <c r="N247" s="549">
        <v>9035</v>
      </c>
      <c r="P247" s="536"/>
      <c r="Q247" s="536"/>
      <c r="R247" s="536"/>
      <c r="S247" s="536"/>
      <c r="T247" s="536"/>
      <c r="U247" s="536"/>
      <c r="V247" s="536"/>
      <c r="W247" s="536"/>
      <c r="X247" s="536"/>
      <c r="Y247" s="536"/>
      <c r="Z247" s="536"/>
      <c r="AA247" s="536"/>
      <c r="AB247" s="536"/>
      <c r="AC247" s="536"/>
      <c r="AD247" s="536"/>
      <c r="AE247" s="536"/>
      <c r="AF247" s="536"/>
      <c r="AG247" s="536"/>
      <c r="AH247" s="537" t="s">
        <v>8095</v>
      </c>
      <c r="AI247" s="536"/>
      <c r="AJ247" s="536"/>
    </row>
    <row r="248" spans="1:36" x14ac:dyDescent="0.2">
      <c r="A248" s="548"/>
      <c r="B248" s="552"/>
      <c r="C248" s="1822" t="s">
        <v>8097</v>
      </c>
      <c r="D248" s="1822"/>
      <c r="E248" s="1822"/>
      <c r="F248" s="1822"/>
      <c r="G248" s="1822"/>
      <c r="H248" s="1822"/>
      <c r="I248" s="1822"/>
      <c r="J248" s="1822"/>
      <c r="K248" s="1822"/>
      <c r="L248" s="551"/>
      <c r="M248" s="550"/>
      <c r="N248" s="549">
        <v>17820</v>
      </c>
      <c r="P248" s="536"/>
      <c r="Q248" s="536"/>
      <c r="R248" s="536"/>
      <c r="S248" s="536"/>
      <c r="T248" s="536"/>
      <c r="U248" s="536"/>
      <c r="V248" s="536"/>
      <c r="W248" s="536"/>
      <c r="X248" s="536"/>
      <c r="Y248" s="536"/>
      <c r="Z248" s="536"/>
      <c r="AA248" s="536"/>
      <c r="AB248" s="536"/>
      <c r="AC248" s="536"/>
      <c r="AD248" s="536"/>
      <c r="AE248" s="536"/>
      <c r="AF248" s="536"/>
      <c r="AG248" s="536"/>
      <c r="AH248" s="537" t="s">
        <v>8097</v>
      </c>
      <c r="AI248" s="536"/>
      <c r="AJ248" s="536"/>
    </row>
    <row r="249" spans="1:36" ht="1.5" customHeight="1" x14ac:dyDescent="0.2">
      <c r="B249" s="546"/>
      <c r="C249" s="656"/>
      <c r="D249" s="656"/>
      <c r="E249" s="656"/>
      <c r="F249" s="656"/>
      <c r="G249" s="656"/>
      <c r="H249" s="656"/>
      <c r="I249" s="656"/>
      <c r="J249" s="656"/>
      <c r="K249" s="656"/>
      <c r="L249" s="544"/>
      <c r="M249" s="543"/>
      <c r="N249" s="542"/>
      <c r="P249" s="536"/>
      <c r="Q249" s="536"/>
      <c r="R249" s="536"/>
      <c r="S249" s="536"/>
      <c r="T249" s="536"/>
      <c r="U249" s="536"/>
      <c r="V249" s="536"/>
      <c r="W249" s="536"/>
      <c r="X249" s="536"/>
      <c r="Y249" s="536"/>
      <c r="Z249" s="536"/>
      <c r="AA249" s="536"/>
      <c r="AB249" s="536"/>
      <c r="AC249" s="536"/>
      <c r="AD249" s="536"/>
      <c r="AE249" s="536"/>
      <c r="AF249" s="536"/>
      <c r="AG249" s="536"/>
      <c r="AH249" s="536"/>
      <c r="AI249" s="536"/>
      <c r="AJ249" s="536"/>
    </row>
    <row r="250" spans="1:36" ht="53.25" customHeight="1" x14ac:dyDescent="0.2">
      <c r="A250" s="541"/>
      <c r="B250" s="541"/>
      <c r="C250" s="541"/>
      <c r="D250" s="541"/>
      <c r="E250" s="541"/>
      <c r="F250" s="541"/>
      <c r="G250" s="541"/>
      <c r="H250" s="541"/>
      <c r="I250" s="541"/>
      <c r="J250" s="541"/>
      <c r="K250" s="541"/>
      <c r="L250" s="541"/>
      <c r="M250" s="541"/>
      <c r="N250" s="541"/>
      <c r="P250" s="536"/>
      <c r="Q250" s="536"/>
      <c r="R250" s="536"/>
      <c r="S250" s="536"/>
      <c r="T250" s="536"/>
      <c r="U250" s="536"/>
      <c r="V250" s="536"/>
      <c r="W250" s="536"/>
      <c r="X250" s="536"/>
      <c r="Y250" s="536"/>
      <c r="Z250" s="536"/>
      <c r="AA250" s="536"/>
      <c r="AB250" s="536"/>
      <c r="AC250" s="536"/>
      <c r="AD250" s="536"/>
      <c r="AE250" s="536"/>
      <c r="AF250" s="536"/>
      <c r="AG250" s="536"/>
      <c r="AH250" s="536"/>
      <c r="AI250" s="536"/>
      <c r="AJ250" s="536"/>
    </row>
    <row r="251" spans="1:36" x14ac:dyDescent="0.2">
      <c r="B251" s="539" t="s">
        <v>149</v>
      </c>
      <c r="C251" s="1943" t="s">
        <v>207</v>
      </c>
      <c r="D251" s="1943"/>
      <c r="E251" s="1943"/>
      <c r="F251" s="1943"/>
      <c r="G251" s="1943"/>
      <c r="H251" s="1943"/>
      <c r="I251" s="1943"/>
      <c r="J251" s="1943"/>
      <c r="K251" s="1943"/>
      <c r="L251" s="1943"/>
    </row>
    <row r="252" spans="1:36" ht="13.5" customHeight="1" x14ac:dyDescent="0.2">
      <c r="B252" s="540"/>
      <c r="C252" s="1821" t="s">
        <v>150</v>
      </c>
      <c r="D252" s="1821"/>
      <c r="E252" s="1821"/>
      <c r="F252" s="1821"/>
      <c r="G252" s="1821"/>
      <c r="H252" s="1821"/>
      <c r="I252" s="1821"/>
      <c r="J252" s="1821"/>
      <c r="K252" s="1821"/>
      <c r="L252" s="1821"/>
    </row>
    <row r="253" spans="1:36" ht="12.75" customHeight="1" x14ac:dyDescent="0.2">
      <c r="B253" s="539" t="s">
        <v>151</v>
      </c>
      <c r="C253" s="1943" t="s">
        <v>208</v>
      </c>
      <c r="D253" s="1943"/>
      <c r="E253" s="1943"/>
      <c r="F253" s="1943"/>
      <c r="G253" s="1943"/>
      <c r="H253" s="1943"/>
      <c r="I253" s="1943"/>
      <c r="J253" s="1943"/>
      <c r="K253" s="1943"/>
      <c r="L253" s="1943"/>
    </row>
    <row r="254" spans="1:36" ht="13.5" customHeight="1" x14ac:dyDescent="0.2">
      <c r="C254" s="1821" t="s">
        <v>150</v>
      </c>
      <c r="D254" s="1821"/>
      <c r="E254" s="1821"/>
      <c r="F254" s="1821"/>
      <c r="G254" s="1821"/>
      <c r="H254" s="1821"/>
      <c r="I254" s="1821"/>
      <c r="J254" s="1821"/>
      <c r="K254" s="1821"/>
      <c r="L254" s="1821"/>
    </row>
    <row r="256" spans="1:36" x14ac:dyDescent="0.2">
      <c r="A256" s="1944"/>
      <c r="B256" s="1944"/>
      <c r="C256" s="1944"/>
      <c r="D256" s="1944"/>
      <c r="E256" s="1944"/>
      <c r="F256" s="1944"/>
      <c r="G256" s="1944"/>
      <c r="H256" s="1944"/>
      <c r="I256" s="1944"/>
      <c r="J256" s="1944"/>
      <c r="K256" s="1944"/>
      <c r="L256" s="1944"/>
      <c r="M256" s="1944"/>
      <c r="N256" s="1944"/>
      <c r="P256" s="536"/>
      <c r="Q256" s="536"/>
      <c r="R256" s="536"/>
      <c r="S256" s="536"/>
      <c r="T256" s="536"/>
      <c r="U256" s="536"/>
      <c r="V256" s="536"/>
      <c r="W256" s="536"/>
      <c r="X256" s="536"/>
      <c r="Y256" s="536"/>
      <c r="Z256" s="536"/>
      <c r="AA256" s="536"/>
      <c r="AB256" s="536"/>
      <c r="AC256" s="536"/>
      <c r="AD256" s="536"/>
      <c r="AE256" s="536"/>
      <c r="AF256" s="536"/>
      <c r="AG256" s="536"/>
      <c r="AH256" s="536"/>
      <c r="AI256" s="536"/>
      <c r="AJ256" s="537" t="s">
        <v>143</v>
      </c>
    </row>
    <row r="257" spans="2:6" s="536" customFormat="1" x14ac:dyDescent="0.2">
      <c r="B257" s="538"/>
      <c r="D257" s="538"/>
      <c r="F257" s="538"/>
    </row>
  </sheetData>
  <mergeCells count="226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N41"/>
    <mergeCell ref="C42:E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C53:E53"/>
    <mergeCell ref="C55:N55"/>
    <mergeCell ref="C56:E56"/>
    <mergeCell ref="C57:N57"/>
    <mergeCell ref="C58:E58"/>
    <mergeCell ref="C59:E59"/>
    <mergeCell ref="C47:E47"/>
    <mergeCell ref="C48:E48"/>
    <mergeCell ref="C49:E49"/>
    <mergeCell ref="C50:E50"/>
    <mergeCell ref="C51:E51"/>
    <mergeCell ref="C52:E52"/>
    <mergeCell ref="C66:E66"/>
    <mergeCell ref="C68:E68"/>
    <mergeCell ref="C69:N69"/>
    <mergeCell ref="C70:N70"/>
    <mergeCell ref="C71:E71"/>
    <mergeCell ref="C72:E72"/>
    <mergeCell ref="C60:E60"/>
    <mergeCell ref="C61:E61"/>
    <mergeCell ref="C62:E62"/>
    <mergeCell ref="C63:E63"/>
    <mergeCell ref="C64:E64"/>
    <mergeCell ref="C65:E65"/>
    <mergeCell ref="C79:E79"/>
    <mergeCell ref="C80:E80"/>
    <mergeCell ref="C81:E81"/>
    <mergeCell ref="C82:E82"/>
    <mergeCell ref="C84:N84"/>
    <mergeCell ref="C85:E85"/>
    <mergeCell ref="C73:E73"/>
    <mergeCell ref="C74:E74"/>
    <mergeCell ref="C75:E75"/>
    <mergeCell ref="C76:E76"/>
    <mergeCell ref="C77:E77"/>
    <mergeCell ref="C78:E78"/>
    <mergeCell ref="C92:E92"/>
    <mergeCell ref="C93:E93"/>
    <mergeCell ref="C94:E94"/>
    <mergeCell ref="C95:E95"/>
    <mergeCell ref="C96:E96"/>
    <mergeCell ref="C97:E97"/>
    <mergeCell ref="C86:N86"/>
    <mergeCell ref="C87:E87"/>
    <mergeCell ref="C88:E88"/>
    <mergeCell ref="C89:E89"/>
    <mergeCell ref="C90:E90"/>
    <mergeCell ref="C91:E91"/>
    <mergeCell ref="C105:E105"/>
    <mergeCell ref="C106:E106"/>
    <mergeCell ref="C107:E107"/>
    <mergeCell ref="C108:E108"/>
    <mergeCell ref="C109:E109"/>
    <mergeCell ref="C110:E110"/>
    <mergeCell ref="C98:E98"/>
    <mergeCell ref="C100:N100"/>
    <mergeCell ref="C101:E101"/>
    <mergeCell ref="C102:N102"/>
    <mergeCell ref="C103:N103"/>
    <mergeCell ref="C104:E104"/>
    <mergeCell ref="C118:E118"/>
    <mergeCell ref="C119:N119"/>
    <mergeCell ref="C120:N120"/>
    <mergeCell ref="C121:E121"/>
    <mergeCell ref="C122:E122"/>
    <mergeCell ref="C123:E123"/>
    <mergeCell ref="C111:E111"/>
    <mergeCell ref="C112:E112"/>
    <mergeCell ref="C113:E113"/>
    <mergeCell ref="C114:E114"/>
    <mergeCell ref="C115:E115"/>
    <mergeCell ref="C117:N117"/>
    <mergeCell ref="C130:E130"/>
    <mergeCell ref="C131:E131"/>
    <mergeCell ref="C132:E132"/>
    <mergeCell ref="C134:N134"/>
    <mergeCell ref="C135:E135"/>
    <mergeCell ref="C137:N137"/>
    <mergeCell ref="C124:E124"/>
    <mergeCell ref="C125:E125"/>
    <mergeCell ref="C126:E126"/>
    <mergeCell ref="C127:E127"/>
    <mergeCell ref="C128:E128"/>
    <mergeCell ref="C129:E129"/>
    <mergeCell ref="C144:E144"/>
    <mergeCell ref="C145:E145"/>
    <mergeCell ref="C146:E146"/>
    <mergeCell ref="C147:E147"/>
    <mergeCell ref="C148:E148"/>
    <mergeCell ref="C149:E149"/>
    <mergeCell ref="C138:N138"/>
    <mergeCell ref="C139:E139"/>
    <mergeCell ref="C140:N140"/>
    <mergeCell ref="C141:N141"/>
    <mergeCell ref="C142:E142"/>
    <mergeCell ref="C143:E143"/>
    <mergeCell ref="C157:E157"/>
    <mergeCell ref="C158:E158"/>
    <mergeCell ref="C159:E159"/>
    <mergeCell ref="C160:E160"/>
    <mergeCell ref="C161:E161"/>
    <mergeCell ref="C162:E162"/>
    <mergeCell ref="C150:E150"/>
    <mergeCell ref="C152:N152"/>
    <mergeCell ref="C153:E153"/>
    <mergeCell ref="C154:N154"/>
    <mergeCell ref="C155:N155"/>
    <mergeCell ref="C156:E156"/>
    <mergeCell ref="C170:E170"/>
    <mergeCell ref="C171:N171"/>
    <mergeCell ref="C172:E172"/>
    <mergeCell ref="C173:E173"/>
    <mergeCell ref="C174:E174"/>
    <mergeCell ref="C175:E175"/>
    <mergeCell ref="C163:E163"/>
    <mergeCell ref="C164:E164"/>
    <mergeCell ref="C165:E165"/>
    <mergeCell ref="C166:E166"/>
    <mergeCell ref="C167:E167"/>
    <mergeCell ref="C169:N169"/>
    <mergeCell ref="C183:E183"/>
    <mergeCell ref="C185:N185"/>
    <mergeCell ref="C187:K187"/>
    <mergeCell ref="C188:K188"/>
    <mergeCell ref="C189:K189"/>
    <mergeCell ref="C190:K190"/>
    <mergeCell ref="C176:E176"/>
    <mergeCell ref="C177:E177"/>
    <mergeCell ref="C178:E178"/>
    <mergeCell ref="C179:E179"/>
    <mergeCell ref="C180:E180"/>
    <mergeCell ref="C182:N182"/>
    <mergeCell ref="C197:K197"/>
    <mergeCell ref="C198:K198"/>
    <mergeCell ref="C199:K199"/>
    <mergeCell ref="C200:K200"/>
    <mergeCell ref="C201:K201"/>
    <mergeCell ref="C202:K202"/>
    <mergeCell ref="C191:K191"/>
    <mergeCell ref="C192:K192"/>
    <mergeCell ref="C193:K193"/>
    <mergeCell ref="C194:K194"/>
    <mergeCell ref="C195:K195"/>
    <mergeCell ref="C196:K196"/>
    <mergeCell ref="C209:K209"/>
    <mergeCell ref="C210:K210"/>
    <mergeCell ref="A211:N211"/>
    <mergeCell ref="C212:E212"/>
    <mergeCell ref="C214:N214"/>
    <mergeCell ref="C216:K216"/>
    <mergeCell ref="C203:K203"/>
    <mergeCell ref="C204:K204"/>
    <mergeCell ref="C205:K205"/>
    <mergeCell ref="C206:K206"/>
    <mergeCell ref="C207:K207"/>
    <mergeCell ref="C208:K208"/>
    <mergeCell ref="C223:K223"/>
    <mergeCell ref="C225:K225"/>
    <mergeCell ref="C226:K226"/>
    <mergeCell ref="C227:K227"/>
    <mergeCell ref="C228:K228"/>
    <mergeCell ref="C229:K229"/>
    <mergeCell ref="C217:K217"/>
    <mergeCell ref="C218:K218"/>
    <mergeCell ref="C219:K219"/>
    <mergeCell ref="C220:K220"/>
    <mergeCell ref="C221:K221"/>
    <mergeCell ref="C222:K222"/>
    <mergeCell ref="C236:K236"/>
    <mergeCell ref="C237:K237"/>
    <mergeCell ref="C238:K238"/>
    <mergeCell ref="C239:K239"/>
    <mergeCell ref="C240:K240"/>
    <mergeCell ref="C241:K241"/>
    <mergeCell ref="C230:K230"/>
    <mergeCell ref="C231:K231"/>
    <mergeCell ref="C232:K232"/>
    <mergeCell ref="C233:K233"/>
    <mergeCell ref="C234:K234"/>
    <mergeCell ref="C235:K235"/>
    <mergeCell ref="C248:K248"/>
    <mergeCell ref="C251:L251"/>
    <mergeCell ref="C252:L252"/>
    <mergeCell ref="C253:L253"/>
    <mergeCell ref="C254:L254"/>
    <mergeCell ref="A256:N256"/>
    <mergeCell ref="C242:K242"/>
    <mergeCell ref="C243:K243"/>
    <mergeCell ref="C244:K244"/>
    <mergeCell ref="C245:K245"/>
    <mergeCell ref="C246:K246"/>
    <mergeCell ref="C247:K247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25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/>
  <dimension ref="A1:AH264"/>
  <sheetViews>
    <sheetView topLeftCell="A225" zoomScale="115" zoomScaleNormal="115" workbookViewId="0">
      <selection activeCell="K276" sqref="K276"/>
    </sheetView>
  </sheetViews>
  <sheetFormatPr defaultColWidth="9.140625" defaultRowHeight="11.25" customHeight="1" x14ac:dyDescent="0.25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600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4" width="110.140625" style="537" hidden="1" customWidth="1"/>
    <col min="25" max="29" width="34.140625" style="537" hidden="1" customWidth="1"/>
    <col min="30" max="30" width="110.140625" style="537" hidden="1" customWidth="1"/>
    <col min="31" max="33" width="84.42578125" style="537" hidden="1" customWidth="1"/>
    <col min="34" max="34" width="138.42578125" style="537" hidden="1" customWidth="1"/>
    <col min="35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1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159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1806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1806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3119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58"/>
      <c r="B19" s="658"/>
      <c r="C19" s="658"/>
      <c r="D19" s="658"/>
      <c r="E19" s="658"/>
      <c r="F19" s="658"/>
      <c r="G19" s="658"/>
      <c r="H19" s="658"/>
      <c r="I19" s="658"/>
      <c r="J19" s="658"/>
      <c r="K19" s="658"/>
      <c r="L19" s="658"/>
      <c r="M19" s="658"/>
      <c r="N19" s="658"/>
    </row>
    <row r="20" spans="1:21" s="536" customFormat="1" x14ac:dyDescent="0.2">
      <c r="A20" s="1840" t="s">
        <v>3120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3120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3064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197.33</v>
      </c>
      <c r="D28" s="579" t="s">
        <v>8160</v>
      </c>
      <c r="E28" s="661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1"/>
    </row>
    <row r="30" spans="1:21" s="536" customFormat="1" ht="12.75" customHeight="1" x14ac:dyDescent="0.2">
      <c r="B30" s="536" t="s">
        <v>169</v>
      </c>
      <c r="C30" s="580">
        <v>0</v>
      </c>
      <c r="D30" s="579" t="s">
        <v>171</v>
      </c>
      <c r="E30" s="661" t="s">
        <v>167</v>
      </c>
      <c r="G30" s="536" t="s">
        <v>170</v>
      </c>
      <c r="L30" s="580">
        <v>0</v>
      </c>
      <c r="M30" s="579" t="s">
        <v>3065</v>
      </c>
      <c r="N30" s="661" t="s">
        <v>167</v>
      </c>
    </row>
    <row r="31" spans="1:21" s="536" customFormat="1" ht="12.75" customHeight="1" x14ac:dyDescent="0.2">
      <c r="B31" s="536" t="s">
        <v>140</v>
      </c>
      <c r="C31" s="580">
        <v>39.659999999999997</v>
      </c>
      <c r="D31" s="583" t="s">
        <v>8161</v>
      </c>
      <c r="E31" s="661" t="s">
        <v>167</v>
      </c>
      <c r="G31" s="536" t="s">
        <v>172</v>
      </c>
      <c r="L31" s="582"/>
      <c r="M31" s="582">
        <v>126.22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157.66999999999999</v>
      </c>
      <c r="D32" s="583" t="s">
        <v>8162</v>
      </c>
      <c r="E32" s="661" t="s">
        <v>167</v>
      </c>
      <c r="G32" s="536" t="s">
        <v>174</v>
      </c>
      <c r="L32" s="582"/>
      <c r="M32" s="582">
        <v>0.3</v>
      </c>
      <c r="N32" s="581" t="s">
        <v>173</v>
      </c>
    </row>
    <row r="33" spans="1:24" s="536" customFormat="1" ht="12.75" customHeight="1" x14ac:dyDescent="0.2">
      <c r="B33" s="536" t="s">
        <v>147</v>
      </c>
      <c r="C33" s="580">
        <v>0</v>
      </c>
      <c r="D33" s="579" t="s">
        <v>171</v>
      </c>
      <c r="E33" s="661" t="s">
        <v>167</v>
      </c>
      <c r="G33" s="536" t="s">
        <v>175</v>
      </c>
      <c r="L33" s="1836"/>
      <c r="M33" s="1836"/>
    </row>
    <row r="34" spans="1:24" s="536" customFormat="1" ht="9.75" customHeight="1" x14ac:dyDescent="0.2">
      <c r="A34" s="578"/>
    </row>
    <row r="35" spans="1:24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4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4" s="536" customFormat="1" ht="45" x14ac:dyDescent="0.2">
      <c r="A37" s="1833"/>
      <c r="B37" s="1833"/>
      <c r="C37" s="1833"/>
      <c r="D37" s="1833"/>
      <c r="E37" s="1833"/>
      <c r="F37" s="1833"/>
      <c r="G37" s="659" t="s">
        <v>182</v>
      </c>
      <c r="H37" s="659" t="s">
        <v>183</v>
      </c>
      <c r="I37" s="659" t="s">
        <v>184</v>
      </c>
      <c r="J37" s="659" t="s">
        <v>182</v>
      </c>
      <c r="K37" s="659" t="s">
        <v>183</v>
      </c>
      <c r="L37" s="659" t="s">
        <v>148</v>
      </c>
      <c r="M37" s="1833"/>
      <c r="N37" s="1833"/>
    </row>
    <row r="38" spans="1:24" s="536" customFormat="1" x14ac:dyDescent="0.2">
      <c r="A38" s="660">
        <v>1</v>
      </c>
      <c r="B38" s="660">
        <v>2</v>
      </c>
      <c r="C38" s="1834">
        <v>3</v>
      </c>
      <c r="D38" s="1834"/>
      <c r="E38" s="1834"/>
      <c r="F38" s="660">
        <v>4</v>
      </c>
      <c r="G38" s="660">
        <v>5</v>
      </c>
      <c r="H38" s="660">
        <v>6</v>
      </c>
      <c r="I38" s="660">
        <v>7</v>
      </c>
      <c r="J38" s="660">
        <v>8</v>
      </c>
      <c r="K38" s="660">
        <v>9</v>
      </c>
      <c r="L38" s="660">
        <v>10</v>
      </c>
      <c r="M38" s="660">
        <v>11</v>
      </c>
      <c r="N38" s="660">
        <v>12</v>
      </c>
    </row>
    <row r="39" spans="1:24" s="536" customFormat="1" ht="12" x14ac:dyDescent="0.2">
      <c r="A39" s="1824" t="s">
        <v>3066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537" t="s">
        <v>3066</v>
      </c>
    </row>
    <row r="40" spans="1:24" s="536" customFormat="1" ht="123.75" x14ac:dyDescent="0.2">
      <c r="A40" s="575" t="s">
        <v>3121</v>
      </c>
      <c r="B40" s="657" t="s">
        <v>3122</v>
      </c>
      <c r="C40" s="1823" t="s">
        <v>3123</v>
      </c>
      <c r="D40" s="1823"/>
      <c r="E40" s="1823"/>
      <c r="F40" s="573" t="s">
        <v>628</v>
      </c>
      <c r="G40" s="573"/>
      <c r="H40" s="573"/>
      <c r="I40" s="573" t="s">
        <v>185</v>
      </c>
      <c r="J40" s="572">
        <v>37732.5</v>
      </c>
      <c r="K40" s="573" t="s">
        <v>629</v>
      </c>
      <c r="L40" s="572">
        <v>8319.17</v>
      </c>
      <c r="M40" s="571">
        <v>4.59</v>
      </c>
      <c r="N40" s="570">
        <v>38185</v>
      </c>
      <c r="W40" s="537" t="s">
        <v>3123</v>
      </c>
    </row>
    <row r="41" spans="1:24" s="536" customFormat="1" x14ac:dyDescent="0.2">
      <c r="A41" s="569"/>
      <c r="B41" s="656"/>
      <c r="C41" s="661" t="s">
        <v>630</v>
      </c>
      <c r="D41" s="662"/>
      <c r="E41" s="662"/>
      <c r="F41" s="563"/>
      <c r="G41" s="563"/>
      <c r="H41" s="563"/>
      <c r="I41" s="563"/>
      <c r="J41" s="566"/>
      <c r="K41" s="563"/>
      <c r="L41" s="566"/>
      <c r="M41" s="565"/>
      <c r="N41" s="564"/>
    </row>
    <row r="42" spans="1:24" s="536" customFormat="1" ht="22.5" x14ac:dyDescent="0.2">
      <c r="A42" s="609"/>
      <c r="B42" s="552" t="s">
        <v>631</v>
      </c>
      <c r="C42" s="1822" t="s">
        <v>632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X42" s="537" t="s">
        <v>632</v>
      </c>
    </row>
    <row r="43" spans="1:24" s="536" customFormat="1" ht="45" x14ac:dyDescent="0.2">
      <c r="A43" s="575" t="s">
        <v>625</v>
      </c>
      <c r="B43" s="657" t="s">
        <v>3124</v>
      </c>
      <c r="C43" s="1823" t="s">
        <v>3125</v>
      </c>
      <c r="D43" s="1823"/>
      <c r="E43" s="1823"/>
      <c r="F43" s="573" t="s">
        <v>628</v>
      </c>
      <c r="G43" s="573"/>
      <c r="H43" s="573"/>
      <c r="I43" s="573" t="s">
        <v>185</v>
      </c>
      <c r="J43" s="572">
        <v>9212.8799999999992</v>
      </c>
      <c r="K43" s="573" t="s">
        <v>629</v>
      </c>
      <c r="L43" s="572">
        <v>2031.15</v>
      </c>
      <c r="M43" s="571">
        <v>4.59</v>
      </c>
      <c r="N43" s="570">
        <v>9323</v>
      </c>
      <c r="W43" s="537" t="s">
        <v>3125</v>
      </c>
    </row>
    <row r="44" spans="1:24" s="536" customFormat="1" x14ac:dyDescent="0.2">
      <c r="A44" s="569"/>
      <c r="B44" s="656"/>
      <c r="C44" s="661" t="s">
        <v>630</v>
      </c>
      <c r="D44" s="662"/>
      <c r="E44" s="662"/>
      <c r="F44" s="563"/>
      <c r="G44" s="563"/>
      <c r="H44" s="563"/>
      <c r="I44" s="563"/>
      <c r="J44" s="566"/>
      <c r="K44" s="563"/>
      <c r="L44" s="566"/>
      <c r="M44" s="565"/>
      <c r="N44" s="564"/>
    </row>
    <row r="45" spans="1:24" s="536" customFormat="1" ht="22.5" x14ac:dyDescent="0.2">
      <c r="A45" s="609"/>
      <c r="B45" s="552" t="s">
        <v>631</v>
      </c>
      <c r="C45" s="1822" t="s">
        <v>632</v>
      </c>
      <c r="D45" s="1822"/>
      <c r="E45" s="1822"/>
      <c r="F45" s="1822"/>
      <c r="G45" s="1822"/>
      <c r="H45" s="1822"/>
      <c r="I45" s="1822"/>
      <c r="J45" s="1822"/>
      <c r="K45" s="1822"/>
      <c r="L45" s="1822"/>
      <c r="M45" s="1822"/>
      <c r="N45" s="1827"/>
      <c r="X45" s="537" t="s">
        <v>632</v>
      </c>
    </row>
    <row r="46" spans="1:24" s="536" customFormat="1" ht="45" x14ac:dyDescent="0.2">
      <c r="A46" s="575" t="s">
        <v>2195</v>
      </c>
      <c r="B46" s="657" t="s">
        <v>3126</v>
      </c>
      <c r="C46" s="1823" t="s">
        <v>3127</v>
      </c>
      <c r="D46" s="1823"/>
      <c r="E46" s="1823"/>
      <c r="F46" s="573" t="s">
        <v>628</v>
      </c>
      <c r="G46" s="573"/>
      <c r="H46" s="573"/>
      <c r="I46" s="573" t="s">
        <v>185</v>
      </c>
      <c r="J46" s="572">
        <v>500.18</v>
      </c>
      <c r="K46" s="573" t="s">
        <v>629</v>
      </c>
      <c r="L46" s="572">
        <v>110.24</v>
      </c>
      <c r="M46" s="571">
        <v>4.59</v>
      </c>
      <c r="N46" s="570">
        <v>506</v>
      </c>
      <c r="W46" s="537" t="s">
        <v>3127</v>
      </c>
    </row>
    <row r="47" spans="1:24" s="536" customFormat="1" x14ac:dyDescent="0.2">
      <c r="A47" s="569"/>
      <c r="B47" s="656"/>
      <c r="C47" s="661" t="s">
        <v>630</v>
      </c>
      <c r="D47" s="662"/>
      <c r="E47" s="662"/>
      <c r="F47" s="563"/>
      <c r="G47" s="563"/>
      <c r="H47" s="563"/>
      <c r="I47" s="563"/>
      <c r="J47" s="566"/>
      <c r="K47" s="563"/>
      <c r="L47" s="566"/>
      <c r="M47" s="565"/>
      <c r="N47" s="564"/>
    </row>
    <row r="48" spans="1:24" s="536" customFormat="1" ht="22.5" x14ac:dyDescent="0.2">
      <c r="A48" s="609"/>
      <c r="B48" s="552" t="s">
        <v>631</v>
      </c>
      <c r="C48" s="1822" t="s">
        <v>632</v>
      </c>
      <c r="D48" s="1822"/>
      <c r="E48" s="1822"/>
      <c r="F48" s="1822"/>
      <c r="G48" s="1822"/>
      <c r="H48" s="1822"/>
      <c r="I48" s="1822"/>
      <c r="J48" s="1822"/>
      <c r="K48" s="1822"/>
      <c r="L48" s="1822"/>
      <c r="M48" s="1822"/>
      <c r="N48" s="1827"/>
      <c r="X48" s="537" t="s">
        <v>632</v>
      </c>
    </row>
    <row r="49" spans="1:28" s="536" customFormat="1" ht="33.75" x14ac:dyDescent="0.2">
      <c r="A49" s="575" t="s">
        <v>633</v>
      </c>
      <c r="B49" s="657" t="s">
        <v>3128</v>
      </c>
      <c r="C49" s="1823" t="s">
        <v>3129</v>
      </c>
      <c r="D49" s="1823"/>
      <c r="E49" s="1823"/>
      <c r="F49" s="573" t="s">
        <v>628</v>
      </c>
      <c r="G49" s="573"/>
      <c r="H49" s="573"/>
      <c r="I49" s="573" t="s">
        <v>185</v>
      </c>
      <c r="J49" s="572">
        <v>325.56</v>
      </c>
      <c r="K49" s="573" t="s">
        <v>629</v>
      </c>
      <c r="L49" s="572">
        <v>71.680000000000007</v>
      </c>
      <c r="M49" s="571">
        <v>4.59</v>
      </c>
      <c r="N49" s="570">
        <v>329</v>
      </c>
      <c r="W49" s="537" t="s">
        <v>3129</v>
      </c>
    </row>
    <row r="50" spans="1:28" s="536" customFormat="1" x14ac:dyDescent="0.2">
      <c r="A50" s="569"/>
      <c r="B50" s="656"/>
      <c r="C50" s="661" t="s">
        <v>630</v>
      </c>
      <c r="D50" s="662"/>
      <c r="E50" s="662"/>
      <c r="F50" s="563"/>
      <c r="G50" s="563"/>
      <c r="H50" s="563"/>
      <c r="I50" s="563"/>
      <c r="J50" s="566"/>
      <c r="K50" s="563"/>
      <c r="L50" s="566"/>
      <c r="M50" s="565"/>
      <c r="N50" s="564"/>
    </row>
    <row r="51" spans="1:28" s="536" customFormat="1" ht="22.5" x14ac:dyDescent="0.2">
      <c r="A51" s="609"/>
      <c r="B51" s="552" t="s">
        <v>631</v>
      </c>
      <c r="C51" s="1822" t="s">
        <v>632</v>
      </c>
      <c r="D51" s="1822"/>
      <c r="E51" s="1822"/>
      <c r="F51" s="1822"/>
      <c r="G51" s="1822"/>
      <c r="H51" s="1822"/>
      <c r="I51" s="1822"/>
      <c r="J51" s="1822"/>
      <c r="K51" s="1822"/>
      <c r="L51" s="1822"/>
      <c r="M51" s="1822"/>
      <c r="N51" s="1827"/>
      <c r="X51" s="537" t="s">
        <v>632</v>
      </c>
    </row>
    <row r="52" spans="1:28" s="536" customFormat="1" ht="33.75" x14ac:dyDescent="0.2">
      <c r="A52" s="575" t="s">
        <v>189</v>
      </c>
      <c r="B52" s="657" t="s">
        <v>3067</v>
      </c>
      <c r="C52" s="1823" t="s">
        <v>3068</v>
      </c>
      <c r="D52" s="1823"/>
      <c r="E52" s="1823"/>
      <c r="F52" s="573" t="s">
        <v>617</v>
      </c>
      <c r="G52" s="573"/>
      <c r="H52" s="573"/>
      <c r="I52" s="573" t="s">
        <v>185</v>
      </c>
      <c r="J52" s="572"/>
      <c r="K52" s="573"/>
      <c r="L52" s="572"/>
      <c r="M52" s="571"/>
      <c r="N52" s="570"/>
      <c r="W52" s="537" t="s">
        <v>3068</v>
      </c>
    </row>
    <row r="53" spans="1:28" s="536" customFormat="1" ht="33.75" x14ac:dyDescent="0.2">
      <c r="A53" s="609"/>
      <c r="B53" s="552" t="s">
        <v>310</v>
      </c>
      <c r="C53" s="1822" t="s">
        <v>311</v>
      </c>
      <c r="D53" s="1822"/>
      <c r="E53" s="1822"/>
      <c r="F53" s="1822"/>
      <c r="G53" s="1822"/>
      <c r="H53" s="1822"/>
      <c r="I53" s="1822"/>
      <c r="J53" s="1822"/>
      <c r="K53" s="1822"/>
      <c r="L53" s="1822"/>
      <c r="M53" s="1822"/>
      <c r="N53" s="1827"/>
      <c r="X53" s="537" t="s">
        <v>311</v>
      </c>
    </row>
    <row r="54" spans="1:28" s="536" customFormat="1" x14ac:dyDescent="0.2">
      <c r="A54" s="605"/>
      <c r="B54" s="552" t="s">
        <v>185</v>
      </c>
      <c r="C54" s="1822" t="s">
        <v>312</v>
      </c>
      <c r="D54" s="1822"/>
      <c r="E54" s="1822"/>
      <c r="F54" s="562"/>
      <c r="G54" s="562"/>
      <c r="H54" s="562"/>
      <c r="I54" s="562"/>
      <c r="J54" s="604">
        <v>72.430000000000007</v>
      </c>
      <c r="K54" s="562" t="s">
        <v>313</v>
      </c>
      <c r="L54" s="604">
        <v>90.54</v>
      </c>
      <c r="M54" s="603"/>
      <c r="N54" s="602"/>
      <c r="Y54" s="537" t="s">
        <v>312</v>
      </c>
    </row>
    <row r="55" spans="1:28" s="536" customFormat="1" x14ac:dyDescent="0.2">
      <c r="A55" s="605"/>
      <c r="B55" s="552" t="s">
        <v>188</v>
      </c>
      <c r="C55" s="1822" t="s">
        <v>475</v>
      </c>
      <c r="D55" s="1822"/>
      <c r="E55" s="1822"/>
      <c r="F55" s="562"/>
      <c r="G55" s="562"/>
      <c r="H55" s="562"/>
      <c r="I55" s="562"/>
      <c r="J55" s="604">
        <v>8.8800000000000008</v>
      </c>
      <c r="K55" s="562"/>
      <c r="L55" s="604">
        <v>8.8800000000000008</v>
      </c>
      <c r="M55" s="603"/>
      <c r="N55" s="602"/>
      <c r="Y55" s="537" t="s">
        <v>475</v>
      </c>
    </row>
    <row r="56" spans="1:28" s="536" customFormat="1" x14ac:dyDescent="0.2">
      <c r="A56" s="605"/>
      <c r="B56" s="552"/>
      <c r="C56" s="1822" t="s">
        <v>314</v>
      </c>
      <c r="D56" s="1822"/>
      <c r="E56" s="1822"/>
      <c r="F56" s="562" t="s">
        <v>315</v>
      </c>
      <c r="G56" s="562" t="s">
        <v>3069</v>
      </c>
      <c r="H56" s="562" t="s">
        <v>313</v>
      </c>
      <c r="I56" s="562" t="s">
        <v>193</v>
      </c>
      <c r="J56" s="604"/>
      <c r="K56" s="562"/>
      <c r="L56" s="604"/>
      <c r="M56" s="603"/>
      <c r="N56" s="602"/>
      <c r="Z56" s="537" t="s">
        <v>314</v>
      </c>
    </row>
    <row r="57" spans="1:28" s="536" customFormat="1" x14ac:dyDescent="0.2">
      <c r="A57" s="605"/>
      <c r="B57" s="552"/>
      <c r="C57" s="1828" t="s">
        <v>318</v>
      </c>
      <c r="D57" s="1828"/>
      <c r="E57" s="1828"/>
      <c r="F57" s="608"/>
      <c r="G57" s="608"/>
      <c r="H57" s="608"/>
      <c r="I57" s="608"/>
      <c r="J57" s="607">
        <v>81.31</v>
      </c>
      <c r="K57" s="608"/>
      <c r="L57" s="607">
        <v>99.42</v>
      </c>
      <c r="M57" s="601"/>
      <c r="N57" s="606"/>
      <c r="AA57" s="537" t="s">
        <v>318</v>
      </c>
    </row>
    <row r="58" spans="1:28" s="536" customFormat="1" x14ac:dyDescent="0.2">
      <c r="A58" s="605"/>
      <c r="B58" s="552"/>
      <c r="C58" s="1822" t="s">
        <v>319</v>
      </c>
      <c r="D58" s="1822"/>
      <c r="E58" s="1822"/>
      <c r="F58" s="562"/>
      <c r="G58" s="562"/>
      <c r="H58" s="562"/>
      <c r="I58" s="562"/>
      <c r="J58" s="604"/>
      <c r="K58" s="562"/>
      <c r="L58" s="604">
        <v>90.54</v>
      </c>
      <c r="M58" s="603"/>
      <c r="N58" s="602"/>
      <c r="Z58" s="537" t="s">
        <v>319</v>
      </c>
    </row>
    <row r="59" spans="1:28" s="536" customFormat="1" ht="33.75" x14ac:dyDescent="0.2">
      <c r="A59" s="605"/>
      <c r="B59" s="552" t="s">
        <v>884</v>
      </c>
      <c r="C59" s="1822" t="s">
        <v>885</v>
      </c>
      <c r="D59" s="1822"/>
      <c r="E59" s="1822"/>
      <c r="F59" s="562" t="s">
        <v>322</v>
      </c>
      <c r="G59" s="562" t="s">
        <v>886</v>
      </c>
      <c r="H59" s="562"/>
      <c r="I59" s="562" t="s">
        <v>886</v>
      </c>
      <c r="J59" s="604"/>
      <c r="K59" s="562"/>
      <c r="L59" s="604">
        <v>81.489999999999995</v>
      </c>
      <c r="M59" s="603"/>
      <c r="N59" s="602"/>
      <c r="Z59" s="537" t="s">
        <v>885</v>
      </c>
    </row>
    <row r="60" spans="1:28" s="536" customFormat="1" ht="33.75" x14ac:dyDescent="0.2">
      <c r="A60" s="605"/>
      <c r="B60" s="552" t="s">
        <v>887</v>
      </c>
      <c r="C60" s="1822" t="s">
        <v>888</v>
      </c>
      <c r="D60" s="1822"/>
      <c r="E60" s="1822"/>
      <c r="F60" s="562" t="s">
        <v>322</v>
      </c>
      <c r="G60" s="562" t="s">
        <v>465</v>
      </c>
      <c r="H60" s="562"/>
      <c r="I60" s="562" t="s">
        <v>465</v>
      </c>
      <c r="J60" s="604"/>
      <c r="K60" s="562"/>
      <c r="L60" s="604">
        <v>41.65</v>
      </c>
      <c r="M60" s="603"/>
      <c r="N60" s="602"/>
      <c r="Z60" s="537" t="s">
        <v>888</v>
      </c>
    </row>
    <row r="61" spans="1:28" s="536" customFormat="1" x14ac:dyDescent="0.2">
      <c r="A61" s="569"/>
      <c r="B61" s="656"/>
      <c r="C61" s="1823" t="s">
        <v>327</v>
      </c>
      <c r="D61" s="1823"/>
      <c r="E61" s="1823"/>
      <c r="F61" s="573"/>
      <c r="G61" s="573"/>
      <c r="H61" s="573"/>
      <c r="I61" s="573"/>
      <c r="J61" s="572"/>
      <c r="K61" s="573"/>
      <c r="L61" s="572">
        <v>222.56</v>
      </c>
      <c r="M61" s="601"/>
      <c r="N61" s="570"/>
      <c r="AB61" s="537" t="s">
        <v>327</v>
      </c>
    </row>
    <row r="62" spans="1:28" s="536" customFormat="1" ht="33.75" x14ac:dyDescent="0.2">
      <c r="A62" s="575" t="s">
        <v>874</v>
      </c>
      <c r="B62" s="657" t="s">
        <v>8163</v>
      </c>
      <c r="C62" s="1823" t="s">
        <v>8164</v>
      </c>
      <c r="D62" s="1823"/>
      <c r="E62" s="1823"/>
      <c r="F62" s="573" t="s">
        <v>628</v>
      </c>
      <c r="G62" s="573"/>
      <c r="H62" s="573"/>
      <c r="I62" s="573" t="s">
        <v>185</v>
      </c>
      <c r="J62" s="572">
        <v>20208.830000000002</v>
      </c>
      <c r="K62" s="573" t="s">
        <v>629</v>
      </c>
      <c r="L62" s="572">
        <v>4455.5600000000004</v>
      </c>
      <c r="M62" s="571">
        <v>4.59</v>
      </c>
      <c r="N62" s="570">
        <v>20451</v>
      </c>
      <c r="W62" s="537" t="s">
        <v>8164</v>
      </c>
    </row>
    <row r="63" spans="1:28" s="536" customFormat="1" x14ac:dyDescent="0.2">
      <c r="A63" s="569"/>
      <c r="B63" s="656"/>
      <c r="C63" s="661" t="s">
        <v>630</v>
      </c>
      <c r="D63" s="662"/>
      <c r="E63" s="662"/>
      <c r="F63" s="563"/>
      <c r="G63" s="563"/>
      <c r="H63" s="563"/>
      <c r="I63" s="563"/>
      <c r="J63" s="566"/>
      <c r="K63" s="563"/>
      <c r="L63" s="566"/>
      <c r="M63" s="565"/>
      <c r="N63" s="564"/>
    </row>
    <row r="64" spans="1:28" s="536" customFormat="1" ht="22.5" x14ac:dyDescent="0.2">
      <c r="A64" s="609"/>
      <c r="B64" s="552" t="s">
        <v>631</v>
      </c>
      <c r="C64" s="1822" t="s">
        <v>632</v>
      </c>
      <c r="D64" s="1822"/>
      <c r="E64" s="1822"/>
      <c r="F64" s="1822"/>
      <c r="G64" s="1822"/>
      <c r="H64" s="1822"/>
      <c r="I64" s="1822"/>
      <c r="J64" s="1822"/>
      <c r="K64" s="1822"/>
      <c r="L64" s="1822"/>
      <c r="M64" s="1822"/>
      <c r="N64" s="1827"/>
      <c r="X64" s="537" t="s">
        <v>632</v>
      </c>
    </row>
    <row r="65" spans="1:30" s="536" customFormat="1" ht="22.5" x14ac:dyDescent="0.2">
      <c r="A65" s="575" t="s">
        <v>191</v>
      </c>
      <c r="B65" s="657" t="s">
        <v>3132</v>
      </c>
      <c r="C65" s="1823" t="s">
        <v>3133</v>
      </c>
      <c r="D65" s="1823"/>
      <c r="E65" s="1823"/>
      <c r="F65" s="573" t="s">
        <v>617</v>
      </c>
      <c r="G65" s="573"/>
      <c r="H65" s="573"/>
      <c r="I65" s="573" t="s">
        <v>185</v>
      </c>
      <c r="J65" s="572"/>
      <c r="K65" s="573"/>
      <c r="L65" s="572"/>
      <c r="M65" s="571"/>
      <c r="N65" s="570"/>
      <c r="W65" s="537" t="s">
        <v>3133</v>
      </c>
    </row>
    <row r="66" spans="1:30" s="536" customFormat="1" ht="33.75" x14ac:dyDescent="0.2">
      <c r="A66" s="609"/>
      <c r="B66" s="552" t="s">
        <v>310</v>
      </c>
      <c r="C66" s="1822" t="s">
        <v>311</v>
      </c>
      <c r="D66" s="1822"/>
      <c r="E66" s="1822"/>
      <c r="F66" s="1822"/>
      <c r="G66" s="1822"/>
      <c r="H66" s="1822"/>
      <c r="I66" s="1822"/>
      <c r="J66" s="1822"/>
      <c r="K66" s="1822"/>
      <c r="L66" s="1822"/>
      <c r="M66" s="1822"/>
      <c r="N66" s="1827"/>
      <c r="X66" s="537" t="s">
        <v>311</v>
      </c>
    </row>
    <row r="67" spans="1:30" s="536" customFormat="1" x14ac:dyDescent="0.2">
      <c r="A67" s="605"/>
      <c r="B67" s="552" t="s">
        <v>185</v>
      </c>
      <c r="C67" s="1822" t="s">
        <v>312</v>
      </c>
      <c r="D67" s="1822"/>
      <c r="E67" s="1822"/>
      <c r="F67" s="562"/>
      <c r="G67" s="562"/>
      <c r="H67" s="562"/>
      <c r="I67" s="562"/>
      <c r="J67" s="604">
        <v>53.16</v>
      </c>
      <c r="K67" s="562" t="s">
        <v>313</v>
      </c>
      <c r="L67" s="604">
        <v>66.45</v>
      </c>
      <c r="M67" s="603"/>
      <c r="N67" s="602"/>
      <c r="Y67" s="537" t="s">
        <v>312</v>
      </c>
    </row>
    <row r="68" spans="1:30" s="536" customFormat="1" x14ac:dyDescent="0.2">
      <c r="A68" s="605"/>
      <c r="B68" s="552" t="s">
        <v>188</v>
      </c>
      <c r="C68" s="1822" t="s">
        <v>475</v>
      </c>
      <c r="D68" s="1822"/>
      <c r="E68" s="1822"/>
      <c r="F68" s="562"/>
      <c r="G68" s="562"/>
      <c r="H68" s="562"/>
      <c r="I68" s="562"/>
      <c r="J68" s="604">
        <v>15.92</v>
      </c>
      <c r="K68" s="562"/>
      <c r="L68" s="604">
        <v>15.92</v>
      </c>
      <c r="M68" s="603"/>
      <c r="N68" s="602"/>
      <c r="Y68" s="537" t="s">
        <v>475</v>
      </c>
    </row>
    <row r="69" spans="1:30" s="536" customFormat="1" x14ac:dyDescent="0.2">
      <c r="A69" s="676"/>
      <c r="B69" s="677" t="s">
        <v>3084</v>
      </c>
      <c r="C69" s="1829" t="s">
        <v>3085</v>
      </c>
      <c r="D69" s="1829"/>
      <c r="E69" s="1829"/>
      <c r="F69" s="678" t="s">
        <v>694</v>
      </c>
      <c r="G69" s="678" t="s">
        <v>856</v>
      </c>
      <c r="H69" s="678"/>
      <c r="I69" s="678" t="s">
        <v>856</v>
      </c>
      <c r="J69" s="552"/>
      <c r="K69" s="562"/>
      <c r="L69" s="604"/>
      <c r="M69" s="562"/>
      <c r="N69" s="679"/>
      <c r="AC69" s="537" t="s">
        <v>3085</v>
      </c>
    </row>
    <row r="70" spans="1:30" s="536" customFormat="1" x14ac:dyDescent="0.2">
      <c r="A70" s="605"/>
      <c r="B70" s="552"/>
      <c r="C70" s="1822" t="s">
        <v>314</v>
      </c>
      <c r="D70" s="1822"/>
      <c r="E70" s="1822"/>
      <c r="F70" s="562" t="s">
        <v>315</v>
      </c>
      <c r="G70" s="562" t="s">
        <v>190</v>
      </c>
      <c r="H70" s="562" t="s">
        <v>313</v>
      </c>
      <c r="I70" s="562" t="s">
        <v>1071</v>
      </c>
      <c r="J70" s="604"/>
      <c r="K70" s="562"/>
      <c r="L70" s="604"/>
      <c r="M70" s="603"/>
      <c r="N70" s="602"/>
      <c r="Z70" s="537" t="s">
        <v>314</v>
      </c>
    </row>
    <row r="71" spans="1:30" s="536" customFormat="1" x14ac:dyDescent="0.2">
      <c r="A71" s="605"/>
      <c r="B71" s="552"/>
      <c r="C71" s="1828" t="s">
        <v>318</v>
      </c>
      <c r="D71" s="1828"/>
      <c r="E71" s="1828"/>
      <c r="F71" s="608"/>
      <c r="G71" s="608"/>
      <c r="H71" s="608"/>
      <c r="I71" s="608"/>
      <c r="J71" s="607">
        <v>69.08</v>
      </c>
      <c r="K71" s="608"/>
      <c r="L71" s="607">
        <v>82.37</v>
      </c>
      <c r="M71" s="601"/>
      <c r="N71" s="606"/>
      <c r="AA71" s="537" t="s">
        <v>318</v>
      </c>
    </row>
    <row r="72" spans="1:30" s="536" customFormat="1" x14ac:dyDescent="0.2">
      <c r="A72" s="605"/>
      <c r="B72" s="552"/>
      <c r="C72" s="1822" t="s">
        <v>319</v>
      </c>
      <c r="D72" s="1822"/>
      <c r="E72" s="1822"/>
      <c r="F72" s="562"/>
      <c r="G72" s="562"/>
      <c r="H72" s="562"/>
      <c r="I72" s="562"/>
      <c r="J72" s="604"/>
      <c r="K72" s="562"/>
      <c r="L72" s="604">
        <v>66.45</v>
      </c>
      <c r="M72" s="603"/>
      <c r="N72" s="602"/>
      <c r="Z72" s="537" t="s">
        <v>319</v>
      </c>
    </row>
    <row r="73" spans="1:30" s="536" customFormat="1" ht="33.75" x14ac:dyDescent="0.2">
      <c r="A73" s="605"/>
      <c r="B73" s="552" t="s">
        <v>620</v>
      </c>
      <c r="C73" s="1822" t="s">
        <v>621</v>
      </c>
      <c r="D73" s="1822"/>
      <c r="E73" s="1822"/>
      <c r="F73" s="562" t="s">
        <v>322</v>
      </c>
      <c r="G73" s="562" t="s">
        <v>559</v>
      </c>
      <c r="H73" s="562"/>
      <c r="I73" s="562" t="s">
        <v>559</v>
      </c>
      <c r="J73" s="604"/>
      <c r="K73" s="562"/>
      <c r="L73" s="604">
        <v>63.13</v>
      </c>
      <c r="M73" s="603"/>
      <c r="N73" s="602"/>
      <c r="Z73" s="537" t="s">
        <v>621</v>
      </c>
    </row>
    <row r="74" spans="1:30" s="536" customFormat="1" ht="33.75" x14ac:dyDescent="0.2">
      <c r="A74" s="605"/>
      <c r="B74" s="552" t="s">
        <v>622</v>
      </c>
      <c r="C74" s="1822" t="s">
        <v>623</v>
      </c>
      <c r="D74" s="1822"/>
      <c r="E74" s="1822"/>
      <c r="F74" s="562" t="s">
        <v>322</v>
      </c>
      <c r="G74" s="562" t="s">
        <v>624</v>
      </c>
      <c r="H74" s="562"/>
      <c r="I74" s="562" t="s">
        <v>624</v>
      </c>
      <c r="J74" s="604"/>
      <c r="K74" s="562"/>
      <c r="L74" s="604">
        <v>35.22</v>
      </c>
      <c r="M74" s="603"/>
      <c r="N74" s="602"/>
      <c r="Z74" s="537" t="s">
        <v>623</v>
      </c>
    </row>
    <row r="75" spans="1:30" s="536" customFormat="1" x14ac:dyDescent="0.2">
      <c r="A75" s="569"/>
      <c r="B75" s="656"/>
      <c r="C75" s="1823" t="s">
        <v>327</v>
      </c>
      <c r="D75" s="1823"/>
      <c r="E75" s="1823"/>
      <c r="F75" s="573"/>
      <c r="G75" s="573"/>
      <c r="H75" s="573"/>
      <c r="I75" s="573"/>
      <c r="J75" s="572"/>
      <c r="K75" s="573"/>
      <c r="L75" s="572">
        <v>180.72</v>
      </c>
      <c r="M75" s="601"/>
      <c r="N75" s="570"/>
      <c r="AB75" s="537" t="s">
        <v>327</v>
      </c>
    </row>
    <row r="76" spans="1:30" s="536" customFormat="1" ht="33.75" x14ac:dyDescent="0.2">
      <c r="A76" s="575" t="s">
        <v>660</v>
      </c>
      <c r="B76" s="657" t="s">
        <v>3134</v>
      </c>
      <c r="C76" s="1823" t="s">
        <v>3135</v>
      </c>
      <c r="D76" s="1823"/>
      <c r="E76" s="1823"/>
      <c r="F76" s="573" t="s">
        <v>628</v>
      </c>
      <c r="G76" s="573"/>
      <c r="H76" s="573"/>
      <c r="I76" s="573" t="s">
        <v>185</v>
      </c>
      <c r="J76" s="572">
        <v>4312.04</v>
      </c>
      <c r="K76" s="573" t="s">
        <v>629</v>
      </c>
      <c r="L76" s="572">
        <v>950.76</v>
      </c>
      <c r="M76" s="571">
        <v>4.59</v>
      </c>
      <c r="N76" s="570">
        <v>4364</v>
      </c>
      <c r="W76" s="537" t="s">
        <v>3135</v>
      </c>
    </row>
    <row r="77" spans="1:30" s="536" customFormat="1" x14ac:dyDescent="0.2">
      <c r="A77" s="569"/>
      <c r="B77" s="656"/>
      <c r="C77" s="661" t="s">
        <v>630</v>
      </c>
      <c r="D77" s="662"/>
      <c r="E77" s="662"/>
      <c r="F77" s="563"/>
      <c r="G77" s="563"/>
      <c r="H77" s="563"/>
      <c r="I77" s="563"/>
      <c r="J77" s="566"/>
      <c r="K77" s="563"/>
      <c r="L77" s="566"/>
      <c r="M77" s="565"/>
      <c r="N77" s="564"/>
    </row>
    <row r="78" spans="1:30" s="536" customFormat="1" ht="22.5" x14ac:dyDescent="0.2">
      <c r="A78" s="609"/>
      <c r="B78" s="552" t="s">
        <v>631</v>
      </c>
      <c r="C78" s="1822" t="s">
        <v>632</v>
      </c>
      <c r="D78" s="1822"/>
      <c r="E78" s="1822"/>
      <c r="F78" s="1822"/>
      <c r="G78" s="1822"/>
      <c r="H78" s="1822"/>
      <c r="I78" s="1822"/>
      <c r="J78" s="1822"/>
      <c r="K78" s="1822"/>
      <c r="L78" s="1822"/>
      <c r="M78" s="1822"/>
      <c r="N78" s="1827"/>
      <c r="X78" s="537" t="s">
        <v>632</v>
      </c>
    </row>
    <row r="79" spans="1:30" s="536" customFormat="1" ht="45" x14ac:dyDescent="0.2">
      <c r="A79" s="575" t="s">
        <v>193</v>
      </c>
      <c r="B79" s="657" t="s">
        <v>3136</v>
      </c>
      <c r="C79" s="1823" t="s">
        <v>3137</v>
      </c>
      <c r="D79" s="1823"/>
      <c r="E79" s="1823"/>
      <c r="F79" s="573" t="s">
        <v>617</v>
      </c>
      <c r="G79" s="573"/>
      <c r="H79" s="573"/>
      <c r="I79" s="573" t="s">
        <v>1067</v>
      </c>
      <c r="J79" s="572"/>
      <c r="K79" s="573"/>
      <c r="L79" s="572"/>
      <c r="M79" s="571"/>
      <c r="N79" s="570"/>
      <c r="W79" s="537" t="s">
        <v>3137</v>
      </c>
    </row>
    <row r="80" spans="1:30" s="536" customFormat="1" x14ac:dyDescent="0.2">
      <c r="A80" s="676"/>
      <c r="B80" s="655"/>
      <c r="C80" s="1822" t="s">
        <v>8165</v>
      </c>
      <c r="D80" s="1822"/>
      <c r="E80" s="1822"/>
      <c r="F80" s="1822"/>
      <c r="G80" s="1822"/>
      <c r="H80" s="1822"/>
      <c r="I80" s="1822"/>
      <c r="J80" s="1822"/>
      <c r="K80" s="1822"/>
      <c r="L80" s="1822"/>
      <c r="M80" s="1822"/>
      <c r="N80" s="1827"/>
      <c r="AD80" s="537" t="s">
        <v>8165</v>
      </c>
    </row>
    <row r="81" spans="1:28" s="536" customFormat="1" ht="33.75" x14ac:dyDescent="0.2">
      <c r="A81" s="609"/>
      <c r="B81" s="552" t="s">
        <v>310</v>
      </c>
      <c r="C81" s="1822" t="s">
        <v>311</v>
      </c>
      <c r="D81" s="1822"/>
      <c r="E81" s="1822"/>
      <c r="F81" s="1822"/>
      <c r="G81" s="1822"/>
      <c r="H81" s="1822"/>
      <c r="I81" s="1822"/>
      <c r="J81" s="1822"/>
      <c r="K81" s="1822"/>
      <c r="L81" s="1822"/>
      <c r="M81" s="1822"/>
      <c r="N81" s="1827"/>
      <c r="X81" s="537" t="s">
        <v>311</v>
      </c>
    </row>
    <row r="82" spans="1:28" s="536" customFormat="1" x14ac:dyDescent="0.2">
      <c r="A82" s="605"/>
      <c r="B82" s="552" t="s">
        <v>185</v>
      </c>
      <c r="C82" s="1822" t="s">
        <v>312</v>
      </c>
      <c r="D82" s="1822"/>
      <c r="E82" s="1822"/>
      <c r="F82" s="562"/>
      <c r="G82" s="562"/>
      <c r="H82" s="562"/>
      <c r="I82" s="562"/>
      <c r="J82" s="604">
        <v>16.16</v>
      </c>
      <c r="K82" s="562" t="s">
        <v>313</v>
      </c>
      <c r="L82" s="604">
        <v>444.4</v>
      </c>
      <c r="M82" s="603"/>
      <c r="N82" s="602"/>
      <c r="Y82" s="537" t="s">
        <v>312</v>
      </c>
    </row>
    <row r="83" spans="1:28" s="536" customFormat="1" x14ac:dyDescent="0.2">
      <c r="A83" s="605"/>
      <c r="B83" s="552" t="s">
        <v>188</v>
      </c>
      <c r="C83" s="1822" t="s">
        <v>475</v>
      </c>
      <c r="D83" s="1822"/>
      <c r="E83" s="1822"/>
      <c r="F83" s="562"/>
      <c r="G83" s="562"/>
      <c r="H83" s="562"/>
      <c r="I83" s="562"/>
      <c r="J83" s="604">
        <v>3.08</v>
      </c>
      <c r="K83" s="562"/>
      <c r="L83" s="604">
        <v>67.760000000000005</v>
      </c>
      <c r="M83" s="603"/>
      <c r="N83" s="602"/>
      <c r="Y83" s="537" t="s">
        <v>475</v>
      </c>
    </row>
    <row r="84" spans="1:28" s="536" customFormat="1" x14ac:dyDescent="0.2">
      <c r="A84" s="605"/>
      <c r="B84" s="552"/>
      <c r="C84" s="1822" t="s">
        <v>314</v>
      </c>
      <c r="D84" s="1822"/>
      <c r="E84" s="1822"/>
      <c r="F84" s="562" t="s">
        <v>315</v>
      </c>
      <c r="G84" s="562" t="s">
        <v>3138</v>
      </c>
      <c r="H84" s="562" t="s">
        <v>313</v>
      </c>
      <c r="I84" s="562" t="s">
        <v>8166</v>
      </c>
      <c r="J84" s="604"/>
      <c r="K84" s="562"/>
      <c r="L84" s="604"/>
      <c r="M84" s="603"/>
      <c r="N84" s="602"/>
      <c r="Z84" s="537" t="s">
        <v>314</v>
      </c>
    </row>
    <row r="85" spans="1:28" s="536" customFormat="1" x14ac:dyDescent="0.2">
      <c r="A85" s="605"/>
      <c r="B85" s="552"/>
      <c r="C85" s="1828" t="s">
        <v>318</v>
      </c>
      <c r="D85" s="1828"/>
      <c r="E85" s="1828"/>
      <c r="F85" s="608"/>
      <c r="G85" s="608"/>
      <c r="H85" s="608"/>
      <c r="I85" s="608"/>
      <c r="J85" s="607">
        <v>19.239999999999998</v>
      </c>
      <c r="K85" s="608"/>
      <c r="L85" s="607">
        <v>512.16</v>
      </c>
      <c r="M85" s="601"/>
      <c r="N85" s="606"/>
      <c r="AA85" s="537" t="s">
        <v>318</v>
      </c>
    </row>
    <row r="86" spans="1:28" s="536" customFormat="1" x14ac:dyDescent="0.2">
      <c r="A86" s="605"/>
      <c r="B86" s="552"/>
      <c r="C86" s="1822" t="s">
        <v>319</v>
      </c>
      <c r="D86" s="1822"/>
      <c r="E86" s="1822"/>
      <c r="F86" s="562"/>
      <c r="G86" s="562"/>
      <c r="H86" s="562"/>
      <c r="I86" s="562"/>
      <c r="J86" s="604"/>
      <c r="K86" s="562"/>
      <c r="L86" s="604">
        <v>444.4</v>
      </c>
      <c r="M86" s="603"/>
      <c r="N86" s="602"/>
      <c r="Z86" s="537" t="s">
        <v>319</v>
      </c>
    </row>
    <row r="87" spans="1:28" s="536" customFormat="1" ht="33.75" x14ac:dyDescent="0.2">
      <c r="A87" s="605"/>
      <c r="B87" s="552" t="s">
        <v>884</v>
      </c>
      <c r="C87" s="1822" t="s">
        <v>885</v>
      </c>
      <c r="D87" s="1822"/>
      <c r="E87" s="1822"/>
      <c r="F87" s="562" t="s">
        <v>322</v>
      </c>
      <c r="G87" s="562" t="s">
        <v>886</v>
      </c>
      <c r="H87" s="562"/>
      <c r="I87" s="562" t="s">
        <v>886</v>
      </c>
      <c r="J87" s="604"/>
      <c r="K87" s="562"/>
      <c r="L87" s="604">
        <v>399.96</v>
      </c>
      <c r="M87" s="603"/>
      <c r="N87" s="602"/>
      <c r="Z87" s="537" t="s">
        <v>885</v>
      </c>
    </row>
    <row r="88" spans="1:28" s="536" customFormat="1" ht="33.75" x14ac:dyDescent="0.2">
      <c r="A88" s="605"/>
      <c r="B88" s="552" t="s">
        <v>887</v>
      </c>
      <c r="C88" s="1822" t="s">
        <v>888</v>
      </c>
      <c r="D88" s="1822"/>
      <c r="E88" s="1822"/>
      <c r="F88" s="562" t="s">
        <v>322</v>
      </c>
      <c r="G88" s="562" t="s">
        <v>465</v>
      </c>
      <c r="H88" s="562"/>
      <c r="I88" s="562" t="s">
        <v>465</v>
      </c>
      <c r="J88" s="604"/>
      <c r="K88" s="562"/>
      <c r="L88" s="604">
        <v>204.42</v>
      </c>
      <c r="M88" s="603"/>
      <c r="N88" s="602"/>
      <c r="Z88" s="537" t="s">
        <v>888</v>
      </c>
    </row>
    <row r="89" spans="1:28" s="536" customFormat="1" x14ac:dyDescent="0.2">
      <c r="A89" s="569"/>
      <c r="B89" s="656"/>
      <c r="C89" s="1823" t="s">
        <v>327</v>
      </c>
      <c r="D89" s="1823"/>
      <c r="E89" s="1823"/>
      <c r="F89" s="573"/>
      <c r="G89" s="573"/>
      <c r="H89" s="573"/>
      <c r="I89" s="573"/>
      <c r="J89" s="572"/>
      <c r="K89" s="573"/>
      <c r="L89" s="572">
        <v>1116.54</v>
      </c>
      <c r="M89" s="601"/>
      <c r="N89" s="570"/>
      <c r="AB89" s="537" t="s">
        <v>327</v>
      </c>
    </row>
    <row r="90" spans="1:28" s="536" customFormat="1" ht="45" x14ac:dyDescent="0.2">
      <c r="A90" s="575" t="s">
        <v>664</v>
      </c>
      <c r="B90" s="657" t="s">
        <v>3139</v>
      </c>
      <c r="C90" s="1823" t="s">
        <v>8167</v>
      </c>
      <c r="D90" s="1823"/>
      <c r="E90" s="1823"/>
      <c r="F90" s="573" t="s">
        <v>617</v>
      </c>
      <c r="G90" s="573"/>
      <c r="H90" s="573"/>
      <c r="I90" s="573" t="s">
        <v>425</v>
      </c>
      <c r="J90" s="572">
        <v>116.52</v>
      </c>
      <c r="K90" s="573"/>
      <c r="L90" s="572">
        <v>1980.84</v>
      </c>
      <c r="M90" s="571"/>
      <c r="N90" s="570"/>
      <c r="W90" s="537" t="s">
        <v>8167</v>
      </c>
    </row>
    <row r="91" spans="1:28" s="536" customFormat="1" x14ac:dyDescent="0.2">
      <c r="A91" s="569"/>
      <c r="B91" s="656"/>
      <c r="C91" s="661" t="s">
        <v>2222</v>
      </c>
      <c r="D91" s="662"/>
      <c r="E91" s="662"/>
      <c r="F91" s="563"/>
      <c r="G91" s="563"/>
      <c r="H91" s="563"/>
      <c r="I91" s="563"/>
      <c r="J91" s="566"/>
      <c r="K91" s="563"/>
      <c r="L91" s="566"/>
      <c r="M91" s="565"/>
      <c r="N91" s="564"/>
    </row>
    <row r="92" spans="1:28" s="536" customFormat="1" ht="45" x14ac:dyDescent="0.2">
      <c r="A92" s="575" t="s">
        <v>881</v>
      </c>
      <c r="B92" s="657" t="s">
        <v>8168</v>
      </c>
      <c r="C92" s="1823" t="s">
        <v>8169</v>
      </c>
      <c r="D92" s="1823"/>
      <c r="E92" s="1823"/>
      <c r="F92" s="573" t="s">
        <v>628</v>
      </c>
      <c r="G92" s="573"/>
      <c r="H92" s="573"/>
      <c r="I92" s="573" t="s">
        <v>189</v>
      </c>
      <c r="J92" s="572">
        <v>1126.1300000000001</v>
      </c>
      <c r="K92" s="573" t="s">
        <v>629</v>
      </c>
      <c r="L92" s="572">
        <v>1241.3900000000001</v>
      </c>
      <c r="M92" s="571">
        <v>4.59</v>
      </c>
      <c r="N92" s="570">
        <v>5698</v>
      </c>
      <c r="W92" s="537" t="s">
        <v>8169</v>
      </c>
    </row>
    <row r="93" spans="1:28" s="536" customFormat="1" x14ac:dyDescent="0.2">
      <c r="A93" s="569"/>
      <c r="B93" s="656"/>
      <c r="C93" s="661" t="s">
        <v>630</v>
      </c>
      <c r="D93" s="662"/>
      <c r="E93" s="662"/>
      <c r="F93" s="563"/>
      <c r="G93" s="563"/>
      <c r="H93" s="563"/>
      <c r="I93" s="563"/>
      <c r="J93" s="566"/>
      <c r="K93" s="563"/>
      <c r="L93" s="566"/>
      <c r="M93" s="565"/>
      <c r="N93" s="564"/>
    </row>
    <row r="94" spans="1:28" s="536" customFormat="1" ht="22.5" x14ac:dyDescent="0.2">
      <c r="A94" s="609"/>
      <c r="B94" s="552" t="s">
        <v>631</v>
      </c>
      <c r="C94" s="1822" t="s">
        <v>632</v>
      </c>
      <c r="D94" s="1822"/>
      <c r="E94" s="1822"/>
      <c r="F94" s="1822"/>
      <c r="G94" s="1822"/>
      <c r="H94" s="1822"/>
      <c r="I94" s="1822"/>
      <c r="J94" s="1822"/>
      <c r="K94" s="1822"/>
      <c r="L94" s="1822"/>
      <c r="M94" s="1822"/>
      <c r="N94" s="1827"/>
      <c r="X94" s="537" t="s">
        <v>632</v>
      </c>
    </row>
    <row r="95" spans="1:28" s="536" customFormat="1" ht="56.25" x14ac:dyDescent="0.2">
      <c r="A95" s="575" t="s">
        <v>196</v>
      </c>
      <c r="B95" s="657" t="s">
        <v>3140</v>
      </c>
      <c r="C95" s="1823" t="s">
        <v>3141</v>
      </c>
      <c r="D95" s="1823"/>
      <c r="E95" s="1823"/>
      <c r="F95" s="573" t="s">
        <v>617</v>
      </c>
      <c r="G95" s="573"/>
      <c r="H95" s="573"/>
      <c r="I95" s="573" t="s">
        <v>186</v>
      </c>
      <c r="J95" s="572"/>
      <c r="K95" s="573"/>
      <c r="L95" s="572"/>
      <c r="M95" s="571"/>
      <c r="N95" s="570"/>
      <c r="W95" s="537" t="s">
        <v>3141</v>
      </c>
    </row>
    <row r="96" spans="1:28" s="536" customFormat="1" ht="33.75" x14ac:dyDescent="0.2">
      <c r="A96" s="609"/>
      <c r="B96" s="552" t="s">
        <v>310</v>
      </c>
      <c r="C96" s="1822" t="s">
        <v>311</v>
      </c>
      <c r="D96" s="1822"/>
      <c r="E96" s="1822"/>
      <c r="F96" s="1822"/>
      <c r="G96" s="1822"/>
      <c r="H96" s="1822"/>
      <c r="I96" s="1822"/>
      <c r="J96" s="1822"/>
      <c r="K96" s="1822"/>
      <c r="L96" s="1822"/>
      <c r="M96" s="1822"/>
      <c r="N96" s="1827"/>
      <c r="X96" s="537" t="s">
        <v>311</v>
      </c>
    </row>
    <row r="97" spans="1:30" s="536" customFormat="1" x14ac:dyDescent="0.2">
      <c r="A97" s="605"/>
      <c r="B97" s="552" t="s">
        <v>185</v>
      </c>
      <c r="C97" s="1822" t="s">
        <v>312</v>
      </c>
      <c r="D97" s="1822"/>
      <c r="E97" s="1822"/>
      <c r="F97" s="562"/>
      <c r="G97" s="562"/>
      <c r="H97" s="562"/>
      <c r="I97" s="562"/>
      <c r="J97" s="604">
        <v>9.91</v>
      </c>
      <c r="K97" s="562" t="s">
        <v>313</v>
      </c>
      <c r="L97" s="604">
        <v>24.78</v>
      </c>
      <c r="M97" s="603"/>
      <c r="N97" s="602"/>
      <c r="Y97" s="537" t="s">
        <v>312</v>
      </c>
    </row>
    <row r="98" spans="1:30" s="536" customFormat="1" x14ac:dyDescent="0.2">
      <c r="A98" s="605"/>
      <c r="B98" s="552" t="s">
        <v>186</v>
      </c>
      <c r="C98" s="1822" t="s">
        <v>344</v>
      </c>
      <c r="D98" s="1822"/>
      <c r="E98" s="1822"/>
      <c r="F98" s="562"/>
      <c r="G98" s="562"/>
      <c r="H98" s="562"/>
      <c r="I98" s="562"/>
      <c r="J98" s="604">
        <v>5.43</v>
      </c>
      <c r="K98" s="562" t="s">
        <v>313</v>
      </c>
      <c r="L98" s="604">
        <v>13.58</v>
      </c>
      <c r="M98" s="603"/>
      <c r="N98" s="602"/>
      <c r="Y98" s="537" t="s">
        <v>344</v>
      </c>
    </row>
    <row r="99" spans="1:30" s="536" customFormat="1" x14ac:dyDescent="0.2">
      <c r="A99" s="605"/>
      <c r="B99" s="552" t="s">
        <v>187</v>
      </c>
      <c r="C99" s="1822" t="s">
        <v>345</v>
      </c>
      <c r="D99" s="1822"/>
      <c r="E99" s="1822"/>
      <c r="F99" s="562"/>
      <c r="G99" s="562"/>
      <c r="H99" s="562"/>
      <c r="I99" s="562"/>
      <c r="J99" s="604">
        <v>0.76</v>
      </c>
      <c r="K99" s="562" t="s">
        <v>313</v>
      </c>
      <c r="L99" s="604">
        <v>1.9</v>
      </c>
      <c r="M99" s="603"/>
      <c r="N99" s="602"/>
      <c r="Y99" s="537" t="s">
        <v>345</v>
      </c>
    </row>
    <row r="100" spans="1:30" s="536" customFormat="1" x14ac:dyDescent="0.2">
      <c r="A100" s="605"/>
      <c r="B100" s="552" t="s">
        <v>188</v>
      </c>
      <c r="C100" s="1822" t="s">
        <v>475</v>
      </c>
      <c r="D100" s="1822"/>
      <c r="E100" s="1822"/>
      <c r="F100" s="562"/>
      <c r="G100" s="562"/>
      <c r="H100" s="562"/>
      <c r="I100" s="562"/>
      <c r="J100" s="604">
        <v>0.74</v>
      </c>
      <c r="K100" s="562"/>
      <c r="L100" s="604">
        <v>1.48</v>
      </c>
      <c r="M100" s="603"/>
      <c r="N100" s="602"/>
      <c r="Y100" s="537" t="s">
        <v>475</v>
      </c>
    </row>
    <row r="101" spans="1:30" s="536" customFormat="1" x14ac:dyDescent="0.2">
      <c r="A101" s="605"/>
      <c r="B101" s="552"/>
      <c r="C101" s="1822" t="s">
        <v>314</v>
      </c>
      <c r="D101" s="1822"/>
      <c r="E101" s="1822"/>
      <c r="F101" s="562" t="s">
        <v>315</v>
      </c>
      <c r="G101" s="562" t="s">
        <v>702</v>
      </c>
      <c r="H101" s="562" t="s">
        <v>313</v>
      </c>
      <c r="I101" s="562" t="s">
        <v>808</v>
      </c>
      <c r="J101" s="604"/>
      <c r="K101" s="562"/>
      <c r="L101" s="604"/>
      <c r="M101" s="603"/>
      <c r="N101" s="602"/>
      <c r="Z101" s="537" t="s">
        <v>314</v>
      </c>
    </row>
    <row r="102" spans="1:30" s="536" customFormat="1" x14ac:dyDescent="0.2">
      <c r="A102" s="605"/>
      <c r="B102" s="552"/>
      <c r="C102" s="1822" t="s">
        <v>348</v>
      </c>
      <c r="D102" s="1822"/>
      <c r="E102" s="1822"/>
      <c r="F102" s="562" t="s">
        <v>315</v>
      </c>
      <c r="G102" s="562" t="s">
        <v>1554</v>
      </c>
      <c r="H102" s="562" t="s">
        <v>313</v>
      </c>
      <c r="I102" s="562" t="s">
        <v>1901</v>
      </c>
      <c r="J102" s="604"/>
      <c r="K102" s="562"/>
      <c r="L102" s="604"/>
      <c r="M102" s="603"/>
      <c r="N102" s="602"/>
      <c r="Z102" s="537" t="s">
        <v>348</v>
      </c>
    </row>
    <row r="103" spans="1:30" s="536" customFormat="1" x14ac:dyDescent="0.2">
      <c r="A103" s="605"/>
      <c r="B103" s="552"/>
      <c r="C103" s="1828" t="s">
        <v>318</v>
      </c>
      <c r="D103" s="1828"/>
      <c r="E103" s="1828"/>
      <c r="F103" s="608"/>
      <c r="G103" s="608"/>
      <c r="H103" s="608"/>
      <c r="I103" s="608"/>
      <c r="J103" s="607">
        <v>16.079999999999998</v>
      </c>
      <c r="K103" s="608"/>
      <c r="L103" s="607">
        <v>39.840000000000003</v>
      </c>
      <c r="M103" s="601"/>
      <c r="N103" s="606"/>
      <c r="AA103" s="537" t="s">
        <v>318</v>
      </c>
    </row>
    <row r="104" spans="1:30" s="536" customFormat="1" x14ac:dyDescent="0.2">
      <c r="A104" s="605"/>
      <c r="B104" s="552"/>
      <c r="C104" s="1822" t="s">
        <v>319</v>
      </c>
      <c r="D104" s="1822"/>
      <c r="E104" s="1822"/>
      <c r="F104" s="562"/>
      <c r="G104" s="562"/>
      <c r="H104" s="562"/>
      <c r="I104" s="562"/>
      <c r="J104" s="604"/>
      <c r="K104" s="562"/>
      <c r="L104" s="604">
        <v>26.68</v>
      </c>
      <c r="M104" s="603"/>
      <c r="N104" s="602"/>
      <c r="Z104" s="537" t="s">
        <v>319</v>
      </c>
    </row>
    <row r="105" spans="1:30" s="536" customFormat="1" ht="33.75" x14ac:dyDescent="0.2">
      <c r="A105" s="605"/>
      <c r="B105" s="552" t="s">
        <v>1631</v>
      </c>
      <c r="C105" s="1822" t="s">
        <v>1632</v>
      </c>
      <c r="D105" s="1822"/>
      <c r="E105" s="1822"/>
      <c r="F105" s="562" t="s">
        <v>322</v>
      </c>
      <c r="G105" s="562" t="s">
        <v>1633</v>
      </c>
      <c r="H105" s="562"/>
      <c r="I105" s="562" t="s">
        <v>1633</v>
      </c>
      <c r="J105" s="604"/>
      <c r="K105" s="562"/>
      <c r="L105" s="604">
        <v>25.88</v>
      </c>
      <c r="M105" s="603"/>
      <c r="N105" s="602"/>
      <c r="Z105" s="537" t="s">
        <v>1632</v>
      </c>
    </row>
    <row r="106" spans="1:30" s="536" customFormat="1" ht="33.75" x14ac:dyDescent="0.2">
      <c r="A106" s="605"/>
      <c r="B106" s="552" t="s">
        <v>1634</v>
      </c>
      <c r="C106" s="1822" t="s">
        <v>1635</v>
      </c>
      <c r="D106" s="1822"/>
      <c r="E106" s="1822"/>
      <c r="F106" s="562" t="s">
        <v>322</v>
      </c>
      <c r="G106" s="562" t="s">
        <v>786</v>
      </c>
      <c r="H106" s="562"/>
      <c r="I106" s="562" t="s">
        <v>786</v>
      </c>
      <c r="J106" s="604"/>
      <c r="K106" s="562"/>
      <c r="L106" s="604">
        <v>13.61</v>
      </c>
      <c r="M106" s="603"/>
      <c r="N106" s="602"/>
      <c r="Z106" s="537" t="s">
        <v>1635</v>
      </c>
    </row>
    <row r="107" spans="1:30" s="536" customFormat="1" x14ac:dyDescent="0.2">
      <c r="A107" s="569"/>
      <c r="B107" s="656"/>
      <c r="C107" s="1823" t="s">
        <v>327</v>
      </c>
      <c r="D107" s="1823"/>
      <c r="E107" s="1823"/>
      <c r="F107" s="573"/>
      <c r="G107" s="573"/>
      <c r="H107" s="573"/>
      <c r="I107" s="573"/>
      <c r="J107" s="572"/>
      <c r="K107" s="573"/>
      <c r="L107" s="572">
        <v>79.33</v>
      </c>
      <c r="M107" s="601"/>
      <c r="N107" s="570"/>
      <c r="AB107" s="537" t="s">
        <v>327</v>
      </c>
    </row>
    <row r="108" spans="1:30" s="536" customFormat="1" ht="33.75" x14ac:dyDescent="0.2">
      <c r="A108" s="575" t="s">
        <v>8170</v>
      </c>
      <c r="B108" s="657" t="s">
        <v>8171</v>
      </c>
      <c r="C108" s="1823" t="s">
        <v>8172</v>
      </c>
      <c r="D108" s="1823"/>
      <c r="E108" s="1823"/>
      <c r="F108" s="573" t="s">
        <v>628</v>
      </c>
      <c r="G108" s="573"/>
      <c r="H108" s="573"/>
      <c r="I108" s="573" t="s">
        <v>186</v>
      </c>
      <c r="J108" s="572">
        <v>638.82000000000005</v>
      </c>
      <c r="K108" s="573" t="s">
        <v>629</v>
      </c>
      <c r="L108" s="572">
        <v>281.7</v>
      </c>
      <c r="M108" s="571">
        <v>4.59</v>
      </c>
      <c r="N108" s="570">
        <v>1293</v>
      </c>
      <c r="W108" s="537" t="s">
        <v>8172</v>
      </c>
    </row>
    <row r="109" spans="1:30" s="536" customFormat="1" x14ac:dyDescent="0.2">
      <c r="A109" s="569"/>
      <c r="B109" s="656"/>
      <c r="C109" s="661" t="s">
        <v>630</v>
      </c>
      <c r="D109" s="662"/>
      <c r="E109" s="662"/>
      <c r="F109" s="563"/>
      <c r="G109" s="563"/>
      <c r="H109" s="563"/>
      <c r="I109" s="563"/>
      <c r="J109" s="566"/>
      <c r="K109" s="563"/>
      <c r="L109" s="566"/>
      <c r="M109" s="565"/>
      <c r="N109" s="564"/>
    </row>
    <row r="110" spans="1:30" s="536" customFormat="1" ht="22.5" x14ac:dyDescent="0.2">
      <c r="A110" s="609"/>
      <c r="B110" s="552" t="s">
        <v>631</v>
      </c>
      <c r="C110" s="1822" t="s">
        <v>632</v>
      </c>
      <c r="D110" s="1822"/>
      <c r="E110" s="1822"/>
      <c r="F110" s="1822"/>
      <c r="G110" s="1822"/>
      <c r="H110" s="1822"/>
      <c r="I110" s="1822"/>
      <c r="J110" s="1822"/>
      <c r="K110" s="1822"/>
      <c r="L110" s="1822"/>
      <c r="M110" s="1822"/>
      <c r="N110" s="1827"/>
      <c r="X110" s="537" t="s">
        <v>632</v>
      </c>
    </row>
    <row r="111" spans="1:30" s="536" customFormat="1" ht="33.75" x14ac:dyDescent="0.2">
      <c r="A111" s="575" t="s">
        <v>198</v>
      </c>
      <c r="B111" s="657" t="s">
        <v>3067</v>
      </c>
      <c r="C111" s="1823" t="s">
        <v>3068</v>
      </c>
      <c r="D111" s="1823"/>
      <c r="E111" s="1823"/>
      <c r="F111" s="573" t="s">
        <v>617</v>
      </c>
      <c r="G111" s="573"/>
      <c r="H111" s="573"/>
      <c r="I111" s="573" t="s">
        <v>187</v>
      </c>
      <c r="J111" s="572"/>
      <c r="K111" s="573"/>
      <c r="L111" s="572"/>
      <c r="M111" s="571"/>
      <c r="N111" s="570"/>
      <c r="W111" s="537" t="s">
        <v>3068</v>
      </c>
    </row>
    <row r="112" spans="1:30" s="536" customFormat="1" x14ac:dyDescent="0.2">
      <c r="A112" s="676"/>
      <c r="B112" s="655"/>
      <c r="C112" s="1822" t="s">
        <v>8173</v>
      </c>
      <c r="D112" s="1822"/>
      <c r="E112" s="1822"/>
      <c r="F112" s="1822"/>
      <c r="G112" s="1822"/>
      <c r="H112" s="1822"/>
      <c r="I112" s="1822"/>
      <c r="J112" s="1822"/>
      <c r="K112" s="1822"/>
      <c r="L112" s="1822"/>
      <c r="M112" s="1822"/>
      <c r="N112" s="1827"/>
      <c r="AD112" s="537" t="s">
        <v>8173</v>
      </c>
    </row>
    <row r="113" spans="1:28" s="536" customFormat="1" ht="33.75" x14ac:dyDescent="0.2">
      <c r="A113" s="609"/>
      <c r="B113" s="552" t="s">
        <v>310</v>
      </c>
      <c r="C113" s="1822" t="s">
        <v>311</v>
      </c>
      <c r="D113" s="1822"/>
      <c r="E113" s="1822"/>
      <c r="F113" s="1822"/>
      <c r="G113" s="1822"/>
      <c r="H113" s="1822"/>
      <c r="I113" s="1822"/>
      <c r="J113" s="1822"/>
      <c r="K113" s="1822"/>
      <c r="L113" s="1822"/>
      <c r="M113" s="1822"/>
      <c r="N113" s="1827"/>
      <c r="X113" s="537" t="s">
        <v>311</v>
      </c>
    </row>
    <row r="114" spans="1:28" s="536" customFormat="1" x14ac:dyDescent="0.2">
      <c r="A114" s="605"/>
      <c r="B114" s="552" t="s">
        <v>185</v>
      </c>
      <c r="C114" s="1822" t="s">
        <v>312</v>
      </c>
      <c r="D114" s="1822"/>
      <c r="E114" s="1822"/>
      <c r="F114" s="562"/>
      <c r="G114" s="562"/>
      <c r="H114" s="562"/>
      <c r="I114" s="562"/>
      <c r="J114" s="604">
        <v>72.430000000000007</v>
      </c>
      <c r="K114" s="562" t="s">
        <v>313</v>
      </c>
      <c r="L114" s="604">
        <v>271.61</v>
      </c>
      <c r="M114" s="603"/>
      <c r="N114" s="602"/>
      <c r="Y114" s="537" t="s">
        <v>312</v>
      </c>
    </row>
    <row r="115" spans="1:28" s="536" customFormat="1" x14ac:dyDescent="0.2">
      <c r="A115" s="605"/>
      <c r="B115" s="552" t="s">
        <v>188</v>
      </c>
      <c r="C115" s="1822" t="s">
        <v>475</v>
      </c>
      <c r="D115" s="1822"/>
      <c r="E115" s="1822"/>
      <c r="F115" s="562"/>
      <c r="G115" s="562"/>
      <c r="H115" s="562"/>
      <c r="I115" s="562"/>
      <c r="J115" s="604">
        <v>8.8800000000000008</v>
      </c>
      <c r="K115" s="562"/>
      <c r="L115" s="604">
        <v>26.64</v>
      </c>
      <c r="M115" s="603"/>
      <c r="N115" s="602"/>
      <c r="Y115" s="537" t="s">
        <v>475</v>
      </c>
    </row>
    <row r="116" spans="1:28" s="536" customFormat="1" x14ac:dyDescent="0.2">
      <c r="A116" s="605"/>
      <c r="B116" s="552"/>
      <c r="C116" s="1822" t="s">
        <v>314</v>
      </c>
      <c r="D116" s="1822"/>
      <c r="E116" s="1822"/>
      <c r="F116" s="562" t="s">
        <v>315</v>
      </c>
      <c r="G116" s="562" t="s">
        <v>3069</v>
      </c>
      <c r="H116" s="562" t="s">
        <v>313</v>
      </c>
      <c r="I116" s="562" t="s">
        <v>917</v>
      </c>
      <c r="J116" s="604"/>
      <c r="K116" s="562"/>
      <c r="L116" s="604"/>
      <c r="M116" s="603"/>
      <c r="N116" s="602"/>
      <c r="Z116" s="537" t="s">
        <v>314</v>
      </c>
    </row>
    <row r="117" spans="1:28" s="536" customFormat="1" x14ac:dyDescent="0.2">
      <c r="A117" s="605"/>
      <c r="B117" s="552"/>
      <c r="C117" s="1828" t="s">
        <v>318</v>
      </c>
      <c r="D117" s="1828"/>
      <c r="E117" s="1828"/>
      <c r="F117" s="608"/>
      <c r="G117" s="608"/>
      <c r="H117" s="608"/>
      <c r="I117" s="608"/>
      <c r="J117" s="607">
        <v>81.31</v>
      </c>
      <c r="K117" s="608"/>
      <c r="L117" s="607">
        <v>298.25</v>
      </c>
      <c r="M117" s="601"/>
      <c r="N117" s="606"/>
      <c r="AA117" s="537" t="s">
        <v>318</v>
      </c>
    </row>
    <row r="118" spans="1:28" s="536" customFormat="1" x14ac:dyDescent="0.2">
      <c r="A118" s="605"/>
      <c r="B118" s="552"/>
      <c r="C118" s="1822" t="s">
        <v>319</v>
      </c>
      <c r="D118" s="1822"/>
      <c r="E118" s="1822"/>
      <c r="F118" s="562"/>
      <c r="G118" s="562"/>
      <c r="H118" s="562"/>
      <c r="I118" s="562"/>
      <c r="J118" s="604"/>
      <c r="K118" s="562"/>
      <c r="L118" s="604">
        <v>271.61</v>
      </c>
      <c r="M118" s="603"/>
      <c r="N118" s="602"/>
      <c r="Z118" s="537" t="s">
        <v>319</v>
      </c>
    </row>
    <row r="119" spans="1:28" s="536" customFormat="1" ht="33.75" x14ac:dyDescent="0.2">
      <c r="A119" s="605"/>
      <c r="B119" s="552" t="s">
        <v>884</v>
      </c>
      <c r="C119" s="1822" t="s">
        <v>885</v>
      </c>
      <c r="D119" s="1822"/>
      <c r="E119" s="1822"/>
      <c r="F119" s="562" t="s">
        <v>322</v>
      </c>
      <c r="G119" s="562" t="s">
        <v>886</v>
      </c>
      <c r="H119" s="562"/>
      <c r="I119" s="562" t="s">
        <v>886</v>
      </c>
      <c r="J119" s="604"/>
      <c r="K119" s="562"/>
      <c r="L119" s="604">
        <v>244.45</v>
      </c>
      <c r="M119" s="603"/>
      <c r="N119" s="602"/>
      <c r="Z119" s="537" t="s">
        <v>885</v>
      </c>
    </row>
    <row r="120" spans="1:28" s="536" customFormat="1" ht="33.75" x14ac:dyDescent="0.2">
      <c r="A120" s="605"/>
      <c r="B120" s="552" t="s">
        <v>887</v>
      </c>
      <c r="C120" s="1822" t="s">
        <v>888</v>
      </c>
      <c r="D120" s="1822"/>
      <c r="E120" s="1822"/>
      <c r="F120" s="562" t="s">
        <v>322</v>
      </c>
      <c r="G120" s="562" t="s">
        <v>465</v>
      </c>
      <c r="H120" s="562"/>
      <c r="I120" s="562" t="s">
        <v>465</v>
      </c>
      <c r="J120" s="604"/>
      <c r="K120" s="562"/>
      <c r="L120" s="604">
        <v>124.94</v>
      </c>
      <c r="M120" s="603"/>
      <c r="N120" s="602"/>
      <c r="Z120" s="537" t="s">
        <v>888</v>
      </c>
    </row>
    <row r="121" spans="1:28" s="536" customFormat="1" x14ac:dyDescent="0.2">
      <c r="A121" s="569"/>
      <c r="B121" s="656"/>
      <c r="C121" s="1823" t="s">
        <v>327</v>
      </c>
      <c r="D121" s="1823"/>
      <c r="E121" s="1823"/>
      <c r="F121" s="573"/>
      <c r="G121" s="573"/>
      <c r="H121" s="573"/>
      <c r="I121" s="573"/>
      <c r="J121" s="572"/>
      <c r="K121" s="573"/>
      <c r="L121" s="572">
        <v>667.64</v>
      </c>
      <c r="M121" s="601"/>
      <c r="N121" s="570"/>
      <c r="AB121" s="537" t="s">
        <v>327</v>
      </c>
    </row>
    <row r="122" spans="1:28" s="536" customFormat="1" ht="33.75" x14ac:dyDescent="0.2">
      <c r="A122" s="575" t="s">
        <v>3164</v>
      </c>
      <c r="B122" s="657" t="s">
        <v>3144</v>
      </c>
      <c r="C122" s="1823" t="s">
        <v>3145</v>
      </c>
      <c r="D122" s="1823"/>
      <c r="E122" s="1823"/>
      <c r="F122" s="573" t="s">
        <v>628</v>
      </c>
      <c r="G122" s="573"/>
      <c r="H122" s="573"/>
      <c r="I122" s="573" t="s">
        <v>185</v>
      </c>
      <c r="J122" s="572">
        <v>2035.55</v>
      </c>
      <c r="K122" s="573" t="s">
        <v>629</v>
      </c>
      <c r="L122" s="572">
        <v>448.8</v>
      </c>
      <c r="M122" s="571">
        <v>4.59</v>
      </c>
      <c r="N122" s="570">
        <v>2060</v>
      </c>
      <c r="W122" s="537" t="s">
        <v>3145</v>
      </c>
    </row>
    <row r="123" spans="1:28" s="536" customFormat="1" x14ac:dyDescent="0.2">
      <c r="A123" s="569"/>
      <c r="B123" s="656"/>
      <c r="C123" s="661" t="s">
        <v>630</v>
      </c>
      <c r="D123" s="662"/>
      <c r="E123" s="662"/>
      <c r="F123" s="563"/>
      <c r="G123" s="563"/>
      <c r="H123" s="563"/>
      <c r="I123" s="563"/>
      <c r="J123" s="566"/>
      <c r="K123" s="563"/>
      <c r="L123" s="566"/>
      <c r="M123" s="565"/>
      <c r="N123" s="564"/>
    </row>
    <row r="124" spans="1:28" s="536" customFormat="1" ht="22.5" x14ac:dyDescent="0.2">
      <c r="A124" s="609"/>
      <c r="B124" s="552" t="s">
        <v>631</v>
      </c>
      <c r="C124" s="1822" t="s">
        <v>632</v>
      </c>
      <c r="D124" s="1822"/>
      <c r="E124" s="1822"/>
      <c r="F124" s="1822"/>
      <c r="G124" s="1822"/>
      <c r="H124" s="1822"/>
      <c r="I124" s="1822"/>
      <c r="J124" s="1822"/>
      <c r="K124" s="1822"/>
      <c r="L124" s="1822"/>
      <c r="M124" s="1822"/>
      <c r="N124" s="1827"/>
      <c r="X124" s="537" t="s">
        <v>632</v>
      </c>
    </row>
    <row r="125" spans="1:28" s="536" customFormat="1" ht="22.5" x14ac:dyDescent="0.2">
      <c r="A125" s="575" t="s">
        <v>898</v>
      </c>
      <c r="B125" s="657" t="s">
        <v>3070</v>
      </c>
      <c r="C125" s="1823" t="s">
        <v>3071</v>
      </c>
      <c r="D125" s="1823"/>
      <c r="E125" s="1823"/>
      <c r="F125" s="573" t="s">
        <v>617</v>
      </c>
      <c r="G125" s="573"/>
      <c r="H125" s="573"/>
      <c r="I125" s="573" t="s">
        <v>186</v>
      </c>
      <c r="J125" s="572">
        <v>243.85</v>
      </c>
      <c r="K125" s="573"/>
      <c r="L125" s="572">
        <v>487.7</v>
      </c>
      <c r="M125" s="571"/>
      <c r="N125" s="570"/>
      <c r="W125" s="537" t="s">
        <v>3071</v>
      </c>
    </row>
    <row r="126" spans="1:28" s="536" customFormat="1" x14ac:dyDescent="0.2">
      <c r="A126" s="569"/>
      <c r="B126" s="656"/>
      <c r="C126" s="661" t="s">
        <v>2222</v>
      </c>
      <c r="D126" s="662"/>
      <c r="E126" s="662"/>
      <c r="F126" s="563"/>
      <c r="G126" s="563"/>
      <c r="H126" s="563"/>
      <c r="I126" s="563"/>
      <c r="J126" s="566"/>
      <c r="K126" s="563"/>
      <c r="L126" s="566"/>
      <c r="M126" s="565"/>
      <c r="N126" s="564"/>
    </row>
    <row r="127" spans="1:28" s="536" customFormat="1" ht="22.5" x14ac:dyDescent="0.2">
      <c r="A127" s="575" t="s">
        <v>425</v>
      </c>
      <c r="B127" s="657" t="s">
        <v>3146</v>
      </c>
      <c r="C127" s="1823" t="s">
        <v>3147</v>
      </c>
      <c r="D127" s="1823"/>
      <c r="E127" s="1823"/>
      <c r="F127" s="573" t="s">
        <v>617</v>
      </c>
      <c r="G127" s="573"/>
      <c r="H127" s="573"/>
      <c r="I127" s="573" t="s">
        <v>185</v>
      </c>
      <c r="J127" s="572"/>
      <c r="K127" s="573"/>
      <c r="L127" s="572"/>
      <c r="M127" s="571"/>
      <c r="N127" s="570"/>
      <c r="W127" s="537" t="s">
        <v>3147</v>
      </c>
    </row>
    <row r="128" spans="1:28" s="536" customFormat="1" ht="33.75" x14ac:dyDescent="0.2">
      <c r="A128" s="609"/>
      <c r="B128" s="552" t="s">
        <v>310</v>
      </c>
      <c r="C128" s="1822" t="s">
        <v>311</v>
      </c>
      <c r="D128" s="1822"/>
      <c r="E128" s="1822"/>
      <c r="F128" s="1822"/>
      <c r="G128" s="1822"/>
      <c r="H128" s="1822"/>
      <c r="I128" s="1822"/>
      <c r="J128" s="1822"/>
      <c r="K128" s="1822"/>
      <c r="L128" s="1822"/>
      <c r="M128" s="1822"/>
      <c r="N128" s="1827"/>
      <c r="X128" s="537" t="s">
        <v>311</v>
      </c>
    </row>
    <row r="129" spans="1:30" s="536" customFormat="1" x14ac:dyDescent="0.2">
      <c r="A129" s="605"/>
      <c r="B129" s="552" t="s">
        <v>185</v>
      </c>
      <c r="C129" s="1822" t="s">
        <v>312</v>
      </c>
      <c r="D129" s="1822"/>
      <c r="E129" s="1822"/>
      <c r="F129" s="562"/>
      <c r="G129" s="562"/>
      <c r="H129" s="562"/>
      <c r="I129" s="562"/>
      <c r="J129" s="604">
        <v>17.059999999999999</v>
      </c>
      <c r="K129" s="562" t="s">
        <v>313</v>
      </c>
      <c r="L129" s="604">
        <v>21.33</v>
      </c>
      <c r="M129" s="603"/>
      <c r="N129" s="602"/>
      <c r="Y129" s="537" t="s">
        <v>312</v>
      </c>
    </row>
    <row r="130" spans="1:30" s="536" customFormat="1" x14ac:dyDescent="0.2">
      <c r="A130" s="605"/>
      <c r="B130" s="552" t="s">
        <v>188</v>
      </c>
      <c r="C130" s="1822" t="s">
        <v>475</v>
      </c>
      <c r="D130" s="1822"/>
      <c r="E130" s="1822"/>
      <c r="F130" s="562"/>
      <c r="G130" s="562"/>
      <c r="H130" s="562"/>
      <c r="I130" s="562"/>
      <c r="J130" s="604">
        <v>0.34</v>
      </c>
      <c r="K130" s="562"/>
      <c r="L130" s="604">
        <v>0.34</v>
      </c>
      <c r="M130" s="603"/>
      <c r="N130" s="602"/>
      <c r="Y130" s="537" t="s">
        <v>475</v>
      </c>
    </row>
    <row r="131" spans="1:30" s="536" customFormat="1" x14ac:dyDescent="0.2">
      <c r="A131" s="605"/>
      <c r="B131" s="552"/>
      <c r="C131" s="1822" t="s">
        <v>314</v>
      </c>
      <c r="D131" s="1822"/>
      <c r="E131" s="1822"/>
      <c r="F131" s="562" t="s">
        <v>315</v>
      </c>
      <c r="G131" s="562" t="s">
        <v>186</v>
      </c>
      <c r="H131" s="562" t="s">
        <v>313</v>
      </c>
      <c r="I131" s="562" t="s">
        <v>722</v>
      </c>
      <c r="J131" s="604"/>
      <c r="K131" s="562"/>
      <c r="L131" s="604"/>
      <c r="M131" s="603"/>
      <c r="N131" s="602"/>
      <c r="Z131" s="537" t="s">
        <v>314</v>
      </c>
    </row>
    <row r="132" spans="1:30" s="536" customFormat="1" x14ac:dyDescent="0.2">
      <c r="A132" s="605"/>
      <c r="B132" s="552"/>
      <c r="C132" s="1828" t="s">
        <v>318</v>
      </c>
      <c r="D132" s="1828"/>
      <c r="E132" s="1828"/>
      <c r="F132" s="608"/>
      <c r="G132" s="608"/>
      <c r="H132" s="608"/>
      <c r="I132" s="608"/>
      <c r="J132" s="607">
        <v>17.399999999999999</v>
      </c>
      <c r="K132" s="608"/>
      <c r="L132" s="607">
        <v>21.67</v>
      </c>
      <c r="M132" s="601"/>
      <c r="N132" s="606"/>
      <c r="AA132" s="537" t="s">
        <v>318</v>
      </c>
    </row>
    <row r="133" spans="1:30" s="536" customFormat="1" x14ac:dyDescent="0.2">
      <c r="A133" s="605"/>
      <c r="B133" s="552"/>
      <c r="C133" s="1822" t="s">
        <v>319</v>
      </c>
      <c r="D133" s="1822"/>
      <c r="E133" s="1822"/>
      <c r="F133" s="562"/>
      <c r="G133" s="562"/>
      <c r="H133" s="562"/>
      <c r="I133" s="562"/>
      <c r="J133" s="604"/>
      <c r="K133" s="562"/>
      <c r="L133" s="604">
        <v>21.33</v>
      </c>
      <c r="M133" s="603"/>
      <c r="N133" s="602"/>
      <c r="Z133" s="537" t="s">
        <v>319</v>
      </c>
    </row>
    <row r="134" spans="1:30" s="536" customFormat="1" ht="33.75" x14ac:dyDescent="0.2">
      <c r="A134" s="605"/>
      <c r="B134" s="552" t="s">
        <v>884</v>
      </c>
      <c r="C134" s="1822" t="s">
        <v>885</v>
      </c>
      <c r="D134" s="1822"/>
      <c r="E134" s="1822"/>
      <c r="F134" s="562" t="s">
        <v>322</v>
      </c>
      <c r="G134" s="562" t="s">
        <v>886</v>
      </c>
      <c r="H134" s="562"/>
      <c r="I134" s="562" t="s">
        <v>886</v>
      </c>
      <c r="J134" s="604"/>
      <c r="K134" s="562"/>
      <c r="L134" s="604">
        <v>19.2</v>
      </c>
      <c r="M134" s="603"/>
      <c r="N134" s="602"/>
      <c r="Z134" s="537" t="s">
        <v>885</v>
      </c>
    </row>
    <row r="135" spans="1:30" s="536" customFormat="1" ht="33.75" x14ac:dyDescent="0.2">
      <c r="A135" s="605"/>
      <c r="B135" s="552" t="s">
        <v>887</v>
      </c>
      <c r="C135" s="1822" t="s">
        <v>888</v>
      </c>
      <c r="D135" s="1822"/>
      <c r="E135" s="1822"/>
      <c r="F135" s="562" t="s">
        <v>322</v>
      </c>
      <c r="G135" s="562" t="s">
        <v>465</v>
      </c>
      <c r="H135" s="562"/>
      <c r="I135" s="562" t="s">
        <v>465</v>
      </c>
      <c r="J135" s="604"/>
      <c r="K135" s="562"/>
      <c r="L135" s="604">
        <v>9.81</v>
      </c>
      <c r="M135" s="603"/>
      <c r="N135" s="602"/>
      <c r="Z135" s="537" t="s">
        <v>888</v>
      </c>
    </row>
    <row r="136" spans="1:30" s="536" customFormat="1" x14ac:dyDescent="0.2">
      <c r="A136" s="569"/>
      <c r="B136" s="656"/>
      <c r="C136" s="1823" t="s">
        <v>327</v>
      </c>
      <c r="D136" s="1823"/>
      <c r="E136" s="1823"/>
      <c r="F136" s="573"/>
      <c r="G136" s="573"/>
      <c r="H136" s="573"/>
      <c r="I136" s="573"/>
      <c r="J136" s="572"/>
      <c r="K136" s="573"/>
      <c r="L136" s="572">
        <v>50.68</v>
      </c>
      <c r="M136" s="601"/>
      <c r="N136" s="570"/>
      <c r="AB136" s="537" t="s">
        <v>327</v>
      </c>
    </row>
    <row r="137" spans="1:30" s="536" customFormat="1" ht="33.75" x14ac:dyDescent="0.2">
      <c r="A137" s="575" t="s">
        <v>723</v>
      </c>
      <c r="B137" s="657" t="s">
        <v>8174</v>
      </c>
      <c r="C137" s="1823" t="s">
        <v>8175</v>
      </c>
      <c r="D137" s="1823"/>
      <c r="E137" s="1823"/>
      <c r="F137" s="573" t="s">
        <v>628</v>
      </c>
      <c r="G137" s="573"/>
      <c r="H137" s="573"/>
      <c r="I137" s="573" t="s">
        <v>185</v>
      </c>
      <c r="J137" s="572">
        <v>694.79</v>
      </c>
      <c r="K137" s="573" t="s">
        <v>629</v>
      </c>
      <c r="L137" s="572">
        <v>153.16</v>
      </c>
      <c r="M137" s="571">
        <v>4.59</v>
      </c>
      <c r="N137" s="570">
        <v>703</v>
      </c>
      <c r="W137" s="537" t="s">
        <v>8175</v>
      </c>
    </row>
    <row r="138" spans="1:30" s="536" customFormat="1" x14ac:dyDescent="0.2">
      <c r="A138" s="569"/>
      <c r="B138" s="656"/>
      <c r="C138" s="661" t="s">
        <v>630</v>
      </c>
      <c r="D138" s="662"/>
      <c r="E138" s="662"/>
      <c r="F138" s="563"/>
      <c r="G138" s="563"/>
      <c r="H138" s="563"/>
      <c r="I138" s="563"/>
      <c r="J138" s="566"/>
      <c r="K138" s="563"/>
      <c r="L138" s="566"/>
      <c r="M138" s="565"/>
      <c r="N138" s="564"/>
    </row>
    <row r="139" spans="1:30" s="536" customFormat="1" ht="22.5" x14ac:dyDescent="0.2">
      <c r="A139" s="609"/>
      <c r="B139" s="552" t="s">
        <v>631</v>
      </c>
      <c r="C139" s="1822" t="s">
        <v>632</v>
      </c>
      <c r="D139" s="1822"/>
      <c r="E139" s="1822"/>
      <c r="F139" s="1822"/>
      <c r="G139" s="1822"/>
      <c r="H139" s="1822"/>
      <c r="I139" s="1822"/>
      <c r="J139" s="1822"/>
      <c r="K139" s="1822"/>
      <c r="L139" s="1822"/>
      <c r="M139" s="1822"/>
      <c r="N139" s="1827"/>
      <c r="X139" s="537" t="s">
        <v>632</v>
      </c>
    </row>
    <row r="140" spans="1:30" s="536" customFormat="1" ht="33.75" x14ac:dyDescent="0.2">
      <c r="A140" s="575" t="s">
        <v>907</v>
      </c>
      <c r="B140" s="657" t="s">
        <v>3148</v>
      </c>
      <c r="C140" s="1823" t="s">
        <v>3149</v>
      </c>
      <c r="D140" s="1823"/>
      <c r="E140" s="1823"/>
      <c r="F140" s="573" t="s">
        <v>628</v>
      </c>
      <c r="G140" s="573"/>
      <c r="H140" s="573"/>
      <c r="I140" s="573" t="s">
        <v>185</v>
      </c>
      <c r="J140" s="572">
        <v>58452.03</v>
      </c>
      <c r="K140" s="573" t="s">
        <v>629</v>
      </c>
      <c r="L140" s="572">
        <v>12887.36</v>
      </c>
      <c r="M140" s="571">
        <v>4.59</v>
      </c>
      <c r="N140" s="570">
        <v>59153</v>
      </c>
      <c r="W140" s="537" t="s">
        <v>3149</v>
      </c>
    </row>
    <row r="141" spans="1:30" s="536" customFormat="1" x14ac:dyDescent="0.2">
      <c r="A141" s="569"/>
      <c r="B141" s="656"/>
      <c r="C141" s="661" t="s">
        <v>630</v>
      </c>
      <c r="D141" s="662"/>
      <c r="E141" s="662"/>
      <c r="F141" s="563"/>
      <c r="G141" s="563"/>
      <c r="H141" s="563"/>
      <c r="I141" s="563"/>
      <c r="J141" s="566"/>
      <c r="K141" s="563"/>
      <c r="L141" s="566"/>
      <c r="M141" s="565"/>
      <c r="N141" s="564"/>
    </row>
    <row r="142" spans="1:30" s="536" customFormat="1" ht="22.5" x14ac:dyDescent="0.2">
      <c r="A142" s="609"/>
      <c r="B142" s="552" t="s">
        <v>631</v>
      </c>
      <c r="C142" s="1822" t="s">
        <v>632</v>
      </c>
      <c r="D142" s="1822"/>
      <c r="E142" s="1822"/>
      <c r="F142" s="1822"/>
      <c r="G142" s="1822"/>
      <c r="H142" s="1822"/>
      <c r="I142" s="1822"/>
      <c r="J142" s="1822"/>
      <c r="K142" s="1822"/>
      <c r="L142" s="1822"/>
      <c r="M142" s="1822"/>
      <c r="N142" s="1827"/>
      <c r="X142" s="537" t="s">
        <v>632</v>
      </c>
    </row>
    <row r="143" spans="1:30" s="536" customFormat="1" ht="22.5" x14ac:dyDescent="0.2">
      <c r="A143" s="575" t="s">
        <v>733</v>
      </c>
      <c r="B143" s="657" t="s">
        <v>3150</v>
      </c>
      <c r="C143" s="1823" t="s">
        <v>3151</v>
      </c>
      <c r="D143" s="1823"/>
      <c r="E143" s="1823"/>
      <c r="F143" s="573" t="s">
        <v>617</v>
      </c>
      <c r="G143" s="573"/>
      <c r="H143" s="573"/>
      <c r="I143" s="573" t="s">
        <v>186</v>
      </c>
      <c r="J143" s="572"/>
      <c r="K143" s="573"/>
      <c r="L143" s="572"/>
      <c r="M143" s="571"/>
      <c r="N143" s="570"/>
      <c r="W143" s="537" t="s">
        <v>3151</v>
      </c>
    </row>
    <row r="144" spans="1:30" s="536" customFormat="1" x14ac:dyDescent="0.2">
      <c r="A144" s="676"/>
      <c r="B144" s="655"/>
      <c r="C144" s="1822" t="s">
        <v>946</v>
      </c>
      <c r="D144" s="1822"/>
      <c r="E144" s="1822"/>
      <c r="F144" s="1822"/>
      <c r="G144" s="1822"/>
      <c r="H144" s="1822"/>
      <c r="I144" s="1822"/>
      <c r="J144" s="1822"/>
      <c r="K144" s="1822"/>
      <c r="L144" s="1822"/>
      <c r="M144" s="1822"/>
      <c r="N144" s="1827"/>
      <c r="AD144" s="537" t="s">
        <v>946</v>
      </c>
    </row>
    <row r="145" spans="1:28" s="536" customFormat="1" ht="33.75" x14ac:dyDescent="0.2">
      <c r="A145" s="609"/>
      <c r="B145" s="552" t="s">
        <v>310</v>
      </c>
      <c r="C145" s="1822" t="s">
        <v>311</v>
      </c>
      <c r="D145" s="1822"/>
      <c r="E145" s="1822"/>
      <c r="F145" s="1822"/>
      <c r="G145" s="1822"/>
      <c r="H145" s="1822"/>
      <c r="I145" s="1822"/>
      <c r="J145" s="1822"/>
      <c r="K145" s="1822"/>
      <c r="L145" s="1822"/>
      <c r="M145" s="1822"/>
      <c r="N145" s="1827"/>
      <c r="X145" s="537" t="s">
        <v>311</v>
      </c>
    </row>
    <row r="146" spans="1:28" s="536" customFormat="1" x14ac:dyDescent="0.2">
      <c r="A146" s="605"/>
      <c r="B146" s="552" t="s">
        <v>185</v>
      </c>
      <c r="C146" s="1822" t="s">
        <v>312</v>
      </c>
      <c r="D146" s="1822"/>
      <c r="E146" s="1822"/>
      <c r="F146" s="562"/>
      <c r="G146" s="562"/>
      <c r="H146" s="562"/>
      <c r="I146" s="562"/>
      <c r="J146" s="604">
        <v>8.9</v>
      </c>
      <c r="K146" s="562" t="s">
        <v>313</v>
      </c>
      <c r="L146" s="604">
        <v>22.25</v>
      </c>
      <c r="M146" s="603"/>
      <c r="N146" s="602"/>
      <c r="Y146" s="537" t="s">
        <v>312</v>
      </c>
    </row>
    <row r="147" spans="1:28" s="536" customFormat="1" x14ac:dyDescent="0.2">
      <c r="A147" s="605"/>
      <c r="B147" s="552" t="s">
        <v>186</v>
      </c>
      <c r="C147" s="1822" t="s">
        <v>344</v>
      </c>
      <c r="D147" s="1822"/>
      <c r="E147" s="1822"/>
      <c r="F147" s="562"/>
      <c r="G147" s="562"/>
      <c r="H147" s="562"/>
      <c r="I147" s="562"/>
      <c r="J147" s="604">
        <v>0.66</v>
      </c>
      <c r="K147" s="562" t="s">
        <v>313</v>
      </c>
      <c r="L147" s="604">
        <v>1.65</v>
      </c>
      <c r="M147" s="603"/>
      <c r="N147" s="602"/>
      <c r="Y147" s="537" t="s">
        <v>344</v>
      </c>
    </row>
    <row r="148" spans="1:28" s="536" customFormat="1" x14ac:dyDescent="0.2">
      <c r="A148" s="605"/>
      <c r="B148" s="552" t="s">
        <v>187</v>
      </c>
      <c r="C148" s="1822" t="s">
        <v>345</v>
      </c>
      <c r="D148" s="1822"/>
      <c r="E148" s="1822"/>
      <c r="F148" s="562"/>
      <c r="G148" s="562"/>
      <c r="H148" s="562"/>
      <c r="I148" s="562"/>
      <c r="J148" s="604">
        <v>0.12</v>
      </c>
      <c r="K148" s="562" t="s">
        <v>313</v>
      </c>
      <c r="L148" s="604">
        <v>0.3</v>
      </c>
      <c r="M148" s="603"/>
      <c r="N148" s="602"/>
      <c r="Y148" s="537" t="s">
        <v>345</v>
      </c>
    </row>
    <row r="149" spans="1:28" s="536" customFormat="1" x14ac:dyDescent="0.2">
      <c r="A149" s="605"/>
      <c r="B149" s="552" t="s">
        <v>188</v>
      </c>
      <c r="C149" s="1822" t="s">
        <v>475</v>
      </c>
      <c r="D149" s="1822"/>
      <c r="E149" s="1822"/>
      <c r="F149" s="562"/>
      <c r="G149" s="562"/>
      <c r="H149" s="562"/>
      <c r="I149" s="562"/>
      <c r="J149" s="604">
        <v>0.18</v>
      </c>
      <c r="K149" s="562"/>
      <c r="L149" s="604">
        <v>0.36</v>
      </c>
      <c r="M149" s="603"/>
      <c r="N149" s="602"/>
      <c r="Y149" s="537" t="s">
        <v>475</v>
      </c>
    </row>
    <row r="150" spans="1:28" s="536" customFormat="1" x14ac:dyDescent="0.2">
      <c r="A150" s="605"/>
      <c r="B150" s="552"/>
      <c r="C150" s="1822" t="s">
        <v>314</v>
      </c>
      <c r="D150" s="1822"/>
      <c r="E150" s="1822"/>
      <c r="F150" s="562" t="s">
        <v>315</v>
      </c>
      <c r="G150" s="562" t="s">
        <v>702</v>
      </c>
      <c r="H150" s="562" t="s">
        <v>313</v>
      </c>
      <c r="I150" s="562" t="s">
        <v>808</v>
      </c>
      <c r="J150" s="604"/>
      <c r="K150" s="562"/>
      <c r="L150" s="604"/>
      <c r="M150" s="603"/>
      <c r="N150" s="602"/>
      <c r="Z150" s="537" t="s">
        <v>314</v>
      </c>
    </row>
    <row r="151" spans="1:28" s="536" customFormat="1" x14ac:dyDescent="0.2">
      <c r="A151" s="605"/>
      <c r="B151" s="552"/>
      <c r="C151" s="1822" t="s">
        <v>348</v>
      </c>
      <c r="D151" s="1822"/>
      <c r="E151" s="1822"/>
      <c r="F151" s="562" t="s">
        <v>315</v>
      </c>
      <c r="G151" s="562" t="s">
        <v>809</v>
      </c>
      <c r="H151" s="562" t="s">
        <v>313</v>
      </c>
      <c r="I151" s="562" t="s">
        <v>2258</v>
      </c>
      <c r="J151" s="604"/>
      <c r="K151" s="562"/>
      <c r="L151" s="604"/>
      <c r="M151" s="603"/>
      <c r="N151" s="602"/>
      <c r="Z151" s="537" t="s">
        <v>348</v>
      </c>
    </row>
    <row r="152" spans="1:28" s="536" customFormat="1" x14ac:dyDescent="0.2">
      <c r="A152" s="605"/>
      <c r="B152" s="552"/>
      <c r="C152" s="1828" t="s">
        <v>318</v>
      </c>
      <c r="D152" s="1828"/>
      <c r="E152" s="1828"/>
      <c r="F152" s="608"/>
      <c r="G152" s="608"/>
      <c r="H152" s="608"/>
      <c r="I152" s="608"/>
      <c r="J152" s="607">
        <v>9.74</v>
      </c>
      <c r="K152" s="608"/>
      <c r="L152" s="607">
        <v>24.26</v>
      </c>
      <c r="M152" s="601"/>
      <c r="N152" s="606"/>
      <c r="AA152" s="537" t="s">
        <v>318</v>
      </c>
    </row>
    <row r="153" spans="1:28" s="536" customFormat="1" x14ac:dyDescent="0.2">
      <c r="A153" s="605"/>
      <c r="B153" s="552"/>
      <c r="C153" s="1822" t="s">
        <v>319</v>
      </c>
      <c r="D153" s="1822"/>
      <c r="E153" s="1822"/>
      <c r="F153" s="562"/>
      <c r="G153" s="562"/>
      <c r="H153" s="562"/>
      <c r="I153" s="562"/>
      <c r="J153" s="604"/>
      <c r="K153" s="562"/>
      <c r="L153" s="604">
        <v>22.55</v>
      </c>
      <c r="M153" s="603"/>
      <c r="N153" s="602"/>
      <c r="Z153" s="537" t="s">
        <v>319</v>
      </c>
    </row>
    <row r="154" spans="1:28" s="536" customFormat="1" ht="33.75" x14ac:dyDescent="0.2">
      <c r="A154" s="605"/>
      <c r="B154" s="552" t="s">
        <v>948</v>
      </c>
      <c r="C154" s="1822" t="s">
        <v>949</v>
      </c>
      <c r="D154" s="1822"/>
      <c r="E154" s="1822"/>
      <c r="F154" s="562" t="s">
        <v>322</v>
      </c>
      <c r="G154" s="562" t="s">
        <v>886</v>
      </c>
      <c r="H154" s="562"/>
      <c r="I154" s="562" t="s">
        <v>886</v>
      </c>
      <c r="J154" s="604"/>
      <c r="K154" s="562"/>
      <c r="L154" s="604">
        <v>20.3</v>
      </c>
      <c r="M154" s="603"/>
      <c r="N154" s="602"/>
      <c r="Z154" s="537" t="s">
        <v>949</v>
      </c>
    </row>
    <row r="155" spans="1:28" s="536" customFormat="1" ht="33.75" x14ac:dyDescent="0.2">
      <c r="A155" s="605"/>
      <c r="B155" s="552" t="s">
        <v>950</v>
      </c>
      <c r="C155" s="1822" t="s">
        <v>951</v>
      </c>
      <c r="D155" s="1822"/>
      <c r="E155" s="1822"/>
      <c r="F155" s="562" t="s">
        <v>322</v>
      </c>
      <c r="G155" s="562" t="s">
        <v>465</v>
      </c>
      <c r="H155" s="562"/>
      <c r="I155" s="562" t="s">
        <v>465</v>
      </c>
      <c r="J155" s="604"/>
      <c r="K155" s="562"/>
      <c r="L155" s="604">
        <v>10.37</v>
      </c>
      <c r="M155" s="603"/>
      <c r="N155" s="602"/>
      <c r="Z155" s="537" t="s">
        <v>951</v>
      </c>
    </row>
    <row r="156" spans="1:28" s="536" customFormat="1" x14ac:dyDescent="0.2">
      <c r="A156" s="569"/>
      <c r="B156" s="656"/>
      <c r="C156" s="1823" t="s">
        <v>327</v>
      </c>
      <c r="D156" s="1823"/>
      <c r="E156" s="1823"/>
      <c r="F156" s="573"/>
      <c r="G156" s="573"/>
      <c r="H156" s="573"/>
      <c r="I156" s="573"/>
      <c r="J156" s="572"/>
      <c r="K156" s="573"/>
      <c r="L156" s="572">
        <v>54.93</v>
      </c>
      <c r="M156" s="601"/>
      <c r="N156" s="570"/>
      <c r="AB156" s="537" t="s">
        <v>327</v>
      </c>
    </row>
    <row r="157" spans="1:28" s="536" customFormat="1" ht="33.75" x14ac:dyDescent="0.2">
      <c r="A157" s="575" t="s">
        <v>910</v>
      </c>
      <c r="B157" s="657" t="s">
        <v>8176</v>
      </c>
      <c r="C157" s="1823" t="s">
        <v>8177</v>
      </c>
      <c r="D157" s="1823"/>
      <c r="E157" s="1823"/>
      <c r="F157" s="573" t="s">
        <v>628</v>
      </c>
      <c r="G157" s="573"/>
      <c r="H157" s="573"/>
      <c r="I157" s="573" t="s">
        <v>185</v>
      </c>
      <c r="J157" s="572">
        <v>2911.42</v>
      </c>
      <c r="K157" s="573" t="s">
        <v>629</v>
      </c>
      <c r="L157" s="572">
        <v>641.83000000000004</v>
      </c>
      <c r="M157" s="571">
        <v>4.59</v>
      </c>
      <c r="N157" s="570">
        <v>2946</v>
      </c>
      <c r="W157" s="537" t="s">
        <v>8177</v>
      </c>
    </row>
    <row r="158" spans="1:28" s="536" customFormat="1" x14ac:dyDescent="0.2">
      <c r="A158" s="569"/>
      <c r="B158" s="656"/>
      <c r="C158" s="661" t="s">
        <v>630</v>
      </c>
      <c r="D158" s="662"/>
      <c r="E158" s="662"/>
      <c r="F158" s="563"/>
      <c r="G158" s="563"/>
      <c r="H158" s="563"/>
      <c r="I158" s="563"/>
      <c r="J158" s="566"/>
      <c r="K158" s="563"/>
      <c r="L158" s="566"/>
      <c r="M158" s="565"/>
      <c r="N158" s="564"/>
    </row>
    <row r="159" spans="1:28" s="536" customFormat="1" ht="22.5" x14ac:dyDescent="0.2">
      <c r="A159" s="609"/>
      <c r="B159" s="552" t="s">
        <v>631</v>
      </c>
      <c r="C159" s="1822" t="s">
        <v>632</v>
      </c>
      <c r="D159" s="1822"/>
      <c r="E159" s="1822"/>
      <c r="F159" s="1822"/>
      <c r="G159" s="1822"/>
      <c r="H159" s="1822"/>
      <c r="I159" s="1822"/>
      <c r="J159" s="1822"/>
      <c r="K159" s="1822"/>
      <c r="L159" s="1822"/>
      <c r="M159" s="1822"/>
      <c r="N159" s="1827"/>
      <c r="X159" s="537" t="s">
        <v>632</v>
      </c>
    </row>
    <row r="160" spans="1:28" s="536" customFormat="1" ht="33.75" x14ac:dyDescent="0.2">
      <c r="A160" s="575" t="s">
        <v>746</v>
      </c>
      <c r="B160" s="657" t="s">
        <v>8178</v>
      </c>
      <c r="C160" s="1823" t="s">
        <v>8179</v>
      </c>
      <c r="D160" s="1823"/>
      <c r="E160" s="1823"/>
      <c r="F160" s="573" t="s">
        <v>628</v>
      </c>
      <c r="G160" s="573"/>
      <c r="H160" s="573"/>
      <c r="I160" s="573" t="s">
        <v>185</v>
      </c>
      <c r="J160" s="572">
        <v>1316.43</v>
      </c>
      <c r="K160" s="573" t="s">
        <v>629</v>
      </c>
      <c r="L160" s="572">
        <v>290.2</v>
      </c>
      <c r="M160" s="571">
        <v>4.59</v>
      </c>
      <c r="N160" s="570">
        <v>1332</v>
      </c>
      <c r="W160" s="537" t="s">
        <v>8179</v>
      </c>
    </row>
    <row r="161" spans="1:30" s="536" customFormat="1" x14ac:dyDescent="0.2">
      <c r="A161" s="569"/>
      <c r="B161" s="656"/>
      <c r="C161" s="661" t="s">
        <v>630</v>
      </c>
      <c r="D161" s="662"/>
      <c r="E161" s="662"/>
      <c r="F161" s="563"/>
      <c r="G161" s="563"/>
      <c r="H161" s="563"/>
      <c r="I161" s="563"/>
      <c r="J161" s="566"/>
      <c r="K161" s="563"/>
      <c r="L161" s="566"/>
      <c r="M161" s="565"/>
      <c r="N161" s="564"/>
    </row>
    <row r="162" spans="1:30" s="536" customFormat="1" ht="22.5" x14ac:dyDescent="0.2">
      <c r="A162" s="609"/>
      <c r="B162" s="552" t="s">
        <v>631</v>
      </c>
      <c r="C162" s="1822" t="s">
        <v>632</v>
      </c>
      <c r="D162" s="1822"/>
      <c r="E162" s="1822"/>
      <c r="F162" s="1822"/>
      <c r="G162" s="1822"/>
      <c r="H162" s="1822"/>
      <c r="I162" s="1822"/>
      <c r="J162" s="1822"/>
      <c r="K162" s="1822"/>
      <c r="L162" s="1822"/>
      <c r="M162" s="1822"/>
      <c r="N162" s="1827"/>
      <c r="X162" s="537" t="s">
        <v>632</v>
      </c>
    </row>
    <row r="163" spans="1:30" s="536" customFormat="1" x14ac:dyDescent="0.2">
      <c r="A163" s="575" t="s">
        <v>912</v>
      </c>
      <c r="B163" s="657" t="s">
        <v>3087</v>
      </c>
      <c r="C163" s="1823" t="s">
        <v>3088</v>
      </c>
      <c r="D163" s="1823"/>
      <c r="E163" s="1823"/>
      <c r="F163" s="573" t="s">
        <v>1110</v>
      </c>
      <c r="G163" s="573"/>
      <c r="H163" s="573"/>
      <c r="I163" s="573" t="s">
        <v>185</v>
      </c>
      <c r="J163" s="572"/>
      <c r="K163" s="573"/>
      <c r="L163" s="572"/>
      <c r="M163" s="571"/>
      <c r="N163" s="570"/>
      <c r="W163" s="537" t="s">
        <v>3088</v>
      </c>
    </row>
    <row r="164" spans="1:30" s="536" customFormat="1" x14ac:dyDescent="0.2">
      <c r="A164" s="676"/>
      <c r="B164" s="655"/>
      <c r="C164" s="1822" t="s">
        <v>2340</v>
      </c>
      <c r="D164" s="1822"/>
      <c r="E164" s="1822"/>
      <c r="F164" s="1822"/>
      <c r="G164" s="1822"/>
      <c r="H164" s="1822"/>
      <c r="I164" s="1822"/>
      <c r="J164" s="1822"/>
      <c r="K164" s="1822"/>
      <c r="L164" s="1822"/>
      <c r="M164" s="1822"/>
      <c r="N164" s="1827"/>
      <c r="AD164" s="537" t="s">
        <v>2340</v>
      </c>
    </row>
    <row r="165" spans="1:30" s="536" customFormat="1" ht="33.75" x14ac:dyDescent="0.2">
      <c r="A165" s="609"/>
      <c r="B165" s="552" t="s">
        <v>310</v>
      </c>
      <c r="C165" s="1822" t="s">
        <v>311</v>
      </c>
      <c r="D165" s="1822"/>
      <c r="E165" s="1822"/>
      <c r="F165" s="1822"/>
      <c r="G165" s="1822"/>
      <c r="H165" s="1822"/>
      <c r="I165" s="1822"/>
      <c r="J165" s="1822"/>
      <c r="K165" s="1822"/>
      <c r="L165" s="1822"/>
      <c r="M165" s="1822"/>
      <c r="N165" s="1827"/>
      <c r="X165" s="537" t="s">
        <v>311</v>
      </c>
    </row>
    <row r="166" spans="1:30" s="536" customFormat="1" x14ac:dyDescent="0.2">
      <c r="A166" s="605"/>
      <c r="B166" s="552" t="s">
        <v>185</v>
      </c>
      <c r="C166" s="1822" t="s">
        <v>312</v>
      </c>
      <c r="D166" s="1822"/>
      <c r="E166" s="1822"/>
      <c r="F166" s="562"/>
      <c r="G166" s="562"/>
      <c r="H166" s="562"/>
      <c r="I166" s="562"/>
      <c r="J166" s="604">
        <v>154.91999999999999</v>
      </c>
      <c r="K166" s="562" t="s">
        <v>313</v>
      </c>
      <c r="L166" s="604">
        <v>193.65</v>
      </c>
      <c r="M166" s="603"/>
      <c r="N166" s="602"/>
      <c r="Y166" s="537" t="s">
        <v>312</v>
      </c>
    </row>
    <row r="167" spans="1:30" s="536" customFormat="1" x14ac:dyDescent="0.2">
      <c r="A167" s="605"/>
      <c r="B167" s="552" t="s">
        <v>186</v>
      </c>
      <c r="C167" s="1822" t="s">
        <v>344</v>
      </c>
      <c r="D167" s="1822"/>
      <c r="E167" s="1822"/>
      <c r="F167" s="562"/>
      <c r="G167" s="562"/>
      <c r="H167" s="562"/>
      <c r="I167" s="562"/>
      <c r="J167" s="604">
        <v>0.31</v>
      </c>
      <c r="K167" s="562" t="s">
        <v>313</v>
      </c>
      <c r="L167" s="604">
        <v>0.39</v>
      </c>
      <c r="M167" s="603"/>
      <c r="N167" s="602"/>
      <c r="Y167" s="537" t="s">
        <v>344</v>
      </c>
    </row>
    <row r="168" spans="1:30" s="536" customFormat="1" x14ac:dyDescent="0.2">
      <c r="A168" s="605"/>
      <c r="B168" s="552" t="s">
        <v>187</v>
      </c>
      <c r="C168" s="1822" t="s">
        <v>345</v>
      </c>
      <c r="D168" s="1822"/>
      <c r="E168" s="1822"/>
      <c r="F168" s="562"/>
      <c r="G168" s="562"/>
      <c r="H168" s="562"/>
      <c r="I168" s="562"/>
      <c r="J168" s="604">
        <v>0.14000000000000001</v>
      </c>
      <c r="K168" s="562" t="s">
        <v>313</v>
      </c>
      <c r="L168" s="604">
        <v>0.18</v>
      </c>
      <c r="M168" s="603"/>
      <c r="N168" s="602"/>
      <c r="Y168" s="537" t="s">
        <v>345</v>
      </c>
    </row>
    <row r="169" spans="1:30" s="536" customFormat="1" x14ac:dyDescent="0.2">
      <c r="A169" s="605"/>
      <c r="B169" s="552" t="s">
        <v>188</v>
      </c>
      <c r="C169" s="1822" t="s">
        <v>475</v>
      </c>
      <c r="D169" s="1822"/>
      <c r="E169" s="1822"/>
      <c r="F169" s="562"/>
      <c r="G169" s="562"/>
      <c r="H169" s="562"/>
      <c r="I169" s="562"/>
      <c r="J169" s="604">
        <v>51.53</v>
      </c>
      <c r="K169" s="562"/>
      <c r="L169" s="604">
        <v>51.53</v>
      </c>
      <c r="M169" s="603"/>
      <c r="N169" s="602"/>
      <c r="Y169" s="537" t="s">
        <v>475</v>
      </c>
    </row>
    <row r="170" spans="1:30" s="536" customFormat="1" x14ac:dyDescent="0.2">
      <c r="A170" s="605"/>
      <c r="B170" s="552"/>
      <c r="C170" s="1822" t="s">
        <v>314</v>
      </c>
      <c r="D170" s="1822"/>
      <c r="E170" s="1822"/>
      <c r="F170" s="562" t="s">
        <v>315</v>
      </c>
      <c r="G170" s="562" t="s">
        <v>3090</v>
      </c>
      <c r="H170" s="562" t="s">
        <v>313</v>
      </c>
      <c r="I170" s="562" t="s">
        <v>3152</v>
      </c>
      <c r="J170" s="604"/>
      <c r="K170" s="562"/>
      <c r="L170" s="604"/>
      <c r="M170" s="603"/>
      <c r="N170" s="602"/>
      <c r="Z170" s="537" t="s">
        <v>314</v>
      </c>
    </row>
    <row r="171" spans="1:30" s="536" customFormat="1" x14ac:dyDescent="0.2">
      <c r="A171" s="605"/>
      <c r="B171" s="552"/>
      <c r="C171" s="1822" t="s">
        <v>348</v>
      </c>
      <c r="D171" s="1822"/>
      <c r="E171" s="1822"/>
      <c r="F171" s="562" t="s">
        <v>315</v>
      </c>
      <c r="G171" s="562" t="s">
        <v>809</v>
      </c>
      <c r="H171" s="562" t="s">
        <v>313</v>
      </c>
      <c r="I171" s="562" t="s">
        <v>810</v>
      </c>
      <c r="J171" s="604"/>
      <c r="K171" s="562"/>
      <c r="L171" s="604"/>
      <c r="M171" s="603"/>
      <c r="N171" s="602"/>
      <c r="Z171" s="537" t="s">
        <v>348</v>
      </c>
    </row>
    <row r="172" spans="1:30" s="536" customFormat="1" x14ac:dyDescent="0.2">
      <c r="A172" s="605"/>
      <c r="B172" s="552"/>
      <c r="C172" s="1828" t="s">
        <v>318</v>
      </c>
      <c r="D172" s="1828"/>
      <c r="E172" s="1828"/>
      <c r="F172" s="608"/>
      <c r="G172" s="608"/>
      <c r="H172" s="608"/>
      <c r="I172" s="608"/>
      <c r="J172" s="607">
        <v>206.76</v>
      </c>
      <c r="K172" s="608"/>
      <c r="L172" s="607">
        <v>245.57</v>
      </c>
      <c r="M172" s="601"/>
      <c r="N172" s="606"/>
      <c r="AA172" s="537" t="s">
        <v>318</v>
      </c>
    </row>
    <row r="173" spans="1:30" s="536" customFormat="1" x14ac:dyDescent="0.2">
      <c r="A173" s="605"/>
      <c r="B173" s="552"/>
      <c r="C173" s="1822" t="s">
        <v>319</v>
      </c>
      <c r="D173" s="1822"/>
      <c r="E173" s="1822"/>
      <c r="F173" s="562"/>
      <c r="G173" s="562"/>
      <c r="H173" s="562"/>
      <c r="I173" s="562"/>
      <c r="J173" s="604"/>
      <c r="K173" s="562"/>
      <c r="L173" s="604">
        <v>193.83</v>
      </c>
      <c r="M173" s="603"/>
      <c r="N173" s="602"/>
      <c r="Z173" s="537" t="s">
        <v>319</v>
      </c>
    </row>
    <row r="174" spans="1:30" s="536" customFormat="1" ht="33.75" x14ac:dyDescent="0.2">
      <c r="A174" s="605"/>
      <c r="B174" s="552" t="s">
        <v>1631</v>
      </c>
      <c r="C174" s="1822" t="s">
        <v>1632</v>
      </c>
      <c r="D174" s="1822"/>
      <c r="E174" s="1822"/>
      <c r="F174" s="562" t="s">
        <v>322</v>
      </c>
      <c r="G174" s="562" t="s">
        <v>1633</v>
      </c>
      <c r="H174" s="562"/>
      <c r="I174" s="562" t="s">
        <v>1633</v>
      </c>
      <c r="J174" s="604"/>
      <c r="K174" s="562"/>
      <c r="L174" s="604">
        <v>188.02</v>
      </c>
      <c r="M174" s="603"/>
      <c r="N174" s="602"/>
      <c r="Z174" s="537" t="s">
        <v>1632</v>
      </c>
    </row>
    <row r="175" spans="1:30" s="536" customFormat="1" ht="33.75" x14ac:dyDescent="0.2">
      <c r="A175" s="605"/>
      <c r="B175" s="552" t="s">
        <v>1634</v>
      </c>
      <c r="C175" s="1822" t="s">
        <v>1635</v>
      </c>
      <c r="D175" s="1822"/>
      <c r="E175" s="1822"/>
      <c r="F175" s="562" t="s">
        <v>322</v>
      </c>
      <c r="G175" s="562" t="s">
        <v>786</v>
      </c>
      <c r="H175" s="562"/>
      <c r="I175" s="562" t="s">
        <v>786</v>
      </c>
      <c r="J175" s="604"/>
      <c r="K175" s="562"/>
      <c r="L175" s="604">
        <v>98.85</v>
      </c>
      <c r="M175" s="603"/>
      <c r="N175" s="602"/>
      <c r="Z175" s="537" t="s">
        <v>1635</v>
      </c>
    </row>
    <row r="176" spans="1:30" s="536" customFormat="1" x14ac:dyDescent="0.2">
      <c r="A176" s="569"/>
      <c r="B176" s="656"/>
      <c r="C176" s="1823" t="s">
        <v>327</v>
      </c>
      <c r="D176" s="1823"/>
      <c r="E176" s="1823"/>
      <c r="F176" s="573"/>
      <c r="G176" s="573"/>
      <c r="H176" s="573"/>
      <c r="I176" s="573"/>
      <c r="J176" s="572"/>
      <c r="K176" s="573"/>
      <c r="L176" s="572">
        <v>532.44000000000005</v>
      </c>
      <c r="M176" s="601"/>
      <c r="N176" s="570"/>
      <c r="AB176" s="537" t="s">
        <v>327</v>
      </c>
    </row>
    <row r="177" spans="1:30" s="536" customFormat="1" ht="33.75" x14ac:dyDescent="0.2">
      <c r="A177" s="575" t="s">
        <v>757</v>
      </c>
      <c r="B177" s="657" t="s">
        <v>3153</v>
      </c>
      <c r="C177" s="1823" t="s">
        <v>3154</v>
      </c>
      <c r="D177" s="1823"/>
      <c r="E177" s="1823"/>
      <c r="F177" s="573" t="s">
        <v>483</v>
      </c>
      <c r="G177" s="573"/>
      <c r="H177" s="573"/>
      <c r="I177" s="573" t="s">
        <v>844</v>
      </c>
      <c r="J177" s="572">
        <v>62.16</v>
      </c>
      <c r="K177" s="573" t="s">
        <v>716</v>
      </c>
      <c r="L177" s="572">
        <v>762.02</v>
      </c>
      <c r="M177" s="571">
        <v>8.32</v>
      </c>
      <c r="N177" s="570">
        <v>6340</v>
      </c>
      <c r="W177" s="537" t="s">
        <v>3154</v>
      </c>
    </row>
    <row r="178" spans="1:30" s="536" customFormat="1" x14ac:dyDescent="0.2">
      <c r="A178" s="569"/>
      <c r="B178" s="656"/>
      <c r="C178" s="661" t="s">
        <v>1658</v>
      </c>
      <c r="D178" s="662"/>
      <c r="E178" s="662"/>
      <c r="F178" s="563"/>
      <c r="G178" s="563"/>
      <c r="H178" s="563"/>
      <c r="I178" s="563"/>
      <c r="J178" s="566"/>
      <c r="K178" s="563"/>
      <c r="L178" s="566"/>
      <c r="M178" s="565"/>
      <c r="N178" s="564"/>
    </row>
    <row r="179" spans="1:30" s="536" customFormat="1" ht="22.5" x14ac:dyDescent="0.2">
      <c r="A179" s="609"/>
      <c r="B179" s="552" t="s">
        <v>718</v>
      </c>
      <c r="C179" s="1822" t="s">
        <v>719</v>
      </c>
      <c r="D179" s="1822"/>
      <c r="E179" s="1822"/>
      <c r="F179" s="1822"/>
      <c r="G179" s="1822"/>
      <c r="H179" s="1822"/>
      <c r="I179" s="1822"/>
      <c r="J179" s="1822"/>
      <c r="K179" s="1822"/>
      <c r="L179" s="1822"/>
      <c r="M179" s="1822"/>
      <c r="N179" s="1827"/>
      <c r="X179" s="537" t="s">
        <v>719</v>
      </c>
    </row>
    <row r="180" spans="1:30" s="536" customFormat="1" x14ac:dyDescent="0.2">
      <c r="A180" s="575" t="s">
        <v>1079</v>
      </c>
      <c r="B180" s="657" t="s">
        <v>3094</v>
      </c>
      <c r="C180" s="1823" t="s">
        <v>3095</v>
      </c>
      <c r="D180" s="1823"/>
      <c r="E180" s="1823"/>
      <c r="F180" s="573" t="s">
        <v>1110</v>
      </c>
      <c r="G180" s="573"/>
      <c r="H180" s="573"/>
      <c r="I180" s="573" t="s">
        <v>185</v>
      </c>
      <c r="J180" s="572"/>
      <c r="K180" s="573"/>
      <c r="L180" s="572"/>
      <c r="M180" s="571"/>
      <c r="N180" s="570"/>
      <c r="W180" s="537" t="s">
        <v>3095</v>
      </c>
    </row>
    <row r="181" spans="1:30" s="536" customFormat="1" x14ac:dyDescent="0.2">
      <c r="A181" s="676"/>
      <c r="B181" s="655"/>
      <c r="C181" s="1822" t="s">
        <v>2340</v>
      </c>
      <c r="D181" s="1822"/>
      <c r="E181" s="1822"/>
      <c r="F181" s="1822"/>
      <c r="G181" s="1822"/>
      <c r="H181" s="1822"/>
      <c r="I181" s="1822"/>
      <c r="J181" s="1822"/>
      <c r="K181" s="1822"/>
      <c r="L181" s="1822"/>
      <c r="M181" s="1822"/>
      <c r="N181" s="1827"/>
      <c r="AD181" s="537" t="s">
        <v>2340</v>
      </c>
    </row>
    <row r="182" spans="1:30" s="536" customFormat="1" ht="33.75" x14ac:dyDescent="0.2">
      <c r="A182" s="609"/>
      <c r="B182" s="552" t="s">
        <v>310</v>
      </c>
      <c r="C182" s="1822" t="s">
        <v>311</v>
      </c>
      <c r="D182" s="1822"/>
      <c r="E182" s="1822"/>
      <c r="F182" s="1822"/>
      <c r="G182" s="1822"/>
      <c r="H182" s="1822"/>
      <c r="I182" s="1822"/>
      <c r="J182" s="1822"/>
      <c r="K182" s="1822"/>
      <c r="L182" s="1822"/>
      <c r="M182" s="1822"/>
      <c r="N182" s="1827"/>
      <c r="X182" s="537" t="s">
        <v>311</v>
      </c>
    </row>
    <row r="183" spans="1:30" s="536" customFormat="1" x14ac:dyDescent="0.2">
      <c r="A183" s="605"/>
      <c r="B183" s="552" t="s">
        <v>185</v>
      </c>
      <c r="C183" s="1822" t="s">
        <v>312</v>
      </c>
      <c r="D183" s="1822"/>
      <c r="E183" s="1822"/>
      <c r="F183" s="562"/>
      <c r="G183" s="562"/>
      <c r="H183" s="562"/>
      <c r="I183" s="562"/>
      <c r="J183" s="604">
        <v>26.51</v>
      </c>
      <c r="K183" s="562" t="s">
        <v>313</v>
      </c>
      <c r="L183" s="604">
        <v>33.14</v>
      </c>
      <c r="M183" s="603"/>
      <c r="N183" s="602"/>
      <c r="Y183" s="537" t="s">
        <v>312</v>
      </c>
    </row>
    <row r="184" spans="1:30" s="536" customFormat="1" x14ac:dyDescent="0.2">
      <c r="A184" s="605"/>
      <c r="B184" s="552" t="s">
        <v>186</v>
      </c>
      <c r="C184" s="1822" t="s">
        <v>344</v>
      </c>
      <c r="D184" s="1822"/>
      <c r="E184" s="1822"/>
      <c r="F184" s="562"/>
      <c r="G184" s="562"/>
      <c r="H184" s="562"/>
      <c r="I184" s="562"/>
      <c r="J184" s="604">
        <v>1.81</v>
      </c>
      <c r="K184" s="562" t="s">
        <v>313</v>
      </c>
      <c r="L184" s="604">
        <v>2.2599999999999998</v>
      </c>
      <c r="M184" s="603"/>
      <c r="N184" s="602"/>
      <c r="Y184" s="537" t="s">
        <v>344</v>
      </c>
    </row>
    <row r="185" spans="1:30" s="536" customFormat="1" x14ac:dyDescent="0.2">
      <c r="A185" s="605"/>
      <c r="B185" s="552" t="s">
        <v>187</v>
      </c>
      <c r="C185" s="1822" t="s">
        <v>345</v>
      </c>
      <c r="D185" s="1822"/>
      <c r="E185" s="1822"/>
      <c r="F185" s="562"/>
      <c r="G185" s="562"/>
      <c r="H185" s="562"/>
      <c r="I185" s="562"/>
      <c r="J185" s="604">
        <v>0.26</v>
      </c>
      <c r="K185" s="562" t="s">
        <v>313</v>
      </c>
      <c r="L185" s="604">
        <v>0.33</v>
      </c>
      <c r="M185" s="603"/>
      <c r="N185" s="602"/>
      <c r="Y185" s="537" t="s">
        <v>345</v>
      </c>
    </row>
    <row r="186" spans="1:30" s="536" customFormat="1" x14ac:dyDescent="0.2">
      <c r="A186" s="605"/>
      <c r="B186" s="552" t="s">
        <v>188</v>
      </c>
      <c r="C186" s="1822" t="s">
        <v>475</v>
      </c>
      <c r="D186" s="1822"/>
      <c r="E186" s="1822"/>
      <c r="F186" s="562"/>
      <c r="G186" s="562"/>
      <c r="H186" s="562"/>
      <c r="I186" s="562"/>
      <c r="J186" s="604">
        <v>10.27</v>
      </c>
      <c r="K186" s="562"/>
      <c r="L186" s="604">
        <v>10.27</v>
      </c>
      <c r="M186" s="603"/>
      <c r="N186" s="602"/>
      <c r="Y186" s="537" t="s">
        <v>475</v>
      </c>
    </row>
    <row r="187" spans="1:30" s="536" customFormat="1" x14ac:dyDescent="0.2">
      <c r="A187" s="605"/>
      <c r="B187" s="552"/>
      <c r="C187" s="1822" t="s">
        <v>314</v>
      </c>
      <c r="D187" s="1822"/>
      <c r="E187" s="1822"/>
      <c r="F187" s="562" t="s">
        <v>315</v>
      </c>
      <c r="G187" s="562" t="s">
        <v>3096</v>
      </c>
      <c r="H187" s="562" t="s">
        <v>313</v>
      </c>
      <c r="I187" s="562" t="s">
        <v>3155</v>
      </c>
      <c r="J187" s="604"/>
      <c r="K187" s="562"/>
      <c r="L187" s="604"/>
      <c r="M187" s="603"/>
      <c r="N187" s="602"/>
      <c r="Z187" s="537" t="s">
        <v>314</v>
      </c>
    </row>
    <row r="188" spans="1:30" s="536" customFormat="1" x14ac:dyDescent="0.2">
      <c r="A188" s="605"/>
      <c r="B188" s="552"/>
      <c r="C188" s="1822" t="s">
        <v>348</v>
      </c>
      <c r="D188" s="1822"/>
      <c r="E188" s="1822"/>
      <c r="F188" s="562" t="s">
        <v>315</v>
      </c>
      <c r="G188" s="562" t="s">
        <v>695</v>
      </c>
      <c r="H188" s="562" t="s">
        <v>313</v>
      </c>
      <c r="I188" s="562" t="s">
        <v>2258</v>
      </c>
      <c r="J188" s="604"/>
      <c r="K188" s="562"/>
      <c r="L188" s="604"/>
      <c r="M188" s="603"/>
      <c r="N188" s="602"/>
      <c r="Z188" s="537" t="s">
        <v>348</v>
      </c>
    </row>
    <row r="189" spans="1:30" s="536" customFormat="1" x14ac:dyDescent="0.2">
      <c r="A189" s="605"/>
      <c r="B189" s="552"/>
      <c r="C189" s="1828" t="s">
        <v>318</v>
      </c>
      <c r="D189" s="1828"/>
      <c r="E189" s="1828"/>
      <c r="F189" s="608"/>
      <c r="G189" s="608"/>
      <c r="H189" s="608"/>
      <c r="I189" s="608"/>
      <c r="J189" s="607">
        <v>38.590000000000003</v>
      </c>
      <c r="K189" s="608"/>
      <c r="L189" s="607">
        <v>45.67</v>
      </c>
      <c r="M189" s="601"/>
      <c r="N189" s="606"/>
      <c r="AA189" s="537" t="s">
        <v>318</v>
      </c>
    </row>
    <row r="190" spans="1:30" s="536" customFormat="1" x14ac:dyDescent="0.2">
      <c r="A190" s="605"/>
      <c r="B190" s="552"/>
      <c r="C190" s="1822" t="s">
        <v>319</v>
      </c>
      <c r="D190" s="1822"/>
      <c r="E190" s="1822"/>
      <c r="F190" s="562"/>
      <c r="G190" s="562"/>
      <c r="H190" s="562"/>
      <c r="I190" s="562"/>
      <c r="J190" s="604"/>
      <c r="K190" s="562"/>
      <c r="L190" s="604">
        <v>33.47</v>
      </c>
      <c r="M190" s="603"/>
      <c r="N190" s="602"/>
      <c r="Z190" s="537" t="s">
        <v>319</v>
      </c>
    </row>
    <row r="191" spans="1:30" s="536" customFormat="1" ht="33.75" x14ac:dyDescent="0.2">
      <c r="A191" s="605"/>
      <c r="B191" s="552" t="s">
        <v>1631</v>
      </c>
      <c r="C191" s="1822" t="s">
        <v>1632</v>
      </c>
      <c r="D191" s="1822"/>
      <c r="E191" s="1822"/>
      <c r="F191" s="562" t="s">
        <v>322</v>
      </c>
      <c r="G191" s="562" t="s">
        <v>1633</v>
      </c>
      <c r="H191" s="562"/>
      <c r="I191" s="562" t="s">
        <v>1633</v>
      </c>
      <c r="J191" s="604"/>
      <c r="K191" s="562"/>
      <c r="L191" s="604">
        <v>32.47</v>
      </c>
      <c r="M191" s="603"/>
      <c r="N191" s="602"/>
      <c r="Z191" s="537" t="s">
        <v>1632</v>
      </c>
    </row>
    <row r="192" spans="1:30" s="536" customFormat="1" ht="33.75" x14ac:dyDescent="0.2">
      <c r="A192" s="605"/>
      <c r="B192" s="552" t="s">
        <v>1634</v>
      </c>
      <c r="C192" s="1822" t="s">
        <v>1635</v>
      </c>
      <c r="D192" s="1822"/>
      <c r="E192" s="1822"/>
      <c r="F192" s="562" t="s">
        <v>322</v>
      </c>
      <c r="G192" s="562" t="s">
        <v>786</v>
      </c>
      <c r="H192" s="562"/>
      <c r="I192" s="562" t="s">
        <v>786</v>
      </c>
      <c r="J192" s="604"/>
      <c r="K192" s="562"/>
      <c r="L192" s="604">
        <v>17.07</v>
      </c>
      <c r="M192" s="603"/>
      <c r="N192" s="602"/>
      <c r="Z192" s="537" t="s">
        <v>1635</v>
      </c>
    </row>
    <row r="193" spans="1:30" s="536" customFormat="1" x14ac:dyDescent="0.2">
      <c r="A193" s="569"/>
      <c r="B193" s="656"/>
      <c r="C193" s="1823" t="s">
        <v>327</v>
      </c>
      <c r="D193" s="1823"/>
      <c r="E193" s="1823"/>
      <c r="F193" s="573"/>
      <c r="G193" s="573"/>
      <c r="H193" s="573"/>
      <c r="I193" s="573"/>
      <c r="J193" s="572"/>
      <c r="K193" s="573"/>
      <c r="L193" s="572">
        <v>95.21</v>
      </c>
      <c r="M193" s="601"/>
      <c r="N193" s="570"/>
      <c r="AB193" s="537" t="s">
        <v>327</v>
      </c>
    </row>
    <row r="194" spans="1:30" s="536" customFormat="1" ht="101.25" x14ac:dyDescent="0.2">
      <c r="A194" s="575" t="s">
        <v>759</v>
      </c>
      <c r="B194" s="657" t="s">
        <v>3156</v>
      </c>
      <c r="C194" s="1823" t="s">
        <v>3157</v>
      </c>
      <c r="D194" s="1823"/>
      <c r="E194" s="1823"/>
      <c r="F194" s="573" t="s">
        <v>1687</v>
      </c>
      <c r="G194" s="573"/>
      <c r="H194" s="573"/>
      <c r="I194" s="573" t="s">
        <v>1226</v>
      </c>
      <c r="J194" s="572">
        <v>5853.59</v>
      </c>
      <c r="K194" s="573"/>
      <c r="L194" s="572">
        <v>597.07000000000005</v>
      </c>
      <c r="M194" s="571"/>
      <c r="N194" s="570"/>
      <c r="W194" s="537" t="s">
        <v>3157</v>
      </c>
    </row>
    <row r="195" spans="1:30" s="536" customFormat="1" x14ac:dyDescent="0.2">
      <c r="A195" s="569"/>
      <c r="B195" s="656"/>
      <c r="C195" s="661" t="s">
        <v>1658</v>
      </c>
      <c r="D195" s="662"/>
      <c r="E195" s="662"/>
      <c r="F195" s="563"/>
      <c r="G195" s="563"/>
      <c r="H195" s="563"/>
      <c r="I195" s="563"/>
      <c r="J195" s="566"/>
      <c r="K195" s="563"/>
      <c r="L195" s="566"/>
      <c r="M195" s="565"/>
      <c r="N195" s="564"/>
    </row>
    <row r="196" spans="1:30" s="536" customFormat="1" x14ac:dyDescent="0.2">
      <c r="A196" s="676"/>
      <c r="B196" s="655"/>
      <c r="C196" s="1822" t="s">
        <v>3158</v>
      </c>
      <c r="D196" s="1822"/>
      <c r="E196" s="1822"/>
      <c r="F196" s="1822"/>
      <c r="G196" s="1822"/>
      <c r="H196" s="1822"/>
      <c r="I196" s="1822"/>
      <c r="J196" s="1822"/>
      <c r="K196" s="1822"/>
      <c r="L196" s="1822"/>
      <c r="M196" s="1822"/>
      <c r="N196" s="1827"/>
      <c r="AD196" s="537" t="s">
        <v>3158</v>
      </c>
    </row>
    <row r="197" spans="1:30" s="536" customFormat="1" ht="33.75" x14ac:dyDescent="0.2">
      <c r="A197" s="575" t="s">
        <v>917</v>
      </c>
      <c r="B197" s="657" t="s">
        <v>3103</v>
      </c>
      <c r="C197" s="1823" t="s">
        <v>3104</v>
      </c>
      <c r="D197" s="1823"/>
      <c r="E197" s="1823"/>
      <c r="F197" s="573" t="s">
        <v>1110</v>
      </c>
      <c r="G197" s="573"/>
      <c r="H197" s="573"/>
      <c r="I197" s="573" t="s">
        <v>856</v>
      </c>
      <c r="J197" s="572"/>
      <c r="K197" s="573"/>
      <c r="L197" s="572"/>
      <c r="M197" s="571"/>
      <c r="N197" s="570"/>
      <c r="W197" s="537" t="s">
        <v>3104</v>
      </c>
    </row>
    <row r="198" spans="1:30" s="536" customFormat="1" x14ac:dyDescent="0.2">
      <c r="A198" s="676"/>
      <c r="B198" s="655"/>
      <c r="C198" s="1822" t="s">
        <v>2317</v>
      </c>
      <c r="D198" s="1822"/>
      <c r="E198" s="1822"/>
      <c r="F198" s="1822"/>
      <c r="G198" s="1822"/>
      <c r="H198" s="1822"/>
      <c r="I198" s="1822"/>
      <c r="J198" s="1822"/>
      <c r="K198" s="1822"/>
      <c r="L198" s="1822"/>
      <c r="M198" s="1822"/>
      <c r="N198" s="1827"/>
      <c r="AD198" s="537" t="s">
        <v>2317</v>
      </c>
    </row>
    <row r="199" spans="1:30" s="536" customFormat="1" ht="33.75" x14ac:dyDescent="0.2">
      <c r="A199" s="609"/>
      <c r="B199" s="552" t="s">
        <v>310</v>
      </c>
      <c r="C199" s="1822" t="s">
        <v>311</v>
      </c>
      <c r="D199" s="1822"/>
      <c r="E199" s="1822"/>
      <c r="F199" s="1822"/>
      <c r="G199" s="1822"/>
      <c r="H199" s="1822"/>
      <c r="I199" s="1822"/>
      <c r="J199" s="1822"/>
      <c r="K199" s="1822"/>
      <c r="L199" s="1822"/>
      <c r="M199" s="1822"/>
      <c r="N199" s="1827"/>
      <c r="X199" s="537" t="s">
        <v>311</v>
      </c>
    </row>
    <row r="200" spans="1:30" s="536" customFormat="1" x14ac:dyDescent="0.2">
      <c r="A200" s="605"/>
      <c r="B200" s="552" t="s">
        <v>185</v>
      </c>
      <c r="C200" s="1822" t="s">
        <v>312</v>
      </c>
      <c r="D200" s="1822"/>
      <c r="E200" s="1822"/>
      <c r="F200" s="562"/>
      <c r="G200" s="562"/>
      <c r="H200" s="562"/>
      <c r="I200" s="562"/>
      <c r="J200" s="604">
        <v>391.79</v>
      </c>
      <c r="K200" s="562" t="s">
        <v>313</v>
      </c>
      <c r="L200" s="604">
        <v>24.49</v>
      </c>
      <c r="M200" s="603"/>
      <c r="N200" s="602"/>
      <c r="Y200" s="537" t="s">
        <v>312</v>
      </c>
    </row>
    <row r="201" spans="1:30" s="536" customFormat="1" x14ac:dyDescent="0.2">
      <c r="A201" s="605"/>
      <c r="B201" s="552" t="s">
        <v>186</v>
      </c>
      <c r="C201" s="1822" t="s">
        <v>344</v>
      </c>
      <c r="D201" s="1822"/>
      <c r="E201" s="1822"/>
      <c r="F201" s="562"/>
      <c r="G201" s="562"/>
      <c r="H201" s="562"/>
      <c r="I201" s="562"/>
      <c r="J201" s="604">
        <v>176.36</v>
      </c>
      <c r="K201" s="562" t="s">
        <v>313</v>
      </c>
      <c r="L201" s="604">
        <v>11.02</v>
      </c>
      <c r="M201" s="603"/>
      <c r="N201" s="602"/>
      <c r="Y201" s="537" t="s">
        <v>344</v>
      </c>
    </row>
    <row r="202" spans="1:30" s="536" customFormat="1" x14ac:dyDescent="0.2">
      <c r="A202" s="605"/>
      <c r="B202" s="552" t="s">
        <v>187</v>
      </c>
      <c r="C202" s="1822" t="s">
        <v>345</v>
      </c>
      <c r="D202" s="1822"/>
      <c r="E202" s="1822"/>
      <c r="F202" s="562"/>
      <c r="G202" s="562"/>
      <c r="H202" s="562"/>
      <c r="I202" s="562"/>
      <c r="J202" s="604">
        <v>18.329999999999998</v>
      </c>
      <c r="K202" s="562" t="s">
        <v>313</v>
      </c>
      <c r="L202" s="604">
        <v>1.1499999999999999</v>
      </c>
      <c r="M202" s="603"/>
      <c r="N202" s="602"/>
      <c r="Y202" s="537" t="s">
        <v>345</v>
      </c>
    </row>
    <row r="203" spans="1:30" s="536" customFormat="1" x14ac:dyDescent="0.2">
      <c r="A203" s="605"/>
      <c r="B203" s="552" t="s">
        <v>188</v>
      </c>
      <c r="C203" s="1822" t="s">
        <v>475</v>
      </c>
      <c r="D203" s="1822"/>
      <c r="E203" s="1822"/>
      <c r="F203" s="562"/>
      <c r="G203" s="562"/>
      <c r="H203" s="562"/>
      <c r="I203" s="562"/>
      <c r="J203" s="604">
        <v>373.17</v>
      </c>
      <c r="K203" s="562"/>
      <c r="L203" s="604">
        <v>18.66</v>
      </c>
      <c r="M203" s="603"/>
      <c r="N203" s="602"/>
      <c r="Y203" s="537" t="s">
        <v>475</v>
      </c>
    </row>
    <row r="204" spans="1:30" s="536" customFormat="1" x14ac:dyDescent="0.2">
      <c r="A204" s="605"/>
      <c r="B204" s="552"/>
      <c r="C204" s="1822" t="s">
        <v>314</v>
      </c>
      <c r="D204" s="1822"/>
      <c r="E204" s="1822"/>
      <c r="F204" s="562" t="s">
        <v>315</v>
      </c>
      <c r="G204" s="562" t="s">
        <v>3105</v>
      </c>
      <c r="H204" s="562" t="s">
        <v>313</v>
      </c>
      <c r="I204" s="562" t="s">
        <v>3106</v>
      </c>
      <c r="J204" s="604"/>
      <c r="K204" s="562"/>
      <c r="L204" s="604"/>
      <c r="M204" s="603"/>
      <c r="N204" s="602"/>
      <c r="Z204" s="537" t="s">
        <v>314</v>
      </c>
    </row>
    <row r="205" spans="1:30" s="536" customFormat="1" x14ac:dyDescent="0.2">
      <c r="A205" s="605"/>
      <c r="B205" s="552"/>
      <c r="C205" s="1822" t="s">
        <v>348</v>
      </c>
      <c r="D205" s="1822"/>
      <c r="E205" s="1822"/>
      <c r="F205" s="562" t="s">
        <v>315</v>
      </c>
      <c r="G205" s="562" t="s">
        <v>3107</v>
      </c>
      <c r="H205" s="562" t="s">
        <v>313</v>
      </c>
      <c r="I205" s="562" t="s">
        <v>3108</v>
      </c>
      <c r="J205" s="604"/>
      <c r="K205" s="562"/>
      <c r="L205" s="604"/>
      <c r="M205" s="603"/>
      <c r="N205" s="602"/>
      <c r="Z205" s="537" t="s">
        <v>348</v>
      </c>
    </row>
    <row r="206" spans="1:30" s="536" customFormat="1" x14ac:dyDescent="0.2">
      <c r="A206" s="605"/>
      <c r="B206" s="552"/>
      <c r="C206" s="1828" t="s">
        <v>318</v>
      </c>
      <c r="D206" s="1828"/>
      <c r="E206" s="1828"/>
      <c r="F206" s="608"/>
      <c r="G206" s="608"/>
      <c r="H206" s="608"/>
      <c r="I206" s="608"/>
      <c r="J206" s="607">
        <v>941.32</v>
      </c>
      <c r="K206" s="608"/>
      <c r="L206" s="607">
        <v>54.17</v>
      </c>
      <c r="M206" s="601"/>
      <c r="N206" s="606"/>
      <c r="AA206" s="537" t="s">
        <v>318</v>
      </c>
    </row>
    <row r="207" spans="1:30" s="536" customFormat="1" x14ac:dyDescent="0.2">
      <c r="A207" s="605"/>
      <c r="B207" s="552"/>
      <c r="C207" s="1822" t="s">
        <v>319</v>
      </c>
      <c r="D207" s="1822"/>
      <c r="E207" s="1822"/>
      <c r="F207" s="562"/>
      <c r="G207" s="562"/>
      <c r="H207" s="562"/>
      <c r="I207" s="562"/>
      <c r="J207" s="604"/>
      <c r="K207" s="562"/>
      <c r="L207" s="604">
        <v>25.64</v>
      </c>
      <c r="M207" s="603"/>
      <c r="N207" s="602"/>
      <c r="Z207" s="537" t="s">
        <v>319</v>
      </c>
    </row>
    <row r="208" spans="1:30" s="536" customFormat="1" ht="33.75" x14ac:dyDescent="0.2">
      <c r="A208" s="605"/>
      <c r="B208" s="552" t="s">
        <v>1631</v>
      </c>
      <c r="C208" s="1822" t="s">
        <v>1632</v>
      </c>
      <c r="D208" s="1822"/>
      <c r="E208" s="1822"/>
      <c r="F208" s="562" t="s">
        <v>322</v>
      </c>
      <c r="G208" s="562" t="s">
        <v>1633</v>
      </c>
      <c r="H208" s="562"/>
      <c r="I208" s="562" t="s">
        <v>1633</v>
      </c>
      <c r="J208" s="604"/>
      <c r="K208" s="562"/>
      <c r="L208" s="604">
        <v>24.87</v>
      </c>
      <c r="M208" s="603"/>
      <c r="N208" s="602"/>
      <c r="Z208" s="537" t="s">
        <v>1632</v>
      </c>
    </row>
    <row r="209" spans="1:30" s="536" customFormat="1" ht="33.75" x14ac:dyDescent="0.2">
      <c r="A209" s="605"/>
      <c r="B209" s="552" t="s">
        <v>1634</v>
      </c>
      <c r="C209" s="1822" t="s">
        <v>1635</v>
      </c>
      <c r="D209" s="1822"/>
      <c r="E209" s="1822"/>
      <c r="F209" s="562" t="s">
        <v>322</v>
      </c>
      <c r="G209" s="562" t="s">
        <v>786</v>
      </c>
      <c r="H209" s="562"/>
      <c r="I209" s="562" t="s">
        <v>786</v>
      </c>
      <c r="J209" s="604"/>
      <c r="K209" s="562"/>
      <c r="L209" s="604">
        <v>13.08</v>
      </c>
      <c r="M209" s="603"/>
      <c r="N209" s="602"/>
      <c r="Z209" s="537" t="s">
        <v>1635</v>
      </c>
    </row>
    <row r="210" spans="1:30" s="536" customFormat="1" x14ac:dyDescent="0.2">
      <c r="A210" s="569"/>
      <c r="B210" s="656"/>
      <c r="C210" s="1823" t="s">
        <v>327</v>
      </c>
      <c r="D210" s="1823"/>
      <c r="E210" s="1823"/>
      <c r="F210" s="573"/>
      <c r="G210" s="573"/>
      <c r="H210" s="573"/>
      <c r="I210" s="573"/>
      <c r="J210" s="572"/>
      <c r="K210" s="573"/>
      <c r="L210" s="572">
        <v>92.12</v>
      </c>
      <c r="M210" s="601"/>
      <c r="N210" s="570"/>
      <c r="AB210" s="537" t="s">
        <v>327</v>
      </c>
    </row>
    <row r="211" spans="1:30" s="536" customFormat="1" ht="45" x14ac:dyDescent="0.2">
      <c r="A211" s="575" t="s">
        <v>761</v>
      </c>
      <c r="B211" s="657" t="s">
        <v>3109</v>
      </c>
      <c r="C211" s="1823" t="s">
        <v>3110</v>
      </c>
      <c r="D211" s="1823"/>
      <c r="E211" s="1823"/>
      <c r="F211" s="573" t="s">
        <v>483</v>
      </c>
      <c r="G211" s="573"/>
      <c r="H211" s="573"/>
      <c r="I211" s="573" t="s">
        <v>2286</v>
      </c>
      <c r="J211" s="572">
        <v>39.6</v>
      </c>
      <c r="K211" s="573"/>
      <c r="L211" s="572">
        <v>201.96</v>
      </c>
      <c r="M211" s="571"/>
      <c r="N211" s="570"/>
      <c r="W211" s="537" t="s">
        <v>3110</v>
      </c>
    </row>
    <row r="212" spans="1:30" s="536" customFormat="1" x14ac:dyDescent="0.2">
      <c r="A212" s="569"/>
      <c r="B212" s="656"/>
      <c r="C212" s="661" t="s">
        <v>1658</v>
      </c>
      <c r="D212" s="662"/>
      <c r="E212" s="662"/>
      <c r="F212" s="563"/>
      <c r="G212" s="563"/>
      <c r="H212" s="563"/>
      <c r="I212" s="563"/>
      <c r="J212" s="566"/>
      <c r="K212" s="563"/>
      <c r="L212" s="566"/>
      <c r="M212" s="565"/>
      <c r="N212" s="564"/>
    </row>
    <row r="213" spans="1:30" s="536" customFormat="1" x14ac:dyDescent="0.2">
      <c r="A213" s="676"/>
      <c r="B213" s="655"/>
      <c r="C213" s="1822" t="s">
        <v>2287</v>
      </c>
      <c r="D213" s="1822"/>
      <c r="E213" s="1822"/>
      <c r="F213" s="1822"/>
      <c r="G213" s="1822"/>
      <c r="H213" s="1822"/>
      <c r="I213" s="1822"/>
      <c r="J213" s="1822"/>
      <c r="K213" s="1822"/>
      <c r="L213" s="1822"/>
      <c r="M213" s="1822"/>
      <c r="N213" s="1827"/>
      <c r="AD213" s="537" t="s">
        <v>2287</v>
      </c>
    </row>
    <row r="214" spans="1:30" s="536" customFormat="1" ht="33.75" x14ac:dyDescent="0.2">
      <c r="A214" s="575" t="s">
        <v>762</v>
      </c>
      <c r="B214" s="657" t="s">
        <v>1782</v>
      </c>
      <c r="C214" s="1823" t="s">
        <v>1783</v>
      </c>
      <c r="D214" s="1823"/>
      <c r="E214" s="1823"/>
      <c r="F214" s="573" t="s">
        <v>617</v>
      </c>
      <c r="G214" s="573"/>
      <c r="H214" s="573"/>
      <c r="I214" s="573" t="s">
        <v>189</v>
      </c>
      <c r="J214" s="572"/>
      <c r="K214" s="573"/>
      <c r="L214" s="572"/>
      <c r="M214" s="571"/>
      <c r="N214" s="570"/>
      <c r="W214" s="537" t="s">
        <v>1783</v>
      </c>
    </row>
    <row r="215" spans="1:30" s="536" customFormat="1" ht="33.75" x14ac:dyDescent="0.2">
      <c r="A215" s="609"/>
      <c r="B215" s="552" t="s">
        <v>310</v>
      </c>
      <c r="C215" s="1822" t="s">
        <v>311</v>
      </c>
      <c r="D215" s="1822"/>
      <c r="E215" s="1822"/>
      <c r="F215" s="1822"/>
      <c r="G215" s="1822"/>
      <c r="H215" s="1822"/>
      <c r="I215" s="1822"/>
      <c r="J215" s="1822"/>
      <c r="K215" s="1822"/>
      <c r="L215" s="1822"/>
      <c r="M215" s="1822"/>
      <c r="N215" s="1827"/>
      <c r="X215" s="537" t="s">
        <v>311</v>
      </c>
    </row>
    <row r="216" spans="1:30" s="536" customFormat="1" x14ac:dyDescent="0.2">
      <c r="A216" s="605"/>
      <c r="B216" s="552" t="s">
        <v>185</v>
      </c>
      <c r="C216" s="1822" t="s">
        <v>312</v>
      </c>
      <c r="D216" s="1822"/>
      <c r="E216" s="1822"/>
      <c r="F216" s="562"/>
      <c r="G216" s="562"/>
      <c r="H216" s="562"/>
      <c r="I216" s="562"/>
      <c r="J216" s="604">
        <v>3.57</v>
      </c>
      <c r="K216" s="562" t="s">
        <v>313</v>
      </c>
      <c r="L216" s="604">
        <v>22.31</v>
      </c>
      <c r="M216" s="603"/>
      <c r="N216" s="602"/>
      <c r="Y216" s="537" t="s">
        <v>312</v>
      </c>
    </row>
    <row r="217" spans="1:30" s="536" customFormat="1" x14ac:dyDescent="0.2">
      <c r="A217" s="605"/>
      <c r="B217" s="552" t="s">
        <v>188</v>
      </c>
      <c r="C217" s="1822" t="s">
        <v>475</v>
      </c>
      <c r="D217" s="1822"/>
      <c r="E217" s="1822"/>
      <c r="F217" s="562"/>
      <c r="G217" s="562"/>
      <c r="H217" s="562"/>
      <c r="I217" s="562"/>
      <c r="J217" s="604">
        <v>15.07</v>
      </c>
      <c r="K217" s="562"/>
      <c r="L217" s="604">
        <v>0.35</v>
      </c>
      <c r="M217" s="603"/>
      <c r="N217" s="602"/>
      <c r="Y217" s="537" t="s">
        <v>475</v>
      </c>
    </row>
    <row r="218" spans="1:30" s="536" customFormat="1" x14ac:dyDescent="0.2">
      <c r="A218" s="605"/>
      <c r="B218" s="552"/>
      <c r="C218" s="1822" t="s">
        <v>314</v>
      </c>
      <c r="D218" s="1822"/>
      <c r="E218" s="1822"/>
      <c r="F218" s="562" t="s">
        <v>315</v>
      </c>
      <c r="G218" s="562" t="s">
        <v>1785</v>
      </c>
      <c r="H218" s="562" t="s">
        <v>313</v>
      </c>
      <c r="I218" s="562" t="s">
        <v>3102</v>
      </c>
      <c r="J218" s="604"/>
      <c r="K218" s="562"/>
      <c r="L218" s="604"/>
      <c r="M218" s="603"/>
      <c r="N218" s="602"/>
      <c r="Z218" s="537" t="s">
        <v>314</v>
      </c>
    </row>
    <row r="219" spans="1:30" s="536" customFormat="1" x14ac:dyDescent="0.2">
      <c r="A219" s="605"/>
      <c r="B219" s="552"/>
      <c r="C219" s="1828" t="s">
        <v>318</v>
      </c>
      <c r="D219" s="1828"/>
      <c r="E219" s="1828"/>
      <c r="F219" s="608"/>
      <c r="G219" s="608"/>
      <c r="H219" s="608"/>
      <c r="I219" s="608"/>
      <c r="J219" s="607">
        <v>3.64</v>
      </c>
      <c r="K219" s="608"/>
      <c r="L219" s="607">
        <v>22.66</v>
      </c>
      <c r="M219" s="601"/>
      <c r="N219" s="606"/>
      <c r="AA219" s="537" t="s">
        <v>318</v>
      </c>
    </row>
    <row r="220" spans="1:30" s="536" customFormat="1" x14ac:dyDescent="0.2">
      <c r="A220" s="605"/>
      <c r="B220" s="552"/>
      <c r="C220" s="1822" t="s">
        <v>319</v>
      </c>
      <c r="D220" s="1822"/>
      <c r="E220" s="1822"/>
      <c r="F220" s="562"/>
      <c r="G220" s="562"/>
      <c r="H220" s="562"/>
      <c r="I220" s="562"/>
      <c r="J220" s="604"/>
      <c r="K220" s="562"/>
      <c r="L220" s="604">
        <v>22.31</v>
      </c>
      <c r="M220" s="603"/>
      <c r="N220" s="602"/>
      <c r="Z220" s="537" t="s">
        <v>319</v>
      </c>
    </row>
    <row r="221" spans="1:30" s="536" customFormat="1" ht="33.75" x14ac:dyDescent="0.2">
      <c r="A221" s="605"/>
      <c r="B221" s="552" t="s">
        <v>1631</v>
      </c>
      <c r="C221" s="1822" t="s">
        <v>1632</v>
      </c>
      <c r="D221" s="1822"/>
      <c r="E221" s="1822"/>
      <c r="F221" s="562" t="s">
        <v>322</v>
      </c>
      <c r="G221" s="562" t="s">
        <v>1633</v>
      </c>
      <c r="H221" s="562"/>
      <c r="I221" s="562" t="s">
        <v>1633</v>
      </c>
      <c r="J221" s="604"/>
      <c r="K221" s="562"/>
      <c r="L221" s="604">
        <v>21.64</v>
      </c>
      <c r="M221" s="603"/>
      <c r="N221" s="602"/>
      <c r="Z221" s="537" t="s">
        <v>1632</v>
      </c>
    </row>
    <row r="222" spans="1:30" s="536" customFormat="1" ht="33.75" x14ac:dyDescent="0.2">
      <c r="A222" s="605"/>
      <c r="B222" s="552" t="s">
        <v>1634</v>
      </c>
      <c r="C222" s="1822" t="s">
        <v>1635</v>
      </c>
      <c r="D222" s="1822"/>
      <c r="E222" s="1822"/>
      <c r="F222" s="562" t="s">
        <v>322</v>
      </c>
      <c r="G222" s="562" t="s">
        <v>786</v>
      </c>
      <c r="H222" s="562"/>
      <c r="I222" s="562" t="s">
        <v>786</v>
      </c>
      <c r="J222" s="604"/>
      <c r="K222" s="562"/>
      <c r="L222" s="604">
        <v>11.38</v>
      </c>
      <c r="M222" s="603"/>
      <c r="N222" s="602"/>
      <c r="Z222" s="537" t="s">
        <v>1635</v>
      </c>
    </row>
    <row r="223" spans="1:30" s="536" customFormat="1" x14ac:dyDescent="0.2">
      <c r="A223" s="569"/>
      <c r="B223" s="656"/>
      <c r="C223" s="1823" t="s">
        <v>327</v>
      </c>
      <c r="D223" s="1823"/>
      <c r="E223" s="1823"/>
      <c r="F223" s="573"/>
      <c r="G223" s="573"/>
      <c r="H223" s="573"/>
      <c r="I223" s="573"/>
      <c r="J223" s="572"/>
      <c r="K223" s="573"/>
      <c r="L223" s="572">
        <v>55.68</v>
      </c>
      <c r="M223" s="601"/>
      <c r="N223" s="570"/>
      <c r="AB223" s="537" t="s">
        <v>327</v>
      </c>
    </row>
    <row r="224" spans="1:30" s="536" customFormat="1" ht="33.75" x14ac:dyDescent="0.2">
      <c r="A224" s="575" t="s">
        <v>763</v>
      </c>
      <c r="B224" s="657" t="s">
        <v>3111</v>
      </c>
      <c r="C224" s="1823" t="s">
        <v>3112</v>
      </c>
      <c r="D224" s="1823"/>
      <c r="E224" s="1823"/>
      <c r="F224" s="573" t="s">
        <v>617</v>
      </c>
      <c r="G224" s="573"/>
      <c r="H224" s="573"/>
      <c r="I224" s="573" t="s">
        <v>185</v>
      </c>
      <c r="J224" s="572">
        <v>349.25</v>
      </c>
      <c r="K224" s="573" t="s">
        <v>716</v>
      </c>
      <c r="L224" s="572">
        <v>42.79</v>
      </c>
      <c r="M224" s="571">
        <v>8.32</v>
      </c>
      <c r="N224" s="570">
        <v>356</v>
      </c>
      <c r="W224" s="537" t="s">
        <v>3112</v>
      </c>
    </row>
    <row r="225" spans="1:32" s="536" customFormat="1" x14ac:dyDescent="0.2">
      <c r="A225" s="569"/>
      <c r="B225" s="656"/>
      <c r="C225" s="661" t="s">
        <v>1658</v>
      </c>
      <c r="D225" s="662"/>
      <c r="E225" s="662"/>
      <c r="F225" s="563"/>
      <c r="G225" s="563"/>
      <c r="H225" s="563"/>
      <c r="I225" s="563"/>
      <c r="J225" s="566"/>
      <c r="K225" s="563"/>
      <c r="L225" s="566"/>
      <c r="M225" s="565"/>
      <c r="N225" s="564"/>
    </row>
    <row r="226" spans="1:32" s="536" customFormat="1" ht="22.5" x14ac:dyDescent="0.2">
      <c r="A226" s="609"/>
      <c r="B226" s="552" t="s">
        <v>718</v>
      </c>
      <c r="C226" s="1822" t="s">
        <v>719</v>
      </c>
      <c r="D226" s="1822"/>
      <c r="E226" s="1822"/>
      <c r="F226" s="1822"/>
      <c r="G226" s="1822"/>
      <c r="H226" s="1822"/>
      <c r="I226" s="1822"/>
      <c r="J226" s="1822"/>
      <c r="K226" s="1822"/>
      <c r="L226" s="1822"/>
      <c r="M226" s="1822"/>
      <c r="N226" s="1827"/>
      <c r="X226" s="537" t="s">
        <v>719</v>
      </c>
    </row>
    <row r="227" spans="1:32" s="536" customFormat="1" ht="22.5" x14ac:dyDescent="0.2">
      <c r="A227" s="575" t="s">
        <v>922</v>
      </c>
      <c r="B227" s="657" t="s">
        <v>3113</v>
      </c>
      <c r="C227" s="1823" t="s">
        <v>3114</v>
      </c>
      <c r="D227" s="1823"/>
      <c r="E227" s="1823"/>
      <c r="F227" s="573" t="s">
        <v>2278</v>
      </c>
      <c r="G227" s="573"/>
      <c r="H227" s="573"/>
      <c r="I227" s="573" t="s">
        <v>1901</v>
      </c>
      <c r="J227" s="572">
        <v>101.1</v>
      </c>
      <c r="K227" s="573"/>
      <c r="L227" s="572">
        <v>15.17</v>
      </c>
      <c r="M227" s="571"/>
      <c r="N227" s="570"/>
      <c r="W227" s="537" t="s">
        <v>3114</v>
      </c>
    </row>
    <row r="228" spans="1:32" s="536" customFormat="1" x14ac:dyDescent="0.2">
      <c r="A228" s="569"/>
      <c r="B228" s="656"/>
      <c r="C228" s="661" t="s">
        <v>1658</v>
      </c>
      <c r="D228" s="662"/>
      <c r="E228" s="662"/>
      <c r="F228" s="563"/>
      <c r="G228" s="563"/>
      <c r="H228" s="563"/>
      <c r="I228" s="563"/>
      <c r="J228" s="566"/>
      <c r="K228" s="563"/>
      <c r="L228" s="566"/>
      <c r="M228" s="565"/>
      <c r="N228" s="564"/>
    </row>
    <row r="229" spans="1:32" s="536" customFormat="1" x14ac:dyDescent="0.2">
      <c r="A229" s="676"/>
      <c r="B229" s="655"/>
      <c r="C229" s="1822" t="s">
        <v>3115</v>
      </c>
      <c r="D229" s="1822"/>
      <c r="E229" s="1822"/>
      <c r="F229" s="1822"/>
      <c r="G229" s="1822"/>
      <c r="H229" s="1822"/>
      <c r="I229" s="1822"/>
      <c r="J229" s="1822"/>
      <c r="K229" s="1822"/>
      <c r="L229" s="1822"/>
      <c r="M229" s="1822"/>
      <c r="N229" s="1827"/>
      <c r="AD229" s="537" t="s">
        <v>3115</v>
      </c>
    </row>
    <row r="230" spans="1:32" s="536" customFormat="1" ht="1.5" customHeight="1" x14ac:dyDescent="0.2">
      <c r="A230" s="563"/>
      <c r="B230" s="656"/>
      <c r="C230" s="656"/>
      <c r="D230" s="656"/>
      <c r="E230" s="656"/>
      <c r="F230" s="563"/>
      <c r="G230" s="563"/>
      <c r="H230" s="563"/>
      <c r="I230" s="563"/>
      <c r="J230" s="546"/>
      <c r="K230" s="563"/>
      <c r="L230" s="546"/>
      <c r="M230" s="562"/>
      <c r="N230" s="546"/>
    </row>
    <row r="231" spans="1:32" s="536" customFormat="1" ht="2.25" customHeight="1" x14ac:dyDescent="0.2">
      <c r="B231" s="561"/>
      <c r="C231" s="561"/>
      <c r="D231" s="561"/>
      <c r="E231" s="561"/>
      <c r="F231" s="561"/>
      <c r="G231" s="561"/>
      <c r="H231" s="561"/>
      <c r="I231" s="561"/>
      <c r="J231" s="561"/>
      <c r="K231" s="561"/>
      <c r="L231" s="560"/>
      <c r="M231" s="559"/>
      <c r="N231" s="558"/>
    </row>
    <row r="232" spans="1:32" s="536" customFormat="1" x14ac:dyDescent="0.2">
      <c r="A232" s="557"/>
      <c r="B232" s="556"/>
      <c r="C232" s="1823" t="s">
        <v>205</v>
      </c>
      <c r="D232" s="1823"/>
      <c r="E232" s="1823"/>
      <c r="F232" s="1823"/>
      <c r="G232" s="1823"/>
      <c r="H232" s="1823"/>
      <c r="I232" s="1823"/>
      <c r="J232" s="1823"/>
      <c r="K232" s="1823"/>
      <c r="L232" s="555"/>
      <c r="M232" s="554"/>
      <c r="N232" s="553"/>
      <c r="AE232" s="537" t="s">
        <v>205</v>
      </c>
    </row>
    <row r="233" spans="1:32" s="536" customFormat="1" x14ac:dyDescent="0.2">
      <c r="A233" s="548"/>
      <c r="B233" s="552"/>
      <c r="C233" s="1822" t="s">
        <v>403</v>
      </c>
      <c r="D233" s="1822"/>
      <c r="E233" s="1822"/>
      <c r="F233" s="1822"/>
      <c r="G233" s="1822"/>
      <c r="H233" s="1822"/>
      <c r="I233" s="1822"/>
      <c r="J233" s="1822"/>
      <c r="K233" s="1822"/>
      <c r="L233" s="551">
        <v>3065.05</v>
      </c>
      <c r="M233" s="550"/>
      <c r="N233" s="549"/>
      <c r="AF233" s="537" t="s">
        <v>403</v>
      </c>
    </row>
    <row r="234" spans="1:32" s="536" customFormat="1" x14ac:dyDescent="0.2">
      <c r="A234" s="548"/>
      <c r="B234" s="552"/>
      <c r="C234" s="1822" t="s">
        <v>204</v>
      </c>
      <c r="D234" s="1822"/>
      <c r="E234" s="1822"/>
      <c r="F234" s="1822"/>
      <c r="G234" s="1822"/>
      <c r="H234" s="1822"/>
      <c r="I234" s="1822"/>
      <c r="J234" s="1822"/>
      <c r="K234" s="1822"/>
      <c r="L234" s="551"/>
      <c r="M234" s="550"/>
      <c r="N234" s="549"/>
      <c r="AF234" s="537" t="s">
        <v>204</v>
      </c>
    </row>
    <row r="235" spans="1:32" s="536" customFormat="1" x14ac:dyDescent="0.2">
      <c r="A235" s="548"/>
      <c r="B235" s="552"/>
      <c r="C235" s="1822" t="s">
        <v>404</v>
      </c>
      <c r="D235" s="1822"/>
      <c r="E235" s="1822"/>
      <c r="F235" s="1822"/>
      <c r="G235" s="1822"/>
      <c r="H235" s="1822"/>
      <c r="I235" s="1822"/>
      <c r="J235" s="1822"/>
      <c r="K235" s="1822"/>
      <c r="L235" s="551">
        <v>1214.95</v>
      </c>
      <c r="M235" s="550"/>
      <c r="N235" s="549"/>
      <c r="AF235" s="537" t="s">
        <v>404</v>
      </c>
    </row>
    <row r="236" spans="1:32" s="536" customFormat="1" x14ac:dyDescent="0.2">
      <c r="A236" s="548"/>
      <c r="B236" s="552"/>
      <c r="C236" s="1822" t="s">
        <v>405</v>
      </c>
      <c r="D236" s="1822"/>
      <c r="E236" s="1822"/>
      <c r="F236" s="1822"/>
      <c r="G236" s="1822"/>
      <c r="H236" s="1822"/>
      <c r="I236" s="1822"/>
      <c r="J236" s="1822"/>
      <c r="K236" s="1822"/>
      <c r="L236" s="551">
        <v>28.9</v>
      </c>
      <c r="M236" s="550"/>
      <c r="N236" s="549"/>
      <c r="AF236" s="537" t="s">
        <v>405</v>
      </c>
    </row>
    <row r="237" spans="1:32" s="536" customFormat="1" x14ac:dyDescent="0.2">
      <c r="A237" s="548"/>
      <c r="B237" s="552"/>
      <c r="C237" s="1822" t="s">
        <v>406</v>
      </c>
      <c r="D237" s="1822"/>
      <c r="E237" s="1822"/>
      <c r="F237" s="1822"/>
      <c r="G237" s="1822"/>
      <c r="H237" s="1822"/>
      <c r="I237" s="1822"/>
      <c r="J237" s="1822"/>
      <c r="K237" s="1822"/>
      <c r="L237" s="551">
        <v>3.86</v>
      </c>
      <c r="M237" s="550"/>
      <c r="N237" s="549"/>
      <c r="AF237" s="537" t="s">
        <v>406</v>
      </c>
    </row>
    <row r="238" spans="1:32" s="536" customFormat="1" x14ac:dyDescent="0.2">
      <c r="A238" s="548"/>
      <c r="B238" s="552"/>
      <c r="C238" s="1822" t="s">
        <v>480</v>
      </c>
      <c r="D238" s="1822"/>
      <c r="E238" s="1822"/>
      <c r="F238" s="1822"/>
      <c r="G238" s="1822"/>
      <c r="H238" s="1822"/>
      <c r="I238" s="1822"/>
      <c r="J238" s="1822"/>
      <c r="K238" s="1822"/>
      <c r="L238" s="551">
        <v>1821.2</v>
      </c>
      <c r="M238" s="550"/>
      <c r="N238" s="549"/>
      <c r="AF238" s="537" t="s">
        <v>480</v>
      </c>
    </row>
    <row r="239" spans="1:32" s="536" customFormat="1" x14ac:dyDescent="0.2">
      <c r="A239" s="548"/>
      <c r="B239" s="552" t="s">
        <v>185</v>
      </c>
      <c r="C239" s="1822" t="s">
        <v>753</v>
      </c>
      <c r="D239" s="1822"/>
      <c r="E239" s="1822"/>
      <c r="F239" s="1822"/>
      <c r="G239" s="1822"/>
      <c r="H239" s="1822"/>
      <c r="I239" s="1822"/>
      <c r="J239" s="1822"/>
      <c r="K239" s="1822"/>
      <c r="L239" s="551">
        <v>4766.8599999999997</v>
      </c>
      <c r="M239" s="550">
        <v>8.32</v>
      </c>
      <c r="N239" s="549">
        <v>39660</v>
      </c>
      <c r="AF239" s="537" t="s">
        <v>753</v>
      </c>
    </row>
    <row r="240" spans="1:32" s="536" customFormat="1" x14ac:dyDescent="0.2">
      <c r="A240" s="548"/>
      <c r="B240" s="552"/>
      <c r="C240" s="1822" t="s">
        <v>204</v>
      </c>
      <c r="D240" s="1822"/>
      <c r="E240" s="1822"/>
      <c r="F240" s="1822"/>
      <c r="G240" s="1822"/>
      <c r="H240" s="1822"/>
      <c r="I240" s="1822"/>
      <c r="J240" s="1822"/>
      <c r="K240" s="1822"/>
      <c r="L240" s="551"/>
      <c r="M240" s="550"/>
      <c r="N240" s="549"/>
      <c r="AF240" s="537" t="s">
        <v>204</v>
      </c>
    </row>
    <row r="241" spans="1:33" s="536" customFormat="1" x14ac:dyDescent="0.2">
      <c r="A241" s="548"/>
      <c r="B241" s="552"/>
      <c r="C241" s="1822" t="s">
        <v>546</v>
      </c>
      <c r="D241" s="1822"/>
      <c r="E241" s="1822"/>
      <c r="F241" s="1822"/>
      <c r="G241" s="1822"/>
      <c r="H241" s="1822"/>
      <c r="I241" s="1822"/>
      <c r="J241" s="1822"/>
      <c r="K241" s="1822"/>
      <c r="L241" s="551">
        <v>1214.95</v>
      </c>
      <c r="M241" s="550"/>
      <c r="N241" s="549"/>
      <c r="AF241" s="537" t="s">
        <v>546</v>
      </c>
    </row>
    <row r="242" spans="1:33" s="536" customFormat="1" x14ac:dyDescent="0.2">
      <c r="A242" s="548"/>
      <c r="B242" s="552"/>
      <c r="C242" s="1822" t="s">
        <v>442</v>
      </c>
      <c r="D242" s="1822"/>
      <c r="E242" s="1822"/>
      <c r="F242" s="1822"/>
      <c r="G242" s="1822"/>
      <c r="H242" s="1822"/>
      <c r="I242" s="1822"/>
      <c r="J242" s="1822"/>
      <c r="K242" s="1822"/>
      <c r="L242" s="551">
        <v>28.9</v>
      </c>
      <c r="M242" s="550"/>
      <c r="N242" s="549"/>
      <c r="AF242" s="537" t="s">
        <v>442</v>
      </c>
    </row>
    <row r="243" spans="1:33" s="536" customFormat="1" x14ac:dyDescent="0.2">
      <c r="A243" s="548"/>
      <c r="B243" s="552"/>
      <c r="C243" s="1822" t="s">
        <v>547</v>
      </c>
      <c r="D243" s="1822"/>
      <c r="E243" s="1822"/>
      <c r="F243" s="1822"/>
      <c r="G243" s="1822"/>
      <c r="H243" s="1822"/>
      <c r="I243" s="1822"/>
      <c r="J243" s="1822"/>
      <c r="K243" s="1822"/>
      <c r="L243" s="551">
        <v>1821.2</v>
      </c>
      <c r="M243" s="550"/>
      <c r="N243" s="549"/>
      <c r="AF243" s="537" t="s">
        <v>547</v>
      </c>
    </row>
    <row r="244" spans="1:33" s="536" customFormat="1" x14ac:dyDescent="0.2">
      <c r="A244" s="548"/>
      <c r="B244" s="552"/>
      <c r="C244" s="1822" t="s">
        <v>443</v>
      </c>
      <c r="D244" s="1822"/>
      <c r="E244" s="1822"/>
      <c r="F244" s="1822"/>
      <c r="G244" s="1822"/>
      <c r="H244" s="1822"/>
      <c r="I244" s="1822"/>
      <c r="J244" s="1822"/>
      <c r="K244" s="1822"/>
      <c r="L244" s="551">
        <v>1121.4100000000001</v>
      </c>
      <c r="M244" s="550"/>
      <c r="N244" s="549"/>
      <c r="AF244" s="537" t="s">
        <v>443</v>
      </c>
    </row>
    <row r="245" spans="1:33" s="536" customFormat="1" x14ac:dyDescent="0.2">
      <c r="A245" s="548"/>
      <c r="B245" s="552"/>
      <c r="C245" s="1822" t="s">
        <v>444</v>
      </c>
      <c r="D245" s="1822"/>
      <c r="E245" s="1822"/>
      <c r="F245" s="1822"/>
      <c r="G245" s="1822"/>
      <c r="H245" s="1822"/>
      <c r="I245" s="1822"/>
      <c r="J245" s="1822"/>
      <c r="K245" s="1822"/>
      <c r="L245" s="551">
        <v>580.4</v>
      </c>
      <c r="M245" s="550"/>
      <c r="N245" s="549"/>
      <c r="AF245" s="537" t="s">
        <v>444</v>
      </c>
    </row>
    <row r="246" spans="1:33" s="536" customFormat="1" x14ac:dyDescent="0.2">
      <c r="A246" s="548"/>
      <c r="B246" s="552"/>
      <c r="C246" s="1822" t="s">
        <v>754</v>
      </c>
      <c r="D246" s="1822"/>
      <c r="E246" s="1822"/>
      <c r="F246" s="1822"/>
      <c r="G246" s="1822"/>
      <c r="H246" s="1822"/>
      <c r="I246" s="1822"/>
      <c r="J246" s="1822"/>
      <c r="K246" s="1822"/>
      <c r="L246" s="551">
        <v>34351.54</v>
      </c>
      <c r="M246" s="550"/>
      <c r="N246" s="549">
        <v>157674</v>
      </c>
      <c r="AF246" s="537" t="s">
        <v>754</v>
      </c>
    </row>
    <row r="247" spans="1:33" s="536" customFormat="1" x14ac:dyDescent="0.2">
      <c r="A247" s="548"/>
      <c r="B247" s="552" t="s">
        <v>186</v>
      </c>
      <c r="C247" s="1822" t="s">
        <v>2223</v>
      </c>
      <c r="D247" s="1822"/>
      <c r="E247" s="1822"/>
      <c r="F247" s="1822"/>
      <c r="G247" s="1822"/>
      <c r="H247" s="1822"/>
      <c r="I247" s="1822"/>
      <c r="J247" s="1822"/>
      <c r="K247" s="1822"/>
      <c r="L247" s="551">
        <v>31883</v>
      </c>
      <c r="M247" s="550">
        <v>4.59</v>
      </c>
      <c r="N247" s="549">
        <v>146343</v>
      </c>
      <c r="AF247" s="537" t="s">
        <v>2223</v>
      </c>
    </row>
    <row r="248" spans="1:33" s="536" customFormat="1" x14ac:dyDescent="0.2">
      <c r="A248" s="548"/>
      <c r="B248" s="552" t="s">
        <v>186</v>
      </c>
      <c r="C248" s="1822" t="s">
        <v>2224</v>
      </c>
      <c r="D248" s="1822"/>
      <c r="E248" s="1822"/>
      <c r="F248" s="1822"/>
      <c r="G248" s="1822"/>
      <c r="H248" s="1822"/>
      <c r="I248" s="1822"/>
      <c r="J248" s="1822"/>
      <c r="K248" s="1822"/>
      <c r="L248" s="551">
        <v>2468.54</v>
      </c>
      <c r="M248" s="550">
        <v>4.59</v>
      </c>
      <c r="N248" s="549">
        <v>11331</v>
      </c>
      <c r="AF248" s="537" t="s">
        <v>2224</v>
      </c>
    </row>
    <row r="249" spans="1:33" s="536" customFormat="1" x14ac:dyDescent="0.2">
      <c r="A249" s="548"/>
      <c r="B249" s="552"/>
      <c r="C249" s="1822" t="s">
        <v>415</v>
      </c>
      <c r="D249" s="1822"/>
      <c r="E249" s="1822"/>
      <c r="F249" s="1822"/>
      <c r="G249" s="1822"/>
      <c r="H249" s="1822"/>
      <c r="I249" s="1822"/>
      <c r="J249" s="1822"/>
      <c r="K249" s="1822"/>
      <c r="L249" s="551">
        <v>1218.81</v>
      </c>
      <c r="M249" s="550"/>
      <c r="N249" s="549"/>
      <c r="AF249" s="537" t="s">
        <v>415</v>
      </c>
    </row>
    <row r="250" spans="1:33" s="536" customFormat="1" x14ac:dyDescent="0.2">
      <c r="A250" s="548"/>
      <c r="B250" s="552"/>
      <c r="C250" s="1822" t="s">
        <v>416</v>
      </c>
      <c r="D250" s="1822"/>
      <c r="E250" s="1822"/>
      <c r="F250" s="1822"/>
      <c r="G250" s="1822"/>
      <c r="H250" s="1822"/>
      <c r="I250" s="1822"/>
      <c r="J250" s="1822"/>
      <c r="K250" s="1822"/>
      <c r="L250" s="551">
        <v>1121.4100000000001</v>
      </c>
      <c r="M250" s="550"/>
      <c r="N250" s="549"/>
      <c r="AF250" s="537" t="s">
        <v>416</v>
      </c>
    </row>
    <row r="251" spans="1:33" s="536" customFormat="1" x14ac:dyDescent="0.2">
      <c r="A251" s="548"/>
      <c r="B251" s="552"/>
      <c r="C251" s="1822" t="s">
        <v>417</v>
      </c>
      <c r="D251" s="1822"/>
      <c r="E251" s="1822"/>
      <c r="F251" s="1822"/>
      <c r="G251" s="1822"/>
      <c r="H251" s="1822"/>
      <c r="I251" s="1822"/>
      <c r="J251" s="1822"/>
      <c r="K251" s="1822"/>
      <c r="L251" s="551">
        <v>580.4</v>
      </c>
      <c r="M251" s="550"/>
      <c r="N251" s="549"/>
      <c r="AF251" s="537" t="s">
        <v>417</v>
      </c>
    </row>
    <row r="252" spans="1:33" s="536" customFormat="1" x14ac:dyDescent="0.2">
      <c r="A252" s="548"/>
      <c r="B252" s="546"/>
      <c r="C252" s="1819" t="s">
        <v>206</v>
      </c>
      <c r="D252" s="1819"/>
      <c r="E252" s="1819"/>
      <c r="F252" s="1819"/>
      <c r="G252" s="1819"/>
      <c r="H252" s="1819"/>
      <c r="I252" s="1819"/>
      <c r="J252" s="1819"/>
      <c r="K252" s="1819"/>
      <c r="L252" s="544">
        <v>39118.400000000001</v>
      </c>
      <c r="M252" s="543"/>
      <c r="N252" s="547">
        <v>197334</v>
      </c>
      <c r="AG252" s="537" t="s">
        <v>206</v>
      </c>
    </row>
    <row r="253" spans="1:33" s="536" customFormat="1" x14ac:dyDescent="0.2">
      <c r="A253" s="548"/>
      <c r="B253" s="552"/>
      <c r="C253" s="1822" t="s">
        <v>204</v>
      </c>
      <c r="D253" s="1822"/>
      <c r="E253" s="1822"/>
      <c r="F253" s="1822"/>
      <c r="G253" s="1822"/>
      <c r="H253" s="1822"/>
      <c r="I253" s="1822"/>
      <c r="J253" s="1822"/>
      <c r="K253" s="1822"/>
      <c r="L253" s="551"/>
      <c r="M253" s="550"/>
      <c r="N253" s="549"/>
      <c r="AF253" s="537" t="s">
        <v>204</v>
      </c>
    </row>
    <row r="254" spans="1:33" s="536" customFormat="1" x14ac:dyDescent="0.2">
      <c r="A254" s="548"/>
      <c r="B254" s="552"/>
      <c r="C254" s="1822" t="s">
        <v>8095</v>
      </c>
      <c r="D254" s="1822"/>
      <c r="E254" s="1822"/>
      <c r="F254" s="1822"/>
      <c r="G254" s="1822"/>
      <c r="H254" s="1822"/>
      <c r="I254" s="1822"/>
      <c r="J254" s="1822"/>
      <c r="K254" s="1822"/>
      <c r="L254" s="551">
        <v>804.81</v>
      </c>
      <c r="M254" s="550"/>
      <c r="N254" s="549">
        <v>6696</v>
      </c>
      <c r="AF254" s="537" t="s">
        <v>8095</v>
      </c>
    </row>
    <row r="255" spans="1:33" s="536" customFormat="1" x14ac:dyDescent="0.2">
      <c r="A255" s="548"/>
      <c r="B255" s="552"/>
      <c r="C255" s="1822" t="s">
        <v>8097</v>
      </c>
      <c r="D255" s="1822"/>
      <c r="E255" s="1822"/>
      <c r="F255" s="1822"/>
      <c r="G255" s="1822"/>
      <c r="H255" s="1822"/>
      <c r="I255" s="1822"/>
      <c r="J255" s="1822"/>
      <c r="K255" s="1822"/>
      <c r="L255" s="551"/>
      <c r="M255" s="550"/>
      <c r="N255" s="549">
        <v>146343</v>
      </c>
      <c r="AF255" s="537" t="s">
        <v>8097</v>
      </c>
    </row>
    <row r="256" spans="1:33" s="536" customFormat="1" ht="1.5" customHeight="1" x14ac:dyDescent="0.2">
      <c r="B256" s="546"/>
      <c r="C256" s="656"/>
      <c r="D256" s="656"/>
      <c r="E256" s="656"/>
      <c r="F256" s="656"/>
      <c r="G256" s="656"/>
      <c r="H256" s="656"/>
      <c r="I256" s="656"/>
      <c r="J256" s="656"/>
      <c r="K256" s="656"/>
      <c r="L256" s="544"/>
      <c r="M256" s="543"/>
      <c r="N256" s="542"/>
    </row>
    <row r="257" spans="1:34" ht="53.25" customHeight="1" x14ac:dyDescent="0.2">
      <c r="A257" s="541"/>
      <c r="B257" s="541"/>
      <c r="C257" s="541"/>
      <c r="D257" s="541"/>
      <c r="E257" s="541"/>
      <c r="F257" s="541"/>
      <c r="G257" s="541"/>
      <c r="H257" s="541"/>
      <c r="I257" s="541"/>
      <c r="J257" s="541"/>
      <c r="K257" s="541"/>
      <c r="L257" s="541"/>
      <c r="M257" s="541"/>
      <c r="N257" s="541"/>
      <c r="O257" s="536"/>
      <c r="P257" s="536"/>
      <c r="Q257" s="536"/>
      <c r="R257" s="536"/>
      <c r="S257" s="536"/>
      <c r="T257" s="536"/>
      <c r="U257" s="536"/>
      <c r="V257" s="536"/>
      <c r="W257" s="536"/>
      <c r="X257" s="536"/>
      <c r="Y257" s="536"/>
      <c r="Z257" s="536"/>
      <c r="AA257" s="536"/>
      <c r="AB257" s="536"/>
      <c r="AC257" s="536"/>
      <c r="AD257" s="536"/>
      <c r="AE257" s="536"/>
      <c r="AF257" s="536"/>
      <c r="AG257" s="536"/>
      <c r="AH257" s="536"/>
    </row>
    <row r="258" spans="1:34" x14ac:dyDescent="0.2">
      <c r="B258" s="539" t="s">
        <v>149</v>
      </c>
      <c r="C258" s="1943" t="s">
        <v>207</v>
      </c>
      <c r="D258" s="1943"/>
      <c r="E258" s="1943"/>
      <c r="F258" s="1943"/>
      <c r="G258" s="1943"/>
      <c r="H258" s="1943"/>
      <c r="I258" s="1943"/>
      <c r="J258" s="1943"/>
      <c r="K258" s="1943"/>
      <c r="L258" s="1943"/>
      <c r="O258" s="536"/>
    </row>
    <row r="259" spans="1:34" ht="13.5" customHeight="1" x14ac:dyDescent="0.2">
      <c r="B259" s="540"/>
      <c r="C259" s="1821" t="s">
        <v>150</v>
      </c>
      <c r="D259" s="1821"/>
      <c r="E259" s="1821"/>
      <c r="F259" s="1821"/>
      <c r="G259" s="1821"/>
      <c r="H259" s="1821"/>
      <c r="I259" s="1821"/>
      <c r="J259" s="1821"/>
      <c r="K259" s="1821"/>
      <c r="L259" s="1821"/>
      <c r="O259" s="536"/>
    </row>
    <row r="260" spans="1:34" ht="12.75" customHeight="1" x14ac:dyDescent="0.2">
      <c r="B260" s="539" t="s">
        <v>151</v>
      </c>
      <c r="C260" s="1943" t="s">
        <v>208</v>
      </c>
      <c r="D260" s="1943"/>
      <c r="E260" s="1943"/>
      <c r="F260" s="1943"/>
      <c r="G260" s="1943"/>
      <c r="H260" s="1943"/>
      <c r="I260" s="1943"/>
      <c r="J260" s="1943"/>
      <c r="K260" s="1943"/>
      <c r="L260" s="1943"/>
      <c r="O260" s="536"/>
    </row>
    <row r="261" spans="1:34" ht="13.5" customHeight="1" x14ac:dyDescent="0.2">
      <c r="C261" s="1821" t="s">
        <v>150</v>
      </c>
      <c r="D261" s="1821"/>
      <c r="E261" s="1821"/>
      <c r="F261" s="1821"/>
      <c r="G261" s="1821"/>
      <c r="H261" s="1821"/>
      <c r="I261" s="1821"/>
      <c r="J261" s="1821"/>
      <c r="K261" s="1821"/>
      <c r="L261" s="1821"/>
      <c r="O261" s="536"/>
    </row>
    <row r="263" spans="1:34" x14ac:dyDescent="0.2">
      <c r="A263" s="1944"/>
      <c r="B263" s="1944"/>
      <c r="C263" s="1944"/>
      <c r="D263" s="1944"/>
      <c r="E263" s="1944"/>
      <c r="F263" s="1944"/>
      <c r="G263" s="1944"/>
      <c r="H263" s="1944"/>
      <c r="I263" s="1944"/>
      <c r="J263" s="1944"/>
      <c r="K263" s="1944"/>
      <c r="L263" s="1944"/>
      <c r="M263" s="1944"/>
      <c r="N263" s="1944"/>
      <c r="O263" s="536"/>
      <c r="P263" s="536"/>
      <c r="Q263" s="536"/>
      <c r="R263" s="536"/>
      <c r="S263" s="536"/>
      <c r="T263" s="536"/>
      <c r="U263" s="536"/>
      <c r="V263" s="536"/>
      <c r="W263" s="536"/>
      <c r="X263" s="536"/>
      <c r="Y263" s="536"/>
      <c r="Z263" s="536"/>
      <c r="AA263" s="536"/>
      <c r="AB263" s="536"/>
      <c r="AC263" s="536"/>
      <c r="AD263" s="536"/>
      <c r="AE263" s="536"/>
      <c r="AF263" s="536"/>
      <c r="AG263" s="536"/>
      <c r="AH263" s="537" t="s">
        <v>143</v>
      </c>
    </row>
    <row r="264" spans="1:34" x14ac:dyDescent="0.2">
      <c r="B264" s="538"/>
      <c r="D264" s="538"/>
      <c r="F264" s="538"/>
      <c r="O264" s="536"/>
      <c r="P264" s="536"/>
      <c r="Q264" s="536"/>
      <c r="R264" s="536"/>
      <c r="S264" s="536"/>
      <c r="T264" s="536"/>
      <c r="U264" s="536"/>
      <c r="V264" s="536"/>
      <c r="W264" s="536"/>
      <c r="X264" s="536"/>
      <c r="Y264" s="536"/>
      <c r="Z264" s="536"/>
      <c r="AA264" s="536"/>
      <c r="AB264" s="536"/>
      <c r="AC264" s="536"/>
      <c r="AD264" s="536"/>
      <c r="AE264" s="536"/>
      <c r="AF264" s="536"/>
      <c r="AG264" s="536"/>
      <c r="AH264" s="536"/>
    </row>
  </sheetData>
  <mergeCells count="226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2:N42"/>
    <mergeCell ref="C43:E43"/>
    <mergeCell ref="C45:N45"/>
    <mergeCell ref="C46:E46"/>
    <mergeCell ref="C48:N48"/>
    <mergeCell ref="C49:E49"/>
    <mergeCell ref="J35:L36"/>
    <mergeCell ref="M35:M37"/>
    <mergeCell ref="N35:N37"/>
    <mergeCell ref="C38:E38"/>
    <mergeCell ref="A39:N39"/>
    <mergeCell ref="C40:E40"/>
    <mergeCell ref="C57:E57"/>
    <mergeCell ref="C58:E58"/>
    <mergeCell ref="C59:E59"/>
    <mergeCell ref="C60:E60"/>
    <mergeCell ref="C61:E61"/>
    <mergeCell ref="C62:E62"/>
    <mergeCell ref="C51:N51"/>
    <mergeCell ref="C52:E52"/>
    <mergeCell ref="C53:N53"/>
    <mergeCell ref="C54:E54"/>
    <mergeCell ref="C55:E55"/>
    <mergeCell ref="C56:E56"/>
    <mergeCell ref="C70:E70"/>
    <mergeCell ref="C71:E71"/>
    <mergeCell ref="C72:E72"/>
    <mergeCell ref="C73:E73"/>
    <mergeCell ref="C74:E74"/>
    <mergeCell ref="C75:E75"/>
    <mergeCell ref="C64:N64"/>
    <mergeCell ref="C65:E65"/>
    <mergeCell ref="C66:N66"/>
    <mergeCell ref="C67:E67"/>
    <mergeCell ref="C68:E68"/>
    <mergeCell ref="C69:E69"/>
    <mergeCell ref="C83:E83"/>
    <mergeCell ref="C84:E84"/>
    <mergeCell ref="C85:E85"/>
    <mergeCell ref="C86:E86"/>
    <mergeCell ref="C87:E87"/>
    <mergeCell ref="C88:E88"/>
    <mergeCell ref="C76:E76"/>
    <mergeCell ref="C78:N78"/>
    <mergeCell ref="C79:E79"/>
    <mergeCell ref="C80:N80"/>
    <mergeCell ref="C81:N81"/>
    <mergeCell ref="C82:E82"/>
    <mergeCell ref="C97:E97"/>
    <mergeCell ref="C98:E98"/>
    <mergeCell ref="C99:E99"/>
    <mergeCell ref="C100:E100"/>
    <mergeCell ref="C101:E101"/>
    <mergeCell ref="C102:E102"/>
    <mergeCell ref="C89:E89"/>
    <mergeCell ref="C90:E90"/>
    <mergeCell ref="C92:E92"/>
    <mergeCell ref="C94:N94"/>
    <mergeCell ref="C95:E95"/>
    <mergeCell ref="C96:N96"/>
    <mergeCell ref="C110:N110"/>
    <mergeCell ref="C111:E111"/>
    <mergeCell ref="C112:N112"/>
    <mergeCell ref="C113:N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122:E122"/>
    <mergeCell ref="C124:N124"/>
    <mergeCell ref="C125:E125"/>
    <mergeCell ref="C127:E127"/>
    <mergeCell ref="C128:N128"/>
    <mergeCell ref="C129:E129"/>
    <mergeCell ref="C116:E116"/>
    <mergeCell ref="C117:E117"/>
    <mergeCell ref="C118:E118"/>
    <mergeCell ref="C119:E119"/>
    <mergeCell ref="C120:E120"/>
    <mergeCell ref="C121:E121"/>
    <mergeCell ref="C136:E136"/>
    <mergeCell ref="C137:E137"/>
    <mergeCell ref="C139:N139"/>
    <mergeCell ref="C140:E140"/>
    <mergeCell ref="C142:N142"/>
    <mergeCell ref="C143:E143"/>
    <mergeCell ref="C130:E130"/>
    <mergeCell ref="C131:E131"/>
    <mergeCell ref="C132:E132"/>
    <mergeCell ref="C133:E133"/>
    <mergeCell ref="C134:E134"/>
    <mergeCell ref="C135:E135"/>
    <mergeCell ref="C150:E150"/>
    <mergeCell ref="C151:E151"/>
    <mergeCell ref="C152:E152"/>
    <mergeCell ref="C153:E153"/>
    <mergeCell ref="C154:E154"/>
    <mergeCell ref="C155:E155"/>
    <mergeCell ref="C144:N144"/>
    <mergeCell ref="C145:N145"/>
    <mergeCell ref="C146:E146"/>
    <mergeCell ref="C147:E147"/>
    <mergeCell ref="C148:E148"/>
    <mergeCell ref="C149:E149"/>
    <mergeCell ref="C164:N164"/>
    <mergeCell ref="C165:N165"/>
    <mergeCell ref="C166:E166"/>
    <mergeCell ref="C167:E167"/>
    <mergeCell ref="C168:E168"/>
    <mergeCell ref="C169:E169"/>
    <mergeCell ref="C156:E156"/>
    <mergeCell ref="C157:E157"/>
    <mergeCell ref="C159:N159"/>
    <mergeCell ref="C160:E160"/>
    <mergeCell ref="C162:N162"/>
    <mergeCell ref="C163:E163"/>
    <mergeCell ref="C176:E176"/>
    <mergeCell ref="C177:E177"/>
    <mergeCell ref="C179:N179"/>
    <mergeCell ref="C180:E180"/>
    <mergeCell ref="C181:N181"/>
    <mergeCell ref="C182:N182"/>
    <mergeCell ref="C170:E170"/>
    <mergeCell ref="C171:E171"/>
    <mergeCell ref="C172:E172"/>
    <mergeCell ref="C173:E173"/>
    <mergeCell ref="C174:E174"/>
    <mergeCell ref="C175:E175"/>
    <mergeCell ref="C189:E189"/>
    <mergeCell ref="C190:E190"/>
    <mergeCell ref="C191:E191"/>
    <mergeCell ref="C192:E192"/>
    <mergeCell ref="C193:E193"/>
    <mergeCell ref="C194:E194"/>
    <mergeCell ref="C183:E183"/>
    <mergeCell ref="C184:E184"/>
    <mergeCell ref="C185:E185"/>
    <mergeCell ref="C186:E186"/>
    <mergeCell ref="C187:E187"/>
    <mergeCell ref="C188:E188"/>
    <mergeCell ref="C202:E202"/>
    <mergeCell ref="C203:E203"/>
    <mergeCell ref="C204:E204"/>
    <mergeCell ref="C205:E205"/>
    <mergeCell ref="C206:E206"/>
    <mergeCell ref="C207:E207"/>
    <mergeCell ref="C196:N196"/>
    <mergeCell ref="C197:E197"/>
    <mergeCell ref="C198:N198"/>
    <mergeCell ref="C199:N199"/>
    <mergeCell ref="C200:E200"/>
    <mergeCell ref="C201:E201"/>
    <mergeCell ref="C215:N215"/>
    <mergeCell ref="C216:E216"/>
    <mergeCell ref="C217:E217"/>
    <mergeCell ref="C218:E218"/>
    <mergeCell ref="C219:E219"/>
    <mergeCell ref="C220:E220"/>
    <mergeCell ref="C208:E208"/>
    <mergeCell ref="C209:E209"/>
    <mergeCell ref="C210:E210"/>
    <mergeCell ref="C211:E211"/>
    <mergeCell ref="C213:N213"/>
    <mergeCell ref="C214:E214"/>
    <mergeCell ref="C229:N229"/>
    <mergeCell ref="C232:K232"/>
    <mergeCell ref="C233:K233"/>
    <mergeCell ref="C234:K234"/>
    <mergeCell ref="C235:K235"/>
    <mergeCell ref="C236:K236"/>
    <mergeCell ref="C221:E221"/>
    <mergeCell ref="C222:E222"/>
    <mergeCell ref="C223:E223"/>
    <mergeCell ref="C224:E224"/>
    <mergeCell ref="C226:N226"/>
    <mergeCell ref="C227:E227"/>
    <mergeCell ref="C243:K243"/>
    <mergeCell ref="C244:K244"/>
    <mergeCell ref="C245:K245"/>
    <mergeCell ref="C246:K246"/>
    <mergeCell ref="C247:K247"/>
    <mergeCell ref="C248:K248"/>
    <mergeCell ref="C237:K237"/>
    <mergeCell ref="C238:K238"/>
    <mergeCell ref="C239:K239"/>
    <mergeCell ref="C240:K240"/>
    <mergeCell ref="C241:K241"/>
    <mergeCell ref="C242:K242"/>
    <mergeCell ref="C255:K255"/>
    <mergeCell ref="C258:L258"/>
    <mergeCell ref="C259:L259"/>
    <mergeCell ref="C260:L260"/>
    <mergeCell ref="C261:L261"/>
    <mergeCell ref="A263:N263"/>
    <mergeCell ref="C249:K249"/>
    <mergeCell ref="C250:K250"/>
    <mergeCell ref="C251:K251"/>
    <mergeCell ref="C252:K252"/>
    <mergeCell ref="C253:K253"/>
    <mergeCell ref="C254:K254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26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/>
  <dimension ref="A1:AG307"/>
  <sheetViews>
    <sheetView topLeftCell="A269" zoomScale="115" zoomScaleNormal="115" workbookViewId="0"/>
  </sheetViews>
  <sheetFormatPr defaultColWidth="9.140625" defaultRowHeight="11.25" customHeight="1" x14ac:dyDescent="0.25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600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4" width="110.140625" style="537" hidden="1" customWidth="1"/>
    <col min="25" max="28" width="34.140625" style="537" hidden="1" customWidth="1"/>
    <col min="29" max="29" width="110.140625" style="537" hidden="1" customWidth="1"/>
    <col min="30" max="30" width="34.140625" style="537" hidden="1" customWidth="1"/>
    <col min="31" max="33" width="84.42578125" style="537" hidden="1" customWidth="1"/>
    <col min="34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1806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1806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8180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48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48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8181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106.35</v>
      </c>
      <c r="D28" s="579" t="s">
        <v>8182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9.0500000000000007</v>
      </c>
      <c r="D30" s="579" t="s">
        <v>8183</v>
      </c>
      <c r="E30" s="665" t="s">
        <v>167</v>
      </c>
      <c r="G30" s="536" t="s">
        <v>170</v>
      </c>
      <c r="L30" s="580">
        <v>0</v>
      </c>
      <c r="M30" s="579" t="s">
        <v>8184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35.85</v>
      </c>
      <c r="D31" s="583" t="s">
        <v>8185</v>
      </c>
      <c r="E31" s="665" t="s">
        <v>167</v>
      </c>
      <c r="G31" s="536" t="s">
        <v>172</v>
      </c>
      <c r="L31" s="582"/>
      <c r="M31" s="582">
        <v>85.43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61.45</v>
      </c>
      <c r="D32" s="583" t="s">
        <v>8186</v>
      </c>
      <c r="E32" s="665" t="s">
        <v>167</v>
      </c>
      <c r="G32" s="536" t="s">
        <v>174</v>
      </c>
      <c r="L32" s="582"/>
      <c r="M32" s="582">
        <v>0.84</v>
      </c>
      <c r="N32" s="581" t="s">
        <v>173</v>
      </c>
    </row>
    <row r="33" spans="1:27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7" s="536" customFormat="1" ht="9.75" customHeight="1" x14ac:dyDescent="0.2">
      <c r="A34" s="578"/>
    </row>
    <row r="35" spans="1:27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7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7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7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7" s="536" customFormat="1" ht="12" x14ac:dyDescent="0.2">
      <c r="A39" s="1824" t="s">
        <v>3066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3066</v>
      </c>
    </row>
    <row r="40" spans="1:27" s="536" customFormat="1" ht="33.75" x14ac:dyDescent="0.2">
      <c r="A40" s="575" t="s">
        <v>185</v>
      </c>
      <c r="B40" s="670" t="s">
        <v>3160</v>
      </c>
      <c r="C40" s="1823" t="s">
        <v>3161</v>
      </c>
      <c r="D40" s="1823"/>
      <c r="E40" s="1823"/>
      <c r="F40" s="573" t="s">
        <v>617</v>
      </c>
      <c r="G40" s="573"/>
      <c r="H40" s="573"/>
      <c r="I40" s="573" t="s">
        <v>187</v>
      </c>
      <c r="J40" s="572"/>
      <c r="K40" s="573"/>
      <c r="L40" s="572"/>
      <c r="M40" s="571"/>
      <c r="N40" s="570"/>
      <c r="V40" s="674"/>
      <c r="W40" s="675" t="s">
        <v>3161</v>
      </c>
    </row>
    <row r="41" spans="1:27" s="536" customFormat="1" ht="33.75" x14ac:dyDescent="0.2">
      <c r="A41" s="609"/>
      <c r="B41" s="552" t="s">
        <v>310</v>
      </c>
      <c r="C41" s="1822" t="s">
        <v>311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311</v>
      </c>
    </row>
    <row r="42" spans="1:27" s="536" customFormat="1" ht="12" x14ac:dyDescent="0.2">
      <c r="A42" s="605"/>
      <c r="B42" s="552" t="s">
        <v>185</v>
      </c>
      <c r="C42" s="1822" t="s">
        <v>312</v>
      </c>
      <c r="D42" s="1822"/>
      <c r="E42" s="1822"/>
      <c r="F42" s="562"/>
      <c r="G42" s="562"/>
      <c r="H42" s="562"/>
      <c r="I42" s="562"/>
      <c r="J42" s="604">
        <v>2.0699999999999998</v>
      </c>
      <c r="K42" s="562" t="s">
        <v>313</v>
      </c>
      <c r="L42" s="604">
        <v>7.76</v>
      </c>
      <c r="M42" s="603"/>
      <c r="N42" s="602"/>
      <c r="V42" s="674"/>
      <c r="W42" s="675"/>
      <c r="Y42" s="537" t="s">
        <v>312</v>
      </c>
    </row>
    <row r="43" spans="1:27" s="536" customFormat="1" ht="12" x14ac:dyDescent="0.2">
      <c r="A43" s="605"/>
      <c r="B43" s="552" t="s">
        <v>188</v>
      </c>
      <c r="C43" s="1822" t="s">
        <v>475</v>
      </c>
      <c r="D43" s="1822"/>
      <c r="E43" s="1822"/>
      <c r="F43" s="562"/>
      <c r="G43" s="562"/>
      <c r="H43" s="562"/>
      <c r="I43" s="562"/>
      <c r="J43" s="604">
        <v>0.04</v>
      </c>
      <c r="K43" s="562"/>
      <c r="L43" s="604">
        <v>0.12</v>
      </c>
      <c r="M43" s="603"/>
      <c r="N43" s="602"/>
      <c r="V43" s="674"/>
      <c r="W43" s="675"/>
      <c r="Y43" s="537" t="s">
        <v>475</v>
      </c>
    </row>
    <row r="44" spans="1:27" s="536" customFormat="1" ht="12" x14ac:dyDescent="0.2">
      <c r="A44" s="605"/>
      <c r="B44" s="552"/>
      <c r="C44" s="1822" t="s">
        <v>314</v>
      </c>
      <c r="D44" s="1822"/>
      <c r="E44" s="1822"/>
      <c r="F44" s="562" t="s">
        <v>315</v>
      </c>
      <c r="G44" s="562" t="s">
        <v>2440</v>
      </c>
      <c r="H44" s="562" t="s">
        <v>313</v>
      </c>
      <c r="I44" s="562" t="s">
        <v>8187</v>
      </c>
      <c r="J44" s="604"/>
      <c r="K44" s="562"/>
      <c r="L44" s="604"/>
      <c r="M44" s="603"/>
      <c r="N44" s="602"/>
      <c r="V44" s="674"/>
      <c r="W44" s="675"/>
      <c r="Z44" s="537" t="s">
        <v>314</v>
      </c>
    </row>
    <row r="45" spans="1:27" s="536" customFormat="1" ht="12" x14ac:dyDescent="0.2">
      <c r="A45" s="605"/>
      <c r="B45" s="552"/>
      <c r="C45" s="1828" t="s">
        <v>318</v>
      </c>
      <c r="D45" s="1828"/>
      <c r="E45" s="1828"/>
      <c r="F45" s="608"/>
      <c r="G45" s="608"/>
      <c r="H45" s="608"/>
      <c r="I45" s="608"/>
      <c r="J45" s="607">
        <v>2.11</v>
      </c>
      <c r="K45" s="608"/>
      <c r="L45" s="607">
        <v>7.88</v>
      </c>
      <c r="M45" s="601"/>
      <c r="N45" s="606"/>
      <c r="V45" s="674"/>
      <c r="W45" s="675"/>
      <c r="AA45" s="537" t="s">
        <v>318</v>
      </c>
    </row>
    <row r="46" spans="1:27" s="536" customFormat="1" ht="12" x14ac:dyDescent="0.2">
      <c r="A46" s="605"/>
      <c r="B46" s="552"/>
      <c r="C46" s="1822" t="s">
        <v>319</v>
      </c>
      <c r="D46" s="1822"/>
      <c r="E46" s="1822"/>
      <c r="F46" s="562"/>
      <c r="G46" s="562"/>
      <c r="H46" s="562"/>
      <c r="I46" s="562"/>
      <c r="J46" s="604"/>
      <c r="K46" s="562"/>
      <c r="L46" s="604">
        <v>7.76</v>
      </c>
      <c r="M46" s="603"/>
      <c r="N46" s="602"/>
      <c r="V46" s="674"/>
      <c r="W46" s="675"/>
      <c r="Z46" s="537" t="s">
        <v>319</v>
      </c>
    </row>
    <row r="47" spans="1:27" s="536" customFormat="1" ht="33.75" x14ac:dyDescent="0.2">
      <c r="A47" s="605"/>
      <c r="B47" s="552" t="s">
        <v>948</v>
      </c>
      <c r="C47" s="1822" t="s">
        <v>949</v>
      </c>
      <c r="D47" s="1822"/>
      <c r="E47" s="1822"/>
      <c r="F47" s="562" t="s">
        <v>322</v>
      </c>
      <c r="G47" s="562" t="s">
        <v>886</v>
      </c>
      <c r="H47" s="562"/>
      <c r="I47" s="562" t="s">
        <v>886</v>
      </c>
      <c r="J47" s="604"/>
      <c r="K47" s="562"/>
      <c r="L47" s="604">
        <v>6.98</v>
      </c>
      <c r="M47" s="603"/>
      <c r="N47" s="602"/>
      <c r="V47" s="674"/>
      <c r="W47" s="675"/>
      <c r="Z47" s="537" t="s">
        <v>949</v>
      </c>
    </row>
    <row r="48" spans="1:27" s="536" customFormat="1" ht="33.75" x14ac:dyDescent="0.2">
      <c r="A48" s="605"/>
      <c r="B48" s="552" t="s">
        <v>950</v>
      </c>
      <c r="C48" s="1822" t="s">
        <v>951</v>
      </c>
      <c r="D48" s="1822"/>
      <c r="E48" s="1822"/>
      <c r="F48" s="562" t="s">
        <v>322</v>
      </c>
      <c r="G48" s="562" t="s">
        <v>465</v>
      </c>
      <c r="H48" s="562"/>
      <c r="I48" s="562" t="s">
        <v>465</v>
      </c>
      <c r="J48" s="604"/>
      <c r="K48" s="562"/>
      <c r="L48" s="604">
        <v>3.57</v>
      </c>
      <c r="M48" s="603"/>
      <c r="N48" s="602"/>
      <c r="V48" s="674"/>
      <c r="W48" s="675"/>
      <c r="Z48" s="537" t="s">
        <v>951</v>
      </c>
    </row>
    <row r="49" spans="1:28" s="536" customFormat="1" ht="12" x14ac:dyDescent="0.2">
      <c r="A49" s="569"/>
      <c r="B49" s="671"/>
      <c r="C49" s="1823" t="s">
        <v>327</v>
      </c>
      <c r="D49" s="1823"/>
      <c r="E49" s="1823"/>
      <c r="F49" s="573"/>
      <c r="G49" s="573"/>
      <c r="H49" s="573"/>
      <c r="I49" s="573"/>
      <c r="J49" s="572"/>
      <c r="K49" s="573"/>
      <c r="L49" s="572">
        <v>18.43</v>
      </c>
      <c r="M49" s="601"/>
      <c r="N49" s="570"/>
      <c r="V49" s="674"/>
      <c r="W49" s="675"/>
      <c r="AB49" s="675" t="s">
        <v>327</v>
      </c>
    </row>
    <row r="50" spans="1:28" s="536" customFormat="1" ht="33.75" x14ac:dyDescent="0.2">
      <c r="A50" s="575" t="s">
        <v>625</v>
      </c>
      <c r="B50" s="670" t="s">
        <v>8188</v>
      </c>
      <c r="C50" s="1823" t="s">
        <v>8189</v>
      </c>
      <c r="D50" s="1823"/>
      <c r="E50" s="1823"/>
      <c r="F50" s="573" t="s">
        <v>628</v>
      </c>
      <c r="G50" s="573"/>
      <c r="H50" s="573"/>
      <c r="I50" s="573" t="s">
        <v>187</v>
      </c>
      <c r="J50" s="572">
        <v>4335.3100000000004</v>
      </c>
      <c r="K50" s="573" t="s">
        <v>629</v>
      </c>
      <c r="L50" s="572">
        <v>2867.54</v>
      </c>
      <c r="M50" s="571">
        <v>4.59</v>
      </c>
      <c r="N50" s="570">
        <v>13162</v>
      </c>
      <c r="V50" s="674"/>
      <c r="W50" s="675" t="s">
        <v>8189</v>
      </c>
      <c r="AB50" s="675"/>
    </row>
    <row r="51" spans="1:28" s="536" customFormat="1" ht="12" x14ac:dyDescent="0.2">
      <c r="A51" s="569"/>
      <c r="B51" s="671"/>
      <c r="C51" s="665" t="s">
        <v>630</v>
      </c>
      <c r="D51" s="666"/>
      <c r="E51" s="666"/>
      <c r="F51" s="563"/>
      <c r="G51" s="563"/>
      <c r="H51" s="563"/>
      <c r="I51" s="563"/>
      <c r="J51" s="566"/>
      <c r="K51" s="563"/>
      <c r="L51" s="566"/>
      <c r="M51" s="565"/>
      <c r="N51" s="564"/>
      <c r="V51" s="674"/>
      <c r="W51" s="675"/>
      <c r="AB51" s="675"/>
    </row>
    <row r="52" spans="1:28" s="536" customFormat="1" ht="22.5" x14ac:dyDescent="0.2">
      <c r="A52" s="609"/>
      <c r="B52" s="552" t="s">
        <v>631</v>
      </c>
      <c r="C52" s="1822" t="s">
        <v>632</v>
      </c>
      <c r="D52" s="1822"/>
      <c r="E52" s="1822"/>
      <c r="F52" s="1822"/>
      <c r="G52" s="1822"/>
      <c r="H52" s="1822"/>
      <c r="I52" s="1822"/>
      <c r="J52" s="1822"/>
      <c r="K52" s="1822"/>
      <c r="L52" s="1822"/>
      <c r="M52" s="1822"/>
      <c r="N52" s="1827"/>
      <c r="V52" s="674"/>
      <c r="W52" s="675"/>
      <c r="X52" s="537" t="s">
        <v>632</v>
      </c>
      <c r="AB52" s="675"/>
    </row>
    <row r="53" spans="1:28" s="536" customFormat="1" ht="22.5" x14ac:dyDescent="0.2">
      <c r="A53" s="575" t="s">
        <v>187</v>
      </c>
      <c r="B53" s="670" t="s">
        <v>8190</v>
      </c>
      <c r="C53" s="1823" t="s">
        <v>8191</v>
      </c>
      <c r="D53" s="1823"/>
      <c r="E53" s="1823"/>
      <c r="F53" s="573" t="s">
        <v>617</v>
      </c>
      <c r="G53" s="573"/>
      <c r="H53" s="573"/>
      <c r="I53" s="573" t="s">
        <v>187</v>
      </c>
      <c r="J53" s="572"/>
      <c r="K53" s="573"/>
      <c r="L53" s="572"/>
      <c r="M53" s="571"/>
      <c r="N53" s="570"/>
      <c r="V53" s="674"/>
      <c r="W53" s="675" t="s">
        <v>8191</v>
      </c>
      <c r="AB53" s="675"/>
    </row>
    <row r="54" spans="1:28" s="536" customFormat="1" ht="33.75" x14ac:dyDescent="0.2">
      <c r="A54" s="609"/>
      <c r="B54" s="552" t="s">
        <v>310</v>
      </c>
      <c r="C54" s="1822" t="s">
        <v>311</v>
      </c>
      <c r="D54" s="1822"/>
      <c r="E54" s="1822"/>
      <c r="F54" s="1822"/>
      <c r="G54" s="1822"/>
      <c r="H54" s="1822"/>
      <c r="I54" s="1822"/>
      <c r="J54" s="1822"/>
      <c r="K54" s="1822"/>
      <c r="L54" s="1822"/>
      <c r="M54" s="1822"/>
      <c r="N54" s="1827"/>
      <c r="V54" s="674"/>
      <c r="W54" s="675"/>
      <c r="X54" s="537" t="s">
        <v>311</v>
      </c>
      <c r="AB54" s="675"/>
    </row>
    <row r="55" spans="1:28" s="536" customFormat="1" ht="12" x14ac:dyDescent="0.2">
      <c r="A55" s="605"/>
      <c r="B55" s="552" t="s">
        <v>185</v>
      </c>
      <c r="C55" s="1822" t="s">
        <v>312</v>
      </c>
      <c r="D55" s="1822"/>
      <c r="E55" s="1822"/>
      <c r="F55" s="562"/>
      <c r="G55" s="562"/>
      <c r="H55" s="562"/>
      <c r="I55" s="562"/>
      <c r="J55" s="604">
        <v>59</v>
      </c>
      <c r="K55" s="562" t="s">
        <v>313</v>
      </c>
      <c r="L55" s="604">
        <v>221.25</v>
      </c>
      <c r="M55" s="603"/>
      <c r="N55" s="602"/>
      <c r="V55" s="674"/>
      <c r="W55" s="675"/>
      <c r="Y55" s="537" t="s">
        <v>312</v>
      </c>
      <c r="AB55" s="675"/>
    </row>
    <row r="56" spans="1:28" s="536" customFormat="1" ht="12" x14ac:dyDescent="0.2">
      <c r="A56" s="605"/>
      <c r="B56" s="552" t="s">
        <v>188</v>
      </c>
      <c r="C56" s="1822" t="s">
        <v>475</v>
      </c>
      <c r="D56" s="1822"/>
      <c r="E56" s="1822"/>
      <c r="F56" s="562"/>
      <c r="G56" s="562"/>
      <c r="H56" s="562"/>
      <c r="I56" s="562"/>
      <c r="J56" s="604">
        <v>4.38</v>
      </c>
      <c r="K56" s="562"/>
      <c r="L56" s="604">
        <v>13.14</v>
      </c>
      <c r="M56" s="603"/>
      <c r="N56" s="602"/>
      <c r="V56" s="674"/>
      <c r="W56" s="675"/>
      <c r="Y56" s="537" t="s">
        <v>475</v>
      </c>
      <c r="AB56" s="675"/>
    </row>
    <row r="57" spans="1:28" s="536" customFormat="1" ht="12" x14ac:dyDescent="0.2">
      <c r="A57" s="605"/>
      <c r="B57" s="552"/>
      <c r="C57" s="1822" t="s">
        <v>314</v>
      </c>
      <c r="D57" s="1822"/>
      <c r="E57" s="1822"/>
      <c r="F57" s="562" t="s">
        <v>315</v>
      </c>
      <c r="G57" s="562" t="s">
        <v>1916</v>
      </c>
      <c r="H57" s="562" t="s">
        <v>313</v>
      </c>
      <c r="I57" s="562" t="s">
        <v>8192</v>
      </c>
      <c r="J57" s="604"/>
      <c r="K57" s="562"/>
      <c r="L57" s="604"/>
      <c r="M57" s="603"/>
      <c r="N57" s="602"/>
      <c r="V57" s="674"/>
      <c r="W57" s="675"/>
      <c r="Z57" s="537" t="s">
        <v>314</v>
      </c>
      <c r="AB57" s="675"/>
    </row>
    <row r="58" spans="1:28" s="536" customFormat="1" ht="12" x14ac:dyDescent="0.2">
      <c r="A58" s="605"/>
      <c r="B58" s="552"/>
      <c r="C58" s="1828" t="s">
        <v>318</v>
      </c>
      <c r="D58" s="1828"/>
      <c r="E58" s="1828"/>
      <c r="F58" s="608"/>
      <c r="G58" s="608"/>
      <c r="H58" s="608"/>
      <c r="I58" s="608"/>
      <c r="J58" s="607">
        <v>63.38</v>
      </c>
      <c r="K58" s="608"/>
      <c r="L58" s="607">
        <v>234.39</v>
      </c>
      <c r="M58" s="601"/>
      <c r="N58" s="606"/>
      <c r="V58" s="674"/>
      <c r="W58" s="675"/>
      <c r="AA58" s="537" t="s">
        <v>318</v>
      </c>
      <c r="AB58" s="675"/>
    </row>
    <row r="59" spans="1:28" s="536" customFormat="1" ht="12" x14ac:dyDescent="0.2">
      <c r="A59" s="605"/>
      <c r="B59" s="552"/>
      <c r="C59" s="1822" t="s">
        <v>319</v>
      </c>
      <c r="D59" s="1822"/>
      <c r="E59" s="1822"/>
      <c r="F59" s="562"/>
      <c r="G59" s="562"/>
      <c r="H59" s="562"/>
      <c r="I59" s="562"/>
      <c r="J59" s="604"/>
      <c r="K59" s="562"/>
      <c r="L59" s="604">
        <v>221.25</v>
      </c>
      <c r="M59" s="603"/>
      <c r="N59" s="602"/>
      <c r="V59" s="674"/>
      <c r="W59" s="675"/>
      <c r="Z59" s="537" t="s">
        <v>319</v>
      </c>
      <c r="AB59" s="675"/>
    </row>
    <row r="60" spans="1:28" s="536" customFormat="1" ht="33.75" x14ac:dyDescent="0.2">
      <c r="A60" s="605"/>
      <c r="B60" s="552" t="s">
        <v>884</v>
      </c>
      <c r="C60" s="1822" t="s">
        <v>885</v>
      </c>
      <c r="D60" s="1822"/>
      <c r="E60" s="1822"/>
      <c r="F60" s="562" t="s">
        <v>322</v>
      </c>
      <c r="G60" s="562" t="s">
        <v>886</v>
      </c>
      <c r="H60" s="562"/>
      <c r="I60" s="562" t="s">
        <v>886</v>
      </c>
      <c r="J60" s="604"/>
      <c r="K60" s="562"/>
      <c r="L60" s="604">
        <v>199.13</v>
      </c>
      <c r="M60" s="603"/>
      <c r="N60" s="602"/>
      <c r="V60" s="674"/>
      <c r="W60" s="675"/>
      <c r="Z60" s="537" t="s">
        <v>885</v>
      </c>
      <c r="AB60" s="675"/>
    </row>
    <row r="61" spans="1:28" s="536" customFormat="1" ht="33.75" x14ac:dyDescent="0.2">
      <c r="A61" s="605"/>
      <c r="B61" s="552" t="s">
        <v>887</v>
      </c>
      <c r="C61" s="1822" t="s">
        <v>888</v>
      </c>
      <c r="D61" s="1822"/>
      <c r="E61" s="1822"/>
      <c r="F61" s="562" t="s">
        <v>322</v>
      </c>
      <c r="G61" s="562" t="s">
        <v>465</v>
      </c>
      <c r="H61" s="562"/>
      <c r="I61" s="562" t="s">
        <v>465</v>
      </c>
      <c r="J61" s="604"/>
      <c r="K61" s="562"/>
      <c r="L61" s="604">
        <v>101.78</v>
      </c>
      <c r="M61" s="603"/>
      <c r="N61" s="602"/>
      <c r="V61" s="674"/>
      <c r="W61" s="675"/>
      <c r="Z61" s="537" t="s">
        <v>888</v>
      </c>
      <c r="AB61" s="675"/>
    </row>
    <row r="62" spans="1:28" s="536" customFormat="1" ht="12" x14ac:dyDescent="0.2">
      <c r="A62" s="569"/>
      <c r="B62" s="671"/>
      <c r="C62" s="1823" t="s">
        <v>327</v>
      </c>
      <c r="D62" s="1823"/>
      <c r="E62" s="1823"/>
      <c r="F62" s="573"/>
      <c r="G62" s="573"/>
      <c r="H62" s="573"/>
      <c r="I62" s="573"/>
      <c r="J62" s="572"/>
      <c r="K62" s="573"/>
      <c r="L62" s="572">
        <v>535.29999999999995</v>
      </c>
      <c r="M62" s="601"/>
      <c r="N62" s="570"/>
      <c r="V62" s="674"/>
      <c r="W62" s="675"/>
      <c r="AB62" s="675" t="s">
        <v>327</v>
      </c>
    </row>
    <row r="63" spans="1:28" s="536" customFormat="1" ht="22.5" x14ac:dyDescent="0.2">
      <c r="A63" s="575" t="s">
        <v>633</v>
      </c>
      <c r="B63" s="670" t="s">
        <v>8193</v>
      </c>
      <c r="C63" s="1823" t="s">
        <v>8194</v>
      </c>
      <c r="D63" s="1823"/>
      <c r="E63" s="1823"/>
      <c r="F63" s="573" t="s">
        <v>617</v>
      </c>
      <c r="G63" s="573"/>
      <c r="H63" s="573"/>
      <c r="I63" s="573" t="s">
        <v>187</v>
      </c>
      <c r="J63" s="572">
        <v>575.80999999999995</v>
      </c>
      <c r="K63" s="573"/>
      <c r="L63" s="572">
        <v>1727.43</v>
      </c>
      <c r="M63" s="571"/>
      <c r="N63" s="570"/>
      <c r="V63" s="674"/>
      <c r="W63" s="675" t="s">
        <v>8194</v>
      </c>
      <c r="AB63" s="675"/>
    </row>
    <row r="64" spans="1:28" s="536" customFormat="1" ht="12" x14ac:dyDescent="0.2">
      <c r="A64" s="569"/>
      <c r="B64" s="671"/>
      <c r="C64" s="665" t="s">
        <v>2222</v>
      </c>
      <c r="D64" s="666"/>
      <c r="E64" s="666"/>
      <c r="F64" s="563"/>
      <c r="G64" s="563"/>
      <c r="H64" s="563"/>
      <c r="I64" s="563"/>
      <c r="J64" s="566"/>
      <c r="K64" s="563"/>
      <c r="L64" s="566"/>
      <c r="M64" s="565"/>
      <c r="N64" s="564"/>
      <c r="V64" s="674"/>
      <c r="W64" s="675"/>
      <c r="AB64" s="675"/>
    </row>
    <row r="65" spans="1:28" s="536" customFormat="1" ht="22.5" x14ac:dyDescent="0.2">
      <c r="A65" s="575" t="s">
        <v>189</v>
      </c>
      <c r="B65" s="670" t="s">
        <v>8195</v>
      </c>
      <c r="C65" s="1823" t="s">
        <v>8196</v>
      </c>
      <c r="D65" s="1823"/>
      <c r="E65" s="1823"/>
      <c r="F65" s="573" t="s">
        <v>617</v>
      </c>
      <c r="G65" s="573"/>
      <c r="H65" s="573"/>
      <c r="I65" s="573" t="s">
        <v>187</v>
      </c>
      <c r="J65" s="572"/>
      <c r="K65" s="573"/>
      <c r="L65" s="572"/>
      <c r="M65" s="571"/>
      <c r="N65" s="570"/>
      <c r="V65" s="674"/>
      <c r="W65" s="675" t="s">
        <v>8196</v>
      </c>
      <c r="AB65" s="675"/>
    </row>
    <row r="66" spans="1:28" s="536" customFormat="1" ht="33.75" x14ac:dyDescent="0.2">
      <c r="A66" s="609"/>
      <c r="B66" s="552" t="s">
        <v>310</v>
      </c>
      <c r="C66" s="1822" t="s">
        <v>311</v>
      </c>
      <c r="D66" s="1822"/>
      <c r="E66" s="1822"/>
      <c r="F66" s="1822"/>
      <c r="G66" s="1822"/>
      <c r="H66" s="1822"/>
      <c r="I66" s="1822"/>
      <c r="J66" s="1822"/>
      <c r="K66" s="1822"/>
      <c r="L66" s="1822"/>
      <c r="M66" s="1822"/>
      <c r="N66" s="1827"/>
      <c r="V66" s="674"/>
      <c r="W66" s="675"/>
      <c r="X66" s="537" t="s">
        <v>311</v>
      </c>
      <c r="AB66" s="675"/>
    </row>
    <row r="67" spans="1:28" s="536" customFormat="1" ht="12" x14ac:dyDescent="0.2">
      <c r="A67" s="605"/>
      <c r="B67" s="552" t="s">
        <v>185</v>
      </c>
      <c r="C67" s="1822" t="s">
        <v>312</v>
      </c>
      <c r="D67" s="1822"/>
      <c r="E67" s="1822"/>
      <c r="F67" s="562"/>
      <c r="G67" s="562"/>
      <c r="H67" s="562"/>
      <c r="I67" s="562"/>
      <c r="J67" s="604">
        <v>36.76</v>
      </c>
      <c r="K67" s="562" t="s">
        <v>313</v>
      </c>
      <c r="L67" s="604">
        <v>137.85</v>
      </c>
      <c r="M67" s="603"/>
      <c r="N67" s="602"/>
      <c r="V67" s="674"/>
      <c r="W67" s="675"/>
      <c r="Y67" s="537" t="s">
        <v>312</v>
      </c>
      <c r="AB67" s="675"/>
    </row>
    <row r="68" spans="1:28" s="536" customFormat="1" ht="12" x14ac:dyDescent="0.2">
      <c r="A68" s="605"/>
      <c r="B68" s="552" t="s">
        <v>188</v>
      </c>
      <c r="C68" s="1822" t="s">
        <v>475</v>
      </c>
      <c r="D68" s="1822"/>
      <c r="E68" s="1822"/>
      <c r="F68" s="562"/>
      <c r="G68" s="562"/>
      <c r="H68" s="562"/>
      <c r="I68" s="562"/>
      <c r="J68" s="604">
        <v>4.5999999999999996</v>
      </c>
      <c r="K68" s="562"/>
      <c r="L68" s="604">
        <v>13.8</v>
      </c>
      <c r="M68" s="603"/>
      <c r="N68" s="602"/>
      <c r="V68" s="674"/>
      <c r="W68" s="675"/>
      <c r="Y68" s="537" t="s">
        <v>475</v>
      </c>
      <c r="AB68" s="675"/>
    </row>
    <row r="69" spans="1:28" s="536" customFormat="1" ht="12" x14ac:dyDescent="0.2">
      <c r="A69" s="605"/>
      <c r="B69" s="552"/>
      <c r="C69" s="1822" t="s">
        <v>314</v>
      </c>
      <c r="D69" s="1822"/>
      <c r="E69" s="1822"/>
      <c r="F69" s="562" t="s">
        <v>315</v>
      </c>
      <c r="G69" s="562" t="s">
        <v>1209</v>
      </c>
      <c r="H69" s="562" t="s">
        <v>313</v>
      </c>
      <c r="I69" s="562" t="s">
        <v>3162</v>
      </c>
      <c r="J69" s="604"/>
      <c r="K69" s="562"/>
      <c r="L69" s="604"/>
      <c r="M69" s="603"/>
      <c r="N69" s="602"/>
      <c r="V69" s="674"/>
      <c r="W69" s="675"/>
      <c r="Z69" s="537" t="s">
        <v>314</v>
      </c>
      <c r="AB69" s="675"/>
    </row>
    <row r="70" spans="1:28" s="536" customFormat="1" ht="12" x14ac:dyDescent="0.2">
      <c r="A70" s="605"/>
      <c r="B70" s="552"/>
      <c r="C70" s="1828" t="s">
        <v>318</v>
      </c>
      <c r="D70" s="1828"/>
      <c r="E70" s="1828"/>
      <c r="F70" s="608"/>
      <c r="G70" s="608"/>
      <c r="H70" s="608"/>
      <c r="I70" s="608"/>
      <c r="J70" s="607">
        <v>41.36</v>
      </c>
      <c r="K70" s="608"/>
      <c r="L70" s="607">
        <v>151.65</v>
      </c>
      <c r="M70" s="601"/>
      <c r="N70" s="606"/>
      <c r="V70" s="674"/>
      <c r="W70" s="675"/>
      <c r="AA70" s="537" t="s">
        <v>318</v>
      </c>
      <c r="AB70" s="675"/>
    </row>
    <row r="71" spans="1:28" s="536" customFormat="1" ht="12" x14ac:dyDescent="0.2">
      <c r="A71" s="605"/>
      <c r="B71" s="552"/>
      <c r="C71" s="1822" t="s">
        <v>319</v>
      </c>
      <c r="D71" s="1822"/>
      <c r="E71" s="1822"/>
      <c r="F71" s="562"/>
      <c r="G71" s="562"/>
      <c r="H71" s="562"/>
      <c r="I71" s="562"/>
      <c r="J71" s="604"/>
      <c r="K71" s="562"/>
      <c r="L71" s="604">
        <v>137.85</v>
      </c>
      <c r="M71" s="603"/>
      <c r="N71" s="602"/>
      <c r="V71" s="674"/>
      <c r="W71" s="675"/>
      <c r="Z71" s="537" t="s">
        <v>319</v>
      </c>
      <c r="AB71" s="675"/>
    </row>
    <row r="72" spans="1:28" s="536" customFormat="1" ht="33.75" x14ac:dyDescent="0.2">
      <c r="A72" s="605"/>
      <c r="B72" s="552" t="s">
        <v>884</v>
      </c>
      <c r="C72" s="1822" t="s">
        <v>885</v>
      </c>
      <c r="D72" s="1822"/>
      <c r="E72" s="1822"/>
      <c r="F72" s="562" t="s">
        <v>322</v>
      </c>
      <c r="G72" s="562" t="s">
        <v>886</v>
      </c>
      <c r="H72" s="562"/>
      <c r="I72" s="562" t="s">
        <v>886</v>
      </c>
      <c r="J72" s="604"/>
      <c r="K72" s="562"/>
      <c r="L72" s="604">
        <v>124.07</v>
      </c>
      <c r="M72" s="603"/>
      <c r="N72" s="602"/>
      <c r="V72" s="674"/>
      <c r="W72" s="675"/>
      <c r="Z72" s="537" t="s">
        <v>885</v>
      </c>
      <c r="AB72" s="675"/>
    </row>
    <row r="73" spans="1:28" s="536" customFormat="1" ht="33.75" x14ac:dyDescent="0.2">
      <c r="A73" s="605"/>
      <c r="B73" s="552" t="s">
        <v>887</v>
      </c>
      <c r="C73" s="1822" t="s">
        <v>888</v>
      </c>
      <c r="D73" s="1822"/>
      <c r="E73" s="1822"/>
      <c r="F73" s="562" t="s">
        <v>322</v>
      </c>
      <c r="G73" s="562" t="s">
        <v>465</v>
      </c>
      <c r="H73" s="562"/>
      <c r="I73" s="562" t="s">
        <v>465</v>
      </c>
      <c r="J73" s="604"/>
      <c r="K73" s="562"/>
      <c r="L73" s="604">
        <v>63.41</v>
      </c>
      <c r="M73" s="603"/>
      <c r="N73" s="602"/>
      <c r="V73" s="674"/>
      <c r="W73" s="675"/>
      <c r="Z73" s="537" t="s">
        <v>888</v>
      </c>
      <c r="AB73" s="675"/>
    </row>
    <row r="74" spans="1:28" s="536" customFormat="1" ht="12" x14ac:dyDescent="0.2">
      <c r="A74" s="569"/>
      <c r="B74" s="671"/>
      <c r="C74" s="1823" t="s">
        <v>327</v>
      </c>
      <c r="D74" s="1823"/>
      <c r="E74" s="1823"/>
      <c r="F74" s="573"/>
      <c r="G74" s="573"/>
      <c r="H74" s="573"/>
      <c r="I74" s="573"/>
      <c r="J74" s="572"/>
      <c r="K74" s="573"/>
      <c r="L74" s="572">
        <v>339.13</v>
      </c>
      <c r="M74" s="601"/>
      <c r="N74" s="570"/>
      <c r="V74" s="674"/>
      <c r="W74" s="675"/>
      <c r="AB74" s="675" t="s">
        <v>327</v>
      </c>
    </row>
    <row r="75" spans="1:28" s="536" customFormat="1" ht="22.5" x14ac:dyDescent="0.2">
      <c r="A75" s="575" t="s">
        <v>874</v>
      </c>
      <c r="B75" s="670" t="s">
        <v>8197</v>
      </c>
      <c r="C75" s="1823" t="s">
        <v>8198</v>
      </c>
      <c r="D75" s="1823"/>
      <c r="E75" s="1823"/>
      <c r="F75" s="573" t="s">
        <v>617</v>
      </c>
      <c r="G75" s="573"/>
      <c r="H75" s="573"/>
      <c r="I75" s="573" t="s">
        <v>187</v>
      </c>
      <c r="J75" s="572">
        <v>767.77</v>
      </c>
      <c r="K75" s="573"/>
      <c r="L75" s="572">
        <v>2303.31</v>
      </c>
      <c r="M75" s="571"/>
      <c r="N75" s="570"/>
      <c r="V75" s="674"/>
      <c r="W75" s="675" t="s">
        <v>8198</v>
      </c>
      <c r="AB75" s="675"/>
    </row>
    <row r="76" spans="1:28" s="536" customFormat="1" ht="12" x14ac:dyDescent="0.2">
      <c r="A76" s="569"/>
      <c r="B76" s="671"/>
      <c r="C76" s="665" t="s">
        <v>2222</v>
      </c>
      <c r="D76" s="666"/>
      <c r="E76" s="666"/>
      <c r="F76" s="563"/>
      <c r="G76" s="563"/>
      <c r="H76" s="563"/>
      <c r="I76" s="563"/>
      <c r="J76" s="566"/>
      <c r="K76" s="563"/>
      <c r="L76" s="566"/>
      <c r="M76" s="565"/>
      <c r="N76" s="564"/>
      <c r="V76" s="674"/>
      <c r="W76" s="675"/>
      <c r="AB76" s="675"/>
    </row>
    <row r="77" spans="1:28" s="536" customFormat="1" ht="22.5" x14ac:dyDescent="0.2">
      <c r="A77" s="575" t="s">
        <v>191</v>
      </c>
      <c r="B77" s="670" t="s">
        <v>3146</v>
      </c>
      <c r="C77" s="1823" t="s">
        <v>3147</v>
      </c>
      <c r="D77" s="1823"/>
      <c r="E77" s="1823"/>
      <c r="F77" s="573" t="s">
        <v>617</v>
      </c>
      <c r="G77" s="573"/>
      <c r="H77" s="573"/>
      <c r="I77" s="573" t="s">
        <v>187</v>
      </c>
      <c r="J77" s="572"/>
      <c r="K77" s="573"/>
      <c r="L77" s="572"/>
      <c r="M77" s="571"/>
      <c r="N77" s="570"/>
      <c r="V77" s="674"/>
      <c r="W77" s="675" t="s">
        <v>3147</v>
      </c>
      <c r="AB77" s="675"/>
    </row>
    <row r="78" spans="1:28" s="536" customFormat="1" ht="33.75" x14ac:dyDescent="0.2">
      <c r="A78" s="609"/>
      <c r="B78" s="552" t="s">
        <v>310</v>
      </c>
      <c r="C78" s="1822" t="s">
        <v>311</v>
      </c>
      <c r="D78" s="1822"/>
      <c r="E78" s="1822"/>
      <c r="F78" s="1822"/>
      <c r="G78" s="1822"/>
      <c r="H78" s="1822"/>
      <c r="I78" s="1822"/>
      <c r="J78" s="1822"/>
      <c r="K78" s="1822"/>
      <c r="L78" s="1822"/>
      <c r="M78" s="1822"/>
      <c r="N78" s="1827"/>
      <c r="V78" s="674"/>
      <c r="W78" s="675"/>
      <c r="X78" s="537" t="s">
        <v>311</v>
      </c>
      <c r="AB78" s="675"/>
    </row>
    <row r="79" spans="1:28" s="536" customFormat="1" ht="12" x14ac:dyDescent="0.2">
      <c r="A79" s="605"/>
      <c r="B79" s="552" t="s">
        <v>185</v>
      </c>
      <c r="C79" s="1822" t="s">
        <v>312</v>
      </c>
      <c r="D79" s="1822"/>
      <c r="E79" s="1822"/>
      <c r="F79" s="562"/>
      <c r="G79" s="562"/>
      <c r="H79" s="562"/>
      <c r="I79" s="562"/>
      <c r="J79" s="604">
        <v>17.059999999999999</v>
      </c>
      <c r="K79" s="562" t="s">
        <v>313</v>
      </c>
      <c r="L79" s="604">
        <v>63.98</v>
      </c>
      <c r="M79" s="603"/>
      <c r="N79" s="602"/>
      <c r="V79" s="674"/>
      <c r="W79" s="675"/>
      <c r="Y79" s="537" t="s">
        <v>312</v>
      </c>
      <c r="AB79" s="675"/>
    </row>
    <row r="80" spans="1:28" s="536" customFormat="1" ht="12" x14ac:dyDescent="0.2">
      <c r="A80" s="605"/>
      <c r="B80" s="552" t="s">
        <v>188</v>
      </c>
      <c r="C80" s="1822" t="s">
        <v>475</v>
      </c>
      <c r="D80" s="1822"/>
      <c r="E80" s="1822"/>
      <c r="F80" s="562"/>
      <c r="G80" s="562"/>
      <c r="H80" s="562"/>
      <c r="I80" s="562"/>
      <c r="J80" s="604">
        <v>0.34</v>
      </c>
      <c r="K80" s="562"/>
      <c r="L80" s="604">
        <v>1.02</v>
      </c>
      <c r="M80" s="603"/>
      <c r="N80" s="602"/>
      <c r="V80" s="674"/>
      <c r="W80" s="675"/>
      <c r="Y80" s="537" t="s">
        <v>475</v>
      </c>
      <c r="AB80" s="675"/>
    </row>
    <row r="81" spans="1:28" s="536" customFormat="1" ht="12" x14ac:dyDescent="0.2">
      <c r="A81" s="605"/>
      <c r="B81" s="552"/>
      <c r="C81" s="1822" t="s">
        <v>314</v>
      </c>
      <c r="D81" s="1822"/>
      <c r="E81" s="1822"/>
      <c r="F81" s="562" t="s">
        <v>315</v>
      </c>
      <c r="G81" s="562" t="s">
        <v>186</v>
      </c>
      <c r="H81" s="562" t="s">
        <v>313</v>
      </c>
      <c r="I81" s="562" t="s">
        <v>1071</v>
      </c>
      <c r="J81" s="604"/>
      <c r="K81" s="562"/>
      <c r="L81" s="604"/>
      <c r="M81" s="603"/>
      <c r="N81" s="602"/>
      <c r="V81" s="674"/>
      <c r="W81" s="675"/>
      <c r="Z81" s="537" t="s">
        <v>314</v>
      </c>
      <c r="AB81" s="675"/>
    </row>
    <row r="82" spans="1:28" s="536" customFormat="1" ht="12" x14ac:dyDescent="0.2">
      <c r="A82" s="605"/>
      <c r="B82" s="552"/>
      <c r="C82" s="1828" t="s">
        <v>318</v>
      </c>
      <c r="D82" s="1828"/>
      <c r="E82" s="1828"/>
      <c r="F82" s="608"/>
      <c r="G82" s="608"/>
      <c r="H82" s="608"/>
      <c r="I82" s="608"/>
      <c r="J82" s="607">
        <v>17.399999999999999</v>
      </c>
      <c r="K82" s="608"/>
      <c r="L82" s="607">
        <v>65</v>
      </c>
      <c r="M82" s="601"/>
      <c r="N82" s="606"/>
      <c r="V82" s="674"/>
      <c r="W82" s="675"/>
      <c r="AA82" s="537" t="s">
        <v>318</v>
      </c>
      <c r="AB82" s="675"/>
    </row>
    <row r="83" spans="1:28" s="536" customFormat="1" ht="12" x14ac:dyDescent="0.2">
      <c r="A83" s="605"/>
      <c r="B83" s="552"/>
      <c r="C83" s="1822" t="s">
        <v>319</v>
      </c>
      <c r="D83" s="1822"/>
      <c r="E83" s="1822"/>
      <c r="F83" s="562"/>
      <c r="G83" s="562"/>
      <c r="H83" s="562"/>
      <c r="I83" s="562"/>
      <c r="J83" s="604"/>
      <c r="K83" s="562"/>
      <c r="L83" s="604">
        <v>63.98</v>
      </c>
      <c r="M83" s="603"/>
      <c r="N83" s="602"/>
      <c r="V83" s="674"/>
      <c r="W83" s="675"/>
      <c r="Z83" s="537" t="s">
        <v>319</v>
      </c>
      <c r="AB83" s="675"/>
    </row>
    <row r="84" spans="1:28" s="536" customFormat="1" ht="33.75" x14ac:dyDescent="0.2">
      <c r="A84" s="605"/>
      <c r="B84" s="552" t="s">
        <v>884</v>
      </c>
      <c r="C84" s="1822" t="s">
        <v>885</v>
      </c>
      <c r="D84" s="1822"/>
      <c r="E84" s="1822"/>
      <c r="F84" s="562" t="s">
        <v>322</v>
      </c>
      <c r="G84" s="562" t="s">
        <v>886</v>
      </c>
      <c r="H84" s="562"/>
      <c r="I84" s="562" t="s">
        <v>886</v>
      </c>
      <c r="J84" s="604"/>
      <c r="K84" s="562"/>
      <c r="L84" s="604">
        <v>57.58</v>
      </c>
      <c r="M84" s="603"/>
      <c r="N84" s="602"/>
      <c r="V84" s="674"/>
      <c r="W84" s="675"/>
      <c r="Z84" s="537" t="s">
        <v>885</v>
      </c>
      <c r="AB84" s="675"/>
    </row>
    <row r="85" spans="1:28" s="536" customFormat="1" ht="33.75" x14ac:dyDescent="0.2">
      <c r="A85" s="605"/>
      <c r="B85" s="552" t="s">
        <v>887</v>
      </c>
      <c r="C85" s="1822" t="s">
        <v>888</v>
      </c>
      <c r="D85" s="1822"/>
      <c r="E85" s="1822"/>
      <c r="F85" s="562" t="s">
        <v>322</v>
      </c>
      <c r="G85" s="562" t="s">
        <v>465</v>
      </c>
      <c r="H85" s="562"/>
      <c r="I85" s="562" t="s">
        <v>465</v>
      </c>
      <c r="J85" s="604"/>
      <c r="K85" s="562"/>
      <c r="L85" s="604">
        <v>29.43</v>
      </c>
      <c r="M85" s="603"/>
      <c r="N85" s="602"/>
      <c r="V85" s="674"/>
      <c r="W85" s="675"/>
      <c r="Z85" s="537" t="s">
        <v>888</v>
      </c>
      <c r="AB85" s="675"/>
    </row>
    <row r="86" spans="1:28" s="536" customFormat="1" ht="12" x14ac:dyDescent="0.2">
      <c r="A86" s="569"/>
      <c r="B86" s="671"/>
      <c r="C86" s="1823" t="s">
        <v>327</v>
      </c>
      <c r="D86" s="1823"/>
      <c r="E86" s="1823"/>
      <c r="F86" s="573"/>
      <c r="G86" s="573"/>
      <c r="H86" s="573"/>
      <c r="I86" s="573"/>
      <c r="J86" s="572"/>
      <c r="K86" s="573"/>
      <c r="L86" s="572">
        <v>152.01</v>
      </c>
      <c r="M86" s="601"/>
      <c r="N86" s="570"/>
      <c r="V86" s="674"/>
      <c r="W86" s="675"/>
      <c r="AB86" s="675" t="s">
        <v>327</v>
      </c>
    </row>
    <row r="87" spans="1:28" s="536" customFormat="1" ht="33.75" x14ac:dyDescent="0.2">
      <c r="A87" s="575" t="s">
        <v>660</v>
      </c>
      <c r="B87" s="670" t="s">
        <v>8174</v>
      </c>
      <c r="C87" s="1823" t="s">
        <v>8175</v>
      </c>
      <c r="D87" s="1823"/>
      <c r="E87" s="1823"/>
      <c r="F87" s="573" t="s">
        <v>628</v>
      </c>
      <c r="G87" s="573"/>
      <c r="H87" s="573"/>
      <c r="I87" s="573" t="s">
        <v>187</v>
      </c>
      <c r="J87" s="572">
        <v>694.79</v>
      </c>
      <c r="K87" s="573" t="s">
        <v>629</v>
      </c>
      <c r="L87" s="572">
        <v>459.48</v>
      </c>
      <c r="M87" s="571">
        <v>4.59</v>
      </c>
      <c r="N87" s="570">
        <v>2109</v>
      </c>
      <c r="V87" s="674"/>
      <c r="W87" s="675" t="s">
        <v>8175</v>
      </c>
      <c r="AB87" s="675"/>
    </row>
    <row r="88" spans="1:28" s="536" customFormat="1" ht="12" x14ac:dyDescent="0.2">
      <c r="A88" s="569"/>
      <c r="B88" s="671"/>
      <c r="C88" s="665" t="s">
        <v>630</v>
      </c>
      <c r="D88" s="666"/>
      <c r="E88" s="666"/>
      <c r="F88" s="563"/>
      <c r="G88" s="563"/>
      <c r="H88" s="563"/>
      <c r="I88" s="563"/>
      <c r="J88" s="566"/>
      <c r="K88" s="563"/>
      <c r="L88" s="566"/>
      <c r="M88" s="565"/>
      <c r="N88" s="564"/>
      <c r="V88" s="674"/>
      <c r="W88" s="675"/>
      <c r="AB88" s="675"/>
    </row>
    <row r="89" spans="1:28" s="536" customFormat="1" ht="22.5" x14ac:dyDescent="0.2">
      <c r="A89" s="609"/>
      <c r="B89" s="552" t="s">
        <v>631</v>
      </c>
      <c r="C89" s="1822" t="s">
        <v>632</v>
      </c>
      <c r="D89" s="1822"/>
      <c r="E89" s="1822"/>
      <c r="F89" s="1822"/>
      <c r="G89" s="1822"/>
      <c r="H89" s="1822"/>
      <c r="I89" s="1822"/>
      <c r="J89" s="1822"/>
      <c r="K89" s="1822"/>
      <c r="L89" s="1822"/>
      <c r="M89" s="1822"/>
      <c r="N89" s="1827"/>
      <c r="V89" s="674"/>
      <c r="W89" s="675"/>
      <c r="X89" s="537" t="s">
        <v>632</v>
      </c>
      <c r="AB89" s="675"/>
    </row>
    <row r="90" spans="1:28" s="536" customFormat="1" ht="22.5" x14ac:dyDescent="0.2">
      <c r="A90" s="575" t="s">
        <v>193</v>
      </c>
      <c r="B90" s="670" t="s">
        <v>3150</v>
      </c>
      <c r="C90" s="1823" t="s">
        <v>3151</v>
      </c>
      <c r="D90" s="1823"/>
      <c r="E90" s="1823"/>
      <c r="F90" s="573" t="s">
        <v>617</v>
      </c>
      <c r="G90" s="573"/>
      <c r="H90" s="573"/>
      <c r="I90" s="573" t="s">
        <v>187</v>
      </c>
      <c r="J90" s="572"/>
      <c r="K90" s="573"/>
      <c r="L90" s="572"/>
      <c r="M90" s="571"/>
      <c r="N90" s="570"/>
      <c r="V90" s="674"/>
      <c r="W90" s="675" t="s">
        <v>3151</v>
      </c>
      <c r="AB90" s="675"/>
    </row>
    <row r="91" spans="1:28" s="536" customFormat="1" ht="33.75" x14ac:dyDescent="0.2">
      <c r="A91" s="609"/>
      <c r="B91" s="552" t="s">
        <v>310</v>
      </c>
      <c r="C91" s="1822" t="s">
        <v>311</v>
      </c>
      <c r="D91" s="1822"/>
      <c r="E91" s="1822"/>
      <c r="F91" s="1822"/>
      <c r="G91" s="1822"/>
      <c r="H91" s="1822"/>
      <c r="I91" s="1822"/>
      <c r="J91" s="1822"/>
      <c r="K91" s="1822"/>
      <c r="L91" s="1822"/>
      <c r="M91" s="1822"/>
      <c r="N91" s="1827"/>
      <c r="V91" s="674"/>
      <c r="W91" s="675"/>
      <c r="X91" s="537" t="s">
        <v>311</v>
      </c>
      <c r="AB91" s="675"/>
    </row>
    <row r="92" spans="1:28" s="536" customFormat="1" ht="12" x14ac:dyDescent="0.2">
      <c r="A92" s="605"/>
      <c r="B92" s="552" t="s">
        <v>185</v>
      </c>
      <c r="C92" s="1822" t="s">
        <v>312</v>
      </c>
      <c r="D92" s="1822"/>
      <c r="E92" s="1822"/>
      <c r="F92" s="562"/>
      <c r="G92" s="562"/>
      <c r="H92" s="562"/>
      <c r="I92" s="562"/>
      <c r="J92" s="604">
        <v>8.9</v>
      </c>
      <c r="K92" s="562" t="s">
        <v>313</v>
      </c>
      <c r="L92" s="604">
        <v>33.380000000000003</v>
      </c>
      <c r="M92" s="603"/>
      <c r="N92" s="602"/>
      <c r="V92" s="674"/>
      <c r="W92" s="675"/>
      <c r="Y92" s="537" t="s">
        <v>312</v>
      </c>
      <c r="AB92" s="675"/>
    </row>
    <row r="93" spans="1:28" s="536" customFormat="1" ht="12" x14ac:dyDescent="0.2">
      <c r="A93" s="605"/>
      <c r="B93" s="552" t="s">
        <v>186</v>
      </c>
      <c r="C93" s="1822" t="s">
        <v>344</v>
      </c>
      <c r="D93" s="1822"/>
      <c r="E93" s="1822"/>
      <c r="F93" s="562"/>
      <c r="G93" s="562"/>
      <c r="H93" s="562"/>
      <c r="I93" s="562"/>
      <c r="J93" s="604">
        <v>0.66</v>
      </c>
      <c r="K93" s="562" t="s">
        <v>313</v>
      </c>
      <c r="L93" s="604">
        <v>2.48</v>
      </c>
      <c r="M93" s="603"/>
      <c r="N93" s="602"/>
      <c r="V93" s="674"/>
      <c r="W93" s="675"/>
      <c r="Y93" s="537" t="s">
        <v>344</v>
      </c>
      <c r="AB93" s="675"/>
    </row>
    <row r="94" spans="1:28" s="536" customFormat="1" ht="12" x14ac:dyDescent="0.2">
      <c r="A94" s="605"/>
      <c r="B94" s="552" t="s">
        <v>187</v>
      </c>
      <c r="C94" s="1822" t="s">
        <v>345</v>
      </c>
      <c r="D94" s="1822"/>
      <c r="E94" s="1822"/>
      <c r="F94" s="562"/>
      <c r="G94" s="562"/>
      <c r="H94" s="562"/>
      <c r="I94" s="562"/>
      <c r="J94" s="604">
        <v>0.12</v>
      </c>
      <c r="K94" s="562" t="s">
        <v>313</v>
      </c>
      <c r="L94" s="604">
        <v>0.45</v>
      </c>
      <c r="M94" s="603"/>
      <c r="N94" s="602"/>
      <c r="V94" s="674"/>
      <c r="W94" s="675"/>
      <c r="Y94" s="537" t="s">
        <v>345</v>
      </c>
      <c r="AB94" s="675"/>
    </row>
    <row r="95" spans="1:28" s="536" customFormat="1" ht="12" x14ac:dyDescent="0.2">
      <c r="A95" s="605"/>
      <c r="B95" s="552" t="s">
        <v>188</v>
      </c>
      <c r="C95" s="1822" t="s">
        <v>475</v>
      </c>
      <c r="D95" s="1822"/>
      <c r="E95" s="1822"/>
      <c r="F95" s="562"/>
      <c r="G95" s="562"/>
      <c r="H95" s="562"/>
      <c r="I95" s="562"/>
      <c r="J95" s="604">
        <v>0.18</v>
      </c>
      <c r="K95" s="562"/>
      <c r="L95" s="604">
        <v>0.54</v>
      </c>
      <c r="M95" s="603"/>
      <c r="N95" s="602"/>
      <c r="V95" s="674"/>
      <c r="W95" s="675"/>
      <c r="Y95" s="537" t="s">
        <v>475</v>
      </c>
      <c r="AB95" s="675"/>
    </row>
    <row r="96" spans="1:28" s="536" customFormat="1" ht="12" x14ac:dyDescent="0.2">
      <c r="A96" s="605"/>
      <c r="B96" s="552"/>
      <c r="C96" s="1822" t="s">
        <v>314</v>
      </c>
      <c r="D96" s="1822"/>
      <c r="E96" s="1822"/>
      <c r="F96" s="562" t="s">
        <v>315</v>
      </c>
      <c r="G96" s="562" t="s">
        <v>702</v>
      </c>
      <c r="H96" s="562" t="s">
        <v>313</v>
      </c>
      <c r="I96" s="562" t="s">
        <v>821</v>
      </c>
      <c r="J96" s="604"/>
      <c r="K96" s="562"/>
      <c r="L96" s="604"/>
      <c r="M96" s="603"/>
      <c r="N96" s="602"/>
      <c r="V96" s="674"/>
      <c r="W96" s="675"/>
      <c r="Z96" s="537" t="s">
        <v>314</v>
      </c>
      <c r="AB96" s="675"/>
    </row>
    <row r="97" spans="1:28" s="536" customFormat="1" ht="12" x14ac:dyDescent="0.2">
      <c r="A97" s="605"/>
      <c r="B97" s="552"/>
      <c r="C97" s="1822" t="s">
        <v>348</v>
      </c>
      <c r="D97" s="1822"/>
      <c r="E97" s="1822"/>
      <c r="F97" s="562" t="s">
        <v>315</v>
      </c>
      <c r="G97" s="562" t="s">
        <v>809</v>
      </c>
      <c r="H97" s="562" t="s">
        <v>313</v>
      </c>
      <c r="I97" s="562" t="s">
        <v>3163</v>
      </c>
      <c r="J97" s="604"/>
      <c r="K97" s="562"/>
      <c r="L97" s="604"/>
      <c r="M97" s="603"/>
      <c r="N97" s="602"/>
      <c r="V97" s="674"/>
      <c r="W97" s="675"/>
      <c r="Z97" s="537" t="s">
        <v>348</v>
      </c>
      <c r="AB97" s="675"/>
    </row>
    <row r="98" spans="1:28" s="536" customFormat="1" ht="12" x14ac:dyDescent="0.2">
      <c r="A98" s="605"/>
      <c r="B98" s="552"/>
      <c r="C98" s="1828" t="s">
        <v>318</v>
      </c>
      <c r="D98" s="1828"/>
      <c r="E98" s="1828"/>
      <c r="F98" s="608"/>
      <c r="G98" s="608"/>
      <c r="H98" s="608"/>
      <c r="I98" s="608"/>
      <c r="J98" s="607">
        <v>9.74</v>
      </c>
      <c r="K98" s="608"/>
      <c r="L98" s="607">
        <v>36.4</v>
      </c>
      <c r="M98" s="601"/>
      <c r="N98" s="606"/>
      <c r="V98" s="674"/>
      <c r="W98" s="675"/>
      <c r="AA98" s="537" t="s">
        <v>318</v>
      </c>
      <c r="AB98" s="675"/>
    </row>
    <row r="99" spans="1:28" s="536" customFormat="1" ht="12" x14ac:dyDescent="0.2">
      <c r="A99" s="605"/>
      <c r="B99" s="552"/>
      <c r="C99" s="1822" t="s">
        <v>319</v>
      </c>
      <c r="D99" s="1822"/>
      <c r="E99" s="1822"/>
      <c r="F99" s="562"/>
      <c r="G99" s="562"/>
      <c r="H99" s="562"/>
      <c r="I99" s="562"/>
      <c r="J99" s="604"/>
      <c r="K99" s="562"/>
      <c r="L99" s="604">
        <v>33.83</v>
      </c>
      <c r="M99" s="603"/>
      <c r="N99" s="602"/>
      <c r="V99" s="674"/>
      <c r="W99" s="675"/>
      <c r="Z99" s="537" t="s">
        <v>319</v>
      </c>
      <c r="AB99" s="675"/>
    </row>
    <row r="100" spans="1:28" s="536" customFormat="1" ht="33.75" x14ac:dyDescent="0.2">
      <c r="A100" s="605"/>
      <c r="B100" s="552" t="s">
        <v>948</v>
      </c>
      <c r="C100" s="1822" t="s">
        <v>949</v>
      </c>
      <c r="D100" s="1822"/>
      <c r="E100" s="1822"/>
      <c r="F100" s="562" t="s">
        <v>322</v>
      </c>
      <c r="G100" s="562" t="s">
        <v>886</v>
      </c>
      <c r="H100" s="562"/>
      <c r="I100" s="562" t="s">
        <v>886</v>
      </c>
      <c r="J100" s="604"/>
      <c r="K100" s="562"/>
      <c r="L100" s="604">
        <v>30.45</v>
      </c>
      <c r="M100" s="603"/>
      <c r="N100" s="602"/>
      <c r="V100" s="674"/>
      <c r="W100" s="675"/>
      <c r="Z100" s="537" t="s">
        <v>949</v>
      </c>
      <c r="AB100" s="675"/>
    </row>
    <row r="101" spans="1:28" s="536" customFormat="1" ht="33.75" x14ac:dyDescent="0.2">
      <c r="A101" s="605"/>
      <c r="B101" s="552" t="s">
        <v>950</v>
      </c>
      <c r="C101" s="1822" t="s">
        <v>951</v>
      </c>
      <c r="D101" s="1822"/>
      <c r="E101" s="1822"/>
      <c r="F101" s="562" t="s">
        <v>322</v>
      </c>
      <c r="G101" s="562" t="s">
        <v>465</v>
      </c>
      <c r="H101" s="562"/>
      <c r="I101" s="562" t="s">
        <v>465</v>
      </c>
      <c r="J101" s="604"/>
      <c r="K101" s="562"/>
      <c r="L101" s="604">
        <v>15.56</v>
      </c>
      <c r="M101" s="603"/>
      <c r="N101" s="602"/>
      <c r="V101" s="674"/>
      <c r="W101" s="675"/>
      <c r="Z101" s="537" t="s">
        <v>951</v>
      </c>
      <c r="AB101" s="675"/>
    </row>
    <row r="102" spans="1:28" s="536" customFormat="1" ht="12" x14ac:dyDescent="0.2">
      <c r="A102" s="569"/>
      <c r="B102" s="671"/>
      <c r="C102" s="1823" t="s">
        <v>327</v>
      </c>
      <c r="D102" s="1823"/>
      <c r="E102" s="1823"/>
      <c r="F102" s="573"/>
      <c r="G102" s="573"/>
      <c r="H102" s="573"/>
      <c r="I102" s="573"/>
      <c r="J102" s="572"/>
      <c r="K102" s="573"/>
      <c r="L102" s="572">
        <v>82.41</v>
      </c>
      <c r="M102" s="601"/>
      <c r="N102" s="570"/>
      <c r="V102" s="674"/>
      <c r="W102" s="675"/>
      <c r="AB102" s="675" t="s">
        <v>327</v>
      </c>
    </row>
    <row r="103" spans="1:28" s="536" customFormat="1" ht="33.75" x14ac:dyDescent="0.2">
      <c r="A103" s="575" t="s">
        <v>664</v>
      </c>
      <c r="B103" s="670" t="s">
        <v>8178</v>
      </c>
      <c r="C103" s="1823" t="s">
        <v>8179</v>
      </c>
      <c r="D103" s="1823"/>
      <c r="E103" s="1823"/>
      <c r="F103" s="573" t="s">
        <v>628</v>
      </c>
      <c r="G103" s="573"/>
      <c r="H103" s="573"/>
      <c r="I103" s="573" t="s">
        <v>187</v>
      </c>
      <c r="J103" s="572">
        <v>1316.43</v>
      </c>
      <c r="K103" s="573" t="s">
        <v>629</v>
      </c>
      <c r="L103" s="572">
        <v>870.81</v>
      </c>
      <c r="M103" s="571">
        <v>4.59</v>
      </c>
      <c r="N103" s="570">
        <v>3997</v>
      </c>
      <c r="V103" s="674"/>
      <c r="W103" s="675" t="s">
        <v>8179</v>
      </c>
      <c r="AB103" s="675"/>
    </row>
    <row r="104" spans="1:28" s="536" customFormat="1" ht="12" x14ac:dyDescent="0.2">
      <c r="A104" s="569"/>
      <c r="B104" s="671"/>
      <c r="C104" s="665" t="s">
        <v>630</v>
      </c>
      <c r="D104" s="666"/>
      <c r="E104" s="666"/>
      <c r="F104" s="563"/>
      <c r="G104" s="563"/>
      <c r="H104" s="563"/>
      <c r="I104" s="563"/>
      <c r="J104" s="566"/>
      <c r="K104" s="563"/>
      <c r="L104" s="566"/>
      <c r="M104" s="565"/>
      <c r="N104" s="564"/>
      <c r="V104" s="674"/>
      <c r="W104" s="675"/>
      <c r="AB104" s="675"/>
    </row>
    <row r="105" spans="1:28" s="536" customFormat="1" ht="22.5" x14ac:dyDescent="0.2">
      <c r="A105" s="609"/>
      <c r="B105" s="552" t="s">
        <v>631</v>
      </c>
      <c r="C105" s="1822" t="s">
        <v>632</v>
      </c>
      <c r="D105" s="1822"/>
      <c r="E105" s="1822"/>
      <c r="F105" s="1822"/>
      <c r="G105" s="1822"/>
      <c r="H105" s="1822"/>
      <c r="I105" s="1822"/>
      <c r="J105" s="1822"/>
      <c r="K105" s="1822"/>
      <c r="L105" s="1822"/>
      <c r="M105" s="1822"/>
      <c r="N105" s="1827"/>
      <c r="V105" s="674"/>
      <c r="W105" s="675"/>
      <c r="X105" s="537" t="s">
        <v>632</v>
      </c>
      <c r="AB105" s="675"/>
    </row>
    <row r="106" spans="1:28" s="536" customFormat="1" ht="22.5" x14ac:dyDescent="0.2">
      <c r="A106" s="575" t="s">
        <v>195</v>
      </c>
      <c r="B106" s="670" t="s">
        <v>8199</v>
      </c>
      <c r="C106" s="1823" t="s">
        <v>8200</v>
      </c>
      <c r="D106" s="1823"/>
      <c r="E106" s="1823"/>
      <c r="F106" s="573" t="s">
        <v>617</v>
      </c>
      <c r="G106" s="573"/>
      <c r="H106" s="573"/>
      <c r="I106" s="573" t="s">
        <v>187</v>
      </c>
      <c r="J106" s="572"/>
      <c r="K106" s="573"/>
      <c r="L106" s="572"/>
      <c r="M106" s="571"/>
      <c r="N106" s="570"/>
      <c r="V106" s="674"/>
      <c r="W106" s="675" t="s">
        <v>8200</v>
      </c>
      <c r="AB106" s="675"/>
    </row>
    <row r="107" spans="1:28" s="536" customFormat="1" ht="33.75" x14ac:dyDescent="0.2">
      <c r="A107" s="609"/>
      <c r="B107" s="552" t="s">
        <v>310</v>
      </c>
      <c r="C107" s="1822" t="s">
        <v>311</v>
      </c>
      <c r="D107" s="1822"/>
      <c r="E107" s="1822"/>
      <c r="F107" s="1822"/>
      <c r="G107" s="1822"/>
      <c r="H107" s="1822"/>
      <c r="I107" s="1822"/>
      <c r="J107" s="1822"/>
      <c r="K107" s="1822"/>
      <c r="L107" s="1822"/>
      <c r="M107" s="1822"/>
      <c r="N107" s="1827"/>
      <c r="V107" s="674"/>
      <c r="W107" s="675"/>
      <c r="X107" s="537" t="s">
        <v>311</v>
      </c>
      <c r="AB107" s="675"/>
    </row>
    <row r="108" spans="1:28" s="536" customFormat="1" ht="12" x14ac:dyDescent="0.2">
      <c r="A108" s="605"/>
      <c r="B108" s="552" t="s">
        <v>185</v>
      </c>
      <c r="C108" s="1822" t="s">
        <v>312</v>
      </c>
      <c r="D108" s="1822"/>
      <c r="E108" s="1822"/>
      <c r="F108" s="562"/>
      <c r="G108" s="562"/>
      <c r="H108" s="562"/>
      <c r="I108" s="562"/>
      <c r="J108" s="604">
        <v>12.25</v>
      </c>
      <c r="K108" s="562" t="s">
        <v>313</v>
      </c>
      <c r="L108" s="604">
        <v>45.94</v>
      </c>
      <c r="M108" s="603"/>
      <c r="N108" s="602"/>
      <c r="V108" s="674"/>
      <c r="W108" s="675"/>
      <c r="Y108" s="537" t="s">
        <v>312</v>
      </c>
      <c r="AB108" s="675"/>
    </row>
    <row r="109" spans="1:28" s="536" customFormat="1" ht="12" x14ac:dyDescent="0.2">
      <c r="A109" s="605"/>
      <c r="B109" s="552" t="s">
        <v>188</v>
      </c>
      <c r="C109" s="1822" t="s">
        <v>475</v>
      </c>
      <c r="D109" s="1822"/>
      <c r="E109" s="1822"/>
      <c r="F109" s="562"/>
      <c r="G109" s="562"/>
      <c r="H109" s="562"/>
      <c r="I109" s="562"/>
      <c r="J109" s="604">
        <v>3.44</v>
      </c>
      <c r="K109" s="562"/>
      <c r="L109" s="604">
        <v>10.32</v>
      </c>
      <c r="M109" s="603"/>
      <c r="N109" s="602"/>
      <c r="V109" s="674"/>
      <c r="W109" s="675"/>
      <c r="Y109" s="537" t="s">
        <v>475</v>
      </c>
      <c r="AB109" s="675"/>
    </row>
    <row r="110" spans="1:28" s="536" customFormat="1" ht="12" x14ac:dyDescent="0.2">
      <c r="A110" s="605"/>
      <c r="B110" s="552"/>
      <c r="C110" s="1822" t="s">
        <v>314</v>
      </c>
      <c r="D110" s="1822"/>
      <c r="E110" s="1822"/>
      <c r="F110" s="562" t="s">
        <v>315</v>
      </c>
      <c r="G110" s="562" t="s">
        <v>1908</v>
      </c>
      <c r="H110" s="562" t="s">
        <v>313</v>
      </c>
      <c r="I110" s="562" t="s">
        <v>3142</v>
      </c>
      <c r="J110" s="604"/>
      <c r="K110" s="562"/>
      <c r="L110" s="604"/>
      <c r="M110" s="603"/>
      <c r="N110" s="602"/>
      <c r="V110" s="674"/>
      <c r="W110" s="675"/>
      <c r="Z110" s="537" t="s">
        <v>314</v>
      </c>
      <c r="AB110" s="675"/>
    </row>
    <row r="111" spans="1:28" s="536" customFormat="1" ht="12" x14ac:dyDescent="0.2">
      <c r="A111" s="605"/>
      <c r="B111" s="552"/>
      <c r="C111" s="1828" t="s">
        <v>318</v>
      </c>
      <c r="D111" s="1828"/>
      <c r="E111" s="1828"/>
      <c r="F111" s="608"/>
      <c r="G111" s="608"/>
      <c r="H111" s="608"/>
      <c r="I111" s="608"/>
      <c r="J111" s="607">
        <v>15.69</v>
      </c>
      <c r="K111" s="608"/>
      <c r="L111" s="607">
        <v>56.26</v>
      </c>
      <c r="M111" s="601"/>
      <c r="N111" s="606"/>
      <c r="V111" s="674"/>
      <c r="W111" s="675"/>
      <c r="AA111" s="537" t="s">
        <v>318</v>
      </c>
      <c r="AB111" s="675"/>
    </row>
    <row r="112" spans="1:28" s="536" customFormat="1" ht="12" x14ac:dyDescent="0.2">
      <c r="A112" s="605"/>
      <c r="B112" s="552"/>
      <c r="C112" s="1822" t="s">
        <v>319</v>
      </c>
      <c r="D112" s="1822"/>
      <c r="E112" s="1822"/>
      <c r="F112" s="562"/>
      <c r="G112" s="562"/>
      <c r="H112" s="562"/>
      <c r="I112" s="562"/>
      <c r="J112" s="604"/>
      <c r="K112" s="562"/>
      <c r="L112" s="604">
        <v>45.94</v>
      </c>
      <c r="M112" s="603"/>
      <c r="N112" s="602"/>
      <c r="V112" s="674"/>
      <c r="W112" s="675"/>
      <c r="Z112" s="537" t="s">
        <v>319</v>
      </c>
      <c r="AB112" s="675"/>
    </row>
    <row r="113" spans="1:28" s="536" customFormat="1" ht="33.75" x14ac:dyDescent="0.2">
      <c r="A113" s="605"/>
      <c r="B113" s="552" t="s">
        <v>884</v>
      </c>
      <c r="C113" s="1822" t="s">
        <v>885</v>
      </c>
      <c r="D113" s="1822"/>
      <c r="E113" s="1822"/>
      <c r="F113" s="562" t="s">
        <v>322</v>
      </c>
      <c r="G113" s="562" t="s">
        <v>886</v>
      </c>
      <c r="H113" s="562"/>
      <c r="I113" s="562" t="s">
        <v>886</v>
      </c>
      <c r="J113" s="604"/>
      <c r="K113" s="562"/>
      <c r="L113" s="604">
        <v>41.35</v>
      </c>
      <c r="M113" s="603"/>
      <c r="N113" s="602"/>
      <c r="V113" s="674"/>
      <c r="W113" s="675"/>
      <c r="Z113" s="537" t="s">
        <v>885</v>
      </c>
      <c r="AB113" s="675"/>
    </row>
    <row r="114" spans="1:28" s="536" customFormat="1" ht="33.75" x14ac:dyDescent="0.2">
      <c r="A114" s="605"/>
      <c r="B114" s="552" t="s">
        <v>887</v>
      </c>
      <c r="C114" s="1822" t="s">
        <v>888</v>
      </c>
      <c r="D114" s="1822"/>
      <c r="E114" s="1822"/>
      <c r="F114" s="562" t="s">
        <v>322</v>
      </c>
      <c r="G114" s="562" t="s">
        <v>465</v>
      </c>
      <c r="H114" s="562"/>
      <c r="I114" s="562" t="s">
        <v>465</v>
      </c>
      <c r="J114" s="604"/>
      <c r="K114" s="562"/>
      <c r="L114" s="604">
        <v>21.13</v>
      </c>
      <c r="M114" s="603"/>
      <c r="N114" s="602"/>
      <c r="V114" s="674"/>
      <c r="W114" s="675"/>
      <c r="Z114" s="537" t="s">
        <v>888</v>
      </c>
      <c r="AB114" s="675"/>
    </row>
    <row r="115" spans="1:28" s="536" customFormat="1" ht="12" x14ac:dyDescent="0.2">
      <c r="A115" s="569"/>
      <c r="B115" s="671"/>
      <c r="C115" s="1823" t="s">
        <v>327</v>
      </c>
      <c r="D115" s="1823"/>
      <c r="E115" s="1823"/>
      <c r="F115" s="573"/>
      <c r="G115" s="573"/>
      <c r="H115" s="573"/>
      <c r="I115" s="573"/>
      <c r="J115" s="572"/>
      <c r="K115" s="573"/>
      <c r="L115" s="572">
        <v>118.74</v>
      </c>
      <c r="M115" s="601"/>
      <c r="N115" s="570"/>
      <c r="V115" s="674"/>
      <c r="W115" s="675"/>
      <c r="AB115" s="675" t="s">
        <v>327</v>
      </c>
    </row>
    <row r="116" spans="1:28" s="536" customFormat="1" ht="33.75" x14ac:dyDescent="0.2">
      <c r="A116" s="575" t="s">
        <v>2795</v>
      </c>
      <c r="B116" s="670" t="s">
        <v>8201</v>
      </c>
      <c r="C116" s="1823" t="s">
        <v>8202</v>
      </c>
      <c r="D116" s="1823"/>
      <c r="E116" s="1823"/>
      <c r="F116" s="573" t="s">
        <v>628</v>
      </c>
      <c r="G116" s="573"/>
      <c r="H116" s="573"/>
      <c r="I116" s="573" t="s">
        <v>187</v>
      </c>
      <c r="J116" s="572">
        <v>3993.08</v>
      </c>
      <c r="K116" s="573" t="s">
        <v>629</v>
      </c>
      <c r="L116" s="572">
        <v>2641.18</v>
      </c>
      <c r="M116" s="571">
        <v>4.59</v>
      </c>
      <c r="N116" s="570">
        <v>12123</v>
      </c>
      <c r="V116" s="674"/>
      <c r="W116" s="675" t="s">
        <v>8202</v>
      </c>
      <c r="AB116" s="675"/>
    </row>
    <row r="117" spans="1:28" s="536" customFormat="1" ht="12" x14ac:dyDescent="0.2">
      <c r="A117" s="569"/>
      <c r="B117" s="671"/>
      <c r="C117" s="665" t="s">
        <v>630</v>
      </c>
      <c r="D117" s="666"/>
      <c r="E117" s="666"/>
      <c r="F117" s="563"/>
      <c r="G117" s="563"/>
      <c r="H117" s="563"/>
      <c r="I117" s="563"/>
      <c r="J117" s="566"/>
      <c r="K117" s="563"/>
      <c r="L117" s="566"/>
      <c r="M117" s="565"/>
      <c r="N117" s="564"/>
      <c r="V117" s="674"/>
      <c r="W117" s="675"/>
      <c r="AB117" s="675"/>
    </row>
    <row r="118" spans="1:28" s="536" customFormat="1" ht="22.5" x14ac:dyDescent="0.2">
      <c r="A118" s="609"/>
      <c r="B118" s="552" t="s">
        <v>631</v>
      </c>
      <c r="C118" s="1822" t="s">
        <v>632</v>
      </c>
      <c r="D118" s="1822"/>
      <c r="E118" s="1822"/>
      <c r="F118" s="1822"/>
      <c r="G118" s="1822"/>
      <c r="H118" s="1822"/>
      <c r="I118" s="1822"/>
      <c r="J118" s="1822"/>
      <c r="K118" s="1822"/>
      <c r="L118" s="1822"/>
      <c r="M118" s="1822"/>
      <c r="N118" s="1827"/>
      <c r="V118" s="674"/>
      <c r="W118" s="675"/>
      <c r="X118" s="537" t="s">
        <v>632</v>
      </c>
      <c r="AB118" s="675"/>
    </row>
    <row r="119" spans="1:28" s="536" customFormat="1" ht="56.25" x14ac:dyDescent="0.2">
      <c r="A119" s="575" t="s">
        <v>197</v>
      </c>
      <c r="B119" s="670" t="s">
        <v>3140</v>
      </c>
      <c r="C119" s="1823" t="s">
        <v>3141</v>
      </c>
      <c r="D119" s="1823"/>
      <c r="E119" s="1823"/>
      <c r="F119" s="573" t="s">
        <v>617</v>
      </c>
      <c r="G119" s="573"/>
      <c r="H119" s="573"/>
      <c r="I119" s="573" t="s">
        <v>187</v>
      </c>
      <c r="J119" s="572"/>
      <c r="K119" s="573"/>
      <c r="L119" s="572"/>
      <c r="M119" s="571"/>
      <c r="N119" s="570"/>
      <c r="V119" s="674"/>
      <c r="W119" s="675" t="s">
        <v>3141</v>
      </c>
      <c r="AB119" s="675"/>
    </row>
    <row r="120" spans="1:28" s="536" customFormat="1" ht="33.75" x14ac:dyDescent="0.2">
      <c r="A120" s="609"/>
      <c r="B120" s="552" t="s">
        <v>310</v>
      </c>
      <c r="C120" s="1822" t="s">
        <v>311</v>
      </c>
      <c r="D120" s="1822"/>
      <c r="E120" s="1822"/>
      <c r="F120" s="1822"/>
      <c r="G120" s="1822"/>
      <c r="H120" s="1822"/>
      <c r="I120" s="1822"/>
      <c r="J120" s="1822"/>
      <c r="K120" s="1822"/>
      <c r="L120" s="1822"/>
      <c r="M120" s="1822"/>
      <c r="N120" s="1827"/>
      <c r="V120" s="674"/>
      <c r="W120" s="675"/>
      <c r="X120" s="537" t="s">
        <v>311</v>
      </c>
      <c r="AB120" s="675"/>
    </row>
    <row r="121" spans="1:28" s="536" customFormat="1" ht="12" x14ac:dyDescent="0.2">
      <c r="A121" s="605"/>
      <c r="B121" s="552" t="s">
        <v>185</v>
      </c>
      <c r="C121" s="1822" t="s">
        <v>312</v>
      </c>
      <c r="D121" s="1822"/>
      <c r="E121" s="1822"/>
      <c r="F121" s="562"/>
      <c r="G121" s="562"/>
      <c r="H121" s="562"/>
      <c r="I121" s="562"/>
      <c r="J121" s="604">
        <v>9.91</v>
      </c>
      <c r="K121" s="562" t="s">
        <v>313</v>
      </c>
      <c r="L121" s="604">
        <v>37.159999999999997</v>
      </c>
      <c r="M121" s="603"/>
      <c r="N121" s="602"/>
      <c r="V121" s="674"/>
      <c r="W121" s="675"/>
      <c r="Y121" s="537" t="s">
        <v>312</v>
      </c>
      <c r="AB121" s="675"/>
    </row>
    <row r="122" spans="1:28" s="536" customFormat="1" ht="12" x14ac:dyDescent="0.2">
      <c r="A122" s="605"/>
      <c r="B122" s="552" t="s">
        <v>186</v>
      </c>
      <c r="C122" s="1822" t="s">
        <v>344</v>
      </c>
      <c r="D122" s="1822"/>
      <c r="E122" s="1822"/>
      <c r="F122" s="562"/>
      <c r="G122" s="562"/>
      <c r="H122" s="562"/>
      <c r="I122" s="562"/>
      <c r="J122" s="604">
        <v>5.43</v>
      </c>
      <c r="K122" s="562" t="s">
        <v>313</v>
      </c>
      <c r="L122" s="604">
        <v>20.36</v>
      </c>
      <c r="M122" s="603"/>
      <c r="N122" s="602"/>
      <c r="V122" s="674"/>
      <c r="W122" s="675"/>
      <c r="Y122" s="537" t="s">
        <v>344</v>
      </c>
      <c r="AB122" s="675"/>
    </row>
    <row r="123" spans="1:28" s="536" customFormat="1" ht="12" x14ac:dyDescent="0.2">
      <c r="A123" s="605"/>
      <c r="B123" s="552" t="s">
        <v>187</v>
      </c>
      <c r="C123" s="1822" t="s">
        <v>345</v>
      </c>
      <c r="D123" s="1822"/>
      <c r="E123" s="1822"/>
      <c r="F123" s="562"/>
      <c r="G123" s="562"/>
      <c r="H123" s="562"/>
      <c r="I123" s="562"/>
      <c r="J123" s="604">
        <v>0.76</v>
      </c>
      <c r="K123" s="562" t="s">
        <v>313</v>
      </c>
      <c r="L123" s="604">
        <v>2.85</v>
      </c>
      <c r="M123" s="603"/>
      <c r="N123" s="602"/>
      <c r="V123" s="674"/>
      <c r="W123" s="675"/>
      <c r="Y123" s="537" t="s">
        <v>345</v>
      </c>
      <c r="AB123" s="675"/>
    </row>
    <row r="124" spans="1:28" s="536" customFormat="1" ht="12" x14ac:dyDescent="0.2">
      <c r="A124" s="605"/>
      <c r="B124" s="552" t="s">
        <v>188</v>
      </c>
      <c r="C124" s="1822" t="s">
        <v>475</v>
      </c>
      <c r="D124" s="1822"/>
      <c r="E124" s="1822"/>
      <c r="F124" s="562"/>
      <c r="G124" s="562"/>
      <c r="H124" s="562"/>
      <c r="I124" s="562"/>
      <c r="J124" s="604">
        <v>0.74</v>
      </c>
      <c r="K124" s="562"/>
      <c r="L124" s="604">
        <v>2.2200000000000002</v>
      </c>
      <c r="M124" s="603"/>
      <c r="N124" s="602"/>
      <c r="V124" s="674"/>
      <c r="W124" s="675"/>
      <c r="Y124" s="537" t="s">
        <v>475</v>
      </c>
      <c r="AB124" s="675"/>
    </row>
    <row r="125" spans="1:28" s="536" customFormat="1" ht="12" x14ac:dyDescent="0.2">
      <c r="A125" s="605"/>
      <c r="B125" s="552"/>
      <c r="C125" s="1822" t="s">
        <v>314</v>
      </c>
      <c r="D125" s="1822"/>
      <c r="E125" s="1822"/>
      <c r="F125" s="562" t="s">
        <v>315</v>
      </c>
      <c r="G125" s="562" t="s">
        <v>702</v>
      </c>
      <c r="H125" s="562" t="s">
        <v>313</v>
      </c>
      <c r="I125" s="562" t="s">
        <v>821</v>
      </c>
      <c r="J125" s="604"/>
      <c r="K125" s="562"/>
      <c r="L125" s="604"/>
      <c r="M125" s="603"/>
      <c r="N125" s="602"/>
      <c r="V125" s="674"/>
      <c r="W125" s="675"/>
      <c r="Z125" s="537" t="s">
        <v>314</v>
      </c>
      <c r="AB125" s="675"/>
    </row>
    <row r="126" spans="1:28" s="536" customFormat="1" ht="12" x14ac:dyDescent="0.2">
      <c r="A126" s="605"/>
      <c r="B126" s="552"/>
      <c r="C126" s="1822" t="s">
        <v>348</v>
      </c>
      <c r="D126" s="1822"/>
      <c r="E126" s="1822"/>
      <c r="F126" s="562" t="s">
        <v>315</v>
      </c>
      <c r="G126" s="562" t="s">
        <v>1554</v>
      </c>
      <c r="H126" s="562" t="s">
        <v>313</v>
      </c>
      <c r="I126" s="562" t="s">
        <v>3081</v>
      </c>
      <c r="J126" s="604"/>
      <c r="K126" s="562"/>
      <c r="L126" s="604"/>
      <c r="M126" s="603"/>
      <c r="N126" s="602"/>
      <c r="V126" s="674"/>
      <c r="W126" s="675"/>
      <c r="Z126" s="537" t="s">
        <v>348</v>
      </c>
      <c r="AB126" s="675"/>
    </row>
    <row r="127" spans="1:28" s="536" customFormat="1" ht="12" x14ac:dyDescent="0.2">
      <c r="A127" s="605"/>
      <c r="B127" s="552"/>
      <c r="C127" s="1828" t="s">
        <v>318</v>
      </c>
      <c r="D127" s="1828"/>
      <c r="E127" s="1828"/>
      <c r="F127" s="608"/>
      <c r="G127" s="608"/>
      <c r="H127" s="608"/>
      <c r="I127" s="608"/>
      <c r="J127" s="607">
        <v>16.079999999999998</v>
      </c>
      <c r="K127" s="608"/>
      <c r="L127" s="607">
        <v>59.74</v>
      </c>
      <c r="M127" s="601"/>
      <c r="N127" s="606"/>
      <c r="V127" s="674"/>
      <c r="W127" s="675"/>
      <c r="AA127" s="537" t="s">
        <v>318</v>
      </c>
      <c r="AB127" s="675"/>
    </row>
    <row r="128" spans="1:28" s="536" customFormat="1" ht="12" x14ac:dyDescent="0.2">
      <c r="A128" s="605"/>
      <c r="B128" s="552"/>
      <c r="C128" s="1822" t="s">
        <v>319</v>
      </c>
      <c r="D128" s="1822"/>
      <c r="E128" s="1822"/>
      <c r="F128" s="562"/>
      <c r="G128" s="562"/>
      <c r="H128" s="562"/>
      <c r="I128" s="562"/>
      <c r="J128" s="604"/>
      <c r="K128" s="562"/>
      <c r="L128" s="604">
        <v>40.01</v>
      </c>
      <c r="M128" s="603"/>
      <c r="N128" s="602"/>
      <c r="V128" s="674"/>
      <c r="W128" s="675"/>
      <c r="Z128" s="537" t="s">
        <v>319</v>
      </c>
      <c r="AB128" s="675"/>
    </row>
    <row r="129" spans="1:28" s="536" customFormat="1" ht="33.75" x14ac:dyDescent="0.2">
      <c r="A129" s="605"/>
      <c r="B129" s="552" t="s">
        <v>1631</v>
      </c>
      <c r="C129" s="1822" t="s">
        <v>1632</v>
      </c>
      <c r="D129" s="1822"/>
      <c r="E129" s="1822"/>
      <c r="F129" s="562" t="s">
        <v>322</v>
      </c>
      <c r="G129" s="562" t="s">
        <v>1633</v>
      </c>
      <c r="H129" s="562"/>
      <c r="I129" s="562" t="s">
        <v>1633</v>
      </c>
      <c r="J129" s="604"/>
      <c r="K129" s="562"/>
      <c r="L129" s="604">
        <v>38.81</v>
      </c>
      <c r="M129" s="603"/>
      <c r="N129" s="602"/>
      <c r="V129" s="674"/>
      <c r="W129" s="675"/>
      <c r="Z129" s="537" t="s">
        <v>1632</v>
      </c>
      <c r="AB129" s="675"/>
    </row>
    <row r="130" spans="1:28" s="536" customFormat="1" ht="33.75" x14ac:dyDescent="0.2">
      <c r="A130" s="605"/>
      <c r="B130" s="552" t="s">
        <v>1634</v>
      </c>
      <c r="C130" s="1822" t="s">
        <v>1635</v>
      </c>
      <c r="D130" s="1822"/>
      <c r="E130" s="1822"/>
      <c r="F130" s="562" t="s">
        <v>322</v>
      </c>
      <c r="G130" s="562" t="s">
        <v>786</v>
      </c>
      <c r="H130" s="562"/>
      <c r="I130" s="562" t="s">
        <v>786</v>
      </c>
      <c r="J130" s="604"/>
      <c r="K130" s="562"/>
      <c r="L130" s="604">
        <v>20.41</v>
      </c>
      <c r="M130" s="603"/>
      <c r="N130" s="602"/>
      <c r="V130" s="674"/>
      <c r="W130" s="675"/>
      <c r="Z130" s="537" t="s">
        <v>1635</v>
      </c>
      <c r="AB130" s="675"/>
    </row>
    <row r="131" spans="1:28" s="536" customFormat="1" ht="12" x14ac:dyDescent="0.2">
      <c r="A131" s="569"/>
      <c r="B131" s="671"/>
      <c r="C131" s="1823" t="s">
        <v>327</v>
      </c>
      <c r="D131" s="1823"/>
      <c r="E131" s="1823"/>
      <c r="F131" s="573"/>
      <c r="G131" s="573"/>
      <c r="H131" s="573"/>
      <c r="I131" s="573"/>
      <c r="J131" s="572"/>
      <c r="K131" s="573"/>
      <c r="L131" s="572">
        <v>118.96</v>
      </c>
      <c r="M131" s="601"/>
      <c r="N131" s="570"/>
      <c r="V131" s="674"/>
      <c r="W131" s="675"/>
      <c r="AB131" s="675" t="s">
        <v>327</v>
      </c>
    </row>
    <row r="132" spans="1:28" s="536" customFormat="1" ht="33.75" x14ac:dyDescent="0.2">
      <c r="A132" s="575" t="s">
        <v>8203</v>
      </c>
      <c r="B132" s="670" t="s">
        <v>8204</v>
      </c>
      <c r="C132" s="1823" t="s">
        <v>8205</v>
      </c>
      <c r="D132" s="1823"/>
      <c r="E132" s="1823"/>
      <c r="F132" s="573" t="s">
        <v>628</v>
      </c>
      <c r="G132" s="573"/>
      <c r="H132" s="573"/>
      <c r="I132" s="573" t="s">
        <v>187</v>
      </c>
      <c r="J132" s="572">
        <v>2720.25</v>
      </c>
      <c r="K132" s="573" t="s">
        <v>629</v>
      </c>
      <c r="L132" s="572">
        <v>1799.35</v>
      </c>
      <c r="M132" s="571">
        <v>4.59</v>
      </c>
      <c r="N132" s="570">
        <v>8259</v>
      </c>
      <c r="V132" s="674"/>
      <c r="W132" s="675" t="s">
        <v>8205</v>
      </c>
      <c r="AB132" s="675"/>
    </row>
    <row r="133" spans="1:28" s="536" customFormat="1" ht="12" x14ac:dyDescent="0.2">
      <c r="A133" s="569"/>
      <c r="B133" s="671"/>
      <c r="C133" s="665" t="s">
        <v>630</v>
      </c>
      <c r="D133" s="666"/>
      <c r="E133" s="666"/>
      <c r="F133" s="563"/>
      <c r="G133" s="563"/>
      <c r="H133" s="563"/>
      <c r="I133" s="563"/>
      <c r="J133" s="566"/>
      <c r="K133" s="563"/>
      <c r="L133" s="566"/>
      <c r="M133" s="565"/>
      <c r="N133" s="564"/>
      <c r="V133" s="674"/>
      <c r="W133" s="675"/>
      <c r="AB133" s="675"/>
    </row>
    <row r="134" spans="1:28" s="536" customFormat="1" ht="22.5" x14ac:dyDescent="0.2">
      <c r="A134" s="609"/>
      <c r="B134" s="552" t="s">
        <v>631</v>
      </c>
      <c r="C134" s="1822" t="s">
        <v>632</v>
      </c>
      <c r="D134" s="1822"/>
      <c r="E134" s="1822"/>
      <c r="F134" s="1822"/>
      <c r="G134" s="1822"/>
      <c r="H134" s="1822"/>
      <c r="I134" s="1822"/>
      <c r="J134" s="1822"/>
      <c r="K134" s="1822"/>
      <c r="L134" s="1822"/>
      <c r="M134" s="1822"/>
      <c r="N134" s="1827"/>
      <c r="V134" s="674"/>
      <c r="W134" s="675"/>
      <c r="X134" s="537" t="s">
        <v>632</v>
      </c>
      <c r="AB134" s="675"/>
    </row>
    <row r="135" spans="1:28" s="536" customFormat="1" ht="33.75" x14ac:dyDescent="0.2">
      <c r="A135" s="575" t="s">
        <v>199</v>
      </c>
      <c r="B135" s="670" t="s">
        <v>8206</v>
      </c>
      <c r="C135" s="1823" t="s">
        <v>8207</v>
      </c>
      <c r="D135" s="1823"/>
      <c r="E135" s="1823"/>
      <c r="F135" s="573" t="s">
        <v>628</v>
      </c>
      <c r="G135" s="573"/>
      <c r="H135" s="573"/>
      <c r="I135" s="573" t="s">
        <v>187</v>
      </c>
      <c r="J135" s="572">
        <v>965.25</v>
      </c>
      <c r="K135" s="573" t="s">
        <v>716</v>
      </c>
      <c r="L135" s="572">
        <v>355.05</v>
      </c>
      <c r="M135" s="571">
        <v>8.32</v>
      </c>
      <c r="N135" s="570">
        <v>2954</v>
      </c>
      <c r="V135" s="674"/>
      <c r="W135" s="675" t="s">
        <v>8207</v>
      </c>
      <c r="AB135" s="675"/>
    </row>
    <row r="136" spans="1:28" s="536" customFormat="1" ht="12" x14ac:dyDescent="0.2">
      <c r="A136" s="569"/>
      <c r="B136" s="671"/>
      <c r="C136" s="665" t="s">
        <v>1658</v>
      </c>
      <c r="D136" s="666"/>
      <c r="E136" s="666"/>
      <c r="F136" s="563"/>
      <c r="G136" s="563"/>
      <c r="H136" s="563"/>
      <c r="I136" s="563"/>
      <c r="J136" s="566"/>
      <c r="K136" s="563"/>
      <c r="L136" s="566"/>
      <c r="M136" s="565"/>
      <c r="N136" s="564"/>
      <c r="V136" s="674"/>
      <c r="W136" s="675"/>
      <c r="AB136" s="675"/>
    </row>
    <row r="137" spans="1:28" s="536" customFormat="1" ht="22.5" x14ac:dyDescent="0.2">
      <c r="A137" s="609"/>
      <c r="B137" s="552" t="s">
        <v>718</v>
      </c>
      <c r="C137" s="1822" t="s">
        <v>719</v>
      </c>
      <c r="D137" s="1822"/>
      <c r="E137" s="1822"/>
      <c r="F137" s="1822"/>
      <c r="G137" s="1822"/>
      <c r="H137" s="1822"/>
      <c r="I137" s="1822"/>
      <c r="J137" s="1822"/>
      <c r="K137" s="1822"/>
      <c r="L137" s="1822"/>
      <c r="M137" s="1822"/>
      <c r="N137" s="1827"/>
      <c r="V137" s="674"/>
      <c r="W137" s="675"/>
      <c r="X137" s="537" t="s">
        <v>719</v>
      </c>
      <c r="AB137" s="675"/>
    </row>
    <row r="138" spans="1:28" s="536" customFormat="1" ht="56.25" x14ac:dyDescent="0.2">
      <c r="A138" s="575" t="s">
        <v>200</v>
      </c>
      <c r="B138" s="670" t="s">
        <v>8208</v>
      </c>
      <c r="C138" s="1823" t="s">
        <v>8209</v>
      </c>
      <c r="D138" s="1823"/>
      <c r="E138" s="1823"/>
      <c r="F138" s="573" t="s">
        <v>617</v>
      </c>
      <c r="G138" s="573"/>
      <c r="H138" s="573"/>
      <c r="I138" s="573" t="s">
        <v>187</v>
      </c>
      <c r="J138" s="572"/>
      <c r="K138" s="573"/>
      <c r="L138" s="572"/>
      <c r="M138" s="571"/>
      <c r="N138" s="570"/>
      <c r="V138" s="674"/>
      <c r="W138" s="675" t="s">
        <v>8209</v>
      </c>
      <c r="AB138" s="675"/>
    </row>
    <row r="139" spans="1:28" s="536" customFormat="1" ht="33.75" x14ac:dyDescent="0.2">
      <c r="A139" s="609"/>
      <c r="B139" s="552" t="s">
        <v>310</v>
      </c>
      <c r="C139" s="1822" t="s">
        <v>311</v>
      </c>
      <c r="D139" s="1822"/>
      <c r="E139" s="1822"/>
      <c r="F139" s="1822"/>
      <c r="G139" s="1822"/>
      <c r="H139" s="1822"/>
      <c r="I139" s="1822"/>
      <c r="J139" s="1822"/>
      <c r="K139" s="1822"/>
      <c r="L139" s="1822"/>
      <c r="M139" s="1822"/>
      <c r="N139" s="1827"/>
      <c r="V139" s="674"/>
      <c r="W139" s="675"/>
      <c r="X139" s="537" t="s">
        <v>311</v>
      </c>
      <c r="AB139" s="675"/>
    </row>
    <row r="140" spans="1:28" s="536" customFormat="1" ht="12" x14ac:dyDescent="0.2">
      <c r="A140" s="605"/>
      <c r="B140" s="552" t="s">
        <v>185</v>
      </c>
      <c r="C140" s="1822" t="s">
        <v>312</v>
      </c>
      <c r="D140" s="1822"/>
      <c r="E140" s="1822"/>
      <c r="F140" s="562"/>
      <c r="G140" s="562"/>
      <c r="H140" s="562"/>
      <c r="I140" s="562"/>
      <c r="J140" s="604">
        <v>8.08</v>
      </c>
      <c r="K140" s="562" t="s">
        <v>313</v>
      </c>
      <c r="L140" s="604">
        <v>30.3</v>
      </c>
      <c r="M140" s="603"/>
      <c r="N140" s="602"/>
      <c r="V140" s="674"/>
      <c r="W140" s="675"/>
      <c r="Y140" s="537" t="s">
        <v>312</v>
      </c>
      <c r="AB140" s="675"/>
    </row>
    <row r="141" spans="1:28" s="536" customFormat="1" ht="12" x14ac:dyDescent="0.2">
      <c r="A141" s="605"/>
      <c r="B141" s="552" t="s">
        <v>188</v>
      </c>
      <c r="C141" s="1822" t="s">
        <v>475</v>
      </c>
      <c r="D141" s="1822"/>
      <c r="E141" s="1822"/>
      <c r="F141" s="562"/>
      <c r="G141" s="562"/>
      <c r="H141" s="562"/>
      <c r="I141" s="562"/>
      <c r="J141" s="604">
        <v>2.0699999999999998</v>
      </c>
      <c r="K141" s="562"/>
      <c r="L141" s="604">
        <v>6.21</v>
      </c>
      <c r="M141" s="603"/>
      <c r="N141" s="602"/>
      <c r="V141" s="674"/>
      <c r="W141" s="675"/>
      <c r="Y141" s="537" t="s">
        <v>475</v>
      </c>
      <c r="AB141" s="675"/>
    </row>
    <row r="142" spans="1:28" s="536" customFormat="1" ht="12" x14ac:dyDescent="0.2">
      <c r="A142" s="605"/>
      <c r="B142" s="552"/>
      <c r="C142" s="1822" t="s">
        <v>314</v>
      </c>
      <c r="D142" s="1822"/>
      <c r="E142" s="1822"/>
      <c r="F142" s="562" t="s">
        <v>315</v>
      </c>
      <c r="G142" s="562" t="s">
        <v>8210</v>
      </c>
      <c r="H142" s="562" t="s">
        <v>313</v>
      </c>
      <c r="I142" s="562" t="s">
        <v>8211</v>
      </c>
      <c r="J142" s="604"/>
      <c r="K142" s="562"/>
      <c r="L142" s="604"/>
      <c r="M142" s="603"/>
      <c r="N142" s="602"/>
      <c r="V142" s="674"/>
      <c r="W142" s="675"/>
      <c r="Z142" s="537" t="s">
        <v>314</v>
      </c>
      <c r="AB142" s="675"/>
    </row>
    <row r="143" spans="1:28" s="536" customFormat="1" ht="12" x14ac:dyDescent="0.2">
      <c r="A143" s="605"/>
      <c r="B143" s="552"/>
      <c r="C143" s="1828" t="s">
        <v>318</v>
      </c>
      <c r="D143" s="1828"/>
      <c r="E143" s="1828"/>
      <c r="F143" s="608"/>
      <c r="G143" s="608"/>
      <c r="H143" s="608"/>
      <c r="I143" s="608"/>
      <c r="J143" s="607">
        <v>10.15</v>
      </c>
      <c r="K143" s="608"/>
      <c r="L143" s="607">
        <v>36.51</v>
      </c>
      <c r="M143" s="601"/>
      <c r="N143" s="606"/>
      <c r="V143" s="674"/>
      <c r="W143" s="675"/>
      <c r="AA143" s="537" t="s">
        <v>318</v>
      </c>
      <c r="AB143" s="675"/>
    </row>
    <row r="144" spans="1:28" s="536" customFormat="1" ht="12" x14ac:dyDescent="0.2">
      <c r="A144" s="605"/>
      <c r="B144" s="552"/>
      <c r="C144" s="1822" t="s">
        <v>319</v>
      </c>
      <c r="D144" s="1822"/>
      <c r="E144" s="1822"/>
      <c r="F144" s="562"/>
      <c r="G144" s="562"/>
      <c r="H144" s="562"/>
      <c r="I144" s="562"/>
      <c r="J144" s="604"/>
      <c r="K144" s="562"/>
      <c r="L144" s="604">
        <v>30.3</v>
      </c>
      <c r="M144" s="603"/>
      <c r="N144" s="602"/>
      <c r="V144" s="674"/>
      <c r="W144" s="675"/>
      <c r="Z144" s="537" t="s">
        <v>319</v>
      </c>
      <c r="AB144" s="675"/>
    </row>
    <row r="145" spans="1:30" s="536" customFormat="1" ht="33.75" x14ac:dyDescent="0.2">
      <c r="A145" s="605"/>
      <c r="B145" s="552" t="s">
        <v>884</v>
      </c>
      <c r="C145" s="1822" t="s">
        <v>885</v>
      </c>
      <c r="D145" s="1822"/>
      <c r="E145" s="1822"/>
      <c r="F145" s="562" t="s">
        <v>322</v>
      </c>
      <c r="G145" s="562" t="s">
        <v>886</v>
      </c>
      <c r="H145" s="562"/>
      <c r="I145" s="562" t="s">
        <v>886</v>
      </c>
      <c r="J145" s="604"/>
      <c r="K145" s="562"/>
      <c r="L145" s="604">
        <v>27.27</v>
      </c>
      <c r="M145" s="603"/>
      <c r="N145" s="602"/>
      <c r="V145" s="674"/>
      <c r="W145" s="675"/>
      <c r="Z145" s="537" t="s">
        <v>885</v>
      </c>
      <c r="AB145" s="675"/>
    </row>
    <row r="146" spans="1:30" s="536" customFormat="1" ht="33.75" x14ac:dyDescent="0.2">
      <c r="A146" s="605"/>
      <c r="B146" s="552" t="s">
        <v>887</v>
      </c>
      <c r="C146" s="1822" t="s">
        <v>888</v>
      </c>
      <c r="D146" s="1822"/>
      <c r="E146" s="1822"/>
      <c r="F146" s="562" t="s">
        <v>322</v>
      </c>
      <c r="G146" s="562" t="s">
        <v>465</v>
      </c>
      <c r="H146" s="562"/>
      <c r="I146" s="562" t="s">
        <v>465</v>
      </c>
      <c r="J146" s="604"/>
      <c r="K146" s="562"/>
      <c r="L146" s="604">
        <v>13.94</v>
      </c>
      <c r="M146" s="603"/>
      <c r="N146" s="602"/>
      <c r="V146" s="674"/>
      <c r="W146" s="675"/>
      <c r="Z146" s="537" t="s">
        <v>888</v>
      </c>
      <c r="AB146" s="675"/>
    </row>
    <row r="147" spans="1:30" s="536" customFormat="1" ht="12" x14ac:dyDescent="0.2">
      <c r="A147" s="569"/>
      <c r="B147" s="671"/>
      <c r="C147" s="1823" t="s">
        <v>327</v>
      </c>
      <c r="D147" s="1823"/>
      <c r="E147" s="1823"/>
      <c r="F147" s="573"/>
      <c r="G147" s="573"/>
      <c r="H147" s="573"/>
      <c r="I147" s="573"/>
      <c r="J147" s="572"/>
      <c r="K147" s="573"/>
      <c r="L147" s="572">
        <v>77.72</v>
      </c>
      <c r="M147" s="601"/>
      <c r="N147" s="570"/>
      <c r="V147" s="674"/>
      <c r="W147" s="675"/>
      <c r="AB147" s="675" t="s">
        <v>327</v>
      </c>
    </row>
    <row r="148" spans="1:30" s="536" customFormat="1" ht="22.5" x14ac:dyDescent="0.2">
      <c r="A148" s="575" t="s">
        <v>899</v>
      </c>
      <c r="B148" s="670" t="s">
        <v>8212</v>
      </c>
      <c r="C148" s="1823" t="s">
        <v>8213</v>
      </c>
      <c r="D148" s="1823"/>
      <c r="E148" s="1823"/>
      <c r="F148" s="573" t="s">
        <v>307</v>
      </c>
      <c r="G148" s="573"/>
      <c r="H148" s="573"/>
      <c r="I148" s="573" t="s">
        <v>1292</v>
      </c>
      <c r="J148" s="572">
        <v>4691</v>
      </c>
      <c r="K148" s="573"/>
      <c r="L148" s="572">
        <v>140.72999999999999</v>
      </c>
      <c r="M148" s="571"/>
      <c r="N148" s="570"/>
      <c r="V148" s="674"/>
      <c r="W148" s="675" t="s">
        <v>8213</v>
      </c>
      <c r="AB148" s="675"/>
    </row>
    <row r="149" spans="1:30" s="536" customFormat="1" ht="12" x14ac:dyDescent="0.2">
      <c r="A149" s="569"/>
      <c r="B149" s="671"/>
      <c r="C149" s="665" t="s">
        <v>2222</v>
      </c>
      <c r="D149" s="666"/>
      <c r="E149" s="666"/>
      <c r="F149" s="563"/>
      <c r="G149" s="563"/>
      <c r="H149" s="563"/>
      <c r="I149" s="563"/>
      <c r="J149" s="566"/>
      <c r="K149" s="563"/>
      <c r="L149" s="566"/>
      <c r="M149" s="565"/>
      <c r="N149" s="564"/>
      <c r="V149" s="674"/>
      <c r="W149" s="675"/>
      <c r="AB149" s="675"/>
    </row>
    <row r="150" spans="1:30" s="536" customFormat="1" ht="12" x14ac:dyDescent="0.2">
      <c r="A150" s="676"/>
      <c r="B150" s="664"/>
      <c r="C150" s="1822" t="s">
        <v>3074</v>
      </c>
      <c r="D150" s="1822"/>
      <c r="E150" s="1822"/>
      <c r="F150" s="1822"/>
      <c r="G150" s="1822"/>
      <c r="H150" s="1822"/>
      <c r="I150" s="1822"/>
      <c r="J150" s="1822"/>
      <c r="K150" s="1822"/>
      <c r="L150" s="1822"/>
      <c r="M150" s="1822"/>
      <c r="N150" s="1827"/>
      <c r="V150" s="674"/>
      <c r="W150" s="675"/>
      <c r="AB150" s="675"/>
      <c r="AC150" s="537" t="s">
        <v>3074</v>
      </c>
    </row>
    <row r="151" spans="1:30" s="536" customFormat="1" ht="33.75" x14ac:dyDescent="0.2">
      <c r="A151" s="575" t="s">
        <v>723</v>
      </c>
      <c r="B151" s="670" t="s">
        <v>8214</v>
      </c>
      <c r="C151" s="1823" t="s">
        <v>8215</v>
      </c>
      <c r="D151" s="1823"/>
      <c r="E151" s="1823"/>
      <c r="F151" s="573" t="s">
        <v>628</v>
      </c>
      <c r="G151" s="573"/>
      <c r="H151" s="573"/>
      <c r="I151" s="573" t="s">
        <v>844</v>
      </c>
      <c r="J151" s="572">
        <v>11.13</v>
      </c>
      <c r="K151" s="573" t="s">
        <v>629</v>
      </c>
      <c r="L151" s="572">
        <v>245.32</v>
      </c>
      <c r="M151" s="571">
        <v>4.59</v>
      </c>
      <c r="N151" s="570">
        <v>1126</v>
      </c>
      <c r="V151" s="674"/>
      <c r="W151" s="675" t="s">
        <v>8215</v>
      </c>
      <c r="AB151" s="675"/>
    </row>
    <row r="152" spans="1:30" s="536" customFormat="1" ht="12" x14ac:dyDescent="0.2">
      <c r="A152" s="569"/>
      <c r="B152" s="671"/>
      <c r="C152" s="665" t="s">
        <v>630</v>
      </c>
      <c r="D152" s="666"/>
      <c r="E152" s="666"/>
      <c r="F152" s="563"/>
      <c r="G152" s="563"/>
      <c r="H152" s="563"/>
      <c r="I152" s="563"/>
      <c r="J152" s="566"/>
      <c r="K152" s="563"/>
      <c r="L152" s="566"/>
      <c r="M152" s="565"/>
      <c r="N152" s="564"/>
      <c r="V152" s="674"/>
      <c r="W152" s="675"/>
      <c r="AB152" s="675"/>
    </row>
    <row r="153" spans="1:30" s="536" customFormat="1" ht="22.5" x14ac:dyDescent="0.2">
      <c r="A153" s="609"/>
      <c r="B153" s="552" t="s">
        <v>631</v>
      </c>
      <c r="C153" s="1822" t="s">
        <v>632</v>
      </c>
      <c r="D153" s="1822"/>
      <c r="E153" s="1822"/>
      <c r="F153" s="1822"/>
      <c r="G153" s="1822"/>
      <c r="H153" s="1822"/>
      <c r="I153" s="1822"/>
      <c r="J153" s="1822"/>
      <c r="K153" s="1822"/>
      <c r="L153" s="1822"/>
      <c r="M153" s="1822"/>
      <c r="N153" s="1827"/>
      <c r="V153" s="674"/>
      <c r="W153" s="675"/>
      <c r="X153" s="537" t="s">
        <v>632</v>
      </c>
      <c r="AB153" s="675"/>
    </row>
    <row r="154" spans="1:30" s="536" customFormat="1" ht="22.5" x14ac:dyDescent="0.2">
      <c r="A154" s="575" t="s">
        <v>436</v>
      </c>
      <c r="B154" s="670" t="s">
        <v>8216</v>
      </c>
      <c r="C154" s="1823" t="s">
        <v>8217</v>
      </c>
      <c r="D154" s="1823"/>
      <c r="E154" s="1823"/>
      <c r="F154" s="573" t="s">
        <v>617</v>
      </c>
      <c r="G154" s="573"/>
      <c r="H154" s="573"/>
      <c r="I154" s="573" t="s">
        <v>187</v>
      </c>
      <c r="J154" s="572"/>
      <c r="K154" s="573"/>
      <c r="L154" s="572"/>
      <c r="M154" s="571"/>
      <c r="N154" s="570"/>
      <c r="V154" s="674"/>
      <c r="W154" s="675" t="s">
        <v>8217</v>
      </c>
      <c r="AB154" s="675"/>
    </row>
    <row r="155" spans="1:30" s="536" customFormat="1" ht="33.75" x14ac:dyDescent="0.2">
      <c r="A155" s="609"/>
      <c r="B155" s="552" t="s">
        <v>310</v>
      </c>
      <c r="C155" s="1822" t="s">
        <v>311</v>
      </c>
      <c r="D155" s="1822"/>
      <c r="E155" s="1822"/>
      <c r="F155" s="1822"/>
      <c r="G155" s="1822"/>
      <c r="H155" s="1822"/>
      <c r="I155" s="1822"/>
      <c r="J155" s="1822"/>
      <c r="K155" s="1822"/>
      <c r="L155" s="1822"/>
      <c r="M155" s="1822"/>
      <c r="N155" s="1827"/>
      <c r="V155" s="674"/>
      <c r="W155" s="675"/>
      <c r="X155" s="537" t="s">
        <v>311</v>
      </c>
      <c r="AB155" s="675"/>
    </row>
    <row r="156" spans="1:30" s="536" customFormat="1" ht="12" x14ac:dyDescent="0.2">
      <c r="A156" s="605"/>
      <c r="B156" s="552" t="s">
        <v>185</v>
      </c>
      <c r="C156" s="1822" t="s">
        <v>312</v>
      </c>
      <c r="D156" s="1822"/>
      <c r="E156" s="1822"/>
      <c r="F156" s="562"/>
      <c r="G156" s="562"/>
      <c r="H156" s="562"/>
      <c r="I156" s="562"/>
      <c r="J156" s="604">
        <v>11.01</v>
      </c>
      <c r="K156" s="562" t="s">
        <v>313</v>
      </c>
      <c r="L156" s="604">
        <v>41.29</v>
      </c>
      <c r="M156" s="603"/>
      <c r="N156" s="602"/>
      <c r="V156" s="674"/>
      <c r="W156" s="675"/>
      <c r="Y156" s="537" t="s">
        <v>312</v>
      </c>
      <c r="AB156" s="675"/>
    </row>
    <row r="157" spans="1:30" s="536" customFormat="1" ht="12" x14ac:dyDescent="0.2">
      <c r="A157" s="605"/>
      <c r="B157" s="552" t="s">
        <v>186</v>
      </c>
      <c r="C157" s="1822" t="s">
        <v>344</v>
      </c>
      <c r="D157" s="1822"/>
      <c r="E157" s="1822"/>
      <c r="F157" s="562"/>
      <c r="G157" s="562"/>
      <c r="H157" s="562"/>
      <c r="I157" s="562"/>
      <c r="J157" s="604">
        <v>2.11</v>
      </c>
      <c r="K157" s="562" t="s">
        <v>313</v>
      </c>
      <c r="L157" s="604">
        <v>7.91</v>
      </c>
      <c r="M157" s="603"/>
      <c r="N157" s="602"/>
      <c r="V157" s="674"/>
      <c r="W157" s="675"/>
      <c r="Y157" s="537" t="s">
        <v>344</v>
      </c>
      <c r="AB157" s="675"/>
    </row>
    <row r="158" spans="1:30" s="536" customFormat="1" ht="12" x14ac:dyDescent="0.2">
      <c r="A158" s="605"/>
      <c r="B158" s="552" t="s">
        <v>188</v>
      </c>
      <c r="C158" s="1822" t="s">
        <v>475</v>
      </c>
      <c r="D158" s="1822"/>
      <c r="E158" s="1822"/>
      <c r="F158" s="562"/>
      <c r="G158" s="562"/>
      <c r="H158" s="562"/>
      <c r="I158" s="562"/>
      <c r="J158" s="604">
        <v>2.3199999999999998</v>
      </c>
      <c r="K158" s="562"/>
      <c r="L158" s="604">
        <v>6.96</v>
      </c>
      <c r="M158" s="603"/>
      <c r="N158" s="602"/>
      <c r="V158" s="674"/>
      <c r="W158" s="675"/>
      <c r="Y158" s="537" t="s">
        <v>475</v>
      </c>
      <c r="AB158" s="675"/>
    </row>
    <row r="159" spans="1:30" s="536" customFormat="1" ht="12" x14ac:dyDescent="0.2">
      <c r="A159" s="676"/>
      <c r="B159" s="677" t="s">
        <v>8218</v>
      </c>
      <c r="C159" s="1829" t="s">
        <v>8219</v>
      </c>
      <c r="D159" s="1829"/>
      <c r="E159" s="1829"/>
      <c r="F159" s="678" t="s">
        <v>617</v>
      </c>
      <c r="G159" s="678" t="s">
        <v>185</v>
      </c>
      <c r="H159" s="678"/>
      <c r="I159" s="678" t="s">
        <v>187</v>
      </c>
      <c r="J159" s="552"/>
      <c r="K159" s="562"/>
      <c r="L159" s="604"/>
      <c r="M159" s="562"/>
      <c r="N159" s="679"/>
      <c r="V159" s="674"/>
      <c r="W159" s="675"/>
      <c r="AB159" s="675"/>
      <c r="AD159" s="680" t="s">
        <v>8219</v>
      </c>
    </row>
    <row r="160" spans="1:30" s="536" customFormat="1" ht="12" x14ac:dyDescent="0.2">
      <c r="A160" s="605"/>
      <c r="B160" s="552"/>
      <c r="C160" s="1822" t="s">
        <v>314</v>
      </c>
      <c r="D160" s="1822"/>
      <c r="E160" s="1822"/>
      <c r="F160" s="562" t="s">
        <v>315</v>
      </c>
      <c r="G160" s="562" t="s">
        <v>3165</v>
      </c>
      <c r="H160" s="562" t="s">
        <v>313</v>
      </c>
      <c r="I160" s="562" t="s">
        <v>8220</v>
      </c>
      <c r="J160" s="604"/>
      <c r="K160" s="562"/>
      <c r="L160" s="604"/>
      <c r="M160" s="603"/>
      <c r="N160" s="602"/>
      <c r="V160" s="674"/>
      <c r="W160" s="675"/>
      <c r="Z160" s="537" t="s">
        <v>314</v>
      </c>
      <c r="AB160" s="675"/>
      <c r="AD160" s="680"/>
    </row>
    <row r="161" spans="1:30" s="536" customFormat="1" ht="12" x14ac:dyDescent="0.2">
      <c r="A161" s="605"/>
      <c r="B161" s="552"/>
      <c r="C161" s="1828" t="s">
        <v>318</v>
      </c>
      <c r="D161" s="1828"/>
      <c r="E161" s="1828"/>
      <c r="F161" s="608"/>
      <c r="G161" s="608"/>
      <c r="H161" s="608"/>
      <c r="I161" s="608"/>
      <c r="J161" s="607">
        <v>15.44</v>
      </c>
      <c r="K161" s="608"/>
      <c r="L161" s="607">
        <v>56.16</v>
      </c>
      <c r="M161" s="601"/>
      <c r="N161" s="606"/>
      <c r="V161" s="674"/>
      <c r="W161" s="675"/>
      <c r="AA161" s="537" t="s">
        <v>318</v>
      </c>
      <c r="AB161" s="675"/>
      <c r="AD161" s="680"/>
    </row>
    <row r="162" spans="1:30" s="536" customFormat="1" ht="12" x14ac:dyDescent="0.2">
      <c r="A162" s="605"/>
      <c r="B162" s="552"/>
      <c r="C162" s="1822" t="s">
        <v>319</v>
      </c>
      <c r="D162" s="1822"/>
      <c r="E162" s="1822"/>
      <c r="F162" s="562"/>
      <c r="G162" s="562"/>
      <c r="H162" s="562"/>
      <c r="I162" s="562"/>
      <c r="J162" s="604"/>
      <c r="K162" s="562"/>
      <c r="L162" s="604">
        <v>41.29</v>
      </c>
      <c r="M162" s="603"/>
      <c r="N162" s="602"/>
      <c r="V162" s="674"/>
      <c r="W162" s="675"/>
      <c r="Z162" s="537" t="s">
        <v>319</v>
      </c>
      <c r="AB162" s="675"/>
      <c r="AD162" s="680"/>
    </row>
    <row r="163" spans="1:30" s="536" customFormat="1" ht="33.75" x14ac:dyDescent="0.2">
      <c r="A163" s="605"/>
      <c r="B163" s="552" t="s">
        <v>648</v>
      </c>
      <c r="C163" s="1822" t="s">
        <v>649</v>
      </c>
      <c r="D163" s="1822"/>
      <c r="E163" s="1822"/>
      <c r="F163" s="562" t="s">
        <v>322</v>
      </c>
      <c r="G163" s="562" t="s">
        <v>650</v>
      </c>
      <c r="H163" s="562"/>
      <c r="I163" s="562" t="s">
        <v>650</v>
      </c>
      <c r="J163" s="604"/>
      <c r="K163" s="562"/>
      <c r="L163" s="604">
        <v>38.4</v>
      </c>
      <c r="M163" s="603"/>
      <c r="N163" s="602"/>
      <c r="V163" s="674"/>
      <c r="W163" s="675"/>
      <c r="Z163" s="537" t="s">
        <v>649</v>
      </c>
      <c r="AB163" s="675"/>
      <c r="AD163" s="680"/>
    </row>
    <row r="164" spans="1:30" s="536" customFormat="1" ht="33.75" x14ac:dyDescent="0.2">
      <c r="A164" s="605"/>
      <c r="B164" s="552" t="s">
        <v>651</v>
      </c>
      <c r="C164" s="1822" t="s">
        <v>652</v>
      </c>
      <c r="D164" s="1822"/>
      <c r="E164" s="1822"/>
      <c r="F164" s="562" t="s">
        <v>322</v>
      </c>
      <c r="G164" s="562" t="s">
        <v>653</v>
      </c>
      <c r="H164" s="562"/>
      <c r="I164" s="562" t="s">
        <v>653</v>
      </c>
      <c r="J164" s="604"/>
      <c r="K164" s="562"/>
      <c r="L164" s="604">
        <v>25.6</v>
      </c>
      <c r="M164" s="603"/>
      <c r="N164" s="602"/>
      <c r="V164" s="674"/>
      <c r="W164" s="675"/>
      <c r="Z164" s="537" t="s">
        <v>652</v>
      </c>
      <c r="AB164" s="675"/>
      <c r="AD164" s="680"/>
    </row>
    <row r="165" spans="1:30" s="536" customFormat="1" ht="12" x14ac:dyDescent="0.2">
      <c r="A165" s="569"/>
      <c r="B165" s="671"/>
      <c r="C165" s="1823" t="s">
        <v>327</v>
      </c>
      <c r="D165" s="1823"/>
      <c r="E165" s="1823"/>
      <c r="F165" s="573"/>
      <c r="G165" s="573"/>
      <c r="H165" s="573"/>
      <c r="I165" s="573"/>
      <c r="J165" s="572"/>
      <c r="K165" s="573"/>
      <c r="L165" s="572">
        <v>120.16</v>
      </c>
      <c r="M165" s="601"/>
      <c r="N165" s="570"/>
      <c r="V165" s="674"/>
      <c r="W165" s="675"/>
      <c r="AB165" s="675" t="s">
        <v>327</v>
      </c>
      <c r="AD165" s="680"/>
    </row>
    <row r="166" spans="1:30" s="536" customFormat="1" ht="33.75" x14ac:dyDescent="0.2">
      <c r="A166" s="575" t="s">
        <v>733</v>
      </c>
      <c r="B166" s="670" t="s">
        <v>8221</v>
      </c>
      <c r="C166" s="1823" t="s">
        <v>8222</v>
      </c>
      <c r="D166" s="1823"/>
      <c r="E166" s="1823"/>
      <c r="F166" s="573" t="s">
        <v>628</v>
      </c>
      <c r="G166" s="573"/>
      <c r="H166" s="573"/>
      <c r="I166" s="573" t="s">
        <v>187</v>
      </c>
      <c r="J166" s="572">
        <v>2632</v>
      </c>
      <c r="K166" s="573" t="s">
        <v>716</v>
      </c>
      <c r="L166" s="572">
        <v>968.03</v>
      </c>
      <c r="M166" s="571">
        <v>8.32</v>
      </c>
      <c r="N166" s="570">
        <v>8054</v>
      </c>
      <c r="V166" s="674"/>
      <c r="W166" s="675" t="s">
        <v>8222</v>
      </c>
      <c r="AB166" s="675"/>
      <c r="AD166" s="680"/>
    </row>
    <row r="167" spans="1:30" s="536" customFormat="1" ht="12" x14ac:dyDescent="0.2">
      <c r="A167" s="569"/>
      <c r="B167" s="671"/>
      <c r="C167" s="665" t="s">
        <v>717</v>
      </c>
      <c r="D167" s="666"/>
      <c r="E167" s="666"/>
      <c r="F167" s="563"/>
      <c r="G167" s="563"/>
      <c r="H167" s="563"/>
      <c r="I167" s="563"/>
      <c r="J167" s="566"/>
      <c r="K167" s="563"/>
      <c r="L167" s="566"/>
      <c r="M167" s="565"/>
      <c r="N167" s="564"/>
      <c r="V167" s="674"/>
      <c r="W167" s="675"/>
      <c r="AB167" s="675"/>
      <c r="AD167" s="680"/>
    </row>
    <row r="168" spans="1:30" s="536" customFormat="1" ht="22.5" x14ac:dyDescent="0.2">
      <c r="A168" s="609"/>
      <c r="B168" s="552" t="s">
        <v>718</v>
      </c>
      <c r="C168" s="1822" t="s">
        <v>719</v>
      </c>
      <c r="D168" s="1822"/>
      <c r="E168" s="1822"/>
      <c r="F168" s="1822"/>
      <c r="G168" s="1822"/>
      <c r="H168" s="1822"/>
      <c r="I168" s="1822"/>
      <c r="J168" s="1822"/>
      <c r="K168" s="1822"/>
      <c r="L168" s="1822"/>
      <c r="M168" s="1822"/>
      <c r="N168" s="1827"/>
      <c r="V168" s="674"/>
      <c r="W168" s="675"/>
      <c r="X168" s="537" t="s">
        <v>719</v>
      </c>
      <c r="AB168" s="675"/>
      <c r="AD168" s="680"/>
    </row>
    <row r="169" spans="1:30" s="536" customFormat="1" ht="56.25" x14ac:dyDescent="0.2">
      <c r="A169" s="575" t="s">
        <v>736</v>
      </c>
      <c r="B169" s="670" t="s">
        <v>3140</v>
      </c>
      <c r="C169" s="1823" t="s">
        <v>3141</v>
      </c>
      <c r="D169" s="1823"/>
      <c r="E169" s="1823"/>
      <c r="F169" s="573" t="s">
        <v>617</v>
      </c>
      <c r="G169" s="573"/>
      <c r="H169" s="573"/>
      <c r="I169" s="573" t="s">
        <v>190</v>
      </c>
      <c r="J169" s="572"/>
      <c r="K169" s="573"/>
      <c r="L169" s="572"/>
      <c r="M169" s="571"/>
      <c r="N169" s="570"/>
      <c r="V169" s="674"/>
      <c r="W169" s="675" t="s">
        <v>3141</v>
      </c>
      <c r="AB169" s="675"/>
      <c r="AD169" s="680"/>
    </row>
    <row r="170" spans="1:30" s="536" customFormat="1" ht="12" x14ac:dyDescent="0.2">
      <c r="A170" s="676"/>
      <c r="B170" s="664"/>
      <c r="C170" s="1822" t="s">
        <v>8223</v>
      </c>
      <c r="D170" s="1822"/>
      <c r="E170" s="1822"/>
      <c r="F170" s="1822"/>
      <c r="G170" s="1822"/>
      <c r="H170" s="1822"/>
      <c r="I170" s="1822"/>
      <c r="J170" s="1822"/>
      <c r="K170" s="1822"/>
      <c r="L170" s="1822"/>
      <c r="M170" s="1822"/>
      <c r="N170" s="1827"/>
      <c r="V170" s="674"/>
      <c r="W170" s="675"/>
      <c r="AB170" s="675"/>
      <c r="AC170" s="537" t="s">
        <v>8223</v>
      </c>
      <c r="AD170" s="680"/>
    </row>
    <row r="171" spans="1:30" s="536" customFormat="1" ht="33.75" x14ac:dyDescent="0.2">
      <c r="A171" s="609"/>
      <c r="B171" s="552" t="s">
        <v>310</v>
      </c>
      <c r="C171" s="1822" t="s">
        <v>311</v>
      </c>
      <c r="D171" s="1822"/>
      <c r="E171" s="1822"/>
      <c r="F171" s="1822"/>
      <c r="G171" s="1822"/>
      <c r="H171" s="1822"/>
      <c r="I171" s="1822"/>
      <c r="J171" s="1822"/>
      <c r="K171" s="1822"/>
      <c r="L171" s="1822"/>
      <c r="M171" s="1822"/>
      <c r="N171" s="1827"/>
      <c r="V171" s="674"/>
      <c r="W171" s="675"/>
      <c r="X171" s="537" t="s">
        <v>311</v>
      </c>
      <c r="AB171" s="675"/>
      <c r="AD171" s="680"/>
    </row>
    <row r="172" spans="1:30" s="536" customFormat="1" ht="12" x14ac:dyDescent="0.2">
      <c r="A172" s="605"/>
      <c r="B172" s="552" t="s">
        <v>185</v>
      </c>
      <c r="C172" s="1822" t="s">
        <v>312</v>
      </c>
      <c r="D172" s="1822"/>
      <c r="E172" s="1822"/>
      <c r="F172" s="562"/>
      <c r="G172" s="562"/>
      <c r="H172" s="562"/>
      <c r="I172" s="562"/>
      <c r="J172" s="604">
        <v>9.91</v>
      </c>
      <c r="K172" s="562" t="s">
        <v>313</v>
      </c>
      <c r="L172" s="604">
        <v>74.33</v>
      </c>
      <c r="M172" s="603"/>
      <c r="N172" s="602"/>
      <c r="V172" s="674"/>
      <c r="W172" s="675"/>
      <c r="Y172" s="537" t="s">
        <v>312</v>
      </c>
      <c r="AB172" s="675"/>
      <c r="AD172" s="680"/>
    </row>
    <row r="173" spans="1:30" s="536" customFormat="1" ht="12" x14ac:dyDescent="0.2">
      <c r="A173" s="605"/>
      <c r="B173" s="552" t="s">
        <v>186</v>
      </c>
      <c r="C173" s="1822" t="s">
        <v>344</v>
      </c>
      <c r="D173" s="1822"/>
      <c r="E173" s="1822"/>
      <c r="F173" s="562"/>
      <c r="G173" s="562"/>
      <c r="H173" s="562"/>
      <c r="I173" s="562"/>
      <c r="J173" s="604">
        <v>5.43</v>
      </c>
      <c r="K173" s="562" t="s">
        <v>313</v>
      </c>
      <c r="L173" s="604">
        <v>40.729999999999997</v>
      </c>
      <c r="M173" s="603"/>
      <c r="N173" s="602"/>
      <c r="V173" s="674"/>
      <c r="W173" s="675"/>
      <c r="Y173" s="537" t="s">
        <v>344</v>
      </c>
      <c r="AB173" s="675"/>
      <c r="AD173" s="680"/>
    </row>
    <row r="174" spans="1:30" s="536" customFormat="1" ht="12" x14ac:dyDescent="0.2">
      <c r="A174" s="605"/>
      <c r="B174" s="552" t="s">
        <v>187</v>
      </c>
      <c r="C174" s="1822" t="s">
        <v>345</v>
      </c>
      <c r="D174" s="1822"/>
      <c r="E174" s="1822"/>
      <c r="F174" s="562"/>
      <c r="G174" s="562"/>
      <c r="H174" s="562"/>
      <c r="I174" s="562"/>
      <c r="J174" s="604">
        <v>0.76</v>
      </c>
      <c r="K174" s="562" t="s">
        <v>313</v>
      </c>
      <c r="L174" s="604">
        <v>5.7</v>
      </c>
      <c r="M174" s="603"/>
      <c r="N174" s="602"/>
      <c r="V174" s="674"/>
      <c r="W174" s="675"/>
      <c r="Y174" s="537" t="s">
        <v>345</v>
      </c>
      <c r="AB174" s="675"/>
      <c r="AD174" s="680"/>
    </row>
    <row r="175" spans="1:30" s="536" customFormat="1" ht="12" x14ac:dyDescent="0.2">
      <c r="A175" s="605"/>
      <c r="B175" s="552" t="s">
        <v>188</v>
      </c>
      <c r="C175" s="1822" t="s">
        <v>475</v>
      </c>
      <c r="D175" s="1822"/>
      <c r="E175" s="1822"/>
      <c r="F175" s="562"/>
      <c r="G175" s="562"/>
      <c r="H175" s="562"/>
      <c r="I175" s="562"/>
      <c r="J175" s="604">
        <v>0.74</v>
      </c>
      <c r="K175" s="562"/>
      <c r="L175" s="604">
        <v>4.4400000000000004</v>
      </c>
      <c r="M175" s="603"/>
      <c r="N175" s="602"/>
      <c r="V175" s="674"/>
      <c r="W175" s="675"/>
      <c r="Y175" s="537" t="s">
        <v>475</v>
      </c>
      <c r="AB175" s="675"/>
      <c r="AD175" s="680"/>
    </row>
    <row r="176" spans="1:30" s="536" customFormat="1" ht="12" x14ac:dyDescent="0.2">
      <c r="A176" s="605"/>
      <c r="B176" s="552"/>
      <c r="C176" s="1822" t="s">
        <v>314</v>
      </c>
      <c r="D176" s="1822"/>
      <c r="E176" s="1822"/>
      <c r="F176" s="562" t="s">
        <v>315</v>
      </c>
      <c r="G176" s="562" t="s">
        <v>702</v>
      </c>
      <c r="H176" s="562" t="s">
        <v>313</v>
      </c>
      <c r="I176" s="562" t="s">
        <v>8224</v>
      </c>
      <c r="J176" s="604"/>
      <c r="K176" s="562"/>
      <c r="L176" s="604"/>
      <c r="M176" s="603"/>
      <c r="N176" s="602"/>
      <c r="V176" s="674"/>
      <c r="W176" s="675"/>
      <c r="Z176" s="537" t="s">
        <v>314</v>
      </c>
      <c r="AB176" s="675"/>
      <c r="AD176" s="680"/>
    </row>
    <row r="177" spans="1:30" s="536" customFormat="1" ht="12" x14ac:dyDescent="0.2">
      <c r="A177" s="605"/>
      <c r="B177" s="552"/>
      <c r="C177" s="1822" t="s">
        <v>348</v>
      </c>
      <c r="D177" s="1822"/>
      <c r="E177" s="1822"/>
      <c r="F177" s="562" t="s">
        <v>315</v>
      </c>
      <c r="G177" s="562" t="s">
        <v>1554</v>
      </c>
      <c r="H177" s="562" t="s">
        <v>313</v>
      </c>
      <c r="I177" s="562" t="s">
        <v>647</v>
      </c>
      <c r="J177" s="604"/>
      <c r="K177" s="562"/>
      <c r="L177" s="604"/>
      <c r="M177" s="603"/>
      <c r="N177" s="602"/>
      <c r="V177" s="674"/>
      <c r="W177" s="675"/>
      <c r="Z177" s="537" t="s">
        <v>348</v>
      </c>
      <c r="AB177" s="675"/>
      <c r="AD177" s="680"/>
    </row>
    <row r="178" spans="1:30" s="536" customFormat="1" ht="12" x14ac:dyDescent="0.2">
      <c r="A178" s="605"/>
      <c r="B178" s="552"/>
      <c r="C178" s="1828" t="s">
        <v>318</v>
      </c>
      <c r="D178" s="1828"/>
      <c r="E178" s="1828"/>
      <c r="F178" s="608"/>
      <c r="G178" s="608"/>
      <c r="H178" s="608"/>
      <c r="I178" s="608"/>
      <c r="J178" s="607">
        <v>16.079999999999998</v>
      </c>
      <c r="K178" s="608"/>
      <c r="L178" s="607">
        <v>119.5</v>
      </c>
      <c r="M178" s="601"/>
      <c r="N178" s="606"/>
      <c r="V178" s="674"/>
      <c r="W178" s="675"/>
      <c r="AA178" s="537" t="s">
        <v>318</v>
      </c>
      <c r="AB178" s="675"/>
      <c r="AD178" s="680"/>
    </row>
    <row r="179" spans="1:30" s="536" customFormat="1" ht="12" x14ac:dyDescent="0.2">
      <c r="A179" s="605"/>
      <c r="B179" s="552"/>
      <c r="C179" s="1822" t="s">
        <v>319</v>
      </c>
      <c r="D179" s="1822"/>
      <c r="E179" s="1822"/>
      <c r="F179" s="562"/>
      <c r="G179" s="562"/>
      <c r="H179" s="562"/>
      <c r="I179" s="562"/>
      <c r="J179" s="604"/>
      <c r="K179" s="562"/>
      <c r="L179" s="604">
        <v>80.03</v>
      </c>
      <c r="M179" s="603"/>
      <c r="N179" s="602"/>
      <c r="V179" s="674"/>
      <c r="W179" s="675"/>
      <c r="Z179" s="537" t="s">
        <v>319</v>
      </c>
      <c r="AB179" s="675"/>
      <c r="AD179" s="680"/>
    </row>
    <row r="180" spans="1:30" s="536" customFormat="1" ht="33.75" x14ac:dyDescent="0.2">
      <c r="A180" s="605"/>
      <c r="B180" s="552" t="s">
        <v>1631</v>
      </c>
      <c r="C180" s="1822" t="s">
        <v>1632</v>
      </c>
      <c r="D180" s="1822"/>
      <c r="E180" s="1822"/>
      <c r="F180" s="562" t="s">
        <v>322</v>
      </c>
      <c r="G180" s="562" t="s">
        <v>1633</v>
      </c>
      <c r="H180" s="562"/>
      <c r="I180" s="562" t="s">
        <v>1633</v>
      </c>
      <c r="J180" s="604"/>
      <c r="K180" s="562"/>
      <c r="L180" s="604">
        <v>77.63</v>
      </c>
      <c r="M180" s="603"/>
      <c r="N180" s="602"/>
      <c r="V180" s="674"/>
      <c r="W180" s="675"/>
      <c r="Z180" s="537" t="s">
        <v>1632</v>
      </c>
      <c r="AB180" s="675"/>
      <c r="AD180" s="680"/>
    </row>
    <row r="181" spans="1:30" s="536" customFormat="1" ht="33.75" x14ac:dyDescent="0.2">
      <c r="A181" s="605"/>
      <c r="B181" s="552" t="s">
        <v>1634</v>
      </c>
      <c r="C181" s="1822" t="s">
        <v>1635</v>
      </c>
      <c r="D181" s="1822"/>
      <c r="E181" s="1822"/>
      <c r="F181" s="562" t="s">
        <v>322</v>
      </c>
      <c r="G181" s="562" t="s">
        <v>786</v>
      </c>
      <c r="H181" s="562"/>
      <c r="I181" s="562" t="s">
        <v>786</v>
      </c>
      <c r="J181" s="604"/>
      <c r="K181" s="562"/>
      <c r="L181" s="604">
        <v>40.82</v>
      </c>
      <c r="M181" s="603"/>
      <c r="N181" s="602"/>
      <c r="V181" s="674"/>
      <c r="W181" s="675"/>
      <c r="Z181" s="537" t="s">
        <v>1635</v>
      </c>
      <c r="AB181" s="675"/>
      <c r="AD181" s="680"/>
    </row>
    <row r="182" spans="1:30" s="536" customFormat="1" ht="12" x14ac:dyDescent="0.2">
      <c r="A182" s="569"/>
      <c r="B182" s="671"/>
      <c r="C182" s="1823" t="s">
        <v>327</v>
      </c>
      <c r="D182" s="1823"/>
      <c r="E182" s="1823"/>
      <c r="F182" s="573"/>
      <c r="G182" s="573"/>
      <c r="H182" s="573"/>
      <c r="I182" s="573"/>
      <c r="J182" s="572"/>
      <c r="K182" s="573"/>
      <c r="L182" s="572">
        <v>237.95</v>
      </c>
      <c r="M182" s="601"/>
      <c r="N182" s="570"/>
      <c r="V182" s="674"/>
      <c r="W182" s="675"/>
      <c r="AB182" s="675" t="s">
        <v>327</v>
      </c>
      <c r="AD182" s="680"/>
    </row>
    <row r="183" spans="1:30" s="536" customFormat="1" ht="33.75" x14ac:dyDescent="0.2">
      <c r="A183" s="575" t="s">
        <v>746</v>
      </c>
      <c r="B183" s="670" t="s">
        <v>8225</v>
      </c>
      <c r="C183" s="1823" t="s">
        <v>8226</v>
      </c>
      <c r="D183" s="1823"/>
      <c r="E183" s="1823"/>
      <c r="F183" s="573" t="s">
        <v>617</v>
      </c>
      <c r="G183" s="573"/>
      <c r="H183" s="573"/>
      <c r="I183" s="573" t="s">
        <v>187</v>
      </c>
      <c r="J183" s="572">
        <v>185.25</v>
      </c>
      <c r="K183" s="573" t="s">
        <v>629</v>
      </c>
      <c r="L183" s="572">
        <v>122.44</v>
      </c>
      <c r="M183" s="571">
        <v>4.59</v>
      </c>
      <c r="N183" s="570">
        <v>562</v>
      </c>
      <c r="V183" s="674"/>
      <c r="W183" s="675" t="s">
        <v>8226</v>
      </c>
      <c r="AB183" s="675"/>
      <c r="AD183" s="680"/>
    </row>
    <row r="184" spans="1:30" s="536" customFormat="1" ht="12" x14ac:dyDescent="0.2">
      <c r="A184" s="569"/>
      <c r="B184" s="671"/>
      <c r="C184" s="665" t="s">
        <v>630</v>
      </c>
      <c r="D184" s="666"/>
      <c r="E184" s="666"/>
      <c r="F184" s="563"/>
      <c r="G184" s="563"/>
      <c r="H184" s="563"/>
      <c r="I184" s="563"/>
      <c r="J184" s="566"/>
      <c r="K184" s="563"/>
      <c r="L184" s="566"/>
      <c r="M184" s="565"/>
      <c r="N184" s="564"/>
      <c r="V184" s="674"/>
      <c r="W184" s="675"/>
      <c r="AB184" s="675"/>
      <c r="AD184" s="680"/>
    </row>
    <row r="185" spans="1:30" s="536" customFormat="1" ht="22.5" x14ac:dyDescent="0.2">
      <c r="A185" s="609"/>
      <c r="B185" s="552" t="s">
        <v>631</v>
      </c>
      <c r="C185" s="1822" t="s">
        <v>632</v>
      </c>
      <c r="D185" s="1822"/>
      <c r="E185" s="1822"/>
      <c r="F185" s="1822"/>
      <c r="G185" s="1822"/>
      <c r="H185" s="1822"/>
      <c r="I185" s="1822"/>
      <c r="J185" s="1822"/>
      <c r="K185" s="1822"/>
      <c r="L185" s="1822"/>
      <c r="M185" s="1822"/>
      <c r="N185" s="1827"/>
      <c r="V185" s="674"/>
      <c r="W185" s="675"/>
      <c r="X185" s="537" t="s">
        <v>632</v>
      </c>
      <c r="AB185" s="675"/>
      <c r="AD185" s="680"/>
    </row>
    <row r="186" spans="1:30" s="536" customFormat="1" ht="33.75" x14ac:dyDescent="0.2">
      <c r="A186" s="575" t="s">
        <v>749</v>
      </c>
      <c r="B186" s="670" t="s">
        <v>8227</v>
      </c>
      <c r="C186" s="1823" t="s">
        <v>8228</v>
      </c>
      <c r="D186" s="1823"/>
      <c r="E186" s="1823"/>
      <c r="F186" s="573" t="s">
        <v>628</v>
      </c>
      <c r="G186" s="573"/>
      <c r="H186" s="573"/>
      <c r="I186" s="573" t="s">
        <v>187</v>
      </c>
      <c r="J186" s="572">
        <v>316.77</v>
      </c>
      <c r="K186" s="573" t="s">
        <v>629</v>
      </c>
      <c r="L186" s="572">
        <v>209.59</v>
      </c>
      <c r="M186" s="571">
        <v>4.59</v>
      </c>
      <c r="N186" s="570">
        <v>962</v>
      </c>
      <c r="V186" s="674"/>
      <c r="W186" s="675" t="s">
        <v>8228</v>
      </c>
      <c r="AB186" s="675"/>
      <c r="AD186" s="680"/>
    </row>
    <row r="187" spans="1:30" s="536" customFormat="1" ht="12" x14ac:dyDescent="0.2">
      <c r="A187" s="569"/>
      <c r="B187" s="671"/>
      <c r="C187" s="665" t="s">
        <v>630</v>
      </c>
      <c r="D187" s="666"/>
      <c r="E187" s="666"/>
      <c r="F187" s="563"/>
      <c r="G187" s="563"/>
      <c r="H187" s="563"/>
      <c r="I187" s="563"/>
      <c r="J187" s="566"/>
      <c r="K187" s="563"/>
      <c r="L187" s="566"/>
      <c r="M187" s="565"/>
      <c r="N187" s="564"/>
      <c r="V187" s="674"/>
      <c r="W187" s="675"/>
      <c r="AB187" s="675"/>
      <c r="AD187" s="680"/>
    </row>
    <row r="188" spans="1:30" s="536" customFormat="1" ht="22.5" x14ac:dyDescent="0.2">
      <c r="A188" s="609"/>
      <c r="B188" s="552" t="s">
        <v>631</v>
      </c>
      <c r="C188" s="1822" t="s">
        <v>632</v>
      </c>
      <c r="D188" s="1822"/>
      <c r="E188" s="1822"/>
      <c r="F188" s="1822"/>
      <c r="G188" s="1822"/>
      <c r="H188" s="1822"/>
      <c r="I188" s="1822"/>
      <c r="J188" s="1822"/>
      <c r="K188" s="1822"/>
      <c r="L188" s="1822"/>
      <c r="M188" s="1822"/>
      <c r="N188" s="1827"/>
      <c r="V188" s="674"/>
      <c r="W188" s="675"/>
      <c r="X188" s="537" t="s">
        <v>632</v>
      </c>
      <c r="AB188" s="675"/>
      <c r="AD188" s="680"/>
    </row>
    <row r="189" spans="1:30" s="536" customFormat="1" ht="33.75" x14ac:dyDescent="0.2">
      <c r="A189" s="575" t="s">
        <v>757</v>
      </c>
      <c r="B189" s="670" t="s">
        <v>8229</v>
      </c>
      <c r="C189" s="1823" t="s">
        <v>8230</v>
      </c>
      <c r="D189" s="1823"/>
      <c r="E189" s="1823"/>
      <c r="F189" s="573" t="s">
        <v>628</v>
      </c>
      <c r="G189" s="573"/>
      <c r="H189" s="573"/>
      <c r="I189" s="573" t="s">
        <v>186</v>
      </c>
      <c r="J189" s="572">
        <v>4112.5</v>
      </c>
      <c r="K189" s="573" t="s">
        <v>716</v>
      </c>
      <c r="L189" s="572">
        <v>1008.41</v>
      </c>
      <c r="M189" s="571">
        <v>8.32</v>
      </c>
      <c r="N189" s="570">
        <v>8390</v>
      </c>
      <c r="V189" s="674"/>
      <c r="W189" s="675" t="s">
        <v>8230</v>
      </c>
      <c r="AB189" s="675"/>
      <c r="AD189" s="680"/>
    </row>
    <row r="190" spans="1:30" s="536" customFormat="1" ht="12" x14ac:dyDescent="0.2">
      <c r="A190" s="569"/>
      <c r="B190" s="671"/>
      <c r="C190" s="665" t="s">
        <v>1658</v>
      </c>
      <c r="D190" s="666"/>
      <c r="E190" s="666"/>
      <c r="F190" s="563"/>
      <c r="G190" s="563"/>
      <c r="H190" s="563"/>
      <c r="I190" s="563"/>
      <c r="J190" s="566"/>
      <c r="K190" s="563"/>
      <c r="L190" s="566"/>
      <c r="M190" s="565"/>
      <c r="N190" s="564"/>
      <c r="V190" s="674"/>
      <c r="W190" s="675"/>
      <c r="AB190" s="675"/>
      <c r="AD190" s="680"/>
    </row>
    <row r="191" spans="1:30" s="536" customFormat="1" ht="22.5" x14ac:dyDescent="0.2">
      <c r="A191" s="609"/>
      <c r="B191" s="552" t="s">
        <v>718</v>
      </c>
      <c r="C191" s="1822" t="s">
        <v>719</v>
      </c>
      <c r="D191" s="1822"/>
      <c r="E191" s="1822"/>
      <c r="F191" s="1822"/>
      <c r="G191" s="1822"/>
      <c r="H191" s="1822"/>
      <c r="I191" s="1822"/>
      <c r="J191" s="1822"/>
      <c r="K191" s="1822"/>
      <c r="L191" s="1822"/>
      <c r="M191" s="1822"/>
      <c r="N191" s="1827"/>
      <c r="V191" s="674"/>
      <c r="W191" s="675"/>
      <c r="X191" s="537" t="s">
        <v>719</v>
      </c>
      <c r="AB191" s="675"/>
      <c r="AD191" s="680"/>
    </row>
    <row r="192" spans="1:30" s="536" customFormat="1" ht="22.5" x14ac:dyDescent="0.2">
      <c r="A192" s="575" t="s">
        <v>1079</v>
      </c>
      <c r="B192" s="670" t="s">
        <v>3087</v>
      </c>
      <c r="C192" s="1823" t="s">
        <v>3088</v>
      </c>
      <c r="D192" s="1823"/>
      <c r="E192" s="1823"/>
      <c r="F192" s="573" t="s">
        <v>1110</v>
      </c>
      <c r="G192" s="573"/>
      <c r="H192" s="573"/>
      <c r="I192" s="573" t="s">
        <v>913</v>
      </c>
      <c r="J192" s="572"/>
      <c r="K192" s="573"/>
      <c r="L192" s="572"/>
      <c r="M192" s="571"/>
      <c r="N192" s="570"/>
      <c r="V192" s="674"/>
      <c r="W192" s="675" t="s">
        <v>3088</v>
      </c>
      <c r="AB192" s="675"/>
      <c r="AD192" s="680"/>
    </row>
    <row r="193" spans="1:30" s="536" customFormat="1" ht="12" x14ac:dyDescent="0.2">
      <c r="A193" s="676"/>
      <c r="B193" s="664"/>
      <c r="C193" s="1822" t="s">
        <v>8231</v>
      </c>
      <c r="D193" s="1822"/>
      <c r="E193" s="1822"/>
      <c r="F193" s="1822"/>
      <c r="G193" s="1822"/>
      <c r="H193" s="1822"/>
      <c r="I193" s="1822"/>
      <c r="J193" s="1822"/>
      <c r="K193" s="1822"/>
      <c r="L193" s="1822"/>
      <c r="M193" s="1822"/>
      <c r="N193" s="1827"/>
      <c r="V193" s="674"/>
      <c r="W193" s="675"/>
      <c r="AB193" s="675"/>
      <c r="AC193" s="537" t="s">
        <v>8231</v>
      </c>
      <c r="AD193" s="680"/>
    </row>
    <row r="194" spans="1:30" s="536" customFormat="1" ht="33.75" x14ac:dyDescent="0.2">
      <c r="A194" s="609"/>
      <c r="B194" s="552" t="s">
        <v>310</v>
      </c>
      <c r="C194" s="1822" t="s">
        <v>311</v>
      </c>
      <c r="D194" s="1822"/>
      <c r="E194" s="1822"/>
      <c r="F194" s="1822"/>
      <c r="G194" s="1822"/>
      <c r="H194" s="1822"/>
      <c r="I194" s="1822"/>
      <c r="J194" s="1822"/>
      <c r="K194" s="1822"/>
      <c r="L194" s="1822"/>
      <c r="M194" s="1822"/>
      <c r="N194" s="1827"/>
      <c r="V194" s="674"/>
      <c r="W194" s="675"/>
      <c r="X194" s="537" t="s">
        <v>311</v>
      </c>
      <c r="AB194" s="675"/>
      <c r="AD194" s="680"/>
    </row>
    <row r="195" spans="1:30" s="536" customFormat="1" ht="12" x14ac:dyDescent="0.2">
      <c r="A195" s="605"/>
      <c r="B195" s="552" t="s">
        <v>185</v>
      </c>
      <c r="C195" s="1822" t="s">
        <v>312</v>
      </c>
      <c r="D195" s="1822"/>
      <c r="E195" s="1822"/>
      <c r="F195" s="562"/>
      <c r="G195" s="562"/>
      <c r="H195" s="562"/>
      <c r="I195" s="562"/>
      <c r="J195" s="604">
        <v>154.91999999999999</v>
      </c>
      <c r="K195" s="562" t="s">
        <v>313</v>
      </c>
      <c r="L195" s="604">
        <v>58.1</v>
      </c>
      <c r="M195" s="603"/>
      <c r="N195" s="602"/>
      <c r="V195" s="674"/>
      <c r="W195" s="675"/>
      <c r="Y195" s="537" t="s">
        <v>312</v>
      </c>
      <c r="AB195" s="675"/>
      <c r="AD195" s="680"/>
    </row>
    <row r="196" spans="1:30" s="536" customFormat="1" ht="12" x14ac:dyDescent="0.2">
      <c r="A196" s="605"/>
      <c r="B196" s="552" t="s">
        <v>186</v>
      </c>
      <c r="C196" s="1822" t="s">
        <v>344</v>
      </c>
      <c r="D196" s="1822"/>
      <c r="E196" s="1822"/>
      <c r="F196" s="562"/>
      <c r="G196" s="562"/>
      <c r="H196" s="562"/>
      <c r="I196" s="562"/>
      <c r="J196" s="604">
        <v>0.31</v>
      </c>
      <c r="K196" s="562" t="s">
        <v>313</v>
      </c>
      <c r="L196" s="604">
        <v>0.12</v>
      </c>
      <c r="M196" s="603"/>
      <c r="N196" s="602"/>
      <c r="V196" s="674"/>
      <c r="W196" s="675"/>
      <c r="Y196" s="537" t="s">
        <v>344</v>
      </c>
      <c r="AB196" s="675"/>
      <c r="AD196" s="680"/>
    </row>
    <row r="197" spans="1:30" s="536" customFormat="1" ht="12" x14ac:dyDescent="0.2">
      <c r="A197" s="605"/>
      <c r="B197" s="552" t="s">
        <v>187</v>
      </c>
      <c r="C197" s="1822" t="s">
        <v>345</v>
      </c>
      <c r="D197" s="1822"/>
      <c r="E197" s="1822"/>
      <c r="F197" s="562"/>
      <c r="G197" s="562"/>
      <c r="H197" s="562"/>
      <c r="I197" s="562"/>
      <c r="J197" s="604">
        <v>0.14000000000000001</v>
      </c>
      <c r="K197" s="562" t="s">
        <v>313</v>
      </c>
      <c r="L197" s="604">
        <v>0.05</v>
      </c>
      <c r="M197" s="603"/>
      <c r="N197" s="602"/>
      <c r="V197" s="674"/>
      <c r="W197" s="675"/>
      <c r="Y197" s="537" t="s">
        <v>345</v>
      </c>
      <c r="AB197" s="675"/>
      <c r="AD197" s="680"/>
    </row>
    <row r="198" spans="1:30" s="536" customFormat="1" ht="12" x14ac:dyDescent="0.2">
      <c r="A198" s="605"/>
      <c r="B198" s="552" t="s">
        <v>188</v>
      </c>
      <c r="C198" s="1822" t="s">
        <v>475</v>
      </c>
      <c r="D198" s="1822"/>
      <c r="E198" s="1822"/>
      <c r="F198" s="562"/>
      <c r="G198" s="562"/>
      <c r="H198" s="562"/>
      <c r="I198" s="562"/>
      <c r="J198" s="604">
        <v>51.53</v>
      </c>
      <c r="K198" s="562"/>
      <c r="L198" s="604">
        <v>15.46</v>
      </c>
      <c r="M198" s="603"/>
      <c r="N198" s="602"/>
      <c r="V198" s="674"/>
      <c r="W198" s="675"/>
      <c r="Y198" s="537" t="s">
        <v>475</v>
      </c>
      <c r="AB198" s="675"/>
      <c r="AD198" s="680"/>
    </row>
    <row r="199" spans="1:30" s="536" customFormat="1" ht="12" x14ac:dyDescent="0.2">
      <c r="A199" s="605"/>
      <c r="B199" s="552"/>
      <c r="C199" s="1822" t="s">
        <v>314</v>
      </c>
      <c r="D199" s="1822"/>
      <c r="E199" s="1822"/>
      <c r="F199" s="562" t="s">
        <v>315</v>
      </c>
      <c r="G199" s="562" t="s">
        <v>3090</v>
      </c>
      <c r="H199" s="562" t="s">
        <v>313</v>
      </c>
      <c r="I199" s="562" t="s">
        <v>8232</v>
      </c>
      <c r="J199" s="604"/>
      <c r="K199" s="562"/>
      <c r="L199" s="604"/>
      <c r="M199" s="603"/>
      <c r="N199" s="602"/>
      <c r="V199" s="674"/>
      <c r="W199" s="675"/>
      <c r="Z199" s="537" t="s">
        <v>314</v>
      </c>
      <c r="AB199" s="675"/>
      <c r="AD199" s="680"/>
    </row>
    <row r="200" spans="1:30" s="536" customFormat="1" ht="12" x14ac:dyDescent="0.2">
      <c r="A200" s="605"/>
      <c r="B200" s="552"/>
      <c r="C200" s="1822" t="s">
        <v>348</v>
      </c>
      <c r="D200" s="1822"/>
      <c r="E200" s="1822"/>
      <c r="F200" s="562" t="s">
        <v>315</v>
      </c>
      <c r="G200" s="562" t="s">
        <v>809</v>
      </c>
      <c r="H200" s="562" t="s">
        <v>313</v>
      </c>
      <c r="I200" s="562" t="s">
        <v>2212</v>
      </c>
      <c r="J200" s="604"/>
      <c r="K200" s="562"/>
      <c r="L200" s="604"/>
      <c r="M200" s="603"/>
      <c r="N200" s="602"/>
      <c r="V200" s="674"/>
      <c r="W200" s="675"/>
      <c r="Z200" s="537" t="s">
        <v>348</v>
      </c>
      <c r="AB200" s="675"/>
      <c r="AD200" s="680"/>
    </row>
    <row r="201" spans="1:30" s="536" customFormat="1" ht="12" x14ac:dyDescent="0.2">
      <c r="A201" s="605"/>
      <c r="B201" s="552"/>
      <c r="C201" s="1828" t="s">
        <v>318</v>
      </c>
      <c r="D201" s="1828"/>
      <c r="E201" s="1828"/>
      <c r="F201" s="608"/>
      <c r="G201" s="608"/>
      <c r="H201" s="608"/>
      <c r="I201" s="608"/>
      <c r="J201" s="607">
        <v>206.76</v>
      </c>
      <c r="K201" s="608"/>
      <c r="L201" s="607">
        <v>73.680000000000007</v>
      </c>
      <c r="M201" s="601"/>
      <c r="N201" s="606"/>
      <c r="V201" s="674"/>
      <c r="W201" s="675"/>
      <c r="AA201" s="537" t="s">
        <v>318</v>
      </c>
      <c r="AB201" s="675"/>
      <c r="AD201" s="680"/>
    </row>
    <row r="202" spans="1:30" s="536" customFormat="1" ht="12" x14ac:dyDescent="0.2">
      <c r="A202" s="605"/>
      <c r="B202" s="552"/>
      <c r="C202" s="1822" t="s">
        <v>319</v>
      </c>
      <c r="D202" s="1822"/>
      <c r="E202" s="1822"/>
      <c r="F202" s="562"/>
      <c r="G202" s="562"/>
      <c r="H202" s="562"/>
      <c r="I202" s="562"/>
      <c r="J202" s="604"/>
      <c r="K202" s="562"/>
      <c r="L202" s="604">
        <v>58.15</v>
      </c>
      <c r="M202" s="603"/>
      <c r="N202" s="602"/>
      <c r="V202" s="674"/>
      <c r="W202" s="675"/>
      <c r="Z202" s="537" t="s">
        <v>319</v>
      </c>
      <c r="AB202" s="675"/>
      <c r="AD202" s="680"/>
    </row>
    <row r="203" spans="1:30" s="536" customFormat="1" ht="33.75" x14ac:dyDescent="0.2">
      <c r="A203" s="605"/>
      <c r="B203" s="552" t="s">
        <v>1631</v>
      </c>
      <c r="C203" s="1822" t="s">
        <v>1632</v>
      </c>
      <c r="D203" s="1822"/>
      <c r="E203" s="1822"/>
      <c r="F203" s="562" t="s">
        <v>322</v>
      </c>
      <c r="G203" s="562" t="s">
        <v>1633</v>
      </c>
      <c r="H203" s="562"/>
      <c r="I203" s="562" t="s">
        <v>1633</v>
      </c>
      <c r="J203" s="604"/>
      <c r="K203" s="562"/>
      <c r="L203" s="604">
        <v>56.41</v>
      </c>
      <c r="M203" s="603"/>
      <c r="N203" s="602"/>
      <c r="V203" s="674"/>
      <c r="W203" s="675"/>
      <c r="Z203" s="537" t="s">
        <v>1632</v>
      </c>
      <c r="AB203" s="675"/>
      <c r="AD203" s="680"/>
    </row>
    <row r="204" spans="1:30" s="536" customFormat="1" ht="33.75" x14ac:dyDescent="0.2">
      <c r="A204" s="605"/>
      <c r="B204" s="552" t="s">
        <v>1634</v>
      </c>
      <c r="C204" s="1822" t="s">
        <v>1635</v>
      </c>
      <c r="D204" s="1822"/>
      <c r="E204" s="1822"/>
      <c r="F204" s="562" t="s">
        <v>322</v>
      </c>
      <c r="G204" s="562" t="s">
        <v>786</v>
      </c>
      <c r="H204" s="562"/>
      <c r="I204" s="562" t="s">
        <v>786</v>
      </c>
      <c r="J204" s="604"/>
      <c r="K204" s="562"/>
      <c r="L204" s="604">
        <v>29.66</v>
      </c>
      <c r="M204" s="603"/>
      <c r="N204" s="602"/>
      <c r="V204" s="674"/>
      <c r="W204" s="675"/>
      <c r="Z204" s="537" t="s">
        <v>1635</v>
      </c>
      <c r="AB204" s="675"/>
      <c r="AD204" s="680"/>
    </row>
    <row r="205" spans="1:30" s="536" customFormat="1" ht="12" x14ac:dyDescent="0.2">
      <c r="A205" s="569"/>
      <c r="B205" s="671"/>
      <c r="C205" s="1823" t="s">
        <v>327</v>
      </c>
      <c r="D205" s="1823"/>
      <c r="E205" s="1823"/>
      <c r="F205" s="573"/>
      <c r="G205" s="573"/>
      <c r="H205" s="573"/>
      <c r="I205" s="573"/>
      <c r="J205" s="572"/>
      <c r="K205" s="573"/>
      <c r="L205" s="572">
        <v>159.75</v>
      </c>
      <c r="M205" s="601"/>
      <c r="N205" s="570"/>
      <c r="V205" s="674"/>
      <c r="W205" s="675"/>
      <c r="AB205" s="675" t="s">
        <v>327</v>
      </c>
      <c r="AD205" s="680"/>
    </row>
    <row r="206" spans="1:30" s="536" customFormat="1" ht="33.75" x14ac:dyDescent="0.2">
      <c r="A206" s="575" t="s">
        <v>759</v>
      </c>
      <c r="B206" s="670" t="s">
        <v>3153</v>
      </c>
      <c r="C206" s="1823" t="s">
        <v>3154</v>
      </c>
      <c r="D206" s="1823"/>
      <c r="E206" s="1823"/>
      <c r="F206" s="573" t="s">
        <v>483</v>
      </c>
      <c r="G206" s="573"/>
      <c r="H206" s="573"/>
      <c r="I206" s="573" t="s">
        <v>763</v>
      </c>
      <c r="J206" s="572">
        <v>62.16</v>
      </c>
      <c r="K206" s="573" t="s">
        <v>716</v>
      </c>
      <c r="L206" s="572">
        <v>228.61</v>
      </c>
      <c r="M206" s="571">
        <v>8.32</v>
      </c>
      <c r="N206" s="570">
        <v>1902</v>
      </c>
      <c r="V206" s="674"/>
      <c r="W206" s="675" t="s">
        <v>3154</v>
      </c>
      <c r="AB206" s="675"/>
      <c r="AD206" s="680"/>
    </row>
    <row r="207" spans="1:30" s="536" customFormat="1" ht="12" x14ac:dyDescent="0.2">
      <c r="A207" s="569"/>
      <c r="B207" s="671"/>
      <c r="C207" s="665" t="s">
        <v>1658</v>
      </c>
      <c r="D207" s="666"/>
      <c r="E207" s="666"/>
      <c r="F207" s="563"/>
      <c r="G207" s="563"/>
      <c r="H207" s="563"/>
      <c r="I207" s="563"/>
      <c r="J207" s="566"/>
      <c r="K207" s="563"/>
      <c r="L207" s="566"/>
      <c r="M207" s="565"/>
      <c r="N207" s="564"/>
      <c r="V207" s="674"/>
      <c r="W207" s="675"/>
      <c r="AB207" s="675"/>
      <c r="AD207" s="680"/>
    </row>
    <row r="208" spans="1:30" s="536" customFormat="1" ht="22.5" x14ac:dyDescent="0.2">
      <c r="A208" s="609"/>
      <c r="B208" s="552" t="s">
        <v>718</v>
      </c>
      <c r="C208" s="1822" t="s">
        <v>719</v>
      </c>
      <c r="D208" s="1822"/>
      <c r="E208" s="1822"/>
      <c r="F208" s="1822"/>
      <c r="G208" s="1822"/>
      <c r="H208" s="1822"/>
      <c r="I208" s="1822"/>
      <c r="J208" s="1822"/>
      <c r="K208" s="1822"/>
      <c r="L208" s="1822"/>
      <c r="M208" s="1822"/>
      <c r="N208" s="1827"/>
      <c r="V208" s="674"/>
      <c r="W208" s="675"/>
      <c r="X208" s="537" t="s">
        <v>719</v>
      </c>
      <c r="AB208" s="675"/>
      <c r="AD208" s="680"/>
    </row>
    <row r="209" spans="1:30" s="536" customFormat="1" ht="12" x14ac:dyDescent="0.2">
      <c r="A209" s="575" t="s">
        <v>917</v>
      </c>
      <c r="B209" s="670" t="s">
        <v>3094</v>
      </c>
      <c r="C209" s="1823" t="s">
        <v>3095</v>
      </c>
      <c r="D209" s="1823"/>
      <c r="E209" s="1823"/>
      <c r="F209" s="573" t="s">
        <v>1110</v>
      </c>
      <c r="G209" s="573"/>
      <c r="H209" s="573"/>
      <c r="I209" s="573" t="s">
        <v>3784</v>
      </c>
      <c r="J209" s="572"/>
      <c r="K209" s="573"/>
      <c r="L209" s="572"/>
      <c r="M209" s="571"/>
      <c r="N209" s="570"/>
      <c r="V209" s="674"/>
      <c r="W209" s="675" t="s">
        <v>3095</v>
      </c>
      <c r="AB209" s="675"/>
      <c r="AD209" s="680"/>
    </row>
    <row r="210" spans="1:30" s="536" customFormat="1" ht="12" x14ac:dyDescent="0.2">
      <c r="A210" s="676"/>
      <c r="B210" s="664"/>
      <c r="C210" s="1822" t="s">
        <v>8233</v>
      </c>
      <c r="D210" s="1822"/>
      <c r="E210" s="1822"/>
      <c r="F210" s="1822"/>
      <c r="G210" s="1822"/>
      <c r="H210" s="1822"/>
      <c r="I210" s="1822"/>
      <c r="J210" s="1822"/>
      <c r="K210" s="1822"/>
      <c r="L210" s="1822"/>
      <c r="M210" s="1822"/>
      <c r="N210" s="1827"/>
      <c r="V210" s="674"/>
      <c r="W210" s="675"/>
      <c r="AB210" s="675"/>
      <c r="AC210" s="537" t="s">
        <v>8233</v>
      </c>
      <c r="AD210" s="680"/>
    </row>
    <row r="211" spans="1:30" s="536" customFormat="1" ht="33.75" x14ac:dyDescent="0.2">
      <c r="A211" s="609"/>
      <c r="B211" s="552" t="s">
        <v>310</v>
      </c>
      <c r="C211" s="1822" t="s">
        <v>311</v>
      </c>
      <c r="D211" s="1822"/>
      <c r="E211" s="1822"/>
      <c r="F211" s="1822"/>
      <c r="G211" s="1822"/>
      <c r="H211" s="1822"/>
      <c r="I211" s="1822"/>
      <c r="J211" s="1822"/>
      <c r="K211" s="1822"/>
      <c r="L211" s="1822"/>
      <c r="M211" s="1822"/>
      <c r="N211" s="1827"/>
      <c r="V211" s="674"/>
      <c r="W211" s="675"/>
      <c r="X211" s="537" t="s">
        <v>311</v>
      </c>
      <c r="AB211" s="675"/>
      <c r="AD211" s="680"/>
    </row>
    <row r="212" spans="1:30" s="536" customFormat="1" ht="12" x14ac:dyDescent="0.2">
      <c r="A212" s="605"/>
      <c r="B212" s="552" t="s">
        <v>185</v>
      </c>
      <c r="C212" s="1822" t="s">
        <v>312</v>
      </c>
      <c r="D212" s="1822"/>
      <c r="E212" s="1822"/>
      <c r="F212" s="562"/>
      <c r="G212" s="562"/>
      <c r="H212" s="562"/>
      <c r="I212" s="562"/>
      <c r="J212" s="604">
        <v>26.51</v>
      </c>
      <c r="K212" s="562" t="s">
        <v>313</v>
      </c>
      <c r="L212" s="604">
        <v>36.450000000000003</v>
      </c>
      <c r="M212" s="603"/>
      <c r="N212" s="602"/>
      <c r="V212" s="674"/>
      <c r="W212" s="675"/>
      <c r="Y212" s="537" t="s">
        <v>312</v>
      </c>
      <c r="AB212" s="675"/>
      <c r="AD212" s="680"/>
    </row>
    <row r="213" spans="1:30" s="536" customFormat="1" ht="12" x14ac:dyDescent="0.2">
      <c r="A213" s="605"/>
      <c r="B213" s="552" t="s">
        <v>186</v>
      </c>
      <c r="C213" s="1822" t="s">
        <v>344</v>
      </c>
      <c r="D213" s="1822"/>
      <c r="E213" s="1822"/>
      <c r="F213" s="562"/>
      <c r="G213" s="562"/>
      <c r="H213" s="562"/>
      <c r="I213" s="562"/>
      <c r="J213" s="604">
        <v>1.81</v>
      </c>
      <c r="K213" s="562" t="s">
        <v>313</v>
      </c>
      <c r="L213" s="604">
        <v>2.4900000000000002</v>
      </c>
      <c r="M213" s="603"/>
      <c r="N213" s="602"/>
      <c r="V213" s="674"/>
      <c r="W213" s="675"/>
      <c r="Y213" s="537" t="s">
        <v>344</v>
      </c>
      <c r="AB213" s="675"/>
      <c r="AD213" s="680"/>
    </row>
    <row r="214" spans="1:30" s="536" customFormat="1" ht="12" x14ac:dyDescent="0.2">
      <c r="A214" s="605"/>
      <c r="B214" s="552" t="s">
        <v>187</v>
      </c>
      <c r="C214" s="1822" t="s">
        <v>345</v>
      </c>
      <c r="D214" s="1822"/>
      <c r="E214" s="1822"/>
      <c r="F214" s="562"/>
      <c r="G214" s="562"/>
      <c r="H214" s="562"/>
      <c r="I214" s="562"/>
      <c r="J214" s="604">
        <v>0.26</v>
      </c>
      <c r="K214" s="562" t="s">
        <v>313</v>
      </c>
      <c r="L214" s="604">
        <v>0.36</v>
      </c>
      <c r="M214" s="603"/>
      <c r="N214" s="602"/>
      <c r="V214" s="674"/>
      <c r="W214" s="675"/>
      <c r="Y214" s="537" t="s">
        <v>345</v>
      </c>
      <c r="AB214" s="675"/>
      <c r="AD214" s="680"/>
    </row>
    <row r="215" spans="1:30" s="536" customFormat="1" ht="12" x14ac:dyDescent="0.2">
      <c r="A215" s="605"/>
      <c r="B215" s="552" t="s">
        <v>188</v>
      </c>
      <c r="C215" s="1822" t="s">
        <v>475</v>
      </c>
      <c r="D215" s="1822"/>
      <c r="E215" s="1822"/>
      <c r="F215" s="562"/>
      <c r="G215" s="562"/>
      <c r="H215" s="562"/>
      <c r="I215" s="562"/>
      <c r="J215" s="604">
        <v>10.27</v>
      </c>
      <c r="K215" s="562"/>
      <c r="L215" s="604">
        <v>11.3</v>
      </c>
      <c r="M215" s="603"/>
      <c r="N215" s="602"/>
      <c r="V215" s="674"/>
      <c r="W215" s="675"/>
      <c r="Y215" s="537" t="s">
        <v>475</v>
      </c>
      <c r="AB215" s="675"/>
      <c r="AD215" s="680"/>
    </row>
    <row r="216" spans="1:30" s="536" customFormat="1" ht="12" x14ac:dyDescent="0.2">
      <c r="A216" s="605"/>
      <c r="B216" s="552"/>
      <c r="C216" s="1822" t="s">
        <v>314</v>
      </c>
      <c r="D216" s="1822"/>
      <c r="E216" s="1822"/>
      <c r="F216" s="562" t="s">
        <v>315</v>
      </c>
      <c r="G216" s="562" t="s">
        <v>3096</v>
      </c>
      <c r="H216" s="562" t="s">
        <v>313</v>
      </c>
      <c r="I216" s="562" t="s">
        <v>8234</v>
      </c>
      <c r="J216" s="604"/>
      <c r="K216" s="562"/>
      <c r="L216" s="604"/>
      <c r="M216" s="603"/>
      <c r="N216" s="602"/>
      <c r="V216" s="674"/>
      <c r="W216" s="675"/>
      <c r="Z216" s="537" t="s">
        <v>314</v>
      </c>
      <c r="AB216" s="675"/>
      <c r="AD216" s="680"/>
    </row>
    <row r="217" spans="1:30" s="536" customFormat="1" ht="12" x14ac:dyDescent="0.2">
      <c r="A217" s="605"/>
      <c r="B217" s="552"/>
      <c r="C217" s="1822" t="s">
        <v>348</v>
      </c>
      <c r="D217" s="1822"/>
      <c r="E217" s="1822"/>
      <c r="F217" s="562" t="s">
        <v>315</v>
      </c>
      <c r="G217" s="562" t="s">
        <v>695</v>
      </c>
      <c r="H217" s="562" t="s">
        <v>313</v>
      </c>
      <c r="I217" s="562" t="s">
        <v>8235</v>
      </c>
      <c r="J217" s="604"/>
      <c r="K217" s="562"/>
      <c r="L217" s="604"/>
      <c r="M217" s="603"/>
      <c r="N217" s="602"/>
      <c r="V217" s="674"/>
      <c r="W217" s="675"/>
      <c r="Z217" s="537" t="s">
        <v>348</v>
      </c>
      <c r="AB217" s="675"/>
      <c r="AD217" s="680"/>
    </row>
    <row r="218" spans="1:30" s="536" customFormat="1" ht="12" x14ac:dyDescent="0.2">
      <c r="A218" s="605"/>
      <c r="B218" s="552"/>
      <c r="C218" s="1828" t="s">
        <v>318</v>
      </c>
      <c r="D218" s="1828"/>
      <c r="E218" s="1828"/>
      <c r="F218" s="608"/>
      <c r="G218" s="608"/>
      <c r="H218" s="608"/>
      <c r="I218" s="608"/>
      <c r="J218" s="607">
        <v>38.590000000000003</v>
      </c>
      <c r="K218" s="608"/>
      <c r="L218" s="607">
        <v>50.24</v>
      </c>
      <c r="M218" s="601"/>
      <c r="N218" s="606"/>
      <c r="V218" s="674"/>
      <c r="W218" s="675"/>
      <c r="AA218" s="537" t="s">
        <v>318</v>
      </c>
      <c r="AB218" s="675"/>
      <c r="AD218" s="680"/>
    </row>
    <row r="219" spans="1:30" s="536" customFormat="1" ht="12" x14ac:dyDescent="0.2">
      <c r="A219" s="605"/>
      <c r="B219" s="552"/>
      <c r="C219" s="1822" t="s">
        <v>319</v>
      </c>
      <c r="D219" s="1822"/>
      <c r="E219" s="1822"/>
      <c r="F219" s="562"/>
      <c r="G219" s="562"/>
      <c r="H219" s="562"/>
      <c r="I219" s="562"/>
      <c r="J219" s="604"/>
      <c r="K219" s="562"/>
      <c r="L219" s="604">
        <v>36.81</v>
      </c>
      <c r="M219" s="603"/>
      <c r="N219" s="602"/>
      <c r="V219" s="674"/>
      <c r="W219" s="675"/>
      <c r="Z219" s="537" t="s">
        <v>319</v>
      </c>
      <c r="AB219" s="675"/>
      <c r="AD219" s="680"/>
    </row>
    <row r="220" spans="1:30" s="536" customFormat="1" ht="33.75" x14ac:dyDescent="0.2">
      <c r="A220" s="605"/>
      <c r="B220" s="552" t="s">
        <v>1631</v>
      </c>
      <c r="C220" s="1822" t="s">
        <v>1632</v>
      </c>
      <c r="D220" s="1822"/>
      <c r="E220" s="1822"/>
      <c r="F220" s="562" t="s">
        <v>322</v>
      </c>
      <c r="G220" s="562" t="s">
        <v>1633</v>
      </c>
      <c r="H220" s="562"/>
      <c r="I220" s="562" t="s">
        <v>1633</v>
      </c>
      <c r="J220" s="604"/>
      <c r="K220" s="562"/>
      <c r="L220" s="604">
        <v>35.71</v>
      </c>
      <c r="M220" s="603"/>
      <c r="N220" s="602"/>
      <c r="V220" s="674"/>
      <c r="W220" s="675"/>
      <c r="Z220" s="537" t="s">
        <v>1632</v>
      </c>
      <c r="AB220" s="675"/>
      <c r="AD220" s="680"/>
    </row>
    <row r="221" spans="1:30" s="536" customFormat="1" ht="33.75" x14ac:dyDescent="0.2">
      <c r="A221" s="605"/>
      <c r="B221" s="552" t="s">
        <v>1634</v>
      </c>
      <c r="C221" s="1822" t="s">
        <v>1635</v>
      </c>
      <c r="D221" s="1822"/>
      <c r="E221" s="1822"/>
      <c r="F221" s="562" t="s">
        <v>322</v>
      </c>
      <c r="G221" s="562" t="s">
        <v>786</v>
      </c>
      <c r="H221" s="562"/>
      <c r="I221" s="562" t="s">
        <v>786</v>
      </c>
      <c r="J221" s="604"/>
      <c r="K221" s="562"/>
      <c r="L221" s="604">
        <v>18.77</v>
      </c>
      <c r="M221" s="603"/>
      <c r="N221" s="602"/>
      <c r="V221" s="674"/>
      <c r="W221" s="675"/>
      <c r="Z221" s="537" t="s">
        <v>1635</v>
      </c>
      <c r="AB221" s="675"/>
      <c r="AD221" s="680"/>
    </row>
    <row r="222" spans="1:30" s="536" customFormat="1" ht="12" x14ac:dyDescent="0.2">
      <c r="A222" s="569"/>
      <c r="B222" s="671"/>
      <c r="C222" s="1823" t="s">
        <v>327</v>
      </c>
      <c r="D222" s="1823"/>
      <c r="E222" s="1823"/>
      <c r="F222" s="573"/>
      <c r="G222" s="573"/>
      <c r="H222" s="573"/>
      <c r="I222" s="573"/>
      <c r="J222" s="572"/>
      <c r="K222" s="573"/>
      <c r="L222" s="572">
        <v>104.72</v>
      </c>
      <c r="M222" s="601"/>
      <c r="N222" s="570"/>
      <c r="V222" s="674"/>
      <c r="W222" s="675"/>
      <c r="AB222" s="675" t="s">
        <v>327</v>
      </c>
      <c r="AD222" s="680"/>
    </row>
    <row r="223" spans="1:30" s="536" customFormat="1" ht="33.75" x14ac:dyDescent="0.2">
      <c r="A223" s="575" t="s">
        <v>761</v>
      </c>
      <c r="B223" s="670" t="s">
        <v>8236</v>
      </c>
      <c r="C223" s="1823" t="s">
        <v>8237</v>
      </c>
      <c r="D223" s="1823"/>
      <c r="E223" s="1823"/>
      <c r="F223" s="573" t="s">
        <v>483</v>
      </c>
      <c r="G223" s="573"/>
      <c r="H223" s="573"/>
      <c r="I223" s="573" t="s">
        <v>3167</v>
      </c>
      <c r="J223" s="572">
        <v>41.78</v>
      </c>
      <c r="K223" s="573" t="s">
        <v>716</v>
      </c>
      <c r="L223" s="572">
        <v>156.72999999999999</v>
      </c>
      <c r="M223" s="571">
        <v>8.32</v>
      </c>
      <c r="N223" s="570">
        <v>1304</v>
      </c>
      <c r="V223" s="674"/>
      <c r="W223" s="675" t="s">
        <v>8237</v>
      </c>
      <c r="AB223" s="675"/>
      <c r="AD223" s="680"/>
    </row>
    <row r="224" spans="1:30" s="536" customFormat="1" ht="12" x14ac:dyDescent="0.2">
      <c r="A224" s="569"/>
      <c r="B224" s="671"/>
      <c r="C224" s="665" t="s">
        <v>1658</v>
      </c>
      <c r="D224" s="666"/>
      <c r="E224" s="666"/>
      <c r="F224" s="563"/>
      <c r="G224" s="563"/>
      <c r="H224" s="563"/>
      <c r="I224" s="563"/>
      <c r="J224" s="566"/>
      <c r="K224" s="563"/>
      <c r="L224" s="566"/>
      <c r="M224" s="565"/>
      <c r="N224" s="564"/>
      <c r="V224" s="674"/>
      <c r="W224" s="675"/>
      <c r="AB224" s="675"/>
      <c r="AD224" s="680"/>
    </row>
    <row r="225" spans="1:30" s="536" customFormat="1" ht="12" x14ac:dyDescent="0.2">
      <c r="A225" s="676"/>
      <c r="B225" s="664"/>
      <c r="C225" s="1822" t="s">
        <v>3168</v>
      </c>
      <c r="D225" s="1822"/>
      <c r="E225" s="1822"/>
      <c r="F225" s="1822"/>
      <c r="G225" s="1822"/>
      <c r="H225" s="1822"/>
      <c r="I225" s="1822"/>
      <c r="J225" s="1822"/>
      <c r="K225" s="1822"/>
      <c r="L225" s="1822"/>
      <c r="M225" s="1822"/>
      <c r="N225" s="1827"/>
      <c r="V225" s="674"/>
      <c r="W225" s="675"/>
      <c r="AB225" s="675"/>
      <c r="AC225" s="537" t="s">
        <v>3168</v>
      </c>
      <c r="AD225" s="680"/>
    </row>
    <row r="226" spans="1:30" s="536" customFormat="1" ht="22.5" x14ac:dyDescent="0.2">
      <c r="A226" s="609"/>
      <c r="B226" s="552" t="s">
        <v>718</v>
      </c>
      <c r="C226" s="1822" t="s">
        <v>719</v>
      </c>
      <c r="D226" s="1822"/>
      <c r="E226" s="1822"/>
      <c r="F226" s="1822"/>
      <c r="G226" s="1822"/>
      <c r="H226" s="1822"/>
      <c r="I226" s="1822"/>
      <c r="J226" s="1822"/>
      <c r="K226" s="1822"/>
      <c r="L226" s="1822"/>
      <c r="M226" s="1822"/>
      <c r="N226" s="1827"/>
      <c r="V226" s="674"/>
      <c r="W226" s="675"/>
      <c r="X226" s="537" t="s">
        <v>719</v>
      </c>
      <c r="AB226" s="675"/>
      <c r="AD226" s="680"/>
    </row>
    <row r="227" spans="1:30" s="536" customFormat="1" ht="33.75" x14ac:dyDescent="0.2">
      <c r="A227" s="575" t="s">
        <v>762</v>
      </c>
      <c r="B227" s="670" t="s">
        <v>8238</v>
      </c>
      <c r="C227" s="1823" t="s">
        <v>8239</v>
      </c>
      <c r="D227" s="1823"/>
      <c r="E227" s="1823"/>
      <c r="F227" s="573" t="s">
        <v>483</v>
      </c>
      <c r="G227" s="573"/>
      <c r="H227" s="573"/>
      <c r="I227" s="573" t="s">
        <v>3167</v>
      </c>
      <c r="J227" s="572">
        <v>17.75</v>
      </c>
      <c r="K227" s="573" t="s">
        <v>716</v>
      </c>
      <c r="L227" s="572">
        <v>66.59</v>
      </c>
      <c r="M227" s="571">
        <v>8.32</v>
      </c>
      <c r="N227" s="570">
        <v>554</v>
      </c>
      <c r="V227" s="674"/>
      <c r="W227" s="675" t="s">
        <v>8239</v>
      </c>
      <c r="AB227" s="675"/>
      <c r="AD227" s="680"/>
    </row>
    <row r="228" spans="1:30" s="536" customFormat="1" ht="12" x14ac:dyDescent="0.2">
      <c r="A228" s="569"/>
      <c r="B228" s="671"/>
      <c r="C228" s="665" t="s">
        <v>1658</v>
      </c>
      <c r="D228" s="666"/>
      <c r="E228" s="666"/>
      <c r="F228" s="563"/>
      <c r="G228" s="563"/>
      <c r="H228" s="563"/>
      <c r="I228" s="563"/>
      <c r="J228" s="566"/>
      <c r="K228" s="563"/>
      <c r="L228" s="566"/>
      <c r="M228" s="565"/>
      <c r="N228" s="564"/>
      <c r="V228" s="674"/>
      <c r="W228" s="675"/>
      <c r="AB228" s="675"/>
      <c r="AD228" s="680"/>
    </row>
    <row r="229" spans="1:30" s="536" customFormat="1" ht="12" x14ac:dyDescent="0.2">
      <c r="A229" s="676"/>
      <c r="B229" s="664"/>
      <c r="C229" s="1822" t="s">
        <v>3168</v>
      </c>
      <c r="D229" s="1822"/>
      <c r="E229" s="1822"/>
      <c r="F229" s="1822"/>
      <c r="G229" s="1822"/>
      <c r="H229" s="1822"/>
      <c r="I229" s="1822"/>
      <c r="J229" s="1822"/>
      <c r="K229" s="1822"/>
      <c r="L229" s="1822"/>
      <c r="M229" s="1822"/>
      <c r="N229" s="1827"/>
      <c r="V229" s="674"/>
      <c r="W229" s="675"/>
      <c r="AB229" s="675"/>
      <c r="AC229" s="537" t="s">
        <v>3168</v>
      </c>
      <c r="AD229" s="680"/>
    </row>
    <row r="230" spans="1:30" s="536" customFormat="1" ht="22.5" x14ac:dyDescent="0.2">
      <c r="A230" s="609"/>
      <c r="B230" s="552" t="s">
        <v>718</v>
      </c>
      <c r="C230" s="1822" t="s">
        <v>719</v>
      </c>
      <c r="D230" s="1822"/>
      <c r="E230" s="1822"/>
      <c r="F230" s="1822"/>
      <c r="G230" s="1822"/>
      <c r="H230" s="1822"/>
      <c r="I230" s="1822"/>
      <c r="J230" s="1822"/>
      <c r="K230" s="1822"/>
      <c r="L230" s="1822"/>
      <c r="M230" s="1822"/>
      <c r="N230" s="1827"/>
      <c r="V230" s="674"/>
      <c r="W230" s="675"/>
      <c r="X230" s="537" t="s">
        <v>719</v>
      </c>
      <c r="AB230" s="675"/>
      <c r="AD230" s="680"/>
    </row>
    <row r="231" spans="1:30" s="536" customFormat="1" ht="33.75" x14ac:dyDescent="0.2">
      <c r="A231" s="575" t="s">
        <v>763</v>
      </c>
      <c r="B231" s="670" t="s">
        <v>8240</v>
      </c>
      <c r="C231" s="1823" t="s">
        <v>8241</v>
      </c>
      <c r="D231" s="1823"/>
      <c r="E231" s="1823"/>
      <c r="F231" s="573" t="s">
        <v>483</v>
      </c>
      <c r="G231" s="573"/>
      <c r="H231" s="573"/>
      <c r="I231" s="573" t="s">
        <v>786</v>
      </c>
      <c r="J231" s="572">
        <v>23.14</v>
      </c>
      <c r="K231" s="573" t="s">
        <v>716</v>
      </c>
      <c r="L231" s="572">
        <v>144.71</v>
      </c>
      <c r="M231" s="571">
        <v>8.32</v>
      </c>
      <c r="N231" s="570">
        <v>1204</v>
      </c>
      <c r="V231" s="674"/>
      <c r="W231" s="675" t="s">
        <v>8241</v>
      </c>
      <c r="AB231" s="675"/>
      <c r="AD231" s="680"/>
    </row>
    <row r="232" spans="1:30" s="536" customFormat="1" ht="12" x14ac:dyDescent="0.2">
      <c r="A232" s="569"/>
      <c r="B232" s="671"/>
      <c r="C232" s="665" t="s">
        <v>1658</v>
      </c>
      <c r="D232" s="666"/>
      <c r="E232" s="666"/>
      <c r="F232" s="563"/>
      <c r="G232" s="563"/>
      <c r="H232" s="563"/>
      <c r="I232" s="563"/>
      <c r="J232" s="566"/>
      <c r="K232" s="563"/>
      <c r="L232" s="566"/>
      <c r="M232" s="565"/>
      <c r="N232" s="564"/>
      <c r="V232" s="674"/>
      <c r="W232" s="675"/>
      <c r="AB232" s="675"/>
      <c r="AD232" s="680"/>
    </row>
    <row r="233" spans="1:30" s="536" customFormat="1" ht="12" x14ac:dyDescent="0.2">
      <c r="A233" s="676"/>
      <c r="B233" s="664"/>
      <c r="C233" s="1822" t="s">
        <v>8242</v>
      </c>
      <c r="D233" s="1822"/>
      <c r="E233" s="1822"/>
      <c r="F233" s="1822"/>
      <c r="G233" s="1822"/>
      <c r="H233" s="1822"/>
      <c r="I233" s="1822"/>
      <c r="J233" s="1822"/>
      <c r="K233" s="1822"/>
      <c r="L233" s="1822"/>
      <c r="M233" s="1822"/>
      <c r="N233" s="1827"/>
      <c r="V233" s="674"/>
      <c r="W233" s="675"/>
      <c r="AB233" s="675"/>
      <c r="AC233" s="537" t="s">
        <v>8242</v>
      </c>
      <c r="AD233" s="680"/>
    </row>
    <row r="234" spans="1:30" s="536" customFormat="1" ht="22.5" x14ac:dyDescent="0.2">
      <c r="A234" s="609"/>
      <c r="B234" s="552" t="s">
        <v>718</v>
      </c>
      <c r="C234" s="1822" t="s">
        <v>719</v>
      </c>
      <c r="D234" s="1822"/>
      <c r="E234" s="1822"/>
      <c r="F234" s="1822"/>
      <c r="G234" s="1822"/>
      <c r="H234" s="1822"/>
      <c r="I234" s="1822"/>
      <c r="J234" s="1822"/>
      <c r="K234" s="1822"/>
      <c r="L234" s="1822"/>
      <c r="M234" s="1822"/>
      <c r="N234" s="1827"/>
      <c r="V234" s="674"/>
      <c r="W234" s="675"/>
      <c r="X234" s="537" t="s">
        <v>719</v>
      </c>
      <c r="AB234" s="675"/>
      <c r="AD234" s="680"/>
    </row>
    <row r="235" spans="1:30" s="536" customFormat="1" ht="33.75" x14ac:dyDescent="0.2">
      <c r="A235" s="575" t="s">
        <v>922</v>
      </c>
      <c r="B235" s="670" t="s">
        <v>3103</v>
      </c>
      <c r="C235" s="1823" t="s">
        <v>3104</v>
      </c>
      <c r="D235" s="1823"/>
      <c r="E235" s="1823"/>
      <c r="F235" s="573" t="s">
        <v>1110</v>
      </c>
      <c r="G235" s="573"/>
      <c r="H235" s="573"/>
      <c r="I235" s="573" t="s">
        <v>856</v>
      </c>
      <c r="J235" s="572"/>
      <c r="K235" s="573"/>
      <c r="L235" s="572"/>
      <c r="M235" s="571"/>
      <c r="N235" s="570"/>
      <c r="V235" s="674"/>
      <c r="W235" s="675" t="s">
        <v>3104</v>
      </c>
      <c r="AB235" s="675"/>
      <c r="AD235" s="680"/>
    </row>
    <row r="236" spans="1:30" s="536" customFormat="1" ht="12" x14ac:dyDescent="0.2">
      <c r="A236" s="676"/>
      <c r="B236" s="664"/>
      <c r="C236" s="1822" t="s">
        <v>2317</v>
      </c>
      <c r="D236" s="1822"/>
      <c r="E236" s="1822"/>
      <c r="F236" s="1822"/>
      <c r="G236" s="1822"/>
      <c r="H236" s="1822"/>
      <c r="I236" s="1822"/>
      <c r="J236" s="1822"/>
      <c r="K236" s="1822"/>
      <c r="L236" s="1822"/>
      <c r="M236" s="1822"/>
      <c r="N236" s="1827"/>
      <c r="V236" s="674"/>
      <c r="W236" s="675"/>
      <c r="AB236" s="675"/>
      <c r="AC236" s="537" t="s">
        <v>2317</v>
      </c>
      <c r="AD236" s="680"/>
    </row>
    <row r="237" spans="1:30" s="536" customFormat="1" ht="33.75" x14ac:dyDescent="0.2">
      <c r="A237" s="609"/>
      <c r="B237" s="552" t="s">
        <v>310</v>
      </c>
      <c r="C237" s="1822" t="s">
        <v>311</v>
      </c>
      <c r="D237" s="1822"/>
      <c r="E237" s="1822"/>
      <c r="F237" s="1822"/>
      <c r="G237" s="1822"/>
      <c r="H237" s="1822"/>
      <c r="I237" s="1822"/>
      <c r="J237" s="1822"/>
      <c r="K237" s="1822"/>
      <c r="L237" s="1822"/>
      <c r="M237" s="1822"/>
      <c r="N237" s="1827"/>
      <c r="V237" s="674"/>
      <c r="W237" s="675"/>
      <c r="X237" s="537" t="s">
        <v>311</v>
      </c>
      <c r="AB237" s="675"/>
      <c r="AD237" s="680"/>
    </row>
    <row r="238" spans="1:30" s="536" customFormat="1" ht="12" x14ac:dyDescent="0.2">
      <c r="A238" s="605"/>
      <c r="B238" s="552" t="s">
        <v>185</v>
      </c>
      <c r="C238" s="1822" t="s">
        <v>312</v>
      </c>
      <c r="D238" s="1822"/>
      <c r="E238" s="1822"/>
      <c r="F238" s="562"/>
      <c r="G238" s="562"/>
      <c r="H238" s="562"/>
      <c r="I238" s="562"/>
      <c r="J238" s="604">
        <v>391.79</v>
      </c>
      <c r="K238" s="562" t="s">
        <v>313</v>
      </c>
      <c r="L238" s="604">
        <v>24.49</v>
      </c>
      <c r="M238" s="603"/>
      <c r="N238" s="602"/>
      <c r="V238" s="674"/>
      <c r="W238" s="675"/>
      <c r="Y238" s="537" t="s">
        <v>312</v>
      </c>
      <c r="AB238" s="675"/>
      <c r="AD238" s="680"/>
    </row>
    <row r="239" spans="1:30" s="536" customFormat="1" ht="12" x14ac:dyDescent="0.2">
      <c r="A239" s="605"/>
      <c r="B239" s="552" t="s">
        <v>186</v>
      </c>
      <c r="C239" s="1822" t="s">
        <v>344</v>
      </c>
      <c r="D239" s="1822"/>
      <c r="E239" s="1822"/>
      <c r="F239" s="562"/>
      <c r="G239" s="562"/>
      <c r="H239" s="562"/>
      <c r="I239" s="562"/>
      <c r="J239" s="604">
        <v>176.36</v>
      </c>
      <c r="K239" s="562" t="s">
        <v>313</v>
      </c>
      <c r="L239" s="604">
        <v>11.02</v>
      </c>
      <c r="M239" s="603"/>
      <c r="N239" s="602"/>
      <c r="V239" s="674"/>
      <c r="W239" s="675"/>
      <c r="Y239" s="537" t="s">
        <v>344</v>
      </c>
      <c r="AB239" s="675"/>
      <c r="AD239" s="680"/>
    </row>
    <row r="240" spans="1:30" s="536" customFormat="1" ht="12" x14ac:dyDescent="0.2">
      <c r="A240" s="605"/>
      <c r="B240" s="552" t="s">
        <v>187</v>
      </c>
      <c r="C240" s="1822" t="s">
        <v>345</v>
      </c>
      <c r="D240" s="1822"/>
      <c r="E240" s="1822"/>
      <c r="F240" s="562"/>
      <c r="G240" s="562"/>
      <c r="H240" s="562"/>
      <c r="I240" s="562"/>
      <c r="J240" s="604">
        <v>18.329999999999998</v>
      </c>
      <c r="K240" s="562" t="s">
        <v>313</v>
      </c>
      <c r="L240" s="604">
        <v>1.1499999999999999</v>
      </c>
      <c r="M240" s="603"/>
      <c r="N240" s="602"/>
      <c r="V240" s="674"/>
      <c r="W240" s="675"/>
      <c r="Y240" s="537" t="s">
        <v>345</v>
      </c>
      <c r="AB240" s="675"/>
      <c r="AD240" s="680"/>
    </row>
    <row r="241" spans="1:30" s="536" customFormat="1" ht="12" x14ac:dyDescent="0.2">
      <c r="A241" s="605"/>
      <c r="B241" s="552" t="s">
        <v>188</v>
      </c>
      <c r="C241" s="1822" t="s">
        <v>475</v>
      </c>
      <c r="D241" s="1822"/>
      <c r="E241" s="1822"/>
      <c r="F241" s="562"/>
      <c r="G241" s="562"/>
      <c r="H241" s="562"/>
      <c r="I241" s="562"/>
      <c r="J241" s="604">
        <v>373.17</v>
      </c>
      <c r="K241" s="562"/>
      <c r="L241" s="604">
        <v>18.66</v>
      </c>
      <c r="M241" s="603"/>
      <c r="N241" s="602"/>
      <c r="V241" s="674"/>
      <c r="W241" s="675"/>
      <c r="Y241" s="537" t="s">
        <v>475</v>
      </c>
      <c r="AB241" s="675"/>
      <c r="AD241" s="680"/>
    </row>
    <row r="242" spans="1:30" s="536" customFormat="1" ht="12" x14ac:dyDescent="0.2">
      <c r="A242" s="605"/>
      <c r="B242" s="552"/>
      <c r="C242" s="1822" t="s">
        <v>314</v>
      </c>
      <c r="D242" s="1822"/>
      <c r="E242" s="1822"/>
      <c r="F242" s="562" t="s">
        <v>315</v>
      </c>
      <c r="G242" s="562" t="s">
        <v>3105</v>
      </c>
      <c r="H242" s="562" t="s">
        <v>313</v>
      </c>
      <c r="I242" s="562" t="s">
        <v>3106</v>
      </c>
      <c r="J242" s="604"/>
      <c r="K242" s="562"/>
      <c r="L242" s="604"/>
      <c r="M242" s="603"/>
      <c r="N242" s="602"/>
      <c r="V242" s="674"/>
      <c r="W242" s="675"/>
      <c r="Z242" s="537" t="s">
        <v>314</v>
      </c>
      <c r="AB242" s="675"/>
      <c r="AD242" s="680"/>
    </row>
    <row r="243" spans="1:30" s="536" customFormat="1" ht="12" x14ac:dyDescent="0.2">
      <c r="A243" s="605"/>
      <c r="B243" s="552"/>
      <c r="C243" s="1822" t="s">
        <v>348</v>
      </c>
      <c r="D243" s="1822"/>
      <c r="E243" s="1822"/>
      <c r="F243" s="562" t="s">
        <v>315</v>
      </c>
      <c r="G243" s="562" t="s">
        <v>3107</v>
      </c>
      <c r="H243" s="562" t="s">
        <v>313</v>
      </c>
      <c r="I243" s="562" t="s">
        <v>3108</v>
      </c>
      <c r="J243" s="604"/>
      <c r="K243" s="562"/>
      <c r="L243" s="604"/>
      <c r="M243" s="603"/>
      <c r="N243" s="602"/>
      <c r="V243" s="674"/>
      <c r="W243" s="675"/>
      <c r="Z243" s="537" t="s">
        <v>348</v>
      </c>
      <c r="AB243" s="675"/>
      <c r="AD243" s="680"/>
    </row>
    <row r="244" spans="1:30" s="536" customFormat="1" ht="12" x14ac:dyDescent="0.2">
      <c r="A244" s="605"/>
      <c r="B244" s="552"/>
      <c r="C244" s="1828" t="s">
        <v>318</v>
      </c>
      <c r="D244" s="1828"/>
      <c r="E244" s="1828"/>
      <c r="F244" s="608"/>
      <c r="G244" s="608"/>
      <c r="H244" s="608"/>
      <c r="I244" s="608"/>
      <c r="J244" s="607">
        <v>941.32</v>
      </c>
      <c r="K244" s="608"/>
      <c r="L244" s="607">
        <v>54.17</v>
      </c>
      <c r="M244" s="601"/>
      <c r="N244" s="606"/>
      <c r="V244" s="674"/>
      <c r="W244" s="675"/>
      <c r="AA244" s="537" t="s">
        <v>318</v>
      </c>
      <c r="AB244" s="675"/>
      <c r="AD244" s="680"/>
    </row>
    <row r="245" spans="1:30" s="536" customFormat="1" ht="12" x14ac:dyDescent="0.2">
      <c r="A245" s="605"/>
      <c r="B245" s="552"/>
      <c r="C245" s="1822" t="s">
        <v>319</v>
      </c>
      <c r="D245" s="1822"/>
      <c r="E245" s="1822"/>
      <c r="F245" s="562"/>
      <c r="G245" s="562"/>
      <c r="H245" s="562"/>
      <c r="I245" s="562"/>
      <c r="J245" s="604"/>
      <c r="K245" s="562"/>
      <c r="L245" s="604">
        <v>25.64</v>
      </c>
      <c r="M245" s="603"/>
      <c r="N245" s="602"/>
      <c r="V245" s="674"/>
      <c r="W245" s="675"/>
      <c r="Z245" s="537" t="s">
        <v>319</v>
      </c>
      <c r="AB245" s="675"/>
      <c r="AD245" s="680"/>
    </row>
    <row r="246" spans="1:30" s="536" customFormat="1" ht="33.75" x14ac:dyDescent="0.2">
      <c r="A246" s="605"/>
      <c r="B246" s="552" t="s">
        <v>1631</v>
      </c>
      <c r="C246" s="1822" t="s">
        <v>1632</v>
      </c>
      <c r="D246" s="1822"/>
      <c r="E246" s="1822"/>
      <c r="F246" s="562" t="s">
        <v>322</v>
      </c>
      <c r="G246" s="562" t="s">
        <v>1633</v>
      </c>
      <c r="H246" s="562"/>
      <c r="I246" s="562" t="s">
        <v>1633</v>
      </c>
      <c r="J246" s="604"/>
      <c r="K246" s="562"/>
      <c r="L246" s="604">
        <v>24.87</v>
      </c>
      <c r="M246" s="603"/>
      <c r="N246" s="602"/>
      <c r="V246" s="674"/>
      <c r="W246" s="675"/>
      <c r="Z246" s="537" t="s">
        <v>1632</v>
      </c>
      <c r="AB246" s="675"/>
      <c r="AD246" s="680"/>
    </row>
    <row r="247" spans="1:30" s="536" customFormat="1" ht="33.75" x14ac:dyDescent="0.2">
      <c r="A247" s="605"/>
      <c r="B247" s="552" t="s">
        <v>1634</v>
      </c>
      <c r="C247" s="1822" t="s">
        <v>1635</v>
      </c>
      <c r="D247" s="1822"/>
      <c r="E247" s="1822"/>
      <c r="F247" s="562" t="s">
        <v>322</v>
      </c>
      <c r="G247" s="562" t="s">
        <v>786</v>
      </c>
      <c r="H247" s="562"/>
      <c r="I247" s="562" t="s">
        <v>786</v>
      </c>
      <c r="J247" s="604"/>
      <c r="K247" s="562"/>
      <c r="L247" s="604">
        <v>13.08</v>
      </c>
      <c r="M247" s="603"/>
      <c r="N247" s="602"/>
      <c r="V247" s="674"/>
      <c r="W247" s="675"/>
      <c r="Z247" s="537" t="s">
        <v>1635</v>
      </c>
      <c r="AB247" s="675"/>
      <c r="AD247" s="680"/>
    </row>
    <row r="248" spans="1:30" s="536" customFormat="1" ht="12" x14ac:dyDescent="0.2">
      <c r="A248" s="569"/>
      <c r="B248" s="671"/>
      <c r="C248" s="1823" t="s">
        <v>327</v>
      </c>
      <c r="D248" s="1823"/>
      <c r="E248" s="1823"/>
      <c r="F248" s="573"/>
      <c r="G248" s="573"/>
      <c r="H248" s="573"/>
      <c r="I248" s="573"/>
      <c r="J248" s="572"/>
      <c r="K248" s="573"/>
      <c r="L248" s="572">
        <v>92.12</v>
      </c>
      <c r="M248" s="601"/>
      <c r="N248" s="570"/>
      <c r="V248" s="674"/>
      <c r="W248" s="675"/>
      <c r="AB248" s="675" t="s">
        <v>327</v>
      </c>
      <c r="AD248" s="680"/>
    </row>
    <row r="249" spans="1:30" s="536" customFormat="1" ht="45" x14ac:dyDescent="0.2">
      <c r="A249" s="575" t="s">
        <v>765</v>
      </c>
      <c r="B249" s="670" t="s">
        <v>3109</v>
      </c>
      <c r="C249" s="1823" t="s">
        <v>3110</v>
      </c>
      <c r="D249" s="1823"/>
      <c r="E249" s="1823"/>
      <c r="F249" s="573" t="s">
        <v>483</v>
      </c>
      <c r="G249" s="573"/>
      <c r="H249" s="573"/>
      <c r="I249" s="573" t="s">
        <v>189</v>
      </c>
      <c r="J249" s="572">
        <v>39.6</v>
      </c>
      <c r="K249" s="573"/>
      <c r="L249" s="572">
        <v>198</v>
      </c>
      <c r="M249" s="571"/>
      <c r="N249" s="570"/>
      <c r="V249" s="674"/>
      <c r="W249" s="675" t="s">
        <v>3110</v>
      </c>
      <c r="AB249" s="675"/>
      <c r="AD249" s="680"/>
    </row>
    <row r="250" spans="1:30" s="536" customFormat="1" ht="12" x14ac:dyDescent="0.2">
      <c r="A250" s="569"/>
      <c r="B250" s="671"/>
      <c r="C250" s="665" t="s">
        <v>1658</v>
      </c>
      <c r="D250" s="666"/>
      <c r="E250" s="666"/>
      <c r="F250" s="563"/>
      <c r="G250" s="563"/>
      <c r="H250" s="563"/>
      <c r="I250" s="563"/>
      <c r="J250" s="566"/>
      <c r="K250" s="563"/>
      <c r="L250" s="566"/>
      <c r="M250" s="565"/>
      <c r="N250" s="564"/>
      <c r="V250" s="674"/>
      <c r="W250" s="675"/>
      <c r="AB250" s="675"/>
      <c r="AD250" s="680"/>
    </row>
    <row r="251" spans="1:30" s="536" customFormat="1" ht="33.75" x14ac:dyDescent="0.2">
      <c r="A251" s="575" t="s">
        <v>505</v>
      </c>
      <c r="B251" s="670" t="s">
        <v>1782</v>
      </c>
      <c r="C251" s="1823" t="s">
        <v>1783</v>
      </c>
      <c r="D251" s="1823"/>
      <c r="E251" s="1823"/>
      <c r="F251" s="573" t="s">
        <v>617</v>
      </c>
      <c r="G251" s="573"/>
      <c r="H251" s="573"/>
      <c r="I251" s="573" t="s">
        <v>189</v>
      </c>
      <c r="J251" s="572"/>
      <c r="K251" s="573"/>
      <c r="L251" s="572"/>
      <c r="M251" s="571"/>
      <c r="N251" s="570"/>
      <c r="V251" s="674"/>
      <c r="W251" s="675" t="s">
        <v>1783</v>
      </c>
      <c r="AB251" s="675"/>
      <c r="AD251" s="680"/>
    </row>
    <row r="252" spans="1:30" s="536" customFormat="1" ht="33.75" x14ac:dyDescent="0.2">
      <c r="A252" s="609"/>
      <c r="B252" s="552" t="s">
        <v>310</v>
      </c>
      <c r="C252" s="1822" t="s">
        <v>311</v>
      </c>
      <c r="D252" s="1822"/>
      <c r="E252" s="1822"/>
      <c r="F252" s="1822"/>
      <c r="G252" s="1822"/>
      <c r="H252" s="1822"/>
      <c r="I252" s="1822"/>
      <c r="J252" s="1822"/>
      <c r="K252" s="1822"/>
      <c r="L252" s="1822"/>
      <c r="M252" s="1822"/>
      <c r="N252" s="1827"/>
      <c r="V252" s="674"/>
      <c r="W252" s="675"/>
      <c r="X252" s="537" t="s">
        <v>311</v>
      </c>
      <c r="AB252" s="675"/>
      <c r="AD252" s="680"/>
    </row>
    <row r="253" spans="1:30" s="536" customFormat="1" ht="12" x14ac:dyDescent="0.2">
      <c r="A253" s="605"/>
      <c r="B253" s="552" t="s">
        <v>185</v>
      </c>
      <c r="C253" s="1822" t="s">
        <v>312</v>
      </c>
      <c r="D253" s="1822"/>
      <c r="E253" s="1822"/>
      <c r="F253" s="562"/>
      <c r="G253" s="562"/>
      <c r="H253" s="562"/>
      <c r="I253" s="562"/>
      <c r="J253" s="604">
        <v>3.57</v>
      </c>
      <c r="K253" s="562" t="s">
        <v>313</v>
      </c>
      <c r="L253" s="604">
        <v>22.31</v>
      </c>
      <c r="M253" s="603"/>
      <c r="N253" s="602"/>
      <c r="V253" s="674"/>
      <c r="W253" s="675"/>
      <c r="Y253" s="537" t="s">
        <v>312</v>
      </c>
      <c r="AB253" s="675"/>
      <c r="AD253" s="680"/>
    </row>
    <row r="254" spans="1:30" s="536" customFormat="1" ht="12" x14ac:dyDescent="0.2">
      <c r="A254" s="605"/>
      <c r="B254" s="552" t="s">
        <v>188</v>
      </c>
      <c r="C254" s="1822" t="s">
        <v>475</v>
      </c>
      <c r="D254" s="1822"/>
      <c r="E254" s="1822"/>
      <c r="F254" s="562"/>
      <c r="G254" s="562"/>
      <c r="H254" s="562"/>
      <c r="I254" s="562"/>
      <c r="J254" s="604">
        <v>15.07</v>
      </c>
      <c r="K254" s="562"/>
      <c r="L254" s="604">
        <v>0.35</v>
      </c>
      <c r="M254" s="603"/>
      <c r="N254" s="602"/>
      <c r="V254" s="674"/>
      <c r="W254" s="675"/>
      <c r="Y254" s="537" t="s">
        <v>475</v>
      </c>
      <c r="AB254" s="675"/>
      <c r="AD254" s="680"/>
    </row>
    <row r="255" spans="1:30" s="536" customFormat="1" ht="12" x14ac:dyDescent="0.2">
      <c r="A255" s="605"/>
      <c r="B255" s="552"/>
      <c r="C255" s="1822" t="s">
        <v>314</v>
      </c>
      <c r="D255" s="1822"/>
      <c r="E255" s="1822"/>
      <c r="F255" s="562" t="s">
        <v>315</v>
      </c>
      <c r="G255" s="562" t="s">
        <v>1785</v>
      </c>
      <c r="H255" s="562" t="s">
        <v>313</v>
      </c>
      <c r="I255" s="562" t="s">
        <v>3102</v>
      </c>
      <c r="J255" s="604"/>
      <c r="K255" s="562"/>
      <c r="L255" s="604"/>
      <c r="M255" s="603"/>
      <c r="N255" s="602"/>
      <c r="V255" s="674"/>
      <c r="W255" s="675"/>
      <c r="Z255" s="537" t="s">
        <v>314</v>
      </c>
      <c r="AB255" s="675"/>
      <c r="AD255" s="680"/>
    </row>
    <row r="256" spans="1:30" s="536" customFormat="1" ht="12" x14ac:dyDescent="0.2">
      <c r="A256" s="605"/>
      <c r="B256" s="552"/>
      <c r="C256" s="1828" t="s">
        <v>318</v>
      </c>
      <c r="D256" s="1828"/>
      <c r="E256" s="1828"/>
      <c r="F256" s="608"/>
      <c r="G256" s="608"/>
      <c r="H256" s="608"/>
      <c r="I256" s="608"/>
      <c r="J256" s="607">
        <v>3.64</v>
      </c>
      <c r="K256" s="608"/>
      <c r="L256" s="607">
        <v>22.66</v>
      </c>
      <c r="M256" s="601"/>
      <c r="N256" s="606"/>
      <c r="V256" s="674"/>
      <c r="W256" s="675"/>
      <c r="AA256" s="537" t="s">
        <v>318</v>
      </c>
      <c r="AB256" s="675"/>
      <c r="AD256" s="680"/>
    </row>
    <row r="257" spans="1:32" s="536" customFormat="1" ht="12" x14ac:dyDescent="0.2">
      <c r="A257" s="605"/>
      <c r="B257" s="552"/>
      <c r="C257" s="1822" t="s">
        <v>319</v>
      </c>
      <c r="D257" s="1822"/>
      <c r="E257" s="1822"/>
      <c r="F257" s="562"/>
      <c r="G257" s="562"/>
      <c r="H257" s="562"/>
      <c r="I257" s="562"/>
      <c r="J257" s="604"/>
      <c r="K257" s="562"/>
      <c r="L257" s="604">
        <v>22.31</v>
      </c>
      <c r="M257" s="603"/>
      <c r="N257" s="602"/>
      <c r="V257" s="674"/>
      <c r="W257" s="675"/>
      <c r="Z257" s="537" t="s">
        <v>319</v>
      </c>
      <c r="AB257" s="675"/>
      <c r="AD257" s="680"/>
    </row>
    <row r="258" spans="1:32" s="536" customFormat="1" ht="33.75" x14ac:dyDescent="0.2">
      <c r="A258" s="605"/>
      <c r="B258" s="552" t="s">
        <v>1631</v>
      </c>
      <c r="C258" s="1822" t="s">
        <v>1632</v>
      </c>
      <c r="D258" s="1822"/>
      <c r="E258" s="1822"/>
      <c r="F258" s="562" t="s">
        <v>322</v>
      </c>
      <c r="G258" s="562" t="s">
        <v>1633</v>
      </c>
      <c r="H258" s="562"/>
      <c r="I258" s="562" t="s">
        <v>1633</v>
      </c>
      <c r="J258" s="604"/>
      <c r="K258" s="562"/>
      <c r="L258" s="604">
        <v>21.64</v>
      </c>
      <c r="M258" s="603"/>
      <c r="N258" s="602"/>
      <c r="V258" s="674"/>
      <c r="W258" s="675"/>
      <c r="Z258" s="537" t="s">
        <v>1632</v>
      </c>
      <c r="AB258" s="675"/>
      <c r="AD258" s="680"/>
    </row>
    <row r="259" spans="1:32" s="536" customFormat="1" ht="33.75" x14ac:dyDescent="0.2">
      <c r="A259" s="605"/>
      <c r="B259" s="552" t="s">
        <v>1634</v>
      </c>
      <c r="C259" s="1822" t="s">
        <v>1635</v>
      </c>
      <c r="D259" s="1822"/>
      <c r="E259" s="1822"/>
      <c r="F259" s="562" t="s">
        <v>322</v>
      </c>
      <c r="G259" s="562" t="s">
        <v>786</v>
      </c>
      <c r="H259" s="562"/>
      <c r="I259" s="562" t="s">
        <v>786</v>
      </c>
      <c r="J259" s="604"/>
      <c r="K259" s="562"/>
      <c r="L259" s="604">
        <v>11.38</v>
      </c>
      <c r="M259" s="603"/>
      <c r="N259" s="602"/>
      <c r="V259" s="674"/>
      <c r="W259" s="675"/>
      <c r="Z259" s="537" t="s">
        <v>1635</v>
      </c>
      <c r="AB259" s="675"/>
      <c r="AD259" s="680"/>
    </row>
    <row r="260" spans="1:32" s="536" customFormat="1" ht="12" x14ac:dyDescent="0.2">
      <c r="A260" s="569"/>
      <c r="B260" s="671"/>
      <c r="C260" s="1823" t="s">
        <v>327</v>
      </c>
      <c r="D260" s="1823"/>
      <c r="E260" s="1823"/>
      <c r="F260" s="573"/>
      <c r="G260" s="573"/>
      <c r="H260" s="573"/>
      <c r="I260" s="573"/>
      <c r="J260" s="572"/>
      <c r="K260" s="573"/>
      <c r="L260" s="572">
        <v>55.68</v>
      </c>
      <c r="M260" s="601"/>
      <c r="N260" s="570"/>
      <c r="V260" s="674"/>
      <c r="W260" s="675"/>
      <c r="AB260" s="675" t="s">
        <v>327</v>
      </c>
      <c r="AD260" s="680"/>
    </row>
    <row r="261" spans="1:32" s="536" customFormat="1" ht="33.75" x14ac:dyDescent="0.2">
      <c r="A261" s="575" t="s">
        <v>767</v>
      </c>
      <c r="B261" s="670" t="s">
        <v>3111</v>
      </c>
      <c r="C261" s="1823" t="s">
        <v>3112</v>
      </c>
      <c r="D261" s="1823"/>
      <c r="E261" s="1823"/>
      <c r="F261" s="573" t="s">
        <v>617</v>
      </c>
      <c r="G261" s="573"/>
      <c r="H261" s="573"/>
      <c r="I261" s="573" t="s">
        <v>185</v>
      </c>
      <c r="J261" s="572">
        <v>349.25</v>
      </c>
      <c r="K261" s="573" t="s">
        <v>716</v>
      </c>
      <c r="L261" s="572">
        <v>42.79</v>
      </c>
      <c r="M261" s="571">
        <v>8.32</v>
      </c>
      <c r="N261" s="570">
        <v>356</v>
      </c>
      <c r="V261" s="674"/>
      <c r="W261" s="675" t="s">
        <v>3112</v>
      </c>
      <c r="AB261" s="675"/>
      <c r="AD261" s="680"/>
    </row>
    <row r="262" spans="1:32" s="536" customFormat="1" ht="12" x14ac:dyDescent="0.2">
      <c r="A262" s="569"/>
      <c r="B262" s="671"/>
      <c r="C262" s="665" t="s">
        <v>1658</v>
      </c>
      <c r="D262" s="666"/>
      <c r="E262" s="666"/>
      <c r="F262" s="563"/>
      <c r="G262" s="563"/>
      <c r="H262" s="563"/>
      <c r="I262" s="563"/>
      <c r="J262" s="566"/>
      <c r="K262" s="563"/>
      <c r="L262" s="566"/>
      <c r="M262" s="565"/>
      <c r="N262" s="564"/>
      <c r="V262" s="674"/>
      <c r="W262" s="675"/>
      <c r="AB262" s="675"/>
      <c r="AD262" s="680"/>
    </row>
    <row r="263" spans="1:32" s="536" customFormat="1" ht="22.5" x14ac:dyDescent="0.2">
      <c r="A263" s="609"/>
      <c r="B263" s="552" t="s">
        <v>718</v>
      </c>
      <c r="C263" s="1822" t="s">
        <v>719</v>
      </c>
      <c r="D263" s="1822"/>
      <c r="E263" s="1822"/>
      <c r="F263" s="1822"/>
      <c r="G263" s="1822"/>
      <c r="H263" s="1822"/>
      <c r="I263" s="1822"/>
      <c r="J263" s="1822"/>
      <c r="K263" s="1822"/>
      <c r="L263" s="1822"/>
      <c r="M263" s="1822"/>
      <c r="N263" s="1827"/>
      <c r="V263" s="674"/>
      <c r="W263" s="675"/>
      <c r="X263" s="537" t="s">
        <v>719</v>
      </c>
      <c r="AB263" s="675"/>
      <c r="AD263" s="680"/>
    </row>
    <row r="264" spans="1:32" s="536" customFormat="1" ht="22.5" x14ac:dyDescent="0.2">
      <c r="A264" s="575" t="s">
        <v>768</v>
      </c>
      <c r="B264" s="670" t="s">
        <v>3113</v>
      </c>
      <c r="C264" s="1823" t="s">
        <v>3114</v>
      </c>
      <c r="D264" s="1823"/>
      <c r="E264" s="1823"/>
      <c r="F264" s="573" t="s">
        <v>2278</v>
      </c>
      <c r="G264" s="573"/>
      <c r="H264" s="573"/>
      <c r="I264" s="573" t="s">
        <v>1901</v>
      </c>
      <c r="J264" s="572">
        <v>101.1</v>
      </c>
      <c r="K264" s="573"/>
      <c r="L264" s="572">
        <v>15.17</v>
      </c>
      <c r="M264" s="571"/>
      <c r="N264" s="570"/>
      <c r="V264" s="674"/>
      <c r="W264" s="675" t="s">
        <v>3114</v>
      </c>
      <c r="AB264" s="675"/>
      <c r="AD264" s="680"/>
    </row>
    <row r="265" spans="1:32" s="536" customFormat="1" ht="12" x14ac:dyDescent="0.2">
      <c r="A265" s="569"/>
      <c r="B265" s="671"/>
      <c r="C265" s="665" t="s">
        <v>1658</v>
      </c>
      <c r="D265" s="666"/>
      <c r="E265" s="666"/>
      <c r="F265" s="563"/>
      <c r="G265" s="563"/>
      <c r="H265" s="563"/>
      <c r="I265" s="563"/>
      <c r="J265" s="566"/>
      <c r="K265" s="563"/>
      <c r="L265" s="566"/>
      <c r="M265" s="565"/>
      <c r="N265" s="564"/>
      <c r="V265" s="674"/>
      <c r="W265" s="675"/>
      <c r="AB265" s="675"/>
      <c r="AD265" s="680"/>
    </row>
    <row r="266" spans="1:32" s="536" customFormat="1" ht="12" x14ac:dyDescent="0.2">
      <c r="A266" s="676"/>
      <c r="B266" s="664"/>
      <c r="C266" s="1822" t="s">
        <v>3115</v>
      </c>
      <c r="D266" s="1822"/>
      <c r="E266" s="1822"/>
      <c r="F266" s="1822"/>
      <c r="G266" s="1822"/>
      <c r="H266" s="1822"/>
      <c r="I266" s="1822"/>
      <c r="J266" s="1822"/>
      <c r="K266" s="1822"/>
      <c r="L266" s="1822"/>
      <c r="M266" s="1822"/>
      <c r="N266" s="1827"/>
      <c r="V266" s="674"/>
      <c r="W266" s="675"/>
      <c r="AB266" s="675"/>
      <c r="AC266" s="537" t="s">
        <v>3115</v>
      </c>
      <c r="AD266" s="680"/>
    </row>
    <row r="267" spans="1:32" s="536" customFormat="1" ht="1.5" customHeight="1" x14ac:dyDescent="0.2">
      <c r="A267" s="563"/>
      <c r="B267" s="671"/>
      <c r="C267" s="671"/>
      <c r="D267" s="671"/>
      <c r="E267" s="671"/>
      <c r="F267" s="563"/>
      <c r="G267" s="563"/>
      <c r="H267" s="563"/>
      <c r="I267" s="563"/>
      <c r="J267" s="546"/>
      <c r="K267" s="563"/>
      <c r="L267" s="546"/>
      <c r="M267" s="562"/>
      <c r="N267" s="546"/>
      <c r="V267" s="674"/>
      <c r="W267" s="675"/>
      <c r="AB267" s="675"/>
      <c r="AD267" s="680"/>
    </row>
    <row r="268" spans="1:32" s="536" customFormat="1" ht="2.25" customHeight="1" x14ac:dyDescent="0.2">
      <c r="B268" s="561"/>
      <c r="C268" s="561"/>
      <c r="D268" s="561"/>
      <c r="E268" s="561"/>
      <c r="F268" s="561"/>
      <c r="G268" s="561"/>
      <c r="H268" s="561"/>
      <c r="I268" s="561"/>
      <c r="J268" s="561"/>
      <c r="K268" s="561"/>
      <c r="L268" s="560"/>
      <c r="M268" s="559"/>
      <c r="N268" s="558"/>
    </row>
    <row r="269" spans="1:32" s="536" customFormat="1" x14ac:dyDescent="0.2">
      <c r="A269" s="557"/>
      <c r="B269" s="556"/>
      <c r="C269" s="1823" t="s">
        <v>205</v>
      </c>
      <c r="D269" s="1823"/>
      <c r="E269" s="1823"/>
      <c r="F269" s="1823"/>
      <c r="G269" s="1823"/>
      <c r="H269" s="1823"/>
      <c r="I269" s="1823"/>
      <c r="J269" s="1823"/>
      <c r="K269" s="1823"/>
      <c r="L269" s="555"/>
      <c r="M269" s="554"/>
      <c r="N269" s="553"/>
      <c r="AE269" s="675" t="s">
        <v>205</v>
      </c>
    </row>
    <row r="270" spans="1:32" s="536" customFormat="1" x14ac:dyDescent="0.2">
      <c r="A270" s="548"/>
      <c r="B270" s="552"/>
      <c r="C270" s="1822" t="s">
        <v>403</v>
      </c>
      <c r="D270" s="1822"/>
      <c r="E270" s="1822"/>
      <c r="F270" s="1822"/>
      <c r="G270" s="1822"/>
      <c r="H270" s="1822"/>
      <c r="I270" s="1822"/>
      <c r="J270" s="1822"/>
      <c r="K270" s="1822"/>
      <c r="L270" s="551">
        <v>4208.33</v>
      </c>
      <c r="M270" s="550"/>
      <c r="N270" s="549"/>
      <c r="AE270" s="675"/>
      <c r="AF270" s="537" t="s">
        <v>403</v>
      </c>
    </row>
    <row r="271" spans="1:32" s="536" customFormat="1" x14ac:dyDescent="0.2">
      <c r="A271" s="548"/>
      <c r="B271" s="552"/>
      <c r="C271" s="1822" t="s">
        <v>204</v>
      </c>
      <c r="D271" s="1822"/>
      <c r="E271" s="1822"/>
      <c r="F271" s="1822"/>
      <c r="G271" s="1822"/>
      <c r="H271" s="1822"/>
      <c r="I271" s="1822"/>
      <c r="J271" s="1822"/>
      <c r="K271" s="1822"/>
      <c r="L271" s="551"/>
      <c r="M271" s="550"/>
      <c r="N271" s="549"/>
      <c r="AE271" s="675"/>
      <c r="AF271" s="537" t="s">
        <v>204</v>
      </c>
    </row>
    <row r="272" spans="1:32" s="536" customFormat="1" x14ac:dyDescent="0.2">
      <c r="A272" s="548"/>
      <c r="B272" s="552"/>
      <c r="C272" s="1822" t="s">
        <v>404</v>
      </c>
      <c r="D272" s="1822"/>
      <c r="E272" s="1822"/>
      <c r="F272" s="1822"/>
      <c r="G272" s="1822"/>
      <c r="H272" s="1822"/>
      <c r="I272" s="1822"/>
      <c r="J272" s="1822"/>
      <c r="K272" s="1822"/>
      <c r="L272" s="551">
        <v>834.59</v>
      </c>
      <c r="M272" s="550"/>
      <c r="N272" s="549"/>
      <c r="AE272" s="675"/>
      <c r="AF272" s="537" t="s">
        <v>404</v>
      </c>
    </row>
    <row r="273" spans="1:32" s="536" customFormat="1" x14ac:dyDescent="0.2">
      <c r="A273" s="548"/>
      <c r="B273" s="552"/>
      <c r="C273" s="1822" t="s">
        <v>405</v>
      </c>
      <c r="D273" s="1822"/>
      <c r="E273" s="1822"/>
      <c r="F273" s="1822"/>
      <c r="G273" s="1822"/>
      <c r="H273" s="1822"/>
      <c r="I273" s="1822"/>
      <c r="J273" s="1822"/>
      <c r="K273" s="1822"/>
      <c r="L273" s="551">
        <v>85.11</v>
      </c>
      <c r="M273" s="550"/>
      <c r="N273" s="549"/>
      <c r="AE273" s="675"/>
      <c r="AF273" s="537" t="s">
        <v>405</v>
      </c>
    </row>
    <row r="274" spans="1:32" s="536" customFormat="1" x14ac:dyDescent="0.2">
      <c r="A274" s="548"/>
      <c r="B274" s="552"/>
      <c r="C274" s="1822" t="s">
        <v>406</v>
      </c>
      <c r="D274" s="1822"/>
      <c r="E274" s="1822"/>
      <c r="F274" s="1822"/>
      <c r="G274" s="1822"/>
      <c r="H274" s="1822"/>
      <c r="I274" s="1822"/>
      <c r="J274" s="1822"/>
      <c r="K274" s="1822"/>
      <c r="L274" s="551">
        <v>10.56</v>
      </c>
      <c r="M274" s="550"/>
      <c r="N274" s="549"/>
      <c r="AE274" s="675"/>
      <c r="AF274" s="537" t="s">
        <v>406</v>
      </c>
    </row>
    <row r="275" spans="1:32" s="536" customFormat="1" x14ac:dyDescent="0.2">
      <c r="A275" s="548"/>
      <c r="B275" s="552"/>
      <c r="C275" s="1822" t="s">
        <v>480</v>
      </c>
      <c r="D275" s="1822"/>
      <c r="E275" s="1822"/>
      <c r="F275" s="1822"/>
      <c r="G275" s="1822"/>
      <c r="H275" s="1822"/>
      <c r="I275" s="1822"/>
      <c r="J275" s="1822"/>
      <c r="K275" s="1822"/>
      <c r="L275" s="551">
        <v>3288.63</v>
      </c>
      <c r="M275" s="550"/>
      <c r="N275" s="549"/>
      <c r="AE275" s="675"/>
      <c r="AF275" s="537" t="s">
        <v>480</v>
      </c>
    </row>
    <row r="276" spans="1:32" s="536" customFormat="1" x14ac:dyDescent="0.2">
      <c r="A276" s="548"/>
      <c r="B276" s="552" t="s">
        <v>185</v>
      </c>
      <c r="C276" s="1822" t="s">
        <v>407</v>
      </c>
      <c r="D276" s="1822"/>
      <c r="E276" s="1822"/>
      <c r="F276" s="1822"/>
      <c r="G276" s="1822"/>
      <c r="H276" s="1822"/>
      <c r="I276" s="1822"/>
      <c r="J276" s="1822"/>
      <c r="K276" s="1822"/>
      <c r="L276" s="551">
        <v>1088.19</v>
      </c>
      <c r="M276" s="550">
        <v>8.32</v>
      </c>
      <c r="N276" s="549">
        <v>9054</v>
      </c>
      <c r="AE276" s="675"/>
      <c r="AF276" s="537" t="s">
        <v>407</v>
      </c>
    </row>
    <row r="277" spans="1:32" s="536" customFormat="1" x14ac:dyDescent="0.2">
      <c r="A277" s="548"/>
      <c r="B277" s="552"/>
      <c r="C277" s="1822" t="s">
        <v>204</v>
      </c>
      <c r="D277" s="1822"/>
      <c r="E277" s="1822"/>
      <c r="F277" s="1822"/>
      <c r="G277" s="1822"/>
      <c r="H277" s="1822"/>
      <c r="I277" s="1822"/>
      <c r="J277" s="1822"/>
      <c r="K277" s="1822"/>
      <c r="L277" s="551"/>
      <c r="M277" s="550"/>
      <c r="N277" s="549"/>
      <c r="AE277" s="675"/>
      <c r="AF277" s="537" t="s">
        <v>204</v>
      </c>
    </row>
    <row r="278" spans="1:32" s="536" customFormat="1" x14ac:dyDescent="0.2">
      <c r="A278" s="548"/>
      <c r="B278" s="552"/>
      <c r="C278" s="1822" t="s">
        <v>546</v>
      </c>
      <c r="D278" s="1822"/>
      <c r="E278" s="1822"/>
      <c r="F278" s="1822"/>
      <c r="G278" s="1822"/>
      <c r="H278" s="1822"/>
      <c r="I278" s="1822"/>
      <c r="J278" s="1822"/>
      <c r="K278" s="1822"/>
      <c r="L278" s="551">
        <v>41.29</v>
      </c>
      <c r="M278" s="550"/>
      <c r="N278" s="549"/>
      <c r="AE278" s="675"/>
      <c r="AF278" s="537" t="s">
        <v>546</v>
      </c>
    </row>
    <row r="279" spans="1:32" s="536" customFormat="1" x14ac:dyDescent="0.2">
      <c r="A279" s="548"/>
      <c r="B279" s="552"/>
      <c r="C279" s="1822" t="s">
        <v>442</v>
      </c>
      <c r="D279" s="1822"/>
      <c r="E279" s="1822"/>
      <c r="F279" s="1822"/>
      <c r="G279" s="1822"/>
      <c r="H279" s="1822"/>
      <c r="I279" s="1822"/>
      <c r="J279" s="1822"/>
      <c r="K279" s="1822"/>
      <c r="L279" s="551">
        <v>7.91</v>
      </c>
      <c r="M279" s="550"/>
      <c r="N279" s="549"/>
      <c r="AE279" s="675"/>
      <c r="AF279" s="537" t="s">
        <v>442</v>
      </c>
    </row>
    <row r="280" spans="1:32" s="536" customFormat="1" x14ac:dyDescent="0.2">
      <c r="A280" s="548"/>
      <c r="B280" s="552"/>
      <c r="C280" s="1822" t="s">
        <v>547</v>
      </c>
      <c r="D280" s="1822"/>
      <c r="E280" s="1822"/>
      <c r="F280" s="1822"/>
      <c r="G280" s="1822"/>
      <c r="H280" s="1822"/>
      <c r="I280" s="1822"/>
      <c r="J280" s="1822"/>
      <c r="K280" s="1822"/>
      <c r="L280" s="551">
        <v>974.99</v>
      </c>
      <c r="M280" s="550"/>
      <c r="N280" s="549"/>
      <c r="AE280" s="675"/>
      <c r="AF280" s="537" t="s">
        <v>547</v>
      </c>
    </row>
    <row r="281" spans="1:32" s="536" customFormat="1" x14ac:dyDescent="0.2">
      <c r="A281" s="548"/>
      <c r="B281" s="552"/>
      <c r="C281" s="1822" t="s">
        <v>443</v>
      </c>
      <c r="D281" s="1822"/>
      <c r="E281" s="1822"/>
      <c r="F281" s="1822"/>
      <c r="G281" s="1822"/>
      <c r="H281" s="1822"/>
      <c r="I281" s="1822"/>
      <c r="J281" s="1822"/>
      <c r="K281" s="1822"/>
      <c r="L281" s="551">
        <v>38.4</v>
      </c>
      <c r="M281" s="550"/>
      <c r="N281" s="549"/>
      <c r="AE281" s="675"/>
      <c r="AF281" s="537" t="s">
        <v>443</v>
      </c>
    </row>
    <row r="282" spans="1:32" s="536" customFormat="1" x14ac:dyDescent="0.2">
      <c r="A282" s="548"/>
      <c r="B282" s="552"/>
      <c r="C282" s="1822" t="s">
        <v>444</v>
      </c>
      <c r="D282" s="1822"/>
      <c r="E282" s="1822"/>
      <c r="F282" s="1822"/>
      <c r="G282" s="1822"/>
      <c r="H282" s="1822"/>
      <c r="I282" s="1822"/>
      <c r="J282" s="1822"/>
      <c r="K282" s="1822"/>
      <c r="L282" s="551">
        <v>25.6</v>
      </c>
      <c r="M282" s="550"/>
      <c r="N282" s="549"/>
      <c r="AE282" s="675"/>
      <c r="AF282" s="537" t="s">
        <v>444</v>
      </c>
    </row>
    <row r="283" spans="1:32" s="536" customFormat="1" x14ac:dyDescent="0.2">
      <c r="A283" s="548"/>
      <c r="B283" s="552" t="s">
        <v>185</v>
      </c>
      <c r="C283" s="1822" t="s">
        <v>753</v>
      </c>
      <c r="D283" s="1822"/>
      <c r="E283" s="1822"/>
      <c r="F283" s="1822"/>
      <c r="G283" s="1822"/>
      <c r="H283" s="1822"/>
      <c r="I283" s="1822"/>
      <c r="J283" s="1822"/>
      <c r="K283" s="1822"/>
      <c r="L283" s="551">
        <v>4308.9799999999996</v>
      </c>
      <c r="M283" s="550">
        <v>8.32</v>
      </c>
      <c r="N283" s="549">
        <v>35851</v>
      </c>
      <c r="AE283" s="675"/>
      <c r="AF283" s="537" t="s">
        <v>753</v>
      </c>
    </row>
    <row r="284" spans="1:32" s="536" customFormat="1" x14ac:dyDescent="0.2">
      <c r="A284" s="548"/>
      <c r="B284" s="552"/>
      <c r="C284" s="1822" t="s">
        <v>204</v>
      </c>
      <c r="D284" s="1822"/>
      <c r="E284" s="1822"/>
      <c r="F284" s="1822"/>
      <c r="G284" s="1822"/>
      <c r="H284" s="1822"/>
      <c r="I284" s="1822"/>
      <c r="J284" s="1822"/>
      <c r="K284" s="1822"/>
      <c r="L284" s="551"/>
      <c r="M284" s="550"/>
      <c r="N284" s="549"/>
      <c r="AE284" s="675"/>
      <c r="AF284" s="537" t="s">
        <v>204</v>
      </c>
    </row>
    <row r="285" spans="1:32" s="536" customFormat="1" x14ac:dyDescent="0.2">
      <c r="A285" s="548"/>
      <c r="B285" s="552"/>
      <c r="C285" s="1822" t="s">
        <v>546</v>
      </c>
      <c r="D285" s="1822"/>
      <c r="E285" s="1822"/>
      <c r="F285" s="1822"/>
      <c r="G285" s="1822"/>
      <c r="H285" s="1822"/>
      <c r="I285" s="1822"/>
      <c r="J285" s="1822"/>
      <c r="K285" s="1822"/>
      <c r="L285" s="551">
        <v>793.3</v>
      </c>
      <c r="M285" s="550"/>
      <c r="N285" s="549"/>
      <c r="AE285" s="675"/>
      <c r="AF285" s="537" t="s">
        <v>546</v>
      </c>
    </row>
    <row r="286" spans="1:32" s="536" customFormat="1" x14ac:dyDescent="0.2">
      <c r="A286" s="548"/>
      <c r="B286" s="552"/>
      <c r="C286" s="1822" t="s">
        <v>442</v>
      </c>
      <c r="D286" s="1822"/>
      <c r="E286" s="1822"/>
      <c r="F286" s="1822"/>
      <c r="G286" s="1822"/>
      <c r="H286" s="1822"/>
      <c r="I286" s="1822"/>
      <c r="J286" s="1822"/>
      <c r="K286" s="1822"/>
      <c r="L286" s="551">
        <v>77.2</v>
      </c>
      <c r="M286" s="550"/>
      <c r="N286" s="549"/>
      <c r="AE286" s="675"/>
      <c r="AF286" s="537" t="s">
        <v>442</v>
      </c>
    </row>
    <row r="287" spans="1:32" s="536" customFormat="1" x14ac:dyDescent="0.2">
      <c r="A287" s="548"/>
      <c r="B287" s="552"/>
      <c r="C287" s="1822" t="s">
        <v>547</v>
      </c>
      <c r="D287" s="1822"/>
      <c r="E287" s="1822"/>
      <c r="F287" s="1822"/>
      <c r="G287" s="1822"/>
      <c r="H287" s="1822"/>
      <c r="I287" s="1822"/>
      <c r="J287" s="1822"/>
      <c r="K287" s="1822"/>
      <c r="L287" s="551">
        <v>2313.64</v>
      </c>
      <c r="M287" s="550"/>
      <c r="N287" s="549"/>
      <c r="AE287" s="675"/>
      <c r="AF287" s="537" t="s">
        <v>547</v>
      </c>
    </row>
    <row r="288" spans="1:32" s="536" customFormat="1" x14ac:dyDescent="0.2">
      <c r="A288" s="548"/>
      <c r="B288" s="552"/>
      <c r="C288" s="1822" t="s">
        <v>443</v>
      </c>
      <c r="D288" s="1822"/>
      <c r="E288" s="1822"/>
      <c r="F288" s="1822"/>
      <c r="G288" s="1822"/>
      <c r="H288" s="1822"/>
      <c r="I288" s="1822"/>
      <c r="J288" s="1822"/>
      <c r="K288" s="1822"/>
      <c r="L288" s="551">
        <v>741.9</v>
      </c>
      <c r="M288" s="550"/>
      <c r="N288" s="549"/>
      <c r="AE288" s="675"/>
      <c r="AF288" s="537" t="s">
        <v>443</v>
      </c>
    </row>
    <row r="289" spans="1:33" x14ac:dyDescent="0.2">
      <c r="A289" s="548"/>
      <c r="B289" s="552"/>
      <c r="C289" s="1822" t="s">
        <v>444</v>
      </c>
      <c r="D289" s="1822"/>
      <c r="E289" s="1822"/>
      <c r="F289" s="1822"/>
      <c r="G289" s="1822"/>
      <c r="H289" s="1822"/>
      <c r="I289" s="1822"/>
      <c r="J289" s="1822"/>
      <c r="K289" s="1822"/>
      <c r="L289" s="551">
        <v>382.94</v>
      </c>
      <c r="M289" s="550"/>
      <c r="N289" s="549"/>
      <c r="O289" s="536"/>
      <c r="P289" s="536"/>
      <c r="Q289" s="536"/>
      <c r="R289" s="536"/>
      <c r="S289" s="536"/>
      <c r="T289" s="536"/>
      <c r="U289" s="536"/>
      <c r="V289" s="536"/>
      <c r="W289" s="536"/>
      <c r="X289" s="536"/>
      <c r="Y289" s="536"/>
      <c r="Z289" s="536"/>
      <c r="AA289" s="536"/>
      <c r="AB289" s="536"/>
      <c r="AC289" s="536"/>
      <c r="AD289" s="536"/>
      <c r="AE289" s="675"/>
      <c r="AF289" s="537" t="s">
        <v>444</v>
      </c>
      <c r="AG289" s="536"/>
    </row>
    <row r="290" spans="1:33" x14ac:dyDescent="0.2">
      <c r="A290" s="548"/>
      <c r="B290" s="552"/>
      <c r="C290" s="1822" t="s">
        <v>754</v>
      </c>
      <c r="D290" s="1822"/>
      <c r="E290" s="1822"/>
      <c r="F290" s="1822"/>
      <c r="G290" s="1822"/>
      <c r="H290" s="1822"/>
      <c r="I290" s="1822"/>
      <c r="J290" s="1822"/>
      <c r="K290" s="1822"/>
      <c r="L290" s="551">
        <v>13387.18</v>
      </c>
      <c r="M290" s="550"/>
      <c r="N290" s="549">
        <v>61447</v>
      </c>
      <c r="O290" s="536"/>
      <c r="P290" s="536"/>
      <c r="Q290" s="536"/>
      <c r="R290" s="536"/>
      <c r="S290" s="536"/>
      <c r="T290" s="536"/>
      <c r="U290" s="536"/>
      <c r="V290" s="536"/>
      <c r="W290" s="536"/>
      <c r="X290" s="536"/>
      <c r="Y290" s="536"/>
      <c r="Z290" s="536"/>
      <c r="AA290" s="536"/>
      <c r="AB290" s="536"/>
      <c r="AC290" s="536"/>
      <c r="AD290" s="536"/>
      <c r="AE290" s="675"/>
      <c r="AF290" s="537" t="s">
        <v>754</v>
      </c>
      <c r="AG290" s="536"/>
    </row>
    <row r="291" spans="1:33" x14ac:dyDescent="0.2">
      <c r="A291" s="548"/>
      <c r="B291" s="552" t="s">
        <v>186</v>
      </c>
      <c r="C291" s="1822" t="s">
        <v>2223</v>
      </c>
      <c r="D291" s="1822"/>
      <c r="E291" s="1822"/>
      <c r="F291" s="1822"/>
      <c r="G291" s="1822"/>
      <c r="H291" s="1822"/>
      <c r="I291" s="1822"/>
      <c r="J291" s="1822"/>
      <c r="K291" s="1822"/>
      <c r="L291" s="551">
        <v>9215.7099999999991</v>
      </c>
      <c r="M291" s="550">
        <v>4.59</v>
      </c>
      <c r="N291" s="549">
        <v>42300</v>
      </c>
      <c r="O291" s="536"/>
      <c r="P291" s="536"/>
      <c r="Q291" s="536"/>
      <c r="R291" s="536"/>
      <c r="S291" s="536"/>
      <c r="T291" s="536"/>
      <c r="U291" s="536"/>
      <c r="V291" s="536"/>
      <c r="W291" s="536"/>
      <c r="X291" s="536"/>
      <c r="Y291" s="536"/>
      <c r="Z291" s="536"/>
      <c r="AA291" s="536"/>
      <c r="AB291" s="536"/>
      <c r="AC291" s="536"/>
      <c r="AD291" s="536"/>
      <c r="AE291" s="675"/>
      <c r="AF291" s="537" t="s">
        <v>2223</v>
      </c>
      <c r="AG291" s="536"/>
    </row>
    <row r="292" spans="1:33" x14ac:dyDescent="0.2">
      <c r="A292" s="548"/>
      <c r="B292" s="552" t="s">
        <v>186</v>
      </c>
      <c r="C292" s="1822" t="s">
        <v>2224</v>
      </c>
      <c r="D292" s="1822"/>
      <c r="E292" s="1822"/>
      <c r="F292" s="1822"/>
      <c r="G292" s="1822"/>
      <c r="H292" s="1822"/>
      <c r="I292" s="1822"/>
      <c r="J292" s="1822"/>
      <c r="K292" s="1822"/>
      <c r="L292" s="551">
        <v>4171.47</v>
      </c>
      <c r="M292" s="550">
        <v>4.59</v>
      </c>
      <c r="N292" s="549">
        <v>19147</v>
      </c>
      <c r="O292" s="536"/>
      <c r="P292" s="536"/>
      <c r="Q292" s="536"/>
      <c r="R292" s="536"/>
      <c r="S292" s="536"/>
      <c r="T292" s="536"/>
      <c r="U292" s="536"/>
      <c r="V292" s="536"/>
      <c r="W292" s="536"/>
      <c r="X292" s="536"/>
      <c r="Y292" s="536"/>
      <c r="Z292" s="536"/>
      <c r="AA292" s="536"/>
      <c r="AB292" s="536"/>
      <c r="AC292" s="536"/>
      <c r="AD292" s="536"/>
      <c r="AE292" s="675"/>
      <c r="AF292" s="537" t="s">
        <v>2224</v>
      </c>
      <c r="AG292" s="536"/>
    </row>
    <row r="293" spans="1:33" x14ac:dyDescent="0.2">
      <c r="A293" s="548"/>
      <c r="B293" s="552"/>
      <c r="C293" s="1822" t="s">
        <v>415</v>
      </c>
      <c r="D293" s="1822"/>
      <c r="E293" s="1822"/>
      <c r="F293" s="1822"/>
      <c r="G293" s="1822"/>
      <c r="H293" s="1822"/>
      <c r="I293" s="1822"/>
      <c r="J293" s="1822"/>
      <c r="K293" s="1822"/>
      <c r="L293" s="551">
        <v>845.15</v>
      </c>
      <c r="M293" s="550"/>
      <c r="N293" s="549"/>
      <c r="O293" s="536"/>
      <c r="P293" s="536"/>
      <c r="Q293" s="536"/>
      <c r="R293" s="536"/>
      <c r="S293" s="536"/>
      <c r="T293" s="536"/>
      <c r="U293" s="536"/>
      <c r="V293" s="536"/>
      <c r="W293" s="536"/>
      <c r="X293" s="536"/>
      <c r="Y293" s="536"/>
      <c r="Z293" s="536"/>
      <c r="AA293" s="536"/>
      <c r="AB293" s="536"/>
      <c r="AC293" s="536"/>
      <c r="AD293" s="536"/>
      <c r="AE293" s="675"/>
      <c r="AF293" s="537" t="s">
        <v>415</v>
      </c>
      <c r="AG293" s="536"/>
    </row>
    <row r="294" spans="1:33" x14ac:dyDescent="0.2">
      <c r="A294" s="548"/>
      <c r="B294" s="552"/>
      <c r="C294" s="1822" t="s">
        <v>416</v>
      </c>
      <c r="D294" s="1822"/>
      <c r="E294" s="1822"/>
      <c r="F294" s="1822"/>
      <c r="G294" s="1822"/>
      <c r="H294" s="1822"/>
      <c r="I294" s="1822"/>
      <c r="J294" s="1822"/>
      <c r="K294" s="1822"/>
      <c r="L294" s="551">
        <v>780.3</v>
      </c>
      <c r="M294" s="550"/>
      <c r="N294" s="549"/>
      <c r="O294" s="536"/>
      <c r="P294" s="536"/>
      <c r="Q294" s="536"/>
      <c r="R294" s="536"/>
      <c r="S294" s="536"/>
      <c r="T294" s="536"/>
      <c r="U294" s="536"/>
      <c r="V294" s="536"/>
      <c r="W294" s="536"/>
      <c r="X294" s="536"/>
      <c r="Y294" s="536"/>
      <c r="Z294" s="536"/>
      <c r="AA294" s="536"/>
      <c r="AB294" s="536"/>
      <c r="AC294" s="536"/>
      <c r="AD294" s="536"/>
      <c r="AE294" s="675"/>
      <c r="AF294" s="537" t="s">
        <v>416</v>
      </c>
      <c r="AG294" s="536"/>
    </row>
    <row r="295" spans="1:33" x14ac:dyDescent="0.2">
      <c r="A295" s="548"/>
      <c r="B295" s="552"/>
      <c r="C295" s="1822" t="s">
        <v>417</v>
      </c>
      <c r="D295" s="1822"/>
      <c r="E295" s="1822"/>
      <c r="F295" s="1822"/>
      <c r="G295" s="1822"/>
      <c r="H295" s="1822"/>
      <c r="I295" s="1822"/>
      <c r="J295" s="1822"/>
      <c r="K295" s="1822"/>
      <c r="L295" s="551">
        <v>408.54</v>
      </c>
      <c r="M295" s="550"/>
      <c r="N295" s="549"/>
      <c r="O295" s="536"/>
      <c r="P295" s="536"/>
      <c r="Q295" s="536"/>
      <c r="R295" s="536"/>
      <c r="S295" s="536"/>
      <c r="T295" s="536"/>
      <c r="U295" s="536"/>
      <c r="V295" s="536"/>
      <c r="W295" s="536"/>
      <c r="X295" s="536"/>
      <c r="Y295" s="536"/>
      <c r="Z295" s="536"/>
      <c r="AA295" s="536"/>
      <c r="AB295" s="536"/>
      <c r="AC295" s="536"/>
      <c r="AD295" s="536"/>
      <c r="AE295" s="675"/>
      <c r="AF295" s="537" t="s">
        <v>417</v>
      </c>
      <c r="AG295" s="536"/>
    </row>
    <row r="296" spans="1:33" x14ac:dyDescent="0.2">
      <c r="A296" s="548"/>
      <c r="B296" s="546"/>
      <c r="C296" s="1819" t="s">
        <v>206</v>
      </c>
      <c r="D296" s="1819"/>
      <c r="E296" s="1819"/>
      <c r="F296" s="1819"/>
      <c r="G296" s="1819"/>
      <c r="H296" s="1819"/>
      <c r="I296" s="1819"/>
      <c r="J296" s="1819"/>
      <c r="K296" s="1819"/>
      <c r="L296" s="544">
        <v>18784.349999999999</v>
      </c>
      <c r="M296" s="543"/>
      <c r="N296" s="547">
        <v>106352</v>
      </c>
      <c r="O296" s="536"/>
      <c r="P296" s="536"/>
      <c r="Q296" s="536"/>
      <c r="R296" s="536"/>
      <c r="S296" s="536"/>
      <c r="T296" s="536"/>
      <c r="U296" s="536"/>
      <c r="V296" s="536"/>
      <c r="W296" s="536"/>
      <c r="X296" s="536"/>
      <c r="Y296" s="536"/>
      <c r="Z296" s="536"/>
      <c r="AA296" s="536"/>
      <c r="AB296" s="536"/>
      <c r="AC296" s="536"/>
      <c r="AD296" s="536"/>
      <c r="AE296" s="675"/>
      <c r="AF296" s="536"/>
      <c r="AG296" s="675" t="s">
        <v>206</v>
      </c>
    </row>
    <row r="297" spans="1:33" x14ac:dyDescent="0.2">
      <c r="A297" s="548"/>
      <c r="B297" s="552"/>
      <c r="C297" s="1822" t="s">
        <v>204</v>
      </c>
      <c r="D297" s="1822"/>
      <c r="E297" s="1822"/>
      <c r="F297" s="1822"/>
      <c r="G297" s="1822"/>
      <c r="H297" s="1822"/>
      <c r="I297" s="1822"/>
      <c r="J297" s="1822"/>
      <c r="K297" s="1822"/>
      <c r="L297" s="551"/>
      <c r="M297" s="550"/>
      <c r="N297" s="549"/>
      <c r="O297" s="536"/>
      <c r="P297" s="536"/>
      <c r="Q297" s="536"/>
      <c r="R297" s="536"/>
      <c r="S297" s="536"/>
      <c r="T297" s="536"/>
      <c r="U297" s="536"/>
      <c r="V297" s="536"/>
      <c r="W297" s="536"/>
      <c r="X297" s="536"/>
      <c r="Y297" s="536"/>
      <c r="Z297" s="536"/>
      <c r="AA297" s="536"/>
      <c r="AB297" s="536"/>
      <c r="AC297" s="536"/>
      <c r="AD297" s="536"/>
      <c r="AE297" s="675"/>
      <c r="AF297" s="537" t="s">
        <v>204</v>
      </c>
      <c r="AG297" s="675"/>
    </row>
    <row r="298" spans="1:33" x14ac:dyDescent="0.2">
      <c r="A298" s="548"/>
      <c r="B298" s="552"/>
      <c r="C298" s="1822" t="s">
        <v>8095</v>
      </c>
      <c r="D298" s="1822"/>
      <c r="E298" s="1822"/>
      <c r="F298" s="1822"/>
      <c r="G298" s="1822"/>
      <c r="H298" s="1822"/>
      <c r="I298" s="1822"/>
      <c r="J298" s="1822"/>
      <c r="K298" s="1822"/>
      <c r="L298" s="551">
        <v>2970.92</v>
      </c>
      <c r="M298" s="550"/>
      <c r="N298" s="549">
        <v>24718</v>
      </c>
      <c r="O298" s="536"/>
      <c r="P298" s="536"/>
      <c r="Q298" s="536"/>
      <c r="R298" s="536"/>
      <c r="S298" s="536"/>
      <c r="T298" s="536"/>
      <c r="U298" s="536"/>
      <c r="V298" s="536"/>
      <c r="W298" s="536"/>
      <c r="X298" s="536"/>
      <c r="Y298" s="536"/>
      <c r="Z298" s="536"/>
      <c r="AA298" s="536"/>
      <c r="AB298" s="536"/>
      <c r="AC298" s="536"/>
      <c r="AD298" s="536"/>
      <c r="AE298" s="675"/>
      <c r="AF298" s="537" t="s">
        <v>8095</v>
      </c>
      <c r="AG298" s="675"/>
    </row>
    <row r="299" spans="1:33" x14ac:dyDescent="0.2">
      <c r="A299" s="548"/>
      <c r="B299" s="552"/>
      <c r="C299" s="1822" t="s">
        <v>8097</v>
      </c>
      <c r="D299" s="1822"/>
      <c r="E299" s="1822"/>
      <c r="F299" s="1822"/>
      <c r="G299" s="1822"/>
      <c r="H299" s="1822"/>
      <c r="I299" s="1822"/>
      <c r="J299" s="1822"/>
      <c r="K299" s="1822"/>
      <c r="L299" s="551"/>
      <c r="M299" s="550"/>
      <c r="N299" s="549">
        <v>42300</v>
      </c>
      <c r="O299" s="536"/>
      <c r="P299" s="536"/>
      <c r="Q299" s="536"/>
      <c r="R299" s="536"/>
      <c r="S299" s="536"/>
      <c r="T299" s="536"/>
      <c r="U299" s="536"/>
      <c r="V299" s="536"/>
      <c r="W299" s="536"/>
      <c r="X299" s="536"/>
      <c r="Y299" s="536"/>
      <c r="Z299" s="536"/>
      <c r="AA299" s="536"/>
      <c r="AB299" s="536"/>
      <c r="AC299" s="536"/>
      <c r="AD299" s="536"/>
      <c r="AE299" s="675"/>
      <c r="AF299" s="537" t="s">
        <v>8097</v>
      </c>
      <c r="AG299" s="675"/>
    </row>
    <row r="300" spans="1:33" ht="1.5" customHeight="1" x14ac:dyDescent="0.2">
      <c r="B300" s="546"/>
      <c r="C300" s="671"/>
      <c r="D300" s="671"/>
      <c r="E300" s="671"/>
      <c r="F300" s="671"/>
      <c r="G300" s="671"/>
      <c r="H300" s="671"/>
      <c r="I300" s="671"/>
      <c r="J300" s="671"/>
      <c r="K300" s="671"/>
      <c r="L300" s="544"/>
      <c r="M300" s="543"/>
      <c r="N300" s="542"/>
      <c r="O300" s="536"/>
      <c r="P300" s="536"/>
      <c r="Q300" s="536"/>
      <c r="R300" s="536"/>
      <c r="S300" s="536"/>
      <c r="T300" s="536"/>
      <c r="U300" s="536"/>
      <c r="V300" s="536"/>
      <c r="W300" s="536"/>
      <c r="X300" s="536"/>
      <c r="Y300" s="536"/>
      <c r="Z300" s="536"/>
      <c r="AA300" s="536"/>
      <c r="AB300" s="536"/>
      <c r="AC300" s="536"/>
      <c r="AD300" s="536"/>
      <c r="AE300" s="536"/>
      <c r="AF300" s="536"/>
      <c r="AG300" s="536"/>
    </row>
    <row r="301" spans="1:33" ht="53.25" customHeight="1" x14ac:dyDescent="0.2">
      <c r="A301" s="541"/>
      <c r="B301" s="541"/>
      <c r="C301" s="541"/>
      <c r="D301" s="541"/>
      <c r="E301" s="541"/>
      <c r="F301" s="541"/>
      <c r="G301" s="541"/>
      <c r="H301" s="541"/>
      <c r="I301" s="541"/>
      <c r="J301" s="541"/>
      <c r="K301" s="541"/>
      <c r="L301" s="541"/>
      <c r="M301" s="541"/>
      <c r="N301" s="541"/>
      <c r="O301" s="536"/>
      <c r="P301" s="536"/>
      <c r="Q301" s="536"/>
      <c r="R301" s="536"/>
      <c r="S301" s="536"/>
      <c r="T301" s="536"/>
      <c r="U301" s="536"/>
      <c r="V301" s="536"/>
      <c r="W301" s="536"/>
      <c r="X301" s="536"/>
      <c r="Y301" s="536"/>
      <c r="Z301" s="536"/>
      <c r="AA301" s="536"/>
      <c r="AB301" s="536"/>
      <c r="AC301" s="536"/>
      <c r="AD301" s="536"/>
      <c r="AE301" s="536"/>
      <c r="AF301" s="536"/>
      <c r="AG301" s="536"/>
    </row>
    <row r="302" spans="1:33" x14ac:dyDescent="0.2">
      <c r="B302" s="539" t="s">
        <v>149</v>
      </c>
      <c r="C302" s="1943" t="s">
        <v>207</v>
      </c>
      <c r="D302" s="1943"/>
      <c r="E302" s="1943"/>
      <c r="F302" s="1943"/>
      <c r="G302" s="1943"/>
      <c r="H302" s="1943"/>
      <c r="I302" s="1943"/>
      <c r="J302" s="1943"/>
      <c r="K302" s="1943"/>
      <c r="L302" s="1943"/>
      <c r="O302" s="536"/>
    </row>
    <row r="303" spans="1:33" ht="13.5" customHeight="1" x14ac:dyDescent="0.2">
      <c r="B303" s="540"/>
      <c r="C303" s="1821" t="s">
        <v>150</v>
      </c>
      <c r="D303" s="1821"/>
      <c r="E303" s="1821"/>
      <c r="F303" s="1821"/>
      <c r="G303" s="1821"/>
      <c r="H303" s="1821"/>
      <c r="I303" s="1821"/>
      <c r="J303" s="1821"/>
      <c r="K303" s="1821"/>
      <c r="L303" s="1821"/>
      <c r="O303" s="536"/>
    </row>
    <row r="304" spans="1:33" ht="12.75" customHeight="1" x14ac:dyDescent="0.2">
      <c r="B304" s="539" t="s">
        <v>151</v>
      </c>
      <c r="C304" s="1943" t="s">
        <v>208</v>
      </c>
      <c r="D304" s="1943"/>
      <c r="E304" s="1943"/>
      <c r="F304" s="1943"/>
      <c r="G304" s="1943"/>
      <c r="H304" s="1943"/>
      <c r="I304" s="1943"/>
      <c r="J304" s="1943"/>
      <c r="K304" s="1943"/>
      <c r="L304" s="1943"/>
      <c r="O304" s="536"/>
    </row>
    <row r="305" spans="2:33" ht="13.5" customHeight="1" x14ac:dyDescent="0.2">
      <c r="C305" s="1821" t="s">
        <v>150</v>
      </c>
      <c r="D305" s="1821"/>
      <c r="E305" s="1821"/>
      <c r="F305" s="1821"/>
      <c r="G305" s="1821"/>
      <c r="H305" s="1821"/>
      <c r="I305" s="1821"/>
      <c r="J305" s="1821"/>
      <c r="K305" s="1821"/>
      <c r="L305" s="1821"/>
      <c r="O305" s="536"/>
    </row>
    <row r="307" spans="2:33" x14ac:dyDescent="0.2">
      <c r="B307" s="538"/>
      <c r="D307" s="538"/>
      <c r="F307" s="538"/>
      <c r="O307" s="536"/>
      <c r="P307" s="536"/>
      <c r="Q307" s="536"/>
      <c r="R307" s="536"/>
      <c r="S307" s="536"/>
      <c r="T307" s="536"/>
      <c r="U307" s="536"/>
      <c r="V307" s="536"/>
      <c r="W307" s="536"/>
      <c r="X307" s="536"/>
      <c r="Y307" s="536"/>
      <c r="Z307" s="536"/>
      <c r="AA307" s="536"/>
      <c r="AB307" s="536"/>
      <c r="AC307" s="536"/>
      <c r="AD307" s="536"/>
      <c r="AE307" s="536"/>
      <c r="AF307" s="536"/>
      <c r="AG307" s="536"/>
    </row>
  </sheetData>
  <mergeCells count="268">
    <mergeCell ref="C298:K298"/>
    <mergeCell ref="C299:K299"/>
    <mergeCell ref="C302:L302"/>
    <mergeCell ref="C303:L303"/>
    <mergeCell ref="C304:L304"/>
    <mergeCell ref="C305:L305"/>
    <mergeCell ref="C292:K292"/>
    <mergeCell ref="C293:K293"/>
    <mergeCell ref="C294:K294"/>
    <mergeCell ref="C295:K295"/>
    <mergeCell ref="C296:K296"/>
    <mergeCell ref="C297:K297"/>
    <mergeCell ref="C286:K286"/>
    <mergeCell ref="C287:K287"/>
    <mergeCell ref="C288:K288"/>
    <mergeCell ref="C289:K289"/>
    <mergeCell ref="C290:K290"/>
    <mergeCell ref="C291:K291"/>
    <mergeCell ref="C280:K280"/>
    <mergeCell ref="C281:K281"/>
    <mergeCell ref="C282:K282"/>
    <mergeCell ref="C283:K283"/>
    <mergeCell ref="C284:K284"/>
    <mergeCell ref="C285:K285"/>
    <mergeCell ref="C274:K274"/>
    <mergeCell ref="C275:K275"/>
    <mergeCell ref="C276:K276"/>
    <mergeCell ref="C277:K277"/>
    <mergeCell ref="C278:K278"/>
    <mergeCell ref="C279:K279"/>
    <mergeCell ref="C266:N266"/>
    <mergeCell ref="C269:K269"/>
    <mergeCell ref="C270:K270"/>
    <mergeCell ref="C271:K271"/>
    <mergeCell ref="C272:K272"/>
    <mergeCell ref="C273:K273"/>
    <mergeCell ref="C258:E258"/>
    <mergeCell ref="C259:E259"/>
    <mergeCell ref="C260:E260"/>
    <mergeCell ref="C261:E261"/>
    <mergeCell ref="C263:N263"/>
    <mergeCell ref="C264:E264"/>
    <mergeCell ref="C252:N252"/>
    <mergeCell ref="C253:E253"/>
    <mergeCell ref="C254:E254"/>
    <mergeCell ref="C255:E255"/>
    <mergeCell ref="C256:E256"/>
    <mergeCell ref="C257:E257"/>
    <mergeCell ref="C245:E245"/>
    <mergeCell ref="C246:E246"/>
    <mergeCell ref="C247:E247"/>
    <mergeCell ref="C248:E248"/>
    <mergeCell ref="C249:E249"/>
    <mergeCell ref="C251:E251"/>
    <mergeCell ref="C239:E239"/>
    <mergeCell ref="C240:E240"/>
    <mergeCell ref="C241:E241"/>
    <mergeCell ref="C242:E242"/>
    <mergeCell ref="C243:E243"/>
    <mergeCell ref="C244:E244"/>
    <mergeCell ref="C233:N233"/>
    <mergeCell ref="C234:N234"/>
    <mergeCell ref="C235:E235"/>
    <mergeCell ref="C236:N236"/>
    <mergeCell ref="C237:N237"/>
    <mergeCell ref="C238:E238"/>
    <mergeCell ref="C225:N225"/>
    <mergeCell ref="C226:N226"/>
    <mergeCell ref="C227:E227"/>
    <mergeCell ref="C229:N229"/>
    <mergeCell ref="C230:N230"/>
    <mergeCell ref="C231:E231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05:E205"/>
    <mergeCell ref="C206:E206"/>
    <mergeCell ref="C208:N208"/>
    <mergeCell ref="C209:E209"/>
    <mergeCell ref="C210:N210"/>
    <mergeCell ref="C211:N211"/>
    <mergeCell ref="C199:E199"/>
    <mergeCell ref="C200:E200"/>
    <mergeCell ref="C201:E201"/>
    <mergeCell ref="C202:E202"/>
    <mergeCell ref="C203:E203"/>
    <mergeCell ref="C204:E204"/>
    <mergeCell ref="C193:N193"/>
    <mergeCell ref="C194:N194"/>
    <mergeCell ref="C195:E195"/>
    <mergeCell ref="C196:E196"/>
    <mergeCell ref="C197:E197"/>
    <mergeCell ref="C198:E198"/>
    <mergeCell ref="C185:N185"/>
    <mergeCell ref="C186:E186"/>
    <mergeCell ref="C188:N188"/>
    <mergeCell ref="C189:E189"/>
    <mergeCell ref="C191:N191"/>
    <mergeCell ref="C192:E192"/>
    <mergeCell ref="C178:E178"/>
    <mergeCell ref="C179:E179"/>
    <mergeCell ref="C180:E180"/>
    <mergeCell ref="C181:E181"/>
    <mergeCell ref="C182:E182"/>
    <mergeCell ref="C183:E183"/>
    <mergeCell ref="C172:E172"/>
    <mergeCell ref="C173:E173"/>
    <mergeCell ref="C174:E174"/>
    <mergeCell ref="C175:E175"/>
    <mergeCell ref="C176:E176"/>
    <mergeCell ref="C177:E177"/>
    <mergeCell ref="C165:E165"/>
    <mergeCell ref="C166:E166"/>
    <mergeCell ref="C168:N168"/>
    <mergeCell ref="C169:E169"/>
    <mergeCell ref="C170:N170"/>
    <mergeCell ref="C171:N171"/>
    <mergeCell ref="C159:E159"/>
    <mergeCell ref="C160:E160"/>
    <mergeCell ref="C161:E161"/>
    <mergeCell ref="C162:E162"/>
    <mergeCell ref="C163:E163"/>
    <mergeCell ref="C164:E164"/>
    <mergeCell ref="C153:N153"/>
    <mergeCell ref="C154:E154"/>
    <mergeCell ref="C155:N155"/>
    <mergeCell ref="C156:E156"/>
    <mergeCell ref="C157:E157"/>
    <mergeCell ref="C158:E158"/>
    <mergeCell ref="C145:E145"/>
    <mergeCell ref="C146:E146"/>
    <mergeCell ref="C147:E147"/>
    <mergeCell ref="C148:E148"/>
    <mergeCell ref="C150:N150"/>
    <mergeCell ref="C151:E151"/>
    <mergeCell ref="C139:N139"/>
    <mergeCell ref="C140:E140"/>
    <mergeCell ref="C141:E141"/>
    <mergeCell ref="C142:E142"/>
    <mergeCell ref="C143:E143"/>
    <mergeCell ref="C144:E144"/>
    <mergeCell ref="C131:E131"/>
    <mergeCell ref="C132:E132"/>
    <mergeCell ref="C134:N134"/>
    <mergeCell ref="C135:E135"/>
    <mergeCell ref="C137:N137"/>
    <mergeCell ref="C138:E138"/>
    <mergeCell ref="C125:E125"/>
    <mergeCell ref="C126:E126"/>
    <mergeCell ref="C127:E127"/>
    <mergeCell ref="C128:E128"/>
    <mergeCell ref="C129:E129"/>
    <mergeCell ref="C130:E130"/>
    <mergeCell ref="C119:E119"/>
    <mergeCell ref="C120:N120"/>
    <mergeCell ref="C121:E121"/>
    <mergeCell ref="C122:E122"/>
    <mergeCell ref="C123:E123"/>
    <mergeCell ref="C124:E124"/>
    <mergeCell ref="C112:E112"/>
    <mergeCell ref="C113:E113"/>
    <mergeCell ref="C114:E114"/>
    <mergeCell ref="C115:E115"/>
    <mergeCell ref="C116:E116"/>
    <mergeCell ref="C118:N118"/>
    <mergeCell ref="C106:E106"/>
    <mergeCell ref="C107:N107"/>
    <mergeCell ref="C108:E108"/>
    <mergeCell ref="C109:E109"/>
    <mergeCell ref="C110:E110"/>
    <mergeCell ref="C111:E111"/>
    <mergeCell ref="C99:E99"/>
    <mergeCell ref="C100:E100"/>
    <mergeCell ref="C101:E101"/>
    <mergeCell ref="C102:E102"/>
    <mergeCell ref="C103:E103"/>
    <mergeCell ref="C105:N105"/>
    <mergeCell ref="C93:E93"/>
    <mergeCell ref="C94:E94"/>
    <mergeCell ref="C95:E95"/>
    <mergeCell ref="C96:E96"/>
    <mergeCell ref="C97:E97"/>
    <mergeCell ref="C98:E98"/>
    <mergeCell ref="C86:E86"/>
    <mergeCell ref="C87:E87"/>
    <mergeCell ref="C89:N89"/>
    <mergeCell ref="C90:E90"/>
    <mergeCell ref="C91:N91"/>
    <mergeCell ref="C92:E92"/>
    <mergeCell ref="C80:E80"/>
    <mergeCell ref="C81:E81"/>
    <mergeCell ref="C82:E82"/>
    <mergeCell ref="C83:E83"/>
    <mergeCell ref="C84:E84"/>
    <mergeCell ref="C85:E85"/>
    <mergeCell ref="C73:E73"/>
    <mergeCell ref="C74:E74"/>
    <mergeCell ref="C75:E75"/>
    <mergeCell ref="C77:E77"/>
    <mergeCell ref="C78:N78"/>
    <mergeCell ref="C79:E79"/>
    <mergeCell ref="C67:E67"/>
    <mergeCell ref="C68:E68"/>
    <mergeCell ref="C69:E69"/>
    <mergeCell ref="C70:E70"/>
    <mergeCell ref="C71:E71"/>
    <mergeCell ref="C72:E72"/>
    <mergeCell ref="C60:E60"/>
    <mergeCell ref="C61:E61"/>
    <mergeCell ref="C62:E62"/>
    <mergeCell ref="C63:E63"/>
    <mergeCell ref="C65:E65"/>
    <mergeCell ref="C66:N66"/>
    <mergeCell ref="C54:N54"/>
    <mergeCell ref="C55:E55"/>
    <mergeCell ref="C56:E56"/>
    <mergeCell ref="C57:E57"/>
    <mergeCell ref="C58:E58"/>
    <mergeCell ref="C59:E59"/>
    <mergeCell ref="C47:E47"/>
    <mergeCell ref="C48:E48"/>
    <mergeCell ref="C49:E49"/>
    <mergeCell ref="C50:E50"/>
    <mergeCell ref="C52:N52"/>
    <mergeCell ref="C53:E53"/>
    <mergeCell ref="C41:N41"/>
    <mergeCell ref="C42:E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30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/>
  <dimension ref="A1:AH300"/>
  <sheetViews>
    <sheetView topLeftCell="A264" zoomScale="115" zoomScaleNormal="115" workbookViewId="0"/>
  </sheetViews>
  <sheetFormatPr defaultColWidth="9.140625" defaultRowHeight="11.25" customHeight="1" x14ac:dyDescent="0.25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600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4" width="110.140625" style="537" hidden="1" customWidth="1"/>
    <col min="25" max="29" width="34.140625" style="537" hidden="1" customWidth="1"/>
    <col min="30" max="30" width="110.140625" style="537" hidden="1" customWidth="1"/>
    <col min="31" max="33" width="84.42578125" style="537" hidden="1" customWidth="1"/>
    <col min="34" max="34" width="138.42578125" style="537" hidden="1" customWidth="1"/>
    <col min="35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159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1806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1806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8243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50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50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8181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238.95</v>
      </c>
      <c r="D28" s="579" t="s">
        <v>8244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0</v>
      </c>
      <c r="D30" s="579" t="s">
        <v>171</v>
      </c>
      <c r="E30" s="665" t="s">
        <v>167</v>
      </c>
      <c r="G30" s="536" t="s">
        <v>170</v>
      </c>
      <c r="L30" s="580">
        <v>0</v>
      </c>
      <c r="M30" s="579" t="s">
        <v>8245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35.32</v>
      </c>
      <c r="D31" s="583" t="s">
        <v>8246</v>
      </c>
      <c r="E31" s="665" t="s">
        <v>167</v>
      </c>
      <c r="G31" s="536" t="s">
        <v>172</v>
      </c>
      <c r="L31" s="582"/>
      <c r="M31" s="582">
        <v>112.53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203.63</v>
      </c>
      <c r="D32" s="583" t="s">
        <v>8247</v>
      </c>
      <c r="E32" s="665" t="s">
        <v>167</v>
      </c>
      <c r="G32" s="536" t="s">
        <v>174</v>
      </c>
      <c r="L32" s="582"/>
      <c r="M32" s="582">
        <v>0.94</v>
      </c>
      <c r="N32" s="581" t="s">
        <v>173</v>
      </c>
    </row>
    <row r="33" spans="1:24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4" s="536" customFormat="1" ht="9.75" customHeight="1" x14ac:dyDescent="0.2">
      <c r="A34" s="578"/>
    </row>
    <row r="35" spans="1:24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4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4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4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4" s="536" customFormat="1" ht="12" x14ac:dyDescent="0.2">
      <c r="A39" s="1824" t="s">
        <v>3066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537" t="s">
        <v>3066</v>
      </c>
    </row>
    <row r="40" spans="1:24" s="536" customFormat="1" ht="123.75" x14ac:dyDescent="0.2">
      <c r="A40" s="575" t="s">
        <v>3121</v>
      </c>
      <c r="B40" s="670" t="s">
        <v>3122</v>
      </c>
      <c r="C40" s="1823" t="s">
        <v>3123</v>
      </c>
      <c r="D40" s="1823"/>
      <c r="E40" s="1823"/>
      <c r="F40" s="573" t="s">
        <v>628</v>
      </c>
      <c r="G40" s="573"/>
      <c r="H40" s="573"/>
      <c r="I40" s="573" t="s">
        <v>185</v>
      </c>
      <c r="J40" s="572">
        <v>37732.5</v>
      </c>
      <c r="K40" s="573" t="s">
        <v>629</v>
      </c>
      <c r="L40" s="572">
        <v>8319.17</v>
      </c>
      <c r="M40" s="571">
        <v>4.59</v>
      </c>
      <c r="N40" s="570">
        <v>38185</v>
      </c>
      <c r="W40" s="537" t="s">
        <v>3123</v>
      </c>
    </row>
    <row r="41" spans="1:24" s="536" customFormat="1" x14ac:dyDescent="0.2">
      <c r="A41" s="569"/>
      <c r="B41" s="671"/>
      <c r="C41" s="665" t="s">
        <v>630</v>
      </c>
      <c r="D41" s="666"/>
      <c r="E41" s="666"/>
      <c r="F41" s="563"/>
      <c r="G41" s="563"/>
      <c r="H41" s="563"/>
      <c r="I41" s="563"/>
      <c r="J41" s="566"/>
      <c r="K41" s="563"/>
      <c r="L41" s="566"/>
      <c r="M41" s="565"/>
      <c r="N41" s="564"/>
    </row>
    <row r="42" spans="1:24" s="536" customFormat="1" ht="22.5" x14ac:dyDescent="0.2">
      <c r="A42" s="609"/>
      <c r="B42" s="552" t="s">
        <v>631</v>
      </c>
      <c r="C42" s="1822" t="s">
        <v>632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X42" s="537" t="s">
        <v>632</v>
      </c>
    </row>
    <row r="43" spans="1:24" s="536" customFormat="1" ht="45" x14ac:dyDescent="0.2">
      <c r="A43" s="575" t="s">
        <v>625</v>
      </c>
      <c r="B43" s="670" t="s">
        <v>3124</v>
      </c>
      <c r="C43" s="1823" t="s">
        <v>3125</v>
      </c>
      <c r="D43" s="1823"/>
      <c r="E43" s="1823"/>
      <c r="F43" s="573" t="s">
        <v>628</v>
      </c>
      <c r="G43" s="573"/>
      <c r="H43" s="573"/>
      <c r="I43" s="573" t="s">
        <v>185</v>
      </c>
      <c r="J43" s="572">
        <v>9212.8799999999992</v>
      </c>
      <c r="K43" s="573" t="s">
        <v>629</v>
      </c>
      <c r="L43" s="572">
        <v>2031.15</v>
      </c>
      <c r="M43" s="571">
        <v>4.59</v>
      </c>
      <c r="N43" s="570">
        <v>9323</v>
      </c>
      <c r="W43" s="537" t="s">
        <v>3125</v>
      </c>
    </row>
    <row r="44" spans="1:24" s="536" customFormat="1" x14ac:dyDescent="0.2">
      <c r="A44" s="569"/>
      <c r="B44" s="671"/>
      <c r="C44" s="665" t="s">
        <v>630</v>
      </c>
      <c r="D44" s="666"/>
      <c r="E44" s="666"/>
      <c r="F44" s="563"/>
      <c r="G44" s="563"/>
      <c r="H44" s="563"/>
      <c r="I44" s="563"/>
      <c r="J44" s="566"/>
      <c r="K44" s="563"/>
      <c r="L44" s="566"/>
      <c r="M44" s="565"/>
      <c r="N44" s="564"/>
    </row>
    <row r="45" spans="1:24" s="536" customFormat="1" ht="22.5" x14ac:dyDescent="0.2">
      <c r="A45" s="609"/>
      <c r="B45" s="552" t="s">
        <v>631</v>
      </c>
      <c r="C45" s="1822" t="s">
        <v>632</v>
      </c>
      <c r="D45" s="1822"/>
      <c r="E45" s="1822"/>
      <c r="F45" s="1822"/>
      <c r="G45" s="1822"/>
      <c r="H45" s="1822"/>
      <c r="I45" s="1822"/>
      <c r="J45" s="1822"/>
      <c r="K45" s="1822"/>
      <c r="L45" s="1822"/>
      <c r="M45" s="1822"/>
      <c r="N45" s="1827"/>
      <c r="X45" s="537" t="s">
        <v>632</v>
      </c>
    </row>
    <row r="46" spans="1:24" s="536" customFormat="1" ht="45" x14ac:dyDescent="0.2">
      <c r="A46" s="575" t="s">
        <v>2195</v>
      </c>
      <c r="B46" s="670" t="s">
        <v>3126</v>
      </c>
      <c r="C46" s="1823" t="s">
        <v>3127</v>
      </c>
      <c r="D46" s="1823"/>
      <c r="E46" s="1823"/>
      <c r="F46" s="573" t="s">
        <v>628</v>
      </c>
      <c r="G46" s="573"/>
      <c r="H46" s="573"/>
      <c r="I46" s="573" t="s">
        <v>185</v>
      </c>
      <c r="J46" s="572">
        <v>500.18</v>
      </c>
      <c r="K46" s="573" t="s">
        <v>629</v>
      </c>
      <c r="L46" s="572">
        <v>110.24</v>
      </c>
      <c r="M46" s="571">
        <v>4.59</v>
      </c>
      <c r="N46" s="570">
        <v>506</v>
      </c>
      <c r="W46" s="537" t="s">
        <v>3127</v>
      </c>
    </row>
    <row r="47" spans="1:24" s="536" customFormat="1" x14ac:dyDescent="0.2">
      <c r="A47" s="569"/>
      <c r="B47" s="671"/>
      <c r="C47" s="665" t="s">
        <v>630</v>
      </c>
      <c r="D47" s="666"/>
      <c r="E47" s="666"/>
      <c r="F47" s="563"/>
      <c r="G47" s="563"/>
      <c r="H47" s="563"/>
      <c r="I47" s="563"/>
      <c r="J47" s="566"/>
      <c r="K47" s="563"/>
      <c r="L47" s="566"/>
      <c r="M47" s="565"/>
      <c r="N47" s="564"/>
    </row>
    <row r="48" spans="1:24" s="536" customFormat="1" ht="22.5" x14ac:dyDescent="0.2">
      <c r="A48" s="609"/>
      <c r="B48" s="552" t="s">
        <v>631</v>
      </c>
      <c r="C48" s="1822" t="s">
        <v>632</v>
      </c>
      <c r="D48" s="1822"/>
      <c r="E48" s="1822"/>
      <c r="F48" s="1822"/>
      <c r="G48" s="1822"/>
      <c r="H48" s="1822"/>
      <c r="I48" s="1822"/>
      <c r="J48" s="1822"/>
      <c r="K48" s="1822"/>
      <c r="L48" s="1822"/>
      <c r="M48" s="1822"/>
      <c r="N48" s="1827"/>
      <c r="X48" s="537" t="s">
        <v>632</v>
      </c>
    </row>
    <row r="49" spans="1:28" s="536" customFormat="1" ht="33.75" x14ac:dyDescent="0.2">
      <c r="A49" s="575" t="s">
        <v>633</v>
      </c>
      <c r="B49" s="670" t="s">
        <v>3128</v>
      </c>
      <c r="C49" s="1823" t="s">
        <v>3129</v>
      </c>
      <c r="D49" s="1823"/>
      <c r="E49" s="1823"/>
      <c r="F49" s="573" t="s">
        <v>628</v>
      </c>
      <c r="G49" s="573"/>
      <c r="H49" s="573"/>
      <c r="I49" s="573" t="s">
        <v>185</v>
      </c>
      <c r="J49" s="572">
        <v>325.56</v>
      </c>
      <c r="K49" s="573" t="s">
        <v>629</v>
      </c>
      <c r="L49" s="572">
        <v>71.680000000000007</v>
      </c>
      <c r="M49" s="571">
        <v>4.59</v>
      </c>
      <c r="N49" s="570">
        <v>329</v>
      </c>
      <c r="W49" s="537" t="s">
        <v>3129</v>
      </c>
    </row>
    <row r="50" spans="1:28" s="536" customFormat="1" x14ac:dyDescent="0.2">
      <c r="A50" s="569"/>
      <c r="B50" s="671"/>
      <c r="C50" s="665" t="s">
        <v>630</v>
      </c>
      <c r="D50" s="666"/>
      <c r="E50" s="666"/>
      <c r="F50" s="563"/>
      <c r="G50" s="563"/>
      <c r="H50" s="563"/>
      <c r="I50" s="563"/>
      <c r="J50" s="566"/>
      <c r="K50" s="563"/>
      <c r="L50" s="566"/>
      <c r="M50" s="565"/>
      <c r="N50" s="564"/>
    </row>
    <row r="51" spans="1:28" s="536" customFormat="1" ht="22.5" x14ac:dyDescent="0.2">
      <c r="A51" s="609"/>
      <c r="B51" s="552" t="s">
        <v>631</v>
      </c>
      <c r="C51" s="1822" t="s">
        <v>632</v>
      </c>
      <c r="D51" s="1822"/>
      <c r="E51" s="1822"/>
      <c r="F51" s="1822"/>
      <c r="G51" s="1822"/>
      <c r="H51" s="1822"/>
      <c r="I51" s="1822"/>
      <c r="J51" s="1822"/>
      <c r="K51" s="1822"/>
      <c r="L51" s="1822"/>
      <c r="M51" s="1822"/>
      <c r="N51" s="1827"/>
      <c r="X51" s="537" t="s">
        <v>632</v>
      </c>
    </row>
    <row r="52" spans="1:28" s="536" customFormat="1" ht="33.75" x14ac:dyDescent="0.2">
      <c r="A52" s="575" t="s">
        <v>871</v>
      </c>
      <c r="B52" s="670" t="s">
        <v>8248</v>
      </c>
      <c r="C52" s="1823" t="s">
        <v>8249</v>
      </c>
      <c r="D52" s="1823"/>
      <c r="E52" s="1823"/>
      <c r="F52" s="573" t="s">
        <v>628</v>
      </c>
      <c r="G52" s="573"/>
      <c r="H52" s="573"/>
      <c r="I52" s="573" t="s">
        <v>185</v>
      </c>
      <c r="J52" s="572">
        <v>58452.03</v>
      </c>
      <c r="K52" s="573" t="s">
        <v>629</v>
      </c>
      <c r="L52" s="572">
        <v>12887.36</v>
      </c>
      <c r="M52" s="571">
        <v>4.59</v>
      </c>
      <c r="N52" s="570">
        <v>59153</v>
      </c>
      <c r="W52" s="537" t="s">
        <v>8249</v>
      </c>
    </row>
    <row r="53" spans="1:28" s="536" customFormat="1" x14ac:dyDescent="0.2">
      <c r="A53" s="569"/>
      <c r="B53" s="671"/>
      <c r="C53" s="665" t="s">
        <v>630</v>
      </c>
      <c r="D53" s="666"/>
      <c r="E53" s="666"/>
      <c r="F53" s="563"/>
      <c r="G53" s="563"/>
      <c r="H53" s="563"/>
      <c r="I53" s="563"/>
      <c r="J53" s="566"/>
      <c r="K53" s="563"/>
      <c r="L53" s="566"/>
      <c r="M53" s="565"/>
      <c r="N53" s="564"/>
    </row>
    <row r="54" spans="1:28" s="536" customFormat="1" ht="22.5" x14ac:dyDescent="0.2">
      <c r="A54" s="609"/>
      <c r="B54" s="552" t="s">
        <v>631</v>
      </c>
      <c r="C54" s="1822" t="s">
        <v>632</v>
      </c>
      <c r="D54" s="1822"/>
      <c r="E54" s="1822"/>
      <c r="F54" s="1822"/>
      <c r="G54" s="1822"/>
      <c r="H54" s="1822"/>
      <c r="I54" s="1822"/>
      <c r="J54" s="1822"/>
      <c r="K54" s="1822"/>
      <c r="L54" s="1822"/>
      <c r="M54" s="1822"/>
      <c r="N54" s="1827"/>
      <c r="X54" s="537" t="s">
        <v>632</v>
      </c>
    </row>
    <row r="55" spans="1:28" s="536" customFormat="1" ht="22.5" x14ac:dyDescent="0.2">
      <c r="A55" s="575" t="s">
        <v>190</v>
      </c>
      <c r="B55" s="670" t="s">
        <v>8250</v>
      </c>
      <c r="C55" s="1823" t="s">
        <v>8251</v>
      </c>
      <c r="D55" s="1823"/>
      <c r="E55" s="1823"/>
      <c r="F55" s="573" t="s">
        <v>617</v>
      </c>
      <c r="G55" s="573"/>
      <c r="H55" s="573"/>
      <c r="I55" s="573" t="s">
        <v>185</v>
      </c>
      <c r="J55" s="572"/>
      <c r="K55" s="573"/>
      <c r="L55" s="572"/>
      <c r="M55" s="571"/>
      <c r="N55" s="570"/>
      <c r="W55" s="537" t="s">
        <v>8251</v>
      </c>
    </row>
    <row r="56" spans="1:28" s="536" customFormat="1" ht="33.75" x14ac:dyDescent="0.2">
      <c r="A56" s="609"/>
      <c r="B56" s="552" t="s">
        <v>310</v>
      </c>
      <c r="C56" s="1822" t="s">
        <v>311</v>
      </c>
      <c r="D56" s="1822"/>
      <c r="E56" s="1822"/>
      <c r="F56" s="1822"/>
      <c r="G56" s="1822"/>
      <c r="H56" s="1822"/>
      <c r="I56" s="1822"/>
      <c r="J56" s="1822"/>
      <c r="K56" s="1822"/>
      <c r="L56" s="1822"/>
      <c r="M56" s="1822"/>
      <c r="N56" s="1827"/>
      <c r="X56" s="537" t="s">
        <v>311</v>
      </c>
    </row>
    <row r="57" spans="1:28" s="536" customFormat="1" x14ac:dyDescent="0.2">
      <c r="A57" s="605"/>
      <c r="B57" s="552" t="s">
        <v>185</v>
      </c>
      <c r="C57" s="1822" t="s">
        <v>312</v>
      </c>
      <c r="D57" s="1822"/>
      <c r="E57" s="1822"/>
      <c r="F57" s="562"/>
      <c r="G57" s="562"/>
      <c r="H57" s="562"/>
      <c r="I57" s="562"/>
      <c r="J57" s="604">
        <v>103.14</v>
      </c>
      <c r="K57" s="562" t="s">
        <v>313</v>
      </c>
      <c r="L57" s="604">
        <v>128.93</v>
      </c>
      <c r="M57" s="603"/>
      <c r="N57" s="602"/>
      <c r="Y57" s="537" t="s">
        <v>312</v>
      </c>
    </row>
    <row r="58" spans="1:28" s="536" customFormat="1" x14ac:dyDescent="0.2">
      <c r="A58" s="605"/>
      <c r="B58" s="552" t="s">
        <v>186</v>
      </c>
      <c r="C58" s="1822" t="s">
        <v>344</v>
      </c>
      <c r="D58" s="1822"/>
      <c r="E58" s="1822"/>
      <c r="F58" s="562"/>
      <c r="G58" s="562"/>
      <c r="H58" s="562"/>
      <c r="I58" s="562"/>
      <c r="J58" s="604">
        <v>36</v>
      </c>
      <c r="K58" s="562" t="s">
        <v>313</v>
      </c>
      <c r="L58" s="604">
        <v>45</v>
      </c>
      <c r="M58" s="603"/>
      <c r="N58" s="602"/>
      <c r="Y58" s="537" t="s">
        <v>344</v>
      </c>
    </row>
    <row r="59" spans="1:28" s="536" customFormat="1" x14ac:dyDescent="0.2">
      <c r="A59" s="605"/>
      <c r="B59" s="552" t="s">
        <v>187</v>
      </c>
      <c r="C59" s="1822" t="s">
        <v>345</v>
      </c>
      <c r="D59" s="1822"/>
      <c r="E59" s="1822"/>
      <c r="F59" s="562"/>
      <c r="G59" s="562"/>
      <c r="H59" s="562"/>
      <c r="I59" s="562"/>
      <c r="J59" s="604">
        <v>4.0199999999999996</v>
      </c>
      <c r="K59" s="562" t="s">
        <v>313</v>
      </c>
      <c r="L59" s="604">
        <v>5.03</v>
      </c>
      <c r="M59" s="603"/>
      <c r="N59" s="602"/>
      <c r="Y59" s="537" t="s">
        <v>345</v>
      </c>
    </row>
    <row r="60" spans="1:28" s="536" customFormat="1" x14ac:dyDescent="0.2">
      <c r="A60" s="605"/>
      <c r="B60" s="552" t="s">
        <v>188</v>
      </c>
      <c r="C60" s="1822" t="s">
        <v>475</v>
      </c>
      <c r="D60" s="1822"/>
      <c r="E60" s="1822"/>
      <c r="F60" s="562"/>
      <c r="G60" s="562"/>
      <c r="H60" s="562"/>
      <c r="I60" s="562"/>
      <c r="J60" s="604">
        <v>48.16</v>
      </c>
      <c r="K60" s="562"/>
      <c r="L60" s="604">
        <v>48.16</v>
      </c>
      <c r="M60" s="603"/>
      <c r="N60" s="602"/>
      <c r="Y60" s="537" t="s">
        <v>475</v>
      </c>
    </row>
    <row r="61" spans="1:28" s="536" customFormat="1" x14ac:dyDescent="0.2">
      <c r="A61" s="676"/>
      <c r="B61" s="677" t="s">
        <v>3084</v>
      </c>
      <c r="C61" s="1829" t="s">
        <v>3085</v>
      </c>
      <c r="D61" s="1829"/>
      <c r="E61" s="1829"/>
      <c r="F61" s="678" t="s">
        <v>694</v>
      </c>
      <c r="G61" s="678" t="s">
        <v>8252</v>
      </c>
      <c r="H61" s="678"/>
      <c r="I61" s="678" t="s">
        <v>8252</v>
      </c>
      <c r="J61" s="552"/>
      <c r="K61" s="562"/>
      <c r="L61" s="604"/>
      <c r="M61" s="562"/>
      <c r="N61" s="679"/>
      <c r="Z61" s="537" t="s">
        <v>3085</v>
      </c>
    </row>
    <row r="62" spans="1:28" s="536" customFormat="1" x14ac:dyDescent="0.2">
      <c r="A62" s="605"/>
      <c r="B62" s="552"/>
      <c r="C62" s="1822" t="s">
        <v>314</v>
      </c>
      <c r="D62" s="1822"/>
      <c r="E62" s="1822"/>
      <c r="F62" s="562" t="s">
        <v>315</v>
      </c>
      <c r="G62" s="562" t="s">
        <v>8253</v>
      </c>
      <c r="H62" s="562" t="s">
        <v>313</v>
      </c>
      <c r="I62" s="562" t="s">
        <v>8254</v>
      </c>
      <c r="J62" s="604"/>
      <c r="K62" s="562"/>
      <c r="L62" s="604"/>
      <c r="M62" s="603"/>
      <c r="N62" s="602"/>
      <c r="AA62" s="537" t="s">
        <v>314</v>
      </c>
    </row>
    <row r="63" spans="1:28" s="536" customFormat="1" x14ac:dyDescent="0.2">
      <c r="A63" s="605"/>
      <c r="B63" s="552"/>
      <c r="C63" s="1822" t="s">
        <v>348</v>
      </c>
      <c r="D63" s="1822"/>
      <c r="E63" s="1822"/>
      <c r="F63" s="562" t="s">
        <v>315</v>
      </c>
      <c r="G63" s="562" t="s">
        <v>947</v>
      </c>
      <c r="H63" s="562" t="s">
        <v>313</v>
      </c>
      <c r="I63" s="562" t="s">
        <v>1692</v>
      </c>
      <c r="J63" s="604"/>
      <c r="K63" s="562"/>
      <c r="L63" s="604"/>
      <c r="M63" s="603"/>
      <c r="N63" s="602"/>
      <c r="AA63" s="537" t="s">
        <v>348</v>
      </c>
    </row>
    <row r="64" spans="1:28" s="536" customFormat="1" x14ac:dyDescent="0.2">
      <c r="A64" s="605"/>
      <c r="B64" s="552"/>
      <c r="C64" s="1828" t="s">
        <v>318</v>
      </c>
      <c r="D64" s="1828"/>
      <c r="E64" s="1828"/>
      <c r="F64" s="608"/>
      <c r="G64" s="608"/>
      <c r="H64" s="608"/>
      <c r="I64" s="608"/>
      <c r="J64" s="607">
        <v>187.3</v>
      </c>
      <c r="K64" s="608"/>
      <c r="L64" s="607">
        <v>222.09</v>
      </c>
      <c r="M64" s="601"/>
      <c r="N64" s="606"/>
      <c r="AB64" s="537" t="s">
        <v>318</v>
      </c>
    </row>
    <row r="65" spans="1:29" s="536" customFormat="1" x14ac:dyDescent="0.2">
      <c r="A65" s="605"/>
      <c r="B65" s="552"/>
      <c r="C65" s="1822" t="s">
        <v>319</v>
      </c>
      <c r="D65" s="1822"/>
      <c r="E65" s="1822"/>
      <c r="F65" s="562"/>
      <c r="G65" s="562"/>
      <c r="H65" s="562"/>
      <c r="I65" s="562"/>
      <c r="J65" s="604"/>
      <c r="K65" s="562"/>
      <c r="L65" s="604">
        <v>133.96</v>
      </c>
      <c r="M65" s="603"/>
      <c r="N65" s="602"/>
      <c r="AA65" s="537" t="s">
        <v>319</v>
      </c>
    </row>
    <row r="66" spans="1:29" s="536" customFormat="1" ht="33.75" x14ac:dyDescent="0.2">
      <c r="A66" s="605"/>
      <c r="B66" s="552" t="s">
        <v>884</v>
      </c>
      <c r="C66" s="1822" t="s">
        <v>885</v>
      </c>
      <c r="D66" s="1822"/>
      <c r="E66" s="1822"/>
      <c r="F66" s="562" t="s">
        <v>322</v>
      </c>
      <c r="G66" s="562" t="s">
        <v>886</v>
      </c>
      <c r="H66" s="562"/>
      <c r="I66" s="562" t="s">
        <v>886</v>
      </c>
      <c r="J66" s="604"/>
      <c r="K66" s="562"/>
      <c r="L66" s="604">
        <v>120.56</v>
      </c>
      <c r="M66" s="603"/>
      <c r="N66" s="602"/>
      <c r="AA66" s="537" t="s">
        <v>885</v>
      </c>
    </row>
    <row r="67" spans="1:29" s="536" customFormat="1" ht="33.75" x14ac:dyDescent="0.2">
      <c r="A67" s="605"/>
      <c r="B67" s="552" t="s">
        <v>887</v>
      </c>
      <c r="C67" s="1822" t="s">
        <v>888</v>
      </c>
      <c r="D67" s="1822"/>
      <c r="E67" s="1822"/>
      <c r="F67" s="562" t="s">
        <v>322</v>
      </c>
      <c r="G67" s="562" t="s">
        <v>465</v>
      </c>
      <c r="H67" s="562"/>
      <c r="I67" s="562" t="s">
        <v>465</v>
      </c>
      <c r="J67" s="604"/>
      <c r="K67" s="562"/>
      <c r="L67" s="604">
        <v>61.62</v>
      </c>
      <c r="M67" s="603"/>
      <c r="N67" s="602"/>
      <c r="AA67" s="537" t="s">
        <v>888</v>
      </c>
    </row>
    <row r="68" spans="1:29" s="536" customFormat="1" x14ac:dyDescent="0.2">
      <c r="A68" s="569"/>
      <c r="B68" s="671"/>
      <c r="C68" s="1823" t="s">
        <v>327</v>
      </c>
      <c r="D68" s="1823"/>
      <c r="E68" s="1823"/>
      <c r="F68" s="573"/>
      <c r="G68" s="573"/>
      <c r="H68" s="573"/>
      <c r="I68" s="573"/>
      <c r="J68" s="572"/>
      <c r="K68" s="573"/>
      <c r="L68" s="572">
        <v>404.27</v>
      </c>
      <c r="M68" s="601"/>
      <c r="N68" s="570"/>
      <c r="AC68" s="537" t="s">
        <v>327</v>
      </c>
    </row>
    <row r="69" spans="1:29" s="536" customFormat="1" ht="33.75" x14ac:dyDescent="0.2">
      <c r="A69" s="575" t="s">
        <v>875</v>
      </c>
      <c r="B69" s="670" t="s">
        <v>8255</v>
      </c>
      <c r="C69" s="1823" t="s">
        <v>8256</v>
      </c>
      <c r="D69" s="1823"/>
      <c r="E69" s="1823"/>
      <c r="F69" s="573" t="s">
        <v>628</v>
      </c>
      <c r="G69" s="573"/>
      <c r="H69" s="573"/>
      <c r="I69" s="573" t="s">
        <v>185</v>
      </c>
      <c r="J69" s="572">
        <v>53449.85</v>
      </c>
      <c r="K69" s="573" t="s">
        <v>629</v>
      </c>
      <c r="L69" s="572">
        <v>11784.53</v>
      </c>
      <c r="M69" s="571">
        <v>4.59</v>
      </c>
      <c r="N69" s="570">
        <v>54091</v>
      </c>
      <c r="W69" s="537" t="s">
        <v>8256</v>
      </c>
    </row>
    <row r="70" spans="1:29" s="536" customFormat="1" x14ac:dyDescent="0.2">
      <c r="A70" s="569"/>
      <c r="B70" s="671"/>
      <c r="C70" s="665" t="s">
        <v>630</v>
      </c>
      <c r="D70" s="666"/>
      <c r="E70" s="666"/>
      <c r="F70" s="563"/>
      <c r="G70" s="563"/>
      <c r="H70" s="563"/>
      <c r="I70" s="563"/>
      <c r="J70" s="566"/>
      <c r="K70" s="563"/>
      <c r="L70" s="566"/>
      <c r="M70" s="565"/>
      <c r="N70" s="564"/>
    </row>
    <row r="71" spans="1:29" s="536" customFormat="1" ht="22.5" x14ac:dyDescent="0.2">
      <c r="A71" s="609"/>
      <c r="B71" s="552" t="s">
        <v>631</v>
      </c>
      <c r="C71" s="1822" t="s">
        <v>632</v>
      </c>
      <c r="D71" s="1822"/>
      <c r="E71" s="1822"/>
      <c r="F71" s="1822"/>
      <c r="G71" s="1822"/>
      <c r="H71" s="1822"/>
      <c r="I71" s="1822"/>
      <c r="J71" s="1822"/>
      <c r="K71" s="1822"/>
      <c r="L71" s="1822"/>
      <c r="M71" s="1822"/>
      <c r="N71" s="1827"/>
      <c r="X71" s="537" t="s">
        <v>632</v>
      </c>
    </row>
    <row r="72" spans="1:29" s="536" customFormat="1" ht="33.75" x14ac:dyDescent="0.2">
      <c r="A72" s="575" t="s">
        <v>192</v>
      </c>
      <c r="B72" s="670" t="s">
        <v>1626</v>
      </c>
      <c r="C72" s="1823" t="s">
        <v>1627</v>
      </c>
      <c r="D72" s="1823"/>
      <c r="E72" s="1823"/>
      <c r="F72" s="573" t="s">
        <v>617</v>
      </c>
      <c r="G72" s="573"/>
      <c r="H72" s="573"/>
      <c r="I72" s="573" t="s">
        <v>185</v>
      </c>
      <c r="J72" s="572"/>
      <c r="K72" s="573"/>
      <c r="L72" s="572"/>
      <c r="M72" s="571"/>
      <c r="N72" s="570"/>
      <c r="W72" s="537" t="s">
        <v>1627</v>
      </c>
    </row>
    <row r="73" spans="1:29" s="536" customFormat="1" ht="33.75" x14ac:dyDescent="0.2">
      <c r="A73" s="609"/>
      <c r="B73" s="552" t="s">
        <v>310</v>
      </c>
      <c r="C73" s="1822" t="s">
        <v>311</v>
      </c>
      <c r="D73" s="1822"/>
      <c r="E73" s="1822"/>
      <c r="F73" s="1822"/>
      <c r="G73" s="1822"/>
      <c r="H73" s="1822"/>
      <c r="I73" s="1822"/>
      <c r="J73" s="1822"/>
      <c r="K73" s="1822"/>
      <c r="L73" s="1822"/>
      <c r="M73" s="1822"/>
      <c r="N73" s="1827"/>
      <c r="X73" s="537" t="s">
        <v>311</v>
      </c>
    </row>
    <row r="74" spans="1:29" s="536" customFormat="1" x14ac:dyDescent="0.2">
      <c r="A74" s="605"/>
      <c r="B74" s="552" t="s">
        <v>185</v>
      </c>
      <c r="C74" s="1822" t="s">
        <v>312</v>
      </c>
      <c r="D74" s="1822"/>
      <c r="E74" s="1822"/>
      <c r="F74" s="562"/>
      <c r="G74" s="562"/>
      <c r="H74" s="562"/>
      <c r="I74" s="562"/>
      <c r="J74" s="604">
        <v>20.440000000000001</v>
      </c>
      <c r="K74" s="562" t="s">
        <v>313</v>
      </c>
      <c r="L74" s="604">
        <v>25.55</v>
      </c>
      <c r="M74" s="603"/>
      <c r="N74" s="602"/>
      <c r="Y74" s="537" t="s">
        <v>312</v>
      </c>
    </row>
    <row r="75" spans="1:29" s="536" customFormat="1" x14ac:dyDescent="0.2">
      <c r="A75" s="605"/>
      <c r="B75" s="552" t="s">
        <v>186</v>
      </c>
      <c r="C75" s="1822" t="s">
        <v>344</v>
      </c>
      <c r="D75" s="1822"/>
      <c r="E75" s="1822"/>
      <c r="F75" s="562"/>
      <c r="G75" s="562"/>
      <c r="H75" s="562"/>
      <c r="I75" s="562"/>
      <c r="J75" s="604">
        <v>33.47</v>
      </c>
      <c r="K75" s="562" t="s">
        <v>313</v>
      </c>
      <c r="L75" s="604">
        <v>41.84</v>
      </c>
      <c r="M75" s="603"/>
      <c r="N75" s="602"/>
      <c r="Y75" s="537" t="s">
        <v>344</v>
      </c>
    </row>
    <row r="76" spans="1:29" s="536" customFormat="1" x14ac:dyDescent="0.2">
      <c r="A76" s="605"/>
      <c r="B76" s="552" t="s">
        <v>187</v>
      </c>
      <c r="C76" s="1822" t="s">
        <v>345</v>
      </c>
      <c r="D76" s="1822"/>
      <c r="E76" s="1822"/>
      <c r="F76" s="562"/>
      <c r="G76" s="562"/>
      <c r="H76" s="562"/>
      <c r="I76" s="562"/>
      <c r="J76" s="604">
        <v>3.42</v>
      </c>
      <c r="K76" s="562" t="s">
        <v>313</v>
      </c>
      <c r="L76" s="604">
        <v>4.28</v>
      </c>
      <c r="M76" s="603"/>
      <c r="N76" s="602"/>
      <c r="Y76" s="537" t="s">
        <v>345</v>
      </c>
    </row>
    <row r="77" spans="1:29" s="536" customFormat="1" x14ac:dyDescent="0.2">
      <c r="A77" s="605"/>
      <c r="B77" s="552" t="s">
        <v>188</v>
      </c>
      <c r="C77" s="1822" t="s">
        <v>475</v>
      </c>
      <c r="D77" s="1822"/>
      <c r="E77" s="1822"/>
      <c r="F77" s="562"/>
      <c r="G77" s="562"/>
      <c r="H77" s="562"/>
      <c r="I77" s="562"/>
      <c r="J77" s="604">
        <v>2.94</v>
      </c>
      <c r="K77" s="562"/>
      <c r="L77" s="604">
        <v>2.94</v>
      </c>
      <c r="M77" s="603"/>
      <c r="N77" s="602"/>
      <c r="Y77" s="537" t="s">
        <v>475</v>
      </c>
    </row>
    <row r="78" spans="1:29" s="536" customFormat="1" x14ac:dyDescent="0.2">
      <c r="A78" s="605"/>
      <c r="B78" s="552"/>
      <c r="C78" s="1822" t="s">
        <v>314</v>
      </c>
      <c r="D78" s="1822"/>
      <c r="E78" s="1822"/>
      <c r="F78" s="562" t="s">
        <v>315</v>
      </c>
      <c r="G78" s="562" t="s">
        <v>807</v>
      </c>
      <c r="H78" s="562" t="s">
        <v>313</v>
      </c>
      <c r="I78" s="562" t="s">
        <v>808</v>
      </c>
      <c r="J78" s="604"/>
      <c r="K78" s="562"/>
      <c r="L78" s="604"/>
      <c r="M78" s="603"/>
      <c r="N78" s="602"/>
      <c r="AA78" s="537" t="s">
        <v>314</v>
      </c>
    </row>
    <row r="79" spans="1:29" s="536" customFormat="1" x14ac:dyDescent="0.2">
      <c r="A79" s="605"/>
      <c r="B79" s="552"/>
      <c r="C79" s="1822" t="s">
        <v>348</v>
      </c>
      <c r="D79" s="1822"/>
      <c r="E79" s="1822"/>
      <c r="F79" s="562" t="s">
        <v>315</v>
      </c>
      <c r="G79" s="562" t="s">
        <v>1629</v>
      </c>
      <c r="H79" s="562" t="s">
        <v>313</v>
      </c>
      <c r="I79" s="562" t="s">
        <v>3130</v>
      </c>
      <c r="J79" s="604"/>
      <c r="K79" s="562"/>
      <c r="L79" s="604"/>
      <c r="M79" s="603"/>
      <c r="N79" s="602"/>
      <c r="AA79" s="537" t="s">
        <v>348</v>
      </c>
    </row>
    <row r="80" spans="1:29" s="536" customFormat="1" x14ac:dyDescent="0.2">
      <c r="A80" s="605"/>
      <c r="B80" s="552"/>
      <c r="C80" s="1828" t="s">
        <v>318</v>
      </c>
      <c r="D80" s="1828"/>
      <c r="E80" s="1828"/>
      <c r="F80" s="608"/>
      <c r="G80" s="608"/>
      <c r="H80" s="608"/>
      <c r="I80" s="608"/>
      <c r="J80" s="607">
        <v>56.85</v>
      </c>
      <c r="K80" s="608"/>
      <c r="L80" s="607">
        <v>70.33</v>
      </c>
      <c r="M80" s="601"/>
      <c r="N80" s="606"/>
      <c r="AB80" s="537" t="s">
        <v>318</v>
      </c>
    </row>
    <row r="81" spans="1:29" s="536" customFormat="1" x14ac:dyDescent="0.2">
      <c r="A81" s="605"/>
      <c r="B81" s="552"/>
      <c r="C81" s="1822" t="s">
        <v>319</v>
      </c>
      <c r="D81" s="1822"/>
      <c r="E81" s="1822"/>
      <c r="F81" s="562"/>
      <c r="G81" s="562"/>
      <c r="H81" s="562"/>
      <c r="I81" s="562"/>
      <c r="J81" s="604"/>
      <c r="K81" s="562"/>
      <c r="L81" s="604">
        <v>29.83</v>
      </c>
      <c r="M81" s="603"/>
      <c r="N81" s="602"/>
      <c r="AA81" s="537" t="s">
        <v>319</v>
      </c>
    </row>
    <row r="82" spans="1:29" s="536" customFormat="1" ht="33.75" x14ac:dyDescent="0.2">
      <c r="A82" s="605"/>
      <c r="B82" s="552" t="s">
        <v>1631</v>
      </c>
      <c r="C82" s="1822" t="s">
        <v>1632</v>
      </c>
      <c r="D82" s="1822"/>
      <c r="E82" s="1822"/>
      <c r="F82" s="562" t="s">
        <v>322</v>
      </c>
      <c r="G82" s="562" t="s">
        <v>1633</v>
      </c>
      <c r="H82" s="562"/>
      <c r="I82" s="562" t="s">
        <v>1633</v>
      </c>
      <c r="J82" s="604"/>
      <c r="K82" s="562"/>
      <c r="L82" s="604">
        <v>28.94</v>
      </c>
      <c r="M82" s="603"/>
      <c r="N82" s="602"/>
      <c r="AA82" s="537" t="s">
        <v>1632</v>
      </c>
    </row>
    <row r="83" spans="1:29" s="536" customFormat="1" ht="33.75" x14ac:dyDescent="0.2">
      <c r="A83" s="605"/>
      <c r="B83" s="552" t="s">
        <v>1634</v>
      </c>
      <c r="C83" s="1822" t="s">
        <v>1635</v>
      </c>
      <c r="D83" s="1822"/>
      <c r="E83" s="1822"/>
      <c r="F83" s="562" t="s">
        <v>322</v>
      </c>
      <c r="G83" s="562" t="s">
        <v>786</v>
      </c>
      <c r="H83" s="562"/>
      <c r="I83" s="562" t="s">
        <v>786</v>
      </c>
      <c r="J83" s="604"/>
      <c r="K83" s="562"/>
      <c r="L83" s="604">
        <v>15.21</v>
      </c>
      <c r="M83" s="603"/>
      <c r="N83" s="602"/>
      <c r="AA83" s="537" t="s">
        <v>1635</v>
      </c>
    </row>
    <row r="84" spans="1:29" s="536" customFormat="1" x14ac:dyDescent="0.2">
      <c r="A84" s="569"/>
      <c r="B84" s="671"/>
      <c r="C84" s="1823" t="s">
        <v>327</v>
      </c>
      <c r="D84" s="1823"/>
      <c r="E84" s="1823"/>
      <c r="F84" s="573"/>
      <c r="G84" s="573"/>
      <c r="H84" s="573"/>
      <c r="I84" s="573"/>
      <c r="J84" s="572"/>
      <c r="K84" s="573"/>
      <c r="L84" s="572">
        <v>114.48</v>
      </c>
      <c r="M84" s="601"/>
      <c r="N84" s="570"/>
      <c r="AC84" s="537" t="s">
        <v>327</v>
      </c>
    </row>
    <row r="85" spans="1:29" s="536" customFormat="1" ht="33.75" x14ac:dyDescent="0.2">
      <c r="A85" s="575" t="s">
        <v>876</v>
      </c>
      <c r="B85" s="670" t="s">
        <v>8257</v>
      </c>
      <c r="C85" s="1823" t="s">
        <v>8258</v>
      </c>
      <c r="D85" s="1823"/>
      <c r="E85" s="1823"/>
      <c r="F85" s="573" t="s">
        <v>628</v>
      </c>
      <c r="G85" s="573"/>
      <c r="H85" s="573"/>
      <c r="I85" s="573" t="s">
        <v>185</v>
      </c>
      <c r="J85" s="572">
        <v>15023.68</v>
      </c>
      <c r="K85" s="573" t="s">
        <v>629</v>
      </c>
      <c r="L85" s="572">
        <v>3312.42</v>
      </c>
      <c r="M85" s="571">
        <v>4.59</v>
      </c>
      <c r="N85" s="570">
        <v>15204</v>
      </c>
      <c r="W85" s="537" t="s">
        <v>8258</v>
      </c>
    </row>
    <row r="86" spans="1:29" s="536" customFormat="1" x14ac:dyDescent="0.2">
      <c r="A86" s="569"/>
      <c r="B86" s="671"/>
      <c r="C86" s="665" t="s">
        <v>630</v>
      </c>
      <c r="D86" s="666"/>
      <c r="E86" s="666"/>
      <c r="F86" s="563"/>
      <c r="G86" s="563"/>
      <c r="H86" s="563"/>
      <c r="I86" s="563"/>
      <c r="J86" s="566"/>
      <c r="K86" s="563"/>
      <c r="L86" s="566"/>
      <c r="M86" s="565"/>
      <c r="N86" s="564"/>
    </row>
    <row r="87" spans="1:29" s="536" customFormat="1" ht="22.5" x14ac:dyDescent="0.2">
      <c r="A87" s="609"/>
      <c r="B87" s="552" t="s">
        <v>631</v>
      </c>
      <c r="C87" s="1822" t="s">
        <v>632</v>
      </c>
      <c r="D87" s="1822"/>
      <c r="E87" s="1822"/>
      <c r="F87" s="1822"/>
      <c r="G87" s="1822"/>
      <c r="H87" s="1822"/>
      <c r="I87" s="1822"/>
      <c r="J87" s="1822"/>
      <c r="K87" s="1822"/>
      <c r="L87" s="1822"/>
      <c r="M87" s="1822"/>
      <c r="N87" s="1827"/>
      <c r="X87" s="537" t="s">
        <v>632</v>
      </c>
    </row>
    <row r="88" spans="1:29" s="536" customFormat="1" ht="33.75" x14ac:dyDescent="0.2">
      <c r="A88" s="575" t="s">
        <v>194</v>
      </c>
      <c r="B88" s="670" t="s">
        <v>8259</v>
      </c>
      <c r="C88" s="1823" t="s">
        <v>8260</v>
      </c>
      <c r="D88" s="1823"/>
      <c r="E88" s="1823"/>
      <c r="F88" s="573" t="s">
        <v>617</v>
      </c>
      <c r="G88" s="573"/>
      <c r="H88" s="573"/>
      <c r="I88" s="573" t="s">
        <v>185</v>
      </c>
      <c r="J88" s="572"/>
      <c r="K88" s="573"/>
      <c r="L88" s="572"/>
      <c r="M88" s="571"/>
      <c r="N88" s="570"/>
      <c r="W88" s="537" t="s">
        <v>8260</v>
      </c>
    </row>
    <row r="89" spans="1:29" s="536" customFormat="1" ht="33.75" x14ac:dyDescent="0.2">
      <c r="A89" s="609"/>
      <c r="B89" s="552" t="s">
        <v>310</v>
      </c>
      <c r="C89" s="1822" t="s">
        <v>311</v>
      </c>
      <c r="D89" s="1822"/>
      <c r="E89" s="1822"/>
      <c r="F89" s="1822"/>
      <c r="G89" s="1822"/>
      <c r="H89" s="1822"/>
      <c r="I89" s="1822"/>
      <c r="J89" s="1822"/>
      <c r="K89" s="1822"/>
      <c r="L89" s="1822"/>
      <c r="M89" s="1822"/>
      <c r="N89" s="1827"/>
      <c r="X89" s="537" t="s">
        <v>311</v>
      </c>
    </row>
    <row r="90" spans="1:29" s="536" customFormat="1" x14ac:dyDescent="0.2">
      <c r="A90" s="605"/>
      <c r="B90" s="552" t="s">
        <v>185</v>
      </c>
      <c r="C90" s="1822" t="s">
        <v>312</v>
      </c>
      <c r="D90" s="1822"/>
      <c r="E90" s="1822"/>
      <c r="F90" s="562"/>
      <c r="G90" s="562"/>
      <c r="H90" s="562"/>
      <c r="I90" s="562"/>
      <c r="J90" s="604">
        <v>48.29</v>
      </c>
      <c r="K90" s="562" t="s">
        <v>313</v>
      </c>
      <c r="L90" s="604">
        <v>60.36</v>
      </c>
      <c r="M90" s="603"/>
      <c r="N90" s="602"/>
      <c r="Y90" s="537" t="s">
        <v>312</v>
      </c>
    </row>
    <row r="91" spans="1:29" s="536" customFormat="1" x14ac:dyDescent="0.2">
      <c r="A91" s="605"/>
      <c r="B91" s="552" t="s">
        <v>188</v>
      </c>
      <c r="C91" s="1822" t="s">
        <v>475</v>
      </c>
      <c r="D91" s="1822"/>
      <c r="E91" s="1822"/>
      <c r="F91" s="562"/>
      <c r="G91" s="562"/>
      <c r="H91" s="562"/>
      <c r="I91" s="562"/>
      <c r="J91" s="604">
        <v>6.34</v>
      </c>
      <c r="K91" s="562"/>
      <c r="L91" s="604">
        <v>6.34</v>
      </c>
      <c r="M91" s="603"/>
      <c r="N91" s="602"/>
      <c r="Y91" s="537" t="s">
        <v>475</v>
      </c>
    </row>
    <row r="92" spans="1:29" s="536" customFormat="1" x14ac:dyDescent="0.2">
      <c r="A92" s="605"/>
      <c r="B92" s="552"/>
      <c r="C92" s="1822" t="s">
        <v>314</v>
      </c>
      <c r="D92" s="1822"/>
      <c r="E92" s="1822"/>
      <c r="F92" s="562" t="s">
        <v>315</v>
      </c>
      <c r="G92" s="562" t="s">
        <v>3131</v>
      </c>
      <c r="H92" s="562" t="s">
        <v>313</v>
      </c>
      <c r="I92" s="562" t="s">
        <v>190</v>
      </c>
      <c r="J92" s="604"/>
      <c r="K92" s="562"/>
      <c r="L92" s="604"/>
      <c r="M92" s="603"/>
      <c r="N92" s="602"/>
      <c r="AA92" s="537" t="s">
        <v>314</v>
      </c>
    </row>
    <row r="93" spans="1:29" s="536" customFormat="1" x14ac:dyDescent="0.2">
      <c r="A93" s="605"/>
      <c r="B93" s="552"/>
      <c r="C93" s="1828" t="s">
        <v>318</v>
      </c>
      <c r="D93" s="1828"/>
      <c r="E93" s="1828"/>
      <c r="F93" s="608"/>
      <c r="G93" s="608"/>
      <c r="H93" s="608"/>
      <c r="I93" s="608"/>
      <c r="J93" s="607">
        <v>54.63</v>
      </c>
      <c r="K93" s="608"/>
      <c r="L93" s="607">
        <v>66.7</v>
      </c>
      <c r="M93" s="601"/>
      <c r="N93" s="606"/>
      <c r="AB93" s="537" t="s">
        <v>318</v>
      </c>
    </row>
    <row r="94" spans="1:29" s="536" customFormat="1" x14ac:dyDescent="0.2">
      <c r="A94" s="605"/>
      <c r="B94" s="552"/>
      <c r="C94" s="1822" t="s">
        <v>319</v>
      </c>
      <c r="D94" s="1822"/>
      <c r="E94" s="1822"/>
      <c r="F94" s="562"/>
      <c r="G94" s="562"/>
      <c r="H94" s="562"/>
      <c r="I94" s="562"/>
      <c r="J94" s="604"/>
      <c r="K94" s="562"/>
      <c r="L94" s="604">
        <v>60.36</v>
      </c>
      <c r="M94" s="603"/>
      <c r="N94" s="602"/>
      <c r="AA94" s="537" t="s">
        <v>319</v>
      </c>
    </row>
    <row r="95" spans="1:29" s="536" customFormat="1" ht="33.75" x14ac:dyDescent="0.2">
      <c r="A95" s="605"/>
      <c r="B95" s="552" t="s">
        <v>884</v>
      </c>
      <c r="C95" s="1822" t="s">
        <v>885</v>
      </c>
      <c r="D95" s="1822"/>
      <c r="E95" s="1822"/>
      <c r="F95" s="562" t="s">
        <v>322</v>
      </c>
      <c r="G95" s="562" t="s">
        <v>886</v>
      </c>
      <c r="H95" s="562"/>
      <c r="I95" s="562" t="s">
        <v>886</v>
      </c>
      <c r="J95" s="604"/>
      <c r="K95" s="562"/>
      <c r="L95" s="604">
        <v>54.32</v>
      </c>
      <c r="M95" s="603"/>
      <c r="N95" s="602"/>
      <c r="AA95" s="537" t="s">
        <v>885</v>
      </c>
    </row>
    <row r="96" spans="1:29" s="536" customFormat="1" ht="33.75" x14ac:dyDescent="0.2">
      <c r="A96" s="605"/>
      <c r="B96" s="552" t="s">
        <v>887</v>
      </c>
      <c r="C96" s="1822" t="s">
        <v>888</v>
      </c>
      <c r="D96" s="1822"/>
      <c r="E96" s="1822"/>
      <c r="F96" s="562" t="s">
        <v>322</v>
      </c>
      <c r="G96" s="562" t="s">
        <v>465</v>
      </c>
      <c r="H96" s="562"/>
      <c r="I96" s="562" t="s">
        <v>465</v>
      </c>
      <c r="J96" s="604"/>
      <c r="K96" s="562"/>
      <c r="L96" s="604">
        <v>27.77</v>
      </c>
      <c r="M96" s="603"/>
      <c r="N96" s="602"/>
      <c r="AA96" s="537" t="s">
        <v>888</v>
      </c>
    </row>
    <row r="97" spans="1:29" s="536" customFormat="1" x14ac:dyDescent="0.2">
      <c r="A97" s="569"/>
      <c r="B97" s="671"/>
      <c r="C97" s="1823" t="s">
        <v>327</v>
      </c>
      <c r="D97" s="1823"/>
      <c r="E97" s="1823"/>
      <c r="F97" s="573"/>
      <c r="G97" s="573"/>
      <c r="H97" s="573"/>
      <c r="I97" s="573"/>
      <c r="J97" s="572"/>
      <c r="K97" s="573"/>
      <c r="L97" s="572">
        <v>148.79</v>
      </c>
      <c r="M97" s="601"/>
      <c r="N97" s="570"/>
      <c r="AC97" s="537" t="s">
        <v>327</v>
      </c>
    </row>
    <row r="98" spans="1:29" s="536" customFormat="1" ht="33.75" x14ac:dyDescent="0.2">
      <c r="A98" s="575" t="s">
        <v>881</v>
      </c>
      <c r="B98" s="670" t="s">
        <v>8261</v>
      </c>
      <c r="C98" s="1823" t="s">
        <v>8262</v>
      </c>
      <c r="D98" s="1823"/>
      <c r="E98" s="1823"/>
      <c r="F98" s="573" t="s">
        <v>617</v>
      </c>
      <c r="G98" s="573"/>
      <c r="H98" s="573"/>
      <c r="I98" s="573" t="s">
        <v>185</v>
      </c>
      <c r="J98" s="572">
        <v>627.51</v>
      </c>
      <c r="K98" s="573"/>
      <c r="L98" s="572">
        <v>627.51</v>
      </c>
      <c r="M98" s="571"/>
      <c r="N98" s="570"/>
      <c r="W98" s="537" t="s">
        <v>8262</v>
      </c>
    </row>
    <row r="99" spans="1:29" s="536" customFormat="1" x14ac:dyDescent="0.2">
      <c r="A99" s="569"/>
      <c r="B99" s="671"/>
      <c r="C99" s="665" t="s">
        <v>2222</v>
      </c>
      <c r="D99" s="666"/>
      <c r="E99" s="666"/>
      <c r="F99" s="563"/>
      <c r="G99" s="563"/>
      <c r="H99" s="563"/>
      <c r="I99" s="563"/>
      <c r="J99" s="566"/>
      <c r="K99" s="563"/>
      <c r="L99" s="566"/>
      <c r="M99" s="565"/>
      <c r="N99" s="564"/>
    </row>
    <row r="100" spans="1:29" s="536" customFormat="1" ht="22.5" x14ac:dyDescent="0.2">
      <c r="A100" s="575" t="s">
        <v>196</v>
      </c>
      <c r="B100" s="670" t="s">
        <v>8199</v>
      </c>
      <c r="C100" s="1823" t="s">
        <v>8200</v>
      </c>
      <c r="D100" s="1823"/>
      <c r="E100" s="1823"/>
      <c r="F100" s="573" t="s">
        <v>617</v>
      </c>
      <c r="G100" s="573"/>
      <c r="H100" s="573"/>
      <c r="I100" s="573" t="s">
        <v>185</v>
      </c>
      <c r="J100" s="572"/>
      <c r="K100" s="573"/>
      <c r="L100" s="572"/>
      <c r="M100" s="571"/>
      <c r="N100" s="570"/>
      <c r="W100" s="537" t="s">
        <v>8200</v>
      </c>
    </row>
    <row r="101" spans="1:29" s="536" customFormat="1" ht="33.75" x14ac:dyDescent="0.2">
      <c r="A101" s="609"/>
      <c r="B101" s="552" t="s">
        <v>310</v>
      </c>
      <c r="C101" s="1822" t="s">
        <v>311</v>
      </c>
      <c r="D101" s="1822"/>
      <c r="E101" s="1822"/>
      <c r="F101" s="1822"/>
      <c r="G101" s="1822"/>
      <c r="H101" s="1822"/>
      <c r="I101" s="1822"/>
      <c r="J101" s="1822"/>
      <c r="K101" s="1822"/>
      <c r="L101" s="1822"/>
      <c r="M101" s="1822"/>
      <c r="N101" s="1827"/>
      <c r="X101" s="537" t="s">
        <v>311</v>
      </c>
    </row>
    <row r="102" spans="1:29" s="536" customFormat="1" x14ac:dyDescent="0.2">
      <c r="A102" s="605"/>
      <c r="B102" s="552" t="s">
        <v>185</v>
      </c>
      <c r="C102" s="1822" t="s">
        <v>312</v>
      </c>
      <c r="D102" s="1822"/>
      <c r="E102" s="1822"/>
      <c r="F102" s="562"/>
      <c r="G102" s="562"/>
      <c r="H102" s="562"/>
      <c r="I102" s="562"/>
      <c r="J102" s="604">
        <v>12.25</v>
      </c>
      <c r="K102" s="562" t="s">
        <v>313</v>
      </c>
      <c r="L102" s="604">
        <v>15.31</v>
      </c>
      <c r="M102" s="603"/>
      <c r="N102" s="602"/>
      <c r="Y102" s="537" t="s">
        <v>312</v>
      </c>
    </row>
    <row r="103" spans="1:29" s="536" customFormat="1" x14ac:dyDescent="0.2">
      <c r="A103" s="605"/>
      <c r="B103" s="552" t="s">
        <v>188</v>
      </c>
      <c r="C103" s="1822" t="s">
        <v>475</v>
      </c>
      <c r="D103" s="1822"/>
      <c r="E103" s="1822"/>
      <c r="F103" s="562"/>
      <c r="G103" s="562"/>
      <c r="H103" s="562"/>
      <c r="I103" s="562"/>
      <c r="J103" s="604">
        <v>3.44</v>
      </c>
      <c r="K103" s="562"/>
      <c r="L103" s="604">
        <v>3.44</v>
      </c>
      <c r="M103" s="603"/>
      <c r="N103" s="602"/>
      <c r="Y103" s="537" t="s">
        <v>475</v>
      </c>
    </row>
    <row r="104" spans="1:29" s="536" customFormat="1" x14ac:dyDescent="0.2">
      <c r="A104" s="605"/>
      <c r="B104" s="552"/>
      <c r="C104" s="1822" t="s">
        <v>314</v>
      </c>
      <c r="D104" s="1822"/>
      <c r="E104" s="1822"/>
      <c r="F104" s="562" t="s">
        <v>315</v>
      </c>
      <c r="G104" s="562" t="s">
        <v>1908</v>
      </c>
      <c r="H104" s="562" t="s">
        <v>313</v>
      </c>
      <c r="I104" s="562" t="s">
        <v>1520</v>
      </c>
      <c r="J104" s="604"/>
      <c r="K104" s="562"/>
      <c r="L104" s="604"/>
      <c r="M104" s="603"/>
      <c r="N104" s="602"/>
      <c r="AA104" s="537" t="s">
        <v>314</v>
      </c>
    </row>
    <row r="105" spans="1:29" s="536" customFormat="1" x14ac:dyDescent="0.2">
      <c r="A105" s="605"/>
      <c r="B105" s="552"/>
      <c r="C105" s="1828" t="s">
        <v>318</v>
      </c>
      <c r="D105" s="1828"/>
      <c r="E105" s="1828"/>
      <c r="F105" s="608"/>
      <c r="G105" s="608"/>
      <c r="H105" s="608"/>
      <c r="I105" s="608"/>
      <c r="J105" s="607">
        <v>15.69</v>
      </c>
      <c r="K105" s="608"/>
      <c r="L105" s="607">
        <v>18.75</v>
      </c>
      <c r="M105" s="601"/>
      <c r="N105" s="606"/>
      <c r="AB105" s="537" t="s">
        <v>318</v>
      </c>
    </row>
    <row r="106" spans="1:29" s="536" customFormat="1" x14ac:dyDescent="0.2">
      <c r="A106" s="605"/>
      <c r="B106" s="552"/>
      <c r="C106" s="1822" t="s">
        <v>319</v>
      </c>
      <c r="D106" s="1822"/>
      <c r="E106" s="1822"/>
      <c r="F106" s="562"/>
      <c r="G106" s="562"/>
      <c r="H106" s="562"/>
      <c r="I106" s="562"/>
      <c r="J106" s="604"/>
      <c r="K106" s="562"/>
      <c r="L106" s="604">
        <v>15.31</v>
      </c>
      <c r="M106" s="603"/>
      <c r="N106" s="602"/>
      <c r="AA106" s="537" t="s">
        <v>319</v>
      </c>
    </row>
    <row r="107" spans="1:29" s="536" customFormat="1" ht="33.75" x14ac:dyDescent="0.2">
      <c r="A107" s="605"/>
      <c r="B107" s="552" t="s">
        <v>884</v>
      </c>
      <c r="C107" s="1822" t="s">
        <v>885</v>
      </c>
      <c r="D107" s="1822"/>
      <c r="E107" s="1822"/>
      <c r="F107" s="562" t="s">
        <v>322</v>
      </c>
      <c r="G107" s="562" t="s">
        <v>886</v>
      </c>
      <c r="H107" s="562"/>
      <c r="I107" s="562" t="s">
        <v>886</v>
      </c>
      <c r="J107" s="604"/>
      <c r="K107" s="562"/>
      <c r="L107" s="604">
        <v>13.78</v>
      </c>
      <c r="M107" s="603"/>
      <c r="N107" s="602"/>
      <c r="AA107" s="537" t="s">
        <v>885</v>
      </c>
    </row>
    <row r="108" spans="1:29" s="536" customFormat="1" ht="33.75" x14ac:dyDescent="0.2">
      <c r="A108" s="605"/>
      <c r="B108" s="552" t="s">
        <v>887</v>
      </c>
      <c r="C108" s="1822" t="s">
        <v>888</v>
      </c>
      <c r="D108" s="1822"/>
      <c r="E108" s="1822"/>
      <c r="F108" s="562" t="s">
        <v>322</v>
      </c>
      <c r="G108" s="562" t="s">
        <v>465</v>
      </c>
      <c r="H108" s="562"/>
      <c r="I108" s="562" t="s">
        <v>465</v>
      </c>
      <c r="J108" s="604"/>
      <c r="K108" s="562"/>
      <c r="L108" s="604">
        <v>7.04</v>
      </c>
      <c r="M108" s="603"/>
      <c r="N108" s="602"/>
      <c r="AA108" s="537" t="s">
        <v>888</v>
      </c>
    </row>
    <row r="109" spans="1:29" s="536" customFormat="1" x14ac:dyDescent="0.2">
      <c r="A109" s="569"/>
      <c r="B109" s="671"/>
      <c r="C109" s="1823" t="s">
        <v>327</v>
      </c>
      <c r="D109" s="1823"/>
      <c r="E109" s="1823"/>
      <c r="F109" s="573"/>
      <c r="G109" s="573"/>
      <c r="H109" s="573"/>
      <c r="I109" s="573"/>
      <c r="J109" s="572"/>
      <c r="K109" s="573"/>
      <c r="L109" s="572">
        <v>39.57</v>
      </c>
      <c r="M109" s="601"/>
      <c r="N109" s="570"/>
      <c r="AC109" s="537" t="s">
        <v>327</v>
      </c>
    </row>
    <row r="110" spans="1:29" s="536" customFormat="1" ht="22.5" x14ac:dyDescent="0.2">
      <c r="A110" s="575" t="s">
        <v>8170</v>
      </c>
      <c r="B110" s="670" t="s">
        <v>8263</v>
      </c>
      <c r="C110" s="1823" t="s">
        <v>8264</v>
      </c>
      <c r="D110" s="1823"/>
      <c r="E110" s="1823"/>
      <c r="F110" s="573" t="s">
        <v>617</v>
      </c>
      <c r="G110" s="573"/>
      <c r="H110" s="573"/>
      <c r="I110" s="573" t="s">
        <v>185</v>
      </c>
      <c r="J110" s="572">
        <v>386.3</v>
      </c>
      <c r="K110" s="573"/>
      <c r="L110" s="572">
        <v>386.3</v>
      </c>
      <c r="M110" s="571"/>
      <c r="N110" s="570"/>
      <c r="W110" s="537" t="s">
        <v>8264</v>
      </c>
    </row>
    <row r="111" spans="1:29" s="536" customFormat="1" x14ac:dyDescent="0.2">
      <c r="A111" s="569"/>
      <c r="B111" s="671"/>
      <c r="C111" s="665" t="s">
        <v>2222</v>
      </c>
      <c r="D111" s="666"/>
      <c r="E111" s="666"/>
      <c r="F111" s="563"/>
      <c r="G111" s="563"/>
      <c r="H111" s="563"/>
      <c r="I111" s="563"/>
      <c r="J111" s="566"/>
      <c r="K111" s="563"/>
      <c r="L111" s="566"/>
      <c r="M111" s="565"/>
      <c r="N111" s="564"/>
    </row>
    <row r="112" spans="1:29" s="536" customFormat="1" ht="22.5" x14ac:dyDescent="0.2">
      <c r="A112" s="575" t="s">
        <v>198</v>
      </c>
      <c r="B112" s="670" t="s">
        <v>8265</v>
      </c>
      <c r="C112" s="1823" t="s">
        <v>8266</v>
      </c>
      <c r="D112" s="1823"/>
      <c r="E112" s="1823"/>
      <c r="F112" s="573" t="s">
        <v>617</v>
      </c>
      <c r="G112" s="573"/>
      <c r="H112" s="573"/>
      <c r="I112" s="573" t="s">
        <v>185</v>
      </c>
      <c r="J112" s="572"/>
      <c r="K112" s="573"/>
      <c r="L112" s="572"/>
      <c r="M112" s="571"/>
      <c r="N112" s="570"/>
      <c r="W112" s="537" t="s">
        <v>8266</v>
      </c>
    </row>
    <row r="113" spans="1:29" s="536" customFormat="1" ht="33.75" x14ac:dyDescent="0.2">
      <c r="A113" s="609"/>
      <c r="B113" s="552" t="s">
        <v>310</v>
      </c>
      <c r="C113" s="1822" t="s">
        <v>311</v>
      </c>
      <c r="D113" s="1822"/>
      <c r="E113" s="1822"/>
      <c r="F113" s="1822"/>
      <c r="G113" s="1822"/>
      <c r="H113" s="1822"/>
      <c r="I113" s="1822"/>
      <c r="J113" s="1822"/>
      <c r="K113" s="1822"/>
      <c r="L113" s="1822"/>
      <c r="M113" s="1822"/>
      <c r="N113" s="1827"/>
      <c r="X113" s="537" t="s">
        <v>311</v>
      </c>
    </row>
    <row r="114" spans="1:29" s="536" customFormat="1" x14ac:dyDescent="0.2">
      <c r="A114" s="605"/>
      <c r="B114" s="552" t="s">
        <v>185</v>
      </c>
      <c r="C114" s="1822" t="s">
        <v>312</v>
      </c>
      <c r="D114" s="1822"/>
      <c r="E114" s="1822"/>
      <c r="F114" s="562"/>
      <c r="G114" s="562"/>
      <c r="H114" s="562"/>
      <c r="I114" s="562"/>
      <c r="J114" s="604">
        <v>24.84</v>
      </c>
      <c r="K114" s="562" t="s">
        <v>313</v>
      </c>
      <c r="L114" s="604">
        <v>31.05</v>
      </c>
      <c r="M114" s="603"/>
      <c r="N114" s="602"/>
      <c r="Y114" s="537" t="s">
        <v>312</v>
      </c>
    </row>
    <row r="115" spans="1:29" s="536" customFormat="1" x14ac:dyDescent="0.2">
      <c r="A115" s="605"/>
      <c r="B115" s="552" t="s">
        <v>188</v>
      </c>
      <c r="C115" s="1822" t="s">
        <v>475</v>
      </c>
      <c r="D115" s="1822"/>
      <c r="E115" s="1822"/>
      <c r="F115" s="562"/>
      <c r="G115" s="562"/>
      <c r="H115" s="562"/>
      <c r="I115" s="562"/>
      <c r="J115" s="604">
        <v>4.3600000000000003</v>
      </c>
      <c r="K115" s="562"/>
      <c r="L115" s="604">
        <v>4.3600000000000003</v>
      </c>
      <c r="M115" s="603"/>
      <c r="N115" s="602"/>
      <c r="Y115" s="537" t="s">
        <v>475</v>
      </c>
    </row>
    <row r="116" spans="1:29" s="536" customFormat="1" x14ac:dyDescent="0.2">
      <c r="A116" s="605"/>
      <c r="B116" s="552"/>
      <c r="C116" s="1822" t="s">
        <v>314</v>
      </c>
      <c r="D116" s="1822"/>
      <c r="E116" s="1822"/>
      <c r="F116" s="562" t="s">
        <v>315</v>
      </c>
      <c r="G116" s="562" t="s">
        <v>8267</v>
      </c>
      <c r="H116" s="562" t="s">
        <v>313</v>
      </c>
      <c r="I116" s="562" t="s">
        <v>187</v>
      </c>
      <c r="J116" s="604"/>
      <c r="K116" s="562"/>
      <c r="L116" s="604"/>
      <c r="M116" s="603"/>
      <c r="N116" s="602"/>
      <c r="AA116" s="537" t="s">
        <v>314</v>
      </c>
    </row>
    <row r="117" spans="1:29" s="536" customFormat="1" x14ac:dyDescent="0.2">
      <c r="A117" s="605"/>
      <c r="B117" s="552"/>
      <c r="C117" s="1828" t="s">
        <v>318</v>
      </c>
      <c r="D117" s="1828"/>
      <c r="E117" s="1828"/>
      <c r="F117" s="608"/>
      <c r="G117" s="608"/>
      <c r="H117" s="608"/>
      <c r="I117" s="608"/>
      <c r="J117" s="607">
        <v>29.2</v>
      </c>
      <c r="K117" s="608"/>
      <c r="L117" s="607">
        <v>35.409999999999997</v>
      </c>
      <c r="M117" s="601"/>
      <c r="N117" s="606"/>
      <c r="AB117" s="537" t="s">
        <v>318</v>
      </c>
    </row>
    <row r="118" spans="1:29" s="536" customFormat="1" x14ac:dyDescent="0.2">
      <c r="A118" s="605"/>
      <c r="B118" s="552"/>
      <c r="C118" s="1822" t="s">
        <v>319</v>
      </c>
      <c r="D118" s="1822"/>
      <c r="E118" s="1822"/>
      <c r="F118" s="562"/>
      <c r="G118" s="562"/>
      <c r="H118" s="562"/>
      <c r="I118" s="562"/>
      <c r="J118" s="604"/>
      <c r="K118" s="562"/>
      <c r="L118" s="604">
        <v>31.05</v>
      </c>
      <c r="M118" s="603"/>
      <c r="N118" s="602"/>
      <c r="AA118" s="537" t="s">
        <v>319</v>
      </c>
    </row>
    <row r="119" spans="1:29" s="536" customFormat="1" ht="33.75" x14ac:dyDescent="0.2">
      <c r="A119" s="605"/>
      <c r="B119" s="552" t="s">
        <v>884</v>
      </c>
      <c r="C119" s="1822" t="s">
        <v>885</v>
      </c>
      <c r="D119" s="1822"/>
      <c r="E119" s="1822"/>
      <c r="F119" s="562" t="s">
        <v>322</v>
      </c>
      <c r="G119" s="562" t="s">
        <v>886</v>
      </c>
      <c r="H119" s="562"/>
      <c r="I119" s="562" t="s">
        <v>886</v>
      </c>
      <c r="J119" s="604"/>
      <c r="K119" s="562"/>
      <c r="L119" s="604">
        <v>27.95</v>
      </c>
      <c r="M119" s="603"/>
      <c r="N119" s="602"/>
      <c r="AA119" s="537" t="s">
        <v>885</v>
      </c>
    </row>
    <row r="120" spans="1:29" s="536" customFormat="1" ht="33.75" x14ac:dyDescent="0.2">
      <c r="A120" s="605"/>
      <c r="B120" s="552" t="s">
        <v>887</v>
      </c>
      <c r="C120" s="1822" t="s">
        <v>888</v>
      </c>
      <c r="D120" s="1822"/>
      <c r="E120" s="1822"/>
      <c r="F120" s="562" t="s">
        <v>322</v>
      </c>
      <c r="G120" s="562" t="s">
        <v>465</v>
      </c>
      <c r="H120" s="562"/>
      <c r="I120" s="562" t="s">
        <v>465</v>
      </c>
      <c r="J120" s="604"/>
      <c r="K120" s="562"/>
      <c r="L120" s="604">
        <v>14.28</v>
      </c>
      <c r="M120" s="603"/>
      <c r="N120" s="602"/>
      <c r="AA120" s="537" t="s">
        <v>888</v>
      </c>
    </row>
    <row r="121" spans="1:29" s="536" customFormat="1" x14ac:dyDescent="0.2">
      <c r="A121" s="569"/>
      <c r="B121" s="671"/>
      <c r="C121" s="1823" t="s">
        <v>327</v>
      </c>
      <c r="D121" s="1823"/>
      <c r="E121" s="1823"/>
      <c r="F121" s="573"/>
      <c r="G121" s="573"/>
      <c r="H121" s="573"/>
      <c r="I121" s="573"/>
      <c r="J121" s="572"/>
      <c r="K121" s="573"/>
      <c r="L121" s="572">
        <v>77.64</v>
      </c>
      <c r="M121" s="601"/>
      <c r="N121" s="570"/>
      <c r="AC121" s="537" t="s">
        <v>327</v>
      </c>
    </row>
    <row r="122" spans="1:29" s="536" customFormat="1" ht="22.5" x14ac:dyDescent="0.2">
      <c r="A122" s="575" t="s">
        <v>3164</v>
      </c>
      <c r="B122" s="670" t="s">
        <v>8268</v>
      </c>
      <c r="C122" s="1823" t="s">
        <v>8269</v>
      </c>
      <c r="D122" s="1823"/>
      <c r="E122" s="1823"/>
      <c r="F122" s="573" t="s">
        <v>617</v>
      </c>
      <c r="G122" s="573"/>
      <c r="H122" s="573"/>
      <c r="I122" s="573" t="s">
        <v>185</v>
      </c>
      <c r="J122" s="572">
        <v>175.63</v>
      </c>
      <c r="K122" s="573"/>
      <c r="L122" s="572">
        <v>175.63</v>
      </c>
      <c r="M122" s="571"/>
      <c r="N122" s="570"/>
      <c r="W122" s="537" t="s">
        <v>8269</v>
      </c>
    </row>
    <row r="123" spans="1:29" s="536" customFormat="1" x14ac:dyDescent="0.2">
      <c r="A123" s="569"/>
      <c r="B123" s="671"/>
      <c r="C123" s="665" t="s">
        <v>2222</v>
      </c>
      <c r="D123" s="666"/>
      <c r="E123" s="666"/>
      <c r="F123" s="563"/>
      <c r="G123" s="563"/>
      <c r="H123" s="563"/>
      <c r="I123" s="563"/>
      <c r="J123" s="566"/>
      <c r="K123" s="563"/>
      <c r="L123" s="566"/>
      <c r="M123" s="565"/>
      <c r="N123" s="564"/>
    </row>
    <row r="124" spans="1:29" s="536" customFormat="1" ht="22.5" x14ac:dyDescent="0.2">
      <c r="A124" s="575" t="s">
        <v>200</v>
      </c>
      <c r="B124" s="670" t="s">
        <v>8199</v>
      </c>
      <c r="C124" s="1823" t="s">
        <v>8200</v>
      </c>
      <c r="D124" s="1823"/>
      <c r="E124" s="1823"/>
      <c r="F124" s="573" t="s">
        <v>617</v>
      </c>
      <c r="G124" s="573"/>
      <c r="H124" s="573"/>
      <c r="I124" s="573" t="s">
        <v>187</v>
      </c>
      <c r="J124" s="572"/>
      <c r="K124" s="573"/>
      <c r="L124" s="572"/>
      <c r="M124" s="571"/>
      <c r="N124" s="570"/>
      <c r="W124" s="537" t="s">
        <v>8200</v>
      </c>
    </row>
    <row r="125" spans="1:29" s="536" customFormat="1" ht="33.75" x14ac:dyDescent="0.2">
      <c r="A125" s="609"/>
      <c r="B125" s="552" t="s">
        <v>310</v>
      </c>
      <c r="C125" s="1822" t="s">
        <v>311</v>
      </c>
      <c r="D125" s="1822"/>
      <c r="E125" s="1822"/>
      <c r="F125" s="1822"/>
      <c r="G125" s="1822"/>
      <c r="H125" s="1822"/>
      <c r="I125" s="1822"/>
      <c r="J125" s="1822"/>
      <c r="K125" s="1822"/>
      <c r="L125" s="1822"/>
      <c r="M125" s="1822"/>
      <c r="N125" s="1827"/>
      <c r="X125" s="537" t="s">
        <v>311</v>
      </c>
    </row>
    <row r="126" spans="1:29" s="536" customFormat="1" x14ac:dyDescent="0.2">
      <c r="A126" s="605"/>
      <c r="B126" s="552" t="s">
        <v>185</v>
      </c>
      <c r="C126" s="1822" t="s">
        <v>312</v>
      </c>
      <c r="D126" s="1822"/>
      <c r="E126" s="1822"/>
      <c r="F126" s="562"/>
      <c r="G126" s="562"/>
      <c r="H126" s="562"/>
      <c r="I126" s="562"/>
      <c r="J126" s="604">
        <v>12.25</v>
      </c>
      <c r="K126" s="562" t="s">
        <v>313</v>
      </c>
      <c r="L126" s="604">
        <v>45.94</v>
      </c>
      <c r="M126" s="603"/>
      <c r="N126" s="602"/>
      <c r="Y126" s="537" t="s">
        <v>312</v>
      </c>
    </row>
    <row r="127" spans="1:29" s="536" customFormat="1" x14ac:dyDescent="0.2">
      <c r="A127" s="605"/>
      <c r="B127" s="552" t="s">
        <v>188</v>
      </c>
      <c r="C127" s="1822" t="s">
        <v>475</v>
      </c>
      <c r="D127" s="1822"/>
      <c r="E127" s="1822"/>
      <c r="F127" s="562"/>
      <c r="G127" s="562"/>
      <c r="H127" s="562"/>
      <c r="I127" s="562"/>
      <c r="J127" s="604">
        <v>3.44</v>
      </c>
      <c r="K127" s="562"/>
      <c r="L127" s="604">
        <v>10.32</v>
      </c>
      <c r="M127" s="603"/>
      <c r="N127" s="602"/>
      <c r="Y127" s="537" t="s">
        <v>475</v>
      </c>
    </row>
    <row r="128" spans="1:29" s="536" customFormat="1" x14ac:dyDescent="0.2">
      <c r="A128" s="605"/>
      <c r="B128" s="552"/>
      <c r="C128" s="1822" t="s">
        <v>314</v>
      </c>
      <c r="D128" s="1822"/>
      <c r="E128" s="1822"/>
      <c r="F128" s="562" t="s">
        <v>315</v>
      </c>
      <c r="G128" s="562" t="s">
        <v>1908</v>
      </c>
      <c r="H128" s="562" t="s">
        <v>313</v>
      </c>
      <c r="I128" s="562" t="s">
        <v>3142</v>
      </c>
      <c r="J128" s="604"/>
      <c r="K128" s="562"/>
      <c r="L128" s="604"/>
      <c r="M128" s="603"/>
      <c r="N128" s="602"/>
      <c r="AA128" s="537" t="s">
        <v>314</v>
      </c>
    </row>
    <row r="129" spans="1:29" s="536" customFormat="1" x14ac:dyDescent="0.2">
      <c r="A129" s="605"/>
      <c r="B129" s="552"/>
      <c r="C129" s="1828" t="s">
        <v>318</v>
      </c>
      <c r="D129" s="1828"/>
      <c r="E129" s="1828"/>
      <c r="F129" s="608"/>
      <c r="G129" s="608"/>
      <c r="H129" s="608"/>
      <c r="I129" s="608"/>
      <c r="J129" s="607">
        <v>15.69</v>
      </c>
      <c r="K129" s="608"/>
      <c r="L129" s="607">
        <v>56.26</v>
      </c>
      <c r="M129" s="601"/>
      <c r="N129" s="606"/>
      <c r="AB129" s="537" t="s">
        <v>318</v>
      </c>
    </row>
    <row r="130" spans="1:29" s="536" customFormat="1" x14ac:dyDescent="0.2">
      <c r="A130" s="605"/>
      <c r="B130" s="552"/>
      <c r="C130" s="1822" t="s">
        <v>319</v>
      </c>
      <c r="D130" s="1822"/>
      <c r="E130" s="1822"/>
      <c r="F130" s="562"/>
      <c r="G130" s="562"/>
      <c r="H130" s="562"/>
      <c r="I130" s="562"/>
      <c r="J130" s="604"/>
      <c r="K130" s="562"/>
      <c r="L130" s="604">
        <v>45.94</v>
      </c>
      <c r="M130" s="603"/>
      <c r="N130" s="602"/>
      <c r="AA130" s="537" t="s">
        <v>319</v>
      </c>
    </row>
    <row r="131" spans="1:29" s="536" customFormat="1" ht="33.75" x14ac:dyDescent="0.2">
      <c r="A131" s="605"/>
      <c r="B131" s="552" t="s">
        <v>884</v>
      </c>
      <c r="C131" s="1822" t="s">
        <v>885</v>
      </c>
      <c r="D131" s="1822"/>
      <c r="E131" s="1822"/>
      <c r="F131" s="562" t="s">
        <v>322</v>
      </c>
      <c r="G131" s="562" t="s">
        <v>886</v>
      </c>
      <c r="H131" s="562"/>
      <c r="I131" s="562" t="s">
        <v>886</v>
      </c>
      <c r="J131" s="604"/>
      <c r="K131" s="562"/>
      <c r="L131" s="604">
        <v>41.35</v>
      </c>
      <c r="M131" s="603"/>
      <c r="N131" s="602"/>
      <c r="AA131" s="537" t="s">
        <v>885</v>
      </c>
    </row>
    <row r="132" spans="1:29" s="536" customFormat="1" ht="33.75" x14ac:dyDescent="0.2">
      <c r="A132" s="605"/>
      <c r="B132" s="552" t="s">
        <v>887</v>
      </c>
      <c r="C132" s="1822" t="s">
        <v>888</v>
      </c>
      <c r="D132" s="1822"/>
      <c r="E132" s="1822"/>
      <c r="F132" s="562" t="s">
        <v>322</v>
      </c>
      <c r="G132" s="562" t="s">
        <v>465</v>
      </c>
      <c r="H132" s="562"/>
      <c r="I132" s="562" t="s">
        <v>465</v>
      </c>
      <c r="J132" s="604"/>
      <c r="K132" s="562"/>
      <c r="L132" s="604">
        <v>21.13</v>
      </c>
      <c r="M132" s="603"/>
      <c r="N132" s="602"/>
      <c r="AA132" s="537" t="s">
        <v>888</v>
      </c>
    </row>
    <row r="133" spans="1:29" s="536" customFormat="1" x14ac:dyDescent="0.2">
      <c r="A133" s="569"/>
      <c r="B133" s="671"/>
      <c r="C133" s="1823" t="s">
        <v>327</v>
      </c>
      <c r="D133" s="1823"/>
      <c r="E133" s="1823"/>
      <c r="F133" s="573"/>
      <c r="G133" s="573"/>
      <c r="H133" s="573"/>
      <c r="I133" s="573"/>
      <c r="J133" s="572"/>
      <c r="K133" s="573"/>
      <c r="L133" s="572">
        <v>118.74</v>
      </c>
      <c r="M133" s="601"/>
      <c r="N133" s="570"/>
      <c r="AC133" s="537" t="s">
        <v>327</v>
      </c>
    </row>
    <row r="134" spans="1:29" s="536" customFormat="1" ht="45" x14ac:dyDescent="0.2">
      <c r="A134" s="575" t="s">
        <v>899</v>
      </c>
      <c r="B134" s="670" t="s">
        <v>8270</v>
      </c>
      <c r="C134" s="1823" t="s">
        <v>8271</v>
      </c>
      <c r="D134" s="1823"/>
      <c r="E134" s="1823"/>
      <c r="F134" s="573" t="s">
        <v>617</v>
      </c>
      <c r="G134" s="573"/>
      <c r="H134" s="573"/>
      <c r="I134" s="573" t="s">
        <v>187</v>
      </c>
      <c r="J134" s="572">
        <v>68.819999999999993</v>
      </c>
      <c r="K134" s="573"/>
      <c r="L134" s="572">
        <v>206.46</v>
      </c>
      <c r="M134" s="571"/>
      <c r="N134" s="570"/>
      <c r="W134" s="537" t="s">
        <v>8271</v>
      </c>
    </row>
    <row r="135" spans="1:29" s="536" customFormat="1" x14ac:dyDescent="0.2">
      <c r="A135" s="569"/>
      <c r="B135" s="671"/>
      <c r="C135" s="665" t="s">
        <v>2222</v>
      </c>
      <c r="D135" s="666"/>
      <c r="E135" s="666"/>
      <c r="F135" s="563"/>
      <c r="G135" s="563"/>
      <c r="H135" s="563"/>
      <c r="I135" s="563"/>
      <c r="J135" s="566"/>
      <c r="K135" s="563"/>
      <c r="L135" s="566"/>
      <c r="M135" s="565"/>
      <c r="N135" s="564"/>
    </row>
    <row r="136" spans="1:29" s="536" customFormat="1" ht="56.25" x14ac:dyDescent="0.2">
      <c r="A136" s="575" t="s">
        <v>430</v>
      </c>
      <c r="B136" s="670" t="s">
        <v>8208</v>
      </c>
      <c r="C136" s="1823" t="s">
        <v>8209</v>
      </c>
      <c r="D136" s="1823"/>
      <c r="E136" s="1823"/>
      <c r="F136" s="573" t="s">
        <v>617</v>
      </c>
      <c r="G136" s="573"/>
      <c r="H136" s="573"/>
      <c r="I136" s="573" t="s">
        <v>189</v>
      </c>
      <c r="J136" s="572"/>
      <c r="K136" s="573"/>
      <c r="L136" s="572"/>
      <c r="M136" s="571"/>
      <c r="N136" s="570"/>
      <c r="W136" s="537" t="s">
        <v>8209</v>
      </c>
    </row>
    <row r="137" spans="1:29" s="536" customFormat="1" ht="33.75" x14ac:dyDescent="0.2">
      <c r="A137" s="609"/>
      <c r="B137" s="552" t="s">
        <v>310</v>
      </c>
      <c r="C137" s="1822" t="s">
        <v>311</v>
      </c>
      <c r="D137" s="1822"/>
      <c r="E137" s="1822"/>
      <c r="F137" s="1822"/>
      <c r="G137" s="1822"/>
      <c r="H137" s="1822"/>
      <c r="I137" s="1822"/>
      <c r="J137" s="1822"/>
      <c r="K137" s="1822"/>
      <c r="L137" s="1822"/>
      <c r="M137" s="1822"/>
      <c r="N137" s="1827"/>
      <c r="X137" s="537" t="s">
        <v>311</v>
      </c>
    </row>
    <row r="138" spans="1:29" s="536" customFormat="1" x14ac:dyDescent="0.2">
      <c r="A138" s="605"/>
      <c r="B138" s="552" t="s">
        <v>185</v>
      </c>
      <c r="C138" s="1822" t="s">
        <v>312</v>
      </c>
      <c r="D138" s="1822"/>
      <c r="E138" s="1822"/>
      <c r="F138" s="562"/>
      <c r="G138" s="562"/>
      <c r="H138" s="562"/>
      <c r="I138" s="562"/>
      <c r="J138" s="604">
        <v>8.08</v>
      </c>
      <c r="K138" s="562" t="s">
        <v>313</v>
      </c>
      <c r="L138" s="604">
        <v>50.5</v>
      </c>
      <c r="M138" s="603"/>
      <c r="N138" s="602"/>
      <c r="Y138" s="537" t="s">
        <v>312</v>
      </c>
    </row>
    <row r="139" spans="1:29" s="536" customFormat="1" x14ac:dyDescent="0.2">
      <c r="A139" s="605"/>
      <c r="B139" s="552" t="s">
        <v>188</v>
      </c>
      <c r="C139" s="1822" t="s">
        <v>475</v>
      </c>
      <c r="D139" s="1822"/>
      <c r="E139" s="1822"/>
      <c r="F139" s="562"/>
      <c r="G139" s="562"/>
      <c r="H139" s="562"/>
      <c r="I139" s="562"/>
      <c r="J139" s="604">
        <v>2.0699999999999998</v>
      </c>
      <c r="K139" s="562"/>
      <c r="L139" s="604">
        <v>10.35</v>
      </c>
      <c r="M139" s="603"/>
      <c r="N139" s="602"/>
      <c r="Y139" s="537" t="s">
        <v>475</v>
      </c>
    </row>
    <row r="140" spans="1:29" s="536" customFormat="1" x14ac:dyDescent="0.2">
      <c r="A140" s="605"/>
      <c r="B140" s="552"/>
      <c r="C140" s="1822" t="s">
        <v>314</v>
      </c>
      <c r="D140" s="1822"/>
      <c r="E140" s="1822"/>
      <c r="F140" s="562" t="s">
        <v>315</v>
      </c>
      <c r="G140" s="562" t="s">
        <v>8210</v>
      </c>
      <c r="H140" s="562" t="s">
        <v>313</v>
      </c>
      <c r="I140" s="562" t="s">
        <v>2464</v>
      </c>
      <c r="J140" s="604"/>
      <c r="K140" s="562"/>
      <c r="L140" s="604"/>
      <c r="M140" s="603"/>
      <c r="N140" s="602"/>
      <c r="AA140" s="537" t="s">
        <v>314</v>
      </c>
    </row>
    <row r="141" spans="1:29" s="536" customFormat="1" x14ac:dyDescent="0.2">
      <c r="A141" s="605"/>
      <c r="B141" s="552"/>
      <c r="C141" s="1828" t="s">
        <v>318</v>
      </c>
      <c r="D141" s="1828"/>
      <c r="E141" s="1828"/>
      <c r="F141" s="608"/>
      <c r="G141" s="608"/>
      <c r="H141" s="608"/>
      <c r="I141" s="608"/>
      <c r="J141" s="607">
        <v>10.15</v>
      </c>
      <c r="K141" s="608"/>
      <c r="L141" s="607">
        <v>60.85</v>
      </c>
      <c r="M141" s="601"/>
      <c r="N141" s="606"/>
      <c r="AB141" s="537" t="s">
        <v>318</v>
      </c>
    </row>
    <row r="142" spans="1:29" s="536" customFormat="1" x14ac:dyDescent="0.2">
      <c r="A142" s="605"/>
      <c r="B142" s="552"/>
      <c r="C142" s="1822" t="s">
        <v>319</v>
      </c>
      <c r="D142" s="1822"/>
      <c r="E142" s="1822"/>
      <c r="F142" s="562"/>
      <c r="G142" s="562"/>
      <c r="H142" s="562"/>
      <c r="I142" s="562"/>
      <c r="J142" s="604"/>
      <c r="K142" s="562"/>
      <c r="L142" s="604">
        <v>50.5</v>
      </c>
      <c r="M142" s="603"/>
      <c r="N142" s="602"/>
      <c r="AA142" s="537" t="s">
        <v>319</v>
      </c>
    </row>
    <row r="143" spans="1:29" s="536" customFormat="1" ht="33.75" x14ac:dyDescent="0.2">
      <c r="A143" s="605"/>
      <c r="B143" s="552" t="s">
        <v>884</v>
      </c>
      <c r="C143" s="1822" t="s">
        <v>885</v>
      </c>
      <c r="D143" s="1822"/>
      <c r="E143" s="1822"/>
      <c r="F143" s="562" t="s">
        <v>322</v>
      </c>
      <c r="G143" s="562" t="s">
        <v>886</v>
      </c>
      <c r="H143" s="562"/>
      <c r="I143" s="562" t="s">
        <v>886</v>
      </c>
      <c r="J143" s="604"/>
      <c r="K143" s="562"/>
      <c r="L143" s="604">
        <v>45.45</v>
      </c>
      <c r="M143" s="603"/>
      <c r="N143" s="602"/>
      <c r="AA143" s="537" t="s">
        <v>885</v>
      </c>
    </row>
    <row r="144" spans="1:29" s="536" customFormat="1" ht="33.75" x14ac:dyDescent="0.2">
      <c r="A144" s="605"/>
      <c r="B144" s="552" t="s">
        <v>887</v>
      </c>
      <c r="C144" s="1822" t="s">
        <v>888</v>
      </c>
      <c r="D144" s="1822"/>
      <c r="E144" s="1822"/>
      <c r="F144" s="562" t="s">
        <v>322</v>
      </c>
      <c r="G144" s="562" t="s">
        <v>465</v>
      </c>
      <c r="H144" s="562"/>
      <c r="I144" s="562" t="s">
        <v>465</v>
      </c>
      <c r="J144" s="604"/>
      <c r="K144" s="562"/>
      <c r="L144" s="604">
        <v>23.23</v>
      </c>
      <c r="M144" s="603"/>
      <c r="N144" s="602"/>
      <c r="AA144" s="537" t="s">
        <v>888</v>
      </c>
    </row>
    <row r="145" spans="1:30" s="536" customFormat="1" x14ac:dyDescent="0.2">
      <c r="A145" s="569"/>
      <c r="B145" s="671"/>
      <c r="C145" s="1823" t="s">
        <v>327</v>
      </c>
      <c r="D145" s="1823"/>
      <c r="E145" s="1823"/>
      <c r="F145" s="573"/>
      <c r="G145" s="573"/>
      <c r="H145" s="573"/>
      <c r="I145" s="573"/>
      <c r="J145" s="572"/>
      <c r="K145" s="573"/>
      <c r="L145" s="572">
        <v>129.53</v>
      </c>
      <c r="M145" s="601"/>
      <c r="N145" s="570"/>
      <c r="AC145" s="537" t="s">
        <v>327</v>
      </c>
    </row>
    <row r="146" spans="1:30" s="536" customFormat="1" ht="22.5" x14ac:dyDescent="0.2">
      <c r="A146" s="575" t="s">
        <v>907</v>
      </c>
      <c r="B146" s="670" t="s">
        <v>8272</v>
      </c>
      <c r="C146" s="1823" t="s">
        <v>8273</v>
      </c>
      <c r="D146" s="1823"/>
      <c r="E146" s="1823"/>
      <c r="F146" s="573" t="s">
        <v>889</v>
      </c>
      <c r="G146" s="573"/>
      <c r="H146" s="573"/>
      <c r="I146" s="573" t="s">
        <v>1692</v>
      </c>
      <c r="J146" s="572">
        <v>1699.1</v>
      </c>
      <c r="K146" s="573"/>
      <c r="L146" s="572">
        <v>849.55</v>
      </c>
      <c r="M146" s="571"/>
      <c r="N146" s="570"/>
      <c r="W146" s="537" t="s">
        <v>8273</v>
      </c>
    </row>
    <row r="147" spans="1:30" s="536" customFormat="1" x14ac:dyDescent="0.2">
      <c r="A147" s="569"/>
      <c r="B147" s="671"/>
      <c r="C147" s="665" t="s">
        <v>2222</v>
      </c>
      <c r="D147" s="666"/>
      <c r="E147" s="666"/>
      <c r="F147" s="563"/>
      <c r="G147" s="563"/>
      <c r="H147" s="563"/>
      <c r="I147" s="563"/>
      <c r="J147" s="566"/>
      <c r="K147" s="563"/>
      <c r="L147" s="566"/>
      <c r="M147" s="565"/>
      <c r="N147" s="564"/>
    </row>
    <row r="148" spans="1:30" s="536" customFormat="1" x14ac:dyDescent="0.2">
      <c r="A148" s="676"/>
      <c r="B148" s="664"/>
      <c r="C148" s="1822" t="s">
        <v>2607</v>
      </c>
      <c r="D148" s="1822"/>
      <c r="E148" s="1822"/>
      <c r="F148" s="1822"/>
      <c r="G148" s="1822"/>
      <c r="H148" s="1822"/>
      <c r="I148" s="1822"/>
      <c r="J148" s="1822"/>
      <c r="K148" s="1822"/>
      <c r="L148" s="1822"/>
      <c r="M148" s="1822"/>
      <c r="N148" s="1827"/>
      <c r="AD148" s="537" t="s">
        <v>2607</v>
      </c>
    </row>
    <row r="149" spans="1:30" s="536" customFormat="1" ht="33.75" x14ac:dyDescent="0.2">
      <c r="A149" s="575" t="s">
        <v>733</v>
      </c>
      <c r="B149" s="670" t="s">
        <v>8274</v>
      </c>
      <c r="C149" s="1823" t="s">
        <v>8275</v>
      </c>
      <c r="D149" s="1823"/>
      <c r="E149" s="1823"/>
      <c r="F149" s="573" t="s">
        <v>617</v>
      </c>
      <c r="G149" s="573"/>
      <c r="H149" s="573"/>
      <c r="I149" s="573" t="s">
        <v>189</v>
      </c>
      <c r="J149" s="572"/>
      <c r="K149" s="573"/>
      <c r="L149" s="572"/>
      <c r="M149" s="571"/>
      <c r="N149" s="570"/>
      <c r="W149" s="537" t="s">
        <v>8275</v>
      </c>
    </row>
    <row r="150" spans="1:30" s="536" customFormat="1" ht="33.75" x14ac:dyDescent="0.2">
      <c r="A150" s="609"/>
      <c r="B150" s="552" t="s">
        <v>310</v>
      </c>
      <c r="C150" s="1822" t="s">
        <v>311</v>
      </c>
      <c r="D150" s="1822"/>
      <c r="E150" s="1822"/>
      <c r="F150" s="1822"/>
      <c r="G150" s="1822"/>
      <c r="H150" s="1822"/>
      <c r="I150" s="1822"/>
      <c r="J150" s="1822"/>
      <c r="K150" s="1822"/>
      <c r="L150" s="1822"/>
      <c r="M150" s="1822"/>
      <c r="N150" s="1827"/>
      <c r="X150" s="537" t="s">
        <v>311</v>
      </c>
    </row>
    <row r="151" spans="1:30" s="536" customFormat="1" x14ac:dyDescent="0.2">
      <c r="A151" s="605"/>
      <c r="B151" s="552" t="s">
        <v>185</v>
      </c>
      <c r="C151" s="1822" t="s">
        <v>312</v>
      </c>
      <c r="D151" s="1822"/>
      <c r="E151" s="1822"/>
      <c r="F151" s="562"/>
      <c r="G151" s="562"/>
      <c r="H151" s="562"/>
      <c r="I151" s="562"/>
      <c r="J151" s="604">
        <v>55.41</v>
      </c>
      <c r="K151" s="562" t="s">
        <v>313</v>
      </c>
      <c r="L151" s="604">
        <v>346.31</v>
      </c>
      <c r="M151" s="603"/>
      <c r="N151" s="602"/>
      <c r="Y151" s="537" t="s">
        <v>312</v>
      </c>
    </row>
    <row r="152" spans="1:30" s="536" customFormat="1" x14ac:dyDescent="0.2">
      <c r="A152" s="605"/>
      <c r="B152" s="552" t="s">
        <v>188</v>
      </c>
      <c r="C152" s="1822" t="s">
        <v>475</v>
      </c>
      <c r="D152" s="1822"/>
      <c r="E152" s="1822"/>
      <c r="F152" s="562"/>
      <c r="G152" s="562"/>
      <c r="H152" s="562"/>
      <c r="I152" s="562"/>
      <c r="J152" s="604">
        <v>4.3</v>
      </c>
      <c r="K152" s="562"/>
      <c r="L152" s="604">
        <v>21.5</v>
      </c>
      <c r="M152" s="603"/>
      <c r="N152" s="602"/>
      <c r="Y152" s="537" t="s">
        <v>475</v>
      </c>
    </row>
    <row r="153" spans="1:30" s="536" customFormat="1" x14ac:dyDescent="0.2">
      <c r="A153" s="605"/>
      <c r="B153" s="552"/>
      <c r="C153" s="1822" t="s">
        <v>314</v>
      </c>
      <c r="D153" s="1822"/>
      <c r="E153" s="1822"/>
      <c r="F153" s="562" t="s">
        <v>315</v>
      </c>
      <c r="G153" s="562" t="s">
        <v>8276</v>
      </c>
      <c r="H153" s="562" t="s">
        <v>313</v>
      </c>
      <c r="I153" s="562" t="s">
        <v>769</v>
      </c>
      <c r="J153" s="604"/>
      <c r="K153" s="562"/>
      <c r="L153" s="604"/>
      <c r="M153" s="603"/>
      <c r="N153" s="602"/>
      <c r="AA153" s="537" t="s">
        <v>314</v>
      </c>
    </row>
    <row r="154" spans="1:30" s="536" customFormat="1" x14ac:dyDescent="0.2">
      <c r="A154" s="605"/>
      <c r="B154" s="552"/>
      <c r="C154" s="1828" t="s">
        <v>318</v>
      </c>
      <c r="D154" s="1828"/>
      <c r="E154" s="1828"/>
      <c r="F154" s="608"/>
      <c r="G154" s="608"/>
      <c r="H154" s="608"/>
      <c r="I154" s="608"/>
      <c r="J154" s="607">
        <v>59.71</v>
      </c>
      <c r="K154" s="608"/>
      <c r="L154" s="607">
        <v>367.81</v>
      </c>
      <c r="M154" s="601"/>
      <c r="N154" s="606"/>
      <c r="AB154" s="537" t="s">
        <v>318</v>
      </c>
    </row>
    <row r="155" spans="1:30" s="536" customFormat="1" x14ac:dyDescent="0.2">
      <c r="A155" s="605"/>
      <c r="B155" s="552"/>
      <c r="C155" s="1822" t="s">
        <v>319</v>
      </c>
      <c r="D155" s="1822"/>
      <c r="E155" s="1822"/>
      <c r="F155" s="562"/>
      <c r="G155" s="562"/>
      <c r="H155" s="562"/>
      <c r="I155" s="562"/>
      <c r="J155" s="604"/>
      <c r="K155" s="562"/>
      <c r="L155" s="604">
        <v>346.31</v>
      </c>
      <c r="M155" s="603"/>
      <c r="N155" s="602"/>
      <c r="AA155" s="537" t="s">
        <v>319</v>
      </c>
    </row>
    <row r="156" spans="1:30" s="536" customFormat="1" ht="33.75" x14ac:dyDescent="0.2">
      <c r="A156" s="605"/>
      <c r="B156" s="552" t="s">
        <v>884</v>
      </c>
      <c r="C156" s="1822" t="s">
        <v>885</v>
      </c>
      <c r="D156" s="1822"/>
      <c r="E156" s="1822"/>
      <c r="F156" s="562" t="s">
        <v>322</v>
      </c>
      <c r="G156" s="562" t="s">
        <v>886</v>
      </c>
      <c r="H156" s="562"/>
      <c r="I156" s="562" t="s">
        <v>886</v>
      </c>
      <c r="J156" s="604"/>
      <c r="K156" s="562"/>
      <c r="L156" s="604">
        <v>311.68</v>
      </c>
      <c r="M156" s="603"/>
      <c r="N156" s="602"/>
      <c r="AA156" s="537" t="s">
        <v>885</v>
      </c>
    </row>
    <row r="157" spans="1:30" s="536" customFormat="1" ht="33.75" x14ac:dyDescent="0.2">
      <c r="A157" s="605"/>
      <c r="B157" s="552" t="s">
        <v>887</v>
      </c>
      <c r="C157" s="1822" t="s">
        <v>888</v>
      </c>
      <c r="D157" s="1822"/>
      <c r="E157" s="1822"/>
      <c r="F157" s="562" t="s">
        <v>322</v>
      </c>
      <c r="G157" s="562" t="s">
        <v>465</v>
      </c>
      <c r="H157" s="562"/>
      <c r="I157" s="562" t="s">
        <v>465</v>
      </c>
      <c r="J157" s="604"/>
      <c r="K157" s="562"/>
      <c r="L157" s="604">
        <v>159.30000000000001</v>
      </c>
      <c r="M157" s="603"/>
      <c r="N157" s="602"/>
      <c r="AA157" s="537" t="s">
        <v>888</v>
      </c>
    </row>
    <row r="158" spans="1:30" s="536" customFormat="1" x14ac:dyDescent="0.2">
      <c r="A158" s="569"/>
      <c r="B158" s="671"/>
      <c r="C158" s="1823" t="s">
        <v>327</v>
      </c>
      <c r="D158" s="1823"/>
      <c r="E158" s="1823"/>
      <c r="F158" s="573"/>
      <c r="G158" s="573"/>
      <c r="H158" s="573"/>
      <c r="I158" s="573"/>
      <c r="J158" s="572"/>
      <c r="K158" s="573"/>
      <c r="L158" s="572">
        <v>838.79</v>
      </c>
      <c r="M158" s="601"/>
      <c r="N158" s="570"/>
      <c r="AC158" s="537" t="s">
        <v>327</v>
      </c>
    </row>
    <row r="159" spans="1:30" s="536" customFormat="1" ht="33.75" x14ac:dyDescent="0.2">
      <c r="A159" s="575" t="s">
        <v>910</v>
      </c>
      <c r="B159" s="670" t="s">
        <v>8277</v>
      </c>
      <c r="C159" s="1823" t="s">
        <v>8278</v>
      </c>
      <c r="D159" s="1823"/>
      <c r="E159" s="1823"/>
      <c r="F159" s="573" t="s">
        <v>889</v>
      </c>
      <c r="G159" s="573"/>
      <c r="H159" s="573"/>
      <c r="I159" s="573" t="s">
        <v>1692</v>
      </c>
      <c r="J159" s="572">
        <v>2422.8000000000002</v>
      </c>
      <c r="K159" s="573"/>
      <c r="L159" s="572">
        <v>1211.4000000000001</v>
      </c>
      <c r="M159" s="571"/>
      <c r="N159" s="570"/>
      <c r="W159" s="537" t="s">
        <v>8278</v>
      </c>
    </row>
    <row r="160" spans="1:30" s="536" customFormat="1" x14ac:dyDescent="0.2">
      <c r="A160" s="569"/>
      <c r="B160" s="671"/>
      <c r="C160" s="665" t="s">
        <v>2222</v>
      </c>
      <c r="D160" s="666"/>
      <c r="E160" s="666"/>
      <c r="F160" s="563"/>
      <c r="G160" s="563"/>
      <c r="H160" s="563"/>
      <c r="I160" s="563"/>
      <c r="J160" s="566"/>
      <c r="K160" s="563"/>
      <c r="L160" s="566"/>
      <c r="M160" s="565"/>
      <c r="N160" s="564"/>
    </row>
    <row r="161" spans="1:30" s="536" customFormat="1" x14ac:dyDescent="0.2">
      <c r="A161" s="676"/>
      <c r="B161" s="664"/>
      <c r="C161" s="1822" t="s">
        <v>2607</v>
      </c>
      <c r="D161" s="1822"/>
      <c r="E161" s="1822"/>
      <c r="F161" s="1822"/>
      <c r="G161" s="1822"/>
      <c r="H161" s="1822"/>
      <c r="I161" s="1822"/>
      <c r="J161" s="1822"/>
      <c r="K161" s="1822"/>
      <c r="L161" s="1822"/>
      <c r="M161" s="1822"/>
      <c r="N161" s="1827"/>
      <c r="AD161" s="537" t="s">
        <v>2607</v>
      </c>
    </row>
    <row r="162" spans="1:30" s="536" customFormat="1" ht="33.75" x14ac:dyDescent="0.2">
      <c r="A162" s="575" t="s">
        <v>1067</v>
      </c>
      <c r="B162" s="670" t="s">
        <v>8279</v>
      </c>
      <c r="C162" s="1823" t="s">
        <v>8280</v>
      </c>
      <c r="D162" s="1823"/>
      <c r="E162" s="1823"/>
      <c r="F162" s="573" t="s">
        <v>617</v>
      </c>
      <c r="G162" s="573"/>
      <c r="H162" s="573"/>
      <c r="I162" s="573" t="s">
        <v>191</v>
      </c>
      <c r="J162" s="572"/>
      <c r="K162" s="573"/>
      <c r="L162" s="572"/>
      <c r="M162" s="571"/>
      <c r="N162" s="570"/>
      <c r="W162" s="537" t="s">
        <v>8280</v>
      </c>
    </row>
    <row r="163" spans="1:30" s="536" customFormat="1" ht="33.75" x14ac:dyDescent="0.2">
      <c r="A163" s="609"/>
      <c r="B163" s="552" t="s">
        <v>310</v>
      </c>
      <c r="C163" s="1822" t="s">
        <v>311</v>
      </c>
      <c r="D163" s="1822"/>
      <c r="E163" s="1822"/>
      <c r="F163" s="1822"/>
      <c r="G163" s="1822"/>
      <c r="H163" s="1822"/>
      <c r="I163" s="1822"/>
      <c r="J163" s="1822"/>
      <c r="K163" s="1822"/>
      <c r="L163" s="1822"/>
      <c r="M163" s="1822"/>
      <c r="N163" s="1827"/>
      <c r="X163" s="537" t="s">
        <v>311</v>
      </c>
    </row>
    <row r="164" spans="1:30" s="536" customFormat="1" x14ac:dyDescent="0.2">
      <c r="A164" s="605"/>
      <c r="B164" s="552" t="s">
        <v>185</v>
      </c>
      <c r="C164" s="1822" t="s">
        <v>312</v>
      </c>
      <c r="D164" s="1822"/>
      <c r="E164" s="1822"/>
      <c r="F164" s="562"/>
      <c r="G164" s="562"/>
      <c r="H164" s="562"/>
      <c r="I164" s="562"/>
      <c r="J164" s="604">
        <v>8.08</v>
      </c>
      <c r="K164" s="562" t="s">
        <v>313</v>
      </c>
      <c r="L164" s="604">
        <v>70.7</v>
      </c>
      <c r="M164" s="603"/>
      <c r="N164" s="602"/>
      <c r="Y164" s="537" t="s">
        <v>312</v>
      </c>
    </row>
    <row r="165" spans="1:30" s="536" customFormat="1" x14ac:dyDescent="0.2">
      <c r="A165" s="605"/>
      <c r="B165" s="552" t="s">
        <v>188</v>
      </c>
      <c r="C165" s="1822" t="s">
        <v>475</v>
      </c>
      <c r="D165" s="1822"/>
      <c r="E165" s="1822"/>
      <c r="F165" s="562"/>
      <c r="G165" s="562"/>
      <c r="H165" s="562"/>
      <c r="I165" s="562"/>
      <c r="J165" s="604">
        <v>1.88</v>
      </c>
      <c r="K165" s="562"/>
      <c r="L165" s="604">
        <v>13.16</v>
      </c>
      <c r="M165" s="603"/>
      <c r="N165" s="602"/>
      <c r="Y165" s="537" t="s">
        <v>475</v>
      </c>
    </row>
    <row r="166" spans="1:30" s="536" customFormat="1" x14ac:dyDescent="0.2">
      <c r="A166" s="605"/>
      <c r="B166" s="552"/>
      <c r="C166" s="1822" t="s">
        <v>314</v>
      </c>
      <c r="D166" s="1822"/>
      <c r="E166" s="1822"/>
      <c r="F166" s="562" t="s">
        <v>315</v>
      </c>
      <c r="G166" s="562" t="s">
        <v>8210</v>
      </c>
      <c r="H166" s="562" t="s">
        <v>313</v>
      </c>
      <c r="I166" s="562" t="s">
        <v>8281</v>
      </c>
      <c r="J166" s="604"/>
      <c r="K166" s="562"/>
      <c r="L166" s="604"/>
      <c r="M166" s="603"/>
      <c r="N166" s="602"/>
      <c r="AA166" s="537" t="s">
        <v>314</v>
      </c>
    </row>
    <row r="167" spans="1:30" s="536" customFormat="1" x14ac:dyDescent="0.2">
      <c r="A167" s="605"/>
      <c r="B167" s="552"/>
      <c r="C167" s="1828" t="s">
        <v>318</v>
      </c>
      <c r="D167" s="1828"/>
      <c r="E167" s="1828"/>
      <c r="F167" s="608"/>
      <c r="G167" s="608"/>
      <c r="H167" s="608"/>
      <c r="I167" s="608"/>
      <c r="J167" s="607">
        <v>9.9600000000000009</v>
      </c>
      <c r="K167" s="608"/>
      <c r="L167" s="607">
        <v>83.86</v>
      </c>
      <c r="M167" s="601"/>
      <c r="N167" s="606"/>
      <c r="AB167" s="537" t="s">
        <v>318</v>
      </c>
    </row>
    <row r="168" spans="1:30" s="536" customFormat="1" x14ac:dyDescent="0.2">
      <c r="A168" s="605"/>
      <c r="B168" s="552"/>
      <c r="C168" s="1822" t="s">
        <v>319</v>
      </c>
      <c r="D168" s="1822"/>
      <c r="E168" s="1822"/>
      <c r="F168" s="562"/>
      <c r="G168" s="562"/>
      <c r="H168" s="562"/>
      <c r="I168" s="562"/>
      <c r="J168" s="604"/>
      <c r="K168" s="562"/>
      <c r="L168" s="604">
        <v>70.7</v>
      </c>
      <c r="M168" s="603"/>
      <c r="N168" s="602"/>
      <c r="AA168" s="537" t="s">
        <v>319</v>
      </c>
    </row>
    <row r="169" spans="1:30" s="536" customFormat="1" ht="33.75" x14ac:dyDescent="0.2">
      <c r="A169" s="605"/>
      <c r="B169" s="552" t="s">
        <v>884</v>
      </c>
      <c r="C169" s="1822" t="s">
        <v>885</v>
      </c>
      <c r="D169" s="1822"/>
      <c r="E169" s="1822"/>
      <c r="F169" s="562" t="s">
        <v>322</v>
      </c>
      <c r="G169" s="562" t="s">
        <v>886</v>
      </c>
      <c r="H169" s="562"/>
      <c r="I169" s="562" t="s">
        <v>886</v>
      </c>
      <c r="J169" s="604"/>
      <c r="K169" s="562"/>
      <c r="L169" s="604">
        <v>63.63</v>
      </c>
      <c r="M169" s="603"/>
      <c r="N169" s="602"/>
      <c r="AA169" s="537" t="s">
        <v>885</v>
      </c>
    </row>
    <row r="170" spans="1:30" s="536" customFormat="1" ht="33.75" x14ac:dyDescent="0.2">
      <c r="A170" s="605"/>
      <c r="B170" s="552" t="s">
        <v>887</v>
      </c>
      <c r="C170" s="1822" t="s">
        <v>888</v>
      </c>
      <c r="D170" s="1822"/>
      <c r="E170" s="1822"/>
      <c r="F170" s="562" t="s">
        <v>322</v>
      </c>
      <c r="G170" s="562" t="s">
        <v>465</v>
      </c>
      <c r="H170" s="562"/>
      <c r="I170" s="562" t="s">
        <v>465</v>
      </c>
      <c r="J170" s="604"/>
      <c r="K170" s="562"/>
      <c r="L170" s="604">
        <v>32.520000000000003</v>
      </c>
      <c r="M170" s="603"/>
      <c r="N170" s="602"/>
      <c r="AA170" s="537" t="s">
        <v>888</v>
      </c>
    </row>
    <row r="171" spans="1:30" s="536" customFormat="1" x14ac:dyDescent="0.2">
      <c r="A171" s="569"/>
      <c r="B171" s="671"/>
      <c r="C171" s="1823" t="s">
        <v>327</v>
      </c>
      <c r="D171" s="1823"/>
      <c r="E171" s="1823"/>
      <c r="F171" s="573"/>
      <c r="G171" s="573"/>
      <c r="H171" s="573"/>
      <c r="I171" s="573"/>
      <c r="J171" s="572"/>
      <c r="K171" s="573"/>
      <c r="L171" s="572">
        <v>180.01</v>
      </c>
      <c r="M171" s="601"/>
      <c r="N171" s="570"/>
      <c r="AC171" s="537" t="s">
        <v>327</v>
      </c>
    </row>
    <row r="172" spans="1:30" s="536" customFormat="1" ht="22.5" x14ac:dyDescent="0.2">
      <c r="A172" s="575" t="s">
        <v>749</v>
      </c>
      <c r="B172" s="670" t="s">
        <v>8282</v>
      </c>
      <c r="C172" s="1823" t="s">
        <v>8283</v>
      </c>
      <c r="D172" s="1823"/>
      <c r="E172" s="1823"/>
      <c r="F172" s="573" t="s">
        <v>889</v>
      </c>
      <c r="G172" s="573"/>
      <c r="H172" s="573"/>
      <c r="I172" s="573" t="s">
        <v>891</v>
      </c>
      <c r="J172" s="572">
        <v>723.7</v>
      </c>
      <c r="K172" s="573"/>
      <c r="L172" s="572">
        <v>506.59</v>
      </c>
      <c r="M172" s="571"/>
      <c r="N172" s="570"/>
      <c r="W172" s="537" t="s">
        <v>8283</v>
      </c>
    </row>
    <row r="173" spans="1:30" s="536" customFormat="1" x14ac:dyDescent="0.2">
      <c r="A173" s="569"/>
      <c r="B173" s="671"/>
      <c r="C173" s="665" t="s">
        <v>2222</v>
      </c>
      <c r="D173" s="666"/>
      <c r="E173" s="666"/>
      <c r="F173" s="563"/>
      <c r="G173" s="563"/>
      <c r="H173" s="563"/>
      <c r="I173" s="563"/>
      <c r="J173" s="566"/>
      <c r="K173" s="563"/>
      <c r="L173" s="566"/>
      <c r="M173" s="565"/>
      <c r="N173" s="564"/>
    </row>
    <row r="174" spans="1:30" s="536" customFormat="1" x14ac:dyDescent="0.2">
      <c r="A174" s="676"/>
      <c r="B174" s="664"/>
      <c r="C174" s="1822" t="s">
        <v>8284</v>
      </c>
      <c r="D174" s="1822"/>
      <c r="E174" s="1822"/>
      <c r="F174" s="1822"/>
      <c r="G174" s="1822"/>
      <c r="H174" s="1822"/>
      <c r="I174" s="1822"/>
      <c r="J174" s="1822"/>
      <c r="K174" s="1822"/>
      <c r="L174" s="1822"/>
      <c r="M174" s="1822"/>
      <c r="N174" s="1827"/>
      <c r="AD174" s="537" t="s">
        <v>8284</v>
      </c>
    </row>
    <row r="175" spans="1:30" s="536" customFormat="1" ht="22.5" x14ac:dyDescent="0.2">
      <c r="A175" s="575" t="s">
        <v>757</v>
      </c>
      <c r="B175" s="670" t="s">
        <v>3132</v>
      </c>
      <c r="C175" s="1823" t="s">
        <v>3133</v>
      </c>
      <c r="D175" s="1823"/>
      <c r="E175" s="1823"/>
      <c r="F175" s="573" t="s">
        <v>617</v>
      </c>
      <c r="G175" s="573"/>
      <c r="H175" s="573"/>
      <c r="I175" s="573" t="s">
        <v>185</v>
      </c>
      <c r="J175" s="572"/>
      <c r="K175" s="573"/>
      <c r="L175" s="572"/>
      <c r="M175" s="571"/>
      <c r="N175" s="570"/>
      <c r="W175" s="537" t="s">
        <v>3133</v>
      </c>
    </row>
    <row r="176" spans="1:30" s="536" customFormat="1" ht="33.75" x14ac:dyDescent="0.2">
      <c r="A176" s="609"/>
      <c r="B176" s="552" t="s">
        <v>310</v>
      </c>
      <c r="C176" s="1822" t="s">
        <v>311</v>
      </c>
      <c r="D176" s="1822"/>
      <c r="E176" s="1822"/>
      <c r="F176" s="1822"/>
      <c r="G176" s="1822"/>
      <c r="H176" s="1822"/>
      <c r="I176" s="1822"/>
      <c r="J176" s="1822"/>
      <c r="K176" s="1822"/>
      <c r="L176" s="1822"/>
      <c r="M176" s="1822"/>
      <c r="N176" s="1827"/>
      <c r="X176" s="537" t="s">
        <v>311</v>
      </c>
    </row>
    <row r="177" spans="1:29" s="536" customFormat="1" x14ac:dyDescent="0.2">
      <c r="A177" s="605"/>
      <c r="B177" s="552" t="s">
        <v>185</v>
      </c>
      <c r="C177" s="1822" t="s">
        <v>312</v>
      </c>
      <c r="D177" s="1822"/>
      <c r="E177" s="1822"/>
      <c r="F177" s="562"/>
      <c r="G177" s="562"/>
      <c r="H177" s="562"/>
      <c r="I177" s="562"/>
      <c r="J177" s="604">
        <v>53.16</v>
      </c>
      <c r="K177" s="562" t="s">
        <v>313</v>
      </c>
      <c r="L177" s="604">
        <v>66.45</v>
      </c>
      <c r="M177" s="603"/>
      <c r="N177" s="602"/>
      <c r="Y177" s="537" t="s">
        <v>312</v>
      </c>
    </row>
    <row r="178" spans="1:29" s="536" customFormat="1" x14ac:dyDescent="0.2">
      <c r="A178" s="605"/>
      <c r="B178" s="552" t="s">
        <v>188</v>
      </c>
      <c r="C178" s="1822" t="s">
        <v>475</v>
      </c>
      <c r="D178" s="1822"/>
      <c r="E178" s="1822"/>
      <c r="F178" s="562"/>
      <c r="G178" s="562"/>
      <c r="H178" s="562"/>
      <c r="I178" s="562"/>
      <c r="J178" s="604">
        <v>15.92</v>
      </c>
      <c r="K178" s="562"/>
      <c r="L178" s="604">
        <v>15.92</v>
      </c>
      <c r="M178" s="603"/>
      <c r="N178" s="602"/>
      <c r="Y178" s="537" t="s">
        <v>475</v>
      </c>
    </row>
    <row r="179" spans="1:29" s="536" customFormat="1" x14ac:dyDescent="0.2">
      <c r="A179" s="676"/>
      <c r="B179" s="677" t="s">
        <v>3084</v>
      </c>
      <c r="C179" s="1829" t="s">
        <v>3085</v>
      </c>
      <c r="D179" s="1829"/>
      <c r="E179" s="1829"/>
      <c r="F179" s="678" t="s">
        <v>694</v>
      </c>
      <c r="G179" s="678" t="s">
        <v>856</v>
      </c>
      <c r="H179" s="678"/>
      <c r="I179" s="678" t="s">
        <v>856</v>
      </c>
      <c r="J179" s="552"/>
      <c r="K179" s="562"/>
      <c r="L179" s="604"/>
      <c r="M179" s="562"/>
      <c r="N179" s="679"/>
      <c r="Z179" s="537" t="s">
        <v>3085</v>
      </c>
    </row>
    <row r="180" spans="1:29" s="536" customFormat="1" x14ac:dyDescent="0.2">
      <c r="A180" s="605"/>
      <c r="B180" s="552"/>
      <c r="C180" s="1822" t="s">
        <v>314</v>
      </c>
      <c r="D180" s="1822"/>
      <c r="E180" s="1822"/>
      <c r="F180" s="562" t="s">
        <v>315</v>
      </c>
      <c r="G180" s="562" t="s">
        <v>190</v>
      </c>
      <c r="H180" s="562" t="s">
        <v>313</v>
      </c>
      <c r="I180" s="562" t="s">
        <v>1071</v>
      </c>
      <c r="J180" s="604"/>
      <c r="K180" s="562"/>
      <c r="L180" s="604"/>
      <c r="M180" s="603"/>
      <c r="N180" s="602"/>
      <c r="AA180" s="537" t="s">
        <v>314</v>
      </c>
    </row>
    <row r="181" spans="1:29" s="536" customFormat="1" x14ac:dyDescent="0.2">
      <c r="A181" s="605"/>
      <c r="B181" s="552"/>
      <c r="C181" s="1828" t="s">
        <v>318</v>
      </c>
      <c r="D181" s="1828"/>
      <c r="E181" s="1828"/>
      <c r="F181" s="608"/>
      <c r="G181" s="608"/>
      <c r="H181" s="608"/>
      <c r="I181" s="608"/>
      <c r="J181" s="607">
        <v>69.08</v>
      </c>
      <c r="K181" s="608"/>
      <c r="L181" s="607">
        <v>82.37</v>
      </c>
      <c r="M181" s="601"/>
      <c r="N181" s="606"/>
      <c r="AB181" s="537" t="s">
        <v>318</v>
      </c>
    </row>
    <row r="182" spans="1:29" s="536" customFormat="1" x14ac:dyDescent="0.2">
      <c r="A182" s="605"/>
      <c r="B182" s="552"/>
      <c r="C182" s="1822" t="s">
        <v>319</v>
      </c>
      <c r="D182" s="1822"/>
      <c r="E182" s="1822"/>
      <c r="F182" s="562"/>
      <c r="G182" s="562"/>
      <c r="H182" s="562"/>
      <c r="I182" s="562"/>
      <c r="J182" s="604"/>
      <c r="K182" s="562"/>
      <c r="L182" s="604">
        <v>66.45</v>
      </c>
      <c r="M182" s="603"/>
      <c r="N182" s="602"/>
      <c r="AA182" s="537" t="s">
        <v>319</v>
      </c>
    </row>
    <row r="183" spans="1:29" s="536" customFormat="1" ht="33.75" x14ac:dyDescent="0.2">
      <c r="A183" s="605"/>
      <c r="B183" s="552" t="s">
        <v>620</v>
      </c>
      <c r="C183" s="1822" t="s">
        <v>621</v>
      </c>
      <c r="D183" s="1822"/>
      <c r="E183" s="1822"/>
      <c r="F183" s="562" t="s">
        <v>322</v>
      </c>
      <c r="G183" s="562" t="s">
        <v>559</v>
      </c>
      <c r="H183" s="562"/>
      <c r="I183" s="562" t="s">
        <v>559</v>
      </c>
      <c r="J183" s="604"/>
      <c r="K183" s="562"/>
      <c r="L183" s="604">
        <v>63.13</v>
      </c>
      <c r="M183" s="603"/>
      <c r="N183" s="602"/>
      <c r="AA183" s="537" t="s">
        <v>621</v>
      </c>
    </row>
    <row r="184" spans="1:29" s="536" customFormat="1" ht="33.75" x14ac:dyDescent="0.2">
      <c r="A184" s="605"/>
      <c r="B184" s="552" t="s">
        <v>622</v>
      </c>
      <c r="C184" s="1822" t="s">
        <v>623</v>
      </c>
      <c r="D184" s="1822"/>
      <c r="E184" s="1822"/>
      <c r="F184" s="562" t="s">
        <v>322</v>
      </c>
      <c r="G184" s="562" t="s">
        <v>624</v>
      </c>
      <c r="H184" s="562"/>
      <c r="I184" s="562" t="s">
        <v>624</v>
      </c>
      <c r="J184" s="604"/>
      <c r="K184" s="562"/>
      <c r="L184" s="604">
        <v>35.22</v>
      </c>
      <c r="M184" s="603"/>
      <c r="N184" s="602"/>
      <c r="AA184" s="537" t="s">
        <v>623</v>
      </c>
    </row>
    <row r="185" spans="1:29" s="536" customFormat="1" x14ac:dyDescent="0.2">
      <c r="A185" s="569"/>
      <c r="B185" s="671"/>
      <c r="C185" s="1823" t="s">
        <v>327</v>
      </c>
      <c r="D185" s="1823"/>
      <c r="E185" s="1823"/>
      <c r="F185" s="573"/>
      <c r="G185" s="573"/>
      <c r="H185" s="573"/>
      <c r="I185" s="573"/>
      <c r="J185" s="572"/>
      <c r="K185" s="573"/>
      <c r="L185" s="572">
        <v>180.72</v>
      </c>
      <c r="M185" s="601"/>
      <c r="N185" s="570"/>
      <c r="AC185" s="537" t="s">
        <v>327</v>
      </c>
    </row>
    <row r="186" spans="1:29" s="536" customFormat="1" ht="33.75" x14ac:dyDescent="0.2">
      <c r="A186" s="575" t="s">
        <v>758</v>
      </c>
      <c r="B186" s="670" t="s">
        <v>3134</v>
      </c>
      <c r="C186" s="1823" t="s">
        <v>8285</v>
      </c>
      <c r="D186" s="1823"/>
      <c r="E186" s="1823"/>
      <c r="F186" s="573" t="s">
        <v>617</v>
      </c>
      <c r="G186" s="573"/>
      <c r="H186" s="573"/>
      <c r="I186" s="573" t="s">
        <v>185</v>
      </c>
      <c r="J186" s="572">
        <v>4312.04</v>
      </c>
      <c r="K186" s="573" t="s">
        <v>629</v>
      </c>
      <c r="L186" s="572">
        <v>950.76</v>
      </c>
      <c r="M186" s="571">
        <v>4.59</v>
      </c>
      <c r="N186" s="570">
        <v>4364</v>
      </c>
      <c r="W186" s="537" t="s">
        <v>8285</v>
      </c>
    </row>
    <row r="187" spans="1:29" s="536" customFormat="1" x14ac:dyDescent="0.2">
      <c r="A187" s="569"/>
      <c r="B187" s="671"/>
      <c r="C187" s="665" t="s">
        <v>630</v>
      </c>
      <c r="D187" s="666"/>
      <c r="E187" s="666"/>
      <c r="F187" s="563"/>
      <c r="G187" s="563"/>
      <c r="H187" s="563"/>
      <c r="I187" s="563"/>
      <c r="J187" s="566"/>
      <c r="K187" s="563"/>
      <c r="L187" s="566"/>
      <c r="M187" s="565"/>
      <c r="N187" s="564"/>
    </row>
    <row r="188" spans="1:29" s="536" customFormat="1" ht="22.5" x14ac:dyDescent="0.2">
      <c r="A188" s="609"/>
      <c r="B188" s="552" t="s">
        <v>631</v>
      </c>
      <c r="C188" s="1822" t="s">
        <v>632</v>
      </c>
      <c r="D188" s="1822"/>
      <c r="E188" s="1822"/>
      <c r="F188" s="1822"/>
      <c r="G188" s="1822"/>
      <c r="H188" s="1822"/>
      <c r="I188" s="1822"/>
      <c r="J188" s="1822"/>
      <c r="K188" s="1822"/>
      <c r="L188" s="1822"/>
      <c r="M188" s="1822"/>
      <c r="N188" s="1827"/>
      <c r="X188" s="537" t="s">
        <v>632</v>
      </c>
    </row>
    <row r="189" spans="1:29" s="536" customFormat="1" ht="22.5" x14ac:dyDescent="0.2">
      <c r="A189" s="575" t="s">
        <v>759</v>
      </c>
      <c r="B189" s="670" t="s">
        <v>8199</v>
      </c>
      <c r="C189" s="1823" t="s">
        <v>8200</v>
      </c>
      <c r="D189" s="1823"/>
      <c r="E189" s="1823"/>
      <c r="F189" s="573" t="s">
        <v>617</v>
      </c>
      <c r="G189" s="573"/>
      <c r="H189" s="573"/>
      <c r="I189" s="573" t="s">
        <v>185</v>
      </c>
      <c r="J189" s="572"/>
      <c r="K189" s="573"/>
      <c r="L189" s="572"/>
      <c r="M189" s="571"/>
      <c r="N189" s="570"/>
      <c r="W189" s="537" t="s">
        <v>8200</v>
      </c>
    </row>
    <row r="190" spans="1:29" s="536" customFormat="1" ht="33.75" x14ac:dyDescent="0.2">
      <c r="A190" s="609"/>
      <c r="B190" s="552" t="s">
        <v>310</v>
      </c>
      <c r="C190" s="1822" t="s">
        <v>311</v>
      </c>
      <c r="D190" s="1822"/>
      <c r="E190" s="1822"/>
      <c r="F190" s="1822"/>
      <c r="G190" s="1822"/>
      <c r="H190" s="1822"/>
      <c r="I190" s="1822"/>
      <c r="J190" s="1822"/>
      <c r="K190" s="1822"/>
      <c r="L190" s="1822"/>
      <c r="M190" s="1822"/>
      <c r="N190" s="1827"/>
      <c r="X190" s="537" t="s">
        <v>311</v>
      </c>
    </row>
    <row r="191" spans="1:29" s="536" customFormat="1" x14ac:dyDescent="0.2">
      <c r="A191" s="605"/>
      <c r="B191" s="552" t="s">
        <v>185</v>
      </c>
      <c r="C191" s="1822" t="s">
        <v>312</v>
      </c>
      <c r="D191" s="1822"/>
      <c r="E191" s="1822"/>
      <c r="F191" s="562"/>
      <c r="G191" s="562"/>
      <c r="H191" s="562"/>
      <c r="I191" s="562"/>
      <c r="J191" s="604">
        <v>12.25</v>
      </c>
      <c r="K191" s="562" t="s">
        <v>313</v>
      </c>
      <c r="L191" s="604">
        <v>15.31</v>
      </c>
      <c r="M191" s="603"/>
      <c r="N191" s="602"/>
      <c r="Y191" s="537" t="s">
        <v>312</v>
      </c>
    </row>
    <row r="192" spans="1:29" s="536" customFormat="1" x14ac:dyDescent="0.2">
      <c r="A192" s="605"/>
      <c r="B192" s="552" t="s">
        <v>188</v>
      </c>
      <c r="C192" s="1822" t="s">
        <v>475</v>
      </c>
      <c r="D192" s="1822"/>
      <c r="E192" s="1822"/>
      <c r="F192" s="562"/>
      <c r="G192" s="562"/>
      <c r="H192" s="562"/>
      <c r="I192" s="562"/>
      <c r="J192" s="604">
        <v>3.44</v>
      </c>
      <c r="K192" s="562"/>
      <c r="L192" s="604">
        <v>3.44</v>
      </c>
      <c r="M192" s="603"/>
      <c r="N192" s="602"/>
      <c r="Y192" s="537" t="s">
        <v>475</v>
      </c>
    </row>
    <row r="193" spans="1:29" s="536" customFormat="1" x14ac:dyDescent="0.2">
      <c r="A193" s="605"/>
      <c r="B193" s="552"/>
      <c r="C193" s="1822" t="s">
        <v>314</v>
      </c>
      <c r="D193" s="1822"/>
      <c r="E193" s="1822"/>
      <c r="F193" s="562" t="s">
        <v>315</v>
      </c>
      <c r="G193" s="562" t="s">
        <v>1908</v>
      </c>
      <c r="H193" s="562" t="s">
        <v>313</v>
      </c>
      <c r="I193" s="562" t="s">
        <v>1520</v>
      </c>
      <c r="J193" s="604"/>
      <c r="K193" s="562"/>
      <c r="L193" s="604"/>
      <c r="M193" s="603"/>
      <c r="N193" s="602"/>
      <c r="AA193" s="537" t="s">
        <v>314</v>
      </c>
    </row>
    <row r="194" spans="1:29" s="536" customFormat="1" x14ac:dyDescent="0.2">
      <c r="A194" s="605"/>
      <c r="B194" s="552"/>
      <c r="C194" s="1828" t="s">
        <v>318</v>
      </c>
      <c r="D194" s="1828"/>
      <c r="E194" s="1828"/>
      <c r="F194" s="608"/>
      <c r="G194" s="608"/>
      <c r="H194" s="608"/>
      <c r="I194" s="608"/>
      <c r="J194" s="607">
        <v>15.69</v>
      </c>
      <c r="K194" s="608"/>
      <c r="L194" s="607">
        <v>18.75</v>
      </c>
      <c r="M194" s="601"/>
      <c r="N194" s="606"/>
      <c r="AB194" s="537" t="s">
        <v>318</v>
      </c>
    </row>
    <row r="195" spans="1:29" s="536" customFormat="1" x14ac:dyDescent="0.2">
      <c r="A195" s="605"/>
      <c r="B195" s="552"/>
      <c r="C195" s="1822" t="s">
        <v>319</v>
      </c>
      <c r="D195" s="1822"/>
      <c r="E195" s="1822"/>
      <c r="F195" s="562"/>
      <c r="G195" s="562"/>
      <c r="H195" s="562"/>
      <c r="I195" s="562"/>
      <c r="J195" s="604"/>
      <c r="K195" s="562"/>
      <c r="L195" s="604">
        <v>15.31</v>
      </c>
      <c r="M195" s="603"/>
      <c r="N195" s="602"/>
      <c r="AA195" s="537" t="s">
        <v>319</v>
      </c>
    </row>
    <row r="196" spans="1:29" s="536" customFormat="1" ht="33.75" x14ac:dyDescent="0.2">
      <c r="A196" s="605"/>
      <c r="B196" s="552" t="s">
        <v>884</v>
      </c>
      <c r="C196" s="1822" t="s">
        <v>885</v>
      </c>
      <c r="D196" s="1822"/>
      <c r="E196" s="1822"/>
      <c r="F196" s="562" t="s">
        <v>322</v>
      </c>
      <c r="G196" s="562" t="s">
        <v>886</v>
      </c>
      <c r="H196" s="562"/>
      <c r="I196" s="562" t="s">
        <v>886</v>
      </c>
      <c r="J196" s="604"/>
      <c r="K196" s="562"/>
      <c r="L196" s="604">
        <v>13.78</v>
      </c>
      <c r="M196" s="603"/>
      <c r="N196" s="602"/>
      <c r="AA196" s="537" t="s">
        <v>885</v>
      </c>
    </row>
    <row r="197" spans="1:29" s="536" customFormat="1" ht="33.75" x14ac:dyDescent="0.2">
      <c r="A197" s="605"/>
      <c r="B197" s="552" t="s">
        <v>887</v>
      </c>
      <c r="C197" s="1822" t="s">
        <v>888</v>
      </c>
      <c r="D197" s="1822"/>
      <c r="E197" s="1822"/>
      <c r="F197" s="562" t="s">
        <v>322</v>
      </c>
      <c r="G197" s="562" t="s">
        <v>465</v>
      </c>
      <c r="H197" s="562"/>
      <c r="I197" s="562" t="s">
        <v>465</v>
      </c>
      <c r="J197" s="604"/>
      <c r="K197" s="562"/>
      <c r="L197" s="604">
        <v>7.04</v>
      </c>
      <c r="M197" s="603"/>
      <c r="N197" s="602"/>
      <c r="AA197" s="537" t="s">
        <v>888</v>
      </c>
    </row>
    <row r="198" spans="1:29" s="536" customFormat="1" x14ac:dyDescent="0.2">
      <c r="A198" s="569"/>
      <c r="B198" s="671"/>
      <c r="C198" s="1823" t="s">
        <v>327</v>
      </c>
      <c r="D198" s="1823"/>
      <c r="E198" s="1823"/>
      <c r="F198" s="573"/>
      <c r="G198" s="573"/>
      <c r="H198" s="573"/>
      <c r="I198" s="573"/>
      <c r="J198" s="572"/>
      <c r="K198" s="573"/>
      <c r="L198" s="572">
        <v>39.57</v>
      </c>
      <c r="M198" s="601"/>
      <c r="N198" s="570"/>
      <c r="AC198" s="537" t="s">
        <v>327</v>
      </c>
    </row>
    <row r="199" spans="1:29" s="536" customFormat="1" ht="33.75" x14ac:dyDescent="0.2">
      <c r="A199" s="575" t="s">
        <v>760</v>
      </c>
      <c r="B199" s="670" t="s">
        <v>8286</v>
      </c>
      <c r="C199" s="1823" t="s">
        <v>8287</v>
      </c>
      <c r="D199" s="1823"/>
      <c r="E199" s="1823"/>
      <c r="F199" s="573" t="s">
        <v>617</v>
      </c>
      <c r="G199" s="573"/>
      <c r="H199" s="573"/>
      <c r="I199" s="573" t="s">
        <v>185</v>
      </c>
      <c r="J199" s="572">
        <v>642.78</v>
      </c>
      <c r="K199" s="573"/>
      <c r="L199" s="572">
        <v>642.78</v>
      </c>
      <c r="M199" s="571"/>
      <c r="N199" s="570"/>
      <c r="W199" s="537" t="s">
        <v>8287</v>
      </c>
    </row>
    <row r="200" spans="1:29" s="536" customFormat="1" x14ac:dyDescent="0.2">
      <c r="A200" s="569"/>
      <c r="B200" s="671"/>
      <c r="C200" s="665" t="s">
        <v>2222</v>
      </c>
      <c r="D200" s="666"/>
      <c r="E200" s="666"/>
      <c r="F200" s="563"/>
      <c r="G200" s="563"/>
      <c r="H200" s="563"/>
      <c r="I200" s="563"/>
      <c r="J200" s="566"/>
      <c r="K200" s="563"/>
      <c r="L200" s="566"/>
      <c r="M200" s="565"/>
      <c r="N200" s="564"/>
    </row>
    <row r="201" spans="1:29" s="536" customFormat="1" ht="22.5" x14ac:dyDescent="0.2">
      <c r="A201" s="575" t="s">
        <v>761</v>
      </c>
      <c r="B201" s="670" t="s">
        <v>3150</v>
      </c>
      <c r="C201" s="1823" t="s">
        <v>3151</v>
      </c>
      <c r="D201" s="1823"/>
      <c r="E201" s="1823"/>
      <c r="F201" s="573" t="s">
        <v>617</v>
      </c>
      <c r="G201" s="573"/>
      <c r="H201" s="573"/>
      <c r="I201" s="573" t="s">
        <v>185</v>
      </c>
      <c r="J201" s="572"/>
      <c r="K201" s="573"/>
      <c r="L201" s="572"/>
      <c r="M201" s="571"/>
      <c r="N201" s="570"/>
      <c r="W201" s="537" t="s">
        <v>3151</v>
      </c>
    </row>
    <row r="202" spans="1:29" s="536" customFormat="1" ht="33.75" x14ac:dyDescent="0.2">
      <c r="A202" s="609"/>
      <c r="B202" s="552" t="s">
        <v>310</v>
      </c>
      <c r="C202" s="1822" t="s">
        <v>311</v>
      </c>
      <c r="D202" s="1822"/>
      <c r="E202" s="1822"/>
      <c r="F202" s="1822"/>
      <c r="G202" s="1822"/>
      <c r="H202" s="1822"/>
      <c r="I202" s="1822"/>
      <c r="J202" s="1822"/>
      <c r="K202" s="1822"/>
      <c r="L202" s="1822"/>
      <c r="M202" s="1822"/>
      <c r="N202" s="1827"/>
      <c r="X202" s="537" t="s">
        <v>311</v>
      </c>
    </row>
    <row r="203" spans="1:29" s="536" customFormat="1" x14ac:dyDescent="0.2">
      <c r="A203" s="605"/>
      <c r="B203" s="552" t="s">
        <v>185</v>
      </c>
      <c r="C203" s="1822" t="s">
        <v>312</v>
      </c>
      <c r="D203" s="1822"/>
      <c r="E203" s="1822"/>
      <c r="F203" s="562"/>
      <c r="G203" s="562"/>
      <c r="H203" s="562"/>
      <c r="I203" s="562"/>
      <c r="J203" s="604">
        <v>8.9</v>
      </c>
      <c r="K203" s="562" t="s">
        <v>313</v>
      </c>
      <c r="L203" s="604">
        <v>11.13</v>
      </c>
      <c r="M203" s="603"/>
      <c r="N203" s="602"/>
      <c r="Y203" s="537" t="s">
        <v>312</v>
      </c>
    </row>
    <row r="204" spans="1:29" s="536" customFormat="1" x14ac:dyDescent="0.2">
      <c r="A204" s="605"/>
      <c r="B204" s="552" t="s">
        <v>186</v>
      </c>
      <c r="C204" s="1822" t="s">
        <v>344</v>
      </c>
      <c r="D204" s="1822"/>
      <c r="E204" s="1822"/>
      <c r="F204" s="562"/>
      <c r="G204" s="562"/>
      <c r="H204" s="562"/>
      <c r="I204" s="562"/>
      <c r="J204" s="604">
        <v>0.66</v>
      </c>
      <c r="K204" s="562" t="s">
        <v>313</v>
      </c>
      <c r="L204" s="604">
        <v>0.83</v>
      </c>
      <c r="M204" s="603"/>
      <c r="N204" s="602"/>
      <c r="Y204" s="537" t="s">
        <v>344</v>
      </c>
    </row>
    <row r="205" spans="1:29" s="536" customFormat="1" x14ac:dyDescent="0.2">
      <c r="A205" s="605"/>
      <c r="B205" s="552" t="s">
        <v>187</v>
      </c>
      <c r="C205" s="1822" t="s">
        <v>345</v>
      </c>
      <c r="D205" s="1822"/>
      <c r="E205" s="1822"/>
      <c r="F205" s="562"/>
      <c r="G205" s="562"/>
      <c r="H205" s="562"/>
      <c r="I205" s="562"/>
      <c r="J205" s="604">
        <v>0.12</v>
      </c>
      <c r="K205" s="562" t="s">
        <v>313</v>
      </c>
      <c r="L205" s="604">
        <v>0.15</v>
      </c>
      <c r="M205" s="603"/>
      <c r="N205" s="602"/>
      <c r="Y205" s="537" t="s">
        <v>345</v>
      </c>
    </row>
    <row r="206" spans="1:29" s="536" customFormat="1" x14ac:dyDescent="0.2">
      <c r="A206" s="605"/>
      <c r="B206" s="552" t="s">
        <v>188</v>
      </c>
      <c r="C206" s="1822" t="s">
        <v>475</v>
      </c>
      <c r="D206" s="1822"/>
      <c r="E206" s="1822"/>
      <c r="F206" s="562"/>
      <c r="G206" s="562"/>
      <c r="H206" s="562"/>
      <c r="I206" s="562"/>
      <c r="J206" s="604">
        <v>0.18</v>
      </c>
      <c r="K206" s="562"/>
      <c r="L206" s="604">
        <v>0.18</v>
      </c>
      <c r="M206" s="603"/>
      <c r="N206" s="602"/>
      <c r="Y206" s="537" t="s">
        <v>475</v>
      </c>
    </row>
    <row r="207" spans="1:29" s="536" customFormat="1" x14ac:dyDescent="0.2">
      <c r="A207" s="605"/>
      <c r="B207" s="552"/>
      <c r="C207" s="1822" t="s">
        <v>314</v>
      </c>
      <c r="D207" s="1822"/>
      <c r="E207" s="1822"/>
      <c r="F207" s="562" t="s">
        <v>315</v>
      </c>
      <c r="G207" s="562" t="s">
        <v>702</v>
      </c>
      <c r="H207" s="562" t="s">
        <v>313</v>
      </c>
      <c r="I207" s="562" t="s">
        <v>3173</v>
      </c>
      <c r="J207" s="604"/>
      <c r="K207" s="562"/>
      <c r="L207" s="604"/>
      <c r="M207" s="603"/>
      <c r="N207" s="602"/>
      <c r="AA207" s="537" t="s">
        <v>314</v>
      </c>
    </row>
    <row r="208" spans="1:29" s="536" customFormat="1" x14ac:dyDescent="0.2">
      <c r="A208" s="605"/>
      <c r="B208" s="552"/>
      <c r="C208" s="1822" t="s">
        <v>348</v>
      </c>
      <c r="D208" s="1822"/>
      <c r="E208" s="1822"/>
      <c r="F208" s="562" t="s">
        <v>315</v>
      </c>
      <c r="G208" s="562" t="s">
        <v>809</v>
      </c>
      <c r="H208" s="562" t="s">
        <v>313</v>
      </c>
      <c r="I208" s="562" t="s">
        <v>810</v>
      </c>
      <c r="J208" s="604"/>
      <c r="K208" s="562"/>
      <c r="L208" s="604"/>
      <c r="M208" s="603"/>
      <c r="N208" s="602"/>
      <c r="AA208" s="537" t="s">
        <v>348</v>
      </c>
    </row>
    <row r="209" spans="1:30" s="536" customFormat="1" x14ac:dyDescent="0.2">
      <c r="A209" s="605"/>
      <c r="B209" s="552"/>
      <c r="C209" s="1828" t="s">
        <v>318</v>
      </c>
      <c r="D209" s="1828"/>
      <c r="E209" s="1828"/>
      <c r="F209" s="608"/>
      <c r="G209" s="608"/>
      <c r="H209" s="608"/>
      <c r="I209" s="608"/>
      <c r="J209" s="607">
        <v>9.74</v>
      </c>
      <c r="K209" s="608"/>
      <c r="L209" s="607">
        <v>12.14</v>
      </c>
      <c r="M209" s="601"/>
      <c r="N209" s="606"/>
      <c r="AB209" s="537" t="s">
        <v>318</v>
      </c>
    </row>
    <row r="210" spans="1:30" s="536" customFormat="1" x14ac:dyDescent="0.2">
      <c r="A210" s="605"/>
      <c r="B210" s="552"/>
      <c r="C210" s="1822" t="s">
        <v>319</v>
      </c>
      <c r="D210" s="1822"/>
      <c r="E210" s="1822"/>
      <c r="F210" s="562"/>
      <c r="G210" s="562"/>
      <c r="H210" s="562"/>
      <c r="I210" s="562"/>
      <c r="J210" s="604"/>
      <c r="K210" s="562"/>
      <c r="L210" s="604">
        <v>11.28</v>
      </c>
      <c r="M210" s="603"/>
      <c r="N210" s="602"/>
      <c r="AA210" s="537" t="s">
        <v>319</v>
      </c>
    </row>
    <row r="211" spans="1:30" s="536" customFormat="1" ht="33.75" x14ac:dyDescent="0.2">
      <c r="A211" s="605"/>
      <c r="B211" s="552" t="s">
        <v>948</v>
      </c>
      <c r="C211" s="1822" t="s">
        <v>949</v>
      </c>
      <c r="D211" s="1822"/>
      <c r="E211" s="1822"/>
      <c r="F211" s="562" t="s">
        <v>322</v>
      </c>
      <c r="G211" s="562" t="s">
        <v>886</v>
      </c>
      <c r="H211" s="562"/>
      <c r="I211" s="562" t="s">
        <v>886</v>
      </c>
      <c r="J211" s="604"/>
      <c r="K211" s="562"/>
      <c r="L211" s="604">
        <v>10.15</v>
      </c>
      <c r="M211" s="603"/>
      <c r="N211" s="602"/>
      <c r="AA211" s="537" t="s">
        <v>949</v>
      </c>
    </row>
    <row r="212" spans="1:30" s="536" customFormat="1" ht="33.75" x14ac:dyDescent="0.2">
      <c r="A212" s="605"/>
      <c r="B212" s="552" t="s">
        <v>950</v>
      </c>
      <c r="C212" s="1822" t="s">
        <v>951</v>
      </c>
      <c r="D212" s="1822"/>
      <c r="E212" s="1822"/>
      <c r="F212" s="562" t="s">
        <v>322</v>
      </c>
      <c r="G212" s="562" t="s">
        <v>465</v>
      </c>
      <c r="H212" s="562"/>
      <c r="I212" s="562" t="s">
        <v>465</v>
      </c>
      <c r="J212" s="604"/>
      <c r="K212" s="562"/>
      <c r="L212" s="604">
        <v>5.19</v>
      </c>
      <c r="M212" s="603"/>
      <c r="N212" s="602"/>
      <c r="AA212" s="537" t="s">
        <v>951</v>
      </c>
    </row>
    <row r="213" spans="1:30" s="536" customFormat="1" x14ac:dyDescent="0.2">
      <c r="A213" s="569"/>
      <c r="B213" s="671"/>
      <c r="C213" s="1823" t="s">
        <v>327</v>
      </c>
      <c r="D213" s="1823"/>
      <c r="E213" s="1823"/>
      <c r="F213" s="573"/>
      <c r="G213" s="573"/>
      <c r="H213" s="573"/>
      <c r="I213" s="573"/>
      <c r="J213" s="572"/>
      <c r="K213" s="573"/>
      <c r="L213" s="572">
        <v>27.48</v>
      </c>
      <c r="M213" s="601"/>
      <c r="N213" s="570"/>
      <c r="AC213" s="537" t="s">
        <v>327</v>
      </c>
    </row>
    <row r="214" spans="1:30" s="536" customFormat="1" ht="33.75" x14ac:dyDescent="0.2">
      <c r="A214" s="575" t="s">
        <v>919</v>
      </c>
      <c r="B214" s="670" t="s">
        <v>8178</v>
      </c>
      <c r="C214" s="1823" t="s">
        <v>8179</v>
      </c>
      <c r="D214" s="1823"/>
      <c r="E214" s="1823"/>
      <c r="F214" s="573" t="s">
        <v>628</v>
      </c>
      <c r="G214" s="573"/>
      <c r="H214" s="573"/>
      <c r="I214" s="573" t="s">
        <v>185</v>
      </c>
      <c r="J214" s="572">
        <v>1316.43</v>
      </c>
      <c r="K214" s="573" t="s">
        <v>629</v>
      </c>
      <c r="L214" s="572">
        <v>290.2</v>
      </c>
      <c r="M214" s="571">
        <v>4.59</v>
      </c>
      <c r="N214" s="570">
        <v>1332</v>
      </c>
      <c r="W214" s="537" t="s">
        <v>8179</v>
      </c>
    </row>
    <row r="215" spans="1:30" s="536" customFormat="1" x14ac:dyDescent="0.2">
      <c r="A215" s="569"/>
      <c r="B215" s="671"/>
      <c r="C215" s="665" t="s">
        <v>630</v>
      </c>
      <c r="D215" s="666"/>
      <c r="E215" s="666"/>
      <c r="F215" s="563"/>
      <c r="G215" s="563"/>
      <c r="H215" s="563"/>
      <c r="I215" s="563"/>
      <c r="J215" s="566"/>
      <c r="K215" s="563"/>
      <c r="L215" s="566"/>
      <c r="M215" s="565"/>
      <c r="N215" s="564"/>
    </row>
    <row r="216" spans="1:30" s="536" customFormat="1" ht="22.5" x14ac:dyDescent="0.2">
      <c r="A216" s="609"/>
      <c r="B216" s="552" t="s">
        <v>631</v>
      </c>
      <c r="C216" s="1822" t="s">
        <v>632</v>
      </c>
      <c r="D216" s="1822"/>
      <c r="E216" s="1822"/>
      <c r="F216" s="1822"/>
      <c r="G216" s="1822"/>
      <c r="H216" s="1822"/>
      <c r="I216" s="1822"/>
      <c r="J216" s="1822"/>
      <c r="K216" s="1822"/>
      <c r="L216" s="1822"/>
      <c r="M216" s="1822"/>
      <c r="N216" s="1827"/>
      <c r="X216" s="537" t="s">
        <v>632</v>
      </c>
    </row>
    <row r="217" spans="1:30" s="536" customFormat="1" x14ac:dyDescent="0.2">
      <c r="A217" s="575" t="s">
        <v>763</v>
      </c>
      <c r="B217" s="670" t="s">
        <v>3087</v>
      </c>
      <c r="C217" s="1823" t="s">
        <v>3088</v>
      </c>
      <c r="D217" s="1823"/>
      <c r="E217" s="1823"/>
      <c r="F217" s="573" t="s">
        <v>1110</v>
      </c>
      <c r="G217" s="573"/>
      <c r="H217" s="573"/>
      <c r="I217" s="573" t="s">
        <v>185</v>
      </c>
      <c r="J217" s="572"/>
      <c r="K217" s="573"/>
      <c r="L217" s="572"/>
      <c r="M217" s="571"/>
      <c r="N217" s="570"/>
      <c r="W217" s="537" t="s">
        <v>3088</v>
      </c>
    </row>
    <row r="218" spans="1:30" s="536" customFormat="1" x14ac:dyDescent="0.2">
      <c r="A218" s="676"/>
      <c r="B218" s="664"/>
      <c r="C218" s="1822" t="s">
        <v>2340</v>
      </c>
      <c r="D218" s="1822"/>
      <c r="E218" s="1822"/>
      <c r="F218" s="1822"/>
      <c r="G218" s="1822"/>
      <c r="H218" s="1822"/>
      <c r="I218" s="1822"/>
      <c r="J218" s="1822"/>
      <c r="K218" s="1822"/>
      <c r="L218" s="1822"/>
      <c r="M218" s="1822"/>
      <c r="N218" s="1827"/>
      <c r="AD218" s="537" t="s">
        <v>2340</v>
      </c>
    </row>
    <row r="219" spans="1:30" s="536" customFormat="1" ht="33.75" x14ac:dyDescent="0.2">
      <c r="A219" s="609"/>
      <c r="B219" s="552" t="s">
        <v>310</v>
      </c>
      <c r="C219" s="1822" t="s">
        <v>311</v>
      </c>
      <c r="D219" s="1822"/>
      <c r="E219" s="1822"/>
      <c r="F219" s="1822"/>
      <c r="G219" s="1822"/>
      <c r="H219" s="1822"/>
      <c r="I219" s="1822"/>
      <c r="J219" s="1822"/>
      <c r="K219" s="1822"/>
      <c r="L219" s="1822"/>
      <c r="M219" s="1822"/>
      <c r="N219" s="1827"/>
      <c r="X219" s="537" t="s">
        <v>311</v>
      </c>
    </row>
    <row r="220" spans="1:30" s="536" customFormat="1" x14ac:dyDescent="0.2">
      <c r="A220" s="605"/>
      <c r="B220" s="552" t="s">
        <v>185</v>
      </c>
      <c r="C220" s="1822" t="s">
        <v>312</v>
      </c>
      <c r="D220" s="1822"/>
      <c r="E220" s="1822"/>
      <c r="F220" s="562"/>
      <c r="G220" s="562"/>
      <c r="H220" s="562"/>
      <c r="I220" s="562"/>
      <c r="J220" s="604">
        <v>154.91999999999999</v>
      </c>
      <c r="K220" s="562" t="s">
        <v>313</v>
      </c>
      <c r="L220" s="604">
        <v>193.65</v>
      </c>
      <c r="M220" s="603"/>
      <c r="N220" s="602"/>
      <c r="Y220" s="537" t="s">
        <v>312</v>
      </c>
    </row>
    <row r="221" spans="1:30" s="536" customFormat="1" x14ac:dyDescent="0.2">
      <c r="A221" s="605"/>
      <c r="B221" s="552" t="s">
        <v>186</v>
      </c>
      <c r="C221" s="1822" t="s">
        <v>344</v>
      </c>
      <c r="D221" s="1822"/>
      <c r="E221" s="1822"/>
      <c r="F221" s="562"/>
      <c r="G221" s="562"/>
      <c r="H221" s="562"/>
      <c r="I221" s="562"/>
      <c r="J221" s="604">
        <v>0.31</v>
      </c>
      <c r="K221" s="562" t="s">
        <v>313</v>
      </c>
      <c r="L221" s="604">
        <v>0.39</v>
      </c>
      <c r="M221" s="603"/>
      <c r="N221" s="602"/>
      <c r="Y221" s="537" t="s">
        <v>344</v>
      </c>
    </row>
    <row r="222" spans="1:30" s="536" customFormat="1" x14ac:dyDescent="0.2">
      <c r="A222" s="605"/>
      <c r="B222" s="552" t="s">
        <v>187</v>
      </c>
      <c r="C222" s="1822" t="s">
        <v>345</v>
      </c>
      <c r="D222" s="1822"/>
      <c r="E222" s="1822"/>
      <c r="F222" s="562"/>
      <c r="G222" s="562"/>
      <c r="H222" s="562"/>
      <c r="I222" s="562"/>
      <c r="J222" s="604">
        <v>0.14000000000000001</v>
      </c>
      <c r="K222" s="562" t="s">
        <v>313</v>
      </c>
      <c r="L222" s="604">
        <v>0.18</v>
      </c>
      <c r="M222" s="603"/>
      <c r="N222" s="602"/>
      <c r="Y222" s="537" t="s">
        <v>345</v>
      </c>
    </row>
    <row r="223" spans="1:30" s="536" customFormat="1" x14ac:dyDescent="0.2">
      <c r="A223" s="605"/>
      <c r="B223" s="552" t="s">
        <v>188</v>
      </c>
      <c r="C223" s="1822" t="s">
        <v>475</v>
      </c>
      <c r="D223" s="1822"/>
      <c r="E223" s="1822"/>
      <c r="F223" s="562"/>
      <c r="G223" s="562"/>
      <c r="H223" s="562"/>
      <c r="I223" s="562"/>
      <c r="J223" s="604">
        <v>51.53</v>
      </c>
      <c r="K223" s="562"/>
      <c r="L223" s="604">
        <v>51.53</v>
      </c>
      <c r="M223" s="603"/>
      <c r="N223" s="602"/>
      <c r="Y223" s="537" t="s">
        <v>475</v>
      </c>
    </row>
    <row r="224" spans="1:30" s="536" customFormat="1" x14ac:dyDescent="0.2">
      <c r="A224" s="605"/>
      <c r="B224" s="552"/>
      <c r="C224" s="1822" t="s">
        <v>314</v>
      </c>
      <c r="D224" s="1822"/>
      <c r="E224" s="1822"/>
      <c r="F224" s="562" t="s">
        <v>315</v>
      </c>
      <c r="G224" s="562" t="s">
        <v>3090</v>
      </c>
      <c r="H224" s="562" t="s">
        <v>313</v>
      </c>
      <c r="I224" s="562" t="s">
        <v>3152</v>
      </c>
      <c r="J224" s="604"/>
      <c r="K224" s="562"/>
      <c r="L224" s="604"/>
      <c r="M224" s="603"/>
      <c r="N224" s="602"/>
      <c r="AA224" s="537" t="s">
        <v>314</v>
      </c>
    </row>
    <row r="225" spans="1:30" s="536" customFormat="1" x14ac:dyDescent="0.2">
      <c r="A225" s="605"/>
      <c r="B225" s="552"/>
      <c r="C225" s="1822" t="s">
        <v>348</v>
      </c>
      <c r="D225" s="1822"/>
      <c r="E225" s="1822"/>
      <c r="F225" s="562" t="s">
        <v>315</v>
      </c>
      <c r="G225" s="562" t="s">
        <v>809</v>
      </c>
      <c r="H225" s="562" t="s">
        <v>313</v>
      </c>
      <c r="I225" s="562" t="s">
        <v>810</v>
      </c>
      <c r="J225" s="604"/>
      <c r="K225" s="562"/>
      <c r="L225" s="604"/>
      <c r="M225" s="603"/>
      <c r="N225" s="602"/>
      <c r="AA225" s="537" t="s">
        <v>348</v>
      </c>
    </row>
    <row r="226" spans="1:30" s="536" customFormat="1" x14ac:dyDescent="0.2">
      <c r="A226" s="605"/>
      <c r="B226" s="552"/>
      <c r="C226" s="1828" t="s">
        <v>318</v>
      </c>
      <c r="D226" s="1828"/>
      <c r="E226" s="1828"/>
      <c r="F226" s="608"/>
      <c r="G226" s="608"/>
      <c r="H226" s="608"/>
      <c r="I226" s="608"/>
      <c r="J226" s="607">
        <v>206.76</v>
      </c>
      <c r="K226" s="608"/>
      <c r="L226" s="607">
        <v>245.57</v>
      </c>
      <c r="M226" s="601"/>
      <c r="N226" s="606"/>
      <c r="AB226" s="537" t="s">
        <v>318</v>
      </c>
    </row>
    <row r="227" spans="1:30" s="536" customFormat="1" x14ac:dyDescent="0.2">
      <c r="A227" s="605"/>
      <c r="B227" s="552"/>
      <c r="C227" s="1822" t="s">
        <v>319</v>
      </c>
      <c r="D227" s="1822"/>
      <c r="E227" s="1822"/>
      <c r="F227" s="562"/>
      <c r="G227" s="562"/>
      <c r="H227" s="562"/>
      <c r="I227" s="562"/>
      <c r="J227" s="604"/>
      <c r="K227" s="562"/>
      <c r="L227" s="604">
        <v>193.83</v>
      </c>
      <c r="M227" s="603"/>
      <c r="N227" s="602"/>
      <c r="AA227" s="537" t="s">
        <v>319</v>
      </c>
    </row>
    <row r="228" spans="1:30" s="536" customFormat="1" ht="33.75" x14ac:dyDescent="0.2">
      <c r="A228" s="605"/>
      <c r="B228" s="552" t="s">
        <v>1631</v>
      </c>
      <c r="C228" s="1822" t="s">
        <v>1632</v>
      </c>
      <c r="D228" s="1822"/>
      <c r="E228" s="1822"/>
      <c r="F228" s="562" t="s">
        <v>322</v>
      </c>
      <c r="G228" s="562" t="s">
        <v>1633</v>
      </c>
      <c r="H228" s="562"/>
      <c r="I228" s="562" t="s">
        <v>1633</v>
      </c>
      <c r="J228" s="604"/>
      <c r="K228" s="562"/>
      <c r="L228" s="604">
        <v>188.02</v>
      </c>
      <c r="M228" s="603"/>
      <c r="N228" s="602"/>
      <c r="AA228" s="537" t="s">
        <v>1632</v>
      </c>
    </row>
    <row r="229" spans="1:30" s="536" customFormat="1" ht="33.75" x14ac:dyDescent="0.2">
      <c r="A229" s="605"/>
      <c r="B229" s="552" t="s">
        <v>1634</v>
      </c>
      <c r="C229" s="1822" t="s">
        <v>1635</v>
      </c>
      <c r="D229" s="1822"/>
      <c r="E229" s="1822"/>
      <c r="F229" s="562" t="s">
        <v>322</v>
      </c>
      <c r="G229" s="562" t="s">
        <v>786</v>
      </c>
      <c r="H229" s="562"/>
      <c r="I229" s="562" t="s">
        <v>786</v>
      </c>
      <c r="J229" s="604"/>
      <c r="K229" s="562"/>
      <c r="L229" s="604">
        <v>98.85</v>
      </c>
      <c r="M229" s="603"/>
      <c r="N229" s="602"/>
      <c r="AA229" s="537" t="s">
        <v>1635</v>
      </c>
    </row>
    <row r="230" spans="1:30" s="536" customFormat="1" x14ac:dyDescent="0.2">
      <c r="A230" s="569"/>
      <c r="B230" s="671"/>
      <c r="C230" s="1823" t="s">
        <v>327</v>
      </c>
      <c r="D230" s="1823"/>
      <c r="E230" s="1823"/>
      <c r="F230" s="573"/>
      <c r="G230" s="573"/>
      <c r="H230" s="573"/>
      <c r="I230" s="573"/>
      <c r="J230" s="572"/>
      <c r="K230" s="573"/>
      <c r="L230" s="572">
        <v>532.44000000000005</v>
      </c>
      <c r="M230" s="601"/>
      <c r="N230" s="570"/>
      <c r="AC230" s="537" t="s">
        <v>327</v>
      </c>
    </row>
    <row r="231" spans="1:30" s="536" customFormat="1" ht="33.75" x14ac:dyDescent="0.2">
      <c r="A231" s="575" t="s">
        <v>922</v>
      </c>
      <c r="B231" s="670" t="s">
        <v>3153</v>
      </c>
      <c r="C231" s="1823" t="s">
        <v>8288</v>
      </c>
      <c r="D231" s="1823"/>
      <c r="E231" s="1823"/>
      <c r="F231" s="573" t="s">
        <v>483</v>
      </c>
      <c r="G231" s="573"/>
      <c r="H231" s="573"/>
      <c r="I231" s="573" t="s">
        <v>844</v>
      </c>
      <c r="J231" s="572">
        <v>62.16</v>
      </c>
      <c r="K231" s="573" t="s">
        <v>716</v>
      </c>
      <c r="L231" s="572">
        <v>762.02</v>
      </c>
      <c r="M231" s="571">
        <v>8.32</v>
      </c>
      <c r="N231" s="570">
        <v>6340</v>
      </c>
      <c r="W231" s="537" t="s">
        <v>8288</v>
      </c>
    </row>
    <row r="232" spans="1:30" s="536" customFormat="1" x14ac:dyDescent="0.2">
      <c r="A232" s="569"/>
      <c r="B232" s="671"/>
      <c r="C232" s="665" t="s">
        <v>1658</v>
      </c>
      <c r="D232" s="666"/>
      <c r="E232" s="666"/>
      <c r="F232" s="563"/>
      <c r="G232" s="563"/>
      <c r="H232" s="563"/>
      <c r="I232" s="563"/>
      <c r="J232" s="566"/>
      <c r="K232" s="563"/>
      <c r="L232" s="566"/>
      <c r="M232" s="565"/>
      <c r="N232" s="564"/>
    </row>
    <row r="233" spans="1:30" s="536" customFormat="1" ht="22.5" x14ac:dyDescent="0.2">
      <c r="A233" s="609"/>
      <c r="B233" s="552" t="s">
        <v>718</v>
      </c>
      <c r="C233" s="1822" t="s">
        <v>719</v>
      </c>
      <c r="D233" s="1822"/>
      <c r="E233" s="1822"/>
      <c r="F233" s="1822"/>
      <c r="G233" s="1822"/>
      <c r="H233" s="1822"/>
      <c r="I233" s="1822"/>
      <c r="J233" s="1822"/>
      <c r="K233" s="1822"/>
      <c r="L233" s="1822"/>
      <c r="M233" s="1822"/>
      <c r="N233" s="1827"/>
      <c r="X233" s="537" t="s">
        <v>719</v>
      </c>
    </row>
    <row r="234" spans="1:30" s="536" customFormat="1" x14ac:dyDescent="0.2">
      <c r="A234" s="575" t="s">
        <v>765</v>
      </c>
      <c r="B234" s="670" t="s">
        <v>3094</v>
      </c>
      <c r="C234" s="1823" t="s">
        <v>3095</v>
      </c>
      <c r="D234" s="1823"/>
      <c r="E234" s="1823"/>
      <c r="F234" s="573" t="s">
        <v>1110</v>
      </c>
      <c r="G234" s="573"/>
      <c r="H234" s="573"/>
      <c r="I234" s="573" t="s">
        <v>185</v>
      </c>
      <c r="J234" s="572"/>
      <c r="K234" s="573"/>
      <c r="L234" s="572"/>
      <c r="M234" s="571"/>
      <c r="N234" s="570"/>
      <c r="W234" s="537" t="s">
        <v>3095</v>
      </c>
    </row>
    <row r="235" spans="1:30" s="536" customFormat="1" x14ac:dyDescent="0.2">
      <c r="A235" s="676"/>
      <c r="B235" s="664"/>
      <c r="C235" s="1822" t="s">
        <v>2340</v>
      </c>
      <c r="D235" s="1822"/>
      <c r="E235" s="1822"/>
      <c r="F235" s="1822"/>
      <c r="G235" s="1822"/>
      <c r="H235" s="1822"/>
      <c r="I235" s="1822"/>
      <c r="J235" s="1822"/>
      <c r="K235" s="1822"/>
      <c r="L235" s="1822"/>
      <c r="M235" s="1822"/>
      <c r="N235" s="1827"/>
      <c r="AD235" s="537" t="s">
        <v>2340</v>
      </c>
    </row>
    <row r="236" spans="1:30" s="536" customFormat="1" ht="33.75" x14ac:dyDescent="0.2">
      <c r="A236" s="609"/>
      <c r="B236" s="552" t="s">
        <v>310</v>
      </c>
      <c r="C236" s="1822" t="s">
        <v>311</v>
      </c>
      <c r="D236" s="1822"/>
      <c r="E236" s="1822"/>
      <c r="F236" s="1822"/>
      <c r="G236" s="1822"/>
      <c r="H236" s="1822"/>
      <c r="I236" s="1822"/>
      <c r="J236" s="1822"/>
      <c r="K236" s="1822"/>
      <c r="L236" s="1822"/>
      <c r="M236" s="1822"/>
      <c r="N236" s="1827"/>
      <c r="X236" s="537" t="s">
        <v>311</v>
      </c>
    </row>
    <row r="237" spans="1:30" s="536" customFormat="1" x14ac:dyDescent="0.2">
      <c r="A237" s="605"/>
      <c r="B237" s="552" t="s">
        <v>185</v>
      </c>
      <c r="C237" s="1822" t="s">
        <v>312</v>
      </c>
      <c r="D237" s="1822"/>
      <c r="E237" s="1822"/>
      <c r="F237" s="562"/>
      <c r="G237" s="562"/>
      <c r="H237" s="562"/>
      <c r="I237" s="562"/>
      <c r="J237" s="604">
        <v>26.51</v>
      </c>
      <c r="K237" s="562" t="s">
        <v>313</v>
      </c>
      <c r="L237" s="604">
        <v>33.14</v>
      </c>
      <c r="M237" s="603"/>
      <c r="N237" s="602"/>
      <c r="Y237" s="537" t="s">
        <v>312</v>
      </c>
    </row>
    <row r="238" spans="1:30" s="536" customFormat="1" x14ac:dyDescent="0.2">
      <c r="A238" s="605"/>
      <c r="B238" s="552" t="s">
        <v>186</v>
      </c>
      <c r="C238" s="1822" t="s">
        <v>344</v>
      </c>
      <c r="D238" s="1822"/>
      <c r="E238" s="1822"/>
      <c r="F238" s="562"/>
      <c r="G238" s="562"/>
      <c r="H238" s="562"/>
      <c r="I238" s="562"/>
      <c r="J238" s="604">
        <v>1.81</v>
      </c>
      <c r="K238" s="562" t="s">
        <v>313</v>
      </c>
      <c r="L238" s="604">
        <v>2.2599999999999998</v>
      </c>
      <c r="M238" s="603"/>
      <c r="N238" s="602"/>
      <c r="Y238" s="537" t="s">
        <v>344</v>
      </c>
    </row>
    <row r="239" spans="1:30" s="536" customFormat="1" x14ac:dyDescent="0.2">
      <c r="A239" s="605"/>
      <c r="B239" s="552" t="s">
        <v>187</v>
      </c>
      <c r="C239" s="1822" t="s">
        <v>345</v>
      </c>
      <c r="D239" s="1822"/>
      <c r="E239" s="1822"/>
      <c r="F239" s="562"/>
      <c r="G239" s="562"/>
      <c r="H239" s="562"/>
      <c r="I239" s="562"/>
      <c r="J239" s="604">
        <v>0.26</v>
      </c>
      <c r="K239" s="562" t="s">
        <v>313</v>
      </c>
      <c r="L239" s="604">
        <v>0.33</v>
      </c>
      <c r="M239" s="603"/>
      <c r="N239" s="602"/>
      <c r="Y239" s="537" t="s">
        <v>345</v>
      </c>
    </row>
    <row r="240" spans="1:30" s="536" customFormat="1" x14ac:dyDescent="0.2">
      <c r="A240" s="605"/>
      <c r="B240" s="552" t="s">
        <v>188</v>
      </c>
      <c r="C240" s="1822" t="s">
        <v>475</v>
      </c>
      <c r="D240" s="1822"/>
      <c r="E240" s="1822"/>
      <c r="F240" s="562"/>
      <c r="G240" s="562"/>
      <c r="H240" s="562"/>
      <c r="I240" s="562"/>
      <c r="J240" s="604">
        <v>10.27</v>
      </c>
      <c r="K240" s="562"/>
      <c r="L240" s="604">
        <v>10.27</v>
      </c>
      <c r="M240" s="603"/>
      <c r="N240" s="602"/>
      <c r="Y240" s="537" t="s">
        <v>475</v>
      </c>
    </row>
    <row r="241" spans="1:30" s="536" customFormat="1" x14ac:dyDescent="0.2">
      <c r="A241" s="605"/>
      <c r="B241" s="552"/>
      <c r="C241" s="1822" t="s">
        <v>314</v>
      </c>
      <c r="D241" s="1822"/>
      <c r="E241" s="1822"/>
      <c r="F241" s="562" t="s">
        <v>315</v>
      </c>
      <c r="G241" s="562" t="s">
        <v>3096</v>
      </c>
      <c r="H241" s="562" t="s">
        <v>313</v>
      </c>
      <c r="I241" s="562" t="s">
        <v>3155</v>
      </c>
      <c r="J241" s="604"/>
      <c r="K241" s="562"/>
      <c r="L241" s="604"/>
      <c r="M241" s="603"/>
      <c r="N241" s="602"/>
      <c r="AA241" s="537" t="s">
        <v>314</v>
      </c>
    </row>
    <row r="242" spans="1:30" s="536" customFormat="1" x14ac:dyDescent="0.2">
      <c r="A242" s="605"/>
      <c r="B242" s="552"/>
      <c r="C242" s="1822" t="s">
        <v>348</v>
      </c>
      <c r="D242" s="1822"/>
      <c r="E242" s="1822"/>
      <c r="F242" s="562" t="s">
        <v>315</v>
      </c>
      <c r="G242" s="562" t="s">
        <v>695</v>
      </c>
      <c r="H242" s="562" t="s">
        <v>313</v>
      </c>
      <c r="I242" s="562" t="s">
        <v>2258</v>
      </c>
      <c r="J242" s="604"/>
      <c r="K242" s="562"/>
      <c r="L242" s="604"/>
      <c r="M242" s="603"/>
      <c r="N242" s="602"/>
      <c r="AA242" s="537" t="s">
        <v>348</v>
      </c>
    </row>
    <row r="243" spans="1:30" s="536" customFormat="1" x14ac:dyDescent="0.2">
      <c r="A243" s="605"/>
      <c r="B243" s="552"/>
      <c r="C243" s="1828" t="s">
        <v>318</v>
      </c>
      <c r="D243" s="1828"/>
      <c r="E243" s="1828"/>
      <c r="F243" s="608"/>
      <c r="G243" s="608"/>
      <c r="H243" s="608"/>
      <c r="I243" s="608"/>
      <c r="J243" s="607">
        <v>38.590000000000003</v>
      </c>
      <c r="K243" s="608"/>
      <c r="L243" s="607">
        <v>45.67</v>
      </c>
      <c r="M243" s="601"/>
      <c r="N243" s="606"/>
      <c r="AB243" s="537" t="s">
        <v>318</v>
      </c>
    </row>
    <row r="244" spans="1:30" s="536" customFormat="1" x14ac:dyDescent="0.2">
      <c r="A244" s="605"/>
      <c r="B244" s="552"/>
      <c r="C244" s="1822" t="s">
        <v>319</v>
      </c>
      <c r="D244" s="1822"/>
      <c r="E244" s="1822"/>
      <c r="F244" s="562"/>
      <c r="G244" s="562"/>
      <c r="H244" s="562"/>
      <c r="I244" s="562"/>
      <c r="J244" s="604"/>
      <c r="K244" s="562"/>
      <c r="L244" s="604">
        <v>33.47</v>
      </c>
      <c r="M244" s="603"/>
      <c r="N244" s="602"/>
      <c r="AA244" s="537" t="s">
        <v>319</v>
      </c>
    </row>
    <row r="245" spans="1:30" s="536" customFormat="1" ht="33.75" x14ac:dyDescent="0.2">
      <c r="A245" s="605"/>
      <c r="B245" s="552" t="s">
        <v>1631</v>
      </c>
      <c r="C245" s="1822" t="s">
        <v>1632</v>
      </c>
      <c r="D245" s="1822"/>
      <c r="E245" s="1822"/>
      <c r="F245" s="562" t="s">
        <v>322</v>
      </c>
      <c r="G245" s="562" t="s">
        <v>1633</v>
      </c>
      <c r="H245" s="562"/>
      <c r="I245" s="562" t="s">
        <v>1633</v>
      </c>
      <c r="J245" s="604"/>
      <c r="K245" s="562"/>
      <c r="L245" s="604">
        <v>32.47</v>
      </c>
      <c r="M245" s="603"/>
      <c r="N245" s="602"/>
      <c r="AA245" s="537" t="s">
        <v>1632</v>
      </c>
    </row>
    <row r="246" spans="1:30" s="536" customFormat="1" ht="33.75" x14ac:dyDescent="0.2">
      <c r="A246" s="605"/>
      <c r="B246" s="552" t="s">
        <v>1634</v>
      </c>
      <c r="C246" s="1822" t="s">
        <v>1635</v>
      </c>
      <c r="D246" s="1822"/>
      <c r="E246" s="1822"/>
      <c r="F246" s="562" t="s">
        <v>322</v>
      </c>
      <c r="G246" s="562" t="s">
        <v>786</v>
      </c>
      <c r="H246" s="562"/>
      <c r="I246" s="562" t="s">
        <v>786</v>
      </c>
      <c r="J246" s="604"/>
      <c r="K246" s="562"/>
      <c r="L246" s="604">
        <v>17.07</v>
      </c>
      <c r="M246" s="603"/>
      <c r="N246" s="602"/>
      <c r="AA246" s="537" t="s">
        <v>1635</v>
      </c>
    </row>
    <row r="247" spans="1:30" s="536" customFormat="1" x14ac:dyDescent="0.2">
      <c r="A247" s="569"/>
      <c r="B247" s="671"/>
      <c r="C247" s="1823" t="s">
        <v>327</v>
      </c>
      <c r="D247" s="1823"/>
      <c r="E247" s="1823"/>
      <c r="F247" s="573"/>
      <c r="G247" s="573"/>
      <c r="H247" s="573"/>
      <c r="I247" s="573"/>
      <c r="J247" s="572"/>
      <c r="K247" s="573"/>
      <c r="L247" s="572">
        <v>95.21</v>
      </c>
      <c r="M247" s="601"/>
      <c r="N247" s="570"/>
      <c r="AC247" s="537" t="s">
        <v>327</v>
      </c>
    </row>
    <row r="248" spans="1:30" s="536" customFormat="1" ht="33.75" x14ac:dyDescent="0.2">
      <c r="A248" s="575" t="s">
        <v>505</v>
      </c>
      <c r="B248" s="670" t="s">
        <v>8289</v>
      </c>
      <c r="C248" s="1823" t="s">
        <v>8290</v>
      </c>
      <c r="D248" s="1823"/>
      <c r="E248" s="1823"/>
      <c r="F248" s="573" t="s">
        <v>483</v>
      </c>
      <c r="G248" s="573"/>
      <c r="H248" s="573"/>
      <c r="I248" s="573" t="s">
        <v>680</v>
      </c>
      <c r="J248" s="572">
        <v>41.78</v>
      </c>
      <c r="K248" s="573" t="s">
        <v>716</v>
      </c>
      <c r="L248" s="572">
        <v>522.48</v>
      </c>
      <c r="M248" s="571">
        <v>8.32</v>
      </c>
      <c r="N248" s="570">
        <v>4347</v>
      </c>
      <c r="W248" s="537" t="s">
        <v>8290</v>
      </c>
    </row>
    <row r="249" spans="1:30" s="536" customFormat="1" x14ac:dyDescent="0.2">
      <c r="A249" s="569"/>
      <c r="B249" s="671"/>
      <c r="C249" s="665" t="s">
        <v>1658</v>
      </c>
      <c r="D249" s="666"/>
      <c r="E249" s="666"/>
      <c r="F249" s="563"/>
      <c r="G249" s="563"/>
      <c r="H249" s="563"/>
      <c r="I249" s="563"/>
      <c r="J249" s="566"/>
      <c r="K249" s="563"/>
      <c r="L249" s="566"/>
      <c r="M249" s="565"/>
      <c r="N249" s="564"/>
    </row>
    <row r="250" spans="1:30" s="536" customFormat="1" x14ac:dyDescent="0.2">
      <c r="A250" s="676"/>
      <c r="B250" s="664"/>
      <c r="C250" s="1822" t="s">
        <v>8291</v>
      </c>
      <c r="D250" s="1822"/>
      <c r="E250" s="1822"/>
      <c r="F250" s="1822"/>
      <c r="G250" s="1822"/>
      <c r="H250" s="1822"/>
      <c r="I250" s="1822"/>
      <c r="J250" s="1822"/>
      <c r="K250" s="1822"/>
      <c r="L250" s="1822"/>
      <c r="M250" s="1822"/>
      <c r="N250" s="1827"/>
      <c r="AD250" s="537" t="s">
        <v>8291</v>
      </c>
    </row>
    <row r="251" spans="1:30" s="536" customFormat="1" ht="22.5" x14ac:dyDescent="0.2">
      <c r="A251" s="609"/>
      <c r="B251" s="552" t="s">
        <v>718</v>
      </c>
      <c r="C251" s="1822" t="s">
        <v>719</v>
      </c>
      <c r="D251" s="1822"/>
      <c r="E251" s="1822"/>
      <c r="F251" s="1822"/>
      <c r="G251" s="1822"/>
      <c r="H251" s="1822"/>
      <c r="I251" s="1822"/>
      <c r="J251" s="1822"/>
      <c r="K251" s="1822"/>
      <c r="L251" s="1822"/>
      <c r="M251" s="1822"/>
      <c r="N251" s="1827"/>
      <c r="X251" s="537" t="s">
        <v>719</v>
      </c>
    </row>
    <row r="252" spans="1:30" s="536" customFormat="1" ht="33.75" x14ac:dyDescent="0.2">
      <c r="A252" s="575" t="s">
        <v>767</v>
      </c>
      <c r="B252" s="670" t="s">
        <v>3160</v>
      </c>
      <c r="C252" s="1823" t="s">
        <v>3161</v>
      </c>
      <c r="D252" s="1823"/>
      <c r="E252" s="1823"/>
      <c r="F252" s="573" t="s">
        <v>617</v>
      </c>
      <c r="G252" s="573"/>
      <c r="H252" s="573"/>
      <c r="I252" s="573" t="s">
        <v>186</v>
      </c>
      <c r="J252" s="572"/>
      <c r="K252" s="573"/>
      <c r="L252" s="572"/>
      <c r="M252" s="571"/>
      <c r="N252" s="570"/>
      <c r="W252" s="537" t="s">
        <v>3161</v>
      </c>
    </row>
    <row r="253" spans="1:30" s="536" customFormat="1" x14ac:dyDescent="0.2">
      <c r="A253" s="676"/>
      <c r="B253" s="664"/>
      <c r="C253" s="1822" t="s">
        <v>8158</v>
      </c>
      <c r="D253" s="1822"/>
      <c r="E253" s="1822"/>
      <c r="F253" s="1822"/>
      <c r="G253" s="1822"/>
      <c r="H253" s="1822"/>
      <c r="I253" s="1822"/>
      <c r="J253" s="1822"/>
      <c r="K253" s="1822"/>
      <c r="L253" s="1822"/>
      <c r="M253" s="1822"/>
      <c r="N253" s="1827"/>
      <c r="AD253" s="537" t="s">
        <v>8158</v>
      </c>
    </row>
    <row r="254" spans="1:30" s="536" customFormat="1" ht="33.75" x14ac:dyDescent="0.2">
      <c r="A254" s="609"/>
      <c r="B254" s="552" t="s">
        <v>310</v>
      </c>
      <c r="C254" s="1822" t="s">
        <v>311</v>
      </c>
      <c r="D254" s="1822"/>
      <c r="E254" s="1822"/>
      <c r="F254" s="1822"/>
      <c r="G254" s="1822"/>
      <c r="H254" s="1822"/>
      <c r="I254" s="1822"/>
      <c r="J254" s="1822"/>
      <c r="K254" s="1822"/>
      <c r="L254" s="1822"/>
      <c r="M254" s="1822"/>
      <c r="N254" s="1827"/>
      <c r="X254" s="537" t="s">
        <v>311</v>
      </c>
    </row>
    <row r="255" spans="1:30" s="536" customFormat="1" x14ac:dyDescent="0.2">
      <c r="A255" s="605"/>
      <c r="B255" s="552" t="s">
        <v>185</v>
      </c>
      <c r="C255" s="1822" t="s">
        <v>312</v>
      </c>
      <c r="D255" s="1822"/>
      <c r="E255" s="1822"/>
      <c r="F255" s="562"/>
      <c r="G255" s="562"/>
      <c r="H255" s="562"/>
      <c r="I255" s="562"/>
      <c r="J255" s="604">
        <v>2.0699999999999998</v>
      </c>
      <c r="K255" s="562" t="s">
        <v>313</v>
      </c>
      <c r="L255" s="604">
        <v>5.18</v>
      </c>
      <c r="M255" s="603"/>
      <c r="N255" s="602"/>
      <c r="Y255" s="537" t="s">
        <v>312</v>
      </c>
    </row>
    <row r="256" spans="1:30" s="536" customFormat="1" x14ac:dyDescent="0.2">
      <c r="A256" s="605"/>
      <c r="B256" s="552" t="s">
        <v>188</v>
      </c>
      <c r="C256" s="1822" t="s">
        <v>475</v>
      </c>
      <c r="D256" s="1822"/>
      <c r="E256" s="1822"/>
      <c r="F256" s="562"/>
      <c r="G256" s="562"/>
      <c r="H256" s="562"/>
      <c r="I256" s="562"/>
      <c r="J256" s="604">
        <v>0.04</v>
      </c>
      <c r="K256" s="562"/>
      <c r="L256" s="604">
        <v>0.08</v>
      </c>
      <c r="M256" s="603"/>
      <c r="N256" s="602"/>
      <c r="Y256" s="537" t="s">
        <v>475</v>
      </c>
    </row>
    <row r="257" spans="1:32" s="536" customFormat="1" x14ac:dyDescent="0.2">
      <c r="A257" s="605"/>
      <c r="B257" s="552"/>
      <c r="C257" s="1822" t="s">
        <v>314</v>
      </c>
      <c r="D257" s="1822"/>
      <c r="E257" s="1822"/>
      <c r="F257" s="562" t="s">
        <v>315</v>
      </c>
      <c r="G257" s="562" t="s">
        <v>2440</v>
      </c>
      <c r="H257" s="562" t="s">
        <v>313</v>
      </c>
      <c r="I257" s="562" t="s">
        <v>1755</v>
      </c>
      <c r="J257" s="604"/>
      <c r="K257" s="562"/>
      <c r="L257" s="604"/>
      <c r="M257" s="603"/>
      <c r="N257" s="602"/>
      <c r="AA257" s="537" t="s">
        <v>314</v>
      </c>
    </row>
    <row r="258" spans="1:32" s="536" customFormat="1" x14ac:dyDescent="0.2">
      <c r="A258" s="605"/>
      <c r="B258" s="552"/>
      <c r="C258" s="1828" t="s">
        <v>318</v>
      </c>
      <c r="D258" s="1828"/>
      <c r="E258" s="1828"/>
      <c r="F258" s="608"/>
      <c r="G258" s="608"/>
      <c r="H258" s="608"/>
      <c r="I258" s="608"/>
      <c r="J258" s="607">
        <v>2.11</v>
      </c>
      <c r="K258" s="608"/>
      <c r="L258" s="607">
        <v>5.26</v>
      </c>
      <c r="M258" s="601"/>
      <c r="N258" s="606"/>
      <c r="AB258" s="537" t="s">
        <v>318</v>
      </c>
    </row>
    <row r="259" spans="1:32" s="536" customFormat="1" x14ac:dyDescent="0.2">
      <c r="A259" s="605"/>
      <c r="B259" s="552"/>
      <c r="C259" s="1822" t="s">
        <v>319</v>
      </c>
      <c r="D259" s="1822"/>
      <c r="E259" s="1822"/>
      <c r="F259" s="562"/>
      <c r="G259" s="562"/>
      <c r="H259" s="562"/>
      <c r="I259" s="562"/>
      <c r="J259" s="604"/>
      <c r="K259" s="562"/>
      <c r="L259" s="604">
        <v>5.18</v>
      </c>
      <c r="M259" s="603"/>
      <c r="N259" s="602"/>
      <c r="AA259" s="537" t="s">
        <v>319</v>
      </c>
    </row>
    <row r="260" spans="1:32" s="536" customFormat="1" ht="33.75" x14ac:dyDescent="0.2">
      <c r="A260" s="605"/>
      <c r="B260" s="552" t="s">
        <v>948</v>
      </c>
      <c r="C260" s="1822" t="s">
        <v>949</v>
      </c>
      <c r="D260" s="1822"/>
      <c r="E260" s="1822"/>
      <c r="F260" s="562" t="s">
        <v>322</v>
      </c>
      <c r="G260" s="562" t="s">
        <v>886</v>
      </c>
      <c r="H260" s="562"/>
      <c r="I260" s="562" t="s">
        <v>886</v>
      </c>
      <c r="J260" s="604"/>
      <c r="K260" s="562"/>
      <c r="L260" s="604">
        <v>4.66</v>
      </c>
      <c r="M260" s="603"/>
      <c r="N260" s="602"/>
      <c r="AA260" s="537" t="s">
        <v>949</v>
      </c>
    </row>
    <row r="261" spans="1:32" s="536" customFormat="1" ht="33.75" x14ac:dyDescent="0.2">
      <c r="A261" s="605"/>
      <c r="B261" s="552" t="s">
        <v>950</v>
      </c>
      <c r="C261" s="1822" t="s">
        <v>951</v>
      </c>
      <c r="D261" s="1822"/>
      <c r="E261" s="1822"/>
      <c r="F261" s="562" t="s">
        <v>322</v>
      </c>
      <c r="G261" s="562" t="s">
        <v>465</v>
      </c>
      <c r="H261" s="562"/>
      <c r="I261" s="562" t="s">
        <v>465</v>
      </c>
      <c r="J261" s="604"/>
      <c r="K261" s="562"/>
      <c r="L261" s="604">
        <v>2.38</v>
      </c>
      <c r="M261" s="603"/>
      <c r="N261" s="602"/>
      <c r="AA261" s="537" t="s">
        <v>951</v>
      </c>
    </row>
    <row r="262" spans="1:32" s="536" customFormat="1" x14ac:dyDescent="0.2">
      <c r="A262" s="569"/>
      <c r="B262" s="671"/>
      <c r="C262" s="1823" t="s">
        <v>327</v>
      </c>
      <c r="D262" s="1823"/>
      <c r="E262" s="1823"/>
      <c r="F262" s="573"/>
      <c r="G262" s="573"/>
      <c r="H262" s="573"/>
      <c r="I262" s="573"/>
      <c r="J262" s="572"/>
      <c r="K262" s="573"/>
      <c r="L262" s="572">
        <v>12.3</v>
      </c>
      <c r="M262" s="601"/>
      <c r="N262" s="570"/>
      <c r="AC262" s="537" t="s">
        <v>327</v>
      </c>
    </row>
    <row r="263" spans="1:32" s="536" customFormat="1" ht="33.75" x14ac:dyDescent="0.2">
      <c r="A263" s="575" t="s">
        <v>768</v>
      </c>
      <c r="B263" s="670" t="s">
        <v>3177</v>
      </c>
      <c r="C263" s="1823" t="s">
        <v>3169</v>
      </c>
      <c r="D263" s="1823"/>
      <c r="E263" s="1823"/>
      <c r="F263" s="573" t="s">
        <v>628</v>
      </c>
      <c r="G263" s="573"/>
      <c r="H263" s="573"/>
      <c r="I263" s="573" t="s">
        <v>185</v>
      </c>
      <c r="J263" s="572">
        <v>171.14</v>
      </c>
      <c r="K263" s="573" t="s">
        <v>716</v>
      </c>
      <c r="L263" s="572">
        <v>21.03</v>
      </c>
      <c r="M263" s="571">
        <v>8.32</v>
      </c>
      <c r="N263" s="570">
        <v>175</v>
      </c>
      <c r="W263" s="537" t="s">
        <v>3169</v>
      </c>
    </row>
    <row r="264" spans="1:32" s="536" customFormat="1" x14ac:dyDescent="0.2">
      <c r="A264" s="569"/>
      <c r="B264" s="671"/>
      <c r="C264" s="665" t="s">
        <v>1658</v>
      </c>
      <c r="D264" s="666"/>
      <c r="E264" s="666"/>
      <c r="F264" s="563"/>
      <c r="G264" s="563"/>
      <c r="H264" s="563"/>
      <c r="I264" s="563"/>
      <c r="J264" s="566"/>
      <c r="K264" s="563"/>
      <c r="L264" s="566"/>
      <c r="M264" s="565"/>
      <c r="N264" s="564"/>
    </row>
    <row r="265" spans="1:32" s="536" customFormat="1" ht="22.5" x14ac:dyDescent="0.2">
      <c r="A265" s="609"/>
      <c r="B265" s="552" t="s">
        <v>718</v>
      </c>
      <c r="C265" s="1822" t="s">
        <v>719</v>
      </c>
      <c r="D265" s="1822"/>
      <c r="E265" s="1822"/>
      <c r="F265" s="1822"/>
      <c r="G265" s="1822"/>
      <c r="H265" s="1822"/>
      <c r="I265" s="1822"/>
      <c r="J265" s="1822"/>
      <c r="K265" s="1822"/>
      <c r="L265" s="1822"/>
      <c r="M265" s="1822"/>
      <c r="N265" s="1827"/>
      <c r="X265" s="537" t="s">
        <v>719</v>
      </c>
    </row>
    <row r="266" spans="1:32" s="536" customFormat="1" ht="1.5" customHeight="1" x14ac:dyDescent="0.2">
      <c r="A266" s="563"/>
      <c r="B266" s="671"/>
      <c r="C266" s="671"/>
      <c r="D266" s="671"/>
      <c r="E266" s="671"/>
      <c r="F266" s="563"/>
      <c r="G266" s="563"/>
      <c r="H266" s="563"/>
      <c r="I266" s="563"/>
      <c r="J266" s="546"/>
      <c r="K266" s="563"/>
      <c r="L266" s="546"/>
      <c r="M266" s="562"/>
      <c r="N266" s="546"/>
    </row>
    <row r="267" spans="1:32" s="536" customFormat="1" ht="2.25" customHeight="1" x14ac:dyDescent="0.2">
      <c r="B267" s="561"/>
      <c r="C267" s="561"/>
      <c r="D267" s="561"/>
      <c r="E267" s="561"/>
      <c r="F267" s="561"/>
      <c r="G267" s="561"/>
      <c r="H267" s="561"/>
      <c r="I267" s="561"/>
      <c r="J267" s="561"/>
      <c r="K267" s="561"/>
      <c r="L267" s="560"/>
      <c r="M267" s="559"/>
      <c r="N267" s="558"/>
    </row>
    <row r="268" spans="1:32" s="536" customFormat="1" x14ac:dyDescent="0.2">
      <c r="A268" s="557"/>
      <c r="B268" s="556"/>
      <c r="C268" s="1823" t="s">
        <v>205</v>
      </c>
      <c r="D268" s="1823"/>
      <c r="E268" s="1823"/>
      <c r="F268" s="1823"/>
      <c r="G268" s="1823"/>
      <c r="H268" s="1823"/>
      <c r="I268" s="1823"/>
      <c r="J268" s="1823"/>
      <c r="K268" s="1823"/>
      <c r="L268" s="555"/>
      <c r="M268" s="554"/>
      <c r="N268" s="553"/>
      <c r="AE268" s="537" t="s">
        <v>205</v>
      </c>
    </row>
    <row r="269" spans="1:32" s="536" customFormat="1" x14ac:dyDescent="0.2">
      <c r="A269" s="548"/>
      <c r="B269" s="552"/>
      <c r="C269" s="1822" t="s">
        <v>403</v>
      </c>
      <c r="D269" s="1822"/>
      <c r="E269" s="1822"/>
      <c r="F269" s="1822"/>
      <c r="G269" s="1822"/>
      <c r="H269" s="1822"/>
      <c r="I269" s="1822"/>
      <c r="J269" s="1822"/>
      <c r="K269" s="1822"/>
      <c r="L269" s="551">
        <v>2697.35</v>
      </c>
      <c r="M269" s="550"/>
      <c r="N269" s="549"/>
      <c r="AF269" s="537" t="s">
        <v>403</v>
      </c>
    </row>
    <row r="270" spans="1:32" s="536" customFormat="1" x14ac:dyDescent="0.2">
      <c r="A270" s="548"/>
      <c r="B270" s="552"/>
      <c r="C270" s="1822" t="s">
        <v>204</v>
      </c>
      <c r="D270" s="1822"/>
      <c r="E270" s="1822"/>
      <c r="F270" s="1822"/>
      <c r="G270" s="1822"/>
      <c r="H270" s="1822"/>
      <c r="I270" s="1822"/>
      <c r="J270" s="1822"/>
      <c r="K270" s="1822"/>
      <c r="L270" s="551"/>
      <c r="M270" s="550"/>
      <c r="N270" s="549"/>
      <c r="AF270" s="537" t="s">
        <v>204</v>
      </c>
    </row>
    <row r="271" spans="1:32" s="536" customFormat="1" x14ac:dyDescent="0.2">
      <c r="A271" s="548"/>
      <c r="B271" s="552"/>
      <c r="C271" s="1822" t="s">
        <v>404</v>
      </c>
      <c r="D271" s="1822"/>
      <c r="E271" s="1822"/>
      <c r="F271" s="1822"/>
      <c r="G271" s="1822"/>
      <c r="H271" s="1822"/>
      <c r="I271" s="1822"/>
      <c r="J271" s="1822"/>
      <c r="K271" s="1822"/>
      <c r="L271" s="551">
        <v>1099.51</v>
      </c>
      <c r="M271" s="550"/>
      <c r="N271" s="549"/>
      <c r="AF271" s="537" t="s">
        <v>404</v>
      </c>
    </row>
    <row r="272" spans="1:32" s="536" customFormat="1" x14ac:dyDescent="0.2">
      <c r="A272" s="548"/>
      <c r="B272" s="552"/>
      <c r="C272" s="1822" t="s">
        <v>405</v>
      </c>
      <c r="D272" s="1822"/>
      <c r="E272" s="1822"/>
      <c r="F272" s="1822"/>
      <c r="G272" s="1822"/>
      <c r="H272" s="1822"/>
      <c r="I272" s="1822"/>
      <c r="J272" s="1822"/>
      <c r="K272" s="1822"/>
      <c r="L272" s="551">
        <v>90.32</v>
      </c>
      <c r="M272" s="550"/>
      <c r="N272" s="549"/>
      <c r="AF272" s="537" t="s">
        <v>405</v>
      </c>
    </row>
    <row r="273" spans="1:33" s="536" customFormat="1" x14ac:dyDescent="0.2">
      <c r="A273" s="548"/>
      <c r="B273" s="552"/>
      <c r="C273" s="1822" t="s">
        <v>406</v>
      </c>
      <c r="D273" s="1822"/>
      <c r="E273" s="1822"/>
      <c r="F273" s="1822"/>
      <c r="G273" s="1822"/>
      <c r="H273" s="1822"/>
      <c r="I273" s="1822"/>
      <c r="J273" s="1822"/>
      <c r="K273" s="1822"/>
      <c r="L273" s="551">
        <v>9.9700000000000006</v>
      </c>
      <c r="M273" s="550"/>
      <c r="N273" s="549"/>
      <c r="AF273" s="537" t="s">
        <v>406</v>
      </c>
    </row>
    <row r="274" spans="1:33" s="536" customFormat="1" x14ac:dyDescent="0.2">
      <c r="A274" s="548"/>
      <c r="B274" s="552"/>
      <c r="C274" s="1822" t="s">
        <v>480</v>
      </c>
      <c r="D274" s="1822"/>
      <c r="E274" s="1822"/>
      <c r="F274" s="1822"/>
      <c r="G274" s="1822"/>
      <c r="H274" s="1822"/>
      <c r="I274" s="1822"/>
      <c r="J274" s="1822"/>
      <c r="K274" s="1822"/>
      <c r="L274" s="551">
        <v>1507.52</v>
      </c>
      <c r="M274" s="550"/>
      <c r="N274" s="549"/>
      <c r="AF274" s="537" t="s">
        <v>480</v>
      </c>
    </row>
    <row r="275" spans="1:33" s="536" customFormat="1" x14ac:dyDescent="0.2">
      <c r="A275" s="548"/>
      <c r="B275" s="552" t="s">
        <v>185</v>
      </c>
      <c r="C275" s="1822" t="s">
        <v>753</v>
      </c>
      <c r="D275" s="1822"/>
      <c r="E275" s="1822"/>
      <c r="F275" s="1822"/>
      <c r="G275" s="1822"/>
      <c r="H275" s="1822"/>
      <c r="I275" s="1822"/>
      <c r="J275" s="1822"/>
      <c r="K275" s="1822"/>
      <c r="L275" s="551">
        <v>4245.07</v>
      </c>
      <c r="M275" s="550">
        <v>8.32</v>
      </c>
      <c r="N275" s="549">
        <v>35319</v>
      </c>
      <c r="AF275" s="537" t="s">
        <v>753</v>
      </c>
    </row>
    <row r="276" spans="1:33" s="536" customFormat="1" x14ac:dyDescent="0.2">
      <c r="A276" s="548"/>
      <c r="B276" s="552"/>
      <c r="C276" s="1822" t="s">
        <v>204</v>
      </c>
      <c r="D276" s="1822"/>
      <c r="E276" s="1822"/>
      <c r="F276" s="1822"/>
      <c r="G276" s="1822"/>
      <c r="H276" s="1822"/>
      <c r="I276" s="1822"/>
      <c r="J276" s="1822"/>
      <c r="K276" s="1822"/>
      <c r="L276" s="551"/>
      <c r="M276" s="550"/>
      <c r="N276" s="549"/>
      <c r="AF276" s="537" t="s">
        <v>204</v>
      </c>
    </row>
    <row r="277" spans="1:33" s="536" customFormat="1" x14ac:dyDescent="0.2">
      <c r="A277" s="548"/>
      <c r="B277" s="552"/>
      <c r="C277" s="1822" t="s">
        <v>546</v>
      </c>
      <c r="D277" s="1822"/>
      <c r="E277" s="1822"/>
      <c r="F277" s="1822"/>
      <c r="G277" s="1822"/>
      <c r="H277" s="1822"/>
      <c r="I277" s="1822"/>
      <c r="J277" s="1822"/>
      <c r="K277" s="1822"/>
      <c r="L277" s="551">
        <v>1099.51</v>
      </c>
      <c r="M277" s="550"/>
      <c r="N277" s="549"/>
      <c r="AF277" s="537" t="s">
        <v>546</v>
      </c>
    </row>
    <row r="278" spans="1:33" s="536" customFormat="1" x14ac:dyDescent="0.2">
      <c r="A278" s="548"/>
      <c r="B278" s="552"/>
      <c r="C278" s="1822" t="s">
        <v>442</v>
      </c>
      <c r="D278" s="1822"/>
      <c r="E278" s="1822"/>
      <c r="F278" s="1822"/>
      <c r="G278" s="1822"/>
      <c r="H278" s="1822"/>
      <c r="I278" s="1822"/>
      <c r="J278" s="1822"/>
      <c r="K278" s="1822"/>
      <c r="L278" s="551">
        <v>90.32</v>
      </c>
      <c r="M278" s="550"/>
      <c r="N278" s="549"/>
      <c r="AF278" s="537" t="s">
        <v>442</v>
      </c>
    </row>
    <row r="279" spans="1:33" s="536" customFormat="1" x14ac:dyDescent="0.2">
      <c r="A279" s="548"/>
      <c r="B279" s="552"/>
      <c r="C279" s="1822" t="s">
        <v>547</v>
      </c>
      <c r="D279" s="1822"/>
      <c r="E279" s="1822"/>
      <c r="F279" s="1822"/>
      <c r="G279" s="1822"/>
      <c r="H279" s="1822"/>
      <c r="I279" s="1822"/>
      <c r="J279" s="1822"/>
      <c r="K279" s="1822"/>
      <c r="L279" s="551">
        <v>1507.52</v>
      </c>
      <c r="M279" s="550"/>
      <c r="N279" s="549"/>
      <c r="AF279" s="537" t="s">
        <v>547</v>
      </c>
    </row>
    <row r="280" spans="1:33" s="536" customFormat="1" x14ac:dyDescent="0.2">
      <c r="A280" s="548"/>
      <c r="B280" s="552"/>
      <c r="C280" s="1822" t="s">
        <v>443</v>
      </c>
      <c r="D280" s="1822"/>
      <c r="E280" s="1822"/>
      <c r="F280" s="1822"/>
      <c r="G280" s="1822"/>
      <c r="H280" s="1822"/>
      <c r="I280" s="1822"/>
      <c r="J280" s="1822"/>
      <c r="K280" s="1822"/>
      <c r="L280" s="551">
        <v>1019.87</v>
      </c>
      <c r="M280" s="550"/>
      <c r="N280" s="549"/>
      <c r="AF280" s="537" t="s">
        <v>443</v>
      </c>
    </row>
    <row r="281" spans="1:33" s="536" customFormat="1" x14ac:dyDescent="0.2">
      <c r="A281" s="548"/>
      <c r="B281" s="552"/>
      <c r="C281" s="1822" t="s">
        <v>444</v>
      </c>
      <c r="D281" s="1822"/>
      <c r="E281" s="1822"/>
      <c r="F281" s="1822"/>
      <c r="G281" s="1822"/>
      <c r="H281" s="1822"/>
      <c r="I281" s="1822"/>
      <c r="J281" s="1822"/>
      <c r="K281" s="1822"/>
      <c r="L281" s="551">
        <v>527.85</v>
      </c>
      <c r="M281" s="550"/>
      <c r="N281" s="549"/>
      <c r="AF281" s="537" t="s">
        <v>444</v>
      </c>
    </row>
    <row r="282" spans="1:33" s="536" customFormat="1" x14ac:dyDescent="0.2">
      <c r="A282" s="548"/>
      <c r="B282" s="552"/>
      <c r="C282" s="1822" t="s">
        <v>754</v>
      </c>
      <c r="D282" s="1822"/>
      <c r="E282" s="1822"/>
      <c r="F282" s="1822"/>
      <c r="G282" s="1822"/>
      <c r="H282" s="1822"/>
      <c r="I282" s="1822"/>
      <c r="J282" s="1822"/>
      <c r="K282" s="1822"/>
      <c r="L282" s="551">
        <v>44363.73</v>
      </c>
      <c r="M282" s="550"/>
      <c r="N282" s="549">
        <v>203630</v>
      </c>
      <c r="AF282" s="537" t="s">
        <v>754</v>
      </c>
    </row>
    <row r="283" spans="1:33" s="536" customFormat="1" x14ac:dyDescent="0.2">
      <c r="A283" s="548"/>
      <c r="B283" s="552" t="s">
        <v>186</v>
      </c>
      <c r="C283" s="1822" t="s">
        <v>2223</v>
      </c>
      <c r="D283" s="1822"/>
      <c r="E283" s="1822"/>
      <c r="F283" s="1822"/>
      <c r="G283" s="1822"/>
      <c r="H283" s="1822"/>
      <c r="I283" s="1822"/>
      <c r="J283" s="1822"/>
      <c r="K283" s="1822"/>
      <c r="L283" s="551">
        <v>39757.51</v>
      </c>
      <c r="M283" s="550">
        <v>4.59</v>
      </c>
      <c r="N283" s="549">
        <v>182487</v>
      </c>
      <c r="AF283" s="537" t="s">
        <v>2223</v>
      </c>
    </row>
    <row r="284" spans="1:33" s="536" customFormat="1" x14ac:dyDescent="0.2">
      <c r="A284" s="548"/>
      <c r="B284" s="552" t="s">
        <v>186</v>
      </c>
      <c r="C284" s="1822" t="s">
        <v>2224</v>
      </c>
      <c r="D284" s="1822"/>
      <c r="E284" s="1822"/>
      <c r="F284" s="1822"/>
      <c r="G284" s="1822"/>
      <c r="H284" s="1822"/>
      <c r="I284" s="1822"/>
      <c r="J284" s="1822"/>
      <c r="K284" s="1822"/>
      <c r="L284" s="551">
        <v>4606.22</v>
      </c>
      <c r="M284" s="550">
        <v>4.59</v>
      </c>
      <c r="N284" s="549">
        <v>21143</v>
      </c>
      <c r="AF284" s="537" t="s">
        <v>2224</v>
      </c>
    </row>
    <row r="285" spans="1:33" s="536" customFormat="1" x14ac:dyDescent="0.2">
      <c r="A285" s="548"/>
      <c r="B285" s="552"/>
      <c r="C285" s="1822" t="s">
        <v>415</v>
      </c>
      <c r="D285" s="1822"/>
      <c r="E285" s="1822"/>
      <c r="F285" s="1822"/>
      <c r="G285" s="1822"/>
      <c r="H285" s="1822"/>
      <c r="I285" s="1822"/>
      <c r="J285" s="1822"/>
      <c r="K285" s="1822"/>
      <c r="L285" s="551">
        <v>1109.48</v>
      </c>
      <c r="M285" s="550"/>
      <c r="N285" s="549"/>
      <c r="AF285" s="537" t="s">
        <v>415</v>
      </c>
    </row>
    <row r="286" spans="1:33" s="536" customFormat="1" x14ac:dyDescent="0.2">
      <c r="A286" s="548"/>
      <c r="B286" s="552"/>
      <c r="C286" s="1822" t="s">
        <v>416</v>
      </c>
      <c r="D286" s="1822"/>
      <c r="E286" s="1822"/>
      <c r="F286" s="1822"/>
      <c r="G286" s="1822"/>
      <c r="H286" s="1822"/>
      <c r="I286" s="1822"/>
      <c r="J286" s="1822"/>
      <c r="K286" s="1822"/>
      <c r="L286" s="551">
        <v>1019.87</v>
      </c>
      <c r="M286" s="550"/>
      <c r="N286" s="549"/>
      <c r="AF286" s="537" t="s">
        <v>416</v>
      </c>
    </row>
    <row r="287" spans="1:33" s="536" customFormat="1" x14ac:dyDescent="0.2">
      <c r="A287" s="548"/>
      <c r="B287" s="552"/>
      <c r="C287" s="1822" t="s">
        <v>417</v>
      </c>
      <c r="D287" s="1822"/>
      <c r="E287" s="1822"/>
      <c r="F287" s="1822"/>
      <c r="G287" s="1822"/>
      <c r="H287" s="1822"/>
      <c r="I287" s="1822"/>
      <c r="J287" s="1822"/>
      <c r="K287" s="1822"/>
      <c r="L287" s="551">
        <v>527.85</v>
      </c>
      <c r="M287" s="550"/>
      <c r="N287" s="549"/>
      <c r="AF287" s="537" t="s">
        <v>417</v>
      </c>
    </row>
    <row r="288" spans="1:33" s="536" customFormat="1" x14ac:dyDescent="0.2">
      <c r="A288" s="548"/>
      <c r="B288" s="546"/>
      <c r="C288" s="1819" t="s">
        <v>206</v>
      </c>
      <c r="D288" s="1819"/>
      <c r="E288" s="1819"/>
      <c r="F288" s="1819"/>
      <c r="G288" s="1819"/>
      <c r="H288" s="1819"/>
      <c r="I288" s="1819"/>
      <c r="J288" s="1819"/>
      <c r="K288" s="1819"/>
      <c r="L288" s="544">
        <v>48608.800000000003</v>
      </c>
      <c r="M288" s="543"/>
      <c r="N288" s="547">
        <v>238949</v>
      </c>
      <c r="AG288" s="537" t="s">
        <v>206</v>
      </c>
    </row>
    <row r="289" spans="1:34" x14ac:dyDescent="0.2">
      <c r="A289" s="548"/>
      <c r="B289" s="552"/>
      <c r="C289" s="1822" t="s">
        <v>204</v>
      </c>
      <c r="D289" s="1822"/>
      <c r="E289" s="1822"/>
      <c r="F289" s="1822"/>
      <c r="G289" s="1822"/>
      <c r="H289" s="1822"/>
      <c r="I289" s="1822"/>
      <c r="J289" s="1822"/>
      <c r="K289" s="1822"/>
      <c r="L289" s="551"/>
      <c r="M289" s="550"/>
      <c r="N289" s="549"/>
      <c r="O289" s="536"/>
      <c r="P289" s="536"/>
      <c r="Q289" s="536"/>
      <c r="R289" s="536"/>
      <c r="S289" s="536"/>
      <c r="T289" s="536"/>
      <c r="U289" s="536"/>
      <c r="V289" s="536"/>
      <c r="W289" s="536"/>
      <c r="X289" s="536"/>
      <c r="Y289" s="536"/>
      <c r="Z289" s="536"/>
      <c r="AA289" s="536"/>
      <c r="AB289" s="536"/>
      <c r="AC289" s="536"/>
      <c r="AD289" s="536"/>
      <c r="AE289" s="536"/>
      <c r="AF289" s="537" t="s">
        <v>204</v>
      </c>
      <c r="AG289" s="536"/>
      <c r="AH289" s="536"/>
    </row>
    <row r="290" spans="1:34" x14ac:dyDescent="0.2">
      <c r="A290" s="548"/>
      <c r="B290" s="552"/>
      <c r="C290" s="1822" t="s">
        <v>8095</v>
      </c>
      <c r="D290" s="1822"/>
      <c r="E290" s="1822"/>
      <c r="F290" s="1822"/>
      <c r="G290" s="1822"/>
      <c r="H290" s="1822"/>
      <c r="I290" s="1822"/>
      <c r="J290" s="1822"/>
      <c r="K290" s="1822"/>
      <c r="L290" s="551">
        <v>1305.53</v>
      </c>
      <c r="M290" s="550"/>
      <c r="N290" s="549">
        <v>10862</v>
      </c>
      <c r="O290" s="536"/>
      <c r="P290" s="536"/>
      <c r="Q290" s="536"/>
      <c r="R290" s="536"/>
      <c r="S290" s="536"/>
      <c r="T290" s="536"/>
      <c r="U290" s="536"/>
      <c r="V290" s="536"/>
      <c r="W290" s="536"/>
      <c r="X290" s="536"/>
      <c r="Y290" s="536"/>
      <c r="Z290" s="536"/>
      <c r="AA290" s="536"/>
      <c r="AB290" s="536"/>
      <c r="AC290" s="536"/>
      <c r="AD290" s="536"/>
      <c r="AE290" s="536"/>
      <c r="AF290" s="537" t="s">
        <v>8095</v>
      </c>
      <c r="AG290" s="536"/>
      <c r="AH290" s="536"/>
    </row>
    <row r="291" spans="1:34" x14ac:dyDescent="0.2">
      <c r="A291" s="548"/>
      <c r="B291" s="552"/>
      <c r="C291" s="1822" t="s">
        <v>8097</v>
      </c>
      <c r="D291" s="1822"/>
      <c r="E291" s="1822"/>
      <c r="F291" s="1822"/>
      <c r="G291" s="1822"/>
      <c r="H291" s="1822"/>
      <c r="I291" s="1822"/>
      <c r="J291" s="1822"/>
      <c r="K291" s="1822"/>
      <c r="L291" s="551"/>
      <c r="M291" s="550"/>
      <c r="N291" s="549">
        <v>182487</v>
      </c>
      <c r="O291" s="536"/>
      <c r="P291" s="536"/>
      <c r="Q291" s="536"/>
      <c r="R291" s="536"/>
      <c r="S291" s="536"/>
      <c r="T291" s="536"/>
      <c r="U291" s="536"/>
      <c r="V291" s="536"/>
      <c r="W291" s="536"/>
      <c r="X291" s="536"/>
      <c r="Y291" s="536"/>
      <c r="Z291" s="536"/>
      <c r="AA291" s="536"/>
      <c r="AB291" s="536"/>
      <c r="AC291" s="536"/>
      <c r="AD291" s="536"/>
      <c r="AE291" s="536"/>
      <c r="AF291" s="537" t="s">
        <v>8097</v>
      </c>
      <c r="AG291" s="536"/>
      <c r="AH291" s="536"/>
    </row>
    <row r="292" spans="1:34" ht="1.5" customHeight="1" x14ac:dyDescent="0.2">
      <c r="B292" s="546"/>
      <c r="C292" s="671"/>
      <c r="D292" s="671"/>
      <c r="E292" s="671"/>
      <c r="F292" s="671"/>
      <c r="G292" s="671"/>
      <c r="H292" s="671"/>
      <c r="I292" s="671"/>
      <c r="J292" s="671"/>
      <c r="K292" s="671"/>
      <c r="L292" s="544"/>
      <c r="M292" s="543"/>
      <c r="N292" s="542"/>
      <c r="O292" s="536"/>
      <c r="P292" s="536"/>
      <c r="Q292" s="536"/>
      <c r="R292" s="536"/>
      <c r="S292" s="536"/>
      <c r="T292" s="536"/>
      <c r="U292" s="536"/>
      <c r="V292" s="536"/>
      <c r="W292" s="536"/>
      <c r="X292" s="536"/>
      <c r="Y292" s="536"/>
      <c r="Z292" s="536"/>
      <c r="AA292" s="536"/>
      <c r="AB292" s="536"/>
      <c r="AC292" s="536"/>
      <c r="AD292" s="536"/>
      <c r="AE292" s="536"/>
      <c r="AF292" s="536"/>
      <c r="AG292" s="536"/>
      <c r="AH292" s="536"/>
    </row>
    <row r="293" spans="1:34" ht="53.25" customHeight="1" x14ac:dyDescent="0.2">
      <c r="A293" s="541"/>
      <c r="B293" s="541"/>
      <c r="C293" s="541"/>
      <c r="D293" s="541"/>
      <c r="E293" s="541"/>
      <c r="F293" s="541"/>
      <c r="G293" s="541"/>
      <c r="H293" s="541"/>
      <c r="I293" s="541"/>
      <c r="J293" s="541"/>
      <c r="K293" s="541"/>
      <c r="L293" s="541"/>
      <c r="M293" s="541"/>
      <c r="N293" s="541"/>
      <c r="O293" s="536"/>
      <c r="P293" s="536"/>
      <c r="Q293" s="536"/>
      <c r="R293" s="536"/>
      <c r="S293" s="536"/>
      <c r="T293" s="536"/>
      <c r="U293" s="536"/>
      <c r="V293" s="536"/>
      <c r="W293" s="536"/>
      <c r="X293" s="536"/>
      <c r="Y293" s="536"/>
      <c r="Z293" s="536"/>
      <c r="AA293" s="536"/>
      <c r="AB293" s="536"/>
      <c r="AC293" s="536"/>
      <c r="AD293" s="536"/>
      <c r="AE293" s="536"/>
      <c r="AF293" s="536"/>
      <c r="AG293" s="536"/>
      <c r="AH293" s="536"/>
    </row>
    <row r="294" spans="1:34" x14ac:dyDescent="0.2">
      <c r="B294" s="539" t="s">
        <v>149</v>
      </c>
      <c r="C294" s="1943" t="s">
        <v>207</v>
      </c>
      <c r="D294" s="1943"/>
      <c r="E294" s="1943"/>
      <c r="F294" s="1943"/>
      <c r="G294" s="1943"/>
      <c r="H294" s="1943"/>
      <c r="I294" s="1943"/>
      <c r="J294" s="1943"/>
      <c r="K294" s="1943"/>
      <c r="L294" s="1943"/>
      <c r="O294" s="536"/>
    </row>
    <row r="295" spans="1:34" ht="13.5" customHeight="1" x14ac:dyDescent="0.2">
      <c r="B295" s="540"/>
      <c r="C295" s="1821" t="s">
        <v>150</v>
      </c>
      <c r="D295" s="1821"/>
      <c r="E295" s="1821"/>
      <c r="F295" s="1821"/>
      <c r="G295" s="1821"/>
      <c r="H295" s="1821"/>
      <c r="I295" s="1821"/>
      <c r="J295" s="1821"/>
      <c r="K295" s="1821"/>
      <c r="L295" s="1821"/>
      <c r="O295" s="536"/>
    </row>
    <row r="296" spans="1:34" ht="12.75" customHeight="1" x14ac:dyDescent="0.2">
      <c r="B296" s="539" t="s">
        <v>151</v>
      </c>
      <c r="C296" s="1943" t="s">
        <v>208</v>
      </c>
      <c r="D296" s="1943"/>
      <c r="E296" s="1943"/>
      <c r="F296" s="1943"/>
      <c r="G296" s="1943"/>
      <c r="H296" s="1943"/>
      <c r="I296" s="1943"/>
      <c r="J296" s="1943"/>
      <c r="K296" s="1943"/>
      <c r="L296" s="1943"/>
      <c r="O296" s="536"/>
    </row>
    <row r="297" spans="1:34" ht="13.5" customHeight="1" x14ac:dyDescent="0.2">
      <c r="C297" s="1821" t="s">
        <v>150</v>
      </c>
      <c r="D297" s="1821"/>
      <c r="E297" s="1821"/>
      <c r="F297" s="1821"/>
      <c r="G297" s="1821"/>
      <c r="H297" s="1821"/>
      <c r="I297" s="1821"/>
      <c r="J297" s="1821"/>
      <c r="K297" s="1821"/>
      <c r="L297" s="1821"/>
      <c r="O297" s="536"/>
    </row>
    <row r="299" spans="1:34" x14ac:dyDescent="0.2">
      <c r="A299" s="1944"/>
      <c r="B299" s="1944"/>
      <c r="C299" s="1944"/>
      <c r="D299" s="1944"/>
      <c r="E299" s="1944"/>
      <c r="F299" s="1944"/>
      <c r="G299" s="1944"/>
      <c r="H299" s="1944"/>
      <c r="I299" s="1944"/>
      <c r="J299" s="1944"/>
      <c r="K299" s="1944"/>
      <c r="L299" s="1944"/>
      <c r="M299" s="1944"/>
      <c r="N299" s="1944"/>
      <c r="O299" s="536"/>
      <c r="P299" s="536"/>
      <c r="Q299" s="536"/>
      <c r="R299" s="536"/>
      <c r="S299" s="536"/>
      <c r="T299" s="536"/>
      <c r="U299" s="536"/>
      <c r="V299" s="536"/>
      <c r="W299" s="536"/>
      <c r="X299" s="536"/>
      <c r="Y299" s="536"/>
      <c r="Z299" s="536"/>
      <c r="AA299" s="536"/>
      <c r="AB299" s="536"/>
      <c r="AC299" s="536"/>
      <c r="AD299" s="536"/>
      <c r="AE299" s="536"/>
      <c r="AF299" s="536"/>
      <c r="AG299" s="536"/>
      <c r="AH299" s="537" t="s">
        <v>143</v>
      </c>
    </row>
    <row r="300" spans="1:34" x14ac:dyDescent="0.2">
      <c r="B300" s="538"/>
      <c r="D300" s="538"/>
      <c r="F300" s="538"/>
      <c r="O300" s="536"/>
      <c r="P300" s="536"/>
      <c r="Q300" s="536"/>
      <c r="R300" s="536"/>
      <c r="S300" s="536"/>
      <c r="T300" s="536"/>
      <c r="U300" s="536"/>
      <c r="V300" s="536"/>
      <c r="W300" s="536"/>
      <c r="X300" s="536"/>
      <c r="Y300" s="536"/>
      <c r="Z300" s="536"/>
      <c r="AA300" s="536"/>
      <c r="AB300" s="536"/>
      <c r="AC300" s="536"/>
      <c r="AD300" s="536"/>
      <c r="AE300" s="536"/>
      <c r="AF300" s="536"/>
      <c r="AG300" s="536"/>
      <c r="AH300" s="536"/>
    </row>
  </sheetData>
  <mergeCells count="262">
    <mergeCell ref="C291:K291"/>
    <mergeCell ref="C294:L294"/>
    <mergeCell ref="C295:L295"/>
    <mergeCell ref="C296:L296"/>
    <mergeCell ref="C297:L297"/>
    <mergeCell ref="A299:N299"/>
    <mergeCell ref="C285:K285"/>
    <mergeCell ref="C286:K286"/>
    <mergeCell ref="C287:K287"/>
    <mergeCell ref="C288:K288"/>
    <mergeCell ref="C289:K289"/>
    <mergeCell ref="C290:K290"/>
    <mergeCell ref="C279:K279"/>
    <mergeCell ref="C280:K280"/>
    <mergeCell ref="C281:K281"/>
    <mergeCell ref="C282:K282"/>
    <mergeCell ref="C283:K283"/>
    <mergeCell ref="C284:K284"/>
    <mergeCell ref="C273:K273"/>
    <mergeCell ref="C274:K274"/>
    <mergeCell ref="C275:K275"/>
    <mergeCell ref="C276:K276"/>
    <mergeCell ref="C277:K277"/>
    <mergeCell ref="C278:K278"/>
    <mergeCell ref="C265:N265"/>
    <mergeCell ref="C268:K268"/>
    <mergeCell ref="C269:K269"/>
    <mergeCell ref="C270:K270"/>
    <mergeCell ref="C271:K271"/>
    <mergeCell ref="C272:K272"/>
    <mergeCell ref="C258:E258"/>
    <mergeCell ref="C259:E259"/>
    <mergeCell ref="C260:E260"/>
    <mergeCell ref="C261:E261"/>
    <mergeCell ref="C262:E262"/>
    <mergeCell ref="C263:E263"/>
    <mergeCell ref="C252:E252"/>
    <mergeCell ref="C253:N253"/>
    <mergeCell ref="C254:N254"/>
    <mergeCell ref="C255:E255"/>
    <mergeCell ref="C256:E256"/>
    <mergeCell ref="C257:E257"/>
    <mergeCell ref="C245:E245"/>
    <mergeCell ref="C246:E246"/>
    <mergeCell ref="C247:E247"/>
    <mergeCell ref="C248:E248"/>
    <mergeCell ref="C250:N250"/>
    <mergeCell ref="C251:N251"/>
    <mergeCell ref="C239:E239"/>
    <mergeCell ref="C240:E240"/>
    <mergeCell ref="C241:E241"/>
    <mergeCell ref="C242:E242"/>
    <mergeCell ref="C243:E243"/>
    <mergeCell ref="C244:E244"/>
    <mergeCell ref="C233:N233"/>
    <mergeCell ref="C234:E234"/>
    <mergeCell ref="C235:N235"/>
    <mergeCell ref="C236:N236"/>
    <mergeCell ref="C237:E237"/>
    <mergeCell ref="C238:E238"/>
    <mergeCell ref="C226:E226"/>
    <mergeCell ref="C227:E227"/>
    <mergeCell ref="C228:E228"/>
    <mergeCell ref="C229:E229"/>
    <mergeCell ref="C230:E230"/>
    <mergeCell ref="C231:E231"/>
    <mergeCell ref="C220:E220"/>
    <mergeCell ref="C221:E221"/>
    <mergeCell ref="C222:E222"/>
    <mergeCell ref="C223:E223"/>
    <mergeCell ref="C224:E224"/>
    <mergeCell ref="C225:E225"/>
    <mergeCell ref="C213:E213"/>
    <mergeCell ref="C214:E214"/>
    <mergeCell ref="C216:N216"/>
    <mergeCell ref="C217:E217"/>
    <mergeCell ref="C218:N218"/>
    <mergeCell ref="C219:N219"/>
    <mergeCell ref="C207:E207"/>
    <mergeCell ref="C208:E208"/>
    <mergeCell ref="C209:E209"/>
    <mergeCell ref="C210:E210"/>
    <mergeCell ref="C211:E211"/>
    <mergeCell ref="C212:E212"/>
    <mergeCell ref="C201:E201"/>
    <mergeCell ref="C202:N202"/>
    <mergeCell ref="C203:E203"/>
    <mergeCell ref="C204:E204"/>
    <mergeCell ref="C205:E205"/>
    <mergeCell ref="C206:E206"/>
    <mergeCell ref="C194:E194"/>
    <mergeCell ref="C195:E195"/>
    <mergeCell ref="C196:E196"/>
    <mergeCell ref="C197:E197"/>
    <mergeCell ref="C198:E198"/>
    <mergeCell ref="C199:E199"/>
    <mergeCell ref="C188:N188"/>
    <mergeCell ref="C189:E189"/>
    <mergeCell ref="C190:N190"/>
    <mergeCell ref="C191:E191"/>
    <mergeCell ref="C192:E192"/>
    <mergeCell ref="C193:E193"/>
    <mergeCell ref="C181:E181"/>
    <mergeCell ref="C182:E182"/>
    <mergeCell ref="C183:E183"/>
    <mergeCell ref="C184:E184"/>
    <mergeCell ref="C185:E185"/>
    <mergeCell ref="C186:E186"/>
    <mergeCell ref="C175:E175"/>
    <mergeCell ref="C176:N176"/>
    <mergeCell ref="C177:E177"/>
    <mergeCell ref="C178:E178"/>
    <mergeCell ref="C179:E179"/>
    <mergeCell ref="C180:E180"/>
    <mergeCell ref="C168:E168"/>
    <mergeCell ref="C169:E169"/>
    <mergeCell ref="C170:E170"/>
    <mergeCell ref="C171:E171"/>
    <mergeCell ref="C172:E172"/>
    <mergeCell ref="C174:N174"/>
    <mergeCell ref="C162:E162"/>
    <mergeCell ref="C163:N163"/>
    <mergeCell ref="C164:E164"/>
    <mergeCell ref="C165:E165"/>
    <mergeCell ref="C166:E166"/>
    <mergeCell ref="C167:E167"/>
    <mergeCell ref="C155:E155"/>
    <mergeCell ref="C156:E156"/>
    <mergeCell ref="C157:E157"/>
    <mergeCell ref="C158:E158"/>
    <mergeCell ref="C159:E159"/>
    <mergeCell ref="C161:N161"/>
    <mergeCell ref="C149:E149"/>
    <mergeCell ref="C150:N150"/>
    <mergeCell ref="C151:E151"/>
    <mergeCell ref="C152:E152"/>
    <mergeCell ref="C153:E153"/>
    <mergeCell ref="C154:E154"/>
    <mergeCell ref="C142:E142"/>
    <mergeCell ref="C143:E143"/>
    <mergeCell ref="C144:E144"/>
    <mergeCell ref="C145:E145"/>
    <mergeCell ref="C146:E146"/>
    <mergeCell ref="C148:N148"/>
    <mergeCell ref="C136:E136"/>
    <mergeCell ref="C137:N137"/>
    <mergeCell ref="C138:E138"/>
    <mergeCell ref="C139:E139"/>
    <mergeCell ref="C140:E140"/>
    <mergeCell ref="C141:E141"/>
    <mergeCell ref="C129:E129"/>
    <mergeCell ref="C130:E130"/>
    <mergeCell ref="C131:E131"/>
    <mergeCell ref="C132:E132"/>
    <mergeCell ref="C133:E133"/>
    <mergeCell ref="C134:E134"/>
    <mergeCell ref="C122:E122"/>
    <mergeCell ref="C124:E124"/>
    <mergeCell ref="C125:N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C109:E109"/>
    <mergeCell ref="C110:E110"/>
    <mergeCell ref="C112:E112"/>
    <mergeCell ref="C113:N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100:E100"/>
    <mergeCell ref="C101:N101"/>
    <mergeCell ref="C102:E102"/>
    <mergeCell ref="C90:E90"/>
    <mergeCell ref="C91:E91"/>
    <mergeCell ref="C92:E92"/>
    <mergeCell ref="C93:E93"/>
    <mergeCell ref="C94:E94"/>
    <mergeCell ref="C95:E95"/>
    <mergeCell ref="C83:E83"/>
    <mergeCell ref="C84:E84"/>
    <mergeCell ref="C85:E85"/>
    <mergeCell ref="C87:N87"/>
    <mergeCell ref="C88:E88"/>
    <mergeCell ref="C89:N89"/>
    <mergeCell ref="C77:E77"/>
    <mergeCell ref="C78:E78"/>
    <mergeCell ref="C79:E79"/>
    <mergeCell ref="C80:E80"/>
    <mergeCell ref="C81:E81"/>
    <mergeCell ref="C82:E82"/>
    <mergeCell ref="C71:N71"/>
    <mergeCell ref="C72:E72"/>
    <mergeCell ref="C73:N73"/>
    <mergeCell ref="C74:E74"/>
    <mergeCell ref="C75:E75"/>
    <mergeCell ref="C76:E76"/>
    <mergeCell ref="C64:E64"/>
    <mergeCell ref="C65:E65"/>
    <mergeCell ref="C66:E66"/>
    <mergeCell ref="C67:E67"/>
    <mergeCell ref="C68:E68"/>
    <mergeCell ref="C69:E69"/>
    <mergeCell ref="C58:E58"/>
    <mergeCell ref="C59:E59"/>
    <mergeCell ref="C60:E60"/>
    <mergeCell ref="C61:E61"/>
    <mergeCell ref="C62:E62"/>
    <mergeCell ref="C63:E63"/>
    <mergeCell ref="C51:N51"/>
    <mergeCell ref="C52:E52"/>
    <mergeCell ref="C54:N54"/>
    <mergeCell ref="C55:E55"/>
    <mergeCell ref="C56:N56"/>
    <mergeCell ref="C57:E57"/>
    <mergeCell ref="C42:N42"/>
    <mergeCell ref="C43:E43"/>
    <mergeCell ref="C45:N45"/>
    <mergeCell ref="C46:E46"/>
    <mergeCell ref="C48:N48"/>
    <mergeCell ref="C49:E49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299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/>
  <dimension ref="A1:AG236"/>
  <sheetViews>
    <sheetView topLeftCell="A199" zoomScale="115" zoomScaleNormal="115" workbookViewId="0"/>
  </sheetViews>
  <sheetFormatPr defaultColWidth="9.140625" defaultRowHeight="11.25" customHeight="1" x14ac:dyDescent="0.25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600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29" width="34.140625" style="537" hidden="1" customWidth="1"/>
    <col min="30" max="32" width="84.42578125" style="537" hidden="1" customWidth="1"/>
    <col min="33" max="33" width="138.42578125" style="537" hidden="1" customWidth="1"/>
    <col min="34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159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1806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1806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8292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52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52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8181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5031.3900000000003</v>
      </c>
      <c r="D28" s="579" t="s">
        <v>8293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0</v>
      </c>
      <c r="D30" s="579" t="s">
        <v>171</v>
      </c>
      <c r="E30" s="665" t="s">
        <v>167</v>
      </c>
      <c r="G30" s="536" t="s">
        <v>170</v>
      </c>
      <c r="L30" s="580">
        <v>0</v>
      </c>
      <c r="M30" s="579" t="s">
        <v>8294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598.66</v>
      </c>
      <c r="D31" s="583" t="s">
        <v>8295</v>
      </c>
      <c r="E31" s="665" t="s">
        <v>167</v>
      </c>
      <c r="G31" s="536" t="s">
        <v>172</v>
      </c>
      <c r="L31" s="582"/>
      <c r="M31" s="582">
        <v>829.98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4432.7299999999996</v>
      </c>
      <c r="D32" s="583" t="s">
        <v>8296</v>
      </c>
      <c r="E32" s="665" t="s">
        <v>167</v>
      </c>
      <c r="G32" s="536" t="s">
        <v>174</v>
      </c>
      <c r="L32" s="582"/>
      <c r="M32" s="582">
        <v>21.35</v>
      </c>
      <c r="N32" s="581" t="s">
        <v>173</v>
      </c>
    </row>
    <row r="33" spans="1:28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8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8" s="536" customFormat="1" ht="12" x14ac:dyDescent="0.2">
      <c r="A39" s="1824" t="s">
        <v>3066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537" t="s">
        <v>3066</v>
      </c>
    </row>
    <row r="40" spans="1:28" s="536" customFormat="1" x14ac:dyDescent="0.2">
      <c r="A40" s="575" t="s">
        <v>185</v>
      </c>
      <c r="B40" s="670" t="s">
        <v>737</v>
      </c>
      <c r="C40" s="1823" t="s">
        <v>738</v>
      </c>
      <c r="D40" s="1823"/>
      <c r="E40" s="1823"/>
      <c r="F40" s="573" t="s">
        <v>617</v>
      </c>
      <c r="G40" s="573"/>
      <c r="H40" s="573"/>
      <c r="I40" s="573" t="s">
        <v>2368</v>
      </c>
      <c r="J40" s="572"/>
      <c r="K40" s="573"/>
      <c r="L40" s="572"/>
      <c r="M40" s="571"/>
      <c r="N40" s="570"/>
      <c r="W40" s="537" t="s">
        <v>738</v>
      </c>
    </row>
    <row r="41" spans="1:28" s="536" customFormat="1" x14ac:dyDescent="0.2">
      <c r="A41" s="676"/>
      <c r="B41" s="664"/>
      <c r="C41" s="1822" t="s">
        <v>8297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X41" s="537" t="s">
        <v>8297</v>
      </c>
    </row>
    <row r="42" spans="1:28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Y42" s="537" t="s">
        <v>311</v>
      </c>
    </row>
    <row r="43" spans="1:28" s="536" customFormat="1" x14ac:dyDescent="0.2">
      <c r="A43" s="605"/>
      <c r="B43" s="552" t="s">
        <v>185</v>
      </c>
      <c r="C43" s="1822" t="s">
        <v>312</v>
      </c>
      <c r="D43" s="1822"/>
      <c r="E43" s="1822"/>
      <c r="F43" s="562"/>
      <c r="G43" s="562"/>
      <c r="H43" s="562"/>
      <c r="I43" s="562"/>
      <c r="J43" s="604">
        <v>34.020000000000003</v>
      </c>
      <c r="K43" s="562" t="s">
        <v>313</v>
      </c>
      <c r="L43" s="604">
        <v>3316.95</v>
      </c>
      <c r="M43" s="603"/>
      <c r="N43" s="602"/>
      <c r="Z43" s="537" t="s">
        <v>312</v>
      </c>
    </row>
    <row r="44" spans="1:28" s="536" customFormat="1" x14ac:dyDescent="0.2">
      <c r="A44" s="605"/>
      <c r="B44" s="552" t="s">
        <v>188</v>
      </c>
      <c r="C44" s="1822" t="s">
        <v>475</v>
      </c>
      <c r="D44" s="1822"/>
      <c r="E44" s="1822"/>
      <c r="F44" s="562"/>
      <c r="G44" s="562"/>
      <c r="H44" s="562"/>
      <c r="I44" s="562"/>
      <c r="J44" s="604">
        <v>0.68</v>
      </c>
      <c r="K44" s="562"/>
      <c r="L44" s="604">
        <v>53.04</v>
      </c>
      <c r="M44" s="603"/>
      <c r="N44" s="602"/>
      <c r="Z44" s="537" t="s">
        <v>475</v>
      </c>
    </row>
    <row r="45" spans="1:28" s="536" customFormat="1" x14ac:dyDescent="0.2">
      <c r="A45" s="605"/>
      <c r="B45" s="552"/>
      <c r="C45" s="1822" t="s">
        <v>314</v>
      </c>
      <c r="D45" s="1822"/>
      <c r="E45" s="1822"/>
      <c r="F45" s="562" t="s">
        <v>315</v>
      </c>
      <c r="G45" s="562" t="s">
        <v>739</v>
      </c>
      <c r="H45" s="562" t="s">
        <v>313</v>
      </c>
      <c r="I45" s="562" t="s">
        <v>8298</v>
      </c>
      <c r="J45" s="604"/>
      <c r="K45" s="562"/>
      <c r="L45" s="604"/>
      <c r="M45" s="603"/>
      <c r="N45" s="602"/>
      <c r="AA45" s="537" t="s">
        <v>314</v>
      </c>
    </row>
    <row r="46" spans="1:28" s="536" customFormat="1" x14ac:dyDescent="0.2">
      <c r="A46" s="605"/>
      <c r="B46" s="552"/>
      <c r="C46" s="1828" t="s">
        <v>318</v>
      </c>
      <c r="D46" s="1828"/>
      <c r="E46" s="1828"/>
      <c r="F46" s="608"/>
      <c r="G46" s="608"/>
      <c r="H46" s="608"/>
      <c r="I46" s="608"/>
      <c r="J46" s="607">
        <v>34.700000000000003</v>
      </c>
      <c r="K46" s="608"/>
      <c r="L46" s="607">
        <v>3369.99</v>
      </c>
      <c r="M46" s="601"/>
      <c r="N46" s="606"/>
      <c r="AB46" s="537" t="s">
        <v>318</v>
      </c>
    </row>
    <row r="47" spans="1:28" s="536" customFormat="1" x14ac:dyDescent="0.2">
      <c r="A47" s="605"/>
      <c r="B47" s="552"/>
      <c r="C47" s="1822" t="s">
        <v>319</v>
      </c>
      <c r="D47" s="1822"/>
      <c r="E47" s="1822"/>
      <c r="F47" s="562"/>
      <c r="G47" s="562"/>
      <c r="H47" s="562"/>
      <c r="I47" s="562"/>
      <c r="J47" s="604"/>
      <c r="K47" s="562"/>
      <c r="L47" s="604">
        <v>3316.95</v>
      </c>
      <c r="M47" s="603"/>
      <c r="N47" s="602"/>
      <c r="AA47" s="537" t="s">
        <v>319</v>
      </c>
    </row>
    <row r="48" spans="1:28" s="536" customFormat="1" ht="33.75" x14ac:dyDescent="0.2">
      <c r="A48" s="605"/>
      <c r="B48" s="552" t="s">
        <v>884</v>
      </c>
      <c r="C48" s="1822" t="s">
        <v>885</v>
      </c>
      <c r="D48" s="1822"/>
      <c r="E48" s="1822"/>
      <c r="F48" s="562" t="s">
        <v>322</v>
      </c>
      <c r="G48" s="562" t="s">
        <v>886</v>
      </c>
      <c r="H48" s="562"/>
      <c r="I48" s="562" t="s">
        <v>886</v>
      </c>
      <c r="J48" s="604"/>
      <c r="K48" s="562"/>
      <c r="L48" s="604">
        <v>2985.26</v>
      </c>
      <c r="M48" s="603"/>
      <c r="N48" s="602"/>
      <c r="AA48" s="537" t="s">
        <v>885</v>
      </c>
    </row>
    <row r="49" spans="1:29" s="536" customFormat="1" ht="33.75" x14ac:dyDescent="0.2">
      <c r="A49" s="605"/>
      <c r="B49" s="552" t="s">
        <v>887</v>
      </c>
      <c r="C49" s="1822" t="s">
        <v>888</v>
      </c>
      <c r="D49" s="1822"/>
      <c r="E49" s="1822"/>
      <c r="F49" s="562" t="s">
        <v>322</v>
      </c>
      <c r="G49" s="562" t="s">
        <v>465</v>
      </c>
      <c r="H49" s="562"/>
      <c r="I49" s="562" t="s">
        <v>465</v>
      </c>
      <c r="J49" s="604"/>
      <c r="K49" s="562"/>
      <c r="L49" s="604">
        <v>1525.8</v>
      </c>
      <c r="M49" s="603"/>
      <c r="N49" s="602"/>
      <c r="AA49" s="537" t="s">
        <v>888</v>
      </c>
    </row>
    <row r="50" spans="1:29" s="536" customFormat="1" x14ac:dyDescent="0.2">
      <c r="A50" s="569"/>
      <c r="B50" s="671"/>
      <c r="C50" s="1823" t="s">
        <v>327</v>
      </c>
      <c r="D50" s="1823"/>
      <c r="E50" s="1823"/>
      <c r="F50" s="573"/>
      <c r="G50" s="573"/>
      <c r="H50" s="573"/>
      <c r="I50" s="573"/>
      <c r="J50" s="572"/>
      <c r="K50" s="573"/>
      <c r="L50" s="572">
        <v>7881.05</v>
      </c>
      <c r="M50" s="601"/>
      <c r="N50" s="570"/>
      <c r="AC50" s="537" t="s">
        <v>327</v>
      </c>
    </row>
    <row r="51" spans="1:29" s="536" customFormat="1" ht="33.75" x14ac:dyDescent="0.2">
      <c r="A51" s="575" t="s">
        <v>186</v>
      </c>
      <c r="B51" s="670" t="s">
        <v>8299</v>
      </c>
      <c r="C51" s="1823" t="s">
        <v>8300</v>
      </c>
      <c r="D51" s="1823"/>
      <c r="E51" s="1823"/>
      <c r="F51" s="573" t="s">
        <v>628</v>
      </c>
      <c r="G51" s="573"/>
      <c r="H51" s="573"/>
      <c r="I51" s="573" t="s">
        <v>2359</v>
      </c>
      <c r="J51" s="572">
        <v>3246.75</v>
      </c>
      <c r="K51" s="573" t="s">
        <v>629</v>
      </c>
      <c r="L51" s="572">
        <v>30013.7</v>
      </c>
      <c r="M51" s="571">
        <v>8.32</v>
      </c>
      <c r="N51" s="570">
        <v>249714</v>
      </c>
      <c r="W51" s="537" t="s">
        <v>8300</v>
      </c>
    </row>
    <row r="52" spans="1:29" s="536" customFormat="1" x14ac:dyDescent="0.2">
      <c r="A52" s="569"/>
      <c r="B52" s="671"/>
      <c r="C52" s="665" t="s">
        <v>1658</v>
      </c>
      <c r="D52" s="666"/>
      <c r="E52" s="666"/>
      <c r="F52" s="563"/>
      <c r="G52" s="563"/>
      <c r="H52" s="563"/>
      <c r="I52" s="563"/>
      <c r="J52" s="566"/>
      <c r="K52" s="563"/>
      <c r="L52" s="566"/>
      <c r="M52" s="565"/>
      <c r="N52" s="564"/>
    </row>
    <row r="53" spans="1:29" s="536" customFormat="1" ht="22.5" x14ac:dyDescent="0.2">
      <c r="A53" s="609"/>
      <c r="B53" s="552" t="s">
        <v>631</v>
      </c>
      <c r="C53" s="1822" t="s">
        <v>632</v>
      </c>
      <c r="D53" s="1822"/>
      <c r="E53" s="1822"/>
      <c r="F53" s="1822"/>
      <c r="G53" s="1822"/>
      <c r="H53" s="1822"/>
      <c r="I53" s="1822"/>
      <c r="J53" s="1822"/>
      <c r="K53" s="1822"/>
      <c r="L53" s="1822"/>
      <c r="M53" s="1822"/>
      <c r="N53" s="1827"/>
      <c r="Y53" s="537" t="s">
        <v>632</v>
      </c>
    </row>
    <row r="54" spans="1:29" s="536" customFormat="1" ht="33.75" x14ac:dyDescent="0.2">
      <c r="A54" s="575" t="s">
        <v>2195</v>
      </c>
      <c r="B54" s="670" t="s">
        <v>8301</v>
      </c>
      <c r="C54" s="1823" t="s">
        <v>8302</v>
      </c>
      <c r="D54" s="1823"/>
      <c r="E54" s="1823"/>
      <c r="F54" s="573" t="s">
        <v>628</v>
      </c>
      <c r="G54" s="573"/>
      <c r="H54" s="573"/>
      <c r="I54" s="573" t="s">
        <v>2359</v>
      </c>
      <c r="J54" s="572">
        <v>31151.25</v>
      </c>
      <c r="K54" s="573" t="s">
        <v>629</v>
      </c>
      <c r="L54" s="572">
        <v>521983.66</v>
      </c>
      <c r="M54" s="571">
        <v>4.59</v>
      </c>
      <c r="N54" s="570">
        <v>2395905</v>
      </c>
      <c r="W54" s="537" t="s">
        <v>8302</v>
      </c>
    </row>
    <row r="55" spans="1:29" s="536" customFormat="1" x14ac:dyDescent="0.2">
      <c r="A55" s="569"/>
      <c r="B55" s="671"/>
      <c r="C55" s="665" t="s">
        <v>630</v>
      </c>
      <c r="D55" s="666"/>
      <c r="E55" s="666"/>
      <c r="F55" s="563"/>
      <c r="G55" s="563"/>
      <c r="H55" s="563"/>
      <c r="I55" s="563"/>
      <c r="J55" s="566"/>
      <c r="K55" s="563"/>
      <c r="L55" s="566"/>
      <c r="M55" s="565"/>
      <c r="N55" s="564"/>
    </row>
    <row r="56" spans="1:29" s="536" customFormat="1" ht="22.5" x14ac:dyDescent="0.2">
      <c r="A56" s="609"/>
      <c r="B56" s="552" t="s">
        <v>631</v>
      </c>
      <c r="C56" s="1822" t="s">
        <v>632</v>
      </c>
      <c r="D56" s="1822"/>
      <c r="E56" s="1822"/>
      <c r="F56" s="1822"/>
      <c r="G56" s="1822"/>
      <c r="H56" s="1822"/>
      <c r="I56" s="1822"/>
      <c r="J56" s="1822"/>
      <c r="K56" s="1822"/>
      <c r="L56" s="1822"/>
      <c r="M56" s="1822"/>
      <c r="N56" s="1827"/>
      <c r="Y56" s="537" t="s">
        <v>632</v>
      </c>
    </row>
    <row r="57" spans="1:29" s="536" customFormat="1" ht="33.75" x14ac:dyDescent="0.2">
      <c r="A57" s="575" t="s">
        <v>633</v>
      </c>
      <c r="B57" s="670" t="s">
        <v>8303</v>
      </c>
      <c r="C57" s="1823" t="s">
        <v>8304</v>
      </c>
      <c r="D57" s="1823"/>
      <c r="E57" s="1823"/>
      <c r="F57" s="573" t="s">
        <v>628</v>
      </c>
      <c r="G57" s="573"/>
      <c r="H57" s="573"/>
      <c r="I57" s="573" t="s">
        <v>186</v>
      </c>
      <c r="J57" s="572">
        <v>2018.25</v>
      </c>
      <c r="K57" s="573" t="s">
        <v>629</v>
      </c>
      <c r="L57" s="572">
        <v>889.98</v>
      </c>
      <c r="M57" s="571">
        <v>4.59</v>
      </c>
      <c r="N57" s="570">
        <v>4085</v>
      </c>
      <c r="W57" s="537" t="s">
        <v>8304</v>
      </c>
    </row>
    <row r="58" spans="1:29" s="536" customFormat="1" x14ac:dyDescent="0.2">
      <c r="A58" s="569"/>
      <c r="B58" s="671"/>
      <c r="C58" s="665" t="s">
        <v>630</v>
      </c>
      <c r="D58" s="666"/>
      <c r="E58" s="666"/>
      <c r="F58" s="563"/>
      <c r="G58" s="563"/>
      <c r="H58" s="563"/>
      <c r="I58" s="563"/>
      <c r="J58" s="566"/>
      <c r="K58" s="563"/>
      <c r="L58" s="566"/>
      <c r="M58" s="565"/>
      <c r="N58" s="564"/>
    </row>
    <row r="59" spans="1:29" s="536" customFormat="1" ht="22.5" x14ac:dyDescent="0.2">
      <c r="A59" s="609"/>
      <c r="B59" s="552" t="s">
        <v>631</v>
      </c>
      <c r="C59" s="1822" t="s">
        <v>632</v>
      </c>
      <c r="D59" s="1822"/>
      <c r="E59" s="1822"/>
      <c r="F59" s="1822"/>
      <c r="G59" s="1822"/>
      <c r="H59" s="1822"/>
      <c r="I59" s="1822"/>
      <c r="J59" s="1822"/>
      <c r="K59" s="1822"/>
      <c r="L59" s="1822"/>
      <c r="M59" s="1822"/>
      <c r="N59" s="1827"/>
      <c r="Y59" s="537" t="s">
        <v>632</v>
      </c>
    </row>
    <row r="60" spans="1:29" s="536" customFormat="1" ht="33.75" x14ac:dyDescent="0.2">
      <c r="A60" s="575" t="s">
        <v>189</v>
      </c>
      <c r="B60" s="670" t="s">
        <v>8305</v>
      </c>
      <c r="C60" s="1823" t="s">
        <v>8306</v>
      </c>
      <c r="D60" s="1823"/>
      <c r="E60" s="1823"/>
      <c r="F60" s="573" t="s">
        <v>628</v>
      </c>
      <c r="G60" s="573"/>
      <c r="H60" s="573"/>
      <c r="I60" s="573" t="s">
        <v>186</v>
      </c>
      <c r="J60" s="572">
        <v>1965.6</v>
      </c>
      <c r="K60" s="573" t="s">
        <v>716</v>
      </c>
      <c r="L60" s="572">
        <v>481.97</v>
      </c>
      <c r="M60" s="571">
        <v>8.32</v>
      </c>
      <c r="N60" s="570">
        <v>4010</v>
      </c>
      <c r="W60" s="537" t="s">
        <v>8306</v>
      </c>
    </row>
    <row r="61" spans="1:29" s="536" customFormat="1" x14ac:dyDescent="0.2">
      <c r="A61" s="569"/>
      <c r="B61" s="671"/>
      <c r="C61" s="665" t="s">
        <v>1658</v>
      </c>
      <c r="D61" s="666"/>
      <c r="E61" s="666"/>
      <c r="F61" s="563"/>
      <c r="G61" s="563"/>
      <c r="H61" s="563"/>
      <c r="I61" s="563"/>
      <c r="J61" s="566"/>
      <c r="K61" s="563"/>
      <c r="L61" s="566"/>
      <c r="M61" s="565"/>
      <c r="N61" s="564"/>
    </row>
    <row r="62" spans="1:29" s="536" customFormat="1" ht="22.5" x14ac:dyDescent="0.2">
      <c r="A62" s="609"/>
      <c r="B62" s="552" t="s">
        <v>718</v>
      </c>
      <c r="C62" s="1822" t="s">
        <v>719</v>
      </c>
      <c r="D62" s="1822"/>
      <c r="E62" s="1822"/>
      <c r="F62" s="1822"/>
      <c r="G62" s="1822"/>
      <c r="H62" s="1822"/>
      <c r="I62" s="1822"/>
      <c r="J62" s="1822"/>
      <c r="K62" s="1822"/>
      <c r="L62" s="1822"/>
      <c r="M62" s="1822"/>
      <c r="N62" s="1827"/>
      <c r="Y62" s="537" t="s">
        <v>719</v>
      </c>
    </row>
    <row r="63" spans="1:29" s="536" customFormat="1" ht="33.75" x14ac:dyDescent="0.2">
      <c r="A63" s="575" t="s">
        <v>190</v>
      </c>
      <c r="B63" s="670" t="s">
        <v>1626</v>
      </c>
      <c r="C63" s="1823" t="s">
        <v>1627</v>
      </c>
      <c r="D63" s="1823"/>
      <c r="E63" s="1823"/>
      <c r="F63" s="573" t="s">
        <v>617</v>
      </c>
      <c r="G63" s="573"/>
      <c r="H63" s="573"/>
      <c r="I63" s="573" t="s">
        <v>197</v>
      </c>
      <c r="J63" s="572"/>
      <c r="K63" s="573"/>
      <c r="L63" s="572"/>
      <c r="M63" s="571"/>
      <c r="N63" s="570"/>
      <c r="W63" s="537" t="s">
        <v>1627</v>
      </c>
    </row>
    <row r="64" spans="1:29" s="536" customFormat="1" ht="33.75" x14ac:dyDescent="0.2">
      <c r="A64" s="609"/>
      <c r="B64" s="552" t="s">
        <v>310</v>
      </c>
      <c r="C64" s="1822" t="s">
        <v>311</v>
      </c>
      <c r="D64" s="1822"/>
      <c r="E64" s="1822"/>
      <c r="F64" s="1822"/>
      <c r="G64" s="1822"/>
      <c r="H64" s="1822"/>
      <c r="I64" s="1822"/>
      <c r="J64" s="1822"/>
      <c r="K64" s="1822"/>
      <c r="L64" s="1822"/>
      <c r="M64" s="1822"/>
      <c r="N64" s="1827"/>
      <c r="Y64" s="537" t="s">
        <v>311</v>
      </c>
    </row>
    <row r="65" spans="1:29" s="536" customFormat="1" x14ac:dyDescent="0.2">
      <c r="A65" s="605"/>
      <c r="B65" s="552" t="s">
        <v>185</v>
      </c>
      <c r="C65" s="1822" t="s">
        <v>312</v>
      </c>
      <c r="D65" s="1822"/>
      <c r="E65" s="1822"/>
      <c r="F65" s="562"/>
      <c r="G65" s="562"/>
      <c r="H65" s="562"/>
      <c r="I65" s="562"/>
      <c r="J65" s="604">
        <v>20.440000000000001</v>
      </c>
      <c r="K65" s="562" t="s">
        <v>313</v>
      </c>
      <c r="L65" s="604">
        <v>332.15</v>
      </c>
      <c r="M65" s="603"/>
      <c r="N65" s="602"/>
      <c r="Z65" s="537" t="s">
        <v>312</v>
      </c>
    </row>
    <row r="66" spans="1:29" s="536" customFormat="1" x14ac:dyDescent="0.2">
      <c r="A66" s="605"/>
      <c r="B66" s="552" t="s">
        <v>186</v>
      </c>
      <c r="C66" s="1822" t="s">
        <v>344</v>
      </c>
      <c r="D66" s="1822"/>
      <c r="E66" s="1822"/>
      <c r="F66" s="562"/>
      <c r="G66" s="562"/>
      <c r="H66" s="562"/>
      <c r="I66" s="562"/>
      <c r="J66" s="604">
        <v>33.47</v>
      </c>
      <c r="K66" s="562" t="s">
        <v>313</v>
      </c>
      <c r="L66" s="604">
        <v>543.89</v>
      </c>
      <c r="M66" s="603"/>
      <c r="N66" s="602"/>
      <c r="Z66" s="537" t="s">
        <v>344</v>
      </c>
    </row>
    <row r="67" spans="1:29" s="536" customFormat="1" x14ac:dyDescent="0.2">
      <c r="A67" s="605"/>
      <c r="B67" s="552" t="s">
        <v>187</v>
      </c>
      <c r="C67" s="1822" t="s">
        <v>345</v>
      </c>
      <c r="D67" s="1822"/>
      <c r="E67" s="1822"/>
      <c r="F67" s="562"/>
      <c r="G67" s="562"/>
      <c r="H67" s="562"/>
      <c r="I67" s="562"/>
      <c r="J67" s="604">
        <v>3.42</v>
      </c>
      <c r="K67" s="562" t="s">
        <v>313</v>
      </c>
      <c r="L67" s="604">
        <v>55.58</v>
      </c>
      <c r="M67" s="603"/>
      <c r="N67" s="602"/>
      <c r="Z67" s="537" t="s">
        <v>345</v>
      </c>
    </row>
    <row r="68" spans="1:29" s="536" customFormat="1" x14ac:dyDescent="0.2">
      <c r="A68" s="605"/>
      <c r="B68" s="552" t="s">
        <v>188</v>
      </c>
      <c r="C68" s="1822" t="s">
        <v>475</v>
      </c>
      <c r="D68" s="1822"/>
      <c r="E68" s="1822"/>
      <c r="F68" s="562"/>
      <c r="G68" s="562"/>
      <c r="H68" s="562"/>
      <c r="I68" s="562"/>
      <c r="J68" s="604">
        <v>2.94</v>
      </c>
      <c r="K68" s="562"/>
      <c r="L68" s="604">
        <v>38.22</v>
      </c>
      <c r="M68" s="603"/>
      <c r="N68" s="602"/>
      <c r="Z68" s="537" t="s">
        <v>475</v>
      </c>
    </row>
    <row r="69" spans="1:29" s="536" customFormat="1" x14ac:dyDescent="0.2">
      <c r="A69" s="605"/>
      <c r="B69" s="552"/>
      <c r="C69" s="1822" t="s">
        <v>314</v>
      </c>
      <c r="D69" s="1822"/>
      <c r="E69" s="1822"/>
      <c r="F69" s="562" t="s">
        <v>315</v>
      </c>
      <c r="G69" s="562" t="s">
        <v>807</v>
      </c>
      <c r="H69" s="562" t="s">
        <v>313</v>
      </c>
      <c r="I69" s="562" t="s">
        <v>8307</v>
      </c>
      <c r="J69" s="604"/>
      <c r="K69" s="562"/>
      <c r="L69" s="604"/>
      <c r="M69" s="603"/>
      <c r="N69" s="602"/>
      <c r="AA69" s="537" t="s">
        <v>314</v>
      </c>
    </row>
    <row r="70" spans="1:29" s="536" customFormat="1" x14ac:dyDescent="0.2">
      <c r="A70" s="605"/>
      <c r="B70" s="552"/>
      <c r="C70" s="1822" t="s">
        <v>348</v>
      </c>
      <c r="D70" s="1822"/>
      <c r="E70" s="1822"/>
      <c r="F70" s="562" t="s">
        <v>315</v>
      </c>
      <c r="G70" s="562" t="s">
        <v>1629</v>
      </c>
      <c r="H70" s="562" t="s">
        <v>313</v>
      </c>
      <c r="I70" s="562" t="s">
        <v>8308</v>
      </c>
      <c r="J70" s="604"/>
      <c r="K70" s="562"/>
      <c r="L70" s="604"/>
      <c r="M70" s="603"/>
      <c r="N70" s="602"/>
      <c r="AA70" s="537" t="s">
        <v>348</v>
      </c>
    </row>
    <row r="71" spans="1:29" s="536" customFormat="1" x14ac:dyDescent="0.2">
      <c r="A71" s="605"/>
      <c r="B71" s="552"/>
      <c r="C71" s="1828" t="s">
        <v>318</v>
      </c>
      <c r="D71" s="1828"/>
      <c r="E71" s="1828"/>
      <c r="F71" s="608"/>
      <c r="G71" s="608"/>
      <c r="H71" s="608"/>
      <c r="I71" s="608"/>
      <c r="J71" s="607">
        <v>56.85</v>
      </c>
      <c r="K71" s="608"/>
      <c r="L71" s="607">
        <v>914.26</v>
      </c>
      <c r="M71" s="601"/>
      <c r="N71" s="606"/>
      <c r="AB71" s="537" t="s">
        <v>318</v>
      </c>
    </row>
    <row r="72" spans="1:29" s="536" customFormat="1" x14ac:dyDescent="0.2">
      <c r="A72" s="605"/>
      <c r="B72" s="552"/>
      <c r="C72" s="1822" t="s">
        <v>319</v>
      </c>
      <c r="D72" s="1822"/>
      <c r="E72" s="1822"/>
      <c r="F72" s="562"/>
      <c r="G72" s="562"/>
      <c r="H72" s="562"/>
      <c r="I72" s="562"/>
      <c r="J72" s="604"/>
      <c r="K72" s="562"/>
      <c r="L72" s="604">
        <v>387.73</v>
      </c>
      <c r="M72" s="603"/>
      <c r="N72" s="602"/>
      <c r="AA72" s="537" t="s">
        <v>319</v>
      </c>
    </row>
    <row r="73" spans="1:29" s="536" customFormat="1" ht="33.75" x14ac:dyDescent="0.2">
      <c r="A73" s="605"/>
      <c r="B73" s="552" t="s">
        <v>1631</v>
      </c>
      <c r="C73" s="1822" t="s">
        <v>1632</v>
      </c>
      <c r="D73" s="1822"/>
      <c r="E73" s="1822"/>
      <c r="F73" s="562" t="s">
        <v>322</v>
      </c>
      <c r="G73" s="562" t="s">
        <v>1633</v>
      </c>
      <c r="H73" s="562"/>
      <c r="I73" s="562" t="s">
        <v>1633</v>
      </c>
      <c r="J73" s="604"/>
      <c r="K73" s="562"/>
      <c r="L73" s="604">
        <v>376.1</v>
      </c>
      <c r="M73" s="603"/>
      <c r="N73" s="602"/>
      <c r="AA73" s="537" t="s">
        <v>1632</v>
      </c>
    </row>
    <row r="74" spans="1:29" s="536" customFormat="1" ht="33.75" x14ac:dyDescent="0.2">
      <c r="A74" s="605"/>
      <c r="B74" s="552" t="s">
        <v>1634</v>
      </c>
      <c r="C74" s="1822" t="s">
        <v>1635</v>
      </c>
      <c r="D74" s="1822"/>
      <c r="E74" s="1822"/>
      <c r="F74" s="562" t="s">
        <v>322</v>
      </c>
      <c r="G74" s="562" t="s">
        <v>786</v>
      </c>
      <c r="H74" s="562"/>
      <c r="I74" s="562" t="s">
        <v>786</v>
      </c>
      <c r="J74" s="604"/>
      <c r="K74" s="562"/>
      <c r="L74" s="604">
        <v>197.74</v>
      </c>
      <c r="M74" s="603"/>
      <c r="N74" s="602"/>
      <c r="AA74" s="537" t="s">
        <v>1635</v>
      </c>
    </row>
    <row r="75" spans="1:29" s="536" customFormat="1" x14ac:dyDescent="0.2">
      <c r="A75" s="569"/>
      <c r="B75" s="671"/>
      <c r="C75" s="1823" t="s">
        <v>327</v>
      </c>
      <c r="D75" s="1823"/>
      <c r="E75" s="1823"/>
      <c r="F75" s="573"/>
      <c r="G75" s="573"/>
      <c r="H75" s="573"/>
      <c r="I75" s="573"/>
      <c r="J75" s="572"/>
      <c r="K75" s="573"/>
      <c r="L75" s="572">
        <v>1488.1</v>
      </c>
      <c r="M75" s="601"/>
      <c r="N75" s="570"/>
      <c r="AC75" s="537" t="s">
        <v>327</v>
      </c>
    </row>
    <row r="76" spans="1:29" s="536" customFormat="1" ht="33.75" x14ac:dyDescent="0.2">
      <c r="A76" s="575" t="s">
        <v>875</v>
      </c>
      <c r="B76" s="670" t="s">
        <v>8309</v>
      </c>
      <c r="C76" s="1823" t="s">
        <v>8310</v>
      </c>
      <c r="D76" s="1823"/>
      <c r="E76" s="1823"/>
      <c r="F76" s="573" t="s">
        <v>628</v>
      </c>
      <c r="G76" s="573"/>
      <c r="H76" s="573"/>
      <c r="I76" s="573" t="s">
        <v>197</v>
      </c>
      <c r="J76" s="572">
        <v>65242.12</v>
      </c>
      <c r="K76" s="573" t="s">
        <v>629</v>
      </c>
      <c r="L76" s="572">
        <v>186998.91</v>
      </c>
      <c r="M76" s="571">
        <v>4.59</v>
      </c>
      <c r="N76" s="570">
        <v>858325</v>
      </c>
      <c r="W76" s="537" t="s">
        <v>8310</v>
      </c>
    </row>
    <row r="77" spans="1:29" s="536" customFormat="1" x14ac:dyDescent="0.2">
      <c r="A77" s="569"/>
      <c r="B77" s="671"/>
      <c r="C77" s="665" t="s">
        <v>630</v>
      </c>
      <c r="D77" s="666"/>
      <c r="E77" s="666"/>
      <c r="F77" s="563"/>
      <c r="G77" s="563"/>
      <c r="H77" s="563"/>
      <c r="I77" s="563"/>
      <c r="J77" s="566"/>
      <c r="K77" s="563"/>
      <c r="L77" s="566"/>
      <c r="M77" s="565"/>
      <c r="N77" s="564"/>
    </row>
    <row r="78" spans="1:29" s="536" customFormat="1" ht="22.5" x14ac:dyDescent="0.2">
      <c r="A78" s="609"/>
      <c r="B78" s="552" t="s">
        <v>631</v>
      </c>
      <c r="C78" s="1822" t="s">
        <v>632</v>
      </c>
      <c r="D78" s="1822"/>
      <c r="E78" s="1822"/>
      <c r="F78" s="1822"/>
      <c r="G78" s="1822"/>
      <c r="H78" s="1822"/>
      <c r="I78" s="1822"/>
      <c r="J78" s="1822"/>
      <c r="K78" s="1822"/>
      <c r="L78" s="1822"/>
      <c r="M78" s="1822"/>
      <c r="N78" s="1827"/>
      <c r="Y78" s="537" t="s">
        <v>632</v>
      </c>
    </row>
    <row r="79" spans="1:29" s="536" customFormat="1" ht="33.75" x14ac:dyDescent="0.2">
      <c r="A79" s="575" t="s">
        <v>192</v>
      </c>
      <c r="B79" s="670" t="s">
        <v>8311</v>
      </c>
      <c r="C79" s="1823" t="s">
        <v>8312</v>
      </c>
      <c r="D79" s="1823"/>
      <c r="E79" s="1823"/>
      <c r="F79" s="573" t="s">
        <v>628</v>
      </c>
      <c r="G79" s="573"/>
      <c r="H79" s="573"/>
      <c r="I79" s="573" t="s">
        <v>197</v>
      </c>
      <c r="J79" s="572">
        <v>2983.5</v>
      </c>
      <c r="K79" s="573" t="s">
        <v>716</v>
      </c>
      <c r="L79" s="572">
        <v>4754.93</v>
      </c>
      <c r="M79" s="571">
        <v>8.32</v>
      </c>
      <c r="N79" s="570">
        <v>39561</v>
      </c>
      <c r="W79" s="537" t="s">
        <v>8312</v>
      </c>
    </row>
    <row r="80" spans="1:29" s="536" customFormat="1" x14ac:dyDescent="0.2">
      <c r="A80" s="569"/>
      <c r="B80" s="671"/>
      <c r="C80" s="665" t="s">
        <v>1658</v>
      </c>
      <c r="D80" s="666"/>
      <c r="E80" s="666"/>
      <c r="F80" s="563"/>
      <c r="G80" s="563"/>
      <c r="H80" s="563"/>
      <c r="I80" s="563"/>
      <c r="J80" s="566"/>
      <c r="K80" s="563"/>
      <c r="L80" s="566"/>
      <c r="M80" s="565"/>
      <c r="N80" s="564"/>
    </row>
    <row r="81" spans="1:29" s="536" customFormat="1" ht="22.5" x14ac:dyDescent="0.2">
      <c r="A81" s="609"/>
      <c r="B81" s="552" t="s">
        <v>718</v>
      </c>
      <c r="C81" s="1822" t="s">
        <v>719</v>
      </c>
      <c r="D81" s="1822"/>
      <c r="E81" s="1822"/>
      <c r="F81" s="1822"/>
      <c r="G81" s="1822"/>
      <c r="H81" s="1822"/>
      <c r="I81" s="1822"/>
      <c r="J81" s="1822"/>
      <c r="K81" s="1822"/>
      <c r="L81" s="1822"/>
      <c r="M81" s="1822"/>
      <c r="N81" s="1827"/>
      <c r="Y81" s="537" t="s">
        <v>719</v>
      </c>
    </row>
    <row r="82" spans="1:29" s="536" customFormat="1" ht="22.5" x14ac:dyDescent="0.2">
      <c r="A82" s="575" t="s">
        <v>193</v>
      </c>
      <c r="B82" s="670" t="s">
        <v>3150</v>
      </c>
      <c r="C82" s="1823" t="s">
        <v>3151</v>
      </c>
      <c r="D82" s="1823"/>
      <c r="E82" s="1823"/>
      <c r="F82" s="573" t="s">
        <v>617</v>
      </c>
      <c r="G82" s="573"/>
      <c r="H82" s="573"/>
      <c r="I82" s="573" t="s">
        <v>759</v>
      </c>
      <c r="J82" s="572"/>
      <c r="K82" s="573"/>
      <c r="L82" s="572"/>
      <c r="M82" s="571"/>
      <c r="N82" s="570"/>
      <c r="W82" s="537" t="s">
        <v>3151</v>
      </c>
    </row>
    <row r="83" spans="1:29" s="536" customFormat="1" x14ac:dyDescent="0.2">
      <c r="A83" s="676"/>
      <c r="B83" s="664"/>
      <c r="C83" s="1822" t="s">
        <v>8313</v>
      </c>
      <c r="D83" s="1822"/>
      <c r="E83" s="1822"/>
      <c r="F83" s="1822"/>
      <c r="G83" s="1822"/>
      <c r="H83" s="1822"/>
      <c r="I83" s="1822"/>
      <c r="J83" s="1822"/>
      <c r="K83" s="1822"/>
      <c r="L83" s="1822"/>
      <c r="M83" s="1822"/>
      <c r="N83" s="1827"/>
      <c r="X83" s="537" t="s">
        <v>8313</v>
      </c>
    </row>
    <row r="84" spans="1:29" s="536" customFormat="1" ht="33.75" x14ac:dyDescent="0.2">
      <c r="A84" s="609"/>
      <c r="B84" s="552" t="s">
        <v>310</v>
      </c>
      <c r="C84" s="1822" t="s">
        <v>311</v>
      </c>
      <c r="D84" s="1822"/>
      <c r="E84" s="1822"/>
      <c r="F84" s="1822"/>
      <c r="G84" s="1822"/>
      <c r="H84" s="1822"/>
      <c r="I84" s="1822"/>
      <c r="J84" s="1822"/>
      <c r="K84" s="1822"/>
      <c r="L84" s="1822"/>
      <c r="M84" s="1822"/>
      <c r="N84" s="1827"/>
      <c r="Y84" s="537" t="s">
        <v>311</v>
      </c>
    </row>
    <row r="85" spans="1:29" s="536" customFormat="1" x14ac:dyDescent="0.2">
      <c r="A85" s="605"/>
      <c r="B85" s="552" t="s">
        <v>185</v>
      </c>
      <c r="C85" s="1822" t="s">
        <v>312</v>
      </c>
      <c r="D85" s="1822"/>
      <c r="E85" s="1822"/>
      <c r="F85" s="562"/>
      <c r="G85" s="562"/>
      <c r="H85" s="562"/>
      <c r="I85" s="562"/>
      <c r="J85" s="604">
        <v>8.9</v>
      </c>
      <c r="K85" s="562" t="s">
        <v>313</v>
      </c>
      <c r="L85" s="604">
        <v>289.25</v>
      </c>
      <c r="M85" s="603"/>
      <c r="N85" s="602"/>
      <c r="Z85" s="537" t="s">
        <v>312</v>
      </c>
    </row>
    <row r="86" spans="1:29" s="536" customFormat="1" x14ac:dyDescent="0.2">
      <c r="A86" s="605"/>
      <c r="B86" s="552" t="s">
        <v>186</v>
      </c>
      <c r="C86" s="1822" t="s">
        <v>344</v>
      </c>
      <c r="D86" s="1822"/>
      <c r="E86" s="1822"/>
      <c r="F86" s="562"/>
      <c r="G86" s="562"/>
      <c r="H86" s="562"/>
      <c r="I86" s="562"/>
      <c r="J86" s="604">
        <v>0.66</v>
      </c>
      <c r="K86" s="562" t="s">
        <v>313</v>
      </c>
      <c r="L86" s="604">
        <v>21.45</v>
      </c>
      <c r="M86" s="603"/>
      <c r="N86" s="602"/>
      <c r="Z86" s="537" t="s">
        <v>344</v>
      </c>
    </row>
    <row r="87" spans="1:29" s="536" customFormat="1" x14ac:dyDescent="0.2">
      <c r="A87" s="605"/>
      <c r="B87" s="552" t="s">
        <v>187</v>
      </c>
      <c r="C87" s="1822" t="s">
        <v>345</v>
      </c>
      <c r="D87" s="1822"/>
      <c r="E87" s="1822"/>
      <c r="F87" s="562"/>
      <c r="G87" s="562"/>
      <c r="H87" s="562"/>
      <c r="I87" s="562"/>
      <c r="J87" s="604">
        <v>0.12</v>
      </c>
      <c r="K87" s="562" t="s">
        <v>313</v>
      </c>
      <c r="L87" s="604">
        <v>3.9</v>
      </c>
      <c r="M87" s="603"/>
      <c r="N87" s="602"/>
      <c r="Z87" s="537" t="s">
        <v>345</v>
      </c>
    </row>
    <row r="88" spans="1:29" s="536" customFormat="1" x14ac:dyDescent="0.2">
      <c r="A88" s="605"/>
      <c r="B88" s="552" t="s">
        <v>188</v>
      </c>
      <c r="C88" s="1822" t="s">
        <v>475</v>
      </c>
      <c r="D88" s="1822"/>
      <c r="E88" s="1822"/>
      <c r="F88" s="562"/>
      <c r="G88" s="562"/>
      <c r="H88" s="562"/>
      <c r="I88" s="562"/>
      <c r="J88" s="604">
        <v>0.18</v>
      </c>
      <c r="K88" s="562"/>
      <c r="L88" s="604">
        <v>4.68</v>
      </c>
      <c r="M88" s="603"/>
      <c r="N88" s="602"/>
      <c r="Z88" s="537" t="s">
        <v>475</v>
      </c>
    </row>
    <row r="89" spans="1:29" s="536" customFormat="1" x14ac:dyDescent="0.2">
      <c r="A89" s="605"/>
      <c r="B89" s="552"/>
      <c r="C89" s="1822" t="s">
        <v>314</v>
      </c>
      <c r="D89" s="1822"/>
      <c r="E89" s="1822"/>
      <c r="F89" s="562" t="s">
        <v>315</v>
      </c>
      <c r="G89" s="562" t="s">
        <v>702</v>
      </c>
      <c r="H89" s="562" t="s">
        <v>313</v>
      </c>
      <c r="I89" s="562" t="s">
        <v>8307</v>
      </c>
      <c r="J89" s="604"/>
      <c r="K89" s="562"/>
      <c r="L89" s="604"/>
      <c r="M89" s="603"/>
      <c r="N89" s="602"/>
      <c r="AA89" s="537" t="s">
        <v>314</v>
      </c>
    </row>
    <row r="90" spans="1:29" s="536" customFormat="1" x14ac:dyDescent="0.2">
      <c r="A90" s="605"/>
      <c r="B90" s="552"/>
      <c r="C90" s="1822" t="s">
        <v>348</v>
      </c>
      <c r="D90" s="1822"/>
      <c r="E90" s="1822"/>
      <c r="F90" s="562" t="s">
        <v>315</v>
      </c>
      <c r="G90" s="562" t="s">
        <v>809</v>
      </c>
      <c r="H90" s="562" t="s">
        <v>313</v>
      </c>
      <c r="I90" s="562" t="s">
        <v>1545</v>
      </c>
      <c r="J90" s="604"/>
      <c r="K90" s="562"/>
      <c r="L90" s="604"/>
      <c r="M90" s="603"/>
      <c r="N90" s="602"/>
      <c r="AA90" s="537" t="s">
        <v>348</v>
      </c>
    </row>
    <row r="91" spans="1:29" s="536" customFormat="1" x14ac:dyDescent="0.2">
      <c r="A91" s="605"/>
      <c r="B91" s="552"/>
      <c r="C91" s="1828" t="s">
        <v>318</v>
      </c>
      <c r="D91" s="1828"/>
      <c r="E91" s="1828"/>
      <c r="F91" s="608"/>
      <c r="G91" s="608"/>
      <c r="H91" s="608"/>
      <c r="I91" s="608"/>
      <c r="J91" s="607">
        <v>9.74</v>
      </c>
      <c r="K91" s="608"/>
      <c r="L91" s="607">
        <v>315.38</v>
      </c>
      <c r="M91" s="601"/>
      <c r="N91" s="606"/>
      <c r="AB91" s="537" t="s">
        <v>318</v>
      </c>
    </row>
    <row r="92" spans="1:29" s="536" customFormat="1" x14ac:dyDescent="0.2">
      <c r="A92" s="605"/>
      <c r="B92" s="552"/>
      <c r="C92" s="1822" t="s">
        <v>319</v>
      </c>
      <c r="D92" s="1822"/>
      <c r="E92" s="1822"/>
      <c r="F92" s="562"/>
      <c r="G92" s="562"/>
      <c r="H92" s="562"/>
      <c r="I92" s="562"/>
      <c r="J92" s="604"/>
      <c r="K92" s="562"/>
      <c r="L92" s="604">
        <v>293.14999999999998</v>
      </c>
      <c r="M92" s="603"/>
      <c r="N92" s="602"/>
      <c r="AA92" s="537" t="s">
        <v>319</v>
      </c>
    </row>
    <row r="93" spans="1:29" s="536" customFormat="1" ht="33.75" x14ac:dyDescent="0.2">
      <c r="A93" s="605"/>
      <c r="B93" s="552" t="s">
        <v>948</v>
      </c>
      <c r="C93" s="1822" t="s">
        <v>949</v>
      </c>
      <c r="D93" s="1822"/>
      <c r="E93" s="1822"/>
      <c r="F93" s="562" t="s">
        <v>322</v>
      </c>
      <c r="G93" s="562" t="s">
        <v>886</v>
      </c>
      <c r="H93" s="562"/>
      <c r="I93" s="562" t="s">
        <v>886</v>
      </c>
      <c r="J93" s="604"/>
      <c r="K93" s="562"/>
      <c r="L93" s="604">
        <v>263.83999999999997</v>
      </c>
      <c r="M93" s="603"/>
      <c r="N93" s="602"/>
      <c r="AA93" s="537" t="s">
        <v>949</v>
      </c>
    </row>
    <row r="94" spans="1:29" s="536" customFormat="1" ht="33.75" x14ac:dyDescent="0.2">
      <c r="A94" s="605"/>
      <c r="B94" s="552" t="s">
        <v>950</v>
      </c>
      <c r="C94" s="1822" t="s">
        <v>951</v>
      </c>
      <c r="D94" s="1822"/>
      <c r="E94" s="1822"/>
      <c r="F94" s="562" t="s">
        <v>322</v>
      </c>
      <c r="G94" s="562" t="s">
        <v>465</v>
      </c>
      <c r="H94" s="562"/>
      <c r="I94" s="562" t="s">
        <v>465</v>
      </c>
      <c r="J94" s="604"/>
      <c r="K94" s="562"/>
      <c r="L94" s="604">
        <v>134.85</v>
      </c>
      <c r="M94" s="603"/>
      <c r="N94" s="602"/>
      <c r="AA94" s="537" t="s">
        <v>951</v>
      </c>
    </row>
    <row r="95" spans="1:29" s="536" customFormat="1" x14ac:dyDescent="0.2">
      <c r="A95" s="569"/>
      <c r="B95" s="671"/>
      <c r="C95" s="1823" t="s">
        <v>327</v>
      </c>
      <c r="D95" s="1823"/>
      <c r="E95" s="1823"/>
      <c r="F95" s="573"/>
      <c r="G95" s="573"/>
      <c r="H95" s="573"/>
      <c r="I95" s="573"/>
      <c r="J95" s="572"/>
      <c r="K95" s="573"/>
      <c r="L95" s="572">
        <v>714.07</v>
      </c>
      <c r="M95" s="601"/>
      <c r="N95" s="570"/>
      <c r="AC95" s="537" t="s">
        <v>327</v>
      </c>
    </row>
    <row r="96" spans="1:29" s="536" customFormat="1" ht="33.75" x14ac:dyDescent="0.2">
      <c r="A96" s="575" t="s">
        <v>664</v>
      </c>
      <c r="B96" s="670" t="s">
        <v>8314</v>
      </c>
      <c r="C96" s="1823" t="s">
        <v>8315</v>
      </c>
      <c r="D96" s="1823"/>
      <c r="E96" s="1823"/>
      <c r="F96" s="573" t="s">
        <v>628</v>
      </c>
      <c r="G96" s="573"/>
      <c r="H96" s="573"/>
      <c r="I96" s="573" t="s">
        <v>197</v>
      </c>
      <c r="J96" s="572">
        <v>2457</v>
      </c>
      <c r="K96" s="573" t="s">
        <v>629</v>
      </c>
      <c r="L96" s="572">
        <v>7042.27</v>
      </c>
      <c r="M96" s="571">
        <v>4.59</v>
      </c>
      <c r="N96" s="570">
        <v>32324</v>
      </c>
      <c r="W96" s="537" t="s">
        <v>8315</v>
      </c>
    </row>
    <row r="97" spans="1:28" s="536" customFormat="1" x14ac:dyDescent="0.2">
      <c r="A97" s="569"/>
      <c r="B97" s="671"/>
      <c r="C97" s="665" t="s">
        <v>630</v>
      </c>
      <c r="D97" s="666"/>
      <c r="E97" s="666"/>
      <c r="F97" s="563"/>
      <c r="G97" s="563"/>
      <c r="H97" s="563"/>
      <c r="I97" s="563"/>
      <c r="J97" s="566"/>
      <c r="K97" s="563"/>
      <c r="L97" s="566"/>
      <c r="M97" s="565"/>
      <c r="N97" s="564"/>
    </row>
    <row r="98" spans="1:28" s="536" customFormat="1" ht="22.5" x14ac:dyDescent="0.2">
      <c r="A98" s="609"/>
      <c r="B98" s="552" t="s">
        <v>631</v>
      </c>
      <c r="C98" s="1822" t="s">
        <v>632</v>
      </c>
      <c r="D98" s="1822"/>
      <c r="E98" s="1822"/>
      <c r="F98" s="1822"/>
      <c r="G98" s="1822"/>
      <c r="H98" s="1822"/>
      <c r="I98" s="1822"/>
      <c r="J98" s="1822"/>
      <c r="K98" s="1822"/>
      <c r="L98" s="1822"/>
      <c r="M98" s="1822"/>
      <c r="N98" s="1827"/>
      <c r="Y98" s="537" t="s">
        <v>632</v>
      </c>
    </row>
    <row r="99" spans="1:28" s="536" customFormat="1" ht="33.75" x14ac:dyDescent="0.2">
      <c r="A99" s="575" t="s">
        <v>881</v>
      </c>
      <c r="B99" s="670" t="s">
        <v>8316</v>
      </c>
      <c r="C99" s="1823" t="s">
        <v>8317</v>
      </c>
      <c r="D99" s="1823"/>
      <c r="E99" s="1823"/>
      <c r="F99" s="573" t="s">
        <v>628</v>
      </c>
      <c r="G99" s="573"/>
      <c r="H99" s="573"/>
      <c r="I99" s="573" t="s">
        <v>197</v>
      </c>
      <c r="J99" s="572">
        <v>2457</v>
      </c>
      <c r="K99" s="573" t="s">
        <v>629</v>
      </c>
      <c r="L99" s="572">
        <v>7042.27</v>
      </c>
      <c r="M99" s="571">
        <v>4.59</v>
      </c>
      <c r="N99" s="570">
        <v>32324</v>
      </c>
      <c r="W99" s="537" t="s">
        <v>8317</v>
      </c>
    </row>
    <row r="100" spans="1:28" s="536" customFormat="1" x14ac:dyDescent="0.2">
      <c r="A100" s="569"/>
      <c r="B100" s="671"/>
      <c r="C100" s="665" t="s">
        <v>630</v>
      </c>
      <c r="D100" s="666"/>
      <c r="E100" s="666"/>
      <c r="F100" s="563"/>
      <c r="G100" s="563"/>
      <c r="H100" s="563"/>
      <c r="I100" s="563"/>
      <c r="J100" s="566"/>
      <c r="K100" s="563"/>
      <c r="L100" s="566"/>
      <c r="M100" s="565"/>
      <c r="N100" s="564"/>
    </row>
    <row r="101" spans="1:28" s="536" customFormat="1" ht="22.5" x14ac:dyDescent="0.2">
      <c r="A101" s="609"/>
      <c r="B101" s="552" t="s">
        <v>631</v>
      </c>
      <c r="C101" s="1822" t="s">
        <v>632</v>
      </c>
      <c r="D101" s="1822"/>
      <c r="E101" s="1822"/>
      <c r="F101" s="1822"/>
      <c r="G101" s="1822"/>
      <c r="H101" s="1822"/>
      <c r="I101" s="1822"/>
      <c r="J101" s="1822"/>
      <c r="K101" s="1822"/>
      <c r="L101" s="1822"/>
      <c r="M101" s="1822"/>
      <c r="N101" s="1827"/>
      <c r="Y101" s="537" t="s">
        <v>632</v>
      </c>
    </row>
    <row r="102" spans="1:28" s="536" customFormat="1" ht="22.5" x14ac:dyDescent="0.2">
      <c r="A102" s="575" t="s">
        <v>196</v>
      </c>
      <c r="B102" s="670" t="s">
        <v>8318</v>
      </c>
      <c r="C102" s="1823" t="s">
        <v>8319</v>
      </c>
      <c r="D102" s="1823"/>
      <c r="E102" s="1823"/>
      <c r="F102" s="573" t="s">
        <v>617</v>
      </c>
      <c r="G102" s="573"/>
      <c r="H102" s="573"/>
      <c r="I102" s="573" t="s">
        <v>185</v>
      </c>
      <c r="J102" s="572"/>
      <c r="K102" s="573"/>
      <c r="L102" s="572"/>
      <c r="M102" s="571"/>
      <c r="N102" s="570"/>
      <c r="W102" s="537" t="s">
        <v>8319</v>
      </c>
    </row>
    <row r="103" spans="1:28" s="536" customFormat="1" ht="33.75" x14ac:dyDescent="0.2">
      <c r="A103" s="609"/>
      <c r="B103" s="552" t="s">
        <v>310</v>
      </c>
      <c r="C103" s="1822" t="s">
        <v>311</v>
      </c>
      <c r="D103" s="1822"/>
      <c r="E103" s="1822"/>
      <c r="F103" s="1822"/>
      <c r="G103" s="1822"/>
      <c r="H103" s="1822"/>
      <c r="I103" s="1822"/>
      <c r="J103" s="1822"/>
      <c r="K103" s="1822"/>
      <c r="L103" s="1822"/>
      <c r="M103" s="1822"/>
      <c r="N103" s="1827"/>
      <c r="Y103" s="537" t="s">
        <v>311</v>
      </c>
    </row>
    <row r="104" spans="1:28" s="536" customFormat="1" x14ac:dyDescent="0.2">
      <c r="A104" s="605"/>
      <c r="B104" s="552" t="s">
        <v>185</v>
      </c>
      <c r="C104" s="1822" t="s">
        <v>312</v>
      </c>
      <c r="D104" s="1822"/>
      <c r="E104" s="1822"/>
      <c r="F104" s="562"/>
      <c r="G104" s="562"/>
      <c r="H104" s="562"/>
      <c r="I104" s="562"/>
      <c r="J104" s="604">
        <v>35.6</v>
      </c>
      <c r="K104" s="562" t="s">
        <v>313</v>
      </c>
      <c r="L104" s="604">
        <v>44.5</v>
      </c>
      <c r="M104" s="603"/>
      <c r="N104" s="602"/>
      <c r="Z104" s="537" t="s">
        <v>312</v>
      </c>
    </row>
    <row r="105" spans="1:28" s="536" customFormat="1" x14ac:dyDescent="0.2">
      <c r="A105" s="605"/>
      <c r="B105" s="552" t="s">
        <v>186</v>
      </c>
      <c r="C105" s="1822" t="s">
        <v>344</v>
      </c>
      <c r="D105" s="1822"/>
      <c r="E105" s="1822"/>
      <c r="F105" s="562"/>
      <c r="G105" s="562"/>
      <c r="H105" s="562"/>
      <c r="I105" s="562"/>
      <c r="J105" s="604">
        <v>74.930000000000007</v>
      </c>
      <c r="K105" s="562" t="s">
        <v>313</v>
      </c>
      <c r="L105" s="604">
        <v>93.66</v>
      </c>
      <c r="M105" s="603"/>
      <c r="N105" s="602"/>
      <c r="Z105" s="537" t="s">
        <v>344</v>
      </c>
    </row>
    <row r="106" spans="1:28" s="536" customFormat="1" x14ac:dyDescent="0.2">
      <c r="A106" s="605"/>
      <c r="B106" s="552" t="s">
        <v>187</v>
      </c>
      <c r="C106" s="1822" t="s">
        <v>345</v>
      </c>
      <c r="D106" s="1822"/>
      <c r="E106" s="1822"/>
      <c r="F106" s="562"/>
      <c r="G106" s="562"/>
      <c r="H106" s="562"/>
      <c r="I106" s="562"/>
      <c r="J106" s="604">
        <v>10.38</v>
      </c>
      <c r="K106" s="562" t="s">
        <v>313</v>
      </c>
      <c r="L106" s="604">
        <v>12.98</v>
      </c>
      <c r="M106" s="603"/>
      <c r="N106" s="602"/>
      <c r="Z106" s="537" t="s">
        <v>345</v>
      </c>
    </row>
    <row r="107" spans="1:28" s="536" customFormat="1" x14ac:dyDescent="0.2">
      <c r="A107" s="605"/>
      <c r="B107" s="552" t="s">
        <v>188</v>
      </c>
      <c r="C107" s="1822" t="s">
        <v>475</v>
      </c>
      <c r="D107" s="1822"/>
      <c r="E107" s="1822"/>
      <c r="F107" s="562"/>
      <c r="G107" s="562"/>
      <c r="H107" s="562"/>
      <c r="I107" s="562"/>
      <c r="J107" s="604">
        <v>0.71</v>
      </c>
      <c r="K107" s="562"/>
      <c r="L107" s="604">
        <v>0.71</v>
      </c>
      <c r="M107" s="603"/>
      <c r="N107" s="602"/>
      <c r="Z107" s="537" t="s">
        <v>475</v>
      </c>
    </row>
    <row r="108" spans="1:28" s="536" customFormat="1" x14ac:dyDescent="0.2">
      <c r="A108" s="605"/>
      <c r="B108" s="552"/>
      <c r="C108" s="1822" t="s">
        <v>314</v>
      </c>
      <c r="D108" s="1822"/>
      <c r="E108" s="1822"/>
      <c r="F108" s="562" t="s">
        <v>315</v>
      </c>
      <c r="G108" s="562" t="s">
        <v>8320</v>
      </c>
      <c r="H108" s="562" t="s">
        <v>313</v>
      </c>
      <c r="I108" s="562" t="s">
        <v>2191</v>
      </c>
      <c r="J108" s="604"/>
      <c r="K108" s="562"/>
      <c r="L108" s="604"/>
      <c r="M108" s="603"/>
      <c r="N108" s="602"/>
      <c r="AA108" s="537" t="s">
        <v>314</v>
      </c>
    </row>
    <row r="109" spans="1:28" s="536" customFormat="1" x14ac:dyDescent="0.2">
      <c r="A109" s="605"/>
      <c r="B109" s="552"/>
      <c r="C109" s="1822" t="s">
        <v>348</v>
      </c>
      <c r="D109" s="1822"/>
      <c r="E109" s="1822"/>
      <c r="F109" s="562" t="s">
        <v>315</v>
      </c>
      <c r="G109" s="562" t="s">
        <v>619</v>
      </c>
      <c r="H109" s="562" t="s">
        <v>313</v>
      </c>
      <c r="I109" s="562" t="s">
        <v>8321</v>
      </c>
      <c r="J109" s="604"/>
      <c r="K109" s="562"/>
      <c r="L109" s="604"/>
      <c r="M109" s="603"/>
      <c r="N109" s="602"/>
      <c r="AA109" s="537" t="s">
        <v>348</v>
      </c>
    </row>
    <row r="110" spans="1:28" s="536" customFormat="1" x14ac:dyDescent="0.2">
      <c r="A110" s="605"/>
      <c r="B110" s="552"/>
      <c r="C110" s="1828" t="s">
        <v>318</v>
      </c>
      <c r="D110" s="1828"/>
      <c r="E110" s="1828"/>
      <c r="F110" s="608"/>
      <c r="G110" s="608"/>
      <c r="H110" s="608"/>
      <c r="I110" s="608"/>
      <c r="J110" s="607">
        <v>111.24</v>
      </c>
      <c r="K110" s="608"/>
      <c r="L110" s="607">
        <v>138.87</v>
      </c>
      <c r="M110" s="601"/>
      <c r="N110" s="606"/>
      <c r="AB110" s="537" t="s">
        <v>318</v>
      </c>
    </row>
    <row r="111" spans="1:28" s="536" customFormat="1" x14ac:dyDescent="0.2">
      <c r="A111" s="605"/>
      <c r="B111" s="552"/>
      <c r="C111" s="1822" t="s">
        <v>319</v>
      </c>
      <c r="D111" s="1822"/>
      <c r="E111" s="1822"/>
      <c r="F111" s="562"/>
      <c r="G111" s="562"/>
      <c r="H111" s="562"/>
      <c r="I111" s="562"/>
      <c r="J111" s="604"/>
      <c r="K111" s="562"/>
      <c r="L111" s="604">
        <v>57.48</v>
      </c>
      <c r="M111" s="603"/>
      <c r="N111" s="602"/>
      <c r="AA111" s="537" t="s">
        <v>319</v>
      </c>
    </row>
    <row r="112" spans="1:28" s="536" customFormat="1" ht="33.75" x14ac:dyDescent="0.2">
      <c r="A112" s="605"/>
      <c r="B112" s="552" t="s">
        <v>948</v>
      </c>
      <c r="C112" s="1822" t="s">
        <v>949</v>
      </c>
      <c r="D112" s="1822"/>
      <c r="E112" s="1822"/>
      <c r="F112" s="562" t="s">
        <v>322</v>
      </c>
      <c r="G112" s="562" t="s">
        <v>886</v>
      </c>
      <c r="H112" s="562"/>
      <c r="I112" s="562" t="s">
        <v>886</v>
      </c>
      <c r="J112" s="604"/>
      <c r="K112" s="562"/>
      <c r="L112" s="604">
        <v>51.73</v>
      </c>
      <c r="M112" s="603"/>
      <c r="N112" s="602"/>
      <c r="AA112" s="537" t="s">
        <v>949</v>
      </c>
    </row>
    <row r="113" spans="1:29" s="536" customFormat="1" ht="33.75" x14ac:dyDescent="0.2">
      <c r="A113" s="605"/>
      <c r="B113" s="552" t="s">
        <v>950</v>
      </c>
      <c r="C113" s="1822" t="s">
        <v>951</v>
      </c>
      <c r="D113" s="1822"/>
      <c r="E113" s="1822"/>
      <c r="F113" s="562" t="s">
        <v>322</v>
      </c>
      <c r="G113" s="562" t="s">
        <v>465</v>
      </c>
      <c r="H113" s="562"/>
      <c r="I113" s="562" t="s">
        <v>465</v>
      </c>
      <c r="J113" s="604"/>
      <c r="K113" s="562"/>
      <c r="L113" s="604">
        <v>26.44</v>
      </c>
      <c r="M113" s="603"/>
      <c r="N113" s="602"/>
      <c r="AA113" s="537" t="s">
        <v>951</v>
      </c>
    </row>
    <row r="114" spans="1:29" s="536" customFormat="1" x14ac:dyDescent="0.2">
      <c r="A114" s="569"/>
      <c r="B114" s="671"/>
      <c r="C114" s="1823" t="s">
        <v>327</v>
      </c>
      <c r="D114" s="1823"/>
      <c r="E114" s="1823"/>
      <c r="F114" s="573"/>
      <c r="G114" s="573"/>
      <c r="H114" s="573"/>
      <c r="I114" s="573"/>
      <c r="J114" s="572"/>
      <c r="K114" s="573"/>
      <c r="L114" s="572">
        <v>217.04</v>
      </c>
      <c r="M114" s="601"/>
      <c r="N114" s="570"/>
      <c r="AC114" s="537" t="s">
        <v>327</v>
      </c>
    </row>
    <row r="115" spans="1:29" s="536" customFormat="1" ht="45" x14ac:dyDescent="0.2">
      <c r="A115" s="575" t="s">
        <v>197</v>
      </c>
      <c r="B115" s="670" t="s">
        <v>8322</v>
      </c>
      <c r="C115" s="1823" t="s">
        <v>8323</v>
      </c>
      <c r="D115" s="1823"/>
      <c r="E115" s="1823"/>
      <c r="F115" s="573" t="s">
        <v>617</v>
      </c>
      <c r="G115" s="573"/>
      <c r="H115" s="573"/>
      <c r="I115" s="573" t="s">
        <v>185</v>
      </c>
      <c r="J115" s="572"/>
      <c r="K115" s="573"/>
      <c r="L115" s="572"/>
      <c r="M115" s="571"/>
      <c r="N115" s="570"/>
      <c r="W115" s="537" t="s">
        <v>8323</v>
      </c>
    </row>
    <row r="116" spans="1:29" s="536" customFormat="1" ht="33.75" x14ac:dyDescent="0.2">
      <c r="A116" s="609"/>
      <c r="B116" s="552" t="s">
        <v>310</v>
      </c>
      <c r="C116" s="1822" t="s">
        <v>311</v>
      </c>
      <c r="D116" s="1822"/>
      <c r="E116" s="1822"/>
      <c r="F116" s="1822"/>
      <c r="G116" s="1822"/>
      <c r="H116" s="1822"/>
      <c r="I116" s="1822"/>
      <c r="J116" s="1822"/>
      <c r="K116" s="1822"/>
      <c r="L116" s="1822"/>
      <c r="M116" s="1822"/>
      <c r="N116" s="1827"/>
      <c r="Y116" s="537" t="s">
        <v>311</v>
      </c>
    </row>
    <row r="117" spans="1:29" s="536" customFormat="1" x14ac:dyDescent="0.2">
      <c r="A117" s="605"/>
      <c r="B117" s="552" t="s">
        <v>185</v>
      </c>
      <c r="C117" s="1822" t="s">
        <v>312</v>
      </c>
      <c r="D117" s="1822"/>
      <c r="E117" s="1822"/>
      <c r="F117" s="562"/>
      <c r="G117" s="562"/>
      <c r="H117" s="562"/>
      <c r="I117" s="562"/>
      <c r="J117" s="604">
        <v>473.28</v>
      </c>
      <c r="K117" s="562" t="s">
        <v>313</v>
      </c>
      <c r="L117" s="604">
        <v>591.6</v>
      </c>
      <c r="M117" s="603"/>
      <c r="N117" s="602"/>
      <c r="Z117" s="537" t="s">
        <v>312</v>
      </c>
    </row>
    <row r="118" spans="1:29" s="536" customFormat="1" x14ac:dyDescent="0.2">
      <c r="A118" s="605"/>
      <c r="B118" s="552" t="s">
        <v>188</v>
      </c>
      <c r="C118" s="1822" t="s">
        <v>475</v>
      </c>
      <c r="D118" s="1822"/>
      <c r="E118" s="1822"/>
      <c r="F118" s="562"/>
      <c r="G118" s="562"/>
      <c r="H118" s="562"/>
      <c r="I118" s="562"/>
      <c r="J118" s="604">
        <v>9.4700000000000006</v>
      </c>
      <c r="K118" s="562"/>
      <c r="L118" s="604">
        <v>9.4700000000000006</v>
      </c>
      <c r="M118" s="603"/>
      <c r="N118" s="602"/>
      <c r="Z118" s="537" t="s">
        <v>475</v>
      </c>
    </row>
    <row r="119" spans="1:29" s="536" customFormat="1" x14ac:dyDescent="0.2">
      <c r="A119" s="605"/>
      <c r="B119" s="552"/>
      <c r="C119" s="1822" t="s">
        <v>314</v>
      </c>
      <c r="D119" s="1822"/>
      <c r="E119" s="1822"/>
      <c r="F119" s="562" t="s">
        <v>315</v>
      </c>
      <c r="G119" s="562" t="s">
        <v>765</v>
      </c>
      <c r="H119" s="562" t="s">
        <v>313</v>
      </c>
      <c r="I119" s="562" t="s">
        <v>677</v>
      </c>
      <c r="J119" s="604"/>
      <c r="K119" s="562"/>
      <c r="L119" s="604"/>
      <c r="M119" s="603"/>
      <c r="N119" s="602"/>
      <c r="AA119" s="537" t="s">
        <v>314</v>
      </c>
    </row>
    <row r="120" spans="1:29" s="536" customFormat="1" x14ac:dyDescent="0.2">
      <c r="A120" s="605"/>
      <c r="B120" s="552"/>
      <c r="C120" s="1828" t="s">
        <v>318</v>
      </c>
      <c r="D120" s="1828"/>
      <c r="E120" s="1828"/>
      <c r="F120" s="608"/>
      <c r="G120" s="608"/>
      <c r="H120" s="608"/>
      <c r="I120" s="608"/>
      <c r="J120" s="607">
        <v>482.75</v>
      </c>
      <c r="K120" s="608"/>
      <c r="L120" s="607">
        <v>601.07000000000005</v>
      </c>
      <c r="M120" s="601"/>
      <c r="N120" s="606"/>
      <c r="AB120" s="537" t="s">
        <v>318</v>
      </c>
    </row>
    <row r="121" spans="1:29" s="536" customFormat="1" x14ac:dyDescent="0.2">
      <c r="A121" s="605"/>
      <c r="B121" s="552"/>
      <c r="C121" s="1822" t="s">
        <v>319</v>
      </c>
      <c r="D121" s="1822"/>
      <c r="E121" s="1822"/>
      <c r="F121" s="562"/>
      <c r="G121" s="562"/>
      <c r="H121" s="562"/>
      <c r="I121" s="562"/>
      <c r="J121" s="604"/>
      <c r="K121" s="562"/>
      <c r="L121" s="604">
        <v>591.6</v>
      </c>
      <c r="M121" s="603"/>
      <c r="N121" s="602"/>
      <c r="AA121" s="537" t="s">
        <v>319</v>
      </c>
    </row>
    <row r="122" spans="1:29" s="536" customFormat="1" ht="33.75" x14ac:dyDescent="0.2">
      <c r="A122" s="605"/>
      <c r="B122" s="552" t="s">
        <v>884</v>
      </c>
      <c r="C122" s="1822" t="s">
        <v>885</v>
      </c>
      <c r="D122" s="1822"/>
      <c r="E122" s="1822"/>
      <c r="F122" s="562" t="s">
        <v>322</v>
      </c>
      <c r="G122" s="562" t="s">
        <v>886</v>
      </c>
      <c r="H122" s="562"/>
      <c r="I122" s="562" t="s">
        <v>886</v>
      </c>
      <c r="J122" s="604"/>
      <c r="K122" s="562"/>
      <c r="L122" s="604">
        <v>532.44000000000005</v>
      </c>
      <c r="M122" s="603"/>
      <c r="N122" s="602"/>
      <c r="AA122" s="537" t="s">
        <v>885</v>
      </c>
    </row>
    <row r="123" spans="1:29" s="536" customFormat="1" ht="33.75" x14ac:dyDescent="0.2">
      <c r="A123" s="605"/>
      <c r="B123" s="552" t="s">
        <v>887</v>
      </c>
      <c r="C123" s="1822" t="s">
        <v>888</v>
      </c>
      <c r="D123" s="1822"/>
      <c r="E123" s="1822"/>
      <c r="F123" s="562" t="s">
        <v>322</v>
      </c>
      <c r="G123" s="562" t="s">
        <v>465</v>
      </c>
      <c r="H123" s="562"/>
      <c r="I123" s="562" t="s">
        <v>465</v>
      </c>
      <c r="J123" s="604"/>
      <c r="K123" s="562"/>
      <c r="L123" s="604">
        <v>272.14</v>
      </c>
      <c r="M123" s="603"/>
      <c r="N123" s="602"/>
      <c r="AA123" s="537" t="s">
        <v>888</v>
      </c>
    </row>
    <row r="124" spans="1:29" s="536" customFormat="1" x14ac:dyDescent="0.2">
      <c r="A124" s="569"/>
      <c r="B124" s="671"/>
      <c r="C124" s="1823" t="s">
        <v>327</v>
      </c>
      <c r="D124" s="1823"/>
      <c r="E124" s="1823"/>
      <c r="F124" s="573"/>
      <c r="G124" s="573"/>
      <c r="H124" s="573"/>
      <c r="I124" s="573"/>
      <c r="J124" s="572"/>
      <c r="K124" s="573"/>
      <c r="L124" s="572">
        <v>1405.65</v>
      </c>
      <c r="M124" s="601"/>
      <c r="N124" s="570"/>
      <c r="AC124" s="537" t="s">
        <v>327</v>
      </c>
    </row>
    <row r="125" spans="1:29" s="536" customFormat="1" ht="33.75" x14ac:dyDescent="0.2">
      <c r="A125" s="575" t="s">
        <v>8203</v>
      </c>
      <c r="B125" s="670" t="s">
        <v>8324</v>
      </c>
      <c r="C125" s="1823" t="s">
        <v>8325</v>
      </c>
      <c r="D125" s="1823"/>
      <c r="E125" s="1823"/>
      <c r="F125" s="573" t="s">
        <v>628</v>
      </c>
      <c r="G125" s="573"/>
      <c r="H125" s="573"/>
      <c r="I125" s="573" t="s">
        <v>185</v>
      </c>
      <c r="J125" s="572">
        <v>1032500</v>
      </c>
      <c r="K125" s="573" t="s">
        <v>629</v>
      </c>
      <c r="L125" s="572">
        <v>227644.88</v>
      </c>
      <c r="M125" s="571">
        <v>4.59</v>
      </c>
      <c r="N125" s="570">
        <v>1044890</v>
      </c>
      <c r="W125" s="537" t="s">
        <v>8325</v>
      </c>
    </row>
    <row r="126" spans="1:29" s="536" customFormat="1" x14ac:dyDescent="0.2">
      <c r="A126" s="569"/>
      <c r="B126" s="671"/>
      <c r="C126" s="665" t="s">
        <v>630</v>
      </c>
      <c r="D126" s="666"/>
      <c r="E126" s="666"/>
      <c r="F126" s="563"/>
      <c r="G126" s="563"/>
      <c r="H126" s="563"/>
      <c r="I126" s="563"/>
      <c r="J126" s="566"/>
      <c r="K126" s="563"/>
      <c r="L126" s="566"/>
      <c r="M126" s="565"/>
      <c r="N126" s="564"/>
    </row>
    <row r="127" spans="1:29" s="536" customFormat="1" ht="22.5" x14ac:dyDescent="0.2">
      <c r="A127" s="609"/>
      <c r="B127" s="552" t="s">
        <v>631</v>
      </c>
      <c r="C127" s="1822" t="s">
        <v>632</v>
      </c>
      <c r="D127" s="1822"/>
      <c r="E127" s="1822"/>
      <c r="F127" s="1822"/>
      <c r="G127" s="1822"/>
      <c r="H127" s="1822"/>
      <c r="I127" s="1822"/>
      <c r="J127" s="1822"/>
      <c r="K127" s="1822"/>
      <c r="L127" s="1822"/>
      <c r="M127" s="1822"/>
      <c r="N127" s="1827"/>
      <c r="Y127" s="537" t="s">
        <v>632</v>
      </c>
    </row>
    <row r="128" spans="1:29" s="536" customFormat="1" ht="33.75" x14ac:dyDescent="0.2">
      <c r="A128" s="575" t="s">
        <v>3164</v>
      </c>
      <c r="B128" s="670" t="s">
        <v>8326</v>
      </c>
      <c r="C128" s="1823" t="s">
        <v>8327</v>
      </c>
      <c r="D128" s="1823"/>
      <c r="E128" s="1823"/>
      <c r="F128" s="573" t="s">
        <v>628</v>
      </c>
      <c r="G128" s="573"/>
      <c r="H128" s="573"/>
      <c r="I128" s="573" t="s">
        <v>185</v>
      </c>
      <c r="J128" s="572"/>
      <c r="K128" s="573" t="s">
        <v>629</v>
      </c>
      <c r="L128" s="572"/>
      <c r="M128" s="571">
        <v>4.59</v>
      </c>
      <c r="N128" s="570"/>
      <c r="W128" s="537" t="s">
        <v>8327</v>
      </c>
    </row>
    <row r="129" spans="1:25" s="536" customFormat="1" x14ac:dyDescent="0.2">
      <c r="A129" s="569"/>
      <c r="B129" s="671"/>
      <c r="C129" s="665" t="s">
        <v>630</v>
      </c>
      <c r="D129" s="666"/>
      <c r="E129" s="666"/>
      <c r="F129" s="563"/>
      <c r="G129" s="563"/>
      <c r="H129" s="563"/>
      <c r="I129" s="563"/>
      <c r="J129" s="566"/>
      <c r="K129" s="563"/>
      <c r="L129" s="566"/>
      <c r="M129" s="565"/>
      <c r="N129" s="564"/>
    </row>
    <row r="130" spans="1:25" s="536" customFormat="1" ht="22.5" x14ac:dyDescent="0.2">
      <c r="A130" s="609"/>
      <c r="B130" s="552" t="s">
        <v>631</v>
      </c>
      <c r="C130" s="1822" t="s">
        <v>632</v>
      </c>
      <c r="D130" s="1822"/>
      <c r="E130" s="1822"/>
      <c r="F130" s="1822"/>
      <c r="G130" s="1822"/>
      <c r="H130" s="1822"/>
      <c r="I130" s="1822"/>
      <c r="J130" s="1822"/>
      <c r="K130" s="1822"/>
      <c r="L130" s="1822"/>
      <c r="M130" s="1822"/>
      <c r="N130" s="1827"/>
      <c r="Y130" s="537" t="s">
        <v>632</v>
      </c>
    </row>
    <row r="131" spans="1:25" s="536" customFormat="1" ht="33.75" x14ac:dyDescent="0.2">
      <c r="A131" s="575" t="s">
        <v>898</v>
      </c>
      <c r="B131" s="670" t="s">
        <v>8328</v>
      </c>
      <c r="C131" s="1823" t="s">
        <v>8329</v>
      </c>
      <c r="D131" s="1823"/>
      <c r="E131" s="1823"/>
      <c r="F131" s="573" t="s">
        <v>628</v>
      </c>
      <c r="G131" s="573"/>
      <c r="H131" s="573"/>
      <c r="I131" s="573" t="s">
        <v>185</v>
      </c>
      <c r="J131" s="572"/>
      <c r="K131" s="573" t="s">
        <v>629</v>
      </c>
      <c r="L131" s="572"/>
      <c r="M131" s="571">
        <v>4.59</v>
      </c>
      <c r="N131" s="570"/>
      <c r="W131" s="537" t="s">
        <v>8329</v>
      </c>
    </row>
    <row r="132" spans="1:25" s="536" customFormat="1" x14ac:dyDescent="0.2">
      <c r="A132" s="569"/>
      <c r="B132" s="671"/>
      <c r="C132" s="665" t="s">
        <v>630</v>
      </c>
      <c r="D132" s="666"/>
      <c r="E132" s="666"/>
      <c r="F132" s="563"/>
      <c r="G132" s="563"/>
      <c r="H132" s="563"/>
      <c r="I132" s="563"/>
      <c r="J132" s="566"/>
      <c r="K132" s="563"/>
      <c r="L132" s="566"/>
      <c r="M132" s="565"/>
      <c r="N132" s="564"/>
    </row>
    <row r="133" spans="1:25" s="536" customFormat="1" ht="22.5" x14ac:dyDescent="0.2">
      <c r="A133" s="609"/>
      <c r="B133" s="552" t="s">
        <v>631</v>
      </c>
      <c r="C133" s="1822" t="s">
        <v>632</v>
      </c>
      <c r="D133" s="1822"/>
      <c r="E133" s="1822"/>
      <c r="F133" s="1822"/>
      <c r="G133" s="1822"/>
      <c r="H133" s="1822"/>
      <c r="I133" s="1822"/>
      <c r="J133" s="1822"/>
      <c r="K133" s="1822"/>
      <c r="L133" s="1822"/>
      <c r="M133" s="1822"/>
      <c r="N133" s="1827"/>
      <c r="Y133" s="537" t="s">
        <v>632</v>
      </c>
    </row>
    <row r="134" spans="1:25" s="536" customFormat="1" ht="33.75" x14ac:dyDescent="0.2">
      <c r="A134" s="575" t="s">
        <v>899</v>
      </c>
      <c r="B134" s="670" t="s">
        <v>8330</v>
      </c>
      <c r="C134" s="1823" t="s">
        <v>8331</v>
      </c>
      <c r="D134" s="1823"/>
      <c r="E134" s="1823"/>
      <c r="F134" s="573" t="s">
        <v>628</v>
      </c>
      <c r="G134" s="573"/>
      <c r="H134" s="573"/>
      <c r="I134" s="573" t="s">
        <v>844</v>
      </c>
      <c r="J134" s="572"/>
      <c r="K134" s="573" t="s">
        <v>629</v>
      </c>
      <c r="L134" s="572"/>
      <c r="M134" s="571">
        <v>4.59</v>
      </c>
      <c r="N134" s="570"/>
      <c r="W134" s="537" t="s">
        <v>8331</v>
      </c>
    </row>
    <row r="135" spans="1:25" s="536" customFormat="1" x14ac:dyDescent="0.2">
      <c r="A135" s="569"/>
      <c r="B135" s="671"/>
      <c r="C135" s="665" t="s">
        <v>630</v>
      </c>
      <c r="D135" s="666"/>
      <c r="E135" s="666"/>
      <c r="F135" s="563"/>
      <c r="G135" s="563"/>
      <c r="H135" s="563"/>
      <c r="I135" s="563"/>
      <c r="J135" s="566"/>
      <c r="K135" s="563"/>
      <c r="L135" s="566"/>
      <c r="M135" s="565"/>
      <c r="N135" s="564"/>
    </row>
    <row r="136" spans="1:25" s="536" customFormat="1" ht="22.5" x14ac:dyDescent="0.2">
      <c r="A136" s="609"/>
      <c r="B136" s="552" t="s">
        <v>631</v>
      </c>
      <c r="C136" s="1822" t="s">
        <v>632</v>
      </c>
      <c r="D136" s="1822"/>
      <c r="E136" s="1822"/>
      <c r="F136" s="1822"/>
      <c r="G136" s="1822"/>
      <c r="H136" s="1822"/>
      <c r="I136" s="1822"/>
      <c r="J136" s="1822"/>
      <c r="K136" s="1822"/>
      <c r="L136" s="1822"/>
      <c r="M136" s="1822"/>
      <c r="N136" s="1827"/>
      <c r="Y136" s="537" t="s">
        <v>632</v>
      </c>
    </row>
    <row r="137" spans="1:25" s="536" customFormat="1" ht="33.75" x14ac:dyDescent="0.2">
      <c r="A137" s="575" t="s">
        <v>723</v>
      </c>
      <c r="B137" s="670" t="s">
        <v>8332</v>
      </c>
      <c r="C137" s="1823" t="s">
        <v>8333</v>
      </c>
      <c r="D137" s="1823"/>
      <c r="E137" s="1823"/>
      <c r="F137" s="573" t="s">
        <v>628</v>
      </c>
      <c r="G137" s="573"/>
      <c r="H137" s="573"/>
      <c r="I137" s="573" t="s">
        <v>185</v>
      </c>
      <c r="J137" s="572">
        <v>44857.8</v>
      </c>
      <c r="K137" s="573" t="s">
        <v>629</v>
      </c>
      <c r="L137" s="572">
        <v>9890.2000000000007</v>
      </c>
      <c r="M137" s="571">
        <v>4.59</v>
      </c>
      <c r="N137" s="570">
        <v>45396</v>
      </c>
      <c r="W137" s="537" t="s">
        <v>8333</v>
      </c>
    </row>
    <row r="138" spans="1:25" s="536" customFormat="1" x14ac:dyDescent="0.2">
      <c r="A138" s="569"/>
      <c r="B138" s="671"/>
      <c r="C138" s="665" t="s">
        <v>630</v>
      </c>
      <c r="D138" s="666"/>
      <c r="E138" s="666"/>
      <c r="F138" s="563"/>
      <c r="G138" s="563"/>
      <c r="H138" s="563"/>
      <c r="I138" s="563"/>
      <c r="J138" s="566"/>
      <c r="K138" s="563"/>
      <c r="L138" s="566"/>
      <c r="M138" s="565"/>
      <c r="N138" s="564"/>
    </row>
    <row r="139" spans="1:25" s="536" customFormat="1" ht="22.5" x14ac:dyDescent="0.2">
      <c r="A139" s="609"/>
      <c r="B139" s="552" t="s">
        <v>631</v>
      </c>
      <c r="C139" s="1822" t="s">
        <v>632</v>
      </c>
      <c r="D139" s="1822"/>
      <c r="E139" s="1822"/>
      <c r="F139" s="1822"/>
      <c r="G139" s="1822"/>
      <c r="H139" s="1822"/>
      <c r="I139" s="1822"/>
      <c r="J139" s="1822"/>
      <c r="K139" s="1822"/>
      <c r="L139" s="1822"/>
      <c r="M139" s="1822"/>
      <c r="N139" s="1827"/>
      <c r="Y139" s="537" t="s">
        <v>632</v>
      </c>
    </row>
    <row r="140" spans="1:25" s="536" customFormat="1" ht="45" x14ac:dyDescent="0.2">
      <c r="A140" s="575" t="s">
        <v>907</v>
      </c>
      <c r="B140" s="670" t="s">
        <v>8334</v>
      </c>
      <c r="C140" s="1823" t="s">
        <v>3125</v>
      </c>
      <c r="D140" s="1823"/>
      <c r="E140" s="1823"/>
      <c r="F140" s="573" t="s">
        <v>628</v>
      </c>
      <c r="G140" s="573"/>
      <c r="H140" s="573"/>
      <c r="I140" s="573" t="s">
        <v>186</v>
      </c>
      <c r="J140" s="572">
        <v>9212.8799999999992</v>
      </c>
      <c r="K140" s="573" t="s">
        <v>629</v>
      </c>
      <c r="L140" s="572">
        <v>4062.53</v>
      </c>
      <c r="M140" s="571">
        <v>4.59</v>
      </c>
      <c r="N140" s="570">
        <v>18647</v>
      </c>
      <c r="W140" s="537" t="s">
        <v>3125</v>
      </c>
    </row>
    <row r="141" spans="1:25" s="536" customFormat="1" x14ac:dyDescent="0.2">
      <c r="A141" s="569"/>
      <c r="B141" s="671"/>
      <c r="C141" s="665" t="s">
        <v>630</v>
      </c>
      <c r="D141" s="666"/>
      <c r="E141" s="666"/>
      <c r="F141" s="563"/>
      <c r="G141" s="563"/>
      <c r="H141" s="563"/>
      <c r="I141" s="563"/>
      <c r="J141" s="566"/>
      <c r="K141" s="563"/>
      <c r="L141" s="566"/>
      <c r="M141" s="565"/>
      <c r="N141" s="564"/>
    </row>
    <row r="142" spans="1:25" s="536" customFormat="1" ht="22.5" x14ac:dyDescent="0.2">
      <c r="A142" s="609"/>
      <c r="B142" s="552" t="s">
        <v>631</v>
      </c>
      <c r="C142" s="1822" t="s">
        <v>632</v>
      </c>
      <c r="D142" s="1822"/>
      <c r="E142" s="1822"/>
      <c r="F142" s="1822"/>
      <c r="G142" s="1822"/>
      <c r="H142" s="1822"/>
      <c r="I142" s="1822"/>
      <c r="J142" s="1822"/>
      <c r="K142" s="1822"/>
      <c r="L142" s="1822"/>
      <c r="M142" s="1822"/>
      <c r="N142" s="1827"/>
      <c r="Y142" s="537" t="s">
        <v>632</v>
      </c>
    </row>
    <row r="143" spans="1:25" s="536" customFormat="1" ht="33.75" x14ac:dyDescent="0.2">
      <c r="A143" s="575" t="s">
        <v>3143</v>
      </c>
      <c r="B143" s="670" t="s">
        <v>8335</v>
      </c>
      <c r="C143" s="1823" t="s">
        <v>3129</v>
      </c>
      <c r="D143" s="1823"/>
      <c r="E143" s="1823"/>
      <c r="F143" s="573" t="s">
        <v>628</v>
      </c>
      <c r="G143" s="573"/>
      <c r="H143" s="573"/>
      <c r="I143" s="573" t="s">
        <v>185</v>
      </c>
      <c r="J143" s="572">
        <v>500.18</v>
      </c>
      <c r="K143" s="573" t="s">
        <v>629</v>
      </c>
      <c r="L143" s="572">
        <v>110.24</v>
      </c>
      <c r="M143" s="571">
        <v>4.59</v>
      </c>
      <c r="N143" s="570">
        <v>506</v>
      </c>
      <c r="W143" s="537" t="s">
        <v>3129</v>
      </c>
    </row>
    <row r="144" spans="1:25" s="536" customFormat="1" x14ac:dyDescent="0.2">
      <c r="A144" s="569"/>
      <c r="B144" s="671"/>
      <c r="C144" s="665" t="s">
        <v>630</v>
      </c>
      <c r="D144" s="666"/>
      <c r="E144" s="666"/>
      <c r="F144" s="563"/>
      <c r="G144" s="563"/>
      <c r="H144" s="563"/>
      <c r="I144" s="563"/>
      <c r="J144" s="566"/>
      <c r="K144" s="563"/>
      <c r="L144" s="566"/>
      <c r="M144" s="565"/>
      <c r="N144" s="564"/>
    </row>
    <row r="145" spans="1:28" s="536" customFormat="1" ht="22.5" x14ac:dyDescent="0.2">
      <c r="A145" s="609"/>
      <c r="B145" s="552" t="s">
        <v>631</v>
      </c>
      <c r="C145" s="1822" t="s">
        <v>632</v>
      </c>
      <c r="D145" s="1822"/>
      <c r="E145" s="1822"/>
      <c r="F145" s="1822"/>
      <c r="G145" s="1822"/>
      <c r="H145" s="1822"/>
      <c r="I145" s="1822"/>
      <c r="J145" s="1822"/>
      <c r="K145" s="1822"/>
      <c r="L145" s="1822"/>
      <c r="M145" s="1822"/>
      <c r="N145" s="1827"/>
      <c r="Y145" s="537" t="s">
        <v>632</v>
      </c>
    </row>
    <row r="146" spans="1:28" s="536" customFormat="1" ht="33.75" x14ac:dyDescent="0.2">
      <c r="A146" s="575" t="s">
        <v>910</v>
      </c>
      <c r="B146" s="670" t="s">
        <v>8336</v>
      </c>
      <c r="C146" s="1823" t="s">
        <v>3127</v>
      </c>
      <c r="D146" s="1823"/>
      <c r="E146" s="1823"/>
      <c r="F146" s="573" t="s">
        <v>628</v>
      </c>
      <c r="G146" s="573"/>
      <c r="H146" s="573"/>
      <c r="I146" s="573" t="s">
        <v>185</v>
      </c>
      <c r="J146" s="572">
        <v>325.56</v>
      </c>
      <c r="K146" s="573" t="s">
        <v>629</v>
      </c>
      <c r="L146" s="572">
        <v>71.680000000000007</v>
      </c>
      <c r="M146" s="571">
        <v>4.59</v>
      </c>
      <c r="N146" s="570">
        <v>329</v>
      </c>
      <c r="W146" s="537" t="s">
        <v>3127</v>
      </c>
    </row>
    <row r="147" spans="1:28" s="536" customFormat="1" x14ac:dyDescent="0.2">
      <c r="A147" s="569"/>
      <c r="B147" s="671"/>
      <c r="C147" s="665" t="s">
        <v>630</v>
      </c>
      <c r="D147" s="666"/>
      <c r="E147" s="666"/>
      <c r="F147" s="563"/>
      <c r="G147" s="563"/>
      <c r="H147" s="563"/>
      <c r="I147" s="563"/>
      <c r="J147" s="566"/>
      <c r="K147" s="563"/>
      <c r="L147" s="566"/>
      <c r="M147" s="565"/>
      <c r="N147" s="564"/>
    </row>
    <row r="148" spans="1:28" s="536" customFormat="1" ht="22.5" x14ac:dyDescent="0.2">
      <c r="A148" s="609"/>
      <c r="B148" s="552" t="s">
        <v>631</v>
      </c>
      <c r="C148" s="1822" t="s">
        <v>632</v>
      </c>
      <c r="D148" s="1822"/>
      <c r="E148" s="1822"/>
      <c r="F148" s="1822"/>
      <c r="G148" s="1822"/>
      <c r="H148" s="1822"/>
      <c r="I148" s="1822"/>
      <c r="J148" s="1822"/>
      <c r="K148" s="1822"/>
      <c r="L148" s="1822"/>
      <c r="M148" s="1822"/>
      <c r="N148" s="1827"/>
      <c r="Y148" s="537" t="s">
        <v>632</v>
      </c>
    </row>
    <row r="149" spans="1:28" s="536" customFormat="1" ht="33.75" x14ac:dyDescent="0.2">
      <c r="A149" s="575" t="s">
        <v>1067</v>
      </c>
      <c r="B149" s="670" t="s">
        <v>8337</v>
      </c>
      <c r="C149" s="1823" t="s">
        <v>8338</v>
      </c>
      <c r="D149" s="1823"/>
      <c r="E149" s="1823"/>
      <c r="F149" s="573" t="s">
        <v>1110</v>
      </c>
      <c r="G149" s="573"/>
      <c r="H149" s="573"/>
      <c r="I149" s="573" t="s">
        <v>1692</v>
      </c>
      <c r="J149" s="572"/>
      <c r="K149" s="573"/>
      <c r="L149" s="572"/>
      <c r="M149" s="571"/>
      <c r="N149" s="570"/>
      <c r="W149" s="537" t="s">
        <v>8338</v>
      </c>
    </row>
    <row r="150" spans="1:28" s="536" customFormat="1" x14ac:dyDescent="0.2">
      <c r="A150" s="676"/>
      <c r="B150" s="664"/>
      <c r="C150" s="1822" t="s">
        <v>8339</v>
      </c>
      <c r="D150" s="1822"/>
      <c r="E150" s="1822"/>
      <c r="F150" s="1822"/>
      <c r="G150" s="1822"/>
      <c r="H150" s="1822"/>
      <c r="I150" s="1822"/>
      <c r="J150" s="1822"/>
      <c r="K150" s="1822"/>
      <c r="L150" s="1822"/>
      <c r="M150" s="1822"/>
      <c r="N150" s="1827"/>
      <c r="X150" s="537" t="s">
        <v>8339</v>
      </c>
    </row>
    <row r="151" spans="1:28" s="536" customFormat="1" ht="33.75" x14ac:dyDescent="0.2">
      <c r="A151" s="609"/>
      <c r="B151" s="552" t="s">
        <v>310</v>
      </c>
      <c r="C151" s="1822" t="s">
        <v>311</v>
      </c>
      <c r="D151" s="1822"/>
      <c r="E151" s="1822"/>
      <c r="F151" s="1822"/>
      <c r="G151" s="1822"/>
      <c r="H151" s="1822"/>
      <c r="I151" s="1822"/>
      <c r="J151" s="1822"/>
      <c r="K151" s="1822"/>
      <c r="L151" s="1822"/>
      <c r="M151" s="1822"/>
      <c r="N151" s="1827"/>
      <c r="Y151" s="537" t="s">
        <v>311</v>
      </c>
    </row>
    <row r="152" spans="1:28" s="536" customFormat="1" x14ac:dyDescent="0.2">
      <c r="A152" s="605"/>
      <c r="B152" s="552" t="s">
        <v>185</v>
      </c>
      <c r="C152" s="1822" t="s">
        <v>312</v>
      </c>
      <c r="D152" s="1822"/>
      <c r="E152" s="1822"/>
      <c r="F152" s="562"/>
      <c r="G152" s="562"/>
      <c r="H152" s="562"/>
      <c r="I152" s="562"/>
      <c r="J152" s="604">
        <v>288.02</v>
      </c>
      <c r="K152" s="562" t="s">
        <v>313</v>
      </c>
      <c r="L152" s="604">
        <v>180.01</v>
      </c>
      <c r="M152" s="603"/>
      <c r="N152" s="602"/>
      <c r="Z152" s="537" t="s">
        <v>312</v>
      </c>
    </row>
    <row r="153" spans="1:28" s="536" customFormat="1" x14ac:dyDescent="0.2">
      <c r="A153" s="605"/>
      <c r="B153" s="552" t="s">
        <v>186</v>
      </c>
      <c r="C153" s="1822" t="s">
        <v>344</v>
      </c>
      <c r="D153" s="1822"/>
      <c r="E153" s="1822"/>
      <c r="F153" s="562"/>
      <c r="G153" s="562"/>
      <c r="H153" s="562"/>
      <c r="I153" s="562"/>
      <c r="J153" s="604">
        <v>68.98</v>
      </c>
      <c r="K153" s="562" t="s">
        <v>313</v>
      </c>
      <c r="L153" s="604">
        <v>43.11</v>
      </c>
      <c r="M153" s="603"/>
      <c r="N153" s="602"/>
      <c r="Z153" s="537" t="s">
        <v>344</v>
      </c>
    </row>
    <row r="154" spans="1:28" s="536" customFormat="1" x14ac:dyDescent="0.2">
      <c r="A154" s="605"/>
      <c r="B154" s="552" t="s">
        <v>187</v>
      </c>
      <c r="C154" s="1822" t="s">
        <v>345</v>
      </c>
      <c r="D154" s="1822"/>
      <c r="E154" s="1822"/>
      <c r="F154" s="562"/>
      <c r="G154" s="562"/>
      <c r="H154" s="562"/>
      <c r="I154" s="562"/>
      <c r="J154" s="604">
        <v>4.0199999999999996</v>
      </c>
      <c r="K154" s="562" t="s">
        <v>313</v>
      </c>
      <c r="L154" s="604">
        <v>2.5099999999999998</v>
      </c>
      <c r="M154" s="603"/>
      <c r="N154" s="602"/>
      <c r="Z154" s="537" t="s">
        <v>345</v>
      </c>
    </row>
    <row r="155" spans="1:28" s="536" customFormat="1" x14ac:dyDescent="0.2">
      <c r="A155" s="605"/>
      <c r="B155" s="552" t="s">
        <v>188</v>
      </c>
      <c r="C155" s="1822" t="s">
        <v>475</v>
      </c>
      <c r="D155" s="1822"/>
      <c r="E155" s="1822"/>
      <c r="F155" s="562"/>
      <c r="G155" s="562"/>
      <c r="H155" s="562"/>
      <c r="I155" s="562"/>
      <c r="J155" s="604">
        <v>73.7</v>
      </c>
      <c r="K155" s="562"/>
      <c r="L155" s="604">
        <v>36.85</v>
      </c>
      <c r="M155" s="603"/>
      <c r="N155" s="602"/>
      <c r="Z155" s="537" t="s">
        <v>475</v>
      </c>
    </row>
    <row r="156" spans="1:28" s="536" customFormat="1" x14ac:dyDescent="0.2">
      <c r="A156" s="605"/>
      <c r="B156" s="552"/>
      <c r="C156" s="1822" t="s">
        <v>314</v>
      </c>
      <c r="D156" s="1822"/>
      <c r="E156" s="1822"/>
      <c r="F156" s="562" t="s">
        <v>315</v>
      </c>
      <c r="G156" s="562" t="s">
        <v>8340</v>
      </c>
      <c r="H156" s="562" t="s">
        <v>313</v>
      </c>
      <c r="I156" s="562" t="s">
        <v>8341</v>
      </c>
      <c r="J156" s="604"/>
      <c r="K156" s="562"/>
      <c r="L156" s="604"/>
      <c r="M156" s="603"/>
      <c r="N156" s="602"/>
      <c r="AA156" s="537" t="s">
        <v>314</v>
      </c>
    </row>
    <row r="157" spans="1:28" s="536" customFormat="1" x14ac:dyDescent="0.2">
      <c r="A157" s="605"/>
      <c r="B157" s="552"/>
      <c r="C157" s="1822" t="s">
        <v>348</v>
      </c>
      <c r="D157" s="1822"/>
      <c r="E157" s="1822"/>
      <c r="F157" s="562" t="s">
        <v>315</v>
      </c>
      <c r="G157" s="562" t="s">
        <v>2344</v>
      </c>
      <c r="H157" s="562" t="s">
        <v>313</v>
      </c>
      <c r="I157" s="562" t="s">
        <v>890</v>
      </c>
      <c r="J157" s="604"/>
      <c r="K157" s="562"/>
      <c r="L157" s="604"/>
      <c r="M157" s="603"/>
      <c r="N157" s="602"/>
      <c r="AA157" s="537" t="s">
        <v>348</v>
      </c>
    </row>
    <row r="158" spans="1:28" s="536" customFormat="1" x14ac:dyDescent="0.2">
      <c r="A158" s="605"/>
      <c r="B158" s="552"/>
      <c r="C158" s="1828" t="s">
        <v>318</v>
      </c>
      <c r="D158" s="1828"/>
      <c r="E158" s="1828"/>
      <c r="F158" s="608"/>
      <c r="G158" s="608"/>
      <c r="H158" s="608"/>
      <c r="I158" s="608"/>
      <c r="J158" s="607">
        <v>430.7</v>
      </c>
      <c r="K158" s="608"/>
      <c r="L158" s="607">
        <v>259.97000000000003</v>
      </c>
      <c r="M158" s="601"/>
      <c r="N158" s="606"/>
      <c r="AB158" s="537" t="s">
        <v>318</v>
      </c>
    </row>
    <row r="159" spans="1:28" s="536" customFormat="1" x14ac:dyDescent="0.2">
      <c r="A159" s="605"/>
      <c r="B159" s="552"/>
      <c r="C159" s="1822" t="s">
        <v>319</v>
      </c>
      <c r="D159" s="1822"/>
      <c r="E159" s="1822"/>
      <c r="F159" s="562"/>
      <c r="G159" s="562"/>
      <c r="H159" s="562"/>
      <c r="I159" s="562"/>
      <c r="J159" s="604"/>
      <c r="K159" s="562"/>
      <c r="L159" s="604">
        <v>182.52</v>
      </c>
      <c r="M159" s="603"/>
      <c r="N159" s="602"/>
      <c r="AA159" s="537" t="s">
        <v>319</v>
      </c>
    </row>
    <row r="160" spans="1:28" s="536" customFormat="1" ht="33.75" x14ac:dyDescent="0.2">
      <c r="A160" s="605"/>
      <c r="B160" s="552" t="s">
        <v>1631</v>
      </c>
      <c r="C160" s="1822" t="s">
        <v>1632</v>
      </c>
      <c r="D160" s="1822"/>
      <c r="E160" s="1822"/>
      <c r="F160" s="562" t="s">
        <v>322</v>
      </c>
      <c r="G160" s="562" t="s">
        <v>1633</v>
      </c>
      <c r="H160" s="562"/>
      <c r="I160" s="562" t="s">
        <v>1633</v>
      </c>
      <c r="J160" s="604"/>
      <c r="K160" s="562"/>
      <c r="L160" s="604">
        <v>177.04</v>
      </c>
      <c r="M160" s="603"/>
      <c r="N160" s="602"/>
      <c r="AA160" s="537" t="s">
        <v>1632</v>
      </c>
    </row>
    <row r="161" spans="1:29" s="536" customFormat="1" ht="33.75" x14ac:dyDescent="0.2">
      <c r="A161" s="605"/>
      <c r="B161" s="552" t="s">
        <v>1634</v>
      </c>
      <c r="C161" s="1822" t="s">
        <v>1635</v>
      </c>
      <c r="D161" s="1822"/>
      <c r="E161" s="1822"/>
      <c r="F161" s="562" t="s">
        <v>322</v>
      </c>
      <c r="G161" s="562" t="s">
        <v>786</v>
      </c>
      <c r="H161" s="562"/>
      <c r="I161" s="562" t="s">
        <v>786</v>
      </c>
      <c r="J161" s="604"/>
      <c r="K161" s="562"/>
      <c r="L161" s="604">
        <v>93.09</v>
      </c>
      <c r="M161" s="603"/>
      <c r="N161" s="602"/>
      <c r="AA161" s="537" t="s">
        <v>1635</v>
      </c>
    </row>
    <row r="162" spans="1:29" s="536" customFormat="1" x14ac:dyDescent="0.2">
      <c r="A162" s="569"/>
      <c r="B162" s="671"/>
      <c r="C162" s="1823" t="s">
        <v>327</v>
      </c>
      <c r="D162" s="1823"/>
      <c r="E162" s="1823"/>
      <c r="F162" s="573"/>
      <c r="G162" s="573"/>
      <c r="H162" s="573"/>
      <c r="I162" s="573"/>
      <c r="J162" s="572"/>
      <c r="K162" s="573"/>
      <c r="L162" s="572">
        <v>530.1</v>
      </c>
      <c r="M162" s="601"/>
      <c r="N162" s="570"/>
      <c r="AC162" s="537" t="s">
        <v>327</v>
      </c>
    </row>
    <row r="163" spans="1:29" s="536" customFormat="1" ht="33.75" x14ac:dyDescent="0.2">
      <c r="A163" s="575" t="s">
        <v>912</v>
      </c>
      <c r="B163" s="670" t="s">
        <v>3099</v>
      </c>
      <c r="C163" s="1823" t="s">
        <v>8342</v>
      </c>
      <c r="D163" s="1823"/>
      <c r="E163" s="1823"/>
      <c r="F163" s="573" t="s">
        <v>1110</v>
      </c>
      <c r="G163" s="573"/>
      <c r="H163" s="573"/>
      <c r="I163" s="573" t="s">
        <v>8343</v>
      </c>
      <c r="J163" s="572"/>
      <c r="K163" s="573"/>
      <c r="L163" s="572"/>
      <c r="M163" s="571"/>
      <c r="N163" s="570"/>
      <c r="W163" s="537" t="s">
        <v>8342</v>
      </c>
    </row>
    <row r="164" spans="1:29" s="536" customFormat="1" x14ac:dyDescent="0.2">
      <c r="A164" s="676"/>
      <c r="B164" s="664"/>
      <c r="C164" s="1822" t="s">
        <v>8344</v>
      </c>
      <c r="D164" s="1822"/>
      <c r="E164" s="1822"/>
      <c r="F164" s="1822"/>
      <c r="G164" s="1822"/>
      <c r="H164" s="1822"/>
      <c r="I164" s="1822"/>
      <c r="J164" s="1822"/>
      <c r="K164" s="1822"/>
      <c r="L164" s="1822"/>
      <c r="M164" s="1822"/>
      <c r="N164" s="1827"/>
      <c r="X164" s="537" t="s">
        <v>8344</v>
      </c>
    </row>
    <row r="165" spans="1:29" s="536" customFormat="1" ht="33.75" x14ac:dyDescent="0.2">
      <c r="A165" s="609"/>
      <c r="B165" s="552" t="s">
        <v>310</v>
      </c>
      <c r="C165" s="1822" t="s">
        <v>311</v>
      </c>
      <c r="D165" s="1822"/>
      <c r="E165" s="1822"/>
      <c r="F165" s="1822"/>
      <c r="G165" s="1822"/>
      <c r="H165" s="1822"/>
      <c r="I165" s="1822"/>
      <c r="J165" s="1822"/>
      <c r="K165" s="1822"/>
      <c r="L165" s="1822"/>
      <c r="M165" s="1822"/>
      <c r="N165" s="1827"/>
      <c r="Y165" s="537" t="s">
        <v>311</v>
      </c>
    </row>
    <row r="166" spans="1:29" s="536" customFormat="1" x14ac:dyDescent="0.2">
      <c r="A166" s="605"/>
      <c r="B166" s="552" t="s">
        <v>185</v>
      </c>
      <c r="C166" s="1822" t="s">
        <v>312</v>
      </c>
      <c r="D166" s="1822"/>
      <c r="E166" s="1822"/>
      <c r="F166" s="562"/>
      <c r="G166" s="562"/>
      <c r="H166" s="562"/>
      <c r="I166" s="562"/>
      <c r="J166" s="604">
        <v>93.25</v>
      </c>
      <c r="K166" s="562" t="s">
        <v>313</v>
      </c>
      <c r="L166" s="604">
        <v>3438.59</v>
      </c>
      <c r="M166" s="603"/>
      <c r="N166" s="602"/>
      <c r="Z166" s="537" t="s">
        <v>312</v>
      </c>
    </row>
    <row r="167" spans="1:29" s="536" customFormat="1" x14ac:dyDescent="0.2">
      <c r="A167" s="605"/>
      <c r="B167" s="552" t="s">
        <v>186</v>
      </c>
      <c r="C167" s="1822" t="s">
        <v>344</v>
      </c>
      <c r="D167" s="1822"/>
      <c r="E167" s="1822"/>
      <c r="F167" s="562"/>
      <c r="G167" s="562"/>
      <c r="H167" s="562"/>
      <c r="I167" s="562"/>
      <c r="J167" s="604">
        <v>46.25</v>
      </c>
      <c r="K167" s="562" t="s">
        <v>313</v>
      </c>
      <c r="L167" s="604">
        <v>1705.47</v>
      </c>
      <c r="M167" s="603"/>
      <c r="N167" s="602"/>
      <c r="Z167" s="537" t="s">
        <v>344</v>
      </c>
    </row>
    <row r="168" spans="1:29" s="536" customFormat="1" x14ac:dyDescent="0.2">
      <c r="A168" s="605"/>
      <c r="B168" s="552" t="s">
        <v>187</v>
      </c>
      <c r="C168" s="1822" t="s">
        <v>345</v>
      </c>
      <c r="D168" s="1822"/>
      <c r="E168" s="1822"/>
      <c r="F168" s="562"/>
      <c r="G168" s="562"/>
      <c r="H168" s="562"/>
      <c r="I168" s="562"/>
      <c r="J168" s="604">
        <v>5.0199999999999996</v>
      </c>
      <c r="K168" s="562" t="s">
        <v>313</v>
      </c>
      <c r="L168" s="604">
        <v>185.11</v>
      </c>
      <c r="M168" s="603"/>
      <c r="N168" s="602"/>
      <c r="Z168" s="537" t="s">
        <v>345</v>
      </c>
    </row>
    <row r="169" spans="1:29" s="536" customFormat="1" x14ac:dyDescent="0.2">
      <c r="A169" s="605"/>
      <c r="B169" s="552" t="s">
        <v>188</v>
      </c>
      <c r="C169" s="1822" t="s">
        <v>475</v>
      </c>
      <c r="D169" s="1822"/>
      <c r="E169" s="1822"/>
      <c r="F169" s="562"/>
      <c r="G169" s="562"/>
      <c r="H169" s="562"/>
      <c r="I169" s="562"/>
      <c r="J169" s="604">
        <v>37.03</v>
      </c>
      <c r="K169" s="562"/>
      <c r="L169" s="604">
        <v>1092.3900000000001</v>
      </c>
      <c r="M169" s="603"/>
      <c r="N169" s="602"/>
      <c r="Z169" s="537" t="s">
        <v>475</v>
      </c>
    </row>
    <row r="170" spans="1:29" s="536" customFormat="1" x14ac:dyDescent="0.2">
      <c r="A170" s="605"/>
      <c r="B170" s="552"/>
      <c r="C170" s="1822" t="s">
        <v>314</v>
      </c>
      <c r="D170" s="1822"/>
      <c r="E170" s="1822"/>
      <c r="F170" s="562" t="s">
        <v>315</v>
      </c>
      <c r="G170" s="562" t="s">
        <v>3101</v>
      </c>
      <c r="H170" s="562" t="s">
        <v>313</v>
      </c>
      <c r="I170" s="562" t="s">
        <v>8345</v>
      </c>
      <c r="J170" s="604"/>
      <c r="K170" s="562"/>
      <c r="L170" s="604"/>
      <c r="M170" s="603"/>
      <c r="N170" s="602"/>
      <c r="AA170" s="537" t="s">
        <v>314</v>
      </c>
    </row>
    <row r="171" spans="1:29" s="536" customFormat="1" x14ac:dyDescent="0.2">
      <c r="A171" s="605"/>
      <c r="B171" s="552"/>
      <c r="C171" s="1822" t="s">
        <v>348</v>
      </c>
      <c r="D171" s="1822"/>
      <c r="E171" s="1822"/>
      <c r="F171" s="562" t="s">
        <v>315</v>
      </c>
      <c r="G171" s="562" t="s">
        <v>947</v>
      </c>
      <c r="H171" s="562" t="s">
        <v>313</v>
      </c>
      <c r="I171" s="562" t="s">
        <v>1607</v>
      </c>
      <c r="J171" s="604"/>
      <c r="K171" s="562"/>
      <c r="L171" s="604"/>
      <c r="M171" s="603"/>
      <c r="N171" s="602"/>
      <c r="AA171" s="537" t="s">
        <v>348</v>
      </c>
    </row>
    <row r="172" spans="1:29" s="536" customFormat="1" x14ac:dyDescent="0.2">
      <c r="A172" s="605"/>
      <c r="B172" s="552"/>
      <c r="C172" s="1828" t="s">
        <v>318</v>
      </c>
      <c r="D172" s="1828"/>
      <c r="E172" s="1828"/>
      <c r="F172" s="608"/>
      <c r="G172" s="608"/>
      <c r="H172" s="608"/>
      <c r="I172" s="608"/>
      <c r="J172" s="607">
        <v>176.53</v>
      </c>
      <c r="K172" s="608"/>
      <c r="L172" s="607">
        <v>6236.45</v>
      </c>
      <c r="M172" s="601"/>
      <c r="N172" s="606"/>
      <c r="AB172" s="537" t="s">
        <v>318</v>
      </c>
    </row>
    <row r="173" spans="1:29" s="536" customFormat="1" x14ac:dyDescent="0.2">
      <c r="A173" s="605"/>
      <c r="B173" s="552"/>
      <c r="C173" s="1822" t="s">
        <v>319</v>
      </c>
      <c r="D173" s="1822"/>
      <c r="E173" s="1822"/>
      <c r="F173" s="562"/>
      <c r="G173" s="562"/>
      <c r="H173" s="562"/>
      <c r="I173" s="562"/>
      <c r="J173" s="604"/>
      <c r="K173" s="562"/>
      <c r="L173" s="604">
        <v>3623.7</v>
      </c>
      <c r="M173" s="603"/>
      <c r="N173" s="602"/>
      <c r="AA173" s="537" t="s">
        <v>319</v>
      </c>
    </row>
    <row r="174" spans="1:29" s="536" customFormat="1" ht="33.75" x14ac:dyDescent="0.2">
      <c r="A174" s="605"/>
      <c r="B174" s="552" t="s">
        <v>1631</v>
      </c>
      <c r="C174" s="1822" t="s">
        <v>1632</v>
      </c>
      <c r="D174" s="1822"/>
      <c r="E174" s="1822"/>
      <c r="F174" s="562" t="s">
        <v>322</v>
      </c>
      <c r="G174" s="562" t="s">
        <v>1633</v>
      </c>
      <c r="H174" s="562"/>
      <c r="I174" s="562" t="s">
        <v>1633</v>
      </c>
      <c r="J174" s="604"/>
      <c r="K174" s="562"/>
      <c r="L174" s="604">
        <v>3514.99</v>
      </c>
      <c r="M174" s="603"/>
      <c r="N174" s="602"/>
      <c r="AA174" s="537" t="s">
        <v>1632</v>
      </c>
    </row>
    <row r="175" spans="1:29" s="536" customFormat="1" ht="33.75" x14ac:dyDescent="0.2">
      <c r="A175" s="605"/>
      <c r="B175" s="552" t="s">
        <v>1634</v>
      </c>
      <c r="C175" s="1822" t="s">
        <v>1635</v>
      </c>
      <c r="D175" s="1822"/>
      <c r="E175" s="1822"/>
      <c r="F175" s="562" t="s">
        <v>322</v>
      </c>
      <c r="G175" s="562" t="s">
        <v>786</v>
      </c>
      <c r="H175" s="562"/>
      <c r="I175" s="562" t="s">
        <v>786</v>
      </c>
      <c r="J175" s="604"/>
      <c r="K175" s="562"/>
      <c r="L175" s="604">
        <v>1848.09</v>
      </c>
      <c r="M175" s="603"/>
      <c r="N175" s="602"/>
      <c r="AA175" s="537" t="s">
        <v>1635</v>
      </c>
    </row>
    <row r="176" spans="1:29" s="536" customFormat="1" x14ac:dyDescent="0.2">
      <c r="A176" s="569"/>
      <c r="B176" s="671"/>
      <c r="C176" s="1823" t="s">
        <v>327</v>
      </c>
      <c r="D176" s="1823"/>
      <c r="E176" s="1823"/>
      <c r="F176" s="573"/>
      <c r="G176" s="573"/>
      <c r="H176" s="573"/>
      <c r="I176" s="573"/>
      <c r="J176" s="572"/>
      <c r="K176" s="573"/>
      <c r="L176" s="572">
        <v>11599.53</v>
      </c>
      <c r="M176" s="601"/>
      <c r="N176" s="570"/>
      <c r="AC176" s="537" t="s">
        <v>327</v>
      </c>
    </row>
    <row r="177" spans="1:29" s="536" customFormat="1" ht="33.75" x14ac:dyDescent="0.2">
      <c r="A177" s="575" t="s">
        <v>757</v>
      </c>
      <c r="B177" s="670" t="s">
        <v>8346</v>
      </c>
      <c r="C177" s="1823" t="s">
        <v>8347</v>
      </c>
      <c r="D177" s="1823"/>
      <c r="E177" s="1823"/>
      <c r="F177" s="573" t="s">
        <v>483</v>
      </c>
      <c r="G177" s="573"/>
      <c r="H177" s="573"/>
      <c r="I177" s="573" t="s">
        <v>8348</v>
      </c>
      <c r="J177" s="572">
        <v>23.14</v>
      </c>
      <c r="K177" s="573" t="s">
        <v>716</v>
      </c>
      <c r="L177" s="572">
        <v>8680.89</v>
      </c>
      <c r="M177" s="571">
        <v>8.32</v>
      </c>
      <c r="N177" s="570">
        <v>72225</v>
      </c>
      <c r="W177" s="537" t="s">
        <v>8347</v>
      </c>
    </row>
    <row r="178" spans="1:29" s="536" customFormat="1" x14ac:dyDescent="0.2">
      <c r="A178" s="569"/>
      <c r="B178" s="671"/>
      <c r="C178" s="665" t="s">
        <v>1658</v>
      </c>
      <c r="D178" s="666"/>
      <c r="E178" s="666"/>
      <c r="F178" s="563"/>
      <c r="G178" s="563"/>
      <c r="H178" s="563"/>
      <c r="I178" s="563"/>
      <c r="J178" s="566"/>
      <c r="K178" s="563"/>
      <c r="L178" s="566"/>
      <c r="M178" s="565"/>
      <c r="N178" s="564"/>
    </row>
    <row r="179" spans="1:29" s="536" customFormat="1" x14ac:dyDescent="0.2">
      <c r="A179" s="676"/>
      <c r="B179" s="664"/>
      <c r="C179" s="1822" t="s">
        <v>8349</v>
      </c>
      <c r="D179" s="1822"/>
      <c r="E179" s="1822"/>
      <c r="F179" s="1822"/>
      <c r="G179" s="1822"/>
      <c r="H179" s="1822"/>
      <c r="I179" s="1822"/>
      <c r="J179" s="1822"/>
      <c r="K179" s="1822"/>
      <c r="L179" s="1822"/>
      <c r="M179" s="1822"/>
      <c r="N179" s="1827"/>
      <c r="X179" s="537" t="s">
        <v>8349</v>
      </c>
    </row>
    <row r="180" spans="1:29" s="536" customFormat="1" ht="22.5" x14ac:dyDescent="0.2">
      <c r="A180" s="609"/>
      <c r="B180" s="552" t="s">
        <v>718</v>
      </c>
      <c r="C180" s="1822" t="s">
        <v>719</v>
      </c>
      <c r="D180" s="1822"/>
      <c r="E180" s="1822"/>
      <c r="F180" s="1822"/>
      <c r="G180" s="1822"/>
      <c r="H180" s="1822"/>
      <c r="I180" s="1822"/>
      <c r="J180" s="1822"/>
      <c r="K180" s="1822"/>
      <c r="L180" s="1822"/>
      <c r="M180" s="1822"/>
      <c r="N180" s="1827"/>
      <c r="Y180" s="537" t="s">
        <v>719</v>
      </c>
    </row>
    <row r="181" spans="1:29" s="536" customFormat="1" ht="33.75" x14ac:dyDescent="0.2">
      <c r="A181" s="575" t="s">
        <v>1079</v>
      </c>
      <c r="B181" s="670" t="s">
        <v>3160</v>
      </c>
      <c r="C181" s="1823" t="s">
        <v>3161</v>
      </c>
      <c r="D181" s="1823"/>
      <c r="E181" s="1823"/>
      <c r="F181" s="573" t="s">
        <v>617</v>
      </c>
      <c r="G181" s="573"/>
      <c r="H181" s="573"/>
      <c r="I181" s="573" t="s">
        <v>851</v>
      </c>
      <c r="J181" s="572"/>
      <c r="K181" s="573"/>
      <c r="L181" s="572"/>
      <c r="M181" s="571"/>
      <c r="N181" s="570"/>
      <c r="W181" s="537" t="s">
        <v>3161</v>
      </c>
    </row>
    <row r="182" spans="1:29" s="536" customFormat="1" x14ac:dyDescent="0.2">
      <c r="A182" s="676"/>
      <c r="B182" s="664"/>
      <c r="C182" s="1822" t="s">
        <v>8350</v>
      </c>
      <c r="D182" s="1822"/>
      <c r="E182" s="1822"/>
      <c r="F182" s="1822"/>
      <c r="G182" s="1822"/>
      <c r="H182" s="1822"/>
      <c r="I182" s="1822"/>
      <c r="J182" s="1822"/>
      <c r="K182" s="1822"/>
      <c r="L182" s="1822"/>
      <c r="M182" s="1822"/>
      <c r="N182" s="1827"/>
      <c r="X182" s="537" t="s">
        <v>8350</v>
      </c>
    </row>
    <row r="183" spans="1:29" s="536" customFormat="1" ht="33.75" x14ac:dyDescent="0.2">
      <c r="A183" s="609"/>
      <c r="B183" s="552" t="s">
        <v>310</v>
      </c>
      <c r="C183" s="1822" t="s">
        <v>311</v>
      </c>
      <c r="D183" s="1822"/>
      <c r="E183" s="1822"/>
      <c r="F183" s="1822"/>
      <c r="G183" s="1822"/>
      <c r="H183" s="1822"/>
      <c r="I183" s="1822"/>
      <c r="J183" s="1822"/>
      <c r="K183" s="1822"/>
      <c r="L183" s="1822"/>
      <c r="M183" s="1822"/>
      <c r="N183" s="1827"/>
      <c r="Y183" s="537" t="s">
        <v>311</v>
      </c>
    </row>
    <row r="184" spans="1:29" s="536" customFormat="1" x14ac:dyDescent="0.2">
      <c r="A184" s="605"/>
      <c r="B184" s="552" t="s">
        <v>185</v>
      </c>
      <c r="C184" s="1822" t="s">
        <v>312</v>
      </c>
      <c r="D184" s="1822"/>
      <c r="E184" s="1822"/>
      <c r="F184" s="562"/>
      <c r="G184" s="562"/>
      <c r="H184" s="562"/>
      <c r="I184" s="562"/>
      <c r="J184" s="604">
        <v>2.0699999999999998</v>
      </c>
      <c r="K184" s="562" t="s">
        <v>313</v>
      </c>
      <c r="L184" s="604">
        <v>279.45</v>
      </c>
      <c r="M184" s="603"/>
      <c r="N184" s="602"/>
      <c r="Z184" s="537" t="s">
        <v>312</v>
      </c>
    </row>
    <row r="185" spans="1:29" s="536" customFormat="1" x14ac:dyDescent="0.2">
      <c r="A185" s="605"/>
      <c r="B185" s="552" t="s">
        <v>188</v>
      </c>
      <c r="C185" s="1822" t="s">
        <v>475</v>
      </c>
      <c r="D185" s="1822"/>
      <c r="E185" s="1822"/>
      <c r="F185" s="562"/>
      <c r="G185" s="562"/>
      <c r="H185" s="562"/>
      <c r="I185" s="562"/>
      <c r="J185" s="604">
        <v>0.04</v>
      </c>
      <c r="K185" s="562"/>
      <c r="L185" s="604">
        <v>4.32</v>
      </c>
      <c r="M185" s="603"/>
      <c r="N185" s="602"/>
      <c r="Z185" s="537" t="s">
        <v>475</v>
      </c>
    </row>
    <row r="186" spans="1:29" s="536" customFormat="1" x14ac:dyDescent="0.2">
      <c r="A186" s="605"/>
      <c r="B186" s="552"/>
      <c r="C186" s="1822" t="s">
        <v>314</v>
      </c>
      <c r="D186" s="1822"/>
      <c r="E186" s="1822"/>
      <c r="F186" s="562" t="s">
        <v>315</v>
      </c>
      <c r="G186" s="562" t="s">
        <v>2440</v>
      </c>
      <c r="H186" s="562" t="s">
        <v>313</v>
      </c>
      <c r="I186" s="562" t="s">
        <v>8351</v>
      </c>
      <c r="J186" s="604"/>
      <c r="K186" s="562"/>
      <c r="L186" s="604"/>
      <c r="M186" s="603"/>
      <c r="N186" s="602"/>
      <c r="AA186" s="537" t="s">
        <v>314</v>
      </c>
    </row>
    <row r="187" spans="1:29" s="536" customFormat="1" x14ac:dyDescent="0.2">
      <c r="A187" s="605"/>
      <c r="B187" s="552"/>
      <c r="C187" s="1828" t="s">
        <v>318</v>
      </c>
      <c r="D187" s="1828"/>
      <c r="E187" s="1828"/>
      <c r="F187" s="608"/>
      <c r="G187" s="608"/>
      <c r="H187" s="608"/>
      <c r="I187" s="608"/>
      <c r="J187" s="607">
        <v>2.11</v>
      </c>
      <c r="K187" s="608"/>
      <c r="L187" s="607">
        <v>283.77</v>
      </c>
      <c r="M187" s="601"/>
      <c r="N187" s="606"/>
      <c r="AB187" s="537" t="s">
        <v>318</v>
      </c>
    </row>
    <row r="188" spans="1:29" s="536" customFormat="1" x14ac:dyDescent="0.2">
      <c r="A188" s="605"/>
      <c r="B188" s="552"/>
      <c r="C188" s="1822" t="s">
        <v>319</v>
      </c>
      <c r="D188" s="1822"/>
      <c r="E188" s="1822"/>
      <c r="F188" s="562"/>
      <c r="G188" s="562"/>
      <c r="H188" s="562"/>
      <c r="I188" s="562"/>
      <c r="J188" s="604"/>
      <c r="K188" s="562"/>
      <c r="L188" s="604">
        <v>279.45</v>
      </c>
      <c r="M188" s="603"/>
      <c r="N188" s="602"/>
      <c r="AA188" s="537" t="s">
        <v>319</v>
      </c>
    </row>
    <row r="189" spans="1:29" s="536" customFormat="1" ht="33.75" x14ac:dyDescent="0.2">
      <c r="A189" s="605"/>
      <c r="B189" s="552" t="s">
        <v>948</v>
      </c>
      <c r="C189" s="1822" t="s">
        <v>949</v>
      </c>
      <c r="D189" s="1822"/>
      <c r="E189" s="1822"/>
      <c r="F189" s="562" t="s">
        <v>322</v>
      </c>
      <c r="G189" s="562" t="s">
        <v>886</v>
      </c>
      <c r="H189" s="562"/>
      <c r="I189" s="562" t="s">
        <v>886</v>
      </c>
      <c r="J189" s="604"/>
      <c r="K189" s="562"/>
      <c r="L189" s="604">
        <v>251.51</v>
      </c>
      <c r="M189" s="603"/>
      <c r="N189" s="602"/>
      <c r="AA189" s="537" t="s">
        <v>949</v>
      </c>
    </row>
    <row r="190" spans="1:29" s="536" customFormat="1" ht="33.75" x14ac:dyDescent="0.2">
      <c r="A190" s="605"/>
      <c r="B190" s="552" t="s">
        <v>950</v>
      </c>
      <c r="C190" s="1822" t="s">
        <v>951</v>
      </c>
      <c r="D190" s="1822"/>
      <c r="E190" s="1822"/>
      <c r="F190" s="562" t="s">
        <v>322</v>
      </c>
      <c r="G190" s="562" t="s">
        <v>465</v>
      </c>
      <c r="H190" s="562"/>
      <c r="I190" s="562" t="s">
        <v>465</v>
      </c>
      <c r="J190" s="604"/>
      <c r="K190" s="562"/>
      <c r="L190" s="604">
        <v>128.55000000000001</v>
      </c>
      <c r="M190" s="603"/>
      <c r="N190" s="602"/>
      <c r="AA190" s="537" t="s">
        <v>951</v>
      </c>
    </row>
    <row r="191" spans="1:29" s="536" customFormat="1" x14ac:dyDescent="0.2">
      <c r="A191" s="569"/>
      <c r="B191" s="671"/>
      <c r="C191" s="1823" t="s">
        <v>327</v>
      </c>
      <c r="D191" s="1823"/>
      <c r="E191" s="1823"/>
      <c r="F191" s="573"/>
      <c r="G191" s="573"/>
      <c r="H191" s="573"/>
      <c r="I191" s="573"/>
      <c r="J191" s="572"/>
      <c r="K191" s="573"/>
      <c r="L191" s="572">
        <v>663.83</v>
      </c>
      <c r="M191" s="601"/>
      <c r="N191" s="570"/>
      <c r="AC191" s="537" t="s">
        <v>327</v>
      </c>
    </row>
    <row r="192" spans="1:29" s="536" customFormat="1" ht="33.75" x14ac:dyDescent="0.2">
      <c r="A192" s="575" t="s">
        <v>759</v>
      </c>
      <c r="B192" s="670" t="s">
        <v>8352</v>
      </c>
      <c r="C192" s="1823" t="s">
        <v>8353</v>
      </c>
      <c r="D192" s="1823"/>
      <c r="E192" s="1823"/>
      <c r="F192" s="573" t="s">
        <v>628</v>
      </c>
      <c r="G192" s="573"/>
      <c r="H192" s="573"/>
      <c r="I192" s="573" t="s">
        <v>759</v>
      </c>
      <c r="J192" s="572">
        <v>482.62</v>
      </c>
      <c r="K192" s="573" t="s">
        <v>716</v>
      </c>
      <c r="L192" s="572">
        <v>1538.34</v>
      </c>
      <c r="M192" s="571">
        <v>8.32</v>
      </c>
      <c r="N192" s="570">
        <v>12799</v>
      </c>
      <c r="W192" s="537" t="s">
        <v>8353</v>
      </c>
    </row>
    <row r="193" spans="1:31" s="536" customFormat="1" x14ac:dyDescent="0.2">
      <c r="A193" s="569"/>
      <c r="B193" s="671"/>
      <c r="C193" s="665" t="s">
        <v>1658</v>
      </c>
      <c r="D193" s="666"/>
      <c r="E193" s="666"/>
      <c r="F193" s="563"/>
      <c r="G193" s="563"/>
      <c r="H193" s="563"/>
      <c r="I193" s="563"/>
      <c r="J193" s="566"/>
      <c r="K193" s="563"/>
      <c r="L193" s="566"/>
      <c r="M193" s="565"/>
      <c r="N193" s="564"/>
    </row>
    <row r="194" spans="1:31" s="536" customFormat="1" ht="22.5" x14ac:dyDescent="0.2">
      <c r="A194" s="609"/>
      <c r="B194" s="552" t="s">
        <v>718</v>
      </c>
      <c r="C194" s="1822" t="s">
        <v>719</v>
      </c>
      <c r="D194" s="1822"/>
      <c r="E194" s="1822"/>
      <c r="F194" s="1822"/>
      <c r="G194" s="1822"/>
      <c r="H194" s="1822"/>
      <c r="I194" s="1822"/>
      <c r="J194" s="1822"/>
      <c r="K194" s="1822"/>
      <c r="L194" s="1822"/>
      <c r="M194" s="1822"/>
      <c r="N194" s="1827"/>
      <c r="Y194" s="537" t="s">
        <v>719</v>
      </c>
    </row>
    <row r="195" spans="1:31" s="536" customFormat="1" ht="33.75" x14ac:dyDescent="0.2">
      <c r="A195" s="575" t="s">
        <v>917</v>
      </c>
      <c r="B195" s="670" t="s">
        <v>8354</v>
      </c>
      <c r="C195" s="1823" t="s">
        <v>8355</v>
      </c>
      <c r="D195" s="1823"/>
      <c r="E195" s="1823"/>
      <c r="F195" s="573" t="s">
        <v>628</v>
      </c>
      <c r="G195" s="573"/>
      <c r="H195" s="573"/>
      <c r="I195" s="573" t="s">
        <v>759</v>
      </c>
      <c r="J195" s="572">
        <v>445.77</v>
      </c>
      <c r="K195" s="573" t="s">
        <v>716</v>
      </c>
      <c r="L195" s="572">
        <v>1420.91</v>
      </c>
      <c r="M195" s="571">
        <v>8.32</v>
      </c>
      <c r="N195" s="570">
        <v>11822</v>
      </c>
      <c r="W195" s="537" t="s">
        <v>8355</v>
      </c>
    </row>
    <row r="196" spans="1:31" s="536" customFormat="1" x14ac:dyDescent="0.2">
      <c r="A196" s="569"/>
      <c r="B196" s="671"/>
      <c r="C196" s="665" t="s">
        <v>1658</v>
      </c>
      <c r="D196" s="666"/>
      <c r="E196" s="666"/>
      <c r="F196" s="563"/>
      <c r="G196" s="563"/>
      <c r="H196" s="563"/>
      <c r="I196" s="563"/>
      <c r="J196" s="566"/>
      <c r="K196" s="563"/>
      <c r="L196" s="566"/>
      <c r="M196" s="565"/>
      <c r="N196" s="564"/>
    </row>
    <row r="197" spans="1:31" s="536" customFormat="1" ht="22.5" x14ac:dyDescent="0.2">
      <c r="A197" s="609"/>
      <c r="B197" s="552" t="s">
        <v>718</v>
      </c>
      <c r="C197" s="1822" t="s">
        <v>719</v>
      </c>
      <c r="D197" s="1822"/>
      <c r="E197" s="1822"/>
      <c r="F197" s="1822"/>
      <c r="G197" s="1822"/>
      <c r="H197" s="1822"/>
      <c r="I197" s="1822"/>
      <c r="J197" s="1822"/>
      <c r="K197" s="1822"/>
      <c r="L197" s="1822"/>
      <c r="M197" s="1822"/>
      <c r="N197" s="1827"/>
      <c r="Y197" s="537" t="s">
        <v>719</v>
      </c>
    </row>
    <row r="198" spans="1:31" s="536" customFormat="1" ht="33.75" x14ac:dyDescent="0.2">
      <c r="A198" s="575" t="s">
        <v>761</v>
      </c>
      <c r="B198" s="670" t="s">
        <v>8356</v>
      </c>
      <c r="C198" s="1823" t="s">
        <v>3169</v>
      </c>
      <c r="D198" s="1823"/>
      <c r="E198" s="1823"/>
      <c r="F198" s="573" t="s">
        <v>628</v>
      </c>
      <c r="G198" s="573"/>
      <c r="H198" s="573"/>
      <c r="I198" s="573" t="s">
        <v>186</v>
      </c>
      <c r="J198" s="572">
        <v>171.14</v>
      </c>
      <c r="K198" s="573" t="s">
        <v>716</v>
      </c>
      <c r="L198" s="572">
        <v>41.95</v>
      </c>
      <c r="M198" s="571">
        <v>8.32</v>
      </c>
      <c r="N198" s="570">
        <v>349</v>
      </c>
      <c r="W198" s="537" t="s">
        <v>3169</v>
      </c>
    </row>
    <row r="199" spans="1:31" s="536" customFormat="1" x14ac:dyDescent="0.2">
      <c r="A199" s="569"/>
      <c r="B199" s="671"/>
      <c r="C199" s="665" t="s">
        <v>1658</v>
      </c>
      <c r="D199" s="666"/>
      <c r="E199" s="666"/>
      <c r="F199" s="563"/>
      <c r="G199" s="563"/>
      <c r="H199" s="563"/>
      <c r="I199" s="563"/>
      <c r="J199" s="566"/>
      <c r="K199" s="563"/>
      <c r="L199" s="566"/>
      <c r="M199" s="565"/>
      <c r="N199" s="564"/>
    </row>
    <row r="200" spans="1:31" s="536" customFormat="1" ht="22.5" x14ac:dyDescent="0.2">
      <c r="A200" s="609"/>
      <c r="B200" s="552" t="s">
        <v>718</v>
      </c>
      <c r="C200" s="1822" t="s">
        <v>719</v>
      </c>
      <c r="D200" s="1822"/>
      <c r="E200" s="1822"/>
      <c r="F200" s="1822"/>
      <c r="G200" s="1822"/>
      <c r="H200" s="1822"/>
      <c r="I200" s="1822"/>
      <c r="J200" s="1822"/>
      <c r="K200" s="1822"/>
      <c r="L200" s="1822"/>
      <c r="M200" s="1822"/>
      <c r="N200" s="1827"/>
      <c r="Y200" s="537" t="s">
        <v>719</v>
      </c>
    </row>
    <row r="201" spans="1:31" s="536" customFormat="1" ht="22.5" x14ac:dyDescent="0.2">
      <c r="A201" s="575" t="s">
        <v>762</v>
      </c>
      <c r="B201" s="670" t="s">
        <v>8357</v>
      </c>
      <c r="C201" s="1823" t="s">
        <v>8358</v>
      </c>
      <c r="D201" s="1823"/>
      <c r="E201" s="1823"/>
      <c r="F201" s="573" t="s">
        <v>307</v>
      </c>
      <c r="G201" s="573"/>
      <c r="H201" s="573"/>
      <c r="I201" s="573" t="s">
        <v>8359</v>
      </c>
      <c r="J201" s="572">
        <v>343.28</v>
      </c>
      <c r="K201" s="573"/>
      <c r="L201" s="572">
        <v>521.79</v>
      </c>
      <c r="M201" s="571"/>
      <c r="N201" s="570"/>
      <c r="W201" s="537" t="s">
        <v>8358</v>
      </c>
    </row>
    <row r="202" spans="1:31" s="536" customFormat="1" x14ac:dyDescent="0.2">
      <c r="A202" s="569"/>
      <c r="B202" s="671"/>
      <c r="C202" s="665" t="s">
        <v>1658</v>
      </c>
      <c r="D202" s="666"/>
      <c r="E202" s="666"/>
      <c r="F202" s="563"/>
      <c r="G202" s="563"/>
      <c r="H202" s="563"/>
      <c r="I202" s="563"/>
      <c r="J202" s="566"/>
      <c r="K202" s="563"/>
      <c r="L202" s="566"/>
      <c r="M202" s="565"/>
      <c r="N202" s="564"/>
    </row>
    <row r="203" spans="1:31" s="536" customFormat="1" x14ac:dyDescent="0.2">
      <c r="A203" s="676"/>
      <c r="B203" s="664"/>
      <c r="C203" s="1822" t="s">
        <v>8360</v>
      </c>
      <c r="D203" s="1822"/>
      <c r="E203" s="1822"/>
      <c r="F203" s="1822"/>
      <c r="G203" s="1822"/>
      <c r="H203" s="1822"/>
      <c r="I203" s="1822"/>
      <c r="J203" s="1822"/>
      <c r="K203" s="1822"/>
      <c r="L203" s="1822"/>
      <c r="M203" s="1822"/>
      <c r="N203" s="1827"/>
      <c r="X203" s="537" t="s">
        <v>8360</v>
      </c>
    </row>
    <row r="204" spans="1:31" s="536" customFormat="1" ht="1.5" customHeight="1" x14ac:dyDescent="0.2">
      <c r="A204" s="563"/>
      <c r="B204" s="671"/>
      <c r="C204" s="671"/>
      <c r="D204" s="671"/>
      <c r="E204" s="671"/>
      <c r="F204" s="563"/>
      <c r="G204" s="563"/>
      <c r="H204" s="563"/>
      <c r="I204" s="563"/>
      <c r="J204" s="546"/>
      <c r="K204" s="563"/>
      <c r="L204" s="546"/>
      <c r="M204" s="562"/>
      <c r="N204" s="546"/>
    </row>
    <row r="205" spans="1:31" s="536" customFormat="1" ht="2.25" customHeight="1" x14ac:dyDescent="0.2">
      <c r="B205" s="561"/>
      <c r="C205" s="561"/>
      <c r="D205" s="561"/>
      <c r="E205" s="561"/>
      <c r="F205" s="561"/>
      <c r="G205" s="561"/>
      <c r="H205" s="561"/>
      <c r="I205" s="561"/>
      <c r="J205" s="561"/>
      <c r="K205" s="561"/>
      <c r="L205" s="560"/>
      <c r="M205" s="559"/>
      <c r="N205" s="558"/>
    </row>
    <row r="206" spans="1:31" s="536" customFormat="1" x14ac:dyDescent="0.2">
      <c r="A206" s="557"/>
      <c r="B206" s="556"/>
      <c r="C206" s="1823" t="s">
        <v>205</v>
      </c>
      <c r="D206" s="1823"/>
      <c r="E206" s="1823"/>
      <c r="F206" s="1823"/>
      <c r="G206" s="1823"/>
      <c r="H206" s="1823"/>
      <c r="I206" s="1823"/>
      <c r="J206" s="1823"/>
      <c r="K206" s="1823"/>
      <c r="L206" s="555"/>
      <c r="M206" s="554"/>
      <c r="N206" s="553"/>
      <c r="AD206" s="537" t="s">
        <v>205</v>
      </c>
    </row>
    <row r="207" spans="1:31" s="536" customFormat="1" x14ac:dyDescent="0.2">
      <c r="A207" s="548"/>
      <c r="B207" s="552"/>
      <c r="C207" s="1822" t="s">
        <v>403</v>
      </c>
      <c r="D207" s="1822"/>
      <c r="E207" s="1822"/>
      <c r="F207" s="1822"/>
      <c r="G207" s="1822"/>
      <c r="H207" s="1822"/>
      <c r="I207" s="1822"/>
      <c r="J207" s="1822"/>
      <c r="K207" s="1822"/>
      <c r="L207" s="551">
        <v>59574.239999999998</v>
      </c>
      <c r="M207" s="550"/>
      <c r="N207" s="549"/>
      <c r="AE207" s="537" t="s">
        <v>403</v>
      </c>
    </row>
    <row r="208" spans="1:31" s="536" customFormat="1" x14ac:dyDescent="0.2">
      <c r="A208" s="548"/>
      <c r="B208" s="552"/>
      <c r="C208" s="1822" t="s">
        <v>204</v>
      </c>
      <c r="D208" s="1822"/>
      <c r="E208" s="1822"/>
      <c r="F208" s="1822"/>
      <c r="G208" s="1822"/>
      <c r="H208" s="1822"/>
      <c r="I208" s="1822"/>
      <c r="J208" s="1822"/>
      <c r="K208" s="1822"/>
      <c r="L208" s="551"/>
      <c r="M208" s="550"/>
      <c r="N208" s="549"/>
      <c r="AE208" s="537" t="s">
        <v>204</v>
      </c>
    </row>
    <row r="209" spans="1:32" s="536" customFormat="1" x14ac:dyDescent="0.2">
      <c r="A209" s="548"/>
      <c r="B209" s="552"/>
      <c r="C209" s="1822" t="s">
        <v>404</v>
      </c>
      <c r="D209" s="1822"/>
      <c r="E209" s="1822"/>
      <c r="F209" s="1822"/>
      <c r="G209" s="1822"/>
      <c r="H209" s="1822"/>
      <c r="I209" s="1822"/>
      <c r="J209" s="1822"/>
      <c r="K209" s="1822"/>
      <c r="L209" s="551">
        <v>8472.5</v>
      </c>
      <c r="M209" s="550"/>
      <c r="N209" s="549"/>
      <c r="AE209" s="537" t="s">
        <v>404</v>
      </c>
    </row>
    <row r="210" spans="1:32" s="536" customFormat="1" x14ac:dyDescent="0.2">
      <c r="A210" s="548"/>
      <c r="B210" s="552"/>
      <c r="C210" s="1822" t="s">
        <v>405</v>
      </c>
      <c r="D210" s="1822"/>
      <c r="E210" s="1822"/>
      <c r="F210" s="1822"/>
      <c r="G210" s="1822"/>
      <c r="H210" s="1822"/>
      <c r="I210" s="1822"/>
      <c r="J210" s="1822"/>
      <c r="K210" s="1822"/>
      <c r="L210" s="551">
        <v>2407.58</v>
      </c>
      <c r="M210" s="550"/>
      <c r="N210" s="549"/>
      <c r="AE210" s="537" t="s">
        <v>405</v>
      </c>
    </row>
    <row r="211" spans="1:32" s="536" customFormat="1" x14ac:dyDescent="0.2">
      <c r="A211" s="548"/>
      <c r="B211" s="552"/>
      <c r="C211" s="1822" t="s">
        <v>406</v>
      </c>
      <c r="D211" s="1822"/>
      <c r="E211" s="1822"/>
      <c r="F211" s="1822"/>
      <c r="G211" s="1822"/>
      <c r="H211" s="1822"/>
      <c r="I211" s="1822"/>
      <c r="J211" s="1822"/>
      <c r="K211" s="1822"/>
      <c r="L211" s="551">
        <v>260.08</v>
      </c>
      <c r="M211" s="550"/>
      <c r="N211" s="549"/>
      <c r="AE211" s="537" t="s">
        <v>406</v>
      </c>
    </row>
    <row r="212" spans="1:32" s="536" customFormat="1" x14ac:dyDescent="0.2">
      <c r="A212" s="548"/>
      <c r="B212" s="552"/>
      <c r="C212" s="1822" t="s">
        <v>480</v>
      </c>
      <c r="D212" s="1822"/>
      <c r="E212" s="1822"/>
      <c r="F212" s="1822"/>
      <c r="G212" s="1822"/>
      <c r="H212" s="1822"/>
      <c r="I212" s="1822"/>
      <c r="J212" s="1822"/>
      <c r="K212" s="1822"/>
      <c r="L212" s="551">
        <v>48694.16</v>
      </c>
      <c r="M212" s="550"/>
      <c r="N212" s="549"/>
      <c r="AE212" s="537" t="s">
        <v>480</v>
      </c>
    </row>
    <row r="213" spans="1:32" s="536" customFormat="1" x14ac:dyDescent="0.2">
      <c r="A213" s="548"/>
      <c r="B213" s="552" t="s">
        <v>185</v>
      </c>
      <c r="C213" s="1822" t="s">
        <v>753</v>
      </c>
      <c r="D213" s="1822"/>
      <c r="E213" s="1822"/>
      <c r="F213" s="1822"/>
      <c r="G213" s="1822"/>
      <c r="H213" s="1822"/>
      <c r="I213" s="1822"/>
      <c r="J213" s="1822"/>
      <c r="K213" s="1822"/>
      <c r="L213" s="551">
        <v>71953.850000000006</v>
      </c>
      <c r="M213" s="550">
        <v>8.32</v>
      </c>
      <c r="N213" s="549">
        <v>598656</v>
      </c>
      <c r="AE213" s="537" t="s">
        <v>753</v>
      </c>
    </row>
    <row r="214" spans="1:32" s="536" customFormat="1" x14ac:dyDescent="0.2">
      <c r="A214" s="548"/>
      <c r="B214" s="552"/>
      <c r="C214" s="1822" t="s">
        <v>204</v>
      </c>
      <c r="D214" s="1822"/>
      <c r="E214" s="1822"/>
      <c r="F214" s="1822"/>
      <c r="G214" s="1822"/>
      <c r="H214" s="1822"/>
      <c r="I214" s="1822"/>
      <c r="J214" s="1822"/>
      <c r="K214" s="1822"/>
      <c r="L214" s="551"/>
      <c r="M214" s="550"/>
      <c r="N214" s="549"/>
      <c r="AE214" s="537" t="s">
        <v>204</v>
      </c>
    </row>
    <row r="215" spans="1:32" s="536" customFormat="1" x14ac:dyDescent="0.2">
      <c r="A215" s="548"/>
      <c r="B215" s="552"/>
      <c r="C215" s="1822" t="s">
        <v>546</v>
      </c>
      <c r="D215" s="1822"/>
      <c r="E215" s="1822"/>
      <c r="F215" s="1822"/>
      <c r="G215" s="1822"/>
      <c r="H215" s="1822"/>
      <c r="I215" s="1822"/>
      <c r="J215" s="1822"/>
      <c r="K215" s="1822"/>
      <c r="L215" s="551">
        <v>8472.5</v>
      </c>
      <c r="M215" s="550"/>
      <c r="N215" s="549"/>
      <c r="AE215" s="537" t="s">
        <v>546</v>
      </c>
    </row>
    <row r="216" spans="1:32" s="536" customFormat="1" x14ac:dyDescent="0.2">
      <c r="A216" s="548"/>
      <c r="B216" s="552"/>
      <c r="C216" s="1822" t="s">
        <v>442</v>
      </c>
      <c r="D216" s="1822"/>
      <c r="E216" s="1822"/>
      <c r="F216" s="1822"/>
      <c r="G216" s="1822"/>
      <c r="H216" s="1822"/>
      <c r="I216" s="1822"/>
      <c r="J216" s="1822"/>
      <c r="K216" s="1822"/>
      <c r="L216" s="551">
        <v>2407.58</v>
      </c>
      <c r="M216" s="550"/>
      <c r="N216" s="549"/>
      <c r="AE216" s="537" t="s">
        <v>442</v>
      </c>
    </row>
    <row r="217" spans="1:32" s="536" customFormat="1" x14ac:dyDescent="0.2">
      <c r="A217" s="548"/>
      <c r="B217" s="552"/>
      <c r="C217" s="1822" t="s">
        <v>547</v>
      </c>
      <c r="D217" s="1822"/>
      <c r="E217" s="1822"/>
      <c r="F217" s="1822"/>
      <c r="G217" s="1822"/>
      <c r="H217" s="1822"/>
      <c r="I217" s="1822"/>
      <c r="J217" s="1822"/>
      <c r="K217" s="1822"/>
      <c r="L217" s="551">
        <v>48694.16</v>
      </c>
      <c r="M217" s="550"/>
      <c r="N217" s="549"/>
      <c r="AE217" s="537" t="s">
        <v>547</v>
      </c>
    </row>
    <row r="218" spans="1:32" s="536" customFormat="1" x14ac:dyDescent="0.2">
      <c r="A218" s="548"/>
      <c r="B218" s="552"/>
      <c r="C218" s="1822" t="s">
        <v>443</v>
      </c>
      <c r="D218" s="1822"/>
      <c r="E218" s="1822"/>
      <c r="F218" s="1822"/>
      <c r="G218" s="1822"/>
      <c r="H218" s="1822"/>
      <c r="I218" s="1822"/>
      <c r="J218" s="1822"/>
      <c r="K218" s="1822"/>
      <c r="L218" s="551">
        <v>8152.91</v>
      </c>
      <c r="M218" s="550"/>
      <c r="N218" s="549"/>
      <c r="AE218" s="537" t="s">
        <v>443</v>
      </c>
    </row>
    <row r="219" spans="1:32" s="536" customFormat="1" x14ac:dyDescent="0.2">
      <c r="A219" s="548"/>
      <c r="B219" s="552"/>
      <c r="C219" s="1822" t="s">
        <v>444</v>
      </c>
      <c r="D219" s="1822"/>
      <c r="E219" s="1822"/>
      <c r="F219" s="1822"/>
      <c r="G219" s="1822"/>
      <c r="H219" s="1822"/>
      <c r="I219" s="1822"/>
      <c r="J219" s="1822"/>
      <c r="K219" s="1822"/>
      <c r="L219" s="551">
        <v>4226.7</v>
      </c>
      <c r="M219" s="550"/>
      <c r="N219" s="549"/>
      <c r="AE219" s="537" t="s">
        <v>444</v>
      </c>
    </row>
    <row r="220" spans="1:32" s="536" customFormat="1" x14ac:dyDescent="0.2">
      <c r="A220" s="548"/>
      <c r="B220" s="552" t="s">
        <v>186</v>
      </c>
      <c r="C220" s="1822" t="s">
        <v>754</v>
      </c>
      <c r="D220" s="1822"/>
      <c r="E220" s="1822"/>
      <c r="F220" s="1822"/>
      <c r="G220" s="1822"/>
      <c r="H220" s="1822"/>
      <c r="I220" s="1822"/>
      <c r="J220" s="1822"/>
      <c r="K220" s="1822"/>
      <c r="L220" s="551">
        <v>965736.62</v>
      </c>
      <c r="M220" s="550">
        <v>4.59</v>
      </c>
      <c r="N220" s="549">
        <v>4432731</v>
      </c>
      <c r="AE220" s="537" t="s">
        <v>754</v>
      </c>
    </row>
    <row r="221" spans="1:32" s="536" customFormat="1" x14ac:dyDescent="0.2">
      <c r="A221" s="548"/>
      <c r="B221" s="552"/>
      <c r="C221" s="1822" t="s">
        <v>415</v>
      </c>
      <c r="D221" s="1822"/>
      <c r="E221" s="1822"/>
      <c r="F221" s="1822"/>
      <c r="G221" s="1822"/>
      <c r="H221" s="1822"/>
      <c r="I221" s="1822"/>
      <c r="J221" s="1822"/>
      <c r="K221" s="1822"/>
      <c r="L221" s="551">
        <v>8732.58</v>
      </c>
      <c r="M221" s="550"/>
      <c r="N221" s="549"/>
      <c r="AE221" s="537" t="s">
        <v>415</v>
      </c>
    </row>
    <row r="222" spans="1:32" s="536" customFormat="1" x14ac:dyDescent="0.2">
      <c r="A222" s="548"/>
      <c r="B222" s="552"/>
      <c r="C222" s="1822" t="s">
        <v>416</v>
      </c>
      <c r="D222" s="1822"/>
      <c r="E222" s="1822"/>
      <c r="F222" s="1822"/>
      <c r="G222" s="1822"/>
      <c r="H222" s="1822"/>
      <c r="I222" s="1822"/>
      <c r="J222" s="1822"/>
      <c r="K222" s="1822"/>
      <c r="L222" s="551">
        <v>8152.91</v>
      </c>
      <c r="M222" s="550"/>
      <c r="N222" s="549"/>
      <c r="AE222" s="537" t="s">
        <v>416</v>
      </c>
    </row>
    <row r="223" spans="1:32" s="536" customFormat="1" x14ac:dyDescent="0.2">
      <c r="A223" s="548"/>
      <c r="B223" s="552"/>
      <c r="C223" s="1822" t="s">
        <v>417</v>
      </c>
      <c r="D223" s="1822"/>
      <c r="E223" s="1822"/>
      <c r="F223" s="1822"/>
      <c r="G223" s="1822"/>
      <c r="H223" s="1822"/>
      <c r="I223" s="1822"/>
      <c r="J223" s="1822"/>
      <c r="K223" s="1822"/>
      <c r="L223" s="551">
        <v>4226.7</v>
      </c>
      <c r="M223" s="550"/>
      <c r="N223" s="549"/>
      <c r="AE223" s="537" t="s">
        <v>417</v>
      </c>
    </row>
    <row r="224" spans="1:32" s="536" customFormat="1" x14ac:dyDescent="0.2">
      <c r="A224" s="548"/>
      <c r="B224" s="546"/>
      <c r="C224" s="1819" t="s">
        <v>206</v>
      </c>
      <c r="D224" s="1819"/>
      <c r="E224" s="1819"/>
      <c r="F224" s="1819"/>
      <c r="G224" s="1819"/>
      <c r="H224" s="1819"/>
      <c r="I224" s="1819"/>
      <c r="J224" s="1819"/>
      <c r="K224" s="1819"/>
      <c r="L224" s="544">
        <v>1037690.47</v>
      </c>
      <c r="M224" s="543"/>
      <c r="N224" s="547">
        <v>5031387</v>
      </c>
      <c r="AF224" s="537" t="s">
        <v>206</v>
      </c>
    </row>
    <row r="225" spans="1:33" x14ac:dyDescent="0.2">
      <c r="A225" s="548"/>
      <c r="B225" s="552"/>
      <c r="C225" s="1822" t="s">
        <v>204</v>
      </c>
      <c r="D225" s="1822"/>
      <c r="E225" s="1822"/>
      <c r="F225" s="1822"/>
      <c r="G225" s="1822"/>
      <c r="H225" s="1822"/>
      <c r="I225" s="1822"/>
      <c r="J225" s="1822"/>
      <c r="K225" s="1822"/>
      <c r="L225" s="551"/>
      <c r="M225" s="550"/>
      <c r="N225" s="549"/>
      <c r="O225" s="536"/>
      <c r="P225" s="536"/>
      <c r="Q225" s="536"/>
      <c r="R225" s="536"/>
      <c r="S225" s="536"/>
      <c r="T225" s="536"/>
      <c r="U225" s="536"/>
      <c r="V225" s="536"/>
      <c r="W225" s="536"/>
      <c r="X225" s="536"/>
      <c r="Y225" s="536"/>
      <c r="Z225" s="536"/>
      <c r="AA225" s="536"/>
      <c r="AB225" s="536"/>
      <c r="AC225" s="536"/>
      <c r="AD225" s="536"/>
      <c r="AE225" s="537" t="s">
        <v>204</v>
      </c>
      <c r="AF225" s="536"/>
      <c r="AG225" s="536"/>
    </row>
    <row r="226" spans="1:33" x14ac:dyDescent="0.2">
      <c r="A226" s="548"/>
      <c r="B226" s="552"/>
      <c r="C226" s="1822" t="s">
        <v>8095</v>
      </c>
      <c r="D226" s="1822"/>
      <c r="E226" s="1822"/>
      <c r="F226" s="1822"/>
      <c r="G226" s="1822"/>
      <c r="H226" s="1822"/>
      <c r="I226" s="1822"/>
      <c r="J226" s="1822"/>
      <c r="K226" s="1822"/>
      <c r="L226" s="551">
        <v>46932.69</v>
      </c>
      <c r="M226" s="550"/>
      <c r="N226" s="549">
        <v>390480</v>
      </c>
      <c r="O226" s="536"/>
      <c r="P226" s="536"/>
      <c r="Q226" s="536"/>
      <c r="R226" s="536"/>
      <c r="S226" s="536"/>
      <c r="T226" s="536"/>
      <c r="U226" s="536"/>
      <c r="V226" s="536"/>
      <c r="W226" s="536"/>
      <c r="X226" s="536"/>
      <c r="Y226" s="536"/>
      <c r="Z226" s="536"/>
      <c r="AA226" s="536"/>
      <c r="AB226" s="536"/>
      <c r="AC226" s="536"/>
      <c r="AD226" s="536"/>
      <c r="AE226" s="537" t="s">
        <v>8095</v>
      </c>
      <c r="AF226" s="536"/>
      <c r="AG226" s="536"/>
    </row>
    <row r="227" spans="1:33" x14ac:dyDescent="0.2">
      <c r="A227" s="548"/>
      <c r="B227" s="552"/>
      <c r="C227" s="1822" t="s">
        <v>8097</v>
      </c>
      <c r="D227" s="1822"/>
      <c r="E227" s="1822"/>
      <c r="F227" s="1822"/>
      <c r="G227" s="1822"/>
      <c r="H227" s="1822"/>
      <c r="I227" s="1822"/>
      <c r="J227" s="1822"/>
      <c r="K227" s="1822"/>
      <c r="L227" s="551"/>
      <c r="M227" s="550"/>
      <c r="N227" s="549">
        <v>3387841</v>
      </c>
      <c r="O227" s="536"/>
      <c r="P227" s="536"/>
      <c r="Q227" s="536"/>
      <c r="R227" s="536"/>
      <c r="S227" s="536"/>
      <c r="T227" s="536"/>
      <c r="U227" s="536"/>
      <c r="V227" s="536"/>
      <c r="W227" s="536"/>
      <c r="X227" s="536"/>
      <c r="Y227" s="536"/>
      <c r="Z227" s="536"/>
      <c r="AA227" s="536"/>
      <c r="AB227" s="536"/>
      <c r="AC227" s="536"/>
      <c r="AD227" s="536"/>
      <c r="AE227" s="537" t="s">
        <v>8097</v>
      </c>
      <c r="AF227" s="536"/>
      <c r="AG227" s="536"/>
    </row>
    <row r="228" spans="1:33" ht="1.5" customHeight="1" x14ac:dyDescent="0.2">
      <c r="B228" s="546"/>
      <c r="C228" s="671"/>
      <c r="D228" s="671"/>
      <c r="E228" s="671"/>
      <c r="F228" s="671"/>
      <c r="G228" s="671"/>
      <c r="H228" s="671"/>
      <c r="I228" s="671"/>
      <c r="J228" s="671"/>
      <c r="K228" s="671"/>
      <c r="L228" s="544"/>
      <c r="M228" s="543"/>
      <c r="N228" s="542"/>
      <c r="O228" s="536"/>
      <c r="P228" s="536"/>
      <c r="Q228" s="536"/>
      <c r="R228" s="536"/>
      <c r="S228" s="536"/>
      <c r="T228" s="536"/>
      <c r="U228" s="536"/>
      <c r="V228" s="536"/>
      <c r="W228" s="536"/>
      <c r="X228" s="536"/>
      <c r="Y228" s="536"/>
      <c r="Z228" s="536"/>
      <c r="AA228" s="536"/>
      <c r="AB228" s="536"/>
      <c r="AC228" s="536"/>
      <c r="AD228" s="536"/>
      <c r="AE228" s="536"/>
      <c r="AF228" s="536"/>
      <c r="AG228" s="536"/>
    </row>
    <row r="229" spans="1:33" ht="53.25" customHeight="1" x14ac:dyDescent="0.2">
      <c r="A229" s="541"/>
      <c r="B229" s="541"/>
      <c r="C229" s="541"/>
      <c r="D229" s="541"/>
      <c r="E229" s="541"/>
      <c r="F229" s="541"/>
      <c r="G229" s="541"/>
      <c r="H229" s="541"/>
      <c r="I229" s="541"/>
      <c r="J229" s="541"/>
      <c r="K229" s="541"/>
      <c r="L229" s="541"/>
      <c r="M229" s="541"/>
      <c r="N229" s="541"/>
      <c r="O229" s="536"/>
      <c r="P229" s="536"/>
      <c r="Q229" s="536"/>
      <c r="R229" s="536"/>
      <c r="S229" s="536"/>
      <c r="T229" s="536"/>
      <c r="U229" s="536"/>
      <c r="V229" s="536"/>
      <c r="W229" s="536"/>
      <c r="X229" s="536"/>
      <c r="Y229" s="536"/>
      <c r="Z229" s="536"/>
      <c r="AA229" s="536"/>
      <c r="AB229" s="536"/>
      <c r="AC229" s="536"/>
      <c r="AD229" s="536"/>
      <c r="AE229" s="536"/>
      <c r="AF229" s="536"/>
      <c r="AG229" s="536"/>
    </row>
    <row r="230" spans="1:33" x14ac:dyDescent="0.2">
      <c r="B230" s="539" t="s">
        <v>149</v>
      </c>
      <c r="C230" s="1943" t="s">
        <v>207</v>
      </c>
      <c r="D230" s="1943"/>
      <c r="E230" s="1943"/>
      <c r="F230" s="1943"/>
      <c r="G230" s="1943"/>
      <c r="H230" s="1943"/>
      <c r="I230" s="1943"/>
      <c r="J230" s="1943"/>
      <c r="K230" s="1943"/>
      <c r="L230" s="1943"/>
      <c r="O230" s="536"/>
    </row>
    <row r="231" spans="1:33" ht="13.5" customHeight="1" x14ac:dyDescent="0.2">
      <c r="B231" s="540"/>
      <c r="C231" s="1821" t="s">
        <v>150</v>
      </c>
      <c r="D231" s="1821"/>
      <c r="E231" s="1821"/>
      <c r="F231" s="1821"/>
      <c r="G231" s="1821"/>
      <c r="H231" s="1821"/>
      <c r="I231" s="1821"/>
      <c r="J231" s="1821"/>
      <c r="K231" s="1821"/>
      <c r="L231" s="1821"/>
      <c r="O231" s="536"/>
    </row>
    <row r="232" spans="1:33" ht="12.75" customHeight="1" x14ac:dyDescent="0.2">
      <c r="B232" s="539" t="s">
        <v>151</v>
      </c>
      <c r="C232" s="1943" t="s">
        <v>208</v>
      </c>
      <c r="D232" s="1943"/>
      <c r="E232" s="1943"/>
      <c r="F232" s="1943"/>
      <c r="G232" s="1943"/>
      <c r="H232" s="1943"/>
      <c r="I232" s="1943"/>
      <c r="J232" s="1943"/>
      <c r="K232" s="1943"/>
      <c r="L232" s="1943"/>
      <c r="O232" s="536"/>
    </row>
    <row r="233" spans="1:33" ht="13.5" customHeight="1" x14ac:dyDescent="0.2">
      <c r="C233" s="1821" t="s">
        <v>150</v>
      </c>
      <c r="D233" s="1821"/>
      <c r="E233" s="1821"/>
      <c r="F233" s="1821"/>
      <c r="G233" s="1821"/>
      <c r="H233" s="1821"/>
      <c r="I233" s="1821"/>
      <c r="J233" s="1821"/>
      <c r="K233" s="1821"/>
      <c r="L233" s="1821"/>
      <c r="O233" s="536"/>
    </row>
    <row r="235" spans="1:33" x14ac:dyDescent="0.2">
      <c r="A235" s="1944"/>
      <c r="B235" s="1944"/>
      <c r="C235" s="1944"/>
      <c r="D235" s="1944"/>
      <c r="E235" s="1944"/>
      <c r="F235" s="1944"/>
      <c r="G235" s="1944"/>
      <c r="H235" s="1944"/>
      <c r="I235" s="1944"/>
      <c r="J235" s="1944"/>
      <c r="K235" s="1944"/>
      <c r="L235" s="1944"/>
      <c r="M235" s="1944"/>
      <c r="N235" s="1944"/>
      <c r="O235" s="536"/>
      <c r="P235" s="536"/>
      <c r="Q235" s="536"/>
      <c r="R235" s="536"/>
      <c r="S235" s="536"/>
      <c r="T235" s="536"/>
      <c r="U235" s="536"/>
      <c r="V235" s="536"/>
      <c r="W235" s="536"/>
      <c r="X235" s="536"/>
      <c r="Y235" s="536"/>
      <c r="Z235" s="536"/>
      <c r="AA235" s="536"/>
      <c r="AB235" s="536"/>
      <c r="AC235" s="536"/>
      <c r="AD235" s="536"/>
      <c r="AE235" s="536"/>
      <c r="AF235" s="536"/>
      <c r="AG235" s="537" t="s">
        <v>143</v>
      </c>
    </row>
    <row r="236" spans="1:33" x14ac:dyDescent="0.2">
      <c r="B236" s="538"/>
      <c r="D236" s="538"/>
      <c r="F236" s="538"/>
      <c r="O236" s="536"/>
      <c r="P236" s="536"/>
      <c r="Q236" s="536"/>
      <c r="R236" s="536"/>
      <c r="S236" s="536"/>
      <c r="T236" s="536"/>
      <c r="U236" s="536"/>
      <c r="V236" s="536"/>
      <c r="W236" s="536"/>
      <c r="X236" s="536"/>
      <c r="Y236" s="536"/>
      <c r="Z236" s="536"/>
      <c r="AA236" s="536"/>
      <c r="AB236" s="536"/>
      <c r="AC236" s="536"/>
      <c r="AD236" s="536"/>
      <c r="AE236" s="536"/>
      <c r="AF236" s="536"/>
      <c r="AG236" s="536"/>
    </row>
  </sheetData>
  <mergeCells count="197">
    <mergeCell ref="A235:N235"/>
    <mergeCell ref="C226:K226"/>
    <mergeCell ref="C227:K227"/>
    <mergeCell ref="C230:L230"/>
    <mergeCell ref="C231:L231"/>
    <mergeCell ref="C232:L232"/>
    <mergeCell ref="C233:L233"/>
    <mergeCell ref="C220:K220"/>
    <mergeCell ref="C221:K221"/>
    <mergeCell ref="C222:K222"/>
    <mergeCell ref="C223:K223"/>
    <mergeCell ref="C224:K224"/>
    <mergeCell ref="C225:K225"/>
    <mergeCell ref="C214:K214"/>
    <mergeCell ref="C215:K215"/>
    <mergeCell ref="C216:K216"/>
    <mergeCell ref="C217:K217"/>
    <mergeCell ref="C218:K218"/>
    <mergeCell ref="C219:K219"/>
    <mergeCell ref="C208:K208"/>
    <mergeCell ref="C209:K209"/>
    <mergeCell ref="C210:K210"/>
    <mergeCell ref="C211:K211"/>
    <mergeCell ref="C212:K212"/>
    <mergeCell ref="C213:K213"/>
    <mergeCell ref="C198:E198"/>
    <mergeCell ref="C200:N200"/>
    <mergeCell ref="C201:E201"/>
    <mergeCell ref="C203:N203"/>
    <mergeCell ref="C206:K206"/>
    <mergeCell ref="C207:K207"/>
    <mergeCell ref="C190:E190"/>
    <mergeCell ref="C191:E191"/>
    <mergeCell ref="C192:E192"/>
    <mergeCell ref="C194:N194"/>
    <mergeCell ref="C195:E195"/>
    <mergeCell ref="C197:N197"/>
    <mergeCell ref="C184:E184"/>
    <mergeCell ref="C185:E185"/>
    <mergeCell ref="C186:E186"/>
    <mergeCell ref="C187:E187"/>
    <mergeCell ref="C188:E188"/>
    <mergeCell ref="C189:E189"/>
    <mergeCell ref="C177:E177"/>
    <mergeCell ref="C179:N179"/>
    <mergeCell ref="C180:N180"/>
    <mergeCell ref="C181:E181"/>
    <mergeCell ref="C182:N182"/>
    <mergeCell ref="C183:N183"/>
    <mergeCell ref="C171:E171"/>
    <mergeCell ref="C172:E172"/>
    <mergeCell ref="C173:E173"/>
    <mergeCell ref="C174:E174"/>
    <mergeCell ref="C175:E175"/>
    <mergeCell ref="C176:E176"/>
    <mergeCell ref="C165:N165"/>
    <mergeCell ref="C166:E166"/>
    <mergeCell ref="C167:E167"/>
    <mergeCell ref="C168:E168"/>
    <mergeCell ref="C169:E169"/>
    <mergeCell ref="C170:E170"/>
    <mergeCell ref="C159:E159"/>
    <mergeCell ref="C160:E160"/>
    <mergeCell ref="C161:E161"/>
    <mergeCell ref="C162:E162"/>
    <mergeCell ref="C163:E163"/>
    <mergeCell ref="C164:N164"/>
    <mergeCell ref="C153:E153"/>
    <mergeCell ref="C154:E154"/>
    <mergeCell ref="C155:E155"/>
    <mergeCell ref="C156:E156"/>
    <mergeCell ref="C157:E157"/>
    <mergeCell ref="C158:E158"/>
    <mergeCell ref="C146:E146"/>
    <mergeCell ref="C148:N148"/>
    <mergeCell ref="C149:E149"/>
    <mergeCell ref="C150:N150"/>
    <mergeCell ref="C151:N151"/>
    <mergeCell ref="C152:E152"/>
    <mergeCell ref="C137:E137"/>
    <mergeCell ref="C139:N139"/>
    <mergeCell ref="C140:E140"/>
    <mergeCell ref="C142:N142"/>
    <mergeCell ref="C143:E143"/>
    <mergeCell ref="C145:N145"/>
    <mergeCell ref="C128:E128"/>
    <mergeCell ref="C130:N130"/>
    <mergeCell ref="C131:E131"/>
    <mergeCell ref="C133:N133"/>
    <mergeCell ref="C134:E134"/>
    <mergeCell ref="C136:N136"/>
    <mergeCell ref="C121:E121"/>
    <mergeCell ref="C122:E122"/>
    <mergeCell ref="C123:E123"/>
    <mergeCell ref="C124:E124"/>
    <mergeCell ref="C125:E125"/>
    <mergeCell ref="C127:N127"/>
    <mergeCell ref="C115:E115"/>
    <mergeCell ref="C116:N116"/>
    <mergeCell ref="C117:E117"/>
    <mergeCell ref="C118:E118"/>
    <mergeCell ref="C119:E119"/>
    <mergeCell ref="C120:E120"/>
    <mergeCell ref="C109:E109"/>
    <mergeCell ref="C110:E110"/>
    <mergeCell ref="C111:E111"/>
    <mergeCell ref="C112:E112"/>
    <mergeCell ref="C113:E113"/>
    <mergeCell ref="C114:E114"/>
    <mergeCell ref="C103:N103"/>
    <mergeCell ref="C104:E104"/>
    <mergeCell ref="C105:E105"/>
    <mergeCell ref="C106:E106"/>
    <mergeCell ref="C107:E107"/>
    <mergeCell ref="C108:E108"/>
    <mergeCell ref="C95:E95"/>
    <mergeCell ref="C96:E96"/>
    <mergeCell ref="C98:N98"/>
    <mergeCell ref="C99:E99"/>
    <mergeCell ref="C101:N101"/>
    <mergeCell ref="C102:E102"/>
    <mergeCell ref="C89:E89"/>
    <mergeCell ref="C90:E90"/>
    <mergeCell ref="C91:E91"/>
    <mergeCell ref="C92:E92"/>
    <mergeCell ref="C93:E93"/>
    <mergeCell ref="C94:E94"/>
    <mergeCell ref="C83:N83"/>
    <mergeCell ref="C84:N84"/>
    <mergeCell ref="C85:E85"/>
    <mergeCell ref="C86:E86"/>
    <mergeCell ref="C87:E87"/>
    <mergeCell ref="C88:E88"/>
    <mergeCell ref="C75:E75"/>
    <mergeCell ref="C76:E76"/>
    <mergeCell ref="C78:N78"/>
    <mergeCell ref="C79:E79"/>
    <mergeCell ref="C81:N81"/>
    <mergeCell ref="C82:E82"/>
    <mergeCell ref="C69:E69"/>
    <mergeCell ref="C70:E70"/>
    <mergeCell ref="C71:E71"/>
    <mergeCell ref="C72:E72"/>
    <mergeCell ref="C73:E73"/>
    <mergeCell ref="C74:E74"/>
    <mergeCell ref="C63:E63"/>
    <mergeCell ref="C64:N64"/>
    <mergeCell ref="C65:E65"/>
    <mergeCell ref="C66:E66"/>
    <mergeCell ref="C67:E67"/>
    <mergeCell ref="C68:E68"/>
    <mergeCell ref="C54:E54"/>
    <mergeCell ref="C56:N56"/>
    <mergeCell ref="C57:E57"/>
    <mergeCell ref="C59:N59"/>
    <mergeCell ref="C60:E60"/>
    <mergeCell ref="C62:N62"/>
    <mergeCell ref="C47:E47"/>
    <mergeCell ref="C48:E48"/>
    <mergeCell ref="C49:E49"/>
    <mergeCell ref="C50:E50"/>
    <mergeCell ref="C51:E51"/>
    <mergeCell ref="C53:N53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235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/>
  <dimension ref="A1:AH687"/>
  <sheetViews>
    <sheetView topLeftCell="A650" zoomScale="115" zoomScaleNormal="115" workbookViewId="0"/>
  </sheetViews>
  <sheetFormatPr defaultColWidth="9.140625" defaultRowHeight="11.25" customHeight="1" x14ac:dyDescent="0.25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600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4" width="110.140625" style="537" hidden="1" customWidth="1"/>
    <col min="25" max="28" width="34.140625" style="537" hidden="1" customWidth="1"/>
    <col min="29" max="29" width="110.140625" style="537" hidden="1" customWidth="1"/>
    <col min="30" max="30" width="34.140625" style="537" hidden="1" customWidth="1"/>
    <col min="31" max="33" width="84.42578125" style="537" hidden="1" customWidth="1"/>
    <col min="34" max="34" width="138.42578125" style="537" hidden="1" customWidth="1"/>
    <col min="35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159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1806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1806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8361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1821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1821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8362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1871.42</v>
      </c>
      <c r="D28" s="579" t="s">
        <v>8363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0</v>
      </c>
      <c r="D30" s="579" t="s">
        <v>171</v>
      </c>
      <c r="E30" s="665" t="s">
        <v>167</v>
      </c>
      <c r="G30" s="536" t="s">
        <v>170</v>
      </c>
      <c r="L30" s="580">
        <v>0</v>
      </c>
      <c r="M30" s="579" t="s">
        <v>8364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276.99</v>
      </c>
      <c r="D31" s="583" t="s">
        <v>8365</v>
      </c>
      <c r="E31" s="665" t="s">
        <v>167</v>
      </c>
      <c r="G31" s="536" t="s">
        <v>172</v>
      </c>
      <c r="L31" s="582"/>
      <c r="M31" s="582">
        <v>516.41999999999996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1594.42</v>
      </c>
      <c r="D32" s="583" t="s">
        <v>8366</v>
      </c>
      <c r="E32" s="665" t="s">
        <v>167</v>
      </c>
      <c r="G32" s="536" t="s">
        <v>174</v>
      </c>
      <c r="L32" s="582"/>
      <c r="M32" s="582">
        <v>13.16</v>
      </c>
      <c r="N32" s="581" t="s">
        <v>173</v>
      </c>
    </row>
    <row r="33" spans="1:27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7" s="536" customFormat="1" ht="9.75" customHeight="1" x14ac:dyDescent="0.2">
      <c r="A34" s="578"/>
    </row>
    <row r="35" spans="1:27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7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7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7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7" s="536" customFormat="1" ht="12" x14ac:dyDescent="0.2">
      <c r="A39" s="1824" t="s">
        <v>3066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537" t="s">
        <v>3066</v>
      </c>
    </row>
    <row r="40" spans="1:27" s="536" customFormat="1" ht="22.5" x14ac:dyDescent="0.2">
      <c r="A40" s="575" t="s">
        <v>185</v>
      </c>
      <c r="B40" s="670" t="s">
        <v>8367</v>
      </c>
      <c r="C40" s="1823" t="s">
        <v>8368</v>
      </c>
      <c r="D40" s="1823"/>
      <c r="E40" s="1823"/>
      <c r="F40" s="573" t="s">
        <v>617</v>
      </c>
      <c r="G40" s="573"/>
      <c r="H40" s="573"/>
      <c r="I40" s="573" t="s">
        <v>185</v>
      </c>
      <c r="J40" s="572"/>
      <c r="K40" s="573"/>
      <c r="L40" s="572"/>
      <c r="M40" s="571"/>
      <c r="N40" s="570"/>
      <c r="W40" s="537" t="s">
        <v>8368</v>
      </c>
    </row>
    <row r="41" spans="1:27" s="536" customFormat="1" ht="33.75" x14ac:dyDescent="0.2">
      <c r="A41" s="609"/>
      <c r="B41" s="552" t="s">
        <v>310</v>
      </c>
      <c r="C41" s="1822" t="s">
        <v>311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X41" s="537" t="s">
        <v>311</v>
      </c>
    </row>
    <row r="42" spans="1:27" s="536" customFormat="1" x14ac:dyDescent="0.2">
      <c r="A42" s="605"/>
      <c r="B42" s="552" t="s">
        <v>185</v>
      </c>
      <c r="C42" s="1822" t="s">
        <v>312</v>
      </c>
      <c r="D42" s="1822"/>
      <c r="E42" s="1822"/>
      <c r="F42" s="562"/>
      <c r="G42" s="562"/>
      <c r="H42" s="562"/>
      <c r="I42" s="562"/>
      <c r="J42" s="604">
        <v>69.95</v>
      </c>
      <c r="K42" s="562" t="s">
        <v>313</v>
      </c>
      <c r="L42" s="604">
        <v>87.44</v>
      </c>
      <c r="M42" s="603"/>
      <c r="N42" s="602"/>
      <c r="Y42" s="537" t="s">
        <v>312</v>
      </c>
    </row>
    <row r="43" spans="1:27" s="536" customFormat="1" x14ac:dyDescent="0.2">
      <c r="A43" s="605"/>
      <c r="B43" s="552" t="s">
        <v>186</v>
      </c>
      <c r="C43" s="1822" t="s">
        <v>344</v>
      </c>
      <c r="D43" s="1822"/>
      <c r="E43" s="1822"/>
      <c r="F43" s="562"/>
      <c r="G43" s="562"/>
      <c r="H43" s="562"/>
      <c r="I43" s="562"/>
      <c r="J43" s="604">
        <v>31.96</v>
      </c>
      <c r="K43" s="562" t="s">
        <v>313</v>
      </c>
      <c r="L43" s="604">
        <v>39.950000000000003</v>
      </c>
      <c r="M43" s="603"/>
      <c r="N43" s="602"/>
      <c r="Y43" s="537" t="s">
        <v>344</v>
      </c>
    </row>
    <row r="44" spans="1:27" s="536" customFormat="1" x14ac:dyDescent="0.2">
      <c r="A44" s="605"/>
      <c r="B44" s="552" t="s">
        <v>187</v>
      </c>
      <c r="C44" s="1822" t="s">
        <v>345</v>
      </c>
      <c r="D44" s="1822"/>
      <c r="E44" s="1822"/>
      <c r="F44" s="562"/>
      <c r="G44" s="562"/>
      <c r="H44" s="562"/>
      <c r="I44" s="562"/>
      <c r="J44" s="604">
        <v>3.32</v>
      </c>
      <c r="K44" s="562" t="s">
        <v>313</v>
      </c>
      <c r="L44" s="604">
        <v>4.1500000000000004</v>
      </c>
      <c r="M44" s="603"/>
      <c r="N44" s="602"/>
      <c r="Y44" s="537" t="s">
        <v>345</v>
      </c>
    </row>
    <row r="45" spans="1:27" s="536" customFormat="1" x14ac:dyDescent="0.2">
      <c r="A45" s="605"/>
      <c r="B45" s="552" t="s">
        <v>188</v>
      </c>
      <c r="C45" s="1822" t="s">
        <v>475</v>
      </c>
      <c r="D45" s="1822"/>
      <c r="E45" s="1822"/>
      <c r="F45" s="562"/>
      <c r="G45" s="562"/>
      <c r="H45" s="562"/>
      <c r="I45" s="562"/>
      <c r="J45" s="604">
        <v>45.17</v>
      </c>
      <c r="K45" s="562"/>
      <c r="L45" s="604">
        <v>45.17</v>
      </c>
      <c r="M45" s="603"/>
      <c r="N45" s="602"/>
      <c r="Y45" s="537" t="s">
        <v>475</v>
      </c>
    </row>
    <row r="46" spans="1:27" s="536" customFormat="1" x14ac:dyDescent="0.2">
      <c r="A46" s="605"/>
      <c r="B46" s="552"/>
      <c r="C46" s="1822" t="s">
        <v>314</v>
      </c>
      <c r="D46" s="1822"/>
      <c r="E46" s="1822"/>
      <c r="F46" s="562" t="s">
        <v>315</v>
      </c>
      <c r="G46" s="562" t="s">
        <v>8369</v>
      </c>
      <c r="H46" s="562" t="s">
        <v>313</v>
      </c>
      <c r="I46" s="562" t="s">
        <v>8370</v>
      </c>
      <c r="J46" s="604"/>
      <c r="K46" s="562"/>
      <c r="L46" s="604"/>
      <c r="M46" s="603"/>
      <c r="N46" s="602"/>
      <c r="Z46" s="537" t="s">
        <v>314</v>
      </c>
    </row>
    <row r="47" spans="1:27" s="536" customFormat="1" x14ac:dyDescent="0.2">
      <c r="A47" s="605"/>
      <c r="B47" s="552"/>
      <c r="C47" s="1822" t="s">
        <v>348</v>
      </c>
      <c r="D47" s="1822"/>
      <c r="E47" s="1822"/>
      <c r="F47" s="562" t="s">
        <v>315</v>
      </c>
      <c r="G47" s="562" t="s">
        <v>1411</v>
      </c>
      <c r="H47" s="562" t="s">
        <v>313</v>
      </c>
      <c r="I47" s="562" t="s">
        <v>8371</v>
      </c>
      <c r="J47" s="604"/>
      <c r="K47" s="562"/>
      <c r="L47" s="604"/>
      <c r="M47" s="603"/>
      <c r="N47" s="602"/>
      <c r="Z47" s="537" t="s">
        <v>348</v>
      </c>
    </row>
    <row r="48" spans="1:27" s="536" customFormat="1" x14ac:dyDescent="0.2">
      <c r="A48" s="605"/>
      <c r="B48" s="552"/>
      <c r="C48" s="1828" t="s">
        <v>318</v>
      </c>
      <c r="D48" s="1828"/>
      <c r="E48" s="1828"/>
      <c r="F48" s="608"/>
      <c r="G48" s="608"/>
      <c r="H48" s="608"/>
      <c r="I48" s="608"/>
      <c r="J48" s="607">
        <v>147.08000000000001</v>
      </c>
      <c r="K48" s="608"/>
      <c r="L48" s="607">
        <v>172.56</v>
      </c>
      <c r="M48" s="601"/>
      <c r="N48" s="606"/>
      <c r="AA48" s="537" t="s">
        <v>318</v>
      </c>
    </row>
    <row r="49" spans="1:28" s="536" customFormat="1" x14ac:dyDescent="0.2">
      <c r="A49" s="605"/>
      <c r="B49" s="552"/>
      <c r="C49" s="1822" t="s">
        <v>319</v>
      </c>
      <c r="D49" s="1822"/>
      <c r="E49" s="1822"/>
      <c r="F49" s="562"/>
      <c r="G49" s="562"/>
      <c r="H49" s="562"/>
      <c r="I49" s="562"/>
      <c r="J49" s="604"/>
      <c r="K49" s="562"/>
      <c r="L49" s="604">
        <v>91.59</v>
      </c>
      <c r="M49" s="603"/>
      <c r="N49" s="602"/>
      <c r="Z49" s="537" t="s">
        <v>319</v>
      </c>
    </row>
    <row r="50" spans="1:28" s="536" customFormat="1" ht="33.75" x14ac:dyDescent="0.2">
      <c r="A50" s="605"/>
      <c r="B50" s="552" t="s">
        <v>884</v>
      </c>
      <c r="C50" s="1822" t="s">
        <v>885</v>
      </c>
      <c r="D50" s="1822"/>
      <c r="E50" s="1822"/>
      <c r="F50" s="562" t="s">
        <v>322</v>
      </c>
      <c r="G50" s="562" t="s">
        <v>886</v>
      </c>
      <c r="H50" s="562"/>
      <c r="I50" s="562" t="s">
        <v>886</v>
      </c>
      <c r="J50" s="604"/>
      <c r="K50" s="562"/>
      <c r="L50" s="604">
        <v>82.43</v>
      </c>
      <c r="M50" s="603"/>
      <c r="N50" s="602"/>
      <c r="Z50" s="537" t="s">
        <v>885</v>
      </c>
    </row>
    <row r="51" spans="1:28" s="536" customFormat="1" ht="33.75" x14ac:dyDescent="0.2">
      <c r="A51" s="605"/>
      <c r="B51" s="552" t="s">
        <v>887</v>
      </c>
      <c r="C51" s="1822" t="s">
        <v>888</v>
      </c>
      <c r="D51" s="1822"/>
      <c r="E51" s="1822"/>
      <c r="F51" s="562" t="s">
        <v>322</v>
      </c>
      <c r="G51" s="562" t="s">
        <v>465</v>
      </c>
      <c r="H51" s="562"/>
      <c r="I51" s="562" t="s">
        <v>465</v>
      </c>
      <c r="J51" s="604"/>
      <c r="K51" s="562"/>
      <c r="L51" s="604">
        <v>42.13</v>
      </c>
      <c r="M51" s="603"/>
      <c r="N51" s="602"/>
      <c r="Z51" s="537" t="s">
        <v>888</v>
      </c>
    </row>
    <row r="52" spans="1:28" s="536" customFormat="1" x14ac:dyDescent="0.2">
      <c r="A52" s="569"/>
      <c r="B52" s="671"/>
      <c r="C52" s="1823" t="s">
        <v>327</v>
      </c>
      <c r="D52" s="1823"/>
      <c r="E52" s="1823"/>
      <c r="F52" s="573"/>
      <c r="G52" s="573"/>
      <c r="H52" s="573"/>
      <c r="I52" s="573"/>
      <c r="J52" s="572"/>
      <c r="K52" s="573"/>
      <c r="L52" s="572">
        <v>297.12</v>
      </c>
      <c r="M52" s="601"/>
      <c r="N52" s="570"/>
      <c r="AB52" s="537" t="s">
        <v>327</v>
      </c>
    </row>
    <row r="53" spans="1:28" s="536" customFormat="1" ht="45" x14ac:dyDescent="0.2">
      <c r="A53" s="575" t="s">
        <v>625</v>
      </c>
      <c r="B53" s="670" t="s">
        <v>8372</v>
      </c>
      <c r="C53" s="1823" t="s">
        <v>8373</v>
      </c>
      <c r="D53" s="1823"/>
      <c r="E53" s="1823"/>
      <c r="F53" s="573" t="s">
        <v>628</v>
      </c>
      <c r="G53" s="573"/>
      <c r="H53" s="573"/>
      <c r="I53" s="573" t="s">
        <v>185</v>
      </c>
      <c r="J53" s="572">
        <v>53562.6</v>
      </c>
      <c r="K53" s="573" t="s">
        <v>629</v>
      </c>
      <c r="L53" s="572">
        <v>11809.37</v>
      </c>
      <c r="M53" s="571">
        <v>4.59</v>
      </c>
      <c r="N53" s="570">
        <v>54205</v>
      </c>
      <c r="W53" s="537" t="s">
        <v>8373</v>
      </c>
    </row>
    <row r="54" spans="1:28" s="536" customFormat="1" x14ac:dyDescent="0.2">
      <c r="A54" s="569"/>
      <c r="B54" s="671"/>
      <c r="C54" s="665" t="s">
        <v>630</v>
      </c>
      <c r="D54" s="666"/>
      <c r="E54" s="666"/>
      <c r="F54" s="563"/>
      <c r="G54" s="563"/>
      <c r="H54" s="563"/>
      <c r="I54" s="563"/>
      <c r="J54" s="566"/>
      <c r="K54" s="563"/>
      <c r="L54" s="566"/>
      <c r="M54" s="565"/>
      <c r="N54" s="564"/>
    </row>
    <row r="55" spans="1:28" s="536" customFormat="1" ht="22.5" x14ac:dyDescent="0.2">
      <c r="A55" s="609"/>
      <c r="B55" s="552" t="s">
        <v>631</v>
      </c>
      <c r="C55" s="1822" t="s">
        <v>632</v>
      </c>
      <c r="D55" s="1822"/>
      <c r="E55" s="1822"/>
      <c r="F55" s="1822"/>
      <c r="G55" s="1822"/>
      <c r="H55" s="1822"/>
      <c r="I55" s="1822"/>
      <c r="J55" s="1822"/>
      <c r="K55" s="1822"/>
      <c r="L55" s="1822"/>
      <c r="M55" s="1822"/>
      <c r="N55" s="1827"/>
      <c r="X55" s="537" t="s">
        <v>632</v>
      </c>
    </row>
    <row r="56" spans="1:28" s="536" customFormat="1" ht="33.75" x14ac:dyDescent="0.2">
      <c r="A56" s="575" t="s">
        <v>187</v>
      </c>
      <c r="B56" s="670" t="s">
        <v>8374</v>
      </c>
      <c r="C56" s="1823" t="s">
        <v>8375</v>
      </c>
      <c r="D56" s="1823"/>
      <c r="E56" s="1823"/>
      <c r="F56" s="573" t="s">
        <v>628</v>
      </c>
      <c r="G56" s="573"/>
      <c r="H56" s="573"/>
      <c r="I56" s="573" t="s">
        <v>185</v>
      </c>
      <c r="J56" s="572">
        <v>728.33</v>
      </c>
      <c r="K56" s="573" t="s">
        <v>716</v>
      </c>
      <c r="L56" s="572">
        <v>89.3</v>
      </c>
      <c r="M56" s="571">
        <v>8.32</v>
      </c>
      <c r="N56" s="570">
        <v>743</v>
      </c>
      <c r="W56" s="537" t="s">
        <v>8375</v>
      </c>
    </row>
    <row r="57" spans="1:28" s="536" customFormat="1" x14ac:dyDescent="0.2">
      <c r="A57" s="569"/>
      <c r="B57" s="671"/>
      <c r="C57" s="665" t="s">
        <v>1658</v>
      </c>
      <c r="D57" s="666"/>
      <c r="E57" s="666"/>
      <c r="F57" s="563"/>
      <c r="G57" s="563"/>
      <c r="H57" s="563"/>
      <c r="I57" s="563"/>
      <c r="J57" s="566"/>
      <c r="K57" s="563"/>
      <c r="L57" s="566"/>
      <c r="M57" s="565"/>
      <c r="N57" s="564"/>
    </row>
    <row r="58" spans="1:28" s="536" customFormat="1" ht="22.5" x14ac:dyDescent="0.2">
      <c r="A58" s="609"/>
      <c r="B58" s="552" t="s">
        <v>718</v>
      </c>
      <c r="C58" s="1822" t="s">
        <v>719</v>
      </c>
      <c r="D58" s="1822"/>
      <c r="E58" s="1822"/>
      <c r="F58" s="1822"/>
      <c r="G58" s="1822"/>
      <c r="H58" s="1822"/>
      <c r="I58" s="1822"/>
      <c r="J58" s="1822"/>
      <c r="K58" s="1822"/>
      <c r="L58" s="1822"/>
      <c r="M58" s="1822"/>
      <c r="N58" s="1827"/>
      <c r="X58" s="537" t="s">
        <v>719</v>
      </c>
    </row>
    <row r="59" spans="1:28" s="536" customFormat="1" ht="33.75" x14ac:dyDescent="0.2">
      <c r="A59" s="575" t="s">
        <v>188</v>
      </c>
      <c r="B59" s="670" t="s">
        <v>8376</v>
      </c>
      <c r="C59" s="1823" t="s">
        <v>8377</v>
      </c>
      <c r="D59" s="1823"/>
      <c r="E59" s="1823"/>
      <c r="F59" s="573" t="s">
        <v>628</v>
      </c>
      <c r="G59" s="573"/>
      <c r="H59" s="573"/>
      <c r="I59" s="573" t="s">
        <v>185</v>
      </c>
      <c r="J59" s="572">
        <v>552.83000000000004</v>
      </c>
      <c r="K59" s="573" t="s">
        <v>716</v>
      </c>
      <c r="L59" s="572">
        <v>67.790000000000006</v>
      </c>
      <c r="M59" s="571">
        <v>8.32</v>
      </c>
      <c r="N59" s="570">
        <v>564</v>
      </c>
      <c r="W59" s="537" t="s">
        <v>8377</v>
      </c>
    </row>
    <row r="60" spans="1:28" s="536" customFormat="1" x14ac:dyDescent="0.2">
      <c r="A60" s="569"/>
      <c r="B60" s="671"/>
      <c r="C60" s="665" t="s">
        <v>1658</v>
      </c>
      <c r="D60" s="666"/>
      <c r="E60" s="666"/>
      <c r="F60" s="563"/>
      <c r="G60" s="563"/>
      <c r="H60" s="563"/>
      <c r="I60" s="563"/>
      <c r="J60" s="566"/>
      <c r="K60" s="563"/>
      <c r="L60" s="566"/>
      <c r="M60" s="565"/>
      <c r="N60" s="564"/>
    </row>
    <row r="61" spans="1:28" s="536" customFormat="1" ht="22.5" x14ac:dyDescent="0.2">
      <c r="A61" s="609"/>
      <c r="B61" s="552" t="s">
        <v>718</v>
      </c>
      <c r="C61" s="1822" t="s">
        <v>719</v>
      </c>
      <c r="D61" s="1822"/>
      <c r="E61" s="1822"/>
      <c r="F61" s="1822"/>
      <c r="G61" s="1822"/>
      <c r="H61" s="1822"/>
      <c r="I61" s="1822"/>
      <c r="J61" s="1822"/>
      <c r="K61" s="1822"/>
      <c r="L61" s="1822"/>
      <c r="M61" s="1822"/>
      <c r="N61" s="1827"/>
      <c r="X61" s="537" t="s">
        <v>719</v>
      </c>
    </row>
    <row r="62" spans="1:28" s="536" customFormat="1" x14ac:dyDescent="0.2">
      <c r="A62" s="575" t="s">
        <v>189</v>
      </c>
      <c r="B62" s="670" t="s">
        <v>8378</v>
      </c>
      <c r="C62" s="1823" t="s">
        <v>8379</v>
      </c>
      <c r="D62" s="1823"/>
      <c r="E62" s="1823"/>
      <c r="F62" s="573" t="s">
        <v>617</v>
      </c>
      <c r="G62" s="573"/>
      <c r="H62" s="573"/>
      <c r="I62" s="573" t="s">
        <v>186</v>
      </c>
      <c r="J62" s="572"/>
      <c r="K62" s="573"/>
      <c r="L62" s="572"/>
      <c r="M62" s="571"/>
      <c r="N62" s="570"/>
      <c r="W62" s="537" t="s">
        <v>8379</v>
      </c>
    </row>
    <row r="63" spans="1:28" s="536" customFormat="1" ht="33.75" x14ac:dyDescent="0.2">
      <c r="A63" s="609"/>
      <c r="B63" s="552" t="s">
        <v>310</v>
      </c>
      <c r="C63" s="1822" t="s">
        <v>311</v>
      </c>
      <c r="D63" s="1822"/>
      <c r="E63" s="1822"/>
      <c r="F63" s="1822"/>
      <c r="G63" s="1822"/>
      <c r="H63" s="1822"/>
      <c r="I63" s="1822"/>
      <c r="J63" s="1822"/>
      <c r="K63" s="1822"/>
      <c r="L63" s="1822"/>
      <c r="M63" s="1822"/>
      <c r="N63" s="1827"/>
      <c r="X63" s="537" t="s">
        <v>311</v>
      </c>
    </row>
    <row r="64" spans="1:28" s="536" customFormat="1" x14ac:dyDescent="0.2">
      <c r="A64" s="605"/>
      <c r="B64" s="552" t="s">
        <v>185</v>
      </c>
      <c r="C64" s="1822" t="s">
        <v>312</v>
      </c>
      <c r="D64" s="1822"/>
      <c r="E64" s="1822"/>
      <c r="F64" s="562"/>
      <c r="G64" s="562"/>
      <c r="H64" s="562"/>
      <c r="I64" s="562"/>
      <c r="J64" s="604">
        <v>9.82</v>
      </c>
      <c r="K64" s="562" t="s">
        <v>313</v>
      </c>
      <c r="L64" s="604">
        <v>24.55</v>
      </c>
      <c r="M64" s="603"/>
      <c r="N64" s="602"/>
      <c r="Y64" s="537" t="s">
        <v>312</v>
      </c>
    </row>
    <row r="65" spans="1:29" s="536" customFormat="1" x14ac:dyDescent="0.2">
      <c r="A65" s="605"/>
      <c r="B65" s="552" t="s">
        <v>186</v>
      </c>
      <c r="C65" s="1822" t="s">
        <v>344</v>
      </c>
      <c r="D65" s="1822"/>
      <c r="E65" s="1822"/>
      <c r="F65" s="562"/>
      <c r="G65" s="562"/>
      <c r="H65" s="562"/>
      <c r="I65" s="562"/>
      <c r="J65" s="604">
        <v>9.06</v>
      </c>
      <c r="K65" s="562" t="s">
        <v>313</v>
      </c>
      <c r="L65" s="604">
        <v>22.65</v>
      </c>
      <c r="M65" s="603"/>
      <c r="N65" s="602"/>
      <c r="Y65" s="537" t="s">
        <v>344</v>
      </c>
    </row>
    <row r="66" spans="1:29" s="536" customFormat="1" x14ac:dyDescent="0.2">
      <c r="A66" s="605"/>
      <c r="B66" s="552" t="s">
        <v>187</v>
      </c>
      <c r="C66" s="1822" t="s">
        <v>345</v>
      </c>
      <c r="D66" s="1822"/>
      <c r="E66" s="1822"/>
      <c r="F66" s="562"/>
      <c r="G66" s="562"/>
      <c r="H66" s="562"/>
      <c r="I66" s="562"/>
      <c r="J66" s="604">
        <v>1.26</v>
      </c>
      <c r="K66" s="562" t="s">
        <v>313</v>
      </c>
      <c r="L66" s="604">
        <v>3.15</v>
      </c>
      <c r="M66" s="603"/>
      <c r="N66" s="602"/>
      <c r="Y66" s="537" t="s">
        <v>345</v>
      </c>
    </row>
    <row r="67" spans="1:29" s="536" customFormat="1" x14ac:dyDescent="0.2">
      <c r="A67" s="605"/>
      <c r="B67" s="552" t="s">
        <v>188</v>
      </c>
      <c r="C67" s="1822" t="s">
        <v>475</v>
      </c>
      <c r="D67" s="1822"/>
      <c r="E67" s="1822"/>
      <c r="F67" s="562"/>
      <c r="G67" s="562"/>
      <c r="H67" s="562"/>
      <c r="I67" s="562"/>
      <c r="J67" s="604">
        <v>0.81</v>
      </c>
      <c r="K67" s="562"/>
      <c r="L67" s="604">
        <v>1.62</v>
      </c>
      <c r="M67" s="603"/>
      <c r="N67" s="602"/>
      <c r="Y67" s="537" t="s">
        <v>475</v>
      </c>
    </row>
    <row r="68" spans="1:29" s="536" customFormat="1" x14ac:dyDescent="0.2">
      <c r="A68" s="605"/>
      <c r="B68" s="552"/>
      <c r="C68" s="1822" t="s">
        <v>314</v>
      </c>
      <c r="D68" s="1822"/>
      <c r="E68" s="1822"/>
      <c r="F68" s="562" t="s">
        <v>315</v>
      </c>
      <c r="G68" s="562" t="s">
        <v>8380</v>
      </c>
      <c r="H68" s="562" t="s">
        <v>313</v>
      </c>
      <c r="I68" s="562" t="s">
        <v>8381</v>
      </c>
      <c r="J68" s="604"/>
      <c r="K68" s="562"/>
      <c r="L68" s="604"/>
      <c r="M68" s="603"/>
      <c r="N68" s="602"/>
      <c r="Z68" s="537" t="s">
        <v>314</v>
      </c>
    </row>
    <row r="69" spans="1:29" s="536" customFormat="1" x14ac:dyDescent="0.2">
      <c r="A69" s="605"/>
      <c r="B69" s="552"/>
      <c r="C69" s="1822" t="s">
        <v>348</v>
      </c>
      <c r="D69" s="1822"/>
      <c r="E69" s="1822"/>
      <c r="F69" s="562" t="s">
        <v>315</v>
      </c>
      <c r="G69" s="562" t="s">
        <v>2323</v>
      </c>
      <c r="H69" s="562" t="s">
        <v>313</v>
      </c>
      <c r="I69" s="562" t="s">
        <v>1181</v>
      </c>
      <c r="J69" s="604"/>
      <c r="K69" s="562"/>
      <c r="L69" s="604"/>
      <c r="M69" s="603"/>
      <c r="N69" s="602"/>
      <c r="Z69" s="537" t="s">
        <v>348</v>
      </c>
    </row>
    <row r="70" spans="1:29" s="536" customFormat="1" x14ac:dyDescent="0.2">
      <c r="A70" s="605"/>
      <c r="B70" s="552"/>
      <c r="C70" s="1828" t="s">
        <v>318</v>
      </c>
      <c r="D70" s="1828"/>
      <c r="E70" s="1828"/>
      <c r="F70" s="608"/>
      <c r="G70" s="608"/>
      <c r="H70" s="608"/>
      <c r="I70" s="608"/>
      <c r="J70" s="607">
        <v>19.690000000000001</v>
      </c>
      <c r="K70" s="608"/>
      <c r="L70" s="607">
        <v>48.82</v>
      </c>
      <c r="M70" s="601"/>
      <c r="N70" s="606"/>
      <c r="AA70" s="537" t="s">
        <v>318</v>
      </c>
    </row>
    <row r="71" spans="1:29" s="536" customFormat="1" x14ac:dyDescent="0.2">
      <c r="A71" s="605"/>
      <c r="B71" s="552"/>
      <c r="C71" s="1822" t="s">
        <v>319</v>
      </c>
      <c r="D71" s="1822"/>
      <c r="E71" s="1822"/>
      <c r="F71" s="562"/>
      <c r="G71" s="562"/>
      <c r="H71" s="562"/>
      <c r="I71" s="562"/>
      <c r="J71" s="604"/>
      <c r="K71" s="562"/>
      <c r="L71" s="604">
        <v>27.7</v>
      </c>
      <c r="M71" s="603"/>
      <c r="N71" s="602"/>
      <c r="Z71" s="537" t="s">
        <v>319</v>
      </c>
    </row>
    <row r="72" spans="1:29" s="536" customFormat="1" ht="33.75" x14ac:dyDescent="0.2">
      <c r="A72" s="605"/>
      <c r="B72" s="552" t="s">
        <v>1631</v>
      </c>
      <c r="C72" s="1822" t="s">
        <v>1632</v>
      </c>
      <c r="D72" s="1822"/>
      <c r="E72" s="1822"/>
      <c r="F72" s="562" t="s">
        <v>322</v>
      </c>
      <c r="G72" s="562" t="s">
        <v>1633</v>
      </c>
      <c r="H72" s="562"/>
      <c r="I72" s="562" t="s">
        <v>1633</v>
      </c>
      <c r="J72" s="604"/>
      <c r="K72" s="562"/>
      <c r="L72" s="604">
        <v>26.87</v>
      </c>
      <c r="M72" s="603"/>
      <c r="N72" s="602"/>
      <c r="Z72" s="537" t="s">
        <v>1632</v>
      </c>
    </row>
    <row r="73" spans="1:29" s="536" customFormat="1" ht="33.75" x14ac:dyDescent="0.2">
      <c r="A73" s="605"/>
      <c r="B73" s="552" t="s">
        <v>1634</v>
      </c>
      <c r="C73" s="1822" t="s">
        <v>1635</v>
      </c>
      <c r="D73" s="1822"/>
      <c r="E73" s="1822"/>
      <c r="F73" s="562" t="s">
        <v>322</v>
      </c>
      <c r="G73" s="562" t="s">
        <v>786</v>
      </c>
      <c r="H73" s="562"/>
      <c r="I73" s="562" t="s">
        <v>786</v>
      </c>
      <c r="J73" s="604"/>
      <c r="K73" s="562"/>
      <c r="L73" s="604">
        <v>14.13</v>
      </c>
      <c r="M73" s="603"/>
      <c r="N73" s="602"/>
      <c r="Z73" s="537" t="s">
        <v>1635</v>
      </c>
    </row>
    <row r="74" spans="1:29" s="536" customFormat="1" x14ac:dyDescent="0.2">
      <c r="A74" s="569"/>
      <c r="B74" s="671"/>
      <c r="C74" s="1823" t="s">
        <v>327</v>
      </c>
      <c r="D74" s="1823"/>
      <c r="E74" s="1823"/>
      <c r="F74" s="573"/>
      <c r="G74" s="573"/>
      <c r="H74" s="573"/>
      <c r="I74" s="573"/>
      <c r="J74" s="572"/>
      <c r="K74" s="573"/>
      <c r="L74" s="572">
        <v>89.82</v>
      </c>
      <c r="M74" s="601"/>
      <c r="N74" s="570"/>
      <c r="AB74" s="537" t="s">
        <v>327</v>
      </c>
    </row>
    <row r="75" spans="1:29" s="536" customFormat="1" ht="33.75" x14ac:dyDescent="0.2">
      <c r="A75" s="575" t="s">
        <v>874</v>
      </c>
      <c r="B75" s="670" t="s">
        <v>8382</v>
      </c>
      <c r="C75" s="1823" t="s">
        <v>8383</v>
      </c>
      <c r="D75" s="1823"/>
      <c r="E75" s="1823"/>
      <c r="F75" s="573" t="s">
        <v>628</v>
      </c>
      <c r="G75" s="573"/>
      <c r="H75" s="573"/>
      <c r="I75" s="573" t="s">
        <v>186</v>
      </c>
      <c r="J75" s="572">
        <v>5809.05</v>
      </c>
      <c r="K75" s="573" t="s">
        <v>629</v>
      </c>
      <c r="L75" s="572">
        <v>2561.66</v>
      </c>
      <c r="M75" s="571">
        <v>4.59</v>
      </c>
      <c r="N75" s="570">
        <v>11758</v>
      </c>
      <c r="W75" s="537" t="s">
        <v>8383</v>
      </c>
    </row>
    <row r="76" spans="1:29" s="536" customFormat="1" x14ac:dyDescent="0.2">
      <c r="A76" s="569"/>
      <c r="B76" s="671"/>
      <c r="C76" s="665" t="s">
        <v>630</v>
      </c>
      <c r="D76" s="666"/>
      <c r="E76" s="666"/>
      <c r="F76" s="563"/>
      <c r="G76" s="563"/>
      <c r="H76" s="563"/>
      <c r="I76" s="563"/>
      <c r="J76" s="566"/>
      <c r="K76" s="563"/>
      <c r="L76" s="566"/>
      <c r="M76" s="565"/>
      <c r="N76" s="564"/>
    </row>
    <row r="77" spans="1:29" s="536" customFormat="1" ht="22.5" x14ac:dyDescent="0.2">
      <c r="A77" s="609"/>
      <c r="B77" s="552" t="s">
        <v>631</v>
      </c>
      <c r="C77" s="1822" t="s">
        <v>632</v>
      </c>
      <c r="D77" s="1822"/>
      <c r="E77" s="1822"/>
      <c r="F77" s="1822"/>
      <c r="G77" s="1822"/>
      <c r="H77" s="1822"/>
      <c r="I77" s="1822"/>
      <c r="J77" s="1822"/>
      <c r="K77" s="1822"/>
      <c r="L77" s="1822"/>
      <c r="M77" s="1822"/>
      <c r="N77" s="1827"/>
      <c r="X77" s="537" t="s">
        <v>632</v>
      </c>
    </row>
    <row r="78" spans="1:29" s="536" customFormat="1" ht="33.75" x14ac:dyDescent="0.2">
      <c r="A78" s="575" t="s">
        <v>191</v>
      </c>
      <c r="B78" s="670" t="s">
        <v>8384</v>
      </c>
      <c r="C78" s="1823" t="s">
        <v>8385</v>
      </c>
      <c r="D78" s="1823"/>
      <c r="E78" s="1823"/>
      <c r="F78" s="573" t="s">
        <v>1110</v>
      </c>
      <c r="G78" s="573"/>
      <c r="H78" s="573"/>
      <c r="I78" s="573" t="s">
        <v>3170</v>
      </c>
      <c r="J78" s="572"/>
      <c r="K78" s="573"/>
      <c r="L78" s="572"/>
      <c r="M78" s="571"/>
      <c r="N78" s="570"/>
      <c r="W78" s="537" t="s">
        <v>8385</v>
      </c>
    </row>
    <row r="79" spans="1:29" s="536" customFormat="1" x14ac:dyDescent="0.2">
      <c r="A79" s="676"/>
      <c r="B79" s="664"/>
      <c r="C79" s="1822" t="s">
        <v>8386</v>
      </c>
      <c r="D79" s="1822"/>
      <c r="E79" s="1822"/>
      <c r="F79" s="1822"/>
      <c r="G79" s="1822"/>
      <c r="H79" s="1822"/>
      <c r="I79" s="1822"/>
      <c r="J79" s="1822"/>
      <c r="K79" s="1822"/>
      <c r="L79" s="1822"/>
      <c r="M79" s="1822"/>
      <c r="N79" s="1827"/>
      <c r="AC79" s="537" t="s">
        <v>8386</v>
      </c>
    </row>
    <row r="80" spans="1:29" s="536" customFormat="1" ht="33.75" x14ac:dyDescent="0.2">
      <c r="A80" s="609"/>
      <c r="B80" s="552" t="s">
        <v>310</v>
      </c>
      <c r="C80" s="1822" t="s">
        <v>311</v>
      </c>
      <c r="D80" s="1822"/>
      <c r="E80" s="1822"/>
      <c r="F80" s="1822"/>
      <c r="G80" s="1822"/>
      <c r="H80" s="1822"/>
      <c r="I80" s="1822"/>
      <c r="J80" s="1822"/>
      <c r="K80" s="1822"/>
      <c r="L80" s="1822"/>
      <c r="M80" s="1822"/>
      <c r="N80" s="1827"/>
      <c r="X80" s="537" t="s">
        <v>311</v>
      </c>
    </row>
    <row r="81" spans="1:28" s="536" customFormat="1" x14ac:dyDescent="0.2">
      <c r="A81" s="605"/>
      <c r="B81" s="552" t="s">
        <v>185</v>
      </c>
      <c r="C81" s="1822" t="s">
        <v>312</v>
      </c>
      <c r="D81" s="1822"/>
      <c r="E81" s="1822"/>
      <c r="F81" s="562"/>
      <c r="G81" s="562"/>
      <c r="H81" s="562"/>
      <c r="I81" s="562"/>
      <c r="J81" s="604">
        <v>485.81</v>
      </c>
      <c r="K81" s="562" t="s">
        <v>313</v>
      </c>
      <c r="L81" s="604">
        <v>3.04</v>
      </c>
      <c r="M81" s="603"/>
      <c r="N81" s="602"/>
      <c r="Y81" s="537" t="s">
        <v>312</v>
      </c>
    </row>
    <row r="82" spans="1:28" s="536" customFormat="1" x14ac:dyDescent="0.2">
      <c r="A82" s="605"/>
      <c r="B82" s="552" t="s">
        <v>186</v>
      </c>
      <c r="C82" s="1822" t="s">
        <v>344</v>
      </c>
      <c r="D82" s="1822"/>
      <c r="E82" s="1822"/>
      <c r="F82" s="562"/>
      <c r="G82" s="562"/>
      <c r="H82" s="562"/>
      <c r="I82" s="562"/>
      <c r="J82" s="604">
        <v>177.22</v>
      </c>
      <c r="K82" s="562" t="s">
        <v>313</v>
      </c>
      <c r="L82" s="604">
        <v>1.1100000000000001</v>
      </c>
      <c r="M82" s="603"/>
      <c r="N82" s="602"/>
      <c r="Y82" s="537" t="s">
        <v>344</v>
      </c>
    </row>
    <row r="83" spans="1:28" s="536" customFormat="1" x14ac:dyDescent="0.2">
      <c r="A83" s="605"/>
      <c r="B83" s="552" t="s">
        <v>187</v>
      </c>
      <c r="C83" s="1822" t="s">
        <v>345</v>
      </c>
      <c r="D83" s="1822"/>
      <c r="E83" s="1822"/>
      <c r="F83" s="562"/>
      <c r="G83" s="562"/>
      <c r="H83" s="562"/>
      <c r="I83" s="562"/>
      <c r="J83" s="604">
        <v>64.680000000000007</v>
      </c>
      <c r="K83" s="562" t="s">
        <v>313</v>
      </c>
      <c r="L83" s="604">
        <v>0.4</v>
      </c>
      <c r="M83" s="603"/>
      <c r="N83" s="602"/>
      <c r="Y83" s="537" t="s">
        <v>345</v>
      </c>
    </row>
    <row r="84" spans="1:28" s="536" customFormat="1" x14ac:dyDescent="0.2">
      <c r="A84" s="605"/>
      <c r="B84" s="552" t="s">
        <v>188</v>
      </c>
      <c r="C84" s="1822" t="s">
        <v>475</v>
      </c>
      <c r="D84" s="1822"/>
      <c r="E84" s="1822"/>
      <c r="F84" s="562"/>
      <c r="G84" s="562"/>
      <c r="H84" s="562"/>
      <c r="I84" s="562"/>
      <c r="J84" s="604">
        <v>77.11</v>
      </c>
      <c r="K84" s="562"/>
      <c r="L84" s="604">
        <v>0.39</v>
      </c>
      <c r="M84" s="603"/>
      <c r="N84" s="602"/>
      <c r="Y84" s="537" t="s">
        <v>475</v>
      </c>
    </row>
    <row r="85" spans="1:28" s="536" customFormat="1" x14ac:dyDescent="0.2">
      <c r="A85" s="605"/>
      <c r="B85" s="552"/>
      <c r="C85" s="1822" t="s">
        <v>314</v>
      </c>
      <c r="D85" s="1822"/>
      <c r="E85" s="1822"/>
      <c r="F85" s="562" t="s">
        <v>315</v>
      </c>
      <c r="G85" s="562" t="s">
        <v>8387</v>
      </c>
      <c r="H85" s="562" t="s">
        <v>313</v>
      </c>
      <c r="I85" s="562" t="s">
        <v>8388</v>
      </c>
      <c r="J85" s="604"/>
      <c r="K85" s="562"/>
      <c r="L85" s="604"/>
      <c r="M85" s="603"/>
      <c r="N85" s="602"/>
      <c r="Z85" s="537" t="s">
        <v>314</v>
      </c>
    </row>
    <row r="86" spans="1:28" s="536" customFormat="1" x14ac:dyDescent="0.2">
      <c r="A86" s="605"/>
      <c r="B86" s="552"/>
      <c r="C86" s="1822" t="s">
        <v>348</v>
      </c>
      <c r="D86" s="1822"/>
      <c r="E86" s="1822"/>
      <c r="F86" s="562" t="s">
        <v>315</v>
      </c>
      <c r="G86" s="562" t="s">
        <v>8389</v>
      </c>
      <c r="H86" s="562" t="s">
        <v>313</v>
      </c>
      <c r="I86" s="562" t="s">
        <v>8390</v>
      </c>
      <c r="J86" s="604"/>
      <c r="K86" s="562"/>
      <c r="L86" s="604"/>
      <c r="M86" s="603"/>
      <c r="N86" s="602"/>
      <c r="Z86" s="537" t="s">
        <v>348</v>
      </c>
    </row>
    <row r="87" spans="1:28" s="536" customFormat="1" x14ac:dyDescent="0.2">
      <c r="A87" s="605"/>
      <c r="B87" s="552"/>
      <c r="C87" s="1828" t="s">
        <v>318</v>
      </c>
      <c r="D87" s="1828"/>
      <c r="E87" s="1828"/>
      <c r="F87" s="608"/>
      <c r="G87" s="608"/>
      <c r="H87" s="608"/>
      <c r="I87" s="608"/>
      <c r="J87" s="607">
        <v>740.14</v>
      </c>
      <c r="K87" s="608"/>
      <c r="L87" s="607">
        <v>4.54</v>
      </c>
      <c r="M87" s="601"/>
      <c r="N87" s="606"/>
      <c r="AA87" s="537" t="s">
        <v>318</v>
      </c>
    </row>
    <row r="88" spans="1:28" s="536" customFormat="1" x14ac:dyDescent="0.2">
      <c r="A88" s="605"/>
      <c r="B88" s="552"/>
      <c r="C88" s="1822" t="s">
        <v>319</v>
      </c>
      <c r="D88" s="1822"/>
      <c r="E88" s="1822"/>
      <c r="F88" s="562"/>
      <c r="G88" s="562"/>
      <c r="H88" s="562"/>
      <c r="I88" s="562"/>
      <c r="J88" s="604"/>
      <c r="K88" s="562"/>
      <c r="L88" s="604">
        <v>3.44</v>
      </c>
      <c r="M88" s="603"/>
      <c r="N88" s="602"/>
      <c r="Z88" s="537" t="s">
        <v>319</v>
      </c>
    </row>
    <row r="89" spans="1:28" s="536" customFormat="1" ht="33.75" x14ac:dyDescent="0.2">
      <c r="A89" s="605"/>
      <c r="B89" s="552" t="s">
        <v>1631</v>
      </c>
      <c r="C89" s="1822" t="s">
        <v>1632</v>
      </c>
      <c r="D89" s="1822"/>
      <c r="E89" s="1822"/>
      <c r="F89" s="562" t="s">
        <v>322</v>
      </c>
      <c r="G89" s="562" t="s">
        <v>1633</v>
      </c>
      <c r="H89" s="562"/>
      <c r="I89" s="562" t="s">
        <v>1633</v>
      </c>
      <c r="J89" s="604"/>
      <c r="K89" s="562"/>
      <c r="L89" s="604">
        <v>3.34</v>
      </c>
      <c r="M89" s="603"/>
      <c r="N89" s="602"/>
      <c r="Z89" s="537" t="s">
        <v>1632</v>
      </c>
    </row>
    <row r="90" spans="1:28" s="536" customFormat="1" ht="33.75" x14ac:dyDescent="0.2">
      <c r="A90" s="605"/>
      <c r="B90" s="552" t="s">
        <v>1634</v>
      </c>
      <c r="C90" s="1822" t="s">
        <v>1635</v>
      </c>
      <c r="D90" s="1822"/>
      <c r="E90" s="1822"/>
      <c r="F90" s="562" t="s">
        <v>322</v>
      </c>
      <c r="G90" s="562" t="s">
        <v>786</v>
      </c>
      <c r="H90" s="562"/>
      <c r="I90" s="562" t="s">
        <v>786</v>
      </c>
      <c r="J90" s="604"/>
      <c r="K90" s="562"/>
      <c r="L90" s="604">
        <v>1.75</v>
      </c>
      <c r="M90" s="603"/>
      <c r="N90" s="602"/>
      <c r="Z90" s="537" t="s">
        <v>1635</v>
      </c>
    </row>
    <row r="91" spans="1:28" s="536" customFormat="1" x14ac:dyDescent="0.2">
      <c r="A91" s="569"/>
      <c r="B91" s="671"/>
      <c r="C91" s="1823" t="s">
        <v>327</v>
      </c>
      <c r="D91" s="1823"/>
      <c r="E91" s="1823"/>
      <c r="F91" s="573"/>
      <c r="G91" s="573"/>
      <c r="H91" s="573"/>
      <c r="I91" s="573"/>
      <c r="J91" s="572"/>
      <c r="K91" s="573"/>
      <c r="L91" s="572">
        <v>9.6300000000000008</v>
      </c>
      <c r="M91" s="601"/>
      <c r="N91" s="570"/>
      <c r="AB91" s="537" t="s">
        <v>327</v>
      </c>
    </row>
    <row r="92" spans="1:28" s="536" customFormat="1" ht="33.75" x14ac:dyDescent="0.2">
      <c r="A92" s="575" t="s">
        <v>192</v>
      </c>
      <c r="B92" s="670" t="s">
        <v>8391</v>
      </c>
      <c r="C92" s="1823" t="s">
        <v>8392</v>
      </c>
      <c r="D92" s="1823"/>
      <c r="E92" s="1823"/>
      <c r="F92" s="573" t="s">
        <v>628</v>
      </c>
      <c r="G92" s="573"/>
      <c r="H92" s="573"/>
      <c r="I92" s="573" t="s">
        <v>185</v>
      </c>
      <c r="J92" s="572">
        <v>1386.45</v>
      </c>
      <c r="K92" s="573" t="s">
        <v>716</v>
      </c>
      <c r="L92" s="572">
        <v>169.95</v>
      </c>
      <c r="M92" s="571">
        <v>8.32</v>
      </c>
      <c r="N92" s="570">
        <v>1414</v>
      </c>
      <c r="W92" s="537" t="s">
        <v>8392</v>
      </c>
    </row>
    <row r="93" spans="1:28" s="536" customFormat="1" x14ac:dyDescent="0.2">
      <c r="A93" s="569"/>
      <c r="B93" s="671"/>
      <c r="C93" s="665" t="s">
        <v>1658</v>
      </c>
      <c r="D93" s="666"/>
      <c r="E93" s="666"/>
      <c r="F93" s="563"/>
      <c r="G93" s="563"/>
      <c r="H93" s="563"/>
      <c r="I93" s="563"/>
      <c r="J93" s="566"/>
      <c r="K93" s="563"/>
      <c r="L93" s="566"/>
      <c r="M93" s="565"/>
      <c r="N93" s="564"/>
    </row>
    <row r="94" spans="1:28" s="536" customFormat="1" ht="22.5" x14ac:dyDescent="0.2">
      <c r="A94" s="609"/>
      <c r="B94" s="552" t="s">
        <v>718</v>
      </c>
      <c r="C94" s="1822" t="s">
        <v>719</v>
      </c>
      <c r="D94" s="1822"/>
      <c r="E94" s="1822"/>
      <c r="F94" s="1822"/>
      <c r="G94" s="1822"/>
      <c r="H94" s="1822"/>
      <c r="I94" s="1822"/>
      <c r="J94" s="1822"/>
      <c r="K94" s="1822"/>
      <c r="L94" s="1822"/>
      <c r="M94" s="1822"/>
      <c r="N94" s="1827"/>
      <c r="X94" s="537" t="s">
        <v>719</v>
      </c>
    </row>
    <row r="95" spans="1:28" s="536" customFormat="1" ht="22.5" x14ac:dyDescent="0.2">
      <c r="A95" s="575" t="s">
        <v>193</v>
      </c>
      <c r="B95" s="670" t="s">
        <v>8393</v>
      </c>
      <c r="C95" s="1823" t="s">
        <v>8394</v>
      </c>
      <c r="D95" s="1823"/>
      <c r="E95" s="1823"/>
      <c r="F95" s="573" t="s">
        <v>617</v>
      </c>
      <c r="G95" s="573"/>
      <c r="H95" s="573"/>
      <c r="I95" s="573" t="s">
        <v>185</v>
      </c>
      <c r="J95" s="572"/>
      <c r="K95" s="573"/>
      <c r="L95" s="572"/>
      <c r="M95" s="571"/>
      <c r="N95" s="570"/>
      <c r="W95" s="537" t="s">
        <v>8394</v>
      </c>
    </row>
    <row r="96" spans="1:28" s="536" customFormat="1" ht="33.75" x14ac:dyDescent="0.2">
      <c r="A96" s="609"/>
      <c r="B96" s="552" t="s">
        <v>310</v>
      </c>
      <c r="C96" s="1822" t="s">
        <v>311</v>
      </c>
      <c r="D96" s="1822"/>
      <c r="E96" s="1822"/>
      <c r="F96" s="1822"/>
      <c r="G96" s="1822"/>
      <c r="H96" s="1822"/>
      <c r="I96" s="1822"/>
      <c r="J96" s="1822"/>
      <c r="K96" s="1822"/>
      <c r="L96" s="1822"/>
      <c r="M96" s="1822"/>
      <c r="N96" s="1827"/>
      <c r="X96" s="537" t="s">
        <v>311</v>
      </c>
    </row>
    <row r="97" spans="1:28" s="536" customFormat="1" x14ac:dyDescent="0.2">
      <c r="A97" s="605"/>
      <c r="B97" s="552" t="s">
        <v>185</v>
      </c>
      <c r="C97" s="1822" t="s">
        <v>312</v>
      </c>
      <c r="D97" s="1822"/>
      <c r="E97" s="1822"/>
      <c r="F97" s="562"/>
      <c r="G97" s="562"/>
      <c r="H97" s="562"/>
      <c r="I97" s="562"/>
      <c r="J97" s="604">
        <v>0.6</v>
      </c>
      <c r="K97" s="562" t="s">
        <v>313</v>
      </c>
      <c r="L97" s="604">
        <v>0.75</v>
      </c>
      <c r="M97" s="603"/>
      <c r="N97" s="602"/>
      <c r="Y97" s="537" t="s">
        <v>312</v>
      </c>
    </row>
    <row r="98" spans="1:28" s="536" customFormat="1" x14ac:dyDescent="0.2">
      <c r="A98" s="605"/>
      <c r="B98" s="552" t="s">
        <v>188</v>
      </c>
      <c r="C98" s="1822" t="s">
        <v>475</v>
      </c>
      <c r="D98" s="1822"/>
      <c r="E98" s="1822"/>
      <c r="F98" s="562"/>
      <c r="G98" s="562"/>
      <c r="H98" s="562"/>
      <c r="I98" s="562"/>
      <c r="J98" s="604">
        <v>0.01</v>
      </c>
      <c r="K98" s="562"/>
      <c r="L98" s="604">
        <v>0.01</v>
      </c>
      <c r="M98" s="603"/>
      <c r="N98" s="602"/>
      <c r="Y98" s="537" t="s">
        <v>475</v>
      </c>
    </row>
    <row r="99" spans="1:28" s="536" customFormat="1" x14ac:dyDescent="0.2">
      <c r="A99" s="605"/>
      <c r="B99" s="552"/>
      <c r="C99" s="1822" t="s">
        <v>314</v>
      </c>
      <c r="D99" s="1822"/>
      <c r="E99" s="1822"/>
      <c r="F99" s="562" t="s">
        <v>315</v>
      </c>
      <c r="G99" s="562" t="s">
        <v>3171</v>
      </c>
      <c r="H99" s="562" t="s">
        <v>313</v>
      </c>
      <c r="I99" s="562" t="s">
        <v>8395</v>
      </c>
      <c r="J99" s="604"/>
      <c r="K99" s="562"/>
      <c r="L99" s="604"/>
      <c r="M99" s="603"/>
      <c r="N99" s="602"/>
      <c r="Z99" s="537" t="s">
        <v>314</v>
      </c>
    </row>
    <row r="100" spans="1:28" s="536" customFormat="1" x14ac:dyDescent="0.2">
      <c r="A100" s="605"/>
      <c r="B100" s="552"/>
      <c r="C100" s="1828" t="s">
        <v>318</v>
      </c>
      <c r="D100" s="1828"/>
      <c r="E100" s="1828"/>
      <c r="F100" s="608"/>
      <c r="G100" s="608"/>
      <c r="H100" s="608"/>
      <c r="I100" s="608"/>
      <c r="J100" s="607">
        <v>0.61</v>
      </c>
      <c r="K100" s="608"/>
      <c r="L100" s="607">
        <v>0.76</v>
      </c>
      <c r="M100" s="601"/>
      <c r="N100" s="606"/>
      <c r="AA100" s="537" t="s">
        <v>318</v>
      </c>
    </row>
    <row r="101" spans="1:28" s="536" customFormat="1" x14ac:dyDescent="0.2">
      <c r="A101" s="605"/>
      <c r="B101" s="552"/>
      <c r="C101" s="1822" t="s">
        <v>319</v>
      </c>
      <c r="D101" s="1822"/>
      <c r="E101" s="1822"/>
      <c r="F101" s="562"/>
      <c r="G101" s="562"/>
      <c r="H101" s="562"/>
      <c r="I101" s="562"/>
      <c r="J101" s="604"/>
      <c r="K101" s="562"/>
      <c r="L101" s="604">
        <v>0.75</v>
      </c>
      <c r="M101" s="603"/>
      <c r="N101" s="602"/>
      <c r="Z101" s="537" t="s">
        <v>319</v>
      </c>
    </row>
    <row r="102" spans="1:28" s="536" customFormat="1" ht="33.75" x14ac:dyDescent="0.2">
      <c r="A102" s="605"/>
      <c r="B102" s="552" t="s">
        <v>884</v>
      </c>
      <c r="C102" s="1822" t="s">
        <v>885</v>
      </c>
      <c r="D102" s="1822"/>
      <c r="E102" s="1822"/>
      <c r="F102" s="562" t="s">
        <v>322</v>
      </c>
      <c r="G102" s="562" t="s">
        <v>886</v>
      </c>
      <c r="H102" s="562"/>
      <c r="I102" s="562" t="s">
        <v>886</v>
      </c>
      <c r="J102" s="604"/>
      <c r="K102" s="562"/>
      <c r="L102" s="604">
        <v>0.68</v>
      </c>
      <c r="M102" s="603"/>
      <c r="N102" s="602"/>
      <c r="Z102" s="537" t="s">
        <v>885</v>
      </c>
    </row>
    <row r="103" spans="1:28" s="536" customFormat="1" ht="33.75" x14ac:dyDescent="0.2">
      <c r="A103" s="605"/>
      <c r="B103" s="552" t="s">
        <v>887</v>
      </c>
      <c r="C103" s="1822" t="s">
        <v>888</v>
      </c>
      <c r="D103" s="1822"/>
      <c r="E103" s="1822"/>
      <c r="F103" s="562" t="s">
        <v>322</v>
      </c>
      <c r="G103" s="562" t="s">
        <v>465</v>
      </c>
      <c r="H103" s="562"/>
      <c r="I103" s="562" t="s">
        <v>465</v>
      </c>
      <c r="J103" s="604"/>
      <c r="K103" s="562"/>
      <c r="L103" s="604">
        <v>0.35</v>
      </c>
      <c r="M103" s="603"/>
      <c r="N103" s="602"/>
      <c r="Z103" s="537" t="s">
        <v>888</v>
      </c>
    </row>
    <row r="104" spans="1:28" s="536" customFormat="1" x14ac:dyDescent="0.2">
      <c r="A104" s="569"/>
      <c r="B104" s="671"/>
      <c r="C104" s="1823" t="s">
        <v>327</v>
      </c>
      <c r="D104" s="1823"/>
      <c r="E104" s="1823"/>
      <c r="F104" s="573"/>
      <c r="G104" s="573"/>
      <c r="H104" s="573"/>
      <c r="I104" s="573"/>
      <c r="J104" s="572"/>
      <c r="K104" s="573"/>
      <c r="L104" s="572">
        <v>1.79</v>
      </c>
      <c r="M104" s="601"/>
      <c r="N104" s="570"/>
      <c r="AB104" s="537" t="s">
        <v>327</v>
      </c>
    </row>
    <row r="105" spans="1:28" s="536" customFormat="1" ht="33.75" x14ac:dyDescent="0.2">
      <c r="A105" s="575" t="s">
        <v>194</v>
      </c>
      <c r="B105" s="670" t="s">
        <v>8396</v>
      </c>
      <c r="C105" s="1823" t="s">
        <v>8397</v>
      </c>
      <c r="D105" s="1823"/>
      <c r="E105" s="1823"/>
      <c r="F105" s="573" t="s">
        <v>628</v>
      </c>
      <c r="G105" s="573"/>
      <c r="H105" s="573"/>
      <c r="I105" s="573" t="s">
        <v>185</v>
      </c>
      <c r="J105" s="572">
        <v>2018.25</v>
      </c>
      <c r="K105" s="573" t="s">
        <v>716</v>
      </c>
      <c r="L105" s="572">
        <v>247.48</v>
      </c>
      <c r="M105" s="571">
        <v>8.32</v>
      </c>
      <c r="N105" s="570">
        <v>2059</v>
      </c>
      <c r="W105" s="537" t="s">
        <v>8397</v>
      </c>
    </row>
    <row r="106" spans="1:28" s="536" customFormat="1" x14ac:dyDescent="0.2">
      <c r="A106" s="569"/>
      <c r="B106" s="671"/>
      <c r="C106" s="665" t="s">
        <v>1658</v>
      </c>
      <c r="D106" s="666"/>
      <c r="E106" s="666"/>
      <c r="F106" s="563"/>
      <c r="G106" s="563"/>
      <c r="H106" s="563"/>
      <c r="I106" s="563"/>
      <c r="J106" s="566"/>
      <c r="K106" s="563"/>
      <c r="L106" s="566"/>
      <c r="M106" s="565"/>
      <c r="N106" s="564"/>
    </row>
    <row r="107" spans="1:28" s="536" customFormat="1" ht="22.5" x14ac:dyDescent="0.2">
      <c r="A107" s="609"/>
      <c r="B107" s="552" t="s">
        <v>718</v>
      </c>
      <c r="C107" s="1822" t="s">
        <v>719</v>
      </c>
      <c r="D107" s="1822"/>
      <c r="E107" s="1822"/>
      <c r="F107" s="1822"/>
      <c r="G107" s="1822"/>
      <c r="H107" s="1822"/>
      <c r="I107" s="1822"/>
      <c r="J107" s="1822"/>
      <c r="K107" s="1822"/>
      <c r="L107" s="1822"/>
      <c r="M107" s="1822"/>
      <c r="N107" s="1827"/>
      <c r="X107" s="537" t="s">
        <v>719</v>
      </c>
    </row>
    <row r="108" spans="1:28" s="536" customFormat="1" ht="22.5" x14ac:dyDescent="0.2">
      <c r="A108" s="575" t="s">
        <v>195</v>
      </c>
      <c r="B108" s="670" t="s">
        <v>8398</v>
      </c>
      <c r="C108" s="1823" t="s">
        <v>8399</v>
      </c>
      <c r="D108" s="1823"/>
      <c r="E108" s="1823"/>
      <c r="F108" s="573" t="s">
        <v>617</v>
      </c>
      <c r="G108" s="573"/>
      <c r="H108" s="573"/>
      <c r="I108" s="573" t="s">
        <v>189</v>
      </c>
      <c r="J108" s="572"/>
      <c r="K108" s="573"/>
      <c r="L108" s="572"/>
      <c r="M108" s="571"/>
      <c r="N108" s="570"/>
      <c r="W108" s="537" t="s">
        <v>8399</v>
      </c>
    </row>
    <row r="109" spans="1:28" s="536" customFormat="1" ht="33.75" x14ac:dyDescent="0.2">
      <c r="A109" s="609"/>
      <c r="B109" s="552" t="s">
        <v>310</v>
      </c>
      <c r="C109" s="1822" t="s">
        <v>311</v>
      </c>
      <c r="D109" s="1822"/>
      <c r="E109" s="1822"/>
      <c r="F109" s="1822"/>
      <c r="G109" s="1822"/>
      <c r="H109" s="1822"/>
      <c r="I109" s="1822"/>
      <c r="J109" s="1822"/>
      <c r="K109" s="1822"/>
      <c r="L109" s="1822"/>
      <c r="M109" s="1822"/>
      <c r="N109" s="1827"/>
      <c r="X109" s="537" t="s">
        <v>311</v>
      </c>
    </row>
    <row r="110" spans="1:28" s="536" customFormat="1" x14ac:dyDescent="0.2">
      <c r="A110" s="605"/>
      <c r="B110" s="552" t="s">
        <v>185</v>
      </c>
      <c r="C110" s="1822" t="s">
        <v>312</v>
      </c>
      <c r="D110" s="1822"/>
      <c r="E110" s="1822"/>
      <c r="F110" s="562"/>
      <c r="G110" s="562"/>
      <c r="H110" s="562"/>
      <c r="I110" s="562"/>
      <c r="J110" s="604">
        <v>1.1100000000000001</v>
      </c>
      <c r="K110" s="562" t="s">
        <v>313</v>
      </c>
      <c r="L110" s="604">
        <v>6.94</v>
      </c>
      <c r="M110" s="603"/>
      <c r="N110" s="602"/>
      <c r="Y110" s="537" t="s">
        <v>312</v>
      </c>
    </row>
    <row r="111" spans="1:28" s="536" customFormat="1" x14ac:dyDescent="0.2">
      <c r="A111" s="605"/>
      <c r="B111" s="552" t="s">
        <v>188</v>
      </c>
      <c r="C111" s="1822" t="s">
        <v>475</v>
      </c>
      <c r="D111" s="1822"/>
      <c r="E111" s="1822"/>
      <c r="F111" s="562"/>
      <c r="G111" s="562"/>
      <c r="H111" s="562"/>
      <c r="I111" s="562"/>
      <c r="J111" s="604">
        <v>0.02</v>
      </c>
      <c r="K111" s="562"/>
      <c r="L111" s="604">
        <v>0.1</v>
      </c>
      <c r="M111" s="603"/>
      <c r="N111" s="602"/>
      <c r="Y111" s="537" t="s">
        <v>475</v>
      </c>
    </row>
    <row r="112" spans="1:28" s="536" customFormat="1" x14ac:dyDescent="0.2">
      <c r="A112" s="605"/>
      <c r="B112" s="552"/>
      <c r="C112" s="1822" t="s">
        <v>314</v>
      </c>
      <c r="D112" s="1822"/>
      <c r="E112" s="1822"/>
      <c r="F112" s="562" t="s">
        <v>315</v>
      </c>
      <c r="G112" s="562" t="s">
        <v>1552</v>
      </c>
      <c r="H112" s="562" t="s">
        <v>313</v>
      </c>
      <c r="I112" s="562" t="s">
        <v>8400</v>
      </c>
      <c r="J112" s="604"/>
      <c r="K112" s="562"/>
      <c r="L112" s="604"/>
      <c r="M112" s="603"/>
      <c r="N112" s="602"/>
      <c r="Z112" s="537" t="s">
        <v>314</v>
      </c>
    </row>
    <row r="113" spans="1:29" s="536" customFormat="1" x14ac:dyDescent="0.2">
      <c r="A113" s="605"/>
      <c r="B113" s="552"/>
      <c r="C113" s="1828" t="s">
        <v>318</v>
      </c>
      <c r="D113" s="1828"/>
      <c r="E113" s="1828"/>
      <c r="F113" s="608"/>
      <c r="G113" s="608"/>
      <c r="H113" s="608"/>
      <c r="I113" s="608"/>
      <c r="J113" s="607">
        <v>1.1299999999999999</v>
      </c>
      <c r="K113" s="608"/>
      <c r="L113" s="607">
        <v>7.04</v>
      </c>
      <c r="M113" s="601"/>
      <c r="N113" s="606"/>
      <c r="AA113" s="537" t="s">
        <v>318</v>
      </c>
    </row>
    <row r="114" spans="1:29" s="536" customFormat="1" x14ac:dyDescent="0.2">
      <c r="A114" s="605"/>
      <c r="B114" s="552"/>
      <c r="C114" s="1822" t="s">
        <v>319</v>
      </c>
      <c r="D114" s="1822"/>
      <c r="E114" s="1822"/>
      <c r="F114" s="562"/>
      <c r="G114" s="562"/>
      <c r="H114" s="562"/>
      <c r="I114" s="562"/>
      <c r="J114" s="604"/>
      <c r="K114" s="562"/>
      <c r="L114" s="604">
        <v>6.94</v>
      </c>
      <c r="M114" s="603"/>
      <c r="N114" s="602"/>
      <c r="Z114" s="537" t="s">
        <v>319</v>
      </c>
    </row>
    <row r="115" spans="1:29" s="536" customFormat="1" ht="33.75" x14ac:dyDescent="0.2">
      <c r="A115" s="605"/>
      <c r="B115" s="552" t="s">
        <v>884</v>
      </c>
      <c r="C115" s="1822" t="s">
        <v>885</v>
      </c>
      <c r="D115" s="1822"/>
      <c r="E115" s="1822"/>
      <c r="F115" s="562" t="s">
        <v>322</v>
      </c>
      <c r="G115" s="562" t="s">
        <v>886</v>
      </c>
      <c r="H115" s="562"/>
      <c r="I115" s="562" t="s">
        <v>886</v>
      </c>
      <c r="J115" s="604"/>
      <c r="K115" s="562"/>
      <c r="L115" s="604">
        <v>6.25</v>
      </c>
      <c r="M115" s="603"/>
      <c r="N115" s="602"/>
      <c r="Z115" s="537" t="s">
        <v>885</v>
      </c>
    </row>
    <row r="116" spans="1:29" s="536" customFormat="1" ht="33.75" x14ac:dyDescent="0.2">
      <c r="A116" s="605"/>
      <c r="B116" s="552" t="s">
        <v>887</v>
      </c>
      <c r="C116" s="1822" t="s">
        <v>888</v>
      </c>
      <c r="D116" s="1822"/>
      <c r="E116" s="1822"/>
      <c r="F116" s="562" t="s">
        <v>322</v>
      </c>
      <c r="G116" s="562" t="s">
        <v>465</v>
      </c>
      <c r="H116" s="562"/>
      <c r="I116" s="562" t="s">
        <v>465</v>
      </c>
      <c r="J116" s="604"/>
      <c r="K116" s="562"/>
      <c r="L116" s="604">
        <v>3.19</v>
      </c>
      <c r="M116" s="603"/>
      <c r="N116" s="602"/>
      <c r="Z116" s="537" t="s">
        <v>888</v>
      </c>
    </row>
    <row r="117" spans="1:29" s="536" customFormat="1" x14ac:dyDescent="0.2">
      <c r="A117" s="569"/>
      <c r="B117" s="671"/>
      <c r="C117" s="1823" t="s">
        <v>327</v>
      </c>
      <c r="D117" s="1823"/>
      <c r="E117" s="1823"/>
      <c r="F117" s="573"/>
      <c r="G117" s="573"/>
      <c r="H117" s="573"/>
      <c r="I117" s="573"/>
      <c r="J117" s="572"/>
      <c r="K117" s="573"/>
      <c r="L117" s="572">
        <v>16.48</v>
      </c>
      <c r="M117" s="601"/>
      <c r="N117" s="570"/>
      <c r="AB117" s="537" t="s">
        <v>327</v>
      </c>
    </row>
    <row r="118" spans="1:29" s="536" customFormat="1" ht="33.75" x14ac:dyDescent="0.2">
      <c r="A118" s="575" t="s">
        <v>196</v>
      </c>
      <c r="B118" s="670" t="s">
        <v>8401</v>
      </c>
      <c r="C118" s="1823" t="s">
        <v>8402</v>
      </c>
      <c r="D118" s="1823"/>
      <c r="E118" s="1823"/>
      <c r="F118" s="573" t="s">
        <v>628</v>
      </c>
      <c r="G118" s="573"/>
      <c r="H118" s="573"/>
      <c r="I118" s="573" t="s">
        <v>189</v>
      </c>
      <c r="J118" s="572">
        <v>500.18</v>
      </c>
      <c r="K118" s="573" t="s">
        <v>716</v>
      </c>
      <c r="L118" s="572">
        <v>306.61</v>
      </c>
      <c r="M118" s="571">
        <v>8.32</v>
      </c>
      <c r="N118" s="570">
        <v>2551</v>
      </c>
      <c r="W118" s="537" t="s">
        <v>8402</v>
      </c>
    </row>
    <row r="119" spans="1:29" s="536" customFormat="1" x14ac:dyDescent="0.2">
      <c r="A119" s="569"/>
      <c r="B119" s="671"/>
      <c r="C119" s="665" t="s">
        <v>1658</v>
      </c>
      <c r="D119" s="666"/>
      <c r="E119" s="666"/>
      <c r="F119" s="563"/>
      <c r="G119" s="563"/>
      <c r="H119" s="563"/>
      <c r="I119" s="563"/>
      <c r="J119" s="566"/>
      <c r="K119" s="563"/>
      <c r="L119" s="566"/>
      <c r="M119" s="565"/>
      <c r="N119" s="564"/>
    </row>
    <row r="120" spans="1:29" s="536" customFormat="1" ht="22.5" x14ac:dyDescent="0.2">
      <c r="A120" s="609"/>
      <c r="B120" s="552" t="s">
        <v>718</v>
      </c>
      <c r="C120" s="1822" t="s">
        <v>719</v>
      </c>
      <c r="D120" s="1822"/>
      <c r="E120" s="1822"/>
      <c r="F120" s="1822"/>
      <c r="G120" s="1822"/>
      <c r="H120" s="1822"/>
      <c r="I120" s="1822"/>
      <c r="J120" s="1822"/>
      <c r="K120" s="1822"/>
      <c r="L120" s="1822"/>
      <c r="M120" s="1822"/>
      <c r="N120" s="1827"/>
      <c r="X120" s="537" t="s">
        <v>719</v>
      </c>
    </row>
    <row r="121" spans="1:29" s="536" customFormat="1" ht="33.75" x14ac:dyDescent="0.2">
      <c r="A121" s="575" t="s">
        <v>197</v>
      </c>
      <c r="B121" s="670" t="s">
        <v>8403</v>
      </c>
      <c r="C121" s="1823" t="s">
        <v>8404</v>
      </c>
      <c r="D121" s="1823"/>
      <c r="E121" s="1823"/>
      <c r="F121" s="573" t="s">
        <v>307</v>
      </c>
      <c r="G121" s="573"/>
      <c r="H121" s="573"/>
      <c r="I121" s="573" t="s">
        <v>809</v>
      </c>
      <c r="J121" s="572"/>
      <c r="K121" s="573"/>
      <c r="L121" s="572"/>
      <c r="M121" s="571"/>
      <c r="N121" s="570"/>
      <c r="W121" s="537" t="s">
        <v>8404</v>
      </c>
    </row>
    <row r="122" spans="1:29" s="536" customFormat="1" x14ac:dyDescent="0.2">
      <c r="A122" s="676"/>
      <c r="B122" s="664"/>
      <c r="C122" s="1822" t="s">
        <v>843</v>
      </c>
      <c r="D122" s="1822"/>
      <c r="E122" s="1822"/>
      <c r="F122" s="1822"/>
      <c r="G122" s="1822"/>
      <c r="H122" s="1822"/>
      <c r="I122" s="1822"/>
      <c r="J122" s="1822"/>
      <c r="K122" s="1822"/>
      <c r="L122" s="1822"/>
      <c r="M122" s="1822"/>
      <c r="N122" s="1827"/>
      <c r="AC122" s="537" t="s">
        <v>843</v>
      </c>
    </row>
    <row r="123" spans="1:29" s="536" customFormat="1" ht="33.75" x14ac:dyDescent="0.2">
      <c r="A123" s="609"/>
      <c r="B123" s="552" t="s">
        <v>310</v>
      </c>
      <c r="C123" s="1822" t="s">
        <v>311</v>
      </c>
      <c r="D123" s="1822"/>
      <c r="E123" s="1822"/>
      <c r="F123" s="1822"/>
      <c r="G123" s="1822"/>
      <c r="H123" s="1822"/>
      <c r="I123" s="1822"/>
      <c r="J123" s="1822"/>
      <c r="K123" s="1822"/>
      <c r="L123" s="1822"/>
      <c r="M123" s="1822"/>
      <c r="N123" s="1827"/>
      <c r="X123" s="537" t="s">
        <v>311</v>
      </c>
    </row>
    <row r="124" spans="1:29" s="536" customFormat="1" x14ac:dyDescent="0.2">
      <c r="A124" s="605"/>
      <c r="B124" s="552" t="s">
        <v>185</v>
      </c>
      <c r="C124" s="1822" t="s">
        <v>312</v>
      </c>
      <c r="D124" s="1822"/>
      <c r="E124" s="1822"/>
      <c r="F124" s="562"/>
      <c r="G124" s="562"/>
      <c r="H124" s="562"/>
      <c r="I124" s="562"/>
      <c r="J124" s="604">
        <v>550.86</v>
      </c>
      <c r="K124" s="562" t="s">
        <v>313</v>
      </c>
      <c r="L124" s="604">
        <v>6.89</v>
      </c>
      <c r="M124" s="603"/>
      <c r="N124" s="602"/>
      <c r="Y124" s="537" t="s">
        <v>312</v>
      </c>
    </row>
    <row r="125" spans="1:29" s="536" customFormat="1" x14ac:dyDescent="0.2">
      <c r="A125" s="605"/>
      <c r="B125" s="552" t="s">
        <v>186</v>
      </c>
      <c r="C125" s="1822" t="s">
        <v>344</v>
      </c>
      <c r="D125" s="1822"/>
      <c r="E125" s="1822"/>
      <c r="F125" s="562"/>
      <c r="G125" s="562"/>
      <c r="H125" s="562"/>
      <c r="I125" s="562"/>
      <c r="J125" s="604">
        <v>9.06</v>
      </c>
      <c r="K125" s="562" t="s">
        <v>313</v>
      </c>
      <c r="L125" s="604">
        <v>0.11</v>
      </c>
      <c r="M125" s="603"/>
      <c r="N125" s="602"/>
      <c r="Y125" s="537" t="s">
        <v>344</v>
      </c>
    </row>
    <row r="126" spans="1:29" s="536" customFormat="1" x14ac:dyDescent="0.2">
      <c r="A126" s="605"/>
      <c r="B126" s="552" t="s">
        <v>187</v>
      </c>
      <c r="C126" s="1822" t="s">
        <v>345</v>
      </c>
      <c r="D126" s="1822"/>
      <c r="E126" s="1822"/>
      <c r="F126" s="562"/>
      <c r="G126" s="562"/>
      <c r="H126" s="562"/>
      <c r="I126" s="562"/>
      <c r="J126" s="604">
        <v>1.26</v>
      </c>
      <c r="K126" s="562" t="s">
        <v>313</v>
      </c>
      <c r="L126" s="604">
        <v>0.02</v>
      </c>
      <c r="M126" s="603"/>
      <c r="N126" s="602"/>
      <c r="Y126" s="537" t="s">
        <v>345</v>
      </c>
    </row>
    <row r="127" spans="1:29" s="536" customFormat="1" x14ac:dyDescent="0.2">
      <c r="A127" s="605"/>
      <c r="B127" s="552" t="s">
        <v>188</v>
      </c>
      <c r="C127" s="1822" t="s">
        <v>475</v>
      </c>
      <c r="D127" s="1822"/>
      <c r="E127" s="1822"/>
      <c r="F127" s="562"/>
      <c r="G127" s="562"/>
      <c r="H127" s="562"/>
      <c r="I127" s="562"/>
      <c r="J127" s="604">
        <v>67.19</v>
      </c>
      <c r="K127" s="562"/>
      <c r="L127" s="604">
        <v>0.67</v>
      </c>
      <c r="M127" s="603"/>
      <c r="N127" s="602"/>
      <c r="Y127" s="537" t="s">
        <v>475</v>
      </c>
    </row>
    <row r="128" spans="1:29" s="536" customFormat="1" x14ac:dyDescent="0.2">
      <c r="A128" s="605"/>
      <c r="B128" s="552"/>
      <c r="C128" s="1822" t="s">
        <v>314</v>
      </c>
      <c r="D128" s="1822"/>
      <c r="E128" s="1822"/>
      <c r="F128" s="562" t="s">
        <v>315</v>
      </c>
      <c r="G128" s="562" t="s">
        <v>8405</v>
      </c>
      <c r="H128" s="562" t="s">
        <v>313</v>
      </c>
      <c r="I128" s="562" t="s">
        <v>8406</v>
      </c>
      <c r="J128" s="604"/>
      <c r="K128" s="562"/>
      <c r="L128" s="604"/>
      <c r="M128" s="603"/>
      <c r="N128" s="602"/>
      <c r="Z128" s="537" t="s">
        <v>314</v>
      </c>
    </row>
    <row r="129" spans="1:28" s="536" customFormat="1" x14ac:dyDescent="0.2">
      <c r="A129" s="605"/>
      <c r="B129" s="552"/>
      <c r="C129" s="1822" t="s">
        <v>348</v>
      </c>
      <c r="D129" s="1822"/>
      <c r="E129" s="1822"/>
      <c r="F129" s="562" t="s">
        <v>315</v>
      </c>
      <c r="G129" s="562" t="s">
        <v>2323</v>
      </c>
      <c r="H129" s="562" t="s">
        <v>313</v>
      </c>
      <c r="I129" s="562" t="s">
        <v>2207</v>
      </c>
      <c r="J129" s="604"/>
      <c r="K129" s="562"/>
      <c r="L129" s="604"/>
      <c r="M129" s="603"/>
      <c r="N129" s="602"/>
      <c r="Z129" s="537" t="s">
        <v>348</v>
      </c>
    </row>
    <row r="130" spans="1:28" s="536" customFormat="1" x14ac:dyDescent="0.2">
      <c r="A130" s="605"/>
      <c r="B130" s="552"/>
      <c r="C130" s="1828" t="s">
        <v>318</v>
      </c>
      <c r="D130" s="1828"/>
      <c r="E130" s="1828"/>
      <c r="F130" s="608"/>
      <c r="G130" s="608"/>
      <c r="H130" s="608"/>
      <c r="I130" s="608"/>
      <c r="J130" s="607">
        <v>627.11</v>
      </c>
      <c r="K130" s="608"/>
      <c r="L130" s="607">
        <v>7.67</v>
      </c>
      <c r="M130" s="601"/>
      <c r="N130" s="606"/>
      <c r="AA130" s="537" t="s">
        <v>318</v>
      </c>
    </row>
    <row r="131" spans="1:28" s="536" customFormat="1" x14ac:dyDescent="0.2">
      <c r="A131" s="605"/>
      <c r="B131" s="552"/>
      <c r="C131" s="1822" t="s">
        <v>319</v>
      </c>
      <c r="D131" s="1822"/>
      <c r="E131" s="1822"/>
      <c r="F131" s="562"/>
      <c r="G131" s="562"/>
      <c r="H131" s="562"/>
      <c r="I131" s="562"/>
      <c r="J131" s="604"/>
      <c r="K131" s="562"/>
      <c r="L131" s="604">
        <v>6.91</v>
      </c>
      <c r="M131" s="603"/>
      <c r="N131" s="602"/>
      <c r="Z131" s="537" t="s">
        <v>319</v>
      </c>
    </row>
    <row r="132" spans="1:28" s="536" customFormat="1" ht="33.75" x14ac:dyDescent="0.2">
      <c r="A132" s="605"/>
      <c r="B132" s="552" t="s">
        <v>1631</v>
      </c>
      <c r="C132" s="1822" t="s">
        <v>1632</v>
      </c>
      <c r="D132" s="1822"/>
      <c r="E132" s="1822"/>
      <c r="F132" s="562" t="s">
        <v>322</v>
      </c>
      <c r="G132" s="562" t="s">
        <v>1633</v>
      </c>
      <c r="H132" s="562"/>
      <c r="I132" s="562" t="s">
        <v>1633</v>
      </c>
      <c r="J132" s="604"/>
      <c r="K132" s="562"/>
      <c r="L132" s="604">
        <v>6.7</v>
      </c>
      <c r="M132" s="603"/>
      <c r="N132" s="602"/>
      <c r="Z132" s="537" t="s">
        <v>1632</v>
      </c>
    </row>
    <row r="133" spans="1:28" s="536" customFormat="1" ht="33.75" x14ac:dyDescent="0.2">
      <c r="A133" s="605"/>
      <c r="B133" s="552" t="s">
        <v>1634</v>
      </c>
      <c r="C133" s="1822" t="s">
        <v>1635</v>
      </c>
      <c r="D133" s="1822"/>
      <c r="E133" s="1822"/>
      <c r="F133" s="562" t="s">
        <v>322</v>
      </c>
      <c r="G133" s="562" t="s">
        <v>786</v>
      </c>
      <c r="H133" s="562"/>
      <c r="I133" s="562" t="s">
        <v>786</v>
      </c>
      <c r="J133" s="604"/>
      <c r="K133" s="562"/>
      <c r="L133" s="604">
        <v>3.52</v>
      </c>
      <c r="M133" s="603"/>
      <c r="N133" s="602"/>
      <c r="Z133" s="537" t="s">
        <v>1635</v>
      </c>
    </row>
    <row r="134" spans="1:28" s="536" customFormat="1" x14ac:dyDescent="0.2">
      <c r="A134" s="569"/>
      <c r="B134" s="671"/>
      <c r="C134" s="1823" t="s">
        <v>327</v>
      </c>
      <c r="D134" s="1823"/>
      <c r="E134" s="1823"/>
      <c r="F134" s="573"/>
      <c r="G134" s="573"/>
      <c r="H134" s="573"/>
      <c r="I134" s="573"/>
      <c r="J134" s="572"/>
      <c r="K134" s="573"/>
      <c r="L134" s="572">
        <v>17.89</v>
      </c>
      <c r="M134" s="601"/>
      <c r="N134" s="570"/>
      <c r="AB134" s="537" t="s">
        <v>327</v>
      </c>
    </row>
    <row r="135" spans="1:28" s="536" customFormat="1" ht="33.75" x14ac:dyDescent="0.2">
      <c r="A135" s="575" t="s">
        <v>8203</v>
      </c>
      <c r="B135" s="670" t="s">
        <v>8407</v>
      </c>
      <c r="C135" s="1823" t="s">
        <v>8408</v>
      </c>
      <c r="D135" s="1823"/>
      <c r="E135" s="1823"/>
      <c r="F135" s="573" t="s">
        <v>628</v>
      </c>
      <c r="G135" s="573"/>
      <c r="H135" s="573"/>
      <c r="I135" s="573" t="s">
        <v>185</v>
      </c>
      <c r="J135" s="572">
        <v>2492.1</v>
      </c>
      <c r="K135" s="573" t="s">
        <v>629</v>
      </c>
      <c r="L135" s="572">
        <v>549.46</v>
      </c>
      <c r="M135" s="571">
        <v>4.59</v>
      </c>
      <c r="N135" s="570">
        <v>2522</v>
      </c>
      <c r="W135" s="537" t="s">
        <v>8408</v>
      </c>
    </row>
    <row r="136" spans="1:28" s="536" customFormat="1" x14ac:dyDescent="0.2">
      <c r="A136" s="569"/>
      <c r="B136" s="671"/>
      <c r="C136" s="665" t="s">
        <v>630</v>
      </c>
      <c r="D136" s="666"/>
      <c r="E136" s="666"/>
      <c r="F136" s="563"/>
      <c r="G136" s="563"/>
      <c r="H136" s="563"/>
      <c r="I136" s="563"/>
      <c r="J136" s="566"/>
      <c r="K136" s="563"/>
      <c r="L136" s="566"/>
      <c r="M136" s="565"/>
      <c r="N136" s="564"/>
    </row>
    <row r="137" spans="1:28" s="536" customFormat="1" ht="22.5" x14ac:dyDescent="0.2">
      <c r="A137" s="609"/>
      <c r="B137" s="552" t="s">
        <v>631</v>
      </c>
      <c r="C137" s="1822" t="s">
        <v>632</v>
      </c>
      <c r="D137" s="1822"/>
      <c r="E137" s="1822"/>
      <c r="F137" s="1822"/>
      <c r="G137" s="1822"/>
      <c r="H137" s="1822"/>
      <c r="I137" s="1822"/>
      <c r="J137" s="1822"/>
      <c r="K137" s="1822"/>
      <c r="L137" s="1822"/>
      <c r="M137" s="1822"/>
      <c r="N137" s="1827"/>
      <c r="X137" s="537" t="s">
        <v>632</v>
      </c>
    </row>
    <row r="138" spans="1:28" s="536" customFormat="1" ht="33.75" x14ac:dyDescent="0.2">
      <c r="A138" s="575" t="s">
        <v>199</v>
      </c>
      <c r="B138" s="670" t="s">
        <v>1626</v>
      </c>
      <c r="C138" s="1823" t="s">
        <v>1627</v>
      </c>
      <c r="D138" s="1823"/>
      <c r="E138" s="1823"/>
      <c r="F138" s="573" t="s">
        <v>617</v>
      </c>
      <c r="G138" s="573"/>
      <c r="H138" s="573"/>
      <c r="I138" s="573" t="s">
        <v>196</v>
      </c>
      <c r="J138" s="572"/>
      <c r="K138" s="573"/>
      <c r="L138" s="572"/>
      <c r="M138" s="571"/>
      <c r="N138" s="570"/>
      <c r="W138" s="537" t="s">
        <v>1627</v>
      </c>
    </row>
    <row r="139" spans="1:28" s="536" customFormat="1" ht="33.75" x14ac:dyDescent="0.2">
      <c r="A139" s="609"/>
      <c r="B139" s="552" t="s">
        <v>310</v>
      </c>
      <c r="C139" s="1822" t="s">
        <v>311</v>
      </c>
      <c r="D139" s="1822"/>
      <c r="E139" s="1822"/>
      <c r="F139" s="1822"/>
      <c r="G139" s="1822"/>
      <c r="H139" s="1822"/>
      <c r="I139" s="1822"/>
      <c r="J139" s="1822"/>
      <c r="K139" s="1822"/>
      <c r="L139" s="1822"/>
      <c r="M139" s="1822"/>
      <c r="N139" s="1827"/>
      <c r="X139" s="537" t="s">
        <v>311</v>
      </c>
    </row>
    <row r="140" spans="1:28" s="536" customFormat="1" x14ac:dyDescent="0.2">
      <c r="A140" s="605"/>
      <c r="B140" s="552" t="s">
        <v>185</v>
      </c>
      <c r="C140" s="1822" t="s">
        <v>312</v>
      </c>
      <c r="D140" s="1822"/>
      <c r="E140" s="1822"/>
      <c r="F140" s="562"/>
      <c r="G140" s="562"/>
      <c r="H140" s="562"/>
      <c r="I140" s="562"/>
      <c r="J140" s="604">
        <v>20.440000000000001</v>
      </c>
      <c r="K140" s="562" t="s">
        <v>313</v>
      </c>
      <c r="L140" s="604">
        <v>306.60000000000002</v>
      </c>
      <c r="M140" s="603"/>
      <c r="N140" s="602"/>
      <c r="Y140" s="537" t="s">
        <v>312</v>
      </c>
    </row>
    <row r="141" spans="1:28" s="536" customFormat="1" x14ac:dyDescent="0.2">
      <c r="A141" s="605"/>
      <c r="B141" s="552" t="s">
        <v>186</v>
      </c>
      <c r="C141" s="1822" t="s">
        <v>344</v>
      </c>
      <c r="D141" s="1822"/>
      <c r="E141" s="1822"/>
      <c r="F141" s="562"/>
      <c r="G141" s="562"/>
      <c r="H141" s="562"/>
      <c r="I141" s="562"/>
      <c r="J141" s="604">
        <v>33.47</v>
      </c>
      <c r="K141" s="562" t="s">
        <v>313</v>
      </c>
      <c r="L141" s="604">
        <v>502.05</v>
      </c>
      <c r="M141" s="603"/>
      <c r="N141" s="602"/>
      <c r="Y141" s="537" t="s">
        <v>344</v>
      </c>
    </row>
    <row r="142" spans="1:28" s="536" customFormat="1" x14ac:dyDescent="0.2">
      <c r="A142" s="605"/>
      <c r="B142" s="552" t="s">
        <v>187</v>
      </c>
      <c r="C142" s="1822" t="s">
        <v>345</v>
      </c>
      <c r="D142" s="1822"/>
      <c r="E142" s="1822"/>
      <c r="F142" s="562"/>
      <c r="G142" s="562"/>
      <c r="H142" s="562"/>
      <c r="I142" s="562"/>
      <c r="J142" s="604">
        <v>3.42</v>
      </c>
      <c r="K142" s="562" t="s">
        <v>313</v>
      </c>
      <c r="L142" s="604">
        <v>51.3</v>
      </c>
      <c r="M142" s="603"/>
      <c r="N142" s="602"/>
      <c r="Y142" s="537" t="s">
        <v>345</v>
      </c>
    </row>
    <row r="143" spans="1:28" s="536" customFormat="1" x14ac:dyDescent="0.2">
      <c r="A143" s="605"/>
      <c r="B143" s="552" t="s">
        <v>188</v>
      </c>
      <c r="C143" s="1822" t="s">
        <v>475</v>
      </c>
      <c r="D143" s="1822"/>
      <c r="E143" s="1822"/>
      <c r="F143" s="562"/>
      <c r="G143" s="562"/>
      <c r="H143" s="562"/>
      <c r="I143" s="562"/>
      <c r="J143" s="604">
        <v>2.94</v>
      </c>
      <c r="K143" s="562"/>
      <c r="L143" s="604">
        <v>35.28</v>
      </c>
      <c r="M143" s="603"/>
      <c r="N143" s="602"/>
      <c r="Y143" s="537" t="s">
        <v>475</v>
      </c>
    </row>
    <row r="144" spans="1:28" s="536" customFormat="1" x14ac:dyDescent="0.2">
      <c r="A144" s="605"/>
      <c r="B144" s="552"/>
      <c r="C144" s="1822" t="s">
        <v>314</v>
      </c>
      <c r="D144" s="1822"/>
      <c r="E144" s="1822"/>
      <c r="F144" s="562" t="s">
        <v>315</v>
      </c>
      <c r="G144" s="562" t="s">
        <v>807</v>
      </c>
      <c r="H144" s="562" t="s">
        <v>313</v>
      </c>
      <c r="I144" s="562" t="s">
        <v>8409</v>
      </c>
      <c r="J144" s="604"/>
      <c r="K144" s="562"/>
      <c r="L144" s="604"/>
      <c r="M144" s="603"/>
      <c r="N144" s="602"/>
      <c r="Z144" s="537" t="s">
        <v>314</v>
      </c>
    </row>
    <row r="145" spans="1:29" s="536" customFormat="1" x14ac:dyDescent="0.2">
      <c r="A145" s="605"/>
      <c r="B145" s="552"/>
      <c r="C145" s="1822" t="s">
        <v>348</v>
      </c>
      <c r="D145" s="1822"/>
      <c r="E145" s="1822"/>
      <c r="F145" s="562" t="s">
        <v>315</v>
      </c>
      <c r="G145" s="562" t="s">
        <v>1629</v>
      </c>
      <c r="H145" s="562" t="s">
        <v>313</v>
      </c>
      <c r="I145" s="562" t="s">
        <v>3172</v>
      </c>
      <c r="J145" s="604"/>
      <c r="K145" s="562"/>
      <c r="L145" s="604"/>
      <c r="M145" s="603"/>
      <c r="N145" s="602"/>
      <c r="Z145" s="537" t="s">
        <v>348</v>
      </c>
    </row>
    <row r="146" spans="1:29" s="536" customFormat="1" x14ac:dyDescent="0.2">
      <c r="A146" s="605"/>
      <c r="B146" s="552"/>
      <c r="C146" s="1828" t="s">
        <v>318</v>
      </c>
      <c r="D146" s="1828"/>
      <c r="E146" s="1828"/>
      <c r="F146" s="608"/>
      <c r="G146" s="608"/>
      <c r="H146" s="608"/>
      <c r="I146" s="608"/>
      <c r="J146" s="607">
        <v>56.85</v>
      </c>
      <c r="K146" s="608"/>
      <c r="L146" s="607">
        <v>843.93</v>
      </c>
      <c r="M146" s="601"/>
      <c r="N146" s="606"/>
      <c r="AA146" s="537" t="s">
        <v>318</v>
      </c>
    </row>
    <row r="147" spans="1:29" s="536" customFormat="1" x14ac:dyDescent="0.2">
      <c r="A147" s="605"/>
      <c r="B147" s="552"/>
      <c r="C147" s="1822" t="s">
        <v>319</v>
      </c>
      <c r="D147" s="1822"/>
      <c r="E147" s="1822"/>
      <c r="F147" s="562"/>
      <c r="G147" s="562"/>
      <c r="H147" s="562"/>
      <c r="I147" s="562"/>
      <c r="J147" s="604"/>
      <c r="K147" s="562"/>
      <c r="L147" s="604">
        <v>357.9</v>
      </c>
      <c r="M147" s="603"/>
      <c r="N147" s="602"/>
      <c r="Z147" s="537" t="s">
        <v>319</v>
      </c>
    </row>
    <row r="148" spans="1:29" s="536" customFormat="1" ht="33.75" x14ac:dyDescent="0.2">
      <c r="A148" s="605"/>
      <c r="B148" s="552" t="s">
        <v>1631</v>
      </c>
      <c r="C148" s="1822" t="s">
        <v>1632</v>
      </c>
      <c r="D148" s="1822"/>
      <c r="E148" s="1822"/>
      <c r="F148" s="562" t="s">
        <v>322</v>
      </c>
      <c r="G148" s="562" t="s">
        <v>1633</v>
      </c>
      <c r="H148" s="562"/>
      <c r="I148" s="562" t="s">
        <v>1633</v>
      </c>
      <c r="J148" s="604"/>
      <c r="K148" s="562"/>
      <c r="L148" s="604">
        <v>347.16</v>
      </c>
      <c r="M148" s="603"/>
      <c r="N148" s="602"/>
      <c r="Z148" s="537" t="s">
        <v>1632</v>
      </c>
    </row>
    <row r="149" spans="1:29" s="536" customFormat="1" ht="33.75" x14ac:dyDescent="0.2">
      <c r="A149" s="605"/>
      <c r="B149" s="552" t="s">
        <v>1634</v>
      </c>
      <c r="C149" s="1822" t="s">
        <v>1635</v>
      </c>
      <c r="D149" s="1822"/>
      <c r="E149" s="1822"/>
      <c r="F149" s="562" t="s">
        <v>322</v>
      </c>
      <c r="G149" s="562" t="s">
        <v>786</v>
      </c>
      <c r="H149" s="562"/>
      <c r="I149" s="562" t="s">
        <v>786</v>
      </c>
      <c r="J149" s="604"/>
      <c r="K149" s="562"/>
      <c r="L149" s="604">
        <v>182.53</v>
      </c>
      <c r="M149" s="603"/>
      <c r="N149" s="602"/>
      <c r="Z149" s="537" t="s">
        <v>1635</v>
      </c>
    </row>
    <row r="150" spans="1:29" s="536" customFormat="1" x14ac:dyDescent="0.2">
      <c r="A150" s="569"/>
      <c r="B150" s="671"/>
      <c r="C150" s="1823" t="s">
        <v>327</v>
      </c>
      <c r="D150" s="1823"/>
      <c r="E150" s="1823"/>
      <c r="F150" s="573"/>
      <c r="G150" s="573"/>
      <c r="H150" s="573"/>
      <c r="I150" s="573"/>
      <c r="J150" s="572"/>
      <c r="K150" s="573"/>
      <c r="L150" s="572">
        <v>1373.62</v>
      </c>
      <c r="M150" s="601"/>
      <c r="N150" s="570"/>
      <c r="AB150" s="537" t="s">
        <v>327</v>
      </c>
    </row>
    <row r="151" spans="1:29" s="536" customFormat="1" ht="33.75" x14ac:dyDescent="0.2">
      <c r="A151" s="575" t="s">
        <v>898</v>
      </c>
      <c r="B151" s="670" t="s">
        <v>8309</v>
      </c>
      <c r="C151" s="1823" t="s">
        <v>8410</v>
      </c>
      <c r="D151" s="1823"/>
      <c r="E151" s="1823"/>
      <c r="F151" s="573" t="s">
        <v>628</v>
      </c>
      <c r="G151" s="573"/>
      <c r="H151" s="573"/>
      <c r="I151" s="573" t="s">
        <v>196</v>
      </c>
      <c r="J151" s="572">
        <v>65242.12</v>
      </c>
      <c r="K151" s="573" t="s">
        <v>629</v>
      </c>
      <c r="L151" s="572">
        <v>172614.38</v>
      </c>
      <c r="M151" s="571">
        <v>4.59</v>
      </c>
      <c r="N151" s="570">
        <v>792300</v>
      </c>
      <c r="W151" s="537" t="s">
        <v>8410</v>
      </c>
    </row>
    <row r="152" spans="1:29" s="536" customFormat="1" x14ac:dyDescent="0.2">
      <c r="A152" s="569"/>
      <c r="B152" s="671"/>
      <c r="C152" s="665" t="s">
        <v>630</v>
      </c>
      <c r="D152" s="666"/>
      <c r="E152" s="666"/>
      <c r="F152" s="563"/>
      <c r="G152" s="563"/>
      <c r="H152" s="563"/>
      <c r="I152" s="563"/>
      <c r="J152" s="566"/>
      <c r="K152" s="563"/>
      <c r="L152" s="566"/>
      <c r="M152" s="565"/>
      <c r="N152" s="564"/>
    </row>
    <row r="153" spans="1:29" s="536" customFormat="1" ht="22.5" x14ac:dyDescent="0.2">
      <c r="A153" s="609"/>
      <c r="B153" s="552" t="s">
        <v>631</v>
      </c>
      <c r="C153" s="1822" t="s">
        <v>632</v>
      </c>
      <c r="D153" s="1822"/>
      <c r="E153" s="1822"/>
      <c r="F153" s="1822"/>
      <c r="G153" s="1822"/>
      <c r="H153" s="1822"/>
      <c r="I153" s="1822"/>
      <c r="J153" s="1822"/>
      <c r="K153" s="1822"/>
      <c r="L153" s="1822"/>
      <c r="M153" s="1822"/>
      <c r="N153" s="1827"/>
      <c r="X153" s="537" t="s">
        <v>632</v>
      </c>
    </row>
    <row r="154" spans="1:29" s="536" customFormat="1" ht="33.75" x14ac:dyDescent="0.2">
      <c r="A154" s="575" t="s">
        <v>425</v>
      </c>
      <c r="B154" s="670" t="s">
        <v>8311</v>
      </c>
      <c r="C154" s="1823" t="s">
        <v>8411</v>
      </c>
      <c r="D154" s="1823"/>
      <c r="E154" s="1823"/>
      <c r="F154" s="573" t="s">
        <v>628</v>
      </c>
      <c r="G154" s="573"/>
      <c r="H154" s="573"/>
      <c r="I154" s="573" t="s">
        <v>196</v>
      </c>
      <c r="J154" s="572">
        <v>2983.5</v>
      </c>
      <c r="K154" s="573" t="s">
        <v>716</v>
      </c>
      <c r="L154" s="572">
        <v>4389.18</v>
      </c>
      <c r="M154" s="571">
        <v>8.32</v>
      </c>
      <c r="N154" s="570">
        <v>36518</v>
      </c>
      <c r="W154" s="537" t="s">
        <v>8411</v>
      </c>
    </row>
    <row r="155" spans="1:29" s="536" customFormat="1" x14ac:dyDescent="0.2">
      <c r="A155" s="569"/>
      <c r="B155" s="671"/>
      <c r="C155" s="665" t="s">
        <v>1658</v>
      </c>
      <c r="D155" s="666"/>
      <c r="E155" s="666"/>
      <c r="F155" s="563"/>
      <c r="G155" s="563"/>
      <c r="H155" s="563"/>
      <c r="I155" s="563"/>
      <c r="J155" s="566"/>
      <c r="K155" s="563"/>
      <c r="L155" s="566"/>
      <c r="M155" s="565"/>
      <c r="N155" s="564"/>
    </row>
    <row r="156" spans="1:29" s="536" customFormat="1" ht="22.5" x14ac:dyDescent="0.2">
      <c r="A156" s="609"/>
      <c r="B156" s="552" t="s">
        <v>718</v>
      </c>
      <c r="C156" s="1822" t="s">
        <v>719</v>
      </c>
      <c r="D156" s="1822"/>
      <c r="E156" s="1822"/>
      <c r="F156" s="1822"/>
      <c r="G156" s="1822"/>
      <c r="H156" s="1822"/>
      <c r="I156" s="1822"/>
      <c r="J156" s="1822"/>
      <c r="K156" s="1822"/>
      <c r="L156" s="1822"/>
      <c r="M156" s="1822"/>
      <c r="N156" s="1827"/>
      <c r="X156" s="537" t="s">
        <v>719</v>
      </c>
    </row>
    <row r="157" spans="1:29" s="536" customFormat="1" ht="22.5" x14ac:dyDescent="0.2">
      <c r="A157" s="575" t="s">
        <v>430</v>
      </c>
      <c r="B157" s="670" t="s">
        <v>3150</v>
      </c>
      <c r="C157" s="1823" t="s">
        <v>3151</v>
      </c>
      <c r="D157" s="1823"/>
      <c r="E157" s="1823"/>
      <c r="F157" s="573" t="s">
        <v>617</v>
      </c>
      <c r="G157" s="573"/>
      <c r="H157" s="573"/>
      <c r="I157" s="573" t="s">
        <v>187</v>
      </c>
      <c r="J157" s="572"/>
      <c r="K157" s="573"/>
      <c r="L157" s="572"/>
      <c r="M157" s="571"/>
      <c r="N157" s="570"/>
      <c r="W157" s="537" t="s">
        <v>3151</v>
      </c>
    </row>
    <row r="158" spans="1:29" s="536" customFormat="1" x14ac:dyDescent="0.2">
      <c r="A158" s="676"/>
      <c r="B158" s="664"/>
      <c r="C158" s="1822" t="s">
        <v>8412</v>
      </c>
      <c r="D158" s="1822"/>
      <c r="E158" s="1822"/>
      <c r="F158" s="1822"/>
      <c r="G158" s="1822"/>
      <c r="H158" s="1822"/>
      <c r="I158" s="1822"/>
      <c r="J158" s="1822"/>
      <c r="K158" s="1822"/>
      <c r="L158" s="1822"/>
      <c r="M158" s="1822"/>
      <c r="N158" s="1827"/>
      <c r="AC158" s="537" t="s">
        <v>8412</v>
      </c>
    </row>
    <row r="159" spans="1:29" s="536" customFormat="1" ht="33.75" x14ac:dyDescent="0.2">
      <c r="A159" s="609"/>
      <c r="B159" s="552" t="s">
        <v>310</v>
      </c>
      <c r="C159" s="1822" t="s">
        <v>311</v>
      </c>
      <c r="D159" s="1822"/>
      <c r="E159" s="1822"/>
      <c r="F159" s="1822"/>
      <c r="G159" s="1822"/>
      <c r="H159" s="1822"/>
      <c r="I159" s="1822"/>
      <c r="J159" s="1822"/>
      <c r="K159" s="1822"/>
      <c r="L159" s="1822"/>
      <c r="M159" s="1822"/>
      <c r="N159" s="1827"/>
      <c r="X159" s="537" t="s">
        <v>311</v>
      </c>
    </row>
    <row r="160" spans="1:29" s="536" customFormat="1" x14ac:dyDescent="0.2">
      <c r="A160" s="605"/>
      <c r="B160" s="552" t="s">
        <v>185</v>
      </c>
      <c r="C160" s="1822" t="s">
        <v>312</v>
      </c>
      <c r="D160" s="1822"/>
      <c r="E160" s="1822"/>
      <c r="F160" s="562"/>
      <c r="G160" s="562"/>
      <c r="H160" s="562"/>
      <c r="I160" s="562"/>
      <c r="J160" s="604">
        <v>8.9</v>
      </c>
      <c r="K160" s="562" t="s">
        <v>313</v>
      </c>
      <c r="L160" s="604">
        <v>33.380000000000003</v>
      </c>
      <c r="M160" s="603"/>
      <c r="N160" s="602"/>
      <c r="Y160" s="537" t="s">
        <v>312</v>
      </c>
    </row>
    <row r="161" spans="1:28" s="536" customFormat="1" x14ac:dyDescent="0.2">
      <c r="A161" s="605"/>
      <c r="B161" s="552" t="s">
        <v>186</v>
      </c>
      <c r="C161" s="1822" t="s">
        <v>344</v>
      </c>
      <c r="D161" s="1822"/>
      <c r="E161" s="1822"/>
      <c r="F161" s="562"/>
      <c r="G161" s="562"/>
      <c r="H161" s="562"/>
      <c r="I161" s="562"/>
      <c r="J161" s="604">
        <v>0.66</v>
      </c>
      <c r="K161" s="562" t="s">
        <v>313</v>
      </c>
      <c r="L161" s="604">
        <v>2.48</v>
      </c>
      <c r="M161" s="603"/>
      <c r="N161" s="602"/>
      <c r="Y161" s="537" t="s">
        <v>344</v>
      </c>
    </row>
    <row r="162" spans="1:28" s="536" customFormat="1" x14ac:dyDescent="0.2">
      <c r="A162" s="605"/>
      <c r="B162" s="552" t="s">
        <v>187</v>
      </c>
      <c r="C162" s="1822" t="s">
        <v>345</v>
      </c>
      <c r="D162" s="1822"/>
      <c r="E162" s="1822"/>
      <c r="F162" s="562"/>
      <c r="G162" s="562"/>
      <c r="H162" s="562"/>
      <c r="I162" s="562"/>
      <c r="J162" s="604">
        <v>0.12</v>
      </c>
      <c r="K162" s="562" t="s">
        <v>313</v>
      </c>
      <c r="L162" s="604">
        <v>0.45</v>
      </c>
      <c r="M162" s="603"/>
      <c r="N162" s="602"/>
      <c r="Y162" s="537" t="s">
        <v>345</v>
      </c>
    </row>
    <row r="163" spans="1:28" s="536" customFormat="1" x14ac:dyDescent="0.2">
      <c r="A163" s="605"/>
      <c r="B163" s="552" t="s">
        <v>188</v>
      </c>
      <c r="C163" s="1822" t="s">
        <v>475</v>
      </c>
      <c r="D163" s="1822"/>
      <c r="E163" s="1822"/>
      <c r="F163" s="562"/>
      <c r="G163" s="562"/>
      <c r="H163" s="562"/>
      <c r="I163" s="562"/>
      <c r="J163" s="604">
        <v>0.18</v>
      </c>
      <c r="K163" s="562"/>
      <c r="L163" s="604">
        <v>0.54</v>
      </c>
      <c r="M163" s="603"/>
      <c r="N163" s="602"/>
      <c r="Y163" s="537" t="s">
        <v>475</v>
      </c>
    </row>
    <row r="164" spans="1:28" s="536" customFormat="1" x14ac:dyDescent="0.2">
      <c r="A164" s="605"/>
      <c r="B164" s="552"/>
      <c r="C164" s="1822" t="s">
        <v>314</v>
      </c>
      <c r="D164" s="1822"/>
      <c r="E164" s="1822"/>
      <c r="F164" s="562" t="s">
        <v>315</v>
      </c>
      <c r="G164" s="562" t="s">
        <v>702</v>
      </c>
      <c r="H164" s="562" t="s">
        <v>313</v>
      </c>
      <c r="I164" s="562" t="s">
        <v>821</v>
      </c>
      <c r="J164" s="604"/>
      <c r="K164" s="562"/>
      <c r="L164" s="604"/>
      <c r="M164" s="603"/>
      <c r="N164" s="602"/>
      <c r="Z164" s="537" t="s">
        <v>314</v>
      </c>
    </row>
    <row r="165" spans="1:28" s="536" customFormat="1" x14ac:dyDescent="0.2">
      <c r="A165" s="605"/>
      <c r="B165" s="552"/>
      <c r="C165" s="1822" t="s">
        <v>348</v>
      </c>
      <c r="D165" s="1822"/>
      <c r="E165" s="1822"/>
      <c r="F165" s="562" t="s">
        <v>315</v>
      </c>
      <c r="G165" s="562" t="s">
        <v>809</v>
      </c>
      <c r="H165" s="562" t="s">
        <v>313</v>
      </c>
      <c r="I165" s="562" t="s">
        <v>3163</v>
      </c>
      <c r="J165" s="604"/>
      <c r="K165" s="562"/>
      <c r="L165" s="604"/>
      <c r="M165" s="603"/>
      <c r="N165" s="602"/>
      <c r="Z165" s="537" t="s">
        <v>348</v>
      </c>
    </row>
    <row r="166" spans="1:28" s="536" customFormat="1" x14ac:dyDescent="0.2">
      <c r="A166" s="605"/>
      <c r="B166" s="552"/>
      <c r="C166" s="1828" t="s">
        <v>318</v>
      </c>
      <c r="D166" s="1828"/>
      <c r="E166" s="1828"/>
      <c r="F166" s="608"/>
      <c r="G166" s="608"/>
      <c r="H166" s="608"/>
      <c r="I166" s="608"/>
      <c r="J166" s="607">
        <v>9.74</v>
      </c>
      <c r="K166" s="608"/>
      <c r="L166" s="607">
        <v>36.4</v>
      </c>
      <c r="M166" s="601"/>
      <c r="N166" s="606"/>
      <c r="AA166" s="537" t="s">
        <v>318</v>
      </c>
    </row>
    <row r="167" spans="1:28" s="536" customFormat="1" x14ac:dyDescent="0.2">
      <c r="A167" s="605"/>
      <c r="B167" s="552"/>
      <c r="C167" s="1822" t="s">
        <v>319</v>
      </c>
      <c r="D167" s="1822"/>
      <c r="E167" s="1822"/>
      <c r="F167" s="562"/>
      <c r="G167" s="562"/>
      <c r="H167" s="562"/>
      <c r="I167" s="562"/>
      <c r="J167" s="604"/>
      <c r="K167" s="562"/>
      <c r="L167" s="604">
        <v>33.83</v>
      </c>
      <c r="M167" s="603"/>
      <c r="N167" s="602"/>
      <c r="Z167" s="537" t="s">
        <v>319</v>
      </c>
    </row>
    <row r="168" spans="1:28" s="536" customFormat="1" ht="33.75" x14ac:dyDescent="0.2">
      <c r="A168" s="605"/>
      <c r="B168" s="552" t="s">
        <v>948</v>
      </c>
      <c r="C168" s="1822" t="s">
        <v>949</v>
      </c>
      <c r="D168" s="1822"/>
      <c r="E168" s="1822"/>
      <c r="F168" s="562" t="s">
        <v>322</v>
      </c>
      <c r="G168" s="562" t="s">
        <v>886</v>
      </c>
      <c r="H168" s="562"/>
      <c r="I168" s="562" t="s">
        <v>886</v>
      </c>
      <c r="J168" s="604"/>
      <c r="K168" s="562"/>
      <c r="L168" s="604">
        <v>30.45</v>
      </c>
      <c r="M168" s="603"/>
      <c r="N168" s="602"/>
      <c r="Z168" s="537" t="s">
        <v>949</v>
      </c>
    </row>
    <row r="169" spans="1:28" s="536" customFormat="1" ht="33.75" x14ac:dyDescent="0.2">
      <c r="A169" s="605"/>
      <c r="B169" s="552" t="s">
        <v>950</v>
      </c>
      <c r="C169" s="1822" t="s">
        <v>951</v>
      </c>
      <c r="D169" s="1822"/>
      <c r="E169" s="1822"/>
      <c r="F169" s="562" t="s">
        <v>322</v>
      </c>
      <c r="G169" s="562" t="s">
        <v>465</v>
      </c>
      <c r="H169" s="562"/>
      <c r="I169" s="562" t="s">
        <v>465</v>
      </c>
      <c r="J169" s="604"/>
      <c r="K169" s="562"/>
      <c r="L169" s="604">
        <v>15.56</v>
      </c>
      <c r="M169" s="603"/>
      <c r="N169" s="602"/>
      <c r="Z169" s="537" t="s">
        <v>951</v>
      </c>
    </row>
    <row r="170" spans="1:28" s="536" customFormat="1" x14ac:dyDescent="0.2">
      <c r="A170" s="569"/>
      <c r="B170" s="671"/>
      <c r="C170" s="1823" t="s">
        <v>327</v>
      </c>
      <c r="D170" s="1823"/>
      <c r="E170" s="1823"/>
      <c r="F170" s="573"/>
      <c r="G170" s="573"/>
      <c r="H170" s="573"/>
      <c r="I170" s="573"/>
      <c r="J170" s="572"/>
      <c r="K170" s="573"/>
      <c r="L170" s="572">
        <v>82.41</v>
      </c>
      <c r="M170" s="601"/>
      <c r="N170" s="570"/>
      <c r="AB170" s="537" t="s">
        <v>327</v>
      </c>
    </row>
    <row r="171" spans="1:28" s="536" customFormat="1" ht="45" x14ac:dyDescent="0.2">
      <c r="A171" s="575" t="s">
        <v>436</v>
      </c>
      <c r="B171" s="670" t="s">
        <v>8413</v>
      </c>
      <c r="C171" s="1823" t="s">
        <v>8414</v>
      </c>
      <c r="D171" s="1823"/>
      <c r="E171" s="1823"/>
      <c r="F171" s="573" t="s">
        <v>8415</v>
      </c>
      <c r="G171" s="573"/>
      <c r="H171" s="573"/>
      <c r="I171" s="573" t="s">
        <v>187</v>
      </c>
      <c r="J171" s="572"/>
      <c r="K171" s="573"/>
      <c r="L171" s="572"/>
      <c r="M171" s="571"/>
      <c r="N171" s="570"/>
      <c r="W171" s="537" t="s">
        <v>8414</v>
      </c>
    </row>
    <row r="172" spans="1:28" s="536" customFormat="1" ht="33.75" x14ac:dyDescent="0.2">
      <c r="A172" s="609"/>
      <c r="B172" s="552" t="s">
        <v>310</v>
      </c>
      <c r="C172" s="1822" t="s">
        <v>311</v>
      </c>
      <c r="D172" s="1822"/>
      <c r="E172" s="1822"/>
      <c r="F172" s="1822"/>
      <c r="G172" s="1822"/>
      <c r="H172" s="1822"/>
      <c r="I172" s="1822"/>
      <c r="J172" s="1822"/>
      <c r="K172" s="1822"/>
      <c r="L172" s="1822"/>
      <c r="M172" s="1822"/>
      <c r="N172" s="1827"/>
      <c r="X172" s="537" t="s">
        <v>311</v>
      </c>
    </row>
    <row r="173" spans="1:28" s="536" customFormat="1" x14ac:dyDescent="0.2">
      <c r="A173" s="605"/>
      <c r="B173" s="552" t="s">
        <v>185</v>
      </c>
      <c r="C173" s="1822" t="s">
        <v>312</v>
      </c>
      <c r="D173" s="1822"/>
      <c r="E173" s="1822"/>
      <c r="F173" s="562"/>
      <c r="G173" s="562"/>
      <c r="H173" s="562"/>
      <c r="I173" s="562"/>
      <c r="J173" s="604">
        <v>295.8</v>
      </c>
      <c r="K173" s="562" t="s">
        <v>313</v>
      </c>
      <c r="L173" s="604">
        <v>1109.25</v>
      </c>
      <c r="M173" s="603"/>
      <c r="N173" s="602"/>
      <c r="Y173" s="537" t="s">
        <v>312</v>
      </c>
    </row>
    <row r="174" spans="1:28" s="536" customFormat="1" x14ac:dyDescent="0.2">
      <c r="A174" s="605"/>
      <c r="B174" s="552" t="s">
        <v>188</v>
      </c>
      <c r="C174" s="1822" t="s">
        <v>475</v>
      </c>
      <c r="D174" s="1822"/>
      <c r="E174" s="1822"/>
      <c r="F174" s="562"/>
      <c r="G174" s="562"/>
      <c r="H174" s="562"/>
      <c r="I174" s="562"/>
      <c r="J174" s="604">
        <v>5.92</v>
      </c>
      <c r="K174" s="562"/>
      <c r="L174" s="604">
        <v>17.760000000000002</v>
      </c>
      <c r="M174" s="603"/>
      <c r="N174" s="602"/>
      <c r="Y174" s="537" t="s">
        <v>475</v>
      </c>
    </row>
    <row r="175" spans="1:28" s="536" customFormat="1" x14ac:dyDescent="0.2">
      <c r="A175" s="605"/>
      <c r="B175" s="552"/>
      <c r="C175" s="1822" t="s">
        <v>314</v>
      </c>
      <c r="D175" s="1822"/>
      <c r="E175" s="1822"/>
      <c r="F175" s="562" t="s">
        <v>315</v>
      </c>
      <c r="G175" s="562" t="s">
        <v>733</v>
      </c>
      <c r="H175" s="562" t="s">
        <v>313</v>
      </c>
      <c r="I175" s="562" t="s">
        <v>966</v>
      </c>
      <c r="J175" s="604"/>
      <c r="K175" s="562"/>
      <c r="L175" s="604"/>
      <c r="M175" s="603"/>
      <c r="N175" s="602"/>
      <c r="Z175" s="537" t="s">
        <v>314</v>
      </c>
    </row>
    <row r="176" spans="1:28" s="536" customFormat="1" x14ac:dyDescent="0.2">
      <c r="A176" s="605"/>
      <c r="B176" s="552"/>
      <c r="C176" s="1828" t="s">
        <v>318</v>
      </c>
      <c r="D176" s="1828"/>
      <c r="E176" s="1828"/>
      <c r="F176" s="608"/>
      <c r="G176" s="608"/>
      <c r="H176" s="608"/>
      <c r="I176" s="608"/>
      <c r="J176" s="607">
        <v>301.72000000000003</v>
      </c>
      <c r="K176" s="608"/>
      <c r="L176" s="607">
        <v>1127.01</v>
      </c>
      <c r="M176" s="601"/>
      <c r="N176" s="606"/>
      <c r="AA176" s="537" t="s">
        <v>318</v>
      </c>
    </row>
    <row r="177" spans="1:28" s="536" customFormat="1" x14ac:dyDescent="0.2">
      <c r="A177" s="605"/>
      <c r="B177" s="552"/>
      <c r="C177" s="1822" t="s">
        <v>319</v>
      </c>
      <c r="D177" s="1822"/>
      <c r="E177" s="1822"/>
      <c r="F177" s="562"/>
      <c r="G177" s="562"/>
      <c r="H177" s="562"/>
      <c r="I177" s="562"/>
      <c r="J177" s="604"/>
      <c r="K177" s="562"/>
      <c r="L177" s="604">
        <v>1109.25</v>
      </c>
      <c r="M177" s="603"/>
      <c r="N177" s="602"/>
      <c r="Z177" s="537" t="s">
        <v>319</v>
      </c>
    </row>
    <row r="178" spans="1:28" s="536" customFormat="1" ht="33.75" x14ac:dyDescent="0.2">
      <c r="A178" s="605"/>
      <c r="B178" s="552" t="s">
        <v>884</v>
      </c>
      <c r="C178" s="1822" t="s">
        <v>885</v>
      </c>
      <c r="D178" s="1822"/>
      <c r="E178" s="1822"/>
      <c r="F178" s="562" t="s">
        <v>322</v>
      </c>
      <c r="G178" s="562" t="s">
        <v>886</v>
      </c>
      <c r="H178" s="562"/>
      <c r="I178" s="562" t="s">
        <v>886</v>
      </c>
      <c r="J178" s="604"/>
      <c r="K178" s="562"/>
      <c r="L178" s="604">
        <v>998.33</v>
      </c>
      <c r="M178" s="603"/>
      <c r="N178" s="602"/>
      <c r="Z178" s="537" t="s">
        <v>885</v>
      </c>
    </row>
    <row r="179" spans="1:28" s="536" customFormat="1" ht="33.75" x14ac:dyDescent="0.2">
      <c r="A179" s="605"/>
      <c r="B179" s="552" t="s">
        <v>887</v>
      </c>
      <c r="C179" s="1822" t="s">
        <v>888</v>
      </c>
      <c r="D179" s="1822"/>
      <c r="E179" s="1822"/>
      <c r="F179" s="562" t="s">
        <v>322</v>
      </c>
      <c r="G179" s="562" t="s">
        <v>465</v>
      </c>
      <c r="H179" s="562"/>
      <c r="I179" s="562" t="s">
        <v>465</v>
      </c>
      <c r="J179" s="604"/>
      <c r="K179" s="562"/>
      <c r="L179" s="604">
        <v>510.26</v>
      </c>
      <c r="M179" s="603"/>
      <c r="N179" s="602"/>
      <c r="Z179" s="537" t="s">
        <v>888</v>
      </c>
    </row>
    <row r="180" spans="1:28" s="536" customFormat="1" x14ac:dyDescent="0.2">
      <c r="A180" s="569"/>
      <c r="B180" s="671"/>
      <c r="C180" s="1823" t="s">
        <v>327</v>
      </c>
      <c r="D180" s="1823"/>
      <c r="E180" s="1823"/>
      <c r="F180" s="573"/>
      <c r="G180" s="573"/>
      <c r="H180" s="573"/>
      <c r="I180" s="573"/>
      <c r="J180" s="572"/>
      <c r="K180" s="573"/>
      <c r="L180" s="572">
        <v>2635.6</v>
      </c>
      <c r="M180" s="601"/>
      <c r="N180" s="570"/>
      <c r="AB180" s="537" t="s">
        <v>327</v>
      </c>
    </row>
    <row r="181" spans="1:28" s="536" customFormat="1" ht="33.75" x14ac:dyDescent="0.2">
      <c r="A181" s="575" t="s">
        <v>3143</v>
      </c>
      <c r="B181" s="670" t="s">
        <v>8416</v>
      </c>
      <c r="C181" s="1823" t="s">
        <v>8417</v>
      </c>
      <c r="D181" s="1823"/>
      <c r="E181" s="1823"/>
      <c r="F181" s="573" t="s">
        <v>628</v>
      </c>
      <c r="G181" s="573"/>
      <c r="H181" s="573"/>
      <c r="I181" s="573" t="s">
        <v>186</v>
      </c>
      <c r="J181" s="572">
        <v>59099.63</v>
      </c>
      <c r="K181" s="573" t="s">
        <v>629</v>
      </c>
      <c r="L181" s="572">
        <v>26060.57</v>
      </c>
      <c r="M181" s="571">
        <v>4.59</v>
      </c>
      <c r="N181" s="570">
        <v>119618</v>
      </c>
      <c r="W181" s="537" t="s">
        <v>8417</v>
      </c>
    </row>
    <row r="182" spans="1:28" s="536" customFormat="1" x14ac:dyDescent="0.2">
      <c r="A182" s="569"/>
      <c r="B182" s="671"/>
      <c r="C182" s="665" t="s">
        <v>630</v>
      </c>
      <c r="D182" s="666"/>
      <c r="E182" s="666"/>
      <c r="F182" s="563"/>
      <c r="G182" s="563"/>
      <c r="H182" s="563"/>
      <c r="I182" s="563"/>
      <c r="J182" s="566"/>
      <c r="K182" s="563"/>
      <c r="L182" s="566"/>
      <c r="M182" s="565"/>
      <c r="N182" s="564"/>
    </row>
    <row r="183" spans="1:28" s="536" customFormat="1" ht="22.5" x14ac:dyDescent="0.2">
      <c r="A183" s="609"/>
      <c r="B183" s="552" t="s">
        <v>631</v>
      </c>
      <c r="C183" s="1822" t="s">
        <v>632</v>
      </c>
      <c r="D183" s="1822"/>
      <c r="E183" s="1822"/>
      <c r="F183" s="1822"/>
      <c r="G183" s="1822"/>
      <c r="H183" s="1822"/>
      <c r="I183" s="1822"/>
      <c r="J183" s="1822"/>
      <c r="K183" s="1822"/>
      <c r="L183" s="1822"/>
      <c r="M183" s="1822"/>
      <c r="N183" s="1827"/>
      <c r="X183" s="537" t="s">
        <v>632</v>
      </c>
    </row>
    <row r="184" spans="1:28" s="536" customFormat="1" ht="33.75" x14ac:dyDescent="0.2">
      <c r="A184" s="575" t="s">
        <v>910</v>
      </c>
      <c r="B184" s="670" t="s">
        <v>8418</v>
      </c>
      <c r="C184" s="1823" t="s">
        <v>8419</v>
      </c>
      <c r="D184" s="1823"/>
      <c r="E184" s="1823"/>
      <c r="F184" s="573" t="s">
        <v>628</v>
      </c>
      <c r="G184" s="573"/>
      <c r="H184" s="573"/>
      <c r="I184" s="573" t="s">
        <v>185</v>
      </c>
      <c r="J184" s="572">
        <v>44945.38</v>
      </c>
      <c r="K184" s="573" t="s">
        <v>629</v>
      </c>
      <c r="L184" s="572">
        <v>9909.59</v>
      </c>
      <c r="M184" s="571">
        <v>4.59</v>
      </c>
      <c r="N184" s="570">
        <v>45485</v>
      </c>
      <c r="W184" s="537" t="s">
        <v>8419</v>
      </c>
    </row>
    <row r="185" spans="1:28" s="536" customFormat="1" x14ac:dyDescent="0.2">
      <c r="A185" s="569"/>
      <c r="B185" s="671"/>
      <c r="C185" s="665" t="s">
        <v>630</v>
      </c>
      <c r="D185" s="666"/>
      <c r="E185" s="666"/>
      <c r="F185" s="563"/>
      <c r="G185" s="563"/>
      <c r="H185" s="563"/>
      <c r="I185" s="563"/>
      <c r="J185" s="566"/>
      <c r="K185" s="563"/>
      <c r="L185" s="566"/>
      <c r="M185" s="565"/>
      <c r="N185" s="564"/>
    </row>
    <row r="186" spans="1:28" s="536" customFormat="1" ht="22.5" x14ac:dyDescent="0.2">
      <c r="A186" s="609"/>
      <c r="B186" s="552" t="s">
        <v>631</v>
      </c>
      <c r="C186" s="1822" t="s">
        <v>632</v>
      </c>
      <c r="D186" s="1822"/>
      <c r="E186" s="1822"/>
      <c r="F186" s="1822"/>
      <c r="G186" s="1822"/>
      <c r="H186" s="1822"/>
      <c r="I186" s="1822"/>
      <c r="J186" s="1822"/>
      <c r="K186" s="1822"/>
      <c r="L186" s="1822"/>
      <c r="M186" s="1822"/>
      <c r="N186" s="1827"/>
      <c r="X186" s="537" t="s">
        <v>632</v>
      </c>
    </row>
    <row r="187" spans="1:28" s="536" customFormat="1" ht="22.5" x14ac:dyDescent="0.2">
      <c r="A187" s="575" t="s">
        <v>1067</v>
      </c>
      <c r="B187" s="670" t="s">
        <v>3150</v>
      </c>
      <c r="C187" s="1823" t="s">
        <v>3151</v>
      </c>
      <c r="D187" s="1823"/>
      <c r="E187" s="1823"/>
      <c r="F187" s="573" t="s">
        <v>617</v>
      </c>
      <c r="G187" s="573"/>
      <c r="H187" s="573"/>
      <c r="I187" s="573" t="s">
        <v>185</v>
      </c>
      <c r="J187" s="572"/>
      <c r="K187" s="573"/>
      <c r="L187" s="572"/>
      <c r="M187" s="571"/>
      <c r="N187" s="570"/>
      <c r="W187" s="537" t="s">
        <v>3151</v>
      </c>
    </row>
    <row r="188" spans="1:28" s="536" customFormat="1" ht="33.75" x14ac:dyDescent="0.2">
      <c r="A188" s="609"/>
      <c r="B188" s="552" t="s">
        <v>310</v>
      </c>
      <c r="C188" s="1822" t="s">
        <v>311</v>
      </c>
      <c r="D188" s="1822"/>
      <c r="E188" s="1822"/>
      <c r="F188" s="1822"/>
      <c r="G188" s="1822"/>
      <c r="H188" s="1822"/>
      <c r="I188" s="1822"/>
      <c r="J188" s="1822"/>
      <c r="K188" s="1822"/>
      <c r="L188" s="1822"/>
      <c r="M188" s="1822"/>
      <c r="N188" s="1827"/>
      <c r="X188" s="537" t="s">
        <v>311</v>
      </c>
    </row>
    <row r="189" spans="1:28" s="536" customFormat="1" x14ac:dyDescent="0.2">
      <c r="A189" s="605"/>
      <c r="B189" s="552" t="s">
        <v>185</v>
      </c>
      <c r="C189" s="1822" t="s">
        <v>312</v>
      </c>
      <c r="D189" s="1822"/>
      <c r="E189" s="1822"/>
      <c r="F189" s="562"/>
      <c r="G189" s="562"/>
      <c r="H189" s="562"/>
      <c r="I189" s="562"/>
      <c r="J189" s="604">
        <v>8.9</v>
      </c>
      <c r="K189" s="562" t="s">
        <v>313</v>
      </c>
      <c r="L189" s="604">
        <v>11.13</v>
      </c>
      <c r="M189" s="603"/>
      <c r="N189" s="602"/>
      <c r="Y189" s="537" t="s">
        <v>312</v>
      </c>
    </row>
    <row r="190" spans="1:28" s="536" customFormat="1" x14ac:dyDescent="0.2">
      <c r="A190" s="605"/>
      <c r="B190" s="552" t="s">
        <v>186</v>
      </c>
      <c r="C190" s="1822" t="s">
        <v>344</v>
      </c>
      <c r="D190" s="1822"/>
      <c r="E190" s="1822"/>
      <c r="F190" s="562"/>
      <c r="G190" s="562"/>
      <c r="H190" s="562"/>
      <c r="I190" s="562"/>
      <c r="J190" s="604">
        <v>0.66</v>
      </c>
      <c r="K190" s="562" t="s">
        <v>313</v>
      </c>
      <c r="L190" s="604">
        <v>0.83</v>
      </c>
      <c r="M190" s="603"/>
      <c r="N190" s="602"/>
      <c r="Y190" s="537" t="s">
        <v>344</v>
      </c>
    </row>
    <row r="191" spans="1:28" s="536" customFormat="1" x14ac:dyDescent="0.2">
      <c r="A191" s="605"/>
      <c r="B191" s="552" t="s">
        <v>187</v>
      </c>
      <c r="C191" s="1822" t="s">
        <v>345</v>
      </c>
      <c r="D191" s="1822"/>
      <c r="E191" s="1822"/>
      <c r="F191" s="562"/>
      <c r="G191" s="562"/>
      <c r="H191" s="562"/>
      <c r="I191" s="562"/>
      <c r="J191" s="604">
        <v>0.12</v>
      </c>
      <c r="K191" s="562" t="s">
        <v>313</v>
      </c>
      <c r="L191" s="604">
        <v>0.15</v>
      </c>
      <c r="M191" s="603"/>
      <c r="N191" s="602"/>
      <c r="Y191" s="537" t="s">
        <v>345</v>
      </c>
    </row>
    <row r="192" spans="1:28" s="536" customFormat="1" x14ac:dyDescent="0.2">
      <c r="A192" s="605"/>
      <c r="B192" s="552" t="s">
        <v>188</v>
      </c>
      <c r="C192" s="1822" t="s">
        <v>475</v>
      </c>
      <c r="D192" s="1822"/>
      <c r="E192" s="1822"/>
      <c r="F192" s="562"/>
      <c r="G192" s="562"/>
      <c r="H192" s="562"/>
      <c r="I192" s="562"/>
      <c r="J192" s="604">
        <v>0.18</v>
      </c>
      <c r="K192" s="562"/>
      <c r="L192" s="604">
        <v>0.18</v>
      </c>
      <c r="M192" s="603"/>
      <c r="N192" s="602"/>
      <c r="Y192" s="537" t="s">
        <v>475</v>
      </c>
    </row>
    <row r="193" spans="1:30" s="536" customFormat="1" x14ac:dyDescent="0.2">
      <c r="A193" s="605"/>
      <c r="B193" s="552"/>
      <c r="C193" s="1822" t="s">
        <v>314</v>
      </c>
      <c r="D193" s="1822"/>
      <c r="E193" s="1822"/>
      <c r="F193" s="562" t="s">
        <v>315</v>
      </c>
      <c r="G193" s="562" t="s">
        <v>702</v>
      </c>
      <c r="H193" s="562" t="s">
        <v>313</v>
      </c>
      <c r="I193" s="562" t="s">
        <v>3173</v>
      </c>
      <c r="J193" s="604"/>
      <c r="K193" s="562"/>
      <c r="L193" s="604"/>
      <c r="M193" s="603"/>
      <c r="N193" s="602"/>
      <c r="Z193" s="537" t="s">
        <v>314</v>
      </c>
    </row>
    <row r="194" spans="1:30" s="536" customFormat="1" x14ac:dyDescent="0.2">
      <c r="A194" s="605"/>
      <c r="B194" s="552"/>
      <c r="C194" s="1822" t="s">
        <v>348</v>
      </c>
      <c r="D194" s="1822"/>
      <c r="E194" s="1822"/>
      <c r="F194" s="562" t="s">
        <v>315</v>
      </c>
      <c r="G194" s="562" t="s">
        <v>809</v>
      </c>
      <c r="H194" s="562" t="s">
        <v>313</v>
      </c>
      <c r="I194" s="562" t="s">
        <v>810</v>
      </c>
      <c r="J194" s="604"/>
      <c r="K194" s="562"/>
      <c r="L194" s="604"/>
      <c r="M194" s="603"/>
      <c r="N194" s="602"/>
      <c r="Z194" s="537" t="s">
        <v>348</v>
      </c>
    </row>
    <row r="195" spans="1:30" s="536" customFormat="1" x14ac:dyDescent="0.2">
      <c r="A195" s="605"/>
      <c r="B195" s="552"/>
      <c r="C195" s="1828" t="s">
        <v>318</v>
      </c>
      <c r="D195" s="1828"/>
      <c r="E195" s="1828"/>
      <c r="F195" s="608"/>
      <c r="G195" s="608"/>
      <c r="H195" s="608"/>
      <c r="I195" s="608"/>
      <c r="J195" s="607">
        <v>9.74</v>
      </c>
      <c r="K195" s="608"/>
      <c r="L195" s="607">
        <v>12.14</v>
      </c>
      <c r="M195" s="601"/>
      <c r="N195" s="606"/>
      <c r="AA195" s="537" t="s">
        <v>318</v>
      </c>
    </row>
    <row r="196" spans="1:30" s="536" customFormat="1" x14ac:dyDescent="0.2">
      <c r="A196" s="605"/>
      <c r="B196" s="552"/>
      <c r="C196" s="1822" t="s">
        <v>319</v>
      </c>
      <c r="D196" s="1822"/>
      <c r="E196" s="1822"/>
      <c r="F196" s="562"/>
      <c r="G196" s="562"/>
      <c r="H196" s="562"/>
      <c r="I196" s="562"/>
      <c r="J196" s="604"/>
      <c r="K196" s="562"/>
      <c r="L196" s="604">
        <v>11.28</v>
      </c>
      <c r="M196" s="603"/>
      <c r="N196" s="602"/>
      <c r="Z196" s="537" t="s">
        <v>319</v>
      </c>
    </row>
    <row r="197" spans="1:30" s="536" customFormat="1" ht="33.75" x14ac:dyDescent="0.2">
      <c r="A197" s="605"/>
      <c r="B197" s="552" t="s">
        <v>948</v>
      </c>
      <c r="C197" s="1822" t="s">
        <v>949</v>
      </c>
      <c r="D197" s="1822"/>
      <c r="E197" s="1822"/>
      <c r="F197" s="562" t="s">
        <v>322</v>
      </c>
      <c r="G197" s="562" t="s">
        <v>886</v>
      </c>
      <c r="H197" s="562"/>
      <c r="I197" s="562" t="s">
        <v>886</v>
      </c>
      <c r="J197" s="604"/>
      <c r="K197" s="562"/>
      <c r="L197" s="604">
        <v>10.15</v>
      </c>
      <c r="M197" s="603"/>
      <c r="N197" s="602"/>
      <c r="Z197" s="537" t="s">
        <v>949</v>
      </c>
    </row>
    <row r="198" spans="1:30" s="536" customFormat="1" ht="33.75" x14ac:dyDescent="0.2">
      <c r="A198" s="605"/>
      <c r="B198" s="552" t="s">
        <v>950</v>
      </c>
      <c r="C198" s="1822" t="s">
        <v>951</v>
      </c>
      <c r="D198" s="1822"/>
      <c r="E198" s="1822"/>
      <c r="F198" s="562" t="s">
        <v>322</v>
      </c>
      <c r="G198" s="562" t="s">
        <v>465</v>
      </c>
      <c r="H198" s="562"/>
      <c r="I198" s="562" t="s">
        <v>465</v>
      </c>
      <c r="J198" s="604"/>
      <c r="K198" s="562"/>
      <c r="L198" s="604">
        <v>5.19</v>
      </c>
      <c r="M198" s="603"/>
      <c r="N198" s="602"/>
      <c r="Z198" s="537" t="s">
        <v>951</v>
      </c>
    </row>
    <row r="199" spans="1:30" s="536" customFormat="1" x14ac:dyDescent="0.2">
      <c r="A199" s="569"/>
      <c r="B199" s="671"/>
      <c r="C199" s="1823" t="s">
        <v>327</v>
      </c>
      <c r="D199" s="1823"/>
      <c r="E199" s="1823"/>
      <c r="F199" s="573"/>
      <c r="G199" s="573"/>
      <c r="H199" s="573"/>
      <c r="I199" s="573"/>
      <c r="J199" s="572"/>
      <c r="K199" s="573"/>
      <c r="L199" s="572">
        <v>27.48</v>
      </c>
      <c r="M199" s="601"/>
      <c r="N199" s="570"/>
      <c r="AB199" s="537" t="s">
        <v>327</v>
      </c>
    </row>
    <row r="200" spans="1:30" s="536" customFormat="1" ht="33.75" x14ac:dyDescent="0.2">
      <c r="A200" s="575" t="s">
        <v>749</v>
      </c>
      <c r="B200" s="670" t="s">
        <v>8420</v>
      </c>
      <c r="C200" s="1823" t="s">
        <v>8421</v>
      </c>
      <c r="D200" s="1823"/>
      <c r="E200" s="1823"/>
      <c r="F200" s="573" t="s">
        <v>628</v>
      </c>
      <c r="G200" s="573"/>
      <c r="H200" s="573"/>
      <c r="I200" s="573" t="s">
        <v>185</v>
      </c>
      <c r="J200" s="572">
        <v>4831.13</v>
      </c>
      <c r="K200" s="573" t="s">
        <v>629</v>
      </c>
      <c r="L200" s="572">
        <v>1065.1400000000001</v>
      </c>
      <c r="M200" s="571">
        <v>4.59</v>
      </c>
      <c r="N200" s="570">
        <v>4889</v>
      </c>
      <c r="W200" s="537" t="s">
        <v>8421</v>
      </c>
    </row>
    <row r="201" spans="1:30" s="536" customFormat="1" x14ac:dyDescent="0.2">
      <c r="A201" s="569"/>
      <c r="B201" s="671"/>
      <c r="C201" s="665" t="s">
        <v>630</v>
      </c>
      <c r="D201" s="666"/>
      <c r="E201" s="666"/>
      <c r="F201" s="563"/>
      <c r="G201" s="563"/>
      <c r="H201" s="563"/>
      <c r="I201" s="563"/>
      <c r="J201" s="566"/>
      <c r="K201" s="563"/>
      <c r="L201" s="566"/>
      <c r="M201" s="565"/>
      <c r="N201" s="564"/>
    </row>
    <row r="202" spans="1:30" s="536" customFormat="1" ht="22.5" x14ac:dyDescent="0.2">
      <c r="A202" s="609"/>
      <c r="B202" s="552" t="s">
        <v>631</v>
      </c>
      <c r="C202" s="1822" t="s">
        <v>632</v>
      </c>
      <c r="D202" s="1822"/>
      <c r="E202" s="1822"/>
      <c r="F202" s="1822"/>
      <c r="G202" s="1822"/>
      <c r="H202" s="1822"/>
      <c r="I202" s="1822"/>
      <c r="J202" s="1822"/>
      <c r="K202" s="1822"/>
      <c r="L202" s="1822"/>
      <c r="M202" s="1822"/>
      <c r="N202" s="1827"/>
      <c r="X202" s="537" t="s">
        <v>632</v>
      </c>
    </row>
    <row r="203" spans="1:30" s="536" customFormat="1" ht="33.75" x14ac:dyDescent="0.2">
      <c r="A203" s="575" t="s">
        <v>757</v>
      </c>
      <c r="B203" s="670" t="s">
        <v>8422</v>
      </c>
      <c r="C203" s="1823" t="s">
        <v>8423</v>
      </c>
      <c r="D203" s="1823"/>
      <c r="E203" s="1823"/>
      <c r="F203" s="573" t="s">
        <v>617</v>
      </c>
      <c r="G203" s="573"/>
      <c r="H203" s="573"/>
      <c r="I203" s="573" t="s">
        <v>185</v>
      </c>
      <c r="J203" s="572"/>
      <c r="K203" s="573"/>
      <c r="L203" s="572"/>
      <c r="M203" s="571"/>
      <c r="N203" s="570"/>
      <c r="W203" s="537" t="s">
        <v>8423</v>
      </c>
    </row>
    <row r="204" spans="1:30" s="536" customFormat="1" ht="33.75" x14ac:dyDescent="0.2">
      <c r="A204" s="609"/>
      <c r="B204" s="552" t="s">
        <v>310</v>
      </c>
      <c r="C204" s="1822" t="s">
        <v>311</v>
      </c>
      <c r="D204" s="1822"/>
      <c r="E204" s="1822"/>
      <c r="F204" s="1822"/>
      <c r="G204" s="1822"/>
      <c r="H204" s="1822"/>
      <c r="I204" s="1822"/>
      <c r="J204" s="1822"/>
      <c r="K204" s="1822"/>
      <c r="L204" s="1822"/>
      <c r="M204" s="1822"/>
      <c r="N204" s="1827"/>
      <c r="X204" s="537" t="s">
        <v>311</v>
      </c>
    </row>
    <row r="205" spans="1:30" s="536" customFormat="1" x14ac:dyDescent="0.2">
      <c r="A205" s="605"/>
      <c r="B205" s="552" t="s">
        <v>185</v>
      </c>
      <c r="C205" s="1822" t="s">
        <v>312</v>
      </c>
      <c r="D205" s="1822"/>
      <c r="E205" s="1822"/>
      <c r="F205" s="562"/>
      <c r="G205" s="562"/>
      <c r="H205" s="562"/>
      <c r="I205" s="562"/>
      <c r="J205" s="604">
        <v>48.1</v>
      </c>
      <c r="K205" s="562" t="s">
        <v>313</v>
      </c>
      <c r="L205" s="604">
        <v>60.13</v>
      </c>
      <c r="M205" s="603"/>
      <c r="N205" s="602"/>
      <c r="Y205" s="537" t="s">
        <v>312</v>
      </c>
    </row>
    <row r="206" spans="1:30" s="536" customFormat="1" x14ac:dyDescent="0.2">
      <c r="A206" s="605"/>
      <c r="B206" s="552" t="s">
        <v>188</v>
      </c>
      <c r="C206" s="1822" t="s">
        <v>475</v>
      </c>
      <c r="D206" s="1822"/>
      <c r="E206" s="1822"/>
      <c r="F206" s="562"/>
      <c r="G206" s="562"/>
      <c r="H206" s="562"/>
      <c r="I206" s="562"/>
      <c r="J206" s="604">
        <v>17.84</v>
      </c>
      <c r="K206" s="562"/>
      <c r="L206" s="604">
        <v>17.84</v>
      </c>
      <c r="M206" s="603"/>
      <c r="N206" s="602"/>
      <c r="Y206" s="537" t="s">
        <v>475</v>
      </c>
    </row>
    <row r="207" spans="1:30" s="536" customFormat="1" x14ac:dyDescent="0.2">
      <c r="A207" s="676"/>
      <c r="B207" s="677" t="s">
        <v>3084</v>
      </c>
      <c r="C207" s="1829" t="s">
        <v>3085</v>
      </c>
      <c r="D207" s="1829"/>
      <c r="E207" s="1829"/>
      <c r="F207" s="678" t="s">
        <v>694</v>
      </c>
      <c r="G207" s="678" t="s">
        <v>3170</v>
      </c>
      <c r="H207" s="678"/>
      <c r="I207" s="678" t="s">
        <v>3170</v>
      </c>
      <c r="J207" s="552"/>
      <c r="K207" s="562"/>
      <c r="L207" s="604"/>
      <c r="M207" s="562"/>
      <c r="N207" s="679"/>
      <c r="AD207" s="537" t="s">
        <v>3085</v>
      </c>
    </row>
    <row r="208" spans="1:30" s="536" customFormat="1" x14ac:dyDescent="0.2">
      <c r="A208" s="605"/>
      <c r="B208" s="552"/>
      <c r="C208" s="1822" t="s">
        <v>314</v>
      </c>
      <c r="D208" s="1822"/>
      <c r="E208" s="1822"/>
      <c r="F208" s="562" t="s">
        <v>315</v>
      </c>
      <c r="G208" s="562" t="s">
        <v>189</v>
      </c>
      <c r="H208" s="562" t="s">
        <v>313</v>
      </c>
      <c r="I208" s="562" t="s">
        <v>434</v>
      </c>
      <c r="J208" s="604"/>
      <c r="K208" s="562"/>
      <c r="L208" s="604"/>
      <c r="M208" s="603"/>
      <c r="N208" s="602"/>
      <c r="Z208" s="537" t="s">
        <v>314</v>
      </c>
    </row>
    <row r="209" spans="1:29" s="536" customFormat="1" x14ac:dyDescent="0.2">
      <c r="A209" s="605"/>
      <c r="B209" s="552"/>
      <c r="C209" s="1828" t="s">
        <v>318</v>
      </c>
      <c r="D209" s="1828"/>
      <c r="E209" s="1828"/>
      <c r="F209" s="608"/>
      <c r="G209" s="608"/>
      <c r="H209" s="608"/>
      <c r="I209" s="608"/>
      <c r="J209" s="607">
        <v>65.94</v>
      </c>
      <c r="K209" s="608"/>
      <c r="L209" s="607">
        <v>77.97</v>
      </c>
      <c r="M209" s="601"/>
      <c r="N209" s="606"/>
      <c r="AA209" s="537" t="s">
        <v>318</v>
      </c>
    </row>
    <row r="210" spans="1:29" s="536" customFormat="1" x14ac:dyDescent="0.2">
      <c r="A210" s="605"/>
      <c r="B210" s="552"/>
      <c r="C210" s="1822" t="s">
        <v>319</v>
      </c>
      <c r="D210" s="1822"/>
      <c r="E210" s="1822"/>
      <c r="F210" s="562"/>
      <c r="G210" s="562"/>
      <c r="H210" s="562"/>
      <c r="I210" s="562"/>
      <c r="J210" s="604"/>
      <c r="K210" s="562"/>
      <c r="L210" s="604">
        <v>60.13</v>
      </c>
      <c r="M210" s="603"/>
      <c r="N210" s="602"/>
      <c r="Z210" s="537" t="s">
        <v>319</v>
      </c>
    </row>
    <row r="211" spans="1:29" s="536" customFormat="1" ht="33.75" x14ac:dyDescent="0.2">
      <c r="A211" s="605"/>
      <c r="B211" s="552" t="s">
        <v>620</v>
      </c>
      <c r="C211" s="1822" t="s">
        <v>621</v>
      </c>
      <c r="D211" s="1822"/>
      <c r="E211" s="1822"/>
      <c r="F211" s="562" t="s">
        <v>322</v>
      </c>
      <c r="G211" s="562" t="s">
        <v>559</v>
      </c>
      <c r="H211" s="562"/>
      <c r="I211" s="562" t="s">
        <v>559</v>
      </c>
      <c r="J211" s="604"/>
      <c r="K211" s="562"/>
      <c r="L211" s="604">
        <v>57.12</v>
      </c>
      <c r="M211" s="603"/>
      <c r="N211" s="602"/>
      <c r="Z211" s="537" t="s">
        <v>621</v>
      </c>
    </row>
    <row r="212" spans="1:29" s="536" customFormat="1" ht="33.75" x14ac:dyDescent="0.2">
      <c r="A212" s="605"/>
      <c r="B212" s="552" t="s">
        <v>622</v>
      </c>
      <c r="C212" s="1822" t="s">
        <v>623</v>
      </c>
      <c r="D212" s="1822"/>
      <c r="E212" s="1822"/>
      <c r="F212" s="562" t="s">
        <v>322</v>
      </c>
      <c r="G212" s="562" t="s">
        <v>624</v>
      </c>
      <c r="H212" s="562"/>
      <c r="I212" s="562" t="s">
        <v>624</v>
      </c>
      <c r="J212" s="604"/>
      <c r="K212" s="562"/>
      <c r="L212" s="604">
        <v>31.87</v>
      </c>
      <c r="M212" s="603"/>
      <c r="N212" s="602"/>
      <c r="Z212" s="537" t="s">
        <v>623</v>
      </c>
    </row>
    <row r="213" spans="1:29" s="536" customFormat="1" x14ac:dyDescent="0.2">
      <c r="A213" s="569"/>
      <c r="B213" s="671"/>
      <c r="C213" s="1823" t="s">
        <v>327</v>
      </c>
      <c r="D213" s="1823"/>
      <c r="E213" s="1823"/>
      <c r="F213" s="573"/>
      <c r="G213" s="573"/>
      <c r="H213" s="573"/>
      <c r="I213" s="573"/>
      <c r="J213" s="572"/>
      <c r="K213" s="573"/>
      <c r="L213" s="572">
        <v>166.96</v>
      </c>
      <c r="M213" s="601"/>
      <c r="N213" s="570"/>
      <c r="AB213" s="537" t="s">
        <v>327</v>
      </c>
    </row>
    <row r="214" spans="1:29" s="536" customFormat="1" ht="33.75" x14ac:dyDescent="0.2">
      <c r="A214" s="575" t="s">
        <v>758</v>
      </c>
      <c r="B214" s="670" t="s">
        <v>8424</v>
      </c>
      <c r="C214" s="1823" t="s">
        <v>8425</v>
      </c>
      <c r="D214" s="1823"/>
      <c r="E214" s="1823"/>
      <c r="F214" s="573" t="s">
        <v>628</v>
      </c>
      <c r="G214" s="573"/>
      <c r="H214" s="573"/>
      <c r="I214" s="573" t="s">
        <v>185</v>
      </c>
      <c r="J214" s="572">
        <v>2060.19</v>
      </c>
      <c r="K214" s="573" t="s">
        <v>629</v>
      </c>
      <c r="L214" s="572">
        <v>454.25</v>
      </c>
      <c r="M214" s="571">
        <v>4.59</v>
      </c>
      <c r="N214" s="570">
        <v>2085</v>
      </c>
      <c r="W214" s="537" t="s">
        <v>8425</v>
      </c>
    </row>
    <row r="215" spans="1:29" s="536" customFormat="1" x14ac:dyDescent="0.2">
      <c r="A215" s="569"/>
      <c r="B215" s="671"/>
      <c r="C215" s="665" t="s">
        <v>630</v>
      </c>
      <c r="D215" s="666"/>
      <c r="E215" s="666"/>
      <c r="F215" s="563"/>
      <c r="G215" s="563"/>
      <c r="H215" s="563"/>
      <c r="I215" s="563"/>
      <c r="J215" s="566"/>
      <c r="K215" s="563"/>
      <c r="L215" s="566"/>
      <c r="M215" s="565"/>
      <c r="N215" s="564"/>
    </row>
    <row r="216" spans="1:29" s="536" customFormat="1" ht="22.5" x14ac:dyDescent="0.2">
      <c r="A216" s="609"/>
      <c r="B216" s="552" t="s">
        <v>631</v>
      </c>
      <c r="C216" s="1822" t="s">
        <v>632</v>
      </c>
      <c r="D216" s="1822"/>
      <c r="E216" s="1822"/>
      <c r="F216" s="1822"/>
      <c r="G216" s="1822"/>
      <c r="H216" s="1822"/>
      <c r="I216" s="1822"/>
      <c r="J216" s="1822"/>
      <c r="K216" s="1822"/>
      <c r="L216" s="1822"/>
      <c r="M216" s="1822"/>
      <c r="N216" s="1827"/>
      <c r="X216" s="537" t="s">
        <v>632</v>
      </c>
    </row>
    <row r="217" spans="1:29" s="536" customFormat="1" ht="22.5" x14ac:dyDescent="0.2">
      <c r="A217" s="575" t="s">
        <v>759</v>
      </c>
      <c r="B217" s="670" t="s">
        <v>3150</v>
      </c>
      <c r="C217" s="1823" t="s">
        <v>3151</v>
      </c>
      <c r="D217" s="1823"/>
      <c r="E217" s="1823"/>
      <c r="F217" s="573" t="s">
        <v>617</v>
      </c>
      <c r="G217" s="573"/>
      <c r="H217" s="573"/>
      <c r="I217" s="573" t="s">
        <v>757</v>
      </c>
      <c r="J217" s="572"/>
      <c r="K217" s="573"/>
      <c r="L217" s="572"/>
      <c r="M217" s="571"/>
      <c r="N217" s="570"/>
      <c r="W217" s="537" t="s">
        <v>3151</v>
      </c>
    </row>
    <row r="218" spans="1:29" s="536" customFormat="1" x14ac:dyDescent="0.2">
      <c r="A218" s="676"/>
      <c r="B218" s="664"/>
      <c r="C218" s="1822" t="s">
        <v>8426</v>
      </c>
      <c r="D218" s="1822"/>
      <c r="E218" s="1822"/>
      <c r="F218" s="1822"/>
      <c r="G218" s="1822"/>
      <c r="H218" s="1822"/>
      <c r="I218" s="1822"/>
      <c r="J218" s="1822"/>
      <c r="K218" s="1822"/>
      <c r="L218" s="1822"/>
      <c r="M218" s="1822"/>
      <c r="N218" s="1827"/>
      <c r="AC218" s="537" t="s">
        <v>8426</v>
      </c>
    </row>
    <row r="219" spans="1:29" s="536" customFormat="1" ht="33.75" x14ac:dyDescent="0.2">
      <c r="A219" s="609"/>
      <c r="B219" s="552" t="s">
        <v>310</v>
      </c>
      <c r="C219" s="1822" t="s">
        <v>311</v>
      </c>
      <c r="D219" s="1822"/>
      <c r="E219" s="1822"/>
      <c r="F219" s="1822"/>
      <c r="G219" s="1822"/>
      <c r="H219" s="1822"/>
      <c r="I219" s="1822"/>
      <c r="J219" s="1822"/>
      <c r="K219" s="1822"/>
      <c r="L219" s="1822"/>
      <c r="M219" s="1822"/>
      <c r="N219" s="1827"/>
      <c r="X219" s="537" t="s">
        <v>311</v>
      </c>
    </row>
    <row r="220" spans="1:29" s="536" customFormat="1" x14ac:dyDescent="0.2">
      <c r="A220" s="605"/>
      <c r="B220" s="552" t="s">
        <v>185</v>
      </c>
      <c r="C220" s="1822" t="s">
        <v>312</v>
      </c>
      <c r="D220" s="1822"/>
      <c r="E220" s="1822"/>
      <c r="F220" s="562"/>
      <c r="G220" s="562"/>
      <c r="H220" s="562"/>
      <c r="I220" s="562"/>
      <c r="J220" s="604">
        <v>8.9</v>
      </c>
      <c r="K220" s="562" t="s">
        <v>313</v>
      </c>
      <c r="L220" s="604">
        <v>267</v>
      </c>
      <c r="M220" s="603"/>
      <c r="N220" s="602"/>
      <c r="Y220" s="537" t="s">
        <v>312</v>
      </c>
    </row>
    <row r="221" spans="1:29" s="536" customFormat="1" x14ac:dyDescent="0.2">
      <c r="A221" s="605"/>
      <c r="B221" s="552" t="s">
        <v>186</v>
      </c>
      <c r="C221" s="1822" t="s">
        <v>344</v>
      </c>
      <c r="D221" s="1822"/>
      <c r="E221" s="1822"/>
      <c r="F221" s="562"/>
      <c r="G221" s="562"/>
      <c r="H221" s="562"/>
      <c r="I221" s="562"/>
      <c r="J221" s="604">
        <v>0.66</v>
      </c>
      <c r="K221" s="562" t="s">
        <v>313</v>
      </c>
      <c r="L221" s="604">
        <v>19.8</v>
      </c>
      <c r="M221" s="603"/>
      <c r="N221" s="602"/>
      <c r="Y221" s="537" t="s">
        <v>344</v>
      </c>
    </row>
    <row r="222" spans="1:29" s="536" customFormat="1" x14ac:dyDescent="0.2">
      <c r="A222" s="605"/>
      <c r="B222" s="552" t="s">
        <v>187</v>
      </c>
      <c r="C222" s="1822" t="s">
        <v>345</v>
      </c>
      <c r="D222" s="1822"/>
      <c r="E222" s="1822"/>
      <c r="F222" s="562"/>
      <c r="G222" s="562"/>
      <c r="H222" s="562"/>
      <c r="I222" s="562"/>
      <c r="J222" s="604">
        <v>0.12</v>
      </c>
      <c r="K222" s="562" t="s">
        <v>313</v>
      </c>
      <c r="L222" s="604">
        <v>3.6</v>
      </c>
      <c r="M222" s="603"/>
      <c r="N222" s="602"/>
      <c r="Y222" s="537" t="s">
        <v>345</v>
      </c>
    </row>
    <row r="223" spans="1:29" s="536" customFormat="1" x14ac:dyDescent="0.2">
      <c r="A223" s="605"/>
      <c r="B223" s="552" t="s">
        <v>188</v>
      </c>
      <c r="C223" s="1822" t="s">
        <v>475</v>
      </c>
      <c r="D223" s="1822"/>
      <c r="E223" s="1822"/>
      <c r="F223" s="562"/>
      <c r="G223" s="562"/>
      <c r="H223" s="562"/>
      <c r="I223" s="562"/>
      <c r="J223" s="604">
        <v>0.18</v>
      </c>
      <c r="K223" s="562"/>
      <c r="L223" s="604">
        <v>4.32</v>
      </c>
      <c r="M223" s="603"/>
      <c r="N223" s="602"/>
      <c r="Y223" s="537" t="s">
        <v>475</v>
      </c>
    </row>
    <row r="224" spans="1:29" s="536" customFormat="1" x14ac:dyDescent="0.2">
      <c r="A224" s="605"/>
      <c r="B224" s="552"/>
      <c r="C224" s="1822" t="s">
        <v>314</v>
      </c>
      <c r="D224" s="1822"/>
      <c r="E224" s="1822"/>
      <c r="F224" s="562" t="s">
        <v>315</v>
      </c>
      <c r="G224" s="562" t="s">
        <v>702</v>
      </c>
      <c r="H224" s="562" t="s">
        <v>313</v>
      </c>
      <c r="I224" s="562" t="s">
        <v>8409</v>
      </c>
      <c r="J224" s="604"/>
      <c r="K224" s="562"/>
      <c r="L224" s="604"/>
      <c r="M224" s="603"/>
      <c r="N224" s="602"/>
      <c r="Z224" s="537" t="s">
        <v>314</v>
      </c>
    </row>
    <row r="225" spans="1:28" s="536" customFormat="1" x14ac:dyDescent="0.2">
      <c r="A225" s="605"/>
      <c r="B225" s="552"/>
      <c r="C225" s="1822" t="s">
        <v>348</v>
      </c>
      <c r="D225" s="1822"/>
      <c r="E225" s="1822"/>
      <c r="F225" s="562" t="s">
        <v>315</v>
      </c>
      <c r="G225" s="562" t="s">
        <v>809</v>
      </c>
      <c r="H225" s="562" t="s">
        <v>313</v>
      </c>
      <c r="I225" s="562" t="s">
        <v>913</v>
      </c>
      <c r="J225" s="604"/>
      <c r="K225" s="562"/>
      <c r="L225" s="604"/>
      <c r="M225" s="603"/>
      <c r="N225" s="602"/>
      <c r="Z225" s="537" t="s">
        <v>348</v>
      </c>
    </row>
    <row r="226" spans="1:28" s="536" customFormat="1" x14ac:dyDescent="0.2">
      <c r="A226" s="605"/>
      <c r="B226" s="552"/>
      <c r="C226" s="1828" t="s">
        <v>318</v>
      </c>
      <c r="D226" s="1828"/>
      <c r="E226" s="1828"/>
      <c r="F226" s="608"/>
      <c r="G226" s="608"/>
      <c r="H226" s="608"/>
      <c r="I226" s="608"/>
      <c r="J226" s="607">
        <v>9.74</v>
      </c>
      <c r="K226" s="608"/>
      <c r="L226" s="607">
        <v>291.12</v>
      </c>
      <c r="M226" s="601"/>
      <c r="N226" s="606"/>
      <c r="AA226" s="537" t="s">
        <v>318</v>
      </c>
    </row>
    <row r="227" spans="1:28" s="536" customFormat="1" x14ac:dyDescent="0.2">
      <c r="A227" s="605"/>
      <c r="B227" s="552"/>
      <c r="C227" s="1822" t="s">
        <v>319</v>
      </c>
      <c r="D227" s="1822"/>
      <c r="E227" s="1822"/>
      <c r="F227" s="562"/>
      <c r="G227" s="562"/>
      <c r="H227" s="562"/>
      <c r="I227" s="562"/>
      <c r="J227" s="604"/>
      <c r="K227" s="562"/>
      <c r="L227" s="604">
        <v>270.60000000000002</v>
      </c>
      <c r="M227" s="603"/>
      <c r="N227" s="602"/>
      <c r="Z227" s="537" t="s">
        <v>319</v>
      </c>
    </row>
    <row r="228" spans="1:28" s="536" customFormat="1" ht="33.75" x14ac:dyDescent="0.2">
      <c r="A228" s="605"/>
      <c r="B228" s="552" t="s">
        <v>948</v>
      </c>
      <c r="C228" s="1822" t="s">
        <v>949</v>
      </c>
      <c r="D228" s="1822"/>
      <c r="E228" s="1822"/>
      <c r="F228" s="562" t="s">
        <v>322</v>
      </c>
      <c r="G228" s="562" t="s">
        <v>886</v>
      </c>
      <c r="H228" s="562"/>
      <c r="I228" s="562" t="s">
        <v>886</v>
      </c>
      <c r="J228" s="604"/>
      <c r="K228" s="562"/>
      <c r="L228" s="604">
        <v>243.54</v>
      </c>
      <c r="M228" s="603"/>
      <c r="N228" s="602"/>
      <c r="Z228" s="537" t="s">
        <v>949</v>
      </c>
    </row>
    <row r="229" spans="1:28" s="536" customFormat="1" ht="33.75" x14ac:dyDescent="0.2">
      <c r="A229" s="605"/>
      <c r="B229" s="552" t="s">
        <v>950</v>
      </c>
      <c r="C229" s="1822" t="s">
        <v>951</v>
      </c>
      <c r="D229" s="1822"/>
      <c r="E229" s="1822"/>
      <c r="F229" s="562" t="s">
        <v>322</v>
      </c>
      <c r="G229" s="562" t="s">
        <v>465</v>
      </c>
      <c r="H229" s="562"/>
      <c r="I229" s="562" t="s">
        <v>465</v>
      </c>
      <c r="J229" s="604"/>
      <c r="K229" s="562"/>
      <c r="L229" s="604">
        <v>124.48</v>
      </c>
      <c r="M229" s="603"/>
      <c r="N229" s="602"/>
      <c r="Z229" s="537" t="s">
        <v>951</v>
      </c>
    </row>
    <row r="230" spans="1:28" s="536" customFormat="1" x14ac:dyDescent="0.2">
      <c r="A230" s="569"/>
      <c r="B230" s="671"/>
      <c r="C230" s="1823" t="s">
        <v>327</v>
      </c>
      <c r="D230" s="1823"/>
      <c r="E230" s="1823"/>
      <c r="F230" s="573"/>
      <c r="G230" s="573"/>
      <c r="H230" s="573"/>
      <c r="I230" s="573"/>
      <c r="J230" s="572"/>
      <c r="K230" s="573"/>
      <c r="L230" s="572">
        <v>659.14</v>
      </c>
      <c r="M230" s="601"/>
      <c r="N230" s="570"/>
      <c r="AB230" s="537" t="s">
        <v>327</v>
      </c>
    </row>
    <row r="231" spans="1:28" s="536" customFormat="1" ht="33.75" x14ac:dyDescent="0.2">
      <c r="A231" s="575" t="s">
        <v>760</v>
      </c>
      <c r="B231" s="670" t="s">
        <v>8314</v>
      </c>
      <c r="C231" s="1823" t="s">
        <v>8427</v>
      </c>
      <c r="D231" s="1823"/>
      <c r="E231" s="1823"/>
      <c r="F231" s="573" t="s">
        <v>628</v>
      </c>
      <c r="G231" s="573"/>
      <c r="H231" s="573"/>
      <c r="I231" s="573" t="s">
        <v>196</v>
      </c>
      <c r="J231" s="572">
        <v>2457</v>
      </c>
      <c r="K231" s="573" t="s">
        <v>629</v>
      </c>
      <c r="L231" s="572">
        <v>6500.65</v>
      </c>
      <c r="M231" s="571">
        <v>4.59</v>
      </c>
      <c r="N231" s="570">
        <v>29838</v>
      </c>
      <c r="W231" s="537" t="s">
        <v>8427</v>
      </c>
    </row>
    <row r="232" spans="1:28" s="536" customFormat="1" x14ac:dyDescent="0.2">
      <c r="A232" s="569"/>
      <c r="B232" s="671"/>
      <c r="C232" s="665" t="s">
        <v>630</v>
      </c>
      <c r="D232" s="666"/>
      <c r="E232" s="666"/>
      <c r="F232" s="563"/>
      <c r="G232" s="563"/>
      <c r="H232" s="563"/>
      <c r="I232" s="563"/>
      <c r="J232" s="566"/>
      <c r="K232" s="563"/>
      <c r="L232" s="566"/>
      <c r="M232" s="565"/>
      <c r="N232" s="564"/>
    </row>
    <row r="233" spans="1:28" s="536" customFormat="1" ht="22.5" x14ac:dyDescent="0.2">
      <c r="A233" s="609"/>
      <c r="B233" s="552" t="s">
        <v>631</v>
      </c>
      <c r="C233" s="1822" t="s">
        <v>632</v>
      </c>
      <c r="D233" s="1822"/>
      <c r="E233" s="1822"/>
      <c r="F233" s="1822"/>
      <c r="G233" s="1822"/>
      <c r="H233" s="1822"/>
      <c r="I233" s="1822"/>
      <c r="J233" s="1822"/>
      <c r="K233" s="1822"/>
      <c r="L233" s="1822"/>
      <c r="M233" s="1822"/>
      <c r="N233" s="1827"/>
      <c r="X233" s="537" t="s">
        <v>632</v>
      </c>
    </row>
    <row r="234" spans="1:28" s="536" customFormat="1" ht="33.75" x14ac:dyDescent="0.2">
      <c r="A234" s="575" t="s">
        <v>918</v>
      </c>
      <c r="B234" s="670" t="s">
        <v>8316</v>
      </c>
      <c r="C234" s="1823" t="s">
        <v>8428</v>
      </c>
      <c r="D234" s="1823"/>
      <c r="E234" s="1823"/>
      <c r="F234" s="573" t="s">
        <v>628</v>
      </c>
      <c r="G234" s="573"/>
      <c r="H234" s="573"/>
      <c r="I234" s="573" t="s">
        <v>196</v>
      </c>
      <c r="J234" s="572">
        <v>2457</v>
      </c>
      <c r="K234" s="573" t="s">
        <v>629</v>
      </c>
      <c r="L234" s="572">
        <v>6500.65</v>
      </c>
      <c r="M234" s="571">
        <v>4.59</v>
      </c>
      <c r="N234" s="570">
        <v>29838</v>
      </c>
      <c r="W234" s="537" t="s">
        <v>8428</v>
      </c>
    </row>
    <row r="235" spans="1:28" s="536" customFormat="1" x14ac:dyDescent="0.2">
      <c r="A235" s="569"/>
      <c r="B235" s="671"/>
      <c r="C235" s="665" t="s">
        <v>630</v>
      </c>
      <c r="D235" s="666"/>
      <c r="E235" s="666"/>
      <c r="F235" s="563"/>
      <c r="G235" s="563"/>
      <c r="H235" s="563"/>
      <c r="I235" s="563"/>
      <c r="J235" s="566"/>
      <c r="K235" s="563"/>
      <c r="L235" s="566"/>
      <c r="M235" s="565"/>
      <c r="N235" s="564"/>
    </row>
    <row r="236" spans="1:28" s="536" customFormat="1" ht="22.5" x14ac:dyDescent="0.2">
      <c r="A236" s="609"/>
      <c r="B236" s="552" t="s">
        <v>631</v>
      </c>
      <c r="C236" s="1822" t="s">
        <v>632</v>
      </c>
      <c r="D236" s="1822"/>
      <c r="E236" s="1822"/>
      <c r="F236" s="1822"/>
      <c r="G236" s="1822"/>
      <c r="H236" s="1822"/>
      <c r="I236" s="1822"/>
      <c r="J236" s="1822"/>
      <c r="K236" s="1822"/>
      <c r="L236" s="1822"/>
      <c r="M236" s="1822"/>
      <c r="N236" s="1827"/>
      <c r="X236" s="537" t="s">
        <v>632</v>
      </c>
    </row>
    <row r="237" spans="1:28" s="536" customFormat="1" ht="22.5" x14ac:dyDescent="0.2">
      <c r="A237" s="575" t="s">
        <v>762</v>
      </c>
      <c r="B237" s="670" t="s">
        <v>8429</v>
      </c>
      <c r="C237" s="1823" t="s">
        <v>8430</v>
      </c>
      <c r="D237" s="1823"/>
      <c r="E237" s="1823"/>
      <c r="F237" s="573" t="s">
        <v>617</v>
      </c>
      <c r="G237" s="573"/>
      <c r="H237" s="573"/>
      <c r="I237" s="573" t="s">
        <v>185</v>
      </c>
      <c r="J237" s="572"/>
      <c r="K237" s="573"/>
      <c r="L237" s="572"/>
      <c r="M237" s="571"/>
      <c r="N237" s="570"/>
      <c r="W237" s="537" t="s">
        <v>8430</v>
      </c>
    </row>
    <row r="238" spans="1:28" s="536" customFormat="1" ht="33.75" x14ac:dyDescent="0.2">
      <c r="A238" s="609"/>
      <c r="B238" s="552" t="s">
        <v>310</v>
      </c>
      <c r="C238" s="1822" t="s">
        <v>311</v>
      </c>
      <c r="D238" s="1822"/>
      <c r="E238" s="1822"/>
      <c r="F238" s="1822"/>
      <c r="G238" s="1822"/>
      <c r="H238" s="1822"/>
      <c r="I238" s="1822"/>
      <c r="J238" s="1822"/>
      <c r="K238" s="1822"/>
      <c r="L238" s="1822"/>
      <c r="M238" s="1822"/>
      <c r="N238" s="1827"/>
      <c r="X238" s="537" t="s">
        <v>311</v>
      </c>
    </row>
    <row r="239" spans="1:28" s="536" customFormat="1" x14ac:dyDescent="0.2">
      <c r="A239" s="605"/>
      <c r="B239" s="552" t="s">
        <v>185</v>
      </c>
      <c r="C239" s="1822" t="s">
        <v>312</v>
      </c>
      <c r="D239" s="1822"/>
      <c r="E239" s="1822"/>
      <c r="F239" s="562"/>
      <c r="G239" s="562"/>
      <c r="H239" s="562"/>
      <c r="I239" s="562"/>
      <c r="J239" s="604">
        <v>26.7</v>
      </c>
      <c r="K239" s="562" t="s">
        <v>313</v>
      </c>
      <c r="L239" s="604">
        <v>33.380000000000003</v>
      </c>
      <c r="M239" s="603"/>
      <c r="N239" s="602"/>
      <c r="Y239" s="537" t="s">
        <v>312</v>
      </c>
    </row>
    <row r="240" spans="1:28" s="536" customFormat="1" x14ac:dyDescent="0.2">
      <c r="A240" s="605"/>
      <c r="B240" s="552" t="s">
        <v>186</v>
      </c>
      <c r="C240" s="1822" t="s">
        <v>344</v>
      </c>
      <c r="D240" s="1822"/>
      <c r="E240" s="1822"/>
      <c r="F240" s="562"/>
      <c r="G240" s="562"/>
      <c r="H240" s="562"/>
      <c r="I240" s="562"/>
      <c r="J240" s="604">
        <v>1.97</v>
      </c>
      <c r="K240" s="562" t="s">
        <v>313</v>
      </c>
      <c r="L240" s="604">
        <v>2.46</v>
      </c>
      <c r="M240" s="603"/>
      <c r="N240" s="602"/>
      <c r="Y240" s="537" t="s">
        <v>344</v>
      </c>
    </row>
    <row r="241" spans="1:28" s="536" customFormat="1" x14ac:dyDescent="0.2">
      <c r="A241" s="605"/>
      <c r="B241" s="552" t="s">
        <v>187</v>
      </c>
      <c r="C241" s="1822" t="s">
        <v>345</v>
      </c>
      <c r="D241" s="1822"/>
      <c r="E241" s="1822"/>
      <c r="F241" s="562"/>
      <c r="G241" s="562"/>
      <c r="H241" s="562"/>
      <c r="I241" s="562"/>
      <c r="J241" s="604">
        <v>0.35</v>
      </c>
      <c r="K241" s="562" t="s">
        <v>313</v>
      </c>
      <c r="L241" s="604">
        <v>0.44</v>
      </c>
      <c r="M241" s="603"/>
      <c r="N241" s="602"/>
      <c r="Y241" s="537" t="s">
        <v>345</v>
      </c>
    </row>
    <row r="242" spans="1:28" s="536" customFormat="1" x14ac:dyDescent="0.2">
      <c r="A242" s="605"/>
      <c r="B242" s="552" t="s">
        <v>188</v>
      </c>
      <c r="C242" s="1822" t="s">
        <v>475</v>
      </c>
      <c r="D242" s="1822"/>
      <c r="E242" s="1822"/>
      <c r="F242" s="562"/>
      <c r="G242" s="562"/>
      <c r="H242" s="562"/>
      <c r="I242" s="562"/>
      <c r="J242" s="604">
        <v>0.53</v>
      </c>
      <c r="K242" s="562"/>
      <c r="L242" s="604">
        <v>0.53</v>
      </c>
      <c r="M242" s="603"/>
      <c r="N242" s="602"/>
      <c r="Y242" s="537" t="s">
        <v>475</v>
      </c>
    </row>
    <row r="243" spans="1:28" s="536" customFormat="1" x14ac:dyDescent="0.2">
      <c r="A243" s="605"/>
      <c r="B243" s="552"/>
      <c r="C243" s="1822" t="s">
        <v>314</v>
      </c>
      <c r="D243" s="1822"/>
      <c r="E243" s="1822"/>
      <c r="F243" s="562" t="s">
        <v>315</v>
      </c>
      <c r="G243" s="562" t="s">
        <v>8431</v>
      </c>
      <c r="H243" s="562" t="s">
        <v>313</v>
      </c>
      <c r="I243" s="562" t="s">
        <v>821</v>
      </c>
      <c r="J243" s="604"/>
      <c r="K243" s="562"/>
      <c r="L243" s="604"/>
      <c r="M243" s="603"/>
      <c r="N243" s="602"/>
      <c r="Z243" s="537" t="s">
        <v>314</v>
      </c>
    </row>
    <row r="244" spans="1:28" s="536" customFormat="1" x14ac:dyDescent="0.2">
      <c r="A244" s="605"/>
      <c r="B244" s="552"/>
      <c r="C244" s="1822" t="s">
        <v>348</v>
      </c>
      <c r="D244" s="1822"/>
      <c r="E244" s="1822"/>
      <c r="F244" s="562" t="s">
        <v>315</v>
      </c>
      <c r="G244" s="562" t="s">
        <v>1292</v>
      </c>
      <c r="H244" s="562" t="s">
        <v>313</v>
      </c>
      <c r="I244" s="562" t="s">
        <v>3163</v>
      </c>
      <c r="J244" s="604"/>
      <c r="K244" s="562"/>
      <c r="L244" s="604"/>
      <c r="M244" s="603"/>
      <c r="N244" s="602"/>
      <c r="Z244" s="537" t="s">
        <v>348</v>
      </c>
    </row>
    <row r="245" spans="1:28" s="536" customFormat="1" x14ac:dyDescent="0.2">
      <c r="A245" s="605"/>
      <c r="B245" s="552"/>
      <c r="C245" s="1828" t="s">
        <v>318</v>
      </c>
      <c r="D245" s="1828"/>
      <c r="E245" s="1828"/>
      <c r="F245" s="608"/>
      <c r="G245" s="608"/>
      <c r="H245" s="608"/>
      <c r="I245" s="608"/>
      <c r="J245" s="607">
        <v>29.2</v>
      </c>
      <c r="K245" s="608"/>
      <c r="L245" s="607">
        <v>36.369999999999997</v>
      </c>
      <c r="M245" s="601"/>
      <c r="N245" s="606"/>
      <c r="AA245" s="537" t="s">
        <v>318</v>
      </c>
    </row>
    <row r="246" spans="1:28" s="536" customFormat="1" x14ac:dyDescent="0.2">
      <c r="A246" s="605"/>
      <c r="B246" s="552"/>
      <c r="C246" s="1822" t="s">
        <v>319</v>
      </c>
      <c r="D246" s="1822"/>
      <c r="E246" s="1822"/>
      <c r="F246" s="562"/>
      <c r="G246" s="562"/>
      <c r="H246" s="562"/>
      <c r="I246" s="562"/>
      <c r="J246" s="604"/>
      <c r="K246" s="562"/>
      <c r="L246" s="604">
        <v>33.82</v>
      </c>
      <c r="M246" s="603"/>
      <c r="N246" s="602"/>
      <c r="Z246" s="537" t="s">
        <v>319</v>
      </c>
    </row>
    <row r="247" spans="1:28" s="536" customFormat="1" ht="33.75" x14ac:dyDescent="0.2">
      <c r="A247" s="605"/>
      <c r="B247" s="552" t="s">
        <v>948</v>
      </c>
      <c r="C247" s="1822" t="s">
        <v>949</v>
      </c>
      <c r="D247" s="1822"/>
      <c r="E247" s="1822"/>
      <c r="F247" s="562" t="s">
        <v>322</v>
      </c>
      <c r="G247" s="562" t="s">
        <v>886</v>
      </c>
      <c r="H247" s="562"/>
      <c r="I247" s="562" t="s">
        <v>886</v>
      </c>
      <c r="J247" s="604"/>
      <c r="K247" s="562"/>
      <c r="L247" s="604">
        <v>30.44</v>
      </c>
      <c r="M247" s="603"/>
      <c r="N247" s="602"/>
      <c r="Z247" s="537" t="s">
        <v>949</v>
      </c>
    </row>
    <row r="248" spans="1:28" s="536" customFormat="1" ht="33.75" x14ac:dyDescent="0.2">
      <c r="A248" s="605"/>
      <c r="B248" s="552" t="s">
        <v>950</v>
      </c>
      <c r="C248" s="1822" t="s">
        <v>951</v>
      </c>
      <c r="D248" s="1822"/>
      <c r="E248" s="1822"/>
      <c r="F248" s="562" t="s">
        <v>322</v>
      </c>
      <c r="G248" s="562" t="s">
        <v>465</v>
      </c>
      <c r="H248" s="562"/>
      <c r="I248" s="562" t="s">
        <v>465</v>
      </c>
      <c r="J248" s="604"/>
      <c r="K248" s="562"/>
      <c r="L248" s="604">
        <v>15.56</v>
      </c>
      <c r="M248" s="603"/>
      <c r="N248" s="602"/>
      <c r="Z248" s="537" t="s">
        <v>951</v>
      </c>
    </row>
    <row r="249" spans="1:28" s="536" customFormat="1" x14ac:dyDescent="0.2">
      <c r="A249" s="569"/>
      <c r="B249" s="671"/>
      <c r="C249" s="1823" t="s">
        <v>327</v>
      </c>
      <c r="D249" s="1823"/>
      <c r="E249" s="1823"/>
      <c r="F249" s="573"/>
      <c r="G249" s="573"/>
      <c r="H249" s="573"/>
      <c r="I249" s="573"/>
      <c r="J249" s="572"/>
      <c r="K249" s="573"/>
      <c r="L249" s="572">
        <v>82.37</v>
      </c>
      <c r="M249" s="601"/>
      <c r="N249" s="570"/>
      <c r="AB249" s="537" t="s">
        <v>327</v>
      </c>
    </row>
    <row r="250" spans="1:28" s="536" customFormat="1" ht="33.75" x14ac:dyDescent="0.2">
      <c r="A250" s="575" t="s">
        <v>920</v>
      </c>
      <c r="B250" s="670" t="s">
        <v>8432</v>
      </c>
      <c r="C250" s="1823" t="s">
        <v>8433</v>
      </c>
      <c r="D250" s="1823"/>
      <c r="E250" s="1823"/>
      <c r="F250" s="573" t="s">
        <v>628</v>
      </c>
      <c r="G250" s="573"/>
      <c r="H250" s="573"/>
      <c r="I250" s="573" t="s">
        <v>185</v>
      </c>
      <c r="J250" s="572">
        <v>60593.75</v>
      </c>
      <c r="K250" s="573" t="s">
        <v>629</v>
      </c>
      <c r="L250" s="572">
        <v>13359.69</v>
      </c>
      <c r="M250" s="571">
        <v>4.59</v>
      </c>
      <c r="N250" s="570">
        <v>61321</v>
      </c>
      <c r="W250" s="537" t="s">
        <v>8433</v>
      </c>
    </row>
    <row r="251" spans="1:28" s="536" customFormat="1" x14ac:dyDescent="0.2">
      <c r="A251" s="569"/>
      <c r="B251" s="671"/>
      <c r="C251" s="665" t="s">
        <v>630</v>
      </c>
      <c r="D251" s="666"/>
      <c r="E251" s="666"/>
      <c r="F251" s="563"/>
      <c r="G251" s="563"/>
      <c r="H251" s="563"/>
      <c r="I251" s="563"/>
      <c r="J251" s="566"/>
      <c r="K251" s="563"/>
      <c r="L251" s="566"/>
      <c r="M251" s="565"/>
      <c r="N251" s="564"/>
    </row>
    <row r="252" spans="1:28" s="536" customFormat="1" ht="22.5" x14ac:dyDescent="0.2">
      <c r="A252" s="609"/>
      <c r="B252" s="552" t="s">
        <v>631</v>
      </c>
      <c r="C252" s="1822" t="s">
        <v>632</v>
      </c>
      <c r="D252" s="1822"/>
      <c r="E252" s="1822"/>
      <c r="F252" s="1822"/>
      <c r="G252" s="1822"/>
      <c r="H252" s="1822"/>
      <c r="I252" s="1822"/>
      <c r="J252" s="1822"/>
      <c r="K252" s="1822"/>
      <c r="L252" s="1822"/>
      <c r="M252" s="1822"/>
      <c r="N252" s="1827"/>
      <c r="X252" s="537" t="s">
        <v>632</v>
      </c>
    </row>
    <row r="253" spans="1:28" s="536" customFormat="1" ht="22.5" x14ac:dyDescent="0.2">
      <c r="A253" s="575" t="s">
        <v>922</v>
      </c>
      <c r="B253" s="670" t="s">
        <v>3150</v>
      </c>
      <c r="C253" s="1823" t="s">
        <v>3151</v>
      </c>
      <c r="D253" s="1823"/>
      <c r="E253" s="1823"/>
      <c r="F253" s="573" t="s">
        <v>617</v>
      </c>
      <c r="G253" s="573"/>
      <c r="H253" s="573"/>
      <c r="I253" s="573" t="s">
        <v>185</v>
      </c>
      <c r="J253" s="572"/>
      <c r="K253" s="573"/>
      <c r="L253" s="572"/>
      <c r="M253" s="571"/>
      <c r="N253" s="570"/>
      <c r="W253" s="537" t="s">
        <v>3151</v>
      </c>
    </row>
    <row r="254" spans="1:28" s="536" customFormat="1" ht="33.75" x14ac:dyDescent="0.2">
      <c r="A254" s="609"/>
      <c r="B254" s="552" t="s">
        <v>310</v>
      </c>
      <c r="C254" s="1822" t="s">
        <v>311</v>
      </c>
      <c r="D254" s="1822"/>
      <c r="E254" s="1822"/>
      <c r="F254" s="1822"/>
      <c r="G254" s="1822"/>
      <c r="H254" s="1822"/>
      <c r="I254" s="1822"/>
      <c r="J254" s="1822"/>
      <c r="K254" s="1822"/>
      <c r="L254" s="1822"/>
      <c r="M254" s="1822"/>
      <c r="N254" s="1827"/>
      <c r="X254" s="537" t="s">
        <v>311</v>
      </c>
    </row>
    <row r="255" spans="1:28" s="536" customFormat="1" x14ac:dyDescent="0.2">
      <c r="A255" s="605"/>
      <c r="B255" s="552" t="s">
        <v>185</v>
      </c>
      <c r="C255" s="1822" t="s">
        <v>312</v>
      </c>
      <c r="D255" s="1822"/>
      <c r="E255" s="1822"/>
      <c r="F255" s="562"/>
      <c r="G255" s="562"/>
      <c r="H255" s="562"/>
      <c r="I255" s="562"/>
      <c r="J255" s="604">
        <v>8.9</v>
      </c>
      <c r="K255" s="562" t="s">
        <v>313</v>
      </c>
      <c r="L255" s="604">
        <v>11.13</v>
      </c>
      <c r="M255" s="603"/>
      <c r="N255" s="602"/>
      <c r="Y255" s="537" t="s">
        <v>312</v>
      </c>
    </row>
    <row r="256" spans="1:28" s="536" customFormat="1" x14ac:dyDescent="0.2">
      <c r="A256" s="605"/>
      <c r="B256" s="552" t="s">
        <v>186</v>
      </c>
      <c r="C256" s="1822" t="s">
        <v>344</v>
      </c>
      <c r="D256" s="1822"/>
      <c r="E256" s="1822"/>
      <c r="F256" s="562"/>
      <c r="G256" s="562"/>
      <c r="H256" s="562"/>
      <c r="I256" s="562"/>
      <c r="J256" s="604">
        <v>0.66</v>
      </c>
      <c r="K256" s="562" t="s">
        <v>313</v>
      </c>
      <c r="L256" s="604">
        <v>0.83</v>
      </c>
      <c r="M256" s="603"/>
      <c r="N256" s="602"/>
      <c r="Y256" s="537" t="s">
        <v>344</v>
      </c>
    </row>
    <row r="257" spans="1:28" s="536" customFormat="1" x14ac:dyDescent="0.2">
      <c r="A257" s="605"/>
      <c r="B257" s="552" t="s">
        <v>187</v>
      </c>
      <c r="C257" s="1822" t="s">
        <v>345</v>
      </c>
      <c r="D257" s="1822"/>
      <c r="E257" s="1822"/>
      <c r="F257" s="562"/>
      <c r="G257" s="562"/>
      <c r="H257" s="562"/>
      <c r="I257" s="562"/>
      <c r="J257" s="604">
        <v>0.12</v>
      </c>
      <c r="K257" s="562" t="s">
        <v>313</v>
      </c>
      <c r="L257" s="604">
        <v>0.15</v>
      </c>
      <c r="M257" s="603"/>
      <c r="N257" s="602"/>
      <c r="Y257" s="537" t="s">
        <v>345</v>
      </c>
    </row>
    <row r="258" spans="1:28" s="536" customFormat="1" x14ac:dyDescent="0.2">
      <c r="A258" s="605"/>
      <c r="B258" s="552" t="s">
        <v>188</v>
      </c>
      <c r="C258" s="1822" t="s">
        <v>475</v>
      </c>
      <c r="D258" s="1822"/>
      <c r="E258" s="1822"/>
      <c r="F258" s="562"/>
      <c r="G258" s="562"/>
      <c r="H258" s="562"/>
      <c r="I258" s="562"/>
      <c r="J258" s="604">
        <v>0.18</v>
      </c>
      <c r="K258" s="562"/>
      <c r="L258" s="604">
        <v>0.18</v>
      </c>
      <c r="M258" s="603"/>
      <c r="N258" s="602"/>
      <c r="Y258" s="537" t="s">
        <v>475</v>
      </c>
    </row>
    <row r="259" spans="1:28" s="536" customFormat="1" x14ac:dyDescent="0.2">
      <c r="A259" s="605"/>
      <c r="B259" s="552"/>
      <c r="C259" s="1822" t="s">
        <v>314</v>
      </c>
      <c r="D259" s="1822"/>
      <c r="E259" s="1822"/>
      <c r="F259" s="562" t="s">
        <v>315</v>
      </c>
      <c r="G259" s="562" t="s">
        <v>702</v>
      </c>
      <c r="H259" s="562" t="s">
        <v>313</v>
      </c>
      <c r="I259" s="562" t="s">
        <v>3173</v>
      </c>
      <c r="J259" s="604"/>
      <c r="K259" s="562"/>
      <c r="L259" s="604"/>
      <c r="M259" s="603"/>
      <c r="N259" s="602"/>
      <c r="Z259" s="537" t="s">
        <v>314</v>
      </c>
    </row>
    <row r="260" spans="1:28" s="536" customFormat="1" x14ac:dyDescent="0.2">
      <c r="A260" s="605"/>
      <c r="B260" s="552"/>
      <c r="C260" s="1822" t="s">
        <v>348</v>
      </c>
      <c r="D260" s="1822"/>
      <c r="E260" s="1822"/>
      <c r="F260" s="562" t="s">
        <v>315</v>
      </c>
      <c r="G260" s="562" t="s">
        <v>809</v>
      </c>
      <c r="H260" s="562" t="s">
        <v>313</v>
      </c>
      <c r="I260" s="562" t="s">
        <v>810</v>
      </c>
      <c r="J260" s="604"/>
      <c r="K260" s="562"/>
      <c r="L260" s="604"/>
      <c r="M260" s="603"/>
      <c r="N260" s="602"/>
      <c r="Z260" s="537" t="s">
        <v>348</v>
      </c>
    </row>
    <row r="261" spans="1:28" s="536" customFormat="1" x14ac:dyDescent="0.2">
      <c r="A261" s="605"/>
      <c r="B261" s="552"/>
      <c r="C261" s="1828" t="s">
        <v>318</v>
      </c>
      <c r="D261" s="1828"/>
      <c r="E261" s="1828"/>
      <c r="F261" s="608"/>
      <c r="G261" s="608"/>
      <c r="H261" s="608"/>
      <c r="I261" s="608"/>
      <c r="J261" s="607">
        <v>9.74</v>
      </c>
      <c r="K261" s="608"/>
      <c r="L261" s="607">
        <v>12.14</v>
      </c>
      <c r="M261" s="601"/>
      <c r="N261" s="606"/>
      <c r="AA261" s="537" t="s">
        <v>318</v>
      </c>
    </row>
    <row r="262" spans="1:28" s="536" customFormat="1" x14ac:dyDescent="0.2">
      <c r="A262" s="605"/>
      <c r="B262" s="552"/>
      <c r="C262" s="1822" t="s">
        <v>319</v>
      </c>
      <c r="D262" s="1822"/>
      <c r="E262" s="1822"/>
      <c r="F262" s="562"/>
      <c r="G262" s="562"/>
      <c r="H262" s="562"/>
      <c r="I262" s="562"/>
      <c r="J262" s="604"/>
      <c r="K262" s="562"/>
      <c r="L262" s="604">
        <v>11.28</v>
      </c>
      <c r="M262" s="603"/>
      <c r="N262" s="602"/>
      <c r="Z262" s="537" t="s">
        <v>319</v>
      </c>
    </row>
    <row r="263" spans="1:28" s="536" customFormat="1" ht="33.75" x14ac:dyDescent="0.2">
      <c r="A263" s="605"/>
      <c r="B263" s="552" t="s">
        <v>948</v>
      </c>
      <c r="C263" s="1822" t="s">
        <v>949</v>
      </c>
      <c r="D263" s="1822"/>
      <c r="E263" s="1822"/>
      <c r="F263" s="562" t="s">
        <v>322</v>
      </c>
      <c r="G263" s="562" t="s">
        <v>886</v>
      </c>
      <c r="H263" s="562"/>
      <c r="I263" s="562" t="s">
        <v>886</v>
      </c>
      <c r="J263" s="604"/>
      <c r="K263" s="562"/>
      <c r="L263" s="604">
        <v>10.15</v>
      </c>
      <c r="M263" s="603"/>
      <c r="N263" s="602"/>
      <c r="Z263" s="537" t="s">
        <v>949</v>
      </c>
    </row>
    <row r="264" spans="1:28" s="536" customFormat="1" ht="33.75" x14ac:dyDescent="0.2">
      <c r="A264" s="605"/>
      <c r="B264" s="552" t="s">
        <v>950</v>
      </c>
      <c r="C264" s="1822" t="s">
        <v>951</v>
      </c>
      <c r="D264" s="1822"/>
      <c r="E264" s="1822"/>
      <c r="F264" s="562" t="s">
        <v>322</v>
      </c>
      <c r="G264" s="562" t="s">
        <v>465</v>
      </c>
      <c r="H264" s="562"/>
      <c r="I264" s="562" t="s">
        <v>465</v>
      </c>
      <c r="J264" s="604"/>
      <c r="K264" s="562"/>
      <c r="L264" s="604">
        <v>5.19</v>
      </c>
      <c r="M264" s="603"/>
      <c r="N264" s="602"/>
      <c r="Z264" s="537" t="s">
        <v>951</v>
      </c>
    </row>
    <row r="265" spans="1:28" s="536" customFormat="1" x14ac:dyDescent="0.2">
      <c r="A265" s="569"/>
      <c r="B265" s="671"/>
      <c r="C265" s="1823" t="s">
        <v>327</v>
      </c>
      <c r="D265" s="1823"/>
      <c r="E265" s="1823"/>
      <c r="F265" s="573"/>
      <c r="G265" s="573"/>
      <c r="H265" s="573"/>
      <c r="I265" s="573"/>
      <c r="J265" s="572"/>
      <c r="K265" s="573"/>
      <c r="L265" s="572">
        <v>27.48</v>
      </c>
      <c r="M265" s="601"/>
      <c r="N265" s="570"/>
      <c r="AB265" s="537" t="s">
        <v>327</v>
      </c>
    </row>
    <row r="266" spans="1:28" s="536" customFormat="1" ht="33.75" x14ac:dyDescent="0.2">
      <c r="A266" s="575" t="s">
        <v>923</v>
      </c>
      <c r="B266" s="670" t="s">
        <v>8434</v>
      </c>
      <c r="C266" s="1823" t="s">
        <v>8435</v>
      </c>
      <c r="D266" s="1823"/>
      <c r="E266" s="1823"/>
      <c r="F266" s="573" t="s">
        <v>628</v>
      </c>
      <c r="G266" s="573"/>
      <c r="H266" s="573"/>
      <c r="I266" s="573" t="s">
        <v>185</v>
      </c>
      <c r="J266" s="572">
        <v>19480.5</v>
      </c>
      <c r="K266" s="573" t="s">
        <v>629</v>
      </c>
      <c r="L266" s="572">
        <v>4294.99</v>
      </c>
      <c r="M266" s="571">
        <v>4.59</v>
      </c>
      <c r="N266" s="570">
        <v>19714</v>
      </c>
      <c r="W266" s="537" t="s">
        <v>8435</v>
      </c>
    </row>
    <row r="267" spans="1:28" s="536" customFormat="1" x14ac:dyDescent="0.2">
      <c r="A267" s="569"/>
      <c r="B267" s="671"/>
      <c r="C267" s="665" t="s">
        <v>630</v>
      </c>
      <c r="D267" s="666"/>
      <c r="E267" s="666"/>
      <c r="F267" s="563"/>
      <c r="G267" s="563"/>
      <c r="H267" s="563"/>
      <c r="I267" s="563"/>
      <c r="J267" s="566"/>
      <c r="K267" s="563"/>
      <c r="L267" s="566"/>
      <c r="M267" s="565"/>
      <c r="N267" s="564"/>
    </row>
    <row r="268" spans="1:28" s="536" customFormat="1" ht="22.5" x14ac:dyDescent="0.2">
      <c r="A268" s="609"/>
      <c r="B268" s="552" t="s">
        <v>631</v>
      </c>
      <c r="C268" s="1822" t="s">
        <v>632</v>
      </c>
      <c r="D268" s="1822"/>
      <c r="E268" s="1822"/>
      <c r="F268" s="1822"/>
      <c r="G268" s="1822"/>
      <c r="H268" s="1822"/>
      <c r="I268" s="1822"/>
      <c r="J268" s="1822"/>
      <c r="K268" s="1822"/>
      <c r="L268" s="1822"/>
      <c r="M268" s="1822"/>
      <c r="N268" s="1827"/>
      <c r="X268" s="537" t="s">
        <v>632</v>
      </c>
    </row>
    <row r="269" spans="1:28" s="536" customFormat="1" ht="22.5" x14ac:dyDescent="0.2">
      <c r="A269" s="575" t="s">
        <v>505</v>
      </c>
      <c r="B269" s="670" t="s">
        <v>8429</v>
      </c>
      <c r="C269" s="1823" t="s">
        <v>8430</v>
      </c>
      <c r="D269" s="1823"/>
      <c r="E269" s="1823"/>
      <c r="F269" s="573" t="s">
        <v>617</v>
      </c>
      <c r="G269" s="573"/>
      <c r="H269" s="573"/>
      <c r="I269" s="573" t="s">
        <v>187</v>
      </c>
      <c r="J269" s="572"/>
      <c r="K269" s="573"/>
      <c r="L269" s="572"/>
      <c r="M269" s="571"/>
      <c r="N269" s="570"/>
      <c r="W269" s="537" t="s">
        <v>8430</v>
      </c>
    </row>
    <row r="270" spans="1:28" s="536" customFormat="1" ht="33.75" x14ac:dyDescent="0.2">
      <c r="A270" s="609"/>
      <c r="B270" s="552" t="s">
        <v>310</v>
      </c>
      <c r="C270" s="1822" t="s">
        <v>311</v>
      </c>
      <c r="D270" s="1822"/>
      <c r="E270" s="1822"/>
      <c r="F270" s="1822"/>
      <c r="G270" s="1822"/>
      <c r="H270" s="1822"/>
      <c r="I270" s="1822"/>
      <c r="J270" s="1822"/>
      <c r="K270" s="1822"/>
      <c r="L270" s="1822"/>
      <c r="M270" s="1822"/>
      <c r="N270" s="1827"/>
      <c r="X270" s="537" t="s">
        <v>311</v>
      </c>
    </row>
    <row r="271" spans="1:28" s="536" customFormat="1" x14ac:dyDescent="0.2">
      <c r="A271" s="605"/>
      <c r="B271" s="552" t="s">
        <v>185</v>
      </c>
      <c r="C271" s="1822" t="s">
        <v>312</v>
      </c>
      <c r="D271" s="1822"/>
      <c r="E271" s="1822"/>
      <c r="F271" s="562"/>
      <c r="G271" s="562"/>
      <c r="H271" s="562"/>
      <c r="I271" s="562"/>
      <c r="J271" s="604">
        <v>26.7</v>
      </c>
      <c r="K271" s="562" t="s">
        <v>313</v>
      </c>
      <c r="L271" s="604">
        <v>100.13</v>
      </c>
      <c r="M271" s="603"/>
      <c r="N271" s="602"/>
      <c r="Y271" s="537" t="s">
        <v>312</v>
      </c>
    </row>
    <row r="272" spans="1:28" s="536" customFormat="1" x14ac:dyDescent="0.2">
      <c r="A272" s="605"/>
      <c r="B272" s="552" t="s">
        <v>186</v>
      </c>
      <c r="C272" s="1822" t="s">
        <v>344</v>
      </c>
      <c r="D272" s="1822"/>
      <c r="E272" s="1822"/>
      <c r="F272" s="562"/>
      <c r="G272" s="562"/>
      <c r="H272" s="562"/>
      <c r="I272" s="562"/>
      <c r="J272" s="604">
        <v>1.97</v>
      </c>
      <c r="K272" s="562" t="s">
        <v>313</v>
      </c>
      <c r="L272" s="604">
        <v>7.39</v>
      </c>
      <c r="M272" s="603"/>
      <c r="N272" s="602"/>
      <c r="Y272" s="537" t="s">
        <v>344</v>
      </c>
    </row>
    <row r="273" spans="1:28" s="536" customFormat="1" x14ac:dyDescent="0.2">
      <c r="A273" s="605"/>
      <c r="B273" s="552" t="s">
        <v>187</v>
      </c>
      <c r="C273" s="1822" t="s">
        <v>345</v>
      </c>
      <c r="D273" s="1822"/>
      <c r="E273" s="1822"/>
      <c r="F273" s="562"/>
      <c r="G273" s="562"/>
      <c r="H273" s="562"/>
      <c r="I273" s="562"/>
      <c r="J273" s="604">
        <v>0.35</v>
      </c>
      <c r="K273" s="562" t="s">
        <v>313</v>
      </c>
      <c r="L273" s="604">
        <v>1.31</v>
      </c>
      <c r="M273" s="603"/>
      <c r="N273" s="602"/>
      <c r="Y273" s="537" t="s">
        <v>345</v>
      </c>
    </row>
    <row r="274" spans="1:28" s="536" customFormat="1" x14ac:dyDescent="0.2">
      <c r="A274" s="605"/>
      <c r="B274" s="552" t="s">
        <v>188</v>
      </c>
      <c r="C274" s="1822" t="s">
        <v>475</v>
      </c>
      <c r="D274" s="1822"/>
      <c r="E274" s="1822"/>
      <c r="F274" s="562"/>
      <c r="G274" s="562"/>
      <c r="H274" s="562"/>
      <c r="I274" s="562"/>
      <c r="J274" s="604">
        <v>0.53</v>
      </c>
      <c r="K274" s="562"/>
      <c r="L274" s="604">
        <v>1.59</v>
      </c>
      <c r="M274" s="603"/>
      <c r="N274" s="602"/>
      <c r="Y274" s="537" t="s">
        <v>475</v>
      </c>
    </row>
    <row r="275" spans="1:28" s="536" customFormat="1" x14ac:dyDescent="0.2">
      <c r="A275" s="605"/>
      <c r="B275" s="552"/>
      <c r="C275" s="1822" t="s">
        <v>314</v>
      </c>
      <c r="D275" s="1822"/>
      <c r="E275" s="1822"/>
      <c r="F275" s="562" t="s">
        <v>315</v>
      </c>
      <c r="G275" s="562" t="s">
        <v>8431</v>
      </c>
      <c r="H275" s="562" t="s">
        <v>313</v>
      </c>
      <c r="I275" s="562" t="s">
        <v>8436</v>
      </c>
      <c r="J275" s="604"/>
      <c r="K275" s="562"/>
      <c r="L275" s="604"/>
      <c r="M275" s="603"/>
      <c r="N275" s="602"/>
      <c r="Z275" s="537" t="s">
        <v>314</v>
      </c>
    </row>
    <row r="276" spans="1:28" s="536" customFormat="1" x14ac:dyDescent="0.2">
      <c r="A276" s="605"/>
      <c r="B276" s="552"/>
      <c r="C276" s="1822" t="s">
        <v>348</v>
      </c>
      <c r="D276" s="1822"/>
      <c r="E276" s="1822"/>
      <c r="F276" s="562" t="s">
        <v>315</v>
      </c>
      <c r="G276" s="562" t="s">
        <v>1292</v>
      </c>
      <c r="H276" s="562" t="s">
        <v>313</v>
      </c>
      <c r="I276" s="562" t="s">
        <v>8437</v>
      </c>
      <c r="J276" s="604"/>
      <c r="K276" s="562"/>
      <c r="L276" s="604"/>
      <c r="M276" s="603"/>
      <c r="N276" s="602"/>
      <c r="Z276" s="537" t="s">
        <v>348</v>
      </c>
    </row>
    <row r="277" spans="1:28" s="536" customFormat="1" x14ac:dyDescent="0.2">
      <c r="A277" s="605"/>
      <c r="B277" s="552"/>
      <c r="C277" s="1828" t="s">
        <v>318</v>
      </c>
      <c r="D277" s="1828"/>
      <c r="E277" s="1828"/>
      <c r="F277" s="608"/>
      <c r="G277" s="608"/>
      <c r="H277" s="608"/>
      <c r="I277" s="608"/>
      <c r="J277" s="607">
        <v>29.2</v>
      </c>
      <c r="K277" s="608"/>
      <c r="L277" s="607">
        <v>109.11</v>
      </c>
      <c r="M277" s="601"/>
      <c r="N277" s="606"/>
      <c r="AA277" s="537" t="s">
        <v>318</v>
      </c>
    </row>
    <row r="278" spans="1:28" s="536" customFormat="1" x14ac:dyDescent="0.2">
      <c r="A278" s="605"/>
      <c r="B278" s="552"/>
      <c r="C278" s="1822" t="s">
        <v>319</v>
      </c>
      <c r="D278" s="1822"/>
      <c r="E278" s="1822"/>
      <c r="F278" s="562"/>
      <c r="G278" s="562"/>
      <c r="H278" s="562"/>
      <c r="I278" s="562"/>
      <c r="J278" s="604"/>
      <c r="K278" s="562"/>
      <c r="L278" s="604">
        <v>101.44</v>
      </c>
      <c r="M278" s="603"/>
      <c r="N278" s="602"/>
      <c r="Z278" s="537" t="s">
        <v>319</v>
      </c>
    </row>
    <row r="279" spans="1:28" s="536" customFormat="1" ht="33.75" x14ac:dyDescent="0.2">
      <c r="A279" s="605"/>
      <c r="B279" s="552" t="s">
        <v>948</v>
      </c>
      <c r="C279" s="1822" t="s">
        <v>949</v>
      </c>
      <c r="D279" s="1822"/>
      <c r="E279" s="1822"/>
      <c r="F279" s="562" t="s">
        <v>322</v>
      </c>
      <c r="G279" s="562" t="s">
        <v>886</v>
      </c>
      <c r="H279" s="562"/>
      <c r="I279" s="562" t="s">
        <v>886</v>
      </c>
      <c r="J279" s="604"/>
      <c r="K279" s="562"/>
      <c r="L279" s="604">
        <v>91.3</v>
      </c>
      <c r="M279" s="603"/>
      <c r="N279" s="602"/>
      <c r="Z279" s="537" t="s">
        <v>949</v>
      </c>
    </row>
    <row r="280" spans="1:28" s="536" customFormat="1" ht="33.75" x14ac:dyDescent="0.2">
      <c r="A280" s="605"/>
      <c r="B280" s="552" t="s">
        <v>950</v>
      </c>
      <c r="C280" s="1822" t="s">
        <v>951</v>
      </c>
      <c r="D280" s="1822"/>
      <c r="E280" s="1822"/>
      <c r="F280" s="562" t="s">
        <v>322</v>
      </c>
      <c r="G280" s="562" t="s">
        <v>465</v>
      </c>
      <c r="H280" s="562"/>
      <c r="I280" s="562" t="s">
        <v>465</v>
      </c>
      <c r="J280" s="604"/>
      <c r="K280" s="562"/>
      <c r="L280" s="604">
        <v>46.66</v>
      </c>
      <c r="M280" s="603"/>
      <c r="N280" s="602"/>
      <c r="Z280" s="537" t="s">
        <v>951</v>
      </c>
    </row>
    <row r="281" spans="1:28" s="536" customFormat="1" x14ac:dyDescent="0.2">
      <c r="A281" s="569"/>
      <c r="B281" s="671"/>
      <c r="C281" s="1823" t="s">
        <v>327</v>
      </c>
      <c r="D281" s="1823"/>
      <c r="E281" s="1823"/>
      <c r="F281" s="573"/>
      <c r="G281" s="573"/>
      <c r="H281" s="573"/>
      <c r="I281" s="573"/>
      <c r="J281" s="572"/>
      <c r="K281" s="573"/>
      <c r="L281" s="572">
        <v>247.07</v>
      </c>
      <c r="M281" s="601"/>
      <c r="N281" s="570"/>
      <c r="AB281" s="537" t="s">
        <v>327</v>
      </c>
    </row>
    <row r="282" spans="1:28" s="536" customFormat="1" ht="33.75" x14ac:dyDescent="0.2">
      <c r="A282" s="575" t="s">
        <v>3174</v>
      </c>
      <c r="B282" s="670" t="s">
        <v>8438</v>
      </c>
      <c r="C282" s="1823" t="s">
        <v>8439</v>
      </c>
      <c r="D282" s="1823"/>
      <c r="E282" s="1823"/>
      <c r="F282" s="573" t="s">
        <v>628</v>
      </c>
      <c r="G282" s="573"/>
      <c r="H282" s="573"/>
      <c r="I282" s="573" t="s">
        <v>187</v>
      </c>
      <c r="J282" s="572">
        <v>16235.63</v>
      </c>
      <c r="K282" s="573" t="s">
        <v>629</v>
      </c>
      <c r="L282" s="572">
        <v>10738.78</v>
      </c>
      <c r="M282" s="571">
        <v>4.59</v>
      </c>
      <c r="N282" s="570">
        <v>49291</v>
      </c>
      <c r="W282" s="537" t="s">
        <v>8439</v>
      </c>
    </row>
    <row r="283" spans="1:28" s="536" customFormat="1" x14ac:dyDescent="0.2">
      <c r="A283" s="569"/>
      <c r="B283" s="671"/>
      <c r="C283" s="665" t="s">
        <v>630</v>
      </c>
      <c r="D283" s="666"/>
      <c r="E283" s="666"/>
      <c r="F283" s="563"/>
      <c r="G283" s="563"/>
      <c r="H283" s="563"/>
      <c r="I283" s="563"/>
      <c r="J283" s="566"/>
      <c r="K283" s="563"/>
      <c r="L283" s="566"/>
      <c r="M283" s="565"/>
      <c r="N283" s="564"/>
    </row>
    <row r="284" spans="1:28" s="536" customFormat="1" ht="22.5" x14ac:dyDescent="0.2">
      <c r="A284" s="609"/>
      <c r="B284" s="552" t="s">
        <v>631</v>
      </c>
      <c r="C284" s="1822" t="s">
        <v>632</v>
      </c>
      <c r="D284" s="1822"/>
      <c r="E284" s="1822"/>
      <c r="F284" s="1822"/>
      <c r="G284" s="1822"/>
      <c r="H284" s="1822"/>
      <c r="I284" s="1822"/>
      <c r="J284" s="1822"/>
      <c r="K284" s="1822"/>
      <c r="L284" s="1822"/>
      <c r="M284" s="1822"/>
      <c r="N284" s="1827"/>
      <c r="X284" s="537" t="s">
        <v>632</v>
      </c>
    </row>
    <row r="285" spans="1:28" s="536" customFormat="1" ht="22.5" x14ac:dyDescent="0.2">
      <c r="A285" s="575" t="s">
        <v>768</v>
      </c>
      <c r="B285" s="670" t="s">
        <v>3150</v>
      </c>
      <c r="C285" s="1823" t="s">
        <v>3151</v>
      </c>
      <c r="D285" s="1823"/>
      <c r="E285" s="1823"/>
      <c r="F285" s="573" t="s">
        <v>617</v>
      </c>
      <c r="G285" s="573"/>
      <c r="H285" s="573"/>
      <c r="I285" s="573" t="s">
        <v>185</v>
      </c>
      <c r="J285" s="572"/>
      <c r="K285" s="573"/>
      <c r="L285" s="572"/>
      <c r="M285" s="571"/>
      <c r="N285" s="570"/>
      <c r="W285" s="537" t="s">
        <v>3151</v>
      </c>
    </row>
    <row r="286" spans="1:28" s="536" customFormat="1" ht="33.75" x14ac:dyDescent="0.2">
      <c r="A286" s="609"/>
      <c r="B286" s="552" t="s">
        <v>310</v>
      </c>
      <c r="C286" s="1822" t="s">
        <v>311</v>
      </c>
      <c r="D286" s="1822"/>
      <c r="E286" s="1822"/>
      <c r="F286" s="1822"/>
      <c r="G286" s="1822"/>
      <c r="H286" s="1822"/>
      <c r="I286" s="1822"/>
      <c r="J286" s="1822"/>
      <c r="K286" s="1822"/>
      <c r="L286" s="1822"/>
      <c r="M286" s="1822"/>
      <c r="N286" s="1827"/>
      <c r="X286" s="537" t="s">
        <v>311</v>
      </c>
    </row>
    <row r="287" spans="1:28" s="536" customFormat="1" x14ac:dyDescent="0.2">
      <c r="A287" s="605"/>
      <c r="B287" s="552" t="s">
        <v>185</v>
      </c>
      <c r="C287" s="1822" t="s">
        <v>312</v>
      </c>
      <c r="D287" s="1822"/>
      <c r="E287" s="1822"/>
      <c r="F287" s="562"/>
      <c r="G287" s="562"/>
      <c r="H287" s="562"/>
      <c r="I287" s="562"/>
      <c r="J287" s="604">
        <v>8.9</v>
      </c>
      <c r="K287" s="562" t="s">
        <v>313</v>
      </c>
      <c r="L287" s="604">
        <v>11.13</v>
      </c>
      <c r="M287" s="603"/>
      <c r="N287" s="602"/>
      <c r="Y287" s="537" t="s">
        <v>312</v>
      </c>
    </row>
    <row r="288" spans="1:28" s="536" customFormat="1" x14ac:dyDescent="0.2">
      <c r="A288" s="605"/>
      <c r="B288" s="552" t="s">
        <v>186</v>
      </c>
      <c r="C288" s="1822" t="s">
        <v>344</v>
      </c>
      <c r="D288" s="1822"/>
      <c r="E288" s="1822"/>
      <c r="F288" s="562"/>
      <c r="G288" s="562"/>
      <c r="H288" s="562"/>
      <c r="I288" s="562"/>
      <c r="J288" s="604">
        <v>0.66</v>
      </c>
      <c r="K288" s="562" t="s">
        <v>313</v>
      </c>
      <c r="L288" s="604">
        <v>0.83</v>
      </c>
      <c r="M288" s="603"/>
      <c r="N288" s="602"/>
      <c r="Y288" s="537" t="s">
        <v>344</v>
      </c>
    </row>
    <row r="289" spans="1:28" s="536" customFormat="1" x14ac:dyDescent="0.2">
      <c r="A289" s="605"/>
      <c r="B289" s="552" t="s">
        <v>187</v>
      </c>
      <c r="C289" s="1822" t="s">
        <v>345</v>
      </c>
      <c r="D289" s="1822"/>
      <c r="E289" s="1822"/>
      <c r="F289" s="562"/>
      <c r="G289" s="562"/>
      <c r="H289" s="562"/>
      <c r="I289" s="562"/>
      <c r="J289" s="604">
        <v>0.12</v>
      </c>
      <c r="K289" s="562" t="s">
        <v>313</v>
      </c>
      <c r="L289" s="604">
        <v>0.15</v>
      </c>
      <c r="M289" s="603"/>
      <c r="N289" s="602"/>
      <c r="Y289" s="537" t="s">
        <v>345</v>
      </c>
    </row>
    <row r="290" spans="1:28" s="536" customFormat="1" x14ac:dyDescent="0.2">
      <c r="A290" s="605"/>
      <c r="B290" s="552" t="s">
        <v>188</v>
      </c>
      <c r="C290" s="1822" t="s">
        <v>475</v>
      </c>
      <c r="D290" s="1822"/>
      <c r="E290" s="1822"/>
      <c r="F290" s="562"/>
      <c r="G290" s="562"/>
      <c r="H290" s="562"/>
      <c r="I290" s="562"/>
      <c r="J290" s="604">
        <v>0.18</v>
      </c>
      <c r="K290" s="562"/>
      <c r="L290" s="604">
        <v>0.18</v>
      </c>
      <c r="M290" s="603"/>
      <c r="N290" s="602"/>
      <c r="Y290" s="537" t="s">
        <v>475</v>
      </c>
    </row>
    <row r="291" spans="1:28" s="536" customFormat="1" x14ac:dyDescent="0.2">
      <c r="A291" s="605"/>
      <c r="B291" s="552"/>
      <c r="C291" s="1822" t="s">
        <v>314</v>
      </c>
      <c r="D291" s="1822"/>
      <c r="E291" s="1822"/>
      <c r="F291" s="562" t="s">
        <v>315</v>
      </c>
      <c r="G291" s="562" t="s">
        <v>702</v>
      </c>
      <c r="H291" s="562" t="s">
        <v>313</v>
      </c>
      <c r="I291" s="562" t="s">
        <v>3173</v>
      </c>
      <c r="J291" s="604"/>
      <c r="K291" s="562"/>
      <c r="L291" s="604"/>
      <c r="M291" s="603"/>
      <c r="N291" s="602"/>
      <c r="Z291" s="537" t="s">
        <v>314</v>
      </c>
    </row>
    <row r="292" spans="1:28" s="536" customFormat="1" x14ac:dyDescent="0.2">
      <c r="A292" s="605"/>
      <c r="B292" s="552"/>
      <c r="C292" s="1822" t="s">
        <v>348</v>
      </c>
      <c r="D292" s="1822"/>
      <c r="E292" s="1822"/>
      <c r="F292" s="562" t="s">
        <v>315</v>
      </c>
      <c r="G292" s="562" t="s">
        <v>809</v>
      </c>
      <c r="H292" s="562" t="s">
        <v>313</v>
      </c>
      <c r="I292" s="562" t="s">
        <v>810</v>
      </c>
      <c r="J292" s="604"/>
      <c r="K292" s="562"/>
      <c r="L292" s="604"/>
      <c r="M292" s="603"/>
      <c r="N292" s="602"/>
      <c r="Z292" s="537" t="s">
        <v>348</v>
      </c>
    </row>
    <row r="293" spans="1:28" s="536" customFormat="1" x14ac:dyDescent="0.2">
      <c r="A293" s="605"/>
      <c r="B293" s="552"/>
      <c r="C293" s="1828" t="s">
        <v>318</v>
      </c>
      <c r="D293" s="1828"/>
      <c r="E293" s="1828"/>
      <c r="F293" s="608"/>
      <c r="G293" s="608"/>
      <c r="H293" s="608"/>
      <c r="I293" s="608"/>
      <c r="J293" s="607">
        <v>9.74</v>
      </c>
      <c r="K293" s="608"/>
      <c r="L293" s="607">
        <v>12.14</v>
      </c>
      <c r="M293" s="601"/>
      <c r="N293" s="606"/>
      <c r="AA293" s="537" t="s">
        <v>318</v>
      </c>
    </row>
    <row r="294" spans="1:28" s="536" customFormat="1" x14ac:dyDescent="0.2">
      <c r="A294" s="605"/>
      <c r="B294" s="552"/>
      <c r="C294" s="1822" t="s">
        <v>319</v>
      </c>
      <c r="D294" s="1822"/>
      <c r="E294" s="1822"/>
      <c r="F294" s="562"/>
      <c r="G294" s="562"/>
      <c r="H294" s="562"/>
      <c r="I294" s="562"/>
      <c r="J294" s="604"/>
      <c r="K294" s="562"/>
      <c r="L294" s="604">
        <v>11.28</v>
      </c>
      <c r="M294" s="603"/>
      <c r="N294" s="602"/>
      <c r="Z294" s="537" t="s">
        <v>319</v>
      </c>
    </row>
    <row r="295" spans="1:28" s="536" customFormat="1" ht="33.75" x14ac:dyDescent="0.2">
      <c r="A295" s="605"/>
      <c r="B295" s="552" t="s">
        <v>948</v>
      </c>
      <c r="C295" s="1822" t="s">
        <v>949</v>
      </c>
      <c r="D295" s="1822"/>
      <c r="E295" s="1822"/>
      <c r="F295" s="562" t="s">
        <v>322</v>
      </c>
      <c r="G295" s="562" t="s">
        <v>886</v>
      </c>
      <c r="H295" s="562"/>
      <c r="I295" s="562" t="s">
        <v>886</v>
      </c>
      <c r="J295" s="604"/>
      <c r="K295" s="562"/>
      <c r="L295" s="604">
        <v>10.15</v>
      </c>
      <c r="M295" s="603"/>
      <c r="N295" s="602"/>
      <c r="Z295" s="537" t="s">
        <v>949</v>
      </c>
    </row>
    <row r="296" spans="1:28" s="536" customFormat="1" ht="33.75" x14ac:dyDescent="0.2">
      <c r="A296" s="605"/>
      <c r="B296" s="552" t="s">
        <v>950</v>
      </c>
      <c r="C296" s="1822" t="s">
        <v>951</v>
      </c>
      <c r="D296" s="1822"/>
      <c r="E296" s="1822"/>
      <c r="F296" s="562" t="s">
        <v>322</v>
      </c>
      <c r="G296" s="562" t="s">
        <v>465</v>
      </c>
      <c r="H296" s="562"/>
      <c r="I296" s="562" t="s">
        <v>465</v>
      </c>
      <c r="J296" s="604"/>
      <c r="K296" s="562"/>
      <c r="L296" s="604">
        <v>5.19</v>
      </c>
      <c r="M296" s="603"/>
      <c r="N296" s="602"/>
      <c r="Z296" s="537" t="s">
        <v>951</v>
      </c>
    </row>
    <row r="297" spans="1:28" s="536" customFormat="1" x14ac:dyDescent="0.2">
      <c r="A297" s="569"/>
      <c r="B297" s="671"/>
      <c r="C297" s="1823" t="s">
        <v>327</v>
      </c>
      <c r="D297" s="1823"/>
      <c r="E297" s="1823"/>
      <c r="F297" s="573"/>
      <c r="G297" s="573"/>
      <c r="H297" s="573"/>
      <c r="I297" s="573"/>
      <c r="J297" s="572"/>
      <c r="K297" s="573"/>
      <c r="L297" s="572">
        <v>27.48</v>
      </c>
      <c r="M297" s="601"/>
      <c r="N297" s="570"/>
      <c r="AB297" s="537" t="s">
        <v>327</v>
      </c>
    </row>
    <row r="298" spans="1:28" s="536" customFormat="1" ht="45" x14ac:dyDescent="0.2">
      <c r="A298" s="575" t="s">
        <v>769</v>
      </c>
      <c r="B298" s="670" t="s">
        <v>8322</v>
      </c>
      <c r="C298" s="1823" t="s">
        <v>8323</v>
      </c>
      <c r="D298" s="1823"/>
      <c r="E298" s="1823"/>
      <c r="F298" s="573" t="s">
        <v>617</v>
      </c>
      <c r="G298" s="573"/>
      <c r="H298" s="573"/>
      <c r="I298" s="573" t="s">
        <v>185</v>
      </c>
      <c r="J298" s="572"/>
      <c r="K298" s="573"/>
      <c r="L298" s="572"/>
      <c r="M298" s="571"/>
      <c r="N298" s="570"/>
      <c r="W298" s="537" t="s">
        <v>8323</v>
      </c>
    </row>
    <row r="299" spans="1:28" s="536" customFormat="1" ht="33.75" x14ac:dyDescent="0.2">
      <c r="A299" s="609"/>
      <c r="B299" s="552" t="s">
        <v>310</v>
      </c>
      <c r="C299" s="1822" t="s">
        <v>311</v>
      </c>
      <c r="D299" s="1822"/>
      <c r="E299" s="1822"/>
      <c r="F299" s="1822"/>
      <c r="G299" s="1822"/>
      <c r="H299" s="1822"/>
      <c r="I299" s="1822"/>
      <c r="J299" s="1822"/>
      <c r="K299" s="1822"/>
      <c r="L299" s="1822"/>
      <c r="M299" s="1822"/>
      <c r="N299" s="1827"/>
      <c r="X299" s="537" t="s">
        <v>311</v>
      </c>
    </row>
    <row r="300" spans="1:28" s="536" customFormat="1" x14ac:dyDescent="0.2">
      <c r="A300" s="605"/>
      <c r="B300" s="552" t="s">
        <v>185</v>
      </c>
      <c r="C300" s="1822" t="s">
        <v>312</v>
      </c>
      <c r="D300" s="1822"/>
      <c r="E300" s="1822"/>
      <c r="F300" s="562"/>
      <c r="G300" s="562"/>
      <c r="H300" s="562"/>
      <c r="I300" s="562"/>
      <c r="J300" s="604">
        <v>473.28</v>
      </c>
      <c r="K300" s="562" t="s">
        <v>313</v>
      </c>
      <c r="L300" s="604">
        <v>591.6</v>
      </c>
      <c r="M300" s="603"/>
      <c r="N300" s="602"/>
      <c r="Y300" s="537" t="s">
        <v>312</v>
      </c>
    </row>
    <row r="301" spans="1:28" s="536" customFormat="1" x14ac:dyDescent="0.2">
      <c r="A301" s="605"/>
      <c r="B301" s="552" t="s">
        <v>188</v>
      </c>
      <c r="C301" s="1822" t="s">
        <v>475</v>
      </c>
      <c r="D301" s="1822"/>
      <c r="E301" s="1822"/>
      <c r="F301" s="562"/>
      <c r="G301" s="562"/>
      <c r="H301" s="562"/>
      <c r="I301" s="562"/>
      <c r="J301" s="604">
        <v>9.4700000000000006</v>
      </c>
      <c r="K301" s="562"/>
      <c r="L301" s="604">
        <v>9.4700000000000006</v>
      </c>
      <c r="M301" s="603"/>
      <c r="N301" s="602"/>
      <c r="Y301" s="537" t="s">
        <v>475</v>
      </c>
    </row>
    <row r="302" spans="1:28" s="536" customFormat="1" x14ac:dyDescent="0.2">
      <c r="A302" s="605"/>
      <c r="B302" s="552"/>
      <c r="C302" s="1822" t="s">
        <v>314</v>
      </c>
      <c r="D302" s="1822"/>
      <c r="E302" s="1822"/>
      <c r="F302" s="562" t="s">
        <v>315</v>
      </c>
      <c r="G302" s="562" t="s">
        <v>765</v>
      </c>
      <c r="H302" s="562" t="s">
        <v>313</v>
      </c>
      <c r="I302" s="562" t="s">
        <v>677</v>
      </c>
      <c r="J302" s="604"/>
      <c r="K302" s="562"/>
      <c r="L302" s="604"/>
      <c r="M302" s="603"/>
      <c r="N302" s="602"/>
      <c r="Z302" s="537" t="s">
        <v>314</v>
      </c>
    </row>
    <row r="303" spans="1:28" s="536" customFormat="1" x14ac:dyDescent="0.2">
      <c r="A303" s="605"/>
      <c r="B303" s="552"/>
      <c r="C303" s="1828" t="s">
        <v>318</v>
      </c>
      <c r="D303" s="1828"/>
      <c r="E303" s="1828"/>
      <c r="F303" s="608"/>
      <c r="G303" s="608"/>
      <c r="H303" s="608"/>
      <c r="I303" s="608"/>
      <c r="J303" s="607">
        <v>482.75</v>
      </c>
      <c r="K303" s="608"/>
      <c r="L303" s="607">
        <v>601.07000000000005</v>
      </c>
      <c r="M303" s="601"/>
      <c r="N303" s="606"/>
      <c r="AA303" s="537" t="s">
        <v>318</v>
      </c>
    </row>
    <row r="304" spans="1:28" s="536" customFormat="1" x14ac:dyDescent="0.2">
      <c r="A304" s="605"/>
      <c r="B304" s="552"/>
      <c r="C304" s="1822" t="s">
        <v>319</v>
      </c>
      <c r="D304" s="1822"/>
      <c r="E304" s="1822"/>
      <c r="F304" s="562"/>
      <c r="G304" s="562"/>
      <c r="H304" s="562"/>
      <c r="I304" s="562"/>
      <c r="J304" s="604"/>
      <c r="K304" s="562"/>
      <c r="L304" s="604">
        <v>591.6</v>
      </c>
      <c r="M304" s="603"/>
      <c r="N304" s="602"/>
      <c r="Z304" s="537" t="s">
        <v>319</v>
      </c>
    </row>
    <row r="305" spans="1:28" s="536" customFormat="1" ht="33.75" x14ac:dyDescent="0.2">
      <c r="A305" s="605"/>
      <c r="B305" s="552" t="s">
        <v>884</v>
      </c>
      <c r="C305" s="1822" t="s">
        <v>885</v>
      </c>
      <c r="D305" s="1822"/>
      <c r="E305" s="1822"/>
      <c r="F305" s="562" t="s">
        <v>322</v>
      </c>
      <c r="G305" s="562" t="s">
        <v>886</v>
      </c>
      <c r="H305" s="562"/>
      <c r="I305" s="562" t="s">
        <v>886</v>
      </c>
      <c r="J305" s="604"/>
      <c r="K305" s="562"/>
      <c r="L305" s="604">
        <v>532.44000000000005</v>
      </c>
      <c r="M305" s="603"/>
      <c r="N305" s="602"/>
      <c r="Z305" s="537" t="s">
        <v>885</v>
      </c>
    </row>
    <row r="306" spans="1:28" s="536" customFormat="1" ht="33.75" x14ac:dyDescent="0.2">
      <c r="A306" s="605"/>
      <c r="B306" s="552" t="s">
        <v>887</v>
      </c>
      <c r="C306" s="1822" t="s">
        <v>888</v>
      </c>
      <c r="D306" s="1822"/>
      <c r="E306" s="1822"/>
      <c r="F306" s="562" t="s">
        <v>322</v>
      </c>
      <c r="G306" s="562" t="s">
        <v>465</v>
      </c>
      <c r="H306" s="562"/>
      <c r="I306" s="562" t="s">
        <v>465</v>
      </c>
      <c r="J306" s="604"/>
      <c r="K306" s="562"/>
      <c r="L306" s="604">
        <v>272.14</v>
      </c>
      <c r="M306" s="603"/>
      <c r="N306" s="602"/>
      <c r="Z306" s="537" t="s">
        <v>888</v>
      </c>
    </row>
    <row r="307" spans="1:28" s="536" customFormat="1" x14ac:dyDescent="0.2">
      <c r="A307" s="569"/>
      <c r="B307" s="671"/>
      <c r="C307" s="1823" t="s">
        <v>327</v>
      </c>
      <c r="D307" s="1823"/>
      <c r="E307" s="1823"/>
      <c r="F307" s="573"/>
      <c r="G307" s="573"/>
      <c r="H307" s="573"/>
      <c r="I307" s="573"/>
      <c r="J307" s="572"/>
      <c r="K307" s="573"/>
      <c r="L307" s="572">
        <v>1405.65</v>
      </c>
      <c r="M307" s="601"/>
      <c r="N307" s="570"/>
      <c r="AB307" s="537" t="s">
        <v>327</v>
      </c>
    </row>
    <row r="308" spans="1:28" s="536" customFormat="1" ht="33.75" x14ac:dyDescent="0.2">
      <c r="A308" s="575" t="s">
        <v>926</v>
      </c>
      <c r="B308" s="670" t="s">
        <v>8440</v>
      </c>
      <c r="C308" s="1823" t="s">
        <v>8441</v>
      </c>
      <c r="D308" s="1823"/>
      <c r="E308" s="1823"/>
      <c r="F308" s="573" t="s">
        <v>617</v>
      </c>
      <c r="G308" s="573"/>
      <c r="H308" s="573"/>
      <c r="I308" s="573" t="s">
        <v>185</v>
      </c>
      <c r="J308" s="572">
        <v>105591.48</v>
      </c>
      <c r="K308" s="573" t="s">
        <v>629</v>
      </c>
      <c r="L308" s="572">
        <v>23280.83</v>
      </c>
      <c r="M308" s="571">
        <v>4.59</v>
      </c>
      <c r="N308" s="570">
        <v>106859</v>
      </c>
      <c r="W308" s="537" t="s">
        <v>8441</v>
      </c>
    </row>
    <row r="309" spans="1:28" s="536" customFormat="1" x14ac:dyDescent="0.2">
      <c r="A309" s="569"/>
      <c r="B309" s="671"/>
      <c r="C309" s="665" t="s">
        <v>630</v>
      </c>
      <c r="D309" s="666"/>
      <c r="E309" s="666"/>
      <c r="F309" s="563"/>
      <c r="G309" s="563"/>
      <c r="H309" s="563"/>
      <c r="I309" s="563"/>
      <c r="J309" s="566"/>
      <c r="K309" s="563"/>
      <c r="L309" s="566"/>
      <c r="M309" s="565"/>
      <c r="N309" s="564"/>
    </row>
    <row r="310" spans="1:28" s="536" customFormat="1" ht="22.5" x14ac:dyDescent="0.2">
      <c r="A310" s="609"/>
      <c r="B310" s="552" t="s">
        <v>631</v>
      </c>
      <c r="C310" s="1822" t="s">
        <v>632</v>
      </c>
      <c r="D310" s="1822"/>
      <c r="E310" s="1822"/>
      <c r="F310" s="1822"/>
      <c r="G310" s="1822"/>
      <c r="H310" s="1822"/>
      <c r="I310" s="1822"/>
      <c r="J310" s="1822"/>
      <c r="K310" s="1822"/>
      <c r="L310" s="1822"/>
      <c r="M310" s="1822"/>
      <c r="N310" s="1827"/>
      <c r="X310" s="537" t="s">
        <v>632</v>
      </c>
    </row>
    <row r="311" spans="1:28" s="536" customFormat="1" ht="33.75" x14ac:dyDescent="0.2">
      <c r="A311" s="575" t="s">
        <v>927</v>
      </c>
      <c r="B311" s="670" t="s">
        <v>8442</v>
      </c>
      <c r="C311" s="1823" t="s">
        <v>8443</v>
      </c>
      <c r="D311" s="1823"/>
      <c r="E311" s="1823"/>
      <c r="F311" s="573" t="s">
        <v>617</v>
      </c>
      <c r="G311" s="573"/>
      <c r="H311" s="573"/>
      <c r="I311" s="573" t="s">
        <v>185</v>
      </c>
      <c r="J311" s="572">
        <v>36890.79</v>
      </c>
      <c r="K311" s="573" t="s">
        <v>629</v>
      </c>
      <c r="L311" s="572">
        <v>8133.55</v>
      </c>
      <c r="M311" s="571">
        <v>4.59</v>
      </c>
      <c r="N311" s="570">
        <v>37333</v>
      </c>
      <c r="W311" s="537" t="s">
        <v>8443</v>
      </c>
    </row>
    <row r="312" spans="1:28" s="536" customFormat="1" x14ac:dyDescent="0.2">
      <c r="A312" s="569"/>
      <c r="B312" s="671"/>
      <c r="C312" s="665" t="s">
        <v>630</v>
      </c>
      <c r="D312" s="666"/>
      <c r="E312" s="666"/>
      <c r="F312" s="563"/>
      <c r="G312" s="563"/>
      <c r="H312" s="563"/>
      <c r="I312" s="563"/>
      <c r="J312" s="566"/>
      <c r="K312" s="563"/>
      <c r="L312" s="566"/>
      <c r="M312" s="565"/>
      <c r="N312" s="564"/>
    </row>
    <row r="313" spans="1:28" s="536" customFormat="1" ht="22.5" x14ac:dyDescent="0.2">
      <c r="A313" s="609"/>
      <c r="B313" s="552" t="s">
        <v>631</v>
      </c>
      <c r="C313" s="1822" t="s">
        <v>632</v>
      </c>
      <c r="D313" s="1822"/>
      <c r="E313" s="1822"/>
      <c r="F313" s="1822"/>
      <c r="G313" s="1822"/>
      <c r="H313" s="1822"/>
      <c r="I313" s="1822"/>
      <c r="J313" s="1822"/>
      <c r="K313" s="1822"/>
      <c r="L313" s="1822"/>
      <c r="M313" s="1822"/>
      <c r="N313" s="1827"/>
      <c r="X313" s="537" t="s">
        <v>632</v>
      </c>
    </row>
    <row r="314" spans="1:28" s="536" customFormat="1" ht="33.75" x14ac:dyDescent="0.2">
      <c r="A314" s="575" t="s">
        <v>928</v>
      </c>
      <c r="B314" s="670" t="s">
        <v>8444</v>
      </c>
      <c r="C314" s="1823" t="s">
        <v>8445</v>
      </c>
      <c r="D314" s="1823"/>
      <c r="E314" s="1823"/>
      <c r="F314" s="573" t="s">
        <v>617</v>
      </c>
      <c r="G314" s="573"/>
      <c r="H314" s="573"/>
      <c r="I314" s="573" t="s">
        <v>185</v>
      </c>
      <c r="J314" s="572">
        <v>13178.54</v>
      </c>
      <c r="K314" s="573" t="s">
        <v>629</v>
      </c>
      <c r="L314" s="572">
        <v>2905.66</v>
      </c>
      <c r="M314" s="571">
        <v>4.59</v>
      </c>
      <c r="N314" s="570">
        <v>13337</v>
      </c>
      <c r="W314" s="537" t="s">
        <v>8445</v>
      </c>
    </row>
    <row r="315" spans="1:28" s="536" customFormat="1" x14ac:dyDescent="0.2">
      <c r="A315" s="569"/>
      <c r="B315" s="671"/>
      <c r="C315" s="665" t="s">
        <v>630</v>
      </c>
      <c r="D315" s="666"/>
      <c r="E315" s="666"/>
      <c r="F315" s="563"/>
      <c r="G315" s="563"/>
      <c r="H315" s="563"/>
      <c r="I315" s="563"/>
      <c r="J315" s="566"/>
      <c r="K315" s="563"/>
      <c r="L315" s="566"/>
      <c r="M315" s="565"/>
      <c r="N315" s="564"/>
    </row>
    <row r="316" spans="1:28" s="536" customFormat="1" ht="22.5" x14ac:dyDescent="0.2">
      <c r="A316" s="609"/>
      <c r="B316" s="552" t="s">
        <v>631</v>
      </c>
      <c r="C316" s="1822" t="s">
        <v>632</v>
      </c>
      <c r="D316" s="1822"/>
      <c r="E316" s="1822"/>
      <c r="F316" s="1822"/>
      <c r="G316" s="1822"/>
      <c r="H316" s="1822"/>
      <c r="I316" s="1822"/>
      <c r="J316" s="1822"/>
      <c r="K316" s="1822"/>
      <c r="L316" s="1822"/>
      <c r="M316" s="1822"/>
      <c r="N316" s="1827"/>
      <c r="X316" s="537" t="s">
        <v>632</v>
      </c>
    </row>
    <row r="317" spans="1:28" s="536" customFormat="1" ht="22.5" x14ac:dyDescent="0.2">
      <c r="A317" s="575" t="s">
        <v>677</v>
      </c>
      <c r="B317" s="670" t="s">
        <v>8446</v>
      </c>
      <c r="C317" s="1823" t="s">
        <v>8447</v>
      </c>
      <c r="D317" s="1823"/>
      <c r="E317" s="1823"/>
      <c r="F317" s="573" t="s">
        <v>617</v>
      </c>
      <c r="G317" s="573"/>
      <c r="H317" s="573"/>
      <c r="I317" s="573" t="s">
        <v>187</v>
      </c>
      <c r="J317" s="572"/>
      <c r="K317" s="573"/>
      <c r="L317" s="572"/>
      <c r="M317" s="571"/>
      <c r="N317" s="570"/>
      <c r="W317" s="537" t="s">
        <v>8447</v>
      </c>
    </row>
    <row r="318" spans="1:28" s="536" customFormat="1" ht="33.75" x14ac:dyDescent="0.2">
      <c r="A318" s="609"/>
      <c r="B318" s="552" t="s">
        <v>310</v>
      </c>
      <c r="C318" s="1822" t="s">
        <v>311</v>
      </c>
      <c r="D318" s="1822"/>
      <c r="E318" s="1822"/>
      <c r="F318" s="1822"/>
      <c r="G318" s="1822"/>
      <c r="H318" s="1822"/>
      <c r="I318" s="1822"/>
      <c r="J318" s="1822"/>
      <c r="K318" s="1822"/>
      <c r="L318" s="1822"/>
      <c r="M318" s="1822"/>
      <c r="N318" s="1827"/>
      <c r="X318" s="537" t="s">
        <v>311</v>
      </c>
    </row>
    <row r="319" spans="1:28" s="536" customFormat="1" x14ac:dyDescent="0.2">
      <c r="A319" s="605"/>
      <c r="B319" s="552" t="s">
        <v>185</v>
      </c>
      <c r="C319" s="1822" t="s">
        <v>312</v>
      </c>
      <c r="D319" s="1822"/>
      <c r="E319" s="1822"/>
      <c r="F319" s="562"/>
      <c r="G319" s="562"/>
      <c r="H319" s="562"/>
      <c r="I319" s="562"/>
      <c r="J319" s="604">
        <v>6.93</v>
      </c>
      <c r="K319" s="562" t="s">
        <v>313</v>
      </c>
      <c r="L319" s="604">
        <v>25.99</v>
      </c>
      <c r="M319" s="603"/>
      <c r="N319" s="602"/>
      <c r="Y319" s="537" t="s">
        <v>312</v>
      </c>
    </row>
    <row r="320" spans="1:28" s="536" customFormat="1" x14ac:dyDescent="0.2">
      <c r="A320" s="605"/>
      <c r="B320" s="552" t="s">
        <v>188</v>
      </c>
      <c r="C320" s="1822" t="s">
        <v>475</v>
      </c>
      <c r="D320" s="1822"/>
      <c r="E320" s="1822"/>
      <c r="F320" s="562"/>
      <c r="G320" s="562"/>
      <c r="H320" s="562"/>
      <c r="I320" s="562"/>
      <c r="J320" s="604">
        <v>10.64</v>
      </c>
      <c r="K320" s="562"/>
      <c r="L320" s="604">
        <v>31.92</v>
      </c>
      <c r="M320" s="603"/>
      <c r="N320" s="602"/>
      <c r="Y320" s="537" t="s">
        <v>475</v>
      </c>
    </row>
    <row r="321" spans="1:30" s="536" customFormat="1" x14ac:dyDescent="0.2">
      <c r="A321" s="676"/>
      <c r="B321" s="677" t="s">
        <v>3084</v>
      </c>
      <c r="C321" s="1829" t="s">
        <v>3085</v>
      </c>
      <c r="D321" s="1829"/>
      <c r="E321" s="1829"/>
      <c r="F321" s="678" t="s">
        <v>694</v>
      </c>
      <c r="G321" s="678" t="s">
        <v>8252</v>
      </c>
      <c r="H321" s="678"/>
      <c r="I321" s="678" t="s">
        <v>8448</v>
      </c>
      <c r="J321" s="552"/>
      <c r="K321" s="562"/>
      <c r="L321" s="604"/>
      <c r="M321" s="562"/>
      <c r="N321" s="679"/>
      <c r="AD321" s="537" t="s">
        <v>3085</v>
      </c>
    </row>
    <row r="322" spans="1:30" s="536" customFormat="1" x14ac:dyDescent="0.2">
      <c r="A322" s="605"/>
      <c r="B322" s="552"/>
      <c r="C322" s="1822" t="s">
        <v>314</v>
      </c>
      <c r="D322" s="1822"/>
      <c r="E322" s="1822"/>
      <c r="F322" s="562" t="s">
        <v>315</v>
      </c>
      <c r="G322" s="562" t="s">
        <v>1715</v>
      </c>
      <c r="H322" s="562" t="s">
        <v>313</v>
      </c>
      <c r="I322" s="562" t="s">
        <v>1217</v>
      </c>
      <c r="J322" s="604"/>
      <c r="K322" s="562"/>
      <c r="L322" s="604"/>
      <c r="M322" s="603"/>
      <c r="N322" s="602"/>
      <c r="Z322" s="537" t="s">
        <v>314</v>
      </c>
    </row>
    <row r="323" spans="1:30" s="536" customFormat="1" x14ac:dyDescent="0.2">
      <c r="A323" s="605"/>
      <c r="B323" s="552"/>
      <c r="C323" s="1828" t="s">
        <v>318</v>
      </c>
      <c r="D323" s="1828"/>
      <c r="E323" s="1828"/>
      <c r="F323" s="608"/>
      <c r="G323" s="608"/>
      <c r="H323" s="608"/>
      <c r="I323" s="608"/>
      <c r="J323" s="607">
        <v>17.57</v>
      </c>
      <c r="K323" s="608"/>
      <c r="L323" s="607">
        <v>57.91</v>
      </c>
      <c r="M323" s="601"/>
      <c r="N323" s="606"/>
      <c r="AA323" s="537" t="s">
        <v>318</v>
      </c>
    </row>
    <row r="324" spans="1:30" s="536" customFormat="1" x14ac:dyDescent="0.2">
      <c r="A324" s="605"/>
      <c r="B324" s="552"/>
      <c r="C324" s="1822" t="s">
        <v>319</v>
      </c>
      <c r="D324" s="1822"/>
      <c r="E324" s="1822"/>
      <c r="F324" s="562"/>
      <c r="G324" s="562"/>
      <c r="H324" s="562"/>
      <c r="I324" s="562"/>
      <c r="J324" s="604"/>
      <c r="K324" s="562"/>
      <c r="L324" s="604">
        <v>25.99</v>
      </c>
      <c r="M324" s="603"/>
      <c r="N324" s="602"/>
      <c r="Z324" s="537" t="s">
        <v>319</v>
      </c>
    </row>
    <row r="325" spans="1:30" s="536" customFormat="1" ht="33.75" x14ac:dyDescent="0.2">
      <c r="A325" s="605"/>
      <c r="B325" s="552" t="s">
        <v>884</v>
      </c>
      <c r="C325" s="1822" t="s">
        <v>885</v>
      </c>
      <c r="D325" s="1822"/>
      <c r="E325" s="1822"/>
      <c r="F325" s="562" t="s">
        <v>322</v>
      </c>
      <c r="G325" s="562" t="s">
        <v>886</v>
      </c>
      <c r="H325" s="562"/>
      <c r="I325" s="562" t="s">
        <v>886</v>
      </c>
      <c r="J325" s="604"/>
      <c r="K325" s="562"/>
      <c r="L325" s="604">
        <v>23.39</v>
      </c>
      <c r="M325" s="603"/>
      <c r="N325" s="602"/>
      <c r="Z325" s="537" t="s">
        <v>885</v>
      </c>
    </row>
    <row r="326" spans="1:30" s="536" customFormat="1" ht="33.75" x14ac:dyDescent="0.2">
      <c r="A326" s="605"/>
      <c r="B326" s="552" t="s">
        <v>887</v>
      </c>
      <c r="C326" s="1822" t="s">
        <v>888</v>
      </c>
      <c r="D326" s="1822"/>
      <c r="E326" s="1822"/>
      <c r="F326" s="562" t="s">
        <v>322</v>
      </c>
      <c r="G326" s="562" t="s">
        <v>465</v>
      </c>
      <c r="H326" s="562"/>
      <c r="I326" s="562" t="s">
        <v>465</v>
      </c>
      <c r="J326" s="604"/>
      <c r="K326" s="562"/>
      <c r="L326" s="604">
        <v>11.96</v>
      </c>
      <c r="M326" s="603"/>
      <c r="N326" s="602"/>
      <c r="Z326" s="537" t="s">
        <v>888</v>
      </c>
    </row>
    <row r="327" spans="1:30" s="536" customFormat="1" x14ac:dyDescent="0.2">
      <c r="A327" s="569"/>
      <c r="B327" s="671"/>
      <c r="C327" s="1823" t="s">
        <v>327</v>
      </c>
      <c r="D327" s="1823"/>
      <c r="E327" s="1823"/>
      <c r="F327" s="573"/>
      <c r="G327" s="573"/>
      <c r="H327" s="573"/>
      <c r="I327" s="573"/>
      <c r="J327" s="572"/>
      <c r="K327" s="573"/>
      <c r="L327" s="572">
        <v>93.26</v>
      </c>
      <c r="M327" s="601"/>
      <c r="N327" s="570"/>
      <c r="AB327" s="537" t="s">
        <v>327</v>
      </c>
    </row>
    <row r="328" spans="1:30" s="536" customFormat="1" ht="33.75" x14ac:dyDescent="0.2">
      <c r="A328" s="575" t="s">
        <v>773</v>
      </c>
      <c r="B328" s="670" t="s">
        <v>8449</v>
      </c>
      <c r="C328" s="1823" t="s">
        <v>8450</v>
      </c>
      <c r="D328" s="1823"/>
      <c r="E328" s="1823"/>
      <c r="F328" s="573" t="s">
        <v>617</v>
      </c>
      <c r="G328" s="573"/>
      <c r="H328" s="573"/>
      <c r="I328" s="573" t="s">
        <v>187</v>
      </c>
      <c r="J328" s="572">
        <v>3061.62</v>
      </c>
      <c r="K328" s="573" t="s">
        <v>629</v>
      </c>
      <c r="L328" s="572">
        <v>2025.05</v>
      </c>
      <c r="M328" s="571">
        <v>4.59</v>
      </c>
      <c r="N328" s="570">
        <v>9295</v>
      </c>
      <c r="W328" s="537" t="s">
        <v>8450</v>
      </c>
    </row>
    <row r="329" spans="1:30" s="536" customFormat="1" x14ac:dyDescent="0.2">
      <c r="A329" s="569"/>
      <c r="B329" s="671"/>
      <c r="C329" s="665" t="s">
        <v>630</v>
      </c>
      <c r="D329" s="666"/>
      <c r="E329" s="666"/>
      <c r="F329" s="563"/>
      <c r="G329" s="563"/>
      <c r="H329" s="563"/>
      <c r="I329" s="563"/>
      <c r="J329" s="566"/>
      <c r="K329" s="563"/>
      <c r="L329" s="566"/>
      <c r="M329" s="565"/>
      <c r="N329" s="564"/>
    </row>
    <row r="330" spans="1:30" s="536" customFormat="1" ht="22.5" x14ac:dyDescent="0.2">
      <c r="A330" s="609"/>
      <c r="B330" s="552" t="s">
        <v>631</v>
      </c>
      <c r="C330" s="1822" t="s">
        <v>632</v>
      </c>
      <c r="D330" s="1822"/>
      <c r="E330" s="1822"/>
      <c r="F330" s="1822"/>
      <c r="G330" s="1822"/>
      <c r="H330" s="1822"/>
      <c r="I330" s="1822"/>
      <c r="J330" s="1822"/>
      <c r="K330" s="1822"/>
      <c r="L330" s="1822"/>
      <c r="M330" s="1822"/>
      <c r="N330" s="1827"/>
      <c r="X330" s="537" t="s">
        <v>632</v>
      </c>
    </row>
    <row r="331" spans="1:30" s="536" customFormat="1" ht="22.5" x14ac:dyDescent="0.2">
      <c r="A331" s="575" t="s">
        <v>774</v>
      </c>
      <c r="B331" s="670" t="s">
        <v>3150</v>
      </c>
      <c r="C331" s="1823" t="s">
        <v>3151</v>
      </c>
      <c r="D331" s="1823"/>
      <c r="E331" s="1823"/>
      <c r="F331" s="573" t="s">
        <v>617</v>
      </c>
      <c r="G331" s="573"/>
      <c r="H331" s="573"/>
      <c r="I331" s="573" t="s">
        <v>185</v>
      </c>
      <c r="J331" s="572"/>
      <c r="K331" s="573"/>
      <c r="L331" s="572"/>
      <c r="M331" s="571"/>
      <c r="N331" s="570"/>
      <c r="W331" s="537" t="s">
        <v>3151</v>
      </c>
    </row>
    <row r="332" spans="1:30" s="536" customFormat="1" ht="33.75" x14ac:dyDescent="0.2">
      <c r="A332" s="609"/>
      <c r="B332" s="552" t="s">
        <v>310</v>
      </c>
      <c r="C332" s="1822" t="s">
        <v>311</v>
      </c>
      <c r="D332" s="1822"/>
      <c r="E332" s="1822"/>
      <c r="F332" s="1822"/>
      <c r="G332" s="1822"/>
      <c r="H332" s="1822"/>
      <c r="I332" s="1822"/>
      <c r="J332" s="1822"/>
      <c r="K332" s="1822"/>
      <c r="L332" s="1822"/>
      <c r="M332" s="1822"/>
      <c r="N332" s="1827"/>
      <c r="X332" s="537" t="s">
        <v>311</v>
      </c>
    </row>
    <row r="333" spans="1:30" s="536" customFormat="1" x14ac:dyDescent="0.2">
      <c r="A333" s="605"/>
      <c r="B333" s="552" t="s">
        <v>185</v>
      </c>
      <c r="C333" s="1822" t="s">
        <v>312</v>
      </c>
      <c r="D333" s="1822"/>
      <c r="E333" s="1822"/>
      <c r="F333" s="562"/>
      <c r="G333" s="562"/>
      <c r="H333" s="562"/>
      <c r="I333" s="562"/>
      <c r="J333" s="604">
        <v>8.9</v>
      </c>
      <c r="K333" s="562" t="s">
        <v>313</v>
      </c>
      <c r="L333" s="604">
        <v>11.13</v>
      </c>
      <c r="M333" s="603"/>
      <c r="N333" s="602"/>
      <c r="Y333" s="537" t="s">
        <v>312</v>
      </c>
    </row>
    <row r="334" spans="1:30" s="536" customFormat="1" x14ac:dyDescent="0.2">
      <c r="A334" s="605"/>
      <c r="B334" s="552" t="s">
        <v>186</v>
      </c>
      <c r="C334" s="1822" t="s">
        <v>344</v>
      </c>
      <c r="D334" s="1822"/>
      <c r="E334" s="1822"/>
      <c r="F334" s="562"/>
      <c r="G334" s="562"/>
      <c r="H334" s="562"/>
      <c r="I334" s="562"/>
      <c r="J334" s="604">
        <v>0.66</v>
      </c>
      <c r="K334" s="562" t="s">
        <v>313</v>
      </c>
      <c r="L334" s="604">
        <v>0.83</v>
      </c>
      <c r="M334" s="603"/>
      <c r="N334" s="602"/>
      <c r="Y334" s="537" t="s">
        <v>344</v>
      </c>
    </row>
    <row r="335" spans="1:30" s="536" customFormat="1" x14ac:dyDescent="0.2">
      <c r="A335" s="605"/>
      <c r="B335" s="552" t="s">
        <v>187</v>
      </c>
      <c r="C335" s="1822" t="s">
        <v>345</v>
      </c>
      <c r="D335" s="1822"/>
      <c r="E335" s="1822"/>
      <c r="F335" s="562"/>
      <c r="G335" s="562"/>
      <c r="H335" s="562"/>
      <c r="I335" s="562"/>
      <c r="J335" s="604">
        <v>0.12</v>
      </c>
      <c r="K335" s="562" t="s">
        <v>313</v>
      </c>
      <c r="L335" s="604">
        <v>0.15</v>
      </c>
      <c r="M335" s="603"/>
      <c r="N335" s="602"/>
      <c r="Y335" s="537" t="s">
        <v>345</v>
      </c>
    </row>
    <row r="336" spans="1:30" s="536" customFormat="1" x14ac:dyDescent="0.2">
      <c r="A336" s="605"/>
      <c r="B336" s="552" t="s">
        <v>188</v>
      </c>
      <c r="C336" s="1822" t="s">
        <v>475</v>
      </c>
      <c r="D336" s="1822"/>
      <c r="E336" s="1822"/>
      <c r="F336" s="562"/>
      <c r="G336" s="562"/>
      <c r="H336" s="562"/>
      <c r="I336" s="562"/>
      <c r="J336" s="604">
        <v>0.18</v>
      </c>
      <c r="K336" s="562"/>
      <c r="L336" s="604">
        <v>0.18</v>
      </c>
      <c r="M336" s="603"/>
      <c r="N336" s="602"/>
      <c r="Y336" s="537" t="s">
        <v>475</v>
      </c>
    </row>
    <row r="337" spans="1:28" s="536" customFormat="1" x14ac:dyDescent="0.2">
      <c r="A337" s="605"/>
      <c r="B337" s="552"/>
      <c r="C337" s="1822" t="s">
        <v>314</v>
      </c>
      <c r="D337" s="1822"/>
      <c r="E337" s="1822"/>
      <c r="F337" s="562" t="s">
        <v>315</v>
      </c>
      <c r="G337" s="562" t="s">
        <v>702</v>
      </c>
      <c r="H337" s="562" t="s">
        <v>313</v>
      </c>
      <c r="I337" s="562" t="s">
        <v>3173</v>
      </c>
      <c r="J337" s="604"/>
      <c r="K337" s="562"/>
      <c r="L337" s="604"/>
      <c r="M337" s="603"/>
      <c r="N337" s="602"/>
      <c r="Z337" s="537" t="s">
        <v>314</v>
      </c>
    </row>
    <row r="338" spans="1:28" s="536" customFormat="1" x14ac:dyDescent="0.2">
      <c r="A338" s="605"/>
      <c r="B338" s="552"/>
      <c r="C338" s="1822" t="s">
        <v>348</v>
      </c>
      <c r="D338" s="1822"/>
      <c r="E338" s="1822"/>
      <c r="F338" s="562" t="s">
        <v>315</v>
      </c>
      <c r="G338" s="562" t="s">
        <v>809</v>
      </c>
      <c r="H338" s="562" t="s">
        <v>313</v>
      </c>
      <c r="I338" s="562" t="s">
        <v>810</v>
      </c>
      <c r="J338" s="604"/>
      <c r="K338" s="562"/>
      <c r="L338" s="604"/>
      <c r="M338" s="603"/>
      <c r="N338" s="602"/>
      <c r="Z338" s="537" t="s">
        <v>348</v>
      </c>
    </row>
    <row r="339" spans="1:28" s="536" customFormat="1" x14ac:dyDescent="0.2">
      <c r="A339" s="605"/>
      <c r="B339" s="552"/>
      <c r="C339" s="1828" t="s">
        <v>318</v>
      </c>
      <c r="D339" s="1828"/>
      <c r="E339" s="1828"/>
      <c r="F339" s="608"/>
      <c r="G339" s="608"/>
      <c r="H339" s="608"/>
      <c r="I339" s="608"/>
      <c r="J339" s="607">
        <v>9.74</v>
      </c>
      <c r="K339" s="608"/>
      <c r="L339" s="607">
        <v>12.14</v>
      </c>
      <c r="M339" s="601"/>
      <c r="N339" s="606"/>
      <c r="AA339" s="537" t="s">
        <v>318</v>
      </c>
    </row>
    <row r="340" spans="1:28" s="536" customFormat="1" x14ac:dyDescent="0.2">
      <c r="A340" s="605"/>
      <c r="B340" s="552"/>
      <c r="C340" s="1822" t="s">
        <v>319</v>
      </c>
      <c r="D340" s="1822"/>
      <c r="E340" s="1822"/>
      <c r="F340" s="562"/>
      <c r="G340" s="562"/>
      <c r="H340" s="562"/>
      <c r="I340" s="562"/>
      <c r="J340" s="604"/>
      <c r="K340" s="562"/>
      <c r="L340" s="604">
        <v>11.28</v>
      </c>
      <c r="M340" s="603"/>
      <c r="N340" s="602"/>
      <c r="Z340" s="537" t="s">
        <v>319</v>
      </c>
    </row>
    <row r="341" spans="1:28" s="536" customFormat="1" ht="33.75" x14ac:dyDescent="0.2">
      <c r="A341" s="605"/>
      <c r="B341" s="552" t="s">
        <v>948</v>
      </c>
      <c r="C341" s="1822" t="s">
        <v>949</v>
      </c>
      <c r="D341" s="1822"/>
      <c r="E341" s="1822"/>
      <c r="F341" s="562" t="s">
        <v>322</v>
      </c>
      <c r="G341" s="562" t="s">
        <v>886</v>
      </c>
      <c r="H341" s="562"/>
      <c r="I341" s="562" t="s">
        <v>886</v>
      </c>
      <c r="J341" s="604"/>
      <c r="K341" s="562"/>
      <c r="L341" s="604">
        <v>10.15</v>
      </c>
      <c r="M341" s="603"/>
      <c r="N341" s="602"/>
      <c r="Z341" s="537" t="s">
        <v>949</v>
      </c>
    </row>
    <row r="342" spans="1:28" s="536" customFormat="1" ht="33.75" x14ac:dyDescent="0.2">
      <c r="A342" s="605"/>
      <c r="B342" s="552" t="s">
        <v>950</v>
      </c>
      <c r="C342" s="1822" t="s">
        <v>951</v>
      </c>
      <c r="D342" s="1822"/>
      <c r="E342" s="1822"/>
      <c r="F342" s="562" t="s">
        <v>322</v>
      </c>
      <c r="G342" s="562" t="s">
        <v>465</v>
      </c>
      <c r="H342" s="562"/>
      <c r="I342" s="562" t="s">
        <v>465</v>
      </c>
      <c r="J342" s="604"/>
      <c r="K342" s="562"/>
      <c r="L342" s="604">
        <v>5.19</v>
      </c>
      <c r="M342" s="603"/>
      <c r="N342" s="602"/>
      <c r="Z342" s="537" t="s">
        <v>951</v>
      </c>
    </row>
    <row r="343" spans="1:28" s="536" customFormat="1" x14ac:dyDescent="0.2">
      <c r="A343" s="569"/>
      <c r="B343" s="671"/>
      <c r="C343" s="1823" t="s">
        <v>327</v>
      </c>
      <c r="D343" s="1823"/>
      <c r="E343" s="1823"/>
      <c r="F343" s="573"/>
      <c r="G343" s="573"/>
      <c r="H343" s="573"/>
      <c r="I343" s="573"/>
      <c r="J343" s="572"/>
      <c r="K343" s="573"/>
      <c r="L343" s="572">
        <v>27.48</v>
      </c>
      <c r="M343" s="601"/>
      <c r="N343" s="570"/>
      <c r="AB343" s="537" t="s">
        <v>327</v>
      </c>
    </row>
    <row r="344" spans="1:28" s="536" customFormat="1" ht="33.75" x14ac:dyDescent="0.2">
      <c r="A344" s="575" t="s">
        <v>929</v>
      </c>
      <c r="B344" s="670" t="s">
        <v>8451</v>
      </c>
      <c r="C344" s="1823" t="s">
        <v>8452</v>
      </c>
      <c r="D344" s="1823"/>
      <c r="E344" s="1823"/>
      <c r="F344" s="573" t="s">
        <v>617</v>
      </c>
      <c r="G344" s="573"/>
      <c r="H344" s="573"/>
      <c r="I344" s="573" t="s">
        <v>185</v>
      </c>
      <c r="J344" s="572">
        <v>55558.13</v>
      </c>
      <c r="K344" s="573" t="s">
        <v>629</v>
      </c>
      <c r="L344" s="572">
        <v>12249.46</v>
      </c>
      <c r="M344" s="571">
        <v>4.59</v>
      </c>
      <c r="N344" s="570">
        <v>56225</v>
      </c>
      <c r="W344" s="537" t="s">
        <v>8452</v>
      </c>
    </row>
    <row r="345" spans="1:28" s="536" customFormat="1" x14ac:dyDescent="0.2">
      <c r="A345" s="569"/>
      <c r="B345" s="671"/>
      <c r="C345" s="665" t="s">
        <v>630</v>
      </c>
      <c r="D345" s="666"/>
      <c r="E345" s="666"/>
      <c r="F345" s="563"/>
      <c r="G345" s="563"/>
      <c r="H345" s="563"/>
      <c r="I345" s="563"/>
      <c r="J345" s="566"/>
      <c r="K345" s="563"/>
      <c r="L345" s="566"/>
      <c r="M345" s="565"/>
      <c r="N345" s="564"/>
    </row>
    <row r="346" spans="1:28" s="536" customFormat="1" ht="22.5" x14ac:dyDescent="0.2">
      <c r="A346" s="609"/>
      <c r="B346" s="552" t="s">
        <v>631</v>
      </c>
      <c r="C346" s="1822" t="s">
        <v>632</v>
      </c>
      <c r="D346" s="1822"/>
      <c r="E346" s="1822"/>
      <c r="F346" s="1822"/>
      <c r="G346" s="1822"/>
      <c r="H346" s="1822"/>
      <c r="I346" s="1822"/>
      <c r="J346" s="1822"/>
      <c r="K346" s="1822"/>
      <c r="L346" s="1822"/>
      <c r="M346" s="1822"/>
      <c r="N346" s="1827"/>
      <c r="X346" s="537" t="s">
        <v>632</v>
      </c>
    </row>
    <row r="347" spans="1:28" s="536" customFormat="1" ht="22.5" x14ac:dyDescent="0.2">
      <c r="A347" s="575" t="s">
        <v>776</v>
      </c>
      <c r="B347" s="670" t="s">
        <v>8453</v>
      </c>
      <c r="C347" s="1823" t="s">
        <v>8454</v>
      </c>
      <c r="D347" s="1823"/>
      <c r="E347" s="1823"/>
      <c r="F347" s="573" t="s">
        <v>617</v>
      </c>
      <c r="G347" s="573"/>
      <c r="H347" s="573"/>
      <c r="I347" s="573" t="s">
        <v>185</v>
      </c>
      <c r="J347" s="572"/>
      <c r="K347" s="573"/>
      <c r="L347" s="572"/>
      <c r="M347" s="571"/>
      <c r="N347" s="570"/>
      <c r="W347" s="537" t="s">
        <v>8454</v>
      </c>
    </row>
    <row r="348" spans="1:28" s="536" customFormat="1" ht="33.75" x14ac:dyDescent="0.2">
      <c r="A348" s="609"/>
      <c r="B348" s="552" t="s">
        <v>310</v>
      </c>
      <c r="C348" s="1822" t="s">
        <v>311</v>
      </c>
      <c r="D348" s="1822"/>
      <c r="E348" s="1822"/>
      <c r="F348" s="1822"/>
      <c r="G348" s="1822"/>
      <c r="H348" s="1822"/>
      <c r="I348" s="1822"/>
      <c r="J348" s="1822"/>
      <c r="K348" s="1822"/>
      <c r="L348" s="1822"/>
      <c r="M348" s="1822"/>
      <c r="N348" s="1827"/>
      <c r="X348" s="537" t="s">
        <v>311</v>
      </c>
    </row>
    <row r="349" spans="1:28" s="536" customFormat="1" x14ac:dyDescent="0.2">
      <c r="A349" s="605"/>
      <c r="B349" s="552" t="s">
        <v>185</v>
      </c>
      <c r="C349" s="1822" t="s">
        <v>312</v>
      </c>
      <c r="D349" s="1822"/>
      <c r="E349" s="1822"/>
      <c r="F349" s="562"/>
      <c r="G349" s="562"/>
      <c r="H349" s="562"/>
      <c r="I349" s="562"/>
      <c r="J349" s="604">
        <v>137.52000000000001</v>
      </c>
      <c r="K349" s="562" t="s">
        <v>313</v>
      </c>
      <c r="L349" s="604">
        <v>171.9</v>
      </c>
      <c r="M349" s="603"/>
      <c r="N349" s="602"/>
      <c r="Y349" s="537" t="s">
        <v>312</v>
      </c>
    </row>
    <row r="350" spans="1:28" s="536" customFormat="1" x14ac:dyDescent="0.2">
      <c r="A350" s="605"/>
      <c r="B350" s="552" t="s">
        <v>186</v>
      </c>
      <c r="C350" s="1822" t="s">
        <v>344</v>
      </c>
      <c r="D350" s="1822"/>
      <c r="E350" s="1822"/>
      <c r="F350" s="562"/>
      <c r="G350" s="562"/>
      <c r="H350" s="562"/>
      <c r="I350" s="562"/>
      <c r="J350" s="604">
        <v>45</v>
      </c>
      <c r="K350" s="562" t="s">
        <v>313</v>
      </c>
      <c r="L350" s="604">
        <v>56.25</v>
      </c>
      <c r="M350" s="603"/>
      <c r="N350" s="602"/>
      <c r="Y350" s="537" t="s">
        <v>344</v>
      </c>
    </row>
    <row r="351" spans="1:28" s="536" customFormat="1" x14ac:dyDescent="0.2">
      <c r="A351" s="605"/>
      <c r="B351" s="552" t="s">
        <v>187</v>
      </c>
      <c r="C351" s="1822" t="s">
        <v>345</v>
      </c>
      <c r="D351" s="1822"/>
      <c r="E351" s="1822"/>
      <c r="F351" s="562"/>
      <c r="G351" s="562"/>
      <c r="H351" s="562"/>
      <c r="I351" s="562"/>
      <c r="J351" s="604">
        <v>5.03</v>
      </c>
      <c r="K351" s="562" t="s">
        <v>313</v>
      </c>
      <c r="L351" s="604">
        <v>6.29</v>
      </c>
      <c r="M351" s="603"/>
      <c r="N351" s="602"/>
      <c r="Y351" s="537" t="s">
        <v>345</v>
      </c>
    </row>
    <row r="352" spans="1:28" s="536" customFormat="1" x14ac:dyDescent="0.2">
      <c r="A352" s="605"/>
      <c r="B352" s="552" t="s">
        <v>188</v>
      </c>
      <c r="C352" s="1822" t="s">
        <v>475</v>
      </c>
      <c r="D352" s="1822"/>
      <c r="E352" s="1822"/>
      <c r="F352" s="562"/>
      <c r="G352" s="562"/>
      <c r="H352" s="562"/>
      <c r="I352" s="562"/>
      <c r="J352" s="604">
        <v>10.59</v>
      </c>
      <c r="K352" s="562"/>
      <c r="L352" s="604">
        <v>10.59</v>
      </c>
      <c r="M352" s="603"/>
      <c r="N352" s="602"/>
      <c r="Y352" s="537" t="s">
        <v>475</v>
      </c>
    </row>
    <row r="353" spans="1:30" s="536" customFormat="1" x14ac:dyDescent="0.2">
      <c r="A353" s="676"/>
      <c r="B353" s="677" t="s">
        <v>3084</v>
      </c>
      <c r="C353" s="1829" t="s">
        <v>3085</v>
      </c>
      <c r="D353" s="1829"/>
      <c r="E353" s="1829"/>
      <c r="F353" s="678" t="s">
        <v>694</v>
      </c>
      <c r="G353" s="678" t="s">
        <v>8448</v>
      </c>
      <c r="H353" s="678"/>
      <c r="I353" s="678" t="s">
        <v>8448</v>
      </c>
      <c r="J353" s="552"/>
      <c r="K353" s="562"/>
      <c r="L353" s="604"/>
      <c r="M353" s="562"/>
      <c r="N353" s="679"/>
      <c r="AD353" s="537" t="s">
        <v>3085</v>
      </c>
    </row>
    <row r="354" spans="1:30" s="536" customFormat="1" x14ac:dyDescent="0.2">
      <c r="A354" s="605"/>
      <c r="B354" s="552"/>
      <c r="C354" s="1822" t="s">
        <v>314</v>
      </c>
      <c r="D354" s="1822"/>
      <c r="E354" s="1822"/>
      <c r="F354" s="562" t="s">
        <v>315</v>
      </c>
      <c r="G354" s="562" t="s">
        <v>8455</v>
      </c>
      <c r="H354" s="562" t="s">
        <v>313</v>
      </c>
      <c r="I354" s="562" t="s">
        <v>2742</v>
      </c>
      <c r="J354" s="604"/>
      <c r="K354" s="562"/>
      <c r="L354" s="604"/>
      <c r="M354" s="603"/>
      <c r="N354" s="602"/>
      <c r="Z354" s="537" t="s">
        <v>314</v>
      </c>
    </row>
    <row r="355" spans="1:30" s="536" customFormat="1" x14ac:dyDescent="0.2">
      <c r="A355" s="605"/>
      <c r="B355" s="552"/>
      <c r="C355" s="1822" t="s">
        <v>348</v>
      </c>
      <c r="D355" s="1822"/>
      <c r="E355" s="1822"/>
      <c r="F355" s="562" t="s">
        <v>315</v>
      </c>
      <c r="G355" s="562" t="s">
        <v>1692</v>
      </c>
      <c r="H355" s="562" t="s">
        <v>313</v>
      </c>
      <c r="I355" s="562" t="s">
        <v>2500</v>
      </c>
      <c r="J355" s="604"/>
      <c r="K355" s="562"/>
      <c r="L355" s="604"/>
      <c r="M355" s="603"/>
      <c r="N355" s="602"/>
      <c r="Z355" s="537" t="s">
        <v>348</v>
      </c>
    </row>
    <row r="356" spans="1:30" s="536" customFormat="1" x14ac:dyDescent="0.2">
      <c r="A356" s="605"/>
      <c r="B356" s="552"/>
      <c r="C356" s="1828" t="s">
        <v>318</v>
      </c>
      <c r="D356" s="1828"/>
      <c r="E356" s="1828"/>
      <c r="F356" s="608"/>
      <c r="G356" s="608"/>
      <c r="H356" s="608"/>
      <c r="I356" s="608"/>
      <c r="J356" s="607">
        <v>193.11</v>
      </c>
      <c r="K356" s="608"/>
      <c r="L356" s="607">
        <v>238.74</v>
      </c>
      <c r="M356" s="601"/>
      <c r="N356" s="606"/>
      <c r="AA356" s="537" t="s">
        <v>318</v>
      </c>
    </row>
    <row r="357" spans="1:30" s="536" customFormat="1" x14ac:dyDescent="0.2">
      <c r="A357" s="605"/>
      <c r="B357" s="552"/>
      <c r="C357" s="1822" t="s">
        <v>319</v>
      </c>
      <c r="D357" s="1822"/>
      <c r="E357" s="1822"/>
      <c r="F357" s="562"/>
      <c r="G357" s="562"/>
      <c r="H357" s="562"/>
      <c r="I357" s="562"/>
      <c r="J357" s="604"/>
      <c r="K357" s="562"/>
      <c r="L357" s="604">
        <v>178.19</v>
      </c>
      <c r="M357" s="603"/>
      <c r="N357" s="602"/>
      <c r="Z357" s="537" t="s">
        <v>319</v>
      </c>
    </row>
    <row r="358" spans="1:30" s="536" customFormat="1" ht="33.75" x14ac:dyDescent="0.2">
      <c r="A358" s="605"/>
      <c r="B358" s="552" t="s">
        <v>884</v>
      </c>
      <c r="C358" s="1822" t="s">
        <v>885</v>
      </c>
      <c r="D358" s="1822"/>
      <c r="E358" s="1822"/>
      <c r="F358" s="562" t="s">
        <v>322</v>
      </c>
      <c r="G358" s="562" t="s">
        <v>886</v>
      </c>
      <c r="H358" s="562"/>
      <c r="I358" s="562" t="s">
        <v>886</v>
      </c>
      <c r="J358" s="604"/>
      <c r="K358" s="562"/>
      <c r="L358" s="604">
        <v>160.37</v>
      </c>
      <c r="M358" s="603"/>
      <c r="N358" s="602"/>
      <c r="Z358" s="537" t="s">
        <v>885</v>
      </c>
    </row>
    <row r="359" spans="1:30" s="536" customFormat="1" ht="33.75" x14ac:dyDescent="0.2">
      <c r="A359" s="605"/>
      <c r="B359" s="552" t="s">
        <v>887</v>
      </c>
      <c r="C359" s="1822" t="s">
        <v>888</v>
      </c>
      <c r="D359" s="1822"/>
      <c r="E359" s="1822"/>
      <c r="F359" s="562" t="s">
        <v>322</v>
      </c>
      <c r="G359" s="562" t="s">
        <v>465</v>
      </c>
      <c r="H359" s="562"/>
      <c r="I359" s="562" t="s">
        <v>465</v>
      </c>
      <c r="J359" s="604"/>
      <c r="K359" s="562"/>
      <c r="L359" s="604">
        <v>81.97</v>
      </c>
      <c r="M359" s="603"/>
      <c r="N359" s="602"/>
      <c r="Z359" s="537" t="s">
        <v>888</v>
      </c>
    </row>
    <row r="360" spans="1:30" s="536" customFormat="1" x14ac:dyDescent="0.2">
      <c r="A360" s="569"/>
      <c r="B360" s="671"/>
      <c r="C360" s="1823" t="s">
        <v>327</v>
      </c>
      <c r="D360" s="1823"/>
      <c r="E360" s="1823"/>
      <c r="F360" s="573"/>
      <c r="G360" s="573"/>
      <c r="H360" s="573"/>
      <c r="I360" s="573"/>
      <c r="J360" s="572"/>
      <c r="K360" s="573"/>
      <c r="L360" s="572">
        <v>481.08</v>
      </c>
      <c r="M360" s="601"/>
      <c r="N360" s="570"/>
      <c r="AB360" s="537" t="s">
        <v>327</v>
      </c>
    </row>
    <row r="361" spans="1:30" s="536" customFormat="1" ht="33.75" x14ac:dyDescent="0.2">
      <c r="A361" s="575" t="s">
        <v>777</v>
      </c>
      <c r="B361" s="670" t="s">
        <v>8456</v>
      </c>
      <c r="C361" s="1823" t="s">
        <v>8457</v>
      </c>
      <c r="D361" s="1823"/>
      <c r="E361" s="1823"/>
      <c r="F361" s="573" t="s">
        <v>617</v>
      </c>
      <c r="G361" s="573"/>
      <c r="H361" s="573"/>
      <c r="I361" s="573" t="s">
        <v>185</v>
      </c>
      <c r="J361" s="572">
        <v>63477.75</v>
      </c>
      <c r="K361" s="573" t="s">
        <v>629</v>
      </c>
      <c r="L361" s="572">
        <v>13995.42</v>
      </c>
      <c r="M361" s="571">
        <v>4.59</v>
      </c>
      <c r="N361" s="570">
        <v>64239</v>
      </c>
      <c r="W361" s="537" t="s">
        <v>8457</v>
      </c>
    </row>
    <row r="362" spans="1:30" s="536" customFormat="1" x14ac:dyDescent="0.2">
      <c r="A362" s="569"/>
      <c r="B362" s="671"/>
      <c r="C362" s="665" t="s">
        <v>630</v>
      </c>
      <c r="D362" s="666"/>
      <c r="E362" s="666"/>
      <c r="F362" s="563"/>
      <c r="G362" s="563"/>
      <c r="H362" s="563"/>
      <c r="I362" s="563"/>
      <c r="J362" s="566"/>
      <c r="K362" s="563"/>
      <c r="L362" s="566"/>
      <c r="M362" s="565"/>
      <c r="N362" s="564"/>
    </row>
    <row r="363" spans="1:30" s="536" customFormat="1" ht="22.5" x14ac:dyDescent="0.2">
      <c r="A363" s="609"/>
      <c r="B363" s="552" t="s">
        <v>631</v>
      </c>
      <c r="C363" s="1822" t="s">
        <v>632</v>
      </c>
      <c r="D363" s="1822"/>
      <c r="E363" s="1822"/>
      <c r="F363" s="1822"/>
      <c r="G363" s="1822"/>
      <c r="H363" s="1822"/>
      <c r="I363" s="1822"/>
      <c r="J363" s="1822"/>
      <c r="K363" s="1822"/>
      <c r="L363" s="1822"/>
      <c r="M363" s="1822"/>
      <c r="N363" s="1827"/>
      <c r="X363" s="537" t="s">
        <v>632</v>
      </c>
    </row>
    <row r="364" spans="1:30" s="536" customFormat="1" x14ac:dyDescent="0.2">
      <c r="A364" s="575" t="s">
        <v>465</v>
      </c>
      <c r="B364" s="670" t="s">
        <v>8458</v>
      </c>
      <c r="C364" s="1823" t="s">
        <v>8459</v>
      </c>
      <c r="D364" s="1823"/>
      <c r="E364" s="1823"/>
      <c r="F364" s="573" t="s">
        <v>617</v>
      </c>
      <c r="G364" s="573"/>
      <c r="H364" s="573"/>
      <c r="I364" s="573" t="s">
        <v>185</v>
      </c>
      <c r="J364" s="572"/>
      <c r="K364" s="573"/>
      <c r="L364" s="572"/>
      <c r="M364" s="571"/>
      <c r="N364" s="570"/>
      <c r="W364" s="537" t="s">
        <v>8459</v>
      </c>
    </row>
    <row r="365" spans="1:30" s="536" customFormat="1" ht="33.75" x14ac:dyDescent="0.2">
      <c r="A365" s="609"/>
      <c r="B365" s="552" t="s">
        <v>310</v>
      </c>
      <c r="C365" s="1822" t="s">
        <v>311</v>
      </c>
      <c r="D365" s="1822"/>
      <c r="E365" s="1822"/>
      <c r="F365" s="1822"/>
      <c r="G365" s="1822"/>
      <c r="H365" s="1822"/>
      <c r="I365" s="1822"/>
      <c r="J365" s="1822"/>
      <c r="K365" s="1822"/>
      <c r="L365" s="1822"/>
      <c r="M365" s="1822"/>
      <c r="N365" s="1827"/>
      <c r="X365" s="537" t="s">
        <v>311</v>
      </c>
    </row>
    <row r="366" spans="1:30" s="536" customFormat="1" x14ac:dyDescent="0.2">
      <c r="A366" s="605"/>
      <c r="B366" s="552" t="s">
        <v>185</v>
      </c>
      <c r="C366" s="1822" t="s">
        <v>312</v>
      </c>
      <c r="D366" s="1822"/>
      <c r="E366" s="1822"/>
      <c r="F366" s="562"/>
      <c r="G366" s="562"/>
      <c r="H366" s="562"/>
      <c r="I366" s="562"/>
      <c r="J366" s="604">
        <v>25.59</v>
      </c>
      <c r="K366" s="562" t="s">
        <v>313</v>
      </c>
      <c r="L366" s="604">
        <v>31.99</v>
      </c>
      <c r="M366" s="603"/>
      <c r="N366" s="602"/>
      <c r="Y366" s="537" t="s">
        <v>312</v>
      </c>
    </row>
    <row r="367" spans="1:30" s="536" customFormat="1" x14ac:dyDescent="0.2">
      <c r="A367" s="605"/>
      <c r="B367" s="552" t="s">
        <v>188</v>
      </c>
      <c r="C367" s="1822" t="s">
        <v>475</v>
      </c>
      <c r="D367" s="1822"/>
      <c r="E367" s="1822"/>
      <c r="F367" s="562"/>
      <c r="G367" s="562"/>
      <c r="H367" s="562"/>
      <c r="I367" s="562"/>
      <c r="J367" s="604">
        <v>5.29</v>
      </c>
      <c r="K367" s="562"/>
      <c r="L367" s="604">
        <v>5.29</v>
      </c>
      <c r="M367" s="603"/>
      <c r="N367" s="602"/>
      <c r="Y367" s="537" t="s">
        <v>475</v>
      </c>
    </row>
    <row r="368" spans="1:30" s="536" customFormat="1" x14ac:dyDescent="0.2">
      <c r="A368" s="676"/>
      <c r="B368" s="677" t="s">
        <v>3084</v>
      </c>
      <c r="C368" s="1829" t="s">
        <v>3085</v>
      </c>
      <c r="D368" s="1829"/>
      <c r="E368" s="1829"/>
      <c r="F368" s="678" t="s">
        <v>694</v>
      </c>
      <c r="G368" s="678" t="s">
        <v>728</v>
      </c>
      <c r="H368" s="678"/>
      <c r="I368" s="678" t="s">
        <v>728</v>
      </c>
      <c r="J368" s="552"/>
      <c r="K368" s="562"/>
      <c r="L368" s="604"/>
      <c r="M368" s="562"/>
      <c r="N368" s="679"/>
      <c r="AD368" s="537" t="s">
        <v>3085</v>
      </c>
    </row>
    <row r="369" spans="1:28" s="536" customFormat="1" x14ac:dyDescent="0.2">
      <c r="A369" s="605"/>
      <c r="B369" s="552"/>
      <c r="C369" s="1822" t="s">
        <v>314</v>
      </c>
      <c r="D369" s="1822"/>
      <c r="E369" s="1822"/>
      <c r="F369" s="562" t="s">
        <v>315</v>
      </c>
      <c r="G369" s="562" t="s">
        <v>187</v>
      </c>
      <c r="H369" s="562" t="s">
        <v>313</v>
      </c>
      <c r="I369" s="562" t="s">
        <v>1051</v>
      </c>
      <c r="J369" s="604"/>
      <c r="K369" s="562"/>
      <c r="L369" s="604"/>
      <c r="M369" s="603"/>
      <c r="N369" s="602"/>
      <c r="Z369" s="537" t="s">
        <v>314</v>
      </c>
    </row>
    <row r="370" spans="1:28" s="536" customFormat="1" x14ac:dyDescent="0.2">
      <c r="A370" s="605"/>
      <c r="B370" s="552"/>
      <c r="C370" s="1828" t="s">
        <v>318</v>
      </c>
      <c r="D370" s="1828"/>
      <c r="E370" s="1828"/>
      <c r="F370" s="608"/>
      <c r="G370" s="608"/>
      <c r="H370" s="608"/>
      <c r="I370" s="608"/>
      <c r="J370" s="607">
        <v>30.88</v>
      </c>
      <c r="K370" s="608"/>
      <c r="L370" s="607">
        <v>37.28</v>
      </c>
      <c r="M370" s="601"/>
      <c r="N370" s="606"/>
      <c r="AA370" s="537" t="s">
        <v>318</v>
      </c>
    </row>
    <row r="371" spans="1:28" s="536" customFormat="1" x14ac:dyDescent="0.2">
      <c r="A371" s="605"/>
      <c r="B371" s="552"/>
      <c r="C371" s="1822" t="s">
        <v>319</v>
      </c>
      <c r="D371" s="1822"/>
      <c r="E371" s="1822"/>
      <c r="F371" s="562"/>
      <c r="G371" s="562"/>
      <c r="H371" s="562"/>
      <c r="I371" s="562"/>
      <c r="J371" s="604"/>
      <c r="K371" s="562"/>
      <c r="L371" s="604">
        <v>31.99</v>
      </c>
      <c r="M371" s="603"/>
      <c r="N371" s="602"/>
      <c r="Z371" s="537" t="s">
        <v>319</v>
      </c>
    </row>
    <row r="372" spans="1:28" s="536" customFormat="1" ht="33.75" x14ac:dyDescent="0.2">
      <c r="A372" s="605"/>
      <c r="B372" s="552" t="s">
        <v>620</v>
      </c>
      <c r="C372" s="1822" t="s">
        <v>621</v>
      </c>
      <c r="D372" s="1822"/>
      <c r="E372" s="1822"/>
      <c r="F372" s="562" t="s">
        <v>322</v>
      </c>
      <c r="G372" s="562" t="s">
        <v>559</v>
      </c>
      <c r="H372" s="562"/>
      <c r="I372" s="562" t="s">
        <v>559</v>
      </c>
      <c r="J372" s="604"/>
      <c r="K372" s="562"/>
      <c r="L372" s="604">
        <v>30.39</v>
      </c>
      <c r="M372" s="603"/>
      <c r="N372" s="602"/>
      <c r="Z372" s="537" t="s">
        <v>621</v>
      </c>
    </row>
    <row r="373" spans="1:28" s="536" customFormat="1" ht="33.75" x14ac:dyDescent="0.2">
      <c r="A373" s="605"/>
      <c r="B373" s="552" t="s">
        <v>622</v>
      </c>
      <c r="C373" s="1822" t="s">
        <v>623</v>
      </c>
      <c r="D373" s="1822"/>
      <c r="E373" s="1822"/>
      <c r="F373" s="562" t="s">
        <v>322</v>
      </c>
      <c r="G373" s="562" t="s">
        <v>624</v>
      </c>
      <c r="H373" s="562"/>
      <c r="I373" s="562" t="s">
        <v>624</v>
      </c>
      <c r="J373" s="604"/>
      <c r="K373" s="562"/>
      <c r="L373" s="604">
        <v>16.95</v>
      </c>
      <c r="M373" s="603"/>
      <c r="N373" s="602"/>
      <c r="Z373" s="537" t="s">
        <v>623</v>
      </c>
    </row>
    <row r="374" spans="1:28" s="536" customFormat="1" x14ac:dyDescent="0.2">
      <c r="A374" s="569"/>
      <c r="B374" s="671"/>
      <c r="C374" s="1823" t="s">
        <v>327</v>
      </c>
      <c r="D374" s="1823"/>
      <c r="E374" s="1823"/>
      <c r="F374" s="573"/>
      <c r="G374" s="573"/>
      <c r="H374" s="573"/>
      <c r="I374" s="573"/>
      <c r="J374" s="572"/>
      <c r="K374" s="573"/>
      <c r="L374" s="572">
        <v>84.62</v>
      </c>
      <c r="M374" s="601"/>
      <c r="N374" s="570"/>
      <c r="AB374" s="537" t="s">
        <v>327</v>
      </c>
    </row>
    <row r="375" spans="1:28" s="536" customFormat="1" ht="33.75" x14ac:dyDescent="0.2">
      <c r="A375" s="575" t="s">
        <v>932</v>
      </c>
      <c r="B375" s="670" t="s">
        <v>8460</v>
      </c>
      <c r="C375" s="1823" t="s">
        <v>8461</v>
      </c>
      <c r="D375" s="1823"/>
      <c r="E375" s="1823"/>
      <c r="F375" s="573" t="s">
        <v>617</v>
      </c>
      <c r="G375" s="573"/>
      <c r="H375" s="573"/>
      <c r="I375" s="573" t="s">
        <v>185</v>
      </c>
      <c r="J375" s="572">
        <v>12986.75</v>
      </c>
      <c r="K375" s="573" t="s">
        <v>629</v>
      </c>
      <c r="L375" s="572">
        <v>2863.4</v>
      </c>
      <c r="M375" s="571">
        <v>4.59</v>
      </c>
      <c r="N375" s="570">
        <v>13143</v>
      </c>
      <c r="W375" s="537" t="s">
        <v>8461</v>
      </c>
    </row>
    <row r="376" spans="1:28" s="536" customFormat="1" x14ac:dyDescent="0.2">
      <c r="A376" s="569"/>
      <c r="B376" s="671"/>
      <c r="C376" s="665" t="s">
        <v>630</v>
      </c>
      <c r="D376" s="666"/>
      <c r="E376" s="666"/>
      <c r="F376" s="563"/>
      <c r="G376" s="563"/>
      <c r="H376" s="563"/>
      <c r="I376" s="563"/>
      <c r="J376" s="566"/>
      <c r="K376" s="563"/>
      <c r="L376" s="566"/>
      <c r="M376" s="565"/>
      <c r="N376" s="564"/>
    </row>
    <row r="377" spans="1:28" s="536" customFormat="1" ht="22.5" x14ac:dyDescent="0.2">
      <c r="A377" s="609"/>
      <c r="B377" s="552" t="s">
        <v>631</v>
      </c>
      <c r="C377" s="1822" t="s">
        <v>632</v>
      </c>
      <c r="D377" s="1822"/>
      <c r="E377" s="1822"/>
      <c r="F377" s="1822"/>
      <c r="G377" s="1822"/>
      <c r="H377" s="1822"/>
      <c r="I377" s="1822"/>
      <c r="J377" s="1822"/>
      <c r="K377" s="1822"/>
      <c r="L377" s="1822"/>
      <c r="M377" s="1822"/>
      <c r="N377" s="1827"/>
      <c r="X377" s="537" t="s">
        <v>632</v>
      </c>
    </row>
    <row r="378" spans="1:28" s="536" customFormat="1" ht="22.5" x14ac:dyDescent="0.2">
      <c r="A378" s="575" t="s">
        <v>501</v>
      </c>
      <c r="B378" s="670" t="s">
        <v>8462</v>
      </c>
      <c r="C378" s="1823" t="s">
        <v>8463</v>
      </c>
      <c r="D378" s="1823"/>
      <c r="E378" s="1823"/>
      <c r="F378" s="573" t="s">
        <v>617</v>
      </c>
      <c r="G378" s="573"/>
      <c r="H378" s="573"/>
      <c r="I378" s="573" t="s">
        <v>186</v>
      </c>
      <c r="J378" s="572"/>
      <c r="K378" s="573"/>
      <c r="L378" s="572"/>
      <c r="M378" s="571"/>
      <c r="N378" s="570"/>
      <c r="W378" s="537" t="s">
        <v>8463</v>
      </c>
    </row>
    <row r="379" spans="1:28" s="536" customFormat="1" ht="33.75" x14ac:dyDescent="0.2">
      <c r="A379" s="609"/>
      <c r="B379" s="552" t="s">
        <v>310</v>
      </c>
      <c r="C379" s="1822" t="s">
        <v>311</v>
      </c>
      <c r="D379" s="1822"/>
      <c r="E379" s="1822"/>
      <c r="F379" s="1822"/>
      <c r="G379" s="1822"/>
      <c r="H379" s="1822"/>
      <c r="I379" s="1822"/>
      <c r="J379" s="1822"/>
      <c r="K379" s="1822"/>
      <c r="L379" s="1822"/>
      <c r="M379" s="1822"/>
      <c r="N379" s="1827"/>
      <c r="X379" s="537" t="s">
        <v>311</v>
      </c>
    </row>
    <row r="380" spans="1:28" s="536" customFormat="1" x14ac:dyDescent="0.2">
      <c r="A380" s="605"/>
      <c r="B380" s="552" t="s">
        <v>185</v>
      </c>
      <c r="C380" s="1822" t="s">
        <v>312</v>
      </c>
      <c r="D380" s="1822"/>
      <c r="E380" s="1822"/>
      <c r="F380" s="562"/>
      <c r="G380" s="562"/>
      <c r="H380" s="562"/>
      <c r="I380" s="562"/>
      <c r="J380" s="604">
        <v>18.14</v>
      </c>
      <c r="K380" s="562" t="s">
        <v>313</v>
      </c>
      <c r="L380" s="604">
        <v>45.35</v>
      </c>
      <c r="M380" s="603"/>
      <c r="N380" s="602"/>
      <c r="Y380" s="537" t="s">
        <v>312</v>
      </c>
    </row>
    <row r="381" spans="1:28" s="536" customFormat="1" x14ac:dyDescent="0.2">
      <c r="A381" s="605"/>
      <c r="B381" s="552" t="s">
        <v>188</v>
      </c>
      <c r="C381" s="1822" t="s">
        <v>475</v>
      </c>
      <c r="D381" s="1822"/>
      <c r="E381" s="1822"/>
      <c r="F381" s="562"/>
      <c r="G381" s="562"/>
      <c r="H381" s="562"/>
      <c r="I381" s="562"/>
      <c r="J381" s="604">
        <v>12.63</v>
      </c>
      <c r="K381" s="562"/>
      <c r="L381" s="604">
        <v>25.26</v>
      </c>
      <c r="M381" s="603"/>
      <c r="N381" s="602"/>
      <c r="Y381" s="537" t="s">
        <v>475</v>
      </c>
    </row>
    <row r="382" spans="1:28" s="536" customFormat="1" x14ac:dyDescent="0.2">
      <c r="A382" s="605"/>
      <c r="B382" s="552"/>
      <c r="C382" s="1822" t="s">
        <v>314</v>
      </c>
      <c r="D382" s="1822"/>
      <c r="E382" s="1822"/>
      <c r="F382" s="562" t="s">
        <v>315</v>
      </c>
      <c r="G382" s="562" t="s">
        <v>186</v>
      </c>
      <c r="H382" s="562" t="s">
        <v>313</v>
      </c>
      <c r="I382" s="562" t="s">
        <v>189</v>
      </c>
      <c r="J382" s="604"/>
      <c r="K382" s="562"/>
      <c r="L382" s="604"/>
      <c r="M382" s="603"/>
      <c r="N382" s="602"/>
      <c r="Z382" s="537" t="s">
        <v>314</v>
      </c>
    </row>
    <row r="383" spans="1:28" s="536" customFormat="1" x14ac:dyDescent="0.2">
      <c r="A383" s="605"/>
      <c r="B383" s="552"/>
      <c r="C383" s="1828" t="s">
        <v>318</v>
      </c>
      <c r="D383" s="1828"/>
      <c r="E383" s="1828"/>
      <c r="F383" s="608"/>
      <c r="G383" s="608"/>
      <c r="H383" s="608"/>
      <c r="I383" s="608"/>
      <c r="J383" s="607">
        <v>30.77</v>
      </c>
      <c r="K383" s="608"/>
      <c r="L383" s="607">
        <v>70.61</v>
      </c>
      <c r="M383" s="601"/>
      <c r="N383" s="606"/>
      <c r="AA383" s="537" t="s">
        <v>318</v>
      </c>
    </row>
    <row r="384" spans="1:28" s="536" customFormat="1" x14ac:dyDescent="0.2">
      <c r="A384" s="605"/>
      <c r="B384" s="552"/>
      <c r="C384" s="1822" t="s">
        <v>319</v>
      </c>
      <c r="D384" s="1822"/>
      <c r="E384" s="1822"/>
      <c r="F384" s="562"/>
      <c r="G384" s="562"/>
      <c r="H384" s="562"/>
      <c r="I384" s="562"/>
      <c r="J384" s="604"/>
      <c r="K384" s="562"/>
      <c r="L384" s="604">
        <v>45.35</v>
      </c>
      <c r="M384" s="603"/>
      <c r="N384" s="602"/>
      <c r="Z384" s="537" t="s">
        <v>319</v>
      </c>
    </row>
    <row r="385" spans="1:28" s="536" customFormat="1" ht="33.75" x14ac:dyDescent="0.2">
      <c r="A385" s="605"/>
      <c r="B385" s="552" t="s">
        <v>620</v>
      </c>
      <c r="C385" s="1822" t="s">
        <v>621</v>
      </c>
      <c r="D385" s="1822"/>
      <c r="E385" s="1822"/>
      <c r="F385" s="562" t="s">
        <v>322</v>
      </c>
      <c r="G385" s="562" t="s">
        <v>559</v>
      </c>
      <c r="H385" s="562"/>
      <c r="I385" s="562" t="s">
        <v>559</v>
      </c>
      <c r="J385" s="604"/>
      <c r="K385" s="562"/>
      <c r="L385" s="604">
        <v>43.08</v>
      </c>
      <c r="M385" s="603"/>
      <c r="N385" s="602"/>
      <c r="Z385" s="537" t="s">
        <v>621</v>
      </c>
    </row>
    <row r="386" spans="1:28" s="536" customFormat="1" ht="33.75" x14ac:dyDescent="0.2">
      <c r="A386" s="605"/>
      <c r="B386" s="552" t="s">
        <v>622</v>
      </c>
      <c r="C386" s="1822" t="s">
        <v>623</v>
      </c>
      <c r="D386" s="1822"/>
      <c r="E386" s="1822"/>
      <c r="F386" s="562" t="s">
        <v>322</v>
      </c>
      <c r="G386" s="562" t="s">
        <v>624</v>
      </c>
      <c r="H386" s="562"/>
      <c r="I386" s="562" t="s">
        <v>624</v>
      </c>
      <c r="J386" s="604"/>
      <c r="K386" s="562"/>
      <c r="L386" s="604">
        <v>24.04</v>
      </c>
      <c r="M386" s="603"/>
      <c r="N386" s="602"/>
      <c r="Z386" s="537" t="s">
        <v>623</v>
      </c>
    </row>
    <row r="387" spans="1:28" s="536" customFormat="1" x14ac:dyDescent="0.2">
      <c r="A387" s="569"/>
      <c r="B387" s="671"/>
      <c r="C387" s="1823" t="s">
        <v>327</v>
      </c>
      <c r="D387" s="1823"/>
      <c r="E387" s="1823"/>
      <c r="F387" s="573"/>
      <c r="G387" s="573"/>
      <c r="H387" s="573"/>
      <c r="I387" s="573"/>
      <c r="J387" s="572"/>
      <c r="K387" s="573"/>
      <c r="L387" s="572">
        <v>137.72999999999999</v>
      </c>
      <c r="M387" s="601"/>
      <c r="N387" s="570"/>
      <c r="AB387" s="537" t="s">
        <v>327</v>
      </c>
    </row>
    <row r="388" spans="1:28" s="536" customFormat="1" ht="22.5" x14ac:dyDescent="0.2">
      <c r="A388" s="575" t="s">
        <v>7132</v>
      </c>
      <c r="B388" s="670" t="s">
        <v>8464</v>
      </c>
      <c r="C388" s="1823" t="s">
        <v>8465</v>
      </c>
      <c r="D388" s="1823"/>
      <c r="E388" s="1823"/>
      <c r="F388" s="573" t="s">
        <v>617</v>
      </c>
      <c r="G388" s="573"/>
      <c r="H388" s="573"/>
      <c r="I388" s="573" t="s">
        <v>186</v>
      </c>
      <c r="J388" s="572">
        <v>344.35</v>
      </c>
      <c r="K388" s="573"/>
      <c r="L388" s="572">
        <v>688.7</v>
      </c>
      <c r="M388" s="571"/>
      <c r="N388" s="570"/>
      <c r="W388" s="537" t="s">
        <v>8465</v>
      </c>
    </row>
    <row r="389" spans="1:28" s="536" customFormat="1" x14ac:dyDescent="0.2">
      <c r="A389" s="569"/>
      <c r="B389" s="671"/>
      <c r="C389" s="665" t="s">
        <v>2222</v>
      </c>
      <c r="D389" s="666"/>
      <c r="E389" s="666"/>
      <c r="F389" s="563"/>
      <c r="G389" s="563"/>
      <c r="H389" s="563"/>
      <c r="I389" s="563"/>
      <c r="J389" s="566"/>
      <c r="K389" s="563"/>
      <c r="L389" s="566"/>
      <c r="M389" s="565"/>
      <c r="N389" s="564"/>
    </row>
    <row r="390" spans="1:28" s="536" customFormat="1" ht="33.75" x14ac:dyDescent="0.2">
      <c r="A390" s="575" t="s">
        <v>1679</v>
      </c>
      <c r="B390" s="670" t="s">
        <v>8466</v>
      </c>
      <c r="C390" s="1823" t="s">
        <v>8467</v>
      </c>
      <c r="D390" s="1823"/>
      <c r="E390" s="1823"/>
      <c r="F390" s="573" t="s">
        <v>617</v>
      </c>
      <c r="G390" s="573"/>
      <c r="H390" s="573"/>
      <c r="I390" s="573" t="s">
        <v>190</v>
      </c>
      <c r="J390" s="572"/>
      <c r="K390" s="573"/>
      <c r="L390" s="572"/>
      <c r="M390" s="571"/>
      <c r="N390" s="570"/>
      <c r="W390" s="537" t="s">
        <v>8467</v>
      </c>
    </row>
    <row r="391" spans="1:28" s="536" customFormat="1" ht="33.75" x14ac:dyDescent="0.2">
      <c r="A391" s="609"/>
      <c r="B391" s="552" t="s">
        <v>310</v>
      </c>
      <c r="C391" s="1822" t="s">
        <v>311</v>
      </c>
      <c r="D391" s="1822"/>
      <c r="E391" s="1822"/>
      <c r="F391" s="1822"/>
      <c r="G391" s="1822"/>
      <c r="H391" s="1822"/>
      <c r="I391" s="1822"/>
      <c r="J391" s="1822"/>
      <c r="K391" s="1822"/>
      <c r="L391" s="1822"/>
      <c r="M391" s="1822"/>
      <c r="N391" s="1827"/>
      <c r="X391" s="537" t="s">
        <v>311</v>
      </c>
    </row>
    <row r="392" spans="1:28" s="536" customFormat="1" x14ac:dyDescent="0.2">
      <c r="A392" s="605"/>
      <c r="B392" s="552" t="s">
        <v>185</v>
      </c>
      <c r="C392" s="1822" t="s">
        <v>312</v>
      </c>
      <c r="D392" s="1822"/>
      <c r="E392" s="1822"/>
      <c r="F392" s="562"/>
      <c r="G392" s="562"/>
      <c r="H392" s="562"/>
      <c r="I392" s="562"/>
      <c r="J392" s="604">
        <v>45.35</v>
      </c>
      <c r="K392" s="562" t="s">
        <v>313</v>
      </c>
      <c r="L392" s="604">
        <v>340.13</v>
      </c>
      <c r="M392" s="603"/>
      <c r="N392" s="602"/>
      <c r="Y392" s="537" t="s">
        <v>312</v>
      </c>
    </row>
    <row r="393" spans="1:28" s="536" customFormat="1" x14ac:dyDescent="0.2">
      <c r="A393" s="605"/>
      <c r="B393" s="552" t="s">
        <v>188</v>
      </c>
      <c r="C393" s="1822" t="s">
        <v>475</v>
      </c>
      <c r="D393" s="1822"/>
      <c r="E393" s="1822"/>
      <c r="F393" s="562"/>
      <c r="G393" s="562"/>
      <c r="H393" s="562"/>
      <c r="I393" s="562"/>
      <c r="J393" s="604">
        <v>18.63</v>
      </c>
      <c r="K393" s="562"/>
      <c r="L393" s="604">
        <v>111.78</v>
      </c>
      <c r="M393" s="603"/>
      <c r="N393" s="602"/>
      <c r="Y393" s="537" t="s">
        <v>475</v>
      </c>
    </row>
    <row r="394" spans="1:28" s="536" customFormat="1" x14ac:dyDescent="0.2">
      <c r="A394" s="605"/>
      <c r="B394" s="552"/>
      <c r="C394" s="1822" t="s">
        <v>314</v>
      </c>
      <c r="D394" s="1822"/>
      <c r="E394" s="1822"/>
      <c r="F394" s="562" t="s">
        <v>315</v>
      </c>
      <c r="G394" s="562" t="s">
        <v>189</v>
      </c>
      <c r="H394" s="562" t="s">
        <v>313</v>
      </c>
      <c r="I394" s="562" t="s">
        <v>8468</v>
      </c>
      <c r="J394" s="604"/>
      <c r="K394" s="562"/>
      <c r="L394" s="604"/>
      <c r="M394" s="603"/>
      <c r="N394" s="602"/>
      <c r="Z394" s="537" t="s">
        <v>314</v>
      </c>
    </row>
    <row r="395" spans="1:28" s="536" customFormat="1" x14ac:dyDescent="0.2">
      <c r="A395" s="605"/>
      <c r="B395" s="552"/>
      <c r="C395" s="1828" t="s">
        <v>318</v>
      </c>
      <c r="D395" s="1828"/>
      <c r="E395" s="1828"/>
      <c r="F395" s="608"/>
      <c r="G395" s="608"/>
      <c r="H395" s="608"/>
      <c r="I395" s="608"/>
      <c r="J395" s="607">
        <v>63.98</v>
      </c>
      <c r="K395" s="608"/>
      <c r="L395" s="607">
        <v>451.91</v>
      </c>
      <c r="M395" s="601"/>
      <c r="N395" s="606"/>
      <c r="AA395" s="537" t="s">
        <v>318</v>
      </c>
    </row>
    <row r="396" spans="1:28" s="536" customFormat="1" x14ac:dyDescent="0.2">
      <c r="A396" s="605"/>
      <c r="B396" s="552"/>
      <c r="C396" s="1822" t="s">
        <v>319</v>
      </c>
      <c r="D396" s="1822"/>
      <c r="E396" s="1822"/>
      <c r="F396" s="562"/>
      <c r="G396" s="562"/>
      <c r="H396" s="562"/>
      <c r="I396" s="562"/>
      <c r="J396" s="604"/>
      <c r="K396" s="562"/>
      <c r="L396" s="604">
        <v>340.13</v>
      </c>
      <c r="M396" s="603"/>
      <c r="N396" s="602"/>
      <c r="Z396" s="537" t="s">
        <v>319</v>
      </c>
    </row>
    <row r="397" spans="1:28" s="536" customFormat="1" ht="33.75" x14ac:dyDescent="0.2">
      <c r="A397" s="605"/>
      <c r="B397" s="552" t="s">
        <v>620</v>
      </c>
      <c r="C397" s="1822" t="s">
        <v>621</v>
      </c>
      <c r="D397" s="1822"/>
      <c r="E397" s="1822"/>
      <c r="F397" s="562" t="s">
        <v>322</v>
      </c>
      <c r="G397" s="562" t="s">
        <v>559</v>
      </c>
      <c r="H397" s="562"/>
      <c r="I397" s="562" t="s">
        <v>559</v>
      </c>
      <c r="J397" s="604"/>
      <c r="K397" s="562"/>
      <c r="L397" s="604">
        <v>323.12</v>
      </c>
      <c r="M397" s="603"/>
      <c r="N397" s="602"/>
      <c r="Z397" s="537" t="s">
        <v>621</v>
      </c>
    </row>
    <row r="398" spans="1:28" s="536" customFormat="1" ht="33.75" x14ac:dyDescent="0.2">
      <c r="A398" s="605"/>
      <c r="B398" s="552" t="s">
        <v>622</v>
      </c>
      <c r="C398" s="1822" t="s">
        <v>623</v>
      </c>
      <c r="D398" s="1822"/>
      <c r="E398" s="1822"/>
      <c r="F398" s="562" t="s">
        <v>322</v>
      </c>
      <c r="G398" s="562" t="s">
        <v>624</v>
      </c>
      <c r="H398" s="562"/>
      <c r="I398" s="562" t="s">
        <v>624</v>
      </c>
      <c r="J398" s="604"/>
      <c r="K398" s="562"/>
      <c r="L398" s="604">
        <v>180.27</v>
      </c>
      <c r="M398" s="603"/>
      <c r="N398" s="602"/>
      <c r="Z398" s="537" t="s">
        <v>623</v>
      </c>
    </row>
    <row r="399" spans="1:28" s="536" customFormat="1" x14ac:dyDescent="0.2">
      <c r="A399" s="569"/>
      <c r="B399" s="671"/>
      <c r="C399" s="1823" t="s">
        <v>327</v>
      </c>
      <c r="D399" s="1823"/>
      <c r="E399" s="1823"/>
      <c r="F399" s="573"/>
      <c r="G399" s="573"/>
      <c r="H399" s="573"/>
      <c r="I399" s="573"/>
      <c r="J399" s="572"/>
      <c r="K399" s="573"/>
      <c r="L399" s="572">
        <v>955.3</v>
      </c>
      <c r="M399" s="601"/>
      <c r="N399" s="570"/>
      <c r="AB399" s="537" t="s">
        <v>327</v>
      </c>
    </row>
    <row r="400" spans="1:28" s="536" customFormat="1" ht="33.75" x14ac:dyDescent="0.2">
      <c r="A400" s="575" t="s">
        <v>935</v>
      </c>
      <c r="B400" s="670" t="s">
        <v>8469</v>
      </c>
      <c r="C400" s="1823" t="s">
        <v>8470</v>
      </c>
      <c r="D400" s="1823"/>
      <c r="E400" s="1823"/>
      <c r="F400" s="573" t="s">
        <v>617</v>
      </c>
      <c r="G400" s="573"/>
      <c r="H400" s="573"/>
      <c r="I400" s="573" t="s">
        <v>190</v>
      </c>
      <c r="J400" s="572">
        <v>7644</v>
      </c>
      <c r="K400" s="573" t="s">
        <v>629</v>
      </c>
      <c r="L400" s="572">
        <v>10111.98</v>
      </c>
      <c r="M400" s="571">
        <v>4.59</v>
      </c>
      <c r="N400" s="570">
        <v>46414</v>
      </c>
      <c r="W400" s="537" t="s">
        <v>8470</v>
      </c>
    </row>
    <row r="401" spans="1:28" s="536" customFormat="1" x14ac:dyDescent="0.2">
      <c r="A401" s="569"/>
      <c r="B401" s="671"/>
      <c r="C401" s="665" t="s">
        <v>630</v>
      </c>
      <c r="D401" s="666"/>
      <c r="E401" s="666"/>
      <c r="F401" s="563"/>
      <c r="G401" s="563"/>
      <c r="H401" s="563"/>
      <c r="I401" s="563"/>
      <c r="J401" s="566"/>
      <c r="K401" s="563"/>
      <c r="L401" s="566"/>
      <c r="M401" s="565"/>
      <c r="N401" s="564"/>
    </row>
    <row r="402" spans="1:28" s="536" customFormat="1" ht="22.5" x14ac:dyDescent="0.2">
      <c r="A402" s="609"/>
      <c r="B402" s="552" t="s">
        <v>631</v>
      </c>
      <c r="C402" s="1822" t="s">
        <v>632</v>
      </c>
      <c r="D402" s="1822"/>
      <c r="E402" s="1822"/>
      <c r="F402" s="1822"/>
      <c r="G402" s="1822"/>
      <c r="H402" s="1822"/>
      <c r="I402" s="1822"/>
      <c r="J402" s="1822"/>
      <c r="K402" s="1822"/>
      <c r="L402" s="1822"/>
      <c r="M402" s="1822"/>
      <c r="N402" s="1827"/>
      <c r="X402" s="537" t="s">
        <v>632</v>
      </c>
    </row>
    <row r="403" spans="1:28" s="536" customFormat="1" ht="33.75" x14ac:dyDescent="0.2">
      <c r="A403" s="575" t="s">
        <v>787</v>
      </c>
      <c r="B403" s="670" t="s">
        <v>8471</v>
      </c>
      <c r="C403" s="1823" t="s">
        <v>8472</v>
      </c>
      <c r="D403" s="1823"/>
      <c r="E403" s="1823"/>
      <c r="F403" s="573" t="s">
        <v>617</v>
      </c>
      <c r="G403" s="573"/>
      <c r="H403" s="573"/>
      <c r="I403" s="573" t="s">
        <v>185</v>
      </c>
      <c r="J403" s="572"/>
      <c r="K403" s="573"/>
      <c r="L403" s="572"/>
      <c r="M403" s="571"/>
      <c r="N403" s="570"/>
      <c r="W403" s="537" t="s">
        <v>8472</v>
      </c>
    </row>
    <row r="404" spans="1:28" s="536" customFormat="1" ht="33.75" x14ac:dyDescent="0.2">
      <c r="A404" s="609"/>
      <c r="B404" s="552" t="s">
        <v>310</v>
      </c>
      <c r="C404" s="1822" t="s">
        <v>311</v>
      </c>
      <c r="D404" s="1822"/>
      <c r="E404" s="1822"/>
      <c r="F404" s="1822"/>
      <c r="G404" s="1822"/>
      <c r="H404" s="1822"/>
      <c r="I404" s="1822"/>
      <c r="J404" s="1822"/>
      <c r="K404" s="1822"/>
      <c r="L404" s="1822"/>
      <c r="M404" s="1822"/>
      <c r="N404" s="1827"/>
      <c r="X404" s="537" t="s">
        <v>311</v>
      </c>
    </row>
    <row r="405" spans="1:28" s="536" customFormat="1" x14ac:dyDescent="0.2">
      <c r="A405" s="605"/>
      <c r="B405" s="552" t="s">
        <v>185</v>
      </c>
      <c r="C405" s="1822" t="s">
        <v>312</v>
      </c>
      <c r="D405" s="1822"/>
      <c r="E405" s="1822"/>
      <c r="F405" s="562"/>
      <c r="G405" s="562"/>
      <c r="H405" s="562"/>
      <c r="I405" s="562"/>
      <c r="J405" s="604">
        <v>34.630000000000003</v>
      </c>
      <c r="K405" s="562" t="s">
        <v>313</v>
      </c>
      <c r="L405" s="604">
        <v>43.29</v>
      </c>
      <c r="M405" s="603"/>
      <c r="N405" s="602"/>
      <c r="Y405" s="537" t="s">
        <v>312</v>
      </c>
    </row>
    <row r="406" spans="1:28" s="536" customFormat="1" x14ac:dyDescent="0.2">
      <c r="A406" s="605"/>
      <c r="B406" s="552" t="s">
        <v>188</v>
      </c>
      <c r="C406" s="1822" t="s">
        <v>475</v>
      </c>
      <c r="D406" s="1822"/>
      <c r="E406" s="1822"/>
      <c r="F406" s="562"/>
      <c r="G406" s="562"/>
      <c r="H406" s="562"/>
      <c r="I406" s="562"/>
      <c r="J406" s="604">
        <v>3.87</v>
      </c>
      <c r="K406" s="562"/>
      <c r="L406" s="604">
        <v>3.87</v>
      </c>
      <c r="M406" s="603"/>
      <c r="N406" s="602"/>
      <c r="Y406" s="537" t="s">
        <v>475</v>
      </c>
    </row>
    <row r="407" spans="1:28" s="536" customFormat="1" x14ac:dyDescent="0.2">
      <c r="A407" s="605"/>
      <c r="B407" s="552"/>
      <c r="C407" s="1822" t="s">
        <v>314</v>
      </c>
      <c r="D407" s="1822"/>
      <c r="E407" s="1822"/>
      <c r="F407" s="562" t="s">
        <v>315</v>
      </c>
      <c r="G407" s="562" t="s">
        <v>1209</v>
      </c>
      <c r="H407" s="562" t="s">
        <v>313</v>
      </c>
      <c r="I407" s="562" t="s">
        <v>3142</v>
      </c>
      <c r="J407" s="604"/>
      <c r="K407" s="562"/>
      <c r="L407" s="604"/>
      <c r="M407" s="603"/>
      <c r="N407" s="602"/>
      <c r="Z407" s="537" t="s">
        <v>314</v>
      </c>
    </row>
    <row r="408" spans="1:28" s="536" customFormat="1" x14ac:dyDescent="0.2">
      <c r="A408" s="605"/>
      <c r="B408" s="552"/>
      <c r="C408" s="1828" t="s">
        <v>318</v>
      </c>
      <c r="D408" s="1828"/>
      <c r="E408" s="1828"/>
      <c r="F408" s="608"/>
      <c r="G408" s="608"/>
      <c r="H408" s="608"/>
      <c r="I408" s="608"/>
      <c r="J408" s="607">
        <v>38.5</v>
      </c>
      <c r="K408" s="608"/>
      <c r="L408" s="607">
        <v>47.16</v>
      </c>
      <c r="M408" s="601"/>
      <c r="N408" s="606"/>
      <c r="AA408" s="537" t="s">
        <v>318</v>
      </c>
    </row>
    <row r="409" spans="1:28" s="536" customFormat="1" x14ac:dyDescent="0.2">
      <c r="A409" s="605"/>
      <c r="B409" s="552"/>
      <c r="C409" s="1822" t="s">
        <v>319</v>
      </c>
      <c r="D409" s="1822"/>
      <c r="E409" s="1822"/>
      <c r="F409" s="562"/>
      <c r="G409" s="562"/>
      <c r="H409" s="562"/>
      <c r="I409" s="562"/>
      <c r="J409" s="604"/>
      <c r="K409" s="562"/>
      <c r="L409" s="604">
        <v>43.29</v>
      </c>
      <c r="M409" s="603"/>
      <c r="N409" s="602"/>
      <c r="Z409" s="537" t="s">
        <v>319</v>
      </c>
    </row>
    <row r="410" spans="1:28" s="536" customFormat="1" ht="33.75" x14ac:dyDescent="0.2">
      <c r="A410" s="605"/>
      <c r="B410" s="552" t="s">
        <v>884</v>
      </c>
      <c r="C410" s="1822" t="s">
        <v>885</v>
      </c>
      <c r="D410" s="1822"/>
      <c r="E410" s="1822"/>
      <c r="F410" s="562" t="s">
        <v>322</v>
      </c>
      <c r="G410" s="562" t="s">
        <v>886</v>
      </c>
      <c r="H410" s="562"/>
      <c r="I410" s="562" t="s">
        <v>886</v>
      </c>
      <c r="J410" s="604"/>
      <c r="K410" s="562"/>
      <c r="L410" s="604">
        <v>38.96</v>
      </c>
      <c r="M410" s="603"/>
      <c r="N410" s="602"/>
      <c r="Z410" s="537" t="s">
        <v>885</v>
      </c>
    </row>
    <row r="411" spans="1:28" s="536" customFormat="1" ht="33.75" x14ac:dyDescent="0.2">
      <c r="A411" s="605"/>
      <c r="B411" s="552" t="s">
        <v>887</v>
      </c>
      <c r="C411" s="1822" t="s">
        <v>888</v>
      </c>
      <c r="D411" s="1822"/>
      <c r="E411" s="1822"/>
      <c r="F411" s="562" t="s">
        <v>322</v>
      </c>
      <c r="G411" s="562" t="s">
        <v>465</v>
      </c>
      <c r="H411" s="562"/>
      <c r="I411" s="562" t="s">
        <v>465</v>
      </c>
      <c r="J411" s="604"/>
      <c r="K411" s="562"/>
      <c r="L411" s="604">
        <v>19.91</v>
      </c>
      <c r="M411" s="603"/>
      <c r="N411" s="602"/>
      <c r="Z411" s="537" t="s">
        <v>888</v>
      </c>
    </row>
    <row r="412" spans="1:28" s="536" customFormat="1" x14ac:dyDescent="0.2">
      <c r="A412" s="569"/>
      <c r="B412" s="671"/>
      <c r="C412" s="1823" t="s">
        <v>327</v>
      </c>
      <c r="D412" s="1823"/>
      <c r="E412" s="1823"/>
      <c r="F412" s="573"/>
      <c r="G412" s="573"/>
      <c r="H412" s="573"/>
      <c r="I412" s="573"/>
      <c r="J412" s="572"/>
      <c r="K412" s="573"/>
      <c r="L412" s="572">
        <v>106.03</v>
      </c>
      <c r="M412" s="601"/>
      <c r="N412" s="570"/>
      <c r="AB412" s="537" t="s">
        <v>327</v>
      </c>
    </row>
    <row r="413" spans="1:28" s="536" customFormat="1" ht="33.75" x14ac:dyDescent="0.2">
      <c r="A413" s="575" t="s">
        <v>938</v>
      </c>
      <c r="B413" s="670" t="s">
        <v>8473</v>
      </c>
      <c r="C413" s="1823" t="s">
        <v>8474</v>
      </c>
      <c r="D413" s="1823"/>
      <c r="E413" s="1823"/>
      <c r="F413" s="573" t="s">
        <v>617</v>
      </c>
      <c r="G413" s="573"/>
      <c r="H413" s="573"/>
      <c r="I413" s="573" t="s">
        <v>185</v>
      </c>
      <c r="J413" s="572">
        <v>605.70000000000005</v>
      </c>
      <c r="K413" s="573" t="s">
        <v>629</v>
      </c>
      <c r="L413" s="572">
        <v>133.55000000000001</v>
      </c>
      <c r="M413" s="571">
        <v>4.59</v>
      </c>
      <c r="N413" s="570">
        <v>613</v>
      </c>
      <c r="W413" s="537" t="s">
        <v>8474</v>
      </c>
    </row>
    <row r="414" spans="1:28" s="536" customFormat="1" x14ac:dyDescent="0.2">
      <c r="A414" s="569"/>
      <c r="B414" s="671"/>
      <c r="C414" s="665" t="s">
        <v>630</v>
      </c>
      <c r="D414" s="666"/>
      <c r="E414" s="666"/>
      <c r="F414" s="563"/>
      <c r="G414" s="563"/>
      <c r="H414" s="563"/>
      <c r="I414" s="563"/>
      <c r="J414" s="566"/>
      <c r="K414" s="563"/>
      <c r="L414" s="566"/>
      <c r="M414" s="565"/>
      <c r="N414" s="564"/>
    </row>
    <row r="415" spans="1:28" s="536" customFormat="1" ht="22.5" x14ac:dyDescent="0.2">
      <c r="A415" s="609"/>
      <c r="B415" s="552" t="s">
        <v>631</v>
      </c>
      <c r="C415" s="1822" t="s">
        <v>632</v>
      </c>
      <c r="D415" s="1822"/>
      <c r="E415" s="1822"/>
      <c r="F415" s="1822"/>
      <c r="G415" s="1822"/>
      <c r="H415" s="1822"/>
      <c r="I415" s="1822"/>
      <c r="J415" s="1822"/>
      <c r="K415" s="1822"/>
      <c r="L415" s="1822"/>
      <c r="M415" s="1822"/>
      <c r="N415" s="1827"/>
      <c r="X415" s="537" t="s">
        <v>632</v>
      </c>
    </row>
    <row r="416" spans="1:28" s="536" customFormat="1" x14ac:dyDescent="0.2">
      <c r="A416" s="575" t="s">
        <v>1784</v>
      </c>
      <c r="B416" s="670" t="s">
        <v>8475</v>
      </c>
      <c r="C416" s="1823" t="s">
        <v>8476</v>
      </c>
      <c r="D416" s="1823"/>
      <c r="E416" s="1823"/>
      <c r="F416" s="573" t="s">
        <v>617</v>
      </c>
      <c r="G416" s="573"/>
      <c r="H416" s="573"/>
      <c r="I416" s="573" t="s">
        <v>185</v>
      </c>
      <c r="J416" s="572"/>
      <c r="K416" s="573"/>
      <c r="L416" s="572"/>
      <c r="M416" s="571"/>
      <c r="N416" s="570"/>
      <c r="W416" s="537" t="s">
        <v>8476</v>
      </c>
    </row>
    <row r="417" spans="1:28" s="536" customFormat="1" ht="33.75" x14ac:dyDescent="0.2">
      <c r="A417" s="609"/>
      <c r="B417" s="552" t="s">
        <v>310</v>
      </c>
      <c r="C417" s="1822" t="s">
        <v>311</v>
      </c>
      <c r="D417" s="1822"/>
      <c r="E417" s="1822"/>
      <c r="F417" s="1822"/>
      <c r="G417" s="1822"/>
      <c r="H417" s="1822"/>
      <c r="I417" s="1822"/>
      <c r="J417" s="1822"/>
      <c r="K417" s="1822"/>
      <c r="L417" s="1822"/>
      <c r="M417" s="1822"/>
      <c r="N417" s="1827"/>
      <c r="X417" s="537" t="s">
        <v>311</v>
      </c>
    </row>
    <row r="418" spans="1:28" s="536" customFormat="1" x14ac:dyDescent="0.2">
      <c r="A418" s="605"/>
      <c r="B418" s="552" t="s">
        <v>185</v>
      </c>
      <c r="C418" s="1822" t="s">
        <v>312</v>
      </c>
      <c r="D418" s="1822"/>
      <c r="E418" s="1822"/>
      <c r="F418" s="562"/>
      <c r="G418" s="562"/>
      <c r="H418" s="562"/>
      <c r="I418" s="562"/>
      <c r="J418" s="604">
        <v>8.33</v>
      </c>
      <c r="K418" s="562" t="s">
        <v>313</v>
      </c>
      <c r="L418" s="604">
        <v>10.41</v>
      </c>
      <c r="M418" s="603"/>
      <c r="N418" s="602"/>
      <c r="Y418" s="537" t="s">
        <v>312</v>
      </c>
    </row>
    <row r="419" spans="1:28" s="536" customFormat="1" x14ac:dyDescent="0.2">
      <c r="A419" s="605"/>
      <c r="B419" s="552" t="s">
        <v>186</v>
      </c>
      <c r="C419" s="1822" t="s">
        <v>344</v>
      </c>
      <c r="D419" s="1822"/>
      <c r="E419" s="1822"/>
      <c r="F419" s="562"/>
      <c r="G419" s="562"/>
      <c r="H419" s="562"/>
      <c r="I419" s="562"/>
      <c r="J419" s="604">
        <v>5.43</v>
      </c>
      <c r="K419" s="562" t="s">
        <v>313</v>
      </c>
      <c r="L419" s="604">
        <v>6.79</v>
      </c>
      <c r="M419" s="603"/>
      <c r="N419" s="602"/>
      <c r="Y419" s="537" t="s">
        <v>344</v>
      </c>
    </row>
    <row r="420" spans="1:28" s="536" customFormat="1" x14ac:dyDescent="0.2">
      <c r="A420" s="605"/>
      <c r="B420" s="552" t="s">
        <v>187</v>
      </c>
      <c r="C420" s="1822" t="s">
        <v>345</v>
      </c>
      <c r="D420" s="1822"/>
      <c r="E420" s="1822"/>
      <c r="F420" s="562"/>
      <c r="G420" s="562"/>
      <c r="H420" s="562"/>
      <c r="I420" s="562"/>
      <c r="J420" s="604">
        <v>0.76</v>
      </c>
      <c r="K420" s="562" t="s">
        <v>313</v>
      </c>
      <c r="L420" s="604">
        <v>0.95</v>
      </c>
      <c r="M420" s="603"/>
      <c r="N420" s="602"/>
      <c r="Y420" s="537" t="s">
        <v>345</v>
      </c>
    </row>
    <row r="421" spans="1:28" s="536" customFormat="1" x14ac:dyDescent="0.2">
      <c r="A421" s="605"/>
      <c r="B421" s="552" t="s">
        <v>188</v>
      </c>
      <c r="C421" s="1822" t="s">
        <v>475</v>
      </c>
      <c r="D421" s="1822"/>
      <c r="E421" s="1822"/>
      <c r="F421" s="562"/>
      <c r="G421" s="562"/>
      <c r="H421" s="562"/>
      <c r="I421" s="562"/>
      <c r="J421" s="604">
        <v>2.3199999999999998</v>
      </c>
      <c r="K421" s="562"/>
      <c r="L421" s="604">
        <v>2.3199999999999998</v>
      </c>
      <c r="M421" s="603"/>
      <c r="N421" s="602"/>
      <c r="Y421" s="537" t="s">
        <v>475</v>
      </c>
    </row>
    <row r="422" spans="1:28" s="536" customFormat="1" x14ac:dyDescent="0.2">
      <c r="A422" s="605"/>
      <c r="B422" s="552"/>
      <c r="C422" s="1822" t="s">
        <v>314</v>
      </c>
      <c r="D422" s="1822"/>
      <c r="E422" s="1822"/>
      <c r="F422" s="562" t="s">
        <v>315</v>
      </c>
      <c r="G422" s="562" t="s">
        <v>8210</v>
      </c>
      <c r="H422" s="562" t="s">
        <v>313</v>
      </c>
      <c r="I422" s="562" t="s">
        <v>914</v>
      </c>
      <c r="J422" s="604"/>
      <c r="K422" s="562"/>
      <c r="L422" s="604"/>
      <c r="M422" s="603"/>
      <c r="N422" s="602"/>
      <c r="Z422" s="537" t="s">
        <v>314</v>
      </c>
    </row>
    <row r="423" spans="1:28" s="536" customFormat="1" x14ac:dyDescent="0.2">
      <c r="A423" s="605"/>
      <c r="B423" s="552"/>
      <c r="C423" s="1822" t="s">
        <v>348</v>
      </c>
      <c r="D423" s="1822"/>
      <c r="E423" s="1822"/>
      <c r="F423" s="562" t="s">
        <v>315</v>
      </c>
      <c r="G423" s="562" t="s">
        <v>1554</v>
      </c>
      <c r="H423" s="562" t="s">
        <v>313</v>
      </c>
      <c r="I423" s="562" t="s">
        <v>2219</v>
      </c>
      <c r="J423" s="604"/>
      <c r="K423" s="562"/>
      <c r="L423" s="604"/>
      <c r="M423" s="603"/>
      <c r="N423" s="602"/>
      <c r="Z423" s="537" t="s">
        <v>348</v>
      </c>
    </row>
    <row r="424" spans="1:28" s="536" customFormat="1" x14ac:dyDescent="0.2">
      <c r="A424" s="605"/>
      <c r="B424" s="552"/>
      <c r="C424" s="1828" t="s">
        <v>318</v>
      </c>
      <c r="D424" s="1828"/>
      <c r="E424" s="1828"/>
      <c r="F424" s="608"/>
      <c r="G424" s="608"/>
      <c r="H424" s="608"/>
      <c r="I424" s="608"/>
      <c r="J424" s="607">
        <v>16.079999999999998</v>
      </c>
      <c r="K424" s="608"/>
      <c r="L424" s="607">
        <v>19.52</v>
      </c>
      <c r="M424" s="601"/>
      <c r="N424" s="606"/>
      <c r="AA424" s="537" t="s">
        <v>318</v>
      </c>
    </row>
    <row r="425" spans="1:28" s="536" customFormat="1" x14ac:dyDescent="0.2">
      <c r="A425" s="605"/>
      <c r="B425" s="552"/>
      <c r="C425" s="1822" t="s">
        <v>319</v>
      </c>
      <c r="D425" s="1822"/>
      <c r="E425" s="1822"/>
      <c r="F425" s="562"/>
      <c r="G425" s="562"/>
      <c r="H425" s="562"/>
      <c r="I425" s="562"/>
      <c r="J425" s="604"/>
      <c r="K425" s="562"/>
      <c r="L425" s="604">
        <v>11.36</v>
      </c>
      <c r="M425" s="603"/>
      <c r="N425" s="602"/>
      <c r="Z425" s="537" t="s">
        <v>319</v>
      </c>
    </row>
    <row r="426" spans="1:28" s="536" customFormat="1" ht="33.75" x14ac:dyDescent="0.2">
      <c r="A426" s="605"/>
      <c r="B426" s="552" t="s">
        <v>1631</v>
      </c>
      <c r="C426" s="1822" t="s">
        <v>1632</v>
      </c>
      <c r="D426" s="1822"/>
      <c r="E426" s="1822"/>
      <c r="F426" s="562" t="s">
        <v>322</v>
      </c>
      <c r="G426" s="562" t="s">
        <v>1633</v>
      </c>
      <c r="H426" s="562"/>
      <c r="I426" s="562" t="s">
        <v>1633</v>
      </c>
      <c r="J426" s="604"/>
      <c r="K426" s="562"/>
      <c r="L426" s="604">
        <v>11.02</v>
      </c>
      <c r="M426" s="603"/>
      <c r="N426" s="602"/>
      <c r="Z426" s="537" t="s">
        <v>1632</v>
      </c>
    </row>
    <row r="427" spans="1:28" s="536" customFormat="1" ht="33.75" x14ac:dyDescent="0.2">
      <c r="A427" s="605"/>
      <c r="B427" s="552" t="s">
        <v>1634</v>
      </c>
      <c r="C427" s="1822" t="s">
        <v>1635</v>
      </c>
      <c r="D427" s="1822"/>
      <c r="E427" s="1822"/>
      <c r="F427" s="562" t="s">
        <v>322</v>
      </c>
      <c r="G427" s="562" t="s">
        <v>786</v>
      </c>
      <c r="H427" s="562"/>
      <c r="I427" s="562" t="s">
        <v>786</v>
      </c>
      <c r="J427" s="604"/>
      <c r="K427" s="562"/>
      <c r="L427" s="604">
        <v>5.79</v>
      </c>
      <c r="M427" s="603"/>
      <c r="N427" s="602"/>
      <c r="Z427" s="537" t="s">
        <v>1635</v>
      </c>
    </row>
    <row r="428" spans="1:28" s="536" customFormat="1" x14ac:dyDescent="0.2">
      <c r="A428" s="569"/>
      <c r="B428" s="671"/>
      <c r="C428" s="1823" t="s">
        <v>327</v>
      </c>
      <c r="D428" s="1823"/>
      <c r="E428" s="1823"/>
      <c r="F428" s="573"/>
      <c r="G428" s="573"/>
      <c r="H428" s="573"/>
      <c r="I428" s="573"/>
      <c r="J428" s="572"/>
      <c r="K428" s="573"/>
      <c r="L428" s="572">
        <v>36.33</v>
      </c>
      <c r="M428" s="601"/>
      <c r="N428" s="570"/>
      <c r="AB428" s="537" t="s">
        <v>327</v>
      </c>
    </row>
    <row r="429" spans="1:28" s="536" customFormat="1" ht="33.75" x14ac:dyDescent="0.2">
      <c r="A429" s="575" t="s">
        <v>789</v>
      </c>
      <c r="B429" s="670" t="s">
        <v>8477</v>
      </c>
      <c r="C429" s="1823" t="s">
        <v>8478</v>
      </c>
      <c r="D429" s="1823"/>
      <c r="E429" s="1823"/>
      <c r="F429" s="573" t="s">
        <v>617</v>
      </c>
      <c r="G429" s="573"/>
      <c r="H429" s="573"/>
      <c r="I429" s="573" t="s">
        <v>185</v>
      </c>
      <c r="J429" s="572">
        <v>270.61</v>
      </c>
      <c r="K429" s="573" t="s">
        <v>716</v>
      </c>
      <c r="L429" s="572">
        <v>33.17</v>
      </c>
      <c r="M429" s="571">
        <v>8.32</v>
      </c>
      <c r="N429" s="570">
        <v>276</v>
      </c>
      <c r="W429" s="537" t="s">
        <v>8478</v>
      </c>
    </row>
    <row r="430" spans="1:28" s="536" customFormat="1" x14ac:dyDescent="0.2">
      <c r="A430" s="569"/>
      <c r="B430" s="671"/>
      <c r="C430" s="665" t="s">
        <v>1658</v>
      </c>
      <c r="D430" s="666"/>
      <c r="E430" s="666"/>
      <c r="F430" s="563"/>
      <c r="G430" s="563"/>
      <c r="H430" s="563"/>
      <c r="I430" s="563"/>
      <c r="J430" s="566"/>
      <c r="K430" s="563"/>
      <c r="L430" s="566"/>
      <c r="M430" s="565"/>
      <c r="N430" s="564"/>
    </row>
    <row r="431" spans="1:28" s="536" customFormat="1" ht="22.5" x14ac:dyDescent="0.2">
      <c r="A431" s="609"/>
      <c r="B431" s="552" t="s">
        <v>718</v>
      </c>
      <c r="C431" s="1822" t="s">
        <v>719</v>
      </c>
      <c r="D431" s="1822"/>
      <c r="E431" s="1822"/>
      <c r="F431" s="1822"/>
      <c r="G431" s="1822"/>
      <c r="H431" s="1822"/>
      <c r="I431" s="1822"/>
      <c r="J431" s="1822"/>
      <c r="K431" s="1822"/>
      <c r="L431" s="1822"/>
      <c r="M431" s="1822"/>
      <c r="N431" s="1827"/>
      <c r="X431" s="537" t="s">
        <v>719</v>
      </c>
    </row>
    <row r="432" spans="1:28" s="536" customFormat="1" ht="22.5" x14ac:dyDescent="0.2">
      <c r="A432" s="575" t="s">
        <v>2339</v>
      </c>
      <c r="B432" s="670" t="s">
        <v>8479</v>
      </c>
      <c r="C432" s="1823" t="s">
        <v>8480</v>
      </c>
      <c r="D432" s="1823"/>
      <c r="E432" s="1823"/>
      <c r="F432" s="573" t="s">
        <v>617</v>
      </c>
      <c r="G432" s="573"/>
      <c r="H432" s="573"/>
      <c r="I432" s="573" t="s">
        <v>186</v>
      </c>
      <c r="J432" s="572"/>
      <c r="K432" s="573"/>
      <c r="L432" s="572"/>
      <c r="M432" s="571"/>
      <c r="N432" s="570"/>
      <c r="W432" s="537" t="s">
        <v>8480</v>
      </c>
    </row>
    <row r="433" spans="1:30" s="536" customFormat="1" x14ac:dyDescent="0.2">
      <c r="A433" s="676"/>
      <c r="B433" s="664"/>
      <c r="C433" s="1822" t="s">
        <v>946</v>
      </c>
      <c r="D433" s="1822"/>
      <c r="E433" s="1822"/>
      <c r="F433" s="1822"/>
      <c r="G433" s="1822"/>
      <c r="H433" s="1822"/>
      <c r="I433" s="1822"/>
      <c r="J433" s="1822"/>
      <c r="K433" s="1822"/>
      <c r="L433" s="1822"/>
      <c r="M433" s="1822"/>
      <c r="N433" s="1827"/>
      <c r="AC433" s="537" t="s">
        <v>946</v>
      </c>
    </row>
    <row r="434" spans="1:30" s="536" customFormat="1" ht="33.75" x14ac:dyDescent="0.2">
      <c r="A434" s="609"/>
      <c r="B434" s="552" t="s">
        <v>310</v>
      </c>
      <c r="C434" s="1822" t="s">
        <v>311</v>
      </c>
      <c r="D434" s="1822"/>
      <c r="E434" s="1822"/>
      <c r="F434" s="1822"/>
      <c r="G434" s="1822"/>
      <c r="H434" s="1822"/>
      <c r="I434" s="1822"/>
      <c r="J434" s="1822"/>
      <c r="K434" s="1822"/>
      <c r="L434" s="1822"/>
      <c r="M434" s="1822"/>
      <c r="N434" s="1827"/>
      <c r="X434" s="537" t="s">
        <v>311</v>
      </c>
    </row>
    <row r="435" spans="1:30" s="536" customFormat="1" x14ac:dyDescent="0.2">
      <c r="A435" s="605"/>
      <c r="B435" s="552" t="s">
        <v>185</v>
      </c>
      <c r="C435" s="1822" t="s">
        <v>312</v>
      </c>
      <c r="D435" s="1822"/>
      <c r="E435" s="1822"/>
      <c r="F435" s="562"/>
      <c r="G435" s="562"/>
      <c r="H435" s="562"/>
      <c r="I435" s="562"/>
      <c r="J435" s="604">
        <v>6.93</v>
      </c>
      <c r="K435" s="562" t="s">
        <v>313</v>
      </c>
      <c r="L435" s="604">
        <v>17.329999999999998</v>
      </c>
      <c r="M435" s="603"/>
      <c r="N435" s="602"/>
      <c r="Y435" s="537" t="s">
        <v>312</v>
      </c>
    </row>
    <row r="436" spans="1:30" s="536" customFormat="1" x14ac:dyDescent="0.2">
      <c r="A436" s="605"/>
      <c r="B436" s="552" t="s">
        <v>188</v>
      </c>
      <c r="C436" s="1822" t="s">
        <v>475</v>
      </c>
      <c r="D436" s="1822"/>
      <c r="E436" s="1822"/>
      <c r="F436" s="562"/>
      <c r="G436" s="562"/>
      <c r="H436" s="562"/>
      <c r="I436" s="562"/>
      <c r="J436" s="604">
        <v>10.64</v>
      </c>
      <c r="K436" s="562"/>
      <c r="L436" s="604">
        <v>21.28</v>
      </c>
      <c r="M436" s="603"/>
      <c r="N436" s="602"/>
      <c r="Y436" s="537" t="s">
        <v>475</v>
      </c>
    </row>
    <row r="437" spans="1:30" s="536" customFormat="1" x14ac:dyDescent="0.2">
      <c r="A437" s="676"/>
      <c r="B437" s="677" t="s">
        <v>3084</v>
      </c>
      <c r="C437" s="1829" t="s">
        <v>3085</v>
      </c>
      <c r="D437" s="1829"/>
      <c r="E437" s="1829"/>
      <c r="F437" s="678" t="s">
        <v>694</v>
      </c>
      <c r="G437" s="678" t="s">
        <v>8481</v>
      </c>
      <c r="H437" s="678"/>
      <c r="I437" s="678" t="s">
        <v>2471</v>
      </c>
      <c r="J437" s="552"/>
      <c r="K437" s="562"/>
      <c r="L437" s="604"/>
      <c r="M437" s="562"/>
      <c r="N437" s="679"/>
      <c r="AD437" s="537" t="s">
        <v>3085</v>
      </c>
    </row>
    <row r="438" spans="1:30" s="536" customFormat="1" x14ac:dyDescent="0.2">
      <c r="A438" s="605"/>
      <c r="B438" s="552"/>
      <c r="C438" s="1822" t="s">
        <v>314</v>
      </c>
      <c r="D438" s="1822"/>
      <c r="E438" s="1822"/>
      <c r="F438" s="562" t="s">
        <v>315</v>
      </c>
      <c r="G438" s="562" t="s">
        <v>1715</v>
      </c>
      <c r="H438" s="562" t="s">
        <v>313</v>
      </c>
      <c r="I438" s="562" t="s">
        <v>3086</v>
      </c>
      <c r="J438" s="604"/>
      <c r="K438" s="562"/>
      <c r="L438" s="604"/>
      <c r="M438" s="603"/>
      <c r="N438" s="602"/>
      <c r="Z438" s="537" t="s">
        <v>314</v>
      </c>
    </row>
    <row r="439" spans="1:30" s="536" customFormat="1" x14ac:dyDescent="0.2">
      <c r="A439" s="605"/>
      <c r="B439" s="552"/>
      <c r="C439" s="1828" t="s">
        <v>318</v>
      </c>
      <c r="D439" s="1828"/>
      <c r="E439" s="1828"/>
      <c r="F439" s="608"/>
      <c r="G439" s="608"/>
      <c r="H439" s="608"/>
      <c r="I439" s="608"/>
      <c r="J439" s="607">
        <v>17.57</v>
      </c>
      <c r="K439" s="608"/>
      <c r="L439" s="607">
        <v>38.61</v>
      </c>
      <c r="M439" s="601"/>
      <c r="N439" s="606"/>
      <c r="AA439" s="537" t="s">
        <v>318</v>
      </c>
    </row>
    <row r="440" spans="1:30" s="536" customFormat="1" x14ac:dyDescent="0.2">
      <c r="A440" s="605"/>
      <c r="B440" s="552"/>
      <c r="C440" s="1822" t="s">
        <v>319</v>
      </c>
      <c r="D440" s="1822"/>
      <c r="E440" s="1822"/>
      <c r="F440" s="562"/>
      <c r="G440" s="562"/>
      <c r="H440" s="562"/>
      <c r="I440" s="562"/>
      <c r="J440" s="604"/>
      <c r="K440" s="562"/>
      <c r="L440" s="604">
        <v>17.329999999999998</v>
      </c>
      <c r="M440" s="603"/>
      <c r="N440" s="602"/>
      <c r="Z440" s="537" t="s">
        <v>319</v>
      </c>
    </row>
    <row r="441" spans="1:30" s="536" customFormat="1" ht="33.75" x14ac:dyDescent="0.2">
      <c r="A441" s="605"/>
      <c r="B441" s="552" t="s">
        <v>884</v>
      </c>
      <c r="C441" s="1822" t="s">
        <v>885</v>
      </c>
      <c r="D441" s="1822"/>
      <c r="E441" s="1822"/>
      <c r="F441" s="562" t="s">
        <v>322</v>
      </c>
      <c r="G441" s="562" t="s">
        <v>886</v>
      </c>
      <c r="H441" s="562"/>
      <c r="I441" s="562" t="s">
        <v>886</v>
      </c>
      <c r="J441" s="604"/>
      <c r="K441" s="562"/>
      <c r="L441" s="604">
        <v>15.6</v>
      </c>
      <c r="M441" s="603"/>
      <c r="N441" s="602"/>
      <c r="Z441" s="537" t="s">
        <v>885</v>
      </c>
    </row>
    <row r="442" spans="1:30" s="536" customFormat="1" ht="33.75" x14ac:dyDescent="0.2">
      <c r="A442" s="605"/>
      <c r="B442" s="552" t="s">
        <v>887</v>
      </c>
      <c r="C442" s="1822" t="s">
        <v>888</v>
      </c>
      <c r="D442" s="1822"/>
      <c r="E442" s="1822"/>
      <c r="F442" s="562" t="s">
        <v>322</v>
      </c>
      <c r="G442" s="562" t="s">
        <v>465</v>
      </c>
      <c r="H442" s="562"/>
      <c r="I442" s="562" t="s">
        <v>465</v>
      </c>
      <c r="J442" s="604"/>
      <c r="K442" s="562"/>
      <c r="L442" s="604">
        <v>7.97</v>
      </c>
      <c r="M442" s="603"/>
      <c r="N442" s="602"/>
      <c r="Z442" s="537" t="s">
        <v>888</v>
      </c>
    </row>
    <row r="443" spans="1:30" s="536" customFormat="1" x14ac:dyDescent="0.2">
      <c r="A443" s="569"/>
      <c r="B443" s="671"/>
      <c r="C443" s="1823" t="s">
        <v>327</v>
      </c>
      <c r="D443" s="1823"/>
      <c r="E443" s="1823"/>
      <c r="F443" s="573"/>
      <c r="G443" s="573"/>
      <c r="H443" s="573"/>
      <c r="I443" s="573"/>
      <c r="J443" s="572"/>
      <c r="K443" s="573"/>
      <c r="L443" s="572">
        <v>62.18</v>
      </c>
      <c r="M443" s="601"/>
      <c r="N443" s="570"/>
      <c r="AB443" s="537" t="s">
        <v>327</v>
      </c>
    </row>
    <row r="444" spans="1:30" s="536" customFormat="1" ht="33.75" x14ac:dyDescent="0.2">
      <c r="A444" s="575" t="s">
        <v>8482</v>
      </c>
      <c r="B444" s="670" t="s">
        <v>8483</v>
      </c>
      <c r="C444" s="1823" t="s">
        <v>8484</v>
      </c>
      <c r="D444" s="1823"/>
      <c r="E444" s="1823"/>
      <c r="F444" s="573" t="s">
        <v>617</v>
      </c>
      <c r="G444" s="573"/>
      <c r="H444" s="573"/>
      <c r="I444" s="573" t="s">
        <v>185</v>
      </c>
      <c r="J444" s="572">
        <v>2493.75</v>
      </c>
      <c r="K444" s="573" t="s">
        <v>629</v>
      </c>
      <c r="L444" s="572">
        <v>549.89</v>
      </c>
      <c r="M444" s="571">
        <v>4.59</v>
      </c>
      <c r="N444" s="570">
        <v>2524</v>
      </c>
      <c r="W444" s="537" t="s">
        <v>8484</v>
      </c>
    </row>
    <row r="445" spans="1:30" s="536" customFormat="1" x14ac:dyDescent="0.2">
      <c r="A445" s="569"/>
      <c r="B445" s="671"/>
      <c r="C445" s="665" t="s">
        <v>630</v>
      </c>
      <c r="D445" s="666"/>
      <c r="E445" s="666"/>
      <c r="F445" s="563"/>
      <c r="G445" s="563"/>
      <c r="H445" s="563"/>
      <c r="I445" s="563"/>
      <c r="J445" s="566"/>
      <c r="K445" s="563"/>
      <c r="L445" s="566"/>
      <c r="M445" s="565"/>
      <c r="N445" s="564"/>
    </row>
    <row r="446" spans="1:30" s="536" customFormat="1" ht="22.5" x14ac:dyDescent="0.2">
      <c r="A446" s="609"/>
      <c r="B446" s="552" t="s">
        <v>631</v>
      </c>
      <c r="C446" s="1822" t="s">
        <v>632</v>
      </c>
      <c r="D446" s="1822"/>
      <c r="E446" s="1822"/>
      <c r="F446" s="1822"/>
      <c r="G446" s="1822"/>
      <c r="H446" s="1822"/>
      <c r="I446" s="1822"/>
      <c r="J446" s="1822"/>
      <c r="K446" s="1822"/>
      <c r="L446" s="1822"/>
      <c r="M446" s="1822"/>
      <c r="N446" s="1827"/>
      <c r="X446" s="537" t="s">
        <v>632</v>
      </c>
    </row>
    <row r="447" spans="1:30" s="536" customFormat="1" ht="33.75" x14ac:dyDescent="0.2">
      <c r="A447" s="575" t="s">
        <v>8485</v>
      </c>
      <c r="B447" s="670" t="s">
        <v>8486</v>
      </c>
      <c r="C447" s="1823" t="s">
        <v>8487</v>
      </c>
      <c r="D447" s="1823"/>
      <c r="E447" s="1823"/>
      <c r="F447" s="573" t="s">
        <v>617</v>
      </c>
      <c r="G447" s="573"/>
      <c r="H447" s="573"/>
      <c r="I447" s="573" t="s">
        <v>185</v>
      </c>
      <c r="J447" s="572">
        <v>5351.5</v>
      </c>
      <c r="K447" s="573" t="s">
        <v>629</v>
      </c>
      <c r="L447" s="572">
        <v>1179.96</v>
      </c>
      <c r="M447" s="571">
        <v>4.59</v>
      </c>
      <c r="N447" s="570">
        <v>5416</v>
      </c>
      <c r="W447" s="537" t="s">
        <v>8487</v>
      </c>
    </row>
    <row r="448" spans="1:30" s="536" customFormat="1" x14ac:dyDescent="0.2">
      <c r="A448" s="569"/>
      <c r="B448" s="671"/>
      <c r="C448" s="665" t="s">
        <v>630</v>
      </c>
      <c r="D448" s="666"/>
      <c r="E448" s="666"/>
      <c r="F448" s="563"/>
      <c r="G448" s="563"/>
      <c r="H448" s="563"/>
      <c r="I448" s="563"/>
      <c r="J448" s="566"/>
      <c r="K448" s="563"/>
      <c r="L448" s="566"/>
      <c r="M448" s="565"/>
      <c r="N448" s="564"/>
    </row>
    <row r="449" spans="1:29" s="536" customFormat="1" ht="22.5" x14ac:dyDescent="0.2">
      <c r="A449" s="609"/>
      <c r="B449" s="552" t="s">
        <v>631</v>
      </c>
      <c r="C449" s="1822" t="s">
        <v>632</v>
      </c>
      <c r="D449" s="1822"/>
      <c r="E449" s="1822"/>
      <c r="F449" s="1822"/>
      <c r="G449" s="1822"/>
      <c r="H449" s="1822"/>
      <c r="I449" s="1822"/>
      <c r="J449" s="1822"/>
      <c r="K449" s="1822"/>
      <c r="L449" s="1822"/>
      <c r="M449" s="1822"/>
      <c r="N449" s="1827"/>
      <c r="X449" s="537" t="s">
        <v>632</v>
      </c>
    </row>
    <row r="450" spans="1:29" s="536" customFormat="1" ht="56.25" x14ac:dyDescent="0.2">
      <c r="A450" s="575" t="s">
        <v>792</v>
      </c>
      <c r="B450" s="670" t="s">
        <v>3140</v>
      </c>
      <c r="C450" s="1823" t="s">
        <v>3141</v>
      </c>
      <c r="D450" s="1823"/>
      <c r="E450" s="1823"/>
      <c r="F450" s="573" t="s">
        <v>617</v>
      </c>
      <c r="G450" s="573"/>
      <c r="H450" s="573"/>
      <c r="I450" s="573" t="s">
        <v>187</v>
      </c>
      <c r="J450" s="572"/>
      <c r="K450" s="573"/>
      <c r="L450" s="572"/>
      <c r="M450" s="571"/>
      <c r="N450" s="570"/>
      <c r="W450" s="537" t="s">
        <v>3141</v>
      </c>
    </row>
    <row r="451" spans="1:29" s="536" customFormat="1" x14ac:dyDescent="0.2">
      <c r="A451" s="676"/>
      <c r="B451" s="664"/>
      <c r="C451" s="1822" t="s">
        <v>820</v>
      </c>
      <c r="D451" s="1822"/>
      <c r="E451" s="1822"/>
      <c r="F451" s="1822"/>
      <c r="G451" s="1822"/>
      <c r="H451" s="1822"/>
      <c r="I451" s="1822"/>
      <c r="J451" s="1822"/>
      <c r="K451" s="1822"/>
      <c r="L451" s="1822"/>
      <c r="M451" s="1822"/>
      <c r="N451" s="1827"/>
      <c r="AC451" s="537" t="s">
        <v>820</v>
      </c>
    </row>
    <row r="452" spans="1:29" s="536" customFormat="1" ht="33.75" x14ac:dyDescent="0.2">
      <c r="A452" s="609"/>
      <c r="B452" s="552" t="s">
        <v>310</v>
      </c>
      <c r="C452" s="1822" t="s">
        <v>311</v>
      </c>
      <c r="D452" s="1822"/>
      <c r="E452" s="1822"/>
      <c r="F452" s="1822"/>
      <c r="G452" s="1822"/>
      <c r="H452" s="1822"/>
      <c r="I452" s="1822"/>
      <c r="J452" s="1822"/>
      <c r="K452" s="1822"/>
      <c r="L452" s="1822"/>
      <c r="M452" s="1822"/>
      <c r="N452" s="1827"/>
      <c r="X452" s="537" t="s">
        <v>311</v>
      </c>
    </row>
    <row r="453" spans="1:29" s="536" customFormat="1" x14ac:dyDescent="0.2">
      <c r="A453" s="605"/>
      <c r="B453" s="552" t="s">
        <v>185</v>
      </c>
      <c r="C453" s="1822" t="s">
        <v>312</v>
      </c>
      <c r="D453" s="1822"/>
      <c r="E453" s="1822"/>
      <c r="F453" s="562"/>
      <c r="G453" s="562"/>
      <c r="H453" s="562"/>
      <c r="I453" s="562"/>
      <c r="J453" s="604">
        <v>9.91</v>
      </c>
      <c r="K453" s="562" t="s">
        <v>313</v>
      </c>
      <c r="L453" s="604">
        <v>37.159999999999997</v>
      </c>
      <c r="M453" s="603"/>
      <c r="N453" s="602"/>
      <c r="Y453" s="537" t="s">
        <v>312</v>
      </c>
    </row>
    <row r="454" spans="1:29" s="536" customFormat="1" x14ac:dyDescent="0.2">
      <c r="A454" s="605"/>
      <c r="B454" s="552" t="s">
        <v>186</v>
      </c>
      <c r="C454" s="1822" t="s">
        <v>344</v>
      </c>
      <c r="D454" s="1822"/>
      <c r="E454" s="1822"/>
      <c r="F454" s="562"/>
      <c r="G454" s="562"/>
      <c r="H454" s="562"/>
      <c r="I454" s="562"/>
      <c r="J454" s="604">
        <v>5.43</v>
      </c>
      <c r="K454" s="562" t="s">
        <v>313</v>
      </c>
      <c r="L454" s="604">
        <v>20.36</v>
      </c>
      <c r="M454" s="603"/>
      <c r="N454" s="602"/>
      <c r="Y454" s="537" t="s">
        <v>344</v>
      </c>
    </row>
    <row r="455" spans="1:29" s="536" customFormat="1" x14ac:dyDescent="0.2">
      <c r="A455" s="605"/>
      <c r="B455" s="552" t="s">
        <v>187</v>
      </c>
      <c r="C455" s="1822" t="s">
        <v>345</v>
      </c>
      <c r="D455" s="1822"/>
      <c r="E455" s="1822"/>
      <c r="F455" s="562"/>
      <c r="G455" s="562"/>
      <c r="H455" s="562"/>
      <c r="I455" s="562"/>
      <c r="J455" s="604">
        <v>0.76</v>
      </c>
      <c r="K455" s="562" t="s">
        <v>313</v>
      </c>
      <c r="L455" s="604">
        <v>2.85</v>
      </c>
      <c r="M455" s="603"/>
      <c r="N455" s="602"/>
      <c r="Y455" s="537" t="s">
        <v>345</v>
      </c>
    </row>
    <row r="456" spans="1:29" s="536" customFormat="1" x14ac:dyDescent="0.2">
      <c r="A456" s="605"/>
      <c r="B456" s="552" t="s">
        <v>188</v>
      </c>
      <c r="C456" s="1822" t="s">
        <v>475</v>
      </c>
      <c r="D456" s="1822"/>
      <c r="E456" s="1822"/>
      <c r="F456" s="562"/>
      <c r="G456" s="562"/>
      <c r="H456" s="562"/>
      <c r="I456" s="562"/>
      <c r="J456" s="604">
        <v>0.74</v>
      </c>
      <c r="K456" s="562"/>
      <c r="L456" s="604">
        <v>2.2200000000000002</v>
      </c>
      <c r="M456" s="603"/>
      <c r="N456" s="602"/>
      <c r="Y456" s="537" t="s">
        <v>475</v>
      </c>
    </row>
    <row r="457" spans="1:29" s="536" customFormat="1" x14ac:dyDescent="0.2">
      <c r="A457" s="605"/>
      <c r="B457" s="552"/>
      <c r="C457" s="1822" t="s">
        <v>314</v>
      </c>
      <c r="D457" s="1822"/>
      <c r="E457" s="1822"/>
      <c r="F457" s="562" t="s">
        <v>315</v>
      </c>
      <c r="G457" s="562" t="s">
        <v>702</v>
      </c>
      <c r="H457" s="562" t="s">
        <v>313</v>
      </c>
      <c r="I457" s="562" t="s">
        <v>821</v>
      </c>
      <c r="J457" s="604"/>
      <c r="K457" s="562"/>
      <c r="L457" s="604"/>
      <c r="M457" s="603"/>
      <c r="N457" s="602"/>
      <c r="Z457" s="537" t="s">
        <v>314</v>
      </c>
    </row>
    <row r="458" spans="1:29" s="536" customFormat="1" x14ac:dyDescent="0.2">
      <c r="A458" s="605"/>
      <c r="B458" s="552"/>
      <c r="C458" s="1822" t="s">
        <v>348</v>
      </c>
      <c r="D458" s="1822"/>
      <c r="E458" s="1822"/>
      <c r="F458" s="562" t="s">
        <v>315</v>
      </c>
      <c r="G458" s="562" t="s">
        <v>1554</v>
      </c>
      <c r="H458" s="562" t="s">
        <v>313</v>
      </c>
      <c r="I458" s="562" t="s">
        <v>3081</v>
      </c>
      <c r="J458" s="604"/>
      <c r="K458" s="562"/>
      <c r="L458" s="604"/>
      <c r="M458" s="603"/>
      <c r="N458" s="602"/>
      <c r="Z458" s="537" t="s">
        <v>348</v>
      </c>
    </row>
    <row r="459" spans="1:29" s="536" customFormat="1" x14ac:dyDescent="0.2">
      <c r="A459" s="605"/>
      <c r="B459" s="552"/>
      <c r="C459" s="1828" t="s">
        <v>318</v>
      </c>
      <c r="D459" s="1828"/>
      <c r="E459" s="1828"/>
      <c r="F459" s="608"/>
      <c r="G459" s="608"/>
      <c r="H459" s="608"/>
      <c r="I459" s="608"/>
      <c r="J459" s="607">
        <v>16.079999999999998</v>
      </c>
      <c r="K459" s="608"/>
      <c r="L459" s="607">
        <v>59.74</v>
      </c>
      <c r="M459" s="601"/>
      <c r="N459" s="606"/>
      <c r="AA459" s="537" t="s">
        <v>318</v>
      </c>
    </row>
    <row r="460" spans="1:29" s="536" customFormat="1" x14ac:dyDescent="0.2">
      <c r="A460" s="605"/>
      <c r="B460" s="552"/>
      <c r="C460" s="1822" t="s">
        <v>319</v>
      </c>
      <c r="D460" s="1822"/>
      <c r="E460" s="1822"/>
      <c r="F460" s="562"/>
      <c r="G460" s="562"/>
      <c r="H460" s="562"/>
      <c r="I460" s="562"/>
      <c r="J460" s="604"/>
      <c r="K460" s="562"/>
      <c r="L460" s="604">
        <v>40.01</v>
      </c>
      <c r="M460" s="603"/>
      <c r="N460" s="602"/>
      <c r="Z460" s="537" t="s">
        <v>319</v>
      </c>
    </row>
    <row r="461" spans="1:29" s="536" customFormat="1" ht="33.75" x14ac:dyDescent="0.2">
      <c r="A461" s="605"/>
      <c r="B461" s="552" t="s">
        <v>1631</v>
      </c>
      <c r="C461" s="1822" t="s">
        <v>1632</v>
      </c>
      <c r="D461" s="1822"/>
      <c r="E461" s="1822"/>
      <c r="F461" s="562" t="s">
        <v>322</v>
      </c>
      <c r="G461" s="562" t="s">
        <v>1633</v>
      </c>
      <c r="H461" s="562"/>
      <c r="I461" s="562" t="s">
        <v>1633</v>
      </c>
      <c r="J461" s="604"/>
      <c r="K461" s="562"/>
      <c r="L461" s="604">
        <v>38.81</v>
      </c>
      <c r="M461" s="603"/>
      <c r="N461" s="602"/>
      <c r="Z461" s="537" t="s">
        <v>1632</v>
      </c>
    </row>
    <row r="462" spans="1:29" s="536" customFormat="1" ht="33.75" x14ac:dyDescent="0.2">
      <c r="A462" s="605"/>
      <c r="B462" s="552" t="s">
        <v>1634</v>
      </c>
      <c r="C462" s="1822" t="s">
        <v>1635</v>
      </c>
      <c r="D462" s="1822"/>
      <c r="E462" s="1822"/>
      <c r="F462" s="562" t="s">
        <v>322</v>
      </c>
      <c r="G462" s="562" t="s">
        <v>786</v>
      </c>
      <c r="H462" s="562"/>
      <c r="I462" s="562" t="s">
        <v>786</v>
      </c>
      <c r="J462" s="604"/>
      <c r="K462" s="562"/>
      <c r="L462" s="604">
        <v>20.41</v>
      </c>
      <c r="M462" s="603"/>
      <c r="N462" s="602"/>
      <c r="Z462" s="537" t="s">
        <v>1635</v>
      </c>
    </row>
    <row r="463" spans="1:29" s="536" customFormat="1" x14ac:dyDescent="0.2">
      <c r="A463" s="569"/>
      <c r="B463" s="671"/>
      <c r="C463" s="1823" t="s">
        <v>327</v>
      </c>
      <c r="D463" s="1823"/>
      <c r="E463" s="1823"/>
      <c r="F463" s="573"/>
      <c r="G463" s="573"/>
      <c r="H463" s="573"/>
      <c r="I463" s="573"/>
      <c r="J463" s="572"/>
      <c r="K463" s="573"/>
      <c r="L463" s="572">
        <v>118.96</v>
      </c>
      <c r="M463" s="601"/>
      <c r="N463" s="570"/>
      <c r="AB463" s="537" t="s">
        <v>327</v>
      </c>
    </row>
    <row r="464" spans="1:29" s="536" customFormat="1" ht="33.75" x14ac:dyDescent="0.2">
      <c r="A464" s="575" t="s">
        <v>8488</v>
      </c>
      <c r="B464" s="670" t="s">
        <v>8489</v>
      </c>
      <c r="C464" s="1823" t="s">
        <v>8490</v>
      </c>
      <c r="D464" s="1823"/>
      <c r="E464" s="1823"/>
      <c r="F464" s="573" t="s">
        <v>617</v>
      </c>
      <c r="G464" s="573"/>
      <c r="H464" s="573"/>
      <c r="I464" s="573" t="s">
        <v>185</v>
      </c>
      <c r="J464" s="572">
        <v>2423.75</v>
      </c>
      <c r="K464" s="573" t="s">
        <v>629</v>
      </c>
      <c r="L464" s="572">
        <v>534.41999999999996</v>
      </c>
      <c r="M464" s="571">
        <v>4.59</v>
      </c>
      <c r="N464" s="570">
        <v>2453</v>
      </c>
      <c r="W464" s="537" t="s">
        <v>8490</v>
      </c>
    </row>
    <row r="465" spans="1:26" s="536" customFormat="1" x14ac:dyDescent="0.2">
      <c r="A465" s="569"/>
      <c r="B465" s="671"/>
      <c r="C465" s="665" t="s">
        <v>630</v>
      </c>
      <c r="D465" s="666"/>
      <c r="E465" s="666"/>
      <c r="F465" s="563"/>
      <c r="G465" s="563"/>
      <c r="H465" s="563"/>
      <c r="I465" s="563"/>
      <c r="J465" s="566"/>
      <c r="K465" s="563"/>
      <c r="L465" s="566"/>
      <c r="M465" s="565"/>
      <c r="N465" s="564"/>
    </row>
    <row r="466" spans="1:26" s="536" customFormat="1" ht="22.5" x14ac:dyDescent="0.2">
      <c r="A466" s="609"/>
      <c r="B466" s="552" t="s">
        <v>631</v>
      </c>
      <c r="C466" s="1822" t="s">
        <v>632</v>
      </c>
      <c r="D466" s="1822"/>
      <c r="E466" s="1822"/>
      <c r="F466" s="1822"/>
      <c r="G466" s="1822"/>
      <c r="H466" s="1822"/>
      <c r="I466" s="1822"/>
      <c r="J466" s="1822"/>
      <c r="K466" s="1822"/>
      <c r="L466" s="1822"/>
      <c r="M466" s="1822"/>
      <c r="N466" s="1827"/>
      <c r="X466" s="537" t="s">
        <v>632</v>
      </c>
    </row>
    <row r="467" spans="1:26" s="536" customFormat="1" ht="33.75" x14ac:dyDescent="0.2">
      <c r="A467" s="575" t="s">
        <v>8491</v>
      </c>
      <c r="B467" s="670" t="s">
        <v>8492</v>
      </c>
      <c r="C467" s="1823" t="s">
        <v>8493</v>
      </c>
      <c r="D467" s="1823"/>
      <c r="E467" s="1823"/>
      <c r="F467" s="573" t="s">
        <v>617</v>
      </c>
      <c r="G467" s="573"/>
      <c r="H467" s="573"/>
      <c r="I467" s="573" t="s">
        <v>185</v>
      </c>
      <c r="J467" s="572">
        <v>726.25</v>
      </c>
      <c r="K467" s="573" t="s">
        <v>629</v>
      </c>
      <c r="L467" s="572">
        <v>160.13</v>
      </c>
      <c r="M467" s="571">
        <v>4.59</v>
      </c>
      <c r="N467" s="570">
        <v>735</v>
      </c>
      <c r="W467" s="537" t="s">
        <v>8493</v>
      </c>
    </row>
    <row r="468" spans="1:26" s="536" customFormat="1" x14ac:dyDescent="0.2">
      <c r="A468" s="569"/>
      <c r="B468" s="671"/>
      <c r="C468" s="665" t="s">
        <v>630</v>
      </c>
      <c r="D468" s="666"/>
      <c r="E468" s="666"/>
      <c r="F468" s="563"/>
      <c r="G468" s="563"/>
      <c r="H468" s="563"/>
      <c r="I468" s="563"/>
      <c r="J468" s="566"/>
      <c r="K468" s="563"/>
      <c r="L468" s="566"/>
      <c r="M468" s="565"/>
      <c r="N468" s="564"/>
    </row>
    <row r="469" spans="1:26" s="536" customFormat="1" ht="22.5" x14ac:dyDescent="0.2">
      <c r="A469" s="609"/>
      <c r="B469" s="552" t="s">
        <v>631</v>
      </c>
      <c r="C469" s="1822" t="s">
        <v>632</v>
      </c>
      <c r="D469" s="1822"/>
      <c r="E469" s="1822"/>
      <c r="F469" s="1822"/>
      <c r="G469" s="1822"/>
      <c r="H469" s="1822"/>
      <c r="I469" s="1822"/>
      <c r="J469" s="1822"/>
      <c r="K469" s="1822"/>
      <c r="L469" s="1822"/>
      <c r="M469" s="1822"/>
      <c r="N469" s="1827"/>
      <c r="X469" s="537" t="s">
        <v>632</v>
      </c>
    </row>
    <row r="470" spans="1:26" s="536" customFormat="1" ht="33.75" x14ac:dyDescent="0.2">
      <c r="A470" s="575" t="s">
        <v>8494</v>
      </c>
      <c r="B470" s="670" t="s">
        <v>8495</v>
      </c>
      <c r="C470" s="1823" t="s">
        <v>8496</v>
      </c>
      <c r="D470" s="1823"/>
      <c r="E470" s="1823"/>
      <c r="F470" s="573" t="s">
        <v>617</v>
      </c>
      <c r="G470" s="573"/>
      <c r="H470" s="573"/>
      <c r="I470" s="573" t="s">
        <v>185</v>
      </c>
      <c r="J470" s="572">
        <v>1636.25</v>
      </c>
      <c r="K470" s="573" t="s">
        <v>629</v>
      </c>
      <c r="L470" s="572">
        <v>360.78</v>
      </c>
      <c r="M470" s="571">
        <v>4.59</v>
      </c>
      <c r="N470" s="570">
        <v>1656</v>
      </c>
      <c r="W470" s="537" t="s">
        <v>8496</v>
      </c>
    </row>
    <row r="471" spans="1:26" s="536" customFormat="1" x14ac:dyDescent="0.2">
      <c r="A471" s="569"/>
      <c r="B471" s="671"/>
      <c r="C471" s="665" t="s">
        <v>630</v>
      </c>
      <c r="D471" s="666"/>
      <c r="E471" s="666"/>
      <c r="F471" s="563"/>
      <c r="G471" s="563"/>
      <c r="H471" s="563"/>
      <c r="I471" s="563"/>
      <c r="J471" s="566"/>
      <c r="K471" s="563"/>
      <c r="L471" s="566"/>
      <c r="M471" s="565"/>
      <c r="N471" s="564"/>
    </row>
    <row r="472" spans="1:26" s="536" customFormat="1" ht="22.5" x14ac:dyDescent="0.2">
      <c r="A472" s="609"/>
      <c r="B472" s="552" t="s">
        <v>631</v>
      </c>
      <c r="C472" s="1822" t="s">
        <v>632</v>
      </c>
      <c r="D472" s="1822"/>
      <c r="E472" s="1822"/>
      <c r="F472" s="1822"/>
      <c r="G472" s="1822"/>
      <c r="H472" s="1822"/>
      <c r="I472" s="1822"/>
      <c r="J472" s="1822"/>
      <c r="K472" s="1822"/>
      <c r="L472" s="1822"/>
      <c r="M472" s="1822"/>
      <c r="N472" s="1827"/>
      <c r="X472" s="537" t="s">
        <v>632</v>
      </c>
    </row>
    <row r="473" spans="1:26" s="536" customFormat="1" x14ac:dyDescent="0.2">
      <c r="A473" s="575" t="s">
        <v>794</v>
      </c>
      <c r="B473" s="670" t="s">
        <v>818</v>
      </c>
      <c r="C473" s="1823" t="s">
        <v>945</v>
      </c>
      <c r="D473" s="1823"/>
      <c r="E473" s="1823"/>
      <c r="F473" s="573" t="s">
        <v>617</v>
      </c>
      <c r="G473" s="573"/>
      <c r="H473" s="573"/>
      <c r="I473" s="573" t="s">
        <v>185</v>
      </c>
      <c r="J473" s="572"/>
      <c r="K473" s="573"/>
      <c r="L473" s="572"/>
      <c r="M473" s="571"/>
      <c r="N473" s="570"/>
      <c r="W473" s="537" t="s">
        <v>945</v>
      </c>
    </row>
    <row r="474" spans="1:26" s="536" customFormat="1" ht="33.75" x14ac:dyDescent="0.2">
      <c r="A474" s="609"/>
      <c r="B474" s="552" t="s">
        <v>310</v>
      </c>
      <c r="C474" s="1822" t="s">
        <v>311</v>
      </c>
      <c r="D474" s="1822"/>
      <c r="E474" s="1822"/>
      <c r="F474" s="1822"/>
      <c r="G474" s="1822"/>
      <c r="H474" s="1822"/>
      <c r="I474" s="1822"/>
      <c r="J474" s="1822"/>
      <c r="K474" s="1822"/>
      <c r="L474" s="1822"/>
      <c r="M474" s="1822"/>
      <c r="N474" s="1827"/>
      <c r="X474" s="537" t="s">
        <v>311</v>
      </c>
    </row>
    <row r="475" spans="1:26" s="536" customFormat="1" x14ac:dyDescent="0.2">
      <c r="A475" s="605"/>
      <c r="B475" s="552" t="s">
        <v>185</v>
      </c>
      <c r="C475" s="1822" t="s">
        <v>312</v>
      </c>
      <c r="D475" s="1822"/>
      <c r="E475" s="1822"/>
      <c r="F475" s="562"/>
      <c r="G475" s="562"/>
      <c r="H475" s="562"/>
      <c r="I475" s="562"/>
      <c r="J475" s="604">
        <v>8.7899999999999991</v>
      </c>
      <c r="K475" s="562" t="s">
        <v>313</v>
      </c>
      <c r="L475" s="604">
        <v>10.99</v>
      </c>
      <c r="M475" s="603"/>
      <c r="N475" s="602"/>
      <c r="Y475" s="537" t="s">
        <v>312</v>
      </c>
    </row>
    <row r="476" spans="1:26" s="536" customFormat="1" x14ac:dyDescent="0.2">
      <c r="A476" s="605"/>
      <c r="B476" s="552" t="s">
        <v>186</v>
      </c>
      <c r="C476" s="1822" t="s">
        <v>344</v>
      </c>
      <c r="D476" s="1822"/>
      <c r="E476" s="1822"/>
      <c r="F476" s="562"/>
      <c r="G476" s="562"/>
      <c r="H476" s="562"/>
      <c r="I476" s="562"/>
      <c r="J476" s="604">
        <v>10.51</v>
      </c>
      <c r="K476" s="562" t="s">
        <v>313</v>
      </c>
      <c r="L476" s="604">
        <v>13.14</v>
      </c>
      <c r="M476" s="603"/>
      <c r="N476" s="602"/>
      <c r="Y476" s="537" t="s">
        <v>344</v>
      </c>
    </row>
    <row r="477" spans="1:26" s="536" customFormat="1" x14ac:dyDescent="0.2">
      <c r="A477" s="605"/>
      <c r="B477" s="552" t="s">
        <v>187</v>
      </c>
      <c r="C477" s="1822" t="s">
        <v>345</v>
      </c>
      <c r="D477" s="1822"/>
      <c r="E477" s="1822"/>
      <c r="F477" s="562"/>
      <c r="G477" s="562"/>
      <c r="H477" s="562"/>
      <c r="I477" s="562"/>
      <c r="J477" s="604">
        <v>1.86</v>
      </c>
      <c r="K477" s="562" t="s">
        <v>313</v>
      </c>
      <c r="L477" s="604">
        <v>2.33</v>
      </c>
      <c r="M477" s="603"/>
      <c r="N477" s="602"/>
      <c r="Y477" s="537" t="s">
        <v>345</v>
      </c>
    </row>
    <row r="478" spans="1:26" s="536" customFormat="1" x14ac:dyDescent="0.2">
      <c r="A478" s="605"/>
      <c r="B478" s="552" t="s">
        <v>188</v>
      </c>
      <c r="C478" s="1822" t="s">
        <v>475</v>
      </c>
      <c r="D478" s="1822"/>
      <c r="E478" s="1822"/>
      <c r="F478" s="562"/>
      <c r="G478" s="562"/>
      <c r="H478" s="562"/>
      <c r="I478" s="562"/>
      <c r="J478" s="604">
        <v>0.18</v>
      </c>
      <c r="K478" s="562"/>
      <c r="L478" s="604">
        <v>0.18</v>
      </c>
      <c r="M478" s="603"/>
      <c r="N478" s="602"/>
      <c r="Y478" s="537" t="s">
        <v>475</v>
      </c>
    </row>
    <row r="479" spans="1:26" s="536" customFormat="1" x14ac:dyDescent="0.2">
      <c r="A479" s="605"/>
      <c r="B479" s="552"/>
      <c r="C479" s="1822" t="s">
        <v>314</v>
      </c>
      <c r="D479" s="1822"/>
      <c r="E479" s="1822"/>
      <c r="F479" s="562" t="s">
        <v>315</v>
      </c>
      <c r="G479" s="562" t="s">
        <v>702</v>
      </c>
      <c r="H479" s="562" t="s">
        <v>313</v>
      </c>
      <c r="I479" s="562" t="s">
        <v>3173</v>
      </c>
      <c r="J479" s="604"/>
      <c r="K479" s="562"/>
      <c r="L479" s="604"/>
      <c r="M479" s="603"/>
      <c r="N479" s="602"/>
      <c r="Z479" s="537" t="s">
        <v>314</v>
      </c>
    </row>
    <row r="480" spans="1:26" s="536" customFormat="1" x14ac:dyDescent="0.2">
      <c r="A480" s="605"/>
      <c r="B480" s="552"/>
      <c r="C480" s="1822" t="s">
        <v>348</v>
      </c>
      <c r="D480" s="1822"/>
      <c r="E480" s="1822"/>
      <c r="F480" s="562" t="s">
        <v>315</v>
      </c>
      <c r="G480" s="562" t="s">
        <v>822</v>
      </c>
      <c r="H480" s="562" t="s">
        <v>313</v>
      </c>
      <c r="I480" s="562" t="s">
        <v>890</v>
      </c>
      <c r="J480" s="604"/>
      <c r="K480" s="562"/>
      <c r="L480" s="604"/>
      <c r="M480" s="603"/>
      <c r="N480" s="602"/>
      <c r="Z480" s="537" t="s">
        <v>348</v>
      </c>
    </row>
    <row r="481" spans="1:30" s="536" customFormat="1" x14ac:dyDescent="0.2">
      <c r="A481" s="605"/>
      <c r="B481" s="552"/>
      <c r="C481" s="1828" t="s">
        <v>318</v>
      </c>
      <c r="D481" s="1828"/>
      <c r="E481" s="1828"/>
      <c r="F481" s="608"/>
      <c r="G481" s="608"/>
      <c r="H481" s="608"/>
      <c r="I481" s="608"/>
      <c r="J481" s="607">
        <v>19.48</v>
      </c>
      <c r="K481" s="608"/>
      <c r="L481" s="607">
        <v>24.31</v>
      </c>
      <c r="M481" s="601"/>
      <c r="N481" s="606"/>
      <c r="AA481" s="537" t="s">
        <v>318</v>
      </c>
    </row>
    <row r="482" spans="1:30" s="536" customFormat="1" x14ac:dyDescent="0.2">
      <c r="A482" s="605"/>
      <c r="B482" s="552"/>
      <c r="C482" s="1822" t="s">
        <v>319</v>
      </c>
      <c r="D482" s="1822"/>
      <c r="E482" s="1822"/>
      <c r="F482" s="562"/>
      <c r="G482" s="562"/>
      <c r="H482" s="562"/>
      <c r="I482" s="562"/>
      <c r="J482" s="604"/>
      <c r="K482" s="562"/>
      <c r="L482" s="604">
        <v>13.32</v>
      </c>
      <c r="M482" s="603"/>
      <c r="N482" s="602"/>
      <c r="Z482" s="537" t="s">
        <v>319</v>
      </c>
    </row>
    <row r="483" spans="1:30" s="536" customFormat="1" ht="33.75" x14ac:dyDescent="0.2">
      <c r="A483" s="605"/>
      <c r="B483" s="552" t="s">
        <v>948</v>
      </c>
      <c r="C483" s="1822" t="s">
        <v>949</v>
      </c>
      <c r="D483" s="1822"/>
      <c r="E483" s="1822"/>
      <c r="F483" s="562" t="s">
        <v>322</v>
      </c>
      <c r="G483" s="562" t="s">
        <v>886</v>
      </c>
      <c r="H483" s="562"/>
      <c r="I483" s="562" t="s">
        <v>886</v>
      </c>
      <c r="J483" s="604"/>
      <c r="K483" s="562"/>
      <c r="L483" s="604">
        <v>11.99</v>
      </c>
      <c r="M483" s="603"/>
      <c r="N483" s="602"/>
      <c r="Z483" s="537" t="s">
        <v>949</v>
      </c>
    </row>
    <row r="484" spans="1:30" s="536" customFormat="1" ht="33.75" x14ac:dyDescent="0.2">
      <c r="A484" s="605"/>
      <c r="B484" s="552" t="s">
        <v>950</v>
      </c>
      <c r="C484" s="1822" t="s">
        <v>951</v>
      </c>
      <c r="D484" s="1822"/>
      <c r="E484" s="1822"/>
      <c r="F484" s="562" t="s">
        <v>322</v>
      </c>
      <c r="G484" s="562" t="s">
        <v>465</v>
      </c>
      <c r="H484" s="562"/>
      <c r="I484" s="562" t="s">
        <v>465</v>
      </c>
      <c r="J484" s="604"/>
      <c r="K484" s="562"/>
      <c r="L484" s="604">
        <v>6.13</v>
      </c>
      <c r="M484" s="603"/>
      <c r="N484" s="602"/>
      <c r="Z484" s="537" t="s">
        <v>951</v>
      </c>
    </row>
    <row r="485" spans="1:30" s="536" customFormat="1" x14ac:dyDescent="0.2">
      <c r="A485" s="569"/>
      <c r="B485" s="671"/>
      <c r="C485" s="1823" t="s">
        <v>327</v>
      </c>
      <c r="D485" s="1823"/>
      <c r="E485" s="1823"/>
      <c r="F485" s="573"/>
      <c r="G485" s="573"/>
      <c r="H485" s="573"/>
      <c r="I485" s="573"/>
      <c r="J485" s="572"/>
      <c r="K485" s="573"/>
      <c r="L485" s="572">
        <v>42.43</v>
      </c>
      <c r="M485" s="601"/>
      <c r="N485" s="570"/>
      <c r="AB485" s="537" t="s">
        <v>327</v>
      </c>
    </row>
    <row r="486" spans="1:30" s="536" customFormat="1" ht="33.75" x14ac:dyDescent="0.2">
      <c r="A486" s="575" t="s">
        <v>795</v>
      </c>
      <c r="B486" s="670" t="s">
        <v>8497</v>
      </c>
      <c r="C486" s="1823" t="s">
        <v>8498</v>
      </c>
      <c r="D486" s="1823"/>
      <c r="E486" s="1823"/>
      <c r="F486" s="573" t="s">
        <v>617</v>
      </c>
      <c r="G486" s="573"/>
      <c r="H486" s="573"/>
      <c r="I486" s="573" t="s">
        <v>185</v>
      </c>
      <c r="J486" s="572">
        <v>8058.75</v>
      </c>
      <c r="K486" s="573" t="s">
        <v>629</v>
      </c>
      <c r="L486" s="572">
        <v>1776.69</v>
      </c>
      <c r="M486" s="571">
        <v>4.59</v>
      </c>
      <c r="N486" s="570">
        <v>8155</v>
      </c>
      <c r="W486" s="537" t="s">
        <v>8498</v>
      </c>
    </row>
    <row r="487" spans="1:30" s="536" customFormat="1" x14ac:dyDescent="0.2">
      <c r="A487" s="569"/>
      <c r="B487" s="671"/>
      <c r="C487" s="665" t="s">
        <v>630</v>
      </c>
      <c r="D487" s="666"/>
      <c r="E487" s="666"/>
      <c r="F487" s="563"/>
      <c r="G487" s="563"/>
      <c r="H487" s="563"/>
      <c r="I487" s="563"/>
      <c r="J487" s="566"/>
      <c r="K487" s="563"/>
      <c r="L487" s="566"/>
      <c r="M487" s="565"/>
      <c r="N487" s="564"/>
    </row>
    <row r="488" spans="1:30" s="536" customFormat="1" ht="22.5" x14ac:dyDescent="0.2">
      <c r="A488" s="609"/>
      <c r="B488" s="552" t="s">
        <v>631</v>
      </c>
      <c r="C488" s="1822" t="s">
        <v>632</v>
      </c>
      <c r="D488" s="1822"/>
      <c r="E488" s="1822"/>
      <c r="F488" s="1822"/>
      <c r="G488" s="1822"/>
      <c r="H488" s="1822"/>
      <c r="I488" s="1822"/>
      <c r="J488" s="1822"/>
      <c r="K488" s="1822"/>
      <c r="L488" s="1822"/>
      <c r="M488" s="1822"/>
      <c r="N488" s="1827"/>
      <c r="X488" s="537" t="s">
        <v>632</v>
      </c>
    </row>
    <row r="489" spans="1:30" s="536" customFormat="1" ht="22.5" x14ac:dyDescent="0.2">
      <c r="A489" s="575" t="s">
        <v>796</v>
      </c>
      <c r="B489" s="670" t="s">
        <v>8499</v>
      </c>
      <c r="C489" s="1823" t="s">
        <v>8500</v>
      </c>
      <c r="D489" s="1823"/>
      <c r="E489" s="1823"/>
      <c r="F489" s="573" t="s">
        <v>307</v>
      </c>
      <c r="G489" s="573"/>
      <c r="H489" s="573"/>
      <c r="I489" s="573" t="s">
        <v>3175</v>
      </c>
      <c r="J489" s="572"/>
      <c r="K489" s="573"/>
      <c r="L489" s="572"/>
      <c r="M489" s="571"/>
      <c r="N489" s="570"/>
      <c r="W489" s="537" t="s">
        <v>8500</v>
      </c>
    </row>
    <row r="490" spans="1:30" s="536" customFormat="1" x14ac:dyDescent="0.2">
      <c r="A490" s="676"/>
      <c r="B490" s="664"/>
      <c r="C490" s="1822" t="s">
        <v>8501</v>
      </c>
      <c r="D490" s="1822"/>
      <c r="E490" s="1822"/>
      <c r="F490" s="1822"/>
      <c r="G490" s="1822"/>
      <c r="H490" s="1822"/>
      <c r="I490" s="1822"/>
      <c r="J490" s="1822"/>
      <c r="K490" s="1822"/>
      <c r="L490" s="1822"/>
      <c r="M490" s="1822"/>
      <c r="N490" s="1827"/>
      <c r="AC490" s="537" t="s">
        <v>8501</v>
      </c>
    </row>
    <row r="491" spans="1:30" s="536" customFormat="1" ht="33.75" x14ac:dyDescent="0.2">
      <c r="A491" s="609"/>
      <c r="B491" s="552" t="s">
        <v>310</v>
      </c>
      <c r="C491" s="1822" t="s">
        <v>311</v>
      </c>
      <c r="D491" s="1822"/>
      <c r="E491" s="1822"/>
      <c r="F491" s="1822"/>
      <c r="G491" s="1822"/>
      <c r="H491" s="1822"/>
      <c r="I491" s="1822"/>
      <c r="J491" s="1822"/>
      <c r="K491" s="1822"/>
      <c r="L491" s="1822"/>
      <c r="M491" s="1822"/>
      <c r="N491" s="1827"/>
      <c r="X491" s="537" t="s">
        <v>311</v>
      </c>
    </row>
    <row r="492" spans="1:30" s="536" customFormat="1" x14ac:dyDescent="0.2">
      <c r="A492" s="605"/>
      <c r="B492" s="552" t="s">
        <v>185</v>
      </c>
      <c r="C492" s="1822" t="s">
        <v>312</v>
      </c>
      <c r="D492" s="1822"/>
      <c r="E492" s="1822"/>
      <c r="F492" s="562"/>
      <c r="G492" s="562"/>
      <c r="H492" s="562"/>
      <c r="I492" s="562"/>
      <c r="J492" s="604">
        <v>54.42</v>
      </c>
      <c r="K492" s="562" t="s">
        <v>313</v>
      </c>
      <c r="L492" s="604">
        <v>19.05</v>
      </c>
      <c r="M492" s="603"/>
      <c r="N492" s="602"/>
      <c r="Y492" s="537" t="s">
        <v>312</v>
      </c>
    </row>
    <row r="493" spans="1:30" s="536" customFormat="1" x14ac:dyDescent="0.2">
      <c r="A493" s="605"/>
      <c r="B493" s="552" t="s">
        <v>188</v>
      </c>
      <c r="C493" s="1822" t="s">
        <v>475</v>
      </c>
      <c r="D493" s="1822"/>
      <c r="E493" s="1822"/>
      <c r="F493" s="562"/>
      <c r="G493" s="562"/>
      <c r="H493" s="562"/>
      <c r="I493" s="562"/>
      <c r="J493" s="604">
        <v>3.58</v>
      </c>
      <c r="K493" s="562"/>
      <c r="L493" s="604">
        <v>1</v>
      </c>
      <c r="M493" s="603"/>
      <c r="N493" s="602"/>
      <c r="Y493" s="537" t="s">
        <v>475</v>
      </c>
    </row>
    <row r="494" spans="1:30" s="536" customFormat="1" x14ac:dyDescent="0.2">
      <c r="A494" s="676"/>
      <c r="B494" s="677" t="s">
        <v>3084</v>
      </c>
      <c r="C494" s="1829" t="s">
        <v>3085</v>
      </c>
      <c r="D494" s="1829"/>
      <c r="E494" s="1829"/>
      <c r="F494" s="678" t="s">
        <v>694</v>
      </c>
      <c r="G494" s="678" t="s">
        <v>809</v>
      </c>
      <c r="H494" s="678"/>
      <c r="I494" s="678" t="s">
        <v>8502</v>
      </c>
      <c r="J494" s="552"/>
      <c r="K494" s="562"/>
      <c r="L494" s="604"/>
      <c r="M494" s="562"/>
      <c r="N494" s="679"/>
      <c r="AD494" s="537" t="s">
        <v>3085</v>
      </c>
    </row>
    <row r="495" spans="1:30" s="536" customFormat="1" x14ac:dyDescent="0.2">
      <c r="A495" s="605"/>
      <c r="B495" s="552"/>
      <c r="C495" s="1822" t="s">
        <v>314</v>
      </c>
      <c r="D495" s="1822"/>
      <c r="E495" s="1822"/>
      <c r="F495" s="562" t="s">
        <v>315</v>
      </c>
      <c r="G495" s="562" t="s">
        <v>190</v>
      </c>
      <c r="H495" s="562" t="s">
        <v>313</v>
      </c>
      <c r="I495" s="562" t="s">
        <v>3176</v>
      </c>
      <c r="J495" s="604"/>
      <c r="K495" s="562"/>
      <c r="L495" s="604"/>
      <c r="M495" s="603"/>
      <c r="N495" s="602"/>
      <c r="Z495" s="537" t="s">
        <v>314</v>
      </c>
    </row>
    <row r="496" spans="1:30" s="536" customFormat="1" x14ac:dyDescent="0.2">
      <c r="A496" s="605"/>
      <c r="B496" s="552"/>
      <c r="C496" s="1828" t="s">
        <v>318</v>
      </c>
      <c r="D496" s="1828"/>
      <c r="E496" s="1828"/>
      <c r="F496" s="608"/>
      <c r="G496" s="608"/>
      <c r="H496" s="608"/>
      <c r="I496" s="608"/>
      <c r="J496" s="607">
        <v>58</v>
      </c>
      <c r="K496" s="608"/>
      <c r="L496" s="607">
        <v>20.05</v>
      </c>
      <c r="M496" s="601"/>
      <c r="N496" s="606"/>
      <c r="AA496" s="537" t="s">
        <v>318</v>
      </c>
    </row>
    <row r="497" spans="1:29" s="536" customFormat="1" x14ac:dyDescent="0.2">
      <c r="A497" s="605"/>
      <c r="B497" s="552"/>
      <c r="C497" s="1822" t="s">
        <v>319</v>
      </c>
      <c r="D497" s="1822"/>
      <c r="E497" s="1822"/>
      <c r="F497" s="562"/>
      <c r="G497" s="562"/>
      <c r="H497" s="562"/>
      <c r="I497" s="562"/>
      <c r="J497" s="604"/>
      <c r="K497" s="562"/>
      <c r="L497" s="604">
        <v>19.05</v>
      </c>
      <c r="M497" s="603"/>
      <c r="N497" s="602"/>
      <c r="Z497" s="537" t="s">
        <v>319</v>
      </c>
    </row>
    <row r="498" spans="1:29" s="536" customFormat="1" ht="33.75" x14ac:dyDescent="0.2">
      <c r="A498" s="605"/>
      <c r="B498" s="552" t="s">
        <v>884</v>
      </c>
      <c r="C498" s="1822" t="s">
        <v>885</v>
      </c>
      <c r="D498" s="1822"/>
      <c r="E498" s="1822"/>
      <c r="F498" s="562" t="s">
        <v>322</v>
      </c>
      <c r="G498" s="562" t="s">
        <v>886</v>
      </c>
      <c r="H498" s="562"/>
      <c r="I498" s="562" t="s">
        <v>886</v>
      </c>
      <c r="J498" s="604"/>
      <c r="K498" s="562"/>
      <c r="L498" s="604">
        <v>17.149999999999999</v>
      </c>
      <c r="M498" s="603"/>
      <c r="N498" s="602"/>
      <c r="Z498" s="537" t="s">
        <v>885</v>
      </c>
    </row>
    <row r="499" spans="1:29" s="536" customFormat="1" ht="33.75" x14ac:dyDescent="0.2">
      <c r="A499" s="605"/>
      <c r="B499" s="552" t="s">
        <v>887</v>
      </c>
      <c r="C499" s="1822" t="s">
        <v>888</v>
      </c>
      <c r="D499" s="1822"/>
      <c r="E499" s="1822"/>
      <c r="F499" s="562" t="s">
        <v>322</v>
      </c>
      <c r="G499" s="562" t="s">
        <v>465</v>
      </c>
      <c r="H499" s="562"/>
      <c r="I499" s="562" t="s">
        <v>465</v>
      </c>
      <c r="J499" s="604"/>
      <c r="K499" s="562"/>
      <c r="L499" s="604">
        <v>8.76</v>
      </c>
      <c r="M499" s="603"/>
      <c r="N499" s="602"/>
      <c r="Z499" s="537" t="s">
        <v>888</v>
      </c>
    </row>
    <row r="500" spans="1:29" s="536" customFormat="1" x14ac:dyDescent="0.2">
      <c r="A500" s="569"/>
      <c r="B500" s="671"/>
      <c r="C500" s="1823" t="s">
        <v>327</v>
      </c>
      <c r="D500" s="1823"/>
      <c r="E500" s="1823"/>
      <c r="F500" s="573"/>
      <c r="G500" s="573"/>
      <c r="H500" s="573"/>
      <c r="I500" s="573"/>
      <c r="J500" s="572"/>
      <c r="K500" s="573"/>
      <c r="L500" s="572">
        <v>45.96</v>
      </c>
      <c r="M500" s="601"/>
      <c r="N500" s="570"/>
      <c r="AB500" s="537" t="s">
        <v>327</v>
      </c>
    </row>
    <row r="501" spans="1:29" s="536" customFormat="1" ht="33.75" x14ac:dyDescent="0.2">
      <c r="A501" s="575" t="s">
        <v>797</v>
      </c>
      <c r="B501" s="670" t="s">
        <v>8503</v>
      </c>
      <c r="C501" s="1823" t="s">
        <v>8504</v>
      </c>
      <c r="D501" s="1823"/>
      <c r="E501" s="1823"/>
      <c r="F501" s="573" t="s">
        <v>628</v>
      </c>
      <c r="G501" s="573"/>
      <c r="H501" s="573"/>
      <c r="I501" s="573" t="s">
        <v>192</v>
      </c>
      <c r="J501" s="572">
        <v>48.26</v>
      </c>
      <c r="K501" s="573" t="s">
        <v>716</v>
      </c>
      <c r="L501" s="572">
        <v>47.36</v>
      </c>
      <c r="M501" s="571">
        <v>8.32</v>
      </c>
      <c r="N501" s="570">
        <v>394</v>
      </c>
      <c r="W501" s="537" t="s">
        <v>8504</v>
      </c>
    </row>
    <row r="502" spans="1:29" s="536" customFormat="1" x14ac:dyDescent="0.2">
      <c r="A502" s="569"/>
      <c r="B502" s="671"/>
      <c r="C502" s="665" t="s">
        <v>1658</v>
      </c>
      <c r="D502" s="666"/>
      <c r="E502" s="666"/>
      <c r="F502" s="563"/>
      <c r="G502" s="563"/>
      <c r="H502" s="563"/>
      <c r="I502" s="563"/>
      <c r="J502" s="566"/>
      <c r="K502" s="563"/>
      <c r="L502" s="566"/>
      <c r="M502" s="565"/>
      <c r="N502" s="564"/>
    </row>
    <row r="503" spans="1:29" s="536" customFormat="1" ht="22.5" x14ac:dyDescent="0.2">
      <c r="A503" s="609"/>
      <c r="B503" s="552" t="s">
        <v>718</v>
      </c>
      <c r="C503" s="1822" t="s">
        <v>719</v>
      </c>
      <c r="D503" s="1822"/>
      <c r="E503" s="1822"/>
      <c r="F503" s="1822"/>
      <c r="G503" s="1822"/>
      <c r="H503" s="1822"/>
      <c r="I503" s="1822"/>
      <c r="J503" s="1822"/>
      <c r="K503" s="1822"/>
      <c r="L503" s="1822"/>
      <c r="M503" s="1822"/>
      <c r="N503" s="1827"/>
      <c r="X503" s="537" t="s">
        <v>719</v>
      </c>
    </row>
    <row r="504" spans="1:29" s="536" customFormat="1" ht="33.75" x14ac:dyDescent="0.2">
      <c r="A504" s="575" t="s">
        <v>798</v>
      </c>
      <c r="B504" s="670" t="s">
        <v>8505</v>
      </c>
      <c r="C504" s="1823" t="s">
        <v>8506</v>
      </c>
      <c r="D504" s="1823"/>
      <c r="E504" s="1823"/>
      <c r="F504" s="573" t="s">
        <v>628</v>
      </c>
      <c r="G504" s="573"/>
      <c r="H504" s="573"/>
      <c r="I504" s="573" t="s">
        <v>192</v>
      </c>
      <c r="J504" s="572">
        <v>69.319999999999993</v>
      </c>
      <c r="K504" s="573" t="s">
        <v>716</v>
      </c>
      <c r="L504" s="572">
        <v>68.03</v>
      </c>
      <c r="M504" s="571">
        <v>8.32</v>
      </c>
      <c r="N504" s="570">
        <v>566</v>
      </c>
      <c r="W504" s="537" t="s">
        <v>8506</v>
      </c>
    </row>
    <row r="505" spans="1:29" s="536" customFormat="1" x14ac:dyDescent="0.2">
      <c r="A505" s="569"/>
      <c r="B505" s="671"/>
      <c r="C505" s="665" t="s">
        <v>1658</v>
      </c>
      <c r="D505" s="666"/>
      <c r="E505" s="666"/>
      <c r="F505" s="563"/>
      <c r="G505" s="563"/>
      <c r="H505" s="563"/>
      <c r="I505" s="563"/>
      <c r="J505" s="566"/>
      <c r="K505" s="563"/>
      <c r="L505" s="566"/>
      <c r="M505" s="565"/>
      <c r="N505" s="564"/>
    </row>
    <row r="506" spans="1:29" s="536" customFormat="1" ht="22.5" x14ac:dyDescent="0.2">
      <c r="A506" s="609"/>
      <c r="B506" s="552" t="s">
        <v>718</v>
      </c>
      <c r="C506" s="1822" t="s">
        <v>719</v>
      </c>
      <c r="D506" s="1822"/>
      <c r="E506" s="1822"/>
      <c r="F506" s="1822"/>
      <c r="G506" s="1822"/>
      <c r="H506" s="1822"/>
      <c r="I506" s="1822"/>
      <c r="J506" s="1822"/>
      <c r="K506" s="1822"/>
      <c r="L506" s="1822"/>
      <c r="M506" s="1822"/>
      <c r="N506" s="1827"/>
      <c r="X506" s="537" t="s">
        <v>719</v>
      </c>
    </row>
    <row r="507" spans="1:29" s="536" customFormat="1" ht="33.75" x14ac:dyDescent="0.2">
      <c r="A507" s="575" t="s">
        <v>2349</v>
      </c>
      <c r="B507" s="670" t="s">
        <v>8507</v>
      </c>
      <c r="C507" s="1823" t="s">
        <v>8508</v>
      </c>
      <c r="D507" s="1823"/>
      <c r="E507" s="1823"/>
      <c r="F507" s="573" t="s">
        <v>628</v>
      </c>
      <c r="G507" s="573"/>
      <c r="H507" s="573"/>
      <c r="I507" s="573" t="s">
        <v>196</v>
      </c>
      <c r="J507" s="572">
        <v>76.37</v>
      </c>
      <c r="K507" s="573" t="s">
        <v>716</v>
      </c>
      <c r="L507" s="572">
        <v>112.38</v>
      </c>
      <c r="M507" s="571">
        <v>8.32</v>
      </c>
      <c r="N507" s="570">
        <v>935</v>
      </c>
      <c r="W507" s="537" t="s">
        <v>8508</v>
      </c>
    </row>
    <row r="508" spans="1:29" s="536" customFormat="1" x14ac:dyDescent="0.2">
      <c r="A508" s="569"/>
      <c r="B508" s="671"/>
      <c r="C508" s="665" t="s">
        <v>1658</v>
      </c>
      <c r="D508" s="666"/>
      <c r="E508" s="666"/>
      <c r="F508" s="563"/>
      <c r="G508" s="563"/>
      <c r="H508" s="563"/>
      <c r="I508" s="563"/>
      <c r="J508" s="566"/>
      <c r="K508" s="563"/>
      <c r="L508" s="566"/>
      <c r="M508" s="565"/>
      <c r="N508" s="564"/>
    </row>
    <row r="509" spans="1:29" s="536" customFormat="1" ht="22.5" x14ac:dyDescent="0.2">
      <c r="A509" s="609"/>
      <c r="B509" s="552" t="s">
        <v>718</v>
      </c>
      <c r="C509" s="1822" t="s">
        <v>719</v>
      </c>
      <c r="D509" s="1822"/>
      <c r="E509" s="1822"/>
      <c r="F509" s="1822"/>
      <c r="G509" s="1822"/>
      <c r="H509" s="1822"/>
      <c r="I509" s="1822"/>
      <c r="J509" s="1822"/>
      <c r="K509" s="1822"/>
      <c r="L509" s="1822"/>
      <c r="M509" s="1822"/>
      <c r="N509" s="1827"/>
      <c r="X509" s="537" t="s">
        <v>719</v>
      </c>
    </row>
    <row r="510" spans="1:29" s="536" customFormat="1" x14ac:dyDescent="0.2">
      <c r="A510" s="575" t="s">
        <v>2037</v>
      </c>
      <c r="B510" s="670" t="s">
        <v>8509</v>
      </c>
      <c r="C510" s="1823" t="s">
        <v>8510</v>
      </c>
      <c r="D510" s="1823"/>
      <c r="E510" s="1823"/>
      <c r="F510" s="573" t="s">
        <v>1110</v>
      </c>
      <c r="G510" s="573"/>
      <c r="H510" s="573"/>
      <c r="I510" s="573" t="s">
        <v>1692</v>
      </c>
      <c r="J510" s="572"/>
      <c r="K510" s="573"/>
      <c r="L510" s="572"/>
      <c r="M510" s="571"/>
      <c r="N510" s="570"/>
      <c r="W510" s="537" t="s">
        <v>8510</v>
      </c>
    </row>
    <row r="511" spans="1:29" s="536" customFormat="1" x14ac:dyDescent="0.2">
      <c r="A511" s="676"/>
      <c r="B511" s="664"/>
      <c r="C511" s="1822" t="s">
        <v>8339</v>
      </c>
      <c r="D511" s="1822"/>
      <c r="E511" s="1822"/>
      <c r="F511" s="1822"/>
      <c r="G511" s="1822"/>
      <c r="H511" s="1822"/>
      <c r="I511" s="1822"/>
      <c r="J511" s="1822"/>
      <c r="K511" s="1822"/>
      <c r="L511" s="1822"/>
      <c r="M511" s="1822"/>
      <c r="N511" s="1827"/>
      <c r="AC511" s="537" t="s">
        <v>8339</v>
      </c>
    </row>
    <row r="512" spans="1:29" s="536" customFormat="1" ht="33.75" x14ac:dyDescent="0.2">
      <c r="A512" s="609"/>
      <c r="B512" s="552" t="s">
        <v>310</v>
      </c>
      <c r="C512" s="1822" t="s">
        <v>311</v>
      </c>
      <c r="D512" s="1822"/>
      <c r="E512" s="1822"/>
      <c r="F512" s="1822"/>
      <c r="G512" s="1822"/>
      <c r="H512" s="1822"/>
      <c r="I512" s="1822"/>
      <c r="J512" s="1822"/>
      <c r="K512" s="1822"/>
      <c r="L512" s="1822"/>
      <c r="M512" s="1822"/>
      <c r="N512" s="1827"/>
      <c r="X512" s="537" t="s">
        <v>311</v>
      </c>
    </row>
    <row r="513" spans="1:29" s="536" customFormat="1" x14ac:dyDescent="0.2">
      <c r="A513" s="605"/>
      <c r="B513" s="552" t="s">
        <v>185</v>
      </c>
      <c r="C513" s="1822" t="s">
        <v>312</v>
      </c>
      <c r="D513" s="1822"/>
      <c r="E513" s="1822"/>
      <c r="F513" s="562"/>
      <c r="G513" s="562"/>
      <c r="H513" s="562"/>
      <c r="I513" s="562"/>
      <c r="J513" s="604">
        <v>174.89</v>
      </c>
      <c r="K513" s="562" t="s">
        <v>313</v>
      </c>
      <c r="L513" s="604">
        <v>109.31</v>
      </c>
      <c r="M513" s="603"/>
      <c r="N513" s="602"/>
      <c r="Y513" s="537" t="s">
        <v>312</v>
      </c>
    </row>
    <row r="514" spans="1:29" s="536" customFormat="1" x14ac:dyDescent="0.2">
      <c r="A514" s="605"/>
      <c r="B514" s="552" t="s">
        <v>186</v>
      </c>
      <c r="C514" s="1822" t="s">
        <v>344</v>
      </c>
      <c r="D514" s="1822"/>
      <c r="E514" s="1822"/>
      <c r="F514" s="562"/>
      <c r="G514" s="562"/>
      <c r="H514" s="562"/>
      <c r="I514" s="562"/>
      <c r="J514" s="604">
        <v>0.31</v>
      </c>
      <c r="K514" s="562" t="s">
        <v>313</v>
      </c>
      <c r="L514" s="604">
        <v>0.19</v>
      </c>
      <c r="M514" s="603"/>
      <c r="N514" s="602"/>
      <c r="Y514" s="537" t="s">
        <v>344</v>
      </c>
    </row>
    <row r="515" spans="1:29" s="536" customFormat="1" x14ac:dyDescent="0.2">
      <c r="A515" s="605"/>
      <c r="B515" s="552" t="s">
        <v>187</v>
      </c>
      <c r="C515" s="1822" t="s">
        <v>345</v>
      </c>
      <c r="D515" s="1822"/>
      <c r="E515" s="1822"/>
      <c r="F515" s="562"/>
      <c r="G515" s="562"/>
      <c r="H515" s="562"/>
      <c r="I515" s="562"/>
      <c r="J515" s="604">
        <v>0.14000000000000001</v>
      </c>
      <c r="K515" s="562" t="s">
        <v>313</v>
      </c>
      <c r="L515" s="604">
        <v>0.09</v>
      </c>
      <c r="M515" s="603"/>
      <c r="N515" s="602"/>
      <c r="Y515" s="537" t="s">
        <v>345</v>
      </c>
    </row>
    <row r="516" spans="1:29" s="536" customFormat="1" x14ac:dyDescent="0.2">
      <c r="A516" s="605"/>
      <c r="B516" s="552" t="s">
        <v>188</v>
      </c>
      <c r="C516" s="1822" t="s">
        <v>475</v>
      </c>
      <c r="D516" s="1822"/>
      <c r="E516" s="1822"/>
      <c r="F516" s="562"/>
      <c r="G516" s="562"/>
      <c r="H516" s="562"/>
      <c r="I516" s="562"/>
      <c r="J516" s="604">
        <v>69.930000000000007</v>
      </c>
      <c r="K516" s="562"/>
      <c r="L516" s="604">
        <v>34.97</v>
      </c>
      <c r="M516" s="603"/>
      <c r="N516" s="602"/>
      <c r="Y516" s="537" t="s">
        <v>475</v>
      </c>
    </row>
    <row r="517" spans="1:29" s="536" customFormat="1" x14ac:dyDescent="0.2">
      <c r="A517" s="605"/>
      <c r="B517" s="552"/>
      <c r="C517" s="1822" t="s">
        <v>314</v>
      </c>
      <c r="D517" s="1822"/>
      <c r="E517" s="1822"/>
      <c r="F517" s="562" t="s">
        <v>315</v>
      </c>
      <c r="G517" s="562" t="s">
        <v>8511</v>
      </c>
      <c r="H517" s="562" t="s">
        <v>313</v>
      </c>
      <c r="I517" s="562" t="s">
        <v>8512</v>
      </c>
      <c r="J517" s="604"/>
      <c r="K517" s="562"/>
      <c r="L517" s="604"/>
      <c r="M517" s="603"/>
      <c r="N517" s="602"/>
      <c r="Z517" s="537" t="s">
        <v>314</v>
      </c>
    </row>
    <row r="518" spans="1:29" s="536" customFormat="1" x14ac:dyDescent="0.2">
      <c r="A518" s="605"/>
      <c r="B518" s="552"/>
      <c r="C518" s="1822" t="s">
        <v>348</v>
      </c>
      <c r="D518" s="1822"/>
      <c r="E518" s="1822"/>
      <c r="F518" s="562" t="s">
        <v>315</v>
      </c>
      <c r="G518" s="562" t="s">
        <v>809</v>
      </c>
      <c r="H518" s="562" t="s">
        <v>313</v>
      </c>
      <c r="I518" s="562" t="s">
        <v>8513</v>
      </c>
      <c r="J518" s="604"/>
      <c r="K518" s="562"/>
      <c r="L518" s="604"/>
      <c r="M518" s="603"/>
      <c r="N518" s="602"/>
      <c r="Z518" s="537" t="s">
        <v>348</v>
      </c>
    </row>
    <row r="519" spans="1:29" s="536" customFormat="1" x14ac:dyDescent="0.2">
      <c r="A519" s="605"/>
      <c r="B519" s="552"/>
      <c r="C519" s="1828" t="s">
        <v>318</v>
      </c>
      <c r="D519" s="1828"/>
      <c r="E519" s="1828"/>
      <c r="F519" s="608"/>
      <c r="G519" s="608"/>
      <c r="H519" s="608"/>
      <c r="I519" s="608"/>
      <c r="J519" s="607">
        <v>245.13</v>
      </c>
      <c r="K519" s="608"/>
      <c r="L519" s="607">
        <v>144.47</v>
      </c>
      <c r="M519" s="601"/>
      <c r="N519" s="606"/>
      <c r="AA519" s="537" t="s">
        <v>318</v>
      </c>
    </row>
    <row r="520" spans="1:29" s="536" customFormat="1" x14ac:dyDescent="0.2">
      <c r="A520" s="605"/>
      <c r="B520" s="552"/>
      <c r="C520" s="1822" t="s">
        <v>319</v>
      </c>
      <c r="D520" s="1822"/>
      <c r="E520" s="1822"/>
      <c r="F520" s="562"/>
      <c r="G520" s="562"/>
      <c r="H520" s="562"/>
      <c r="I520" s="562"/>
      <c r="J520" s="604"/>
      <c r="K520" s="562"/>
      <c r="L520" s="604">
        <v>109.4</v>
      </c>
      <c r="M520" s="603"/>
      <c r="N520" s="602"/>
      <c r="Z520" s="537" t="s">
        <v>319</v>
      </c>
    </row>
    <row r="521" spans="1:29" s="536" customFormat="1" ht="33.75" x14ac:dyDescent="0.2">
      <c r="A521" s="605"/>
      <c r="B521" s="552" t="s">
        <v>1631</v>
      </c>
      <c r="C521" s="1822" t="s">
        <v>1632</v>
      </c>
      <c r="D521" s="1822"/>
      <c r="E521" s="1822"/>
      <c r="F521" s="562" t="s">
        <v>322</v>
      </c>
      <c r="G521" s="562" t="s">
        <v>1633</v>
      </c>
      <c r="H521" s="562"/>
      <c r="I521" s="562" t="s">
        <v>1633</v>
      </c>
      <c r="J521" s="604"/>
      <c r="K521" s="562"/>
      <c r="L521" s="604">
        <v>106.12</v>
      </c>
      <c r="M521" s="603"/>
      <c r="N521" s="602"/>
      <c r="Z521" s="537" t="s">
        <v>1632</v>
      </c>
    </row>
    <row r="522" spans="1:29" s="536" customFormat="1" ht="33.75" x14ac:dyDescent="0.2">
      <c r="A522" s="605"/>
      <c r="B522" s="552" t="s">
        <v>1634</v>
      </c>
      <c r="C522" s="1822" t="s">
        <v>1635</v>
      </c>
      <c r="D522" s="1822"/>
      <c r="E522" s="1822"/>
      <c r="F522" s="562" t="s">
        <v>322</v>
      </c>
      <c r="G522" s="562" t="s">
        <v>786</v>
      </c>
      <c r="H522" s="562"/>
      <c r="I522" s="562" t="s">
        <v>786</v>
      </c>
      <c r="J522" s="604"/>
      <c r="K522" s="562"/>
      <c r="L522" s="604">
        <v>55.79</v>
      </c>
      <c r="M522" s="603"/>
      <c r="N522" s="602"/>
      <c r="Z522" s="537" t="s">
        <v>1635</v>
      </c>
    </row>
    <row r="523" spans="1:29" s="536" customFormat="1" x14ac:dyDescent="0.2">
      <c r="A523" s="569"/>
      <c r="B523" s="671"/>
      <c r="C523" s="1823" t="s">
        <v>327</v>
      </c>
      <c r="D523" s="1823"/>
      <c r="E523" s="1823"/>
      <c r="F523" s="573"/>
      <c r="G523" s="573"/>
      <c r="H523" s="573"/>
      <c r="I523" s="573"/>
      <c r="J523" s="572"/>
      <c r="K523" s="573"/>
      <c r="L523" s="572">
        <v>306.38</v>
      </c>
      <c r="M523" s="601"/>
      <c r="N523" s="570"/>
      <c r="AB523" s="537" t="s">
        <v>327</v>
      </c>
    </row>
    <row r="524" spans="1:29" s="536" customFormat="1" x14ac:dyDescent="0.2">
      <c r="A524" s="575" t="s">
        <v>804</v>
      </c>
      <c r="B524" s="670" t="s">
        <v>8514</v>
      </c>
      <c r="C524" s="1823" t="s">
        <v>8515</v>
      </c>
      <c r="D524" s="1823"/>
      <c r="E524" s="1823"/>
      <c r="F524" s="573" t="s">
        <v>483</v>
      </c>
      <c r="G524" s="573"/>
      <c r="H524" s="573"/>
      <c r="I524" s="573" t="s">
        <v>1679</v>
      </c>
      <c r="J524" s="572">
        <v>6.8</v>
      </c>
      <c r="K524" s="573"/>
      <c r="L524" s="572">
        <v>340</v>
      </c>
      <c r="M524" s="571"/>
      <c r="N524" s="570"/>
      <c r="W524" s="537" t="s">
        <v>8515</v>
      </c>
    </row>
    <row r="525" spans="1:29" s="536" customFormat="1" x14ac:dyDescent="0.2">
      <c r="A525" s="569"/>
      <c r="B525" s="671"/>
      <c r="C525" s="665" t="s">
        <v>1658</v>
      </c>
      <c r="D525" s="666"/>
      <c r="E525" s="666"/>
      <c r="F525" s="563"/>
      <c r="G525" s="563"/>
      <c r="H525" s="563"/>
      <c r="I525" s="563"/>
      <c r="J525" s="566"/>
      <c r="K525" s="563"/>
      <c r="L525" s="566"/>
      <c r="M525" s="565"/>
      <c r="N525" s="564"/>
    </row>
    <row r="526" spans="1:29" s="536" customFormat="1" x14ac:dyDescent="0.2">
      <c r="A526" s="575" t="s">
        <v>2352</v>
      </c>
      <c r="B526" s="670" t="s">
        <v>8516</v>
      </c>
      <c r="C526" s="1823" t="s">
        <v>8517</v>
      </c>
      <c r="D526" s="1823"/>
      <c r="E526" s="1823"/>
      <c r="F526" s="573" t="s">
        <v>307</v>
      </c>
      <c r="G526" s="573"/>
      <c r="H526" s="573"/>
      <c r="I526" s="573" t="s">
        <v>2323</v>
      </c>
      <c r="J526" s="572">
        <v>1378</v>
      </c>
      <c r="K526" s="573"/>
      <c r="L526" s="572">
        <v>137.80000000000001</v>
      </c>
      <c r="M526" s="571"/>
      <c r="N526" s="570"/>
      <c r="W526" s="537" t="s">
        <v>8517</v>
      </c>
    </row>
    <row r="527" spans="1:29" s="536" customFormat="1" x14ac:dyDescent="0.2">
      <c r="A527" s="569"/>
      <c r="B527" s="671"/>
      <c r="C527" s="665" t="s">
        <v>1658</v>
      </c>
      <c r="D527" s="666"/>
      <c r="E527" s="666"/>
      <c r="F527" s="563"/>
      <c r="G527" s="563"/>
      <c r="H527" s="563"/>
      <c r="I527" s="563"/>
      <c r="J527" s="566"/>
      <c r="K527" s="563"/>
      <c r="L527" s="566"/>
      <c r="M527" s="565"/>
      <c r="N527" s="564"/>
    </row>
    <row r="528" spans="1:29" s="536" customFormat="1" x14ac:dyDescent="0.2">
      <c r="A528" s="676"/>
      <c r="B528" s="664"/>
      <c r="C528" s="1822" t="s">
        <v>2324</v>
      </c>
      <c r="D528" s="1822"/>
      <c r="E528" s="1822"/>
      <c r="F528" s="1822"/>
      <c r="G528" s="1822"/>
      <c r="H528" s="1822"/>
      <c r="I528" s="1822"/>
      <c r="J528" s="1822"/>
      <c r="K528" s="1822"/>
      <c r="L528" s="1822"/>
      <c r="M528" s="1822"/>
      <c r="N528" s="1827"/>
      <c r="AC528" s="537" t="s">
        <v>2324</v>
      </c>
    </row>
    <row r="529" spans="1:29" s="536" customFormat="1" x14ac:dyDescent="0.2">
      <c r="A529" s="575" t="s">
        <v>897</v>
      </c>
      <c r="B529" s="670" t="s">
        <v>8518</v>
      </c>
      <c r="C529" s="1823" t="s">
        <v>8519</v>
      </c>
      <c r="D529" s="1823"/>
      <c r="E529" s="1823"/>
      <c r="F529" s="573" t="s">
        <v>307</v>
      </c>
      <c r="G529" s="573"/>
      <c r="H529" s="573"/>
      <c r="I529" s="573" t="s">
        <v>2323</v>
      </c>
      <c r="J529" s="572">
        <v>1357</v>
      </c>
      <c r="K529" s="573"/>
      <c r="L529" s="572">
        <v>135.69999999999999</v>
      </c>
      <c r="M529" s="571"/>
      <c r="N529" s="570"/>
      <c r="W529" s="537" t="s">
        <v>8519</v>
      </c>
    </row>
    <row r="530" spans="1:29" s="536" customFormat="1" x14ac:dyDescent="0.2">
      <c r="A530" s="569"/>
      <c r="B530" s="671"/>
      <c r="C530" s="665" t="s">
        <v>1658</v>
      </c>
      <c r="D530" s="666"/>
      <c r="E530" s="666"/>
      <c r="F530" s="563"/>
      <c r="G530" s="563"/>
      <c r="H530" s="563"/>
      <c r="I530" s="563"/>
      <c r="J530" s="566"/>
      <c r="K530" s="563"/>
      <c r="L530" s="566"/>
      <c r="M530" s="565"/>
      <c r="N530" s="564"/>
    </row>
    <row r="531" spans="1:29" s="536" customFormat="1" x14ac:dyDescent="0.2">
      <c r="A531" s="676"/>
      <c r="B531" s="664"/>
      <c r="C531" s="1822" t="s">
        <v>2324</v>
      </c>
      <c r="D531" s="1822"/>
      <c r="E531" s="1822"/>
      <c r="F531" s="1822"/>
      <c r="G531" s="1822"/>
      <c r="H531" s="1822"/>
      <c r="I531" s="1822"/>
      <c r="J531" s="1822"/>
      <c r="K531" s="1822"/>
      <c r="L531" s="1822"/>
      <c r="M531" s="1822"/>
      <c r="N531" s="1827"/>
      <c r="AC531" s="537" t="s">
        <v>2324</v>
      </c>
    </row>
    <row r="532" spans="1:29" s="536" customFormat="1" ht="22.5" x14ac:dyDescent="0.2">
      <c r="A532" s="575" t="s">
        <v>817</v>
      </c>
      <c r="B532" s="670" t="s">
        <v>8520</v>
      </c>
      <c r="C532" s="1823" t="s">
        <v>8521</v>
      </c>
      <c r="D532" s="1823"/>
      <c r="E532" s="1823"/>
      <c r="F532" s="573" t="s">
        <v>307</v>
      </c>
      <c r="G532" s="573"/>
      <c r="H532" s="573"/>
      <c r="I532" s="573" t="s">
        <v>2323</v>
      </c>
      <c r="J532" s="572">
        <v>734</v>
      </c>
      <c r="K532" s="573"/>
      <c r="L532" s="572">
        <v>73.400000000000006</v>
      </c>
      <c r="M532" s="571"/>
      <c r="N532" s="570"/>
      <c r="W532" s="537" t="s">
        <v>8521</v>
      </c>
    </row>
    <row r="533" spans="1:29" s="536" customFormat="1" x14ac:dyDescent="0.2">
      <c r="A533" s="569"/>
      <c r="B533" s="671"/>
      <c r="C533" s="665" t="s">
        <v>1658</v>
      </c>
      <c r="D533" s="666"/>
      <c r="E533" s="666"/>
      <c r="F533" s="563"/>
      <c r="G533" s="563"/>
      <c r="H533" s="563"/>
      <c r="I533" s="563"/>
      <c r="J533" s="566"/>
      <c r="K533" s="563"/>
      <c r="L533" s="566"/>
      <c r="M533" s="565"/>
      <c r="N533" s="564"/>
    </row>
    <row r="534" spans="1:29" s="536" customFormat="1" x14ac:dyDescent="0.2">
      <c r="A534" s="676"/>
      <c r="B534" s="664"/>
      <c r="C534" s="1822" t="s">
        <v>2324</v>
      </c>
      <c r="D534" s="1822"/>
      <c r="E534" s="1822"/>
      <c r="F534" s="1822"/>
      <c r="G534" s="1822"/>
      <c r="H534" s="1822"/>
      <c r="I534" s="1822"/>
      <c r="J534" s="1822"/>
      <c r="K534" s="1822"/>
      <c r="L534" s="1822"/>
      <c r="M534" s="1822"/>
      <c r="N534" s="1827"/>
      <c r="AC534" s="537" t="s">
        <v>2324</v>
      </c>
    </row>
    <row r="535" spans="1:29" s="536" customFormat="1" x14ac:dyDescent="0.2">
      <c r="A535" s="575" t="s">
        <v>538</v>
      </c>
      <c r="B535" s="670" t="s">
        <v>8522</v>
      </c>
      <c r="C535" s="1823" t="s">
        <v>8523</v>
      </c>
      <c r="D535" s="1823"/>
      <c r="E535" s="1823"/>
      <c r="F535" s="573" t="s">
        <v>307</v>
      </c>
      <c r="G535" s="573"/>
      <c r="H535" s="573"/>
      <c r="I535" s="573" t="s">
        <v>2323</v>
      </c>
      <c r="J535" s="572">
        <v>733</v>
      </c>
      <c r="K535" s="573"/>
      <c r="L535" s="572">
        <v>73.3</v>
      </c>
      <c r="M535" s="571"/>
      <c r="N535" s="570"/>
      <c r="W535" s="537" t="s">
        <v>8523</v>
      </c>
    </row>
    <row r="536" spans="1:29" s="536" customFormat="1" x14ac:dyDescent="0.2">
      <c r="A536" s="569"/>
      <c r="B536" s="671"/>
      <c r="C536" s="665" t="s">
        <v>1658</v>
      </c>
      <c r="D536" s="666"/>
      <c r="E536" s="666"/>
      <c r="F536" s="563"/>
      <c r="G536" s="563"/>
      <c r="H536" s="563"/>
      <c r="I536" s="563"/>
      <c r="J536" s="566"/>
      <c r="K536" s="563"/>
      <c r="L536" s="566"/>
      <c r="M536" s="565"/>
      <c r="N536" s="564"/>
    </row>
    <row r="537" spans="1:29" s="536" customFormat="1" x14ac:dyDescent="0.2">
      <c r="A537" s="676"/>
      <c r="B537" s="664"/>
      <c r="C537" s="1822" t="s">
        <v>2324</v>
      </c>
      <c r="D537" s="1822"/>
      <c r="E537" s="1822"/>
      <c r="F537" s="1822"/>
      <c r="G537" s="1822"/>
      <c r="H537" s="1822"/>
      <c r="I537" s="1822"/>
      <c r="J537" s="1822"/>
      <c r="K537" s="1822"/>
      <c r="L537" s="1822"/>
      <c r="M537" s="1822"/>
      <c r="N537" s="1827"/>
      <c r="AC537" s="537" t="s">
        <v>2324</v>
      </c>
    </row>
    <row r="538" spans="1:29" s="536" customFormat="1" x14ac:dyDescent="0.2">
      <c r="A538" s="575" t="s">
        <v>966</v>
      </c>
      <c r="B538" s="670" t="s">
        <v>3094</v>
      </c>
      <c r="C538" s="1823" t="s">
        <v>3095</v>
      </c>
      <c r="D538" s="1823"/>
      <c r="E538" s="1823"/>
      <c r="F538" s="573" t="s">
        <v>1110</v>
      </c>
      <c r="G538" s="573"/>
      <c r="H538" s="573"/>
      <c r="I538" s="573" t="s">
        <v>8524</v>
      </c>
      <c r="J538" s="572"/>
      <c r="K538" s="573"/>
      <c r="L538" s="572"/>
      <c r="M538" s="571"/>
      <c r="N538" s="570"/>
      <c r="W538" s="537" t="s">
        <v>3095</v>
      </c>
    </row>
    <row r="539" spans="1:29" s="536" customFormat="1" x14ac:dyDescent="0.2">
      <c r="A539" s="676"/>
      <c r="B539" s="664"/>
      <c r="C539" s="1822" t="s">
        <v>8525</v>
      </c>
      <c r="D539" s="1822"/>
      <c r="E539" s="1822"/>
      <c r="F539" s="1822"/>
      <c r="G539" s="1822"/>
      <c r="H539" s="1822"/>
      <c r="I539" s="1822"/>
      <c r="J539" s="1822"/>
      <c r="K539" s="1822"/>
      <c r="L539" s="1822"/>
      <c r="M539" s="1822"/>
      <c r="N539" s="1827"/>
      <c r="AC539" s="537" t="s">
        <v>8525</v>
      </c>
    </row>
    <row r="540" spans="1:29" s="536" customFormat="1" ht="33.75" x14ac:dyDescent="0.2">
      <c r="A540" s="609"/>
      <c r="B540" s="552" t="s">
        <v>310</v>
      </c>
      <c r="C540" s="1822" t="s">
        <v>311</v>
      </c>
      <c r="D540" s="1822"/>
      <c r="E540" s="1822"/>
      <c r="F540" s="1822"/>
      <c r="G540" s="1822"/>
      <c r="H540" s="1822"/>
      <c r="I540" s="1822"/>
      <c r="J540" s="1822"/>
      <c r="K540" s="1822"/>
      <c r="L540" s="1822"/>
      <c r="M540" s="1822"/>
      <c r="N540" s="1827"/>
      <c r="X540" s="537" t="s">
        <v>311</v>
      </c>
    </row>
    <row r="541" spans="1:29" s="536" customFormat="1" x14ac:dyDescent="0.2">
      <c r="A541" s="605"/>
      <c r="B541" s="552" t="s">
        <v>185</v>
      </c>
      <c r="C541" s="1822" t="s">
        <v>312</v>
      </c>
      <c r="D541" s="1822"/>
      <c r="E541" s="1822"/>
      <c r="F541" s="562"/>
      <c r="G541" s="562"/>
      <c r="H541" s="562"/>
      <c r="I541" s="562"/>
      <c r="J541" s="604">
        <v>26.51</v>
      </c>
      <c r="K541" s="562" t="s">
        <v>313</v>
      </c>
      <c r="L541" s="604">
        <v>67.930000000000007</v>
      </c>
      <c r="M541" s="603"/>
      <c r="N541" s="602"/>
      <c r="Y541" s="537" t="s">
        <v>312</v>
      </c>
    </row>
    <row r="542" spans="1:29" s="536" customFormat="1" x14ac:dyDescent="0.2">
      <c r="A542" s="605"/>
      <c r="B542" s="552" t="s">
        <v>186</v>
      </c>
      <c r="C542" s="1822" t="s">
        <v>344</v>
      </c>
      <c r="D542" s="1822"/>
      <c r="E542" s="1822"/>
      <c r="F542" s="562"/>
      <c r="G542" s="562"/>
      <c r="H542" s="562"/>
      <c r="I542" s="562"/>
      <c r="J542" s="604">
        <v>1.81</v>
      </c>
      <c r="K542" s="562" t="s">
        <v>313</v>
      </c>
      <c r="L542" s="604">
        <v>4.6399999999999997</v>
      </c>
      <c r="M542" s="603"/>
      <c r="N542" s="602"/>
      <c r="Y542" s="537" t="s">
        <v>344</v>
      </c>
    </row>
    <row r="543" spans="1:29" s="536" customFormat="1" x14ac:dyDescent="0.2">
      <c r="A543" s="605"/>
      <c r="B543" s="552" t="s">
        <v>187</v>
      </c>
      <c r="C543" s="1822" t="s">
        <v>345</v>
      </c>
      <c r="D543" s="1822"/>
      <c r="E543" s="1822"/>
      <c r="F543" s="562"/>
      <c r="G543" s="562"/>
      <c r="H543" s="562"/>
      <c r="I543" s="562"/>
      <c r="J543" s="604">
        <v>0.26</v>
      </c>
      <c r="K543" s="562" t="s">
        <v>313</v>
      </c>
      <c r="L543" s="604">
        <v>0.67</v>
      </c>
      <c r="M543" s="603"/>
      <c r="N543" s="602"/>
      <c r="Y543" s="537" t="s">
        <v>345</v>
      </c>
    </row>
    <row r="544" spans="1:29" s="536" customFormat="1" x14ac:dyDescent="0.2">
      <c r="A544" s="605"/>
      <c r="B544" s="552" t="s">
        <v>188</v>
      </c>
      <c r="C544" s="1822" t="s">
        <v>475</v>
      </c>
      <c r="D544" s="1822"/>
      <c r="E544" s="1822"/>
      <c r="F544" s="562"/>
      <c r="G544" s="562"/>
      <c r="H544" s="562"/>
      <c r="I544" s="562"/>
      <c r="J544" s="604">
        <v>10.27</v>
      </c>
      <c r="K544" s="562"/>
      <c r="L544" s="604">
        <v>21.05</v>
      </c>
      <c r="M544" s="603"/>
      <c r="N544" s="602"/>
      <c r="Y544" s="537" t="s">
        <v>475</v>
      </c>
    </row>
    <row r="545" spans="1:29" s="536" customFormat="1" x14ac:dyDescent="0.2">
      <c r="A545" s="605"/>
      <c r="B545" s="552"/>
      <c r="C545" s="1822" t="s">
        <v>314</v>
      </c>
      <c r="D545" s="1822"/>
      <c r="E545" s="1822"/>
      <c r="F545" s="562" t="s">
        <v>315</v>
      </c>
      <c r="G545" s="562" t="s">
        <v>3096</v>
      </c>
      <c r="H545" s="562" t="s">
        <v>313</v>
      </c>
      <c r="I545" s="562" t="s">
        <v>8526</v>
      </c>
      <c r="J545" s="604"/>
      <c r="K545" s="562"/>
      <c r="L545" s="604"/>
      <c r="M545" s="603"/>
      <c r="N545" s="602"/>
      <c r="Z545" s="537" t="s">
        <v>314</v>
      </c>
    </row>
    <row r="546" spans="1:29" s="536" customFormat="1" x14ac:dyDescent="0.2">
      <c r="A546" s="605"/>
      <c r="B546" s="552"/>
      <c r="C546" s="1822" t="s">
        <v>348</v>
      </c>
      <c r="D546" s="1822"/>
      <c r="E546" s="1822"/>
      <c r="F546" s="562" t="s">
        <v>315</v>
      </c>
      <c r="G546" s="562" t="s">
        <v>695</v>
      </c>
      <c r="H546" s="562" t="s">
        <v>313</v>
      </c>
      <c r="I546" s="562" t="s">
        <v>8527</v>
      </c>
      <c r="J546" s="604"/>
      <c r="K546" s="562"/>
      <c r="L546" s="604"/>
      <c r="M546" s="603"/>
      <c r="N546" s="602"/>
      <c r="Z546" s="537" t="s">
        <v>348</v>
      </c>
    </row>
    <row r="547" spans="1:29" s="536" customFormat="1" x14ac:dyDescent="0.2">
      <c r="A547" s="605"/>
      <c r="B547" s="552"/>
      <c r="C547" s="1828" t="s">
        <v>318</v>
      </c>
      <c r="D547" s="1828"/>
      <c r="E547" s="1828"/>
      <c r="F547" s="608"/>
      <c r="G547" s="608"/>
      <c r="H547" s="608"/>
      <c r="I547" s="608"/>
      <c r="J547" s="607">
        <v>38.590000000000003</v>
      </c>
      <c r="K547" s="608"/>
      <c r="L547" s="607">
        <v>93.62</v>
      </c>
      <c r="M547" s="601"/>
      <c r="N547" s="606"/>
      <c r="AA547" s="537" t="s">
        <v>318</v>
      </c>
    </row>
    <row r="548" spans="1:29" s="536" customFormat="1" x14ac:dyDescent="0.2">
      <c r="A548" s="605"/>
      <c r="B548" s="552"/>
      <c r="C548" s="1822" t="s">
        <v>319</v>
      </c>
      <c r="D548" s="1822"/>
      <c r="E548" s="1822"/>
      <c r="F548" s="562"/>
      <c r="G548" s="562"/>
      <c r="H548" s="562"/>
      <c r="I548" s="562"/>
      <c r="J548" s="604"/>
      <c r="K548" s="562"/>
      <c r="L548" s="604">
        <v>68.599999999999994</v>
      </c>
      <c r="M548" s="603"/>
      <c r="N548" s="602"/>
      <c r="Z548" s="537" t="s">
        <v>319</v>
      </c>
    </row>
    <row r="549" spans="1:29" s="536" customFormat="1" ht="33.75" x14ac:dyDescent="0.2">
      <c r="A549" s="605"/>
      <c r="B549" s="552" t="s">
        <v>1631</v>
      </c>
      <c r="C549" s="1822" t="s">
        <v>1632</v>
      </c>
      <c r="D549" s="1822"/>
      <c r="E549" s="1822"/>
      <c r="F549" s="562" t="s">
        <v>322</v>
      </c>
      <c r="G549" s="562" t="s">
        <v>1633</v>
      </c>
      <c r="H549" s="562"/>
      <c r="I549" s="562" t="s">
        <v>1633</v>
      </c>
      <c r="J549" s="604"/>
      <c r="K549" s="562"/>
      <c r="L549" s="604">
        <v>66.540000000000006</v>
      </c>
      <c r="M549" s="603"/>
      <c r="N549" s="602"/>
      <c r="Z549" s="537" t="s">
        <v>1632</v>
      </c>
    </row>
    <row r="550" spans="1:29" s="536" customFormat="1" ht="33.75" x14ac:dyDescent="0.2">
      <c r="A550" s="605"/>
      <c r="B550" s="552" t="s">
        <v>1634</v>
      </c>
      <c r="C550" s="1822" t="s">
        <v>1635</v>
      </c>
      <c r="D550" s="1822"/>
      <c r="E550" s="1822"/>
      <c r="F550" s="562" t="s">
        <v>322</v>
      </c>
      <c r="G550" s="562" t="s">
        <v>786</v>
      </c>
      <c r="H550" s="562"/>
      <c r="I550" s="562" t="s">
        <v>786</v>
      </c>
      <c r="J550" s="604"/>
      <c r="K550" s="562"/>
      <c r="L550" s="604">
        <v>34.99</v>
      </c>
      <c r="M550" s="603"/>
      <c r="N550" s="602"/>
      <c r="Z550" s="537" t="s">
        <v>1635</v>
      </c>
    </row>
    <row r="551" spans="1:29" s="536" customFormat="1" x14ac:dyDescent="0.2">
      <c r="A551" s="569"/>
      <c r="B551" s="671"/>
      <c r="C551" s="1823" t="s">
        <v>327</v>
      </c>
      <c r="D551" s="1823"/>
      <c r="E551" s="1823"/>
      <c r="F551" s="573"/>
      <c r="G551" s="573"/>
      <c r="H551" s="573"/>
      <c r="I551" s="573"/>
      <c r="J551" s="572"/>
      <c r="K551" s="573"/>
      <c r="L551" s="572">
        <v>195.15</v>
      </c>
      <c r="M551" s="601"/>
      <c r="N551" s="570"/>
      <c r="AB551" s="537" t="s">
        <v>327</v>
      </c>
    </row>
    <row r="552" spans="1:29" s="536" customFormat="1" ht="33.75" x14ac:dyDescent="0.2">
      <c r="A552" s="575" t="s">
        <v>2359</v>
      </c>
      <c r="B552" s="670" t="s">
        <v>3099</v>
      </c>
      <c r="C552" s="1823" t="s">
        <v>8528</v>
      </c>
      <c r="D552" s="1823"/>
      <c r="E552" s="1823"/>
      <c r="F552" s="573" t="s">
        <v>1110</v>
      </c>
      <c r="G552" s="573"/>
      <c r="H552" s="573"/>
      <c r="I552" s="573" t="s">
        <v>196</v>
      </c>
      <c r="J552" s="572"/>
      <c r="K552" s="573"/>
      <c r="L552" s="572"/>
      <c r="M552" s="571"/>
      <c r="N552" s="570"/>
      <c r="W552" s="537" t="s">
        <v>8528</v>
      </c>
    </row>
    <row r="553" spans="1:29" s="536" customFormat="1" x14ac:dyDescent="0.2">
      <c r="A553" s="676"/>
      <c r="B553" s="664"/>
      <c r="C553" s="1822" t="s">
        <v>8529</v>
      </c>
      <c r="D553" s="1822"/>
      <c r="E553" s="1822"/>
      <c r="F553" s="1822"/>
      <c r="G553" s="1822"/>
      <c r="H553" s="1822"/>
      <c r="I553" s="1822"/>
      <c r="J553" s="1822"/>
      <c r="K553" s="1822"/>
      <c r="L553" s="1822"/>
      <c r="M553" s="1822"/>
      <c r="N553" s="1827"/>
      <c r="AC553" s="537" t="s">
        <v>8529</v>
      </c>
    </row>
    <row r="554" spans="1:29" s="536" customFormat="1" ht="33.75" x14ac:dyDescent="0.2">
      <c r="A554" s="609"/>
      <c r="B554" s="552" t="s">
        <v>310</v>
      </c>
      <c r="C554" s="1822" t="s">
        <v>311</v>
      </c>
      <c r="D554" s="1822"/>
      <c r="E554" s="1822"/>
      <c r="F554" s="1822"/>
      <c r="G554" s="1822"/>
      <c r="H554" s="1822"/>
      <c r="I554" s="1822"/>
      <c r="J554" s="1822"/>
      <c r="K554" s="1822"/>
      <c r="L554" s="1822"/>
      <c r="M554" s="1822"/>
      <c r="N554" s="1827"/>
      <c r="X554" s="537" t="s">
        <v>311</v>
      </c>
    </row>
    <row r="555" spans="1:29" s="536" customFormat="1" x14ac:dyDescent="0.2">
      <c r="A555" s="605"/>
      <c r="B555" s="552" t="s">
        <v>185</v>
      </c>
      <c r="C555" s="1822" t="s">
        <v>312</v>
      </c>
      <c r="D555" s="1822"/>
      <c r="E555" s="1822"/>
      <c r="F555" s="562"/>
      <c r="G555" s="562"/>
      <c r="H555" s="562"/>
      <c r="I555" s="562"/>
      <c r="J555" s="604">
        <v>93.25</v>
      </c>
      <c r="K555" s="562" t="s">
        <v>313</v>
      </c>
      <c r="L555" s="604">
        <v>1398.75</v>
      </c>
      <c r="M555" s="603"/>
      <c r="N555" s="602"/>
      <c r="Y555" s="537" t="s">
        <v>312</v>
      </c>
    </row>
    <row r="556" spans="1:29" s="536" customFormat="1" x14ac:dyDescent="0.2">
      <c r="A556" s="605"/>
      <c r="B556" s="552" t="s">
        <v>186</v>
      </c>
      <c r="C556" s="1822" t="s">
        <v>344</v>
      </c>
      <c r="D556" s="1822"/>
      <c r="E556" s="1822"/>
      <c r="F556" s="562"/>
      <c r="G556" s="562"/>
      <c r="H556" s="562"/>
      <c r="I556" s="562"/>
      <c r="J556" s="604">
        <v>46.25</v>
      </c>
      <c r="K556" s="562" t="s">
        <v>313</v>
      </c>
      <c r="L556" s="604">
        <v>693.75</v>
      </c>
      <c r="M556" s="603"/>
      <c r="N556" s="602"/>
      <c r="Y556" s="537" t="s">
        <v>344</v>
      </c>
    </row>
    <row r="557" spans="1:29" s="536" customFormat="1" x14ac:dyDescent="0.2">
      <c r="A557" s="605"/>
      <c r="B557" s="552" t="s">
        <v>187</v>
      </c>
      <c r="C557" s="1822" t="s">
        <v>345</v>
      </c>
      <c r="D557" s="1822"/>
      <c r="E557" s="1822"/>
      <c r="F557" s="562"/>
      <c r="G557" s="562"/>
      <c r="H557" s="562"/>
      <c r="I557" s="562"/>
      <c r="J557" s="604">
        <v>5.0199999999999996</v>
      </c>
      <c r="K557" s="562" t="s">
        <v>313</v>
      </c>
      <c r="L557" s="604">
        <v>75.3</v>
      </c>
      <c r="M557" s="603"/>
      <c r="N557" s="602"/>
      <c r="Y557" s="537" t="s">
        <v>345</v>
      </c>
    </row>
    <row r="558" spans="1:29" s="536" customFormat="1" x14ac:dyDescent="0.2">
      <c r="A558" s="605"/>
      <c r="B558" s="552" t="s">
        <v>188</v>
      </c>
      <c r="C558" s="1822" t="s">
        <v>475</v>
      </c>
      <c r="D558" s="1822"/>
      <c r="E558" s="1822"/>
      <c r="F558" s="562"/>
      <c r="G558" s="562"/>
      <c r="H558" s="562"/>
      <c r="I558" s="562"/>
      <c r="J558" s="604">
        <v>37.03</v>
      </c>
      <c r="K558" s="562"/>
      <c r="L558" s="604">
        <v>444.36</v>
      </c>
      <c r="M558" s="603"/>
      <c r="N558" s="602"/>
      <c r="Y558" s="537" t="s">
        <v>475</v>
      </c>
    </row>
    <row r="559" spans="1:29" s="536" customFormat="1" x14ac:dyDescent="0.2">
      <c r="A559" s="605"/>
      <c r="B559" s="552"/>
      <c r="C559" s="1822" t="s">
        <v>314</v>
      </c>
      <c r="D559" s="1822"/>
      <c r="E559" s="1822"/>
      <c r="F559" s="562" t="s">
        <v>315</v>
      </c>
      <c r="G559" s="562" t="s">
        <v>3101</v>
      </c>
      <c r="H559" s="562" t="s">
        <v>313</v>
      </c>
      <c r="I559" s="562" t="s">
        <v>8530</v>
      </c>
      <c r="J559" s="604"/>
      <c r="K559" s="562"/>
      <c r="L559" s="604"/>
      <c r="M559" s="603"/>
      <c r="N559" s="602"/>
      <c r="Z559" s="537" t="s">
        <v>314</v>
      </c>
    </row>
    <row r="560" spans="1:29" s="536" customFormat="1" x14ac:dyDescent="0.2">
      <c r="A560" s="605"/>
      <c r="B560" s="552"/>
      <c r="C560" s="1822" t="s">
        <v>348</v>
      </c>
      <c r="D560" s="1822"/>
      <c r="E560" s="1822"/>
      <c r="F560" s="562" t="s">
        <v>315</v>
      </c>
      <c r="G560" s="562" t="s">
        <v>947</v>
      </c>
      <c r="H560" s="562" t="s">
        <v>313</v>
      </c>
      <c r="I560" s="562" t="s">
        <v>190</v>
      </c>
      <c r="J560" s="604"/>
      <c r="K560" s="562"/>
      <c r="L560" s="604"/>
      <c r="M560" s="603"/>
      <c r="N560" s="602"/>
      <c r="Z560" s="537" t="s">
        <v>348</v>
      </c>
    </row>
    <row r="561" spans="1:29" s="536" customFormat="1" x14ac:dyDescent="0.2">
      <c r="A561" s="605"/>
      <c r="B561" s="552"/>
      <c r="C561" s="1828" t="s">
        <v>318</v>
      </c>
      <c r="D561" s="1828"/>
      <c r="E561" s="1828"/>
      <c r="F561" s="608"/>
      <c r="G561" s="608"/>
      <c r="H561" s="608"/>
      <c r="I561" s="608"/>
      <c r="J561" s="607">
        <v>176.53</v>
      </c>
      <c r="K561" s="608"/>
      <c r="L561" s="607">
        <v>2536.86</v>
      </c>
      <c r="M561" s="601"/>
      <c r="N561" s="606"/>
      <c r="AA561" s="537" t="s">
        <v>318</v>
      </c>
    </row>
    <row r="562" spans="1:29" s="536" customFormat="1" x14ac:dyDescent="0.2">
      <c r="A562" s="605"/>
      <c r="B562" s="552"/>
      <c r="C562" s="1822" t="s">
        <v>319</v>
      </c>
      <c r="D562" s="1822"/>
      <c r="E562" s="1822"/>
      <c r="F562" s="562"/>
      <c r="G562" s="562"/>
      <c r="H562" s="562"/>
      <c r="I562" s="562"/>
      <c r="J562" s="604"/>
      <c r="K562" s="562"/>
      <c r="L562" s="604">
        <v>1474.05</v>
      </c>
      <c r="M562" s="603"/>
      <c r="N562" s="602"/>
      <c r="Z562" s="537" t="s">
        <v>319</v>
      </c>
    </row>
    <row r="563" spans="1:29" s="536" customFormat="1" ht="33.75" x14ac:dyDescent="0.2">
      <c r="A563" s="605"/>
      <c r="B563" s="552" t="s">
        <v>1631</v>
      </c>
      <c r="C563" s="1822" t="s">
        <v>1632</v>
      </c>
      <c r="D563" s="1822"/>
      <c r="E563" s="1822"/>
      <c r="F563" s="562" t="s">
        <v>322</v>
      </c>
      <c r="G563" s="562" t="s">
        <v>1633</v>
      </c>
      <c r="H563" s="562"/>
      <c r="I563" s="562" t="s">
        <v>1633</v>
      </c>
      <c r="J563" s="604"/>
      <c r="K563" s="562"/>
      <c r="L563" s="604">
        <v>1429.83</v>
      </c>
      <c r="M563" s="603"/>
      <c r="N563" s="602"/>
      <c r="Z563" s="537" t="s">
        <v>1632</v>
      </c>
    </row>
    <row r="564" spans="1:29" s="536" customFormat="1" ht="33.75" x14ac:dyDescent="0.2">
      <c r="A564" s="605"/>
      <c r="B564" s="552" t="s">
        <v>1634</v>
      </c>
      <c r="C564" s="1822" t="s">
        <v>1635</v>
      </c>
      <c r="D564" s="1822"/>
      <c r="E564" s="1822"/>
      <c r="F564" s="562" t="s">
        <v>322</v>
      </c>
      <c r="G564" s="562" t="s">
        <v>786</v>
      </c>
      <c r="H564" s="562"/>
      <c r="I564" s="562" t="s">
        <v>786</v>
      </c>
      <c r="J564" s="604"/>
      <c r="K564" s="562"/>
      <c r="L564" s="604">
        <v>751.77</v>
      </c>
      <c r="M564" s="603"/>
      <c r="N564" s="602"/>
      <c r="Z564" s="537" t="s">
        <v>1635</v>
      </c>
    </row>
    <row r="565" spans="1:29" s="536" customFormat="1" x14ac:dyDescent="0.2">
      <c r="A565" s="569"/>
      <c r="B565" s="671"/>
      <c r="C565" s="1823" t="s">
        <v>327</v>
      </c>
      <c r="D565" s="1823"/>
      <c r="E565" s="1823"/>
      <c r="F565" s="573"/>
      <c r="G565" s="573"/>
      <c r="H565" s="573"/>
      <c r="I565" s="573"/>
      <c r="J565" s="572"/>
      <c r="K565" s="573"/>
      <c r="L565" s="572">
        <v>4718.46</v>
      </c>
      <c r="M565" s="601"/>
      <c r="N565" s="570"/>
      <c r="AB565" s="537" t="s">
        <v>327</v>
      </c>
    </row>
    <row r="566" spans="1:29" s="536" customFormat="1" ht="33.75" x14ac:dyDescent="0.2">
      <c r="A566" s="575" t="s">
        <v>2363</v>
      </c>
      <c r="B566" s="670" t="s">
        <v>8531</v>
      </c>
      <c r="C566" s="1823" t="s">
        <v>8532</v>
      </c>
      <c r="D566" s="1823"/>
      <c r="E566" s="1823"/>
      <c r="F566" s="573" t="s">
        <v>483</v>
      </c>
      <c r="G566" s="573"/>
      <c r="H566" s="573"/>
      <c r="I566" s="573" t="s">
        <v>8533</v>
      </c>
      <c r="J566" s="572">
        <v>36.54</v>
      </c>
      <c r="K566" s="573" t="s">
        <v>716</v>
      </c>
      <c r="L566" s="572">
        <v>5940.02</v>
      </c>
      <c r="M566" s="571">
        <v>8.32</v>
      </c>
      <c r="N566" s="570">
        <v>49421</v>
      </c>
      <c r="W566" s="537" t="s">
        <v>8532</v>
      </c>
    </row>
    <row r="567" spans="1:29" s="536" customFormat="1" x14ac:dyDescent="0.2">
      <c r="A567" s="569"/>
      <c r="B567" s="671"/>
      <c r="C567" s="665" t="s">
        <v>1658</v>
      </c>
      <c r="D567" s="666"/>
      <c r="E567" s="666"/>
      <c r="F567" s="563"/>
      <c r="G567" s="563"/>
      <c r="H567" s="563"/>
      <c r="I567" s="563"/>
      <c r="J567" s="566"/>
      <c r="K567" s="563"/>
      <c r="L567" s="566"/>
      <c r="M567" s="565"/>
      <c r="N567" s="564"/>
    </row>
    <row r="568" spans="1:29" s="536" customFormat="1" x14ac:dyDescent="0.2">
      <c r="A568" s="676"/>
      <c r="B568" s="664"/>
      <c r="C568" s="1822" t="s">
        <v>8534</v>
      </c>
      <c r="D568" s="1822"/>
      <c r="E568" s="1822"/>
      <c r="F568" s="1822"/>
      <c r="G568" s="1822"/>
      <c r="H568" s="1822"/>
      <c r="I568" s="1822"/>
      <c r="J568" s="1822"/>
      <c r="K568" s="1822"/>
      <c r="L568" s="1822"/>
      <c r="M568" s="1822"/>
      <c r="N568" s="1827"/>
      <c r="AC568" s="537" t="s">
        <v>8534</v>
      </c>
    </row>
    <row r="569" spans="1:29" s="536" customFormat="1" ht="22.5" x14ac:dyDescent="0.2">
      <c r="A569" s="609"/>
      <c r="B569" s="552" t="s">
        <v>718</v>
      </c>
      <c r="C569" s="1822" t="s">
        <v>719</v>
      </c>
      <c r="D569" s="1822"/>
      <c r="E569" s="1822"/>
      <c r="F569" s="1822"/>
      <c r="G569" s="1822"/>
      <c r="H569" s="1822"/>
      <c r="I569" s="1822"/>
      <c r="J569" s="1822"/>
      <c r="K569" s="1822"/>
      <c r="L569" s="1822"/>
      <c r="M569" s="1822"/>
      <c r="N569" s="1827"/>
      <c r="X569" s="537" t="s">
        <v>719</v>
      </c>
    </row>
    <row r="570" spans="1:29" s="536" customFormat="1" ht="33.75" x14ac:dyDescent="0.2">
      <c r="A570" s="575" t="s">
        <v>2368</v>
      </c>
      <c r="B570" s="670" t="s">
        <v>8535</v>
      </c>
      <c r="C570" s="1823" t="s">
        <v>8536</v>
      </c>
      <c r="D570" s="1823"/>
      <c r="E570" s="1823"/>
      <c r="F570" s="573" t="s">
        <v>483</v>
      </c>
      <c r="G570" s="573"/>
      <c r="H570" s="573"/>
      <c r="I570" s="573" t="s">
        <v>2336</v>
      </c>
      <c r="J570" s="572">
        <v>23.03</v>
      </c>
      <c r="K570" s="573" t="s">
        <v>716</v>
      </c>
      <c r="L570" s="572">
        <v>57.57</v>
      </c>
      <c r="M570" s="571">
        <v>8.32</v>
      </c>
      <c r="N570" s="570">
        <v>479</v>
      </c>
      <c r="W570" s="537" t="s">
        <v>8536</v>
      </c>
    </row>
    <row r="571" spans="1:29" s="536" customFormat="1" x14ac:dyDescent="0.2">
      <c r="A571" s="569"/>
      <c r="B571" s="671"/>
      <c r="C571" s="665" t="s">
        <v>1658</v>
      </c>
      <c r="D571" s="666"/>
      <c r="E571" s="666"/>
      <c r="F571" s="563"/>
      <c r="G571" s="563"/>
      <c r="H571" s="563"/>
      <c r="I571" s="563"/>
      <c r="J571" s="566"/>
      <c r="K571" s="563"/>
      <c r="L571" s="566"/>
      <c r="M571" s="565"/>
      <c r="N571" s="564"/>
    </row>
    <row r="572" spans="1:29" s="536" customFormat="1" x14ac:dyDescent="0.2">
      <c r="A572" s="676"/>
      <c r="B572" s="664"/>
      <c r="C572" s="1822" t="s">
        <v>2337</v>
      </c>
      <c r="D572" s="1822"/>
      <c r="E572" s="1822"/>
      <c r="F572" s="1822"/>
      <c r="G572" s="1822"/>
      <c r="H572" s="1822"/>
      <c r="I572" s="1822"/>
      <c r="J572" s="1822"/>
      <c r="K572" s="1822"/>
      <c r="L572" s="1822"/>
      <c r="M572" s="1822"/>
      <c r="N572" s="1827"/>
      <c r="AC572" s="537" t="s">
        <v>2337</v>
      </c>
    </row>
    <row r="573" spans="1:29" s="536" customFormat="1" ht="22.5" x14ac:dyDescent="0.2">
      <c r="A573" s="609"/>
      <c r="B573" s="552" t="s">
        <v>718</v>
      </c>
      <c r="C573" s="1822" t="s">
        <v>719</v>
      </c>
      <c r="D573" s="1822"/>
      <c r="E573" s="1822"/>
      <c r="F573" s="1822"/>
      <c r="G573" s="1822"/>
      <c r="H573" s="1822"/>
      <c r="I573" s="1822"/>
      <c r="J573" s="1822"/>
      <c r="K573" s="1822"/>
      <c r="L573" s="1822"/>
      <c r="M573" s="1822"/>
      <c r="N573" s="1827"/>
      <c r="X573" s="537" t="s">
        <v>719</v>
      </c>
    </row>
    <row r="574" spans="1:29" s="536" customFormat="1" ht="22.5" x14ac:dyDescent="0.2">
      <c r="A574" s="575" t="s">
        <v>2373</v>
      </c>
      <c r="B574" s="670" t="s">
        <v>8537</v>
      </c>
      <c r="C574" s="1823" t="s">
        <v>8538</v>
      </c>
      <c r="D574" s="1823"/>
      <c r="E574" s="1823"/>
      <c r="F574" s="573" t="s">
        <v>1687</v>
      </c>
      <c r="G574" s="573"/>
      <c r="H574" s="573"/>
      <c r="I574" s="573" t="s">
        <v>8539</v>
      </c>
      <c r="J574" s="572">
        <v>3647.76</v>
      </c>
      <c r="K574" s="573"/>
      <c r="L574" s="572">
        <v>241.85</v>
      </c>
      <c r="M574" s="571"/>
      <c r="N574" s="570"/>
      <c r="W574" s="537" t="s">
        <v>8538</v>
      </c>
    </row>
    <row r="575" spans="1:29" s="536" customFormat="1" x14ac:dyDescent="0.2">
      <c r="A575" s="569"/>
      <c r="B575" s="671"/>
      <c r="C575" s="665" t="s">
        <v>1658</v>
      </c>
      <c r="D575" s="666"/>
      <c r="E575" s="666"/>
      <c r="F575" s="563"/>
      <c r="G575" s="563"/>
      <c r="H575" s="563"/>
      <c r="I575" s="563"/>
      <c r="J575" s="566"/>
      <c r="K575" s="563"/>
      <c r="L575" s="566"/>
      <c r="M575" s="565"/>
      <c r="N575" s="564"/>
    </row>
    <row r="576" spans="1:29" s="536" customFormat="1" x14ac:dyDescent="0.2">
      <c r="A576" s="676"/>
      <c r="B576" s="664"/>
      <c r="C576" s="1822" t="s">
        <v>8540</v>
      </c>
      <c r="D576" s="1822"/>
      <c r="E576" s="1822"/>
      <c r="F576" s="1822"/>
      <c r="G576" s="1822"/>
      <c r="H576" s="1822"/>
      <c r="I576" s="1822"/>
      <c r="J576" s="1822"/>
      <c r="K576" s="1822"/>
      <c r="L576" s="1822"/>
      <c r="M576" s="1822"/>
      <c r="N576" s="1827"/>
      <c r="AC576" s="537" t="s">
        <v>8540</v>
      </c>
    </row>
    <row r="577" spans="1:29" s="536" customFormat="1" ht="33.75" x14ac:dyDescent="0.2">
      <c r="A577" s="575" t="s">
        <v>1540</v>
      </c>
      <c r="B577" s="670" t="s">
        <v>8541</v>
      </c>
      <c r="C577" s="1823" t="s">
        <v>8542</v>
      </c>
      <c r="D577" s="1823"/>
      <c r="E577" s="1823"/>
      <c r="F577" s="573" t="s">
        <v>483</v>
      </c>
      <c r="G577" s="573"/>
      <c r="H577" s="573"/>
      <c r="I577" s="573" t="s">
        <v>2336</v>
      </c>
      <c r="J577" s="572">
        <v>88.49</v>
      </c>
      <c r="K577" s="573" t="s">
        <v>716</v>
      </c>
      <c r="L577" s="572">
        <v>221.27</v>
      </c>
      <c r="M577" s="571">
        <v>8.32</v>
      </c>
      <c r="N577" s="570">
        <v>1841</v>
      </c>
      <c r="W577" s="537" t="s">
        <v>8542</v>
      </c>
    </row>
    <row r="578" spans="1:29" s="536" customFormat="1" x14ac:dyDescent="0.2">
      <c r="A578" s="569"/>
      <c r="B578" s="671"/>
      <c r="C578" s="665" t="s">
        <v>1658</v>
      </c>
      <c r="D578" s="666"/>
      <c r="E578" s="666"/>
      <c r="F578" s="563"/>
      <c r="G578" s="563"/>
      <c r="H578" s="563"/>
      <c r="I578" s="563"/>
      <c r="J578" s="566"/>
      <c r="K578" s="563"/>
      <c r="L578" s="566"/>
      <c r="M578" s="565"/>
      <c r="N578" s="564"/>
    </row>
    <row r="579" spans="1:29" s="536" customFormat="1" x14ac:dyDescent="0.2">
      <c r="A579" s="676"/>
      <c r="B579" s="664"/>
      <c r="C579" s="1822" t="s">
        <v>2337</v>
      </c>
      <c r="D579" s="1822"/>
      <c r="E579" s="1822"/>
      <c r="F579" s="1822"/>
      <c r="G579" s="1822"/>
      <c r="H579" s="1822"/>
      <c r="I579" s="1822"/>
      <c r="J579" s="1822"/>
      <c r="K579" s="1822"/>
      <c r="L579" s="1822"/>
      <c r="M579" s="1822"/>
      <c r="N579" s="1827"/>
      <c r="AC579" s="537" t="s">
        <v>2337</v>
      </c>
    </row>
    <row r="580" spans="1:29" s="536" customFormat="1" ht="22.5" x14ac:dyDescent="0.2">
      <c r="A580" s="609"/>
      <c r="B580" s="552" t="s">
        <v>718</v>
      </c>
      <c r="C580" s="1822" t="s">
        <v>719</v>
      </c>
      <c r="D580" s="1822"/>
      <c r="E580" s="1822"/>
      <c r="F580" s="1822"/>
      <c r="G580" s="1822"/>
      <c r="H580" s="1822"/>
      <c r="I580" s="1822"/>
      <c r="J580" s="1822"/>
      <c r="K580" s="1822"/>
      <c r="L580" s="1822"/>
      <c r="M580" s="1822"/>
      <c r="N580" s="1827"/>
      <c r="X580" s="537" t="s">
        <v>719</v>
      </c>
    </row>
    <row r="581" spans="1:29" s="536" customFormat="1" ht="33.75" x14ac:dyDescent="0.2">
      <c r="A581" s="575" t="s">
        <v>968</v>
      </c>
      <c r="B581" s="670" t="s">
        <v>3160</v>
      </c>
      <c r="C581" s="1823" t="s">
        <v>3161</v>
      </c>
      <c r="D581" s="1823"/>
      <c r="E581" s="1823"/>
      <c r="F581" s="573" t="s">
        <v>617</v>
      </c>
      <c r="G581" s="573"/>
      <c r="H581" s="573"/>
      <c r="I581" s="573" t="s">
        <v>8543</v>
      </c>
      <c r="J581" s="572"/>
      <c r="K581" s="573"/>
      <c r="L581" s="572"/>
      <c r="M581" s="571"/>
      <c r="N581" s="570"/>
      <c r="W581" s="537" t="s">
        <v>3161</v>
      </c>
    </row>
    <row r="582" spans="1:29" s="536" customFormat="1" x14ac:dyDescent="0.2">
      <c r="A582" s="676"/>
      <c r="B582" s="664"/>
      <c r="C582" s="1822" t="s">
        <v>8544</v>
      </c>
      <c r="D582" s="1822"/>
      <c r="E582" s="1822"/>
      <c r="F582" s="1822"/>
      <c r="G582" s="1822"/>
      <c r="H582" s="1822"/>
      <c r="I582" s="1822"/>
      <c r="J582" s="1822"/>
      <c r="K582" s="1822"/>
      <c r="L582" s="1822"/>
      <c r="M582" s="1822"/>
      <c r="N582" s="1827"/>
      <c r="AC582" s="537" t="s">
        <v>8544</v>
      </c>
    </row>
    <row r="583" spans="1:29" s="536" customFormat="1" ht="33.75" x14ac:dyDescent="0.2">
      <c r="A583" s="609"/>
      <c r="B583" s="552" t="s">
        <v>310</v>
      </c>
      <c r="C583" s="1822" t="s">
        <v>311</v>
      </c>
      <c r="D583" s="1822"/>
      <c r="E583" s="1822"/>
      <c r="F583" s="1822"/>
      <c r="G583" s="1822"/>
      <c r="H583" s="1822"/>
      <c r="I583" s="1822"/>
      <c r="J583" s="1822"/>
      <c r="K583" s="1822"/>
      <c r="L583" s="1822"/>
      <c r="M583" s="1822"/>
      <c r="N583" s="1827"/>
      <c r="X583" s="537" t="s">
        <v>311</v>
      </c>
    </row>
    <row r="584" spans="1:29" s="536" customFormat="1" x14ac:dyDescent="0.2">
      <c r="A584" s="605"/>
      <c r="B584" s="552" t="s">
        <v>185</v>
      </c>
      <c r="C584" s="1822" t="s">
        <v>312</v>
      </c>
      <c r="D584" s="1822"/>
      <c r="E584" s="1822"/>
      <c r="F584" s="562"/>
      <c r="G584" s="562"/>
      <c r="H584" s="562"/>
      <c r="I584" s="562"/>
      <c r="J584" s="604">
        <v>2.0699999999999998</v>
      </c>
      <c r="K584" s="562" t="s">
        <v>313</v>
      </c>
      <c r="L584" s="604">
        <v>372.6</v>
      </c>
      <c r="M584" s="603"/>
      <c r="N584" s="602"/>
      <c r="Y584" s="537" t="s">
        <v>312</v>
      </c>
    </row>
    <row r="585" spans="1:29" s="536" customFormat="1" x14ac:dyDescent="0.2">
      <c r="A585" s="605"/>
      <c r="B585" s="552" t="s">
        <v>188</v>
      </c>
      <c r="C585" s="1822" t="s">
        <v>475</v>
      </c>
      <c r="D585" s="1822"/>
      <c r="E585" s="1822"/>
      <c r="F585" s="562"/>
      <c r="G585" s="562"/>
      <c r="H585" s="562"/>
      <c r="I585" s="562"/>
      <c r="J585" s="604">
        <v>0.04</v>
      </c>
      <c r="K585" s="562"/>
      <c r="L585" s="604">
        <v>5.76</v>
      </c>
      <c r="M585" s="603"/>
      <c r="N585" s="602"/>
      <c r="Y585" s="537" t="s">
        <v>475</v>
      </c>
    </row>
    <row r="586" spans="1:29" s="536" customFormat="1" x14ac:dyDescent="0.2">
      <c r="A586" s="605"/>
      <c r="B586" s="552"/>
      <c r="C586" s="1822" t="s">
        <v>314</v>
      </c>
      <c r="D586" s="1822"/>
      <c r="E586" s="1822"/>
      <c r="F586" s="562" t="s">
        <v>315</v>
      </c>
      <c r="G586" s="562" t="s">
        <v>2440</v>
      </c>
      <c r="H586" s="562" t="s">
        <v>313</v>
      </c>
      <c r="I586" s="562" t="s">
        <v>8545</v>
      </c>
      <c r="J586" s="604"/>
      <c r="K586" s="562"/>
      <c r="L586" s="604"/>
      <c r="M586" s="603"/>
      <c r="N586" s="602"/>
      <c r="Z586" s="537" t="s">
        <v>314</v>
      </c>
    </row>
    <row r="587" spans="1:29" s="536" customFormat="1" x14ac:dyDescent="0.2">
      <c r="A587" s="605"/>
      <c r="B587" s="552"/>
      <c r="C587" s="1828" t="s">
        <v>318</v>
      </c>
      <c r="D587" s="1828"/>
      <c r="E587" s="1828"/>
      <c r="F587" s="608"/>
      <c r="G587" s="608"/>
      <c r="H587" s="608"/>
      <c r="I587" s="608"/>
      <c r="J587" s="607">
        <v>2.11</v>
      </c>
      <c r="K587" s="608"/>
      <c r="L587" s="607">
        <v>378.36</v>
      </c>
      <c r="M587" s="601"/>
      <c r="N587" s="606"/>
      <c r="AA587" s="537" t="s">
        <v>318</v>
      </c>
    </row>
    <row r="588" spans="1:29" s="536" customFormat="1" x14ac:dyDescent="0.2">
      <c r="A588" s="605"/>
      <c r="B588" s="552"/>
      <c r="C588" s="1822" t="s">
        <v>319</v>
      </c>
      <c r="D588" s="1822"/>
      <c r="E588" s="1822"/>
      <c r="F588" s="562"/>
      <c r="G588" s="562"/>
      <c r="H588" s="562"/>
      <c r="I588" s="562"/>
      <c r="J588" s="604"/>
      <c r="K588" s="562"/>
      <c r="L588" s="604">
        <v>372.6</v>
      </c>
      <c r="M588" s="603"/>
      <c r="N588" s="602"/>
      <c r="Z588" s="537" t="s">
        <v>319</v>
      </c>
    </row>
    <row r="589" spans="1:29" s="536" customFormat="1" ht="33.75" x14ac:dyDescent="0.2">
      <c r="A589" s="605"/>
      <c r="B589" s="552" t="s">
        <v>948</v>
      </c>
      <c r="C589" s="1822" t="s">
        <v>949</v>
      </c>
      <c r="D589" s="1822"/>
      <c r="E589" s="1822"/>
      <c r="F589" s="562" t="s">
        <v>322</v>
      </c>
      <c r="G589" s="562" t="s">
        <v>886</v>
      </c>
      <c r="H589" s="562"/>
      <c r="I589" s="562" t="s">
        <v>886</v>
      </c>
      <c r="J589" s="604"/>
      <c r="K589" s="562"/>
      <c r="L589" s="604">
        <v>335.34</v>
      </c>
      <c r="M589" s="603"/>
      <c r="N589" s="602"/>
      <c r="Z589" s="537" t="s">
        <v>949</v>
      </c>
    </row>
    <row r="590" spans="1:29" s="536" customFormat="1" ht="33.75" x14ac:dyDescent="0.2">
      <c r="A590" s="605"/>
      <c r="B590" s="552" t="s">
        <v>950</v>
      </c>
      <c r="C590" s="1822" t="s">
        <v>951</v>
      </c>
      <c r="D590" s="1822"/>
      <c r="E590" s="1822"/>
      <c r="F590" s="562" t="s">
        <v>322</v>
      </c>
      <c r="G590" s="562" t="s">
        <v>465</v>
      </c>
      <c r="H590" s="562"/>
      <c r="I590" s="562" t="s">
        <v>465</v>
      </c>
      <c r="J590" s="604"/>
      <c r="K590" s="562"/>
      <c r="L590" s="604">
        <v>171.4</v>
      </c>
      <c r="M590" s="603"/>
      <c r="N590" s="602"/>
      <c r="Z590" s="537" t="s">
        <v>951</v>
      </c>
    </row>
    <row r="591" spans="1:29" s="536" customFormat="1" x14ac:dyDescent="0.2">
      <c r="A591" s="569"/>
      <c r="B591" s="671"/>
      <c r="C591" s="1823" t="s">
        <v>327</v>
      </c>
      <c r="D591" s="1823"/>
      <c r="E591" s="1823"/>
      <c r="F591" s="573"/>
      <c r="G591" s="573"/>
      <c r="H591" s="573"/>
      <c r="I591" s="573"/>
      <c r="J591" s="572"/>
      <c r="K591" s="573"/>
      <c r="L591" s="572">
        <v>885.1</v>
      </c>
      <c r="M591" s="601"/>
      <c r="N591" s="570"/>
      <c r="AB591" s="537" t="s">
        <v>327</v>
      </c>
    </row>
    <row r="592" spans="1:29" s="536" customFormat="1" ht="33.75" x14ac:dyDescent="0.2">
      <c r="A592" s="575" t="s">
        <v>2385</v>
      </c>
      <c r="B592" s="670" t="s">
        <v>8352</v>
      </c>
      <c r="C592" s="1823" t="s">
        <v>8353</v>
      </c>
      <c r="D592" s="1823"/>
      <c r="E592" s="1823"/>
      <c r="F592" s="573" t="s">
        <v>628</v>
      </c>
      <c r="G592" s="573"/>
      <c r="H592" s="573"/>
      <c r="I592" s="573" t="s">
        <v>757</v>
      </c>
      <c r="J592" s="572">
        <v>482.62</v>
      </c>
      <c r="K592" s="573" t="s">
        <v>716</v>
      </c>
      <c r="L592" s="572">
        <v>1420.07</v>
      </c>
      <c r="M592" s="571">
        <v>8.32</v>
      </c>
      <c r="N592" s="570">
        <v>11815</v>
      </c>
      <c r="W592" s="537" t="s">
        <v>8353</v>
      </c>
    </row>
    <row r="593" spans="1:29" s="536" customFormat="1" x14ac:dyDescent="0.2">
      <c r="A593" s="569"/>
      <c r="B593" s="671"/>
      <c r="C593" s="665" t="s">
        <v>1658</v>
      </c>
      <c r="D593" s="666"/>
      <c r="E593" s="666"/>
      <c r="F593" s="563"/>
      <c r="G593" s="563"/>
      <c r="H593" s="563"/>
      <c r="I593" s="563"/>
      <c r="J593" s="566"/>
      <c r="K593" s="563"/>
      <c r="L593" s="566"/>
      <c r="M593" s="565"/>
      <c r="N593" s="564"/>
    </row>
    <row r="594" spans="1:29" s="536" customFormat="1" ht="22.5" x14ac:dyDescent="0.2">
      <c r="A594" s="609"/>
      <c r="B594" s="552" t="s">
        <v>718</v>
      </c>
      <c r="C594" s="1822" t="s">
        <v>719</v>
      </c>
      <c r="D594" s="1822"/>
      <c r="E594" s="1822"/>
      <c r="F594" s="1822"/>
      <c r="G594" s="1822"/>
      <c r="H594" s="1822"/>
      <c r="I594" s="1822"/>
      <c r="J594" s="1822"/>
      <c r="K594" s="1822"/>
      <c r="L594" s="1822"/>
      <c r="M594" s="1822"/>
      <c r="N594" s="1827"/>
      <c r="X594" s="537" t="s">
        <v>719</v>
      </c>
    </row>
    <row r="595" spans="1:29" s="536" customFormat="1" ht="33.75" x14ac:dyDescent="0.2">
      <c r="A595" s="575" t="s">
        <v>2389</v>
      </c>
      <c r="B595" s="670" t="s">
        <v>8354</v>
      </c>
      <c r="C595" s="1823" t="s">
        <v>8355</v>
      </c>
      <c r="D595" s="1823"/>
      <c r="E595" s="1823"/>
      <c r="F595" s="573" t="s">
        <v>628</v>
      </c>
      <c r="G595" s="573"/>
      <c r="H595" s="573"/>
      <c r="I595" s="573" t="s">
        <v>757</v>
      </c>
      <c r="J595" s="572">
        <v>445.77</v>
      </c>
      <c r="K595" s="573" t="s">
        <v>716</v>
      </c>
      <c r="L595" s="572">
        <v>1311.54</v>
      </c>
      <c r="M595" s="571">
        <v>8.32</v>
      </c>
      <c r="N595" s="570">
        <v>10912</v>
      </c>
      <c r="W595" s="537" t="s">
        <v>8355</v>
      </c>
    </row>
    <row r="596" spans="1:29" s="536" customFormat="1" x14ac:dyDescent="0.2">
      <c r="A596" s="569"/>
      <c r="B596" s="671"/>
      <c r="C596" s="665" t="s">
        <v>1658</v>
      </c>
      <c r="D596" s="666"/>
      <c r="E596" s="666"/>
      <c r="F596" s="563"/>
      <c r="G596" s="563"/>
      <c r="H596" s="563"/>
      <c r="I596" s="563"/>
      <c r="J596" s="566"/>
      <c r="K596" s="563"/>
      <c r="L596" s="566"/>
      <c r="M596" s="565"/>
      <c r="N596" s="564"/>
    </row>
    <row r="597" spans="1:29" s="536" customFormat="1" ht="22.5" x14ac:dyDescent="0.2">
      <c r="A597" s="609"/>
      <c r="B597" s="552" t="s">
        <v>718</v>
      </c>
      <c r="C597" s="1822" t="s">
        <v>719</v>
      </c>
      <c r="D597" s="1822"/>
      <c r="E597" s="1822"/>
      <c r="F597" s="1822"/>
      <c r="G597" s="1822"/>
      <c r="H597" s="1822"/>
      <c r="I597" s="1822"/>
      <c r="J597" s="1822"/>
      <c r="K597" s="1822"/>
      <c r="L597" s="1822"/>
      <c r="M597" s="1822"/>
      <c r="N597" s="1827"/>
      <c r="X597" s="537" t="s">
        <v>719</v>
      </c>
    </row>
    <row r="598" spans="1:29" s="536" customFormat="1" ht="33.75" x14ac:dyDescent="0.2">
      <c r="A598" s="575" t="s">
        <v>1746</v>
      </c>
      <c r="B598" s="670" t="s">
        <v>3177</v>
      </c>
      <c r="C598" s="1823" t="s">
        <v>3169</v>
      </c>
      <c r="D598" s="1823"/>
      <c r="E598" s="1823"/>
      <c r="F598" s="573" t="s">
        <v>628</v>
      </c>
      <c r="G598" s="573"/>
      <c r="H598" s="573"/>
      <c r="I598" s="573" t="s">
        <v>757</v>
      </c>
      <c r="J598" s="572">
        <v>171.14</v>
      </c>
      <c r="K598" s="573" t="s">
        <v>716</v>
      </c>
      <c r="L598" s="572">
        <v>503.61</v>
      </c>
      <c r="M598" s="571">
        <v>8.32</v>
      </c>
      <c r="N598" s="570">
        <v>4190</v>
      </c>
      <c r="W598" s="537" t="s">
        <v>3169</v>
      </c>
    </row>
    <row r="599" spans="1:29" s="536" customFormat="1" x14ac:dyDescent="0.2">
      <c r="A599" s="569"/>
      <c r="B599" s="671"/>
      <c r="C599" s="665" t="s">
        <v>1658</v>
      </c>
      <c r="D599" s="666"/>
      <c r="E599" s="666"/>
      <c r="F599" s="563"/>
      <c r="G599" s="563"/>
      <c r="H599" s="563"/>
      <c r="I599" s="563"/>
      <c r="J599" s="566"/>
      <c r="K599" s="563"/>
      <c r="L599" s="566"/>
      <c r="M599" s="565"/>
      <c r="N599" s="564"/>
    </row>
    <row r="600" spans="1:29" s="536" customFormat="1" ht="22.5" x14ac:dyDescent="0.2">
      <c r="A600" s="609"/>
      <c r="B600" s="552" t="s">
        <v>718</v>
      </c>
      <c r="C600" s="1822" t="s">
        <v>719</v>
      </c>
      <c r="D600" s="1822"/>
      <c r="E600" s="1822"/>
      <c r="F600" s="1822"/>
      <c r="G600" s="1822"/>
      <c r="H600" s="1822"/>
      <c r="I600" s="1822"/>
      <c r="J600" s="1822"/>
      <c r="K600" s="1822"/>
      <c r="L600" s="1822"/>
      <c r="M600" s="1822"/>
      <c r="N600" s="1827"/>
      <c r="X600" s="537" t="s">
        <v>719</v>
      </c>
    </row>
    <row r="601" spans="1:29" s="536" customFormat="1" ht="22.5" x14ac:dyDescent="0.2">
      <c r="A601" s="575" t="s">
        <v>2398</v>
      </c>
      <c r="B601" s="670" t="s">
        <v>8357</v>
      </c>
      <c r="C601" s="1823" t="s">
        <v>8546</v>
      </c>
      <c r="D601" s="1823"/>
      <c r="E601" s="1823"/>
      <c r="F601" s="573" t="s">
        <v>307</v>
      </c>
      <c r="G601" s="573"/>
      <c r="H601" s="573"/>
      <c r="I601" s="573" t="s">
        <v>3178</v>
      </c>
      <c r="J601" s="572">
        <v>343.28</v>
      </c>
      <c r="K601" s="573"/>
      <c r="L601" s="572">
        <v>370.74</v>
      </c>
      <c r="M601" s="571"/>
      <c r="N601" s="570"/>
      <c r="W601" s="537" t="s">
        <v>8546</v>
      </c>
    </row>
    <row r="602" spans="1:29" s="536" customFormat="1" x14ac:dyDescent="0.2">
      <c r="A602" s="569"/>
      <c r="B602" s="671"/>
      <c r="C602" s="665" t="s">
        <v>1658</v>
      </c>
      <c r="D602" s="666"/>
      <c r="E602" s="666"/>
      <c r="F602" s="563"/>
      <c r="G602" s="563"/>
      <c r="H602" s="563"/>
      <c r="I602" s="563"/>
      <c r="J602" s="566"/>
      <c r="K602" s="563"/>
      <c r="L602" s="566"/>
      <c r="M602" s="565"/>
      <c r="N602" s="564"/>
    </row>
    <row r="603" spans="1:29" s="536" customFormat="1" x14ac:dyDescent="0.2">
      <c r="A603" s="676"/>
      <c r="B603" s="664"/>
      <c r="C603" s="1822" t="s">
        <v>8547</v>
      </c>
      <c r="D603" s="1822"/>
      <c r="E603" s="1822"/>
      <c r="F603" s="1822"/>
      <c r="G603" s="1822"/>
      <c r="H603" s="1822"/>
      <c r="I603" s="1822"/>
      <c r="J603" s="1822"/>
      <c r="K603" s="1822"/>
      <c r="L603" s="1822"/>
      <c r="M603" s="1822"/>
      <c r="N603" s="1827"/>
      <c r="AC603" s="537" t="s">
        <v>8547</v>
      </c>
    </row>
    <row r="604" spans="1:29" s="536" customFormat="1" x14ac:dyDescent="0.2">
      <c r="A604" s="575" t="s">
        <v>969</v>
      </c>
      <c r="B604" s="670" t="s">
        <v>1690</v>
      </c>
      <c r="C604" s="1823" t="s">
        <v>1691</v>
      </c>
      <c r="D604" s="1823"/>
      <c r="E604" s="1823"/>
      <c r="F604" s="573" t="s">
        <v>617</v>
      </c>
      <c r="G604" s="573"/>
      <c r="H604" s="573"/>
      <c r="I604" s="573" t="s">
        <v>189</v>
      </c>
      <c r="J604" s="572"/>
      <c r="K604" s="573"/>
      <c r="L604" s="572"/>
      <c r="M604" s="571"/>
      <c r="N604" s="570"/>
      <c r="W604" s="537" t="s">
        <v>1691</v>
      </c>
    </row>
    <row r="605" spans="1:29" s="536" customFormat="1" x14ac:dyDescent="0.2">
      <c r="A605" s="676"/>
      <c r="B605" s="664"/>
      <c r="C605" s="1822" t="s">
        <v>8548</v>
      </c>
      <c r="D605" s="1822"/>
      <c r="E605" s="1822"/>
      <c r="F605" s="1822"/>
      <c r="G605" s="1822"/>
      <c r="H605" s="1822"/>
      <c r="I605" s="1822"/>
      <c r="J605" s="1822"/>
      <c r="K605" s="1822"/>
      <c r="L605" s="1822"/>
      <c r="M605" s="1822"/>
      <c r="N605" s="1827"/>
      <c r="AC605" s="537" t="s">
        <v>8548</v>
      </c>
    </row>
    <row r="606" spans="1:29" s="536" customFormat="1" ht="33.75" x14ac:dyDescent="0.2">
      <c r="A606" s="609"/>
      <c r="B606" s="552" t="s">
        <v>310</v>
      </c>
      <c r="C606" s="1822" t="s">
        <v>311</v>
      </c>
      <c r="D606" s="1822"/>
      <c r="E606" s="1822"/>
      <c r="F606" s="1822"/>
      <c r="G606" s="1822"/>
      <c r="H606" s="1822"/>
      <c r="I606" s="1822"/>
      <c r="J606" s="1822"/>
      <c r="K606" s="1822"/>
      <c r="L606" s="1822"/>
      <c r="M606" s="1822"/>
      <c r="N606" s="1827"/>
      <c r="X606" s="537" t="s">
        <v>311</v>
      </c>
    </row>
    <row r="607" spans="1:29" s="536" customFormat="1" x14ac:dyDescent="0.2">
      <c r="A607" s="605"/>
      <c r="B607" s="552" t="s">
        <v>185</v>
      </c>
      <c r="C607" s="1822" t="s">
        <v>312</v>
      </c>
      <c r="D607" s="1822"/>
      <c r="E607" s="1822"/>
      <c r="F607" s="562"/>
      <c r="G607" s="562"/>
      <c r="H607" s="562"/>
      <c r="I607" s="562"/>
      <c r="J607" s="604">
        <v>4.88</v>
      </c>
      <c r="K607" s="562" t="s">
        <v>313</v>
      </c>
      <c r="L607" s="604">
        <v>30.5</v>
      </c>
      <c r="M607" s="603"/>
      <c r="N607" s="602"/>
      <c r="Y607" s="537" t="s">
        <v>312</v>
      </c>
    </row>
    <row r="608" spans="1:29" s="536" customFormat="1" x14ac:dyDescent="0.2">
      <c r="A608" s="605"/>
      <c r="B608" s="552" t="s">
        <v>188</v>
      </c>
      <c r="C608" s="1822" t="s">
        <v>475</v>
      </c>
      <c r="D608" s="1822"/>
      <c r="E608" s="1822"/>
      <c r="F608" s="562"/>
      <c r="G608" s="562"/>
      <c r="H608" s="562"/>
      <c r="I608" s="562"/>
      <c r="J608" s="604">
        <v>0.41</v>
      </c>
      <c r="K608" s="562"/>
      <c r="L608" s="604">
        <v>2.0499999999999998</v>
      </c>
      <c r="M608" s="603"/>
      <c r="N608" s="602"/>
      <c r="Y608" s="537" t="s">
        <v>475</v>
      </c>
    </row>
    <row r="609" spans="1:29" s="536" customFormat="1" x14ac:dyDescent="0.2">
      <c r="A609" s="605"/>
      <c r="B609" s="552"/>
      <c r="C609" s="1822" t="s">
        <v>314</v>
      </c>
      <c r="D609" s="1822"/>
      <c r="E609" s="1822"/>
      <c r="F609" s="562" t="s">
        <v>315</v>
      </c>
      <c r="G609" s="562" t="s">
        <v>1692</v>
      </c>
      <c r="H609" s="562" t="s">
        <v>313</v>
      </c>
      <c r="I609" s="562" t="s">
        <v>8549</v>
      </c>
      <c r="J609" s="604"/>
      <c r="K609" s="562"/>
      <c r="L609" s="604"/>
      <c r="M609" s="603"/>
      <c r="N609" s="602"/>
      <c r="Z609" s="537" t="s">
        <v>314</v>
      </c>
    </row>
    <row r="610" spans="1:29" s="536" customFormat="1" x14ac:dyDescent="0.2">
      <c r="A610" s="605"/>
      <c r="B610" s="552"/>
      <c r="C610" s="1828" t="s">
        <v>318</v>
      </c>
      <c r="D610" s="1828"/>
      <c r="E610" s="1828"/>
      <c r="F610" s="608"/>
      <c r="G610" s="608"/>
      <c r="H610" s="608"/>
      <c r="I610" s="608"/>
      <c r="J610" s="607">
        <v>5.29</v>
      </c>
      <c r="K610" s="608"/>
      <c r="L610" s="607">
        <v>32.549999999999997</v>
      </c>
      <c r="M610" s="601"/>
      <c r="N610" s="606"/>
      <c r="AA610" s="537" t="s">
        <v>318</v>
      </c>
    </row>
    <row r="611" spans="1:29" s="536" customFormat="1" x14ac:dyDescent="0.2">
      <c r="A611" s="605"/>
      <c r="B611" s="552"/>
      <c r="C611" s="1822" t="s">
        <v>319</v>
      </c>
      <c r="D611" s="1822"/>
      <c r="E611" s="1822"/>
      <c r="F611" s="562"/>
      <c r="G611" s="562"/>
      <c r="H611" s="562"/>
      <c r="I611" s="562"/>
      <c r="J611" s="604"/>
      <c r="K611" s="562"/>
      <c r="L611" s="604">
        <v>30.5</v>
      </c>
      <c r="M611" s="603"/>
      <c r="N611" s="602"/>
      <c r="Z611" s="537" t="s">
        <v>319</v>
      </c>
    </row>
    <row r="612" spans="1:29" s="536" customFormat="1" ht="33.75" x14ac:dyDescent="0.2">
      <c r="A612" s="605"/>
      <c r="B612" s="552" t="s">
        <v>884</v>
      </c>
      <c r="C612" s="1822" t="s">
        <v>885</v>
      </c>
      <c r="D612" s="1822"/>
      <c r="E612" s="1822"/>
      <c r="F612" s="562" t="s">
        <v>322</v>
      </c>
      <c r="G612" s="562" t="s">
        <v>886</v>
      </c>
      <c r="H612" s="562"/>
      <c r="I612" s="562" t="s">
        <v>886</v>
      </c>
      <c r="J612" s="604"/>
      <c r="K612" s="562"/>
      <c r="L612" s="604">
        <v>27.45</v>
      </c>
      <c r="M612" s="603"/>
      <c r="N612" s="602"/>
      <c r="Z612" s="537" t="s">
        <v>885</v>
      </c>
    </row>
    <row r="613" spans="1:29" s="536" customFormat="1" ht="33.75" x14ac:dyDescent="0.2">
      <c r="A613" s="605"/>
      <c r="B613" s="552" t="s">
        <v>887</v>
      </c>
      <c r="C613" s="1822" t="s">
        <v>888</v>
      </c>
      <c r="D613" s="1822"/>
      <c r="E613" s="1822"/>
      <c r="F613" s="562" t="s">
        <v>322</v>
      </c>
      <c r="G613" s="562" t="s">
        <v>465</v>
      </c>
      <c r="H613" s="562"/>
      <c r="I613" s="562" t="s">
        <v>465</v>
      </c>
      <c r="J613" s="604"/>
      <c r="K613" s="562"/>
      <c r="L613" s="604">
        <v>14.03</v>
      </c>
      <c r="M613" s="603"/>
      <c r="N613" s="602"/>
      <c r="Z613" s="537" t="s">
        <v>888</v>
      </c>
    </row>
    <row r="614" spans="1:29" s="536" customFormat="1" x14ac:dyDescent="0.2">
      <c r="A614" s="569"/>
      <c r="B614" s="671"/>
      <c r="C614" s="1823" t="s">
        <v>327</v>
      </c>
      <c r="D614" s="1823"/>
      <c r="E614" s="1823"/>
      <c r="F614" s="573"/>
      <c r="G614" s="573"/>
      <c r="H614" s="573"/>
      <c r="I614" s="573"/>
      <c r="J614" s="572"/>
      <c r="K614" s="573"/>
      <c r="L614" s="572">
        <v>74.03</v>
      </c>
      <c r="M614" s="601"/>
      <c r="N614" s="570"/>
      <c r="AB614" s="537" t="s">
        <v>327</v>
      </c>
    </row>
    <row r="615" spans="1:29" s="536" customFormat="1" ht="33.75" x14ac:dyDescent="0.2">
      <c r="A615" s="575" t="s">
        <v>2403</v>
      </c>
      <c r="B615" s="670" t="s">
        <v>8550</v>
      </c>
      <c r="C615" s="1823" t="s">
        <v>8551</v>
      </c>
      <c r="D615" s="1823"/>
      <c r="E615" s="1823"/>
      <c r="F615" s="573" t="s">
        <v>617</v>
      </c>
      <c r="G615" s="573"/>
      <c r="H615" s="573"/>
      <c r="I615" s="573" t="s">
        <v>186</v>
      </c>
      <c r="J615" s="572">
        <v>172.04</v>
      </c>
      <c r="K615" s="573" t="s">
        <v>716</v>
      </c>
      <c r="L615" s="572">
        <v>42.19</v>
      </c>
      <c r="M615" s="571">
        <v>8.32</v>
      </c>
      <c r="N615" s="570">
        <v>351</v>
      </c>
      <c r="W615" s="537" t="s">
        <v>8551</v>
      </c>
    </row>
    <row r="616" spans="1:29" s="536" customFormat="1" x14ac:dyDescent="0.2">
      <c r="A616" s="569"/>
      <c r="B616" s="671"/>
      <c r="C616" s="665" t="s">
        <v>1658</v>
      </c>
      <c r="D616" s="666"/>
      <c r="E616" s="666"/>
      <c r="F616" s="563"/>
      <c r="G616" s="563"/>
      <c r="H616" s="563"/>
      <c r="I616" s="563"/>
      <c r="J616" s="566"/>
      <c r="K616" s="563"/>
      <c r="L616" s="566"/>
      <c r="M616" s="565"/>
      <c r="N616" s="564"/>
    </row>
    <row r="617" spans="1:29" s="536" customFormat="1" ht="22.5" x14ac:dyDescent="0.2">
      <c r="A617" s="609"/>
      <c r="B617" s="552" t="s">
        <v>718</v>
      </c>
      <c r="C617" s="1822" t="s">
        <v>719</v>
      </c>
      <c r="D617" s="1822"/>
      <c r="E617" s="1822"/>
      <c r="F617" s="1822"/>
      <c r="G617" s="1822"/>
      <c r="H617" s="1822"/>
      <c r="I617" s="1822"/>
      <c r="J617" s="1822"/>
      <c r="K617" s="1822"/>
      <c r="L617" s="1822"/>
      <c r="M617" s="1822"/>
      <c r="N617" s="1827"/>
      <c r="X617" s="537" t="s">
        <v>719</v>
      </c>
    </row>
    <row r="618" spans="1:29" s="536" customFormat="1" ht="33.75" x14ac:dyDescent="0.2">
      <c r="A618" s="575" t="s">
        <v>2408</v>
      </c>
      <c r="B618" s="670" t="s">
        <v>8552</v>
      </c>
      <c r="C618" s="1823" t="s">
        <v>8553</v>
      </c>
      <c r="D618" s="1823"/>
      <c r="E618" s="1823"/>
      <c r="F618" s="573" t="s">
        <v>617</v>
      </c>
      <c r="G618" s="573"/>
      <c r="H618" s="573"/>
      <c r="I618" s="573" t="s">
        <v>187</v>
      </c>
      <c r="J618" s="572">
        <v>2582.92</v>
      </c>
      <c r="K618" s="573" t="s">
        <v>716</v>
      </c>
      <c r="L618" s="572">
        <v>950</v>
      </c>
      <c r="M618" s="571">
        <v>8.32</v>
      </c>
      <c r="N618" s="570">
        <v>7904</v>
      </c>
      <c r="W618" s="537" t="s">
        <v>8553</v>
      </c>
    </row>
    <row r="619" spans="1:29" s="536" customFormat="1" x14ac:dyDescent="0.2">
      <c r="A619" s="569"/>
      <c r="B619" s="671"/>
      <c r="C619" s="665" t="s">
        <v>1658</v>
      </c>
      <c r="D619" s="666"/>
      <c r="E619" s="666"/>
      <c r="F619" s="563"/>
      <c r="G619" s="563"/>
      <c r="H619" s="563"/>
      <c r="I619" s="563"/>
      <c r="J619" s="566"/>
      <c r="K619" s="563"/>
      <c r="L619" s="566"/>
      <c r="M619" s="565"/>
      <c r="N619" s="564"/>
    </row>
    <row r="620" spans="1:29" s="536" customFormat="1" ht="22.5" x14ac:dyDescent="0.2">
      <c r="A620" s="609"/>
      <c r="B620" s="552" t="s">
        <v>718</v>
      </c>
      <c r="C620" s="1822" t="s">
        <v>719</v>
      </c>
      <c r="D620" s="1822"/>
      <c r="E620" s="1822"/>
      <c r="F620" s="1822"/>
      <c r="G620" s="1822"/>
      <c r="H620" s="1822"/>
      <c r="I620" s="1822"/>
      <c r="J620" s="1822"/>
      <c r="K620" s="1822"/>
      <c r="L620" s="1822"/>
      <c r="M620" s="1822"/>
      <c r="N620" s="1827"/>
      <c r="X620" s="537" t="s">
        <v>719</v>
      </c>
    </row>
    <row r="621" spans="1:29" s="536" customFormat="1" ht="33.75" x14ac:dyDescent="0.2">
      <c r="A621" s="575" t="s">
        <v>323</v>
      </c>
      <c r="B621" s="670" t="s">
        <v>3103</v>
      </c>
      <c r="C621" s="1823" t="s">
        <v>3104</v>
      </c>
      <c r="D621" s="1823"/>
      <c r="E621" s="1823"/>
      <c r="F621" s="573" t="s">
        <v>1110</v>
      </c>
      <c r="G621" s="573"/>
      <c r="H621" s="573"/>
      <c r="I621" s="573" t="s">
        <v>856</v>
      </c>
      <c r="J621" s="572"/>
      <c r="K621" s="573"/>
      <c r="L621" s="572"/>
      <c r="M621" s="571"/>
      <c r="N621" s="570"/>
      <c r="W621" s="537" t="s">
        <v>3104</v>
      </c>
    </row>
    <row r="622" spans="1:29" s="536" customFormat="1" x14ac:dyDescent="0.2">
      <c r="A622" s="676"/>
      <c r="B622" s="664"/>
      <c r="C622" s="1822" t="s">
        <v>2317</v>
      </c>
      <c r="D622" s="1822"/>
      <c r="E622" s="1822"/>
      <c r="F622" s="1822"/>
      <c r="G622" s="1822"/>
      <c r="H622" s="1822"/>
      <c r="I622" s="1822"/>
      <c r="J622" s="1822"/>
      <c r="K622" s="1822"/>
      <c r="L622" s="1822"/>
      <c r="M622" s="1822"/>
      <c r="N622" s="1827"/>
      <c r="AC622" s="537" t="s">
        <v>2317</v>
      </c>
    </row>
    <row r="623" spans="1:29" s="536" customFormat="1" ht="33.75" x14ac:dyDescent="0.2">
      <c r="A623" s="609"/>
      <c r="B623" s="552" t="s">
        <v>310</v>
      </c>
      <c r="C623" s="1822" t="s">
        <v>311</v>
      </c>
      <c r="D623" s="1822"/>
      <c r="E623" s="1822"/>
      <c r="F623" s="1822"/>
      <c r="G623" s="1822"/>
      <c r="H623" s="1822"/>
      <c r="I623" s="1822"/>
      <c r="J623" s="1822"/>
      <c r="K623" s="1822"/>
      <c r="L623" s="1822"/>
      <c r="M623" s="1822"/>
      <c r="N623" s="1827"/>
      <c r="X623" s="537" t="s">
        <v>311</v>
      </c>
    </row>
    <row r="624" spans="1:29" s="536" customFormat="1" x14ac:dyDescent="0.2">
      <c r="A624" s="605"/>
      <c r="B624" s="552" t="s">
        <v>185</v>
      </c>
      <c r="C624" s="1822" t="s">
        <v>312</v>
      </c>
      <c r="D624" s="1822"/>
      <c r="E624" s="1822"/>
      <c r="F624" s="562"/>
      <c r="G624" s="562"/>
      <c r="H624" s="562"/>
      <c r="I624" s="562"/>
      <c r="J624" s="604">
        <v>391.79</v>
      </c>
      <c r="K624" s="562" t="s">
        <v>313</v>
      </c>
      <c r="L624" s="604">
        <v>24.49</v>
      </c>
      <c r="M624" s="603"/>
      <c r="N624" s="602"/>
      <c r="Y624" s="537" t="s">
        <v>312</v>
      </c>
    </row>
    <row r="625" spans="1:28" s="536" customFormat="1" x14ac:dyDescent="0.2">
      <c r="A625" s="605"/>
      <c r="B625" s="552" t="s">
        <v>186</v>
      </c>
      <c r="C625" s="1822" t="s">
        <v>344</v>
      </c>
      <c r="D625" s="1822"/>
      <c r="E625" s="1822"/>
      <c r="F625" s="562"/>
      <c r="G625" s="562"/>
      <c r="H625" s="562"/>
      <c r="I625" s="562"/>
      <c r="J625" s="604">
        <v>176.36</v>
      </c>
      <c r="K625" s="562" t="s">
        <v>313</v>
      </c>
      <c r="L625" s="604">
        <v>11.02</v>
      </c>
      <c r="M625" s="603"/>
      <c r="N625" s="602"/>
      <c r="Y625" s="537" t="s">
        <v>344</v>
      </c>
    </row>
    <row r="626" spans="1:28" s="536" customFormat="1" x14ac:dyDescent="0.2">
      <c r="A626" s="605"/>
      <c r="B626" s="552" t="s">
        <v>187</v>
      </c>
      <c r="C626" s="1822" t="s">
        <v>345</v>
      </c>
      <c r="D626" s="1822"/>
      <c r="E626" s="1822"/>
      <c r="F626" s="562"/>
      <c r="G626" s="562"/>
      <c r="H626" s="562"/>
      <c r="I626" s="562"/>
      <c r="J626" s="604">
        <v>18.329999999999998</v>
      </c>
      <c r="K626" s="562" t="s">
        <v>313</v>
      </c>
      <c r="L626" s="604">
        <v>1.1499999999999999</v>
      </c>
      <c r="M626" s="603"/>
      <c r="N626" s="602"/>
      <c r="Y626" s="537" t="s">
        <v>345</v>
      </c>
    </row>
    <row r="627" spans="1:28" s="536" customFormat="1" x14ac:dyDescent="0.2">
      <c r="A627" s="605"/>
      <c r="B627" s="552" t="s">
        <v>188</v>
      </c>
      <c r="C627" s="1822" t="s">
        <v>475</v>
      </c>
      <c r="D627" s="1822"/>
      <c r="E627" s="1822"/>
      <c r="F627" s="562"/>
      <c r="G627" s="562"/>
      <c r="H627" s="562"/>
      <c r="I627" s="562"/>
      <c r="J627" s="604">
        <v>373.17</v>
      </c>
      <c r="K627" s="562"/>
      <c r="L627" s="604">
        <v>18.66</v>
      </c>
      <c r="M627" s="603"/>
      <c r="N627" s="602"/>
      <c r="Y627" s="537" t="s">
        <v>475</v>
      </c>
    </row>
    <row r="628" spans="1:28" s="536" customFormat="1" x14ac:dyDescent="0.2">
      <c r="A628" s="605"/>
      <c r="B628" s="552"/>
      <c r="C628" s="1822" t="s">
        <v>314</v>
      </c>
      <c r="D628" s="1822"/>
      <c r="E628" s="1822"/>
      <c r="F628" s="562" t="s">
        <v>315</v>
      </c>
      <c r="G628" s="562" t="s">
        <v>3105</v>
      </c>
      <c r="H628" s="562" t="s">
        <v>313</v>
      </c>
      <c r="I628" s="562" t="s">
        <v>3106</v>
      </c>
      <c r="J628" s="604"/>
      <c r="K628" s="562"/>
      <c r="L628" s="604"/>
      <c r="M628" s="603"/>
      <c r="N628" s="602"/>
      <c r="Z628" s="537" t="s">
        <v>314</v>
      </c>
    </row>
    <row r="629" spans="1:28" s="536" customFormat="1" x14ac:dyDescent="0.2">
      <c r="A629" s="605"/>
      <c r="B629" s="552"/>
      <c r="C629" s="1822" t="s">
        <v>348</v>
      </c>
      <c r="D629" s="1822"/>
      <c r="E629" s="1822"/>
      <c r="F629" s="562" t="s">
        <v>315</v>
      </c>
      <c r="G629" s="562" t="s">
        <v>3107</v>
      </c>
      <c r="H629" s="562" t="s">
        <v>313</v>
      </c>
      <c r="I629" s="562" t="s">
        <v>3108</v>
      </c>
      <c r="J629" s="604"/>
      <c r="K629" s="562"/>
      <c r="L629" s="604"/>
      <c r="M629" s="603"/>
      <c r="N629" s="602"/>
      <c r="Z629" s="537" t="s">
        <v>348</v>
      </c>
    </row>
    <row r="630" spans="1:28" s="536" customFormat="1" x14ac:dyDescent="0.2">
      <c r="A630" s="605"/>
      <c r="B630" s="552"/>
      <c r="C630" s="1828" t="s">
        <v>318</v>
      </c>
      <c r="D630" s="1828"/>
      <c r="E630" s="1828"/>
      <c r="F630" s="608"/>
      <c r="G630" s="608"/>
      <c r="H630" s="608"/>
      <c r="I630" s="608"/>
      <c r="J630" s="607">
        <v>941.32</v>
      </c>
      <c r="K630" s="608"/>
      <c r="L630" s="607">
        <v>54.17</v>
      </c>
      <c r="M630" s="601"/>
      <c r="N630" s="606"/>
      <c r="AA630" s="537" t="s">
        <v>318</v>
      </c>
    </row>
    <row r="631" spans="1:28" s="536" customFormat="1" x14ac:dyDescent="0.2">
      <c r="A631" s="605"/>
      <c r="B631" s="552"/>
      <c r="C631" s="1822" t="s">
        <v>319</v>
      </c>
      <c r="D631" s="1822"/>
      <c r="E631" s="1822"/>
      <c r="F631" s="562"/>
      <c r="G631" s="562"/>
      <c r="H631" s="562"/>
      <c r="I631" s="562"/>
      <c r="J631" s="604"/>
      <c r="K631" s="562"/>
      <c r="L631" s="604">
        <v>25.64</v>
      </c>
      <c r="M631" s="603"/>
      <c r="N631" s="602"/>
      <c r="Z631" s="537" t="s">
        <v>319</v>
      </c>
    </row>
    <row r="632" spans="1:28" s="536" customFormat="1" ht="33.75" x14ac:dyDescent="0.2">
      <c r="A632" s="605"/>
      <c r="B632" s="552" t="s">
        <v>1631</v>
      </c>
      <c r="C632" s="1822" t="s">
        <v>1632</v>
      </c>
      <c r="D632" s="1822"/>
      <c r="E632" s="1822"/>
      <c r="F632" s="562" t="s">
        <v>322</v>
      </c>
      <c r="G632" s="562" t="s">
        <v>1633</v>
      </c>
      <c r="H632" s="562"/>
      <c r="I632" s="562" t="s">
        <v>1633</v>
      </c>
      <c r="J632" s="604"/>
      <c r="K632" s="562"/>
      <c r="L632" s="604">
        <v>24.87</v>
      </c>
      <c r="M632" s="603"/>
      <c r="N632" s="602"/>
      <c r="Z632" s="537" t="s">
        <v>1632</v>
      </c>
    </row>
    <row r="633" spans="1:28" s="536" customFormat="1" ht="33.75" x14ac:dyDescent="0.2">
      <c r="A633" s="605"/>
      <c r="B633" s="552" t="s">
        <v>1634</v>
      </c>
      <c r="C633" s="1822" t="s">
        <v>1635</v>
      </c>
      <c r="D633" s="1822"/>
      <c r="E633" s="1822"/>
      <c r="F633" s="562" t="s">
        <v>322</v>
      </c>
      <c r="G633" s="562" t="s">
        <v>786</v>
      </c>
      <c r="H633" s="562"/>
      <c r="I633" s="562" t="s">
        <v>786</v>
      </c>
      <c r="J633" s="604"/>
      <c r="K633" s="562"/>
      <c r="L633" s="604">
        <v>13.08</v>
      </c>
      <c r="M633" s="603"/>
      <c r="N633" s="602"/>
      <c r="Z633" s="537" t="s">
        <v>1635</v>
      </c>
    </row>
    <row r="634" spans="1:28" s="536" customFormat="1" x14ac:dyDescent="0.2">
      <c r="A634" s="569"/>
      <c r="B634" s="671"/>
      <c r="C634" s="1823" t="s">
        <v>327</v>
      </c>
      <c r="D634" s="1823"/>
      <c r="E634" s="1823"/>
      <c r="F634" s="573"/>
      <c r="G634" s="573"/>
      <c r="H634" s="573"/>
      <c r="I634" s="573"/>
      <c r="J634" s="572"/>
      <c r="K634" s="573"/>
      <c r="L634" s="572">
        <v>92.12</v>
      </c>
      <c r="M634" s="601"/>
      <c r="N634" s="570"/>
      <c r="AB634" s="537" t="s">
        <v>327</v>
      </c>
    </row>
    <row r="635" spans="1:28" s="536" customFormat="1" ht="45" x14ac:dyDescent="0.2">
      <c r="A635" s="575" t="s">
        <v>886</v>
      </c>
      <c r="B635" s="670" t="s">
        <v>3109</v>
      </c>
      <c r="C635" s="1823" t="s">
        <v>3110</v>
      </c>
      <c r="D635" s="1823"/>
      <c r="E635" s="1823"/>
      <c r="F635" s="573" t="s">
        <v>483</v>
      </c>
      <c r="G635" s="573"/>
      <c r="H635" s="573"/>
      <c r="I635" s="573" t="s">
        <v>189</v>
      </c>
      <c r="J635" s="572">
        <v>39.6</v>
      </c>
      <c r="K635" s="573"/>
      <c r="L635" s="572">
        <v>198</v>
      </c>
      <c r="M635" s="571"/>
      <c r="N635" s="570"/>
      <c r="W635" s="537" t="s">
        <v>3110</v>
      </c>
    </row>
    <row r="636" spans="1:28" s="536" customFormat="1" x14ac:dyDescent="0.2">
      <c r="A636" s="569"/>
      <c r="B636" s="671"/>
      <c r="C636" s="665" t="s">
        <v>1658</v>
      </c>
      <c r="D636" s="666"/>
      <c r="E636" s="666"/>
      <c r="F636" s="563"/>
      <c r="G636" s="563"/>
      <c r="H636" s="563"/>
      <c r="I636" s="563"/>
      <c r="J636" s="566"/>
      <c r="K636" s="563"/>
      <c r="L636" s="566"/>
      <c r="M636" s="565"/>
      <c r="N636" s="564"/>
    </row>
    <row r="637" spans="1:28" s="536" customFormat="1" ht="33.75" x14ac:dyDescent="0.2">
      <c r="A637" s="575" t="s">
        <v>2418</v>
      </c>
      <c r="B637" s="670" t="s">
        <v>1782</v>
      </c>
      <c r="C637" s="1823" t="s">
        <v>1783</v>
      </c>
      <c r="D637" s="1823"/>
      <c r="E637" s="1823"/>
      <c r="F637" s="573" t="s">
        <v>617</v>
      </c>
      <c r="G637" s="573"/>
      <c r="H637" s="573"/>
      <c r="I637" s="573" t="s">
        <v>189</v>
      </c>
      <c r="J637" s="572"/>
      <c r="K637" s="573"/>
      <c r="L637" s="572"/>
      <c r="M637" s="571"/>
      <c r="N637" s="570"/>
      <c r="W637" s="537" t="s">
        <v>1783</v>
      </c>
    </row>
    <row r="638" spans="1:28" s="536" customFormat="1" ht="33.75" x14ac:dyDescent="0.2">
      <c r="A638" s="609"/>
      <c r="B638" s="552" t="s">
        <v>310</v>
      </c>
      <c r="C638" s="1822" t="s">
        <v>311</v>
      </c>
      <c r="D638" s="1822"/>
      <c r="E638" s="1822"/>
      <c r="F638" s="1822"/>
      <c r="G638" s="1822"/>
      <c r="H638" s="1822"/>
      <c r="I638" s="1822"/>
      <c r="J638" s="1822"/>
      <c r="K638" s="1822"/>
      <c r="L638" s="1822"/>
      <c r="M638" s="1822"/>
      <c r="N638" s="1827"/>
      <c r="X638" s="537" t="s">
        <v>311</v>
      </c>
    </row>
    <row r="639" spans="1:28" s="536" customFormat="1" x14ac:dyDescent="0.2">
      <c r="A639" s="605"/>
      <c r="B639" s="552" t="s">
        <v>185</v>
      </c>
      <c r="C639" s="1822" t="s">
        <v>312</v>
      </c>
      <c r="D639" s="1822"/>
      <c r="E639" s="1822"/>
      <c r="F639" s="562"/>
      <c r="G639" s="562"/>
      <c r="H639" s="562"/>
      <c r="I639" s="562"/>
      <c r="J639" s="604">
        <v>3.57</v>
      </c>
      <c r="K639" s="562" t="s">
        <v>313</v>
      </c>
      <c r="L639" s="604">
        <v>22.31</v>
      </c>
      <c r="M639" s="603"/>
      <c r="N639" s="602"/>
      <c r="Y639" s="537" t="s">
        <v>312</v>
      </c>
    </row>
    <row r="640" spans="1:28" s="536" customFormat="1" x14ac:dyDescent="0.2">
      <c r="A640" s="605"/>
      <c r="B640" s="552" t="s">
        <v>188</v>
      </c>
      <c r="C640" s="1822" t="s">
        <v>475</v>
      </c>
      <c r="D640" s="1822"/>
      <c r="E640" s="1822"/>
      <c r="F640" s="562"/>
      <c r="G640" s="562"/>
      <c r="H640" s="562"/>
      <c r="I640" s="562"/>
      <c r="J640" s="604">
        <v>15.07</v>
      </c>
      <c r="K640" s="562"/>
      <c r="L640" s="604">
        <v>0.35</v>
      </c>
      <c r="M640" s="603"/>
      <c r="N640" s="602"/>
      <c r="Y640" s="537" t="s">
        <v>475</v>
      </c>
    </row>
    <row r="641" spans="1:32" s="536" customFormat="1" x14ac:dyDescent="0.2">
      <c r="A641" s="605"/>
      <c r="B641" s="552"/>
      <c r="C641" s="1822" t="s">
        <v>314</v>
      </c>
      <c r="D641" s="1822"/>
      <c r="E641" s="1822"/>
      <c r="F641" s="562" t="s">
        <v>315</v>
      </c>
      <c r="G641" s="562" t="s">
        <v>1785</v>
      </c>
      <c r="H641" s="562" t="s">
        <v>313</v>
      </c>
      <c r="I641" s="562" t="s">
        <v>3102</v>
      </c>
      <c r="J641" s="604"/>
      <c r="K641" s="562"/>
      <c r="L641" s="604"/>
      <c r="M641" s="603"/>
      <c r="N641" s="602"/>
      <c r="Z641" s="537" t="s">
        <v>314</v>
      </c>
    </row>
    <row r="642" spans="1:32" s="536" customFormat="1" x14ac:dyDescent="0.2">
      <c r="A642" s="605"/>
      <c r="B642" s="552"/>
      <c r="C642" s="1828" t="s">
        <v>318</v>
      </c>
      <c r="D642" s="1828"/>
      <c r="E642" s="1828"/>
      <c r="F642" s="608"/>
      <c r="G642" s="608"/>
      <c r="H642" s="608"/>
      <c r="I642" s="608"/>
      <c r="J642" s="607">
        <v>3.64</v>
      </c>
      <c r="K642" s="608"/>
      <c r="L642" s="607">
        <v>22.66</v>
      </c>
      <c r="M642" s="601"/>
      <c r="N642" s="606"/>
      <c r="AA642" s="537" t="s">
        <v>318</v>
      </c>
    </row>
    <row r="643" spans="1:32" s="536" customFormat="1" x14ac:dyDescent="0.2">
      <c r="A643" s="605"/>
      <c r="B643" s="552"/>
      <c r="C643" s="1822" t="s">
        <v>319</v>
      </c>
      <c r="D643" s="1822"/>
      <c r="E643" s="1822"/>
      <c r="F643" s="562"/>
      <c r="G643" s="562"/>
      <c r="H643" s="562"/>
      <c r="I643" s="562"/>
      <c r="J643" s="604"/>
      <c r="K643" s="562"/>
      <c r="L643" s="604">
        <v>22.31</v>
      </c>
      <c r="M643" s="603"/>
      <c r="N643" s="602"/>
      <c r="Z643" s="537" t="s">
        <v>319</v>
      </c>
    </row>
    <row r="644" spans="1:32" s="536" customFormat="1" ht="33.75" x14ac:dyDescent="0.2">
      <c r="A644" s="605"/>
      <c r="B644" s="552" t="s">
        <v>1631</v>
      </c>
      <c r="C644" s="1822" t="s">
        <v>1632</v>
      </c>
      <c r="D644" s="1822"/>
      <c r="E644" s="1822"/>
      <c r="F644" s="562" t="s">
        <v>322</v>
      </c>
      <c r="G644" s="562" t="s">
        <v>1633</v>
      </c>
      <c r="H644" s="562"/>
      <c r="I644" s="562" t="s">
        <v>1633</v>
      </c>
      <c r="J644" s="604"/>
      <c r="K644" s="562"/>
      <c r="L644" s="604">
        <v>21.64</v>
      </c>
      <c r="M644" s="603"/>
      <c r="N644" s="602"/>
      <c r="Z644" s="537" t="s">
        <v>1632</v>
      </c>
    </row>
    <row r="645" spans="1:32" s="536" customFormat="1" ht="33.75" x14ac:dyDescent="0.2">
      <c r="A645" s="605"/>
      <c r="B645" s="552" t="s">
        <v>1634</v>
      </c>
      <c r="C645" s="1822" t="s">
        <v>1635</v>
      </c>
      <c r="D645" s="1822"/>
      <c r="E645" s="1822"/>
      <c r="F645" s="562" t="s">
        <v>322</v>
      </c>
      <c r="G645" s="562" t="s">
        <v>786</v>
      </c>
      <c r="H645" s="562"/>
      <c r="I645" s="562" t="s">
        <v>786</v>
      </c>
      <c r="J645" s="604"/>
      <c r="K645" s="562"/>
      <c r="L645" s="604">
        <v>11.38</v>
      </c>
      <c r="M645" s="603"/>
      <c r="N645" s="602"/>
      <c r="Z645" s="537" t="s">
        <v>1635</v>
      </c>
    </row>
    <row r="646" spans="1:32" s="536" customFormat="1" x14ac:dyDescent="0.2">
      <c r="A646" s="569"/>
      <c r="B646" s="671"/>
      <c r="C646" s="1823" t="s">
        <v>327</v>
      </c>
      <c r="D646" s="1823"/>
      <c r="E646" s="1823"/>
      <c r="F646" s="573"/>
      <c r="G646" s="573"/>
      <c r="H646" s="573"/>
      <c r="I646" s="573"/>
      <c r="J646" s="572"/>
      <c r="K646" s="573"/>
      <c r="L646" s="572">
        <v>55.68</v>
      </c>
      <c r="M646" s="601"/>
      <c r="N646" s="570"/>
      <c r="AB646" s="537" t="s">
        <v>327</v>
      </c>
    </row>
    <row r="647" spans="1:32" s="536" customFormat="1" ht="33.75" x14ac:dyDescent="0.2">
      <c r="A647" s="575" t="s">
        <v>462</v>
      </c>
      <c r="B647" s="670" t="s">
        <v>3111</v>
      </c>
      <c r="C647" s="1823" t="s">
        <v>3112</v>
      </c>
      <c r="D647" s="1823"/>
      <c r="E647" s="1823"/>
      <c r="F647" s="573" t="s">
        <v>617</v>
      </c>
      <c r="G647" s="573"/>
      <c r="H647" s="573"/>
      <c r="I647" s="573" t="s">
        <v>185</v>
      </c>
      <c r="J647" s="572">
        <v>349.25</v>
      </c>
      <c r="K647" s="573" t="s">
        <v>716</v>
      </c>
      <c r="L647" s="572">
        <v>42.79</v>
      </c>
      <c r="M647" s="571">
        <v>8.32</v>
      </c>
      <c r="N647" s="570">
        <v>356</v>
      </c>
      <c r="W647" s="537" t="s">
        <v>3112</v>
      </c>
    </row>
    <row r="648" spans="1:32" s="536" customFormat="1" x14ac:dyDescent="0.2">
      <c r="A648" s="569"/>
      <c r="B648" s="671"/>
      <c r="C648" s="665" t="s">
        <v>1658</v>
      </c>
      <c r="D648" s="666"/>
      <c r="E648" s="666"/>
      <c r="F648" s="563"/>
      <c r="G648" s="563"/>
      <c r="H648" s="563"/>
      <c r="I648" s="563"/>
      <c r="J648" s="566"/>
      <c r="K648" s="563"/>
      <c r="L648" s="566"/>
      <c r="M648" s="565"/>
      <c r="N648" s="564"/>
    </row>
    <row r="649" spans="1:32" s="536" customFormat="1" ht="22.5" x14ac:dyDescent="0.2">
      <c r="A649" s="609"/>
      <c r="B649" s="552" t="s">
        <v>718</v>
      </c>
      <c r="C649" s="1822" t="s">
        <v>719</v>
      </c>
      <c r="D649" s="1822"/>
      <c r="E649" s="1822"/>
      <c r="F649" s="1822"/>
      <c r="G649" s="1822"/>
      <c r="H649" s="1822"/>
      <c r="I649" s="1822"/>
      <c r="J649" s="1822"/>
      <c r="K649" s="1822"/>
      <c r="L649" s="1822"/>
      <c r="M649" s="1822"/>
      <c r="N649" s="1827"/>
      <c r="X649" s="537" t="s">
        <v>719</v>
      </c>
    </row>
    <row r="650" spans="1:32" s="536" customFormat="1" ht="22.5" x14ac:dyDescent="0.2">
      <c r="A650" s="575" t="s">
        <v>650</v>
      </c>
      <c r="B650" s="670" t="s">
        <v>3113</v>
      </c>
      <c r="C650" s="1823" t="s">
        <v>3114</v>
      </c>
      <c r="D650" s="1823"/>
      <c r="E650" s="1823"/>
      <c r="F650" s="573" t="s">
        <v>2278</v>
      </c>
      <c r="G650" s="573"/>
      <c r="H650" s="573"/>
      <c r="I650" s="573" t="s">
        <v>1901</v>
      </c>
      <c r="J650" s="572">
        <v>101.1</v>
      </c>
      <c r="K650" s="573"/>
      <c r="L650" s="572">
        <v>15.17</v>
      </c>
      <c r="M650" s="571"/>
      <c r="N650" s="570"/>
      <c r="W650" s="537" t="s">
        <v>3114</v>
      </c>
    </row>
    <row r="651" spans="1:32" s="536" customFormat="1" x14ac:dyDescent="0.2">
      <c r="A651" s="569"/>
      <c r="B651" s="671"/>
      <c r="C651" s="665" t="s">
        <v>1658</v>
      </c>
      <c r="D651" s="666"/>
      <c r="E651" s="666"/>
      <c r="F651" s="563"/>
      <c r="G651" s="563"/>
      <c r="H651" s="563"/>
      <c r="I651" s="563"/>
      <c r="J651" s="566"/>
      <c r="K651" s="563"/>
      <c r="L651" s="566"/>
      <c r="M651" s="565"/>
      <c r="N651" s="564"/>
    </row>
    <row r="652" spans="1:32" s="536" customFormat="1" x14ac:dyDescent="0.2">
      <c r="A652" s="676"/>
      <c r="B652" s="664"/>
      <c r="C652" s="1822" t="s">
        <v>3115</v>
      </c>
      <c r="D652" s="1822"/>
      <c r="E652" s="1822"/>
      <c r="F652" s="1822"/>
      <c r="G652" s="1822"/>
      <c r="H652" s="1822"/>
      <c r="I652" s="1822"/>
      <c r="J652" s="1822"/>
      <c r="K652" s="1822"/>
      <c r="L652" s="1822"/>
      <c r="M652" s="1822"/>
      <c r="N652" s="1827"/>
      <c r="AC652" s="537" t="s">
        <v>3115</v>
      </c>
    </row>
    <row r="653" spans="1:32" s="536" customFormat="1" ht="1.5" customHeight="1" x14ac:dyDescent="0.2">
      <c r="A653" s="563"/>
      <c r="B653" s="671"/>
      <c r="C653" s="671"/>
      <c r="D653" s="671"/>
      <c r="E653" s="671"/>
      <c r="F653" s="563"/>
      <c r="G653" s="563"/>
      <c r="H653" s="563"/>
      <c r="I653" s="563"/>
      <c r="J653" s="546"/>
      <c r="K653" s="563"/>
      <c r="L653" s="546"/>
      <c r="M653" s="562"/>
      <c r="N653" s="546"/>
    </row>
    <row r="654" spans="1:32" s="536" customFormat="1" ht="2.25" customHeight="1" x14ac:dyDescent="0.2">
      <c r="B654" s="561"/>
      <c r="C654" s="561"/>
      <c r="D654" s="561"/>
      <c r="E654" s="561"/>
      <c r="F654" s="561"/>
      <c r="G654" s="561"/>
      <c r="H654" s="561"/>
      <c r="I654" s="561"/>
      <c r="J654" s="561"/>
      <c r="K654" s="561"/>
      <c r="L654" s="560"/>
      <c r="M654" s="559"/>
      <c r="N654" s="558"/>
    </row>
    <row r="655" spans="1:32" s="536" customFormat="1" x14ac:dyDescent="0.2">
      <c r="A655" s="557"/>
      <c r="B655" s="556"/>
      <c r="C655" s="1823" t="s">
        <v>205</v>
      </c>
      <c r="D655" s="1823"/>
      <c r="E655" s="1823"/>
      <c r="F655" s="1823"/>
      <c r="G655" s="1823"/>
      <c r="H655" s="1823"/>
      <c r="I655" s="1823"/>
      <c r="J655" s="1823"/>
      <c r="K655" s="1823"/>
      <c r="L655" s="555"/>
      <c r="M655" s="554"/>
      <c r="N655" s="553"/>
      <c r="AE655" s="537" t="s">
        <v>205</v>
      </c>
    </row>
    <row r="656" spans="1:32" s="536" customFormat="1" x14ac:dyDescent="0.2">
      <c r="A656" s="548"/>
      <c r="B656" s="552"/>
      <c r="C656" s="1822" t="s">
        <v>403</v>
      </c>
      <c r="D656" s="1822"/>
      <c r="E656" s="1822"/>
      <c r="F656" s="1822"/>
      <c r="G656" s="1822"/>
      <c r="H656" s="1822"/>
      <c r="I656" s="1822"/>
      <c r="J656" s="1822"/>
      <c r="K656" s="1822"/>
      <c r="L656" s="551">
        <v>25347.73</v>
      </c>
      <c r="M656" s="550"/>
      <c r="N656" s="549"/>
      <c r="AF656" s="537" t="s">
        <v>403</v>
      </c>
    </row>
    <row r="657" spans="1:32" s="536" customFormat="1" x14ac:dyDescent="0.2">
      <c r="A657" s="548"/>
      <c r="B657" s="552"/>
      <c r="C657" s="1822" t="s">
        <v>204</v>
      </c>
      <c r="D657" s="1822"/>
      <c r="E657" s="1822"/>
      <c r="F657" s="1822"/>
      <c r="G657" s="1822"/>
      <c r="H657" s="1822"/>
      <c r="I657" s="1822"/>
      <c r="J657" s="1822"/>
      <c r="K657" s="1822"/>
      <c r="L657" s="551"/>
      <c r="M657" s="550"/>
      <c r="N657" s="549"/>
      <c r="AF657" s="537" t="s">
        <v>204</v>
      </c>
    </row>
    <row r="658" spans="1:32" s="536" customFormat="1" x14ac:dyDescent="0.2">
      <c r="A658" s="548"/>
      <c r="B658" s="552"/>
      <c r="C658" s="1822" t="s">
        <v>404</v>
      </c>
      <c r="D658" s="1822"/>
      <c r="E658" s="1822"/>
      <c r="F658" s="1822"/>
      <c r="G658" s="1822"/>
      <c r="H658" s="1822"/>
      <c r="I658" s="1822"/>
      <c r="J658" s="1822"/>
      <c r="K658" s="1822"/>
      <c r="L658" s="551">
        <v>5455.08</v>
      </c>
      <c r="M658" s="550"/>
      <c r="N658" s="549"/>
      <c r="AF658" s="537" t="s">
        <v>404</v>
      </c>
    </row>
    <row r="659" spans="1:32" s="536" customFormat="1" x14ac:dyDescent="0.2">
      <c r="A659" s="548"/>
      <c r="B659" s="552"/>
      <c r="C659" s="1822" t="s">
        <v>405</v>
      </c>
      <c r="D659" s="1822"/>
      <c r="E659" s="1822"/>
      <c r="F659" s="1822"/>
      <c r="G659" s="1822"/>
      <c r="H659" s="1822"/>
      <c r="I659" s="1822"/>
      <c r="J659" s="1822"/>
      <c r="K659" s="1822"/>
      <c r="L659" s="551">
        <v>1407.46</v>
      </c>
      <c r="M659" s="550"/>
      <c r="N659" s="549"/>
      <c r="AF659" s="537" t="s">
        <v>405</v>
      </c>
    </row>
    <row r="660" spans="1:32" s="536" customFormat="1" x14ac:dyDescent="0.2">
      <c r="A660" s="548"/>
      <c r="B660" s="552"/>
      <c r="C660" s="1822" t="s">
        <v>406</v>
      </c>
      <c r="D660" s="1822"/>
      <c r="E660" s="1822"/>
      <c r="F660" s="1822"/>
      <c r="G660" s="1822"/>
      <c r="H660" s="1822"/>
      <c r="I660" s="1822"/>
      <c r="J660" s="1822"/>
      <c r="K660" s="1822"/>
      <c r="L660" s="551">
        <v>155.05000000000001</v>
      </c>
      <c r="M660" s="550"/>
      <c r="N660" s="549"/>
      <c r="AF660" s="537" t="s">
        <v>406</v>
      </c>
    </row>
    <row r="661" spans="1:32" s="536" customFormat="1" x14ac:dyDescent="0.2">
      <c r="A661" s="548"/>
      <c r="B661" s="552"/>
      <c r="C661" s="1822" t="s">
        <v>480</v>
      </c>
      <c r="D661" s="1822"/>
      <c r="E661" s="1822"/>
      <c r="F661" s="1822"/>
      <c r="G661" s="1822"/>
      <c r="H661" s="1822"/>
      <c r="I661" s="1822"/>
      <c r="J661" s="1822"/>
      <c r="K661" s="1822"/>
      <c r="L661" s="551">
        <v>18485.189999999999</v>
      </c>
      <c r="M661" s="550"/>
      <c r="N661" s="549"/>
      <c r="AF661" s="537" t="s">
        <v>480</v>
      </c>
    </row>
    <row r="662" spans="1:32" s="536" customFormat="1" x14ac:dyDescent="0.2">
      <c r="A662" s="548"/>
      <c r="B662" s="552" t="s">
        <v>185</v>
      </c>
      <c r="C662" s="1822" t="s">
        <v>753</v>
      </c>
      <c r="D662" s="1822"/>
      <c r="E662" s="1822"/>
      <c r="F662" s="1822"/>
      <c r="G662" s="1822"/>
      <c r="H662" s="1822"/>
      <c r="I662" s="1822"/>
      <c r="J662" s="1822"/>
      <c r="K662" s="1822"/>
      <c r="L662" s="551">
        <v>33292.54</v>
      </c>
      <c r="M662" s="550">
        <v>8.32</v>
      </c>
      <c r="N662" s="549">
        <v>276994</v>
      </c>
      <c r="AF662" s="537" t="s">
        <v>753</v>
      </c>
    </row>
    <row r="663" spans="1:32" s="536" customFormat="1" x14ac:dyDescent="0.2">
      <c r="A663" s="548"/>
      <c r="B663" s="552"/>
      <c r="C663" s="1822" t="s">
        <v>204</v>
      </c>
      <c r="D663" s="1822"/>
      <c r="E663" s="1822"/>
      <c r="F663" s="1822"/>
      <c r="G663" s="1822"/>
      <c r="H663" s="1822"/>
      <c r="I663" s="1822"/>
      <c r="J663" s="1822"/>
      <c r="K663" s="1822"/>
      <c r="L663" s="551"/>
      <c r="M663" s="550"/>
      <c r="N663" s="549"/>
      <c r="AF663" s="537" t="s">
        <v>204</v>
      </c>
    </row>
    <row r="664" spans="1:32" s="536" customFormat="1" x14ac:dyDescent="0.2">
      <c r="A664" s="548"/>
      <c r="B664" s="552"/>
      <c r="C664" s="1822" t="s">
        <v>546</v>
      </c>
      <c r="D664" s="1822"/>
      <c r="E664" s="1822"/>
      <c r="F664" s="1822"/>
      <c r="G664" s="1822"/>
      <c r="H664" s="1822"/>
      <c r="I664" s="1822"/>
      <c r="J664" s="1822"/>
      <c r="K664" s="1822"/>
      <c r="L664" s="551">
        <v>5455.08</v>
      </c>
      <c r="M664" s="550"/>
      <c r="N664" s="549"/>
      <c r="AF664" s="537" t="s">
        <v>546</v>
      </c>
    </row>
    <row r="665" spans="1:32" s="536" customFormat="1" x14ac:dyDescent="0.2">
      <c r="A665" s="548"/>
      <c r="B665" s="552"/>
      <c r="C665" s="1822" t="s">
        <v>442</v>
      </c>
      <c r="D665" s="1822"/>
      <c r="E665" s="1822"/>
      <c r="F665" s="1822"/>
      <c r="G665" s="1822"/>
      <c r="H665" s="1822"/>
      <c r="I665" s="1822"/>
      <c r="J665" s="1822"/>
      <c r="K665" s="1822"/>
      <c r="L665" s="551">
        <v>1407.46</v>
      </c>
      <c r="M665" s="550"/>
      <c r="N665" s="549"/>
      <c r="AF665" s="537" t="s">
        <v>442</v>
      </c>
    </row>
    <row r="666" spans="1:32" s="536" customFormat="1" x14ac:dyDescent="0.2">
      <c r="A666" s="548"/>
      <c r="B666" s="552"/>
      <c r="C666" s="1822" t="s">
        <v>547</v>
      </c>
      <c r="D666" s="1822"/>
      <c r="E666" s="1822"/>
      <c r="F666" s="1822"/>
      <c r="G666" s="1822"/>
      <c r="H666" s="1822"/>
      <c r="I666" s="1822"/>
      <c r="J666" s="1822"/>
      <c r="K666" s="1822"/>
      <c r="L666" s="551">
        <v>18485.189999999999</v>
      </c>
      <c r="M666" s="550"/>
      <c r="N666" s="549"/>
      <c r="AF666" s="537" t="s">
        <v>547</v>
      </c>
    </row>
    <row r="667" spans="1:32" s="536" customFormat="1" x14ac:dyDescent="0.2">
      <c r="A667" s="548"/>
      <c r="B667" s="552"/>
      <c r="C667" s="1822" t="s">
        <v>443</v>
      </c>
      <c r="D667" s="1822"/>
      <c r="E667" s="1822"/>
      <c r="F667" s="1822"/>
      <c r="G667" s="1822"/>
      <c r="H667" s="1822"/>
      <c r="I667" s="1822"/>
      <c r="J667" s="1822"/>
      <c r="K667" s="1822"/>
      <c r="L667" s="551">
        <v>5223.32</v>
      </c>
      <c r="M667" s="550"/>
      <c r="N667" s="549"/>
      <c r="AF667" s="537" t="s">
        <v>443</v>
      </c>
    </row>
    <row r="668" spans="1:32" s="536" customFormat="1" x14ac:dyDescent="0.2">
      <c r="A668" s="548"/>
      <c r="B668" s="552"/>
      <c r="C668" s="1822" t="s">
        <v>444</v>
      </c>
      <c r="D668" s="1822"/>
      <c r="E668" s="1822"/>
      <c r="F668" s="1822"/>
      <c r="G668" s="1822"/>
      <c r="H668" s="1822"/>
      <c r="I668" s="1822"/>
      <c r="J668" s="1822"/>
      <c r="K668" s="1822"/>
      <c r="L668" s="551">
        <v>2721.49</v>
      </c>
      <c r="M668" s="550"/>
      <c r="N668" s="549"/>
      <c r="AF668" s="537" t="s">
        <v>444</v>
      </c>
    </row>
    <row r="669" spans="1:32" s="536" customFormat="1" x14ac:dyDescent="0.2">
      <c r="A669" s="548"/>
      <c r="B669" s="552"/>
      <c r="C669" s="1822" t="s">
        <v>754</v>
      </c>
      <c r="D669" s="1822"/>
      <c r="E669" s="1822"/>
      <c r="F669" s="1822"/>
      <c r="G669" s="1822"/>
      <c r="H669" s="1822"/>
      <c r="I669" s="1822"/>
      <c r="J669" s="1822"/>
      <c r="K669" s="1822"/>
      <c r="L669" s="551">
        <v>347368.65</v>
      </c>
      <c r="M669" s="550"/>
      <c r="N669" s="549">
        <v>1594422</v>
      </c>
      <c r="AF669" s="537" t="s">
        <v>754</v>
      </c>
    </row>
    <row r="670" spans="1:32" s="536" customFormat="1" x14ac:dyDescent="0.2">
      <c r="A670" s="548"/>
      <c r="B670" s="552" t="s">
        <v>186</v>
      </c>
      <c r="C670" s="1822" t="s">
        <v>2223</v>
      </c>
      <c r="D670" s="1822"/>
      <c r="E670" s="1822"/>
      <c r="F670" s="1822"/>
      <c r="G670" s="1822"/>
      <c r="H670" s="1822"/>
      <c r="I670" s="1822"/>
      <c r="J670" s="1822"/>
      <c r="K670" s="1822"/>
      <c r="L670" s="551">
        <v>346679.95</v>
      </c>
      <c r="M670" s="550">
        <v>4.59</v>
      </c>
      <c r="N670" s="549">
        <v>1591261</v>
      </c>
      <c r="AF670" s="537" t="s">
        <v>2223</v>
      </c>
    </row>
    <row r="671" spans="1:32" s="536" customFormat="1" x14ac:dyDescent="0.2">
      <c r="A671" s="548"/>
      <c r="B671" s="552" t="s">
        <v>186</v>
      </c>
      <c r="C671" s="1822" t="s">
        <v>2224</v>
      </c>
      <c r="D671" s="1822"/>
      <c r="E671" s="1822"/>
      <c r="F671" s="1822"/>
      <c r="G671" s="1822"/>
      <c r="H671" s="1822"/>
      <c r="I671" s="1822"/>
      <c r="J671" s="1822"/>
      <c r="K671" s="1822"/>
      <c r="L671" s="551">
        <v>688.7</v>
      </c>
      <c r="M671" s="550">
        <v>4.59</v>
      </c>
      <c r="N671" s="549">
        <v>3161</v>
      </c>
      <c r="AF671" s="537" t="s">
        <v>2224</v>
      </c>
    </row>
    <row r="672" spans="1:32" s="536" customFormat="1" x14ac:dyDescent="0.2">
      <c r="A672" s="548"/>
      <c r="B672" s="552"/>
      <c r="C672" s="1822" t="s">
        <v>415</v>
      </c>
      <c r="D672" s="1822"/>
      <c r="E672" s="1822"/>
      <c r="F672" s="1822"/>
      <c r="G672" s="1822"/>
      <c r="H672" s="1822"/>
      <c r="I672" s="1822"/>
      <c r="J672" s="1822"/>
      <c r="K672" s="1822"/>
      <c r="L672" s="551">
        <v>5610.13</v>
      </c>
      <c r="M672" s="550"/>
      <c r="N672" s="549"/>
      <c r="AF672" s="537" t="s">
        <v>415</v>
      </c>
    </row>
    <row r="673" spans="1:34" x14ac:dyDescent="0.2">
      <c r="A673" s="548"/>
      <c r="B673" s="552"/>
      <c r="C673" s="1822" t="s">
        <v>416</v>
      </c>
      <c r="D673" s="1822"/>
      <c r="E673" s="1822"/>
      <c r="F673" s="1822"/>
      <c r="G673" s="1822"/>
      <c r="H673" s="1822"/>
      <c r="I673" s="1822"/>
      <c r="J673" s="1822"/>
      <c r="K673" s="1822"/>
      <c r="L673" s="551">
        <v>5223.32</v>
      </c>
      <c r="M673" s="550"/>
      <c r="N673" s="549"/>
      <c r="O673" s="536"/>
      <c r="P673" s="536"/>
      <c r="Q673" s="536"/>
      <c r="R673" s="536"/>
      <c r="S673" s="536"/>
      <c r="T673" s="536"/>
      <c r="U673" s="536"/>
      <c r="V673" s="536"/>
      <c r="W673" s="536"/>
      <c r="X673" s="536"/>
      <c r="Y673" s="536"/>
      <c r="Z673" s="536"/>
      <c r="AA673" s="536"/>
      <c r="AB673" s="536"/>
      <c r="AC673" s="536"/>
      <c r="AD673" s="536"/>
      <c r="AE673" s="536"/>
      <c r="AF673" s="537" t="s">
        <v>416</v>
      </c>
      <c r="AG673" s="536"/>
      <c r="AH673" s="536"/>
    </row>
    <row r="674" spans="1:34" x14ac:dyDescent="0.2">
      <c r="A674" s="548"/>
      <c r="B674" s="552"/>
      <c r="C674" s="1822" t="s">
        <v>417</v>
      </c>
      <c r="D674" s="1822"/>
      <c r="E674" s="1822"/>
      <c r="F674" s="1822"/>
      <c r="G674" s="1822"/>
      <c r="H674" s="1822"/>
      <c r="I674" s="1822"/>
      <c r="J674" s="1822"/>
      <c r="K674" s="1822"/>
      <c r="L674" s="551">
        <v>2721.49</v>
      </c>
      <c r="M674" s="550"/>
      <c r="N674" s="549"/>
      <c r="O674" s="536"/>
      <c r="P674" s="536"/>
      <c r="Q674" s="536"/>
      <c r="R674" s="536"/>
      <c r="S674" s="536"/>
      <c r="T674" s="536"/>
      <c r="U674" s="536"/>
      <c r="V674" s="536"/>
      <c r="W674" s="536"/>
      <c r="X674" s="536"/>
      <c r="Y674" s="536"/>
      <c r="Z674" s="536"/>
      <c r="AA674" s="536"/>
      <c r="AB674" s="536"/>
      <c r="AC674" s="536"/>
      <c r="AD674" s="536"/>
      <c r="AE674" s="536"/>
      <c r="AF674" s="537" t="s">
        <v>417</v>
      </c>
      <c r="AG674" s="536"/>
      <c r="AH674" s="536"/>
    </row>
    <row r="675" spans="1:34" x14ac:dyDescent="0.2">
      <c r="A675" s="548"/>
      <c r="B675" s="546"/>
      <c r="C675" s="1819" t="s">
        <v>206</v>
      </c>
      <c r="D675" s="1819"/>
      <c r="E675" s="1819"/>
      <c r="F675" s="1819"/>
      <c r="G675" s="1819"/>
      <c r="H675" s="1819"/>
      <c r="I675" s="1819"/>
      <c r="J675" s="1819"/>
      <c r="K675" s="1819"/>
      <c r="L675" s="544">
        <v>380661.19</v>
      </c>
      <c r="M675" s="543"/>
      <c r="N675" s="547">
        <v>1871416</v>
      </c>
      <c r="O675" s="536"/>
      <c r="P675" s="536"/>
      <c r="Q675" s="536"/>
      <c r="R675" s="536"/>
      <c r="S675" s="536"/>
      <c r="T675" s="536"/>
      <c r="U675" s="536"/>
      <c r="V675" s="536"/>
      <c r="W675" s="536"/>
      <c r="X675" s="536"/>
      <c r="Y675" s="536"/>
      <c r="Z675" s="536"/>
      <c r="AA675" s="536"/>
      <c r="AB675" s="536"/>
      <c r="AC675" s="536"/>
      <c r="AD675" s="536"/>
      <c r="AE675" s="536"/>
      <c r="AF675" s="536"/>
      <c r="AG675" s="537" t="s">
        <v>206</v>
      </c>
      <c r="AH675" s="536"/>
    </row>
    <row r="676" spans="1:34" x14ac:dyDescent="0.2">
      <c r="A676" s="548"/>
      <c r="B676" s="552"/>
      <c r="C676" s="1822" t="s">
        <v>204</v>
      </c>
      <c r="D676" s="1822"/>
      <c r="E676" s="1822"/>
      <c r="F676" s="1822"/>
      <c r="G676" s="1822"/>
      <c r="H676" s="1822"/>
      <c r="I676" s="1822"/>
      <c r="J676" s="1822"/>
      <c r="K676" s="1822"/>
      <c r="L676" s="551"/>
      <c r="M676" s="550"/>
      <c r="N676" s="549"/>
      <c r="O676" s="536"/>
      <c r="P676" s="536"/>
      <c r="Q676" s="536"/>
      <c r="R676" s="536"/>
      <c r="S676" s="536"/>
      <c r="T676" s="536"/>
      <c r="U676" s="536"/>
      <c r="V676" s="536"/>
      <c r="W676" s="536"/>
      <c r="X676" s="536"/>
      <c r="Y676" s="536"/>
      <c r="Z676" s="536"/>
      <c r="AA676" s="536"/>
      <c r="AB676" s="536"/>
      <c r="AC676" s="536"/>
      <c r="AD676" s="536"/>
      <c r="AE676" s="536"/>
      <c r="AF676" s="537" t="s">
        <v>204</v>
      </c>
      <c r="AG676" s="536"/>
      <c r="AH676" s="536"/>
    </row>
    <row r="677" spans="1:34" x14ac:dyDescent="0.2">
      <c r="A677" s="548"/>
      <c r="B677" s="552"/>
      <c r="C677" s="1822" t="s">
        <v>8095</v>
      </c>
      <c r="D677" s="1822"/>
      <c r="E677" s="1822"/>
      <c r="F677" s="1822"/>
      <c r="G677" s="1822"/>
      <c r="H677" s="1822"/>
      <c r="I677" s="1822"/>
      <c r="J677" s="1822"/>
      <c r="K677" s="1822"/>
      <c r="L677" s="551">
        <v>16020.31</v>
      </c>
      <c r="M677" s="550"/>
      <c r="N677" s="549">
        <v>133289</v>
      </c>
      <c r="O677" s="536"/>
      <c r="P677" s="536"/>
      <c r="Q677" s="536"/>
      <c r="R677" s="536"/>
      <c r="S677" s="536"/>
      <c r="T677" s="536"/>
      <c r="U677" s="536"/>
      <c r="V677" s="536"/>
      <c r="W677" s="536"/>
      <c r="X677" s="536"/>
      <c r="Y677" s="536"/>
      <c r="Z677" s="536"/>
      <c r="AA677" s="536"/>
      <c r="AB677" s="536"/>
      <c r="AC677" s="536"/>
      <c r="AD677" s="536"/>
      <c r="AE677" s="536"/>
      <c r="AF677" s="537" t="s">
        <v>8095</v>
      </c>
      <c r="AG677" s="536"/>
      <c r="AH677" s="536"/>
    </row>
    <row r="678" spans="1:34" x14ac:dyDescent="0.2">
      <c r="A678" s="548"/>
      <c r="B678" s="552"/>
      <c r="C678" s="1822" t="s">
        <v>8097</v>
      </c>
      <c r="D678" s="1822"/>
      <c r="E678" s="1822"/>
      <c r="F678" s="1822"/>
      <c r="G678" s="1822"/>
      <c r="H678" s="1822"/>
      <c r="I678" s="1822"/>
      <c r="J678" s="1822"/>
      <c r="K678" s="1822"/>
      <c r="L678" s="551"/>
      <c r="M678" s="550"/>
      <c r="N678" s="549">
        <v>1571547</v>
      </c>
      <c r="O678" s="536"/>
      <c r="P678" s="536"/>
      <c r="Q678" s="536"/>
      <c r="R678" s="536"/>
      <c r="S678" s="536"/>
      <c r="T678" s="536"/>
      <c r="U678" s="536"/>
      <c r="V678" s="536"/>
      <c r="W678" s="536"/>
      <c r="X678" s="536"/>
      <c r="Y678" s="536"/>
      <c r="Z678" s="536"/>
      <c r="AA678" s="536"/>
      <c r="AB678" s="536"/>
      <c r="AC678" s="536"/>
      <c r="AD678" s="536"/>
      <c r="AE678" s="536"/>
      <c r="AF678" s="537" t="s">
        <v>8097</v>
      </c>
      <c r="AG678" s="536"/>
      <c r="AH678" s="536"/>
    </row>
    <row r="679" spans="1:34" ht="1.5" customHeight="1" x14ac:dyDescent="0.2">
      <c r="B679" s="546"/>
      <c r="C679" s="671"/>
      <c r="D679" s="671"/>
      <c r="E679" s="671"/>
      <c r="F679" s="671"/>
      <c r="G679" s="671"/>
      <c r="H679" s="671"/>
      <c r="I679" s="671"/>
      <c r="J679" s="671"/>
      <c r="K679" s="671"/>
      <c r="L679" s="544"/>
      <c r="M679" s="543"/>
      <c r="N679" s="542"/>
      <c r="O679" s="536"/>
      <c r="P679" s="536"/>
      <c r="Q679" s="536"/>
      <c r="R679" s="536"/>
      <c r="S679" s="536"/>
      <c r="T679" s="536"/>
      <c r="U679" s="536"/>
      <c r="V679" s="536"/>
      <c r="W679" s="536"/>
      <c r="X679" s="536"/>
      <c r="Y679" s="536"/>
      <c r="Z679" s="536"/>
      <c r="AA679" s="536"/>
      <c r="AB679" s="536"/>
      <c r="AC679" s="536"/>
      <c r="AD679" s="536"/>
      <c r="AE679" s="536"/>
      <c r="AF679" s="536"/>
      <c r="AG679" s="536"/>
      <c r="AH679" s="536"/>
    </row>
    <row r="680" spans="1:34" ht="53.25" customHeight="1" x14ac:dyDescent="0.2">
      <c r="A680" s="541"/>
      <c r="B680" s="541"/>
      <c r="C680" s="541"/>
      <c r="D680" s="541"/>
      <c r="E680" s="541"/>
      <c r="F680" s="541"/>
      <c r="G680" s="541"/>
      <c r="H680" s="541"/>
      <c r="I680" s="541"/>
      <c r="J680" s="541"/>
      <c r="K680" s="541"/>
      <c r="L680" s="541"/>
      <c r="M680" s="541"/>
      <c r="N680" s="541"/>
      <c r="O680" s="536"/>
      <c r="P680" s="536"/>
      <c r="Q680" s="536"/>
      <c r="R680" s="536"/>
      <c r="S680" s="536"/>
      <c r="T680" s="536"/>
      <c r="U680" s="536"/>
      <c r="V680" s="536"/>
      <c r="W680" s="536"/>
      <c r="X680" s="536"/>
      <c r="Y680" s="536"/>
      <c r="Z680" s="536"/>
      <c r="AA680" s="536"/>
      <c r="AB680" s="536"/>
      <c r="AC680" s="536"/>
      <c r="AD680" s="536"/>
      <c r="AE680" s="536"/>
      <c r="AF680" s="536"/>
      <c r="AG680" s="536"/>
      <c r="AH680" s="536"/>
    </row>
    <row r="681" spans="1:34" x14ac:dyDescent="0.2">
      <c r="B681" s="539" t="s">
        <v>149</v>
      </c>
      <c r="C681" s="1943" t="s">
        <v>207</v>
      </c>
      <c r="D681" s="1943"/>
      <c r="E681" s="1943"/>
      <c r="F681" s="1943"/>
      <c r="G681" s="1943"/>
      <c r="H681" s="1943"/>
      <c r="I681" s="1943"/>
      <c r="J681" s="1943"/>
      <c r="K681" s="1943"/>
      <c r="L681" s="1943"/>
      <c r="O681" s="536"/>
    </row>
    <row r="682" spans="1:34" ht="13.5" customHeight="1" x14ac:dyDescent="0.2">
      <c r="B682" s="540"/>
      <c r="C682" s="1821" t="s">
        <v>150</v>
      </c>
      <c r="D682" s="1821"/>
      <c r="E682" s="1821"/>
      <c r="F682" s="1821"/>
      <c r="G682" s="1821"/>
      <c r="H682" s="1821"/>
      <c r="I682" s="1821"/>
      <c r="J682" s="1821"/>
      <c r="K682" s="1821"/>
      <c r="L682" s="1821"/>
      <c r="O682" s="536"/>
    </row>
    <row r="683" spans="1:34" ht="12.75" customHeight="1" x14ac:dyDescent="0.2">
      <c r="B683" s="539" t="s">
        <v>151</v>
      </c>
      <c r="C683" s="1943" t="s">
        <v>208</v>
      </c>
      <c r="D683" s="1943"/>
      <c r="E683" s="1943"/>
      <c r="F683" s="1943"/>
      <c r="G683" s="1943"/>
      <c r="H683" s="1943"/>
      <c r="I683" s="1943"/>
      <c r="J683" s="1943"/>
      <c r="K683" s="1943"/>
      <c r="L683" s="1943"/>
      <c r="O683" s="536"/>
    </row>
    <row r="684" spans="1:34" ht="13.5" customHeight="1" x14ac:dyDescent="0.2">
      <c r="C684" s="1821" t="s">
        <v>150</v>
      </c>
      <c r="D684" s="1821"/>
      <c r="E684" s="1821"/>
      <c r="F684" s="1821"/>
      <c r="G684" s="1821"/>
      <c r="H684" s="1821"/>
      <c r="I684" s="1821"/>
      <c r="J684" s="1821"/>
      <c r="K684" s="1821"/>
      <c r="L684" s="1821"/>
      <c r="O684" s="536"/>
    </row>
    <row r="686" spans="1:34" x14ac:dyDescent="0.2">
      <c r="A686" s="1944"/>
      <c r="B686" s="1944"/>
      <c r="C686" s="1944"/>
      <c r="D686" s="1944"/>
      <c r="E686" s="1944"/>
      <c r="F686" s="1944"/>
      <c r="G686" s="1944"/>
      <c r="H686" s="1944"/>
      <c r="I686" s="1944"/>
      <c r="J686" s="1944"/>
      <c r="K686" s="1944"/>
      <c r="L686" s="1944"/>
      <c r="M686" s="1944"/>
      <c r="N686" s="1944"/>
      <c r="O686" s="536"/>
      <c r="P686" s="536"/>
      <c r="Q686" s="536"/>
      <c r="R686" s="536"/>
      <c r="S686" s="536"/>
      <c r="T686" s="536"/>
      <c r="U686" s="536"/>
      <c r="V686" s="536"/>
      <c r="W686" s="536"/>
      <c r="X686" s="536"/>
      <c r="Y686" s="536"/>
      <c r="Z686" s="536"/>
      <c r="AA686" s="536"/>
      <c r="AB686" s="536"/>
      <c r="AC686" s="536"/>
      <c r="AD686" s="536"/>
      <c r="AE686" s="536"/>
      <c r="AF686" s="536"/>
      <c r="AG686" s="536"/>
      <c r="AH686" s="537" t="s">
        <v>143</v>
      </c>
    </row>
    <row r="687" spans="1:34" x14ac:dyDescent="0.2">
      <c r="B687" s="538"/>
      <c r="D687" s="538"/>
      <c r="F687" s="538"/>
      <c r="O687" s="536"/>
      <c r="P687" s="536"/>
      <c r="Q687" s="536"/>
      <c r="R687" s="536"/>
      <c r="S687" s="536"/>
      <c r="T687" s="536"/>
      <c r="U687" s="536"/>
      <c r="V687" s="536"/>
      <c r="W687" s="536"/>
      <c r="X687" s="536"/>
      <c r="Y687" s="536"/>
      <c r="Z687" s="536"/>
      <c r="AA687" s="536"/>
      <c r="AB687" s="536"/>
      <c r="AC687" s="536"/>
      <c r="AD687" s="536"/>
      <c r="AE687" s="536"/>
      <c r="AF687" s="536"/>
      <c r="AG687" s="536"/>
      <c r="AH687" s="536"/>
    </row>
  </sheetData>
  <mergeCells count="612">
    <mergeCell ref="C684:L684"/>
    <mergeCell ref="A686:N686"/>
    <mergeCell ref="C676:K676"/>
    <mergeCell ref="C677:K677"/>
    <mergeCell ref="C678:K678"/>
    <mergeCell ref="C681:L681"/>
    <mergeCell ref="C682:L682"/>
    <mergeCell ref="C683:L683"/>
    <mergeCell ref="C670:K670"/>
    <mergeCell ref="C671:K671"/>
    <mergeCell ref="C672:K672"/>
    <mergeCell ref="C673:K673"/>
    <mergeCell ref="C674:K674"/>
    <mergeCell ref="C675:K675"/>
    <mergeCell ref="C664:K664"/>
    <mergeCell ref="C665:K665"/>
    <mergeCell ref="C666:K666"/>
    <mergeCell ref="C667:K667"/>
    <mergeCell ref="C668:K668"/>
    <mergeCell ref="C669:K669"/>
    <mergeCell ref="C658:K658"/>
    <mergeCell ref="C659:K659"/>
    <mergeCell ref="C660:K660"/>
    <mergeCell ref="C661:K661"/>
    <mergeCell ref="C662:K662"/>
    <mergeCell ref="C663:K663"/>
    <mergeCell ref="C649:N649"/>
    <mergeCell ref="C650:E650"/>
    <mergeCell ref="C652:N652"/>
    <mergeCell ref="C655:K655"/>
    <mergeCell ref="C656:K656"/>
    <mergeCell ref="C657:K657"/>
    <mergeCell ref="C642:E642"/>
    <mergeCell ref="C643:E643"/>
    <mergeCell ref="C644:E644"/>
    <mergeCell ref="C645:E645"/>
    <mergeCell ref="C646:E646"/>
    <mergeCell ref="C647:E647"/>
    <mergeCell ref="C635:E635"/>
    <mergeCell ref="C637:E637"/>
    <mergeCell ref="C638:N638"/>
    <mergeCell ref="C639:E639"/>
    <mergeCell ref="C640:E640"/>
    <mergeCell ref="C641:E641"/>
    <mergeCell ref="C629:E629"/>
    <mergeCell ref="C630:E630"/>
    <mergeCell ref="C631:E631"/>
    <mergeCell ref="C632:E632"/>
    <mergeCell ref="C633:E633"/>
    <mergeCell ref="C634:E634"/>
    <mergeCell ref="C623:N623"/>
    <mergeCell ref="C624:E624"/>
    <mergeCell ref="C625:E625"/>
    <mergeCell ref="C626:E626"/>
    <mergeCell ref="C627:E627"/>
    <mergeCell ref="C628:E628"/>
    <mergeCell ref="C615:E615"/>
    <mergeCell ref="C617:N617"/>
    <mergeCell ref="C618:E618"/>
    <mergeCell ref="C620:N620"/>
    <mergeCell ref="C621:E621"/>
    <mergeCell ref="C622:N622"/>
    <mergeCell ref="C609:E609"/>
    <mergeCell ref="C610:E610"/>
    <mergeCell ref="C611:E611"/>
    <mergeCell ref="C612:E612"/>
    <mergeCell ref="C613:E613"/>
    <mergeCell ref="C614:E614"/>
    <mergeCell ref="C603:N603"/>
    <mergeCell ref="C604:E604"/>
    <mergeCell ref="C605:N605"/>
    <mergeCell ref="C606:N606"/>
    <mergeCell ref="C607:E607"/>
    <mergeCell ref="C608:E608"/>
    <mergeCell ref="C594:N594"/>
    <mergeCell ref="C595:E595"/>
    <mergeCell ref="C597:N597"/>
    <mergeCell ref="C598:E598"/>
    <mergeCell ref="C600:N600"/>
    <mergeCell ref="C601:E601"/>
    <mergeCell ref="C587:E587"/>
    <mergeCell ref="C588:E588"/>
    <mergeCell ref="C589:E589"/>
    <mergeCell ref="C590:E590"/>
    <mergeCell ref="C591:E591"/>
    <mergeCell ref="C592:E592"/>
    <mergeCell ref="C581:E581"/>
    <mergeCell ref="C582:N582"/>
    <mergeCell ref="C583:N583"/>
    <mergeCell ref="C584:E584"/>
    <mergeCell ref="C585:E585"/>
    <mergeCell ref="C586:E586"/>
    <mergeCell ref="C573:N573"/>
    <mergeCell ref="C574:E574"/>
    <mergeCell ref="C576:N576"/>
    <mergeCell ref="C577:E577"/>
    <mergeCell ref="C579:N579"/>
    <mergeCell ref="C580:N580"/>
    <mergeCell ref="C565:E565"/>
    <mergeCell ref="C566:E566"/>
    <mergeCell ref="C568:N568"/>
    <mergeCell ref="C569:N569"/>
    <mergeCell ref="C570:E570"/>
    <mergeCell ref="C572:N572"/>
    <mergeCell ref="C559:E559"/>
    <mergeCell ref="C560:E560"/>
    <mergeCell ref="C561:E561"/>
    <mergeCell ref="C562:E562"/>
    <mergeCell ref="C563:E563"/>
    <mergeCell ref="C564:E564"/>
    <mergeCell ref="C553:N553"/>
    <mergeCell ref="C554:N554"/>
    <mergeCell ref="C555:E555"/>
    <mergeCell ref="C556:E556"/>
    <mergeCell ref="C557:E557"/>
    <mergeCell ref="C558:E558"/>
    <mergeCell ref="C547:E547"/>
    <mergeCell ref="C548:E548"/>
    <mergeCell ref="C549:E549"/>
    <mergeCell ref="C550:E550"/>
    <mergeCell ref="C551:E551"/>
    <mergeCell ref="C552:E552"/>
    <mergeCell ref="C541:E541"/>
    <mergeCell ref="C542:E542"/>
    <mergeCell ref="C543:E543"/>
    <mergeCell ref="C544:E544"/>
    <mergeCell ref="C545:E545"/>
    <mergeCell ref="C546:E546"/>
    <mergeCell ref="C534:N534"/>
    <mergeCell ref="C535:E535"/>
    <mergeCell ref="C537:N537"/>
    <mergeCell ref="C538:E538"/>
    <mergeCell ref="C539:N539"/>
    <mergeCell ref="C540:N540"/>
    <mergeCell ref="C524:E524"/>
    <mergeCell ref="C526:E526"/>
    <mergeCell ref="C528:N528"/>
    <mergeCell ref="C529:E529"/>
    <mergeCell ref="C531:N531"/>
    <mergeCell ref="C532:E532"/>
    <mergeCell ref="C518:E518"/>
    <mergeCell ref="C519:E519"/>
    <mergeCell ref="C520:E520"/>
    <mergeCell ref="C521:E521"/>
    <mergeCell ref="C522:E522"/>
    <mergeCell ref="C523:E523"/>
    <mergeCell ref="C512:N512"/>
    <mergeCell ref="C513:E513"/>
    <mergeCell ref="C514:E514"/>
    <mergeCell ref="C515:E515"/>
    <mergeCell ref="C516:E516"/>
    <mergeCell ref="C517:E517"/>
    <mergeCell ref="C504:E504"/>
    <mergeCell ref="C506:N506"/>
    <mergeCell ref="C507:E507"/>
    <mergeCell ref="C509:N509"/>
    <mergeCell ref="C510:E510"/>
    <mergeCell ref="C511:N511"/>
    <mergeCell ref="C497:E497"/>
    <mergeCell ref="C498:E498"/>
    <mergeCell ref="C499:E499"/>
    <mergeCell ref="C500:E500"/>
    <mergeCell ref="C501:E501"/>
    <mergeCell ref="C503:N503"/>
    <mergeCell ref="C491:N491"/>
    <mergeCell ref="C492:E492"/>
    <mergeCell ref="C493:E493"/>
    <mergeCell ref="C494:E494"/>
    <mergeCell ref="C495:E495"/>
    <mergeCell ref="C496:E496"/>
    <mergeCell ref="C484:E484"/>
    <mergeCell ref="C485:E485"/>
    <mergeCell ref="C486:E486"/>
    <mergeCell ref="C488:N488"/>
    <mergeCell ref="C489:E489"/>
    <mergeCell ref="C490:N490"/>
    <mergeCell ref="C478:E478"/>
    <mergeCell ref="C479:E479"/>
    <mergeCell ref="C480:E480"/>
    <mergeCell ref="C481:E481"/>
    <mergeCell ref="C482:E482"/>
    <mergeCell ref="C483:E483"/>
    <mergeCell ref="C472:N472"/>
    <mergeCell ref="C473:E473"/>
    <mergeCell ref="C474:N474"/>
    <mergeCell ref="C475:E475"/>
    <mergeCell ref="C476:E476"/>
    <mergeCell ref="C477:E477"/>
    <mergeCell ref="C463:E463"/>
    <mergeCell ref="C464:E464"/>
    <mergeCell ref="C466:N466"/>
    <mergeCell ref="C467:E467"/>
    <mergeCell ref="C469:N469"/>
    <mergeCell ref="C470:E470"/>
    <mergeCell ref="C457:E457"/>
    <mergeCell ref="C458:E458"/>
    <mergeCell ref="C459:E459"/>
    <mergeCell ref="C460:E460"/>
    <mergeCell ref="C461:E461"/>
    <mergeCell ref="C462:E462"/>
    <mergeCell ref="C451:N451"/>
    <mergeCell ref="C452:N452"/>
    <mergeCell ref="C453:E453"/>
    <mergeCell ref="C454:E454"/>
    <mergeCell ref="C455:E455"/>
    <mergeCell ref="C456:E456"/>
    <mergeCell ref="C443:E443"/>
    <mergeCell ref="C444:E444"/>
    <mergeCell ref="C446:N446"/>
    <mergeCell ref="C447:E447"/>
    <mergeCell ref="C449:N449"/>
    <mergeCell ref="C450:E450"/>
    <mergeCell ref="C437:E437"/>
    <mergeCell ref="C438:E438"/>
    <mergeCell ref="C439:E439"/>
    <mergeCell ref="C440:E440"/>
    <mergeCell ref="C441:E441"/>
    <mergeCell ref="C442:E442"/>
    <mergeCell ref="C431:N431"/>
    <mergeCell ref="C432:E432"/>
    <mergeCell ref="C433:N433"/>
    <mergeCell ref="C434:N434"/>
    <mergeCell ref="C435:E435"/>
    <mergeCell ref="C436:E436"/>
    <mergeCell ref="C424:E424"/>
    <mergeCell ref="C425:E425"/>
    <mergeCell ref="C426:E426"/>
    <mergeCell ref="C427:E427"/>
    <mergeCell ref="C428:E428"/>
    <mergeCell ref="C429:E429"/>
    <mergeCell ref="C418:E418"/>
    <mergeCell ref="C419:E419"/>
    <mergeCell ref="C420:E420"/>
    <mergeCell ref="C421:E421"/>
    <mergeCell ref="C422:E422"/>
    <mergeCell ref="C423:E423"/>
    <mergeCell ref="C411:E411"/>
    <mergeCell ref="C412:E412"/>
    <mergeCell ref="C413:E413"/>
    <mergeCell ref="C415:N415"/>
    <mergeCell ref="C416:E416"/>
    <mergeCell ref="C417:N417"/>
    <mergeCell ref="C405:E405"/>
    <mergeCell ref="C406:E406"/>
    <mergeCell ref="C407:E407"/>
    <mergeCell ref="C408:E408"/>
    <mergeCell ref="C409:E409"/>
    <mergeCell ref="C410:E410"/>
    <mergeCell ref="C398:E398"/>
    <mergeCell ref="C399:E399"/>
    <mergeCell ref="C400:E400"/>
    <mergeCell ref="C402:N402"/>
    <mergeCell ref="C403:E403"/>
    <mergeCell ref="C404:N404"/>
    <mergeCell ref="C392:E392"/>
    <mergeCell ref="C393:E393"/>
    <mergeCell ref="C394:E394"/>
    <mergeCell ref="C395:E395"/>
    <mergeCell ref="C396:E396"/>
    <mergeCell ref="C397:E397"/>
    <mergeCell ref="C385:E385"/>
    <mergeCell ref="C386:E386"/>
    <mergeCell ref="C387:E387"/>
    <mergeCell ref="C388:E388"/>
    <mergeCell ref="C390:E390"/>
    <mergeCell ref="C391:N391"/>
    <mergeCell ref="C379:N379"/>
    <mergeCell ref="C380:E380"/>
    <mergeCell ref="C381:E381"/>
    <mergeCell ref="C382:E382"/>
    <mergeCell ref="C383:E383"/>
    <mergeCell ref="C384:E384"/>
    <mergeCell ref="C372:E372"/>
    <mergeCell ref="C373:E373"/>
    <mergeCell ref="C374:E374"/>
    <mergeCell ref="C375:E375"/>
    <mergeCell ref="C377:N377"/>
    <mergeCell ref="C378:E378"/>
    <mergeCell ref="C366:E366"/>
    <mergeCell ref="C367:E367"/>
    <mergeCell ref="C368:E368"/>
    <mergeCell ref="C369:E369"/>
    <mergeCell ref="C370:E370"/>
    <mergeCell ref="C371:E371"/>
    <mergeCell ref="C359:E359"/>
    <mergeCell ref="C360:E360"/>
    <mergeCell ref="C361:E361"/>
    <mergeCell ref="C363:N363"/>
    <mergeCell ref="C364:E364"/>
    <mergeCell ref="C365:N365"/>
    <mergeCell ref="C353:E353"/>
    <mergeCell ref="C354:E354"/>
    <mergeCell ref="C355:E355"/>
    <mergeCell ref="C356:E356"/>
    <mergeCell ref="C357:E357"/>
    <mergeCell ref="C358:E358"/>
    <mergeCell ref="C347:E347"/>
    <mergeCell ref="C348:N348"/>
    <mergeCell ref="C349:E349"/>
    <mergeCell ref="C350:E350"/>
    <mergeCell ref="C351:E351"/>
    <mergeCell ref="C352:E352"/>
    <mergeCell ref="C340:E340"/>
    <mergeCell ref="C341:E341"/>
    <mergeCell ref="C342:E342"/>
    <mergeCell ref="C343:E343"/>
    <mergeCell ref="C344:E344"/>
    <mergeCell ref="C346:N346"/>
    <mergeCell ref="C334:E334"/>
    <mergeCell ref="C335:E335"/>
    <mergeCell ref="C336:E336"/>
    <mergeCell ref="C337:E337"/>
    <mergeCell ref="C338:E338"/>
    <mergeCell ref="C339:E339"/>
    <mergeCell ref="C327:E327"/>
    <mergeCell ref="C328:E328"/>
    <mergeCell ref="C330:N330"/>
    <mergeCell ref="C331:E331"/>
    <mergeCell ref="C332:N332"/>
    <mergeCell ref="C333:E333"/>
    <mergeCell ref="C321:E321"/>
    <mergeCell ref="C322:E322"/>
    <mergeCell ref="C323:E323"/>
    <mergeCell ref="C324:E324"/>
    <mergeCell ref="C325:E325"/>
    <mergeCell ref="C326:E326"/>
    <mergeCell ref="C314:E314"/>
    <mergeCell ref="C316:N316"/>
    <mergeCell ref="C317:E317"/>
    <mergeCell ref="C318:N318"/>
    <mergeCell ref="C319:E319"/>
    <mergeCell ref="C320:E320"/>
    <mergeCell ref="C306:E306"/>
    <mergeCell ref="C307:E307"/>
    <mergeCell ref="C308:E308"/>
    <mergeCell ref="C310:N310"/>
    <mergeCell ref="C311:E311"/>
    <mergeCell ref="C313:N313"/>
    <mergeCell ref="C300:E300"/>
    <mergeCell ref="C301:E301"/>
    <mergeCell ref="C302:E302"/>
    <mergeCell ref="C303:E303"/>
    <mergeCell ref="C304:E304"/>
    <mergeCell ref="C305:E305"/>
    <mergeCell ref="C294:E294"/>
    <mergeCell ref="C295:E295"/>
    <mergeCell ref="C296:E296"/>
    <mergeCell ref="C297:E297"/>
    <mergeCell ref="C298:E298"/>
    <mergeCell ref="C299:N299"/>
    <mergeCell ref="C288:E288"/>
    <mergeCell ref="C289:E289"/>
    <mergeCell ref="C290:E290"/>
    <mergeCell ref="C291:E291"/>
    <mergeCell ref="C292:E292"/>
    <mergeCell ref="C293:E293"/>
    <mergeCell ref="C281:E281"/>
    <mergeCell ref="C282:E282"/>
    <mergeCell ref="C284:N284"/>
    <mergeCell ref="C285:E285"/>
    <mergeCell ref="C286:N286"/>
    <mergeCell ref="C287:E287"/>
    <mergeCell ref="C275:E275"/>
    <mergeCell ref="C276:E276"/>
    <mergeCell ref="C277:E277"/>
    <mergeCell ref="C278:E278"/>
    <mergeCell ref="C279:E279"/>
    <mergeCell ref="C280:E280"/>
    <mergeCell ref="C269:E269"/>
    <mergeCell ref="C270:N270"/>
    <mergeCell ref="C271:E271"/>
    <mergeCell ref="C272:E272"/>
    <mergeCell ref="C273:E273"/>
    <mergeCell ref="C274:E274"/>
    <mergeCell ref="C262:E262"/>
    <mergeCell ref="C263:E263"/>
    <mergeCell ref="C264:E264"/>
    <mergeCell ref="C265:E265"/>
    <mergeCell ref="C266:E266"/>
    <mergeCell ref="C268:N268"/>
    <mergeCell ref="C256:E256"/>
    <mergeCell ref="C257:E257"/>
    <mergeCell ref="C258:E258"/>
    <mergeCell ref="C259:E259"/>
    <mergeCell ref="C260:E260"/>
    <mergeCell ref="C261:E261"/>
    <mergeCell ref="C249:E249"/>
    <mergeCell ref="C250:E250"/>
    <mergeCell ref="C252:N252"/>
    <mergeCell ref="C253:E253"/>
    <mergeCell ref="C254:N254"/>
    <mergeCell ref="C255:E255"/>
    <mergeCell ref="C243:E243"/>
    <mergeCell ref="C244:E244"/>
    <mergeCell ref="C245:E245"/>
    <mergeCell ref="C246:E246"/>
    <mergeCell ref="C247:E247"/>
    <mergeCell ref="C248:E248"/>
    <mergeCell ref="C237:E237"/>
    <mergeCell ref="C238:N238"/>
    <mergeCell ref="C239:E239"/>
    <mergeCell ref="C240:E240"/>
    <mergeCell ref="C241:E241"/>
    <mergeCell ref="C242:E242"/>
    <mergeCell ref="C229:E229"/>
    <mergeCell ref="C230:E230"/>
    <mergeCell ref="C231:E231"/>
    <mergeCell ref="C233:N233"/>
    <mergeCell ref="C234:E234"/>
    <mergeCell ref="C236:N236"/>
    <mergeCell ref="C223:E223"/>
    <mergeCell ref="C224:E224"/>
    <mergeCell ref="C225:E225"/>
    <mergeCell ref="C226:E226"/>
    <mergeCell ref="C227:E227"/>
    <mergeCell ref="C228:E228"/>
    <mergeCell ref="C217:E217"/>
    <mergeCell ref="C218:N218"/>
    <mergeCell ref="C219:N219"/>
    <mergeCell ref="C220:E220"/>
    <mergeCell ref="C221:E221"/>
    <mergeCell ref="C222:E222"/>
    <mergeCell ref="C210:E210"/>
    <mergeCell ref="C211:E211"/>
    <mergeCell ref="C212:E212"/>
    <mergeCell ref="C213:E213"/>
    <mergeCell ref="C214:E214"/>
    <mergeCell ref="C216:N216"/>
    <mergeCell ref="C204:N204"/>
    <mergeCell ref="C205:E205"/>
    <mergeCell ref="C206:E206"/>
    <mergeCell ref="C207:E207"/>
    <mergeCell ref="C208:E208"/>
    <mergeCell ref="C209:E209"/>
    <mergeCell ref="C197:E197"/>
    <mergeCell ref="C198:E198"/>
    <mergeCell ref="C199:E199"/>
    <mergeCell ref="C200:E200"/>
    <mergeCell ref="C202:N202"/>
    <mergeCell ref="C203:E203"/>
    <mergeCell ref="C191:E191"/>
    <mergeCell ref="C192:E192"/>
    <mergeCell ref="C193:E193"/>
    <mergeCell ref="C194:E194"/>
    <mergeCell ref="C195:E195"/>
    <mergeCell ref="C196:E196"/>
    <mergeCell ref="C184:E184"/>
    <mergeCell ref="C186:N186"/>
    <mergeCell ref="C187:E187"/>
    <mergeCell ref="C188:N188"/>
    <mergeCell ref="C189:E189"/>
    <mergeCell ref="C190:E190"/>
    <mergeCell ref="C177:E177"/>
    <mergeCell ref="C178:E178"/>
    <mergeCell ref="C179:E179"/>
    <mergeCell ref="C180:E180"/>
    <mergeCell ref="C181:E181"/>
    <mergeCell ref="C183:N183"/>
    <mergeCell ref="C171:E171"/>
    <mergeCell ref="C172:N172"/>
    <mergeCell ref="C173:E173"/>
    <mergeCell ref="C174:E174"/>
    <mergeCell ref="C175:E175"/>
    <mergeCell ref="C176:E176"/>
    <mergeCell ref="C165:E165"/>
    <mergeCell ref="C166:E166"/>
    <mergeCell ref="C167:E167"/>
    <mergeCell ref="C168:E168"/>
    <mergeCell ref="C169:E169"/>
    <mergeCell ref="C170:E170"/>
    <mergeCell ref="C159:N159"/>
    <mergeCell ref="C160:E160"/>
    <mergeCell ref="C161:E161"/>
    <mergeCell ref="C162:E162"/>
    <mergeCell ref="C163:E163"/>
    <mergeCell ref="C164:E164"/>
    <mergeCell ref="C151:E151"/>
    <mergeCell ref="C153:N153"/>
    <mergeCell ref="C154:E154"/>
    <mergeCell ref="C156:N156"/>
    <mergeCell ref="C157:E157"/>
    <mergeCell ref="C158:N158"/>
    <mergeCell ref="C145:E145"/>
    <mergeCell ref="C146:E146"/>
    <mergeCell ref="C147:E147"/>
    <mergeCell ref="C148:E148"/>
    <mergeCell ref="C149:E149"/>
    <mergeCell ref="C150:E150"/>
    <mergeCell ref="C139:N139"/>
    <mergeCell ref="C140:E140"/>
    <mergeCell ref="C141:E141"/>
    <mergeCell ref="C142:E142"/>
    <mergeCell ref="C143:E143"/>
    <mergeCell ref="C144:E144"/>
    <mergeCell ref="C132:E132"/>
    <mergeCell ref="C133:E133"/>
    <mergeCell ref="C134:E134"/>
    <mergeCell ref="C135:E135"/>
    <mergeCell ref="C137:N137"/>
    <mergeCell ref="C138:E138"/>
    <mergeCell ref="C126:E126"/>
    <mergeCell ref="C127:E127"/>
    <mergeCell ref="C128:E128"/>
    <mergeCell ref="C129:E129"/>
    <mergeCell ref="C130:E130"/>
    <mergeCell ref="C131:E131"/>
    <mergeCell ref="C120:N120"/>
    <mergeCell ref="C121:E121"/>
    <mergeCell ref="C122:N122"/>
    <mergeCell ref="C123:N123"/>
    <mergeCell ref="C124:E124"/>
    <mergeCell ref="C125:E125"/>
    <mergeCell ref="C113:E113"/>
    <mergeCell ref="C114:E114"/>
    <mergeCell ref="C115:E115"/>
    <mergeCell ref="C116:E116"/>
    <mergeCell ref="C117:E117"/>
    <mergeCell ref="C118:E118"/>
    <mergeCell ref="C107:N107"/>
    <mergeCell ref="C108:E108"/>
    <mergeCell ref="C109:N109"/>
    <mergeCell ref="C110:E110"/>
    <mergeCell ref="C111:E111"/>
    <mergeCell ref="C112:E112"/>
    <mergeCell ref="C100:E100"/>
    <mergeCell ref="C101:E101"/>
    <mergeCell ref="C102:E102"/>
    <mergeCell ref="C103:E103"/>
    <mergeCell ref="C104:E104"/>
    <mergeCell ref="C105:E105"/>
    <mergeCell ref="C94:N94"/>
    <mergeCell ref="C95:E95"/>
    <mergeCell ref="C96:N96"/>
    <mergeCell ref="C97:E97"/>
    <mergeCell ref="C98:E98"/>
    <mergeCell ref="C99:E99"/>
    <mergeCell ref="C87:E87"/>
    <mergeCell ref="C88:E88"/>
    <mergeCell ref="C89:E89"/>
    <mergeCell ref="C90:E90"/>
    <mergeCell ref="C91:E91"/>
    <mergeCell ref="C92:E92"/>
    <mergeCell ref="C81:E81"/>
    <mergeCell ref="C82:E82"/>
    <mergeCell ref="C83:E83"/>
    <mergeCell ref="C84:E84"/>
    <mergeCell ref="C85:E85"/>
    <mergeCell ref="C86:E86"/>
    <mergeCell ref="C74:E74"/>
    <mergeCell ref="C75:E75"/>
    <mergeCell ref="C77:N77"/>
    <mergeCell ref="C78:E78"/>
    <mergeCell ref="C79:N79"/>
    <mergeCell ref="C80:N80"/>
    <mergeCell ref="C68:E68"/>
    <mergeCell ref="C69:E69"/>
    <mergeCell ref="C70:E70"/>
    <mergeCell ref="C71:E71"/>
    <mergeCell ref="C72:E72"/>
    <mergeCell ref="C73:E73"/>
    <mergeCell ref="C62:E62"/>
    <mergeCell ref="C63:N63"/>
    <mergeCell ref="C64:E64"/>
    <mergeCell ref="C65:E65"/>
    <mergeCell ref="C66:E66"/>
    <mergeCell ref="C67:E67"/>
    <mergeCell ref="C53:E53"/>
    <mergeCell ref="C55:N55"/>
    <mergeCell ref="C56:E56"/>
    <mergeCell ref="C58:N58"/>
    <mergeCell ref="C59:E59"/>
    <mergeCell ref="C61:N61"/>
    <mergeCell ref="C47:E47"/>
    <mergeCell ref="C48:E48"/>
    <mergeCell ref="C49:E49"/>
    <mergeCell ref="C50:E50"/>
    <mergeCell ref="C51:E51"/>
    <mergeCell ref="C52:E52"/>
    <mergeCell ref="C41:N41"/>
    <mergeCell ref="C42:E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686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6">
    <pageSetUpPr fitToPage="1"/>
  </sheetPr>
  <dimension ref="B1:I37"/>
  <sheetViews>
    <sheetView showGridLines="0" topLeftCell="B7" zoomScale="115" zoomScaleNormal="115" workbookViewId="0">
      <selection activeCell="E18" sqref="E18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20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/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663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3180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143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526.66999999999996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507">
        <v>524.09</v>
      </c>
      <c r="F15" s="508"/>
      <c r="G15" s="509"/>
      <c r="H15" s="691" t="s">
        <v>641</v>
      </c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692">
        <f>I30/E15</f>
        <v>1.0049999999999999</v>
      </c>
      <c r="F17" s="508"/>
      <c r="G17" s="509"/>
      <c r="H17" s="691" t="s">
        <v>279</v>
      </c>
      <c r="I17" s="9"/>
    </row>
    <row r="18" spans="2:9" x14ac:dyDescent="0.2">
      <c r="B18" s="6"/>
      <c r="C18" s="24" t="s">
        <v>286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x14ac:dyDescent="0.2">
      <c r="B26" s="511">
        <v>1</v>
      </c>
      <c r="C26" s="512" t="s">
        <v>3181</v>
      </c>
      <c r="D26" s="513" t="s">
        <v>604</v>
      </c>
      <c r="E26" s="514">
        <v>143.94999999999999</v>
      </c>
      <c r="F26" s="514"/>
      <c r="G26" s="514"/>
      <c r="H26" s="514"/>
      <c r="I26" s="514">
        <v>143.94999999999999</v>
      </c>
    </row>
    <row r="27" spans="2:9" x14ac:dyDescent="0.2">
      <c r="B27" s="511">
        <v>2</v>
      </c>
      <c r="C27" s="512" t="s">
        <v>3182</v>
      </c>
      <c r="D27" s="513" t="s">
        <v>606</v>
      </c>
      <c r="E27" s="514">
        <v>235.26</v>
      </c>
      <c r="F27" s="514"/>
      <c r="G27" s="514"/>
      <c r="H27" s="514"/>
      <c r="I27" s="514">
        <v>235.26</v>
      </c>
    </row>
    <row r="28" spans="2:9" ht="25.5" x14ac:dyDescent="0.2">
      <c r="B28" s="511">
        <v>3</v>
      </c>
      <c r="C28" s="512" t="s">
        <v>3183</v>
      </c>
      <c r="D28" s="513" t="s">
        <v>609</v>
      </c>
      <c r="E28" s="514">
        <v>2.0299999999999998</v>
      </c>
      <c r="F28" s="514">
        <v>58.51</v>
      </c>
      <c r="G28" s="514">
        <v>86.92</v>
      </c>
      <c r="H28" s="514"/>
      <c r="I28" s="514">
        <v>147.46</v>
      </c>
    </row>
    <row r="29" spans="2:9" x14ac:dyDescent="0.2">
      <c r="B29" s="511" t="s">
        <v>143</v>
      </c>
      <c r="C29" s="512" t="s">
        <v>143</v>
      </c>
      <c r="D29" s="513" t="s">
        <v>6725</v>
      </c>
      <c r="E29" s="514">
        <v>381.24</v>
      </c>
      <c r="F29" s="514">
        <v>58.51</v>
      </c>
      <c r="G29" s="514">
        <v>86.92</v>
      </c>
      <c r="H29" s="514"/>
      <c r="I29" s="514">
        <v>526.66999999999996</v>
      </c>
    </row>
    <row r="30" spans="2:9" x14ac:dyDescent="0.2">
      <c r="B30" s="511" t="s">
        <v>143</v>
      </c>
      <c r="C30" s="512" t="s">
        <v>143</v>
      </c>
      <c r="D30" s="515" t="s">
        <v>294</v>
      </c>
      <c r="E30" s="527">
        <v>381.24</v>
      </c>
      <c r="F30" s="527">
        <v>58.51</v>
      </c>
      <c r="G30" s="527">
        <v>86.92</v>
      </c>
      <c r="H30" s="527"/>
      <c r="I30" s="527">
        <v>526.66999999999996</v>
      </c>
    </row>
    <row r="31" spans="2:9" x14ac:dyDescent="0.2">
      <c r="B31" s="31"/>
      <c r="C31" s="32"/>
      <c r="D31" s="33"/>
      <c r="E31" s="34"/>
      <c r="F31" s="34"/>
      <c r="G31" s="34"/>
      <c r="H31" s="34"/>
      <c r="I31" s="34"/>
    </row>
    <row r="34" spans="2:9" ht="15" x14ac:dyDescent="0.2">
      <c r="B34" s="35" t="s">
        <v>149</v>
      </c>
      <c r="D34" s="516"/>
      <c r="E34" s="517"/>
      <c r="F34" s="516"/>
      <c r="G34" s="516" t="s">
        <v>296</v>
      </c>
      <c r="I34" s="518"/>
    </row>
    <row r="35" spans="2:9" ht="15" x14ac:dyDescent="0.2">
      <c r="C35" s="39"/>
      <c r="D35" s="1793" t="s">
        <v>150</v>
      </c>
      <c r="E35" s="1793"/>
      <c r="F35" s="1793"/>
      <c r="G35" s="1793"/>
      <c r="H35" s="1793"/>
      <c r="I35" s="1793"/>
    </row>
    <row r="36" spans="2:9" ht="15" x14ac:dyDescent="0.2">
      <c r="B36" s="35" t="s">
        <v>151</v>
      </c>
      <c r="D36" s="516"/>
      <c r="E36" s="517"/>
      <c r="F36" s="516"/>
      <c r="G36" s="516" t="s">
        <v>297</v>
      </c>
      <c r="H36" s="517"/>
      <c r="I36" s="518"/>
    </row>
    <row r="37" spans="2:9" x14ac:dyDescent="0.2">
      <c r="D37" s="1793" t="s">
        <v>150</v>
      </c>
      <c r="E37" s="1793"/>
      <c r="F37" s="1793"/>
      <c r="G37" s="1793"/>
      <c r="H37" s="1793"/>
      <c r="I37" s="1793"/>
    </row>
  </sheetData>
  <mergeCells count="18">
    <mergeCell ref="B25:I25"/>
    <mergeCell ref="D35:I35"/>
    <mergeCell ref="D37:I37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  <mergeCell ref="B11:I11"/>
    <mergeCell ref="C3:H3"/>
    <mergeCell ref="D4:G4"/>
    <mergeCell ref="C5:H5"/>
    <mergeCell ref="D6:G6"/>
    <mergeCell ref="D10:H10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autoPageBreaks="0" fitToPage="1"/>
  </sheetPr>
  <dimension ref="A1:M98"/>
  <sheetViews>
    <sheetView showGridLines="0" zoomScale="130" zoomScaleNormal="130" workbookViewId="0">
      <selection activeCell="C19" sqref="C19:C22"/>
    </sheetView>
  </sheetViews>
  <sheetFormatPr defaultColWidth="9.140625" defaultRowHeight="12.75" x14ac:dyDescent="0.2"/>
  <cols>
    <col min="1" max="1" width="5" style="462" customWidth="1"/>
    <col min="2" max="2" width="19.28515625" style="453" customWidth="1"/>
    <col min="3" max="3" width="51.28515625" style="453" customWidth="1"/>
    <col min="4" max="4" width="13.140625" style="458" customWidth="1"/>
    <col min="5" max="5" width="13" style="458" customWidth="1"/>
    <col min="6" max="6" width="13.42578125" style="458" customWidth="1"/>
    <col min="7" max="7" width="12.5703125" style="458" customWidth="1"/>
    <col min="8" max="8" width="13.85546875" style="458" customWidth="1"/>
    <col min="9" max="9" width="11.7109375" style="456" hidden="1" customWidth="1"/>
    <col min="10" max="10" width="11.5703125" style="456" hidden="1" customWidth="1"/>
    <col min="11" max="11" width="10.28515625" style="456" hidden="1" customWidth="1"/>
    <col min="12" max="12" width="12" style="456" hidden="1" customWidth="1"/>
    <col min="13" max="13" width="10.85546875" style="456" hidden="1" customWidth="1"/>
    <col min="14" max="16384" width="9.140625" style="456"/>
  </cols>
  <sheetData>
    <row r="1" spans="2:8" x14ac:dyDescent="0.2">
      <c r="D1" s="454"/>
      <c r="E1" s="454"/>
      <c r="F1" s="454"/>
      <c r="G1" s="454"/>
      <c r="H1" s="455" t="s">
        <v>6447</v>
      </c>
    </row>
    <row r="2" spans="2:8" x14ac:dyDescent="0.2">
      <c r="B2" s="453" t="s">
        <v>6448</v>
      </c>
      <c r="C2" s="1687" t="s">
        <v>5654</v>
      </c>
      <c r="D2" s="1688"/>
      <c r="E2" s="1688"/>
      <c r="F2" s="1688"/>
      <c r="G2" s="1688"/>
      <c r="H2" s="454"/>
    </row>
    <row r="3" spans="2:8" x14ac:dyDescent="0.2">
      <c r="C3" s="1097"/>
      <c r="D3" s="1098" t="s">
        <v>5790</v>
      </c>
      <c r="E3" s="1099"/>
      <c r="F3" s="1100"/>
      <c r="G3" s="1100"/>
      <c r="H3" s="454"/>
    </row>
    <row r="4" spans="2:8" x14ac:dyDescent="0.2">
      <c r="B4" s="453" t="s">
        <v>6449</v>
      </c>
      <c r="D4" s="454"/>
      <c r="E4" s="457"/>
      <c r="F4" s="454"/>
      <c r="G4" s="454"/>
      <c r="H4" s="454"/>
    </row>
    <row r="5" spans="2:8" x14ac:dyDescent="0.2">
      <c r="D5" s="454"/>
      <c r="E5" s="457"/>
      <c r="F5" s="454"/>
      <c r="G5" s="454"/>
      <c r="H5" s="454"/>
    </row>
    <row r="6" spans="2:8" ht="15" x14ac:dyDescent="0.2">
      <c r="B6" s="453" t="s">
        <v>10142</v>
      </c>
      <c r="D6" s="1101"/>
      <c r="E6" s="457"/>
      <c r="F6" s="454"/>
      <c r="G6" s="454"/>
      <c r="H6" s="454"/>
    </row>
    <row r="7" spans="2:8" x14ac:dyDescent="0.2">
      <c r="C7" s="1689"/>
      <c r="D7" s="1690"/>
      <c r="E7" s="1690"/>
      <c r="F7" s="1690"/>
      <c r="G7" s="1690"/>
      <c r="H7" s="454"/>
    </row>
    <row r="8" spans="2:8" x14ac:dyDescent="0.2">
      <c r="D8" s="457" t="s">
        <v>6450</v>
      </c>
      <c r="F8" s="454"/>
      <c r="G8" s="454"/>
      <c r="H8" s="454"/>
    </row>
    <row r="9" spans="2:8" x14ac:dyDescent="0.2">
      <c r="D9" s="454"/>
      <c r="E9" s="457"/>
      <c r="F9" s="454"/>
      <c r="G9" s="454"/>
      <c r="H9" s="454"/>
    </row>
    <row r="10" spans="2:8" x14ac:dyDescent="0.2">
      <c r="B10" s="453" t="s">
        <v>6451</v>
      </c>
      <c r="H10" s="454"/>
    </row>
    <row r="11" spans="2:8" x14ac:dyDescent="0.2">
      <c r="G11" s="454"/>
      <c r="H11" s="454"/>
    </row>
    <row r="12" spans="2:8" x14ac:dyDescent="0.2">
      <c r="D12" s="459" t="s">
        <v>6452</v>
      </c>
      <c r="F12" s="454"/>
      <c r="G12" s="454"/>
      <c r="H12" s="454"/>
    </row>
    <row r="13" spans="2:8" x14ac:dyDescent="0.2">
      <c r="D13" s="460"/>
      <c r="F13" s="454"/>
      <c r="G13" s="454"/>
      <c r="H13" s="454"/>
    </row>
    <row r="14" spans="2:8" ht="44.1" customHeight="1" x14ac:dyDescent="0.2">
      <c r="C14" s="1691" t="s">
        <v>5885</v>
      </c>
      <c r="D14" s="1692"/>
      <c r="E14" s="1692"/>
      <c r="F14" s="1692"/>
      <c r="G14" s="1692"/>
      <c r="H14" s="454"/>
    </row>
    <row r="15" spans="2:8" x14ac:dyDescent="0.2">
      <c r="D15" s="461" t="s">
        <v>139</v>
      </c>
      <c r="F15" s="454"/>
      <c r="G15" s="454"/>
      <c r="H15" s="454"/>
    </row>
    <row r="16" spans="2:8" x14ac:dyDescent="0.2">
      <c r="H16" s="454"/>
    </row>
    <row r="17" spans="1:9" x14ac:dyDescent="0.2">
      <c r="B17" s="453" t="s">
        <v>6453</v>
      </c>
      <c r="D17" s="460"/>
      <c r="E17" s="454"/>
      <c r="F17" s="454"/>
      <c r="G17" s="454"/>
      <c r="H17" s="454"/>
    </row>
    <row r="18" spans="1:9" x14ac:dyDescent="0.2">
      <c r="D18" s="454"/>
      <c r="E18" s="454"/>
      <c r="F18" s="454"/>
      <c r="G18" s="454"/>
      <c r="H18" s="454"/>
    </row>
    <row r="19" spans="1:9" ht="12.75" customHeight="1" x14ac:dyDescent="0.2">
      <c r="A19" s="1693" t="s">
        <v>287</v>
      </c>
      <c r="B19" s="1694" t="s">
        <v>6454</v>
      </c>
      <c r="C19" s="1694" t="s">
        <v>6455</v>
      </c>
      <c r="D19" s="1695" t="s">
        <v>289</v>
      </c>
      <c r="E19" s="1695"/>
      <c r="F19" s="1695"/>
      <c r="G19" s="1695"/>
      <c r="H19" s="1693" t="s">
        <v>6456</v>
      </c>
    </row>
    <row r="20" spans="1:9" x14ac:dyDescent="0.2">
      <c r="A20" s="1693"/>
      <c r="B20" s="1694"/>
      <c r="C20" s="1694"/>
      <c r="D20" s="1693" t="s">
        <v>6457</v>
      </c>
      <c r="E20" s="1693" t="s">
        <v>140</v>
      </c>
      <c r="F20" s="1693" t="s">
        <v>6458</v>
      </c>
      <c r="G20" s="1693" t="s">
        <v>6459</v>
      </c>
      <c r="H20" s="1693"/>
    </row>
    <row r="21" spans="1:9" x14ac:dyDescent="0.2">
      <c r="A21" s="1693"/>
      <c r="B21" s="1694"/>
      <c r="C21" s="1694"/>
      <c r="D21" s="1693"/>
      <c r="E21" s="1693"/>
      <c r="F21" s="1693"/>
      <c r="G21" s="1693"/>
      <c r="H21" s="1693"/>
    </row>
    <row r="22" spans="1:9" x14ac:dyDescent="0.2">
      <c r="A22" s="1693"/>
      <c r="B22" s="1694"/>
      <c r="C22" s="1694"/>
      <c r="D22" s="1693"/>
      <c r="E22" s="1693"/>
      <c r="F22" s="1693"/>
      <c r="G22" s="1693"/>
      <c r="H22" s="1693"/>
    </row>
    <row r="23" spans="1:9" x14ac:dyDescent="0.2">
      <c r="A23" s="1102">
        <v>1</v>
      </c>
      <c r="B23" s="1103">
        <v>2</v>
      </c>
      <c r="C23" s="1103">
        <v>3</v>
      </c>
      <c r="D23" s="1102">
        <v>4</v>
      </c>
      <c r="E23" s="1102">
        <v>5</v>
      </c>
      <c r="F23" s="1102">
        <v>6</v>
      </c>
      <c r="G23" s="1102">
        <v>7</v>
      </c>
      <c r="H23" s="1102">
        <v>8</v>
      </c>
    </row>
    <row r="24" spans="1:9" x14ac:dyDescent="0.2">
      <c r="A24" s="1685" t="s">
        <v>6460</v>
      </c>
      <c r="B24" s="1686"/>
      <c r="C24" s="1686"/>
      <c r="D24" s="1686"/>
      <c r="E24" s="1686"/>
      <c r="F24" s="1686"/>
      <c r="G24" s="1686"/>
      <c r="H24" s="1686"/>
    </row>
    <row r="25" spans="1:9" x14ac:dyDescent="0.2">
      <c r="A25" s="463">
        <v>1</v>
      </c>
      <c r="B25" s="464" t="s">
        <v>6461</v>
      </c>
      <c r="C25" s="464" t="s">
        <v>18</v>
      </c>
      <c r="D25" s="465">
        <v>112.89</v>
      </c>
      <c r="E25" s="466"/>
      <c r="F25" s="466"/>
      <c r="G25" s="466"/>
      <c r="H25" s="465">
        <f>SUM(D25:G25)</f>
        <v>112.89</v>
      </c>
    </row>
    <row r="26" spans="1:9" x14ac:dyDescent="0.2">
      <c r="A26" s="463">
        <v>2</v>
      </c>
      <c r="B26" s="464" t="s">
        <v>6462</v>
      </c>
      <c r="C26" s="464" t="s">
        <v>17</v>
      </c>
      <c r="D26" s="465">
        <v>36.76</v>
      </c>
      <c r="E26" s="466">
        <v>0.65</v>
      </c>
      <c r="F26" s="466"/>
      <c r="G26" s="466"/>
      <c r="H26" s="465">
        <f>SUM(D26:G26)</f>
        <v>37.409999999999997</v>
      </c>
    </row>
    <row r="27" spans="1:9" x14ac:dyDescent="0.2">
      <c r="A27" s="463">
        <v>3</v>
      </c>
      <c r="B27" s="464" t="s">
        <v>7079</v>
      </c>
      <c r="C27" s="464" t="s">
        <v>7075</v>
      </c>
      <c r="D27" s="465">
        <v>172.04</v>
      </c>
      <c r="E27" s="466">
        <v>0.39</v>
      </c>
      <c r="F27" s="466"/>
      <c r="G27" s="466"/>
      <c r="H27" s="465">
        <f>SUM(D27:G27)</f>
        <v>172.43</v>
      </c>
    </row>
    <row r="28" spans="1:9" x14ac:dyDescent="0.2">
      <c r="A28" s="463">
        <v>4</v>
      </c>
      <c r="B28" s="464" t="s">
        <v>6463</v>
      </c>
      <c r="C28" s="464" t="s">
        <v>6531</v>
      </c>
      <c r="D28" s="466"/>
      <c r="E28" s="466"/>
      <c r="F28" s="466"/>
      <c r="G28" s="465">
        <v>25.33</v>
      </c>
      <c r="H28" s="466">
        <f>SUM(D28:G28)</f>
        <v>25.33</v>
      </c>
    </row>
    <row r="29" spans="1:9" ht="44.1" customHeight="1" x14ac:dyDescent="0.2">
      <c r="A29" s="467"/>
      <c r="B29" s="1696" t="s">
        <v>6464</v>
      </c>
      <c r="C29" s="1697"/>
      <c r="D29" s="468">
        <f>SUM(D25:D28)</f>
        <v>321.69</v>
      </c>
      <c r="E29" s="468">
        <f>SUM(E25:E28)</f>
        <v>1.04</v>
      </c>
      <c r="F29" s="468">
        <f>SUM(F25:F28)</f>
        <v>0</v>
      </c>
      <c r="G29" s="468">
        <f>SUM(G25:G28)</f>
        <v>25.33</v>
      </c>
      <c r="H29" s="468">
        <f>SUM(H25:H28)</f>
        <v>348.06</v>
      </c>
    </row>
    <row r="30" spans="1:9" x14ac:dyDescent="0.2">
      <c r="A30" s="1685" t="s">
        <v>6465</v>
      </c>
      <c r="B30" s="1686"/>
      <c r="C30" s="1686"/>
      <c r="D30" s="1686"/>
      <c r="E30" s="1686"/>
      <c r="F30" s="1686"/>
      <c r="G30" s="1686"/>
      <c r="H30" s="1686"/>
    </row>
    <row r="31" spans="1:9" x14ac:dyDescent="0.2">
      <c r="A31" s="463">
        <v>5</v>
      </c>
      <c r="B31" s="464" t="s">
        <v>6466</v>
      </c>
      <c r="C31" s="464" t="s">
        <v>19</v>
      </c>
      <c r="D31" s="465">
        <v>13872.38</v>
      </c>
      <c r="E31" s="465">
        <v>127.48</v>
      </c>
      <c r="F31" s="465">
        <v>2810.66</v>
      </c>
      <c r="G31" s="466"/>
      <c r="H31" s="465">
        <f>SUM(D31:G31)</f>
        <v>16810.52</v>
      </c>
      <c r="I31" s="456" t="s">
        <v>9638</v>
      </c>
    </row>
    <row r="32" spans="1:9" ht="44.1" customHeight="1" x14ac:dyDescent="0.2">
      <c r="A32" s="467"/>
      <c r="B32" s="1696" t="s">
        <v>6467</v>
      </c>
      <c r="C32" s="1697"/>
      <c r="D32" s="468">
        <f>D31</f>
        <v>13872.38</v>
      </c>
      <c r="E32" s="468">
        <f>E31</f>
        <v>127.48</v>
      </c>
      <c r="F32" s="468">
        <f>F31</f>
        <v>2810.66</v>
      </c>
      <c r="G32" s="468">
        <f t="shared" ref="G32" si="0">G31</f>
        <v>0</v>
      </c>
      <c r="H32" s="468">
        <f>SUM(H31)</f>
        <v>16810.52</v>
      </c>
    </row>
    <row r="33" spans="1:13" x14ac:dyDescent="0.2">
      <c r="A33" s="1685" t="s">
        <v>6468</v>
      </c>
      <c r="B33" s="1686"/>
      <c r="C33" s="1686"/>
      <c r="D33" s="1686"/>
      <c r="E33" s="1686"/>
      <c r="F33" s="1686"/>
      <c r="G33" s="1686"/>
      <c r="H33" s="1686"/>
    </row>
    <row r="34" spans="1:13" x14ac:dyDescent="0.2">
      <c r="A34" s="463">
        <v>6</v>
      </c>
      <c r="B34" s="464" t="s">
        <v>6469</v>
      </c>
      <c r="C34" s="464" t="s">
        <v>31</v>
      </c>
      <c r="D34" s="465">
        <v>786.96</v>
      </c>
      <c r="E34" s="465">
        <v>260.99</v>
      </c>
      <c r="F34" s="465">
        <v>2371.4499999999998</v>
      </c>
      <c r="G34" s="466"/>
      <c r="H34" s="465">
        <f>SUM(D34:G34)</f>
        <v>3419.4</v>
      </c>
    </row>
    <row r="35" spans="1:13" x14ac:dyDescent="0.2">
      <c r="A35" s="463">
        <v>7</v>
      </c>
      <c r="B35" s="464" t="s">
        <v>6470</v>
      </c>
      <c r="C35" s="464" t="s">
        <v>55</v>
      </c>
      <c r="D35" s="465">
        <v>381.24</v>
      </c>
      <c r="E35" s="466">
        <v>58.51</v>
      </c>
      <c r="F35" s="466">
        <v>86.92</v>
      </c>
      <c r="G35" s="466"/>
      <c r="H35" s="465">
        <f>SUM(D35:G35)</f>
        <v>526.66999999999996</v>
      </c>
    </row>
    <row r="36" spans="1:13" x14ac:dyDescent="0.2">
      <c r="A36" s="463">
        <v>8</v>
      </c>
      <c r="B36" s="464" t="s">
        <v>6471</v>
      </c>
      <c r="C36" s="464" t="s">
        <v>61</v>
      </c>
      <c r="D36" s="465">
        <v>126.04</v>
      </c>
      <c r="E36" s="465">
        <v>49.85</v>
      </c>
      <c r="F36" s="465">
        <v>622.91999999999996</v>
      </c>
      <c r="G36" s="466"/>
      <c r="H36" s="465">
        <f>SUM(D36:G36)</f>
        <v>798.81</v>
      </c>
    </row>
    <row r="37" spans="1:13" x14ac:dyDescent="0.2">
      <c r="A37" s="463">
        <v>9</v>
      </c>
      <c r="B37" s="464" t="s">
        <v>6472</v>
      </c>
      <c r="C37" s="464" t="s">
        <v>3591</v>
      </c>
      <c r="D37" s="465">
        <v>40.770000000000003</v>
      </c>
      <c r="E37" s="466"/>
      <c r="F37" s="466"/>
      <c r="G37" s="466"/>
      <c r="H37" s="465">
        <f>SUM(D37:G37)</f>
        <v>40.770000000000003</v>
      </c>
    </row>
    <row r="38" spans="1:13" ht="44.1" customHeight="1" x14ac:dyDescent="0.2">
      <c r="A38" s="467"/>
      <c r="B38" s="1696" t="s">
        <v>6473</v>
      </c>
      <c r="C38" s="1697"/>
      <c r="D38" s="468">
        <f>SUM(D34:D37)</f>
        <v>1335.01</v>
      </c>
      <c r="E38" s="468">
        <f>SUM(E34:E37)</f>
        <v>369.35</v>
      </c>
      <c r="F38" s="468">
        <f>SUM(F34:F37)</f>
        <v>3081.29</v>
      </c>
      <c r="G38" s="468">
        <f>SUM(G34:G37)</f>
        <v>0</v>
      </c>
      <c r="H38" s="468">
        <f>SUM(H34:H37)</f>
        <v>4785.6499999999996</v>
      </c>
    </row>
    <row r="39" spans="1:13" x14ac:dyDescent="0.2">
      <c r="A39" s="1685" t="s">
        <v>6474</v>
      </c>
      <c r="B39" s="1686"/>
      <c r="C39" s="1686"/>
      <c r="D39" s="1686"/>
      <c r="E39" s="1686"/>
      <c r="F39" s="1686"/>
      <c r="G39" s="1686"/>
      <c r="H39" s="1686"/>
    </row>
    <row r="40" spans="1:13" x14ac:dyDescent="0.2">
      <c r="A40" s="463">
        <v>10</v>
      </c>
      <c r="B40" s="464" t="s">
        <v>6475</v>
      </c>
      <c r="C40" s="464" t="s">
        <v>6476</v>
      </c>
      <c r="D40" s="465">
        <v>123.75</v>
      </c>
      <c r="E40" s="465">
        <v>61.9</v>
      </c>
      <c r="F40" s="465">
        <v>1529.8</v>
      </c>
      <c r="G40" s="466"/>
      <c r="H40" s="465">
        <f>SUM(D40:G40)</f>
        <v>1715.45</v>
      </c>
    </row>
    <row r="41" spans="1:13" x14ac:dyDescent="0.2">
      <c r="A41" s="463">
        <v>11</v>
      </c>
      <c r="B41" s="464" t="s">
        <v>8093</v>
      </c>
      <c r="C41" s="464" t="s">
        <v>8094</v>
      </c>
      <c r="D41" s="465">
        <v>23.55</v>
      </c>
      <c r="E41" s="465">
        <v>2258.89</v>
      </c>
      <c r="F41" s="465">
        <v>7760.25</v>
      </c>
      <c r="G41" s="466"/>
      <c r="H41" s="465">
        <f>SUM(D41:G41)</f>
        <v>10042.69</v>
      </c>
      <c r="I41" s="465">
        <v>23.55</v>
      </c>
      <c r="J41" s="465">
        <v>2258.89</v>
      </c>
      <c r="K41" s="465">
        <v>7760.25</v>
      </c>
      <c r="L41" s="466"/>
      <c r="M41" s="465">
        <f>SUM(I41:L41)</f>
        <v>10042.69</v>
      </c>
    </row>
    <row r="42" spans="1:13" ht="44.1" customHeight="1" x14ac:dyDescent="0.2">
      <c r="A42" s="467"/>
      <c r="B42" s="1696" t="s">
        <v>6477</v>
      </c>
      <c r="C42" s="1697"/>
      <c r="D42" s="468">
        <f>SUM(D40:D41)</f>
        <v>147.30000000000001</v>
      </c>
      <c r="E42" s="468">
        <f>SUM(E40:E41)</f>
        <v>2320.79</v>
      </c>
      <c r="F42" s="468">
        <f>SUM(F40:F41)</f>
        <v>9290.0499999999993</v>
      </c>
      <c r="G42" s="468">
        <f>SUM(G40)</f>
        <v>0</v>
      </c>
      <c r="H42" s="468">
        <f>SUM(H40:H41)</f>
        <v>11758.14</v>
      </c>
      <c r="I42" s="468">
        <f>SUM(I40:I41)</f>
        <v>23.55</v>
      </c>
      <c r="J42" s="468">
        <f>SUM(J40:J41)</f>
        <v>2258.89</v>
      </c>
      <c r="K42" s="468">
        <f>SUM(K40:K41)</f>
        <v>7760.25</v>
      </c>
      <c r="L42" s="468">
        <f>SUM(L40)</f>
        <v>0</v>
      </c>
      <c r="M42" s="465">
        <f>SUM(I42:L42)</f>
        <v>10042.69</v>
      </c>
    </row>
    <row r="43" spans="1:13" x14ac:dyDescent="0.2">
      <c r="A43" s="1685" t="s">
        <v>6478</v>
      </c>
      <c r="B43" s="1686"/>
      <c r="C43" s="1686"/>
      <c r="D43" s="1686"/>
      <c r="E43" s="1686"/>
      <c r="F43" s="1686"/>
      <c r="G43" s="1686"/>
      <c r="H43" s="1686"/>
      <c r="M43" s="465">
        <f t="shared" ref="M43:M62" si="1">SUM(I43:L43)</f>
        <v>0</v>
      </c>
    </row>
    <row r="44" spans="1:13" x14ac:dyDescent="0.2">
      <c r="A44" s="463">
        <v>12</v>
      </c>
      <c r="B44" s="464" t="s">
        <v>6479</v>
      </c>
      <c r="C44" s="464" t="s">
        <v>3771</v>
      </c>
      <c r="D44" s="465">
        <v>599.49</v>
      </c>
      <c r="E44" s="465">
        <v>83.98</v>
      </c>
      <c r="F44" s="466">
        <v>2.46</v>
      </c>
      <c r="G44" s="466"/>
      <c r="H44" s="465">
        <f>SUM(D44:G44)</f>
        <v>685.93</v>
      </c>
      <c r="M44" s="465">
        <f t="shared" si="1"/>
        <v>0</v>
      </c>
    </row>
    <row r="45" spans="1:13" x14ac:dyDescent="0.2">
      <c r="A45" s="463">
        <v>13</v>
      </c>
      <c r="B45" s="464" t="s">
        <v>6480</v>
      </c>
      <c r="C45" s="464" t="s">
        <v>71</v>
      </c>
      <c r="D45" s="465">
        <v>119.53</v>
      </c>
      <c r="E45" s="465">
        <v>36.5</v>
      </c>
      <c r="F45" s="466">
        <v>72.58</v>
      </c>
      <c r="G45" s="466"/>
      <c r="H45" s="465">
        <f>SUM(D45:G45)</f>
        <v>228.61</v>
      </c>
      <c r="M45" s="465">
        <f t="shared" si="1"/>
        <v>0</v>
      </c>
    </row>
    <row r="46" spans="1:13" x14ac:dyDescent="0.2">
      <c r="A46" s="463">
        <v>14</v>
      </c>
      <c r="B46" s="464" t="s">
        <v>6481</v>
      </c>
      <c r="C46" s="464" t="s">
        <v>4060</v>
      </c>
      <c r="D46" s="1104">
        <v>3655.94</v>
      </c>
      <c r="E46" s="466"/>
      <c r="F46" s="466"/>
      <c r="G46" s="466"/>
      <c r="H46" s="465">
        <f>SUM(D46:G46)</f>
        <v>3655.94</v>
      </c>
      <c r="M46" s="465">
        <f t="shared" si="1"/>
        <v>0</v>
      </c>
    </row>
    <row r="47" spans="1:13" ht="44.1" customHeight="1" x14ac:dyDescent="0.2">
      <c r="A47" s="467"/>
      <c r="B47" s="1696" t="s">
        <v>6482</v>
      </c>
      <c r="C47" s="1697"/>
      <c r="D47" s="468">
        <f>SUM(D44:D46)</f>
        <v>4374.96</v>
      </c>
      <c r="E47" s="468">
        <f>SUM(E44:E46)</f>
        <v>120.48</v>
      </c>
      <c r="F47" s="468">
        <f>SUM(F44:F46)</f>
        <v>75.040000000000006</v>
      </c>
      <c r="G47" s="468">
        <f t="shared" ref="G47" si="2">SUM(G44:G45)</f>
        <v>0</v>
      </c>
      <c r="H47" s="468">
        <f>SUM(H44:H46)</f>
        <v>4570.4799999999996</v>
      </c>
      <c r="I47" s="468">
        <f>SUM(I44:I46)</f>
        <v>0</v>
      </c>
      <c r="J47" s="468">
        <f>SUM(J44:J46)</f>
        <v>0</v>
      </c>
      <c r="K47" s="468">
        <f>SUM(K44:K46)</f>
        <v>0</v>
      </c>
      <c r="L47" s="468">
        <f t="shared" ref="L47" si="3">SUM(L44:L45)</f>
        <v>0</v>
      </c>
      <c r="M47" s="465">
        <f t="shared" si="1"/>
        <v>0</v>
      </c>
    </row>
    <row r="48" spans="1:13" x14ac:dyDescent="0.2">
      <c r="A48" s="1685" t="s">
        <v>6483</v>
      </c>
      <c r="B48" s="1686"/>
      <c r="C48" s="1686"/>
      <c r="D48" s="1686"/>
      <c r="E48" s="1686"/>
      <c r="F48" s="1686"/>
      <c r="G48" s="1686"/>
      <c r="H48" s="1686"/>
      <c r="M48" s="465">
        <f t="shared" si="1"/>
        <v>0</v>
      </c>
    </row>
    <row r="49" spans="1:13" x14ac:dyDescent="0.2">
      <c r="A49" s="463">
        <v>15</v>
      </c>
      <c r="B49" s="464" t="s">
        <v>6484</v>
      </c>
      <c r="C49" s="464" t="s">
        <v>78</v>
      </c>
      <c r="D49" s="465">
        <v>600.03</v>
      </c>
      <c r="E49" s="466"/>
      <c r="F49" s="466"/>
      <c r="G49" s="466"/>
      <c r="H49" s="465">
        <f>SUM(D49:G49)</f>
        <v>600.03</v>
      </c>
      <c r="M49" s="465">
        <f t="shared" si="1"/>
        <v>0</v>
      </c>
    </row>
    <row r="50" spans="1:13" x14ac:dyDescent="0.2">
      <c r="A50" s="463">
        <v>16</v>
      </c>
      <c r="B50" s="464" t="s">
        <v>6485</v>
      </c>
      <c r="C50" s="464" t="s">
        <v>79</v>
      </c>
      <c r="D50" s="465">
        <v>4052.02</v>
      </c>
      <c r="E50" s="465">
        <v>15.7</v>
      </c>
      <c r="F50" s="465">
        <v>1100.27</v>
      </c>
      <c r="G50" s="466"/>
      <c r="H50" s="465">
        <f>SUM(D50:G50)</f>
        <v>5167.99</v>
      </c>
      <c r="M50" s="465">
        <f t="shared" si="1"/>
        <v>0</v>
      </c>
    </row>
    <row r="51" spans="1:13" ht="66" customHeight="1" x14ac:dyDescent="0.2">
      <c r="A51" s="467"/>
      <c r="B51" s="1696" t="s">
        <v>6486</v>
      </c>
      <c r="C51" s="1697"/>
      <c r="D51" s="468">
        <f>SUM(D49:D50)</f>
        <v>4652.05</v>
      </c>
      <c r="E51" s="468">
        <f t="shared" ref="E51:G51" si="4">SUM(E49:E50)</f>
        <v>15.7</v>
      </c>
      <c r="F51" s="468">
        <f t="shared" si="4"/>
        <v>1100.27</v>
      </c>
      <c r="G51" s="468">
        <f t="shared" si="4"/>
        <v>0</v>
      </c>
      <c r="H51" s="468">
        <f>SUM(H49:H50)</f>
        <v>5768.02</v>
      </c>
      <c r="I51" s="468">
        <f>SUM(I49:I50)</f>
        <v>0</v>
      </c>
      <c r="J51" s="468">
        <f t="shared" ref="J51:L51" si="5">SUM(J49:J50)</f>
        <v>0</v>
      </c>
      <c r="K51" s="468">
        <f t="shared" si="5"/>
        <v>0</v>
      </c>
      <c r="L51" s="468">
        <f t="shared" si="5"/>
        <v>0</v>
      </c>
      <c r="M51" s="465">
        <f t="shared" si="1"/>
        <v>0</v>
      </c>
    </row>
    <row r="52" spans="1:13" x14ac:dyDescent="0.2">
      <c r="A52" s="1685" t="s">
        <v>6487</v>
      </c>
      <c r="B52" s="1686"/>
      <c r="C52" s="1686"/>
      <c r="D52" s="1686"/>
      <c r="E52" s="1686"/>
      <c r="F52" s="1686"/>
      <c r="G52" s="1686"/>
      <c r="H52" s="1686"/>
      <c r="M52" s="465">
        <f t="shared" si="1"/>
        <v>0</v>
      </c>
    </row>
    <row r="53" spans="1:13" x14ac:dyDescent="0.2">
      <c r="A53" s="463">
        <v>17</v>
      </c>
      <c r="B53" s="464" t="s">
        <v>6488</v>
      </c>
      <c r="C53" s="464" t="s">
        <v>90</v>
      </c>
      <c r="D53" s="465">
        <v>2724.65</v>
      </c>
      <c r="E53" s="466"/>
      <c r="F53" s="466"/>
      <c r="G53" s="466"/>
      <c r="H53" s="465">
        <f>SUM(D53:G53)</f>
        <v>2724.65</v>
      </c>
      <c r="M53" s="465">
        <f t="shared" si="1"/>
        <v>0</v>
      </c>
    </row>
    <row r="54" spans="1:13" x14ac:dyDescent="0.2">
      <c r="A54" s="463">
        <v>18</v>
      </c>
      <c r="B54" s="464" t="s">
        <v>6670</v>
      </c>
      <c r="C54" s="464" t="s">
        <v>100</v>
      </c>
      <c r="D54" s="465">
        <v>623.05999999999995</v>
      </c>
      <c r="E54" s="466">
        <v>1427.91</v>
      </c>
      <c r="F54" s="466">
        <v>27.42</v>
      </c>
      <c r="G54" s="466"/>
      <c r="H54" s="465">
        <f>SUM(D54:G54)</f>
        <v>2078.39</v>
      </c>
      <c r="M54" s="465">
        <f t="shared" si="1"/>
        <v>0</v>
      </c>
    </row>
    <row r="55" spans="1:13" ht="44.1" customHeight="1" x14ac:dyDescent="0.2">
      <c r="A55" s="467"/>
      <c r="B55" s="1696" t="s">
        <v>6489</v>
      </c>
      <c r="C55" s="1697"/>
      <c r="D55" s="468">
        <f>SUM(D53:D54)</f>
        <v>3347.71</v>
      </c>
      <c r="E55" s="468">
        <f>SUM(E53:E54)</f>
        <v>1427.91</v>
      </c>
      <c r="F55" s="468">
        <f t="shared" ref="F55:G55" si="6">SUM(F53:F54)</f>
        <v>27.42</v>
      </c>
      <c r="G55" s="468">
        <f t="shared" si="6"/>
        <v>0</v>
      </c>
      <c r="H55" s="468">
        <f>SUM(H53:H54)</f>
        <v>4803.04</v>
      </c>
      <c r="M55" s="465">
        <f t="shared" si="1"/>
        <v>0</v>
      </c>
    </row>
    <row r="56" spans="1:13" x14ac:dyDescent="0.2">
      <c r="A56" s="467"/>
      <c r="B56" s="1696" t="s">
        <v>6490</v>
      </c>
      <c r="C56" s="1697"/>
      <c r="D56" s="468">
        <f t="shared" ref="D56:L56" si="7">D29++D32+D38+D42+D47+D51+D55</f>
        <v>28051.1</v>
      </c>
      <c r="E56" s="468">
        <f t="shared" si="7"/>
        <v>4382.75</v>
      </c>
      <c r="F56" s="468">
        <f t="shared" si="7"/>
        <v>16384.73</v>
      </c>
      <c r="G56" s="468">
        <f t="shared" si="7"/>
        <v>25.33</v>
      </c>
      <c r="H56" s="468">
        <f t="shared" si="7"/>
        <v>48843.91</v>
      </c>
      <c r="I56" s="468">
        <f t="shared" si="7"/>
        <v>23.55</v>
      </c>
      <c r="J56" s="468">
        <f t="shared" si="7"/>
        <v>2258.89</v>
      </c>
      <c r="K56" s="468">
        <f t="shared" si="7"/>
        <v>7760.25</v>
      </c>
      <c r="L56" s="468">
        <f t="shared" si="7"/>
        <v>0</v>
      </c>
      <c r="M56" s="465">
        <f t="shared" si="1"/>
        <v>10042.69</v>
      </c>
    </row>
    <row r="57" spans="1:13" x14ac:dyDescent="0.2">
      <c r="A57" s="1685" t="s">
        <v>6491</v>
      </c>
      <c r="B57" s="1686"/>
      <c r="C57" s="1686"/>
      <c r="D57" s="1686"/>
      <c r="E57" s="1686"/>
      <c r="F57" s="1686"/>
      <c r="G57" s="1686"/>
      <c r="H57" s="1686"/>
      <c r="M57" s="465">
        <f t="shared" si="1"/>
        <v>0</v>
      </c>
    </row>
    <row r="58" spans="1:13" ht="63.75" x14ac:dyDescent="0.2">
      <c r="A58" s="463">
        <v>19</v>
      </c>
      <c r="B58" s="464" t="s">
        <v>6492</v>
      </c>
      <c r="C58" s="464" t="s">
        <v>6493</v>
      </c>
      <c r="D58" s="465">
        <f>ROUND(D56*3.1%,2)</f>
        <v>869.58</v>
      </c>
      <c r="E58" s="465">
        <f>ROUND(E56*3.1%,2)</f>
        <v>135.87</v>
      </c>
      <c r="F58" s="466"/>
      <c r="G58" s="466"/>
      <c r="H58" s="465">
        <f>SUM(D58:G58)</f>
        <v>1005.45</v>
      </c>
      <c r="I58" s="465">
        <f>ROUND(I56*3.1%,2)</f>
        <v>0.73</v>
      </c>
      <c r="J58" s="465">
        <f>ROUND(J56*3.1%,2)</f>
        <v>70.03</v>
      </c>
      <c r="K58" s="466"/>
      <c r="L58" s="466"/>
      <c r="M58" s="465">
        <f t="shared" si="1"/>
        <v>70.760000000000005</v>
      </c>
    </row>
    <row r="59" spans="1:13" ht="44.1" customHeight="1" x14ac:dyDescent="0.2">
      <c r="A59" s="467"/>
      <c r="B59" s="1696" t="s">
        <v>6494</v>
      </c>
      <c r="C59" s="1697"/>
      <c r="D59" s="465">
        <f>D58</f>
        <v>869.58</v>
      </c>
      <c r="E59" s="465">
        <f>E58</f>
        <v>135.87</v>
      </c>
      <c r="F59" s="466"/>
      <c r="G59" s="466"/>
      <c r="H59" s="465">
        <f>H58</f>
        <v>1005.45</v>
      </c>
      <c r="M59" s="465">
        <f t="shared" si="1"/>
        <v>0</v>
      </c>
    </row>
    <row r="60" spans="1:13" x14ac:dyDescent="0.2">
      <c r="A60" s="467"/>
      <c r="B60" s="1696" t="s">
        <v>6495</v>
      </c>
      <c r="C60" s="1697"/>
      <c r="D60" s="468">
        <f t="shared" ref="D60:L60" si="8">D59+D56</f>
        <v>28920.68</v>
      </c>
      <c r="E60" s="468">
        <f t="shared" si="8"/>
        <v>4518.62</v>
      </c>
      <c r="F60" s="468">
        <f t="shared" si="8"/>
        <v>16384.73</v>
      </c>
      <c r="G60" s="468">
        <f t="shared" si="8"/>
        <v>25.33</v>
      </c>
      <c r="H60" s="468">
        <f t="shared" si="8"/>
        <v>49849.36</v>
      </c>
      <c r="I60" s="468">
        <f t="shared" si="8"/>
        <v>23.55</v>
      </c>
      <c r="J60" s="468">
        <f t="shared" si="8"/>
        <v>2258.89</v>
      </c>
      <c r="K60" s="468">
        <f t="shared" si="8"/>
        <v>7760.25</v>
      </c>
      <c r="L60" s="468">
        <f t="shared" si="8"/>
        <v>0</v>
      </c>
      <c r="M60" s="465">
        <f t="shared" si="1"/>
        <v>10042.69</v>
      </c>
    </row>
    <row r="61" spans="1:13" x14ac:dyDescent="0.2">
      <c r="A61" s="1685" t="s">
        <v>6496</v>
      </c>
      <c r="B61" s="1686"/>
      <c r="C61" s="1686"/>
      <c r="D61" s="1686"/>
      <c r="E61" s="1686"/>
      <c r="F61" s="1686"/>
      <c r="G61" s="1686"/>
      <c r="H61" s="1686"/>
      <c r="M61" s="465">
        <f t="shared" si="1"/>
        <v>0</v>
      </c>
    </row>
    <row r="62" spans="1:13" ht="25.5" x14ac:dyDescent="0.2">
      <c r="A62" s="463">
        <v>20</v>
      </c>
      <c r="B62" s="464" t="s">
        <v>6497</v>
      </c>
      <c r="C62" s="464" t="s">
        <v>6498</v>
      </c>
      <c r="D62" s="469">
        <f>ROUND(D60*0.5%,2)</f>
        <v>144.6</v>
      </c>
      <c r="E62" s="469">
        <f>ROUND(E60*0.5%,2)</f>
        <v>22.59</v>
      </c>
      <c r="F62" s="470"/>
      <c r="G62" s="470"/>
      <c r="H62" s="469">
        <f>SUM(D62:G62)</f>
        <v>167.19</v>
      </c>
      <c r="I62" s="469">
        <f>ROUND(I60*0.5%,2)</f>
        <v>0.12</v>
      </c>
      <c r="J62" s="469">
        <f>ROUND(J60*0.5%,2)</f>
        <v>11.29</v>
      </c>
      <c r="K62" s="470"/>
      <c r="L62" s="470"/>
      <c r="M62" s="465">
        <f t="shared" si="1"/>
        <v>11.41</v>
      </c>
    </row>
    <row r="63" spans="1:13" ht="25.5" x14ac:dyDescent="0.2">
      <c r="A63" s="463">
        <v>21</v>
      </c>
      <c r="B63" s="464" t="s">
        <v>6499</v>
      </c>
      <c r="C63" s="464" t="s">
        <v>101</v>
      </c>
      <c r="D63" s="470"/>
      <c r="E63" s="470"/>
      <c r="F63" s="470"/>
      <c r="G63" s="471">
        <v>88.14</v>
      </c>
      <c r="H63" s="465">
        <f>G63</f>
        <v>88.14</v>
      </c>
    </row>
    <row r="64" spans="1:13" ht="25.5" x14ac:dyDescent="0.2">
      <c r="A64" s="463">
        <v>22</v>
      </c>
      <c r="B64" s="464" t="s">
        <v>6500</v>
      </c>
      <c r="C64" s="464" t="s">
        <v>102</v>
      </c>
      <c r="D64" s="466"/>
      <c r="E64" s="466"/>
      <c r="F64" s="466"/>
      <c r="G64" s="466">
        <v>0.95</v>
      </c>
      <c r="H64" s="465">
        <f>SUM(D64:G64)</f>
        <v>0.95</v>
      </c>
    </row>
    <row r="65" spans="1:13" x14ac:dyDescent="0.2">
      <c r="A65" s="463">
        <v>23</v>
      </c>
      <c r="B65" s="464" t="s">
        <v>6501</v>
      </c>
      <c r="C65" s="464" t="s">
        <v>103</v>
      </c>
      <c r="D65" s="466"/>
      <c r="E65" s="466"/>
      <c r="F65" s="466"/>
      <c r="G65" s="466">
        <v>1072.08</v>
      </c>
      <c r="H65" s="465">
        <f t="shared" ref="H65:H68" si="9">SUM(D65:G65)</f>
        <v>1072.08</v>
      </c>
    </row>
    <row r="66" spans="1:13" x14ac:dyDescent="0.2">
      <c r="A66" s="463">
        <v>24</v>
      </c>
      <c r="B66" s="464" t="s">
        <v>6502</v>
      </c>
      <c r="C66" s="464" t="s">
        <v>104</v>
      </c>
      <c r="D66" s="466"/>
      <c r="E66" s="466"/>
      <c r="F66" s="466"/>
      <c r="G66" s="466">
        <v>4.66</v>
      </c>
      <c r="H66" s="465">
        <f t="shared" si="9"/>
        <v>4.66</v>
      </c>
    </row>
    <row r="67" spans="1:13" ht="25.5" x14ac:dyDescent="0.2">
      <c r="A67" s="463">
        <v>25</v>
      </c>
      <c r="B67" s="464" t="s">
        <v>6503</v>
      </c>
      <c r="C67" s="464" t="s">
        <v>110</v>
      </c>
      <c r="D67" s="466"/>
      <c r="E67" s="466"/>
      <c r="F67" s="466"/>
      <c r="G67" s="466">
        <v>51.71</v>
      </c>
      <c r="H67" s="465">
        <f t="shared" si="9"/>
        <v>51.71</v>
      </c>
    </row>
    <row r="68" spans="1:13" ht="25.5" x14ac:dyDescent="0.2">
      <c r="A68" s="463">
        <v>26</v>
      </c>
      <c r="B68" s="464" t="s">
        <v>6504</v>
      </c>
      <c r="C68" s="472" t="s">
        <v>9639</v>
      </c>
      <c r="D68" s="466"/>
      <c r="E68" s="466"/>
      <c r="F68" s="466"/>
      <c r="G68" s="466">
        <v>2.06</v>
      </c>
      <c r="H68" s="465">
        <f t="shared" si="9"/>
        <v>2.06</v>
      </c>
    </row>
    <row r="69" spans="1:13" x14ac:dyDescent="0.2">
      <c r="A69" s="463">
        <v>27</v>
      </c>
      <c r="B69" s="464" t="s">
        <v>6505</v>
      </c>
      <c r="C69" s="473" t="s">
        <v>113</v>
      </c>
      <c r="D69" s="466"/>
      <c r="E69" s="466"/>
      <c r="F69" s="466"/>
      <c r="G69" s="466">
        <v>35.39</v>
      </c>
      <c r="H69" s="465">
        <f>SUM(D69:G69)</f>
        <v>35.39</v>
      </c>
    </row>
    <row r="70" spans="1:13" ht="25.5" x14ac:dyDescent="0.2">
      <c r="A70" s="463">
        <v>28</v>
      </c>
      <c r="B70" s="464" t="s">
        <v>9624</v>
      </c>
      <c r="C70" s="473" t="s">
        <v>9625</v>
      </c>
      <c r="D70" s="466"/>
      <c r="E70" s="466"/>
      <c r="F70" s="466"/>
      <c r="G70" s="466">
        <v>41254.660000000003</v>
      </c>
      <c r="H70" s="465">
        <f>SUM(D70:G70)</f>
        <v>41254.660000000003</v>
      </c>
      <c r="I70" s="466"/>
      <c r="J70" s="466"/>
      <c r="K70" s="466"/>
      <c r="L70" s="466">
        <v>41254.660000000003</v>
      </c>
      <c r="M70" s="465">
        <f>SUM(I70:L70)</f>
        <v>41254.660000000003</v>
      </c>
    </row>
    <row r="71" spans="1:13" ht="44.1" customHeight="1" x14ac:dyDescent="0.2">
      <c r="A71" s="467"/>
      <c r="B71" s="1696" t="s">
        <v>6506</v>
      </c>
      <c r="C71" s="1697"/>
      <c r="D71" s="469">
        <f>SUM(D62:D69)</f>
        <v>144.6</v>
      </c>
      <c r="E71" s="469">
        <f>SUM(E62:E69)</f>
        <v>22.59</v>
      </c>
      <c r="F71" s="469">
        <f>SUM(F62:F69)</f>
        <v>0</v>
      </c>
      <c r="G71" s="466">
        <f>SUM(G62:G70)</f>
        <v>42509.65</v>
      </c>
      <c r="H71" s="465">
        <f>SUM(D71:G71)</f>
        <v>42676.84</v>
      </c>
      <c r="I71" s="469">
        <f>SUM(I62:I69)</f>
        <v>0.12</v>
      </c>
      <c r="J71" s="469">
        <f>SUM(J62:J69)</f>
        <v>11.29</v>
      </c>
      <c r="K71" s="469">
        <f>SUM(K62:K69)</f>
        <v>0</v>
      </c>
      <c r="L71" s="466">
        <f>SUM(L62:L70)</f>
        <v>41254.660000000003</v>
      </c>
      <c r="M71" s="465">
        <f>SUM(I71:L71)</f>
        <v>41266.07</v>
      </c>
    </row>
    <row r="72" spans="1:13" x14ac:dyDescent="0.2">
      <c r="A72" s="467"/>
      <c r="B72" s="1696" t="s">
        <v>6507</v>
      </c>
      <c r="C72" s="1697"/>
      <c r="D72" s="468">
        <f t="shared" ref="D72:L72" si="10">D71+D60</f>
        <v>29065.279999999999</v>
      </c>
      <c r="E72" s="468">
        <f t="shared" si="10"/>
        <v>4541.21</v>
      </c>
      <c r="F72" s="468">
        <f t="shared" si="10"/>
        <v>16384.73</v>
      </c>
      <c r="G72" s="474">
        <f t="shared" si="10"/>
        <v>42534.98</v>
      </c>
      <c r="H72" s="474">
        <f t="shared" si="10"/>
        <v>92526.2</v>
      </c>
      <c r="I72" s="468">
        <f t="shared" si="10"/>
        <v>23.67</v>
      </c>
      <c r="J72" s="468">
        <f t="shared" si="10"/>
        <v>2270.1799999999998</v>
      </c>
      <c r="K72" s="468">
        <f t="shared" si="10"/>
        <v>7760.25</v>
      </c>
      <c r="L72" s="474">
        <f t="shared" si="10"/>
        <v>41254.660000000003</v>
      </c>
      <c r="M72" s="465">
        <f>SUM(I72:L72)</f>
        <v>51308.76</v>
      </c>
    </row>
    <row r="73" spans="1:13" x14ac:dyDescent="0.2">
      <c r="A73" s="1685" t="s">
        <v>6508</v>
      </c>
      <c r="B73" s="1686"/>
      <c r="C73" s="1686"/>
      <c r="D73" s="1686"/>
      <c r="E73" s="1686"/>
      <c r="F73" s="1686"/>
      <c r="G73" s="1686"/>
      <c r="H73" s="1686"/>
      <c r="M73" s="465">
        <f t="shared" ref="M73:M92" si="11">SUM(I73:L73)</f>
        <v>0</v>
      </c>
    </row>
    <row r="74" spans="1:13" ht="25.5" x14ac:dyDescent="0.2">
      <c r="A74" s="463">
        <v>29</v>
      </c>
      <c r="B74" s="464" t="s">
        <v>6509</v>
      </c>
      <c r="C74" s="464" t="s">
        <v>9627</v>
      </c>
      <c r="D74" s="466"/>
      <c r="E74" s="466"/>
      <c r="F74" s="466"/>
      <c r="G74" s="465">
        <f>ROUND((D72+E72+F72)*1.61%,2)</f>
        <v>804.86</v>
      </c>
      <c r="H74" s="465">
        <f>SUM(D74:G74)</f>
        <v>804.86</v>
      </c>
      <c r="I74" s="466"/>
      <c r="J74" s="466"/>
      <c r="K74" s="466"/>
      <c r="L74" s="465">
        <f>ROUND((I72+J72+K72)*1.93%,2)</f>
        <v>194.04</v>
      </c>
      <c r="M74" s="465">
        <f t="shared" si="11"/>
        <v>194.04</v>
      </c>
    </row>
    <row r="75" spans="1:13" ht="44.1" customHeight="1" x14ac:dyDescent="0.2">
      <c r="A75" s="467"/>
      <c r="B75" s="1696" t="s">
        <v>6510</v>
      </c>
      <c r="C75" s="1697"/>
      <c r="D75" s="466">
        <f t="shared" ref="D75:L75" si="12">D74</f>
        <v>0</v>
      </c>
      <c r="E75" s="466">
        <f t="shared" si="12"/>
        <v>0</v>
      </c>
      <c r="F75" s="466">
        <f t="shared" si="12"/>
        <v>0</v>
      </c>
      <c r="G75" s="466">
        <f t="shared" si="12"/>
        <v>804.86</v>
      </c>
      <c r="H75" s="466">
        <f t="shared" si="12"/>
        <v>804.86</v>
      </c>
      <c r="I75" s="466">
        <f t="shared" si="12"/>
        <v>0</v>
      </c>
      <c r="J75" s="466">
        <f t="shared" si="12"/>
        <v>0</v>
      </c>
      <c r="K75" s="466">
        <f t="shared" si="12"/>
        <v>0</v>
      </c>
      <c r="L75" s="466">
        <f t="shared" si="12"/>
        <v>194.04</v>
      </c>
      <c r="M75" s="465">
        <f t="shared" si="11"/>
        <v>194.04</v>
      </c>
    </row>
    <row r="76" spans="1:13" ht="70.5" customHeight="1" x14ac:dyDescent="0.2">
      <c r="A76" s="1685" t="s">
        <v>6511</v>
      </c>
      <c r="B76" s="1686"/>
      <c r="C76" s="1686"/>
      <c r="D76" s="1686"/>
      <c r="E76" s="1686"/>
      <c r="F76" s="1686"/>
      <c r="G76" s="1686"/>
      <c r="H76" s="1686"/>
      <c r="I76" s="1187"/>
      <c r="J76" s="1187"/>
      <c r="K76" s="1187"/>
      <c r="L76" s="1187"/>
      <c r="M76" s="465">
        <f t="shared" si="11"/>
        <v>0</v>
      </c>
    </row>
    <row r="77" spans="1:13" x14ac:dyDescent="0.2">
      <c r="A77" s="463">
        <v>30</v>
      </c>
      <c r="B77" s="464" t="s">
        <v>6512</v>
      </c>
      <c r="C77" s="464" t="s">
        <v>116</v>
      </c>
      <c r="D77" s="470"/>
      <c r="E77" s="470"/>
      <c r="F77" s="470"/>
      <c r="G77" s="475">
        <v>1298.28</v>
      </c>
      <c r="H77" s="465">
        <f>SUM(D77:G77)</f>
        <v>1298.28</v>
      </c>
      <c r="I77" s="1187"/>
      <c r="J77" s="1187"/>
      <c r="K77" s="1187"/>
      <c r="L77" s="1187"/>
      <c r="M77" s="465">
        <f t="shared" si="11"/>
        <v>0</v>
      </c>
    </row>
    <row r="78" spans="1:13" x14ac:dyDescent="0.2">
      <c r="A78" s="463">
        <v>31</v>
      </c>
      <c r="B78" s="464" t="s">
        <v>6513</v>
      </c>
      <c r="C78" s="464" t="s">
        <v>9640</v>
      </c>
      <c r="D78" s="470"/>
      <c r="E78" s="470"/>
      <c r="F78" s="470"/>
      <c r="G78" s="611">
        <v>1986.95</v>
      </c>
      <c r="H78" s="1273">
        <f t="shared" ref="H78:H80" si="13">SUM(D78:G78)</f>
        <v>1986.95</v>
      </c>
      <c r="I78" s="1187"/>
      <c r="J78" s="1187"/>
      <c r="K78" s="1187"/>
      <c r="L78" s="1187"/>
      <c r="M78" s="465">
        <f t="shared" si="11"/>
        <v>0</v>
      </c>
    </row>
    <row r="79" spans="1:13" x14ac:dyDescent="0.2">
      <c r="A79" s="463">
        <v>32</v>
      </c>
      <c r="B79" s="464" t="s">
        <v>6514</v>
      </c>
      <c r="C79" s="464" t="s">
        <v>9641</v>
      </c>
      <c r="D79" s="470"/>
      <c r="E79" s="470"/>
      <c r="F79" s="470"/>
      <c r="G79" s="475">
        <v>2347.2399999999998</v>
      </c>
      <c r="H79" s="1273">
        <f t="shared" si="13"/>
        <v>2347.2399999999998</v>
      </c>
      <c r="I79" s="1187"/>
      <c r="J79" s="1187"/>
      <c r="K79" s="1187"/>
      <c r="L79" s="1187"/>
      <c r="M79" s="465">
        <f t="shared" si="11"/>
        <v>0</v>
      </c>
    </row>
    <row r="80" spans="1:13" ht="51" x14ac:dyDescent="0.2">
      <c r="A80" s="463">
        <v>35</v>
      </c>
      <c r="B80" s="464" t="s">
        <v>6515</v>
      </c>
      <c r="C80" s="464" t="s">
        <v>121</v>
      </c>
      <c r="D80" s="470"/>
      <c r="E80" s="470"/>
      <c r="F80" s="470"/>
      <c r="G80" s="475">
        <v>298.62</v>
      </c>
      <c r="H80" s="1274">
        <f t="shared" si="13"/>
        <v>298.62</v>
      </c>
      <c r="I80" s="1187"/>
      <c r="J80" s="1187"/>
      <c r="K80" s="1187"/>
      <c r="L80" s="1187"/>
      <c r="M80" s="465">
        <f t="shared" si="11"/>
        <v>0</v>
      </c>
    </row>
    <row r="81" spans="1:13" ht="25.5" x14ac:dyDescent="0.2">
      <c r="A81" s="463">
        <v>36</v>
      </c>
      <c r="B81" s="476" t="s">
        <v>6516</v>
      </c>
      <c r="C81" s="464" t="s">
        <v>6517</v>
      </c>
      <c r="D81" s="470"/>
      <c r="E81" s="470"/>
      <c r="F81" s="470"/>
      <c r="G81" s="465">
        <f>ROUND(H72*0.2%,2)</f>
        <v>185.05</v>
      </c>
      <c r="H81" s="465">
        <f>SUM(D81:G81)</f>
        <v>185.05</v>
      </c>
      <c r="I81" s="1187"/>
      <c r="J81" s="1187"/>
      <c r="K81" s="1187"/>
      <c r="L81" s="465">
        <f>ROUND(M72*0.2%,2)</f>
        <v>102.62</v>
      </c>
      <c r="M81" s="465">
        <f>SUM(I81:L81)</f>
        <v>102.62</v>
      </c>
    </row>
    <row r="82" spans="1:13" x14ac:dyDescent="0.2">
      <c r="A82" s="463">
        <v>37</v>
      </c>
      <c r="B82" s="477" t="s">
        <v>6518</v>
      </c>
      <c r="C82" s="464" t="s">
        <v>122</v>
      </c>
      <c r="D82" s="470"/>
      <c r="E82" s="470"/>
      <c r="F82" s="470"/>
      <c r="G82" s="465">
        <v>18.78</v>
      </c>
      <c r="H82" s="465">
        <f>SUM(D82:G82)</f>
        <v>18.78</v>
      </c>
      <c r="I82" s="1187"/>
      <c r="J82" s="1187"/>
      <c r="K82" s="1187"/>
      <c r="L82" s="1187"/>
      <c r="M82" s="465">
        <f t="shared" si="11"/>
        <v>0</v>
      </c>
    </row>
    <row r="83" spans="1:13" ht="25.5" x14ac:dyDescent="0.2">
      <c r="A83" s="463">
        <v>38</v>
      </c>
      <c r="B83" s="477" t="s">
        <v>6519</v>
      </c>
      <c r="C83" s="464" t="s">
        <v>134</v>
      </c>
      <c r="D83" s="470"/>
      <c r="E83" s="470"/>
      <c r="F83" s="470"/>
      <c r="G83" s="465">
        <v>57.75</v>
      </c>
      <c r="H83" s="465">
        <f>SUM(D83:G83)</f>
        <v>57.75</v>
      </c>
      <c r="I83" s="1187"/>
      <c r="J83" s="1187"/>
      <c r="K83" s="1187"/>
      <c r="L83" s="1187"/>
      <c r="M83" s="465">
        <f t="shared" si="11"/>
        <v>0</v>
      </c>
    </row>
    <row r="84" spans="1:13" x14ac:dyDescent="0.2">
      <c r="A84" s="463">
        <v>39</v>
      </c>
      <c r="B84" s="477" t="s">
        <v>9630</v>
      </c>
      <c r="C84" s="464" t="s">
        <v>9631</v>
      </c>
      <c r="D84" s="470"/>
      <c r="E84" s="470"/>
      <c r="F84" s="470"/>
      <c r="G84" s="465">
        <v>37.11</v>
      </c>
      <c r="H84" s="465">
        <f>SUM(D84:G84)</f>
        <v>37.11</v>
      </c>
      <c r="I84" s="470"/>
      <c r="J84" s="470"/>
      <c r="K84" s="470"/>
      <c r="L84" s="465">
        <v>37.11</v>
      </c>
      <c r="M84" s="465"/>
    </row>
    <row r="85" spans="1:13" x14ac:dyDescent="0.2">
      <c r="A85" s="463">
        <v>40</v>
      </c>
      <c r="B85" s="477" t="s">
        <v>9633</v>
      </c>
      <c r="C85" s="464" t="s">
        <v>9634</v>
      </c>
      <c r="D85" s="470"/>
      <c r="E85" s="470"/>
      <c r="F85" s="470"/>
      <c r="G85" s="465">
        <v>35.01</v>
      </c>
      <c r="H85" s="465">
        <f>SUM(D85:G85)</f>
        <v>35.01</v>
      </c>
      <c r="I85" s="470"/>
      <c r="J85" s="470"/>
      <c r="K85" s="470"/>
      <c r="L85" s="465">
        <v>35.01</v>
      </c>
      <c r="M85" s="465"/>
    </row>
    <row r="86" spans="1:13" ht="118.5" customHeight="1" x14ac:dyDescent="0.2">
      <c r="A86" s="467"/>
      <c r="B86" s="1696" t="s">
        <v>6520</v>
      </c>
      <c r="C86" s="1697"/>
      <c r="D86" s="470"/>
      <c r="E86" s="470"/>
      <c r="F86" s="470"/>
      <c r="G86" s="465">
        <f>SUM(G77:G85)</f>
        <v>6264.79</v>
      </c>
      <c r="H86" s="465">
        <f>SUM(H77:H85)</f>
        <v>6264.79</v>
      </c>
      <c r="I86" s="470"/>
      <c r="J86" s="470"/>
      <c r="K86" s="470"/>
      <c r="L86" s="465">
        <f>SUM(L77:L85)</f>
        <v>174.74</v>
      </c>
      <c r="M86" s="465">
        <f>SUM(M77:M85)</f>
        <v>102.62</v>
      </c>
    </row>
    <row r="87" spans="1:13" x14ac:dyDescent="0.2">
      <c r="A87" s="467"/>
      <c r="B87" s="1696" t="s">
        <v>6521</v>
      </c>
      <c r="C87" s="1697"/>
      <c r="D87" s="468">
        <f t="shared" ref="D87:K87" si="14">D72+D75+D86</f>
        <v>29065.279999999999</v>
      </c>
      <c r="E87" s="468">
        <f t="shared" si="14"/>
        <v>4541.21</v>
      </c>
      <c r="F87" s="468">
        <f t="shared" si="14"/>
        <v>16384.73</v>
      </c>
      <c r="G87" s="468">
        <f t="shared" si="14"/>
        <v>49604.63</v>
      </c>
      <c r="H87" s="468">
        <f t="shared" si="14"/>
        <v>99595.85</v>
      </c>
      <c r="I87" s="468">
        <f t="shared" si="14"/>
        <v>23.67</v>
      </c>
      <c r="J87" s="468">
        <f t="shared" si="14"/>
        <v>2270.1799999999998</v>
      </c>
      <c r="K87" s="468">
        <f t="shared" si="14"/>
        <v>7760.25</v>
      </c>
      <c r="L87" s="468">
        <f>L72+L75+L86</f>
        <v>41623.440000000002</v>
      </c>
      <c r="M87" s="465">
        <f t="shared" si="11"/>
        <v>51677.54</v>
      </c>
    </row>
    <row r="88" spans="1:13" x14ac:dyDescent="0.2">
      <c r="A88" s="1685" t="s">
        <v>6522</v>
      </c>
      <c r="B88" s="1686"/>
      <c r="C88" s="1686"/>
      <c r="D88" s="1686"/>
      <c r="E88" s="1686"/>
      <c r="F88" s="1686"/>
      <c r="G88" s="1686"/>
      <c r="H88" s="1686"/>
      <c r="M88" s="465">
        <f t="shared" si="11"/>
        <v>0</v>
      </c>
    </row>
    <row r="89" spans="1:13" ht="25.5" x14ac:dyDescent="0.2">
      <c r="A89" s="463">
        <v>39</v>
      </c>
      <c r="B89" s="464" t="s">
        <v>6523</v>
      </c>
      <c r="C89" s="464" t="s">
        <v>6524</v>
      </c>
      <c r="D89" s="465">
        <f>ROUND(D87*2%,2)</f>
        <v>581.30999999999995</v>
      </c>
      <c r="E89" s="465">
        <f t="shared" ref="E89:F89" si="15">ROUND(E87*2%,2)</f>
        <v>90.82</v>
      </c>
      <c r="F89" s="465">
        <f t="shared" si="15"/>
        <v>327.69</v>
      </c>
      <c r="G89" s="465">
        <f>ROUND(G87*2%,2)</f>
        <v>992.09</v>
      </c>
      <c r="H89" s="465">
        <f>SUM(D89:G89)</f>
        <v>1991.91</v>
      </c>
      <c r="I89" s="465">
        <f>ROUND(I87*2%,2)</f>
        <v>0.47</v>
      </c>
      <c r="J89" s="465">
        <f t="shared" ref="J89:K89" si="16">ROUND(J87*2%,2)</f>
        <v>45.4</v>
      </c>
      <c r="K89" s="465">
        <f t="shared" si="16"/>
        <v>155.21</v>
      </c>
      <c r="L89" s="465">
        <f>ROUND(L87*2%,2)</f>
        <v>832.47</v>
      </c>
      <c r="M89" s="465">
        <f t="shared" si="11"/>
        <v>1033.55</v>
      </c>
    </row>
    <row r="90" spans="1:13" x14ac:dyDescent="0.2">
      <c r="A90" s="467"/>
      <c r="B90" s="1696" t="s">
        <v>6525</v>
      </c>
      <c r="C90" s="1697"/>
      <c r="D90" s="468">
        <f>D89</f>
        <v>581.30999999999995</v>
      </c>
      <c r="E90" s="468">
        <f t="shared" ref="E90:G90" si="17">E89</f>
        <v>90.82</v>
      </c>
      <c r="F90" s="468">
        <f t="shared" si="17"/>
        <v>327.69</v>
      </c>
      <c r="G90" s="468">
        <f t="shared" si="17"/>
        <v>992.09</v>
      </c>
      <c r="H90" s="468">
        <f>H89</f>
        <v>1991.91</v>
      </c>
      <c r="I90" s="468">
        <f>I89</f>
        <v>0.47</v>
      </c>
      <c r="J90" s="468">
        <f t="shared" ref="J90:K90" si="18">J89</f>
        <v>45.4</v>
      </c>
      <c r="K90" s="468">
        <f t="shared" si="18"/>
        <v>155.21</v>
      </c>
      <c r="L90" s="468">
        <f>L89</f>
        <v>832.47</v>
      </c>
      <c r="M90" s="465">
        <f t="shared" si="11"/>
        <v>1033.55</v>
      </c>
    </row>
    <row r="91" spans="1:13" ht="44.1" customHeight="1" x14ac:dyDescent="0.2">
      <c r="A91" s="467"/>
      <c r="B91" s="1696" t="s">
        <v>6526</v>
      </c>
      <c r="C91" s="1697"/>
      <c r="D91" s="468">
        <f>D87+D90</f>
        <v>29646.59</v>
      </c>
      <c r="E91" s="468">
        <f t="shared" ref="E91:F91" si="19">E87+E90</f>
        <v>4632.03</v>
      </c>
      <c r="F91" s="468">
        <f t="shared" si="19"/>
        <v>16712.419999999998</v>
      </c>
      <c r="G91" s="468">
        <f>G87+G90</f>
        <v>50596.72</v>
      </c>
      <c r="H91" s="468">
        <f>H87+H90</f>
        <v>101587.76</v>
      </c>
      <c r="I91" s="468">
        <f>I87+I90</f>
        <v>24.14</v>
      </c>
      <c r="J91" s="468">
        <f t="shared" ref="J91:K91" si="20">J87+J90</f>
        <v>2315.58</v>
      </c>
      <c r="K91" s="468">
        <f t="shared" si="20"/>
        <v>7915.46</v>
      </c>
      <c r="L91" s="468">
        <f>L87+L90</f>
        <v>42455.91</v>
      </c>
      <c r="M91" s="465">
        <f t="shared" si="11"/>
        <v>52711.09</v>
      </c>
    </row>
    <row r="92" spans="1:13" ht="15" x14ac:dyDescent="0.2">
      <c r="A92" s="467"/>
      <c r="B92" s="1696" t="s">
        <v>6527</v>
      </c>
      <c r="C92" s="1697"/>
      <c r="D92" s="478">
        <f t="shared" ref="D92:L92" si="21">D91</f>
        <v>29646.59</v>
      </c>
      <c r="E92" s="478">
        <f t="shared" si="21"/>
        <v>4632.03</v>
      </c>
      <c r="F92" s="478">
        <f t="shared" si="21"/>
        <v>16712.419999999998</v>
      </c>
      <c r="G92" s="478">
        <f t="shared" si="21"/>
        <v>50596.72</v>
      </c>
      <c r="H92" s="478">
        <f t="shared" si="21"/>
        <v>101587.76</v>
      </c>
      <c r="I92" s="478">
        <f t="shared" si="21"/>
        <v>24.14</v>
      </c>
      <c r="J92" s="478">
        <f t="shared" si="21"/>
        <v>2315.58</v>
      </c>
      <c r="K92" s="478">
        <f t="shared" si="21"/>
        <v>7915.46</v>
      </c>
      <c r="L92" s="478">
        <f t="shared" si="21"/>
        <v>42455.91</v>
      </c>
      <c r="M92" s="465">
        <f t="shared" si="11"/>
        <v>52711.09</v>
      </c>
    </row>
    <row r="93" spans="1:13" x14ac:dyDescent="0.2">
      <c r="C93" s="458" t="s">
        <v>9642</v>
      </c>
      <c r="D93" s="471">
        <f>D92-D94</f>
        <v>29622.45</v>
      </c>
      <c r="E93" s="471">
        <f t="shared" ref="E93:G93" si="22">E92-E94</f>
        <v>2316.4499999999998</v>
      </c>
      <c r="F93" s="471">
        <f t="shared" si="22"/>
        <v>8796.9599999999991</v>
      </c>
      <c r="G93" s="471">
        <f t="shared" si="22"/>
        <v>8140.81</v>
      </c>
      <c r="H93" s="471">
        <f>SUM(D93:G93)</f>
        <v>48876.67</v>
      </c>
    </row>
    <row r="94" spans="1:13" x14ac:dyDescent="0.2">
      <c r="C94" s="479" t="s">
        <v>9643</v>
      </c>
      <c r="D94" s="471">
        <f>I92</f>
        <v>24.14</v>
      </c>
      <c r="E94" s="471">
        <f>J92</f>
        <v>2315.58</v>
      </c>
      <c r="F94" s="471">
        <f>K92</f>
        <v>7915.46</v>
      </c>
      <c r="G94" s="471">
        <f>L92</f>
        <v>42455.91</v>
      </c>
      <c r="H94" s="471">
        <f>SUM(D94:G94)</f>
        <v>52711.09</v>
      </c>
    </row>
    <row r="96" spans="1:13" x14ac:dyDescent="0.2">
      <c r="C96" s="458" t="s">
        <v>9636</v>
      </c>
      <c r="E96" s="458" t="s">
        <v>6528</v>
      </c>
    </row>
    <row r="97" spans="3:5" x14ac:dyDescent="0.2">
      <c r="C97" s="458"/>
    </row>
    <row r="98" spans="3:5" x14ac:dyDescent="0.2">
      <c r="C98" s="480" t="s">
        <v>9637</v>
      </c>
      <c r="E98" s="458" t="s">
        <v>6529</v>
      </c>
    </row>
  </sheetData>
  <mergeCells count="42">
    <mergeCell ref="B87:C87"/>
    <mergeCell ref="A88:H88"/>
    <mergeCell ref="B90:C90"/>
    <mergeCell ref="B91:C91"/>
    <mergeCell ref="B92:C92"/>
    <mergeCell ref="B86:C86"/>
    <mergeCell ref="B55:C55"/>
    <mergeCell ref="B56:C56"/>
    <mergeCell ref="A57:H57"/>
    <mergeCell ref="B59:C59"/>
    <mergeCell ref="B60:C60"/>
    <mergeCell ref="A61:H61"/>
    <mergeCell ref="B71:C71"/>
    <mergeCell ref="B72:C72"/>
    <mergeCell ref="A73:H73"/>
    <mergeCell ref="B75:C75"/>
    <mergeCell ref="A76:H76"/>
    <mergeCell ref="A52:H52"/>
    <mergeCell ref="B29:C29"/>
    <mergeCell ref="A30:H30"/>
    <mergeCell ref="B32:C32"/>
    <mergeCell ref="A33:H33"/>
    <mergeCell ref="B38:C38"/>
    <mergeCell ref="A39:H39"/>
    <mergeCell ref="B42:C42"/>
    <mergeCell ref="A43:H43"/>
    <mergeCell ref="B47:C47"/>
    <mergeCell ref="A48:H48"/>
    <mergeCell ref="B51:C51"/>
    <mergeCell ref="A24:H24"/>
    <mergeCell ref="C2:G2"/>
    <mergeCell ref="C7:G7"/>
    <mergeCell ref="C14:G14"/>
    <mergeCell ref="A19:A22"/>
    <mergeCell ref="B19:B22"/>
    <mergeCell ref="C19:C22"/>
    <mergeCell ref="D19:G19"/>
    <mergeCell ref="H19:H22"/>
    <mergeCell ref="D20:D22"/>
    <mergeCell ref="E20:E22"/>
    <mergeCell ref="F20:F22"/>
    <mergeCell ref="G20:G22"/>
  </mergeCells>
  <pageMargins left="0.42" right="0.25" top="0.5" bottom="0.52" header="0.3" footer="0.3"/>
  <pageSetup paperSize="9" fitToHeight="10000" orientation="landscape" r:id="rId1"/>
  <headerFooter alignWithMargins="0">
    <oddHeader>&amp;LГРАНД-Смета 2021</oddHeader>
    <oddFooter>&amp;RСтраница 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7">
    <pageSetUpPr fitToPage="1"/>
  </sheetPr>
  <dimension ref="B1:I37"/>
  <sheetViews>
    <sheetView showGridLines="0" topLeftCell="B7" zoomScale="115" zoomScaleNormal="115" workbookViewId="0">
      <selection activeCell="B26" sqref="B26:I28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20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/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663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3180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143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4057.75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507">
        <v>524.09</v>
      </c>
      <c r="F15" s="508"/>
      <c r="G15" s="509"/>
      <c r="H15" s="691" t="s">
        <v>641</v>
      </c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693">
        <f>I30/E15</f>
        <v>7.742</v>
      </c>
      <c r="F17" s="508"/>
      <c r="G17" s="509"/>
      <c r="H17" s="691" t="s">
        <v>279</v>
      </c>
      <c r="I17" s="9"/>
    </row>
    <row r="18" spans="2:9" x14ac:dyDescent="0.2">
      <c r="B18" s="6"/>
      <c r="C18" s="24" t="s">
        <v>8554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x14ac:dyDescent="0.2">
      <c r="B26" s="511">
        <v>1</v>
      </c>
      <c r="C26" s="512" t="s">
        <v>3181</v>
      </c>
      <c r="D26" s="513" t="s">
        <v>604</v>
      </c>
      <c r="E26" s="514">
        <v>1197.69</v>
      </c>
      <c r="F26" s="514"/>
      <c r="G26" s="514"/>
      <c r="H26" s="514"/>
      <c r="I26" s="514">
        <v>1197.69</v>
      </c>
    </row>
    <row r="27" spans="2:9" x14ac:dyDescent="0.2">
      <c r="B27" s="511">
        <v>2</v>
      </c>
      <c r="C27" s="512" t="s">
        <v>3182</v>
      </c>
      <c r="D27" s="513" t="s">
        <v>606</v>
      </c>
      <c r="E27" s="514">
        <v>1957.4</v>
      </c>
      <c r="F27" s="514"/>
      <c r="G27" s="514"/>
      <c r="H27" s="514"/>
      <c r="I27" s="514">
        <v>1957.4</v>
      </c>
    </row>
    <row r="28" spans="2:9" ht="25.5" x14ac:dyDescent="0.2">
      <c r="B28" s="511">
        <v>3</v>
      </c>
      <c r="C28" s="512" t="s">
        <v>3183</v>
      </c>
      <c r="D28" s="513" t="s">
        <v>609</v>
      </c>
      <c r="E28" s="514">
        <v>16.89</v>
      </c>
      <c r="F28" s="514">
        <v>486.81</v>
      </c>
      <c r="G28" s="514">
        <v>398.96</v>
      </c>
      <c r="H28" s="514"/>
      <c r="I28" s="514">
        <v>902.66</v>
      </c>
    </row>
    <row r="29" spans="2:9" x14ac:dyDescent="0.2">
      <c r="B29" s="511" t="s">
        <v>143</v>
      </c>
      <c r="C29" s="512" t="s">
        <v>143</v>
      </c>
      <c r="D29" s="513" t="s">
        <v>6725</v>
      </c>
      <c r="E29" s="514">
        <v>3171.98</v>
      </c>
      <c r="F29" s="514">
        <v>486.81</v>
      </c>
      <c r="G29" s="514">
        <v>398.96</v>
      </c>
      <c r="H29" s="514"/>
      <c r="I29" s="514">
        <v>4057.75</v>
      </c>
    </row>
    <row r="30" spans="2:9" x14ac:dyDescent="0.2">
      <c r="B30" s="672" t="s">
        <v>143</v>
      </c>
      <c r="C30" s="673" t="s">
        <v>143</v>
      </c>
      <c r="D30" s="515" t="s">
        <v>294</v>
      </c>
      <c r="E30" s="527">
        <v>3171.98</v>
      </c>
      <c r="F30" s="527">
        <v>486.81</v>
      </c>
      <c r="G30" s="527">
        <v>398.96</v>
      </c>
      <c r="H30" s="527"/>
      <c r="I30" s="527">
        <v>4057.75</v>
      </c>
    </row>
    <row r="31" spans="2:9" x14ac:dyDescent="0.2">
      <c r="B31" s="31"/>
      <c r="C31" s="32"/>
      <c r="D31" s="33"/>
      <c r="E31" s="34"/>
      <c r="F31" s="34"/>
      <c r="G31" s="34"/>
      <c r="H31" s="34"/>
      <c r="I31" s="34"/>
    </row>
    <row r="34" spans="2:9" ht="15" x14ac:dyDescent="0.2">
      <c r="B34" s="35" t="s">
        <v>149</v>
      </c>
      <c r="D34" s="516"/>
      <c r="E34" s="517"/>
      <c r="F34" s="516"/>
      <c r="G34" s="516" t="s">
        <v>296</v>
      </c>
      <c r="I34" s="518"/>
    </row>
    <row r="35" spans="2:9" ht="15" x14ac:dyDescent="0.2">
      <c r="C35" s="39"/>
      <c r="D35" s="1793" t="s">
        <v>150</v>
      </c>
      <c r="E35" s="1793"/>
      <c r="F35" s="1793"/>
      <c r="G35" s="1793"/>
      <c r="H35" s="1793"/>
      <c r="I35" s="1793"/>
    </row>
    <row r="36" spans="2:9" ht="15" x14ac:dyDescent="0.2">
      <c r="B36" s="35" t="s">
        <v>151</v>
      </c>
      <c r="D36" s="516"/>
      <c r="E36" s="517"/>
      <c r="F36" s="516"/>
      <c r="G36" s="516" t="s">
        <v>297</v>
      </c>
      <c r="H36" s="517"/>
      <c r="I36" s="518"/>
    </row>
    <row r="37" spans="2:9" x14ac:dyDescent="0.2">
      <c r="D37" s="1793" t="s">
        <v>150</v>
      </c>
      <c r="E37" s="1793"/>
      <c r="F37" s="1793"/>
      <c r="G37" s="1793"/>
      <c r="H37" s="1793"/>
      <c r="I37" s="1793"/>
    </row>
  </sheetData>
  <mergeCells count="18">
    <mergeCell ref="B25:I25"/>
    <mergeCell ref="D35:I35"/>
    <mergeCell ref="D37:I37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  <mergeCell ref="B11:I11"/>
    <mergeCell ref="C3:H3"/>
    <mergeCell ref="D4:G4"/>
    <mergeCell ref="C5:H5"/>
    <mergeCell ref="D6:G6"/>
    <mergeCell ref="D10:H10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/>
  <dimension ref="A1:AL400"/>
  <sheetViews>
    <sheetView topLeftCell="A370" zoomScale="115" zoomScaleNormal="115" workbookViewId="0">
      <selection activeCell="N398" sqref="N398"/>
    </sheetView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29" width="34.140625" style="537" hidden="1" customWidth="1"/>
    <col min="30" max="30" width="110.140625" style="537" hidden="1" customWidth="1"/>
    <col min="31" max="31" width="34.140625" style="537" hidden="1" customWidth="1"/>
    <col min="32" max="32" width="138.42578125" style="537" hidden="1" customWidth="1"/>
    <col min="33" max="38" width="84.42578125" style="537" hidden="1" customWidth="1"/>
    <col min="39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1140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1140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3179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3179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3184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604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604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1143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613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1197.69</v>
      </c>
      <c r="D28" s="579" t="s">
        <v>3185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1197.69</v>
      </c>
      <c r="D30" s="579" t="s">
        <v>3185</v>
      </c>
      <c r="E30" s="665" t="s">
        <v>167</v>
      </c>
      <c r="G30" s="536" t="s">
        <v>170</v>
      </c>
      <c r="L30" s="580">
        <v>0</v>
      </c>
      <c r="M30" s="579" t="s">
        <v>3186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665" t="s">
        <v>167</v>
      </c>
      <c r="G31" s="536" t="s">
        <v>172</v>
      </c>
      <c r="L31" s="582"/>
      <c r="M31" s="582">
        <v>706.39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665" t="s">
        <v>167</v>
      </c>
      <c r="G32" s="536" t="s">
        <v>174</v>
      </c>
      <c r="L32" s="582"/>
      <c r="M32" s="582">
        <v>23.85</v>
      </c>
      <c r="N32" s="581" t="s">
        <v>173</v>
      </c>
    </row>
    <row r="33" spans="1:27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7" s="536" customFormat="1" ht="9.75" customHeight="1" x14ac:dyDescent="0.2">
      <c r="A34" s="578"/>
    </row>
    <row r="35" spans="1:27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7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7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7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7" s="536" customFormat="1" ht="12" x14ac:dyDescent="0.2">
      <c r="A39" s="1824" t="s">
        <v>3187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3187</v>
      </c>
    </row>
    <row r="40" spans="1:27" s="536" customFormat="1" ht="33.75" x14ac:dyDescent="0.2">
      <c r="A40" s="575" t="s">
        <v>185</v>
      </c>
      <c r="B40" s="670" t="s">
        <v>1147</v>
      </c>
      <c r="C40" s="1823" t="s">
        <v>1148</v>
      </c>
      <c r="D40" s="1823"/>
      <c r="E40" s="1823"/>
      <c r="F40" s="573" t="s">
        <v>862</v>
      </c>
      <c r="G40" s="573"/>
      <c r="H40" s="573"/>
      <c r="I40" s="573" t="s">
        <v>387</v>
      </c>
      <c r="J40" s="572"/>
      <c r="K40" s="573"/>
      <c r="L40" s="572"/>
      <c r="M40" s="571"/>
      <c r="N40" s="570"/>
      <c r="V40" s="674"/>
      <c r="W40" s="675" t="s">
        <v>1148</v>
      </c>
    </row>
    <row r="41" spans="1:27" s="536" customFormat="1" ht="12" x14ac:dyDescent="0.2">
      <c r="A41" s="676"/>
      <c r="B41" s="664"/>
      <c r="C41" s="1822" t="s">
        <v>3188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3188</v>
      </c>
    </row>
    <row r="42" spans="1:27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Y42" s="537" t="s">
        <v>311</v>
      </c>
    </row>
    <row r="43" spans="1:27" s="536" customFormat="1" ht="12" x14ac:dyDescent="0.2">
      <c r="A43" s="605"/>
      <c r="B43" s="552" t="s">
        <v>185</v>
      </c>
      <c r="C43" s="1822" t="s">
        <v>312</v>
      </c>
      <c r="D43" s="1822"/>
      <c r="E43" s="1822"/>
      <c r="F43" s="562"/>
      <c r="G43" s="562"/>
      <c r="H43" s="562"/>
      <c r="I43" s="562"/>
      <c r="J43" s="604">
        <v>390.01</v>
      </c>
      <c r="K43" s="562" t="s">
        <v>313</v>
      </c>
      <c r="L43" s="604">
        <v>862.9</v>
      </c>
      <c r="M43" s="603"/>
      <c r="N43" s="602"/>
      <c r="V43" s="674"/>
      <c r="W43" s="675"/>
      <c r="Z43" s="537" t="s">
        <v>312</v>
      </c>
    </row>
    <row r="44" spans="1:27" s="536" customFormat="1" ht="12" x14ac:dyDescent="0.2">
      <c r="A44" s="605"/>
      <c r="B44" s="552" t="s">
        <v>186</v>
      </c>
      <c r="C44" s="1822" t="s">
        <v>344</v>
      </c>
      <c r="D44" s="1822"/>
      <c r="E44" s="1822"/>
      <c r="F44" s="562"/>
      <c r="G44" s="562"/>
      <c r="H44" s="562"/>
      <c r="I44" s="562"/>
      <c r="J44" s="604">
        <v>128.51</v>
      </c>
      <c r="K44" s="562" t="s">
        <v>313</v>
      </c>
      <c r="L44" s="604">
        <v>284.33</v>
      </c>
      <c r="M44" s="603"/>
      <c r="N44" s="602"/>
      <c r="V44" s="674"/>
      <c r="W44" s="675"/>
      <c r="Z44" s="537" t="s">
        <v>344</v>
      </c>
    </row>
    <row r="45" spans="1:27" s="536" customFormat="1" ht="12" x14ac:dyDescent="0.2">
      <c r="A45" s="605"/>
      <c r="B45" s="552" t="s">
        <v>187</v>
      </c>
      <c r="C45" s="1822" t="s">
        <v>345</v>
      </c>
      <c r="D45" s="1822"/>
      <c r="E45" s="1822"/>
      <c r="F45" s="562"/>
      <c r="G45" s="562"/>
      <c r="H45" s="562"/>
      <c r="I45" s="562"/>
      <c r="J45" s="604">
        <v>3.27</v>
      </c>
      <c r="K45" s="562" t="s">
        <v>313</v>
      </c>
      <c r="L45" s="604">
        <v>7.23</v>
      </c>
      <c r="M45" s="603"/>
      <c r="N45" s="602"/>
      <c r="V45" s="674"/>
      <c r="W45" s="675"/>
      <c r="Z45" s="537" t="s">
        <v>345</v>
      </c>
    </row>
    <row r="46" spans="1:27" s="536" customFormat="1" ht="12" x14ac:dyDescent="0.2">
      <c r="A46" s="605"/>
      <c r="B46" s="552" t="s">
        <v>188</v>
      </c>
      <c r="C46" s="1822" t="s">
        <v>475</v>
      </c>
      <c r="D46" s="1822"/>
      <c r="E46" s="1822"/>
      <c r="F46" s="562"/>
      <c r="G46" s="562"/>
      <c r="H46" s="562"/>
      <c r="I46" s="562"/>
      <c r="J46" s="604">
        <v>9704.6299999999992</v>
      </c>
      <c r="K46" s="562"/>
      <c r="L46" s="604">
        <v>7351</v>
      </c>
      <c r="M46" s="603"/>
      <c r="N46" s="602"/>
      <c r="V46" s="674"/>
      <c r="W46" s="675"/>
      <c r="Z46" s="537" t="s">
        <v>475</v>
      </c>
    </row>
    <row r="47" spans="1:27" s="536" customFormat="1" ht="22.5" x14ac:dyDescent="0.2">
      <c r="A47" s="605"/>
      <c r="B47" s="552"/>
      <c r="C47" s="1822" t="s">
        <v>314</v>
      </c>
      <c r="D47" s="1822"/>
      <c r="E47" s="1822"/>
      <c r="F47" s="562" t="s">
        <v>315</v>
      </c>
      <c r="G47" s="562" t="s">
        <v>1151</v>
      </c>
      <c r="H47" s="562" t="s">
        <v>313</v>
      </c>
      <c r="I47" s="562" t="s">
        <v>3189</v>
      </c>
      <c r="J47" s="604"/>
      <c r="K47" s="562"/>
      <c r="L47" s="604"/>
      <c r="M47" s="603"/>
      <c r="N47" s="602"/>
      <c r="V47" s="674"/>
      <c r="W47" s="675"/>
      <c r="AA47" s="537" t="s">
        <v>314</v>
      </c>
    </row>
    <row r="48" spans="1:27" s="536" customFormat="1" ht="12" x14ac:dyDescent="0.2">
      <c r="A48" s="605"/>
      <c r="B48" s="552"/>
      <c r="C48" s="1822" t="s">
        <v>348</v>
      </c>
      <c r="D48" s="1822"/>
      <c r="E48" s="1822"/>
      <c r="F48" s="562" t="s">
        <v>315</v>
      </c>
      <c r="G48" s="562" t="s">
        <v>1153</v>
      </c>
      <c r="H48" s="562" t="s">
        <v>313</v>
      </c>
      <c r="I48" s="562" t="s">
        <v>3190</v>
      </c>
      <c r="J48" s="604"/>
      <c r="K48" s="562"/>
      <c r="L48" s="604"/>
      <c r="M48" s="603"/>
      <c r="N48" s="602"/>
      <c r="V48" s="674"/>
      <c r="W48" s="675"/>
      <c r="AA48" s="537" t="s">
        <v>348</v>
      </c>
    </row>
    <row r="49" spans="1:29" s="536" customFormat="1" ht="12" x14ac:dyDescent="0.2">
      <c r="A49" s="605"/>
      <c r="B49" s="552"/>
      <c r="C49" s="1828" t="s">
        <v>318</v>
      </c>
      <c r="D49" s="1828"/>
      <c r="E49" s="1828"/>
      <c r="F49" s="608"/>
      <c r="G49" s="608"/>
      <c r="H49" s="608"/>
      <c r="I49" s="608"/>
      <c r="J49" s="607">
        <v>4671.63</v>
      </c>
      <c r="K49" s="608"/>
      <c r="L49" s="607">
        <v>8498.23</v>
      </c>
      <c r="M49" s="601"/>
      <c r="N49" s="606"/>
      <c r="V49" s="674"/>
      <c r="W49" s="675"/>
      <c r="AB49" s="537" t="s">
        <v>318</v>
      </c>
    </row>
    <row r="50" spans="1:29" s="536" customFormat="1" ht="12" x14ac:dyDescent="0.2">
      <c r="A50" s="605"/>
      <c r="B50" s="552"/>
      <c r="C50" s="1822" t="s">
        <v>319</v>
      </c>
      <c r="D50" s="1822"/>
      <c r="E50" s="1822"/>
      <c r="F50" s="562"/>
      <c r="G50" s="562"/>
      <c r="H50" s="562"/>
      <c r="I50" s="562"/>
      <c r="J50" s="604"/>
      <c r="K50" s="562"/>
      <c r="L50" s="604">
        <v>870.13</v>
      </c>
      <c r="M50" s="603"/>
      <c r="N50" s="602"/>
      <c r="V50" s="674"/>
      <c r="W50" s="675"/>
      <c r="AA50" s="537" t="s">
        <v>319</v>
      </c>
    </row>
    <row r="51" spans="1:29" s="536" customFormat="1" ht="33.75" x14ac:dyDescent="0.2">
      <c r="A51" s="605"/>
      <c r="B51" s="552" t="s">
        <v>1155</v>
      </c>
      <c r="C51" s="1822" t="s">
        <v>1156</v>
      </c>
      <c r="D51" s="1822"/>
      <c r="E51" s="1822"/>
      <c r="F51" s="562" t="s">
        <v>322</v>
      </c>
      <c r="G51" s="562" t="s">
        <v>1157</v>
      </c>
      <c r="H51" s="562"/>
      <c r="I51" s="562" t="s">
        <v>1157</v>
      </c>
      <c r="J51" s="604"/>
      <c r="K51" s="562"/>
      <c r="L51" s="604">
        <v>948.44</v>
      </c>
      <c r="M51" s="603"/>
      <c r="N51" s="602"/>
      <c r="V51" s="674"/>
      <c r="W51" s="675"/>
      <c r="AA51" s="537" t="s">
        <v>1156</v>
      </c>
    </row>
    <row r="52" spans="1:29" s="536" customFormat="1" ht="33.75" x14ac:dyDescent="0.2">
      <c r="A52" s="605"/>
      <c r="B52" s="552" t="s">
        <v>1158</v>
      </c>
      <c r="C52" s="1822" t="s">
        <v>1159</v>
      </c>
      <c r="D52" s="1822"/>
      <c r="E52" s="1822"/>
      <c r="F52" s="562" t="s">
        <v>322</v>
      </c>
      <c r="G52" s="562" t="s">
        <v>791</v>
      </c>
      <c r="H52" s="562"/>
      <c r="I52" s="562" t="s">
        <v>791</v>
      </c>
      <c r="J52" s="604"/>
      <c r="K52" s="562"/>
      <c r="L52" s="604">
        <v>495.97</v>
      </c>
      <c r="M52" s="603"/>
      <c r="N52" s="602"/>
      <c r="V52" s="674"/>
      <c r="W52" s="675"/>
      <c r="AA52" s="537" t="s">
        <v>1159</v>
      </c>
    </row>
    <row r="53" spans="1:29" s="536" customFormat="1" ht="12" x14ac:dyDescent="0.2">
      <c r="A53" s="569"/>
      <c r="B53" s="671"/>
      <c r="C53" s="1823" t="s">
        <v>327</v>
      </c>
      <c r="D53" s="1823"/>
      <c r="E53" s="1823"/>
      <c r="F53" s="573"/>
      <c r="G53" s="573"/>
      <c r="H53" s="573"/>
      <c r="I53" s="573"/>
      <c r="J53" s="572"/>
      <c r="K53" s="573"/>
      <c r="L53" s="572">
        <v>9942.64</v>
      </c>
      <c r="M53" s="601"/>
      <c r="N53" s="570"/>
      <c r="V53" s="674"/>
      <c r="W53" s="675"/>
      <c r="AC53" s="675" t="s">
        <v>327</v>
      </c>
    </row>
    <row r="54" spans="1:29" s="536" customFormat="1" ht="33.75" x14ac:dyDescent="0.2">
      <c r="A54" s="575" t="s">
        <v>186</v>
      </c>
      <c r="B54" s="670" t="s">
        <v>1160</v>
      </c>
      <c r="C54" s="1823" t="s">
        <v>1161</v>
      </c>
      <c r="D54" s="1823"/>
      <c r="E54" s="1823"/>
      <c r="F54" s="573" t="s">
        <v>694</v>
      </c>
      <c r="G54" s="573"/>
      <c r="H54" s="573"/>
      <c r="I54" s="573" t="s">
        <v>3191</v>
      </c>
      <c r="J54" s="572">
        <v>8715.1</v>
      </c>
      <c r="K54" s="573"/>
      <c r="L54" s="572">
        <v>10806.72</v>
      </c>
      <c r="M54" s="571"/>
      <c r="N54" s="570"/>
      <c r="V54" s="674"/>
      <c r="W54" s="675" t="s">
        <v>1161</v>
      </c>
      <c r="AC54" s="675"/>
    </row>
    <row r="55" spans="1:29" s="536" customFormat="1" ht="12" x14ac:dyDescent="0.2">
      <c r="A55" s="569"/>
      <c r="B55" s="671"/>
      <c r="C55" s="665" t="s">
        <v>717</v>
      </c>
      <c r="D55" s="666"/>
      <c r="E55" s="666"/>
      <c r="F55" s="563"/>
      <c r="G55" s="563"/>
      <c r="H55" s="563"/>
      <c r="I55" s="563"/>
      <c r="J55" s="566"/>
      <c r="K55" s="563"/>
      <c r="L55" s="566"/>
      <c r="M55" s="565"/>
      <c r="N55" s="564"/>
      <c r="V55" s="674"/>
      <c r="W55" s="675"/>
      <c r="AC55" s="675"/>
    </row>
    <row r="56" spans="1:29" s="536" customFormat="1" ht="12" x14ac:dyDescent="0.2">
      <c r="A56" s="676"/>
      <c r="B56" s="664"/>
      <c r="C56" s="1822" t="s">
        <v>3192</v>
      </c>
      <c r="D56" s="1822"/>
      <c r="E56" s="1822"/>
      <c r="F56" s="1822"/>
      <c r="G56" s="1822"/>
      <c r="H56" s="1822"/>
      <c r="I56" s="1822"/>
      <c r="J56" s="1822"/>
      <c r="K56" s="1822"/>
      <c r="L56" s="1822"/>
      <c r="M56" s="1822"/>
      <c r="N56" s="1827"/>
      <c r="V56" s="674"/>
      <c r="W56" s="675"/>
      <c r="X56" s="537" t="s">
        <v>3192</v>
      </c>
      <c r="AC56" s="675"/>
    </row>
    <row r="57" spans="1:29" s="536" customFormat="1" ht="22.5" x14ac:dyDescent="0.2">
      <c r="A57" s="575" t="s">
        <v>187</v>
      </c>
      <c r="B57" s="670" t="s">
        <v>1164</v>
      </c>
      <c r="C57" s="1823" t="s">
        <v>1165</v>
      </c>
      <c r="D57" s="1823"/>
      <c r="E57" s="1823"/>
      <c r="F57" s="573" t="s">
        <v>862</v>
      </c>
      <c r="G57" s="573"/>
      <c r="H57" s="573"/>
      <c r="I57" s="573" t="s">
        <v>387</v>
      </c>
      <c r="J57" s="572"/>
      <c r="K57" s="573"/>
      <c r="L57" s="572"/>
      <c r="M57" s="571"/>
      <c r="N57" s="570"/>
      <c r="V57" s="674"/>
      <c r="W57" s="675" t="s">
        <v>1165</v>
      </c>
      <c r="AC57" s="675"/>
    </row>
    <row r="58" spans="1:29" s="536" customFormat="1" ht="12" x14ac:dyDescent="0.2">
      <c r="A58" s="676"/>
      <c r="B58" s="664"/>
      <c r="C58" s="1822" t="s">
        <v>3188</v>
      </c>
      <c r="D58" s="1822"/>
      <c r="E58" s="1822"/>
      <c r="F58" s="1822"/>
      <c r="G58" s="1822"/>
      <c r="H58" s="1822"/>
      <c r="I58" s="1822"/>
      <c r="J58" s="1822"/>
      <c r="K58" s="1822"/>
      <c r="L58" s="1822"/>
      <c r="M58" s="1822"/>
      <c r="N58" s="1827"/>
      <c r="V58" s="674"/>
      <c r="W58" s="675"/>
      <c r="X58" s="537" t="s">
        <v>3188</v>
      </c>
      <c r="AC58" s="675"/>
    </row>
    <row r="59" spans="1:29" s="536" customFormat="1" ht="33.75" x14ac:dyDescent="0.2">
      <c r="A59" s="609"/>
      <c r="B59" s="552" t="s">
        <v>310</v>
      </c>
      <c r="C59" s="1822" t="s">
        <v>311</v>
      </c>
      <c r="D59" s="1822"/>
      <c r="E59" s="1822"/>
      <c r="F59" s="1822"/>
      <c r="G59" s="1822"/>
      <c r="H59" s="1822"/>
      <c r="I59" s="1822"/>
      <c r="J59" s="1822"/>
      <c r="K59" s="1822"/>
      <c r="L59" s="1822"/>
      <c r="M59" s="1822"/>
      <c r="N59" s="1827"/>
      <c r="V59" s="674"/>
      <c r="W59" s="675"/>
      <c r="Y59" s="537" t="s">
        <v>311</v>
      </c>
      <c r="AC59" s="675"/>
    </row>
    <row r="60" spans="1:29" s="536" customFormat="1" ht="12" x14ac:dyDescent="0.2">
      <c r="A60" s="605"/>
      <c r="B60" s="552" t="s">
        <v>185</v>
      </c>
      <c r="C60" s="1822" t="s">
        <v>312</v>
      </c>
      <c r="D60" s="1822"/>
      <c r="E60" s="1822"/>
      <c r="F60" s="562"/>
      <c r="G60" s="562"/>
      <c r="H60" s="562"/>
      <c r="I60" s="562"/>
      <c r="J60" s="604">
        <v>478.71</v>
      </c>
      <c r="K60" s="562" t="s">
        <v>313</v>
      </c>
      <c r="L60" s="604">
        <v>1059.1500000000001</v>
      </c>
      <c r="M60" s="603"/>
      <c r="N60" s="602"/>
      <c r="V60" s="674"/>
      <c r="W60" s="675"/>
      <c r="Z60" s="537" t="s">
        <v>312</v>
      </c>
      <c r="AC60" s="675"/>
    </row>
    <row r="61" spans="1:29" s="536" customFormat="1" ht="12" x14ac:dyDescent="0.2">
      <c r="A61" s="605"/>
      <c r="B61" s="552" t="s">
        <v>186</v>
      </c>
      <c r="C61" s="1822" t="s">
        <v>344</v>
      </c>
      <c r="D61" s="1822"/>
      <c r="E61" s="1822"/>
      <c r="F61" s="562"/>
      <c r="G61" s="562"/>
      <c r="H61" s="562"/>
      <c r="I61" s="562"/>
      <c r="J61" s="604">
        <v>1.82</v>
      </c>
      <c r="K61" s="562" t="s">
        <v>313</v>
      </c>
      <c r="L61" s="604">
        <v>4.03</v>
      </c>
      <c r="M61" s="603"/>
      <c r="N61" s="602"/>
      <c r="V61" s="674"/>
      <c r="W61" s="675"/>
      <c r="Z61" s="537" t="s">
        <v>344</v>
      </c>
      <c r="AC61" s="675"/>
    </row>
    <row r="62" spans="1:29" s="536" customFormat="1" ht="12" x14ac:dyDescent="0.2">
      <c r="A62" s="605"/>
      <c r="B62" s="552" t="s">
        <v>187</v>
      </c>
      <c r="C62" s="1822" t="s">
        <v>345</v>
      </c>
      <c r="D62" s="1822"/>
      <c r="E62" s="1822"/>
      <c r="F62" s="562"/>
      <c r="G62" s="562"/>
      <c r="H62" s="562"/>
      <c r="I62" s="562"/>
      <c r="J62" s="604">
        <v>0.28999999999999998</v>
      </c>
      <c r="K62" s="562" t="s">
        <v>313</v>
      </c>
      <c r="L62" s="604">
        <v>0.64</v>
      </c>
      <c r="M62" s="603"/>
      <c r="N62" s="602"/>
      <c r="V62" s="674"/>
      <c r="W62" s="675"/>
      <c r="Z62" s="537" t="s">
        <v>345</v>
      </c>
      <c r="AC62" s="675"/>
    </row>
    <row r="63" spans="1:29" s="536" customFormat="1" ht="12" x14ac:dyDescent="0.2">
      <c r="A63" s="605"/>
      <c r="B63" s="552" t="s">
        <v>188</v>
      </c>
      <c r="C63" s="1822" t="s">
        <v>475</v>
      </c>
      <c r="D63" s="1822"/>
      <c r="E63" s="1822"/>
      <c r="F63" s="562"/>
      <c r="G63" s="562"/>
      <c r="H63" s="562"/>
      <c r="I63" s="562"/>
      <c r="J63" s="604">
        <v>3877.59</v>
      </c>
      <c r="K63" s="562"/>
      <c r="L63" s="604">
        <v>4345.42</v>
      </c>
      <c r="M63" s="603"/>
      <c r="N63" s="602"/>
      <c r="V63" s="674"/>
      <c r="W63" s="675"/>
      <c r="Z63" s="537" t="s">
        <v>475</v>
      </c>
      <c r="AC63" s="675"/>
    </row>
    <row r="64" spans="1:29" s="536" customFormat="1" ht="12" x14ac:dyDescent="0.2">
      <c r="A64" s="605"/>
      <c r="B64" s="552"/>
      <c r="C64" s="1822" t="s">
        <v>314</v>
      </c>
      <c r="D64" s="1822"/>
      <c r="E64" s="1822"/>
      <c r="F64" s="562" t="s">
        <v>315</v>
      </c>
      <c r="G64" s="562" t="s">
        <v>1167</v>
      </c>
      <c r="H64" s="562" t="s">
        <v>313</v>
      </c>
      <c r="I64" s="562" t="s">
        <v>3193</v>
      </c>
      <c r="J64" s="604"/>
      <c r="K64" s="562"/>
      <c r="L64" s="604"/>
      <c r="M64" s="603"/>
      <c r="N64" s="602"/>
      <c r="V64" s="674"/>
      <c r="W64" s="675"/>
      <c r="AA64" s="537" t="s">
        <v>314</v>
      </c>
      <c r="AC64" s="675"/>
    </row>
    <row r="65" spans="1:30" s="536" customFormat="1" ht="12" x14ac:dyDescent="0.2">
      <c r="A65" s="605"/>
      <c r="B65" s="552"/>
      <c r="C65" s="1822" t="s">
        <v>348</v>
      </c>
      <c r="D65" s="1822"/>
      <c r="E65" s="1822"/>
      <c r="F65" s="562" t="s">
        <v>315</v>
      </c>
      <c r="G65" s="562" t="s">
        <v>695</v>
      </c>
      <c r="H65" s="562" t="s">
        <v>313</v>
      </c>
      <c r="I65" s="562" t="s">
        <v>3194</v>
      </c>
      <c r="J65" s="604"/>
      <c r="K65" s="562"/>
      <c r="L65" s="604"/>
      <c r="M65" s="603"/>
      <c r="N65" s="602"/>
      <c r="V65" s="674"/>
      <c r="W65" s="675"/>
      <c r="AA65" s="537" t="s">
        <v>348</v>
      </c>
      <c r="AC65" s="675"/>
    </row>
    <row r="66" spans="1:30" s="536" customFormat="1" ht="12" x14ac:dyDescent="0.2">
      <c r="A66" s="605"/>
      <c r="B66" s="552"/>
      <c r="C66" s="1828" t="s">
        <v>318</v>
      </c>
      <c r="D66" s="1828"/>
      <c r="E66" s="1828"/>
      <c r="F66" s="608"/>
      <c r="G66" s="608"/>
      <c r="H66" s="608"/>
      <c r="I66" s="608"/>
      <c r="J66" s="607">
        <v>2935.57</v>
      </c>
      <c r="K66" s="608"/>
      <c r="L66" s="607">
        <v>5408.6</v>
      </c>
      <c r="M66" s="601"/>
      <c r="N66" s="606"/>
      <c r="V66" s="674"/>
      <c r="W66" s="675"/>
      <c r="AB66" s="537" t="s">
        <v>318</v>
      </c>
      <c r="AC66" s="675"/>
    </row>
    <row r="67" spans="1:30" s="536" customFormat="1" ht="12" x14ac:dyDescent="0.2">
      <c r="A67" s="605"/>
      <c r="B67" s="552"/>
      <c r="C67" s="1822" t="s">
        <v>319</v>
      </c>
      <c r="D67" s="1822"/>
      <c r="E67" s="1822"/>
      <c r="F67" s="562"/>
      <c r="G67" s="562"/>
      <c r="H67" s="562"/>
      <c r="I67" s="562"/>
      <c r="J67" s="604"/>
      <c r="K67" s="562"/>
      <c r="L67" s="604">
        <v>1059.79</v>
      </c>
      <c r="M67" s="603"/>
      <c r="N67" s="602"/>
      <c r="V67" s="674"/>
      <c r="W67" s="675"/>
      <c r="AA67" s="537" t="s">
        <v>319</v>
      </c>
      <c r="AC67" s="675"/>
    </row>
    <row r="68" spans="1:30" s="536" customFormat="1" ht="33.75" x14ac:dyDescent="0.2">
      <c r="A68" s="605"/>
      <c r="B68" s="552" t="s">
        <v>1155</v>
      </c>
      <c r="C68" s="1822" t="s">
        <v>1156</v>
      </c>
      <c r="D68" s="1822"/>
      <c r="E68" s="1822"/>
      <c r="F68" s="562" t="s">
        <v>322</v>
      </c>
      <c r="G68" s="562" t="s">
        <v>1157</v>
      </c>
      <c r="H68" s="562"/>
      <c r="I68" s="562" t="s">
        <v>1157</v>
      </c>
      <c r="J68" s="604"/>
      <c r="K68" s="562"/>
      <c r="L68" s="604">
        <v>1155.17</v>
      </c>
      <c r="M68" s="603"/>
      <c r="N68" s="602"/>
      <c r="V68" s="674"/>
      <c r="W68" s="675"/>
      <c r="AA68" s="537" t="s">
        <v>1156</v>
      </c>
      <c r="AC68" s="675"/>
    </row>
    <row r="69" spans="1:30" s="536" customFormat="1" ht="33.75" x14ac:dyDescent="0.2">
      <c r="A69" s="605"/>
      <c r="B69" s="552" t="s">
        <v>1158</v>
      </c>
      <c r="C69" s="1822" t="s">
        <v>1159</v>
      </c>
      <c r="D69" s="1822"/>
      <c r="E69" s="1822"/>
      <c r="F69" s="562" t="s">
        <v>322</v>
      </c>
      <c r="G69" s="562" t="s">
        <v>791</v>
      </c>
      <c r="H69" s="562"/>
      <c r="I69" s="562" t="s">
        <v>791</v>
      </c>
      <c r="J69" s="604"/>
      <c r="K69" s="562"/>
      <c r="L69" s="604">
        <v>604.08000000000004</v>
      </c>
      <c r="M69" s="603"/>
      <c r="N69" s="602"/>
      <c r="V69" s="674"/>
      <c r="W69" s="675"/>
      <c r="AA69" s="537" t="s">
        <v>1159</v>
      </c>
      <c r="AC69" s="675"/>
    </row>
    <row r="70" spans="1:30" s="536" customFormat="1" ht="12" x14ac:dyDescent="0.2">
      <c r="A70" s="569"/>
      <c r="B70" s="671"/>
      <c r="C70" s="1823" t="s">
        <v>327</v>
      </c>
      <c r="D70" s="1823"/>
      <c r="E70" s="1823"/>
      <c r="F70" s="573"/>
      <c r="G70" s="573"/>
      <c r="H70" s="573"/>
      <c r="I70" s="573"/>
      <c r="J70" s="572"/>
      <c r="K70" s="573"/>
      <c r="L70" s="572">
        <v>7167.85</v>
      </c>
      <c r="M70" s="601"/>
      <c r="N70" s="570"/>
      <c r="V70" s="674"/>
      <c r="W70" s="675"/>
      <c r="AC70" s="675" t="s">
        <v>327</v>
      </c>
    </row>
    <row r="71" spans="1:30" s="536" customFormat="1" ht="33.75" x14ac:dyDescent="0.2">
      <c r="A71" s="575" t="s">
        <v>188</v>
      </c>
      <c r="B71" s="670" t="s">
        <v>1170</v>
      </c>
      <c r="C71" s="1823" t="s">
        <v>1171</v>
      </c>
      <c r="D71" s="1823"/>
      <c r="E71" s="1823"/>
      <c r="F71" s="573" t="s">
        <v>865</v>
      </c>
      <c r="G71" s="573"/>
      <c r="H71" s="573"/>
      <c r="I71" s="573" t="s">
        <v>3195</v>
      </c>
      <c r="J71" s="572">
        <v>82.25</v>
      </c>
      <c r="K71" s="573" t="s">
        <v>716</v>
      </c>
      <c r="L71" s="572">
        <v>2052.52</v>
      </c>
      <c r="M71" s="571">
        <v>8.32</v>
      </c>
      <c r="N71" s="570">
        <v>17077</v>
      </c>
      <c r="V71" s="674"/>
      <c r="W71" s="675" t="s">
        <v>1171</v>
      </c>
      <c r="AC71" s="675"/>
    </row>
    <row r="72" spans="1:30" s="536" customFormat="1" ht="12" x14ac:dyDescent="0.2">
      <c r="A72" s="569"/>
      <c r="B72" s="671"/>
      <c r="C72" s="665" t="s">
        <v>1173</v>
      </c>
      <c r="D72" s="666"/>
      <c r="E72" s="666"/>
      <c r="F72" s="563"/>
      <c r="G72" s="563"/>
      <c r="H72" s="563"/>
      <c r="I72" s="563"/>
      <c r="J72" s="566"/>
      <c r="K72" s="563"/>
      <c r="L72" s="566"/>
      <c r="M72" s="565"/>
      <c r="N72" s="564"/>
      <c r="V72" s="674"/>
      <c r="W72" s="675"/>
      <c r="AC72" s="675"/>
    </row>
    <row r="73" spans="1:30" s="536" customFormat="1" ht="12" x14ac:dyDescent="0.2">
      <c r="A73" s="676"/>
      <c r="B73" s="664"/>
      <c r="C73" s="1822" t="s">
        <v>8096</v>
      </c>
      <c r="D73" s="1822"/>
      <c r="E73" s="1822"/>
      <c r="F73" s="1822"/>
      <c r="G73" s="1822"/>
      <c r="H73" s="1822"/>
      <c r="I73" s="1822"/>
      <c r="J73" s="1822"/>
      <c r="K73" s="1822"/>
      <c r="L73" s="1822"/>
      <c r="M73" s="1822"/>
      <c r="N73" s="1827"/>
      <c r="V73" s="674"/>
      <c r="W73" s="675"/>
      <c r="AC73" s="675"/>
      <c r="AD73" s="537" t="s">
        <v>8096</v>
      </c>
    </row>
    <row r="74" spans="1:30" s="536" customFormat="1" ht="22.5" x14ac:dyDescent="0.2">
      <c r="A74" s="609"/>
      <c r="B74" s="552" t="s">
        <v>718</v>
      </c>
      <c r="C74" s="1822" t="s">
        <v>719</v>
      </c>
      <c r="D74" s="1822"/>
      <c r="E74" s="1822"/>
      <c r="F74" s="1822"/>
      <c r="G74" s="1822"/>
      <c r="H74" s="1822"/>
      <c r="I74" s="1822"/>
      <c r="J74" s="1822"/>
      <c r="K74" s="1822"/>
      <c r="L74" s="1822"/>
      <c r="M74" s="1822"/>
      <c r="N74" s="1827"/>
      <c r="V74" s="674"/>
      <c r="W74" s="675"/>
      <c r="Y74" s="537" t="s">
        <v>719</v>
      </c>
      <c r="AC74" s="675"/>
    </row>
    <row r="75" spans="1:30" s="536" customFormat="1" ht="12" x14ac:dyDescent="0.2">
      <c r="A75" s="575" t="s">
        <v>189</v>
      </c>
      <c r="B75" s="670" t="s">
        <v>1175</v>
      </c>
      <c r="C75" s="1823" t="s">
        <v>1176</v>
      </c>
      <c r="D75" s="1823"/>
      <c r="E75" s="1823"/>
      <c r="F75" s="573" t="s">
        <v>1110</v>
      </c>
      <c r="G75" s="573"/>
      <c r="H75" s="573"/>
      <c r="I75" s="573" t="s">
        <v>1200</v>
      </c>
      <c r="J75" s="572"/>
      <c r="K75" s="573"/>
      <c r="L75" s="572"/>
      <c r="M75" s="571"/>
      <c r="N75" s="570"/>
      <c r="V75" s="674"/>
      <c r="W75" s="675" t="s">
        <v>1176</v>
      </c>
      <c r="AC75" s="675"/>
    </row>
    <row r="76" spans="1:30" s="536" customFormat="1" ht="12" x14ac:dyDescent="0.2">
      <c r="A76" s="676"/>
      <c r="B76" s="664"/>
      <c r="C76" s="1822" t="s">
        <v>3196</v>
      </c>
      <c r="D76" s="1822"/>
      <c r="E76" s="1822"/>
      <c r="F76" s="1822"/>
      <c r="G76" s="1822"/>
      <c r="H76" s="1822"/>
      <c r="I76" s="1822"/>
      <c r="J76" s="1822"/>
      <c r="K76" s="1822"/>
      <c r="L76" s="1822"/>
      <c r="M76" s="1822"/>
      <c r="N76" s="1827"/>
      <c r="V76" s="674"/>
      <c r="W76" s="675"/>
      <c r="X76" s="537" t="s">
        <v>3196</v>
      </c>
      <c r="AC76" s="675"/>
    </row>
    <row r="77" spans="1:30" s="536" customFormat="1" ht="33.75" x14ac:dyDescent="0.2">
      <c r="A77" s="609"/>
      <c r="B77" s="552" t="s">
        <v>310</v>
      </c>
      <c r="C77" s="1822" t="s">
        <v>311</v>
      </c>
      <c r="D77" s="1822"/>
      <c r="E77" s="1822"/>
      <c r="F77" s="1822"/>
      <c r="G77" s="1822"/>
      <c r="H77" s="1822"/>
      <c r="I77" s="1822"/>
      <c r="J77" s="1822"/>
      <c r="K77" s="1822"/>
      <c r="L77" s="1822"/>
      <c r="M77" s="1822"/>
      <c r="N77" s="1827"/>
      <c r="V77" s="674"/>
      <c r="W77" s="675"/>
      <c r="Y77" s="537" t="s">
        <v>311</v>
      </c>
      <c r="AC77" s="675"/>
    </row>
    <row r="78" spans="1:30" s="536" customFormat="1" ht="12" x14ac:dyDescent="0.2">
      <c r="A78" s="605"/>
      <c r="B78" s="552" t="s">
        <v>185</v>
      </c>
      <c r="C78" s="1822" t="s">
        <v>312</v>
      </c>
      <c r="D78" s="1822"/>
      <c r="E78" s="1822"/>
      <c r="F78" s="562"/>
      <c r="G78" s="562"/>
      <c r="H78" s="562"/>
      <c r="I78" s="562"/>
      <c r="J78" s="604">
        <v>237.13</v>
      </c>
      <c r="K78" s="562" t="s">
        <v>313</v>
      </c>
      <c r="L78" s="604">
        <v>53.35</v>
      </c>
      <c r="M78" s="603"/>
      <c r="N78" s="602"/>
      <c r="V78" s="674"/>
      <c r="W78" s="675"/>
      <c r="Z78" s="537" t="s">
        <v>312</v>
      </c>
      <c r="AC78" s="675"/>
    </row>
    <row r="79" spans="1:30" s="536" customFormat="1" ht="12" x14ac:dyDescent="0.2">
      <c r="A79" s="605"/>
      <c r="B79" s="552" t="s">
        <v>186</v>
      </c>
      <c r="C79" s="1822" t="s">
        <v>344</v>
      </c>
      <c r="D79" s="1822"/>
      <c r="E79" s="1822"/>
      <c r="F79" s="562"/>
      <c r="G79" s="562"/>
      <c r="H79" s="562"/>
      <c r="I79" s="562"/>
      <c r="J79" s="604">
        <v>21.18</v>
      </c>
      <c r="K79" s="562" t="s">
        <v>313</v>
      </c>
      <c r="L79" s="604">
        <v>4.7699999999999996</v>
      </c>
      <c r="M79" s="603"/>
      <c r="N79" s="602"/>
      <c r="V79" s="674"/>
      <c r="W79" s="675"/>
      <c r="Z79" s="537" t="s">
        <v>344</v>
      </c>
      <c r="AC79" s="675"/>
    </row>
    <row r="80" spans="1:30" s="536" customFormat="1" ht="12" x14ac:dyDescent="0.2">
      <c r="A80" s="605"/>
      <c r="B80" s="552" t="s">
        <v>187</v>
      </c>
      <c r="C80" s="1822" t="s">
        <v>345</v>
      </c>
      <c r="D80" s="1822"/>
      <c r="E80" s="1822"/>
      <c r="F80" s="562"/>
      <c r="G80" s="562"/>
      <c r="H80" s="562"/>
      <c r="I80" s="562"/>
      <c r="J80" s="604">
        <v>3.21</v>
      </c>
      <c r="K80" s="562" t="s">
        <v>313</v>
      </c>
      <c r="L80" s="604">
        <v>0.72</v>
      </c>
      <c r="M80" s="603"/>
      <c r="N80" s="602"/>
      <c r="V80" s="674"/>
      <c r="W80" s="675"/>
      <c r="Z80" s="537" t="s">
        <v>345</v>
      </c>
      <c r="AC80" s="675"/>
    </row>
    <row r="81" spans="1:29" s="536" customFormat="1" ht="12" x14ac:dyDescent="0.2">
      <c r="A81" s="605"/>
      <c r="B81" s="552" t="s">
        <v>188</v>
      </c>
      <c r="C81" s="1822" t="s">
        <v>475</v>
      </c>
      <c r="D81" s="1822"/>
      <c r="E81" s="1822"/>
      <c r="F81" s="562"/>
      <c r="G81" s="562"/>
      <c r="H81" s="562"/>
      <c r="I81" s="562"/>
      <c r="J81" s="604">
        <v>5089.63</v>
      </c>
      <c r="K81" s="562"/>
      <c r="L81" s="604">
        <v>8.19</v>
      </c>
      <c r="M81" s="603"/>
      <c r="N81" s="602"/>
      <c r="V81" s="674"/>
      <c r="W81" s="675"/>
      <c r="Z81" s="537" t="s">
        <v>475</v>
      </c>
      <c r="AC81" s="675"/>
    </row>
    <row r="82" spans="1:29" s="536" customFormat="1" ht="12" x14ac:dyDescent="0.2">
      <c r="A82" s="605"/>
      <c r="B82" s="552"/>
      <c r="C82" s="1822" t="s">
        <v>314</v>
      </c>
      <c r="D82" s="1822"/>
      <c r="E82" s="1822"/>
      <c r="F82" s="562" t="s">
        <v>315</v>
      </c>
      <c r="G82" s="562" t="s">
        <v>1179</v>
      </c>
      <c r="H82" s="562" t="s">
        <v>313</v>
      </c>
      <c r="I82" s="562" t="s">
        <v>3197</v>
      </c>
      <c r="J82" s="604"/>
      <c r="K82" s="562"/>
      <c r="L82" s="604"/>
      <c r="M82" s="603"/>
      <c r="N82" s="602"/>
      <c r="V82" s="674"/>
      <c r="W82" s="675"/>
      <c r="AA82" s="537" t="s">
        <v>314</v>
      </c>
      <c r="AC82" s="675"/>
    </row>
    <row r="83" spans="1:29" s="536" customFormat="1" ht="12" x14ac:dyDescent="0.2">
      <c r="A83" s="605"/>
      <c r="B83" s="552"/>
      <c r="C83" s="1822" t="s">
        <v>348</v>
      </c>
      <c r="D83" s="1822"/>
      <c r="E83" s="1822"/>
      <c r="F83" s="562" t="s">
        <v>315</v>
      </c>
      <c r="G83" s="562" t="s">
        <v>1181</v>
      </c>
      <c r="H83" s="562" t="s">
        <v>313</v>
      </c>
      <c r="I83" s="562" t="s">
        <v>3198</v>
      </c>
      <c r="J83" s="604"/>
      <c r="K83" s="562"/>
      <c r="L83" s="604"/>
      <c r="M83" s="603"/>
      <c r="N83" s="602"/>
      <c r="V83" s="674"/>
      <c r="W83" s="675"/>
      <c r="AA83" s="537" t="s">
        <v>348</v>
      </c>
      <c r="AC83" s="675"/>
    </row>
    <row r="84" spans="1:29" s="536" customFormat="1" ht="12" x14ac:dyDescent="0.2">
      <c r="A84" s="605"/>
      <c r="B84" s="552"/>
      <c r="C84" s="1828" t="s">
        <v>318</v>
      </c>
      <c r="D84" s="1828"/>
      <c r="E84" s="1828"/>
      <c r="F84" s="608"/>
      <c r="G84" s="608"/>
      <c r="H84" s="608"/>
      <c r="I84" s="608"/>
      <c r="J84" s="607">
        <v>303.83</v>
      </c>
      <c r="K84" s="608"/>
      <c r="L84" s="607">
        <v>66.31</v>
      </c>
      <c r="M84" s="601"/>
      <c r="N84" s="606"/>
      <c r="V84" s="674"/>
      <c r="W84" s="675"/>
      <c r="AB84" s="537" t="s">
        <v>318</v>
      </c>
      <c r="AC84" s="675"/>
    </row>
    <row r="85" spans="1:29" s="536" customFormat="1" ht="12" x14ac:dyDescent="0.2">
      <c r="A85" s="605"/>
      <c r="B85" s="552"/>
      <c r="C85" s="1822" t="s">
        <v>319</v>
      </c>
      <c r="D85" s="1822"/>
      <c r="E85" s="1822"/>
      <c r="F85" s="562"/>
      <c r="G85" s="562"/>
      <c r="H85" s="562"/>
      <c r="I85" s="562"/>
      <c r="J85" s="604"/>
      <c r="K85" s="562"/>
      <c r="L85" s="604">
        <v>54.07</v>
      </c>
      <c r="M85" s="603"/>
      <c r="N85" s="602"/>
      <c r="V85" s="674"/>
      <c r="W85" s="675"/>
      <c r="AA85" s="537" t="s">
        <v>319</v>
      </c>
      <c r="AC85" s="675"/>
    </row>
    <row r="86" spans="1:29" s="536" customFormat="1" ht="33.75" x14ac:dyDescent="0.2">
      <c r="A86" s="605"/>
      <c r="B86" s="552" t="s">
        <v>1155</v>
      </c>
      <c r="C86" s="1822" t="s">
        <v>1156</v>
      </c>
      <c r="D86" s="1822"/>
      <c r="E86" s="1822"/>
      <c r="F86" s="562" t="s">
        <v>322</v>
      </c>
      <c r="G86" s="562" t="s">
        <v>1157</v>
      </c>
      <c r="H86" s="562"/>
      <c r="I86" s="562" t="s">
        <v>1157</v>
      </c>
      <c r="J86" s="604"/>
      <c r="K86" s="562"/>
      <c r="L86" s="604">
        <v>58.94</v>
      </c>
      <c r="M86" s="603"/>
      <c r="N86" s="602"/>
      <c r="V86" s="674"/>
      <c r="W86" s="675"/>
      <c r="AA86" s="537" t="s">
        <v>1156</v>
      </c>
      <c r="AC86" s="675"/>
    </row>
    <row r="87" spans="1:29" s="536" customFormat="1" ht="33.75" x14ac:dyDescent="0.2">
      <c r="A87" s="605"/>
      <c r="B87" s="552" t="s">
        <v>1158</v>
      </c>
      <c r="C87" s="1822" t="s">
        <v>1159</v>
      </c>
      <c r="D87" s="1822"/>
      <c r="E87" s="1822"/>
      <c r="F87" s="562" t="s">
        <v>322</v>
      </c>
      <c r="G87" s="562" t="s">
        <v>791</v>
      </c>
      <c r="H87" s="562"/>
      <c r="I87" s="562" t="s">
        <v>791</v>
      </c>
      <c r="J87" s="604"/>
      <c r="K87" s="562"/>
      <c r="L87" s="604">
        <v>30.82</v>
      </c>
      <c r="M87" s="603"/>
      <c r="N87" s="602"/>
      <c r="V87" s="674"/>
      <c r="W87" s="675"/>
      <c r="AA87" s="537" t="s">
        <v>1159</v>
      </c>
      <c r="AC87" s="675"/>
    </row>
    <row r="88" spans="1:29" s="536" customFormat="1" ht="12" x14ac:dyDescent="0.2">
      <c r="A88" s="569"/>
      <c r="B88" s="671"/>
      <c r="C88" s="1823" t="s">
        <v>327</v>
      </c>
      <c r="D88" s="1823"/>
      <c r="E88" s="1823"/>
      <c r="F88" s="573"/>
      <c r="G88" s="573"/>
      <c r="H88" s="573"/>
      <c r="I88" s="573"/>
      <c r="J88" s="572"/>
      <c r="K88" s="573"/>
      <c r="L88" s="572">
        <v>156.07</v>
      </c>
      <c r="M88" s="601"/>
      <c r="N88" s="570"/>
      <c r="V88" s="674"/>
      <c r="W88" s="675"/>
      <c r="AC88" s="675" t="s">
        <v>327</v>
      </c>
    </row>
    <row r="89" spans="1:29" s="536" customFormat="1" ht="45" x14ac:dyDescent="0.2">
      <c r="A89" s="575" t="s">
        <v>190</v>
      </c>
      <c r="B89" s="670" t="s">
        <v>1183</v>
      </c>
      <c r="C89" s="1823" t="s">
        <v>1184</v>
      </c>
      <c r="D89" s="1823"/>
      <c r="E89" s="1823"/>
      <c r="F89" s="573" t="s">
        <v>617</v>
      </c>
      <c r="G89" s="573"/>
      <c r="H89" s="573"/>
      <c r="I89" s="573" t="s">
        <v>190</v>
      </c>
      <c r="J89" s="572">
        <v>271.07</v>
      </c>
      <c r="K89" s="573"/>
      <c r="L89" s="572">
        <v>1626.42</v>
      </c>
      <c r="M89" s="571"/>
      <c r="N89" s="570"/>
      <c r="V89" s="674"/>
      <c r="W89" s="675" t="s">
        <v>1184</v>
      </c>
      <c r="AC89" s="675"/>
    </row>
    <row r="90" spans="1:29" s="536" customFormat="1" ht="12" x14ac:dyDescent="0.2">
      <c r="A90" s="569"/>
      <c r="B90" s="671"/>
      <c r="C90" s="665" t="s">
        <v>717</v>
      </c>
      <c r="D90" s="666"/>
      <c r="E90" s="666"/>
      <c r="F90" s="563"/>
      <c r="G90" s="563"/>
      <c r="H90" s="563"/>
      <c r="I90" s="563"/>
      <c r="J90" s="566"/>
      <c r="K90" s="563"/>
      <c r="L90" s="566"/>
      <c r="M90" s="565"/>
      <c r="N90" s="564"/>
      <c r="V90" s="674"/>
      <c r="W90" s="675"/>
      <c r="AC90" s="675"/>
    </row>
    <row r="91" spans="1:29" s="536" customFormat="1" ht="33.75" x14ac:dyDescent="0.2">
      <c r="A91" s="575" t="s">
        <v>191</v>
      </c>
      <c r="B91" s="670" t="s">
        <v>1186</v>
      </c>
      <c r="C91" s="1823" t="s">
        <v>3199</v>
      </c>
      <c r="D91" s="1823"/>
      <c r="E91" s="1823"/>
      <c r="F91" s="573" t="s">
        <v>617</v>
      </c>
      <c r="G91" s="573"/>
      <c r="H91" s="573"/>
      <c r="I91" s="573" t="s">
        <v>189</v>
      </c>
      <c r="J91" s="572">
        <v>46.98</v>
      </c>
      <c r="K91" s="573"/>
      <c r="L91" s="572">
        <v>234.9</v>
      </c>
      <c r="M91" s="571"/>
      <c r="N91" s="570"/>
      <c r="V91" s="674"/>
      <c r="W91" s="675" t="s">
        <v>3199</v>
      </c>
      <c r="AC91" s="675"/>
    </row>
    <row r="92" spans="1:29" s="536" customFormat="1" ht="12" x14ac:dyDescent="0.2">
      <c r="A92" s="569"/>
      <c r="B92" s="671"/>
      <c r="C92" s="665" t="s">
        <v>717</v>
      </c>
      <c r="D92" s="666"/>
      <c r="E92" s="666"/>
      <c r="F92" s="563"/>
      <c r="G92" s="563"/>
      <c r="H92" s="563"/>
      <c r="I92" s="563"/>
      <c r="J92" s="566"/>
      <c r="K92" s="563"/>
      <c r="L92" s="566"/>
      <c r="M92" s="565"/>
      <c r="N92" s="564"/>
      <c r="V92" s="674"/>
      <c r="W92" s="675"/>
      <c r="AC92" s="675"/>
    </row>
    <row r="93" spans="1:29" s="536" customFormat="1" ht="33.75" x14ac:dyDescent="0.2">
      <c r="A93" s="575" t="s">
        <v>192</v>
      </c>
      <c r="B93" s="670" t="s">
        <v>1189</v>
      </c>
      <c r="C93" s="1823" t="s">
        <v>1190</v>
      </c>
      <c r="D93" s="1823"/>
      <c r="E93" s="1823"/>
      <c r="F93" s="573" t="s">
        <v>617</v>
      </c>
      <c r="G93" s="573"/>
      <c r="H93" s="573"/>
      <c r="I93" s="573" t="s">
        <v>186</v>
      </c>
      <c r="J93" s="572">
        <v>12.65</v>
      </c>
      <c r="K93" s="573"/>
      <c r="L93" s="572">
        <v>25.3</v>
      </c>
      <c r="M93" s="571"/>
      <c r="N93" s="570"/>
      <c r="V93" s="674"/>
      <c r="W93" s="675" t="s">
        <v>1190</v>
      </c>
      <c r="AC93" s="675"/>
    </row>
    <row r="94" spans="1:29" s="536" customFormat="1" ht="12" x14ac:dyDescent="0.2">
      <c r="A94" s="569"/>
      <c r="B94" s="671"/>
      <c r="C94" s="665" t="s">
        <v>717</v>
      </c>
      <c r="D94" s="666"/>
      <c r="E94" s="666"/>
      <c r="F94" s="563"/>
      <c r="G94" s="563"/>
      <c r="H94" s="563"/>
      <c r="I94" s="563"/>
      <c r="J94" s="566"/>
      <c r="K94" s="563"/>
      <c r="L94" s="566"/>
      <c r="M94" s="565"/>
      <c r="N94" s="564"/>
      <c r="V94" s="674"/>
      <c r="W94" s="675"/>
      <c r="AC94" s="675"/>
    </row>
    <row r="95" spans="1:29" s="536" customFormat="1" ht="33.75" x14ac:dyDescent="0.2">
      <c r="A95" s="575" t="s">
        <v>193</v>
      </c>
      <c r="B95" s="670" t="s">
        <v>1192</v>
      </c>
      <c r="C95" s="1823" t="s">
        <v>1193</v>
      </c>
      <c r="D95" s="1823"/>
      <c r="E95" s="1823"/>
      <c r="F95" s="573" t="s">
        <v>617</v>
      </c>
      <c r="G95" s="573"/>
      <c r="H95" s="573"/>
      <c r="I95" s="573" t="s">
        <v>772</v>
      </c>
      <c r="J95" s="572">
        <v>180.25</v>
      </c>
      <c r="K95" s="573" t="s">
        <v>716</v>
      </c>
      <c r="L95" s="572">
        <v>861.78</v>
      </c>
      <c r="M95" s="571">
        <v>8.32</v>
      </c>
      <c r="N95" s="570">
        <v>7170</v>
      </c>
      <c r="V95" s="674"/>
      <c r="W95" s="675" t="s">
        <v>1193</v>
      </c>
      <c r="AC95" s="675"/>
    </row>
    <row r="96" spans="1:29" s="536" customFormat="1" ht="12" x14ac:dyDescent="0.2">
      <c r="A96" s="569"/>
      <c r="B96" s="671"/>
      <c r="C96" s="665" t="s">
        <v>1173</v>
      </c>
      <c r="D96" s="666"/>
      <c r="E96" s="666"/>
      <c r="F96" s="563"/>
      <c r="G96" s="563"/>
      <c r="H96" s="563"/>
      <c r="I96" s="563"/>
      <c r="J96" s="566"/>
      <c r="K96" s="563"/>
      <c r="L96" s="566"/>
      <c r="M96" s="565"/>
      <c r="N96" s="564"/>
      <c r="V96" s="674"/>
      <c r="W96" s="675"/>
      <c r="AC96" s="675"/>
    </row>
    <row r="97" spans="1:31" s="536" customFormat="1" ht="22.5" x14ac:dyDescent="0.2">
      <c r="A97" s="609"/>
      <c r="B97" s="552" t="s">
        <v>718</v>
      </c>
      <c r="C97" s="1822" t="s">
        <v>719</v>
      </c>
      <c r="D97" s="1822"/>
      <c r="E97" s="1822"/>
      <c r="F97" s="1822"/>
      <c r="G97" s="1822"/>
      <c r="H97" s="1822"/>
      <c r="I97" s="1822"/>
      <c r="J97" s="1822"/>
      <c r="K97" s="1822"/>
      <c r="L97" s="1822"/>
      <c r="M97" s="1822"/>
      <c r="N97" s="1827"/>
      <c r="V97" s="674"/>
      <c r="W97" s="675"/>
      <c r="Y97" s="537" t="s">
        <v>719</v>
      </c>
      <c r="AC97" s="675"/>
    </row>
    <row r="98" spans="1:31" s="536" customFormat="1" ht="22.5" x14ac:dyDescent="0.2">
      <c r="A98" s="575" t="s">
        <v>194</v>
      </c>
      <c r="B98" s="670" t="s">
        <v>1196</v>
      </c>
      <c r="C98" s="1823" t="s">
        <v>1197</v>
      </c>
      <c r="D98" s="1823"/>
      <c r="E98" s="1823"/>
      <c r="F98" s="573" t="s">
        <v>617</v>
      </c>
      <c r="G98" s="573"/>
      <c r="H98" s="573"/>
      <c r="I98" s="573" t="s">
        <v>186</v>
      </c>
      <c r="J98" s="572"/>
      <c r="K98" s="573"/>
      <c r="L98" s="572"/>
      <c r="M98" s="571"/>
      <c r="N98" s="570"/>
      <c r="V98" s="674"/>
      <c r="W98" s="675" t="s">
        <v>1197</v>
      </c>
      <c r="AC98" s="675"/>
    </row>
    <row r="99" spans="1:31" s="536" customFormat="1" ht="33.75" x14ac:dyDescent="0.2">
      <c r="A99" s="609"/>
      <c r="B99" s="552" t="s">
        <v>310</v>
      </c>
      <c r="C99" s="1822" t="s">
        <v>311</v>
      </c>
      <c r="D99" s="1822"/>
      <c r="E99" s="1822"/>
      <c r="F99" s="1822"/>
      <c r="G99" s="1822"/>
      <c r="H99" s="1822"/>
      <c r="I99" s="1822"/>
      <c r="J99" s="1822"/>
      <c r="K99" s="1822"/>
      <c r="L99" s="1822"/>
      <c r="M99" s="1822"/>
      <c r="N99" s="1827"/>
      <c r="V99" s="674"/>
      <c r="W99" s="675"/>
      <c r="Y99" s="537" t="s">
        <v>311</v>
      </c>
      <c r="AC99" s="675"/>
    </row>
    <row r="100" spans="1:31" s="536" customFormat="1" ht="12" x14ac:dyDescent="0.2">
      <c r="A100" s="605"/>
      <c r="B100" s="552" t="s">
        <v>185</v>
      </c>
      <c r="C100" s="1822" t="s">
        <v>312</v>
      </c>
      <c r="D100" s="1822"/>
      <c r="E100" s="1822"/>
      <c r="F100" s="562"/>
      <c r="G100" s="562"/>
      <c r="H100" s="562"/>
      <c r="I100" s="562"/>
      <c r="J100" s="604">
        <v>1.73</v>
      </c>
      <c r="K100" s="562" t="s">
        <v>313</v>
      </c>
      <c r="L100" s="604">
        <v>4.33</v>
      </c>
      <c r="M100" s="603"/>
      <c r="N100" s="602"/>
      <c r="V100" s="674"/>
      <c r="W100" s="675"/>
      <c r="Z100" s="537" t="s">
        <v>312</v>
      </c>
      <c r="AC100" s="675"/>
    </row>
    <row r="101" spans="1:31" s="536" customFormat="1" ht="12" x14ac:dyDescent="0.2">
      <c r="A101" s="676"/>
      <c r="B101" s="677" t="s">
        <v>1198</v>
      </c>
      <c r="C101" s="1829" t="s">
        <v>1199</v>
      </c>
      <c r="D101" s="1829"/>
      <c r="E101" s="1829"/>
      <c r="F101" s="678" t="s">
        <v>617</v>
      </c>
      <c r="G101" s="678" t="s">
        <v>185</v>
      </c>
      <c r="H101" s="678"/>
      <c r="I101" s="678" t="s">
        <v>186</v>
      </c>
      <c r="J101" s="552"/>
      <c r="K101" s="562"/>
      <c r="L101" s="604"/>
      <c r="M101" s="562"/>
      <c r="N101" s="679"/>
      <c r="V101" s="674"/>
      <c r="W101" s="675"/>
      <c r="AC101" s="675"/>
      <c r="AE101" s="680" t="s">
        <v>1199</v>
      </c>
    </row>
    <row r="102" spans="1:31" s="536" customFormat="1" ht="12" x14ac:dyDescent="0.2">
      <c r="A102" s="605"/>
      <c r="B102" s="552"/>
      <c r="C102" s="1822" t="s">
        <v>314</v>
      </c>
      <c r="D102" s="1822"/>
      <c r="E102" s="1822"/>
      <c r="F102" s="562" t="s">
        <v>315</v>
      </c>
      <c r="G102" s="562" t="s">
        <v>1200</v>
      </c>
      <c r="H102" s="562" t="s">
        <v>313</v>
      </c>
      <c r="I102" s="562" t="s">
        <v>647</v>
      </c>
      <c r="J102" s="604"/>
      <c r="K102" s="562"/>
      <c r="L102" s="604"/>
      <c r="M102" s="603"/>
      <c r="N102" s="602"/>
      <c r="V102" s="674"/>
      <c r="W102" s="675"/>
      <c r="AA102" s="537" t="s">
        <v>314</v>
      </c>
      <c r="AC102" s="675"/>
      <c r="AE102" s="680"/>
    </row>
    <row r="103" spans="1:31" s="536" customFormat="1" ht="12" x14ac:dyDescent="0.2">
      <c r="A103" s="605"/>
      <c r="B103" s="552"/>
      <c r="C103" s="1828" t="s">
        <v>318</v>
      </c>
      <c r="D103" s="1828"/>
      <c r="E103" s="1828"/>
      <c r="F103" s="608"/>
      <c r="G103" s="608"/>
      <c r="H103" s="608"/>
      <c r="I103" s="608"/>
      <c r="J103" s="607">
        <v>1.73</v>
      </c>
      <c r="K103" s="608"/>
      <c r="L103" s="607">
        <v>4.33</v>
      </c>
      <c r="M103" s="601"/>
      <c r="N103" s="606"/>
      <c r="V103" s="674"/>
      <c r="W103" s="675"/>
      <c r="AB103" s="537" t="s">
        <v>318</v>
      </c>
      <c r="AC103" s="675"/>
      <c r="AE103" s="680"/>
    </row>
    <row r="104" spans="1:31" s="536" customFormat="1" ht="12" x14ac:dyDescent="0.2">
      <c r="A104" s="605"/>
      <c r="B104" s="552"/>
      <c r="C104" s="1822" t="s">
        <v>319</v>
      </c>
      <c r="D104" s="1822"/>
      <c r="E104" s="1822"/>
      <c r="F104" s="562"/>
      <c r="G104" s="562"/>
      <c r="H104" s="562"/>
      <c r="I104" s="562"/>
      <c r="J104" s="604"/>
      <c r="K104" s="562"/>
      <c r="L104" s="604">
        <v>4.33</v>
      </c>
      <c r="M104" s="603"/>
      <c r="N104" s="602"/>
      <c r="V104" s="674"/>
      <c r="W104" s="675"/>
      <c r="AA104" s="537" t="s">
        <v>319</v>
      </c>
      <c r="AC104" s="675"/>
      <c r="AE104" s="680"/>
    </row>
    <row r="105" spans="1:31" s="536" customFormat="1" ht="33.75" x14ac:dyDescent="0.2">
      <c r="A105" s="605"/>
      <c r="B105" s="552" t="s">
        <v>1155</v>
      </c>
      <c r="C105" s="1822" t="s">
        <v>1156</v>
      </c>
      <c r="D105" s="1822"/>
      <c r="E105" s="1822"/>
      <c r="F105" s="562" t="s">
        <v>322</v>
      </c>
      <c r="G105" s="562" t="s">
        <v>1157</v>
      </c>
      <c r="H105" s="562"/>
      <c r="I105" s="562" t="s">
        <v>1157</v>
      </c>
      <c r="J105" s="604"/>
      <c r="K105" s="562"/>
      <c r="L105" s="604">
        <v>4.72</v>
      </c>
      <c r="M105" s="603"/>
      <c r="N105" s="602"/>
      <c r="V105" s="674"/>
      <c r="W105" s="675"/>
      <c r="AA105" s="537" t="s">
        <v>1156</v>
      </c>
      <c r="AC105" s="675"/>
      <c r="AE105" s="680"/>
    </row>
    <row r="106" spans="1:31" s="536" customFormat="1" ht="33.75" x14ac:dyDescent="0.2">
      <c r="A106" s="605"/>
      <c r="B106" s="552" t="s">
        <v>1158</v>
      </c>
      <c r="C106" s="1822" t="s">
        <v>1159</v>
      </c>
      <c r="D106" s="1822"/>
      <c r="E106" s="1822"/>
      <c r="F106" s="562" t="s">
        <v>322</v>
      </c>
      <c r="G106" s="562" t="s">
        <v>791</v>
      </c>
      <c r="H106" s="562"/>
      <c r="I106" s="562" t="s">
        <v>791</v>
      </c>
      <c r="J106" s="604"/>
      <c r="K106" s="562"/>
      <c r="L106" s="604">
        <v>2.4700000000000002</v>
      </c>
      <c r="M106" s="603"/>
      <c r="N106" s="602"/>
      <c r="V106" s="674"/>
      <c r="W106" s="675"/>
      <c r="AA106" s="537" t="s">
        <v>1159</v>
      </c>
      <c r="AC106" s="675"/>
      <c r="AE106" s="680"/>
    </row>
    <row r="107" spans="1:31" s="536" customFormat="1" ht="12" x14ac:dyDescent="0.2">
      <c r="A107" s="569"/>
      <c r="B107" s="671"/>
      <c r="C107" s="1823" t="s">
        <v>327</v>
      </c>
      <c r="D107" s="1823"/>
      <c r="E107" s="1823"/>
      <c r="F107" s="573"/>
      <c r="G107" s="573"/>
      <c r="H107" s="573"/>
      <c r="I107" s="573"/>
      <c r="J107" s="572"/>
      <c r="K107" s="573"/>
      <c r="L107" s="572">
        <v>11.52</v>
      </c>
      <c r="M107" s="601"/>
      <c r="N107" s="570"/>
      <c r="V107" s="674"/>
      <c r="W107" s="675"/>
      <c r="AC107" s="675" t="s">
        <v>327</v>
      </c>
      <c r="AE107" s="680"/>
    </row>
    <row r="108" spans="1:31" s="536" customFormat="1" ht="33.75" x14ac:dyDescent="0.2">
      <c r="A108" s="575" t="s">
        <v>195</v>
      </c>
      <c r="B108" s="670" t="s">
        <v>1202</v>
      </c>
      <c r="C108" s="1823" t="s">
        <v>1203</v>
      </c>
      <c r="D108" s="1823"/>
      <c r="E108" s="1823"/>
      <c r="F108" s="573" t="s">
        <v>617</v>
      </c>
      <c r="G108" s="573"/>
      <c r="H108" s="573"/>
      <c r="I108" s="573" t="s">
        <v>186</v>
      </c>
      <c r="J108" s="572">
        <v>249.4</v>
      </c>
      <c r="K108" s="573"/>
      <c r="L108" s="572">
        <v>498.8</v>
      </c>
      <c r="M108" s="571"/>
      <c r="N108" s="570"/>
      <c r="V108" s="674"/>
      <c r="W108" s="675" t="s">
        <v>1203</v>
      </c>
      <c r="AC108" s="675"/>
      <c r="AE108" s="680"/>
    </row>
    <row r="109" spans="1:31" s="536" customFormat="1" ht="12" x14ac:dyDescent="0.2">
      <c r="A109" s="569"/>
      <c r="B109" s="671"/>
      <c r="C109" s="665" t="s">
        <v>717</v>
      </c>
      <c r="D109" s="666"/>
      <c r="E109" s="666"/>
      <c r="F109" s="563"/>
      <c r="G109" s="563"/>
      <c r="H109" s="563"/>
      <c r="I109" s="563"/>
      <c r="J109" s="566"/>
      <c r="K109" s="563"/>
      <c r="L109" s="566"/>
      <c r="M109" s="565"/>
      <c r="N109" s="564"/>
      <c r="V109" s="674"/>
      <c r="W109" s="675"/>
      <c r="AC109" s="675"/>
      <c r="AE109" s="680"/>
    </row>
    <row r="110" spans="1:31" s="536" customFormat="1" ht="33.75" x14ac:dyDescent="0.2">
      <c r="A110" s="575" t="s">
        <v>196</v>
      </c>
      <c r="B110" s="670" t="s">
        <v>1204</v>
      </c>
      <c r="C110" s="1823" t="s">
        <v>1205</v>
      </c>
      <c r="D110" s="1823"/>
      <c r="E110" s="1823"/>
      <c r="F110" s="573" t="s">
        <v>483</v>
      </c>
      <c r="G110" s="573"/>
      <c r="H110" s="573"/>
      <c r="I110" s="573" t="s">
        <v>192</v>
      </c>
      <c r="J110" s="572"/>
      <c r="K110" s="573"/>
      <c r="L110" s="572"/>
      <c r="M110" s="571"/>
      <c r="N110" s="570"/>
      <c r="V110" s="674"/>
      <c r="W110" s="675" t="s">
        <v>1205</v>
      </c>
      <c r="AC110" s="675"/>
      <c r="AE110" s="680"/>
    </row>
    <row r="111" spans="1:31" s="536" customFormat="1" ht="12" x14ac:dyDescent="0.2">
      <c r="A111" s="676"/>
      <c r="B111" s="664"/>
      <c r="C111" s="1822" t="s">
        <v>1907</v>
      </c>
      <c r="D111" s="1822"/>
      <c r="E111" s="1822"/>
      <c r="F111" s="1822"/>
      <c r="G111" s="1822"/>
      <c r="H111" s="1822"/>
      <c r="I111" s="1822"/>
      <c r="J111" s="1822"/>
      <c r="K111" s="1822"/>
      <c r="L111" s="1822"/>
      <c r="M111" s="1822"/>
      <c r="N111" s="1827"/>
      <c r="V111" s="674"/>
      <c r="W111" s="675"/>
      <c r="X111" s="537" t="s">
        <v>1907</v>
      </c>
      <c r="AC111" s="675"/>
      <c r="AE111" s="680"/>
    </row>
    <row r="112" spans="1:31" s="536" customFormat="1" ht="33.75" x14ac:dyDescent="0.2">
      <c r="A112" s="609"/>
      <c r="B112" s="552" t="s">
        <v>310</v>
      </c>
      <c r="C112" s="1822" t="s">
        <v>311</v>
      </c>
      <c r="D112" s="1822"/>
      <c r="E112" s="1822"/>
      <c r="F112" s="1822"/>
      <c r="G112" s="1822"/>
      <c r="H112" s="1822"/>
      <c r="I112" s="1822"/>
      <c r="J112" s="1822"/>
      <c r="K112" s="1822"/>
      <c r="L112" s="1822"/>
      <c r="M112" s="1822"/>
      <c r="N112" s="1827"/>
      <c r="V112" s="674"/>
      <c r="W112" s="675"/>
      <c r="Y112" s="537" t="s">
        <v>311</v>
      </c>
      <c r="AC112" s="675"/>
      <c r="AE112" s="680"/>
    </row>
    <row r="113" spans="1:31" s="536" customFormat="1" ht="12" x14ac:dyDescent="0.2">
      <c r="A113" s="605"/>
      <c r="B113" s="552" t="s">
        <v>185</v>
      </c>
      <c r="C113" s="1822" t="s">
        <v>312</v>
      </c>
      <c r="D113" s="1822"/>
      <c r="E113" s="1822"/>
      <c r="F113" s="562"/>
      <c r="G113" s="562"/>
      <c r="H113" s="562"/>
      <c r="I113" s="562"/>
      <c r="J113" s="604">
        <v>1.1499999999999999</v>
      </c>
      <c r="K113" s="562" t="s">
        <v>313</v>
      </c>
      <c r="L113" s="604">
        <v>11.5</v>
      </c>
      <c r="M113" s="603"/>
      <c r="N113" s="602"/>
      <c r="V113" s="674"/>
      <c r="W113" s="675"/>
      <c r="Z113" s="537" t="s">
        <v>312</v>
      </c>
      <c r="AC113" s="675"/>
      <c r="AE113" s="680"/>
    </row>
    <row r="114" spans="1:31" s="536" customFormat="1" ht="12" x14ac:dyDescent="0.2">
      <c r="A114" s="605"/>
      <c r="B114" s="552" t="s">
        <v>188</v>
      </c>
      <c r="C114" s="1822" t="s">
        <v>475</v>
      </c>
      <c r="D114" s="1822"/>
      <c r="E114" s="1822"/>
      <c r="F114" s="562"/>
      <c r="G114" s="562"/>
      <c r="H114" s="562"/>
      <c r="I114" s="562"/>
      <c r="J114" s="604">
        <v>7.8</v>
      </c>
      <c r="K114" s="562"/>
      <c r="L114" s="604">
        <v>62.4</v>
      </c>
      <c r="M114" s="603"/>
      <c r="N114" s="602"/>
      <c r="V114" s="674"/>
      <c r="W114" s="675"/>
      <c r="Z114" s="537" t="s">
        <v>475</v>
      </c>
      <c r="AC114" s="675"/>
      <c r="AE114" s="680"/>
    </row>
    <row r="115" spans="1:31" s="536" customFormat="1" ht="12" x14ac:dyDescent="0.2">
      <c r="A115" s="676"/>
      <c r="B115" s="677" t="s">
        <v>1207</v>
      </c>
      <c r="C115" s="1829" t="s">
        <v>1208</v>
      </c>
      <c r="D115" s="1829"/>
      <c r="E115" s="1829"/>
      <c r="F115" s="678" t="s">
        <v>483</v>
      </c>
      <c r="G115" s="678" t="s">
        <v>185</v>
      </c>
      <c r="H115" s="678"/>
      <c r="I115" s="678" t="s">
        <v>192</v>
      </c>
      <c r="J115" s="552"/>
      <c r="K115" s="562"/>
      <c r="L115" s="604"/>
      <c r="M115" s="562"/>
      <c r="N115" s="679"/>
      <c r="V115" s="674"/>
      <c r="W115" s="675"/>
      <c r="AC115" s="675"/>
      <c r="AE115" s="680" t="s">
        <v>1208</v>
      </c>
    </row>
    <row r="116" spans="1:31" s="536" customFormat="1" ht="12" x14ac:dyDescent="0.2">
      <c r="A116" s="676"/>
      <c r="B116" s="677" t="s">
        <v>1198</v>
      </c>
      <c r="C116" s="1829" t="s">
        <v>1199</v>
      </c>
      <c r="D116" s="1829"/>
      <c r="E116" s="1829"/>
      <c r="F116" s="678" t="s">
        <v>617</v>
      </c>
      <c r="G116" s="678" t="s">
        <v>186</v>
      </c>
      <c r="H116" s="678"/>
      <c r="I116" s="678" t="s">
        <v>200</v>
      </c>
      <c r="J116" s="552"/>
      <c r="K116" s="562"/>
      <c r="L116" s="604"/>
      <c r="M116" s="562"/>
      <c r="N116" s="679"/>
      <c r="V116" s="674"/>
      <c r="W116" s="675"/>
      <c r="AC116" s="675"/>
      <c r="AE116" s="680" t="s">
        <v>1199</v>
      </c>
    </row>
    <row r="117" spans="1:31" s="536" customFormat="1" ht="12" x14ac:dyDescent="0.2">
      <c r="A117" s="605"/>
      <c r="B117" s="552"/>
      <c r="C117" s="1822" t="s">
        <v>314</v>
      </c>
      <c r="D117" s="1822"/>
      <c r="E117" s="1822"/>
      <c r="F117" s="562" t="s">
        <v>315</v>
      </c>
      <c r="G117" s="562" t="s">
        <v>646</v>
      </c>
      <c r="H117" s="562" t="s">
        <v>313</v>
      </c>
      <c r="I117" s="562" t="s">
        <v>1908</v>
      </c>
      <c r="J117" s="604"/>
      <c r="K117" s="562"/>
      <c r="L117" s="604"/>
      <c r="M117" s="603"/>
      <c r="N117" s="602"/>
      <c r="V117" s="674"/>
      <c r="W117" s="675"/>
      <c r="AA117" s="537" t="s">
        <v>314</v>
      </c>
      <c r="AC117" s="675"/>
      <c r="AE117" s="680"/>
    </row>
    <row r="118" spans="1:31" s="536" customFormat="1" ht="12" x14ac:dyDescent="0.2">
      <c r="A118" s="605"/>
      <c r="B118" s="552"/>
      <c r="C118" s="1828" t="s">
        <v>318</v>
      </c>
      <c r="D118" s="1828"/>
      <c r="E118" s="1828"/>
      <c r="F118" s="608"/>
      <c r="G118" s="608"/>
      <c r="H118" s="608"/>
      <c r="I118" s="608"/>
      <c r="J118" s="607">
        <v>8.9499999999999993</v>
      </c>
      <c r="K118" s="608"/>
      <c r="L118" s="607">
        <v>73.900000000000006</v>
      </c>
      <c r="M118" s="601"/>
      <c r="N118" s="606"/>
      <c r="V118" s="674"/>
      <c r="W118" s="675"/>
      <c r="AB118" s="537" t="s">
        <v>318</v>
      </c>
      <c r="AC118" s="675"/>
      <c r="AE118" s="680"/>
    </row>
    <row r="119" spans="1:31" s="536" customFormat="1" ht="12" x14ac:dyDescent="0.2">
      <c r="A119" s="605"/>
      <c r="B119" s="552"/>
      <c r="C119" s="1822" t="s">
        <v>319</v>
      </c>
      <c r="D119" s="1822"/>
      <c r="E119" s="1822"/>
      <c r="F119" s="562"/>
      <c r="G119" s="562"/>
      <c r="H119" s="562"/>
      <c r="I119" s="562"/>
      <c r="J119" s="604"/>
      <c r="K119" s="562"/>
      <c r="L119" s="604">
        <v>11.5</v>
      </c>
      <c r="M119" s="603"/>
      <c r="N119" s="602"/>
      <c r="V119" s="674"/>
      <c r="W119" s="675"/>
      <c r="AA119" s="537" t="s">
        <v>319</v>
      </c>
      <c r="AC119" s="675"/>
      <c r="AE119" s="680"/>
    </row>
    <row r="120" spans="1:31" s="536" customFormat="1" ht="33.75" x14ac:dyDescent="0.2">
      <c r="A120" s="605"/>
      <c r="B120" s="552" t="s">
        <v>1155</v>
      </c>
      <c r="C120" s="1822" t="s">
        <v>1156</v>
      </c>
      <c r="D120" s="1822"/>
      <c r="E120" s="1822"/>
      <c r="F120" s="562" t="s">
        <v>322</v>
      </c>
      <c r="G120" s="562" t="s">
        <v>1157</v>
      </c>
      <c r="H120" s="562"/>
      <c r="I120" s="562" t="s">
        <v>1157</v>
      </c>
      <c r="J120" s="604"/>
      <c r="K120" s="562"/>
      <c r="L120" s="604">
        <v>12.54</v>
      </c>
      <c r="M120" s="603"/>
      <c r="N120" s="602"/>
      <c r="V120" s="674"/>
      <c r="W120" s="675"/>
      <c r="AA120" s="537" t="s">
        <v>1156</v>
      </c>
      <c r="AC120" s="675"/>
      <c r="AE120" s="680"/>
    </row>
    <row r="121" spans="1:31" s="536" customFormat="1" ht="33.75" x14ac:dyDescent="0.2">
      <c r="A121" s="605"/>
      <c r="B121" s="552" t="s">
        <v>1158</v>
      </c>
      <c r="C121" s="1822" t="s">
        <v>1159</v>
      </c>
      <c r="D121" s="1822"/>
      <c r="E121" s="1822"/>
      <c r="F121" s="562" t="s">
        <v>322</v>
      </c>
      <c r="G121" s="562" t="s">
        <v>791</v>
      </c>
      <c r="H121" s="562"/>
      <c r="I121" s="562" t="s">
        <v>791</v>
      </c>
      <c r="J121" s="604"/>
      <c r="K121" s="562"/>
      <c r="L121" s="604">
        <v>6.56</v>
      </c>
      <c r="M121" s="603"/>
      <c r="N121" s="602"/>
      <c r="V121" s="674"/>
      <c r="W121" s="675"/>
      <c r="AA121" s="537" t="s">
        <v>1159</v>
      </c>
      <c r="AC121" s="675"/>
      <c r="AE121" s="680"/>
    </row>
    <row r="122" spans="1:31" s="536" customFormat="1" ht="12" x14ac:dyDescent="0.2">
      <c r="A122" s="569"/>
      <c r="B122" s="671"/>
      <c r="C122" s="1823" t="s">
        <v>327</v>
      </c>
      <c r="D122" s="1823"/>
      <c r="E122" s="1823"/>
      <c r="F122" s="573"/>
      <c r="G122" s="573"/>
      <c r="H122" s="573"/>
      <c r="I122" s="573"/>
      <c r="J122" s="572"/>
      <c r="K122" s="573"/>
      <c r="L122" s="572">
        <v>93</v>
      </c>
      <c r="M122" s="601"/>
      <c r="N122" s="570"/>
      <c r="V122" s="674"/>
      <c r="W122" s="675"/>
      <c r="AC122" s="675" t="s">
        <v>327</v>
      </c>
      <c r="AE122" s="680"/>
    </row>
    <row r="123" spans="1:31" s="536" customFormat="1" ht="33.75" x14ac:dyDescent="0.2">
      <c r="A123" s="575" t="s">
        <v>197</v>
      </c>
      <c r="B123" s="670" t="s">
        <v>1210</v>
      </c>
      <c r="C123" s="1823" t="s">
        <v>1211</v>
      </c>
      <c r="D123" s="1823"/>
      <c r="E123" s="1823"/>
      <c r="F123" s="573" t="s">
        <v>617</v>
      </c>
      <c r="G123" s="573"/>
      <c r="H123" s="573"/>
      <c r="I123" s="573" t="s">
        <v>186</v>
      </c>
      <c r="J123" s="572">
        <v>357.8</v>
      </c>
      <c r="K123" s="573"/>
      <c r="L123" s="572">
        <v>715.6</v>
      </c>
      <c r="M123" s="571"/>
      <c r="N123" s="570"/>
      <c r="V123" s="674"/>
      <c r="W123" s="675" t="s">
        <v>1211</v>
      </c>
      <c r="AC123" s="675"/>
      <c r="AE123" s="680"/>
    </row>
    <row r="124" spans="1:31" s="536" customFormat="1" ht="12" x14ac:dyDescent="0.2">
      <c r="A124" s="569"/>
      <c r="B124" s="671"/>
      <c r="C124" s="665" t="s">
        <v>717</v>
      </c>
      <c r="D124" s="666"/>
      <c r="E124" s="666"/>
      <c r="F124" s="563"/>
      <c r="G124" s="563"/>
      <c r="H124" s="563"/>
      <c r="I124" s="563"/>
      <c r="J124" s="566"/>
      <c r="K124" s="563"/>
      <c r="L124" s="566"/>
      <c r="M124" s="565"/>
      <c r="N124" s="564"/>
      <c r="V124" s="674"/>
      <c r="W124" s="675"/>
      <c r="AC124" s="675"/>
      <c r="AE124" s="680"/>
    </row>
    <row r="125" spans="1:31" s="536" customFormat="1" ht="33.75" x14ac:dyDescent="0.2">
      <c r="A125" s="575" t="s">
        <v>198</v>
      </c>
      <c r="B125" s="670" t="s">
        <v>1212</v>
      </c>
      <c r="C125" s="1823" t="s">
        <v>1213</v>
      </c>
      <c r="D125" s="1823"/>
      <c r="E125" s="1823"/>
      <c r="F125" s="573" t="s">
        <v>617</v>
      </c>
      <c r="G125" s="573"/>
      <c r="H125" s="573"/>
      <c r="I125" s="573" t="s">
        <v>186</v>
      </c>
      <c r="J125" s="572">
        <v>119.27</v>
      </c>
      <c r="K125" s="573"/>
      <c r="L125" s="572">
        <v>238.54</v>
      </c>
      <c r="M125" s="571"/>
      <c r="N125" s="570"/>
      <c r="V125" s="674"/>
      <c r="W125" s="675" t="s">
        <v>1213</v>
      </c>
      <c r="AC125" s="675"/>
      <c r="AE125" s="680"/>
    </row>
    <row r="126" spans="1:31" s="536" customFormat="1" ht="12" x14ac:dyDescent="0.2">
      <c r="A126" s="569"/>
      <c r="B126" s="671"/>
      <c r="C126" s="665" t="s">
        <v>717</v>
      </c>
      <c r="D126" s="666"/>
      <c r="E126" s="666"/>
      <c r="F126" s="563"/>
      <c r="G126" s="563"/>
      <c r="H126" s="563"/>
      <c r="I126" s="563"/>
      <c r="J126" s="566"/>
      <c r="K126" s="563"/>
      <c r="L126" s="566"/>
      <c r="M126" s="565"/>
      <c r="N126" s="564"/>
      <c r="V126" s="674"/>
      <c r="W126" s="675"/>
      <c r="AC126" s="675"/>
      <c r="AE126" s="680"/>
    </row>
    <row r="127" spans="1:31" s="536" customFormat="1" ht="22.5" x14ac:dyDescent="0.2">
      <c r="A127" s="575" t="s">
        <v>199</v>
      </c>
      <c r="B127" s="670" t="s">
        <v>1214</v>
      </c>
      <c r="C127" s="1823" t="s">
        <v>1215</v>
      </c>
      <c r="D127" s="1823"/>
      <c r="E127" s="1823"/>
      <c r="F127" s="573" t="s">
        <v>617</v>
      </c>
      <c r="G127" s="573"/>
      <c r="H127" s="573"/>
      <c r="I127" s="573" t="s">
        <v>190</v>
      </c>
      <c r="J127" s="572"/>
      <c r="K127" s="573"/>
      <c r="L127" s="572"/>
      <c r="M127" s="571"/>
      <c r="N127" s="570"/>
      <c r="V127" s="674"/>
      <c r="W127" s="675" t="s">
        <v>1215</v>
      </c>
      <c r="AC127" s="675"/>
      <c r="AE127" s="680"/>
    </row>
    <row r="128" spans="1:31" s="536" customFormat="1" ht="12" x14ac:dyDescent="0.2">
      <c r="A128" s="676"/>
      <c r="B128" s="664"/>
      <c r="C128" s="1822" t="s">
        <v>1909</v>
      </c>
      <c r="D128" s="1822"/>
      <c r="E128" s="1822"/>
      <c r="F128" s="1822"/>
      <c r="G128" s="1822"/>
      <c r="H128" s="1822"/>
      <c r="I128" s="1822"/>
      <c r="J128" s="1822"/>
      <c r="K128" s="1822"/>
      <c r="L128" s="1822"/>
      <c r="M128" s="1822"/>
      <c r="N128" s="1827"/>
      <c r="V128" s="674"/>
      <c r="W128" s="675"/>
      <c r="X128" s="537" t="s">
        <v>1909</v>
      </c>
      <c r="AC128" s="675"/>
      <c r="AE128" s="680"/>
    </row>
    <row r="129" spans="1:32" s="536" customFormat="1" ht="33.75" x14ac:dyDescent="0.2">
      <c r="A129" s="609"/>
      <c r="B129" s="552" t="s">
        <v>310</v>
      </c>
      <c r="C129" s="1822" t="s">
        <v>311</v>
      </c>
      <c r="D129" s="1822"/>
      <c r="E129" s="1822"/>
      <c r="F129" s="1822"/>
      <c r="G129" s="1822"/>
      <c r="H129" s="1822"/>
      <c r="I129" s="1822"/>
      <c r="J129" s="1822"/>
      <c r="K129" s="1822"/>
      <c r="L129" s="1822"/>
      <c r="M129" s="1822"/>
      <c r="N129" s="1827"/>
      <c r="V129" s="674"/>
      <c r="W129" s="675"/>
      <c r="Y129" s="537" t="s">
        <v>311</v>
      </c>
      <c r="AC129" s="675"/>
      <c r="AE129" s="680"/>
    </row>
    <row r="130" spans="1:32" s="536" customFormat="1" ht="12" x14ac:dyDescent="0.2">
      <c r="A130" s="605"/>
      <c r="B130" s="552" t="s">
        <v>185</v>
      </c>
      <c r="C130" s="1822" t="s">
        <v>312</v>
      </c>
      <c r="D130" s="1822"/>
      <c r="E130" s="1822"/>
      <c r="F130" s="562"/>
      <c r="G130" s="562"/>
      <c r="H130" s="562"/>
      <c r="I130" s="562"/>
      <c r="J130" s="604">
        <v>1.1499999999999999</v>
      </c>
      <c r="K130" s="562" t="s">
        <v>313</v>
      </c>
      <c r="L130" s="604">
        <v>8.6300000000000008</v>
      </c>
      <c r="M130" s="603"/>
      <c r="N130" s="602"/>
      <c r="V130" s="674"/>
      <c r="W130" s="675"/>
      <c r="Z130" s="537" t="s">
        <v>312</v>
      </c>
      <c r="AC130" s="675"/>
      <c r="AE130" s="680"/>
    </row>
    <row r="131" spans="1:32" s="536" customFormat="1" ht="12" x14ac:dyDescent="0.2">
      <c r="A131" s="676"/>
      <c r="B131" s="677" t="s">
        <v>1198</v>
      </c>
      <c r="C131" s="1829" t="s">
        <v>1199</v>
      </c>
      <c r="D131" s="1829"/>
      <c r="E131" s="1829"/>
      <c r="F131" s="678" t="s">
        <v>617</v>
      </c>
      <c r="G131" s="678" t="s">
        <v>185</v>
      </c>
      <c r="H131" s="678"/>
      <c r="I131" s="678" t="s">
        <v>190</v>
      </c>
      <c r="J131" s="552"/>
      <c r="K131" s="562"/>
      <c r="L131" s="604"/>
      <c r="M131" s="562"/>
      <c r="N131" s="679"/>
      <c r="V131" s="674"/>
      <c r="W131" s="675"/>
      <c r="AC131" s="675"/>
      <c r="AE131" s="680" t="s">
        <v>1199</v>
      </c>
    </row>
    <row r="132" spans="1:32" s="536" customFormat="1" ht="12" x14ac:dyDescent="0.2">
      <c r="A132" s="605"/>
      <c r="B132" s="552"/>
      <c r="C132" s="1822" t="s">
        <v>314</v>
      </c>
      <c r="D132" s="1822"/>
      <c r="E132" s="1822"/>
      <c r="F132" s="562" t="s">
        <v>315</v>
      </c>
      <c r="G132" s="562" t="s">
        <v>646</v>
      </c>
      <c r="H132" s="562" t="s">
        <v>313</v>
      </c>
      <c r="I132" s="562" t="s">
        <v>1533</v>
      </c>
      <c r="J132" s="604"/>
      <c r="K132" s="562"/>
      <c r="L132" s="604"/>
      <c r="M132" s="603"/>
      <c r="N132" s="602"/>
      <c r="V132" s="674"/>
      <c r="W132" s="675"/>
      <c r="AA132" s="537" t="s">
        <v>314</v>
      </c>
      <c r="AC132" s="675"/>
      <c r="AE132" s="680"/>
    </row>
    <row r="133" spans="1:32" s="536" customFormat="1" ht="12" x14ac:dyDescent="0.2">
      <c r="A133" s="605"/>
      <c r="B133" s="552"/>
      <c r="C133" s="1828" t="s">
        <v>318</v>
      </c>
      <c r="D133" s="1828"/>
      <c r="E133" s="1828"/>
      <c r="F133" s="608"/>
      <c r="G133" s="608"/>
      <c r="H133" s="608"/>
      <c r="I133" s="608"/>
      <c r="J133" s="607">
        <v>1.1499999999999999</v>
      </c>
      <c r="K133" s="608"/>
      <c r="L133" s="607">
        <v>8.6300000000000008</v>
      </c>
      <c r="M133" s="601"/>
      <c r="N133" s="606"/>
      <c r="V133" s="674"/>
      <c r="W133" s="675"/>
      <c r="AB133" s="537" t="s">
        <v>318</v>
      </c>
      <c r="AC133" s="675"/>
      <c r="AE133" s="680"/>
    </row>
    <row r="134" spans="1:32" s="536" customFormat="1" ht="12" x14ac:dyDescent="0.2">
      <c r="A134" s="605"/>
      <c r="B134" s="552"/>
      <c r="C134" s="1822" t="s">
        <v>319</v>
      </c>
      <c r="D134" s="1822"/>
      <c r="E134" s="1822"/>
      <c r="F134" s="562"/>
      <c r="G134" s="562"/>
      <c r="H134" s="562"/>
      <c r="I134" s="562"/>
      <c r="J134" s="604"/>
      <c r="K134" s="562"/>
      <c r="L134" s="604">
        <v>8.6300000000000008</v>
      </c>
      <c r="M134" s="603"/>
      <c r="N134" s="602"/>
      <c r="V134" s="674"/>
      <c r="W134" s="675"/>
      <c r="AA134" s="537" t="s">
        <v>319</v>
      </c>
      <c r="AC134" s="675"/>
      <c r="AE134" s="680"/>
    </row>
    <row r="135" spans="1:32" s="536" customFormat="1" ht="33.75" x14ac:dyDescent="0.2">
      <c r="A135" s="605"/>
      <c r="B135" s="552" t="s">
        <v>1155</v>
      </c>
      <c r="C135" s="1822" t="s">
        <v>1156</v>
      </c>
      <c r="D135" s="1822"/>
      <c r="E135" s="1822"/>
      <c r="F135" s="562" t="s">
        <v>322</v>
      </c>
      <c r="G135" s="562" t="s">
        <v>1157</v>
      </c>
      <c r="H135" s="562"/>
      <c r="I135" s="562" t="s">
        <v>1157</v>
      </c>
      <c r="J135" s="604"/>
      <c r="K135" s="562"/>
      <c r="L135" s="604">
        <v>9.41</v>
      </c>
      <c r="M135" s="603"/>
      <c r="N135" s="602"/>
      <c r="V135" s="674"/>
      <c r="W135" s="675"/>
      <c r="AA135" s="537" t="s">
        <v>1156</v>
      </c>
      <c r="AC135" s="675"/>
      <c r="AE135" s="680"/>
    </row>
    <row r="136" spans="1:32" s="536" customFormat="1" ht="33.75" x14ac:dyDescent="0.2">
      <c r="A136" s="605"/>
      <c r="B136" s="552" t="s">
        <v>1158</v>
      </c>
      <c r="C136" s="1822" t="s">
        <v>1159</v>
      </c>
      <c r="D136" s="1822"/>
      <c r="E136" s="1822"/>
      <c r="F136" s="562" t="s">
        <v>322</v>
      </c>
      <c r="G136" s="562" t="s">
        <v>791</v>
      </c>
      <c r="H136" s="562"/>
      <c r="I136" s="562" t="s">
        <v>791</v>
      </c>
      <c r="J136" s="604"/>
      <c r="K136" s="562"/>
      <c r="L136" s="604">
        <v>4.92</v>
      </c>
      <c r="M136" s="603"/>
      <c r="N136" s="602"/>
      <c r="V136" s="674"/>
      <c r="W136" s="675"/>
      <c r="AA136" s="537" t="s">
        <v>1159</v>
      </c>
      <c r="AC136" s="675"/>
      <c r="AE136" s="680"/>
    </row>
    <row r="137" spans="1:32" s="536" customFormat="1" ht="12" x14ac:dyDescent="0.2">
      <c r="A137" s="569"/>
      <c r="B137" s="671"/>
      <c r="C137" s="1823" t="s">
        <v>327</v>
      </c>
      <c r="D137" s="1823"/>
      <c r="E137" s="1823"/>
      <c r="F137" s="573"/>
      <c r="G137" s="573"/>
      <c r="H137" s="573"/>
      <c r="I137" s="573"/>
      <c r="J137" s="572"/>
      <c r="K137" s="573"/>
      <c r="L137" s="572">
        <v>22.96</v>
      </c>
      <c r="M137" s="601"/>
      <c r="N137" s="570"/>
      <c r="V137" s="674"/>
      <c r="W137" s="675"/>
      <c r="AC137" s="675" t="s">
        <v>327</v>
      </c>
      <c r="AE137" s="680"/>
    </row>
    <row r="138" spans="1:32" s="536" customFormat="1" ht="33.75" x14ac:dyDescent="0.2">
      <c r="A138" s="575" t="s">
        <v>200</v>
      </c>
      <c r="B138" s="670" t="s">
        <v>1218</v>
      </c>
      <c r="C138" s="1823" t="s">
        <v>1219</v>
      </c>
      <c r="D138" s="1823"/>
      <c r="E138" s="1823"/>
      <c r="F138" s="573" t="s">
        <v>617</v>
      </c>
      <c r="G138" s="573"/>
      <c r="H138" s="573"/>
      <c r="I138" s="573" t="s">
        <v>188</v>
      </c>
      <c r="J138" s="572">
        <v>83.12</v>
      </c>
      <c r="K138" s="573"/>
      <c r="L138" s="572">
        <v>332.48</v>
      </c>
      <c r="M138" s="571"/>
      <c r="N138" s="570"/>
      <c r="V138" s="674"/>
      <c r="W138" s="675" t="s">
        <v>1219</v>
      </c>
      <c r="AC138" s="675"/>
      <c r="AE138" s="680"/>
    </row>
    <row r="139" spans="1:32" s="536" customFormat="1" ht="12" x14ac:dyDescent="0.2">
      <c r="A139" s="569"/>
      <c r="B139" s="671"/>
      <c r="C139" s="665" t="s">
        <v>717</v>
      </c>
      <c r="D139" s="666"/>
      <c r="E139" s="666"/>
      <c r="F139" s="563"/>
      <c r="G139" s="563"/>
      <c r="H139" s="563"/>
      <c r="I139" s="563"/>
      <c r="J139" s="566"/>
      <c r="K139" s="563"/>
      <c r="L139" s="566"/>
      <c r="M139" s="565"/>
      <c r="N139" s="564"/>
      <c r="V139" s="674"/>
      <c r="W139" s="675"/>
      <c r="AC139" s="675"/>
      <c r="AE139" s="680"/>
    </row>
    <row r="140" spans="1:32" s="536" customFormat="1" ht="45" x14ac:dyDescent="0.2">
      <c r="A140" s="575" t="s">
        <v>425</v>
      </c>
      <c r="B140" s="670" t="s">
        <v>1221</v>
      </c>
      <c r="C140" s="1823" t="s">
        <v>1222</v>
      </c>
      <c r="D140" s="1823"/>
      <c r="E140" s="1823"/>
      <c r="F140" s="573" t="s">
        <v>617</v>
      </c>
      <c r="G140" s="573"/>
      <c r="H140" s="573"/>
      <c r="I140" s="573" t="s">
        <v>186</v>
      </c>
      <c r="J140" s="572">
        <v>83.12</v>
      </c>
      <c r="K140" s="573"/>
      <c r="L140" s="572">
        <v>166.24</v>
      </c>
      <c r="M140" s="571"/>
      <c r="N140" s="570"/>
      <c r="V140" s="674"/>
      <c r="W140" s="675" t="s">
        <v>1222</v>
      </c>
      <c r="AC140" s="675"/>
      <c r="AE140" s="680"/>
    </row>
    <row r="141" spans="1:32" s="536" customFormat="1" ht="12" x14ac:dyDescent="0.2">
      <c r="A141" s="569"/>
      <c r="B141" s="671"/>
      <c r="C141" s="665" t="s">
        <v>717</v>
      </c>
      <c r="D141" s="666"/>
      <c r="E141" s="666"/>
      <c r="F141" s="563"/>
      <c r="G141" s="563"/>
      <c r="H141" s="563"/>
      <c r="I141" s="563"/>
      <c r="J141" s="566"/>
      <c r="K141" s="563"/>
      <c r="L141" s="566"/>
      <c r="M141" s="565"/>
      <c r="N141" s="564"/>
      <c r="V141" s="674"/>
      <c r="W141" s="675"/>
      <c r="AC141" s="675"/>
      <c r="AE141" s="680"/>
    </row>
    <row r="142" spans="1:32" s="536" customFormat="1" ht="12" x14ac:dyDescent="0.2">
      <c r="A142" s="1830" t="s">
        <v>3200</v>
      </c>
      <c r="B142" s="1831"/>
      <c r="C142" s="1831"/>
      <c r="D142" s="1831"/>
      <c r="E142" s="1831"/>
      <c r="F142" s="1831"/>
      <c r="G142" s="1831"/>
      <c r="H142" s="1831"/>
      <c r="I142" s="1831"/>
      <c r="J142" s="1831"/>
      <c r="K142" s="1831"/>
      <c r="L142" s="1831"/>
      <c r="M142" s="1831"/>
      <c r="N142" s="1832"/>
      <c r="V142" s="674"/>
      <c r="W142" s="675"/>
      <c r="AC142" s="675"/>
      <c r="AE142" s="680"/>
      <c r="AF142" s="675" t="s">
        <v>3200</v>
      </c>
    </row>
    <row r="143" spans="1:32" s="536" customFormat="1" ht="22.5" x14ac:dyDescent="0.2">
      <c r="A143" s="575" t="s">
        <v>430</v>
      </c>
      <c r="B143" s="670" t="s">
        <v>1224</v>
      </c>
      <c r="C143" s="1823" t="s">
        <v>1225</v>
      </c>
      <c r="D143" s="1823"/>
      <c r="E143" s="1823"/>
      <c r="F143" s="573" t="s">
        <v>1110</v>
      </c>
      <c r="G143" s="573"/>
      <c r="H143" s="573"/>
      <c r="I143" s="573" t="s">
        <v>3201</v>
      </c>
      <c r="J143" s="572"/>
      <c r="K143" s="573"/>
      <c r="L143" s="572"/>
      <c r="M143" s="571"/>
      <c r="N143" s="570"/>
      <c r="V143" s="674"/>
      <c r="W143" s="675" t="s">
        <v>1225</v>
      </c>
      <c r="AC143" s="675"/>
      <c r="AE143" s="680"/>
      <c r="AF143" s="675"/>
    </row>
    <row r="144" spans="1:32" s="536" customFormat="1" ht="12" x14ac:dyDescent="0.2">
      <c r="A144" s="676"/>
      <c r="B144" s="664"/>
      <c r="C144" s="1822" t="s">
        <v>3202</v>
      </c>
      <c r="D144" s="1822"/>
      <c r="E144" s="1822"/>
      <c r="F144" s="1822"/>
      <c r="G144" s="1822"/>
      <c r="H144" s="1822"/>
      <c r="I144" s="1822"/>
      <c r="J144" s="1822"/>
      <c r="K144" s="1822"/>
      <c r="L144" s="1822"/>
      <c r="M144" s="1822"/>
      <c r="N144" s="1827"/>
      <c r="V144" s="674"/>
      <c r="W144" s="675"/>
      <c r="X144" s="537" t="s">
        <v>3202</v>
      </c>
      <c r="AC144" s="675"/>
      <c r="AE144" s="680"/>
      <c r="AF144" s="675"/>
    </row>
    <row r="145" spans="1:32" s="536" customFormat="1" ht="33.75" x14ac:dyDescent="0.2">
      <c r="A145" s="609"/>
      <c r="B145" s="552" t="s">
        <v>310</v>
      </c>
      <c r="C145" s="1822" t="s">
        <v>311</v>
      </c>
      <c r="D145" s="1822"/>
      <c r="E145" s="1822"/>
      <c r="F145" s="1822"/>
      <c r="G145" s="1822"/>
      <c r="H145" s="1822"/>
      <c r="I145" s="1822"/>
      <c r="J145" s="1822"/>
      <c r="K145" s="1822"/>
      <c r="L145" s="1822"/>
      <c r="M145" s="1822"/>
      <c r="N145" s="1827"/>
      <c r="V145" s="674"/>
      <c r="W145" s="675"/>
      <c r="Y145" s="537" t="s">
        <v>311</v>
      </c>
      <c r="AC145" s="675"/>
      <c r="AE145" s="680"/>
      <c r="AF145" s="675"/>
    </row>
    <row r="146" spans="1:32" s="536" customFormat="1" ht="12" x14ac:dyDescent="0.2">
      <c r="A146" s="605"/>
      <c r="B146" s="552" t="s">
        <v>185</v>
      </c>
      <c r="C146" s="1822" t="s">
        <v>312</v>
      </c>
      <c r="D146" s="1822"/>
      <c r="E146" s="1822"/>
      <c r="F146" s="562"/>
      <c r="G146" s="562"/>
      <c r="H146" s="562"/>
      <c r="I146" s="562"/>
      <c r="J146" s="604">
        <v>49.82</v>
      </c>
      <c r="K146" s="562" t="s">
        <v>313</v>
      </c>
      <c r="L146" s="604">
        <v>11.71</v>
      </c>
      <c r="M146" s="603"/>
      <c r="N146" s="602"/>
      <c r="V146" s="674"/>
      <c r="W146" s="675"/>
      <c r="Z146" s="537" t="s">
        <v>312</v>
      </c>
      <c r="AC146" s="675"/>
      <c r="AE146" s="680"/>
      <c r="AF146" s="675"/>
    </row>
    <row r="147" spans="1:32" s="536" customFormat="1" ht="12" x14ac:dyDescent="0.2">
      <c r="A147" s="605"/>
      <c r="B147" s="552" t="s">
        <v>186</v>
      </c>
      <c r="C147" s="1822" t="s">
        <v>344</v>
      </c>
      <c r="D147" s="1822"/>
      <c r="E147" s="1822"/>
      <c r="F147" s="562"/>
      <c r="G147" s="562"/>
      <c r="H147" s="562"/>
      <c r="I147" s="562"/>
      <c r="J147" s="604">
        <v>6.09</v>
      </c>
      <c r="K147" s="562" t="s">
        <v>313</v>
      </c>
      <c r="L147" s="604">
        <v>1.43</v>
      </c>
      <c r="M147" s="603"/>
      <c r="N147" s="602"/>
      <c r="V147" s="674"/>
      <c r="W147" s="675"/>
      <c r="Z147" s="537" t="s">
        <v>344</v>
      </c>
      <c r="AC147" s="675"/>
      <c r="AE147" s="680"/>
      <c r="AF147" s="675"/>
    </row>
    <row r="148" spans="1:32" s="536" customFormat="1" ht="12" x14ac:dyDescent="0.2">
      <c r="A148" s="605"/>
      <c r="B148" s="552" t="s">
        <v>187</v>
      </c>
      <c r="C148" s="1822" t="s">
        <v>345</v>
      </c>
      <c r="D148" s="1822"/>
      <c r="E148" s="1822"/>
      <c r="F148" s="562"/>
      <c r="G148" s="562"/>
      <c r="H148" s="562"/>
      <c r="I148" s="562"/>
      <c r="J148" s="604">
        <v>1.28</v>
      </c>
      <c r="K148" s="562" t="s">
        <v>313</v>
      </c>
      <c r="L148" s="604">
        <v>0.3</v>
      </c>
      <c r="M148" s="603"/>
      <c r="N148" s="602"/>
      <c r="V148" s="674"/>
      <c r="W148" s="675"/>
      <c r="Z148" s="537" t="s">
        <v>345</v>
      </c>
      <c r="AC148" s="675"/>
      <c r="AE148" s="680"/>
      <c r="AF148" s="675"/>
    </row>
    <row r="149" spans="1:32" s="536" customFormat="1" ht="12" x14ac:dyDescent="0.2">
      <c r="A149" s="676"/>
      <c r="B149" s="677" t="s">
        <v>1228</v>
      </c>
      <c r="C149" s="1829" t="s">
        <v>1229</v>
      </c>
      <c r="D149" s="1829"/>
      <c r="E149" s="1829"/>
      <c r="F149" s="678" t="s">
        <v>694</v>
      </c>
      <c r="G149" s="678" t="s">
        <v>525</v>
      </c>
      <c r="H149" s="678"/>
      <c r="I149" s="678" t="s">
        <v>525</v>
      </c>
      <c r="J149" s="552"/>
      <c r="K149" s="562"/>
      <c r="L149" s="604"/>
      <c r="M149" s="562"/>
      <c r="N149" s="679"/>
      <c r="V149" s="674"/>
      <c r="W149" s="675"/>
      <c r="AC149" s="675"/>
      <c r="AE149" s="680" t="s">
        <v>1229</v>
      </c>
      <c r="AF149" s="675"/>
    </row>
    <row r="150" spans="1:32" s="536" customFormat="1" ht="12" x14ac:dyDescent="0.2">
      <c r="A150" s="605"/>
      <c r="B150" s="552"/>
      <c r="C150" s="1822" t="s">
        <v>314</v>
      </c>
      <c r="D150" s="1822"/>
      <c r="E150" s="1822"/>
      <c r="F150" s="562" t="s">
        <v>315</v>
      </c>
      <c r="G150" s="562" t="s">
        <v>1230</v>
      </c>
      <c r="H150" s="562" t="s">
        <v>313</v>
      </c>
      <c r="I150" s="562" t="s">
        <v>3203</v>
      </c>
      <c r="J150" s="604"/>
      <c r="K150" s="562"/>
      <c r="L150" s="604"/>
      <c r="M150" s="603"/>
      <c r="N150" s="602"/>
      <c r="V150" s="674"/>
      <c r="W150" s="675"/>
      <c r="AA150" s="537" t="s">
        <v>314</v>
      </c>
      <c r="AC150" s="675"/>
      <c r="AE150" s="680"/>
      <c r="AF150" s="675"/>
    </row>
    <row r="151" spans="1:32" s="536" customFormat="1" ht="12" x14ac:dyDescent="0.2">
      <c r="A151" s="605"/>
      <c r="B151" s="552"/>
      <c r="C151" s="1822" t="s">
        <v>348</v>
      </c>
      <c r="D151" s="1822"/>
      <c r="E151" s="1822"/>
      <c r="F151" s="562" t="s">
        <v>315</v>
      </c>
      <c r="G151" s="562" t="s">
        <v>1232</v>
      </c>
      <c r="H151" s="562" t="s">
        <v>313</v>
      </c>
      <c r="I151" s="562" t="s">
        <v>3204</v>
      </c>
      <c r="J151" s="604"/>
      <c r="K151" s="562"/>
      <c r="L151" s="604"/>
      <c r="M151" s="603"/>
      <c r="N151" s="602"/>
      <c r="V151" s="674"/>
      <c r="W151" s="675"/>
      <c r="AA151" s="537" t="s">
        <v>348</v>
      </c>
      <c r="AC151" s="675"/>
      <c r="AE151" s="680"/>
      <c r="AF151" s="675"/>
    </row>
    <row r="152" spans="1:32" s="536" customFormat="1" ht="12" x14ac:dyDescent="0.2">
      <c r="A152" s="605"/>
      <c r="B152" s="552"/>
      <c r="C152" s="1828" t="s">
        <v>318</v>
      </c>
      <c r="D152" s="1828"/>
      <c r="E152" s="1828"/>
      <c r="F152" s="608"/>
      <c r="G152" s="608"/>
      <c r="H152" s="608"/>
      <c r="I152" s="608"/>
      <c r="J152" s="607">
        <v>55.91</v>
      </c>
      <c r="K152" s="608"/>
      <c r="L152" s="607">
        <v>13.14</v>
      </c>
      <c r="M152" s="601"/>
      <c r="N152" s="606"/>
      <c r="V152" s="674"/>
      <c r="W152" s="675"/>
      <c r="AB152" s="537" t="s">
        <v>318</v>
      </c>
      <c r="AC152" s="675"/>
      <c r="AE152" s="680"/>
      <c r="AF152" s="675"/>
    </row>
    <row r="153" spans="1:32" s="536" customFormat="1" ht="12" x14ac:dyDescent="0.2">
      <c r="A153" s="605"/>
      <c r="B153" s="552"/>
      <c r="C153" s="1822" t="s">
        <v>319</v>
      </c>
      <c r="D153" s="1822"/>
      <c r="E153" s="1822"/>
      <c r="F153" s="562"/>
      <c r="G153" s="562"/>
      <c r="H153" s="562"/>
      <c r="I153" s="562"/>
      <c r="J153" s="604"/>
      <c r="K153" s="562"/>
      <c r="L153" s="604">
        <v>12.01</v>
      </c>
      <c r="M153" s="603"/>
      <c r="N153" s="602"/>
      <c r="V153" s="674"/>
      <c r="W153" s="675"/>
      <c r="AA153" s="537" t="s">
        <v>319</v>
      </c>
      <c r="AC153" s="675"/>
      <c r="AE153" s="680"/>
      <c r="AF153" s="675"/>
    </row>
    <row r="154" spans="1:32" s="536" customFormat="1" ht="33.75" x14ac:dyDescent="0.2">
      <c r="A154" s="605"/>
      <c r="B154" s="552" t="s">
        <v>1155</v>
      </c>
      <c r="C154" s="1822" t="s">
        <v>1156</v>
      </c>
      <c r="D154" s="1822"/>
      <c r="E154" s="1822"/>
      <c r="F154" s="562" t="s">
        <v>322</v>
      </c>
      <c r="G154" s="562" t="s">
        <v>1157</v>
      </c>
      <c r="H154" s="562"/>
      <c r="I154" s="562" t="s">
        <v>1157</v>
      </c>
      <c r="J154" s="604"/>
      <c r="K154" s="562"/>
      <c r="L154" s="604">
        <v>13.09</v>
      </c>
      <c r="M154" s="603"/>
      <c r="N154" s="602"/>
      <c r="V154" s="674"/>
      <c r="W154" s="675"/>
      <c r="AA154" s="537" t="s">
        <v>1156</v>
      </c>
      <c r="AC154" s="675"/>
      <c r="AE154" s="680"/>
      <c r="AF154" s="675"/>
    </row>
    <row r="155" spans="1:32" s="536" customFormat="1" ht="33.75" x14ac:dyDescent="0.2">
      <c r="A155" s="605"/>
      <c r="B155" s="552" t="s">
        <v>1158</v>
      </c>
      <c r="C155" s="1822" t="s">
        <v>1159</v>
      </c>
      <c r="D155" s="1822"/>
      <c r="E155" s="1822"/>
      <c r="F155" s="562" t="s">
        <v>322</v>
      </c>
      <c r="G155" s="562" t="s">
        <v>791</v>
      </c>
      <c r="H155" s="562"/>
      <c r="I155" s="562" t="s">
        <v>791</v>
      </c>
      <c r="J155" s="604"/>
      <c r="K155" s="562"/>
      <c r="L155" s="604">
        <v>6.85</v>
      </c>
      <c r="M155" s="603"/>
      <c r="N155" s="602"/>
      <c r="V155" s="674"/>
      <c r="W155" s="675"/>
      <c r="AA155" s="537" t="s">
        <v>1159</v>
      </c>
      <c r="AC155" s="675"/>
      <c r="AE155" s="680"/>
      <c r="AF155" s="675"/>
    </row>
    <row r="156" spans="1:32" s="536" customFormat="1" ht="12" x14ac:dyDescent="0.2">
      <c r="A156" s="569"/>
      <c r="B156" s="671"/>
      <c r="C156" s="1823" t="s">
        <v>327</v>
      </c>
      <c r="D156" s="1823"/>
      <c r="E156" s="1823"/>
      <c r="F156" s="573"/>
      <c r="G156" s="573"/>
      <c r="H156" s="573"/>
      <c r="I156" s="573"/>
      <c r="J156" s="572"/>
      <c r="K156" s="573"/>
      <c r="L156" s="572">
        <v>33.08</v>
      </c>
      <c r="M156" s="601"/>
      <c r="N156" s="570"/>
      <c r="V156" s="674"/>
      <c r="W156" s="675"/>
      <c r="AC156" s="675" t="s">
        <v>327</v>
      </c>
      <c r="AE156" s="680"/>
      <c r="AF156" s="675"/>
    </row>
    <row r="157" spans="1:32" s="536" customFormat="1" ht="33.75" x14ac:dyDescent="0.2">
      <c r="A157" s="575" t="s">
        <v>436</v>
      </c>
      <c r="B157" s="670" t="s">
        <v>1234</v>
      </c>
      <c r="C157" s="1823" t="s">
        <v>1235</v>
      </c>
      <c r="D157" s="1823"/>
      <c r="E157" s="1823"/>
      <c r="F157" s="573" t="s">
        <v>1236</v>
      </c>
      <c r="G157" s="573"/>
      <c r="H157" s="573"/>
      <c r="I157" s="573" t="s">
        <v>190</v>
      </c>
      <c r="J157" s="572">
        <v>1670.07</v>
      </c>
      <c r="K157" s="573" t="s">
        <v>716</v>
      </c>
      <c r="L157" s="572">
        <v>1228.49</v>
      </c>
      <c r="M157" s="571">
        <v>8.32</v>
      </c>
      <c r="N157" s="570">
        <v>10221</v>
      </c>
      <c r="V157" s="674"/>
      <c r="W157" s="675" t="s">
        <v>1235</v>
      </c>
      <c r="AC157" s="675"/>
      <c r="AE157" s="680"/>
      <c r="AF157" s="675"/>
    </row>
    <row r="158" spans="1:32" s="536" customFormat="1" ht="12" x14ac:dyDescent="0.2">
      <c r="A158" s="569"/>
      <c r="B158" s="671"/>
      <c r="C158" s="665" t="s">
        <v>1173</v>
      </c>
      <c r="D158" s="666"/>
      <c r="E158" s="666"/>
      <c r="F158" s="563"/>
      <c r="G158" s="563"/>
      <c r="H158" s="563"/>
      <c r="I158" s="563"/>
      <c r="J158" s="566"/>
      <c r="K158" s="563"/>
      <c r="L158" s="566"/>
      <c r="M158" s="565"/>
      <c r="N158" s="564"/>
      <c r="V158" s="674"/>
      <c r="W158" s="675"/>
      <c r="AC158" s="675"/>
      <c r="AE158" s="680"/>
      <c r="AF158" s="675"/>
    </row>
    <row r="159" spans="1:32" s="536" customFormat="1" ht="12" x14ac:dyDescent="0.2">
      <c r="A159" s="676"/>
      <c r="B159" s="664"/>
      <c r="C159" s="1822" t="s">
        <v>3205</v>
      </c>
      <c r="D159" s="1822"/>
      <c r="E159" s="1822"/>
      <c r="F159" s="1822"/>
      <c r="G159" s="1822"/>
      <c r="H159" s="1822"/>
      <c r="I159" s="1822"/>
      <c r="J159" s="1822"/>
      <c r="K159" s="1822"/>
      <c r="L159" s="1822"/>
      <c r="M159" s="1822"/>
      <c r="N159" s="1827"/>
      <c r="V159" s="674"/>
      <c r="W159" s="675"/>
      <c r="X159" s="537" t="s">
        <v>3205</v>
      </c>
      <c r="AC159" s="675"/>
      <c r="AE159" s="680"/>
      <c r="AF159" s="675"/>
    </row>
    <row r="160" spans="1:32" s="536" customFormat="1" ht="22.5" x14ac:dyDescent="0.2">
      <c r="A160" s="609"/>
      <c r="B160" s="552" t="s">
        <v>718</v>
      </c>
      <c r="C160" s="1822" t="s">
        <v>719</v>
      </c>
      <c r="D160" s="1822"/>
      <c r="E160" s="1822"/>
      <c r="F160" s="1822"/>
      <c r="G160" s="1822"/>
      <c r="H160" s="1822"/>
      <c r="I160" s="1822"/>
      <c r="J160" s="1822"/>
      <c r="K160" s="1822"/>
      <c r="L160" s="1822"/>
      <c r="M160" s="1822"/>
      <c r="N160" s="1827"/>
      <c r="V160" s="674"/>
      <c r="W160" s="675"/>
      <c r="Y160" s="537" t="s">
        <v>719</v>
      </c>
      <c r="AC160" s="675"/>
      <c r="AE160" s="680"/>
      <c r="AF160" s="675"/>
    </row>
    <row r="161" spans="1:34" s="536" customFormat="1" ht="1.5" customHeight="1" x14ac:dyDescent="0.2">
      <c r="A161" s="563"/>
      <c r="B161" s="671"/>
      <c r="C161" s="671"/>
      <c r="D161" s="671"/>
      <c r="E161" s="671"/>
      <c r="F161" s="563"/>
      <c r="G161" s="563"/>
      <c r="H161" s="563"/>
      <c r="I161" s="563"/>
      <c r="J161" s="546"/>
      <c r="K161" s="563"/>
      <c r="L161" s="546"/>
      <c r="M161" s="562"/>
      <c r="N161" s="546"/>
      <c r="V161" s="674"/>
      <c r="W161" s="675"/>
      <c r="AC161" s="675"/>
      <c r="AE161" s="680"/>
      <c r="AF161" s="675"/>
    </row>
    <row r="162" spans="1:34" s="536" customFormat="1" ht="12" x14ac:dyDescent="0.2">
      <c r="A162" s="557"/>
      <c r="B162" s="556"/>
      <c r="C162" s="1823" t="s">
        <v>3206</v>
      </c>
      <c r="D162" s="1823"/>
      <c r="E162" s="1823"/>
      <c r="F162" s="1823"/>
      <c r="G162" s="1823"/>
      <c r="H162" s="1823"/>
      <c r="I162" s="1823"/>
      <c r="J162" s="1823"/>
      <c r="K162" s="1823"/>
      <c r="L162" s="555"/>
      <c r="M162" s="554"/>
      <c r="N162" s="553"/>
      <c r="V162" s="674"/>
      <c r="W162" s="675"/>
      <c r="AC162" s="675"/>
      <c r="AE162" s="680"/>
      <c r="AF162" s="675"/>
      <c r="AG162" s="675" t="s">
        <v>3206</v>
      </c>
    </row>
    <row r="163" spans="1:34" s="536" customFormat="1" ht="12" x14ac:dyDescent="0.2">
      <c r="A163" s="548"/>
      <c r="B163" s="552"/>
      <c r="C163" s="1822" t="s">
        <v>403</v>
      </c>
      <c r="D163" s="1822"/>
      <c r="E163" s="1822"/>
      <c r="F163" s="1822"/>
      <c r="G163" s="1822"/>
      <c r="H163" s="1822"/>
      <c r="I163" s="1822"/>
      <c r="J163" s="1822"/>
      <c r="K163" s="1822"/>
      <c r="L163" s="551">
        <v>32860.93</v>
      </c>
      <c r="M163" s="550"/>
      <c r="N163" s="549"/>
      <c r="V163" s="674"/>
      <c r="W163" s="675"/>
      <c r="AC163" s="675"/>
      <c r="AE163" s="680"/>
      <c r="AF163" s="675"/>
      <c r="AG163" s="675"/>
      <c r="AH163" s="537" t="s">
        <v>403</v>
      </c>
    </row>
    <row r="164" spans="1:34" s="536" customFormat="1" ht="12" x14ac:dyDescent="0.2">
      <c r="A164" s="548"/>
      <c r="B164" s="552"/>
      <c r="C164" s="1822" t="s">
        <v>204</v>
      </c>
      <c r="D164" s="1822"/>
      <c r="E164" s="1822"/>
      <c r="F164" s="1822"/>
      <c r="G164" s="1822"/>
      <c r="H164" s="1822"/>
      <c r="I164" s="1822"/>
      <c r="J164" s="1822"/>
      <c r="K164" s="1822"/>
      <c r="L164" s="551"/>
      <c r="M164" s="550"/>
      <c r="N164" s="549"/>
      <c r="V164" s="674"/>
      <c r="W164" s="675"/>
      <c r="AC164" s="675"/>
      <c r="AE164" s="680"/>
      <c r="AF164" s="675"/>
      <c r="AG164" s="675"/>
      <c r="AH164" s="537" t="s">
        <v>204</v>
      </c>
    </row>
    <row r="165" spans="1:34" s="536" customFormat="1" ht="12" x14ac:dyDescent="0.2">
      <c r="A165" s="548"/>
      <c r="B165" s="552"/>
      <c r="C165" s="1822" t="s">
        <v>404</v>
      </c>
      <c r="D165" s="1822"/>
      <c r="E165" s="1822"/>
      <c r="F165" s="1822"/>
      <c r="G165" s="1822"/>
      <c r="H165" s="1822"/>
      <c r="I165" s="1822"/>
      <c r="J165" s="1822"/>
      <c r="K165" s="1822"/>
      <c r="L165" s="551">
        <v>2011.57</v>
      </c>
      <c r="M165" s="550"/>
      <c r="N165" s="549"/>
      <c r="V165" s="674"/>
      <c r="W165" s="675"/>
      <c r="AC165" s="675"/>
      <c r="AE165" s="680"/>
      <c r="AF165" s="675"/>
      <c r="AG165" s="675"/>
      <c r="AH165" s="537" t="s">
        <v>404</v>
      </c>
    </row>
    <row r="166" spans="1:34" s="536" customFormat="1" ht="12" x14ac:dyDescent="0.2">
      <c r="A166" s="548"/>
      <c r="B166" s="552"/>
      <c r="C166" s="1822" t="s">
        <v>405</v>
      </c>
      <c r="D166" s="1822"/>
      <c r="E166" s="1822"/>
      <c r="F166" s="1822"/>
      <c r="G166" s="1822"/>
      <c r="H166" s="1822"/>
      <c r="I166" s="1822"/>
      <c r="J166" s="1822"/>
      <c r="K166" s="1822"/>
      <c r="L166" s="551">
        <v>294.56</v>
      </c>
      <c r="M166" s="550"/>
      <c r="N166" s="549"/>
      <c r="V166" s="674"/>
      <c r="W166" s="675"/>
      <c r="AC166" s="675"/>
      <c r="AE166" s="680"/>
      <c r="AF166" s="675"/>
      <c r="AG166" s="675"/>
      <c r="AH166" s="537" t="s">
        <v>405</v>
      </c>
    </row>
    <row r="167" spans="1:34" s="536" customFormat="1" ht="12" x14ac:dyDescent="0.2">
      <c r="A167" s="548"/>
      <c r="B167" s="552"/>
      <c r="C167" s="1822" t="s">
        <v>406</v>
      </c>
      <c r="D167" s="1822"/>
      <c r="E167" s="1822"/>
      <c r="F167" s="1822"/>
      <c r="G167" s="1822"/>
      <c r="H167" s="1822"/>
      <c r="I167" s="1822"/>
      <c r="J167" s="1822"/>
      <c r="K167" s="1822"/>
      <c r="L167" s="551">
        <v>8.89</v>
      </c>
      <c r="M167" s="550"/>
      <c r="N167" s="549"/>
      <c r="V167" s="674"/>
      <c r="W167" s="675"/>
      <c r="AC167" s="675"/>
      <c r="AE167" s="680"/>
      <c r="AF167" s="675"/>
      <c r="AG167" s="675"/>
      <c r="AH167" s="537" t="s">
        <v>406</v>
      </c>
    </row>
    <row r="168" spans="1:34" s="536" customFormat="1" ht="12" x14ac:dyDescent="0.2">
      <c r="A168" s="548"/>
      <c r="B168" s="552"/>
      <c r="C168" s="1822" t="s">
        <v>480</v>
      </c>
      <c r="D168" s="1822"/>
      <c r="E168" s="1822"/>
      <c r="F168" s="1822"/>
      <c r="G168" s="1822"/>
      <c r="H168" s="1822"/>
      <c r="I168" s="1822"/>
      <c r="J168" s="1822"/>
      <c r="K168" s="1822"/>
      <c r="L168" s="551">
        <v>30554.799999999999</v>
      </c>
      <c r="M168" s="550"/>
      <c r="N168" s="549"/>
      <c r="V168" s="674"/>
      <c r="W168" s="675"/>
      <c r="AC168" s="675"/>
      <c r="AE168" s="680"/>
      <c r="AF168" s="675"/>
      <c r="AG168" s="675"/>
      <c r="AH168" s="537" t="s">
        <v>480</v>
      </c>
    </row>
    <row r="169" spans="1:34" s="536" customFormat="1" ht="12" x14ac:dyDescent="0.2">
      <c r="A169" s="548"/>
      <c r="B169" s="552"/>
      <c r="C169" s="1822" t="s">
        <v>407</v>
      </c>
      <c r="D169" s="1822"/>
      <c r="E169" s="1822"/>
      <c r="F169" s="1822"/>
      <c r="G169" s="1822"/>
      <c r="H169" s="1822"/>
      <c r="I169" s="1822"/>
      <c r="J169" s="1822"/>
      <c r="K169" s="1822"/>
      <c r="L169" s="551">
        <v>36214.910000000003</v>
      </c>
      <c r="M169" s="550"/>
      <c r="N169" s="549"/>
      <c r="V169" s="674"/>
      <c r="W169" s="675"/>
      <c r="AC169" s="675"/>
      <c r="AE169" s="680"/>
      <c r="AF169" s="675"/>
      <c r="AG169" s="675"/>
      <c r="AH169" s="537" t="s">
        <v>407</v>
      </c>
    </row>
    <row r="170" spans="1:34" s="536" customFormat="1" ht="12" x14ac:dyDescent="0.2">
      <c r="A170" s="548"/>
      <c r="B170" s="552"/>
      <c r="C170" s="1822" t="s">
        <v>204</v>
      </c>
      <c r="D170" s="1822"/>
      <c r="E170" s="1822"/>
      <c r="F170" s="1822"/>
      <c r="G170" s="1822"/>
      <c r="H170" s="1822"/>
      <c r="I170" s="1822"/>
      <c r="J170" s="1822"/>
      <c r="K170" s="1822"/>
      <c r="L170" s="551"/>
      <c r="M170" s="550"/>
      <c r="N170" s="549"/>
      <c r="V170" s="674"/>
      <c r="W170" s="675"/>
      <c r="AC170" s="675"/>
      <c r="AE170" s="680"/>
      <c r="AF170" s="675"/>
      <c r="AG170" s="675"/>
      <c r="AH170" s="537" t="s">
        <v>204</v>
      </c>
    </row>
    <row r="171" spans="1:34" s="536" customFormat="1" ht="12" x14ac:dyDescent="0.2">
      <c r="A171" s="548"/>
      <c r="B171" s="552"/>
      <c r="C171" s="1822" t="s">
        <v>546</v>
      </c>
      <c r="D171" s="1822"/>
      <c r="E171" s="1822"/>
      <c r="F171" s="1822"/>
      <c r="G171" s="1822"/>
      <c r="H171" s="1822"/>
      <c r="I171" s="1822"/>
      <c r="J171" s="1822"/>
      <c r="K171" s="1822"/>
      <c r="L171" s="551">
        <v>2011.57</v>
      </c>
      <c r="M171" s="550"/>
      <c r="N171" s="549"/>
      <c r="V171" s="674"/>
      <c r="W171" s="675"/>
      <c r="AC171" s="675"/>
      <c r="AE171" s="680"/>
      <c r="AF171" s="675"/>
      <c r="AG171" s="675"/>
      <c r="AH171" s="537" t="s">
        <v>546</v>
      </c>
    </row>
    <row r="172" spans="1:34" s="536" customFormat="1" ht="12" x14ac:dyDescent="0.2">
      <c r="A172" s="548"/>
      <c r="B172" s="552"/>
      <c r="C172" s="1822" t="s">
        <v>442</v>
      </c>
      <c r="D172" s="1822"/>
      <c r="E172" s="1822"/>
      <c r="F172" s="1822"/>
      <c r="G172" s="1822"/>
      <c r="H172" s="1822"/>
      <c r="I172" s="1822"/>
      <c r="J172" s="1822"/>
      <c r="K172" s="1822"/>
      <c r="L172" s="551">
        <v>294.56</v>
      </c>
      <c r="M172" s="550"/>
      <c r="N172" s="549"/>
      <c r="V172" s="674"/>
      <c r="W172" s="675"/>
      <c r="AC172" s="675"/>
      <c r="AE172" s="680"/>
      <c r="AF172" s="675"/>
      <c r="AG172" s="675"/>
      <c r="AH172" s="537" t="s">
        <v>442</v>
      </c>
    </row>
    <row r="173" spans="1:34" s="536" customFormat="1" ht="12" x14ac:dyDescent="0.2">
      <c r="A173" s="548"/>
      <c r="B173" s="552"/>
      <c r="C173" s="1822" t="s">
        <v>547</v>
      </c>
      <c r="D173" s="1822"/>
      <c r="E173" s="1822"/>
      <c r="F173" s="1822"/>
      <c r="G173" s="1822"/>
      <c r="H173" s="1822"/>
      <c r="I173" s="1822"/>
      <c r="J173" s="1822"/>
      <c r="K173" s="1822"/>
      <c r="L173" s="551">
        <v>30554.799999999999</v>
      </c>
      <c r="M173" s="550"/>
      <c r="N173" s="549"/>
      <c r="V173" s="674"/>
      <c r="W173" s="675"/>
      <c r="AC173" s="675"/>
      <c r="AE173" s="680"/>
      <c r="AF173" s="675"/>
      <c r="AG173" s="675"/>
      <c r="AH173" s="537" t="s">
        <v>547</v>
      </c>
    </row>
    <row r="174" spans="1:34" s="536" customFormat="1" ht="12" x14ac:dyDescent="0.2">
      <c r="A174" s="548"/>
      <c r="B174" s="552"/>
      <c r="C174" s="1822" t="s">
        <v>443</v>
      </c>
      <c r="D174" s="1822"/>
      <c r="E174" s="1822"/>
      <c r="F174" s="1822"/>
      <c r="G174" s="1822"/>
      <c r="H174" s="1822"/>
      <c r="I174" s="1822"/>
      <c r="J174" s="1822"/>
      <c r="K174" s="1822"/>
      <c r="L174" s="551">
        <v>2202.31</v>
      </c>
      <c r="M174" s="550"/>
      <c r="N174" s="549"/>
      <c r="V174" s="674"/>
      <c r="W174" s="675"/>
      <c r="AC174" s="675"/>
      <c r="AE174" s="680"/>
      <c r="AF174" s="675"/>
      <c r="AG174" s="675"/>
      <c r="AH174" s="537" t="s">
        <v>443</v>
      </c>
    </row>
    <row r="175" spans="1:34" s="536" customFormat="1" ht="12" x14ac:dyDescent="0.2">
      <c r="A175" s="548"/>
      <c r="B175" s="552"/>
      <c r="C175" s="1822" t="s">
        <v>444</v>
      </c>
      <c r="D175" s="1822"/>
      <c r="E175" s="1822"/>
      <c r="F175" s="1822"/>
      <c r="G175" s="1822"/>
      <c r="H175" s="1822"/>
      <c r="I175" s="1822"/>
      <c r="J175" s="1822"/>
      <c r="K175" s="1822"/>
      <c r="L175" s="551">
        <v>1151.67</v>
      </c>
      <c r="M175" s="550"/>
      <c r="N175" s="549"/>
      <c r="V175" s="674"/>
      <c r="W175" s="675"/>
      <c r="AC175" s="675"/>
      <c r="AE175" s="680"/>
      <c r="AF175" s="675"/>
      <c r="AG175" s="675"/>
      <c r="AH175" s="537" t="s">
        <v>444</v>
      </c>
    </row>
    <row r="176" spans="1:34" s="536" customFormat="1" ht="12" x14ac:dyDescent="0.2">
      <c r="A176" s="548"/>
      <c r="B176" s="552"/>
      <c r="C176" s="1822" t="s">
        <v>415</v>
      </c>
      <c r="D176" s="1822"/>
      <c r="E176" s="1822"/>
      <c r="F176" s="1822"/>
      <c r="G176" s="1822"/>
      <c r="H176" s="1822"/>
      <c r="I176" s="1822"/>
      <c r="J176" s="1822"/>
      <c r="K176" s="1822"/>
      <c r="L176" s="551">
        <v>2020.46</v>
      </c>
      <c r="M176" s="550"/>
      <c r="N176" s="549"/>
      <c r="V176" s="674"/>
      <c r="W176" s="675"/>
      <c r="AC176" s="675"/>
      <c r="AE176" s="680"/>
      <c r="AF176" s="675"/>
      <c r="AG176" s="675"/>
      <c r="AH176" s="537" t="s">
        <v>415</v>
      </c>
    </row>
    <row r="177" spans="1:35" s="536" customFormat="1" ht="12" x14ac:dyDescent="0.2">
      <c r="A177" s="548"/>
      <c r="B177" s="552"/>
      <c r="C177" s="1822" t="s">
        <v>416</v>
      </c>
      <c r="D177" s="1822"/>
      <c r="E177" s="1822"/>
      <c r="F177" s="1822"/>
      <c r="G177" s="1822"/>
      <c r="H177" s="1822"/>
      <c r="I177" s="1822"/>
      <c r="J177" s="1822"/>
      <c r="K177" s="1822"/>
      <c r="L177" s="551">
        <v>2202.31</v>
      </c>
      <c r="M177" s="550"/>
      <c r="N177" s="549"/>
      <c r="V177" s="674"/>
      <c r="W177" s="675"/>
      <c r="AC177" s="675"/>
      <c r="AE177" s="680"/>
      <c r="AF177" s="675"/>
      <c r="AG177" s="675"/>
      <c r="AH177" s="537" t="s">
        <v>416</v>
      </c>
    </row>
    <row r="178" spans="1:35" s="536" customFormat="1" ht="12" x14ac:dyDescent="0.2">
      <c r="A178" s="548"/>
      <c r="B178" s="552"/>
      <c r="C178" s="1822" t="s">
        <v>417</v>
      </c>
      <c r="D178" s="1822"/>
      <c r="E178" s="1822"/>
      <c r="F178" s="1822"/>
      <c r="G178" s="1822"/>
      <c r="H178" s="1822"/>
      <c r="I178" s="1822"/>
      <c r="J178" s="1822"/>
      <c r="K178" s="1822"/>
      <c r="L178" s="551">
        <v>1151.67</v>
      </c>
      <c r="M178" s="550"/>
      <c r="N178" s="549"/>
      <c r="V178" s="674"/>
      <c r="W178" s="675"/>
      <c r="AC178" s="675"/>
      <c r="AE178" s="680"/>
      <c r="AF178" s="675"/>
      <c r="AG178" s="675"/>
      <c r="AH178" s="537" t="s">
        <v>417</v>
      </c>
    </row>
    <row r="179" spans="1:35" s="536" customFormat="1" ht="12" x14ac:dyDescent="0.2">
      <c r="A179" s="548"/>
      <c r="B179" s="546"/>
      <c r="C179" s="1819" t="s">
        <v>3207</v>
      </c>
      <c r="D179" s="1819"/>
      <c r="E179" s="1819"/>
      <c r="F179" s="1819"/>
      <c r="G179" s="1819"/>
      <c r="H179" s="1819"/>
      <c r="I179" s="1819"/>
      <c r="J179" s="1819"/>
      <c r="K179" s="1819"/>
      <c r="L179" s="544">
        <v>36214.910000000003</v>
      </c>
      <c r="M179" s="543"/>
      <c r="N179" s="681"/>
      <c r="V179" s="674"/>
      <c r="W179" s="675"/>
      <c r="AC179" s="675"/>
      <c r="AE179" s="680"/>
      <c r="AF179" s="675"/>
      <c r="AG179" s="675"/>
      <c r="AI179" s="675" t="s">
        <v>3207</v>
      </c>
    </row>
    <row r="180" spans="1:35" s="536" customFormat="1" ht="12" x14ac:dyDescent="0.2">
      <c r="A180" s="548"/>
      <c r="B180" s="552"/>
      <c r="C180" s="1822" t="s">
        <v>204</v>
      </c>
      <c r="D180" s="1822"/>
      <c r="E180" s="1822"/>
      <c r="F180" s="1822"/>
      <c r="G180" s="1822"/>
      <c r="H180" s="1822"/>
      <c r="I180" s="1822"/>
      <c r="J180" s="1822"/>
      <c r="K180" s="1822"/>
      <c r="L180" s="551"/>
      <c r="M180" s="550"/>
      <c r="N180" s="549"/>
      <c r="V180" s="674"/>
      <c r="W180" s="675"/>
      <c r="AC180" s="675"/>
      <c r="AE180" s="680"/>
      <c r="AF180" s="675"/>
      <c r="AG180" s="675"/>
      <c r="AH180" s="537" t="s">
        <v>204</v>
      </c>
      <c r="AI180" s="675"/>
    </row>
    <row r="181" spans="1:35" s="536" customFormat="1" ht="12" x14ac:dyDescent="0.2">
      <c r="A181" s="548"/>
      <c r="B181" s="552"/>
      <c r="C181" s="1822" t="s">
        <v>8095</v>
      </c>
      <c r="D181" s="1822"/>
      <c r="E181" s="1822"/>
      <c r="F181" s="1822"/>
      <c r="G181" s="1822"/>
      <c r="H181" s="1822"/>
      <c r="I181" s="1822"/>
      <c r="J181" s="1822"/>
      <c r="K181" s="1822"/>
      <c r="L181" s="551">
        <v>4142.79</v>
      </c>
      <c r="M181" s="550"/>
      <c r="N181" s="549"/>
      <c r="V181" s="674"/>
      <c r="W181" s="675"/>
      <c r="AC181" s="675"/>
      <c r="AE181" s="680"/>
      <c r="AF181" s="675"/>
      <c r="AG181" s="675"/>
      <c r="AH181" s="537" t="s">
        <v>8095</v>
      </c>
      <c r="AI181" s="675"/>
    </row>
    <row r="182" spans="1:35" s="536" customFormat="1" ht="12" x14ac:dyDescent="0.2">
      <c r="A182" s="1824" t="s">
        <v>3208</v>
      </c>
      <c r="B182" s="1825"/>
      <c r="C182" s="1825"/>
      <c r="D182" s="1825"/>
      <c r="E182" s="1825"/>
      <c r="F182" s="1825"/>
      <c r="G182" s="1825"/>
      <c r="H182" s="1825"/>
      <c r="I182" s="1825"/>
      <c r="J182" s="1825"/>
      <c r="K182" s="1825"/>
      <c r="L182" s="1825"/>
      <c r="M182" s="1825"/>
      <c r="N182" s="1826"/>
      <c r="V182" s="674" t="s">
        <v>3208</v>
      </c>
      <c r="W182" s="675"/>
      <c r="AC182" s="675"/>
      <c r="AE182" s="680"/>
      <c r="AF182" s="675"/>
      <c r="AG182" s="675"/>
      <c r="AI182" s="675"/>
    </row>
    <row r="183" spans="1:35" s="536" customFormat="1" ht="22.5" x14ac:dyDescent="0.2">
      <c r="A183" s="575" t="s">
        <v>733</v>
      </c>
      <c r="B183" s="670" t="s">
        <v>1239</v>
      </c>
      <c r="C183" s="1823" t="s">
        <v>1240</v>
      </c>
      <c r="D183" s="1823"/>
      <c r="E183" s="1823"/>
      <c r="F183" s="573" t="s">
        <v>862</v>
      </c>
      <c r="G183" s="573"/>
      <c r="H183" s="573"/>
      <c r="I183" s="573" t="s">
        <v>3209</v>
      </c>
      <c r="J183" s="572"/>
      <c r="K183" s="573"/>
      <c r="L183" s="572"/>
      <c r="M183" s="571"/>
      <c r="N183" s="570"/>
      <c r="V183" s="674"/>
      <c r="W183" s="675" t="s">
        <v>1240</v>
      </c>
      <c r="AC183" s="675"/>
      <c r="AE183" s="680"/>
      <c r="AF183" s="675"/>
      <c r="AG183" s="675"/>
      <c r="AI183" s="675"/>
    </row>
    <row r="184" spans="1:35" s="536" customFormat="1" ht="12" x14ac:dyDescent="0.2">
      <c r="A184" s="676"/>
      <c r="B184" s="664"/>
      <c r="C184" s="1822" t="s">
        <v>3210</v>
      </c>
      <c r="D184" s="1822"/>
      <c r="E184" s="1822"/>
      <c r="F184" s="1822"/>
      <c r="G184" s="1822"/>
      <c r="H184" s="1822"/>
      <c r="I184" s="1822"/>
      <c r="J184" s="1822"/>
      <c r="K184" s="1822"/>
      <c r="L184" s="1822"/>
      <c r="M184" s="1822"/>
      <c r="N184" s="1827"/>
      <c r="V184" s="674"/>
      <c r="W184" s="675"/>
      <c r="X184" s="537" t="s">
        <v>3210</v>
      </c>
      <c r="AC184" s="675"/>
      <c r="AE184" s="680"/>
      <c r="AF184" s="675"/>
      <c r="AG184" s="675"/>
      <c r="AI184" s="675"/>
    </row>
    <row r="185" spans="1:35" s="536" customFormat="1" ht="33.75" x14ac:dyDescent="0.2">
      <c r="A185" s="609"/>
      <c r="B185" s="552" t="s">
        <v>310</v>
      </c>
      <c r="C185" s="1822" t="s">
        <v>311</v>
      </c>
      <c r="D185" s="1822"/>
      <c r="E185" s="1822"/>
      <c r="F185" s="1822"/>
      <c r="G185" s="1822"/>
      <c r="H185" s="1822"/>
      <c r="I185" s="1822"/>
      <c r="J185" s="1822"/>
      <c r="K185" s="1822"/>
      <c r="L185" s="1822"/>
      <c r="M185" s="1822"/>
      <c r="N185" s="1827"/>
      <c r="V185" s="674"/>
      <c r="W185" s="675"/>
      <c r="Y185" s="537" t="s">
        <v>311</v>
      </c>
      <c r="AC185" s="675"/>
      <c r="AE185" s="680"/>
      <c r="AF185" s="675"/>
      <c r="AG185" s="675"/>
      <c r="AI185" s="675"/>
    </row>
    <row r="186" spans="1:35" s="536" customFormat="1" ht="12" x14ac:dyDescent="0.2">
      <c r="A186" s="605"/>
      <c r="B186" s="552" t="s">
        <v>185</v>
      </c>
      <c r="C186" s="1822" t="s">
        <v>312</v>
      </c>
      <c r="D186" s="1822"/>
      <c r="E186" s="1822"/>
      <c r="F186" s="562"/>
      <c r="G186" s="562"/>
      <c r="H186" s="562"/>
      <c r="I186" s="562"/>
      <c r="J186" s="604">
        <v>282.66000000000003</v>
      </c>
      <c r="K186" s="562" t="s">
        <v>313</v>
      </c>
      <c r="L186" s="604">
        <v>393.99</v>
      </c>
      <c r="M186" s="603"/>
      <c r="N186" s="602"/>
      <c r="V186" s="674"/>
      <c r="W186" s="675"/>
      <c r="Z186" s="537" t="s">
        <v>312</v>
      </c>
      <c r="AC186" s="675"/>
      <c r="AE186" s="680"/>
      <c r="AF186" s="675"/>
      <c r="AG186" s="675"/>
      <c r="AI186" s="675"/>
    </row>
    <row r="187" spans="1:35" s="536" customFormat="1" ht="12" x14ac:dyDescent="0.2">
      <c r="A187" s="605"/>
      <c r="B187" s="552" t="s">
        <v>186</v>
      </c>
      <c r="C187" s="1822" t="s">
        <v>344</v>
      </c>
      <c r="D187" s="1822"/>
      <c r="E187" s="1822"/>
      <c r="F187" s="562"/>
      <c r="G187" s="562"/>
      <c r="H187" s="562"/>
      <c r="I187" s="562"/>
      <c r="J187" s="604">
        <v>43.61</v>
      </c>
      <c r="K187" s="562" t="s">
        <v>313</v>
      </c>
      <c r="L187" s="604">
        <v>60.79</v>
      </c>
      <c r="M187" s="603"/>
      <c r="N187" s="602"/>
      <c r="V187" s="674"/>
      <c r="W187" s="675"/>
      <c r="Z187" s="537" t="s">
        <v>344</v>
      </c>
      <c r="AC187" s="675"/>
      <c r="AE187" s="680"/>
      <c r="AF187" s="675"/>
      <c r="AG187" s="675"/>
      <c r="AI187" s="675"/>
    </row>
    <row r="188" spans="1:35" s="536" customFormat="1" ht="12" x14ac:dyDescent="0.2">
      <c r="A188" s="605"/>
      <c r="B188" s="552" t="s">
        <v>187</v>
      </c>
      <c r="C188" s="1822" t="s">
        <v>345</v>
      </c>
      <c r="D188" s="1822"/>
      <c r="E188" s="1822"/>
      <c r="F188" s="562"/>
      <c r="G188" s="562"/>
      <c r="H188" s="562"/>
      <c r="I188" s="562"/>
      <c r="J188" s="604">
        <v>17.149999999999999</v>
      </c>
      <c r="K188" s="562" t="s">
        <v>313</v>
      </c>
      <c r="L188" s="604">
        <v>23.9</v>
      </c>
      <c r="M188" s="603"/>
      <c r="N188" s="602"/>
      <c r="V188" s="674"/>
      <c r="W188" s="675"/>
      <c r="Z188" s="537" t="s">
        <v>345</v>
      </c>
      <c r="AC188" s="675"/>
      <c r="AE188" s="680"/>
      <c r="AF188" s="675"/>
      <c r="AG188" s="675"/>
      <c r="AI188" s="675"/>
    </row>
    <row r="189" spans="1:35" s="536" customFormat="1" ht="12" x14ac:dyDescent="0.2">
      <c r="A189" s="605"/>
      <c r="B189" s="552" t="s">
        <v>188</v>
      </c>
      <c r="C189" s="1822" t="s">
        <v>475</v>
      </c>
      <c r="D189" s="1822"/>
      <c r="E189" s="1822"/>
      <c r="F189" s="562"/>
      <c r="G189" s="562"/>
      <c r="H189" s="562"/>
      <c r="I189" s="562"/>
      <c r="J189" s="604">
        <v>8.5399999999999991</v>
      </c>
      <c r="K189" s="562"/>
      <c r="L189" s="604">
        <v>9.52</v>
      </c>
      <c r="M189" s="603"/>
      <c r="N189" s="602"/>
      <c r="V189" s="674"/>
      <c r="W189" s="675"/>
      <c r="Z189" s="537" t="s">
        <v>475</v>
      </c>
      <c r="AC189" s="675"/>
      <c r="AE189" s="680"/>
      <c r="AF189" s="675"/>
      <c r="AG189" s="675"/>
      <c r="AI189" s="675"/>
    </row>
    <row r="190" spans="1:35" s="536" customFormat="1" ht="22.5" x14ac:dyDescent="0.2">
      <c r="A190" s="676"/>
      <c r="B190" s="677" t="s">
        <v>1242</v>
      </c>
      <c r="C190" s="1829" t="s">
        <v>1243</v>
      </c>
      <c r="D190" s="1829"/>
      <c r="E190" s="1829"/>
      <c r="F190" s="678" t="s">
        <v>641</v>
      </c>
      <c r="G190" s="678" t="s">
        <v>1244</v>
      </c>
      <c r="H190" s="678"/>
      <c r="I190" s="678" t="s">
        <v>3211</v>
      </c>
      <c r="J190" s="552"/>
      <c r="K190" s="562"/>
      <c r="L190" s="604"/>
      <c r="M190" s="562"/>
      <c r="N190" s="679"/>
      <c r="V190" s="674"/>
      <c r="W190" s="675"/>
      <c r="AC190" s="675"/>
      <c r="AE190" s="680" t="s">
        <v>1243</v>
      </c>
      <c r="AF190" s="675"/>
      <c r="AG190" s="675"/>
      <c r="AI190" s="675"/>
    </row>
    <row r="191" spans="1:35" s="536" customFormat="1" ht="12" x14ac:dyDescent="0.2">
      <c r="A191" s="605"/>
      <c r="B191" s="552"/>
      <c r="C191" s="1822" t="s">
        <v>314</v>
      </c>
      <c r="D191" s="1822"/>
      <c r="E191" s="1822"/>
      <c r="F191" s="562" t="s">
        <v>315</v>
      </c>
      <c r="G191" s="562" t="s">
        <v>1246</v>
      </c>
      <c r="H191" s="562" t="s">
        <v>313</v>
      </c>
      <c r="I191" s="562" t="s">
        <v>3212</v>
      </c>
      <c r="J191" s="604"/>
      <c r="K191" s="562"/>
      <c r="L191" s="604"/>
      <c r="M191" s="603"/>
      <c r="N191" s="602"/>
      <c r="V191" s="674"/>
      <c r="W191" s="675"/>
      <c r="AA191" s="537" t="s">
        <v>314</v>
      </c>
      <c r="AC191" s="675"/>
      <c r="AE191" s="680"/>
      <c r="AF191" s="675"/>
      <c r="AG191" s="675"/>
      <c r="AI191" s="675"/>
    </row>
    <row r="192" spans="1:35" s="536" customFormat="1" ht="12" x14ac:dyDescent="0.2">
      <c r="A192" s="605"/>
      <c r="B192" s="552"/>
      <c r="C192" s="1822" t="s">
        <v>348</v>
      </c>
      <c r="D192" s="1822"/>
      <c r="E192" s="1822"/>
      <c r="F192" s="562" t="s">
        <v>315</v>
      </c>
      <c r="G192" s="562" t="s">
        <v>1248</v>
      </c>
      <c r="H192" s="562" t="s">
        <v>313</v>
      </c>
      <c r="I192" s="562" t="s">
        <v>3213</v>
      </c>
      <c r="J192" s="604"/>
      <c r="K192" s="562"/>
      <c r="L192" s="604"/>
      <c r="M192" s="603"/>
      <c r="N192" s="602"/>
      <c r="V192" s="674"/>
      <c r="W192" s="675"/>
      <c r="AA192" s="537" t="s">
        <v>348</v>
      </c>
      <c r="AC192" s="675"/>
      <c r="AE192" s="680"/>
      <c r="AF192" s="675"/>
      <c r="AG192" s="675"/>
      <c r="AI192" s="675"/>
    </row>
    <row r="193" spans="1:35" s="536" customFormat="1" ht="12" x14ac:dyDescent="0.2">
      <c r="A193" s="605"/>
      <c r="B193" s="552"/>
      <c r="C193" s="1828" t="s">
        <v>318</v>
      </c>
      <c r="D193" s="1828"/>
      <c r="E193" s="1828"/>
      <c r="F193" s="608"/>
      <c r="G193" s="608"/>
      <c r="H193" s="608"/>
      <c r="I193" s="608"/>
      <c r="J193" s="607">
        <v>334.81</v>
      </c>
      <c r="K193" s="608"/>
      <c r="L193" s="607">
        <v>464.3</v>
      </c>
      <c r="M193" s="601"/>
      <c r="N193" s="606"/>
      <c r="V193" s="674"/>
      <c r="W193" s="675"/>
      <c r="AB193" s="537" t="s">
        <v>318</v>
      </c>
      <c r="AC193" s="675"/>
      <c r="AE193" s="680"/>
      <c r="AF193" s="675"/>
      <c r="AG193" s="675"/>
      <c r="AI193" s="675"/>
    </row>
    <row r="194" spans="1:35" s="536" customFormat="1" ht="12" x14ac:dyDescent="0.2">
      <c r="A194" s="605"/>
      <c r="B194" s="552"/>
      <c r="C194" s="1822" t="s">
        <v>319</v>
      </c>
      <c r="D194" s="1822"/>
      <c r="E194" s="1822"/>
      <c r="F194" s="562"/>
      <c r="G194" s="562"/>
      <c r="H194" s="562"/>
      <c r="I194" s="562"/>
      <c r="J194" s="604"/>
      <c r="K194" s="562"/>
      <c r="L194" s="604">
        <v>417.89</v>
      </c>
      <c r="M194" s="603"/>
      <c r="N194" s="602"/>
      <c r="V194" s="674"/>
      <c r="W194" s="675"/>
      <c r="AA194" s="537" t="s">
        <v>319</v>
      </c>
      <c r="AC194" s="675"/>
      <c r="AE194" s="680"/>
      <c r="AF194" s="675"/>
      <c r="AG194" s="675"/>
      <c r="AI194" s="675"/>
    </row>
    <row r="195" spans="1:35" s="536" customFormat="1" ht="33.75" x14ac:dyDescent="0.2">
      <c r="A195" s="605"/>
      <c r="B195" s="552" t="s">
        <v>1250</v>
      </c>
      <c r="C195" s="1822" t="s">
        <v>1251</v>
      </c>
      <c r="D195" s="1822"/>
      <c r="E195" s="1822"/>
      <c r="F195" s="562" t="s">
        <v>322</v>
      </c>
      <c r="G195" s="562" t="s">
        <v>1252</v>
      </c>
      <c r="H195" s="562"/>
      <c r="I195" s="562" t="s">
        <v>1252</v>
      </c>
      <c r="J195" s="604"/>
      <c r="K195" s="562"/>
      <c r="L195" s="604">
        <v>468.04</v>
      </c>
      <c r="M195" s="603"/>
      <c r="N195" s="602"/>
      <c r="V195" s="674"/>
      <c r="W195" s="675"/>
      <c r="AA195" s="537" t="s">
        <v>1251</v>
      </c>
      <c r="AC195" s="675"/>
      <c r="AE195" s="680"/>
      <c r="AF195" s="675"/>
      <c r="AG195" s="675"/>
      <c r="AI195" s="675"/>
    </row>
    <row r="196" spans="1:35" s="536" customFormat="1" ht="33.75" x14ac:dyDescent="0.2">
      <c r="A196" s="605"/>
      <c r="B196" s="552" t="s">
        <v>1253</v>
      </c>
      <c r="C196" s="1822" t="s">
        <v>1254</v>
      </c>
      <c r="D196" s="1822"/>
      <c r="E196" s="1822"/>
      <c r="F196" s="562" t="s">
        <v>322</v>
      </c>
      <c r="G196" s="562" t="s">
        <v>796</v>
      </c>
      <c r="H196" s="562"/>
      <c r="I196" s="562" t="s">
        <v>796</v>
      </c>
      <c r="J196" s="604"/>
      <c r="K196" s="562"/>
      <c r="L196" s="604">
        <v>271.63</v>
      </c>
      <c r="M196" s="603"/>
      <c r="N196" s="602"/>
      <c r="V196" s="674"/>
      <c r="W196" s="675"/>
      <c r="AA196" s="537" t="s">
        <v>1254</v>
      </c>
      <c r="AC196" s="675"/>
      <c r="AE196" s="680"/>
      <c r="AF196" s="675"/>
      <c r="AG196" s="675"/>
      <c r="AI196" s="675"/>
    </row>
    <row r="197" spans="1:35" s="536" customFormat="1" ht="12" x14ac:dyDescent="0.2">
      <c r="A197" s="569"/>
      <c r="B197" s="671"/>
      <c r="C197" s="1823" t="s">
        <v>327</v>
      </c>
      <c r="D197" s="1823"/>
      <c r="E197" s="1823"/>
      <c r="F197" s="573"/>
      <c r="G197" s="573"/>
      <c r="H197" s="573"/>
      <c r="I197" s="573"/>
      <c r="J197" s="572"/>
      <c r="K197" s="573"/>
      <c r="L197" s="572">
        <v>1203.97</v>
      </c>
      <c r="M197" s="601"/>
      <c r="N197" s="570"/>
      <c r="V197" s="674"/>
      <c r="W197" s="675"/>
      <c r="AC197" s="675" t="s">
        <v>327</v>
      </c>
      <c r="AE197" s="680"/>
      <c r="AF197" s="675"/>
      <c r="AG197" s="675"/>
      <c r="AI197" s="675"/>
    </row>
    <row r="198" spans="1:35" s="536" customFormat="1" ht="22.5" x14ac:dyDescent="0.2">
      <c r="A198" s="575" t="s">
        <v>736</v>
      </c>
      <c r="B198" s="670" t="s">
        <v>1255</v>
      </c>
      <c r="C198" s="1823" t="s">
        <v>1256</v>
      </c>
      <c r="D198" s="1823"/>
      <c r="E198" s="1823"/>
      <c r="F198" s="573" t="s">
        <v>641</v>
      </c>
      <c r="G198" s="573"/>
      <c r="H198" s="573"/>
      <c r="I198" s="573" t="s">
        <v>3214</v>
      </c>
      <c r="J198" s="572">
        <v>600</v>
      </c>
      <c r="K198" s="573"/>
      <c r="L198" s="572">
        <v>1365</v>
      </c>
      <c r="M198" s="571"/>
      <c r="N198" s="570"/>
      <c r="V198" s="674"/>
      <c r="W198" s="675" t="s">
        <v>1256</v>
      </c>
      <c r="AC198" s="675"/>
      <c r="AE198" s="680"/>
      <c r="AF198" s="675"/>
      <c r="AG198" s="675"/>
      <c r="AI198" s="675"/>
    </row>
    <row r="199" spans="1:35" s="536" customFormat="1" ht="12" x14ac:dyDescent="0.2">
      <c r="A199" s="569"/>
      <c r="B199" s="671"/>
      <c r="C199" s="665" t="s">
        <v>717</v>
      </c>
      <c r="D199" s="666"/>
      <c r="E199" s="666"/>
      <c r="F199" s="563"/>
      <c r="G199" s="563"/>
      <c r="H199" s="563"/>
      <c r="I199" s="563"/>
      <c r="J199" s="566"/>
      <c r="K199" s="563"/>
      <c r="L199" s="566"/>
      <c r="M199" s="565"/>
      <c r="N199" s="564"/>
      <c r="V199" s="674"/>
      <c r="W199" s="675"/>
      <c r="AC199" s="675"/>
      <c r="AE199" s="680"/>
      <c r="AF199" s="675"/>
      <c r="AG199" s="675"/>
      <c r="AI199" s="675"/>
    </row>
    <row r="200" spans="1:35" s="536" customFormat="1" ht="45" x14ac:dyDescent="0.2">
      <c r="A200" s="575" t="s">
        <v>1067</v>
      </c>
      <c r="B200" s="670" t="s">
        <v>1259</v>
      </c>
      <c r="C200" s="1823" t="s">
        <v>3215</v>
      </c>
      <c r="D200" s="1823"/>
      <c r="E200" s="1823"/>
      <c r="F200" s="573" t="s">
        <v>862</v>
      </c>
      <c r="G200" s="573"/>
      <c r="H200" s="573"/>
      <c r="I200" s="573" t="s">
        <v>3209</v>
      </c>
      <c r="J200" s="572"/>
      <c r="K200" s="573"/>
      <c r="L200" s="572"/>
      <c r="M200" s="571"/>
      <c r="N200" s="570"/>
      <c r="V200" s="674"/>
      <c r="W200" s="675" t="s">
        <v>3215</v>
      </c>
      <c r="AC200" s="675"/>
      <c r="AE200" s="680"/>
      <c r="AF200" s="675"/>
      <c r="AG200" s="675"/>
      <c r="AI200" s="675"/>
    </row>
    <row r="201" spans="1:35" s="536" customFormat="1" ht="12" x14ac:dyDescent="0.2">
      <c r="A201" s="676"/>
      <c r="B201" s="664"/>
      <c r="C201" s="1822" t="s">
        <v>3210</v>
      </c>
      <c r="D201" s="1822"/>
      <c r="E201" s="1822"/>
      <c r="F201" s="1822"/>
      <c r="G201" s="1822"/>
      <c r="H201" s="1822"/>
      <c r="I201" s="1822"/>
      <c r="J201" s="1822"/>
      <c r="K201" s="1822"/>
      <c r="L201" s="1822"/>
      <c r="M201" s="1822"/>
      <c r="N201" s="1827"/>
      <c r="V201" s="674"/>
      <c r="W201" s="675"/>
      <c r="X201" s="537" t="s">
        <v>3210</v>
      </c>
      <c r="AC201" s="675"/>
      <c r="AE201" s="680"/>
      <c r="AF201" s="675"/>
      <c r="AG201" s="675"/>
      <c r="AI201" s="675"/>
    </row>
    <row r="202" spans="1:35" s="536" customFormat="1" ht="12" x14ac:dyDescent="0.2">
      <c r="A202" s="609"/>
      <c r="B202" s="552"/>
      <c r="C202" s="1822" t="s">
        <v>3216</v>
      </c>
      <c r="D202" s="1822"/>
      <c r="E202" s="1822"/>
      <c r="F202" s="1822"/>
      <c r="G202" s="1822"/>
      <c r="H202" s="1822"/>
      <c r="I202" s="1822"/>
      <c r="J202" s="1822"/>
      <c r="K202" s="1822"/>
      <c r="L202" s="1822"/>
      <c r="M202" s="1822"/>
      <c r="N202" s="1827"/>
      <c r="V202" s="674"/>
      <c r="W202" s="675"/>
      <c r="Y202" s="537" t="s">
        <v>3216</v>
      </c>
      <c r="AC202" s="675"/>
      <c r="AE202" s="680"/>
      <c r="AF202" s="675"/>
      <c r="AG202" s="675"/>
      <c r="AI202" s="675"/>
    </row>
    <row r="203" spans="1:35" s="536" customFormat="1" ht="33.75" x14ac:dyDescent="0.2">
      <c r="A203" s="609"/>
      <c r="B203" s="552" t="s">
        <v>310</v>
      </c>
      <c r="C203" s="1822" t="s">
        <v>311</v>
      </c>
      <c r="D203" s="1822"/>
      <c r="E203" s="1822"/>
      <c r="F203" s="1822"/>
      <c r="G203" s="1822"/>
      <c r="H203" s="1822"/>
      <c r="I203" s="1822"/>
      <c r="J203" s="1822"/>
      <c r="K203" s="1822"/>
      <c r="L203" s="1822"/>
      <c r="M203" s="1822"/>
      <c r="N203" s="1827"/>
      <c r="V203" s="674"/>
      <c r="W203" s="675"/>
      <c r="Y203" s="537" t="s">
        <v>311</v>
      </c>
      <c r="AC203" s="675"/>
      <c r="AE203" s="680"/>
      <c r="AF203" s="675"/>
      <c r="AG203" s="675"/>
      <c r="AI203" s="675"/>
    </row>
    <row r="204" spans="1:35" s="536" customFormat="1" ht="12" x14ac:dyDescent="0.2">
      <c r="A204" s="605"/>
      <c r="B204" s="552" t="s">
        <v>185</v>
      </c>
      <c r="C204" s="1822" t="s">
        <v>312</v>
      </c>
      <c r="D204" s="1822"/>
      <c r="E204" s="1822"/>
      <c r="F204" s="562"/>
      <c r="G204" s="562"/>
      <c r="H204" s="562"/>
      <c r="I204" s="562"/>
      <c r="J204" s="604">
        <v>3.49</v>
      </c>
      <c r="K204" s="562" t="s">
        <v>2406</v>
      </c>
      <c r="L204" s="604">
        <v>68.099999999999994</v>
      </c>
      <c r="M204" s="603"/>
      <c r="N204" s="602"/>
      <c r="V204" s="674"/>
      <c r="W204" s="675"/>
      <c r="Z204" s="537" t="s">
        <v>312</v>
      </c>
      <c r="AC204" s="675"/>
      <c r="AE204" s="680"/>
      <c r="AF204" s="675"/>
      <c r="AG204" s="675"/>
      <c r="AI204" s="675"/>
    </row>
    <row r="205" spans="1:35" s="536" customFormat="1" ht="12" x14ac:dyDescent="0.2">
      <c r="A205" s="605"/>
      <c r="B205" s="552" t="s">
        <v>186</v>
      </c>
      <c r="C205" s="1822" t="s">
        <v>344</v>
      </c>
      <c r="D205" s="1822"/>
      <c r="E205" s="1822"/>
      <c r="F205" s="562"/>
      <c r="G205" s="562"/>
      <c r="H205" s="562"/>
      <c r="I205" s="562"/>
      <c r="J205" s="604">
        <v>7.56</v>
      </c>
      <c r="K205" s="562" t="s">
        <v>2406</v>
      </c>
      <c r="L205" s="604">
        <v>147.53</v>
      </c>
      <c r="M205" s="603"/>
      <c r="N205" s="602"/>
      <c r="V205" s="674"/>
      <c r="W205" s="675"/>
      <c r="Z205" s="537" t="s">
        <v>344</v>
      </c>
      <c r="AC205" s="675"/>
      <c r="AE205" s="680"/>
      <c r="AF205" s="675"/>
      <c r="AG205" s="675"/>
      <c r="AI205" s="675"/>
    </row>
    <row r="206" spans="1:35" s="536" customFormat="1" ht="12" x14ac:dyDescent="0.2">
      <c r="A206" s="605"/>
      <c r="B206" s="552" t="s">
        <v>187</v>
      </c>
      <c r="C206" s="1822" t="s">
        <v>345</v>
      </c>
      <c r="D206" s="1822"/>
      <c r="E206" s="1822"/>
      <c r="F206" s="562"/>
      <c r="G206" s="562"/>
      <c r="H206" s="562"/>
      <c r="I206" s="562"/>
      <c r="J206" s="604">
        <v>2.84</v>
      </c>
      <c r="K206" s="562" t="s">
        <v>2406</v>
      </c>
      <c r="L206" s="604">
        <v>55.42</v>
      </c>
      <c r="M206" s="603"/>
      <c r="N206" s="602"/>
      <c r="V206" s="674"/>
      <c r="W206" s="675"/>
      <c r="Z206" s="537" t="s">
        <v>345</v>
      </c>
      <c r="AC206" s="675"/>
      <c r="AE206" s="680"/>
      <c r="AF206" s="675"/>
      <c r="AG206" s="675"/>
      <c r="AI206" s="675"/>
    </row>
    <row r="207" spans="1:35" s="536" customFormat="1" ht="22.5" x14ac:dyDescent="0.2">
      <c r="A207" s="676"/>
      <c r="B207" s="677" t="s">
        <v>1242</v>
      </c>
      <c r="C207" s="1829" t="s">
        <v>1243</v>
      </c>
      <c r="D207" s="1829"/>
      <c r="E207" s="1829"/>
      <c r="F207" s="678" t="s">
        <v>641</v>
      </c>
      <c r="G207" s="678" t="s">
        <v>439</v>
      </c>
      <c r="H207" s="678" t="s">
        <v>198</v>
      </c>
      <c r="I207" s="678" t="s">
        <v>3217</v>
      </c>
      <c r="J207" s="552"/>
      <c r="K207" s="562"/>
      <c r="L207" s="604"/>
      <c r="M207" s="562"/>
      <c r="N207" s="679"/>
      <c r="V207" s="674"/>
      <c r="W207" s="675"/>
      <c r="AC207" s="675"/>
      <c r="AE207" s="680" t="s">
        <v>1243</v>
      </c>
      <c r="AF207" s="675"/>
      <c r="AG207" s="675"/>
      <c r="AI207" s="675"/>
    </row>
    <row r="208" spans="1:35" s="536" customFormat="1" ht="12" x14ac:dyDescent="0.2">
      <c r="A208" s="605"/>
      <c r="B208" s="552"/>
      <c r="C208" s="1822" t="s">
        <v>314</v>
      </c>
      <c r="D208" s="1822"/>
      <c r="E208" s="1822"/>
      <c r="F208" s="562" t="s">
        <v>315</v>
      </c>
      <c r="G208" s="562" t="s">
        <v>1263</v>
      </c>
      <c r="H208" s="562" t="s">
        <v>2406</v>
      </c>
      <c r="I208" s="562" t="s">
        <v>3218</v>
      </c>
      <c r="J208" s="604"/>
      <c r="K208" s="562"/>
      <c r="L208" s="604"/>
      <c r="M208" s="603"/>
      <c r="N208" s="602"/>
      <c r="V208" s="674"/>
      <c r="W208" s="675"/>
      <c r="AA208" s="537" t="s">
        <v>314</v>
      </c>
      <c r="AC208" s="675"/>
      <c r="AE208" s="680"/>
      <c r="AF208" s="675"/>
      <c r="AG208" s="675"/>
      <c r="AI208" s="675"/>
    </row>
    <row r="209" spans="1:35" s="536" customFormat="1" ht="12" x14ac:dyDescent="0.2">
      <c r="A209" s="605"/>
      <c r="B209" s="552"/>
      <c r="C209" s="1822" t="s">
        <v>348</v>
      </c>
      <c r="D209" s="1822"/>
      <c r="E209" s="1822"/>
      <c r="F209" s="562" t="s">
        <v>315</v>
      </c>
      <c r="G209" s="562" t="s">
        <v>1265</v>
      </c>
      <c r="H209" s="562" t="s">
        <v>2406</v>
      </c>
      <c r="I209" s="562" t="s">
        <v>3219</v>
      </c>
      <c r="J209" s="604"/>
      <c r="K209" s="562"/>
      <c r="L209" s="604"/>
      <c r="M209" s="603"/>
      <c r="N209" s="602"/>
      <c r="V209" s="674"/>
      <c r="W209" s="675"/>
      <c r="AA209" s="537" t="s">
        <v>348</v>
      </c>
      <c r="AC209" s="675"/>
      <c r="AE209" s="680"/>
      <c r="AF209" s="675"/>
      <c r="AG209" s="675"/>
      <c r="AI209" s="675"/>
    </row>
    <row r="210" spans="1:35" s="536" customFormat="1" ht="12" x14ac:dyDescent="0.2">
      <c r="A210" s="605"/>
      <c r="B210" s="552"/>
      <c r="C210" s="1828" t="s">
        <v>318</v>
      </c>
      <c r="D210" s="1828"/>
      <c r="E210" s="1828"/>
      <c r="F210" s="608"/>
      <c r="G210" s="608"/>
      <c r="H210" s="608"/>
      <c r="I210" s="608"/>
      <c r="J210" s="607">
        <v>11.05</v>
      </c>
      <c r="K210" s="608"/>
      <c r="L210" s="607">
        <v>215.63</v>
      </c>
      <c r="M210" s="601"/>
      <c r="N210" s="606"/>
      <c r="V210" s="674"/>
      <c r="W210" s="675"/>
      <c r="AB210" s="537" t="s">
        <v>318</v>
      </c>
      <c r="AC210" s="675"/>
      <c r="AE210" s="680"/>
      <c r="AF210" s="675"/>
      <c r="AG210" s="675"/>
      <c r="AI210" s="675"/>
    </row>
    <row r="211" spans="1:35" s="536" customFormat="1" ht="12" x14ac:dyDescent="0.2">
      <c r="A211" s="605"/>
      <c r="B211" s="552"/>
      <c r="C211" s="1822" t="s">
        <v>319</v>
      </c>
      <c r="D211" s="1822"/>
      <c r="E211" s="1822"/>
      <c r="F211" s="562"/>
      <c r="G211" s="562"/>
      <c r="H211" s="562"/>
      <c r="I211" s="562"/>
      <c r="J211" s="604"/>
      <c r="K211" s="562"/>
      <c r="L211" s="604">
        <v>123.52</v>
      </c>
      <c r="M211" s="603"/>
      <c r="N211" s="602"/>
      <c r="V211" s="674"/>
      <c r="W211" s="675"/>
      <c r="AA211" s="537" t="s">
        <v>319</v>
      </c>
      <c r="AC211" s="675"/>
      <c r="AE211" s="680"/>
      <c r="AF211" s="675"/>
      <c r="AG211" s="675"/>
      <c r="AI211" s="675"/>
    </row>
    <row r="212" spans="1:35" s="536" customFormat="1" ht="33.75" x14ac:dyDescent="0.2">
      <c r="A212" s="605"/>
      <c r="B212" s="552" t="s">
        <v>1250</v>
      </c>
      <c r="C212" s="1822" t="s">
        <v>1251</v>
      </c>
      <c r="D212" s="1822"/>
      <c r="E212" s="1822"/>
      <c r="F212" s="562" t="s">
        <v>322</v>
      </c>
      <c r="G212" s="562" t="s">
        <v>1252</v>
      </c>
      <c r="H212" s="562"/>
      <c r="I212" s="562" t="s">
        <v>1252</v>
      </c>
      <c r="J212" s="604"/>
      <c r="K212" s="562"/>
      <c r="L212" s="604">
        <v>138.34</v>
      </c>
      <c r="M212" s="603"/>
      <c r="N212" s="602"/>
      <c r="V212" s="674"/>
      <c r="W212" s="675"/>
      <c r="AA212" s="537" t="s">
        <v>1251</v>
      </c>
      <c r="AC212" s="675"/>
      <c r="AE212" s="680"/>
      <c r="AF212" s="675"/>
      <c r="AG212" s="675"/>
      <c r="AI212" s="675"/>
    </row>
    <row r="213" spans="1:35" s="536" customFormat="1" ht="33.75" x14ac:dyDescent="0.2">
      <c r="A213" s="605"/>
      <c r="B213" s="552" t="s">
        <v>1253</v>
      </c>
      <c r="C213" s="1822" t="s">
        <v>1254</v>
      </c>
      <c r="D213" s="1822"/>
      <c r="E213" s="1822"/>
      <c r="F213" s="562" t="s">
        <v>322</v>
      </c>
      <c r="G213" s="562" t="s">
        <v>796</v>
      </c>
      <c r="H213" s="562"/>
      <c r="I213" s="562" t="s">
        <v>796</v>
      </c>
      <c r="J213" s="604"/>
      <c r="K213" s="562"/>
      <c r="L213" s="604">
        <v>80.290000000000006</v>
      </c>
      <c r="M213" s="603"/>
      <c r="N213" s="602"/>
      <c r="V213" s="674"/>
      <c r="W213" s="675"/>
      <c r="AA213" s="537" t="s">
        <v>1254</v>
      </c>
      <c r="AC213" s="675"/>
      <c r="AE213" s="680"/>
      <c r="AF213" s="675"/>
      <c r="AG213" s="675"/>
      <c r="AI213" s="675"/>
    </row>
    <row r="214" spans="1:35" s="536" customFormat="1" ht="12" x14ac:dyDescent="0.2">
      <c r="A214" s="569"/>
      <c r="B214" s="671"/>
      <c r="C214" s="1823" t="s">
        <v>327</v>
      </c>
      <c r="D214" s="1823"/>
      <c r="E214" s="1823"/>
      <c r="F214" s="573"/>
      <c r="G214" s="573"/>
      <c r="H214" s="573"/>
      <c r="I214" s="573"/>
      <c r="J214" s="572"/>
      <c r="K214" s="573"/>
      <c r="L214" s="572">
        <v>434.26</v>
      </c>
      <c r="M214" s="601"/>
      <c r="N214" s="570"/>
      <c r="V214" s="674"/>
      <c r="W214" s="675"/>
      <c r="AC214" s="675" t="s">
        <v>327</v>
      </c>
      <c r="AE214" s="680"/>
      <c r="AF214" s="675"/>
      <c r="AG214" s="675"/>
      <c r="AI214" s="675"/>
    </row>
    <row r="215" spans="1:35" s="536" customFormat="1" ht="22.5" x14ac:dyDescent="0.2">
      <c r="A215" s="575" t="s">
        <v>912</v>
      </c>
      <c r="B215" s="670" t="s">
        <v>1255</v>
      </c>
      <c r="C215" s="1823" t="s">
        <v>1256</v>
      </c>
      <c r="D215" s="1823"/>
      <c r="E215" s="1823"/>
      <c r="F215" s="573" t="s">
        <v>641</v>
      </c>
      <c r="G215" s="573"/>
      <c r="H215" s="573"/>
      <c r="I215" s="573" t="s">
        <v>3220</v>
      </c>
      <c r="J215" s="572">
        <v>600</v>
      </c>
      <c r="K215" s="573"/>
      <c r="L215" s="572">
        <v>4777.08</v>
      </c>
      <c r="M215" s="571"/>
      <c r="N215" s="570"/>
      <c r="V215" s="674"/>
      <c r="W215" s="675" t="s">
        <v>1256</v>
      </c>
      <c r="AC215" s="675"/>
      <c r="AE215" s="680"/>
      <c r="AF215" s="675"/>
      <c r="AG215" s="675"/>
      <c r="AI215" s="675"/>
    </row>
    <row r="216" spans="1:35" s="536" customFormat="1" ht="12" x14ac:dyDescent="0.2">
      <c r="A216" s="569"/>
      <c r="B216" s="671"/>
      <c r="C216" s="665" t="s">
        <v>717</v>
      </c>
      <c r="D216" s="666"/>
      <c r="E216" s="666"/>
      <c r="F216" s="563"/>
      <c r="G216" s="563"/>
      <c r="H216" s="563"/>
      <c r="I216" s="563"/>
      <c r="J216" s="566"/>
      <c r="K216" s="563"/>
      <c r="L216" s="566"/>
      <c r="M216" s="565"/>
      <c r="N216" s="564"/>
      <c r="V216" s="674"/>
      <c r="W216" s="675"/>
      <c r="AC216" s="675"/>
      <c r="AE216" s="680"/>
      <c r="AF216" s="675"/>
      <c r="AG216" s="675"/>
      <c r="AI216" s="675"/>
    </row>
    <row r="217" spans="1:35" s="536" customFormat="1" ht="22.5" x14ac:dyDescent="0.2">
      <c r="A217" s="575" t="s">
        <v>757</v>
      </c>
      <c r="B217" s="670" t="s">
        <v>1268</v>
      </c>
      <c r="C217" s="1823" t="s">
        <v>1269</v>
      </c>
      <c r="D217" s="1823"/>
      <c r="E217" s="1823"/>
      <c r="F217" s="573" t="s">
        <v>694</v>
      </c>
      <c r="G217" s="573"/>
      <c r="H217" s="573"/>
      <c r="I217" s="573" t="s">
        <v>3221</v>
      </c>
      <c r="J217" s="572"/>
      <c r="K217" s="573"/>
      <c r="L217" s="572"/>
      <c r="M217" s="571"/>
      <c r="N217" s="570"/>
      <c r="V217" s="674"/>
      <c r="W217" s="675" t="s">
        <v>1269</v>
      </c>
      <c r="AC217" s="675"/>
      <c r="AE217" s="680"/>
      <c r="AF217" s="675"/>
      <c r="AG217" s="675"/>
      <c r="AI217" s="675"/>
    </row>
    <row r="218" spans="1:35" s="536" customFormat="1" ht="12" x14ac:dyDescent="0.2">
      <c r="A218" s="676"/>
      <c r="B218" s="664"/>
      <c r="C218" s="1822" t="s">
        <v>3222</v>
      </c>
      <c r="D218" s="1822"/>
      <c r="E218" s="1822"/>
      <c r="F218" s="1822"/>
      <c r="G218" s="1822"/>
      <c r="H218" s="1822"/>
      <c r="I218" s="1822"/>
      <c r="J218" s="1822"/>
      <c r="K218" s="1822"/>
      <c r="L218" s="1822"/>
      <c r="M218" s="1822"/>
      <c r="N218" s="1827"/>
      <c r="V218" s="674"/>
      <c r="W218" s="675"/>
      <c r="X218" s="537" t="s">
        <v>3222</v>
      </c>
      <c r="AC218" s="675"/>
      <c r="AE218" s="680"/>
      <c r="AF218" s="675"/>
      <c r="AG218" s="675"/>
      <c r="AI218" s="675"/>
    </row>
    <row r="219" spans="1:35" s="536" customFormat="1" ht="33.75" x14ac:dyDescent="0.2">
      <c r="A219" s="609"/>
      <c r="B219" s="552" t="s">
        <v>310</v>
      </c>
      <c r="C219" s="1822" t="s">
        <v>311</v>
      </c>
      <c r="D219" s="1822"/>
      <c r="E219" s="1822"/>
      <c r="F219" s="1822"/>
      <c r="G219" s="1822"/>
      <c r="H219" s="1822"/>
      <c r="I219" s="1822"/>
      <c r="J219" s="1822"/>
      <c r="K219" s="1822"/>
      <c r="L219" s="1822"/>
      <c r="M219" s="1822"/>
      <c r="N219" s="1827"/>
      <c r="V219" s="674"/>
      <c r="W219" s="675"/>
      <c r="Y219" s="537" t="s">
        <v>311</v>
      </c>
      <c r="AC219" s="675"/>
      <c r="AE219" s="680"/>
      <c r="AF219" s="675"/>
      <c r="AG219" s="675"/>
      <c r="AI219" s="675"/>
    </row>
    <row r="220" spans="1:35" s="536" customFormat="1" ht="12" x14ac:dyDescent="0.2">
      <c r="A220" s="605"/>
      <c r="B220" s="552" t="s">
        <v>185</v>
      </c>
      <c r="C220" s="1822" t="s">
        <v>312</v>
      </c>
      <c r="D220" s="1822"/>
      <c r="E220" s="1822"/>
      <c r="F220" s="562"/>
      <c r="G220" s="562"/>
      <c r="H220" s="562"/>
      <c r="I220" s="562"/>
      <c r="J220" s="604">
        <v>102.78</v>
      </c>
      <c r="K220" s="562" t="s">
        <v>313</v>
      </c>
      <c r="L220" s="604">
        <v>39.44</v>
      </c>
      <c r="M220" s="603"/>
      <c r="N220" s="602"/>
      <c r="V220" s="674"/>
      <c r="W220" s="675"/>
      <c r="Z220" s="537" t="s">
        <v>312</v>
      </c>
      <c r="AC220" s="675"/>
      <c r="AE220" s="680"/>
      <c r="AF220" s="675"/>
      <c r="AG220" s="675"/>
      <c r="AI220" s="675"/>
    </row>
    <row r="221" spans="1:35" s="536" customFormat="1" ht="12" x14ac:dyDescent="0.2">
      <c r="A221" s="605"/>
      <c r="B221" s="552" t="s">
        <v>186</v>
      </c>
      <c r="C221" s="1822" t="s">
        <v>344</v>
      </c>
      <c r="D221" s="1822"/>
      <c r="E221" s="1822"/>
      <c r="F221" s="562"/>
      <c r="G221" s="562"/>
      <c r="H221" s="562"/>
      <c r="I221" s="562"/>
      <c r="J221" s="604">
        <v>30.45</v>
      </c>
      <c r="K221" s="562" t="s">
        <v>313</v>
      </c>
      <c r="L221" s="604">
        <v>11.69</v>
      </c>
      <c r="M221" s="603"/>
      <c r="N221" s="602"/>
      <c r="V221" s="674"/>
      <c r="W221" s="675"/>
      <c r="Z221" s="537" t="s">
        <v>344</v>
      </c>
      <c r="AC221" s="675"/>
      <c r="AE221" s="680"/>
      <c r="AF221" s="675"/>
      <c r="AG221" s="675"/>
      <c r="AI221" s="675"/>
    </row>
    <row r="222" spans="1:35" s="536" customFormat="1" ht="12" x14ac:dyDescent="0.2">
      <c r="A222" s="605"/>
      <c r="B222" s="552" t="s">
        <v>187</v>
      </c>
      <c r="C222" s="1822" t="s">
        <v>345</v>
      </c>
      <c r="D222" s="1822"/>
      <c r="E222" s="1822"/>
      <c r="F222" s="562"/>
      <c r="G222" s="562"/>
      <c r="H222" s="562"/>
      <c r="I222" s="562"/>
      <c r="J222" s="604">
        <v>4.3499999999999996</v>
      </c>
      <c r="K222" s="562" t="s">
        <v>313</v>
      </c>
      <c r="L222" s="604">
        <v>1.67</v>
      </c>
      <c r="M222" s="603"/>
      <c r="N222" s="602"/>
      <c r="V222" s="674"/>
      <c r="W222" s="675"/>
      <c r="Z222" s="537" t="s">
        <v>345</v>
      </c>
      <c r="AC222" s="675"/>
      <c r="AE222" s="680"/>
      <c r="AF222" s="675"/>
      <c r="AG222" s="675"/>
      <c r="AI222" s="675"/>
    </row>
    <row r="223" spans="1:35" s="536" customFormat="1" ht="12" x14ac:dyDescent="0.2">
      <c r="A223" s="605"/>
      <c r="B223" s="552" t="s">
        <v>188</v>
      </c>
      <c r="C223" s="1822" t="s">
        <v>475</v>
      </c>
      <c r="D223" s="1822"/>
      <c r="E223" s="1822"/>
      <c r="F223" s="562"/>
      <c r="G223" s="562"/>
      <c r="H223" s="562"/>
      <c r="I223" s="562"/>
      <c r="J223" s="604">
        <v>285.60000000000002</v>
      </c>
      <c r="K223" s="562"/>
      <c r="L223" s="604">
        <v>87.68</v>
      </c>
      <c r="M223" s="603"/>
      <c r="N223" s="602"/>
      <c r="V223" s="674"/>
      <c r="W223" s="675"/>
      <c r="Z223" s="537" t="s">
        <v>475</v>
      </c>
      <c r="AC223" s="675"/>
      <c r="AE223" s="680"/>
      <c r="AF223" s="675"/>
      <c r="AG223" s="675"/>
      <c r="AI223" s="675"/>
    </row>
    <row r="224" spans="1:35" s="536" customFormat="1" ht="12" x14ac:dyDescent="0.2">
      <c r="A224" s="676"/>
      <c r="B224" s="677" t="s">
        <v>1272</v>
      </c>
      <c r="C224" s="1829" t="s">
        <v>1273</v>
      </c>
      <c r="D224" s="1829"/>
      <c r="E224" s="1829"/>
      <c r="F224" s="678" t="s">
        <v>694</v>
      </c>
      <c r="G224" s="678" t="s">
        <v>185</v>
      </c>
      <c r="H224" s="678"/>
      <c r="I224" s="678" t="s">
        <v>3221</v>
      </c>
      <c r="J224" s="552"/>
      <c r="K224" s="562"/>
      <c r="L224" s="604"/>
      <c r="M224" s="562"/>
      <c r="N224" s="679"/>
      <c r="V224" s="674"/>
      <c r="W224" s="675"/>
      <c r="AC224" s="675"/>
      <c r="AE224" s="680" t="s">
        <v>1273</v>
      </c>
      <c r="AF224" s="675"/>
      <c r="AG224" s="675"/>
      <c r="AI224" s="675"/>
    </row>
    <row r="225" spans="1:35" s="536" customFormat="1" ht="12" x14ac:dyDescent="0.2">
      <c r="A225" s="605"/>
      <c r="B225" s="552"/>
      <c r="C225" s="1822" t="s">
        <v>314</v>
      </c>
      <c r="D225" s="1822"/>
      <c r="E225" s="1822"/>
      <c r="F225" s="562" t="s">
        <v>315</v>
      </c>
      <c r="G225" s="562" t="s">
        <v>1274</v>
      </c>
      <c r="H225" s="562" t="s">
        <v>313</v>
      </c>
      <c r="I225" s="562" t="s">
        <v>3223</v>
      </c>
      <c r="J225" s="604"/>
      <c r="K225" s="562"/>
      <c r="L225" s="604"/>
      <c r="M225" s="603"/>
      <c r="N225" s="602"/>
      <c r="V225" s="674"/>
      <c r="W225" s="675"/>
      <c r="AA225" s="537" t="s">
        <v>314</v>
      </c>
      <c r="AC225" s="675"/>
      <c r="AE225" s="680"/>
      <c r="AF225" s="675"/>
      <c r="AG225" s="675"/>
      <c r="AI225" s="675"/>
    </row>
    <row r="226" spans="1:35" s="536" customFormat="1" ht="12" x14ac:dyDescent="0.2">
      <c r="A226" s="605"/>
      <c r="B226" s="552"/>
      <c r="C226" s="1822" t="s">
        <v>348</v>
      </c>
      <c r="D226" s="1822"/>
      <c r="E226" s="1822"/>
      <c r="F226" s="562" t="s">
        <v>315</v>
      </c>
      <c r="G226" s="562" t="s">
        <v>691</v>
      </c>
      <c r="H226" s="562" t="s">
        <v>313</v>
      </c>
      <c r="I226" s="562" t="s">
        <v>3224</v>
      </c>
      <c r="J226" s="604"/>
      <c r="K226" s="562"/>
      <c r="L226" s="604"/>
      <c r="M226" s="603"/>
      <c r="N226" s="602"/>
      <c r="V226" s="674"/>
      <c r="W226" s="675"/>
      <c r="AA226" s="537" t="s">
        <v>348</v>
      </c>
      <c r="AC226" s="675"/>
      <c r="AE226" s="680"/>
      <c r="AF226" s="675"/>
      <c r="AG226" s="675"/>
      <c r="AI226" s="675"/>
    </row>
    <row r="227" spans="1:35" s="536" customFormat="1" ht="12" x14ac:dyDescent="0.2">
      <c r="A227" s="605"/>
      <c r="B227" s="552"/>
      <c r="C227" s="1828" t="s">
        <v>318</v>
      </c>
      <c r="D227" s="1828"/>
      <c r="E227" s="1828"/>
      <c r="F227" s="608"/>
      <c r="G227" s="608"/>
      <c r="H227" s="608"/>
      <c r="I227" s="608"/>
      <c r="J227" s="607">
        <v>418.83</v>
      </c>
      <c r="K227" s="608"/>
      <c r="L227" s="607">
        <v>138.81</v>
      </c>
      <c r="M227" s="601"/>
      <c r="N227" s="606"/>
      <c r="V227" s="674"/>
      <c r="W227" s="675"/>
      <c r="AB227" s="537" t="s">
        <v>318</v>
      </c>
      <c r="AC227" s="675"/>
      <c r="AE227" s="680"/>
      <c r="AF227" s="675"/>
      <c r="AG227" s="675"/>
      <c r="AI227" s="675"/>
    </row>
    <row r="228" spans="1:35" s="536" customFormat="1" ht="12" x14ac:dyDescent="0.2">
      <c r="A228" s="605"/>
      <c r="B228" s="552"/>
      <c r="C228" s="1822" t="s">
        <v>319</v>
      </c>
      <c r="D228" s="1822"/>
      <c r="E228" s="1822"/>
      <c r="F228" s="562"/>
      <c r="G228" s="562"/>
      <c r="H228" s="562"/>
      <c r="I228" s="562"/>
      <c r="J228" s="604"/>
      <c r="K228" s="562"/>
      <c r="L228" s="604">
        <v>41.11</v>
      </c>
      <c r="M228" s="603"/>
      <c r="N228" s="602"/>
      <c r="V228" s="674"/>
      <c r="W228" s="675"/>
      <c r="AA228" s="537" t="s">
        <v>319</v>
      </c>
      <c r="AC228" s="675"/>
      <c r="AE228" s="680"/>
      <c r="AF228" s="675"/>
      <c r="AG228" s="675"/>
      <c r="AI228" s="675"/>
    </row>
    <row r="229" spans="1:35" s="536" customFormat="1" ht="33.75" x14ac:dyDescent="0.2">
      <c r="A229" s="605"/>
      <c r="B229" s="552" t="s">
        <v>686</v>
      </c>
      <c r="C229" s="1822" t="s">
        <v>687</v>
      </c>
      <c r="D229" s="1822"/>
      <c r="E229" s="1822"/>
      <c r="F229" s="562" t="s">
        <v>322</v>
      </c>
      <c r="G229" s="562" t="s">
        <v>680</v>
      </c>
      <c r="H229" s="562"/>
      <c r="I229" s="562" t="s">
        <v>680</v>
      </c>
      <c r="J229" s="604"/>
      <c r="K229" s="562"/>
      <c r="L229" s="604">
        <v>41.93</v>
      </c>
      <c r="M229" s="603"/>
      <c r="N229" s="602"/>
      <c r="V229" s="674"/>
      <c r="W229" s="675"/>
      <c r="AA229" s="537" t="s">
        <v>687</v>
      </c>
      <c r="AC229" s="675"/>
      <c r="AE229" s="680"/>
      <c r="AF229" s="675"/>
      <c r="AG229" s="675"/>
      <c r="AI229" s="675"/>
    </row>
    <row r="230" spans="1:35" s="536" customFormat="1" ht="33.75" x14ac:dyDescent="0.2">
      <c r="A230" s="605"/>
      <c r="B230" s="552" t="s">
        <v>688</v>
      </c>
      <c r="C230" s="1822" t="s">
        <v>689</v>
      </c>
      <c r="D230" s="1822"/>
      <c r="E230" s="1822"/>
      <c r="F230" s="562" t="s">
        <v>322</v>
      </c>
      <c r="G230" s="562" t="s">
        <v>690</v>
      </c>
      <c r="H230" s="562"/>
      <c r="I230" s="562" t="s">
        <v>690</v>
      </c>
      <c r="J230" s="604"/>
      <c r="K230" s="562"/>
      <c r="L230" s="604">
        <v>23.84</v>
      </c>
      <c r="M230" s="603"/>
      <c r="N230" s="602"/>
      <c r="V230" s="674"/>
      <c r="W230" s="675"/>
      <c r="AA230" s="537" t="s">
        <v>689</v>
      </c>
      <c r="AC230" s="675"/>
      <c r="AE230" s="680"/>
      <c r="AF230" s="675"/>
      <c r="AG230" s="675"/>
      <c r="AI230" s="675"/>
    </row>
    <row r="231" spans="1:35" s="536" customFormat="1" ht="12" x14ac:dyDescent="0.2">
      <c r="A231" s="569"/>
      <c r="B231" s="671"/>
      <c r="C231" s="1823" t="s">
        <v>327</v>
      </c>
      <c r="D231" s="1823"/>
      <c r="E231" s="1823"/>
      <c r="F231" s="573"/>
      <c r="G231" s="573"/>
      <c r="H231" s="573"/>
      <c r="I231" s="573"/>
      <c r="J231" s="572"/>
      <c r="K231" s="573"/>
      <c r="L231" s="572">
        <v>204.58</v>
      </c>
      <c r="M231" s="601"/>
      <c r="N231" s="570"/>
      <c r="V231" s="674"/>
      <c r="W231" s="675"/>
      <c r="AC231" s="675" t="s">
        <v>327</v>
      </c>
      <c r="AE231" s="680"/>
      <c r="AF231" s="675"/>
      <c r="AG231" s="675"/>
      <c r="AI231" s="675"/>
    </row>
    <row r="232" spans="1:35" s="536" customFormat="1" ht="45" x14ac:dyDescent="0.2">
      <c r="A232" s="575" t="s">
        <v>1079</v>
      </c>
      <c r="B232" s="670" t="s">
        <v>1277</v>
      </c>
      <c r="C232" s="1823" t="s">
        <v>1278</v>
      </c>
      <c r="D232" s="1823"/>
      <c r="E232" s="1823"/>
      <c r="F232" s="573" t="s">
        <v>865</v>
      </c>
      <c r="G232" s="573"/>
      <c r="H232" s="573"/>
      <c r="I232" s="573" t="s">
        <v>3225</v>
      </c>
      <c r="J232" s="572">
        <v>23.76</v>
      </c>
      <c r="K232" s="573"/>
      <c r="L232" s="572">
        <v>2649.48</v>
      </c>
      <c r="M232" s="571"/>
      <c r="N232" s="570"/>
      <c r="V232" s="674"/>
      <c r="W232" s="675" t="s">
        <v>1278</v>
      </c>
      <c r="AC232" s="675"/>
      <c r="AE232" s="680"/>
      <c r="AF232" s="675"/>
      <c r="AG232" s="675"/>
      <c r="AI232" s="675"/>
    </row>
    <row r="233" spans="1:35" s="536" customFormat="1" ht="12" x14ac:dyDescent="0.2">
      <c r="A233" s="569"/>
      <c r="B233" s="671"/>
      <c r="C233" s="665" t="s">
        <v>717</v>
      </c>
      <c r="D233" s="666"/>
      <c r="E233" s="666"/>
      <c r="F233" s="563"/>
      <c r="G233" s="563"/>
      <c r="H233" s="563"/>
      <c r="I233" s="563"/>
      <c r="J233" s="566"/>
      <c r="K233" s="563"/>
      <c r="L233" s="566"/>
      <c r="M233" s="565"/>
      <c r="N233" s="564"/>
      <c r="V233" s="674"/>
      <c r="W233" s="675"/>
      <c r="AC233" s="675"/>
      <c r="AE233" s="680"/>
      <c r="AF233" s="675"/>
      <c r="AG233" s="675"/>
      <c r="AI233" s="675"/>
    </row>
    <row r="234" spans="1:35" s="536" customFormat="1" ht="45" x14ac:dyDescent="0.2">
      <c r="A234" s="575" t="s">
        <v>759</v>
      </c>
      <c r="B234" s="670" t="s">
        <v>3226</v>
      </c>
      <c r="C234" s="1823" t="s">
        <v>3227</v>
      </c>
      <c r="D234" s="1823"/>
      <c r="E234" s="1823"/>
      <c r="F234" s="573" t="s">
        <v>862</v>
      </c>
      <c r="G234" s="573"/>
      <c r="H234" s="573"/>
      <c r="I234" s="573" t="s">
        <v>3228</v>
      </c>
      <c r="J234" s="572"/>
      <c r="K234" s="573"/>
      <c r="L234" s="572"/>
      <c r="M234" s="571"/>
      <c r="N234" s="570"/>
      <c r="V234" s="674"/>
      <c r="W234" s="675" t="s">
        <v>3227</v>
      </c>
      <c r="AC234" s="675"/>
      <c r="AE234" s="680"/>
      <c r="AF234" s="675"/>
      <c r="AG234" s="675"/>
      <c r="AI234" s="675"/>
    </row>
    <row r="235" spans="1:35" s="536" customFormat="1" ht="12" x14ac:dyDescent="0.2">
      <c r="A235" s="676"/>
      <c r="B235" s="664"/>
      <c r="C235" s="1822" t="s">
        <v>3229</v>
      </c>
      <c r="D235" s="1822"/>
      <c r="E235" s="1822"/>
      <c r="F235" s="1822"/>
      <c r="G235" s="1822"/>
      <c r="H235" s="1822"/>
      <c r="I235" s="1822"/>
      <c r="J235" s="1822"/>
      <c r="K235" s="1822"/>
      <c r="L235" s="1822"/>
      <c r="M235" s="1822"/>
      <c r="N235" s="1827"/>
      <c r="V235" s="674"/>
      <c r="W235" s="675"/>
      <c r="X235" s="537" t="s">
        <v>3229</v>
      </c>
      <c r="AC235" s="675"/>
      <c r="AE235" s="680"/>
      <c r="AF235" s="675"/>
      <c r="AG235" s="675"/>
      <c r="AI235" s="675"/>
    </row>
    <row r="236" spans="1:35" s="536" customFormat="1" ht="33.75" x14ac:dyDescent="0.2">
      <c r="A236" s="609"/>
      <c r="B236" s="552" t="s">
        <v>310</v>
      </c>
      <c r="C236" s="1822" t="s">
        <v>311</v>
      </c>
      <c r="D236" s="1822"/>
      <c r="E236" s="1822"/>
      <c r="F236" s="1822"/>
      <c r="G236" s="1822"/>
      <c r="H236" s="1822"/>
      <c r="I236" s="1822"/>
      <c r="J236" s="1822"/>
      <c r="K236" s="1822"/>
      <c r="L236" s="1822"/>
      <c r="M236" s="1822"/>
      <c r="N236" s="1827"/>
      <c r="V236" s="674"/>
      <c r="W236" s="675"/>
      <c r="Y236" s="537" t="s">
        <v>311</v>
      </c>
      <c r="AC236" s="675"/>
      <c r="AE236" s="680"/>
      <c r="AF236" s="675"/>
      <c r="AG236" s="675"/>
      <c r="AI236" s="675"/>
    </row>
    <row r="237" spans="1:35" s="536" customFormat="1" ht="12" x14ac:dyDescent="0.2">
      <c r="A237" s="605"/>
      <c r="B237" s="552" t="s">
        <v>185</v>
      </c>
      <c r="C237" s="1822" t="s">
        <v>312</v>
      </c>
      <c r="D237" s="1822"/>
      <c r="E237" s="1822"/>
      <c r="F237" s="562"/>
      <c r="G237" s="562"/>
      <c r="H237" s="562"/>
      <c r="I237" s="562"/>
      <c r="J237" s="604">
        <v>894.32</v>
      </c>
      <c r="K237" s="562" t="s">
        <v>313</v>
      </c>
      <c r="L237" s="604">
        <v>1246.46</v>
      </c>
      <c r="M237" s="603"/>
      <c r="N237" s="602"/>
      <c r="V237" s="674"/>
      <c r="W237" s="675"/>
      <c r="Z237" s="537" t="s">
        <v>312</v>
      </c>
      <c r="AC237" s="675"/>
      <c r="AE237" s="680"/>
      <c r="AF237" s="675"/>
      <c r="AG237" s="675"/>
      <c r="AI237" s="675"/>
    </row>
    <row r="238" spans="1:35" s="536" customFormat="1" ht="12" x14ac:dyDescent="0.2">
      <c r="A238" s="605"/>
      <c r="B238" s="552" t="s">
        <v>186</v>
      </c>
      <c r="C238" s="1822" t="s">
        <v>344</v>
      </c>
      <c r="D238" s="1822"/>
      <c r="E238" s="1822"/>
      <c r="F238" s="562"/>
      <c r="G238" s="562"/>
      <c r="H238" s="562"/>
      <c r="I238" s="562"/>
      <c r="J238" s="604">
        <v>32.11</v>
      </c>
      <c r="K238" s="562" t="s">
        <v>313</v>
      </c>
      <c r="L238" s="604">
        <v>44.75</v>
      </c>
      <c r="M238" s="603"/>
      <c r="N238" s="602"/>
      <c r="V238" s="674"/>
      <c r="W238" s="675"/>
      <c r="Z238" s="537" t="s">
        <v>344</v>
      </c>
      <c r="AC238" s="675"/>
      <c r="AE238" s="680"/>
      <c r="AF238" s="675"/>
      <c r="AG238" s="675"/>
      <c r="AI238" s="675"/>
    </row>
    <row r="239" spans="1:35" s="536" customFormat="1" ht="12" x14ac:dyDescent="0.2">
      <c r="A239" s="605"/>
      <c r="B239" s="552" t="s">
        <v>187</v>
      </c>
      <c r="C239" s="1822" t="s">
        <v>345</v>
      </c>
      <c r="D239" s="1822"/>
      <c r="E239" s="1822"/>
      <c r="F239" s="562"/>
      <c r="G239" s="562"/>
      <c r="H239" s="562"/>
      <c r="I239" s="562"/>
      <c r="J239" s="604">
        <v>6.15</v>
      </c>
      <c r="K239" s="562" t="s">
        <v>313</v>
      </c>
      <c r="L239" s="604">
        <v>8.57</v>
      </c>
      <c r="M239" s="603"/>
      <c r="N239" s="602"/>
      <c r="V239" s="674"/>
      <c r="W239" s="675"/>
      <c r="Z239" s="537" t="s">
        <v>345</v>
      </c>
      <c r="AC239" s="675"/>
      <c r="AE239" s="680"/>
      <c r="AF239" s="675"/>
      <c r="AG239" s="675"/>
      <c r="AI239" s="675"/>
    </row>
    <row r="240" spans="1:35" s="536" customFormat="1" ht="12" x14ac:dyDescent="0.2">
      <c r="A240" s="605"/>
      <c r="B240" s="552" t="s">
        <v>188</v>
      </c>
      <c r="C240" s="1822" t="s">
        <v>475</v>
      </c>
      <c r="D240" s="1822"/>
      <c r="E240" s="1822"/>
      <c r="F240" s="562"/>
      <c r="G240" s="562"/>
      <c r="H240" s="562"/>
      <c r="I240" s="562"/>
      <c r="J240" s="604">
        <v>48.83</v>
      </c>
      <c r="K240" s="562"/>
      <c r="L240" s="604">
        <v>54.45</v>
      </c>
      <c r="M240" s="603"/>
      <c r="N240" s="602"/>
      <c r="V240" s="674"/>
      <c r="W240" s="675"/>
      <c r="Z240" s="537" t="s">
        <v>475</v>
      </c>
      <c r="AC240" s="675"/>
      <c r="AE240" s="680"/>
      <c r="AF240" s="675"/>
      <c r="AG240" s="675"/>
      <c r="AI240" s="675"/>
    </row>
    <row r="241" spans="1:35" s="536" customFormat="1" ht="12" x14ac:dyDescent="0.2">
      <c r="A241" s="676"/>
      <c r="B241" s="677" t="s">
        <v>3230</v>
      </c>
      <c r="C241" s="1829" t="s">
        <v>3231</v>
      </c>
      <c r="D241" s="1829"/>
      <c r="E241" s="1829"/>
      <c r="F241" s="678" t="s">
        <v>699</v>
      </c>
      <c r="G241" s="678" t="s">
        <v>525</v>
      </c>
      <c r="H241" s="678"/>
      <c r="I241" s="678" t="s">
        <v>525</v>
      </c>
      <c r="J241" s="552"/>
      <c r="K241" s="562"/>
      <c r="L241" s="604"/>
      <c r="M241" s="562"/>
      <c r="N241" s="679"/>
      <c r="V241" s="674"/>
      <c r="W241" s="675"/>
      <c r="AC241" s="675"/>
      <c r="AE241" s="680" t="s">
        <v>3231</v>
      </c>
      <c r="AF241" s="675"/>
      <c r="AG241" s="675"/>
      <c r="AI241" s="675"/>
    </row>
    <row r="242" spans="1:35" s="536" customFormat="1" ht="22.5" x14ac:dyDescent="0.2">
      <c r="A242" s="676"/>
      <c r="B242" s="677" t="s">
        <v>3232</v>
      </c>
      <c r="C242" s="1829" t="s">
        <v>3233</v>
      </c>
      <c r="D242" s="1829"/>
      <c r="E242" s="1829"/>
      <c r="F242" s="678" t="s">
        <v>699</v>
      </c>
      <c r="G242" s="678" t="s">
        <v>525</v>
      </c>
      <c r="H242" s="678"/>
      <c r="I242" s="678" t="s">
        <v>525</v>
      </c>
      <c r="J242" s="552"/>
      <c r="K242" s="562"/>
      <c r="L242" s="604"/>
      <c r="M242" s="562"/>
      <c r="N242" s="679"/>
      <c r="V242" s="674"/>
      <c r="W242" s="675"/>
      <c r="AC242" s="675"/>
      <c r="AE242" s="680" t="s">
        <v>3233</v>
      </c>
      <c r="AF242" s="675"/>
      <c r="AG242" s="675"/>
      <c r="AI242" s="675"/>
    </row>
    <row r="243" spans="1:35" s="536" customFormat="1" ht="12" x14ac:dyDescent="0.2">
      <c r="A243" s="676"/>
      <c r="B243" s="677" t="s">
        <v>3234</v>
      </c>
      <c r="C243" s="1829" t="s">
        <v>3235</v>
      </c>
      <c r="D243" s="1829"/>
      <c r="E243" s="1829"/>
      <c r="F243" s="678" t="s">
        <v>699</v>
      </c>
      <c r="G243" s="678" t="s">
        <v>525</v>
      </c>
      <c r="H243" s="678"/>
      <c r="I243" s="678" t="s">
        <v>525</v>
      </c>
      <c r="J243" s="552"/>
      <c r="K243" s="562"/>
      <c r="L243" s="604"/>
      <c r="M243" s="562"/>
      <c r="N243" s="679"/>
      <c r="V243" s="674"/>
      <c r="W243" s="675"/>
      <c r="AC243" s="675"/>
      <c r="AE243" s="680" t="s">
        <v>3235</v>
      </c>
      <c r="AF243" s="675"/>
      <c r="AG243" s="675"/>
      <c r="AI243" s="675"/>
    </row>
    <row r="244" spans="1:35" s="536" customFormat="1" ht="22.5" x14ac:dyDescent="0.2">
      <c r="A244" s="605"/>
      <c r="B244" s="552"/>
      <c r="C244" s="1822" t="s">
        <v>314</v>
      </c>
      <c r="D244" s="1822"/>
      <c r="E244" s="1822"/>
      <c r="F244" s="562" t="s">
        <v>315</v>
      </c>
      <c r="G244" s="562" t="s">
        <v>3236</v>
      </c>
      <c r="H244" s="562" t="s">
        <v>313</v>
      </c>
      <c r="I244" s="562" t="s">
        <v>3237</v>
      </c>
      <c r="J244" s="604"/>
      <c r="K244" s="562"/>
      <c r="L244" s="604"/>
      <c r="M244" s="603"/>
      <c r="N244" s="602"/>
      <c r="V244" s="674"/>
      <c r="W244" s="675"/>
      <c r="AA244" s="537" t="s">
        <v>314</v>
      </c>
      <c r="AC244" s="675"/>
      <c r="AE244" s="680"/>
      <c r="AF244" s="675"/>
      <c r="AG244" s="675"/>
      <c r="AI244" s="675"/>
    </row>
    <row r="245" spans="1:35" s="536" customFormat="1" ht="12" x14ac:dyDescent="0.2">
      <c r="A245" s="605"/>
      <c r="B245" s="552"/>
      <c r="C245" s="1822" t="s">
        <v>348</v>
      </c>
      <c r="D245" s="1822"/>
      <c r="E245" s="1822"/>
      <c r="F245" s="562" t="s">
        <v>315</v>
      </c>
      <c r="G245" s="562" t="s">
        <v>2790</v>
      </c>
      <c r="H245" s="562" t="s">
        <v>313</v>
      </c>
      <c r="I245" s="562" t="s">
        <v>3238</v>
      </c>
      <c r="J245" s="604"/>
      <c r="K245" s="562"/>
      <c r="L245" s="604"/>
      <c r="M245" s="603"/>
      <c r="N245" s="602"/>
      <c r="V245" s="674"/>
      <c r="W245" s="675"/>
      <c r="AA245" s="537" t="s">
        <v>348</v>
      </c>
      <c r="AC245" s="675"/>
      <c r="AE245" s="680"/>
      <c r="AF245" s="675"/>
      <c r="AG245" s="675"/>
      <c r="AI245" s="675"/>
    </row>
    <row r="246" spans="1:35" s="536" customFormat="1" ht="12" x14ac:dyDescent="0.2">
      <c r="A246" s="605"/>
      <c r="B246" s="552"/>
      <c r="C246" s="1828" t="s">
        <v>318</v>
      </c>
      <c r="D246" s="1828"/>
      <c r="E246" s="1828"/>
      <c r="F246" s="608"/>
      <c r="G246" s="608"/>
      <c r="H246" s="608"/>
      <c r="I246" s="608"/>
      <c r="J246" s="607">
        <v>975.26</v>
      </c>
      <c r="K246" s="608"/>
      <c r="L246" s="607">
        <v>1345.66</v>
      </c>
      <c r="M246" s="601"/>
      <c r="N246" s="606"/>
      <c r="V246" s="674"/>
      <c r="W246" s="675"/>
      <c r="AB246" s="537" t="s">
        <v>318</v>
      </c>
      <c r="AC246" s="675"/>
      <c r="AE246" s="680"/>
      <c r="AF246" s="675"/>
      <c r="AG246" s="675"/>
      <c r="AI246" s="675"/>
    </row>
    <row r="247" spans="1:35" s="536" customFormat="1" ht="12" x14ac:dyDescent="0.2">
      <c r="A247" s="605"/>
      <c r="B247" s="552"/>
      <c r="C247" s="1822" t="s">
        <v>319</v>
      </c>
      <c r="D247" s="1822"/>
      <c r="E247" s="1822"/>
      <c r="F247" s="562"/>
      <c r="G247" s="562"/>
      <c r="H247" s="562"/>
      <c r="I247" s="562"/>
      <c r="J247" s="604"/>
      <c r="K247" s="562"/>
      <c r="L247" s="604">
        <v>1255.03</v>
      </c>
      <c r="M247" s="603"/>
      <c r="N247" s="602"/>
      <c r="V247" s="674"/>
      <c r="W247" s="675"/>
      <c r="AA247" s="537" t="s">
        <v>319</v>
      </c>
      <c r="AC247" s="675"/>
      <c r="AE247" s="680"/>
      <c r="AF247" s="675"/>
      <c r="AG247" s="675"/>
      <c r="AI247" s="675"/>
    </row>
    <row r="248" spans="1:35" s="536" customFormat="1" ht="33.75" x14ac:dyDescent="0.2">
      <c r="A248" s="605"/>
      <c r="B248" s="552" t="s">
        <v>1250</v>
      </c>
      <c r="C248" s="1822" t="s">
        <v>1251</v>
      </c>
      <c r="D248" s="1822"/>
      <c r="E248" s="1822"/>
      <c r="F248" s="562" t="s">
        <v>322</v>
      </c>
      <c r="G248" s="562" t="s">
        <v>1252</v>
      </c>
      <c r="H248" s="562"/>
      <c r="I248" s="562" t="s">
        <v>1252</v>
      </c>
      <c r="J248" s="604"/>
      <c r="K248" s="562"/>
      <c r="L248" s="604">
        <v>1405.63</v>
      </c>
      <c r="M248" s="603"/>
      <c r="N248" s="602"/>
      <c r="V248" s="674"/>
      <c r="W248" s="675"/>
      <c r="AA248" s="537" t="s">
        <v>1251</v>
      </c>
      <c r="AC248" s="675"/>
      <c r="AE248" s="680"/>
      <c r="AF248" s="675"/>
      <c r="AG248" s="675"/>
      <c r="AI248" s="675"/>
    </row>
    <row r="249" spans="1:35" s="536" customFormat="1" ht="33.75" x14ac:dyDescent="0.2">
      <c r="A249" s="605"/>
      <c r="B249" s="552" t="s">
        <v>1253</v>
      </c>
      <c r="C249" s="1822" t="s">
        <v>1254</v>
      </c>
      <c r="D249" s="1822"/>
      <c r="E249" s="1822"/>
      <c r="F249" s="562" t="s">
        <v>322</v>
      </c>
      <c r="G249" s="562" t="s">
        <v>796</v>
      </c>
      <c r="H249" s="562"/>
      <c r="I249" s="562" t="s">
        <v>796</v>
      </c>
      <c r="J249" s="604"/>
      <c r="K249" s="562"/>
      <c r="L249" s="604">
        <v>815.77</v>
      </c>
      <c r="M249" s="603"/>
      <c r="N249" s="602"/>
      <c r="V249" s="674"/>
      <c r="W249" s="675"/>
      <c r="AA249" s="537" t="s">
        <v>1254</v>
      </c>
      <c r="AC249" s="675"/>
      <c r="AE249" s="680"/>
      <c r="AF249" s="675"/>
      <c r="AG249" s="675"/>
      <c r="AI249" s="675"/>
    </row>
    <row r="250" spans="1:35" s="536" customFormat="1" ht="12" x14ac:dyDescent="0.2">
      <c r="A250" s="569"/>
      <c r="B250" s="671"/>
      <c r="C250" s="1823" t="s">
        <v>327</v>
      </c>
      <c r="D250" s="1823"/>
      <c r="E250" s="1823"/>
      <c r="F250" s="573"/>
      <c r="G250" s="573"/>
      <c r="H250" s="573"/>
      <c r="I250" s="573"/>
      <c r="J250" s="572"/>
      <c r="K250" s="573"/>
      <c r="L250" s="572">
        <v>3567.06</v>
      </c>
      <c r="M250" s="601"/>
      <c r="N250" s="570"/>
      <c r="V250" s="674"/>
      <c r="W250" s="675"/>
      <c r="AC250" s="675" t="s">
        <v>327</v>
      </c>
      <c r="AE250" s="680"/>
      <c r="AF250" s="675"/>
      <c r="AG250" s="675"/>
      <c r="AI250" s="675"/>
    </row>
    <row r="251" spans="1:35" s="536" customFormat="1" ht="45" x14ac:dyDescent="0.2">
      <c r="A251" s="575" t="s">
        <v>917</v>
      </c>
      <c r="B251" s="670" t="s">
        <v>3239</v>
      </c>
      <c r="C251" s="1823" t="s">
        <v>3240</v>
      </c>
      <c r="D251" s="1823"/>
      <c r="E251" s="1823"/>
      <c r="F251" s="573" t="s">
        <v>862</v>
      </c>
      <c r="G251" s="573"/>
      <c r="H251" s="573"/>
      <c r="I251" s="573" t="s">
        <v>3228</v>
      </c>
      <c r="J251" s="572"/>
      <c r="K251" s="573"/>
      <c r="L251" s="572"/>
      <c r="M251" s="571"/>
      <c r="N251" s="570"/>
      <c r="V251" s="674"/>
      <c r="W251" s="675" t="s">
        <v>3240</v>
      </c>
      <c r="AC251" s="675"/>
      <c r="AE251" s="680"/>
      <c r="AF251" s="675"/>
      <c r="AG251" s="675"/>
      <c r="AI251" s="675"/>
    </row>
    <row r="252" spans="1:35" s="536" customFormat="1" ht="12" x14ac:dyDescent="0.2">
      <c r="A252" s="676"/>
      <c r="B252" s="664"/>
      <c r="C252" s="1822" t="s">
        <v>3229</v>
      </c>
      <c r="D252" s="1822"/>
      <c r="E252" s="1822"/>
      <c r="F252" s="1822"/>
      <c r="G252" s="1822"/>
      <c r="H252" s="1822"/>
      <c r="I252" s="1822"/>
      <c r="J252" s="1822"/>
      <c r="K252" s="1822"/>
      <c r="L252" s="1822"/>
      <c r="M252" s="1822"/>
      <c r="N252" s="1827"/>
      <c r="V252" s="674"/>
      <c r="W252" s="675"/>
      <c r="X252" s="537" t="s">
        <v>3229</v>
      </c>
      <c r="AC252" s="675"/>
      <c r="AE252" s="680"/>
      <c r="AF252" s="675"/>
      <c r="AG252" s="675"/>
      <c r="AI252" s="675"/>
    </row>
    <row r="253" spans="1:35" s="536" customFormat="1" ht="12" x14ac:dyDescent="0.2">
      <c r="A253" s="609"/>
      <c r="B253" s="552"/>
      <c r="C253" s="1822" t="s">
        <v>3241</v>
      </c>
      <c r="D253" s="1822"/>
      <c r="E253" s="1822"/>
      <c r="F253" s="1822"/>
      <c r="G253" s="1822"/>
      <c r="H253" s="1822"/>
      <c r="I253" s="1822"/>
      <c r="J253" s="1822"/>
      <c r="K253" s="1822"/>
      <c r="L253" s="1822"/>
      <c r="M253" s="1822"/>
      <c r="N253" s="1827"/>
      <c r="V253" s="674"/>
      <c r="W253" s="675"/>
      <c r="Y253" s="537" t="s">
        <v>3241</v>
      </c>
      <c r="AC253" s="675"/>
      <c r="AE253" s="680"/>
      <c r="AF253" s="675"/>
      <c r="AG253" s="675"/>
      <c r="AI253" s="675"/>
    </row>
    <row r="254" spans="1:35" s="536" customFormat="1" ht="33.75" x14ac:dyDescent="0.2">
      <c r="A254" s="609"/>
      <c r="B254" s="552" t="s">
        <v>310</v>
      </c>
      <c r="C254" s="1822" t="s">
        <v>311</v>
      </c>
      <c r="D254" s="1822"/>
      <c r="E254" s="1822"/>
      <c r="F254" s="1822"/>
      <c r="G254" s="1822"/>
      <c r="H254" s="1822"/>
      <c r="I254" s="1822"/>
      <c r="J254" s="1822"/>
      <c r="K254" s="1822"/>
      <c r="L254" s="1822"/>
      <c r="M254" s="1822"/>
      <c r="N254" s="1827"/>
      <c r="V254" s="674"/>
      <c r="W254" s="675"/>
      <c r="Y254" s="537" t="s">
        <v>311</v>
      </c>
      <c r="AC254" s="675"/>
      <c r="AE254" s="680"/>
      <c r="AF254" s="675"/>
      <c r="AG254" s="675"/>
      <c r="AI254" s="675"/>
    </row>
    <row r="255" spans="1:35" s="536" customFormat="1" ht="12" x14ac:dyDescent="0.2">
      <c r="A255" s="605"/>
      <c r="B255" s="552" t="s">
        <v>185</v>
      </c>
      <c r="C255" s="1822" t="s">
        <v>312</v>
      </c>
      <c r="D255" s="1822"/>
      <c r="E255" s="1822"/>
      <c r="F255" s="562"/>
      <c r="G255" s="562"/>
      <c r="H255" s="562"/>
      <c r="I255" s="562"/>
      <c r="J255" s="604">
        <v>85.38</v>
      </c>
      <c r="K255" s="562" t="s">
        <v>434</v>
      </c>
      <c r="L255" s="604">
        <v>594.99</v>
      </c>
      <c r="M255" s="603"/>
      <c r="N255" s="602"/>
      <c r="V255" s="674"/>
      <c r="W255" s="675"/>
      <c r="Z255" s="537" t="s">
        <v>312</v>
      </c>
      <c r="AC255" s="675"/>
      <c r="AE255" s="680"/>
      <c r="AF255" s="675"/>
      <c r="AG255" s="675"/>
      <c r="AI255" s="675"/>
    </row>
    <row r="256" spans="1:35" s="536" customFormat="1" ht="12" x14ac:dyDescent="0.2">
      <c r="A256" s="605"/>
      <c r="B256" s="552" t="s">
        <v>186</v>
      </c>
      <c r="C256" s="1822" t="s">
        <v>344</v>
      </c>
      <c r="D256" s="1822"/>
      <c r="E256" s="1822"/>
      <c r="F256" s="562"/>
      <c r="G256" s="562"/>
      <c r="H256" s="562"/>
      <c r="I256" s="562"/>
      <c r="J256" s="604">
        <v>6.88</v>
      </c>
      <c r="K256" s="562" t="s">
        <v>434</v>
      </c>
      <c r="L256" s="604">
        <v>47.95</v>
      </c>
      <c r="M256" s="603"/>
      <c r="N256" s="602"/>
      <c r="V256" s="674"/>
      <c r="W256" s="675"/>
      <c r="Z256" s="537" t="s">
        <v>344</v>
      </c>
      <c r="AC256" s="675"/>
      <c r="AE256" s="680"/>
      <c r="AF256" s="675"/>
      <c r="AG256" s="675"/>
      <c r="AI256" s="675"/>
    </row>
    <row r="257" spans="1:35" s="536" customFormat="1" ht="12" x14ac:dyDescent="0.2">
      <c r="A257" s="605"/>
      <c r="B257" s="552" t="s">
        <v>187</v>
      </c>
      <c r="C257" s="1822" t="s">
        <v>345</v>
      </c>
      <c r="D257" s="1822"/>
      <c r="E257" s="1822"/>
      <c r="F257" s="562"/>
      <c r="G257" s="562"/>
      <c r="H257" s="562"/>
      <c r="I257" s="562"/>
      <c r="J257" s="604">
        <v>1.3</v>
      </c>
      <c r="K257" s="562" t="s">
        <v>434</v>
      </c>
      <c r="L257" s="604">
        <v>9.06</v>
      </c>
      <c r="M257" s="603"/>
      <c r="N257" s="602"/>
      <c r="V257" s="674"/>
      <c r="W257" s="675"/>
      <c r="Z257" s="537" t="s">
        <v>345</v>
      </c>
      <c r="AC257" s="675"/>
      <c r="AE257" s="680"/>
      <c r="AF257" s="675"/>
      <c r="AG257" s="675"/>
      <c r="AI257" s="675"/>
    </row>
    <row r="258" spans="1:35" s="536" customFormat="1" ht="12" x14ac:dyDescent="0.2">
      <c r="A258" s="605"/>
      <c r="B258" s="552" t="s">
        <v>188</v>
      </c>
      <c r="C258" s="1822" t="s">
        <v>475</v>
      </c>
      <c r="D258" s="1822"/>
      <c r="E258" s="1822"/>
      <c r="F258" s="562"/>
      <c r="G258" s="562"/>
      <c r="H258" s="562"/>
      <c r="I258" s="562"/>
      <c r="J258" s="604">
        <v>12.34</v>
      </c>
      <c r="K258" s="562" t="s">
        <v>189</v>
      </c>
      <c r="L258" s="604">
        <v>68.8</v>
      </c>
      <c r="M258" s="603"/>
      <c r="N258" s="602"/>
      <c r="V258" s="674"/>
      <c r="W258" s="675"/>
      <c r="Z258" s="537" t="s">
        <v>475</v>
      </c>
      <c r="AC258" s="675"/>
      <c r="AE258" s="680"/>
      <c r="AF258" s="675"/>
      <c r="AG258" s="675"/>
      <c r="AI258" s="675"/>
    </row>
    <row r="259" spans="1:35" s="536" customFormat="1" ht="12" x14ac:dyDescent="0.2">
      <c r="A259" s="676"/>
      <c r="B259" s="677" t="s">
        <v>3230</v>
      </c>
      <c r="C259" s="1829" t="s">
        <v>3231</v>
      </c>
      <c r="D259" s="1829"/>
      <c r="E259" s="1829"/>
      <c r="F259" s="678" t="s">
        <v>699</v>
      </c>
      <c r="G259" s="678" t="s">
        <v>525</v>
      </c>
      <c r="H259" s="678" t="s">
        <v>189</v>
      </c>
      <c r="I259" s="678" t="s">
        <v>525</v>
      </c>
      <c r="J259" s="552"/>
      <c r="K259" s="562"/>
      <c r="L259" s="604"/>
      <c r="M259" s="562"/>
      <c r="N259" s="679"/>
      <c r="V259" s="674"/>
      <c r="W259" s="675"/>
      <c r="AC259" s="675"/>
      <c r="AE259" s="680" t="s">
        <v>3231</v>
      </c>
      <c r="AF259" s="675"/>
      <c r="AG259" s="675"/>
      <c r="AI259" s="675"/>
    </row>
    <row r="260" spans="1:35" s="536" customFormat="1" ht="22.5" x14ac:dyDescent="0.2">
      <c r="A260" s="605"/>
      <c r="B260" s="552"/>
      <c r="C260" s="1822" t="s">
        <v>314</v>
      </c>
      <c r="D260" s="1822"/>
      <c r="E260" s="1822"/>
      <c r="F260" s="562" t="s">
        <v>315</v>
      </c>
      <c r="G260" s="562" t="s">
        <v>3242</v>
      </c>
      <c r="H260" s="562" t="s">
        <v>434</v>
      </c>
      <c r="I260" s="562" t="s">
        <v>3243</v>
      </c>
      <c r="J260" s="604"/>
      <c r="K260" s="562"/>
      <c r="L260" s="604"/>
      <c r="M260" s="603"/>
      <c r="N260" s="602"/>
      <c r="V260" s="674"/>
      <c r="W260" s="675"/>
      <c r="AA260" s="537" t="s">
        <v>314</v>
      </c>
      <c r="AC260" s="675"/>
      <c r="AE260" s="680"/>
      <c r="AF260" s="675"/>
      <c r="AG260" s="675"/>
      <c r="AI260" s="675"/>
    </row>
    <row r="261" spans="1:35" s="536" customFormat="1" ht="12" x14ac:dyDescent="0.2">
      <c r="A261" s="605"/>
      <c r="B261" s="552"/>
      <c r="C261" s="1822" t="s">
        <v>348</v>
      </c>
      <c r="D261" s="1822"/>
      <c r="E261" s="1822"/>
      <c r="F261" s="562" t="s">
        <v>315</v>
      </c>
      <c r="G261" s="562" t="s">
        <v>1232</v>
      </c>
      <c r="H261" s="562" t="s">
        <v>434</v>
      </c>
      <c r="I261" s="562" t="s">
        <v>3244</v>
      </c>
      <c r="J261" s="604"/>
      <c r="K261" s="562"/>
      <c r="L261" s="604"/>
      <c r="M261" s="603"/>
      <c r="N261" s="602"/>
      <c r="V261" s="674"/>
      <c r="W261" s="675"/>
      <c r="AA261" s="537" t="s">
        <v>348</v>
      </c>
      <c r="AC261" s="675"/>
      <c r="AE261" s="680"/>
      <c r="AF261" s="675"/>
      <c r="AG261" s="675"/>
      <c r="AI261" s="675"/>
    </row>
    <row r="262" spans="1:35" s="536" customFormat="1" ht="12" x14ac:dyDescent="0.2">
      <c r="A262" s="605"/>
      <c r="B262" s="552"/>
      <c r="C262" s="1828" t="s">
        <v>318</v>
      </c>
      <c r="D262" s="1828"/>
      <c r="E262" s="1828"/>
      <c r="F262" s="608"/>
      <c r="G262" s="608"/>
      <c r="H262" s="608"/>
      <c r="I262" s="608"/>
      <c r="J262" s="607">
        <v>104.6</v>
      </c>
      <c r="K262" s="608"/>
      <c r="L262" s="607">
        <v>711.74</v>
      </c>
      <c r="M262" s="601"/>
      <c r="N262" s="606"/>
      <c r="V262" s="674"/>
      <c r="W262" s="675"/>
      <c r="AB262" s="537" t="s">
        <v>318</v>
      </c>
      <c r="AC262" s="675"/>
      <c r="AE262" s="680"/>
      <c r="AF262" s="675"/>
      <c r="AG262" s="675"/>
      <c r="AI262" s="675"/>
    </row>
    <row r="263" spans="1:35" s="536" customFormat="1" ht="12" x14ac:dyDescent="0.2">
      <c r="A263" s="605"/>
      <c r="B263" s="552"/>
      <c r="C263" s="1822" t="s">
        <v>319</v>
      </c>
      <c r="D263" s="1822"/>
      <c r="E263" s="1822"/>
      <c r="F263" s="562"/>
      <c r="G263" s="562"/>
      <c r="H263" s="562"/>
      <c r="I263" s="562"/>
      <c r="J263" s="604"/>
      <c r="K263" s="562"/>
      <c r="L263" s="604">
        <v>604.04999999999995</v>
      </c>
      <c r="M263" s="603"/>
      <c r="N263" s="602"/>
      <c r="V263" s="674"/>
      <c r="W263" s="675"/>
      <c r="AA263" s="537" t="s">
        <v>319</v>
      </c>
      <c r="AC263" s="675"/>
      <c r="AE263" s="680"/>
      <c r="AF263" s="675"/>
      <c r="AG263" s="675"/>
      <c r="AI263" s="675"/>
    </row>
    <row r="264" spans="1:35" s="536" customFormat="1" ht="33.75" x14ac:dyDescent="0.2">
      <c r="A264" s="605"/>
      <c r="B264" s="552" t="s">
        <v>1250</v>
      </c>
      <c r="C264" s="1822" t="s">
        <v>1251</v>
      </c>
      <c r="D264" s="1822"/>
      <c r="E264" s="1822"/>
      <c r="F264" s="562" t="s">
        <v>322</v>
      </c>
      <c r="G264" s="562" t="s">
        <v>1252</v>
      </c>
      <c r="H264" s="562"/>
      <c r="I264" s="562" t="s">
        <v>1252</v>
      </c>
      <c r="J264" s="604"/>
      <c r="K264" s="562"/>
      <c r="L264" s="604">
        <v>676.54</v>
      </c>
      <c r="M264" s="603"/>
      <c r="N264" s="602"/>
      <c r="V264" s="674"/>
      <c r="W264" s="675"/>
      <c r="AA264" s="537" t="s">
        <v>1251</v>
      </c>
      <c r="AC264" s="675"/>
      <c r="AE264" s="680"/>
      <c r="AF264" s="675"/>
      <c r="AG264" s="675"/>
      <c r="AI264" s="675"/>
    </row>
    <row r="265" spans="1:35" s="536" customFormat="1" ht="33.75" x14ac:dyDescent="0.2">
      <c r="A265" s="605"/>
      <c r="B265" s="552" t="s">
        <v>1253</v>
      </c>
      <c r="C265" s="1822" t="s">
        <v>1254</v>
      </c>
      <c r="D265" s="1822"/>
      <c r="E265" s="1822"/>
      <c r="F265" s="562" t="s">
        <v>322</v>
      </c>
      <c r="G265" s="562" t="s">
        <v>796</v>
      </c>
      <c r="H265" s="562"/>
      <c r="I265" s="562" t="s">
        <v>796</v>
      </c>
      <c r="J265" s="604"/>
      <c r="K265" s="562"/>
      <c r="L265" s="604">
        <v>392.63</v>
      </c>
      <c r="M265" s="603"/>
      <c r="N265" s="602"/>
      <c r="V265" s="674"/>
      <c r="W265" s="675"/>
      <c r="AA265" s="537" t="s">
        <v>1254</v>
      </c>
      <c r="AC265" s="675"/>
      <c r="AE265" s="680"/>
      <c r="AF265" s="675"/>
      <c r="AG265" s="675"/>
      <c r="AI265" s="675"/>
    </row>
    <row r="266" spans="1:35" s="536" customFormat="1" ht="12" x14ac:dyDescent="0.2">
      <c r="A266" s="569"/>
      <c r="B266" s="671"/>
      <c r="C266" s="1823" t="s">
        <v>327</v>
      </c>
      <c r="D266" s="1823"/>
      <c r="E266" s="1823"/>
      <c r="F266" s="573"/>
      <c r="G266" s="573"/>
      <c r="H266" s="573"/>
      <c r="I266" s="573"/>
      <c r="J266" s="572"/>
      <c r="K266" s="573"/>
      <c r="L266" s="572">
        <v>1780.91</v>
      </c>
      <c r="M266" s="601"/>
      <c r="N266" s="570"/>
      <c r="V266" s="674"/>
      <c r="W266" s="675"/>
      <c r="AC266" s="675" t="s">
        <v>327</v>
      </c>
      <c r="AE266" s="680"/>
      <c r="AF266" s="675"/>
      <c r="AG266" s="675"/>
      <c r="AI266" s="675"/>
    </row>
    <row r="267" spans="1:35" s="536" customFormat="1" ht="33.75" x14ac:dyDescent="0.2">
      <c r="A267" s="575" t="s">
        <v>761</v>
      </c>
      <c r="B267" s="670" t="s">
        <v>3245</v>
      </c>
      <c r="C267" s="1823" t="s">
        <v>3246</v>
      </c>
      <c r="D267" s="1823"/>
      <c r="E267" s="1823"/>
      <c r="F267" s="573" t="s">
        <v>699</v>
      </c>
      <c r="G267" s="573"/>
      <c r="H267" s="573"/>
      <c r="I267" s="573" t="s">
        <v>3247</v>
      </c>
      <c r="J267" s="572">
        <v>468.1</v>
      </c>
      <c r="K267" s="573" t="s">
        <v>716</v>
      </c>
      <c r="L267" s="572">
        <v>12797.36</v>
      </c>
      <c r="M267" s="571">
        <v>8.32</v>
      </c>
      <c r="N267" s="570">
        <v>106474</v>
      </c>
      <c r="V267" s="674"/>
      <c r="W267" s="675" t="s">
        <v>3246</v>
      </c>
      <c r="AC267" s="675"/>
      <c r="AE267" s="680"/>
      <c r="AF267" s="675"/>
      <c r="AG267" s="675"/>
      <c r="AI267" s="675"/>
    </row>
    <row r="268" spans="1:35" s="536" customFormat="1" ht="12" x14ac:dyDescent="0.2">
      <c r="A268" s="569"/>
      <c r="B268" s="671"/>
      <c r="C268" s="665" t="s">
        <v>1173</v>
      </c>
      <c r="D268" s="666"/>
      <c r="E268" s="666"/>
      <c r="F268" s="563"/>
      <c r="G268" s="563"/>
      <c r="H268" s="563"/>
      <c r="I268" s="563"/>
      <c r="J268" s="566"/>
      <c r="K268" s="563"/>
      <c r="L268" s="566"/>
      <c r="M268" s="565"/>
      <c r="N268" s="564"/>
      <c r="V268" s="674"/>
      <c r="W268" s="675"/>
      <c r="AC268" s="675"/>
      <c r="AE268" s="680"/>
      <c r="AF268" s="675"/>
      <c r="AG268" s="675"/>
      <c r="AI268" s="675"/>
    </row>
    <row r="269" spans="1:35" s="536" customFormat="1" ht="12" x14ac:dyDescent="0.2">
      <c r="A269" s="676"/>
      <c r="B269" s="664"/>
      <c r="C269" s="1822" t="s">
        <v>3248</v>
      </c>
      <c r="D269" s="1822"/>
      <c r="E269" s="1822"/>
      <c r="F269" s="1822"/>
      <c r="G269" s="1822"/>
      <c r="H269" s="1822"/>
      <c r="I269" s="1822"/>
      <c r="J269" s="1822"/>
      <c r="K269" s="1822"/>
      <c r="L269" s="1822"/>
      <c r="M269" s="1822"/>
      <c r="N269" s="1827"/>
      <c r="V269" s="674"/>
      <c r="W269" s="675"/>
      <c r="X269" s="537" t="s">
        <v>3248</v>
      </c>
      <c r="AC269" s="675"/>
      <c r="AE269" s="680"/>
      <c r="AF269" s="675"/>
      <c r="AG269" s="675"/>
      <c r="AI269" s="675"/>
    </row>
    <row r="270" spans="1:35" s="536" customFormat="1" ht="22.5" x14ac:dyDescent="0.2">
      <c r="A270" s="609"/>
      <c r="B270" s="552" t="s">
        <v>718</v>
      </c>
      <c r="C270" s="1822" t="s">
        <v>719</v>
      </c>
      <c r="D270" s="1822"/>
      <c r="E270" s="1822"/>
      <c r="F270" s="1822"/>
      <c r="G270" s="1822"/>
      <c r="H270" s="1822"/>
      <c r="I270" s="1822"/>
      <c r="J270" s="1822"/>
      <c r="K270" s="1822"/>
      <c r="L270" s="1822"/>
      <c r="M270" s="1822"/>
      <c r="N270" s="1827"/>
      <c r="V270" s="674"/>
      <c r="W270" s="675"/>
      <c r="Y270" s="537" t="s">
        <v>719</v>
      </c>
      <c r="AC270" s="675"/>
      <c r="AE270" s="680"/>
      <c r="AF270" s="675"/>
      <c r="AG270" s="675"/>
      <c r="AI270" s="675"/>
    </row>
    <row r="271" spans="1:35" s="536" customFormat="1" ht="33.75" x14ac:dyDescent="0.2">
      <c r="A271" s="575" t="s">
        <v>762</v>
      </c>
      <c r="B271" s="670" t="s">
        <v>3249</v>
      </c>
      <c r="C271" s="1823" t="s">
        <v>3250</v>
      </c>
      <c r="D271" s="1823"/>
      <c r="E271" s="1823"/>
      <c r="F271" s="573" t="s">
        <v>699</v>
      </c>
      <c r="G271" s="573"/>
      <c r="H271" s="573"/>
      <c r="I271" s="573" t="s">
        <v>3251</v>
      </c>
      <c r="J271" s="572">
        <v>561.63</v>
      </c>
      <c r="K271" s="573" t="s">
        <v>716</v>
      </c>
      <c r="L271" s="572">
        <v>3070.91</v>
      </c>
      <c r="M271" s="571">
        <v>8.32</v>
      </c>
      <c r="N271" s="570">
        <v>25550</v>
      </c>
      <c r="V271" s="674"/>
      <c r="W271" s="675" t="s">
        <v>3250</v>
      </c>
      <c r="AC271" s="675"/>
      <c r="AE271" s="680"/>
      <c r="AF271" s="675"/>
      <c r="AG271" s="675"/>
      <c r="AI271" s="675"/>
    </row>
    <row r="272" spans="1:35" s="536" customFormat="1" ht="12" x14ac:dyDescent="0.2">
      <c r="A272" s="569"/>
      <c r="B272" s="671"/>
      <c r="C272" s="665" t="s">
        <v>1173</v>
      </c>
      <c r="D272" s="666"/>
      <c r="E272" s="666"/>
      <c r="F272" s="563"/>
      <c r="G272" s="563"/>
      <c r="H272" s="563"/>
      <c r="I272" s="563"/>
      <c r="J272" s="566"/>
      <c r="K272" s="563"/>
      <c r="L272" s="566"/>
      <c r="M272" s="565"/>
      <c r="N272" s="564"/>
      <c r="V272" s="674"/>
      <c r="W272" s="675"/>
      <c r="AC272" s="675"/>
      <c r="AE272" s="680"/>
      <c r="AF272" s="675"/>
      <c r="AG272" s="675"/>
      <c r="AI272" s="675"/>
    </row>
    <row r="273" spans="1:35" s="536" customFormat="1" ht="12" x14ac:dyDescent="0.2">
      <c r="A273" s="676"/>
      <c r="B273" s="664"/>
      <c r="C273" s="1822" t="s">
        <v>3252</v>
      </c>
      <c r="D273" s="1822"/>
      <c r="E273" s="1822"/>
      <c r="F273" s="1822"/>
      <c r="G273" s="1822"/>
      <c r="H273" s="1822"/>
      <c r="I273" s="1822"/>
      <c r="J273" s="1822"/>
      <c r="K273" s="1822"/>
      <c r="L273" s="1822"/>
      <c r="M273" s="1822"/>
      <c r="N273" s="1827"/>
      <c r="V273" s="674"/>
      <c r="W273" s="675"/>
      <c r="X273" s="537" t="s">
        <v>3252</v>
      </c>
      <c r="AC273" s="675"/>
      <c r="AE273" s="680"/>
      <c r="AF273" s="675"/>
      <c r="AG273" s="675"/>
      <c r="AI273" s="675"/>
    </row>
    <row r="274" spans="1:35" s="536" customFormat="1" ht="22.5" x14ac:dyDescent="0.2">
      <c r="A274" s="609"/>
      <c r="B274" s="552" t="s">
        <v>718</v>
      </c>
      <c r="C274" s="1822" t="s">
        <v>719</v>
      </c>
      <c r="D274" s="1822"/>
      <c r="E274" s="1822"/>
      <c r="F274" s="1822"/>
      <c r="G274" s="1822"/>
      <c r="H274" s="1822"/>
      <c r="I274" s="1822"/>
      <c r="J274" s="1822"/>
      <c r="K274" s="1822"/>
      <c r="L274" s="1822"/>
      <c r="M274" s="1822"/>
      <c r="N274" s="1827"/>
      <c r="V274" s="674"/>
      <c r="W274" s="675"/>
      <c r="Y274" s="537" t="s">
        <v>719</v>
      </c>
      <c r="AC274" s="675"/>
      <c r="AE274" s="680"/>
      <c r="AF274" s="675"/>
      <c r="AG274" s="675"/>
      <c r="AI274" s="675"/>
    </row>
    <row r="275" spans="1:35" s="536" customFormat="1" ht="1.5" customHeight="1" x14ac:dyDescent="0.2">
      <c r="A275" s="563"/>
      <c r="B275" s="671"/>
      <c r="C275" s="671"/>
      <c r="D275" s="671"/>
      <c r="E275" s="671"/>
      <c r="F275" s="563"/>
      <c r="G275" s="563"/>
      <c r="H275" s="563"/>
      <c r="I275" s="563"/>
      <c r="J275" s="546"/>
      <c r="K275" s="563"/>
      <c r="L275" s="546"/>
      <c r="M275" s="562"/>
      <c r="N275" s="546"/>
      <c r="V275" s="674"/>
      <c r="W275" s="675"/>
      <c r="AC275" s="675"/>
      <c r="AE275" s="680"/>
      <c r="AF275" s="675"/>
      <c r="AG275" s="675"/>
      <c r="AI275" s="675"/>
    </row>
    <row r="276" spans="1:35" s="536" customFormat="1" ht="12" x14ac:dyDescent="0.2">
      <c r="A276" s="557"/>
      <c r="B276" s="556"/>
      <c r="C276" s="1823" t="s">
        <v>3253</v>
      </c>
      <c r="D276" s="1823"/>
      <c r="E276" s="1823"/>
      <c r="F276" s="1823"/>
      <c r="G276" s="1823"/>
      <c r="H276" s="1823"/>
      <c r="I276" s="1823"/>
      <c r="J276" s="1823"/>
      <c r="K276" s="1823"/>
      <c r="L276" s="555"/>
      <c r="M276" s="554"/>
      <c r="N276" s="553"/>
      <c r="V276" s="674"/>
      <c r="W276" s="675"/>
      <c r="AC276" s="675"/>
      <c r="AE276" s="680"/>
      <c r="AF276" s="675"/>
      <c r="AG276" s="675" t="s">
        <v>3253</v>
      </c>
      <c r="AI276" s="675"/>
    </row>
    <row r="277" spans="1:35" s="536" customFormat="1" ht="12" x14ac:dyDescent="0.2">
      <c r="A277" s="548"/>
      <c r="B277" s="552"/>
      <c r="C277" s="1822" t="s">
        <v>403</v>
      </c>
      <c r="D277" s="1822"/>
      <c r="E277" s="1822"/>
      <c r="F277" s="1822"/>
      <c r="G277" s="1822"/>
      <c r="H277" s="1822"/>
      <c r="I277" s="1822"/>
      <c r="J277" s="1822"/>
      <c r="K277" s="1822"/>
      <c r="L277" s="551">
        <v>27535.97</v>
      </c>
      <c r="M277" s="550"/>
      <c r="N277" s="549"/>
      <c r="V277" s="674"/>
      <c r="W277" s="675"/>
      <c r="AC277" s="675"/>
      <c r="AE277" s="680"/>
      <c r="AF277" s="675"/>
      <c r="AG277" s="675"/>
      <c r="AH277" s="537" t="s">
        <v>403</v>
      </c>
      <c r="AI277" s="675"/>
    </row>
    <row r="278" spans="1:35" s="536" customFormat="1" ht="12" x14ac:dyDescent="0.2">
      <c r="A278" s="548"/>
      <c r="B278" s="552"/>
      <c r="C278" s="1822" t="s">
        <v>204</v>
      </c>
      <c r="D278" s="1822"/>
      <c r="E278" s="1822"/>
      <c r="F278" s="1822"/>
      <c r="G278" s="1822"/>
      <c r="H278" s="1822"/>
      <c r="I278" s="1822"/>
      <c r="J278" s="1822"/>
      <c r="K278" s="1822"/>
      <c r="L278" s="551"/>
      <c r="M278" s="550"/>
      <c r="N278" s="549"/>
      <c r="V278" s="674"/>
      <c r="W278" s="675"/>
      <c r="AC278" s="675"/>
      <c r="AE278" s="680"/>
      <c r="AF278" s="675"/>
      <c r="AG278" s="675"/>
      <c r="AH278" s="537" t="s">
        <v>204</v>
      </c>
      <c r="AI278" s="675"/>
    </row>
    <row r="279" spans="1:35" s="536" customFormat="1" ht="12" x14ac:dyDescent="0.2">
      <c r="A279" s="548"/>
      <c r="B279" s="552"/>
      <c r="C279" s="1822" t="s">
        <v>404</v>
      </c>
      <c r="D279" s="1822"/>
      <c r="E279" s="1822"/>
      <c r="F279" s="1822"/>
      <c r="G279" s="1822"/>
      <c r="H279" s="1822"/>
      <c r="I279" s="1822"/>
      <c r="J279" s="1822"/>
      <c r="K279" s="1822"/>
      <c r="L279" s="551">
        <v>2342.98</v>
      </c>
      <c r="M279" s="550"/>
      <c r="N279" s="549"/>
      <c r="V279" s="674"/>
      <c r="W279" s="675"/>
      <c r="AC279" s="675"/>
      <c r="AE279" s="680"/>
      <c r="AF279" s="675"/>
      <c r="AG279" s="675"/>
      <c r="AH279" s="537" t="s">
        <v>404</v>
      </c>
      <c r="AI279" s="675"/>
    </row>
    <row r="280" spans="1:35" s="536" customFormat="1" ht="12" x14ac:dyDescent="0.2">
      <c r="A280" s="548"/>
      <c r="B280" s="552"/>
      <c r="C280" s="1822" t="s">
        <v>405</v>
      </c>
      <c r="D280" s="1822"/>
      <c r="E280" s="1822"/>
      <c r="F280" s="1822"/>
      <c r="G280" s="1822"/>
      <c r="H280" s="1822"/>
      <c r="I280" s="1822"/>
      <c r="J280" s="1822"/>
      <c r="K280" s="1822"/>
      <c r="L280" s="551">
        <v>312.70999999999998</v>
      </c>
      <c r="M280" s="550"/>
      <c r="N280" s="549"/>
      <c r="V280" s="674"/>
      <c r="W280" s="675"/>
      <c r="AC280" s="675"/>
      <c r="AE280" s="680"/>
      <c r="AF280" s="675"/>
      <c r="AG280" s="675"/>
      <c r="AH280" s="537" t="s">
        <v>405</v>
      </c>
      <c r="AI280" s="675"/>
    </row>
    <row r="281" spans="1:35" s="536" customFormat="1" ht="12" x14ac:dyDescent="0.2">
      <c r="A281" s="548"/>
      <c r="B281" s="552"/>
      <c r="C281" s="1822" t="s">
        <v>406</v>
      </c>
      <c r="D281" s="1822"/>
      <c r="E281" s="1822"/>
      <c r="F281" s="1822"/>
      <c r="G281" s="1822"/>
      <c r="H281" s="1822"/>
      <c r="I281" s="1822"/>
      <c r="J281" s="1822"/>
      <c r="K281" s="1822"/>
      <c r="L281" s="551">
        <v>98.62</v>
      </c>
      <c r="M281" s="550"/>
      <c r="N281" s="549"/>
      <c r="V281" s="674"/>
      <c r="W281" s="675"/>
      <c r="AC281" s="675"/>
      <c r="AE281" s="680"/>
      <c r="AF281" s="675"/>
      <c r="AG281" s="675"/>
      <c r="AH281" s="537" t="s">
        <v>406</v>
      </c>
      <c r="AI281" s="675"/>
    </row>
    <row r="282" spans="1:35" s="536" customFormat="1" ht="12" x14ac:dyDescent="0.2">
      <c r="A282" s="548"/>
      <c r="B282" s="552"/>
      <c r="C282" s="1822" t="s">
        <v>480</v>
      </c>
      <c r="D282" s="1822"/>
      <c r="E282" s="1822"/>
      <c r="F282" s="1822"/>
      <c r="G282" s="1822"/>
      <c r="H282" s="1822"/>
      <c r="I282" s="1822"/>
      <c r="J282" s="1822"/>
      <c r="K282" s="1822"/>
      <c r="L282" s="551">
        <v>24880.28</v>
      </c>
      <c r="M282" s="550"/>
      <c r="N282" s="549"/>
      <c r="V282" s="674"/>
      <c r="W282" s="675"/>
      <c r="AC282" s="675"/>
      <c r="AE282" s="680"/>
      <c r="AF282" s="675"/>
      <c r="AG282" s="675"/>
      <c r="AH282" s="537" t="s">
        <v>480</v>
      </c>
      <c r="AI282" s="675"/>
    </row>
    <row r="283" spans="1:35" s="536" customFormat="1" ht="12" x14ac:dyDescent="0.2">
      <c r="A283" s="548"/>
      <c r="B283" s="552"/>
      <c r="C283" s="1822" t="s">
        <v>407</v>
      </c>
      <c r="D283" s="1822"/>
      <c r="E283" s="1822"/>
      <c r="F283" s="1822"/>
      <c r="G283" s="1822"/>
      <c r="H283" s="1822"/>
      <c r="I283" s="1822"/>
      <c r="J283" s="1822"/>
      <c r="K283" s="1822"/>
      <c r="L283" s="551">
        <v>31850.61</v>
      </c>
      <c r="M283" s="550"/>
      <c r="N283" s="549"/>
      <c r="V283" s="674"/>
      <c r="W283" s="675"/>
      <c r="AC283" s="675"/>
      <c r="AE283" s="680"/>
      <c r="AF283" s="675"/>
      <c r="AG283" s="675"/>
      <c r="AH283" s="537" t="s">
        <v>407</v>
      </c>
      <c r="AI283" s="675"/>
    </row>
    <row r="284" spans="1:35" s="536" customFormat="1" ht="12" x14ac:dyDescent="0.2">
      <c r="A284" s="548"/>
      <c r="B284" s="552"/>
      <c r="C284" s="1822" t="s">
        <v>204</v>
      </c>
      <c r="D284" s="1822"/>
      <c r="E284" s="1822"/>
      <c r="F284" s="1822"/>
      <c r="G284" s="1822"/>
      <c r="H284" s="1822"/>
      <c r="I284" s="1822"/>
      <c r="J284" s="1822"/>
      <c r="K284" s="1822"/>
      <c r="L284" s="551"/>
      <c r="M284" s="550"/>
      <c r="N284" s="549"/>
      <c r="V284" s="674"/>
      <c r="W284" s="675"/>
      <c r="AC284" s="675"/>
      <c r="AE284" s="680"/>
      <c r="AF284" s="675"/>
      <c r="AG284" s="675"/>
      <c r="AH284" s="537" t="s">
        <v>204</v>
      </c>
      <c r="AI284" s="675"/>
    </row>
    <row r="285" spans="1:35" s="536" customFormat="1" ht="12" x14ac:dyDescent="0.2">
      <c r="A285" s="548"/>
      <c r="B285" s="552"/>
      <c r="C285" s="1822" t="s">
        <v>546</v>
      </c>
      <c r="D285" s="1822"/>
      <c r="E285" s="1822"/>
      <c r="F285" s="1822"/>
      <c r="G285" s="1822"/>
      <c r="H285" s="1822"/>
      <c r="I285" s="1822"/>
      <c r="J285" s="1822"/>
      <c r="K285" s="1822"/>
      <c r="L285" s="551">
        <v>2342.98</v>
      </c>
      <c r="M285" s="550"/>
      <c r="N285" s="549"/>
      <c r="V285" s="674"/>
      <c r="W285" s="675"/>
      <c r="AC285" s="675"/>
      <c r="AE285" s="680"/>
      <c r="AF285" s="675"/>
      <c r="AG285" s="675"/>
      <c r="AH285" s="537" t="s">
        <v>546</v>
      </c>
      <c r="AI285" s="675"/>
    </row>
    <row r="286" spans="1:35" s="536" customFormat="1" ht="12" x14ac:dyDescent="0.2">
      <c r="A286" s="548"/>
      <c r="B286" s="552"/>
      <c r="C286" s="1822" t="s">
        <v>442</v>
      </c>
      <c r="D286" s="1822"/>
      <c r="E286" s="1822"/>
      <c r="F286" s="1822"/>
      <c r="G286" s="1822"/>
      <c r="H286" s="1822"/>
      <c r="I286" s="1822"/>
      <c r="J286" s="1822"/>
      <c r="K286" s="1822"/>
      <c r="L286" s="551">
        <v>312.70999999999998</v>
      </c>
      <c r="M286" s="550"/>
      <c r="N286" s="549"/>
      <c r="V286" s="674"/>
      <c r="W286" s="675"/>
      <c r="AC286" s="675"/>
      <c r="AE286" s="680"/>
      <c r="AF286" s="675"/>
      <c r="AG286" s="675"/>
      <c r="AH286" s="537" t="s">
        <v>442</v>
      </c>
      <c r="AI286" s="675"/>
    </row>
    <row r="287" spans="1:35" s="536" customFormat="1" ht="12" x14ac:dyDescent="0.2">
      <c r="A287" s="548"/>
      <c r="B287" s="552"/>
      <c r="C287" s="1822" t="s">
        <v>547</v>
      </c>
      <c r="D287" s="1822"/>
      <c r="E287" s="1822"/>
      <c r="F287" s="1822"/>
      <c r="G287" s="1822"/>
      <c r="H287" s="1822"/>
      <c r="I287" s="1822"/>
      <c r="J287" s="1822"/>
      <c r="K287" s="1822"/>
      <c r="L287" s="551">
        <v>24880.28</v>
      </c>
      <c r="M287" s="550"/>
      <c r="N287" s="549"/>
      <c r="V287" s="674"/>
      <c r="W287" s="675"/>
      <c r="AC287" s="675"/>
      <c r="AE287" s="680"/>
      <c r="AF287" s="675"/>
      <c r="AG287" s="675"/>
      <c r="AH287" s="537" t="s">
        <v>547</v>
      </c>
      <c r="AI287" s="675"/>
    </row>
    <row r="288" spans="1:35" s="536" customFormat="1" ht="12" x14ac:dyDescent="0.2">
      <c r="A288" s="548"/>
      <c r="B288" s="552"/>
      <c r="C288" s="1822" t="s">
        <v>443</v>
      </c>
      <c r="D288" s="1822"/>
      <c r="E288" s="1822"/>
      <c r="F288" s="1822"/>
      <c r="G288" s="1822"/>
      <c r="H288" s="1822"/>
      <c r="I288" s="1822"/>
      <c r="J288" s="1822"/>
      <c r="K288" s="1822"/>
      <c r="L288" s="551">
        <v>2730.48</v>
      </c>
      <c r="M288" s="550"/>
      <c r="N288" s="549"/>
      <c r="V288" s="674"/>
      <c r="W288" s="675"/>
      <c r="AC288" s="675"/>
      <c r="AE288" s="680"/>
      <c r="AF288" s="675"/>
      <c r="AG288" s="675"/>
      <c r="AH288" s="537" t="s">
        <v>443</v>
      </c>
      <c r="AI288" s="675"/>
    </row>
    <row r="289" spans="1:35" s="536" customFormat="1" ht="12" x14ac:dyDescent="0.2">
      <c r="A289" s="548"/>
      <c r="B289" s="552"/>
      <c r="C289" s="1822" t="s">
        <v>444</v>
      </c>
      <c r="D289" s="1822"/>
      <c r="E289" s="1822"/>
      <c r="F289" s="1822"/>
      <c r="G289" s="1822"/>
      <c r="H289" s="1822"/>
      <c r="I289" s="1822"/>
      <c r="J289" s="1822"/>
      <c r="K289" s="1822"/>
      <c r="L289" s="551">
        <v>1584.16</v>
      </c>
      <c r="M289" s="550"/>
      <c r="N289" s="549"/>
      <c r="V289" s="674"/>
      <c r="W289" s="675"/>
      <c r="AC289" s="675"/>
      <c r="AE289" s="680"/>
      <c r="AF289" s="675"/>
      <c r="AG289" s="675"/>
      <c r="AH289" s="537" t="s">
        <v>444</v>
      </c>
      <c r="AI289" s="675"/>
    </row>
    <row r="290" spans="1:35" s="536" customFormat="1" ht="12" x14ac:dyDescent="0.2">
      <c r="A290" s="548"/>
      <c r="B290" s="552"/>
      <c r="C290" s="1822" t="s">
        <v>415</v>
      </c>
      <c r="D290" s="1822"/>
      <c r="E290" s="1822"/>
      <c r="F290" s="1822"/>
      <c r="G290" s="1822"/>
      <c r="H290" s="1822"/>
      <c r="I290" s="1822"/>
      <c r="J290" s="1822"/>
      <c r="K290" s="1822"/>
      <c r="L290" s="551">
        <v>2441.6</v>
      </c>
      <c r="M290" s="550"/>
      <c r="N290" s="549"/>
      <c r="V290" s="674"/>
      <c r="W290" s="675"/>
      <c r="AC290" s="675"/>
      <c r="AE290" s="680"/>
      <c r="AF290" s="675"/>
      <c r="AG290" s="675"/>
      <c r="AH290" s="537" t="s">
        <v>415</v>
      </c>
      <c r="AI290" s="675"/>
    </row>
    <row r="291" spans="1:35" s="536" customFormat="1" ht="12" x14ac:dyDescent="0.2">
      <c r="A291" s="548"/>
      <c r="B291" s="552"/>
      <c r="C291" s="1822" t="s">
        <v>416</v>
      </c>
      <c r="D291" s="1822"/>
      <c r="E291" s="1822"/>
      <c r="F291" s="1822"/>
      <c r="G291" s="1822"/>
      <c r="H291" s="1822"/>
      <c r="I291" s="1822"/>
      <c r="J291" s="1822"/>
      <c r="K291" s="1822"/>
      <c r="L291" s="551">
        <v>2730.48</v>
      </c>
      <c r="M291" s="550"/>
      <c r="N291" s="549"/>
      <c r="V291" s="674"/>
      <c r="W291" s="675"/>
      <c r="AC291" s="675"/>
      <c r="AE291" s="680"/>
      <c r="AF291" s="675"/>
      <c r="AG291" s="675"/>
      <c r="AH291" s="537" t="s">
        <v>416</v>
      </c>
      <c r="AI291" s="675"/>
    </row>
    <row r="292" spans="1:35" s="536" customFormat="1" ht="12" x14ac:dyDescent="0.2">
      <c r="A292" s="548"/>
      <c r="B292" s="552"/>
      <c r="C292" s="1822" t="s">
        <v>417</v>
      </c>
      <c r="D292" s="1822"/>
      <c r="E292" s="1822"/>
      <c r="F292" s="1822"/>
      <c r="G292" s="1822"/>
      <c r="H292" s="1822"/>
      <c r="I292" s="1822"/>
      <c r="J292" s="1822"/>
      <c r="K292" s="1822"/>
      <c r="L292" s="551">
        <v>1584.16</v>
      </c>
      <c r="M292" s="550"/>
      <c r="N292" s="549"/>
      <c r="V292" s="674"/>
      <c r="W292" s="675"/>
      <c r="AC292" s="675"/>
      <c r="AE292" s="680"/>
      <c r="AF292" s="675"/>
      <c r="AG292" s="675"/>
      <c r="AH292" s="537" t="s">
        <v>417</v>
      </c>
      <c r="AI292" s="675"/>
    </row>
    <row r="293" spans="1:35" s="536" customFormat="1" ht="12" x14ac:dyDescent="0.2">
      <c r="A293" s="548"/>
      <c r="B293" s="546"/>
      <c r="C293" s="1819" t="s">
        <v>3254</v>
      </c>
      <c r="D293" s="1819"/>
      <c r="E293" s="1819"/>
      <c r="F293" s="1819"/>
      <c r="G293" s="1819"/>
      <c r="H293" s="1819"/>
      <c r="I293" s="1819"/>
      <c r="J293" s="1819"/>
      <c r="K293" s="1819"/>
      <c r="L293" s="544">
        <v>31850.61</v>
      </c>
      <c r="M293" s="543"/>
      <c r="N293" s="681"/>
      <c r="V293" s="674"/>
      <c r="W293" s="675"/>
      <c r="AC293" s="675"/>
      <c r="AE293" s="680"/>
      <c r="AF293" s="675"/>
      <c r="AG293" s="675"/>
      <c r="AI293" s="675" t="s">
        <v>3254</v>
      </c>
    </row>
    <row r="294" spans="1:35" s="536" customFormat="1" ht="12" x14ac:dyDescent="0.2">
      <c r="A294" s="548"/>
      <c r="B294" s="552"/>
      <c r="C294" s="1822" t="s">
        <v>204</v>
      </c>
      <c r="D294" s="1822"/>
      <c r="E294" s="1822"/>
      <c r="F294" s="1822"/>
      <c r="G294" s="1822"/>
      <c r="H294" s="1822"/>
      <c r="I294" s="1822"/>
      <c r="J294" s="1822"/>
      <c r="K294" s="1822"/>
      <c r="L294" s="551"/>
      <c r="M294" s="550"/>
      <c r="N294" s="549"/>
      <c r="V294" s="674"/>
      <c r="W294" s="675"/>
      <c r="AC294" s="675"/>
      <c r="AE294" s="680"/>
      <c r="AF294" s="675"/>
      <c r="AG294" s="675"/>
      <c r="AH294" s="537" t="s">
        <v>204</v>
      </c>
      <c r="AI294" s="675"/>
    </row>
    <row r="295" spans="1:35" s="536" customFormat="1" ht="12" x14ac:dyDescent="0.2">
      <c r="A295" s="548"/>
      <c r="B295" s="552"/>
      <c r="C295" s="1822" t="s">
        <v>8095</v>
      </c>
      <c r="D295" s="1822"/>
      <c r="E295" s="1822"/>
      <c r="F295" s="1822"/>
      <c r="G295" s="1822"/>
      <c r="H295" s="1822"/>
      <c r="I295" s="1822"/>
      <c r="J295" s="1822"/>
      <c r="K295" s="1822"/>
      <c r="L295" s="551">
        <v>15868.27</v>
      </c>
      <c r="M295" s="550"/>
      <c r="N295" s="549"/>
      <c r="V295" s="674"/>
      <c r="W295" s="675"/>
      <c r="AC295" s="675"/>
      <c r="AE295" s="680"/>
      <c r="AF295" s="675"/>
      <c r="AG295" s="675"/>
      <c r="AH295" s="537" t="s">
        <v>8095</v>
      </c>
      <c r="AI295" s="675"/>
    </row>
    <row r="296" spans="1:35" s="536" customFormat="1" ht="12" x14ac:dyDescent="0.2">
      <c r="A296" s="1824" t="s">
        <v>3255</v>
      </c>
      <c r="B296" s="1825"/>
      <c r="C296" s="1825"/>
      <c r="D296" s="1825"/>
      <c r="E296" s="1825"/>
      <c r="F296" s="1825"/>
      <c r="G296" s="1825"/>
      <c r="H296" s="1825"/>
      <c r="I296" s="1825"/>
      <c r="J296" s="1825"/>
      <c r="K296" s="1825"/>
      <c r="L296" s="1825"/>
      <c r="M296" s="1825"/>
      <c r="N296" s="1826"/>
      <c r="V296" s="674" t="s">
        <v>3255</v>
      </c>
      <c r="W296" s="675"/>
      <c r="AC296" s="675"/>
      <c r="AE296" s="680"/>
      <c r="AF296" s="675"/>
      <c r="AG296" s="675"/>
      <c r="AI296" s="675"/>
    </row>
    <row r="297" spans="1:35" s="536" customFormat="1" ht="33.75" x14ac:dyDescent="0.2">
      <c r="A297" s="575" t="s">
        <v>763</v>
      </c>
      <c r="B297" s="670" t="s">
        <v>1297</v>
      </c>
      <c r="C297" s="1823" t="s">
        <v>1298</v>
      </c>
      <c r="D297" s="1823"/>
      <c r="E297" s="1823"/>
      <c r="F297" s="573" t="s">
        <v>862</v>
      </c>
      <c r="G297" s="573"/>
      <c r="H297" s="573"/>
      <c r="I297" s="573" t="s">
        <v>3256</v>
      </c>
      <c r="J297" s="572"/>
      <c r="K297" s="573"/>
      <c r="L297" s="572"/>
      <c r="M297" s="571"/>
      <c r="N297" s="570"/>
      <c r="V297" s="674"/>
      <c r="W297" s="675" t="s">
        <v>1298</v>
      </c>
      <c r="AC297" s="675"/>
      <c r="AE297" s="680"/>
      <c r="AF297" s="675"/>
      <c r="AG297" s="675"/>
      <c r="AI297" s="675"/>
    </row>
    <row r="298" spans="1:35" s="536" customFormat="1" ht="12" x14ac:dyDescent="0.2">
      <c r="A298" s="676"/>
      <c r="B298" s="664"/>
      <c r="C298" s="1822" t="s">
        <v>3257</v>
      </c>
      <c r="D298" s="1822"/>
      <c r="E298" s="1822"/>
      <c r="F298" s="1822"/>
      <c r="G298" s="1822"/>
      <c r="H298" s="1822"/>
      <c r="I298" s="1822"/>
      <c r="J298" s="1822"/>
      <c r="K298" s="1822"/>
      <c r="L298" s="1822"/>
      <c r="M298" s="1822"/>
      <c r="N298" s="1827"/>
      <c r="V298" s="674"/>
      <c r="W298" s="675"/>
      <c r="X298" s="537" t="s">
        <v>3257</v>
      </c>
      <c r="AC298" s="675"/>
      <c r="AE298" s="680"/>
      <c r="AF298" s="675"/>
      <c r="AG298" s="675"/>
      <c r="AI298" s="675"/>
    </row>
    <row r="299" spans="1:35" s="536" customFormat="1" ht="33.75" x14ac:dyDescent="0.2">
      <c r="A299" s="609"/>
      <c r="B299" s="552" t="s">
        <v>310</v>
      </c>
      <c r="C299" s="1822" t="s">
        <v>311</v>
      </c>
      <c r="D299" s="1822"/>
      <c r="E299" s="1822"/>
      <c r="F299" s="1822"/>
      <c r="G299" s="1822"/>
      <c r="H299" s="1822"/>
      <c r="I299" s="1822"/>
      <c r="J299" s="1822"/>
      <c r="K299" s="1822"/>
      <c r="L299" s="1822"/>
      <c r="M299" s="1822"/>
      <c r="N299" s="1827"/>
      <c r="V299" s="674"/>
      <c r="W299" s="675"/>
      <c r="Y299" s="537" t="s">
        <v>311</v>
      </c>
      <c r="AC299" s="675"/>
      <c r="AE299" s="680"/>
      <c r="AF299" s="675"/>
      <c r="AG299" s="675"/>
      <c r="AI299" s="675"/>
    </row>
    <row r="300" spans="1:35" s="536" customFormat="1" ht="12" x14ac:dyDescent="0.2">
      <c r="A300" s="605"/>
      <c r="B300" s="552" t="s">
        <v>185</v>
      </c>
      <c r="C300" s="1822" t="s">
        <v>312</v>
      </c>
      <c r="D300" s="1822"/>
      <c r="E300" s="1822"/>
      <c r="F300" s="562"/>
      <c r="G300" s="562"/>
      <c r="H300" s="562"/>
      <c r="I300" s="562"/>
      <c r="J300" s="604">
        <v>925.9</v>
      </c>
      <c r="K300" s="562" t="s">
        <v>313</v>
      </c>
      <c r="L300" s="604">
        <v>1332.6</v>
      </c>
      <c r="M300" s="603"/>
      <c r="N300" s="602"/>
      <c r="V300" s="674"/>
      <c r="W300" s="675"/>
      <c r="Z300" s="537" t="s">
        <v>312</v>
      </c>
      <c r="AC300" s="675"/>
      <c r="AE300" s="680"/>
      <c r="AF300" s="675"/>
      <c r="AG300" s="675"/>
      <c r="AI300" s="675"/>
    </row>
    <row r="301" spans="1:35" s="536" customFormat="1" ht="12" x14ac:dyDescent="0.2">
      <c r="A301" s="605"/>
      <c r="B301" s="552" t="s">
        <v>186</v>
      </c>
      <c r="C301" s="1822" t="s">
        <v>344</v>
      </c>
      <c r="D301" s="1822"/>
      <c r="E301" s="1822"/>
      <c r="F301" s="562"/>
      <c r="G301" s="562"/>
      <c r="H301" s="562"/>
      <c r="I301" s="562"/>
      <c r="J301" s="604">
        <v>90.71</v>
      </c>
      <c r="K301" s="562" t="s">
        <v>313</v>
      </c>
      <c r="L301" s="604">
        <v>130.55000000000001</v>
      </c>
      <c r="M301" s="603"/>
      <c r="N301" s="602"/>
      <c r="V301" s="674"/>
      <c r="W301" s="675"/>
      <c r="Z301" s="537" t="s">
        <v>344</v>
      </c>
      <c r="AC301" s="675"/>
      <c r="AE301" s="680"/>
      <c r="AF301" s="675"/>
      <c r="AG301" s="675"/>
      <c r="AI301" s="675"/>
    </row>
    <row r="302" spans="1:35" s="536" customFormat="1" ht="12" x14ac:dyDescent="0.2">
      <c r="A302" s="605"/>
      <c r="B302" s="552" t="s">
        <v>187</v>
      </c>
      <c r="C302" s="1822" t="s">
        <v>345</v>
      </c>
      <c r="D302" s="1822"/>
      <c r="E302" s="1822"/>
      <c r="F302" s="562"/>
      <c r="G302" s="562"/>
      <c r="H302" s="562"/>
      <c r="I302" s="562"/>
      <c r="J302" s="604">
        <v>15.13</v>
      </c>
      <c r="K302" s="562" t="s">
        <v>313</v>
      </c>
      <c r="L302" s="604">
        <v>21.78</v>
      </c>
      <c r="M302" s="603"/>
      <c r="N302" s="602"/>
      <c r="V302" s="674"/>
      <c r="W302" s="675"/>
      <c r="Z302" s="537" t="s">
        <v>345</v>
      </c>
      <c r="AC302" s="675"/>
      <c r="AE302" s="680"/>
      <c r="AF302" s="675"/>
      <c r="AG302" s="675"/>
      <c r="AI302" s="675"/>
    </row>
    <row r="303" spans="1:35" s="536" customFormat="1" ht="12" x14ac:dyDescent="0.2">
      <c r="A303" s="605"/>
      <c r="B303" s="552" t="s">
        <v>188</v>
      </c>
      <c r="C303" s="1822" t="s">
        <v>475</v>
      </c>
      <c r="D303" s="1822"/>
      <c r="E303" s="1822"/>
      <c r="F303" s="562"/>
      <c r="G303" s="562"/>
      <c r="H303" s="562"/>
      <c r="I303" s="562"/>
      <c r="J303" s="604">
        <v>700.57</v>
      </c>
      <c r="K303" s="562"/>
      <c r="L303" s="604">
        <v>806.64</v>
      </c>
      <c r="M303" s="603"/>
      <c r="N303" s="602"/>
      <c r="V303" s="674"/>
      <c r="W303" s="675"/>
      <c r="Z303" s="537" t="s">
        <v>475</v>
      </c>
      <c r="AC303" s="675"/>
      <c r="AE303" s="680"/>
      <c r="AF303" s="675"/>
      <c r="AG303" s="675"/>
      <c r="AI303" s="675"/>
    </row>
    <row r="304" spans="1:35" s="536" customFormat="1" ht="22.5" x14ac:dyDescent="0.2">
      <c r="A304" s="676"/>
      <c r="B304" s="677" t="s">
        <v>1301</v>
      </c>
      <c r="C304" s="1829" t="s">
        <v>1302</v>
      </c>
      <c r="D304" s="1829"/>
      <c r="E304" s="1829"/>
      <c r="F304" s="678" t="s">
        <v>865</v>
      </c>
      <c r="G304" s="678" t="s">
        <v>680</v>
      </c>
      <c r="H304" s="678"/>
      <c r="I304" s="678" t="s">
        <v>3258</v>
      </c>
      <c r="J304" s="552"/>
      <c r="K304" s="562"/>
      <c r="L304" s="604"/>
      <c r="M304" s="562"/>
      <c r="N304" s="679"/>
      <c r="V304" s="674"/>
      <c r="W304" s="675"/>
      <c r="AC304" s="675"/>
      <c r="AE304" s="680" t="s">
        <v>1302</v>
      </c>
      <c r="AF304" s="675"/>
      <c r="AG304" s="675"/>
      <c r="AI304" s="675"/>
    </row>
    <row r="305" spans="1:35" s="536" customFormat="1" ht="22.5" x14ac:dyDescent="0.2">
      <c r="A305" s="605"/>
      <c r="B305" s="552"/>
      <c r="C305" s="1822" t="s">
        <v>314</v>
      </c>
      <c r="D305" s="1822"/>
      <c r="E305" s="1822"/>
      <c r="F305" s="562" t="s">
        <v>315</v>
      </c>
      <c r="G305" s="562" t="s">
        <v>1304</v>
      </c>
      <c r="H305" s="562" t="s">
        <v>313</v>
      </c>
      <c r="I305" s="562" t="s">
        <v>3259</v>
      </c>
      <c r="J305" s="604"/>
      <c r="K305" s="562"/>
      <c r="L305" s="604"/>
      <c r="M305" s="603"/>
      <c r="N305" s="602"/>
      <c r="V305" s="674"/>
      <c r="W305" s="675"/>
      <c r="AA305" s="537" t="s">
        <v>314</v>
      </c>
      <c r="AC305" s="675"/>
      <c r="AE305" s="680"/>
      <c r="AF305" s="675"/>
      <c r="AG305" s="675"/>
      <c r="AI305" s="675"/>
    </row>
    <row r="306" spans="1:35" s="536" customFormat="1" ht="12" x14ac:dyDescent="0.2">
      <c r="A306" s="605"/>
      <c r="B306" s="552"/>
      <c r="C306" s="1822" t="s">
        <v>348</v>
      </c>
      <c r="D306" s="1822"/>
      <c r="E306" s="1822"/>
      <c r="F306" s="562" t="s">
        <v>315</v>
      </c>
      <c r="G306" s="562" t="s">
        <v>1306</v>
      </c>
      <c r="H306" s="562" t="s">
        <v>313</v>
      </c>
      <c r="I306" s="562" t="s">
        <v>3260</v>
      </c>
      <c r="J306" s="604"/>
      <c r="K306" s="562"/>
      <c r="L306" s="604"/>
      <c r="M306" s="603"/>
      <c r="N306" s="602"/>
      <c r="V306" s="674"/>
      <c r="W306" s="675"/>
      <c r="AA306" s="537" t="s">
        <v>348</v>
      </c>
      <c r="AC306" s="675"/>
      <c r="AE306" s="680"/>
      <c r="AF306" s="675"/>
      <c r="AG306" s="675"/>
      <c r="AI306" s="675"/>
    </row>
    <row r="307" spans="1:35" s="536" customFormat="1" ht="12" x14ac:dyDescent="0.2">
      <c r="A307" s="605"/>
      <c r="B307" s="552"/>
      <c r="C307" s="1828" t="s">
        <v>318</v>
      </c>
      <c r="D307" s="1828"/>
      <c r="E307" s="1828"/>
      <c r="F307" s="608"/>
      <c r="G307" s="608"/>
      <c r="H307" s="608"/>
      <c r="I307" s="608"/>
      <c r="J307" s="607">
        <v>1717.18</v>
      </c>
      <c r="K307" s="608"/>
      <c r="L307" s="607">
        <v>2269.79</v>
      </c>
      <c r="M307" s="601"/>
      <c r="N307" s="606"/>
      <c r="V307" s="674"/>
      <c r="W307" s="675"/>
      <c r="AB307" s="537" t="s">
        <v>318</v>
      </c>
      <c r="AC307" s="675"/>
      <c r="AE307" s="680"/>
      <c r="AF307" s="675"/>
      <c r="AG307" s="675"/>
      <c r="AI307" s="675"/>
    </row>
    <row r="308" spans="1:35" s="536" customFormat="1" ht="12" x14ac:dyDescent="0.2">
      <c r="A308" s="605"/>
      <c r="B308" s="552"/>
      <c r="C308" s="1822" t="s">
        <v>319</v>
      </c>
      <c r="D308" s="1822"/>
      <c r="E308" s="1822"/>
      <c r="F308" s="562"/>
      <c r="G308" s="562"/>
      <c r="H308" s="562"/>
      <c r="I308" s="562"/>
      <c r="J308" s="604"/>
      <c r="K308" s="562"/>
      <c r="L308" s="604">
        <v>1354.38</v>
      </c>
      <c r="M308" s="603"/>
      <c r="N308" s="602"/>
      <c r="V308" s="674"/>
      <c r="W308" s="675"/>
      <c r="AA308" s="537" t="s">
        <v>319</v>
      </c>
      <c r="AC308" s="675"/>
      <c r="AE308" s="680"/>
      <c r="AF308" s="675"/>
      <c r="AG308" s="675"/>
      <c r="AI308" s="675"/>
    </row>
    <row r="309" spans="1:35" s="536" customFormat="1" ht="33.75" x14ac:dyDescent="0.2">
      <c r="A309" s="605"/>
      <c r="B309" s="552" t="s">
        <v>1308</v>
      </c>
      <c r="C309" s="1822" t="s">
        <v>1309</v>
      </c>
      <c r="D309" s="1822"/>
      <c r="E309" s="1822"/>
      <c r="F309" s="562" t="s">
        <v>322</v>
      </c>
      <c r="G309" s="562" t="s">
        <v>844</v>
      </c>
      <c r="H309" s="562"/>
      <c r="I309" s="562" t="s">
        <v>844</v>
      </c>
      <c r="J309" s="604"/>
      <c r="K309" s="562"/>
      <c r="L309" s="604">
        <v>1354.38</v>
      </c>
      <c r="M309" s="603"/>
      <c r="N309" s="602"/>
      <c r="V309" s="674"/>
      <c r="W309" s="675"/>
      <c r="AA309" s="537" t="s">
        <v>1309</v>
      </c>
      <c r="AC309" s="675"/>
      <c r="AE309" s="680"/>
      <c r="AF309" s="675"/>
      <c r="AG309" s="675"/>
      <c r="AI309" s="675"/>
    </row>
    <row r="310" spans="1:35" s="536" customFormat="1" ht="33.75" x14ac:dyDescent="0.2">
      <c r="A310" s="605"/>
      <c r="B310" s="552" t="s">
        <v>1310</v>
      </c>
      <c r="C310" s="1822" t="s">
        <v>1311</v>
      </c>
      <c r="D310" s="1822"/>
      <c r="E310" s="1822"/>
      <c r="F310" s="562" t="s">
        <v>322</v>
      </c>
      <c r="G310" s="562" t="s">
        <v>784</v>
      </c>
      <c r="H310" s="562"/>
      <c r="I310" s="562" t="s">
        <v>784</v>
      </c>
      <c r="J310" s="604"/>
      <c r="K310" s="562"/>
      <c r="L310" s="604">
        <v>663.65</v>
      </c>
      <c r="M310" s="603"/>
      <c r="N310" s="602"/>
      <c r="V310" s="674"/>
      <c r="W310" s="675"/>
      <c r="AA310" s="537" t="s">
        <v>1311</v>
      </c>
      <c r="AC310" s="675"/>
      <c r="AE310" s="680"/>
      <c r="AF310" s="675"/>
      <c r="AG310" s="675"/>
      <c r="AI310" s="675"/>
    </row>
    <row r="311" spans="1:35" s="536" customFormat="1" ht="12" x14ac:dyDescent="0.2">
      <c r="A311" s="569"/>
      <c r="B311" s="671"/>
      <c r="C311" s="1823" t="s">
        <v>327</v>
      </c>
      <c r="D311" s="1823"/>
      <c r="E311" s="1823"/>
      <c r="F311" s="573"/>
      <c r="G311" s="573"/>
      <c r="H311" s="573"/>
      <c r="I311" s="573"/>
      <c r="J311" s="572"/>
      <c r="K311" s="573"/>
      <c r="L311" s="572">
        <v>4287.82</v>
      </c>
      <c r="M311" s="601"/>
      <c r="N311" s="570"/>
      <c r="V311" s="674"/>
      <c r="W311" s="675"/>
      <c r="AC311" s="675" t="s">
        <v>327</v>
      </c>
      <c r="AE311" s="680"/>
      <c r="AF311" s="675"/>
      <c r="AG311" s="675"/>
      <c r="AI311" s="675"/>
    </row>
    <row r="312" spans="1:35" s="536" customFormat="1" ht="22.5" x14ac:dyDescent="0.2">
      <c r="A312" s="575" t="s">
        <v>922</v>
      </c>
      <c r="B312" s="670" t="s">
        <v>1312</v>
      </c>
      <c r="C312" s="1823" t="s">
        <v>1313</v>
      </c>
      <c r="D312" s="1823"/>
      <c r="E312" s="1823"/>
      <c r="F312" s="573" t="s">
        <v>865</v>
      </c>
      <c r="G312" s="573"/>
      <c r="H312" s="573"/>
      <c r="I312" s="573" t="s">
        <v>3261</v>
      </c>
      <c r="J312" s="572">
        <v>272</v>
      </c>
      <c r="K312" s="573"/>
      <c r="L312" s="572">
        <v>31943.68</v>
      </c>
      <c r="M312" s="571"/>
      <c r="N312" s="570"/>
      <c r="V312" s="674"/>
      <c r="W312" s="675" t="s">
        <v>1313</v>
      </c>
      <c r="AC312" s="675"/>
      <c r="AE312" s="680"/>
      <c r="AF312" s="675"/>
      <c r="AG312" s="675"/>
      <c r="AI312" s="675"/>
    </row>
    <row r="313" spans="1:35" s="536" customFormat="1" ht="12" x14ac:dyDescent="0.2">
      <c r="A313" s="569"/>
      <c r="B313" s="671"/>
      <c r="C313" s="665" t="s">
        <v>717</v>
      </c>
      <c r="D313" s="666"/>
      <c r="E313" s="666"/>
      <c r="F313" s="563"/>
      <c r="G313" s="563"/>
      <c r="H313" s="563"/>
      <c r="I313" s="563"/>
      <c r="J313" s="566"/>
      <c r="K313" s="563"/>
      <c r="L313" s="566"/>
      <c r="M313" s="565"/>
      <c r="N313" s="564"/>
      <c r="V313" s="674"/>
      <c r="W313" s="675"/>
      <c r="AC313" s="675"/>
      <c r="AE313" s="680"/>
      <c r="AF313" s="675"/>
      <c r="AG313" s="675"/>
      <c r="AI313" s="675"/>
    </row>
    <row r="314" spans="1:35" s="536" customFormat="1" ht="45" x14ac:dyDescent="0.2">
      <c r="A314" s="575" t="s">
        <v>765</v>
      </c>
      <c r="B314" s="670" t="s">
        <v>1316</v>
      </c>
      <c r="C314" s="1823" t="s">
        <v>1317</v>
      </c>
      <c r="D314" s="1823"/>
      <c r="E314" s="1823"/>
      <c r="F314" s="573" t="s">
        <v>1318</v>
      </c>
      <c r="G314" s="573"/>
      <c r="H314" s="573"/>
      <c r="I314" s="573" t="s">
        <v>3262</v>
      </c>
      <c r="J314" s="572"/>
      <c r="K314" s="573"/>
      <c r="L314" s="572"/>
      <c r="M314" s="571"/>
      <c r="N314" s="570"/>
      <c r="V314" s="674"/>
      <c r="W314" s="675" t="s">
        <v>1317</v>
      </c>
      <c r="AC314" s="675"/>
      <c r="AE314" s="680"/>
      <c r="AF314" s="675"/>
      <c r="AG314" s="675"/>
      <c r="AI314" s="675"/>
    </row>
    <row r="315" spans="1:35" s="536" customFormat="1" ht="12" x14ac:dyDescent="0.2">
      <c r="A315" s="676"/>
      <c r="B315" s="664"/>
      <c r="C315" s="1822" t="s">
        <v>3263</v>
      </c>
      <c r="D315" s="1822"/>
      <c r="E315" s="1822"/>
      <c r="F315" s="1822"/>
      <c r="G315" s="1822"/>
      <c r="H315" s="1822"/>
      <c r="I315" s="1822"/>
      <c r="J315" s="1822"/>
      <c r="K315" s="1822"/>
      <c r="L315" s="1822"/>
      <c r="M315" s="1822"/>
      <c r="N315" s="1827"/>
      <c r="V315" s="674"/>
      <c r="W315" s="675"/>
      <c r="X315" s="537" t="s">
        <v>3263</v>
      </c>
      <c r="AC315" s="675"/>
      <c r="AE315" s="680"/>
      <c r="AF315" s="675"/>
      <c r="AG315" s="675"/>
      <c r="AI315" s="675"/>
    </row>
    <row r="316" spans="1:35" s="536" customFormat="1" ht="33.75" x14ac:dyDescent="0.2">
      <c r="A316" s="609"/>
      <c r="B316" s="552" t="s">
        <v>310</v>
      </c>
      <c r="C316" s="1822" t="s">
        <v>311</v>
      </c>
      <c r="D316" s="1822"/>
      <c r="E316" s="1822"/>
      <c r="F316" s="1822"/>
      <c r="G316" s="1822"/>
      <c r="H316" s="1822"/>
      <c r="I316" s="1822"/>
      <c r="J316" s="1822"/>
      <c r="K316" s="1822"/>
      <c r="L316" s="1822"/>
      <c r="M316" s="1822"/>
      <c r="N316" s="1827"/>
      <c r="V316" s="674"/>
      <c r="W316" s="675"/>
      <c r="Y316" s="537" t="s">
        <v>311</v>
      </c>
      <c r="AC316" s="675"/>
      <c r="AE316" s="680"/>
      <c r="AF316" s="675"/>
      <c r="AG316" s="675"/>
      <c r="AI316" s="675"/>
    </row>
    <row r="317" spans="1:35" s="536" customFormat="1" ht="12" x14ac:dyDescent="0.2">
      <c r="A317" s="605"/>
      <c r="B317" s="552" t="s">
        <v>185</v>
      </c>
      <c r="C317" s="1822" t="s">
        <v>312</v>
      </c>
      <c r="D317" s="1822"/>
      <c r="E317" s="1822"/>
      <c r="F317" s="562"/>
      <c r="G317" s="562"/>
      <c r="H317" s="562"/>
      <c r="I317" s="562"/>
      <c r="J317" s="604">
        <v>1047.54</v>
      </c>
      <c r="K317" s="562" t="s">
        <v>313</v>
      </c>
      <c r="L317" s="604">
        <v>666.5</v>
      </c>
      <c r="M317" s="603"/>
      <c r="N317" s="602"/>
      <c r="V317" s="674"/>
      <c r="W317" s="675"/>
      <c r="Z317" s="537" t="s">
        <v>312</v>
      </c>
      <c r="AC317" s="675"/>
      <c r="AE317" s="680"/>
      <c r="AF317" s="675"/>
      <c r="AG317" s="675"/>
      <c r="AI317" s="675"/>
    </row>
    <row r="318" spans="1:35" s="536" customFormat="1" ht="12" x14ac:dyDescent="0.2">
      <c r="A318" s="605"/>
      <c r="B318" s="552" t="s">
        <v>186</v>
      </c>
      <c r="C318" s="1822" t="s">
        <v>344</v>
      </c>
      <c r="D318" s="1822"/>
      <c r="E318" s="1822"/>
      <c r="F318" s="562"/>
      <c r="G318" s="562"/>
      <c r="H318" s="562"/>
      <c r="I318" s="562"/>
      <c r="J318" s="604">
        <v>10449.450000000001</v>
      </c>
      <c r="K318" s="562" t="s">
        <v>313</v>
      </c>
      <c r="L318" s="604">
        <v>6648.46</v>
      </c>
      <c r="M318" s="603"/>
      <c r="N318" s="602"/>
      <c r="V318" s="674"/>
      <c r="W318" s="675"/>
      <c r="Z318" s="537" t="s">
        <v>344</v>
      </c>
      <c r="AC318" s="675"/>
      <c r="AE318" s="680"/>
      <c r="AF318" s="675"/>
      <c r="AG318" s="675"/>
      <c r="AI318" s="675"/>
    </row>
    <row r="319" spans="1:35" s="536" customFormat="1" ht="12" x14ac:dyDescent="0.2">
      <c r="A319" s="605"/>
      <c r="B319" s="552" t="s">
        <v>187</v>
      </c>
      <c r="C319" s="1822" t="s">
        <v>345</v>
      </c>
      <c r="D319" s="1822"/>
      <c r="E319" s="1822"/>
      <c r="F319" s="562"/>
      <c r="G319" s="562"/>
      <c r="H319" s="562"/>
      <c r="I319" s="562"/>
      <c r="J319" s="604">
        <v>389.8</v>
      </c>
      <c r="K319" s="562" t="s">
        <v>313</v>
      </c>
      <c r="L319" s="604">
        <v>248.01</v>
      </c>
      <c r="M319" s="603"/>
      <c r="N319" s="602"/>
      <c r="V319" s="674"/>
      <c r="W319" s="675"/>
      <c r="Z319" s="537" t="s">
        <v>345</v>
      </c>
      <c r="AC319" s="675"/>
      <c r="AE319" s="680"/>
      <c r="AF319" s="675"/>
      <c r="AG319" s="675"/>
      <c r="AI319" s="675"/>
    </row>
    <row r="320" spans="1:35" s="536" customFormat="1" ht="12" x14ac:dyDescent="0.2">
      <c r="A320" s="605"/>
      <c r="B320" s="552" t="s">
        <v>188</v>
      </c>
      <c r="C320" s="1822" t="s">
        <v>475</v>
      </c>
      <c r="D320" s="1822"/>
      <c r="E320" s="1822"/>
      <c r="F320" s="562"/>
      <c r="G320" s="562"/>
      <c r="H320" s="562"/>
      <c r="I320" s="562"/>
      <c r="J320" s="604">
        <v>53.54</v>
      </c>
      <c r="K320" s="562"/>
      <c r="L320" s="604">
        <v>27.25</v>
      </c>
      <c r="M320" s="603"/>
      <c r="N320" s="602"/>
      <c r="V320" s="674"/>
      <c r="W320" s="675"/>
      <c r="Z320" s="537" t="s">
        <v>475</v>
      </c>
      <c r="AC320" s="675"/>
      <c r="AE320" s="680"/>
      <c r="AF320" s="675"/>
      <c r="AG320" s="675"/>
      <c r="AI320" s="675"/>
    </row>
    <row r="321" spans="1:35" s="536" customFormat="1" ht="22.5" x14ac:dyDescent="0.2">
      <c r="A321" s="676"/>
      <c r="B321" s="677" t="s">
        <v>1228</v>
      </c>
      <c r="C321" s="1829" t="s">
        <v>1321</v>
      </c>
      <c r="D321" s="1829"/>
      <c r="E321" s="1829"/>
      <c r="F321" s="678" t="s">
        <v>694</v>
      </c>
      <c r="G321" s="678" t="s">
        <v>525</v>
      </c>
      <c r="H321" s="678"/>
      <c r="I321" s="678" t="s">
        <v>525</v>
      </c>
      <c r="J321" s="552"/>
      <c r="K321" s="562"/>
      <c r="L321" s="604"/>
      <c r="M321" s="562"/>
      <c r="N321" s="679"/>
      <c r="V321" s="674"/>
      <c r="W321" s="675"/>
      <c r="AC321" s="675"/>
      <c r="AE321" s="680" t="s">
        <v>1321</v>
      </c>
      <c r="AF321" s="675"/>
      <c r="AG321" s="675"/>
      <c r="AI321" s="675"/>
    </row>
    <row r="322" spans="1:35" s="536" customFormat="1" ht="12" x14ac:dyDescent="0.2">
      <c r="A322" s="605"/>
      <c r="B322" s="552"/>
      <c r="C322" s="1822" t="s">
        <v>314</v>
      </c>
      <c r="D322" s="1822"/>
      <c r="E322" s="1822"/>
      <c r="F322" s="562" t="s">
        <v>315</v>
      </c>
      <c r="G322" s="562" t="s">
        <v>1322</v>
      </c>
      <c r="H322" s="562" t="s">
        <v>313</v>
      </c>
      <c r="I322" s="562" t="s">
        <v>3264</v>
      </c>
      <c r="J322" s="604"/>
      <c r="K322" s="562"/>
      <c r="L322" s="604"/>
      <c r="M322" s="603"/>
      <c r="N322" s="602"/>
      <c r="V322" s="674"/>
      <c r="W322" s="675"/>
      <c r="AA322" s="537" t="s">
        <v>314</v>
      </c>
      <c r="AC322" s="675"/>
      <c r="AE322" s="680"/>
      <c r="AF322" s="675"/>
      <c r="AG322" s="675"/>
      <c r="AI322" s="675"/>
    </row>
    <row r="323" spans="1:35" s="536" customFormat="1" ht="22.5" x14ac:dyDescent="0.2">
      <c r="A323" s="605"/>
      <c r="B323" s="552"/>
      <c r="C323" s="1822" t="s">
        <v>348</v>
      </c>
      <c r="D323" s="1822"/>
      <c r="E323" s="1822"/>
      <c r="F323" s="562" t="s">
        <v>315</v>
      </c>
      <c r="G323" s="562" t="s">
        <v>1324</v>
      </c>
      <c r="H323" s="562" t="s">
        <v>313</v>
      </c>
      <c r="I323" s="562" t="s">
        <v>3265</v>
      </c>
      <c r="J323" s="604"/>
      <c r="K323" s="562"/>
      <c r="L323" s="604"/>
      <c r="M323" s="603"/>
      <c r="N323" s="602"/>
      <c r="V323" s="674"/>
      <c r="W323" s="675"/>
      <c r="AA323" s="537" t="s">
        <v>348</v>
      </c>
      <c r="AC323" s="675"/>
      <c r="AE323" s="680"/>
      <c r="AF323" s="675"/>
      <c r="AG323" s="675"/>
      <c r="AI323" s="675"/>
    </row>
    <row r="324" spans="1:35" s="536" customFormat="1" ht="12" x14ac:dyDescent="0.2">
      <c r="A324" s="605"/>
      <c r="B324" s="552"/>
      <c r="C324" s="1828" t="s">
        <v>318</v>
      </c>
      <c r="D324" s="1828"/>
      <c r="E324" s="1828"/>
      <c r="F324" s="608"/>
      <c r="G324" s="608"/>
      <c r="H324" s="608"/>
      <c r="I324" s="608"/>
      <c r="J324" s="607">
        <v>11550.53</v>
      </c>
      <c r="K324" s="608"/>
      <c r="L324" s="607">
        <v>7342.21</v>
      </c>
      <c r="M324" s="601"/>
      <c r="N324" s="606"/>
      <c r="V324" s="674"/>
      <c r="W324" s="675"/>
      <c r="AB324" s="537" t="s">
        <v>318</v>
      </c>
      <c r="AC324" s="675"/>
      <c r="AE324" s="680"/>
      <c r="AF324" s="675"/>
      <c r="AG324" s="675"/>
      <c r="AI324" s="675"/>
    </row>
    <row r="325" spans="1:35" s="536" customFormat="1" ht="12" x14ac:dyDescent="0.2">
      <c r="A325" s="605"/>
      <c r="B325" s="552"/>
      <c r="C325" s="1822" t="s">
        <v>319</v>
      </c>
      <c r="D325" s="1822"/>
      <c r="E325" s="1822"/>
      <c r="F325" s="562"/>
      <c r="G325" s="562"/>
      <c r="H325" s="562"/>
      <c r="I325" s="562"/>
      <c r="J325" s="604"/>
      <c r="K325" s="562"/>
      <c r="L325" s="604">
        <v>914.51</v>
      </c>
      <c r="M325" s="603"/>
      <c r="N325" s="602"/>
      <c r="V325" s="674"/>
      <c r="W325" s="675"/>
      <c r="AA325" s="537" t="s">
        <v>319</v>
      </c>
      <c r="AC325" s="675"/>
      <c r="AE325" s="680"/>
      <c r="AF325" s="675"/>
      <c r="AG325" s="675"/>
      <c r="AI325" s="675"/>
    </row>
    <row r="326" spans="1:35" s="536" customFormat="1" ht="33.75" x14ac:dyDescent="0.2">
      <c r="A326" s="605"/>
      <c r="B326" s="552" t="s">
        <v>648</v>
      </c>
      <c r="C326" s="1822" t="s">
        <v>649</v>
      </c>
      <c r="D326" s="1822"/>
      <c r="E326" s="1822"/>
      <c r="F326" s="562" t="s">
        <v>322</v>
      </c>
      <c r="G326" s="562" t="s">
        <v>650</v>
      </c>
      <c r="H326" s="562"/>
      <c r="I326" s="562" t="s">
        <v>650</v>
      </c>
      <c r="J326" s="604"/>
      <c r="K326" s="562"/>
      <c r="L326" s="604">
        <v>850.49</v>
      </c>
      <c r="M326" s="603"/>
      <c r="N326" s="602"/>
      <c r="V326" s="674"/>
      <c r="W326" s="675"/>
      <c r="AA326" s="537" t="s">
        <v>649</v>
      </c>
      <c r="AC326" s="675"/>
      <c r="AE326" s="680"/>
      <c r="AF326" s="675"/>
      <c r="AG326" s="675"/>
      <c r="AI326" s="675"/>
    </row>
    <row r="327" spans="1:35" s="536" customFormat="1" ht="33.75" x14ac:dyDescent="0.2">
      <c r="A327" s="605"/>
      <c r="B327" s="552" t="s">
        <v>651</v>
      </c>
      <c r="C327" s="1822" t="s">
        <v>652</v>
      </c>
      <c r="D327" s="1822"/>
      <c r="E327" s="1822"/>
      <c r="F327" s="562" t="s">
        <v>322</v>
      </c>
      <c r="G327" s="562" t="s">
        <v>653</v>
      </c>
      <c r="H327" s="562"/>
      <c r="I327" s="562" t="s">
        <v>653</v>
      </c>
      <c r="J327" s="604"/>
      <c r="K327" s="562"/>
      <c r="L327" s="604">
        <v>567</v>
      </c>
      <c r="M327" s="603"/>
      <c r="N327" s="602"/>
      <c r="V327" s="674"/>
      <c r="W327" s="675"/>
      <c r="AA327" s="537" t="s">
        <v>652</v>
      </c>
      <c r="AC327" s="675"/>
      <c r="AE327" s="680"/>
      <c r="AF327" s="675"/>
      <c r="AG327" s="675"/>
      <c r="AI327" s="675"/>
    </row>
    <row r="328" spans="1:35" s="536" customFormat="1" ht="12" x14ac:dyDescent="0.2">
      <c r="A328" s="569"/>
      <c r="B328" s="671"/>
      <c r="C328" s="1823" t="s">
        <v>327</v>
      </c>
      <c r="D328" s="1823"/>
      <c r="E328" s="1823"/>
      <c r="F328" s="573"/>
      <c r="G328" s="573"/>
      <c r="H328" s="573"/>
      <c r="I328" s="573"/>
      <c r="J328" s="572"/>
      <c r="K328" s="573"/>
      <c r="L328" s="572">
        <v>8759.7000000000007</v>
      </c>
      <c r="M328" s="601"/>
      <c r="N328" s="570"/>
      <c r="V328" s="674"/>
      <c r="W328" s="675"/>
      <c r="AC328" s="675" t="s">
        <v>327</v>
      </c>
      <c r="AE328" s="680"/>
      <c r="AF328" s="675"/>
      <c r="AG328" s="675"/>
      <c r="AI328" s="675"/>
    </row>
    <row r="329" spans="1:35" s="536" customFormat="1" ht="33.75" x14ac:dyDescent="0.2">
      <c r="A329" s="575" t="s">
        <v>505</v>
      </c>
      <c r="B329" s="670" t="s">
        <v>1326</v>
      </c>
      <c r="C329" s="1823" t="s">
        <v>1327</v>
      </c>
      <c r="D329" s="1823"/>
      <c r="E329" s="1823"/>
      <c r="F329" s="573" t="s">
        <v>617</v>
      </c>
      <c r="G329" s="573"/>
      <c r="H329" s="573"/>
      <c r="I329" s="573" t="s">
        <v>3266</v>
      </c>
      <c r="J329" s="572">
        <v>1306.3699999999999</v>
      </c>
      <c r="K329" s="573" t="s">
        <v>716</v>
      </c>
      <c r="L329" s="572">
        <v>29468.75</v>
      </c>
      <c r="M329" s="571">
        <v>8.32</v>
      </c>
      <c r="N329" s="570">
        <v>245180</v>
      </c>
      <c r="V329" s="674"/>
      <c r="W329" s="675" t="s">
        <v>1327</v>
      </c>
      <c r="AC329" s="675"/>
      <c r="AE329" s="680"/>
      <c r="AF329" s="675"/>
      <c r="AG329" s="675"/>
      <c r="AI329" s="675"/>
    </row>
    <row r="330" spans="1:35" s="536" customFormat="1" ht="12" x14ac:dyDescent="0.2">
      <c r="A330" s="569"/>
      <c r="B330" s="671"/>
      <c r="C330" s="665" t="s">
        <v>1173</v>
      </c>
      <c r="D330" s="666"/>
      <c r="E330" s="666"/>
      <c r="F330" s="563"/>
      <c r="G330" s="563"/>
      <c r="H330" s="563"/>
      <c r="I330" s="563"/>
      <c r="J330" s="566"/>
      <c r="K330" s="563"/>
      <c r="L330" s="566"/>
      <c r="M330" s="565"/>
      <c r="N330" s="564"/>
      <c r="V330" s="674"/>
      <c r="W330" s="675"/>
      <c r="AC330" s="675"/>
      <c r="AE330" s="680"/>
      <c r="AF330" s="675"/>
      <c r="AG330" s="675"/>
      <c r="AI330" s="675"/>
    </row>
    <row r="331" spans="1:35" s="536" customFormat="1" ht="12" x14ac:dyDescent="0.2">
      <c r="A331" s="676"/>
      <c r="B331" s="664"/>
      <c r="C331" s="1822" t="s">
        <v>3267</v>
      </c>
      <c r="D331" s="1822"/>
      <c r="E331" s="1822"/>
      <c r="F331" s="1822"/>
      <c r="G331" s="1822"/>
      <c r="H331" s="1822"/>
      <c r="I331" s="1822"/>
      <c r="J331" s="1822"/>
      <c r="K331" s="1822"/>
      <c r="L331" s="1822"/>
      <c r="M331" s="1822"/>
      <c r="N331" s="1827"/>
      <c r="V331" s="674"/>
      <c r="W331" s="675"/>
      <c r="X331" s="537" t="s">
        <v>3267</v>
      </c>
      <c r="AC331" s="675"/>
      <c r="AE331" s="680"/>
      <c r="AF331" s="675"/>
      <c r="AG331" s="675"/>
      <c r="AI331" s="675"/>
    </row>
    <row r="332" spans="1:35" s="536" customFormat="1" ht="22.5" x14ac:dyDescent="0.2">
      <c r="A332" s="609"/>
      <c r="B332" s="552" t="s">
        <v>718</v>
      </c>
      <c r="C332" s="1822" t="s">
        <v>719</v>
      </c>
      <c r="D332" s="1822"/>
      <c r="E332" s="1822"/>
      <c r="F332" s="1822"/>
      <c r="G332" s="1822"/>
      <c r="H332" s="1822"/>
      <c r="I332" s="1822"/>
      <c r="J332" s="1822"/>
      <c r="K332" s="1822"/>
      <c r="L332" s="1822"/>
      <c r="M332" s="1822"/>
      <c r="N332" s="1827"/>
      <c r="V332" s="674"/>
      <c r="W332" s="675"/>
      <c r="Y332" s="537" t="s">
        <v>719</v>
      </c>
      <c r="AC332" s="675"/>
      <c r="AE332" s="680"/>
      <c r="AF332" s="675"/>
      <c r="AG332" s="675"/>
      <c r="AI332" s="675"/>
    </row>
    <row r="333" spans="1:35" s="536" customFormat="1" ht="33.75" x14ac:dyDescent="0.2">
      <c r="A333" s="575" t="s">
        <v>767</v>
      </c>
      <c r="B333" s="670" t="s">
        <v>1330</v>
      </c>
      <c r="C333" s="1823" t="s">
        <v>1331</v>
      </c>
      <c r="D333" s="1823"/>
      <c r="E333" s="1823"/>
      <c r="F333" s="573" t="s">
        <v>483</v>
      </c>
      <c r="G333" s="573"/>
      <c r="H333" s="573"/>
      <c r="I333" s="573" t="s">
        <v>2408</v>
      </c>
      <c r="J333" s="572">
        <v>115.06</v>
      </c>
      <c r="K333" s="573" t="s">
        <v>716</v>
      </c>
      <c r="L333" s="572">
        <v>1241.3499999999999</v>
      </c>
      <c r="M333" s="571">
        <v>8.32</v>
      </c>
      <c r="N333" s="570">
        <v>10328</v>
      </c>
      <c r="V333" s="674"/>
      <c r="W333" s="675" t="s">
        <v>1331</v>
      </c>
      <c r="AC333" s="675"/>
      <c r="AE333" s="680"/>
      <c r="AF333" s="675"/>
      <c r="AG333" s="675"/>
      <c r="AI333" s="675"/>
    </row>
    <row r="334" spans="1:35" s="536" customFormat="1" ht="12" x14ac:dyDescent="0.2">
      <c r="A334" s="569"/>
      <c r="B334" s="671"/>
      <c r="C334" s="665" t="s">
        <v>1173</v>
      </c>
      <c r="D334" s="666"/>
      <c r="E334" s="666"/>
      <c r="F334" s="563"/>
      <c r="G334" s="563"/>
      <c r="H334" s="563"/>
      <c r="I334" s="563"/>
      <c r="J334" s="566"/>
      <c r="K334" s="563"/>
      <c r="L334" s="566"/>
      <c r="M334" s="565"/>
      <c r="N334" s="564"/>
      <c r="V334" s="674"/>
      <c r="W334" s="675"/>
      <c r="AC334" s="675"/>
      <c r="AE334" s="680"/>
      <c r="AF334" s="675"/>
      <c r="AG334" s="675"/>
      <c r="AI334" s="675"/>
    </row>
    <row r="335" spans="1:35" s="536" customFormat="1" ht="22.5" x14ac:dyDescent="0.2">
      <c r="A335" s="609"/>
      <c r="B335" s="552" t="s">
        <v>718</v>
      </c>
      <c r="C335" s="1822" t="s">
        <v>719</v>
      </c>
      <c r="D335" s="1822"/>
      <c r="E335" s="1822"/>
      <c r="F335" s="1822"/>
      <c r="G335" s="1822"/>
      <c r="H335" s="1822"/>
      <c r="I335" s="1822"/>
      <c r="J335" s="1822"/>
      <c r="K335" s="1822"/>
      <c r="L335" s="1822"/>
      <c r="M335" s="1822"/>
      <c r="N335" s="1827"/>
      <c r="V335" s="674"/>
      <c r="W335" s="675"/>
      <c r="Y335" s="537" t="s">
        <v>719</v>
      </c>
      <c r="AC335" s="675"/>
      <c r="AE335" s="680"/>
      <c r="AF335" s="675"/>
      <c r="AG335" s="675"/>
      <c r="AI335" s="675"/>
    </row>
    <row r="336" spans="1:35" s="536" customFormat="1" ht="1.5" customHeight="1" x14ac:dyDescent="0.2">
      <c r="A336" s="563"/>
      <c r="B336" s="671"/>
      <c r="C336" s="671"/>
      <c r="D336" s="671"/>
      <c r="E336" s="671"/>
      <c r="F336" s="563"/>
      <c r="G336" s="563"/>
      <c r="H336" s="563"/>
      <c r="I336" s="563"/>
      <c r="J336" s="546"/>
      <c r="K336" s="563"/>
      <c r="L336" s="546"/>
      <c r="M336" s="562"/>
      <c r="N336" s="546"/>
      <c r="V336" s="674"/>
      <c r="W336" s="675"/>
      <c r="AC336" s="675"/>
      <c r="AE336" s="680"/>
      <c r="AF336" s="675"/>
      <c r="AG336" s="675"/>
      <c r="AI336" s="675"/>
    </row>
    <row r="337" spans="1:35" s="536" customFormat="1" ht="12" x14ac:dyDescent="0.2">
      <c r="A337" s="557"/>
      <c r="B337" s="556"/>
      <c r="C337" s="1823" t="s">
        <v>3268</v>
      </c>
      <c r="D337" s="1823"/>
      <c r="E337" s="1823"/>
      <c r="F337" s="1823"/>
      <c r="G337" s="1823"/>
      <c r="H337" s="1823"/>
      <c r="I337" s="1823"/>
      <c r="J337" s="1823"/>
      <c r="K337" s="1823"/>
      <c r="L337" s="555"/>
      <c r="M337" s="554"/>
      <c r="N337" s="553"/>
      <c r="V337" s="674"/>
      <c r="W337" s="675"/>
      <c r="AC337" s="675"/>
      <c r="AE337" s="680"/>
      <c r="AF337" s="675"/>
      <c r="AG337" s="675" t="s">
        <v>3268</v>
      </c>
      <c r="AI337" s="675"/>
    </row>
    <row r="338" spans="1:35" s="536" customFormat="1" ht="12" x14ac:dyDescent="0.2">
      <c r="A338" s="548"/>
      <c r="B338" s="552"/>
      <c r="C338" s="1822" t="s">
        <v>403</v>
      </c>
      <c r="D338" s="1822"/>
      <c r="E338" s="1822"/>
      <c r="F338" s="1822"/>
      <c r="G338" s="1822"/>
      <c r="H338" s="1822"/>
      <c r="I338" s="1822"/>
      <c r="J338" s="1822"/>
      <c r="K338" s="1822"/>
      <c r="L338" s="551">
        <v>72265.78</v>
      </c>
      <c r="M338" s="550"/>
      <c r="N338" s="549"/>
      <c r="V338" s="674"/>
      <c r="W338" s="675"/>
      <c r="AC338" s="675"/>
      <c r="AE338" s="680"/>
      <c r="AF338" s="675"/>
      <c r="AG338" s="675"/>
      <c r="AH338" s="537" t="s">
        <v>403</v>
      </c>
      <c r="AI338" s="675"/>
    </row>
    <row r="339" spans="1:35" s="536" customFormat="1" ht="12" x14ac:dyDescent="0.2">
      <c r="A339" s="548"/>
      <c r="B339" s="552"/>
      <c r="C339" s="1822" t="s">
        <v>204</v>
      </c>
      <c r="D339" s="1822"/>
      <c r="E339" s="1822"/>
      <c r="F339" s="1822"/>
      <c r="G339" s="1822"/>
      <c r="H339" s="1822"/>
      <c r="I339" s="1822"/>
      <c r="J339" s="1822"/>
      <c r="K339" s="1822"/>
      <c r="L339" s="551"/>
      <c r="M339" s="550"/>
      <c r="N339" s="549"/>
      <c r="V339" s="674"/>
      <c r="W339" s="675"/>
      <c r="AC339" s="675"/>
      <c r="AE339" s="680"/>
      <c r="AF339" s="675"/>
      <c r="AG339" s="675"/>
      <c r="AH339" s="537" t="s">
        <v>204</v>
      </c>
      <c r="AI339" s="675"/>
    </row>
    <row r="340" spans="1:35" s="536" customFormat="1" ht="12" x14ac:dyDescent="0.2">
      <c r="A340" s="548"/>
      <c r="B340" s="552"/>
      <c r="C340" s="1822" t="s">
        <v>404</v>
      </c>
      <c r="D340" s="1822"/>
      <c r="E340" s="1822"/>
      <c r="F340" s="1822"/>
      <c r="G340" s="1822"/>
      <c r="H340" s="1822"/>
      <c r="I340" s="1822"/>
      <c r="J340" s="1822"/>
      <c r="K340" s="1822"/>
      <c r="L340" s="551">
        <v>1999.1</v>
      </c>
      <c r="M340" s="550"/>
      <c r="N340" s="549"/>
      <c r="V340" s="674"/>
      <c r="W340" s="675"/>
      <c r="AC340" s="675"/>
      <c r="AE340" s="680"/>
      <c r="AF340" s="675"/>
      <c r="AG340" s="675"/>
      <c r="AH340" s="537" t="s">
        <v>404</v>
      </c>
      <c r="AI340" s="675"/>
    </row>
    <row r="341" spans="1:35" s="536" customFormat="1" ht="12" x14ac:dyDescent="0.2">
      <c r="A341" s="548"/>
      <c r="B341" s="552"/>
      <c r="C341" s="1822" t="s">
        <v>405</v>
      </c>
      <c r="D341" s="1822"/>
      <c r="E341" s="1822"/>
      <c r="F341" s="1822"/>
      <c r="G341" s="1822"/>
      <c r="H341" s="1822"/>
      <c r="I341" s="1822"/>
      <c r="J341" s="1822"/>
      <c r="K341" s="1822"/>
      <c r="L341" s="551">
        <v>6779.01</v>
      </c>
      <c r="M341" s="550"/>
      <c r="N341" s="549"/>
      <c r="V341" s="674"/>
      <c r="W341" s="675"/>
      <c r="AC341" s="675"/>
      <c r="AE341" s="680"/>
      <c r="AF341" s="675"/>
      <c r="AG341" s="675"/>
      <c r="AH341" s="537" t="s">
        <v>405</v>
      </c>
      <c r="AI341" s="675"/>
    </row>
    <row r="342" spans="1:35" s="536" customFormat="1" ht="12" x14ac:dyDescent="0.2">
      <c r="A342" s="548"/>
      <c r="B342" s="552"/>
      <c r="C342" s="1822" t="s">
        <v>406</v>
      </c>
      <c r="D342" s="1822"/>
      <c r="E342" s="1822"/>
      <c r="F342" s="1822"/>
      <c r="G342" s="1822"/>
      <c r="H342" s="1822"/>
      <c r="I342" s="1822"/>
      <c r="J342" s="1822"/>
      <c r="K342" s="1822"/>
      <c r="L342" s="551">
        <v>269.79000000000002</v>
      </c>
      <c r="M342" s="550"/>
      <c r="N342" s="549"/>
      <c r="V342" s="674"/>
      <c r="W342" s="675"/>
      <c r="AC342" s="675"/>
      <c r="AE342" s="680"/>
      <c r="AF342" s="675"/>
      <c r="AG342" s="675"/>
      <c r="AH342" s="537" t="s">
        <v>406</v>
      </c>
      <c r="AI342" s="675"/>
    </row>
    <row r="343" spans="1:35" s="536" customFormat="1" ht="12" x14ac:dyDescent="0.2">
      <c r="A343" s="548"/>
      <c r="B343" s="552"/>
      <c r="C343" s="1822" t="s">
        <v>480</v>
      </c>
      <c r="D343" s="1822"/>
      <c r="E343" s="1822"/>
      <c r="F343" s="1822"/>
      <c r="G343" s="1822"/>
      <c r="H343" s="1822"/>
      <c r="I343" s="1822"/>
      <c r="J343" s="1822"/>
      <c r="K343" s="1822"/>
      <c r="L343" s="551">
        <v>63487.67</v>
      </c>
      <c r="M343" s="550"/>
      <c r="N343" s="549"/>
      <c r="V343" s="674"/>
      <c r="W343" s="675"/>
      <c r="AC343" s="675"/>
      <c r="AE343" s="680"/>
      <c r="AF343" s="675"/>
      <c r="AG343" s="675"/>
      <c r="AH343" s="537" t="s">
        <v>480</v>
      </c>
      <c r="AI343" s="675"/>
    </row>
    <row r="344" spans="1:35" s="536" customFormat="1" ht="12" x14ac:dyDescent="0.2">
      <c r="A344" s="548"/>
      <c r="B344" s="552"/>
      <c r="C344" s="1822" t="s">
        <v>407</v>
      </c>
      <c r="D344" s="1822"/>
      <c r="E344" s="1822"/>
      <c r="F344" s="1822"/>
      <c r="G344" s="1822"/>
      <c r="H344" s="1822"/>
      <c r="I344" s="1822"/>
      <c r="J344" s="1822"/>
      <c r="K344" s="1822"/>
      <c r="L344" s="551">
        <v>75701.3</v>
      </c>
      <c r="M344" s="550"/>
      <c r="N344" s="549"/>
      <c r="V344" s="674"/>
      <c r="W344" s="675"/>
      <c r="AC344" s="675"/>
      <c r="AE344" s="680"/>
      <c r="AF344" s="675"/>
      <c r="AG344" s="675"/>
      <c r="AH344" s="537" t="s">
        <v>407</v>
      </c>
      <c r="AI344" s="675"/>
    </row>
    <row r="345" spans="1:35" s="536" customFormat="1" ht="12" x14ac:dyDescent="0.2">
      <c r="A345" s="548"/>
      <c r="B345" s="552"/>
      <c r="C345" s="1822" t="s">
        <v>204</v>
      </c>
      <c r="D345" s="1822"/>
      <c r="E345" s="1822"/>
      <c r="F345" s="1822"/>
      <c r="G345" s="1822"/>
      <c r="H345" s="1822"/>
      <c r="I345" s="1822"/>
      <c r="J345" s="1822"/>
      <c r="K345" s="1822"/>
      <c r="L345" s="551"/>
      <c r="M345" s="550"/>
      <c r="N345" s="549"/>
      <c r="V345" s="674"/>
      <c r="W345" s="675"/>
      <c r="AC345" s="675"/>
      <c r="AE345" s="680"/>
      <c r="AF345" s="675"/>
      <c r="AG345" s="675"/>
      <c r="AH345" s="537" t="s">
        <v>204</v>
      </c>
      <c r="AI345" s="675"/>
    </row>
    <row r="346" spans="1:35" s="536" customFormat="1" ht="12" x14ac:dyDescent="0.2">
      <c r="A346" s="548"/>
      <c r="B346" s="552"/>
      <c r="C346" s="1822" t="s">
        <v>546</v>
      </c>
      <c r="D346" s="1822"/>
      <c r="E346" s="1822"/>
      <c r="F346" s="1822"/>
      <c r="G346" s="1822"/>
      <c r="H346" s="1822"/>
      <c r="I346" s="1822"/>
      <c r="J346" s="1822"/>
      <c r="K346" s="1822"/>
      <c r="L346" s="551">
        <v>1999.1</v>
      </c>
      <c r="M346" s="550"/>
      <c r="N346" s="549"/>
      <c r="V346" s="674"/>
      <c r="W346" s="675"/>
      <c r="AC346" s="675"/>
      <c r="AE346" s="680"/>
      <c r="AF346" s="675"/>
      <c r="AG346" s="675"/>
      <c r="AH346" s="537" t="s">
        <v>546</v>
      </c>
      <c r="AI346" s="675"/>
    </row>
    <row r="347" spans="1:35" s="536" customFormat="1" ht="12" x14ac:dyDescent="0.2">
      <c r="A347" s="548"/>
      <c r="B347" s="552"/>
      <c r="C347" s="1822" t="s">
        <v>442</v>
      </c>
      <c r="D347" s="1822"/>
      <c r="E347" s="1822"/>
      <c r="F347" s="1822"/>
      <c r="G347" s="1822"/>
      <c r="H347" s="1822"/>
      <c r="I347" s="1822"/>
      <c r="J347" s="1822"/>
      <c r="K347" s="1822"/>
      <c r="L347" s="551">
        <v>6779.01</v>
      </c>
      <c r="M347" s="550"/>
      <c r="N347" s="549"/>
      <c r="V347" s="674"/>
      <c r="W347" s="675"/>
      <c r="AC347" s="675"/>
      <c r="AE347" s="680"/>
      <c r="AF347" s="675"/>
      <c r="AG347" s="675"/>
      <c r="AH347" s="537" t="s">
        <v>442</v>
      </c>
      <c r="AI347" s="675"/>
    </row>
    <row r="348" spans="1:35" s="536" customFormat="1" ht="12" x14ac:dyDescent="0.2">
      <c r="A348" s="548"/>
      <c r="B348" s="552"/>
      <c r="C348" s="1822" t="s">
        <v>547</v>
      </c>
      <c r="D348" s="1822"/>
      <c r="E348" s="1822"/>
      <c r="F348" s="1822"/>
      <c r="G348" s="1822"/>
      <c r="H348" s="1822"/>
      <c r="I348" s="1822"/>
      <c r="J348" s="1822"/>
      <c r="K348" s="1822"/>
      <c r="L348" s="551">
        <v>63487.67</v>
      </c>
      <c r="M348" s="550"/>
      <c r="N348" s="549"/>
      <c r="V348" s="674"/>
      <c r="W348" s="675"/>
      <c r="AC348" s="675"/>
      <c r="AE348" s="680"/>
      <c r="AF348" s="675"/>
      <c r="AG348" s="675"/>
      <c r="AH348" s="537" t="s">
        <v>547</v>
      </c>
      <c r="AI348" s="675"/>
    </row>
    <row r="349" spans="1:35" s="536" customFormat="1" ht="12" x14ac:dyDescent="0.2">
      <c r="A349" s="548"/>
      <c r="B349" s="552"/>
      <c r="C349" s="1822" t="s">
        <v>443</v>
      </c>
      <c r="D349" s="1822"/>
      <c r="E349" s="1822"/>
      <c r="F349" s="1822"/>
      <c r="G349" s="1822"/>
      <c r="H349" s="1822"/>
      <c r="I349" s="1822"/>
      <c r="J349" s="1822"/>
      <c r="K349" s="1822"/>
      <c r="L349" s="551">
        <v>2204.87</v>
      </c>
      <c r="M349" s="550"/>
      <c r="N349" s="549"/>
      <c r="V349" s="674"/>
      <c r="W349" s="675"/>
      <c r="AC349" s="675"/>
      <c r="AE349" s="680"/>
      <c r="AF349" s="675"/>
      <c r="AG349" s="675"/>
      <c r="AH349" s="537" t="s">
        <v>443</v>
      </c>
      <c r="AI349" s="675"/>
    </row>
    <row r="350" spans="1:35" s="536" customFormat="1" ht="12" x14ac:dyDescent="0.2">
      <c r="A350" s="548"/>
      <c r="B350" s="552"/>
      <c r="C350" s="1822" t="s">
        <v>444</v>
      </c>
      <c r="D350" s="1822"/>
      <c r="E350" s="1822"/>
      <c r="F350" s="1822"/>
      <c r="G350" s="1822"/>
      <c r="H350" s="1822"/>
      <c r="I350" s="1822"/>
      <c r="J350" s="1822"/>
      <c r="K350" s="1822"/>
      <c r="L350" s="551">
        <v>1230.6500000000001</v>
      </c>
      <c r="M350" s="550"/>
      <c r="N350" s="549"/>
      <c r="V350" s="674"/>
      <c r="W350" s="675"/>
      <c r="AC350" s="675"/>
      <c r="AE350" s="680"/>
      <c r="AF350" s="675"/>
      <c r="AG350" s="675"/>
      <c r="AH350" s="537" t="s">
        <v>444</v>
      </c>
      <c r="AI350" s="675"/>
    </row>
    <row r="351" spans="1:35" s="536" customFormat="1" ht="12" x14ac:dyDescent="0.2">
      <c r="A351" s="548"/>
      <c r="B351" s="552"/>
      <c r="C351" s="1822" t="s">
        <v>415</v>
      </c>
      <c r="D351" s="1822"/>
      <c r="E351" s="1822"/>
      <c r="F351" s="1822"/>
      <c r="G351" s="1822"/>
      <c r="H351" s="1822"/>
      <c r="I351" s="1822"/>
      <c r="J351" s="1822"/>
      <c r="K351" s="1822"/>
      <c r="L351" s="551">
        <v>2268.89</v>
      </c>
      <c r="M351" s="550"/>
      <c r="N351" s="549"/>
      <c r="V351" s="674"/>
      <c r="W351" s="675"/>
      <c r="AC351" s="675"/>
      <c r="AE351" s="680"/>
      <c r="AF351" s="675"/>
      <c r="AG351" s="675"/>
      <c r="AH351" s="537" t="s">
        <v>415</v>
      </c>
      <c r="AI351" s="675"/>
    </row>
    <row r="352" spans="1:35" s="536" customFormat="1" ht="12" x14ac:dyDescent="0.2">
      <c r="A352" s="548"/>
      <c r="B352" s="552"/>
      <c r="C352" s="1822" t="s">
        <v>416</v>
      </c>
      <c r="D352" s="1822"/>
      <c r="E352" s="1822"/>
      <c r="F352" s="1822"/>
      <c r="G352" s="1822"/>
      <c r="H352" s="1822"/>
      <c r="I352" s="1822"/>
      <c r="J352" s="1822"/>
      <c r="K352" s="1822"/>
      <c r="L352" s="551">
        <v>2204.87</v>
      </c>
      <c r="M352" s="550"/>
      <c r="N352" s="549"/>
      <c r="V352" s="674"/>
      <c r="W352" s="675"/>
      <c r="AC352" s="675"/>
      <c r="AE352" s="680"/>
      <c r="AF352" s="675"/>
      <c r="AG352" s="675"/>
      <c r="AH352" s="537" t="s">
        <v>416</v>
      </c>
      <c r="AI352" s="675"/>
    </row>
    <row r="353" spans="1:35" s="536" customFormat="1" ht="12" x14ac:dyDescent="0.2">
      <c r="A353" s="548"/>
      <c r="B353" s="552"/>
      <c r="C353" s="1822" t="s">
        <v>417</v>
      </c>
      <c r="D353" s="1822"/>
      <c r="E353" s="1822"/>
      <c r="F353" s="1822"/>
      <c r="G353" s="1822"/>
      <c r="H353" s="1822"/>
      <c r="I353" s="1822"/>
      <c r="J353" s="1822"/>
      <c r="K353" s="1822"/>
      <c r="L353" s="551">
        <v>1230.6500000000001</v>
      </c>
      <c r="M353" s="550"/>
      <c r="N353" s="549"/>
      <c r="V353" s="674"/>
      <c r="W353" s="675"/>
      <c r="AC353" s="675"/>
      <c r="AE353" s="680"/>
      <c r="AF353" s="675"/>
      <c r="AG353" s="675"/>
      <c r="AH353" s="537" t="s">
        <v>417</v>
      </c>
      <c r="AI353" s="675"/>
    </row>
    <row r="354" spans="1:35" s="536" customFormat="1" ht="12" x14ac:dyDescent="0.2">
      <c r="A354" s="548"/>
      <c r="B354" s="546"/>
      <c r="C354" s="1819" t="s">
        <v>3269</v>
      </c>
      <c r="D354" s="1819"/>
      <c r="E354" s="1819"/>
      <c r="F354" s="1819"/>
      <c r="G354" s="1819"/>
      <c r="H354" s="1819"/>
      <c r="I354" s="1819"/>
      <c r="J354" s="1819"/>
      <c r="K354" s="1819"/>
      <c r="L354" s="544">
        <v>75701.3</v>
      </c>
      <c r="M354" s="543"/>
      <c r="N354" s="681"/>
      <c r="V354" s="674"/>
      <c r="W354" s="675"/>
      <c r="AC354" s="675"/>
      <c r="AE354" s="680"/>
      <c r="AF354" s="675"/>
      <c r="AG354" s="675"/>
      <c r="AI354" s="675" t="s">
        <v>3269</v>
      </c>
    </row>
    <row r="355" spans="1:35" s="536" customFormat="1" ht="12" x14ac:dyDescent="0.2">
      <c r="A355" s="548"/>
      <c r="B355" s="552"/>
      <c r="C355" s="1822" t="s">
        <v>204</v>
      </c>
      <c r="D355" s="1822"/>
      <c r="E355" s="1822"/>
      <c r="F355" s="1822"/>
      <c r="G355" s="1822"/>
      <c r="H355" s="1822"/>
      <c r="I355" s="1822"/>
      <c r="J355" s="1822"/>
      <c r="K355" s="1822"/>
      <c r="L355" s="551"/>
      <c r="M355" s="550"/>
      <c r="N355" s="549"/>
      <c r="V355" s="674"/>
      <c r="W355" s="675"/>
      <c r="AC355" s="675"/>
      <c r="AE355" s="680"/>
      <c r="AF355" s="675"/>
      <c r="AG355" s="675"/>
      <c r="AH355" s="537" t="s">
        <v>204</v>
      </c>
      <c r="AI355" s="675"/>
    </row>
    <row r="356" spans="1:35" s="536" customFormat="1" ht="12" x14ac:dyDescent="0.2">
      <c r="A356" s="548"/>
      <c r="B356" s="552"/>
      <c r="C356" s="1822" t="s">
        <v>8095</v>
      </c>
      <c r="D356" s="1822"/>
      <c r="E356" s="1822"/>
      <c r="F356" s="1822"/>
      <c r="G356" s="1822"/>
      <c r="H356" s="1822"/>
      <c r="I356" s="1822"/>
      <c r="J356" s="1822"/>
      <c r="K356" s="1822"/>
      <c r="L356" s="551">
        <v>30710.1</v>
      </c>
      <c r="M356" s="550"/>
      <c r="N356" s="549"/>
      <c r="V356" s="674"/>
      <c r="W356" s="675"/>
      <c r="AC356" s="675"/>
      <c r="AE356" s="680"/>
      <c r="AF356" s="675"/>
      <c r="AG356" s="675"/>
      <c r="AH356" s="537" t="s">
        <v>8095</v>
      </c>
      <c r="AI356" s="675"/>
    </row>
    <row r="357" spans="1:35" s="536" customFormat="1" ht="12" x14ac:dyDescent="0.2">
      <c r="A357" s="1824" t="s">
        <v>1614</v>
      </c>
      <c r="B357" s="1825"/>
      <c r="C357" s="1825"/>
      <c r="D357" s="1825"/>
      <c r="E357" s="1825"/>
      <c r="F357" s="1825"/>
      <c r="G357" s="1825"/>
      <c r="H357" s="1825"/>
      <c r="I357" s="1825"/>
      <c r="J357" s="1825"/>
      <c r="K357" s="1825"/>
      <c r="L357" s="1825"/>
      <c r="M357" s="1825"/>
      <c r="N357" s="1826"/>
      <c r="V357" s="674" t="s">
        <v>1614</v>
      </c>
      <c r="W357" s="675"/>
      <c r="AC357" s="675"/>
      <c r="AE357" s="680"/>
      <c r="AF357" s="675"/>
      <c r="AG357" s="675"/>
      <c r="AI357" s="675"/>
    </row>
    <row r="358" spans="1:35" s="536" customFormat="1" ht="78.75" x14ac:dyDescent="0.2">
      <c r="A358" s="575" t="s">
        <v>768</v>
      </c>
      <c r="B358" s="670" t="s">
        <v>1135</v>
      </c>
      <c r="C358" s="1823" t="s">
        <v>1337</v>
      </c>
      <c r="D358" s="1823"/>
      <c r="E358" s="1823"/>
      <c r="F358" s="573" t="s">
        <v>201</v>
      </c>
      <c r="G358" s="573"/>
      <c r="H358" s="573"/>
      <c r="I358" s="573" t="s">
        <v>3191</v>
      </c>
      <c r="J358" s="572">
        <v>76.88</v>
      </c>
      <c r="K358" s="573"/>
      <c r="L358" s="572">
        <v>95.33</v>
      </c>
      <c r="M358" s="571"/>
      <c r="N358" s="570"/>
      <c r="V358" s="674"/>
      <c r="W358" s="675" t="s">
        <v>1337</v>
      </c>
      <c r="AC358" s="675"/>
      <c r="AE358" s="680"/>
      <c r="AF358" s="675"/>
      <c r="AG358" s="675"/>
      <c r="AI358" s="675"/>
    </row>
    <row r="359" spans="1:35" s="536" customFormat="1" ht="12" x14ac:dyDescent="0.2">
      <c r="A359" s="569"/>
      <c r="B359" s="671"/>
      <c r="C359" s="665" t="s">
        <v>717</v>
      </c>
      <c r="D359" s="666"/>
      <c r="E359" s="666"/>
      <c r="F359" s="563"/>
      <c r="G359" s="563"/>
      <c r="H359" s="563"/>
      <c r="I359" s="563"/>
      <c r="J359" s="566"/>
      <c r="K359" s="563"/>
      <c r="L359" s="566"/>
      <c r="M359" s="565"/>
      <c r="N359" s="564"/>
      <c r="V359" s="674"/>
      <c r="W359" s="675"/>
      <c r="AC359" s="675"/>
      <c r="AE359" s="680"/>
      <c r="AF359" s="675"/>
      <c r="AG359" s="675"/>
      <c r="AI359" s="675"/>
    </row>
    <row r="360" spans="1:35" s="536" customFormat="1" ht="90" x14ac:dyDescent="0.2">
      <c r="A360" s="575" t="s">
        <v>769</v>
      </c>
      <c r="B360" s="670" t="s">
        <v>1338</v>
      </c>
      <c r="C360" s="1823" t="s">
        <v>3270</v>
      </c>
      <c r="D360" s="1823"/>
      <c r="E360" s="1823"/>
      <c r="F360" s="573" t="s">
        <v>201</v>
      </c>
      <c r="G360" s="573"/>
      <c r="H360" s="573"/>
      <c r="I360" s="573" t="s">
        <v>3271</v>
      </c>
      <c r="J360" s="572">
        <v>90.45</v>
      </c>
      <c r="K360" s="573"/>
      <c r="L360" s="572">
        <v>90.54</v>
      </c>
      <c r="M360" s="571"/>
      <c r="N360" s="570"/>
      <c r="V360" s="674"/>
      <c r="W360" s="675" t="s">
        <v>3270</v>
      </c>
      <c r="AC360" s="675"/>
      <c r="AE360" s="680"/>
      <c r="AF360" s="675"/>
      <c r="AG360" s="675"/>
      <c r="AI360" s="675"/>
    </row>
    <row r="361" spans="1:35" s="536" customFormat="1" ht="12" x14ac:dyDescent="0.2">
      <c r="A361" s="569"/>
      <c r="B361" s="671"/>
      <c r="C361" s="665" t="s">
        <v>717</v>
      </c>
      <c r="D361" s="666"/>
      <c r="E361" s="666"/>
      <c r="F361" s="563"/>
      <c r="G361" s="563"/>
      <c r="H361" s="563"/>
      <c r="I361" s="563"/>
      <c r="J361" s="566"/>
      <c r="K361" s="563"/>
      <c r="L361" s="566"/>
      <c r="M361" s="565"/>
      <c r="N361" s="564"/>
      <c r="V361" s="674"/>
      <c r="W361" s="675"/>
      <c r="AC361" s="675"/>
      <c r="AE361" s="680"/>
      <c r="AF361" s="675"/>
      <c r="AG361" s="675"/>
      <c r="AI361" s="675"/>
    </row>
    <row r="362" spans="1:35" s="536" customFormat="1" ht="12" x14ac:dyDescent="0.2">
      <c r="A362" s="676"/>
      <c r="B362" s="664"/>
      <c r="C362" s="1822" t="s">
        <v>3272</v>
      </c>
      <c r="D362" s="1822"/>
      <c r="E362" s="1822"/>
      <c r="F362" s="1822"/>
      <c r="G362" s="1822"/>
      <c r="H362" s="1822"/>
      <c r="I362" s="1822"/>
      <c r="J362" s="1822"/>
      <c r="K362" s="1822"/>
      <c r="L362" s="1822"/>
      <c r="M362" s="1822"/>
      <c r="N362" s="1827"/>
      <c r="V362" s="674"/>
      <c r="W362" s="675"/>
      <c r="X362" s="537" t="s">
        <v>3272</v>
      </c>
      <c r="AC362" s="675"/>
      <c r="AE362" s="680"/>
      <c r="AF362" s="675"/>
      <c r="AG362" s="675"/>
      <c r="AI362" s="675"/>
    </row>
    <row r="363" spans="1:35" s="536" customFormat="1" ht="1.5" customHeight="1" x14ac:dyDescent="0.2">
      <c r="A363" s="563"/>
      <c r="B363" s="671"/>
      <c r="C363" s="671"/>
      <c r="D363" s="671"/>
      <c r="E363" s="671"/>
      <c r="F363" s="563"/>
      <c r="G363" s="563"/>
      <c r="H363" s="563"/>
      <c r="I363" s="563"/>
      <c r="J363" s="546"/>
      <c r="K363" s="563"/>
      <c r="L363" s="546"/>
      <c r="M363" s="562"/>
      <c r="N363" s="546"/>
      <c r="V363" s="674"/>
      <c r="W363" s="675"/>
      <c r="AC363" s="675"/>
      <c r="AE363" s="680"/>
      <c r="AF363" s="675"/>
      <c r="AG363" s="675"/>
      <c r="AI363" s="675"/>
    </row>
    <row r="364" spans="1:35" s="536" customFormat="1" ht="22.5" x14ac:dyDescent="0.2">
      <c r="A364" s="557"/>
      <c r="B364" s="556"/>
      <c r="C364" s="1823" t="s">
        <v>1620</v>
      </c>
      <c r="D364" s="1823"/>
      <c r="E364" s="1823"/>
      <c r="F364" s="1823"/>
      <c r="G364" s="1823"/>
      <c r="H364" s="1823"/>
      <c r="I364" s="1823"/>
      <c r="J364" s="1823"/>
      <c r="K364" s="1823"/>
      <c r="L364" s="555"/>
      <c r="M364" s="554"/>
      <c r="N364" s="553"/>
      <c r="V364" s="674"/>
      <c r="W364" s="675"/>
      <c r="AC364" s="675"/>
      <c r="AE364" s="680"/>
      <c r="AF364" s="675"/>
      <c r="AG364" s="675" t="s">
        <v>1620</v>
      </c>
      <c r="AI364" s="675"/>
    </row>
    <row r="365" spans="1:35" s="536" customFormat="1" ht="12" x14ac:dyDescent="0.2">
      <c r="A365" s="548"/>
      <c r="B365" s="552"/>
      <c r="C365" s="1822" t="s">
        <v>403</v>
      </c>
      <c r="D365" s="1822"/>
      <c r="E365" s="1822"/>
      <c r="F365" s="1822"/>
      <c r="G365" s="1822"/>
      <c r="H365" s="1822"/>
      <c r="I365" s="1822"/>
      <c r="J365" s="1822"/>
      <c r="K365" s="1822"/>
      <c r="L365" s="551">
        <v>185.87</v>
      </c>
      <c r="M365" s="550"/>
      <c r="N365" s="549"/>
      <c r="V365" s="674"/>
      <c r="W365" s="675"/>
      <c r="AC365" s="675"/>
      <c r="AE365" s="680"/>
      <c r="AF365" s="675"/>
      <c r="AG365" s="675"/>
      <c r="AH365" s="537" t="s">
        <v>403</v>
      </c>
      <c r="AI365" s="675"/>
    </row>
    <row r="366" spans="1:35" s="536" customFormat="1" ht="12" x14ac:dyDescent="0.2">
      <c r="A366" s="548"/>
      <c r="B366" s="552"/>
      <c r="C366" s="1822" t="s">
        <v>204</v>
      </c>
      <c r="D366" s="1822"/>
      <c r="E366" s="1822"/>
      <c r="F366" s="1822"/>
      <c r="G366" s="1822"/>
      <c r="H366" s="1822"/>
      <c r="I366" s="1822"/>
      <c r="J366" s="1822"/>
      <c r="K366" s="1822"/>
      <c r="L366" s="551"/>
      <c r="M366" s="550"/>
      <c r="N366" s="549"/>
      <c r="V366" s="674"/>
      <c r="W366" s="675"/>
      <c r="AC366" s="675"/>
      <c r="AE366" s="680"/>
      <c r="AF366" s="675"/>
      <c r="AG366" s="675"/>
      <c r="AH366" s="537" t="s">
        <v>204</v>
      </c>
      <c r="AI366" s="675"/>
    </row>
    <row r="367" spans="1:35" s="536" customFormat="1" ht="12" x14ac:dyDescent="0.2">
      <c r="A367" s="548"/>
      <c r="B367" s="552"/>
      <c r="C367" s="1822" t="s">
        <v>480</v>
      </c>
      <c r="D367" s="1822"/>
      <c r="E367" s="1822"/>
      <c r="F367" s="1822"/>
      <c r="G367" s="1822"/>
      <c r="H367" s="1822"/>
      <c r="I367" s="1822"/>
      <c r="J367" s="1822"/>
      <c r="K367" s="1822"/>
      <c r="L367" s="551">
        <v>185.87</v>
      </c>
      <c r="M367" s="550"/>
      <c r="N367" s="549"/>
      <c r="V367" s="674"/>
      <c r="W367" s="675"/>
      <c r="AC367" s="675"/>
      <c r="AE367" s="680"/>
      <c r="AF367" s="675"/>
      <c r="AG367" s="675"/>
      <c r="AH367" s="537" t="s">
        <v>480</v>
      </c>
      <c r="AI367" s="675"/>
    </row>
    <row r="368" spans="1:35" s="536" customFormat="1" ht="12" x14ac:dyDescent="0.2">
      <c r="A368" s="548"/>
      <c r="B368" s="552"/>
      <c r="C368" s="1822" t="s">
        <v>407</v>
      </c>
      <c r="D368" s="1822"/>
      <c r="E368" s="1822"/>
      <c r="F368" s="1822"/>
      <c r="G368" s="1822"/>
      <c r="H368" s="1822"/>
      <c r="I368" s="1822"/>
      <c r="J368" s="1822"/>
      <c r="K368" s="1822"/>
      <c r="L368" s="551">
        <v>185.87</v>
      </c>
      <c r="M368" s="550"/>
      <c r="N368" s="549"/>
      <c r="V368" s="674"/>
      <c r="W368" s="675"/>
      <c r="AC368" s="675"/>
      <c r="AE368" s="680"/>
      <c r="AF368" s="675"/>
      <c r="AG368" s="675"/>
      <c r="AH368" s="537" t="s">
        <v>407</v>
      </c>
      <c r="AI368" s="675"/>
    </row>
    <row r="369" spans="1:37" s="536" customFormat="1" ht="12" x14ac:dyDescent="0.2">
      <c r="A369" s="548"/>
      <c r="B369" s="552"/>
      <c r="C369" s="1822" t="s">
        <v>204</v>
      </c>
      <c r="D369" s="1822"/>
      <c r="E369" s="1822"/>
      <c r="F369" s="1822"/>
      <c r="G369" s="1822"/>
      <c r="H369" s="1822"/>
      <c r="I369" s="1822"/>
      <c r="J369" s="1822"/>
      <c r="K369" s="1822"/>
      <c r="L369" s="551"/>
      <c r="M369" s="550"/>
      <c r="N369" s="549"/>
      <c r="V369" s="674"/>
      <c r="W369" s="675"/>
      <c r="AC369" s="675"/>
      <c r="AE369" s="680"/>
      <c r="AF369" s="675"/>
      <c r="AG369" s="675"/>
      <c r="AH369" s="537" t="s">
        <v>204</v>
      </c>
      <c r="AI369" s="675"/>
    </row>
    <row r="370" spans="1:37" s="536" customFormat="1" ht="12" x14ac:dyDescent="0.2">
      <c r="A370" s="548"/>
      <c r="B370" s="552"/>
      <c r="C370" s="1822" t="s">
        <v>547</v>
      </c>
      <c r="D370" s="1822"/>
      <c r="E370" s="1822"/>
      <c r="F370" s="1822"/>
      <c r="G370" s="1822"/>
      <c r="H370" s="1822"/>
      <c r="I370" s="1822"/>
      <c r="J370" s="1822"/>
      <c r="K370" s="1822"/>
      <c r="L370" s="551">
        <v>185.87</v>
      </c>
      <c r="M370" s="550"/>
      <c r="N370" s="549"/>
      <c r="V370" s="674"/>
      <c r="W370" s="675"/>
      <c r="AC370" s="675"/>
      <c r="AE370" s="680"/>
      <c r="AF370" s="675"/>
      <c r="AG370" s="675"/>
      <c r="AH370" s="537" t="s">
        <v>547</v>
      </c>
      <c r="AI370" s="675"/>
    </row>
    <row r="371" spans="1:37" s="536" customFormat="1" ht="22.5" x14ac:dyDescent="0.2">
      <c r="A371" s="548"/>
      <c r="B371" s="546"/>
      <c r="C371" s="1819" t="s">
        <v>1621</v>
      </c>
      <c r="D371" s="1819"/>
      <c r="E371" s="1819"/>
      <c r="F371" s="1819"/>
      <c r="G371" s="1819"/>
      <c r="H371" s="1819"/>
      <c r="I371" s="1819"/>
      <c r="J371" s="1819"/>
      <c r="K371" s="1819"/>
      <c r="L371" s="544">
        <v>185.87</v>
      </c>
      <c r="M371" s="543"/>
      <c r="N371" s="681"/>
      <c r="V371" s="674"/>
      <c r="W371" s="675"/>
      <c r="AC371" s="675"/>
      <c r="AE371" s="680"/>
      <c r="AF371" s="675"/>
      <c r="AG371" s="675"/>
      <c r="AI371" s="675" t="s">
        <v>1621</v>
      </c>
    </row>
    <row r="372" spans="1:37" s="536" customFormat="1" ht="2.25" customHeight="1" x14ac:dyDescent="0.2">
      <c r="B372" s="561"/>
      <c r="C372" s="561"/>
      <c r="D372" s="561"/>
      <c r="E372" s="561"/>
      <c r="F372" s="561"/>
      <c r="G372" s="561"/>
      <c r="H372" s="561"/>
      <c r="I372" s="561"/>
      <c r="J372" s="561"/>
      <c r="K372" s="561"/>
      <c r="L372" s="560"/>
      <c r="M372" s="559"/>
      <c r="N372" s="558"/>
    </row>
    <row r="373" spans="1:37" s="536" customFormat="1" x14ac:dyDescent="0.2">
      <c r="A373" s="557"/>
      <c r="B373" s="556"/>
      <c r="C373" s="1823" t="s">
        <v>205</v>
      </c>
      <c r="D373" s="1823"/>
      <c r="E373" s="1823"/>
      <c r="F373" s="1823"/>
      <c r="G373" s="1823"/>
      <c r="H373" s="1823"/>
      <c r="I373" s="1823"/>
      <c r="J373" s="1823"/>
      <c r="K373" s="1823"/>
      <c r="L373" s="555"/>
      <c r="M373" s="554"/>
      <c r="N373" s="553"/>
      <c r="AJ373" s="675" t="s">
        <v>205</v>
      </c>
    </row>
    <row r="374" spans="1:37" s="536" customFormat="1" x14ac:dyDescent="0.2">
      <c r="A374" s="548"/>
      <c r="B374" s="552"/>
      <c r="C374" s="1822" t="s">
        <v>403</v>
      </c>
      <c r="D374" s="1822"/>
      <c r="E374" s="1822"/>
      <c r="F374" s="1822"/>
      <c r="G374" s="1822"/>
      <c r="H374" s="1822"/>
      <c r="I374" s="1822"/>
      <c r="J374" s="1822"/>
      <c r="K374" s="1822"/>
      <c r="L374" s="551">
        <v>132848.54999999999</v>
      </c>
      <c r="M374" s="550"/>
      <c r="N374" s="549"/>
      <c r="AJ374" s="675"/>
      <c r="AK374" s="537" t="s">
        <v>403</v>
      </c>
    </row>
    <row r="375" spans="1:37" s="536" customFormat="1" x14ac:dyDescent="0.2">
      <c r="A375" s="548"/>
      <c r="B375" s="552"/>
      <c r="C375" s="1822" t="s">
        <v>204</v>
      </c>
      <c r="D375" s="1822"/>
      <c r="E375" s="1822"/>
      <c r="F375" s="1822"/>
      <c r="G375" s="1822"/>
      <c r="H375" s="1822"/>
      <c r="I375" s="1822"/>
      <c r="J375" s="1822"/>
      <c r="K375" s="1822"/>
      <c r="L375" s="551"/>
      <c r="M375" s="550"/>
      <c r="N375" s="549"/>
      <c r="AJ375" s="675"/>
      <c r="AK375" s="537" t="s">
        <v>204</v>
      </c>
    </row>
    <row r="376" spans="1:37" s="536" customFormat="1" x14ac:dyDescent="0.2">
      <c r="A376" s="548"/>
      <c r="B376" s="552"/>
      <c r="C376" s="1822" t="s">
        <v>404</v>
      </c>
      <c r="D376" s="1822"/>
      <c r="E376" s="1822"/>
      <c r="F376" s="1822"/>
      <c r="G376" s="1822"/>
      <c r="H376" s="1822"/>
      <c r="I376" s="1822"/>
      <c r="J376" s="1822"/>
      <c r="K376" s="1822"/>
      <c r="L376" s="551">
        <v>6353.65</v>
      </c>
      <c r="M376" s="550"/>
      <c r="N376" s="549"/>
      <c r="AJ376" s="675"/>
      <c r="AK376" s="537" t="s">
        <v>404</v>
      </c>
    </row>
    <row r="377" spans="1:37" s="536" customFormat="1" x14ac:dyDescent="0.2">
      <c r="A377" s="548"/>
      <c r="B377" s="552"/>
      <c r="C377" s="1822" t="s">
        <v>405</v>
      </c>
      <c r="D377" s="1822"/>
      <c r="E377" s="1822"/>
      <c r="F377" s="1822"/>
      <c r="G377" s="1822"/>
      <c r="H377" s="1822"/>
      <c r="I377" s="1822"/>
      <c r="J377" s="1822"/>
      <c r="K377" s="1822"/>
      <c r="L377" s="551">
        <v>7386.28</v>
      </c>
      <c r="M377" s="550"/>
      <c r="N377" s="549"/>
      <c r="AJ377" s="675"/>
      <c r="AK377" s="537" t="s">
        <v>405</v>
      </c>
    </row>
    <row r="378" spans="1:37" s="536" customFormat="1" x14ac:dyDescent="0.2">
      <c r="A378" s="548"/>
      <c r="B378" s="552"/>
      <c r="C378" s="1822" t="s">
        <v>406</v>
      </c>
      <c r="D378" s="1822"/>
      <c r="E378" s="1822"/>
      <c r="F378" s="1822"/>
      <c r="G378" s="1822"/>
      <c r="H378" s="1822"/>
      <c r="I378" s="1822"/>
      <c r="J378" s="1822"/>
      <c r="K378" s="1822"/>
      <c r="L378" s="551">
        <v>377.3</v>
      </c>
      <c r="M378" s="550"/>
      <c r="N378" s="549"/>
      <c r="AJ378" s="675"/>
      <c r="AK378" s="537" t="s">
        <v>406</v>
      </c>
    </row>
    <row r="379" spans="1:37" s="536" customFormat="1" x14ac:dyDescent="0.2">
      <c r="A379" s="548"/>
      <c r="B379" s="552"/>
      <c r="C379" s="1822" t="s">
        <v>480</v>
      </c>
      <c r="D379" s="1822"/>
      <c r="E379" s="1822"/>
      <c r="F379" s="1822"/>
      <c r="G379" s="1822"/>
      <c r="H379" s="1822"/>
      <c r="I379" s="1822"/>
      <c r="J379" s="1822"/>
      <c r="K379" s="1822"/>
      <c r="L379" s="551">
        <v>119108.62</v>
      </c>
      <c r="M379" s="550"/>
      <c r="N379" s="549"/>
      <c r="AJ379" s="675"/>
      <c r="AK379" s="537" t="s">
        <v>480</v>
      </c>
    </row>
    <row r="380" spans="1:37" s="536" customFormat="1" x14ac:dyDescent="0.2">
      <c r="A380" s="548"/>
      <c r="B380" s="552" t="s">
        <v>185</v>
      </c>
      <c r="C380" s="1822" t="s">
        <v>407</v>
      </c>
      <c r="D380" s="1822"/>
      <c r="E380" s="1822"/>
      <c r="F380" s="1822"/>
      <c r="G380" s="1822"/>
      <c r="H380" s="1822"/>
      <c r="I380" s="1822"/>
      <c r="J380" s="1822"/>
      <c r="K380" s="1822"/>
      <c r="L380" s="551">
        <v>143952.69</v>
      </c>
      <c r="M380" s="550">
        <v>8.32</v>
      </c>
      <c r="N380" s="549">
        <v>1197686</v>
      </c>
      <c r="AJ380" s="675"/>
      <c r="AK380" s="537" t="s">
        <v>407</v>
      </c>
    </row>
    <row r="381" spans="1:37" s="536" customFormat="1" x14ac:dyDescent="0.2">
      <c r="A381" s="548"/>
      <c r="B381" s="552"/>
      <c r="C381" s="1822" t="s">
        <v>204</v>
      </c>
      <c r="D381" s="1822"/>
      <c r="E381" s="1822"/>
      <c r="F381" s="1822"/>
      <c r="G381" s="1822"/>
      <c r="H381" s="1822"/>
      <c r="I381" s="1822"/>
      <c r="J381" s="1822"/>
      <c r="K381" s="1822"/>
      <c r="L381" s="551"/>
      <c r="M381" s="550"/>
      <c r="N381" s="549"/>
      <c r="AJ381" s="675"/>
      <c r="AK381" s="537" t="s">
        <v>204</v>
      </c>
    </row>
    <row r="382" spans="1:37" s="536" customFormat="1" x14ac:dyDescent="0.2">
      <c r="A382" s="548"/>
      <c r="B382" s="552"/>
      <c r="C382" s="1822" t="s">
        <v>546</v>
      </c>
      <c r="D382" s="1822"/>
      <c r="E382" s="1822"/>
      <c r="F382" s="1822"/>
      <c r="G382" s="1822"/>
      <c r="H382" s="1822"/>
      <c r="I382" s="1822"/>
      <c r="J382" s="1822"/>
      <c r="K382" s="1822"/>
      <c r="L382" s="551">
        <v>6353.65</v>
      </c>
      <c r="M382" s="550"/>
      <c r="N382" s="549"/>
      <c r="AJ382" s="675"/>
      <c r="AK382" s="537" t="s">
        <v>546</v>
      </c>
    </row>
    <row r="383" spans="1:37" s="536" customFormat="1" x14ac:dyDescent="0.2">
      <c r="A383" s="548"/>
      <c r="B383" s="552"/>
      <c r="C383" s="1822" t="s">
        <v>442</v>
      </c>
      <c r="D383" s="1822"/>
      <c r="E383" s="1822"/>
      <c r="F383" s="1822"/>
      <c r="G383" s="1822"/>
      <c r="H383" s="1822"/>
      <c r="I383" s="1822"/>
      <c r="J383" s="1822"/>
      <c r="K383" s="1822"/>
      <c r="L383" s="551">
        <v>7386.28</v>
      </c>
      <c r="M383" s="550"/>
      <c r="N383" s="549"/>
      <c r="AJ383" s="675"/>
      <c r="AK383" s="537" t="s">
        <v>442</v>
      </c>
    </row>
    <row r="384" spans="1:37" s="536" customFormat="1" x14ac:dyDescent="0.2">
      <c r="A384" s="548"/>
      <c r="B384" s="552"/>
      <c r="C384" s="1822" t="s">
        <v>547</v>
      </c>
      <c r="D384" s="1822"/>
      <c r="E384" s="1822"/>
      <c r="F384" s="1822"/>
      <c r="G384" s="1822"/>
      <c r="H384" s="1822"/>
      <c r="I384" s="1822"/>
      <c r="J384" s="1822"/>
      <c r="K384" s="1822"/>
      <c r="L384" s="551">
        <v>119108.62</v>
      </c>
      <c r="M384" s="550"/>
      <c r="N384" s="549"/>
      <c r="AJ384" s="675"/>
      <c r="AK384" s="537" t="s">
        <v>547</v>
      </c>
    </row>
    <row r="385" spans="1:38" x14ac:dyDescent="0.2">
      <c r="A385" s="548"/>
      <c r="B385" s="552"/>
      <c r="C385" s="1822" t="s">
        <v>443</v>
      </c>
      <c r="D385" s="1822"/>
      <c r="E385" s="1822"/>
      <c r="F385" s="1822"/>
      <c r="G385" s="1822"/>
      <c r="H385" s="1822"/>
      <c r="I385" s="1822"/>
      <c r="J385" s="1822"/>
      <c r="K385" s="1822"/>
      <c r="L385" s="551">
        <v>7137.66</v>
      </c>
      <c r="M385" s="550"/>
      <c r="N385" s="549"/>
      <c r="P385" s="536"/>
      <c r="Q385" s="536"/>
      <c r="R385" s="536"/>
      <c r="S385" s="536"/>
      <c r="T385" s="536"/>
      <c r="U385" s="536"/>
      <c r="V385" s="536"/>
      <c r="W385" s="536"/>
      <c r="X385" s="536"/>
      <c r="Y385" s="536"/>
      <c r="Z385" s="536"/>
      <c r="AA385" s="536"/>
      <c r="AB385" s="536"/>
      <c r="AC385" s="536"/>
      <c r="AD385" s="536"/>
      <c r="AE385" s="536"/>
      <c r="AF385" s="536"/>
      <c r="AG385" s="536"/>
      <c r="AH385" s="536"/>
      <c r="AI385" s="536"/>
      <c r="AJ385" s="675"/>
      <c r="AK385" s="537" t="s">
        <v>443</v>
      </c>
      <c r="AL385" s="536"/>
    </row>
    <row r="386" spans="1:38" x14ac:dyDescent="0.2">
      <c r="A386" s="548"/>
      <c r="B386" s="552"/>
      <c r="C386" s="1822" t="s">
        <v>444</v>
      </c>
      <c r="D386" s="1822"/>
      <c r="E386" s="1822"/>
      <c r="F386" s="1822"/>
      <c r="G386" s="1822"/>
      <c r="H386" s="1822"/>
      <c r="I386" s="1822"/>
      <c r="J386" s="1822"/>
      <c r="K386" s="1822"/>
      <c r="L386" s="551">
        <v>3966.48</v>
      </c>
      <c r="M386" s="550"/>
      <c r="N386" s="549"/>
      <c r="P386" s="536"/>
      <c r="Q386" s="536"/>
      <c r="R386" s="536"/>
      <c r="S386" s="536"/>
      <c r="T386" s="536"/>
      <c r="U386" s="536"/>
      <c r="V386" s="536"/>
      <c r="W386" s="536"/>
      <c r="X386" s="536"/>
      <c r="Y386" s="536"/>
      <c r="Z386" s="536"/>
      <c r="AA386" s="536"/>
      <c r="AB386" s="536"/>
      <c r="AC386" s="536"/>
      <c r="AD386" s="536"/>
      <c r="AE386" s="536"/>
      <c r="AF386" s="536"/>
      <c r="AG386" s="536"/>
      <c r="AH386" s="536"/>
      <c r="AI386" s="536"/>
      <c r="AJ386" s="675"/>
      <c r="AK386" s="537" t="s">
        <v>444</v>
      </c>
      <c r="AL386" s="536"/>
    </row>
    <row r="387" spans="1:38" x14ac:dyDescent="0.2">
      <c r="A387" s="548"/>
      <c r="B387" s="552"/>
      <c r="C387" s="1822" t="s">
        <v>415</v>
      </c>
      <c r="D387" s="1822"/>
      <c r="E387" s="1822"/>
      <c r="F387" s="1822"/>
      <c r="G387" s="1822"/>
      <c r="H387" s="1822"/>
      <c r="I387" s="1822"/>
      <c r="J387" s="1822"/>
      <c r="K387" s="1822"/>
      <c r="L387" s="551">
        <v>6730.95</v>
      </c>
      <c r="M387" s="550"/>
      <c r="N387" s="549"/>
      <c r="P387" s="536"/>
      <c r="Q387" s="536"/>
      <c r="R387" s="536"/>
      <c r="S387" s="536"/>
      <c r="T387" s="536"/>
      <c r="U387" s="536"/>
      <c r="V387" s="536"/>
      <c r="W387" s="536"/>
      <c r="X387" s="536"/>
      <c r="Y387" s="536"/>
      <c r="Z387" s="536"/>
      <c r="AA387" s="536"/>
      <c r="AB387" s="536"/>
      <c r="AC387" s="536"/>
      <c r="AD387" s="536"/>
      <c r="AE387" s="536"/>
      <c r="AF387" s="536"/>
      <c r="AG387" s="536"/>
      <c r="AH387" s="536"/>
      <c r="AI387" s="536"/>
      <c r="AJ387" s="675"/>
      <c r="AK387" s="537" t="s">
        <v>415</v>
      </c>
      <c r="AL387" s="536"/>
    </row>
    <row r="388" spans="1:38" x14ac:dyDescent="0.2">
      <c r="A388" s="548"/>
      <c r="B388" s="552"/>
      <c r="C388" s="1822" t="s">
        <v>416</v>
      </c>
      <c r="D388" s="1822"/>
      <c r="E388" s="1822"/>
      <c r="F388" s="1822"/>
      <c r="G388" s="1822"/>
      <c r="H388" s="1822"/>
      <c r="I388" s="1822"/>
      <c r="J388" s="1822"/>
      <c r="K388" s="1822"/>
      <c r="L388" s="551">
        <v>7137.66</v>
      </c>
      <c r="M388" s="550"/>
      <c r="N388" s="549"/>
      <c r="P388" s="536"/>
      <c r="Q388" s="536"/>
      <c r="R388" s="536"/>
      <c r="S388" s="536"/>
      <c r="T388" s="536"/>
      <c r="U388" s="536"/>
      <c r="V388" s="536"/>
      <c r="W388" s="536"/>
      <c r="X388" s="536"/>
      <c r="Y388" s="536"/>
      <c r="Z388" s="536"/>
      <c r="AA388" s="536"/>
      <c r="AB388" s="536"/>
      <c r="AC388" s="536"/>
      <c r="AD388" s="536"/>
      <c r="AE388" s="536"/>
      <c r="AF388" s="536"/>
      <c r="AG388" s="536"/>
      <c r="AH388" s="536"/>
      <c r="AI388" s="536"/>
      <c r="AJ388" s="675"/>
      <c r="AK388" s="537" t="s">
        <v>416</v>
      </c>
      <c r="AL388" s="536"/>
    </row>
    <row r="389" spans="1:38" x14ac:dyDescent="0.2">
      <c r="A389" s="548"/>
      <c r="B389" s="552"/>
      <c r="C389" s="1822" t="s">
        <v>417</v>
      </c>
      <c r="D389" s="1822"/>
      <c r="E389" s="1822"/>
      <c r="F389" s="1822"/>
      <c r="G389" s="1822"/>
      <c r="H389" s="1822"/>
      <c r="I389" s="1822"/>
      <c r="J389" s="1822"/>
      <c r="K389" s="1822"/>
      <c r="L389" s="551">
        <v>3966.48</v>
      </c>
      <c r="M389" s="550"/>
      <c r="N389" s="549"/>
      <c r="P389" s="536"/>
      <c r="Q389" s="536"/>
      <c r="R389" s="536"/>
      <c r="S389" s="536"/>
      <c r="T389" s="536"/>
      <c r="U389" s="536"/>
      <c r="V389" s="536"/>
      <c r="W389" s="536"/>
      <c r="X389" s="536"/>
      <c r="Y389" s="536"/>
      <c r="Z389" s="536"/>
      <c r="AA389" s="536"/>
      <c r="AB389" s="536"/>
      <c r="AC389" s="536"/>
      <c r="AD389" s="536"/>
      <c r="AE389" s="536"/>
      <c r="AF389" s="536"/>
      <c r="AG389" s="536"/>
      <c r="AH389" s="536"/>
      <c r="AI389" s="536"/>
      <c r="AJ389" s="675"/>
      <c r="AK389" s="537" t="s">
        <v>417</v>
      </c>
      <c r="AL389" s="536"/>
    </row>
    <row r="390" spans="1:38" x14ac:dyDescent="0.2">
      <c r="A390" s="548"/>
      <c r="B390" s="546"/>
      <c r="C390" s="1819" t="s">
        <v>206</v>
      </c>
      <c r="D390" s="1819"/>
      <c r="E390" s="1819"/>
      <c r="F390" s="1819"/>
      <c r="G390" s="1819"/>
      <c r="H390" s="1819"/>
      <c r="I390" s="1819"/>
      <c r="J390" s="1819"/>
      <c r="K390" s="1819"/>
      <c r="L390" s="544">
        <v>143952.69</v>
      </c>
      <c r="M390" s="543"/>
      <c r="N390" s="547">
        <v>1197686</v>
      </c>
      <c r="P390" s="536"/>
      <c r="Q390" s="536"/>
      <c r="R390" s="536"/>
      <c r="S390" s="536"/>
      <c r="T390" s="536"/>
      <c r="U390" s="536"/>
      <c r="V390" s="536"/>
      <c r="W390" s="536"/>
      <c r="X390" s="536"/>
      <c r="Y390" s="536"/>
      <c r="Z390" s="536"/>
      <c r="AA390" s="536"/>
      <c r="AB390" s="536"/>
      <c r="AC390" s="536"/>
      <c r="AD390" s="536"/>
      <c r="AE390" s="536"/>
      <c r="AF390" s="536"/>
      <c r="AG390" s="536"/>
      <c r="AH390" s="536"/>
      <c r="AI390" s="536"/>
      <c r="AJ390" s="675"/>
      <c r="AK390" s="536"/>
      <c r="AL390" s="675" t="s">
        <v>206</v>
      </c>
    </row>
    <row r="391" spans="1:38" x14ac:dyDescent="0.2">
      <c r="A391" s="548"/>
      <c r="B391" s="552"/>
      <c r="C391" s="1822" t="s">
        <v>204</v>
      </c>
      <c r="D391" s="1822"/>
      <c r="E391" s="1822"/>
      <c r="F391" s="1822"/>
      <c r="G391" s="1822"/>
      <c r="H391" s="1822"/>
      <c r="I391" s="1822"/>
      <c r="J391" s="1822"/>
      <c r="K391" s="1822"/>
      <c r="L391" s="551"/>
      <c r="M391" s="550"/>
      <c r="N391" s="549"/>
      <c r="P391" s="536"/>
      <c r="Q391" s="536"/>
      <c r="R391" s="536"/>
      <c r="S391" s="536"/>
      <c r="T391" s="536"/>
      <c r="U391" s="536"/>
      <c r="V391" s="536"/>
      <c r="W391" s="536"/>
      <c r="X391" s="536"/>
      <c r="Y391" s="536"/>
      <c r="Z391" s="536"/>
      <c r="AA391" s="536"/>
      <c r="AB391" s="536"/>
      <c r="AC391" s="536"/>
      <c r="AD391" s="536"/>
      <c r="AE391" s="536"/>
      <c r="AF391" s="536"/>
      <c r="AG391" s="536"/>
      <c r="AH391" s="536"/>
      <c r="AI391" s="536"/>
      <c r="AJ391" s="675"/>
      <c r="AK391" s="537" t="s">
        <v>204</v>
      </c>
      <c r="AL391" s="675"/>
    </row>
    <row r="392" spans="1:38" x14ac:dyDescent="0.2">
      <c r="A392" s="548"/>
      <c r="B392" s="552"/>
      <c r="C392" s="1822" t="s">
        <v>8095</v>
      </c>
      <c r="D392" s="1822"/>
      <c r="E392" s="1822"/>
      <c r="F392" s="1822"/>
      <c r="G392" s="1822"/>
      <c r="H392" s="1822"/>
      <c r="I392" s="1822"/>
      <c r="J392" s="1822"/>
      <c r="K392" s="1822"/>
      <c r="L392" s="551">
        <v>50721.16</v>
      </c>
      <c r="M392" s="550"/>
      <c r="N392" s="549">
        <v>422000</v>
      </c>
      <c r="P392" s="536"/>
      <c r="Q392" s="536"/>
      <c r="R392" s="536"/>
      <c r="S392" s="536"/>
      <c r="T392" s="536"/>
      <c r="U392" s="536"/>
      <c r="V392" s="536"/>
      <c r="W392" s="536"/>
      <c r="X392" s="536"/>
      <c r="Y392" s="536"/>
      <c r="Z392" s="536"/>
      <c r="AA392" s="536"/>
      <c r="AB392" s="536"/>
      <c r="AC392" s="536"/>
      <c r="AD392" s="536"/>
      <c r="AE392" s="536"/>
      <c r="AF392" s="536"/>
      <c r="AG392" s="536"/>
      <c r="AH392" s="536"/>
      <c r="AI392" s="536"/>
      <c r="AJ392" s="675"/>
      <c r="AK392" s="537" t="s">
        <v>8095</v>
      </c>
      <c r="AL392" s="675"/>
    </row>
    <row r="393" spans="1:38" ht="1.5" customHeight="1" x14ac:dyDescent="0.2">
      <c r="B393" s="546"/>
      <c r="C393" s="671"/>
      <c r="D393" s="671"/>
      <c r="E393" s="671"/>
      <c r="F393" s="671"/>
      <c r="G393" s="671"/>
      <c r="H393" s="671"/>
      <c r="I393" s="671"/>
      <c r="J393" s="671"/>
      <c r="K393" s="671"/>
      <c r="L393" s="544"/>
      <c r="M393" s="543"/>
      <c r="N393" s="542"/>
      <c r="P393" s="536"/>
      <c r="Q393" s="536"/>
      <c r="R393" s="536"/>
      <c r="S393" s="536"/>
      <c r="T393" s="536"/>
      <c r="U393" s="536"/>
      <c r="V393" s="536"/>
      <c r="W393" s="536"/>
      <c r="X393" s="536"/>
      <c r="Y393" s="536"/>
      <c r="Z393" s="536"/>
      <c r="AA393" s="536"/>
      <c r="AB393" s="536"/>
      <c r="AC393" s="536"/>
      <c r="AD393" s="536"/>
      <c r="AE393" s="536"/>
      <c r="AF393" s="536"/>
      <c r="AG393" s="536"/>
      <c r="AH393" s="536"/>
      <c r="AI393" s="536"/>
      <c r="AJ393" s="536"/>
      <c r="AK393" s="536"/>
      <c r="AL393" s="536"/>
    </row>
    <row r="394" spans="1:38" ht="53.25" customHeight="1" x14ac:dyDescent="0.2">
      <c r="A394" s="541"/>
      <c r="B394" s="541"/>
      <c r="C394" s="541"/>
      <c r="D394" s="541"/>
      <c r="E394" s="541"/>
      <c r="F394" s="541"/>
      <c r="G394" s="541"/>
      <c r="H394" s="541"/>
      <c r="I394" s="541"/>
      <c r="J394" s="541"/>
      <c r="K394" s="541"/>
      <c r="L394" s="541"/>
      <c r="M394" s="541"/>
      <c r="N394" s="541"/>
      <c r="P394" s="536"/>
      <c r="Q394" s="536"/>
      <c r="R394" s="536"/>
      <c r="S394" s="536"/>
      <c r="T394" s="536"/>
      <c r="U394" s="536"/>
      <c r="V394" s="536"/>
      <c r="W394" s="536"/>
      <c r="X394" s="536"/>
      <c r="Y394" s="536"/>
      <c r="Z394" s="536"/>
      <c r="AA394" s="536"/>
      <c r="AB394" s="536"/>
      <c r="AC394" s="536"/>
      <c r="AD394" s="536"/>
      <c r="AE394" s="536"/>
      <c r="AF394" s="536"/>
      <c r="AG394" s="536"/>
      <c r="AH394" s="536"/>
      <c r="AI394" s="536"/>
      <c r="AJ394" s="536"/>
      <c r="AK394" s="536"/>
      <c r="AL394" s="536"/>
    </row>
    <row r="395" spans="1:38" x14ac:dyDescent="0.2">
      <c r="B395" s="539" t="s">
        <v>149</v>
      </c>
      <c r="C395" s="1820" t="s">
        <v>8555</v>
      </c>
      <c r="D395" s="1820"/>
      <c r="E395" s="1820"/>
      <c r="F395" s="1820"/>
      <c r="G395" s="1820"/>
      <c r="H395" s="1820"/>
      <c r="I395" s="1820"/>
      <c r="J395" s="1820"/>
      <c r="K395" s="1820"/>
      <c r="L395" s="1820"/>
    </row>
    <row r="396" spans="1:38" ht="13.5" customHeight="1" x14ac:dyDescent="0.2">
      <c r="B396" s="540"/>
      <c r="C396" s="1821" t="s">
        <v>150</v>
      </c>
      <c r="D396" s="1821"/>
      <c r="E396" s="1821"/>
      <c r="F396" s="1821"/>
      <c r="G396" s="1821"/>
      <c r="H396" s="1821"/>
      <c r="I396" s="1821"/>
      <c r="J396" s="1821"/>
      <c r="K396" s="1821"/>
      <c r="L396" s="1821"/>
    </row>
    <row r="397" spans="1:38" ht="12.75" customHeight="1" x14ac:dyDescent="0.2">
      <c r="B397" s="539" t="s">
        <v>151</v>
      </c>
      <c r="C397" s="1820" t="s">
        <v>8556</v>
      </c>
      <c r="D397" s="1820"/>
      <c r="E397" s="1820"/>
      <c r="F397" s="1820"/>
      <c r="G397" s="1820"/>
      <c r="H397" s="1820"/>
      <c r="I397" s="1820"/>
      <c r="J397" s="1820"/>
      <c r="K397" s="1820"/>
      <c r="L397" s="1820"/>
    </row>
    <row r="398" spans="1:38" ht="13.5" customHeight="1" x14ac:dyDescent="0.2">
      <c r="C398" s="1821" t="s">
        <v>150</v>
      </c>
      <c r="D398" s="1821"/>
      <c r="E398" s="1821"/>
      <c r="F398" s="1821"/>
      <c r="G398" s="1821"/>
      <c r="H398" s="1821"/>
      <c r="I398" s="1821"/>
      <c r="J398" s="1821"/>
      <c r="K398" s="1821"/>
      <c r="L398" s="1821"/>
    </row>
    <row r="400" spans="1:38" x14ac:dyDescent="0.2">
      <c r="B400" s="538"/>
      <c r="D400" s="538"/>
      <c r="F400" s="538"/>
      <c r="P400" s="536"/>
      <c r="Q400" s="536"/>
      <c r="R400" s="536"/>
      <c r="S400" s="536"/>
      <c r="T400" s="536"/>
      <c r="U400" s="536"/>
      <c r="V400" s="536"/>
      <c r="W400" s="536"/>
      <c r="X400" s="536"/>
      <c r="Y400" s="536"/>
      <c r="Z400" s="536"/>
      <c r="AA400" s="536"/>
      <c r="AB400" s="536"/>
      <c r="AC400" s="536"/>
      <c r="AD400" s="536"/>
      <c r="AE400" s="536"/>
      <c r="AF400" s="536"/>
      <c r="AG400" s="536"/>
      <c r="AH400" s="536"/>
      <c r="AI400" s="536"/>
      <c r="AJ400" s="536"/>
      <c r="AK400" s="536"/>
      <c r="AL400" s="536"/>
    </row>
  </sheetData>
  <mergeCells count="357">
    <mergeCell ref="C392:K392"/>
    <mergeCell ref="C395:L395"/>
    <mergeCell ref="C396:L396"/>
    <mergeCell ref="C397:L397"/>
    <mergeCell ref="C398:L398"/>
    <mergeCell ref="C386:K386"/>
    <mergeCell ref="C387:K387"/>
    <mergeCell ref="C388:K388"/>
    <mergeCell ref="C389:K389"/>
    <mergeCell ref="C390:K390"/>
    <mergeCell ref="C391:K391"/>
    <mergeCell ref="C380:K380"/>
    <mergeCell ref="C381:K381"/>
    <mergeCell ref="C382:K382"/>
    <mergeCell ref="C383:K383"/>
    <mergeCell ref="C384:K384"/>
    <mergeCell ref="C385:K385"/>
    <mergeCell ref="C374:K374"/>
    <mergeCell ref="C375:K375"/>
    <mergeCell ref="C376:K376"/>
    <mergeCell ref="C377:K377"/>
    <mergeCell ref="C378:K378"/>
    <mergeCell ref="C379:K379"/>
    <mergeCell ref="C367:K367"/>
    <mergeCell ref="C368:K368"/>
    <mergeCell ref="C369:K369"/>
    <mergeCell ref="C370:K370"/>
    <mergeCell ref="C371:K371"/>
    <mergeCell ref="C373:K373"/>
    <mergeCell ref="C358:E358"/>
    <mergeCell ref="C360:E360"/>
    <mergeCell ref="C362:N362"/>
    <mergeCell ref="C364:K364"/>
    <mergeCell ref="C365:K365"/>
    <mergeCell ref="C366:K366"/>
    <mergeCell ref="C352:K352"/>
    <mergeCell ref="C353:K353"/>
    <mergeCell ref="C354:K354"/>
    <mergeCell ref="C355:K355"/>
    <mergeCell ref="C356:K356"/>
    <mergeCell ref="A357:N357"/>
    <mergeCell ref="C346:K346"/>
    <mergeCell ref="C347:K347"/>
    <mergeCell ref="C348:K348"/>
    <mergeCell ref="C349:K349"/>
    <mergeCell ref="C350:K350"/>
    <mergeCell ref="C351:K351"/>
    <mergeCell ref="C340:K340"/>
    <mergeCell ref="C341:K341"/>
    <mergeCell ref="C342:K342"/>
    <mergeCell ref="C343:K343"/>
    <mergeCell ref="C344:K344"/>
    <mergeCell ref="C345:K345"/>
    <mergeCell ref="C332:N332"/>
    <mergeCell ref="C333:E333"/>
    <mergeCell ref="C335:N335"/>
    <mergeCell ref="C337:K337"/>
    <mergeCell ref="C338:K338"/>
    <mergeCell ref="C339:K339"/>
    <mergeCell ref="C325:E325"/>
    <mergeCell ref="C326:E326"/>
    <mergeCell ref="C327:E327"/>
    <mergeCell ref="C328:E328"/>
    <mergeCell ref="C329:E329"/>
    <mergeCell ref="C331:N331"/>
    <mergeCell ref="C319:E319"/>
    <mergeCell ref="C320:E320"/>
    <mergeCell ref="C321:E321"/>
    <mergeCell ref="C322:E322"/>
    <mergeCell ref="C323:E323"/>
    <mergeCell ref="C324:E324"/>
    <mergeCell ref="C312:E312"/>
    <mergeCell ref="C314:E314"/>
    <mergeCell ref="C315:N315"/>
    <mergeCell ref="C316:N316"/>
    <mergeCell ref="C317:E317"/>
    <mergeCell ref="C318:E318"/>
    <mergeCell ref="C306:E306"/>
    <mergeCell ref="C307:E307"/>
    <mergeCell ref="C308:E308"/>
    <mergeCell ref="C309:E309"/>
    <mergeCell ref="C310:E310"/>
    <mergeCell ref="C311:E311"/>
    <mergeCell ref="C300:E300"/>
    <mergeCell ref="C301:E301"/>
    <mergeCell ref="C302:E302"/>
    <mergeCell ref="C303:E303"/>
    <mergeCell ref="C304:E304"/>
    <mergeCell ref="C305:E305"/>
    <mergeCell ref="C294:K294"/>
    <mergeCell ref="C295:K295"/>
    <mergeCell ref="A296:N296"/>
    <mergeCell ref="C297:E297"/>
    <mergeCell ref="C298:N298"/>
    <mergeCell ref="C299:N299"/>
    <mergeCell ref="C288:K288"/>
    <mergeCell ref="C289:K289"/>
    <mergeCell ref="C290:K290"/>
    <mergeCell ref="C291:K291"/>
    <mergeCell ref="C292:K292"/>
    <mergeCell ref="C293:K293"/>
    <mergeCell ref="C282:K282"/>
    <mergeCell ref="C283:K283"/>
    <mergeCell ref="C284:K284"/>
    <mergeCell ref="C285:K285"/>
    <mergeCell ref="C286:K286"/>
    <mergeCell ref="C287:K287"/>
    <mergeCell ref="C276:K276"/>
    <mergeCell ref="C277:K277"/>
    <mergeCell ref="C278:K278"/>
    <mergeCell ref="C279:K279"/>
    <mergeCell ref="C280:K280"/>
    <mergeCell ref="C281:K281"/>
    <mergeCell ref="C267:E267"/>
    <mergeCell ref="C269:N269"/>
    <mergeCell ref="C270:N270"/>
    <mergeCell ref="C271:E271"/>
    <mergeCell ref="C273:N273"/>
    <mergeCell ref="C274:N274"/>
    <mergeCell ref="C261:E261"/>
    <mergeCell ref="C262:E262"/>
    <mergeCell ref="C263:E263"/>
    <mergeCell ref="C264:E264"/>
    <mergeCell ref="C265:E265"/>
    <mergeCell ref="C266:E266"/>
    <mergeCell ref="C255:E255"/>
    <mergeCell ref="C256:E256"/>
    <mergeCell ref="C257:E257"/>
    <mergeCell ref="C258:E258"/>
    <mergeCell ref="C259:E259"/>
    <mergeCell ref="C260:E260"/>
    <mergeCell ref="C249:E249"/>
    <mergeCell ref="C250:E250"/>
    <mergeCell ref="C251:E251"/>
    <mergeCell ref="C252:N252"/>
    <mergeCell ref="C253:N253"/>
    <mergeCell ref="C254:N254"/>
    <mergeCell ref="C243:E243"/>
    <mergeCell ref="C244:E244"/>
    <mergeCell ref="C245:E245"/>
    <mergeCell ref="C246:E246"/>
    <mergeCell ref="C247:E247"/>
    <mergeCell ref="C248:E248"/>
    <mergeCell ref="C237:E237"/>
    <mergeCell ref="C238:E238"/>
    <mergeCell ref="C239:E239"/>
    <mergeCell ref="C240:E240"/>
    <mergeCell ref="C241:E241"/>
    <mergeCell ref="C242:E242"/>
    <mergeCell ref="C230:E230"/>
    <mergeCell ref="C231:E231"/>
    <mergeCell ref="C232:E232"/>
    <mergeCell ref="C234:E234"/>
    <mergeCell ref="C235:N235"/>
    <mergeCell ref="C236:N236"/>
    <mergeCell ref="C224:E224"/>
    <mergeCell ref="C225:E225"/>
    <mergeCell ref="C226:E226"/>
    <mergeCell ref="C227:E227"/>
    <mergeCell ref="C228:E228"/>
    <mergeCell ref="C229:E229"/>
    <mergeCell ref="C218:N218"/>
    <mergeCell ref="C219:N219"/>
    <mergeCell ref="C220:E220"/>
    <mergeCell ref="C221:E221"/>
    <mergeCell ref="C222:E222"/>
    <mergeCell ref="C223:E223"/>
    <mergeCell ref="C211:E211"/>
    <mergeCell ref="C212:E212"/>
    <mergeCell ref="C213:E213"/>
    <mergeCell ref="C214:E214"/>
    <mergeCell ref="C215:E215"/>
    <mergeCell ref="C217:E217"/>
    <mergeCell ref="C205:E205"/>
    <mergeCell ref="C206:E206"/>
    <mergeCell ref="C207:E207"/>
    <mergeCell ref="C208:E208"/>
    <mergeCell ref="C209:E209"/>
    <mergeCell ref="C210:E210"/>
    <mergeCell ref="C198:E198"/>
    <mergeCell ref="C200:E200"/>
    <mergeCell ref="C201:N201"/>
    <mergeCell ref="C202:N202"/>
    <mergeCell ref="C203:N203"/>
    <mergeCell ref="C204:E204"/>
    <mergeCell ref="C192:E192"/>
    <mergeCell ref="C193:E193"/>
    <mergeCell ref="C194:E194"/>
    <mergeCell ref="C195:E195"/>
    <mergeCell ref="C196:E196"/>
    <mergeCell ref="C197:E197"/>
    <mergeCell ref="C186:E186"/>
    <mergeCell ref="C187:E187"/>
    <mergeCell ref="C188:E188"/>
    <mergeCell ref="C189:E189"/>
    <mergeCell ref="C190:E190"/>
    <mergeCell ref="C191:E191"/>
    <mergeCell ref="C180:K180"/>
    <mergeCell ref="C181:K181"/>
    <mergeCell ref="A182:N182"/>
    <mergeCell ref="C183:E183"/>
    <mergeCell ref="C184:N184"/>
    <mergeCell ref="C185:N185"/>
    <mergeCell ref="C174:K174"/>
    <mergeCell ref="C175:K175"/>
    <mergeCell ref="C176:K176"/>
    <mergeCell ref="C177:K177"/>
    <mergeCell ref="C178:K178"/>
    <mergeCell ref="C179:K179"/>
    <mergeCell ref="C168:K168"/>
    <mergeCell ref="C169:K169"/>
    <mergeCell ref="C170:K170"/>
    <mergeCell ref="C171:K171"/>
    <mergeCell ref="C172:K172"/>
    <mergeCell ref="C173:K173"/>
    <mergeCell ref="C162:K162"/>
    <mergeCell ref="C163:K163"/>
    <mergeCell ref="C164:K164"/>
    <mergeCell ref="C165:K165"/>
    <mergeCell ref="C166:K166"/>
    <mergeCell ref="C167:K167"/>
    <mergeCell ref="C154:E154"/>
    <mergeCell ref="C155:E155"/>
    <mergeCell ref="C156:E156"/>
    <mergeCell ref="C157:E157"/>
    <mergeCell ref="C159:N159"/>
    <mergeCell ref="C160:N160"/>
    <mergeCell ref="C148:E148"/>
    <mergeCell ref="C149:E149"/>
    <mergeCell ref="C150:E150"/>
    <mergeCell ref="C151:E151"/>
    <mergeCell ref="C152:E152"/>
    <mergeCell ref="C153:E153"/>
    <mergeCell ref="A142:N142"/>
    <mergeCell ref="C143:E143"/>
    <mergeCell ref="C144:N144"/>
    <mergeCell ref="C145:N145"/>
    <mergeCell ref="C146:E146"/>
    <mergeCell ref="C147:E147"/>
    <mergeCell ref="C134:E134"/>
    <mergeCell ref="C135:E135"/>
    <mergeCell ref="C136:E136"/>
    <mergeCell ref="C137:E137"/>
    <mergeCell ref="C138:E138"/>
    <mergeCell ref="C140:E140"/>
    <mergeCell ref="C128:N128"/>
    <mergeCell ref="C129:N129"/>
    <mergeCell ref="C130:E130"/>
    <mergeCell ref="C131:E131"/>
    <mergeCell ref="C132:E132"/>
    <mergeCell ref="C133:E133"/>
    <mergeCell ref="C120:E120"/>
    <mergeCell ref="C121:E121"/>
    <mergeCell ref="C122:E122"/>
    <mergeCell ref="C123:E123"/>
    <mergeCell ref="C125:E125"/>
    <mergeCell ref="C127:E127"/>
    <mergeCell ref="C114:E114"/>
    <mergeCell ref="C115:E115"/>
    <mergeCell ref="C116:E116"/>
    <mergeCell ref="C117:E117"/>
    <mergeCell ref="C118:E118"/>
    <mergeCell ref="C119:E119"/>
    <mergeCell ref="C107:E107"/>
    <mergeCell ref="C108:E108"/>
    <mergeCell ref="C110:E110"/>
    <mergeCell ref="C111:N111"/>
    <mergeCell ref="C112:N112"/>
    <mergeCell ref="C113:E113"/>
    <mergeCell ref="C101:E101"/>
    <mergeCell ref="C102:E102"/>
    <mergeCell ref="C103:E103"/>
    <mergeCell ref="C104:E104"/>
    <mergeCell ref="C105:E105"/>
    <mergeCell ref="C106:E106"/>
    <mergeCell ref="C93:E93"/>
    <mergeCell ref="C95:E95"/>
    <mergeCell ref="C97:N97"/>
    <mergeCell ref="C98:E98"/>
    <mergeCell ref="C99:N99"/>
    <mergeCell ref="C100:E100"/>
    <mergeCell ref="C85:E85"/>
    <mergeCell ref="C86:E86"/>
    <mergeCell ref="C87:E87"/>
    <mergeCell ref="C88:E88"/>
    <mergeCell ref="C89:E89"/>
    <mergeCell ref="C91:E91"/>
    <mergeCell ref="C79:E79"/>
    <mergeCell ref="C80:E80"/>
    <mergeCell ref="C81:E81"/>
    <mergeCell ref="C82:E82"/>
    <mergeCell ref="C83:E83"/>
    <mergeCell ref="C84:E84"/>
    <mergeCell ref="C73:N73"/>
    <mergeCell ref="C74:N74"/>
    <mergeCell ref="C75:E75"/>
    <mergeCell ref="C76:N76"/>
    <mergeCell ref="C77:N77"/>
    <mergeCell ref="C78:E78"/>
    <mergeCell ref="C66:E66"/>
    <mergeCell ref="C67:E67"/>
    <mergeCell ref="C68:E68"/>
    <mergeCell ref="C69:E69"/>
    <mergeCell ref="C70:E70"/>
    <mergeCell ref="C71:E71"/>
    <mergeCell ref="C60:E60"/>
    <mergeCell ref="C61:E61"/>
    <mergeCell ref="C62:E62"/>
    <mergeCell ref="C63:E63"/>
    <mergeCell ref="C64:E64"/>
    <mergeCell ref="C65:E65"/>
    <mergeCell ref="C53:E53"/>
    <mergeCell ref="C54:E54"/>
    <mergeCell ref="C56:N56"/>
    <mergeCell ref="C57:E57"/>
    <mergeCell ref="C58:N58"/>
    <mergeCell ref="C59:N59"/>
    <mergeCell ref="C47:E47"/>
    <mergeCell ref="C48:E48"/>
    <mergeCell ref="C49:E49"/>
    <mergeCell ref="C50:E50"/>
    <mergeCell ref="C51:E51"/>
    <mergeCell ref="C52:E52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399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/>
  <dimension ref="A1:AK418"/>
  <sheetViews>
    <sheetView topLeftCell="A381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29" width="34.140625" style="537" hidden="1" customWidth="1"/>
    <col min="30" max="32" width="84.42578125" style="537" hidden="1" customWidth="1"/>
    <col min="33" max="33" width="34.140625" style="537" hidden="1" customWidth="1"/>
    <col min="34" max="34" width="110.140625" style="537" hidden="1" customWidth="1"/>
    <col min="35" max="37" width="84.42578125" style="537" hidden="1" customWidth="1"/>
    <col min="38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3273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3273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3274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606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606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/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613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1957.4</v>
      </c>
      <c r="D28" s="579" t="s">
        <v>8557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1957.4</v>
      </c>
      <c r="D30" s="579" t="s">
        <v>8557</v>
      </c>
      <c r="E30" s="665" t="s">
        <v>167</v>
      </c>
      <c r="G30" s="536" t="s">
        <v>170</v>
      </c>
      <c r="L30" s="580">
        <v>0</v>
      </c>
      <c r="M30" s="579" t="s">
        <v>8558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665" t="s">
        <v>167</v>
      </c>
      <c r="G31" s="536" t="s">
        <v>172</v>
      </c>
      <c r="L31" s="582"/>
      <c r="M31" s="582">
        <v>663.36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665" t="s">
        <v>167</v>
      </c>
      <c r="G32" s="536" t="s">
        <v>174</v>
      </c>
      <c r="L32" s="582"/>
      <c r="M32" s="582">
        <v>86.67</v>
      </c>
      <c r="N32" s="581" t="s">
        <v>173</v>
      </c>
    </row>
    <row r="33" spans="1:28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8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8" s="536" customFormat="1" ht="12" x14ac:dyDescent="0.2">
      <c r="A39" s="1824" t="s">
        <v>976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976</v>
      </c>
    </row>
    <row r="40" spans="1:28" s="536" customFormat="1" ht="56.25" x14ac:dyDescent="0.2">
      <c r="A40" s="575" t="s">
        <v>185</v>
      </c>
      <c r="B40" s="670" t="s">
        <v>1349</v>
      </c>
      <c r="C40" s="1823" t="s">
        <v>1350</v>
      </c>
      <c r="D40" s="1823"/>
      <c r="E40" s="1823"/>
      <c r="F40" s="573" t="s">
        <v>455</v>
      </c>
      <c r="G40" s="573"/>
      <c r="H40" s="573"/>
      <c r="I40" s="573" t="s">
        <v>3275</v>
      </c>
      <c r="J40" s="572"/>
      <c r="K40" s="573"/>
      <c r="L40" s="572"/>
      <c r="M40" s="571"/>
      <c r="N40" s="570"/>
      <c r="V40" s="674"/>
      <c r="W40" s="675" t="s">
        <v>1350</v>
      </c>
    </row>
    <row r="41" spans="1:28" s="536" customFormat="1" ht="12" x14ac:dyDescent="0.2">
      <c r="A41" s="676"/>
      <c r="B41" s="664"/>
      <c r="C41" s="1822" t="s">
        <v>3276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3276</v>
      </c>
    </row>
    <row r="42" spans="1:28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Y42" s="537" t="s">
        <v>311</v>
      </c>
    </row>
    <row r="43" spans="1:28" s="536" customFormat="1" ht="12" x14ac:dyDescent="0.2">
      <c r="A43" s="605"/>
      <c r="B43" s="552" t="s">
        <v>186</v>
      </c>
      <c r="C43" s="1822" t="s">
        <v>344</v>
      </c>
      <c r="D43" s="1822"/>
      <c r="E43" s="1822"/>
      <c r="F43" s="562"/>
      <c r="G43" s="562"/>
      <c r="H43" s="562"/>
      <c r="I43" s="562"/>
      <c r="J43" s="604">
        <v>7550.19</v>
      </c>
      <c r="K43" s="562" t="s">
        <v>313</v>
      </c>
      <c r="L43" s="604">
        <v>613.16999999999996</v>
      </c>
      <c r="M43" s="603"/>
      <c r="N43" s="602"/>
      <c r="V43" s="674"/>
      <c r="W43" s="675"/>
      <c r="Z43" s="537" t="s">
        <v>344</v>
      </c>
    </row>
    <row r="44" spans="1:28" s="536" customFormat="1" ht="12" x14ac:dyDescent="0.2">
      <c r="A44" s="605"/>
      <c r="B44" s="552" t="s">
        <v>187</v>
      </c>
      <c r="C44" s="1822" t="s">
        <v>345</v>
      </c>
      <c r="D44" s="1822"/>
      <c r="E44" s="1822"/>
      <c r="F44" s="562"/>
      <c r="G44" s="562"/>
      <c r="H44" s="562"/>
      <c r="I44" s="562"/>
      <c r="J44" s="604">
        <v>884.25</v>
      </c>
      <c r="K44" s="562" t="s">
        <v>313</v>
      </c>
      <c r="L44" s="604">
        <v>71.81</v>
      </c>
      <c r="M44" s="603"/>
      <c r="N44" s="602"/>
      <c r="V44" s="674"/>
      <c r="W44" s="675"/>
      <c r="Z44" s="537" t="s">
        <v>345</v>
      </c>
    </row>
    <row r="45" spans="1:28" s="536" customFormat="1" ht="12" x14ac:dyDescent="0.2">
      <c r="A45" s="605"/>
      <c r="B45" s="552"/>
      <c r="C45" s="1822" t="s">
        <v>348</v>
      </c>
      <c r="D45" s="1822"/>
      <c r="E45" s="1822"/>
      <c r="F45" s="562" t="s">
        <v>315</v>
      </c>
      <c r="G45" s="562" t="s">
        <v>1353</v>
      </c>
      <c r="H45" s="562" t="s">
        <v>313</v>
      </c>
      <c r="I45" s="562" t="s">
        <v>3277</v>
      </c>
      <c r="J45" s="604"/>
      <c r="K45" s="562"/>
      <c r="L45" s="604"/>
      <c r="M45" s="603"/>
      <c r="N45" s="602"/>
      <c r="V45" s="674"/>
      <c r="W45" s="675"/>
      <c r="AA45" s="537" t="s">
        <v>348</v>
      </c>
    </row>
    <row r="46" spans="1:28" s="536" customFormat="1" ht="12" x14ac:dyDescent="0.2">
      <c r="A46" s="605"/>
      <c r="B46" s="552"/>
      <c r="C46" s="1828" t="s">
        <v>318</v>
      </c>
      <c r="D46" s="1828"/>
      <c r="E46" s="1828"/>
      <c r="F46" s="608"/>
      <c r="G46" s="608"/>
      <c r="H46" s="608"/>
      <c r="I46" s="608"/>
      <c r="J46" s="607">
        <v>7550.19</v>
      </c>
      <c r="K46" s="608"/>
      <c r="L46" s="607">
        <v>613.16999999999996</v>
      </c>
      <c r="M46" s="601"/>
      <c r="N46" s="606"/>
      <c r="V46" s="674"/>
      <c r="W46" s="675"/>
      <c r="AB46" s="537" t="s">
        <v>318</v>
      </c>
    </row>
    <row r="47" spans="1:28" s="536" customFormat="1" ht="12" x14ac:dyDescent="0.2">
      <c r="A47" s="605"/>
      <c r="B47" s="552"/>
      <c r="C47" s="1822" t="s">
        <v>319</v>
      </c>
      <c r="D47" s="1822"/>
      <c r="E47" s="1822"/>
      <c r="F47" s="562"/>
      <c r="G47" s="562"/>
      <c r="H47" s="562"/>
      <c r="I47" s="562"/>
      <c r="J47" s="604"/>
      <c r="K47" s="562"/>
      <c r="L47" s="604">
        <v>71.81</v>
      </c>
      <c r="M47" s="603"/>
      <c r="N47" s="602"/>
      <c r="V47" s="674"/>
      <c r="W47" s="675"/>
      <c r="AA47" s="537" t="s">
        <v>319</v>
      </c>
    </row>
    <row r="48" spans="1:28" s="536" customFormat="1" ht="33.75" x14ac:dyDescent="0.2">
      <c r="A48" s="605"/>
      <c r="B48" s="552" t="s">
        <v>460</v>
      </c>
      <c r="C48" s="1822" t="s">
        <v>461</v>
      </c>
      <c r="D48" s="1822"/>
      <c r="E48" s="1822"/>
      <c r="F48" s="562" t="s">
        <v>322</v>
      </c>
      <c r="G48" s="562" t="s">
        <v>462</v>
      </c>
      <c r="H48" s="562"/>
      <c r="I48" s="562" t="s">
        <v>462</v>
      </c>
      <c r="J48" s="604"/>
      <c r="K48" s="562"/>
      <c r="L48" s="604">
        <v>66.069999999999993</v>
      </c>
      <c r="M48" s="603"/>
      <c r="N48" s="602"/>
      <c r="V48" s="674"/>
      <c r="W48" s="675"/>
      <c r="AA48" s="537" t="s">
        <v>461</v>
      </c>
    </row>
    <row r="49" spans="1:29" s="536" customFormat="1" ht="33.75" x14ac:dyDescent="0.2">
      <c r="A49" s="605"/>
      <c r="B49" s="552" t="s">
        <v>463</v>
      </c>
      <c r="C49" s="1822" t="s">
        <v>464</v>
      </c>
      <c r="D49" s="1822"/>
      <c r="E49" s="1822"/>
      <c r="F49" s="562" t="s">
        <v>322</v>
      </c>
      <c r="G49" s="562" t="s">
        <v>465</v>
      </c>
      <c r="H49" s="562"/>
      <c r="I49" s="562" t="s">
        <v>465</v>
      </c>
      <c r="J49" s="604"/>
      <c r="K49" s="562"/>
      <c r="L49" s="604">
        <v>33.03</v>
      </c>
      <c r="M49" s="603"/>
      <c r="N49" s="602"/>
      <c r="V49" s="674"/>
      <c r="W49" s="675"/>
      <c r="AA49" s="537" t="s">
        <v>464</v>
      </c>
    </row>
    <row r="50" spans="1:29" s="536" customFormat="1" ht="12" x14ac:dyDescent="0.2">
      <c r="A50" s="569"/>
      <c r="B50" s="671"/>
      <c r="C50" s="1823" t="s">
        <v>327</v>
      </c>
      <c r="D50" s="1823"/>
      <c r="E50" s="1823"/>
      <c r="F50" s="573"/>
      <c r="G50" s="573"/>
      <c r="H50" s="573"/>
      <c r="I50" s="573"/>
      <c r="J50" s="572"/>
      <c r="K50" s="573"/>
      <c r="L50" s="572">
        <v>712.27</v>
      </c>
      <c r="M50" s="601"/>
      <c r="N50" s="570"/>
      <c r="V50" s="674"/>
      <c r="W50" s="675"/>
      <c r="AC50" s="675" t="s">
        <v>327</v>
      </c>
    </row>
    <row r="51" spans="1:29" s="536" customFormat="1" ht="45" x14ac:dyDescent="0.2">
      <c r="A51" s="575" t="s">
        <v>186</v>
      </c>
      <c r="B51" s="670" t="s">
        <v>495</v>
      </c>
      <c r="C51" s="1823" t="s">
        <v>496</v>
      </c>
      <c r="D51" s="1823"/>
      <c r="E51" s="1823"/>
      <c r="F51" s="573" t="s">
        <v>455</v>
      </c>
      <c r="G51" s="573"/>
      <c r="H51" s="573"/>
      <c r="I51" s="573" t="s">
        <v>3278</v>
      </c>
      <c r="J51" s="572"/>
      <c r="K51" s="573"/>
      <c r="L51" s="572"/>
      <c r="M51" s="571"/>
      <c r="N51" s="570"/>
      <c r="V51" s="674"/>
      <c r="W51" s="675" t="s">
        <v>496</v>
      </c>
      <c r="AC51" s="675"/>
    </row>
    <row r="52" spans="1:29" s="536" customFormat="1" ht="12" x14ac:dyDescent="0.2">
      <c r="A52" s="676"/>
      <c r="B52" s="664"/>
      <c r="C52" s="1822" t="s">
        <v>3279</v>
      </c>
      <c r="D52" s="1822"/>
      <c r="E52" s="1822"/>
      <c r="F52" s="1822"/>
      <c r="G52" s="1822"/>
      <c r="H52" s="1822"/>
      <c r="I52" s="1822"/>
      <c r="J52" s="1822"/>
      <c r="K52" s="1822"/>
      <c r="L52" s="1822"/>
      <c r="M52" s="1822"/>
      <c r="N52" s="1827"/>
      <c r="V52" s="674"/>
      <c r="W52" s="675"/>
      <c r="X52" s="537" t="s">
        <v>3279</v>
      </c>
      <c r="AC52" s="675"/>
    </row>
    <row r="53" spans="1:29" s="536" customFormat="1" ht="33.75" x14ac:dyDescent="0.2">
      <c r="A53" s="609"/>
      <c r="B53" s="552" t="s">
        <v>310</v>
      </c>
      <c r="C53" s="1822" t="s">
        <v>311</v>
      </c>
      <c r="D53" s="1822"/>
      <c r="E53" s="1822"/>
      <c r="F53" s="1822"/>
      <c r="G53" s="1822"/>
      <c r="H53" s="1822"/>
      <c r="I53" s="1822"/>
      <c r="J53" s="1822"/>
      <c r="K53" s="1822"/>
      <c r="L53" s="1822"/>
      <c r="M53" s="1822"/>
      <c r="N53" s="1827"/>
      <c r="V53" s="674"/>
      <c r="W53" s="675"/>
      <c r="Y53" s="537" t="s">
        <v>311</v>
      </c>
      <c r="AC53" s="675"/>
    </row>
    <row r="54" spans="1:29" s="536" customFormat="1" ht="12" x14ac:dyDescent="0.2">
      <c r="A54" s="605"/>
      <c r="B54" s="552" t="s">
        <v>186</v>
      </c>
      <c r="C54" s="1822" t="s">
        <v>344</v>
      </c>
      <c r="D54" s="1822"/>
      <c r="E54" s="1822"/>
      <c r="F54" s="562"/>
      <c r="G54" s="562"/>
      <c r="H54" s="562"/>
      <c r="I54" s="562"/>
      <c r="J54" s="604">
        <v>5532.96</v>
      </c>
      <c r="K54" s="562" t="s">
        <v>313</v>
      </c>
      <c r="L54" s="604">
        <v>18.05</v>
      </c>
      <c r="M54" s="603"/>
      <c r="N54" s="602"/>
      <c r="V54" s="674"/>
      <c r="W54" s="675"/>
      <c r="Z54" s="537" t="s">
        <v>344</v>
      </c>
      <c r="AC54" s="675"/>
    </row>
    <row r="55" spans="1:29" s="536" customFormat="1" ht="12" x14ac:dyDescent="0.2">
      <c r="A55" s="605"/>
      <c r="B55" s="552" t="s">
        <v>187</v>
      </c>
      <c r="C55" s="1822" t="s">
        <v>345</v>
      </c>
      <c r="D55" s="1822"/>
      <c r="E55" s="1822"/>
      <c r="F55" s="562"/>
      <c r="G55" s="562"/>
      <c r="H55" s="562"/>
      <c r="I55" s="562"/>
      <c r="J55" s="604">
        <v>648</v>
      </c>
      <c r="K55" s="562" t="s">
        <v>313</v>
      </c>
      <c r="L55" s="604">
        <v>2.11</v>
      </c>
      <c r="M55" s="603"/>
      <c r="N55" s="602"/>
      <c r="V55" s="674"/>
      <c r="W55" s="675"/>
      <c r="Z55" s="537" t="s">
        <v>345</v>
      </c>
      <c r="AC55" s="675"/>
    </row>
    <row r="56" spans="1:29" s="536" customFormat="1" ht="12" x14ac:dyDescent="0.2">
      <c r="A56" s="605"/>
      <c r="B56" s="552"/>
      <c r="C56" s="1822" t="s">
        <v>348</v>
      </c>
      <c r="D56" s="1822"/>
      <c r="E56" s="1822"/>
      <c r="F56" s="562" t="s">
        <v>315</v>
      </c>
      <c r="G56" s="562" t="s">
        <v>501</v>
      </c>
      <c r="H56" s="562" t="s">
        <v>313</v>
      </c>
      <c r="I56" s="562" t="s">
        <v>3280</v>
      </c>
      <c r="J56" s="604"/>
      <c r="K56" s="562"/>
      <c r="L56" s="604"/>
      <c r="M56" s="603"/>
      <c r="N56" s="602"/>
      <c r="V56" s="674"/>
      <c r="W56" s="675"/>
      <c r="AA56" s="537" t="s">
        <v>348</v>
      </c>
      <c r="AC56" s="675"/>
    </row>
    <row r="57" spans="1:29" s="536" customFormat="1" ht="12" x14ac:dyDescent="0.2">
      <c r="A57" s="605"/>
      <c r="B57" s="552"/>
      <c r="C57" s="1828" t="s">
        <v>318</v>
      </c>
      <c r="D57" s="1828"/>
      <c r="E57" s="1828"/>
      <c r="F57" s="608"/>
      <c r="G57" s="608"/>
      <c r="H57" s="608"/>
      <c r="I57" s="608"/>
      <c r="J57" s="607">
        <v>5532.96</v>
      </c>
      <c r="K57" s="608"/>
      <c r="L57" s="607">
        <v>18.05</v>
      </c>
      <c r="M57" s="601"/>
      <c r="N57" s="606"/>
      <c r="V57" s="674"/>
      <c r="W57" s="675"/>
      <c r="AB57" s="537" t="s">
        <v>318</v>
      </c>
      <c r="AC57" s="675"/>
    </row>
    <row r="58" spans="1:29" s="536" customFormat="1" ht="12" x14ac:dyDescent="0.2">
      <c r="A58" s="605"/>
      <c r="B58" s="552"/>
      <c r="C58" s="1822" t="s">
        <v>319</v>
      </c>
      <c r="D58" s="1822"/>
      <c r="E58" s="1822"/>
      <c r="F58" s="562"/>
      <c r="G58" s="562"/>
      <c r="H58" s="562"/>
      <c r="I58" s="562"/>
      <c r="J58" s="604"/>
      <c r="K58" s="562"/>
      <c r="L58" s="604">
        <v>2.11</v>
      </c>
      <c r="M58" s="603"/>
      <c r="N58" s="602"/>
      <c r="V58" s="674"/>
      <c r="W58" s="675"/>
      <c r="AA58" s="537" t="s">
        <v>319</v>
      </c>
      <c r="AC58" s="675"/>
    </row>
    <row r="59" spans="1:29" s="536" customFormat="1" ht="33.75" x14ac:dyDescent="0.2">
      <c r="A59" s="605"/>
      <c r="B59" s="552" t="s">
        <v>460</v>
      </c>
      <c r="C59" s="1822" t="s">
        <v>461</v>
      </c>
      <c r="D59" s="1822"/>
      <c r="E59" s="1822"/>
      <c r="F59" s="562" t="s">
        <v>322</v>
      </c>
      <c r="G59" s="562" t="s">
        <v>462</v>
      </c>
      <c r="H59" s="562"/>
      <c r="I59" s="562" t="s">
        <v>462</v>
      </c>
      <c r="J59" s="604"/>
      <c r="K59" s="562"/>
      <c r="L59" s="604">
        <v>1.94</v>
      </c>
      <c r="M59" s="603"/>
      <c r="N59" s="602"/>
      <c r="V59" s="674"/>
      <c r="W59" s="675"/>
      <c r="AA59" s="537" t="s">
        <v>461</v>
      </c>
      <c r="AC59" s="675"/>
    </row>
    <row r="60" spans="1:29" s="536" customFormat="1" ht="33.75" x14ac:dyDescent="0.2">
      <c r="A60" s="605"/>
      <c r="B60" s="552" t="s">
        <v>463</v>
      </c>
      <c r="C60" s="1822" t="s">
        <v>464</v>
      </c>
      <c r="D60" s="1822"/>
      <c r="E60" s="1822"/>
      <c r="F60" s="562" t="s">
        <v>322</v>
      </c>
      <c r="G60" s="562" t="s">
        <v>465</v>
      </c>
      <c r="H60" s="562"/>
      <c r="I60" s="562" t="s">
        <v>465</v>
      </c>
      <c r="J60" s="604"/>
      <c r="K60" s="562"/>
      <c r="L60" s="604">
        <v>0.97</v>
      </c>
      <c r="M60" s="603"/>
      <c r="N60" s="602"/>
      <c r="V60" s="674"/>
      <c r="W60" s="675"/>
      <c r="AA60" s="537" t="s">
        <v>464</v>
      </c>
      <c r="AC60" s="675"/>
    </row>
    <row r="61" spans="1:29" s="536" customFormat="1" ht="12" x14ac:dyDescent="0.2">
      <c r="A61" s="569"/>
      <c r="B61" s="671"/>
      <c r="C61" s="1823" t="s">
        <v>327</v>
      </c>
      <c r="D61" s="1823"/>
      <c r="E61" s="1823"/>
      <c r="F61" s="573"/>
      <c r="G61" s="573"/>
      <c r="H61" s="573"/>
      <c r="I61" s="573"/>
      <c r="J61" s="572"/>
      <c r="K61" s="573"/>
      <c r="L61" s="572">
        <v>20.96</v>
      </c>
      <c r="M61" s="601"/>
      <c r="N61" s="570"/>
      <c r="V61" s="674"/>
      <c r="W61" s="675"/>
      <c r="AC61" s="675" t="s">
        <v>327</v>
      </c>
    </row>
    <row r="62" spans="1:29" s="536" customFormat="1" ht="56.25" x14ac:dyDescent="0.2">
      <c r="A62" s="575" t="s">
        <v>187</v>
      </c>
      <c r="B62" s="670" t="s">
        <v>1358</v>
      </c>
      <c r="C62" s="1823" t="s">
        <v>1359</v>
      </c>
      <c r="D62" s="1823"/>
      <c r="E62" s="1823"/>
      <c r="F62" s="573" t="s">
        <v>455</v>
      </c>
      <c r="G62" s="573"/>
      <c r="H62" s="573"/>
      <c r="I62" s="573" t="s">
        <v>3278</v>
      </c>
      <c r="J62" s="572"/>
      <c r="K62" s="573"/>
      <c r="L62" s="572"/>
      <c r="M62" s="571"/>
      <c r="N62" s="570"/>
      <c r="V62" s="674"/>
      <c r="W62" s="675" t="s">
        <v>1359</v>
      </c>
      <c r="AC62" s="675"/>
    </row>
    <row r="63" spans="1:29" s="536" customFormat="1" ht="12" x14ac:dyDescent="0.2">
      <c r="A63" s="676"/>
      <c r="B63" s="664"/>
      <c r="C63" s="1822" t="s">
        <v>3279</v>
      </c>
      <c r="D63" s="1822"/>
      <c r="E63" s="1822"/>
      <c r="F63" s="1822"/>
      <c r="G63" s="1822"/>
      <c r="H63" s="1822"/>
      <c r="I63" s="1822"/>
      <c r="J63" s="1822"/>
      <c r="K63" s="1822"/>
      <c r="L63" s="1822"/>
      <c r="M63" s="1822"/>
      <c r="N63" s="1827"/>
      <c r="V63" s="674"/>
      <c r="W63" s="675"/>
      <c r="X63" s="537" t="s">
        <v>3279</v>
      </c>
      <c r="AC63" s="675"/>
    </row>
    <row r="64" spans="1:29" s="536" customFormat="1" ht="33.75" x14ac:dyDescent="0.2">
      <c r="A64" s="609"/>
      <c r="B64" s="552" t="s">
        <v>310</v>
      </c>
      <c r="C64" s="1822" t="s">
        <v>311</v>
      </c>
      <c r="D64" s="1822"/>
      <c r="E64" s="1822"/>
      <c r="F64" s="1822"/>
      <c r="G64" s="1822"/>
      <c r="H64" s="1822"/>
      <c r="I64" s="1822"/>
      <c r="J64" s="1822"/>
      <c r="K64" s="1822"/>
      <c r="L64" s="1822"/>
      <c r="M64" s="1822"/>
      <c r="N64" s="1827"/>
      <c r="V64" s="674"/>
      <c r="W64" s="675"/>
      <c r="Y64" s="537" t="s">
        <v>311</v>
      </c>
      <c r="AC64" s="675"/>
    </row>
    <row r="65" spans="1:29" s="536" customFormat="1" ht="12" x14ac:dyDescent="0.2">
      <c r="A65" s="605"/>
      <c r="B65" s="552" t="s">
        <v>186</v>
      </c>
      <c r="C65" s="1822" t="s">
        <v>344</v>
      </c>
      <c r="D65" s="1822"/>
      <c r="E65" s="1822"/>
      <c r="F65" s="562"/>
      <c r="G65" s="562"/>
      <c r="H65" s="562"/>
      <c r="I65" s="562"/>
      <c r="J65" s="604">
        <v>4264.99</v>
      </c>
      <c r="K65" s="562" t="s">
        <v>313</v>
      </c>
      <c r="L65" s="604">
        <v>13.91</v>
      </c>
      <c r="M65" s="603"/>
      <c r="N65" s="602"/>
      <c r="V65" s="674"/>
      <c r="W65" s="675"/>
      <c r="Z65" s="537" t="s">
        <v>344</v>
      </c>
      <c r="AC65" s="675"/>
    </row>
    <row r="66" spans="1:29" s="536" customFormat="1" ht="12" x14ac:dyDescent="0.2">
      <c r="A66" s="605"/>
      <c r="B66" s="552" t="s">
        <v>187</v>
      </c>
      <c r="C66" s="1822" t="s">
        <v>345</v>
      </c>
      <c r="D66" s="1822"/>
      <c r="E66" s="1822"/>
      <c r="F66" s="562"/>
      <c r="G66" s="562"/>
      <c r="H66" s="562"/>
      <c r="I66" s="562"/>
      <c r="J66" s="604">
        <v>499.5</v>
      </c>
      <c r="K66" s="562" t="s">
        <v>313</v>
      </c>
      <c r="L66" s="604">
        <v>1.63</v>
      </c>
      <c r="M66" s="603"/>
      <c r="N66" s="602"/>
      <c r="V66" s="674"/>
      <c r="W66" s="675"/>
      <c r="Z66" s="537" t="s">
        <v>345</v>
      </c>
      <c r="AC66" s="675"/>
    </row>
    <row r="67" spans="1:29" s="536" customFormat="1" ht="12" x14ac:dyDescent="0.2">
      <c r="A67" s="605"/>
      <c r="B67" s="552"/>
      <c r="C67" s="1822" t="s">
        <v>348</v>
      </c>
      <c r="D67" s="1822"/>
      <c r="E67" s="1822"/>
      <c r="F67" s="562" t="s">
        <v>315</v>
      </c>
      <c r="G67" s="562" t="s">
        <v>770</v>
      </c>
      <c r="H67" s="562" t="s">
        <v>313</v>
      </c>
      <c r="I67" s="562" t="s">
        <v>3281</v>
      </c>
      <c r="J67" s="604"/>
      <c r="K67" s="562"/>
      <c r="L67" s="604"/>
      <c r="M67" s="603"/>
      <c r="N67" s="602"/>
      <c r="V67" s="674"/>
      <c r="W67" s="675"/>
      <c r="AA67" s="537" t="s">
        <v>348</v>
      </c>
      <c r="AC67" s="675"/>
    </row>
    <row r="68" spans="1:29" s="536" customFormat="1" ht="12" x14ac:dyDescent="0.2">
      <c r="A68" s="605"/>
      <c r="B68" s="552"/>
      <c r="C68" s="1828" t="s">
        <v>318</v>
      </c>
      <c r="D68" s="1828"/>
      <c r="E68" s="1828"/>
      <c r="F68" s="608"/>
      <c r="G68" s="608"/>
      <c r="H68" s="608"/>
      <c r="I68" s="608"/>
      <c r="J68" s="607">
        <v>4264.99</v>
      </c>
      <c r="K68" s="608"/>
      <c r="L68" s="607">
        <v>13.91</v>
      </c>
      <c r="M68" s="601"/>
      <c r="N68" s="606"/>
      <c r="V68" s="674"/>
      <c r="W68" s="675"/>
      <c r="AB68" s="537" t="s">
        <v>318</v>
      </c>
      <c r="AC68" s="675"/>
    </row>
    <row r="69" spans="1:29" s="536" customFormat="1" ht="12" x14ac:dyDescent="0.2">
      <c r="A69" s="605"/>
      <c r="B69" s="552"/>
      <c r="C69" s="1822" t="s">
        <v>319</v>
      </c>
      <c r="D69" s="1822"/>
      <c r="E69" s="1822"/>
      <c r="F69" s="562"/>
      <c r="G69" s="562"/>
      <c r="H69" s="562"/>
      <c r="I69" s="562"/>
      <c r="J69" s="604"/>
      <c r="K69" s="562"/>
      <c r="L69" s="604">
        <v>1.63</v>
      </c>
      <c r="M69" s="603"/>
      <c r="N69" s="602"/>
      <c r="V69" s="674"/>
      <c r="W69" s="675"/>
      <c r="AA69" s="537" t="s">
        <v>319</v>
      </c>
      <c r="AC69" s="675"/>
    </row>
    <row r="70" spans="1:29" s="536" customFormat="1" ht="33.75" x14ac:dyDescent="0.2">
      <c r="A70" s="605"/>
      <c r="B70" s="552" t="s">
        <v>460</v>
      </c>
      <c r="C70" s="1822" t="s">
        <v>461</v>
      </c>
      <c r="D70" s="1822"/>
      <c r="E70" s="1822"/>
      <c r="F70" s="562" t="s">
        <v>322</v>
      </c>
      <c r="G70" s="562" t="s">
        <v>462</v>
      </c>
      <c r="H70" s="562"/>
      <c r="I70" s="562" t="s">
        <v>462</v>
      </c>
      <c r="J70" s="604"/>
      <c r="K70" s="562"/>
      <c r="L70" s="604">
        <v>1.5</v>
      </c>
      <c r="M70" s="603"/>
      <c r="N70" s="602"/>
      <c r="V70" s="674"/>
      <c r="W70" s="675"/>
      <c r="AA70" s="537" t="s">
        <v>461</v>
      </c>
      <c r="AC70" s="675"/>
    </row>
    <row r="71" spans="1:29" s="536" customFormat="1" ht="33.75" x14ac:dyDescent="0.2">
      <c r="A71" s="605"/>
      <c r="B71" s="552" t="s">
        <v>463</v>
      </c>
      <c r="C71" s="1822" t="s">
        <v>464</v>
      </c>
      <c r="D71" s="1822"/>
      <c r="E71" s="1822"/>
      <c r="F71" s="562" t="s">
        <v>322</v>
      </c>
      <c r="G71" s="562" t="s">
        <v>465</v>
      </c>
      <c r="H71" s="562"/>
      <c r="I71" s="562" t="s">
        <v>465</v>
      </c>
      <c r="J71" s="604"/>
      <c r="K71" s="562"/>
      <c r="L71" s="604">
        <v>0.75</v>
      </c>
      <c r="M71" s="603"/>
      <c r="N71" s="602"/>
      <c r="V71" s="674"/>
      <c r="W71" s="675"/>
      <c r="AA71" s="537" t="s">
        <v>464</v>
      </c>
      <c r="AC71" s="675"/>
    </row>
    <row r="72" spans="1:29" s="536" customFormat="1" ht="12" x14ac:dyDescent="0.2">
      <c r="A72" s="569"/>
      <c r="B72" s="671"/>
      <c r="C72" s="1823" t="s">
        <v>327</v>
      </c>
      <c r="D72" s="1823"/>
      <c r="E72" s="1823"/>
      <c r="F72" s="573"/>
      <c r="G72" s="573"/>
      <c r="H72" s="573"/>
      <c r="I72" s="573"/>
      <c r="J72" s="572"/>
      <c r="K72" s="573"/>
      <c r="L72" s="572">
        <v>16.16</v>
      </c>
      <c r="M72" s="601"/>
      <c r="N72" s="570"/>
      <c r="V72" s="674"/>
      <c r="W72" s="675"/>
      <c r="AC72" s="675" t="s">
        <v>327</v>
      </c>
    </row>
    <row r="73" spans="1:29" s="536" customFormat="1" ht="22.5" x14ac:dyDescent="0.2">
      <c r="A73" s="575" t="s">
        <v>188</v>
      </c>
      <c r="B73" s="670" t="s">
        <v>507</v>
      </c>
      <c r="C73" s="1823" t="s">
        <v>508</v>
      </c>
      <c r="D73" s="1823"/>
      <c r="E73" s="1823"/>
      <c r="F73" s="573" t="s">
        <v>509</v>
      </c>
      <c r="G73" s="573"/>
      <c r="H73" s="573"/>
      <c r="I73" s="573" t="s">
        <v>3282</v>
      </c>
      <c r="J73" s="572"/>
      <c r="K73" s="573"/>
      <c r="L73" s="572"/>
      <c r="M73" s="571"/>
      <c r="N73" s="570"/>
      <c r="V73" s="674"/>
      <c r="W73" s="675" t="s">
        <v>508</v>
      </c>
      <c r="AC73" s="675"/>
    </row>
    <row r="74" spans="1:29" s="536" customFormat="1" ht="12" x14ac:dyDescent="0.2">
      <c r="A74" s="676"/>
      <c r="B74" s="664"/>
      <c r="C74" s="1822" t="s">
        <v>3283</v>
      </c>
      <c r="D74" s="1822"/>
      <c r="E74" s="1822"/>
      <c r="F74" s="1822"/>
      <c r="G74" s="1822"/>
      <c r="H74" s="1822"/>
      <c r="I74" s="1822"/>
      <c r="J74" s="1822"/>
      <c r="K74" s="1822"/>
      <c r="L74" s="1822"/>
      <c r="M74" s="1822"/>
      <c r="N74" s="1827"/>
      <c r="V74" s="674"/>
      <c r="W74" s="675"/>
      <c r="X74" s="537" t="s">
        <v>3283</v>
      </c>
      <c r="AC74" s="675"/>
    </row>
    <row r="75" spans="1:29" s="536" customFormat="1" ht="33.75" x14ac:dyDescent="0.2">
      <c r="A75" s="609"/>
      <c r="B75" s="552" t="s">
        <v>310</v>
      </c>
      <c r="C75" s="1822" t="s">
        <v>311</v>
      </c>
      <c r="D75" s="1822"/>
      <c r="E75" s="1822"/>
      <c r="F75" s="1822"/>
      <c r="G75" s="1822"/>
      <c r="H75" s="1822"/>
      <c r="I75" s="1822"/>
      <c r="J75" s="1822"/>
      <c r="K75" s="1822"/>
      <c r="L75" s="1822"/>
      <c r="M75" s="1822"/>
      <c r="N75" s="1827"/>
      <c r="V75" s="674"/>
      <c r="W75" s="675"/>
      <c r="Y75" s="537" t="s">
        <v>311</v>
      </c>
      <c r="AC75" s="675"/>
    </row>
    <row r="76" spans="1:29" s="536" customFormat="1" ht="12" x14ac:dyDescent="0.2">
      <c r="A76" s="605"/>
      <c r="B76" s="552" t="s">
        <v>185</v>
      </c>
      <c r="C76" s="1822" t="s">
        <v>312</v>
      </c>
      <c r="D76" s="1822"/>
      <c r="E76" s="1822"/>
      <c r="F76" s="562"/>
      <c r="G76" s="562"/>
      <c r="H76" s="562"/>
      <c r="I76" s="562"/>
      <c r="J76" s="604">
        <v>127.61</v>
      </c>
      <c r="K76" s="562" t="s">
        <v>313</v>
      </c>
      <c r="L76" s="604">
        <v>4.16</v>
      </c>
      <c r="M76" s="603"/>
      <c r="N76" s="602"/>
      <c r="V76" s="674"/>
      <c r="W76" s="675"/>
      <c r="Z76" s="537" t="s">
        <v>312</v>
      </c>
      <c r="AC76" s="675"/>
    </row>
    <row r="77" spans="1:29" s="536" customFormat="1" ht="12" x14ac:dyDescent="0.2">
      <c r="A77" s="605"/>
      <c r="B77" s="552" t="s">
        <v>186</v>
      </c>
      <c r="C77" s="1822" t="s">
        <v>344</v>
      </c>
      <c r="D77" s="1822"/>
      <c r="E77" s="1822"/>
      <c r="F77" s="562"/>
      <c r="G77" s="562"/>
      <c r="H77" s="562"/>
      <c r="I77" s="562"/>
      <c r="J77" s="604">
        <v>288.58</v>
      </c>
      <c r="K77" s="562" t="s">
        <v>313</v>
      </c>
      <c r="L77" s="604">
        <v>9.41</v>
      </c>
      <c r="M77" s="603"/>
      <c r="N77" s="602"/>
      <c r="V77" s="674"/>
      <c r="W77" s="675"/>
      <c r="Z77" s="537" t="s">
        <v>344</v>
      </c>
      <c r="AC77" s="675"/>
    </row>
    <row r="78" spans="1:29" s="536" customFormat="1" ht="12" x14ac:dyDescent="0.2">
      <c r="A78" s="605"/>
      <c r="B78" s="552" t="s">
        <v>187</v>
      </c>
      <c r="C78" s="1822" t="s">
        <v>345</v>
      </c>
      <c r="D78" s="1822"/>
      <c r="E78" s="1822"/>
      <c r="F78" s="562"/>
      <c r="G78" s="562"/>
      <c r="H78" s="562"/>
      <c r="I78" s="562"/>
      <c r="J78" s="604">
        <v>31.49</v>
      </c>
      <c r="K78" s="562" t="s">
        <v>313</v>
      </c>
      <c r="L78" s="604">
        <v>1.03</v>
      </c>
      <c r="M78" s="603"/>
      <c r="N78" s="602"/>
      <c r="V78" s="674"/>
      <c r="W78" s="675"/>
      <c r="Z78" s="537" t="s">
        <v>345</v>
      </c>
      <c r="AC78" s="675"/>
    </row>
    <row r="79" spans="1:29" s="536" customFormat="1" ht="12" x14ac:dyDescent="0.2">
      <c r="A79" s="605"/>
      <c r="B79" s="552"/>
      <c r="C79" s="1822" t="s">
        <v>314</v>
      </c>
      <c r="D79" s="1822"/>
      <c r="E79" s="1822"/>
      <c r="F79" s="562" t="s">
        <v>315</v>
      </c>
      <c r="G79" s="562" t="s">
        <v>512</v>
      </c>
      <c r="H79" s="562" t="s">
        <v>313</v>
      </c>
      <c r="I79" s="562" t="s">
        <v>3284</v>
      </c>
      <c r="J79" s="604"/>
      <c r="K79" s="562"/>
      <c r="L79" s="604"/>
      <c r="M79" s="603"/>
      <c r="N79" s="602"/>
      <c r="V79" s="674"/>
      <c r="W79" s="675"/>
      <c r="AA79" s="537" t="s">
        <v>314</v>
      </c>
      <c r="AC79" s="675"/>
    </row>
    <row r="80" spans="1:29" s="536" customFormat="1" ht="12" x14ac:dyDescent="0.2">
      <c r="A80" s="605"/>
      <c r="B80" s="552"/>
      <c r="C80" s="1822" t="s">
        <v>348</v>
      </c>
      <c r="D80" s="1822"/>
      <c r="E80" s="1822"/>
      <c r="F80" s="562" t="s">
        <v>315</v>
      </c>
      <c r="G80" s="562" t="s">
        <v>514</v>
      </c>
      <c r="H80" s="562" t="s">
        <v>313</v>
      </c>
      <c r="I80" s="562" t="s">
        <v>3285</v>
      </c>
      <c r="J80" s="604"/>
      <c r="K80" s="562"/>
      <c r="L80" s="604"/>
      <c r="M80" s="603"/>
      <c r="N80" s="602"/>
      <c r="V80" s="674"/>
      <c r="W80" s="675"/>
      <c r="AA80" s="537" t="s">
        <v>348</v>
      </c>
      <c r="AC80" s="675"/>
    </row>
    <row r="81" spans="1:31" s="536" customFormat="1" ht="12" x14ac:dyDescent="0.2">
      <c r="A81" s="605"/>
      <c r="B81" s="552"/>
      <c r="C81" s="1828" t="s">
        <v>318</v>
      </c>
      <c r="D81" s="1828"/>
      <c r="E81" s="1828"/>
      <c r="F81" s="608"/>
      <c r="G81" s="608"/>
      <c r="H81" s="608"/>
      <c r="I81" s="608"/>
      <c r="J81" s="607">
        <v>416.19</v>
      </c>
      <c r="K81" s="608"/>
      <c r="L81" s="607">
        <v>13.57</v>
      </c>
      <c r="M81" s="601"/>
      <c r="N81" s="606"/>
      <c r="V81" s="674"/>
      <c r="W81" s="675"/>
      <c r="AB81" s="537" t="s">
        <v>318</v>
      </c>
      <c r="AC81" s="675"/>
    </row>
    <row r="82" spans="1:31" s="536" customFormat="1" ht="12" x14ac:dyDescent="0.2">
      <c r="A82" s="605"/>
      <c r="B82" s="552"/>
      <c r="C82" s="1822" t="s">
        <v>319</v>
      </c>
      <c r="D82" s="1822"/>
      <c r="E82" s="1822"/>
      <c r="F82" s="562"/>
      <c r="G82" s="562"/>
      <c r="H82" s="562"/>
      <c r="I82" s="562"/>
      <c r="J82" s="604"/>
      <c r="K82" s="562"/>
      <c r="L82" s="604">
        <v>5.19</v>
      </c>
      <c r="M82" s="603"/>
      <c r="N82" s="602"/>
      <c r="V82" s="674"/>
      <c r="W82" s="675"/>
      <c r="AA82" s="537" t="s">
        <v>319</v>
      </c>
      <c r="AC82" s="675"/>
    </row>
    <row r="83" spans="1:31" s="536" customFormat="1" ht="33.75" x14ac:dyDescent="0.2">
      <c r="A83" s="605"/>
      <c r="B83" s="552" t="s">
        <v>460</v>
      </c>
      <c r="C83" s="1822" t="s">
        <v>461</v>
      </c>
      <c r="D83" s="1822"/>
      <c r="E83" s="1822"/>
      <c r="F83" s="562" t="s">
        <v>322</v>
      </c>
      <c r="G83" s="562" t="s">
        <v>462</v>
      </c>
      <c r="H83" s="562"/>
      <c r="I83" s="562" t="s">
        <v>462</v>
      </c>
      <c r="J83" s="604"/>
      <c r="K83" s="562"/>
      <c r="L83" s="604">
        <v>4.7699999999999996</v>
      </c>
      <c r="M83" s="603"/>
      <c r="N83" s="602"/>
      <c r="V83" s="674"/>
      <c r="W83" s="675"/>
      <c r="AA83" s="537" t="s">
        <v>461</v>
      </c>
      <c r="AC83" s="675"/>
    </row>
    <row r="84" spans="1:31" s="536" customFormat="1" ht="33.75" x14ac:dyDescent="0.2">
      <c r="A84" s="605"/>
      <c r="B84" s="552" t="s">
        <v>463</v>
      </c>
      <c r="C84" s="1822" t="s">
        <v>464</v>
      </c>
      <c r="D84" s="1822"/>
      <c r="E84" s="1822"/>
      <c r="F84" s="562" t="s">
        <v>322</v>
      </c>
      <c r="G84" s="562" t="s">
        <v>465</v>
      </c>
      <c r="H84" s="562"/>
      <c r="I84" s="562" t="s">
        <v>465</v>
      </c>
      <c r="J84" s="604"/>
      <c r="K84" s="562"/>
      <c r="L84" s="604">
        <v>2.39</v>
      </c>
      <c r="M84" s="603"/>
      <c r="N84" s="602"/>
      <c r="V84" s="674"/>
      <c r="W84" s="675"/>
      <c r="AA84" s="537" t="s">
        <v>464</v>
      </c>
      <c r="AC84" s="675"/>
    </row>
    <row r="85" spans="1:31" s="536" customFormat="1" ht="12" x14ac:dyDescent="0.2">
      <c r="A85" s="569"/>
      <c r="B85" s="671"/>
      <c r="C85" s="1823" t="s">
        <v>327</v>
      </c>
      <c r="D85" s="1823"/>
      <c r="E85" s="1823"/>
      <c r="F85" s="573"/>
      <c r="G85" s="573"/>
      <c r="H85" s="573"/>
      <c r="I85" s="573"/>
      <c r="J85" s="572"/>
      <c r="K85" s="573"/>
      <c r="L85" s="572">
        <v>20.73</v>
      </c>
      <c r="M85" s="601"/>
      <c r="N85" s="570"/>
      <c r="V85" s="674"/>
      <c r="W85" s="675"/>
      <c r="AC85" s="675" t="s">
        <v>327</v>
      </c>
    </row>
    <row r="86" spans="1:31" s="536" customFormat="1" ht="45" x14ac:dyDescent="0.2">
      <c r="A86" s="575" t="s">
        <v>189</v>
      </c>
      <c r="B86" s="670" t="s">
        <v>1005</v>
      </c>
      <c r="C86" s="1823" t="s">
        <v>1006</v>
      </c>
      <c r="D86" s="1823"/>
      <c r="E86" s="1823"/>
      <c r="F86" s="573" t="s">
        <v>201</v>
      </c>
      <c r="G86" s="573"/>
      <c r="H86" s="573"/>
      <c r="I86" s="573" t="s">
        <v>3286</v>
      </c>
      <c r="J86" s="572">
        <v>2.91</v>
      </c>
      <c r="K86" s="573"/>
      <c r="L86" s="572">
        <v>434.84</v>
      </c>
      <c r="M86" s="571"/>
      <c r="N86" s="570"/>
      <c r="V86" s="674"/>
      <c r="W86" s="675" t="s">
        <v>1006</v>
      </c>
      <c r="AC86" s="675"/>
    </row>
    <row r="87" spans="1:31" s="536" customFormat="1" ht="12" x14ac:dyDescent="0.2">
      <c r="A87" s="676"/>
      <c r="B87" s="664"/>
      <c r="C87" s="1822" t="s">
        <v>3287</v>
      </c>
      <c r="D87" s="1822"/>
      <c r="E87" s="1822"/>
      <c r="F87" s="1822"/>
      <c r="G87" s="1822"/>
      <c r="H87" s="1822"/>
      <c r="I87" s="1822"/>
      <c r="J87" s="1822"/>
      <c r="K87" s="1822"/>
      <c r="L87" s="1822"/>
      <c r="M87" s="1822"/>
      <c r="N87" s="1827"/>
      <c r="V87" s="674"/>
      <c r="W87" s="675"/>
      <c r="X87" s="537" t="s">
        <v>3287</v>
      </c>
      <c r="AC87" s="675"/>
    </row>
    <row r="88" spans="1:31" s="536" customFormat="1" ht="1.5" customHeight="1" x14ac:dyDescent="0.2">
      <c r="A88" s="563"/>
      <c r="B88" s="671"/>
      <c r="C88" s="671"/>
      <c r="D88" s="671"/>
      <c r="E88" s="671"/>
      <c r="F88" s="563"/>
      <c r="G88" s="563"/>
      <c r="H88" s="563"/>
      <c r="I88" s="563"/>
      <c r="J88" s="546"/>
      <c r="K88" s="563"/>
      <c r="L88" s="546"/>
      <c r="M88" s="562"/>
      <c r="N88" s="546"/>
      <c r="V88" s="674"/>
      <c r="W88" s="675"/>
      <c r="AC88" s="675"/>
    </row>
    <row r="89" spans="1:31" s="536" customFormat="1" ht="12" x14ac:dyDescent="0.2">
      <c r="A89" s="557"/>
      <c r="B89" s="556"/>
      <c r="C89" s="1823" t="s">
        <v>1021</v>
      </c>
      <c r="D89" s="1823"/>
      <c r="E89" s="1823"/>
      <c r="F89" s="1823"/>
      <c r="G89" s="1823"/>
      <c r="H89" s="1823"/>
      <c r="I89" s="1823"/>
      <c r="J89" s="1823"/>
      <c r="K89" s="1823"/>
      <c r="L89" s="555"/>
      <c r="M89" s="554"/>
      <c r="N89" s="553"/>
      <c r="V89" s="674"/>
      <c r="W89" s="675"/>
      <c r="AC89" s="675"/>
      <c r="AD89" s="675" t="s">
        <v>1021</v>
      </c>
    </row>
    <row r="90" spans="1:31" s="536" customFormat="1" ht="12" x14ac:dyDescent="0.2">
      <c r="A90" s="548"/>
      <c r="B90" s="552"/>
      <c r="C90" s="1822" t="s">
        <v>403</v>
      </c>
      <c r="D90" s="1822"/>
      <c r="E90" s="1822"/>
      <c r="F90" s="1822"/>
      <c r="G90" s="1822"/>
      <c r="H90" s="1822"/>
      <c r="I90" s="1822"/>
      <c r="J90" s="1822"/>
      <c r="K90" s="1822"/>
      <c r="L90" s="551">
        <v>1093.54</v>
      </c>
      <c r="M90" s="550"/>
      <c r="N90" s="549"/>
      <c r="V90" s="674"/>
      <c r="W90" s="675"/>
      <c r="AC90" s="675"/>
      <c r="AD90" s="675"/>
      <c r="AE90" s="537" t="s">
        <v>403</v>
      </c>
    </row>
    <row r="91" spans="1:31" s="536" customFormat="1" ht="12" x14ac:dyDescent="0.2">
      <c r="A91" s="548"/>
      <c r="B91" s="552"/>
      <c r="C91" s="1822" t="s">
        <v>204</v>
      </c>
      <c r="D91" s="1822"/>
      <c r="E91" s="1822"/>
      <c r="F91" s="1822"/>
      <c r="G91" s="1822"/>
      <c r="H91" s="1822"/>
      <c r="I91" s="1822"/>
      <c r="J91" s="1822"/>
      <c r="K91" s="1822"/>
      <c r="L91" s="551"/>
      <c r="M91" s="550"/>
      <c r="N91" s="549"/>
      <c r="V91" s="674"/>
      <c r="W91" s="675"/>
      <c r="AC91" s="675"/>
      <c r="AD91" s="675"/>
      <c r="AE91" s="537" t="s">
        <v>204</v>
      </c>
    </row>
    <row r="92" spans="1:31" s="536" customFormat="1" ht="12" x14ac:dyDescent="0.2">
      <c r="A92" s="548"/>
      <c r="B92" s="552"/>
      <c r="C92" s="1822" t="s">
        <v>404</v>
      </c>
      <c r="D92" s="1822"/>
      <c r="E92" s="1822"/>
      <c r="F92" s="1822"/>
      <c r="G92" s="1822"/>
      <c r="H92" s="1822"/>
      <c r="I92" s="1822"/>
      <c r="J92" s="1822"/>
      <c r="K92" s="1822"/>
      <c r="L92" s="551">
        <v>4.16</v>
      </c>
      <c r="M92" s="550"/>
      <c r="N92" s="549"/>
      <c r="V92" s="674"/>
      <c r="W92" s="675"/>
      <c r="AC92" s="675"/>
      <c r="AD92" s="675"/>
      <c r="AE92" s="537" t="s">
        <v>404</v>
      </c>
    </row>
    <row r="93" spans="1:31" s="536" customFormat="1" ht="12" x14ac:dyDescent="0.2">
      <c r="A93" s="548"/>
      <c r="B93" s="552"/>
      <c r="C93" s="1822" t="s">
        <v>405</v>
      </c>
      <c r="D93" s="1822"/>
      <c r="E93" s="1822"/>
      <c r="F93" s="1822"/>
      <c r="G93" s="1822"/>
      <c r="H93" s="1822"/>
      <c r="I93" s="1822"/>
      <c r="J93" s="1822"/>
      <c r="K93" s="1822"/>
      <c r="L93" s="551">
        <v>1089.3800000000001</v>
      </c>
      <c r="M93" s="550"/>
      <c r="N93" s="549"/>
      <c r="V93" s="674"/>
      <c r="W93" s="675"/>
      <c r="AC93" s="675"/>
      <c r="AD93" s="675"/>
      <c r="AE93" s="537" t="s">
        <v>405</v>
      </c>
    </row>
    <row r="94" spans="1:31" s="536" customFormat="1" ht="12" x14ac:dyDescent="0.2">
      <c r="A94" s="548"/>
      <c r="B94" s="552"/>
      <c r="C94" s="1822" t="s">
        <v>406</v>
      </c>
      <c r="D94" s="1822"/>
      <c r="E94" s="1822"/>
      <c r="F94" s="1822"/>
      <c r="G94" s="1822"/>
      <c r="H94" s="1822"/>
      <c r="I94" s="1822"/>
      <c r="J94" s="1822"/>
      <c r="K94" s="1822"/>
      <c r="L94" s="551">
        <v>76.58</v>
      </c>
      <c r="M94" s="550"/>
      <c r="N94" s="549"/>
      <c r="V94" s="674"/>
      <c r="W94" s="675"/>
      <c r="AC94" s="675"/>
      <c r="AD94" s="675"/>
      <c r="AE94" s="537" t="s">
        <v>406</v>
      </c>
    </row>
    <row r="95" spans="1:31" s="536" customFormat="1" ht="12" x14ac:dyDescent="0.2">
      <c r="A95" s="548"/>
      <c r="B95" s="552"/>
      <c r="C95" s="1822" t="s">
        <v>407</v>
      </c>
      <c r="D95" s="1822"/>
      <c r="E95" s="1822"/>
      <c r="F95" s="1822"/>
      <c r="G95" s="1822"/>
      <c r="H95" s="1822"/>
      <c r="I95" s="1822"/>
      <c r="J95" s="1822"/>
      <c r="K95" s="1822"/>
      <c r="L95" s="551">
        <v>1204.96</v>
      </c>
      <c r="M95" s="550"/>
      <c r="N95" s="549"/>
      <c r="V95" s="674"/>
      <c r="W95" s="675"/>
      <c r="AC95" s="675"/>
      <c r="AD95" s="675"/>
      <c r="AE95" s="537" t="s">
        <v>407</v>
      </c>
    </row>
    <row r="96" spans="1:31" s="536" customFormat="1" ht="12" x14ac:dyDescent="0.2">
      <c r="A96" s="548"/>
      <c r="B96" s="552"/>
      <c r="C96" s="1822" t="s">
        <v>408</v>
      </c>
      <c r="D96" s="1822"/>
      <c r="E96" s="1822"/>
      <c r="F96" s="1822"/>
      <c r="G96" s="1822"/>
      <c r="H96" s="1822"/>
      <c r="I96" s="1822"/>
      <c r="J96" s="1822"/>
      <c r="K96" s="1822"/>
      <c r="L96" s="551">
        <v>770.12</v>
      </c>
      <c r="M96" s="550"/>
      <c r="N96" s="549"/>
      <c r="V96" s="674"/>
      <c r="W96" s="675"/>
      <c r="AC96" s="675"/>
      <c r="AD96" s="675"/>
      <c r="AE96" s="537" t="s">
        <v>408</v>
      </c>
    </row>
    <row r="97" spans="1:32" s="536" customFormat="1" ht="12" x14ac:dyDescent="0.2">
      <c r="A97" s="548"/>
      <c r="B97" s="552"/>
      <c r="C97" s="1822" t="s">
        <v>409</v>
      </c>
      <c r="D97" s="1822"/>
      <c r="E97" s="1822"/>
      <c r="F97" s="1822"/>
      <c r="G97" s="1822"/>
      <c r="H97" s="1822"/>
      <c r="I97" s="1822"/>
      <c r="J97" s="1822"/>
      <c r="K97" s="1822"/>
      <c r="L97" s="551"/>
      <c r="M97" s="550"/>
      <c r="N97" s="549"/>
      <c r="V97" s="674"/>
      <c r="W97" s="675"/>
      <c r="AC97" s="675"/>
      <c r="AD97" s="675"/>
      <c r="AE97" s="537" t="s">
        <v>409</v>
      </c>
    </row>
    <row r="98" spans="1:32" s="536" customFormat="1" ht="12" x14ac:dyDescent="0.2">
      <c r="A98" s="548"/>
      <c r="B98" s="552"/>
      <c r="C98" s="1822" t="s">
        <v>410</v>
      </c>
      <c r="D98" s="1822"/>
      <c r="E98" s="1822"/>
      <c r="F98" s="1822"/>
      <c r="G98" s="1822"/>
      <c r="H98" s="1822"/>
      <c r="I98" s="1822"/>
      <c r="J98" s="1822"/>
      <c r="K98" s="1822"/>
      <c r="L98" s="551">
        <v>4.16</v>
      </c>
      <c r="M98" s="550"/>
      <c r="N98" s="549"/>
      <c r="V98" s="674"/>
      <c r="W98" s="675"/>
      <c r="AC98" s="675"/>
      <c r="AD98" s="675"/>
      <c r="AE98" s="537" t="s">
        <v>410</v>
      </c>
    </row>
    <row r="99" spans="1:32" s="536" customFormat="1" ht="12" x14ac:dyDescent="0.2">
      <c r="A99" s="548"/>
      <c r="B99" s="552"/>
      <c r="C99" s="1822" t="s">
        <v>411</v>
      </c>
      <c r="D99" s="1822"/>
      <c r="E99" s="1822"/>
      <c r="F99" s="1822"/>
      <c r="G99" s="1822"/>
      <c r="H99" s="1822"/>
      <c r="I99" s="1822"/>
      <c r="J99" s="1822"/>
      <c r="K99" s="1822"/>
      <c r="L99" s="551">
        <v>654.54</v>
      </c>
      <c r="M99" s="550"/>
      <c r="N99" s="549"/>
      <c r="V99" s="674"/>
      <c r="W99" s="675"/>
      <c r="AC99" s="675"/>
      <c r="AD99" s="675"/>
      <c r="AE99" s="537" t="s">
        <v>411</v>
      </c>
    </row>
    <row r="100" spans="1:32" s="536" customFormat="1" ht="12" x14ac:dyDescent="0.2">
      <c r="A100" s="548"/>
      <c r="B100" s="552"/>
      <c r="C100" s="1822" t="s">
        <v>412</v>
      </c>
      <c r="D100" s="1822"/>
      <c r="E100" s="1822"/>
      <c r="F100" s="1822"/>
      <c r="G100" s="1822"/>
      <c r="H100" s="1822"/>
      <c r="I100" s="1822"/>
      <c r="J100" s="1822"/>
      <c r="K100" s="1822"/>
      <c r="L100" s="551">
        <v>74.28</v>
      </c>
      <c r="M100" s="550"/>
      <c r="N100" s="549"/>
      <c r="V100" s="674"/>
      <c r="W100" s="675"/>
      <c r="AC100" s="675"/>
      <c r="AD100" s="675"/>
      <c r="AE100" s="537" t="s">
        <v>412</v>
      </c>
    </row>
    <row r="101" spans="1:32" s="536" customFormat="1" ht="12" x14ac:dyDescent="0.2">
      <c r="A101" s="548"/>
      <c r="B101" s="552"/>
      <c r="C101" s="1822" t="s">
        <v>413</v>
      </c>
      <c r="D101" s="1822"/>
      <c r="E101" s="1822"/>
      <c r="F101" s="1822"/>
      <c r="G101" s="1822"/>
      <c r="H101" s="1822"/>
      <c r="I101" s="1822"/>
      <c r="J101" s="1822"/>
      <c r="K101" s="1822"/>
      <c r="L101" s="551">
        <v>37.14</v>
      </c>
      <c r="M101" s="550"/>
      <c r="N101" s="549"/>
      <c r="V101" s="674"/>
      <c r="W101" s="675"/>
      <c r="AC101" s="675"/>
      <c r="AD101" s="675"/>
      <c r="AE101" s="537" t="s">
        <v>413</v>
      </c>
    </row>
    <row r="102" spans="1:32" s="536" customFormat="1" ht="12" x14ac:dyDescent="0.2">
      <c r="A102" s="548"/>
      <c r="B102" s="552"/>
      <c r="C102" s="1822" t="s">
        <v>414</v>
      </c>
      <c r="D102" s="1822"/>
      <c r="E102" s="1822"/>
      <c r="F102" s="1822"/>
      <c r="G102" s="1822"/>
      <c r="H102" s="1822"/>
      <c r="I102" s="1822"/>
      <c r="J102" s="1822"/>
      <c r="K102" s="1822"/>
      <c r="L102" s="551">
        <v>434.84</v>
      </c>
      <c r="M102" s="550"/>
      <c r="N102" s="549"/>
      <c r="V102" s="674"/>
      <c r="W102" s="675"/>
      <c r="AC102" s="675"/>
      <c r="AD102" s="675"/>
      <c r="AE102" s="537" t="s">
        <v>414</v>
      </c>
    </row>
    <row r="103" spans="1:32" s="536" customFormat="1" ht="12" x14ac:dyDescent="0.2">
      <c r="A103" s="548"/>
      <c r="B103" s="552"/>
      <c r="C103" s="1822" t="s">
        <v>415</v>
      </c>
      <c r="D103" s="1822"/>
      <c r="E103" s="1822"/>
      <c r="F103" s="1822"/>
      <c r="G103" s="1822"/>
      <c r="H103" s="1822"/>
      <c r="I103" s="1822"/>
      <c r="J103" s="1822"/>
      <c r="K103" s="1822"/>
      <c r="L103" s="551">
        <v>80.739999999999995</v>
      </c>
      <c r="M103" s="550"/>
      <c r="N103" s="549"/>
      <c r="V103" s="674"/>
      <c r="W103" s="675"/>
      <c r="AC103" s="675"/>
      <c r="AD103" s="675"/>
      <c r="AE103" s="537" t="s">
        <v>415</v>
      </c>
    </row>
    <row r="104" spans="1:32" s="536" customFormat="1" ht="12" x14ac:dyDescent="0.2">
      <c r="A104" s="548"/>
      <c r="B104" s="552"/>
      <c r="C104" s="1822" t="s">
        <v>416</v>
      </c>
      <c r="D104" s="1822"/>
      <c r="E104" s="1822"/>
      <c r="F104" s="1822"/>
      <c r="G104" s="1822"/>
      <c r="H104" s="1822"/>
      <c r="I104" s="1822"/>
      <c r="J104" s="1822"/>
      <c r="K104" s="1822"/>
      <c r="L104" s="551">
        <v>74.28</v>
      </c>
      <c r="M104" s="550"/>
      <c r="N104" s="549"/>
      <c r="V104" s="674"/>
      <c r="W104" s="675"/>
      <c r="AC104" s="675"/>
      <c r="AD104" s="675"/>
      <c r="AE104" s="537" t="s">
        <v>416</v>
      </c>
    </row>
    <row r="105" spans="1:32" s="536" customFormat="1" ht="12" x14ac:dyDescent="0.2">
      <c r="A105" s="548"/>
      <c r="B105" s="552"/>
      <c r="C105" s="1822" t="s">
        <v>417</v>
      </c>
      <c r="D105" s="1822"/>
      <c r="E105" s="1822"/>
      <c r="F105" s="1822"/>
      <c r="G105" s="1822"/>
      <c r="H105" s="1822"/>
      <c r="I105" s="1822"/>
      <c r="J105" s="1822"/>
      <c r="K105" s="1822"/>
      <c r="L105" s="551">
        <v>37.14</v>
      </c>
      <c r="M105" s="550"/>
      <c r="N105" s="549"/>
      <c r="V105" s="674"/>
      <c r="W105" s="675"/>
      <c r="AC105" s="675"/>
      <c r="AD105" s="675"/>
      <c r="AE105" s="537" t="s">
        <v>417</v>
      </c>
    </row>
    <row r="106" spans="1:32" s="536" customFormat="1" ht="12" x14ac:dyDescent="0.2">
      <c r="A106" s="548"/>
      <c r="B106" s="546"/>
      <c r="C106" s="1819" t="s">
        <v>1022</v>
      </c>
      <c r="D106" s="1819"/>
      <c r="E106" s="1819"/>
      <c r="F106" s="1819"/>
      <c r="G106" s="1819"/>
      <c r="H106" s="1819"/>
      <c r="I106" s="1819"/>
      <c r="J106" s="1819"/>
      <c r="K106" s="1819"/>
      <c r="L106" s="544">
        <v>1204.96</v>
      </c>
      <c r="M106" s="543"/>
      <c r="N106" s="681"/>
      <c r="V106" s="674"/>
      <c r="W106" s="675"/>
      <c r="AC106" s="675"/>
      <c r="AD106" s="675"/>
      <c r="AF106" s="675" t="s">
        <v>1022</v>
      </c>
    </row>
    <row r="107" spans="1:32" s="536" customFormat="1" ht="12" x14ac:dyDescent="0.2">
      <c r="A107" s="1824" t="s">
        <v>3288</v>
      </c>
      <c r="B107" s="1825"/>
      <c r="C107" s="1825"/>
      <c r="D107" s="1825"/>
      <c r="E107" s="1825"/>
      <c r="F107" s="1825"/>
      <c r="G107" s="1825"/>
      <c r="H107" s="1825"/>
      <c r="I107" s="1825"/>
      <c r="J107" s="1825"/>
      <c r="K107" s="1825"/>
      <c r="L107" s="1825"/>
      <c r="M107" s="1825"/>
      <c r="N107" s="1826"/>
      <c r="V107" s="674" t="s">
        <v>3288</v>
      </c>
      <c r="W107" s="675"/>
      <c r="AC107" s="675"/>
      <c r="AD107" s="675"/>
      <c r="AF107" s="675"/>
    </row>
    <row r="108" spans="1:32" s="536" customFormat="1" ht="12" x14ac:dyDescent="0.2">
      <c r="A108" s="575" t="s">
        <v>190</v>
      </c>
      <c r="B108" s="670" t="s">
        <v>1368</v>
      </c>
      <c r="C108" s="1823" t="s">
        <v>1369</v>
      </c>
      <c r="D108" s="1823"/>
      <c r="E108" s="1823"/>
      <c r="F108" s="573" t="s">
        <v>509</v>
      </c>
      <c r="G108" s="573"/>
      <c r="H108" s="573"/>
      <c r="I108" s="573" t="s">
        <v>3289</v>
      </c>
      <c r="J108" s="572"/>
      <c r="K108" s="573"/>
      <c r="L108" s="572"/>
      <c r="M108" s="571"/>
      <c r="N108" s="570"/>
      <c r="V108" s="674"/>
      <c r="W108" s="675" t="s">
        <v>1369</v>
      </c>
      <c r="AC108" s="675"/>
      <c r="AD108" s="675"/>
      <c r="AF108" s="675"/>
    </row>
    <row r="109" spans="1:32" s="536" customFormat="1" ht="12" x14ac:dyDescent="0.2">
      <c r="A109" s="676"/>
      <c r="B109" s="664"/>
      <c r="C109" s="1822" t="s">
        <v>3290</v>
      </c>
      <c r="D109" s="1822"/>
      <c r="E109" s="1822"/>
      <c r="F109" s="1822"/>
      <c r="G109" s="1822"/>
      <c r="H109" s="1822"/>
      <c r="I109" s="1822"/>
      <c r="J109" s="1822"/>
      <c r="K109" s="1822"/>
      <c r="L109" s="1822"/>
      <c r="M109" s="1822"/>
      <c r="N109" s="1827"/>
      <c r="V109" s="674"/>
      <c r="W109" s="675"/>
      <c r="X109" s="537" t="s">
        <v>3290</v>
      </c>
      <c r="AC109" s="675"/>
      <c r="AD109" s="675"/>
      <c r="AF109" s="675"/>
    </row>
    <row r="110" spans="1:32" s="536" customFormat="1" ht="33.75" x14ac:dyDescent="0.2">
      <c r="A110" s="609"/>
      <c r="B110" s="552" t="s">
        <v>310</v>
      </c>
      <c r="C110" s="1822" t="s">
        <v>311</v>
      </c>
      <c r="D110" s="1822"/>
      <c r="E110" s="1822"/>
      <c r="F110" s="1822"/>
      <c r="G110" s="1822"/>
      <c r="H110" s="1822"/>
      <c r="I110" s="1822"/>
      <c r="J110" s="1822"/>
      <c r="K110" s="1822"/>
      <c r="L110" s="1822"/>
      <c r="M110" s="1822"/>
      <c r="N110" s="1827"/>
      <c r="V110" s="674"/>
      <c r="W110" s="675"/>
      <c r="Y110" s="537" t="s">
        <v>311</v>
      </c>
      <c r="AC110" s="675"/>
      <c r="AD110" s="675"/>
      <c r="AF110" s="675"/>
    </row>
    <row r="111" spans="1:32" s="536" customFormat="1" ht="12" x14ac:dyDescent="0.2">
      <c r="A111" s="605"/>
      <c r="B111" s="552" t="s">
        <v>185</v>
      </c>
      <c r="C111" s="1822" t="s">
        <v>312</v>
      </c>
      <c r="D111" s="1822"/>
      <c r="E111" s="1822"/>
      <c r="F111" s="562"/>
      <c r="G111" s="562"/>
      <c r="H111" s="562"/>
      <c r="I111" s="562"/>
      <c r="J111" s="604">
        <v>1053</v>
      </c>
      <c r="K111" s="562" t="s">
        <v>313</v>
      </c>
      <c r="L111" s="604">
        <v>243.64</v>
      </c>
      <c r="M111" s="603"/>
      <c r="N111" s="602"/>
      <c r="V111" s="674"/>
      <c r="W111" s="675"/>
      <c r="Z111" s="537" t="s">
        <v>312</v>
      </c>
      <c r="AC111" s="675"/>
      <c r="AD111" s="675"/>
      <c r="AF111" s="675"/>
    </row>
    <row r="112" spans="1:32" s="536" customFormat="1" ht="12" x14ac:dyDescent="0.2">
      <c r="A112" s="605"/>
      <c r="B112" s="552" t="s">
        <v>186</v>
      </c>
      <c r="C112" s="1822" t="s">
        <v>344</v>
      </c>
      <c r="D112" s="1822"/>
      <c r="E112" s="1822"/>
      <c r="F112" s="562"/>
      <c r="G112" s="562"/>
      <c r="H112" s="562"/>
      <c r="I112" s="562"/>
      <c r="J112" s="604">
        <v>1566.06</v>
      </c>
      <c r="K112" s="562" t="s">
        <v>313</v>
      </c>
      <c r="L112" s="604">
        <v>362.35</v>
      </c>
      <c r="M112" s="603"/>
      <c r="N112" s="602"/>
      <c r="V112" s="674"/>
      <c r="W112" s="675"/>
      <c r="Z112" s="537" t="s">
        <v>344</v>
      </c>
      <c r="AC112" s="675"/>
      <c r="AD112" s="675"/>
      <c r="AF112" s="675"/>
    </row>
    <row r="113" spans="1:33" s="536" customFormat="1" ht="12" x14ac:dyDescent="0.2">
      <c r="A113" s="605"/>
      <c r="B113" s="552" t="s">
        <v>187</v>
      </c>
      <c r="C113" s="1822" t="s">
        <v>345</v>
      </c>
      <c r="D113" s="1822"/>
      <c r="E113" s="1822"/>
      <c r="F113" s="562"/>
      <c r="G113" s="562"/>
      <c r="H113" s="562"/>
      <c r="I113" s="562"/>
      <c r="J113" s="604">
        <v>244.39</v>
      </c>
      <c r="K113" s="562" t="s">
        <v>313</v>
      </c>
      <c r="L113" s="604">
        <v>56.55</v>
      </c>
      <c r="M113" s="603"/>
      <c r="N113" s="602"/>
      <c r="V113" s="674"/>
      <c r="W113" s="675"/>
      <c r="Z113" s="537" t="s">
        <v>345</v>
      </c>
      <c r="AC113" s="675"/>
      <c r="AD113" s="675"/>
      <c r="AF113" s="675"/>
    </row>
    <row r="114" spans="1:33" s="536" customFormat="1" ht="12" x14ac:dyDescent="0.2">
      <c r="A114" s="605"/>
      <c r="B114" s="552" t="s">
        <v>188</v>
      </c>
      <c r="C114" s="1822" t="s">
        <v>475</v>
      </c>
      <c r="D114" s="1822"/>
      <c r="E114" s="1822"/>
      <c r="F114" s="562"/>
      <c r="G114" s="562"/>
      <c r="H114" s="562"/>
      <c r="I114" s="562"/>
      <c r="J114" s="604">
        <v>909.27</v>
      </c>
      <c r="K114" s="562"/>
      <c r="L114" s="604">
        <v>168.31</v>
      </c>
      <c r="M114" s="603"/>
      <c r="N114" s="602"/>
      <c r="V114" s="674"/>
      <c r="W114" s="675"/>
      <c r="Z114" s="537" t="s">
        <v>475</v>
      </c>
      <c r="AC114" s="675"/>
      <c r="AD114" s="675"/>
      <c r="AF114" s="675"/>
    </row>
    <row r="115" spans="1:33" s="536" customFormat="1" ht="12" x14ac:dyDescent="0.2">
      <c r="A115" s="676"/>
      <c r="B115" s="677" t="s">
        <v>639</v>
      </c>
      <c r="C115" s="1829" t="s">
        <v>640</v>
      </c>
      <c r="D115" s="1829"/>
      <c r="E115" s="1829"/>
      <c r="F115" s="678" t="s">
        <v>641</v>
      </c>
      <c r="G115" s="678" t="s">
        <v>680</v>
      </c>
      <c r="H115" s="678"/>
      <c r="I115" s="678" t="s">
        <v>3291</v>
      </c>
      <c r="J115" s="552"/>
      <c r="K115" s="562"/>
      <c r="L115" s="604"/>
      <c r="M115" s="562"/>
      <c r="N115" s="679"/>
      <c r="V115" s="674"/>
      <c r="W115" s="675"/>
      <c r="AC115" s="675"/>
      <c r="AD115" s="675"/>
      <c r="AF115" s="675"/>
      <c r="AG115" s="680" t="s">
        <v>640</v>
      </c>
    </row>
    <row r="116" spans="1:33" s="536" customFormat="1" ht="12" x14ac:dyDescent="0.2">
      <c r="A116" s="605"/>
      <c r="B116" s="552"/>
      <c r="C116" s="1822" t="s">
        <v>314</v>
      </c>
      <c r="D116" s="1822"/>
      <c r="E116" s="1822"/>
      <c r="F116" s="562" t="s">
        <v>315</v>
      </c>
      <c r="G116" s="562" t="s">
        <v>1373</v>
      </c>
      <c r="H116" s="562" t="s">
        <v>313</v>
      </c>
      <c r="I116" s="562" t="s">
        <v>3292</v>
      </c>
      <c r="J116" s="604"/>
      <c r="K116" s="562"/>
      <c r="L116" s="604"/>
      <c r="M116" s="603"/>
      <c r="N116" s="602"/>
      <c r="V116" s="674"/>
      <c r="W116" s="675"/>
      <c r="AA116" s="537" t="s">
        <v>314</v>
      </c>
      <c r="AC116" s="675"/>
      <c r="AD116" s="675"/>
      <c r="AF116" s="675"/>
      <c r="AG116" s="680"/>
    </row>
    <row r="117" spans="1:33" s="536" customFormat="1" ht="12" x14ac:dyDescent="0.2">
      <c r="A117" s="605"/>
      <c r="B117" s="552"/>
      <c r="C117" s="1822" t="s">
        <v>348</v>
      </c>
      <c r="D117" s="1822"/>
      <c r="E117" s="1822"/>
      <c r="F117" s="562" t="s">
        <v>315</v>
      </c>
      <c r="G117" s="562" t="s">
        <v>1375</v>
      </c>
      <c r="H117" s="562" t="s">
        <v>313</v>
      </c>
      <c r="I117" s="562" t="s">
        <v>3293</v>
      </c>
      <c r="J117" s="604"/>
      <c r="K117" s="562"/>
      <c r="L117" s="604"/>
      <c r="M117" s="603"/>
      <c r="N117" s="602"/>
      <c r="V117" s="674"/>
      <c r="W117" s="675"/>
      <c r="AA117" s="537" t="s">
        <v>348</v>
      </c>
      <c r="AC117" s="675"/>
      <c r="AD117" s="675"/>
      <c r="AF117" s="675"/>
      <c r="AG117" s="680"/>
    </row>
    <row r="118" spans="1:33" s="536" customFormat="1" ht="12" x14ac:dyDescent="0.2">
      <c r="A118" s="605"/>
      <c r="B118" s="552"/>
      <c r="C118" s="1828" t="s">
        <v>318</v>
      </c>
      <c r="D118" s="1828"/>
      <c r="E118" s="1828"/>
      <c r="F118" s="608"/>
      <c r="G118" s="608"/>
      <c r="H118" s="608"/>
      <c r="I118" s="608"/>
      <c r="J118" s="607">
        <v>3528.33</v>
      </c>
      <c r="K118" s="608"/>
      <c r="L118" s="607">
        <v>774.3</v>
      </c>
      <c r="M118" s="601"/>
      <c r="N118" s="606"/>
      <c r="V118" s="674"/>
      <c r="W118" s="675"/>
      <c r="AB118" s="537" t="s">
        <v>318</v>
      </c>
      <c r="AC118" s="675"/>
      <c r="AD118" s="675"/>
      <c r="AF118" s="675"/>
      <c r="AG118" s="680"/>
    </row>
    <row r="119" spans="1:33" s="536" customFormat="1" ht="12" x14ac:dyDescent="0.2">
      <c r="A119" s="605"/>
      <c r="B119" s="552"/>
      <c r="C119" s="1822" t="s">
        <v>319</v>
      </c>
      <c r="D119" s="1822"/>
      <c r="E119" s="1822"/>
      <c r="F119" s="562"/>
      <c r="G119" s="562"/>
      <c r="H119" s="562"/>
      <c r="I119" s="562"/>
      <c r="J119" s="604"/>
      <c r="K119" s="562"/>
      <c r="L119" s="604">
        <v>300.19</v>
      </c>
      <c r="M119" s="603"/>
      <c r="N119" s="602"/>
      <c r="V119" s="674"/>
      <c r="W119" s="675"/>
      <c r="AA119" s="537" t="s">
        <v>319</v>
      </c>
      <c r="AC119" s="675"/>
      <c r="AD119" s="675"/>
      <c r="AF119" s="675"/>
      <c r="AG119" s="680"/>
    </row>
    <row r="120" spans="1:33" s="536" customFormat="1" ht="33.75" x14ac:dyDescent="0.2">
      <c r="A120" s="605"/>
      <c r="B120" s="552" t="s">
        <v>686</v>
      </c>
      <c r="C120" s="1822" t="s">
        <v>687</v>
      </c>
      <c r="D120" s="1822"/>
      <c r="E120" s="1822"/>
      <c r="F120" s="562" t="s">
        <v>322</v>
      </c>
      <c r="G120" s="562" t="s">
        <v>680</v>
      </c>
      <c r="H120" s="562"/>
      <c r="I120" s="562" t="s">
        <v>680</v>
      </c>
      <c r="J120" s="604"/>
      <c r="K120" s="562"/>
      <c r="L120" s="604">
        <v>306.19</v>
      </c>
      <c r="M120" s="603"/>
      <c r="N120" s="602"/>
      <c r="V120" s="674"/>
      <c r="W120" s="675"/>
      <c r="AA120" s="537" t="s">
        <v>687</v>
      </c>
      <c r="AC120" s="675"/>
      <c r="AD120" s="675"/>
      <c r="AF120" s="675"/>
      <c r="AG120" s="680"/>
    </row>
    <row r="121" spans="1:33" s="536" customFormat="1" ht="33.75" x14ac:dyDescent="0.2">
      <c r="A121" s="605"/>
      <c r="B121" s="552" t="s">
        <v>688</v>
      </c>
      <c r="C121" s="1822" t="s">
        <v>689</v>
      </c>
      <c r="D121" s="1822"/>
      <c r="E121" s="1822"/>
      <c r="F121" s="562" t="s">
        <v>322</v>
      </c>
      <c r="G121" s="562" t="s">
        <v>690</v>
      </c>
      <c r="H121" s="562"/>
      <c r="I121" s="562" t="s">
        <v>690</v>
      </c>
      <c r="J121" s="604"/>
      <c r="K121" s="562"/>
      <c r="L121" s="604">
        <v>174.11</v>
      </c>
      <c r="M121" s="603"/>
      <c r="N121" s="602"/>
      <c r="V121" s="674"/>
      <c r="W121" s="675"/>
      <c r="AA121" s="537" t="s">
        <v>689</v>
      </c>
      <c r="AC121" s="675"/>
      <c r="AD121" s="675"/>
      <c r="AF121" s="675"/>
      <c r="AG121" s="680"/>
    </row>
    <row r="122" spans="1:33" s="536" customFormat="1" ht="12" x14ac:dyDescent="0.2">
      <c r="A122" s="569"/>
      <c r="B122" s="671"/>
      <c r="C122" s="1823" t="s">
        <v>327</v>
      </c>
      <c r="D122" s="1823"/>
      <c r="E122" s="1823"/>
      <c r="F122" s="573"/>
      <c r="G122" s="573"/>
      <c r="H122" s="573"/>
      <c r="I122" s="573"/>
      <c r="J122" s="572"/>
      <c r="K122" s="573"/>
      <c r="L122" s="572">
        <v>1254.5999999999999</v>
      </c>
      <c r="M122" s="601"/>
      <c r="N122" s="570"/>
      <c r="V122" s="674"/>
      <c r="W122" s="675"/>
      <c r="AC122" s="675" t="s">
        <v>327</v>
      </c>
      <c r="AD122" s="675"/>
      <c r="AF122" s="675"/>
      <c r="AG122" s="680"/>
    </row>
    <row r="123" spans="1:33" s="536" customFormat="1" ht="22.5" x14ac:dyDescent="0.2">
      <c r="A123" s="575" t="s">
        <v>191</v>
      </c>
      <c r="B123" s="670" t="s">
        <v>1377</v>
      </c>
      <c r="C123" s="1823" t="s">
        <v>1378</v>
      </c>
      <c r="D123" s="1823"/>
      <c r="E123" s="1823"/>
      <c r="F123" s="573" t="s">
        <v>641</v>
      </c>
      <c r="G123" s="573"/>
      <c r="H123" s="573"/>
      <c r="I123" s="573" t="s">
        <v>3291</v>
      </c>
      <c r="J123" s="572">
        <v>560</v>
      </c>
      <c r="K123" s="573"/>
      <c r="L123" s="572">
        <v>10572.91</v>
      </c>
      <c r="M123" s="571"/>
      <c r="N123" s="570"/>
      <c r="V123" s="674"/>
      <c r="W123" s="675" t="s">
        <v>1378</v>
      </c>
      <c r="AC123" s="675"/>
      <c r="AD123" s="675"/>
      <c r="AF123" s="675"/>
      <c r="AG123" s="680"/>
    </row>
    <row r="124" spans="1:33" s="536" customFormat="1" ht="12" x14ac:dyDescent="0.2">
      <c r="A124" s="569"/>
      <c r="B124" s="671"/>
      <c r="C124" s="665" t="s">
        <v>717</v>
      </c>
      <c r="D124" s="666"/>
      <c r="E124" s="666"/>
      <c r="F124" s="563"/>
      <c r="G124" s="563"/>
      <c r="H124" s="563"/>
      <c r="I124" s="563"/>
      <c r="J124" s="566"/>
      <c r="K124" s="563"/>
      <c r="L124" s="566"/>
      <c r="M124" s="565"/>
      <c r="N124" s="564"/>
      <c r="V124" s="674"/>
      <c r="W124" s="675"/>
      <c r="AC124" s="675"/>
      <c r="AD124" s="675"/>
      <c r="AF124" s="675"/>
      <c r="AG124" s="680"/>
    </row>
    <row r="125" spans="1:33" s="536" customFormat="1" ht="22.5" x14ac:dyDescent="0.2">
      <c r="A125" s="575" t="s">
        <v>192</v>
      </c>
      <c r="B125" s="670" t="s">
        <v>1380</v>
      </c>
      <c r="C125" s="1823" t="s">
        <v>1381</v>
      </c>
      <c r="D125" s="1823"/>
      <c r="E125" s="1823"/>
      <c r="F125" s="573" t="s">
        <v>509</v>
      </c>
      <c r="G125" s="573"/>
      <c r="H125" s="573"/>
      <c r="I125" s="573" t="s">
        <v>3294</v>
      </c>
      <c r="J125" s="572"/>
      <c r="K125" s="573"/>
      <c r="L125" s="572"/>
      <c r="M125" s="571"/>
      <c r="N125" s="570"/>
      <c r="V125" s="674"/>
      <c r="W125" s="675" t="s">
        <v>1381</v>
      </c>
      <c r="AC125" s="675"/>
      <c r="AD125" s="675"/>
      <c r="AF125" s="675"/>
      <c r="AG125" s="680"/>
    </row>
    <row r="126" spans="1:33" s="536" customFormat="1" ht="12" x14ac:dyDescent="0.2">
      <c r="A126" s="676"/>
      <c r="B126" s="664"/>
      <c r="C126" s="1822" t="s">
        <v>3295</v>
      </c>
      <c r="D126" s="1822"/>
      <c r="E126" s="1822"/>
      <c r="F126" s="1822"/>
      <c r="G126" s="1822"/>
      <c r="H126" s="1822"/>
      <c r="I126" s="1822"/>
      <c r="J126" s="1822"/>
      <c r="K126" s="1822"/>
      <c r="L126" s="1822"/>
      <c r="M126" s="1822"/>
      <c r="N126" s="1827"/>
      <c r="V126" s="674"/>
      <c r="W126" s="675"/>
      <c r="X126" s="537" t="s">
        <v>3295</v>
      </c>
      <c r="AC126" s="675"/>
      <c r="AD126" s="675"/>
      <c r="AF126" s="675"/>
      <c r="AG126" s="680"/>
    </row>
    <row r="127" spans="1:33" s="536" customFormat="1" ht="33.75" x14ac:dyDescent="0.2">
      <c r="A127" s="609"/>
      <c r="B127" s="552" t="s">
        <v>310</v>
      </c>
      <c r="C127" s="1822" t="s">
        <v>311</v>
      </c>
      <c r="D127" s="1822"/>
      <c r="E127" s="1822"/>
      <c r="F127" s="1822"/>
      <c r="G127" s="1822"/>
      <c r="H127" s="1822"/>
      <c r="I127" s="1822"/>
      <c r="J127" s="1822"/>
      <c r="K127" s="1822"/>
      <c r="L127" s="1822"/>
      <c r="M127" s="1822"/>
      <c r="N127" s="1827"/>
      <c r="V127" s="674"/>
      <c r="W127" s="675"/>
      <c r="Y127" s="537" t="s">
        <v>311</v>
      </c>
      <c r="AC127" s="675"/>
      <c r="AD127" s="675"/>
      <c r="AF127" s="675"/>
      <c r="AG127" s="680"/>
    </row>
    <row r="128" spans="1:33" s="536" customFormat="1" ht="12" x14ac:dyDescent="0.2">
      <c r="A128" s="605"/>
      <c r="B128" s="552" t="s">
        <v>185</v>
      </c>
      <c r="C128" s="1822" t="s">
        <v>312</v>
      </c>
      <c r="D128" s="1822"/>
      <c r="E128" s="1822"/>
      <c r="F128" s="562"/>
      <c r="G128" s="562"/>
      <c r="H128" s="562"/>
      <c r="I128" s="562"/>
      <c r="J128" s="604">
        <v>1526.87</v>
      </c>
      <c r="K128" s="562" t="s">
        <v>313</v>
      </c>
      <c r="L128" s="604">
        <v>1026.44</v>
      </c>
      <c r="M128" s="603"/>
      <c r="N128" s="602"/>
      <c r="V128" s="674"/>
      <c r="W128" s="675"/>
      <c r="Z128" s="537" t="s">
        <v>312</v>
      </c>
      <c r="AC128" s="675"/>
      <c r="AD128" s="675"/>
      <c r="AF128" s="675"/>
      <c r="AG128" s="680"/>
    </row>
    <row r="129" spans="1:33" s="536" customFormat="1" ht="12" x14ac:dyDescent="0.2">
      <c r="A129" s="605"/>
      <c r="B129" s="552" t="s">
        <v>186</v>
      </c>
      <c r="C129" s="1822" t="s">
        <v>344</v>
      </c>
      <c r="D129" s="1822"/>
      <c r="E129" s="1822"/>
      <c r="F129" s="562"/>
      <c r="G129" s="562"/>
      <c r="H129" s="562"/>
      <c r="I129" s="562"/>
      <c r="J129" s="604">
        <v>2518.58</v>
      </c>
      <c r="K129" s="562" t="s">
        <v>313</v>
      </c>
      <c r="L129" s="604">
        <v>1693.12</v>
      </c>
      <c r="M129" s="603"/>
      <c r="N129" s="602"/>
      <c r="V129" s="674"/>
      <c r="W129" s="675"/>
      <c r="Z129" s="537" t="s">
        <v>344</v>
      </c>
      <c r="AC129" s="675"/>
      <c r="AD129" s="675"/>
      <c r="AF129" s="675"/>
      <c r="AG129" s="680"/>
    </row>
    <row r="130" spans="1:33" s="536" customFormat="1" ht="12" x14ac:dyDescent="0.2">
      <c r="A130" s="605"/>
      <c r="B130" s="552" t="s">
        <v>187</v>
      </c>
      <c r="C130" s="1822" t="s">
        <v>345</v>
      </c>
      <c r="D130" s="1822"/>
      <c r="E130" s="1822"/>
      <c r="F130" s="562"/>
      <c r="G130" s="562"/>
      <c r="H130" s="562"/>
      <c r="I130" s="562"/>
      <c r="J130" s="604">
        <v>382.14</v>
      </c>
      <c r="K130" s="562" t="s">
        <v>313</v>
      </c>
      <c r="L130" s="604">
        <v>256.89</v>
      </c>
      <c r="M130" s="603"/>
      <c r="N130" s="602"/>
      <c r="V130" s="674"/>
      <c r="W130" s="675"/>
      <c r="Z130" s="537" t="s">
        <v>345</v>
      </c>
      <c r="AC130" s="675"/>
      <c r="AD130" s="675"/>
      <c r="AF130" s="675"/>
      <c r="AG130" s="680"/>
    </row>
    <row r="131" spans="1:33" s="536" customFormat="1" ht="12" x14ac:dyDescent="0.2">
      <c r="A131" s="605"/>
      <c r="B131" s="552" t="s">
        <v>188</v>
      </c>
      <c r="C131" s="1822" t="s">
        <v>475</v>
      </c>
      <c r="D131" s="1822"/>
      <c r="E131" s="1822"/>
      <c r="F131" s="562"/>
      <c r="G131" s="562"/>
      <c r="H131" s="562"/>
      <c r="I131" s="562"/>
      <c r="J131" s="604">
        <v>488.42</v>
      </c>
      <c r="K131" s="562"/>
      <c r="L131" s="604">
        <v>262.67</v>
      </c>
      <c r="M131" s="603"/>
      <c r="N131" s="602"/>
      <c r="V131" s="674"/>
      <c r="W131" s="675"/>
      <c r="Z131" s="537" t="s">
        <v>475</v>
      </c>
      <c r="AC131" s="675"/>
      <c r="AD131" s="675"/>
      <c r="AF131" s="675"/>
      <c r="AG131" s="680"/>
    </row>
    <row r="132" spans="1:33" s="536" customFormat="1" ht="12" x14ac:dyDescent="0.2">
      <c r="A132" s="676"/>
      <c r="B132" s="677" t="s">
        <v>639</v>
      </c>
      <c r="C132" s="1829" t="s">
        <v>640</v>
      </c>
      <c r="D132" s="1829"/>
      <c r="E132" s="1829"/>
      <c r="F132" s="678" t="s">
        <v>641</v>
      </c>
      <c r="G132" s="678" t="s">
        <v>1384</v>
      </c>
      <c r="H132" s="678"/>
      <c r="I132" s="678" t="s">
        <v>3296</v>
      </c>
      <c r="J132" s="552"/>
      <c r="K132" s="562"/>
      <c r="L132" s="604"/>
      <c r="M132" s="562"/>
      <c r="N132" s="679"/>
      <c r="V132" s="674"/>
      <c r="W132" s="675"/>
      <c r="AC132" s="675"/>
      <c r="AD132" s="675"/>
      <c r="AF132" s="675"/>
      <c r="AG132" s="680" t="s">
        <v>640</v>
      </c>
    </row>
    <row r="133" spans="1:33" s="536" customFormat="1" ht="12" x14ac:dyDescent="0.2">
      <c r="A133" s="676"/>
      <c r="B133" s="677" t="s">
        <v>1272</v>
      </c>
      <c r="C133" s="1829" t="s">
        <v>1273</v>
      </c>
      <c r="D133" s="1829"/>
      <c r="E133" s="1829"/>
      <c r="F133" s="678" t="s">
        <v>694</v>
      </c>
      <c r="G133" s="678" t="s">
        <v>1386</v>
      </c>
      <c r="H133" s="678"/>
      <c r="I133" s="678" t="s">
        <v>3297</v>
      </c>
      <c r="J133" s="552"/>
      <c r="K133" s="562"/>
      <c r="L133" s="604"/>
      <c r="M133" s="562"/>
      <c r="N133" s="679"/>
      <c r="V133" s="674"/>
      <c r="W133" s="675"/>
      <c r="AC133" s="675"/>
      <c r="AD133" s="675"/>
      <c r="AF133" s="675"/>
      <c r="AG133" s="680" t="s">
        <v>1273</v>
      </c>
    </row>
    <row r="134" spans="1:33" s="536" customFormat="1" ht="12" x14ac:dyDescent="0.2">
      <c r="A134" s="605"/>
      <c r="B134" s="552"/>
      <c r="C134" s="1822" t="s">
        <v>314</v>
      </c>
      <c r="D134" s="1822"/>
      <c r="E134" s="1822"/>
      <c r="F134" s="562" t="s">
        <v>315</v>
      </c>
      <c r="G134" s="562" t="s">
        <v>1388</v>
      </c>
      <c r="H134" s="562" t="s">
        <v>313</v>
      </c>
      <c r="I134" s="562" t="s">
        <v>3298</v>
      </c>
      <c r="J134" s="604"/>
      <c r="K134" s="562"/>
      <c r="L134" s="604"/>
      <c r="M134" s="603"/>
      <c r="N134" s="602"/>
      <c r="V134" s="674"/>
      <c r="W134" s="675"/>
      <c r="AA134" s="537" t="s">
        <v>314</v>
      </c>
      <c r="AC134" s="675"/>
      <c r="AD134" s="675"/>
      <c r="AF134" s="675"/>
      <c r="AG134" s="680"/>
    </row>
    <row r="135" spans="1:33" s="536" customFormat="1" ht="12" x14ac:dyDescent="0.2">
      <c r="A135" s="605"/>
      <c r="B135" s="552"/>
      <c r="C135" s="1822" t="s">
        <v>348</v>
      </c>
      <c r="D135" s="1822"/>
      <c r="E135" s="1822"/>
      <c r="F135" s="562" t="s">
        <v>315</v>
      </c>
      <c r="G135" s="562" t="s">
        <v>1390</v>
      </c>
      <c r="H135" s="562" t="s">
        <v>313</v>
      </c>
      <c r="I135" s="562" t="s">
        <v>3299</v>
      </c>
      <c r="J135" s="604"/>
      <c r="K135" s="562"/>
      <c r="L135" s="604"/>
      <c r="M135" s="603"/>
      <c r="N135" s="602"/>
      <c r="V135" s="674"/>
      <c r="W135" s="675"/>
      <c r="AA135" s="537" t="s">
        <v>348</v>
      </c>
      <c r="AC135" s="675"/>
      <c r="AD135" s="675"/>
      <c r="AF135" s="675"/>
      <c r="AG135" s="680"/>
    </row>
    <row r="136" spans="1:33" s="536" customFormat="1" ht="12" x14ac:dyDescent="0.2">
      <c r="A136" s="605"/>
      <c r="B136" s="552"/>
      <c r="C136" s="1828" t="s">
        <v>318</v>
      </c>
      <c r="D136" s="1828"/>
      <c r="E136" s="1828"/>
      <c r="F136" s="608"/>
      <c r="G136" s="608"/>
      <c r="H136" s="608"/>
      <c r="I136" s="608"/>
      <c r="J136" s="607">
        <v>4533.87</v>
      </c>
      <c r="K136" s="608"/>
      <c r="L136" s="607">
        <v>2982.23</v>
      </c>
      <c r="M136" s="601"/>
      <c r="N136" s="606"/>
      <c r="V136" s="674"/>
      <c r="W136" s="675"/>
      <c r="AB136" s="537" t="s">
        <v>318</v>
      </c>
      <c r="AC136" s="675"/>
      <c r="AD136" s="675"/>
      <c r="AF136" s="675"/>
      <c r="AG136" s="680"/>
    </row>
    <row r="137" spans="1:33" s="536" customFormat="1" ht="12" x14ac:dyDescent="0.2">
      <c r="A137" s="605"/>
      <c r="B137" s="552"/>
      <c r="C137" s="1822" t="s">
        <v>319</v>
      </c>
      <c r="D137" s="1822"/>
      <c r="E137" s="1822"/>
      <c r="F137" s="562"/>
      <c r="G137" s="562"/>
      <c r="H137" s="562"/>
      <c r="I137" s="562"/>
      <c r="J137" s="604"/>
      <c r="K137" s="562"/>
      <c r="L137" s="604">
        <v>1283.33</v>
      </c>
      <c r="M137" s="603"/>
      <c r="N137" s="602"/>
      <c r="V137" s="674"/>
      <c r="W137" s="675"/>
      <c r="AA137" s="537" t="s">
        <v>319</v>
      </c>
      <c r="AC137" s="675"/>
      <c r="AD137" s="675"/>
      <c r="AF137" s="675"/>
      <c r="AG137" s="680"/>
    </row>
    <row r="138" spans="1:33" s="536" customFormat="1" ht="33.75" x14ac:dyDescent="0.2">
      <c r="A138" s="605"/>
      <c r="B138" s="552" t="s">
        <v>686</v>
      </c>
      <c r="C138" s="1822" t="s">
        <v>687</v>
      </c>
      <c r="D138" s="1822"/>
      <c r="E138" s="1822"/>
      <c r="F138" s="562" t="s">
        <v>322</v>
      </c>
      <c r="G138" s="562" t="s">
        <v>680</v>
      </c>
      <c r="H138" s="562"/>
      <c r="I138" s="562" t="s">
        <v>680</v>
      </c>
      <c r="J138" s="604"/>
      <c r="K138" s="562"/>
      <c r="L138" s="604">
        <v>1309</v>
      </c>
      <c r="M138" s="603"/>
      <c r="N138" s="602"/>
      <c r="V138" s="674"/>
      <c r="W138" s="675"/>
      <c r="AA138" s="537" t="s">
        <v>687</v>
      </c>
      <c r="AC138" s="675"/>
      <c r="AD138" s="675"/>
      <c r="AF138" s="675"/>
      <c r="AG138" s="680"/>
    </row>
    <row r="139" spans="1:33" s="536" customFormat="1" ht="33.75" x14ac:dyDescent="0.2">
      <c r="A139" s="605"/>
      <c r="B139" s="552" t="s">
        <v>688</v>
      </c>
      <c r="C139" s="1822" t="s">
        <v>689</v>
      </c>
      <c r="D139" s="1822"/>
      <c r="E139" s="1822"/>
      <c r="F139" s="562" t="s">
        <v>322</v>
      </c>
      <c r="G139" s="562" t="s">
        <v>690</v>
      </c>
      <c r="H139" s="562"/>
      <c r="I139" s="562" t="s">
        <v>690</v>
      </c>
      <c r="J139" s="604"/>
      <c r="K139" s="562"/>
      <c r="L139" s="604">
        <v>744.33</v>
      </c>
      <c r="M139" s="603"/>
      <c r="N139" s="602"/>
      <c r="V139" s="674"/>
      <c r="W139" s="675"/>
      <c r="AA139" s="537" t="s">
        <v>689</v>
      </c>
      <c r="AC139" s="675"/>
      <c r="AD139" s="675"/>
      <c r="AF139" s="675"/>
      <c r="AG139" s="680"/>
    </row>
    <row r="140" spans="1:33" s="536" customFormat="1" ht="12" x14ac:dyDescent="0.2">
      <c r="A140" s="569"/>
      <c r="B140" s="671"/>
      <c r="C140" s="1823" t="s">
        <v>327</v>
      </c>
      <c r="D140" s="1823"/>
      <c r="E140" s="1823"/>
      <c r="F140" s="573"/>
      <c r="G140" s="573"/>
      <c r="H140" s="573"/>
      <c r="I140" s="573"/>
      <c r="J140" s="572"/>
      <c r="K140" s="573"/>
      <c r="L140" s="572">
        <v>5035.5600000000004</v>
      </c>
      <c r="M140" s="601"/>
      <c r="N140" s="570"/>
      <c r="V140" s="674"/>
      <c r="W140" s="675"/>
      <c r="AC140" s="675" t="s">
        <v>327</v>
      </c>
      <c r="AD140" s="675"/>
      <c r="AF140" s="675"/>
      <c r="AG140" s="680"/>
    </row>
    <row r="141" spans="1:33" s="536" customFormat="1" ht="22.5" x14ac:dyDescent="0.2">
      <c r="A141" s="575" t="s">
        <v>193</v>
      </c>
      <c r="B141" s="670" t="s">
        <v>1392</v>
      </c>
      <c r="C141" s="1823" t="s">
        <v>1393</v>
      </c>
      <c r="D141" s="1823"/>
      <c r="E141" s="1823"/>
      <c r="F141" s="573" t="s">
        <v>641</v>
      </c>
      <c r="G141" s="573"/>
      <c r="H141" s="573"/>
      <c r="I141" s="573" t="s">
        <v>3296</v>
      </c>
      <c r="J141" s="572">
        <v>725.69</v>
      </c>
      <c r="K141" s="573"/>
      <c r="L141" s="572">
        <v>39613.019999999997</v>
      </c>
      <c r="M141" s="571"/>
      <c r="N141" s="570"/>
      <c r="V141" s="674"/>
      <c r="W141" s="675" t="s">
        <v>1393</v>
      </c>
      <c r="AC141" s="675"/>
      <c r="AD141" s="675"/>
      <c r="AF141" s="675"/>
      <c r="AG141" s="680"/>
    </row>
    <row r="142" spans="1:33" s="536" customFormat="1" ht="12" x14ac:dyDescent="0.2">
      <c r="A142" s="569"/>
      <c r="B142" s="671"/>
      <c r="C142" s="665" t="s">
        <v>717</v>
      </c>
      <c r="D142" s="666"/>
      <c r="E142" s="666"/>
      <c r="F142" s="563"/>
      <c r="G142" s="563"/>
      <c r="H142" s="563"/>
      <c r="I142" s="563"/>
      <c r="J142" s="566"/>
      <c r="K142" s="563"/>
      <c r="L142" s="566"/>
      <c r="M142" s="565"/>
      <c r="N142" s="564"/>
      <c r="V142" s="674"/>
      <c r="W142" s="675"/>
      <c r="AC142" s="675"/>
      <c r="AD142" s="675"/>
      <c r="AF142" s="675"/>
      <c r="AG142" s="680"/>
    </row>
    <row r="143" spans="1:33" s="536" customFormat="1" ht="33.75" x14ac:dyDescent="0.2">
      <c r="A143" s="575" t="s">
        <v>194</v>
      </c>
      <c r="B143" s="670" t="s">
        <v>657</v>
      </c>
      <c r="C143" s="1823" t="s">
        <v>3300</v>
      </c>
      <c r="D143" s="1823"/>
      <c r="E143" s="1823"/>
      <c r="F143" s="573" t="s">
        <v>641</v>
      </c>
      <c r="G143" s="573"/>
      <c r="H143" s="573"/>
      <c r="I143" s="573" t="s">
        <v>3301</v>
      </c>
      <c r="J143" s="572">
        <v>9.69</v>
      </c>
      <c r="K143" s="573"/>
      <c r="L143" s="572">
        <v>521.13</v>
      </c>
      <c r="M143" s="571"/>
      <c r="N143" s="570"/>
      <c r="V143" s="674"/>
      <c r="W143" s="675" t="s">
        <v>3300</v>
      </c>
      <c r="AC143" s="675"/>
      <c r="AD143" s="675"/>
      <c r="AF143" s="675"/>
      <c r="AG143" s="680"/>
    </row>
    <row r="144" spans="1:33" s="536" customFormat="1" ht="12" x14ac:dyDescent="0.2">
      <c r="A144" s="569"/>
      <c r="B144" s="671"/>
      <c r="C144" s="665" t="s">
        <v>717</v>
      </c>
      <c r="D144" s="666"/>
      <c r="E144" s="666"/>
      <c r="F144" s="563"/>
      <c r="G144" s="563"/>
      <c r="H144" s="563"/>
      <c r="I144" s="563"/>
      <c r="J144" s="566"/>
      <c r="K144" s="563"/>
      <c r="L144" s="566"/>
      <c r="M144" s="565"/>
      <c r="N144" s="564"/>
      <c r="V144" s="674"/>
      <c r="W144" s="675"/>
      <c r="AC144" s="675"/>
      <c r="AD144" s="675"/>
      <c r="AF144" s="675"/>
      <c r="AG144" s="680"/>
    </row>
    <row r="145" spans="1:34" s="536" customFormat="1" ht="12" x14ac:dyDescent="0.2">
      <c r="A145" s="676"/>
      <c r="B145" s="664"/>
      <c r="C145" s="1822" t="s">
        <v>1399</v>
      </c>
      <c r="D145" s="1822"/>
      <c r="E145" s="1822"/>
      <c r="F145" s="1822"/>
      <c r="G145" s="1822"/>
      <c r="H145" s="1822"/>
      <c r="I145" s="1822"/>
      <c r="J145" s="1822"/>
      <c r="K145" s="1822"/>
      <c r="L145" s="1822"/>
      <c r="M145" s="1822"/>
      <c r="N145" s="1827"/>
      <c r="V145" s="674"/>
      <c r="W145" s="675"/>
      <c r="AC145" s="675"/>
      <c r="AD145" s="675"/>
      <c r="AF145" s="675"/>
      <c r="AG145" s="680"/>
      <c r="AH145" s="537" t="s">
        <v>1399</v>
      </c>
    </row>
    <row r="146" spans="1:34" s="536" customFormat="1" ht="33.75" x14ac:dyDescent="0.2">
      <c r="A146" s="575" t="s">
        <v>195</v>
      </c>
      <c r="B146" s="670" t="s">
        <v>1400</v>
      </c>
      <c r="C146" s="1823" t="s">
        <v>8559</v>
      </c>
      <c r="D146" s="1823"/>
      <c r="E146" s="1823"/>
      <c r="F146" s="573" t="s">
        <v>694</v>
      </c>
      <c r="G146" s="573"/>
      <c r="H146" s="573"/>
      <c r="I146" s="573" t="s">
        <v>3302</v>
      </c>
      <c r="J146" s="572">
        <v>5584.58</v>
      </c>
      <c r="K146" s="573"/>
      <c r="L146" s="572">
        <v>19647.669999999998</v>
      </c>
      <c r="M146" s="571"/>
      <c r="N146" s="570"/>
      <c r="V146" s="674"/>
      <c r="W146" s="675" t="s">
        <v>8559</v>
      </c>
      <c r="AC146" s="675"/>
      <c r="AD146" s="675"/>
      <c r="AF146" s="675"/>
      <c r="AG146" s="680"/>
    </row>
    <row r="147" spans="1:34" s="536" customFormat="1" ht="12" x14ac:dyDescent="0.2">
      <c r="A147" s="569"/>
      <c r="B147" s="671"/>
      <c r="C147" s="665" t="s">
        <v>717</v>
      </c>
      <c r="D147" s="666"/>
      <c r="E147" s="666"/>
      <c r="F147" s="563"/>
      <c r="G147" s="563"/>
      <c r="H147" s="563"/>
      <c r="I147" s="563"/>
      <c r="J147" s="566"/>
      <c r="K147" s="563"/>
      <c r="L147" s="566"/>
      <c r="M147" s="565"/>
      <c r="N147" s="564"/>
      <c r="V147" s="674"/>
      <c r="W147" s="675"/>
      <c r="AC147" s="675"/>
      <c r="AD147" s="675"/>
      <c r="AF147" s="675"/>
      <c r="AG147" s="680"/>
    </row>
    <row r="148" spans="1:34" s="536" customFormat="1" ht="12" x14ac:dyDescent="0.2">
      <c r="A148" s="676"/>
      <c r="B148" s="664"/>
      <c r="C148" s="1822" t="s">
        <v>3303</v>
      </c>
      <c r="D148" s="1822"/>
      <c r="E148" s="1822"/>
      <c r="F148" s="1822"/>
      <c r="G148" s="1822"/>
      <c r="H148" s="1822"/>
      <c r="I148" s="1822"/>
      <c r="J148" s="1822"/>
      <c r="K148" s="1822"/>
      <c r="L148" s="1822"/>
      <c r="M148" s="1822"/>
      <c r="N148" s="1827"/>
      <c r="V148" s="674"/>
      <c r="W148" s="675"/>
      <c r="X148" s="537" t="s">
        <v>3303</v>
      </c>
      <c r="AC148" s="675"/>
      <c r="AD148" s="675"/>
      <c r="AF148" s="675"/>
      <c r="AG148" s="680"/>
    </row>
    <row r="149" spans="1:34" s="536" customFormat="1" ht="33.75" x14ac:dyDescent="0.2">
      <c r="A149" s="575" t="s">
        <v>196</v>
      </c>
      <c r="B149" s="670" t="s">
        <v>4778</v>
      </c>
      <c r="C149" s="1823" t="s">
        <v>8560</v>
      </c>
      <c r="D149" s="1823"/>
      <c r="E149" s="1823"/>
      <c r="F149" s="573" t="s">
        <v>694</v>
      </c>
      <c r="G149" s="573"/>
      <c r="H149" s="573"/>
      <c r="I149" s="573" t="s">
        <v>4980</v>
      </c>
      <c r="J149" s="572">
        <v>5488.69</v>
      </c>
      <c r="K149" s="573"/>
      <c r="L149" s="572">
        <v>483</v>
      </c>
      <c r="M149" s="571"/>
      <c r="N149" s="570"/>
      <c r="V149" s="674"/>
      <c r="W149" s="675" t="s">
        <v>8560</v>
      </c>
      <c r="AC149" s="675"/>
      <c r="AD149" s="675"/>
      <c r="AF149" s="675"/>
      <c r="AG149" s="680"/>
    </row>
    <row r="150" spans="1:34" s="536" customFormat="1" ht="12" x14ac:dyDescent="0.2">
      <c r="A150" s="569"/>
      <c r="B150" s="671"/>
      <c r="C150" s="665" t="s">
        <v>717</v>
      </c>
      <c r="D150" s="666"/>
      <c r="E150" s="666"/>
      <c r="F150" s="563"/>
      <c r="G150" s="563"/>
      <c r="H150" s="563"/>
      <c r="I150" s="563"/>
      <c r="J150" s="566"/>
      <c r="K150" s="563"/>
      <c r="L150" s="566"/>
      <c r="M150" s="565"/>
      <c r="N150" s="564"/>
      <c r="V150" s="674"/>
      <c r="W150" s="675"/>
      <c r="AC150" s="675"/>
      <c r="AD150" s="675"/>
      <c r="AF150" s="675"/>
      <c r="AG150" s="680"/>
    </row>
    <row r="151" spans="1:34" s="536" customFormat="1" ht="12" x14ac:dyDescent="0.2">
      <c r="A151" s="676"/>
      <c r="B151" s="664"/>
      <c r="C151" s="1822" t="s">
        <v>8561</v>
      </c>
      <c r="D151" s="1822"/>
      <c r="E151" s="1822"/>
      <c r="F151" s="1822"/>
      <c r="G151" s="1822"/>
      <c r="H151" s="1822"/>
      <c r="I151" s="1822"/>
      <c r="J151" s="1822"/>
      <c r="K151" s="1822"/>
      <c r="L151" s="1822"/>
      <c r="M151" s="1822"/>
      <c r="N151" s="1827"/>
      <c r="V151" s="674"/>
      <c r="W151" s="675"/>
      <c r="X151" s="537" t="s">
        <v>8561</v>
      </c>
      <c r="AC151" s="675"/>
      <c r="AD151" s="675"/>
      <c r="AF151" s="675"/>
      <c r="AG151" s="680"/>
    </row>
    <row r="152" spans="1:34" s="536" customFormat="1" ht="22.5" x14ac:dyDescent="0.2">
      <c r="A152" s="575" t="s">
        <v>197</v>
      </c>
      <c r="B152" s="670" t="s">
        <v>2101</v>
      </c>
      <c r="C152" s="1823" t="s">
        <v>3304</v>
      </c>
      <c r="D152" s="1823"/>
      <c r="E152" s="1823"/>
      <c r="F152" s="573" t="s">
        <v>694</v>
      </c>
      <c r="G152" s="573"/>
      <c r="H152" s="573"/>
      <c r="I152" s="573" t="s">
        <v>3305</v>
      </c>
      <c r="J152" s="572"/>
      <c r="K152" s="573"/>
      <c r="L152" s="572"/>
      <c r="M152" s="571"/>
      <c r="N152" s="570"/>
      <c r="V152" s="674"/>
      <c r="W152" s="675" t="s">
        <v>3304</v>
      </c>
      <c r="AC152" s="675"/>
      <c r="AD152" s="675"/>
      <c r="AF152" s="675"/>
      <c r="AG152" s="680"/>
    </row>
    <row r="153" spans="1:34" s="536" customFormat="1" ht="12" x14ac:dyDescent="0.2">
      <c r="A153" s="676"/>
      <c r="B153" s="664"/>
      <c r="C153" s="1822" t="s">
        <v>3306</v>
      </c>
      <c r="D153" s="1822"/>
      <c r="E153" s="1822"/>
      <c r="F153" s="1822"/>
      <c r="G153" s="1822"/>
      <c r="H153" s="1822"/>
      <c r="I153" s="1822"/>
      <c r="J153" s="1822"/>
      <c r="K153" s="1822"/>
      <c r="L153" s="1822"/>
      <c r="M153" s="1822"/>
      <c r="N153" s="1827"/>
      <c r="V153" s="674"/>
      <c r="W153" s="675"/>
      <c r="X153" s="537" t="s">
        <v>3306</v>
      </c>
      <c r="AC153" s="675"/>
      <c r="AD153" s="675"/>
      <c r="AF153" s="675"/>
      <c r="AG153" s="680"/>
    </row>
    <row r="154" spans="1:34" s="536" customFormat="1" ht="33.75" x14ac:dyDescent="0.2">
      <c r="A154" s="609"/>
      <c r="B154" s="552" t="s">
        <v>310</v>
      </c>
      <c r="C154" s="1822" t="s">
        <v>311</v>
      </c>
      <c r="D154" s="1822"/>
      <c r="E154" s="1822"/>
      <c r="F154" s="1822"/>
      <c r="G154" s="1822"/>
      <c r="H154" s="1822"/>
      <c r="I154" s="1822"/>
      <c r="J154" s="1822"/>
      <c r="K154" s="1822"/>
      <c r="L154" s="1822"/>
      <c r="M154" s="1822"/>
      <c r="N154" s="1827"/>
      <c r="V154" s="674"/>
      <c r="W154" s="675"/>
      <c r="Y154" s="537" t="s">
        <v>311</v>
      </c>
      <c r="AC154" s="675"/>
      <c r="AD154" s="675"/>
      <c r="AF154" s="675"/>
      <c r="AG154" s="680"/>
    </row>
    <row r="155" spans="1:34" s="536" customFormat="1" ht="12" x14ac:dyDescent="0.2">
      <c r="A155" s="605"/>
      <c r="B155" s="552" t="s">
        <v>185</v>
      </c>
      <c r="C155" s="1822" t="s">
        <v>312</v>
      </c>
      <c r="D155" s="1822"/>
      <c r="E155" s="1822"/>
      <c r="F155" s="562"/>
      <c r="G155" s="562"/>
      <c r="H155" s="562"/>
      <c r="I155" s="562"/>
      <c r="J155" s="604">
        <v>2560.54</v>
      </c>
      <c r="K155" s="562" t="s">
        <v>313</v>
      </c>
      <c r="L155" s="604">
        <v>215.09</v>
      </c>
      <c r="M155" s="603"/>
      <c r="N155" s="602"/>
      <c r="V155" s="674"/>
      <c r="W155" s="675"/>
      <c r="Z155" s="537" t="s">
        <v>312</v>
      </c>
      <c r="AC155" s="675"/>
      <c r="AD155" s="675"/>
      <c r="AF155" s="675"/>
      <c r="AG155" s="680"/>
    </row>
    <row r="156" spans="1:34" s="536" customFormat="1" ht="12" x14ac:dyDescent="0.2">
      <c r="A156" s="605"/>
      <c r="B156" s="552" t="s">
        <v>186</v>
      </c>
      <c r="C156" s="1822" t="s">
        <v>344</v>
      </c>
      <c r="D156" s="1822"/>
      <c r="E156" s="1822"/>
      <c r="F156" s="562"/>
      <c r="G156" s="562"/>
      <c r="H156" s="562"/>
      <c r="I156" s="562"/>
      <c r="J156" s="604">
        <v>51.19</v>
      </c>
      <c r="K156" s="562" t="s">
        <v>313</v>
      </c>
      <c r="L156" s="604">
        <v>4.3</v>
      </c>
      <c r="M156" s="603"/>
      <c r="N156" s="602"/>
      <c r="V156" s="674"/>
      <c r="W156" s="675"/>
      <c r="Z156" s="537" t="s">
        <v>344</v>
      </c>
      <c r="AC156" s="675"/>
      <c r="AD156" s="675"/>
      <c r="AF156" s="675"/>
      <c r="AG156" s="680"/>
    </row>
    <row r="157" spans="1:34" s="536" customFormat="1" ht="12" x14ac:dyDescent="0.2">
      <c r="A157" s="605"/>
      <c r="B157" s="552" t="s">
        <v>187</v>
      </c>
      <c r="C157" s="1822" t="s">
        <v>345</v>
      </c>
      <c r="D157" s="1822"/>
      <c r="E157" s="1822"/>
      <c r="F157" s="562"/>
      <c r="G157" s="562"/>
      <c r="H157" s="562"/>
      <c r="I157" s="562"/>
      <c r="J157" s="604">
        <v>7.32</v>
      </c>
      <c r="K157" s="562" t="s">
        <v>313</v>
      </c>
      <c r="L157" s="604">
        <v>0.61</v>
      </c>
      <c r="M157" s="603"/>
      <c r="N157" s="602"/>
      <c r="V157" s="674"/>
      <c r="W157" s="675"/>
      <c r="Z157" s="537" t="s">
        <v>345</v>
      </c>
      <c r="AC157" s="675"/>
      <c r="AD157" s="675"/>
      <c r="AF157" s="675"/>
      <c r="AG157" s="680"/>
    </row>
    <row r="158" spans="1:34" s="536" customFormat="1" ht="12" x14ac:dyDescent="0.2">
      <c r="A158" s="605"/>
      <c r="B158" s="552" t="s">
        <v>188</v>
      </c>
      <c r="C158" s="1822" t="s">
        <v>475</v>
      </c>
      <c r="D158" s="1822"/>
      <c r="E158" s="1822"/>
      <c r="F158" s="562"/>
      <c r="G158" s="562"/>
      <c r="H158" s="562"/>
      <c r="I158" s="562"/>
      <c r="J158" s="604">
        <v>10103.459999999999</v>
      </c>
      <c r="K158" s="562"/>
      <c r="L158" s="604">
        <v>678.95</v>
      </c>
      <c r="M158" s="603"/>
      <c r="N158" s="602"/>
      <c r="V158" s="674"/>
      <c r="W158" s="675"/>
      <c r="Z158" s="537" t="s">
        <v>475</v>
      </c>
      <c r="AC158" s="675"/>
      <c r="AD158" s="675"/>
      <c r="AF158" s="675"/>
      <c r="AG158" s="680"/>
    </row>
    <row r="159" spans="1:34" s="536" customFormat="1" ht="12" x14ac:dyDescent="0.2">
      <c r="A159" s="605"/>
      <c r="B159" s="552"/>
      <c r="C159" s="1822" t="s">
        <v>314</v>
      </c>
      <c r="D159" s="1822"/>
      <c r="E159" s="1822"/>
      <c r="F159" s="562" t="s">
        <v>315</v>
      </c>
      <c r="G159" s="562" t="s">
        <v>2105</v>
      </c>
      <c r="H159" s="562" t="s">
        <v>313</v>
      </c>
      <c r="I159" s="562" t="s">
        <v>3307</v>
      </c>
      <c r="J159" s="604"/>
      <c r="K159" s="562"/>
      <c r="L159" s="604"/>
      <c r="M159" s="603"/>
      <c r="N159" s="602"/>
      <c r="V159" s="674"/>
      <c r="W159" s="675"/>
      <c r="AA159" s="537" t="s">
        <v>314</v>
      </c>
      <c r="AC159" s="675"/>
      <c r="AD159" s="675"/>
      <c r="AF159" s="675"/>
      <c r="AG159" s="680"/>
    </row>
    <row r="160" spans="1:34" s="536" customFormat="1" ht="12" x14ac:dyDescent="0.2">
      <c r="A160" s="605"/>
      <c r="B160" s="552"/>
      <c r="C160" s="1822" t="s">
        <v>348</v>
      </c>
      <c r="D160" s="1822"/>
      <c r="E160" s="1822"/>
      <c r="F160" s="562" t="s">
        <v>315</v>
      </c>
      <c r="G160" s="562" t="s">
        <v>1778</v>
      </c>
      <c r="H160" s="562" t="s">
        <v>313</v>
      </c>
      <c r="I160" s="562" t="s">
        <v>3308</v>
      </c>
      <c r="J160" s="604"/>
      <c r="K160" s="562"/>
      <c r="L160" s="604"/>
      <c r="M160" s="603"/>
      <c r="N160" s="602"/>
      <c r="V160" s="674"/>
      <c r="W160" s="675"/>
      <c r="AA160" s="537" t="s">
        <v>348</v>
      </c>
      <c r="AC160" s="675"/>
      <c r="AD160" s="675"/>
      <c r="AF160" s="675"/>
      <c r="AG160" s="680"/>
    </row>
    <row r="161" spans="1:33" s="536" customFormat="1" ht="12" x14ac:dyDescent="0.2">
      <c r="A161" s="605"/>
      <c r="B161" s="552"/>
      <c r="C161" s="1828" t="s">
        <v>318</v>
      </c>
      <c r="D161" s="1828"/>
      <c r="E161" s="1828"/>
      <c r="F161" s="608"/>
      <c r="G161" s="608"/>
      <c r="H161" s="608"/>
      <c r="I161" s="608"/>
      <c r="J161" s="607">
        <v>12715.19</v>
      </c>
      <c r="K161" s="608"/>
      <c r="L161" s="607">
        <v>898.34</v>
      </c>
      <c r="M161" s="601"/>
      <c r="N161" s="606"/>
      <c r="V161" s="674"/>
      <c r="W161" s="675"/>
      <c r="AB161" s="537" t="s">
        <v>318</v>
      </c>
      <c r="AC161" s="675"/>
      <c r="AD161" s="675"/>
      <c r="AF161" s="675"/>
      <c r="AG161" s="680"/>
    </row>
    <row r="162" spans="1:33" s="536" customFormat="1" ht="12" x14ac:dyDescent="0.2">
      <c r="A162" s="605"/>
      <c r="B162" s="552"/>
      <c r="C162" s="1822" t="s">
        <v>319</v>
      </c>
      <c r="D162" s="1822"/>
      <c r="E162" s="1822"/>
      <c r="F162" s="562"/>
      <c r="G162" s="562"/>
      <c r="H162" s="562"/>
      <c r="I162" s="562"/>
      <c r="J162" s="604"/>
      <c r="K162" s="562"/>
      <c r="L162" s="604">
        <v>215.7</v>
      </c>
      <c r="M162" s="603"/>
      <c r="N162" s="602"/>
      <c r="V162" s="674"/>
      <c r="W162" s="675"/>
      <c r="AA162" s="537" t="s">
        <v>319</v>
      </c>
      <c r="AC162" s="675"/>
      <c r="AD162" s="675"/>
      <c r="AF162" s="675"/>
      <c r="AG162" s="680"/>
    </row>
    <row r="163" spans="1:33" s="536" customFormat="1" ht="33.75" x14ac:dyDescent="0.2">
      <c r="A163" s="605"/>
      <c r="B163" s="552" t="s">
        <v>686</v>
      </c>
      <c r="C163" s="1822" t="s">
        <v>687</v>
      </c>
      <c r="D163" s="1822"/>
      <c r="E163" s="1822"/>
      <c r="F163" s="562" t="s">
        <v>322</v>
      </c>
      <c r="G163" s="562" t="s">
        <v>680</v>
      </c>
      <c r="H163" s="562"/>
      <c r="I163" s="562" t="s">
        <v>680</v>
      </c>
      <c r="J163" s="604"/>
      <c r="K163" s="562"/>
      <c r="L163" s="604">
        <v>220.01</v>
      </c>
      <c r="M163" s="603"/>
      <c r="N163" s="602"/>
      <c r="V163" s="674"/>
      <c r="W163" s="675"/>
      <c r="AA163" s="537" t="s">
        <v>687</v>
      </c>
      <c r="AC163" s="675"/>
      <c r="AD163" s="675"/>
      <c r="AF163" s="675"/>
      <c r="AG163" s="680"/>
    </row>
    <row r="164" spans="1:33" s="536" customFormat="1" ht="33.75" x14ac:dyDescent="0.2">
      <c r="A164" s="605"/>
      <c r="B164" s="552" t="s">
        <v>688</v>
      </c>
      <c r="C164" s="1822" t="s">
        <v>689</v>
      </c>
      <c r="D164" s="1822"/>
      <c r="E164" s="1822"/>
      <c r="F164" s="562" t="s">
        <v>322</v>
      </c>
      <c r="G164" s="562" t="s">
        <v>690</v>
      </c>
      <c r="H164" s="562"/>
      <c r="I164" s="562" t="s">
        <v>690</v>
      </c>
      <c r="J164" s="604"/>
      <c r="K164" s="562"/>
      <c r="L164" s="604">
        <v>125.11</v>
      </c>
      <c r="M164" s="603"/>
      <c r="N164" s="602"/>
      <c r="V164" s="674"/>
      <c r="W164" s="675"/>
      <c r="AA164" s="537" t="s">
        <v>689</v>
      </c>
      <c r="AC164" s="675"/>
      <c r="AD164" s="675"/>
      <c r="AF164" s="675"/>
      <c r="AG164" s="680"/>
    </row>
    <row r="165" spans="1:33" s="536" customFormat="1" ht="12" x14ac:dyDescent="0.2">
      <c r="A165" s="569"/>
      <c r="B165" s="671"/>
      <c r="C165" s="1823" t="s">
        <v>327</v>
      </c>
      <c r="D165" s="1823"/>
      <c r="E165" s="1823"/>
      <c r="F165" s="573"/>
      <c r="G165" s="573"/>
      <c r="H165" s="573"/>
      <c r="I165" s="573"/>
      <c r="J165" s="572"/>
      <c r="K165" s="573"/>
      <c r="L165" s="572">
        <v>1243.46</v>
      </c>
      <c r="M165" s="601"/>
      <c r="N165" s="570"/>
      <c r="V165" s="674"/>
      <c r="W165" s="675"/>
      <c r="AC165" s="675" t="s">
        <v>327</v>
      </c>
      <c r="AD165" s="675"/>
      <c r="AF165" s="675"/>
      <c r="AG165" s="680"/>
    </row>
    <row r="166" spans="1:33" s="536" customFormat="1" ht="22.5" x14ac:dyDescent="0.2">
      <c r="A166" s="575" t="s">
        <v>198</v>
      </c>
      <c r="B166" s="670" t="s">
        <v>3309</v>
      </c>
      <c r="C166" s="1823" t="s">
        <v>3310</v>
      </c>
      <c r="D166" s="1823"/>
      <c r="E166" s="1823"/>
      <c r="F166" s="573" t="s">
        <v>694</v>
      </c>
      <c r="G166" s="573"/>
      <c r="H166" s="573"/>
      <c r="I166" s="573" t="s">
        <v>3311</v>
      </c>
      <c r="J166" s="572"/>
      <c r="K166" s="573"/>
      <c r="L166" s="572"/>
      <c r="M166" s="571"/>
      <c r="N166" s="570"/>
      <c r="V166" s="674"/>
      <c r="W166" s="675" t="s">
        <v>3310</v>
      </c>
      <c r="AC166" s="675"/>
      <c r="AD166" s="675"/>
      <c r="AF166" s="675"/>
      <c r="AG166" s="680"/>
    </row>
    <row r="167" spans="1:33" s="536" customFormat="1" ht="12" x14ac:dyDescent="0.2">
      <c r="A167" s="676"/>
      <c r="B167" s="664"/>
      <c r="C167" s="1822" t="s">
        <v>3312</v>
      </c>
      <c r="D167" s="1822"/>
      <c r="E167" s="1822"/>
      <c r="F167" s="1822"/>
      <c r="G167" s="1822"/>
      <c r="H167" s="1822"/>
      <c r="I167" s="1822"/>
      <c r="J167" s="1822"/>
      <c r="K167" s="1822"/>
      <c r="L167" s="1822"/>
      <c r="M167" s="1822"/>
      <c r="N167" s="1827"/>
      <c r="V167" s="674"/>
      <c r="W167" s="675"/>
      <c r="X167" s="537" t="s">
        <v>3312</v>
      </c>
      <c r="AC167" s="675"/>
      <c r="AD167" s="675"/>
      <c r="AF167" s="675"/>
      <c r="AG167" s="680"/>
    </row>
    <row r="168" spans="1:33" s="536" customFormat="1" ht="33.75" x14ac:dyDescent="0.2">
      <c r="A168" s="609"/>
      <c r="B168" s="552" t="s">
        <v>310</v>
      </c>
      <c r="C168" s="1822" t="s">
        <v>311</v>
      </c>
      <c r="D168" s="1822"/>
      <c r="E168" s="1822"/>
      <c r="F168" s="1822"/>
      <c r="G168" s="1822"/>
      <c r="H168" s="1822"/>
      <c r="I168" s="1822"/>
      <c r="J168" s="1822"/>
      <c r="K168" s="1822"/>
      <c r="L168" s="1822"/>
      <c r="M168" s="1822"/>
      <c r="N168" s="1827"/>
      <c r="V168" s="674"/>
      <c r="W168" s="675"/>
      <c r="Y168" s="537" t="s">
        <v>311</v>
      </c>
      <c r="AC168" s="675"/>
      <c r="AD168" s="675"/>
      <c r="AF168" s="675"/>
      <c r="AG168" s="680"/>
    </row>
    <row r="169" spans="1:33" s="536" customFormat="1" ht="12" x14ac:dyDescent="0.2">
      <c r="A169" s="605"/>
      <c r="B169" s="552" t="s">
        <v>185</v>
      </c>
      <c r="C169" s="1822" t="s">
        <v>312</v>
      </c>
      <c r="D169" s="1822"/>
      <c r="E169" s="1822"/>
      <c r="F169" s="562"/>
      <c r="G169" s="562"/>
      <c r="H169" s="562"/>
      <c r="I169" s="562"/>
      <c r="J169" s="604">
        <v>408.85</v>
      </c>
      <c r="K169" s="562" t="s">
        <v>313</v>
      </c>
      <c r="L169" s="604">
        <v>51</v>
      </c>
      <c r="M169" s="603"/>
      <c r="N169" s="602"/>
      <c r="V169" s="674"/>
      <c r="W169" s="675"/>
      <c r="Z169" s="537" t="s">
        <v>312</v>
      </c>
      <c r="AC169" s="675"/>
      <c r="AD169" s="675"/>
      <c r="AF169" s="675"/>
      <c r="AG169" s="680"/>
    </row>
    <row r="170" spans="1:33" s="536" customFormat="1" ht="12" x14ac:dyDescent="0.2">
      <c r="A170" s="605"/>
      <c r="B170" s="552" t="s">
        <v>186</v>
      </c>
      <c r="C170" s="1822" t="s">
        <v>344</v>
      </c>
      <c r="D170" s="1822"/>
      <c r="E170" s="1822"/>
      <c r="F170" s="562"/>
      <c r="G170" s="562"/>
      <c r="H170" s="562"/>
      <c r="I170" s="562"/>
      <c r="J170" s="604">
        <v>425.84</v>
      </c>
      <c r="K170" s="562" t="s">
        <v>313</v>
      </c>
      <c r="L170" s="604">
        <v>53.12</v>
      </c>
      <c r="M170" s="603"/>
      <c r="N170" s="602"/>
      <c r="V170" s="674"/>
      <c r="W170" s="675"/>
      <c r="Z170" s="537" t="s">
        <v>344</v>
      </c>
      <c r="AC170" s="675"/>
      <c r="AD170" s="675"/>
      <c r="AF170" s="675"/>
      <c r="AG170" s="680"/>
    </row>
    <row r="171" spans="1:33" s="536" customFormat="1" ht="12" x14ac:dyDescent="0.2">
      <c r="A171" s="605"/>
      <c r="B171" s="552" t="s">
        <v>187</v>
      </c>
      <c r="C171" s="1822" t="s">
        <v>345</v>
      </c>
      <c r="D171" s="1822"/>
      <c r="E171" s="1822"/>
      <c r="F171" s="562"/>
      <c r="G171" s="562"/>
      <c r="H171" s="562"/>
      <c r="I171" s="562"/>
      <c r="J171" s="604">
        <v>51.59</v>
      </c>
      <c r="K171" s="562" t="s">
        <v>313</v>
      </c>
      <c r="L171" s="604">
        <v>6.44</v>
      </c>
      <c r="M171" s="603"/>
      <c r="N171" s="602"/>
      <c r="V171" s="674"/>
      <c r="W171" s="675"/>
      <c r="Z171" s="537" t="s">
        <v>345</v>
      </c>
      <c r="AC171" s="675"/>
      <c r="AD171" s="675"/>
      <c r="AF171" s="675"/>
      <c r="AG171" s="680"/>
    </row>
    <row r="172" spans="1:33" s="536" customFormat="1" ht="12" x14ac:dyDescent="0.2">
      <c r="A172" s="605"/>
      <c r="B172" s="552" t="s">
        <v>188</v>
      </c>
      <c r="C172" s="1822" t="s">
        <v>475</v>
      </c>
      <c r="D172" s="1822"/>
      <c r="E172" s="1822"/>
      <c r="F172" s="562"/>
      <c r="G172" s="562"/>
      <c r="H172" s="562"/>
      <c r="I172" s="562"/>
      <c r="J172" s="604">
        <v>72.209999999999994</v>
      </c>
      <c r="K172" s="562"/>
      <c r="L172" s="604">
        <v>7.21</v>
      </c>
      <c r="M172" s="603"/>
      <c r="N172" s="602"/>
      <c r="V172" s="674"/>
      <c r="W172" s="675"/>
      <c r="Z172" s="537" t="s">
        <v>475</v>
      </c>
      <c r="AC172" s="675"/>
      <c r="AD172" s="675"/>
      <c r="AF172" s="675"/>
      <c r="AG172" s="680"/>
    </row>
    <row r="173" spans="1:33" s="536" customFormat="1" ht="12" x14ac:dyDescent="0.2">
      <c r="A173" s="676"/>
      <c r="B173" s="677" t="s">
        <v>3313</v>
      </c>
      <c r="C173" s="1829" t="s">
        <v>1229</v>
      </c>
      <c r="D173" s="1829"/>
      <c r="E173" s="1829"/>
      <c r="F173" s="678" t="s">
        <v>694</v>
      </c>
      <c r="G173" s="678" t="s">
        <v>185</v>
      </c>
      <c r="H173" s="678"/>
      <c r="I173" s="678" t="s">
        <v>3311</v>
      </c>
      <c r="J173" s="552"/>
      <c r="K173" s="562"/>
      <c r="L173" s="604"/>
      <c r="M173" s="562"/>
      <c r="N173" s="679"/>
      <c r="V173" s="674"/>
      <c r="W173" s="675"/>
      <c r="AC173" s="675"/>
      <c r="AD173" s="675"/>
      <c r="AF173" s="675"/>
      <c r="AG173" s="680" t="s">
        <v>1229</v>
      </c>
    </row>
    <row r="174" spans="1:33" s="536" customFormat="1" ht="12" x14ac:dyDescent="0.2">
      <c r="A174" s="605"/>
      <c r="B174" s="552"/>
      <c r="C174" s="1822" t="s">
        <v>314</v>
      </c>
      <c r="D174" s="1822"/>
      <c r="E174" s="1822"/>
      <c r="F174" s="562" t="s">
        <v>315</v>
      </c>
      <c r="G174" s="562" t="s">
        <v>1513</v>
      </c>
      <c r="H174" s="562" t="s">
        <v>313</v>
      </c>
      <c r="I174" s="562" t="s">
        <v>3314</v>
      </c>
      <c r="J174" s="604"/>
      <c r="K174" s="562"/>
      <c r="L174" s="604"/>
      <c r="M174" s="603"/>
      <c r="N174" s="602"/>
      <c r="V174" s="674"/>
      <c r="W174" s="675"/>
      <c r="AA174" s="537" t="s">
        <v>314</v>
      </c>
      <c r="AC174" s="675"/>
      <c r="AD174" s="675"/>
      <c r="AF174" s="675"/>
      <c r="AG174" s="680"/>
    </row>
    <row r="175" spans="1:33" s="536" customFormat="1" ht="12" x14ac:dyDescent="0.2">
      <c r="A175" s="605"/>
      <c r="B175" s="552"/>
      <c r="C175" s="1822" t="s">
        <v>348</v>
      </c>
      <c r="D175" s="1822"/>
      <c r="E175" s="1822"/>
      <c r="F175" s="562" t="s">
        <v>315</v>
      </c>
      <c r="G175" s="562" t="s">
        <v>3315</v>
      </c>
      <c r="H175" s="562" t="s">
        <v>313</v>
      </c>
      <c r="I175" s="562" t="s">
        <v>3316</v>
      </c>
      <c r="J175" s="604"/>
      <c r="K175" s="562"/>
      <c r="L175" s="604"/>
      <c r="M175" s="603"/>
      <c r="N175" s="602"/>
      <c r="V175" s="674"/>
      <c r="W175" s="675"/>
      <c r="AA175" s="537" t="s">
        <v>348</v>
      </c>
      <c r="AC175" s="675"/>
      <c r="AD175" s="675"/>
      <c r="AF175" s="675"/>
      <c r="AG175" s="680"/>
    </row>
    <row r="176" spans="1:33" s="536" customFormat="1" ht="12" x14ac:dyDescent="0.2">
      <c r="A176" s="605"/>
      <c r="B176" s="552"/>
      <c r="C176" s="1828" t="s">
        <v>318</v>
      </c>
      <c r="D176" s="1828"/>
      <c r="E176" s="1828"/>
      <c r="F176" s="608"/>
      <c r="G176" s="608"/>
      <c r="H176" s="608"/>
      <c r="I176" s="608"/>
      <c r="J176" s="607">
        <v>906.9</v>
      </c>
      <c r="K176" s="608"/>
      <c r="L176" s="607">
        <v>111.33</v>
      </c>
      <c r="M176" s="601"/>
      <c r="N176" s="606"/>
      <c r="V176" s="674"/>
      <c r="W176" s="675"/>
      <c r="AB176" s="537" t="s">
        <v>318</v>
      </c>
      <c r="AC176" s="675"/>
      <c r="AD176" s="675"/>
      <c r="AF176" s="675"/>
      <c r="AG176" s="680"/>
    </row>
    <row r="177" spans="1:33" s="536" customFormat="1" ht="12" x14ac:dyDescent="0.2">
      <c r="A177" s="605"/>
      <c r="B177" s="552"/>
      <c r="C177" s="1822" t="s">
        <v>319</v>
      </c>
      <c r="D177" s="1822"/>
      <c r="E177" s="1822"/>
      <c r="F177" s="562"/>
      <c r="G177" s="562"/>
      <c r="H177" s="562"/>
      <c r="I177" s="562"/>
      <c r="J177" s="604"/>
      <c r="K177" s="562"/>
      <c r="L177" s="604">
        <v>57.44</v>
      </c>
      <c r="M177" s="603"/>
      <c r="N177" s="602"/>
      <c r="V177" s="674"/>
      <c r="W177" s="675"/>
      <c r="AA177" s="537" t="s">
        <v>319</v>
      </c>
      <c r="AC177" s="675"/>
      <c r="AD177" s="675"/>
      <c r="AF177" s="675"/>
      <c r="AG177" s="680"/>
    </row>
    <row r="178" spans="1:33" s="536" customFormat="1" ht="33.75" x14ac:dyDescent="0.2">
      <c r="A178" s="605"/>
      <c r="B178" s="552" t="s">
        <v>686</v>
      </c>
      <c r="C178" s="1822" t="s">
        <v>687</v>
      </c>
      <c r="D178" s="1822"/>
      <c r="E178" s="1822"/>
      <c r="F178" s="562" t="s">
        <v>322</v>
      </c>
      <c r="G178" s="562" t="s">
        <v>680</v>
      </c>
      <c r="H178" s="562"/>
      <c r="I178" s="562" t="s">
        <v>680</v>
      </c>
      <c r="J178" s="604"/>
      <c r="K178" s="562"/>
      <c r="L178" s="604">
        <v>58.59</v>
      </c>
      <c r="M178" s="603"/>
      <c r="N178" s="602"/>
      <c r="V178" s="674"/>
      <c r="W178" s="675"/>
      <c r="AA178" s="537" t="s">
        <v>687</v>
      </c>
      <c r="AC178" s="675"/>
      <c r="AD178" s="675"/>
      <c r="AF178" s="675"/>
      <c r="AG178" s="680"/>
    </row>
    <row r="179" spans="1:33" s="536" customFormat="1" ht="33.75" x14ac:dyDescent="0.2">
      <c r="A179" s="605"/>
      <c r="B179" s="552" t="s">
        <v>688</v>
      </c>
      <c r="C179" s="1822" t="s">
        <v>689</v>
      </c>
      <c r="D179" s="1822"/>
      <c r="E179" s="1822"/>
      <c r="F179" s="562" t="s">
        <v>322</v>
      </c>
      <c r="G179" s="562" t="s">
        <v>690</v>
      </c>
      <c r="H179" s="562"/>
      <c r="I179" s="562" t="s">
        <v>690</v>
      </c>
      <c r="J179" s="604"/>
      <c r="K179" s="562"/>
      <c r="L179" s="604">
        <v>33.32</v>
      </c>
      <c r="M179" s="603"/>
      <c r="N179" s="602"/>
      <c r="V179" s="674"/>
      <c r="W179" s="675"/>
      <c r="AA179" s="537" t="s">
        <v>689</v>
      </c>
      <c r="AC179" s="675"/>
      <c r="AD179" s="675"/>
      <c r="AF179" s="675"/>
      <c r="AG179" s="680"/>
    </row>
    <row r="180" spans="1:33" s="536" customFormat="1" ht="12" x14ac:dyDescent="0.2">
      <c r="A180" s="569"/>
      <c r="B180" s="671"/>
      <c r="C180" s="1823" t="s">
        <v>327</v>
      </c>
      <c r="D180" s="1823"/>
      <c r="E180" s="1823"/>
      <c r="F180" s="573"/>
      <c r="G180" s="573"/>
      <c r="H180" s="573"/>
      <c r="I180" s="573"/>
      <c r="J180" s="572"/>
      <c r="K180" s="573"/>
      <c r="L180" s="572">
        <v>203.24</v>
      </c>
      <c r="M180" s="601"/>
      <c r="N180" s="570"/>
      <c r="V180" s="674"/>
      <c r="W180" s="675"/>
      <c r="AC180" s="675" t="s">
        <v>327</v>
      </c>
      <c r="AD180" s="675"/>
      <c r="AF180" s="675"/>
      <c r="AG180" s="680"/>
    </row>
    <row r="181" spans="1:33" s="536" customFormat="1" ht="67.5" x14ac:dyDescent="0.2">
      <c r="A181" s="575" t="s">
        <v>199</v>
      </c>
      <c r="B181" s="670" t="s">
        <v>1413</v>
      </c>
      <c r="C181" s="1823" t="s">
        <v>1414</v>
      </c>
      <c r="D181" s="1823"/>
      <c r="E181" s="1823"/>
      <c r="F181" s="573" t="s">
        <v>694</v>
      </c>
      <c r="G181" s="573"/>
      <c r="H181" s="573"/>
      <c r="I181" s="573" t="s">
        <v>3311</v>
      </c>
      <c r="J181" s="572">
        <v>6800</v>
      </c>
      <c r="K181" s="573"/>
      <c r="L181" s="572">
        <v>678.64</v>
      </c>
      <c r="M181" s="571"/>
      <c r="N181" s="570"/>
      <c r="V181" s="674"/>
      <c r="W181" s="675" t="s">
        <v>1414</v>
      </c>
      <c r="AC181" s="675"/>
      <c r="AD181" s="675"/>
      <c r="AF181" s="675"/>
      <c r="AG181" s="680"/>
    </row>
    <row r="182" spans="1:33" s="536" customFormat="1" ht="12" x14ac:dyDescent="0.2">
      <c r="A182" s="569"/>
      <c r="B182" s="671"/>
      <c r="C182" s="665" t="s">
        <v>717</v>
      </c>
      <c r="D182" s="666"/>
      <c r="E182" s="666"/>
      <c r="F182" s="563"/>
      <c r="G182" s="563"/>
      <c r="H182" s="563"/>
      <c r="I182" s="563"/>
      <c r="J182" s="566"/>
      <c r="K182" s="563"/>
      <c r="L182" s="566"/>
      <c r="M182" s="565"/>
      <c r="N182" s="564"/>
      <c r="V182" s="674"/>
      <c r="W182" s="675"/>
      <c r="AC182" s="675"/>
      <c r="AD182" s="675"/>
      <c r="AF182" s="675"/>
      <c r="AG182" s="680"/>
    </row>
    <row r="183" spans="1:33" s="536" customFormat="1" ht="33.75" x14ac:dyDescent="0.2">
      <c r="A183" s="575" t="s">
        <v>200</v>
      </c>
      <c r="B183" s="670" t="s">
        <v>1416</v>
      </c>
      <c r="C183" s="1823" t="s">
        <v>1417</v>
      </c>
      <c r="D183" s="1823"/>
      <c r="E183" s="1823"/>
      <c r="F183" s="573" t="s">
        <v>862</v>
      </c>
      <c r="G183" s="573"/>
      <c r="H183" s="573"/>
      <c r="I183" s="573" t="s">
        <v>3317</v>
      </c>
      <c r="J183" s="572"/>
      <c r="K183" s="573"/>
      <c r="L183" s="572"/>
      <c r="M183" s="571"/>
      <c r="N183" s="570"/>
      <c r="V183" s="674"/>
      <c r="W183" s="675" t="s">
        <v>1417</v>
      </c>
      <c r="AC183" s="675"/>
      <c r="AD183" s="675"/>
      <c r="AF183" s="675"/>
      <c r="AG183" s="680"/>
    </row>
    <row r="184" spans="1:33" s="536" customFormat="1" ht="12" x14ac:dyDescent="0.2">
      <c r="A184" s="676"/>
      <c r="B184" s="664"/>
      <c r="C184" s="1822" t="s">
        <v>3318</v>
      </c>
      <c r="D184" s="1822"/>
      <c r="E184" s="1822"/>
      <c r="F184" s="1822"/>
      <c r="G184" s="1822"/>
      <c r="H184" s="1822"/>
      <c r="I184" s="1822"/>
      <c r="J184" s="1822"/>
      <c r="K184" s="1822"/>
      <c r="L184" s="1822"/>
      <c r="M184" s="1822"/>
      <c r="N184" s="1827"/>
      <c r="V184" s="674"/>
      <c r="W184" s="675"/>
      <c r="X184" s="537" t="s">
        <v>3318</v>
      </c>
      <c r="AC184" s="675"/>
      <c r="AD184" s="675"/>
      <c r="AF184" s="675"/>
      <c r="AG184" s="680"/>
    </row>
    <row r="185" spans="1:33" s="536" customFormat="1" ht="33.75" x14ac:dyDescent="0.2">
      <c r="A185" s="609"/>
      <c r="B185" s="552" t="s">
        <v>310</v>
      </c>
      <c r="C185" s="1822" t="s">
        <v>311</v>
      </c>
      <c r="D185" s="1822"/>
      <c r="E185" s="1822"/>
      <c r="F185" s="1822"/>
      <c r="G185" s="1822"/>
      <c r="H185" s="1822"/>
      <c r="I185" s="1822"/>
      <c r="J185" s="1822"/>
      <c r="K185" s="1822"/>
      <c r="L185" s="1822"/>
      <c r="M185" s="1822"/>
      <c r="N185" s="1827"/>
      <c r="V185" s="674"/>
      <c r="W185" s="675"/>
      <c r="Y185" s="537" t="s">
        <v>311</v>
      </c>
      <c r="AC185" s="675"/>
      <c r="AD185" s="675"/>
      <c r="AF185" s="675"/>
      <c r="AG185" s="680"/>
    </row>
    <row r="186" spans="1:33" s="536" customFormat="1" ht="12" x14ac:dyDescent="0.2">
      <c r="A186" s="605"/>
      <c r="B186" s="552" t="s">
        <v>185</v>
      </c>
      <c r="C186" s="1822" t="s">
        <v>312</v>
      </c>
      <c r="D186" s="1822"/>
      <c r="E186" s="1822"/>
      <c r="F186" s="562"/>
      <c r="G186" s="562"/>
      <c r="H186" s="562"/>
      <c r="I186" s="562"/>
      <c r="J186" s="604">
        <v>170.01</v>
      </c>
      <c r="K186" s="562" t="s">
        <v>313</v>
      </c>
      <c r="L186" s="604">
        <v>205.18</v>
      </c>
      <c r="M186" s="603"/>
      <c r="N186" s="602"/>
      <c r="V186" s="674"/>
      <c r="W186" s="675"/>
      <c r="Z186" s="537" t="s">
        <v>312</v>
      </c>
      <c r="AC186" s="675"/>
      <c r="AD186" s="675"/>
      <c r="AF186" s="675"/>
      <c r="AG186" s="680"/>
    </row>
    <row r="187" spans="1:33" s="536" customFormat="1" ht="12" x14ac:dyDescent="0.2">
      <c r="A187" s="605"/>
      <c r="B187" s="552" t="s">
        <v>186</v>
      </c>
      <c r="C187" s="1822" t="s">
        <v>344</v>
      </c>
      <c r="D187" s="1822"/>
      <c r="E187" s="1822"/>
      <c r="F187" s="562"/>
      <c r="G187" s="562"/>
      <c r="H187" s="562"/>
      <c r="I187" s="562"/>
      <c r="J187" s="604">
        <v>38.6</v>
      </c>
      <c r="K187" s="562" t="s">
        <v>313</v>
      </c>
      <c r="L187" s="604">
        <v>46.59</v>
      </c>
      <c r="M187" s="603"/>
      <c r="N187" s="602"/>
      <c r="V187" s="674"/>
      <c r="W187" s="675"/>
      <c r="Z187" s="537" t="s">
        <v>344</v>
      </c>
      <c r="AC187" s="675"/>
      <c r="AD187" s="675"/>
      <c r="AF187" s="675"/>
      <c r="AG187" s="680"/>
    </row>
    <row r="188" spans="1:33" s="536" customFormat="1" ht="12" x14ac:dyDescent="0.2">
      <c r="A188" s="605"/>
      <c r="B188" s="552" t="s">
        <v>187</v>
      </c>
      <c r="C188" s="1822" t="s">
        <v>345</v>
      </c>
      <c r="D188" s="1822"/>
      <c r="E188" s="1822"/>
      <c r="F188" s="562"/>
      <c r="G188" s="562"/>
      <c r="H188" s="562"/>
      <c r="I188" s="562"/>
      <c r="J188" s="604">
        <v>9.2899999999999991</v>
      </c>
      <c r="K188" s="562" t="s">
        <v>313</v>
      </c>
      <c r="L188" s="604">
        <v>11.21</v>
      </c>
      <c r="M188" s="603"/>
      <c r="N188" s="602"/>
      <c r="V188" s="674"/>
      <c r="W188" s="675"/>
      <c r="Z188" s="537" t="s">
        <v>345</v>
      </c>
      <c r="AC188" s="675"/>
      <c r="AD188" s="675"/>
      <c r="AF188" s="675"/>
      <c r="AG188" s="680"/>
    </row>
    <row r="189" spans="1:33" s="536" customFormat="1" ht="12" x14ac:dyDescent="0.2">
      <c r="A189" s="605"/>
      <c r="B189" s="552" t="s">
        <v>188</v>
      </c>
      <c r="C189" s="1822" t="s">
        <v>475</v>
      </c>
      <c r="D189" s="1822"/>
      <c r="E189" s="1822"/>
      <c r="F189" s="562"/>
      <c r="G189" s="562"/>
      <c r="H189" s="562"/>
      <c r="I189" s="562"/>
      <c r="J189" s="604">
        <v>0.91</v>
      </c>
      <c r="K189" s="562"/>
      <c r="L189" s="604">
        <v>0.88</v>
      </c>
      <c r="M189" s="603"/>
      <c r="N189" s="602"/>
      <c r="V189" s="674"/>
      <c r="W189" s="675"/>
      <c r="Z189" s="537" t="s">
        <v>475</v>
      </c>
      <c r="AC189" s="675"/>
      <c r="AD189" s="675"/>
      <c r="AF189" s="675"/>
      <c r="AG189" s="680"/>
    </row>
    <row r="190" spans="1:33" s="536" customFormat="1" ht="12" x14ac:dyDescent="0.2">
      <c r="A190" s="676"/>
      <c r="B190" s="677" t="s">
        <v>1420</v>
      </c>
      <c r="C190" s="1829" t="s">
        <v>1421</v>
      </c>
      <c r="D190" s="1829"/>
      <c r="E190" s="1829"/>
      <c r="F190" s="678" t="s">
        <v>694</v>
      </c>
      <c r="G190" s="678" t="s">
        <v>1422</v>
      </c>
      <c r="H190" s="678"/>
      <c r="I190" s="678" t="s">
        <v>3319</v>
      </c>
      <c r="J190" s="552"/>
      <c r="K190" s="562"/>
      <c r="L190" s="604"/>
      <c r="M190" s="562"/>
      <c r="N190" s="679"/>
      <c r="V190" s="674"/>
      <c r="W190" s="675"/>
      <c r="AC190" s="675"/>
      <c r="AD190" s="675"/>
      <c r="AF190" s="675"/>
      <c r="AG190" s="680" t="s">
        <v>1421</v>
      </c>
    </row>
    <row r="191" spans="1:33" s="536" customFormat="1" ht="22.5" x14ac:dyDescent="0.2">
      <c r="A191" s="605"/>
      <c r="B191" s="552"/>
      <c r="C191" s="1822" t="s">
        <v>314</v>
      </c>
      <c r="D191" s="1822"/>
      <c r="E191" s="1822"/>
      <c r="F191" s="562" t="s">
        <v>315</v>
      </c>
      <c r="G191" s="562" t="s">
        <v>1424</v>
      </c>
      <c r="H191" s="562" t="s">
        <v>313</v>
      </c>
      <c r="I191" s="562" t="s">
        <v>3320</v>
      </c>
      <c r="J191" s="604"/>
      <c r="K191" s="562"/>
      <c r="L191" s="604"/>
      <c r="M191" s="603"/>
      <c r="N191" s="602"/>
      <c r="V191" s="674"/>
      <c r="W191" s="675"/>
      <c r="AA191" s="537" t="s">
        <v>314</v>
      </c>
      <c r="AC191" s="675"/>
      <c r="AD191" s="675"/>
      <c r="AF191" s="675"/>
      <c r="AG191" s="680"/>
    </row>
    <row r="192" spans="1:33" s="536" customFormat="1" ht="12" x14ac:dyDescent="0.2">
      <c r="A192" s="605"/>
      <c r="B192" s="552"/>
      <c r="C192" s="1822" t="s">
        <v>348</v>
      </c>
      <c r="D192" s="1822"/>
      <c r="E192" s="1822"/>
      <c r="F192" s="562" t="s">
        <v>315</v>
      </c>
      <c r="G192" s="562" t="s">
        <v>524</v>
      </c>
      <c r="H192" s="562" t="s">
        <v>313</v>
      </c>
      <c r="I192" s="562" t="s">
        <v>3321</v>
      </c>
      <c r="J192" s="604"/>
      <c r="K192" s="562"/>
      <c r="L192" s="604"/>
      <c r="M192" s="603"/>
      <c r="N192" s="602"/>
      <c r="V192" s="674"/>
      <c r="W192" s="675"/>
      <c r="AA192" s="537" t="s">
        <v>348</v>
      </c>
      <c r="AC192" s="675"/>
      <c r="AD192" s="675"/>
      <c r="AF192" s="675"/>
      <c r="AG192" s="680"/>
    </row>
    <row r="193" spans="1:33" s="536" customFormat="1" ht="12" x14ac:dyDescent="0.2">
      <c r="A193" s="605"/>
      <c r="B193" s="552"/>
      <c r="C193" s="1828" t="s">
        <v>318</v>
      </c>
      <c r="D193" s="1828"/>
      <c r="E193" s="1828"/>
      <c r="F193" s="608"/>
      <c r="G193" s="608"/>
      <c r="H193" s="608"/>
      <c r="I193" s="608"/>
      <c r="J193" s="607">
        <v>209.52</v>
      </c>
      <c r="K193" s="608"/>
      <c r="L193" s="607">
        <v>252.65</v>
      </c>
      <c r="M193" s="601"/>
      <c r="N193" s="606"/>
      <c r="V193" s="674"/>
      <c r="W193" s="675"/>
      <c r="AB193" s="537" t="s">
        <v>318</v>
      </c>
      <c r="AC193" s="675"/>
      <c r="AD193" s="675"/>
      <c r="AF193" s="675"/>
      <c r="AG193" s="680"/>
    </row>
    <row r="194" spans="1:33" s="536" customFormat="1" ht="12" x14ac:dyDescent="0.2">
      <c r="A194" s="605"/>
      <c r="B194" s="552"/>
      <c r="C194" s="1822" t="s">
        <v>319</v>
      </c>
      <c r="D194" s="1822"/>
      <c r="E194" s="1822"/>
      <c r="F194" s="562"/>
      <c r="G194" s="562"/>
      <c r="H194" s="562"/>
      <c r="I194" s="562"/>
      <c r="J194" s="604"/>
      <c r="K194" s="562"/>
      <c r="L194" s="604">
        <v>216.39</v>
      </c>
      <c r="M194" s="603"/>
      <c r="N194" s="602"/>
      <c r="V194" s="674"/>
      <c r="W194" s="675"/>
      <c r="AA194" s="537" t="s">
        <v>319</v>
      </c>
      <c r="AC194" s="675"/>
      <c r="AD194" s="675"/>
      <c r="AF194" s="675"/>
      <c r="AG194" s="680"/>
    </row>
    <row r="195" spans="1:33" s="536" customFormat="1" ht="33.75" x14ac:dyDescent="0.2">
      <c r="A195" s="605"/>
      <c r="B195" s="552" t="s">
        <v>1250</v>
      </c>
      <c r="C195" s="1822" t="s">
        <v>1251</v>
      </c>
      <c r="D195" s="1822"/>
      <c r="E195" s="1822"/>
      <c r="F195" s="562" t="s">
        <v>322</v>
      </c>
      <c r="G195" s="562" t="s">
        <v>1252</v>
      </c>
      <c r="H195" s="562"/>
      <c r="I195" s="562" t="s">
        <v>1252</v>
      </c>
      <c r="J195" s="604"/>
      <c r="K195" s="562"/>
      <c r="L195" s="604">
        <v>242.36</v>
      </c>
      <c r="M195" s="603"/>
      <c r="N195" s="602"/>
      <c r="V195" s="674"/>
      <c r="W195" s="675"/>
      <c r="AA195" s="537" t="s">
        <v>1251</v>
      </c>
      <c r="AC195" s="675"/>
      <c r="AD195" s="675"/>
      <c r="AF195" s="675"/>
      <c r="AG195" s="680"/>
    </row>
    <row r="196" spans="1:33" s="536" customFormat="1" ht="33.75" x14ac:dyDescent="0.2">
      <c r="A196" s="605"/>
      <c r="B196" s="552" t="s">
        <v>1253</v>
      </c>
      <c r="C196" s="1822" t="s">
        <v>1254</v>
      </c>
      <c r="D196" s="1822"/>
      <c r="E196" s="1822"/>
      <c r="F196" s="562" t="s">
        <v>322</v>
      </c>
      <c r="G196" s="562" t="s">
        <v>796</v>
      </c>
      <c r="H196" s="562"/>
      <c r="I196" s="562" t="s">
        <v>796</v>
      </c>
      <c r="J196" s="604"/>
      <c r="K196" s="562"/>
      <c r="L196" s="604">
        <v>140.65</v>
      </c>
      <c r="M196" s="603"/>
      <c r="N196" s="602"/>
      <c r="V196" s="674"/>
      <c r="W196" s="675"/>
      <c r="AA196" s="537" t="s">
        <v>1254</v>
      </c>
      <c r="AC196" s="675"/>
      <c r="AD196" s="675"/>
      <c r="AF196" s="675"/>
      <c r="AG196" s="680"/>
    </row>
    <row r="197" spans="1:33" s="536" customFormat="1" ht="12" x14ac:dyDescent="0.2">
      <c r="A197" s="569"/>
      <c r="B197" s="671"/>
      <c r="C197" s="1823" t="s">
        <v>327</v>
      </c>
      <c r="D197" s="1823"/>
      <c r="E197" s="1823"/>
      <c r="F197" s="573"/>
      <c r="G197" s="573"/>
      <c r="H197" s="573"/>
      <c r="I197" s="573"/>
      <c r="J197" s="572"/>
      <c r="K197" s="573"/>
      <c r="L197" s="572">
        <v>635.66</v>
      </c>
      <c r="M197" s="601"/>
      <c r="N197" s="570"/>
      <c r="V197" s="674"/>
      <c r="W197" s="675"/>
      <c r="AC197" s="675" t="s">
        <v>327</v>
      </c>
      <c r="AD197" s="675"/>
      <c r="AF197" s="675"/>
      <c r="AG197" s="680"/>
    </row>
    <row r="198" spans="1:33" s="536" customFormat="1" ht="45" x14ac:dyDescent="0.2">
      <c r="A198" s="575" t="s">
        <v>425</v>
      </c>
      <c r="B198" s="670" t="s">
        <v>2126</v>
      </c>
      <c r="C198" s="1823" t="s">
        <v>2127</v>
      </c>
      <c r="D198" s="1823"/>
      <c r="E198" s="1823"/>
      <c r="F198" s="573" t="s">
        <v>862</v>
      </c>
      <c r="G198" s="573"/>
      <c r="H198" s="573"/>
      <c r="I198" s="573" t="s">
        <v>3317</v>
      </c>
      <c r="J198" s="572"/>
      <c r="K198" s="573"/>
      <c r="L198" s="572"/>
      <c r="M198" s="571"/>
      <c r="N198" s="570"/>
      <c r="V198" s="674"/>
      <c r="W198" s="675" t="s">
        <v>2127</v>
      </c>
      <c r="AC198" s="675"/>
      <c r="AD198" s="675"/>
      <c r="AF198" s="675"/>
      <c r="AG198" s="680"/>
    </row>
    <row r="199" spans="1:33" s="536" customFormat="1" ht="12" x14ac:dyDescent="0.2">
      <c r="A199" s="676"/>
      <c r="B199" s="664"/>
      <c r="C199" s="1822" t="s">
        <v>3318</v>
      </c>
      <c r="D199" s="1822"/>
      <c r="E199" s="1822"/>
      <c r="F199" s="1822"/>
      <c r="G199" s="1822"/>
      <c r="H199" s="1822"/>
      <c r="I199" s="1822"/>
      <c r="J199" s="1822"/>
      <c r="K199" s="1822"/>
      <c r="L199" s="1822"/>
      <c r="M199" s="1822"/>
      <c r="N199" s="1827"/>
      <c r="V199" s="674"/>
      <c r="W199" s="675"/>
      <c r="X199" s="537" t="s">
        <v>3318</v>
      </c>
      <c r="AC199" s="675"/>
      <c r="AD199" s="675"/>
      <c r="AF199" s="675"/>
      <c r="AG199" s="680"/>
    </row>
    <row r="200" spans="1:33" s="536" customFormat="1" ht="33.75" x14ac:dyDescent="0.2">
      <c r="A200" s="609"/>
      <c r="B200" s="552" t="s">
        <v>310</v>
      </c>
      <c r="C200" s="1822" t="s">
        <v>311</v>
      </c>
      <c r="D200" s="1822"/>
      <c r="E200" s="1822"/>
      <c r="F200" s="1822"/>
      <c r="G200" s="1822"/>
      <c r="H200" s="1822"/>
      <c r="I200" s="1822"/>
      <c r="J200" s="1822"/>
      <c r="K200" s="1822"/>
      <c r="L200" s="1822"/>
      <c r="M200" s="1822"/>
      <c r="N200" s="1827"/>
      <c r="V200" s="674"/>
      <c r="W200" s="675"/>
      <c r="Y200" s="537" t="s">
        <v>311</v>
      </c>
      <c r="AC200" s="675"/>
      <c r="AD200" s="675"/>
      <c r="AF200" s="675"/>
      <c r="AG200" s="680"/>
    </row>
    <row r="201" spans="1:33" s="536" customFormat="1" ht="12" x14ac:dyDescent="0.2">
      <c r="A201" s="605"/>
      <c r="B201" s="552" t="s">
        <v>185</v>
      </c>
      <c r="C201" s="1822" t="s">
        <v>312</v>
      </c>
      <c r="D201" s="1822"/>
      <c r="E201" s="1822"/>
      <c r="F201" s="562"/>
      <c r="G201" s="562"/>
      <c r="H201" s="562"/>
      <c r="I201" s="562"/>
      <c r="J201" s="604">
        <v>53.82</v>
      </c>
      <c r="K201" s="562" t="s">
        <v>313</v>
      </c>
      <c r="L201" s="604">
        <v>64.95</v>
      </c>
      <c r="M201" s="603"/>
      <c r="N201" s="602"/>
      <c r="V201" s="674"/>
      <c r="W201" s="675"/>
      <c r="Z201" s="537" t="s">
        <v>312</v>
      </c>
      <c r="AC201" s="675"/>
      <c r="AD201" s="675"/>
      <c r="AF201" s="675"/>
      <c r="AG201" s="680"/>
    </row>
    <row r="202" spans="1:33" s="536" customFormat="1" ht="12" x14ac:dyDescent="0.2">
      <c r="A202" s="605"/>
      <c r="B202" s="552" t="s">
        <v>186</v>
      </c>
      <c r="C202" s="1822" t="s">
        <v>344</v>
      </c>
      <c r="D202" s="1822"/>
      <c r="E202" s="1822"/>
      <c r="F202" s="562"/>
      <c r="G202" s="562"/>
      <c r="H202" s="562"/>
      <c r="I202" s="562"/>
      <c r="J202" s="604">
        <v>19.149999999999999</v>
      </c>
      <c r="K202" s="562" t="s">
        <v>313</v>
      </c>
      <c r="L202" s="604">
        <v>23.11</v>
      </c>
      <c r="M202" s="603"/>
      <c r="N202" s="602"/>
      <c r="V202" s="674"/>
      <c r="W202" s="675"/>
      <c r="Z202" s="537" t="s">
        <v>344</v>
      </c>
      <c r="AC202" s="675"/>
      <c r="AD202" s="675"/>
      <c r="AF202" s="675"/>
      <c r="AG202" s="680"/>
    </row>
    <row r="203" spans="1:33" s="536" customFormat="1" ht="12" x14ac:dyDescent="0.2">
      <c r="A203" s="605"/>
      <c r="B203" s="552" t="s">
        <v>187</v>
      </c>
      <c r="C203" s="1822" t="s">
        <v>345</v>
      </c>
      <c r="D203" s="1822"/>
      <c r="E203" s="1822"/>
      <c r="F203" s="562"/>
      <c r="G203" s="562"/>
      <c r="H203" s="562"/>
      <c r="I203" s="562"/>
      <c r="J203" s="604">
        <v>4.58</v>
      </c>
      <c r="K203" s="562" t="s">
        <v>313</v>
      </c>
      <c r="L203" s="604">
        <v>5.53</v>
      </c>
      <c r="M203" s="603"/>
      <c r="N203" s="602"/>
      <c r="V203" s="674"/>
      <c r="W203" s="675"/>
      <c r="Z203" s="537" t="s">
        <v>345</v>
      </c>
      <c r="AC203" s="675"/>
      <c r="AD203" s="675"/>
      <c r="AF203" s="675"/>
      <c r="AG203" s="680"/>
    </row>
    <row r="204" spans="1:33" s="536" customFormat="1" ht="12" x14ac:dyDescent="0.2">
      <c r="A204" s="605"/>
      <c r="B204" s="552" t="s">
        <v>188</v>
      </c>
      <c r="C204" s="1822" t="s">
        <v>475</v>
      </c>
      <c r="D204" s="1822"/>
      <c r="E204" s="1822"/>
      <c r="F204" s="562"/>
      <c r="G204" s="562"/>
      <c r="H204" s="562"/>
      <c r="I204" s="562"/>
      <c r="J204" s="604">
        <v>0.55000000000000004</v>
      </c>
      <c r="K204" s="562"/>
      <c r="L204" s="604">
        <v>0.53</v>
      </c>
      <c r="M204" s="603"/>
      <c r="N204" s="602"/>
      <c r="V204" s="674"/>
      <c r="W204" s="675"/>
      <c r="Z204" s="537" t="s">
        <v>475</v>
      </c>
      <c r="AC204" s="675"/>
      <c r="AD204" s="675"/>
      <c r="AF204" s="675"/>
      <c r="AG204" s="680"/>
    </row>
    <row r="205" spans="1:33" s="536" customFormat="1" ht="12" x14ac:dyDescent="0.2">
      <c r="A205" s="676"/>
      <c r="B205" s="677" t="s">
        <v>1420</v>
      </c>
      <c r="C205" s="1829" t="s">
        <v>1421</v>
      </c>
      <c r="D205" s="1829"/>
      <c r="E205" s="1829"/>
      <c r="F205" s="678" t="s">
        <v>694</v>
      </c>
      <c r="G205" s="678" t="s">
        <v>646</v>
      </c>
      <c r="H205" s="678"/>
      <c r="I205" s="678" t="s">
        <v>3322</v>
      </c>
      <c r="J205" s="552"/>
      <c r="K205" s="562"/>
      <c r="L205" s="604"/>
      <c r="M205" s="562"/>
      <c r="N205" s="679"/>
      <c r="V205" s="674"/>
      <c r="W205" s="675"/>
      <c r="AC205" s="675"/>
      <c r="AD205" s="675"/>
      <c r="AF205" s="675"/>
      <c r="AG205" s="680" t="s">
        <v>1421</v>
      </c>
    </row>
    <row r="206" spans="1:33" s="536" customFormat="1" ht="12" x14ac:dyDescent="0.2">
      <c r="A206" s="605"/>
      <c r="B206" s="552"/>
      <c r="C206" s="1822" t="s">
        <v>314</v>
      </c>
      <c r="D206" s="1822"/>
      <c r="E206" s="1822"/>
      <c r="F206" s="562" t="s">
        <v>315</v>
      </c>
      <c r="G206" s="562" t="s">
        <v>2129</v>
      </c>
      <c r="H206" s="562" t="s">
        <v>313</v>
      </c>
      <c r="I206" s="562" t="s">
        <v>3323</v>
      </c>
      <c r="J206" s="604"/>
      <c r="K206" s="562"/>
      <c r="L206" s="604"/>
      <c r="M206" s="603"/>
      <c r="N206" s="602"/>
      <c r="V206" s="674"/>
      <c r="W206" s="675"/>
      <c r="AA206" s="537" t="s">
        <v>314</v>
      </c>
      <c r="AC206" s="675"/>
      <c r="AD206" s="675"/>
      <c r="AF206" s="675"/>
      <c r="AG206" s="680"/>
    </row>
    <row r="207" spans="1:33" s="536" customFormat="1" ht="12" x14ac:dyDescent="0.2">
      <c r="A207" s="605"/>
      <c r="B207" s="552"/>
      <c r="C207" s="1822" t="s">
        <v>348</v>
      </c>
      <c r="D207" s="1822"/>
      <c r="E207" s="1822"/>
      <c r="F207" s="562" t="s">
        <v>315</v>
      </c>
      <c r="G207" s="562" t="s">
        <v>2131</v>
      </c>
      <c r="H207" s="562" t="s">
        <v>313</v>
      </c>
      <c r="I207" s="562" t="s">
        <v>3324</v>
      </c>
      <c r="J207" s="604"/>
      <c r="K207" s="562"/>
      <c r="L207" s="604"/>
      <c r="M207" s="603"/>
      <c r="N207" s="602"/>
      <c r="V207" s="674"/>
      <c r="W207" s="675"/>
      <c r="AA207" s="537" t="s">
        <v>348</v>
      </c>
      <c r="AC207" s="675"/>
      <c r="AD207" s="675"/>
      <c r="AF207" s="675"/>
      <c r="AG207" s="680"/>
    </row>
    <row r="208" spans="1:33" s="536" customFormat="1" ht="12" x14ac:dyDescent="0.2">
      <c r="A208" s="605"/>
      <c r="B208" s="552"/>
      <c r="C208" s="1828" t="s">
        <v>318</v>
      </c>
      <c r="D208" s="1828"/>
      <c r="E208" s="1828"/>
      <c r="F208" s="608"/>
      <c r="G208" s="608"/>
      <c r="H208" s="608"/>
      <c r="I208" s="608"/>
      <c r="J208" s="607">
        <v>73.52</v>
      </c>
      <c r="K208" s="608"/>
      <c r="L208" s="607">
        <v>88.59</v>
      </c>
      <c r="M208" s="601"/>
      <c r="N208" s="606"/>
      <c r="V208" s="674"/>
      <c r="W208" s="675"/>
      <c r="AB208" s="537" t="s">
        <v>318</v>
      </c>
      <c r="AC208" s="675"/>
      <c r="AD208" s="675"/>
      <c r="AF208" s="675"/>
      <c r="AG208" s="680"/>
    </row>
    <row r="209" spans="1:33" s="536" customFormat="1" ht="12" x14ac:dyDescent="0.2">
      <c r="A209" s="605"/>
      <c r="B209" s="552"/>
      <c r="C209" s="1822" t="s">
        <v>319</v>
      </c>
      <c r="D209" s="1822"/>
      <c r="E209" s="1822"/>
      <c r="F209" s="562"/>
      <c r="G209" s="562"/>
      <c r="H209" s="562"/>
      <c r="I209" s="562"/>
      <c r="J209" s="604"/>
      <c r="K209" s="562"/>
      <c r="L209" s="604">
        <v>70.48</v>
      </c>
      <c r="M209" s="603"/>
      <c r="N209" s="602"/>
      <c r="V209" s="674"/>
      <c r="W209" s="675"/>
      <c r="AA209" s="537" t="s">
        <v>319</v>
      </c>
      <c r="AC209" s="675"/>
      <c r="AD209" s="675"/>
      <c r="AF209" s="675"/>
      <c r="AG209" s="680"/>
    </row>
    <row r="210" spans="1:33" s="536" customFormat="1" ht="33.75" x14ac:dyDescent="0.2">
      <c r="A210" s="605"/>
      <c r="B210" s="552" t="s">
        <v>1250</v>
      </c>
      <c r="C210" s="1822" t="s">
        <v>1251</v>
      </c>
      <c r="D210" s="1822"/>
      <c r="E210" s="1822"/>
      <c r="F210" s="562" t="s">
        <v>322</v>
      </c>
      <c r="G210" s="562" t="s">
        <v>1252</v>
      </c>
      <c r="H210" s="562"/>
      <c r="I210" s="562" t="s">
        <v>1252</v>
      </c>
      <c r="J210" s="604"/>
      <c r="K210" s="562"/>
      <c r="L210" s="604">
        <v>78.94</v>
      </c>
      <c r="M210" s="603"/>
      <c r="N210" s="602"/>
      <c r="V210" s="674"/>
      <c r="W210" s="675"/>
      <c r="AA210" s="537" t="s">
        <v>1251</v>
      </c>
      <c r="AC210" s="675"/>
      <c r="AD210" s="675"/>
      <c r="AF210" s="675"/>
      <c r="AG210" s="680"/>
    </row>
    <row r="211" spans="1:33" s="536" customFormat="1" ht="33.75" x14ac:dyDescent="0.2">
      <c r="A211" s="605"/>
      <c r="B211" s="552" t="s">
        <v>1253</v>
      </c>
      <c r="C211" s="1822" t="s">
        <v>1254</v>
      </c>
      <c r="D211" s="1822"/>
      <c r="E211" s="1822"/>
      <c r="F211" s="562" t="s">
        <v>322</v>
      </c>
      <c r="G211" s="562" t="s">
        <v>796</v>
      </c>
      <c r="H211" s="562"/>
      <c r="I211" s="562" t="s">
        <v>796</v>
      </c>
      <c r="J211" s="604"/>
      <c r="K211" s="562"/>
      <c r="L211" s="604">
        <v>45.81</v>
      </c>
      <c r="M211" s="603"/>
      <c r="N211" s="602"/>
      <c r="V211" s="674"/>
      <c r="W211" s="675"/>
      <c r="AA211" s="537" t="s">
        <v>1254</v>
      </c>
      <c r="AC211" s="675"/>
      <c r="AD211" s="675"/>
      <c r="AF211" s="675"/>
      <c r="AG211" s="680"/>
    </row>
    <row r="212" spans="1:33" s="536" customFormat="1" ht="12" x14ac:dyDescent="0.2">
      <c r="A212" s="569"/>
      <c r="B212" s="671"/>
      <c r="C212" s="1823" t="s">
        <v>327</v>
      </c>
      <c r="D212" s="1823"/>
      <c r="E212" s="1823"/>
      <c r="F212" s="573"/>
      <c r="G212" s="573"/>
      <c r="H212" s="573"/>
      <c r="I212" s="573"/>
      <c r="J212" s="572"/>
      <c r="K212" s="573"/>
      <c r="L212" s="572">
        <v>213.34</v>
      </c>
      <c r="M212" s="601"/>
      <c r="N212" s="570"/>
      <c r="V212" s="674"/>
      <c r="W212" s="675"/>
      <c r="AC212" s="675" t="s">
        <v>327</v>
      </c>
      <c r="AD212" s="675"/>
      <c r="AF212" s="675"/>
      <c r="AG212" s="680"/>
    </row>
    <row r="213" spans="1:33" s="536" customFormat="1" ht="22.5" x14ac:dyDescent="0.2">
      <c r="A213" s="575" t="s">
        <v>430</v>
      </c>
      <c r="B213" s="670" t="s">
        <v>1427</v>
      </c>
      <c r="C213" s="1823" t="s">
        <v>1428</v>
      </c>
      <c r="D213" s="1823"/>
      <c r="E213" s="1823"/>
      <c r="F213" s="573" t="s">
        <v>699</v>
      </c>
      <c r="G213" s="573"/>
      <c r="H213" s="573"/>
      <c r="I213" s="573" t="s">
        <v>3325</v>
      </c>
      <c r="J213" s="572">
        <v>9.15</v>
      </c>
      <c r="K213" s="573"/>
      <c r="L213" s="572">
        <v>1413.49</v>
      </c>
      <c r="M213" s="571"/>
      <c r="N213" s="570"/>
      <c r="V213" s="674"/>
      <c r="W213" s="675" t="s">
        <v>1428</v>
      </c>
      <c r="AC213" s="675"/>
      <c r="AD213" s="675"/>
      <c r="AF213" s="675"/>
      <c r="AG213" s="680"/>
    </row>
    <row r="214" spans="1:33" s="536" customFormat="1" ht="12" x14ac:dyDescent="0.2">
      <c r="A214" s="569"/>
      <c r="B214" s="671"/>
      <c r="C214" s="665" t="s">
        <v>717</v>
      </c>
      <c r="D214" s="666"/>
      <c r="E214" s="666"/>
      <c r="F214" s="563"/>
      <c r="G214" s="563"/>
      <c r="H214" s="563"/>
      <c r="I214" s="563"/>
      <c r="J214" s="566"/>
      <c r="K214" s="563"/>
      <c r="L214" s="566"/>
      <c r="M214" s="565"/>
      <c r="N214" s="564"/>
      <c r="V214" s="674"/>
      <c r="W214" s="675"/>
      <c r="AC214" s="675"/>
      <c r="AD214" s="675"/>
      <c r="AF214" s="675"/>
      <c r="AG214" s="680"/>
    </row>
    <row r="215" spans="1:33" s="536" customFormat="1" ht="12" x14ac:dyDescent="0.2">
      <c r="A215" s="676"/>
      <c r="B215" s="664"/>
      <c r="C215" s="1822" t="s">
        <v>3326</v>
      </c>
      <c r="D215" s="1822"/>
      <c r="E215" s="1822"/>
      <c r="F215" s="1822"/>
      <c r="G215" s="1822"/>
      <c r="H215" s="1822"/>
      <c r="I215" s="1822"/>
      <c r="J215" s="1822"/>
      <c r="K215" s="1822"/>
      <c r="L215" s="1822"/>
      <c r="M215" s="1822"/>
      <c r="N215" s="1827"/>
      <c r="V215" s="674"/>
      <c r="W215" s="675"/>
      <c r="X215" s="537" t="s">
        <v>3326</v>
      </c>
      <c r="AC215" s="675"/>
      <c r="AD215" s="675"/>
      <c r="AF215" s="675"/>
      <c r="AG215" s="680"/>
    </row>
    <row r="216" spans="1:33" s="536" customFormat="1" ht="1.5" customHeight="1" x14ac:dyDescent="0.2">
      <c r="A216" s="563"/>
      <c r="B216" s="671"/>
      <c r="C216" s="671"/>
      <c r="D216" s="671"/>
      <c r="E216" s="671"/>
      <c r="F216" s="563"/>
      <c r="G216" s="563"/>
      <c r="H216" s="563"/>
      <c r="I216" s="563"/>
      <c r="J216" s="546"/>
      <c r="K216" s="563"/>
      <c r="L216" s="546"/>
      <c r="M216" s="562"/>
      <c r="N216" s="546"/>
      <c r="V216" s="674"/>
      <c r="W216" s="675"/>
      <c r="AC216" s="675"/>
      <c r="AD216" s="675"/>
      <c r="AF216" s="675"/>
      <c r="AG216" s="680"/>
    </row>
    <row r="217" spans="1:33" s="536" customFormat="1" ht="12" x14ac:dyDescent="0.2">
      <c r="A217" s="557"/>
      <c r="B217" s="556"/>
      <c r="C217" s="1823" t="s">
        <v>3327</v>
      </c>
      <c r="D217" s="1823"/>
      <c r="E217" s="1823"/>
      <c r="F217" s="1823"/>
      <c r="G217" s="1823"/>
      <c r="H217" s="1823"/>
      <c r="I217" s="1823"/>
      <c r="J217" s="1823"/>
      <c r="K217" s="1823"/>
      <c r="L217" s="555"/>
      <c r="M217" s="554"/>
      <c r="N217" s="553"/>
      <c r="V217" s="674"/>
      <c r="W217" s="675"/>
      <c r="AC217" s="675"/>
      <c r="AD217" s="675" t="s">
        <v>3327</v>
      </c>
      <c r="AF217" s="675"/>
      <c r="AG217" s="680"/>
    </row>
    <row r="218" spans="1:33" s="536" customFormat="1" ht="12" x14ac:dyDescent="0.2">
      <c r="A218" s="548"/>
      <c r="B218" s="552"/>
      <c r="C218" s="1822" t="s">
        <v>403</v>
      </c>
      <c r="D218" s="1822"/>
      <c r="E218" s="1822"/>
      <c r="F218" s="1822"/>
      <c r="G218" s="1822"/>
      <c r="H218" s="1822"/>
      <c r="I218" s="1822"/>
      <c r="J218" s="1822"/>
      <c r="K218" s="1822"/>
      <c r="L218" s="551">
        <v>78037.3</v>
      </c>
      <c r="M218" s="550"/>
      <c r="N218" s="549"/>
      <c r="V218" s="674"/>
      <c r="W218" s="675"/>
      <c r="AC218" s="675"/>
      <c r="AD218" s="675"/>
      <c r="AE218" s="537" t="s">
        <v>403</v>
      </c>
      <c r="AF218" s="675"/>
      <c r="AG218" s="680"/>
    </row>
    <row r="219" spans="1:33" s="536" customFormat="1" ht="12" x14ac:dyDescent="0.2">
      <c r="A219" s="548"/>
      <c r="B219" s="552"/>
      <c r="C219" s="1822" t="s">
        <v>204</v>
      </c>
      <c r="D219" s="1822"/>
      <c r="E219" s="1822"/>
      <c r="F219" s="1822"/>
      <c r="G219" s="1822"/>
      <c r="H219" s="1822"/>
      <c r="I219" s="1822"/>
      <c r="J219" s="1822"/>
      <c r="K219" s="1822"/>
      <c r="L219" s="551"/>
      <c r="M219" s="550"/>
      <c r="N219" s="549"/>
      <c r="V219" s="674"/>
      <c r="W219" s="675"/>
      <c r="AC219" s="675"/>
      <c r="AD219" s="675"/>
      <c r="AE219" s="537" t="s">
        <v>204</v>
      </c>
      <c r="AF219" s="675"/>
      <c r="AG219" s="680"/>
    </row>
    <row r="220" spans="1:33" s="536" customFormat="1" ht="12" x14ac:dyDescent="0.2">
      <c r="A220" s="548"/>
      <c r="B220" s="552"/>
      <c r="C220" s="1822" t="s">
        <v>404</v>
      </c>
      <c r="D220" s="1822"/>
      <c r="E220" s="1822"/>
      <c r="F220" s="1822"/>
      <c r="G220" s="1822"/>
      <c r="H220" s="1822"/>
      <c r="I220" s="1822"/>
      <c r="J220" s="1822"/>
      <c r="K220" s="1822"/>
      <c r="L220" s="551">
        <v>1806.3</v>
      </c>
      <c r="M220" s="550"/>
      <c r="N220" s="549"/>
      <c r="V220" s="674"/>
      <c r="W220" s="675"/>
      <c r="AC220" s="675"/>
      <c r="AD220" s="675"/>
      <c r="AE220" s="537" t="s">
        <v>404</v>
      </c>
      <c r="AF220" s="675"/>
      <c r="AG220" s="680"/>
    </row>
    <row r="221" spans="1:33" s="536" customFormat="1" ht="12" x14ac:dyDescent="0.2">
      <c r="A221" s="548"/>
      <c r="B221" s="552"/>
      <c r="C221" s="1822" t="s">
        <v>405</v>
      </c>
      <c r="D221" s="1822"/>
      <c r="E221" s="1822"/>
      <c r="F221" s="1822"/>
      <c r="G221" s="1822"/>
      <c r="H221" s="1822"/>
      <c r="I221" s="1822"/>
      <c r="J221" s="1822"/>
      <c r="K221" s="1822"/>
      <c r="L221" s="551">
        <v>2182.59</v>
      </c>
      <c r="M221" s="550"/>
      <c r="N221" s="549"/>
      <c r="V221" s="674"/>
      <c r="W221" s="675"/>
      <c r="AC221" s="675"/>
      <c r="AD221" s="675"/>
      <c r="AE221" s="537" t="s">
        <v>405</v>
      </c>
      <c r="AF221" s="675"/>
      <c r="AG221" s="680"/>
    </row>
    <row r="222" spans="1:33" s="536" customFormat="1" ht="12" x14ac:dyDescent="0.2">
      <c r="A222" s="548"/>
      <c r="B222" s="552"/>
      <c r="C222" s="1822" t="s">
        <v>406</v>
      </c>
      <c r="D222" s="1822"/>
      <c r="E222" s="1822"/>
      <c r="F222" s="1822"/>
      <c r="G222" s="1822"/>
      <c r="H222" s="1822"/>
      <c r="I222" s="1822"/>
      <c r="J222" s="1822"/>
      <c r="K222" s="1822"/>
      <c r="L222" s="551">
        <v>337.23</v>
      </c>
      <c r="M222" s="550"/>
      <c r="N222" s="549"/>
      <c r="V222" s="674"/>
      <c r="W222" s="675"/>
      <c r="AC222" s="675"/>
      <c r="AD222" s="675"/>
      <c r="AE222" s="537" t="s">
        <v>406</v>
      </c>
      <c r="AF222" s="675"/>
      <c r="AG222" s="680"/>
    </row>
    <row r="223" spans="1:33" s="536" customFormat="1" ht="12" x14ac:dyDescent="0.2">
      <c r="A223" s="548"/>
      <c r="B223" s="552"/>
      <c r="C223" s="1822" t="s">
        <v>480</v>
      </c>
      <c r="D223" s="1822"/>
      <c r="E223" s="1822"/>
      <c r="F223" s="1822"/>
      <c r="G223" s="1822"/>
      <c r="H223" s="1822"/>
      <c r="I223" s="1822"/>
      <c r="J223" s="1822"/>
      <c r="K223" s="1822"/>
      <c r="L223" s="551">
        <v>74048.41</v>
      </c>
      <c r="M223" s="550"/>
      <c r="N223" s="549"/>
      <c r="V223" s="674"/>
      <c r="W223" s="675"/>
      <c r="AC223" s="675"/>
      <c r="AD223" s="675"/>
      <c r="AE223" s="537" t="s">
        <v>480</v>
      </c>
      <c r="AF223" s="675"/>
      <c r="AG223" s="680"/>
    </row>
    <row r="224" spans="1:33" s="536" customFormat="1" ht="12" x14ac:dyDescent="0.2">
      <c r="A224" s="548"/>
      <c r="B224" s="552"/>
      <c r="C224" s="1822" t="s">
        <v>407</v>
      </c>
      <c r="D224" s="1822"/>
      <c r="E224" s="1822"/>
      <c r="F224" s="1822"/>
      <c r="G224" s="1822"/>
      <c r="H224" s="1822"/>
      <c r="I224" s="1822"/>
      <c r="J224" s="1822"/>
      <c r="K224" s="1822"/>
      <c r="L224" s="551">
        <v>81515.72</v>
      </c>
      <c r="M224" s="550"/>
      <c r="N224" s="549"/>
      <c r="V224" s="674"/>
      <c r="W224" s="675"/>
      <c r="AC224" s="675"/>
      <c r="AD224" s="675"/>
      <c r="AE224" s="537" t="s">
        <v>407</v>
      </c>
      <c r="AF224" s="675"/>
      <c r="AG224" s="680"/>
    </row>
    <row r="225" spans="1:33" s="536" customFormat="1" ht="12" x14ac:dyDescent="0.2">
      <c r="A225" s="548"/>
      <c r="B225" s="552"/>
      <c r="C225" s="1822" t="s">
        <v>204</v>
      </c>
      <c r="D225" s="1822"/>
      <c r="E225" s="1822"/>
      <c r="F225" s="1822"/>
      <c r="G225" s="1822"/>
      <c r="H225" s="1822"/>
      <c r="I225" s="1822"/>
      <c r="J225" s="1822"/>
      <c r="K225" s="1822"/>
      <c r="L225" s="551"/>
      <c r="M225" s="550"/>
      <c r="N225" s="549"/>
      <c r="V225" s="674"/>
      <c r="W225" s="675"/>
      <c r="AC225" s="675"/>
      <c r="AD225" s="675"/>
      <c r="AE225" s="537" t="s">
        <v>204</v>
      </c>
      <c r="AF225" s="675"/>
      <c r="AG225" s="680"/>
    </row>
    <row r="226" spans="1:33" s="536" customFormat="1" ht="12" x14ac:dyDescent="0.2">
      <c r="A226" s="548"/>
      <c r="B226" s="552"/>
      <c r="C226" s="1822" t="s">
        <v>546</v>
      </c>
      <c r="D226" s="1822"/>
      <c r="E226" s="1822"/>
      <c r="F226" s="1822"/>
      <c r="G226" s="1822"/>
      <c r="H226" s="1822"/>
      <c r="I226" s="1822"/>
      <c r="J226" s="1822"/>
      <c r="K226" s="1822"/>
      <c r="L226" s="551">
        <v>1806.3</v>
      </c>
      <c r="M226" s="550"/>
      <c r="N226" s="549"/>
      <c r="V226" s="674"/>
      <c r="W226" s="675"/>
      <c r="AC226" s="675"/>
      <c r="AD226" s="675"/>
      <c r="AE226" s="537" t="s">
        <v>546</v>
      </c>
      <c r="AF226" s="675"/>
      <c r="AG226" s="680"/>
    </row>
    <row r="227" spans="1:33" s="536" customFormat="1" ht="12" x14ac:dyDescent="0.2">
      <c r="A227" s="548"/>
      <c r="B227" s="552"/>
      <c r="C227" s="1822" t="s">
        <v>442</v>
      </c>
      <c r="D227" s="1822"/>
      <c r="E227" s="1822"/>
      <c r="F227" s="1822"/>
      <c r="G227" s="1822"/>
      <c r="H227" s="1822"/>
      <c r="I227" s="1822"/>
      <c r="J227" s="1822"/>
      <c r="K227" s="1822"/>
      <c r="L227" s="551">
        <v>2182.59</v>
      </c>
      <c r="M227" s="550"/>
      <c r="N227" s="549"/>
      <c r="V227" s="674"/>
      <c r="W227" s="675"/>
      <c r="AC227" s="675"/>
      <c r="AD227" s="675"/>
      <c r="AE227" s="537" t="s">
        <v>442</v>
      </c>
      <c r="AF227" s="675"/>
      <c r="AG227" s="680"/>
    </row>
    <row r="228" spans="1:33" s="536" customFormat="1" ht="12" x14ac:dyDescent="0.2">
      <c r="A228" s="548"/>
      <c r="B228" s="552"/>
      <c r="C228" s="1822" t="s">
        <v>547</v>
      </c>
      <c r="D228" s="1822"/>
      <c r="E228" s="1822"/>
      <c r="F228" s="1822"/>
      <c r="G228" s="1822"/>
      <c r="H228" s="1822"/>
      <c r="I228" s="1822"/>
      <c r="J228" s="1822"/>
      <c r="K228" s="1822"/>
      <c r="L228" s="551">
        <v>74048.41</v>
      </c>
      <c r="M228" s="550"/>
      <c r="N228" s="549"/>
      <c r="V228" s="674"/>
      <c r="W228" s="675"/>
      <c r="AC228" s="675"/>
      <c r="AD228" s="675"/>
      <c r="AE228" s="537" t="s">
        <v>547</v>
      </c>
      <c r="AF228" s="675"/>
      <c r="AG228" s="680"/>
    </row>
    <row r="229" spans="1:33" s="536" customFormat="1" ht="12" x14ac:dyDescent="0.2">
      <c r="A229" s="548"/>
      <c r="B229" s="552"/>
      <c r="C229" s="1822" t="s">
        <v>443</v>
      </c>
      <c r="D229" s="1822"/>
      <c r="E229" s="1822"/>
      <c r="F229" s="1822"/>
      <c r="G229" s="1822"/>
      <c r="H229" s="1822"/>
      <c r="I229" s="1822"/>
      <c r="J229" s="1822"/>
      <c r="K229" s="1822"/>
      <c r="L229" s="551">
        <v>2215.09</v>
      </c>
      <c r="M229" s="550"/>
      <c r="N229" s="549"/>
      <c r="V229" s="674"/>
      <c r="W229" s="675"/>
      <c r="AC229" s="675"/>
      <c r="AD229" s="675"/>
      <c r="AE229" s="537" t="s">
        <v>443</v>
      </c>
      <c r="AF229" s="675"/>
      <c r="AG229" s="680"/>
    </row>
    <row r="230" spans="1:33" s="536" customFormat="1" ht="12" x14ac:dyDescent="0.2">
      <c r="A230" s="548"/>
      <c r="B230" s="552"/>
      <c r="C230" s="1822" t="s">
        <v>444</v>
      </c>
      <c r="D230" s="1822"/>
      <c r="E230" s="1822"/>
      <c r="F230" s="1822"/>
      <c r="G230" s="1822"/>
      <c r="H230" s="1822"/>
      <c r="I230" s="1822"/>
      <c r="J230" s="1822"/>
      <c r="K230" s="1822"/>
      <c r="L230" s="551">
        <v>1263.33</v>
      </c>
      <c r="M230" s="550"/>
      <c r="N230" s="549"/>
      <c r="V230" s="674"/>
      <c r="W230" s="675"/>
      <c r="AC230" s="675"/>
      <c r="AD230" s="675"/>
      <c r="AE230" s="537" t="s">
        <v>444</v>
      </c>
      <c r="AF230" s="675"/>
      <c r="AG230" s="680"/>
    </row>
    <row r="231" spans="1:33" s="536" customFormat="1" ht="12" x14ac:dyDescent="0.2">
      <c r="A231" s="548"/>
      <c r="B231" s="552"/>
      <c r="C231" s="1822" t="s">
        <v>415</v>
      </c>
      <c r="D231" s="1822"/>
      <c r="E231" s="1822"/>
      <c r="F231" s="1822"/>
      <c r="G231" s="1822"/>
      <c r="H231" s="1822"/>
      <c r="I231" s="1822"/>
      <c r="J231" s="1822"/>
      <c r="K231" s="1822"/>
      <c r="L231" s="551">
        <v>2143.5300000000002</v>
      </c>
      <c r="M231" s="550"/>
      <c r="N231" s="549"/>
      <c r="V231" s="674"/>
      <c r="W231" s="675"/>
      <c r="AC231" s="675"/>
      <c r="AD231" s="675"/>
      <c r="AE231" s="537" t="s">
        <v>415</v>
      </c>
      <c r="AF231" s="675"/>
      <c r="AG231" s="680"/>
    </row>
    <row r="232" spans="1:33" s="536" customFormat="1" ht="12" x14ac:dyDescent="0.2">
      <c r="A232" s="548"/>
      <c r="B232" s="552"/>
      <c r="C232" s="1822" t="s">
        <v>416</v>
      </c>
      <c r="D232" s="1822"/>
      <c r="E232" s="1822"/>
      <c r="F232" s="1822"/>
      <c r="G232" s="1822"/>
      <c r="H232" s="1822"/>
      <c r="I232" s="1822"/>
      <c r="J232" s="1822"/>
      <c r="K232" s="1822"/>
      <c r="L232" s="551">
        <v>2215.09</v>
      </c>
      <c r="M232" s="550"/>
      <c r="N232" s="549"/>
      <c r="V232" s="674"/>
      <c r="W232" s="675"/>
      <c r="AC232" s="675"/>
      <c r="AD232" s="675"/>
      <c r="AE232" s="537" t="s">
        <v>416</v>
      </c>
      <c r="AF232" s="675"/>
      <c r="AG232" s="680"/>
    </row>
    <row r="233" spans="1:33" s="536" customFormat="1" ht="12" x14ac:dyDescent="0.2">
      <c r="A233" s="548"/>
      <c r="B233" s="552"/>
      <c r="C233" s="1822" t="s">
        <v>417</v>
      </c>
      <c r="D233" s="1822"/>
      <c r="E233" s="1822"/>
      <c r="F233" s="1822"/>
      <c r="G233" s="1822"/>
      <c r="H233" s="1822"/>
      <c r="I233" s="1822"/>
      <c r="J233" s="1822"/>
      <c r="K233" s="1822"/>
      <c r="L233" s="551">
        <v>1263.33</v>
      </c>
      <c r="M233" s="550"/>
      <c r="N233" s="549"/>
      <c r="V233" s="674"/>
      <c r="W233" s="675"/>
      <c r="AC233" s="675"/>
      <c r="AD233" s="675"/>
      <c r="AE233" s="537" t="s">
        <v>417</v>
      </c>
      <c r="AF233" s="675"/>
      <c r="AG233" s="680"/>
    </row>
    <row r="234" spans="1:33" s="536" customFormat="1" ht="12" x14ac:dyDescent="0.2">
      <c r="A234" s="548"/>
      <c r="B234" s="546"/>
      <c r="C234" s="1819" t="s">
        <v>3328</v>
      </c>
      <c r="D234" s="1819"/>
      <c r="E234" s="1819"/>
      <c r="F234" s="1819"/>
      <c r="G234" s="1819"/>
      <c r="H234" s="1819"/>
      <c r="I234" s="1819"/>
      <c r="J234" s="1819"/>
      <c r="K234" s="1819"/>
      <c r="L234" s="544">
        <v>81515.72</v>
      </c>
      <c r="M234" s="543"/>
      <c r="N234" s="681"/>
      <c r="V234" s="674"/>
      <c r="W234" s="675"/>
      <c r="AC234" s="675"/>
      <c r="AD234" s="675"/>
      <c r="AF234" s="675" t="s">
        <v>3328</v>
      </c>
      <c r="AG234" s="680"/>
    </row>
    <row r="235" spans="1:33" s="536" customFormat="1" ht="12" x14ac:dyDescent="0.2">
      <c r="A235" s="1824" t="s">
        <v>2137</v>
      </c>
      <c r="B235" s="1825"/>
      <c r="C235" s="1825"/>
      <c r="D235" s="1825"/>
      <c r="E235" s="1825"/>
      <c r="F235" s="1825"/>
      <c r="G235" s="1825"/>
      <c r="H235" s="1825"/>
      <c r="I235" s="1825"/>
      <c r="J235" s="1825"/>
      <c r="K235" s="1825"/>
      <c r="L235" s="1825"/>
      <c r="M235" s="1825"/>
      <c r="N235" s="1826"/>
      <c r="V235" s="674" t="s">
        <v>2137</v>
      </c>
      <c r="W235" s="675"/>
      <c r="AC235" s="675"/>
      <c r="AD235" s="675"/>
      <c r="AF235" s="675"/>
      <c r="AG235" s="680"/>
    </row>
    <row r="236" spans="1:33" s="536" customFormat="1" ht="45" x14ac:dyDescent="0.2">
      <c r="A236" s="575" t="s">
        <v>436</v>
      </c>
      <c r="B236" s="670" t="s">
        <v>1432</v>
      </c>
      <c r="C236" s="1823" t="s">
        <v>1433</v>
      </c>
      <c r="D236" s="1823"/>
      <c r="E236" s="1823"/>
      <c r="F236" s="573" t="s">
        <v>694</v>
      </c>
      <c r="G236" s="573"/>
      <c r="H236" s="573"/>
      <c r="I236" s="573" t="s">
        <v>3329</v>
      </c>
      <c r="J236" s="572"/>
      <c r="K236" s="573"/>
      <c r="L236" s="572"/>
      <c r="M236" s="571"/>
      <c r="N236" s="570"/>
      <c r="V236" s="674"/>
      <c r="W236" s="675" t="s">
        <v>1433</v>
      </c>
      <c r="AC236" s="675"/>
      <c r="AD236" s="675"/>
      <c r="AF236" s="675"/>
      <c r="AG236" s="680"/>
    </row>
    <row r="237" spans="1:33" s="536" customFormat="1" ht="12" x14ac:dyDescent="0.2">
      <c r="A237" s="676"/>
      <c r="B237" s="664"/>
      <c r="C237" s="1822" t="s">
        <v>3330</v>
      </c>
      <c r="D237" s="1822"/>
      <c r="E237" s="1822"/>
      <c r="F237" s="1822"/>
      <c r="G237" s="1822"/>
      <c r="H237" s="1822"/>
      <c r="I237" s="1822"/>
      <c r="J237" s="1822"/>
      <c r="K237" s="1822"/>
      <c r="L237" s="1822"/>
      <c r="M237" s="1822"/>
      <c r="N237" s="1827"/>
      <c r="V237" s="674"/>
      <c r="W237" s="675"/>
      <c r="X237" s="537" t="s">
        <v>3330</v>
      </c>
      <c r="AC237" s="675"/>
      <c r="AD237" s="675"/>
      <c r="AF237" s="675"/>
      <c r="AG237" s="680"/>
    </row>
    <row r="238" spans="1:33" s="536" customFormat="1" ht="33.75" x14ac:dyDescent="0.2">
      <c r="A238" s="609"/>
      <c r="B238" s="552" t="s">
        <v>310</v>
      </c>
      <c r="C238" s="1822" t="s">
        <v>311</v>
      </c>
      <c r="D238" s="1822"/>
      <c r="E238" s="1822"/>
      <c r="F238" s="1822"/>
      <c r="G238" s="1822"/>
      <c r="H238" s="1822"/>
      <c r="I238" s="1822"/>
      <c r="J238" s="1822"/>
      <c r="K238" s="1822"/>
      <c r="L238" s="1822"/>
      <c r="M238" s="1822"/>
      <c r="N238" s="1827"/>
      <c r="V238" s="674"/>
      <c r="W238" s="675"/>
      <c r="Y238" s="537" t="s">
        <v>311</v>
      </c>
      <c r="AC238" s="675"/>
      <c r="AD238" s="675"/>
      <c r="AF238" s="675"/>
      <c r="AG238" s="680"/>
    </row>
    <row r="239" spans="1:33" s="536" customFormat="1" ht="12" x14ac:dyDescent="0.2">
      <c r="A239" s="605"/>
      <c r="B239" s="552" t="s">
        <v>185</v>
      </c>
      <c r="C239" s="1822" t="s">
        <v>312</v>
      </c>
      <c r="D239" s="1822"/>
      <c r="E239" s="1822"/>
      <c r="F239" s="562"/>
      <c r="G239" s="562"/>
      <c r="H239" s="562"/>
      <c r="I239" s="562"/>
      <c r="J239" s="604">
        <v>85.83</v>
      </c>
      <c r="K239" s="562" t="s">
        <v>313</v>
      </c>
      <c r="L239" s="604">
        <v>231.44</v>
      </c>
      <c r="M239" s="603"/>
      <c r="N239" s="602"/>
      <c r="V239" s="674"/>
      <c r="W239" s="675"/>
      <c r="Z239" s="537" t="s">
        <v>312</v>
      </c>
      <c r="AC239" s="675"/>
      <c r="AD239" s="675"/>
      <c r="AF239" s="675"/>
      <c r="AG239" s="680"/>
    </row>
    <row r="240" spans="1:33" s="536" customFormat="1" ht="12" x14ac:dyDescent="0.2">
      <c r="A240" s="605"/>
      <c r="B240" s="552" t="s">
        <v>186</v>
      </c>
      <c r="C240" s="1822" t="s">
        <v>344</v>
      </c>
      <c r="D240" s="1822"/>
      <c r="E240" s="1822"/>
      <c r="F240" s="562"/>
      <c r="G240" s="562"/>
      <c r="H240" s="562"/>
      <c r="I240" s="562"/>
      <c r="J240" s="604">
        <v>257.58999999999997</v>
      </c>
      <c r="K240" s="562" t="s">
        <v>313</v>
      </c>
      <c r="L240" s="604">
        <v>694.59</v>
      </c>
      <c r="M240" s="603"/>
      <c r="N240" s="602"/>
      <c r="V240" s="674"/>
      <c r="W240" s="675"/>
      <c r="Z240" s="537" t="s">
        <v>344</v>
      </c>
      <c r="AC240" s="675"/>
      <c r="AD240" s="675"/>
      <c r="AF240" s="675"/>
      <c r="AG240" s="680"/>
    </row>
    <row r="241" spans="1:33" s="536" customFormat="1" ht="12" x14ac:dyDescent="0.2">
      <c r="A241" s="605"/>
      <c r="B241" s="552" t="s">
        <v>187</v>
      </c>
      <c r="C241" s="1822" t="s">
        <v>345</v>
      </c>
      <c r="D241" s="1822"/>
      <c r="E241" s="1822"/>
      <c r="F241" s="562"/>
      <c r="G241" s="562"/>
      <c r="H241" s="562"/>
      <c r="I241" s="562"/>
      <c r="J241" s="604">
        <v>28.96</v>
      </c>
      <c r="K241" s="562" t="s">
        <v>313</v>
      </c>
      <c r="L241" s="604">
        <v>78.09</v>
      </c>
      <c r="M241" s="603"/>
      <c r="N241" s="602"/>
      <c r="V241" s="674"/>
      <c r="W241" s="675"/>
      <c r="Z241" s="537" t="s">
        <v>345</v>
      </c>
      <c r="AC241" s="675"/>
      <c r="AD241" s="675"/>
      <c r="AF241" s="675"/>
      <c r="AG241" s="680"/>
    </row>
    <row r="242" spans="1:33" s="536" customFormat="1" ht="12" x14ac:dyDescent="0.2">
      <c r="A242" s="605"/>
      <c r="B242" s="552" t="s">
        <v>188</v>
      </c>
      <c r="C242" s="1822" t="s">
        <v>475</v>
      </c>
      <c r="D242" s="1822"/>
      <c r="E242" s="1822"/>
      <c r="F242" s="562"/>
      <c r="G242" s="562"/>
      <c r="H242" s="562"/>
      <c r="I242" s="562"/>
      <c r="J242" s="604">
        <v>40.96</v>
      </c>
      <c r="K242" s="562"/>
      <c r="L242" s="604">
        <v>88.36</v>
      </c>
      <c r="M242" s="603"/>
      <c r="N242" s="602"/>
      <c r="V242" s="674"/>
      <c r="W242" s="675"/>
      <c r="Z242" s="537" t="s">
        <v>475</v>
      </c>
      <c r="AC242" s="675"/>
      <c r="AD242" s="675"/>
      <c r="AF242" s="675"/>
      <c r="AG242" s="680"/>
    </row>
    <row r="243" spans="1:33" s="536" customFormat="1" ht="12" x14ac:dyDescent="0.2">
      <c r="A243" s="676"/>
      <c r="B243" s="677" t="s">
        <v>1436</v>
      </c>
      <c r="C243" s="1829" t="s">
        <v>1229</v>
      </c>
      <c r="D243" s="1829"/>
      <c r="E243" s="1829"/>
      <c r="F243" s="678" t="s">
        <v>694</v>
      </c>
      <c r="G243" s="678" t="s">
        <v>185</v>
      </c>
      <c r="H243" s="678"/>
      <c r="I243" s="678" t="s">
        <v>3329</v>
      </c>
      <c r="J243" s="552"/>
      <c r="K243" s="562"/>
      <c r="L243" s="604"/>
      <c r="M243" s="562"/>
      <c r="N243" s="679"/>
      <c r="V243" s="674"/>
      <c r="W243" s="675"/>
      <c r="AC243" s="675"/>
      <c r="AD243" s="675"/>
      <c r="AF243" s="675"/>
      <c r="AG243" s="680" t="s">
        <v>1229</v>
      </c>
    </row>
    <row r="244" spans="1:33" s="536" customFormat="1" ht="12" x14ac:dyDescent="0.2">
      <c r="A244" s="605"/>
      <c r="B244" s="552"/>
      <c r="C244" s="1822" t="s">
        <v>314</v>
      </c>
      <c r="D244" s="1822"/>
      <c r="E244" s="1822"/>
      <c r="F244" s="562" t="s">
        <v>315</v>
      </c>
      <c r="G244" s="562" t="s">
        <v>1437</v>
      </c>
      <c r="H244" s="562" t="s">
        <v>313</v>
      </c>
      <c r="I244" s="562" t="s">
        <v>3331</v>
      </c>
      <c r="J244" s="604"/>
      <c r="K244" s="562"/>
      <c r="L244" s="604"/>
      <c r="M244" s="603"/>
      <c r="N244" s="602"/>
      <c r="V244" s="674"/>
      <c r="W244" s="675"/>
      <c r="AA244" s="537" t="s">
        <v>314</v>
      </c>
      <c r="AC244" s="675"/>
      <c r="AD244" s="675"/>
      <c r="AF244" s="675"/>
      <c r="AG244" s="680"/>
    </row>
    <row r="245" spans="1:33" s="536" customFormat="1" ht="12" x14ac:dyDescent="0.2">
      <c r="A245" s="605"/>
      <c r="B245" s="552"/>
      <c r="C245" s="1822" t="s">
        <v>348</v>
      </c>
      <c r="D245" s="1822"/>
      <c r="E245" s="1822"/>
      <c r="F245" s="562" t="s">
        <v>315</v>
      </c>
      <c r="G245" s="562" t="s">
        <v>1439</v>
      </c>
      <c r="H245" s="562" t="s">
        <v>313</v>
      </c>
      <c r="I245" s="562" t="s">
        <v>3332</v>
      </c>
      <c r="J245" s="604"/>
      <c r="K245" s="562"/>
      <c r="L245" s="604"/>
      <c r="M245" s="603"/>
      <c r="N245" s="602"/>
      <c r="V245" s="674"/>
      <c r="W245" s="675"/>
      <c r="AA245" s="537" t="s">
        <v>348</v>
      </c>
      <c r="AC245" s="675"/>
      <c r="AD245" s="675"/>
      <c r="AF245" s="675"/>
      <c r="AG245" s="680"/>
    </row>
    <row r="246" spans="1:33" s="536" customFormat="1" ht="12" x14ac:dyDescent="0.2">
      <c r="A246" s="605"/>
      <c r="B246" s="552"/>
      <c r="C246" s="1828" t="s">
        <v>318</v>
      </c>
      <c r="D246" s="1828"/>
      <c r="E246" s="1828"/>
      <c r="F246" s="608"/>
      <c r="G246" s="608"/>
      <c r="H246" s="608"/>
      <c r="I246" s="608"/>
      <c r="J246" s="607">
        <v>384.38</v>
      </c>
      <c r="K246" s="608"/>
      <c r="L246" s="607">
        <v>1014.39</v>
      </c>
      <c r="M246" s="601"/>
      <c r="N246" s="606"/>
      <c r="V246" s="674"/>
      <c r="W246" s="675"/>
      <c r="AB246" s="537" t="s">
        <v>318</v>
      </c>
      <c r="AC246" s="675"/>
      <c r="AD246" s="675"/>
      <c r="AF246" s="675"/>
      <c r="AG246" s="680"/>
    </row>
    <row r="247" spans="1:33" s="536" customFormat="1" ht="12" x14ac:dyDescent="0.2">
      <c r="A247" s="605"/>
      <c r="B247" s="552"/>
      <c r="C247" s="1822" t="s">
        <v>319</v>
      </c>
      <c r="D247" s="1822"/>
      <c r="E247" s="1822"/>
      <c r="F247" s="562"/>
      <c r="G247" s="562"/>
      <c r="H247" s="562"/>
      <c r="I247" s="562"/>
      <c r="J247" s="604"/>
      <c r="K247" s="562"/>
      <c r="L247" s="604">
        <v>309.52999999999997</v>
      </c>
      <c r="M247" s="603"/>
      <c r="N247" s="602"/>
      <c r="V247" s="674"/>
      <c r="W247" s="675"/>
      <c r="AA247" s="537" t="s">
        <v>319</v>
      </c>
      <c r="AC247" s="675"/>
      <c r="AD247" s="675"/>
      <c r="AF247" s="675"/>
      <c r="AG247" s="680"/>
    </row>
    <row r="248" spans="1:33" s="536" customFormat="1" ht="33.75" x14ac:dyDescent="0.2">
      <c r="A248" s="605"/>
      <c r="B248" s="552" t="s">
        <v>648</v>
      </c>
      <c r="C248" s="1822" t="s">
        <v>649</v>
      </c>
      <c r="D248" s="1822"/>
      <c r="E248" s="1822"/>
      <c r="F248" s="562" t="s">
        <v>322</v>
      </c>
      <c r="G248" s="562" t="s">
        <v>650</v>
      </c>
      <c r="H248" s="562"/>
      <c r="I248" s="562" t="s">
        <v>650</v>
      </c>
      <c r="J248" s="604"/>
      <c r="K248" s="562"/>
      <c r="L248" s="604">
        <v>287.86</v>
      </c>
      <c r="M248" s="603"/>
      <c r="N248" s="602"/>
      <c r="V248" s="674"/>
      <c r="W248" s="675"/>
      <c r="AA248" s="537" t="s">
        <v>649</v>
      </c>
      <c r="AC248" s="675"/>
      <c r="AD248" s="675"/>
      <c r="AF248" s="675"/>
      <c r="AG248" s="680"/>
    </row>
    <row r="249" spans="1:33" s="536" customFormat="1" ht="33.75" x14ac:dyDescent="0.2">
      <c r="A249" s="605"/>
      <c r="B249" s="552" t="s">
        <v>651</v>
      </c>
      <c r="C249" s="1822" t="s">
        <v>652</v>
      </c>
      <c r="D249" s="1822"/>
      <c r="E249" s="1822"/>
      <c r="F249" s="562" t="s">
        <v>322</v>
      </c>
      <c r="G249" s="562" t="s">
        <v>653</v>
      </c>
      <c r="H249" s="562"/>
      <c r="I249" s="562" t="s">
        <v>653</v>
      </c>
      <c r="J249" s="604"/>
      <c r="K249" s="562"/>
      <c r="L249" s="604">
        <v>191.91</v>
      </c>
      <c r="M249" s="603"/>
      <c r="N249" s="602"/>
      <c r="V249" s="674"/>
      <c r="W249" s="675"/>
      <c r="AA249" s="537" t="s">
        <v>652</v>
      </c>
      <c r="AC249" s="675"/>
      <c r="AD249" s="675"/>
      <c r="AF249" s="675"/>
      <c r="AG249" s="680"/>
    </row>
    <row r="250" spans="1:33" s="536" customFormat="1" ht="12" x14ac:dyDescent="0.2">
      <c r="A250" s="569"/>
      <c r="B250" s="671"/>
      <c r="C250" s="1823" t="s">
        <v>327</v>
      </c>
      <c r="D250" s="1823"/>
      <c r="E250" s="1823"/>
      <c r="F250" s="573"/>
      <c r="G250" s="573"/>
      <c r="H250" s="573"/>
      <c r="I250" s="573"/>
      <c r="J250" s="572"/>
      <c r="K250" s="573"/>
      <c r="L250" s="572">
        <v>1494.16</v>
      </c>
      <c r="M250" s="601"/>
      <c r="N250" s="570"/>
      <c r="V250" s="674"/>
      <c r="W250" s="675"/>
      <c r="AC250" s="675" t="s">
        <v>327</v>
      </c>
      <c r="AD250" s="675"/>
      <c r="AF250" s="675"/>
      <c r="AG250" s="680"/>
    </row>
    <row r="251" spans="1:33" s="536" customFormat="1" ht="45" x14ac:dyDescent="0.2">
      <c r="A251" s="575" t="s">
        <v>733</v>
      </c>
      <c r="B251" s="670" t="s">
        <v>3333</v>
      </c>
      <c r="C251" s="1823" t="s">
        <v>3334</v>
      </c>
      <c r="D251" s="1823"/>
      <c r="E251" s="1823"/>
      <c r="F251" s="573" t="s">
        <v>694</v>
      </c>
      <c r="G251" s="573"/>
      <c r="H251" s="573"/>
      <c r="I251" s="573" t="s">
        <v>3329</v>
      </c>
      <c r="J251" s="572">
        <v>7712</v>
      </c>
      <c r="K251" s="573"/>
      <c r="L251" s="572">
        <v>16636.330000000002</v>
      </c>
      <c r="M251" s="571"/>
      <c r="N251" s="570"/>
      <c r="V251" s="674"/>
      <c r="W251" s="675" t="s">
        <v>3334</v>
      </c>
      <c r="AC251" s="675"/>
      <c r="AD251" s="675"/>
      <c r="AF251" s="675"/>
      <c r="AG251" s="680"/>
    </row>
    <row r="252" spans="1:33" s="536" customFormat="1" ht="12" x14ac:dyDescent="0.2">
      <c r="A252" s="569"/>
      <c r="B252" s="671"/>
      <c r="C252" s="665" t="s">
        <v>717</v>
      </c>
      <c r="D252" s="666"/>
      <c r="E252" s="666"/>
      <c r="F252" s="563"/>
      <c r="G252" s="563"/>
      <c r="H252" s="563"/>
      <c r="I252" s="563"/>
      <c r="J252" s="566"/>
      <c r="K252" s="563"/>
      <c r="L252" s="566"/>
      <c r="M252" s="565"/>
      <c r="N252" s="564"/>
      <c r="V252" s="674"/>
      <c r="W252" s="675"/>
      <c r="AC252" s="675"/>
      <c r="AD252" s="675"/>
      <c r="AF252" s="675"/>
      <c r="AG252" s="680"/>
    </row>
    <row r="253" spans="1:33" s="536" customFormat="1" ht="45" x14ac:dyDescent="0.2">
      <c r="A253" s="575" t="s">
        <v>736</v>
      </c>
      <c r="B253" s="670" t="s">
        <v>1444</v>
      </c>
      <c r="C253" s="1823" t="s">
        <v>3335</v>
      </c>
      <c r="D253" s="1823"/>
      <c r="E253" s="1823"/>
      <c r="F253" s="573" t="s">
        <v>694</v>
      </c>
      <c r="G253" s="573"/>
      <c r="H253" s="573"/>
      <c r="I253" s="573" t="s">
        <v>8562</v>
      </c>
      <c r="J253" s="572"/>
      <c r="K253" s="573"/>
      <c r="L253" s="572"/>
      <c r="M253" s="571"/>
      <c r="N253" s="570"/>
      <c r="V253" s="674"/>
      <c r="W253" s="675" t="s">
        <v>3335</v>
      </c>
      <c r="AC253" s="675"/>
      <c r="AD253" s="675"/>
      <c r="AF253" s="675"/>
      <c r="AG253" s="680"/>
    </row>
    <row r="254" spans="1:33" s="536" customFormat="1" ht="12" x14ac:dyDescent="0.2">
      <c r="A254" s="676"/>
      <c r="B254" s="664"/>
      <c r="C254" s="1822" t="s">
        <v>8563</v>
      </c>
      <c r="D254" s="1822"/>
      <c r="E254" s="1822"/>
      <c r="F254" s="1822"/>
      <c r="G254" s="1822"/>
      <c r="H254" s="1822"/>
      <c r="I254" s="1822"/>
      <c r="J254" s="1822"/>
      <c r="K254" s="1822"/>
      <c r="L254" s="1822"/>
      <c r="M254" s="1822"/>
      <c r="N254" s="1827"/>
      <c r="V254" s="674"/>
      <c r="W254" s="675"/>
      <c r="X254" s="537" t="s">
        <v>8563</v>
      </c>
      <c r="AC254" s="675"/>
      <c r="AD254" s="675"/>
      <c r="AF254" s="675"/>
      <c r="AG254" s="680"/>
    </row>
    <row r="255" spans="1:33" s="536" customFormat="1" ht="33.75" x14ac:dyDescent="0.2">
      <c r="A255" s="609"/>
      <c r="B255" s="552" t="s">
        <v>310</v>
      </c>
      <c r="C255" s="1822" t="s">
        <v>311</v>
      </c>
      <c r="D255" s="1822"/>
      <c r="E255" s="1822"/>
      <c r="F255" s="1822"/>
      <c r="G255" s="1822"/>
      <c r="H255" s="1822"/>
      <c r="I255" s="1822"/>
      <c r="J255" s="1822"/>
      <c r="K255" s="1822"/>
      <c r="L255" s="1822"/>
      <c r="M255" s="1822"/>
      <c r="N255" s="1827"/>
      <c r="V255" s="674"/>
      <c r="W255" s="675"/>
      <c r="Y255" s="537" t="s">
        <v>311</v>
      </c>
      <c r="AC255" s="675"/>
      <c r="AD255" s="675"/>
      <c r="AF255" s="675"/>
      <c r="AG255" s="680"/>
    </row>
    <row r="256" spans="1:33" s="536" customFormat="1" ht="12" x14ac:dyDescent="0.2">
      <c r="A256" s="605"/>
      <c r="B256" s="552" t="s">
        <v>185</v>
      </c>
      <c r="C256" s="1822" t="s">
        <v>312</v>
      </c>
      <c r="D256" s="1822"/>
      <c r="E256" s="1822"/>
      <c r="F256" s="562"/>
      <c r="G256" s="562"/>
      <c r="H256" s="562"/>
      <c r="I256" s="562"/>
      <c r="J256" s="604">
        <v>159.28</v>
      </c>
      <c r="K256" s="562" t="s">
        <v>313</v>
      </c>
      <c r="L256" s="604">
        <v>1348.66</v>
      </c>
      <c r="M256" s="603"/>
      <c r="N256" s="602"/>
      <c r="V256" s="674"/>
      <c r="W256" s="675"/>
      <c r="Z256" s="537" t="s">
        <v>312</v>
      </c>
      <c r="AC256" s="675"/>
      <c r="AD256" s="675"/>
      <c r="AF256" s="675"/>
      <c r="AG256" s="680"/>
    </row>
    <row r="257" spans="1:33" s="536" customFormat="1" ht="12" x14ac:dyDescent="0.2">
      <c r="A257" s="605"/>
      <c r="B257" s="552" t="s">
        <v>186</v>
      </c>
      <c r="C257" s="1822" t="s">
        <v>344</v>
      </c>
      <c r="D257" s="1822"/>
      <c r="E257" s="1822"/>
      <c r="F257" s="562"/>
      <c r="G257" s="562"/>
      <c r="H257" s="562"/>
      <c r="I257" s="562"/>
      <c r="J257" s="604">
        <v>467.67</v>
      </c>
      <c r="K257" s="562" t="s">
        <v>313</v>
      </c>
      <c r="L257" s="604">
        <v>3959.88</v>
      </c>
      <c r="M257" s="603"/>
      <c r="N257" s="602"/>
      <c r="V257" s="674"/>
      <c r="W257" s="675"/>
      <c r="Z257" s="537" t="s">
        <v>344</v>
      </c>
      <c r="AC257" s="675"/>
      <c r="AD257" s="675"/>
      <c r="AF257" s="675"/>
      <c r="AG257" s="680"/>
    </row>
    <row r="258" spans="1:33" s="536" customFormat="1" ht="12" x14ac:dyDescent="0.2">
      <c r="A258" s="605"/>
      <c r="B258" s="552" t="s">
        <v>187</v>
      </c>
      <c r="C258" s="1822" t="s">
        <v>345</v>
      </c>
      <c r="D258" s="1822"/>
      <c r="E258" s="1822"/>
      <c r="F258" s="562"/>
      <c r="G258" s="562"/>
      <c r="H258" s="562"/>
      <c r="I258" s="562"/>
      <c r="J258" s="604">
        <v>42.84</v>
      </c>
      <c r="K258" s="562" t="s">
        <v>313</v>
      </c>
      <c r="L258" s="604">
        <v>362.74</v>
      </c>
      <c r="M258" s="603"/>
      <c r="N258" s="602"/>
      <c r="V258" s="674"/>
      <c r="W258" s="675"/>
      <c r="Z258" s="537" t="s">
        <v>345</v>
      </c>
      <c r="AC258" s="675"/>
      <c r="AD258" s="675"/>
      <c r="AF258" s="675"/>
      <c r="AG258" s="680"/>
    </row>
    <row r="259" spans="1:33" s="536" customFormat="1" ht="12" x14ac:dyDescent="0.2">
      <c r="A259" s="605"/>
      <c r="B259" s="552" t="s">
        <v>188</v>
      </c>
      <c r="C259" s="1822" t="s">
        <v>475</v>
      </c>
      <c r="D259" s="1822"/>
      <c r="E259" s="1822"/>
      <c r="F259" s="562"/>
      <c r="G259" s="562"/>
      <c r="H259" s="562"/>
      <c r="I259" s="562"/>
      <c r="J259" s="604">
        <v>106.34</v>
      </c>
      <c r="K259" s="562"/>
      <c r="L259" s="604">
        <v>720.33</v>
      </c>
      <c r="M259" s="603"/>
      <c r="N259" s="602"/>
      <c r="V259" s="674"/>
      <c r="W259" s="675"/>
      <c r="Z259" s="537" t="s">
        <v>475</v>
      </c>
      <c r="AC259" s="675"/>
      <c r="AD259" s="675"/>
      <c r="AF259" s="675"/>
      <c r="AG259" s="680"/>
    </row>
    <row r="260" spans="1:33" s="536" customFormat="1" ht="12" x14ac:dyDescent="0.2">
      <c r="A260" s="676"/>
      <c r="B260" s="677" t="s">
        <v>1436</v>
      </c>
      <c r="C260" s="1829" t="s">
        <v>1229</v>
      </c>
      <c r="D260" s="1829"/>
      <c r="E260" s="1829"/>
      <c r="F260" s="678" t="s">
        <v>694</v>
      </c>
      <c r="G260" s="678" t="s">
        <v>185</v>
      </c>
      <c r="H260" s="678"/>
      <c r="I260" s="678" t="s">
        <v>8562</v>
      </c>
      <c r="J260" s="552"/>
      <c r="K260" s="562"/>
      <c r="L260" s="604"/>
      <c r="M260" s="562"/>
      <c r="N260" s="679"/>
      <c r="V260" s="674"/>
      <c r="W260" s="675"/>
      <c r="AC260" s="675"/>
      <c r="AD260" s="675"/>
      <c r="AF260" s="675"/>
      <c r="AG260" s="680" t="s">
        <v>1229</v>
      </c>
    </row>
    <row r="261" spans="1:33" s="536" customFormat="1" ht="12" x14ac:dyDescent="0.2">
      <c r="A261" s="605"/>
      <c r="B261" s="552"/>
      <c r="C261" s="1822" t="s">
        <v>314</v>
      </c>
      <c r="D261" s="1822"/>
      <c r="E261" s="1822"/>
      <c r="F261" s="562" t="s">
        <v>315</v>
      </c>
      <c r="G261" s="562" t="s">
        <v>1448</v>
      </c>
      <c r="H261" s="562" t="s">
        <v>313</v>
      </c>
      <c r="I261" s="562" t="s">
        <v>8564</v>
      </c>
      <c r="J261" s="604"/>
      <c r="K261" s="562"/>
      <c r="L261" s="604"/>
      <c r="M261" s="603"/>
      <c r="N261" s="602"/>
      <c r="V261" s="674"/>
      <c r="W261" s="675"/>
      <c r="AA261" s="537" t="s">
        <v>314</v>
      </c>
      <c r="AC261" s="675"/>
      <c r="AD261" s="675"/>
      <c r="AF261" s="675"/>
      <c r="AG261" s="680"/>
    </row>
    <row r="262" spans="1:33" s="536" customFormat="1" ht="12" x14ac:dyDescent="0.2">
      <c r="A262" s="605"/>
      <c r="B262" s="552"/>
      <c r="C262" s="1822" t="s">
        <v>348</v>
      </c>
      <c r="D262" s="1822"/>
      <c r="E262" s="1822"/>
      <c r="F262" s="562" t="s">
        <v>315</v>
      </c>
      <c r="G262" s="562" t="s">
        <v>1450</v>
      </c>
      <c r="H262" s="562" t="s">
        <v>313</v>
      </c>
      <c r="I262" s="562" t="s">
        <v>8565</v>
      </c>
      <c r="J262" s="604"/>
      <c r="K262" s="562"/>
      <c r="L262" s="604"/>
      <c r="M262" s="603"/>
      <c r="N262" s="602"/>
      <c r="V262" s="674"/>
      <c r="W262" s="675"/>
      <c r="AA262" s="537" t="s">
        <v>348</v>
      </c>
      <c r="AC262" s="675"/>
      <c r="AD262" s="675"/>
      <c r="AF262" s="675"/>
      <c r="AG262" s="680"/>
    </row>
    <row r="263" spans="1:33" s="536" customFormat="1" ht="12" x14ac:dyDescent="0.2">
      <c r="A263" s="605"/>
      <c r="B263" s="552"/>
      <c r="C263" s="1828" t="s">
        <v>318</v>
      </c>
      <c r="D263" s="1828"/>
      <c r="E263" s="1828"/>
      <c r="F263" s="608"/>
      <c r="G263" s="608"/>
      <c r="H263" s="608"/>
      <c r="I263" s="608"/>
      <c r="J263" s="607">
        <v>733.29</v>
      </c>
      <c r="K263" s="608"/>
      <c r="L263" s="607">
        <v>6028.87</v>
      </c>
      <c r="M263" s="601"/>
      <c r="N263" s="606"/>
      <c r="V263" s="674"/>
      <c r="W263" s="675"/>
      <c r="AB263" s="537" t="s">
        <v>318</v>
      </c>
      <c r="AC263" s="675"/>
      <c r="AD263" s="675"/>
      <c r="AF263" s="675"/>
      <c r="AG263" s="680"/>
    </row>
    <row r="264" spans="1:33" s="536" customFormat="1" ht="12" x14ac:dyDescent="0.2">
      <c r="A264" s="605"/>
      <c r="B264" s="552"/>
      <c r="C264" s="1822" t="s">
        <v>319</v>
      </c>
      <c r="D264" s="1822"/>
      <c r="E264" s="1822"/>
      <c r="F264" s="562"/>
      <c r="G264" s="562"/>
      <c r="H264" s="562"/>
      <c r="I264" s="562"/>
      <c r="J264" s="604"/>
      <c r="K264" s="562"/>
      <c r="L264" s="604">
        <v>1711.4</v>
      </c>
      <c r="M264" s="603"/>
      <c r="N264" s="602"/>
      <c r="V264" s="674"/>
      <c r="W264" s="675"/>
      <c r="AA264" s="537" t="s">
        <v>319</v>
      </c>
      <c r="AC264" s="675"/>
      <c r="AD264" s="675"/>
      <c r="AF264" s="675"/>
      <c r="AG264" s="680"/>
    </row>
    <row r="265" spans="1:33" s="536" customFormat="1" ht="33.75" x14ac:dyDescent="0.2">
      <c r="A265" s="605"/>
      <c r="B265" s="552" t="s">
        <v>648</v>
      </c>
      <c r="C265" s="1822" t="s">
        <v>649</v>
      </c>
      <c r="D265" s="1822"/>
      <c r="E265" s="1822"/>
      <c r="F265" s="562" t="s">
        <v>322</v>
      </c>
      <c r="G265" s="562" t="s">
        <v>650</v>
      </c>
      <c r="H265" s="562"/>
      <c r="I265" s="562" t="s">
        <v>650</v>
      </c>
      <c r="J265" s="604"/>
      <c r="K265" s="562"/>
      <c r="L265" s="604">
        <v>1591.6</v>
      </c>
      <c r="M265" s="603"/>
      <c r="N265" s="602"/>
      <c r="V265" s="674"/>
      <c r="W265" s="675"/>
      <c r="AA265" s="537" t="s">
        <v>649</v>
      </c>
      <c r="AC265" s="675"/>
      <c r="AD265" s="675"/>
      <c r="AF265" s="675"/>
      <c r="AG265" s="680"/>
    </row>
    <row r="266" spans="1:33" s="536" customFormat="1" ht="33.75" x14ac:dyDescent="0.2">
      <c r="A266" s="605"/>
      <c r="B266" s="552" t="s">
        <v>651</v>
      </c>
      <c r="C266" s="1822" t="s">
        <v>652</v>
      </c>
      <c r="D266" s="1822"/>
      <c r="E266" s="1822"/>
      <c r="F266" s="562" t="s">
        <v>322</v>
      </c>
      <c r="G266" s="562" t="s">
        <v>653</v>
      </c>
      <c r="H266" s="562"/>
      <c r="I266" s="562" t="s">
        <v>653</v>
      </c>
      <c r="J266" s="604"/>
      <c r="K266" s="562"/>
      <c r="L266" s="604">
        <v>1061.07</v>
      </c>
      <c r="M266" s="603"/>
      <c r="N266" s="602"/>
      <c r="V266" s="674"/>
      <c r="W266" s="675"/>
      <c r="AA266" s="537" t="s">
        <v>652</v>
      </c>
      <c r="AC266" s="675"/>
      <c r="AD266" s="675"/>
      <c r="AF266" s="675"/>
      <c r="AG266" s="680"/>
    </row>
    <row r="267" spans="1:33" s="536" customFormat="1" ht="12" x14ac:dyDescent="0.2">
      <c r="A267" s="569"/>
      <c r="B267" s="671"/>
      <c r="C267" s="1823" t="s">
        <v>327</v>
      </c>
      <c r="D267" s="1823"/>
      <c r="E267" s="1823"/>
      <c r="F267" s="573"/>
      <c r="G267" s="573"/>
      <c r="H267" s="573"/>
      <c r="I267" s="573"/>
      <c r="J267" s="572"/>
      <c r="K267" s="573"/>
      <c r="L267" s="572">
        <v>8681.5400000000009</v>
      </c>
      <c r="M267" s="601"/>
      <c r="N267" s="570"/>
      <c r="V267" s="674"/>
      <c r="W267" s="675"/>
      <c r="AC267" s="675" t="s">
        <v>327</v>
      </c>
      <c r="AD267" s="675"/>
      <c r="AF267" s="675"/>
      <c r="AG267" s="680"/>
    </row>
    <row r="268" spans="1:33" s="536" customFormat="1" ht="56.25" x14ac:dyDescent="0.2">
      <c r="A268" s="575" t="s">
        <v>1067</v>
      </c>
      <c r="B268" s="670" t="s">
        <v>2143</v>
      </c>
      <c r="C268" s="1823" t="s">
        <v>2144</v>
      </c>
      <c r="D268" s="1823"/>
      <c r="E268" s="1823"/>
      <c r="F268" s="573" t="s">
        <v>694</v>
      </c>
      <c r="G268" s="573"/>
      <c r="H268" s="573"/>
      <c r="I268" s="573" t="s">
        <v>8562</v>
      </c>
      <c r="J268" s="572">
        <v>6965</v>
      </c>
      <c r="K268" s="573"/>
      <c r="L268" s="572">
        <v>47179.519999999997</v>
      </c>
      <c r="M268" s="571"/>
      <c r="N268" s="570"/>
      <c r="V268" s="674"/>
      <c r="W268" s="675" t="s">
        <v>2144</v>
      </c>
      <c r="AC268" s="675"/>
      <c r="AD268" s="675"/>
      <c r="AF268" s="675"/>
      <c r="AG268" s="680"/>
    </row>
    <row r="269" spans="1:33" s="536" customFormat="1" ht="12" x14ac:dyDescent="0.2">
      <c r="A269" s="569"/>
      <c r="B269" s="671"/>
      <c r="C269" s="665" t="s">
        <v>717</v>
      </c>
      <c r="D269" s="666"/>
      <c r="E269" s="666"/>
      <c r="F269" s="563"/>
      <c r="G269" s="563"/>
      <c r="H269" s="563"/>
      <c r="I269" s="563"/>
      <c r="J269" s="566"/>
      <c r="K269" s="563"/>
      <c r="L269" s="566"/>
      <c r="M269" s="565"/>
      <c r="N269" s="564"/>
      <c r="V269" s="674"/>
      <c r="W269" s="675"/>
      <c r="AC269" s="675"/>
      <c r="AD269" s="675"/>
      <c r="AF269" s="675"/>
      <c r="AG269" s="680"/>
    </row>
    <row r="270" spans="1:33" s="536" customFormat="1" ht="45" x14ac:dyDescent="0.2">
      <c r="A270" s="575" t="s">
        <v>912</v>
      </c>
      <c r="B270" s="670" t="s">
        <v>1454</v>
      </c>
      <c r="C270" s="1823" t="s">
        <v>1455</v>
      </c>
      <c r="D270" s="1823"/>
      <c r="E270" s="1823"/>
      <c r="F270" s="573" t="s">
        <v>694</v>
      </c>
      <c r="G270" s="573"/>
      <c r="H270" s="573"/>
      <c r="I270" s="573" t="s">
        <v>3336</v>
      </c>
      <c r="J270" s="572"/>
      <c r="K270" s="573"/>
      <c r="L270" s="572"/>
      <c r="M270" s="571"/>
      <c r="N270" s="570"/>
      <c r="V270" s="674"/>
      <c r="W270" s="675" t="s">
        <v>1455</v>
      </c>
      <c r="AC270" s="675"/>
      <c r="AD270" s="675"/>
      <c r="AF270" s="675"/>
      <c r="AG270" s="680"/>
    </row>
    <row r="271" spans="1:33" s="536" customFormat="1" ht="12" x14ac:dyDescent="0.2">
      <c r="A271" s="676"/>
      <c r="B271" s="664"/>
      <c r="C271" s="1822" t="s">
        <v>3337</v>
      </c>
      <c r="D271" s="1822"/>
      <c r="E271" s="1822"/>
      <c r="F271" s="1822"/>
      <c r="G271" s="1822"/>
      <c r="H271" s="1822"/>
      <c r="I271" s="1822"/>
      <c r="J271" s="1822"/>
      <c r="K271" s="1822"/>
      <c r="L271" s="1822"/>
      <c r="M271" s="1822"/>
      <c r="N271" s="1827"/>
      <c r="V271" s="674"/>
      <c r="W271" s="675"/>
      <c r="X271" s="537" t="s">
        <v>3337</v>
      </c>
      <c r="AC271" s="675"/>
      <c r="AD271" s="675"/>
      <c r="AF271" s="675"/>
      <c r="AG271" s="680"/>
    </row>
    <row r="272" spans="1:33" s="536" customFormat="1" ht="33.75" x14ac:dyDescent="0.2">
      <c r="A272" s="609"/>
      <c r="B272" s="552" t="s">
        <v>310</v>
      </c>
      <c r="C272" s="1822" t="s">
        <v>311</v>
      </c>
      <c r="D272" s="1822"/>
      <c r="E272" s="1822"/>
      <c r="F272" s="1822"/>
      <c r="G272" s="1822"/>
      <c r="H272" s="1822"/>
      <c r="I272" s="1822"/>
      <c r="J272" s="1822"/>
      <c r="K272" s="1822"/>
      <c r="L272" s="1822"/>
      <c r="M272" s="1822"/>
      <c r="N272" s="1827"/>
      <c r="V272" s="674"/>
      <c r="W272" s="675"/>
      <c r="Y272" s="537" t="s">
        <v>311</v>
      </c>
      <c r="AC272" s="675"/>
      <c r="AD272" s="675"/>
      <c r="AF272" s="675"/>
      <c r="AG272" s="680"/>
    </row>
    <row r="273" spans="1:33" s="536" customFormat="1" ht="12" x14ac:dyDescent="0.2">
      <c r="A273" s="605"/>
      <c r="B273" s="552" t="s">
        <v>185</v>
      </c>
      <c r="C273" s="1822" t="s">
        <v>312</v>
      </c>
      <c r="D273" s="1822"/>
      <c r="E273" s="1822"/>
      <c r="F273" s="562"/>
      <c r="G273" s="562"/>
      <c r="H273" s="562"/>
      <c r="I273" s="562"/>
      <c r="J273" s="604">
        <v>345.67</v>
      </c>
      <c r="K273" s="562" t="s">
        <v>313</v>
      </c>
      <c r="L273" s="604">
        <v>2099.86</v>
      </c>
      <c r="M273" s="603"/>
      <c r="N273" s="602"/>
      <c r="V273" s="674"/>
      <c r="W273" s="675"/>
      <c r="Z273" s="537" t="s">
        <v>312</v>
      </c>
      <c r="AC273" s="675"/>
      <c r="AD273" s="675"/>
      <c r="AF273" s="675"/>
      <c r="AG273" s="680"/>
    </row>
    <row r="274" spans="1:33" s="536" customFormat="1" ht="12" x14ac:dyDescent="0.2">
      <c r="A274" s="605"/>
      <c r="B274" s="552" t="s">
        <v>186</v>
      </c>
      <c r="C274" s="1822" t="s">
        <v>344</v>
      </c>
      <c r="D274" s="1822"/>
      <c r="E274" s="1822"/>
      <c r="F274" s="562"/>
      <c r="G274" s="562"/>
      <c r="H274" s="562"/>
      <c r="I274" s="562"/>
      <c r="J274" s="604">
        <v>473.47</v>
      </c>
      <c r="K274" s="562" t="s">
        <v>313</v>
      </c>
      <c r="L274" s="604">
        <v>2876.21</v>
      </c>
      <c r="M274" s="603"/>
      <c r="N274" s="602"/>
      <c r="V274" s="674"/>
      <c r="W274" s="675"/>
      <c r="Z274" s="537" t="s">
        <v>344</v>
      </c>
      <c r="AC274" s="675"/>
      <c r="AD274" s="675"/>
      <c r="AF274" s="675"/>
      <c r="AG274" s="680"/>
    </row>
    <row r="275" spans="1:33" s="536" customFormat="1" ht="12" x14ac:dyDescent="0.2">
      <c r="A275" s="605"/>
      <c r="B275" s="552" t="s">
        <v>187</v>
      </c>
      <c r="C275" s="1822" t="s">
        <v>345</v>
      </c>
      <c r="D275" s="1822"/>
      <c r="E275" s="1822"/>
      <c r="F275" s="562"/>
      <c r="G275" s="562"/>
      <c r="H275" s="562"/>
      <c r="I275" s="562"/>
      <c r="J275" s="604">
        <v>53.96</v>
      </c>
      <c r="K275" s="562" t="s">
        <v>313</v>
      </c>
      <c r="L275" s="604">
        <v>327.79</v>
      </c>
      <c r="M275" s="603"/>
      <c r="N275" s="602"/>
      <c r="V275" s="674"/>
      <c r="W275" s="675"/>
      <c r="Z275" s="537" t="s">
        <v>345</v>
      </c>
      <c r="AC275" s="675"/>
      <c r="AD275" s="675"/>
      <c r="AF275" s="675"/>
      <c r="AG275" s="680"/>
    </row>
    <row r="276" spans="1:33" s="536" customFormat="1" ht="12" x14ac:dyDescent="0.2">
      <c r="A276" s="605"/>
      <c r="B276" s="552" t="s">
        <v>188</v>
      </c>
      <c r="C276" s="1822" t="s">
        <v>475</v>
      </c>
      <c r="D276" s="1822"/>
      <c r="E276" s="1822"/>
      <c r="F276" s="562"/>
      <c r="G276" s="562"/>
      <c r="H276" s="562"/>
      <c r="I276" s="562"/>
      <c r="J276" s="604">
        <v>232.33</v>
      </c>
      <c r="K276" s="562"/>
      <c r="L276" s="604">
        <v>1129.08</v>
      </c>
      <c r="M276" s="603"/>
      <c r="N276" s="602"/>
      <c r="V276" s="674"/>
      <c r="W276" s="675"/>
      <c r="Z276" s="537" t="s">
        <v>475</v>
      </c>
      <c r="AC276" s="675"/>
      <c r="AD276" s="675"/>
      <c r="AF276" s="675"/>
      <c r="AG276" s="680"/>
    </row>
    <row r="277" spans="1:33" s="536" customFormat="1" ht="12" x14ac:dyDescent="0.2">
      <c r="A277" s="676"/>
      <c r="B277" s="677" t="s">
        <v>1436</v>
      </c>
      <c r="C277" s="1829" t="s">
        <v>1229</v>
      </c>
      <c r="D277" s="1829"/>
      <c r="E277" s="1829"/>
      <c r="F277" s="678" t="s">
        <v>694</v>
      </c>
      <c r="G277" s="678" t="s">
        <v>185</v>
      </c>
      <c r="H277" s="678"/>
      <c r="I277" s="678" t="s">
        <v>3336</v>
      </c>
      <c r="J277" s="552"/>
      <c r="K277" s="562"/>
      <c r="L277" s="604"/>
      <c r="M277" s="562"/>
      <c r="N277" s="679"/>
      <c r="V277" s="674"/>
      <c r="W277" s="675"/>
      <c r="AC277" s="675"/>
      <c r="AD277" s="675"/>
      <c r="AF277" s="675"/>
      <c r="AG277" s="680" t="s">
        <v>1229</v>
      </c>
    </row>
    <row r="278" spans="1:33" s="536" customFormat="1" ht="22.5" x14ac:dyDescent="0.2">
      <c r="A278" s="605"/>
      <c r="B278" s="552"/>
      <c r="C278" s="1822" t="s">
        <v>314</v>
      </c>
      <c r="D278" s="1822"/>
      <c r="E278" s="1822"/>
      <c r="F278" s="562" t="s">
        <v>315</v>
      </c>
      <c r="G278" s="562" t="s">
        <v>1458</v>
      </c>
      <c r="H278" s="562" t="s">
        <v>313</v>
      </c>
      <c r="I278" s="562" t="s">
        <v>3338</v>
      </c>
      <c r="J278" s="604"/>
      <c r="K278" s="562"/>
      <c r="L278" s="604"/>
      <c r="M278" s="603"/>
      <c r="N278" s="602"/>
      <c r="V278" s="674"/>
      <c r="W278" s="675"/>
      <c r="AA278" s="537" t="s">
        <v>314</v>
      </c>
      <c r="AC278" s="675"/>
      <c r="AD278" s="675"/>
      <c r="AF278" s="675"/>
      <c r="AG278" s="680"/>
    </row>
    <row r="279" spans="1:33" s="536" customFormat="1" ht="22.5" x14ac:dyDescent="0.2">
      <c r="A279" s="605"/>
      <c r="B279" s="552"/>
      <c r="C279" s="1822" t="s">
        <v>348</v>
      </c>
      <c r="D279" s="1822"/>
      <c r="E279" s="1822"/>
      <c r="F279" s="562" t="s">
        <v>315</v>
      </c>
      <c r="G279" s="562" t="s">
        <v>1460</v>
      </c>
      <c r="H279" s="562" t="s">
        <v>313</v>
      </c>
      <c r="I279" s="562" t="s">
        <v>3339</v>
      </c>
      <c r="J279" s="604"/>
      <c r="K279" s="562"/>
      <c r="L279" s="604"/>
      <c r="M279" s="603"/>
      <c r="N279" s="602"/>
      <c r="V279" s="674"/>
      <c r="W279" s="675"/>
      <c r="AA279" s="537" t="s">
        <v>348</v>
      </c>
      <c r="AC279" s="675"/>
      <c r="AD279" s="675"/>
      <c r="AF279" s="675"/>
      <c r="AG279" s="680"/>
    </row>
    <row r="280" spans="1:33" s="536" customFormat="1" ht="12" x14ac:dyDescent="0.2">
      <c r="A280" s="605"/>
      <c r="B280" s="552"/>
      <c r="C280" s="1828" t="s">
        <v>318</v>
      </c>
      <c r="D280" s="1828"/>
      <c r="E280" s="1828"/>
      <c r="F280" s="608"/>
      <c r="G280" s="608"/>
      <c r="H280" s="608"/>
      <c r="I280" s="608"/>
      <c r="J280" s="607">
        <v>1051.47</v>
      </c>
      <c r="K280" s="608"/>
      <c r="L280" s="607">
        <v>6105.15</v>
      </c>
      <c r="M280" s="601"/>
      <c r="N280" s="606"/>
      <c r="V280" s="674"/>
      <c r="W280" s="675"/>
      <c r="AB280" s="537" t="s">
        <v>318</v>
      </c>
      <c r="AC280" s="675"/>
      <c r="AD280" s="675"/>
      <c r="AF280" s="675"/>
      <c r="AG280" s="680"/>
    </row>
    <row r="281" spans="1:33" s="536" customFormat="1" ht="12" x14ac:dyDescent="0.2">
      <c r="A281" s="605"/>
      <c r="B281" s="552"/>
      <c r="C281" s="1822" t="s">
        <v>319</v>
      </c>
      <c r="D281" s="1822"/>
      <c r="E281" s="1822"/>
      <c r="F281" s="562"/>
      <c r="G281" s="562"/>
      <c r="H281" s="562"/>
      <c r="I281" s="562"/>
      <c r="J281" s="604"/>
      <c r="K281" s="562"/>
      <c r="L281" s="604">
        <v>2427.65</v>
      </c>
      <c r="M281" s="603"/>
      <c r="N281" s="602"/>
      <c r="V281" s="674"/>
      <c r="W281" s="675"/>
      <c r="AA281" s="537" t="s">
        <v>319</v>
      </c>
      <c r="AC281" s="675"/>
      <c r="AD281" s="675"/>
      <c r="AF281" s="675"/>
      <c r="AG281" s="680"/>
    </row>
    <row r="282" spans="1:33" s="536" customFormat="1" ht="33.75" x14ac:dyDescent="0.2">
      <c r="A282" s="605"/>
      <c r="B282" s="552" t="s">
        <v>648</v>
      </c>
      <c r="C282" s="1822" t="s">
        <v>649</v>
      </c>
      <c r="D282" s="1822"/>
      <c r="E282" s="1822"/>
      <c r="F282" s="562" t="s">
        <v>322</v>
      </c>
      <c r="G282" s="562" t="s">
        <v>650</v>
      </c>
      <c r="H282" s="562"/>
      <c r="I282" s="562" t="s">
        <v>650</v>
      </c>
      <c r="J282" s="604"/>
      <c r="K282" s="562"/>
      <c r="L282" s="604">
        <v>2257.71</v>
      </c>
      <c r="M282" s="603"/>
      <c r="N282" s="602"/>
      <c r="V282" s="674"/>
      <c r="W282" s="675"/>
      <c r="AA282" s="537" t="s">
        <v>649</v>
      </c>
      <c r="AC282" s="675"/>
      <c r="AD282" s="675"/>
      <c r="AF282" s="675"/>
      <c r="AG282" s="680"/>
    </row>
    <row r="283" spans="1:33" s="536" customFormat="1" ht="33.75" x14ac:dyDescent="0.2">
      <c r="A283" s="605"/>
      <c r="B283" s="552" t="s">
        <v>651</v>
      </c>
      <c r="C283" s="1822" t="s">
        <v>652</v>
      </c>
      <c r="D283" s="1822"/>
      <c r="E283" s="1822"/>
      <c r="F283" s="562" t="s">
        <v>322</v>
      </c>
      <c r="G283" s="562" t="s">
        <v>653</v>
      </c>
      <c r="H283" s="562"/>
      <c r="I283" s="562" t="s">
        <v>653</v>
      </c>
      <c r="J283" s="604"/>
      <c r="K283" s="562"/>
      <c r="L283" s="604">
        <v>1505.14</v>
      </c>
      <c r="M283" s="603"/>
      <c r="N283" s="602"/>
      <c r="V283" s="674"/>
      <c r="W283" s="675"/>
      <c r="AA283" s="537" t="s">
        <v>652</v>
      </c>
      <c r="AC283" s="675"/>
      <c r="AD283" s="675"/>
      <c r="AF283" s="675"/>
      <c r="AG283" s="680"/>
    </row>
    <row r="284" spans="1:33" s="536" customFormat="1" ht="12" x14ac:dyDescent="0.2">
      <c r="A284" s="569"/>
      <c r="B284" s="671"/>
      <c r="C284" s="1823" t="s">
        <v>327</v>
      </c>
      <c r="D284" s="1823"/>
      <c r="E284" s="1823"/>
      <c r="F284" s="573"/>
      <c r="G284" s="573"/>
      <c r="H284" s="573"/>
      <c r="I284" s="573"/>
      <c r="J284" s="572"/>
      <c r="K284" s="573"/>
      <c r="L284" s="572">
        <v>9868</v>
      </c>
      <c r="M284" s="601"/>
      <c r="N284" s="570"/>
      <c r="V284" s="674"/>
      <c r="W284" s="675"/>
      <c r="AC284" s="675" t="s">
        <v>327</v>
      </c>
      <c r="AD284" s="675"/>
      <c r="AF284" s="675"/>
      <c r="AG284" s="680"/>
    </row>
    <row r="285" spans="1:33" s="536" customFormat="1" ht="33.75" x14ac:dyDescent="0.2">
      <c r="A285" s="575" t="s">
        <v>757</v>
      </c>
      <c r="B285" s="670" t="s">
        <v>2155</v>
      </c>
      <c r="C285" s="1823" t="s">
        <v>2156</v>
      </c>
      <c r="D285" s="1823"/>
      <c r="E285" s="1823"/>
      <c r="F285" s="573" t="s">
        <v>694</v>
      </c>
      <c r="G285" s="573"/>
      <c r="H285" s="573"/>
      <c r="I285" s="573" t="s">
        <v>3336</v>
      </c>
      <c r="J285" s="572">
        <v>11176.42</v>
      </c>
      <c r="K285" s="573"/>
      <c r="L285" s="572">
        <v>54315.17</v>
      </c>
      <c r="M285" s="571"/>
      <c r="N285" s="570"/>
      <c r="V285" s="674"/>
      <c r="W285" s="675" t="s">
        <v>2156</v>
      </c>
      <c r="AC285" s="675"/>
      <c r="AD285" s="675"/>
      <c r="AF285" s="675"/>
      <c r="AG285" s="680"/>
    </row>
    <row r="286" spans="1:33" s="536" customFormat="1" ht="12" x14ac:dyDescent="0.2">
      <c r="A286" s="569"/>
      <c r="B286" s="671"/>
      <c r="C286" s="665" t="s">
        <v>717</v>
      </c>
      <c r="D286" s="666"/>
      <c r="E286" s="666"/>
      <c r="F286" s="563"/>
      <c r="G286" s="563"/>
      <c r="H286" s="563"/>
      <c r="I286" s="563"/>
      <c r="J286" s="566"/>
      <c r="K286" s="563"/>
      <c r="L286" s="566"/>
      <c r="M286" s="565"/>
      <c r="N286" s="564"/>
      <c r="V286" s="674"/>
      <c r="W286" s="675"/>
      <c r="AC286" s="675"/>
      <c r="AD286" s="675"/>
      <c r="AF286" s="675"/>
      <c r="AG286" s="680"/>
    </row>
    <row r="287" spans="1:33" s="536" customFormat="1" ht="33.75" x14ac:dyDescent="0.2">
      <c r="A287" s="575" t="s">
        <v>1079</v>
      </c>
      <c r="B287" s="670" t="s">
        <v>1475</v>
      </c>
      <c r="C287" s="1823" t="s">
        <v>1476</v>
      </c>
      <c r="D287" s="1823"/>
      <c r="E287" s="1823"/>
      <c r="F287" s="573" t="s">
        <v>862</v>
      </c>
      <c r="G287" s="573"/>
      <c r="H287" s="573"/>
      <c r="I287" s="573" t="s">
        <v>3340</v>
      </c>
      <c r="J287" s="572"/>
      <c r="K287" s="573"/>
      <c r="L287" s="572"/>
      <c r="M287" s="571"/>
      <c r="N287" s="570"/>
      <c r="V287" s="674"/>
      <c r="W287" s="675" t="s">
        <v>1476</v>
      </c>
      <c r="AC287" s="675"/>
      <c r="AD287" s="675"/>
      <c r="AF287" s="675"/>
      <c r="AG287" s="680"/>
    </row>
    <row r="288" spans="1:33" s="536" customFormat="1" ht="12" x14ac:dyDescent="0.2">
      <c r="A288" s="676"/>
      <c r="B288" s="664"/>
      <c r="C288" s="1822" t="s">
        <v>3341</v>
      </c>
      <c r="D288" s="1822"/>
      <c r="E288" s="1822"/>
      <c r="F288" s="1822"/>
      <c r="G288" s="1822"/>
      <c r="H288" s="1822"/>
      <c r="I288" s="1822"/>
      <c r="J288" s="1822"/>
      <c r="K288" s="1822"/>
      <c r="L288" s="1822"/>
      <c r="M288" s="1822"/>
      <c r="N288" s="1827"/>
      <c r="V288" s="674"/>
      <c r="W288" s="675"/>
      <c r="X288" s="537" t="s">
        <v>3341</v>
      </c>
      <c r="AC288" s="675"/>
      <c r="AD288" s="675"/>
      <c r="AF288" s="675"/>
      <c r="AG288" s="680"/>
    </row>
    <row r="289" spans="1:33" s="536" customFormat="1" ht="33.75" x14ac:dyDescent="0.2">
      <c r="A289" s="609"/>
      <c r="B289" s="552" t="s">
        <v>310</v>
      </c>
      <c r="C289" s="1822" t="s">
        <v>311</v>
      </c>
      <c r="D289" s="1822"/>
      <c r="E289" s="1822"/>
      <c r="F289" s="1822"/>
      <c r="G289" s="1822"/>
      <c r="H289" s="1822"/>
      <c r="I289" s="1822"/>
      <c r="J289" s="1822"/>
      <c r="K289" s="1822"/>
      <c r="L289" s="1822"/>
      <c r="M289" s="1822"/>
      <c r="N289" s="1827"/>
      <c r="V289" s="674"/>
      <c r="W289" s="675"/>
      <c r="Y289" s="537" t="s">
        <v>311</v>
      </c>
      <c r="AC289" s="675"/>
      <c r="AD289" s="675"/>
      <c r="AF289" s="675"/>
      <c r="AG289" s="680"/>
    </row>
    <row r="290" spans="1:33" s="536" customFormat="1" ht="12" x14ac:dyDescent="0.2">
      <c r="A290" s="605"/>
      <c r="B290" s="552" t="s">
        <v>185</v>
      </c>
      <c r="C290" s="1822" t="s">
        <v>312</v>
      </c>
      <c r="D290" s="1822"/>
      <c r="E290" s="1822"/>
      <c r="F290" s="562"/>
      <c r="G290" s="562"/>
      <c r="H290" s="562"/>
      <c r="I290" s="562"/>
      <c r="J290" s="604">
        <v>40.020000000000003</v>
      </c>
      <c r="K290" s="562" t="s">
        <v>313</v>
      </c>
      <c r="L290" s="604">
        <v>186.89</v>
      </c>
      <c r="M290" s="603"/>
      <c r="N290" s="602"/>
      <c r="V290" s="674"/>
      <c r="W290" s="675"/>
      <c r="Z290" s="537" t="s">
        <v>312</v>
      </c>
      <c r="AC290" s="675"/>
      <c r="AD290" s="675"/>
      <c r="AF290" s="675"/>
      <c r="AG290" s="680"/>
    </row>
    <row r="291" spans="1:33" s="536" customFormat="1" ht="12" x14ac:dyDescent="0.2">
      <c r="A291" s="605"/>
      <c r="B291" s="552" t="s">
        <v>186</v>
      </c>
      <c r="C291" s="1822" t="s">
        <v>344</v>
      </c>
      <c r="D291" s="1822"/>
      <c r="E291" s="1822"/>
      <c r="F291" s="562"/>
      <c r="G291" s="562"/>
      <c r="H291" s="562"/>
      <c r="I291" s="562"/>
      <c r="J291" s="604">
        <v>15.9</v>
      </c>
      <c r="K291" s="562" t="s">
        <v>313</v>
      </c>
      <c r="L291" s="604">
        <v>74.25</v>
      </c>
      <c r="M291" s="603"/>
      <c r="N291" s="602"/>
      <c r="V291" s="674"/>
      <c r="W291" s="675"/>
      <c r="Z291" s="537" t="s">
        <v>344</v>
      </c>
      <c r="AC291" s="675"/>
      <c r="AD291" s="675"/>
      <c r="AF291" s="675"/>
      <c r="AG291" s="680"/>
    </row>
    <row r="292" spans="1:33" s="536" customFormat="1" ht="12" x14ac:dyDescent="0.2">
      <c r="A292" s="605"/>
      <c r="B292" s="552" t="s">
        <v>187</v>
      </c>
      <c r="C292" s="1822" t="s">
        <v>345</v>
      </c>
      <c r="D292" s="1822"/>
      <c r="E292" s="1822"/>
      <c r="F292" s="562"/>
      <c r="G292" s="562"/>
      <c r="H292" s="562"/>
      <c r="I292" s="562"/>
      <c r="J292" s="604">
        <v>0.22</v>
      </c>
      <c r="K292" s="562" t="s">
        <v>313</v>
      </c>
      <c r="L292" s="604">
        <v>1.03</v>
      </c>
      <c r="M292" s="603"/>
      <c r="N292" s="602"/>
      <c r="V292" s="674"/>
      <c r="W292" s="675"/>
      <c r="Z292" s="537" t="s">
        <v>345</v>
      </c>
      <c r="AC292" s="675"/>
      <c r="AD292" s="675"/>
      <c r="AF292" s="675"/>
      <c r="AG292" s="680"/>
    </row>
    <row r="293" spans="1:33" s="536" customFormat="1" ht="12" x14ac:dyDescent="0.2">
      <c r="A293" s="605"/>
      <c r="B293" s="552" t="s">
        <v>188</v>
      </c>
      <c r="C293" s="1822" t="s">
        <v>475</v>
      </c>
      <c r="D293" s="1822"/>
      <c r="E293" s="1822"/>
      <c r="F293" s="562"/>
      <c r="G293" s="562"/>
      <c r="H293" s="562"/>
      <c r="I293" s="562"/>
      <c r="J293" s="604">
        <v>1308.99</v>
      </c>
      <c r="K293" s="562"/>
      <c r="L293" s="604">
        <v>4890.3900000000003</v>
      </c>
      <c r="M293" s="603"/>
      <c r="N293" s="602"/>
      <c r="V293" s="674"/>
      <c r="W293" s="675"/>
      <c r="Z293" s="537" t="s">
        <v>475</v>
      </c>
      <c r="AC293" s="675"/>
      <c r="AD293" s="675"/>
      <c r="AF293" s="675"/>
      <c r="AG293" s="680"/>
    </row>
    <row r="294" spans="1:33" s="536" customFormat="1" ht="12" x14ac:dyDescent="0.2">
      <c r="A294" s="605"/>
      <c r="B294" s="552"/>
      <c r="C294" s="1822" t="s">
        <v>314</v>
      </c>
      <c r="D294" s="1822"/>
      <c r="E294" s="1822"/>
      <c r="F294" s="562" t="s">
        <v>315</v>
      </c>
      <c r="G294" s="562" t="s">
        <v>1479</v>
      </c>
      <c r="H294" s="562" t="s">
        <v>313</v>
      </c>
      <c r="I294" s="562" t="s">
        <v>3342</v>
      </c>
      <c r="J294" s="604"/>
      <c r="K294" s="562"/>
      <c r="L294" s="604"/>
      <c r="M294" s="603"/>
      <c r="N294" s="602"/>
      <c r="V294" s="674"/>
      <c r="W294" s="675"/>
      <c r="AA294" s="537" t="s">
        <v>314</v>
      </c>
      <c r="AC294" s="675"/>
      <c r="AD294" s="675"/>
      <c r="AF294" s="675"/>
      <c r="AG294" s="680"/>
    </row>
    <row r="295" spans="1:33" s="536" customFormat="1" ht="12" x14ac:dyDescent="0.2">
      <c r="A295" s="605"/>
      <c r="B295" s="552"/>
      <c r="C295" s="1822" t="s">
        <v>348</v>
      </c>
      <c r="D295" s="1822"/>
      <c r="E295" s="1822"/>
      <c r="F295" s="562" t="s">
        <v>315</v>
      </c>
      <c r="G295" s="562" t="s">
        <v>695</v>
      </c>
      <c r="H295" s="562" t="s">
        <v>313</v>
      </c>
      <c r="I295" s="562" t="s">
        <v>3343</v>
      </c>
      <c r="J295" s="604"/>
      <c r="K295" s="562"/>
      <c r="L295" s="604"/>
      <c r="M295" s="603"/>
      <c r="N295" s="602"/>
      <c r="V295" s="674"/>
      <c r="W295" s="675"/>
      <c r="AA295" s="537" t="s">
        <v>348</v>
      </c>
      <c r="AC295" s="675"/>
      <c r="AD295" s="675"/>
      <c r="AF295" s="675"/>
      <c r="AG295" s="680"/>
    </row>
    <row r="296" spans="1:33" s="536" customFormat="1" ht="12" x14ac:dyDescent="0.2">
      <c r="A296" s="605"/>
      <c r="B296" s="552"/>
      <c r="C296" s="1828" t="s">
        <v>318</v>
      </c>
      <c r="D296" s="1828"/>
      <c r="E296" s="1828"/>
      <c r="F296" s="608"/>
      <c r="G296" s="608"/>
      <c r="H296" s="608"/>
      <c r="I296" s="608"/>
      <c r="J296" s="607">
        <v>1364.91</v>
      </c>
      <c r="K296" s="608"/>
      <c r="L296" s="607">
        <v>5151.53</v>
      </c>
      <c r="M296" s="601"/>
      <c r="N296" s="606"/>
      <c r="V296" s="674"/>
      <c r="W296" s="675"/>
      <c r="AB296" s="537" t="s">
        <v>318</v>
      </c>
      <c r="AC296" s="675"/>
      <c r="AD296" s="675"/>
      <c r="AF296" s="675"/>
      <c r="AG296" s="680"/>
    </row>
    <row r="297" spans="1:33" s="536" customFormat="1" ht="12" x14ac:dyDescent="0.2">
      <c r="A297" s="605"/>
      <c r="B297" s="552"/>
      <c r="C297" s="1822" t="s">
        <v>319</v>
      </c>
      <c r="D297" s="1822"/>
      <c r="E297" s="1822"/>
      <c r="F297" s="562"/>
      <c r="G297" s="562"/>
      <c r="H297" s="562"/>
      <c r="I297" s="562"/>
      <c r="J297" s="604"/>
      <c r="K297" s="562"/>
      <c r="L297" s="604">
        <v>187.92</v>
      </c>
      <c r="M297" s="603"/>
      <c r="N297" s="602"/>
      <c r="V297" s="674"/>
      <c r="W297" s="675"/>
      <c r="AA297" s="537" t="s">
        <v>319</v>
      </c>
      <c r="AC297" s="675"/>
      <c r="AD297" s="675"/>
      <c r="AF297" s="675"/>
      <c r="AG297" s="680"/>
    </row>
    <row r="298" spans="1:33" s="536" customFormat="1" ht="33.75" x14ac:dyDescent="0.2">
      <c r="A298" s="605"/>
      <c r="B298" s="552" t="s">
        <v>1482</v>
      </c>
      <c r="C298" s="1822" t="s">
        <v>1483</v>
      </c>
      <c r="D298" s="1822"/>
      <c r="E298" s="1822"/>
      <c r="F298" s="562" t="s">
        <v>322</v>
      </c>
      <c r="G298" s="562" t="s">
        <v>1484</v>
      </c>
      <c r="H298" s="562"/>
      <c r="I298" s="562" t="s">
        <v>1484</v>
      </c>
      <c r="J298" s="604"/>
      <c r="K298" s="562"/>
      <c r="L298" s="604">
        <v>176.64</v>
      </c>
      <c r="M298" s="603"/>
      <c r="N298" s="602"/>
      <c r="V298" s="674"/>
      <c r="W298" s="675"/>
      <c r="AA298" s="537" t="s">
        <v>1483</v>
      </c>
      <c r="AC298" s="675"/>
      <c r="AD298" s="675"/>
      <c r="AF298" s="675"/>
      <c r="AG298" s="680"/>
    </row>
    <row r="299" spans="1:33" s="536" customFormat="1" ht="33.75" x14ac:dyDescent="0.2">
      <c r="A299" s="605"/>
      <c r="B299" s="552" t="s">
        <v>1485</v>
      </c>
      <c r="C299" s="1822" t="s">
        <v>1486</v>
      </c>
      <c r="D299" s="1822"/>
      <c r="E299" s="1822"/>
      <c r="F299" s="562" t="s">
        <v>322</v>
      </c>
      <c r="G299" s="562" t="s">
        <v>786</v>
      </c>
      <c r="H299" s="562"/>
      <c r="I299" s="562" t="s">
        <v>786</v>
      </c>
      <c r="J299" s="604"/>
      <c r="K299" s="562"/>
      <c r="L299" s="604">
        <v>95.84</v>
      </c>
      <c r="M299" s="603"/>
      <c r="N299" s="602"/>
      <c r="V299" s="674"/>
      <c r="W299" s="675"/>
      <c r="AA299" s="537" t="s">
        <v>1486</v>
      </c>
      <c r="AC299" s="675"/>
      <c r="AD299" s="675"/>
      <c r="AF299" s="675"/>
      <c r="AG299" s="680"/>
    </row>
    <row r="300" spans="1:33" s="536" customFormat="1" ht="12" x14ac:dyDescent="0.2">
      <c r="A300" s="569"/>
      <c r="B300" s="671"/>
      <c r="C300" s="1823" t="s">
        <v>327</v>
      </c>
      <c r="D300" s="1823"/>
      <c r="E300" s="1823"/>
      <c r="F300" s="573"/>
      <c r="G300" s="573"/>
      <c r="H300" s="573"/>
      <c r="I300" s="573"/>
      <c r="J300" s="572"/>
      <c r="K300" s="573"/>
      <c r="L300" s="572">
        <v>5424.01</v>
      </c>
      <c r="M300" s="601"/>
      <c r="N300" s="570"/>
      <c r="V300" s="674"/>
      <c r="W300" s="675"/>
      <c r="AC300" s="675" t="s">
        <v>327</v>
      </c>
      <c r="AD300" s="675"/>
      <c r="AF300" s="675"/>
      <c r="AG300" s="680"/>
    </row>
    <row r="301" spans="1:33" s="536" customFormat="1" ht="22.5" x14ac:dyDescent="0.2">
      <c r="A301" s="575" t="s">
        <v>759</v>
      </c>
      <c r="B301" s="670" t="s">
        <v>1487</v>
      </c>
      <c r="C301" s="1823" t="s">
        <v>1488</v>
      </c>
      <c r="D301" s="1823"/>
      <c r="E301" s="1823"/>
      <c r="F301" s="573" t="s">
        <v>862</v>
      </c>
      <c r="G301" s="573"/>
      <c r="H301" s="573"/>
      <c r="I301" s="573" t="s">
        <v>3340</v>
      </c>
      <c r="J301" s="572"/>
      <c r="K301" s="573"/>
      <c r="L301" s="572"/>
      <c r="M301" s="571"/>
      <c r="N301" s="570"/>
      <c r="V301" s="674"/>
      <c r="W301" s="675" t="s">
        <v>1488</v>
      </c>
      <c r="AC301" s="675"/>
      <c r="AD301" s="675"/>
      <c r="AF301" s="675"/>
      <c r="AG301" s="680"/>
    </row>
    <row r="302" spans="1:33" s="536" customFormat="1" ht="12" x14ac:dyDescent="0.2">
      <c r="A302" s="676"/>
      <c r="B302" s="664"/>
      <c r="C302" s="1822" t="s">
        <v>3341</v>
      </c>
      <c r="D302" s="1822"/>
      <c r="E302" s="1822"/>
      <c r="F302" s="1822"/>
      <c r="G302" s="1822"/>
      <c r="H302" s="1822"/>
      <c r="I302" s="1822"/>
      <c r="J302" s="1822"/>
      <c r="K302" s="1822"/>
      <c r="L302" s="1822"/>
      <c r="M302" s="1822"/>
      <c r="N302" s="1827"/>
      <c r="V302" s="674"/>
      <c r="W302" s="675"/>
      <c r="X302" s="537" t="s">
        <v>3341</v>
      </c>
      <c r="AC302" s="675"/>
      <c r="AD302" s="675"/>
      <c r="AF302" s="675"/>
      <c r="AG302" s="680"/>
    </row>
    <row r="303" spans="1:33" s="536" customFormat="1" ht="33.75" x14ac:dyDescent="0.2">
      <c r="A303" s="609"/>
      <c r="B303" s="552" t="s">
        <v>310</v>
      </c>
      <c r="C303" s="1822" t="s">
        <v>311</v>
      </c>
      <c r="D303" s="1822"/>
      <c r="E303" s="1822"/>
      <c r="F303" s="1822"/>
      <c r="G303" s="1822"/>
      <c r="H303" s="1822"/>
      <c r="I303" s="1822"/>
      <c r="J303" s="1822"/>
      <c r="K303" s="1822"/>
      <c r="L303" s="1822"/>
      <c r="M303" s="1822"/>
      <c r="N303" s="1827"/>
      <c r="V303" s="674"/>
      <c r="W303" s="675"/>
      <c r="Y303" s="537" t="s">
        <v>311</v>
      </c>
      <c r="AC303" s="675"/>
      <c r="AD303" s="675"/>
      <c r="AF303" s="675"/>
      <c r="AG303" s="680"/>
    </row>
    <row r="304" spans="1:33" s="536" customFormat="1" ht="12" x14ac:dyDescent="0.2">
      <c r="A304" s="605"/>
      <c r="B304" s="552" t="s">
        <v>185</v>
      </c>
      <c r="C304" s="1822" t="s">
        <v>312</v>
      </c>
      <c r="D304" s="1822"/>
      <c r="E304" s="1822"/>
      <c r="F304" s="562"/>
      <c r="G304" s="562"/>
      <c r="H304" s="562"/>
      <c r="I304" s="562"/>
      <c r="J304" s="604">
        <v>19.32</v>
      </c>
      <c r="K304" s="562" t="s">
        <v>313</v>
      </c>
      <c r="L304" s="604">
        <v>90.22</v>
      </c>
      <c r="M304" s="603"/>
      <c r="N304" s="602"/>
      <c r="V304" s="674"/>
      <c r="W304" s="675"/>
      <c r="Z304" s="537" t="s">
        <v>312</v>
      </c>
      <c r="AC304" s="675"/>
      <c r="AD304" s="675"/>
      <c r="AF304" s="675"/>
      <c r="AG304" s="680"/>
    </row>
    <row r="305" spans="1:33" s="536" customFormat="1" ht="12" x14ac:dyDescent="0.2">
      <c r="A305" s="605"/>
      <c r="B305" s="552" t="s">
        <v>186</v>
      </c>
      <c r="C305" s="1822" t="s">
        <v>344</v>
      </c>
      <c r="D305" s="1822"/>
      <c r="E305" s="1822"/>
      <c r="F305" s="562"/>
      <c r="G305" s="562"/>
      <c r="H305" s="562"/>
      <c r="I305" s="562"/>
      <c r="J305" s="604">
        <v>6.01</v>
      </c>
      <c r="K305" s="562" t="s">
        <v>313</v>
      </c>
      <c r="L305" s="604">
        <v>28.07</v>
      </c>
      <c r="M305" s="603"/>
      <c r="N305" s="602"/>
      <c r="V305" s="674"/>
      <c r="W305" s="675"/>
      <c r="Z305" s="537" t="s">
        <v>344</v>
      </c>
      <c r="AC305" s="675"/>
      <c r="AD305" s="675"/>
      <c r="AF305" s="675"/>
      <c r="AG305" s="680"/>
    </row>
    <row r="306" spans="1:33" s="536" customFormat="1" ht="12" x14ac:dyDescent="0.2">
      <c r="A306" s="605"/>
      <c r="B306" s="552" t="s">
        <v>187</v>
      </c>
      <c r="C306" s="1822" t="s">
        <v>345</v>
      </c>
      <c r="D306" s="1822"/>
      <c r="E306" s="1822"/>
      <c r="F306" s="562"/>
      <c r="G306" s="562"/>
      <c r="H306" s="562"/>
      <c r="I306" s="562"/>
      <c r="J306" s="604">
        <v>0.22</v>
      </c>
      <c r="K306" s="562" t="s">
        <v>313</v>
      </c>
      <c r="L306" s="604">
        <v>1.03</v>
      </c>
      <c r="M306" s="603"/>
      <c r="N306" s="602"/>
      <c r="V306" s="674"/>
      <c r="W306" s="675"/>
      <c r="Z306" s="537" t="s">
        <v>345</v>
      </c>
      <c r="AC306" s="675"/>
      <c r="AD306" s="675"/>
      <c r="AF306" s="675"/>
      <c r="AG306" s="680"/>
    </row>
    <row r="307" spans="1:33" s="536" customFormat="1" ht="12" x14ac:dyDescent="0.2">
      <c r="A307" s="605"/>
      <c r="B307" s="552" t="s">
        <v>188</v>
      </c>
      <c r="C307" s="1822" t="s">
        <v>475</v>
      </c>
      <c r="D307" s="1822"/>
      <c r="E307" s="1822"/>
      <c r="F307" s="562"/>
      <c r="G307" s="562"/>
      <c r="H307" s="562"/>
      <c r="I307" s="562"/>
      <c r="J307" s="604">
        <v>138.16</v>
      </c>
      <c r="K307" s="562"/>
      <c r="L307" s="604">
        <v>34.89</v>
      </c>
      <c r="M307" s="603"/>
      <c r="N307" s="602"/>
      <c r="V307" s="674"/>
      <c r="W307" s="675"/>
      <c r="Z307" s="537" t="s">
        <v>475</v>
      </c>
      <c r="AC307" s="675"/>
      <c r="AD307" s="675"/>
      <c r="AF307" s="675"/>
      <c r="AG307" s="680"/>
    </row>
    <row r="308" spans="1:33" s="536" customFormat="1" ht="12" x14ac:dyDescent="0.2">
      <c r="A308" s="605"/>
      <c r="B308" s="552"/>
      <c r="C308" s="1822" t="s">
        <v>314</v>
      </c>
      <c r="D308" s="1822"/>
      <c r="E308" s="1822"/>
      <c r="F308" s="562" t="s">
        <v>315</v>
      </c>
      <c r="G308" s="562" t="s">
        <v>1489</v>
      </c>
      <c r="H308" s="562" t="s">
        <v>313</v>
      </c>
      <c r="I308" s="562" t="s">
        <v>3344</v>
      </c>
      <c r="J308" s="604"/>
      <c r="K308" s="562"/>
      <c r="L308" s="604"/>
      <c r="M308" s="603"/>
      <c r="N308" s="602"/>
      <c r="V308" s="674"/>
      <c r="W308" s="675"/>
      <c r="AA308" s="537" t="s">
        <v>314</v>
      </c>
      <c r="AC308" s="675"/>
      <c r="AD308" s="675"/>
      <c r="AF308" s="675"/>
      <c r="AG308" s="680"/>
    </row>
    <row r="309" spans="1:33" s="536" customFormat="1" ht="12" x14ac:dyDescent="0.2">
      <c r="A309" s="605"/>
      <c r="B309" s="552"/>
      <c r="C309" s="1822" t="s">
        <v>348</v>
      </c>
      <c r="D309" s="1822"/>
      <c r="E309" s="1822"/>
      <c r="F309" s="562" t="s">
        <v>315</v>
      </c>
      <c r="G309" s="562" t="s">
        <v>695</v>
      </c>
      <c r="H309" s="562" t="s">
        <v>313</v>
      </c>
      <c r="I309" s="562" t="s">
        <v>3343</v>
      </c>
      <c r="J309" s="604"/>
      <c r="K309" s="562"/>
      <c r="L309" s="604"/>
      <c r="M309" s="603"/>
      <c r="N309" s="602"/>
      <c r="V309" s="674"/>
      <c r="W309" s="675"/>
      <c r="AA309" s="537" t="s">
        <v>348</v>
      </c>
      <c r="AC309" s="675"/>
      <c r="AD309" s="675"/>
      <c r="AF309" s="675"/>
      <c r="AG309" s="680"/>
    </row>
    <row r="310" spans="1:33" s="536" customFormat="1" ht="12" x14ac:dyDescent="0.2">
      <c r="A310" s="605"/>
      <c r="B310" s="552"/>
      <c r="C310" s="1828" t="s">
        <v>318</v>
      </c>
      <c r="D310" s="1828"/>
      <c r="E310" s="1828"/>
      <c r="F310" s="608"/>
      <c r="G310" s="608"/>
      <c r="H310" s="608"/>
      <c r="I310" s="608"/>
      <c r="J310" s="607">
        <v>34.67</v>
      </c>
      <c r="K310" s="608"/>
      <c r="L310" s="607">
        <v>153.18</v>
      </c>
      <c r="M310" s="601"/>
      <c r="N310" s="606"/>
      <c r="V310" s="674"/>
      <c r="W310" s="675"/>
      <c r="AB310" s="537" t="s">
        <v>318</v>
      </c>
      <c r="AC310" s="675"/>
      <c r="AD310" s="675"/>
      <c r="AF310" s="675"/>
      <c r="AG310" s="680"/>
    </row>
    <row r="311" spans="1:33" s="536" customFormat="1" ht="12" x14ac:dyDescent="0.2">
      <c r="A311" s="605"/>
      <c r="B311" s="552"/>
      <c r="C311" s="1822" t="s">
        <v>319</v>
      </c>
      <c r="D311" s="1822"/>
      <c r="E311" s="1822"/>
      <c r="F311" s="562"/>
      <c r="G311" s="562"/>
      <c r="H311" s="562"/>
      <c r="I311" s="562"/>
      <c r="J311" s="604"/>
      <c r="K311" s="562"/>
      <c r="L311" s="604">
        <v>91.25</v>
      </c>
      <c r="M311" s="603"/>
      <c r="N311" s="602"/>
      <c r="V311" s="674"/>
      <c r="W311" s="675"/>
      <c r="AA311" s="537" t="s">
        <v>319</v>
      </c>
      <c r="AC311" s="675"/>
      <c r="AD311" s="675"/>
      <c r="AF311" s="675"/>
      <c r="AG311" s="680"/>
    </row>
    <row r="312" spans="1:33" s="536" customFormat="1" ht="33.75" x14ac:dyDescent="0.2">
      <c r="A312" s="605"/>
      <c r="B312" s="552" t="s">
        <v>1482</v>
      </c>
      <c r="C312" s="1822" t="s">
        <v>1483</v>
      </c>
      <c r="D312" s="1822"/>
      <c r="E312" s="1822"/>
      <c r="F312" s="562" t="s">
        <v>322</v>
      </c>
      <c r="G312" s="562" t="s">
        <v>1484</v>
      </c>
      <c r="H312" s="562"/>
      <c r="I312" s="562" t="s">
        <v>1484</v>
      </c>
      <c r="J312" s="604"/>
      <c r="K312" s="562"/>
      <c r="L312" s="604">
        <v>85.78</v>
      </c>
      <c r="M312" s="603"/>
      <c r="N312" s="602"/>
      <c r="V312" s="674"/>
      <c r="W312" s="675"/>
      <c r="AA312" s="537" t="s">
        <v>1483</v>
      </c>
      <c r="AC312" s="675"/>
      <c r="AD312" s="675"/>
      <c r="AF312" s="675"/>
      <c r="AG312" s="680"/>
    </row>
    <row r="313" spans="1:33" s="536" customFormat="1" ht="33.75" x14ac:dyDescent="0.2">
      <c r="A313" s="605"/>
      <c r="B313" s="552" t="s">
        <v>1485</v>
      </c>
      <c r="C313" s="1822" t="s">
        <v>1486</v>
      </c>
      <c r="D313" s="1822"/>
      <c r="E313" s="1822"/>
      <c r="F313" s="562" t="s">
        <v>322</v>
      </c>
      <c r="G313" s="562" t="s">
        <v>786</v>
      </c>
      <c r="H313" s="562"/>
      <c r="I313" s="562" t="s">
        <v>786</v>
      </c>
      <c r="J313" s="604"/>
      <c r="K313" s="562"/>
      <c r="L313" s="604">
        <v>46.54</v>
      </c>
      <c r="M313" s="603"/>
      <c r="N313" s="602"/>
      <c r="V313" s="674"/>
      <c r="W313" s="675"/>
      <c r="AA313" s="537" t="s">
        <v>1486</v>
      </c>
      <c r="AC313" s="675"/>
      <c r="AD313" s="675"/>
      <c r="AF313" s="675"/>
      <c r="AG313" s="680"/>
    </row>
    <row r="314" spans="1:33" s="536" customFormat="1" ht="12" x14ac:dyDescent="0.2">
      <c r="A314" s="569"/>
      <c r="B314" s="671"/>
      <c r="C314" s="1823" t="s">
        <v>327</v>
      </c>
      <c r="D314" s="1823"/>
      <c r="E314" s="1823"/>
      <c r="F314" s="573"/>
      <c r="G314" s="573"/>
      <c r="H314" s="573"/>
      <c r="I314" s="573"/>
      <c r="J314" s="572"/>
      <c r="K314" s="573"/>
      <c r="L314" s="572">
        <v>285.5</v>
      </c>
      <c r="M314" s="601"/>
      <c r="N314" s="570"/>
      <c r="V314" s="674"/>
      <c r="W314" s="675"/>
      <c r="AC314" s="675" t="s">
        <v>327</v>
      </c>
      <c r="AD314" s="675"/>
      <c r="AF314" s="675"/>
      <c r="AG314" s="680"/>
    </row>
    <row r="315" spans="1:33" s="536" customFormat="1" ht="22.5" x14ac:dyDescent="0.2">
      <c r="A315" s="575" t="s">
        <v>917</v>
      </c>
      <c r="B315" s="670" t="s">
        <v>1491</v>
      </c>
      <c r="C315" s="1823" t="s">
        <v>1492</v>
      </c>
      <c r="D315" s="1823"/>
      <c r="E315" s="1823"/>
      <c r="F315" s="573" t="s">
        <v>699</v>
      </c>
      <c r="G315" s="573"/>
      <c r="H315" s="573"/>
      <c r="I315" s="573" t="s">
        <v>3345</v>
      </c>
      <c r="J315" s="572">
        <v>34.950000000000003</v>
      </c>
      <c r="K315" s="573"/>
      <c r="L315" s="572">
        <v>2611.46</v>
      </c>
      <c r="M315" s="571"/>
      <c r="N315" s="570"/>
      <c r="V315" s="674"/>
      <c r="W315" s="675" t="s">
        <v>1492</v>
      </c>
      <c r="AC315" s="675"/>
      <c r="AD315" s="675"/>
      <c r="AF315" s="675"/>
      <c r="AG315" s="680"/>
    </row>
    <row r="316" spans="1:33" s="536" customFormat="1" ht="12" x14ac:dyDescent="0.2">
      <c r="A316" s="569"/>
      <c r="B316" s="671"/>
      <c r="C316" s="665" t="s">
        <v>717</v>
      </c>
      <c r="D316" s="666"/>
      <c r="E316" s="666"/>
      <c r="F316" s="563"/>
      <c r="G316" s="563"/>
      <c r="H316" s="563"/>
      <c r="I316" s="563"/>
      <c r="J316" s="566"/>
      <c r="K316" s="563"/>
      <c r="L316" s="566"/>
      <c r="M316" s="565"/>
      <c r="N316" s="564"/>
      <c r="V316" s="674"/>
      <c r="W316" s="675"/>
      <c r="AC316" s="675"/>
      <c r="AD316" s="675"/>
      <c r="AF316" s="675"/>
      <c r="AG316" s="680"/>
    </row>
    <row r="317" spans="1:33" s="536" customFormat="1" ht="12" x14ac:dyDescent="0.2">
      <c r="A317" s="676"/>
      <c r="B317" s="664"/>
      <c r="C317" s="1822" t="s">
        <v>3346</v>
      </c>
      <c r="D317" s="1822"/>
      <c r="E317" s="1822"/>
      <c r="F317" s="1822"/>
      <c r="G317" s="1822"/>
      <c r="H317" s="1822"/>
      <c r="I317" s="1822"/>
      <c r="J317" s="1822"/>
      <c r="K317" s="1822"/>
      <c r="L317" s="1822"/>
      <c r="M317" s="1822"/>
      <c r="N317" s="1827"/>
      <c r="V317" s="674"/>
      <c r="W317" s="675"/>
      <c r="X317" s="537" t="s">
        <v>3346</v>
      </c>
      <c r="AC317" s="675"/>
      <c r="AD317" s="675"/>
      <c r="AF317" s="675"/>
      <c r="AG317" s="680"/>
    </row>
    <row r="318" spans="1:33" s="536" customFormat="1" ht="1.5" customHeight="1" x14ac:dyDescent="0.2">
      <c r="A318" s="563"/>
      <c r="B318" s="671"/>
      <c r="C318" s="671"/>
      <c r="D318" s="671"/>
      <c r="E318" s="671"/>
      <c r="F318" s="563"/>
      <c r="G318" s="563"/>
      <c r="H318" s="563"/>
      <c r="I318" s="563"/>
      <c r="J318" s="546"/>
      <c r="K318" s="563"/>
      <c r="L318" s="546"/>
      <c r="M318" s="562"/>
      <c r="N318" s="546"/>
      <c r="V318" s="674"/>
      <c r="W318" s="675"/>
      <c r="AC318" s="675"/>
      <c r="AD318" s="675"/>
      <c r="AF318" s="675"/>
      <c r="AG318" s="680"/>
    </row>
    <row r="319" spans="1:33" s="536" customFormat="1" ht="12" x14ac:dyDescent="0.2">
      <c r="A319" s="557"/>
      <c r="B319" s="556"/>
      <c r="C319" s="1823" t="s">
        <v>2164</v>
      </c>
      <c r="D319" s="1823"/>
      <c r="E319" s="1823"/>
      <c r="F319" s="1823"/>
      <c r="G319" s="1823"/>
      <c r="H319" s="1823"/>
      <c r="I319" s="1823"/>
      <c r="J319" s="1823"/>
      <c r="K319" s="1823"/>
      <c r="L319" s="555"/>
      <c r="M319" s="554"/>
      <c r="N319" s="553"/>
      <c r="V319" s="674"/>
      <c r="W319" s="675"/>
      <c r="AC319" s="675"/>
      <c r="AD319" s="675" t="s">
        <v>2164</v>
      </c>
      <c r="AF319" s="675"/>
      <c r="AG319" s="680"/>
    </row>
    <row r="320" spans="1:33" s="536" customFormat="1" ht="12" x14ac:dyDescent="0.2">
      <c r="A320" s="548"/>
      <c r="B320" s="552"/>
      <c r="C320" s="1822" t="s">
        <v>403</v>
      </c>
      <c r="D320" s="1822"/>
      <c r="E320" s="1822"/>
      <c r="F320" s="1822"/>
      <c r="G320" s="1822"/>
      <c r="H320" s="1822"/>
      <c r="I320" s="1822"/>
      <c r="J320" s="1822"/>
      <c r="K320" s="1822"/>
      <c r="L320" s="551">
        <v>139195.6</v>
      </c>
      <c r="M320" s="550"/>
      <c r="N320" s="549"/>
      <c r="V320" s="674"/>
      <c r="W320" s="675"/>
      <c r="AC320" s="675"/>
      <c r="AD320" s="675"/>
      <c r="AE320" s="537" t="s">
        <v>403</v>
      </c>
      <c r="AF320" s="675"/>
      <c r="AG320" s="680"/>
    </row>
    <row r="321" spans="1:33" s="536" customFormat="1" ht="12" x14ac:dyDescent="0.2">
      <c r="A321" s="548"/>
      <c r="B321" s="552"/>
      <c r="C321" s="1822" t="s">
        <v>204</v>
      </c>
      <c r="D321" s="1822"/>
      <c r="E321" s="1822"/>
      <c r="F321" s="1822"/>
      <c r="G321" s="1822"/>
      <c r="H321" s="1822"/>
      <c r="I321" s="1822"/>
      <c r="J321" s="1822"/>
      <c r="K321" s="1822"/>
      <c r="L321" s="551"/>
      <c r="M321" s="550"/>
      <c r="N321" s="549"/>
      <c r="V321" s="674"/>
      <c r="W321" s="675"/>
      <c r="AC321" s="675"/>
      <c r="AD321" s="675"/>
      <c r="AE321" s="537" t="s">
        <v>204</v>
      </c>
      <c r="AF321" s="675"/>
      <c r="AG321" s="680"/>
    </row>
    <row r="322" spans="1:33" s="536" customFormat="1" ht="12" x14ac:dyDescent="0.2">
      <c r="A322" s="548"/>
      <c r="B322" s="552"/>
      <c r="C322" s="1822" t="s">
        <v>404</v>
      </c>
      <c r="D322" s="1822"/>
      <c r="E322" s="1822"/>
      <c r="F322" s="1822"/>
      <c r="G322" s="1822"/>
      <c r="H322" s="1822"/>
      <c r="I322" s="1822"/>
      <c r="J322" s="1822"/>
      <c r="K322" s="1822"/>
      <c r="L322" s="551">
        <v>3957.07</v>
      </c>
      <c r="M322" s="550"/>
      <c r="N322" s="549"/>
      <c r="V322" s="674"/>
      <c r="W322" s="675"/>
      <c r="AC322" s="675"/>
      <c r="AD322" s="675"/>
      <c r="AE322" s="537" t="s">
        <v>404</v>
      </c>
      <c r="AF322" s="675"/>
      <c r="AG322" s="680"/>
    </row>
    <row r="323" spans="1:33" s="536" customFormat="1" ht="12" x14ac:dyDescent="0.2">
      <c r="A323" s="548"/>
      <c r="B323" s="552"/>
      <c r="C323" s="1822" t="s">
        <v>405</v>
      </c>
      <c r="D323" s="1822"/>
      <c r="E323" s="1822"/>
      <c r="F323" s="1822"/>
      <c r="G323" s="1822"/>
      <c r="H323" s="1822"/>
      <c r="I323" s="1822"/>
      <c r="J323" s="1822"/>
      <c r="K323" s="1822"/>
      <c r="L323" s="551">
        <v>7633</v>
      </c>
      <c r="M323" s="550"/>
      <c r="N323" s="549"/>
      <c r="V323" s="674"/>
      <c r="W323" s="675"/>
      <c r="AC323" s="675"/>
      <c r="AD323" s="675"/>
      <c r="AE323" s="537" t="s">
        <v>405</v>
      </c>
      <c r="AF323" s="675"/>
      <c r="AG323" s="680"/>
    </row>
    <row r="324" spans="1:33" s="536" customFormat="1" ht="12" x14ac:dyDescent="0.2">
      <c r="A324" s="548"/>
      <c r="B324" s="552"/>
      <c r="C324" s="1822" t="s">
        <v>406</v>
      </c>
      <c r="D324" s="1822"/>
      <c r="E324" s="1822"/>
      <c r="F324" s="1822"/>
      <c r="G324" s="1822"/>
      <c r="H324" s="1822"/>
      <c r="I324" s="1822"/>
      <c r="J324" s="1822"/>
      <c r="K324" s="1822"/>
      <c r="L324" s="551">
        <v>770.68</v>
      </c>
      <c r="M324" s="550"/>
      <c r="N324" s="549"/>
      <c r="V324" s="674"/>
      <c r="W324" s="675"/>
      <c r="AC324" s="675"/>
      <c r="AD324" s="675"/>
      <c r="AE324" s="537" t="s">
        <v>406</v>
      </c>
      <c r="AF324" s="675"/>
      <c r="AG324" s="680"/>
    </row>
    <row r="325" spans="1:33" s="536" customFormat="1" ht="12" x14ac:dyDescent="0.2">
      <c r="A325" s="548"/>
      <c r="B325" s="552"/>
      <c r="C325" s="1822" t="s">
        <v>480</v>
      </c>
      <c r="D325" s="1822"/>
      <c r="E325" s="1822"/>
      <c r="F325" s="1822"/>
      <c r="G325" s="1822"/>
      <c r="H325" s="1822"/>
      <c r="I325" s="1822"/>
      <c r="J325" s="1822"/>
      <c r="K325" s="1822"/>
      <c r="L325" s="551">
        <v>127605.53</v>
      </c>
      <c r="M325" s="550"/>
      <c r="N325" s="549"/>
      <c r="V325" s="674"/>
      <c r="W325" s="675"/>
      <c r="AC325" s="675"/>
      <c r="AD325" s="675"/>
      <c r="AE325" s="537" t="s">
        <v>480</v>
      </c>
      <c r="AF325" s="675"/>
      <c r="AG325" s="680"/>
    </row>
    <row r="326" spans="1:33" s="536" customFormat="1" ht="12" x14ac:dyDescent="0.2">
      <c r="A326" s="548"/>
      <c r="B326" s="552"/>
      <c r="C326" s="1822" t="s">
        <v>407</v>
      </c>
      <c r="D326" s="1822"/>
      <c r="E326" s="1822"/>
      <c r="F326" s="1822"/>
      <c r="G326" s="1822"/>
      <c r="H326" s="1822"/>
      <c r="I326" s="1822"/>
      <c r="J326" s="1822"/>
      <c r="K326" s="1822"/>
      <c r="L326" s="551">
        <v>146495.69</v>
      </c>
      <c r="M326" s="550"/>
      <c r="N326" s="549"/>
      <c r="V326" s="674"/>
      <c r="W326" s="675"/>
      <c r="AC326" s="675"/>
      <c r="AD326" s="675"/>
      <c r="AE326" s="537" t="s">
        <v>407</v>
      </c>
      <c r="AF326" s="675"/>
      <c r="AG326" s="680"/>
    </row>
    <row r="327" spans="1:33" s="536" customFormat="1" ht="12" x14ac:dyDescent="0.2">
      <c r="A327" s="548"/>
      <c r="B327" s="552"/>
      <c r="C327" s="1822" t="s">
        <v>204</v>
      </c>
      <c r="D327" s="1822"/>
      <c r="E327" s="1822"/>
      <c r="F327" s="1822"/>
      <c r="G327" s="1822"/>
      <c r="H327" s="1822"/>
      <c r="I327" s="1822"/>
      <c r="J327" s="1822"/>
      <c r="K327" s="1822"/>
      <c r="L327" s="551"/>
      <c r="M327" s="550"/>
      <c r="N327" s="549"/>
      <c r="V327" s="674"/>
      <c r="W327" s="675"/>
      <c r="AC327" s="675"/>
      <c r="AD327" s="675"/>
      <c r="AE327" s="537" t="s">
        <v>204</v>
      </c>
      <c r="AF327" s="675"/>
      <c r="AG327" s="680"/>
    </row>
    <row r="328" spans="1:33" s="536" customFormat="1" ht="12" x14ac:dyDescent="0.2">
      <c r="A328" s="548"/>
      <c r="B328" s="552"/>
      <c r="C328" s="1822" t="s">
        <v>546</v>
      </c>
      <c r="D328" s="1822"/>
      <c r="E328" s="1822"/>
      <c r="F328" s="1822"/>
      <c r="G328" s="1822"/>
      <c r="H328" s="1822"/>
      <c r="I328" s="1822"/>
      <c r="J328" s="1822"/>
      <c r="K328" s="1822"/>
      <c r="L328" s="551">
        <v>3957.07</v>
      </c>
      <c r="M328" s="550"/>
      <c r="N328" s="549"/>
      <c r="V328" s="674"/>
      <c r="W328" s="675"/>
      <c r="AC328" s="675"/>
      <c r="AD328" s="675"/>
      <c r="AE328" s="537" t="s">
        <v>546</v>
      </c>
      <c r="AF328" s="675"/>
      <c r="AG328" s="680"/>
    </row>
    <row r="329" spans="1:33" s="536" customFormat="1" ht="12" x14ac:dyDescent="0.2">
      <c r="A329" s="548"/>
      <c r="B329" s="552"/>
      <c r="C329" s="1822" t="s">
        <v>442</v>
      </c>
      <c r="D329" s="1822"/>
      <c r="E329" s="1822"/>
      <c r="F329" s="1822"/>
      <c r="G329" s="1822"/>
      <c r="H329" s="1822"/>
      <c r="I329" s="1822"/>
      <c r="J329" s="1822"/>
      <c r="K329" s="1822"/>
      <c r="L329" s="551">
        <v>7633</v>
      </c>
      <c r="M329" s="550"/>
      <c r="N329" s="549"/>
      <c r="V329" s="674"/>
      <c r="W329" s="675"/>
      <c r="AC329" s="675"/>
      <c r="AD329" s="675"/>
      <c r="AE329" s="537" t="s">
        <v>442</v>
      </c>
      <c r="AF329" s="675"/>
      <c r="AG329" s="680"/>
    </row>
    <row r="330" spans="1:33" s="536" customFormat="1" ht="12" x14ac:dyDescent="0.2">
      <c r="A330" s="548"/>
      <c r="B330" s="552"/>
      <c r="C330" s="1822" t="s">
        <v>547</v>
      </c>
      <c r="D330" s="1822"/>
      <c r="E330" s="1822"/>
      <c r="F330" s="1822"/>
      <c r="G330" s="1822"/>
      <c r="H330" s="1822"/>
      <c r="I330" s="1822"/>
      <c r="J330" s="1822"/>
      <c r="K330" s="1822"/>
      <c r="L330" s="551">
        <v>127605.53</v>
      </c>
      <c r="M330" s="550"/>
      <c r="N330" s="549"/>
      <c r="V330" s="674"/>
      <c r="W330" s="675"/>
      <c r="AC330" s="675"/>
      <c r="AD330" s="675"/>
      <c r="AE330" s="537" t="s">
        <v>547</v>
      </c>
      <c r="AF330" s="675"/>
      <c r="AG330" s="680"/>
    </row>
    <row r="331" spans="1:33" s="536" customFormat="1" ht="12" x14ac:dyDescent="0.2">
      <c r="A331" s="548"/>
      <c r="B331" s="552"/>
      <c r="C331" s="1822" t="s">
        <v>443</v>
      </c>
      <c r="D331" s="1822"/>
      <c r="E331" s="1822"/>
      <c r="F331" s="1822"/>
      <c r="G331" s="1822"/>
      <c r="H331" s="1822"/>
      <c r="I331" s="1822"/>
      <c r="J331" s="1822"/>
      <c r="K331" s="1822"/>
      <c r="L331" s="551">
        <v>4399.59</v>
      </c>
      <c r="M331" s="550"/>
      <c r="N331" s="549"/>
      <c r="V331" s="674"/>
      <c r="W331" s="675"/>
      <c r="AC331" s="675"/>
      <c r="AD331" s="675"/>
      <c r="AE331" s="537" t="s">
        <v>443</v>
      </c>
      <c r="AF331" s="675"/>
      <c r="AG331" s="680"/>
    </row>
    <row r="332" spans="1:33" s="536" customFormat="1" ht="12" x14ac:dyDescent="0.2">
      <c r="A332" s="548"/>
      <c r="B332" s="552"/>
      <c r="C332" s="1822" t="s">
        <v>444</v>
      </c>
      <c r="D332" s="1822"/>
      <c r="E332" s="1822"/>
      <c r="F332" s="1822"/>
      <c r="G332" s="1822"/>
      <c r="H332" s="1822"/>
      <c r="I332" s="1822"/>
      <c r="J332" s="1822"/>
      <c r="K332" s="1822"/>
      <c r="L332" s="551">
        <v>2900.5</v>
      </c>
      <c r="M332" s="550"/>
      <c r="N332" s="549"/>
      <c r="V332" s="674"/>
      <c r="W332" s="675"/>
      <c r="AC332" s="675"/>
      <c r="AD332" s="675"/>
      <c r="AE332" s="537" t="s">
        <v>444</v>
      </c>
      <c r="AF332" s="675"/>
      <c r="AG332" s="680"/>
    </row>
    <row r="333" spans="1:33" s="536" customFormat="1" ht="12" x14ac:dyDescent="0.2">
      <c r="A333" s="548"/>
      <c r="B333" s="552"/>
      <c r="C333" s="1822" t="s">
        <v>415</v>
      </c>
      <c r="D333" s="1822"/>
      <c r="E333" s="1822"/>
      <c r="F333" s="1822"/>
      <c r="G333" s="1822"/>
      <c r="H333" s="1822"/>
      <c r="I333" s="1822"/>
      <c r="J333" s="1822"/>
      <c r="K333" s="1822"/>
      <c r="L333" s="551">
        <v>4727.75</v>
      </c>
      <c r="M333" s="550"/>
      <c r="N333" s="549"/>
      <c r="V333" s="674"/>
      <c r="W333" s="675"/>
      <c r="AC333" s="675"/>
      <c r="AD333" s="675"/>
      <c r="AE333" s="537" t="s">
        <v>415</v>
      </c>
      <c r="AF333" s="675"/>
      <c r="AG333" s="680"/>
    </row>
    <row r="334" spans="1:33" s="536" customFormat="1" ht="12" x14ac:dyDescent="0.2">
      <c r="A334" s="548"/>
      <c r="B334" s="552"/>
      <c r="C334" s="1822" t="s">
        <v>416</v>
      </c>
      <c r="D334" s="1822"/>
      <c r="E334" s="1822"/>
      <c r="F334" s="1822"/>
      <c r="G334" s="1822"/>
      <c r="H334" s="1822"/>
      <c r="I334" s="1822"/>
      <c r="J334" s="1822"/>
      <c r="K334" s="1822"/>
      <c r="L334" s="551">
        <v>4399.59</v>
      </c>
      <c r="M334" s="550"/>
      <c r="N334" s="549"/>
      <c r="V334" s="674"/>
      <c r="W334" s="675"/>
      <c r="AC334" s="675"/>
      <c r="AD334" s="675"/>
      <c r="AE334" s="537" t="s">
        <v>416</v>
      </c>
      <c r="AF334" s="675"/>
      <c r="AG334" s="680"/>
    </row>
    <row r="335" spans="1:33" s="536" customFormat="1" ht="12" x14ac:dyDescent="0.2">
      <c r="A335" s="548"/>
      <c r="B335" s="552"/>
      <c r="C335" s="1822" t="s">
        <v>417</v>
      </c>
      <c r="D335" s="1822"/>
      <c r="E335" s="1822"/>
      <c r="F335" s="1822"/>
      <c r="G335" s="1822"/>
      <c r="H335" s="1822"/>
      <c r="I335" s="1822"/>
      <c r="J335" s="1822"/>
      <c r="K335" s="1822"/>
      <c r="L335" s="551">
        <v>2900.5</v>
      </c>
      <c r="M335" s="550"/>
      <c r="N335" s="549"/>
      <c r="V335" s="674"/>
      <c r="W335" s="675"/>
      <c r="AC335" s="675"/>
      <c r="AD335" s="675"/>
      <c r="AE335" s="537" t="s">
        <v>417</v>
      </c>
      <c r="AF335" s="675"/>
      <c r="AG335" s="680"/>
    </row>
    <row r="336" spans="1:33" s="536" customFormat="1" ht="12" x14ac:dyDescent="0.2">
      <c r="A336" s="548"/>
      <c r="B336" s="546"/>
      <c r="C336" s="1819" t="s">
        <v>2165</v>
      </c>
      <c r="D336" s="1819"/>
      <c r="E336" s="1819"/>
      <c r="F336" s="1819"/>
      <c r="G336" s="1819"/>
      <c r="H336" s="1819"/>
      <c r="I336" s="1819"/>
      <c r="J336" s="1819"/>
      <c r="K336" s="1819"/>
      <c r="L336" s="544">
        <v>146495.69</v>
      </c>
      <c r="M336" s="543"/>
      <c r="N336" s="681"/>
      <c r="V336" s="674"/>
      <c r="W336" s="675"/>
      <c r="AC336" s="675"/>
      <c r="AD336" s="675"/>
      <c r="AF336" s="675" t="s">
        <v>2165</v>
      </c>
      <c r="AG336" s="680"/>
    </row>
    <row r="337" spans="1:33" s="536" customFormat="1" ht="12" x14ac:dyDescent="0.2">
      <c r="A337" s="1824" t="s">
        <v>3347</v>
      </c>
      <c r="B337" s="1825"/>
      <c r="C337" s="1825"/>
      <c r="D337" s="1825"/>
      <c r="E337" s="1825"/>
      <c r="F337" s="1825"/>
      <c r="G337" s="1825"/>
      <c r="H337" s="1825"/>
      <c r="I337" s="1825"/>
      <c r="J337" s="1825"/>
      <c r="K337" s="1825"/>
      <c r="L337" s="1825"/>
      <c r="M337" s="1825"/>
      <c r="N337" s="1826"/>
      <c r="V337" s="674" t="s">
        <v>3347</v>
      </c>
      <c r="W337" s="675"/>
      <c r="AC337" s="675"/>
      <c r="AD337" s="675"/>
      <c r="AF337" s="675"/>
      <c r="AG337" s="680"/>
    </row>
    <row r="338" spans="1:33" s="536" customFormat="1" ht="12" x14ac:dyDescent="0.2">
      <c r="A338" s="575" t="s">
        <v>761</v>
      </c>
      <c r="B338" s="670" t="s">
        <v>2167</v>
      </c>
      <c r="C338" s="1823" t="s">
        <v>2168</v>
      </c>
      <c r="D338" s="1823"/>
      <c r="E338" s="1823"/>
      <c r="F338" s="573" t="s">
        <v>641</v>
      </c>
      <c r="G338" s="573"/>
      <c r="H338" s="573"/>
      <c r="I338" s="573" t="s">
        <v>807</v>
      </c>
      <c r="J338" s="572"/>
      <c r="K338" s="573"/>
      <c r="L338" s="572"/>
      <c r="M338" s="571"/>
      <c r="N338" s="570"/>
      <c r="V338" s="674"/>
      <c r="W338" s="675" t="s">
        <v>2168</v>
      </c>
      <c r="AC338" s="675"/>
      <c r="AD338" s="675"/>
      <c r="AF338" s="675"/>
      <c r="AG338" s="680"/>
    </row>
    <row r="339" spans="1:33" s="536" customFormat="1" ht="33.75" x14ac:dyDescent="0.2">
      <c r="A339" s="609"/>
      <c r="B339" s="552" t="s">
        <v>310</v>
      </c>
      <c r="C339" s="1822" t="s">
        <v>311</v>
      </c>
      <c r="D339" s="1822"/>
      <c r="E339" s="1822"/>
      <c r="F339" s="1822"/>
      <c r="G339" s="1822"/>
      <c r="H339" s="1822"/>
      <c r="I339" s="1822"/>
      <c r="J339" s="1822"/>
      <c r="K339" s="1822"/>
      <c r="L339" s="1822"/>
      <c r="M339" s="1822"/>
      <c r="N339" s="1827"/>
      <c r="V339" s="674"/>
      <c r="W339" s="675"/>
      <c r="Y339" s="537" t="s">
        <v>311</v>
      </c>
      <c r="AC339" s="675"/>
      <c r="AD339" s="675"/>
      <c r="AF339" s="675"/>
      <c r="AG339" s="680"/>
    </row>
    <row r="340" spans="1:33" s="536" customFormat="1" ht="12" x14ac:dyDescent="0.2">
      <c r="A340" s="605"/>
      <c r="B340" s="552" t="s">
        <v>185</v>
      </c>
      <c r="C340" s="1822" t="s">
        <v>312</v>
      </c>
      <c r="D340" s="1822"/>
      <c r="E340" s="1822"/>
      <c r="F340" s="562"/>
      <c r="G340" s="562"/>
      <c r="H340" s="562"/>
      <c r="I340" s="562"/>
      <c r="J340" s="604">
        <v>100.65</v>
      </c>
      <c r="K340" s="562" t="s">
        <v>313</v>
      </c>
      <c r="L340" s="604">
        <v>259.17</v>
      </c>
      <c r="M340" s="603"/>
      <c r="N340" s="602"/>
      <c r="V340" s="674"/>
      <c r="W340" s="675"/>
      <c r="Z340" s="537" t="s">
        <v>312</v>
      </c>
      <c r="AC340" s="675"/>
      <c r="AD340" s="675"/>
      <c r="AF340" s="675"/>
      <c r="AG340" s="680"/>
    </row>
    <row r="341" spans="1:33" s="536" customFormat="1" ht="12" x14ac:dyDescent="0.2">
      <c r="A341" s="605"/>
      <c r="B341" s="552" t="s">
        <v>186</v>
      </c>
      <c r="C341" s="1822" t="s">
        <v>344</v>
      </c>
      <c r="D341" s="1822"/>
      <c r="E341" s="1822"/>
      <c r="F341" s="562"/>
      <c r="G341" s="562"/>
      <c r="H341" s="562"/>
      <c r="I341" s="562"/>
      <c r="J341" s="604">
        <v>29.3</v>
      </c>
      <c r="K341" s="562" t="s">
        <v>313</v>
      </c>
      <c r="L341" s="604">
        <v>75.45</v>
      </c>
      <c r="M341" s="603"/>
      <c r="N341" s="602"/>
      <c r="V341" s="674"/>
      <c r="W341" s="675"/>
      <c r="Z341" s="537" t="s">
        <v>344</v>
      </c>
      <c r="AC341" s="675"/>
      <c r="AD341" s="675"/>
      <c r="AF341" s="675"/>
      <c r="AG341" s="680"/>
    </row>
    <row r="342" spans="1:33" s="536" customFormat="1" ht="12" x14ac:dyDescent="0.2">
      <c r="A342" s="605"/>
      <c r="B342" s="552" t="s">
        <v>187</v>
      </c>
      <c r="C342" s="1822" t="s">
        <v>345</v>
      </c>
      <c r="D342" s="1822"/>
      <c r="E342" s="1822"/>
      <c r="F342" s="562"/>
      <c r="G342" s="562"/>
      <c r="H342" s="562"/>
      <c r="I342" s="562"/>
      <c r="J342" s="604">
        <v>4.21</v>
      </c>
      <c r="K342" s="562" t="s">
        <v>313</v>
      </c>
      <c r="L342" s="604">
        <v>10.84</v>
      </c>
      <c r="M342" s="603"/>
      <c r="N342" s="602"/>
      <c r="V342" s="674"/>
      <c r="W342" s="675"/>
      <c r="Z342" s="537" t="s">
        <v>345</v>
      </c>
      <c r="AC342" s="675"/>
      <c r="AD342" s="675"/>
      <c r="AF342" s="675"/>
      <c r="AG342" s="680"/>
    </row>
    <row r="343" spans="1:33" s="536" customFormat="1" ht="12" x14ac:dyDescent="0.2">
      <c r="A343" s="605"/>
      <c r="B343" s="552" t="s">
        <v>188</v>
      </c>
      <c r="C343" s="1822" t="s">
        <v>475</v>
      </c>
      <c r="D343" s="1822"/>
      <c r="E343" s="1822"/>
      <c r="F343" s="562"/>
      <c r="G343" s="562"/>
      <c r="H343" s="562"/>
      <c r="I343" s="562"/>
      <c r="J343" s="604">
        <v>160.86000000000001</v>
      </c>
      <c r="K343" s="562"/>
      <c r="L343" s="604">
        <v>331.37</v>
      </c>
      <c r="M343" s="603"/>
      <c r="N343" s="602"/>
      <c r="V343" s="674"/>
      <c r="W343" s="675"/>
      <c r="Z343" s="537" t="s">
        <v>475</v>
      </c>
      <c r="AC343" s="675"/>
      <c r="AD343" s="675"/>
      <c r="AF343" s="675"/>
      <c r="AG343" s="680"/>
    </row>
    <row r="344" spans="1:33" s="536" customFormat="1" ht="12" x14ac:dyDescent="0.2">
      <c r="A344" s="605"/>
      <c r="B344" s="552"/>
      <c r="C344" s="1822" t="s">
        <v>314</v>
      </c>
      <c r="D344" s="1822"/>
      <c r="E344" s="1822"/>
      <c r="F344" s="562" t="s">
        <v>315</v>
      </c>
      <c r="G344" s="562" t="s">
        <v>2170</v>
      </c>
      <c r="H344" s="562" t="s">
        <v>313</v>
      </c>
      <c r="I344" s="562" t="s">
        <v>3348</v>
      </c>
      <c r="J344" s="604"/>
      <c r="K344" s="562"/>
      <c r="L344" s="604"/>
      <c r="M344" s="603"/>
      <c r="N344" s="602"/>
      <c r="V344" s="674"/>
      <c r="W344" s="675"/>
      <c r="AA344" s="537" t="s">
        <v>314</v>
      </c>
      <c r="AC344" s="675"/>
      <c r="AD344" s="675"/>
      <c r="AF344" s="675"/>
      <c r="AG344" s="680"/>
    </row>
    <row r="345" spans="1:33" s="536" customFormat="1" ht="12" x14ac:dyDescent="0.2">
      <c r="A345" s="605"/>
      <c r="B345" s="552"/>
      <c r="C345" s="1822" t="s">
        <v>348</v>
      </c>
      <c r="D345" s="1822"/>
      <c r="E345" s="1822"/>
      <c r="F345" s="562" t="s">
        <v>315</v>
      </c>
      <c r="G345" s="562" t="s">
        <v>2172</v>
      </c>
      <c r="H345" s="562" t="s">
        <v>313</v>
      </c>
      <c r="I345" s="562" t="s">
        <v>3349</v>
      </c>
      <c r="J345" s="604"/>
      <c r="K345" s="562"/>
      <c r="L345" s="604"/>
      <c r="M345" s="603"/>
      <c r="N345" s="602"/>
      <c r="V345" s="674"/>
      <c r="W345" s="675"/>
      <c r="AA345" s="537" t="s">
        <v>348</v>
      </c>
      <c r="AC345" s="675"/>
      <c r="AD345" s="675"/>
      <c r="AF345" s="675"/>
      <c r="AG345" s="680"/>
    </row>
    <row r="346" spans="1:33" s="536" customFormat="1" ht="12" x14ac:dyDescent="0.2">
      <c r="A346" s="605"/>
      <c r="B346" s="552"/>
      <c r="C346" s="1828" t="s">
        <v>318</v>
      </c>
      <c r="D346" s="1828"/>
      <c r="E346" s="1828"/>
      <c r="F346" s="608"/>
      <c r="G346" s="608"/>
      <c r="H346" s="608"/>
      <c r="I346" s="608"/>
      <c r="J346" s="607">
        <v>290.81</v>
      </c>
      <c r="K346" s="608"/>
      <c r="L346" s="607">
        <v>665.99</v>
      </c>
      <c r="M346" s="601"/>
      <c r="N346" s="606"/>
      <c r="V346" s="674"/>
      <c r="W346" s="675"/>
      <c r="AB346" s="537" t="s">
        <v>318</v>
      </c>
      <c r="AC346" s="675"/>
      <c r="AD346" s="675"/>
      <c r="AF346" s="675"/>
      <c r="AG346" s="680"/>
    </row>
    <row r="347" spans="1:33" s="536" customFormat="1" ht="12" x14ac:dyDescent="0.2">
      <c r="A347" s="605"/>
      <c r="B347" s="552"/>
      <c r="C347" s="1822" t="s">
        <v>319</v>
      </c>
      <c r="D347" s="1822"/>
      <c r="E347" s="1822"/>
      <c r="F347" s="562"/>
      <c r="G347" s="562"/>
      <c r="H347" s="562"/>
      <c r="I347" s="562"/>
      <c r="J347" s="604"/>
      <c r="K347" s="562"/>
      <c r="L347" s="604">
        <v>270.01</v>
      </c>
      <c r="M347" s="603"/>
      <c r="N347" s="602"/>
      <c r="V347" s="674"/>
      <c r="W347" s="675"/>
      <c r="AA347" s="537" t="s">
        <v>319</v>
      </c>
      <c r="AC347" s="675"/>
      <c r="AD347" s="675"/>
      <c r="AF347" s="675"/>
      <c r="AG347" s="680"/>
    </row>
    <row r="348" spans="1:33" s="536" customFormat="1" ht="33.75" x14ac:dyDescent="0.2">
      <c r="A348" s="605"/>
      <c r="B348" s="552" t="s">
        <v>849</v>
      </c>
      <c r="C348" s="1822" t="s">
        <v>850</v>
      </c>
      <c r="D348" s="1822"/>
      <c r="E348" s="1822"/>
      <c r="F348" s="562" t="s">
        <v>322</v>
      </c>
      <c r="G348" s="562" t="s">
        <v>851</v>
      </c>
      <c r="H348" s="562"/>
      <c r="I348" s="562" t="s">
        <v>851</v>
      </c>
      <c r="J348" s="604"/>
      <c r="K348" s="562"/>
      <c r="L348" s="604">
        <v>291.61</v>
      </c>
      <c r="M348" s="603"/>
      <c r="N348" s="602"/>
      <c r="V348" s="674"/>
      <c r="W348" s="675"/>
      <c r="AA348" s="537" t="s">
        <v>850</v>
      </c>
      <c r="AC348" s="675"/>
      <c r="AD348" s="675"/>
      <c r="AF348" s="675"/>
      <c r="AG348" s="680"/>
    </row>
    <row r="349" spans="1:33" s="536" customFormat="1" ht="33.75" x14ac:dyDescent="0.2">
      <c r="A349" s="605"/>
      <c r="B349" s="552" t="s">
        <v>852</v>
      </c>
      <c r="C349" s="1822" t="s">
        <v>853</v>
      </c>
      <c r="D349" s="1822"/>
      <c r="E349" s="1822"/>
      <c r="F349" s="562" t="s">
        <v>322</v>
      </c>
      <c r="G349" s="562" t="s">
        <v>789</v>
      </c>
      <c r="H349" s="562"/>
      <c r="I349" s="562" t="s">
        <v>789</v>
      </c>
      <c r="J349" s="604"/>
      <c r="K349" s="562"/>
      <c r="L349" s="604">
        <v>148.51</v>
      </c>
      <c r="M349" s="603"/>
      <c r="N349" s="602"/>
      <c r="V349" s="674"/>
      <c r="W349" s="675"/>
      <c r="AA349" s="537" t="s">
        <v>853</v>
      </c>
      <c r="AC349" s="675"/>
      <c r="AD349" s="675"/>
      <c r="AF349" s="675"/>
      <c r="AG349" s="680"/>
    </row>
    <row r="350" spans="1:33" s="536" customFormat="1" ht="12" x14ac:dyDescent="0.2">
      <c r="A350" s="569"/>
      <c r="B350" s="671"/>
      <c r="C350" s="1823" t="s">
        <v>327</v>
      </c>
      <c r="D350" s="1823"/>
      <c r="E350" s="1823"/>
      <c r="F350" s="573"/>
      <c r="G350" s="573"/>
      <c r="H350" s="573"/>
      <c r="I350" s="573"/>
      <c r="J350" s="572"/>
      <c r="K350" s="573"/>
      <c r="L350" s="572">
        <v>1106.1099999999999</v>
      </c>
      <c r="M350" s="601"/>
      <c r="N350" s="570"/>
      <c r="V350" s="674"/>
      <c r="W350" s="675"/>
      <c r="AC350" s="675" t="s">
        <v>327</v>
      </c>
      <c r="AD350" s="675"/>
      <c r="AF350" s="675"/>
      <c r="AG350" s="680"/>
    </row>
    <row r="351" spans="1:33" s="536" customFormat="1" ht="33.75" x14ac:dyDescent="0.2">
      <c r="A351" s="575" t="s">
        <v>762</v>
      </c>
      <c r="B351" s="670" t="s">
        <v>2174</v>
      </c>
      <c r="C351" s="1823" t="s">
        <v>2175</v>
      </c>
      <c r="D351" s="1823"/>
      <c r="E351" s="1823"/>
      <c r="F351" s="573" t="s">
        <v>641</v>
      </c>
      <c r="G351" s="573"/>
      <c r="H351" s="573"/>
      <c r="I351" s="573" t="s">
        <v>807</v>
      </c>
      <c r="J351" s="572">
        <v>1697.21</v>
      </c>
      <c r="K351" s="573"/>
      <c r="L351" s="572">
        <v>3496.25</v>
      </c>
      <c r="M351" s="571"/>
      <c r="N351" s="570"/>
      <c r="V351" s="674"/>
      <c r="W351" s="675" t="s">
        <v>2175</v>
      </c>
      <c r="AC351" s="675"/>
      <c r="AD351" s="675"/>
      <c r="AF351" s="675"/>
      <c r="AG351" s="680"/>
    </row>
    <row r="352" spans="1:33" s="536" customFormat="1" ht="12" x14ac:dyDescent="0.2">
      <c r="A352" s="569"/>
      <c r="B352" s="671"/>
      <c r="C352" s="665" t="s">
        <v>717</v>
      </c>
      <c r="D352" s="666"/>
      <c r="E352" s="666"/>
      <c r="F352" s="563"/>
      <c r="G352" s="563"/>
      <c r="H352" s="563"/>
      <c r="I352" s="563"/>
      <c r="J352" s="566"/>
      <c r="K352" s="563"/>
      <c r="L352" s="566"/>
      <c r="M352" s="565"/>
      <c r="N352" s="564"/>
      <c r="V352" s="674"/>
      <c r="W352" s="675"/>
      <c r="AC352" s="675"/>
      <c r="AD352" s="675"/>
      <c r="AF352" s="675"/>
      <c r="AG352" s="680"/>
    </row>
    <row r="353" spans="1:33" s="536" customFormat="1" ht="1.5" customHeight="1" x14ac:dyDescent="0.2">
      <c r="A353" s="563"/>
      <c r="B353" s="671"/>
      <c r="C353" s="671"/>
      <c r="D353" s="671"/>
      <c r="E353" s="671"/>
      <c r="F353" s="563"/>
      <c r="G353" s="563"/>
      <c r="H353" s="563"/>
      <c r="I353" s="563"/>
      <c r="J353" s="546"/>
      <c r="K353" s="563"/>
      <c r="L353" s="546"/>
      <c r="M353" s="562"/>
      <c r="N353" s="546"/>
      <c r="V353" s="674"/>
      <c r="W353" s="675"/>
      <c r="AC353" s="675"/>
      <c r="AD353" s="675"/>
      <c r="AF353" s="675"/>
      <c r="AG353" s="680"/>
    </row>
    <row r="354" spans="1:33" s="536" customFormat="1" ht="12" x14ac:dyDescent="0.2">
      <c r="A354" s="557"/>
      <c r="B354" s="556"/>
      <c r="C354" s="1823" t="s">
        <v>3350</v>
      </c>
      <c r="D354" s="1823"/>
      <c r="E354" s="1823"/>
      <c r="F354" s="1823"/>
      <c r="G354" s="1823"/>
      <c r="H354" s="1823"/>
      <c r="I354" s="1823"/>
      <c r="J354" s="1823"/>
      <c r="K354" s="1823"/>
      <c r="L354" s="555"/>
      <c r="M354" s="554"/>
      <c r="N354" s="553"/>
      <c r="V354" s="674"/>
      <c r="W354" s="675"/>
      <c r="AC354" s="675"/>
      <c r="AD354" s="675" t="s">
        <v>3350</v>
      </c>
      <c r="AF354" s="675"/>
      <c r="AG354" s="680"/>
    </row>
    <row r="355" spans="1:33" s="536" customFormat="1" ht="12" x14ac:dyDescent="0.2">
      <c r="A355" s="548"/>
      <c r="B355" s="552"/>
      <c r="C355" s="1822" t="s">
        <v>403</v>
      </c>
      <c r="D355" s="1822"/>
      <c r="E355" s="1822"/>
      <c r="F355" s="1822"/>
      <c r="G355" s="1822"/>
      <c r="H355" s="1822"/>
      <c r="I355" s="1822"/>
      <c r="J355" s="1822"/>
      <c r="K355" s="1822"/>
      <c r="L355" s="551">
        <v>4162.24</v>
      </c>
      <c r="M355" s="550"/>
      <c r="N355" s="549"/>
      <c r="V355" s="674"/>
      <c r="W355" s="675"/>
      <c r="AC355" s="675"/>
      <c r="AD355" s="675"/>
      <c r="AE355" s="537" t="s">
        <v>403</v>
      </c>
      <c r="AF355" s="675"/>
      <c r="AG355" s="680"/>
    </row>
    <row r="356" spans="1:33" s="536" customFormat="1" ht="12" x14ac:dyDescent="0.2">
      <c r="A356" s="548"/>
      <c r="B356" s="552"/>
      <c r="C356" s="1822" t="s">
        <v>204</v>
      </c>
      <c r="D356" s="1822"/>
      <c r="E356" s="1822"/>
      <c r="F356" s="1822"/>
      <c r="G356" s="1822"/>
      <c r="H356" s="1822"/>
      <c r="I356" s="1822"/>
      <c r="J356" s="1822"/>
      <c r="K356" s="1822"/>
      <c r="L356" s="551"/>
      <c r="M356" s="550"/>
      <c r="N356" s="549"/>
      <c r="V356" s="674"/>
      <c r="W356" s="675"/>
      <c r="AC356" s="675"/>
      <c r="AD356" s="675"/>
      <c r="AE356" s="537" t="s">
        <v>204</v>
      </c>
      <c r="AF356" s="675"/>
      <c r="AG356" s="680"/>
    </row>
    <row r="357" spans="1:33" s="536" customFormat="1" ht="12" x14ac:dyDescent="0.2">
      <c r="A357" s="548"/>
      <c r="B357" s="552"/>
      <c r="C357" s="1822" t="s">
        <v>404</v>
      </c>
      <c r="D357" s="1822"/>
      <c r="E357" s="1822"/>
      <c r="F357" s="1822"/>
      <c r="G357" s="1822"/>
      <c r="H357" s="1822"/>
      <c r="I357" s="1822"/>
      <c r="J357" s="1822"/>
      <c r="K357" s="1822"/>
      <c r="L357" s="551">
        <v>259.17</v>
      </c>
      <c r="M357" s="550"/>
      <c r="N357" s="549"/>
      <c r="V357" s="674"/>
      <c r="W357" s="675"/>
      <c r="AC357" s="675"/>
      <c r="AD357" s="675"/>
      <c r="AE357" s="537" t="s">
        <v>404</v>
      </c>
      <c r="AF357" s="675"/>
      <c r="AG357" s="680"/>
    </row>
    <row r="358" spans="1:33" s="536" customFormat="1" ht="12" x14ac:dyDescent="0.2">
      <c r="A358" s="548"/>
      <c r="B358" s="552"/>
      <c r="C358" s="1822" t="s">
        <v>405</v>
      </c>
      <c r="D358" s="1822"/>
      <c r="E358" s="1822"/>
      <c r="F358" s="1822"/>
      <c r="G358" s="1822"/>
      <c r="H358" s="1822"/>
      <c r="I358" s="1822"/>
      <c r="J358" s="1822"/>
      <c r="K358" s="1822"/>
      <c r="L358" s="551">
        <v>75.45</v>
      </c>
      <c r="M358" s="550"/>
      <c r="N358" s="549"/>
      <c r="V358" s="674"/>
      <c r="W358" s="675"/>
      <c r="AC358" s="675"/>
      <c r="AD358" s="675"/>
      <c r="AE358" s="537" t="s">
        <v>405</v>
      </c>
      <c r="AF358" s="675"/>
      <c r="AG358" s="680"/>
    </row>
    <row r="359" spans="1:33" s="536" customFormat="1" ht="12" x14ac:dyDescent="0.2">
      <c r="A359" s="548"/>
      <c r="B359" s="552"/>
      <c r="C359" s="1822" t="s">
        <v>406</v>
      </c>
      <c r="D359" s="1822"/>
      <c r="E359" s="1822"/>
      <c r="F359" s="1822"/>
      <c r="G359" s="1822"/>
      <c r="H359" s="1822"/>
      <c r="I359" s="1822"/>
      <c r="J359" s="1822"/>
      <c r="K359" s="1822"/>
      <c r="L359" s="551">
        <v>10.84</v>
      </c>
      <c r="M359" s="550"/>
      <c r="N359" s="549"/>
      <c r="V359" s="674"/>
      <c r="W359" s="675"/>
      <c r="AC359" s="675"/>
      <c r="AD359" s="675"/>
      <c r="AE359" s="537" t="s">
        <v>406</v>
      </c>
      <c r="AF359" s="675"/>
      <c r="AG359" s="680"/>
    </row>
    <row r="360" spans="1:33" s="536" customFormat="1" ht="12" x14ac:dyDescent="0.2">
      <c r="A360" s="548"/>
      <c r="B360" s="552"/>
      <c r="C360" s="1822" t="s">
        <v>480</v>
      </c>
      <c r="D360" s="1822"/>
      <c r="E360" s="1822"/>
      <c r="F360" s="1822"/>
      <c r="G360" s="1822"/>
      <c r="H360" s="1822"/>
      <c r="I360" s="1822"/>
      <c r="J360" s="1822"/>
      <c r="K360" s="1822"/>
      <c r="L360" s="551">
        <v>3827.62</v>
      </c>
      <c r="M360" s="550"/>
      <c r="N360" s="549"/>
      <c r="V360" s="674"/>
      <c r="W360" s="675"/>
      <c r="AC360" s="675"/>
      <c r="AD360" s="675"/>
      <c r="AE360" s="537" t="s">
        <v>480</v>
      </c>
      <c r="AF360" s="675"/>
      <c r="AG360" s="680"/>
    </row>
    <row r="361" spans="1:33" s="536" customFormat="1" ht="12" x14ac:dyDescent="0.2">
      <c r="A361" s="548"/>
      <c r="B361" s="552"/>
      <c r="C361" s="1822" t="s">
        <v>407</v>
      </c>
      <c r="D361" s="1822"/>
      <c r="E361" s="1822"/>
      <c r="F361" s="1822"/>
      <c r="G361" s="1822"/>
      <c r="H361" s="1822"/>
      <c r="I361" s="1822"/>
      <c r="J361" s="1822"/>
      <c r="K361" s="1822"/>
      <c r="L361" s="551">
        <v>4602.3599999999997</v>
      </c>
      <c r="M361" s="550"/>
      <c r="N361" s="549"/>
      <c r="V361" s="674"/>
      <c r="W361" s="675"/>
      <c r="AC361" s="675"/>
      <c r="AD361" s="675"/>
      <c r="AE361" s="537" t="s">
        <v>407</v>
      </c>
      <c r="AF361" s="675"/>
      <c r="AG361" s="680"/>
    </row>
    <row r="362" spans="1:33" s="536" customFormat="1" ht="12" x14ac:dyDescent="0.2">
      <c r="A362" s="548"/>
      <c r="B362" s="552"/>
      <c r="C362" s="1822" t="s">
        <v>204</v>
      </c>
      <c r="D362" s="1822"/>
      <c r="E362" s="1822"/>
      <c r="F362" s="1822"/>
      <c r="G362" s="1822"/>
      <c r="H362" s="1822"/>
      <c r="I362" s="1822"/>
      <c r="J362" s="1822"/>
      <c r="K362" s="1822"/>
      <c r="L362" s="551"/>
      <c r="M362" s="550"/>
      <c r="N362" s="549"/>
      <c r="V362" s="674"/>
      <c r="W362" s="675"/>
      <c r="AC362" s="675"/>
      <c r="AD362" s="675"/>
      <c r="AE362" s="537" t="s">
        <v>204</v>
      </c>
      <c r="AF362" s="675"/>
      <c r="AG362" s="680"/>
    </row>
    <row r="363" spans="1:33" s="536" customFormat="1" ht="12" x14ac:dyDescent="0.2">
      <c r="A363" s="548"/>
      <c r="B363" s="552"/>
      <c r="C363" s="1822" t="s">
        <v>546</v>
      </c>
      <c r="D363" s="1822"/>
      <c r="E363" s="1822"/>
      <c r="F363" s="1822"/>
      <c r="G363" s="1822"/>
      <c r="H363" s="1822"/>
      <c r="I363" s="1822"/>
      <c r="J363" s="1822"/>
      <c r="K363" s="1822"/>
      <c r="L363" s="551">
        <v>259.17</v>
      </c>
      <c r="M363" s="550"/>
      <c r="N363" s="549"/>
      <c r="V363" s="674"/>
      <c r="W363" s="675"/>
      <c r="AC363" s="675"/>
      <c r="AD363" s="675"/>
      <c r="AE363" s="537" t="s">
        <v>546</v>
      </c>
      <c r="AF363" s="675"/>
      <c r="AG363" s="680"/>
    </row>
    <row r="364" spans="1:33" s="536" customFormat="1" ht="12" x14ac:dyDescent="0.2">
      <c r="A364" s="548"/>
      <c r="B364" s="552"/>
      <c r="C364" s="1822" t="s">
        <v>442</v>
      </c>
      <c r="D364" s="1822"/>
      <c r="E364" s="1822"/>
      <c r="F364" s="1822"/>
      <c r="G364" s="1822"/>
      <c r="H364" s="1822"/>
      <c r="I364" s="1822"/>
      <c r="J364" s="1822"/>
      <c r="K364" s="1822"/>
      <c r="L364" s="551">
        <v>75.45</v>
      </c>
      <c r="M364" s="550"/>
      <c r="N364" s="549"/>
      <c r="V364" s="674"/>
      <c r="W364" s="675"/>
      <c r="AC364" s="675"/>
      <c r="AD364" s="675"/>
      <c r="AE364" s="537" t="s">
        <v>442</v>
      </c>
      <c r="AF364" s="675"/>
      <c r="AG364" s="680"/>
    </row>
    <row r="365" spans="1:33" s="536" customFormat="1" ht="12" x14ac:dyDescent="0.2">
      <c r="A365" s="548"/>
      <c r="B365" s="552"/>
      <c r="C365" s="1822" t="s">
        <v>547</v>
      </c>
      <c r="D365" s="1822"/>
      <c r="E365" s="1822"/>
      <c r="F365" s="1822"/>
      <c r="G365" s="1822"/>
      <c r="H365" s="1822"/>
      <c r="I365" s="1822"/>
      <c r="J365" s="1822"/>
      <c r="K365" s="1822"/>
      <c r="L365" s="551">
        <v>3827.62</v>
      </c>
      <c r="M365" s="550"/>
      <c r="N365" s="549"/>
      <c r="V365" s="674"/>
      <c r="W365" s="675"/>
      <c r="AC365" s="675"/>
      <c r="AD365" s="675"/>
      <c r="AE365" s="537" t="s">
        <v>547</v>
      </c>
      <c r="AF365" s="675"/>
      <c r="AG365" s="680"/>
    </row>
    <row r="366" spans="1:33" s="536" customFormat="1" ht="12" x14ac:dyDescent="0.2">
      <c r="A366" s="548"/>
      <c r="B366" s="552"/>
      <c r="C366" s="1822" t="s">
        <v>443</v>
      </c>
      <c r="D366" s="1822"/>
      <c r="E366" s="1822"/>
      <c r="F366" s="1822"/>
      <c r="G366" s="1822"/>
      <c r="H366" s="1822"/>
      <c r="I366" s="1822"/>
      <c r="J366" s="1822"/>
      <c r="K366" s="1822"/>
      <c r="L366" s="551">
        <v>291.61</v>
      </c>
      <c r="M366" s="550"/>
      <c r="N366" s="549"/>
      <c r="V366" s="674"/>
      <c r="W366" s="675"/>
      <c r="AC366" s="675"/>
      <c r="AD366" s="675"/>
      <c r="AE366" s="537" t="s">
        <v>443</v>
      </c>
      <c r="AF366" s="675"/>
      <c r="AG366" s="680"/>
    </row>
    <row r="367" spans="1:33" s="536" customFormat="1" ht="12" x14ac:dyDescent="0.2">
      <c r="A367" s="548"/>
      <c r="B367" s="552"/>
      <c r="C367" s="1822" t="s">
        <v>444</v>
      </c>
      <c r="D367" s="1822"/>
      <c r="E367" s="1822"/>
      <c r="F367" s="1822"/>
      <c r="G367" s="1822"/>
      <c r="H367" s="1822"/>
      <c r="I367" s="1822"/>
      <c r="J367" s="1822"/>
      <c r="K367" s="1822"/>
      <c r="L367" s="551">
        <v>148.51</v>
      </c>
      <c r="M367" s="550"/>
      <c r="N367" s="549"/>
      <c r="V367" s="674"/>
      <c r="W367" s="675"/>
      <c r="AC367" s="675"/>
      <c r="AD367" s="675"/>
      <c r="AE367" s="537" t="s">
        <v>444</v>
      </c>
      <c r="AF367" s="675"/>
      <c r="AG367" s="680"/>
    </row>
    <row r="368" spans="1:33" s="536" customFormat="1" ht="12" x14ac:dyDescent="0.2">
      <c r="A368" s="548"/>
      <c r="B368" s="552"/>
      <c r="C368" s="1822" t="s">
        <v>415</v>
      </c>
      <c r="D368" s="1822"/>
      <c r="E368" s="1822"/>
      <c r="F368" s="1822"/>
      <c r="G368" s="1822"/>
      <c r="H368" s="1822"/>
      <c r="I368" s="1822"/>
      <c r="J368" s="1822"/>
      <c r="K368" s="1822"/>
      <c r="L368" s="551">
        <v>270.01</v>
      </c>
      <c r="M368" s="550"/>
      <c r="N368" s="549"/>
      <c r="V368" s="674"/>
      <c r="W368" s="675"/>
      <c r="AC368" s="675"/>
      <c r="AD368" s="675"/>
      <c r="AE368" s="537" t="s">
        <v>415</v>
      </c>
      <c r="AF368" s="675"/>
      <c r="AG368" s="680"/>
    </row>
    <row r="369" spans="1:33" s="536" customFormat="1" ht="12" x14ac:dyDescent="0.2">
      <c r="A369" s="548"/>
      <c r="B369" s="552"/>
      <c r="C369" s="1822" t="s">
        <v>416</v>
      </c>
      <c r="D369" s="1822"/>
      <c r="E369" s="1822"/>
      <c r="F369" s="1822"/>
      <c r="G369" s="1822"/>
      <c r="H369" s="1822"/>
      <c r="I369" s="1822"/>
      <c r="J369" s="1822"/>
      <c r="K369" s="1822"/>
      <c r="L369" s="551">
        <v>291.61</v>
      </c>
      <c r="M369" s="550"/>
      <c r="N369" s="549"/>
      <c r="V369" s="674"/>
      <c r="W369" s="675"/>
      <c r="AC369" s="675"/>
      <c r="AD369" s="675"/>
      <c r="AE369" s="537" t="s">
        <v>416</v>
      </c>
      <c r="AF369" s="675"/>
      <c r="AG369" s="680"/>
    </row>
    <row r="370" spans="1:33" s="536" customFormat="1" ht="12" x14ac:dyDescent="0.2">
      <c r="A370" s="548"/>
      <c r="B370" s="552"/>
      <c r="C370" s="1822" t="s">
        <v>417</v>
      </c>
      <c r="D370" s="1822"/>
      <c r="E370" s="1822"/>
      <c r="F370" s="1822"/>
      <c r="G370" s="1822"/>
      <c r="H370" s="1822"/>
      <c r="I370" s="1822"/>
      <c r="J370" s="1822"/>
      <c r="K370" s="1822"/>
      <c r="L370" s="551">
        <v>148.51</v>
      </c>
      <c r="M370" s="550"/>
      <c r="N370" s="549"/>
      <c r="V370" s="674"/>
      <c r="W370" s="675"/>
      <c r="AC370" s="675"/>
      <c r="AD370" s="675"/>
      <c r="AE370" s="537" t="s">
        <v>417</v>
      </c>
      <c r="AF370" s="675"/>
      <c r="AG370" s="680"/>
    </row>
    <row r="371" spans="1:33" s="536" customFormat="1" ht="12" x14ac:dyDescent="0.2">
      <c r="A371" s="548"/>
      <c r="B371" s="546"/>
      <c r="C371" s="1819" t="s">
        <v>3351</v>
      </c>
      <c r="D371" s="1819"/>
      <c r="E371" s="1819"/>
      <c r="F371" s="1819"/>
      <c r="G371" s="1819"/>
      <c r="H371" s="1819"/>
      <c r="I371" s="1819"/>
      <c r="J371" s="1819"/>
      <c r="K371" s="1819"/>
      <c r="L371" s="544">
        <v>4602.3599999999997</v>
      </c>
      <c r="M371" s="543"/>
      <c r="N371" s="681"/>
      <c r="V371" s="674"/>
      <c r="W371" s="675"/>
      <c r="AC371" s="675"/>
      <c r="AD371" s="675"/>
      <c r="AF371" s="675" t="s">
        <v>3351</v>
      </c>
      <c r="AG371" s="680"/>
    </row>
    <row r="372" spans="1:33" s="536" customFormat="1" ht="12" x14ac:dyDescent="0.2">
      <c r="A372" s="1824" t="s">
        <v>2178</v>
      </c>
      <c r="B372" s="1825"/>
      <c r="C372" s="1825"/>
      <c r="D372" s="1825"/>
      <c r="E372" s="1825"/>
      <c r="F372" s="1825"/>
      <c r="G372" s="1825"/>
      <c r="H372" s="1825"/>
      <c r="I372" s="1825"/>
      <c r="J372" s="1825"/>
      <c r="K372" s="1825"/>
      <c r="L372" s="1825"/>
      <c r="M372" s="1825"/>
      <c r="N372" s="1826"/>
      <c r="V372" s="674" t="s">
        <v>2178</v>
      </c>
      <c r="W372" s="675"/>
      <c r="AC372" s="675"/>
      <c r="AD372" s="675"/>
      <c r="AF372" s="675"/>
      <c r="AG372" s="680"/>
    </row>
    <row r="373" spans="1:33" s="536" customFormat="1" ht="78.75" x14ac:dyDescent="0.2">
      <c r="A373" s="575" t="s">
        <v>763</v>
      </c>
      <c r="B373" s="670" t="s">
        <v>1497</v>
      </c>
      <c r="C373" s="1823" t="s">
        <v>1498</v>
      </c>
      <c r="D373" s="1823"/>
      <c r="E373" s="1823"/>
      <c r="F373" s="573" t="s">
        <v>201</v>
      </c>
      <c r="G373" s="573"/>
      <c r="H373" s="573"/>
      <c r="I373" s="573" t="s">
        <v>3352</v>
      </c>
      <c r="J373" s="572">
        <v>76.88</v>
      </c>
      <c r="K373" s="573"/>
      <c r="L373" s="572">
        <v>1308.6400000000001</v>
      </c>
      <c r="M373" s="571"/>
      <c r="N373" s="570"/>
      <c r="V373" s="674"/>
      <c r="W373" s="675" t="s">
        <v>1498</v>
      </c>
      <c r="AC373" s="675"/>
      <c r="AD373" s="675"/>
      <c r="AF373" s="675"/>
      <c r="AG373" s="680"/>
    </row>
    <row r="374" spans="1:33" s="536" customFormat="1" ht="12" x14ac:dyDescent="0.2">
      <c r="A374" s="569"/>
      <c r="B374" s="671"/>
      <c r="C374" s="665" t="s">
        <v>717</v>
      </c>
      <c r="D374" s="666"/>
      <c r="E374" s="666"/>
      <c r="F374" s="563"/>
      <c r="G374" s="563"/>
      <c r="H374" s="563"/>
      <c r="I374" s="563"/>
      <c r="J374" s="566"/>
      <c r="K374" s="563"/>
      <c r="L374" s="566"/>
      <c r="M374" s="565"/>
      <c r="N374" s="564"/>
      <c r="V374" s="674"/>
      <c r="W374" s="675"/>
      <c r="AC374" s="675"/>
      <c r="AD374" s="675"/>
      <c r="AF374" s="675"/>
      <c r="AG374" s="680"/>
    </row>
    <row r="375" spans="1:33" s="536" customFormat="1" ht="12" x14ac:dyDescent="0.2">
      <c r="A375" s="676"/>
      <c r="B375" s="664"/>
      <c r="C375" s="1822" t="s">
        <v>3353</v>
      </c>
      <c r="D375" s="1822"/>
      <c r="E375" s="1822"/>
      <c r="F375" s="1822"/>
      <c r="G375" s="1822"/>
      <c r="H375" s="1822"/>
      <c r="I375" s="1822"/>
      <c r="J375" s="1822"/>
      <c r="K375" s="1822"/>
      <c r="L375" s="1822"/>
      <c r="M375" s="1822"/>
      <c r="N375" s="1827"/>
      <c r="V375" s="674"/>
      <c r="W375" s="675"/>
      <c r="X375" s="537" t="s">
        <v>3353</v>
      </c>
      <c r="AC375" s="675"/>
      <c r="AD375" s="675"/>
      <c r="AF375" s="675"/>
      <c r="AG375" s="680"/>
    </row>
    <row r="376" spans="1:33" s="536" customFormat="1" ht="78.75" x14ac:dyDescent="0.2">
      <c r="A376" s="575" t="s">
        <v>922</v>
      </c>
      <c r="B376" s="670" t="s">
        <v>1338</v>
      </c>
      <c r="C376" s="1823" t="s">
        <v>2182</v>
      </c>
      <c r="D376" s="1823"/>
      <c r="E376" s="1823"/>
      <c r="F376" s="573" t="s">
        <v>201</v>
      </c>
      <c r="G376" s="573"/>
      <c r="H376" s="573"/>
      <c r="I376" s="573" t="s">
        <v>3354</v>
      </c>
      <c r="J376" s="572">
        <v>90.45</v>
      </c>
      <c r="K376" s="573"/>
      <c r="L376" s="572">
        <v>127.62</v>
      </c>
      <c r="M376" s="571"/>
      <c r="N376" s="570"/>
      <c r="V376" s="674"/>
      <c r="W376" s="675" t="s">
        <v>2182</v>
      </c>
      <c r="AC376" s="675"/>
      <c r="AD376" s="675"/>
      <c r="AF376" s="675"/>
      <c r="AG376" s="680"/>
    </row>
    <row r="377" spans="1:33" s="536" customFormat="1" ht="12" x14ac:dyDescent="0.2">
      <c r="A377" s="569"/>
      <c r="B377" s="671"/>
      <c r="C377" s="665" t="s">
        <v>717</v>
      </c>
      <c r="D377" s="666"/>
      <c r="E377" s="666"/>
      <c r="F377" s="563"/>
      <c r="G377" s="563"/>
      <c r="H377" s="563"/>
      <c r="I377" s="563"/>
      <c r="J377" s="566"/>
      <c r="K377" s="563"/>
      <c r="L377" s="566"/>
      <c r="M377" s="565"/>
      <c r="N377" s="564"/>
      <c r="V377" s="674"/>
      <c r="W377" s="675"/>
      <c r="AC377" s="675"/>
      <c r="AD377" s="675"/>
      <c r="AF377" s="675"/>
      <c r="AG377" s="680"/>
    </row>
    <row r="378" spans="1:33" s="536" customFormat="1" ht="12" x14ac:dyDescent="0.2">
      <c r="A378" s="676"/>
      <c r="B378" s="664"/>
      <c r="C378" s="1822" t="s">
        <v>3355</v>
      </c>
      <c r="D378" s="1822"/>
      <c r="E378" s="1822"/>
      <c r="F378" s="1822"/>
      <c r="G378" s="1822"/>
      <c r="H378" s="1822"/>
      <c r="I378" s="1822"/>
      <c r="J378" s="1822"/>
      <c r="K378" s="1822"/>
      <c r="L378" s="1822"/>
      <c r="M378" s="1822"/>
      <c r="N378" s="1827"/>
      <c r="V378" s="674"/>
      <c r="W378" s="675"/>
      <c r="X378" s="537" t="s">
        <v>3355</v>
      </c>
      <c r="AC378" s="675"/>
      <c r="AD378" s="675"/>
      <c r="AF378" s="675"/>
      <c r="AG378" s="680"/>
    </row>
    <row r="379" spans="1:33" s="536" customFormat="1" ht="67.5" x14ac:dyDescent="0.2">
      <c r="A379" s="575" t="s">
        <v>765</v>
      </c>
      <c r="B379" s="670" t="s">
        <v>1503</v>
      </c>
      <c r="C379" s="1823" t="s">
        <v>1504</v>
      </c>
      <c r="D379" s="1823"/>
      <c r="E379" s="1823"/>
      <c r="F379" s="573" t="s">
        <v>201</v>
      </c>
      <c r="G379" s="573"/>
      <c r="H379" s="573"/>
      <c r="I379" s="573" t="s">
        <v>2219</v>
      </c>
      <c r="J379" s="572">
        <v>127.09</v>
      </c>
      <c r="K379" s="573"/>
      <c r="L379" s="572">
        <v>9.5299999999999994</v>
      </c>
      <c r="M379" s="571"/>
      <c r="N379" s="570"/>
      <c r="V379" s="674"/>
      <c r="W379" s="675" t="s">
        <v>1504</v>
      </c>
      <c r="AC379" s="675"/>
      <c r="AD379" s="675"/>
      <c r="AF379" s="675"/>
      <c r="AG379" s="680"/>
    </row>
    <row r="380" spans="1:33" s="536" customFormat="1" ht="12" x14ac:dyDescent="0.2">
      <c r="A380" s="569"/>
      <c r="B380" s="671"/>
      <c r="C380" s="665" t="s">
        <v>717</v>
      </c>
      <c r="D380" s="666"/>
      <c r="E380" s="666"/>
      <c r="F380" s="563"/>
      <c r="G380" s="563"/>
      <c r="H380" s="563"/>
      <c r="I380" s="563"/>
      <c r="J380" s="566"/>
      <c r="K380" s="563"/>
      <c r="L380" s="566"/>
      <c r="M380" s="565"/>
      <c r="N380" s="564"/>
      <c r="V380" s="674"/>
      <c r="W380" s="675"/>
      <c r="AC380" s="675"/>
      <c r="AD380" s="675"/>
      <c r="AF380" s="675"/>
      <c r="AG380" s="680"/>
    </row>
    <row r="381" spans="1:33" s="536" customFormat="1" ht="1.5" customHeight="1" x14ac:dyDescent="0.2">
      <c r="A381" s="563"/>
      <c r="B381" s="671"/>
      <c r="C381" s="671"/>
      <c r="D381" s="671"/>
      <c r="E381" s="671"/>
      <c r="F381" s="563"/>
      <c r="G381" s="563"/>
      <c r="H381" s="563"/>
      <c r="I381" s="563"/>
      <c r="J381" s="546"/>
      <c r="K381" s="563"/>
      <c r="L381" s="546"/>
      <c r="M381" s="562"/>
      <c r="N381" s="546"/>
      <c r="V381" s="674"/>
      <c r="W381" s="675"/>
      <c r="AC381" s="675"/>
      <c r="AD381" s="675"/>
      <c r="AF381" s="675"/>
      <c r="AG381" s="680"/>
    </row>
    <row r="382" spans="1:33" s="536" customFormat="1" ht="22.5" x14ac:dyDescent="0.2">
      <c r="A382" s="557"/>
      <c r="B382" s="556"/>
      <c r="C382" s="1823" t="s">
        <v>2185</v>
      </c>
      <c r="D382" s="1823"/>
      <c r="E382" s="1823"/>
      <c r="F382" s="1823"/>
      <c r="G382" s="1823"/>
      <c r="H382" s="1823"/>
      <c r="I382" s="1823"/>
      <c r="J382" s="1823"/>
      <c r="K382" s="1823"/>
      <c r="L382" s="555"/>
      <c r="M382" s="554"/>
      <c r="N382" s="553"/>
      <c r="V382" s="674"/>
      <c r="W382" s="675"/>
      <c r="AC382" s="675"/>
      <c r="AD382" s="675" t="s">
        <v>2185</v>
      </c>
      <c r="AF382" s="675"/>
      <c r="AG382" s="680"/>
    </row>
    <row r="383" spans="1:33" s="536" customFormat="1" ht="12" x14ac:dyDescent="0.2">
      <c r="A383" s="548"/>
      <c r="B383" s="552"/>
      <c r="C383" s="1822" t="s">
        <v>403</v>
      </c>
      <c r="D383" s="1822"/>
      <c r="E383" s="1822"/>
      <c r="F383" s="1822"/>
      <c r="G383" s="1822"/>
      <c r="H383" s="1822"/>
      <c r="I383" s="1822"/>
      <c r="J383" s="1822"/>
      <c r="K383" s="1822"/>
      <c r="L383" s="551">
        <v>1445.79</v>
      </c>
      <c r="M383" s="550"/>
      <c r="N383" s="549"/>
      <c r="V383" s="674"/>
      <c r="W383" s="675"/>
      <c r="AC383" s="675"/>
      <c r="AD383" s="675"/>
      <c r="AE383" s="537" t="s">
        <v>403</v>
      </c>
      <c r="AF383" s="675"/>
      <c r="AG383" s="680"/>
    </row>
    <row r="384" spans="1:33" s="536" customFormat="1" ht="12" x14ac:dyDescent="0.2">
      <c r="A384" s="548"/>
      <c r="B384" s="552"/>
      <c r="C384" s="1822" t="s">
        <v>204</v>
      </c>
      <c r="D384" s="1822"/>
      <c r="E384" s="1822"/>
      <c r="F384" s="1822"/>
      <c r="G384" s="1822"/>
      <c r="H384" s="1822"/>
      <c r="I384" s="1822"/>
      <c r="J384" s="1822"/>
      <c r="K384" s="1822"/>
      <c r="L384" s="551"/>
      <c r="M384" s="550"/>
      <c r="N384" s="549"/>
      <c r="V384" s="674"/>
      <c r="W384" s="675"/>
      <c r="AC384" s="675"/>
      <c r="AD384" s="675"/>
      <c r="AE384" s="537" t="s">
        <v>204</v>
      </c>
      <c r="AF384" s="675"/>
      <c r="AG384" s="680"/>
    </row>
    <row r="385" spans="1:36" s="536" customFormat="1" ht="12" x14ac:dyDescent="0.2">
      <c r="A385" s="548"/>
      <c r="B385" s="552"/>
      <c r="C385" s="1822" t="s">
        <v>480</v>
      </c>
      <c r="D385" s="1822"/>
      <c r="E385" s="1822"/>
      <c r="F385" s="1822"/>
      <c r="G385" s="1822"/>
      <c r="H385" s="1822"/>
      <c r="I385" s="1822"/>
      <c r="J385" s="1822"/>
      <c r="K385" s="1822"/>
      <c r="L385" s="551">
        <v>1445.79</v>
      </c>
      <c r="M385" s="550"/>
      <c r="N385" s="549"/>
      <c r="V385" s="674"/>
      <c r="W385" s="675"/>
      <c r="AC385" s="675"/>
      <c r="AD385" s="675"/>
      <c r="AE385" s="537" t="s">
        <v>480</v>
      </c>
      <c r="AF385" s="675"/>
      <c r="AG385" s="680"/>
    </row>
    <row r="386" spans="1:36" s="536" customFormat="1" ht="12" x14ac:dyDescent="0.2">
      <c r="A386" s="548"/>
      <c r="B386" s="552"/>
      <c r="C386" s="1822" t="s">
        <v>407</v>
      </c>
      <c r="D386" s="1822"/>
      <c r="E386" s="1822"/>
      <c r="F386" s="1822"/>
      <c r="G386" s="1822"/>
      <c r="H386" s="1822"/>
      <c r="I386" s="1822"/>
      <c r="J386" s="1822"/>
      <c r="K386" s="1822"/>
      <c r="L386" s="551">
        <v>1445.79</v>
      </c>
      <c r="M386" s="550"/>
      <c r="N386" s="549"/>
      <c r="V386" s="674"/>
      <c r="W386" s="675"/>
      <c r="AC386" s="675"/>
      <c r="AD386" s="675"/>
      <c r="AE386" s="537" t="s">
        <v>407</v>
      </c>
      <c r="AF386" s="675"/>
      <c r="AG386" s="680"/>
    </row>
    <row r="387" spans="1:36" s="536" customFormat="1" ht="12" x14ac:dyDescent="0.2">
      <c r="A387" s="548"/>
      <c r="B387" s="552"/>
      <c r="C387" s="1822" t="s">
        <v>204</v>
      </c>
      <c r="D387" s="1822"/>
      <c r="E387" s="1822"/>
      <c r="F387" s="1822"/>
      <c r="G387" s="1822"/>
      <c r="H387" s="1822"/>
      <c r="I387" s="1822"/>
      <c r="J387" s="1822"/>
      <c r="K387" s="1822"/>
      <c r="L387" s="551"/>
      <c r="M387" s="550"/>
      <c r="N387" s="549"/>
      <c r="V387" s="674"/>
      <c r="W387" s="675"/>
      <c r="AC387" s="675"/>
      <c r="AD387" s="675"/>
      <c r="AE387" s="537" t="s">
        <v>204</v>
      </c>
      <c r="AF387" s="675"/>
      <c r="AG387" s="680"/>
    </row>
    <row r="388" spans="1:36" s="536" customFormat="1" ht="12" x14ac:dyDescent="0.2">
      <c r="A388" s="548"/>
      <c r="B388" s="552"/>
      <c r="C388" s="1822" t="s">
        <v>547</v>
      </c>
      <c r="D388" s="1822"/>
      <c r="E388" s="1822"/>
      <c r="F388" s="1822"/>
      <c r="G388" s="1822"/>
      <c r="H388" s="1822"/>
      <c r="I388" s="1822"/>
      <c r="J388" s="1822"/>
      <c r="K388" s="1822"/>
      <c r="L388" s="551">
        <v>1445.79</v>
      </c>
      <c r="M388" s="550"/>
      <c r="N388" s="549"/>
      <c r="V388" s="674"/>
      <c r="W388" s="675"/>
      <c r="AC388" s="675"/>
      <c r="AD388" s="675"/>
      <c r="AE388" s="537" t="s">
        <v>547</v>
      </c>
      <c r="AF388" s="675"/>
      <c r="AG388" s="680"/>
    </row>
    <row r="389" spans="1:36" s="536" customFormat="1" ht="22.5" x14ac:dyDescent="0.2">
      <c r="A389" s="548"/>
      <c r="B389" s="546"/>
      <c r="C389" s="1819" t="s">
        <v>2186</v>
      </c>
      <c r="D389" s="1819"/>
      <c r="E389" s="1819"/>
      <c r="F389" s="1819"/>
      <c r="G389" s="1819"/>
      <c r="H389" s="1819"/>
      <c r="I389" s="1819"/>
      <c r="J389" s="1819"/>
      <c r="K389" s="1819"/>
      <c r="L389" s="544">
        <v>1445.79</v>
      </c>
      <c r="M389" s="543"/>
      <c r="N389" s="681"/>
      <c r="V389" s="674"/>
      <c r="W389" s="675"/>
      <c r="AC389" s="675"/>
      <c r="AD389" s="675"/>
      <c r="AF389" s="675" t="s">
        <v>2186</v>
      </c>
      <c r="AG389" s="680"/>
    </row>
    <row r="390" spans="1:36" s="536" customFormat="1" ht="2.25" customHeight="1" x14ac:dyDescent="0.2">
      <c r="B390" s="561"/>
      <c r="C390" s="561"/>
      <c r="D390" s="561"/>
      <c r="E390" s="561"/>
      <c r="F390" s="561"/>
      <c r="G390" s="561"/>
      <c r="H390" s="561"/>
      <c r="I390" s="561"/>
      <c r="J390" s="561"/>
      <c r="K390" s="561"/>
      <c r="L390" s="560"/>
      <c r="M390" s="559"/>
      <c r="N390" s="558"/>
    </row>
    <row r="391" spans="1:36" s="536" customFormat="1" x14ac:dyDescent="0.2">
      <c r="A391" s="557"/>
      <c r="B391" s="556"/>
      <c r="C391" s="1823" t="s">
        <v>205</v>
      </c>
      <c r="D391" s="1823"/>
      <c r="E391" s="1823"/>
      <c r="F391" s="1823"/>
      <c r="G391" s="1823"/>
      <c r="H391" s="1823"/>
      <c r="I391" s="1823"/>
      <c r="J391" s="1823"/>
      <c r="K391" s="1823"/>
      <c r="L391" s="555"/>
      <c r="M391" s="554"/>
      <c r="N391" s="553"/>
      <c r="AI391" s="675" t="s">
        <v>205</v>
      </c>
    </row>
    <row r="392" spans="1:36" s="536" customFormat="1" x14ac:dyDescent="0.2">
      <c r="A392" s="548"/>
      <c r="B392" s="552"/>
      <c r="C392" s="1822" t="s">
        <v>403</v>
      </c>
      <c r="D392" s="1822"/>
      <c r="E392" s="1822"/>
      <c r="F392" s="1822"/>
      <c r="G392" s="1822"/>
      <c r="H392" s="1822"/>
      <c r="I392" s="1822"/>
      <c r="J392" s="1822"/>
      <c r="K392" s="1822"/>
      <c r="L392" s="551">
        <v>223934.47</v>
      </c>
      <c r="M392" s="550"/>
      <c r="N392" s="549"/>
      <c r="AI392" s="675"/>
      <c r="AJ392" s="537" t="s">
        <v>403</v>
      </c>
    </row>
    <row r="393" spans="1:36" s="536" customFormat="1" x14ac:dyDescent="0.2">
      <c r="A393" s="548"/>
      <c r="B393" s="552"/>
      <c r="C393" s="1822" t="s">
        <v>204</v>
      </c>
      <c r="D393" s="1822"/>
      <c r="E393" s="1822"/>
      <c r="F393" s="1822"/>
      <c r="G393" s="1822"/>
      <c r="H393" s="1822"/>
      <c r="I393" s="1822"/>
      <c r="J393" s="1822"/>
      <c r="K393" s="1822"/>
      <c r="L393" s="551"/>
      <c r="M393" s="550"/>
      <c r="N393" s="549"/>
      <c r="AI393" s="675"/>
      <c r="AJ393" s="537" t="s">
        <v>204</v>
      </c>
    </row>
    <row r="394" spans="1:36" s="536" customFormat="1" x14ac:dyDescent="0.2">
      <c r="A394" s="548"/>
      <c r="B394" s="552"/>
      <c r="C394" s="1822" t="s">
        <v>404</v>
      </c>
      <c r="D394" s="1822"/>
      <c r="E394" s="1822"/>
      <c r="F394" s="1822"/>
      <c r="G394" s="1822"/>
      <c r="H394" s="1822"/>
      <c r="I394" s="1822"/>
      <c r="J394" s="1822"/>
      <c r="K394" s="1822"/>
      <c r="L394" s="551">
        <v>6026.7</v>
      </c>
      <c r="M394" s="550"/>
      <c r="N394" s="549"/>
      <c r="AI394" s="675"/>
      <c r="AJ394" s="537" t="s">
        <v>404</v>
      </c>
    </row>
    <row r="395" spans="1:36" s="536" customFormat="1" x14ac:dyDescent="0.2">
      <c r="A395" s="548"/>
      <c r="B395" s="552"/>
      <c r="C395" s="1822" t="s">
        <v>405</v>
      </c>
      <c r="D395" s="1822"/>
      <c r="E395" s="1822"/>
      <c r="F395" s="1822"/>
      <c r="G395" s="1822"/>
      <c r="H395" s="1822"/>
      <c r="I395" s="1822"/>
      <c r="J395" s="1822"/>
      <c r="K395" s="1822"/>
      <c r="L395" s="551">
        <v>10980.42</v>
      </c>
      <c r="M395" s="550"/>
      <c r="N395" s="549"/>
      <c r="AI395" s="675"/>
      <c r="AJ395" s="537" t="s">
        <v>405</v>
      </c>
    </row>
    <row r="396" spans="1:36" s="536" customFormat="1" x14ac:dyDescent="0.2">
      <c r="A396" s="548"/>
      <c r="B396" s="552"/>
      <c r="C396" s="1822" t="s">
        <v>406</v>
      </c>
      <c r="D396" s="1822"/>
      <c r="E396" s="1822"/>
      <c r="F396" s="1822"/>
      <c r="G396" s="1822"/>
      <c r="H396" s="1822"/>
      <c r="I396" s="1822"/>
      <c r="J396" s="1822"/>
      <c r="K396" s="1822"/>
      <c r="L396" s="551">
        <v>1195.33</v>
      </c>
      <c r="M396" s="550"/>
      <c r="N396" s="549"/>
      <c r="AI396" s="675"/>
      <c r="AJ396" s="537" t="s">
        <v>406</v>
      </c>
    </row>
    <row r="397" spans="1:36" s="536" customFormat="1" x14ac:dyDescent="0.2">
      <c r="A397" s="548"/>
      <c r="B397" s="552"/>
      <c r="C397" s="1822" t="s">
        <v>480</v>
      </c>
      <c r="D397" s="1822"/>
      <c r="E397" s="1822"/>
      <c r="F397" s="1822"/>
      <c r="G397" s="1822"/>
      <c r="H397" s="1822"/>
      <c r="I397" s="1822"/>
      <c r="J397" s="1822"/>
      <c r="K397" s="1822"/>
      <c r="L397" s="551">
        <v>206927.35</v>
      </c>
      <c r="M397" s="550"/>
      <c r="N397" s="549"/>
      <c r="AI397" s="675"/>
      <c r="AJ397" s="537" t="s">
        <v>480</v>
      </c>
    </row>
    <row r="398" spans="1:36" s="536" customFormat="1" x14ac:dyDescent="0.2">
      <c r="A398" s="548"/>
      <c r="B398" s="552"/>
      <c r="C398" s="1822" t="s">
        <v>407</v>
      </c>
      <c r="D398" s="1822"/>
      <c r="E398" s="1822"/>
      <c r="F398" s="1822"/>
      <c r="G398" s="1822"/>
      <c r="H398" s="1822"/>
      <c r="I398" s="1822"/>
      <c r="J398" s="1822"/>
      <c r="K398" s="1822"/>
      <c r="L398" s="551">
        <v>235264.52</v>
      </c>
      <c r="M398" s="550"/>
      <c r="N398" s="549">
        <v>1957401</v>
      </c>
      <c r="AI398" s="675"/>
      <c r="AJ398" s="537" t="s">
        <v>407</v>
      </c>
    </row>
    <row r="399" spans="1:36" s="536" customFormat="1" x14ac:dyDescent="0.2">
      <c r="A399" s="548"/>
      <c r="B399" s="552" t="s">
        <v>185</v>
      </c>
      <c r="C399" s="1822" t="s">
        <v>408</v>
      </c>
      <c r="D399" s="1822"/>
      <c r="E399" s="1822"/>
      <c r="F399" s="1822"/>
      <c r="G399" s="1822"/>
      <c r="H399" s="1822"/>
      <c r="I399" s="1822"/>
      <c r="J399" s="1822"/>
      <c r="K399" s="1822"/>
      <c r="L399" s="551">
        <v>234829.68</v>
      </c>
      <c r="M399" s="550">
        <v>8.32</v>
      </c>
      <c r="N399" s="549">
        <v>1953783</v>
      </c>
      <c r="AI399" s="675"/>
      <c r="AJ399" s="537" t="s">
        <v>408</v>
      </c>
    </row>
    <row r="400" spans="1:36" s="536" customFormat="1" x14ac:dyDescent="0.2">
      <c r="A400" s="548"/>
      <c r="B400" s="552"/>
      <c r="C400" s="1822" t="s">
        <v>409</v>
      </c>
      <c r="D400" s="1822"/>
      <c r="E400" s="1822"/>
      <c r="F400" s="1822"/>
      <c r="G400" s="1822"/>
      <c r="H400" s="1822"/>
      <c r="I400" s="1822"/>
      <c r="J400" s="1822"/>
      <c r="K400" s="1822"/>
      <c r="L400" s="551"/>
      <c r="M400" s="550"/>
      <c r="N400" s="549"/>
      <c r="AI400" s="675"/>
      <c r="AJ400" s="537" t="s">
        <v>409</v>
      </c>
    </row>
    <row r="401" spans="1:37" x14ac:dyDescent="0.2">
      <c r="A401" s="548"/>
      <c r="B401" s="552"/>
      <c r="C401" s="1822" t="s">
        <v>410</v>
      </c>
      <c r="D401" s="1822"/>
      <c r="E401" s="1822"/>
      <c r="F401" s="1822"/>
      <c r="G401" s="1822"/>
      <c r="H401" s="1822"/>
      <c r="I401" s="1822"/>
      <c r="J401" s="1822"/>
      <c r="K401" s="1822"/>
      <c r="L401" s="551">
        <v>6026.7</v>
      </c>
      <c r="M401" s="550"/>
      <c r="N401" s="549"/>
      <c r="P401" s="536"/>
      <c r="Q401" s="536"/>
      <c r="R401" s="536"/>
      <c r="S401" s="536"/>
      <c r="T401" s="536"/>
      <c r="U401" s="536"/>
      <c r="V401" s="536"/>
      <c r="W401" s="536"/>
      <c r="X401" s="536"/>
      <c r="Y401" s="536"/>
      <c r="Z401" s="536"/>
      <c r="AA401" s="536"/>
      <c r="AB401" s="536"/>
      <c r="AC401" s="536"/>
      <c r="AD401" s="536"/>
      <c r="AE401" s="536"/>
      <c r="AF401" s="536"/>
      <c r="AG401" s="536"/>
      <c r="AH401" s="536"/>
      <c r="AI401" s="675"/>
      <c r="AJ401" s="537" t="s">
        <v>410</v>
      </c>
      <c r="AK401" s="536"/>
    </row>
    <row r="402" spans="1:37" x14ac:dyDescent="0.2">
      <c r="A402" s="548"/>
      <c r="B402" s="552"/>
      <c r="C402" s="1822" t="s">
        <v>411</v>
      </c>
      <c r="D402" s="1822"/>
      <c r="E402" s="1822"/>
      <c r="F402" s="1822"/>
      <c r="G402" s="1822"/>
      <c r="H402" s="1822"/>
      <c r="I402" s="1822"/>
      <c r="J402" s="1822"/>
      <c r="K402" s="1822"/>
      <c r="L402" s="551">
        <v>10545.58</v>
      </c>
      <c r="M402" s="550"/>
      <c r="N402" s="549"/>
      <c r="P402" s="536"/>
      <c r="Q402" s="536"/>
      <c r="R402" s="536"/>
      <c r="S402" s="536"/>
      <c r="T402" s="536"/>
      <c r="U402" s="536"/>
      <c r="V402" s="536"/>
      <c r="W402" s="536"/>
      <c r="X402" s="536"/>
      <c r="Y402" s="536"/>
      <c r="Z402" s="536"/>
      <c r="AA402" s="536"/>
      <c r="AB402" s="536"/>
      <c r="AC402" s="536"/>
      <c r="AD402" s="536"/>
      <c r="AE402" s="536"/>
      <c r="AF402" s="536"/>
      <c r="AG402" s="536"/>
      <c r="AH402" s="536"/>
      <c r="AI402" s="675"/>
      <c r="AJ402" s="537" t="s">
        <v>411</v>
      </c>
      <c r="AK402" s="536"/>
    </row>
    <row r="403" spans="1:37" x14ac:dyDescent="0.2">
      <c r="A403" s="548"/>
      <c r="B403" s="552"/>
      <c r="C403" s="1822" t="s">
        <v>481</v>
      </c>
      <c r="D403" s="1822"/>
      <c r="E403" s="1822"/>
      <c r="F403" s="1822"/>
      <c r="G403" s="1822"/>
      <c r="H403" s="1822"/>
      <c r="I403" s="1822"/>
      <c r="J403" s="1822"/>
      <c r="K403" s="1822"/>
      <c r="L403" s="551">
        <v>206927.35</v>
      </c>
      <c r="M403" s="550"/>
      <c r="N403" s="549"/>
      <c r="P403" s="536"/>
      <c r="Q403" s="536"/>
      <c r="R403" s="536"/>
      <c r="S403" s="536"/>
      <c r="T403" s="536"/>
      <c r="U403" s="536"/>
      <c r="V403" s="536"/>
      <c r="W403" s="536"/>
      <c r="X403" s="536"/>
      <c r="Y403" s="536"/>
      <c r="Z403" s="536"/>
      <c r="AA403" s="536"/>
      <c r="AB403" s="536"/>
      <c r="AC403" s="536"/>
      <c r="AD403" s="536"/>
      <c r="AE403" s="536"/>
      <c r="AF403" s="536"/>
      <c r="AG403" s="536"/>
      <c r="AH403" s="536"/>
      <c r="AI403" s="675"/>
      <c r="AJ403" s="537" t="s">
        <v>481</v>
      </c>
      <c r="AK403" s="536"/>
    </row>
    <row r="404" spans="1:37" x14ac:dyDescent="0.2">
      <c r="A404" s="548"/>
      <c r="B404" s="552"/>
      <c r="C404" s="1822" t="s">
        <v>412</v>
      </c>
      <c r="D404" s="1822"/>
      <c r="E404" s="1822"/>
      <c r="F404" s="1822"/>
      <c r="G404" s="1822"/>
      <c r="H404" s="1822"/>
      <c r="I404" s="1822"/>
      <c r="J404" s="1822"/>
      <c r="K404" s="1822"/>
      <c r="L404" s="551">
        <v>6980.57</v>
      </c>
      <c r="M404" s="550"/>
      <c r="N404" s="549"/>
      <c r="P404" s="536"/>
      <c r="Q404" s="536"/>
      <c r="R404" s="536"/>
      <c r="S404" s="536"/>
      <c r="T404" s="536"/>
      <c r="U404" s="536"/>
      <c r="V404" s="536"/>
      <c r="W404" s="536"/>
      <c r="X404" s="536"/>
      <c r="Y404" s="536"/>
      <c r="Z404" s="536"/>
      <c r="AA404" s="536"/>
      <c r="AB404" s="536"/>
      <c r="AC404" s="536"/>
      <c r="AD404" s="536"/>
      <c r="AE404" s="536"/>
      <c r="AF404" s="536"/>
      <c r="AG404" s="536"/>
      <c r="AH404" s="536"/>
      <c r="AI404" s="675"/>
      <c r="AJ404" s="537" t="s">
        <v>412</v>
      </c>
      <c r="AK404" s="536"/>
    </row>
    <row r="405" spans="1:37" x14ac:dyDescent="0.2">
      <c r="A405" s="548"/>
      <c r="B405" s="552"/>
      <c r="C405" s="1822" t="s">
        <v>413</v>
      </c>
      <c r="D405" s="1822"/>
      <c r="E405" s="1822"/>
      <c r="F405" s="1822"/>
      <c r="G405" s="1822"/>
      <c r="H405" s="1822"/>
      <c r="I405" s="1822"/>
      <c r="J405" s="1822"/>
      <c r="K405" s="1822"/>
      <c r="L405" s="551">
        <v>4349.4799999999996</v>
      </c>
      <c r="M405" s="550"/>
      <c r="N405" s="549"/>
      <c r="P405" s="536"/>
      <c r="Q405" s="536"/>
      <c r="R405" s="536"/>
      <c r="S405" s="536"/>
      <c r="T405" s="536"/>
      <c r="U405" s="536"/>
      <c r="V405" s="536"/>
      <c r="W405" s="536"/>
      <c r="X405" s="536"/>
      <c r="Y405" s="536"/>
      <c r="Z405" s="536"/>
      <c r="AA405" s="536"/>
      <c r="AB405" s="536"/>
      <c r="AC405" s="536"/>
      <c r="AD405" s="536"/>
      <c r="AE405" s="536"/>
      <c r="AF405" s="536"/>
      <c r="AG405" s="536"/>
      <c r="AH405" s="536"/>
      <c r="AI405" s="675"/>
      <c r="AJ405" s="537" t="s">
        <v>413</v>
      </c>
      <c r="AK405" s="536"/>
    </row>
    <row r="406" spans="1:37" x14ac:dyDescent="0.2">
      <c r="A406" s="548"/>
      <c r="B406" s="552" t="s">
        <v>185</v>
      </c>
      <c r="C406" s="1822" t="s">
        <v>414</v>
      </c>
      <c r="D406" s="1822"/>
      <c r="E406" s="1822"/>
      <c r="F406" s="1822"/>
      <c r="G406" s="1822"/>
      <c r="H406" s="1822"/>
      <c r="I406" s="1822"/>
      <c r="J406" s="1822"/>
      <c r="K406" s="1822"/>
      <c r="L406" s="551">
        <v>434.84</v>
      </c>
      <c r="M406" s="550">
        <v>8.32</v>
      </c>
      <c r="N406" s="549">
        <v>3618</v>
      </c>
      <c r="P406" s="536"/>
      <c r="Q406" s="536"/>
      <c r="R406" s="536"/>
      <c r="S406" s="536"/>
      <c r="T406" s="536"/>
      <c r="U406" s="536"/>
      <c r="V406" s="536"/>
      <c r="W406" s="536"/>
      <c r="X406" s="536"/>
      <c r="Y406" s="536"/>
      <c r="Z406" s="536"/>
      <c r="AA406" s="536"/>
      <c r="AB406" s="536"/>
      <c r="AC406" s="536"/>
      <c r="AD406" s="536"/>
      <c r="AE406" s="536"/>
      <c r="AF406" s="536"/>
      <c r="AG406" s="536"/>
      <c r="AH406" s="536"/>
      <c r="AI406" s="675"/>
      <c r="AJ406" s="537" t="s">
        <v>414</v>
      </c>
      <c r="AK406" s="536"/>
    </row>
    <row r="407" spans="1:37" x14ac:dyDescent="0.2">
      <c r="A407" s="548"/>
      <c r="B407" s="552"/>
      <c r="C407" s="1822" t="s">
        <v>415</v>
      </c>
      <c r="D407" s="1822"/>
      <c r="E407" s="1822"/>
      <c r="F407" s="1822"/>
      <c r="G407" s="1822"/>
      <c r="H407" s="1822"/>
      <c r="I407" s="1822"/>
      <c r="J407" s="1822"/>
      <c r="K407" s="1822"/>
      <c r="L407" s="551">
        <v>7222.03</v>
      </c>
      <c r="M407" s="550"/>
      <c r="N407" s="549"/>
      <c r="P407" s="536"/>
      <c r="Q407" s="536"/>
      <c r="R407" s="536"/>
      <c r="S407" s="536"/>
      <c r="T407" s="536"/>
      <c r="U407" s="536"/>
      <c r="V407" s="536"/>
      <c r="W407" s="536"/>
      <c r="X407" s="536"/>
      <c r="Y407" s="536"/>
      <c r="Z407" s="536"/>
      <c r="AA407" s="536"/>
      <c r="AB407" s="536"/>
      <c r="AC407" s="536"/>
      <c r="AD407" s="536"/>
      <c r="AE407" s="536"/>
      <c r="AF407" s="536"/>
      <c r="AG407" s="536"/>
      <c r="AH407" s="536"/>
      <c r="AI407" s="675"/>
      <c r="AJ407" s="537" t="s">
        <v>415</v>
      </c>
      <c r="AK407" s="536"/>
    </row>
    <row r="408" spans="1:37" x14ac:dyDescent="0.2">
      <c r="A408" s="548"/>
      <c r="B408" s="552"/>
      <c r="C408" s="1822" t="s">
        <v>416</v>
      </c>
      <c r="D408" s="1822"/>
      <c r="E408" s="1822"/>
      <c r="F408" s="1822"/>
      <c r="G408" s="1822"/>
      <c r="H408" s="1822"/>
      <c r="I408" s="1822"/>
      <c r="J408" s="1822"/>
      <c r="K408" s="1822"/>
      <c r="L408" s="551">
        <v>6980.57</v>
      </c>
      <c r="M408" s="550"/>
      <c r="N408" s="549"/>
      <c r="P408" s="536"/>
      <c r="Q408" s="536"/>
      <c r="R408" s="536"/>
      <c r="S408" s="536"/>
      <c r="T408" s="536"/>
      <c r="U408" s="536"/>
      <c r="V408" s="536"/>
      <c r="W408" s="536"/>
      <c r="X408" s="536"/>
      <c r="Y408" s="536"/>
      <c r="Z408" s="536"/>
      <c r="AA408" s="536"/>
      <c r="AB408" s="536"/>
      <c r="AC408" s="536"/>
      <c r="AD408" s="536"/>
      <c r="AE408" s="536"/>
      <c r="AF408" s="536"/>
      <c r="AG408" s="536"/>
      <c r="AH408" s="536"/>
      <c r="AI408" s="675"/>
      <c r="AJ408" s="537" t="s">
        <v>416</v>
      </c>
      <c r="AK408" s="536"/>
    </row>
    <row r="409" spans="1:37" x14ac:dyDescent="0.2">
      <c r="A409" s="548"/>
      <c r="B409" s="552"/>
      <c r="C409" s="1822" t="s">
        <v>417</v>
      </c>
      <c r="D409" s="1822"/>
      <c r="E409" s="1822"/>
      <c r="F409" s="1822"/>
      <c r="G409" s="1822"/>
      <c r="H409" s="1822"/>
      <c r="I409" s="1822"/>
      <c r="J409" s="1822"/>
      <c r="K409" s="1822"/>
      <c r="L409" s="551">
        <v>4349.4799999999996</v>
      </c>
      <c r="M409" s="550"/>
      <c r="N409" s="549"/>
      <c r="P409" s="536"/>
      <c r="Q409" s="536"/>
      <c r="R409" s="536"/>
      <c r="S409" s="536"/>
      <c r="T409" s="536"/>
      <c r="U409" s="536"/>
      <c r="V409" s="536"/>
      <c r="W409" s="536"/>
      <c r="X409" s="536"/>
      <c r="Y409" s="536"/>
      <c r="Z409" s="536"/>
      <c r="AA409" s="536"/>
      <c r="AB409" s="536"/>
      <c r="AC409" s="536"/>
      <c r="AD409" s="536"/>
      <c r="AE409" s="536"/>
      <c r="AF409" s="536"/>
      <c r="AG409" s="536"/>
      <c r="AH409" s="536"/>
      <c r="AI409" s="675"/>
      <c r="AJ409" s="537" t="s">
        <v>417</v>
      </c>
      <c r="AK409" s="536"/>
    </row>
    <row r="410" spans="1:37" x14ac:dyDescent="0.2">
      <c r="A410" s="548"/>
      <c r="B410" s="546"/>
      <c r="C410" s="1819" t="s">
        <v>206</v>
      </c>
      <c r="D410" s="1819"/>
      <c r="E410" s="1819"/>
      <c r="F410" s="1819"/>
      <c r="G410" s="1819"/>
      <c r="H410" s="1819"/>
      <c r="I410" s="1819"/>
      <c r="J410" s="1819"/>
      <c r="K410" s="1819"/>
      <c r="L410" s="544">
        <v>235264.52</v>
      </c>
      <c r="M410" s="543"/>
      <c r="N410" s="547">
        <v>1957401</v>
      </c>
      <c r="P410" s="536"/>
      <c r="Q410" s="536"/>
      <c r="R410" s="536"/>
      <c r="S410" s="536"/>
      <c r="T410" s="536"/>
      <c r="U410" s="536"/>
      <c r="V410" s="536"/>
      <c r="W410" s="536"/>
      <c r="X410" s="536"/>
      <c r="Y410" s="536"/>
      <c r="Z410" s="536"/>
      <c r="AA410" s="536"/>
      <c r="AB410" s="536"/>
      <c r="AC410" s="536"/>
      <c r="AD410" s="536"/>
      <c r="AE410" s="536"/>
      <c r="AF410" s="536"/>
      <c r="AG410" s="536"/>
      <c r="AH410" s="536"/>
      <c r="AI410" s="675"/>
      <c r="AJ410" s="536"/>
      <c r="AK410" s="675" t="s">
        <v>206</v>
      </c>
    </row>
    <row r="411" spans="1:37" ht="1.5" customHeight="1" x14ac:dyDescent="0.2">
      <c r="B411" s="546"/>
      <c r="C411" s="671"/>
      <c r="D411" s="671"/>
      <c r="E411" s="671"/>
      <c r="F411" s="671"/>
      <c r="G411" s="671"/>
      <c r="H411" s="671"/>
      <c r="I411" s="671"/>
      <c r="J411" s="671"/>
      <c r="K411" s="671"/>
      <c r="L411" s="544"/>
      <c r="M411" s="543"/>
      <c r="N411" s="542"/>
      <c r="P411" s="536"/>
      <c r="Q411" s="536"/>
      <c r="R411" s="536"/>
      <c r="S411" s="536"/>
      <c r="T411" s="536"/>
      <c r="U411" s="536"/>
      <c r="V411" s="536"/>
      <c r="W411" s="536"/>
      <c r="X411" s="536"/>
      <c r="Y411" s="536"/>
      <c r="Z411" s="536"/>
      <c r="AA411" s="536"/>
      <c r="AB411" s="536"/>
      <c r="AC411" s="536"/>
      <c r="AD411" s="536"/>
      <c r="AE411" s="536"/>
      <c r="AF411" s="536"/>
      <c r="AG411" s="536"/>
      <c r="AH411" s="536"/>
      <c r="AI411" s="536"/>
      <c r="AJ411" s="536"/>
      <c r="AK411" s="536"/>
    </row>
    <row r="412" spans="1:37" ht="53.25" customHeight="1" x14ac:dyDescent="0.2">
      <c r="A412" s="541"/>
      <c r="B412" s="541"/>
      <c r="C412" s="541"/>
      <c r="D412" s="541"/>
      <c r="E412" s="541"/>
      <c r="F412" s="541"/>
      <c r="G412" s="541"/>
      <c r="H412" s="541"/>
      <c r="I412" s="541"/>
      <c r="J412" s="541"/>
      <c r="K412" s="541"/>
      <c r="L412" s="541"/>
      <c r="M412" s="541"/>
      <c r="N412" s="541"/>
      <c r="P412" s="536"/>
      <c r="Q412" s="536"/>
      <c r="R412" s="536"/>
      <c r="S412" s="536"/>
      <c r="T412" s="536"/>
      <c r="U412" s="536"/>
      <c r="V412" s="536"/>
      <c r="W412" s="536"/>
      <c r="X412" s="536"/>
      <c r="Y412" s="536"/>
      <c r="Z412" s="536"/>
      <c r="AA412" s="536"/>
      <c r="AB412" s="536"/>
      <c r="AC412" s="536"/>
      <c r="AD412" s="536"/>
      <c r="AE412" s="536"/>
      <c r="AF412" s="536"/>
      <c r="AG412" s="536"/>
      <c r="AH412" s="536"/>
      <c r="AI412" s="536"/>
      <c r="AJ412" s="536"/>
      <c r="AK412" s="536"/>
    </row>
    <row r="413" spans="1:37" x14ac:dyDescent="0.2">
      <c r="B413" s="539" t="s">
        <v>149</v>
      </c>
      <c r="C413" s="1820" t="s">
        <v>8555</v>
      </c>
      <c r="D413" s="1820"/>
      <c r="E413" s="1820"/>
      <c r="F413" s="1820"/>
      <c r="G413" s="1820"/>
      <c r="H413" s="1820"/>
      <c r="I413" s="1820"/>
      <c r="J413" s="1820"/>
      <c r="K413" s="1820"/>
      <c r="L413" s="1820"/>
    </row>
    <row r="414" spans="1:37" ht="13.5" customHeight="1" x14ac:dyDescent="0.2">
      <c r="B414" s="540"/>
      <c r="C414" s="1821" t="s">
        <v>150</v>
      </c>
      <c r="D414" s="1821"/>
      <c r="E414" s="1821"/>
      <c r="F414" s="1821"/>
      <c r="G414" s="1821"/>
      <c r="H414" s="1821"/>
      <c r="I414" s="1821"/>
      <c r="J414" s="1821"/>
      <c r="K414" s="1821"/>
      <c r="L414" s="1821"/>
    </row>
    <row r="415" spans="1:37" ht="12.75" customHeight="1" x14ac:dyDescent="0.2">
      <c r="B415" s="539" t="s">
        <v>151</v>
      </c>
      <c r="C415" s="1820" t="s">
        <v>8566</v>
      </c>
      <c r="D415" s="1820"/>
      <c r="E415" s="1820"/>
      <c r="F415" s="1820"/>
      <c r="G415" s="1820"/>
      <c r="H415" s="1820"/>
      <c r="I415" s="1820"/>
      <c r="J415" s="1820"/>
      <c r="K415" s="1820"/>
      <c r="L415" s="1820"/>
    </row>
    <row r="416" spans="1:37" ht="13.5" customHeight="1" x14ac:dyDescent="0.2">
      <c r="C416" s="1821" t="s">
        <v>150</v>
      </c>
      <c r="D416" s="1821"/>
      <c r="E416" s="1821"/>
      <c r="F416" s="1821"/>
      <c r="G416" s="1821"/>
      <c r="H416" s="1821"/>
      <c r="I416" s="1821"/>
      <c r="J416" s="1821"/>
      <c r="K416" s="1821"/>
      <c r="L416" s="1821"/>
    </row>
    <row r="418" spans="2:6" s="536" customFormat="1" x14ac:dyDescent="0.2">
      <c r="B418" s="538"/>
      <c r="D418" s="538"/>
      <c r="F418" s="538"/>
    </row>
  </sheetData>
  <mergeCells count="381">
    <mergeCell ref="C410:K410"/>
    <mergeCell ref="C413:L413"/>
    <mergeCell ref="C414:L414"/>
    <mergeCell ref="C415:L415"/>
    <mergeCell ref="C416:L416"/>
    <mergeCell ref="C404:K404"/>
    <mergeCell ref="C405:K405"/>
    <mergeCell ref="C406:K406"/>
    <mergeCell ref="C407:K407"/>
    <mergeCell ref="C408:K408"/>
    <mergeCell ref="C409:K409"/>
    <mergeCell ref="C398:K398"/>
    <mergeCell ref="C399:K399"/>
    <mergeCell ref="C400:K400"/>
    <mergeCell ref="C401:K401"/>
    <mergeCell ref="C402:K402"/>
    <mergeCell ref="C403:K403"/>
    <mergeCell ref="C392:K392"/>
    <mergeCell ref="C393:K393"/>
    <mergeCell ref="C394:K394"/>
    <mergeCell ref="C395:K395"/>
    <mergeCell ref="C396:K396"/>
    <mergeCell ref="C397:K397"/>
    <mergeCell ref="C385:K385"/>
    <mergeCell ref="C386:K386"/>
    <mergeCell ref="C387:K387"/>
    <mergeCell ref="C388:K388"/>
    <mergeCell ref="C389:K389"/>
    <mergeCell ref="C391:K391"/>
    <mergeCell ref="C376:E376"/>
    <mergeCell ref="C378:N378"/>
    <mergeCell ref="C379:E379"/>
    <mergeCell ref="C382:K382"/>
    <mergeCell ref="C383:K383"/>
    <mergeCell ref="C384:K384"/>
    <mergeCell ref="C369:K369"/>
    <mergeCell ref="C370:K370"/>
    <mergeCell ref="C371:K371"/>
    <mergeCell ref="A372:N372"/>
    <mergeCell ref="C373:E373"/>
    <mergeCell ref="C375:N375"/>
    <mergeCell ref="C363:K363"/>
    <mergeCell ref="C364:K364"/>
    <mergeCell ref="C365:K365"/>
    <mergeCell ref="C366:K366"/>
    <mergeCell ref="C367:K367"/>
    <mergeCell ref="C368:K368"/>
    <mergeCell ref="C357:K357"/>
    <mergeCell ref="C358:K358"/>
    <mergeCell ref="C359:K359"/>
    <mergeCell ref="C360:K360"/>
    <mergeCell ref="C361:K361"/>
    <mergeCell ref="C362:K362"/>
    <mergeCell ref="C349:E349"/>
    <mergeCell ref="C350:E350"/>
    <mergeCell ref="C351:E351"/>
    <mergeCell ref="C354:K354"/>
    <mergeCell ref="C355:K355"/>
    <mergeCell ref="C356:K356"/>
    <mergeCell ref="C343:E343"/>
    <mergeCell ref="C344:E344"/>
    <mergeCell ref="C345:E345"/>
    <mergeCell ref="C346:E346"/>
    <mergeCell ref="C347:E347"/>
    <mergeCell ref="C348:E348"/>
    <mergeCell ref="A337:N337"/>
    <mergeCell ref="C338:E338"/>
    <mergeCell ref="C339:N339"/>
    <mergeCell ref="C340:E340"/>
    <mergeCell ref="C341:E341"/>
    <mergeCell ref="C342:E342"/>
    <mergeCell ref="C331:K331"/>
    <mergeCell ref="C332:K332"/>
    <mergeCell ref="C333:K333"/>
    <mergeCell ref="C334:K334"/>
    <mergeCell ref="C335:K335"/>
    <mergeCell ref="C336:K336"/>
    <mergeCell ref="C325:K325"/>
    <mergeCell ref="C326:K326"/>
    <mergeCell ref="C327:K327"/>
    <mergeCell ref="C328:K328"/>
    <mergeCell ref="C329:K329"/>
    <mergeCell ref="C330:K330"/>
    <mergeCell ref="C319:K319"/>
    <mergeCell ref="C320:K320"/>
    <mergeCell ref="C321:K321"/>
    <mergeCell ref="C322:K322"/>
    <mergeCell ref="C323:K323"/>
    <mergeCell ref="C324:K324"/>
    <mergeCell ref="C311:E311"/>
    <mergeCell ref="C312:E312"/>
    <mergeCell ref="C313:E313"/>
    <mergeCell ref="C314:E314"/>
    <mergeCell ref="C315:E315"/>
    <mergeCell ref="C317:N317"/>
    <mergeCell ref="C305:E305"/>
    <mergeCell ref="C306:E306"/>
    <mergeCell ref="C307:E307"/>
    <mergeCell ref="C308:E308"/>
    <mergeCell ref="C309:E309"/>
    <mergeCell ref="C310:E310"/>
    <mergeCell ref="C299:E299"/>
    <mergeCell ref="C300:E300"/>
    <mergeCell ref="C301:E301"/>
    <mergeCell ref="C302:N302"/>
    <mergeCell ref="C303:N303"/>
    <mergeCell ref="C304:E304"/>
    <mergeCell ref="C293:E293"/>
    <mergeCell ref="C294:E294"/>
    <mergeCell ref="C295:E295"/>
    <mergeCell ref="C296:E296"/>
    <mergeCell ref="C297:E297"/>
    <mergeCell ref="C298:E298"/>
    <mergeCell ref="C287:E287"/>
    <mergeCell ref="C288:N288"/>
    <mergeCell ref="C289:N289"/>
    <mergeCell ref="C290:E290"/>
    <mergeCell ref="C291:E291"/>
    <mergeCell ref="C292:E292"/>
    <mergeCell ref="C280:E280"/>
    <mergeCell ref="C281:E281"/>
    <mergeCell ref="C282:E282"/>
    <mergeCell ref="C283:E283"/>
    <mergeCell ref="C284:E284"/>
    <mergeCell ref="C285:E285"/>
    <mergeCell ref="C274:E274"/>
    <mergeCell ref="C275:E275"/>
    <mergeCell ref="C276:E276"/>
    <mergeCell ref="C277:E277"/>
    <mergeCell ref="C278:E278"/>
    <mergeCell ref="C279:E279"/>
    <mergeCell ref="C267:E267"/>
    <mergeCell ref="C268:E268"/>
    <mergeCell ref="C270:E270"/>
    <mergeCell ref="C271:N271"/>
    <mergeCell ref="C272:N272"/>
    <mergeCell ref="C273:E273"/>
    <mergeCell ref="C261:E261"/>
    <mergeCell ref="C262:E262"/>
    <mergeCell ref="C263:E263"/>
    <mergeCell ref="C264:E264"/>
    <mergeCell ref="C265:E265"/>
    <mergeCell ref="C266:E266"/>
    <mergeCell ref="C255:N255"/>
    <mergeCell ref="C256:E256"/>
    <mergeCell ref="C257:E257"/>
    <mergeCell ref="C258:E258"/>
    <mergeCell ref="C259:E259"/>
    <mergeCell ref="C260:E260"/>
    <mergeCell ref="C248:E248"/>
    <mergeCell ref="C249:E249"/>
    <mergeCell ref="C250:E250"/>
    <mergeCell ref="C251:E251"/>
    <mergeCell ref="C253:E253"/>
    <mergeCell ref="C254:N254"/>
    <mergeCell ref="C242:E242"/>
    <mergeCell ref="C243:E243"/>
    <mergeCell ref="C244:E244"/>
    <mergeCell ref="C245:E245"/>
    <mergeCell ref="C246:E246"/>
    <mergeCell ref="C247:E247"/>
    <mergeCell ref="C236:E236"/>
    <mergeCell ref="C237:N237"/>
    <mergeCell ref="C238:N238"/>
    <mergeCell ref="C239:E239"/>
    <mergeCell ref="C240:E240"/>
    <mergeCell ref="C241:E241"/>
    <mergeCell ref="C230:K230"/>
    <mergeCell ref="C231:K231"/>
    <mergeCell ref="C232:K232"/>
    <mergeCell ref="C233:K233"/>
    <mergeCell ref="C234:K234"/>
    <mergeCell ref="A235:N235"/>
    <mergeCell ref="C224:K224"/>
    <mergeCell ref="C225:K225"/>
    <mergeCell ref="C226:K226"/>
    <mergeCell ref="C227:K227"/>
    <mergeCell ref="C228:K228"/>
    <mergeCell ref="C229:K229"/>
    <mergeCell ref="C218:K218"/>
    <mergeCell ref="C219:K219"/>
    <mergeCell ref="C220:K220"/>
    <mergeCell ref="C221:K221"/>
    <mergeCell ref="C222:K222"/>
    <mergeCell ref="C223:K223"/>
    <mergeCell ref="C210:E210"/>
    <mergeCell ref="C211:E211"/>
    <mergeCell ref="C212:E212"/>
    <mergeCell ref="C213:E213"/>
    <mergeCell ref="C215:N215"/>
    <mergeCell ref="C217:K217"/>
    <mergeCell ref="C204:E204"/>
    <mergeCell ref="C205:E205"/>
    <mergeCell ref="C206:E206"/>
    <mergeCell ref="C207:E207"/>
    <mergeCell ref="C208:E208"/>
    <mergeCell ref="C209:E209"/>
    <mergeCell ref="C198:E198"/>
    <mergeCell ref="C199:N199"/>
    <mergeCell ref="C200:N200"/>
    <mergeCell ref="C201:E201"/>
    <mergeCell ref="C202:E202"/>
    <mergeCell ref="C203:E203"/>
    <mergeCell ref="C192:E192"/>
    <mergeCell ref="C193:E193"/>
    <mergeCell ref="C194:E194"/>
    <mergeCell ref="C195:E195"/>
    <mergeCell ref="C196:E196"/>
    <mergeCell ref="C197:E197"/>
    <mergeCell ref="C186:E186"/>
    <mergeCell ref="C187:E187"/>
    <mergeCell ref="C188:E188"/>
    <mergeCell ref="C189:E189"/>
    <mergeCell ref="C190:E190"/>
    <mergeCell ref="C191:E191"/>
    <mergeCell ref="C179:E179"/>
    <mergeCell ref="C180:E180"/>
    <mergeCell ref="C181:E181"/>
    <mergeCell ref="C183:E183"/>
    <mergeCell ref="C184:N184"/>
    <mergeCell ref="C185:N185"/>
    <mergeCell ref="C173:E173"/>
    <mergeCell ref="C174:E174"/>
    <mergeCell ref="C175:E175"/>
    <mergeCell ref="C176:E176"/>
    <mergeCell ref="C177:E177"/>
    <mergeCell ref="C178:E178"/>
    <mergeCell ref="C167:N167"/>
    <mergeCell ref="C168:N168"/>
    <mergeCell ref="C169:E169"/>
    <mergeCell ref="C170:E170"/>
    <mergeCell ref="C171:E171"/>
    <mergeCell ref="C172:E172"/>
    <mergeCell ref="C161:E161"/>
    <mergeCell ref="C162:E162"/>
    <mergeCell ref="C163:E163"/>
    <mergeCell ref="C164:E164"/>
    <mergeCell ref="C165:E165"/>
    <mergeCell ref="C166:E166"/>
    <mergeCell ref="C155:E155"/>
    <mergeCell ref="C156:E156"/>
    <mergeCell ref="C157:E157"/>
    <mergeCell ref="C158:E158"/>
    <mergeCell ref="C159:E159"/>
    <mergeCell ref="C160:E160"/>
    <mergeCell ref="C148:N148"/>
    <mergeCell ref="C149:E149"/>
    <mergeCell ref="C151:N151"/>
    <mergeCell ref="C152:E152"/>
    <mergeCell ref="C153:N153"/>
    <mergeCell ref="C154:N154"/>
    <mergeCell ref="C139:E139"/>
    <mergeCell ref="C140:E140"/>
    <mergeCell ref="C141:E141"/>
    <mergeCell ref="C143:E143"/>
    <mergeCell ref="C145:N145"/>
    <mergeCell ref="C146:E146"/>
    <mergeCell ref="C133:E133"/>
    <mergeCell ref="C134:E134"/>
    <mergeCell ref="C135:E135"/>
    <mergeCell ref="C136:E136"/>
    <mergeCell ref="C137:E137"/>
    <mergeCell ref="C138:E138"/>
    <mergeCell ref="C127:N127"/>
    <mergeCell ref="C128:E128"/>
    <mergeCell ref="C129:E129"/>
    <mergeCell ref="C130:E130"/>
    <mergeCell ref="C131:E131"/>
    <mergeCell ref="C132:E132"/>
    <mergeCell ref="C120:E120"/>
    <mergeCell ref="C121:E121"/>
    <mergeCell ref="C122:E122"/>
    <mergeCell ref="C123:E123"/>
    <mergeCell ref="C125:E125"/>
    <mergeCell ref="C126:N126"/>
    <mergeCell ref="C114:E114"/>
    <mergeCell ref="C115:E115"/>
    <mergeCell ref="C116:E116"/>
    <mergeCell ref="C117:E117"/>
    <mergeCell ref="C118:E118"/>
    <mergeCell ref="C119:E119"/>
    <mergeCell ref="C108:E108"/>
    <mergeCell ref="C109:N109"/>
    <mergeCell ref="C110:N110"/>
    <mergeCell ref="C111:E111"/>
    <mergeCell ref="C112:E112"/>
    <mergeCell ref="C113:E113"/>
    <mergeCell ref="C102:K102"/>
    <mergeCell ref="C103:K103"/>
    <mergeCell ref="C104:K104"/>
    <mergeCell ref="C105:K105"/>
    <mergeCell ref="C106:K106"/>
    <mergeCell ref="A107:N107"/>
    <mergeCell ref="C96:K96"/>
    <mergeCell ref="C97:K97"/>
    <mergeCell ref="C98:K98"/>
    <mergeCell ref="C99:K99"/>
    <mergeCell ref="C100:K100"/>
    <mergeCell ref="C101:K101"/>
    <mergeCell ref="C90:K90"/>
    <mergeCell ref="C91:K91"/>
    <mergeCell ref="C92:K92"/>
    <mergeCell ref="C93:K93"/>
    <mergeCell ref="C94:K94"/>
    <mergeCell ref="C95:K95"/>
    <mergeCell ref="C83:E83"/>
    <mergeCell ref="C84:E84"/>
    <mergeCell ref="C85:E85"/>
    <mergeCell ref="C86:E86"/>
    <mergeCell ref="C87:N87"/>
    <mergeCell ref="C89:K89"/>
    <mergeCell ref="C77:E77"/>
    <mergeCell ref="C78:E78"/>
    <mergeCell ref="C79:E79"/>
    <mergeCell ref="C80:E80"/>
    <mergeCell ref="C81:E81"/>
    <mergeCell ref="C82:E82"/>
    <mergeCell ref="C71:E71"/>
    <mergeCell ref="C72:E72"/>
    <mergeCell ref="C73:E73"/>
    <mergeCell ref="C74:N74"/>
    <mergeCell ref="C75:N75"/>
    <mergeCell ref="C76:E76"/>
    <mergeCell ref="C65:E65"/>
    <mergeCell ref="C66:E66"/>
    <mergeCell ref="C67:E67"/>
    <mergeCell ref="C68:E68"/>
    <mergeCell ref="C69:E69"/>
    <mergeCell ref="C70:E70"/>
    <mergeCell ref="C59:E59"/>
    <mergeCell ref="C60:E60"/>
    <mergeCell ref="C61:E61"/>
    <mergeCell ref="C62:E62"/>
    <mergeCell ref="C63:N63"/>
    <mergeCell ref="C64:N64"/>
    <mergeCell ref="C53:N53"/>
    <mergeCell ref="C54:E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N52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417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/>
  <dimension ref="A1:AJ537"/>
  <sheetViews>
    <sheetView topLeftCell="A500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4" width="110.140625" style="537" hidden="1" customWidth="1"/>
    <col min="25" max="28" width="34.140625" style="537" hidden="1" customWidth="1"/>
    <col min="29" max="29" width="110.140625" style="537" hidden="1" customWidth="1"/>
    <col min="30" max="32" width="84.42578125" style="537" hidden="1" customWidth="1"/>
    <col min="33" max="33" width="138.42578125" style="537" hidden="1" customWidth="1"/>
    <col min="34" max="36" width="84.42578125" style="537" hidden="1" customWidth="1"/>
    <col min="37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3273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3273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3356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609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609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1623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902.66</v>
      </c>
      <c r="D28" s="579" t="s">
        <v>8567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16.89</v>
      </c>
      <c r="D30" s="579" t="s">
        <v>3357</v>
      </c>
      <c r="E30" s="665" t="s">
        <v>167</v>
      </c>
      <c r="G30" s="536" t="s">
        <v>170</v>
      </c>
      <c r="L30" s="580">
        <v>0</v>
      </c>
      <c r="M30" s="579" t="s">
        <v>3358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486.81</v>
      </c>
      <c r="D31" s="583" t="s">
        <v>8568</v>
      </c>
      <c r="E31" s="665" t="s">
        <v>167</v>
      </c>
      <c r="G31" s="536" t="s">
        <v>172</v>
      </c>
      <c r="L31" s="582"/>
      <c r="M31" s="582">
        <v>233.89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398.96</v>
      </c>
      <c r="D32" s="583" t="s">
        <v>3359</v>
      </c>
      <c r="E32" s="665" t="s">
        <v>167</v>
      </c>
      <c r="G32" s="536" t="s">
        <v>174</v>
      </c>
      <c r="L32" s="582"/>
      <c r="M32" s="582">
        <v>23.75</v>
      </c>
      <c r="N32" s="581" t="s">
        <v>173</v>
      </c>
    </row>
    <row r="33" spans="1:27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7" s="536" customFormat="1" ht="9.75" customHeight="1" x14ac:dyDescent="0.2">
      <c r="A34" s="578"/>
    </row>
    <row r="35" spans="1:27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7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7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7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7" s="536" customFormat="1" ht="12" x14ac:dyDescent="0.2">
      <c r="A39" s="1824" t="s">
        <v>1625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1625</v>
      </c>
    </row>
    <row r="40" spans="1:27" s="536" customFormat="1" ht="33.75" x14ac:dyDescent="0.2">
      <c r="A40" s="575" t="s">
        <v>185</v>
      </c>
      <c r="B40" s="670" t="s">
        <v>1626</v>
      </c>
      <c r="C40" s="1823" t="s">
        <v>1627</v>
      </c>
      <c r="D40" s="1823"/>
      <c r="E40" s="1823"/>
      <c r="F40" s="573" t="s">
        <v>617</v>
      </c>
      <c r="G40" s="573"/>
      <c r="H40" s="573"/>
      <c r="I40" s="573" t="s">
        <v>185</v>
      </c>
      <c r="J40" s="572"/>
      <c r="K40" s="573"/>
      <c r="L40" s="572"/>
      <c r="M40" s="571"/>
      <c r="N40" s="570"/>
      <c r="V40" s="674"/>
      <c r="W40" s="675" t="s">
        <v>1627</v>
      </c>
    </row>
    <row r="41" spans="1:27" s="536" customFormat="1" ht="33.75" x14ac:dyDescent="0.2">
      <c r="A41" s="609"/>
      <c r="B41" s="552" t="s">
        <v>310</v>
      </c>
      <c r="C41" s="1822" t="s">
        <v>311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311</v>
      </c>
    </row>
    <row r="42" spans="1:27" s="536" customFormat="1" ht="12" x14ac:dyDescent="0.2">
      <c r="A42" s="605"/>
      <c r="B42" s="552" t="s">
        <v>185</v>
      </c>
      <c r="C42" s="1822" t="s">
        <v>312</v>
      </c>
      <c r="D42" s="1822"/>
      <c r="E42" s="1822"/>
      <c r="F42" s="562"/>
      <c r="G42" s="562"/>
      <c r="H42" s="562"/>
      <c r="I42" s="562"/>
      <c r="J42" s="604">
        <v>20.440000000000001</v>
      </c>
      <c r="K42" s="562" t="s">
        <v>313</v>
      </c>
      <c r="L42" s="604">
        <v>25.55</v>
      </c>
      <c r="M42" s="603"/>
      <c r="N42" s="602"/>
      <c r="V42" s="674"/>
      <c r="W42" s="675"/>
      <c r="Y42" s="537" t="s">
        <v>312</v>
      </c>
    </row>
    <row r="43" spans="1:27" s="536" customFormat="1" ht="12" x14ac:dyDescent="0.2">
      <c r="A43" s="605"/>
      <c r="B43" s="552" t="s">
        <v>186</v>
      </c>
      <c r="C43" s="1822" t="s">
        <v>344</v>
      </c>
      <c r="D43" s="1822"/>
      <c r="E43" s="1822"/>
      <c r="F43" s="562"/>
      <c r="G43" s="562"/>
      <c r="H43" s="562"/>
      <c r="I43" s="562"/>
      <c r="J43" s="604">
        <v>33.47</v>
      </c>
      <c r="K43" s="562" t="s">
        <v>313</v>
      </c>
      <c r="L43" s="604">
        <v>41.84</v>
      </c>
      <c r="M43" s="603"/>
      <c r="N43" s="602"/>
      <c r="V43" s="674"/>
      <c r="W43" s="675"/>
      <c r="Y43" s="537" t="s">
        <v>344</v>
      </c>
    </row>
    <row r="44" spans="1:27" s="536" customFormat="1" ht="12" x14ac:dyDescent="0.2">
      <c r="A44" s="605"/>
      <c r="B44" s="552" t="s">
        <v>187</v>
      </c>
      <c r="C44" s="1822" t="s">
        <v>345</v>
      </c>
      <c r="D44" s="1822"/>
      <c r="E44" s="1822"/>
      <c r="F44" s="562"/>
      <c r="G44" s="562"/>
      <c r="H44" s="562"/>
      <c r="I44" s="562"/>
      <c r="J44" s="604">
        <v>3.42</v>
      </c>
      <c r="K44" s="562" t="s">
        <v>313</v>
      </c>
      <c r="L44" s="604">
        <v>4.28</v>
      </c>
      <c r="M44" s="603"/>
      <c r="N44" s="602"/>
      <c r="V44" s="674"/>
      <c r="W44" s="675"/>
      <c r="Y44" s="537" t="s">
        <v>345</v>
      </c>
    </row>
    <row r="45" spans="1:27" s="536" customFormat="1" ht="12" x14ac:dyDescent="0.2">
      <c r="A45" s="605"/>
      <c r="B45" s="552" t="s">
        <v>188</v>
      </c>
      <c r="C45" s="1822" t="s">
        <v>475</v>
      </c>
      <c r="D45" s="1822"/>
      <c r="E45" s="1822"/>
      <c r="F45" s="562"/>
      <c r="G45" s="562"/>
      <c r="H45" s="562"/>
      <c r="I45" s="562"/>
      <c r="J45" s="604">
        <v>2.94</v>
      </c>
      <c r="K45" s="562"/>
      <c r="L45" s="604">
        <v>2.94</v>
      </c>
      <c r="M45" s="603"/>
      <c r="N45" s="602"/>
      <c r="V45" s="674"/>
      <c r="W45" s="675"/>
      <c r="Y45" s="537" t="s">
        <v>475</v>
      </c>
    </row>
    <row r="46" spans="1:27" s="536" customFormat="1" ht="12" x14ac:dyDescent="0.2">
      <c r="A46" s="605"/>
      <c r="B46" s="552"/>
      <c r="C46" s="1822" t="s">
        <v>314</v>
      </c>
      <c r="D46" s="1822"/>
      <c r="E46" s="1822"/>
      <c r="F46" s="562" t="s">
        <v>315</v>
      </c>
      <c r="G46" s="562" t="s">
        <v>807</v>
      </c>
      <c r="H46" s="562" t="s">
        <v>313</v>
      </c>
      <c r="I46" s="562" t="s">
        <v>808</v>
      </c>
      <c r="J46" s="604"/>
      <c r="K46" s="562"/>
      <c r="L46" s="604"/>
      <c r="M46" s="603"/>
      <c r="N46" s="602"/>
      <c r="V46" s="674"/>
      <c r="W46" s="675"/>
      <c r="Z46" s="537" t="s">
        <v>314</v>
      </c>
    </row>
    <row r="47" spans="1:27" s="536" customFormat="1" ht="12" x14ac:dyDescent="0.2">
      <c r="A47" s="605"/>
      <c r="B47" s="552"/>
      <c r="C47" s="1822" t="s">
        <v>348</v>
      </c>
      <c r="D47" s="1822"/>
      <c r="E47" s="1822"/>
      <c r="F47" s="562" t="s">
        <v>315</v>
      </c>
      <c r="G47" s="562" t="s">
        <v>1629</v>
      </c>
      <c r="H47" s="562" t="s">
        <v>313</v>
      </c>
      <c r="I47" s="562" t="s">
        <v>3130</v>
      </c>
      <c r="J47" s="604"/>
      <c r="K47" s="562"/>
      <c r="L47" s="604"/>
      <c r="M47" s="603"/>
      <c r="N47" s="602"/>
      <c r="V47" s="674"/>
      <c r="W47" s="675"/>
      <c r="Z47" s="537" t="s">
        <v>348</v>
      </c>
    </row>
    <row r="48" spans="1:27" s="536" customFormat="1" ht="12" x14ac:dyDescent="0.2">
      <c r="A48" s="605"/>
      <c r="B48" s="552"/>
      <c r="C48" s="1828" t="s">
        <v>318</v>
      </c>
      <c r="D48" s="1828"/>
      <c r="E48" s="1828"/>
      <c r="F48" s="608"/>
      <c r="G48" s="608"/>
      <c r="H48" s="608"/>
      <c r="I48" s="608"/>
      <c r="J48" s="607">
        <v>56.85</v>
      </c>
      <c r="K48" s="608"/>
      <c r="L48" s="607">
        <v>70.33</v>
      </c>
      <c r="M48" s="601"/>
      <c r="N48" s="606"/>
      <c r="V48" s="674"/>
      <c r="W48" s="675"/>
      <c r="AA48" s="537" t="s">
        <v>318</v>
      </c>
    </row>
    <row r="49" spans="1:29" s="536" customFormat="1" ht="12" x14ac:dyDescent="0.2">
      <c r="A49" s="605"/>
      <c r="B49" s="552"/>
      <c r="C49" s="1822" t="s">
        <v>319</v>
      </c>
      <c r="D49" s="1822"/>
      <c r="E49" s="1822"/>
      <c r="F49" s="562"/>
      <c r="G49" s="562"/>
      <c r="H49" s="562"/>
      <c r="I49" s="562"/>
      <c r="J49" s="604"/>
      <c r="K49" s="562"/>
      <c r="L49" s="604">
        <v>29.83</v>
      </c>
      <c r="M49" s="603"/>
      <c r="N49" s="602"/>
      <c r="V49" s="674"/>
      <c r="W49" s="675"/>
      <c r="Z49" s="537" t="s">
        <v>319</v>
      </c>
    </row>
    <row r="50" spans="1:29" s="536" customFormat="1" ht="33.75" x14ac:dyDescent="0.2">
      <c r="A50" s="605"/>
      <c r="B50" s="552" t="s">
        <v>1631</v>
      </c>
      <c r="C50" s="1822" t="s">
        <v>1632</v>
      </c>
      <c r="D50" s="1822"/>
      <c r="E50" s="1822"/>
      <c r="F50" s="562" t="s">
        <v>322</v>
      </c>
      <c r="G50" s="562" t="s">
        <v>1633</v>
      </c>
      <c r="H50" s="562"/>
      <c r="I50" s="562" t="s">
        <v>1633</v>
      </c>
      <c r="J50" s="604"/>
      <c r="K50" s="562"/>
      <c r="L50" s="604">
        <v>28.94</v>
      </c>
      <c r="M50" s="603"/>
      <c r="N50" s="602"/>
      <c r="V50" s="674"/>
      <c r="W50" s="675"/>
      <c r="Z50" s="537" t="s">
        <v>1632</v>
      </c>
    </row>
    <row r="51" spans="1:29" s="536" customFormat="1" ht="33.75" x14ac:dyDescent="0.2">
      <c r="A51" s="605"/>
      <c r="B51" s="552" t="s">
        <v>1634</v>
      </c>
      <c r="C51" s="1822" t="s">
        <v>1635</v>
      </c>
      <c r="D51" s="1822"/>
      <c r="E51" s="1822"/>
      <c r="F51" s="562" t="s">
        <v>322</v>
      </c>
      <c r="G51" s="562" t="s">
        <v>786</v>
      </c>
      <c r="H51" s="562"/>
      <c r="I51" s="562" t="s">
        <v>786</v>
      </c>
      <c r="J51" s="604"/>
      <c r="K51" s="562"/>
      <c r="L51" s="604">
        <v>15.21</v>
      </c>
      <c r="M51" s="603"/>
      <c r="N51" s="602"/>
      <c r="V51" s="674"/>
      <c r="W51" s="675"/>
      <c r="Z51" s="537" t="s">
        <v>1635</v>
      </c>
    </row>
    <row r="52" spans="1:29" s="536" customFormat="1" ht="12" x14ac:dyDescent="0.2">
      <c r="A52" s="569"/>
      <c r="B52" s="671"/>
      <c r="C52" s="1823" t="s">
        <v>327</v>
      </c>
      <c r="D52" s="1823"/>
      <c r="E52" s="1823"/>
      <c r="F52" s="573"/>
      <c r="G52" s="573"/>
      <c r="H52" s="573"/>
      <c r="I52" s="573"/>
      <c r="J52" s="572"/>
      <c r="K52" s="573"/>
      <c r="L52" s="572">
        <v>114.48</v>
      </c>
      <c r="M52" s="601"/>
      <c r="N52" s="570"/>
      <c r="V52" s="674"/>
      <c r="W52" s="675"/>
      <c r="AB52" s="675" t="s">
        <v>327</v>
      </c>
    </row>
    <row r="53" spans="1:29" s="536" customFormat="1" ht="247.5" x14ac:dyDescent="0.2">
      <c r="A53" s="575" t="s">
        <v>625</v>
      </c>
      <c r="B53" s="670" t="s">
        <v>3360</v>
      </c>
      <c r="C53" s="1823" t="s">
        <v>3361</v>
      </c>
      <c r="D53" s="1823"/>
      <c r="E53" s="1823"/>
      <c r="F53" s="573" t="s">
        <v>617</v>
      </c>
      <c r="G53" s="573"/>
      <c r="H53" s="573"/>
      <c r="I53" s="573" t="s">
        <v>185</v>
      </c>
      <c r="J53" s="572">
        <v>390355.35</v>
      </c>
      <c r="K53" s="573" t="s">
        <v>629</v>
      </c>
      <c r="L53" s="572">
        <v>86065.36</v>
      </c>
      <c r="M53" s="571">
        <v>4.59</v>
      </c>
      <c r="N53" s="570">
        <v>395040</v>
      </c>
      <c r="V53" s="674"/>
      <c r="W53" s="675" t="s">
        <v>3361</v>
      </c>
      <c r="AB53" s="675"/>
    </row>
    <row r="54" spans="1:29" s="536" customFormat="1" ht="12" x14ac:dyDescent="0.2">
      <c r="A54" s="569"/>
      <c r="B54" s="671"/>
      <c r="C54" s="665" t="s">
        <v>630</v>
      </c>
      <c r="D54" s="666"/>
      <c r="E54" s="666"/>
      <c r="F54" s="563"/>
      <c r="G54" s="563"/>
      <c r="H54" s="563"/>
      <c r="I54" s="563"/>
      <c r="J54" s="566"/>
      <c r="K54" s="563"/>
      <c r="L54" s="566"/>
      <c r="M54" s="565"/>
      <c r="N54" s="564"/>
      <c r="V54" s="674"/>
      <c r="W54" s="675"/>
      <c r="AB54" s="675"/>
    </row>
    <row r="55" spans="1:29" s="536" customFormat="1" ht="22.5" x14ac:dyDescent="0.2">
      <c r="A55" s="609"/>
      <c r="B55" s="552" t="s">
        <v>1638</v>
      </c>
      <c r="C55" s="1822" t="s">
        <v>632</v>
      </c>
      <c r="D55" s="1822"/>
      <c r="E55" s="1822"/>
      <c r="F55" s="1822"/>
      <c r="G55" s="1822"/>
      <c r="H55" s="1822"/>
      <c r="I55" s="1822"/>
      <c r="J55" s="1822"/>
      <c r="K55" s="1822"/>
      <c r="L55" s="1822"/>
      <c r="M55" s="1822"/>
      <c r="N55" s="1827"/>
      <c r="V55" s="674"/>
      <c r="W55" s="675"/>
      <c r="X55" s="537" t="s">
        <v>632</v>
      </c>
      <c r="AB55" s="675"/>
    </row>
    <row r="56" spans="1:29" s="536" customFormat="1" ht="33.75" x14ac:dyDescent="0.2">
      <c r="A56" s="575" t="s">
        <v>187</v>
      </c>
      <c r="B56" s="670" t="s">
        <v>1639</v>
      </c>
      <c r="C56" s="1823" t="s">
        <v>1640</v>
      </c>
      <c r="D56" s="1823"/>
      <c r="E56" s="1823"/>
      <c r="F56" s="573" t="s">
        <v>307</v>
      </c>
      <c r="G56" s="573"/>
      <c r="H56" s="573"/>
      <c r="I56" s="573" t="s">
        <v>3362</v>
      </c>
      <c r="J56" s="572"/>
      <c r="K56" s="573"/>
      <c r="L56" s="572"/>
      <c r="M56" s="571"/>
      <c r="N56" s="570"/>
      <c r="V56" s="674"/>
      <c r="W56" s="675" t="s">
        <v>1640</v>
      </c>
      <c r="AB56" s="675"/>
    </row>
    <row r="57" spans="1:29" s="536" customFormat="1" ht="12" x14ac:dyDescent="0.2">
      <c r="A57" s="676"/>
      <c r="B57" s="664"/>
      <c r="C57" s="1822" t="s">
        <v>3363</v>
      </c>
      <c r="D57" s="1822"/>
      <c r="E57" s="1822"/>
      <c r="F57" s="1822"/>
      <c r="G57" s="1822"/>
      <c r="H57" s="1822"/>
      <c r="I57" s="1822"/>
      <c r="J57" s="1822"/>
      <c r="K57" s="1822"/>
      <c r="L57" s="1822"/>
      <c r="M57" s="1822"/>
      <c r="N57" s="1827"/>
      <c r="V57" s="674"/>
      <c r="W57" s="675"/>
      <c r="AB57" s="675"/>
      <c r="AC57" s="537" t="s">
        <v>3363</v>
      </c>
    </row>
    <row r="58" spans="1:29" s="536" customFormat="1" ht="33.75" x14ac:dyDescent="0.2">
      <c r="A58" s="609"/>
      <c r="B58" s="552" t="s">
        <v>310</v>
      </c>
      <c r="C58" s="1822" t="s">
        <v>311</v>
      </c>
      <c r="D58" s="1822"/>
      <c r="E58" s="1822"/>
      <c r="F58" s="1822"/>
      <c r="G58" s="1822"/>
      <c r="H58" s="1822"/>
      <c r="I58" s="1822"/>
      <c r="J58" s="1822"/>
      <c r="K58" s="1822"/>
      <c r="L58" s="1822"/>
      <c r="M58" s="1822"/>
      <c r="N58" s="1827"/>
      <c r="V58" s="674"/>
      <c r="W58" s="675"/>
      <c r="X58" s="537" t="s">
        <v>311</v>
      </c>
      <c r="AB58" s="675"/>
    </row>
    <row r="59" spans="1:29" s="536" customFormat="1" ht="12" x14ac:dyDescent="0.2">
      <c r="A59" s="605"/>
      <c r="B59" s="552" t="s">
        <v>185</v>
      </c>
      <c r="C59" s="1822" t="s">
        <v>312</v>
      </c>
      <c r="D59" s="1822"/>
      <c r="E59" s="1822"/>
      <c r="F59" s="562"/>
      <c r="G59" s="562"/>
      <c r="H59" s="562"/>
      <c r="I59" s="562"/>
      <c r="J59" s="604">
        <v>153.26</v>
      </c>
      <c r="K59" s="562" t="s">
        <v>313</v>
      </c>
      <c r="L59" s="604">
        <v>44.06</v>
      </c>
      <c r="M59" s="603"/>
      <c r="N59" s="602"/>
      <c r="V59" s="674"/>
      <c r="W59" s="675"/>
      <c r="Y59" s="537" t="s">
        <v>312</v>
      </c>
      <c r="AB59" s="675"/>
    </row>
    <row r="60" spans="1:29" s="536" customFormat="1" ht="12" x14ac:dyDescent="0.2">
      <c r="A60" s="605"/>
      <c r="B60" s="552" t="s">
        <v>186</v>
      </c>
      <c r="C60" s="1822" t="s">
        <v>344</v>
      </c>
      <c r="D60" s="1822"/>
      <c r="E60" s="1822"/>
      <c r="F60" s="562"/>
      <c r="G60" s="562"/>
      <c r="H60" s="562"/>
      <c r="I60" s="562"/>
      <c r="J60" s="604">
        <v>1.81</v>
      </c>
      <c r="K60" s="562" t="s">
        <v>313</v>
      </c>
      <c r="L60" s="604">
        <v>0.52</v>
      </c>
      <c r="M60" s="603"/>
      <c r="N60" s="602"/>
      <c r="V60" s="674"/>
      <c r="W60" s="675"/>
      <c r="Y60" s="537" t="s">
        <v>344</v>
      </c>
      <c r="AB60" s="675"/>
    </row>
    <row r="61" spans="1:29" s="536" customFormat="1" ht="12" x14ac:dyDescent="0.2">
      <c r="A61" s="605"/>
      <c r="B61" s="552" t="s">
        <v>187</v>
      </c>
      <c r="C61" s="1822" t="s">
        <v>345</v>
      </c>
      <c r="D61" s="1822"/>
      <c r="E61" s="1822"/>
      <c r="F61" s="562"/>
      <c r="G61" s="562"/>
      <c r="H61" s="562"/>
      <c r="I61" s="562"/>
      <c r="J61" s="604">
        <v>0.26</v>
      </c>
      <c r="K61" s="562" t="s">
        <v>313</v>
      </c>
      <c r="L61" s="604">
        <v>7.0000000000000007E-2</v>
      </c>
      <c r="M61" s="603"/>
      <c r="N61" s="602"/>
      <c r="V61" s="674"/>
      <c r="W61" s="675"/>
      <c r="Y61" s="537" t="s">
        <v>345</v>
      </c>
      <c r="AB61" s="675"/>
    </row>
    <row r="62" spans="1:29" s="536" customFormat="1" ht="12" x14ac:dyDescent="0.2">
      <c r="A62" s="605"/>
      <c r="B62" s="552" t="s">
        <v>188</v>
      </c>
      <c r="C62" s="1822" t="s">
        <v>475</v>
      </c>
      <c r="D62" s="1822"/>
      <c r="E62" s="1822"/>
      <c r="F62" s="562"/>
      <c r="G62" s="562"/>
      <c r="H62" s="562"/>
      <c r="I62" s="562"/>
      <c r="J62" s="604">
        <v>98.83</v>
      </c>
      <c r="K62" s="562"/>
      <c r="L62" s="604">
        <v>22.73</v>
      </c>
      <c r="M62" s="603"/>
      <c r="N62" s="602"/>
      <c r="V62" s="674"/>
      <c r="W62" s="675"/>
      <c r="Y62" s="537" t="s">
        <v>475</v>
      </c>
      <c r="AB62" s="675"/>
    </row>
    <row r="63" spans="1:29" s="536" customFormat="1" ht="12" x14ac:dyDescent="0.2">
      <c r="A63" s="605"/>
      <c r="B63" s="552"/>
      <c r="C63" s="1822" t="s">
        <v>314</v>
      </c>
      <c r="D63" s="1822"/>
      <c r="E63" s="1822"/>
      <c r="F63" s="562" t="s">
        <v>315</v>
      </c>
      <c r="G63" s="562" t="s">
        <v>1628</v>
      </c>
      <c r="H63" s="562" t="s">
        <v>313</v>
      </c>
      <c r="I63" s="562" t="s">
        <v>3364</v>
      </c>
      <c r="J63" s="604"/>
      <c r="K63" s="562"/>
      <c r="L63" s="604"/>
      <c r="M63" s="603"/>
      <c r="N63" s="602"/>
      <c r="V63" s="674"/>
      <c r="W63" s="675"/>
      <c r="Z63" s="537" t="s">
        <v>314</v>
      </c>
      <c r="AB63" s="675"/>
    </row>
    <row r="64" spans="1:29" s="536" customFormat="1" ht="12" x14ac:dyDescent="0.2">
      <c r="A64" s="605"/>
      <c r="B64" s="552"/>
      <c r="C64" s="1822" t="s">
        <v>348</v>
      </c>
      <c r="D64" s="1822"/>
      <c r="E64" s="1822"/>
      <c r="F64" s="562" t="s">
        <v>315</v>
      </c>
      <c r="G64" s="562" t="s">
        <v>695</v>
      </c>
      <c r="H64" s="562" t="s">
        <v>313</v>
      </c>
      <c r="I64" s="562" t="s">
        <v>3365</v>
      </c>
      <c r="J64" s="604"/>
      <c r="K64" s="562"/>
      <c r="L64" s="604"/>
      <c r="M64" s="603"/>
      <c r="N64" s="602"/>
      <c r="V64" s="674"/>
      <c r="W64" s="675"/>
      <c r="Z64" s="537" t="s">
        <v>348</v>
      </c>
      <c r="AB64" s="675"/>
    </row>
    <row r="65" spans="1:31" s="536" customFormat="1" ht="12" x14ac:dyDescent="0.2">
      <c r="A65" s="605"/>
      <c r="B65" s="552"/>
      <c r="C65" s="1828" t="s">
        <v>318</v>
      </c>
      <c r="D65" s="1828"/>
      <c r="E65" s="1828"/>
      <c r="F65" s="608"/>
      <c r="G65" s="608"/>
      <c r="H65" s="608"/>
      <c r="I65" s="608"/>
      <c r="J65" s="607">
        <v>253.9</v>
      </c>
      <c r="K65" s="608"/>
      <c r="L65" s="607">
        <v>67.31</v>
      </c>
      <c r="M65" s="601"/>
      <c r="N65" s="606"/>
      <c r="V65" s="674"/>
      <c r="W65" s="675"/>
      <c r="AA65" s="537" t="s">
        <v>318</v>
      </c>
      <c r="AB65" s="675"/>
    </row>
    <row r="66" spans="1:31" s="536" customFormat="1" ht="12" x14ac:dyDescent="0.2">
      <c r="A66" s="605"/>
      <c r="B66" s="552"/>
      <c r="C66" s="1822" t="s">
        <v>319</v>
      </c>
      <c r="D66" s="1822"/>
      <c r="E66" s="1822"/>
      <c r="F66" s="562"/>
      <c r="G66" s="562"/>
      <c r="H66" s="562"/>
      <c r="I66" s="562"/>
      <c r="J66" s="604"/>
      <c r="K66" s="562"/>
      <c r="L66" s="604">
        <v>44.13</v>
      </c>
      <c r="M66" s="603"/>
      <c r="N66" s="602"/>
      <c r="V66" s="674"/>
      <c r="W66" s="675"/>
      <c r="Z66" s="537" t="s">
        <v>319</v>
      </c>
      <c r="AB66" s="675"/>
    </row>
    <row r="67" spans="1:31" s="536" customFormat="1" ht="33.75" x14ac:dyDescent="0.2">
      <c r="A67" s="605"/>
      <c r="B67" s="552" t="s">
        <v>1631</v>
      </c>
      <c r="C67" s="1822" t="s">
        <v>1632</v>
      </c>
      <c r="D67" s="1822"/>
      <c r="E67" s="1822"/>
      <c r="F67" s="562" t="s">
        <v>322</v>
      </c>
      <c r="G67" s="562" t="s">
        <v>1633</v>
      </c>
      <c r="H67" s="562"/>
      <c r="I67" s="562" t="s">
        <v>1633</v>
      </c>
      <c r="J67" s="604"/>
      <c r="K67" s="562"/>
      <c r="L67" s="604">
        <v>42.81</v>
      </c>
      <c r="M67" s="603"/>
      <c r="N67" s="602"/>
      <c r="V67" s="674"/>
      <c r="W67" s="675"/>
      <c r="Z67" s="537" t="s">
        <v>1632</v>
      </c>
      <c r="AB67" s="675"/>
    </row>
    <row r="68" spans="1:31" s="536" customFormat="1" ht="33.75" x14ac:dyDescent="0.2">
      <c r="A68" s="605"/>
      <c r="B68" s="552" t="s">
        <v>1634</v>
      </c>
      <c r="C68" s="1822" t="s">
        <v>1635</v>
      </c>
      <c r="D68" s="1822"/>
      <c r="E68" s="1822"/>
      <c r="F68" s="562" t="s">
        <v>322</v>
      </c>
      <c r="G68" s="562" t="s">
        <v>786</v>
      </c>
      <c r="H68" s="562"/>
      <c r="I68" s="562" t="s">
        <v>786</v>
      </c>
      <c r="J68" s="604"/>
      <c r="K68" s="562"/>
      <c r="L68" s="604">
        <v>22.51</v>
      </c>
      <c r="M68" s="603"/>
      <c r="N68" s="602"/>
      <c r="V68" s="674"/>
      <c r="W68" s="675"/>
      <c r="Z68" s="537" t="s">
        <v>1635</v>
      </c>
      <c r="AB68" s="675"/>
    </row>
    <row r="69" spans="1:31" s="536" customFormat="1" ht="12" x14ac:dyDescent="0.2">
      <c r="A69" s="569"/>
      <c r="B69" s="671"/>
      <c r="C69" s="1823" t="s">
        <v>327</v>
      </c>
      <c r="D69" s="1823"/>
      <c r="E69" s="1823"/>
      <c r="F69" s="573"/>
      <c r="G69" s="573"/>
      <c r="H69" s="573"/>
      <c r="I69" s="573"/>
      <c r="J69" s="572"/>
      <c r="K69" s="573"/>
      <c r="L69" s="572">
        <v>132.63</v>
      </c>
      <c r="M69" s="601"/>
      <c r="N69" s="570"/>
      <c r="V69" s="674"/>
      <c r="W69" s="675"/>
      <c r="AB69" s="675" t="s">
        <v>327</v>
      </c>
    </row>
    <row r="70" spans="1:31" s="536" customFormat="1" ht="1.5" customHeight="1" x14ac:dyDescent="0.2">
      <c r="A70" s="563"/>
      <c r="B70" s="671"/>
      <c r="C70" s="671"/>
      <c r="D70" s="671"/>
      <c r="E70" s="671"/>
      <c r="F70" s="563"/>
      <c r="G70" s="563"/>
      <c r="H70" s="563"/>
      <c r="I70" s="563"/>
      <c r="J70" s="546"/>
      <c r="K70" s="563"/>
      <c r="L70" s="546"/>
      <c r="M70" s="562"/>
      <c r="N70" s="546"/>
      <c r="V70" s="674"/>
      <c r="W70" s="675"/>
      <c r="AB70" s="675"/>
    </row>
    <row r="71" spans="1:31" s="536" customFormat="1" ht="12" x14ac:dyDescent="0.2">
      <c r="A71" s="557"/>
      <c r="B71" s="556"/>
      <c r="C71" s="1823" t="s">
        <v>1645</v>
      </c>
      <c r="D71" s="1823"/>
      <c r="E71" s="1823"/>
      <c r="F71" s="1823"/>
      <c r="G71" s="1823"/>
      <c r="H71" s="1823"/>
      <c r="I71" s="1823"/>
      <c r="J71" s="1823"/>
      <c r="K71" s="1823"/>
      <c r="L71" s="555"/>
      <c r="M71" s="554"/>
      <c r="N71" s="553"/>
      <c r="V71" s="674"/>
      <c r="W71" s="675"/>
      <c r="AB71" s="675"/>
      <c r="AD71" s="675" t="s">
        <v>1645</v>
      </c>
    </row>
    <row r="72" spans="1:31" s="536" customFormat="1" ht="12" x14ac:dyDescent="0.2">
      <c r="A72" s="548"/>
      <c r="B72" s="552"/>
      <c r="C72" s="1822" t="s">
        <v>403</v>
      </c>
      <c r="D72" s="1822"/>
      <c r="E72" s="1822"/>
      <c r="F72" s="1822"/>
      <c r="G72" s="1822"/>
      <c r="H72" s="1822"/>
      <c r="I72" s="1822"/>
      <c r="J72" s="1822"/>
      <c r="K72" s="1822"/>
      <c r="L72" s="551">
        <v>137.63999999999999</v>
      </c>
      <c r="M72" s="550"/>
      <c r="N72" s="549"/>
      <c r="V72" s="674"/>
      <c r="W72" s="675"/>
      <c r="AB72" s="675"/>
      <c r="AD72" s="675"/>
      <c r="AE72" s="537" t="s">
        <v>403</v>
      </c>
    </row>
    <row r="73" spans="1:31" s="536" customFormat="1" ht="12" x14ac:dyDescent="0.2">
      <c r="A73" s="548"/>
      <c r="B73" s="552"/>
      <c r="C73" s="1822" t="s">
        <v>204</v>
      </c>
      <c r="D73" s="1822"/>
      <c r="E73" s="1822"/>
      <c r="F73" s="1822"/>
      <c r="G73" s="1822"/>
      <c r="H73" s="1822"/>
      <c r="I73" s="1822"/>
      <c r="J73" s="1822"/>
      <c r="K73" s="1822"/>
      <c r="L73" s="551"/>
      <c r="M73" s="550"/>
      <c r="N73" s="549"/>
      <c r="V73" s="674"/>
      <c r="W73" s="675"/>
      <c r="AB73" s="675"/>
      <c r="AD73" s="675"/>
      <c r="AE73" s="537" t="s">
        <v>204</v>
      </c>
    </row>
    <row r="74" spans="1:31" s="536" customFormat="1" ht="12" x14ac:dyDescent="0.2">
      <c r="A74" s="548"/>
      <c r="B74" s="552"/>
      <c r="C74" s="1822" t="s">
        <v>404</v>
      </c>
      <c r="D74" s="1822"/>
      <c r="E74" s="1822"/>
      <c r="F74" s="1822"/>
      <c r="G74" s="1822"/>
      <c r="H74" s="1822"/>
      <c r="I74" s="1822"/>
      <c r="J74" s="1822"/>
      <c r="K74" s="1822"/>
      <c r="L74" s="551">
        <v>69.61</v>
      </c>
      <c r="M74" s="550"/>
      <c r="N74" s="549"/>
      <c r="V74" s="674"/>
      <c r="W74" s="675"/>
      <c r="AB74" s="675"/>
      <c r="AD74" s="675"/>
      <c r="AE74" s="537" t="s">
        <v>404</v>
      </c>
    </row>
    <row r="75" spans="1:31" s="536" customFormat="1" ht="12" x14ac:dyDescent="0.2">
      <c r="A75" s="548"/>
      <c r="B75" s="552"/>
      <c r="C75" s="1822" t="s">
        <v>405</v>
      </c>
      <c r="D75" s="1822"/>
      <c r="E75" s="1822"/>
      <c r="F75" s="1822"/>
      <c r="G75" s="1822"/>
      <c r="H75" s="1822"/>
      <c r="I75" s="1822"/>
      <c r="J75" s="1822"/>
      <c r="K75" s="1822"/>
      <c r="L75" s="551">
        <v>42.36</v>
      </c>
      <c r="M75" s="550"/>
      <c r="N75" s="549"/>
      <c r="V75" s="674"/>
      <c r="W75" s="675"/>
      <c r="AB75" s="675"/>
      <c r="AD75" s="675"/>
      <c r="AE75" s="537" t="s">
        <v>405</v>
      </c>
    </row>
    <row r="76" spans="1:31" s="536" customFormat="1" ht="12" x14ac:dyDescent="0.2">
      <c r="A76" s="548"/>
      <c r="B76" s="552"/>
      <c r="C76" s="1822" t="s">
        <v>406</v>
      </c>
      <c r="D76" s="1822"/>
      <c r="E76" s="1822"/>
      <c r="F76" s="1822"/>
      <c r="G76" s="1822"/>
      <c r="H76" s="1822"/>
      <c r="I76" s="1822"/>
      <c r="J76" s="1822"/>
      <c r="K76" s="1822"/>
      <c r="L76" s="551">
        <v>4.3499999999999996</v>
      </c>
      <c r="M76" s="550"/>
      <c r="N76" s="549"/>
      <c r="V76" s="674"/>
      <c r="W76" s="675"/>
      <c r="AB76" s="675"/>
      <c r="AD76" s="675"/>
      <c r="AE76" s="537" t="s">
        <v>406</v>
      </c>
    </row>
    <row r="77" spans="1:31" s="536" customFormat="1" ht="12" x14ac:dyDescent="0.2">
      <c r="A77" s="548"/>
      <c r="B77" s="552"/>
      <c r="C77" s="1822" t="s">
        <v>480</v>
      </c>
      <c r="D77" s="1822"/>
      <c r="E77" s="1822"/>
      <c r="F77" s="1822"/>
      <c r="G77" s="1822"/>
      <c r="H77" s="1822"/>
      <c r="I77" s="1822"/>
      <c r="J77" s="1822"/>
      <c r="K77" s="1822"/>
      <c r="L77" s="551">
        <v>25.67</v>
      </c>
      <c r="M77" s="550"/>
      <c r="N77" s="549"/>
      <c r="V77" s="674"/>
      <c r="W77" s="675"/>
      <c r="AB77" s="675"/>
      <c r="AD77" s="675"/>
      <c r="AE77" s="537" t="s">
        <v>480</v>
      </c>
    </row>
    <row r="78" spans="1:31" s="536" customFormat="1" ht="12" x14ac:dyDescent="0.2">
      <c r="A78" s="548"/>
      <c r="B78" s="552"/>
      <c r="C78" s="1822" t="s">
        <v>753</v>
      </c>
      <c r="D78" s="1822"/>
      <c r="E78" s="1822"/>
      <c r="F78" s="1822"/>
      <c r="G78" s="1822"/>
      <c r="H78" s="1822"/>
      <c r="I78" s="1822"/>
      <c r="J78" s="1822"/>
      <c r="K78" s="1822"/>
      <c r="L78" s="551">
        <v>247.11</v>
      </c>
      <c r="M78" s="550"/>
      <c r="N78" s="549"/>
      <c r="V78" s="674"/>
      <c r="W78" s="675"/>
      <c r="AB78" s="675"/>
      <c r="AD78" s="675"/>
      <c r="AE78" s="537" t="s">
        <v>753</v>
      </c>
    </row>
    <row r="79" spans="1:31" s="536" customFormat="1" ht="12" x14ac:dyDescent="0.2">
      <c r="A79" s="548"/>
      <c r="B79" s="552"/>
      <c r="C79" s="1822" t="s">
        <v>204</v>
      </c>
      <c r="D79" s="1822"/>
      <c r="E79" s="1822"/>
      <c r="F79" s="1822"/>
      <c r="G79" s="1822"/>
      <c r="H79" s="1822"/>
      <c r="I79" s="1822"/>
      <c r="J79" s="1822"/>
      <c r="K79" s="1822"/>
      <c r="L79" s="551"/>
      <c r="M79" s="550"/>
      <c r="N79" s="549"/>
      <c r="V79" s="674"/>
      <c r="W79" s="675"/>
      <c r="AB79" s="675"/>
      <c r="AD79" s="675"/>
      <c r="AE79" s="537" t="s">
        <v>204</v>
      </c>
    </row>
    <row r="80" spans="1:31" s="536" customFormat="1" ht="12" x14ac:dyDescent="0.2">
      <c r="A80" s="548"/>
      <c r="B80" s="552"/>
      <c r="C80" s="1822" t="s">
        <v>546</v>
      </c>
      <c r="D80" s="1822"/>
      <c r="E80" s="1822"/>
      <c r="F80" s="1822"/>
      <c r="G80" s="1822"/>
      <c r="H80" s="1822"/>
      <c r="I80" s="1822"/>
      <c r="J80" s="1822"/>
      <c r="K80" s="1822"/>
      <c r="L80" s="551">
        <v>69.61</v>
      </c>
      <c r="M80" s="550"/>
      <c r="N80" s="549"/>
      <c r="V80" s="674"/>
      <c r="W80" s="675"/>
      <c r="AB80" s="675"/>
      <c r="AD80" s="675"/>
      <c r="AE80" s="537" t="s">
        <v>546</v>
      </c>
    </row>
    <row r="81" spans="1:33" s="536" customFormat="1" ht="12" x14ac:dyDescent="0.2">
      <c r="A81" s="548"/>
      <c r="B81" s="552"/>
      <c r="C81" s="1822" t="s">
        <v>442</v>
      </c>
      <c r="D81" s="1822"/>
      <c r="E81" s="1822"/>
      <c r="F81" s="1822"/>
      <c r="G81" s="1822"/>
      <c r="H81" s="1822"/>
      <c r="I81" s="1822"/>
      <c r="J81" s="1822"/>
      <c r="K81" s="1822"/>
      <c r="L81" s="551">
        <v>42.36</v>
      </c>
      <c r="M81" s="550"/>
      <c r="N81" s="549"/>
      <c r="V81" s="674"/>
      <c r="W81" s="675"/>
      <c r="AB81" s="675"/>
      <c r="AD81" s="675"/>
      <c r="AE81" s="537" t="s">
        <v>442</v>
      </c>
    </row>
    <row r="82" spans="1:33" s="536" customFormat="1" ht="12" x14ac:dyDescent="0.2">
      <c r="A82" s="548"/>
      <c r="B82" s="552"/>
      <c r="C82" s="1822" t="s">
        <v>547</v>
      </c>
      <c r="D82" s="1822"/>
      <c r="E82" s="1822"/>
      <c r="F82" s="1822"/>
      <c r="G82" s="1822"/>
      <c r="H82" s="1822"/>
      <c r="I82" s="1822"/>
      <c r="J82" s="1822"/>
      <c r="K82" s="1822"/>
      <c r="L82" s="551">
        <v>25.67</v>
      </c>
      <c r="M82" s="550"/>
      <c r="N82" s="549"/>
      <c r="V82" s="674"/>
      <c r="W82" s="675"/>
      <c r="AB82" s="675"/>
      <c r="AD82" s="675"/>
      <c r="AE82" s="537" t="s">
        <v>547</v>
      </c>
    </row>
    <row r="83" spans="1:33" s="536" customFormat="1" ht="12" x14ac:dyDescent="0.2">
      <c r="A83" s="548"/>
      <c r="B83" s="552"/>
      <c r="C83" s="1822" t="s">
        <v>443</v>
      </c>
      <c r="D83" s="1822"/>
      <c r="E83" s="1822"/>
      <c r="F83" s="1822"/>
      <c r="G83" s="1822"/>
      <c r="H83" s="1822"/>
      <c r="I83" s="1822"/>
      <c r="J83" s="1822"/>
      <c r="K83" s="1822"/>
      <c r="L83" s="551">
        <v>71.75</v>
      </c>
      <c r="M83" s="550"/>
      <c r="N83" s="549"/>
      <c r="V83" s="674"/>
      <c r="W83" s="675"/>
      <c r="AB83" s="675"/>
      <c r="AD83" s="675"/>
      <c r="AE83" s="537" t="s">
        <v>443</v>
      </c>
    </row>
    <row r="84" spans="1:33" s="536" customFormat="1" ht="12" x14ac:dyDescent="0.2">
      <c r="A84" s="548"/>
      <c r="B84" s="552"/>
      <c r="C84" s="1822" t="s">
        <v>444</v>
      </c>
      <c r="D84" s="1822"/>
      <c r="E84" s="1822"/>
      <c r="F84" s="1822"/>
      <c r="G84" s="1822"/>
      <c r="H84" s="1822"/>
      <c r="I84" s="1822"/>
      <c r="J84" s="1822"/>
      <c r="K84" s="1822"/>
      <c r="L84" s="551">
        <v>37.72</v>
      </c>
      <c r="M84" s="550"/>
      <c r="N84" s="549"/>
      <c r="V84" s="674"/>
      <c r="W84" s="675"/>
      <c r="AB84" s="675"/>
      <c r="AD84" s="675"/>
      <c r="AE84" s="537" t="s">
        <v>444</v>
      </c>
    </row>
    <row r="85" spans="1:33" s="536" customFormat="1" ht="12" x14ac:dyDescent="0.2">
      <c r="A85" s="548"/>
      <c r="B85" s="552"/>
      <c r="C85" s="1822" t="s">
        <v>754</v>
      </c>
      <c r="D85" s="1822"/>
      <c r="E85" s="1822"/>
      <c r="F85" s="1822"/>
      <c r="G85" s="1822"/>
      <c r="H85" s="1822"/>
      <c r="I85" s="1822"/>
      <c r="J85" s="1822"/>
      <c r="K85" s="1822"/>
      <c r="L85" s="551">
        <v>86065.36</v>
      </c>
      <c r="M85" s="550"/>
      <c r="N85" s="549"/>
      <c r="V85" s="674"/>
      <c r="W85" s="675"/>
      <c r="AB85" s="675"/>
      <c r="AD85" s="675"/>
      <c r="AE85" s="537" t="s">
        <v>754</v>
      </c>
    </row>
    <row r="86" spans="1:33" s="536" customFormat="1" ht="12" x14ac:dyDescent="0.2">
      <c r="A86" s="548"/>
      <c r="B86" s="552"/>
      <c r="C86" s="1822" t="s">
        <v>415</v>
      </c>
      <c r="D86" s="1822"/>
      <c r="E86" s="1822"/>
      <c r="F86" s="1822"/>
      <c r="G86" s="1822"/>
      <c r="H86" s="1822"/>
      <c r="I86" s="1822"/>
      <c r="J86" s="1822"/>
      <c r="K86" s="1822"/>
      <c r="L86" s="551">
        <v>73.959999999999994</v>
      </c>
      <c r="M86" s="550"/>
      <c r="N86" s="549"/>
      <c r="V86" s="674"/>
      <c r="W86" s="675"/>
      <c r="AB86" s="675"/>
      <c r="AD86" s="675"/>
      <c r="AE86" s="537" t="s">
        <v>415</v>
      </c>
    </row>
    <row r="87" spans="1:33" s="536" customFormat="1" ht="12" x14ac:dyDescent="0.2">
      <c r="A87" s="548"/>
      <c r="B87" s="552"/>
      <c r="C87" s="1822" t="s">
        <v>416</v>
      </c>
      <c r="D87" s="1822"/>
      <c r="E87" s="1822"/>
      <c r="F87" s="1822"/>
      <c r="G87" s="1822"/>
      <c r="H87" s="1822"/>
      <c r="I87" s="1822"/>
      <c r="J87" s="1822"/>
      <c r="K87" s="1822"/>
      <c r="L87" s="551">
        <v>71.75</v>
      </c>
      <c r="M87" s="550"/>
      <c r="N87" s="549"/>
      <c r="V87" s="674"/>
      <c r="W87" s="675"/>
      <c r="AB87" s="675"/>
      <c r="AD87" s="675"/>
      <c r="AE87" s="537" t="s">
        <v>416</v>
      </c>
    </row>
    <row r="88" spans="1:33" s="536" customFormat="1" ht="12" x14ac:dyDescent="0.2">
      <c r="A88" s="548"/>
      <c r="B88" s="552"/>
      <c r="C88" s="1822" t="s">
        <v>417</v>
      </c>
      <c r="D88" s="1822"/>
      <c r="E88" s="1822"/>
      <c r="F88" s="1822"/>
      <c r="G88" s="1822"/>
      <c r="H88" s="1822"/>
      <c r="I88" s="1822"/>
      <c r="J88" s="1822"/>
      <c r="K88" s="1822"/>
      <c r="L88" s="551">
        <v>37.72</v>
      </c>
      <c r="M88" s="550"/>
      <c r="N88" s="549"/>
      <c r="V88" s="674"/>
      <c r="W88" s="675"/>
      <c r="AB88" s="675"/>
      <c r="AD88" s="675"/>
      <c r="AE88" s="537" t="s">
        <v>417</v>
      </c>
    </row>
    <row r="89" spans="1:33" s="536" customFormat="1" ht="12" x14ac:dyDescent="0.2">
      <c r="A89" s="548"/>
      <c r="B89" s="546"/>
      <c r="C89" s="1819" t="s">
        <v>1646</v>
      </c>
      <c r="D89" s="1819"/>
      <c r="E89" s="1819"/>
      <c r="F89" s="1819"/>
      <c r="G89" s="1819"/>
      <c r="H89" s="1819"/>
      <c r="I89" s="1819"/>
      <c r="J89" s="1819"/>
      <c r="K89" s="1819"/>
      <c r="L89" s="544">
        <v>86312.47</v>
      </c>
      <c r="M89" s="543"/>
      <c r="N89" s="681"/>
      <c r="V89" s="674"/>
      <c r="W89" s="675"/>
      <c r="AB89" s="675"/>
      <c r="AD89" s="675"/>
      <c r="AF89" s="675" t="s">
        <v>1646</v>
      </c>
    </row>
    <row r="90" spans="1:33" s="536" customFormat="1" ht="12" x14ac:dyDescent="0.2">
      <c r="A90" s="548"/>
      <c r="B90" s="552"/>
      <c r="C90" s="1822" t="s">
        <v>204</v>
      </c>
      <c r="D90" s="1822"/>
      <c r="E90" s="1822"/>
      <c r="F90" s="1822"/>
      <c r="G90" s="1822"/>
      <c r="H90" s="1822"/>
      <c r="I90" s="1822"/>
      <c r="J90" s="1822"/>
      <c r="K90" s="1822"/>
      <c r="L90" s="551"/>
      <c r="M90" s="550"/>
      <c r="N90" s="549"/>
      <c r="V90" s="674"/>
      <c r="W90" s="675"/>
      <c r="AB90" s="675"/>
      <c r="AD90" s="675"/>
      <c r="AE90" s="537" t="s">
        <v>204</v>
      </c>
      <c r="AF90" s="675"/>
    </row>
    <row r="91" spans="1:33" s="536" customFormat="1" ht="12" x14ac:dyDescent="0.2">
      <c r="A91" s="548"/>
      <c r="B91" s="552"/>
      <c r="C91" s="1822" t="s">
        <v>8097</v>
      </c>
      <c r="D91" s="1822"/>
      <c r="E91" s="1822"/>
      <c r="F91" s="1822"/>
      <c r="G91" s="1822"/>
      <c r="H91" s="1822"/>
      <c r="I91" s="1822"/>
      <c r="J91" s="1822"/>
      <c r="K91" s="1822"/>
      <c r="L91" s="551">
        <v>86065.36</v>
      </c>
      <c r="M91" s="550"/>
      <c r="N91" s="549"/>
      <c r="V91" s="674"/>
      <c r="W91" s="675"/>
      <c r="AB91" s="675"/>
      <c r="AD91" s="675"/>
      <c r="AE91" s="537" t="s">
        <v>8097</v>
      </c>
      <c r="AF91" s="675"/>
    </row>
    <row r="92" spans="1:33" s="536" customFormat="1" ht="12" x14ac:dyDescent="0.2">
      <c r="A92" s="1824" t="s">
        <v>1647</v>
      </c>
      <c r="B92" s="1825"/>
      <c r="C92" s="1825"/>
      <c r="D92" s="1825"/>
      <c r="E92" s="1825"/>
      <c r="F92" s="1825"/>
      <c r="G92" s="1825"/>
      <c r="H92" s="1825"/>
      <c r="I92" s="1825"/>
      <c r="J92" s="1825"/>
      <c r="K92" s="1825"/>
      <c r="L92" s="1825"/>
      <c r="M92" s="1825"/>
      <c r="N92" s="1826"/>
      <c r="V92" s="674" t="s">
        <v>1647</v>
      </c>
      <c r="W92" s="675"/>
      <c r="AB92" s="675"/>
      <c r="AD92" s="675"/>
      <c r="AF92" s="675"/>
    </row>
    <row r="93" spans="1:33" s="536" customFormat="1" ht="12" x14ac:dyDescent="0.2">
      <c r="A93" s="1830" t="s">
        <v>1648</v>
      </c>
      <c r="B93" s="1831"/>
      <c r="C93" s="1831"/>
      <c r="D93" s="1831"/>
      <c r="E93" s="1831"/>
      <c r="F93" s="1831"/>
      <c r="G93" s="1831"/>
      <c r="H93" s="1831"/>
      <c r="I93" s="1831"/>
      <c r="J93" s="1831"/>
      <c r="K93" s="1831"/>
      <c r="L93" s="1831"/>
      <c r="M93" s="1831"/>
      <c r="N93" s="1832"/>
      <c r="V93" s="674"/>
      <c r="W93" s="675"/>
      <c r="AB93" s="675"/>
      <c r="AD93" s="675"/>
      <c r="AF93" s="675"/>
      <c r="AG93" s="675" t="s">
        <v>1648</v>
      </c>
    </row>
    <row r="94" spans="1:33" s="536" customFormat="1" ht="56.25" x14ac:dyDescent="0.2">
      <c r="A94" s="575" t="s">
        <v>188</v>
      </c>
      <c r="B94" s="670" t="s">
        <v>1649</v>
      </c>
      <c r="C94" s="1823" t="s">
        <v>1650</v>
      </c>
      <c r="D94" s="1823"/>
      <c r="E94" s="1823"/>
      <c r="F94" s="573" t="s">
        <v>307</v>
      </c>
      <c r="G94" s="573"/>
      <c r="H94" s="573"/>
      <c r="I94" s="573" t="s">
        <v>1554</v>
      </c>
      <c r="J94" s="572"/>
      <c r="K94" s="573"/>
      <c r="L94" s="572"/>
      <c r="M94" s="571"/>
      <c r="N94" s="570"/>
      <c r="V94" s="674"/>
      <c r="W94" s="675" t="s">
        <v>1650</v>
      </c>
      <c r="AB94" s="675"/>
      <c r="AD94" s="675"/>
      <c r="AF94" s="675"/>
      <c r="AG94" s="675"/>
    </row>
    <row r="95" spans="1:33" s="536" customFormat="1" ht="12" x14ac:dyDescent="0.2">
      <c r="A95" s="676"/>
      <c r="B95" s="664"/>
      <c r="C95" s="1822" t="s">
        <v>1651</v>
      </c>
      <c r="D95" s="1822"/>
      <c r="E95" s="1822"/>
      <c r="F95" s="1822"/>
      <c r="G95" s="1822"/>
      <c r="H95" s="1822"/>
      <c r="I95" s="1822"/>
      <c r="J95" s="1822"/>
      <c r="K95" s="1822"/>
      <c r="L95" s="1822"/>
      <c r="M95" s="1822"/>
      <c r="N95" s="1827"/>
      <c r="V95" s="674"/>
      <c r="W95" s="675"/>
      <c r="AB95" s="675"/>
      <c r="AC95" s="537" t="s">
        <v>1651</v>
      </c>
      <c r="AD95" s="675"/>
      <c r="AF95" s="675"/>
      <c r="AG95" s="675"/>
    </row>
    <row r="96" spans="1:33" s="536" customFormat="1" ht="33.75" x14ac:dyDescent="0.2">
      <c r="A96" s="609"/>
      <c r="B96" s="552" t="s">
        <v>310</v>
      </c>
      <c r="C96" s="1822" t="s">
        <v>311</v>
      </c>
      <c r="D96" s="1822"/>
      <c r="E96" s="1822"/>
      <c r="F96" s="1822"/>
      <c r="G96" s="1822"/>
      <c r="H96" s="1822"/>
      <c r="I96" s="1822"/>
      <c r="J96" s="1822"/>
      <c r="K96" s="1822"/>
      <c r="L96" s="1822"/>
      <c r="M96" s="1822"/>
      <c r="N96" s="1827"/>
      <c r="V96" s="674"/>
      <c r="W96" s="675"/>
      <c r="X96" s="537" t="s">
        <v>311</v>
      </c>
      <c r="AB96" s="675"/>
      <c r="AD96" s="675"/>
      <c r="AF96" s="675"/>
      <c r="AG96" s="675"/>
    </row>
    <row r="97" spans="1:33" s="536" customFormat="1" ht="12" x14ac:dyDescent="0.2">
      <c r="A97" s="605"/>
      <c r="B97" s="552" t="s">
        <v>185</v>
      </c>
      <c r="C97" s="1822" t="s">
        <v>312</v>
      </c>
      <c r="D97" s="1822"/>
      <c r="E97" s="1822"/>
      <c r="F97" s="562"/>
      <c r="G97" s="562"/>
      <c r="H97" s="562"/>
      <c r="I97" s="562"/>
      <c r="J97" s="604">
        <v>700.75</v>
      </c>
      <c r="K97" s="562" t="s">
        <v>313</v>
      </c>
      <c r="L97" s="604">
        <v>52.56</v>
      </c>
      <c r="M97" s="603"/>
      <c r="N97" s="602"/>
      <c r="V97" s="674"/>
      <c r="W97" s="675"/>
      <c r="Y97" s="537" t="s">
        <v>312</v>
      </c>
      <c r="AB97" s="675"/>
      <c r="AD97" s="675"/>
      <c r="AF97" s="675"/>
      <c r="AG97" s="675"/>
    </row>
    <row r="98" spans="1:33" s="536" customFormat="1" ht="12" x14ac:dyDescent="0.2">
      <c r="A98" s="605"/>
      <c r="B98" s="552" t="s">
        <v>186</v>
      </c>
      <c r="C98" s="1822" t="s">
        <v>344</v>
      </c>
      <c r="D98" s="1822"/>
      <c r="E98" s="1822"/>
      <c r="F98" s="562"/>
      <c r="G98" s="562"/>
      <c r="H98" s="562"/>
      <c r="I98" s="562"/>
      <c r="J98" s="604">
        <v>158.72</v>
      </c>
      <c r="K98" s="562" t="s">
        <v>313</v>
      </c>
      <c r="L98" s="604">
        <v>11.9</v>
      </c>
      <c r="M98" s="603"/>
      <c r="N98" s="602"/>
      <c r="V98" s="674"/>
      <c r="W98" s="675"/>
      <c r="Y98" s="537" t="s">
        <v>344</v>
      </c>
      <c r="AB98" s="675"/>
      <c r="AD98" s="675"/>
      <c r="AF98" s="675"/>
      <c r="AG98" s="675"/>
    </row>
    <row r="99" spans="1:33" s="536" customFormat="1" ht="12" x14ac:dyDescent="0.2">
      <c r="A99" s="605"/>
      <c r="B99" s="552" t="s">
        <v>187</v>
      </c>
      <c r="C99" s="1822" t="s">
        <v>345</v>
      </c>
      <c r="D99" s="1822"/>
      <c r="E99" s="1822"/>
      <c r="F99" s="562"/>
      <c r="G99" s="562"/>
      <c r="H99" s="562"/>
      <c r="I99" s="562"/>
      <c r="J99" s="604">
        <v>21.97</v>
      </c>
      <c r="K99" s="562" t="s">
        <v>313</v>
      </c>
      <c r="L99" s="604">
        <v>1.65</v>
      </c>
      <c r="M99" s="603"/>
      <c r="N99" s="602"/>
      <c r="V99" s="674"/>
      <c r="W99" s="675"/>
      <c r="Y99" s="537" t="s">
        <v>345</v>
      </c>
      <c r="AB99" s="675"/>
      <c r="AD99" s="675"/>
      <c r="AF99" s="675"/>
      <c r="AG99" s="675"/>
    </row>
    <row r="100" spans="1:33" s="536" customFormat="1" ht="12" x14ac:dyDescent="0.2">
      <c r="A100" s="605"/>
      <c r="B100" s="552" t="s">
        <v>188</v>
      </c>
      <c r="C100" s="1822" t="s">
        <v>475</v>
      </c>
      <c r="D100" s="1822"/>
      <c r="E100" s="1822"/>
      <c r="F100" s="562"/>
      <c r="G100" s="562"/>
      <c r="H100" s="562"/>
      <c r="I100" s="562"/>
      <c r="J100" s="604">
        <v>514.36</v>
      </c>
      <c r="K100" s="562"/>
      <c r="L100" s="604">
        <v>30.86</v>
      </c>
      <c r="M100" s="603"/>
      <c r="N100" s="602"/>
      <c r="V100" s="674"/>
      <c r="W100" s="675"/>
      <c r="Y100" s="537" t="s">
        <v>475</v>
      </c>
      <c r="AB100" s="675"/>
      <c r="AD100" s="675"/>
      <c r="AF100" s="675"/>
      <c r="AG100" s="675"/>
    </row>
    <row r="101" spans="1:33" s="536" customFormat="1" ht="12" x14ac:dyDescent="0.2">
      <c r="A101" s="605"/>
      <c r="B101" s="552"/>
      <c r="C101" s="1822" t="s">
        <v>314</v>
      </c>
      <c r="D101" s="1822"/>
      <c r="E101" s="1822"/>
      <c r="F101" s="562" t="s">
        <v>315</v>
      </c>
      <c r="G101" s="562" t="s">
        <v>1652</v>
      </c>
      <c r="H101" s="562" t="s">
        <v>313</v>
      </c>
      <c r="I101" s="562" t="s">
        <v>1653</v>
      </c>
      <c r="J101" s="604"/>
      <c r="K101" s="562"/>
      <c r="L101" s="604"/>
      <c r="M101" s="603"/>
      <c r="N101" s="602"/>
      <c r="V101" s="674"/>
      <c r="W101" s="675"/>
      <c r="Z101" s="537" t="s">
        <v>314</v>
      </c>
      <c r="AB101" s="675"/>
      <c r="AD101" s="675"/>
      <c r="AF101" s="675"/>
      <c r="AG101" s="675"/>
    </row>
    <row r="102" spans="1:33" s="536" customFormat="1" ht="12" x14ac:dyDescent="0.2">
      <c r="A102" s="605"/>
      <c r="B102" s="552"/>
      <c r="C102" s="1822" t="s">
        <v>348</v>
      </c>
      <c r="D102" s="1822"/>
      <c r="E102" s="1822"/>
      <c r="F102" s="562" t="s">
        <v>315</v>
      </c>
      <c r="G102" s="562" t="s">
        <v>1654</v>
      </c>
      <c r="H102" s="562" t="s">
        <v>313</v>
      </c>
      <c r="I102" s="562" t="s">
        <v>1655</v>
      </c>
      <c r="J102" s="604"/>
      <c r="K102" s="562"/>
      <c r="L102" s="604"/>
      <c r="M102" s="603"/>
      <c r="N102" s="602"/>
      <c r="V102" s="674"/>
      <c r="W102" s="675"/>
      <c r="Z102" s="537" t="s">
        <v>348</v>
      </c>
      <c r="AB102" s="675"/>
      <c r="AD102" s="675"/>
      <c r="AF102" s="675"/>
      <c r="AG102" s="675"/>
    </row>
    <row r="103" spans="1:33" s="536" customFormat="1" ht="12" x14ac:dyDescent="0.2">
      <c r="A103" s="605"/>
      <c r="B103" s="552"/>
      <c r="C103" s="1828" t="s">
        <v>318</v>
      </c>
      <c r="D103" s="1828"/>
      <c r="E103" s="1828"/>
      <c r="F103" s="608"/>
      <c r="G103" s="608"/>
      <c r="H103" s="608"/>
      <c r="I103" s="608"/>
      <c r="J103" s="607">
        <v>1373.83</v>
      </c>
      <c r="K103" s="608"/>
      <c r="L103" s="607">
        <v>95.32</v>
      </c>
      <c r="M103" s="601"/>
      <c r="N103" s="606"/>
      <c r="V103" s="674"/>
      <c r="W103" s="675"/>
      <c r="AA103" s="537" t="s">
        <v>318</v>
      </c>
      <c r="AB103" s="675"/>
      <c r="AD103" s="675"/>
      <c r="AF103" s="675"/>
      <c r="AG103" s="675"/>
    </row>
    <row r="104" spans="1:33" s="536" customFormat="1" ht="12" x14ac:dyDescent="0.2">
      <c r="A104" s="605"/>
      <c r="B104" s="552"/>
      <c r="C104" s="1822" t="s">
        <v>319</v>
      </c>
      <c r="D104" s="1822"/>
      <c r="E104" s="1822"/>
      <c r="F104" s="562"/>
      <c r="G104" s="562"/>
      <c r="H104" s="562"/>
      <c r="I104" s="562"/>
      <c r="J104" s="604"/>
      <c r="K104" s="562"/>
      <c r="L104" s="604">
        <v>54.21</v>
      </c>
      <c r="M104" s="603"/>
      <c r="N104" s="602"/>
      <c r="V104" s="674"/>
      <c r="W104" s="675"/>
      <c r="Z104" s="537" t="s">
        <v>319</v>
      </c>
      <c r="AB104" s="675"/>
      <c r="AD104" s="675"/>
      <c r="AF104" s="675"/>
      <c r="AG104" s="675"/>
    </row>
    <row r="105" spans="1:33" s="536" customFormat="1" ht="33.75" x14ac:dyDescent="0.2">
      <c r="A105" s="605"/>
      <c r="B105" s="552" t="s">
        <v>1631</v>
      </c>
      <c r="C105" s="1822" t="s">
        <v>1632</v>
      </c>
      <c r="D105" s="1822"/>
      <c r="E105" s="1822"/>
      <c r="F105" s="562" t="s">
        <v>322</v>
      </c>
      <c r="G105" s="562" t="s">
        <v>1633</v>
      </c>
      <c r="H105" s="562"/>
      <c r="I105" s="562" t="s">
        <v>1633</v>
      </c>
      <c r="J105" s="604"/>
      <c r="K105" s="562"/>
      <c r="L105" s="604">
        <v>52.58</v>
      </c>
      <c r="M105" s="603"/>
      <c r="N105" s="602"/>
      <c r="V105" s="674"/>
      <c r="W105" s="675"/>
      <c r="Z105" s="537" t="s">
        <v>1632</v>
      </c>
      <c r="AB105" s="675"/>
      <c r="AD105" s="675"/>
      <c r="AF105" s="675"/>
      <c r="AG105" s="675"/>
    </row>
    <row r="106" spans="1:33" s="536" customFormat="1" ht="33.75" x14ac:dyDescent="0.2">
      <c r="A106" s="605"/>
      <c r="B106" s="552" t="s">
        <v>1634</v>
      </c>
      <c r="C106" s="1822" t="s">
        <v>1635</v>
      </c>
      <c r="D106" s="1822"/>
      <c r="E106" s="1822"/>
      <c r="F106" s="562" t="s">
        <v>322</v>
      </c>
      <c r="G106" s="562" t="s">
        <v>786</v>
      </c>
      <c r="H106" s="562"/>
      <c r="I106" s="562" t="s">
        <v>786</v>
      </c>
      <c r="J106" s="604"/>
      <c r="K106" s="562"/>
      <c r="L106" s="604">
        <v>27.65</v>
      </c>
      <c r="M106" s="603"/>
      <c r="N106" s="602"/>
      <c r="V106" s="674"/>
      <c r="W106" s="675"/>
      <c r="Z106" s="537" t="s">
        <v>1635</v>
      </c>
      <c r="AB106" s="675"/>
      <c r="AD106" s="675"/>
      <c r="AF106" s="675"/>
      <c r="AG106" s="675"/>
    </row>
    <row r="107" spans="1:33" s="536" customFormat="1" ht="12" x14ac:dyDescent="0.2">
      <c r="A107" s="569"/>
      <c r="B107" s="671"/>
      <c r="C107" s="1823" t="s">
        <v>327</v>
      </c>
      <c r="D107" s="1823"/>
      <c r="E107" s="1823"/>
      <c r="F107" s="573"/>
      <c r="G107" s="573"/>
      <c r="H107" s="573"/>
      <c r="I107" s="573"/>
      <c r="J107" s="572"/>
      <c r="K107" s="573"/>
      <c r="L107" s="572">
        <v>175.55</v>
      </c>
      <c r="M107" s="601"/>
      <c r="N107" s="570"/>
      <c r="V107" s="674"/>
      <c r="W107" s="675"/>
      <c r="AB107" s="675" t="s">
        <v>327</v>
      </c>
      <c r="AD107" s="675"/>
      <c r="AF107" s="675"/>
      <c r="AG107" s="675"/>
    </row>
    <row r="108" spans="1:33" s="536" customFormat="1" ht="33.75" x14ac:dyDescent="0.2">
      <c r="A108" s="575" t="s">
        <v>189</v>
      </c>
      <c r="B108" s="670" t="s">
        <v>1656</v>
      </c>
      <c r="C108" s="1823" t="s">
        <v>1657</v>
      </c>
      <c r="D108" s="1823"/>
      <c r="E108" s="1823"/>
      <c r="F108" s="573" t="s">
        <v>628</v>
      </c>
      <c r="G108" s="573"/>
      <c r="H108" s="573"/>
      <c r="I108" s="573" t="s">
        <v>190</v>
      </c>
      <c r="J108" s="572">
        <v>4286.97</v>
      </c>
      <c r="K108" s="573" t="s">
        <v>716</v>
      </c>
      <c r="L108" s="572">
        <v>3153.37</v>
      </c>
      <c r="M108" s="571">
        <v>8.32</v>
      </c>
      <c r="N108" s="570">
        <v>26236</v>
      </c>
      <c r="V108" s="674"/>
      <c r="W108" s="675" t="s">
        <v>1657</v>
      </c>
      <c r="AB108" s="675"/>
      <c r="AD108" s="675"/>
      <c r="AF108" s="675"/>
      <c r="AG108" s="675"/>
    </row>
    <row r="109" spans="1:33" s="536" customFormat="1" ht="12" x14ac:dyDescent="0.2">
      <c r="A109" s="569"/>
      <c r="B109" s="671"/>
      <c r="C109" s="665" t="s">
        <v>1658</v>
      </c>
      <c r="D109" s="666"/>
      <c r="E109" s="666"/>
      <c r="F109" s="563"/>
      <c r="G109" s="563"/>
      <c r="H109" s="563"/>
      <c r="I109" s="563"/>
      <c r="J109" s="566"/>
      <c r="K109" s="563"/>
      <c r="L109" s="566"/>
      <c r="M109" s="565"/>
      <c r="N109" s="564"/>
      <c r="V109" s="674"/>
      <c r="W109" s="675"/>
      <c r="AB109" s="675"/>
      <c r="AD109" s="675"/>
      <c r="AF109" s="675"/>
      <c r="AG109" s="675"/>
    </row>
    <row r="110" spans="1:33" s="536" customFormat="1" ht="22.5" x14ac:dyDescent="0.2">
      <c r="A110" s="609"/>
      <c r="B110" s="552" t="s">
        <v>718</v>
      </c>
      <c r="C110" s="1822" t="s">
        <v>719</v>
      </c>
      <c r="D110" s="1822"/>
      <c r="E110" s="1822"/>
      <c r="F110" s="1822"/>
      <c r="G110" s="1822"/>
      <c r="H110" s="1822"/>
      <c r="I110" s="1822"/>
      <c r="J110" s="1822"/>
      <c r="K110" s="1822"/>
      <c r="L110" s="1822"/>
      <c r="M110" s="1822"/>
      <c r="N110" s="1827"/>
      <c r="V110" s="674"/>
      <c r="W110" s="675"/>
      <c r="X110" s="537" t="s">
        <v>719</v>
      </c>
      <c r="AB110" s="675"/>
      <c r="AD110" s="675"/>
      <c r="AF110" s="675"/>
      <c r="AG110" s="675"/>
    </row>
    <row r="111" spans="1:33" s="536" customFormat="1" ht="12" x14ac:dyDescent="0.2">
      <c r="A111" s="1830" t="s">
        <v>1659</v>
      </c>
      <c r="B111" s="1831"/>
      <c r="C111" s="1831"/>
      <c r="D111" s="1831"/>
      <c r="E111" s="1831"/>
      <c r="F111" s="1831"/>
      <c r="G111" s="1831"/>
      <c r="H111" s="1831"/>
      <c r="I111" s="1831"/>
      <c r="J111" s="1831"/>
      <c r="K111" s="1831"/>
      <c r="L111" s="1831"/>
      <c r="M111" s="1831"/>
      <c r="N111" s="1832"/>
      <c r="V111" s="674"/>
      <c r="W111" s="675"/>
      <c r="AB111" s="675"/>
      <c r="AD111" s="675"/>
      <c r="AF111" s="675"/>
      <c r="AG111" s="675" t="s">
        <v>1659</v>
      </c>
    </row>
    <row r="112" spans="1:33" s="536" customFormat="1" ht="22.5" x14ac:dyDescent="0.2">
      <c r="A112" s="575" t="s">
        <v>190</v>
      </c>
      <c r="B112" s="670" t="s">
        <v>1660</v>
      </c>
      <c r="C112" s="1823" t="s">
        <v>1661</v>
      </c>
      <c r="D112" s="1823"/>
      <c r="E112" s="1823"/>
      <c r="F112" s="573" t="s">
        <v>307</v>
      </c>
      <c r="G112" s="573"/>
      <c r="H112" s="573"/>
      <c r="I112" s="573" t="s">
        <v>809</v>
      </c>
      <c r="J112" s="572"/>
      <c r="K112" s="573"/>
      <c r="L112" s="572"/>
      <c r="M112" s="571"/>
      <c r="N112" s="570"/>
      <c r="V112" s="674"/>
      <c r="W112" s="675" t="s">
        <v>1661</v>
      </c>
      <c r="AB112" s="675"/>
      <c r="AD112" s="675"/>
      <c r="AF112" s="675"/>
      <c r="AG112" s="675"/>
    </row>
    <row r="113" spans="1:33" s="536" customFormat="1" ht="12" x14ac:dyDescent="0.2">
      <c r="A113" s="676"/>
      <c r="B113" s="664"/>
      <c r="C113" s="1822" t="s">
        <v>843</v>
      </c>
      <c r="D113" s="1822"/>
      <c r="E113" s="1822"/>
      <c r="F113" s="1822"/>
      <c r="G113" s="1822"/>
      <c r="H113" s="1822"/>
      <c r="I113" s="1822"/>
      <c r="J113" s="1822"/>
      <c r="K113" s="1822"/>
      <c r="L113" s="1822"/>
      <c r="M113" s="1822"/>
      <c r="N113" s="1827"/>
      <c r="V113" s="674"/>
      <c r="W113" s="675"/>
      <c r="AB113" s="675"/>
      <c r="AC113" s="537" t="s">
        <v>843</v>
      </c>
      <c r="AD113" s="675"/>
      <c r="AF113" s="675"/>
      <c r="AG113" s="675"/>
    </row>
    <row r="114" spans="1:33" s="536" customFormat="1" ht="33.75" x14ac:dyDescent="0.2">
      <c r="A114" s="609"/>
      <c r="B114" s="552" t="s">
        <v>310</v>
      </c>
      <c r="C114" s="1822" t="s">
        <v>311</v>
      </c>
      <c r="D114" s="1822"/>
      <c r="E114" s="1822"/>
      <c r="F114" s="1822"/>
      <c r="G114" s="1822"/>
      <c r="H114" s="1822"/>
      <c r="I114" s="1822"/>
      <c r="J114" s="1822"/>
      <c r="K114" s="1822"/>
      <c r="L114" s="1822"/>
      <c r="M114" s="1822"/>
      <c r="N114" s="1827"/>
      <c r="V114" s="674"/>
      <c r="W114" s="675"/>
      <c r="X114" s="537" t="s">
        <v>311</v>
      </c>
      <c r="AB114" s="675"/>
      <c r="AD114" s="675"/>
      <c r="AF114" s="675"/>
      <c r="AG114" s="675"/>
    </row>
    <row r="115" spans="1:33" s="536" customFormat="1" ht="12" x14ac:dyDescent="0.2">
      <c r="A115" s="605"/>
      <c r="B115" s="552" t="s">
        <v>185</v>
      </c>
      <c r="C115" s="1822" t="s">
        <v>312</v>
      </c>
      <c r="D115" s="1822"/>
      <c r="E115" s="1822"/>
      <c r="F115" s="562"/>
      <c r="G115" s="562"/>
      <c r="H115" s="562"/>
      <c r="I115" s="562"/>
      <c r="J115" s="604">
        <v>603.14</v>
      </c>
      <c r="K115" s="562" t="s">
        <v>313</v>
      </c>
      <c r="L115" s="604">
        <v>7.54</v>
      </c>
      <c r="M115" s="603"/>
      <c r="N115" s="602"/>
      <c r="V115" s="674"/>
      <c r="W115" s="675"/>
      <c r="Y115" s="537" t="s">
        <v>312</v>
      </c>
      <c r="AB115" s="675"/>
      <c r="AD115" s="675"/>
      <c r="AF115" s="675"/>
      <c r="AG115" s="675"/>
    </row>
    <row r="116" spans="1:33" s="536" customFormat="1" ht="12" x14ac:dyDescent="0.2">
      <c r="A116" s="605"/>
      <c r="B116" s="552" t="s">
        <v>186</v>
      </c>
      <c r="C116" s="1822" t="s">
        <v>344</v>
      </c>
      <c r="D116" s="1822"/>
      <c r="E116" s="1822"/>
      <c r="F116" s="562"/>
      <c r="G116" s="562"/>
      <c r="H116" s="562"/>
      <c r="I116" s="562"/>
      <c r="J116" s="604">
        <v>34.92</v>
      </c>
      <c r="K116" s="562" t="s">
        <v>313</v>
      </c>
      <c r="L116" s="604">
        <v>0.44</v>
      </c>
      <c r="M116" s="603"/>
      <c r="N116" s="602"/>
      <c r="V116" s="674"/>
      <c r="W116" s="675"/>
      <c r="Y116" s="537" t="s">
        <v>344</v>
      </c>
      <c r="AB116" s="675"/>
      <c r="AD116" s="675"/>
      <c r="AF116" s="675"/>
      <c r="AG116" s="675"/>
    </row>
    <row r="117" spans="1:33" s="536" customFormat="1" ht="12" x14ac:dyDescent="0.2">
      <c r="A117" s="605"/>
      <c r="B117" s="552" t="s">
        <v>187</v>
      </c>
      <c r="C117" s="1822" t="s">
        <v>345</v>
      </c>
      <c r="D117" s="1822"/>
      <c r="E117" s="1822"/>
      <c r="F117" s="562"/>
      <c r="G117" s="562"/>
      <c r="H117" s="562"/>
      <c r="I117" s="562"/>
      <c r="J117" s="604">
        <v>1.51</v>
      </c>
      <c r="K117" s="562" t="s">
        <v>313</v>
      </c>
      <c r="L117" s="604">
        <v>0.02</v>
      </c>
      <c r="M117" s="603"/>
      <c r="N117" s="602"/>
      <c r="V117" s="674"/>
      <c r="W117" s="675"/>
      <c r="Y117" s="537" t="s">
        <v>345</v>
      </c>
      <c r="AB117" s="675"/>
      <c r="AD117" s="675"/>
      <c r="AF117" s="675"/>
      <c r="AG117" s="675"/>
    </row>
    <row r="118" spans="1:33" s="536" customFormat="1" ht="12" x14ac:dyDescent="0.2">
      <c r="A118" s="605"/>
      <c r="B118" s="552" t="s">
        <v>188</v>
      </c>
      <c r="C118" s="1822" t="s">
        <v>475</v>
      </c>
      <c r="D118" s="1822"/>
      <c r="E118" s="1822"/>
      <c r="F118" s="562"/>
      <c r="G118" s="562"/>
      <c r="H118" s="562"/>
      <c r="I118" s="562"/>
      <c r="J118" s="604">
        <v>135.44</v>
      </c>
      <c r="K118" s="562"/>
      <c r="L118" s="604">
        <v>1.35</v>
      </c>
      <c r="M118" s="603"/>
      <c r="N118" s="602"/>
      <c r="V118" s="674"/>
      <c r="W118" s="675"/>
      <c r="Y118" s="537" t="s">
        <v>475</v>
      </c>
      <c r="AB118" s="675"/>
      <c r="AD118" s="675"/>
      <c r="AF118" s="675"/>
      <c r="AG118" s="675"/>
    </row>
    <row r="119" spans="1:33" s="536" customFormat="1" ht="12" x14ac:dyDescent="0.2">
      <c r="A119" s="605"/>
      <c r="B119" s="552"/>
      <c r="C119" s="1822" t="s">
        <v>314</v>
      </c>
      <c r="D119" s="1822"/>
      <c r="E119" s="1822"/>
      <c r="F119" s="562" t="s">
        <v>315</v>
      </c>
      <c r="G119" s="562" t="s">
        <v>1662</v>
      </c>
      <c r="H119" s="562" t="s">
        <v>313</v>
      </c>
      <c r="I119" s="562" t="s">
        <v>2541</v>
      </c>
      <c r="J119" s="604"/>
      <c r="K119" s="562"/>
      <c r="L119" s="604"/>
      <c r="M119" s="603"/>
      <c r="N119" s="602"/>
      <c r="V119" s="674"/>
      <c r="W119" s="675"/>
      <c r="Z119" s="537" t="s">
        <v>314</v>
      </c>
      <c r="AB119" s="675"/>
      <c r="AD119" s="675"/>
      <c r="AF119" s="675"/>
      <c r="AG119" s="675"/>
    </row>
    <row r="120" spans="1:33" s="536" customFormat="1" ht="12" x14ac:dyDescent="0.2">
      <c r="A120" s="605"/>
      <c r="B120" s="552"/>
      <c r="C120" s="1822" t="s">
        <v>348</v>
      </c>
      <c r="D120" s="1822"/>
      <c r="E120" s="1822"/>
      <c r="F120" s="562" t="s">
        <v>315</v>
      </c>
      <c r="G120" s="562" t="s">
        <v>646</v>
      </c>
      <c r="H120" s="562" t="s">
        <v>313</v>
      </c>
      <c r="I120" s="562" t="s">
        <v>2487</v>
      </c>
      <c r="J120" s="604"/>
      <c r="K120" s="562"/>
      <c r="L120" s="604"/>
      <c r="M120" s="603"/>
      <c r="N120" s="602"/>
      <c r="V120" s="674"/>
      <c r="W120" s="675"/>
      <c r="Z120" s="537" t="s">
        <v>348</v>
      </c>
      <c r="AB120" s="675"/>
      <c r="AD120" s="675"/>
      <c r="AF120" s="675"/>
      <c r="AG120" s="675"/>
    </row>
    <row r="121" spans="1:33" s="536" customFormat="1" ht="12" x14ac:dyDescent="0.2">
      <c r="A121" s="605"/>
      <c r="B121" s="552"/>
      <c r="C121" s="1828" t="s">
        <v>318</v>
      </c>
      <c r="D121" s="1828"/>
      <c r="E121" s="1828"/>
      <c r="F121" s="608"/>
      <c r="G121" s="608"/>
      <c r="H121" s="608"/>
      <c r="I121" s="608"/>
      <c r="J121" s="607">
        <v>773.5</v>
      </c>
      <c r="K121" s="608"/>
      <c r="L121" s="607">
        <v>9.33</v>
      </c>
      <c r="M121" s="601"/>
      <c r="N121" s="606"/>
      <c r="V121" s="674"/>
      <c r="W121" s="675"/>
      <c r="AA121" s="537" t="s">
        <v>318</v>
      </c>
      <c r="AB121" s="675"/>
      <c r="AD121" s="675"/>
      <c r="AF121" s="675"/>
      <c r="AG121" s="675"/>
    </row>
    <row r="122" spans="1:33" s="536" customFormat="1" ht="12" x14ac:dyDescent="0.2">
      <c r="A122" s="605"/>
      <c r="B122" s="552"/>
      <c r="C122" s="1822" t="s">
        <v>319</v>
      </c>
      <c r="D122" s="1822"/>
      <c r="E122" s="1822"/>
      <c r="F122" s="562"/>
      <c r="G122" s="562"/>
      <c r="H122" s="562"/>
      <c r="I122" s="562"/>
      <c r="J122" s="604"/>
      <c r="K122" s="562"/>
      <c r="L122" s="604">
        <v>7.56</v>
      </c>
      <c r="M122" s="603"/>
      <c r="N122" s="602"/>
      <c r="V122" s="674"/>
      <c r="W122" s="675"/>
      <c r="Z122" s="537" t="s">
        <v>319</v>
      </c>
      <c r="AB122" s="675"/>
      <c r="AD122" s="675"/>
      <c r="AF122" s="675"/>
      <c r="AG122" s="675"/>
    </row>
    <row r="123" spans="1:33" s="536" customFormat="1" ht="33.75" x14ac:dyDescent="0.2">
      <c r="A123" s="605"/>
      <c r="B123" s="552" t="s">
        <v>1631</v>
      </c>
      <c r="C123" s="1822" t="s">
        <v>1632</v>
      </c>
      <c r="D123" s="1822"/>
      <c r="E123" s="1822"/>
      <c r="F123" s="562" t="s">
        <v>322</v>
      </c>
      <c r="G123" s="562" t="s">
        <v>1633</v>
      </c>
      <c r="H123" s="562"/>
      <c r="I123" s="562" t="s">
        <v>1633</v>
      </c>
      <c r="J123" s="604"/>
      <c r="K123" s="562"/>
      <c r="L123" s="604">
        <v>7.33</v>
      </c>
      <c r="M123" s="603"/>
      <c r="N123" s="602"/>
      <c r="V123" s="674"/>
      <c r="W123" s="675"/>
      <c r="Z123" s="537" t="s">
        <v>1632</v>
      </c>
      <c r="AB123" s="675"/>
      <c r="AD123" s="675"/>
      <c r="AF123" s="675"/>
      <c r="AG123" s="675"/>
    </row>
    <row r="124" spans="1:33" s="536" customFormat="1" ht="33.75" x14ac:dyDescent="0.2">
      <c r="A124" s="605"/>
      <c r="B124" s="552" t="s">
        <v>1634</v>
      </c>
      <c r="C124" s="1822" t="s">
        <v>1635</v>
      </c>
      <c r="D124" s="1822"/>
      <c r="E124" s="1822"/>
      <c r="F124" s="562" t="s">
        <v>322</v>
      </c>
      <c r="G124" s="562" t="s">
        <v>786</v>
      </c>
      <c r="H124" s="562"/>
      <c r="I124" s="562" t="s">
        <v>786</v>
      </c>
      <c r="J124" s="604"/>
      <c r="K124" s="562"/>
      <c r="L124" s="604">
        <v>3.86</v>
      </c>
      <c r="M124" s="603"/>
      <c r="N124" s="602"/>
      <c r="V124" s="674"/>
      <c r="W124" s="675"/>
      <c r="Z124" s="537" t="s">
        <v>1635</v>
      </c>
      <c r="AB124" s="675"/>
      <c r="AD124" s="675"/>
      <c r="AF124" s="675"/>
      <c r="AG124" s="675"/>
    </row>
    <row r="125" spans="1:33" s="536" customFormat="1" ht="12" x14ac:dyDescent="0.2">
      <c r="A125" s="569"/>
      <c r="B125" s="671"/>
      <c r="C125" s="1823" t="s">
        <v>327</v>
      </c>
      <c r="D125" s="1823"/>
      <c r="E125" s="1823"/>
      <c r="F125" s="573"/>
      <c r="G125" s="573"/>
      <c r="H125" s="573"/>
      <c r="I125" s="573"/>
      <c r="J125" s="572"/>
      <c r="K125" s="573"/>
      <c r="L125" s="572">
        <v>20.52</v>
      </c>
      <c r="M125" s="601"/>
      <c r="N125" s="570"/>
      <c r="V125" s="674"/>
      <c r="W125" s="675"/>
      <c r="AB125" s="675" t="s">
        <v>327</v>
      </c>
      <c r="AD125" s="675"/>
      <c r="AF125" s="675"/>
      <c r="AG125" s="675"/>
    </row>
    <row r="126" spans="1:33" s="536" customFormat="1" ht="33.75" x14ac:dyDescent="0.2">
      <c r="A126" s="575" t="s">
        <v>191</v>
      </c>
      <c r="B126" s="670" t="s">
        <v>1665</v>
      </c>
      <c r="C126" s="1823" t="s">
        <v>3366</v>
      </c>
      <c r="D126" s="1823"/>
      <c r="E126" s="1823"/>
      <c r="F126" s="573" t="s">
        <v>628</v>
      </c>
      <c r="G126" s="573"/>
      <c r="H126" s="573"/>
      <c r="I126" s="573" t="s">
        <v>185</v>
      </c>
      <c r="J126" s="572">
        <v>175.06</v>
      </c>
      <c r="K126" s="573" t="s">
        <v>716</v>
      </c>
      <c r="L126" s="572">
        <v>21.51</v>
      </c>
      <c r="M126" s="571">
        <v>8.32</v>
      </c>
      <c r="N126" s="570">
        <v>179</v>
      </c>
      <c r="V126" s="674"/>
      <c r="W126" s="675" t="s">
        <v>3366</v>
      </c>
      <c r="AB126" s="675"/>
      <c r="AD126" s="675"/>
      <c r="AF126" s="675"/>
      <c r="AG126" s="675"/>
    </row>
    <row r="127" spans="1:33" s="536" customFormat="1" ht="12" x14ac:dyDescent="0.2">
      <c r="A127" s="569"/>
      <c r="B127" s="671"/>
      <c r="C127" s="665" t="s">
        <v>1658</v>
      </c>
      <c r="D127" s="666"/>
      <c r="E127" s="666"/>
      <c r="F127" s="563"/>
      <c r="G127" s="563"/>
      <c r="H127" s="563"/>
      <c r="I127" s="563"/>
      <c r="J127" s="566"/>
      <c r="K127" s="563"/>
      <c r="L127" s="566"/>
      <c r="M127" s="565"/>
      <c r="N127" s="564"/>
      <c r="V127" s="674"/>
      <c r="W127" s="675"/>
      <c r="AB127" s="675"/>
      <c r="AD127" s="675"/>
      <c r="AF127" s="675"/>
      <c r="AG127" s="675"/>
    </row>
    <row r="128" spans="1:33" s="536" customFormat="1" ht="22.5" x14ac:dyDescent="0.2">
      <c r="A128" s="609"/>
      <c r="B128" s="552" t="s">
        <v>718</v>
      </c>
      <c r="C128" s="1822" t="s">
        <v>719</v>
      </c>
      <c r="D128" s="1822"/>
      <c r="E128" s="1822"/>
      <c r="F128" s="1822"/>
      <c r="G128" s="1822"/>
      <c r="H128" s="1822"/>
      <c r="I128" s="1822"/>
      <c r="J128" s="1822"/>
      <c r="K128" s="1822"/>
      <c r="L128" s="1822"/>
      <c r="M128" s="1822"/>
      <c r="N128" s="1827"/>
      <c r="V128" s="674"/>
      <c r="W128" s="675"/>
      <c r="X128" s="537" t="s">
        <v>719</v>
      </c>
      <c r="AB128" s="675"/>
      <c r="AD128" s="675"/>
      <c r="AF128" s="675"/>
      <c r="AG128" s="675"/>
    </row>
    <row r="129" spans="1:33" s="536" customFormat="1" ht="12" x14ac:dyDescent="0.2">
      <c r="A129" s="1830" t="s">
        <v>1667</v>
      </c>
      <c r="B129" s="1831"/>
      <c r="C129" s="1831"/>
      <c r="D129" s="1831"/>
      <c r="E129" s="1831"/>
      <c r="F129" s="1831"/>
      <c r="G129" s="1831"/>
      <c r="H129" s="1831"/>
      <c r="I129" s="1831"/>
      <c r="J129" s="1831"/>
      <c r="K129" s="1831"/>
      <c r="L129" s="1831"/>
      <c r="M129" s="1831"/>
      <c r="N129" s="1832"/>
      <c r="V129" s="674"/>
      <c r="W129" s="675"/>
      <c r="AB129" s="675"/>
      <c r="AD129" s="675"/>
      <c r="AF129" s="675"/>
      <c r="AG129" s="675" t="s">
        <v>1667</v>
      </c>
    </row>
    <row r="130" spans="1:33" s="536" customFormat="1" ht="45" x14ac:dyDescent="0.2">
      <c r="A130" s="575" t="s">
        <v>192</v>
      </c>
      <c r="B130" s="670" t="s">
        <v>1668</v>
      </c>
      <c r="C130" s="1823" t="s">
        <v>1669</v>
      </c>
      <c r="D130" s="1823"/>
      <c r="E130" s="1823"/>
      <c r="F130" s="573" t="s">
        <v>1110</v>
      </c>
      <c r="G130" s="573"/>
      <c r="H130" s="573"/>
      <c r="I130" s="573" t="s">
        <v>691</v>
      </c>
      <c r="J130" s="572"/>
      <c r="K130" s="573"/>
      <c r="L130" s="572"/>
      <c r="M130" s="571"/>
      <c r="N130" s="570"/>
      <c r="V130" s="674"/>
      <c r="W130" s="675" t="s">
        <v>1669</v>
      </c>
      <c r="AB130" s="675"/>
      <c r="AD130" s="675"/>
      <c r="AF130" s="675"/>
      <c r="AG130" s="675"/>
    </row>
    <row r="131" spans="1:33" s="536" customFormat="1" ht="12" x14ac:dyDescent="0.2">
      <c r="A131" s="676"/>
      <c r="B131" s="664"/>
      <c r="C131" s="1822" t="s">
        <v>1670</v>
      </c>
      <c r="D131" s="1822"/>
      <c r="E131" s="1822"/>
      <c r="F131" s="1822"/>
      <c r="G131" s="1822"/>
      <c r="H131" s="1822"/>
      <c r="I131" s="1822"/>
      <c r="J131" s="1822"/>
      <c r="K131" s="1822"/>
      <c r="L131" s="1822"/>
      <c r="M131" s="1822"/>
      <c r="N131" s="1827"/>
      <c r="V131" s="674"/>
      <c r="W131" s="675"/>
      <c r="AB131" s="675"/>
      <c r="AC131" s="537" t="s">
        <v>1670</v>
      </c>
      <c r="AD131" s="675"/>
      <c r="AF131" s="675"/>
      <c r="AG131" s="675"/>
    </row>
    <row r="132" spans="1:33" s="536" customFormat="1" ht="33.75" x14ac:dyDescent="0.2">
      <c r="A132" s="609"/>
      <c r="B132" s="552" t="s">
        <v>310</v>
      </c>
      <c r="C132" s="1822" t="s">
        <v>311</v>
      </c>
      <c r="D132" s="1822"/>
      <c r="E132" s="1822"/>
      <c r="F132" s="1822"/>
      <c r="G132" s="1822"/>
      <c r="H132" s="1822"/>
      <c r="I132" s="1822"/>
      <c r="J132" s="1822"/>
      <c r="K132" s="1822"/>
      <c r="L132" s="1822"/>
      <c r="M132" s="1822"/>
      <c r="N132" s="1827"/>
      <c r="V132" s="674"/>
      <c r="W132" s="675"/>
      <c r="X132" s="537" t="s">
        <v>311</v>
      </c>
      <c r="AB132" s="675"/>
      <c r="AD132" s="675"/>
      <c r="AF132" s="675"/>
      <c r="AG132" s="675"/>
    </row>
    <row r="133" spans="1:33" s="536" customFormat="1" ht="12" x14ac:dyDescent="0.2">
      <c r="A133" s="605"/>
      <c r="B133" s="552" t="s">
        <v>185</v>
      </c>
      <c r="C133" s="1822" t="s">
        <v>312</v>
      </c>
      <c r="D133" s="1822"/>
      <c r="E133" s="1822"/>
      <c r="F133" s="562"/>
      <c r="G133" s="562"/>
      <c r="H133" s="562"/>
      <c r="I133" s="562"/>
      <c r="J133" s="604">
        <v>139.54</v>
      </c>
      <c r="K133" s="562" t="s">
        <v>313</v>
      </c>
      <c r="L133" s="604">
        <v>61.05</v>
      </c>
      <c r="M133" s="603"/>
      <c r="N133" s="602"/>
      <c r="V133" s="674"/>
      <c r="W133" s="675"/>
      <c r="Y133" s="537" t="s">
        <v>312</v>
      </c>
      <c r="AB133" s="675"/>
      <c r="AD133" s="675"/>
      <c r="AF133" s="675"/>
      <c r="AG133" s="675"/>
    </row>
    <row r="134" spans="1:33" s="536" customFormat="1" ht="12" x14ac:dyDescent="0.2">
      <c r="A134" s="605"/>
      <c r="B134" s="552" t="s">
        <v>188</v>
      </c>
      <c r="C134" s="1822" t="s">
        <v>475</v>
      </c>
      <c r="D134" s="1822"/>
      <c r="E134" s="1822"/>
      <c r="F134" s="562"/>
      <c r="G134" s="562"/>
      <c r="H134" s="562"/>
      <c r="I134" s="562"/>
      <c r="J134" s="604">
        <v>16.79</v>
      </c>
      <c r="K134" s="562"/>
      <c r="L134" s="604">
        <v>5.88</v>
      </c>
      <c r="M134" s="603"/>
      <c r="N134" s="602"/>
      <c r="V134" s="674"/>
      <c r="W134" s="675"/>
      <c r="Y134" s="537" t="s">
        <v>475</v>
      </c>
      <c r="AB134" s="675"/>
      <c r="AD134" s="675"/>
      <c r="AF134" s="675"/>
      <c r="AG134" s="675"/>
    </row>
    <row r="135" spans="1:33" s="536" customFormat="1" ht="12" x14ac:dyDescent="0.2">
      <c r="A135" s="605"/>
      <c r="B135" s="552"/>
      <c r="C135" s="1822" t="s">
        <v>314</v>
      </c>
      <c r="D135" s="1822"/>
      <c r="E135" s="1822"/>
      <c r="F135" s="562" t="s">
        <v>315</v>
      </c>
      <c r="G135" s="562" t="s">
        <v>1671</v>
      </c>
      <c r="H135" s="562" t="s">
        <v>313</v>
      </c>
      <c r="I135" s="562" t="s">
        <v>1672</v>
      </c>
      <c r="J135" s="604"/>
      <c r="K135" s="562"/>
      <c r="L135" s="604"/>
      <c r="M135" s="603"/>
      <c r="N135" s="602"/>
      <c r="V135" s="674"/>
      <c r="W135" s="675"/>
      <c r="Z135" s="537" t="s">
        <v>314</v>
      </c>
      <c r="AB135" s="675"/>
      <c r="AD135" s="675"/>
      <c r="AF135" s="675"/>
      <c r="AG135" s="675"/>
    </row>
    <row r="136" spans="1:33" s="536" customFormat="1" ht="12" x14ac:dyDescent="0.2">
      <c r="A136" s="605"/>
      <c r="B136" s="552"/>
      <c r="C136" s="1828" t="s">
        <v>318</v>
      </c>
      <c r="D136" s="1828"/>
      <c r="E136" s="1828"/>
      <c r="F136" s="608"/>
      <c r="G136" s="608"/>
      <c r="H136" s="608"/>
      <c r="I136" s="608"/>
      <c r="J136" s="607">
        <v>156.33000000000001</v>
      </c>
      <c r="K136" s="608"/>
      <c r="L136" s="607">
        <v>66.930000000000007</v>
      </c>
      <c r="M136" s="601"/>
      <c r="N136" s="606"/>
      <c r="V136" s="674"/>
      <c r="W136" s="675"/>
      <c r="AA136" s="537" t="s">
        <v>318</v>
      </c>
      <c r="AB136" s="675"/>
      <c r="AD136" s="675"/>
      <c r="AF136" s="675"/>
      <c r="AG136" s="675"/>
    </row>
    <row r="137" spans="1:33" s="536" customFormat="1" ht="12" x14ac:dyDescent="0.2">
      <c r="A137" s="605"/>
      <c r="B137" s="552"/>
      <c r="C137" s="1822" t="s">
        <v>319</v>
      </c>
      <c r="D137" s="1822"/>
      <c r="E137" s="1822"/>
      <c r="F137" s="562"/>
      <c r="G137" s="562"/>
      <c r="H137" s="562"/>
      <c r="I137" s="562"/>
      <c r="J137" s="604"/>
      <c r="K137" s="562"/>
      <c r="L137" s="604">
        <v>61.05</v>
      </c>
      <c r="M137" s="603"/>
      <c r="N137" s="602"/>
      <c r="V137" s="674"/>
      <c r="W137" s="675"/>
      <c r="Z137" s="537" t="s">
        <v>319</v>
      </c>
      <c r="AB137" s="675"/>
      <c r="AD137" s="675"/>
      <c r="AF137" s="675"/>
      <c r="AG137" s="675"/>
    </row>
    <row r="138" spans="1:33" s="536" customFormat="1" ht="33.75" x14ac:dyDescent="0.2">
      <c r="A138" s="605"/>
      <c r="B138" s="552" t="s">
        <v>1631</v>
      </c>
      <c r="C138" s="1822" t="s">
        <v>1632</v>
      </c>
      <c r="D138" s="1822"/>
      <c r="E138" s="1822"/>
      <c r="F138" s="562" t="s">
        <v>322</v>
      </c>
      <c r="G138" s="562" t="s">
        <v>1633</v>
      </c>
      <c r="H138" s="562"/>
      <c r="I138" s="562" t="s">
        <v>1633</v>
      </c>
      <c r="J138" s="604"/>
      <c r="K138" s="562"/>
      <c r="L138" s="604">
        <v>59.22</v>
      </c>
      <c r="M138" s="603"/>
      <c r="N138" s="602"/>
      <c r="V138" s="674"/>
      <c r="W138" s="675"/>
      <c r="Z138" s="537" t="s">
        <v>1632</v>
      </c>
      <c r="AB138" s="675"/>
      <c r="AD138" s="675"/>
      <c r="AF138" s="675"/>
      <c r="AG138" s="675"/>
    </row>
    <row r="139" spans="1:33" s="536" customFormat="1" ht="33.75" x14ac:dyDescent="0.2">
      <c r="A139" s="605"/>
      <c r="B139" s="552" t="s">
        <v>1634</v>
      </c>
      <c r="C139" s="1822" t="s">
        <v>1635</v>
      </c>
      <c r="D139" s="1822"/>
      <c r="E139" s="1822"/>
      <c r="F139" s="562" t="s">
        <v>322</v>
      </c>
      <c r="G139" s="562" t="s">
        <v>786</v>
      </c>
      <c r="H139" s="562"/>
      <c r="I139" s="562" t="s">
        <v>786</v>
      </c>
      <c r="J139" s="604"/>
      <c r="K139" s="562"/>
      <c r="L139" s="604">
        <v>31.14</v>
      </c>
      <c r="M139" s="603"/>
      <c r="N139" s="602"/>
      <c r="V139" s="674"/>
      <c r="W139" s="675"/>
      <c r="Z139" s="537" t="s">
        <v>1635</v>
      </c>
      <c r="AB139" s="675"/>
      <c r="AD139" s="675"/>
      <c r="AF139" s="675"/>
      <c r="AG139" s="675"/>
    </row>
    <row r="140" spans="1:33" s="536" customFormat="1" ht="12" x14ac:dyDescent="0.2">
      <c r="A140" s="569"/>
      <c r="B140" s="671"/>
      <c r="C140" s="1823" t="s">
        <v>327</v>
      </c>
      <c r="D140" s="1823"/>
      <c r="E140" s="1823"/>
      <c r="F140" s="573"/>
      <c r="G140" s="573"/>
      <c r="H140" s="573"/>
      <c r="I140" s="573"/>
      <c r="J140" s="572"/>
      <c r="K140" s="573"/>
      <c r="L140" s="572">
        <v>157.29</v>
      </c>
      <c r="M140" s="601"/>
      <c r="N140" s="570"/>
      <c r="V140" s="674"/>
      <c r="W140" s="675"/>
      <c r="AB140" s="675" t="s">
        <v>327</v>
      </c>
      <c r="AD140" s="675"/>
      <c r="AF140" s="675"/>
      <c r="AG140" s="675"/>
    </row>
    <row r="141" spans="1:33" s="536" customFormat="1" ht="33.75" x14ac:dyDescent="0.2">
      <c r="A141" s="575" t="s">
        <v>193</v>
      </c>
      <c r="B141" s="670" t="s">
        <v>1673</v>
      </c>
      <c r="C141" s="1823" t="s">
        <v>1674</v>
      </c>
      <c r="D141" s="1823"/>
      <c r="E141" s="1823"/>
      <c r="F141" s="573" t="s">
        <v>483</v>
      </c>
      <c r="G141" s="573"/>
      <c r="H141" s="573"/>
      <c r="I141" s="573" t="s">
        <v>1675</v>
      </c>
      <c r="J141" s="572">
        <v>113.74</v>
      </c>
      <c r="K141" s="573" t="s">
        <v>716</v>
      </c>
      <c r="L141" s="572">
        <v>497.84</v>
      </c>
      <c r="M141" s="571">
        <v>8.32</v>
      </c>
      <c r="N141" s="570">
        <v>4142</v>
      </c>
      <c r="V141" s="674"/>
      <c r="W141" s="675" t="s">
        <v>1674</v>
      </c>
      <c r="AB141" s="675"/>
      <c r="AD141" s="675"/>
      <c r="AF141" s="675"/>
      <c r="AG141" s="675"/>
    </row>
    <row r="142" spans="1:33" s="536" customFormat="1" ht="12" x14ac:dyDescent="0.2">
      <c r="A142" s="569"/>
      <c r="B142" s="671"/>
      <c r="C142" s="665" t="s">
        <v>1658</v>
      </c>
      <c r="D142" s="666"/>
      <c r="E142" s="666"/>
      <c r="F142" s="563"/>
      <c r="G142" s="563"/>
      <c r="H142" s="563"/>
      <c r="I142" s="563"/>
      <c r="J142" s="566"/>
      <c r="K142" s="563"/>
      <c r="L142" s="566"/>
      <c r="M142" s="565"/>
      <c r="N142" s="564"/>
      <c r="V142" s="674"/>
      <c r="W142" s="675"/>
      <c r="AB142" s="675"/>
      <c r="AD142" s="675"/>
      <c r="AF142" s="675"/>
      <c r="AG142" s="675"/>
    </row>
    <row r="143" spans="1:33" s="536" customFormat="1" ht="12" x14ac:dyDescent="0.2">
      <c r="A143" s="676"/>
      <c r="B143" s="664"/>
      <c r="C143" s="1822" t="s">
        <v>1676</v>
      </c>
      <c r="D143" s="1822"/>
      <c r="E143" s="1822"/>
      <c r="F143" s="1822"/>
      <c r="G143" s="1822"/>
      <c r="H143" s="1822"/>
      <c r="I143" s="1822"/>
      <c r="J143" s="1822"/>
      <c r="K143" s="1822"/>
      <c r="L143" s="1822"/>
      <c r="M143" s="1822"/>
      <c r="N143" s="1827"/>
      <c r="V143" s="674"/>
      <c r="W143" s="675"/>
      <c r="AB143" s="675"/>
      <c r="AC143" s="537" t="s">
        <v>1676</v>
      </c>
      <c r="AD143" s="675"/>
      <c r="AF143" s="675"/>
      <c r="AG143" s="675"/>
    </row>
    <row r="144" spans="1:33" s="536" customFormat="1" ht="22.5" x14ac:dyDescent="0.2">
      <c r="A144" s="609"/>
      <c r="B144" s="552" t="s">
        <v>718</v>
      </c>
      <c r="C144" s="1822" t="s">
        <v>719</v>
      </c>
      <c r="D144" s="1822"/>
      <c r="E144" s="1822"/>
      <c r="F144" s="1822"/>
      <c r="G144" s="1822"/>
      <c r="H144" s="1822"/>
      <c r="I144" s="1822"/>
      <c r="J144" s="1822"/>
      <c r="K144" s="1822"/>
      <c r="L144" s="1822"/>
      <c r="M144" s="1822"/>
      <c r="N144" s="1827"/>
      <c r="V144" s="674"/>
      <c r="W144" s="675"/>
      <c r="X144" s="537" t="s">
        <v>719</v>
      </c>
      <c r="AB144" s="675"/>
      <c r="AD144" s="675"/>
      <c r="AF144" s="675"/>
      <c r="AG144" s="675"/>
    </row>
    <row r="145" spans="1:33" s="536" customFormat="1" ht="33.75" x14ac:dyDescent="0.2">
      <c r="A145" s="575" t="s">
        <v>194</v>
      </c>
      <c r="B145" s="670" t="s">
        <v>3367</v>
      </c>
      <c r="C145" s="1823" t="s">
        <v>1678</v>
      </c>
      <c r="D145" s="1823"/>
      <c r="E145" s="1823"/>
      <c r="F145" s="573" t="s">
        <v>617</v>
      </c>
      <c r="G145" s="573"/>
      <c r="H145" s="573"/>
      <c r="I145" s="573" t="s">
        <v>1679</v>
      </c>
      <c r="J145" s="572">
        <v>161</v>
      </c>
      <c r="K145" s="573" t="s">
        <v>716</v>
      </c>
      <c r="L145" s="572">
        <v>986.9</v>
      </c>
      <c r="M145" s="571">
        <v>8.32</v>
      </c>
      <c r="N145" s="570">
        <v>8211</v>
      </c>
      <c r="V145" s="674"/>
      <c r="W145" s="675" t="s">
        <v>1678</v>
      </c>
      <c r="AB145" s="675"/>
      <c r="AD145" s="675"/>
      <c r="AF145" s="675"/>
      <c r="AG145" s="675"/>
    </row>
    <row r="146" spans="1:33" s="536" customFormat="1" ht="12" x14ac:dyDescent="0.2">
      <c r="A146" s="569"/>
      <c r="B146" s="671"/>
      <c r="C146" s="665" t="s">
        <v>1658</v>
      </c>
      <c r="D146" s="666"/>
      <c r="E146" s="666"/>
      <c r="F146" s="563"/>
      <c r="G146" s="563"/>
      <c r="H146" s="563"/>
      <c r="I146" s="563"/>
      <c r="J146" s="566"/>
      <c r="K146" s="563"/>
      <c r="L146" s="566"/>
      <c r="M146" s="565"/>
      <c r="N146" s="564"/>
      <c r="V146" s="674"/>
      <c r="W146" s="675"/>
      <c r="AB146" s="675"/>
      <c r="AD146" s="675"/>
      <c r="AF146" s="675"/>
      <c r="AG146" s="675"/>
    </row>
    <row r="147" spans="1:33" s="536" customFormat="1" ht="22.5" x14ac:dyDescent="0.2">
      <c r="A147" s="609"/>
      <c r="B147" s="552" t="s">
        <v>718</v>
      </c>
      <c r="C147" s="1822" t="s">
        <v>719</v>
      </c>
      <c r="D147" s="1822"/>
      <c r="E147" s="1822"/>
      <c r="F147" s="1822"/>
      <c r="G147" s="1822"/>
      <c r="H147" s="1822"/>
      <c r="I147" s="1822"/>
      <c r="J147" s="1822"/>
      <c r="K147" s="1822"/>
      <c r="L147" s="1822"/>
      <c r="M147" s="1822"/>
      <c r="N147" s="1827"/>
      <c r="V147" s="674"/>
      <c r="W147" s="675"/>
      <c r="X147" s="537" t="s">
        <v>719</v>
      </c>
      <c r="AB147" s="675"/>
      <c r="AD147" s="675"/>
      <c r="AF147" s="675"/>
      <c r="AG147" s="675"/>
    </row>
    <row r="148" spans="1:33" s="536" customFormat="1" ht="56.25" x14ac:dyDescent="0.2">
      <c r="A148" s="575" t="s">
        <v>195</v>
      </c>
      <c r="B148" s="670" t="s">
        <v>1680</v>
      </c>
      <c r="C148" s="1823" t="s">
        <v>1681</v>
      </c>
      <c r="D148" s="1823"/>
      <c r="E148" s="1823"/>
      <c r="F148" s="573" t="s">
        <v>1110</v>
      </c>
      <c r="G148" s="573"/>
      <c r="H148" s="573"/>
      <c r="I148" s="573" t="s">
        <v>691</v>
      </c>
      <c r="J148" s="572"/>
      <c r="K148" s="573"/>
      <c r="L148" s="572"/>
      <c r="M148" s="571"/>
      <c r="N148" s="570"/>
      <c r="V148" s="674"/>
      <c r="W148" s="675" t="s">
        <v>1681</v>
      </c>
      <c r="AB148" s="675"/>
      <c r="AD148" s="675"/>
      <c r="AF148" s="675"/>
      <c r="AG148" s="675"/>
    </row>
    <row r="149" spans="1:33" s="536" customFormat="1" ht="12" x14ac:dyDescent="0.2">
      <c r="A149" s="676"/>
      <c r="B149" s="664"/>
      <c r="C149" s="1822" t="s">
        <v>1670</v>
      </c>
      <c r="D149" s="1822"/>
      <c r="E149" s="1822"/>
      <c r="F149" s="1822"/>
      <c r="G149" s="1822"/>
      <c r="H149" s="1822"/>
      <c r="I149" s="1822"/>
      <c r="J149" s="1822"/>
      <c r="K149" s="1822"/>
      <c r="L149" s="1822"/>
      <c r="M149" s="1822"/>
      <c r="N149" s="1827"/>
      <c r="V149" s="674"/>
      <c r="W149" s="675"/>
      <c r="AB149" s="675"/>
      <c r="AC149" s="537" t="s">
        <v>1670</v>
      </c>
      <c r="AD149" s="675"/>
      <c r="AF149" s="675"/>
      <c r="AG149" s="675"/>
    </row>
    <row r="150" spans="1:33" s="536" customFormat="1" ht="33.75" x14ac:dyDescent="0.2">
      <c r="A150" s="609"/>
      <c r="B150" s="552" t="s">
        <v>310</v>
      </c>
      <c r="C150" s="1822" t="s">
        <v>311</v>
      </c>
      <c r="D150" s="1822"/>
      <c r="E150" s="1822"/>
      <c r="F150" s="1822"/>
      <c r="G150" s="1822"/>
      <c r="H150" s="1822"/>
      <c r="I150" s="1822"/>
      <c r="J150" s="1822"/>
      <c r="K150" s="1822"/>
      <c r="L150" s="1822"/>
      <c r="M150" s="1822"/>
      <c r="N150" s="1827"/>
      <c r="V150" s="674"/>
      <c r="W150" s="675"/>
      <c r="X150" s="537" t="s">
        <v>311</v>
      </c>
      <c r="AB150" s="675"/>
      <c r="AD150" s="675"/>
      <c r="AF150" s="675"/>
      <c r="AG150" s="675"/>
    </row>
    <row r="151" spans="1:33" s="536" customFormat="1" ht="12" x14ac:dyDescent="0.2">
      <c r="A151" s="605"/>
      <c r="B151" s="552" t="s">
        <v>185</v>
      </c>
      <c r="C151" s="1822" t="s">
        <v>312</v>
      </c>
      <c r="D151" s="1822"/>
      <c r="E151" s="1822"/>
      <c r="F151" s="562"/>
      <c r="G151" s="562"/>
      <c r="H151" s="562"/>
      <c r="I151" s="562"/>
      <c r="J151" s="604">
        <v>50.67</v>
      </c>
      <c r="K151" s="562" t="s">
        <v>313</v>
      </c>
      <c r="L151" s="604">
        <v>22.17</v>
      </c>
      <c r="M151" s="603"/>
      <c r="N151" s="602"/>
      <c r="V151" s="674"/>
      <c r="W151" s="675"/>
      <c r="Y151" s="537" t="s">
        <v>312</v>
      </c>
      <c r="AB151" s="675"/>
      <c r="AD151" s="675"/>
      <c r="AF151" s="675"/>
      <c r="AG151" s="675"/>
    </row>
    <row r="152" spans="1:33" s="536" customFormat="1" ht="12" x14ac:dyDescent="0.2">
      <c r="A152" s="605"/>
      <c r="B152" s="552" t="s">
        <v>186</v>
      </c>
      <c r="C152" s="1822" t="s">
        <v>344</v>
      </c>
      <c r="D152" s="1822"/>
      <c r="E152" s="1822"/>
      <c r="F152" s="562"/>
      <c r="G152" s="562"/>
      <c r="H152" s="562"/>
      <c r="I152" s="562"/>
      <c r="J152" s="604">
        <v>3.62</v>
      </c>
      <c r="K152" s="562" t="s">
        <v>313</v>
      </c>
      <c r="L152" s="604">
        <v>1.58</v>
      </c>
      <c r="M152" s="603"/>
      <c r="N152" s="602"/>
      <c r="V152" s="674"/>
      <c r="W152" s="675"/>
      <c r="Y152" s="537" t="s">
        <v>344</v>
      </c>
      <c r="AB152" s="675"/>
      <c r="AD152" s="675"/>
      <c r="AF152" s="675"/>
      <c r="AG152" s="675"/>
    </row>
    <row r="153" spans="1:33" s="536" customFormat="1" ht="12" x14ac:dyDescent="0.2">
      <c r="A153" s="605"/>
      <c r="B153" s="552" t="s">
        <v>187</v>
      </c>
      <c r="C153" s="1822" t="s">
        <v>345</v>
      </c>
      <c r="D153" s="1822"/>
      <c r="E153" s="1822"/>
      <c r="F153" s="562"/>
      <c r="G153" s="562"/>
      <c r="H153" s="562"/>
      <c r="I153" s="562"/>
      <c r="J153" s="604">
        <v>0.5</v>
      </c>
      <c r="K153" s="562" t="s">
        <v>313</v>
      </c>
      <c r="L153" s="604">
        <v>0.22</v>
      </c>
      <c r="M153" s="603"/>
      <c r="N153" s="602"/>
      <c r="V153" s="674"/>
      <c r="W153" s="675"/>
      <c r="Y153" s="537" t="s">
        <v>345</v>
      </c>
      <c r="AB153" s="675"/>
      <c r="AD153" s="675"/>
      <c r="AF153" s="675"/>
      <c r="AG153" s="675"/>
    </row>
    <row r="154" spans="1:33" s="536" customFormat="1" ht="12" x14ac:dyDescent="0.2">
      <c r="A154" s="605"/>
      <c r="B154" s="552" t="s">
        <v>188</v>
      </c>
      <c r="C154" s="1822" t="s">
        <v>475</v>
      </c>
      <c r="D154" s="1822"/>
      <c r="E154" s="1822"/>
      <c r="F154" s="562"/>
      <c r="G154" s="562"/>
      <c r="H154" s="562"/>
      <c r="I154" s="562"/>
      <c r="J154" s="604">
        <v>14.48</v>
      </c>
      <c r="K154" s="562"/>
      <c r="L154" s="604">
        <v>5.07</v>
      </c>
      <c r="M154" s="603"/>
      <c r="N154" s="602"/>
      <c r="V154" s="674"/>
      <c r="W154" s="675"/>
      <c r="Y154" s="537" t="s">
        <v>475</v>
      </c>
      <c r="AB154" s="675"/>
      <c r="AD154" s="675"/>
      <c r="AF154" s="675"/>
      <c r="AG154" s="675"/>
    </row>
    <row r="155" spans="1:33" s="536" customFormat="1" ht="12" x14ac:dyDescent="0.2">
      <c r="A155" s="605"/>
      <c r="B155" s="552"/>
      <c r="C155" s="1822" t="s">
        <v>314</v>
      </c>
      <c r="D155" s="1822"/>
      <c r="E155" s="1822"/>
      <c r="F155" s="562" t="s">
        <v>315</v>
      </c>
      <c r="G155" s="562" t="s">
        <v>1682</v>
      </c>
      <c r="H155" s="562" t="s">
        <v>313</v>
      </c>
      <c r="I155" s="562" t="s">
        <v>1683</v>
      </c>
      <c r="J155" s="604"/>
      <c r="K155" s="562"/>
      <c r="L155" s="604"/>
      <c r="M155" s="603"/>
      <c r="N155" s="602"/>
      <c r="V155" s="674"/>
      <c r="W155" s="675"/>
      <c r="Z155" s="537" t="s">
        <v>314</v>
      </c>
      <c r="AB155" s="675"/>
      <c r="AD155" s="675"/>
      <c r="AF155" s="675"/>
      <c r="AG155" s="675"/>
    </row>
    <row r="156" spans="1:33" s="536" customFormat="1" ht="12" x14ac:dyDescent="0.2">
      <c r="A156" s="605"/>
      <c r="B156" s="552"/>
      <c r="C156" s="1822" t="s">
        <v>348</v>
      </c>
      <c r="D156" s="1822"/>
      <c r="E156" s="1822"/>
      <c r="F156" s="562" t="s">
        <v>315</v>
      </c>
      <c r="G156" s="562" t="s">
        <v>728</v>
      </c>
      <c r="H156" s="562" t="s">
        <v>313</v>
      </c>
      <c r="I156" s="562" t="s">
        <v>1684</v>
      </c>
      <c r="J156" s="604"/>
      <c r="K156" s="562"/>
      <c r="L156" s="604"/>
      <c r="M156" s="603"/>
      <c r="N156" s="602"/>
      <c r="V156" s="674"/>
      <c r="W156" s="675"/>
      <c r="Z156" s="537" t="s">
        <v>348</v>
      </c>
      <c r="AB156" s="675"/>
      <c r="AD156" s="675"/>
      <c r="AF156" s="675"/>
      <c r="AG156" s="675"/>
    </row>
    <row r="157" spans="1:33" s="536" customFormat="1" ht="12" x14ac:dyDescent="0.2">
      <c r="A157" s="605"/>
      <c r="B157" s="552"/>
      <c r="C157" s="1828" t="s">
        <v>318</v>
      </c>
      <c r="D157" s="1828"/>
      <c r="E157" s="1828"/>
      <c r="F157" s="608"/>
      <c r="G157" s="608"/>
      <c r="H157" s="608"/>
      <c r="I157" s="608"/>
      <c r="J157" s="607">
        <v>68.77</v>
      </c>
      <c r="K157" s="608"/>
      <c r="L157" s="607">
        <v>28.82</v>
      </c>
      <c r="M157" s="601"/>
      <c r="N157" s="606"/>
      <c r="V157" s="674"/>
      <c r="W157" s="675"/>
      <c r="AA157" s="537" t="s">
        <v>318</v>
      </c>
      <c r="AB157" s="675"/>
      <c r="AD157" s="675"/>
      <c r="AF157" s="675"/>
      <c r="AG157" s="675"/>
    </row>
    <row r="158" spans="1:33" s="536" customFormat="1" ht="12" x14ac:dyDescent="0.2">
      <c r="A158" s="605"/>
      <c r="B158" s="552"/>
      <c r="C158" s="1822" t="s">
        <v>319</v>
      </c>
      <c r="D158" s="1822"/>
      <c r="E158" s="1822"/>
      <c r="F158" s="562"/>
      <c r="G158" s="562"/>
      <c r="H158" s="562"/>
      <c r="I158" s="562"/>
      <c r="J158" s="604"/>
      <c r="K158" s="562"/>
      <c r="L158" s="604">
        <v>22.39</v>
      </c>
      <c r="M158" s="603"/>
      <c r="N158" s="602"/>
      <c r="V158" s="674"/>
      <c r="W158" s="675"/>
      <c r="Z158" s="537" t="s">
        <v>319</v>
      </c>
      <c r="AB158" s="675"/>
      <c r="AD158" s="675"/>
      <c r="AF158" s="675"/>
      <c r="AG158" s="675"/>
    </row>
    <row r="159" spans="1:33" s="536" customFormat="1" ht="33.75" x14ac:dyDescent="0.2">
      <c r="A159" s="605"/>
      <c r="B159" s="552" t="s">
        <v>1631</v>
      </c>
      <c r="C159" s="1822" t="s">
        <v>1632</v>
      </c>
      <c r="D159" s="1822"/>
      <c r="E159" s="1822"/>
      <c r="F159" s="562" t="s">
        <v>322</v>
      </c>
      <c r="G159" s="562" t="s">
        <v>1633</v>
      </c>
      <c r="H159" s="562"/>
      <c r="I159" s="562" t="s">
        <v>1633</v>
      </c>
      <c r="J159" s="604"/>
      <c r="K159" s="562"/>
      <c r="L159" s="604">
        <v>21.72</v>
      </c>
      <c r="M159" s="603"/>
      <c r="N159" s="602"/>
      <c r="V159" s="674"/>
      <c r="W159" s="675"/>
      <c r="Z159" s="537" t="s">
        <v>1632</v>
      </c>
      <c r="AB159" s="675"/>
      <c r="AD159" s="675"/>
      <c r="AF159" s="675"/>
      <c r="AG159" s="675"/>
    </row>
    <row r="160" spans="1:33" s="536" customFormat="1" ht="33.75" x14ac:dyDescent="0.2">
      <c r="A160" s="605"/>
      <c r="B160" s="552" t="s">
        <v>1634</v>
      </c>
      <c r="C160" s="1822" t="s">
        <v>1635</v>
      </c>
      <c r="D160" s="1822"/>
      <c r="E160" s="1822"/>
      <c r="F160" s="562" t="s">
        <v>322</v>
      </c>
      <c r="G160" s="562" t="s">
        <v>786</v>
      </c>
      <c r="H160" s="562"/>
      <c r="I160" s="562" t="s">
        <v>786</v>
      </c>
      <c r="J160" s="604"/>
      <c r="K160" s="562"/>
      <c r="L160" s="604">
        <v>11.42</v>
      </c>
      <c r="M160" s="603"/>
      <c r="N160" s="602"/>
      <c r="V160" s="674"/>
      <c r="W160" s="675"/>
      <c r="Z160" s="537" t="s">
        <v>1635</v>
      </c>
      <c r="AB160" s="675"/>
      <c r="AD160" s="675"/>
      <c r="AF160" s="675"/>
      <c r="AG160" s="675"/>
    </row>
    <row r="161" spans="1:33" s="536" customFormat="1" ht="12" x14ac:dyDescent="0.2">
      <c r="A161" s="569"/>
      <c r="B161" s="671"/>
      <c r="C161" s="1823" t="s">
        <v>327</v>
      </c>
      <c r="D161" s="1823"/>
      <c r="E161" s="1823"/>
      <c r="F161" s="573"/>
      <c r="G161" s="573"/>
      <c r="H161" s="573"/>
      <c r="I161" s="573"/>
      <c r="J161" s="572"/>
      <c r="K161" s="573"/>
      <c r="L161" s="572">
        <v>61.96</v>
      </c>
      <c r="M161" s="601"/>
      <c r="N161" s="570"/>
      <c r="V161" s="674"/>
      <c r="W161" s="675"/>
      <c r="AB161" s="675" t="s">
        <v>327</v>
      </c>
      <c r="AD161" s="675"/>
      <c r="AF161" s="675"/>
      <c r="AG161" s="675"/>
    </row>
    <row r="162" spans="1:33" s="536" customFormat="1" ht="22.5" x14ac:dyDescent="0.2">
      <c r="A162" s="575" t="s">
        <v>196</v>
      </c>
      <c r="B162" s="670" t="s">
        <v>1685</v>
      </c>
      <c r="C162" s="1823" t="s">
        <v>1686</v>
      </c>
      <c r="D162" s="1823"/>
      <c r="E162" s="1823"/>
      <c r="F162" s="573" t="s">
        <v>1687</v>
      </c>
      <c r="G162" s="573"/>
      <c r="H162" s="573"/>
      <c r="I162" s="573" t="s">
        <v>1688</v>
      </c>
      <c r="J162" s="572">
        <v>4832.12</v>
      </c>
      <c r="K162" s="573"/>
      <c r="L162" s="572">
        <v>172.51</v>
      </c>
      <c r="M162" s="571"/>
      <c r="N162" s="570"/>
      <c r="V162" s="674"/>
      <c r="W162" s="675" t="s">
        <v>1686</v>
      </c>
      <c r="AB162" s="675"/>
      <c r="AD162" s="675"/>
      <c r="AF162" s="675"/>
      <c r="AG162" s="675"/>
    </row>
    <row r="163" spans="1:33" s="536" customFormat="1" ht="12" x14ac:dyDescent="0.2">
      <c r="A163" s="569"/>
      <c r="B163" s="671"/>
      <c r="C163" s="665" t="s">
        <v>1658</v>
      </c>
      <c r="D163" s="666"/>
      <c r="E163" s="666"/>
      <c r="F163" s="563"/>
      <c r="G163" s="563"/>
      <c r="H163" s="563"/>
      <c r="I163" s="563"/>
      <c r="J163" s="566"/>
      <c r="K163" s="563"/>
      <c r="L163" s="566"/>
      <c r="M163" s="565"/>
      <c r="N163" s="564"/>
      <c r="V163" s="674"/>
      <c r="W163" s="675"/>
      <c r="AB163" s="675"/>
      <c r="AD163" s="675"/>
      <c r="AF163" s="675"/>
      <c r="AG163" s="675"/>
    </row>
    <row r="164" spans="1:33" s="536" customFormat="1" ht="12" x14ac:dyDescent="0.2">
      <c r="A164" s="676"/>
      <c r="B164" s="664"/>
      <c r="C164" s="1822" t="s">
        <v>1689</v>
      </c>
      <c r="D164" s="1822"/>
      <c r="E164" s="1822"/>
      <c r="F164" s="1822"/>
      <c r="G164" s="1822"/>
      <c r="H164" s="1822"/>
      <c r="I164" s="1822"/>
      <c r="J164" s="1822"/>
      <c r="K164" s="1822"/>
      <c r="L164" s="1822"/>
      <c r="M164" s="1822"/>
      <c r="N164" s="1827"/>
      <c r="V164" s="674"/>
      <c r="W164" s="675"/>
      <c r="AB164" s="675"/>
      <c r="AC164" s="537" t="s">
        <v>1689</v>
      </c>
      <c r="AD164" s="675"/>
      <c r="AF164" s="675"/>
      <c r="AG164" s="675"/>
    </row>
    <row r="165" spans="1:33" s="536" customFormat="1" ht="12" x14ac:dyDescent="0.2">
      <c r="A165" s="575" t="s">
        <v>197</v>
      </c>
      <c r="B165" s="670" t="s">
        <v>1690</v>
      </c>
      <c r="C165" s="1823" t="s">
        <v>1691</v>
      </c>
      <c r="D165" s="1823"/>
      <c r="E165" s="1823"/>
      <c r="F165" s="573" t="s">
        <v>617</v>
      </c>
      <c r="G165" s="573"/>
      <c r="H165" s="573"/>
      <c r="I165" s="573" t="s">
        <v>185</v>
      </c>
      <c r="J165" s="572"/>
      <c r="K165" s="573"/>
      <c r="L165" s="572"/>
      <c r="M165" s="571"/>
      <c r="N165" s="570"/>
      <c r="V165" s="674"/>
      <c r="W165" s="675" t="s">
        <v>1691</v>
      </c>
      <c r="AB165" s="675"/>
      <c r="AD165" s="675"/>
      <c r="AF165" s="675"/>
      <c r="AG165" s="675"/>
    </row>
    <row r="166" spans="1:33" s="536" customFormat="1" ht="33.75" x14ac:dyDescent="0.2">
      <c r="A166" s="609"/>
      <c r="B166" s="552" t="s">
        <v>310</v>
      </c>
      <c r="C166" s="1822" t="s">
        <v>311</v>
      </c>
      <c r="D166" s="1822"/>
      <c r="E166" s="1822"/>
      <c r="F166" s="1822"/>
      <c r="G166" s="1822"/>
      <c r="H166" s="1822"/>
      <c r="I166" s="1822"/>
      <c r="J166" s="1822"/>
      <c r="K166" s="1822"/>
      <c r="L166" s="1822"/>
      <c r="M166" s="1822"/>
      <c r="N166" s="1827"/>
      <c r="V166" s="674"/>
      <c r="W166" s="675"/>
      <c r="X166" s="537" t="s">
        <v>311</v>
      </c>
      <c r="AB166" s="675"/>
      <c r="AD166" s="675"/>
      <c r="AF166" s="675"/>
      <c r="AG166" s="675"/>
    </row>
    <row r="167" spans="1:33" s="536" customFormat="1" ht="12" x14ac:dyDescent="0.2">
      <c r="A167" s="605"/>
      <c r="B167" s="552" t="s">
        <v>185</v>
      </c>
      <c r="C167" s="1822" t="s">
        <v>312</v>
      </c>
      <c r="D167" s="1822"/>
      <c r="E167" s="1822"/>
      <c r="F167" s="562"/>
      <c r="G167" s="562"/>
      <c r="H167" s="562"/>
      <c r="I167" s="562"/>
      <c r="J167" s="604">
        <v>4.88</v>
      </c>
      <c r="K167" s="562" t="s">
        <v>313</v>
      </c>
      <c r="L167" s="604">
        <v>6.1</v>
      </c>
      <c r="M167" s="603"/>
      <c r="N167" s="602"/>
      <c r="V167" s="674"/>
      <c r="W167" s="675"/>
      <c r="Y167" s="537" t="s">
        <v>312</v>
      </c>
      <c r="AB167" s="675"/>
      <c r="AD167" s="675"/>
      <c r="AF167" s="675"/>
      <c r="AG167" s="675"/>
    </row>
    <row r="168" spans="1:33" s="536" customFormat="1" ht="12" x14ac:dyDescent="0.2">
      <c r="A168" s="605"/>
      <c r="B168" s="552" t="s">
        <v>188</v>
      </c>
      <c r="C168" s="1822" t="s">
        <v>475</v>
      </c>
      <c r="D168" s="1822"/>
      <c r="E168" s="1822"/>
      <c r="F168" s="562"/>
      <c r="G168" s="562"/>
      <c r="H168" s="562"/>
      <c r="I168" s="562"/>
      <c r="J168" s="604">
        <v>0.41</v>
      </c>
      <c r="K168" s="562"/>
      <c r="L168" s="604">
        <v>0.41</v>
      </c>
      <c r="M168" s="603"/>
      <c r="N168" s="602"/>
      <c r="V168" s="674"/>
      <c r="W168" s="675"/>
      <c r="Y168" s="537" t="s">
        <v>475</v>
      </c>
      <c r="AB168" s="675"/>
      <c r="AD168" s="675"/>
      <c r="AF168" s="675"/>
      <c r="AG168" s="675"/>
    </row>
    <row r="169" spans="1:33" s="536" customFormat="1" ht="12" x14ac:dyDescent="0.2">
      <c r="A169" s="605"/>
      <c r="B169" s="552"/>
      <c r="C169" s="1822" t="s">
        <v>314</v>
      </c>
      <c r="D169" s="1822"/>
      <c r="E169" s="1822"/>
      <c r="F169" s="562" t="s">
        <v>315</v>
      </c>
      <c r="G169" s="562" t="s">
        <v>1692</v>
      </c>
      <c r="H169" s="562" t="s">
        <v>313</v>
      </c>
      <c r="I169" s="562" t="s">
        <v>2500</v>
      </c>
      <c r="J169" s="604"/>
      <c r="K169" s="562"/>
      <c r="L169" s="604"/>
      <c r="M169" s="603"/>
      <c r="N169" s="602"/>
      <c r="V169" s="674"/>
      <c r="W169" s="675"/>
      <c r="Z169" s="537" t="s">
        <v>314</v>
      </c>
      <c r="AB169" s="675"/>
      <c r="AD169" s="675"/>
      <c r="AF169" s="675"/>
      <c r="AG169" s="675"/>
    </row>
    <row r="170" spans="1:33" s="536" customFormat="1" ht="12" x14ac:dyDescent="0.2">
      <c r="A170" s="605"/>
      <c r="B170" s="552"/>
      <c r="C170" s="1828" t="s">
        <v>318</v>
      </c>
      <c r="D170" s="1828"/>
      <c r="E170" s="1828"/>
      <c r="F170" s="608"/>
      <c r="G170" s="608"/>
      <c r="H170" s="608"/>
      <c r="I170" s="608"/>
      <c r="J170" s="607">
        <v>5.29</v>
      </c>
      <c r="K170" s="608"/>
      <c r="L170" s="607">
        <v>6.51</v>
      </c>
      <c r="M170" s="601"/>
      <c r="N170" s="606"/>
      <c r="V170" s="674"/>
      <c r="W170" s="675"/>
      <c r="AA170" s="537" t="s">
        <v>318</v>
      </c>
      <c r="AB170" s="675"/>
      <c r="AD170" s="675"/>
      <c r="AF170" s="675"/>
      <c r="AG170" s="675"/>
    </row>
    <row r="171" spans="1:33" s="536" customFormat="1" ht="12" x14ac:dyDescent="0.2">
      <c r="A171" s="605"/>
      <c r="B171" s="552"/>
      <c r="C171" s="1822" t="s">
        <v>319</v>
      </c>
      <c r="D171" s="1822"/>
      <c r="E171" s="1822"/>
      <c r="F171" s="562"/>
      <c r="G171" s="562"/>
      <c r="H171" s="562"/>
      <c r="I171" s="562"/>
      <c r="J171" s="604"/>
      <c r="K171" s="562"/>
      <c r="L171" s="604">
        <v>6.1</v>
      </c>
      <c r="M171" s="603"/>
      <c r="N171" s="602"/>
      <c r="V171" s="674"/>
      <c r="W171" s="675"/>
      <c r="Z171" s="537" t="s">
        <v>319</v>
      </c>
      <c r="AB171" s="675"/>
      <c r="AD171" s="675"/>
      <c r="AF171" s="675"/>
      <c r="AG171" s="675"/>
    </row>
    <row r="172" spans="1:33" s="536" customFormat="1" ht="33.75" x14ac:dyDescent="0.2">
      <c r="A172" s="605"/>
      <c r="B172" s="552" t="s">
        <v>884</v>
      </c>
      <c r="C172" s="1822" t="s">
        <v>885</v>
      </c>
      <c r="D172" s="1822"/>
      <c r="E172" s="1822"/>
      <c r="F172" s="562" t="s">
        <v>322</v>
      </c>
      <c r="G172" s="562" t="s">
        <v>886</v>
      </c>
      <c r="H172" s="562"/>
      <c r="I172" s="562" t="s">
        <v>886</v>
      </c>
      <c r="J172" s="604"/>
      <c r="K172" s="562"/>
      <c r="L172" s="604">
        <v>5.49</v>
      </c>
      <c r="M172" s="603"/>
      <c r="N172" s="602"/>
      <c r="V172" s="674"/>
      <c r="W172" s="675"/>
      <c r="Z172" s="537" t="s">
        <v>885</v>
      </c>
      <c r="AB172" s="675"/>
      <c r="AD172" s="675"/>
      <c r="AF172" s="675"/>
      <c r="AG172" s="675"/>
    </row>
    <row r="173" spans="1:33" s="536" customFormat="1" ht="33.75" x14ac:dyDescent="0.2">
      <c r="A173" s="605"/>
      <c r="B173" s="552" t="s">
        <v>887</v>
      </c>
      <c r="C173" s="1822" t="s">
        <v>888</v>
      </c>
      <c r="D173" s="1822"/>
      <c r="E173" s="1822"/>
      <c r="F173" s="562" t="s">
        <v>322</v>
      </c>
      <c r="G173" s="562" t="s">
        <v>465</v>
      </c>
      <c r="H173" s="562"/>
      <c r="I173" s="562" t="s">
        <v>465</v>
      </c>
      <c r="J173" s="604"/>
      <c r="K173" s="562"/>
      <c r="L173" s="604">
        <v>2.81</v>
      </c>
      <c r="M173" s="603"/>
      <c r="N173" s="602"/>
      <c r="V173" s="674"/>
      <c r="W173" s="675"/>
      <c r="Z173" s="537" t="s">
        <v>888</v>
      </c>
      <c r="AB173" s="675"/>
      <c r="AD173" s="675"/>
      <c r="AF173" s="675"/>
      <c r="AG173" s="675"/>
    </row>
    <row r="174" spans="1:33" s="536" customFormat="1" ht="12" x14ac:dyDescent="0.2">
      <c r="A174" s="569"/>
      <c r="B174" s="671"/>
      <c r="C174" s="1823" t="s">
        <v>327</v>
      </c>
      <c r="D174" s="1823"/>
      <c r="E174" s="1823"/>
      <c r="F174" s="573"/>
      <c r="G174" s="573"/>
      <c r="H174" s="573"/>
      <c r="I174" s="573"/>
      <c r="J174" s="572"/>
      <c r="K174" s="573"/>
      <c r="L174" s="572">
        <v>14.81</v>
      </c>
      <c r="M174" s="601"/>
      <c r="N174" s="570"/>
      <c r="V174" s="674"/>
      <c r="W174" s="675"/>
      <c r="AB174" s="675" t="s">
        <v>327</v>
      </c>
      <c r="AD174" s="675"/>
      <c r="AF174" s="675"/>
      <c r="AG174" s="675"/>
    </row>
    <row r="175" spans="1:33" s="536" customFormat="1" ht="56.25" x14ac:dyDescent="0.2">
      <c r="A175" s="575" t="s">
        <v>198</v>
      </c>
      <c r="B175" s="670" t="s">
        <v>1693</v>
      </c>
      <c r="C175" s="1823" t="s">
        <v>1694</v>
      </c>
      <c r="D175" s="1823"/>
      <c r="E175" s="1823"/>
      <c r="F175" s="573" t="s">
        <v>617</v>
      </c>
      <c r="G175" s="573"/>
      <c r="H175" s="573"/>
      <c r="I175" s="573" t="s">
        <v>185</v>
      </c>
      <c r="J175" s="572">
        <v>81.98</v>
      </c>
      <c r="K175" s="573" t="s">
        <v>716</v>
      </c>
      <c r="L175" s="572">
        <v>10.1</v>
      </c>
      <c r="M175" s="571">
        <v>8.32</v>
      </c>
      <c r="N175" s="570">
        <v>84</v>
      </c>
      <c r="V175" s="674"/>
      <c r="W175" s="675" t="s">
        <v>1694</v>
      </c>
      <c r="AB175" s="675"/>
      <c r="AD175" s="675"/>
      <c r="AF175" s="675"/>
      <c r="AG175" s="675"/>
    </row>
    <row r="176" spans="1:33" s="536" customFormat="1" ht="12" x14ac:dyDescent="0.2">
      <c r="A176" s="569"/>
      <c r="B176" s="671"/>
      <c r="C176" s="665" t="s">
        <v>1658</v>
      </c>
      <c r="D176" s="666"/>
      <c r="E176" s="666"/>
      <c r="F176" s="563"/>
      <c r="G176" s="563"/>
      <c r="H176" s="563"/>
      <c r="I176" s="563"/>
      <c r="J176" s="566"/>
      <c r="K176" s="563"/>
      <c r="L176" s="566"/>
      <c r="M176" s="565"/>
      <c r="N176" s="564"/>
      <c r="V176" s="674"/>
      <c r="W176" s="675"/>
      <c r="AB176" s="675"/>
      <c r="AD176" s="675"/>
      <c r="AF176" s="675"/>
      <c r="AG176" s="675"/>
    </row>
    <row r="177" spans="1:33" s="536" customFormat="1" ht="22.5" x14ac:dyDescent="0.2">
      <c r="A177" s="609"/>
      <c r="B177" s="552" t="s">
        <v>718</v>
      </c>
      <c r="C177" s="1822" t="s">
        <v>719</v>
      </c>
      <c r="D177" s="1822"/>
      <c r="E177" s="1822"/>
      <c r="F177" s="1822"/>
      <c r="G177" s="1822"/>
      <c r="H177" s="1822"/>
      <c r="I177" s="1822"/>
      <c r="J177" s="1822"/>
      <c r="K177" s="1822"/>
      <c r="L177" s="1822"/>
      <c r="M177" s="1822"/>
      <c r="N177" s="1827"/>
      <c r="V177" s="674"/>
      <c r="W177" s="675"/>
      <c r="X177" s="537" t="s">
        <v>719</v>
      </c>
      <c r="AB177" s="675"/>
      <c r="AD177" s="675"/>
      <c r="AF177" s="675"/>
      <c r="AG177" s="675"/>
    </row>
    <row r="178" spans="1:33" s="536" customFormat="1" ht="22.5" x14ac:dyDescent="0.2">
      <c r="A178" s="575" t="s">
        <v>199</v>
      </c>
      <c r="B178" s="670" t="s">
        <v>1695</v>
      </c>
      <c r="C178" s="1823" t="s">
        <v>1696</v>
      </c>
      <c r="D178" s="1823"/>
      <c r="E178" s="1823"/>
      <c r="F178" s="573" t="s">
        <v>307</v>
      </c>
      <c r="G178" s="573"/>
      <c r="H178" s="573"/>
      <c r="I178" s="573" t="s">
        <v>695</v>
      </c>
      <c r="J178" s="572">
        <v>118</v>
      </c>
      <c r="K178" s="573"/>
      <c r="L178" s="572">
        <v>2.36</v>
      </c>
      <c r="M178" s="571"/>
      <c r="N178" s="570"/>
      <c r="V178" s="674"/>
      <c r="W178" s="675" t="s">
        <v>1696</v>
      </c>
      <c r="AB178" s="675"/>
      <c r="AD178" s="675"/>
      <c r="AF178" s="675"/>
      <c r="AG178" s="675"/>
    </row>
    <row r="179" spans="1:33" s="536" customFormat="1" ht="12" x14ac:dyDescent="0.2">
      <c r="A179" s="569"/>
      <c r="B179" s="671"/>
      <c r="C179" s="665" t="s">
        <v>1658</v>
      </c>
      <c r="D179" s="666"/>
      <c r="E179" s="666"/>
      <c r="F179" s="563"/>
      <c r="G179" s="563"/>
      <c r="H179" s="563"/>
      <c r="I179" s="563"/>
      <c r="J179" s="566"/>
      <c r="K179" s="563"/>
      <c r="L179" s="566"/>
      <c r="M179" s="565"/>
      <c r="N179" s="564"/>
      <c r="V179" s="674"/>
      <c r="W179" s="675"/>
      <c r="AB179" s="675"/>
      <c r="AD179" s="675"/>
      <c r="AF179" s="675"/>
      <c r="AG179" s="675"/>
    </row>
    <row r="180" spans="1:33" s="536" customFormat="1" ht="12" x14ac:dyDescent="0.2">
      <c r="A180" s="676"/>
      <c r="B180" s="664"/>
      <c r="C180" s="1822" t="s">
        <v>1597</v>
      </c>
      <c r="D180" s="1822"/>
      <c r="E180" s="1822"/>
      <c r="F180" s="1822"/>
      <c r="G180" s="1822"/>
      <c r="H180" s="1822"/>
      <c r="I180" s="1822"/>
      <c r="J180" s="1822"/>
      <c r="K180" s="1822"/>
      <c r="L180" s="1822"/>
      <c r="M180" s="1822"/>
      <c r="N180" s="1827"/>
      <c r="V180" s="674"/>
      <c r="W180" s="675"/>
      <c r="AB180" s="675"/>
      <c r="AC180" s="537" t="s">
        <v>1597</v>
      </c>
      <c r="AD180" s="675"/>
      <c r="AF180" s="675"/>
      <c r="AG180" s="675"/>
    </row>
    <row r="181" spans="1:33" s="536" customFormat="1" ht="12" x14ac:dyDescent="0.2">
      <c r="A181" s="1830" t="s">
        <v>1698</v>
      </c>
      <c r="B181" s="1831"/>
      <c r="C181" s="1831"/>
      <c r="D181" s="1831"/>
      <c r="E181" s="1831"/>
      <c r="F181" s="1831"/>
      <c r="G181" s="1831"/>
      <c r="H181" s="1831"/>
      <c r="I181" s="1831"/>
      <c r="J181" s="1831"/>
      <c r="K181" s="1831"/>
      <c r="L181" s="1831"/>
      <c r="M181" s="1831"/>
      <c r="N181" s="1832"/>
      <c r="V181" s="674"/>
      <c r="W181" s="675"/>
      <c r="AB181" s="675"/>
      <c r="AD181" s="675"/>
      <c r="AF181" s="675"/>
      <c r="AG181" s="675" t="s">
        <v>1698</v>
      </c>
    </row>
    <row r="182" spans="1:33" s="536" customFormat="1" ht="33.75" x14ac:dyDescent="0.2">
      <c r="A182" s="575" t="s">
        <v>200</v>
      </c>
      <c r="B182" s="670" t="s">
        <v>1699</v>
      </c>
      <c r="C182" s="1823" t="s">
        <v>1700</v>
      </c>
      <c r="D182" s="1823"/>
      <c r="E182" s="1823"/>
      <c r="F182" s="573" t="s">
        <v>1110</v>
      </c>
      <c r="G182" s="573"/>
      <c r="H182" s="573"/>
      <c r="I182" s="573" t="s">
        <v>3315</v>
      </c>
      <c r="J182" s="572"/>
      <c r="K182" s="573"/>
      <c r="L182" s="572"/>
      <c r="M182" s="571"/>
      <c r="N182" s="570"/>
      <c r="V182" s="674"/>
      <c r="W182" s="675" t="s">
        <v>1700</v>
      </c>
      <c r="AB182" s="675"/>
      <c r="AD182" s="675"/>
      <c r="AF182" s="675"/>
      <c r="AG182" s="675"/>
    </row>
    <row r="183" spans="1:33" s="536" customFormat="1" ht="12" x14ac:dyDescent="0.2">
      <c r="A183" s="676"/>
      <c r="B183" s="664"/>
      <c r="C183" s="1822" t="s">
        <v>3368</v>
      </c>
      <c r="D183" s="1822"/>
      <c r="E183" s="1822"/>
      <c r="F183" s="1822"/>
      <c r="G183" s="1822"/>
      <c r="H183" s="1822"/>
      <c r="I183" s="1822"/>
      <c r="J183" s="1822"/>
      <c r="K183" s="1822"/>
      <c r="L183" s="1822"/>
      <c r="M183" s="1822"/>
      <c r="N183" s="1827"/>
      <c r="V183" s="674"/>
      <c r="W183" s="675"/>
      <c r="AB183" s="675"/>
      <c r="AC183" s="537" t="s">
        <v>3368</v>
      </c>
      <c r="AD183" s="675"/>
      <c r="AF183" s="675"/>
      <c r="AG183" s="675"/>
    </row>
    <row r="184" spans="1:33" s="536" customFormat="1" ht="33.75" x14ac:dyDescent="0.2">
      <c r="A184" s="609"/>
      <c r="B184" s="552" t="s">
        <v>310</v>
      </c>
      <c r="C184" s="1822" t="s">
        <v>311</v>
      </c>
      <c r="D184" s="1822"/>
      <c r="E184" s="1822"/>
      <c r="F184" s="1822"/>
      <c r="G184" s="1822"/>
      <c r="H184" s="1822"/>
      <c r="I184" s="1822"/>
      <c r="J184" s="1822"/>
      <c r="K184" s="1822"/>
      <c r="L184" s="1822"/>
      <c r="M184" s="1822"/>
      <c r="N184" s="1827"/>
      <c r="V184" s="674"/>
      <c r="W184" s="675"/>
      <c r="X184" s="537" t="s">
        <v>311</v>
      </c>
      <c r="AB184" s="675"/>
      <c r="AD184" s="675"/>
      <c r="AF184" s="675"/>
      <c r="AG184" s="675"/>
    </row>
    <row r="185" spans="1:33" s="536" customFormat="1" ht="12" x14ac:dyDescent="0.2">
      <c r="A185" s="605"/>
      <c r="B185" s="552" t="s">
        <v>185</v>
      </c>
      <c r="C185" s="1822" t="s">
        <v>312</v>
      </c>
      <c r="D185" s="1822"/>
      <c r="E185" s="1822"/>
      <c r="F185" s="562"/>
      <c r="G185" s="562"/>
      <c r="H185" s="562"/>
      <c r="I185" s="562"/>
      <c r="J185" s="604">
        <v>110.54</v>
      </c>
      <c r="K185" s="562" t="s">
        <v>313</v>
      </c>
      <c r="L185" s="604">
        <v>574.80999999999995</v>
      </c>
      <c r="M185" s="603"/>
      <c r="N185" s="602"/>
      <c r="V185" s="674"/>
      <c r="W185" s="675"/>
      <c r="Y185" s="537" t="s">
        <v>312</v>
      </c>
      <c r="AB185" s="675"/>
      <c r="AD185" s="675"/>
      <c r="AF185" s="675"/>
      <c r="AG185" s="675"/>
    </row>
    <row r="186" spans="1:33" s="536" customFormat="1" ht="12" x14ac:dyDescent="0.2">
      <c r="A186" s="605"/>
      <c r="B186" s="552" t="s">
        <v>186</v>
      </c>
      <c r="C186" s="1822" t="s">
        <v>344</v>
      </c>
      <c r="D186" s="1822"/>
      <c r="E186" s="1822"/>
      <c r="F186" s="562"/>
      <c r="G186" s="562"/>
      <c r="H186" s="562"/>
      <c r="I186" s="562"/>
      <c r="J186" s="604">
        <v>577.26</v>
      </c>
      <c r="K186" s="562" t="s">
        <v>313</v>
      </c>
      <c r="L186" s="604">
        <v>3001.75</v>
      </c>
      <c r="M186" s="603"/>
      <c r="N186" s="602"/>
      <c r="V186" s="674"/>
      <c r="W186" s="675"/>
      <c r="Y186" s="537" t="s">
        <v>344</v>
      </c>
      <c r="AB186" s="675"/>
      <c r="AD186" s="675"/>
      <c r="AF186" s="675"/>
      <c r="AG186" s="675"/>
    </row>
    <row r="187" spans="1:33" s="536" customFormat="1" ht="12" x14ac:dyDescent="0.2">
      <c r="A187" s="605"/>
      <c r="B187" s="552" t="s">
        <v>187</v>
      </c>
      <c r="C187" s="1822" t="s">
        <v>345</v>
      </c>
      <c r="D187" s="1822"/>
      <c r="E187" s="1822"/>
      <c r="F187" s="562"/>
      <c r="G187" s="562"/>
      <c r="H187" s="562"/>
      <c r="I187" s="562"/>
      <c r="J187" s="604">
        <v>55.11</v>
      </c>
      <c r="K187" s="562" t="s">
        <v>313</v>
      </c>
      <c r="L187" s="604">
        <v>286.57</v>
      </c>
      <c r="M187" s="603"/>
      <c r="N187" s="602"/>
      <c r="V187" s="674"/>
      <c r="W187" s="675"/>
      <c r="Y187" s="537" t="s">
        <v>345</v>
      </c>
      <c r="AB187" s="675"/>
      <c r="AD187" s="675"/>
      <c r="AF187" s="675"/>
      <c r="AG187" s="675"/>
    </row>
    <row r="188" spans="1:33" s="536" customFormat="1" ht="12" x14ac:dyDescent="0.2">
      <c r="A188" s="605"/>
      <c r="B188" s="552" t="s">
        <v>188</v>
      </c>
      <c r="C188" s="1822" t="s">
        <v>475</v>
      </c>
      <c r="D188" s="1822"/>
      <c r="E188" s="1822"/>
      <c r="F188" s="562"/>
      <c r="G188" s="562"/>
      <c r="H188" s="562"/>
      <c r="I188" s="562"/>
      <c r="J188" s="604">
        <v>60.47</v>
      </c>
      <c r="K188" s="562"/>
      <c r="L188" s="604">
        <v>251.56</v>
      </c>
      <c r="M188" s="603"/>
      <c r="N188" s="602"/>
      <c r="V188" s="674"/>
      <c r="W188" s="675"/>
      <c r="Y188" s="537" t="s">
        <v>475</v>
      </c>
      <c r="AB188" s="675"/>
      <c r="AD188" s="675"/>
      <c r="AF188" s="675"/>
      <c r="AG188" s="675"/>
    </row>
    <row r="189" spans="1:33" s="536" customFormat="1" ht="12" x14ac:dyDescent="0.2">
      <c r="A189" s="605"/>
      <c r="B189" s="552"/>
      <c r="C189" s="1822" t="s">
        <v>314</v>
      </c>
      <c r="D189" s="1822"/>
      <c r="E189" s="1822"/>
      <c r="F189" s="562" t="s">
        <v>315</v>
      </c>
      <c r="G189" s="562" t="s">
        <v>1703</v>
      </c>
      <c r="H189" s="562" t="s">
        <v>313</v>
      </c>
      <c r="I189" s="562" t="s">
        <v>3369</v>
      </c>
      <c r="J189" s="604"/>
      <c r="K189" s="562"/>
      <c r="L189" s="604"/>
      <c r="M189" s="603"/>
      <c r="N189" s="602"/>
      <c r="V189" s="674"/>
      <c r="W189" s="675"/>
      <c r="Z189" s="537" t="s">
        <v>314</v>
      </c>
      <c r="AB189" s="675"/>
      <c r="AD189" s="675"/>
      <c r="AF189" s="675"/>
      <c r="AG189" s="675"/>
    </row>
    <row r="190" spans="1:33" s="536" customFormat="1" ht="12" x14ac:dyDescent="0.2">
      <c r="A190" s="605"/>
      <c r="B190" s="552"/>
      <c r="C190" s="1822" t="s">
        <v>348</v>
      </c>
      <c r="D190" s="1822"/>
      <c r="E190" s="1822"/>
      <c r="F190" s="562" t="s">
        <v>315</v>
      </c>
      <c r="G190" s="562" t="s">
        <v>1705</v>
      </c>
      <c r="H190" s="562" t="s">
        <v>313</v>
      </c>
      <c r="I190" s="562" t="s">
        <v>3370</v>
      </c>
      <c r="J190" s="604"/>
      <c r="K190" s="562"/>
      <c r="L190" s="604"/>
      <c r="M190" s="603"/>
      <c r="N190" s="602"/>
      <c r="V190" s="674"/>
      <c r="W190" s="675"/>
      <c r="Z190" s="537" t="s">
        <v>348</v>
      </c>
      <c r="AB190" s="675"/>
      <c r="AD190" s="675"/>
      <c r="AF190" s="675"/>
      <c r="AG190" s="675"/>
    </row>
    <row r="191" spans="1:33" s="536" customFormat="1" ht="12" x14ac:dyDescent="0.2">
      <c r="A191" s="605"/>
      <c r="B191" s="552"/>
      <c r="C191" s="1828" t="s">
        <v>318</v>
      </c>
      <c r="D191" s="1828"/>
      <c r="E191" s="1828"/>
      <c r="F191" s="608"/>
      <c r="G191" s="608"/>
      <c r="H191" s="608"/>
      <c r="I191" s="608"/>
      <c r="J191" s="607">
        <v>748.27</v>
      </c>
      <c r="K191" s="608"/>
      <c r="L191" s="607">
        <v>3828.12</v>
      </c>
      <c r="M191" s="601"/>
      <c r="N191" s="606"/>
      <c r="V191" s="674"/>
      <c r="W191" s="675"/>
      <c r="AA191" s="537" t="s">
        <v>318</v>
      </c>
      <c r="AB191" s="675"/>
      <c r="AD191" s="675"/>
      <c r="AF191" s="675"/>
      <c r="AG191" s="675"/>
    </row>
    <row r="192" spans="1:33" s="536" customFormat="1" ht="12" x14ac:dyDescent="0.2">
      <c r="A192" s="605"/>
      <c r="B192" s="552"/>
      <c r="C192" s="1822" t="s">
        <v>319</v>
      </c>
      <c r="D192" s="1822"/>
      <c r="E192" s="1822"/>
      <c r="F192" s="562"/>
      <c r="G192" s="562"/>
      <c r="H192" s="562"/>
      <c r="I192" s="562"/>
      <c r="J192" s="604"/>
      <c r="K192" s="562"/>
      <c r="L192" s="604">
        <v>861.38</v>
      </c>
      <c r="M192" s="603"/>
      <c r="N192" s="602"/>
      <c r="V192" s="674"/>
      <c r="W192" s="675"/>
      <c r="Z192" s="537" t="s">
        <v>319</v>
      </c>
      <c r="AB192" s="675"/>
      <c r="AD192" s="675"/>
      <c r="AF192" s="675"/>
      <c r="AG192" s="675"/>
    </row>
    <row r="193" spans="1:33" s="536" customFormat="1" ht="33.75" x14ac:dyDescent="0.2">
      <c r="A193" s="605"/>
      <c r="B193" s="552" t="s">
        <v>1631</v>
      </c>
      <c r="C193" s="1822" t="s">
        <v>1632</v>
      </c>
      <c r="D193" s="1822"/>
      <c r="E193" s="1822"/>
      <c r="F193" s="562" t="s">
        <v>322</v>
      </c>
      <c r="G193" s="562" t="s">
        <v>1633</v>
      </c>
      <c r="H193" s="562"/>
      <c r="I193" s="562" t="s">
        <v>1633</v>
      </c>
      <c r="J193" s="604"/>
      <c r="K193" s="562"/>
      <c r="L193" s="604">
        <v>835.54</v>
      </c>
      <c r="M193" s="603"/>
      <c r="N193" s="602"/>
      <c r="V193" s="674"/>
      <c r="W193" s="675"/>
      <c r="Z193" s="537" t="s">
        <v>1632</v>
      </c>
      <c r="AB193" s="675"/>
      <c r="AD193" s="675"/>
      <c r="AF193" s="675"/>
      <c r="AG193" s="675"/>
    </row>
    <row r="194" spans="1:33" s="536" customFormat="1" ht="33.75" x14ac:dyDescent="0.2">
      <c r="A194" s="605"/>
      <c r="B194" s="552" t="s">
        <v>1634</v>
      </c>
      <c r="C194" s="1822" t="s">
        <v>1635</v>
      </c>
      <c r="D194" s="1822"/>
      <c r="E194" s="1822"/>
      <c r="F194" s="562" t="s">
        <v>322</v>
      </c>
      <c r="G194" s="562" t="s">
        <v>786</v>
      </c>
      <c r="H194" s="562"/>
      <c r="I194" s="562" t="s">
        <v>786</v>
      </c>
      <c r="J194" s="604"/>
      <c r="K194" s="562"/>
      <c r="L194" s="604">
        <v>439.3</v>
      </c>
      <c r="M194" s="603"/>
      <c r="N194" s="602"/>
      <c r="V194" s="674"/>
      <c r="W194" s="675"/>
      <c r="Z194" s="537" t="s">
        <v>1635</v>
      </c>
      <c r="AB194" s="675"/>
      <c r="AD194" s="675"/>
      <c r="AF194" s="675"/>
      <c r="AG194" s="675"/>
    </row>
    <row r="195" spans="1:33" s="536" customFormat="1" ht="12" x14ac:dyDescent="0.2">
      <c r="A195" s="569"/>
      <c r="B195" s="671"/>
      <c r="C195" s="1823" t="s">
        <v>327</v>
      </c>
      <c r="D195" s="1823"/>
      <c r="E195" s="1823"/>
      <c r="F195" s="573"/>
      <c r="G195" s="573"/>
      <c r="H195" s="573"/>
      <c r="I195" s="573"/>
      <c r="J195" s="572"/>
      <c r="K195" s="573"/>
      <c r="L195" s="572">
        <v>5102.96</v>
      </c>
      <c r="M195" s="601"/>
      <c r="N195" s="570"/>
      <c r="V195" s="674"/>
      <c r="W195" s="675"/>
      <c r="AB195" s="675" t="s">
        <v>327</v>
      </c>
      <c r="AD195" s="675"/>
      <c r="AF195" s="675"/>
      <c r="AG195" s="675"/>
    </row>
    <row r="196" spans="1:33" s="536" customFormat="1" ht="33.75" x14ac:dyDescent="0.2">
      <c r="A196" s="575" t="s">
        <v>425</v>
      </c>
      <c r="B196" s="670" t="s">
        <v>1707</v>
      </c>
      <c r="C196" s="1823" t="s">
        <v>3371</v>
      </c>
      <c r="D196" s="1823"/>
      <c r="E196" s="1823"/>
      <c r="F196" s="573" t="s">
        <v>483</v>
      </c>
      <c r="G196" s="573"/>
      <c r="H196" s="573"/>
      <c r="I196" s="573" t="s">
        <v>3372</v>
      </c>
      <c r="J196" s="572">
        <v>679.03</v>
      </c>
      <c r="K196" s="573" t="s">
        <v>716</v>
      </c>
      <c r="L196" s="572">
        <v>35323.199999999997</v>
      </c>
      <c r="M196" s="571">
        <v>8.32</v>
      </c>
      <c r="N196" s="570">
        <v>293889</v>
      </c>
      <c r="V196" s="674"/>
      <c r="W196" s="675" t="s">
        <v>3371</v>
      </c>
      <c r="AB196" s="675"/>
      <c r="AD196" s="675"/>
      <c r="AF196" s="675"/>
      <c r="AG196" s="675"/>
    </row>
    <row r="197" spans="1:33" s="536" customFormat="1" ht="12" x14ac:dyDescent="0.2">
      <c r="A197" s="569"/>
      <c r="B197" s="671"/>
      <c r="C197" s="665" t="s">
        <v>1658</v>
      </c>
      <c r="D197" s="666"/>
      <c r="E197" s="666"/>
      <c r="F197" s="563"/>
      <c r="G197" s="563"/>
      <c r="H197" s="563"/>
      <c r="I197" s="563"/>
      <c r="J197" s="566"/>
      <c r="K197" s="563"/>
      <c r="L197" s="566"/>
      <c r="M197" s="565"/>
      <c r="N197" s="564"/>
      <c r="V197" s="674"/>
      <c r="W197" s="675"/>
      <c r="AB197" s="675"/>
      <c r="AD197" s="675"/>
      <c r="AF197" s="675"/>
      <c r="AG197" s="675"/>
    </row>
    <row r="198" spans="1:33" s="536" customFormat="1" ht="12" x14ac:dyDescent="0.2">
      <c r="A198" s="676"/>
      <c r="B198" s="664"/>
      <c r="C198" s="1822" t="s">
        <v>3373</v>
      </c>
      <c r="D198" s="1822"/>
      <c r="E198" s="1822"/>
      <c r="F198" s="1822"/>
      <c r="G198" s="1822"/>
      <c r="H198" s="1822"/>
      <c r="I198" s="1822"/>
      <c r="J198" s="1822"/>
      <c r="K198" s="1822"/>
      <c r="L198" s="1822"/>
      <c r="M198" s="1822"/>
      <c r="N198" s="1827"/>
      <c r="V198" s="674"/>
      <c r="W198" s="675"/>
      <c r="AB198" s="675"/>
      <c r="AC198" s="537" t="s">
        <v>3373</v>
      </c>
      <c r="AD198" s="675"/>
      <c r="AF198" s="675"/>
      <c r="AG198" s="675"/>
    </row>
    <row r="199" spans="1:33" s="536" customFormat="1" ht="22.5" x14ac:dyDescent="0.2">
      <c r="A199" s="609"/>
      <c r="B199" s="552" t="s">
        <v>718</v>
      </c>
      <c r="C199" s="1822" t="s">
        <v>719</v>
      </c>
      <c r="D199" s="1822"/>
      <c r="E199" s="1822"/>
      <c r="F199" s="1822"/>
      <c r="G199" s="1822"/>
      <c r="H199" s="1822"/>
      <c r="I199" s="1822"/>
      <c r="J199" s="1822"/>
      <c r="K199" s="1822"/>
      <c r="L199" s="1822"/>
      <c r="M199" s="1822"/>
      <c r="N199" s="1827"/>
      <c r="V199" s="674"/>
      <c r="W199" s="675"/>
      <c r="X199" s="537" t="s">
        <v>719</v>
      </c>
      <c r="AB199" s="675"/>
      <c r="AD199" s="675"/>
      <c r="AF199" s="675"/>
      <c r="AG199" s="675"/>
    </row>
    <row r="200" spans="1:33" s="536" customFormat="1" ht="33.75" x14ac:dyDescent="0.2">
      <c r="A200" s="575" t="s">
        <v>430</v>
      </c>
      <c r="B200" s="670" t="s">
        <v>1711</v>
      </c>
      <c r="C200" s="1823" t="s">
        <v>1712</v>
      </c>
      <c r="D200" s="1823"/>
      <c r="E200" s="1823"/>
      <c r="F200" s="573" t="s">
        <v>617</v>
      </c>
      <c r="G200" s="573"/>
      <c r="H200" s="573"/>
      <c r="I200" s="573" t="s">
        <v>197</v>
      </c>
      <c r="J200" s="572">
        <v>379.81</v>
      </c>
      <c r="K200" s="573" t="s">
        <v>716</v>
      </c>
      <c r="L200" s="572">
        <v>605.29</v>
      </c>
      <c r="M200" s="571">
        <v>8.32</v>
      </c>
      <c r="N200" s="570">
        <v>5036</v>
      </c>
      <c r="V200" s="674"/>
      <c r="W200" s="675" t="s">
        <v>1712</v>
      </c>
      <c r="AB200" s="675"/>
      <c r="AD200" s="675"/>
      <c r="AF200" s="675"/>
      <c r="AG200" s="675"/>
    </row>
    <row r="201" spans="1:33" s="536" customFormat="1" ht="12" x14ac:dyDescent="0.2">
      <c r="A201" s="569"/>
      <c r="B201" s="671"/>
      <c r="C201" s="665" t="s">
        <v>1658</v>
      </c>
      <c r="D201" s="666"/>
      <c r="E201" s="666"/>
      <c r="F201" s="563"/>
      <c r="G201" s="563"/>
      <c r="H201" s="563"/>
      <c r="I201" s="563"/>
      <c r="J201" s="566"/>
      <c r="K201" s="563"/>
      <c r="L201" s="566"/>
      <c r="M201" s="565"/>
      <c r="N201" s="564"/>
      <c r="V201" s="674"/>
      <c r="W201" s="675"/>
      <c r="AB201" s="675"/>
      <c r="AD201" s="675"/>
      <c r="AF201" s="675"/>
      <c r="AG201" s="675"/>
    </row>
    <row r="202" spans="1:33" s="536" customFormat="1" ht="22.5" x14ac:dyDescent="0.2">
      <c r="A202" s="609"/>
      <c r="B202" s="552" t="s">
        <v>718</v>
      </c>
      <c r="C202" s="1822" t="s">
        <v>719</v>
      </c>
      <c r="D202" s="1822"/>
      <c r="E202" s="1822"/>
      <c r="F202" s="1822"/>
      <c r="G202" s="1822"/>
      <c r="H202" s="1822"/>
      <c r="I202" s="1822"/>
      <c r="J202" s="1822"/>
      <c r="K202" s="1822"/>
      <c r="L202" s="1822"/>
      <c r="M202" s="1822"/>
      <c r="N202" s="1827"/>
      <c r="V202" s="674"/>
      <c r="W202" s="675"/>
      <c r="X202" s="537" t="s">
        <v>719</v>
      </c>
      <c r="AB202" s="675"/>
      <c r="AD202" s="675"/>
      <c r="AF202" s="675"/>
      <c r="AG202" s="675"/>
    </row>
    <row r="203" spans="1:33" s="536" customFormat="1" ht="33.75" x14ac:dyDescent="0.2">
      <c r="A203" s="575" t="s">
        <v>436</v>
      </c>
      <c r="B203" s="670" t="s">
        <v>2332</v>
      </c>
      <c r="C203" s="1823" t="s">
        <v>1714</v>
      </c>
      <c r="D203" s="1823"/>
      <c r="E203" s="1823"/>
      <c r="F203" s="573" t="s">
        <v>617</v>
      </c>
      <c r="G203" s="573"/>
      <c r="H203" s="573"/>
      <c r="I203" s="573" t="s">
        <v>193</v>
      </c>
      <c r="J203" s="572">
        <v>650.20000000000005</v>
      </c>
      <c r="K203" s="573" t="s">
        <v>716</v>
      </c>
      <c r="L203" s="572">
        <v>717.43</v>
      </c>
      <c r="M203" s="571">
        <v>8.32</v>
      </c>
      <c r="N203" s="570">
        <v>5969</v>
      </c>
      <c r="V203" s="674"/>
      <c r="W203" s="675" t="s">
        <v>1714</v>
      </c>
      <c r="AB203" s="675"/>
      <c r="AD203" s="675"/>
      <c r="AF203" s="675"/>
      <c r="AG203" s="675"/>
    </row>
    <row r="204" spans="1:33" s="536" customFormat="1" ht="12" x14ac:dyDescent="0.2">
      <c r="A204" s="569"/>
      <c r="B204" s="671"/>
      <c r="C204" s="665" t="s">
        <v>1658</v>
      </c>
      <c r="D204" s="666"/>
      <c r="E204" s="666"/>
      <c r="F204" s="563"/>
      <c r="G204" s="563"/>
      <c r="H204" s="563"/>
      <c r="I204" s="563"/>
      <c r="J204" s="566"/>
      <c r="K204" s="563"/>
      <c r="L204" s="566"/>
      <c r="M204" s="565"/>
      <c r="N204" s="564"/>
      <c r="V204" s="674"/>
      <c r="W204" s="675"/>
      <c r="AB204" s="675"/>
      <c r="AD204" s="675"/>
      <c r="AF204" s="675"/>
      <c r="AG204" s="675"/>
    </row>
    <row r="205" spans="1:33" s="536" customFormat="1" ht="22.5" x14ac:dyDescent="0.2">
      <c r="A205" s="609"/>
      <c r="B205" s="552" t="s">
        <v>718</v>
      </c>
      <c r="C205" s="1822" t="s">
        <v>719</v>
      </c>
      <c r="D205" s="1822"/>
      <c r="E205" s="1822"/>
      <c r="F205" s="1822"/>
      <c r="G205" s="1822"/>
      <c r="H205" s="1822"/>
      <c r="I205" s="1822"/>
      <c r="J205" s="1822"/>
      <c r="K205" s="1822"/>
      <c r="L205" s="1822"/>
      <c r="M205" s="1822"/>
      <c r="N205" s="1827"/>
      <c r="V205" s="674"/>
      <c r="W205" s="675"/>
      <c r="X205" s="537" t="s">
        <v>719</v>
      </c>
      <c r="AB205" s="675"/>
      <c r="AD205" s="675"/>
      <c r="AF205" s="675"/>
      <c r="AG205" s="675"/>
    </row>
    <row r="206" spans="1:33" s="536" customFormat="1" ht="56.25" x14ac:dyDescent="0.2">
      <c r="A206" s="575" t="s">
        <v>733</v>
      </c>
      <c r="B206" s="670" t="s">
        <v>1680</v>
      </c>
      <c r="C206" s="1823" t="s">
        <v>1681</v>
      </c>
      <c r="D206" s="1823"/>
      <c r="E206" s="1823"/>
      <c r="F206" s="573" t="s">
        <v>1110</v>
      </c>
      <c r="G206" s="573"/>
      <c r="H206" s="573"/>
      <c r="I206" s="573" t="s">
        <v>890</v>
      </c>
      <c r="J206" s="572"/>
      <c r="K206" s="573"/>
      <c r="L206" s="572"/>
      <c r="M206" s="571"/>
      <c r="N206" s="570"/>
      <c r="V206" s="674"/>
      <c r="W206" s="675" t="s">
        <v>1681</v>
      </c>
      <c r="AB206" s="675"/>
      <c r="AD206" s="675"/>
      <c r="AF206" s="675"/>
      <c r="AG206" s="675"/>
    </row>
    <row r="207" spans="1:33" s="536" customFormat="1" ht="12" x14ac:dyDescent="0.2">
      <c r="A207" s="676"/>
      <c r="B207" s="664"/>
      <c r="C207" s="1822" t="s">
        <v>2333</v>
      </c>
      <c r="D207" s="1822"/>
      <c r="E207" s="1822"/>
      <c r="F207" s="1822"/>
      <c r="G207" s="1822"/>
      <c r="H207" s="1822"/>
      <c r="I207" s="1822"/>
      <c r="J207" s="1822"/>
      <c r="K207" s="1822"/>
      <c r="L207" s="1822"/>
      <c r="M207" s="1822"/>
      <c r="N207" s="1827"/>
      <c r="V207" s="674"/>
      <c r="W207" s="675"/>
      <c r="AB207" s="675"/>
      <c r="AC207" s="537" t="s">
        <v>2333</v>
      </c>
      <c r="AD207" s="675"/>
      <c r="AF207" s="675"/>
      <c r="AG207" s="675"/>
    </row>
    <row r="208" spans="1:33" s="536" customFormat="1" ht="33.75" x14ac:dyDescent="0.2">
      <c r="A208" s="609"/>
      <c r="B208" s="552" t="s">
        <v>310</v>
      </c>
      <c r="C208" s="1822" t="s">
        <v>311</v>
      </c>
      <c r="D208" s="1822"/>
      <c r="E208" s="1822"/>
      <c r="F208" s="1822"/>
      <c r="G208" s="1822"/>
      <c r="H208" s="1822"/>
      <c r="I208" s="1822"/>
      <c r="J208" s="1822"/>
      <c r="K208" s="1822"/>
      <c r="L208" s="1822"/>
      <c r="M208" s="1822"/>
      <c r="N208" s="1827"/>
      <c r="V208" s="674"/>
      <c r="W208" s="675"/>
      <c r="X208" s="537" t="s">
        <v>311</v>
      </c>
      <c r="AB208" s="675"/>
      <c r="AD208" s="675"/>
      <c r="AF208" s="675"/>
      <c r="AG208" s="675"/>
    </row>
    <row r="209" spans="1:33" s="536" customFormat="1" ht="12" x14ac:dyDescent="0.2">
      <c r="A209" s="605"/>
      <c r="B209" s="552" t="s">
        <v>185</v>
      </c>
      <c r="C209" s="1822" t="s">
        <v>312</v>
      </c>
      <c r="D209" s="1822"/>
      <c r="E209" s="1822"/>
      <c r="F209" s="562"/>
      <c r="G209" s="562"/>
      <c r="H209" s="562"/>
      <c r="I209" s="562"/>
      <c r="J209" s="604">
        <v>50.67</v>
      </c>
      <c r="K209" s="562" t="s">
        <v>313</v>
      </c>
      <c r="L209" s="604">
        <v>12.67</v>
      </c>
      <c r="M209" s="603"/>
      <c r="N209" s="602"/>
      <c r="V209" s="674"/>
      <c r="W209" s="675"/>
      <c r="Y209" s="537" t="s">
        <v>312</v>
      </c>
      <c r="AB209" s="675"/>
      <c r="AD209" s="675"/>
      <c r="AF209" s="675"/>
      <c r="AG209" s="675"/>
    </row>
    <row r="210" spans="1:33" s="536" customFormat="1" ht="12" x14ac:dyDescent="0.2">
      <c r="A210" s="605"/>
      <c r="B210" s="552" t="s">
        <v>186</v>
      </c>
      <c r="C210" s="1822" t="s">
        <v>344</v>
      </c>
      <c r="D210" s="1822"/>
      <c r="E210" s="1822"/>
      <c r="F210" s="562"/>
      <c r="G210" s="562"/>
      <c r="H210" s="562"/>
      <c r="I210" s="562"/>
      <c r="J210" s="604">
        <v>3.62</v>
      </c>
      <c r="K210" s="562" t="s">
        <v>313</v>
      </c>
      <c r="L210" s="604">
        <v>0.91</v>
      </c>
      <c r="M210" s="603"/>
      <c r="N210" s="602"/>
      <c r="V210" s="674"/>
      <c r="W210" s="675"/>
      <c r="Y210" s="537" t="s">
        <v>344</v>
      </c>
      <c r="AB210" s="675"/>
      <c r="AD210" s="675"/>
      <c r="AF210" s="675"/>
      <c r="AG210" s="675"/>
    </row>
    <row r="211" spans="1:33" s="536" customFormat="1" ht="12" x14ac:dyDescent="0.2">
      <c r="A211" s="605"/>
      <c r="B211" s="552" t="s">
        <v>187</v>
      </c>
      <c r="C211" s="1822" t="s">
        <v>345</v>
      </c>
      <c r="D211" s="1822"/>
      <c r="E211" s="1822"/>
      <c r="F211" s="562"/>
      <c r="G211" s="562"/>
      <c r="H211" s="562"/>
      <c r="I211" s="562"/>
      <c r="J211" s="604">
        <v>0.5</v>
      </c>
      <c r="K211" s="562" t="s">
        <v>313</v>
      </c>
      <c r="L211" s="604">
        <v>0.13</v>
      </c>
      <c r="M211" s="603"/>
      <c r="N211" s="602"/>
      <c r="V211" s="674"/>
      <c r="W211" s="675"/>
      <c r="Y211" s="537" t="s">
        <v>345</v>
      </c>
      <c r="AB211" s="675"/>
      <c r="AD211" s="675"/>
      <c r="AF211" s="675"/>
      <c r="AG211" s="675"/>
    </row>
    <row r="212" spans="1:33" s="536" customFormat="1" ht="12" x14ac:dyDescent="0.2">
      <c r="A212" s="605"/>
      <c r="B212" s="552" t="s">
        <v>188</v>
      </c>
      <c r="C212" s="1822" t="s">
        <v>475</v>
      </c>
      <c r="D212" s="1822"/>
      <c r="E212" s="1822"/>
      <c r="F212" s="562"/>
      <c r="G212" s="562"/>
      <c r="H212" s="562"/>
      <c r="I212" s="562"/>
      <c r="J212" s="604">
        <v>14.48</v>
      </c>
      <c r="K212" s="562"/>
      <c r="L212" s="604">
        <v>2.9</v>
      </c>
      <c r="M212" s="603"/>
      <c r="N212" s="602"/>
      <c r="V212" s="674"/>
      <c r="W212" s="675"/>
      <c r="Y212" s="537" t="s">
        <v>475</v>
      </c>
      <c r="AB212" s="675"/>
      <c r="AD212" s="675"/>
      <c r="AF212" s="675"/>
      <c r="AG212" s="675"/>
    </row>
    <row r="213" spans="1:33" s="536" customFormat="1" ht="12" x14ac:dyDescent="0.2">
      <c r="A213" s="605"/>
      <c r="B213" s="552"/>
      <c r="C213" s="1822" t="s">
        <v>314</v>
      </c>
      <c r="D213" s="1822"/>
      <c r="E213" s="1822"/>
      <c r="F213" s="562" t="s">
        <v>315</v>
      </c>
      <c r="G213" s="562" t="s">
        <v>1682</v>
      </c>
      <c r="H213" s="562" t="s">
        <v>313</v>
      </c>
      <c r="I213" s="562" t="s">
        <v>2334</v>
      </c>
      <c r="J213" s="604"/>
      <c r="K213" s="562"/>
      <c r="L213" s="604"/>
      <c r="M213" s="603"/>
      <c r="N213" s="602"/>
      <c r="V213" s="674"/>
      <c r="W213" s="675"/>
      <c r="Z213" s="537" t="s">
        <v>314</v>
      </c>
      <c r="AB213" s="675"/>
      <c r="AD213" s="675"/>
      <c r="AF213" s="675"/>
      <c r="AG213" s="675"/>
    </row>
    <row r="214" spans="1:33" s="536" customFormat="1" ht="12" x14ac:dyDescent="0.2">
      <c r="A214" s="605"/>
      <c r="B214" s="552"/>
      <c r="C214" s="1822" t="s">
        <v>348</v>
      </c>
      <c r="D214" s="1822"/>
      <c r="E214" s="1822"/>
      <c r="F214" s="562" t="s">
        <v>315</v>
      </c>
      <c r="G214" s="562" t="s">
        <v>728</v>
      </c>
      <c r="H214" s="562" t="s">
        <v>313</v>
      </c>
      <c r="I214" s="562" t="s">
        <v>809</v>
      </c>
      <c r="J214" s="604"/>
      <c r="K214" s="562"/>
      <c r="L214" s="604"/>
      <c r="M214" s="603"/>
      <c r="N214" s="602"/>
      <c r="V214" s="674"/>
      <c r="W214" s="675"/>
      <c r="Z214" s="537" t="s">
        <v>348</v>
      </c>
      <c r="AB214" s="675"/>
      <c r="AD214" s="675"/>
      <c r="AF214" s="675"/>
      <c r="AG214" s="675"/>
    </row>
    <row r="215" spans="1:33" s="536" customFormat="1" ht="12" x14ac:dyDescent="0.2">
      <c r="A215" s="605"/>
      <c r="B215" s="552"/>
      <c r="C215" s="1828" t="s">
        <v>318</v>
      </c>
      <c r="D215" s="1828"/>
      <c r="E215" s="1828"/>
      <c r="F215" s="608"/>
      <c r="G215" s="608"/>
      <c r="H215" s="608"/>
      <c r="I215" s="608"/>
      <c r="J215" s="607">
        <v>68.77</v>
      </c>
      <c r="K215" s="608"/>
      <c r="L215" s="607">
        <v>16.48</v>
      </c>
      <c r="M215" s="601"/>
      <c r="N215" s="606"/>
      <c r="V215" s="674"/>
      <c r="W215" s="675"/>
      <c r="AA215" s="537" t="s">
        <v>318</v>
      </c>
      <c r="AB215" s="675"/>
      <c r="AD215" s="675"/>
      <c r="AF215" s="675"/>
      <c r="AG215" s="675"/>
    </row>
    <row r="216" spans="1:33" s="536" customFormat="1" ht="12" x14ac:dyDescent="0.2">
      <c r="A216" s="605"/>
      <c r="B216" s="552"/>
      <c r="C216" s="1822" t="s">
        <v>319</v>
      </c>
      <c r="D216" s="1822"/>
      <c r="E216" s="1822"/>
      <c r="F216" s="562"/>
      <c r="G216" s="562"/>
      <c r="H216" s="562"/>
      <c r="I216" s="562"/>
      <c r="J216" s="604"/>
      <c r="K216" s="562"/>
      <c r="L216" s="604">
        <v>12.8</v>
      </c>
      <c r="M216" s="603"/>
      <c r="N216" s="602"/>
      <c r="V216" s="674"/>
      <c r="W216" s="675"/>
      <c r="Z216" s="537" t="s">
        <v>319</v>
      </c>
      <c r="AB216" s="675"/>
      <c r="AD216" s="675"/>
      <c r="AF216" s="675"/>
      <c r="AG216" s="675"/>
    </row>
    <row r="217" spans="1:33" s="536" customFormat="1" ht="33.75" x14ac:dyDescent="0.2">
      <c r="A217" s="605"/>
      <c r="B217" s="552" t="s">
        <v>1631</v>
      </c>
      <c r="C217" s="1822" t="s">
        <v>1632</v>
      </c>
      <c r="D217" s="1822"/>
      <c r="E217" s="1822"/>
      <c r="F217" s="562" t="s">
        <v>322</v>
      </c>
      <c r="G217" s="562" t="s">
        <v>1633</v>
      </c>
      <c r="H217" s="562"/>
      <c r="I217" s="562" t="s">
        <v>1633</v>
      </c>
      <c r="J217" s="604"/>
      <c r="K217" s="562"/>
      <c r="L217" s="604">
        <v>12.42</v>
      </c>
      <c r="M217" s="603"/>
      <c r="N217" s="602"/>
      <c r="V217" s="674"/>
      <c r="W217" s="675"/>
      <c r="Z217" s="537" t="s">
        <v>1632</v>
      </c>
      <c r="AB217" s="675"/>
      <c r="AD217" s="675"/>
      <c r="AF217" s="675"/>
      <c r="AG217" s="675"/>
    </row>
    <row r="218" spans="1:33" s="536" customFormat="1" ht="33.75" x14ac:dyDescent="0.2">
      <c r="A218" s="605"/>
      <c r="B218" s="552" t="s">
        <v>1634</v>
      </c>
      <c r="C218" s="1822" t="s">
        <v>1635</v>
      </c>
      <c r="D218" s="1822"/>
      <c r="E218" s="1822"/>
      <c r="F218" s="562" t="s">
        <v>322</v>
      </c>
      <c r="G218" s="562" t="s">
        <v>786</v>
      </c>
      <c r="H218" s="562"/>
      <c r="I218" s="562" t="s">
        <v>786</v>
      </c>
      <c r="J218" s="604"/>
      <c r="K218" s="562"/>
      <c r="L218" s="604">
        <v>6.53</v>
      </c>
      <c r="M218" s="603"/>
      <c r="N218" s="602"/>
      <c r="V218" s="674"/>
      <c r="W218" s="675"/>
      <c r="Z218" s="537" t="s">
        <v>1635</v>
      </c>
      <c r="AB218" s="675"/>
      <c r="AD218" s="675"/>
      <c r="AF218" s="675"/>
      <c r="AG218" s="675"/>
    </row>
    <row r="219" spans="1:33" s="536" customFormat="1" ht="12" x14ac:dyDescent="0.2">
      <c r="A219" s="569"/>
      <c r="B219" s="671"/>
      <c r="C219" s="1823" t="s">
        <v>327</v>
      </c>
      <c r="D219" s="1823"/>
      <c r="E219" s="1823"/>
      <c r="F219" s="573"/>
      <c r="G219" s="573"/>
      <c r="H219" s="573"/>
      <c r="I219" s="573"/>
      <c r="J219" s="572"/>
      <c r="K219" s="573"/>
      <c r="L219" s="572">
        <v>35.43</v>
      </c>
      <c r="M219" s="601"/>
      <c r="N219" s="570"/>
      <c r="V219" s="674"/>
      <c r="W219" s="675"/>
      <c r="AB219" s="675" t="s">
        <v>327</v>
      </c>
      <c r="AD219" s="675"/>
      <c r="AF219" s="675"/>
      <c r="AG219" s="675"/>
    </row>
    <row r="220" spans="1:33" s="536" customFormat="1" ht="33.75" x14ac:dyDescent="0.2">
      <c r="A220" s="575" t="s">
        <v>736</v>
      </c>
      <c r="B220" s="670" t="s">
        <v>2335</v>
      </c>
      <c r="C220" s="1823" t="s">
        <v>1720</v>
      </c>
      <c r="D220" s="1823"/>
      <c r="E220" s="1823"/>
      <c r="F220" s="573" t="s">
        <v>483</v>
      </c>
      <c r="G220" s="573"/>
      <c r="H220" s="573"/>
      <c r="I220" s="573" t="s">
        <v>2336</v>
      </c>
      <c r="J220" s="572">
        <v>253.2</v>
      </c>
      <c r="K220" s="573" t="s">
        <v>716</v>
      </c>
      <c r="L220" s="572">
        <v>633.29</v>
      </c>
      <c r="M220" s="571">
        <v>8.32</v>
      </c>
      <c r="N220" s="570">
        <v>5269</v>
      </c>
      <c r="V220" s="674"/>
      <c r="W220" s="675" t="s">
        <v>1720</v>
      </c>
      <c r="AB220" s="675"/>
      <c r="AD220" s="675"/>
      <c r="AF220" s="675"/>
      <c r="AG220" s="675"/>
    </row>
    <row r="221" spans="1:33" s="536" customFormat="1" ht="12" x14ac:dyDescent="0.2">
      <c r="A221" s="569"/>
      <c r="B221" s="671"/>
      <c r="C221" s="665" t="s">
        <v>1658</v>
      </c>
      <c r="D221" s="666"/>
      <c r="E221" s="666"/>
      <c r="F221" s="563"/>
      <c r="G221" s="563"/>
      <c r="H221" s="563"/>
      <c r="I221" s="563"/>
      <c r="J221" s="566"/>
      <c r="K221" s="563"/>
      <c r="L221" s="566"/>
      <c r="M221" s="565"/>
      <c r="N221" s="564"/>
      <c r="V221" s="674"/>
      <c r="W221" s="675"/>
      <c r="AB221" s="675"/>
      <c r="AD221" s="675"/>
      <c r="AF221" s="675"/>
      <c r="AG221" s="675"/>
    </row>
    <row r="222" spans="1:33" s="536" customFormat="1" ht="12" x14ac:dyDescent="0.2">
      <c r="A222" s="676"/>
      <c r="B222" s="664"/>
      <c r="C222" s="1822" t="s">
        <v>2337</v>
      </c>
      <c r="D222" s="1822"/>
      <c r="E222" s="1822"/>
      <c r="F222" s="1822"/>
      <c r="G222" s="1822"/>
      <c r="H222" s="1822"/>
      <c r="I222" s="1822"/>
      <c r="J222" s="1822"/>
      <c r="K222" s="1822"/>
      <c r="L222" s="1822"/>
      <c r="M222" s="1822"/>
      <c r="N222" s="1827"/>
      <c r="V222" s="674"/>
      <c r="W222" s="675"/>
      <c r="AB222" s="675"/>
      <c r="AC222" s="537" t="s">
        <v>2337</v>
      </c>
      <c r="AD222" s="675"/>
      <c r="AF222" s="675"/>
      <c r="AG222" s="675"/>
    </row>
    <row r="223" spans="1:33" s="536" customFormat="1" ht="22.5" x14ac:dyDescent="0.2">
      <c r="A223" s="609"/>
      <c r="B223" s="552" t="s">
        <v>718</v>
      </c>
      <c r="C223" s="1822" t="s">
        <v>719</v>
      </c>
      <c r="D223" s="1822"/>
      <c r="E223" s="1822"/>
      <c r="F223" s="1822"/>
      <c r="G223" s="1822"/>
      <c r="H223" s="1822"/>
      <c r="I223" s="1822"/>
      <c r="J223" s="1822"/>
      <c r="K223" s="1822"/>
      <c r="L223" s="1822"/>
      <c r="M223" s="1822"/>
      <c r="N223" s="1827"/>
      <c r="V223" s="674"/>
      <c r="W223" s="675"/>
      <c r="X223" s="537" t="s">
        <v>719</v>
      </c>
      <c r="AB223" s="675"/>
      <c r="AD223" s="675"/>
      <c r="AF223" s="675"/>
      <c r="AG223" s="675"/>
    </row>
    <row r="224" spans="1:33" s="536" customFormat="1" ht="45" x14ac:dyDescent="0.2">
      <c r="A224" s="575" t="s">
        <v>1067</v>
      </c>
      <c r="B224" s="670" t="s">
        <v>1668</v>
      </c>
      <c r="C224" s="1823" t="s">
        <v>1669</v>
      </c>
      <c r="D224" s="1823"/>
      <c r="E224" s="1823"/>
      <c r="F224" s="573" t="s">
        <v>1110</v>
      </c>
      <c r="G224" s="573"/>
      <c r="H224" s="573"/>
      <c r="I224" s="573" t="s">
        <v>890</v>
      </c>
      <c r="J224" s="572"/>
      <c r="K224" s="573"/>
      <c r="L224" s="572"/>
      <c r="M224" s="571"/>
      <c r="N224" s="570"/>
      <c r="V224" s="674"/>
      <c r="W224" s="675" t="s">
        <v>1669</v>
      </c>
      <c r="AB224" s="675"/>
      <c r="AD224" s="675"/>
      <c r="AF224" s="675"/>
      <c r="AG224" s="675"/>
    </row>
    <row r="225" spans="1:33" s="536" customFormat="1" ht="12" x14ac:dyDescent="0.2">
      <c r="A225" s="676"/>
      <c r="B225" s="664"/>
      <c r="C225" s="1822" t="s">
        <v>2333</v>
      </c>
      <c r="D225" s="1822"/>
      <c r="E225" s="1822"/>
      <c r="F225" s="1822"/>
      <c r="G225" s="1822"/>
      <c r="H225" s="1822"/>
      <c r="I225" s="1822"/>
      <c r="J225" s="1822"/>
      <c r="K225" s="1822"/>
      <c r="L225" s="1822"/>
      <c r="M225" s="1822"/>
      <c r="N225" s="1827"/>
      <c r="V225" s="674"/>
      <c r="W225" s="675"/>
      <c r="AB225" s="675"/>
      <c r="AC225" s="537" t="s">
        <v>2333</v>
      </c>
      <c r="AD225" s="675"/>
      <c r="AF225" s="675"/>
      <c r="AG225" s="675"/>
    </row>
    <row r="226" spans="1:33" s="536" customFormat="1" ht="33.75" x14ac:dyDescent="0.2">
      <c r="A226" s="609"/>
      <c r="B226" s="552" t="s">
        <v>310</v>
      </c>
      <c r="C226" s="1822" t="s">
        <v>311</v>
      </c>
      <c r="D226" s="1822"/>
      <c r="E226" s="1822"/>
      <c r="F226" s="1822"/>
      <c r="G226" s="1822"/>
      <c r="H226" s="1822"/>
      <c r="I226" s="1822"/>
      <c r="J226" s="1822"/>
      <c r="K226" s="1822"/>
      <c r="L226" s="1822"/>
      <c r="M226" s="1822"/>
      <c r="N226" s="1827"/>
      <c r="V226" s="674"/>
      <c r="W226" s="675"/>
      <c r="X226" s="537" t="s">
        <v>311</v>
      </c>
      <c r="AB226" s="675"/>
      <c r="AD226" s="675"/>
      <c r="AF226" s="675"/>
      <c r="AG226" s="675"/>
    </row>
    <row r="227" spans="1:33" s="536" customFormat="1" ht="12" x14ac:dyDescent="0.2">
      <c r="A227" s="605"/>
      <c r="B227" s="552" t="s">
        <v>185</v>
      </c>
      <c r="C227" s="1822" t="s">
        <v>312</v>
      </c>
      <c r="D227" s="1822"/>
      <c r="E227" s="1822"/>
      <c r="F227" s="562"/>
      <c r="G227" s="562"/>
      <c r="H227" s="562"/>
      <c r="I227" s="562"/>
      <c r="J227" s="604">
        <v>139.54</v>
      </c>
      <c r="K227" s="562" t="s">
        <v>313</v>
      </c>
      <c r="L227" s="604">
        <v>34.89</v>
      </c>
      <c r="M227" s="603"/>
      <c r="N227" s="602"/>
      <c r="V227" s="674"/>
      <c r="W227" s="675"/>
      <c r="Y227" s="537" t="s">
        <v>312</v>
      </c>
      <c r="AB227" s="675"/>
      <c r="AD227" s="675"/>
      <c r="AF227" s="675"/>
      <c r="AG227" s="675"/>
    </row>
    <row r="228" spans="1:33" s="536" customFormat="1" ht="12" x14ac:dyDescent="0.2">
      <c r="A228" s="605"/>
      <c r="B228" s="552" t="s">
        <v>188</v>
      </c>
      <c r="C228" s="1822" t="s">
        <v>475</v>
      </c>
      <c r="D228" s="1822"/>
      <c r="E228" s="1822"/>
      <c r="F228" s="562"/>
      <c r="G228" s="562"/>
      <c r="H228" s="562"/>
      <c r="I228" s="562"/>
      <c r="J228" s="604">
        <v>16.79</v>
      </c>
      <c r="K228" s="562"/>
      <c r="L228" s="604">
        <v>3.36</v>
      </c>
      <c r="M228" s="603"/>
      <c r="N228" s="602"/>
      <c r="V228" s="674"/>
      <c r="W228" s="675"/>
      <c r="Y228" s="537" t="s">
        <v>475</v>
      </c>
      <c r="AB228" s="675"/>
      <c r="AD228" s="675"/>
      <c r="AF228" s="675"/>
      <c r="AG228" s="675"/>
    </row>
    <row r="229" spans="1:33" s="536" customFormat="1" ht="12" x14ac:dyDescent="0.2">
      <c r="A229" s="605"/>
      <c r="B229" s="552"/>
      <c r="C229" s="1822" t="s">
        <v>314</v>
      </c>
      <c r="D229" s="1822"/>
      <c r="E229" s="1822"/>
      <c r="F229" s="562" t="s">
        <v>315</v>
      </c>
      <c r="G229" s="562" t="s">
        <v>1671</v>
      </c>
      <c r="H229" s="562" t="s">
        <v>313</v>
      </c>
      <c r="I229" s="562" t="s">
        <v>422</v>
      </c>
      <c r="J229" s="604"/>
      <c r="K229" s="562"/>
      <c r="L229" s="604"/>
      <c r="M229" s="603"/>
      <c r="N229" s="602"/>
      <c r="V229" s="674"/>
      <c r="W229" s="675"/>
      <c r="Z229" s="537" t="s">
        <v>314</v>
      </c>
      <c r="AB229" s="675"/>
      <c r="AD229" s="675"/>
      <c r="AF229" s="675"/>
      <c r="AG229" s="675"/>
    </row>
    <row r="230" spans="1:33" s="536" customFormat="1" ht="12" x14ac:dyDescent="0.2">
      <c r="A230" s="605"/>
      <c r="B230" s="552"/>
      <c r="C230" s="1828" t="s">
        <v>318</v>
      </c>
      <c r="D230" s="1828"/>
      <c r="E230" s="1828"/>
      <c r="F230" s="608"/>
      <c r="G230" s="608"/>
      <c r="H230" s="608"/>
      <c r="I230" s="608"/>
      <c r="J230" s="607">
        <v>156.33000000000001</v>
      </c>
      <c r="K230" s="608"/>
      <c r="L230" s="607">
        <v>38.25</v>
      </c>
      <c r="M230" s="601"/>
      <c r="N230" s="606"/>
      <c r="V230" s="674"/>
      <c r="W230" s="675"/>
      <c r="AA230" s="537" t="s">
        <v>318</v>
      </c>
      <c r="AB230" s="675"/>
      <c r="AD230" s="675"/>
      <c r="AF230" s="675"/>
      <c r="AG230" s="675"/>
    </row>
    <row r="231" spans="1:33" s="536" customFormat="1" ht="12" x14ac:dyDescent="0.2">
      <c r="A231" s="605"/>
      <c r="B231" s="552"/>
      <c r="C231" s="1822" t="s">
        <v>319</v>
      </c>
      <c r="D231" s="1822"/>
      <c r="E231" s="1822"/>
      <c r="F231" s="562"/>
      <c r="G231" s="562"/>
      <c r="H231" s="562"/>
      <c r="I231" s="562"/>
      <c r="J231" s="604"/>
      <c r="K231" s="562"/>
      <c r="L231" s="604">
        <v>34.89</v>
      </c>
      <c r="M231" s="603"/>
      <c r="N231" s="602"/>
      <c r="V231" s="674"/>
      <c r="W231" s="675"/>
      <c r="Z231" s="537" t="s">
        <v>319</v>
      </c>
      <c r="AB231" s="675"/>
      <c r="AD231" s="675"/>
      <c r="AF231" s="675"/>
      <c r="AG231" s="675"/>
    </row>
    <row r="232" spans="1:33" s="536" customFormat="1" ht="33.75" x14ac:dyDescent="0.2">
      <c r="A232" s="605"/>
      <c r="B232" s="552" t="s">
        <v>1631</v>
      </c>
      <c r="C232" s="1822" t="s">
        <v>1632</v>
      </c>
      <c r="D232" s="1822"/>
      <c r="E232" s="1822"/>
      <c r="F232" s="562" t="s">
        <v>322</v>
      </c>
      <c r="G232" s="562" t="s">
        <v>1633</v>
      </c>
      <c r="H232" s="562"/>
      <c r="I232" s="562" t="s">
        <v>1633</v>
      </c>
      <c r="J232" s="604"/>
      <c r="K232" s="562"/>
      <c r="L232" s="604">
        <v>33.840000000000003</v>
      </c>
      <c r="M232" s="603"/>
      <c r="N232" s="602"/>
      <c r="V232" s="674"/>
      <c r="W232" s="675"/>
      <c r="Z232" s="537" t="s">
        <v>1632</v>
      </c>
      <c r="AB232" s="675"/>
      <c r="AD232" s="675"/>
      <c r="AF232" s="675"/>
      <c r="AG232" s="675"/>
    </row>
    <row r="233" spans="1:33" s="536" customFormat="1" ht="33.75" x14ac:dyDescent="0.2">
      <c r="A233" s="605"/>
      <c r="B233" s="552" t="s">
        <v>1634</v>
      </c>
      <c r="C233" s="1822" t="s">
        <v>1635</v>
      </c>
      <c r="D233" s="1822"/>
      <c r="E233" s="1822"/>
      <c r="F233" s="562" t="s">
        <v>322</v>
      </c>
      <c r="G233" s="562" t="s">
        <v>786</v>
      </c>
      <c r="H233" s="562"/>
      <c r="I233" s="562" t="s">
        <v>786</v>
      </c>
      <c r="J233" s="604"/>
      <c r="K233" s="562"/>
      <c r="L233" s="604">
        <v>17.79</v>
      </c>
      <c r="M233" s="603"/>
      <c r="N233" s="602"/>
      <c r="V233" s="674"/>
      <c r="W233" s="675"/>
      <c r="Z233" s="537" t="s">
        <v>1635</v>
      </c>
      <c r="AB233" s="675"/>
      <c r="AD233" s="675"/>
      <c r="AF233" s="675"/>
      <c r="AG233" s="675"/>
    </row>
    <row r="234" spans="1:33" s="536" customFormat="1" ht="12" x14ac:dyDescent="0.2">
      <c r="A234" s="569"/>
      <c r="B234" s="671"/>
      <c r="C234" s="1823" t="s">
        <v>327</v>
      </c>
      <c r="D234" s="1823"/>
      <c r="E234" s="1823"/>
      <c r="F234" s="573"/>
      <c r="G234" s="573"/>
      <c r="H234" s="573"/>
      <c r="I234" s="573"/>
      <c r="J234" s="572"/>
      <c r="K234" s="573"/>
      <c r="L234" s="572">
        <v>89.88</v>
      </c>
      <c r="M234" s="601"/>
      <c r="N234" s="570"/>
      <c r="V234" s="674"/>
      <c r="W234" s="675"/>
      <c r="AB234" s="675" t="s">
        <v>327</v>
      </c>
      <c r="AD234" s="675"/>
      <c r="AF234" s="675"/>
      <c r="AG234" s="675"/>
    </row>
    <row r="235" spans="1:33" s="536" customFormat="1" ht="45" x14ac:dyDescent="0.2">
      <c r="A235" s="575" t="s">
        <v>912</v>
      </c>
      <c r="B235" s="670" t="s">
        <v>1724</v>
      </c>
      <c r="C235" s="1823" t="s">
        <v>1725</v>
      </c>
      <c r="D235" s="1823"/>
      <c r="E235" s="1823"/>
      <c r="F235" s="573" t="s">
        <v>483</v>
      </c>
      <c r="G235" s="573"/>
      <c r="H235" s="573"/>
      <c r="I235" s="573" t="s">
        <v>2336</v>
      </c>
      <c r="J235" s="572">
        <v>3</v>
      </c>
      <c r="K235" s="573"/>
      <c r="L235" s="572">
        <v>61.2</v>
      </c>
      <c r="M235" s="571"/>
      <c r="N235" s="570"/>
      <c r="V235" s="674"/>
      <c r="W235" s="675" t="s">
        <v>1725</v>
      </c>
      <c r="AB235" s="675"/>
      <c r="AD235" s="675"/>
      <c r="AF235" s="675"/>
      <c r="AG235" s="675"/>
    </row>
    <row r="236" spans="1:33" s="536" customFormat="1" ht="12" x14ac:dyDescent="0.2">
      <c r="A236" s="569"/>
      <c r="B236" s="671"/>
      <c r="C236" s="665" t="s">
        <v>1658</v>
      </c>
      <c r="D236" s="666"/>
      <c r="E236" s="666"/>
      <c r="F236" s="563"/>
      <c r="G236" s="563"/>
      <c r="H236" s="563"/>
      <c r="I236" s="563"/>
      <c r="J236" s="566"/>
      <c r="K236" s="563"/>
      <c r="L236" s="566"/>
      <c r="M236" s="565"/>
      <c r="N236" s="564"/>
      <c r="V236" s="674"/>
      <c r="W236" s="675"/>
      <c r="AB236" s="675"/>
      <c r="AD236" s="675"/>
      <c r="AF236" s="675"/>
      <c r="AG236" s="675"/>
    </row>
    <row r="237" spans="1:33" s="536" customFormat="1" ht="12" x14ac:dyDescent="0.2">
      <c r="A237" s="676"/>
      <c r="B237" s="664"/>
      <c r="C237" s="1822" t="s">
        <v>2337</v>
      </c>
      <c r="D237" s="1822"/>
      <c r="E237" s="1822"/>
      <c r="F237" s="1822"/>
      <c r="G237" s="1822"/>
      <c r="H237" s="1822"/>
      <c r="I237" s="1822"/>
      <c r="J237" s="1822"/>
      <c r="K237" s="1822"/>
      <c r="L237" s="1822"/>
      <c r="M237" s="1822"/>
      <c r="N237" s="1827"/>
      <c r="V237" s="674"/>
      <c r="W237" s="675"/>
      <c r="AB237" s="675"/>
      <c r="AC237" s="537" t="s">
        <v>2337</v>
      </c>
      <c r="AD237" s="675"/>
      <c r="AF237" s="675"/>
      <c r="AG237" s="675"/>
    </row>
    <row r="238" spans="1:33" s="536" customFormat="1" ht="12" x14ac:dyDescent="0.2">
      <c r="A238" s="575" t="s">
        <v>757</v>
      </c>
      <c r="B238" s="670" t="s">
        <v>1690</v>
      </c>
      <c r="C238" s="1823" t="s">
        <v>1691</v>
      </c>
      <c r="D238" s="1823"/>
      <c r="E238" s="1823"/>
      <c r="F238" s="573" t="s">
        <v>617</v>
      </c>
      <c r="G238" s="573"/>
      <c r="H238" s="573"/>
      <c r="I238" s="573" t="s">
        <v>185</v>
      </c>
      <c r="J238" s="572"/>
      <c r="K238" s="573"/>
      <c r="L238" s="572"/>
      <c r="M238" s="571"/>
      <c r="N238" s="570"/>
      <c r="V238" s="674"/>
      <c r="W238" s="675" t="s">
        <v>1691</v>
      </c>
      <c r="AB238" s="675"/>
      <c r="AD238" s="675"/>
      <c r="AF238" s="675"/>
      <c r="AG238" s="675"/>
    </row>
    <row r="239" spans="1:33" s="536" customFormat="1" ht="33.75" x14ac:dyDescent="0.2">
      <c r="A239" s="609"/>
      <c r="B239" s="552" t="s">
        <v>310</v>
      </c>
      <c r="C239" s="1822" t="s">
        <v>311</v>
      </c>
      <c r="D239" s="1822"/>
      <c r="E239" s="1822"/>
      <c r="F239" s="1822"/>
      <c r="G239" s="1822"/>
      <c r="H239" s="1822"/>
      <c r="I239" s="1822"/>
      <c r="J239" s="1822"/>
      <c r="K239" s="1822"/>
      <c r="L239" s="1822"/>
      <c r="M239" s="1822"/>
      <c r="N239" s="1827"/>
      <c r="V239" s="674"/>
      <c r="W239" s="675"/>
      <c r="X239" s="537" t="s">
        <v>311</v>
      </c>
      <c r="AB239" s="675"/>
      <c r="AD239" s="675"/>
      <c r="AF239" s="675"/>
      <c r="AG239" s="675"/>
    </row>
    <row r="240" spans="1:33" s="536" customFormat="1" ht="12" x14ac:dyDescent="0.2">
      <c r="A240" s="605"/>
      <c r="B240" s="552" t="s">
        <v>185</v>
      </c>
      <c r="C240" s="1822" t="s">
        <v>312</v>
      </c>
      <c r="D240" s="1822"/>
      <c r="E240" s="1822"/>
      <c r="F240" s="562"/>
      <c r="G240" s="562"/>
      <c r="H240" s="562"/>
      <c r="I240" s="562"/>
      <c r="J240" s="604">
        <v>4.88</v>
      </c>
      <c r="K240" s="562" t="s">
        <v>313</v>
      </c>
      <c r="L240" s="604">
        <v>6.1</v>
      </c>
      <c r="M240" s="603"/>
      <c r="N240" s="602"/>
      <c r="V240" s="674"/>
      <c r="W240" s="675"/>
      <c r="Y240" s="537" t="s">
        <v>312</v>
      </c>
      <c r="AB240" s="675"/>
      <c r="AD240" s="675"/>
      <c r="AF240" s="675"/>
      <c r="AG240" s="675"/>
    </row>
    <row r="241" spans="1:33" s="536" customFormat="1" ht="12" x14ac:dyDescent="0.2">
      <c r="A241" s="605"/>
      <c r="B241" s="552" t="s">
        <v>188</v>
      </c>
      <c r="C241" s="1822" t="s">
        <v>475</v>
      </c>
      <c r="D241" s="1822"/>
      <c r="E241" s="1822"/>
      <c r="F241" s="562"/>
      <c r="G241" s="562"/>
      <c r="H241" s="562"/>
      <c r="I241" s="562"/>
      <c r="J241" s="604">
        <v>0.41</v>
      </c>
      <c r="K241" s="562"/>
      <c r="L241" s="604">
        <v>0.41</v>
      </c>
      <c r="M241" s="603"/>
      <c r="N241" s="602"/>
      <c r="V241" s="674"/>
      <c r="W241" s="675"/>
      <c r="Y241" s="537" t="s">
        <v>475</v>
      </c>
      <c r="AB241" s="675"/>
      <c r="AD241" s="675"/>
      <c r="AF241" s="675"/>
      <c r="AG241" s="675"/>
    </row>
    <row r="242" spans="1:33" s="536" customFormat="1" ht="12" x14ac:dyDescent="0.2">
      <c r="A242" s="605"/>
      <c r="B242" s="552"/>
      <c r="C242" s="1822" t="s">
        <v>314</v>
      </c>
      <c r="D242" s="1822"/>
      <c r="E242" s="1822"/>
      <c r="F242" s="562" t="s">
        <v>315</v>
      </c>
      <c r="G242" s="562" t="s">
        <v>1692</v>
      </c>
      <c r="H242" s="562" t="s">
        <v>313</v>
      </c>
      <c r="I242" s="562" t="s">
        <v>2500</v>
      </c>
      <c r="J242" s="604"/>
      <c r="K242" s="562"/>
      <c r="L242" s="604"/>
      <c r="M242" s="603"/>
      <c r="N242" s="602"/>
      <c r="V242" s="674"/>
      <c r="W242" s="675"/>
      <c r="Z242" s="537" t="s">
        <v>314</v>
      </c>
      <c r="AB242" s="675"/>
      <c r="AD242" s="675"/>
      <c r="AF242" s="675"/>
      <c r="AG242" s="675"/>
    </row>
    <row r="243" spans="1:33" s="536" customFormat="1" ht="12" x14ac:dyDescent="0.2">
      <c r="A243" s="605"/>
      <c r="B243" s="552"/>
      <c r="C243" s="1828" t="s">
        <v>318</v>
      </c>
      <c r="D243" s="1828"/>
      <c r="E243" s="1828"/>
      <c r="F243" s="608"/>
      <c r="G243" s="608"/>
      <c r="H243" s="608"/>
      <c r="I243" s="608"/>
      <c r="J243" s="607">
        <v>5.29</v>
      </c>
      <c r="K243" s="608"/>
      <c r="L243" s="607">
        <v>6.51</v>
      </c>
      <c r="M243" s="601"/>
      <c r="N243" s="606"/>
      <c r="V243" s="674"/>
      <c r="W243" s="675"/>
      <c r="AA243" s="537" t="s">
        <v>318</v>
      </c>
      <c r="AB243" s="675"/>
      <c r="AD243" s="675"/>
      <c r="AF243" s="675"/>
      <c r="AG243" s="675"/>
    </row>
    <row r="244" spans="1:33" s="536" customFormat="1" ht="12" x14ac:dyDescent="0.2">
      <c r="A244" s="605"/>
      <c r="B244" s="552"/>
      <c r="C244" s="1822" t="s">
        <v>319</v>
      </c>
      <c r="D244" s="1822"/>
      <c r="E244" s="1822"/>
      <c r="F244" s="562"/>
      <c r="G244" s="562"/>
      <c r="H244" s="562"/>
      <c r="I244" s="562"/>
      <c r="J244" s="604"/>
      <c r="K244" s="562"/>
      <c r="L244" s="604">
        <v>6.1</v>
      </c>
      <c r="M244" s="603"/>
      <c r="N244" s="602"/>
      <c r="V244" s="674"/>
      <c r="W244" s="675"/>
      <c r="Z244" s="537" t="s">
        <v>319</v>
      </c>
      <c r="AB244" s="675"/>
      <c r="AD244" s="675"/>
      <c r="AF244" s="675"/>
      <c r="AG244" s="675"/>
    </row>
    <row r="245" spans="1:33" s="536" customFormat="1" ht="33.75" x14ac:dyDescent="0.2">
      <c r="A245" s="605"/>
      <c r="B245" s="552" t="s">
        <v>884</v>
      </c>
      <c r="C245" s="1822" t="s">
        <v>885</v>
      </c>
      <c r="D245" s="1822"/>
      <c r="E245" s="1822"/>
      <c r="F245" s="562" t="s">
        <v>322</v>
      </c>
      <c r="G245" s="562" t="s">
        <v>886</v>
      </c>
      <c r="H245" s="562"/>
      <c r="I245" s="562" t="s">
        <v>886</v>
      </c>
      <c r="J245" s="604"/>
      <c r="K245" s="562"/>
      <c r="L245" s="604">
        <v>5.49</v>
      </c>
      <c r="M245" s="603"/>
      <c r="N245" s="602"/>
      <c r="V245" s="674"/>
      <c r="W245" s="675"/>
      <c r="Z245" s="537" t="s">
        <v>885</v>
      </c>
      <c r="AB245" s="675"/>
      <c r="AD245" s="675"/>
      <c r="AF245" s="675"/>
      <c r="AG245" s="675"/>
    </row>
    <row r="246" spans="1:33" s="536" customFormat="1" ht="33.75" x14ac:dyDescent="0.2">
      <c r="A246" s="605"/>
      <c r="B246" s="552" t="s">
        <v>887</v>
      </c>
      <c r="C246" s="1822" t="s">
        <v>888</v>
      </c>
      <c r="D246" s="1822"/>
      <c r="E246" s="1822"/>
      <c r="F246" s="562" t="s">
        <v>322</v>
      </c>
      <c r="G246" s="562" t="s">
        <v>465</v>
      </c>
      <c r="H246" s="562"/>
      <c r="I246" s="562" t="s">
        <v>465</v>
      </c>
      <c r="J246" s="604"/>
      <c r="K246" s="562"/>
      <c r="L246" s="604">
        <v>2.81</v>
      </c>
      <c r="M246" s="603"/>
      <c r="N246" s="602"/>
      <c r="V246" s="674"/>
      <c r="W246" s="675"/>
      <c r="Z246" s="537" t="s">
        <v>888</v>
      </c>
      <c r="AB246" s="675"/>
      <c r="AD246" s="675"/>
      <c r="AF246" s="675"/>
      <c r="AG246" s="675"/>
    </row>
    <row r="247" spans="1:33" s="536" customFormat="1" ht="12" x14ac:dyDescent="0.2">
      <c r="A247" s="569"/>
      <c r="B247" s="671"/>
      <c r="C247" s="1823" t="s">
        <v>327</v>
      </c>
      <c r="D247" s="1823"/>
      <c r="E247" s="1823"/>
      <c r="F247" s="573"/>
      <c r="G247" s="573"/>
      <c r="H247" s="573"/>
      <c r="I247" s="573"/>
      <c r="J247" s="572"/>
      <c r="K247" s="573"/>
      <c r="L247" s="572">
        <v>14.81</v>
      </c>
      <c r="M247" s="601"/>
      <c r="N247" s="570"/>
      <c r="V247" s="674"/>
      <c r="W247" s="675"/>
      <c r="AB247" s="675" t="s">
        <v>327</v>
      </c>
      <c r="AD247" s="675"/>
      <c r="AF247" s="675"/>
      <c r="AG247" s="675"/>
    </row>
    <row r="248" spans="1:33" s="536" customFormat="1" ht="33.75" x14ac:dyDescent="0.2">
      <c r="A248" s="575" t="s">
        <v>1079</v>
      </c>
      <c r="B248" s="670" t="s">
        <v>2338</v>
      </c>
      <c r="C248" s="1823" t="s">
        <v>1728</v>
      </c>
      <c r="D248" s="1823"/>
      <c r="E248" s="1823"/>
      <c r="F248" s="573" t="s">
        <v>483</v>
      </c>
      <c r="G248" s="573"/>
      <c r="H248" s="573"/>
      <c r="I248" s="573" t="s">
        <v>185</v>
      </c>
      <c r="J248" s="572">
        <v>902.71</v>
      </c>
      <c r="K248" s="573" t="s">
        <v>716</v>
      </c>
      <c r="L248" s="572">
        <v>110.7</v>
      </c>
      <c r="M248" s="571">
        <v>8.32</v>
      </c>
      <c r="N248" s="570">
        <v>921</v>
      </c>
      <c r="V248" s="674"/>
      <c r="W248" s="675" t="s">
        <v>1728</v>
      </c>
      <c r="AB248" s="675"/>
      <c r="AD248" s="675"/>
      <c r="AF248" s="675"/>
      <c r="AG248" s="675"/>
    </row>
    <row r="249" spans="1:33" s="536" customFormat="1" ht="12" x14ac:dyDescent="0.2">
      <c r="A249" s="569"/>
      <c r="B249" s="671"/>
      <c r="C249" s="665" t="s">
        <v>1658</v>
      </c>
      <c r="D249" s="666"/>
      <c r="E249" s="666"/>
      <c r="F249" s="563"/>
      <c r="G249" s="563"/>
      <c r="H249" s="563"/>
      <c r="I249" s="563"/>
      <c r="J249" s="566"/>
      <c r="K249" s="563"/>
      <c r="L249" s="566"/>
      <c r="M249" s="565"/>
      <c r="N249" s="564"/>
      <c r="V249" s="674"/>
      <c r="W249" s="675"/>
      <c r="AB249" s="675"/>
      <c r="AD249" s="675"/>
      <c r="AF249" s="675"/>
      <c r="AG249" s="675"/>
    </row>
    <row r="250" spans="1:33" s="536" customFormat="1" ht="22.5" x14ac:dyDescent="0.2">
      <c r="A250" s="609"/>
      <c r="B250" s="552" t="s">
        <v>718</v>
      </c>
      <c r="C250" s="1822" t="s">
        <v>719</v>
      </c>
      <c r="D250" s="1822"/>
      <c r="E250" s="1822"/>
      <c r="F250" s="1822"/>
      <c r="G250" s="1822"/>
      <c r="H250" s="1822"/>
      <c r="I250" s="1822"/>
      <c r="J250" s="1822"/>
      <c r="K250" s="1822"/>
      <c r="L250" s="1822"/>
      <c r="M250" s="1822"/>
      <c r="N250" s="1827"/>
      <c r="V250" s="674"/>
      <c r="W250" s="675"/>
      <c r="X250" s="537" t="s">
        <v>719</v>
      </c>
      <c r="AB250" s="675"/>
      <c r="AD250" s="675"/>
      <c r="AF250" s="675"/>
      <c r="AG250" s="675"/>
    </row>
    <row r="251" spans="1:33" s="536" customFormat="1" ht="33.75" x14ac:dyDescent="0.2">
      <c r="A251" s="575" t="s">
        <v>759</v>
      </c>
      <c r="B251" s="670" t="s">
        <v>1729</v>
      </c>
      <c r="C251" s="1823" t="s">
        <v>1730</v>
      </c>
      <c r="D251" s="1823"/>
      <c r="E251" s="1823"/>
      <c r="F251" s="573" t="s">
        <v>617</v>
      </c>
      <c r="G251" s="573"/>
      <c r="H251" s="573"/>
      <c r="I251" s="573" t="s">
        <v>188</v>
      </c>
      <c r="J251" s="572">
        <v>17.22</v>
      </c>
      <c r="K251" s="573" t="s">
        <v>716</v>
      </c>
      <c r="L251" s="572">
        <v>8.41</v>
      </c>
      <c r="M251" s="571">
        <v>8.32</v>
      </c>
      <c r="N251" s="570">
        <v>70</v>
      </c>
      <c r="V251" s="674"/>
      <c r="W251" s="675" t="s">
        <v>1730</v>
      </c>
      <c r="AB251" s="675"/>
      <c r="AD251" s="675"/>
      <c r="AF251" s="675"/>
      <c r="AG251" s="675"/>
    </row>
    <row r="252" spans="1:33" s="536" customFormat="1" ht="12" x14ac:dyDescent="0.2">
      <c r="A252" s="569"/>
      <c r="B252" s="671"/>
      <c r="C252" s="665" t="s">
        <v>1658</v>
      </c>
      <c r="D252" s="666"/>
      <c r="E252" s="666"/>
      <c r="F252" s="563"/>
      <c r="G252" s="563"/>
      <c r="H252" s="563"/>
      <c r="I252" s="563"/>
      <c r="J252" s="566"/>
      <c r="K252" s="563"/>
      <c r="L252" s="566"/>
      <c r="M252" s="565"/>
      <c r="N252" s="564"/>
      <c r="V252" s="674"/>
      <c r="W252" s="675"/>
      <c r="AB252" s="675"/>
      <c r="AD252" s="675"/>
      <c r="AF252" s="675"/>
      <c r="AG252" s="675"/>
    </row>
    <row r="253" spans="1:33" s="536" customFormat="1" ht="22.5" x14ac:dyDescent="0.2">
      <c r="A253" s="609"/>
      <c r="B253" s="552" t="s">
        <v>718</v>
      </c>
      <c r="C253" s="1822" t="s">
        <v>719</v>
      </c>
      <c r="D253" s="1822"/>
      <c r="E253" s="1822"/>
      <c r="F253" s="1822"/>
      <c r="G253" s="1822"/>
      <c r="H253" s="1822"/>
      <c r="I253" s="1822"/>
      <c r="J253" s="1822"/>
      <c r="K253" s="1822"/>
      <c r="L253" s="1822"/>
      <c r="M253" s="1822"/>
      <c r="N253" s="1827"/>
      <c r="V253" s="674"/>
      <c r="W253" s="675"/>
      <c r="X253" s="537" t="s">
        <v>719</v>
      </c>
      <c r="AB253" s="675"/>
      <c r="AD253" s="675"/>
      <c r="AF253" s="675"/>
      <c r="AG253" s="675"/>
    </row>
    <row r="254" spans="1:33" s="536" customFormat="1" ht="33.75" x14ac:dyDescent="0.2">
      <c r="A254" s="575" t="s">
        <v>917</v>
      </c>
      <c r="B254" s="670" t="s">
        <v>1731</v>
      </c>
      <c r="C254" s="1823" t="s">
        <v>1732</v>
      </c>
      <c r="D254" s="1823"/>
      <c r="E254" s="1823"/>
      <c r="F254" s="573" t="s">
        <v>617</v>
      </c>
      <c r="G254" s="573"/>
      <c r="H254" s="573"/>
      <c r="I254" s="573" t="s">
        <v>193</v>
      </c>
      <c r="J254" s="572">
        <v>7.81</v>
      </c>
      <c r="K254" s="573" t="s">
        <v>716</v>
      </c>
      <c r="L254" s="572">
        <v>8.65</v>
      </c>
      <c r="M254" s="571">
        <v>8.32</v>
      </c>
      <c r="N254" s="570">
        <v>72</v>
      </c>
      <c r="V254" s="674"/>
      <c r="W254" s="675" t="s">
        <v>1732</v>
      </c>
      <c r="AB254" s="675"/>
      <c r="AD254" s="675"/>
      <c r="AF254" s="675"/>
      <c r="AG254" s="675"/>
    </row>
    <row r="255" spans="1:33" s="536" customFormat="1" ht="12" x14ac:dyDescent="0.2">
      <c r="A255" s="569"/>
      <c r="B255" s="671"/>
      <c r="C255" s="665" t="s">
        <v>1658</v>
      </c>
      <c r="D255" s="666"/>
      <c r="E255" s="666"/>
      <c r="F255" s="563"/>
      <c r="G255" s="563"/>
      <c r="H255" s="563"/>
      <c r="I255" s="563"/>
      <c r="J255" s="566"/>
      <c r="K255" s="563"/>
      <c r="L255" s="566"/>
      <c r="M255" s="565"/>
      <c r="N255" s="564"/>
      <c r="V255" s="674"/>
      <c r="W255" s="675"/>
      <c r="AB255" s="675"/>
      <c r="AD255" s="675"/>
      <c r="AF255" s="675"/>
      <c r="AG255" s="675"/>
    </row>
    <row r="256" spans="1:33" s="536" customFormat="1" ht="22.5" x14ac:dyDescent="0.2">
      <c r="A256" s="609"/>
      <c r="B256" s="552" t="s">
        <v>718</v>
      </c>
      <c r="C256" s="1822" t="s">
        <v>719</v>
      </c>
      <c r="D256" s="1822"/>
      <c r="E256" s="1822"/>
      <c r="F256" s="1822"/>
      <c r="G256" s="1822"/>
      <c r="H256" s="1822"/>
      <c r="I256" s="1822"/>
      <c r="J256" s="1822"/>
      <c r="K256" s="1822"/>
      <c r="L256" s="1822"/>
      <c r="M256" s="1822"/>
      <c r="N256" s="1827"/>
      <c r="V256" s="674"/>
      <c r="W256" s="675"/>
      <c r="X256" s="537" t="s">
        <v>719</v>
      </c>
      <c r="AB256" s="675"/>
      <c r="AD256" s="675"/>
      <c r="AF256" s="675"/>
      <c r="AG256" s="675"/>
    </row>
    <row r="257" spans="1:33" s="536" customFormat="1" ht="22.5" x14ac:dyDescent="0.2">
      <c r="A257" s="575" t="s">
        <v>761</v>
      </c>
      <c r="B257" s="670" t="s">
        <v>1733</v>
      </c>
      <c r="C257" s="1823" t="s">
        <v>1734</v>
      </c>
      <c r="D257" s="1823"/>
      <c r="E257" s="1823"/>
      <c r="F257" s="573" t="s">
        <v>307</v>
      </c>
      <c r="G257" s="573"/>
      <c r="H257" s="573"/>
      <c r="I257" s="573" t="s">
        <v>1177</v>
      </c>
      <c r="J257" s="572">
        <v>125</v>
      </c>
      <c r="K257" s="573"/>
      <c r="L257" s="572">
        <v>11.25</v>
      </c>
      <c r="M257" s="571"/>
      <c r="N257" s="570"/>
      <c r="V257" s="674"/>
      <c r="W257" s="675" t="s">
        <v>1734</v>
      </c>
      <c r="AB257" s="675"/>
      <c r="AD257" s="675"/>
      <c r="AF257" s="675"/>
      <c r="AG257" s="675"/>
    </row>
    <row r="258" spans="1:33" s="536" customFormat="1" ht="12" x14ac:dyDescent="0.2">
      <c r="A258" s="569"/>
      <c r="B258" s="671"/>
      <c r="C258" s="665" t="s">
        <v>1658</v>
      </c>
      <c r="D258" s="666"/>
      <c r="E258" s="666"/>
      <c r="F258" s="563"/>
      <c r="G258" s="563"/>
      <c r="H258" s="563"/>
      <c r="I258" s="563"/>
      <c r="J258" s="566"/>
      <c r="K258" s="563"/>
      <c r="L258" s="566"/>
      <c r="M258" s="565"/>
      <c r="N258" s="564"/>
      <c r="V258" s="674"/>
      <c r="W258" s="675"/>
      <c r="AB258" s="675"/>
      <c r="AD258" s="675"/>
      <c r="AF258" s="675"/>
      <c r="AG258" s="675"/>
    </row>
    <row r="259" spans="1:33" s="536" customFormat="1" ht="12" x14ac:dyDescent="0.2">
      <c r="A259" s="676"/>
      <c r="B259" s="664"/>
      <c r="C259" s="1822" t="s">
        <v>3374</v>
      </c>
      <c r="D259" s="1822"/>
      <c r="E259" s="1822"/>
      <c r="F259" s="1822"/>
      <c r="G259" s="1822"/>
      <c r="H259" s="1822"/>
      <c r="I259" s="1822"/>
      <c r="J259" s="1822"/>
      <c r="K259" s="1822"/>
      <c r="L259" s="1822"/>
      <c r="M259" s="1822"/>
      <c r="N259" s="1827"/>
      <c r="V259" s="674"/>
      <c r="W259" s="675"/>
      <c r="AB259" s="675"/>
      <c r="AC259" s="537" t="s">
        <v>3374</v>
      </c>
      <c r="AD259" s="675"/>
      <c r="AF259" s="675"/>
      <c r="AG259" s="675"/>
    </row>
    <row r="260" spans="1:33" s="536" customFormat="1" ht="22.5" x14ac:dyDescent="0.2">
      <c r="A260" s="575" t="s">
        <v>762</v>
      </c>
      <c r="B260" s="670" t="s">
        <v>1736</v>
      </c>
      <c r="C260" s="1823" t="s">
        <v>1737</v>
      </c>
      <c r="D260" s="1823"/>
      <c r="E260" s="1823"/>
      <c r="F260" s="573" t="s">
        <v>307</v>
      </c>
      <c r="G260" s="573"/>
      <c r="H260" s="573"/>
      <c r="I260" s="573" t="s">
        <v>728</v>
      </c>
      <c r="J260" s="572">
        <v>20</v>
      </c>
      <c r="K260" s="573"/>
      <c r="L260" s="572">
        <v>0.8</v>
      </c>
      <c r="M260" s="571"/>
      <c r="N260" s="570"/>
      <c r="V260" s="674"/>
      <c r="W260" s="675" t="s">
        <v>1737</v>
      </c>
      <c r="AB260" s="675"/>
      <c r="AD260" s="675"/>
      <c r="AF260" s="675"/>
      <c r="AG260" s="675"/>
    </row>
    <row r="261" spans="1:33" s="536" customFormat="1" ht="12" x14ac:dyDescent="0.2">
      <c r="A261" s="569"/>
      <c r="B261" s="671"/>
      <c r="C261" s="665" t="s">
        <v>1658</v>
      </c>
      <c r="D261" s="666"/>
      <c r="E261" s="666"/>
      <c r="F261" s="563"/>
      <c r="G261" s="563"/>
      <c r="H261" s="563"/>
      <c r="I261" s="563"/>
      <c r="J261" s="566"/>
      <c r="K261" s="563"/>
      <c r="L261" s="566"/>
      <c r="M261" s="565"/>
      <c r="N261" s="564"/>
      <c r="V261" s="674"/>
      <c r="W261" s="675"/>
      <c r="AB261" s="675"/>
      <c r="AD261" s="675"/>
      <c r="AF261" s="675"/>
      <c r="AG261" s="675"/>
    </row>
    <row r="262" spans="1:33" s="536" customFormat="1" ht="12" x14ac:dyDescent="0.2">
      <c r="A262" s="676"/>
      <c r="B262" s="664"/>
      <c r="C262" s="1822" t="s">
        <v>2263</v>
      </c>
      <c r="D262" s="1822"/>
      <c r="E262" s="1822"/>
      <c r="F262" s="1822"/>
      <c r="G262" s="1822"/>
      <c r="H262" s="1822"/>
      <c r="I262" s="1822"/>
      <c r="J262" s="1822"/>
      <c r="K262" s="1822"/>
      <c r="L262" s="1822"/>
      <c r="M262" s="1822"/>
      <c r="N262" s="1827"/>
      <c r="V262" s="674"/>
      <c r="W262" s="675"/>
      <c r="AB262" s="675"/>
      <c r="AC262" s="537" t="s">
        <v>2263</v>
      </c>
      <c r="AD262" s="675"/>
      <c r="AF262" s="675"/>
      <c r="AG262" s="675"/>
    </row>
    <row r="263" spans="1:33" s="536" customFormat="1" ht="22.5" x14ac:dyDescent="0.2">
      <c r="A263" s="575" t="s">
        <v>763</v>
      </c>
      <c r="B263" s="670" t="s">
        <v>1738</v>
      </c>
      <c r="C263" s="1823" t="s">
        <v>1739</v>
      </c>
      <c r="D263" s="1823"/>
      <c r="E263" s="1823"/>
      <c r="F263" s="573" t="s">
        <v>307</v>
      </c>
      <c r="G263" s="573"/>
      <c r="H263" s="573"/>
      <c r="I263" s="573" t="s">
        <v>185</v>
      </c>
      <c r="J263" s="572">
        <v>14.46</v>
      </c>
      <c r="K263" s="573"/>
      <c r="L263" s="572">
        <v>14.46</v>
      </c>
      <c r="M263" s="571"/>
      <c r="N263" s="570"/>
      <c r="V263" s="674"/>
      <c r="W263" s="675" t="s">
        <v>1739</v>
      </c>
      <c r="AB263" s="675"/>
      <c r="AD263" s="675"/>
      <c r="AF263" s="675"/>
      <c r="AG263" s="675"/>
    </row>
    <row r="264" spans="1:33" s="536" customFormat="1" ht="12" x14ac:dyDescent="0.2">
      <c r="A264" s="569"/>
      <c r="B264" s="671"/>
      <c r="C264" s="665" t="s">
        <v>1658</v>
      </c>
      <c r="D264" s="666"/>
      <c r="E264" s="666"/>
      <c r="F264" s="563"/>
      <c r="G264" s="563"/>
      <c r="H264" s="563"/>
      <c r="I264" s="563"/>
      <c r="J264" s="566"/>
      <c r="K264" s="563"/>
      <c r="L264" s="566"/>
      <c r="M264" s="565"/>
      <c r="N264" s="564"/>
      <c r="V264" s="674"/>
      <c r="W264" s="675"/>
      <c r="AB264" s="675"/>
      <c r="AD264" s="675"/>
      <c r="AF264" s="675"/>
      <c r="AG264" s="675"/>
    </row>
    <row r="265" spans="1:33" s="536" customFormat="1" ht="12" x14ac:dyDescent="0.2">
      <c r="A265" s="676"/>
      <c r="B265" s="664"/>
      <c r="C265" s="1822" t="s">
        <v>2340</v>
      </c>
      <c r="D265" s="1822"/>
      <c r="E265" s="1822"/>
      <c r="F265" s="1822"/>
      <c r="G265" s="1822"/>
      <c r="H265" s="1822"/>
      <c r="I265" s="1822"/>
      <c r="J265" s="1822"/>
      <c r="K265" s="1822"/>
      <c r="L265" s="1822"/>
      <c r="M265" s="1822"/>
      <c r="N265" s="1827"/>
      <c r="V265" s="674"/>
      <c r="W265" s="675"/>
      <c r="AB265" s="675"/>
      <c r="AC265" s="537" t="s">
        <v>2340</v>
      </c>
      <c r="AD265" s="675"/>
      <c r="AF265" s="675"/>
      <c r="AG265" s="675"/>
    </row>
    <row r="266" spans="1:33" s="536" customFormat="1" ht="33.75" x14ac:dyDescent="0.2">
      <c r="A266" s="575" t="s">
        <v>922</v>
      </c>
      <c r="B266" s="670" t="s">
        <v>1741</v>
      </c>
      <c r="C266" s="1823" t="s">
        <v>1742</v>
      </c>
      <c r="D266" s="1823"/>
      <c r="E266" s="1823"/>
      <c r="F266" s="573" t="s">
        <v>617</v>
      </c>
      <c r="G266" s="573"/>
      <c r="H266" s="573"/>
      <c r="I266" s="573" t="s">
        <v>1540</v>
      </c>
      <c r="J266" s="572">
        <v>45.33</v>
      </c>
      <c r="K266" s="573" t="s">
        <v>716</v>
      </c>
      <c r="L266" s="572">
        <v>444.59</v>
      </c>
      <c r="M266" s="571">
        <v>8.32</v>
      </c>
      <c r="N266" s="570">
        <v>3699</v>
      </c>
      <c r="V266" s="674"/>
      <c r="W266" s="675" t="s">
        <v>1742</v>
      </c>
      <c r="AB266" s="675"/>
      <c r="AD266" s="675"/>
      <c r="AF266" s="675"/>
      <c r="AG266" s="675"/>
    </row>
    <row r="267" spans="1:33" s="536" customFormat="1" ht="12" x14ac:dyDescent="0.2">
      <c r="A267" s="569"/>
      <c r="B267" s="671"/>
      <c r="C267" s="665" t="s">
        <v>1658</v>
      </c>
      <c r="D267" s="666"/>
      <c r="E267" s="666"/>
      <c r="F267" s="563"/>
      <c r="G267" s="563"/>
      <c r="H267" s="563"/>
      <c r="I267" s="563"/>
      <c r="J267" s="566"/>
      <c r="K267" s="563"/>
      <c r="L267" s="566"/>
      <c r="M267" s="565"/>
      <c r="N267" s="564"/>
      <c r="V267" s="674"/>
      <c r="W267" s="675"/>
      <c r="AB267" s="675"/>
      <c r="AD267" s="675"/>
      <c r="AF267" s="675"/>
      <c r="AG267" s="675"/>
    </row>
    <row r="268" spans="1:33" s="536" customFormat="1" ht="22.5" x14ac:dyDescent="0.2">
      <c r="A268" s="609"/>
      <c r="B268" s="552" t="s">
        <v>718</v>
      </c>
      <c r="C268" s="1822" t="s">
        <v>719</v>
      </c>
      <c r="D268" s="1822"/>
      <c r="E268" s="1822"/>
      <c r="F268" s="1822"/>
      <c r="G268" s="1822"/>
      <c r="H268" s="1822"/>
      <c r="I268" s="1822"/>
      <c r="J268" s="1822"/>
      <c r="K268" s="1822"/>
      <c r="L268" s="1822"/>
      <c r="M268" s="1822"/>
      <c r="N268" s="1827"/>
      <c r="V268" s="674"/>
      <c r="W268" s="675"/>
      <c r="X268" s="537" t="s">
        <v>719</v>
      </c>
      <c r="AB268" s="675"/>
      <c r="AD268" s="675"/>
      <c r="AF268" s="675"/>
      <c r="AG268" s="675"/>
    </row>
    <row r="269" spans="1:33" s="536" customFormat="1" ht="33.75" x14ac:dyDescent="0.2">
      <c r="A269" s="575" t="s">
        <v>765</v>
      </c>
      <c r="B269" s="670" t="s">
        <v>1744</v>
      </c>
      <c r="C269" s="1823" t="s">
        <v>1745</v>
      </c>
      <c r="D269" s="1823"/>
      <c r="E269" s="1823"/>
      <c r="F269" s="573" t="s">
        <v>617</v>
      </c>
      <c r="G269" s="573"/>
      <c r="H269" s="573"/>
      <c r="I269" s="573" t="s">
        <v>198</v>
      </c>
      <c r="J269" s="572">
        <v>42.2</v>
      </c>
      <c r="K269" s="573" t="s">
        <v>716</v>
      </c>
      <c r="L269" s="572">
        <v>72.48</v>
      </c>
      <c r="M269" s="571">
        <v>8.32</v>
      </c>
      <c r="N269" s="570">
        <v>603</v>
      </c>
      <c r="V269" s="674"/>
      <c r="W269" s="675" t="s">
        <v>1745</v>
      </c>
      <c r="AB269" s="675"/>
      <c r="AD269" s="675"/>
      <c r="AF269" s="675"/>
      <c r="AG269" s="675"/>
    </row>
    <row r="270" spans="1:33" s="536" customFormat="1" ht="12" x14ac:dyDescent="0.2">
      <c r="A270" s="569"/>
      <c r="B270" s="671"/>
      <c r="C270" s="665" t="s">
        <v>1658</v>
      </c>
      <c r="D270" s="666"/>
      <c r="E270" s="666"/>
      <c r="F270" s="563"/>
      <c r="G270" s="563"/>
      <c r="H270" s="563"/>
      <c r="I270" s="563"/>
      <c r="J270" s="566"/>
      <c r="K270" s="563"/>
      <c r="L270" s="566"/>
      <c r="M270" s="565"/>
      <c r="N270" s="564"/>
      <c r="V270" s="674"/>
      <c r="W270" s="675"/>
      <c r="AB270" s="675"/>
      <c r="AD270" s="675"/>
      <c r="AF270" s="675"/>
      <c r="AG270" s="675"/>
    </row>
    <row r="271" spans="1:33" s="536" customFormat="1" ht="22.5" x14ac:dyDescent="0.2">
      <c r="A271" s="609"/>
      <c r="B271" s="552" t="s">
        <v>718</v>
      </c>
      <c r="C271" s="1822" t="s">
        <v>719</v>
      </c>
      <c r="D271" s="1822"/>
      <c r="E271" s="1822"/>
      <c r="F271" s="1822"/>
      <c r="G271" s="1822"/>
      <c r="H271" s="1822"/>
      <c r="I271" s="1822"/>
      <c r="J271" s="1822"/>
      <c r="K271" s="1822"/>
      <c r="L271" s="1822"/>
      <c r="M271" s="1822"/>
      <c r="N271" s="1827"/>
      <c r="V271" s="674"/>
      <c r="W271" s="675"/>
      <c r="X271" s="537" t="s">
        <v>719</v>
      </c>
      <c r="AB271" s="675"/>
      <c r="AD271" s="675"/>
      <c r="AF271" s="675"/>
      <c r="AG271" s="675"/>
    </row>
    <row r="272" spans="1:33" s="536" customFormat="1" ht="33.75" x14ac:dyDescent="0.2">
      <c r="A272" s="575" t="s">
        <v>505</v>
      </c>
      <c r="B272" s="670" t="s">
        <v>1747</v>
      </c>
      <c r="C272" s="1823" t="s">
        <v>1748</v>
      </c>
      <c r="D272" s="1823"/>
      <c r="E272" s="1823"/>
      <c r="F272" s="573" t="s">
        <v>483</v>
      </c>
      <c r="G272" s="573"/>
      <c r="H272" s="573"/>
      <c r="I272" s="573" t="s">
        <v>3375</v>
      </c>
      <c r="J272" s="572">
        <v>31.26</v>
      </c>
      <c r="K272" s="573" t="s">
        <v>716</v>
      </c>
      <c r="L272" s="572">
        <v>81.489999999999995</v>
      </c>
      <c r="M272" s="571">
        <v>8.32</v>
      </c>
      <c r="N272" s="570">
        <v>678</v>
      </c>
      <c r="V272" s="674"/>
      <c r="W272" s="675" t="s">
        <v>1748</v>
      </c>
      <c r="AB272" s="675"/>
      <c r="AD272" s="675"/>
      <c r="AF272" s="675"/>
      <c r="AG272" s="675"/>
    </row>
    <row r="273" spans="1:33" s="536" customFormat="1" ht="12" x14ac:dyDescent="0.2">
      <c r="A273" s="569"/>
      <c r="B273" s="671"/>
      <c r="C273" s="665" t="s">
        <v>1658</v>
      </c>
      <c r="D273" s="666"/>
      <c r="E273" s="666"/>
      <c r="F273" s="563"/>
      <c r="G273" s="563"/>
      <c r="H273" s="563"/>
      <c r="I273" s="563"/>
      <c r="J273" s="566"/>
      <c r="K273" s="563"/>
      <c r="L273" s="566"/>
      <c r="M273" s="565"/>
      <c r="N273" s="564"/>
      <c r="V273" s="674"/>
      <c r="W273" s="675"/>
      <c r="AB273" s="675"/>
      <c r="AD273" s="675"/>
      <c r="AF273" s="675"/>
      <c r="AG273" s="675"/>
    </row>
    <row r="274" spans="1:33" s="536" customFormat="1" ht="22.5" x14ac:dyDescent="0.2">
      <c r="A274" s="609"/>
      <c r="B274" s="552" t="s">
        <v>718</v>
      </c>
      <c r="C274" s="1822" t="s">
        <v>719</v>
      </c>
      <c r="D274" s="1822"/>
      <c r="E274" s="1822"/>
      <c r="F274" s="1822"/>
      <c r="G274" s="1822"/>
      <c r="H274" s="1822"/>
      <c r="I274" s="1822"/>
      <c r="J274" s="1822"/>
      <c r="K274" s="1822"/>
      <c r="L274" s="1822"/>
      <c r="M274" s="1822"/>
      <c r="N274" s="1827"/>
      <c r="V274" s="674"/>
      <c r="W274" s="675"/>
      <c r="X274" s="537" t="s">
        <v>719</v>
      </c>
      <c r="AB274" s="675"/>
      <c r="AD274" s="675"/>
      <c r="AF274" s="675"/>
      <c r="AG274" s="675"/>
    </row>
    <row r="275" spans="1:33" s="536" customFormat="1" ht="33.75" x14ac:dyDescent="0.2">
      <c r="A275" s="575" t="s">
        <v>767</v>
      </c>
      <c r="B275" s="670" t="s">
        <v>1749</v>
      </c>
      <c r="C275" s="1823" t="s">
        <v>1750</v>
      </c>
      <c r="D275" s="1823"/>
      <c r="E275" s="1823"/>
      <c r="F275" s="573" t="s">
        <v>617</v>
      </c>
      <c r="G275" s="573"/>
      <c r="H275" s="573"/>
      <c r="I275" s="573" t="s">
        <v>186</v>
      </c>
      <c r="J275" s="572">
        <v>147.62</v>
      </c>
      <c r="K275" s="573" t="s">
        <v>716</v>
      </c>
      <c r="L275" s="572">
        <v>36.18</v>
      </c>
      <c r="M275" s="571">
        <v>8.32</v>
      </c>
      <c r="N275" s="570">
        <v>301</v>
      </c>
      <c r="V275" s="674"/>
      <c r="W275" s="675" t="s">
        <v>1750</v>
      </c>
      <c r="AB275" s="675"/>
      <c r="AD275" s="675"/>
      <c r="AF275" s="675"/>
      <c r="AG275" s="675"/>
    </row>
    <row r="276" spans="1:33" s="536" customFormat="1" ht="12" x14ac:dyDescent="0.2">
      <c r="A276" s="569"/>
      <c r="B276" s="671"/>
      <c r="C276" s="665" t="s">
        <v>1658</v>
      </c>
      <c r="D276" s="666"/>
      <c r="E276" s="666"/>
      <c r="F276" s="563"/>
      <c r="G276" s="563"/>
      <c r="H276" s="563"/>
      <c r="I276" s="563"/>
      <c r="J276" s="566"/>
      <c r="K276" s="563"/>
      <c r="L276" s="566"/>
      <c r="M276" s="565"/>
      <c r="N276" s="564"/>
      <c r="V276" s="674"/>
      <c r="W276" s="675"/>
      <c r="AB276" s="675"/>
      <c r="AD276" s="675"/>
      <c r="AF276" s="675"/>
      <c r="AG276" s="675"/>
    </row>
    <row r="277" spans="1:33" s="536" customFormat="1" ht="22.5" x14ac:dyDescent="0.2">
      <c r="A277" s="609"/>
      <c r="B277" s="552" t="s">
        <v>718</v>
      </c>
      <c r="C277" s="1822" t="s">
        <v>719</v>
      </c>
      <c r="D277" s="1822"/>
      <c r="E277" s="1822"/>
      <c r="F277" s="1822"/>
      <c r="G277" s="1822"/>
      <c r="H277" s="1822"/>
      <c r="I277" s="1822"/>
      <c r="J277" s="1822"/>
      <c r="K277" s="1822"/>
      <c r="L277" s="1822"/>
      <c r="M277" s="1822"/>
      <c r="N277" s="1827"/>
      <c r="V277" s="674"/>
      <c r="W277" s="675"/>
      <c r="X277" s="537" t="s">
        <v>719</v>
      </c>
      <c r="AB277" s="675"/>
      <c r="AD277" s="675"/>
      <c r="AF277" s="675"/>
      <c r="AG277" s="675"/>
    </row>
    <row r="278" spans="1:33" s="536" customFormat="1" ht="12" x14ac:dyDescent="0.2">
      <c r="A278" s="575" t="s">
        <v>768</v>
      </c>
      <c r="B278" s="670" t="s">
        <v>2341</v>
      </c>
      <c r="C278" s="1823" t="s">
        <v>2342</v>
      </c>
      <c r="D278" s="1823"/>
      <c r="E278" s="1823"/>
      <c r="F278" s="573" t="s">
        <v>617</v>
      </c>
      <c r="G278" s="573"/>
      <c r="H278" s="573"/>
      <c r="I278" s="573" t="s">
        <v>185</v>
      </c>
      <c r="J278" s="572"/>
      <c r="K278" s="573"/>
      <c r="L278" s="572"/>
      <c r="M278" s="571"/>
      <c r="N278" s="570"/>
      <c r="V278" s="674"/>
      <c r="W278" s="675" t="s">
        <v>2342</v>
      </c>
      <c r="AB278" s="675"/>
      <c r="AD278" s="675"/>
      <c r="AF278" s="675"/>
      <c r="AG278" s="675"/>
    </row>
    <row r="279" spans="1:33" s="536" customFormat="1" ht="33.75" x14ac:dyDescent="0.2">
      <c r="A279" s="609"/>
      <c r="B279" s="552" t="s">
        <v>310</v>
      </c>
      <c r="C279" s="1822" t="s">
        <v>311</v>
      </c>
      <c r="D279" s="1822"/>
      <c r="E279" s="1822"/>
      <c r="F279" s="1822"/>
      <c r="G279" s="1822"/>
      <c r="H279" s="1822"/>
      <c r="I279" s="1822"/>
      <c r="J279" s="1822"/>
      <c r="K279" s="1822"/>
      <c r="L279" s="1822"/>
      <c r="M279" s="1822"/>
      <c r="N279" s="1827"/>
      <c r="V279" s="674"/>
      <c r="W279" s="675"/>
      <c r="X279" s="537" t="s">
        <v>311</v>
      </c>
      <c r="AB279" s="675"/>
      <c r="AD279" s="675"/>
      <c r="AF279" s="675"/>
      <c r="AG279" s="675"/>
    </row>
    <row r="280" spans="1:33" s="536" customFormat="1" ht="12" x14ac:dyDescent="0.2">
      <c r="A280" s="605"/>
      <c r="B280" s="552" t="s">
        <v>185</v>
      </c>
      <c r="C280" s="1822" t="s">
        <v>312</v>
      </c>
      <c r="D280" s="1822"/>
      <c r="E280" s="1822"/>
      <c r="F280" s="562"/>
      <c r="G280" s="562"/>
      <c r="H280" s="562"/>
      <c r="I280" s="562"/>
      <c r="J280" s="604">
        <v>18.73</v>
      </c>
      <c r="K280" s="562" t="s">
        <v>313</v>
      </c>
      <c r="L280" s="604">
        <v>23.41</v>
      </c>
      <c r="M280" s="603"/>
      <c r="N280" s="602"/>
      <c r="V280" s="674"/>
      <c r="W280" s="675"/>
      <c r="Y280" s="537" t="s">
        <v>312</v>
      </c>
      <c r="AB280" s="675"/>
      <c r="AD280" s="675"/>
      <c r="AF280" s="675"/>
      <c r="AG280" s="675"/>
    </row>
    <row r="281" spans="1:33" s="536" customFormat="1" ht="12" x14ac:dyDescent="0.2">
      <c r="A281" s="605"/>
      <c r="B281" s="552" t="s">
        <v>186</v>
      </c>
      <c r="C281" s="1822" t="s">
        <v>344</v>
      </c>
      <c r="D281" s="1822"/>
      <c r="E281" s="1822"/>
      <c r="F281" s="562"/>
      <c r="G281" s="562"/>
      <c r="H281" s="562"/>
      <c r="I281" s="562"/>
      <c r="J281" s="604">
        <v>44.62</v>
      </c>
      <c r="K281" s="562" t="s">
        <v>313</v>
      </c>
      <c r="L281" s="604">
        <v>55.78</v>
      </c>
      <c r="M281" s="603"/>
      <c r="N281" s="602"/>
      <c r="V281" s="674"/>
      <c r="W281" s="675"/>
      <c r="Y281" s="537" t="s">
        <v>344</v>
      </c>
      <c r="AB281" s="675"/>
      <c r="AD281" s="675"/>
      <c r="AF281" s="675"/>
      <c r="AG281" s="675"/>
    </row>
    <row r="282" spans="1:33" s="536" customFormat="1" ht="12" x14ac:dyDescent="0.2">
      <c r="A282" s="605"/>
      <c r="B282" s="552" t="s">
        <v>187</v>
      </c>
      <c r="C282" s="1822" t="s">
        <v>345</v>
      </c>
      <c r="D282" s="1822"/>
      <c r="E282" s="1822"/>
      <c r="F282" s="562"/>
      <c r="G282" s="562"/>
      <c r="H282" s="562"/>
      <c r="I282" s="562"/>
      <c r="J282" s="604">
        <v>4.3099999999999996</v>
      </c>
      <c r="K282" s="562" t="s">
        <v>313</v>
      </c>
      <c r="L282" s="604">
        <v>5.39</v>
      </c>
      <c r="M282" s="603"/>
      <c r="N282" s="602"/>
      <c r="V282" s="674"/>
      <c r="W282" s="675"/>
      <c r="Y282" s="537" t="s">
        <v>345</v>
      </c>
      <c r="AB282" s="675"/>
      <c r="AD282" s="675"/>
      <c r="AF282" s="675"/>
      <c r="AG282" s="675"/>
    </row>
    <row r="283" spans="1:33" s="536" customFormat="1" ht="12" x14ac:dyDescent="0.2">
      <c r="A283" s="605"/>
      <c r="B283" s="552" t="s">
        <v>188</v>
      </c>
      <c r="C283" s="1822" t="s">
        <v>475</v>
      </c>
      <c r="D283" s="1822"/>
      <c r="E283" s="1822"/>
      <c r="F283" s="562"/>
      <c r="G283" s="562"/>
      <c r="H283" s="562"/>
      <c r="I283" s="562"/>
      <c r="J283" s="604">
        <v>0.37</v>
      </c>
      <c r="K283" s="562"/>
      <c r="L283" s="604">
        <v>0.37</v>
      </c>
      <c r="M283" s="603"/>
      <c r="N283" s="602"/>
      <c r="V283" s="674"/>
      <c r="W283" s="675"/>
      <c r="Y283" s="537" t="s">
        <v>475</v>
      </c>
      <c r="AB283" s="675"/>
      <c r="AD283" s="675"/>
      <c r="AF283" s="675"/>
      <c r="AG283" s="675"/>
    </row>
    <row r="284" spans="1:33" s="536" customFormat="1" ht="12" x14ac:dyDescent="0.2">
      <c r="A284" s="605"/>
      <c r="B284" s="552"/>
      <c r="C284" s="1822" t="s">
        <v>314</v>
      </c>
      <c r="D284" s="1822"/>
      <c r="E284" s="1822"/>
      <c r="F284" s="562" t="s">
        <v>315</v>
      </c>
      <c r="G284" s="562" t="s">
        <v>1244</v>
      </c>
      <c r="H284" s="562" t="s">
        <v>313</v>
      </c>
      <c r="I284" s="562" t="s">
        <v>2343</v>
      </c>
      <c r="J284" s="604"/>
      <c r="K284" s="562"/>
      <c r="L284" s="604"/>
      <c r="M284" s="603"/>
      <c r="N284" s="602"/>
      <c r="V284" s="674"/>
      <c r="W284" s="675"/>
      <c r="Z284" s="537" t="s">
        <v>314</v>
      </c>
      <c r="AB284" s="675"/>
      <c r="AD284" s="675"/>
      <c r="AF284" s="675"/>
      <c r="AG284" s="675"/>
    </row>
    <row r="285" spans="1:33" s="536" customFormat="1" ht="12" x14ac:dyDescent="0.2">
      <c r="A285" s="605"/>
      <c r="B285" s="552"/>
      <c r="C285" s="1822" t="s">
        <v>348</v>
      </c>
      <c r="D285" s="1822"/>
      <c r="E285" s="1822"/>
      <c r="F285" s="562" t="s">
        <v>315</v>
      </c>
      <c r="G285" s="562" t="s">
        <v>2344</v>
      </c>
      <c r="H285" s="562" t="s">
        <v>313</v>
      </c>
      <c r="I285" s="562" t="s">
        <v>947</v>
      </c>
      <c r="J285" s="604"/>
      <c r="K285" s="562"/>
      <c r="L285" s="604"/>
      <c r="M285" s="603"/>
      <c r="N285" s="602"/>
      <c r="V285" s="674"/>
      <c r="W285" s="675"/>
      <c r="Z285" s="537" t="s">
        <v>348</v>
      </c>
      <c r="AB285" s="675"/>
      <c r="AD285" s="675"/>
      <c r="AF285" s="675"/>
      <c r="AG285" s="675"/>
    </row>
    <row r="286" spans="1:33" s="536" customFormat="1" ht="12" x14ac:dyDescent="0.2">
      <c r="A286" s="605"/>
      <c r="B286" s="552"/>
      <c r="C286" s="1828" t="s">
        <v>318</v>
      </c>
      <c r="D286" s="1828"/>
      <c r="E286" s="1828"/>
      <c r="F286" s="608"/>
      <c r="G286" s="608"/>
      <c r="H286" s="608"/>
      <c r="I286" s="608"/>
      <c r="J286" s="607">
        <v>63.72</v>
      </c>
      <c r="K286" s="608"/>
      <c r="L286" s="607">
        <v>79.56</v>
      </c>
      <c r="M286" s="601"/>
      <c r="N286" s="606"/>
      <c r="V286" s="674"/>
      <c r="W286" s="675"/>
      <c r="AA286" s="537" t="s">
        <v>318</v>
      </c>
      <c r="AB286" s="675"/>
      <c r="AD286" s="675"/>
      <c r="AF286" s="675"/>
      <c r="AG286" s="675"/>
    </row>
    <row r="287" spans="1:33" s="536" customFormat="1" ht="12" x14ac:dyDescent="0.2">
      <c r="A287" s="605"/>
      <c r="B287" s="552"/>
      <c r="C287" s="1822" t="s">
        <v>319</v>
      </c>
      <c r="D287" s="1822"/>
      <c r="E287" s="1822"/>
      <c r="F287" s="562"/>
      <c r="G287" s="562"/>
      <c r="H287" s="562"/>
      <c r="I287" s="562"/>
      <c r="J287" s="604"/>
      <c r="K287" s="562"/>
      <c r="L287" s="604">
        <v>28.8</v>
      </c>
      <c r="M287" s="603"/>
      <c r="N287" s="602"/>
      <c r="V287" s="674"/>
      <c r="W287" s="675"/>
      <c r="Z287" s="537" t="s">
        <v>319</v>
      </c>
      <c r="AB287" s="675"/>
      <c r="AD287" s="675"/>
      <c r="AF287" s="675"/>
      <c r="AG287" s="675"/>
    </row>
    <row r="288" spans="1:33" s="536" customFormat="1" ht="33.75" x14ac:dyDescent="0.2">
      <c r="A288" s="605"/>
      <c r="B288" s="552" t="s">
        <v>1631</v>
      </c>
      <c r="C288" s="1822" t="s">
        <v>1632</v>
      </c>
      <c r="D288" s="1822"/>
      <c r="E288" s="1822"/>
      <c r="F288" s="562" t="s">
        <v>322</v>
      </c>
      <c r="G288" s="562" t="s">
        <v>1633</v>
      </c>
      <c r="H288" s="562"/>
      <c r="I288" s="562" t="s">
        <v>1633</v>
      </c>
      <c r="J288" s="604"/>
      <c r="K288" s="562"/>
      <c r="L288" s="604">
        <v>27.94</v>
      </c>
      <c r="M288" s="603"/>
      <c r="N288" s="602"/>
      <c r="V288" s="674"/>
      <c r="W288" s="675"/>
      <c r="Z288" s="537" t="s">
        <v>1632</v>
      </c>
      <c r="AB288" s="675"/>
      <c r="AD288" s="675"/>
      <c r="AF288" s="675"/>
      <c r="AG288" s="675"/>
    </row>
    <row r="289" spans="1:33" s="536" customFormat="1" ht="33.75" x14ac:dyDescent="0.2">
      <c r="A289" s="605"/>
      <c r="B289" s="552" t="s">
        <v>1634</v>
      </c>
      <c r="C289" s="1822" t="s">
        <v>1635</v>
      </c>
      <c r="D289" s="1822"/>
      <c r="E289" s="1822"/>
      <c r="F289" s="562" t="s">
        <v>322</v>
      </c>
      <c r="G289" s="562" t="s">
        <v>786</v>
      </c>
      <c r="H289" s="562"/>
      <c r="I289" s="562" t="s">
        <v>786</v>
      </c>
      <c r="J289" s="604"/>
      <c r="K289" s="562"/>
      <c r="L289" s="604">
        <v>14.69</v>
      </c>
      <c r="M289" s="603"/>
      <c r="N289" s="602"/>
      <c r="V289" s="674"/>
      <c r="W289" s="675"/>
      <c r="Z289" s="537" t="s">
        <v>1635</v>
      </c>
      <c r="AB289" s="675"/>
      <c r="AD289" s="675"/>
      <c r="AF289" s="675"/>
      <c r="AG289" s="675"/>
    </row>
    <row r="290" spans="1:33" s="536" customFormat="1" ht="12" x14ac:dyDescent="0.2">
      <c r="A290" s="569"/>
      <c r="B290" s="671"/>
      <c r="C290" s="1823" t="s">
        <v>327</v>
      </c>
      <c r="D290" s="1823"/>
      <c r="E290" s="1823"/>
      <c r="F290" s="573"/>
      <c r="G290" s="573"/>
      <c r="H290" s="573"/>
      <c r="I290" s="573"/>
      <c r="J290" s="572"/>
      <c r="K290" s="573"/>
      <c r="L290" s="572">
        <v>122.19</v>
      </c>
      <c r="M290" s="601"/>
      <c r="N290" s="570"/>
      <c r="V290" s="674"/>
      <c r="W290" s="675"/>
      <c r="AB290" s="675" t="s">
        <v>327</v>
      </c>
      <c r="AD290" s="675"/>
      <c r="AF290" s="675"/>
      <c r="AG290" s="675"/>
    </row>
    <row r="291" spans="1:33" s="536" customFormat="1" ht="33.75" x14ac:dyDescent="0.2">
      <c r="A291" s="575" t="s">
        <v>769</v>
      </c>
      <c r="B291" s="670" t="s">
        <v>1756</v>
      </c>
      <c r="C291" s="1823" t="s">
        <v>1757</v>
      </c>
      <c r="D291" s="1823"/>
      <c r="E291" s="1823"/>
      <c r="F291" s="573" t="s">
        <v>483</v>
      </c>
      <c r="G291" s="573"/>
      <c r="H291" s="573"/>
      <c r="I291" s="573" t="s">
        <v>2345</v>
      </c>
      <c r="J291" s="572">
        <v>117.22</v>
      </c>
      <c r="K291" s="573" t="s">
        <v>716</v>
      </c>
      <c r="L291" s="572">
        <v>146.63</v>
      </c>
      <c r="M291" s="571">
        <v>8.32</v>
      </c>
      <c r="N291" s="570">
        <v>1220</v>
      </c>
      <c r="V291" s="674"/>
      <c r="W291" s="675" t="s">
        <v>1757</v>
      </c>
      <c r="AB291" s="675"/>
      <c r="AD291" s="675"/>
      <c r="AF291" s="675"/>
      <c r="AG291" s="675"/>
    </row>
    <row r="292" spans="1:33" s="536" customFormat="1" ht="12" x14ac:dyDescent="0.2">
      <c r="A292" s="569"/>
      <c r="B292" s="671"/>
      <c r="C292" s="665" t="s">
        <v>1658</v>
      </c>
      <c r="D292" s="666"/>
      <c r="E292" s="666"/>
      <c r="F292" s="563"/>
      <c r="G292" s="563"/>
      <c r="H292" s="563"/>
      <c r="I292" s="563"/>
      <c r="J292" s="566"/>
      <c r="K292" s="563"/>
      <c r="L292" s="566"/>
      <c r="M292" s="565"/>
      <c r="N292" s="564"/>
      <c r="V292" s="674"/>
      <c r="W292" s="675"/>
      <c r="AB292" s="675"/>
      <c r="AD292" s="675"/>
      <c r="AF292" s="675"/>
      <c r="AG292" s="675"/>
    </row>
    <row r="293" spans="1:33" s="536" customFormat="1" ht="12" x14ac:dyDescent="0.2">
      <c r="A293" s="676"/>
      <c r="B293" s="664"/>
      <c r="C293" s="1822" t="s">
        <v>2346</v>
      </c>
      <c r="D293" s="1822"/>
      <c r="E293" s="1822"/>
      <c r="F293" s="1822"/>
      <c r="G293" s="1822"/>
      <c r="H293" s="1822"/>
      <c r="I293" s="1822"/>
      <c r="J293" s="1822"/>
      <c r="K293" s="1822"/>
      <c r="L293" s="1822"/>
      <c r="M293" s="1822"/>
      <c r="N293" s="1827"/>
      <c r="V293" s="674"/>
      <c r="W293" s="675"/>
      <c r="AB293" s="675"/>
      <c r="AC293" s="537" t="s">
        <v>2346</v>
      </c>
      <c r="AD293" s="675"/>
      <c r="AF293" s="675"/>
      <c r="AG293" s="675"/>
    </row>
    <row r="294" spans="1:33" s="536" customFormat="1" ht="22.5" x14ac:dyDescent="0.2">
      <c r="A294" s="609"/>
      <c r="B294" s="552" t="s">
        <v>718</v>
      </c>
      <c r="C294" s="1822" t="s">
        <v>719</v>
      </c>
      <c r="D294" s="1822"/>
      <c r="E294" s="1822"/>
      <c r="F294" s="1822"/>
      <c r="G294" s="1822"/>
      <c r="H294" s="1822"/>
      <c r="I294" s="1822"/>
      <c r="J294" s="1822"/>
      <c r="K294" s="1822"/>
      <c r="L294" s="1822"/>
      <c r="M294" s="1822"/>
      <c r="N294" s="1827"/>
      <c r="V294" s="674"/>
      <c r="W294" s="675"/>
      <c r="X294" s="537" t="s">
        <v>719</v>
      </c>
      <c r="AB294" s="675"/>
      <c r="AD294" s="675"/>
      <c r="AF294" s="675"/>
      <c r="AG294" s="675"/>
    </row>
    <row r="295" spans="1:33" s="536" customFormat="1" ht="33.75" x14ac:dyDescent="0.2">
      <c r="A295" s="575" t="s">
        <v>770</v>
      </c>
      <c r="B295" s="670" t="s">
        <v>1760</v>
      </c>
      <c r="C295" s="1823" t="s">
        <v>1761</v>
      </c>
      <c r="D295" s="1823"/>
      <c r="E295" s="1823"/>
      <c r="F295" s="573" t="s">
        <v>617</v>
      </c>
      <c r="G295" s="573"/>
      <c r="H295" s="573"/>
      <c r="I295" s="573" t="s">
        <v>186</v>
      </c>
      <c r="J295" s="572">
        <v>232.88</v>
      </c>
      <c r="K295" s="573" t="s">
        <v>716</v>
      </c>
      <c r="L295" s="572">
        <v>57.09</v>
      </c>
      <c r="M295" s="571">
        <v>8.32</v>
      </c>
      <c r="N295" s="570">
        <v>475</v>
      </c>
      <c r="V295" s="674"/>
      <c r="W295" s="675" t="s">
        <v>1761</v>
      </c>
      <c r="AB295" s="675"/>
      <c r="AD295" s="675"/>
      <c r="AF295" s="675"/>
      <c r="AG295" s="675"/>
    </row>
    <row r="296" spans="1:33" s="536" customFormat="1" ht="12" x14ac:dyDescent="0.2">
      <c r="A296" s="569"/>
      <c r="B296" s="671"/>
      <c r="C296" s="665" t="s">
        <v>1658</v>
      </c>
      <c r="D296" s="666"/>
      <c r="E296" s="666"/>
      <c r="F296" s="563"/>
      <c r="G296" s="563"/>
      <c r="H296" s="563"/>
      <c r="I296" s="563"/>
      <c r="J296" s="566"/>
      <c r="K296" s="563"/>
      <c r="L296" s="566"/>
      <c r="M296" s="565"/>
      <c r="N296" s="564"/>
      <c r="V296" s="674"/>
      <c r="W296" s="675"/>
      <c r="AB296" s="675"/>
      <c r="AD296" s="675"/>
      <c r="AF296" s="675"/>
      <c r="AG296" s="675"/>
    </row>
    <row r="297" spans="1:33" s="536" customFormat="1" ht="22.5" x14ac:dyDescent="0.2">
      <c r="A297" s="609"/>
      <c r="B297" s="552" t="s">
        <v>718</v>
      </c>
      <c r="C297" s="1822" t="s">
        <v>719</v>
      </c>
      <c r="D297" s="1822"/>
      <c r="E297" s="1822"/>
      <c r="F297" s="1822"/>
      <c r="G297" s="1822"/>
      <c r="H297" s="1822"/>
      <c r="I297" s="1822"/>
      <c r="J297" s="1822"/>
      <c r="K297" s="1822"/>
      <c r="L297" s="1822"/>
      <c r="M297" s="1822"/>
      <c r="N297" s="1827"/>
      <c r="V297" s="674"/>
      <c r="W297" s="675"/>
      <c r="X297" s="537" t="s">
        <v>719</v>
      </c>
      <c r="AB297" s="675"/>
      <c r="AD297" s="675"/>
      <c r="AF297" s="675"/>
      <c r="AG297" s="675"/>
    </row>
    <row r="298" spans="1:33" s="536" customFormat="1" ht="33.75" x14ac:dyDescent="0.2">
      <c r="A298" s="575" t="s">
        <v>771</v>
      </c>
      <c r="B298" s="670" t="s">
        <v>1762</v>
      </c>
      <c r="C298" s="1823" t="s">
        <v>1763</v>
      </c>
      <c r="D298" s="1823"/>
      <c r="E298" s="1823"/>
      <c r="F298" s="573" t="s">
        <v>617</v>
      </c>
      <c r="G298" s="573"/>
      <c r="H298" s="573"/>
      <c r="I298" s="573" t="s">
        <v>186</v>
      </c>
      <c r="J298" s="572">
        <v>232.88</v>
      </c>
      <c r="K298" s="573" t="s">
        <v>716</v>
      </c>
      <c r="L298" s="572">
        <v>57.09</v>
      </c>
      <c r="M298" s="571">
        <v>8.32</v>
      </c>
      <c r="N298" s="570">
        <v>475</v>
      </c>
      <c r="V298" s="674"/>
      <c r="W298" s="675" t="s">
        <v>1763</v>
      </c>
      <c r="AB298" s="675"/>
      <c r="AD298" s="675"/>
      <c r="AF298" s="675"/>
      <c r="AG298" s="675"/>
    </row>
    <row r="299" spans="1:33" s="536" customFormat="1" ht="12" x14ac:dyDescent="0.2">
      <c r="A299" s="569"/>
      <c r="B299" s="671"/>
      <c r="C299" s="665" t="s">
        <v>1658</v>
      </c>
      <c r="D299" s="666"/>
      <c r="E299" s="666"/>
      <c r="F299" s="563"/>
      <c r="G299" s="563"/>
      <c r="H299" s="563"/>
      <c r="I299" s="563"/>
      <c r="J299" s="566"/>
      <c r="K299" s="563"/>
      <c r="L299" s="566"/>
      <c r="M299" s="565"/>
      <c r="N299" s="564"/>
      <c r="V299" s="674"/>
      <c r="W299" s="675"/>
      <c r="AB299" s="675"/>
      <c r="AD299" s="675"/>
      <c r="AF299" s="675"/>
      <c r="AG299" s="675"/>
    </row>
    <row r="300" spans="1:33" s="536" customFormat="1" ht="22.5" x14ac:dyDescent="0.2">
      <c r="A300" s="609"/>
      <c r="B300" s="552" t="s">
        <v>718</v>
      </c>
      <c r="C300" s="1822" t="s">
        <v>719</v>
      </c>
      <c r="D300" s="1822"/>
      <c r="E300" s="1822"/>
      <c r="F300" s="1822"/>
      <c r="G300" s="1822"/>
      <c r="H300" s="1822"/>
      <c r="I300" s="1822"/>
      <c r="J300" s="1822"/>
      <c r="K300" s="1822"/>
      <c r="L300" s="1822"/>
      <c r="M300" s="1822"/>
      <c r="N300" s="1827"/>
      <c r="V300" s="674"/>
      <c r="W300" s="675"/>
      <c r="X300" s="537" t="s">
        <v>719</v>
      </c>
      <c r="AB300" s="675"/>
      <c r="AD300" s="675"/>
      <c r="AF300" s="675"/>
      <c r="AG300" s="675"/>
    </row>
    <row r="301" spans="1:33" s="536" customFormat="1" ht="33.75" x14ac:dyDescent="0.2">
      <c r="A301" s="575" t="s">
        <v>772</v>
      </c>
      <c r="B301" s="670" t="s">
        <v>1764</v>
      </c>
      <c r="C301" s="1823" t="s">
        <v>1765</v>
      </c>
      <c r="D301" s="1823"/>
      <c r="E301" s="1823"/>
      <c r="F301" s="573" t="s">
        <v>617</v>
      </c>
      <c r="G301" s="573"/>
      <c r="H301" s="573"/>
      <c r="I301" s="573" t="s">
        <v>559</v>
      </c>
      <c r="J301" s="572">
        <v>184.43</v>
      </c>
      <c r="K301" s="573" t="s">
        <v>716</v>
      </c>
      <c r="L301" s="572">
        <v>2147.96</v>
      </c>
      <c r="M301" s="571">
        <v>8.32</v>
      </c>
      <c r="N301" s="570">
        <v>17871</v>
      </c>
      <c r="V301" s="674"/>
      <c r="W301" s="675" t="s">
        <v>1765</v>
      </c>
      <c r="AB301" s="675"/>
      <c r="AD301" s="675"/>
      <c r="AF301" s="675"/>
      <c r="AG301" s="675"/>
    </row>
    <row r="302" spans="1:33" s="536" customFormat="1" ht="12" x14ac:dyDescent="0.2">
      <c r="A302" s="569"/>
      <c r="B302" s="671"/>
      <c r="C302" s="665" t="s">
        <v>1658</v>
      </c>
      <c r="D302" s="666"/>
      <c r="E302" s="666"/>
      <c r="F302" s="563"/>
      <c r="G302" s="563"/>
      <c r="H302" s="563"/>
      <c r="I302" s="563"/>
      <c r="J302" s="566"/>
      <c r="K302" s="563"/>
      <c r="L302" s="566"/>
      <c r="M302" s="565"/>
      <c r="N302" s="564"/>
      <c r="V302" s="674"/>
      <c r="W302" s="675"/>
      <c r="AB302" s="675"/>
      <c r="AD302" s="675"/>
      <c r="AF302" s="675"/>
      <c r="AG302" s="675"/>
    </row>
    <row r="303" spans="1:33" s="536" customFormat="1" ht="22.5" x14ac:dyDescent="0.2">
      <c r="A303" s="609"/>
      <c r="B303" s="552" t="s">
        <v>718</v>
      </c>
      <c r="C303" s="1822" t="s">
        <v>719</v>
      </c>
      <c r="D303" s="1822"/>
      <c r="E303" s="1822"/>
      <c r="F303" s="1822"/>
      <c r="G303" s="1822"/>
      <c r="H303" s="1822"/>
      <c r="I303" s="1822"/>
      <c r="J303" s="1822"/>
      <c r="K303" s="1822"/>
      <c r="L303" s="1822"/>
      <c r="M303" s="1822"/>
      <c r="N303" s="1827"/>
      <c r="V303" s="674"/>
      <c r="W303" s="675"/>
      <c r="X303" s="537" t="s">
        <v>719</v>
      </c>
      <c r="AB303" s="675"/>
      <c r="AD303" s="675"/>
      <c r="AF303" s="675"/>
      <c r="AG303" s="675"/>
    </row>
    <row r="304" spans="1:33" s="536" customFormat="1" ht="33.75" x14ac:dyDescent="0.2">
      <c r="A304" s="575" t="s">
        <v>677</v>
      </c>
      <c r="B304" s="670" t="s">
        <v>1767</v>
      </c>
      <c r="C304" s="1823" t="s">
        <v>1768</v>
      </c>
      <c r="D304" s="1823"/>
      <c r="E304" s="1823"/>
      <c r="F304" s="573" t="s">
        <v>617</v>
      </c>
      <c r="G304" s="573"/>
      <c r="H304" s="573"/>
      <c r="I304" s="573" t="s">
        <v>3376</v>
      </c>
      <c r="J304" s="572">
        <v>26.57</v>
      </c>
      <c r="K304" s="573" t="s">
        <v>716</v>
      </c>
      <c r="L304" s="572">
        <v>1547.24</v>
      </c>
      <c r="M304" s="571">
        <v>8.32</v>
      </c>
      <c r="N304" s="570">
        <v>12873</v>
      </c>
      <c r="V304" s="674"/>
      <c r="W304" s="675" t="s">
        <v>1768</v>
      </c>
      <c r="AB304" s="675"/>
      <c r="AD304" s="675"/>
      <c r="AF304" s="675"/>
      <c r="AG304" s="675"/>
    </row>
    <row r="305" spans="1:33" s="536" customFormat="1" ht="12" x14ac:dyDescent="0.2">
      <c r="A305" s="569"/>
      <c r="B305" s="671"/>
      <c r="C305" s="665" t="s">
        <v>1658</v>
      </c>
      <c r="D305" s="666"/>
      <c r="E305" s="666"/>
      <c r="F305" s="563"/>
      <c r="G305" s="563"/>
      <c r="H305" s="563"/>
      <c r="I305" s="563"/>
      <c r="J305" s="566"/>
      <c r="K305" s="563"/>
      <c r="L305" s="566"/>
      <c r="M305" s="565"/>
      <c r="N305" s="564"/>
      <c r="V305" s="674"/>
      <c r="W305" s="675"/>
      <c r="AB305" s="675"/>
      <c r="AD305" s="675"/>
      <c r="AF305" s="675"/>
      <c r="AG305" s="675"/>
    </row>
    <row r="306" spans="1:33" s="536" customFormat="1" ht="22.5" x14ac:dyDescent="0.2">
      <c r="A306" s="609"/>
      <c r="B306" s="552" t="s">
        <v>718</v>
      </c>
      <c r="C306" s="1822" t="s">
        <v>719</v>
      </c>
      <c r="D306" s="1822"/>
      <c r="E306" s="1822"/>
      <c r="F306" s="1822"/>
      <c r="G306" s="1822"/>
      <c r="H306" s="1822"/>
      <c r="I306" s="1822"/>
      <c r="J306" s="1822"/>
      <c r="K306" s="1822"/>
      <c r="L306" s="1822"/>
      <c r="M306" s="1822"/>
      <c r="N306" s="1827"/>
      <c r="V306" s="674"/>
      <c r="W306" s="675"/>
      <c r="X306" s="537" t="s">
        <v>719</v>
      </c>
      <c r="AB306" s="675"/>
      <c r="AD306" s="675"/>
      <c r="AF306" s="675"/>
      <c r="AG306" s="675"/>
    </row>
    <row r="307" spans="1:33" s="536" customFormat="1" ht="33.75" x14ac:dyDescent="0.2">
      <c r="A307" s="575" t="s">
        <v>326</v>
      </c>
      <c r="B307" s="670" t="s">
        <v>1770</v>
      </c>
      <c r="C307" s="1823" t="s">
        <v>1771</v>
      </c>
      <c r="D307" s="1823"/>
      <c r="E307" s="1823"/>
      <c r="F307" s="573" t="s">
        <v>617</v>
      </c>
      <c r="G307" s="573"/>
      <c r="H307" s="573"/>
      <c r="I307" s="573" t="s">
        <v>2416</v>
      </c>
      <c r="J307" s="572">
        <v>21.88</v>
      </c>
      <c r="K307" s="573" t="s">
        <v>716</v>
      </c>
      <c r="L307" s="572">
        <v>281.61</v>
      </c>
      <c r="M307" s="571">
        <v>8.32</v>
      </c>
      <c r="N307" s="570">
        <v>2343</v>
      </c>
      <c r="V307" s="674"/>
      <c r="W307" s="675" t="s">
        <v>1771</v>
      </c>
      <c r="AB307" s="675"/>
      <c r="AD307" s="675"/>
      <c r="AF307" s="675"/>
      <c r="AG307" s="675"/>
    </row>
    <row r="308" spans="1:33" s="536" customFormat="1" ht="12" x14ac:dyDescent="0.2">
      <c r="A308" s="569"/>
      <c r="B308" s="671"/>
      <c r="C308" s="665" t="s">
        <v>1658</v>
      </c>
      <c r="D308" s="666"/>
      <c r="E308" s="666"/>
      <c r="F308" s="563"/>
      <c r="G308" s="563"/>
      <c r="H308" s="563"/>
      <c r="I308" s="563"/>
      <c r="J308" s="566"/>
      <c r="K308" s="563"/>
      <c r="L308" s="566"/>
      <c r="M308" s="565"/>
      <c r="N308" s="564"/>
      <c r="V308" s="674"/>
      <c r="W308" s="675"/>
      <c r="AB308" s="675"/>
      <c r="AD308" s="675"/>
      <c r="AF308" s="675"/>
      <c r="AG308" s="675"/>
    </row>
    <row r="309" spans="1:33" s="536" customFormat="1" ht="22.5" x14ac:dyDescent="0.2">
      <c r="A309" s="609"/>
      <c r="B309" s="552" t="s">
        <v>718</v>
      </c>
      <c r="C309" s="1822" t="s">
        <v>719</v>
      </c>
      <c r="D309" s="1822"/>
      <c r="E309" s="1822"/>
      <c r="F309" s="1822"/>
      <c r="G309" s="1822"/>
      <c r="H309" s="1822"/>
      <c r="I309" s="1822"/>
      <c r="J309" s="1822"/>
      <c r="K309" s="1822"/>
      <c r="L309" s="1822"/>
      <c r="M309" s="1822"/>
      <c r="N309" s="1827"/>
      <c r="V309" s="674"/>
      <c r="W309" s="675"/>
      <c r="X309" s="537" t="s">
        <v>719</v>
      </c>
      <c r="AB309" s="675"/>
      <c r="AD309" s="675"/>
      <c r="AF309" s="675"/>
      <c r="AG309" s="675"/>
    </row>
    <row r="310" spans="1:33" s="536" customFormat="1" ht="33.75" x14ac:dyDescent="0.2">
      <c r="A310" s="575" t="s">
        <v>774</v>
      </c>
      <c r="B310" s="670" t="s">
        <v>1773</v>
      </c>
      <c r="C310" s="1823" t="s">
        <v>1774</v>
      </c>
      <c r="D310" s="1823"/>
      <c r="E310" s="1823"/>
      <c r="F310" s="573" t="s">
        <v>617</v>
      </c>
      <c r="G310" s="573"/>
      <c r="H310" s="573"/>
      <c r="I310" s="573" t="s">
        <v>3377</v>
      </c>
      <c r="J310" s="572">
        <v>10.94</v>
      </c>
      <c r="K310" s="573" t="s">
        <v>716</v>
      </c>
      <c r="L310" s="572">
        <v>737.62</v>
      </c>
      <c r="M310" s="571">
        <v>8.32</v>
      </c>
      <c r="N310" s="570">
        <v>6137</v>
      </c>
      <c r="V310" s="674"/>
      <c r="W310" s="675" t="s">
        <v>1774</v>
      </c>
      <c r="AB310" s="675"/>
      <c r="AD310" s="675"/>
      <c r="AF310" s="675"/>
      <c r="AG310" s="675"/>
    </row>
    <row r="311" spans="1:33" s="536" customFormat="1" ht="12" x14ac:dyDescent="0.2">
      <c r="A311" s="569"/>
      <c r="B311" s="671"/>
      <c r="C311" s="665" t="s">
        <v>1658</v>
      </c>
      <c r="D311" s="666"/>
      <c r="E311" s="666"/>
      <c r="F311" s="563"/>
      <c r="G311" s="563"/>
      <c r="H311" s="563"/>
      <c r="I311" s="563"/>
      <c r="J311" s="566"/>
      <c r="K311" s="563"/>
      <c r="L311" s="566"/>
      <c r="M311" s="565"/>
      <c r="N311" s="564"/>
      <c r="V311" s="674"/>
      <c r="W311" s="675"/>
      <c r="AB311" s="675"/>
      <c r="AD311" s="675"/>
      <c r="AF311" s="675"/>
      <c r="AG311" s="675"/>
    </row>
    <row r="312" spans="1:33" s="536" customFormat="1" ht="22.5" x14ac:dyDescent="0.2">
      <c r="A312" s="609"/>
      <c r="B312" s="552" t="s">
        <v>718</v>
      </c>
      <c r="C312" s="1822" t="s">
        <v>719</v>
      </c>
      <c r="D312" s="1822"/>
      <c r="E312" s="1822"/>
      <c r="F312" s="1822"/>
      <c r="G312" s="1822"/>
      <c r="H312" s="1822"/>
      <c r="I312" s="1822"/>
      <c r="J312" s="1822"/>
      <c r="K312" s="1822"/>
      <c r="L312" s="1822"/>
      <c r="M312" s="1822"/>
      <c r="N312" s="1827"/>
      <c r="V312" s="674"/>
      <c r="W312" s="675"/>
      <c r="X312" s="537" t="s">
        <v>719</v>
      </c>
      <c r="AB312" s="675"/>
      <c r="AD312" s="675"/>
      <c r="AF312" s="675"/>
      <c r="AG312" s="675"/>
    </row>
    <row r="313" spans="1:33" s="536" customFormat="1" ht="22.5" x14ac:dyDescent="0.2">
      <c r="A313" s="575" t="s">
        <v>775</v>
      </c>
      <c r="B313" s="670" t="s">
        <v>1776</v>
      </c>
      <c r="C313" s="1823" t="s">
        <v>1777</v>
      </c>
      <c r="D313" s="1823"/>
      <c r="E313" s="1823"/>
      <c r="F313" s="573" t="s">
        <v>617</v>
      </c>
      <c r="G313" s="573"/>
      <c r="H313" s="573"/>
      <c r="I313" s="573" t="s">
        <v>185</v>
      </c>
      <c r="J313" s="572"/>
      <c r="K313" s="573"/>
      <c r="L313" s="572"/>
      <c r="M313" s="571"/>
      <c r="N313" s="570"/>
      <c r="V313" s="674"/>
      <c r="W313" s="675" t="s">
        <v>1777</v>
      </c>
      <c r="AB313" s="675"/>
      <c r="AD313" s="675"/>
      <c r="AF313" s="675"/>
      <c r="AG313" s="675"/>
    </row>
    <row r="314" spans="1:33" s="536" customFormat="1" ht="33.75" x14ac:dyDescent="0.2">
      <c r="A314" s="609"/>
      <c r="B314" s="552" t="s">
        <v>310</v>
      </c>
      <c r="C314" s="1822" t="s">
        <v>311</v>
      </c>
      <c r="D314" s="1822"/>
      <c r="E314" s="1822"/>
      <c r="F314" s="1822"/>
      <c r="G314" s="1822"/>
      <c r="H314" s="1822"/>
      <c r="I314" s="1822"/>
      <c r="J314" s="1822"/>
      <c r="K314" s="1822"/>
      <c r="L314" s="1822"/>
      <c r="M314" s="1822"/>
      <c r="N314" s="1827"/>
      <c r="V314" s="674"/>
      <c r="W314" s="675"/>
      <c r="X314" s="537" t="s">
        <v>311</v>
      </c>
      <c r="AB314" s="675"/>
      <c r="AD314" s="675"/>
      <c r="AF314" s="675"/>
      <c r="AG314" s="675"/>
    </row>
    <row r="315" spans="1:33" s="536" customFormat="1" ht="12" x14ac:dyDescent="0.2">
      <c r="A315" s="605"/>
      <c r="B315" s="552" t="s">
        <v>185</v>
      </c>
      <c r="C315" s="1822" t="s">
        <v>312</v>
      </c>
      <c r="D315" s="1822"/>
      <c r="E315" s="1822"/>
      <c r="F315" s="562"/>
      <c r="G315" s="562"/>
      <c r="H315" s="562"/>
      <c r="I315" s="562"/>
      <c r="J315" s="604">
        <v>5.35</v>
      </c>
      <c r="K315" s="562" t="s">
        <v>313</v>
      </c>
      <c r="L315" s="604">
        <v>6.69</v>
      </c>
      <c r="M315" s="603"/>
      <c r="N315" s="602"/>
      <c r="V315" s="674"/>
      <c r="W315" s="675"/>
      <c r="Y315" s="537" t="s">
        <v>312</v>
      </c>
      <c r="AB315" s="675"/>
      <c r="AD315" s="675"/>
      <c r="AF315" s="675"/>
      <c r="AG315" s="675"/>
    </row>
    <row r="316" spans="1:33" s="536" customFormat="1" ht="12" x14ac:dyDescent="0.2">
      <c r="A316" s="605"/>
      <c r="B316" s="552" t="s">
        <v>188</v>
      </c>
      <c r="C316" s="1822" t="s">
        <v>475</v>
      </c>
      <c r="D316" s="1822"/>
      <c r="E316" s="1822"/>
      <c r="F316" s="562"/>
      <c r="G316" s="562"/>
      <c r="H316" s="562"/>
      <c r="I316" s="562"/>
      <c r="J316" s="604">
        <v>0.94</v>
      </c>
      <c r="K316" s="562"/>
      <c r="L316" s="604">
        <v>0.94</v>
      </c>
      <c r="M316" s="603"/>
      <c r="N316" s="602"/>
      <c r="V316" s="674"/>
      <c r="W316" s="675"/>
      <c r="Y316" s="537" t="s">
        <v>475</v>
      </c>
      <c r="AB316" s="675"/>
      <c r="AD316" s="675"/>
      <c r="AF316" s="675"/>
      <c r="AG316" s="675"/>
    </row>
    <row r="317" spans="1:33" s="536" customFormat="1" ht="12" x14ac:dyDescent="0.2">
      <c r="A317" s="605"/>
      <c r="B317" s="552"/>
      <c r="C317" s="1822" t="s">
        <v>314</v>
      </c>
      <c r="D317" s="1822"/>
      <c r="E317" s="1822"/>
      <c r="F317" s="562" t="s">
        <v>315</v>
      </c>
      <c r="G317" s="562" t="s">
        <v>1778</v>
      </c>
      <c r="H317" s="562" t="s">
        <v>313</v>
      </c>
      <c r="I317" s="562" t="s">
        <v>2351</v>
      </c>
      <c r="J317" s="604"/>
      <c r="K317" s="562"/>
      <c r="L317" s="604"/>
      <c r="M317" s="603"/>
      <c r="N317" s="602"/>
      <c r="V317" s="674"/>
      <c r="W317" s="675"/>
      <c r="Z317" s="537" t="s">
        <v>314</v>
      </c>
      <c r="AB317" s="675"/>
      <c r="AD317" s="675"/>
      <c r="AF317" s="675"/>
      <c r="AG317" s="675"/>
    </row>
    <row r="318" spans="1:33" s="536" customFormat="1" ht="12" x14ac:dyDescent="0.2">
      <c r="A318" s="605"/>
      <c r="B318" s="552"/>
      <c r="C318" s="1828" t="s">
        <v>318</v>
      </c>
      <c r="D318" s="1828"/>
      <c r="E318" s="1828"/>
      <c r="F318" s="608"/>
      <c r="G318" s="608"/>
      <c r="H318" s="608"/>
      <c r="I318" s="608"/>
      <c r="J318" s="607">
        <v>6.29</v>
      </c>
      <c r="K318" s="608"/>
      <c r="L318" s="607">
        <v>7.63</v>
      </c>
      <c r="M318" s="601"/>
      <c r="N318" s="606"/>
      <c r="V318" s="674"/>
      <c r="W318" s="675"/>
      <c r="AA318" s="537" t="s">
        <v>318</v>
      </c>
      <c r="AB318" s="675"/>
      <c r="AD318" s="675"/>
      <c r="AF318" s="675"/>
      <c r="AG318" s="675"/>
    </row>
    <row r="319" spans="1:33" s="536" customFormat="1" ht="12" x14ac:dyDescent="0.2">
      <c r="A319" s="605"/>
      <c r="B319" s="552"/>
      <c r="C319" s="1822" t="s">
        <v>319</v>
      </c>
      <c r="D319" s="1822"/>
      <c r="E319" s="1822"/>
      <c r="F319" s="562"/>
      <c r="G319" s="562"/>
      <c r="H319" s="562"/>
      <c r="I319" s="562"/>
      <c r="J319" s="604"/>
      <c r="K319" s="562"/>
      <c r="L319" s="604">
        <v>6.69</v>
      </c>
      <c r="M319" s="603"/>
      <c r="N319" s="602"/>
      <c r="V319" s="674"/>
      <c r="W319" s="675"/>
      <c r="Z319" s="537" t="s">
        <v>319</v>
      </c>
      <c r="AB319" s="675"/>
      <c r="AD319" s="675"/>
      <c r="AF319" s="675"/>
      <c r="AG319" s="675"/>
    </row>
    <row r="320" spans="1:33" s="536" customFormat="1" ht="33.75" x14ac:dyDescent="0.2">
      <c r="A320" s="605"/>
      <c r="B320" s="552" t="s">
        <v>1631</v>
      </c>
      <c r="C320" s="1822" t="s">
        <v>1632</v>
      </c>
      <c r="D320" s="1822"/>
      <c r="E320" s="1822"/>
      <c r="F320" s="562" t="s">
        <v>322</v>
      </c>
      <c r="G320" s="562" t="s">
        <v>1633</v>
      </c>
      <c r="H320" s="562"/>
      <c r="I320" s="562" t="s">
        <v>1633</v>
      </c>
      <c r="J320" s="604"/>
      <c r="K320" s="562"/>
      <c r="L320" s="604">
        <v>6.49</v>
      </c>
      <c r="M320" s="603"/>
      <c r="N320" s="602"/>
      <c r="V320" s="674"/>
      <c r="W320" s="675"/>
      <c r="Z320" s="537" t="s">
        <v>1632</v>
      </c>
      <c r="AB320" s="675"/>
      <c r="AD320" s="675"/>
      <c r="AF320" s="675"/>
      <c r="AG320" s="675"/>
    </row>
    <row r="321" spans="1:33" s="536" customFormat="1" ht="33.75" x14ac:dyDescent="0.2">
      <c r="A321" s="605"/>
      <c r="B321" s="552" t="s">
        <v>1634</v>
      </c>
      <c r="C321" s="1822" t="s">
        <v>1635</v>
      </c>
      <c r="D321" s="1822"/>
      <c r="E321" s="1822"/>
      <c r="F321" s="562" t="s">
        <v>322</v>
      </c>
      <c r="G321" s="562" t="s">
        <v>786</v>
      </c>
      <c r="H321" s="562"/>
      <c r="I321" s="562" t="s">
        <v>786</v>
      </c>
      <c r="J321" s="604"/>
      <c r="K321" s="562"/>
      <c r="L321" s="604">
        <v>3.41</v>
      </c>
      <c r="M321" s="603"/>
      <c r="N321" s="602"/>
      <c r="V321" s="674"/>
      <c r="W321" s="675"/>
      <c r="Z321" s="537" t="s">
        <v>1635</v>
      </c>
      <c r="AB321" s="675"/>
      <c r="AD321" s="675"/>
      <c r="AF321" s="675"/>
      <c r="AG321" s="675"/>
    </row>
    <row r="322" spans="1:33" s="536" customFormat="1" ht="12" x14ac:dyDescent="0.2">
      <c r="A322" s="569"/>
      <c r="B322" s="671"/>
      <c r="C322" s="1823" t="s">
        <v>327</v>
      </c>
      <c r="D322" s="1823"/>
      <c r="E322" s="1823"/>
      <c r="F322" s="573"/>
      <c r="G322" s="573"/>
      <c r="H322" s="573"/>
      <c r="I322" s="573"/>
      <c r="J322" s="572"/>
      <c r="K322" s="573"/>
      <c r="L322" s="572">
        <v>17.53</v>
      </c>
      <c r="M322" s="601"/>
      <c r="N322" s="570"/>
      <c r="V322" s="674"/>
      <c r="W322" s="675"/>
      <c r="AB322" s="675" t="s">
        <v>327</v>
      </c>
      <c r="AD322" s="675"/>
      <c r="AF322" s="675"/>
      <c r="AG322" s="675"/>
    </row>
    <row r="323" spans="1:33" s="536" customFormat="1" ht="33.75" x14ac:dyDescent="0.2">
      <c r="A323" s="575" t="s">
        <v>776</v>
      </c>
      <c r="B323" s="670" t="s">
        <v>1780</v>
      </c>
      <c r="C323" s="1823" t="s">
        <v>1781</v>
      </c>
      <c r="D323" s="1823"/>
      <c r="E323" s="1823"/>
      <c r="F323" s="573" t="s">
        <v>483</v>
      </c>
      <c r="G323" s="573"/>
      <c r="H323" s="573"/>
      <c r="I323" s="573" t="s">
        <v>185</v>
      </c>
      <c r="J323" s="572">
        <v>211</v>
      </c>
      <c r="K323" s="573" t="s">
        <v>716</v>
      </c>
      <c r="L323" s="572">
        <v>25.84</v>
      </c>
      <c r="M323" s="571">
        <v>8.32</v>
      </c>
      <c r="N323" s="570">
        <v>215</v>
      </c>
      <c r="V323" s="674"/>
      <c r="W323" s="675" t="s">
        <v>1781</v>
      </c>
      <c r="AB323" s="675"/>
      <c r="AD323" s="675"/>
      <c r="AF323" s="675"/>
      <c r="AG323" s="675"/>
    </row>
    <row r="324" spans="1:33" s="536" customFormat="1" ht="12" x14ac:dyDescent="0.2">
      <c r="A324" s="569"/>
      <c r="B324" s="671"/>
      <c r="C324" s="665" t="s">
        <v>1658</v>
      </c>
      <c r="D324" s="666"/>
      <c r="E324" s="666"/>
      <c r="F324" s="563"/>
      <c r="G324" s="563"/>
      <c r="H324" s="563"/>
      <c r="I324" s="563"/>
      <c r="J324" s="566"/>
      <c r="K324" s="563"/>
      <c r="L324" s="566"/>
      <c r="M324" s="565"/>
      <c r="N324" s="564"/>
      <c r="V324" s="674"/>
      <c r="W324" s="675"/>
      <c r="AB324" s="675"/>
      <c r="AD324" s="675"/>
      <c r="AF324" s="675"/>
      <c r="AG324" s="675"/>
    </row>
    <row r="325" spans="1:33" s="536" customFormat="1" ht="22.5" x14ac:dyDescent="0.2">
      <c r="A325" s="609"/>
      <c r="B325" s="552" t="s">
        <v>718</v>
      </c>
      <c r="C325" s="1822" t="s">
        <v>719</v>
      </c>
      <c r="D325" s="1822"/>
      <c r="E325" s="1822"/>
      <c r="F325" s="1822"/>
      <c r="G325" s="1822"/>
      <c r="H325" s="1822"/>
      <c r="I325" s="1822"/>
      <c r="J325" s="1822"/>
      <c r="K325" s="1822"/>
      <c r="L325" s="1822"/>
      <c r="M325" s="1822"/>
      <c r="N325" s="1827"/>
      <c r="V325" s="674"/>
      <c r="W325" s="675"/>
      <c r="X325" s="537" t="s">
        <v>719</v>
      </c>
      <c r="AB325" s="675"/>
      <c r="AD325" s="675"/>
      <c r="AF325" s="675"/>
      <c r="AG325" s="675"/>
    </row>
    <row r="326" spans="1:33" s="536" customFormat="1" ht="33.75" x14ac:dyDescent="0.2">
      <c r="A326" s="575" t="s">
        <v>931</v>
      </c>
      <c r="B326" s="670" t="s">
        <v>1782</v>
      </c>
      <c r="C326" s="1823" t="s">
        <v>1783</v>
      </c>
      <c r="D326" s="1823"/>
      <c r="E326" s="1823"/>
      <c r="F326" s="573" t="s">
        <v>617</v>
      </c>
      <c r="G326" s="573"/>
      <c r="H326" s="573"/>
      <c r="I326" s="573" t="s">
        <v>189</v>
      </c>
      <c r="J326" s="572"/>
      <c r="K326" s="573"/>
      <c r="L326" s="572"/>
      <c r="M326" s="571"/>
      <c r="N326" s="570"/>
      <c r="V326" s="674"/>
      <c r="W326" s="675" t="s">
        <v>1783</v>
      </c>
      <c r="AB326" s="675"/>
      <c r="AD326" s="675"/>
      <c r="AF326" s="675"/>
      <c r="AG326" s="675"/>
    </row>
    <row r="327" spans="1:33" s="536" customFormat="1" ht="33.75" x14ac:dyDescent="0.2">
      <c r="A327" s="609"/>
      <c r="B327" s="552" t="s">
        <v>310</v>
      </c>
      <c r="C327" s="1822" t="s">
        <v>311</v>
      </c>
      <c r="D327" s="1822"/>
      <c r="E327" s="1822"/>
      <c r="F327" s="1822"/>
      <c r="G327" s="1822"/>
      <c r="H327" s="1822"/>
      <c r="I327" s="1822"/>
      <c r="J327" s="1822"/>
      <c r="K327" s="1822"/>
      <c r="L327" s="1822"/>
      <c r="M327" s="1822"/>
      <c r="N327" s="1827"/>
      <c r="V327" s="674"/>
      <c r="W327" s="675"/>
      <c r="X327" s="537" t="s">
        <v>311</v>
      </c>
      <c r="AB327" s="675"/>
      <c r="AD327" s="675"/>
      <c r="AF327" s="675"/>
      <c r="AG327" s="675"/>
    </row>
    <row r="328" spans="1:33" s="536" customFormat="1" ht="12" x14ac:dyDescent="0.2">
      <c r="A328" s="605"/>
      <c r="B328" s="552" t="s">
        <v>185</v>
      </c>
      <c r="C328" s="1822" t="s">
        <v>312</v>
      </c>
      <c r="D328" s="1822"/>
      <c r="E328" s="1822"/>
      <c r="F328" s="562"/>
      <c r="G328" s="562"/>
      <c r="H328" s="562"/>
      <c r="I328" s="562"/>
      <c r="J328" s="604">
        <v>3.57</v>
      </c>
      <c r="K328" s="562" t="s">
        <v>313</v>
      </c>
      <c r="L328" s="604">
        <v>22.31</v>
      </c>
      <c r="M328" s="603"/>
      <c r="N328" s="602"/>
      <c r="V328" s="674"/>
      <c r="W328" s="675"/>
      <c r="Y328" s="537" t="s">
        <v>312</v>
      </c>
      <c r="AB328" s="675"/>
      <c r="AD328" s="675"/>
      <c r="AF328" s="675"/>
      <c r="AG328" s="675"/>
    </row>
    <row r="329" spans="1:33" s="536" customFormat="1" ht="12" x14ac:dyDescent="0.2">
      <c r="A329" s="605"/>
      <c r="B329" s="552" t="s">
        <v>188</v>
      </c>
      <c r="C329" s="1822" t="s">
        <v>475</v>
      </c>
      <c r="D329" s="1822"/>
      <c r="E329" s="1822"/>
      <c r="F329" s="562"/>
      <c r="G329" s="562"/>
      <c r="H329" s="562"/>
      <c r="I329" s="562"/>
      <c r="J329" s="604">
        <v>15.07</v>
      </c>
      <c r="K329" s="562"/>
      <c r="L329" s="604">
        <v>0.35</v>
      </c>
      <c r="M329" s="603"/>
      <c r="N329" s="602"/>
      <c r="V329" s="674"/>
      <c r="W329" s="675"/>
      <c r="Y329" s="537" t="s">
        <v>475</v>
      </c>
      <c r="AB329" s="675"/>
      <c r="AD329" s="675"/>
      <c r="AF329" s="675"/>
      <c r="AG329" s="675"/>
    </row>
    <row r="330" spans="1:33" s="536" customFormat="1" ht="12" x14ac:dyDescent="0.2">
      <c r="A330" s="605"/>
      <c r="B330" s="552"/>
      <c r="C330" s="1822" t="s">
        <v>314</v>
      </c>
      <c r="D330" s="1822"/>
      <c r="E330" s="1822"/>
      <c r="F330" s="562" t="s">
        <v>315</v>
      </c>
      <c r="G330" s="562" t="s">
        <v>1785</v>
      </c>
      <c r="H330" s="562" t="s">
        <v>313</v>
      </c>
      <c r="I330" s="562" t="s">
        <v>3102</v>
      </c>
      <c r="J330" s="604"/>
      <c r="K330" s="562"/>
      <c r="L330" s="604"/>
      <c r="M330" s="603"/>
      <c r="N330" s="602"/>
      <c r="V330" s="674"/>
      <c r="W330" s="675"/>
      <c r="Z330" s="537" t="s">
        <v>314</v>
      </c>
      <c r="AB330" s="675"/>
      <c r="AD330" s="675"/>
      <c r="AF330" s="675"/>
      <c r="AG330" s="675"/>
    </row>
    <row r="331" spans="1:33" s="536" customFormat="1" ht="12" x14ac:dyDescent="0.2">
      <c r="A331" s="605"/>
      <c r="B331" s="552"/>
      <c r="C331" s="1828" t="s">
        <v>318</v>
      </c>
      <c r="D331" s="1828"/>
      <c r="E331" s="1828"/>
      <c r="F331" s="608"/>
      <c r="G331" s="608"/>
      <c r="H331" s="608"/>
      <c r="I331" s="608"/>
      <c r="J331" s="607">
        <v>3.64</v>
      </c>
      <c r="K331" s="608"/>
      <c r="L331" s="607">
        <v>22.66</v>
      </c>
      <c r="M331" s="601"/>
      <c r="N331" s="606"/>
      <c r="V331" s="674"/>
      <c r="W331" s="675"/>
      <c r="AA331" s="537" t="s">
        <v>318</v>
      </c>
      <c r="AB331" s="675"/>
      <c r="AD331" s="675"/>
      <c r="AF331" s="675"/>
      <c r="AG331" s="675"/>
    </row>
    <row r="332" spans="1:33" s="536" customFormat="1" ht="12" x14ac:dyDescent="0.2">
      <c r="A332" s="605"/>
      <c r="B332" s="552"/>
      <c r="C332" s="1822" t="s">
        <v>319</v>
      </c>
      <c r="D332" s="1822"/>
      <c r="E332" s="1822"/>
      <c r="F332" s="562"/>
      <c r="G332" s="562"/>
      <c r="H332" s="562"/>
      <c r="I332" s="562"/>
      <c r="J332" s="604"/>
      <c r="K332" s="562"/>
      <c r="L332" s="604">
        <v>22.31</v>
      </c>
      <c r="M332" s="603"/>
      <c r="N332" s="602"/>
      <c r="V332" s="674"/>
      <c r="W332" s="675"/>
      <c r="Z332" s="537" t="s">
        <v>319</v>
      </c>
      <c r="AB332" s="675"/>
      <c r="AD332" s="675"/>
      <c r="AF332" s="675"/>
      <c r="AG332" s="675"/>
    </row>
    <row r="333" spans="1:33" s="536" customFormat="1" ht="33.75" x14ac:dyDescent="0.2">
      <c r="A333" s="605"/>
      <c r="B333" s="552" t="s">
        <v>1631</v>
      </c>
      <c r="C333" s="1822" t="s">
        <v>1632</v>
      </c>
      <c r="D333" s="1822"/>
      <c r="E333" s="1822"/>
      <c r="F333" s="562" t="s">
        <v>322</v>
      </c>
      <c r="G333" s="562" t="s">
        <v>1633</v>
      </c>
      <c r="H333" s="562"/>
      <c r="I333" s="562" t="s">
        <v>1633</v>
      </c>
      <c r="J333" s="604"/>
      <c r="K333" s="562"/>
      <c r="L333" s="604">
        <v>21.64</v>
      </c>
      <c r="M333" s="603"/>
      <c r="N333" s="602"/>
      <c r="V333" s="674"/>
      <c r="W333" s="675"/>
      <c r="Z333" s="537" t="s">
        <v>1632</v>
      </c>
      <c r="AB333" s="675"/>
      <c r="AD333" s="675"/>
      <c r="AF333" s="675"/>
      <c r="AG333" s="675"/>
    </row>
    <row r="334" spans="1:33" s="536" customFormat="1" ht="33.75" x14ac:dyDescent="0.2">
      <c r="A334" s="605"/>
      <c r="B334" s="552" t="s">
        <v>1634</v>
      </c>
      <c r="C334" s="1822" t="s">
        <v>1635</v>
      </c>
      <c r="D334" s="1822"/>
      <c r="E334" s="1822"/>
      <c r="F334" s="562" t="s">
        <v>322</v>
      </c>
      <c r="G334" s="562" t="s">
        <v>786</v>
      </c>
      <c r="H334" s="562"/>
      <c r="I334" s="562" t="s">
        <v>786</v>
      </c>
      <c r="J334" s="604"/>
      <c r="K334" s="562"/>
      <c r="L334" s="604">
        <v>11.38</v>
      </c>
      <c r="M334" s="603"/>
      <c r="N334" s="602"/>
      <c r="V334" s="674"/>
      <c r="W334" s="675"/>
      <c r="Z334" s="537" t="s">
        <v>1635</v>
      </c>
      <c r="AB334" s="675"/>
      <c r="AD334" s="675"/>
      <c r="AF334" s="675"/>
      <c r="AG334" s="675"/>
    </row>
    <row r="335" spans="1:33" s="536" customFormat="1" ht="12" x14ac:dyDescent="0.2">
      <c r="A335" s="569"/>
      <c r="B335" s="671"/>
      <c r="C335" s="1823" t="s">
        <v>327</v>
      </c>
      <c r="D335" s="1823"/>
      <c r="E335" s="1823"/>
      <c r="F335" s="573"/>
      <c r="G335" s="573"/>
      <c r="H335" s="573"/>
      <c r="I335" s="573"/>
      <c r="J335" s="572"/>
      <c r="K335" s="573"/>
      <c r="L335" s="572">
        <v>55.68</v>
      </c>
      <c r="M335" s="601"/>
      <c r="N335" s="570"/>
      <c r="V335" s="674"/>
      <c r="W335" s="675"/>
      <c r="AB335" s="675" t="s">
        <v>327</v>
      </c>
      <c r="AD335" s="675"/>
      <c r="AF335" s="675"/>
      <c r="AG335" s="675"/>
    </row>
    <row r="336" spans="1:33" s="536" customFormat="1" ht="33.75" x14ac:dyDescent="0.2">
      <c r="A336" s="575" t="s">
        <v>465</v>
      </c>
      <c r="B336" s="670" t="s">
        <v>1787</v>
      </c>
      <c r="C336" s="1823" t="s">
        <v>1788</v>
      </c>
      <c r="D336" s="1823"/>
      <c r="E336" s="1823"/>
      <c r="F336" s="573" t="s">
        <v>617</v>
      </c>
      <c r="G336" s="573"/>
      <c r="H336" s="573"/>
      <c r="I336" s="573" t="s">
        <v>188</v>
      </c>
      <c r="J336" s="572">
        <v>1266.02</v>
      </c>
      <c r="K336" s="573" t="s">
        <v>716</v>
      </c>
      <c r="L336" s="572">
        <v>620.79</v>
      </c>
      <c r="M336" s="571">
        <v>8.32</v>
      </c>
      <c r="N336" s="570">
        <v>5165</v>
      </c>
      <c r="V336" s="674"/>
      <c r="W336" s="675" t="s">
        <v>1788</v>
      </c>
      <c r="AB336" s="675"/>
      <c r="AD336" s="675"/>
      <c r="AF336" s="675"/>
      <c r="AG336" s="675"/>
    </row>
    <row r="337" spans="1:33" s="536" customFormat="1" ht="12" x14ac:dyDescent="0.2">
      <c r="A337" s="569"/>
      <c r="B337" s="671"/>
      <c r="C337" s="665" t="s">
        <v>1658</v>
      </c>
      <c r="D337" s="666"/>
      <c r="E337" s="666"/>
      <c r="F337" s="563"/>
      <c r="G337" s="563"/>
      <c r="H337" s="563"/>
      <c r="I337" s="563"/>
      <c r="J337" s="566"/>
      <c r="K337" s="563"/>
      <c r="L337" s="566"/>
      <c r="M337" s="565"/>
      <c r="N337" s="564"/>
      <c r="V337" s="674"/>
      <c r="W337" s="675"/>
      <c r="AB337" s="675"/>
      <c r="AD337" s="675"/>
      <c r="AF337" s="675"/>
      <c r="AG337" s="675"/>
    </row>
    <row r="338" spans="1:33" s="536" customFormat="1" ht="22.5" x14ac:dyDescent="0.2">
      <c r="A338" s="609"/>
      <c r="B338" s="552" t="s">
        <v>718</v>
      </c>
      <c r="C338" s="1822" t="s">
        <v>719</v>
      </c>
      <c r="D338" s="1822"/>
      <c r="E338" s="1822"/>
      <c r="F338" s="1822"/>
      <c r="G338" s="1822"/>
      <c r="H338" s="1822"/>
      <c r="I338" s="1822"/>
      <c r="J338" s="1822"/>
      <c r="K338" s="1822"/>
      <c r="L338" s="1822"/>
      <c r="M338" s="1822"/>
      <c r="N338" s="1827"/>
      <c r="V338" s="674"/>
      <c r="W338" s="675"/>
      <c r="X338" s="537" t="s">
        <v>719</v>
      </c>
      <c r="AB338" s="675"/>
      <c r="AD338" s="675"/>
      <c r="AF338" s="675"/>
      <c r="AG338" s="675"/>
    </row>
    <row r="339" spans="1:33" s="536" customFormat="1" ht="33.75" x14ac:dyDescent="0.2">
      <c r="A339" s="575" t="s">
        <v>782</v>
      </c>
      <c r="B339" s="670" t="s">
        <v>1789</v>
      </c>
      <c r="C339" s="1823" t="s">
        <v>1790</v>
      </c>
      <c r="D339" s="1823"/>
      <c r="E339" s="1823"/>
      <c r="F339" s="573" t="s">
        <v>617</v>
      </c>
      <c r="G339" s="573"/>
      <c r="H339" s="573"/>
      <c r="I339" s="573" t="s">
        <v>185</v>
      </c>
      <c r="J339" s="572"/>
      <c r="K339" s="573"/>
      <c r="L339" s="572"/>
      <c r="M339" s="571"/>
      <c r="N339" s="570"/>
      <c r="V339" s="674"/>
      <c r="W339" s="675" t="s">
        <v>1790</v>
      </c>
      <c r="AB339" s="675"/>
      <c r="AD339" s="675"/>
      <c r="AF339" s="675"/>
      <c r="AG339" s="675"/>
    </row>
    <row r="340" spans="1:33" s="536" customFormat="1" ht="12" x14ac:dyDescent="0.2">
      <c r="A340" s="605"/>
      <c r="B340" s="552" t="s">
        <v>185</v>
      </c>
      <c r="C340" s="1822" t="s">
        <v>312</v>
      </c>
      <c r="D340" s="1822"/>
      <c r="E340" s="1822"/>
      <c r="F340" s="562"/>
      <c r="G340" s="562"/>
      <c r="H340" s="562"/>
      <c r="I340" s="562"/>
      <c r="J340" s="604">
        <v>10.220000000000001</v>
      </c>
      <c r="K340" s="562"/>
      <c r="L340" s="604">
        <v>10.220000000000001</v>
      </c>
      <c r="M340" s="603"/>
      <c r="N340" s="602"/>
      <c r="V340" s="674"/>
      <c r="W340" s="675"/>
      <c r="Y340" s="537" t="s">
        <v>312</v>
      </c>
      <c r="AB340" s="675"/>
      <c r="AD340" s="675"/>
      <c r="AF340" s="675"/>
      <c r="AG340" s="675"/>
    </row>
    <row r="341" spans="1:33" s="536" customFormat="1" ht="12" x14ac:dyDescent="0.2">
      <c r="A341" s="605"/>
      <c r="B341" s="552" t="s">
        <v>188</v>
      </c>
      <c r="C341" s="1822" t="s">
        <v>475</v>
      </c>
      <c r="D341" s="1822"/>
      <c r="E341" s="1822"/>
      <c r="F341" s="562"/>
      <c r="G341" s="562"/>
      <c r="H341" s="562"/>
      <c r="I341" s="562"/>
      <c r="J341" s="604">
        <v>1.31</v>
      </c>
      <c r="K341" s="562"/>
      <c r="L341" s="604">
        <v>1.31</v>
      </c>
      <c r="M341" s="603"/>
      <c r="N341" s="602"/>
      <c r="V341" s="674"/>
      <c r="W341" s="675"/>
      <c r="Y341" s="537" t="s">
        <v>475</v>
      </c>
      <c r="AB341" s="675"/>
      <c r="AD341" s="675"/>
      <c r="AF341" s="675"/>
      <c r="AG341" s="675"/>
    </row>
    <row r="342" spans="1:33" s="536" customFormat="1" ht="12" x14ac:dyDescent="0.2">
      <c r="A342" s="605"/>
      <c r="B342" s="552"/>
      <c r="C342" s="1822" t="s">
        <v>314</v>
      </c>
      <c r="D342" s="1822"/>
      <c r="E342" s="1822"/>
      <c r="F342" s="562" t="s">
        <v>315</v>
      </c>
      <c r="G342" s="562" t="s">
        <v>702</v>
      </c>
      <c r="H342" s="562"/>
      <c r="I342" s="562" t="s">
        <v>702</v>
      </c>
      <c r="J342" s="604"/>
      <c r="K342" s="562"/>
      <c r="L342" s="604"/>
      <c r="M342" s="603"/>
      <c r="N342" s="602"/>
      <c r="V342" s="674"/>
      <c r="W342" s="675"/>
      <c r="Z342" s="537" t="s">
        <v>314</v>
      </c>
      <c r="AB342" s="675"/>
      <c r="AD342" s="675"/>
      <c r="AF342" s="675"/>
      <c r="AG342" s="675"/>
    </row>
    <row r="343" spans="1:33" s="536" customFormat="1" ht="12" x14ac:dyDescent="0.2">
      <c r="A343" s="605"/>
      <c r="B343" s="552"/>
      <c r="C343" s="1828" t="s">
        <v>318</v>
      </c>
      <c r="D343" s="1828"/>
      <c r="E343" s="1828"/>
      <c r="F343" s="608"/>
      <c r="G343" s="608"/>
      <c r="H343" s="608"/>
      <c r="I343" s="608"/>
      <c r="J343" s="607">
        <v>11.53</v>
      </c>
      <c r="K343" s="608"/>
      <c r="L343" s="607">
        <v>11.53</v>
      </c>
      <c r="M343" s="601"/>
      <c r="N343" s="606"/>
      <c r="V343" s="674"/>
      <c r="W343" s="675"/>
      <c r="AA343" s="537" t="s">
        <v>318</v>
      </c>
      <c r="AB343" s="675"/>
      <c r="AD343" s="675"/>
      <c r="AF343" s="675"/>
      <c r="AG343" s="675"/>
    </row>
    <row r="344" spans="1:33" s="536" customFormat="1" ht="12" x14ac:dyDescent="0.2">
      <c r="A344" s="605"/>
      <c r="B344" s="552"/>
      <c r="C344" s="1822" t="s">
        <v>319</v>
      </c>
      <c r="D344" s="1822"/>
      <c r="E344" s="1822"/>
      <c r="F344" s="562"/>
      <c r="G344" s="562"/>
      <c r="H344" s="562"/>
      <c r="I344" s="562"/>
      <c r="J344" s="604"/>
      <c r="K344" s="562"/>
      <c r="L344" s="604">
        <v>10.220000000000001</v>
      </c>
      <c r="M344" s="603"/>
      <c r="N344" s="602"/>
      <c r="V344" s="674"/>
      <c r="W344" s="675"/>
      <c r="Z344" s="537" t="s">
        <v>319</v>
      </c>
      <c r="AB344" s="675"/>
      <c r="AD344" s="675"/>
      <c r="AF344" s="675"/>
      <c r="AG344" s="675"/>
    </row>
    <row r="345" spans="1:33" s="536" customFormat="1" ht="33.75" x14ac:dyDescent="0.2">
      <c r="A345" s="605"/>
      <c r="B345" s="552" t="s">
        <v>948</v>
      </c>
      <c r="C345" s="1822" t="s">
        <v>949</v>
      </c>
      <c r="D345" s="1822"/>
      <c r="E345" s="1822"/>
      <c r="F345" s="562" t="s">
        <v>322</v>
      </c>
      <c r="G345" s="562" t="s">
        <v>886</v>
      </c>
      <c r="H345" s="562"/>
      <c r="I345" s="562" t="s">
        <v>886</v>
      </c>
      <c r="J345" s="604"/>
      <c r="K345" s="562"/>
      <c r="L345" s="604">
        <v>9.1999999999999993</v>
      </c>
      <c r="M345" s="603"/>
      <c r="N345" s="602"/>
      <c r="V345" s="674"/>
      <c r="W345" s="675"/>
      <c r="Z345" s="537" t="s">
        <v>949</v>
      </c>
      <c r="AB345" s="675"/>
      <c r="AD345" s="675"/>
      <c r="AF345" s="675"/>
      <c r="AG345" s="675"/>
    </row>
    <row r="346" spans="1:33" s="536" customFormat="1" ht="33.75" x14ac:dyDescent="0.2">
      <c r="A346" s="605"/>
      <c r="B346" s="552" t="s">
        <v>950</v>
      </c>
      <c r="C346" s="1822" t="s">
        <v>951</v>
      </c>
      <c r="D346" s="1822"/>
      <c r="E346" s="1822"/>
      <c r="F346" s="562" t="s">
        <v>322</v>
      </c>
      <c r="G346" s="562" t="s">
        <v>465</v>
      </c>
      <c r="H346" s="562"/>
      <c r="I346" s="562" t="s">
        <v>465</v>
      </c>
      <c r="J346" s="604"/>
      <c r="K346" s="562"/>
      <c r="L346" s="604">
        <v>4.7</v>
      </c>
      <c r="M346" s="603"/>
      <c r="N346" s="602"/>
      <c r="V346" s="674"/>
      <c r="W346" s="675"/>
      <c r="Z346" s="537" t="s">
        <v>951</v>
      </c>
      <c r="AB346" s="675"/>
      <c r="AD346" s="675"/>
      <c r="AF346" s="675"/>
      <c r="AG346" s="675"/>
    </row>
    <row r="347" spans="1:33" s="536" customFormat="1" ht="12" x14ac:dyDescent="0.2">
      <c r="A347" s="569"/>
      <c r="B347" s="671"/>
      <c r="C347" s="1823" t="s">
        <v>327</v>
      </c>
      <c r="D347" s="1823"/>
      <c r="E347" s="1823"/>
      <c r="F347" s="573"/>
      <c r="G347" s="573"/>
      <c r="H347" s="573"/>
      <c r="I347" s="573"/>
      <c r="J347" s="572"/>
      <c r="K347" s="573"/>
      <c r="L347" s="572">
        <v>25.43</v>
      </c>
      <c r="M347" s="601"/>
      <c r="N347" s="570"/>
      <c r="V347" s="674"/>
      <c r="W347" s="675"/>
      <c r="AB347" s="675" t="s">
        <v>327</v>
      </c>
      <c r="AD347" s="675"/>
      <c r="AF347" s="675"/>
      <c r="AG347" s="675"/>
    </row>
    <row r="348" spans="1:33" s="536" customFormat="1" ht="33.75" x14ac:dyDescent="0.2">
      <c r="A348" s="575" t="s">
        <v>783</v>
      </c>
      <c r="B348" s="670" t="s">
        <v>1792</v>
      </c>
      <c r="C348" s="1823" t="s">
        <v>1793</v>
      </c>
      <c r="D348" s="1823"/>
      <c r="E348" s="1823"/>
      <c r="F348" s="573" t="s">
        <v>617</v>
      </c>
      <c r="G348" s="573"/>
      <c r="H348" s="573"/>
      <c r="I348" s="573" t="s">
        <v>185</v>
      </c>
      <c r="J348" s="572">
        <v>3876.2</v>
      </c>
      <c r="K348" s="573" t="s">
        <v>629</v>
      </c>
      <c r="L348" s="572">
        <v>854.68</v>
      </c>
      <c r="M348" s="571">
        <v>4.59</v>
      </c>
      <c r="N348" s="570">
        <v>3923</v>
      </c>
      <c r="V348" s="674"/>
      <c r="W348" s="675" t="s">
        <v>1793</v>
      </c>
      <c r="AB348" s="675"/>
      <c r="AD348" s="675"/>
      <c r="AF348" s="675"/>
      <c r="AG348" s="675"/>
    </row>
    <row r="349" spans="1:33" s="536" customFormat="1" ht="12" x14ac:dyDescent="0.2">
      <c r="A349" s="569"/>
      <c r="B349" s="671"/>
      <c r="C349" s="665" t="s">
        <v>630</v>
      </c>
      <c r="D349" s="666"/>
      <c r="E349" s="666"/>
      <c r="F349" s="563"/>
      <c r="G349" s="563"/>
      <c r="H349" s="563"/>
      <c r="I349" s="563"/>
      <c r="J349" s="566"/>
      <c r="K349" s="563"/>
      <c r="L349" s="566"/>
      <c r="M349" s="565"/>
      <c r="N349" s="564"/>
      <c r="V349" s="674"/>
      <c r="W349" s="675"/>
      <c r="AB349" s="675"/>
      <c r="AD349" s="675"/>
      <c r="AF349" s="675"/>
      <c r="AG349" s="675"/>
    </row>
    <row r="350" spans="1:33" s="536" customFormat="1" ht="22.5" x14ac:dyDescent="0.2">
      <c r="A350" s="609"/>
      <c r="B350" s="552" t="s">
        <v>1638</v>
      </c>
      <c r="C350" s="1822" t="s">
        <v>632</v>
      </c>
      <c r="D350" s="1822"/>
      <c r="E350" s="1822"/>
      <c r="F350" s="1822"/>
      <c r="G350" s="1822"/>
      <c r="H350" s="1822"/>
      <c r="I350" s="1822"/>
      <c r="J350" s="1822"/>
      <c r="K350" s="1822"/>
      <c r="L350" s="1822"/>
      <c r="M350" s="1822"/>
      <c r="N350" s="1827"/>
      <c r="V350" s="674"/>
      <c r="W350" s="675"/>
      <c r="X350" s="537" t="s">
        <v>632</v>
      </c>
      <c r="AB350" s="675"/>
      <c r="AD350" s="675"/>
      <c r="AF350" s="675"/>
      <c r="AG350" s="675"/>
    </row>
    <row r="351" spans="1:33" s="536" customFormat="1" ht="12" x14ac:dyDescent="0.2">
      <c r="A351" s="1830" t="s">
        <v>2354</v>
      </c>
      <c r="B351" s="1831"/>
      <c r="C351" s="1831"/>
      <c r="D351" s="1831"/>
      <c r="E351" s="1831"/>
      <c r="F351" s="1831"/>
      <c r="G351" s="1831"/>
      <c r="H351" s="1831"/>
      <c r="I351" s="1831"/>
      <c r="J351" s="1831"/>
      <c r="K351" s="1831"/>
      <c r="L351" s="1831"/>
      <c r="M351" s="1831"/>
      <c r="N351" s="1832"/>
      <c r="V351" s="674"/>
      <c r="W351" s="675"/>
      <c r="AB351" s="675"/>
      <c r="AD351" s="675"/>
      <c r="AF351" s="675"/>
      <c r="AG351" s="675" t="s">
        <v>2354</v>
      </c>
    </row>
    <row r="352" spans="1:33" s="536" customFormat="1" ht="45" x14ac:dyDescent="0.2">
      <c r="A352" s="575" t="s">
        <v>784</v>
      </c>
      <c r="B352" s="670" t="s">
        <v>1794</v>
      </c>
      <c r="C352" s="1823" t="s">
        <v>1795</v>
      </c>
      <c r="D352" s="1823"/>
      <c r="E352" s="1823"/>
      <c r="F352" s="573" t="s">
        <v>1110</v>
      </c>
      <c r="G352" s="573"/>
      <c r="H352" s="573"/>
      <c r="I352" s="573" t="s">
        <v>695</v>
      </c>
      <c r="J352" s="572"/>
      <c r="K352" s="573"/>
      <c r="L352" s="572"/>
      <c r="M352" s="571"/>
      <c r="N352" s="570"/>
      <c r="V352" s="674"/>
      <c r="W352" s="675" t="s">
        <v>1795</v>
      </c>
      <c r="AB352" s="675"/>
      <c r="AD352" s="675"/>
      <c r="AF352" s="675"/>
      <c r="AG352" s="675"/>
    </row>
    <row r="353" spans="1:33" s="536" customFormat="1" ht="12" x14ac:dyDescent="0.2">
      <c r="A353" s="676"/>
      <c r="B353" s="664"/>
      <c r="C353" s="1822" t="s">
        <v>1597</v>
      </c>
      <c r="D353" s="1822"/>
      <c r="E353" s="1822"/>
      <c r="F353" s="1822"/>
      <c r="G353" s="1822"/>
      <c r="H353" s="1822"/>
      <c r="I353" s="1822"/>
      <c r="J353" s="1822"/>
      <c r="K353" s="1822"/>
      <c r="L353" s="1822"/>
      <c r="M353" s="1822"/>
      <c r="N353" s="1827"/>
      <c r="V353" s="674"/>
      <c r="W353" s="675"/>
      <c r="AB353" s="675"/>
      <c r="AC353" s="537" t="s">
        <v>1597</v>
      </c>
      <c r="AD353" s="675"/>
      <c r="AF353" s="675"/>
      <c r="AG353" s="675"/>
    </row>
    <row r="354" spans="1:33" s="536" customFormat="1" ht="33.75" x14ac:dyDescent="0.2">
      <c r="A354" s="609"/>
      <c r="B354" s="552" t="s">
        <v>310</v>
      </c>
      <c r="C354" s="1822" t="s">
        <v>311</v>
      </c>
      <c r="D354" s="1822"/>
      <c r="E354" s="1822"/>
      <c r="F354" s="1822"/>
      <c r="G354" s="1822"/>
      <c r="H354" s="1822"/>
      <c r="I354" s="1822"/>
      <c r="J354" s="1822"/>
      <c r="K354" s="1822"/>
      <c r="L354" s="1822"/>
      <c r="M354" s="1822"/>
      <c r="N354" s="1827"/>
      <c r="V354" s="674"/>
      <c r="W354" s="675"/>
      <c r="X354" s="537" t="s">
        <v>311</v>
      </c>
      <c r="AB354" s="675"/>
      <c r="AD354" s="675"/>
      <c r="AF354" s="675"/>
      <c r="AG354" s="675"/>
    </row>
    <row r="355" spans="1:33" s="536" customFormat="1" ht="12" x14ac:dyDescent="0.2">
      <c r="A355" s="605"/>
      <c r="B355" s="552" t="s">
        <v>185</v>
      </c>
      <c r="C355" s="1822" t="s">
        <v>312</v>
      </c>
      <c r="D355" s="1822"/>
      <c r="E355" s="1822"/>
      <c r="F355" s="562"/>
      <c r="G355" s="562"/>
      <c r="H355" s="562"/>
      <c r="I355" s="562"/>
      <c r="J355" s="604">
        <v>302.3</v>
      </c>
      <c r="K355" s="562" t="s">
        <v>313</v>
      </c>
      <c r="L355" s="604">
        <v>7.56</v>
      </c>
      <c r="M355" s="603"/>
      <c r="N355" s="602"/>
      <c r="V355" s="674"/>
      <c r="W355" s="675"/>
      <c r="Y355" s="537" t="s">
        <v>312</v>
      </c>
      <c r="AB355" s="675"/>
      <c r="AD355" s="675"/>
      <c r="AF355" s="675"/>
      <c r="AG355" s="675"/>
    </row>
    <row r="356" spans="1:33" s="536" customFormat="1" ht="12" x14ac:dyDescent="0.2">
      <c r="A356" s="605"/>
      <c r="B356" s="552" t="s">
        <v>186</v>
      </c>
      <c r="C356" s="1822" t="s">
        <v>344</v>
      </c>
      <c r="D356" s="1822"/>
      <c r="E356" s="1822"/>
      <c r="F356" s="562"/>
      <c r="G356" s="562"/>
      <c r="H356" s="562"/>
      <c r="I356" s="562"/>
      <c r="J356" s="604">
        <v>5.43</v>
      </c>
      <c r="K356" s="562" t="s">
        <v>313</v>
      </c>
      <c r="L356" s="604">
        <v>0.14000000000000001</v>
      </c>
      <c r="M356" s="603"/>
      <c r="N356" s="602"/>
      <c r="V356" s="674"/>
      <c r="W356" s="675"/>
      <c r="Y356" s="537" t="s">
        <v>344</v>
      </c>
      <c r="AB356" s="675"/>
      <c r="AD356" s="675"/>
      <c r="AF356" s="675"/>
      <c r="AG356" s="675"/>
    </row>
    <row r="357" spans="1:33" s="536" customFormat="1" ht="12" x14ac:dyDescent="0.2">
      <c r="A357" s="605"/>
      <c r="B357" s="552" t="s">
        <v>187</v>
      </c>
      <c r="C357" s="1822" t="s">
        <v>345</v>
      </c>
      <c r="D357" s="1822"/>
      <c r="E357" s="1822"/>
      <c r="F357" s="562"/>
      <c r="G357" s="562"/>
      <c r="H357" s="562"/>
      <c r="I357" s="562"/>
      <c r="J357" s="604">
        <v>0.76</v>
      </c>
      <c r="K357" s="562" t="s">
        <v>313</v>
      </c>
      <c r="L357" s="604">
        <v>0.02</v>
      </c>
      <c r="M357" s="603"/>
      <c r="N357" s="602"/>
      <c r="V357" s="674"/>
      <c r="W357" s="675"/>
      <c r="Y357" s="537" t="s">
        <v>345</v>
      </c>
      <c r="AB357" s="675"/>
      <c r="AD357" s="675"/>
      <c r="AF357" s="675"/>
      <c r="AG357" s="675"/>
    </row>
    <row r="358" spans="1:33" s="536" customFormat="1" ht="12" x14ac:dyDescent="0.2">
      <c r="A358" s="605"/>
      <c r="B358" s="552" t="s">
        <v>188</v>
      </c>
      <c r="C358" s="1822" t="s">
        <v>475</v>
      </c>
      <c r="D358" s="1822"/>
      <c r="E358" s="1822"/>
      <c r="F358" s="562"/>
      <c r="G358" s="562"/>
      <c r="H358" s="562"/>
      <c r="I358" s="562"/>
      <c r="J358" s="604">
        <v>185.57</v>
      </c>
      <c r="K358" s="562"/>
      <c r="L358" s="604">
        <v>3.71</v>
      </c>
      <c r="M358" s="603"/>
      <c r="N358" s="602"/>
      <c r="V358" s="674"/>
      <c r="W358" s="675"/>
      <c r="Y358" s="537" t="s">
        <v>475</v>
      </c>
      <c r="AB358" s="675"/>
      <c r="AD358" s="675"/>
      <c r="AF358" s="675"/>
      <c r="AG358" s="675"/>
    </row>
    <row r="359" spans="1:33" s="536" customFormat="1" ht="12" x14ac:dyDescent="0.2">
      <c r="A359" s="605"/>
      <c r="B359" s="552"/>
      <c r="C359" s="1822" t="s">
        <v>314</v>
      </c>
      <c r="D359" s="1822"/>
      <c r="E359" s="1822"/>
      <c r="F359" s="562" t="s">
        <v>315</v>
      </c>
      <c r="G359" s="562" t="s">
        <v>1796</v>
      </c>
      <c r="H359" s="562" t="s">
        <v>313</v>
      </c>
      <c r="I359" s="562" t="s">
        <v>3378</v>
      </c>
      <c r="J359" s="604"/>
      <c r="K359" s="562"/>
      <c r="L359" s="604"/>
      <c r="M359" s="603"/>
      <c r="N359" s="602"/>
      <c r="V359" s="674"/>
      <c r="W359" s="675"/>
      <c r="Z359" s="537" t="s">
        <v>314</v>
      </c>
      <c r="AB359" s="675"/>
      <c r="AD359" s="675"/>
      <c r="AF359" s="675"/>
      <c r="AG359" s="675"/>
    </row>
    <row r="360" spans="1:33" s="536" customFormat="1" ht="12" x14ac:dyDescent="0.2">
      <c r="A360" s="605"/>
      <c r="B360" s="552"/>
      <c r="C360" s="1822" t="s">
        <v>348</v>
      </c>
      <c r="D360" s="1822"/>
      <c r="E360" s="1822"/>
      <c r="F360" s="562" t="s">
        <v>315</v>
      </c>
      <c r="G360" s="562" t="s">
        <v>1554</v>
      </c>
      <c r="H360" s="562" t="s">
        <v>313</v>
      </c>
      <c r="I360" s="562" t="s">
        <v>2487</v>
      </c>
      <c r="J360" s="604"/>
      <c r="K360" s="562"/>
      <c r="L360" s="604"/>
      <c r="M360" s="603"/>
      <c r="N360" s="602"/>
      <c r="V360" s="674"/>
      <c r="W360" s="675"/>
      <c r="Z360" s="537" t="s">
        <v>348</v>
      </c>
      <c r="AB360" s="675"/>
      <c r="AD360" s="675"/>
      <c r="AF360" s="675"/>
      <c r="AG360" s="675"/>
    </row>
    <row r="361" spans="1:33" s="536" customFormat="1" ht="12" x14ac:dyDescent="0.2">
      <c r="A361" s="605"/>
      <c r="B361" s="552"/>
      <c r="C361" s="1828" t="s">
        <v>318</v>
      </c>
      <c r="D361" s="1828"/>
      <c r="E361" s="1828"/>
      <c r="F361" s="608"/>
      <c r="G361" s="608"/>
      <c r="H361" s="608"/>
      <c r="I361" s="608"/>
      <c r="J361" s="607">
        <v>493.3</v>
      </c>
      <c r="K361" s="608"/>
      <c r="L361" s="607">
        <v>11.41</v>
      </c>
      <c r="M361" s="601"/>
      <c r="N361" s="606"/>
      <c r="V361" s="674"/>
      <c r="W361" s="675"/>
      <c r="AA361" s="537" t="s">
        <v>318</v>
      </c>
      <c r="AB361" s="675"/>
      <c r="AD361" s="675"/>
      <c r="AF361" s="675"/>
      <c r="AG361" s="675"/>
    </row>
    <row r="362" spans="1:33" s="536" customFormat="1" ht="12" x14ac:dyDescent="0.2">
      <c r="A362" s="605"/>
      <c r="B362" s="552"/>
      <c r="C362" s="1822" t="s">
        <v>319</v>
      </c>
      <c r="D362" s="1822"/>
      <c r="E362" s="1822"/>
      <c r="F362" s="562"/>
      <c r="G362" s="562"/>
      <c r="H362" s="562"/>
      <c r="I362" s="562"/>
      <c r="J362" s="604"/>
      <c r="K362" s="562"/>
      <c r="L362" s="604">
        <v>7.58</v>
      </c>
      <c r="M362" s="603"/>
      <c r="N362" s="602"/>
      <c r="V362" s="674"/>
      <c r="W362" s="675"/>
      <c r="Z362" s="537" t="s">
        <v>319</v>
      </c>
      <c r="AB362" s="675"/>
      <c r="AD362" s="675"/>
      <c r="AF362" s="675"/>
      <c r="AG362" s="675"/>
    </row>
    <row r="363" spans="1:33" s="536" customFormat="1" ht="33.75" x14ac:dyDescent="0.2">
      <c r="A363" s="605"/>
      <c r="B363" s="552" t="s">
        <v>1631</v>
      </c>
      <c r="C363" s="1822" t="s">
        <v>1632</v>
      </c>
      <c r="D363" s="1822"/>
      <c r="E363" s="1822"/>
      <c r="F363" s="562" t="s">
        <v>322</v>
      </c>
      <c r="G363" s="562" t="s">
        <v>1633</v>
      </c>
      <c r="H363" s="562"/>
      <c r="I363" s="562" t="s">
        <v>1633</v>
      </c>
      <c r="J363" s="604"/>
      <c r="K363" s="562"/>
      <c r="L363" s="604">
        <v>7.35</v>
      </c>
      <c r="M363" s="603"/>
      <c r="N363" s="602"/>
      <c r="V363" s="674"/>
      <c r="W363" s="675"/>
      <c r="Z363" s="537" t="s">
        <v>1632</v>
      </c>
      <c r="AB363" s="675"/>
      <c r="AD363" s="675"/>
      <c r="AF363" s="675"/>
      <c r="AG363" s="675"/>
    </row>
    <row r="364" spans="1:33" s="536" customFormat="1" ht="33.75" x14ac:dyDescent="0.2">
      <c r="A364" s="605"/>
      <c r="B364" s="552" t="s">
        <v>1634</v>
      </c>
      <c r="C364" s="1822" t="s">
        <v>1635</v>
      </c>
      <c r="D364" s="1822"/>
      <c r="E364" s="1822"/>
      <c r="F364" s="562" t="s">
        <v>322</v>
      </c>
      <c r="G364" s="562" t="s">
        <v>786</v>
      </c>
      <c r="H364" s="562"/>
      <c r="I364" s="562" t="s">
        <v>786</v>
      </c>
      <c r="J364" s="604"/>
      <c r="K364" s="562"/>
      <c r="L364" s="604">
        <v>3.87</v>
      </c>
      <c r="M364" s="603"/>
      <c r="N364" s="602"/>
      <c r="V364" s="674"/>
      <c r="W364" s="675"/>
      <c r="Z364" s="537" t="s">
        <v>1635</v>
      </c>
      <c r="AB364" s="675"/>
      <c r="AD364" s="675"/>
      <c r="AF364" s="675"/>
      <c r="AG364" s="675"/>
    </row>
    <row r="365" spans="1:33" s="536" customFormat="1" ht="12" x14ac:dyDescent="0.2">
      <c r="A365" s="569"/>
      <c r="B365" s="671"/>
      <c r="C365" s="1823" t="s">
        <v>327</v>
      </c>
      <c r="D365" s="1823"/>
      <c r="E365" s="1823"/>
      <c r="F365" s="573"/>
      <c r="G365" s="573"/>
      <c r="H365" s="573"/>
      <c r="I365" s="573"/>
      <c r="J365" s="572"/>
      <c r="K365" s="573"/>
      <c r="L365" s="572">
        <v>22.63</v>
      </c>
      <c r="M365" s="601"/>
      <c r="N365" s="570"/>
      <c r="V365" s="674"/>
      <c r="W365" s="675"/>
      <c r="AB365" s="675" t="s">
        <v>327</v>
      </c>
      <c r="AD365" s="675"/>
      <c r="AF365" s="675"/>
      <c r="AG365" s="675"/>
    </row>
    <row r="366" spans="1:33" s="536" customFormat="1" ht="33.75" x14ac:dyDescent="0.2">
      <c r="A366" s="575" t="s">
        <v>1679</v>
      </c>
      <c r="B366" s="670" t="s">
        <v>1798</v>
      </c>
      <c r="C366" s="1823" t="s">
        <v>3379</v>
      </c>
      <c r="D366" s="1823"/>
      <c r="E366" s="1823"/>
      <c r="F366" s="573" t="s">
        <v>1687</v>
      </c>
      <c r="G366" s="573"/>
      <c r="H366" s="573"/>
      <c r="I366" s="573" t="s">
        <v>3380</v>
      </c>
      <c r="J366" s="572">
        <v>4999.13</v>
      </c>
      <c r="K366" s="573"/>
      <c r="L366" s="572">
        <v>10.199999999999999</v>
      </c>
      <c r="M366" s="571"/>
      <c r="N366" s="570"/>
      <c r="V366" s="674"/>
      <c r="W366" s="675" t="s">
        <v>3379</v>
      </c>
      <c r="AB366" s="675"/>
      <c r="AD366" s="675"/>
      <c r="AF366" s="675"/>
      <c r="AG366" s="675"/>
    </row>
    <row r="367" spans="1:33" s="536" customFormat="1" ht="12" x14ac:dyDescent="0.2">
      <c r="A367" s="569"/>
      <c r="B367" s="671"/>
      <c r="C367" s="665" t="s">
        <v>1658</v>
      </c>
      <c r="D367" s="666"/>
      <c r="E367" s="666"/>
      <c r="F367" s="563"/>
      <c r="G367" s="563"/>
      <c r="H367" s="563"/>
      <c r="I367" s="563"/>
      <c r="J367" s="566"/>
      <c r="K367" s="563"/>
      <c r="L367" s="566"/>
      <c r="M367" s="565"/>
      <c r="N367" s="564"/>
      <c r="V367" s="674"/>
      <c r="W367" s="675"/>
      <c r="AB367" s="675"/>
      <c r="AD367" s="675"/>
      <c r="AF367" s="675"/>
      <c r="AG367" s="675"/>
    </row>
    <row r="368" spans="1:33" s="536" customFormat="1" ht="12" x14ac:dyDescent="0.2">
      <c r="A368" s="676"/>
      <c r="B368" s="664"/>
      <c r="C368" s="1822" t="s">
        <v>3381</v>
      </c>
      <c r="D368" s="1822"/>
      <c r="E368" s="1822"/>
      <c r="F368" s="1822"/>
      <c r="G368" s="1822"/>
      <c r="H368" s="1822"/>
      <c r="I368" s="1822"/>
      <c r="J368" s="1822"/>
      <c r="K368" s="1822"/>
      <c r="L368" s="1822"/>
      <c r="M368" s="1822"/>
      <c r="N368" s="1827"/>
      <c r="V368" s="674"/>
      <c r="W368" s="675"/>
      <c r="AB368" s="675"/>
      <c r="AC368" s="537" t="s">
        <v>3381</v>
      </c>
      <c r="AD368" s="675"/>
      <c r="AF368" s="675"/>
      <c r="AG368" s="675"/>
    </row>
    <row r="369" spans="1:33" s="536" customFormat="1" ht="22.5" x14ac:dyDescent="0.2">
      <c r="A369" s="575" t="s">
        <v>786</v>
      </c>
      <c r="B369" s="670" t="s">
        <v>2381</v>
      </c>
      <c r="C369" s="1823" t="s">
        <v>2382</v>
      </c>
      <c r="D369" s="1823"/>
      <c r="E369" s="1823"/>
      <c r="F369" s="573" t="s">
        <v>1110</v>
      </c>
      <c r="G369" s="573"/>
      <c r="H369" s="573"/>
      <c r="I369" s="573" t="s">
        <v>823</v>
      </c>
      <c r="J369" s="572"/>
      <c r="K369" s="573"/>
      <c r="L369" s="572"/>
      <c r="M369" s="571"/>
      <c r="N369" s="570"/>
      <c r="V369" s="674"/>
      <c r="W369" s="675" t="s">
        <v>2382</v>
      </c>
      <c r="AB369" s="675"/>
      <c r="AD369" s="675"/>
      <c r="AF369" s="675"/>
      <c r="AG369" s="675"/>
    </row>
    <row r="370" spans="1:33" s="536" customFormat="1" ht="12" x14ac:dyDescent="0.2">
      <c r="A370" s="676"/>
      <c r="B370" s="664"/>
      <c r="C370" s="1822" t="s">
        <v>3382</v>
      </c>
      <c r="D370" s="1822"/>
      <c r="E370" s="1822"/>
      <c r="F370" s="1822"/>
      <c r="G370" s="1822"/>
      <c r="H370" s="1822"/>
      <c r="I370" s="1822"/>
      <c r="J370" s="1822"/>
      <c r="K370" s="1822"/>
      <c r="L370" s="1822"/>
      <c r="M370" s="1822"/>
      <c r="N370" s="1827"/>
      <c r="V370" s="674"/>
      <c r="W370" s="675"/>
      <c r="AB370" s="675"/>
      <c r="AC370" s="537" t="s">
        <v>3382</v>
      </c>
      <c r="AD370" s="675"/>
      <c r="AF370" s="675"/>
      <c r="AG370" s="675"/>
    </row>
    <row r="371" spans="1:33" s="536" customFormat="1" ht="33.75" x14ac:dyDescent="0.2">
      <c r="A371" s="609"/>
      <c r="B371" s="552" t="s">
        <v>310</v>
      </c>
      <c r="C371" s="1822" t="s">
        <v>311</v>
      </c>
      <c r="D371" s="1822"/>
      <c r="E371" s="1822"/>
      <c r="F371" s="1822"/>
      <c r="G371" s="1822"/>
      <c r="H371" s="1822"/>
      <c r="I371" s="1822"/>
      <c r="J371" s="1822"/>
      <c r="K371" s="1822"/>
      <c r="L371" s="1822"/>
      <c r="M371" s="1822"/>
      <c r="N371" s="1827"/>
      <c r="V371" s="674"/>
      <c r="W371" s="675"/>
      <c r="X371" s="537" t="s">
        <v>311</v>
      </c>
      <c r="AB371" s="675"/>
      <c r="AD371" s="675"/>
      <c r="AF371" s="675"/>
      <c r="AG371" s="675"/>
    </row>
    <row r="372" spans="1:33" s="536" customFormat="1" ht="12" x14ac:dyDescent="0.2">
      <c r="A372" s="605"/>
      <c r="B372" s="552" t="s">
        <v>185</v>
      </c>
      <c r="C372" s="1822" t="s">
        <v>312</v>
      </c>
      <c r="D372" s="1822"/>
      <c r="E372" s="1822"/>
      <c r="F372" s="562"/>
      <c r="G372" s="562"/>
      <c r="H372" s="562"/>
      <c r="I372" s="562"/>
      <c r="J372" s="604">
        <v>135.36000000000001</v>
      </c>
      <c r="K372" s="562" t="s">
        <v>313</v>
      </c>
      <c r="L372" s="604">
        <v>101.52</v>
      </c>
      <c r="M372" s="603"/>
      <c r="N372" s="602"/>
      <c r="V372" s="674"/>
      <c r="W372" s="675"/>
      <c r="Y372" s="537" t="s">
        <v>312</v>
      </c>
      <c r="AB372" s="675"/>
      <c r="AD372" s="675"/>
      <c r="AF372" s="675"/>
      <c r="AG372" s="675"/>
    </row>
    <row r="373" spans="1:33" s="536" customFormat="1" ht="12" x14ac:dyDescent="0.2">
      <c r="A373" s="605"/>
      <c r="B373" s="552" t="s">
        <v>186</v>
      </c>
      <c r="C373" s="1822" t="s">
        <v>344</v>
      </c>
      <c r="D373" s="1822"/>
      <c r="E373" s="1822"/>
      <c r="F373" s="562"/>
      <c r="G373" s="562"/>
      <c r="H373" s="562"/>
      <c r="I373" s="562"/>
      <c r="J373" s="604">
        <v>58.09</v>
      </c>
      <c r="K373" s="562" t="s">
        <v>313</v>
      </c>
      <c r="L373" s="604">
        <v>43.57</v>
      </c>
      <c r="M373" s="603"/>
      <c r="N373" s="602"/>
      <c r="V373" s="674"/>
      <c r="W373" s="675"/>
      <c r="Y373" s="537" t="s">
        <v>344</v>
      </c>
      <c r="AB373" s="675"/>
      <c r="AD373" s="675"/>
      <c r="AF373" s="675"/>
      <c r="AG373" s="675"/>
    </row>
    <row r="374" spans="1:33" s="536" customFormat="1" ht="12" x14ac:dyDescent="0.2">
      <c r="A374" s="605"/>
      <c r="B374" s="552" t="s">
        <v>187</v>
      </c>
      <c r="C374" s="1822" t="s">
        <v>345</v>
      </c>
      <c r="D374" s="1822"/>
      <c r="E374" s="1822"/>
      <c r="F374" s="562"/>
      <c r="G374" s="562"/>
      <c r="H374" s="562"/>
      <c r="I374" s="562"/>
      <c r="J374" s="604">
        <v>5.0199999999999996</v>
      </c>
      <c r="K374" s="562" t="s">
        <v>313</v>
      </c>
      <c r="L374" s="604">
        <v>3.77</v>
      </c>
      <c r="M374" s="603"/>
      <c r="N374" s="602"/>
      <c r="V374" s="674"/>
      <c r="W374" s="675"/>
      <c r="Y374" s="537" t="s">
        <v>345</v>
      </c>
      <c r="AB374" s="675"/>
      <c r="AD374" s="675"/>
      <c r="AF374" s="675"/>
      <c r="AG374" s="675"/>
    </row>
    <row r="375" spans="1:33" s="536" customFormat="1" ht="12" x14ac:dyDescent="0.2">
      <c r="A375" s="605"/>
      <c r="B375" s="552" t="s">
        <v>188</v>
      </c>
      <c r="C375" s="1822" t="s">
        <v>475</v>
      </c>
      <c r="D375" s="1822"/>
      <c r="E375" s="1822"/>
      <c r="F375" s="562"/>
      <c r="G375" s="562"/>
      <c r="H375" s="562"/>
      <c r="I375" s="562"/>
      <c r="J375" s="604">
        <v>894.6</v>
      </c>
      <c r="K375" s="562"/>
      <c r="L375" s="604">
        <v>7.33</v>
      </c>
      <c r="M375" s="603"/>
      <c r="N375" s="602"/>
      <c r="V375" s="674"/>
      <c r="W375" s="675"/>
      <c r="Y375" s="537" t="s">
        <v>475</v>
      </c>
      <c r="AB375" s="675"/>
      <c r="AD375" s="675"/>
      <c r="AF375" s="675"/>
      <c r="AG375" s="675"/>
    </row>
    <row r="376" spans="1:33" s="536" customFormat="1" ht="12" x14ac:dyDescent="0.2">
      <c r="A376" s="605"/>
      <c r="B376" s="552"/>
      <c r="C376" s="1822" t="s">
        <v>314</v>
      </c>
      <c r="D376" s="1822"/>
      <c r="E376" s="1822"/>
      <c r="F376" s="562" t="s">
        <v>315</v>
      </c>
      <c r="G376" s="562" t="s">
        <v>1028</v>
      </c>
      <c r="H376" s="562" t="s">
        <v>313</v>
      </c>
      <c r="I376" s="562" t="s">
        <v>3383</v>
      </c>
      <c r="J376" s="604"/>
      <c r="K376" s="562"/>
      <c r="L376" s="604"/>
      <c r="M376" s="603"/>
      <c r="N376" s="602"/>
      <c r="V376" s="674"/>
      <c r="W376" s="675"/>
      <c r="Z376" s="537" t="s">
        <v>314</v>
      </c>
      <c r="AB376" s="675"/>
      <c r="AD376" s="675"/>
      <c r="AF376" s="675"/>
      <c r="AG376" s="675"/>
    </row>
    <row r="377" spans="1:33" s="536" customFormat="1" ht="12" x14ac:dyDescent="0.2">
      <c r="A377" s="605"/>
      <c r="B377" s="552"/>
      <c r="C377" s="1822" t="s">
        <v>348</v>
      </c>
      <c r="D377" s="1822"/>
      <c r="E377" s="1822"/>
      <c r="F377" s="562" t="s">
        <v>315</v>
      </c>
      <c r="G377" s="562" t="s">
        <v>947</v>
      </c>
      <c r="H377" s="562" t="s">
        <v>313</v>
      </c>
      <c r="I377" s="562" t="s">
        <v>913</v>
      </c>
      <c r="J377" s="604"/>
      <c r="K377" s="562"/>
      <c r="L377" s="604"/>
      <c r="M377" s="603"/>
      <c r="N377" s="602"/>
      <c r="V377" s="674"/>
      <c r="W377" s="675"/>
      <c r="Z377" s="537" t="s">
        <v>348</v>
      </c>
      <c r="AB377" s="675"/>
      <c r="AD377" s="675"/>
      <c r="AF377" s="675"/>
      <c r="AG377" s="675"/>
    </row>
    <row r="378" spans="1:33" s="536" customFormat="1" ht="12" x14ac:dyDescent="0.2">
      <c r="A378" s="605"/>
      <c r="B378" s="552"/>
      <c r="C378" s="1828" t="s">
        <v>318</v>
      </c>
      <c r="D378" s="1828"/>
      <c r="E378" s="1828"/>
      <c r="F378" s="608"/>
      <c r="G378" s="608"/>
      <c r="H378" s="608"/>
      <c r="I378" s="608"/>
      <c r="J378" s="607">
        <v>205.67</v>
      </c>
      <c r="K378" s="608"/>
      <c r="L378" s="607">
        <v>152.41999999999999</v>
      </c>
      <c r="M378" s="601"/>
      <c r="N378" s="606"/>
      <c r="V378" s="674"/>
      <c r="W378" s="675"/>
      <c r="AA378" s="537" t="s">
        <v>318</v>
      </c>
      <c r="AB378" s="675"/>
      <c r="AD378" s="675"/>
      <c r="AF378" s="675"/>
      <c r="AG378" s="675"/>
    </row>
    <row r="379" spans="1:33" s="536" customFormat="1" ht="12" x14ac:dyDescent="0.2">
      <c r="A379" s="605"/>
      <c r="B379" s="552"/>
      <c r="C379" s="1822" t="s">
        <v>319</v>
      </c>
      <c r="D379" s="1822"/>
      <c r="E379" s="1822"/>
      <c r="F379" s="562"/>
      <c r="G379" s="562"/>
      <c r="H379" s="562"/>
      <c r="I379" s="562"/>
      <c r="J379" s="604"/>
      <c r="K379" s="562"/>
      <c r="L379" s="604">
        <v>105.29</v>
      </c>
      <c r="M379" s="603"/>
      <c r="N379" s="602"/>
      <c r="V379" s="674"/>
      <c r="W379" s="675"/>
      <c r="Z379" s="537" t="s">
        <v>319</v>
      </c>
      <c r="AB379" s="675"/>
      <c r="AD379" s="675"/>
      <c r="AF379" s="675"/>
      <c r="AG379" s="675"/>
    </row>
    <row r="380" spans="1:33" s="536" customFormat="1" ht="33.75" x14ac:dyDescent="0.2">
      <c r="A380" s="605"/>
      <c r="B380" s="552" t="s">
        <v>1631</v>
      </c>
      <c r="C380" s="1822" t="s">
        <v>1632</v>
      </c>
      <c r="D380" s="1822"/>
      <c r="E380" s="1822"/>
      <c r="F380" s="562" t="s">
        <v>322</v>
      </c>
      <c r="G380" s="562" t="s">
        <v>1633</v>
      </c>
      <c r="H380" s="562"/>
      <c r="I380" s="562" t="s">
        <v>1633</v>
      </c>
      <c r="J380" s="604"/>
      <c r="K380" s="562"/>
      <c r="L380" s="604">
        <v>102.13</v>
      </c>
      <c r="M380" s="603"/>
      <c r="N380" s="602"/>
      <c r="V380" s="674"/>
      <c r="W380" s="675"/>
      <c r="Z380" s="537" t="s">
        <v>1632</v>
      </c>
      <c r="AB380" s="675"/>
      <c r="AD380" s="675"/>
      <c r="AF380" s="675"/>
      <c r="AG380" s="675"/>
    </row>
    <row r="381" spans="1:33" s="536" customFormat="1" ht="33.75" x14ac:dyDescent="0.2">
      <c r="A381" s="605"/>
      <c r="B381" s="552" t="s">
        <v>1634</v>
      </c>
      <c r="C381" s="1822" t="s">
        <v>1635</v>
      </c>
      <c r="D381" s="1822"/>
      <c r="E381" s="1822"/>
      <c r="F381" s="562" t="s">
        <v>322</v>
      </c>
      <c r="G381" s="562" t="s">
        <v>786</v>
      </c>
      <c r="H381" s="562"/>
      <c r="I381" s="562" t="s">
        <v>786</v>
      </c>
      <c r="J381" s="604"/>
      <c r="K381" s="562"/>
      <c r="L381" s="604">
        <v>53.7</v>
      </c>
      <c r="M381" s="603"/>
      <c r="N381" s="602"/>
      <c r="V381" s="674"/>
      <c r="W381" s="675"/>
      <c r="Z381" s="537" t="s">
        <v>1635</v>
      </c>
      <c r="AB381" s="675"/>
      <c r="AD381" s="675"/>
      <c r="AF381" s="675"/>
      <c r="AG381" s="675"/>
    </row>
    <row r="382" spans="1:33" s="536" customFormat="1" ht="12" x14ac:dyDescent="0.2">
      <c r="A382" s="569"/>
      <c r="B382" s="671"/>
      <c r="C382" s="1823" t="s">
        <v>327</v>
      </c>
      <c r="D382" s="1823"/>
      <c r="E382" s="1823"/>
      <c r="F382" s="573"/>
      <c r="G382" s="573"/>
      <c r="H382" s="573"/>
      <c r="I382" s="573"/>
      <c r="J382" s="572"/>
      <c r="K382" s="573"/>
      <c r="L382" s="572">
        <v>308.25</v>
      </c>
      <c r="M382" s="601"/>
      <c r="N382" s="570"/>
      <c r="V382" s="674"/>
      <c r="W382" s="675"/>
      <c r="AB382" s="675" t="s">
        <v>327</v>
      </c>
      <c r="AD382" s="675"/>
      <c r="AF382" s="675"/>
      <c r="AG382" s="675"/>
    </row>
    <row r="383" spans="1:33" s="536" customFormat="1" ht="33.75" x14ac:dyDescent="0.2">
      <c r="A383" s="575" t="s">
        <v>787</v>
      </c>
      <c r="B383" s="670" t="s">
        <v>2386</v>
      </c>
      <c r="C383" s="1823" t="s">
        <v>2387</v>
      </c>
      <c r="D383" s="1823"/>
      <c r="E383" s="1823"/>
      <c r="F383" s="573" t="s">
        <v>483</v>
      </c>
      <c r="G383" s="573"/>
      <c r="H383" s="573"/>
      <c r="I383" s="573" t="s">
        <v>713</v>
      </c>
      <c r="J383" s="572">
        <v>112</v>
      </c>
      <c r="K383" s="573" t="s">
        <v>716</v>
      </c>
      <c r="L383" s="572">
        <v>823.8</v>
      </c>
      <c r="M383" s="571">
        <v>8.32</v>
      </c>
      <c r="N383" s="570">
        <v>6854</v>
      </c>
      <c r="V383" s="674"/>
      <c r="W383" s="675" t="s">
        <v>2387</v>
      </c>
      <c r="AB383" s="675"/>
      <c r="AD383" s="675"/>
      <c r="AF383" s="675"/>
      <c r="AG383" s="675"/>
    </row>
    <row r="384" spans="1:33" s="536" customFormat="1" ht="12" x14ac:dyDescent="0.2">
      <c r="A384" s="569"/>
      <c r="B384" s="671"/>
      <c r="C384" s="665" t="s">
        <v>1658</v>
      </c>
      <c r="D384" s="666"/>
      <c r="E384" s="666"/>
      <c r="F384" s="563"/>
      <c r="G384" s="563"/>
      <c r="H384" s="563"/>
      <c r="I384" s="563"/>
      <c r="J384" s="566"/>
      <c r="K384" s="563"/>
      <c r="L384" s="566"/>
      <c r="M384" s="565"/>
      <c r="N384" s="564"/>
      <c r="V384" s="674"/>
      <c r="W384" s="675"/>
      <c r="AB384" s="675"/>
      <c r="AD384" s="675"/>
      <c r="AF384" s="675"/>
      <c r="AG384" s="675"/>
    </row>
    <row r="385" spans="1:33" s="536" customFormat="1" ht="22.5" x14ac:dyDescent="0.2">
      <c r="A385" s="609"/>
      <c r="B385" s="552" t="s">
        <v>2388</v>
      </c>
      <c r="C385" s="1822" t="s">
        <v>719</v>
      </c>
      <c r="D385" s="1822"/>
      <c r="E385" s="1822"/>
      <c r="F385" s="1822"/>
      <c r="G385" s="1822"/>
      <c r="H385" s="1822"/>
      <c r="I385" s="1822"/>
      <c r="J385" s="1822"/>
      <c r="K385" s="1822"/>
      <c r="L385" s="1822"/>
      <c r="M385" s="1822"/>
      <c r="N385" s="1827"/>
      <c r="V385" s="674"/>
      <c r="W385" s="675"/>
      <c r="X385" s="537" t="s">
        <v>719</v>
      </c>
      <c r="AB385" s="675"/>
      <c r="AD385" s="675"/>
      <c r="AF385" s="675"/>
      <c r="AG385" s="675"/>
    </row>
    <row r="386" spans="1:33" s="536" customFormat="1" ht="22.5" x14ac:dyDescent="0.2">
      <c r="A386" s="575" t="s">
        <v>624</v>
      </c>
      <c r="B386" s="670" t="s">
        <v>2399</v>
      </c>
      <c r="C386" s="1823" t="s">
        <v>2400</v>
      </c>
      <c r="D386" s="1823"/>
      <c r="E386" s="1823"/>
      <c r="F386" s="573" t="s">
        <v>889</v>
      </c>
      <c r="G386" s="573"/>
      <c r="H386" s="573"/>
      <c r="I386" s="573" t="s">
        <v>947</v>
      </c>
      <c r="J386" s="572"/>
      <c r="K386" s="573"/>
      <c r="L386" s="572"/>
      <c r="M386" s="571"/>
      <c r="N386" s="570"/>
      <c r="V386" s="674"/>
      <c r="W386" s="675" t="s">
        <v>2400</v>
      </c>
      <c r="AB386" s="675"/>
      <c r="AD386" s="675"/>
      <c r="AF386" s="675"/>
      <c r="AG386" s="675"/>
    </row>
    <row r="387" spans="1:33" s="536" customFormat="1" ht="12" x14ac:dyDescent="0.2">
      <c r="A387" s="676"/>
      <c r="B387" s="664"/>
      <c r="C387" s="1822" t="s">
        <v>2362</v>
      </c>
      <c r="D387" s="1822"/>
      <c r="E387" s="1822"/>
      <c r="F387" s="1822"/>
      <c r="G387" s="1822"/>
      <c r="H387" s="1822"/>
      <c r="I387" s="1822"/>
      <c r="J387" s="1822"/>
      <c r="K387" s="1822"/>
      <c r="L387" s="1822"/>
      <c r="M387" s="1822"/>
      <c r="N387" s="1827"/>
      <c r="V387" s="674"/>
      <c r="W387" s="675"/>
      <c r="AB387" s="675"/>
      <c r="AC387" s="537" t="s">
        <v>2362</v>
      </c>
      <c r="AD387" s="675"/>
      <c r="AF387" s="675"/>
      <c r="AG387" s="675"/>
    </row>
    <row r="388" spans="1:33" s="536" customFormat="1" ht="33.75" x14ac:dyDescent="0.2">
      <c r="A388" s="609"/>
      <c r="B388" s="552" t="s">
        <v>310</v>
      </c>
      <c r="C388" s="1822" t="s">
        <v>311</v>
      </c>
      <c r="D388" s="1822"/>
      <c r="E388" s="1822"/>
      <c r="F388" s="1822"/>
      <c r="G388" s="1822"/>
      <c r="H388" s="1822"/>
      <c r="I388" s="1822"/>
      <c r="J388" s="1822"/>
      <c r="K388" s="1822"/>
      <c r="L388" s="1822"/>
      <c r="M388" s="1822"/>
      <c r="N388" s="1827"/>
      <c r="V388" s="674"/>
      <c r="W388" s="675"/>
      <c r="X388" s="537" t="s">
        <v>311</v>
      </c>
      <c r="AB388" s="675"/>
      <c r="AD388" s="675"/>
      <c r="AF388" s="675"/>
      <c r="AG388" s="675"/>
    </row>
    <row r="389" spans="1:33" s="536" customFormat="1" ht="12" x14ac:dyDescent="0.2">
      <c r="A389" s="605"/>
      <c r="B389" s="552" t="s">
        <v>185</v>
      </c>
      <c r="C389" s="1822" t="s">
        <v>312</v>
      </c>
      <c r="D389" s="1822"/>
      <c r="E389" s="1822"/>
      <c r="F389" s="562"/>
      <c r="G389" s="562"/>
      <c r="H389" s="562"/>
      <c r="I389" s="562"/>
      <c r="J389" s="604">
        <v>96.82</v>
      </c>
      <c r="K389" s="562" t="s">
        <v>313</v>
      </c>
      <c r="L389" s="604">
        <v>48.41</v>
      </c>
      <c r="M389" s="603"/>
      <c r="N389" s="602"/>
      <c r="V389" s="674"/>
      <c r="W389" s="675"/>
      <c r="Y389" s="537" t="s">
        <v>312</v>
      </c>
      <c r="AB389" s="675"/>
      <c r="AD389" s="675"/>
      <c r="AF389" s="675"/>
      <c r="AG389" s="675"/>
    </row>
    <row r="390" spans="1:33" s="536" customFormat="1" ht="12" x14ac:dyDescent="0.2">
      <c r="A390" s="605"/>
      <c r="B390" s="552" t="s">
        <v>186</v>
      </c>
      <c r="C390" s="1822" t="s">
        <v>344</v>
      </c>
      <c r="D390" s="1822"/>
      <c r="E390" s="1822"/>
      <c r="F390" s="562"/>
      <c r="G390" s="562"/>
      <c r="H390" s="562"/>
      <c r="I390" s="562"/>
      <c r="J390" s="604">
        <v>61.13</v>
      </c>
      <c r="K390" s="562" t="s">
        <v>313</v>
      </c>
      <c r="L390" s="604">
        <v>30.57</v>
      </c>
      <c r="M390" s="603"/>
      <c r="N390" s="602"/>
      <c r="V390" s="674"/>
      <c r="W390" s="675"/>
      <c r="Y390" s="537" t="s">
        <v>344</v>
      </c>
      <c r="AB390" s="675"/>
      <c r="AD390" s="675"/>
      <c r="AF390" s="675"/>
      <c r="AG390" s="675"/>
    </row>
    <row r="391" spans="1:33" s="536" customFormat="1" ht="12" x14ac:dyDescent="0.2">
      <c r="A391" s="605"/>
      <c r="B391" s="552" t="s">
        <v>187</v>
      </c>
      <c r="C391" s="1822" t="s">
        <v>345</v>
      </c>
      <c r="D391" s="1822"/>
      <c r="E391" s="1822"/>
      <c r="F391" s="562"/>
      <c r="G391" s="562"/>
      <c r="H391" s="562"/>
      <c r="I391" s="562"/>
      <c r="J391" s="604">
        <v>6.78</v>
      </c>
      <c r="K391" s="562" t="s">
        <v>313</v>
      </c>
      <c r="L391" s="604">
        <v>3.39</v>
      </c>
      <c r="M391" s="603"/>
      <c r="N391" s="602"/>
      <c r="V391" s="674"/>
      <c r="W391" s="675"/>
      <c r="Y391" s="537" t="s">
        <v>345</v>
      </c>
      <c r="AB391" s="675"/>
      <c r="AD391" s="675"/>
      <c r="AF391" s="675"/>
      <c r="AG391" s="675"/>
    </row>
    <row r="392" spans="1:33" s="536" customFormat="1" ht="12" x14ac:dyDescent="0.2">
      <c r="A392" s="605"/>
      <c r="B392" s="552" t="s">
        <v>188</v>
      </c>
      <c r="C392" s="1822" t="s">
        <v>475</v>
      </c>
      <c r="D392" s="1822"/>
      <c r="E392" s="1822"/>
      <c r="F392" s="562"/>
      <c r="G392" s="562"/>
      <c r="H392" s="562"/>
      <c r="I392" s="562"/>
      <c r="J392" s="604">
        <v>581.9</v>
      </c>
      <c r="K392" s="562"/>
      <c r="L392" s="604">
        <v>3.82</v>
      </c>
      <c r="M392" s="603"/>
      <c r="N392" s="602"/>
      <c r="V392" s="674"/>
      <c r="W392" s="675"/>
      <c r="Y392" s="537" t="s">
        <v>475</v>
      </c>
      <c r="AB392" s="675"/>
      <c r="AD392" s="675"/>
      <c r="AF392" s="675"/>
      <c r="AG392" s="675"/>
    </row>
    <row r="393" spans="1:33" s="536" customFormat="1" ht="12" x14ac:dyDescent="0.2">
      <c r="A393" s="605"/>
      <c r="B393" s="552"/>
      <c r="C393" s="1822" t="s">
        <v>314</v>
      </c>
      <c r="D393" s="1822"/>
      <c r="E393" s="1822"/>
      <c r="F393" s="562" t="s">
        <v>315</v>
      </c>
      <c r="G393" s="562" t="s">
        <v>618</v>
      </c>
      <c r="H393" s="562" t="s">
        <v>313</v>
      </c>
      <c r="I393" s="562" t="s">
        <v>2191</v>
      </c>
      <c r="J393" s="604"/>
      <c r="K393" s="562"/>
      <c r="L393" s="604"/>
      <c r="M393" s="603"/>
      <c r="N393" s="602"/>
      <c r="V393" s="674"/>
      <c r="W393" s="675"/>
      <c r="Z393" s="537" t="s">
        <v>314</v>
      </c>
      <c r="AB393" s="675"/>
      <c r="AD393" s="675"/>
      <c r="AF393" s="675"/>
      <c r="AG393" s="675"/>
    </row>
    <row r="394" spans="1:33" s="536" customFormat="1" ht="12" x14ac:dyDescent="0.2">
      <c r="A394" s="605"/>
      <c r="B394" s="552"/>
      <c r="C394" s="1822" t="s">
        <v>348</v>
      </c>
      <c r="D394" s="1822"/>
      <c r="E394" s="1822"/>
      <c r="F394" s="562" t="s">
        <v>315</v>
      </c>
      <c r="G394" s="562" t="s">
        <v>866</v>
      </c>
      <c r="H394" s="562" t="s">
        <v>313</v>
      </c>
      <c r="I394" s="562" t="s">
        <v>1846</v>
      </c>
      <c r="J394" s="604"/>
      <c r="K394" s="562"/>
      <c r="L394" s="604"/>
      <c r="M394" s="603"/>
      <c r="N394" s="602"/>
      <c r="V394" s="674"/>
      <c r="W394" s="675"/>
      <c r="Z394" s="537" t="s">
        <v>348</v>
      </c>
      <c r="AB394" s="675"/>
      <c r="AD394" s="675"/>
      <c r="AF394" s="675"/>
      <c r="AG394" s="675"/>
    </row>
    <row r="395" spans="1:33" s="536" customFormat="1" ht="12" x14ac:dyDescent="0.2">
      <c r="A395" s="605"/>
      <c r="B395" s="552"/>
      <c r="C395" s="1828" t="s">
        <v>318</v>
      </c>
      <c r="D395" s="1828"/>
      <c r="E395" s="1828"/>
      <c r="F395" s="608"/>
      <c r="G395" s="608"/>
      <c r="H395" s="608"/>
      <c r="I395" s="608"/>
      <c r="J395" s="607">
        <v>167.5</v>
      </c>
      <c r="K395" s="608"/>
      <c r="L395" s="607">
        <v>82.8</v>
      </c>
      <c r="M395" s="601"/>
      <c r="N395" s="606"/>
      <c r="V395" s="674"/>
      <c r="W395" s="675"/>
      <c r="AA395" s="537" t="s">
        <v>318</v>
      </c>
      <c r="AB395" s="675"/>
      <c r="AD395" s="675"/>
      <c r="AF395" s="675"/>
      <c r="AG395" s="675"/>
    </row>
    <row r="396" spans="1:33" s="536" customFormat="1" ht="12" x14ac:dyDescent="0.2">
      <c r="A396" s="605"/>
      <c r="B396" s="552"/>
      <c r="C396" s="1822" t="s">
        <v>319</v>
      </c>
      <c r="D396" s="1822"/>
      <c r="E396" s="1822"/>
      <c r="F396" s="562"/>
      <c r="G396" s="562"/>
      <c r="H396" s="562"/>
      <c r="I396" s="562"/>
      <c r="J396" s="604"/>
      <c r="K396" s="562"/>
      <c r="L396" s="604">
        <v>51.8</v>
      </c>
      <c r="M396" s="603"/>
      <c r="N396" s="602"/>
      <c r="V396" s="674"/>
      <c r="W396" s="675"/>
      <c r="Z396" s="537" t="s">
        <v>319</v>
      </c>
      <c r="AB396" s="675"/>
      <c r="AD396" s="675"/>
      <c r="AF396" s="675"/>
      <c r="AG396" s="675"/>
    </row>
    <row r="397" spans="1:33" s="536" customFormat="1" ht="33.75" x14ac:dyDescent="0.2">
      <c r="A397" s="605"/>
      <c r="B397" s="552" t="s">
        <v>1631</v>
      </c>
      <c r="C397" s="1822" t="s">
        <v>1632</v>
      </c>
      <c r="D397" s="1822"/>
      <c r="E397" s="1822"/>
      <c r="F397" s="562" t="s">
        <v>322</v>
      </c>
      <c r="G397" s="562" t="s">
        <v>1633</v>
      </c>
      <c r="H397" s="562"/>
      <c r="I397" s="562" t="s">
        <v>1633</v>
      </c>
      <c r="J397" s="604"/>
      <c r="K397" s="562"/>
      <c r="L397" s="604">
        <v>50.25</v>
      </c>
      <c r="M397" s="603"/>
      <c r="N397" s="602"/>
      <c r="V397" s="674"/>
      <c r="W397" s="675"/>
      <c r="Z397" s="537" t="s">
        <v>1632</v>
      </c>
      <c r="AB397" s="675"/>
      <c r="AD397" s="675"/>
      <c r="AF397" s="675"/>
      <c r="AG397" s="675"/>
    </row>
    <row r="398" spans="1:33" s="536" customFormat="1" ht="33.75" x14ac:dyDescent="0.2">
      <c r="A398" s="605"/>
      <c r="B398" s="552" t="s">
        <v>1634</v>
      </c>
      <c r="C398" s="1822" t="s">
        <v>1635</v>
      </c>
      <c r="D398" s="1822"/>
      <c r="E398" s="1822"/>
      <c r="F398" s="562" t="s">
        <v>322</v>
      </c>
      <c r="G398" s="562" t="s">
        <v>786</v>
      </c>
      <c r="H398" s="562"/>
      <c r="I398" s="562" t="s">
        <v>786</v>
      </c>
      <c r="J398" s="604"/>
      <c r="K398" s="562"/>
      <c r="L398" s="604">
        <v>26.42</v>
      </c>
      <c r="M398" s="603"/>
      <c r="N398" s="602"/>
      <c r="V398" s="674"/>
      <c r="W398" s="675"/>
      <c r="Z398" s="537" t="s">
        <v>1635</v>
      </c>
      <c r="AB398" s="675"/>
      <c r="AD398" s="675"/>
      <c r="AF398" s="675"/>
      <c r="AG398" s="675"/>
    </row>
    <row r="399" spans="1:33" s="536" customFormat="1" ht="12" x14ac:dyDescent="0.2">
      <c r="A399" s="569"/>
      <c r="B399" s="671"/>
      <c r="C399" s="1823" t="s">
        <v>327</v>
      </c>
      <c r="D399" s="1823"/>
      <c r="E399" s="1823"/>
      <c r="F399" s="573"/>
      <c r="G399" s="573"/>
      <c r="H399" s="573"/>
      <c r="I399" s="573"/>
      <c r="J399" s="572"/>
      <c r="K399" s="573"/>
      <c r="L399" s="572">
        <v>159.47</v>
      </c>
      <c r="M399" s="601"/>
      <c r="N399" s="570"/>
      <c r="V399" s="674"/>
      <c r="W399" s="675"/>
      <c r="AB399" s="675" t="s">
        <v>327</v>
      </c>
      <c r="AD399" s="675"/>
      <c r="AF399" s="675"/>
      <c r="AG399" s="675"/>
    </row>
    <row r="400" spans="1:33" s="536" customFormat="1" ht="33.75" x14ac:dyDescent="0.2">
      <c r="A400" s="575" t="s">
        <v>1784</v>
      </c>
      <c r="B400" s="670" t="s">
        <v>2401</v>
      </c>
      <c r="C400" s="1823" t="s">
        <v>2402</v>
      </c>
      <c r="D400" s="1823"/>
      <c r="E400" s="1823"/>
      <c r="F400" s="573" t="s">
        <v>617</v>
      </c>
      <c r="G400" s="573"/>
      <c r="H400" s="573"/>
      <c r="I400" s="573" t="s">
        <v>188</v>
      </c>
      <c r="J400" s="572">
        <v>744.63</v>
      </c>
      <c r="K400" s="573" t="s">
        <v>716</v>
      </c>
      <c r="L400" s="572">
        <v>365.14</v>
      </c>
      <c r="M400" s="571">
        <v>8.32</v>
      </c>
      <c r="N400" s="570">
        <v>3038</v>
      </c>
      <c r="V400" s="674"/>
      <c r="W400" s="675" t="s">
        <v>2402</v>
      </c>
      <c r="AB400" s="675"/>
      <c r="AD400" s="675"/>
      <c r="AF400" s="675"/>
      <c r="AG400" s="675"/>
    </row>
    <row r="401" spans="1:33" s="536" customFormat="1" ht="12" x14ac:dyDescent="0.2">
      <c r="A401" s="569"/>
      <c r="B401" s="671"/>
      <c r="C401" s="665" t="s">
        <v>1658</v>
      </c>
      <c r="D401" s="666"/>
      <c r="E401" s="666"/>
      <c r="F401" s="563"/>
      <c r="G401" s="563"/>
      <c r="H401" s="563"/>
      <c r="I401" s="563"/>
      <c r="J401" s="566"/>
      <c r="K401" s="563"/>
      <c r="L401" s="566"/>
      <c r="M401" s="565"/>
      <c r="N401" s="564"/>
      <c r="V401" s="674"/>
      <c r="W401" s="675"/>
      <c r="AB401" s="675"/>
      <c r="AD401" s="675"/>
      <c r="AF401" s="675"/>
      <c r="AG401" s="675"/>
    </row>
    <row r="402" spans="1:33" s="536" customFormat="1" ht="22.5" x14ac:dyDescent="0.2">
      <c r="A402" s="609"/>
      <c r="B402" s="552" t="s">
        <v>2388</v>
      </c>
      <c r="C402" s="1822" t="s">
        <v>719</v>
      </c>
      <c r="D402" s="1822"/>
      <c r="E402" s="1822"/>
      <c r="F402" s="1822"/>
      <c r="G402" s="1822"/>
      <c r="H402" s="1822"/>
      <c r="I402" s="1822"/>
      <c r="J402" s="1822"/>
      <c r="K402" s="1822"/>
      <c r="L402" s="1822"/>
      <c r="M402" s="1822"/>
      <c r="N402" s="1827"/>
      <c r="V402" s="674"/>
      <c r="W402" s="675"/>
      <c r="X402" s="537" t="s">
        <v>719</v>
      </c>
      <c r="AB402" s="675"/>
      <c r="AD402" s="675"/>
      <c r="AF402" s="675"/>
      <c r="AG402" s="675"/>
    </row>
    <row r="403" spans="1:33" s="536" customFormat="1" ht="33.75" x14ac:dyDescent="0.2">
      <c r="A403" s="575" t="s">
        <v>789</v>
      </c>
      <c r="B403" s="670" t="s">
        <v>2404</v>
      </c>
      <c r="C403" s="1823" t="s">
        <v>2405</v>
      </c>
      <c r="D403" s="1823"/>
      <c r="E403" s="1823"/>
      <c r="F403" s="573" t="s">
        <v>1110</v>
      </c>
      <c r="G403" s="573"/>
      <c r="H403" s="573"/>
      <c r="I403" s="573" t="s">
        <v>2507</v>
      </c>
      <c r="J403" s="572"/>
      <c r="K403" s="573"/>
      <c r="L403" s="572"/>
      <c r="M403" s="571"/>
      <c r="N403" s="570"/>
      <c r="V403" s="674"/>
      <c r="W403" s="675" t="s">
        <v>2405</v>
      </c>
      <c r="AB403" s="675"/>
      <c r="AD403" s="675"/>
      <c r="AF403" s="675"/>
      <c r="AG403" s="675"/>
    </row>
    <row r="404" spans="1:33" s="536" customFormat="1" ht="12" x14ac:dyDescent="0.2">
      <c r="A404" s="676"/>
      <c r="B404" s="664"/>
      <c r="C404" s="1822" t="s">
        <v>3384</v>
      </c>
      <c r="D404" s="1822"/>
      <c r="E404" s="1822"/>
      <c r="F404" s="1822"/>
      <c r="G404" s="1822"/>
      <c r="H404" s="1822"/>
      <c r="I404" s="1822"/>
      <c r="J404" s="1822"/>
      <c r="K404" s="1822"/>
      <c r="L404" s="1822"/>
      <c r="M404" s="1822"/>
      <c r="N404" s="1827"/>
      <c r="V404" s="674"/>
      <c r="W404" s="675"/>
      <c r="AB404" s="675"/>
      <c r="AC404" s="537" t="s">
        <v>3384</v>
      </c>
      <c r="AD404" s="675"/>
      <c r="AF404" s="675"/>
      <c r="AG404" s="675"/>
    </row>
    <row r="405" spans="1:33" s="536" customFormat="1" ht="33.75" x14ac:dyDescent="0.2">
      <c r="A405" s="609"/>
      <c r="B405" s="552" t="s">
        <v>310</v>
      </c>
      <c r="C405" s="1822" t="s">
        <v>311</v>
      </c>
      <c r="D405" s="1822"/>
      <c r="E405" s="1822"/>
      <c r="F405" s="1822"/>
      <c r="G405" s="1822"/>
      <c r="H405" s="1822"/>
      <c r="I405" s="1822"/>
      <c r="J405" s="1822"/>
      <c r="K405" s="1822"/>
      <c r="L405" s="1822"/>
      <c r="M405" s="1822"/>
      <c r="N405" s="1827"/>
      <c r="V405" s="674"/>
      <c r="W405" s="675"/>
      <c r="X405" s="537" t="s">
        <v>311</v>
      </c>
      <c r="AB405" s="675"/>
      <c r="AD405" s="675"/>
      <c r="AF405" s="675"/>
      <c r="AG405" s="675"/>
    </row>
    <row r="406" spans="1:33" s="536" customFormat="1" ht="12" x14ac:dyDescent="0.2">
      <c r="A406" s="605"/>
      <c r="B406" s="552" t="s">
        <v>185</v>
      </c>
      <c r="C406" s="1822" t="s">
        <v>312</v>
      </c>
      <c r="D406" s="1822"/>
      <c r="E406" s="1822"/>
      <c r="F406" s="562"/>
      <c r="G406" s="562"/>
      <c r="H406" s="562"/>
      <c r="I406" s="562"/>
      <c r="J406" s="604">
        <v>164.5</v>
      </c>
      <c r="K406" s="562" t="s">
        <v>313</v>
      </c>
      <c r="L406" s="604">
        <v>164.5</v>
      </c>
      <c r="M406" s="603"/>
      <c r="N406" s="602"/>
      <c r="V406" s="674"/>
      <c r="W406" s="675"/>
      <c r="Y406" s="537" t="s">
        <v>312</v>
      </c>
      <c r="AB406" s="675"/>
      <c r="AD406" s="675"/>
      <c r="AF406" s="675"/>
      <c r="AG406" s="675"/>
    </row>
    <row r="407" spans="1:33" s="536" customFormat="1" ht="12" x14ac:dyDescent="0.2">
      <c r="A407" s="605"/>
      <c r="B407" s="552" t="s">
        <v>186</v>
      </c>
      <c r="C407" s="1822" t="s">
        <v>344</v>
      </c>
      <c r="D407" s="1822"/>
      <c r="E407" s="1822"/>
      <c r="F407" s="562"/>
      <c r="G407" s="562"/>
      <c r="H407" s="562"/>
      <c r="I407" s="562"/>
      <c r="J407" s="604">
        <v>41.6</v>
      </c>
      <c r="K407" s="562" t="s">
        <v>313</v>
      </c>
      <c r="L407" s="604">
        <v>41.6</v>
      </c>
      <c r="M407" s="603"/>
      <c r="N407" s="602"/>
      <c r="V407" s="674"/>
      <c r="W407" s="675"/>
      <c r="Y407" s="537" t="s">
        <v>344</v>
      </c>
      <c r="AB407" s="675"/>
      <c r="AD407" s="675"/>
      <c r="AF407" s="675"/>
      <c r="AG407" s="675"/>
    </row>
    <row r="408" spans="1:33" s="536" customFormat="1" ht="12" x14ac:dyDescent="0.2">
      <c r="A408" s="605"/>
      <c r="B408" s="552" t="s">
        <v>187</v>
      </c>
      <c r="C408" s="1822" t="s">
        <v>345</v>
      </c>
      <c r="D408" s="1822"/>
      <c r="E408" s="1822"/>
      <c r="F408" s="562"/>
      <c r="G408" s="562"/>
      <c r="H408" s="562"/>
      <c r="I408" s="562"/>
      <c r="J408" s="604">
        <v>2.5099999999999998</v>
      </c>
      <c r="K408" s="562" t="s">
        <v>313</v>
      </c>
      <c r="L408" s="604">
        <v>2.5099999999999998</v>
      </c>
      <c r="M408" s="603"/>
      <c r="N408" s="602"/>
      <c r="V408" s="674"/>
      <c r="W408" s="675"/>
      <c r="Y408" s="537" t="s">
        <v>345</v>
      </c>
      <c r="AB408" s="675"/>
      <c r="AD408" s="675"/>
      <c r="AF408" s="675"/>
      <c r="AG408" s="675"/>
    </row>
    <row r="409" spans="1:33" s="536" customFormat="1" ht="12" x14ac:dyDescent="0.2">
      <c r="A409" s="605"/>
      <c r="B409" s="552" t="s">
        <v>188</v>
      </c>
      <c r="C409" s="1822" t="s">
        <v>475</v>
      </c>
      <c r="D409" s="1822"/>
      <c r="E409" s="1822"/>
      <c r="F409" s="562"/>
      <c r="G409" s="562"/>
      <c r="H409" s="562"/>
      <c r="I409" s="562"/>
      <c r="J409" s="604">
        <v>512.80999999999995</v>
      </c>
      <c r="K409" s="562"/>
      <c r="L409" s="604">
        <v>10.24</v>
      </c>
      <c r="M409" s="603"/>
      <c r="N409" s="602"/>
      <c r="V409" s="674"/>
      <c r="W409" s="675"/>
      <c r="Y409" s="537" t="s">
        <v>475</v>
      </c>
      <c r="AB409" s="675"/>
      <c r="AD409" s="675"/>
      <c r="AF409" s="675"/>
      <c r="AG409" s="675"/>
    </row>
    <row r="410" spans="1:33" s="536" customFormat="1" ht="12" x14ac:dyDescent="0.2">
      <c r="A410" s="605"/>
      <c r="B410" s="552"/>
      <c r="C410" s="1822" t="s">
        <v>314</v>
      </c>
      <c r="D410" s="1822"/>
      <c r="E410" s="1822"/>
      <c r="F410" s="562" t="s">
        <v>315</v>
      </c>
      <c r="G410" s="562" t="s">
        <v>2406</v>
      </c>
      <c r="H410" s="562" t="s">
        <v>313</v>
      </c>
      <c r="I410" s="562" t="s">
        <v>2406</v>
      </c>
      <c r="J410" s="604"/>
      <c r="K410" s="562"/>
      <c r="L410" s="604"/>
      <c r="M410" s="603"/>
      <c r="N410" s="602"/>
      <c r="V410" s="674"/>
      <c r="W410" s="675"/>
      <c r="Z410" s="537" t="s">
        <v>314</v>
      </c>
      <c r="AB410" s="675"/>
      <c r="AD410" s="675"/>
      <c r="AF410" s="675"/>
      <c r="AG410" s="675"/>
    </row>
    <row r="411" spans="1:33" s="536" customFormat="1" ht="12" x14ac:dyDescent="0.2">
      <c r="A411" s="605"/>
      <c r="B411" s="552"/>
      <c r="C411" s="1822" t="s">
        <v>348</v>
      </c>
      <c r="D411" s="1822"/>
      <c r="E411" s="1822"/>
      <c r="F411" s="562" t="s">
        <v>315</v>
      </c>
      <c r="G411" s="562" t="s">
        <v>890</v>
      </c>
      <c r="H411" s="562" t="s">
        <v>313</v>
      </c>
      <c r="I411" s="562" t="s">
        <v>890</v>
      </c>
      <c r="J411" s="604"/>
      <c r="K411" s="562"/>
      <c r="L411" s="604"/>
      <c r="M411" s="603"/>
      <c r="N411" s="602"/>
      <c r="V411" s="674"/>
      <c r="W411" s="675"/>
      <c r="Z411" s="537" t="s">
        <v>348</v>
      </c>
      <c r="AB411" s="675"/>
      <c r="AD411" s="675"/>
      <c r="AF411" s="675"/>
      <c r="AG411" s="675"/>
    </row>
    <row r="412" spans="1:33" s="536" customFormat="1" ht="12" x14ac:dyDescent="0.2">
      <c r="A412" s="605"/>
      <c r="B412" s="552"/>
      <c r="C412" s="1828" t="s">
        <v>318</v>
      </c>
      <c r="D412" s="1828"/>
      <c r="E412" s="1828"/>
      <c r="F412" s="608"/>
      <c r="G412" s="608"/>
      <c r="H412" s="608"/>
      <c r="I412" s="608"/>
      <c r="J412" s="607">
        <v>218.9</v>
      </c>
      <c r="K412" s="608"/>
      <c r="L412" s="607">
        <v>216.34</v>
      </c>
      <c r="M412" s="601"/>
      <c r="N412" s="606"/>
      <c r="V412" s="674"/>
      <c r="W412" s="675"/>
      <c r="AA412" s="537" t="s">
        <v>318</v>
      </c>
      <c r="AB412" s="675"/>
      <c r="AD412" s="675"/>
      <c r="AF412" s="675"/>
      <c r="AG412" s="675"/>
    </row>
    <row r="413" spans="1:33" s="536" customFormat="1" ht="12" x14ac:dyDescent="0.2">
      <c r="A413" s="605"/>
      <c r="B413" s="552"/>
      <c r="C413" s="1822" t="s">
        <v>319</v>
      </c>
      <c r="D413" s="1822"/>
      <c r="E413" s="1822"/>
      <c r="F413" s="562"/>
      <c r="G413" s="562"/>
      <c r="H413" s="562"/>
      <c r="I413" s="562"/>
      <c r="J413" s="604"/>
      <c r="K413" s="562"/>
      <c r="L413" s="604">
        <v>167.01</v>
      </c>
      <c r="M413" s="603"/>
      <c r="N413" s="602"/>
      <c r="V413" s="674"/>
      <c r="W413" s="675"/>
      <c r="Z413" s="537" t="s">
        <v>319</v>
      </c>
      <c r="AB413" s="675"/>
      <c r="AD413" s="675"/>
      <c r="AF413" s="675"/>
      <c r="AG413" s="675"/>
    </row>
    <row r="414" spans="1:33" s="536" customFormat="1" ht="33.75" x14ac:dyDescent="0.2">
      <c r="A414" s="605"/>
      <c r="B414" s="552" t="s">
        <v>1631</v>
      </c>
      <c r="C414" s="1822" t="s">
        <v>1632</v>
      </c>
      <c r="D414" s="1822"/>
      <c r="E414" s="1822"/>
      <c r="F414" s="562" t="s">
        <v>322</v>
      </c>
      <c r="G414" s="562" t="s">
        <v>1633</v>
      </c>
      <c r="H414" s="562"/>
      <c r="I414" s="562" t="s">
        <v>1633</v>
      </c>
      <c r="J414" s="604"/>
      <c r="K414" s="562"/>
      <c r="L414" s="604">
        <v>162</v>
      </c>
      <c r="M414" s="603"/>
      <c r="N414" s="602"/>
      <c r="V414" s="674"/>
      <c r="W414" s="675"/>
      <c r="Z414" s="537" t="s">
        <v>1632</v>
      </c>
      <c r="AB414" s="675"/>
      <c r="AD414" s="675"/>
      <c r="AF414" s="675"/>
      <c r="AG414" s="675"/>
    </row>
    <row r="415" spans="1:33" s="536" customFormat="1" ht="33.75" x14ac:dyDescent="0.2">
      <c r="A415" s="605"/>
      <c r="B415" s="552" t="s">
        <v>1634</v>
      </c>
      <c r="C415" s="1822" t="s">
        <v>1635</v>
      </c>
      <c r="D415" s="1822"/>
      <c r="E415" s="1822"/>
      <c r="F415" s="562" t="s">
        <v>322</v>
      </c>
      <c r="G415" s="562" t="s">
        <v>786</v>
      </c>
      <c r="H415" s="562"/>
      <c r="I415" s="562" t="s">
        <v>786</v>
      </c>
      <c r="J415" s="604"/>
      <c r="K415" s="562"/>
      <c r="L415" s="604">
        <v>85.18</v>
      </c>
      <c r="M415" s="603"/>
      <c r="N415" s="602"/>
      <c r="V415" s="674"/>
      <c r="W415" s="675"/>
      <c r="Z415" s="537" t="s">
        <v>1635</v>
      </c>
      <c r="AB415" s="675"/>
      <c r="AD415" s="675"/>
      <c r="AF415" s="675"/>
      <c r="AG415" s="675"/>
    </row>
    <row r="416" spans="1:33" s="536" customFormat="1" ht="12" x14ac:dyDescent="0.2">
      <c r="A416" s="569"/>
      <c r="B416" s="671"/>
      <c r="C416" s="1823" t="s">
        <v>327</v>
      </c>
      <c r="D416" s="1823"/>
      <c r="E416" s="1823"/>
      <c r="F416" s="573"/>
      <c r="G416" s="573"/>
      <c r="H416" s="573"/>
      <c r="I416" s="573"/>
      <c r="J416" s="572"/>
      <c r="K416" s="573"/>
      <c r="L416" s="572">
        <v>463.52</v>
      </c>
      <c r="M416" s="601"/>
      <c r="N416" s="570"/>
      <c r="V416" s="674"/>
      <c r="W416" s="675"/>
      <c r="AB416" s="675" t="s">
        <v>327</v>
      </c>
      <c r="AD416" s="675"/>
      <c r="AF416" s="675"/>
      <c r="AG416" s="675"/>
    </row>
    <row r="417" spans="1:33" s="536" customFormat="1" ht="33.75" x14ac:dyDescent="0.2">
      <c r="A417" s="575" t="s">
        <v>2339</v>
      </c>
      <c r="B417" s="670" t="s">
        <v>2409</v>
      </c>
      <c r="C417" s="1823" t="s">
        <v>2410</v>
      </c>
      <c r="D417" s="1823"/>
      <c r="E417" s="1823"/>
      <c r="F417" s="573" t="s">
        <v>483</v>
      </c>
      <c r="G417" s="573"/>
      <c r="H417" s="573"/>
      <c r="I417" s="573" t="s">
        <v>1540</v>
      </c>
      <c r="J417" s="572">
        <v>60.38</v>
      </c>
      <c r="K417" s="573" t="s">
        <v>716</v>
      </c>
      <c r="L417" s="572">
        <v>592.19000000000005</v>
      </c>
      <c r="M417" s="571">
        <v>8.32</v>
      </c>
      <c r="N417" s="570">
        <v>4927</v>
      </c>
      <c r="V417" s="674"/>
      <c r="W417" s="675" t="s">
        <v>2410</v>
      </c>
      <c r="AB417" s="675"/>
      <c r="AD417" s="675"/>
      <c r="AF417" s="675"/>
      <c r="AG417" s="675"/>
    </row>
    <row r="418" spans="1:33" s="536" customFormat="1" ht="12" x14ac:dyDescent="0.2">
      <c r="A418" s="569"/>
      <c r="B418" s="671"/>
      <c r="C418" s="665" t="s">
        <v>1658</v>
      </c>
      <c r="D418" s="666"/>
      <c r="E418" s="666"/>
      <c r="F418" s="563"/>
      <c r="G418" s="563"/>
      <c r="H418" s="563"/>
      <c r="I418" s="563"/>
      <c r="J418" s="566"/>
      <c r="K418" s="563"/>
      <c r="L418" s="566"/>
      <c r="M418" s="565"/>
      <c r="N418" s="564"/>
      <c r="V418" s="674"/>
      <c r="W418" s="675"/>
      <c r="AB418" s="675"/>
      <c r="AD418" s="675"/>
      <c r="AF418" s="675"/>
      <c r="AG418" s="675"/>
    </row>
    <row r="419" spans="1:33" s="536" customFormat="1" ht="22.5" x14ac:dyDescent="0.2">
      <c r="A419" s="609"/>
      <c r="B419" s="552" t="s">
        <v>2388</v>
      </c>
      <c r="C419" s="1822" t="s">
        <v>719</v>
      </c>
      <c r="D419" s="1822"/>
      <c r="E419" s="1822"/>
      <c r="F419" s="1822"/>
      <c r="G419" s="1822"/>
      <c r="H419" s="1822"/>
      <c r="I419" s="1822"/>
      <c r="J419" s="1822"/>
      <c r="K419" s="1822"/>
      <c r="L419" s="1822"/>
      <c r="M419" s="1822"/>
      <c r="N419" s="1827"/>
      <c r="V419" s="674"/>
      <c r="W419" s="675"/>
      <c r="X419" s="537" t="s">
        <v>719</v>
      </c>
      <c r="AB419" s="675"/>
      <c r="AD419" s="675"/>
      <c r="AF419" s="675"/>
      <c r="AG419" s="675"/>
    </row>
    <row r="420" spans="1:33" s="536" customFormat="1" ht="33.75" x14ac:dyDescent="0.2">
      <c r="A420" s="575" t="s">
        <v>791</v>
      </c>
      <c r="B420" s="670" t="s">
        <v>3385</v>
      </c>
      <c r="C420" s="1823" t="s">
        <v>2413</v>
      </c>
      <c r="D420" s="1823"/>
      <c r="E420" s="1823"/>
      <c r="F420" s="573" t="s">
        <v>617</v>
      </c>
      <c r="G420" s="573"/>
      <c r="H420" s="573"/>
      <c r="I420" s="573" t="s">
        <v>190</v>
      </c>
      <c r="J420" s="572">
        <v>110.69</v>
      </c>
      <c r="K420" s="573" t="s">
        <v>716</v>
      </c>
      <c r="L420" s="572">
        <v>81.37</v>
      </c>
      <c r="M420" s="571">
        <v>8.32</v>
      </c>
      <c r="N420" s="570">
        <v>677</v>
      </c>
      <c r="V420" s="674"/>
      <c r="W420" s="675" t="s">
        <v>2413</v>
      </c>
      <c r="AB420" s="675"/>
      <c r="AD420" s="675"/>
      <c r="AF420" s="675"/>
      <c r="AG420" s="675"/>
    </row>
    <row r="421" spans="1:33" s="536" customFormat="1" ht="12" x14ac:dyDescent="0.2">
      <c r="A421" s="569"/>
      <c r="B421" s="671"/>
      <c r="C421" s="665" t="s">
        <v>1658</v>
      </c>
      <c r="D421" s="666"/>
      <c r="E421" s="666"/>
      <c r="F421" s="563"/>
      <c r="G421" s="563"/>
      <c r="H421" s="563"/>
      <c r="I421" s="563"/>
      <c r="J421" s="566"/>
      <c r="K421" s="563"/>
      <c r="L421" s="566"/>
      <c r="M421" s="565"/>
      <c r="N421" s="564"/>
      <c r="V421" s="674"/>
      <c r="W421" s="675"/>
      <c r="AB421" s="675"/>
      <c r="AD421" s="675"/>
      <c r="AF421" s="675"/>
      <c r="AG421" s="675"/>
    </row>
    <row r="422" spans="1:33" s="536" customFormat="1" ht="22.5" x14ac:dyDescent="0.2">
      <c r="A422" s="609"/>
      <c r="B422" s="552" t="s">
        <v>2388</v>
      </c>
      <c r="C422" s="1822" t="s">
        <v>719</v>
      </c>
      <c r="D422" s="1822"/>
      <c r="E422" s="1822"/>
      <c r="F422" s="1822"/>
      <c r="G422" s="1822"/>
      <c r="H422" s="1822"/>
      <c r="I422" s="1822"/>
      <c r="J422" s="1822"/>
      <c r="K422" s="1822"/>
      <c r="L422" s="1822"/>
      <c r="M422" s="1822"/>
      <c r="N422" s="1827"/>
      <c r="V422" s="674"/>
      <c r="W422" s="675"/>
      <c r="X422" s="537" t="s">
        <v>719</v>
      </c>
      <c r="AB422" s="675"/>
      <c r="AD422" s="675"/>
      <c r="AF422" s="675"/>
      <c r="AG422" s="675"/>
    </row>
    <row r="423" spans="1:33" s="536" customFormat="1" ht="33.75" x14ac:dyDescent="0.2">
      <c r="A423" s="575" t="s">
        <v>690</v>
      </c>
      <c r="B423" s="670" t="s">
        <v>3386</v>
      </c>
      <c r="C423" s="1823" t="s">
        <v>2415</v>
      </c>
      <c r="D423" s="1823"/>
      <c r="E423" s="1823"/>
      <c r="F423" s="573" t="s">
        <v>617</v>
      </c>
      <c r="G423" s="573"/>
      <c r="H423" s="573"/>
      <c r="I423" s="573" t="s">
        <v>796</v>
      </c>
      <c r="J423" s="572">
        <v>118.72</v>
      </c>
      <c r="K423" s="573" t="s">
        <v>716</v>
      </c>
      <c r="L423" s="572">
        <v>946.03</v>
      </c>
      <c r="M423" s="571">
        <v>8.32</v>
      </c>
      <c r="N423" s="570">
        <v>7871</v>
      </c>
      <c r="V423" s="674"/>
      <c r="W423" s="675" t="s">
        <v>2415</v>
      </c>
      <c r="AB423" s="675"/>
      <c r="AD423" s="675"/>
      <c r="AF423" s="675"/>
      <c r="AG423" s="675"/>
    </row>
    <row r="424" spans="1:33" s="536" customFormat="1" ht="12" x14ac:dyDescent="0.2">
      <c r="A424" s="569"/>
      <c r="B424" s="671"/>
      <c r="C424" s="665" t="s">
        <v>1658</v>
      </c>
      <c r="D424" s="666"/>
      <c r="E424" s="666"/>
      <c r="F424" s="563"/>
      <c r="G424" s="563"/>
      <c r="H424" s="563"/>
      <c r="I424" s="563"/>
      <c r="J424" s="566"/>
      <c r="K424" s="563"/>
      <c r="L424" s="566"/>
      <c r="M424" s="565"/>
      <c r="N424" s="564"/>
      <c r="V424" s="674"/>
      <c r="W424" s="675"/>
      <c r="AB424" s="675"/>
      <c r="AD424" s="675"/>
      <c r="AF424" s="675"/>
      <c r="AG424" s="675"/>
    </row>
    <row r="425" spans="1:33" s="536" customFormat="1" ht="22.5" x14ac:dyDescent="0.2">
      <c r="A425" s="609"/>
      <c r="B425" s="552" t="s">
        <v>2388</v>
      </c>
      <c r="C425" s="1822" t="s">
        <v>719</v>
      </c>
      <c r="D425" s="1822"/>
      <c r="E425" s="1822"/>
      <c r="F425" s="1822"/>
      <c r="G425" s="1822"/>
      <c r="H425" s="1822"/>
      <c r="I425" s="1822"/>
      <c r="J425" s="1822"/>
      <c r="K425" s="1822"/>
      <c r="L425" s="1822"/>
      <c r="M425" s="1822"/>
      <c r="N425" s="1827"/>
      <c r="V425" s="674"/>
      <c r="W425" s="675"/>
      <c r="X425" s="537" t="s">
        <v>719</v>
      </c>
      <c r="AB425" s="675"/>
      <c r="AD425" s="675"/>
      <c r="AF425" s="675"/>
      <c r="AG425" s="675"/>
    </row>
    <row r="426" spans="1:33" s="536" customFormat="1" ht="12" x14ac:dyDescent="0.2">
      <c r="A426" s="1830" t="s">
        <v>2417</v>
      </c>
      <c r="B426" s="1831"/>
      <c r="C426" s="1831"/>
      <c r="D426" s="1831"/>
      <c r="E426" s="1831"/>
      <c r="F426" s="1831"/>
      <c r="G426" s="1831"/>
      <c r="H426" s="1831"/>
      <c r="I426" s="1831"/>
      <c r="J426" s="1831"/>
      <c r="K426" s="1831"/>
      <c r="L426" s="1831"/>
      <c r="M426" s="1831"/>
      <c r="N426" s="1832"/>
      <c r="V426" s="674"/>
      <c r="W426" s="675"/>
      <c r="AB426" s="675"/>
      <c r="AD426" s="675"/>
      <c r="AF426" s="675"/>
      <c r="AG426" s="675" t="s">
        <v>2417</v>
      </c>
    </row>
    <row r="427" spans="1:33" s="536" customFormat="1" ht="33.75" x14ac:dyDescent="0.2">
      <c r="A427" s="575" t="s">
        <v>792</v>
      </c>
      <c r="B427" s="670" t="s">
        <v>1514</v>
      </c>
      <c r="C427" s="1823" t="s">
        <v>1515</v>
      </c>
      <c r="D427" s="1823"/>
      <c r="E427" s="1823"/>
      <c r="F427" s="573" t="s">
        <v>509</v>
      </c>
      <c r="G427" s="573"/>
      <c r="H427" s="573"/>
      <c r="I427" s="573" t="s">
        <v>1516</v>
      </c>
      <c r="J427" s="572"/>
      <c r="K427" s="573"/>
      <c r="L427" s="572"/>
      <c r="M427" s="571"/>
      <c r="N427" s="570"/>
      <c r="V427" s="674"/>
      <c r="W427" s="675" t="s">
        <v>1515</v>
      </c>
      <c r="AB427" s="675"/>
      <c r="AD427" s="675"/>
      <c r="AF427" s="675"/>
      <c r="AG427" s="675"/>
    </row>
    <row r="428" spans="1:33" s="536" customFormat="1" ht="12" x14ac:dyDescent="0.2">
      <c r="A428" s="676"/>
      <c r="B428" s="664"/>
      <c r="C428" s="1822" t="s">
        <v>3387</v>
      </c>
      <c r="D428" s="1822"/>
      <c r="E428" s="1822"/>
      <c r="F428" s="1822"/>
      <c r="G428" s="1822"/>
      <c r="H428" s="1822"/>
      <c r="I428" s="1822"/>
      <c r="J428" s="1822"/>
      <c r="K428" s="1822"/>
      <c r="L428" s="1822"/>
      <c r="M428" s="1822"/>
      <c r="N428" s="1827"/>
      <c r="V428" s="674"/>
      <c r="W428" s="675"/>
      <c r="AB428" s="675"/>
      <c r="AC428" s="537" t="s">
        <v>3387</v>
      </c>
      <c r="AD428" s="675"/>
      <c r="AF428" s="675"/>
      <c r="AG428" s="675"/>
    </row>
    <row r="429" spans="1:33" s="536" customFormat="1" ht="33.75" x14ac:dyDescent="0.2">
      <c r="A429" s="609"/>
      <c r="B429" s="552" t="s">
        <v>310</v>
      </c>
      <c r="C429" s="1822" t="s">
        <v>311</v>
      </c>
      <c r="D429" s="1822"/>
      <c r="E429" s="1822"/>
      <c r="F429" s="1822"/>
      <c r="G429" s="1822"/>
      <c r="H429" s="1822"/>
      <c r="I429" s="1822"/>
      <c r="J429" s="1822"/>
      <c r="K429" s="1822"/>
      <c r="L429" s="1822"/>
      <c r="M429" s="1822"/>
      <c r="N429" s="1827"/>
      <c r="V429" s="674"/>
      <c r="W429" s="675"/>
      <c r="X429" s="537" t="s">
        <v>311</v>
      </c>
      <c r="AB429" s="675"/>
      <c r="AD429" s="675"/>
      <c r="AF429" s="675"/>
      <c r="AG429" s="675"/>
    </row>
    <row r="430" spans="1:33" s="536" customFormat="1" ht="12" x14ac:dyDescent="0.2">
      <c r="A430" s="605"/>
      <c r="B430" s="552" t="s">
        <v>185</v>
      </c>
      <c r="C430" s="1822" t="s">
        <v>312</v>
      </c>
      <c r="D430" s="1822"/>
      <c r="E430" s="1822"/>
      <c r="F430" s="562"/>
      <c r="G430" s="562"/>
      <c r="H430" s="562"/>
      <c r="I430" s="562"/>
      <c r="J430" s="604">
        <v>3036.68</v>
      </c>
      <c r="K430" s="562" t="s">
        <v>313</v>
      </c>
      <c r="L430" s="604">
        <v>637.70000000000005</v>
      </c>
      <c r="M430" s="603"/>
      <c r="N430" s="602"/>
      <c r="V430" s="674"/>
      <c r="W430" s="675"/>
      <c r="Y430" s="537" t="s">
        <v>312</v>
      </c>
      <c r="AB430" s="675"/>
      <c r="AD430" s="675"/>
      <c r="AF430" s="675"/>
      <c r="AG430" s="675"/>
    </row>
    <row r="431" spans="1:33" s="536" customFormat="1" ht="12" x14ac:dyDescent="0.2">
      <c r="A431" s="605"/>
      <c r="B431" s="552"/>
      <c r="C431" s="1822" t="s">
        <v>314</v>
      </c>
      <c r="D431" s="1822"/>
      <c r="E431" s="1822"/>
      <c r="F431" s="562" t="s">
        <v>315</v>
      </c>
      <c r="G431" s="562" t="s">
        <v>1521</v>
      </c>
      <c r="H431" s="562" t="s">
        <v>313</v>
      </c>
      <c r="I431" s="562" t="s">
        <v>3388</v>
      </c>
      <c r="J431" s="604"/>
      <c r="K431" s="562"/>
      <c r="L431" s="604"/>
      <c r="M431" s="603"/>
      <c r="N431" s="602"/>
      <c r="V431" s="674"/>
      <c r="W431" s="675"/>
      <c r="Z431" s="537" t="s">
        <v>314</v>
      </c>
      <c r="AB431" s="675"/>
      <c r="AD431" s="675"/>
      <c r="AF431" s="675"/>
      <c r="AG431" s="675"/>
    </row>
    <row r="432" spans="1:33" s="536" customFormat="1" ht="12" x14ac:dyDescent="0.2">
      <c r="A432" s="605"/>
      <c r="B432" s="552"/>
      <c r="C432" s="1828" t="s">
        <v>318</v>
      </c>
      <c r="D432" s="1828"/>
      <c r="E432" s="1828"/>
      <c r="F432" s="608"/>
      <c r="G432" s="608"/>
      <c r="H432" s="608"/>
      <c r="I432" s="608"/>
      <c r="J432" s="607">
        <v>3036.68</v>
      </c>
      <c r="K432" s="608"/>
      <c r="L432" s="607">
        <v>637.70000000000005</v>
      </c>
      <c r="M432" s="601"/>
      <c r="N432" s="606"/>
      <c r="V432" s="674"/>
      <c r="W432" s="675"/>
      <c r="AA432" s="537" t="s">
        <v>318</v>
      </c>
      <c r="AB432" s="675"/>
      <c r="AD432" s="675"/>
      <c r="AF432" s="675"/>
      <c r="AG432" s="675"/>
    </row>
    <row r="433" spans="1:33" s="536" customFormat="1" ht="12" x14ac:dyDescent="0.2">
      <c r="A433" s="605"/>
      <c r="B433" s="552"/>
      <c r="C433" s="1822" t="s">
        <v>319</v>
      </c>
      <c r="D433" s="1822"/>
      <c r="E433" s="1822"/>
      <c r="F433" s="562"/>
      <c r="G433" s="562"/>
      <c r="H433" s="562"/>
      <c r="I433" s="562"/>
      <c r="J433" s="604"/>
      <c r="K433" s="562"/>
      <c r="L433" s="604">
        <v>637.70000000000005</v>
      </c>
      <c r="M433" s="603"/>
      <c r="N433" s="602"/>
      <c r="V433" s="674"/>
      <c r="W433" s="675"/>
      <c r="Z433" s="537" t="s">
        <v>319</v>
      </c>
      <c r="AB433" s="675"/>
      <c r="AD433" s="675"/>
      <c r="AF433" s="675"/>
      <c r="AG433" s="675"/>
    </row>
    <row r="434" spans="1:33" s="536" customFormat="1" ht="33.75" x14ac:dyDescent="0.2">
      <c r="A434" s="605"/>
      <c r="B434" s="552" t="s">
        <v>673</v>
      </c>
      <c r="C434" s="1822" t="s">
        <v>674</v>
      </c>
      <c r="D434" s="1822"/>
      <c r="E434" s="1822"/>
      <c r="F434" s="562" t="s">
        <v>322</v>
      </c>
      <c r="G434" s="562" t="s">
        <v>323</v>
      </c>
      <c r="H434" s="562"/>
      <c r="I434" s="562" t="s">
        <v>323</v>
      </c>
      <c r="J434" s="604"/>
      <c r="K434" s="562"/>
      <c r="L434" s="604">
        <v>567.54999999999995</v>
      </c>
      <c r="M434" s="603"/>
      <c r="N434" s="602"/>
      <c r="V434" s="674"/>
      <c r="W434" s="675"/>
      <c r="Z434" s="537" t="s">
        <v>674</v>
      </c>
      <c r="AB434" s="675"/>
      <c r="AD434" s="675"/>
      <c r="AF434" s="675"/>
      <c r="AG434" s="675"/>
    </row>
    <row r="435" spans="1:33" s="536" customFormat="1" ht="33.75" x14ac:dyDescent="0.2">
      <c r="A435" s="605"/>
      <c r="B435" s="552" t="s">
        <v>675</v>
      </c>
      <c r="C435" s="1822" t="s">
        <v>676</v>
      </c>
      <c r="D435" s="1822"/>
      <c r="E435" s="1822"/>
      <c r="F435" s="562" t="s">
        <v>322</v>
      </c>
      <c r="G435" s="562" t="s">
        <v>677</v>
      </c>
      <c r="H435" s="562"/>
      <c r="I435" s="562" t="s">
        <v>677</v>
      </c>
      <c r="J435" s="604"/>
      <c r="K435" s="562"/>
      <c r="L435" s="604">
        <v>255.08</v>
      </c>
      <c r="M435" s="603"/>
      <c r="N435" s="602"/>
      <c r="V435" s="674"/>
      <c r="W435" s="675"/>
      <c r="Z435" s="537" t="s">
        <v>676</v>
      </c>
      <c r="AB435" s="675"/>
      <c r="AD435" s="675"/>
      <c r="AF435" s="675"/>
      <c r="AG435" s="675"/>
    </row>
    <row r="436" spans="1:33" s="536" customFormat="1" ht="12" x14ac:dyDescent="0.2">
      <c r="A436" s="569"/>
      <c r="B436" s="671"/>
      <c r="C436" s="1823" t="s">
        <v>327</v>
      </c>
      <c r="D436" s="1823"/>
      <c r="E436" s="1823"/>
      <c r="F436" s="573"/>
      <c r="G436" s="573"/>
      <c r="H436" s="573"/>
      <c r="I436" s="573"/>
      <c r="J436" s="572"/>
      <c r="K436" s="573"/>
      <c r="L436" s="572">
        <v>1460.33</v>
      </c>
      <c r="M436" s="601"/>
      <c r="N436" s="570"/>
      <c r="V436" s="674"/>
      <c r="W436" s="675"/>
      <c r="AB436" s="675" t="s">
        <v>327</v>
      </c>
      <c r="AD436" s="675"/>
      <c r="AF436" s="675"/>
      <c r="AG436" s="675"/>
    </row>
    <row r="437" spans="1:33" s="536" customFormat="1" ht="22.5" x14ac:dyDescent="0.2">
      <c r="A437" s="575" t="s">
        <v>713</v>
      </c>
      <c r="B437" s="670" t="s">
        <v>2422</v>
      </c>
      <c r="C437" s="1823" t="s">
        <v>2423</v>
      </c>
      <c r="D437" s="1823"/>
      <c r="E437" s="1823"/>
      <c r="F437" s="573" t="s">
        <v>509</v>
      </c>
      <c r="G437" s="573"/>
      <c r="H437" s="573"/>
      <c r="I437" s="573" t="s">
        <v>1516</v>
      </c>
      <c r="J437" s="572"/>
      <c r="K437" s="573"/>
      <c r="L437" s="572"/>
      <c r="M437" s="571"/>
      <c r="N437" s="570"/>
      <c r="V437" s="674"/>
      <c r="W437" s="675" t="s">
        <v>2423</v>
      </c>
      <c r="AB437" s="675"/>
      <c r="AD437" s="675"/>
      <c r="AF437" s="675"/>
      <c r="AG437" s="675"/>
    </row>
    <row r="438" spans="1:33" s="536" customFormat="1" ht="12" x14ac:dyDescent="0.2">
      <c r="A438" s="676"/>
      <c r="B438" s="664"/>
      <c r="C438" s="1822" t="s">
        <v>3387</v>
      </c>
      <c r="D438" s="1822"/>
      <c r="E438" s="1822"/>
      <c r="F438" s="1822"/>
      <c r="G438" s="1822"/>
      <c r="H438" s="1822"/>
      <c r="I438" s="1822"/>
      <c r="J438" s="1822"/>
      <c r="K438" s="1822"/>
      <c r="L438" s="1822"/>
      <c r="M438" s="1822"/>
      <c r="N438" s="1827"/>
      <c r="V438" s="674"/>
      <c r="W438" s="675"/>
      <c r="AB438" s="675"/>
      <c r="AC438" s="537" t="s">
        <v>3387</v>
      </c>
      <c r="AD438" s="675"/>
      <c r="AF438" s="675"/>
      <c r="AG438" s="675"/>
    </row>
    <row r="439" spans="1:33" s="536" customFormat="1" ht="33.75" x14ac:dyDescent="0.2">
      <c r="A439" s="609"/>
      <c r="B439" s="552" t="s">
        <v>310</v>
      </c>
      <c r="C439" s="1822" t="s">
        <v>311</v>
      </c>
      <c r="D439" s="1822"/>
      <c r="E439" s="1822"/>
      <c r="F439" s="1822"/>
      <c r="G439" s="1822"/>
      <c r="H439" s="1822"/>
      <c r="I439" s="1822"/>
      <c r="J439" s="1822"/>
      <c r="K439" s="1822"/>
      <c r="L439" s="1822"/>
      <c r="M439" s="1822"/>
      <c r="N439" s="1827"/>
      <c r="V439" s="674"/>
      <c r="W439" s="675"/>
      <c r="X439" s="537" t="s">
        <v>311</v>
      </c>
      <c r="AB439" s="675"/>
      <c r="AD439" s="675"/>
      <c r="AF439" s="675"/>
      <c r="AG439" s="675"/>
    </row>
    <row r="440" spans="1:33" s="536" customFormat="1" ht="12" x14ac:dyDescent="0.2">
      <c r="A440" s="605"/>
      <c r="B440" s="552" t="s">
        <v>185</v>
      </c>
      <c r="C440" s="1822" t="s">
        <v>312</v>
      </c>
      <c r="D440" s="1822"/>
      <c r="E440" s="1822"/>
      <c r="F440" s="562"/>
      <c r="G440" s="562"/>
      <c r="H440" s="562"/>
      <c r="I440" s="562"/>
      <c r="J440" s="604">
        <v>907.5</v>
      </c>
      <c r="K440" s="562" t="s">
        <v>313</v>
      </c>
      <c r="L440" s="604">
        <v>190.58</v>
      </c>
      <c r="M440" s="603"/>
      <c r="N440" s="602"/>
      <c r="V440" s="674"/>
      <c r="W440" s="675"/>
      <c r="Y440" s="537" t="s">
        <v>312</v>
      </c>
      <c r="AB440" s="675"/>
      <c r="AD440" s="675"/>
      <c r="AF440" s="675"/>
      <c r="AG440" s="675"/>
    </row>
    <row r="441" spans="1:33" s="536" customFormat="1" ht="12" x14ac:dyDescent="0.2">
      <c r="A441" s="605"/>
      <c r="B441" s="552"/>
      <c r="C441" s="1822" t="s">
        <v>314</v>
      </c>
      <c r="D441" s="1822"/>
      <c r="E441" s="1822"/>
      <c r="F441" s="562" t="s">
        <v>315</v>
      </c>
      <c r="G441" s="562" t="s">
        <v>894</v>
      </c>
      <c r="H441" s="562" t="s">
        <v>313</v>
      </c>
      <c r="I441" s="562" t="s">
        <v>3389</v>
      </c>
      <c r="J441" s="604"/>
      <c r="K441" s="562"/>
      <c r="L441" s="604"/>
      <c r="M441" s="603"/>
      <c r="N441" s="602"/>
      <c r="V441" s="674"/>
      <c r="W441" s="675"/>
      <c r="Z441" s="537" t="s">
        <v>314</v>
      </c>
      <c r="AB441" s="675"/>
      <c r="AD441" s="675"/>
      <c r="AF441" s="675"/>
      <c r="AG441" s="675"/>
    </row>
    <row r="442" spans="1:33" s="536" customFormat="1" ht="12" x14ac:dyDescent="0.2">
      <c r="A442" s="605"/>
      <c r="B442" s="552"/>
      <c r="C442" s="1828" t="s">
        <v>318</v>
      </c>
      <c r="D442" s="1828"/>
      <c r="E442" s="1828"/>
      <c r="F442" s="608"/>
      <c r="G442" s="608"/>
      <c r="H442" s="608"/>
      <c r="I442" s="608"/>
      <c r="J442" s="607">
        <v>907.5</v>
      </c>
      <c r="K442" s="608"/>
      <c r="L442" s="607">
        <v>190.58</v>
      </c>
      <c r="M442" s="601"/>
      <c r="N442" s="606"/>
      <c r="V442" s="674"/>
      <c r="W442" s="675"/>
      <c r="AA442" s="537" t="s">
        <v>318</v>
      </c>
      <c r="AB442" s="675"/>
      <c r="AD442" s="675"/>
      <c r="AF442" s="675"/>
      <c r="AG442" s="675"/>
    </row>
    <row r="443" spans="1:33" s="536" customFormat="1" ht="12" x14ac:dyDescent="0.2">
      <c r="A443" s="605"/>
      <c r="B443" s="552"/>
      <c r="C443" s="1822" t="s">
        <v>319</v>
      </c>
      <c r="D443" s="1822"/>
      <c r="E443" s="1822"/>
      <c r="F443" s="562"/>
      <c r="G443" s="562"/>
      <c r="H443" s="562"/>
      <c r="I443" s="562"/>
      <c r="J443" s="604"/>
      <c r="K443" s="562"/>
      <c r="L443" s="604">
        <v>190.58</v>
      </c>
      <c r="M443" s="603"/>
      <c r="N443" s="602"/>
      <c r="V443" s="674"/>
      <c r="W443" s="675"/>
      <c r="Z443" s="537" t="s">
        <v>319</v>
      </c>
      <c r="AB443" s="675"/>
      <c r="AD443" s="675"/>
      <c r="AF443" s="675"/>
      <c r="AG443" s="675"/>
    </row>
    <row r="444" spans="1:33" s="536" customFormat="1" ht="33.75" x14ac:dyDescent="0.2">
      <c r="A444" s="605"/>
      <c r="B444" s="552" t="s">
        <v>673</v>
      </c>
      <c r="C444" s="1822" t="s">
        <v>674</v>
      </c>
      <c r="D444" s="1822"/>
      <c r="E444" s="1822"/>
      <c r="F444" s="562" t="s">
        <v>322</v>
      </c>
      <c r="G444" s="562" t="s">
        <v>323</v>
      </c>
      <c r="H444" s="562"/>
      <c r="I444" s="562" t="s">
        <v>323</v>
      </c>
      <c r="J444" s="604"/>
      <c r="K444" s="562"/>
      <c r="L444" s="604">
        <v>169.62</v>
      </c>
      <c r="M444" s="603"/>
      <c r="N444" s="602"/>
      <c r="V444" s="674"/>
      <c r="W444" s="675"/>
      <c r="Z444" s="537" t="s">
        <v>674</v>
      </c>
      <c r="AB444" s="675"/>
      <c r="AD444" s="675"/>
      <c r="AF444" s="675"/>
      <c r="AG444" s="675"/>
    </row>
    <row r="445" spans="1:33" s="536" customFormat="1" ht="33.75" x14ac:dyDescent="0.2">
      <c r="A445" s="605"/>
      <c r="B445" s="552" t="s">
        <v>675</v>
      </c>
      <c r="C445" s="1822" t="s">
        <v>676</v>
      </c>
      <c r="D445" s="1822"/>
      <c r="E445" s="1822"/>
      <c r="F445" s="562" t="s">
        <v>322</v>
      </c>
      <c r="G445" s="562" t="s">
        <v>677</v>
      </c>
      <c r="H445" s="562"/>
      <c r="I445" s="562" t="s">
        <v>677</v>
      </c>
      <c r="J445" s="604"/>
      <c r="K445" s="562"/>
      <c r="L445" s="604">
        <v>76.23</v>
      </c>
      <c r="M445" s="603"/>
      <c r="N445" s="602"/>
      <c r="V445" s="674"/>
      <c r="W445" s="675"/>
      <c r="Z445" s="537" t="s">
        <v>676</v>
      </c>
      <c r="AB445" s="675"/>
      <c r="AD445" s="675"/>
      <c r="AF445" s="675"/>
      <c r="AG445" s="675"/>
    </row>
    <row r="446" spans="1:33" s="536" customFormat="1" ht="12" x14ac:dyDescent="0.2">
      <c r="A446" s="569"/>
      <c r="B446" s="671"/>
      <c r="C446" s="1823" t="s">
        <v>327</v>
      </c>
      <c r="D446" s="1823"/>
      <c r="E446" s="1823"/>
      <c r="F446" s="573"/>
      <c r="G446" s="573"/>
      <c r="H446" s="573"/>
      <c r="I446" s="573"/>
      <c r="J446" s="572"/>
      <c r="K446" s="573"/>
      <c r="L446" s="572">
        <v>436.43</v>
      </c>
      <c r="M446" s="601"/>
      <c r="N446" s="570"/>
      <c r="V446" s="674"/>
      <c r="W446" s="675"/>
      <c r="AB446" s="675" t="s">
        <v>327</v>
      </c>
      <c r="AD446" s="675"/>
      <c r="AF446" s="675"/>
      <c r="AG446" s="675"/>
    </row>
    <row r="447" spans="1:33" s="536" customFormat="1" ht="22.5" x14ac:dyDescent="0.2">
      <c r="A447" s="575" t="s">
        <v>793</v>
      </c>
      <c r="B447" s="670" t="s">
        <v>507</v>
      </c>
      <c r="C447" s="1823" t="s">
        <v>508</v>
      </c>
      <c r="D447" s="1823"/>
      <c r="E447" s="1823"/>
      <c r="F447" s="573" t="s">
        <v>509</v>
      </c>
      <c r="G447" s="573"/>
      <c r="H447" s="573"/>
      <c r="I447" s="573" t="s">
        <v>1516</v>
      </c>
      <c r="J447" s="572"/>
      <c r="K447" s="573"/>
      <c r="L447" s="572"/>
      <c r="M447" s="571"/>
      <c r="N447" s="570"/>
      <c r="V447" s="674"/>
      <c r="W447" s="675" t="s">
        <v>508</v>
      </c>
      <c r="AB447" s="675"/>
      <c r="AD447" s="675"/>
      <c r="AF447" s="675"/>
      <c r="AG447" s="675"/>
    </row>
    <row r="448" spans="1:33" s="536" customFormat="1" ht="12" x14ac:dyDescent="0.2">
      <c r="A448" s="676"/>
      <c r="B448" s="664"/>
      <c r="C448" s="1822" t="s">
        <v>1517</v>
      </c>
      <c r="D448" s="1822"/>
      <c r="E448" s="1822"/>
      <c r="F448" s="1822"/>
      <c r="G448" s="1822"/>
      <c r="H448" s="1822"/>
      <c r="I448" s="1822"/>
      <c r="J448" s="1822"/>
      <c r="K448" s="1822"/>
      <c r="L448" s="1822"/>
      <c r="M448" s="1822"/>
      <c r="N448" s="1827"/>
      <c r="V448" s="674"/>
      <c r="W448" s="675"/>
      <c r="AB448" s="675"/>
      <c r="AC448" s="537" t="s">
        <v>1517</v>
      </c>
      <c r="AD448" s="675"/>
      <c r="AF448" s="675"/>
      <c r="AG448" s="675"/>
    </row>
    <row r="449" spans="1:33" s="536" customFormat="1" ht="33.75" x14ac:dyDescent="0.2">
      <c r="A449" s="609"/>
      <c r="B449" s="552" t="s">
        <v>310</v>
      </c>
      <c r="C449" s="1822" t="s">
        <v>311</v>
      </c>
      <c r="D449" s="1822"/>
      <c r="E449" s="1822"/>
      <c r="F449" s="1822"/>
      <c r="G449" s="1822"/>
      <c r="H449" s="1822"/>
      <c r="I449" s="1822"/>
      <c r="J449" s="1822"/>
      <c r="K449" s="1822"/>
      <c r="L449" s="1822"/>
      <c r="M449" s="1822"/>
      <c r="N449" s="1827"/>
      <c r="V449" s="674"/>
      <c r="W449" s="675"/>
      <c r="X449" s="537" t="s">
        <v>311</v>
      </c>
      <c r="AB449" s="675"/>
      <c r="AD449" s="675"/>
      <c r="AF449" s="675"/>
      <c r="AG449" s="675"/>
    </row>
    <row r="450" spans="1:33" s="536" customFormat="1" ht="12" x14ac:dyDescent="0.2">
      <c r="A450" s="605"/>
      <c r="B450" s="552" t="s">
        <v>185</v>
      </c>
      <c r="C450" s="1822" t="s">
        <v>312</v>
      </c>
      <c r="D450" s="1822"/>
      <c r="E450" s="1822"/>
      <c r="F450" s="562"/>
      <c r="G450" s="562"/>
      <c r="H450" s="562"/>
      <c r="I450" s="562"/>
      <c r="J450" s="604">
        <v>127.61</v>
      </c>
      <c r="K450" s="562" t="s">
        <v>313</v>
      </c>
      <c r="L450" s="604">
        <v>26.8</v>
      </c>
      <c r="M450" s="603"/>
      <c r="N450" s="602"/>
      <c r="V450" s="674"/>
      <c r="W450" s="675"/>
      <c r="Y450" s="537" t="s">
        <v>312</v>
      </c>
      <c r="AB450" s="675"/>
      <c r="AD450" s="675"/>
      <c r="AF450" s="675"/>
      <c r="AG450" s="675"/>
    </row>
    <row r="451" spans="1:33" s="536" customFormat="1" ht="12" x14ac:dyDescent="0.2">
      <c r="A451" s="605"/>
      <c r="B451" s="552" t="s">
        <v>186</v>
      </c>
      <c r="C451" s="1822" t="s">
        <v>344</v>
      </c>
      <c r="D451" s="1822"/>
      <c r="E451" s="1822"/>
      <c r="F451" s="562"/>
      <c r="G451" s="562"/>
      <c r="H451" s="562"/>
      <c r="I451" s="562"/>
      <c r="J451" s="604">
        <v>288.58</v>
      </c>
      <c r="K451" s="562" t="s">
        <v>313</v>
      </c>
      <c r="L451" s="604">
        <v>60.6</v>
      </c>
      <c r="M451" s="603"/>
      <c r="N451" s="602"/>
      <c r="V451" s="674"/>
      <c r="W451" s="675"/>
      <c r="Y451" s="537" t="s">
        <v>344</v>
      </c>
      <c r="AB451" s="675"/>
      <c r="AD451" s="675"/>
      <c r="AF451" s="675"/>
      <c r="AG451" s="675"/>
    </row>
    <row r="452" spans="1:33" s="536" customFormat="1" ht="12" x14ac:dyDescent="0.2">
      <c r="A452" s="605"/>
      <c r="B452" s="552" t="s">
        <v>187</v>
      </c>
      <c r="C452" s="1822" t="s">
        <v>345</v>
      </c>
      <c r="D452" s="1822"/>
      <c r="E452" s="1822"/>
      <c r="F452" s="562"/>
      <c r="G452" s="562"/>
      <c r="H452" s="562"/>
      <c r="I452" s="562"/>
      <c r="J452" s="604">
        <v>31.49</v>
      </c>
      <c r="K452" s="562" t="s">
        <v>313</v>
      </c>
      <c r="L452" s="604">
        <v>6.61</v>
      </c>
      <c r="M452" s="603"/>
      <c r="N452" s="602"/>
      <c r="V452" s="674"/>
      <c r="W452" s="675"/>
      <c r="Y452" s="537" t="s">
        <v>345</v>
      </c>
      <c r="AB452" s="675"/>
      <c r="AD452" s="675"/>
      <c r="AF452" s="675"/>
      <c r="AG452" s="675"/>
    </row>
    <row r="453" spans="1:33" s="536" customFormat="1" ht="12" x14ac:dyDescent="0.2">
      <c r="A453" s="605"/>
      <c r="B453" s="552"/>
      <c r="C453" s="1822" t="s">
        <v>314</v>
      </c>
      <c r="D453" s="1822"/>
      <c r="E453" s="1822"/>
      <c r="F453" s="562" t="s">
        <v>315</v>
      </c>
      <c r="G453" s="562" t="s">
        <v>512</v>
      </c>
      <c r="H453" s="562" t="s">
        <v>313</v>
      </c>
      <c r="I453" s="562" t="s">
        <v>3390</v>
      </c>
      <c r="J453" s="604"/>
      <c r="K453" s="562"/>
      <c r="L453" s="604"/>
      <c r="M453" s="603"/>
      <c r="N453" s="602"/>
      <c r="V453" s="674"/>
      <c r="W453" s="675"/>
      <c r="Z453" s="537" t="s">
        <v>314</v>
      </c>
      <c r="AB453" s="675"/>
      <c r="AD453" s="675"/>
      <c r="AF453" s="675"/>
      <c r="AG453" s="675"/>
    </row>
    <row r="454" spans="1:33" s="536" customFormat="1" ht="12" x14ac:dyDescent="0.2">
      <c r="A454" s="605"/>
      <c r="B454" s="552"/>
      <c r="C454" s="1822" t="s">
        <v>348</v>
      </c>
      <c r="D454" s="1822"/>
      <c r="E454" s="1822"/>
      <c r="F454" s="562" t="s">
        <v>315</v>
      </c>
      <c r="G454" s="562" t="s">
        <v>514</v>
      </c>
      <c r="H454" s="562" t="s">
        <v>313</v>
      </c>
      <c r="I454" s="562" t="s">
        <v>3391</v>
      </c>
      <c r="J454" s="604"/>
      <c r="K454" s="562"/>
      <c r="L454" s="604"/>
      <c r="M454" s="603"/>
      <c r="N454" s="602"/>
      <c r="V454" s="674"/>
      <c r="W454" s="675"/>
      <c r="Z454" s="537" t="s">
        <v>348</v>
      </c>
      <c r="AB454" s="675"/>
      <c r="AD454" s="675"/>
      <c r="AF454" s="675"/>
      <c r="AG454" s="675"/>
    </row>
    <row r="455" spans="1:33" s="536" customFormat="1" ht="12" x14ac:dyDescent="0.2">
      <c r="A455" s="605"/>
      <c r="B455" s="552"/>
      <c r="C455" s="1828" t="s">
        <v>318</v>
      </c>
      <c r="D455" s="1828"/>
      <c r="E455" s="1828"/>
      <c r="F455" s="608"/>
      <c r="G455" s="608"/>
      <c r="H455" s="608"/>
      <c r="I455" s="608"/>
      <c r="J455" s="607">
        <v>416.19</v>
      </c>
      <c r="K455" s="608"/>
      <c r="L455" s="607">
        <v>87.4</v>
      </c>
      <c r="M455" s="601"/>
      <c r="N455" s="606"/>
      <c r="V455" s="674"/>
      <c r="W455" s="675"/>
      <c r="AA455" s="537" t="s">
        <v>318</v>
      </c>
      <c r="AB455" s="675"/>
      <c r="AD455" s="675"/>
      <c r="AF455" s="675"/>
      <c r="AG455" s="675"/>
    </row>
    <row r="456" spans="1:33" s="536" customFormat="1" ht="12" x14ac:dyDescent="0.2">
      <c r="A456" s="605"/>
      <c r="B456" s="552"/>
      <c r="C456" s="1822" t="s">
        <v>319</v>
      </c>
      <c r="D456" s="1822"/>
      <c r="E456" s="1822"/>
      <c r="F456" s="562"/>
      <c r="G456" s="562"/>
      <c r="H456" s="562"/>
      <c r="I456" s="562"/>
      <c r="J456" s="604"/>
      <c r="K456" s="562"/>
      <c r="L456" s="604">
        <v>33.409999999999997</v>
      </c>
      <c r="M456" s="603"/>
      <c r="N456" s="602"/>
      <c r="V456" s="674"/>
      <c r="W456" s="675"/>
      <c r="Z456" s="537" t="s">
        <v>319</v>
      </c>
      <c r="AB456" s="675"/>
      <c r="AD456" s="675"/>
      <c r="AF456" s="675"/>
      <c r="AG456" s="675"/>
    </row>
    <row r="457" spans="1:33" s="536" customFormat="1" ht="33.75" x14ac:dyDescent="0.2">
      <c r="A457" s="605"/>
      <c r="B457" s="552" t="s">
        <v>460</v>
      </c>
      <c r="C457" s="1822" t="s">
        <v>461</v>
      </c>
      <c r="D457" s="1822"/>
      <c r="E457" s="1822"/>
      <c r="F457" s="562" t="s">
        <v>322</v>
      </c>
      <c r="G457" s="562" t="s">
        <v>462</v>
      </c>
      <c r="H457" s="562"/>
      <c r="I457" s="562" t="s">
        <v>462</v>
      </c>
      <c r="J457" s="604"/>
      <c r="K457" s="562"/>
      <c r="L457" s="604">
        <v>30.74</v>
      </c>
      <c r="M457" s="603"/>
      <c r="N457" s="602"/>
      <c r="V457" s="674"/>
      <c r="W457" s="675"/>
      <c r="Z457" s="537" t="s">
        <v>461</v>
      </c>
      <c r="AB457" s="675"/>
      <c r="AD457" s="675"/>
      <c r="AF457" s="675"/>
      <c r="AG457" s="675"/>
    </row>
    <row r="458" spans="1:33" s="536" customFormat="1" ht="33.75" x14ac:dyDescent="0.2">
      <c r="A458" s="605"/>
      <c r="B458" s="552" t="s">
        <v>463</v>
      </c>
      <c r="C458" s="1822" t="s">
        <v>464</v>
      </c>
      <c r="D458" s="1822"/>
      <c r="E458" s="1822"/>
      <c r="F458" s="562" t="s">
        <v>322</v>
      </c>
      <c r="G458" s="562" t="s">
        <v>465</v>
      </c>
      <c r="H458" s="562"/>
      <c r="I458" s="562" t="s">
        <v>465</v>
      </c>
      <c r="J458" s="604"/>
      <c r="K458" s="562"/>
      <c r="L458" s="604">
        <v>15.37</v>
      </c>
      <c r="M458" s="603"/>
      <c r="N458" s="602"/>
      <c r="V458" s="674"/>
      <c r="W458" s="675"/>
      <c r="Z458" s="537" t="s">
        <v>464</v>
      </c>
      <c r="AB458" s="675"/>
      <c r="AD458" s="675"/>
      <c r="AF458" s="675"/>
      <c r="AG458" s="675"/>
    </row>
    <row r="459" spans="1:33" s="536" customFormat="1" ht="12" x14ac:dyDescent="0.2">
      <c r="A459" s="569"/>
      <c r="B459" s="671"/>
      <c r="C459" s="1823" t="s">
        <v>327</v>
      </c>
      <c r="D459" s="1823"/>
      <c r="E459" s="1823"/>
      <c r="F459" s="573"/>
      <c r="G459" s="573"/>
      <c r="H459" s="573"/>
      <c r="I459" s="573"/>
      <c r="J459" s="572"/>
      <c r="K459" s="573"/>
      <c r="L459" s="572">
        <v>133.51</v>
      </c>
      <c r="M459" s="601"/>
      <c r="N459" s="570"/>
      <c r="V459" s="674"/>
      <c r="W459" s="675"/>
      <c r="AB459" s="675" t="s">
        <v>327</v>
      </c>
      <c r="AD459" s="675"/>
      <c r="AF459" s="675"/>
      <c r="AG459" s="675"/>
    </row>
    <row r="460" spans="1:33" s="536" customFormat="1" ht="1.5" customHeight="1" x14ac:dyDescent="0.2">
      <c r="A460" s="563"/>
      <c r="B460" s="671"/>
      <c r="C460" s="671"/>
      <c r="D460" s="671"/>
      <c r="E460" s="671"/>
      <c r="F460" s="563"/>
      <c r="G460" s="563"/>
      <c r="H460" s="563"/>
      <c r="I460" s="563"/>
      <c r="J460" s="546"/>
      <c r="K460" s="563"/>
      <c r="L460" s="546"/>
      <c r="M460" s="562"/>
      <c r="N460" s="546"/>
      <c r="V460" s="674"/>
      <c r="W460" s="675"/>
      <c r="AB460" s="675"/>
      <c r="AD460" s="675"/>
      <c r="AF460" s="675"/>
      <c r="AG460" s="675"/>
    </row>
    <row r="461" spans="1:33" s="536" customFormat="1" ht="12" x14ac:dyDescent="0.2">
      <c r="A461" s="557"/>
      <c r="B461" s="556"/>
      <c r="C461" s="1823" t="s">
        <v>1802</v>
      </c>
      <c r="D461" s="1823"/>
      <c r="E461" s="1823"/>
      <c r="F461" s="1823"/>
      <c r="G461" s="1823"/>
      <c r="H461" s="1823"/>
      <c r="I461" s="1823"/>
      <c r="J461" s="1823"/>
      <c r="K461" s="1823"/>
      <c r="L461" s="555"/>
      <c r="M461" s="554"/>
      <c r="N461" s="553"/>
      <c r="V461" s="674"/>
      <c r="W461" s="675"/>
      <c r="AB461" s="675"/>
      <c r="AD461" s="675" t="s">
        <v>1802</v>
      </c>
      <c r="AF461" s="675"/>
      <c r="AG461" s="675"/>
    </row>
    <row r="462" spans="1:33" s="536" customFormat="1" ht="12" x14ac:dyDescent="0.2">
      <c r="A462" s="548"/>
      <c r="B462" s="552"/>
      <c r="C462" s="1822" t="s">
        <v>403</v>
      </c>
      <c r="D462" s="1822"/>
      <c r="E462" s="1822"/>
      <c r="F462" s="1822"/>
      <c r="G462" s="1822"/>
      <c r="H462" s="1822"/>
      <c r="I462" s="1822"/>
      <c r="J462" s="1822"/>
      <c r="K462" s="1822"/>
      <c r="L462" s="551">
        <v>57010.91</v>
      </c>
      <c r="M462" s="550"/>
      <c r="N462" s="549"/>
      <c r="V462" s="674"/>
      <c r="W462" s="675"/>
      <c r="AB462" s="675"/>
      <c r="AD462" s="675"/>
      <c r="AE462" s="537" t="s">
        <v>403</v>
      </c>
      <c r="AF462" s="675"/>
      <c r="AG462" s="675"/>
    </row>
    <row r="463" spans="1:33" s="536" customFormat="1" ht="12" x14ac:dyDescent="0.2">
      <c r="A463" s="548"/>
      <c r="B463" s="552"/>
      <c r="C463" s="1822" t="s">
        <v>204</v>
      </c>
      <c r="D463" s="1822"/>
      <c r="E463" s="1822"/>
      <c r="F463" s="1822"/>
      <c r="G463" s="1822"/>
      <c r="H463" s="1822"/>
      <c r="I463" s="1822"/>
      <c r="J463" s="1822"/>
      <c r="K463" s="1822"/>
      <c r="L463" s="551"/>
      <c r="M463" s="550"/>
      <c r="N463" s="549"/>
      <c r="V463" s="674"/>
      <c r="W463" s="675"/>
      <c r="AB463" s="675"/>
      <c r="AD463" s="675"/>
      <c r="AE463" s="537" t="s">
        <v>204</v>
      </c>
      <c r="AF463" s="675"/>
      <c r="AG463" s="675"/>
    </row>
    <row r="464" spans="1:33" s="536" customFormat="1" ht="12" x14ac:dyDescent="0.2">
      <c r="A464" s="548"/>
      <c r="B464" s="552"/>
      <c r="C464" s="1822" t="s">
        <v>404</v>
      </c>
      <c r="D464" s="1822"/>
      <c r="E464" s="1822"/>
      <c r="F464" s="1822"/>
      <c r="G464" s="1822"/>
      <c r="H464" s="1822"/>
      <c r="I464" s="1822"/>
      <c r="J464" s="1822"/>
      <c r="K464" s="1822"/>
      <c r="L464" s="551">
        <v>2017.59</v>
      </c>
      <c r="M464" s="550"/>
      <c r="N464" s="549"/>
      <c r="V464" s="674"/>
      <c r="W464" s="675"/>
      <c r="AB464" s="675"/>
      <c r="AD464" s="675"/>
      <c r="AE464" s="537" t="s">
        <v>404</v>
      </c>
      <c r="AF464" s="675"/>
      <c r="AG464" s="675"/>
    </row>
    <row r="465" spans="1:33" s="536" customFormat="1" ht="12" x14ac:dyDescent="0.2">
      <c r="A465" s="548"/>
      <c r="B465" s="552"/>
      <c r="C465" s="1822" t="s">
        <v>405</v>
      </c>
      <c r="D465" s="1822"/>
      <c r="E465" s="1822"/>
      <c r="F465" s="1822"/>
      <c r="G465" s="1822"/>
      <c r="H465" s="1822"/>
      <c r="I465" s="1822"/>
      <c r="J465" s="1822"/>
      <c r="K465" s="1822"/>
      <c r="L465" s="551">
        <v>3248.84</v>
      </c>
      <c r="M465" s="550"/>
      <c r="N465" s="549"/>
      <c r="V465" s="674"/>
      <c r="W465" s="675"/>
      <c r="AB465" s="675"/>
      <c r="AD465" s="675"/>
      <c r="AE465" s="537" t="s">
        <v>405</v>
      </c>
      <c r="AF465" s="675"/>
      <c r="AG465" s="675"/>
    </row>
    <row r="466" spans="1:33" s="536" customFormat="1" ht="12" x14ac:dyDescent="0.2">
      <c r="A466" s="548"/>
      <c r="B466" s="552"/>
      <c r="C466" s="1822" t="s">
        <v>406</v>
      </c>
      <c r="D466" s="1822"/>
      <c r="E466" s="1822"/>
      <c r="F466" s="1822"/>
      <c r="G466" s="1822"/>
      <c r="H466" s="1822"/>
      <c r="I466" s="1822"/>
      <c r="J466" s="1822"/>
      <c r="K466" s="1822"/>
      <c r="L466" s="551">
        <v>310.27999999999997</v>
      </c>
      <c r="M466" s="550"/>
      <c r="N466" s="549"/>
      <c r="V466" s="674"/>
      <c r="W466" s="675"/>
      <c r="AB466" s="675"/>
      <c r="AD466" s="675"/>
      <c r="AE466" s="537" t="s">
        <v>406</v>
      </c>
      <c r="AF466" s="675"/>
      <c r="AG466" s="675"/>
    </row>
    <row r="467" spans="1:33" s="536" customFormat="1" ht="12" x14ac:dyDescent="0.2">
      <c r="A467" s="548"/>
      <c r="B467" s="552"/>
      <c r="C467" s="1822" t="s">
        <v>480</v>
      </c>
      <c r="D467" s="1822"/>
      <c r="E467" s="1822"/>
      <c r="F467" s="1822"/>
      <c r="G467" s="1822"/>
      <c r="H467" s="1822"/>
      <c r="I467" s="1822"/>
      <c r="J467" s="1822"/>
      <c r="K467" s="1822"/>
      <c r="L467" s="551">
        <v>51744.480000000003</v>
      </c>
      <c r="M467" s="550"/>
      <c r="N467" s="549"/>
      <c r="V467" s="674"/>
      <c r="W467" s="675"/>
      <c r="AB467" s="675"/>
      <c r="AD467" s="675"/>
      <c r="AE467" s="537" t="s">
        <v>480</v>
      </c>
      <c r="AF467" s="675"/>
      <c r="AG467" s="675"/>
    </row>
    <row r="468" spans="1:33" s="536" customFormat="1" ht="12" x14ac:dyDescent="0.2">
      <c r="A468" s="548"/>
      <c r="B468" s="552"/>
      <c r="C468" s="1822" t="s">
        <v>407</v>
      </c>
      <c r="D468" s="1822"/>
      <c r="E468" s="1822"/>
      <c r="F468" s="1822"/>
      <c r="G468" s="1822"/>
      <c r="H468" s="1822"/>
      <c r="I468" s="1822"/>
      <c r="J468" s="1822"/>
      <c r="K468" s="1822"/>
      <c r="L468" s="551">
        <v>2030.27</v>
      </c>
      <c r="M468" s="550"/>
      <c r="N468" s="549"/>
      <c r="V468" s="674"/>
      <c r="W468" s="675"/>
      <c r="AB468" s="675"/>
      <c r="AD468" s="675"/>
      <c r="AE468" s="537" t="s">
        <v>407</v>
      </c>
      <c r="AF468" s="675"/>
      <c r="AG468" s="675"/>
    </row>
    <row r="469" spans="1:33" s="536" customFormat="1" ht="12" x14ac:dyDescent="0.2">
      <c r="A469" s="548"/>
      <c r="B469" s="552"/>
      <c r="C469" s="1822" t="s">
        <v>204</v>
      </c>
      <c r="D469" s="1822"/>
      <c r="E469" s="1822"/>
      <c r="F469" s="1822"/>
      <c r="G469" s="1822"/>
      <c r="H469" s="1822"/>
      <c r="I469" s="1822"/>
      <c r="J469" s="1822"/>
      <c r="K469" s="1822"/>
      <c r="L469" s="551"/>
      <c r="M469" s="550"/>
      <c r="N469" s="549"/>
      <c r="V469" s="674"/>
      <c r="W469" s="675"/>
      <c r="AB469" s="675"/>
      <c r="AD469" s="675"/>
      <c r="AE469" s="537" t="s">
        <v>204</v>
      </c>
      <c r="AF469" s="675"/>
      <c r="AG469" s="675"/>
    </row>
    <row r="470" spans="1:33" s="536" customFormat="1" ht="12" x14ac:dyDescent="0.2">
      <c r="A470" s="548"/>
      <c r="B470" s="552"/>
      <c r="C470" s="1822" t="s">
        <v>546</v>
      </c>
      <c r="D470" s="1822"/>
      <c r="E470" s="1822"/>
      <c r="F470" s="1822"/>
      <c r="G470" s="1822"/>
      <c r="H470" s="1822"/>
      <c r="I470" s="1822"/>
      <c r="J470" s="1822"/>
      <c r="K470" s="1822"/>
      <c r="L470" s="551">
        <v>855.08</v>
      </c>
      <c r="M470" s="550"/>
      <c r="N470" s="549"/>
      <c r="V470" s="674"/>
      <c r="W470" s="675"/>
      <c r="AB470" s="675"/>
      <c r="AD470" s="675"/>
      <c r="AE470" s="537" t="s">
        <v>546</v>
      </c>
      <c r="AF470" s="675"/>
      <c r="AG470" s="675"/>
    </row>
    <row r="471" spans="1:33" s="536" customFormat="1" ht="12" x14ac:dyDescent="0.2">
      <c r="A471" s="548"/>
      <c r="B471" s="552"/>
      <c r="C471" s="1822" t="s">
        <v>442</v>
      </c>
      <c r="D471" s="1822"/>
      <c r="E471" s="1822"/>
      <c r="F471" s="1822"/>
      <c r="G471" s="1822"/>
      <c r="H471" s="1822"/>
      <c r="I471" s="1822"/>
      <c r="J471" s="1822"/>
      <c r="K471" s="1822"/>
      <c r="L471" s="551">
        <v>60.6</v>
      </c>
      <c r="M471" s="550"/>
      <c r="N471" s="549"/>
      <c r="V471" s="674"/>
      <c r="W471" s="675"/>
      <c r="AB471" s="675"/>
      <c r="AD471" s="675"/>
      <c r="AE471" s="537" t="s">
        <v>442</v>
      </c>
      <c r="AF471" s="675"/>
      <c r="AG471" s="675"/>
    </row>
    <row r="472" spans="1:33" s="536" customFormat="1" ht="12" x14ac:dyDescent="0.2">
      <c r="A472" s="548"/>
      <c r="B472" s="552"/>
      <c r="C472" s="1822" t="s">
        <v>443</v>
      </c>
      <c r="D472" s="1822"/>
      <c r="E472" s="1822"/>
      <c r="F472" s="1822"/>
      <c r="G472" s="1822"/>
      <c r="H472" s="1822"/>
      <c r="I472" s="1822"/>
      <c r="J472" s="1822"/>
      <c r="K472" s="1822"/>
      <c r="L472" s="551">
        <v>767.91</v>
      </c>
      <c r="M472" s="550"/>
      <c r="N472" s="549"/>
      <c r="V472" s="674"/>
      <c r="W472" s="675"/>
      <c r="AB472" s="675"/>
      <c r="AD472" s="675"/>
      <c r="AE472" s="537" t="s">
        <v>443</v>
      </c>
      <c r="AF472" s="675"/>
      <c r="AG472" s="675"/>
    </row>
    <row r="473" spans="1:33" s="536" customFormat="1" ht="12" x14ac:dyDescent="0.2">
      <c r="A473" s="548"/>
      <c r="B473" s="552"/>
      <c r="C473" s="1822" t="s">
        <v>444</v>
      </c>
      <c r="D473" s="1822"/>
      <c r="E473" s="1822"/>
      <c r="F473" s="1822"/>
      <c r="G473" s="1822"/>
      <c r="H473" s="1822"/>
      <c r="I473" s="1822"/>
      <c r="J473" s="1822"/>
      <c r="K473" s="1822"/>
      <c r="L473" s="551">
        <v>346.68</v>
      </c>
      <c r="M473" s="550"/>
      <c r="N473" s="549"/>
      <c r="V473" s="674"/>
      <c r="W473" s="675"/>
      <c r="AB473" s="675"/>
      <c r="AD473" s="675"/>
      <c r="AE473" s="537" t="s">
        <v>444</v>
      </c>
      <c r="AF473" s="675"/>
      <c r="AG473" s="675"/>
    </row>
    <row r="474" spans="1:33" s="536" customFormat="1" ht="12" x14ac:dyDescent="0.2">
      <c r="A474" s="548"/>
      <c r="B474" s="552"/>
      <c r="C474" s="1822" t="s">
        <v>753</v>
      </c>
      <c r="D474" s="1822"/>
      <c r="E474" s="1822"/>
      <c r="F474" s="1822"/>
      <c r="G474" s="1822"/>
      <c r="H474" s="1822"/>
      <c r="I474" s="1822"/>
      <c r="J474" s="1822"/>
      <c r="K474" s="1822"/>
      <c r="L474" s="551">
        <v>58262.52</v>
      </c>
      <c r="M474" s="550"/>
      <c r="N474" s="549"/>
      <c r="V474" s="674"/>
      <c r="W474" s="675"/>
      <c r="AB474" s="675"/>
      <c r="AD474" s="675"/>
      <c r="AE474" s="537" t="s">
        <v>753</v>
      </c>
      <c r="AF474" s="675"/>
      <c r="AG474" s="675"/>
    </row>
    <row r="475" spans="1:33" s="536" customFormat="1" ht="12" x14ac:dyDescent="0.2">
      <c r="A475" s="548"/>
      <c r="B475" s="552"/>
      <c r="C475" s="1822" t="s">
        <v>204</v>
      </c>
      <c r="D475" s="1822"/>
      <c r="E475" s="1822"/>
      <c r="F475" s="1822"/>
      <c r="G475" s="1822"/>
      <c r="H475" s="1822"/>
      <c r="I475" s="1822"/>
      <c r="J475" s="1822"/>
      <c r="K475" s="1822"/>
      <c r="L475" s="551"/>
      <c r="M475" s="550"/>
      <c r="N475" s="549"/>
      <c r="V475" s="674"/>
      <c r="W475" s="675"/>
      <c r="AB475" s="675"/>
      <c r="AD475" s="675"/>
      <c r="AE475" s="537" t="s">
        <v>204</v>
      </c>
      <c r="AF475" s="675"/>
      <c r="AG475" s="675"/>
    </row>
    <row r="476" spans="1:33" s="536" customFormat="1" ht="12" x14ac:dyDescent="0.2">
      <c r="A476" s="548"/>
      <c r="B476" s="552"/>
      <c r="C476" s="1822" t="s">
        <v>546</v>
      </c>
      <c r="D476" s="1822"/>
      <c r="E476" s="1822"/>
      <c r="F476" s="1822"/>
      <c r="G476" s="1822"/>
      <c r="H476" s="1822"/>
      <c r="I476" s="1822"/>
      <c r="J476" s="1822"/>
      <c r="K476" s="1822"/>
      <c r="L476" s="551">
        <v>1162.51</v>
      </c>
      <c r="M476" s="550"/>
      <c r="N476" s="549"/>
      <c r="V476" s="674"/>
      <c r="W476" s="675"/>
      <c r="AB476" s="675"/>
      <c r="AD476" s="675"/>
      <c r="AE476" s="537" t="s">
        <v>546</v>
      </c>
      <c r="AF476" s="675"/>
      <c r="AG476" s="675"/>
    </row>
    <row r="477" spans="1:33" s="536" customFormat="1" ht="12" x14ac:dyDescent="0.2">
      <c r="A477" s="548"/>
      <c r="B477" s="552"/>
      <c r="C477" s="1822" t="s">
        <v>442</v>
      </c>
      <c r="D477" s="1822"/>
      <c r="E477" s="1822"/>
      <c r="F477" s="1822"/>
      <c r="G477" s="1822"/>
      <c r="H477" s="1822"/>
      <c r="I477" s="1822"/>
      <c r="J477" s="1822"/>
      <c r="K477" s="1822"/>
      <c r="L477" s="551">
        <v>3188.24</v>
      </c>
      <c r="M477" s="550"/>
      <c r="N477" s="549"/>
      <c r="V477" s="674"/>
      <c r="W477" s="675"/>
      <c r="AB477" s="675"/>
      <c r="AD477" s="675"/>
      <c r="AE477" s="537" t="s">
        <v>442</v>
      </c>
      <c r="AF477" s="675"/>
      <c r="AG477" s="675"/>
    </row>
    <row r="478" spans="1:33" s="536" customFormat="1" ht="12" x14ac:dyDescent="0.2">
      <c r="A478" s="548"/>
      <c r="B478" s="552"/>
      <c r="C478" s="1822" t="s">
        <v>547</v>
      </c>
      <c r="D478" s="1822"/>
      <c r="E478" s="1822"/>
      <c r="F478" s="1822"/>
      <c r="G478" s="1822"/>
      <c r="H478" s="1822"/>
      <c r="I478" s="1822"/>
      <c r="J478" s="1822"/>
      <c r="K478" s="1822"/>
      <c r="L478" s="551">
        <v>51744.480000000003</v>
      </c>
      <c r="M478" s="550"/>
      <c r="N478" s="549"/>
      <c r="V478" s="674"/>
      <c r="W478" s="675"/>
      <c r="AB478" s="675"/>
      <c r="AD478" s="675"/>
      <c r="AE478" s="537" t="s">
        <v>547</v>
      </c>
      <c r="AF478" s="675"/>
      <c r="AG478" s="675"/>
    </row>
    <row r="479" spans="1:33" s="536" customFormat="1" ht="12" x14ac:dyDescent="0.2">
      <c r="A479" s="548"/>
      <c r="B479" s="552"/>
      <c r="C479" s="1822" t="s">
        <v>443</v>
      </c>
      <c r="D479" s="1822"/>
      <c r="E479" s="1822"/>
      <c r="F479" s="1822"/>
      <c r="G479" s="1822"/>
      <c r="H479" s="1822"/>
      <c r="I479" s="1822"/>
      <c r="J479" s="1822"/>
      <c r="K479" s="1822"/>
      <c r="L479" s="551">
        <v>1420.63</v>
      </c>
      <c r="M479" s="550"/>
      <c r="N479" s="549"/>
      <c r="V479" s="674"/>
      <c r="W479" s="675"/>
      <c r="AB479" s="675"/>
      <c r="AD479" s="675"/>
      <c r="AE479" s="537" t="s">
        <v>443</v>
      </c>
      <c r="AF479" s="675"/>
      <c r="AG479" s="675"/>
    </row>
    <row r="480" spans="1:33" s="536" customFormat="1" ht="12" x14ac:dyDescent="0.2">
      <c r="A480" s="548"/>
      <c r="B480" s="552"/>
      <c r="C480" s="1822" t="s">
        <v>444</v>
      </c>
      <c r="D480" s="1822"/>
      <c r="E480" s="1822"/>
      <c r="F480" s="1822"/>
      <c r="G480" s="1822"/>
      <c r="H480" s="1822"/>
      <c r="I480" s="1822"/>
      <c r="J480" s="1822"/>
      <c r="K480" s="1822"/>
      <c r="L480" s="551">
        <v>746.66</v>
      </c>
      <c r="M480" s="550"/>
      <c r="N480" s="549"/>
      <c r="V480" s="674"/>
      <c r="W480" s="675"/>
      <c r="AB480" s="675"/>
      <c r="AD480" s="675"/>
      <c r="AE480" s="537" t="s">
        <v>444</v>
      </c>
      <c r="AF480" s="675"/>
      <c r="AG480" s="675"/>
    </row>
    <row r="481" spans="1:33" s="536" customFormat="1" ht="12" x14ac:dyDescent="0.2">
      <c r="A481" s="548"/>
      <c r="B481" s="552"/>
      <c r="C481" s="1822" t="s">
        <v>754</v>
      </c>
      <c r="D481" s="1822"/>
      <c r="E481" s="1822"/>
      <c r="F481" s="1822"/>
      <c r="G481" s="1822"/>
      <c r="H481" s="1822"/>
      <c r="I481" s="1822"/>
      <c r="J481" s="1822"/>
      <c r="K481" s="1822"/>
      <c r="L481" s="551">
        <v>854.68</v>
      </c>
      <c r="M481" s="550"/>
      <c r="N481" s="549"/>
      <c r="V481" s="674"/>
      <c r="W481" s="675"/>
      <c r="AB481" s="675"/>
      <c r="AD481" s="675"/>
      <c r="AE481" s="537" t="s">
        <v>754</v>
      </c>
      <c r="AF481" s="675"/>
      <c r="AG481" s="675"/>
    </row>
    <row r="482" spans="1:33" s="536" customFormat="1" ht="12" x14ac:dyDescent="0.2">
      <c r="A482" s="548"/>
      <c r="B482" s="552"/>
      <c r="C482" s="1822" t="s">
        <v>415</v>
      </c>
      <c r="D482" s="1822"/>
      <c r="E482" s="1822"/>
      <c r="F482" s="1822"/>
      <c r="G482" s="1822"/>
      <c r="H482" s="1822"/>
      <c r="I482" s="1822"/>
      <c r="J482" s="1822"/>
      <c r="K482" s="1822"/>
      <c r="L482" s="551">
        <v>2327.87</v>
      </c>
      <c r="M482" s="550"/>
      <c r="N482" s="549"/>
      <c r="V482" s="674"/>
      <c r="W482" s="675"/>
      <c r="AB482" s="675"/>
      <c r="AD482" s="675"/>
      <c r="AE482" s="537" t="s">
        <v>415</v>
      </c>
      <c r="AF482" s="675"/>
      <c r="AG482" s="675"/>
    </row>
    <row r="483" spans="1:33" s="536" customFormat="1" ht="12" x14ac:dyDescent="0.2">
      <c r="A483" s="548"/>
      <c r="B483" s="552"/>
      <c r="C483" s="1822" t="s">
        <v>416</v>
      </c>
      <c r="D483" s="1822"/>
      <c r="E483" s="1822"/>
      <c r="F483" s="1822"/>
      <c r="G483" s="1822"/>
      <c r="H483" s="1822"/>
      <c r="I483" s="1822"/>
      <c r="J483" s="1822"/>
      <c r="K483" s="1822"/>
      <c r="L483" s="551">
        <v>2188.54</v>
      </c>
      <c r="M483" s="550"/>
      <c r="N483" s="549"/>
      <c r="V483" s="674"/>
      <c r="W483" s="675"/>
      <c r="AB483" s="675"/>
      <c r="AD483" s="675"/>
      <c r="AE483" s="537" t="s">
        <v>416</v>
      </c>
      <c r="AF483" s="675"/>
      <c r="AG483" s="675"/>
    </row>
    <row r="484" spans="1:33" s="536" customFormat="1" ht="12" x14ac:dyDescent="0.2">
      <c r="A484" s="548"/>
      <c r="B484" s="552"/>
      <c r="C484" s="1822" t="s">
        <v>417</v>
      </c>
      <c r="D484" s="1822"/>
      <c r="E484" s="1822"/>
      <c r="F484" s="1822"/>
      <c r="G484" s="1822"/>
      <c r="H484" s="1822"/>
      <c r="I484" s="1822"/>
      <c r="J484" s="1822"/>
      <c r="K484" s="1822"/>
      <c r="L484" s="551">
        <v>1093.3399999999999</v>
      </c>
      <c r="M484" s="550"/>
      <c r="N484" s="549"/>
      <c r="V484" s="674"/>
      <c r="W484" s="675"/>
      <c r="AB484" s="675"/>
      <c r="AD484" s="675"/>
      <c r="AE484" s="537" t="s">
        <v>417</v>
      </c>
      <c r="AF484" s="675"/>
      <c r="AG484" s="675"/>
    </row>
    <row r="485" spans="1:33" s="536" customFormat="1" ht="12" x14ac:dyDescent="0.2">
      <c r="A485" s="548"/>
      <c r="B485" s="546"/>
      <c r="C485" s="1819" t="s">
        <v>1803</v>
      </c>
      <c r="D485" s="1819"/>
      <c r="E485" s="1819"/>
      <c r="F485" s="1819"/>
      <c r="G485" s="1819"/>
      <c r="H485" s="1819"/>
      <c r="I485" s="1819"/>
      <c r="J485" s="1819"/>
      <c r="K485" s="1819"/>
      <c r="L485" s="544">
        <v>61147.47</v>
      </c>
      <c r="M485" s="543"/>
      <c r="N485" s="681"/>
      <c r="V485" s="674"/>
      <c r="W485" s="675"/>
      <c r="AB485" s="675"/>
      <c r="AD485" s="675"/>
      <c r="AF485" s="675" t="s">
        <v>1803</v>
      </c>
      <c r="AG485" s="675"/>
    </row>
    <row r="486" spans="1:33" s="536" customFormat="1" ht="12" x14ac:dyDescent="0.2">
      <c r="A486" s="548"/>
      <c r="B486" s="552"/>
      <c r="C486" s="1822" t="s">
        <v>204</v>
      </c>
      <c r="D486" s="1822"/>
      <c r="E486" s="1822"/>
      <c r="F486" s="1822"/>
      <c r="G486" s="1822"/>
      <c r="H486" s="1822"/>
      <c r="I486" s="1822"/>
      <c r="J486" s="1822"/>
      <c r="K486" s="1822"/>
      <c r="L486" s="551"/>
      <c r="M486" s="550"/>
      <c r="N486" s="549"/>
      <c r="V486" s="674"/>
      <c r="W486" s="675"/>
      <c r="AB486" s="675"/>
      <c r="AD486" s="675"/>
      <c r="AE486" s="537" t="s">
        <v>204</v>
      </c>
      <c r="AF486" s="675"/>
      <c r="AG486" s="675"/>
    </row>
    <row r="487" spans="1:33" s="536" customFormat="1" ht="12" x14ac:dyDescent="0.2">
      <c r="A487" s="548"/>
      <c r="B487" s="552"/>
      <c r="C487" s="1822" t="s">
        <v>8095</v>
      </c>
      <c r="D487" s="1822"/>
      <c r="E487" s="1822"/>
      <c r="F487" s="1822"/>
      <c r="G487" s="1822"/>
      <c r="H487" s="1822"/>
      <c r="I487" s="1822"/>
      <c r="J487" s="1822"/>
      <c r="K487" s="1822"/>
      <c r="L487" s="551">
        <v>51141.83</v>
      </c>
      <c r="M487" s="550"/>
      <c r="N487" s="549"/>
      <c r="V487" s="674"/>
      <c r="W487" s="675"/>
      <c r="AB487" s="675"/>
      <c r="AD487" s="675"/>
      <c r="AE487" s="537" t="s">
        <v>8095</v>
      </c>
      <c r="AF487" s="675"/>
      <c r="AG487" s="675"/>
    </row>
    <row r="488" spans="1:33" s="536" customFormat="1" ht="12" x14ac:dyDescent="0.2">
      <c r="A488" s="548"/>
      <c r="B488" s="552"/>
      <c r="C488" s="1822" t="s">
        <v>8097</v>
      </c>
      <c r="D488" s="1822"/>
      <c r="E488" s="1822"/>
      <c r="F488" s="1822"/>
      <c r="G488" s="1822"/>
      <c r="H488" s="1822"/>
      <c r="I488" s="1822"/>
      <c r="J488" s="1822"/>
      <c r="K488" s="1822"/>
      <c r="L488" s="551">
        <v>854.68</v>
      </c>
      <c r="M488" s="550"/>
      <c r="N488" s="549"/>
      <c r="V488" s="674"/>
      <c r="W488" s="675"/>
      <c r="AB488" s="675"/>
      <c r="AD488" s="675"/>
      <c r="AE488" s="537" t="s">
        <v>8097</v>
      </c>
      <c r="AF488" s="675"/>
      <c r="AG488" s="675"/>
    </row>
    <row r="489" spans="1:33" s="536" customFormat="1" ht="12" x14ac:dyDescent="0.2">
      <c r="A489" s="1824" t="s">
        <v>1124</v>
      </c>
      <c r="B489" s="1825"/>
      <c r="C489" s="1825"/>
      <c r="D489" s="1825"/>
      <c r="E489" s="1825"/>
      <c r="F489" s="1825"/>
      <c r="G489" s="1825"/>
      <c r="H489" s="1825"/>
      <c r="I489" s="1825"/>
      <c r="J489" s="1825"/>
      <c r="K489" s="1825"/>
      <c r="L489" s="1825"/>
      <c r="M489" s="1825"/>
      <c r="N489" s="1826"/>
      <c r="V489" s="674" t="s">
        <v>1124</v>
      </c>
      <c r="W489" s="675"/>
      <c r="AB489" s="675"/>
      <c r="AD489" s="675"/>
      <c r="AF489" s="675"/>
      <c r="AG489" s="675"/>
    </row>
    <row r="490" spans="1:33" s="536" customFormat="1" ht="67.5" x14ac:dyDescent="0.2">
      <c r="A490" s="575" t="s">
        <v>653</v>
      </c>
      <c r="B490" s="670" t="s">
        <v>1503</v>
      </c>
      <c r="C490" s="1823" t="s">
        <v>1804</v>
      </c>
      <c r="D490" s="1823"/>
      <c r="E490" s="1823"/>
      <c r="F490" s="573" t="s">
        <v>201</v>
      </c>
      <c r="G490" s="573"/>
      <c r="H490" s="573"/>
      <c r="I490" s="573" t="s">
        <v>1805</v>
      </c>
      <c r="J490" s="572">
        <v>127.09</v>
      </c>
      <c r="K490" s="573"/>
      <c r="L490" s="572">
        <v>0.89</v>
      </c>
      <c r="M490" s="571"/>
      <c r="N490" s="570"/>
      <c r="V490" s="674"/>
      <c r="W490" s="675" t="s">
        <v>1804</v>
      </c>
      <c r="AB490" s="675"/>
      <c r="AD490" s="675"/>
      <c r="AF490" s="675"/>
      <c r="AG490" s="675"/>
    </row>
    <row r="491" spans="1:33" s="536" customFormat="1" ht="12" x14ac:dyDescent="0.2">
      <c r="A491" s="569"/>
      <c r="B491" s="671"/>
      <c r="C491" s="665" t="s">
        <v>1658</v>
      </c>
      <c r="D491" s="666"/>
      <c r="E491" s="666"/>
      <c r="F491" s="563"/>
      <c r="G491" s="563"/>
      <c r="H491" s="563"/>
      <c r="I491" s="563"/>
      <c r="J491" s="566"/>
      <c r="K491" s="563"/>
      <c r="L491" s="566"/>
      <c r="M491" s="565"/>
      <c r="N491" s="564"/>
      <c r="V491" s="674"/>
      <c r="W491" s="675"/>
      <c r="AB491" s="675"/>
      <c r="AD491" s="675"/>
      <c r="AF491" s="675"/>
      <c r="AG491" s="675"/>
    </row>
    <row r="492" spans="1:33" s="536" customFormat="1" ht="1.5" customHeight="1" x14ac:dyDescent="0.2">
      <c r="A492" s="563"/>
      <c r="B492" s="671"/>
      <c r="C492" s="671"/>
      <c r="D492" s="671"/>
      <c r="E492" s="671"/>
      <c r="F492" s="563"/>
      <c r="G492" s="563"/>
      <c r="H492" s="563"/>
      <c r="I492" s="563"/>
      <c r="J492" s="546"/>
      <c r="K492" s="563"/>
      <c r="L492" s="546"/>
      <c r="M492" s="562"/>
      <c r="N492" s="546"/>
      <c r="V492" s="674"/>
      <c r="W492" s="675"/>
      <c r="AB492" s="675"/>
      <c r="AD492" s="675"/>
      <c r="AF492" s="675"/>
      <c r="AG492" s="675"/>
    </row>
    <row r="493" spans="1:33" s="536" customFormat="1" ht="22.5" x14ac:dyDescent="0.2">
      <c r="A493" s="557"/>
      <c r="B493" s="556"/>
      <c r="C493" s="1823" t="s">
        <v>1138</v>
      </c>
      <c r="D493" s="1823"/>
      <c r="E493" s="1823"/>
      <c r="F493" s="1823"/>
      <c r="G493" s="1823"/>
      <c r="H493" s="1823"/>
      <c r="I493" s="1823"/>
      <c r="J493" s="1823"/>
      <c r="K493" s="1823"/>
      <c r="L493" s="555"/>
      <c r="M493" s="554"/>
      <c r="N493" s="553"/>
      <c r="V493" s="674"/>
      <c r="W493" s="675"/>
      <c r="AB493" s="675"/>
      <c r="AD493" s="675" t="s">
        <v>1138</v>
      </c>
      <c r="AF493" s="675"/>
      <c r="AG493" s="675"/>
    </row>
    <row r="494" spans="1:33" s="536" customFormat="1" ht="12" x14ac:dyDescent="0.2">
      <c r="A494" s="548"/>
      <c r="B494" s="552"/>
      <c r="C494" s="1822" t="s">
        <v>403</v>
      </c>
      <c r="D494" s="1822"/>
      <c r="E494" s="1822"/>
      <c r="F494" s="1822"/>
      <c r="G494" s="1822"/>
      <c r="H494" s="1822"/>
      <c r="I494" s="1822"/>
      <c r="J494" s="1822"/>
      <c r="K494" s="1822"/>
      <c r="L494" s="551">
        <v>0.89</v>
      </c>
      <c r="M494" s="550"/>
      <c r="N494" s="549"/>
      <c r="V494" s="674"/>
      <c r="W494" s="675"/>
      <c r="AB494" s="675"/>
      <c r="AD494" s="675"/>
      <c r="AE494" s="537" t="s">
        <v>403</v>
      </c>
      <c r="AF494" s="675"/>
      <c r="AG494" s="675"/>
    </row>
    <row r="495" spans="1:33" s="536" customFormat="1" ht="12" x14ac:dyDescent="0.2">
      <c r="A495" s="548"/>
      <c r="B495" s="552"/>
      <c r="C495" s="1822" t="s">
        <v>204</v>
      </c>
      <c r="D495" s="1822"/>
      <c r="E495" s="1822"/>
      <c r="F495" s="1822"/>
      <c r="G495" s="1822"/>
      <c r="H495" s="1822"/>
      <c r="I495" s="1822"/>
      <c r="J495" s="1822"/>
      <c r="K495" s="1822"/>
      <c r="L495" s="551"/>
      <c r="M495" s="550"/>
      <c r="N495" s="549"/>
      <c r="V495" s="674"/>
      <c r="W495" s="675"/>
      <c r="AB495" s="675"/>
      <c r="AD495" s="675"/>
      <c r="AE495" s="537" t="s">
        <v>204</v>
      </c>
      <c r="AF495" s="675"/>
      <c r="AG495" s="675"/>
    </row>
    <row r="496" spans="1:33" s="536" customFormat="1" ht="12" x14ac:dyDescent="0.2">
      <c r="A496" s="548"/>
      <c r="B496" s="552"/>
      <c r="C496" s="1822" t="s">
        <v>480</v>
      </c>
      <c r="D496" s="1822"/>
      <c r="E496" s="1822"/>
      <c r="F496" s="1822"/>
      <c r="G496" s="1822"/>
      <c r="H496" s="1822"/>
      <c r="I496" s="1822"/>
      <c r="J496" s="1822"/>
      <c r="K496" s="1822"/>
      <c r="L496" s="551">
        <v>0.89</v>
      </c>
      <c r="M496" s="550"/>
      <c r="N496" s="549"/>
      <c r="V496" s="674"/>
      <c r="W496" s="675"/>
      <c r="AB496" s="675"/>
      <c r="AD496" s="675"/>
      <c r="AE496" s="537" t="s">
        <v>480</v>
      </c>
      <c r="AF496" s="675"/>
      <c r="AG496" s="675"/>
    </row>
    <row r="497" spans="1:35" s="536" customFormat="1" ht="12" x14ac:dyDescent="0.2">
      <c r="A497" s="548"/>
      <c r="B497" s="552"/>
      <c r="C497" s="1822" t="s">
        <v>753</v>
      </c>
      <c r="D497" s="1822"/>
      <c r="E497" s="1822"/>
      <c r="F497" s="1822"/>
      <c r="G497" s="1822"/>
      <c r="H497" s="1822"/>
      <c r="I497" s="1822"/>
      <c r="J497" s="1822"/>
      <c r="K497" s="1822"/>
      <c r="L497" s="551">
        <v>0.89</v>
      </c>
      <c r="M497" s="550"/>
      <c r="N497" s="549"/>
      <c r="V497" s="674"/>
      <c r="W497" s="675"/>
      <c r="AB497" s="675"/>
      <c r="AD497" s="675"/>
      <c r="AE497" s="537" t="s">
        <v>753</v>
      </c>
      <c r="AF497" s="675"/>
      <c r="AG497" s="675"/>
    </row>
    <row r="498" spans="1:35" s="536" customFormat="1" ht="12" x14ac:dyDescent="0.2">
      <c r="A498" s="548"/>
      <c r="B498" s="552"/>
      <c r="C498" s="1822" t="s">
        <v>204</v>
      </c>
      <c r="D498" s="1822"/>
      <c r="E498" s="1822"/>
      <c r="F498" s="1822"/>
      <c r="G498" s="1822"/>
      <c r="H498" s="1822"/>
      <c r="I498" s="1822"/>
      <c r="J498" s="1822"/>
      <c r="K498" s="1822"/>
      <c r="L498" s="551"/>
      <c r="M498" s="550"/>
      <c r="N498" s="549"/>
      <c r="V498" s="674"/>
      <c r="W498" s="675"/>
      <c r="AB498" s="675"/>
      <c r="AD498" s="675"/>
      <c r="AE498" s="537" t="s">
        <v>204</v>
      </c>
      <c r="AF498" s="675"/>
      <c r="AG498" s="675"/>
    </row>
    <row r="499" spans="1:35" s="536" customFormat="1" ht="12" x14ac:dyDescent="0.2">
      <c r="A499" s="548"/>
      <c r="B499" s="552"/>
      <c r="C499" s="1822" t="s">
        <v>547</v>
      </c>
      <c r="D499" s="1822"/>
      <c r="E499" s="1822"/>
      <c r="F499" s="1822"/>
      <c r="G499" s="1822"/>
      <c r="H499" s="1822"/>
      <c r="I499" s="1822"/>
      <c r="J499" s="1822"/>
      <c r="K499" s="1822"/>
      <c r="L499" s="551">
        <v>0.89</v>
      </c>
      <c r="M499" s="550"/>
      <c r="N499" s="549"/>
      <c r="V499" s="674"/>
      <c r="W499" s="675"/>
      <c r="AB499" s="675"/>
      <c r="AD499" s="675"/>
      <c r="AE499" s="537" t="s">
        <v>547</v>
      </c>
      <c r="AF499" s="675"/>
      <c r="AG499" s="675"/>
    </row>
    <row r="500" spans="1:35" s="536" customFormat="1" ht="22.5" x14ac:dyDescent="0.2">
      <c r="A500" s="548"/>
      <c r="B500" s="546"/>
      <c r="C500" s="1819" t="s">
        <v>1139</v>
      </c>
      <c r="D500" s="1819"/>
      <c r="E500" s="1819"/>
      <c r="F500" s="1819"/>
      <c r="G500" s="1819"/>
      <c r="H500" s="1819"/>
      <c r="I500" s="1819"/>
      <c r="J500" s="1819"/>
      <c r="K500" s="1819"/>
      <c r="L500" s="544">
        <v>0.89</v>
      </c>
      <c r="M500" s="543"/>
      <c r="N500" s="681"/>
      <c r="V500" s="674"/>
      <c r="W500" s="675"/>
      <c r="AB500" s="675"/>
      <c r="AD500" s="675"/>
      <c r="AF500" s="675" t="s">
        <v>1139</v>
      </c>
      <c r="AG500" s="675"/>
    </row>
    <row r="501" spans="1:35" s="536" customFormat="1" ht="2.25" customHeight="1" x14ac:dyDescent="0.2">
      <c r="B501" s="561"/>
      <c r="C501" s="561"/>
      <c r="D501" s="561"/>
      <c r="E501" s="561"/>
      <c r="F501" s="561"/>
      <c r="G501" s="561"/>
      <c r="H501" s="561"/>
      <c r="I501" s="561"/>
      <c r="J501" s="561"/>
      <c r="K501" s="561"/>
      <c r="L501" s="560"/>
      <c r="M501" s="559"/>
      <c r="N501" s="558"/>
    </row>
    <row r="502" spans="1:35" s="536" customFormat="1" x14ac:dyDescent="0.2">
      <c r="A502" s="557"/>
      <c r="B502" s="556"/>
      <c r="C502" s="1823" t="s">
        <v>205</v>
      </c>
      <c r="D502" s="1823"/>
      <c r="E502" s="1823"/>
      <c r="F502" s="1823"/>
      <c r="G502" s="1823"/>
      <c r="H502" s="1823"/>
      <c r="I502" s="1823"/>
      <c r="J502" s="1823"/>
      <c r="K502" s="1823"/>
      <c r="L502" s="555"/>
      <c r="M502" s="554"/>
      <c r="N502" s="553"/>
      <c r="AH502" s="675" t="s">
        <v>205</v>
      </c>
    </row>
    <row r="503" spans="1:35" s="536" customFormat="1" x14ac:dyDescent="0.2">
      <c r="A503" s="548"/>
      <c r="B503" s="552"/>
      <c r="C503" s="1822" t="s">
        <v>403</v>
      </c>
      <c r="D503" s="1822"/>
      <c r="E503" s="1822"/>
      <c r="F503" s="1822"/>
      <c r="G503" s="1822"/>
      <c r="H503" s="1822"/>
      <c r="I503" s="1822"/>
      <c r="J503" s="1822"/>
      <c r="K503" s="1822"/>
      <c r="L503" s="551">
        <v>57149.440000000002</v>
      </c>
      <c r="M503" s="550"/>
      <c r="N503" s="549"/>
      <c r="AH503" s="675"/>
      <c r="AI503" s="537" t="s">
        <v>403</v>
      </c>
    </row>
    <row r="504" spans="1:35" s="536" customFormat="1" x14ac:dyDescent="0.2">
      <c r="A504" s="548"/>
      <c r="B504" s="552"/>
      <c r="C504" s="1822" t="s">
        <v>204</v>
      </c>
      <c r="D504" s="1822"/>
      <c r="E504" s="1822"/>
      <c r="F504" s="1822"/>
      <c r="G504" s="1822"/>
      <c r="H504" s="1822"/>
      <c r="I504" s="1822"/>
      <c r="J504" s="1822"/>
      <c r="K504" s="1822"/>
      <c r="L504" s="551"/>
      <c r="M504" s="550"/>
      <c r="N504" s="549"/>
      <c r="AH504" s="675"/>
      <c r="AI504" s="537" t="s">
        <v>204</v>
      </c>
    </row>
    <row r="505" spans="1:35" s="536" customFormat="1" x14ac:dyDescent="0.2">
      <c r="A505" s="548"/>
      <c r="B505" s="552"/>
      <c r="C505" s="1822" t="s">
        <v>404</v>
      </c>
      <c r="D505" s="1822"/>
      <c r="E505" s="1822"/>
      <c r="F505" s="1822"/>
      <c r="G505" s="1822"/>
      <c r="H505" s="1822"/>
      <c r="I505" s="1822"/>
      <c r="J505" s="1822"/>
      <c r="K505" s="1822"/>
      <c r="L505" s="551">
        <v>2087.1999999999998</v>
      </c>
      <c r="M505" s="550"/>
      <c r="N505" s="549"/>
      <c r="AH505" s="675"/>
      <c r="AI505" s="537" t="s">
        <v>404</v>
      </c>
    </row>
    <row r="506" spans="1:35" s="536" customFormat="1" x14ac:dyDescent="0.2">
      <c r="A506" s="548"/>
      <c r="B506" s="552"/>
      <c r="C506" s="1822" t="s">
        <v>405</v>
      </c>
      <c r="D506" s="1822"/>
      <c r="E506" s="1822"/>
      <c r="F506" s="1822"/>
      <c r="G506" s="1822"/>
      <c r="H506" s="1822"/>
      <c r="I506" s="1822"/>
      <c r="J506" s="1822"/>
      <c r="K506" s="1822"/>
      <c r="L506" s="551">
        <v>3291.2</v>
      </c>
      <c r="M506" s="550"/>
      <c r="N506" s="549"/>
      <c r="AH506" s="675"/>
      <c r="AI506" s="537" t="s">
        <v>405</v>
      </c>
    </row>
    <row r="507" spans="1:35" s="536" customFormat="1" x14ac:dyDescent="0.2">
      <c r="A507" s="548"/>
      <c r="B507" s="552"/>
      <c r="C507" s="1822" t="s">
        <v>406</v>
      </c>
      <c r="D507" s="1822"/>
      <c r="E507" s="1822"/>
      <c r="F507" s="1822"/>
      <c r="G507" s="1822"/>
      <c r="H507" s="1822"/>
      <c r="I507" s="1822"/>
      <c r="J507" s="1822"/>
      <c r="K507" s="1822"/>
      <c r="L507" s="551">
        <v>314.63</v>
      </c>
      <c r="M507" s="550"/>
      <c r="N507" s="549"/>
      <c r="AH507" s="675"/>
      <c r="AI507" s="537" t="s">
        <v>406</v>
      </c>
    </row>
    <row r="508" spans="1:35" s="536" customFormat="1" x14ac:dyDescent="0.2">
      <c r="A508" s="548"/>
      <c r="B508" s="552"/>
      <c r="C508" s="1822" t="s">
        <v>480</v>
      </c>
      <c r="D508" s="1822"/>
      <c r="E508" s="1822"/>
      <c r="F508" s="1822"/>
      <c r="G508" s="1822"/>
      <c r="H508" s="1822"/>
      <c r="I508" s="1822"/>
      <c r="J508" s="1822"/>
      <c r="K508" s="1822"/>
      <c r="L508" s="551">
        <v>51771.040000000001</v>
      </c>
      <c r="M508" s="550"/>
      <c r="N508" s="549"/>
      <c r="AH508" s="675"/>
      <c r="AI508" s="537" t="s">
        <v>480</v>
      </c>
    </row>
    <row r="509" spans="1:35" s="536" customFormat="1" x14ac:dyDescent="0.2">
      <c r="A509" s="548"/>
      <c r="B509" s="552" t="s">
        <v>185</v>
      </c>
      <c r="C509" s="1822" t="s">
        <v>407</v>
      </c>
      <c r="D509" s="1822"/>
      <c r="E509" s="1822"/>
      <c r="F509" s="1822"/>
      <c r="G509" s="1822"/>
      <c r="H509" s="1822"/>
      <c r="I509" s="1822"/>
      <c r="J509" s="1822"/>
      <c r="K509" s="1822"/>
      <c r="L509" s="551">
        <v>2030.27</v>
      </c>
      <c r="M509" s="550">
        <v>8.32</v>
      </c>
      <c r="N509" s="549">
        <v>16892</v>
      </c>
      <c r="AH509" s="675"/>
      <c r="AI509" s="537" t="s">
        <v>407</v>
      </c>
    </row>
    <row r="510" spans="1:35" s="536" customFormat="1" x14ac:dyDescent="0.2">
      <c r="A510" s="548"/>
      <c r="B510" s="552"/>
      <c r="C510" s="1822" t="s">
        <v>204</v>
      </c>
      <c r="D510" s="1822"/>
      <c r="E510" s="1822"/>
      <c r="F510" s="1822"/>
      <c r="G510" s="1822"/>
      <c r="H510" s="1822"/>
      <c r="I510" s="1822"/>
      <c r="J510" s="1822"/>
      <c r="K510" s="1822"/>
      <c r="L510" s="551"/>
      <c r="M510" s="550"/>
      <c r="N510" s="549"/>
      <c r="AH510" s="675"/>
      <c r="AI510" s="537" t="s">
        <v>204</v>
      </c>
    </row>
    <row r="511" spans="1:35" s="536" customFormat="1" x14ac:dyDescent="0.2">
      <c r="A511" s="548"/>
      <c r="B511" s="552"/>
      <c r="C511" s="1822" t="s">
        <v>546</v>
      </c>
      <c r="D511" s="1822"/>
      <c r="E511" s="1822"/>
      <c r="F511" s="1822"/>
      <c r="G511" s="1822"/>
      <c r="H511" s="1822"/>
      <c r="I511" s="1822"/>
      <c r="J511" s="1822"/>
      <c r="K511" s="1822"/>
      <c r="L511" s="551">
        <v>855.08</v>
      </c>
      <c r="M511" s="550"/>
      <c r="N511" s="549"/>
      <c r="AH511" s="675"/>
      <c r="AI511" s="537" t="s">
        <v>546</v>
      </c>
    </row>
    <row r="512" spans="1:35" s="536" customFormat="1" x14ac:dyDescent="0.2">
      <c r="A512" s="548"/>
      <c r="B512" s="552"/>
      <c r="C512" s="1822" t="s">
        <v>442</v>
      </c>
      <c r="D512" s="1822"/>
      <c r="E512" s="1822"/>
      <c r="F512" s="1822"/>
      <c r="G512" s="1822"/>
      <c r="H512" s="1822"/>
      <c r="I512" s="1822"/>
      <c r="J512" s="1822"/>
      <c r="K512" s="1822"/>
      <c r="L512" s="551">
        <v>60.6</v>
      </c>
      <c r="M512" s="550"/>
      <c r="N512" s="549"/>
      <c r="AH512" s="675"/>
      <c r="AI512" s="537" t="s">
        <v>442</v>
      </c>
    </row>
    <row r="513" spans="1:36" x14ac:dyDescent="0.2">
      <c r="A513" s="548"/>
      <c r="B513" s="552"/>
      <c r="C513" s="1822" t="s">
        <v>443</v>
      </c>
      <c r="D513" s="1822"/>
      <c r="E513" s="1822"/>
      <c r="F513" s="1822"/>
      <c r="G513" s="1822"/>
      <c r="H513" s="1822"/>
      <c r="I513" s="1822"/>
      <c r="J513" s="1822"/>
      <c r="K513" s="1822"/>
      <c r="L513" s="551">
        <v>767.91</v>
      </c>
      <c r="M513" s="550"/>
      <c r="N513" s="549"/>
      <c r="P513" s="536"/>
      <c r="Q513" s="536"/>
      <c r="R513" s="536"/>
      <c r="S513" s="536"/>
      <c r="T513" s="536"/>
      <c r="U513" s="536"/>
      <c r="V513" s="536"/>
      <c r="W513" s="536"/>
      <c r="X513" s="536"/>
      <c r="Y513" s="536"/>
      <c r="Z513" s="536"/>
      <c r="AA513" s="536"/>
      <c r="AB513" s="536"/>
      <c r="AC513" s="536"/>
      <c r="AD513" s="536"/>
      <c r="AE513" s="536"/>
      <c r="AF513" s="536"/>
      <c r="AG513" s="536"/>
      <c r="AH513" s="675"/>
      <c r="AI513" s="537" t="s">
        <v>443</v>
      </c>
      <c r="AJ513" s="536"/>
    </row>
    <row r="514" spans="1:36" x14ac:dyDescent="0.2">
      <c r="A514" s="548"/>
      <c r="B514" s="552"/>
      <c r="C514" s="1822" t="s">
        <v>444</v>
      </c>
      <c r="D514" s="1822"/>
      <c r="E514" s="1822"/>
      <c r="F514" s="1822"/>
      <c r="G514" s="1822"/>
      <c r="H514" s="1822"/>
      <c r="I514" s="1822"/>
      <c r="J514" s="1822"/>
      <c r="K514" s="1822"/>
      <c r="L514" s="551">
        <v>346.68</v>
      </c>
      <c r="M514" s="550"/>
      <c r="N514" s="549"/>
      <c r="P514" s="536"/>
      <c r="Q514" s="536"/>
      <c r="R514" s="536"/>
      <c r="S514" s="536"/>
      <c r="T514" s="536"/>
      <c r="U514" s="536"/>
      <c r="V514" s="536"/>
      <c r="W514" s="536"/>
      <c r="X514" s="536"/>
      <c r="Y514" s="536"/>
      <c r="Z514" s="536"/>
      <c r="AA514" s="536"/>
      <c r="AB514" s="536"/>
      <c r="AC514" s="536"/>
      <c r="AD514" s="536"/>
      <c r="AE514" s="536"/>
      <c r="AF514" s="536"/>
      <c r="AG514" s="536"/>
      <c r="AH514" s="675"/>
      <c r="AI514" s="537" t="s">
        <v>444</v>
      </c>
      <c r="AJ514" s="536"/>
    </row>
    <row r="515" spans="1:36" x14ac:dyDescent="0.2">
      <c r="A515" s="548"/>
      <c r="B515" s="552" t="s">
        <v>185</v>
      </c>
      <c r="C515" s="1822" t="s">
        <v>753</v>
      </c>
      <c r="D515" s="1822"/>
      <c r="E515" s="1822"/>
      <c r="F515" s="1822"/>
      <c r="G515" s="1822"/>
      <c r="H515" s="1822"/>
      <c r="I515" s="1822"/>
      <c r="J515" s="1822"/>
      <c r="K515" s="1822"/>
      <c r="L515" s="551">
        <v>58510.52</v>
      </c>
      <c r="M515" s="550">
        <v>8.32</v>
      </c>
      <c r="N515" s="549">
        <v>486808</v>
      </c>
      <c r="P515" s="536"/>
      <c r="Q515" s="536"/>
      <c r="R515" s="536"/>
      <c r="S515" s="536"/>
      <c r="T515" s="536"/>
      <c r="U515" s="536"/>
      <c r="V515" s="536"/>
      <c r="W515" s="536"/>
      <c r="X515" s="536"/>
      <c r="Y515" s="536"/>
      <c r="Z515" s="536"/>
      <c r="AA515" s="536"/>
      <c r="AB515" s="536"/>
      <c r="AC515" s="536"/>
      <c r="AD515" s="536"/>
      <c r="AE515" s="536"/>
      <c r="AF515" s="536"/>
      <c r="AG515" s="536"/>
      <c r="AH515" s="675"/>
      <c r="AI515" s="537" t="s">
        <v>753</v>
      </c>
      <c r="AJ515" s="536"/>
    </row>
    <row r="516" spans="1:36" x14ac:dyDescent="0.2">
      <c r="A516" s="548"/>
      <c r="B516" s="552"/>
      <c r="C516" s="1822" t="s">
        <v>204</v>
      </c>
      <c r="D516" s="1822"/>
      <c r="E516" s="1822"/>
      <c r="F516" s="1822"/>
      <c r="G516" s="1822"/>
      <c r="H516" s="1822"/>
      <c r="I516" s="1822"/>
      <c r="J516" s="1822"/>
      <c r="K516" s="1822"/>
      <c r="L516" s="551"/>
      <c r="M516" s="550"/>
      <c r="N516" s="549"/>
      <c r="P516" s="536"/>
      <c r="Q516" s="536"/>
      <c r="R516" s="536"/>
      <c r="S516" s="536"/>
      <c r="T516" s="536"/>
      <c r="U516" s="536"/>
      <c r="V516" s="536"/>
      <c r="W516" s="536"/>
      <c r="X516" s="536"/>
      <c r="Y516" s="536"/>
      <c r="Z516" s="536"/>
      <c r="AA516" s="536"/>
      <c r="AB516" s="536"/>
      <c r="AC516" s="536"/>
      <c r="AD516" s="536"/>
      <c r="AE516" s="536"/>
      <c r="AF516" s="536"/>
      <c r="AG516" s="536"/>
      <c r="AH516" s="675"/>
      <c r="AI516" s="537" t="s">
        <v>204</v>
      </c>
      <c r="AJ516" s="536"/>
    </row>
    <row r="517" spans="1:36" x14ac:dyDescent="0.2">
      <c r="A517" s="548"/>
      <c r="B517" s="552"/>
      <c r="C517" s="1822" t="s">
        <v>546</v>
      </c>
      <c r="D517" s="1822"/>
      <c r="E517" s="1822"/>
      <c r="F517" s="1822"/>
      <c r="G517" s="1822"/>
      <c r="H517" s="1822"/>
      <c r="I517" s="1822"/>
      <c r="J517" s="1822"/>
      <c r="K517" s="1822"/>
      <c r="L517" s="551">
        <v>1232.1199999999999</v>
      </c>
      <c r="M517" s="550"/>
      <c r="N517" s="549"/>
      <c r="P517" s="536"/>
      <c r="Q517" s="536"/>
      <c r="R517" s="536"/>
      <c r="S517" s="536"/>
      <c r="T517" s="536"/>
      <c r="U517" s="536"/>
      <c r="V517" s="536"/>
      <c r="W517" s="536"/>
      <c r="X517" s="536"/>
      <c r="Y517" s="536"/>
      <c r="Z517" s="536"/>
      <c r="AA517" s="536"/>
      <c r="AB517" s="536"/>
      <c r="AC517" s="536"/>
      <c r="AD517" s="536"/>
      <c r="AE517" s="536"/>
      <c r="AF517" s="536"/>
      <c r="AG517" s="536"/>
      <c r="AH517" s="675"/>
      <c r="AI517" s="537" t="s">
        <v>546</v>
      </c>
      <c r="AJ517" s="536"/>
    </row>
    <row r="518" spans="1:36" x14ac:dyDescent="0.2">
      <c r="A518" s="548"/>
      <c r="B518" s="552"/>
      <c r="C518" s="1822" t="s">
        <v>442</v>
      </c>
      <c r="D518" s="1822"/>
      <c r="E518" s="1822"/>
      <c r="F518" s="1822"/>
      <c r="G518" s="1822"/>
      <c r="H518" s="1822"/>
      <c r="I518" s="1822"/>
      <c r="J518" s="1822"/>
      <c r="K518" s="1822"/>
      <c r="L518" s="551">
        <v>3230.6</v>
      </c>
      <c r="M518" s="550"/>
      <c r="N518" s="549"/>
      <c r="P518" s="536"/>
      <c r="Q518" s="536"/>
      <c r="R518" s="536"/>
      <c r="S518" s="536"/>
      <c r="T518" s="536"/>
      <c r="U518" s="536"/>
      <c r="V518" s="536"/>
      <c r="W518" s="536"/>
      <c r="X518" s="536"/>
      <c r="Y518" s="536"/>
      <c r="Z518" s="536"/>
      <c r="AA518" s="536"/>
      <c r="AB518" s="536"/>
      <c r="AC518" s="536"/>
      <c r="AD518" s="536"/>
      <c r="AE518" s="536"/>
      <c r="AF518" s="536"/>
      <c r="AG518" s="536"/>
      <c r="AH518" s="675"/>
      <c r="AI518" s="537" t="s">
        <v>442</v>
      </c>
      <c r="AJ518" s="536"/>
    </row>
    <row r="519" spans="1:36" x14ac:dyDescent="0.2">
      <c r="A519" s="548"/>
      <c r="B519" s="552"/>
      <c r="C519" s="1822" t="s">
        <v>547</v>
      </c>
      <c r="D519" s="1822"/>
      <c r="E519" s="1822"/>
      <c r="F519" s="1822"/>
      <c r="G519" s="1822"/>
      <c r="H519" s="1822"/>
      <c r="I519" s="1822"/>
      <c r="J519" s="1822"/>
      <c r="K519" s="1822"/>
      <c r="L519" s="551">
        <v>51771.040000000001</v>
      </c>
      <c r="M519" s="550"/>
      <c r="N519" s="549"/>
      <c r="P519" s="536"/>
      <c r="Q519" s="536"/>
      <c r="R519" s="536"/>
      <c r="S519" s="536"/>
      <c r="T519" s="536"/>
      <c r="U519" s="536"/>
      <c r="V519" s="536"/>
      <c r="W519" s="536"/>
      <c r="X519" s="536"/>
      <c r="Y519" s="536"/>
      <c r="Z519" s="536"/>
      <c r="AA519" s="536"/>
      <c r="AB519" s="536"/>
      <c r="AC519" s="536"/>
      <c r="AD519" s="536"/>
      <c r="AE519" s="536"/>
      <c r="AF519" s="536"/>
      <c r="AG519" s="536"/>
      <c r="AH519" s="675"/>
      <c r="AI519" s="537" t="s">
        <v>547</v>
      </c>
      <c r="AJ519" s="536"/>
    </row>
    <row r="520" spans="1:36" x14ac:dyDescent="0.2">
      <c r="A520" s="548"/>
      <c r="B520" s="552"/>
      <c r="C520" s="1822" t="s">
        <v>443</v>
      </c>
      <c r="D520" s="1822"/>
      <c r="E520" s="1822"/>
      <c r="F520" s="1822"/>
      <c r="G520" s="1822"/>
      <c r="H520" s="1822"/>
      <c r="I520" s="1822"/>
      <c r="J520" s="1822"/>
      <c r="K520" s="1822"/>
      <c r="L520" s="551">
        <v>1492.38</v>
      </c>
      <c r="M520" s="550"/>
      <c r="N520" s="549"/>
      <c r="P520" s="536"/>
      <c r="Q520" s="536"/>
      <c r="R520" s="536"/>
      <c r="S520" s="536"/>
      <c r="T520" s="536"/>
      <c r="U520" s="536"/>
      <c r="V520" s="536"/>
      <c r="W520" s="536"/>
      <c r="X520" s="536"/>
      <c r="Y520" s="536"/>
      <c r="Z520" s="536"/>
      <c r="AA520" s="536"/>
      <c r="AB520" s="536"/>
      <c r="AC520" s="536"/>
      <c r="AD520" s="536"/>
      <c r="AE520" s="536"/>
      <c r="AF520" s="536"/>
      <c r="AG520" s="536"/>
      <c r="AH520" s="675"/>
      <c r="AI520" s="537" t="s">
        <v>443</v>
      </c>
      <c r="AJ520" s="536"/>
    </row>
    <row r="521" spans="1:36" x14ac:dyDescent="0.2">
      <c r="A521" s="548"/>
      <c r="B521" s="552"/>
      <c r="C521" s="1822" t="s">
        <v>444</v>
      </c>
      <c r="D521" s="1822"/>
      <c r="E521" s="1822"/>
      <c r="F521" s="1822"/>
      <c r="G521" s="1822"/>
      <c r="H521" s="1822"/>
      <c r="I521" s="1822"/>
      <c r="J521" s="1822"/>
      <c r="K521" s="1822"/>
      <c r="L521" s="551">
        <v>784.38</v>
      </c>
      <c r="M521" s="550"/>
      <c r="N521" s="549"/>
      <c r="P521" s="536"/>
      <c r="Q521" s="536"/>
      <c r="R521" s="536"/>
      <c r="S521" s="536"/>
      <c r="T521" s="536"/>
      <c r="U521" s="536"/>
      <c r="V521" s="536"/>
      <c r="W521" s="536"/>
      <c r="X521" s="536"/>
      <c r="Y521" s="536"/>
      <c r="Z521" s="536"/>
      <c r="AA521" s="536"/>
      <c r="AB521" s="536"/>
      <c r="AC521" s="536"/>
      <c r="AD521" s="536"/>
      <c r="AE521" s="536"/>
      <c r="AF521" s="536"/>
      <c r="AG521" s="536"/>
      <c r="AH521" s="675"/>
      <c r="AI521" s="537" t="s">
        <v>444</v>
      </c>
      <c r="AJ521" s="536"/>
    </row>
    <row r="522" spans="1:36" x14ac:dyDescent="0.2">
      <c r="A522" s="548"/>
      <c r="B522" s="552" t="s">
        <v>186</v>
      </c>
      <c r="C522" s="1822" t="s">
        <v>754</v>
      </c>
      <c r="D522" s="1822"/>
      <c r="E522" s="1822"/>
      <c r="F522" s="1822"/>
      <c r="G522" s="1822"/>
      <c r="H522" s="1822"/>
      <c r="I522" s="1822"/>
      <c r="J522" s="1822"/>
      <c r="K522" s="1822"/>
      <c r="L522" s="551">
        <v>86920.04</v>
      </c>
      <c r="M522" s="550">
        <v>4.59</v>
      </c>
      <c r="N522" s="549">
        <v>398963</v>
      </c>
      <c r="P522" s="536"/>
      <c r="Q522" s="536"/>
      <c r="R522" s="536"/>
      <c r="S522" s="536"/>
      <c r="T522" s="536"/>
      <c r="U522" s="536"/>
      <c r="V522" s="536"/>
      <c r="W522" s="536"/>
      <c r="X522" s="536"/>
      <c r="Y522" s="536"/>
      <c r="Z522" s="536"/>
      <c r="AA522" s="536"/>
      <c r="AB522" s="536"/>
      <c r="AC522" s="536"/>
      <c r="AD522" s="536"/>
      <c r="AE522" s="536"/>
      <c r="AF522" s="536"/>
      <c r="AG522" s="536"/>
      <c r="AH522" s="675"/>
      <c r="AI522" s="537" t="s">
        <v>754</v>
      </c>
      <c r="AJ522" s="536"/>
    </row>
    <row r="523" spans="1:36" x14ac:dyDescent="0.2">
      <c r="A523" s="548"/>
      <c r="B523" s="552"/>
      <c r="C523" s="1822" t="s">
        <v>415</v>
      </c>
      <c r="D523" s="1822"/>
      <c r="E523" s="1822"/>
      <c r="F523" s="1822"/>
      <c r="G523" s="1822"/>
      <c r="H523" s="1822"/>
      <c r="I523" s="1822"/>
      <c r="J523" s="1822"/>
      <c r="K523" s="1822"/>
      <c r="L523" s="551">
        <v>2401.83</v>
      </c>
      <c r="M523" s="550"/>
      <c r="N523" s="549"/>
      <c r="P523" s="536"/>
      <c r="Q523" s="536"/>
      <c r="R523" s="536"/>
      <c r="S523" s="536"/>
      <c r="T523" s="536"/>
      <c r="U523" s="536"/>
      <c r="V523" s="536"/>
      <c r="W523" s="536"/>
      <c r="X523" s="536"/>
      <c r="Y523" s="536"/>
      <c r="Z523" s="536"/>
      <c r="AA523" s="536"/>
      <c r="AB523" s="536"/>
      <c r="AC523" s="536"/>
      <c r="AD523" s="536"/>
      <c r="AE523" s="536"/>
      <c r="AF523" s="536"/>
      <c r="AG523" s="536"/>
      <c r="AH523" s="675"/>
      <c r="AI523" s="537" t="s">
        <v>415</v>
      </c>
      <c r="AJ523" s="536"/>
    </row>
    <row r="524" spans="1:36" x14ac:dyDescent="0.2">
      <c r="A524" s="548"/>
      <c r="B524" s="552"/>
      <c r="C524" s="1822" t="s">
        <v>416</v>
      </c>
      <c r="D524" s="1822"/>
      <c r="E524" s="1822"/>
      <c r="F524" s="1822"/>
      <c r="G524" s="1822"/>
      <c r="H524" s="1822"/>
      <c r="I524" s="1822"/>
      <c r="J524" s="1822"/>
      <c r="K524" s="1822"/>
      <c r="L524" s="551">
        <v>2260.29</v>
      </c>
      <c r="M524" s="550"/>
      <c r="N524" s="549"/>
      <c r="P524" s="536"/>
      <c r="Q524" s="536"/>
      <c r="R524" s="536"/>
      <c r="S524" s="536"/>
      <c r="T524" s="536"/>
      <c r="U524" s="536"/>
      <c r="V524" s="536"/>
      <c r="W524" s="536"/>
      <c r="X524" s="536"/>
      <c r="Y524" s="536"/>
      <c r="Z524" s="536"/>
      <c r="AA524" s="536"/>
      <c r="AB524" s="536"/>
      <c r="AC524" s="536"/>
      <c r="AD524" s="536"/>
      <c r="AE524" s="536"/>
      <c r="AF524" s="536"/>
      <c r="AG524" s="536"/>
      <c r="AH524" s="675"/>
      <c r="AI524" s="537" t="s">
        <v>416</v>
      </c>
      <c r="AJ524" s="536"/>
    </row>
    <row r="525" spans="1:36" x14ac:dyDescent="0.2">
      <c r="A525" s="548"/>
      <c r="B525" s="552"/>
      <c r="C525" s="1822" t="s">
        <v>417</v>
      </c>
      <c r="D525" s="1822"/>
      <c r="E525" s="1822"/>
      <c r="F525" s="1822"/>
      <c r="G525" s="1822"/>
      <c r="H525" s="1822"/>
      <c r="I525" s="1822"/>
      <c r="J525" s="1822"/>
      <c r="K525" s="1822"/>
      <c r="L525" s="551">
        <v>1131.06</v>
      </c>
      <c r="M525" s="550"/>
      <c r="N525" s="549"/>
      <c r="P525" s="536"/>
      <c r="Q525" s="536"/>
      <c r="R525" s="536"/>
      <c r="S525" s="536"/>
      <c r="T525" s="536"/>
      <c r="U525" s="536"/>
      <c r="V525" s="536"/>
      <c r="W525" s="536"/>
      <c r="X525" s="536"/>
      <c r="Y525" s="536"/>
      <c r="Z525" s="536"/>
      <c r="AA525" s="536"/>
      <c r="AB525" s="536"/>
      <c r="AC525" s="536"/>
      <c r="AD525" s="536"/>
      <c r="AE525" s="536"/>
      <c r="AF525" s="536"/>
      <c r="AG525" s="536"/>
      <c r="AH525" s="675"/>
      <c r="AI525" s="537" t="s">
        <v>417</v>
      </c>
      <c r="AJ525" s="536"/>
    </row>
    <row r="526" spans="1:36" x14ac:dyDescent="0.2">
      <c r="A526" s="548"/>
      <c r="B526" s="546"/>
      <c r="C526" s="1819" t="s">
        <v>206</v>
      </c>
      <c r="D526" s="1819"/>
      <c r="E526" s="1819"/>
      <c r="F526" s="1819"/>
      <c r="G526" s="1819"/>
      <c r="H526" s="1819"/>
      <c r="I526" s="1819"/>
      <c r="J526" s="1819"/>
      <c r="K526" s="1819"/>
      <c r="L526" s="544">
        <v>147460.82999999999</v>
      </c>
      <c r="M526" s="543"/>
      <c r="N526" s="547">
        <v>902663</v>
      </c>
      <c r="P526" s="536"/>
      <c r="Q526" s="536"/>
      <c r="R526" s="536"/>
      <c r="S526" s="536"/>
      <c r="T526" s="536"/>
      <c r="U526" s="536"/>
      <c r="V526" s="536"/>
      <c r="W526" s="536"/>
      <c r="X526" s="536"/>
      <c r="Y526" s="536"/>
      <c r="Z526" s="536"/>
      <c r="AA526" s="536"/>
      <c r="AB526" s="536"/>
      <c r="AC526" s="536"/>
      <c r="AD526" s="536"/>
      <c r="AE526" s="536"/>
      <c r="AF526" s="536"/>
      <c r="AG526" s="536"/>
      <c r="AH526" s="675"/>
      <c r="AI526" s="536"/>
      <c r="AJ526" s="675" t="s">
        <v>206</v>
      </c>
    </row>
    <row r="527" spans="1:36" x14ac:dyDescent="0.2">
      <c r="A527" s="548"/>
      <c r="B527" s="552"/>
      <c r="C527" s="1822" t="s">
        <v>204</v>
      </c>
      <c r="D527" s="1822"/>
      <c r="E527" s="1822"/>
      <c r="F527" s="1822"/>
      <c r="G527" s="1822"/>
      <c r="H527" s="1822"/>
      <c r="I527" s="1822"/>
      <c r="J527" s="1822"/>
      <c r="K527" s="1822"/>
      <c r="L527" s="551"/>
      <c r="M527" s="550"/>
      <c r="N527" s="549"/>
      <c r="P527" s="536"/>
      <c r="Q527" s="536"/>
      <c r="R527" s="536"/>
      <c r="S527" s="536"/>
      <c r="T527" s="536"/>
      <c r="U527" s="536"/>
      <c r="V527" s="536"/>
      <c r="W527" s="536"/>
      <c r="X527" s="536"/>
      <c r="Y527" s="536"/>
      <c r="Z527" s="536"/>
      <c r="AA527" s="536"/>
      <c r="AB527" s="536"/>
      <c r="AC527" s="536"/>
      <c r="AD527" s="536"/>
      <c r="AE527" s="536"/>
      <c r="AF527" s="536"/>
      <c r="AG527" s="536"/>
      <c r="AH527" s="675"/>
      <c r="AI527" s="537" t="s">
        <v>204</v>
      </c>
      <c r="AJ527" s="675"/>
    </row>
    <row r="528" spans="1:36" x14ac:dyDescent="0.2">
      <c r="A528" s="548"/>
      <c r="B528" s="552"/>
      <c r="C528" s="1822" t="s">
        <v>8095</v>
      </c>
      <c r="D528" s="1822"/>
      <c r="E528" s="1822"/>
      <c r="F528" s="1822"/>
      <c r="G528" s="1822"/>
      <c r="H528" s="1822"/>
      <c r="I528" s="1822"/>
      <c r="J528" s="1822"/>
      <c r="K528" s="1822"/>
      <c r="L528" s="551">
        <v>51141.83</v>
      </c>
      <c r="M528" s="550"/>
      <c r="N528" s="549">
        <v>425500</v>
      </c>
      <c r="P528" s="536"/>
      <c r="Q528" s="536"/>
      <c r="R528" s="536"/>
      <c r="S528" s="536"/>
      <c r="T528" s="536"/>
      <c r="U528" s="536"/>
      <c r="V528" s="536"/>
      <c r="W528" s="536"/>
      <c r="X528" s="536"/>
      <c r="Y528" s="536"/>
      <c r="Z528" s="536"/>
      <c r="AA528" s="536"/>
      <c r="AB528" s="536"/>
      <c r="AC528" s="536"/>
      <c r="AD528" s="536"/>
      <c r="AE528" s="536"/>
      <c r="AF528" s="536"/>
      <c r="AG528" s="536"/>
      <c r="AH528" s="675"/>
      <c r="AI528" s="537" t="s">
        <v>8095</v>
      </c>
      <c r="AJ528" s="675"/>
    </row>
    <row r="529" spans="1:36" x14ac:dyDescent="0.2">
      <c r="A529" s="548"/>
      <c r="B529" s="552"/>
      <c r="C529" s="1822" t="s">
        <v>8097</v>
      </c>
      <c r="D529" s="1822"/>
      <c r="E529" s="1822"/>
      <c r="F529" s="1822"/>
      <c r="G529" s="1822"/>
      <c r="H529" s="1822"/>
      <c r="I529" s="1822"/>
      <c r="J529" s="1822"/>
      <c r="K529" s="1822"/>
      <c r="L529" s="551"/>
      <c r="M529" s="550"/>
      <c r="N529" s="549">
        <v>398963</v>
      </c>
      <c r="P529" s="536"/>
      <c r="Q529" s="536"/>
      <c r="R529" s="536"/>
      <c r="S529" s="536"/>
      <c r="T529" s="536"/>
      <c r="U529" s="536"/>
      <c r="V529" s="536"/>
      <c r="W529" s="536"/>
      <c r="X529" s="536"/>
      <c r="Y529" s="536"/>
      <c r="Z529" s="536"/>
      <c r="AA529" s="536"/>
      <c r="AB529" s="536"/>
      <c r="AC529" s="536"/>
      <c r="AD529" s="536"/>
      <c r="AE529" s="536"/>
      <c r="AF529" s="536"/>
      <c r="AG529" s="536"/>
      <c r="AH529" s="675"/>
      <c r="AI529" s="537" t="s">
        <v>8097</v>
      </c>
      <c r="AJ529" s="675"/>
    </row>
    <row r="530" spans="1:36" ht="1.5" customHeight="1" x14ac:dyDescent="0.2">
      <c r="B530" s="546"/>
      <c r="C530" s="671"/>
      <c r="D530" s="671"/>
      <c r="E530" s="671"/>
      <c r="F530" s="671"/>
      <c r="G530" s="671"/>
      <c r="H530" s="671"/>
      <c r="I530" s="671"/>
      <c r="J530" s="671"/>
      <c r="K530" s="671"/>
      <c r="L530" s="544"/>
      <c r="M530" s="543"/>
      <c r="N530" s="542"/>
      <c r="P530" s="536"/>
      <c r="Q530" s="536"/>
      <c r="R530" s="536"/>
      <c r="S530" s="536"/>
      <c r="T530" s="536"/>
      <c r="U530" s="536"/>
      <c r="V530" s="536"/>
      <c r="W530" s="536"/>
      <c r="X530" s="536"/>
      <c r="Y530" s="536"/>
      <c r="Z530" s="536"/>
      <c r="AA530" s="536"/>
      <c r="AB530" s="536"/>
      <c r="AC530" s="536"/>
      <c r="AD530" s="536"/>
      <c r="AE530" s="536"/>
      <c r="AF530" s="536"/>
      <c r="AG530" s="536"/>
      <c r="AH530" s="536"/>
      <c r="AI530" s="536"/>
      <c r="AJ530" s="536"/>
    </row>
    <row r="531" spans="1:36" ht="53.25" customHeight="1" x14ac:dyDescent="0.2">
      <c r="A531" s="541"/>
      <c r="B531" s="541"/>
      <c r="C531" s="541"/>
      <c r="D531" s="541"/>
      <c r="E531" s="541"/>
      <c r="F531" s="541"/>
      <c r="G531" s="541"/>
      <c r="H531" s="541"/>
      <c r="I531" s="541"/>
      <c r="J531" s="541"/>
      <c r="K531" s="541"/>
      <c r="L531" s="541"/>
      <c r="M531" s="541"/>
      <c r="N531" s="541"/>
      <c r="P531" s="536"/>
      <c r="Q531" s="536"/>
      <c r="R531" s="536"/>
      <c r="S531" s="536"/>
      <c r="T531" s="536"/>
      <c r="U531" s="536"/>
      <c r="V531" s="536"/>
      <c r="W531" s="536"/>
      <c r="X531" s="536"/>
      <c r="Y531" s="536"/>
      <c r="Z531" s="536"/>
      <c r="AA531" s="536"/>
      <c r="AB531" s="536"/>
      <c r="AC531" s="536"/>
      <c r="AD531" s="536"/>
      <c r="AE531" s="536"/>
      <c r="AF531" s="536"/>
      <c r="AG531" s="536"/>
      <c r="AH531" s="536"/>
      <c r="AI531" s="536"/>
      <c r="AJ531" s="536"/>
    </row>
    <row r="532" spans="1:36" x14ac:dyDescent="0.2">
      <c r="B532" s="539" t="s">
        <v>149</v>
      </c>
      <c r="C532" s="1943" t="s">
        <v>207</v>
      </c>
      <c r="D532" s="1943"/>
      <c r="E532" s="1943"/>
      <c r="F532" s="1943"/>
      <c r="G532" s="1943"/>
      <c r="H532" s="1943"/>
      <c r="I532" s="1943"/>
      <c r="J532" s="1943"/>
      <c r="K532" s="1943"/>
      <c r="L532" s="1943"/>
    </row>
    <row r="533" spans="1:36" ht="13.5" customHeight="1" x14ac:dyDescent="0.2">
      <c r="B533" s="540"/>
      <c r="C533" s="1821" t="s">
        <v>150</v>
      </c>
      <c r="D533" s="1821"/>
      <c r="E533" s="1821"/>
      <c r="F533" s="1821"/>
      <c r="G533" s="1821"/>
      <c r="H533" s="1821"/>
      <c r="I533" s="1821"/>
      <c r="J533" s="1821"/>
      <c r="K533" s="1821"/>
      <c r="L533" s="1821"/>
    </row>
    <row r="534" spans="1:36" ht="12.75" customHeight="1" x14ac:dyDescent="0.2">
      <c r="B534" s="539" t="s">
        <v>151</v>
      </c>
      <c r="C534" s="1943" t="s">
        <v>208</v>
      </c>
      <c r="D534" s="1943"/>
      <c r="E534" s="1943"/>
      <c r="F534" s="1943"/>
      <c r="G534" s="1943"/>
      <c r="H534" s="1943"/>
      <c r="I534" s="1943"/>
      <c r="J534" s="1943"/>
      <c r="K534" s="1943"/>
      <c r="L534" s="1943"/>
    </row>
    <row r="535" spans="1:36" ht="13.5" customHeight="1" x14ac:dyDescent="0.2">
      <c r="C535" s="1821" t="s">
        <v>150</v>
      </c>
      <c r="D535" s="1821"/>
      <c r="E535" s="1821"/>
      <c r="F535" s="1821"/>
      <c r="G535" s="1821"/>
      <c r="H535" s="1821"/>
      <c r="I535" s="1821"/>
      <c r="J535" s="1821"/>
      <c r="K535" s="1821"/>
      <c r="L535" s="1821"/>
    </row>
    <row r="537" spans="1:36" x14ac:dyDescent="0.2">
      <c r="B537" s="538"/>
      <c r="D537" s="538"/>
      <c r="F537" s="538"/>
      <c r="P537" s="536"/>
      <c r="Q537" s="536"/>
      <c r="R537" s="536"/>
      <c r="S537" s="536"/>
      <c r="T537" s="536"/>
      <c r="U537" s="536"/>
      <c r="V537" s="536"/>
      <c r="W537" s="536"/>
      <c r="X537" s="536"/>
      <c r="Y537" s="536"/>
      <c r="Z537" s="536"/>
      <c r="AA537" s="536"/>
      <c r="AB537" s="536"/>
      <c r="AC537" s="536"/>
      <c r="AD537" s="536"/>
      <c r="AE537" s="536"/>
      <c r="AF537" s="536"/>
      <c r="AG537" s="536"/>
      <c r="AH537" s="536"/>
      <c r="AI537" s="536"/>
      <c r="AJ537" s="536"/>
    </row>
  </sheetData>
  <mergeCells count="477">
    <mergeCell ref="C529:K529"/>
    <mergeCell ref="C532:L532"/>
    <mergeCell ref="C533:L533"/>
    <mergeCell ref="C534:L534"/>
    <mergeCell ref="C535:L535"/>
    <mergeCell ref="C523:K523"/>
    <mergeCell ref="C524:K524"/>
    <mergeCell ref="C525:K525"/>
    <mergeCell ref="C526:K526"/>
    <mergeCell ref="C527:K527"/>
    <mergeCell ref="C528:K528"/>
    <mergeCell ref="C517:K517"/>
    <mergeCell ref="C518:K518"/>
    <mergeCell ref="C519:K519"/>
    <mergeCell ref="C520:K520"/>
    <mergeCell ref="C521:K521"/>
    <mergeCell ref="C522:K522"/>
    <mergeCell ref="C511:K511"/>
    <mergeCell ref="C512:K512"/>
    <mergeCell ref="C513:K513"/>
    <mergeCell ref="C514:K514"/>
    <mergeCell ref="C515:K515"/>
    <mergeCell ref="C516:K516"/>
    <mergeCell ref="C505:K505"/>
    <mergeCell ref="C506:K506"/>
    <mergeCell ref="C507:K507"/>
    <mergeCell ref="C508:K508"/>
    <mergeCell ref="C509:K509"/>
    <mergeCell ref="C510:K510"/>
    <mergeCell ref="C498:K498"/>
    <mergeCell ref="C499:K499"/>
    <mergeCell ref="C500:K500"/>
    <mergeCell ref="C502:K502"/>
    <mergeCell ref="C503:K503"/>
    <mergeCell ref="C504:K504"/>
    <mergeCell ref="C490:E490"/>
    <mergeCell ref="C493:K493"/>
    <mergeCell ref="C494:K494"/>
    <mergeCell ref="C495:K495"/>
    <mergeCell ref="C496:K496"/>
    <mergeCell ref="C497:K497"/>
    <mergeCell ref="C484:K484"/>
    <mergeCell ref="C485:K485"/>
    <mergeCell ref="C486:K486"/>
    <mergeCell ref="C487:K487"/>
    <mergeCell ref="C488:K488"/>
    <mergeCell ref="A489:N489"/>
    <mergeCell ref="C478:K478"/>
    <mergeCell ref="C479:K479"/>
    <mergeCell ref="C480:K480"/>
    <mergeCell ref="C481:K481"/>
    <mergeCell ref="C482:K482"/>
    <mergeCell ref="C483:K483"/>
    <mergeCell ref="C472:K472"/>
    <mergeCell ref="C473:K473"/>
    <mergeCell ref="C474:K474"/>
    <mergeCell ref="C475:K475"/>
    <mergeCell ref="C476:K476"/>
    <mergeCell ref="C477:K477"/>
    <mergeCell ref="C466:K466"/>
    <mergeCell ref="C467:K467"/>
    <mergeCell ref="C468:K468"/>
    <mergeCell ref="C469:K469"/>
    <mergeCell ref="C470:K470"/>
    <mergeCell ref="C471:K471"/>
    <mergeCell ref="C459:E459"/>
    <mergeCell ref="C461:K461"/>
    <mergeCell ref="C462:K462"/>
    <mergeCell ref="C463:K463"/>
    <mergeCell ref="C464:K464"/>
    <mergeCell ref="C465:K465"/>
    <mergeCell ref="C453:E453"/>
    <mergeCell ref="C454:E454"/>
    <mergeCell ref="C455:E455"/>
    <mergeCell ref="C456:E456"/>
    <mergeCell ref="C457:E457"/>
    <mergeCell ref="C458:E458"/>
    <mergeCell ref="C447:E447"/>
    <mergeCell ref="C448:N448"/>
    <mergeCell ref="C449:N449"/>
    <mergeCell ref="C450:E450"/>
    <mergeCell ref="C451:E451"/>
    <mergeCell ref="C452:E452"/>
    <mergeCell ref="C441:E441"/>
    <mergeCell ref="C442:E442"/>
    <mergeCell ref="C443:E443"/>
    <mergeCell ref="C444:E444"/>
    <mergeCell ref="C445:E445"/>
    <mergeCell ref="C446:E446"/>
    <mergeCell ref="C435:E435"/>
    <mergeCell ref="C436:E436"/>
    <mergeCell ref="C437:E437"/>
    <mergeCell ref="C438:N438"/>
    <mergeCell ref="C439:N439"/>
    <mergeCell ref="C440:E440"/>
    <mergeCell ref="C429:N429"/>
    <mergeCell ref="C430:E430"/>
    <mergeCell ref="C431:E431"/>
    <mergeCell ref="C432:E432"/>
    <mergeCell ref="C433:E433"/>
    <mergeCell ref="C434:E434"/>
    <mergeCell ref="C422:N422"/>
    <mergeCell ref="C423:E423"/>
    <mergeCell ref="C425:N425"/>
    <mergeCell ref="A426:N426"/>
    <mergeCell ref="C427:E427"/>
    <mergeCell ref="C428:N428"/>
    <mergeCell ref="C414:E414"/>
    <mergeCell ref="C415:E415"/>
    <mergeCell ref="C416:E416"/>
    <mergeCell ref="C417:E417"/>
    <mergeCell ref="C419:N419"/>
    <mergeCell ref="C420:E420"/>
    <mergeCell ref="C408:E408"/>
    <mergeCell ref="C409:E409"/>
    <mergeCell ref="C410:E410"/>
    <mergeCell ref="C411:E411"/>
    <mergeCell ref="C412:E412"/>
    <mergeCell ref="C413:E413"/>
    <mergeCell ref="C402:N402"/>
    <mergeCell ref="C403:E403"/>
    <mergeCell ref="C404:N404"/>
    <mergeCell ref="C405:N405"/>
    <mergeCell ref="C406:E406"/>
    <mergeCell ref="C407:E407"/>
    <mergeCell ref="C395:E395"/>
    <mergeCell ref="C396:E396"/>
    <mergeCell ref="C397:E397"/>
    <mergeCell ref="C398:E398"/>
    <mergeCell ref="C399:E399"/>
    <mergeCell ref="C400:E400"/>
    <mergeCell ref="C389:E389"/>
    <mergeCell ref="C390:E390"/>
    <mergeCell ref="C391:E391"/>
    <mergeCell ref="C392:E392"/>
    <mergeCell ref="C393:E393"/>
    <mergeCell ref="C394:E394"/>
    <mergeCell ref="C382:E382"/>
    <mergeCell ref="C383:E383"/>
    <mergeCell ref="C385:N385"/>
    <mergeCell ref="C386:E386"/>
    <mergeCell ref="C387:N387"/>
    <mergeCell ref="C388:N388"/>
    <mergeCell ref="C376:E376"/>
    <mergeCell ref="C377:E377"/>
    <mergeCell ref="C378:E378"/>
    <mergeCell ref="C379:E379"/>
    <mergeCell ref="C380:E380"/>
    <mergeCell ref="C381:E381"/>
    <mergeCell ref="C370:N370"/>
    <mergeCell ref="C371:N371"/>
    <mergeCell ref="C372:E372"/>
    <mergeCell ref="C373:E373"/>
    <mergeCell ref="C374:E374"/>
    <mergeCell ref="C375:E375"/>
    <mergeCell ref="C363:E363"/>
    <mergeCell ref="C364:E364"/>
    <mergeCell ref="C365:E365"/>
    <mergeCell ref="C366:E366"/>
    <mergeCell ref="C368:N368"/>
    <mergeCell ref="C369:E369"/>
    <mergeCell ref="C357:E357"/>
    <mergeCell ref="C358:E358"/>
    <mergeCell ref="C359:E359"/>
    <mergeCell ref="C360:E360"/>
    <mergeCell ref="C361:E361"/>
    <mergeCell ref="C362:E362"/>
    <mergeCell ref="A351:N351"/>
    <mergeCell ref="C352:E352"/>
    <mergeCell ref="C353:N353"/>
    <mergeCell ref="C354:N354"/>
    <mergeCell ref="C355:E355"/>
    <mergeCell ref="C356:E356"/>
    <mergeCell ref="C344:E344"/>
    <mergeCell ref="C345:E345"/>
    <mergeCell ref="C346:E346"/>
    <mergeCell ref="C347:E347"/>
    <mergeCell ref="C348:E348"/>
    <mergeCell ref="C350:N350"/>
    <mergeCell ref="C338:N338"/>
    <mergeCell ref="C339:E339"/>
    <mergeCell ref="C340:E340"/>
    <mergeCell ref="C341:E341"/>
    <mergeCell ref="C342:E342"/>
    <mergeCell ref="C343:E343"/>
    <mergeCell ref="C331:E331"/>
    <mergeCell ref="C332:E332"/>
    <mergeCell ref="C333:E333"/>
    <mergeCell ref="C334:E334"/>
    <mergeCell ref="C335:E335"/>
    <mergeCell ref="C336:E336"/>
    <mergeCell ref="C325:N325"/>
    <mergeCell ref="C326:E326"/>
    <mergeCell ref="C327:N327"/>
    <mergeCell ref="C328:E328"/>
    <mergeCell ref="C329:E329"/>
    <mergeCell ref="C330:E330"/>
    <mergeCell ref="C318:E318"/>
    <mergeCell ref="C319:E319"/>
    <mergeCell ref="C320:E320"/>
    <mergeCell ref="C321:E321"/>
    <mergeCell ref="C322:E322"/>
    <mergeCell ref="C323:E323"/>
    <mergeCell ref="C312:N312"/>
    <mergeCell ref="C313:E313"/>
    <mergeCell ref="C314:N314"/>
    <mergeCell ref="C315:E315"/>
    <mergeCell ref="C316:E316"/>
    <mergeCell ref="C317:E317"/>
    <mergeCell ref="C303:N303"/>
    <mergeCell ref="C304:E304"/>
    <mergeCell ref="C306:N306"/>
    <mergeCell ref="C307:E307"/>
    <mergeCell ref="C309:N309"/>
    <mergeCell ref="C310:E310"/>
    <mergeCell ref="C294:N294"/>
    <mergeCell ref="C295:E295"/>
    <mergeCell ref="C297:N297"/>
    <mergeCell ref="C298:E298"/>
    <mergeCell ref="C300:N300"/>
    <mergeCell ref="C301:E301"/>
    <mergeCell ref="C287:E287"/>
    <mergeCell ref="C288:E288"/>
    <mergeCell ref="C289:E289"/>
    <mergeCell ref="C290:E290"/>
    <mergeCell ref="C291:E291"/>
    <mergeCell ref="C293:N293"/>
    <mergeCell ref="C281:E281"/>
    <mergeCell ref="C282:E282"/>
    <mergeCell ref="C283:E283"/>
    <mergeCell ref="C284:E284"/>
    <mergeCell ref="C285:E285"/>
    <mergeCell ref="C286:E286"/>
    <mergeCell ref="C274:N274"/>
    <mergeCell ref="C275:E275"/>
    <mergeCell ref="C277:N277"/>
    <mergeCell ref="C278:E278"/>
    <mergeCell ref="C279:N279"/>
    <mergeCell ref="C280:E280"/>
    <mergeCell ref="C265:N265"/>
    <mergeCell ref="C266:E266"/>
    <mergeCell ref="C268:N268"/>
    <mergeCell ref="C269:E269"/>
    <mergeCell ref="C271:N271"/>
    <mergeCell ref="C272:E272"/>
    <mergeCell ref="C256:N256"/>
    <mergeCell ref="C257:E257"/>
    <mergeCell ref="C259:N259"/>
    <mergeCell ref="C260:E260"/>
    <mergeCell ref="C262:N262"/>
    <mergeCell ref="C263:E263"/>
    <mergeCell ref="C247:E247"/>
    <mergeCell ref="C248:E248"/>
    <mergeCell ref="C250:N250"/>
    <mergeCell ref="C251:E251"/>
    <mergeCell ref="C253:N253"/>
    <mergeCell ref="C254:E254"/>
    <mergeCell ref="C241:E241"/>
    <mergeCell ref="C242:E242"/>
    <mergeCell ref="C243:E243"/>
    <mergeCell ref="C244:E244"/>
    <mergeCell ref="C245:E245"/>
    <mergeCell ref="C246:E246"/>
    <mergeCell ref="C234:E234"/>
    <mergeCell ref="C235:E235"/>
    <mergeCell ref="C237:N237"/>
    <mergeCell ref="C238:E238"/>
    <mergeCell ref="C239:N239"/>
    <mergeCell ref="C240:E240"/>
    <mergeCell ref="C228:E228"/>
    <mergeCell ref="C229:E229"/>
    <mergeCell ref="C230:E230"/>
    <mergeCell ref="C231:E231"/>
    <mergeCell ref="C232:E232"/>
    <mergeCell ref="C233:E233"/>
    <mergeCell ref="C222:N222"/>
    <mergeCell ref="C223:N223"/>
    <mergeCell ref="C224:E224"/>
    <mergeCell ref="C225:N225"/>
    <mergeCell ref="C226:N226"/>
    <mergeCell ref="C227:E227"/>
    <mergeCell ref="C215:E215"/>
    <mergeCell ref="C216:E216"/>
    <mergeCell ref="C217:E217"/>
    <mergeCell ref="C218:E218"/>
    <mergeCell ref="C219:E219"/>
    <mergeCell ref="C220:E220"/>
    <mergeCell ref="C209:E209"/>
    <mergeCell ref="C210:E210"/>
    <mergeCell ref="C211:E211"/>
    <mergeCell ref="C212:E212"/>
    <mergeCell ref="C213:E213"/>
    <mergeCell ref="C214:E214"/>
    <mergeCell ref="C202:N202"/>
    <mergeCell ref="C203:E203"/>
    <mergeCell ref="C205:N205"/>
    <mergeCell ref="C206:E206"/>
    <mergeCell ref="C207:N207"/>
    <mergeCell ref="C208:N208"/>
    <mergeCell ref="C194:E194"/>
    <mergeCell ref="C195:E195"/>
    <mergeCell ref="C196:E196"/>
    <mergeCell ref="C198:N198"/>
    <mergeCell ref="C199:N199"/>
    <mergeCell ref="C200:E200"/>
    <mergeCell ref="C188:E188"/>
    <mergeCell ref="C189:E189"/>
    <mergeCell ref="C190:E190"/>
    <mergeCell ref="C191:E191"/>
    <mergeCell ref="C192:E192"/>
    <mergeCell ref="C193:E193"/>
    <mergeCell ref="C182:E182"/>
    <mergeCell ref="C183:N183"/>
    <mergeCell ref="C184:N184"/>
    <mergeCell ref="C185:E185"/>
    <mergeCell ref="C186:E186"/>
    <mergeCell ref="C187:E187"/>
    <mergeCell ref="C174:E174"/>
    <mergeCell ref="C175:E175"/>
    <mergeCell ref="C177:N177"/>
    <mergeCell ref="C178:E178"/>
    <mergeCell ref="C180:N180"/>
    <mergeCell ref="A181:N181"/>
    <mergeCell ref="C168:E168"/>
    <mergeCell ref="C169:E169"/>
    <mergeCell ref="C170:E170"/>
    <mergeCell ref="C171:E171"/>
    <mergeCell ref="C172:E172"/>
    <mergeCell ref="C173:E173"/>
    <mergeCell ref="C161:E161"/>
    <mergeCell ref="C162:E162"/>
    <mergeCell ref="C164:N164"/>
    <mergeCell ref="C165:E165"/>
    <mergeCell ref="C166:N166"/>
    <mergeCell ref="C167:E167"/>
    <mergeCell ref="C155:E155"/>
    <mergeCell ref="C156:E156"/>
    <mergeCell ref="C157:E157"/>
    <mergeCell ref="C158:E158"/>
    <mergeCell ref="C159:E159"/>
    <mergeCell ref="C160:E160"/>
    <mergeCell ref="C149:N149"/>
    <mergeCell ref="C150:N150"/>
    <mergeCell ref="C151:E151"/>
    <mergeCell ref="C152:E152"/>
    <mergeCell ref="C153:E153"/>
    <mergeCell ref="C154:E154"/>
    <mergeCell ref="C141:E141"/>
    <mergeCell ref="C143:N143"/>
    <mergeCell ref="C144:N144"/>
    <mergeCell ref="C145:E145"/>
    <mergeCell ref="C147:N147"/>
    <mergeCell ref="C148:E148"/>
    <mergeCell ref="C135:E135"/>
    <mergeCell ref="C136:E136"/>
    <mergeCell ref="C137:E137"/>
    <mergeCell ref="C138:E138"/>
    <mergeCell ref="C139:E139"/>
    <mergeCell ref="C140:E140"/>
    <mergeCell ref="A129:N129"/>
    <mergeCell ref="C130:E130"/>
    <mergeCell ref="C131:N131"/>
    <mergeCell ref="C132:N132"/>
    <mergeCell ref="C133:E133"/>
    <mergeCell ref="C134:E134"/>
    <mergeCell ref="C122:E122"/>
    <mergeCell ref="C123:E123"/>
    <mergeCell ref="C124:E124"/>
    <mergeCell ref="C125:E125"/>
    <mergeCell ref="C126:E126"/>
    <mergeCell ref="C128:N128"/>
    <mergeCell ref="C116:E116"/>
    <mergeCell ref="C117:E117"/>
    <mergeCell ref="C118:E118"/>
    <mergeCell ref="C119:E119"/>
    <mergeCell ref="C120:E120"/>
    <mergeCell ref="C121:E121"/>
    <mergeCell ref="C110:N110"/>
    <mergeCell ref="A111:N111"/>
    <mergeCell ref="C112:E112"/>
    <mergeCell ref="C113:N113"/>
    <mergeCell ref="C114:N114"/>
    <mergeCell ref="C115:E115"/>
    <mergeCell ref="C103:E103"/>
    <mergeCell ref="C104:E104"/>
    <mergeCell ref="C105:E105"/>
    <mergeCell ref="C106:E106"/>
    <mergeCell ref="C107:E107"/>
    <mergeCell ref="C108:E108"/>
    <mergeCell ref="C97:E97"/>
    <mergeCell ref="C98:E98"/>
    <mergeCell ref="C99:E99"/>
    <mergeCell ref="C100:E100"/>
    <mergeCell ref="C101:E101"/>
    <mergeCell ref="C102:E102"/>
    <mergeCell ref="C91:K91"/>
    <mergeCell ref="A92:N92"/>
    <mergeCell ref="A93:N93"/>
    <mergeCell ref="C94:E94"/>
    <mergeCell ref="C95:N95"/>
    <mergeCell ref="C96:N96"/>
    <mergeCell ref="C85:K85"/>
    <mergeCell ref="C86:K86"/>
    <mergeCell ref="C87:K87"/>
    <mergeCell ref="C88:K88"/>
    <mergeCell ref="C89:K89"/>
    <mergeCell ref="C90:K90"/>
    <mergeCell ref="C79:K79"/>
    <mergeCell ref="C80:K80"/>
    <mergeCell ref="C81:K81"/>
    <mergeCell ref="C82:K82"/>
    <mergeCell ref="C83:K83"/>
    <mergeCell ref="C84:K84"/>
    <mergeCell ref="C73:K73"/>
    <mergeCell ref="C74:K74"/>
    <mergeCell ref="C75:K75"/>
    <mergeCell ref="C76:K76"/>
    <mergeCell ref="C77:K77"/>
    <mergeCell ref="C78:K78"/>
    <mergeCell ref="C66:E66"/>
    <mergeCell ref="C67:E67"/>
    <mergeCell ref="C68:E68"/>
    <mergeCell ref="C69:E69"/>
    <mergeCell ref="C71:K71"/>
    <mergeCell ref="C72:K72"/>
    <mergeCell ref="C60:E60"/>
    <mergeCell ref="C61:E61"/>
    <mergeCell ref="C62:E62"/>
    <mergeCell ref="C63:E63"/>
    <mergeCell ref="C64:E64"/>
    <mergeCell ref="C65:E65"/>
    <mergeCell ref="C53:E53"/>
    <mergeCell ref="C55:N55"/>
    <mergeCell ref="C56:E56"/>
    <mergeCell ref="C57:N57"/>
    <mergeCell ref="C58:N58"/>
    <mergeCell ref="C59:E59"/>
    <mergeCell ref="C47:E47"/>
    <mergeCell ref="C48:E48"/>
    <mergeCell ref="C49:E49"/>
    <mergeCell ref="C50:E50"/>
    <mergeCell ref="C51:E51"/>
    <mergeCell ref="C52:E52"/>
    <mergeCell ref="C41:N41"/>
    <mergeCell ref="C42:E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536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1">
    <pageSetUpPr fitToPage="1"/>
  </sheetPr>
  <dimension ref="B1:I37"/>
  <sheetViews>
    <sheetView showGridLines="0" topLeftCell="B10" zoomScale="115" zoomScaleNormal="115" workbookViewId="0">
      <selection activeCell="E17" sqref="E17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20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/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663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3392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143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798.81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507">
        <v>161.04</v>
      </c>
      <c r="F15" s="508"/>
      <c r="G15" s="509"/>
      <c r="H15" s="691" t="s">
        <v>641</v>
      </c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693">
        <f>I30/E15</f>
        <v>4.96</v>
      </c>
      <c r="F17" s="508"/>
      <c r="G17" s="509"/>
      <c r="H17" s="691" t="s">
        <v>279</v>
      </c>
      <c r="I17" s="9"/>
    </row>
    <row r="18" spans="2:9" x14ac:dyDescent="0.2">
      <c r="B18" s="6"/>
      <c r="C18" s="24" t="s">
        <v>286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x14ac:dyDescent="0.2">
      <c r="B26" s="511">
        <v>1</v>
      </c>
      <c r="C26" s="512" t="s">
        <v>3393</v>
      </c>
      <c r="D26" s="513" t="s">
        <v>604</v>
      </c>
      <c r="E26" s="514">
        <v>84.06</v>
      </c>
      <c r="F26" s="514">
        <v>14.24</v>
      </c>
      <c r="G26" s="514">
        <v>548.41</v>
      </c>
      <c r="H26" s="514"/>
      <c r="I26" s="514">
        <v>646.71</v>
      </c>
    </row>
    <row r="27" spans="2:9" x14ac:dyDescent="0.2">
      <c r="B27" s="511">
        <v>2</v>
      </c>
      <c r="C27" s="512" t="s">
        <v>3394</v>
      </c>
      <c r="D27" s="513" t="s">
        <v>606</v>
      </c>
      <c r="E27" s="514">
        <v>40.119999999999997</v>
      </c>
      <c r="F27" s="514"/>
      <c r="G27" s="514"/>
      <c r="H27" s="514"/>
      <c r="I27" s="514">
        <v>40.119999999999997</v>
      </c>
    </row>
    <row r="28" spans="2:9" ht="25.5" x14ac:dyDescent="0.2">
      <c r="B28" s="511">
        <v>3</v>
      </c>
      <c r="C28" s="512" t="s">
        <v>3395</v>
      </c>
      <c r="D28" s="513" t="s">
        <v>609</v>
      </c>
      <c r="E28" s="514">
        <v>1.86</v>
      </c>
      <c r="F28" s="514">
        <v>35.61</v>
      </c>
      <c r="G28" s="514">
        <v>74.510000000000005</v>
      </c>
      <c r="H28" s="514"/>
      <c r="I28" s="514">
        <v>111.98</v>
      </c>
    </row>
    <row r="29" spans="2:9" x14ac:dyDescent="0.2">
      <c r="B29" s="511" t="s">
        <v>143</v>
      </c>
      <c r="C29" s="512" t="s">
        <v>143</v>
      </c>
      <c r="D29" s="513" t="s">
        <v>6725</v>
      </c>
      <c r="E29" s="514">
        <v>126.04</v>
      </c>
      <c r="F29" s="514">
        <v>49.85</v>
      </c>
      <c r="G29" s="514">
        <v>622.91999999999996</v>
      </c>
      <c r="H29" s="514"/>
      <c r="I29" s="514">
        <v>798.81</v>
      </c>
    </row>
    <row r="30" spans="2:9" x14ac:dyDescent="0.2">
      <c r="B30" s="511" t="s">
        <v>143</v>
      </c>
      <c r="C30" s="512" t="s">
        <v>143</v>
      </c>
      <c r="D30" s="515" t="s">
        <v>294</v>
      </c>
      <c r="E30" s="527">
        <v>126.04</v>
      </c>
      <c r="F30" s="527">
        <v>49.85</v>
      </c>
      <c r="G30" s="527">
        <v>622.91999999999996</v>
      </c>
      <c r="H30" s="527"/>
      <c r="I30" s="527">
        <v>798.81</v>
      </c>
    </row>
    <row r="31" spans="2:9" x14ac:dyDescent="0.2">
      <c r="B31" s="31"/>
      <c r="C31" s="32"/>
      <c r="D31" s="33"/>
      <c r="E31" s="34"/>
      <c r="F31" s="34"/>
      <c r="G31" s="34"/>
      <c r="H31" s="34"/>
      <c r="I31" s="34"/>
    </row>
    <row r="34" spans="2:9" ht="15" x14ac:dyDescent="0.2">
      <c r="B34" s="35" t="s">
        <v>149</v>
      </c>
      <c r="D34" s="516"/>
      <c r="E34" s="517"/>
      <c r="F34" s="516"/>
      <c r="G34" s="516" t="s">
        <v>296</v>
      </c>
      <c r="I34" s="518"/>
    </row>
    <row r="35" spans="2:9" ht="15" x14ac:dyDescent="0.2">
      <c r="C35" s="39"/>
      <c r="D35" s="1793" t="s">
        <v>150</v>
      </c>
      <c r="E35" s="1793"/>
      <c r="F35" s="1793"/>
      <c r="G35" s="1793"/>
      <c r="H35" s="1793"/>
      <c r="I35" s="1793"/>
    </row>
    <row r="36" spans="2:9" ht="15" x14ac:dyDescent="0.2">
      <c r="B36" s="35" t="s">
        <v>151</v>
      </c>
      <c r="D36" s="516"/>
      <c r="E36" s="517"/>
      <c r="F36" s="516"/>
      <c r="G36" s="516" t="s">
        <v>297</v>
      </c>
      <c r="H36" s="517"/>
      <c r="I36" s="518"/>
    </row>
    <row r="37" spans="2:9" x14ac:dyDescent="0.2">
      <c r="D37" s="1793" t="s">
        <v>150</v>
      </c>
      <c r="E37" s="1793"/>
      <c r="F37" s="1793"/>
      <c r="G37" s="1793"/>
      <c r="H37" s="1793"/>
      <c r="I37" s="1793"/>
    </row>
  </sheetData>
  <mergeCells count="18">
    <mergeCell ref="B25:I25"/>
    <mergeCell ref="D35:I35"/>
    <mergeCell ref="D37:I37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  <mergeCell ref="B11:I11"/>
    <mergeCell ref="C3:H3"/>
    <mergeCell ref="D4:G4"/>
    <mergeCell ref="C5:H5"/>
    <mergeCell ref="D6:G6"/>
    <mergeCell ref="D10:H10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2">
    <pageSetUpPr fitToPage="1"/>
  </sheetPr>
  <dimension ref="B1:I37"/>
  <sheetViews>
    <sheetView showGridLines="0" topLeftCell="B11" zoomScale="115" zoomScaleNormal="115" workbookViewId="0">
      <selection activeCell="B26" sqref="B26:I28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20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/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663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3392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143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4322.54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507">
        <v>161.04</v>
      </c>
      <c r="F15" s="508"/>
      <c r="G15" s="509"/>
      <c r="H15" s="691" t="s">
        <v>641</v>
      </c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693">
        <f>I30/E15</f>
        <v>26.841000000000001</v>
      </c>
      <c r="F17" s="508"/>
      <c r="G17" s="509"/>
      <c r="H17" s="691" t="s">
        <v>279</v>
      </c>
      <c r="I17" s="9"/>
    </row>
    <row r="18" spans="2:9" x14ac:dyDescent="0.2">
      <c r="B18" s="6"/>
      <c r="C18" s="24" t="s">
        <v>8554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x14ac:dyDescent="0.2">
      <c r="B26" s="511">
        <v>1</v>
      </c>
      <c r="C26" s="512" t="s">
        <v>3393</v>
      </c>
      <c r="D26" s="513" t="s">
        <v>604</v>
      </c>
      <c r="E26" s="514">
        <v>699.37</v>
      </c>
      <c r="F26" s="514">
        <v>118.45</v>
      </c>
      <c r="G26" s="514">
        <v>2517.1799999999998</v>
      </c>
      <c r="H26" s="514"/>
      <c r="I26" s="514">
        <v>3335</v>
      </c>
    </row>
    <row r="27" spans="2:9" x14ac:dyDescent="0.2">
      <c r="B27" s="511">
        <v>2</v>
      </c>
      <c r="C27" s="512" t="s">
        <v>3394</v>
      </c>
      <c r="D27" s="513" t="s">
        <v>606</v>
      </c>
      <c r="E27" s="514">
        <v>333.78</v>
      </c>
      <c r="F27" s="514"/>
      <c r="G27" s="514"/>
      <c r="H27" s="514"/>
      <c r="I27" s="514">
        <v>333.78</v>
      </c>
    </row>
    <row r="28" spans="2:9" ht="25.5" x14ac:dyDescent="0.2">
      <c r="B28" s="511">
        <v>3</v>
      </c>
      <c r="C28" s="512" t="s">
        <v>3395</v>
      </c>
      <c r="D28" s="513" t="s">
        <v>609</v>
      </c>
      <c r="E28" s="514">
        <v>15.48</v>
      </c>
      <c r="F28" s="514">
        <v>296.26</v>
      </c>
      <c r="G28" s="514">
        <v>342.02</v>
      </c>
      <c r="H28" s="514"/>
      <c r="I28" s="514">
        <v>653.76</v>
      </c>
    </row>
    <row r="29" spans="2:9" x14ac:dyDescent="0.2">
      <c r="B29" s="511" t="s">
        <v>143</v>
      </c>
      <c r="C29" s="512" t="s">
        <v>143</v>
      </c>
      <c r="D29" s="513" t="s">
        <v>6725</v>
      </c>
      <c r="E29" s="514">
        <v>1048.6300000000001</v>
      </c>
      <c r="F29" s="514">
        <v>414.71</v>
      </c>
      <c r="G29" s="514">
        <v>2859.2</v>
      </c>
      <c r="H29" s="514"/>
      <c r="I29" s="514">
        <v>4322.54</v>
      </c>
    </row>
    <row r="30" spans="2:9" x14ac:dyDescent="0.2">
      <c r="B30" s="511" t="s">
        <v>143</v>
      </c>
      <c r="C30" s="512" t="s">
        <v>143</v>
      </c>
      <c r="D30" s="515" t="s">
        <v>294</v>
      </c>
      <c r="E30" s="527">
        <v>1048.6300000000001</v>
      </c>
      <c r="F30" s="527">
        <v>414.71</v>
      </c>
      <c r="G30" s="527">
        <v>2859.2</v>
      </c>
      <c r="H30" s="527"/>
      <c r="I30" s="527">
        <v>4322.54</v>
      </c>
    </row>
    <row r="31" spans="2:9" x14ac:dyDescent="0.2">
      <c r="B31" s="31"/>
      <c r="C31" s="32"/>
      <c r="D31" s="33"/>
      <c r="E31" s="34"/>
      <c r="F31" s="34"/>
      <c r="G31" s="34"/>
      <c r="H31" s="34"/>
      <c r="I31" s="34"/>
    </row>
    <row r="34" spans="2:9" ht="15" x14ac:dyDescent="0.2">
      <c r="B34" s="35" t="s">
        <v>149</v>
      </c>
      <c r="D34" s="516"/>
      <c r="E34" s="517"/>
      <c r="F34" s="516"/>
      <c r="G34" s="516" t="s">
        <v>296</v>
      </c>
      <c r="I34" s="518"/>
    </row>
    <row r="35" spans="2:9" ht="15" x14ac:dyDescent="0.2">
      <c r="C35" s="39"/>
      <c r="D35" s="1793" t="s">
        <v>150</v>
      </c>
      <c r="E35" s="1793"/>
      <c r="F35" s="1793"/>
      <c r="G35" s="1793"/>
      <c r="H35" s="1793"/>
      <c r="I35" s="1793"/>
    </row>
    <row r="36" spans="2:9" ht="15" x14ac:dyDescent="0.2">
      <c r="B36" s="35" t="s">
        <v>151</v>
      </c>
      <c r="D36" s="516"/>
      <c r="E36" s="517"/>
      <c r="F36" s="516"/>
      <c r="G36" s="516" t="s">
        <v>297</v>
      </c>
      <c r="H36" s="517"/>
      <c r="I36" s="518"/>
    </row>
    <row r="37" spans="2:9" x14ac:dyDescent="0.2">
      <c r="D37" s="1793" t="s">
        <v>150</v>
      </c>
      <c r="E37" s="1793"/>
      <c r="F37" s="1793"/>
      <c r="G37" s="1793"/>
      <c r="H37" s="1793"/>
      <c r="I37" s="1793"/>
    </row>
  </sheetData>
  <mergeCells count="18">
    <mergeCell ref="B25:I25"/>
    <mergeCell ref="D35:I35"/>
    <mergeCell ref="D37:I37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  <mergeCell ref="B11:I11"/>
    <mergeCell ref="C3:H3"/>
    <mergeCell ref="D4:G4"/>
    <mergeCell ref="C5:H5"/>
    <mergeCell ref="D6:G6"/>
    <mergeCell ref="D10:H10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/>
  <dimension ref="A1:AL401"/>
  <sheetViews>
    <sheetView topLeftCell="A364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30" width="34.140625" style="537" hidden="1" customWidth="1"/>
    <col min="31" max="33" width="84.42578125" style="537" hidden="1" customWidth="1"/>
    <col min="34" max="34" width="110.140625" style="537" hidden="1" customWidth="1"/>
    <col min="35" max="35" width="138.42578125" style="537" hidden="1" customWidth="1"/>
    <col min="36" max="38" width="84.42578125" style="537" hidden="1" customWidth="1"/>
    <col min="39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447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447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3397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3397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3398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604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604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1143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3335</v>
      </c>
      <c r="D28" s="579" t="s">
        <v>8569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699.37</v>
      </c>
      <c r="D30" s="579" t="s">
        <v>3399</v>
      </c>
      <c r="E30" s="665" t="s">
        <v>167</v>
      </c>
      <c r="G30" s="536" t="s">
        <v>170</v>
      </c>
      <c r="L30" s="580">
        <v>0</v>
      </c>
      <c r="M30" s="579" t="s">
        <v>3400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118.45</v>
      </c>
      <c r="D31" s="583" t="s">
        <v>3401</v>
      </c>
      <c r="E31" s="665" t="s">
        <v>167</v>
      </c>
      <c r="G31" s="536" t="s">
        <v>172</v>
      </c>
      <c r="L31" s="582"/>
      <c r="M31" s="582">
        <v>1074.43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2517.1799999999998</v>
      </c>
      <c r="D32" s="583" t="s">
        <v>8570</v>
      </c>
      <c r="E32" s="665" t="s">
        <v>167</v>
      </c>
      <c r="G32" s="536" t="s">
        <v>174</v>
      </c>
      <c r="L32" s="582"/>
      <c r="M32" s="582">
        <v>37.200000000000003</v>
      </c>
      <c r="N32" s="581" t="s">
        <v>173</v>
      </c>
    </row>
    <row r="33" spans="1:27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7" s="536" customFormat="1" ht="9.75" customHeight="1" x14ac:dyDescent="0.2">
      <c r="A34" s="578"/>
    </row>
    <row r="35" spans="1:27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7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7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7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7" s="536" customFormat="1" ht="12" x14ac:dyDescent="0.2">
      <c r="A39" s="1824" t="s">
        <v>1828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1828</v>
      </c>
    </row>
    <row r="40" spans="1:27" s="536" customFormat="1" ht="56.25" x14ac:dyDescent="0.2">
      <c r="A40" s="575" t="s">
        <v>185</v>
      </c>
      <c r="B40" s="670" t="s">
        <v>1829</v>
      </c>
      <c r="C40" s="1823" t="s">
        <v>1830</v>
      </c>
      <c r="D40" s="1823"/>
      <c r="E40" s="1823"/>
      <c r="F40" s="573" t="s">
        <v>862</v>
      </c>
      <c r="G40" s="573"/>
      <c r="H40" s="573"/>
      <c r="I40" s="573" t="s">
        <v>3402</v>
      </c>
      <c r="J40" s="572"/>
      <c r="K40" s="573"/>
      <c r="L40" s="572"/>
      <c r="M40" s="571"/>
      <c r="N40" s="570"/>
      <c r="V40" s="674"/>
      <c r="W40" s="675" t="s">
        <v>1830</v>
      </c>
    </row>
    <row r="41" spans="1:27" s="536" customFormat="1" ht="12" x14ac:dyDescent="0.2">
      <c r="A41" s="676"/>
      <c r="B41" s="664"/>
      <c r="C41" s="1822" t="s">
        <v>3403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3403</v>
      </c>
    </row>
    <row r="42" spans="1:27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Y42" s="537" t="s">
        <v>311</v>
      </c>
    </row>
    <row r="43" spans="1:27" s="536" customFormat="1" ht="12" x14ac:dyDescent="0.2">
      <c r="A43" s="605"/>
      <c r="B43" s="552" t="s">
        <v>185</v>
      </c>
      <c r="C43" s="1822" t="s">
        <v>312</v>
      </c>
      <c r="D43" s="1822"/>
      <c r="E43" s="1822"/>
      <c r="F43" s="562"/>
      <c r="G43" s="562"/>
      <c r="H43" s="562"/>
      <c r="I43" s="562"/>
      <c r="J43" s="604">
        <v>2597.4</v>
      </c>
      <c r="K43" s="562" t="s">
        <v>313</v>
      </c>
      <c r="L43" s="604">
        <v>4045.45</v>
      </c>
      <c r="M43" s="603"/>
      <c r="N43" s="602"/>
      <c r="V43" s="674"/>
      <c r="W43" s="675"/>
      <c r="Z43" s="537" t="s">
        <v>312</v>
      </c>
    </row>
    <row r="44" spans="1:27" s="536" customFormat="1" ht="12" x14ac:dyDescent="0.2">
      <c r="A44" s="605"/>
      <c r="B44" s="552" t="s">
        <v>186</v>
      </c>
      <c r="C44" s="1822" t="s">
        <v>344</v>
      </c>
      <c r="D44" s="1822"/>
      <c r="E44" s="1822"/>
      <c r="F44" s="562"/>
      <c r="G44" s="562"/>
      <c r="H44" s="562"/>
      <c r="I44" s="562"/>
      <c r="J44" s="604">
        <v>54.46</v>
      </c>
      <c r="K44" s="562" t="s">
        <v>313</v>
      </c>
      <c r="L44" s="604">
        <v>84.82</v>
      </c>
      <c r="M44" s="603"/>
      <c r="N44" s="602"/>
      <c r="V44" s="674"/>
      <c r="W44" s="675"/>
      <c r="Z44" s="537" t="s">
        <v>344</v>
      </c>
    </row>
    <row r="45" spans="1:27" s="536" customFormat="1" ht="12" x14ac:dyDescent="0.2">
      <c r="A45" s="605"/>
      <c r="B45" s="552" t="s">
        <v>187</v>
      </c>
      <c r="C45" s="1822" t="s">
        <v>345</v>
      </c>
      <c r="D45" s="1822"/>
      <c r="E45" s="1822"/>
      <c r="F45" s="562"/>
      <c r="G45" s="562"/>
      <c r="H45" s="562"/>
      <c r="I45" s="562"/>
      <c r="J45" s="604">
        <v>13.29</v>
      </c>
      <c r="K45" s="562" t="s">
        <v>313</v>
      </c>
      <c r="L45" s="604">
        <v>20.7</v>
      </c>
      <c r="M45" s="603"/>
      <c r="N45" s="602"/>
      <c r="V45" s="674"/>
      <c r="W45" s="675"/>
      <c r="Z45" s="537" t="s">
        <v>345</v>
      </c>
    </row>
    <row r="46" spans="1:27" s="536" customFormat="1" ht="12" x14ac:dyDescent="0.2">
      <c r="A46" s="605"/>
      <c r="B46" s="552" t="s">
        <v>188</v>
      </c>
      <c r="C46" s="1822" t="s">
        <v>475</v>
      </c>
      <c r="D46" s="1822"/>
      <c r="E46" s="1822"/>
      <c r="F46" s="562"/>
      <c r="G46" s="562"/>
      <c r="H46" s="562"/>
      <c r="I46" s="562"/>
      <c r="J46" s="604">
        <v>20036.939999999999</v>
      </c>
      <c r="K46" s="562"/>
      <c r="L46" s="604">
        <v>9042.7099999999991</v>
      </c>
      <c r="M46" s="603"/>
      <c r="N46" s="602"/>
      <c r="V46" s="674"/>
      <c r="W46" s="675"/>
      <c r="Z46" s="537" t="s">
        <v>475</v>
      </c>
    </row>
    <row r="47" spans="1:27" s="536" customFormat="1" ht="12" x14ac:dyDescent="0.2">
      <c r="A47" s="605"/>
      <c r="B47" s="552"/>
      <c r="C47" s="1822" t="s">
        <v>314</v>
      </c>
      <c r="D47" s="1822"/>
      <c r="E47" s="1822"/>
      <c r="F47" s="562" t="s">
        <v>315</v>
      </c>
      <c r="G47" s="562" t="s">
        <v>1833</v>
      </c>
      <c r="H47" s="562" t="s">
        <v>313</v>
      </c>
      <c r="I47" s="562" t="s">
        <v>3404</v>
      </c>
      <c r="J47" s="604"/>
      <c r="K47" s="562"/>
      <c r="L47" s="604"/>
      <c r="M47" s="603"/>
      <c r="N47" s="602"/>
      <c r="V47" s="674"/>
      <c r="W47" s="675"/>
      <c r="AA47" s="537" t="s">
        <v>314</v>
      </c>
    </row>
    <row r="48" spans="1:27" s="536" customFormat="1" ht="12" x14ac:dyDescent="0.2">
      <c r="A48" s="605"/>
      <c r="B48" s="552"/>
      <c r="C48" s="1822" t="s">
        <v>348</v>
      </c>
      <c r="D48" s="1822"/>
      <c r="E48" s="1822"/>
      <c r="F48" s="562" t="s">
        <v>315</v>
      </c>
      <c r="G48" s="562" t="s">
        <v>367</v>
      </c>
      <c r="H48" s="562" t="s">
        <v>313</v>
      </c>
      <c r="I48" s="562" t="s">
        <v>3405</v>
      </c>
      <c r="J48" s="604"/>
      <c r="K48" s="562"/>
      <c r="L48" s="604"/>
      <c r="M48" s="603"/>
      <c r="N48" s="602"/>
      <c r="V48" s="674"/>
      <c r="W48" s="675"/>
      <c r="AA48" s="537" t="s">
        <v>348</v>
      </c>
    </row>
    <row r="49" spans="1:29" s="536" customFormat="1" ht="12" x14ac:dyDescent="0.2">
      <c r="A49" s="605"/>
      <c r="B49" s="552"/>
      <c r="C49" s="1828" t="s">
        <v>318</v>
      </c>
      <c r="D49" s="1828"/>
      <c r="E49" s="1828"/>
      <c r="F49" s="608"/>
      <c r="G49" s="608"/>
      <c r="H49" s="608"/>
      <c r="I49" s="608"/>
      <c r="J49" s="607">
        <v>9909.25</v>
      </c>
      <c r="K49" s="608"/>
      <c r="L49" s="607">
        <v>13172.98</v>
      </c>
      <c r="M49" s="601"/>
      <c r="N49" s="606"/>
      <c r="V49" s="674"/>
      <c r="W49" s="675"/>
      <c r="AB49" s="537" t="s">
        <v>318</v>
      </c>
    </row>
    <row r="50" spans="1:29" s="536" customFormat="1" ht="12" x14ac:dyDescent="0.2">
      <c r="A50" s="605"/>
      <c r="B50" s="552"/>
      <c r="C50" s="1822" t="s">
        <v>319</v>
      </c>
      <c r="D50" s="1822"/>
      <c r="E50" s="1822"/>
      <c r="F50" s="562"/>
      <c r="G50" s="562"/>
      <c r="H50" s="562"/>
      <c r="I50" s="562"/>
      <c r="J50" s="604"/>
      <c r="K50" s="562"/>
      <c r="L50" s="604">
        <v>4066.15</v>
      </c>
      <c r="M50" s="603"/>
      <c r="N50" s="602"/>
      <c r="V50" s="674"/>
      <c r="W50" s="675"/>
      <c r="AA50" s="537" t="s">
        <v>319</v>
      </c>
    </row>
    <row r="51" spans="1:29" s="536" customFormat="1" ht="33.75" x14ac:dyDescent="0.2">
      <c r="A51" s="605"/>
      <c r="B51" s="552" t="s">
        <v>1308</v>
      </c>
      <c r="C51" s="1822" t="s">
        <v>1309</v>
      </c>
      <c r="D51" s="1822"/>
      <c r="E51" s="1822"/>
      <c r="F51" s="562" t="s">
        <v>322</v>
      </c>
      <c r="G51" s="562" t="s">
        <v>844</v>
      </c>
      <c r="H51" s="562"/>
      <c r="I51" s="562" t="s">
        <v>844</v>
      </c>
      <c r="J51" s="604"/>
      <c r="K51" s="562"/>
      <c r="L51" s="604">
        <v>4066.15</v>
      </c>
      <c r="M51" s="603"/>
      <c r="N51" s="602"/>
      <c r="V51" s="674"/>
      <c r="W51" s="675"/>
      <c r="AA51" s="537" t="s">
        <v>1309</v>
      </c>
    </row>
    <row r="52" spans="1:29" s="536" customFormat="1" ht="33.75" x14ac:dyDescent="0.2">
      <c r="A52" s="605"/>
      <c r="B52" s="552" t="s">
        <v>1310</v>
      </c>
      <c r="C52" s="1822" t="s">
        <v>1311</v>
      </c>
      <c r="D52" s="1822"/>
      <c r="E52" s="1822"/>
      <c r="F52" s="562" t="s">
        <v>322</v>
      </c>
      <c r="G52" s="562" t="s">
        <v>784</v>
      </c>
      <c r="H52" s="562"/>
      <c r="I52" s="562" t="s">
        <v>784</v>
      </c>
      <c r="J52" s="604"/>
      <c r="K52" s="562"/>
      <c r="L52" s="604">
        <v>1992.41</v>
      </c>
      <c r="M52" s="603"/>
      <c r="N52" s="602"/>
      <c r="V52" s="674"/>
      <c r="W52" s="675"/>
      <c r="AA52" s="537" t="s">
        <v>1311</v>
      </c>
    </row>
    <row r="53" spans="1:29" s="536" customFormat="1" ht="12" x14ac:dyDescent="0.2">
      <c r="A53" s="569"/>
      <c r="B53" s="671"/>
      <c r="C53" s="1823" t="s">
        <v>327</v>
      </c>
      <c r="D53" s="1823"/>
      <c r="E53" s="1823"/>
      <c r="F53" s="573"/>
      <c r="G53" s="573"/>
      <c r="H53" s="573"/>
      <c r="I53" s="573"/>
      <c r="J53" s="572"/>
      <c r="K53" s="573"/>
      <c r="L53" s="572">
        <v>19231.54</v>
      </c>
      <c r="M53" s="601"/>
      <c r="N53" s="570"/>
      <c r="V53" s="674"/>
      <c r="W53" s="675"/>
      <c r="AC53" s="675" t="s">
        <v>327</v>
      </c>
    </row>
    <row r="54" spans="1:29" s="536" customFormat="1" ht="56.25" x14ac:dyDescent="0.2">
      <c r="A54" s="575" t="s">
        <v>186</v>
      </c>
      <c r="B54" s="670" t="s">
        <v>1836</v>
      </c>
      <c r="C54" s="1823" t="s">
        <v>3406</v>
      </c>
      <c r="D54" s="1823"/>
      <c r="E54" s="1823"/>
      <c r="F54" s="573" t="s">
        <v>865</v>
      </c>
      <c r="G54" s="573"/>
      <c r="H54" s="573"/>
      <c r="I54" s="573" t="s">
        <v>3407</v>
      </c>
      <c r="J54" s="572">
        <v>138.54</v>
      </c>
      <c r="K54" s="573"/>
      <c r="L54" s="572">
        <v>17262.080000000002</v>
      </c>
      <c r="M54" s="571"/>
      <c r="N54" s="570"/>
      <c r="V54" s="674"/>
      <c r="W54" s="675" t="s">
        <v>3406</v>
      </c>
      <c r="AC54" s="675"/>
    </row>
    <row r="55" spans="1:29" s="536" customFormat="1" ht="12" x14ac:dyDescent="0.2">
      <c r="A55" s="569"/>
      <c r="B55" s="671"/>
      <c r="C55" s="665" t="s">
        <v>717</v>
      </c>
      <c r="D55" s="666"/>
      <c r="E55" s="666"/>
      <c r="F55" s="563"/>
      <c r="G55" s="563"/>
      <c r="H55" s="563"/>
      <c r="I55" s="563"/>
      <c r="J55" s="566"/>
      <c r="K55" s="563"/>
      <c r="L55" s="566"/>
      <c r="M55" s="565"/>
      <c r="N55" s="564"/>
      <c r="V55" s="674"/>
      <c r="W55" s="675"/>
      <c r="AC55" s="675"/>
    </row>
    <row r="56" spans="1:29" s="536" customFormat="1" ht="12" x14ac:dyDescent="0.2">
      <c r="A56" s="676"/>
      <c r="B56" s="664"/>
      <c r="C56" s="1822" t="s">
        <v>3408</v>
      </c>
      <c r="D56" s="1822"/>
      <c r="E56" s="1822"/>
      <c r="F56" s="1822"/>
      <c r="G56" s="1822"/>
      <c r="H56" s="1822"/>
      <c r="I56" s="1822"/>
      <c r="J56" s="1822"/>
      <c r="K56" s="1822"/>
      <c r="L56" s="1822"/>
      <c r="M56" s="1822"/>
      <c r="N56" s="1827"/>
      <c r="V56" s="674"/>
      <c r="W56" s="675"/>
      <c r="X56" s="537" t="s">
        <v>3408</v>
      </c>
      <c r="AC56" s="675"/>
    </row>
    <row r="57" spans="1:29" s="536" customFormat="1" ht="33.75" x14ac:dyDescent="0.2">
      <c r="A57" s="575" t="s">
        <v>187</v>
      </c>
      <c r="B57" s="670" t="s">
        <v>1840</v>
      </c>
      <c r="C57" s="1823" t="s">
        <v>1841</v>
      </c>
      <c r="D57" s="1823"/>
      <c r="E57" s="1823"/>
      <c r="F57" s="573" t="s">
        <v>862</v>
      </c>
      <c r="G57" s="573"/>
      <c r="H57" s="573"/>
      <c r="I57" s="573" t="s">
        <v>3409</v>
      </c>
      <c r="J57" s="572"/>
      <c r="K57" s="573"/>
      <c r="L57" s="572"/>
      <c r="M57" s="571"/>
      <c r="N57" s="570"/>
      <c r="V57" s="674"/>
      <c r="W57" s="675" t="s">
        <v>1841</v>
      </c>
      <c r="AC57" s="675"/>
    </row>
    <row r="58" spans="1:29" s="536" customFormat="1" ht="12" x14ac:dyDescent="0.2">
      <c r="A58" s="676"/>
      <c r="B58" s="664"/>
      <c r="C58" s="1822" t="s">
        <v>3410</v>
      </c>
      <c r="D58" s="1822"/>
      <c r="E58" s="1822"/>
      <c r="F58" s="1822"/>
      <c r="G58" s="1822"/>
      <c r="H58" s="1822"/>
      <c r="I58" s="1822"/>
      <c r="J58" s="1822"/>
      <c r="K58" s="1822"/>
      <c r="L58" s="1822"/>
      <c r="M58" s="1822"/>
      <c r="N58" s="1827"/>
      <c r="V58" s="674"/>
      <c r="W58" s="675"/>
      <c r="X58" s="537" t="s">
        <v>3410</v>
      </c>
      <c r="AC58" s="675"/>
    </row>
    <row r="59" spans="1:29" s="536" customFormat="1" ht="33.75" x14ac:dyDescent="0.2">
      <c r="A59" s="609"/>
      <c r="B59" s="552" t="s">
        <v>310</v>
      </c>
      <c r="C59" s="1822" t="s">
        <v>311</v>
      </c>
      <c r="D59" s="1822"/>
      <c r="E59" s="1822"/>
      <c r="F59" s="1822"/>
      <c r="G59" s="1822"/>
      <c r="H59" s="1822"/>
      <c r="I59" s="1822"/>
      <c r="J59" s="1822"/>
      <c r="K59" s="1822"/>
      <c r="L59" s="1822"/>
      <c r="M59" s="1822"/>
      <c r="N59" s="1827"/>
      <c r="V59" s="674"/>
      <c r="W59" s="675"/>
      <c r="Y59" s="537" t="s">
        <v>311</v>
      </c>
      <c r="AC59" s="675"/>
    </row>
    <row r="60" spans="1:29" s="536" customFormat="1" ht="12" x14ac:dyDescent="0.2">
      <c r="A60" s="605"/>
      <c r="B60" s="552" t="s">
        <v>185</v>
      </c>
      <c r="C60" s="1822" t="s">
        <v>312</v>
      </c>
      <c r="D60" s="1822"/>
      <c r="E60" s="1822"/>
      <c r="F60" s="562"/>
      <c r="G60" s="562"/>
      <c r="H60" s="562"/>
      <c r="I60" s="562"/>
      <c r="J60" s="604">
        <v>829.12</v>
      </c>
      <c r="K60" s="562" t="s">
        <v>313</v>
      </c>
      <c r="L60" s="604">
        <v>811.5</v>
      </c>
      <c r="M60" s="603"/>
      <c r="N60" s="602"/>
      <c r="V60" s="674"/>
      <c r="W60" s="675"/>
      <c r="Z60" s="537" t="s">
        <v>312</v>
      </c>
      <c r="AC60" s="675"/>
    </row>
    <row r="61" spans="1:29" s="536" customFormat="1" ht="12" x14ac:dyDescent="0.2">
      <c r="A61" s="605"/>
      <c r="B61" s="552" t="s">
        <v>186</v>
      </c>
      <c r="C61" s="1822" t="s">
        <v>344</v>
      </c>
      <c r="D61" s="1822"/>
      <c r="E61" s="1822"/>
      <c r="F61" s="562"/>
      <c r="G61" s="562"/>
      <c r="H61" s="562"/>
      <c r="I61" s="562"/>
      <c r="J61" s="604">
        <v>21.88</v>
      </c>
      <c r="K61" s="562" t="s">
        <v>313</v>
      </c>
      <c r="L61" s="604">
        <v>21.42</v>
      </c>
      <c r="M61" s="603"/>
      <c r="N61" s="602"/>
      <c r="V61" s="674"/>
      <c r="W61" s="675"/>
      <c r="Z61" s="537" t="s">
        <v>344</v>
      </c>
      <c r="AC61" s="675"/>
    </row>
    <row r="62" spans="1:29" s="536" customFormat="1" ht="12" x14ac:dyDescent="0.2">
      <c r="A62" s="605"/>
      <c r="B62" s="552" t="s">
        <v>187</v>
      </c>
      <c r="C62" s="1822" t="s">
        <v>345</v>
      </c>
      <c r="D62" s="1822"/>
      <c r="E62" s="1822"/>
      <c r="F62" s="562"/>
      <c r="G62" s="562"/>
      <c r="H62" s="562"/>
      <c r="I62" s="562"/>
      <c r="J62" s="604">
        <v>3.51</v>
      </c>
      <c r="K62" s="562" t="s">
        <v>313</v>
      </c>
      <c r="L62" s="604">
        <v>3.44</v>
      </c>
      <c r="M62" s="603"/>
      <c r="N62" s="602"/>
      <c r="V62" s="674"/>
      <c r="W62" s="675"/>
      <c r="Z62" s="537" t="s">
        <v>345</v>
      </c>
      <c r="AC62" s="675"/>
    </row>
    <row r="63" spans="1:29" s="536" customFormat="1" ht="12" x14ac:dyDescent="0.2">
      <c r="A63" s="605"/>
      <c r="B63" s="552" t="s">
        <v>188</v>
      </c>
      <c r="C63" s="1822" t="s">
        <v>475</v>
      </c>
      <c r="D63" s="1822"/>
      <c r="E63" s="1822"/>
      <c r="F63" s="562"/>
      <c r="G63" s="562"/>
      <c r="H63" s="562"/>
      <c r="I63" s="562"/>
      <c r="J63" s="604">
        <v>6516.18</v>
      </c>
      <c r="K63" s="562"/>
      <c r="L63" s="604">
        <v>103.5</v>
      </c>
      <c r="M63" s="603"/>
      <c r="N63" s="602"/>
      <c r="V63" s="674"/>
      <c r="W63" s="675"/>
      <c r="Z63" s="537" t="s">
        <v>475</v>
      </c>
      <c r="AC63" s="675"/>
    </row>
    <row r="64" spans="1:29" s="536" customFormat="1" ht="12" x14ac:dyDescent="0.2">
      <c r="A64" s="605"/>
      <c r="B64" s="552"/>
      <c r="C64" s="1822" t="s">
        <v>314</v>
      </c>
      <c r="D64" s="1822"/>
      <c r="E64" s="1822"/>
      <c r="F64" s="562" t="s">
        <v>315</v>
      </c>
      <c r="G64" s="562" t="s">
        <v>1844</v>
      </c>
      <c r="H64" s="562" t="s">
        <v>313</v>
      </c>
      <c r="I64" s="562" t="s">
        <v>3411</v>
      </c>
      <c r="J64" s="604"/>
      <c r="K64" s="562"/>
      <c r="L64" s="604"/>
      <c r="M64" s="603"/>
      <c r="N64" s="602"/>
      <c r="V64" s="674"/>
      <c r="W64" s="675"/>
      <c r="AA64" s="537" t="s">
        <v>314</v>
      </c>
      <c r="AC64" s="675"/>
    </row>
    <row r="65" spans="1:29" s="536" customFormat="1" ht="12" x14ac:dyDescent="0.2">
      <c r="A65" s="605"/>
      <c r="B65" s="552"/>
      <c r="C65" s="1822" t="s">
        <v>348</v>
      </c>
      <c r="D65" s="1822"/>
      <c r="E65" s="1822"/>
      <c r="F65" s="562" t="s">
        <v>315</v>
      </c>
      <c r="G65" s="562" t="s">
        <v>1846</v>
      </c>
      <c r="H65" s="562" t="s">
        <v>313</v>
      </c>
      <c r="I65" s="562" t="s">
        <v>3412</v>
      </c>
      <c r="J65" s="604"/>
      <c r="K65" s="562"/>
      <c r="L65" s="604"/>
      <c r="M65" s="603"/>
      <c r="N65" s="602"/>
      <c r="V65" s="674"/>
      <c r="W65" s="675"/>
      <c r="AA65" s="537" t="s">
        <v>348</v>
      </c>
      <c r="AC65" s="675"/>
    </row>
    <row r="66" spans="1:29" s="536" customFormat="1" ht="12" x14ac:dyDescent="0.2">
      <c r="A66" s="605"/>
      <c r="B66" s="552"/>
      <c r="C66" s="1828" t="s">
        <v>318</v>
      </c>
      <c r="D66" s="1828"/>
      <c r="E66" s="1828"/>
      <c r="F66" s="608"/>
      <c r="G66" s="608"/>
      <c r="H66" s="608"/>
      <c r="I66" s="608"/>
      <c r="J66" s="607">
        <v>983.18</v>
      </c>
      <c r="K66" s="608"/>
      <c r="L66" s="607">
        <v>936.42</v>
      </c>
      <c r="M66" s="601"/>
      <c r="N66" s="606"/>
      <c r="V66" s="674"/>
      <c r="W66" s="675"/>
      <c r="AB66" s="537" t="s">
        <v>318</v>
      </c>
      <c r="AC66" s="675"/>
    </row>
    <row r="67" spans="1:29" s="536" customFormat="1" ht="12" x14ac:dyDescent="0.2">
      <c r="A67" s="605"/>
      <c r="B67" s="552"/>
      <c r="C67" s="1822" t="s">
        <v>319</v>
      </c>
      <c r="D67" s="1822"/>
      <c r="E67" s="1822"/>
      <c r="F67" s="562"/>
      <c r="G67" s="562"/>
      <c r="H67" s="562"/>
      <c r="I67" s="562"/>
      <c r="J67" s="604"/>
      <c r="K67" s="562"/>
      <c r="L67" s="604">
        <v>814.94</v>
      </c>
      <c r="M67" s="603"/>
      <c r="N67" s="602"/>
      <c r="V67" s="674"/>
      <c r="W67" s="675"/>
      <c r="AA67" s="537" t="s">
        <v>319</v>
      </c>
      <c r="AC67" s="675"/>
    </row>
    <row r="68" spans="1:29" s="536" customFormat="1" ht="33.75" x14ac:dyDescent="0.2">
      <c r="A68" s="605"/>
      <c r="B68" s="552" t="s">
        <v>1155</v>
      </c>
      <c r="C68" s="1822" t="s">
        <v>1156</v>
      </c>
      <c r="D68" s="1822"/>
      <c r="E68" s="1822"/>
      <c r="F68" s="562" t="s">
        <v>322</v>
      </c>
      <c r="G68" s="562" t="s">
        <v>1157</v>
      </c>
      <c r="H68" s="562"/>
      <c r="I68" s="562" t="s">
        <v>1157</v>
      </c>
      <c r="J68" s="604"/>
      <c r="K68" s="562"/>
      <c r="L68" s="604">
        <v>888.28</v>
      </c>
      <c r="M68" s="603"/>
      <c r="N68" s="602"/>
      <c r="V68" s="674"/>
      <c r="W68" s="675"/>
      <c r="AA68" s="537" t="s">
        <v>1156</v>
      </c>
      <c r="AC68" s="675"/>
    </row>
    <row r="69" spans="1:29" s="536" customFormat="1" ht="33.75" x14ac:dyDescent="0.2">
      <c r="A69" s="605"/>
      <c r="B69" s="552" t="s">
        <v>1158</v>
      </c>
      <c r="C69" s="1822" t="s">
        <v>1159</v>
      </c>
      <c r="D69" s="1822"/>
      <c r="E69" s="1822"/>
      <c r="F69" s="562" t="s">
        <v>322</v>
      </c>
      <c r="G69" s="562" t="s">
        <v>791</v>
      </c>
      <c r="H69" s="562"/>
      <c r="I69" s="562" t="s">
        <v>791</v>
      </c>
      <c r="J69" s="604"/>
      <c r="K69" s="562"/>
      <c r="L69" s="604">
        <v>464.52</v>
      </c>
      <c r="M69" s="603"/>
      <c r="N69" s="602"/>
      <c r="V69" s="674"/>
      <c r="W69" s="675"/>
      <c r="AA69" s="537" t="s">
        <v>1159</v>
      </c>
      <c r="AC69" s="675"/>
    </row>
    <row r="70" spans="1:29" s="536" customFormat="1" ht="12" x14ac:dyDescent="0.2">
      <c r="A70" s="569"/>
      <c r="B70" s="671"/>
      <c r="C70" s="1823" t="s">
        <v>327</v>
      </c>
      <c r="D70" s="1823"/>
      <c r="E70" s="1823"/>
      <c r="F70" s="573"/>
      <c r="G70" s="573"/>
      <c r="H70" s="573"/>
      <c r="I70" s="573"/>
      <c r="J70" s="572"/>
      <c r="K70" s="573"/>
      <c r="L70" s="572">
        <v>2289.2199999999998</v>
      </c>
      <c r="M70" s="601"/>
      <c r="N70" s="570"/>
      <c r="V70" s="674"/>
      <c r="W70" s="675"/>
      <c r="AC70" s="675" t="s">
        <v>327</v>
      </c>
    </row>
    <row r="71" spans="1:29" s="536" customFormat="1" ht="45" x14ac:dyDescent="0.2">
      <c r="A71" s="575" t="s">
        <v>188</v>
      </c>
      <c r="B71" s="670" t="s">
        <v>1848</v>
      </c>
      <c r="C71" s="1823" t="s">
        <v>1849</v>
      </c>
      <c r="D71" s="1823"/>
      <c r="E71" s="1823"/>
      <c r="F71" s="573" t="s">
        <v>865</v>
      </c>
      <c r="G71" s="573"/>
      <c r="H71" s="573"/>
      <c r="I71" s="573" t="s">
        <v>3413</v>
      </c>
      <c r="J71" s="572">
        <v>37.49</v>
      </c>
      <c r="K71" s="573"/>
      <c r="L71" s="572">
        <v>4262.99</v>
      </c>
      <c r="M71" s="571"/>
      <c r="N71" s="570"/>
      <c r="V71" s="674"/>
      <c r="W71" s="675" t="s">
        <v>1849</v>
      </c>
      <c r="AC71" s="675"/>
    </row>
    <row r="72" spans="1:29" s="536" customFormat="1" ht="12" x14ac:dyDescent="0.2">
      <c r="A72" s="569"/>
      <c r="B72" s="671"/>
      <c r="C72" s="665" t="s">
        <v>717</v>
      </c>
      <c r="D72" s="666"/>
      <c r="E72" s="666"/>
      <c r="F72" s="563"/>
      <c r="G72" s="563"/>
      <c r="H72" s="563"/>
      <c r="I72" s="563"/>
      <c r="J72" s="566"/>
      <c r="K72" s="563"/>
      <c r="L72" s="566"/>
      <c r="M72" s="565"/>
      <c r="N72" s="564"/>
      <c r="V72" s="674"/>
      <c r="W72" s="675"/>
      <c r="AC72" s="675"/>
    </row>
    <row r="73" spans="1:29" s="536" customFormat="1" ht="12" x14ac:dyDescent="0.2">
      <c r="A73" s="676"/>
      <c r="B73" s="664"/>
      <c r="C73" s="1822" t="s">
        <v>3414</v>
      </c>
      <c r="D73" s="1822"/>
      <c r="E73" s="1822"/>
      <c r="F73" s="1822"/>
      <c r="G73" s="1822"/>
      <c r="H73" s="1822"/>
      <c r="I73" s="1822"/>
      <c r="J73" s="1822"/>
      <c r="K73" s="1822"/>
      <c r="L73" s="1822"/>
      <c r="M73" s="1822"/>
      <c r="N73" s="1827"/>
      <c r="V73" s="674"/>
      <c r="W73" s="675"/>
      <c r="X73" s="537" t="s">
        <v>3414</v>
      </c>
      <c r="AC73" s="675"/>
    </row>
    <row r="74" spans="1:29" s="536" customFormat="1" ht="45" x14ac:dyDescent="0.2">
      <c r="A74" s="575" t="s">
        <v>189</v>
      </c>
      <c r="B74" s="670" t="s">
        <v>3415</v>
      </c>
      <c r="C74" s="1823" t="s">
        <v>3416</v>
      </c>
      <c r="D74" s="1823"/>
      <c r="E74" s="1823"/>
      <c r="F74" s="573" t="s">
        <v>862</v>
      </c>
      <c r="G74" s="573"/>
      <c r="H74" s="573"/>
      <c r="I74" s="573" t="s">
        <v>3417</v>
      </c>
      <c r="J74" s="572"/>
      <c r="K74" s="573"/>
      <c r="L74" s="572"/>
      <c r="M74" s="571"/>
      <c r="N74" s="570"/>
      <c r="V74" s="674"/>
      <c r="W74" s="675" t="s">
        <v>3416</v>
      </c>
      <c r="AC74" s="675"/>
    </row>
    <row r="75" spans="1:29" s="536" customFormat="1" ht="12" x14ac:dyDescent="0.2">
      <c r="A75" s="676"/>
      <c r="B75" s="664"/>
      <c r="C75" s="1822" t="s">
        <v>3418</v>
      </c>
      <c r="D75" s="1822"/>
      <c r="E75" s="1822"/>
      <c r="F75" s="1822"/>
      <c r="G75" s="1822"/>
      <c r="H75" s="1822"/>
      <c r="I75" s="1822"/>
      <c r="J75" s="1822"/>
      <c r="K75" s="1822"/>
      <c r="L75" s="1822"/>
      <c r="M75" s="1822"/>
      <c r="N75" s="1827"/>
      <c r="V75" s="674"/>
      <c r="W75" s="675"/>
      <c r="X75" s="537" t="s">
        <v>3418</v>
      </c>
      <c r="AC75" s="675"/>
    </row>
    <row r="76" spans="1:29" s="536" customFormat="1" ht="33.75" x14ac:dyDescent="0.2">
      <c r="A76" s="609"/>
      <c r="B76" s="552" t="s">
        <v>310</v>
      </c>
      <c r="C76" s="1822" t="s">
        <v>311</v>
      </c>
      <c r="D76" s="1822"/>
      <c r="E76" s="1822"/>
      <c r="F76" s="1822"/>
      <c r="G76" s="1822"/>
      <c r="H76" s="1822"/>
      <c r="I76" s="1822"/>
      <c r="J76" s="1822"/>
      <c r="K76" s="1822"/>
      <c r="L76" s="1822"/>
      <c r="M76" s="1822"/>
      <c r="N76" s="1827"/>
      <c r="V76" s="674"/>
      <c r="W76" s="675"/>
      <c r="Y76" s="537" t="s">
        <v>311</v>
      </c>
      <c r="AC76" s="675"/>
    </row>
    <row r="77" spans="1:29" s="536" customFormat="1" ht="12" x14ac:dyDescent="0.2">
      <c r="A77" s="605"/>
      <c r="B77" s="552" t="s">
        <v>185</v>
      </c>
      <c r="C77" s="1822" t="s">
        <v>312</v>
      </c>
      <c r="D77" s="1822"/>
      <c r="E77" s="1822"/>
      <c r="F77" s="562"/>
      <c r="G77" s="562"/>
      <c r="H77" s="562"/>
      <c r="I77" s="562"/>
      <c r="J77" s="604">
        <v>4305.47</v>
      </c>
      <c r="K77" s="562" t="s">
        <v>313</v>
      </c>
      <c r="L77" s="604">
        <v>608.15</v>
      </c>
      <c r="M77" s="603"/>
      <c r="N77" s="602"/>
      <c r="V77" s="674"/>
      <c r="W77" s="675"/>
      <c r="Z77" s="537" t="s">
        <v>312</v>
      </c>
      <c r="AC77" s="675"/>
    </row>
    <row r="78" spans="1:29" s="536" customFormat="1" ht="12" x14ac:dyDescent="0.2">
      <c r="A78" s="605"/>
      <c r="B78" s="552" t="s">
        <v>186</v>
      </c>
      <c r="C78" s="1822" t="s">
        <v>344</v>
      </c>
      <c r="D78" s="1822"/>
      <c r="E78" s="1822"/>
      <c r="F78" s="562"/>
      <c r="G78" s="562"/>
      <c r="H78" s="562"/>
      <c r="I78" s="562"/>
      <c r="J78" s="604">
        <v>871.26</v>
      </c>
      <c r="K78" s="562" t="s">
        <v>313</v>
      </c>
      <c r="L78" s="604">
        <v>123.07</v>
      </c>
      <c r="M78" s="603"/>
      <c r="N78" s="602"/>
      <c r="V78" s="674"/>
      <c r="W78" s="675"/>
      <c r="Z78" s="537" t="s">
        <v>344</v>
      </c>
      <c r="AC78" s="675"/>
    </row>
    <row r="79" spans="1:29" s="536" customFormat="1" ht="12" x14ac:dyDescent="0.2">
      <c r="A79" s="605"/>
      <c r="B79" s="552" t="s">
        <v>187</v>
      </c>
      <c r="C79" s="1822" t="s">
        <v>345</v>
      </c>
      <c r="D79" s="1822"/>
      <c r="E79" s="1822"/>
      <c r="F79" s="562"/>
      <c r="G79" s="562"/>
      <c r="H79" s="562"/>
      <c r="I79" s="562"/>
      <c r="J79" s="604">
        <v>288.32</v>
      </c>
      <c r="K79" s="562" t="s">
        <v>313</v>
      </c>
      <c r="L79" s="604">
        <v>40.729999999999997</v>
      </c>
      <c r="M79" s="603"/>
      <c r="N79" s="602"/>
      <c r="V79" s="674"/>
      <c r="W79" s="675"/>
      <c r="Z79" s="537" t="s">
        <v>345</v>
      </c>
      <c r="AC79" s="675"/>
    </row>
    <row r="80" spans="1:29" s="536" customFormat="1" ht="12" x14ac:dyDescent="0.2">
      <c r="A80" s="605"/>
      <c r="B80" s="552" t="s">
        <v>188</v>
      </c>
      <c r="C80" s="1822" t="s">
        <v>475</v>
      </c>
      <c r="D80" s="1822"/>
      <c r="E80" s="1822"/>
      <c r="F80" s="562"/>
      <c r="G80" s="562"/>
      <c r="H80" s="562"/>
      <c r="I80" s="562"/>
      <c r="J80" s="604">
        <v>555.84</v>
      </c>
      <c r="K80" s="562"/>
      <c r="L80" s="604">
        <v>62.81</v>
      </c>
      <c r="M80" s="603"/>
      <c r="N80" s="602"/>
      <c r="V80" s="674"/>
      <c r="W80" s="675"/>
      <c r="Z80" s="537" t="s">
        <v>475</v>
      </c>
      <c r="AC80" s="675"/>
    </row>
    <row r="81" spans="1:30" s="536" customFormat="1" ht="12" x14ac:dyDescent="0.2">
      <c r="A81" s="676"/>
      <c r="B81" s="677" t="s">
        <v>1855</v>
      </c>
      <c r="C81" s="1829" t="s">
        <v>1856</v>
      </c>
      <c r="D81" s="1829"/>
      <c r="E81" s="1829"/>
      <c r="F81" s="678" t="s">
        <v>865</v>
      </c>
      <c r="G81" s="678" t="s">
        <v>3419</v>
      </c>
      <c r="H81" s="678"/>
      <c r="I81" s="678" t="s">
        <v>3420</v>
      </c>
      <c r="J81" s="552"/>
      <c r="K81" s="562"/>
      <c r="L81" s="604"/>
      <c r="M81" s="562"/>
      <c r="N81" s="679"/>
      <c r="V81" s="674"/>
      <c r="W81" s="675"/>
      <c r="AC81" s="675"/>
      <c r="AD81" s="680" t="s">
        <v>1856</v>
      </c>
    </row>
    <row r="82" spans="1:30" s="536" customFormat="1" ht="22.5" x14ac:dyDescent="0.2">
      <c r="A82" s="676"/>
      <c r="B82" s="677" t="s">
        <v>3421</v>
      </c>
      <c r="C82" s="1829" t="s">
        <v>3422</v>
      </c>
      <c r="D82" s="1829"/>
      <c r="E82" s="1829"/>
      <c r="F82" s="678" t="s">
        <v>638</v>
      </c>
      <c r="G82" s="678" t="s">
        <v>525</v>
      </c>
      <c r="H82" s="678"/>
      <c r="I82" s="678" t="s">
        <v>525</v>
      </c>
      <c r="J82" s="552"/>
      <c r="K82" s="562"/>
      <c r="L82" s="604"/>
      <c r="M82" s="562"/>
      <c r="N82" s="679"/>
      <c r="V82" s="674"/>
      <c r="W82" s="675"/>
      <c r="AC82" s="675"/>
      <c r="AD82" s="680" t="s">
        <v>3422</v>
      </c>
    </row>
    <row r="83" spans="1:30" s="536" customFormat="1" ht="12" x14ac:dyDescent="0.2">
      <c r="A83" s="676"/>
      <c r="B83" s="677" t="s">
        <v>3423</v>
      </c>
      <c r="C83" s="1829" t="s">
        <v>3424</v>
      </c>
      <c r="D83" s="1829"/>
      <c r="E83" s="1829"/>
      <c r="F83" s="678" t="s">
        <v>699</v>
      </c>
      <c r="G83" s="678" t="s">
        <v>514</v>
      </c>
      <c r="H83" s="678"/>
      <c r="I83" s="678" t="s">
        <v>3425</v>
      </c>
      <c r="J83" s="552"/>
      <c r="K83" s="562"/>
      <c r="L83" s="604"/>
      <c r="M83" s="562"/>
      <c r="N83" s="679"/>
      <c r="V83" s="674"/>
      <c r="W83" s="675"/>
      <c r="AC83" s="675"/>
      <c r="AD83" s="680" t="s">
        <v>3424</v>
      </c>
    </row>
    <row r="84" spans="1:30" s="536" customFormat="1" ht="22.5" x14ac:dyDescent="0.2">
      <c r="A84" s="605"/>
      <c r="B84" s="552"/>
      <c r="C84" s="1822" t="s">
        <v>314</v>
      </c>
      <c r="D84" s="1822"/>
      <c r="E84" s="1822"/>
      <c r="F84" s="562" t="s">
        <v>315</v>
      </c>
      <c r="G84" s="562" t="s">
        <v>3426</v>
      </c>
      <c r="H84" s="562" t="s">
        <v>313</v>
      </c>
      <c r="I84" s="562" t="s">
        <v>3427</v>
      </c>
      <c r="J84" s="604"/>
      <c r="K84" s="562"/>
      <c r="L84" s="604"/>
      <c r="M84" s="603"/>
      <c r="N84" s="602"/>
      <c r="V84" s="674"/>
      <c r="W84" s="675"/>
      <c r="AA84" s="537" t="s">
        <v>314</v>
      </c>
      <c r="AC84" s="675"/>
      <c r="AD84" s="680"/>
    </row>
    <row r="85" spans="1:30" s="536" customFormat="1" ht="12" x14ac:dyDescent="0.2">
      <c r="A85" s="605"/>
      <c r="B85" s="552"/>
      <c r="C85" s="1822" t="s">
        <v>348</v>
      </c>
      <c r="D85" s="1822"/>
      <c r="E85" s="1822"/>
      <c r="F85" s="562" t="s">
        <v>315</v>
      </c>
      <c r="G85" s="562" t="s">
        <v>3428</v>
      </c>
      <c r="H85" s="562" t="s">
        <v>313</v>
      </c>
      <c r="I85" s="562" t="s">
        <v>3429</v>
      </c>
      <c r="J85" s="604"/>
      <c r="K85" s="562"/>
      <c r="L85" s="604"/>
      <c r="M85" s="603"/>
      <c r="N85" s="602"/>
      <c r="V85" s="674"/>
      <c r="W85" s="675"/>
      <c r="AA85" s="537" t="s">
        <v>348</v>
      </c>
      <c r="AC85" s="675"/>
      <c r="AD85" s="680"/>
    </row>
    <row r="86" spans="1:30" s="536" customFormat="1" ht="12" x14ac:dyDescent="0.2">
      <c r="A86" s="605"/>
      <c r="B86" s="552"/>
      <c r="C86" s="1828" t="s">
        <v>318</v>
      </c>
      <c r="D86" s="1828"/>
      <c r="E86" s="1828"/>
      <c r="F86" s="608"/>
      <c r="G86" s="608"/>
      <c r="H86" s="608"/>
      <c r="I86" s="608"/>
      <c r="J86" s="607">
        <v>5732.57</v>
      </c>
      <c r="K86" s="608"/>
      <c r="L86" s="607">
        <v>794.03</v>
      </c>
      <c r="M86" s="601"/>
      <c r="N86" s="606"/>
      <c r="V86" s="674"/>
      <c r="W86" s="675"/>
      <c r="AB86" s="537" t="s">
        <v>318</v>
      </c>
      <c r="AC86" s="675"/>
      <c r="AD86" s="680"/>
    </row>
    <row r="87" spans="1:30" s="536" customFormat="1" ht="12" x14ac:dyDescent="0.2">
      <c r="A87" s="605"/>
      <c r="B87" s="552"/>
      <c r="C87" s="1822" t="s">
        <v>319</v>
      </c>
      <c r="D87" s="1822"/>
      <c r="E87" s="1822"/>
      <c r="F87" s="562"/>
      <c r="G87" s="562"/>
      <c r="H87" s="562"/>
      <c r="I87" s="562"/>
      <c r="J87" s="604"/>
      <c r="K87" s="562"/>
      <c r="L87" s="604">
        <v>648.88</v>
      </c>
      <c r="M87" s="603"/>
      <c r="N87" s="602"/>
      <c r="V87" s="674"/>
      <c r="W87" s="675"/>
      <c r="AA87" s="537" t="s">
        <v>319</v>
      </c>
      <c r="AC87" s="675"/>
      <c r="AD87" s="680"/>
    </row>
    <row r="88" spans="1:30" s="536" customFormat="1" ht="33.75" x14ac:dyDescent="0.2">
      <c r="A88" s="605"/>
      <c r="B88" s="552" t="s">
        <v>1308</v>
      </c>
      <c r="C88" s="1822" t="s">
        <v>1309</v>
      </c>
      <c r="D88" s="1822"/>
      <c r="E88" s="1822"/>
      <c r="F88" s="562" t="s">
        <v>322</v>
      </c>
      <c r="G88" s="562" t="s">
        <v>844</v>
      </c>
      <c r="H88" s="562"/>
      <c r="I88" s="562" t="s">
        <v>844</v>
      </c>
      <c r="J88" s="604"/>
      <c r="K88" s="562"/>
      <c r="L88" s="604">
        <v>648.88</v>
      </c>
      <c r="M88" s="603"/>
      <c r="N88" s="602"/>
      <c r="V88" s="674"/>
      <c r="W88" s="675"/>
      <c r="AA88" s="537" t="s">
        <v>1309</v>
      </c>
      <c r="AC88" s="675"/>
      <c r="AD88" s="680"/>
    </row>
    <row r="89" spans="1:30" s="536" customFormat="1" ht="33.75" x14ac:dyDescent="0.2">
      <c r="A89" s="605"/>
      <c r="B89" s="552" t="s">
        <v>1310</v>
      </c>
      <c r="C89" s="1822" t="s">
        <v>1311</v>
      </c>
      <c r="D89" s="1822"/>
      <c r="E89" s="1822"/>
      <c r="F89" s="562" t="s">
        <v>322</v>
      </c>
      <c r="G89" s="562" t="s">
        <v>784</v>
      </c>
      <c r="H89" s="562"/>
      <c r="I89" s="562" t="s">
        <v>784</v>
      </c>
      <c r="J89" s="604"/>
      <c r="K89" s="562"/>
      <c r="L89" s="604">
        <v>317.95</v>
      </c>
      <c r="M89" s="603"/>
      <c r="N89" s="602"/>
      <c r="V89" s="674"/>
      <c r="W89" s="675"/>
      <c r="AA89" s="537" t="s">
        <v>1311</v>
      </c>
      <c r="AC89" s="675"/>
      <c r="AD89" s="680"/>
    </row>
    <row r="90" spans="1:30" s="536" customFormat="1" ht="12" x14ac:dyDescent="0.2">
      <c r="A90" s="569"/>
      <c r="B90" s="671"/>
      <c r="C90" s="1823" t="s">
        <v>327</v>
      </c>
      <c r="D90" s="1823"/>
      <c r="E90" s="1823"/>
      <c r="F90" s="573"/>
      <c r="G90" s="573"/>
      <c r="H90" s="573"/>
      <c r="I90" s="573"/>
      <c r="J90" s="572"/>
      <c r="K90" s="573"/>
      <c r="L90" s="572">
        <v>1760.86</v>
      </c>
      <c r="M90" s="601"/>
      <c r="N90" s="570"/>
      <c r="V90" s="674"/>
      <c r="W90" s="675"/>
      <c r="AC90" s="675" t="s">
        <v>327</v>
      </c>
      <c r="AD90" s="680"/>
    </row>
    <row r="91" spans="1:30" s="536" customFormat="1" ht="12" x14ac:dyDescent="0.2">
      <c r="A91" s="575" t="s">
        <v>190</v>
      </c>
      <c r="B91" s="670" t="s">
        <v>3430</v>
      </c>
      <c r="C91" s="1823" t="s">
        <v>3431</v>
      </c>
      <c r="D91" s="1823"/>
      <c r="E91" s="1823"/>
      <c r="F91" s="573" t="s">
        <v>699</v>
      </c>
      <c r="G91" s="573"/>
      <c r="H91" s="573"/>
      <c r="I91" s="573" t="s">
        <v>3425</v>
      </c>
      <c r="J91" s="572">
        <v>1.37</v>
      </c>
      <c r="K91" s="573"/>
      <c r="L91" s="572">
        <v>0.48</v>
      </c>
      <c r="M91" s="571"/>
      <c r="N91" s="570"/>
      <c r="V91" s="674"/>
      <c r="W91" s="675" t="s">
        <v>3431</v>
      </c>
      <c r="AC91" s="675"/>
      <c r="AD91" s="680"/>
    </row>
    <row r="92" spans="1:30" s="536" customFormat="1" ht="12" x14ac:dyDescent="0.2">
      <c r="A92" s="569"/>
      <c r="B92" s="671"/>
      <c r="C92" s="665" t="s">
        <v>717</v>
      </c>
      <c r="D92" s="666"/>
      <c r="E92" s="666"/>
      <c r="F92" s="563"/>
      <c r="G92" s="563"/>
      <c r="H92" s="563"/>
      <c r="I92" s="563"/>
      <c r="J92" s="566"/>
      <c r="K92" s="563"/>
      <c r="L92" s="566"/>
      <c r="M92" s="565"/>
      <c r="N92" s="564"/>
      <c r="V92" s="674"/>
      <c r="W92" s="675"/>
      <c r="AC92" s="675"/>
      <c r="AD92" s="680"/>
    </row>
    <row r="93" spans="1:30" s="536" customFormat="1" ht="33.75" x14ac:dyDescent="0.2">
      <c r="A93" s="575" t="s">
        <v>191</v>
      </c>
      <c r="B93" s="670" t="s">
        <v>3432</v>
      </c>
      <c r="C93" s="1823" t="s">
        <v>1871</v>
      </c>
      <c r="D93" s="1823"/>
      <c r="E93" s="1823"/>
      <c r="F93" s="573" t="s">
        <v>865</v>
      </c>
      <c r="G93" s="573"/>
      <c r="H93" s="573"/>
      <c r="I93" s="573" t="s">
        <v>3433</v>
      </c>
      <c r="J93" s="572">
        <v>252.96</v>
      </c>
      <c r="K93" s="573" t="s">
        <v>716</v>
      </c>
      <c r="L93" s="572">
        <v>355.65</v>
      </c>
      <c r="M93" s="571">
        <v>8.32</v>
      </c>
      <c r="N93" s="570">
        <v>2959</v>
      </c>
      <c r="V93" s="674"/>
      <c r="W93" s="675" t="s">
        <v>1871</v>
      </c>
      <c r="AC93" s="675"/>
      <c r="AD93" s="680"/>
    </row>
    <row r="94" spans="1:30" s="536" customFormat="1" ht="12" x14ac:dyDescent="0.2">
      <c r="A94" s="569"/>
      <c r="B94" s="671"/>
      <c r="C94" s="665" t="s">
        <v>1173</v>
      </c>
      <c r="D94" s="666"/>
      <c r="E94" s="666"/>
      <c r="F94" s="563"/>
      <c r="G94" s="563"/>
      <c r="H94" s="563"/>
      <c r="I94" s="563"/>
      <c r="J94" s="566"/>
      <c r="K94" s="563"/>
      <c r="L94" s="566"/>
      <c r="M94" s="565"/>
      <c r="N94" s="564"/>
      <c r="V94" s="674"/>
      <c r="W94" s="675"/>
      <c r="AC94" s="675"/>
      <c r="AD94" s="680"/>
    </row>
    <row r="95" spans="1:30" s="536" customFormat="1" ht="22.5" x14ac:dyDescent="0.2">
      <c r="A95" s="609"/>
      <c r="B95" s="552" t="s">
        <v>718</v>
      </c>
      <c r="C95" s="1822" t="s">
        <v>719</v>
      </c>
      <c r="D95" s="1822"/>
      <c r="E95" s="1822"/>
      <c r="F95" s="1822"/>
      <c r="G95" s="1822"/>
      <c r="H95" s="1822"/>
      <c r="I95" s="1822"/>
      <c r="J95" s="1822"/>
      <c r="K95" s="1822"/>
      <c r="L95" s="1822"/>
      <c r="M95" s="1822"/>
      <c r="N95" s="1827"/>
      <c r="V95" s="674"/>
      <c r="W95" s="675"/>
      <c r="Y95" s="537" t="s">
        <v>719</v>
      </c>
      <c r="AC95" s="675"/>
      <c r="AD95" s="680"/>
    </row>
    <row r="96" spans="1:30" s="536" customFormat="1" ht="22.5" x14ac:dyDescent="0.2">
      <c r="A96" s="575" t="s">
        <v>192</v>
      </c>
      <c r="B96" s="670" t="s">
        <v>3434</v>
      </c>
      <c r="C96" s="1823" t="s">
        <v>3435</v>
      </c>
      <c r="D96" s="1823"/>
      <c r="E96" s="1823"/>
      <c r="F96" s="573" t="s">
        <v>865</v>
      </c>
      <c r="G96" s="573"/>
      <c r="H96" s="573"/>
      <c r="I96" s="573" t="s">
        <v>3433</v>
      </c>
      <c r="J96" s="572">
        <v>261.20999999999998</v>
      </c>
      <c r="K96" s="573"/>
      <c r="L96" s="572">
        <v>2996.08</v>
      </c>
      <c r="M96" s="571"/>
      <c r="N96" s="570"/>
      <c r="V96" s="674"/>
      <c r="W96" s="675" t="s">
        <v>3435</v>
      </c>
      <c r="AC96" s="675"/>
      <c r="AD96" s="680"/>
    </row>
    <row r="97" spans="1:30" s="536" customFormat="1" ht="12" x14ac:dyDescent="0.2">
      <c r="A97" s="569"/>
      <c r="B97" s="671"/>
      <c r="C97" s="665" t="s">
        <v>717</v>
      </c>
      <c r="D97" s="666"/>
      <c r="E97" s="666"/>
      <c r="F97" s="563"/>
      <c r="G97" s="563"/>
      <c r="H97" s="563"/>
      <c r="I97" s="563"/>
      <c r="J97" s="566"/>
      <c r="K97" s="563"/>
      <c r="L97" s="566"/>
      <c r="M97" s="565"/>
      <c r="N97" s="564"/>
      <c r="V97" s="674"/>
      <c r="W97" s="675"/>
      <c r="AC97" s="675"/>
      <c r="AD97" s="680"/>
    </row>
    <row r="98" spans="1:30" s="536" customFormat="1" ht="45" x14ac:dyDescent="0.2">
      <c r="A98" s="575" t="s">
        <v>193</v>
      </c>
      <c r="B98" s="670" t="s">
        <v>1872</v>
      </c>
      <c r="C98" s="1823" t="s">
        <v>1873</v>
      </c>
      <c r="D98" s="1823"/>
      <c r="E98" s="1823"/>
      <c r="F98" s="573" t="s">
        <v>862</v>
      </c>
      <c r="G98" s="573"/>
      <c r="H98" s="573"/>
      <c r="I98" s="573" t="s">
        <v>3436</v>
      </c>
      <c r="J98" s="572"/>
      <c r="K98" s="573"/>
      <c r="L98" s="572"/>
      <c r="M98" s="571"/>
      <c r="N98" s="570"/>
      <c r="V98" s="674"/>
      <c r="W98" s="675" t="s">
        <v>1873</v>
      </c>
      <c r="AC98" s="675"/>
      <c r="AD98" s="680"/>
    </row>
    <row r="99" spans="1:30" s="536" customFormat="1" ht="12" x14ac:dyDescent="0.2">
      <c r="A99" s="676"/>
      <c r="B99" s="664"/>
      <c r="C99" s="1822" t="s">
        <v>3437</v>
      </c>
      <c r="D99" s="1822"/>
      <c r="E99" s="1822"/>
      <c r="F99" s="1822"/>
      <c r="G99" s="1822"/>
      <c r="H99" s="1822"/>
      <c r="I99" s="1822"/>
      <c r="J99" s="1822"/>
      <c r="K99" s="1822"/>
      <c r="L99" s="1822"/>
      <c r="M99" s="1822"/>
      <c r="N99" s="1827"/>
      <c r="V99" s="674"/>
      <c r="W99" s="675"/>
      <c r="X99" s="537" t="s">
        <v>3437</v>
      </c>
      <c r="AC99" s="675"/>
      <c r="AD99" s="680"/>
    </row>
    <row r="100" spans="1:30" s="536" customFormat="1" ht="33.75" x14ac:dyDescent="0.2">
      <c r="A100" s="609"/>
      <c r="B100" s="552" t="s">
        <v>310</v>
      </c>
      <c r="C100" s="1822" t="s">
        <v>311</v>
      </c>
      <c r="D100" s="1822"/>
      <c r="E100" s="1822"/>
      <c r="F100" s="1822"/>
      <c r="G100" s="1822"/>
      <c r="H100" s="1822"/>
      <c r="I100" s="1822"/>
      <c r="J100" s="1822"/>
      <c r="K100" s="1822"/>
      <c r="L100" s="1822"/>
      <c r="M100" s="1822"/>
      <c r="N100" s="1827"/>
      <c r="V100" s="674"/>
      <c r="W100" s="675"/>
      <c r="Y100" s="537" t="s">
        <v>311</v>
      </c>
      <c r="AC100" s="675"/>
      <c r="AD100" s="680"/>
    </row>
    <row r="101" spans="1:30" s="536" customFormat="1" ht="12" x14ac:dyDescent="0.2">
      <c r="A101" s="605"/>
      <c r="B101" s="552" t="s">
        <v>185</v>
      </c>
      <c r="C101" s="1822" t="s">
        <v>312</v>
      </c>
      <c r="D101" s="1822"/>
      <c r="E101" s="1822"/>
      <c r="F101" s="562"/>
      <c r="G101" s="562"/>
      <c r="H101" s="562"/>
      <c r="I101" s="562"/>
      <c r="J101" s="604">
        <v>1428.8</v>
      </c>
      <c r="K101" s="562" t="s">
        <v>313</v>
      </c>
      <c r="L101" s="604">
        <v>294.69</v>
      </c>
      <c r="M101" s="603"/>
      <c r="N101" s="602"/>
      <c r="V101" s="674"/>
      <c r="W101" s="675"/>
      <c r="Z101" s="537" t="s">
        <v>312</v>
      </c>
      <c r="AC101" s="675"/>
      <c r="AD101" s="680"/>
    </row>
    <row r="102" spans="1:30" s="536" customFormat="1" ht="12" x14ac:dyDescent="0.2">
      <c r="A102" s="605"/>
      <c r="B102" s="552" t="s">
        <v>186</v>
      </c>
      <c r="C102" s="1822" t="s">
        <v>344</v>
      </c>
      <c r="D102" s="1822"/>
      <c r="E102" s="1822"/>
      <c r="F102" s="562"/>
      <c r="G102" s="562"/>
      <c r="H102" s="562"/>
      <c r="I102" s="562"/>
      <c r="J102" s="604">
        <v>5157.63</v>
      </c>
      <c r="K102" s="562" t="s">
        <v>313</v>
      </c>
      <c r="L102" s="604">
        <v>1063.76</v>
      </c>
      <c r="M102" s="603"/>
      <c r="N102" s="602"/>
      <c r="V102" s="674"/>
      <c r="W102" s="675"/>
      <c r="Z102" s="537" t="s">
        <v>344</v>
      </c>
      <c r="AC102" s="675"/>
      <c r="AD102" s="680"/>
    </row>
    <row r="103" spans="1:30" s="536" customFormat="1" ht="12" x14ac:dyDescent="0.2">
      <c r="A103" s="605"/>
      <c r="B103" s="552" t="s">
        <v>187</v>
      </c>
      <c r="C103" s="1822" t="s">
        <v>345</v>
      </c>
      <c r="D103" s="1822"/>
      <c r="E103" s="1822"/>
      <c r="F103" s="562"/>
      <c r="G103" s="562"/>
      <c r="H103" s="562"/>
      <c r="I103" s="562"/>
      <c r="J103" s="604">
        <v>453.43</v>
      </c>
      <c r="K103" s="562" t="s">
        <v>313</v>
      </c>
      <c r="L103" s="604">
        <v>93.52</v>
      </c>
      <c r="M103" s="603"/>
      <c r="N103" s="602"/>
      <c r="V103" s="674"/>
      <c r="W103" s="675"/>
      <c r="Z103" s="537" t="s">
        <v>345</v>
      </c>
      <c r="AC103" s="675"/>
      <c r="AD103" s="680"/>
    </row>
    <row r="104" spans="1:30" s="536" customFormat="1" ht="12" x14ac:dyDescent="0.2">
      <c r="A104" s="605"/>
      <c r="B104" s="552" t="s">
        <v>188</v>
      </c>
      <c r="C104" s="1822" t="s">
        <v>475</v>
      </c>
      <c r="D104" s="1822"/>
      <c r="E104" s="1822"/>
      <c r="F104" s="562"/>
      <c r="G104" s="562"/>
      <c r="H104" s="562"/>
      <c r="I104" s="562"/>
      <c r="J104" s="604">
        <v>427.44</v>
      </c>
      <c r="K104" s="562"/>
      <c r="L104" s="604">
        <v>70.53</v>
      </c>
      <c r="M104" s="603"/>
      <c r="N104" s="602"/>
      <c r="V104" s="674"/>
      <c r="W104" s="675"/>
      <c r="Z104" s="537" t="s">
        <v>475</v>
      </c>
      <c r="AC104" s="675"/>
      <c r="AD104" s="680"/>
    </row>
    <row r="105" spans="1:30" s="536" customFormat="1" ht="22.5" x14ac:dyDescent="0.2">
      <c r="A105" s="676"/>
      <c r="B105" s="677" t="s">
        <v>1876</v>
      </c>
      <c r="C105" s="1829" t="s">
        <v>1877</v>
      </c>
      <c r="D105" s="1829"/>
      <c r="E105" s="1829"/>
      <c r="F105" s="678" t="s">
        <v>865</v>
      </c>
      <c r="G105" s="678" t="s">
        <v>525</v>
      </c>
      <c r="H105" s="678"/>
      <c r="I105" s="678" t="s">
        <v>525</v>
      </c>
      <c r="J105" s="552"/>
      <c r="K105" s="562"/>
      <c r="L105" s="604"/>
      <c r="M105" s="562"/>
      <c r="N105" s="679"/>
      <c r="V105" s="674"/>
      <c r="W105" s="675"/>
      <c r="AC105" s="675"/>
      <c r="AD105" s="680" t="s">
        <v>1877</v>
      </c>
    </row>
    <row r="106" spans="1:30" s="536" customFormat="1" ht="22.5" x14ac:dyDescent="0.2">
      <c r="A106" s="676"/>
      <c r="B106" s="677" t="s">
        <v>1228</v>
      </c>
      <c r="C106" s="1829" t="s">
        <v>1878</v>
      </c>
      <c r="D106" s="1829"/>
      <c r="E106" s="1829"/>
      <c r="F106" s="678" t="s">
        <v>694</v>
      </c>
      <c r="G106" s="678" t="s">
        <v>1879</v>
      </c>
      <c r="H106" s="678"/>
      <c r="I106" s="678" t="s">
        <v>3438</v>
      </c>
      <c r="J106" s="552"/>
      <c r="K106" s="562"/>
      <c r="L106" s="604"/>
      <c r="M106" s="562"/>
      <c r="N106" s="679"/>
      <c r="V106" s="674"/>
      <c r="W106" s="675"/>
      <c r="AC106" s="675"/>
      <c r="AD106" s="680" t="s">
        <v>1878</v>
      </c>
    </row>
    <row r="107" spans="1:30" s="536" customFormat="1" ht="12" x14ac:dyDescent="0.2">
      <c r="A107" s="605"/>
      <c r="B107" s="552"/>
      <c r="C107" s="1822" t="s">
        <v>314</v>
      </c>
      <c r="D107" s="1822"/>
      <c r="E107" s="1822"/>
      <c r="F107" s="562" t="s">
        <v>315</v>
      </c>
      <c r="G107" s="562" t="s">
        <v>1881</v>
      </c>
      <c r="H107" s="562" t="s">
        <v>313</v>
      </c>
      <c r="I107" s="562" t="s">
        <v>3439</v>
      </c>
      <c r="J107" s="604"/>
      <c r="K107" s="562"/>
      <c r="L107" s="604"/>
      <c r="M107" s="603"/>
      <c r="N107" s="602"/>
      <c r="V107" s="674"/>
      <c r="W107" s="675"/>
      <c r="AA107" s="537" t="s">
        <v>314</v>
      </c>
      <c r="AC107" s="675"/>
      <c r="AD107" s="680"/>
    </row>
    <row r="108" spans="1:30" s="536" customFormat="1" ht="12" x14ac:dyDescent="0.2">
      <c r="A108" s="605"/>
      <c r="B108" s="552"/>
      <c r="C108" s="1822" t="s">
        <v>348</v>
      </c>
      <c r="D108" s="1822"/>
      <c r="E108" s="1822"/>
      <c r="F108" s="562" t="s">
        <v>315</v>
      </c>
      <c r="G108" s="562" t="s">
        <v>1883</v>
      </c>
      <c r="H108" s="562" t="s">
        <v>313</v>
      </c>
      <c r="I108" s="562" t="s">
        <v>3440</v>
      </c>
      <c r="J108" s="604"/>
      <c r="K108" s="562"/>
      <c r="L108" s="604"/>
      <c r="M108" s="603"/>
      <c r="N108" s="602"/>
      <c r="V108" s="674"/>
      <c r="W108" s="675"/>
      <c r="AA108" s="537" t="s">
        <v>348</v>
      </c>
      <c r="AC108" s="675"/>
      <c r="AD108" s="680"/>
    </row>
    <row r="109" spans="1:30" s="536" customFormat="1" ht="12" x14ac:dyDescent="0.2">
      <c r="A109" s="605"/>
      <c r="B109" s="552"/>
      <c r="C109" s="1828" t="s">
        <v>318</v>
      </c>
      <c r="D109" s="1828"/>
      <c r="E109" s="1828"/>
      <c r="F109" s="608"/>
      <c r="G109" s="608"/>
      <c r="H109" s="608"/>
      <c r="I109" s="608"/>
      <c r="J109" s="607">
        <v>7013.87</v>
      </c>
      <c r="K109" s="608"/>
      <c r="L109" s="607">
        <v>1428.98</v>
      </c>
      <c r="M109" s="601"/>
      <c r="N109" s="606"/>
      <c r="V109" s="674"/>
      <c r="W109" s="675"/>
      <c r="AB109" s="537" t="s">
        <v>318</v>
      </c>
      <c r="AC109" s="675"/>
      <c r="AD109" s="680"/>
    </row>
    <row r="110" spans="1:30" s="536" customFormat="1" ht="12" x14ac:dyDescent="0.2">
      <c r="A110" s="605"/>
      <c r="B110" s="552"/>
      <c r="C110" s="1822" t="s">
        <v>319</v>
      </c>
      <c r="D110" s="1822"/>
      <c r="E110" s="1822"/>
      <c r="F110" s="562"/>
      <c r="G110" s="562"/>
      <c r="H110" s="562"/>
      <c r="I110" s="562"/>
      <c r="J110" s="604"/>
      <c r="K110" s="562"/>
      <c r="L110" s="604">
        <v>388.21</v>
      </c>
      <c r="M110" s="603"/>
      <c r="N110" s="602"/>
      <c r="V110" s="674"/>
      <c r="W110" s="675"/>
      <c r="AA110" s="537" t="s">
        <v>319</v>
      </c>
      <c r="AC110" s="675"/>
      <c r="AD110" s="680"/>
    </row>
    <row r="111" spans="1:30" s="536" customFormat="1" ht="33.75" x14ac:dyDescent="0.2">
      <c r="A111" s="605"/>
      <c r="B111" s="552" t="s">
        <v>648</v>
      </c>
      <c r="C111" s="1822" t="s">
        <v>649</v>
      </c>
      <c r="D111" s="1822"/>
      <c r="E111" s="1822"/>
      <c r="F111" s="562" t="s">
        <v>322</v>
      </c>
      <c r="G111" s="562" t="s">
        <v>650</v>
      </c>
      <c r="H111" s="562"/>
      <c r="I111" s="562" t="s">
        <v>650</v>
      </c>
      <c r="J111" s="604"/>
      <c r="K111" s="562"/>
      <c r="L111" s="604">
        <v>361.04</v>
      </c>
      <c r="M111" s="603"/>
      <c r="N111" s="602"/>
      <c r="V111" s="674"/>
      <c r="W111" s="675"/>
      <c r="AA111" s="537" t="s">
        <v>649</v>
      </c>
      <c r="AC111" s="675"/>
      <c r="AD111" s="680"/>
    </row>
    <row r="112" spans="1:30" s="536" customFormat="1" ht="33.75" x14ac:dyDescent="0.2">
      <c r="A112" s="605"/>
      <c r="B112" s="552" t="s">
        <v>651</v>
      </c>
      <c r="C112" s="1822" t="s">
        <v>652</v>
      </c>
      <c r="D112" s="1822"/>
      <c r="E112" s="1822"/>
      <c r="F112" s="562" t="s">
        <v>322</v>
      </c>
      <c r="G112" s="562" t="s">
        <v>653</v>
      </c>
      <c r="H112" s="562"/>
      <c r="I112" s="562" t="s">
        <v>653</v>
      </c>
      <c r="J112" s="604"/>
      <c r="K112" s="562"/>
      <c r="L112" s="604">
        <v>240.69</v>
      </c>
      <c r="M112" s="603"/>
      <c r="N112" s="602"/>
      <c r="V112" s="674"/>
      <c r="W112" s="675"/>
      <c r="AA112" s="537" t="s">
        <v>652</v>
      </c>
      <c r="AC112" s="675"/>
      <c r="AD112" s="680"/>
    </row>
    <row r="113" spans="1:32" s="536" customFormat="1" ht="12" x14ac:dyDescent="0.2">
      <c r="A113" s="569"/>
      <c r="B113" s="671"/>
      <c r="C113" s="1823" t="s">
        <v>327</v>
      </c>
      <c r="D113" s="1823"/>
      <c r="E113" s="1823"/>
      <c r="F113" s="573"/>
      <c r="G113" s="573"/>
      <c r="H113" s="573"/>
      <c r="I113" s="573"/>
      <c r="J113" s="572"/>
      <c r="K113" s="573"/>
      <c r="L113" s="572">
        <v>2030.71</v>
      </c>
      <c r="M113" s="601"/>
      <c r="N113" s="570"/>
      <c r="V113" s="674"/>
      <c r="W113" s="675"/>
      <c r="AC113" s="675" t="s">
        <v>327</v>
      </c>
      <c r="AD113" s="680"/>
    </row>
    <row r="114" spans="1:32" s="536" customFormat="1" ht="90" x14ac:dyDescent="0.2">
      <c r="A114" s="575" t="s">
        <v>194</v>
      </c>
      <c r="B114" s="670" t="s">
        <v>1885</v>
      </c>
      <c r="C114" s="1823" t="s">
        <v>1886</v>
      </c>
      <c r="D114" s="1823"/>
      <c r="E114" s="1823"/>
      <c r="F114" s="573" t="s">
        <v>865</v>
      </c>
      <c r="G114" s="573"/>
      <c r="H114" s="573"/>
      <c r="I114" s="573" t="s">
        <v>2393</v>
      </c>
      <c r="J114" s="572">
        <v>246.05</v>
      </c>
      <c r="K114" s="573"/>
      <c r="L114" s="572">
        <v>4059.83</v>
      </c>
      <c r="M114" s="571"/>
      <c r="N114" s="570"/>
      <c r="V114" s="674"/>
      <c r="W114" s="675" t="s">
        <v>1886</v>
      </c>
      <c r="AC114" s="675"/>
      <c r="AD114" s="680"/>
    </row>
    <row r="115" spans="1:32" s="536" customFormat="1" ht="12" x14ac:dyDescent="0.2">
      <c r="A115" s="569"/>
      <c r="B115" s="671"/>
      <c r="C115" s="665" t="s">
        <v>717</v>
      </c>
      <c r="D115" s="666"/>
      <c r="E115" s="666"/>
      <c r="F115" s="563"/>
      <c r="G115" s="563"/>
      <c r="H115" s="563"/>
      <c r="I115" s="563"/>
      <c r="J115" s="566"/>
      <c r="K115" s="563"/>
      <c r="L115" s="566"/>
      <c r="M115" s="565"/>
      <c r="N115" s="564"/>
      <c r="V115" s="674"/>
      <c r="W115" s="675"/>
      <c r="AC115" s="675"/>
      <c r="AD115" s="680"/>
    </row>
    <row r="116" spans="1:32" s="536" customFormat="1" ht="1.5" customHeight="1" x14ac:dyDescent="0.2">
      <c r="A116" s="563"/>
      <c r="B116" s="671"/>
      <c r="C116" s="671"/>
      <c r="D116" s="671"/>
      <c r="E116" s="671"/>
      <c r="F116" s="563"/>
      <c r="G116" s="563"/>
      <c r="H116" s="563"/>
      <c r="I116" s="563"/>
      <c r="J116" s="546"/>
      <c r="K116" s="563"/>
      <c r="L116" s="546"/>
      <c r="M116" s="562"/>
      <c r="N116" s="546"/>
      <c r="V116" s="674"/>
      <c r="W116" s="675"/>
      <c r="AC116" s="675"/>
      <c r="AD116" s="680"/>
    </row>
    <row r="117" spans="1:32" s="536" customFormat="1" ht="12" x14ac:dyDescent="0.2">
      <c r="A117" s="557"/>
      <c r="B117" s="556"/>
      <c r="C117" s="1823" t="s">
        <v>1888</v>
      </c>
      <c r="D117" s="1823"/>
      <c r="E117" s="1823"/>
      <c r="F117" s="1823"/>
      <c r="G117" s="1823"/>
      <c r="H117" s="1823"/>
      <c r="I117" s="1823"/>
      <c r="J117" s="1823"/>
      <c r="K117" s="1823"/>
      <c r="L117" s="555"/>
      <c r="M117" s="554"/>
      <c r="N117" s="553"/>
      <c r="V117" s="674"/>
      <c r="W117" s="675"/>
      <c r="AC117" s="675"/>
      <c r="AD117" s="680"/>
      <c r="AE117" s="675" t="s">
        <v>1888</v>
      </c>
    </row>
    <row r="118" spans="1:32" s="536" customFormat="1" ht="12" x14ac:dyDescent="0.2">
      <c r="A118" s="548"/>
      <c r="B118" s="552"/>
      <c r="C118" s="1822" t="s">
        <v>403</v>
      </c>
      <c r="D118" s="1822"/>
      <c r="E118" s="1822"/>
      <c r="F118" s="1822"/>
      <c r="G118" s="1822"/>
      <c r="H118" s="1822"/>
      <c r="I118" s="1822"/>
      <c r="J118" s="1822"/>
      <c r="K118" s="1822"/>
      <c r="L118" s="551">
        <v>45269.52</v>
      </c>
      <c r="M118" s="550"/>
      <c r="N118" s="549"/>
      <c r="V118" s="674"/>
      <c r="W118" s="675"/>
      <c r="AC118" s="675"/>
      <c r="AD118" s="680"/>
      <c r="AE118" s="675"/>
      <c r="AF118" s="537" t="s">
        <v>403</v>
      </c>
    </row>
    <row r="119" spans="1:32" s="536" customFormat="1" ht="12" x14ac:dyDescent="0.2">
      <c r="A119" s="548"/>
      <c r="B119" s="552"/>
      <c r="C119" s="1822" t="s">
        <v>204</v>
      </c>
      <c r="D119" s="1822"/>
      <c r="E119" s="1822"/>
      <c r="F119" s="1822"/>
      <c r="G119" s="1822"/>
      <c r="H119" s="1822"/>
      <c r="I119" s="1822"/>
      <c r="J119" s="1822"/>
      <c r="K119" s="1822"/>
      <c r="L119" s="551"/>
      <c r="M119" s="550"/>
      <c r="N119" s="549"/>
      <c r="V119" s="674"/>
      <c r="W119" s="675"/>
      <c r="AC119" s="675"/>
      <c r="AD119" s="680"/>
      <c r="AE119" s="675"/>
      <c r="AF119" s="537" t="s">
        <v>204</v>
      </c>
    </row>
    <row r="120" spans="1:32" s="536" customFormat="1" ht="12" x14ac:dyDescent="0.2">
      <c r="A120" s="548"/>
      <c r="B120" s="552"/>
      <c r="C120" s="1822" t="s">
        <v>404</v>
      </c>
      <c r="D120" s="1822"/>
      <c r="E120" s="1822"/>
      <c r="F120" s="1822"/>
      <c r="G120" s="1822"/>
      <c r="H120" s="1822"/>
      <c r="I120" s="1822"/>
      <c r="J120" s="1822"/>
      <c r="K120" s="1822"/>
      <c r="L120" s="551">
        <v>5759.79</v>
      </c>
      <c r="M120" s="550"/>
      <c r="N120" s="549"/>
      <c r="V120" s="674"/>
      <c r="W120" s="675"/>
      <c r="AC120" s="675"/>
      <c r="AD120" s="680"/>
      <c r="AE120" s="675"/>
      <c r="AF120" s="537" t="s">
        <v>404</v>
      </c>
    </row>
    <row r="121" spans="1:32" s="536" customFormat="1" ht="12" x14ac:dyDescent="0.2">
      <c r="A121" s="548"/>
      <c r="B121" s="552"/>
      <c r="C121" s="1822" t="s">
        <v>405</v>
      </c>
      <c r="D121" s="1822"/>
      <c r="E121" s="1822"/>
      <c r="F121" s="1822"/>
      <c r="G121" s="1822"/>
      <c r="H121" s="1822"/>
      <c r="I121" s="1822"/>
      <c r="J121" s="1822"/>
      <c r="K121" s="1822"/>
      <c r="L121" s="551">
        <v>1293.07</v>
      </c>
      <c r="M121" s="550"/>
      <c r="N121" s="549"/>
      <c r="V121" s="674"/>
      <c r="W121" s="675"/>
      <c r="AC121" s="675"/>
      <c r="AD121" s="680"/>
      <c r="AE121" s="675"/>
      <c r="AF121" s="537" t="s">
        <v>405</v>
      </c>
    </row>
    <row r="122" spans="1:32" s="536" customFormat="1" ht="12" x14ac:dyDescent="0.2">
      <c r="A122" s="548"/>
      <c r="B122" s="552"/>
      <c r="C122" s="1822" t="s">
        <v>406</v>
      </c>
      <c r="D122" s="1822"/>
      <c r="E122" s="1822"/>
      <c r="F122" s="1822"/>
      <c r="G122" s="1822"/>
      <c r="H122" s="1822"/>
      <c r="I122" s="1822"/>
      <c r="J122" s="1822"/>
      <c r="K122" s="1822"/>
      <c r="L122" s="551">
        <v>158.38999999999999</v>
      </c>
      <c r="M122" s="550"/>
      <c r="N122" s="549"/>
      <c r="V122" s="674"/>
      <c r="W122" s="675"/>
      <c r="AC122" s="675"/>
      <c r="AD122" s="680"/>
      <c r="AE122" s="675"/>
      <c r="AF122" s="537" t="s">
        <v>406</v>
      </c>
    </row>
    <row r="123" spans="1:32" s="536" customFormat="1" ht="12" x14ac:dyDescent="0.2">
      <c r="A123" s="548"/>
      <c r="B123" s="552"/>
      <c r="C123" s="1822" t="s">
        <v>480</v>
      </c>
      <c r="D123" s="1822"/>
      <c r="E123" s="1822"/>
      <c r="F123" s="1822"/>
      <c r="G123" s="1822"/>
      <c r="H123" s="1822"/>
      <c r="I123" s="1822"/>
      <c r="J123" s="1822"/>
      <c r="K123" s="1822"/>
      <c r="L123" s="551">
        <v>38216.660000000003</v>
      </c>
      <c r="M123" s="550"/>
      <c r="N123" s="549"/>
      <c r="V123" s="674"/>
      <c r="W123" s="675"/>
      <c r="AC123" s="675"/>
      <c r="AD123" s="680"/>
      <c r="AE123" s="675"/>
      <c r="AF123" s="537" t="s">
        <v>480</v>
      </c>
    </row>
    <row r="124" spans="1:32" s="536" customFormat="1" ht="12" x14ac:dyDescent="0.2">
      <c r="A124" s="548"/>
      <c r="B124" s="552"/>
      <c r="C124" s="1822" t="s">
        <v>407</v>
      </c>
      <c r="D124" s="1822"/>
      <c r="E124" s="1822"/>
      <c r="F124" s="1822"/>
      <c r="G124" s="1822"/>
      <c r="H124" s="1822"/>
      <c r="I124" s="1822"/>
      <c r="J124" s="1822"/>
      <c r="K124" s="1822"/>
      <c r="L124" s="551">
        <v>54249.440000000002</v>
      </c>
      <c r="M124" s="550"/>
      <c r="N124" s="549"/>
      <c r="V124" s="674"/>
      <c r="W124" s="675"/>
      <c r="AC124" s="675"/>
      <c r="AD124" s="680"/>
      <c r="AE124" s="675"/>
      <c r="AF124" s="537" t="s">
        <v>407</v>
      </c>
    </row>
    <row r="125" spans="1:32" s="536" customFormat="1" ht="12" x14ac:dyDescent="0.2">
      <c r="A125" s="548"/>
      <c r="B125" s="552"/>
      <c r="C125" s="1822" t="s">
        <v>204</v>
      </c>
      <c r="D125" s="1822"/>
      <c r="E125" s="1822"/>
      <c r="F125" s="1822"/>
      <c r="G125" s="1822"/>
      <c r="H125" s="1822"/>
      <c r="I125" s="1822"/>
      <c r="J125" s="1822"/>
      <c r="K125" s="1822"/>
      <c r="L125" s="551"/>
      <c r="M125" s="550"/>
      <c r="N125" s="549"/>
      <c r="V125" s="674"/>
      <c r="W125" s="675"/>
      <c r="AC125" s="675"/>
      <c r="AD125" s="680"/>
      <c r="AE125" s="675"/>
      <c r="AF125" s="537" t="s">
        <v>204</v>
      </c>
    </row>
    <row r="126" spans="1:32" s="536" customFormat="1" ht="12" x14ac:dyDescent="0.2">
      <c r="A126" s="548"/>
      <c r="B126" s="552"/>
      <c r="C126" s="1822" t="s">
        <v>546</v>
      </c>
      <c r="D126" s="1822"/>
      <c r="E126" s="1822"/>
      <c r="F126" s="1822"/>
      <c r="G126" s="1822"/>
      <c r="H126" s="1822"/>
      <c r="I126" s="1822"/>
      <c r="J126" s="1822"/>
      <c r="K126" s="1822"/>
      <c r="L126" s="551">
        <v>5759.79</v>
      </c>
      <c r="M126" s="550"/>
      <c r="N126" s="549"/>
      <c r="V126" s="674"/>
      <c r="W126" s="675"/>
      <c r="AC126" s="675"/>
      <c r="AD126" s="680"/>
      <c r="AE126" s="675"/>
      <c r="AF126" s="537" t="s">
        <v>546</v>
      </c>
    </row>
    <row r="127" spans="1:32" s="536" customFormat="1" ht="12" x14ac:dyDescent="0.2">
      <c r="A127" s="548"/>
      <c r="B127" s="552"/>
      <c r="C127" s="1822" t="s">
        <v>442</v>
      </c>
      <c r="D127" s="1822"/>
      <c r="E127" s="1822"/>
      <c r="F127" s="1822"/>
      <c r="G127" s="1822"/>
      <c r="H127" s="1822"/>
      <c r="I127" s="1822"/>
      <c r="J127" s="1822"/>
      <c r="K127" s="1822"/>
      <c r="L127" s="551">
        <v>1293.07</v>
      </c>
      <c r="M127" s="550"/>
      <c r="N127" s="549"/>
      <c r="V127" s="674"/>
      <c r="W127" s="675"/>
      <c r="AC127" s="675"/>
      <c r="AD127" s="680"/>
      <c r="AE127" s="675"/>
      <c r="AF127" s="537" t="s">
        <v>442</v>
      </c>
    </row>
    <row r="128" spans="1:32" s="536" customFormat="1" ht="12" x14ac:dyDescent="0.2">
      <c r="A128" s="548"/>
      <c r="B128" s="552"/>
      <c r="C128" s="1822" t="s">
        <v>547</v>
      </c>
      <c r="D128" s="1822"/>
      <c r="E128" s="1822"/>
      <c r="F128" s="1822"/>
      <c r="G128" s="1822"/>
      <c r="H128" s="1822"/>
      <c r="I128" s="1822"/>
      <c r="J128" s="1822"/>
      <c r="K128" s="1822"/>
      <c r="L128" s="551">
        <v>38216.660000000003</v>
      </c>
      <c r="M128" s="550"/>
      <c r="N128" s="549"/>
      <c r="V128" s="674"/>
      <c r="W128" s="675"/>
      <c r="AC128" s="675"/>
      <c r="AD128" s="680"/>
      <c r="AE128" s="675"/>
      <c r="AF128" s="537" t="s">
        <v>547</v>
      </c>
    </row>
    <row r="129" spans="1:33" s="536" customFormat="1" ht="12" x14ac:dyDescent="0.2">
      <c r="A129" s="548"/>
      <c r="B129" s="552"/>
      <c r="C129" s="1822" t="s">
        <v>443</v>
      </c>
      <c r="D129" s="1822"/>
      <c r="E129" s="1822"/>
      <c r="F129" s="1822"/>
      <c r="G129" s="1822"/>
      <c r="H129" s="1822"/>
      <c r="I129" s="1822"/>
      <c r="J129" s="1822"/>
      <c r="K129" s="1822"/>
      <c r="L129" s="551">
        <v>5964.35</v>
      </c>
      <c r="M129" s="550"/>
      <c r="N129" s="549"/>
      <c r="V129" s="674"/>
      <c r="W129" s="675"/>
      <c r="AC129" s="675"/>
      <c r="AD129" s="680"/>
      <c r="AE129" s="675"/>
      <c r="AF129" s="537" t="s">
        <v>443</v>
      </c>
    </row>
    <row r="130" spans="1:33" s="536" customFormat="1" ht="12" x14ac:dyDescent="0.2">
      <c r="A130" s="548"/>
      <c r="B130" s="552"/>
      <c r="C130" s="1822" t="s">
        <v>444</v>
      </c>
      <c r="D130" s="1822"/>
      <c r="E130" s="1822"/>
      <c r="F130" s="1822"/>
      <c r="G130" s="1822"/>
      <c r="H130" s="1822"/>
      <c r="I130" s="1822"/>
      <c r="J130" s="1822"/>
      <c r="K130" s="1822"/>
      <c r="L130" s="551">
        <v>3015.57</v>
      </c>
      <c r="M130" s="550"/>
      <c r="N130" s="549"/>
      <c r="V130" s="674"/>
      <c r="W130" s="675"/>
      <c r="AC130" s="675"/>
      <c r="AD130" s="680"/>
      <c r="AE130" s="675"/>
      <c r="AF130" s="537" t="s">
        <v>444</v>
      </c>
    </row>
    <row r="131" spans="1:33" s="536" customFormat="1" ht="12" x14ac:dyDescent="0.2">
      <c r="A131" s="548"/>
      <c r="B131" s="552"/>
      <c r="C131" s="1822" t="s">
        <v>415</v>
      </c>
      <c r="D131" s="1822"/>
      <c r="E131" s="1822"/>
      <c r="F131" s="1822"/>
      <c r="G131" s="1822"/>
      <c r="H131" s="1822"/>
      <c r="I131" s="1822"/>
      <c r="J131" s="1822"/>
      <c r="K131" s="1822"/>
      <c r="L131" s="551">
        <v>5918.18</v>
      </c>
      <c r="M131" s="550"/>
      <c r="N131" s="549"/>
      <c r="V131" s="674"/>
      <c r="W131" s="675"/>
      <c r="AC131" s="675"/>
      <c r="AD131" s="680"/>
      <c r="AE131" s="675"/>
      <c r="AF131" s="537" t="s">
        <v>415</v>
      </c>
    </row>
    <row r="132" spans="1:33" s="536" customFormat="1" ht="12" x14ac:dyDescent="0.2">
      <c r="A132" s="548"/>
      <c r="B132" s="552"/>
      <c r="C132" s="1822" t="s">
        <v>416</v>
      </c>
      <c r="D132" s="1822"/>
      <c r="E132" s="1822"/>
      <c r="F132" s="1822"/>
      <c r="G132" s="1822"/>
      <c r="H132" s="1822"/>
      <c r="I132" s="1822"/>
      <c r="J132" s="1822"/>
      <c r="K132" s="1822"/>
      <c r="L132" s="551">
        <v>5964.35</v>
      </c>
      <c r="M132" s="550"/>
      <c r="N132" s="549"/>
      <c r="V132" s="674"/>
      <c r="W132" s="675"/>
      <c r="AC132" s="675"/>
      <c r="AD132" s="680"/>
      <c r="AE132" s="675"/>
      <c r="AF132" s="537" t="s">
        <v>416</v>
      </c>
    </row>
    <row r="133" spans="1:33" s="536" customFormat="1" ht="12" x14ac:dyDescent="0.2">
      <c r="A133" s="548"/>
      <c r="B133" s="552"/>
      <c r="C133" s="1822" t="s">
        <v>417</v>
      </c>
      <c r="D133" s="1822"/>
      <c r="E133" s="1822"/>
      <c r="F133" s="1822"/>
      <c r="G133" s="1822"/>
      <c r="H133" s="1822"/>
      <c r="I133" s="1822"/>
      <c r="J133" s="1822"/>
      <c r="K133" s="1822"/>
      <c r="L133" s="551">
        <v>3015.57</v>
      </c>
      <c r="M133" s="550"/>
      <c r="N133" s="549"/>
      <c r="V133" s="674"/>
      <c r="W133" s="675"/>
      <c r="AC133" s="675"/>
      <c r="AD133" s="680"/>
      <c r="AE133" s="675"/>
      <c r="AF133" s="537" t="s">
        <v>417</v>
      </c>
    </row>
    <row r="134" spans="1:33" s="536" customFormat="1" ht="12" x14ac:dyDescent="0.2">
      <c r="A134" s="548"/>
      <c r="B134" s="546"/>
      <c r="C134" s="1819" t="s">
        <v>1889</v>
      </c>
      <c r="D134" s="1819"/>
      <c r="E134" s="1819"/>
      <c r="F134" s="1819"/>
      <c r="G134" s="1819"/>
      <c r="H134" s="1819"/>
      <c r="I134" s="1819"/>
      <c r="J134" s="1819"/>
      <c r="K134" s="1819"/>
      <c r="L134" s="544">
        <v>54249.440000000002</v>
      </c>
      <c r="M134" s="543"/>
      <c r="N134" s="681"/>
      <c r="V134" s="674"/>
      <c r="W134" s="675"/>
      <c r="AC134" s="675"/>
      <c r="AD134" s="680"/>
      <c r="AE134" s="675"/>
      <c r="AG134" s="675" t="s">
        <v>1889</v>
      </c>
    </row>
    <row r="135" spans="1:33" s="536" customFormat="1" ht="12" x14ac:dyDescent="0.2">
      <c r="A135" s="548"/>
      <c r="B135" s="552"/>
      <c r="C135" s="1822" t="s">
        <v>204</v>
      </c>
      <c r="D135" s="1822"/>
      <c r="E135" s="1822"/>
      <c r="F135" s="1822"/>
      <c r="G135" s="1822"/>
      <c r="H135" s="1822"/>
      <c r="I135" s="1822"/>
      <c r="J135" s="1822"/>
      <c r="K135" s="1822"/>
      <c r="L135" s="551"/>
      <c r="M135" s="550"/>
      <c r="N135" s="549"/>
      <c r="V135" s="674"/>
      <c r="W135" s="675"/>
      <c r="AC135" s="675"/>
      <c r="AD135" s="680"/>
      <c r="AE135" s="675"/>
      <c r="AF135" s="537" t="s">
        <v>204</v>
      </c>
      <c r="AG135" s="675"/>
    </row>
    <row r="136" spans="1:33" s="536" customFormat="1" ht="12" x14ac:dyDescent="0.2">
      <c r="A136" s="548"/>
      <c r="B136" s="552"/>
      <c r="C136" s="1822" t="s">
        <v>8095</v>
      </c>
      <c r="D136" s="1822"/>
      <c r="E136" s="1822"/>
      <c r="F136" s="1822"/>
      <c r="G136" s="1822"/>
      <c r="H136" s="1822"/>
      <c r="I136" s="1822"/>
      <c r="J136" s="1822"/>
      <c r="K136" s="1822"/>
      <c r="L136" s="551">
        <v>355.65</v>
      </c>
      <c r="M136" s="550"/>
      <c r="N136" s="549"/>
      <c r="V136" s="674"/>
      <c r="W136" s="675"/>
      <c r="AC136" s="675"/>
      <c r="AD136" s="680"/>
      <c r="AE136" s="675"/>
      <c r="AF136" s="537" t="s">
        <v>8095</v>
      </c>
      <c r="AG136" s="675"/>
    </row>
    <row r="137" spans="1:33" s="536" customFormat="1" ht="12" x14ac:dyDescent="0.2">
      <c r="A137" s="1824" t="s">
        <v>1890</v>
      </c>
      <c r="B137" s="1825"/>
      <c r="C137" s="1825"/>
      <c r="D137" s="1825"/>
      <c r="E137" s="1825"/>
      <c r="F137" s="1825"/>
      <c r="G137" s="1825"/>
      <c r="H137" s="1825"/>
      <c r="I137" s="1825"/>
      <c r="J137" s="1825"/>
      <c r="K137" s="1825"/>
      <c r="L137" s="1825"/>
      <c r="M137" s="1825"/>
      <c r="N137" s="1826"/>
      <c r="V137" s="674" t="s">
        <v>1890</v>
      </c>
      <c r="W137" s="675"/>
      <c r="AC137" s="675"/>
      <c r="AD137" s="680"/>
      <c r="AE137" s="675"/>
      <c r="AG137" s="675"/>
    </row>
    <row r="138" spans="1:33" s="536" customFormat="1" ht="33.75" x14ac:dyDescent="0.2">
      <c r="A138" s="575" t="s">
        <v>195</v>
      </c>
      <c r="B138" s="670" t="s">
        <v>1147</v>
      </c>
      <c r="C138" s="1823" t="s">
        <v>1148</v>
      </c>
      <c r="D138" s="1823"/>
      <c r="E138" s="1823"/>
      <c r="F138" s="573" t="s">
        <v>862</v>
      </c>
      <c r="G138" s="573"/>
      <c r="H138" s="573"/>
      <c r="I138" s="573" t="s">
        <v>3441</v>
      </c>
      <c r="J138" s="572"/>
      <c r="K138" s="573"/>
      <c r="L138" s="572"/>
      <c r="M138" s="571"/>
      <c r="N138" s="570"/>
      <c r="V138" s="674"/>
      <c r="W138" s="675" t="s">
        <v>1148</v>
      </c>
      <c r="AC138" s="675"/>
      <c r="AD138" s="680"/>
      <c r="AE138" s="675"/>
      <c r="AG138" s="675"/>
    </row>
    <row r="139" spans="1:33" s="536" customFormat="1" ht="12" x14ac:dyDescent="0.2">
      <c r="A139" s="676"/>
      <c r="B139" s="664"/>
      <c r="C139" s="1822" t="s">
        <v>3442</v>
      </c>
      <c r="D139" s="1822"/>
      <c r="E139" s="1822"/>
      <c r="F139" s="1822"/>
      <c r="G139" s="1822"/>
      <c r="H139" s="1822"/>
      <c r="I139" s="1822"/>
      <c r="J139" s="1822"/>
      <c r="K139" s="1822"/>
      <c r="L139" s="1822"/>
      <c r="M139" s="1822"/>
      <c r="N139" s="1827"/>
      <c r="V139" s="674"/>
      <c r="W139" s="675"/>
      <c r="X139" s="537" t="s">
        <v>3442</v>
      </c>
      <c r="AC139" s="675"/>
      <c r="AD139" s="680"/>
      <c r="AE139" s="675"/>
      <c r="AG139" s="675"/>
    </row>
    <row r="140" spans="1:33" s="536" customFormat="1" ht="33.75" x14ac:dyDescent="0.2">
      <c r="A140" s="609"/>
      <c r="B140" s="552" t="s">
        <v>310</v>
      </c>
      <c r="C140" s="1822" t="s">
        <v>311</v>
      </c>
      <c r="D140" s="1822"/>
      <c r="E140" s="1822"/>
      <c r="F140" s="1822"/>
      <c r="G140" s="1822"/>
      <c r="H140" s="1822"/>
      <c r="I140" s="1822"/>
      <c r="J140" s="1822"/>
      <c r="K140" s="1822"/>
      <c r="L140" s="1822"/>
      <c r="M140" s="1822"/>
      <c r="N140" s="1827"/>
      <c r="V140" s="674"/>
      <c r="W140" s="675"/>
      <c r="Y140" s="537" t="s">
        <v>311</v>
      </c>
      <c r="AC140" s="675"/>
      <c r="AD140" s="680"/>
      <c r="AE140" s="675"/>
      <c r="AG140" s="675"/>
    </row>
    <row r="141" spans="1:33" s="536" customFormat="1" ht="12" x14ac:dyDescent="0.2">
      <c r="A141" s="605"/>
      <c r="B141" s="552" t="s">
        <v>185</v>
      </c>
      <c r="C141" s="1822" t="s">
        <v>312</v>
      </c>
      <c r="D141" s="1822"/>
      <c r="E141" s="1822"/>
      <c r="F141" s="562"/>
      <c r="G141" s="562"/>
      <c r="H141" s="562"/>
      <c r="I141" s="562"/>
      <c r="J141" s="604">
        <v>390.01</v>
      </c>
      <c r="K141" s="562" t="s">
        <v>313</v>
      </c>
      <c r="L141" s="604">
        <v>579.21</v>
      </c>
      <c r="M141" s="603"/>
      <c r="N141" s="602"/>
      <c r="V141" s="674"/>
      <c r="W141" s="675"/>
      <c r="Z141" s="537" t="s">
        <v>312</v>
      </c>
      <c r="AC141" s="675"/>
      <c r="AD141" s="680"/>
      <c r="AE141" s="675"/>
      <c r="AG141" s="675"/>
    </row>
    <row r="142" spans="1:33" s="536" customFormat="1" ht="12" x14ac:dyDescent="0.2">
      <c r="A142" s="605"/>
      <c r="B142" s="552" t="s">
        <v>186</v>
      </c>
      <c r="C142" s="1822" t="s">
        <v>344</v>
      </c>
      <c r="D142" s="1822"/>
      <c r="E142" s="1822"/>
      <c r="F142" s="562"/>
      <c r="G142" s="562"/>
      <c r="H142" s="562"/>
      <c r="I142" s="562"/>
      <c r="J142" s="604">
        <v>128.51</v>
      </c>
      <c r="K142" s="562" t="s">
        <v>313</v>
      </c>
      <c r="L142" s="604">
        <v>190.85</v>
      </c>
      <c r="M142" s="603"/>
      <c r="N142" s="602"/>
      <c r="V142" s="674"/>
      <c r="W142" s="675"/>
      <c r="Z142" s="537" t="s">
        <v>344</v>
      </c>
      <c r="AC142" s="675"/>
      <c r="AD142" s="680"/>
      <c r="AE142" s="675"/>
      <c r="AG142" s="675"/>
    </row>
    <row r="143" spans="1:33" s="536" customFormat="1" ht="12" x14ac:dyDescent="0.2">
      <c r="A143" s="605"/>
      <c r="B143" s="552" t="s">
        <v>187</v>
      </c>
      <c r="C143" s="1822" t="s">
        <v>345</v>
      </c>
      <c r="D143" s="1822"/>
      <c r="E143" s="1822"/>
      <c r="F143" s="562"/>
      <c r="G143" s="562"/>
      <c r="H143" s="562"/>
      <c r="I143" s="562"/>
      <c r="J143" s="604">
        <v>3.27</v>
      </c>
      <c r="K143" s="562" t="s">
        <v>313</v>
      </c>
      <c r="L143" s="604">
        <v>4.8600000000000003</v>
      </c>
      <c r="M143" s="603"/>
      <c r="N143" s="602"/>
      <c r="V143" s="674"/>
      <c r="W143" s="675"/>
      <c r="Z143" s="537" t="s">
        <v>345</v>
      </c>
      <c r="AC143" s="675"/>
      <c r="AD143" s="680"/>
      <c r="AE143" s="675"/>
      <c r="AG143" s="675"/>
    </row>
    <row r="144" spans="1:33" s="536" customFormat="1" ht="12" x14ac:dyDescent="0.2">
      <c r="A144" s="605"/>
      <c r="B144" s="552" t="s">
        <v>188</v>
      </c>
      <c r="C144" s="1822" t="s">
        <v>475</v>
      </c>
      <c r="D144" s="1822"/>
      <c r="E144" s="1822"/>
      <c r="F144" s="562"/>
      <c r="G144" s="562"/>
      <c r="H144" s="562"/>
      <c r="I144" s="562"/>
      <c r="J144" s="604">
        <v>9704.6299999999992</v>
      </c>
      <c r="K144" s="562"/>
      <c r="L144" s="604">
        <v>4934.3100000000004</v>
      </c>
      <c r="M144" s="603"/>
      <c r="N144" s="602"/>
      <c r="V144" s="674"/>
      <c r="W144" s="675"/>
      <c r="Z144" s="537" t="s">
        <v>475</v>
      </c>
      <c r="AC144" s="675"/>
      <c r="AD144" s="680"/>
      <c r="AE144" s="675"/>
      <c r="AG144" s="675"/>
    </row>
    <row r="145" spans="1:33" s="536" customFormat="1" ht="22.5" x14ac:dyDescent="0.2">
      <c r="A145" s="605"/>
      <c r="B145" s="552"/>
      <c r="C145" s="1822" t="s">
        <v>314</v>
      </c>
      <c r="D145" s="1822"/>
      <c r="E145" s="1822"/>
      <c r="F145" s="562" t="s">
        <v>315</v>
      </c>
      <c r="G145" s="562" t="s">
        <v>1151</v>
      </c>
      <c r="H145" s="562" t="s">
        <v>313</v>
      </c>
      <c r="I145" s="562" t="s">
        <v>3443</v>
      </c>
      <c r="J145" s="604"/>
      <c r="K145" s="562"/>
      <c r="L145" s="604"/>
      <c r="M145" s="603"/>
      <c r="N145" s="602"/>
      <c r="V145" s="674"/>
      <c r="W145" s="675"/>
      <c r="AA145" s="537" t="s">
        <v>314</v>
      </c>
      <c r="AC145" s="675"/>
      <c r="AD145" s="680"/>
      <c r="AE145" s="675"/>
      <c r="AG145" s="675"/>
    </row>
    <row r="146" spans="1:33" s="536" customFormat="1" ht="12" x14ac:dyDescent="0.2">
      <c r="A146" s="605"/>
      <c r="B146" s="552"/>
      <c r="C146" s="1822" t="s">
        <v>348</v>
      </c>
      <c r="D146" s="1822"/>
      <c r="E146" s="1822"/>
      <c r="F146" s="562" t="s">
        <v>315</v>
      </c>
      <c r="G146" s="562" t="s">
        <v>1153</v>
      </c>
      <c r="H146" s="562" t="s">
        <v>313</v>
      </c>
      <c r="I146" s="562" t="s">
        <v>3444</v>
      </c>
      <c r="J146" s="604"/>
      <c r="K146" s="562"/>
      <c r="L146" s="604"/>
      <c r="M146" s="603"/>
      <c r="N146" s="602"/>
      <c r="V146" s="674"/>
      <c r="W146" s="675"/>
      <c r="AA146" s="537" t="s">
        <v>348</v>
      </c>
      <c r="AC146" s="675"/>
      <c r="AD146" s="680"/>
      <c r="AE146" s="675"/>
      <c r="AG146" s="675"/>
    </row>
    <row r="147" spans="1:33" s="536" customFormat="1" ht="12" x14ac:dyDescent="0.2">
      <c r="A147" s="605"/>
      <c r="B147" s="552"/>
      <c r="C147" s="1828" t="s">
        <v>318</v>
      </c>
      <c r="D147" s="1828"/>
      <c r="E147" s="1828"/>
      <c r="F147" s="608"/>
      <c r="G147" s="608"/>
      <c r="H147" s="608"/>
      <c r="I147" s="608"/>
      <c r="J147" s="607">
        <v>4671.63</v>
      </c>
      <c r="K147" s="608"/>
      <c r="L147" s="607">
        <v>5704.37</v>
      </c>
      <c r="M147" s="601"/>
      <c r="N147" s="606"/>
      <c r="V147" s="674"/>
      <c r="W147" s="675"/>
      <c r="AB147" s="537" t="s">
        <v>318</v>
      </c>
      <c r="AC147" s="675"/>
      <c r="AD147" s="680"/>
      <c r="AE147" s="675"/>
      <c r="AG147" s="675"/>
    </row>
    <row r="148" spans="1:33" s="536" customFormat="1" ht="12" x14ac:dyDescent="0.2">
      <c r="A148" s="605"/>
      <c r="B148" s="552"/>
      <c r="C148" s="1822" t="s">
        <v>319</v>
      </c>
      <c r="D148" s="1822"/>
      <c r="E148" s="1822"/>
      <c r="F148" s="562"/>
      <c r="G148" s="562"/>
      <c r="H148" s="562"/>
      <c r="I148" s="562"/>
      <c r="J148" s="604"/>
      <c r="K148" s="562"/>
      <c r="L148" s="604">
        <v>584.07000000000005</v>
      </c>
      <c r="M148" s="603"/>
      <c r="N148" s="602"/>
      <c r="V148" s="674"/>
      <c r="W148" s="675"/>
      <c r="AA148" s="537" t="s">
        <v>319</v>
      </c>
      <c r="AC148" s="675"/>
      <c r="AD148" s="680"/>
      <c r="AE148" s="675"/>
      <c r="AG148" s="675"/>
    </row>
    <row r="149" spans="1:33" s="536" customFormat="1" ht="33.75" x14ac:dyDescent="0.2">
      <c r="A149" s="605"/>
      <c r="B149" s="552" t="s">
        <v>1155</v>
      </c>
      <c r="C149" s="1822" t="s">
        <v>1156</v>
      </c>
      <c r="D149" s="1822"/>
      <c r="E149" s="1822"/>
      <c r="F149" s="562" t="s">
        <v>322</v>
      </c>
      <c r="G149" s="562" t="s">
        <v>1157</v>
      </c>
      <c r="H149" s="562"/>
      <c r="I149" s="562" t="s">
        <v>1157</v>
      </c>
      <c r="J149" s="604"/>
      <c r="K149" s="562"/>
      <c r="L149" s="604">
        <v>636.64</v>
      </c>
      <c r="M149" s="603"/>
      <c r="N149" s="602"/>
      <c r="V149" s="674"/>
      <c r="W149" s="675"/>
      <c r="AA149" s="537" t="s">
        <v>1156</v>
      </c>
      <c r="AC149" s="675"/>
      <c r="AD149" s="680"/>
      <c r="AE149" s="675"/>
      <c r="AG149" s="675"/>
    </row>
    <row r="150" spans="1:33" s="536" customFormat="1" ht="33.75" x14ac:dyDescent="0.2">
      <c r="A150" s="605"/>
      <c r="B150" s="552" t="s">
        <v>1158</v>
      </c>
      <c r="C150" s="1822" t="s">
        <v>1159</v>
      </c>
      <c r="D150" s="1822"/>
      <c r="E150" s="1822"/>
      <c r="F150" s="562" t="s">
        <v>322</v>
      </c>
      <c r="G150" s="562" t="s">
        <v>791</v>
      </c>
      <c r="H150" s="562"/>
      <c r="I150" s="562" t="s">
        <v>791</v>
      </c>
      <c r="J150" s="604"/>
      <c r="K150" s="562"/>
      <c r="L150" s="604">
        <v>332.92</v>
      </c>
      <c r="M150" s="603"/>
      <c r="N150" s="602"/>
      <c r="V150" s="674"/>
      <c r="W150" s="675"/>
      <c r="AA150" s="537" t="s">
        <v>1159</v>
      </c>
      <c r="AC150" s="675"/>
      <c r="AD150" s="680"/>
      <c r="AE150" s="675"/>
      <c r="AG150" s="675"/>
    </row>
    <row r="151" spans="1:33" s="536" customFormat="1" ht="12" x14ac:dyDescent="0.2">
      <c r="A151" s="569"/>
      <c r="B151" s="671"/>
      <c r="C151" s="1823" t="s">
        <v>327</v>
      </c>
      <c r="D151" s="1823"/>
      <c r="E151" s="1823"/>
      <c r="F151" s="573"/>
      <c r="G151" s="573"/>
      <c r="H151" s="573"/>
      <c r="I151" s="573"/>
      <c r="J151" s="572"/>
      <c r="K151" s="573"/>
      <c r="L151" s="572">
        <v>6673.93</v>
      </c>
      <c r="M151" s="601"/>
      <c r="N151" s="570"/>
      <c r="V151" s="674"/>
      <c r="W151" s="675"/>
      <c r="AC151" s="675" t="s">
        <v>327</v>
      </c>
      <c r="AD151" s="680"/>
      <c r="AE151" s="675"/>
      <c r="AG151" s="675"/>
    </row>
    <row r="152" spans="1:33" s="536" customFormat="1" ht="33.75" x14ac:dyDescent="0.2">
      <c r="A152" s="575" t="s">
        <v>196</v>
      </c>
      <c r="B152" s="670" t="s">
        <v>1160</v>
      </c>
      <c r="C152" s="1823" t="s">
        <v>1161</v>
      </c>
      <c r="D152" s="1823"/>
      <c r="E152" s="1823"/>
      <c r="F152" s="573" t="s">
        <v>694</v>
      </c>
      <c r="G152" s="573"/>
      <c r="H152" s="573"/>
      <c r="I152" s="573" t="s">
        <v>3445</v>
      </c>
      <c r="J152" s="572">
        <v>8715.1</v>
      </c>
      <c r="K152" s="573"/>
      <c r="L152" s="572">
        <v>7259.68</v>
      </c>
      <c r="M152" s="571"/>
      <c r="N152" s="570"/>
      <c r="V152" s="674"/>
      <c r="W152" s="675" t="s">
        <v>1161</v>
      </c>
      <c r="AC152" s="675"/>
      <c r="AD152" s="680"/>
      <c r="AE152" s="675"/>
      <c r="AG152" s="675"/>
    </row>
    <row r="153" spans="1:33" s="536" customFormat="1" ht="12" x14ac:dyDescent="0.2">
      <c r="A153" s="569"/>
      <c r="B153" s="671"/>
      <c r="C153" s="665" t="s">
        <v>717</v>
      </c>
      <c r="D153" s="666"/>
      <c r="E153" s="666"/>
      <c r="F153" s="563"/>
      <c r="G153" s="563"/>
      <c r="H153" s="563"/>
      <c r="I153" s="563"/>
      <c r="J153" s="566"/>
      <c r="K153" s="563"/>
      <c r="L153" s="566"/>
      <c r="M153" s="565"/>
      <c r="N153" s="564"/>
      <c r="V153" s="674"/>
      <c r="W153" s="675"/>
      <c r="AC153" s="675"/>
      <c r="AD153" s="680"/>
      <c r="AE153" s="675"/>
      <c r="AG153" s="675"/>
    </row>
    <row r="154" spans="1:33" s="536" customFormat="1" ht="12" x14ac:dyDescent="0.2">
      <c r="A154" s="676"/>
      <c r="B154" s="664"/>
      <c r="C154" s="1822" t="s">
        <v>3446</v>
      </c>
      <c r="D154" s="1822"/>
      <c r="E154" s="1822"/>
      <c r="F154" s="1822"/>
      <c r="G154" s="1822"/>
      <c r="H154" s="1822"/>
      <c r="I154" s="1822"/>
      <c r="J154" s="1822"/>
      <c r="K154" s="1822"/>
      <c r="L154" s="1822"/>
      <c r="M154" s="1822"/>
      <c r="N154" s="1827"/>
      <c r="V154" s="674"/>
      <c r="W154" s="675"/>
      <c r="X154" s="537" t="s">
        <v>3446</v>
      </c>
      <c r="AC154" s="675"/>
      <c r="AD154" s="680"/>
      <c r="AE154" s="675"/>
      <c r="AG154" s="675"/>
    </row>
    <row r="155" spans="1:33" s="536" customFormat="1" ht="22.5" x14ac:dyDescent="0.2">
      <c r="A155" s="575" t="s">
        <v>197</v>
      </c>
      <c r="B155" s="670" t="s">
        <v>1164</v>
      </c>
      <c r="C155" s="1823" t="s">
        <v>1165</v>
      </c>
      <c r="D155" s="1823"/>
      <c r="E155" s="1823"/>
      <c r="F155" s="573" t="s">
        <v>862</v>
      </c>
      <c r="G155" s="573"/>
      <c r="H155" s="573"/>
      <c r="I155" s="573" t="s">
        <v>3441</v>
      </c>
      <c r="J155" s="572"/>
      <c r="K155" s="573"/>
      <c r="L155" s="572"/>
      <c r="M155" s="571"/>
      <c r="N155" s="570"/>
      <c r="V155" s="674"/>
      <c r="W155" s="675" t="s">
        <v>1165</v>
      </c>
      <c r="AC155" s="675"/>
      <c r="AD155" s="680"/>
      <c r="AE155" s="675"/>
      <c r="AG155" s="675"/>
    </row>
    <row r="156" spans="1:33" s="536" customFormat="1" ht="12" x14ac:dyDescent="0.2">
      <c r="A156" s="676"/>
      <c r="B156" s="664"/>
      <c r="C156" s="1822" t="s">
        <v>3442</v>
      </c>
      <c r="D156" s="1822"/>
      <c r="E156" s="1822"/>
      <c r="F156" s="1822"/>
      <c r="G156" s="1822"/>
      <c r="H156" s="1822"/>
      <c r="I156" s="1822"/>
      <c r="J156" s="1822"/>
      <c r="K156" s="1822"/>
      <c r="L156" s="1822"/>
      <c r="M156" s="1822"/>
      <c r="N156" s="1827"/>
      <c r="V156" s="674"/>
      <c r="W156" s="675"/>
      <c r="X156" s="537" t="s">
        <v>3442</v>
      </c>
      <c r="AC156" s="675"/>
      <c r="AD156" s="680"/>
      <c r="AE156" s="675"/>
      <c r="AG156" s="675"/>
    </row>
    <row r="157" spans="1:33" s="536" customFormat="1" ht="33.75" x14ac:dyDescent="0.2">
      <c r="A157" s="609"/>
      <c r="B157" s="552" t="s">
        <v>310</v>
      </c>
      <c r="C157" s="1822" t="s">
        <v>311</v>
      </c>
      <c r="D157" s="1822"/>
      <c r="E157" s="1822"/>
      <c r="F157" s="1822"/>
      <c r="G157" s="1822"/>
      <c r="H157" s="1822"/>
      <c r="I157" s="1822"/>
      <c r="J157" s="1822"/>
      <c r="K157" s="1822"/>
      <c r="L157" s="1822"/>
      <c r="M157" s="1822"/>
      <c r="N157" s="1827"/>
      <c r="V157" s="674"/>
      <c r="W157" s="675"/>
      <c r="Y157" s="537" t="s">
        <v>311</v>
      </c>
      <c r="AC157" s="675"/>
      <c r="AD157" s="680"/>
      <c r="AE157" s="675"/>
      <c r="AG157" s="675"/>
    </row>
    <row r="158" spans="1:33" s="536" customFormat="1" ht="12" x14ac:dyDescent="0.2">
      <c r="A158" s="605"/>
      <c r="B158" s="552" t="s">
        <v>185</v>
      </c>
      <c r="C158" s="1822" t="s">
        <v>312</v>
      </c>
      <c r="D158" s="1822"/>
      <c r="E158" s="1822"/>
      <c r="F158" s="562"/>
      <c r="G158" s="562"/>
      <c r="H158" s="562"/>
      <c r="I158" s="562"/>
      <c r="J158" s="604">
        <v>478.71</v>
      </c>
      <c r="K158" s="562" t="s">
        <v>313</v>
      </c>
      <c r="L158" s="604">
        <v>710.94</v>
      </c>
      <c r="M158" s="603"/>
      <c r="N158" s="602"/>
      <c r="V158" s="674"/>
      <c r="W158" s="675"/>
      <c r="Z158" s="537" t="s">
        <v>312</v>
      </c>
      <c r="AC158" s="675"/>
      <c r="AD158" s="680"/>
      <c r="AE158" s="675"/>
      <c r="AG158" s="675"/>
    </row>
    <row r="159" spans="1:33" s="536" customFormat="1" ht="12" x14ac:dyDescent="0.2">
      <c r="A159" s="605"/>
      <c r="B159" s="552" t="s">
        <v>186</v>
      </c>
      <c r="C159" s="1822" t="s">
        <v>344</v>
      </c>
      <c r="D159" s="1822"/>
      <c r="E159" s="1822"/>
      <c r="F159" s="562"/>
      <c r="G159" s="562"/>
      <c r="H159" s="562"/>
      <c r="I159" s="562"/>
      <c r="J159" s="604">
        <v>1.82</v>
      </c>
      <c r="K159" s="562" t="s">
        <v>313</v>
      </c>
      <c r="L159" s="604">
        <v>2.7</v>
      </c>
      <c r="M159" s="603"/>
      <c r="N159" s="602"/>
      <c r="V159" s="674"/>
      <c r="W159" s="675"/>
      <c r="Z159" s="537" t="s">
        <v>344</v>
      </c>
      <c r="AC159" s="675"/>
      <c r="AD159" s="680"/>
      <c r="AE159" s="675"/>
      <c r="AG159" s="675"/>
    </row>
    <row r="160" spans="1:33" s="536" customFormat="1" ht="12" x14ac:dyDescent="0.2">
      <c r="A160" s="605"/>
      <c r="B160" s="552" t="s">
        <v>187</v>
      </c>
      <c r="C160" s="1822" t="s">
        <v>345</v>
      </c>
      <c r="D160" s="1822"/>
      <c r="E160" s="1822"/>
      <c r="F160" s="562"/>
      <c r="G160" s="562"/>
      <c r="H160" s="562"/>
      <c r="I160" s="562"/>
      <c r="J160" s="604">
        <v>0.28999999999999998</v>
      </c>
      <c r="K160" s="562" t="s">
        <v>313</v>
      </c>
      <c r="L160" s="604">
        <v>0.43</v>
      </c>
      <c r="M160" s="603"/>
      <c r="N160" s="602"/>
      <c r="V160" s="674"/>
      <c r="W160" s="675"/>
      <c r="Z160" s="537" t="s">
        <v>345</v>
      </c>
      <c r="AC160" s="675"/>
      <c r="AD160" s="680"/>
      <c r="AE160" s="675"/>
      <c r="AG160" s="675"/>
    </row>
    <row r="161" spans="1:34" s="536" customFormat="1" ht="12" x14ac:dyDescent="0.2">
      <c r="A161" s="605"/>
      <c r="B161" s="552" t="s">
        <v>188</v>
      </c>
      <c r="C161" s="1822" t="s">
        <v>475</v>
      </c>
      <c r="D161" s="1822"/>
      <c r="E161" s="1822"/>
      <c r="F161" s="562"/>
      <c r="G161" s="562"/>
      <c r="H161" s="562"/>
      <c r="I161" s="562"/>
      <c r="J161" s="604">
        <v>3877.59</v>
      </c>
      <c r="K161" s="562"/>
      <c r="L161" s="604">
        <v>2916.83</v>
      </c>
      <c r="M161" s="603"/>
      <c r="N161" s="602"/>
      <c r="V161" s="674"/>
      <c r="W161" s="675"/>
      <c r="Z161" s="537" t="s">
        <v>475</v>
      </c>
      <c r="AC161" s="675"/>
      <c r="AD161" s="680"/>
      <c r="AE161" s="675"/>
      <c r="AG161" s="675"/>
    </row>
    <row r="162" spans="1:34" s="536" customFormat="1" ht="22.5" x14ac:dyDescent="0.2">
      <c r="A162" s="605"/>
      <c r="B162" s="552"/>
      <c r="C162" s="1822" t="s">
        <v>314</v>
      </c>
      <c r="D162" s="1822"/>
      <c r="E162" s="1822"/>
      <c r="F162" s="562" t="s">
        <v>315</v>
      </c>
      <c r="G162" s="562" t="s">
        <v>1167</v>
      </c>
      <c r="H162" s="562" t="s">
        <v>313</v>
      </c>
      <c r="I162" s="562" t="s">
        <v>3447</v>
      </c>
      <c r="J162" s="604"/>
      <c r="K162" s="562"/>
      <c r="L162" s="604"/>
      <c r="M162" s="603"/>
      <c r="N162" s="602"/>
      <c r="V162" s="674"/>
      <c r="W162" s="675"/>
      <c r="AA162" s="537" t="s">
        <v>314</v>
      </c>
      <c r="AC162" s="675"/>
      <c r="AD162" s="680"/>
      <c r="AE162" s="675"/>
      <c r="AG162" s="675"/>
    </row>
    <row r="163" spans="1:34" s="536" customFormat="1" ht="12" x14ac:dyDescent="0.2">
      <c r="A163" s="605"/>
      <c r="B163" s="552"/>
      <c r="C163" s="1822" t="s">
        <v>348</v>
      </c>
      <c r="D163" s="1822"/>
      <c r="E163" s="1822"/>
      <c r="F163" s="562" t="s">
        <v>315</v>
      </c>
      <c r="G163" s="562" t="s">
        <v>695</v>
      </c>
      <c r="H163" s="562" t="s">
        <v>313</v>
      </c>
      <c r="I163" s="562" t="s">
        <v>3448</v>
      </c>
      <c r="J163" s="604"/>
      <c r="K163" s="562"/>
      <c r="L163" s="604"/>
      <c r="M163" s="603"/>
      <c r="N163" s="602"/>
      <c r="V163" s="674"/>
      <c r="W163" s="675"/>
      <c r="AA163" s="537" t="s">
        <v>348</v>
      </c>
      <c r="AC163" s="675"/>
      <c r="AD163" s="680"/>
      <c r="AE163" s="675"/>
      <c r="AG163" s="675"/>
    </row>
    <row r="164" spans="1:34" s="536" customFormat="1" ht="12" x14ac:dyDescent="0.2">
      <c r="A164" s="605"/>
      <c r="B164" s="552"/>
      <c r="C164" s="1828" t="s">
        <v>318</v>
      </c>
      <c r="D164" s="1828"/>
      <c r="E164" s="1828"/>
      <c r="F164" s="608"/>
      <c r="G164" s="608"/>
      <c r="H164" s="608"/>
      <c r="I164" s="608"/>
      <c r="J164" s="607">
        <v>2935.57</v>
      </c>
      <c r="K164" s="608"/>
      <c r="L164" s="607">
        <v>3630.47</v>
      </c>
      <c r="M164" s="601"/>
      <c r="N164" s="606"/>
      <c r="V164" s="674"/>
      <c r="W164" s="675"/>
      <c r="AB164" s="537" t="s">
        <v>318</v>
      </c>
      <c r="AC164" s="675"/>
      <c r="AD164" s="680"/>
      <c r="AE164" s="675"/>
      <c r="AG164" s="675"/>
    </row>
    <row r="165" spans="1:34" s="536" customFormat="1" ht="12" x14ac:dyDescent="0.2">
      <c r="A165" s="605"/>
      <c r="B165" s="552"/>
      <c r="C165" s="1822" t="s">
        <v>319</v>
      </c>
      <c r="D165" s="1822"/>
      <c r="E165" s="1822"/>
      <c r="F165" s="562"/>
      <c r="G165" s="562"/>
      <c r="H165" s="562"/>
      <c r="I165" s="562"/>
      <c r="J165" s="604"/>
      <c r="K165" s="562"/>
      <c r="L165" s="604">
        <v>711.37</v>
      </c>
      <c r="M165" s="603"/>
      <c r="N165" s="602"/>
      <c r="V165" s="674"/>
      <c r="W165" s="675"/>
      <c r="AA165" s="537" t="s">
        <v>319</v>
      </c>
      <c r="AC165" s="675"/>
      <c r="AD165" s="680"/>
      <c r="AE165" s="675"/>
      <c r="AG165" s="675"/>
    </row>
    <row r="166" spans="1:34" s="536" customFormat="1" ht="33.75" x14ac:dyDescent="0.2">
      <c r="A166" s="605"/>
      <c r="B166" s="552" t="s">
        <v>1155</v>
      </c>
      <c r="C166" s="1822" t="s">
        <v>1156</v>
      </c>
      <c r="D166" s="1822"/>
      <c r="E166" s="1822"/>
      <c r="F166" s="562" t="s">
        <v>322</v>
      </c>
      <c r="G166" s="562" t="s">
        <v>1157</v>
      </c>
      <c r="H166" s="562"/>
      <c r="I166" s="562" t="s">
        <v>1157</v>
      </c>
      <c r="J166" s="604"/>
      <c r="K166" s="562"/>
      <c r="L166" s="604">
        <v>775.39</v>
      </c>
      <c r="M166" s="603"/>
      <c r="N166" s="602"/>
      <c r="V166" s="674"/>
      <c r="W166" s="675"/>
      <c r="AA166" s="537" t="s">
        <v>1156</v>
      </c>
      <c r="AC166" s="675"/>
      <c r="AD166" s="680"/>
      <c r="AE166" s="675"/>
      <c r="AG166" s="675"/>
    </row>
    <row r="167" spans="1:34" s="536" customFormat="1" ht="33.75" x14ac:dyDescent="0.2">
      <c r="A167" s="605"/>
      <c r="B167" s="552" t="s">
        <v>1158</v>
      </c>
      <c r="C167" s="1822" t="s">
        <v>1159</v>
      </c>
      <c r="D167" s="1822"/>
      <c r="E167" s="1822"/>
      <c r="F167" s="562" t="s">
        <v>322</v>
      </c>
      <c r="G167" s="562" t="s">
        <v>791</v>
      </c>
      <c r="H167" s="562"/>
      <c r="I167" s="562" t="s">
        <v>791</v>
      </c>
      <c r="J167" s="604"/>
      <c r="K167" s="562"/>
      <c r="L167" s="604">
        <v>405.48</v>
      </c>
      <c r="M167" s="603"/>
      <c r="N167" s="602"/>
      <c r="V167" s="674"/>
      <c r="W167" s="675"/>
      <c r="AA167" s="537" t="s">
        <v>1159</v>
      </c>
      <c r="AC167" s="675"/>
      <c r="AD167" s="680"/>
      <c r="AE167" s="675"/>
      <c r="AG167" s="675"/>
    </row>
    <row r="168" spans="1:34" s="536" customFormat="1" ht="12" x14ac:dyDescent="0.2">
      <c r="A168" s="569"/>
      <c r="B168" s="671"/>
      <c r="C168" s="1823" t="s">
        <v>327</v>
      </c>
      <c r="D168" s="1823"/>
      <c r="E168" s="1823"/>
      <c r="F168" s="573"/>
      <c r="G168" s="573"/>
      <c r="H168" s="573"/>
      <c r="I168" s="573"/>
      <c r="J168" s="572"/>
      <c r="K168" s="573"/>
      <c r="L168" s="572">
        <v>4811.34</v>
      </c>
      <c r="M168" s="601"/>
      <c r="N168" s="570"/>
      <c r="V168" s="674"/>
      <c r="W168" s="675"/>
      <c r="AC168" s="675" t="s">
        <v>327</v>
      </c>
      <c r="AD168" s="680"/>
      <c r="AE168" s="675"/>
      <c r="AG168" s="675"/>
    </row>
    <row r="169" spans="1:34" s="536" customFormat="1" ht="33.75" x14ac:dyDescent="0.2">
      <c r="A169" s="575" t="s">
        <v>198</v>
      </c>
      <c r="B169" s="670" t="s">
        <v>1170</v>
      </c>
      <c r="C169" s="1823" t="s">
        <v>1171</v>
      </c>
      <c r="D169" s="1823"/>
      <c r="E169" s="1823"/>
      <c r="F169" s="573" t="s">
        <v>865</v>
      </c>
      <c r="G169" s="573"/>
      <c r="H169" s="573"/>
      <c r="I169" s="573" t="s">
        <v>3449</v>
      </c>
      <c r="J169" s="572">
        <v>82.25</v>
      </c>
      <c r="K169" s="573" t="s">
        <v>716</v>
      </c>
      <c r="L169" s="572">
        <v>1377.76</v>
      </c>
      <c r="M169" s="571">
        <v>8.32</v>
      </c>
      <c r="N169" s="570">
        <v>11463</v>
      </c>
      <c r="V169" s="674"/>
      <c r="W169" s="675" t="s">
        <v>1171</v>
      </c>
      <c r="AC169" s="675"/>
      <c r="AD169" s="680"/>
      <c r="AE169" s="675"/>
      <c r="AG169" s="675"/>
    </row>
    <row r="170" spans="1:34" s="536" customFormat="1" ht="12" x14ac:dyDescent="0.2">
      <c r="A170" s="569"/>
      <c r="B170" s="671"/>
      <c r="C170" s="665" t="s">
        <v>1173</v>
      </c>
      <c r="D170" s="666"/>
      <c r="E170" s="666"/>
      <c r="F170" s="563"/>
      <c r="G170" s="563"/>
      <c r="H170" s="563"/>
      <c r="I170" s="563"/>
      <c r="J170" s="566"/>
      <c r="K170" s="563"/>
      <c r="L170" s="566"/>
      <c r="M170" s="565"/>
      <c r="N170" s="564"/>
      <c r="V170" s="674"/>
      <c r="W170" s="675"/>
      <c r="AC170" s="675"/>
      <c r="AD170" s="680"/>
      <c r="AE170" s="675"/>
      <c r="AG170" s="675"/>
    </row>
    <row r="171" spans="1:34" s="536" customFormat="1" ht="12" x14ac:dyDescent="0.2">
      <c r="A171" s="676"/>
      <c r="B171" s="664"/>
      <c r="C171" s="1822" t="s">
        <v>8096</v>
      </c>
      <c r="D171" s="1822"/>
      <c r="E171" s="1822"/>
      <c r="F171" s="1822"/>
      <c r="G171" s="1822"/>
      <c r="H171" s="1822"/>
      <c r="I171" s="1822"/>
      <c r="J171" s="1822"/>
      <c r="K171" s="1822"/>
      <c r="L171" s="1822"/>
      <c r="M171" s="1822"/>
      <c r="N171" s="1827"/>
      <c r="V171" s="674"/>
      <c r="W171" s="675"/>
      <c r="AC171" s="675"/>
      <c r="AD171" s="680"/>
      <c r="AE171" s="675"/>
      <c r="AG171" s="675"/>
      <c r="AH171" s="537" t="s">
        <v>8096</v>
      </c>
    </row>
    <row r="172" spans="1:34" s="536" customFormat="1" ht="22.5" x14ac:dyDescent="0.2">
      <c r="A172" s="609"/>
      <c r="B172" s="552" t="s">
        <v>718</v>
      </c>
      <c r="C172" s="1822" t="s">
        <v>719</v>
      </c>
      <c r="D172" s="1822"/>
      <c r="E172" s="1822"/>
      <c r="F172" s="1822"/>
      <c r="G172" s="1822"/>
      <c r="H172" s="1822"/>
      <c r="I172" s="1822"/>
      <c r="J172" s="1822"/>
      <c r="K172" s="1822"/>
      <c r="L172" s="1822"/>
      <c r="M172" s="1822"/>
      <c r="N172" s="1827"/>
      <c r="V172" s="674"/>
      <c r="W172" s="675"/>
      <c r="Y172" s="537" t="s">
        <v>719</v>
      </c>
      <c r="AC172" s="675"/>
      <c r="AD172" s="680"/>
      <c r="AE172" s="675"/>
      <c r="AG172" s="675"/>
    </row>
    <row r="173" spans="1:34" s="536" customFormat="1" ht="12" x14ac:dyDescent="0.2">
      <c r="A173" s="575" t="s">
        <v>199</v>
      </c>
      <c r="B173" s="670" t="s">
        <v>1175</v>
      </c>
      <c r="C173" s="1823" t="s">
        <v>1176</v>
      </c>
      <c r="D173" s="1823"/>
      <c r="E173" s="1823"/>
      <c r="F173" s="573" t="s">
        <v>1110</v>
      </c>
      <c r="G173" s="573"/>
      <c r="H173" s="573"/>
      <c r="I173" s="573" t="s">
        <v>1901</v>
      </c>
      <c r="J173" s="572"/>
      <c r="K173" s="573"/>
      <c r="L173" s="572"/>
      <c r="M173" s="571"/>
      <c r="N173" s="570"/>
      <c r="V173" s="674"/>
      <c r="W173" s="675" t="s">
        <v>1176</v>
      </c>
      <c r="AC173" s="675"/>
      <c r="AD173" s="680"/>
      <c r="AE173" s="675"/>
      <c r="AG173" s="675"/>
    </row>
    <row r="174" spans="1:34" s="536" customFormat="1" ht="12" x14ac:dyDescent="0.2">
      <c r="A174" s="676"/>
      <c r="B174" s="664"/>
      <c r="C174" s="1822" t="s">
        <v>1902</v>
      </c>
      <c r="D174" s="1822"/>
      <c r="E174" s="1822"/>
      <c r="F174" s="1822"/>
      <c r="G174" s="1822"/>
      <c r="H174" s="1822"/>
      <c r="I174" s="1822"/>
      <c r="J174" s="1822"/>
      <c r="K174" s="1822"/>
      <c r="L174" s="1822"/>
      <c r="M174" s="1822"/>
      <c r="N174" s="1827"/>
      <c r="V174" s="674"/>
      <c r="W174" s="675"/>
      <c r="X174" s="537" t="s">
        <v>1902</v>
      </c>
      <c r="AC174" s="675"/>
      <c r="AD174" s="680"/>
      <c r="AE174" s="675"/>
      <c r="AG174" s="675"/>
    </row>
    <row r="175" spans="1:34" s="536" customFormat="1" ht="33.75" x14ac:dyDescent="0.2">
      <c r="A175" s="609"/>
      <c r="B175" s="552" t="s">
        <v>310</v>
      </c>
      <c r="C175" s="1822" t="s">
        <v>311</v>
      </c>
      <c r="D175" s="1822"/>
      <c r="E175" s="1822"/>
      <c r="F175" s="1822"/>
      <c r="G175" s="1822"/>
      <c r="H175" s="1822"/>
      <c r="I175" s="1822"/>
      <c r="J175" s="1822"/>
      <c r="K175" s="1822"/>
      <c r="L175" s="1822"/>
      <c r="M175" s="1822"/>
      <c r="N175" s="1827"/>
      <c r="V175" s="674"/>
      <c r="W175" s="675"/>
      <c r="Y175" s="537" t="s">
        <v>311</v>
      </c>
      <c r="AC175" s="675"/>
      <c r="AD175" s="680"/>
      <c r="AE175" s="675"/>
      <c r="AG175" s="675"/>
    </row>
    <row r="176" spans="1:34" s="536" customFormat="1" ht="12" x14ac:dyDescent="0.2">
      <c r="A176" s="605"/>
      <c r="B176" s="552" t="s">
        <v>185</v>
      </c>
      <c r="C176" s="1822" t="s">
        <v>312</v>
      </c>
      <c r="D176" s="1822"/>
      <c r="E176" s="1822"/>
      <c r="F176" s="562"/>
      <c r="G176" s="562"/>
      <c r="H176" s="562"/>
      <c r="I176" s="562"/>
      <c r="J176" s="604">
        <v>237.13</v>
      </c>
      <c r="K176" s="562" t="s">
        <v>313</v>
      </c>
      <c r="L176" s="604">
        <v>44.46</v>
      </c>
      <c r="M176" s="603"/>
      <c r="N176" s="602"/>
      <c r="V176" s="674"/>
      <c r="W176" s="675"/>
      <c r="Z176" s="537" t="s">
        <v>312</v>
      </c>
      <c r="AC176" s="675"/>
      <c r="AD176" s="680"/>
      <c r="AE176" s="675"/>
      <c r="AG176" s="675"/>
    </row>
    <row r="177" spans="1:33" s="536" customFormat="1" ht="12" x14ac:dyDescent="0.2">
      <c r="A177" s="605"/>
      <c r="B177" s="552" t="s">
        <v>186</v>
      </c>
      <c r="C177" s="1822" t="s">
        <v>344</v>
      </c>
      <c r="D177" s="1822"/>
      <c r="E177" s="1822"/>
      <c r="F177" s="562"/>
      <c r="G177" s="562"/>
      <c r="H177" s="562"/>
      <c r="I177" s="562"/>
      <c r="J177" s="604">
        <v>21.18</v>
      </c>
      <c r="K177" s="562" t="s">
        <v>313</v>
      </c>
      <c r="L177" s="604">
        <v>3.97</v>
      </c>
      <c r="M177" s="603"/>
      <c r="N177" s="602"/>
      <c r="V177" s="674"/>
      <c r="W177" s="675"/>
      <c r="Z177" s="537" t="s">
        <v>344</v>
      </c>
      <c r="AC177" s="675"/>
      <c r="AD177" s="680"/>
      <c r="AE177" s="675"/>
      <c r="AG177" s="675"/>
    </row>
    <row r="178" spans="1:33" s="536" customFormat="1" ht="12" x14ac:dyDescent="0.2">
      <c r="A178" s="605"/>
      <c r="B178" s="552" t="s">
        <v>187</v>
      </c>
      <c r="C178" s="1822" t="s">
        <v>345</v>
      </c>
      <c r="D178" s="1822"/>
      <c r="E178" s="1822"/>
      <c r="F178" s="562"/>
      <c r="G178" s="562"/>
      <c r="H178" s="562"/>
      <c r="I178" s="562"/>
      <c r="J178" s="604">
        <v>3.21</v>
      </c>
      <c r="K178" s="562" t="s">
        <v>313</v>
      </c>
      <c r="L178" s="604">
        <v>0.6</v>
      </c>
      <c r="M178" s="603"/>
      <c r="N178" s="602"/>
      <c r="V178" s="674"/>
      <c r="W178" s="675"/>
      <c r="Z178" s="537" t="s">
        <v>345</v>
      </c>
      <c r="AC178" s="675"/>
      <c r="AD178" s="680"/>
      <c r="AE178" s="675"/>
      <c r="AG178" s="675"/>
    </row>
    <row r="179" spans="1:33" s="536" customFormat="1" ht="12" x14ac:dyDescent="0.2">
      <c r="A179" s="605"/>
      <c r="B179" s="552" t="s">
        <v>188</v>
      </c>
      <c r="C179" s="1822" t="s">
        <v>475</v>
      </c>
      <c r="D179" s="1822"/>
      <c r="E179" s="1822"/>
      <c r="F179" s="562"/>
      <c r="G179" s="562"/>
      <c r="H179" s="562"/>
      <c r="I179" s="562"/>
      <c r="J179" s="604">
        <v>5089.63</v>
      </c>
      <c r="K179" s="562"/>
      <c r="L179" s="604">
        <v>6.83</v>
      </c>
      <c r="M179" s="603"/>
      <c r="N179" s="602"/>
      <c r="V179" s="674"/>
      <c r="W179" s="675"/>
      <c r="Z179" s="537" t="s">
        <v>475</v>
      </c>
      <c r="AC179" s="675"/>
      <c r="AD179" s="680"/>
      <c r="AE179" s="675"/>
      <c r="AG179" s="675"/>
    </row>
    <row r="180" spans="1:33" s="536" customFormat="1" ht="12" x14ac:dyDescent="0.2">
      <c r="A180" s="605"/>
      <c r="B180" s="552"/>
      <c r="C180" s="1822" t="s">
        <v>314</v>
      </c>
      <c r="D180" s="1822"/>
      <c r="E180" s="1822"/>
      <c r="F180" s="562" t="s">
        <v>315</v>
      </c>
      <c r="G180" s="562" t="s">
        <v>1179</v>
      </c>
      <c r="H180" s="562" t="s">
        <v>313</v>
      </c>
      <c r="I180" s="562" t="s">
        <v>1903</v>
      </c>
      <c r="J180" s="604"/>
      <c r="K180" s="562"/>
      <c r="L180" s="604"/>
      <c r="M180" s="603"/>
      <c r="N180" s="602"/>
      <c r="V180" s="674"/>
      <c r="W180" s="675"/>
      <c r="AA180" s="537" t="s">
        <v>314</v>
      </c>
      <c r="AC180" s="675"/>
      <c r="AD180" s="680"/>
      <c r="AE180" s="675"/>
      <c r="AG180" s="675"/>
    </row>
    <row r="181" spans="1:33" s="536" customFormat="1" ht="12" x14ac:dyDescent="0.2">
      <c r="A181" s="605"/>
      <c r="B181" s="552"/>
      <c r="C181" s="1822" t="s">
        <v>348</v>
      </c>
      <c r="D181" s="1822"/>
      <c r="E181" s="1822"/>
      <c r="F181" s="562" t="s">
        <v>315</v>
      </c>
      <c r="G181" s="562" t="s">
        <v>1181</v>
      </c>
      <c r="H181" s="562" t="s">
        <v>313</v>
      </c>
      <c r="I181" s="562" t="s">
        <v>1904</v>
      </c>
      <c r="J181" s="604"/>
      <c r="K181" s="562"/>
      <c r="L181" s="604"/>
      <c r="M181" s="603"/>
      <c r="N181" s="602"/>
      <c r="V181" s="674"/>
      <c r="W181" s="675"/>
      <c r="AA181" s="537" t="s">
        <v>348</v>
      </c>
      <c r="AC181" s="675"/>
      <c r="AD181" s="680"/>
      <c r="AE181" s="675"/>
      <c r="AG181" s="675"/>
    </row>
    <row r="182" spans="1:33" s="536" customFormat="1" ht="12" x14ac:dyDescent="0.2">
      <c r="A182" s="605"/>
      <c r="B182" s="552"/>
      <c r="C182" s="1828" t="s">
        <v>318</v>
      </c>
      <c r="D182" s="1828"/>
      <c r="E182" s="1828"/>
      <c r="F182" s="608"/>
      <c r="G182" s="608"/>
      <c r="H182" s="608"/>
      <c r="I182" s="608"/>
      <c r="J182" s="607">
        <v>303.83</v>
      </c>
      <c r="K182" s="608"/>
      <c r="L182" s="607">
        <v>55.26</v>
      </c>
      <c r="M182" s="601"/>
      <c r="N182" s="606"/>
      <c r="V182" s="674"/>
      <c r="W182" s="675"/>
      <c r="AB182" s="537" t="s">
        <v>318</v>
      </c>
      <c r="AC182" s="675"/>
      <c r="AD182" s="680"/>
      <c r="AE182" s="675"/>
      <c r="AG182" s="675"/>
    </row>
    <row r="183" spans="1:33" s="536" customFormat="1" ht="12" x14ac:dyDescent="0.2">
      <c r="A183" s="605"/>
      <c r="B183" s="552"/>
      <c r="C183" s="1822" t="s">
        <v>319</v>
      </c>
      <c r="D183" s="1822"/>
      <c r="E183" s="1822"/>
      <c r="F183" s="562"/>
      <c r="G183" s="562"/>
      <c r="H183" s="562"/>
      <c r="I183" s="562"/>
      <c r="J183" s="604"/>
      <c r="K183" s="562"/>
      <c r="L183" s="604">
        <v>45.06</v>
      </c>
      <c r="M183" s="603"/>
      <c r="N183" s="602"/>
      <c r="V183" s="674"/>
      <c r="W183" s="675"/>
      <c r="AA183" s="537" t="s">
        <v>319</v>
      </c>
      <c r="AC183" s="675"/>
      <c r="AD183" s="680"/>
      <c r="AE183" s="675"/>
      <c r="AG183" s="675"/>
    </row>
    <row r="184" spans="1:33" s="536" customFormat="1" ht="33.75" x14ac:dyDescent="0.2">
      <c r="A184" s="605"/>
      <c r="B184" s="552" t="s">
        <v>1155</v>
      </c>
      <c r="C184" s="1822" t="s">
        <v>1156</v>
      </c>
      <c r="D184" s="1822"/>
      <c r="E184" s="1822"/>
      <c r="F184" s="562" t="s">
        <v>322</v>
      </c>
      <c r="G184" s="562" t="s">
        <v>1157</v>
      </c>
      <c r="H184" s="562"/>
      <c r="I184" s="562" t="s">
        <v>1157</v>
      </c>
      <c r="J184" s="604"/>
      <c r="K184" s="562"/>
      <c r="L184" s="604">
        <v>49.12</v>
      </c>
      <c r="M184" s="603"/>
      <c r="N184" s="602"/>
      <c r="V184" s="674"/>
      <c r="W184" s="675"/>
      <c r="AA184" s="537" t="s">
        <v>1156</v>
      </c>
      <c r="AC184" s="675"/>
      <c r="AD184" s="680"/>
      <c r="AE184" s="675"/>
      <c r="AG184" s="675"/>
    </row>
    <row r="185" spans="1:33" s="536" customFormat="1" ht="33.75" x14ac:dyDescent="0.2">
      <c r="A185" s="605"/>
      <c r="B185" s="552" t="s">
        <v>1158</v>
      </c>
      <c r="C185" s="1822" t="s">
        <v>1159</v>
      </c>
      <c r="D185" s="1822"/>
      <c r="E185" s="1822"/>
      <c r="F185" s="562" t="s">
        <v>322</v>
      </c>
      <c r="G185" s="562" t="s">
        <v>791</v>
      </c>
      <c r="H185" s="562"/>
      <c r="I185" s="562" t="s">
        <v>791</v>
      </c>
      <c r="J185" s="604"/>
      <c r="K185" s="562"/>
      <c r="L185" s="604">
        <v>25.68</v>
      </c>
      <c r="M185" s="603"/>
      <c r="N185" s="602"/>
      <c r="V185" s="674"/>
      <c r="W185" s="675"/>
      <c r="AA185" s="537" t="s">
        <v>1159</v>
      </c>
      <c r="AC185" s="675"/>
      <c r="AD185" s="680"/>
      <c r="AE185" s="675"/>
      <c r="AG185" s="675"/>
    </row>
    <row r="186" spans="1:33" s="536" customFormat="1" ht="12" x14ac:dyDescent="0.2">
      <c r="A186" s="569"/>
      <c r="B186" s="671"/>
      <c r="C186" s="1823" t="s">
        <v>327</v>
      </c>
      <c r="D186" s="1823"/>
      <c r="E186" s="1823"/>
      <c r="F186" s="573"/>
      <c r="G186" s="573"/>
      <c r="H186" s="573"/>
      <c r="I186" s="573"/>
      <c r="J186" s="572"/>
      <c r="K186" s="573"/>
      <c r="L186" s="572">
        <v>130.06</v>
      </c>
      <c r="M186" s="601"/>
      <c r="N186" s="570"/>
      <c r="V186" s="674"/>
      <c r="W186" s="675"/>
      <c r="AC186" s="675" t="s">
        <v>327</v>
      </c>
      <c r="AD186" s="680"/>
      <c r="AE186" s="675"/>
      <c r="AG186" s="675"/>
    </row>
    <row r="187" spans="1:33" s="536" customFormat="1" ht="45" x14ac:dyDescent="0.2">
      <c r="A187" s="575" t="s">
        <v>200</v>
      </c>
      <c r="B187" s="670" t="s">
        <v>1183</v>
      </c>
      <c r="C187" s="1823" t="s">
        <v>1184</v>
      </c>
      <c r="D187" s="1823"/>
      <c r="E187" s="1823"/>
      <c r="F187" s="573" t="s">
        <v>617</v>
      </c>
      <c r="G187" s="573"/>
      <c r="H187" s="573"/>
      <c r="I187" s="573" t="s">
        <v>189</v>
      </c>
      <c r="J187" s="572">
        <v>271.07</v>
      </c>
      <c r="K187" s="573"/>
      <c r="L187" s="572">
        <v>1355.35</v>
      </c>
      <c r="M187" s="571"/>
      <c r="N187" s="570"/>
      <c r="V187" s="674"/>
      <c r="W187" s="675" t="s">
        <v>1184</v>
      </c>
      <c r="AC187" s="675"/>
      <c r="AD187" s="680"/>
      <c r="AE187" s="675"/>
      <c r="AG187" s="675"/>
    </row>
    <row r="188" spans="1:33" s="536" customFormat="1" ht="12" x14ac:dyDescent="0.2">
      <c r="A188" s="569"/>
      <c r="B188" s="671"/>
      <c r="C188" s="665" t="s">
        <v>717</v>
      </c>
      <c r="D188" s="666"/>
      <c r="E188" s="666"/>
      <c r="F188" s="563"/>
      <c r="G188" s="563"/>
      <c r="H188" s="563"/>
      <c r="I188" s="563"/>
      <c r="J188" s="566"/>
      <c r="K188" s="563"/>
      <c r="L188" s="566"/>
      <c r="M188" s="565"/>
      <c r="N188" s="564"/>
      <c r="V188" s="674"/>
      <c r="W188" s="675"/>
      <c r="AC188" s="675"/>
      <c r="AD188" s="680"/>
      <c r="AE188" s="675"/>
      <c r="AG188" s="675"/>
    </row>
    <row r="189" spans="1:33" s="536" customFormat="1" ht="33.75" x14ac:dyDescent="0.2">
      <c r="A189" s="575" t="s">
        <v>425</v>
      </c>
      <c r="B189" s="670" t="s">
        <v>1186</v>
      </c>
      <c r="C189" s="1823" t="s">
        <v>1905</v>
      </c>
      <c r="D189" s="1823"/>
      <c r="E189" s="1823"/>
      <c r="F189" s="573" t="s">
        <v>617</v>
      </c>
      <c r="G189" s="573"/>
      <c r="H189" s="573"/>
      <c r="I189" s="573" t="s">
        <v>187</v>
      </c>
      <c r="J189" s="572">
        <v>46.98</v>
      </c>
      <c r="K189" s="573"/>
      <c r="L189" s="572">
        <v>140.94</v>
      </c>
      <c r="M189" s="571"/>
      <c r="N189" s="570"/>
      <c r="V189" s="674"/>
      <c r="W189" s="675" t="s">
        <v>1905</v>
      </c>
      <c r="AC189" s="675"/>
      <c r="AD189" s="680"/>
      <c r="AE189" s="675"/>
      <c r="AG189" s="675"/>
    </row>
    <row r="190" spans="1:33" s="536" customFormat="1" ht="12" x14ac:dyDescent="0.2">
      <c r="A190" s="569"/>
      <c r="B190" s="671"/>
      <c r="C190" s="665" t="s">
        <v>717</v>
      </c>
      <c r="D190" s="666"/>
      <c r="E190" s="666"/>
      <c r="F190" s="563"/>
      <c r="G190" s="563"/>
      <c r="H190" s="563"/>
      <c r="I190" s="563"/>
      <c r="J190" s="566"/>
      <c r="K190" s="563"/>
      <c r="L190" s="566"/>
      <c r="M190" s="565"/>
      <c r="N190" s="564"/>
      <c r="V190" s="674"/>
      <c r="W190" s="675"/>
      <c r="AC190" s="675"/>
      <c r="AD190" s="680"/>
      <c r="AE190" s="675"/>
      <c r="AG190" s="675"/>
    </row>
    <row r="191" spans="1:33" s="536" customFormat="1" ht="33.75" x14ac:dyDescent="0.2">
      <c r="A191" s="575" t="s">
        <v>430</v>
      </c>
      <c r="B191" s="670" t="s">
        <v>1189</v>
      </c>
      <c r="C191" s="1823" t="s">
        <v>1190</v>
      </c>
      <c r="D191" s="1823"/>
      <c r="E191" s="1823"/>
      <c r="F191" s="573" t="s">
        <v>617</v>
      </c>
      <c r="G191" s="573"/>
      <c r="H191" s="573"/>
      <c r="I191" s="573" t="s">
        <v>186</v>
      </c>
      <c r="J191" s="572">
        <v>12.65</v>
      </c>
      <c r="K191" s="573"/>
      <c r="L191" s="572">
        <v>25.3</v>
      </c>
      <c r="M191" s="571"/>
      <c r="N191" s="570"/>
      <c r="V191" s="674"/>
      <c r="W191" s="675" t="s">
        <v>1190</v>
      </c>
      <c r="AC191" s="675"/>
      <c r="AD191" s="680"/>
      <c r="AE191" s="675"/>
      <c r="AG191" s="675"/>
    </row>
    <row r="192" spans="1:33" s="536" customFormat="1" ht="12" x14ac:dyDescent="0.2">
      <c r="A192" s="569"/>
      <c r="B192" s="671"/>
      <c r="C192" s="665" t="s">
        <v>717</v>
      </c>
      <c r="D192" s="666"/>
      <c r="E192" s="666"/>
      <c r="F192" s="563"/>
      <c r="G192" s="563"/>
      <c r="H192" s="563"/>
      <c r="I192" s="563"/>
      <c r="J192" s="566"/>
      <c r="K192" s="563"/>
      <c r="L192" s="566"/>
      <c r="M192" s="565"/>
      <c r="N192" s="564"/>
      <c r="V192" s="674"/>
      <c r="W192" s="675"/>
      <c r="AC192" s="675"/>
      <c r="AD192" s="680"/>
      <c r="AE192" s="675"/>
      <c r="AG192" s="675"/>
    </row>
    <row r="193" spans="1:33" s="536" customFormat="1" ht="33.75" x14ac:dyDescent="0.2">
      <c r="A193" s="575" t="s">
        <v>436</v>
      </c>
      <c r="B193" s="670" t="s">
        <v>1192</v>
      </c>
      <c r="C193" s="1823" t="s">
        <v>1193</v>
      </c>
      <c r="D193" s="1823"/>
      <c r="E193" s="1823"/>
      <c r="F193" s="573" t="s">
        <v>617</v>
      </c>
      <c r="G193" s="573"/>
      <c r="H193" s="573"/>
      <c r="I193" s="573" t="s">
        <v>765</v>
      </c>
      <c r="J193" s="572">
        <v>180.25</v>
      </c>
      <c r="K193" s="573" t="s">
        <v>716</v>
      </c>
      <c r="L193" s="572">
        <v>707.09</v>
      </c>
      <c r="M193" s="571">
        <v>8.32</v>
      </c>
      <c r="N193" s="570">
        <v>5883</v>
      </c>
      <c r="V193" s="674"/>
      <c r="W193" s="675" t="s">
        <v>1193</v>
      </c>
      <c r="AC193" s="675"/>
      <c r="AD193" s="680"/>
      <c r="AE193" s="675"/>
      <c r="AG193" s="675"/>
    </row>
    <row r="194" spans="1:33" s="536" customFormat="1" ht="12" x14ac:dyDescent="0.2">
      <c r="A194" s="569"/>
      <c r="B194" s="671"/>
      <c r="C194" s="665" t="s">
        <v>1173</v>
      </c>
      <c r="D194" s="666"/>
      <c r="E194" s="666"/>
      <c r="F194" s="563"/>
      <c r="G194" s="563"/>
      <c r="H194" s="563"/>
      <c r="I194" s="563"/>
      <c r="J194" s="566"/>
      <c r="K194" s="563"/>
      <c r="L194" s="566"/>
      <c r="M194" s="565"/>
      <c r="N194" s="564"/>
      <c r="V194" s="674"/>
      <c r="W194" s="675"/>
      <c r="AC194" s="675"/>
      <c r="AD194" s="680"/>
      <c r="AE194" s="675"/>
      <c r="AG194" s="675"/>
    </row>
    <row r="195" spans="1:33" s="536" customFormat="1" ht="22.5" x14ac:dyDescent="0.2">
      <c r="A195" s="609"/>
      <c r="B195" s="552" t="s">
        <v>718</v>
      </c>
      <c r="C195" s="1822" t="s">
        <v>719</v>
      </c>
      <c r="D195" s="1822"/>
      <c r="E195" s="1822"/>
      <c r="F195" s="1822"/>
      <c r="G195" s="1822"/>
      <c r="H195" s="1822"/>
      <c r="I195" s="1822"/>
      <c r="J195" s="1822"/>
      <c r="K195" s="1822"/>
      <c r="L195" s="1822"/>
      <c r="M195" s="1822"/>
      <c r="N195" s="1827"/>
      <c r="V195" s="674"/>
      <c r="W195" s="675"/>
      <c r="Y195" s="537" t="s">
        <v>719</v>
      </c>
      <c r="AC195" s="675"/>
      <c r="AD195" s="680"/>
      <c r="AE195" s="675"/>
      <c r="AG195" s="675"/>
    </row>
    <row r="196" spans="1:33" s="536" customFormat="1" ht="22.5" x14ac:dyDescent="0.2">
      <c r="A196" s="575" t="s">
        <v>733</v>
      </c>
      <c r="B196" s="670" t="s">
        <v>1196</v>
      </c>
      <c r="C196" s="1823" t="s">
        <v>1197</v>
      </c>
      <c r="D196" s="1823"/>
      <c r="E196" s="1823"/>
      <c r="F196" s="573" t="s">
        <v>617</v>
      </c>
      <c r="G196" s="573"/>
      <c r="H196" s="573"/>
      <c r="I196" s="573" t="s">
        <v>186</v>
      </c>
      <c r="J196" s="572"/>
      <c r="K196" s="573"/>
      <c r="L196" s="572"/>
      <c r="M196" s="571"/>
      <c r="N196" s="570"/>
      <c r="V196" s="674"/>
      <c r="W196" s="675" t="s">
        <v>1197</v>
      </c>
      <c r="AC196" s="675"/>
      <c r="AD196" s="680"/>
      <c r="AE196" s="675"/>
      <c r="AG196" s="675"/>
    </row>
    <row r="197" spans="1:33" s="536" customFormat="1" ht="33.75" x14ac:dyDescent="0.2">
      <c r="A197" s="609"/>
      <c r="B197" s="552" t="s">
        <v>310</v>
      </c>
      <c r="C197" s="1822" t="s">
        <v>311</v>
      </c>
      <c r="D197" s="1822"/>
      <c r="E197" s="1822"/>
      <c r="F197" s="1822"/>
      <c r="G197" s="1822"/>
      <c r="H197" s="1822"/>
      <c r="I197" s="1822"/>
      <c r="J197" s="1822"/>
      <c r="K197" s="1822"/>
      <c r="L197" s="1822"/>
      <c r="M197" s="1822"/>
      <c r="N197" s="1827"/>
      <c r="V197" s="674"/>
      <c r="W197" s="675"/>
      <c r="Y197" s="537" t="s">
        <v>311</v>
      </c>
      <c r="AC197" s="675"/>
      <c r="AD197" s="680"/>
      <c r="AE197" s="675"/>
      <c r="AG197" s="675"/>
    </row>
    <row r="198" spans="1:33" s="536" customFormat="1" ht="12" x14ac:dyDescent="0.2">
      <c r="A198" s="605"/>
      <c r="B198" s="552" t="s">
        <v>185</v>
      </c>
      <c r="C198" s="1822" t="s">
        <v>312</v>
      </c>
      <c r="D198" s="1822"/>
      <c r="E198" s="1822"/>
      <c r="F198" s="562"/>
      <c r="G198" s="562"/>
      <c r="H198" s="562"/>
      <c r="I198" s="562"/>
      <c r="J198" s="604">
        <v>1.73</v>
      </c>
      <c r="K198" s="562" t="s">
        <v>313</v>
      </c>
      <c r="L198" s="604">
        <v>4.33</v>
      </c>
      <c r="M198" s="603"/>
      <c r="N198" s="602"/>
      <c r="V198" s="674"/>
      <c r="W198" s="675"/>
      <c r="Z198" s="537" t="s">
        <v>312</v>
      </c>
      <c r="AC198" s="675"/>
      <c r="AD198" s="680"/>
      <c r="AE198" s="675"/>
      <c r="AG198" s="675"/>
    </row>
    <row r="199" spans="1:33" s="536" customFormat="1" ht="12" x14ac:dyDescent="0.2">
      <c r="A199" s="676"/>
      <c r="B199" s="677" t="s">
        <v>1198</v>
      </c>
      <c r="C199" s="1829" t="s">
        <v>1199</v>
      </c>
      <c r="D199" s="1829"/>
      <c r="E199" s="1829"/>
      <c r="F199" s="678" t="s">
        <v>617</v>
      </c>
      <c r="G199" s="678" t="s">
        <v>185</v>
      </c>
      <c r="H199" s="678"/>
      <c r="I199" s="678" t="s">
        <v>186</v>
      </c>
      <c r="J199" s="552"/>
      <c r="K199" s="562"/>
      <c r="L199" s="604"/>
      <c r="M199" s="562"/>
      <c r="N199" s="679"/>
      <c r="V199" s="674"/>
      <c r="W199" s="675"/>
      <c r="AC199" s="675"/>
      <c r="AD199" s="680" t="s">
        <v>1199</v>
      </c>
      <c r="AE199" s="675"/>
      <c r="AG199" s="675"/>
    </row>
    <row r="200" spans="1:33" s="536" customFormat="1" ht="12" x14ac:dyDescent="0.2">
      <c r="A200" s="605"/>
      <c r="B200" s="552"/>
      <c r="C200" s="1822" t="s">
        <v>314</v>
      </c>
      <c r="D200" s="1822"/>
      <c r="E200" s="1822"/>
      <c r="F200" s="562" t="s">
        <v>315</v>
      </c>
      <c r="G200" s="562" t="s">
        <v>1200</v>
      </c>
      <c r="H200" s="562" t="s">
        <v>313</v>
      </c>
      <c r="I200" s="562" t="s">
        <v>647</v>
      </c>
      <c r="J200" s="604"/>
      <c r="K200" s="562"/>
      <c r="L200" s="604"/>
      <c r="M200" s="603"/>
      <c r="N200" s="602"/>
      <c r="V200" s="674"/>
      <c r="W200" s="675"/>
      <c r="AA200" s="537" t="s">
        <v>314</v>
      </c>
      <c r="AC200" s="675"/>
      <c r="AD200" s="680"/>
      <c r="AE200" s="675"/>
      <c r="AG200" s="675"/>
    </row>
    <row r="201" spans="1:33" s="536" customFormat="1" ht="12" x14ac:dyDescent="0.2">
      <c r="A201" s="605"/>
      <c r="B201" s="552"/>
      <c r="C201" s="1828" t="s">
        <v>318</v>
      </c>
      <c r="D201" s="1828"/>
      <c r="E201" s="1828"/>
      <c r="F201" s="608"/>
      <c r="G201" s="608"/>
      <c r="H201" s="608"/>
      <c r="I201" s="608"/>
      <c r="J201" s="607">
        <v>1.73</v>
      </c>
      <c r="K201" s="608"/>
      <c r="L201" s="607">
        <v>4.33</v>
      </c>
      <c r="M201" s="601"/>
      <c r="N201" s="606"/>
      <c r="V201" s="674"/>
      <c r="W201" s="675"/>
      <c r="AB201" s="537" t="s">
        <v>318</v>
      </c>
      <c r="AC201" s="675"/>
      <c r="AD201" s="680"/>
      <c r="AE201" s="675"/>
      <c r="AG201" s="675"/>
    </row>
    <row r="202" spans="1:33" s="536" customFormat="1" ht="12" x14ac:dyDescent="0.2">
      <c r="A202" s="605"/>
      <c r="B202" s="552"/>
      <c r="C202" s="1822" t="s">
        <v>319</v>
      </c>
      <c r="D202" s="1822"/>
      <c r="E202" s="1822"/>
      <c r="F202" s="562"/>
      <c r="G202" s="562"/>
      <c r="H202" s="562"/>
      <c r="I202" s="562"/>
      <c r="J202" s="604"/>
      <c r="K202" s="562"/>
      <c r="L202" s="604">
        <v>4.33</v>
      </c>
      <c r="M202" s="603"/>
      <c r="N202" s="602"/>
      <c r="V202" s="674"/>
      <c r="W202" s="675"/>
      <c r="AA202" s="537" t="s">
        <v>319</v>
      </c>
      <c r="AC202" s="675"/>
      <c r="AD202" s="680"/>
      <c r="AE202" s="675"/>
      <c r="AG202" s="675"/>
    </row>
    <row r="203" spans="1:33" s="536" customFormat="1" ht="33.75" x14ac:dyDescent="0.2">
      <c r="A203" s="605"/>
      <c r="B203" s="552" t="s">
        <v>1155</v>
      </c>
      <c r="C203" s="1822" t="s">
        <v>1156</v>
      </c>
      <c r="D203" s="1822"/>
      <c r="E203" s="1822"/>
      <c r="F203" s="562" t="s">
        <v>322</v>
      </c>
      <c r="G203" s="562" t="s">
        <v>1157</v>
      </c>
      <c r="H203" s="562"/>
      <c r="I203" s="562" t="s">
        <v>1157</v>
      </c>
      <c r="J203" s="604"/>
      <c r="K203" s="562"/>
      <c r="L203" s="604">
        <v>4.72</v>
      </c>
      <c r="M203" s="603"/>
      <c r="N203" s="602"/>
      <c r="V203" s="674"/>
      <c r="W203" s="675"/>
      <c r="AA203" s="537" t="s">
        <v>1156</v>
      </c>
      <c r="AC203" s="675"/>
      <c r="AD203" s="680"/>
      <c r="AE203" s="675"/>
      <c r="AG203" s="675"/>
    </row>
    <row r="204" spans="1:33" s="536" customFormat="1" ht="33.75" x14ac:dyDescent="0.2">
      <c r="A204" s="605"/>
      <c r="B204" s="552" t="s">
        <v>1158</v>
      </c>
      <c r="C204" s="1822" t="s">
        <v>1159</v>
      </c>
      <c r="D204" s="1822"/>
      <c r="E204" s="1822"/>
      <c r="F204" s="562" t="s">
        <v>322</v>
      </c>
      <c r="G204" s="562" t="s">
        <v>791</v>
      </c>
      <c r="H204" s="562"/>
      <c r="I204" s="562" t="s">
        <v>791</v>
      </c>
      <c r="J204" s="604"/>
      <c r="K204" s="562"/>
      <c r="L204" s="604">
        <v>2.4700000000000002</v>
      </c>
      <c r="M204" s="603"/>
      <c r="N204" s="602"/>
      <c r="V204" s="674"/>
      <c r="W204" s="675"/>
      <c r="AA204" s="537" t="s">
        <v>1159</v>
      </c>
      <c r="AC204" s="675"/>
      <c r="AD204" s="680"/>
      <c r="AE204" s="675"/>
      <c r="AG204" s="675"/>
    </row>
    <row r="205" spans="1:33" s="536" customFormat="1" ht="12" x14ac:dyDescent="0.2">
      <c r="A205" s="569"/>
      <c r="B205" s="671"/>
      <c r="C205" s="1823" t="s">
        <v>327</v>
      </c>
      <c r="D205" s="1823"/>
      <c r="E205" s="1823"/>
      <c r="F205" s="573"/>
      <c r="G205" s="573"/>
      <c r="H205" s="573"/>
      <c r="I205" s="573"/>
      <c r="J205" s="572"/>
      <c r="K205" s="573"/>
      <c r="L205" s="572">
        <v>11.52</v>
      </c>
      <c r="M205" s="601"/>
      <c r="N205" s="570"/>
      <c r="V205" s="674"/>
      <c r="W205" s="675"/>
      <c r="AC205" s="675" t="s">
        <v>327</v>
      </c>
      <c r="AD205" s="680"/>
      <c r="AE205" s="675"/>
      <c r="AG205" s="675"/>
    </row>
    <row r="206" spans="1:33" s="536" customFormat="1" ht="33.75" x14ac:dyDescent="0.2">
      <c r="A206" s="575" t="s">
        <v>736</v>
      </c>
      <c r="B206" s="670" t="s">
        <v>1202</v>
      </c>
      <c r="C206" s="1823" t="s">
        <v>1203</v>
      </c>
      <c r="D206" s="1823"/>
      <c r="E206" s="1823"/>
      <c r="F206" s="573" t="s">
        <v>617</v>
      </c>
      <c r="G206" s="573"/>
      <c r="H206" s="573"/>
      <c r="I206" s="573" t="s">
        <v>186</v>
      </c>
      <c r="J206" s="572">
        <v>249.4</v>
      </c>
      <c r="K206" s="573"/>
      <c r="L206" s="572">
        <v>498.8</v>
      </c>
      <c r="M206" s="571"/>
      <c r="N206" s="570"/>
      <c r="V206" s="674"/>
      <c r="W206" s="675" t="s">
        <v>1203</v>
      </c>
      <c r="AC206" s="675"/>
      <c r="AD206" s="680"/>
      <c r="AE206" s="675"/>
      <c r="AG206" s="675"/>
    </row>
    <row r="207" spans="1:33" s="536" customFormat="1" ht="12" x14ac:dyDescent="0.2">
      <c r="A207" s="569"/>
      <c r="B207" s="671"/>
      <c r="C207" s="665" t="s">
        <v>717</v>
      </c>
      <c r="D207" s="666"/>
      <c r="E207" s="666"/>
      <c r="F207" s="563"/>
      <c r="G207" s="563"/>
      <c r="H207" s="563"/>
      <c r="I207" s="563"/>
      <c r="J207" s="566"/>
      <c r="K207" s="563"/>
      <c r="L207" s="566"/>
      <c r="M207" s="565"/>
      <c r="N207" s="564"/>
      <c r="V207" s="674"/>
      <c r="W207" s="675"/>
      <c r="AC207" s="675"/>
      <c r="AD207" s="680"/>
      <c r="AE207" s="675"/>
      <c r="AG207" s="675"/>
    </row>
    <row r="208" spans="1:33" s="536" customFormat="1" ht="33.75" x14ac:dyDescent="0.2">
      <c r="A208" s="575" t="s">
        <v>1067</v>
      </c>
      <c r="B208" s="670" t="s">
        <v>1204</v>
      </c>
      <c r="C208" s="1823" t="s">
        <v>1205</v>
      </c>
      <c r="D208" s="1823"/>
      <c r="E208" s="1823"/>
      <c r="F208" s="573" t="s">
        <v>483</v>
      </c>
      <c r="G208" s="573"/>
      <c r="H208" s="573"/>
      <c r="I208" s="573" t="s">
        <v>192</v>
      </c>
      <c r="J208" s="572"/>
      <c r="K208" s="573"/>
      <c r="L208" s="572"/>
      <c r="M208" s="571"/>
      <c r="N208" s="570"/>
      <c r="V208" s="674"/>
      <c r="W208" s="675" t="s">
        <v>1205</v>
      </c>
      <c r="AC208" s="675"/>
      <c r="AD208" s="680"/>
      <c r="AE208" s="675"/>
      <c r="AG208" s="675"/>
    </row>
    <row r="209" spans="1:33" s="536" customFormat="1" ht="12" x14ac:dyDescent="0.2">
      <c r="A209" s="676"/>
      <c r="B209" s="664"/>
      <c r="C209" s="1822" t="s">
        <v>1907</v>
      </c>
      <c r="D209" s="1822"/>
      <c r="E209" s="1822"/>
      <c r="F209" s="1822"/>
      <c r="G209" s="1822"/>
      <c r="H209" s="1822"/>
      <c r="I209" s="1822"/>
      <c r="J209" s="1822"/>
      <c r="K209" s="1822"/>
      <c r="L209" s="1822"/>
      <c r="M209" s="1822"/>
      <c r="N209" s="1827"/>
      <c r="V209" s="674"/>
      <c r="W209" s="675"/>
      <c r="X209" s="537" t="s">
        <v>1907</v>
      </c>
      <c r="AC209" s="675"/>
      <c r="AD209" s="680"/>
      <c r="AE209" s="675"/>
      <c r="AG209" s="675"/>
    </row>
    <row r="210" spans="1:33" s="536" customFormat="1" ht="33.75" x14ac:dyDescent="0.2">
      <c r="A210" s="609"/>
      <c r="B210" s="552" t="s">
        <v>310</v>
      </c>
      <c r="C210" s="1822" t="s">
        <v>311</v>
      </c>
      <c r="D210" s="1822"/>
      <c r="E210" s="1822"/>
      <c r="F210" s="1822"/>
      <c r="G210" s="1822"/>
      <c r="H210" s="1822"/>
      <c r="I210" s="1822"/>
      <c r="J210" s="1822"/>
      <c r="K210" s="1822"/>
      <c r="L210" s="1822"/>
      <c r="M210" s="1822"/>
      <c r="N210" s="1827"/>
      <c r="V210" s="674"/>
      <c r="W210" s="675"/>
      <c r="Y210" s="537" t="s">
        <v>311</v>
      </c>
      <c r="AC210" s="675"/>
      <c r="AD210" s="680"/>
      <c r="AE210" s="675"/>
      <c r="AG210" s="675"/>
    </row>
    <row r="211" spans="1:33" s="536" customFormat="1" ht="12" x14ac:dyDescent="0.2">
      <c r="A211" s="605"/>
      <c r="B211" s="552" t="s">
        <v>185</v>
      </c>
      <c r="C211" s="1822" t="s">
        <v>312</v>
      </c>
      <c r="D211" s="1822"/>
      <c r="E211" s="1822"/>
      <c r="F211" s="562"/>
      <c r="G211" s="562"/>
      <c r="H211" s="562"/>
      <c r="I211" s="562"/>
      <c r="J211" s="604">
        <v>1.1499999999999999</v>
      </c>
      <c r="K211" s="562" t="s">
        <v>313</v>
      </c>
      <c r="L211" s="604">
        <v>11.5</v>
      </c>
      <c r="M211" s="603"/>
      <c r="N211" s="602"/>
      <c r="V211" s="674"/>
      <c r="W211" s="675"/>
      <c r="Z211" s="537" t="s">
        <v>312</v>
      </c>
      <c r="AC211" s="675"/>
      <c r="AD211" s="680"/>
      <c r="AE211" s="675"/>
      <c r="AG211" s="675"/>
    </row>
    <row r="212" spans="1:33" s="536" customFormat="1" ht="12" x14ac:dyDescent="0.2">
      <c r="A212" s="605"/>
      <c r="B212" s="552" t="s">
        <v>188</v>
      </c>
      <c r="C212" s="1822" t="s">
        <v>475</v>
      </c>
      <c r="D212" s="1822"/>
      <c r="E212" s="1822"/>
      <c r="F212" s="562"/>
      <c r="G212" s="562"/>
      <c r="H212" s="562"/>
      <c r="I212" s="562"/>
      <c r="J212" s="604">
        <v>7.8</v>
      </c>
      <c r="K212" s="562"/>
      <c r="L212" s="604">
        <v>62.4</v>
      </c>
      <c r="M212" s="603"/>
      <c r="N212" s="602"/>
      <c r="V212" s="674"/>
      <c r="W212" s="675"/>
      <c r="Z212" s="537" t="s">
        <v>475</v>
      </c>
      <c r="AC212" s="675"/>
      <c r="AD212" s="680"/>
      <c r="AE212" s="675"/>
      <c r="AG212" s="675"/>
    </row>
    <row r="213" spans="1:33" s="536" customFormat="1" ht="12" x14ac:dyDescent="0.2">
      <c r="A213" s="676"/>
      <c r="B213" s="677" t="s">
        <v>1207</v>
      </c>
      <c r="C213" s="1829" t="s">
        <v>1208</v>
      </c>
      <c r="D213" s="1829"/>
      <c r="E213" s="1829"/>
      <c r="F213" s="678" t="s">
        <v>483</v>
      </c>
      <c r="G213" s="678" t="s">
        <v>185</v>
      </c>
      <c r="H213" s="678"/>
      <c r="I213" s="678" t="s">
        <v>192</v>
      </c>
      <c r="J213" s="552"/>
      <c r="K213" s="562"/>
      <c r="L213" s="604"/>
      <c r="M213" s="562"/>
      <c r="N213" s="679"/>
      <c r="V213" s="674"/>
      <c r="W213" s="675"/>
      <c r="AC213" s="675"/>
      <c r="AD213" s="680" t="s">
        <v>1208</v>
      </c>
      <c r="AE213" s="675"/>
      <c r="AG213" s="675"/>
    </row>
    <row r="214" spans="1:33" s="536" customFormat="1" ht="12" x14ac:dyDescent="0.2">
      <c r="A214" s="676"/>
      <c r="B214" s="677" t="s">
        <v>1198</v>
      </c>
      <c r="C214" s="1829" t="s">
        <v>1199</v>
      </c>
      <c r="D214" s="1829"/>
      <c r="E214" s="1829"/>
      <c r="F214" s="678" t="s">
        <v>617</v>
      </c>
      <c r="G214" s="678" t="s">
        <v>186</v>
      </c>
      <c r="H214" s="678"/>
      <c r="I214" s="678" t="s">
        <v>200</v>
      </c>
      <c r="J214" s="552"/>
      <c r="K214" s="562"/>
      <c r="L214" s="604"/>
      <c r="M214" s="562"/>
      <c r="N214" s="679"/>
      <c r="V214" s="674"/>
      <c r="W214" s="675"/>
      <c r="AC214" s="675"/>
      <c r="AD214" s="680" t="s">
        <v>1199</v>
      </c>
      <c r="AE214" s="675"/>
      <c r="AG214" s="675"/>
    </row>
    <row r="215" spans="1:33" s="536" customFormat="1" ht="12" x14ac:dyDescent="0.2">
      <c r="A215" s="605"/>
      <c r="B215" s="552"/>
      <c r="C215" s="1822" t="s">
        <v>314</v>
      </c>
      <c r="D215" s="1822"/>
      <c r="E215" s="1822"/>
      <c r="F215" s="562" t="s">
        <v>315</v>
      </c>
      <c r="G215" s="562" t="s">
        <v>646</v>
      </c>
      <c r="H215" s="562" t="s">
        <v>313</v>
      </c>
      <c r="I215" s="562" t="s">
        <v>1908</v>
      </c>
      <c r="J215" s="604"/>
      <c r="K215" s="562"/>
      <c r="L215" s="604"/>
      <c r="M215" s="603"/>
      <c r="N215" s="602"/>
      <c r="V215" s="674"/>
      <c r="W215" s="675"/>
      <c r="AA215" s="537" t="s">
        <v>314</v>
      </c>
      <c r="AC215" s="675"/>
      <c r="AD215" s="680"/>
      <c r="AE215" s="675"/>
      <c r="AG215" s="675"/>
    </row>
    <row r="216" spans="1:33" s="536" customFormat="1" ht="12" x14ac:dyDescent="0.2">
      <c r="A216" s="605"/>
      <c r="B216" s="552"/>
      <c r="C216" s="1828" t="s">
        <v>318</v>
      </c>
      <c r="D216" s="1828"/>
      <c r="E216" s="1828"/>
      <c r="F216" s="608"/>
      <c r="G216" s="608"/>
      <c r="H216" s="608"/>
      <c r="I216" s="608"/>
      <c r="J216" s="607">
        <v>8.9499999999999993</v>
      </c>
      <c r="K216" s="608"/>
      <c r="L216" s="607">
        <v>73.900000000000006</v>
      </c>
      <c r="M216" s="601"/>
      <c r="N216" s="606"/>
      <c r="V216" s="674"/>
      <c r="W216" s="675"/>
      <c r="AB216" s="537" t="s">
        <v>318</v>
      </c>
      <c r="AC216" s="675"/>
      <c r="AD216" s="680"/>
      <c r="AE216" s="675"/>
      <c r="AG216" s="675"/>
    </row>
    <row r="217" spans="1:33" s="536" customFormat="1" ht="12" x14ac:dyDescent="0.2">
      <c r="A217" s="605"/>
      <c r="B217" s="552"/>
      <c r="C217" s="1822" t="s">
        <v>319</v>
      </c>
      <c r="D217" s="1822"/>
      <c r="E217" s="1822"/>
      <c r="F217" s="562"/>
      <c r="G217" s="562"/>
      <c r="H217" s="562"/>
      <c r="I217" s="562"/>
      <c r="J217" s="604"/>
      <c r="K217" s="562"/>
      <c r="L217" s="604">
        <v>11.5</v>
      </c>
      <c r="M217" s="603"/>
      <c r="N217" s="602"/>
      <c r="V217" s="674"/>
      <c r="W217" s="675"/>
      <c r="AA217" s="537" t="s">
        <v>319</v>
      </c>
      <c r="AC217" s="675"/>
      <c r="AD217" s="680"/>
      <c r="AE217" s="675"/>
      <c r="AG217" s="675"/>
    </row>
    <row r="218" spans="1:33" s="536" customFormat="1" ht="33.75" x14ac:dyDescent="0.2">
      <c r="A218" s="605"/>
      <c r="B218" s="552" t="s">
        <v>1155</v>
      </c>
      <c r="C218" s="1822" t="s">
        <v>1156</v>
      </c>
      <c r="D218" s="1822"/>
      <c r="E218" s="1822"/>
      <c r="F218" s="562" t="s">
        <v>322</v>
      </c>
      <c r="G218" s="562" t="s">
        <v>1157</v>
      </c>
      <c r="H218" s="562"/>
      <c r="I218" s="562" t="s">
        <v>1157</v>
      </c>
      <c r="J218" s="604"/>
      <c r="K218" s="562"/>
      <c r="L218" s="604">
        <v>12.54</v>
      </c>
      <c r="M218" s="603"/>
      <c r="N218" s="602"/>
      <c r="V218" s="674"/>
      <c r="W218" s="675"/>
      <c r="AA218" s="537" t="s">
        <v>1156</v>
      </c>
      <c r="AC218" s="675"/>
      <c r="AD218" s="680"/>
      <c r="AE218" s="675"/>
      <c r="AG218" s="675"/>
    </row>
    <row r="219" spans="1:33" s="536" customFormat="1" ht="33.75" x14ac:dyDescent="0.2">
      <c r="A219" s="605"/>
      <c r="B219" s="552" t="s">
        <v>1158</v>
      </c>
      <c r="C219" s="1822" t="s">
        <v>1159</v>
      </c>
      <c r="D219" s="1822"/>
      <c r="E219" s="1822"/>
      <c r="F219" s="562" t="s">
        <v>322</v>
      </c>
      <c r="G219" s="562" t="s">
        <v>791</v>
      </c>
      <c r="H219" s="562"/>
      <c r="I219" s="562" t="s">
        <v>791</v>
      </c>
      <c r="J219" s="604"/>
      <c r="K219" s="562"/>
      <c r="L219" s="604">
        <v>6.56</v>
      </c>
      <c r="M219" s="603"/>
      <c r="N219" s="602"/>
      <c r="V219" s="674"/>
      <c r="W219" s="675"/>
      <c r="AA219" s="537" t="s">
        <v>1159</v>
      </c>
      <c r="AC219" s="675"/>
      <c r="AD219" s="680"/>
      <c r="AE219" s="675"/>
      <c r="AG219" s="675"/>
    </row>
    <row r="220" spans="1:33" s="536" customFormat="1" ht="12" x14ac:dyDescent="0.2">
      <c r="A220" s="569"/>
      <c r="B220" s="671"/>
      <c r="C220" s="1823" t="s">
        <v>327</v>
      </c>
      <c r="D220" s="1823"/>
      <c r="E220" s="1823"/>
      <c r="F220" s="573"/>
      <c r="G220" s="573"/>
      <c r="H220" s="573"/>
      <c r="I220" s="573"/>
      <c r="J220" s="572"/>
      <c r="K220" s="573"/>
      <c r="L220" s="572">
        <v>93</v>
      </c>
      <c r="M220" s="601"/>
      <c r="N220" s="570"/>
      <c r="V220" s="674"/>
      <c r="W220" s="675"/>
      <c r="AC220" s="675" t="s">
        <v>327</v>
      </c>
      <c r="AD220" s="680"/>
      <c r="AE220" s="675"/>
      <c r="AG220" s="675"/>
    </row>
    <row r="221" spans="1:33" s="536" customFormat="1" ht="33.75" x14ac:dyDescent="0.2">
      <c r="A221" s="575" t="s">
        <v>912</v>
      </c>
      <c r="B221" s="670" t="s">
        <v>1210</v>
      </c>
      <c r="C221" s="1823" t="s">
        <v>1211</v>
      </c>
      <c r="D221" s="1823"/>
      <c r="E221" s="1823"/>
      <c r="F221" s="573" t="s">
        <v>617</v>
      </c>
      <c r="G221" s="573"/>
      <c r="H221" s="573"/>
      <c r="I221" s="573" t="s">
        <v>186</v>
      </c>
      <c r="J221" s="572">
        <v>357.8</v>
      </c>
      <c r="K221" s="573"/>
      <c r="L221" s="572">
        <v>715.6</v>
      </c>
      <c r="M221" s="571"/>
      <c r="N221" s="570"/>
      <c r="V221" s="674"/>
      <c r="W221" s="675" t="s">
        <v>1211</v>
      </c>
      <c r="AC221" s="675"/>
      <c r="AD221" s="680"/>
      <c r="AE221" s="675"/>
      <c r="AG221" s="675"/>
    </row>
    <row r="222" spans="1:33" s="536" customFormat="1" ht="12" x14ac:dyDescent="0.2">
      <c r="A222" s="569"/>
      <c r="B222" s="671"/>
      <c r="C222" s="665" t="s">
        <v>717</v>
      </c>
      <c r="D222" s="666"/>
      <c r="E222" s="666"/>
      <c r="F222" s="563"/>
      <c r="G222" s="563"/>
      <c r="H222" s="563"/>
      <c r="I222" s="563"/>
      <c r="J222" s="566"/>
      <c r="K222" s="563"/>
      <c r="L222" s="566"/>
      <c r="M222" s="565"/>
      <c r="N222" s="564"/>
      <c r="V222" s="674"/>
      <c r="W222" s="675"/>
      <c r="AC222" s="675"/>
      <c r="AD222" s="680"/>
      <c r="AE222" s="675"/>
      <c r="AG222" s="675"/>
    </row>
    <row r="223" spans="1:33" s="536" customFormat="1" ht="33.75" x14ac:dyDescent="0.2">
      <c r="A223" s="575" t="s">
        <v>757</v>
      </c>
      <c r="B223" s="670" t="s">
        <v>1212</v>
      </c>
      <c r="C223" s="1823" t="s">
        <v>1213</v>
      </c>
      <c r="D223" s="1823"/>
      <c r="E223" s="1823"/>
      <c r="F223" s="573" t="s">
        <v>617</v>
      </c>
      <c r="G223" s="573"/>
      <c r="H223" s="573"/>
      <c r="I223" s="573" t="s">
        <v>186</v>
      </c>
      <c r="J223" s="572">
        <v>119.27</v>
      </c>
      <c r="K223" s="573"/>
      <c r="L223" s="572">
        <v>238.54</v>
      </c>
      <c r="M223" s="571"/>
      <c r="N223" s="570"/>
      <c r="V223" s="674"/>
      <c r="W223" s="675" t="s">
        <v>1213</v>
      </c>
      <c r="AC223" s="675"/>
      <c r="AD223" s="680"/>
      <c r="AE223" s="675"/>
      <c r="AG223" s="675"/>
    </row>
    <row r="224" spans="1:33" s="536" customFormat="1" ht="12" x14ac:dyDescent="0.2">
      <c r="A224" s="569"/>
      <c r="B224" s="671"/>
      <c r="C224" s="665" t="s">
        <v>717</v>
      </c>
      <c r="D224" s="666"/>
      <c r="E224" s="666"/>
      <c r="F224" s="563"/>
      <c r="G224" s="563"/>
      <c r="H224" s="563"/>
      <c r="I224" s="563"/>
      <c r="J224" s="566"/>
      <c r="K224" s="563"/>
      <c r="L224" s="566"/>
      <c r="M224" s="565"/>
      <c r="N224" s="564"/>
      <c r="V224" s="674"/>
      <c r="W224" s="675"/>
      <c r="AC224" s="675"/>
      <c r="AD224" s="680"/>
      <c r="AE224" s="675"/>
      <c r="AG224" s="675"/>
    </row>
    <row r="225" spans="1:35" s="536" customFormat="1" ht="22.5" x14ac:dyDescent="0.2">
      <c r="A225" s="575" t="s">
        <v>1079</v>
      </c>
      <c r="B225" s="670" t="s">
        <v>1214</v>
      </c>
      <c r="C225" s="1823" t="s">
        <v>1215</v>
      </c>
      <c r="D225" s="1823"/>
      <c r="E225" s="1823"/>
      <c r="F225" s="573" t="s">
        <v>617</v>
      </c>
      <c r="G225" s="573"/>
      <c r="H225" s="573"/>
      <c r="I225" s="573" t="s">
        <v>190</v>
      </c>
      <c r="J225" s="572"/>
      <c r="K225" s="573"/>
      <c r="L225" s="572"/>
      <c r="M225" s="571"/>
      <c r="N225" s="570"/>
      <c r="V225" s="674"/>
      <c r="W225" s="675" t="s">
        <v>1215</v>
      </c>
      <c r="AC225" s="675"/>
      <c r="AD225" s="680"/>
      <c r="AE225" s="675"/>
      <c r="AG225" s="675"/>
    </row>
    <row r="226" spans="1:35" s="536" customFormat="1" ht="12" x14ac:dyDescent="0.2">
      <c r="A226" s="676"/>
      <c r="B226" s="664"/>
      <c r="C226" s="1822" t="s">
        <v>1909</v>
      </c>
      <c r="D226" s="1822"/>
      <c r="E226" s="1822"/>
      <c r="F226" s="1822"/>
      <c r="G226" s="1822"/>
      <c r="H226" s="1822"/>
      <c r="I226" s="1822"/>
      <c r="J226" s="1822"/>
      <c r="K226" s="1822"/>
      <c r="L226" s="1822"/>
      <c r="M226" s="1822"/>
      <c r="N226" s="1827"/>
      <c r="V226" s="674"/>
      <c r="W226" s="675"/>
      <c r="X226" s="537" t="s">
        <v>1909</v>
      </c>
      <c r="AC226" s="675"/>
      <c r="AD226" s="680"/>
      <c r="AE226" s="675"/>
      <c r="AG226" s="675"/>
    </row>
    <row r="227" spans="1:35" s="536" customFormat="1" ht="33.75" x14ac:dyDescent="0.2">
      <c r="A227" s="609"/>
      <c r="B227" s="552" t="s">
        <v>310</v>
      </c>
      <c r="C227" s="1822" t="s">
        <v>311</v>
      </c>
      <c r="D227" s="1822"/>
      <c r="E227" s="1822"/>
      <c r="F227" s="1822"/>
      <c r="G227" s="1822"/>
      <c r="H227" s="1822"/>
      <c r="I227" s="1822"/>
      <c r="J227" s="1822"/>
      <c r="K227" s="1822"/>
      <c r="L227" s="1822"/>
      <c r="M227" s="1822"/>
      <c r="N227" s="1827"/>
      <c r="V227" s="674"/>
      <c r="W227" s="675"/>
      <c r="Y227" s="537" t="s">
        <v>311</v>
      </c>
      <c r="AC227" s="675"/>
      <c r="AD227" s="680"/>
      <c r="AE227" s="675"/>
      <c r="AG227" s="675"/>
    </row>
    <row r="228" spans="1:35" s="536" customFormat="1" ht="12" x14ac:dyDescent="0.2">
      <c r="A228" s="605"/>
      <c r="B228" s="552" t="s">
        <v>185</v>
      </c>
      <c r="C228" s="1822" t="s">
        <v>312</v>
      </c>
      <c r="D228" s="1822"/>
      <c r="E228" s="1822"/>
      <c r="F228" s="562"/>
      <c r="G228" s="562"/>
      <c r="H228" s="562"/>
      <c r="I228" s="562"/>
      <c r="J228" s="604">
        <v>1.1499999999999999</v>
      </c>
      <c r="K228" s="562" t="s">
        <v>313</v>
      </c>
      <c r="L228" s="604">
        <v>8.6300000000000008</v>
      </c>
      <c r="M228" s="603"/>
      <c r="N228" s="602"/>
      <c r="V228" s="674"/>
      <c r="W228" s="675"/>
      <c r="Z228" s="537" t="s">
        <v>312</v>
      </c>
      <c r="AC228" s="675"/>
      <c r="AD228" s="680"/>
      <c r="AE228" s="675"/>
      <c r="AG228" s="675"/>
    </row>
    <row r="229" spans="1:35" s="536" customFormat="1" ht="12" x14ac:dyDescent="0.2">
      <c r="A229" s="676"/>
      <c r="B229" s="677" t="s">
        <v>1198</v>
      </c>
      <c r="C229" s="1829" t="s">
        <v>1199</v>
      </c>
      <c r="D229" s="1829"/>
      <c r="E229" s="1829"/>
      <c r="F229" s="678" t="s">
        <v>617</v>
      </c>
      <c r="G229" s="678" t="s">
        <v>185</v>
      </c>
      <c r="H229" s="678"/>
      <c r="I229" s="678" t="s">
        <v>190</v>
      </c>
      <c r="J229" s="552"/>
      <c r="K229" s="562"/>
      <c r="L229" s="604"/>
      <c r="M229" s="562"/>
      <c r="N229" s="679"/>
      <c r="V229" s="674"/>
      <c r="W229" s="675"/>
      <c r="AC229" s="675"/>
      <c r="AD229" s="680" t="s">
        <v>1199</v>
      </c>
      <c r="AE229" s="675"/>
      <c r="AG229" s="675"/>
    </row>
    <row r="230" spans="1:35" s="536" customFormat="1" ht="12" x14ac:dyDescent="0.2">
      <c r="A230" s="605"/>
      <c r="B230" s="552"/>
      <c r="C230" s="1822" t="s">
        <v>314</v>
      </c>
      <c r="D230" s="1822"/>
      <c r="E230" s="1822"/>
      <c r="F230" s="562" t="s">
        <v>315</v>
      </c>
      <c r="G230" s="562" t="s">
        <v>646</v>
      </c>
      <c r="H230" s="562" t="s">
        <v>313</v>
      </c>
      <c r="I230" s="562" t="s">
        <v>1533</v>
      </c>
      <c r="J230" s="604"/>
      <c r="K230" s="562"/>
      <c r="L230" s="604"/>
      <c r="M230" s="603"/>
      <c r="N230" s="602"/>
      <c r="V230" s="674"/>
      <c r="W230" s="675"/>
      <c r="AA230" s="537" t="s">
        <v>314</v>
      </c>
      <c r="AC230" s="675"/>
      <c r="AD230" s="680"/>
      <c r="AE230" s="675"/>
      <c r="AG230" s="675"/>
    </row>
    <row r="231" spans="1:35" s="536" customFormat="1" ht="12" x14ac:dyDescent="0.2">
      <c r="A231" s="605"/>
      <c r="B231" s="552"/>
      <c r="C231" s="1828" t="s">
        <v>318</v>
      </c>
      <c r="D231" s="1828"/>
      <c r="E231" s="1828"/>
      <c r="F231" s="608"/>
      <c r="G231" s="608"/>
      <c r="H231" s="608"/>
      <c r="I231" s="608"/>
      <c r="J231" s="607">
        <v>1.1499999999999999</v>
      </c>
      <c r="K231" s="608"/>
      <c r="L231" s="607">
        <v>8.6300000000000008</v>
      </c>
      <c r="M231" s="601"/>
      <c r="N231" s="606"/>
      <c r="V231" s="674"/>
      <c r="W231" s="675"/>
      <c r="AB231" s="537" t="s">
        <v>318</v>
      </c>
      <c r="AC231" s="675"/>
      <c r="AD231" s="680"/>
      <c r="AE231" s="675"/>
      <c r="AG231" s="675"/>
    </row>
    <row r="232" spans="1:35" s="536" customFormat="1" ht="12" x14ac:dyDescent="0.2">
      <c r="A232" s="605"/>
      <c r="B232" s="552"/>
      <c r="C232" s="1822" t="s">
        <v>319</v>
      </c>
      <c r="D232" s="1822"/>
      <c r="E232" s="1822"/>
      <c r="F232" s="562"/>
      <c r="G232" s="562"/>
      <c r="H232" s="562"/>
      <c r="I232" s="562"/>
      <c r="J232" s="604"/>
      <c r="K232" s="562"/>
      <c r="L232" s="604">
        <v>8.6300000000000008</v>
      </c>
      <c r="M232" s="603"/>
      <c r="N232" s="602"/>
      <c r="V232" s="674"/>
      <c r="W232" s="675"/>
      <c r="AA232" s="537" t="s">
        <v>319</v>
      </c>
      <c r="AC232" s="675"/>
      <c r="AD232" s="680"/>
      <c r="AE232" s="675"/>
      <c r="AG232" s="675"/>
    </row>
    <row r="233" spans="1:35" s="536" customFormat="1" ht="33.75" x14ac:dyDescent="0.2">
      <c r="A233" s="605"/>
      <c r="B233" s="552" t="s">
        <v>1155</v>
      </c>
      <c r="C233" s="1822" t="s">
        <v>1156</v>
      </c>
      <c r="D233" s="1822"/>
      <c r="E233" s="1822"/>
      <c r="F233" s="562" t="s">
        <v>322</v>
      </c>
      <c r="G233" s="562" t="s">
        <v>1157</v>
      </c>
      <c r="H233" s="562"/>
      <c r="I233" s="562" t="s">
        <v>1157</v>
      </c>
      <c r="J233" s="604"/>
      <c r="K233" s="562"/>
      <c r="L233" s="604">
        <v>9.41</v>
      </c>
      <c r="M233" s="603"/>
      <c r="N233" s="602"/>
      <c r="V233" s="674"/>
      <c r="W233" s="675"/>
      <c r="AA233" s="537" t="s">
        <v>1156</v>
      </c>
      <c r="AC233" s="675"/>
      <c r="AD233" s="680"/>
      <c r="AE233" s="675"/>
      <c r="AG233" s="675"/>
    </row>
    <row r="234" spans="1:35" s="536" customFormat="1" ht="33.75" x14ac:dyDescent="0.2">
      <c r="A234" s="605"/>
      <c r="B234" s="552" t="s">
        <v>1158</v>
      </c>
      <c r="C234" s="1822" t="s">
        <v>1159</v>
      </c>
      <c r="D234" s="1822"/>
      <c r="E234" s="1822"/>
      <c r="F234" s="562" t="s">
        <v>322</v>
      </c>
      <c r="G234" s="562" t="s">
        <v>791</v>
      </c>
      <c r="H234" s="562"/>
      <c r="I234" s="562" t="s">
        <v>791</v>
      </c>
      <c r="J234" s="604"/>
      <c r="K234" s="562"/>
      <c r="L234" s="604">
        <v>4.92</v>
      </c>
      <c r="M234" s="603"/>
      <c r="N234" s="602"/>
      <c r="V234" s="674"/>
      <c r="W234" s="675"/>
      <c r="AA234" s="537" t="s">
        <v>1159</v>
      </c>
      <c r="AC234" s="675"/>
      <c r="AD234" s="680"/>
      <c r="AE234" s="675"/>
      <c r="AG234" s="675"/>
    </row>
    <row r="235" spans="1:35" s="536" customFormat="1" ht="12" x14ac:dyDescent="0.2">
      <c r="A235" s="569"/>
      <c r="B235" s="671"/>
      <c r="C235" s="1823" t="s">
        <v>327</v>
      </c>
      <c r="D235" s="1823"/>
      <c r="E235" s="1823"/>
      <c r="F235" s="573"/>
      <c r="G235" s="573"/>
      <c r="H235" s="573"/>
      <c r="I235" s="573"/>
      <c r="J235" s="572"/>
      <c r="K235" s="573"/>
      <c r="L235" s="572">
        <v>22.96</v>
      </c>
      <c r="M235" s="601"/>
      <c r="N235" s="570"/>
      <c r="V235" s="674"/>
      <c r="W235" s="675"/>
      <c r="AC235" s="675" t="s">
        <v>327</v>
      </c>
      <c r="AD235" s="680"/>
      <c r="AE235" s="675"/>
      <c r="AG235" s="675"/>
    </row>
    <row r="236" spans="1:35" s="536" customFormat="1" ht="33.75" x14ac:dyDescent="0.2">
      <c r="A236" s="575" t="s">
        <v>759</v>
      </c>
      <c r="B236" s="670" t="s">
        <v>1218</v>
      </c>
      <c r="C236" s="1823" t="s">
        <v>1219</v>
      </c>
      <c r="D236" s="1823"/>
      <c r="E236" s="1823"/>
      <c r="F236" s="573" t="s">
        <v>617</v>
      </c>
      <c r="G236" s="573"/>
      <c r="H236" s="573"/>
      <c r="I236" s="573" t="s">
        <v>188</v>
      </c>
      <c r="J236" s="572">
        <v>83.12</v>
      </c>
      <c r="K236" s="573"/>
      <c r="L236" s="572">
        <v>332.48</v>
      </c>
      <c r="M236" s="571"/>
      <c r="N236" s="570"/>
      <c r="V236" s="674"/>
      <c r="W236" s="675" t="s">
        <v>1219</v>
      </c>
      <c r="AC236" s="675"/>
      <c r="AD236" s="680"/>
      <c r="AE236" s="675"/>
      <c r="AG236" s="675"/>
    </row>
    <row r="237" spans="1:35" s="536" customFormat="1" ht="12" x14ac:dyDescent="0.2">
      <c r="A237" s="569"/>
      <c r="B237" s="671"/>
      <c r="C237" s="665" t="s">
        <v>717</v>
      </c>
      <c r="D237" s="666"/>
      <c r="E237" s="666"/>
      <c r="F237" s="563"/>
      <c r="G237" s="563"/>
      <c r="H237" s="563"/>
      <c r="I237" s="563"/>
      <c r="J237" s="566"/>
      <c r="K237" s="563"/>
      <c r="L237" s="566"/>
      <c r="M237" s="565"/>
      <c r="N237" s="564"/>
      <c r="V237" s="674"/>
      <c r="W237" s="675"/>
      <c r="AC237" s="675"/>
      <c r="AD237" s="680"/>
      <c r="AE237" s="675"/>
      <c r="AG237" s="675"/>
    </row>
    <row r="238" spans="1:35" s="536" customFormat="1" ht="45" x14ac:dyDescent="0.2">
      <c r="A238" s="575" t="s">
        <v>917</v>
      </c>
      <c r="B238" s="670" t="s">
        <v>1221</v>
      </c>
      <c r="C238" s="1823" t="s">
        <v>1910</v>
      </c>
      <c r="D238" s="1823"/>
      <c r="E238" s="1823"/>
      <c r="F238" s="573" t="s">
        <v>617</v>
      </c>
      <c r="G238" s="573"/>
      <c r="H238" s="573"/>
      <c r="I238" s="573" t="s">
        <v>186</v>
      </c>
      <c r="J238" s="572">
        <v>83.12</v>
      </c>
      <c r="K238" s="573"/>
      <c r="L238" s="572">
        <v>166.24</v>
      </c>
      <c r="M238" s="571"/>
      <c r="N238" s="570"/>
      <c r="V238" s="674"/>
      <c r="W238" s="675" t="s">
        <v>1910</v>
      </c>
      <c r="AC238" s="675"/>
      <c r="AD238" s="680"/>
      <c r="AE238" s="675"/>
      <c r="AG238" s="675"/>
    </row>
    <row r="239" spans="1:35" s="536" customFormat="1" ht="12" x14ac:dyDescent="0.2">
      <c r="A239" s="569"/>
      <c r="B239" s="671"/>
      <c r="C239" s="665" t="s">
        <v>717</v>
      </c>
      <c r="D239" s="666"/>
      <c r="E239" s="666"/>
      <c r="F239" s="563"/>
      <c r="G239" s="563"/>
      <c r="H239" s="563"/>
      <c r="I239" s="563"/>
      <c r="J239" s="566"/>
      <c r="K239" s="563"/>
      <c r="L239" s="566"/>
      <c r="M239" s="565"/>
      <c r="N239" s="564"/>
      <c r="V239" s="674"/>
      <c r="W239" s="675"/>
      <c r="AC239" s="675"/>
      <c r="AD239" s="680"/>
      <c r="AE239" s="675"/>
      <c r="AG239" s="675"/>
    </row>
    <row r="240" spans="1:35" s="536" customFormat="1" ht="12" x14ac:dyDescent="0.2">
      <c r="A240" s="1830" t="s">
        <v>1223</v>
      </c>
      <c r="B240" s="1831"/>
      <c r="C240" s="1831"/>
      <c r="D240" s="1831"/>
      <c r="E240" s="1831"/>
      <c r="F240" s="1831"/>
      <c r="G240" s="1831"/>
      <c r="H240" s="1831"/>
      <c r="I240" s="1831"/>
      <c r="J240" s="1831"/>
      <c r="K240" s="1831"/>
      <c r="L240" s="1831"/>
      <c r="M240" s="1831"/>
      <c r="N240" s="1832"/>
      <c r="V240" s="674"/>
      <c r="W240" s="675"/>
      <c r="AC240" s="675"/>
      <c r="AD240" s="680"/>
      <c r="AE240" s="675"/>
      <c r="AG240" s="675"/>
      <c r="AI240" s="675" t="s">
        <v>1223</v>
      </c>
    </row>
    <row r="241" spans="1:35" s="536" customFormat="1" ht="22.5" x14ac:dyDescent="0.2">
      <c r="A241" s="575" t="s">
        <v>761</v>
      </c>
      <c r="B241" s="670" t="s">
        <v>1224</v>
      </c>
      <c r="C241" s="1823" t="s">
        <v>1225</v>
      </c>
      <c r="D241" s="1823"/>
      <c r="E241" s="1823"/>
      <c r="F241" s="573" t="s">
        <v>1110</v>
      </c>
      <c r="G241" s="573"/>
      <c r="H241" s="573"/>
      <c r="I241" s="573" t="s">
        <v>822</v>
      </c>
      <c r="J241" s="572"/>
      <c r="K241" s="573"/>
      <c r="L241" s="572"/>
      <c r="M241" s="571"/>
      <c r="N241" s="570"/>
      <c r="V241" s="674"/>
      <c r="W241" s="675" t="s">
        <v>1225</v>
      </c>
      <c r="AC241" s="675"/>
      <c r="AD241" s="680"/>
      <c r="AE241" s="675"/>
      <c r="AG241" s="675"/>
      <c r="AI241" s="675"/>
    </row>
    <row r="242" spans="1:35" s="536" customFormat="1" ht="12" x14ac:dyDescent="0.2">
      <c r="A242" s="676"/>
      <c r="B242" s="664"/>
      <c r="C242" s="1822" t="s">
        <v>3450</v>
      </c>
      <c r="D242" s="1822"/>
      <c r="E242" s="1822"/>
      <c r="F242" s="1822"/>
      <c r="G242" s="1822"/>
      <c r="H242" s="1822"/>
      <c r="I242" s="1822"/>
      <c r="J242" s="1822"/>
      <c r="K242" s="1822"/>
      <c r="L242" s="1822"/>
      <c r="M242" s="1822"/>
      <c r="N242" s="1827"/>
      <c r="V242" s="674"/>
      <c r="W242" s="675"/>
      <c r="X242" s="537" t="s">
        <v>3450</v>
      </c>
      <c r="AC242" s="675"/>
      <c r="AD242" s="680"/>
      <c r="AE242" s="675"/>
      <c r="AG242" s="675"/>
      <c r="AI242" s="675"/>
    </row>
    <row r="243" spans="1:35" s="536" customFormat="1" ht="33.75" x14ac:dyDescent="0.2">
      <c r="A243" s="609"/>
      <c r="B243" s="552" t="s">
        <v>310</v>
      </c>
      <c r="C243" s="1822" t="s">
        <v>311</v>
      </c>
      <c r="D243" s="1822"/>
      <c r="E243" s="1822"/>
      <c r="F243" s="1822"/>
      <c r="G243" s="1822"/>
      <c r="H243" s="1822"/>
      <c r="I243" s="1822"/>
      <c r="J243" s="1822"/>
      <c r="K243" s="1822"/>
      <c r="L243" s="1822"/>
      <c r="M243" s="1822"/>
      <c r="N243" s="1827"/>
      <c r="V243" s="674"/>
      <c r="W243" s="675"/>
      <c r="Y243" s="537" t="s">
        <v>311</v>
      </c>
      <c r="AC243" s="675"/>
      <c r="AD243" s="680"/>
      <c r="AE243" s="675"/>
      <c r="AG243" s="675"/>
      <c r="AI243" s="675"/>
    </row>
    <row r="244" spans="1:35" s="536" customFormat="1" ht="12" x14ac:dyDescent="0.2">
      <c r="A244" s="605"/>
      <c r="B244" s="552" t="s">
        <v>185</v>
      </c>
      <c r="C244" s="1822" t="s">
        <v>312</v>
      </c>
      <c r="D244" s="1822"/>
      <c r="E244" s="1822"/>
      <c r="F244" s="562"/>
      <c r="G244" s="562"/>
      <c r="H244" s="562"/>
      <c r="I244" s="562"/>
      <c r="J244" s="604">
        <v>49.82</v>
      </c>
      <c r="K244" s="562" t="s">
        <v>313</v>
      </c>
      <c r="L244" s="604">
        <v>9.9600000000000009</v>
      </c>
      <c r="M244" s="603"/>
      <c r="N244" s="602"/>
      <c r="V244" s="674"/>
      <c r="W244" s="675"/>
      <c r="Z244" s="537" t="s">
        <v>312</v>
      </c>
      <c r="AC244" s="675"/>
      <c r="AD244" s="680"/>
      <c r="AE244" s="675"/>
      <c r="AG244" s="675"/>
      <c r="AI244" s="675"/>
    </row>
    <row r="245" spans="1:35" s="536" customFormat="1" ht="12" x14ac:dyDescent="0.2">
      <c r="A245" s="605"/>
      <c r="B245" s="552" t="s">
        <v>186</v>
      </c>
      <c r="C245" s="1822" t="s">
        <v>344</v>
      </c>
      <c r="D245" s="1822"/>
      <c r="E245" s="1822"/>
      <c r="F245" s="562"/>
      <c r="G245" s="562"/>
      <c r="H245" s="562"/>
      <c r="I245" s="562"/>
      <c r="J245" s="604">
        <v>6.09</v>
      </c>
      <c r="K245" s="562" t="s">
        <v>313</v>
      </c>
      <c r="L245" s="604">
        <v>1.22</v>
      </c>
      <c r="M245" s="603"/>
      <c r="N245" s="602"/>
      <c r="V245" s="674"/>
      <c r="W245" s="675"/>
      <c r="Z245" s="537" t="s">
        <v>344</v>
      </c>
      <c r="AC245" s="675"/>
      <c r="AD245" s="680"/>
      <c r="AE245" s="675"/>
      <c r="AG245" s="675"/>
      <c r="AI245" s="675"/>
    </row>
    <row r="246" spans="1:35" s="536" customFormat="1" ht="12" x14ac:dyDescent="0.2">
      <c r="A246" s="605"/>
      <c r="B246" s="552" t="s">
        <v>187</v>
      </c>
      <c r="C246" s="1822" t="s">
        <v>345</v>
      </c>
      <c r="D246" s="1822"/>
      <c r="E246" s="1822"/>
      <c r="F246" s="562"/>
      <c r="G246" s="562"/>
      <c r="H246" s="562"/>
      <c r="I246" s="562"/>
      <c r="J246" s="604">
        <v>1.28</v>
      </c>
      <c r="K246" s="562" t="s">
        <v>313</v>
      </c>
      <c r="L246" s="604">
        <v>0.26</v>
      </c>
      <c r="M246" s="603"/>
      <c r="N246" s="602"/>
      <c r="V246" s="674"/>
      <c r="W246" s="675"/>
      <c r="Z246" s="537" t="s">
        <v>345</v>
      </c>
      <c r="AC246" s="675"/>
      <c r="AD246" s="680"/>
      <c r="AE246" s="675"/>
      <c r="AG246" s="675"/>
      <c r="AI246" s="675"/>
    </row>
    <row r="247" spans="1:35" s="536" customFormat="1" ht="12" x14ac:dyDescent="0.2">
      <c r="A247" s="676"/>
      <c r="B247" s="677" t="s">
        <v>1228</v>
      </c>
      <c r="C247" s="1829" t="s">
        <v>1229</v>
      </c>
      <c r="D247" s="1829"/>
      <c r="E247" s="1829"/>
      <c r="F247" s="678" t="s">
        <v>694</v>
      </c>
      <c r="G247" s="678" t="s">
        <v>525</v>
      </c>
      <c r="H247" s="678"/>
      <c r="I247" s="678" t="s">
        <v>525</v>
      </c>
      <c r="J247" s="552"/>
      <c r="K247" s="562"/>
      <c r="L247" s="604"/>
      <c r="M247" s="562"/>
      <c r="N247" s="679"/>
      <c r="V247" s="674"/>
      <c r="W247" s="675"/>
      <c r="AC247" s="675"/>
      <c r="AD247" s="680" t="s">
        <v>1229</v>
      </c>
      <c r="AE247" s="675"/>
      <c r="AG247" s="675"/>
      <c r="AI247" s="675"/>
    </row>
    <row r="248" spans="1:35" s="536" customFormat="1" ht="12" x14ac:dyDescent="0.2">
      <c r="A248" s="605"/>
      <c r="B248" s="552"/>
      <c r="C248" s="1822" t="s">
        <v>314</v>
      </c>
      <c r="D248" s="1822"/>
      <c r="E248" s="1822"/>
      <c r="F248" s="562" t="s">
        <v>315</v>
      </c>
      <c r="G248" s="562" t="s">
        <v>1230</v>
      </c>
      <c r="H248" s="562" t="s">
        <v>313</v>
      </c>
      <c r="I248" s="562" t="s">
        <v>2863</v>
      </c>
      <c r="J248" s="604"/>
      <c r="K248" s="562"/>
      <c r="L248" s="604"/>
      <c r="M248" s="603"/>
      <c r="N248" s="602"/>
      <c r="V248" s="674"/>
      <c r="W248" s="675"/>
      <c r="AA248" s="537" t="s">
        <v>314</v>
      </c>
      <c r="AC248" s="675"/>
      <c r="AD248" s="680"/>
      <c r="AE248" s="675"/>
      <c r="AG248" s="675"/>
      <c r="AI248" s="675"/>
    </row>
    <row r="249" spans="1:35" s="536" customFormat="1" ht="12" x14ac:dyDescent="0.2">
      <c r="A249" s="605"/>
      <c r="B249" s="552"/>
      <c r="C249" s="1822" t="s">
        <v>348</v>
      </c>
      <c r="D249" s="1822"/>
      <c r="E249" s="1822"/>
      <c r="F249" s="562" t="s">
        <v>315</v>
      </c>
      <c r="G249" s="562" t="s">
        <v>1232</v>
      </c>
      <c r="H249" s="562" t="s">
        <v>313</v>
      </c>
      <c r="I249" s="562" t="s">
        <v>3451</v>
      </c>
      <c r="J249" s="604"/>
      <c r="K249" s="562"/>
      <c r="L249" s="604"/>
      <c r="M249" s="603"/>
      <c r="N249" s="602"/>
      <c r="V249" s="674"/>
      <c r="W249" s="675"/>
      <c r="AA249" s="537" t="s">
        <v>348</v>
      </c>
      <c r="AC249" s="675"/>
      <c r="AD249" s="680"/>
      <c r="AE249" s="675"/>
      <c r="AG249" s="675"/>
      <c r="AI249" s="675"/>
    </row>
    <row r="250" spans="1:35" s="536" customFormat="1" ht="12" x14ac:dyDescent="0.2">
      <c r="A250" s="605"/>
      <c r="B250" s="552"/>
      <c r="C250" s="1828" t="s">
        <v>318</v>
      </c>
      <c r="D250" s="1828"/>
      <c r="E250" s="1828"/>
      <c r="F250" s="608"/>
      <c r="G250" s="608"/>
      <c r="H250" s="608"/>
      <c r="I250" s="608"/>
      <c r="J250" s="607">
        <v>55.91</v>
      </c>
      <c r="K250" s="608"/>
      <c r="L250" s="607">
        <v>11.18</v>
      </c>
      <c r="M250" s="601"/>
      <c r="N250" s="606"/>
      <c r="V250" s="674"/>
      <c r="W250" s="675"/>
      <c r="AB250" s="537" t="s">
        <v>318</v>
      </c>
      <c r="AC250" s="675"/>
      <c r="AD250" s="680"/>
      <c r="AE250" s="675"/>
      <c r="AG250" s="675"/>
      <c r="AI250" s="675"/>
    </row>
    <row r="251" spans="1:35" s="536" customFormat="1" ht="12" x14ac:dyDescent="0.2">
      <c r="A251" s="605"/>
      <c r="B251" s="552"/>
      <c r="C251" s="1822" t="s">
        <v>319</v>
      </c>
      <c r="D251" s="1822"/>
      <c r="E251" s="1822"/>
      <c r="F251" s="562"/>
      <c r="G251" s="562"/>
      <c r="H251" s="562"/>
      <c r="I251" s="562"/>
      <c r="J251" s="604"/>
      <c r="K251" s="562"/>
      <c r="L251" s="604">
        <v>10.220000000000001</v>
      </c>
      <c r="M251" s="603"/>
      <c r="N251" s="602"/>
      <c r="V251" s="674"/>
      <c r="W251" s="675"/>
      <c r="AA251" s="537" t="s">
        <v>319</v>
      </c>
      <c r="AC251" s="675"/>
      <c r="AD251" s="680"/>
      <c r="AE251" s="675"/>
      <c r="AG251" s="675"/>
      <c r="AI251" s="675"/>
    </row>
    <row r="252" spans="1:35" s="536" customFormat="1" ht="33.75" x14ac:dyDescent="0.2">
      <c r="A252" s="605"/>
      <c r="B252" s="552" t="s">
        <v>1155</v>
      </c>
      <c r="C252" s="1822" t="s">
        <v>1156</v>
      </c>
      <c r="D252" s="1822"/>
      <c r="E252" s="1822"/>
      <c r="F252" s="562" t="s">
        <v>322</v>
      </c>
      <c r="G252" s="562" t="s">
        <v>1157</v>
      </c>
      <c r="H252" s="562"/>
      <c r="I252" s="562" t="s">
        <v>1157</v>
      </c>
      <c r="J252" s="604"/>
      <c r="K252" s="562"/>
      <c r="L252" s="604">
        <v>11.14</v>
      </c>
      <c r="M252" s="603"/>
      <c r="N252" s="602"/>
      <c r="V252" s="674"/>
      <c r="W252" s="675"/>
      <c r="AA252" s="537" t="s">
        <v>1156</v>
      </c>
      <c r="AC252" s="675"/>
      <c r="AD252" s="680"/>
      <c r="AE252" s="675"/>
      <c r="AG252" s="675"/>
      <c r="AI252" s="675"/>
    </row>
    <row r="253" spans="1:35" s="536" customFormat="1" ht="33.75" x14ac:dyDescent="0.2">
      <c r="A253" s="605"/>
      <c r="B253" s="552" t="s">
        <v>1158</v>
      </c>
      <c r="C253" s="1822" t="s">
        <v>1159</v>
      </c>
      <c r="D253" s="1822"/>
      <c r="E253" s="1822"/>
      <c r="F253" s="562" t="s">
        <v>322</v>
      </c>
      <c r="G253" s="562" t="s">
        <v>791</v>
      </c>
      <c r="H253" s="562"/>
      <c r="I253" s="562" t="s">
        <v>791</v>
      </c>
      <c r="J253" s="604"/>
      <c r="K253" s="562"/>
      <c r="L253" s="604">
        <v>5.83</v>
      </c>
      <c r="M253" s="603"/>
      <c r="N253" s="602"/>
      <c r="V253" s="674"/>
      <c r="W253" s="675"/>
      <c r="AA253" s="537" t="s">
        <v>1159</v>
      </c>
      <c r="AC253" s="675"/>
      <c r="AD253" s="680"/>
      <c r="AE253" s="675"/>
      <c r="AG253" s="675"/>
      <c r="AI253" s="675"/>
    </row>
    <row r="254" spans="1:35" s="536" customFormat="1" ht="12" x14ac:dyDescent="0.2">
      <c r="A254" s="569"/>
      <c r="B254" s="671"/>
      <c r="C254" s="1823" t="s">
        <v>327</v>
      </c>
      <c r="D254" s="1823"/>
      <c r="E254" s="1823"/>
      <c r="F254" s="573"/>
      <c r="G254" s="573"/>
      <c r="H254" s="573"/>
      <c r="I254" s="573"/>
      <c r="J254" s="572"/>
      <c r="K254" s="573"/>
      <c r="L254" s="572">
        <v>28.15</v>
      </c>
      <c r="M254" s="601"/>
      <c r="N254" s="570"/>
      <c r="V254" s="674"/>
      <c r="W254" s="675"/>
      <c r="AC254" s="675" t="s">
        <v>327</v>
      </c>
      <c r="AD254" s="680"/>
      <c r="AE254" s="675"/>
      <c r="AG254" s="675"/>
      <c r="AI254" s="675"/>
    </row>
    <row r="255" spans="1:35" s="536" customFormat="1" ht="33.75" x14ac:dyDescent="0.2">
      <c r="A255" s="575" t="s">
        <v>762</v>
      </c>
      <c r="B255" s="670" t="s">
        <v>1234</v>
      </c>
      <c r="C255" s="1823" t="s">
        <v>1235</v>
      </c>
      <c r="D255" s="1823"/>
      <c r="E255" s="1823"/>
      <c r="F255" s="573" t="s">
        <v>1236</v>
      </c>
      <c r="G255" s="573"/>
      <c r="H255" s="573"/>
      <c r="I255" s="573" t="s">
        <v>189</v>
      </c>
      <c r="J255" s="572">
        <v>1670.07</v>
      </c>
      <c r="K255" s="573" t="s">
        <v>716</v>
      </c>
      <c r="L255" s="572">
        <v>1023.68</v>
      </c>
      <c r="M255" s="571">
        <v>8.32</v>
      </c>
      <c r="N255" s="570">
        <v>8517</v>
      </c>
      <c r="V255" s="674"/>
      <c r="W255" s="675" t="s">
        <v>1235</v>
      </c>
      <c r="AC255" s="675"/>
      <c r="AD255" s="680"/>
      <c r="AE255" s="675"/>
      <c r="AG255" s="675"/>
      <c r="AI255" s="675"/>
    </row>
    <row r="256" spans="1:35" s="536" customFormat="1" ht="12" x14ac:dyDescent="0.2">
      <c r="A256" s="569"/>
      <c r="B256" s="671"/>
      <c r="C256" s="665" t="s">
        <v>1173</v>
      </c>
      <c r="D256" s="666"/>
      <c r="E256" s="666"/>
      <c r="F256" s="563"/>
      <c r="G256" s="563"/>
      <c r="H256" s="563"/>
      <c r="I256" s="563"/>
      <c r="J256" s="566"/>
      <c r="K256" s="563"/>
      <c r="L256" s="566"/>
      <c r="M256" s="565"/>
      <c r="N256" s="564"/>
      <c r="V256" s="674"/>
      <c r="W256" s="675"/>
      <c r="AC256" s="675"/>
      <c r="AD256" s="680"/>
      <c r="AE256" s="675"/>
      <c r="AG256" s="675"/>
      <c r="AI256" s="675"/>
    </row>
    <row r="257" spans="1:35" s="536" customFormat="1" ht="12" x14ac:dyDescent="0.2">
      <c r="A257" s="676"/>
      <c r="B257" s="664"/>
      <c r="C257" s="1822" t="s">
        <v>3452</v>
      </c>
      <c r="D257" s="1822"/>
      <c r="E257" s="1822"/>
      <c r="F257" s="1822"/>
      <c r="G257" s="1822"/>
      <c r="H257" s="1822"/>
      <c r="I257" s="1822"/>
      <c r="J257" s="1822"/>
      <c r="K257" s="1822"/>
      <c r="L257" s="1822"/>
      <c r="M257" s="1822"/>
      <c r="N257" s="1827"/>
      <c r="V257" s="674"/>
      <c r="W257" s="675"/>
      <c r="X257" s="537" t="s">
        <v>3452</v>
      </c>
      <c r="AC257" s="675"/>
      <c r="AD257" s="680"/>
      <c r="AE257" s="675"/>
      <c r="AG257" s="675"/>
      <c r="AI257" s="675"/>
    </row>
    <row r="258" spans="1:35" s="536" customFormat="1" ht="22.5" x14ac:dyDescent="0.2">
      <c r="A258" s="609"/>
      <c r="B258" s="552" t="s">
        <v>718</v>
      </c>
      <c r="C258" s="1822" t="s">
        <v>719</v>
      </c>
      <c r="D258" s="1822"/>
      <c r="E258" s="1822"/>
      <c r="F258" s="1822"/>
      <c r="G258" s="1822"/>
      <c r="H258" s="1822"/>
      <c r="I258" s="1822"/>
      <c r="J258" s="1822"/>
      <c r="K258" s="1822"/>
      <c r="L258" s="1822"/>
      <c r="M258" s="1822"/>
      <c r="N258" s="1827"/>
      <c r="V258" s="674"/>
      <c r="W258" s="675"/>
      <c r="Y258" s="537" t="s">
        <v>719</v>
      </c>
      <c r="AC258" s="675"/>
      <c r="AD258" s="680"/>
      <c r="AE258" s="675"/>
      <c r="AG258" s="675"/>
      <c r="AI258" s="675"/>
    </row>
    <row r="259" spans="1:35" s="536" customFormat="1" ht="12" x14ac:dyDescent="0.2">
      <c r="A259" s="1830" t="s">
        <v>3453</v>
      </c>
      <c r="B259" s="1831"/>
      <c r="C259" s="1831"/>
      <c r="D259" s="1831"/>
      <c r="E259" s="1831"/>
      <c r="F259" s="1831"/>
      <c r="G259" s="1831"/>
      <c r="H259" s="1831"/>
      <c r="I259" s="1831"/>
      <c r="J259" s="1831"/>
      <c r="K259" s="1831"/>
      <c r="L259" s="1831"/>
      <c r="M259" s="1831"/>
      <c r="N259" s="1832"/>
      <c r="V259" s="674"/>
      <c r="W259" s="675"/>
      <c r="AC259" s="675"/>
      <c r="AD259" s="680"/>
      <c r="AE259" s="675"/>
      <c r="AG259" s="675"/>
      <c r="AI259" s="675" t="s">
        <v>3453</v>
      </c>
    </row>
    <row r="260" spans="1:35" s="536" customFormat="1" ht="22.5" x14ac:dyDescent="0.2">
      <c r="A260" s="575" t="s">
        <v>763</v>
      </c>
      <c r="B260" s="670" t="s">
        <v>3454</v>
      </c>
      <c r="C260" s="1823" t="s">
        <v>3455</v>
      </c>
      <c r="D260" s="1823"/>
      <c r="E260" s="1823"/>
      <c r="F260" s="573" t="s">
        <v>1110</v>
      </c>
      <c r="G260" s="573"/>
      <c r="H260" s="573"/>
      <c r="I260" s="573" t="s">
        <v>3456</v>
      </c>
      <c r="J260" s="572"/>
      <c r="K260" s="573"/>
      <c r="L260" s="572"/>
      <c r="M260" s="571"/>
      <c r="N260" s="570"/>
      <c r="V260" s="674"/>
      <c r="W260" s="675" t="s">
        <v>3455</v>
      </c>
      <c r="AC260" s="675"/>
      <c r="AD260" s="680"/>
      <c r="AE260" s="675"/>
      <c r="AG260" s="675"/>
      <c r="AI260" s="675"/>
    </row>
    <row r="261" spans="1:35" s="536" customFormat="1" ht="12" x14ac:dyDescent="0.2">
      <c r="A261" s="676"/>
      <c r="B261" s="664"/>
      <c r="C261" s="1822" t="s">
        <v>3457</v>
      </c>
      <c r="D261" s="1822"/>
      <c r="E261" s="1822"/>
      <c r="F261" s="1822"/>
      <c r="G261" s="1822"/>
      <c r="H261" s="1822"/>
      <c r="I261" s="1822"/>
      <c r="J261" s="1822"/>
      <c r="K261" s="1822"/>
      <c r="L261" s="1822"/>
      <c r="M261" s="1822"/>
      <c r="N261" s="1827"/>
      <c r="V261" s="674"/>
      <c r="W261" s="675"/>
      <c r="X261" s="537" t="s">
        <v>3457</v>
      </c>
      <c r="AC261" s="675"/>
      <c r="AD261" s="680"/>
      <c r="AE261" s="675"/>
      <c r="AG261" s="675"/>
      <c r="AI261" s="675"/>
    </row>
    <row r="262" spans="1:35" s="536" customFormat="1" ht="12" x14ac:dyDescent="0.2">
      <c r="A262" s="605"/>
      <c r="B262" s="552" t="s">
        <v>185</v>
      </c>
      <c r="C262" s="1822" t="s">
        <v>312</v>
      </c>
      <c r="D262" s="1822"/>
      <c r="E262" s="1822"/>
      <c r="F262" s="562"/>
      <c r="G262" s="562"/>
      <c r="H262" s="562"/>
      <c r="I262" s="562"/>
      <c r="J262" s="604">
        <v>390.1</v>
      </c>
      <c r="K262" s="562"/>
      <c r="L262" s="604">
        <v>87.38</v>
      </c>
      <c r="M262" s="603"/>
      <c r="N262" s="602"/>
      <c r="V262" s="674"/>
      <c r="W262" s="675"/>
      <c r="Z262" s="537" t="s">
        <v>312</v>
      </c>
      <c r="AC262" s="675"/>
      <c r="AD262" s="680"/>
      <c r="AE262" s="675"/>
      <c r="AG262" s="675"/>
      <c r="AI262" s="675"/>
    </row>
    <row r="263" spans="1:35" s="536" customFormat="1" ht="12" x14ac:dyDescent="0.2">
      <c r="A263" s="605"/>
      <c r="B263" s="552" t="s">
        <v>186</v>
      </c>
      <c r="C263" s="1822" t="s">
        <v>344</v>
      </c>
      <c r="D263" s="1822"/>
      <c r="E263" s="1822"/>
      <c r="F263" s="562"/>
      <c r="G263" s="562"/>
      <c r="H263" s="562"/>
      <c r="I263" s="562"/>
      <c r="J263" s="604">
        <v>204.08</v>
      </c>
      <c r="K263" s="562"/>
      <c r="L263" s="604">
        <v>45.71</v>
      </c>
      <c r="M263" s="603"/>
      <c r="N263" s="602"/>
      <c r="V263" s="674"/>
      <c r="W263" s="675"/>
      <c r="Z263" s="537" t="s">
        <v>344</v>
      </c>
      <c r="AC263" s="675"/>
      <c r="AD263" s="680"/>
      <c r="AE263" s="675"/>
      <c r="AG263" s="675"/>
      <c r="AI263" s="675"/>
    </row>
    <row r="264" spans="1:35" s="536" customFormat="1" ht="12" x14ac:dyDescent="0.2">
      <c r="A264" s="605"/>
      <c r="B264" s="552" t="s">
        <v>187</v>
      </c>
      <c r="C264" s="1822" t="s">
        <v>345</v>
      </c>
      <c r="D264" s="1822"/>
      <c r="E264" s="1822"/>
      <c r="F264" s="562"/>
      <c r="G264" s="562"/>
      <c r="H264" s="562"/>
      <c r="I264" s="562"/>
      <c r="J264" s="604">
        <v>30.77</v>
      </c>
      <c r="K264" s="562"/>
      <c r="L264" s="604">
        <v>6.89</v>
      </c>
      <c r="M264" s="603"/>
      <c r="N264" s="602"/>
      <c r="V264" s="674"/>
      <c r="W264" s="675"/>
      <c r="Z264" s="537" t="s">
        <v>345</v>
      </c>
      <c r="AC264" s="675"/>
      <c r="AD264" s="680"/>
      <c r="AE264" s="675"/>
      <c r="AG264" s="675"/>
      <c r="AI264" s="675"/>
    </row>
    <row r="265" spans="1:35" s="536" customFormat="1" ht="12" x14ac:dyDescent="0.2">
      <c r="A265" s="605"/>
      <c r="B265" s="552" t="s">
        <v>188</v>
      </c>
      <c r="C265" s="1822" t="s">
        <v>475</v>
      </c>
      <c r="D265" s="1822"/>
      <c r="E265" s="1822"/>
      <c r="F265" s="562"/>
      <c r="G265" s="562"/>
      <c r="H265" s="562"/>
      <c r="I265" s="562"/>
      <c r="J265" s="604">
        <v>16057.11</v>
      </c>
      <c r="K265" s="562"/>
      <c r="L265" s="604">
        <v>3596.79</v>
      </c>
      <c r="M265" s="603"/>
      <c r="N265" s="602"/>
      <c r="V265" s="674"/>
      <c r="W265" s="675"/>
      <c r="Z265" s="537" t="s">
        <v>475</v>
      </c>
      <c r="AC265" s="675"/>
      <c r="AD265" s="680"/>
      <c r="AE265" s="675"/>
      <c r="AG265" s="675"/>
      <c r="AI265" s="675"/>
    </row>
    <row r="266" spans="1:35" s="536" customFormat="1" ht="12" x14ac:dyDescent="0.2">
      <c r="A266" s="605"/>
      <c r="B266" s="552"/>
      <c r="C266" s="1822" t="s">
        <v>314</v>
      </c>
      <c r="D266" s="1822"/>
      <c r="E266" s="1822"/>
      <c r="F266" s="562" t="s">
        <v>315</v>
      </c>
      <c r="G266" s="562" t="s">
        <v>3458</v>
      </c>
      <c r="H266" s="562"/>
      <c r="I266" s="562" t="s">
        <v>3459</v>
      </c>
      <c r="J266" s="604"/>
      <c r="K266" s="562"/>
      <c r="L266" s="604"/>
      <c r="M266" s="603"/>
      <c r="N266" s="602"/>
      <c r="V266" s="674"/>
      <c r="W266" s="675"/>
      <c r="AA266" s="537" t="s">
        <v>314</v>
      </c>
      <c r="AC266" s="675"/>
      <c r="AD266" s="680"/>
      <c r="AE266" s="675"/>
      <c r="AG266" s="675"/>
      <c r="AI266" s="675"/>
    </row>
    <row r="267" spans="1:35" s="536" customFormat="1" ht="12" x14ac:dyDescent="0.2">
      <c r="A267" s="605"/>
      <c r="B267" s="552"/>
      <c r="C267" s="1822" t="s">
        <v>348</v>
      </c>
      <c r="D267" s="1822"/>
      <c r="E267" s="1822"/>
      <c r="F267" s="562" t="s">
        <v>315</v>
      </c>
      <c r="G267" s="562" t="s">
        <v>3460</v>
      </c>
      <c r="H267" s="562"/>
      <c r="I267" s="562" t="s">
        <v>3461</v>
      </c>
      <c r="J267" s="604"/>
      <c r="K267" s="562"/>
      <c r="L267" s="604"/>
      <c r="M267" s="603"/>
      <c r="N267" s="602"/>
      <c r="V267" s="674"/>
      <c r="W267" s="675"/>
      <c r="AA267" s="537" t="s">
        <v>348</v>
      </c>
      <c r="AC267" s="675"/>
      <c r="AD267" s="680"/>
      <c r="AE267" s="675"/>
      <c r="AG267" s="675"/>
      <c r="AI267" s="675"/>
    </row>
    <row r="268" spans="1:35" s="536" customFormat="1" ht="12" x14ac:dyDescent="0.2">
      <c r="A268" s="605"/>
      <c r="B268" s="552"/>
      <c r="C268" s="1828" t="s">
        <v>318</v>
      </c>
      <c r="D268" s="1828"/>
      <c r="E268" s="1828"/>
      <c r="F268" s="608"/>
      <c r="G268" s="608"/>
      <c r="H268" s="608"/>
      <c r="I268" s="608"/>
      <c r="J268" s="607">
        <v>16651.29</v>
      </c>
      <c r="K268" s="608"/>
      <c r="L268" s="607">
        <v>3729.88</v>
      </c>
      <c r="M268" s="601"/>
      <c r="N268" s="606"/>
      <c r="V268" s="674"/>
      <c r="W268" s="675"/>
      <c r="AB268" s="537" t="s">
        <v>318</v>
      </c>
      <c r="AC268" s="675"/>
      <c r="AD268" s="680"/>
      <c r="AE268" s="675"/>
      <c r="AG268" s="675"/>
      <c r="AI268" s="675"/>
    </row>
    <row r="269" spans="1:35" s="536" customFormat="1" ht="12" x14ac:dyDescent="0.2">
      <c r="A269" s="605"/>
      <c r="B269" s="552"/>
      <c r="C269" s="1822" t="s">
        <v>319</v>
      </c>
      <c r="D269" s="1822"/>
      <c r="E269" s="1822"/>
      <c r="F269" s="562"/>
      <c r="G269" s="562"/>
      <c r="H269" s="562"/>
      <c r="I269" s="562"/>
      <c r="J269" s="604"/>
      <c r="K269" s="562"/>
      <c r="L269" s="604">
        <v>94.27</v>
      </c>
      <c r="M269" s="603"/>
      <c r="N269" s="602"/>
      <c r="V269" s="674"/>
      <c r="W269" s="675"/>
      <c r="AA269" s="537" t="s">
        <v>319</v>
      </c>
      <c r="AC269" s="675"/>
      <c r="AD269" s="680"/>
      <c r="AE269" s="675"/>
      <c r="AG269" s="675"/>
      <c r="AI269" s="675"/>
    </row>
    <row r="270" spans="1:35" s="536" customFormat="1" ht="45" x14ac:dyDescent="0.2">
      <c r="A270" s="605"/>
      <c r="B270" s="552" t="s">
        <v>3462</v>
      </c>
      <c r="C270" s="1822" t="s">
        <v>3463</v>
      </c>
      <c r="D270" s="1822"/>
      <c r="E270" s="1822"/>
      <c r="F270" s="562" t="s">
        <v>322</v>
      </c>
      <c r="G270" s="562" t="s">
        <v>3039</v>
      </c>
      <c r="H270" s="562"/>
      <c r="I270" s="562" t="s">
        <v>3039</v>
      </c>
      <c r="J270" s="604"/>
      <c r="K270" s="562"/>
      <c r="L270" s="604">
        <v>109.35</v>
      </c>
      <c r="M270" s="603"/>
      <c r="N270" s="602"/>
      <c r="V270" s="674"/>
      <c r="W270" s="675"/>
      <c r="AA270" s="537" t="s">
        <v>3463</v>
      </c>
      <c r="AC270" s="675"/>
      <c r="AD270" s="680"/>
      <c r="AE270" s="675"/>
      <c r="AG270" s="675"/>
      <c r="AI270" s="675"/>
    </row>
    <row r="271" spans="1:35" s="536" customFormat="1" ht="45" x14ac:dyDescent="0.2">
      <c r="A271" s="605"/>
      <c r="B271" s="552" t="s">
        <v>3464</v>
      </c>
      <c r="C271" s="1822" t="s">
        <v>3465</v>
      </c>
      <c r="D271" s="1822"/>
      <c r="E271" s="1822"/>
      <c r="F271" s="562" t="s">
        <v>322</v>
      </c>
      <c r="G271" s="562" t="s">
        <v>1540</v>
      </c>
      <c r="H271" s="562"/>
      <c r="I271" s="562" t="s">
        <v>1540</v>
      </c>
      <c r="J271" s="604"/>
      <c r="K271" s="562"/>
      <c r="L271" s="604">
        <v>75.42</v>
      </c>
      <c r="M271" s="603"/>
      <c r="N271" s="602"/>
      <c r="V271" s="674"/>
      <c r="W271" s="675"/>
      <c r="AA271" s="537" t="s">
        <v>3465</v>
      </c>
      <c r="AC271" s="675"/>
      <c r="AD271" s="680"/>
      <c r="AE271" s="675"/>
      <c r="AG271" s="675"/>
      <c r="AI271" s="675"/>
    </row>
    <row r="272" spans="1:35" s="536" customFormat="1" ht="12" x14ac:dyDescent="0.2">
      <c r="A272" s="569"/>
      <c r="B272" s="671"/>
      <c r="C272" s="1823" t="s">
        <v>327</v>
      </c>
      <c r="D272" s="1823"/>
      <c r="E272" s="1823"/>
      <c r="F272" s="573"/>
      <c r="G272" s="573"/>
      <c r="H272" s="573"/>
      <c r="I272" s="573"/>
      <c r="J272" s="572"/>
      <c r="K272" s="573"/>
      <c r="L272" s="572">
        <v>3914.65</v>
      </c>
      <c r="M272" s="601"/>
      <c r="N272" s="570"/>
      <c r="V272" s="674"/>
      <c r="W272" s="675"/>
      <c r="AC272" s="675" t="s">
        <v>327</v>
      </c>
      <c r="AD272" s="680"/>
      <c r="AE272" s="675"/>
      <c r="AG272" s="675"/>
      <c r="AI272" s="675"/>
    </row>
    <row r="273" spans="1:35" s="536" customFormat="1" ht="1.5" customHeight="1" x14ac:dyDescent="0.2">
      <c r="A273" s="563"/>
      <c r="B273" s="671"/>
      <c r="C273" s="671"/>
      <c r="D273" s="671"/>
      <c r="E273" s="671"/>
      <c r="F273" s="563"/>
      <c r="G273" s="563"/>
      <c r="H273" s="563"/>
      <c r="I273" s="563"/>
      <c r="J273" s="546"/>
      <c r="K273" s="563"/>
      <c r="L273" s="546"/>
      <c r="M273" s="562"/>
      <c r="N273" s="546"/>
      <c r="V273" s="674"/>
      <c r="W273" s="675"/>
      <c r="AC273" s="675"/>
      <c r="AD273" s="680"/>
      <c r="AE273" s="675"/>
      <c r="AG273" s="675"/>
      <c r="AI273" s="675"/>
    </row>
    <row r="274" spans="1:35" s="536" customFormat="1" ht="12" x14ac:dyDescent="0.2">
      <c r="A274" s="557"/>
      <c r="B274" s="556"/>
      <c r="C274" s="1823" t="s">
        <v>1918</v>
      </c>
      <c r="D274" s="1823"/>
      <c r="E274" s="1823"/>
      <c r="F274" s="1823"/>
      <c r="G274" s="1823"/>
      <c r="H274" s="1823"/>
      <c r="I274" s="1823"/>
      <c r="J274" s="1823"/>
      <c r="K274" s="1823"/>
      <c r="L274" s="555"/>
      <c r="M274" s="554"/>
      <c r="N274" s="553"/>
      <c r="V274" s="674"/>
      <c r="W274" s="675"/>
      <c r="AC274" s="675"/>
      <c r="AD274" s="680"/>
      <c r="AE274" s="675" t="s">
        <v>1918</v>
      </c>
      <c r="AG274" s="675"/>
      <c r="AI274" s="675"/>
    </row>
    <row r="275" spans="1:35" s="536" customFormat="1" ht="12" x14ac:dyDescent="0.2">
      <c r="A275" s="548"/>
      <c r="B275" s="552"/>
      <c r="C275" s="1822" t="s">
        <v>403</v>
      </c>
      <c r="D275" s="1822"/>
      <c r="E275" s="1822"/>
      <c r="F275" s="1822"/>
      <c r="G275" s="1822"/>
      <c r="H275" s="1822"/>
      <c r="I275" s="1822"/>
      <c r="J275" s="1822"/>
      <c r="K275" s="1822"/>
      <c r="L275" s="551">
        <v>27059.48</v>
      </c>
      <c r="M275" s="550"/>
      <c r="N275" s="549"/>
      <c r="V275" s="674"/>
      <c r="W275" s="675"/>
      <c r="AC275" s="675"/>
      <c r="AD275" s="680"/>
      <c r="AE275" s="675"/>
      <c r="AF275" s="537" t="s">
        <v>403</v>
      </c>
      <c r="AG275" s="675"/>
      <c r="AI275" s="675"/>
    </row>
    <row r="276" spans="1:35" s="536" customFormat="1" ht="12" x14ac:dyDescent="0.2">
      <c r="A276" s="548"/>
      <c r="B276" s="552"/>
      <c r="C276" s="1822" t="s">
        <v>204</v>
      </c>
      <c r="D276" s="1822"/>
      <c r="E276" s="1822"/>
      <c r="F276" s="1822"/>
      <c r="G276" s="1822"/>
      <c r="H276" s="1822"/>
      <c r="I276" s="1822"/>
      <c r="J276" s="1822"/>
      <c r="K276" s="1822"/>
      <c r="L276" s="551"/>
      <c r="M276" s="550"/>
      <c r="N276" s="549"/>
      <c r="V276" s="674"/>
      <c r="W276" s="675"/>
      <c r="AC276" s="675"/>
      <c r="AD276" s="680"/>
      <c r="AE276" s="675"/>
      <c r="AF276" s="537" t="s">
        <v>204</v>
      </c>
      <c r="AG276" s="675"/>
      <c r="AI276" s="675"/>
    </row>
    <row r="277" spans="1:35" s="536" customFormat="1" ht="12" x14ac:dyDescent="0.2">
      <c r="A277" s="548"/>
      <c r="B277" s="552"/>
      <c r="C277" s="1822" t="s">
        <v>404</v>
      </c>
      <c r="D277" s="1822"/>
      <c r="E277" s="1822"/>
      <c r="F277" s="1822"/>
      <c r="G277" s="1822"/>
      <c r="H277" s="1822"/>
      <c r="I277" s="1822"/>
      <c r="J277" s="1822"/>
      <c r="K277" s="1822"/>
      <c r="L277" s="551">
        <v>1456.41</v>
      </c>
      <c r="M277" s="550"/>
      <c r="N277" s="549"/>
      <c r="V277" s="674"/>
      <c r="W277" s="675"/>
      <c r="AC277" s="675"/>
      <c r="AD277" s="680"/>
      <c r="AE277" s="675"/>
      <c r="AF277" s="537" t="s">
        <v>404</v>
      </c>
      <c r="AG277" s="675"/>
      <c r="AI277" s="675"/>
    </row>
    <row r="278" spans="1:35" s="536" customFormat="1" ht="12" x14ac:dyDescent="0.2">
      <c r="A278" s="548"/>
      <c r="B278" s="552"/>
      <c r="C278" s="1822" t="s">
        <v>405</v>
      </c>
      <c r="D278" s="1822"/>
      <c r="E278" s="1822"/>
      <c r="F278" s="1822"/>
      <c r="G278" s="1822"/>
      <c r="H278" s="1822"/>
      <c r="I278" s="1822"/>
      <c r="J278" s="1822"/>
      <c r="K278" s="1822"/>
      <c r="L278" s="551">
        <v>244.45</v>
      </c>
      <c r="M278" s="550"/>
      <c r="N278" s="549"/>
      <c r="V278" s="674"/>
      <c r="W278" s="675"/>
      <c r="AC278" s="675"/>
      <c r="AD278" s="680"/>
      <c r="AE278" s="675"/>
      <c r="AF278" s="537" t="s">
        <v>405</v>
      </c>
      <c r="AG278" s="675"/>
      <c r="AI278" s="675"/>
    </row>
    <row r="279" spans="1:35" s="536" customFormat="1" ht="12" x14ac:dyDescent="0.2">
      <c r="A279" s="548"/>
      <c r="B279" s="552"/>
      <c r="C279" s="1822" t="s">
        <v>406</v>
      </c>
      <c r="D279" s="1822"/>
      <c r="E279" s="1822"/>
      <c r="F279" s="1822"/>
      <c r="G279" s="1822"/>
      <c r="H279" s="1822"/>
      <c r="I279" s="1822"/>
      <c r="J279" s="1822"/>
      <c r="K279" s="1822"/>
      <c r="L279" s="551">
        <v>13.04</v>
      </c>
      <c r="M279" s="550"/>
      <c r="N279" s="549"/>
      <c r="V279" s="674"/>
      <c r="W279" s="675"/>
      <c r="AC279" s="675"/>
      <c r="AD279" s="680"/>
      <c r="AE279" s="675"/>
      <c r="AF279" s="537" t="s">
        <v>406</v>
      </c>
      <c r="AG279" s="675"/>
      <c r="AI279" s="675"/>
    </row>
    <row r="280" spans="1:35" s="536" customFormat="1" ht="12" x14ac:dyDescent="0.2">
      <c r="A280" s="548"/>
      <c r="B280" s="552"/>
      <c r="C280" s="1822" t="s">
        <v>480</v>
      </c>
      <c r="D280" s="1822"/>
      <c r="E280" s="1822"/>
      <c r="F280" s="1822"/>
      <c r="G280" s="1822"/>
      <c r="H280" s="1822"/>
      <c r="I280" s="1822"/>
      <c r="J280" s="1822"/>
      <c r="K280" s="1822"/>
      <c r="L280" s="551">
        <v>25358.62</v>
      </c>
      <c r="M280" s="550"/>
      <c r="N280" s="549"/>
      <c r="V280" s="674"/>
      <c r="W280" s="675"/>
      <c r="AC280" s="675"/>
      <c r="AD280" s="680"/>
      <c r="AE280" s="675"/>
      <c r="AF280" s="537" t="s">
        <v>480</v>
      </c>
      <c r="AG280" s="675"/>
      <c r="AI280" s="675"/>
    </row>
    <row r="281" spans="1:35" s="536" customFormat="1" ht="12" x14ac:dyDescent="0.2">
      <c r="A281" s="548"/>
      <c r="B281" s="552"/>
      <c r="C281" s="1822" t="s">
        <v>407</v>
      </c>
      <c r="D281" s="1822"/>
      <c r="E281" s="1822"/>
      <c r="F281" s="1822"/>
      <c r="G281" s="1822"/>
      <c r="H281" s="1822"/>
      <c r="I281" s="1822"/>
      <c r="J281" s="1822"/>
      <c r="K281" s="1822"/>
      <c r="L281" s="551">
        <v>29527.07</v>
      </c>
      <c r="M281" s="550"/>
      <c r="N281" s="549"/>
      <c r="V281" s="674"/>
      <c r="W281" s="675"/>
      <c r="AC281" s="675"/>
      <c r="AD281" s="680"/>
      <c r="AE281" s="675"/>
      <c r="AF281" s="537" t="s">
        <v>407</v>
      </c>
      <c r="AG281" s="675"/>
      <c r="AI281" s="675"/>
    </row>
    <row r="282" spans="1:35" s="536" customFormat="1" ht="12" x14ac:dyDescent="0.2">
      <c r="A282" s="548"/>
      <c r="B282" s="552"/>
      <c r="C282" s="1822" t="s">
        <v>204</v>
      </c>
      <c r="D282" s="1822"/>
      <c r="E282" s="1822"/>
      <c r="F282" s="1822"/>
      <c r="G282" s="1822"/>
      <c r="H282" s="1822"/>
      <c r="I282" s="1822"/>
      <c r="J282" s="1822"/>
      <c r="K282" s="1822"/>
      <c r="L282" s="551"/>
      <c r="M282" s="550"/>
      <c r="N282" s="549"/>
      <c r="V282" s="674"/>
      <c r="W282" s="675"/>
      <c r="AC282" s="675"/>
      <c r="AD282" s="680"/>
      <c r="AE282" s="675"/>
      <c r="AF282" s="537" t="s">
        <v>204</v>
      </c>
      <c r="AG282" s="675"/>
      <c r="AI282" s="675"/>
    </row>
    <row r="283" spans="1:35" s="536" customFormat="1" ht="12" x14ac:dyDescent="0.2">
      <c r="A283" s="548"/>
      <c r="B283" s="552"/>
      <c r="C283" s="1822" t="s">
        <v>546</v>
      </c>
      <c r="D283" s="1822"/>
      <c r="E283" s="1822"/>
      <c r="F283" s="1822"/>
      <c r="G283" s="1822"/>
      <c r="H283" s="1822"/>
      <c r="I283" s="1822"/>
      <c r="J283" s="1822"/>
      <c r="K283" s="1822"/>
      <c r="L283" s="551">
        <v>1456.41</v>
      </c>
      <c r="M283" s="550"/>
      <c r="N283" s="549"/>
      <c r="V283" s="674"/>
      <c r="W283" s="675"/>
      <c r="AC283" s="675"/>
      <c r="AD283" s="680"/>
      <c r="AE283" s="675"/>
      <c r="AF283" s="537" t="s">
        <v>546</v>
      </c>
      <c r="AG283" s="675"/>
      <c r="AI283" s="675"/>
    </row>
    <row r="284" spans="1:35" s="536" customFormat="1" ht="12" x14ac:dyDescent="0.2">
      <c r="A284" s="548"/>
      <c r="B284" s="552"/>
      <c r="C284" s="1822" t="s">
        <v>442</v>
      </c>
      <c r="D284" s="1822"/>
      <c r="E284" s="1822"/>
      <c r="F284" s="1822"/>
      <c r="G284" s="1822"/>
      <c r="H284" s="1822"/>
      <c r="I284" s="1822"/>
      <c r="J284" s="1822"/>
      <c r="K284" s="1822"/>
      <c r="L284" s="551">
        <v>244.45</v>
      </c>
      <c r="M284" s="550"/>
      <c r="N284" s="549"/>
      <c r="V284" s="674"/>
      <c r="W284" s="675"/>
      <c r="AC284" s="675"/>
      <c r="AD284" s="680"/>
      <c r="AE284" s="675"/>
      <c r="AF284" s="537" t="s">
        <v>442</v>
      </c>
      <c r="AG284" s="675"/>
      <c r="AI284" s="675"/>
    </row>
    <row r="285" spans="1:35" s="536" customFormat="1" ht="12" x14ac:dyDescent="0.2">
      <c r="A285" s="548"/>
      <c r="B285" s="552"/>
      <c r="C285" s="1822" t="s">
        <v>547</v>
      </c>
      <c r="D285" s="1822"/>
      <c r="E285" s="1822"/>
      <c r="F285" s="1822"/>
      <c r="G285" s="1822"/>
      <c r="H285" s="1822"/>
      <c r="I285" s="1822"/>
      <c r="J285" s="1822"/>
      <c r="K285" s="1822"/>
      <c r="L285" s="551">
        <v>25358.62</v>
      </c>
      <c r="M285" s="550"/>
      <c r="N285" s="549"/>
      <c r="V285" s="674"/>
      <c r="W285" s="675"/>
      <c r="AC285" s="675"/>
      <c r="AD285" s="680"/>
      <c r="AE285" s="675"/>
      <c r="AF285" s="537" t="s">
        <v>547</v>
      </c>
      <c r="AG285" s="675"/>
      <c r="AI285" s="675"/>
    </row>
    <row r="286" spans="1:35" s="536" customFormat="1" ht="12" x14ac:dyDescent="0.2">
      <c r="A286" s="548"/>
      <c r="B286" s="552"/>
      <c r="C286" s="1822" t="s">
        <v>443</v>
      </c>
      <c r="D286" s="1822"/>
      <c r="E286" s="1822"/>
      <c r="F286" s="1822"/>
      <c r="G286" s="1822"/>
      <c r="H286" s="1822"/>
      <c r="I286" s="1822"/>
      <c r="J286" s="1822"/>
      <c r="K286" s="1822"/>
      <c r="L286" s="551">
        <v>1608.31</v>
      </c>
      <c r="M286" s="550"/>
      <c r="N286" s="549"/>
      <c r="V286" s="674"/>
      <c r="W286" s="675"/>
      <c r="AC286" s="675"/>
      <c r="AD286" s="680"/>
      <c r="AE286" s="675"/>
      <c r="AF286" s="537" t="s">
        <v>443</v>
      </c>
      <c r="AG286" s="675"/>
      <c r="AI286" s="675"/>
    </row>
    <row r="287" spans="1:35" s="536" customFormat="1" ht="12" x14ac:dyDescent="0.2">
      <c r="A287" s="548"/>
      <c r="B287" s="552"/>
      <c r="C287" s="1822" t="s">
        <v>444</v>
      </c>
      <c r="D287" s="1822"/>
      <c r="E287" s="1822"/>
      <c r="F287" s="1822"/>
      <c r="G287" s="1822"/>
      <c r="H287" s="1822"/>
      <c r="I287" s="1822"/>
      <c r="J287" s="1822"/>
      <c r="K287" s="1822"/>
      <c r="L287" s="551">
        <v>859.28</v>
      </c>
      <c r="M287" s="550"/>
      <c r="N287" s="549"/>
      <c r="V287" s="674"/>
      <c r="W287" s="675"/>
      <c r="AC287" s="675"/>
      <c r="AD287" s="680"/>
      <c r="AE287" s="675"/>
      <c r="AF287" s="537" t="s">
        <v>444</v>
      </c>
      <c r="AG287" s="675"/>
      <c r="AI287" s="675"/>
    </row>
    <row r="288" spans="1:35" s="536" customFormat="1" ht="12" x14ac:dyDescent="0.2">
      <c r="A288" s="548"/>
      <c r="B288" s="552"/>
      <c r="C288" s="1822" t="s">
        <v>415</v>
      </c>
      <c r="D288" s="1822"/>
      <c r="E288" s="1822"/>
      <c r="F288" s="1822"/>
      <c r="G288" s="1822"/>
      <c r="H288" s="1822"/>
      <c r="I288" s="1822"/>
      <c r="J288" s="1822"/>
      <c r="K288" s="1822"/>
      <c r="L288" s="551">
        <v>1469.45</v>
      </c>
      <c r="M288" s="550"/>
      <c r="N288" s="549"/>
      <c r="V288" s="674"/>
      <c r="W288" s="675"/>
      <c r="AC288" s="675"/>
      <c r="AD288" s="680"/>
      <c r="AE288" s="675"/>
      <c r="AF288" s="537" t="s">
        <v>415</v>
      </c>
      <c r="AG288" s="675"/>
      <c r="AI288" s="675"/>
    </row>
    <row r="289" spans="1:35" s="536" customFormat="1" ht="12" x14ac:dyDescent="0.2">
      <c r="A289" s="548"/>
      <c r="B289" s="552"/>
      <c r="C289" s="1822" t="s">
        <v>416</v>
      </c>
      <c r="D289" s="1822"/>
      <c r="E289" s="1822"/>
      <c r="F289" s="1822"/>
      <c r="G289" s="1822"/>
      <c r="H289" s="1822"/>
      <c r="I289" s="1822"/>
      <c r="J289" s="1822"/>
      <c r="K289" s="1822"/>
      <c r="L289" s="551">
        <v>1608.31</v>
      </c>
      <c r="M289" s="550"/>
      <c r="N289" s="549"/>
      <c r="V289" s="674"/>
      <c r="W289" s="675"/>
      <c r="AC289" s="675"/>
      <c r="AD289" s="680"/>
      <c r="AE289" s="675"/>
      <c r="AF289" s="537" t="s">
        <v>416</v>
      </c>
      <c r="AG289" s="675"/>
      <c r="AI289" s="675"/>
    </row>
    <row r="290" spans="1:35" s="536" customFormat="1" ht="12" x14ac:dyDescent="0.2">
      <c r="A290" s="548"/>
      <c r="B290" s="552"/>
      <c r="C290" s="1822" t="s">
        <v>417</v>
      </c>
      <c r="D290" s="1822"/>
      <c r="E290" s="1822"/>
      <c r="F290" s="1822"/>
      <c r="G290" s="1822"/>
      <c r="H290" s="1822"/>
      <c r="I290" s="1822"/>
      <c r="J290" s="1822"/>
      <c r="K290" s="1822"/>
      <c r="L290" s="551">
        <v>859.28</v>
      </c>
      <c r="M290" s="550"/>
      <c r="N290" s="549"/>
      <c r="V290" s="674"/>
      <c r="W290" s="675"/>
      <c r="AC290" s="675"/>
      <c r="AD290" s="680"/>
      <c r="AE290" s="675"/>
      <c r="AF290" s="537" t="s">
        <v>417</v>
      </c>
      <c r="AG290" s="675"/>
      <c r="AI290" s="675"/>
    </row>
    <row r="291" spans="1:35" s="536" customFormat="1" ht="12" x14ac:dyDescent="0.2">
      <c r="A291" s="548"/>
      <c r="B291" s="546"/>
      <c r="C291" s="1819" t="s">
        <v>1919</v>
      </c>
      <c r="D291" s="1819"/>
      <c r="E291" s="1819"/>
      <c r="F291" s="1819"/>
      <c r="G291" s="1819"/>
      <c r="H291" s="1819"/>
      <c r="I291" s="1819"/>
      <c r="J291" s="1819"/>
      <c r="K291" s="1819"/>
      <c r="L291" s="544">
        <v>29527.07</v>
      </c>
      <c r="M291" s="543"/>
      <c r="N291" s="681"/>
      <c r="V291" s="674"/>
      <c r="W291" s="675"/>
      <c r="AC291" s="675"/>
      <c r="AD291" s="680"/>
      <c r="AE291" s="675"/>
      <c r="AG291" s="675" t="s">
        <v>1919</v>
      </c>
      <c r="AI291" s="675"/>
    </row>
    <row r="292" spans="1:35" s="536" customFormat="1" ht="12" x14ac:dyDescent="0.2">
      <c r="A292" s="548"/>
      <c r="B292" s="552"/>
      <c r="C292" s="1822" t="s">
        <v>204</v>
      </c>
      <c r="D292" s="1822"/>
      <c r="E292" s="1822"/>
      <c r="F292" s="1822"/>
      <c r="G292" s="1822"/>
      <c r="H292" s="1822"/>
      <c r="I292" s="1822"/>
      <c r="J292" s="1822"/>
      <c r="K292" s="1822"/>
      <c r="L292" s="551"/>
      <c r="M292" s="550"/>
      <c r="N292" s="549"/>
      <c r="V292" s="674"/>
      <c r="W292" s="675"/>
      <c r="AC292" s="675"/>
      <c r="AD292" s="680"/>
      <c r="AE292" s="675"/>
      <c r="AF292" s="537" t="s">
        <v>204</v>
      </c>
      <c r="AG292" s="675"/>
      <c r="AI292" s="675"/>
    </row>
    <row r="293" spans="1:35" s="536" customFormat="1" ht="12" x14ac:dyDescent="0.2">
      <c r="A293" s="548"/>
      <c r="B293" s="552"/>
      <c r="C293" s="1822" t="s">
        <v>8095</v>
      </c>
      <c r="D293" s="1822"/>
      <c r="E293" s="1822"/>
      <c r="F293" s="1822"/>
      <c r="G293" s="1822"/>
      <c r="H293" s="1822"/>
      <c r="I293" s="1822"/>
      <c r="J293" s="1822"/>
      <c r="K293" s="1822"/>
      <c r="L293" s="551">
        <v>3108.53</v>
      </c>
      <c r="M293" s="550"/>
      <c r="N293" s="549"/>
      <c r="V293" s="674"/>
      <c r="W293" s="675"/>
      <c r="AC293" s="675"/>
      <c r="AD293" s="680"/>
      <c r="AE293" s="675"/>
      <c r="AF293" s="537" t="s">
        <v>8095</v>
      </c>
      <c r="AG293" s="675"/>
      <c r="AI293" s="675"/>
    </row>
    <row r="294" spans="1:35" s="536" customFormat="1" ht="12" x14ac:dyDescent="0.2">
      <c r="A294" s="1824" t="s">
        <v>3466</v>
      </c>
      <c r="B294" s="1825"/>
      <c r="C294" s="1825"/>
      <c r="D294" s="1825"/>
      <c r="E294" s="1825"/>
      <c r="F294" s="1825"/>
      <c r="G294" s="1825"/>
      <c r="H294" s="1825"/>
      <c r="I294" s="1825"/>
      <c r="J294" s="1825"/>
      <c r="K294" s="1825"/>
      <c r="L294" s="1825"/>
      <c r="M294" s="1825"/>
      <c r="N294" s="1826"/>
      <c r="V294" s="674" t="s">
        <v>3466</v>
      </c>
      <c r="W294" s="675"/>
      <c r="AC294" s="675"/>
      <c r="AD294" s="680"/>
      <c r="AE294" s="675"/>
      <c r="AG294" s="675"/>
      <c r="AI294" s="675"/>
    </row>
    <row r="295" spans="1:35" s="536" customFormat="1" ht="33.75" x14ac:dyDescent="0.2">
      <c r="A295" s="575" t="s">
        <v>922</v>
      </c>
      <c r="B295" s="670" t="s">
        <v>3467</v>
      </c>
      <c r="C295" s="1823" t="s">
        <v>3468</v>
      </c>
      <c r="D295" s="1823"/>
      <c r="E295" s="1823"/>
      <c r="F295" s="573" t="s">
        <v>617</v>
      </c>
      <c r="G295" s="573"/>
      <c r="H295" s="573"/>
      <c r="I295" s="573" t="s">
        <v>185</v>
      </c>
      <c r="J295" s="572"/>
      <c r="K295" s="573"/>
      <c r="L295" s="572"/>
      <c r="M295" s="571"/>
      <c r="N295" s="570"/>
      <c r="V295" s="674"/>
      <c r="W295" s="675" t="s">
        <v>3468</v>
      </c>
      <c r="AC295" s="675"/>
      <c r="AD295" s="680"/>
      <c r="AE295" s="675"/>
      <c r="AG295" s="675"/>
      <c r="AI295" s="675"/>
    </row>
    <row r="296" spans="1:35" s="536" customFormat="1" ht="22.5" x14ac:dyDescent="0.2">
      <c r="A296" s="609"/>
      <c r="B296" s="552" t="s">
        <v>2045</v>
      </c>
      <c r="C296" s="1822" t="s">
        <v>3469</v>
      </c>
      <c r="D296" s="1822"/>
      <c r="E296" s="1822"/>
      <c r="F296" s="1822"/>
      <c r="G296" s="1822"/>
      <c r="H296" s="1822"/>
      <c r="I296" s="1822"/>
      <c r="J296" s="1822"/>
      <c r="K296" s="1822"/>
      <c r="L296" s="1822"/>
      <c r="M296" s="1822"/>
      <c r="N296" s="1827"/>
      <c r="V296" s="674"/>
      <c r="W296" s="675"/>
      <c r="Y296" s="537" t="s">
        <v>3469</v>
      </c>
      <c r="AC296" s="675"/>
      <c r="AD296" s="680"/>
      <c r="AE296" s="675"/>
      <c r="AG296" s="675"/>
      <c r="AI296" s="675"/>
    </row>
    <row r="297" spans="1:35" s="536" customFormat="1" ht="33.75" x14ac:dyDescent="0.2">
      <c r="A297" s="609"/>
      <c r="B297" s="552" t="s">
        <v>310</v>
      </c>
      <c r="C297" s="1822" t="s">
        <v>311</v>
      </c>
      <c r="D297" s="1822"/>
      <c r="E297" s="1822"/>
      <c r="F297" s="1822"/>
      <c r="G297" s="1822"/>
      <c r="H297" s="1822"/>
      <c r="I297" s="1822"/>
      <c r="J297" s="1822"/>
      <c r="K297" s="1822"/>
      <c r="L297" s="1822"/>
      <c r="M297" s="1822"/>
      <c r="N297" s="1827"/>
      <c r="V297" s="674"/>
      <c r="W297" s="675"/>
      <c r="Y297" s="537" t="s">
        <v>311</v>
      </c>
      <c r="AC297" s="675"/>
      <c r="AD297" s="680"/>
      <c r="AE297" s="675"/>
      <c r="AG297" s="675"/>
      <c r="AI297" s="675"/>
    </row>
    <row r="298" spans="1:35" s="536" customFormat="1" ht="12" x14ac:dyDescent="0.2">
      <c r="A298" s="605"/>
      <c r="B298" s="552" t="s">
        <v>185</v>
      </c>
      <c r="C298" s="1822" t="s">
        <v>312</v>
      </c>
      <c r="D298" s="1822"/>
      <c r="E298" s="1822"/>
      <c r="F298" s="562"/>
      <c r="G298" s="562"/>
      <c r="H298" s="562"/>
      <c r="I298" s="562"/>
      <c r="J298" s="604">
        <v>541.62</v>
      </c>
      <c r="K298" s="562" t="s">
        <v>3470</v>
      </c>
      <c r="L298" s="604">
        <v>751.5</v>
      </c>
      <c r="M298" s="603"/>
      <c r="N298" s="602"/>
      <c r="V298" s="674"/>
      <c r="W298" s="675"/>
      <c r="Z298" s="537" t="s">
        <v>312</v>
      </c>
      <c r="AC298" s="675"/>
      <c r="AD298" s="680"/>
      <c r="AE298" s="675"/>
      <c r="AG298" s="675"/>
      <c r="AI298" s="675"/>
    </row>
    <row r="299" spans="1:35" s="536" customFormat="1" ht="12" x14ac:dyDescent="0.2">
      <c r="A299" s="605"/>
      <c r="B299" s="552" t="s">
        <v>186</v>
      </c>
      <c r="C299" s="1822" t="s">
        <v>344</v>
      </c>
      <c r="D299" s="1822"/>
      <c r="E299" s="1822"/>
      <c r="F299" s="562"/>
      <c r="G299" s="562"/>
      <c r="H299" s="562"/>
      <c r="I299" s="562"/>
      <c r="J299" s="604">
        <v>565.75</v>
      </c>
      <c r="K299" s="562" t="s">
        <v>3470</v>
      </c>
      <c r="L299" s="604">
        <v>784.98</v>
      </c>
      <c r="M299" s="603"/>
      <c r="N299" s="602"/>
      <c r="V299" s="674"/>
      <c r="W299" s="675"/>
      <c r="Z299" s="537" t="s">
        <v>344</v>
      </c>
      <c r="AC299" s="675"/>
      <c r="AD299" s="680"/>
      <c r="AE299" s="675"/>
      <c r="AG299" s="675"/>
      <c r="AI299" s="675"/>
    </row>
    <row r="300" spans="1:35" s="536" customFormat="1" ht="12" x14ac:dyDescent="0.2">
      <c r="A300" s="605"/>
      <c r="B300" s="552" t="s">
        <v>187</v>
      </c>
      <c r="C300" s="1822" t="s">
        <v>345</v>
      </c>
      <c r="D300" s="1822"/>
      <c r="E300" s="1822"/>
      <c r="F300" s="562"/>
      <c r="G300" s="562"/>
      <c r="H300" s="562"/>
      <c r="I300" s="562"/>
      <c r="J300" s="604">
        <v>64.06</v>
      </c>
      <c r="K300" s="562" t="s">
        <v>3470</v>
      </c>
      <c r="L300" s="604">
        <v>88.88</v>
      </c>
      <c r="M300" s="603"/>
      <c r="N300" s="602"/>
      <c r="V300" s="674"/>
      <c r="W300" s="675"/>
      <c r="Z300" s="537" t="s">
        <v>345</v>
      </c>
      <c r="AC300" s="675"/>
      <c r="AD300" s="680"/>
      <c r="AE300" s="675"/>
      <c r="AG300" s="675"/>
      <c r="AI300" s="675"/>
    </row>
    <row r="301" spans="1:35" s="536" customFormat="1" ht="12" x14ac:dyDescent="0.2">
      <c r="A301" s="605"/>
      <c r="B301" s="552" t="s">
        <v>188</v>
      </c>
      <c r="C301" s="1822" t="s">
        <v>475</v>
      </c>
      <c r="D301" s="1822"/>
      <c r="E301" s="1822"/>
      <c r="F301" s="562"/>
      <c r="G301" s="562"/>
      <c r="H301" s="562"/>
      <c r="I301" s="562"/>
      <c r="J301" s="604">
        <v>1282.78</v>
      </c>
      <c r="K301" s="562" t="s">
        <v>3165</v>
      </c>
      <c r="L301" s="604">
        <v>1423.89</v>
      </c>
      <c r="M301" s="603"/>
      <c r="N301" s="602"/>
      <c r="V301" s="674"/>
      <c r="W301" s="675"/>
      <c r="Z301" s="537" t="s">
        <v>475</v>
      </c>
      <c r="AC301" s="675"/>
      <c r="AD301" s="680"/>
      <c r="AE301" s="675"/>
      <c r="AG301" s="675"/>
      <c r="AI301" s="675"/>
    </row>
    <row r="302" spans="1:35" s="536" customFormat="1" ht="12" x14ac:dyDescent="0.2">
      <c r="A302" s="605"/>
      <c r="B302" s="552"/>
      <c r="C302" s="1822" t="s">
        <v>314</v>
      </c>
      <c r="D302" s="1822"/>
      <c r="E302" s="1822"/>
      <c r="F302" s="562" t="s">
        <v>315</v>
      </c>
      <c r="G302" s="562" t="s">
        <v>792</v>
      </c>
      <c r="H302" s="562" t="s">
        <v>3470</v>
      </c>
      <c r="I302" s="562" t="s">
        <v>3471</v>
      </c>
      <c r="J302" s="604"/>
      <c r="K302" s="562"/>
      <c r="L302" s="604"/>
      <c r="M302" s="603"/>
      <c r="N302" s="602"/>
      <c r="V302" s="674"/>
      <c r="W302" s="675"/>
      <c r="AA302" s="537" t="s">
        <v>314</v>
      </c>
      <c r="AC302" s="675"/>
      <c r="AD302" s="680"/>
      <c r="AE302" s="675"/>
      <c r="AG302" s="675"/>
      <c r="AI302" s="675"/>
    </row>
    <row r="303" spans="1:35" s="536" customFormat="1" ht="12" x14ac:dyDescent="0.2">
      <c r="A303" s="605"/>
      <c r="B303" s="552"/>
      <c r="C303" s="1822" t="s">
        <v>348</v>
      </c>
      <c r="D303" s="1822"/>
      <c r="E303" s="1822"/>
      <c r="F303" s="562" t="s">
        <v>315</v>
      </c>
      <c r="G303" s="562" t="s">
        <v>3472</v>
      </c>
      <c r="H303" s="562" t="s">
        <v>3470</v>
      </c>
      <c r="I303" s="562" t="s">
        <v>3473</v>
      </c>
      <c r="J303" s="604"/>
      <c r="K303" s="562"/>
      <c r="L303" s="604"/>
      <c r="M303" s="603"/>
      <c r="N303" s="602"/>
      <c r="V303" s="674"/>
      <c r="W303" s="675"/>
      <c r="AA303" s="537" t="s">
        <v>348</v>
      </c>
      <c r="AC303" s="675"/>
      <c r="AD303" s="680"/>
      <c r="AE303" s="675"/>
      <c r="AG303" s="675"/>
      <c r="AI303" s="675"/>
    </row>
    <row r="304" spans="1:35" s="536" customFormat="1" ht="12" x14ac:dyDescent="0.2">
      <c r="A304" s="605"/>
      <c r="B304" s="552"/>
      <c r="C304" s="1828" t="s">
        <v>318</v>
      </c>
      <c r="D304" s="1828"/>
      <c r="E304" s="1828"/>
      <c r="F304" s="608"/>
      <c r="G304" s="608"/>
      <c r="H304" s="608"/>
      <c r="I304" s="608"/>
      <c r="J304" s="607">
        <v>2390.15</v>
      </c>
      <c r="K304" s="608"/>
      <c r="L304" s="607">
        <v>2960.37</v>
      </c>
      <c r="M304" s="601"/>
      <c r="N304" s="606"/>
      <c r="V304" s="674"/>
      <c r="W304" s="675"/>
      <c r="AB304" s="537" t="s">
        <v>318</v>
      </c>
      <c r="AC304" s="675"/>
      <c r="AD304" s="680"/>
      <c r="AE304" s="675"/>
      <c r="AG304" s="675"/>
      <c r="AI304" s="675"/>
    </row>
    <row r="305" spans="1:35" s="536" customFormat="1" ht="12" x14ac:dyDescent="0.2">
      <c r="A305" s="605"/>
      <c r="B305" s="552"/>
      <c r="C305" s="1822" t="s">
        <v>319</v>
      </c>
      <c r="D305" s="1822"/>
      <c r="E305" s="1822"/>
      <c r="F305" s="562"/>
      <c r="G305" s="562"/>
      <c r="H305" s="562"/>
      <c r="I305" s="562"/>
      <c r="J305" s="604"/>
      <c r="K305" s="562"/>
      <c r="L305" s="604">
        <v>840.38</v>
      </c>
      <c r="M305" s="603"/>
      <c r="N305" s="602"/>
      <c r="V305" s="674"/>
      <c r="W305" s="675"/>
      <c r="AA305" s="537" t="s">
        <v>319</v>
      </c>
      <c r="AC305" s="675"/>
      <c r="AD305" s="680"/>
      <c r="AE305" s="675"/>
      <c r="AG305" s="675"/>
      <c r="AI305" s="675"/>
    </row>
    <row r="306" spans="1:35" s="536" customFormat="1" ht="33.75" x14ac:dyDescent="0.2">
      <c r="A306" s="605"/>
      <c r="B306" s="552" t="s">
        <v>2050</v>
      </c>
      <c r="C306" s="1822" t="s">
        <v>2051</v>
      </c>
      <c r="D306" s="1822"/>
      <c r="E306" s="1822"/>
      <c r="F306" s="562" t="s">
        <v>322</v>
      </c>
      <c r="G306" s="562" t="s">
        <v>462</v>
      </c>
      <c r="H306" s="562"/>
      <c r="I306" s="562" t="s">
        <v>462</v>
      </c>
      <c r="J306" s="604"/>
      <c r="K306" s="562"/>
      <c r="L306" s="604">
        <v>773.15</v>
      </c>
      <c r="M306" s="603"/>
      <c r="N306" s="602"/>
      <c r="V306" s="674"/>
      <c r="W306" s="675"/>
      <c r="AA306" s="537" t="s">
        <v>2051</v>
      </c>
      <c r="AC306" s="675"/>
      <c r="AD306" s="680"/>
      <c r="AE306" s="675"/>
      <c r="AG306" s="675"/>
      <c r="AI306" s="675"/>
    </row>
    <row r="307" spans="1:35" s="536" customFormat="1" ht="33.75" x14ac:dyDescent="0.2">
      <c r="A307" s="605"/>
      <c r="B307" s="552" t="s">
        <v>2052</v>
      </c>
      <c r="C307" s="1822" t="s">
        <v>2053</v>
      </c>
      <c r="D307" s="1822"/>
      <c r="E307" s="1822"/>
      <c r="F307" s="562" t="s">
        <v>322</v>
      </c>
      <c r="G307" s="562" t="s">
        <v>784</v>
      </c>
      <c r="H307" s="562"/>
      <c r="I307" s="562" t="s">
        <v>784</v>
      </c>
      <c r="J307" s="604"/>
      <c r="K307" s="562"/>
      <c r="L307" s="604">
        <v>411.79</v>
      </c>
      <c r="M307" s="603"/>
      <c r="N307" s="602"/>
      <c r="V307" s="674"/>
      <c r="W307" s="675"/>
      <c r="AA307" s="537" t="s">
        <v>2053</v>
      </c>
      <c r="AC307" s="675"/>
      <c r="AD307" s="680"/>
      <c r="AE307" s="675"/>
      <c r="AG307" s="675"/>
      <c r="AI307" s="675"/>
    </row>
    <row r="308" spans="1:35" s="536" customFormat="1" ht="12" x14ac:dyDescent="0.2">
      <c r="A308" s="569"/>
      <c r="B308" s="671"/>
      <c r="C308" s="1823" t="s">
        <v>327</v>
      </c>
      <c r="D308" s="1823"/>
      <c r="E308" s="1823"/>
      <c r="F308" s="573"/>
      <c r="G308" s="573"/>
      <c r="H308" s="573"/>
      <c r="I308" s="573"/>
      <c r="J308" s="572"/>
      <c r="K308" s="573"/>
      <c r="L308" s="572">
        <v>4145.3100000000004</v>
      </c>
      <c r="M308" s="601"/>
      <c r="N308" s="570"/>
      <c r="V308" s="674"/>
      <c r="W308" s="675"/>
      <c r="AC308" s="675" t="s">
        <v>327</v>
      </c>
      <c r="AD308" s="680"/>
      <c r="AE308" s="675"/>
      <c r="AG308" s="675"/>
      <c r="AI308" s="675"/>
    </row>
    <row r="309" spans="1:35" s="536" customFormat="1" ht="33.75" x14ac:dyDescent="0.2">
      <c r="A309" s="575" t="s">
        <v>765</v>
      </c>
      <c r="B309" s="670" t="s">
        <v>2043</v>
      </c>
      <c r="C309" s="1823" t="s">
        <v>2044</v>
      </c>
      <c r="D309" s="1823"/>
      <c r="E309" s="1823"/>
      <c r="F309" s="573" t="s">
        <v>617</v>
      </c>
      <c r="G309" s="573"/>
      <c r="H309" s="573"/>
      <c r="I309" s="573" t="s">
        <v>186</v>
      </c>
      <c r="J309" s="572"/>
      <c r="K309" s="573"/>
      <c r="L309" s="572"/>
      <c r="M309" s="571"/>
      <c r="N309" s="570"/>
      <c r="V309" s="674"/>
      <c r="W309" s="675" t="s">
        <v>2044</v>
      </c>
      <c r="AC309" s="675"/>
      <c r="AD309" s="680"/>
      <c r="AE309" s="675"/>
      <c r="AG309" s="675"/>
      <c r="AI309" s="675"/>
    </row>
    <row r="310" spans="1:35" s="536" customFormat="1" ht="22.5" x14ac:dyDescent="0.2">
      <c r="A310" s="609"/>
      <c r="B310" s="552" t="s">
        <v>2045</v>
      </c>
      <c r="C310" s="1822" t="s">
        <v>3474</v>
      </c>
      <c r="D310" s="1822"/>
      <c r="E310" s="1822"/>
      <c r="F310" s="1822"/>
      <c r="G310" s="1822"/>
      <c r="H310" s="1822"/>
      <c r="I310" s="1822"/>
      <c r="J310" s="1822"/>
      <c r="K310" s="1822"/>
      <c r="L310" s="1822"/>
      <c r="M310" s="1822"/>
      <c r="N310" s="1827"/>
      <c r="V310" s="674"/>
      <c r="W310" s="675"/>
      <c r="Y310" s="537" t="s">
        <v>3474</v>
      </c>
      <c r="AC310" s="675"/>
      <c r="AD310" s="680"/>
      <c r="AE310" s="675"/>
      <c r="AG310" s="675"/>
      <c r="AI310" s="675"/>
    </row>
    <row r="311" spans="1:35" s="536" customFormat="1" ht="33.75" x14ac:dyDescent="0.2">
      <c r="A311" s="609"/>
      <c r="B311" s="552" t="s">
        <v>310</v>
      </c>
      <c r="C311" s="1822" t="s">
        <v>311</v>
      </c>
      <c r="D311" s="1822"/>
      <c r="E311" s="1822"/>
      <c r="F311" s="1822"/>
      <c r="G311" s="1822"/>
      <c r="H311" s="1822"/>
      <c r="I311" s="1822"/>
      <c r="J311" s="1822"/>
      <c r="K311" s="1822"/>
      <c r="L311" s="1822"/>
      <c r="M311" s="1822"/>
      <c r="N311" s="1827"/>
      <c r="V311" s="674"/>
      <c r="W311" s="675"/>
      <c r="Y311" s="537" t="s">
        <v>311</v>
      </c>
      <c r="AC311" s="675"/>
      <c r="AD311" s="680"/>
      <c r="AE311" s="675"/>
      <c r="AG311" s="675"/>
      <c r="AI311" s="675"/>
    </row>
    <row r="312" spans="1:35" s="536" customFormat="1" ht="12" x14ac:dyDescent="0.2">
      <c r="A312" s="605"/>
      <c r="B312" s="552" t="s">
        <v>185</v>
      </c>
      <c r="C312" s="1822" t="s">
        <v>312</v>
      </c>
      <c r="D312" s="1822"/>
      <c r="E312" s="1822"/>
      <c r="F312" s="562"/>
      <c r="G312" s="562"/>
      <c r="H312" s="562"/>
      <c r="I312" s="562"/>
      <c r="J312" s="604">
        <v>679.32</v>
      </c>
      <c r="K312" s="562" t="s">
        <v>1520</v>
      </c>
      <c r="L312" s="604">
        <v>2037.96</v>
      </c>
      <c r="M312" s="603"/>
      <c r="N312" s="602"/>
      <c r="V312" s="674"/>
      <c r="W312" s="675"/>
      <c r="Z312" s="537" t="s">
        <v>312</v>
      </c>
      <c r="AC312" s="675"/>
      <c r="AD312" s="680"/>
      <c r="AE312" s="675"/>
      <c r="AG312" s="675"/>
      <c r="AI312" s="675"/>
    </row>
    <row r="313" spans="1:35" s="536" customFormat="1" ht="12" x14ac:dyDescent="0.2">
      <c r="A313" s="605"/>
      <c r="B313" s="552" t="s">
        <v>186</v>
      </c>
      <c r="C313" s="1822" t="s">
        <v>344</v>
      </c>
      <c r="D313" s="1822"/>
      <c r="E313" s="1822"/>
      <c r="F313" s="562"/>
      <c r="G313" s="562"/>
      <c r="H313" s="562"/>
      <c r="I313" s="562"/>
      <c r="J313" s="604">
        <v>600.70000000000005</v>
      </c>
      <c r="K313" s="562" t="s">
        <v>1520</v>
      </c>
      <c r="L313" s="604">
        <v>1802.1</v>
      </c>
      <c r="M313" s="603"/>
      <c r="N313" s="602"/>
      <c r="V313" s="674"/>
      <c r="W313" s="675"/>
      <c r="Z313" s="537" t="s">
        <v>344</v>
      </c>
      <c r="AC313" s="675"/>
      <c r="AD313" s="680"/>
      <c r="AE313" s="675"/>
      <c r="AG313" s="675"/>
      <c r="AI313" s="675"/>
    </row>
    <row r="314" spans="1:35" s="536" customFormat="1" ht="12" x14ac:dyDescent="0.2">
      <c r="A314" s="605"/>
      <c r="B314" s="552" t="s">
        <v>187</v>
      </c>
      <c r="C314" s="1822" t="s">
        <v>345</v>
      </c>
      <c r="D314" s="1822"/>
      <c r="E314" s="1822"/>
      <c r="F314" s="562"/>
      <c r="G314" s="562"/>
      <c r="H314" s="562"/>
      <c r="I314" s="562"/>
      <c r="J314" s="604">
        <v>69.08</v>
      </c>
      <c r="K314" s="562" t="s">
        <v>1520</v>
      </c>
      <c r="L314" s="604">
        <v>207.24</v>
      </c>
      <c r="M314" s="603"/>
      <c r="N314" s="602"/>
      <c r="V314" s="674"/>
      <c r="W314" s="675"/>
      <c r="Z314" s="537" t="s">
        <v>345</v>
      </c>
      <c r="AC314" s="675"/>
      <c r="AD314" s="680"/>
      <c r="AE314" s="675"/>
      <c r="AG314" s="675"/>
      <c r="AI314" s="675"/>
    </row>
    <row r="315" spans="1:35" s="536" customFormat="1" ht="12" x14ac:dyDescent="0.2">
      <c r="A315" s="605"/>
      <c r="B315" s="552" t="s">
        <v>188</v>
      </c>
      <c r="C315" s="1822" t="s">
        <v>475</v>
      </c>
      <c r="D315" s="1822"/>
      <c r="E315" s="1822"/>
      <c r="F315" s="562"/>
      <c r="G315" s="562"/>
      <c r="H315" s="562"/>
      <c r="I315" s="562"/>
      <c r="J315" s="604">
        <v>1285.54</v>
      </c>
      <c r="K315" s="562" t="s">
        <v>1908</v>
      </c>
      <c r="L315" s="604">
        <v>3085.3</v>
      </c>
      <c r="M315" s="603"/>
      <c r="N315" s="602"/>
      <c r="V315" s="674"/>
      <c r="W315" s="675"/>
      <c r="Z315" s="537" t="s">
        <v>475</v>
      </c>
      <c r="AC315" s="675"/>
      <c r="AD315" s="680"/>
      <c r="AE315" s="675"/>
      <c r="AG315" s="675"/>
      <c r="AI315" s="675"/>
    </row>
    <row r="316" spans="1:35" s="536" customFormat="1" ht="12" x14ac:dyDescent="0.2">
      <c r="A316" s="605"/>
      <c r="B316" s="552"/>
      <c r="C316" s="1822" t="s">
        <v>314</v>
      </c>
      <c r="D316" s="1822"/>
      <c r="E316" s="1822"/>
      <c r="F316" s="562" t="s">
        <v>315</v>
      </c>
      <c r="G316" s="562" t="s">
        <v>538</v>
      </c>
      <c r="H316" s="562" t="s">
        <v>1520</v>
      </c>
      <c r="I316" s="562" t="s">
        <v>3475</v>
      </c>
      <c r="J316" s="604"/>
      <c r="K316" s="562"/>
      <c r="L316" s="604"/>
      <c r="M316" s="603"/>
      <c r="N316" s="602"/>
      <c r="V316" s="674"/>
      <c r="W316" s="675"/>
      <c r="AA316" s="537" t="s">
        <v>314</v>
      </c>
      <c r="AC316" s="675"/>
      <c r="AD316" s="680"/>
      <c r="AE316" s="675"/>
      <c r="AG316" s="675"/>
      <c r="AI316" s="675"/>
    </row>
    <row r="317" spans="1:35" s="536" customFormat="1" ht="12" x14ac:dyDescent="0.2">
      <c r="A317" s="605"/>
      <c r="B317" s="552"/>
      <c r="C317" s="1822" t="s">
        <v>348</v>
      </c>
      <c r="D317" s="1822"/>
      <c r="E317" s="1822"/>
      <c r="F317" s="562" t="s">
        <v>315</v>
      </c>
      <c r="G317" s="562" t="s">
        <v>1230</v>
      </c>
      <c r="H317" s="562" t="s">
        <v>1520</v>
      </c>
      <c r="I317" s="562" t="s">
        <v>3476</v>
      </c>
      <c r="J317" s="604"/>
      <c r="K317" s="562"/>
      <c r="L317" s="604"/>
      <c r="M317" s="603"/>
      <c r="N317" s="602"/>
      <c r="V317" s="674"/>
      <c r="W317" s="675"/>
      <c r="AA317" s="537" t="s">
        <v>348</v>
      </c>
      <c r="AC317" s="675"/>
      <c r="AD317" s="680"/>
      <c r="AE317" s="675"/>
      <c r="AG317" s="675"/>
      <c r="AI317" s="675"/>
    </row>
    <row r="318" spans="1:35" s="536" customFormat="1" ht="12" x14ac:dyDescent="0.2">
      <c r="A318" s="605"/>
      <c r="B318" s="552"/>
      <c r="C318" s="1828" t="s">
        <v>318</v>
      </c>
      <c r="D318" s="1828"/>
      <c r="E318" s="1828"/>
      <c r="F318" s="608"/>
      <c r="G318" s="608"/>
      <c r="H318" s="608"/>
      <c r="I318" s="608"/>
      <c r="J318" s="607">
        <v>2565.56</v>
      </c>
      <c r="K318" s="608"/>
      <c r="L318" s="607">
        <v>6925.36</v>
      </c>
      <c r="M318" s="601"/>
      <c r="N318" s="606"/>
      <c r="V318" s="674"/>
      <c r="W318" s="675"/>
      <c r="AB318" s="537" t="s">
        <v>318</v>
      </c>
      <c r="AC318" s="675"/>
      <c r="AD318" s="680"/>
      <c r="AE318" s="675"/>
      <c r="AG318" s="675"/>
      <c r="AI318" s="675"/>
    </row>
    <row r="319" spans="1:35" s="536" customFormat="1" ht="12" x14ac:dyDescent="0.2">
      <c r="A319" s="605"/>
      <c r="B319" s="552"/>
      <c r="C319" s="1822" t="s">
        <v>319</v>
      </c>
      <c r="D319" s="1822"/>
      <c r="E319" s="1822"/>
      <c r="F319" s="562"/>
      <c r="G319" s="562"/>
      <c r="H319" s="562"/>
      <c r="I319" s="562"/>
      <c r="J319" s="604"/>
      <c r="K319" s="562"/>
      <c r="L319" s="604">
        <v>2245.1999999999998</v>
      </c>
      <c r="M319" s="603"/>
      <c r="N319" s="602"/>
      <c r="V319" s="674"/>
      <c r="W319" s="675"/>
      <c r="AA319" s="537" t="s">
        <v>319</v>
      </c>
      <c r="AC319" s="675"/>
      <c r="AD319" s="680"/>
      <c r="AE319" s="675"/>
      <c r="AG319" s="675"/>
      <c r="AI319" s="675"/>
    </row>
    <row r="320" spans="1:35" s="536" customFormat="1" ht="33.75" x14ac:dyDescent="0.2">
      <c r="A320" s="605"/>
      <c r="B320" s="552" t="s">
        <v>2050</v>
      </c>
      <c r="C320" s="1822" t="s">
        <v>2051</v>
      </c>
      <c r="D320" s="1822"/>
      <c r="E320" s="1822"/>
      <c r="F320" s="562" t="s">
        <v>322</v>
      </c>
      <c r="G320" s="562" t="s">
        <v>462</v>
      </c>
      <c r="H320" s="562"/>
      <c r="I320" s="562" t="s">
        <v>462</v>
      </c>
      <c r="J320" s="604"/>
      <c r="K320" s="562"/>
      <c r="L320" s="604">
        <v>2065.58</v>
      </c>
      <c r="M320" s="603"/>
      <c r="N320" s="602"/>
      <c r="V320" s="674"/>
      <c r="W320" s="675"/>
      <c r="AA320" s="537" t="s">
        <v>2051</v>
      </c>
      <c r="AC320" s="675"/>
      <c r="AD320" s="680"/>
      <c r="AE320" s="675"/>
      <c r="AG320" s="675"/>
      <c r="AI320" s="675"/>
    </row>
    <row r="321" spans="1:35" s="536" customFormat="1" ht="33.75" x14ac:dyDescent="0.2">
      <c r="A321" s="605"/>
      <c r="B321" s="552" t="s">
        <v>2052</v>
      </c>
      <c r="C321" s="1822" t="s">
        <v>2053</v>
      </c>
      <c r="D321" s="1822"/>
      <c r="E321" s="1822"/>
      <c r="F321" s="562" t="s">
        <v>322</v>
      </c>
      <c r="G321" s="562" t="s">
        <v>784</v>
      </c>
      <c r="H321" s="562"/>
      <c r="I321" s="562" t="s">
        <v>784</v>
      </c>
      <c r="J321" s="604"/>
      <c r="K321" s="562"/>
      <c r="L321" s="604">
        <v>1100.1500000000001</v>
      </c>
      <c r="M321" s="603"/>
      <c r="N321" s="602"/>
      <c r="V321" s="674"/>
      <c r="W321" s="675"/>
      <c r="AA321" s="537" t="s">
        <v>2053</v>
      </c>
      <c r="AC321" s="675"/>
      <c r="AD321" s="680"/>
      <c r="AE321" s="675"/>
      <c r="AG321" s="675"/>
      <c r="AI321" s="675"/>
    </row>
    <row r="322" spans="1:35" s="536" customFormat="1" ht="12" x14ac:dyDescent="0.2">
      <c r="A322" s="569"/>
      <c r="B322" s="671"/>
      <c r="C322" s="1823" t="s">
        <v>327</v>
      </c>
      <c r="D322" s="1823"/>
      <c r="E322" s="1823"/>
      <c r="F322" s="573"/>
      <c r="G322" s="573"/>
      <c r="H322" s="573"/>
      <c r="I322" s="573"/>
      <c r="J322" s="572"/>
      <c r="K322" s="573"/>
      <c r="L322" s="572">
        <v>10091.09</v>
      </c>
      <c r="M322" s="601"/>
      <c r="N322" s="570"/>
      <c r="V322" s="674"/>
      <c r="W322" s="675"/>
      <c r="AC322" s="675" t="s">
        <v>327</v>
      </c>
      <c r="AD322" s="680"/>
      <c r="AE322" s="675"/>
      <c r="AG322" s="675"/>
      <c r="AI322" s="675"/>
    </row>
    <row r="323" spans="1:35" s="536" customFormat="1" ht="33.75" x14ac:dyDescent="0.2">
      <c r="A323" s="575" t="s">
        <v>766</v>
      </c>
      <c r="B323" s="670" t="s">
        <v>3477</v>
      </c>
      <c r="C323" s="1823" t="s">
        <v>3478</v>
      </c>
      <c r="D323" s="1823"/>
      <c r="E323" s="1823"/>
      <c r="F323" s="573" t="s">
        <v>1236</v>
      </c>
      <c r="G323" s="573"/>
      <c r="H323" s="573"/>
      <c r="I323" s="573" t="s">
        <v>185</v>
      </c>
      <c r="J323" s="572">
        <v>2487333.33</v>
      </c>
      <c r="K323" s="573" t="s">
        <v>629</v>
      </c>
      <c r="L323" s="572">
        <v>548405.44999999995</v>
      </c>
      <c r="M323" s="571">
        <v>4.59</v>
      </c>
      <c r="N323" s="570">
        <v>2517181</v>
      </c>
      <c r="V323" s="674"/>
      <c r="W323" s="675" t="s">
        <v>3478</v>
      </c>
      <c r="AC323" s="675"/>
      <c r="AD323" s="680"/>
      <c r="AE323" s="675"/>
      <c r="AG323" s="675"/>
      <c r="AI323" s="675"/>
    </row>
    <row r="324" spans="1:35" s="536" customFormat="1" ht="12" x14ac:dyDescent="0.2">
      <c r="A324" s="569"/>
      <c r="B324" s="671"/>
      <c r="C324" s="665" t="s">
        <v>630</v>
      </c>
      <c r="D324" s="666"/>
      <c r="E324" s="666"/>
      <c r="F324" s="563"/>
      <c r="G324" s="563"/>
      <c r="H324" s="563"/>
      <c r="I324" s="563"/>
      <c r="J324" s="566"/>
      <c r="K324" s="563"/>
      <c r="L324" s="566"/>
      <c r="M324" s="565"/>
      <c r="N324" s="564"/>
      <c r="V324" s="674"/>
      <c r="W324" s="675"/>
      <c r="AC324" s="675"/>
      <c r="AD324" s="680"/>
      <c r="AE324" s="675"/>
      <c r="AG324" s="675"/>
      <c r="AI324" s="675"/>
    </row>
    <row r="325" spans="1:35" s="536" customFormat="1" ht="12" x14ac:dyDescent="0.2">
      <c r="A325" s="609"/>
      <c r="B325" s="552" t="s">
        <v>3479</v>
      </c>
      <c r="C325" s="1822" t="s">
        <v>632</v>
      </c>
      <c r="D325" s="1822"/>
      <c r="E325" s="1822"/>
      <c r="F325" s="1822"/>
      <c r="G325" s="1822"/>
      <c r="H325" s="1822"/>
      <c r="I325" s="1822"/>
      <c r="J325" s="1822"/>
      <c r="K325" s="1822"/>
      <c r="L325" s="1822"/>
      <c r="M325" s="1822"/>
      <c r="N325" s="1827"/>
      <c r="V325" s="674"/>
      <c r="W325" s="675"/>
      <c r="Y325" s="537" t="s">
        <v>632</v>
      </c>
      <c r="AC325" s="675"/>
      <c r="AD325" s="680"/>
      <c r="AE325" s="675"/>
      <c r="AG325" s="675"/>
      <c r="AI325" s="675"/>
    </row>
    <row r="326" spans="1:35" s="536" customFormat="1" ht="1.5" customHeight="1" x14ac:dyDescent="0.2">
      <c r="A326" s="563"/>
      <c r="B326" s="671"/>
      <c r="C326" s="671"/>
      <c r="D326" s="671"/>
      <c r="E326" s="671"/>
      <c r="F326" s="563"/>
      <c r="G326" s="563"/>
      <c r="H326" s="563"/>
      <c r="I326" s="563"/>
      <c r="J326" s="546"/>
      <c r="K326" s="563"/>
      <c r="L326" s="546"/>
      <c r="M326" s="562"/>
      <c r="N326" s="546"/>
      <c r="V326" s="674"/>
      <c r="W326" s="675"/>
      <c r="AC326" s="675"/>
      <c r="AD326" s="680"/>
      <c r="AE326" s="675"/>
      <c r="AG326" s="675"/>
      <c r="AI326" s="675"/>
    </row>
    <row r="327" spans="1:35" s="536" customFormat="1" ht="12" x14ac:dyDescent="0.2">
      <c r="A327" s="557"/>
      <c r="B327" s="556"/>
      <c r="C327" s="1823" t="s">
        <v>3480</v>
      </c>
      <c r="D327" s="1823"/>
      <c r="E327" s="1823"/>
      <c r="F327" s="1823"/>
      <c r="G327" s="1823"/>
      <c r="H327" s="1823"/>
      <c r="I327" s="1823"/>
      <c r="J327" s="1823"/>
      <c r="K327" s="1823"/>
      <c r="L327" s="555"/>
      <c r="M327" s="554"/>
      <c r="N327" s="553"/>
      <c r="V327" s="674"/>
      <c r="W327" s="675"/>
      <c r="AC327" s="675"/>
      <c r="AD327" s="680"/>
      <c r="AE327" s="675" t="s">
        <v>3480</v>
      </c>
      <c r="AG327" s="675"/>
      <c r="AI327" s="675"/>
    </row>
    <row r="328" spans="1:35" s="536" customFormat="1" ht="12" x14ac:dyDescent="0.2">
      <c r="A328" s="548"/>
      <c r="B328" s="552"/>
      <c r="C328" s="1822" t="s">
        <v>403</v>
      </c>
      <c r="D328" s="1822"/>
      <c r="E328" s="1822"/>
      <c r="F328" s="1822"/>
      <c r="G328" s="1822"/>
      <c r="H328" s="1822"/>
      <c r="I328" s="1822"/>
      <c r="J328" s="1822"/>
      <c r="K328" s="1822"/>
      <c r="L328" s="551">
        <v>9885.73</v>
      </c>
      <c r="M328" s="550"/>
      <c r="N328" s="549"/>
      <c r="V328" s="674"/>
      <c r="W328" s="675"/>
      <c r="AC328" s="675"/>
      <c r="AD328" s="680"/>
      <c r="AE328" s="675"/>
      <c r="AF328" s="537" t="s">
        <v>403</v>
      </c>
      <c r="AG328" s="675"/>
      <c r="AI328" s="675"/>
    </row>
    <row r="329" spans="1:35" s="536" customFormat="1" ht="12" x14ac:dyDescent="0.2">
      <c r="A329" s="548"/>
      <c r="B329" s="552"/>
      <c r="C329" s="1822" t="s">
        <v>204</v>
      </c>
      <c r="D329" s="1822"/>
      <c r="E329" s="1822"/>
      <c r="F329" s="1822"/>
      <c r="G329" s="1822"/>
      <c r="H329" s="1822"/>
      <c r="I329" s="1822"/>
      <c r="J329" s="1822"/>
      <c r="K329" s="1822"/>
      <c r="L329" s="551"/>
      <c r="M329" s="550"/>
      <c r="N329" s="549"/>
      <c r="V329" s="674"/>
      <c r="W329" s="675"/>
      <c r="AC329" s="675"/>
      <c r="AD329" s="680"/>
      <c r="AE329" s="675"/>
      <c r="AF329" s="537" t="s">
        <v>204</v>
      </c>
      <c r="AG329" s="675"/>
      <c r="AI329" s="675"/>
    </row>
    <row r="330" spans="1:35" s="536" customFormat="1" ht="12" x14ac:dyDescent="0.2">
      <c r="A330" s="548"/>
      <c r="B330" s="552"/>
      <c r="C330" s="1822" t="s">
        <v>404</v>
      </c>
      <c r="D330" s="1822"/>
      <c r="E330" s="1822"/>
      <c r="F330" s="1822"/>
      <c r="G330" s="1822"/>
      <c r="H330" s="1822"/>
      <c r="I330" s="1822"/>
      <c r="J330" s="1822"/>
      <c r="K330" s="1822"/>
      <c r="L330" s="551">
        <v>2789.46</v>
      </c>
      <c r="M330" s="550"/>
      <c r="N330" s="549"/>
      <c r="V330" s="674"/>
      <c r="W330" s="675"/>
      <c r="AC330" s="675"/>
      <c r="AD330" s="680"/>
      <c r="AE330" s="675"/>
      <c r="AF330" s="537" t="s">
        <v>404</v>
      </c>
      <c r="AG330" s="675"/>
      <c r="AI330" s="675"/>
    </row>
    <row r="331" spans="1:35" s="536" customFormat="1" ht="12" x14ac:dyDescent="0.2">
      <c r="A331" s="548"/>
      <c r="B331" s="552"/>
      <c r="C331" s="1822" t="s">
        <v>405</v>
      </c>
      <c r="D331" s="1822"/>
      <c r="E331" s="1822"/>
      <c r="F331" s="1822"/>
      <c r="G331" s="1822"/>
      <c r="H331" s="1822"/>
      <c r="I331" s="1822"/>
      <c r="J331" s="1822"/>
      <c r="K331" s="1822"/>
      <c r="L331" s="551">
        <v>2587.08</v>
      </c>
      <c r="M331" s="550"/>
      <c r="N331" s="549"/>
      <c r="V331" s="674"/>
      <c r="W331" s="675"/>
      <c r="AC331" s="675"/>
      <c r="AD331" s="680"/>
      <c r="AE331" s="675"/>
      <c r="AF331" s="537" t="s">
        <v>405</v>
      </c>
      <c r="AG331" s="675"/>
      <c r="AI331" s="675"/>
    </row>
    <row r="332" spans="1:35" s="536" customFormat="1" ht="12" x14ac:dyDescent="0.2">
      <c r="A332" s="548"/>
      <c r="B332" s="552"/>
      <c r="C332" s="1822" t="s">
        <v>406</v>
      </c>
      <c r="D332" s="1822"/>
      <c r="E332" s="1822"/>
      <c r="F332" s="1822"/>
      <c r="G332" s="1822"/>
      <c r="H332" s="1822"/>
      <c r="I332" s="1822"/>
      <c r="J332" s="1822"/>
      <c r="K332" s="1822"/>
      <c r="L332" s="551">
        <v>296.12</v>
      </c>
      <c r="M332" s="550"/>
      <c r="N332" s="549"/>
      <c r="V332" s="674"/>
      <c r="W332" s="675"/>
      <c r="AC332" s="675"/>
      <c r="AD332" s="680"/>
      <c r="AE332" s="675"/>
      <c r="AF332" s="537" t="s">
        <v>406</v>
      </c>
      <c r="AG332" s="675"/>
      <c r="AI332" s="675"/>
    </row>
    <row r="333" spans="1:35" s="536" customFormat="1" ht="12" x14ac:dyDescent="0.2">
      <c r="A333" s="548"/>
      <c r="B333" s="552"/>
      <c r="C333" s="1822" t="s">
        <v>480</v>
      </c>
      <c r="D333" s="1822"/>
      <c r="E333" s="1822"/>
      <c r="F333" s="1822"/>
      <c r="G333" s="1822"/>
      <c r="H333" s="1822"/>
      <c r="I333" s="1822"/>
      <c r="J333" s="1822"/>
      <c r="K333" s="1822"/>
      <c r="L333" s="551">
        <v>4509.1899999999996</v>
      </c>
      <c r="M333" s="550"/>
      <c r="N333" s="549"/>
      <c r="V333" s="674"/>
      <c r="W333" s="675"/>
      <c r="AC333" s="675"/>
      <c r="AD333" s="680"/>
      <c r="AE333" s="675"/>
      <c r="AF333" s="537" t="s">
        <v>480</v>
      </c>
      <c r="AG333" s="675"/>
      <c r="AI333" s="675"/>
    </row>
    <row r="334" spans="1:35" s="536" customFormat="1" ht="12" x14ac:dyDescent="0.2">
      <c r="A334" s="548"/>
      <c r="B334" s="552"/>
      <c r="C334" s="1822" t="s">
        <v>753</v>
      </c>
      <c r="D334" s="1822"/>
      <c r="E334" s="1822"/>
      <c r="F334" s="1822"/>
      <c r="G334" s="1822"/>
      <c r="H334" s="1822"/>
      <c r="I334" s="1822"/>
      <c r="J334" s="1822"/>
      <c r="K334" s="1822"/>
      <c r="L334" s="551">
        <v>14236.4</v>
      </c>
      <c r="M334" s="550"/>
      <c r="N334" s="549"/>
      <c r="V334" s="674"/>
      <c r="W334" s="675"/>
      <c r="AC334" s="675"/>
      <c r="AD334" s="680"/>
      <c r="AE334" s="675"/>
      <c r="AF334" s="537" t="s">
        <v>753</v>
      </c>
      <c r="AG334" s="675"/>
      <c r="AI334" s="675"/>
    </row>
    <row r="335" spans="1:35" s="536" customFormat="1" ht="12" x14ac:dyDescent="0.2">
      <c r="A335" s="548"/>
      <c r="B335" s="552"/>
      <c r="C335" s="1822" t="s">
        <v>204</v>
      </c>
      <c r="D335" s="1822"/>
      <c r="E335" s="1822"/>
      <c r="F335" s="1822"/>
      <c r="G335" s="1822"/>
      <c r="H335" s="1822"/>
      <c r="I335" s="1822"/>
      <c r="J335" s="1822"/>
      <c r="K335" s="1822"/>
      <c r="L335" s="551"/>
      <c r="M335" s="550"/>
      <c r="N335" s="549"/>
      <c r="V335" s="674"/>
      <c r="W335" s="675"/>
      <c r="AC335" s="675"/>
      <c r="AD335" s="680"/>
      <c r="AE335" s="675"/>
      <c r="AF335" s="537" t="s">
        <v>204</v>
      </c>
      <c r="AG335" s="675"/>
      <c r="AI335" s="675"/>
    </row>
    <row r="336" spans="1:35" s="536" customFormat="1" ht="12" x14ac:dyDescent="0.2">
      <c r="A336" s="548"/>
      <c r="B336" s="552"/>
      <c r="C336" s="1822" t="s">
        <v>546</v>
      </c>
      <c r="D336" s="1822"/>
      <c r="E336" s="1822"/>
      <c r="F336" s="1822"/>
      <c r="G336" s="1822"/>
      <c r="H336" s="1822"/>
      <c r="I336" s="1822"/>
      <c r="J336" s="1822"/>
      <c r="K336" s="1822"/>
      <c r="L336" s="551">
        <v>2789.46</v>
      </c>
      <c r="M336" s="550"/>
      <c r="N336" s="549"/>
      <c r="V336" s="674"/>
      <c r="W336" s="675"/>
      <c r="AC336" s="675"/>
      <c r="AD336" s="680"/>
      <c r="AE336" s="675"/>
      <c r="AF336" s="537" t="s">
        <v>546</v>
      </c>
      <c r="AG336" s="675"/>
      <c r="AI336" s="675"/>
    </row>
    <row r="337" spans="1:35" s="536" customFormat="1" ht="12" x14ac:dyDescent="0.2">
      <c r="A337" s="548"/>
      <c r="B337" s="552"/>
      <c r="C337" s="1822" t="s">
        <v>442</v>
      </c>
      <c r="D337" s="1822"/>
      <c r="E337" s="1822"/>
      <c r="F337" s="1822"/>
      <c r="G337" s="1822"/>
      <c r="H337" s="1822"/>
      <c r="I337" s="1822"/>
      <c r="J337" s="1822"/>
      <c r="K337" s="1822"/>
      <c r="L337" s="551">
        <v>2587.08</v>
      </c>
      <c r="M337" s="550"/>
      <c r="N337" s="549"/>
      <c r="V337" s="674"/>
      <c r="W337" s="675"/>
      <c r="AC337" s="675"/>
      <c r="AD337" s="680"/>
      <c r="AE337" s="675"/>
      <c r="AF337" s="537" t="s">
        <v>442</v>
      </c>
      <c r="AG337" s="675"/>
      <c r="AI337" s="675"/>
    </row>
    <row r="338" spans="1:35" s="536" customFormat="1" ht="12" x14ac:dyDescent="0.2">
      <c r="A338" s="548"/>
      <c r="B338" s="552"/>
      <c r="C338" s="1822" t="s">
        <v>547</v>
      </c>
      <c r="D338" s="1822"/>
      <c r="E338" s="1822"/>
      <c r="F338" s="1822"/>
      <c r="G338" s="1822"/>
      <c r="H338" s="1822"/>
      <c r="I338" s="1822"/>
      <c r="J338" s="1822"/>
      <c r="K338" s="1822"/>
      <c r="L338" s="551">
        <v>4509.1899999999996</v>
      </c>
      <c r="M338" s="550"/>
      <c r="N338" s="549"/>
      <c r="V338" s="674"/>
      <c r="W338" s="675"/>
      <c r="AC338" s="675"/>
      <c r="AD338" s="680"/>
      <c r="AE338" s="675"/>
      <c r="AF338" s="537" t="s">
        <v>547</v>
      </c>
      <c r="AG338" s="675"/>
      <c r="AI338" s="675"/>
    </row>
    <row r="339" spans="1:35" s="536" customFormat="1" ht="12" x14ac:dyDescent="0.2">
      <c r="A339" s="548"/>
      <c r="B339" s="552"/>
      <c r="C339" s="1822" t="s">
        <v>443</v>
      </c>
      <c r="D339" s="1822"/>
      <c r="E339" s="1822"/>
      <c r="F339" s="1822"/>
      <c r="G339" s="1822"/>
      <c r="H339" s="1822"/>
      <c r="I339" s="1822"/>
      <c r="J339" s="1822"/>
      <c r="K339" s="1822"/>
      <c r="L339" s="551">
        <v>2838.73</v>
      </c>
      <c r="M339" s="550"/>
      <c r="N339" s="549"/>
      <c r="V339" s="674"/>
      <c r="W339" s="675"/>
      <c r="AC339" s="675"/>
      <c r="AD339" s="680"/>
      <c r="AE339" s="675"/>
      <c r="AF339" s="537" t="s">
        <v>443</v>
      </c>
      <c r="AG339" s="675"/>
      <c r="AI339" s="675"/>
    </row>
    <row r="340" spans="1:35" s="536" customFormat="1" ht="12" x14ac:dyDescent="0.2">
      <c r="A340" s="548"/>
      <c r="B340" s="552"/>
      <c r="C340" s="1822" t="s">
        <v>444</v>
      </c>
      <c r="D340" s="1822"/>
      <c r="E340" s="1822"/>
      <c r="F340" s="1822"/>
      <c r="G340" s="1822"/>
      <c r="H340" s="1822"/>
      <c r="I340" s="1822"/>
      <c r="J340" s="1822"/>
      <c r="K340" s="1822"/>
      <c r="L340" s="551">
        <v>1511.94</v>
      </c>
      <c r="M340" s="550"/>
      <c r="N340" s="549"/>
      <c r="V340" s="674"/>
      <c r="W340" s="675"/>
      <c r="AC340" s="675"/>
      <c r="AD340" s="680"/>
      <c r="AE340" s="675"/>
      <c r="AF340" s="537" t="s">
        <v>444</v>
      </c>
      <c r="AG340" s="675"/>
      <c r="AI340" s="675"/>
    </row>
    <row r="341" spans="1:35" s="536" customFormat="1" ht="12" x14ac:dyDescent="0.2">
      <c r="A341" s="548"/>
      <c r="B341" s="552"/>
      <c r="C341" s="1822" t="s">
        <v>754</v>
      </c>
      <c r="D341" s="1822"/>
      <c r="E341" s="1822"/>
      <c r="F341" s="1822"/>
      <c r="G341" s="1822"/>
      <c r="H341" s="1822"/>
      <c r="I341" s="1822"/>
      <c r="J341" s="1822"/>
      <c r="K341" s="1822"/>
      <c r="L341" s="551">
        <v>548405.44999999995</v>
      </c>
      <c r="M341" s="550"/>
      <c r="N341" s="549"/>
      <c r="V341" s="674"/>
      <c r="W341" s="675"/>
      <c r="AC341" s="675"/>
      <c r="AD341" s="680"/>
      <c r="AE341" s="675"/>
      <c r="AF341" s="537" t="s">
        <v>754</v>
      </c>
      <c r="AG341" s="675"/>
      <c r="AI341" s="675"/>
    </row>
    <row r="342" spans="1:35" s="536" customFormat="1" ht="12" x14ac:dyDescent="0.2">
      <c r="A342" s="548"/>
      <c r="B342" s="552"/>
      <c r="C342" s="1822" t="s">
        <v>415</v>
      </c>
      <c r="D342" s="1822"/>
      <c r="E342" s="1822"/>
      <c r="F342" s="1822"/>
      <c r="G342" s="1822"/>
      <c r="H342" s="1822"/>
      <c r="I342" s="1822"/>
      <c r="J342" s="1822"/>
      <c r="K342" s="1822"/>
      <c r="L342" s="551">
        <v>3085.58</v>
      </c>
      <c r="M342" s="550"/>
      <c r="N342" s="549"/>
      <c r="V342" s="674"/>
      <c r="W342" s="675"/>
      <c r="AC342" s="675"/>
      <c r="AD342" s="680"/>
      <c r="AE342" s="675"/>
      <c r="AF342" s="537" t="s">
        <v>415</v>
      </c>
      <c r="AG342" s="675"/>
      <c r="AI342" s="675"/>
    </row>
    <row r="343" spans="1:35" s="536" customFormat="1" ht="12" x14ac:dyDescent="0.2">
      <c r="A343" s="548"/>
      <c r="B343" s="552"/>
      <c r="C343" s="1822" t="s">
        <v>416</v>
      </c>
      <c r="D343" s="1822"/>
      <c r="E343" s="1822"/>
      <c r="F343" s="1822"/>
      <c r="G343" s="1822"/>
      <c r="H343" s="1822"/>
      <c r="I343" s="1822"/>
      <c r="J343" s="1822"/>
      <c r="K343" s="1822"/>
      <c r="L343" s="551">
        <v>2838.73</v>
      </c>
      <c r="M343" s="550"/>
      <c r="N343" s="549"/>
      <c r="V343" s="674"/>
      <c r="W343" s="675"/>
      <c r="AC343" s="675"/>
      <c r="AD343" s="680"/>
      <c r="AE343" s="675"/>
      <c r="AF343" s="537" t="s">
        <v>416</v>
      </c>
      <c r="AG343" s="675"/>
      <c r="AI343" s="675"/>
    </row>
    <row r="344" spans="1:35" s="536" customFormat="1" ht="12" x14ac:dyDescent="0.2">
      <c r="A344" s="548"/>
      <c r="B344" s="552"/>
      <c r="C344" s="1822" t="s">
        <v>417</v>
      </c>
      <c r="D344" s="1822"/>
      <c r="E344" s="1822"/>
      <c r="F344" s="1822"/>
      <c r="G344" s="1822"/>
      <c r="H344" s="1822"/>
      <c r="I344" s="1822"/>
      <c r="J344" s="1822"/>
      <c r="K344" s="1822"/>
      <c r="L344" s="551">
        <v>1511.94</v>
      </c>
      <c r="M344" s="550"/>
      <c r="N344" s="549"/>
      <c r="V344" s="674"/>
      <c r="W344" s="675"/>
      <c r="AC344" s="675"/>
      <c r="AD344" s="680"/>
      <c r="AE344" s="675"/>
      <c r="AF344" s="537" t="s">
        <v>417</v>
      </c>
      <c r="AG344" s="675"/>
      <c r="AI344" s="675"/>
    </row>
    <row r="345" spans="1:35" s="536" customFormat="1" ht="12" x14ac:dyDescent="0.2">
      <c r="A345" s="548"/>
      <c r="B345" s="546"/>
      <c r="C345" s="1819" t="s">
        <v>3481</v>
      </c>
      <c r="D345" s="1819"/>
      <c r="E345" s="1819"/>
      <c r="F345" s="1819"/>
      <c r="G345" s="1819"/>
      <c r="H345" s="1819"/>
      <c r="I345" s="1819"/>
      <c r="J345" s="1819"/>
      <c r="K345" s="1819"/>
      <c r="L345" s="544">
        <v>562641.85</v>
      </c>
      <c r="M345" s="543"/>
      <c r="N345" s="681"/>
      <c r="V345" s="674"/>
      <c r="W345" s="675"/>
      <c r="AC345" s="675"/>
      <c r="AD345" s="680"/>
      <c r="AE345" s="675"/>
      <c r="AG345" s="675" t="s">
        <v>3481</v>
      </c>
      <c r="AI345" s="675"/>
    </row>
    <row r="346" spans="1:35" s="536" customFormat="1" ht="12" x14ac:dyDescent="0.2">
      <c r="A346" s="548"/>
      <c r="B346" s="552"/>
      <c r="C346" s="1822" t="s">
        <v>204</v>
      </c>
      <c r="D346" s="1822"/>
      <c r="E346" s="1822"/>
      <c r="F346" s="1822"/>
      <c r="G346" s="1822"/>
      <c r="H346" s="1822"/>
      <c r="I346" s="1822"/>
      <c r="J346" s="1822"/>
      <c r="K346" s="1822"/>
      <c r="L346" s="551"/>
      <c r="M346" s="550"/>
      <c r="N346" s="549"/>
      <c r="V346" s="674"/>
      <c r="W346" s="675"/>
      <c r="AC346" s="675"/>
      <c r="AD346" s="680"/>
      <c r="AE346" s="675"/>
      <c r="AF346" s="537" t="s">
        <v>204</v>
      </c>
      <c r="AG346" s="675"/>
      <c r="AI346" s="675"/>
    </row>
    <row r="347" spans="1:35" s="536" customFormat="1" ht="12" x14ac:dyDescent="0.2">
      <c r="A347" s="548"/>
      <c r="B347" s="552"/>
      <c r="C347" s="1822" t="s">
        <v>8097</v>
      </c>
      <c r="D347" s="1822"/>
      <c r="E347" s="1822"/>
      <c r="F347" s="1822"/>
      <c r="G347" s="1822"/>
      <c r="H347" s="1822"/>
      <c r="I347" s="1822"/>
      <c r="J347" s="1822"/>
      <c r="K347" s="1822"/>
      <c r="L347" s="551">
        <v>548405.44999999995</v>
      </c>
      <c r="M347" s="550"/>
      <c r="N347" s="549"/>
      <c r="V347" s="674"/>
      <c r="W347" s="675"/>
      <c r="AC347" s="675"/>
      <c r="AD347" s="680"/>
      <c r="AE347" s="675"/>
      <c r="AF347" s="537" t="s">
        <v>8097</v>
      </c>
      <c r="AG347" s="675"/>
      <c r="AI347" s="675"/>
    </row>
    <row r="348" spans="1:35" s="536" customFormat="1" ht="12" x14ac:dyDescent="0.2">
      <c r="A348" s="1824" t="s">
        <v>1614</v>
      </c>
      <c r="B348" s="1825"/>
      <c r="C348" s="1825"/>
      <c r="D348" s="1825"/>
      <c r="E348" s="1825"/>
      <c r="F348" s="1825"/>
      <c r="G348" s="1825"/>
      <c r="H348" s="1825"/>
      <c r="I348" s="1825"/>
      <c r="J348" s="1825"/>
      <c r="K348" s="1825"/>
      <c r="L348" s="1825"/>
      <c r="M348" s="1825"/>
      <c r="N348" s="1826"/>
      <c r="V348" s="674" t="s">
        <v>1614</v>
      </c>
      <c r="W348" s="675"/>
      <c r="AC348" s="675"/>
      <c r="AD348" s="680"/>
      <c r="AE348" s="675"/>
      <c r="AG348" s="675"/>
      <c r="AI348" s="675"/>
    </row>
    <row r="349" spans="1:35" s="536" customFormat="1" ht="90" x14ac:dyDescent="0.2">
      <c r="A349" s="575" t="s">
        <v>767</v>
      </c>
      <c r="B349" s="670" t="s">
        <v>1135</v>
      </c>
      <c r="C349" s="1823" t="s">
        <v>3482</v>
      </c>
      <c r="D349" s="1823"/>
      <c r="E349" s="1823"/>
      <c r="F349" s="573" t="s">
        <v>201</v>
      </c>
      <c r="G349" s="573"/>
      <c r="H349" s="573"/>
      <c r="I349" s="573" t="s">
        <v>3483</v>
      </c>
      <c r="J349" s="572">
        <v>76.88</v>
      </c>
      <c r="K349" s="573"/>
      <c r="L349" s="572">
        <v>279.54000000000002</v>
      </c>
      <c r="M349" s="571"/>
      <c r="N349" s="570"/>
      <c r="V349" s="674"/>
      <c r="W349" s="675" t="s">
        <v>3482</v>
      </c>
      <c r="AC349" s="675"/>
      <c r="AD349" s="680"/>
      <c r="AE349" s="675"/>
      <c r="AG349" s="675"/>
      <c r="AI349" s="675"/>
    </row>
    <row r="350" spans="1:35" s="536" customFormat="1" ht="12" x14ac:dyDescent="0.2">
      <c r="A350" s="569"/>
      <c r="B350" s="671"/>
      <c r="C350" s="665" t="s">
        <v>717</v>
      </c>
      <c r="D350" s="666"/>
      <c r="E350" s="666"/>
      <c r="F350" s="563"/>
      <c r="G350" s="563"/>
      <c r="H350" s="563"/>
      <c r="I350" s="563"/>
      <c r="J350" s="566"/>
      <c r="K350" s="563"/>
      <c r="L350" s="566"/>
      <c r="M350" s="565"/>
      <c r="N350" s="564"/>
      <c r="V350" s="674"/>
      <c r="W350" s="675"/>
      <c r="AC350" s="675"/>
      <c r="AD350" s="680"/>
      <c r="AE350" s="675"/>
      <c r="AG350" s="675"/>
      <c r="AI350" s="675"/>
    </row>
    <row r="351" spans="1:35" s="536" customFormat="1" ht="12" x14ac:dyDescent="0.2">
      <c r="A351" s="676"/>
      <c r="B351" s="664"/>
      <c r="C351" s="1822" t="s">
        <v>3484</v>
      </c>
      <c r="D351" s="1822"/>
      <c r="E351" s="1822"/>
      <c r="F351" s="1822"/>
      <c r="G351" s="1822"/>
      <c r="H351" s="1822"/>
      <c r="I351" s="1822"/>
      <c r="J351" s="1822"/>
      <c r="K351" s="1822"/>
      <c r="L351" s="1822"/>
      <c r="M351" s="1822"/>
      <c r="N351" s="1827"/>
      <c r="V351" s="674"/>
      <c r="W351" s="675"/>
      <c r="X351" s="537" t="s">
        <v>3484</v>
      </c>
      <c r="AC351" s="675"/>
      <c r="AD351" s="680"/>
      <c r="AE351" s="675"/>
      <c r="AG351" s="675"/>
      <c r="AI351" s="675"/>
    </row>
    <row r="352" spans="1:35" s="536" customFormat="1" ht="78.75" x14ac:dyDescent="0.2">
      <c r="A352" s="575" t="s">
        <v>768</v>
      </c>
      <c r="B352" s="670" t="s">
        <v>1338</v>
      </c>
      <c r="C352" s="1823" t="s">
        <v>3485</v>
      </c>
      <c r="D352" s="1823"/>
      <c r="E352" s="1823"/>
      <c r="F352" s="573" t="s">
        <v>201</v>
      </c>
      <c r="G352" s="573"/>
      <c r="H352" s="573"/>
      <c r="I352" s="573" t="s">
        <v>3486</v>
      </c>
      <c r="J352" s="572">
        <v>90.45</v>
      </c>
      <c r="K352" s="573"/>
      <c r="L352" s="572">
        <v>3.35</v>
      </c>
      <c r="M352" s="571"/>
      <c r="N352" s="570"/>
      <c r="V352" s="674"/>
      <c r="W352" s="675" t="s">
        <v>3485</v>
      </c>
      <c r="AC352" s="675"/>
      <c r="AD352" s="680"/>
      <c r="AE352" s="675"/>
      <c r="AG352" s="675"/>
      <c r="AI352" s="675"/>
    </row>
    <row r="353" spans="1:37" s="536" customFormat="1" ht="12" x14ac:dyDescent="0.2">
      <c r="A353" s="569"/>
      <c r="B353" s="671"/>
      <c r="C353" s="665" t="s">
        <v>717</v>
      </c>
      <c r="D353" s="666"/>
      <c r="E353" s="666"/>
      <c r="F353" s="563"/>
      <c r="G353" s="563"/>
      <c r="H353" s="563"/>
      <c r="I353" s="563"/>
      <c r="J353" s="566"/>
      <c r="K353" s="563"/>
      <c r="L353" s="566"/>
      <c r="M353" s="565"/>
      <c r="N353" s="564"/>
      <c r="V353" s="674"/>
      <c r="W353" s="675"/>
      <c r="AC353" s="675"/>
      <c r="AD353" s="680"/>
      <c r="AE353" s="675"/>
      <c r="AG353" s="675"/>
      <c r="AI353" s="675"/>
    </row>
    <row r="354" spans="1:37" s="536" customFormat="1" ht="12" x14ac:dyDescent="0.2">
      <c r="A354" s="676"/>
      <c r="B354" s="664"/>
      <c r="C354" s="1822" t="s">
        <v>3487</v>
      </c>
      <c r="D354" s="1822"/>
      <c r="E354" s="1822"/>
      <c r="F354" s="1822"/>
      <c r="G354" s="1822"/>
      <c r="H354" s="1822"/>
      <c r="I354" s="1822"/>
      <c r="J354" s="1822"/>
      <c r="K354" s="1822"/>
      <c r="L354" s="1822"/>
      <c r="M354" s="1822"/>
      <c r="N354" s="1827"/>
      <c r="V354" s="674"/>
      <c r="W354" s="675"/>
      <c r="X354" s="537" t="s">
        <v>3487</v>
      </c>
      <c r="AC354" s="675"/>
      <c r="AD354" s="680"/>
      <c r="AE354" s="675"/>
      <c r="AG354" s="675"/>
      <c r="AI354" s="675"/>
    </row>
    <row r="355" spans="1:37" s="536" customFormat="1" ht="1.5" customHeight="1" x14ac:dyDescent="0.2">
      <c r="A355" s="563"/>
      <c r="B355" s="671"/>
      <c r="C355" s="671"/>
      <c r="D355" s="671"/>
      <c r="E355" s="671"/>
      <c r="F355" s="563"/>
      <c r="G355" s="563"/>
      <c r="H355" s="563"/>
      <c r="I355" s="563"/>
      <c r="J355" s="546"/>
      <c r="K355" s="563"/>
      <c r="L355" s="546"/>
      <c r="M355" s="562"/>
      <c r="N355" s="546"/>
      <c r="V355" s="674"/>
      <c r="W355" s="675"/>
      <c r="AC355" s="675"/>
      <c r="AD355" s="680"/>
      <c r="AE355" s="675"/>
      <c r="AG355" s="675"/>
      <c r="AI355" s="675"/>
    </row>
    <row r="356" spans="1:37" s="536" customFormat="1" ht="22.5" x14ac:dyDescent="0.2">
      <c r="A356" s="557"/>
      <c r="B356" s="556"/>
      <c r="C356" s="1823" t="s">
        <v>1620</v>
      </c>
      <c r="D356" s="1823"/>
      <c r="E356" s="1823"/>
      <c r="F356" s="1823"/>
      <c r="G356" s="1823"/>
      <c r="H356" s="1823"/>
      <c r="I356" s="1823"/>
      <c r="J356" s="1823"/>
      <c r="K356" s="1823"/>
      <c r="L356" s="555"/>
      <c r="M356" s="554"/>
      <c r="N356" s="553"/>
      <c r="V356" s="674"/>
      <c r="W356" s="675"/>
      <c r="AC356" s="675"/>
      <c r="AD356" s="680"/>
      <c r="AE356" s="675" t="s">
        <v>1620</v>
      </c>
      <c r="AG356" s="675"/>
      <c r="AI356" s="675"/>
    </row>
    <row r="357" spans="1:37" s="536" customFormat="1" ht="12" x14ac:dyDescent="0.2">
      <c r="A357" s="548"/>
      <c r="B357" s="552"/>
      <c r="C357" s="1822" t="s">
        <v>403</v>
      </c>
      <c r="D357" s="1822"/>
      <c r="E357" s="1822"/>
      <c r="F357" s="1822"/>
      <c r="G357" s="1822"/>
      <c r="H357" s="1822"/>
      <c r="I357" s="1822"/>
      <c r="J357" s="1822"/>
      <c r="K357" s="1822"/>
      <c r="L357" s="551">
        <v>282.89</v>
      </c>
      <c r="M357" s="550"/>
      <c r="N357" s="549"/>
      <c r="V357" s="674"/>
      <c r="W357" s="675"/>
      <c r="AC357" s="675"/>
      <c r="AD357" s="680"/>
      <c r="AE357" s="675"/>
      <c r="AF357" s="537" t="s">
        <v>403</v>
      </c>
      <c r="AG357" s="675"/>
      <c r="AI357" s="675"/>
    </row>
    <row r="358" spans="1:37" s="536" customFormat="1" ht="12" x14ac:dyDescent="0.2">
      <c r="A358" s="548"/>
      <c r="B358" s="552"/>
      <c r="C358" s="1822" t="s">
        <v>204</v>
      </c>
      <c r="D358" s="1822"/>
      <c r="E358" s="1822"/>
      <c r="F358" s="1822"/>
      <c r="G358" s="1822"/>
      <c r="H358" s="1822"/>
      <c r="I358" s="1822"/>
      <c r="J358" s="1822"/>
      <c r="K358" s="1822"/>
      <c r="L358" s="551"/>
      <c r="M358" s="550"/>
      <c r="N358" s="549"/>
      <c r="V358" s="674"/>
      <c r="W358" s="675"/>
      <c r="AC358" s="675"/>
      <c r="AD358" s="680"/>
      <c r="AE358" s="675"/>
      <c r="AF358" s="537" t="s">
        <v>204</v>
      </c>
      <c r="AG358" s="675"/>
      <c r="AI358" s="675"/>
    </row>
    <row r="359" spans="1:37" s="536" customFormat="1" ht="12" x14ac:dyDescent="0.2">
      <c r="A359" s="548"/>
      <c r="B359" s="552"/>
      <c r="C359" s="1822" t="s">
        <v>480</v>
      </c>
      <c r="D359" s="1822"/>
      <c r="E359" s="1822"/>
      <c r="F359" s="1822"/>
      <c r="G359" s="1822"/>
      <c r="H359" s="1822"/>
      <c r="I359" s="1822"/>
      <c r="J359" s="1822"/>
      <c r="K359" s="1822"/>
      <c r="L359" s="551">
        <v>282.89</v>
      </c>
      <c r="M359" s="550"/>
      <c r="N359" s="549"/>
      <c r="V359" s="674"/>
      <c r="W359" s="675"/>
      <c r="AC359" s="675"/>
      <c r="AD359" s="680"/>
      <c r="AE359" s="675"/>
      <c r="AF359" s="537" t="s">
        <v>480</v>
      </c>
      <c r="AG359" s="675"/>
      <c r="AI359" s="675"/>
    </row>
    <row r="360" spans="1:37" s="536" customFormat="1" ht="12" x14ac:dyDescent="0.2">
      <c r="A360" s="548"/>
      <c r="B360" s="552"/>
      <c r="C360" s="1822" t="s">
        <v>407</v>
      </c>
      <c r="D360" s="1822"/>
      <c r="E360" s="1822"/>
      <c r="F360" s="1822"/>
      <c r="G360" s="1822"/>
      <c r="H360" s="1822"/>
      <c r="I360" s="1822"/>
      <c r="J360" s="1822"/>
      <c r="K360" s="1822"/>
      <c r="L360" s="551">
        <v>282.89</v>
      </c>
      <c r="M360" s="550"/>
      <c r="N360" s="549"/>
      <c r="V360" s="674"/>
      <c r="W360" s="675"/>
      <c r="AC360" s="675"/>
      <c r="AD360" s="680"/>
      <c r="AE360" s="675"/>
      <c r="AF360" s="537" t="s">
        <v>407</v>
      </c>
      <c r="AG360" s="675"/>
      <c r="AI360" s="675"/>
    </row>
    <row r="361" spans="1:37" s="536" customFormat="1" ht="12" x14ac:dyDescent="0.2">
      <c r="A361" s="548"/>
      <c r="B361" s="552"/>
      <c r="C361" s="1822" t="s">
        <v>204</v>
      </c>
      <c r="D361" s="1822"/>
      <c r="E361" s="1822"/>
      <c r="F361" s="1822"/>
      <c r="G361" s="1822"/>
      <c r="H361" s="1822"/>
      <c r="I361" s="1822"/>
      <c r="J361" s="1822"/>
      <c r="K361" s="1822"/>
      <c r="L361" s="551"/>
      <c r="M361" s="550"/>
      <c r="N361" s="549"/>
      <c r="V361" s="674"/>
      <c r="W361" s="675"/>
      <c r="AC361" s="675"/>
      <c r="AD361" s="680"/>
      <c r="AE361" s="675"/>
      <c r="AF361" s="537" t="s">
        <v>204</v>
      </c>
      <c r="AG361" s="675"/>
      <c r="AI361" s="675"/>
    </row>
    <row r="362" spans="1:37" s="536" customFormat="1" ht="12" x14ac:dyDescent="0.2">
      <c r="A362" s="548"/>
      <c r="B362" s="552"/>
      <c r="C362" s="1822" t="s">
        <v>547</v>
      </c>
      <c r="D362" s="1822"/>
      <c r="E362" s="1822"/>
      <c r="F362" s="1822"/>
      <c r="G362" s="1822"/>
      <c r="H362" s="1822"/>
      <c r="I362" s="1822"/>
      <c r="J362" s="1822"/>
      <c r="K362" s="1822"/>
      <c r="L362" s="551">
        <v>282.89</v>
      </c>
      <c r="M362" s="550"/>
      <c r="N362" s="549"/>
      <c r="V362" s="674"/>
      <c r="W362" s="675"/>
      <c r="AC362" s="675"/>
      <c r="AD362" s="680"/>
      <c r="AE362" s="675"/>
      <c r="AF362" s="537" t="s">
        <v>547</v>
      </c>
      <c r="AG362" s="675"/>
      <c r="AI362" s="675"/>
    </row>
    <row r="363" spans="1:37" s="536" customFormat="1" ht="22.5" x14ac:dyDescent="0.2">
      <c r="A363" s="548"/>
      <c r="B363" s="546"/>
      <c r="C363" s="1819" t="s">
        <v>1621</v>
      </c>
      <c r="D363" s="1819"/>
      <c r="E363" s="1819"/>
      <c r="F363" s="1819"/>
      <c r="G363" s="1819"/>
      <c r="H363" s="1819"/>
      <c r="I363" s="1819"/>
      <c r="J363" s="1819"/>
      <c r="K363" s="1819"/>
      <c r="L363" s="544">
        <v>282.89</v>
      </c>
      <c r="M363" s="543"/>
      <c r="N363" s="681"/>
      <c r="V363" s="674"/>
      <c r="W363" s="675"/>
      <c r="AC363" s="675"/>
      <c r="AD363" s="680"/>
      <c r="AE363" s="675"/>
      <c r="AG363" s="675" t="s">
        <v>1621</v>
      </c>
      <c r="AI363" s="675"/>
    </row>
    <row r="364" spans="1:37" s="536" customFormat="1" ht="2.25" customHeight="1" x14ac:dyDescent="0.2">
      <c r="B364" s="561"/>
      <c r="C364" s="561"/>
      <c r="D364" s="561"/>
      <c r="E364" s="561"/>
      <c r="F364" s="561"/>
      <c r="G364" s="561"/>
      <c r="H364" s="561"/>
      <c r="I364" s="561"/>
      <c r="J364" s="561"/>
      <c r="K364" s="561"/>
      <c r="L364" s="560"/>
      <c r="M364" s="559"/>
      <c r="N364" s="558"/>
    </row>
    <row r="365" spans="1:37" s="536" customFormat="1" x14ac:dyDescent="0.2">
      <c r="A365" s="557"/>
      <c r="B365" s="556"/>
      <c r="C365" s="1823" t="s">
        <v>205</v>
      </c>
      <c r="D365" s="1823"/>
      <c r="E365" s="1823"/>
      <c r="F365" s="1823"/>
      <c r="G365" s="1823"/>
      <c r="H365" s="1823"/>
      <c r="I365" s="1823"/>
      <c r="J365" s="1823"/>
      <c r="K365" s="1823"/>
      <c r="L365" s="555"/>
      <c r="M365" s="554"/>
      <c r="N365" s="553"/>
      <c r="AJ365" s="675" t="s">
        <v>205</v>
      </c>
    </row>
    <row r="366" spans="1:37" s="536" customFormat="1" x14ac:dyDescent="0.2">
      <c r="A366" s="548"/>
      <c r="B366" s="552"/>
      <c r="C366" s="1822" t="s">
        <v>403</v>
      </c>
      <c r="D366" s="1822"/>
      <c r="E366" s="1822"/>
      <c r="F366" s="1822"/>
      <c r="G366" s="1822"/>
      <c r="H366" s="1822"/>
      <c r="I366" s="1822"/>
      <c r="J366" s="1822"/>
      <c r="K366" s="1822"/>
      <c r="L366" s="551">
        <v>82497.62</v>
      </c>
      <c r="M366" s="550"/>
      <c r="N366" s="549"/>
      <c r="AJ366" s="675"/>
      <c r="AK366" s="537" t="s">
        <v>403</v>
      </c>
    </row>
    <row r="367" spans="1:37" s="536" customFormat="1" x14ac:dyDescent="0.2">
      <c r="A367" s="548"/>
      <c r="B367" s="552"/>
      <c r="C367" s="1822" t="s">
        <v>204</v>
      </c>
      <c r="D367" s="1822"/>
      <c r="E367" s="1822"/>
      <c r="F367" s="1822"/>
      <c r="G367" s="1822"/>
      <c r="H367" s="1822"/>
      <c r="I367" s="1822"/>
      <c r="J367" s="1822"/>
      <c r="K367" s="1822"/>
      <c r="L367" s="551"/>
      <c r="M367" s="550"/>
      <c r="N367" s="549"/>
      <c r="AJ367" s="675"/>
      <c r="AK367" s="537" t="s">
        <v>204</v>
      </c>
    </row>
    <row r="368" spans="1:37" s="536" customFormat="1" x14ac:dyDescent="0.2">
      <c r="A368" s="548"/>
      <c r="B368" s="552"/>
      <c r="C368" s="1822" t="s">
        <v>404</v>
      </c>
      <c r="D368" s="1822"/>
      <c r="E368" s="1822"/>
      <c r="F368" s="1822"/>
      <c r="G368" s="1822"/>
      <c r="H368" s="1822"/>
      <c r="I368" s="1822"/>
      <c r="J368" s="1822"/>
      <c r="K368" s="1822"/>
      <c r="L368" s="551">
        <v>10005.66</v>
      </c>
      <c r="M368" s="550"/>
      <c r="N368" s="549"/>
      <c r="AJ368" s="675"/>
      <c r="AK368" s="537" t="s">
        <v>404</v>
      </c>
    </row>
    <row r="369" spans="1:37" s="536" customFormat="1" x14ac:dyDescent="0.2">
      <c r="A369" s="548"/>
      <c r="B369" s="552"/>
      <c r="C369" s="1822" t="s">
        <v>405</v>
      </c>
      <c r="D369" s="1822"/>
      <c r="E369" s="1822"/>
      <c r="F369" s="1822"/>
      <c r="G369" s="1822"/>
      <c r="H369" s="1822"/>
      <c r="I369" s="1822"/>
      <c r="J369" s="1822"/>
      <c r="K369" s="1822"/>
      <c r="L369" s="551">
        <v>4124.6000000000004</v>
      </c>
      <c r="M369" s="550"/>
      <c r="N369" s="549"/>
      <c r="AJ369" s="675"/>
      <c r="AK369" s="537" t="s">
        <v>405</v>
      </c>
    </row>
    <row r="370" spans="1:37" s="536" customFormat="1" x14ac:dyDescent="0.2">
      <c r="A370" s="548"/>
      <c r="B370" s="552"/>
      <c r="C370" s="1822" t="s">
        <v>406</v>
      </c>
      <c r="D370" s="1822"/>
      <c r="E370" s="1822"/>
      <c r="F370" s="1822"/>
      <c r="G370" s="1822"/>
      <c r="H370" s="1822"/>
      <c r="I370" s="1822"/>
      <c r="J370" s="1822"/>
      <c r="K370" s="1822"/>
      <c r="L370" s="551">
        <v>467.55</v>
      </c>
      <c r="M370" s="550"/>
      <c r="N370" s="549"/>
      <c r="AJ370" s="675"/>
      <c r="AK370" s="537" t="s">
        <v>406</v>
      </c>
    </row>
    <row r="371" spans="1:37" s="536" customFormat="1" x14ac:dyDescent="0.2">
      <c r="A371" s="548"/>
      <c r="B371" s="552"/>
      <c r="C371" s="1822" t="s">
        <v>480</v>
      </c>
      <c r="D371" s="1822"/>
      <c r="E371" s="1822"/>
      <c r="F371" s="1822"/>
      <c r="G371" s="1822"/>
      <c r="H371" s="1822"/>
      <c r="I371" s="1822"/>
      <c r="J371" s="1822"/>
      <c r="K371" s="1822"/>
      <c r="L371" s="551">
        <v>68367.360000000001</v>
      </c>
      <c r="M371" s="550"/>
      <c r="N371" s="549"/>
      <c r="AJ371" s="675"/>
      <c r="AK371" s="537" t="s">
        <v>480</v>
      </c>
    </row>
    <row r="372" spans="1:37" s="536" customFormat="1" x14ac:dyDescent="0.2">
      <c r="A372" s="548"/>
      <c r="B372" s="552" t="s">
        <v>185</v>
      </c>
      <c r="C372" s="1822" t="s">
        <v>407</v>
      </c>
      <c r="D372" s="1822"/>
      <c r="E372" s="1822"/>
      <c r="F372" s="1822"/>
      <c r="G372" s="1822"/>
      <c r="H372" s="1822"/>
      <c r="I372" s="1822"/>
      <c r="J372" s="1822"/>
      <c r="K372" s="1822"/>
      <c r="L372" s="551">
        <v>84059.4</v>
      </c>
      <c r="M372" s="550">
        <v>8.32</v>
      </c>
      <c r="N372" s="549">
        <v>699374</v>
      </c>
      <c r="AJ372" s="675"/>
      <c r="AK372" s="537" t="s">
        <v>407</v>
      </c>
    </row>
    <row r="373" spans="1:37" s="536" customFormat="1" x14ac:dyDescent="0.2">
      <c r="A373" s="548"/>
      <c r="B373" s="552"/>
      <c r="C373" s="1822" t="s">
        <v>204</v>
      </c>
      <c r="D373" s="1822"/>
      <c r="E373" s="1822"/>
      <c r="F373" s="1822"/>
      <c r="G373" s="1822"/>
      <c r="H373" s="1822"/>
      <c r="I373" s="1822"/>
      <c r="J373" s="1822"/>
      <c r="K373" s="1822"/>
      <c r="L373" s="551"/>
      <c r="M373" s="550"/>
      <c r="N373" s="549"/>
      <c r="AJ373" s="675"/>
      <c r="AK373" s="537" t="s">
        <v>204</v>
      </c>
    </row>
    <row r="374" spans="1:37" s="536" customFormat="1" x14ac:dyDescent="0.2">
      <c r="A374" s="548"/>
      <c r="B374" s="552"/>
      <c r="C374" s="1822" t="s">
        <v>546</v>
      </c>
      <c r="D374" s="1822"/>
      <c r="E374" s="1822"/>
      <c r="F374" s="1822"/>
      <c r="G374" s="1822"/>
      <c r="H374" s="1822"/>
      <c r="I374" s="1822"/>
      <c r="J374" s="1822"/>
      <c r="K374" s="1822"/>
      <c r="L374" s="551">
        <v>7216.2</v>
      </c>
      <c r="M374" s="550"/>
      <c r="N374" s="549"/>
      <c r="AJ374" s="675"/>
      <c r="AK374" s="537" t="s">
        <v>546</v>
      </c>
    </row>
    <row r="375" spans="1:37" s="536" customFormat="1" x14ac:dyDescent="0.2">
      <c r="A375" s="548"/>
      <c r="B375" s="552"/>
      <c r="C375" s="1822" t="s">
        <v>442</v>
      </c>
      <c r="D375" s="1822"/>
      <c r="E375" s="1822"/>
      <c r="F375" s="1822"/>
      <c r="G375" s="1822"/>
      <c r="H375" s="1822"/>
      <c r="I375" s="1822"/>
      <c r="J375" s="1822"/>
      <c r="K375" s="1822"/>
      <c r="L375" s="551">
        <v>1537.52</v>
      </c>
      <c r="M375" s="550"/>
      <c r="N375" s="549"/>
      <c r="AJ375" s="675"/>
      <c r="AK375" s="537" t="s">
        <v>442</v>
      </c>
    </row>
    <row r="376" spans="1:37" s="536" customFormat="1" x14ac:dyDescent="0.2">
      <c r="A376" s="548"/>
      <c r="B376" s="552"/>
      <c r="C376" s="1822" t="s">
        <v>547</v>
      </c>
      <c r="D376" s="1822"/>
      <c r="E376" s="1822"/>
      <c r="F376" s="1822"/>
      <c r="G376" s="1822"/>
      <c r="H376" s="1822"/>
      <c r="I376" s="1822"/>
      <c r="J376" s="1822"/>
      <c r="K376" s="1822"/>
      <c r="L376" s="551">
        <v>63858.17</v>
      </c>
      <c r="M376" s="550"/>
      <c r="N376" s="549"/>
      <c r="AJ376" s="675"/>
      <c r="AK376" s="537" t="s">
        <v>547</v>
      </c>
    </row>
    <row r="377" spans="1:37" s="536" customFormat="1" x14ac:dyDescent="0.2">
      <c r="A377" s="548"/>
      <c r="B377" s="552"/>
      <c r="C377" s="1822" t="s">
        <v>443</v>
      </c>
      <c r="D377" s="1822"/>
      <c r="E377" s="1822"/>
      <c r="F377" s="1822"/>
      <c r="G377" s="1822"/>
      <c r="H377" s="1822"/>
      <c r="I377" s="1822"/>
      <c r="J377" s="1822"/>
      <c r="K377" s="1822"/>
      <c r="L377" s="551">
        <v>7572.66</v>
      </c>
      <c r="M377" s="550"/>
      <c r="N377" s="549"/>
      <c r="AJ377" s="675"/>
      <c r="AK377" s="537" t="s">
        <v>443</v>
      </c>
    </row>
    <row r="378" spans="1:37" s="536" customFormat="1" x14ac:dyDescent="0.2">
      <c r="A378" s="548"/>
      <c r="B378" s="552"/>
      <c r="C378" s="1822" t="s">
        <v>444</v>
      </c>
      <c r="D378" s="1822"/>
      <c r="E378" s="1822"/>
      <c r="F378" s="1822"/>
      <c r="G378" s="1822"/>
      <c r="H378" s="1822"/>
      <c r="I378" s="1822"/>
      <c r="J378" s="1822"/>
      <c r="K378" s="1822"/>
      <c r="L378" s="551">
        <v>3874.85</v>
      </c>
      <c r="M378" s="550"/>
      <c r="N378" s="549"/>
      <c r="AJ378" s="675"/>
      <c r="AK378" s="537" t="s">
        <v>444</v>
      </c>
    </row>
    <row r="379" spans="1:37" s="536" customFormat="1" x14ac:dyDescent="0.2">
      <c r="A379" s="548"/>
      <c r="B379" s="552" t="s">
        <v>185</v>
      </c>
      <c r="C379" s="1822" t="s">
        <v>753</v>
      </c>
      <c r="D379" s="1822"/>
      <c r="E379" s="1822"/>
      <c r="F379" s="1822"/>
      <c r="G379" s="1822"/>
      <c r="H379" s="1822"/>
      <c r="I379" s="1822"/>
      <c r="J379" s="1822"/>
      <c r="K379" s="1822"/>
      <c r="L379" s="551">
        <v>14236.4</v>
      </c>
      <c r="M379" s="550">
        <v>8.32</v>
      </c>
      <c r="N379" s="549">
        <v>118447</v>
      </c>
      <c r="AJ379" s="675"/>
      <c r="AK379" s="537" t="s">
        <v>753</v>
      </c>
    </row>
    <row r="380" spans="1:37" s="536" customFormat="1" x14ac:dyDescent="0.2">
      <c r="A380" s="548"/>
      <c r="B380" s="552"/>
      <c r="C380" s="1822" t="s">
        <v>204</v>
      </c>
      <c r="D380" s="1822"/>
      <c r="E380" s="1822"/>
      <c r="F380" s="1822"/>
      <c r="G380" s="1822"/>
      <c r="H380" s="1822"/>
      <c r="I380" s="1822"/>
      <c r="J380" s="1822"/>
      <c r="K380" s="1822"/>
      <c r="L380" s="551"/>
      <c r="M380" s="550"/>
      <c r="N380" s="549"/>
      <c r="AJ380" s="675"/>
      <c r="AK380" s="537" t="s">
        <v>204</v>
      </c>
    </row>
    <row r="381" spans="1:37" s="536" customFormat="1" x14ac:dyDescent="0.2">
      <c r="A381" s="548"/>
      <c r="B381" s="552"/>
      <c r="C381" s="1822" t="s">
        <v>546</v>
      </c>
      <c r="D381" s="1822"/>
      <c r="E381" s="1822"/>
      <c r="F381" s="1822"/>
      <c r="G381" s="1822"/>
      <c r="H381" s="1822"/>
      <c r="I381" s="1822"/>
      <c r="J381" s="1822"/>
      <c r="K381" s="1822"/>
      <c r="L381" s="551">
        <v>2789.46</v>
      </c>
      <c r="M381" s="550"/>
      <c r="N381" s="549"/>
      <c r="AJ381" s="675"/>
      <c r="AK381" s="537" t="s">
        <v>546</v>
      </c>
    </row>
    <row r="382" spans="1:37" s="536" customFormat="1" x14ac:dyDescent="0.2">
      <c r="A382" s="548"/>
      <c r="B382" s="552"/>
      <c r="C382" s="1822" t="s">
        <v>442</v>
      </c>
      <c r="D382" s="1822"/>
      <c r="E382" s="1822"/>
      <c r="F382" s="1822"/>
      <c r="G382" s="1822"/>
      <c r="H382" s="1822"/>
      <c r="I382" s="1822"/>
      <c r="J382" s="1822"/>
      <c r="K382" s="1822"/>
      <c r="L382" s="551">
        <v>2587.08</v>
      </c>
      <c r="M382" s="550"/>
      <c r="N382" s="549"/>
      <c r="AJ382" s="675"/>
      <c r="AK382" s="537" t="s">
        <v>442</v>
      </c>
    </row>
    <row r="383" spans="1:37" s="536" customFormat="1" x14ac:dyDescent="0.2">
      <c r="A383" s="548"/>
      <c r="B383" s="552"/>
      <c r="C383" s="1822" t="s">
        <v>547</v>
      </c>
      <c r="D383" s="1822"/>
      <c r="E383" s="1822"/>
      <c r="F383" s="1822"/>
      <c r="G383" s="1822"/>
      <c r="H383" s="1822"/>
      <c r="I383" s="1822"/>
      <c r="J383" s="1822"/>
      <c r="K383" s="1822"/>
      <c r="L383" s="551">
        <v>4509.1899999999996</v>
      </c>
      <c r="M383" s="550"/>
      <c r="N383" s="549"/>
      <c r="AJ383" s="675"/>
      <c r="AK383" s="537" t="s">
        <v>547</v>
      </c>
    </row>
    <row r="384" spans="1:37" s="536" customFormat="1" x14ac:dyDescent="0.2">
      <c r="A384" s="548"/>
      <c r="B384" s="552"/>
      <c r="C384" s="1822" t="s">
        <v>443</v>
      </c>
      <c r="D384" s="1822"/>
      <c r="E384" s="1822"/>
      <c r="F384" s="1822"/>
      <c r="G384" s="1822"/>
      <c r="H384" s="1822"/>
      <c r="I384" s="1822"/>
      <c r="J384" s="1822"/>
      <c r="K384" s="1822"/>
      <c r="L384" s="551">
        <v>2838.73</v>
      </c>
      <c r="M384" s="550"/>
      <c r="N384" s="549"/>
      <c r="AJ384" s="675"/>
      <c r="AK384" s="537" t="s">
        <v>443</v>
      </c>
    </row>
    <row r="385" spans="1:38" x14ac:dyDescent="0.2">
      <c r="A385" s="548"/>
      <c r="B385" s="552"/>
      <c r="C385" s="1822" t="s">
        <v>444</v>
      </c>
      <c r="D385" s="1822"/>
      <c r="E385" s="1822"/>
      <c r="F385" s="1822"/>
      <c r="G385" s="1822"/>
      <c r="H385" s="1822"/>
      <c r="I385" s="1822"/>
      <c r="J385" s="1822"/>
      <c r="K385" s="1822"/>
      <c r="L385" s="551">
        <v>1511.94</v>
      </c>
      <c r="M385" s="550"/>
      <c r="N385" s="549"/>
      <c r="P385" s="536"/>
      <c r="Q385" s="536"/>
      <c r="R385" s="536"/>
      <c r="S385" s="536"/>
      <c r="T385" s="536"/>
      <c r="U385" s="536"/>
      <c r="V385" s="536"/>
      <c r="W385" s="536"/>
      <c r="X385" s="536"/>
      <c r="Y385" s="536"/>
      <c r="Z385" s="536"/>
      <c r="AA385" s="536"/>
      <c r="AB385" s="536"/>
      <c r="AC385" s="536"/>
      <c r="AD385" s="536"/>
      <c r="AE385" s="536"/>
      <c r="AF385" s="536"/>
      <c r="AG385" s="536"/>
      <c r="AH385" s="536"/>
      <c r="AI385" s="536"/>
      <c r="AJ385" s="675"/>
      <c r="AK385" s="537" t="s">
        <v>444</v>
      </c>
      <c r="AL385" s="536"/>
    </row>
    <row r="386" spans="1:38" x14ac:dyDescent="0.2">
      <c r="A386" s="548"/>
      <c r="B386" s="552" t="s">
        <v>186</v>
      </c>
      <c r="C386" s="1822" t="s">
        <v>754</v>
      </c>
      <c r="D386" s="1822"/>
      <c r="E386" s="1822"/>
      <c r="F386" s="1822"/>
      <c r="G386" s="1822"/>
      <c r="H386" s="1822"/>
      <c r="I386" s="1822"/>
      <c r="J386" s="1822"/>
      <c r="K386" s="1822"/>
      <c r="L386" s="551">
        <v>548405.44999999995</v>
      </c>
      <c r="M386" s="550">
        <v>4.59</v>
      </c>
      <c r="N386" s="549">
        <v>2517181</v>
      </c>
      <c r="P386" s="536"/>
      <c r="Q386" s="536"/>
      <c r="R386" s="536"/>
      <c r="S386" s="536"/>
      <c r="T386" s="536"/>
      <c r="U386" s="536"/>
      <c r="V386" s="536"/>
      <c r="W386" s="536"/>
      <c r="X386" s="536"/>
      <c r="Y386" s="536"/>
      <c r="Z386" s="536"/>
      <c r="AA386" s="536"/>
      <c r="AB386" s="536"/>
      <c r="AC386" s="536"/>
      <c r="AD386" s="536"/>
      <c r="AE386" s="536"/>
      <c r="AF386" s="536"/>
      <c r="AG386" s="536"/>
      <c r="AH386" s="536"/>
      <c r="AI386" s="536"/>
      <c r="AJ386" s="675"/>
      <c r="AK386" s="537" t="s">
        <v>754</v>
      </c>
      <c r="AL386" s="536"/>
    </row>
    <row r="387" spans="1:38" x14ac:dyDescent="0.2">
      <c r="A387" s="548"/>
      <c r="B387" s="552"/>
      <c r="C387" s="1822" t="s">
        <v>415</v>
      </c>
      <c r="D387" s="1822"/>
      <c r="E387" s="1822"/>
      <c r="F387" s="1822"/>
      <c r="G387" s="1822"/>
      <c r="H387" s="1822"/>
      <c r="I387" s="1822"/>
      <c r="J387" s="1822"/>
      <c r="K387" s="1822"/>
      <c r="L387" s="551">
        <v>10473.209999999999</v>
      </c>
      <c r="M387" s="550"/>
      <c r="N387" s="549"/>
      <c r="P387" s="536"/>
      <c r="Q387" s="536"/>
      <c r="R387" s="536"/>
      <c r="S387" s="536"/>
      <c r="T387" s="536"/>
      <c r="U387" s="536"/>
      <c r="V387" s="536"/>
      <c r="W387" s="536"/>
      <c r="X387" s="536"/>
      <c r="Y387" s="536"/>
      <c r="Z387" s="536"/>
      <c r="AA387" s="536"/>
      <c r="AB387" s="536"/>
      <c r="AC387" s="536"/>
      <c r="AD387" s="536"/>
      <c r="AE387" s="536"/>
      <c r="AF387" s="536"/>
      <c r="AG387" s="536"/>
      <c r="AH387" s="536"/>
      <c r="AI387" s="536"/>
      <c r="AJ387" s="675"/>
      <c r="AK387" s="537" t="s">
        <v>415</v>
      </c>
      <c r="AL387" s="536"/>
    </row>
    <row r="388" spans="1:38" x14ac:dyDescent="0.2">
      <c r="A388" s="548"/>
      <c r="B388" s="552"/>
      <c r="C388" s="1822" t="s">
        <v>416</v>
      </c>
      <c r="D388" s="1822"/>
      <c r="E388" s="1822"/>
      <c r="F388" s="1822"/>
      <c r="G388" s="1822"/>
      <c r="H388" s="1822"/>
      <c r="I388" s="1822"/>
      <c r="J388" s="1822"/>
      <c r="K388" s="1822"/>
      <c r="L388" s="551">
        <v>10411.39</v>
      </c>
      <c r="M388" s="550"/>
      <c r="N388" s="549"/>
      <c r="P388" s="536"/>
      <c r="Q388" s="536"/>
      <c r="R388" s="536"/>
      <c r="S388" s="536"/>
      <c r="T388" s="536"/>
      <c r="U388" s="536"/>
      <c r="V388" s="536"/>
      <c r="W388" s="536"/>
      <c r="X388" s="536"/>
      <c r="Y388" s="536"/>
      <c r="Z388" s="536"/>
      <c r="AA388" s="536"/>
      <c r="AB388" s="536"/>
      <c r="AC388" s="536"/>
      <c r="AD388" s="536"/>
      <c r="AE388" s="536"/>
      <c r="AF388" s="536"/>
      <c r="AG388" s="536"/>
      <c r="AH388" s="536"/>
      <c r="AI388" s="536"/>
      <c r="AJ388" s="675"/>
      <c r="AK388" s="537" t="s">
        <v>416</v>
      </c>
      <c r="AL388" s="536"/>
    </row>
    <row r="389" spans="1:38" x14ac:dyDescent="0.2">
      <c r="A389" s="548"/>
      <c r="B389" s="552"/>
      <c r="C389" s="1822" t="s">
        <v>417</v>
      </c>
      <c r="D389" s="1822"/>
      <c r="E389" s="1822"/>
      <c r="F389" s="1822"/>
      <c r="G389" s="1822"/>
      <c r="H389" s="1822"/>
      <c r="I389" s="1822"/>
      <c r="J389" s="1822"/>
      <c r="K389" s="1822"/>
      <c r="L389" s="551">
        <v>5386.79</v>
      </c>
      <c r="M389" s="550"/>
      <c r="N389" s="549"/>
      <c r="P389" s="536"/>
      <c r="Q389" s="536"/>
      <c r="R389" s="536"/>
      <c r="S389" s="536"/>
      <c r="T389" s="536"/>
      <c r="U389" s="536"/>
      <c r="V389" s="536"/>
      <c r="W389" s="536"/>
      <c r="X389" s="536"/>
      <c r="Y389" s="536"/>
      <c r="Z389" s="536"/>
      <c r="AA389" s="536"/>
      <c r="AB389" s="536"/>
      <c r="AC389" s="536"/>
      <c r="AD389" s="536"/>
      <c r="AE389" s="536"/>
      <c r="AF389" s="536"/>
      <c r="AG389" s="536"/>
      <c r="AH389" s="536"/>
      <c r="AI389" s="536"/>
      <c r="AJ389" s="675"/>
      <c r="AK389" s="537" t="s">
        <v>417</v>
      </c>
      <c r="AL389" s="536"/>
    </row>
    <row r="390" spans="1:38" x14ac:dyDescent="0.2">
      <c r="A390" s="548"/>
      <c r="B390" s="546"/>
      <c r="C390" s="1819" t="s">
        <v>206</v>
      </c>
      <c r="D390" s="1819"/>
      <c r="E390" s="1819"/>
      <c r="F390" s="1819"/>
      <c r="G390" s="1819"/>
      <c r="H390" s="1819"/>
      <c r="I390" s="1819"/>
      <c r="J390" s="1819"/>
      <c r="K390" s="1819"/>
      <c r="L390" s="544">
        <v>646701.25</v>
      </c>
      <c r="M390" s="543"/>
      <c r="N390" s="547">
        <v>3335002</v>
      </c>
      <c r="P390" s="536"/>
      <c r="Q390" s="536"/>
      <c r="R390" s="536"/>
      <c r="S390" s="536"/>
      <c r="T390" s="536"/>
      <c r="U390" s="536"/>
      <c r="V390" s="536"/>
      <c r="W390" s="536"/>
      <c r="X390" s="536"/>
      <c r="Y390" s="536"/>
      <c r="Z390" s="536"/>
      <c r="AA390" s="536"/>
      <c r="AB390" s="536"/>
      <c r="AC390" s="536"/>
      <c r="AD390" s="536"/>
      <c r="AE390" s="536"/>
      <c r="AF390" s="536"/>
      <c r="AG390" s="536"/>
      <c r="AH390" s="536"/>
      <c r="AI390" s="536"/>
      <c r="AJ390" s="675"/>
      <c r="AK390" s="536"/>
      <c r="AL390" s="675" t="s">
        <v>206</v>
      </c>
    </row>
    <row r="391" spans="1:38" x14ac:dyDescent="0.2">
      <c r="A391" s="548"/>
      <c r="B391" s="552"/>
      <c r="C391" s="1822" t="s">
        <v>204</v>
      </c>
      <c r="D391" s="1822"/>
      <c r="E391" s="1822"/>
      <c r="F391" s="1822"/>
      <c r="G391" s="1822"/>
      <c r="H391" s="1822"/>
      <c r="I391" s="1822"/>
      <c r="J391" s="1822"/>
      <c r="K391" s="1822"/>
      <c r="L391" s="551"/>
      <c r="M391" s="550"/>
      <c r="N391" s="549"/>
      <c r="P391" s="536"/>
      <c r="Q391" s="536"/>
      <c r="R391" s="536"/>
      <c r="S391" s="536"/>
      <c r="T391" s="536"/>
      <c r="U391" s="536"/>
      <c r="V391" s="536"/>
      <c r="W391" s="536"/>
      <c r="X391" s="536"/>
      <c r="Y391" s="536"/>
      <c r="Z391" s="536"/>
      <c r="AA391" s="536"/>
      <c r="AB391" s="536"/>
      <c r="AC391" s="536"/>
      <c r="AD391" s="536"/>
      <c r="AE391" s="536"/>
      <c r="AF391" s="536"/>
      <c r="AG391" s="536"/>
      <c r="AH391" s="536"/>
      <c r="AI391" s="536"/>
      <c r="AJ391" s="675"/>
      <c r="AK391" s="537" t="s">
        <v>204</v>
      </c>
      <c r="AL391" s="675"/>
    </row>
    <row r="392" spans="1:38" x14ac:dyDescent="0.2">
      <c r="A392" s="548"/>
      <c r="B392" s="552"/>
      <c r="C392" s="1822" t="s">
        <v>8095</v>
      </c>
      <c r="D392" s="1822"/>
      <c r="E392" s="1822"/>
      <c r="F392" s="1822"/>
      <c r="G392" s="1822"/>
      <c r="H392" s="1822"/>
      <c r="I392" s="1822"/>
      <c r="J392" s="1822"/>
      <c r="K392" s="1822"/>
      <c r="L392" s="551">
        <v>3464.18</v>
      </c>
      <c r="M392" s="550"/>
      <c r="N392" s="549">
        <v>28822</v>
      </c>
      <c r="P392" s="536"/>
      <c r="Q392" s="536"/>
      <c r="R392" s="536"/>
      <c r="S392" s="536"/>
      <c r="T392" s="536"/>
      <c r="U392" s="536"/>
      <c r="V392" s="536"/>
      <c r="W392" s="536"/>
      <c r="X392" s="536"/>
      <c r="Y392" s="536"/>
      <c r="Z392" s="536"/>
      <c r="AA392" s="536"/>
      <c r="AB392" s="536"/>
      <c r="AC392" s="536"/>
      <c r="AD392" s="536"/>
      <c r="AE392" s="536"/>
      <c r="AF392" s="536"/>
      <c r="AG392" s="536"/>
      <c r="AH392" s="536"/>
      <c r="AI392" s="536"/>
      <c r="AJ392" s="675"/>
      <c r="AK392" s="537" t="s">
        <v>8095</v>
      </c>
      <c r="AL392" s="675"/>
    </row>
    <row r="393" spans="1:38" x14ac:dyDescent="0.2">
      <c r="A393" s="548"/>
      <c r="B393" s="552"/>
      <c r="C393" s="1822" t="s">
        <v>8097</v>
      </c>
      <c r="D393" s="1822"/>
      <c r="E393" s="1822"/>
      <c r="F393" s="1822"/>
      <c r="G393" s="1822"/>
      <c r="H393" s="1822"/>
      <c r="I393" s="1822"/>
      <c r="J393" s="1822"/>
      <c r="K393" s="1822"/>
      <c r="L393" s="551"/>
      <c r="M393" s="550"/>
      <c r="N393" s="549">
        <v>2517181</v>
      </c>
      <c r="P393" s="536"/>
      <c r="Q393" s="536"/>
      <c r="R393" s="536"/>
      <c r="S393" s="536"/>
      <c r="T393" s="536"/>
      <c r="U393" s="536"/>
      <c r="V393" s="536"/>
      <c r="W393" s="536"/>
      <c r="X393" s="536"/>
      <c r="Y393" s="536"/>
      <c r="Z393" s="536"/>
      <c r="AA393" s="536"/>
      <c r="AB393" s="536"/>
      <c r="AC393" s="536"/>
      <c r="AD393" s="536"/>
      <c r="AE393" s="536"/>
      <c r="AF393" s="536"/>
      <c r="AG393" s="536"/>
      <c r="AH393" s="536"/>
      <c r="AI393" s="536"/>
      <c r="AJ393" s="675"/>
      <c r="AK393" s="537" t="s">
        <v>8097</v>
      </c>
      <c r="AL393" s="675"/>
    </row>
    <row r="394" spans="1:38" ht="1.5" customHeight="1" x14ac:dyDescent="0.2">
      <c r="B394" s="546"/>
      <c r="C394" s="671"/>
      <c r="D394" s="671"/>
      <c r="E394" s="671"/>
      <c r="F394" s="671"/>
      <c r="G394" s="671"/>
      <c r="H394" s="671"/>
      <c r="I394" s="671"/>
      <c r="J394" s="671"/>
      <c r="K394" s="671"/>
      <c r="L394" s="544"/>
      <c r="M394" s="543"/>
      <c r="N394" s="542"/>
      <c r="P394" s="536"/>
      <c r="Q394" s="536"/>
      <c r="R394" s="536"/>
      <c r="S394" s="536"/>
      <c r="T394" s="536"/>
      <c r="U394" s="536"/>
      <c r="V394" s="536"/>
      <c r="W394" s="536"/>
      <c r="X394" s="536"/>
      <c r="Y394" s="536"/>
      <c r="Z394" s="536"/>
      <c r="AA394" s="536"/>
      <c r="AB394" s="536"/>
      <c r="AC394" s="536"/>
      <c r="AD394" s="536"/>
      <c r="AE394" s="536"/>
      <c r="AF394" s="536"/>
      <c r="AG394" s="536"/>
      <c r="AH394" s="536"/>
      <c r="AI394" s="536"/>
      <c r="AJ394" s="536"/>
      <c r="AK394" s="536"/>
      <c r="AL394" s="536"/>
    </row>
    <row r="395" spans="1:38" ht="53.25" customHeight="1" x14ac:dyDescent="0.2">
      <c r="A395" s="541"/>
      <c r="B395" s="541"/>
      <c r="C395" s="541"/>
      <c r="D395" s="541"/>
      <c r="E395" s="541"/>
      <c r="F395" s="541"/>
      <c r="G395" s="541"/>
      <c r="H395" s="541"/>
      <c r="I395" s="541"/>
      <c r="J395" s="541"/>
      <c r="K395" s="541"/>
      <c r="L395" s="541"/>
      <c r="M395" s="541"/>
      <c r="N395" s="541"/>
      <c r="P395" s="536"/>
      <c r="Q395" s="536"/>
      <c r="R395" s="536"/>
      <c r="S395" s="536"/>
      <c r="T395" s="536"/>
      <c r="U395" s="536"/>
      <c r="V395" s="536"/>
      <c r="W395" s="536"/>
      <c r="X395" s="536"/>
      <c r="Y395" s="536"/>
      <c r="Z395" s="536"/>
      <c r="AA395" s="536"/>
      <c r="AB395" s="536"/>
      <c r="AC395" s="536"/>
      <c r="AD395" s="536"/>
      <c r="AE395" s="536"/>
      <c r="AF395" s="536"/>
      <c r="AG395" s="536"/>
      <c r="AH395" s="536"/>
      <c r="AI395" s="536"/>
      <c r="AJ395" s="536"/>
      <c r="AK395" s="536"/>
      <c r="AL395" s="536"/>
    </row>
    <row r="396" spans="1:38" x14ac:dyDescent="0.2">
      <c r="B396" s="539" t="s">
        <v>149</v>
      </c>
      <c r="C396" s="1820" t="s">
        <v>296</v>
      </c>
      <c r="D396" s="1820"/>
      <c r="E396" s="1820"/>
      <c r="F396" s="1820"/>
      <c r="G396" s="1820"/>
      <c r="H396" s="1820"/>
      <c r="I396" s="1820"/>
      <c r="J396" s="1820"/>
      <c r="K396" s="1820"/>
      <c r="L396" s="1820"/>
    </row>
    <row r="397" spans="1:38" ht="13.5" customHeight="1" x14ac:dyDescent="0.2">
      <c r="B397" s="540"/>
      <c r="C397" s="1821" t="s">
        <v>150</v>
      </c>
      <c r="D397" s="1821"/>
      <c r="E397" s="1821"/>
      <c r="F397" s="1821"/>
      <c r="G397" s="1821"/>
      <c r="H397" s="1821"/>
      <c r="I397" s="1821"/>
      <c r="J397" s="1821"/>
      <c r="K397" s="1821"/>
      <c r="L397" s="1821"/>
    </row>
    <row r="398" spans="1:38" ht="12.75" customHeight="1" x14ac:dyDescent="0.2">
      <c r="B398" s="539" t="s">
        <v>151</v>
      </c>
      <c r="C398" s="1820" t="s">
        <v>297</v>
      </c>
      <c r="D398" s="1820"/>
      <c r="E398" s="1820"/>
      <c r="F398" s="1820"/>
      <c r="G398" s="1820"/>
      <c r="H398" s="1820"/>
      <c r="I398" s="1820"/>
      <c r="J398" s="1820"/>
      <c r="K398" s="1820"/>
      <c r="L398" s="1820"/>
    </row>
    <row r="399" spans="1:38" ht="13.5" customHeight="1" x14ac:dyDescent="0.2">
      <c r="C399" s="1821" t="s">
        <v>150</v>
      </c>
      <c r="D399" s="1821"/>
      <c r="E399" s="1821"/>
      <c r="F399" s="1821"/>
      <c r="G399" s="1821"/>
      <c r="H399" s="1821"/>
      <c r="I399" s="1821"/>
      <c r="J399" s="1821"/>
      <c r="K399" s="1821"/>
      <c r="L399" s="1821"/>
    </row>
    <row r="401" spans="2:6" s="536" customFormat="1" x14ac:dyDescent="0.2">
      <c r="B401" s="538"/>
      <c r="D401" s="538"/>
      <c r="F401" s="538"/>
    </row>
  </sheetData>
  <mergeCells count="359">
    <mergeCell ref="C399:L399"/>
    <mergeCell ref="C391:K391"/>
    <mergeCell ref="C392:K392"/>
    <mergeCell ref="C393:K393"/>
    <mergeCell ref="C396:L396"/>
    <mergeCell ref="C397:L397"/>
    <mergeCell ref="C398:L398"/>
    <mergeCell ref="C385:K385"/>
    <mergeCell ref="C386:K386"/>
    <mergeCell ref="C387:K387"/>
    <mergeCell ref="C388:K388"/>
    <mergeCell ref="C389:K389"/>
    <mergeCell ref="C390:K390"/>
    <mergeCell ref="C379:K379"/>
    <mergeCell ref="C380:K380"/>
    <mergeCell ref="C381:K381"/>
    <mergeCell ref="C382:K382"/>
    <mergeCell ref="C383:K383"/>
    <mergeCell ref="C384:K384"/>
    <mergeCell ref="C373:K373"/>
    <mergeCell ref="C374:K374"/>
    <mergeCell ref="C375:K375"/>
    <mergeCell ref="C376:K376"/>
    <mergeCell ref="C377:K377"/>
    <mergeCell ref="C378:K378"/>
    <mergeCell ref="C367:K367"/>
    <mergeCell ref="C368:K368"/>
    <mergeCell ref="C369:K369"/>
    <mergeCell ref="C370:K370"/>
    <mergeCell ref="C371:K371"/>
    <mergeCell ref="C372:K372"/>
    <mergeCell ref="C360:K360"/>
    <mergeCell ref="C361:K361"/>
    <mergeCell ref="C362:K362"/>
    <mergeCell ref="C363:K363"/>
    <mergeCell ref="C365:K365"/>
    <mergeCell ref="C366:K366"/>
    <mergeCell ref="C352:E352"/>
    <mergeCell ref="C354:N354"/>
    <mergeCell ref="C356:K356"/>
    <mergeCell ref="C357:K357"/>
    <mergeCell ref="C358:K358"/>
    <mergeCell ref="C359:K359"/>
    <mergeCell ref="C345:K345"/>
    <mergeCell ref="C346:K346"/>
    <mergeCell ref="C347:K347"/>
    <mergeCell ref="A348:N348"/>
    <mergeCell ref="C349:E349"/>
    <mergeCell ref="C351:N351"/>
    <mergeCell ref="C339:K339"/>
    <mergeCell ref="C340:K340"/>
    <mergeCell ref="C341:K341"/>
    <mergeCell ref="C342:K342"/>
    <mergeCell ref="C343:K343"/>
    <mergeCell ref="C344:K344"/>
    <mergeCell ref="C333:K333"/>
    <mergeCell ref="C334:K334"/>
    <mergeCell ref="C335:K335"/>
    <mergeCell ref="C336:K336"/>
    <mergeCell ref="C337:K337"/>
    <mergeCell ref="C338:K338"/>
    <mergeCell ref="C327:K327"/>
    <mergeCell ref="C328:K328"/>
    <mergeCell ref="C329:K329"/>
    <mergeCell ref="C330:K330"/>
    <mergeCell ref="C331:K331"/>
    <mergeCell ref="C332:K332"/>
    <mergeCell ref="C319:E319"/>
    <mergeCell ref="C320:E320"/>
    <mergeCell ref="C321:E321"/>
    <mergeCell ref="C322:E322"/>
    <mergeCell ref="C323:E323"/>
    <mergeCell ref="C325:N325"/>
    <mergeCell ref="C313:E313"/>
    <mergeCell ref="C314:E314"/>
    <mergeCell ref="C315:E315"/>
    <mergeCell ref="C316:E316"/>
    <mergeCell ref="C317:E317"/>
    <mergeCell ref="C318:E318"/>
    <mergeCell ref="C307:E307"/>
    <mergeCell ref="C308:E308"/>
    <mergeCell ref="C309:E309"/>
    <mergeCell ref="C310:N310"/>
    <mergeCell ref="C311:N311"/>
    <mergeCell ref="C312:E312"/>
    <mergeCell ref="C301:E301"/>
    <mergeCell ref="C302:E302"/>
    <mergeCell ref="C303:E303"/>
    <mergeCell ref="C304:E304"/>
    <mergeCell ref="C305:E305"/>
    <mergeCell ref="C306:E306"/>
    <mergeCell ref="C295:E295"/>
    <mergeCell ref="C296:N296"/>
    <mergeCell ref="C297:N297"/>
    <mergeCell ref="C298:E298"/>
    <mergeCell ref="C299:E299"/>
    <mergeCell ref="C300:E300"/>
    <mergeCell ref="C289:K289"/>
    <mergeCell ref="C290:K290"/>
    <mergeCell ref="C291:K291"/>
    <mergeCell ref="C292:K292"/>
    <mergeCell ref="C293:K293"/>
    <mergeCell ref="A294:N294"/>
    <mergeCell ref="C283:K283"/>
    <mergeCell ref="C284:K284"/>
    <mergeCell ref="C285:K285"/>
    <mergeCell ref="C286:K286"/>
    <mergeCell ref="C287:K287"/>
    <mergeCell ref="C288:K288"/>
    <mergeCell ref="C277:K277"/>
    <mergeCell ref="C278:K278"/>
    <mergeCell ref="C279:K279"/>
    <mergeCell ref="C280:K280"/>
    <mergeCell ref="C281:K281"/>
    <mergeCell ref="C282:K282"/>
    <mergeCell ref="C270:E270"/>
    <mergeCell ref="C271:E271"/>
    <mergeCell ref="C272:E272"/>
    <mergeCell ref="C274:K274"/>
    <mergeCell ref="C275:K275"/>
    <mergeCell ref="C276:K276"/>
    <mergeCell ref="C264:E264"/>
    <mergeCell ref="C265:E265"/>
    <mergeCell ref="C266:E266"/>
    <mergeCell ref="C267:E267"/>
    <mergeCell ref="C268:E268"/>
    <mergeCell ref="C269:E269"/>
    <mergeCell ref="C258:N258"/>
    <mergeCell ref="A259:N259"/>
    <mergeCell ref="C260:E260"/>
    <mergeCell ref="C261:N261"/>
    <mergeCell ref="C262:E262"/>
    <mergeCell ref="C263:E263"/>
    <mergeCell ref="C251:E251"/>
    <mergeCell ref="C252:E252"/>
    <mergeCell ref="C253:E253"/>
    <mergeCell ref="C254:E254"/>
    <mergeCell ref="C255:E255"/>
    <mergeCell ref="C257:N257"/>
    <mergeCell ref="C245:E245"/>
    <mergeCell ref="C246:E246"/>
    <mergeCell ref="C247:E247"/>
    <mergeCell ref="C248:E248"/>
    <mergeCell ref="C249:E249"/>
    <mergeCell ref="C250:E250"/>
    <mergeCell ref="C238:E238"/>
    <mergeCell ref="A240:N240"/>
    <mergeCell ref="C241:E241"/>
    <mergeCell ref="C242:N242"/>
    <mergeCell ref="C243:N243"/>
    <mergeCell ref="C244:E244"/>
    <mergeCell ref="C231:E231"/>
    <mergeCell ref="C232:E232"/>
    <mergeCell ref="C233:E233"/>
    <mergeCell ref="C234:E234"/>
    <mergeCell ref="C235:E235"/>
    <mergeCell ref="C236:E236"/>
    <mergeCell ref="C225:E225"/>
    <mergeCell ref="C226:N226"/>
    <mergeCell ref="C227:N227"/>
    <mergeCell ref="C228:E228"/>
    <mergeCell ref="C229:E229"/>
    <mergeCell ref="C230:E230"/>
    <mergeCell ref="C217:E217"/>
    <mergeCell ref="C218:E218"/>
    <mergeCell ref="C219:E219"/>
    <mergeCell ref="C220:E220"/>
    <mergeCell ref="C221:E221"/>
    <mergeCell ref="C223:E223"/>
    <mergeCell ref="C211:E211"/>
    <mergeCell ref="C212:E212"/>
    <mergeCell ref="C213:E213"/>
    <mergeCell ref="C214:E214"/>
    <mergeCell ref="C215:E215"/>
    <mergeCell ref="C216:E216"/>
    <mergeCell ref="C204:E204"/>
    <mergeCell ref="C205:E205"/>
    <mergeCell ref="C206:E206"/>
    <mergeCell ref="C208:E208"/>
    <mergeCell ref="C209:N209"/>
    <mergeCell ref="C210:N210"/>
    <mergeCell ref="C198:E198"/>
    <mergeCell ref="C199:E199"/>
    <mergeCell ref="C200:E200"/>
    <mergeCell ref="C201:E201"/>
    <mergeCell ref="C202:E202"/>
    <mergeCell ref="C203:E203"/>
    <mergeCell ref="C189:E189"/>
    <mergeCell ref="C191:E191"/>
    <mergeCell ref="C193:E193"/>
    <mergeCell ref="C195:N195"/>
    <mergeCell ref="C196:E196"/>
    <mergeCell ref="C197:N197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69:E169"/>
    <mergeCell ref="C171:N171"/>
    <mergeCell ref="C172:N172"/>
    <mergeCell ref="C173:E173"/>
    <mergeCell ref="C174:N174"/>
    <mergeCell ref="C175:N175"/>
    <mergeCell ref="C163:E163"/>
    <mergeCell ref="C164:E164"/>
    <mergeCell ref="C165:E165"/>
    <mergeCell ref="C166:E166"/>
    <mergeCell ref="C167:E167"/>
    <mergeCell ref="C168:E168"/>
    <mergeCell ref="C157:N157"/>
    <mergeCell ref="C158:E158"/>
    <mergeCell ref="C159:E159"/>
    <mergeCell ref="C160:E160"/>
    <mergeCell ref="C161:E161"/>
    <mergeCell ref="C162:E162"/>
    <mergeCell ref="C150:E150"/>
    <mergeCell ref="C151:E151"/>
    <mergeCell ref="C152:E152"/>
    <mergeCell ref="C154:N154"/>
    <mergeCell ref="C155:E155"/>
    <mergeCell ref="C156:N156"/>
    <mergeCell ref="C144:E144"/>
    <mergeCell ref="C145:E145"/>
    <mergeCell ref="C146:E146"/>
    <mergeCell ref="C147:E147"/>
    <mergeCell ref="C148:E148"/>
    <mergeCell ref="C149:E149"/>
    <mergeCell ref="C138:E138"/>
    <mergeCell ref="C139:N139"/>
    <mergeCell ref="C140:N140"/>
    <mergeCell ref="C141:E141"/>
    <mergeCell ref="C142:E142"/>
    <mergeCell ref="C143:E143"/>
    <mergeCell ref="C132:K132"/>
    <mergeCell ref="C133:K133"/>
    <mergeCell ref="C134:K134"/>
    <mergeCell ref="C135:K135"/>
    <mergeCell ref="C136:K136"/>
    <mergeCell ref="A137:N137"/>
    <mergeCell ref="C126:K126"/>
    <mergeCell ref="C127:K127"/>
    <mergeCell ref="C128:K128"/>
    <mergeCell ref="C129:K129"/>
    <mergeCell ref="C130:K130"/>
    <mergeCell ref="C131:K131"/>
    <mergeCell ref="C120:K120"/>
    <mergeCell ref="C121:K121"/>
    <mergeCell ref="C122:K122"/>
    <mergeCell ref="C123:K123"/>
    <mergeCell ref="C124:K124"/>
    <mergeCell ref="C125:K125"/>
    <mergeCell ref="C112:E112"/>
    <mergeCell ref="C113:E113"/>
    <mergeCell ref="C114:E114"/>
    <mergeCell ref="C117:K117"/>
    <mergeCell ref="C118:K118"/>
    <mergeCell ref="C119:K119"/>
    <mergeCell ref="C106:E106"/>
    <mergeCell ref="C107:E107"/>
    <mergeCell ref="C108:E108"/>
    <mergeCell ref="C109:E109"/>
    <mergeCell ref="C110:E110"/>
    <mergeCell ref="C111:E111"/>
    <mergeCell ref="C100:N100"/>
    <mergeCell ref="C101:E101"/>
    <mergeCell ref="C102:E102"/>
    <mergeCell ref="C103:E103"/>
    <mergeCell ref="C104:E104"/>
    <mergeCell ref="C105:E105"/>
    <mergeCell ref="C91:E91"/>
    <mergeCell ref="C93:E93"/>
    <mergeCell ref="C95:N95"/>
    <mergeCell ref="C96:E96"/>
    <mergeCell ref="C98:E98"/>
    <mergeCell ref="C99:N99"/>
    <mergeCell ref="C85:E85"/>
    <mergeCell ref="C86:E86"/>
    <mergeCell ref="C87:E87"/>
    <mergeCell ref="C88:E88"/>
    <mergeCell ref="C89:E89"/>
    <mergeCell ref="C90:E90"/>
    <mergeCell ref="C79:E79"/>
    <mergeCell ref="C80:E80"/>
    <mergeCell ref="C81:E81"/>
    <mergeCell ref="C82:E82"/>
    <mergeCell ref="C83:E83"/>
    <mergeCell ref="C84:E84"/>
    <mergeCell ref="C73:N73"/>
    <mergeCell ref="C74:E74"/>
    <mergeCell ref="C75:N75"/>
    <mergeCell ref="C76:N76"/>
    <mergeCell ref="C77:E77"/>
    <mergeCell ref="C78:E78"/>
    <mergeCell ref="C66:E66"/>
    <mergeCell ref="C67:E67"/>
    <mergeCell ref="C68:E68"/>
    <mergeCell ref="C69:E69"/>
    <mergeCell ref="C70:E70"/>
    <mergeCell ref="C71:E71"/>
    <mergeCell ref="C60:E60"/>
    <mergeCell ref="C61:E61"/>
    <mergeCell ref="C62:E62"/>
    <mergeCell ref="C63:E63"/>
    <mergeCell ref="C64:E64"/>
    <mergeCell ref="C65:E65"/>
    <mergeCell ref="C53:E53"/>
    <mergeCell ref="C54:E54"/>
    <mergeCell ref="C56:N56"/>
    <mergeCell ref="C57:E57"/>
    <mergeCell ref="C58:N58"/>
    <mergeCell ref="C59:N59"/>
    <mergeCell ref="C47:E47"/>
    <mergeCell ref="C48:E48"/>
    <mergeCell ref="C49:E49"/>
    <mergeCell ref="C50:E50"/>
    <mergeCell ref="C51:E51"/>
    <mergeCell ref="C52:E52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400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K369"/>
  <sheetViews>
    <sheetView topLeftCell="A332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29" width="34.140625" style="537" hidden="1" customWidth="1"/>
    <col min="30" max="32" width="84.42578125" style="537" hidden="1" customWidth="1"/>
    <col min="33" max="33" width="34.140625" style="537" hidden="1" customWidth="1"/>
    <col min="34" max="34" width="110.140625" style="537" hidden="1" customWidth="1"/>
    <col min="35" max="37" width="84.42578125" style="537" hidden="1" customWidth="1"/>
    <col min="38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3488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3488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3489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606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606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/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333.78</v>
      </c>
      <c r="D28" s="579" t="s">
        <v>3490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333.78</v>
      </c>
      <c r="D30" s="579" t="s">
        <v>3490</v>
      </c>
      <c r="E30" s="665" t="s">
        <v>167</v>
      </c>
      <c r="G30" s="536" t="s">
        <v>170</v>
      </c>
      <c r="L30" s="580">
        <v>0</v>
      </c>
      <c r="M30" s="579" t="s">
        <v>3159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665" t="s">
        <v>167</v>
      </c>
      <c r="G31" s="536" t="s">
        <v>172</v>
      </c>
      <c r="L31" s="582"/>
      <c r="M31" s="582">
        <v>80.33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665" t="s">
        <v>167</v>
      </c>
      <c r="G32" s="536" t="s">
        <v>174</v>
      </c>
      <c r="L32" s="582"/>
      <c r="M32" s="582">
        <v>13.96</v>
      </c>
      <c r="N32" s="581" t="s">
        <v>173</v>
      </c>
    </row>
    <row r="33" spans="1:28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8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8" s="536" customFormat="1" ht="12" x14ac:dyDescent="0.2">
      <c r="A39" s="1824" t="s">
        <v>976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976</v>
      </c>
    </row>
    <row r="40" spans="1:28" s="536" customFormat="1" ht="56.25" x14ac:dyDescent="0.2">
      <c r="A40" s="575" t="s">
        <v>185</v>
      </c>
      <c r="B40" s="670" t="s">
        <v>1349</v>
      </c>
      <c r="C40" s="1823" t="s">
        <v>1350</v>
      </c>
      <c r="D40" s="1823"/>
      <c r="E40" s="1823"/>
      <c r="F40" s="573" t="s">
        <v>455</v>
      </c>
      <c r="G40" s="573"/>
      <c r="H40" s="573"/>
      <c r="I40" s="573" t="s">
        <v>3491</v>
      </c>
      <c r="J40" s="572"/>
      <c r="K40" s="573"/>
      <c r="L40" s="572"/>
      <c r="M40" s="571"/>
      <c r="N40" s="570"/>
      <c r="V40" s="674"/>
      <c r="W40" s="675" t="s">
        <v>1350</v>
      </c>
    </row>
    <row r="41" spans="1:28" s="536" customFormat="1" ht="12" x14ac:dyDescent="0.2">
      <c r="A41" s="676"/>
      <c r="B41" s="664"/>
      <c r="C41" s="1822" t="s">
        <v>3492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3492</v>
      </c>
    </row>
    <row r="42" spans="1:28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Y42" s="537" t="s">
        <v>311</v>
      </c>
    </row>
    <row r="43" spans="1:28" s="536" customFormat="1" ht="12" x14ac:dyDescent="0.2">
      <c r="A43" s="605"/>
      <c r="B43" s="552" t="s">
        <v>186</v>
      </c>
      <c r="C43" s="1822" t="s">
        <v>344</v>
      </c>
      <c r="D43" s="1822"/>
      <c r="E43" s="1822"/>
      <c r="F43" s="562"/>
      <c r="G43" s="562"/>
      <c r="H43" s="562"/>
      <c r="I43" s="562"/>
      <c r="J43" s="604">
        <v>7550.19</v>
      </c>
      <c r="K43" s="562" t="s">
        <v>313</v>
      </c>
      <c r="L43" s="604">
        <v>299.74</v>
      </c>
      <c r="M43" s="603"/>
      <c r="N43" s="602"/>
      <c r="V43" s="674"/>
      <c r="W43" s="675"/>
      <c r="Z43" s="537" t="s">
        <v>344</v>
      </c>
    </row>
    <row r="44" spans="1:28" s="536" customFormat="1" ht="12" x14ac:dyDescent="0.2">
      <c r="A44" s="605"/>
      <c r="B44" s="552" t="s">
        <v>187</v>
      </c>
      <c r="C44" s="1822" t="s">
        <v>345</v>
      </c>
      <c r="D44" s="1822"/>
      <c r="E44" s="1822"/>
      <c r="F44" s="562"/>
      <c r="G44" s="562"/>
      <c r="H44" s="562"/>
      <c r="I44" s="562"/>
      <c r="J44" s="604">
        <v>884.25</v>
      </c>
      <c r="K44" s="562" t="s">
        <v>313</v>
      </c>
      <c r="L44" s="604">
        <v>35.1</v>
      </c>
      <c r="M44" s="603"/>
      <c r="N44" s="602"/>
      <c r="V44" s="674"/>
      <c r="W44" s="675"/>
      <c r="Z44" s="537" t="s">
        <v>345</v>
      </c>
    </row>
    <row r="45" spans="1:28" s="536" customFormat="1" ht="12" x14ac:dyDescent="0.2">
      <c r="A45" s="605"/>
      <c r="B45" s="552"/>
      <c r="C45" s="1822" t="s">
        <v>348</v>
      </c>
      <c r="D45" s="1822"/>
      <c r="E45" s="1822"/>
      <c r="F45" s="562" t="s">
        <v>315</v>
      </c>
      <c r="G45" s="562" t="s">
        <v>1353</v>
      </c>
      <c r="H45" s="562" t="s">
        <v>313</v>
      </c>
      <c r="I45" s="562" t="s">
        <v>3493</v>
      </c>
      <c r="J45" s="604"/>
      <c r="K45" s="562"/>
      <c r="L45" s="604"/>
      <c r="M45" s="603"/>
      <c r="N45" s="602"/>
      <c r="V45" s="674"/>
      <c r="W45" s="675"/>
      <c r="AA45" s="537" t="s">
        <v>348</v>
      </c>
    </row>
    <row r="46" spans="1:28" s="536" customFormat="1" ht="12" x14ac:dyDescent="0.2">
      <c r="A46" s="605"/>
      <c r="B46" s="552"/>
      <c r="C46" s="1828" t="s">
        <v>318</v>
      </c>
      <c r="D46" s="1828"/>
      <c r="E46" s="1828"/>
      <c r="F46" s="608"/>
      <c r="G46" s="608"/>
      <c r="H46" s="608"/>
      <c r="I46" s="608"/>
      <c r="J46" s="607">
        <v>7550.19</v>
      </c>
      <c r="K46" s="608"/>
      <c r="L46" s="607">
        <v>299.74</v>
      </c>
      <c r="M46" s="601"/>
      <c r="N46" s="606"/>
      <c r="V46" s="674"/>
      <c r="W46" s="675"/>
      <c r="AB46" s="537" t="s">
        <v>318</v>
      </c>
    </row>
    <row r="47" spans="1:28" s="536" customFormat="1" ht="12" x14ac:dyDescent="0.2">
      <c r="A47" s="605"/>
      <c r="B47" s="552"/>
      <c r="C47" s="1822" t="s">
        <v>319</v>
      </c>
      <c r="D47" s="1822"/>
      <c r="E47" s="1822"/>
      <c r="F47" s="562"/>
      <c r="G47" s="562"/>
      <c r="H47" s="562"/>
      <c r="I47" s="562"/>
      <c r="J47" s="604"/>
      <c r="K47" s="562"/>
      <c r="L47" s="604">
        <v>35.1</v>
      </c>
      <c r="M47" s="603"/>
      <c r="N47" s="602"/>
      <c r="V47" s="674"/>
      <c r="W47" s="675"/>
      <c r="AA47" s="537" t="s">
        <v>319</v>
      </c>
    </row>
    <row r="48" spans="1:28" s="536" customFormat="1" ht="33.75" x14ac:dyDescent="0.2">
      <c r="A48" s="605"/>
      <c r="B48" s="552" t="s">
        <v>460</v>
      </c>
      <c r="C48" s="1822" t="s">
        <v>461</v>
      </c>
      <c r="D48" s="1822"/>
      <c r="E48" s="1822"/>
      <c r="F48" s="562" t="s">
        <v>322</v>
      </c>
      <c r="G48" s="562" t="s">
        <v>462</v>
      </c>
      <c r="H48" s="562"/>
      <c r="I48" s="562" t="s">
        <v>462</v>
      </c>
      <c r="J48" s="604"/>
      <c r="K48" s="562"/>
      <c r="L48" s="604">
        <v>32.29</v>
      </c>
      <c r="M48" s="603"/>
      <c r="N48" s="602"/>
      <c r="V48" s="674"/>
      <c r="W48" s="675"/>
      <c r="AA48" s="537" t="s">
        <v>461</v>
      </c>
    </row>
    <row r="49" spans="1:29" s="536" customFormat="1" ht="33.75" x14ac:dyDescent="0.2">
      <c r="A49" s="605"/>
      <c r="B49" s="552" t="s">
        <v>463</v>
      </c>
      <c r="C49" s="1822" t="s">
        <v>464</v>
      </c>
      <c r="D49" s="1822"/>
      <c r="E49" s="1822"/>
      <c r="F49" s="562" t="s">
        <v>322</v>
      </c>
      <c r="G49" s="562" t="s">
        <v>465</v>
      </c>
      <c r="H49" s="562"/>
      <c r="I49" s="562" t="s">
        <v>465</v>
      </c>
      <c r="J49" s="604"/>
      <c r="K49" s="562"/>
      <c r="L49" s="604">
        <v>16.149999999999999</v>
      </c>
      <c r="M49" s="603"/>
      <c r="N49" s="602"/>
      <c r="V49" s="674"/>
      <c r="W49" s="675"/>
      <c r="AA49" s="537" t="s">
        <v>464</v>
      </c>
    </row>
    <row r="50" spans="1:29" s="536" customFormat="1" ht="12" x14ac:dyDescent="0.2">
      <c r="A50" s="569"/>
      <c r="B50" s="671"/>
      <c r="C50" s="1823" t="s">
        <v>327</v>
      </c>
      <c r="D50" s="1823"/>
      <c r="E50" s="1823"/>
      <c r="F50" s="573"/>
      <c r="G50" s="573"/>
      <c r="H50" s="573"/>
      <c r="I50" s="573"/>
      <c r="J50" s="572"/>
      <c r="K50" s="573"/>
      <c r="L50" s="572">
        <v>348.18</v>
      </c>
      <c r="M50" s="601"/>
      <c r="N50" s="570"/>
      <c r="V50" s="674"/>
      <c r="W50" s="675"/>
      <c r="AC50" s="675" t="s">
        <v>327</v>
      </c>
    </row>
    <row r="51" spans="1:29" s="536" customFormat="1" ht="45" x14ac:dyDescent="0.2">
      <c r="A51" s="575" t="s">
        <v>186</v>
      </c>
      <c r="B51" s="670" t="s">
        <v>495</v>
      </c>
      <c r="C51" s="1823" t="s">
        <v>496</v>
      </c>
      <c r="D51" s="1823"/>
      <c r="E51" s="1823"/>
      <c r="F51" s="573" t="s">
        <v>455</v>
      </c>
      <c r="G51" s="573"/>
      <c r="H51" s="573"/>
      <c r="I51" s="573" t="s">
        <v>3494</v>
      </c>
      <c r="J51" s="572"/>
      <c r="K51" s="573"/>
      <c r="L51" s="572"/>
      <c r="M51" s="571"/>
      <c r="N51" s="570"/>
      <c r="V51" s="674"/>
      <c r="W51" s="675" t="s">
        <v>496</v>
      </c>
      <c r="AC51" s="675"/>
    </row>
    <row r="52" spans="1:29" s="536" customFormat="1" ht="12" x14ac:dyDescent="0.2">
      <c r="A52" s="676"/>
      <c r="B52" s="664"/>
      <c r="C52" s="1822" t="s">
        <v>3495</v>
      </c>
      <c r="D52" s="1822"/>
      <c r="E52" s="1822"/>
      <c r="F52" s="1822"/>
      <c r="G52" s="1822"/>
      <c r="H52" s="1822"/>
      <c r="I52" s="1822"/>
      <c r="J52" s="1822"/>
      <c r="K52" s="1822"/>
      <c r="L52" s="1822"/>
      <c r="M52" s="1822"/>
      <c r="N52" s="1827"/>
      <c r="V52" s="674"/>
      <c r="W52" s="675"/>
      <c r="X52" s="537" t="s">
        <v>3495</v>
      </c>
      <c r="AC52" s="675"/>
    </row>
    <row r="53" spans="1:29" s="536" customFormat="1" ht="33.75" x14ac:dyDescent="0.2">
      <c r="A53" s="609"/>
      <c r="B53" s="552" t="s">
        <v>310</v>
      </c>
      <c r="C53" s="1822" t="s">
        <v>311</v>
      </c>
      <c r="D53" s="1822"/>
      <c r="E53" s="1822"/>
      <c r="F53" s="1822"/>
      <c r="G53" s="1822"/>
      <c r="H53" s="1822"/>
      <c r="I53" s="1822"/>
      <c r="J53" s="1822"/>
      <c r="K53" s="1822"/>
      <c r="L53" s="1822"/>
      <c r="M53" s="1822"/>
      <c r="N53" s="1827"/>
      <c r="V53" s="674"/>
      <c r="W53" s="675"/>
      <c r="Y53" s="537" t="s">
        <v>311</v>
      </c>
      <c r="AC53" s="675"/>
    </row>
    <row r="54" spans="1:29" s="536" customFormat="1" ht="12" x14ac:dyDescent="0.2">
      <c r="A54" s="605"/>
      <c r="B54" s="552" t="s">
        <v>186</v>
      </c>
      <c r="C54" s="1822" t="s">
        <v>344</v>
      </c>
      <c r="D54" s="1822"/>
      <c r="E54" s="1822"/>
      <c r="F54" s="562"/>
      <c r="G54" s="562"/>
      <c r="H54" s="562"/>
      <c r="I54" s="562"/>
      <c r="J54" s="604">
        <v>5532.96</v>
      </c>
      <c r="K54" s="562" t="s">
        <v>313</v>
      </c>
      <c r="L54" s="604">
        <v>9.1300000000000008</v>
      </c>
      <c r="M54" s="603"/>
      <c r="N54" s="602"/>
      <c r="V54" s="674"/>
      <c r="W54" s="675"/>
      <c r="Z54" s="537" t="s">
        <v>344</v>
      </c>
      <c r="AC54" s="675"/>
    </row>
    <row r="55" spans="1:29" s="536" customFormat="1" ht="12" x14ac:dyDescent="0.2">
      <c r="A55" s="605"/>
      <c r="B55" s="552" t="s">
        <v>187</v>
      </c>
      <c r="C55" s="1822" t="s">
        <v>345</v>
      </c>
      <c r="D55" s="1822"/>
      <c r="E55" s="1822"/>
      <c r="F55" s="562"/>
      <c r="G55" s="562"/>
      <c r="H55" s="562"/>
      <c r="I55" s="562"/>
      <c r="J55" s="604">
        <v>648</v>
      </c>
      <c r="K55" s="562" t="s">
        <v>313</v>
      </c>
      <c r="L55" s="604">
        <v>1.07</v>
      </c>
      <c r="M55" s="603"/>
      <c r="N55" s="602"/>
      <c r="V55" s="674"/>
      <c r="W55" s="675"/>
      <c r="Z55" s="537" t="s">
        <v>345</v>
      </c>
      <c r="AC55" s="675"/>
    </row>
    <row r="56" spans="1:29" s="536" customFormat="1" ht="12" x14ac:dyDescent="0.2">
      <c r="A56" s="605"/>
      <c r="B56" s="552"/>
      <c r="C56" s="1822" t="s">
        <v>348</v>
      </c>
      <c r="D56" s="1822"/>
      <c r="E56" s="1822"/>
      <c r="F56" s="562" t="s">
        <v>315</v>
      </c>
      <c r="G56" s="562" t="s">
        <v>501</v>
      </c>
      <c r="H56" s="562" t="s">
        <v>313</v>
      </c>
      <c r="I56" s="562" t="s">
        <v>3496</v>
      </c>
      <c r="J56" s="604"/>
      <c r="K56" s="562"/>
      <c r="L56" s="604"/>
      <c r="M56" s="603"/>
      <c r="N56" s="602"/>
      <c r="V56" s="674"/>
      <c r="W56" s="675"/>
      <c r="AA56" s="537" t="s">
        <v>348</v>
      </c>
      <c r="AC56" s="675"/>
    </row>
    <row r="57" spans="1:29" s="536" customFormat="1" ht="12" x14ac:dyDescent="0.2">
      <c r="A57" s="605"/>
      <c r="B57" s="552"/>
      <c r="C57" s="1828" t="s">
        <v>318</v>
      </c>
      <c r="D57" s="1828"/>
      <c r="E57" s="1828"/>
      <c r="F57" s="608"/>
      <c r="G57" s="608"/>
      <c r="H57" s="608"/>
      <c r="I57" s="608"/>
      <c r="J57" s="607">
        <v>5532.96</v>
      </c>
      <c r="K57" s="608"/>
      <c r="L57" s="607">
        <v>9.1300000000000008</v>
      </c>
      <c r="M57" s="601"/>
      <c r="N57" s="606"/>
      <c r="V57" s="674"/>
      <c r="W57" s="675"/>
      <c r="AB57" s="537" t="s">
        <v>318</v>
      </c>
      <c r="AC57" s="675"/>
    </row>
    <row r="58" spans="1:29" s="536" customFormat="1" ht="12" x14ac:dyDescent="0.2">
      <c r="A58" s="605"/>
      <c r="B58" s="552"/>
      <c r="C58" s="1822" t="s">
        <v>319</v>
      </c>
      <c r="D58" s="1822"/>
      <c r="E58" s="1822"/>
      <c r="F58" s="562"/>
      <c r="G58" s="562"/>
      <c r="H58" s="562"/>
      <c r="I58" s="562"/>
      <c r="J58" s="604"/>
      <c r="K58" s="562"/>
      <c r="L58" s="604">
        <v>1.07</v>
      </c>
      <c r="M58" s="603"/>
      <c r="N58" s="602"/>
      <c r="V58" s="674"/>
      <c r="W58" s="675"/>
      <c r="AA58" s="537" t="s">
        <v>319</v>
      </c>
      <c r="AC58" s="675"/>
    </row>
    <row r="59" spans="1:29" s="536" customFormat="1" ht="33.75" x14ac:dyDescent="0.2">
      <c r="A59" s="605"/>
      <c r="B59" s="552" t="s">
        <v>460</v>
      </c>
      <c r="C59" s="1822" t="s">
        <v>461</v>
      </c>
      <c r="D59" s="1822"/>
      <c r="E59" s="1822"/>
      <c r="F59" s="562" t="s">
        <v>322</v>
      </c>
      <c r="G59" s="562" t="s">
        <v>462</v>
      </c>
      <c r="H59" s="562"/>
      <c r="I59" s="562" t="s">
        <v>462</v>
      </c>
      <c r="J59" s="604"/>
      <c r="K59" s="562"/>
      <c r="L59" s="604">
        <v>0.98</v>
      </c>
      <c r="M59" s="603"/>
      <c r="N59" s="602"/>
      <c r="V59" s="674"/>
      <c r="W59" s="675"/>
      <c r="AA59" s="537" t="s">
        <v>461</v>
      </c>
      <c r="AC59" s="675"/>
    </row>
    <row r="60" spans="1:29" s="536" customFormat="1" ht="33.75" x14ac:dyDescent="0.2">
      <c r="A60" s="605"/>
      <c r="B60" s="552" t="s">
        <v>463</v>
      </c>
      <c r="C60" s="1822" t="s">
        <v>464</v>
      </c>
      <c r="D60" s="1822"/>
      <c r="E60" s="1822"/>
      <c r="F60" s="562" t="s">
        <v>322</v>
      </c>
      <c r="G60" s="562" t="s">
        <v>465</v>
      </c>
      <c r="H60" s="562"/>
      <c r="I60" s="562" t="s">
        <v>465</v>
      </c>
      <c r="J60" s="604"/>
      <c r="K60" s="562"/>
      <c r="L60" s="604">
        <v>0.49</v>
      </c>
      <c r="M60" s="603"/>
      <c r="N60" s="602"/>
      <c r="V60" s="674"/>
      <c r="W60" s="675"/>
      <c r="AA60" s="537" t="s">
        <v>464</v>
      </c>
      <c r="AC60" s="675"/>
    </row>
    <row r="61" spans="1:29" s="536" customFormat="1" ht="12" x14ac:dyDescent="0.2">
      <c r="A61" s="569"/>
      <c r="B61" s="671"/>
      <c r="C61" s="1823" t="s">
        <v>327</v>
      </c>
      <c r="D61" s="1823"/>
      <c r="E61" s="1823"/>
      <c r="F61" s="573"/>
      <c r="G61" s="573"/>
      <c r="H61" s="573"/>
      <c r="I61" s="573"/>
      <c r="J61" s="572"/>
      <c r="K61" s="573"/>
      <c r="L61" s="572">
        <v>10.6</v>
      </c>
      <c r="M61" s="601"/>
      <c r="N61" s="570"/>
      <c r="V61" s="674"/>
      <c r="W61" s="675"/>
      <c r="AC61" s="675" t="s">
        <v>327</v>
      </c>
    </row>
    <row r="62" spans="1:29" s="536" customFormat="1" ht="56.25" x14ac:dyDescent="0.2">
      <c r="A62" s="575" t="s">
        <v>187</v>
      </c>
      <c r="B62" s="670" t="s">
        <v>1358</v>
      </c>
      <c r="C62" s="1823" t="s">
        <v>1359</v>
      </c>
      <c r="D62" s="1823"/>
      <c r="E62" s="1823"/>
      <c r="F62" s="573" t="s">
        <v>455</v>
      </c>
      <c r="G62" s="573"/>
      <c r="H62" s="573"/>
      <c r="I62" s="573" t="s">
        <v>3494</v>
      </c>
      <c r="J62" s="572"/>
      <c r="K62" s="573"/>
      <c r="L62" s="572"/>
      <c r="M62" s="571"/>
      <c r="N62" s="570"/>
      <c r="V62" s="674"/>
      <c r="W62" s="675" t="s">
        <v>1359</v>
      </c>
      <c r="AC62" s="675"/>
    </row>
    <row r="63" spans="1:29" s="536" customFormat="1" ht="12" x14ac:dyDescent="0.2">
      <c r="A63" s="676"/>
      <c r="B63" s="664"/>
      <c r="C63" s="1822" t="s">
        <v>3495</v>
      </c>
      <c r="D63" s="1822"/>
      <c r="E63" s="1822"/>
      <c r="F63" s="1822"/>
      <c r="G63" s="1822"/>
      <c r="H63" s="1822"/>
      <c r="I63" s="1822"/>
      <c r="J63" s="1822"/>
      <c r="K63" s="1822"/>
      <c r="L63" s="1822"/>
      <c r="M63" s="1822"/>
      <c r="N63" s="1827"/>
      <c r="V63" s="674"/>
      <c r="W63" s="675"/>
      <c r="X63" s="537" t="s">
        <v>3495</v>
      </c>
      <c r="AC63" s="675"/>
    </row>
    <row r="64" spans="1:29" s="536" customFormat="1" ht="33.75" x14ac:dyDescent="0.2">
      <c r="A64" s="609"/>
      <c r="B64" s="552" t="s">
        <v>310</v>
      </c>
      <c r="C64" s="1822" t="s">
        <v>311</v>
      </c>
      <c r="D64" s="1822"/>
      <c r="E64" s="1822"/>
      <c r="F64" s="1822"/>
      <c r="G64" s="1822"/>
      <c r="H64" s="1822"/>
      <c r="I64" s="1822"/>
      <c r="J64" s="1822"/>
      <c r="K64" s="1822"/>
      <c r="L64" s="1822"/>
      <c r="M64" s="1822"/>
      <c r="N64" s="1827"/>
      <c r="V64" s="674"/>
      <c r="W64" s="675"/>
      <c r="Y64" s="537" t="s">
        <v>311</v>
      </c>
      <c r="AC64" s="675"/>
    </row>
    <row r="65" spans="1:29" s="536" customFormat="1" ht="12" x14ac:dyDescent="0.2">
      <c r="A65" s="605"/>
      <c r="B65" s="552" t="s">
        <v>186</v>
      </c>
      <c r="C65" s="1822" t="s">
        <v>344</v>
      </c>
      <c r="D65" s="1822"/>
      <c r="E65" s="1822"/>
      <c r="F65" s="562"/>
      <c r="G65" s="562"/>
      <c r="H65" s="562"/>
      <c r="I65" s="562"/>
      <c r="J65" s="604">
        <v>4264.99</v>
      </c>
      <c r="K65" s="562" t="s">
        <v>313</v>
      </c>
      <c r="L65" s="604">
        <v>7.04</v>
      </c>
      <c r="M65" s="603"/>
      <c r="N65" s="602"/>
      <c r="V65" s="674"/>
      <c r="W65" s="675"/>
      <c r="Z65" s="537" t="s">
        <v>344</v>
      </c>
      <c r="AC65" s="675"/>
    </row>
    <row r="66" spans="1:29" s="536" customFormat="1" ht="12" x14ac:dyDescent="0.2">
      <c r="A66" s="605"/>
      <c r="B66" s="552" t="s">
        <v>187</v>
      </c>
      <c r="C66" s="1822" t="s">
        <v>345</v>
      </c>
      <c r="D66" s="1822"/>
      <c r="E66" s="1822"/>
      <c r="F66" s="562"/>
      <c r="G66" s="562"/>
      <c r="H66" s="562"/>
      <c r="I66" s="562"/>
      <c r="J66" s="604">
        <v>499.5</v>
      </c>
      <c r="K66" s="562" t="s">
        <v>313</v>
      </c>
      <c r="L66" s="604">
        <v>0.82</v>
      </c>
      <c r="M66" s="603"/>
      <c r="N66" s="602"/>
      <c r="V66" s="674"/>
      <c r="W66" s="675"/>
      <c r="Z66" s="537" t="s">
        <v>345</v>
      </c>
      <c r="AC66" s="675"/>
    </row>
    <row r="67" spans="1:29" s="536" customFormat="1" ht="12" x14ac:dyDescent="0.2">
      <c r="A67" s="605"/>
      <c r="B67" s="552"/>
      <c r="C67" s="1822" t="s">
        <v>348</v>
      </c>
      <c r="D67" s="1822"/>
      <c r="E67" s="1822"/>
      <c r="F67" s="562" t="s">
        <v>315</v>
      </c>
      <c r="G67" s="562" t="s">
        <v>770</v>
      </c>
      <c r="H67" s="562" t="s">
        <v>313</v>
      </c>
      <c r="I67" s="562" t="s">
        <v>3497</v>
      </c>
      <c r="J67" s="604"/>
      <c r="K67" s="562"/>
      <c r="L67" s="604"/>
      <c r="M67" s="603"/>
      <c r="N67" s="602"/>
      <c r="V67" s="674"/>
      <c r="W67" s="675"/>
      <c r="AA67" s="537" t="s">
        <v>348</v>
      </c>
      <c r="AC67" s="675"/>
    </row>
    <row r="68" spans="1:29" s="536" customFormat="1" ht="12" x14ac:dyDescent="0.2">
      <c r="A68" s="605"/>
      <c r="B68" s="552"/>
      <c r="C68" s="1828" t="s">
        <v>318</v>
      </c>
      <c r="D68" s="1828"/>
      <c r="E68" s="1828"/>
      <c r="F68" s="608"/>
      <c r="G68" s="608"/>
      <c r="H68" s="608"/>
      <c r="I68" s="608"/>
      <c r="J68" s="607">
        <v>4264.99</v>
      </c>
      <c r="K68" s="608"/>
      <c r="L68" s="607">
        <v>7.04</v>
      </c>
      <c r="M68" s="601"/>
      <c r="N68" s="606"/>
      <c r="V68" s="674"/>
      <c r="W68" s="675"/>
      <c r="AB68" s="537" t="s">
        <v>318</v>
      </c>
      <c r="AC68" s="675"/>
    </row>
    <row r="69" spans="1:29" s="536" customFormat="1" ht="12" x14ac:dyDescent="0.2">
      <c r="A69" s="605"/>
      <c r="B69" s="552"/>
      <c r="C69" s="1822" t="s">
        <v>319</v>
      </c>
      <c r="D69" s="1822"/>
      <c r="E69" s="1822"/>
      <c r="F69" s="562"/>
      <c r="G69" s="562"/>
      <c r="H69" s="562"/>
      <c r="I69" s="562"/>
      <c r="J69" s="604"/>
      <c r="K69" s="562"/>
      <c r="L69" s="604">
        <v>0.82</v>
      </c>
      <c r="M69" s="603"/>
      <c r="N69" s="602"/>
      <c r="V69" s="674"/>
      <c r="W69" s="675"/>
      <c r="AA69" s="537" t="s">
        <v>319</v>
      </c>
      <c r="AC69" s="675"/>
    </row>
    <row r="70" spans="1:29" s="536" customFormat="1" ht="33.75" x14ac:dyDescent="0.2">
      <c r="A70" s="605"/>
      <c r="B70" s="552" t="s">
        <v>460</v>
      </c>
      <c r="C70" s="1822" t="s">
        <v>461</v>
      </c>
      <c r="D70" s="1822"/>
      <c r="E70" s="1822"/>
      <c r="F70" s="562" t="s">
        <v>322</v>
      </c>
      <c r="G70" s="562" t="s">
        <v>462</v>
      </c>
      <c r="H70" s="562"/>
      <c r="I70" s="562" t="s">
        <v>462</v>
      </c>
      <c r="J70" s="604"/>
      <c r="K70" s="562"/>
      <c r="L70" s="604">
        <v>0.75</v>
      </c>
      <c r="M70" s="603"/>
      <c r="N70" s="602"/>
      <c r="V70" s="674"/>
      <c r="W70" s="675"/>
      <c r="AA70" s="537" t="s">
        <v>461</v>
      </c>
      <c r="AC70" s="675"/>
    </row>
    <row r="71" spans="1:29" s="536" customFormat="1" ht="33.75" x14ac:dyDescent="0.2">
      <c r="A71" s="605"/>
      <c r="B71" s="552" t="s">
        <v>463</v>
      </c>
      <c r="C71" s="1822" t="s">
        <v>464</v>
      </c>
      <c r="D71" s="1822"/>
      <c r="E71" s="1822"/>
      <c r="F71" s="562" t="s">
        <v>322</v>
      </c>
      <c r="G71" s="562" t="s">
        <v>465</v>
      </c>
      <c r="H71" s="562"/>
      <c r="I71" s="562" t="s">
        <v>465</v>
      </c>
      <c r="J71" s="604"/>
      <c r="K71" s="562"/>
      <c r="L71" s="604">
        <v>0.38</v>
      </c>
      <c r="M71" s="603"/>
      <c r="N71" s="602"/>
      <c r="V71" s="674"/>
      <c r="W71" s="675"/>
      <c r="AA71" s="537" t="s">
        <v>464</v>
      </c>
      <c r="AC71" s="675"/>
    </row>
    <row r="72" spans="1:29" s="536" customFormat="1" ht="12" x14ac:dyDescent="0.2">
      <c r="A72" s="569"/>
      <c r="B72" s="671"/>
      <c r="C72" s="1823" t="s">
        <v>327</v>
      </c>
      <c r="D72" s="1823"/>
      <c r="E72" s="1823"/>
      <c r="F72" s="573"/>
      <c r="G72" s="573"/>
      <c r="H72" s="573"/>
      <c r="I72" s="573"/>
      <c r="J72" s="572"/>
      <c r="K72" s="573"/>
      <c r="L72" s="572">
        <v>8.17</v>
      </c>
      <c r="M72" s="601"/>
      <c r="N72" s="570"/>
      <c r="V72" s="674"/>
      <c r="W72" s="675"/>
      <c r="AC72" s="675" t="s">
        <v>327</v>
      </c>
    </row>
    <row r="73" spans="1:29" s="536" customFormat="1" ht="22.5" x14ac:dyDescent="0.2">
      <c r="A73" s="575" t="s">
        <v>188</v>
      </c>
      <c r="B73" s="670" t="s">
        <v>507</v>
      </c>
      <c r="C73" s="1823" t="s">
        <v>508</v>
      </c>
      <c r="D73" s="1823"/>
      <c r="E73" s="1823"/>
      <c r="F73" s="573" t="s">
        <v>509</v>
      </c>
      <c r="G73" s="573"/>
      <c r="H73" s="573"/>
      <c r="I73" s="573" t="s">
        <v>3498</v>
      </c>
      <c r="J73" s="572"/>
      <c r="K73" s="573"/>
      <c r="L73" s="572"/>
      <c r="M73" s="571"/>
      <c r="N73" s="570"/>
      <c r="V73" s="674"/>
      <c r="W73" s="675" t="s">
        <v>508</v>
      </c>
      <c r="AC73" s="675"/>
    </row>
    <row r="74" spans="1:29" s="536" customFormat="1" ht="12" x14ac:dyDescent="0.2">
      <c r="A74" s="676"/>
      <c r="B74" s="664"/>
      <c r="C74" s="1822" t="s">
        <v>3499</v>
      </c>
      <c r="D74" s="1822"/>
      <c r="E74" s="1822"/>
      <c r="F74" s="1822"/>
      <c r="G74" s="1822"/>
      <c r="H74" s="1822"/>
      <c r="I74" s="1822"/>
      <c r="J74" s="1822"/>
      <c r="K74" s="1822"/>
      <c r="L74" s="1822"/>
      <c r="M74" s="1822"/>
      <c r="N74" s="1827"/>
      <c r="V74" s="674"/>
      <c r="W74" s="675"/>
      <c r="X74" s="537" t="s">
        <v>3499</v>
      </c>
      <c r="AC74" s="675"/>
    </row>
    <row r="75" spans="1:29" s="536" customFormat="1" ht="33.75" x14ac:dyDescent="0.2">
      <c r="A75" s="609"/>
      <c r="B75" s="552" t="s">
        <v>310</v>
      </c>
      <c r="C75" s="1822" t="s">
        <v>311</v>
      </c>
      <c r="D75" s="1822"/>
      <c r="E75" s="1822"/>
      <c r="F75" s="1822"/>
      <c r="G75" s="1822"/>
      <c r="H75" s="1822"/>
      <c r="I75" s="1822"/>
      <c r="J75" s="1822"/>
      <c r="K75" s="1822"/>
      <c r="L75" s="1822"/>
      <c r="M75" s="1822"/>
      <c r="N75" s="1827"/>
      <c r="V75" s="674"/>
      <c r="W75" s="675"/>
      <c r="Y75" s="537" t="s">
        <v>311</v>
      </c>
      <c r="AC75" s="675"/>
    </row>
    <row r="76" spans="1:29" s="536" customFormat="1" ht="12" x14ac:dyDescent="0.2">
      <c r="A76" s="605"/>
      <c r="B76" s="552" t="s">
        <v>185</v>
      </c>
      <c r="C76" s="1822" t="s">
        <v>312</v>
      </c>
      <c r="D76" s="1822"/>
      <c r="E76" s="1822"/>
      <c r="F76" s="562"/>
      <c r="G76" s="562"/>
      <c r="H76" s="562"/>
      <c r="I76" s="562"/>
      <c r="J76" s="604">
        <v>127.61</v>
      </c>
      <c r="K76" s="562" t="s">
        <v>313</v>
      </c>
      <c r="L76" s="604">
        <v>2.11</v>
      </c>
      <c r="M76" s="603"/>
      <c r="N76" s="602"/>
      <c r="V76" s="674"/>
      <c r="W76" s="675"/>
      <c r="Z76" s="537" t="s">
        <v>312</v>
      </c>
      <c r="AC76" s="675"/>
    </row>
    <row r="77" spans="1:29" s="536" customFormat="1" ht="12" x14ac:dyDescent="0.2">
      <c r="A77" s="605"/>
      <c r="B77" s="552" t="s">
        <v>186</v>
      </c>
      <c r="C77" s="1822" t="s">
        <v>344</v>
      </c>
      <c r="D77" s="1822"/>
      <c r="E77" s="1822"/>
      <c r="F77" s="562"/>
      <c r="G77" s="562"/>
      <c r="H77" s="562"/>
      <c r="I77" s="562"/>
      <c r="J77" s="604">
        <v>288.58</v>
      </c>
      <c r="K77" s="562" t="s">
        <v>313</v>
      </c>
      <c r="L77" s="604">
        <v>4.76</v>
      </c>
      <c r="M77" s="603"/>
      <c r="N77" s="602"/>
      <c r="V77" s="674"/>
      <c r="W77" s="675"/>
      <c r="Z77" s="537" t="s">
        <v>344</v>
      </c>
      <c r="AC77" s="675"/>
    </row>
    <row r="78" spans="1:29" s="536" customFormat="1" ht="12" x14ac:dyDescent="0.2">
      <c r="A78" s="605"/>
      <c r="B78" s="552" t="s">
        <v>187</v>
      </c>
      <c r="C78" s="1822" t="s">
        <v>345</v>
      </c>
      <c r="D78" s="1822"/>
      <c r="E78" s="1822"/>
      <c r="F78" s="562"/>
      <c r="G78" s="562"/>
      <c r="H78" s="562"/>
      <c r="I78" s="562"/>
      <c r="J78" s="604">
        <v>31.49</v>
      </c>
      <c r="K78" s="562" t="s">
        <v>313</v>
      </c>
      <c r="L78" s="604">
        <v>0.52</v>
      </c>
      <c r="M78" s="603"/>
      <c r="N78" s="602"/>
      <c r="V78" s="674"/>
      <c r="W78" s="675"/>
      <c r="Z78" s="537" t="s">
        <v>345</v>
      </c>
      <c r="AC78" s="675"/>
    </row>
    <row r="79" spans="1:29" s="536" customFormat="1" ht="12" x14ac:dyDescent="0.2">
      <c r="A79" s="605"/>
      <c r="B79" s="552"/>
      <c r="C79" s="1822" t="s">
        <v>314</v>
      </c>
      <c r="D79" s="1822"/>
      <c r="E79" s="1822"/>
      <c r="F79" s="562" t="s">
        <v>315</v>
      </c>
      <c r="G79" s="562" t="s">
        <v>512</v>
      </c>
      <c r="H79" s="562" t="s">
        <v>313</v>
      </c>
      <c r="I79" s="562" t="s">
        <v>3500</v>
      </c>
      <c r="J79" s="604"/>
      <c r="K79" s="562"/>
      <c r="L79" s="604"/>
      <c r="M79" s="603"/>
      <c r="N79" s="602"/>
      <c r="V79" s="674"/>
      <c r="W79" s="675"/>
      <c r="AA79" s="537" t="s">
        <v>314</v>
      </c>
      <c r="AC79" s="675"/>
    </row>
    <row r="80" spans="1:29" s="536" customFormat="1" ht="12" x14ac:dyDescent="0.2">
      <c r="A80" s="605"/>
      <c r="B80" s="552"/>
      <c r="C80" s="1822" t="s">
        <v>348</v>
      </c>
      <c r="D80" s="1822"/>
      <c r="E80" s="1822"/>
      <c r="F80" s="562" t="s">
        <v>315</v>
      </c>
      <c r="G80" s="562" t="s">
        <v>514</v>
      </c>
      <c r="H80" s="562" t="s">
        <v>313</v>
      </c>
      <c r="I80" s="562" t="s">
        <v>3501</v>
      </c>
      <c r="J80" s="604"/>
      <c r="K80" s="562"/>
      <c r="L80" s="604"/>
      <c r="M80" s="603"/>
      <c r="N80" s="602"/>
      <c r="V80" s="674"/>
      <c r="W80" s="675"/>
      <c r="AA80" s="537" t="s">
        <v>348</v>
      </c>
      <c r="AC80" s="675"/>
    </row>
    <row r="81" spans="1:31" s="536" customFormat="1" ht="12" x14ac:dyDescent="0.2">
      <c r="A81" s="605"/>
      <c r="B81" s="552"/>
      <c r="C81" s="1828" t="s">
        <v>318</v>
      </c>
      <c r="D81" s="1828"/>
      <c r="E81" s="1828"/>
      <c r="F81" s="608"/>
      <c r="G81" s="608"/>
      <c r="H81" s="608"/>
      <c r="I81" s="608"/>
      <c r="J81" s="607">
        <v>416.19</v>
      </c>
      <c r="K81" s="608"/>
      <c r="L81" s="607">
        <v>6.87</v>
      </c>
      <c r="M81" s="601"/>
      <c r="N81" s="606"/>
      <c r="V81" s="674"/>
      <c r="W81" s="675"/>
      <c r="AB81" s="537" t="s">
        <v>318</v>
      </c>
      <c r="AC81" s="675"/>
    </row>
    <row r="82" spans="1:31" s="536" customFormat="1" ht="12" x14ac:dyDescent="0.2">
      <c r="A82" s="605"/>
      <c r="B82" s="552"/>
      <c r="C82" s="1822" t="s">
        <v>319</v>
      </c>
      <c r="D82" s="1822"/>
      <c r="E82" s="1822"/>
      <c r="F82" s="562"/>
      <c r="G82" s="562"/>
      <c r="H82" s="562"/>
      <c r="I82" s="562"/>
      <c r="J82" s="604"/>
      <c r="K82" s="562"/>
      <c r="L82" s="604">
        <v>2.63</v>
      </c>
      <c r="M82" s="603"/>
      <c r="N82" s="602"/>
      <c r="V82" s="674"/>
      <c r="W82" s="675"/>
      <c r="AA82" s="537" t="s">
        <v>319</v>
      </c>
      <c r="AC82" s="675"/>
    </row>
    <row r="83" spans="1:31" s="536" customFormat="1" ht="33.75" x14ac:dyDescent="0.2">
      <c r="A83" s="605"/>
      <c r="B83" s="552" t="s">
        <v>460</v>
      </c>
      <c r="C83" s="1822" t="s">
        <v>461</v>
      </c>
      <c r="D83" s="1822"/>
      <c r="E83" s="1822"/>
      <c r="F83" s="562" t="s">
        <v>322</v>
      </c>
      <c r="G83" s="562" t="s">
        <v>462</v>
      </c>
      <c r="H83" s="562"/>
      <c r="I83" s="562" t="s">
        <v>462</v>
      </c>
      <c r="J83" s="604"/>
      <c r="K83" s="562"/>
      <c r="L83" s="604">
        <v>2.42</v>
      </c>
      <c r="M83" s="603"/>
      <c r="N83" s="602"/>
      <c r="V83" s="674"/>
      <c r="W83" s="675"/>
      <c r="AA83" s="537" t="s">
        <v>461</v>
      </c>
      <c r="AC83" s="675"/>
    </row>
    <row r="84" spans="1:31" s="536" customFormat="1" ht="33.75" x14ac:dyDescent="0.2">
      <c r="A84" s="605"/>
      <c r="B84" s="552" t="s">
        <v>463</v>
      </c>
      <c r="C84" s="1822" t="s">
        <v>464</v>
      </c>
      <c r="D84" s="1822"/>
      <c r="E84" s="1822"/>
      <c r="F84" s="562" t="s">
        <v>322</v>
      </c>
      <c r="G84" s="562" t="s">
        <v>465</v>
      </c>
      <c r="H84" s="562"/>
      <c r="I84" s="562" t="s">
        <v>465</v>
      </c>
      <c r="J84" s="604"/>
      <c r="K84" s="562"/>
      <c r="L84" s="604">
        <v>1.21</v>
      </c>
      <c r="M84" s="603"/>
      <c r="N84" s="602"/>
      <c r="V84" s="674"/>
      <c r="W84" s="675"/>
      <c r="AA84" s="537" t="s">
        <v>464</v>
      </c>
      <c r="AC84" s="675"/>
    </row>
    <row r="85" spans="1:31" s="536" customFormat="1" ht="12" x14ac:dyDescent="0.2">
      <c r="A85" s="569"/>
      <c r="B85" s="671"/>
      <c r="C85" s="1823" t="s">
        <v>327</v>
      </c>
      <c r="D85" s="1823"/>
      <c r="E85" s="1823"/>
      <c r="F85" s="573"/>
      <c r="G85" s="573"/>
      <c r="H85" s="573"/>
      <c r="I85" s="573"/>
      <c r="J85" s="572"/>
      <c r="K85" s="573"/>
      <c r="L85" s="572">
        <v>10.5</v>
      </c>
      <c r="M85" s="601"/>
      <c r="N85" s="570"/>
      <c r="V85" s="674"/>
      <c r="W85" s="675"/>
      <c r="AC85" s="675" t="s">
        <v>327</v>
      </c>
    </row>
    <row r="86" spans="1:31" s="536" customFormat="1" ht="45" x14ac:dyDescent="0.2">
      <c r="A86" s="575" t="s">
        <v>189</v>
      </c>
      <c r="B86" s="670" t="s">
        <v>1005</v>
      </c>
      <c r="C86" s="1823" t="s">
        <v>1006</v>
      </c>
      <c r="D86" s="1823"/>
      <c r="E86" s="1823"/>
      <c r="F86" s="573" t="s">
        <v>201</v>
      </c>
      <c r="G86" s="573"/>
      <c r="H86" s="573"/>
      <c r="I86" s="573" t="s">
        <v>3502</v>
      </c>
      <c r="J86" s="572">
        <v>2.91</v>
      </c>
      <c r="K86" s="573"/>
      <c r="L86" s="572">
        <v>212.57</v>
      </c>
      <c r="M86" s="571"/>
      <c r="N86" s="570"/>
      <c r="V86" s="674"/>
      <c r="W86" s="675" t="s">
        <v>1006</v>
      </c>
      <c r="AC86" s="675"/>
    </row>
    <row r="87" spans="1:31" s="536" customFormat="1" ht="12" x14ac:dyDescent="0.2">
      <c r="A87" s="676"/>
      <c r="B87" s="664"/>
      <c r="C87" s="1822" t="s">
        <v>3503</v>
      </c>
      <c r="D87" s="1822"/>
      <c r="E87" s="1822"/>
      <c r="F87" s="1822"/>
      <c r="G87" s="1822"/>
      <c r="H87" s="1822"/>
      <c r="I87" s="1822"/>
      <c r="J87" s="1822"/>
      <c r="K87" s="1822"/>
      <c r="L87" s="1822"/>
      <c r="M87" s="1822"/>
      <c r="N87" s="1827"/>
      <c r="V87" s="674"/>
      <c r="W87" s="675"/>
      <c r="X87" s="537" t="s">
        <v>3503</v>
      </c>
      <c r="AC87" s="675"/>
    </row>
    <row r="88" spans="1:31" s="536" customFormat="1" ht="1.5" customHeight="1" x14ac:dyDescent="0.2">
      <c r="A88" s="563"/>
      <c r="B88" s="671"/>
      <c r="C88" s="671"/>
      <c r="D88" s="671"/>
      <c r="E88" s="671"/>
      <c r="F88" s="563"/>
      <c r="G88" s="563"/>
      <c r="H88" s="563"/>
      <c r="I88" s="563"/>
      <c r="J88" s="546"/>
      <c r="K88" s="563"/>
      <c r="L88" s="546"/>
      <c r="M88" s="562"/>
      <c r="N88" s="546"/>
      <c r="V88" s="674"/>
      <c r="W88" s="675"/>
      <c r="AC88" s="675"/>
    </row>
    <row r="89" spans="1:31" s="536" customFormat="1" ht="12" x14ac:dyDescent="0.2">
      <c r="A89" s="557"/>
      <c r="B89" s="556"/>
      <c r="C89" s="1823" t="s">
        <v>1021</v>
      </c>
      <c r="D89" s="1823"/>
      <c r="E89" s="1823"/>
      <c r="F89" s="1823"/>
      <c r="G89" s="1823"/>
      <c r="H89" s="1823"/>
      <c r="I89" s="1823"/>
      <c r="J89" s="1823"/>
      <c r="K89" s="1823"/>
      <c r="L89" s="555"/>
      <c r="M89" s="554"/>
      <c r="N89" s="553"/>
      <c r="V89" s="674"/>
      <c r="W89" s="675"/>
      <c r="AC89" s="675"/>
      <c r="AD89" s="675" t="s">
        <v>1021</v>
      </c>
    </row>
    <row r="90" spans="1:31" s="536" customFormat="1" ht="12" x14ac:dyDescent="0.2">
      <c r="A90" s="548"/>
      <c r="B90" s="552"/>
      <c r="C90" s="1822" t="s">
        <v>403</v>
      </c>
      <c r="D90" s="1822"/>
      <c r="E90" s="1822"/>
      <c r="F90" s="1822"/>
      <c r="G90" s="1822"/>
      <c r="H90" s="1822"/>
      <c r="I90" s="1822"/>
      <c r="J90" s="1822"/>
      <c r="K90" s="1822"/>
      <c r="L90" s="551">
        <v>535.35</v>
      </c>
      <c r="M90" s="550"/>
      <c r="N90" s="549"/>
      <c r="V90" s="674"/>
      <c r="W90" s="675"/>
      <c r="AC90" s="675"/>
      <c r="AD90" s="675"/>
      <c r="AE90" s="537" t="s">
        <v>403</v>
      </c>
    </row>
    <row r="91" spans="1:31" s="536" customFormat="1" ht="12" x14ac:dyDescent="0.2">
      <c r="A91" s="548"/>
      <c r="B91" s="552"/>
      <c r="C91" s="1822" t="s">
        <v>204</v>
      </c>
      <c r="D91" s="1822"/>
      <c r="E91" s="1822"/>
      <c r="F91" s="1822"/>
      <c r="G91" s="1822"/>
      <c r="H91" s="1822"/>
      <c r="I91" s="1822"/>
      <c r="J91" s="1822"/>
      <c r="K91" s="1822"/>
      <c r="L91" s="551"/>
      <c r="M91" s="550"/>
      <c r="N91" s="549"/>
      <c r="V91" s="674"/>
      <c r="W91" s="675"/>
      <c r="AC91" s="675"/>
      <c r="AD91" s="675"/>
      <c r="AE91" s="537" t="s">
        <v>204</v>
      </c>
    </row>
    <row r="92" spans="1:31" s="536" customFormat="1" ht="12" x14ac:dyDescent="0.2">
      <c r="A92" s="548"/>
      <c r="B92" s="552"/>
      <c r="C92" s="1822" t="s">
        <v>404</v>
      </c>
      <c r="D92" s="1822"/>
      <c r="E92" s="1822"/>
      <c r="F92" s="1822"/>
      <c r="G92" s="1822"/>
      <c r="H92" s="1822"/>
      <c r="I92" s="1822"/>
      <c r="J92" s="1822"/>
      <c r="K92" s="1822"/>
      <c r="L92" s="551">
        <v>2.11</v>
      </c>
      <c r="M92" s="550"/>
      <c r="N92" s="549"/>
      <c r="V92" s="674"/>
      <c r="W92" s="675"/>
      <c r="AC92" s="675"/>
      <c r="AD92" s="675"/>
      <c r="AE92" s="537" t="s">
        <v>404</v>
      </c>
    </row>
    <row r="93" spans="1:31" s="536" customFormat="1" ht="12" x14ac:dyDescent="0.2">
      <c r="A93" s="548"/>
      <c r="B93" s="552"/>
      <c r="C93" s="1822" t="s">
        <v>405</v>
      </c>
      <c r="D93" s="1822"/>
      <c r="E93" s="1822"/>
      <c r="F93" s="1822"/>
      <c r="G93" s="1822"/>
      <c r="H93" s="1822"/>
      <c r="I93" s="1822"/>
      <c r="J93" s="1822"/>
      <c r="K93" s="1822"/>
      <c r="L93" s="551">
        <v>533.24</v>
      </c>
      <c r="M93" s="550"/>
      <c r="N93" s="549"/>
      <c r="V93" s="674"/>
      <c r="W93" s="675"/>
      <c r="AC93" s="675"/>
      <c r="AD93" s="675"/>
      <c r="AE93" s="537" t="s">
        <v>405</v>
      </c>
    </row>
    <row r="94" spans="1:31" s="536" customFormat="1" ht="12" x14ac:dyDescent="0.2">
      <c r="A94" s="548"/>
      <c r="B94" s="552"/>
      <c r="C94" s="1822" t="s">
        <v>406</v>
      </c>
      <c r="D94" s="1822"/>
      <c r="E94" s="1822"/>
      <c r="F94" s="1822"/>
      <c r="G94" s="1822"/>
      <c r="H94" s="1822"/>
      <c r="I94" s="1822"/>
      <c r="J94" s="1822"/>
      <c r="K94" s="1822"/>
      <c r="L94" s="551">
        <v>37.51</v>
      </c>
      <c r="M94" s="550"/>
      <c r="N94" s="549"/>
      <c r="V94" s="674"/>
      <c r="W94" s="675"/>
      <c r="AC94" s="675"/>
      <c r="AD94" s="675"/>
      <c r="AE94" s="537" t="s">
        <v>406</v>
      </c>
    </row>
    <row r="95" spans="1:31" s="536" customFormat="1" ht="12" x14ac:dyDescent="0.2">
      <c r="A95" s="548"/>
      <c r="B95" s="552"/>
      <c r="C95" s="1822" t="s">
        <v>407</v>
      </c>
      <c r="D95" s="1822"/>
      <c r="E95" s="1822"/>
      <c r="F95" s="1822"/>
      <c r="G95" s="1822"/>
      <c r="H95" s="1822"/>
      <c r="I95" s="1822"/>
      <c r="J95" s="1822"/>
      <c r="K95" s="1822"/>
      <c r="L95" s="551">
        <v>590.02</v>
      </c>
      <c r="M95" s="550"/>
      <c r="N95" s="549"/>
      <c r="V95" s="674"/>
      <c r="W95" s="675"/>
      <c r="AC95" s="675"/>
      <c r="AD95" s="675"/>
      <c r="AE95" s="537" t="s">
        <v>407</v>
      </c>
    </row>
    <row r="96" spans="1:31" s="536" customFormat="1" ht="12" x14ac:dyDescent="0.2">
      <c r="A96" s="548"/>
      <c r="B96" s="552"/>
      <c r="C96" s="1822" t="s">
        <v>408</v>
      </c>
      <c r="D96" s="1822"/>
      <c r="E96" s="1822"/>
      <c r="F96" s="1822"/>
      <c r="G96" s="1822"/>
      <c r="H96" s="1822"/>
      <c r="I96" s="1822"/>
      <c r="J96" s="1822"/>
      <c r="K96" s="1822"/>
      <c r="L96" s="551">
        <v>377.45</v>
      </c>
      <c r="M96" s="550"/>
      <c r="N96" s="549"/>
      <c r="V96" s="674"/>
      <c r="W96" s="675"/>
      <c r="AC96" s="675"/>
      <c r="AD96" s="675"/>
      <c r="AE96" s="537" t="s">
        <v>408</v>
      </c>
    </row>
    <row r="97" spans="1:32" s="536" customFormat="1" ht="12" x14ac:dyDescent="0.2">
      <c r="A97" s="548"/>
      <c r="B97" s="552"/>
      <c r="C97" s="1822" t="s">
        <v>409</v>
      </c>
      <c r="D97" s="1822"/>
      <c r="E97" s="1822"/>
      <c r="F97" s="1822"/>
      <c r="G97" s="1822"/>
      <c r="H97" s="1822"/>
      <c r="I97" s="1822"/>
      <c r="J97" s="1822"/>
      <c r="K97" s="1822"/>
      <c r="L97" s="551"/>
      <c r="M97" s="550"/>
      <c r="N97" s="549"/>
      <c r="V97" s="674"/>
      <c r="W97" s="675"/>
      <c r="AC97" s="675"/>
      <c r="AD97" s="675"/>
      <c r="AE97" s="537" t="s">
        <v>409</v>
      </c>
    </row>
    <row r="98" spans="1:32" s="536" customFormat="1" ht="12" x14ac:dyDescent="0.2">
      <c r="A98" s="548"/>
      <c r="B98" s="552"/>
      <c r="C98" s="1822" t="s">
        <v>410</v>
      </c>
      <c r="D98" s="1822"/>
      <c r="E98" s="1822"/>
      <c r="F98" s="1822"/>
      <c r="G98" s="1822"/>
      <c r="H98" s="1822"/>
      <c r="I98" s="1822"/>
      <c r="J98" s="1822"/>
      <c r="K98" s="1822"/>
      <c r="L98" s="551">
        <v>2.11</v>
      </c>
      <c r="M98" s="550"/>
      <c r="N98" s="549"/>
      <c r="V98" s="674"/>
      <c r="W98" s="675"/>
      <c r="AC98" s="675"/>
      <c r="AD98" s="675"/>
      <c r="AE98" s="537" t="s">
        <v>410</v>
      </c>
    </row>
    <row r="99" spans="1:32" s="536" customFormat="1" ht="12" x14ac:dyDescent="0.2">
      <c r="A99" s="548"/>
      <c r="B99" s="552"/>
      <c r="C99" s="1822" t="s">
        <v>411</v>
      </c>
      <c r="D99" s="1822"/>
      <c r="E99" s="1822"/>
      <c r="F99" s="1822"/>
      <c r="G99" s="1822"/>
      <c r="H99" s="1822"/>
      <c r="I99" s="1822"/>
      <c r="J99" s="1822"/>
      <c r="K99" s="1822"/>
      <c r="L99" s="551">
        <v>320.67</v>
      </c>
      <c r="M99" s="550"/>
      <c r="N99" s="549"/>
      <c r="V99" s="674"/>
      <c r="W99" s="675"/>
      <c r="AC99" s="675"/>
      <c r="AD99" s="675"/>
      <c r="AE99" s="537" t="s">
        <v>411</v>
      </c>
    </row>
    <row r="100" spans="1:32" s="536" customFormat="1" ht="12" x14ac:dyDescent="0.2">
      <c r="A100" s="548"/>
      <c r="B100" s="552"/>
      <c r="C100" s="1822" t="s">
        <v>412</v>
      </c>
      <c r="D100" s="1822"/>
      <c r="E100" s="1822"/>
      <c r="F100" s="1822"/>
      <c r="G100" s="1822"/>
      <c r="H100" s="1822"/>
      <c r="I100" s="1822"/>
      <c r="J100" s="1822"/>
      <c r="K100" s="1822"/>
      <c r="L100" s="551">
        <v>36.44</v>
      </c>
      <c r="M100" s="550"/>
      <c r="N100" s="549"/>
      <c r="V100" s="674"/>
      <c r="W100" s="675"/>
      <c r="AC100" s="675"/>
      <c r="AD100" s="675"/>
      <c r="AE100" s="537" t="s">
        <v>412</v>
      </c>
    </row>
    <row r="101" spans="1:32" s="536" customFormat="1" ht="12" x14ac:dyDescent="0.2">
      <c r="A101" s="548"/>
      <c r="B101" s="552"/>
      <c r="C101" s="1822" t="s">
        <v>413</v>
      </c>
      <c r="D101" s="1822"/>
      <c r="E101" s="1822"/>
      <c r="F101" s="1822"/>
      <c r="G101" s="1822"/>
      <c r="H101" s="1822"/>
      <c r="I101" s="1822"/>
      <c r="J101" s="1822"/>
      <c r="K101" s="1822"/>
      <c r="L101" s="551">
        <v>18.23</v>
      </c>
      <c r="M101" s="550"/>
      <c r="N101" s="549"/>
      <c r="V101" s="674"/>
      <c r="W101" s="675"/>
      <c r="AC101" s="675"/>
      <c r="AD101" s="675"/>
      <c r="AE101" s="537" t="s">
        <v>413</v>
      </c>
    </row>
    <row r="102" spans="1:32" s="536" customFormat="1" ht="12" x14ac:dyDescent="0.2">
      <c r="A102" s="548"/>
      <c r="B102" s="552"/>
      <c r="C102" s="1822" t="s">
        <v>414</v>
      </c>
      <c r="D102" s="1822"/>
      <c r="E102" s="1822"/>
      <c r="F102" s="1822"/>
      <c r="G102" s="1822"/>
      <c r="H102" s="1822"/>
      <c r="I102" s="1822"/>
      <c r="J102" s="1822"/>
      <c r="K102" s="1822"/>
      <c r="L102" s="551">
        <v>212.57</v>
      </c>
      <c r="M102" s="550"/>
      <c r="N102" s="549"/>
      <c r="V102" s="674"/>
      <c r="W102" s="675"/>
      <c r="AC102" s="675"/>
      <c r="AD102" s="675"/>
      <c r="AE102" s="537" t="s">
        <v>414</v>
      </c>
    </row>
    <row r="103" spans="1:32" s="536" customFormat="1" ht="12" x14ac:dyDescent="0.2">
      <c r="A103" s="548"/>
      <c r="B103" s="552"/>
      <c r="C103" s="1822" t="s">
        <v>415</v>
      </c>
      <c r="D103" s="1822"/>
      <c r="E103" s="1822"/>
      <c r="F103" s="1822"/>
      <c r="G103" s="1822"/>
      <c r="H103" s="1822"/>
      <c r="I103" s="1822"/>
      <c r="J103" s="1822"/>
      <c r="K103" s="1822"/>
      <c r="L103" s="551">
        <v>39.619999999999997</v>
      </c>
      <c r="M103" s="550"/>
      <c r="N103" s="549"/>
      <c r="V103" s="674"/>
      <c r="W103" s="675"/>
      <c r="AC103" s="675"/>
      <c r="AD103" s="675"/>
      <c r="AE103" s="537" t="s">
        <v>415</v>
      </c>
    </row>
    <row r="104" spans="1:32" s="536" customFormat="1" ht="12" x14ac:dyDescent="0.2">
      <c r="A104" s="548"/>
      <c r="B104" s="552"/>
      <c r="C104" s="1822" t="s">
        <v>416</v>
      </c>
      <c r="D104" s="1822"/>
      <c r="E104" s="1822"/>
      <c r="F104" s="1822"/>
      <c r="G104" s="1822"/>
      <c r="H104" s="1822"/>
      <c r="I104" s="1822"/>
      <c r="J104" s="1822"/>
      <c r="K104" s="1822"/>
      <c r="L104" s="551">
        <v>36.44</v>
      </c>
      <c r="M104" s="550"/>
      <c r="N104" s="549"/>
      <c r="V104" s="674"/>
      <c r="W104" s="675"/>
      <c r="AC104" s="675"/>
      <c r="AD104" s="675"/>
      <c r="AE104" s="537" t="s">
        <v>416</v>
      </c>
    </row>
    <row r="105" spans="1:32" s="536" customFormat="1" ht="12" x14ac:dyDescent="0.2">
      <c r="A105" s="548"/>
      <c r="B105" s="552"/>
      <c r="C105" s="1822" t="s">
        <v>417</v>
      </c>
      <c r="D105" s="1822"/>
      <c r="E105" s="1822"/>
      <c r="F105" s="1822"/>
      <c r="G105" s="1822"/>
      <c r="H105" s="1822"/>
      <c r="I105" s="1822"/>
      <c r="J105" s="1822"/>
      <c r="K105" s="1822"/>
      <c r="L105" s="551">
        <v>18.23</v>
      </c>
      <c r="M105" s="550"/>
      <c r="N105" s="549"/>
      <c r="V105" s="674"/>
      <c r="W105" s="675"/>
      <c r="AC105" s="675"/>
      <c r="AD105" s="675"/>
      <c r="AE105" s="537" t="s">
        <v>417</v>
      </c>
    </row>
    <row r="106" spans="1:32" s="536" customFormat="1" ht="12" x14ac:dyDescent="0.2">
      <c r="A106" s="548"/>
      <c r="B106" s="546"/>
      <c r="C106" s="1819" t="s">
        <v>1022</v>
      </c>
      <c r="D106" s="1819"/>
      <c r="E106" s="1819"/>
      <c r="F106" s="1819"/>
      <c r="G106" s="1819"/>
      <c r="H106" s="1819"/>
      <c r="I106" s="1819"/>
      <c r="J106" s="1819"/>
      <c r="K106" s="1819"/>
      <c r="L106" s="544">
        <v>590.02</v>
      </c>
      <c r="M106" s="543"/>
      <c r="N106" s="681"/>
      <c r="V106" s="674"/>
      <c r="W106" s="675"/>
      <c r="AC106" s="675"/>
      <c r="AD106" s="675"/>
      <c r="AF106" s="675" t="s">
        <v>1022</v>
      </c>
    </row>
    <row r="107" spans="1:32" s="536" customFormat="1" ht="12" x14ac:dyDescent="0.2">
      <c r="A107" s="1824" t="s">
        <v>3288</v>
      </c>
      <c r="B107" s="1825"/>
      <c r="C107" s="1825"/>
      <c r="D107" s="1825"/>
      <c r="E107" s="1825"/>
      <c r="F107" s="1825"/>
      <c r="G107" s="1825"/>
      <c r="H107" s="1825"/>
      <c r="I107" s="1825"/>
      <c r="J107" s="1825"/>
      <c r="K107" s="1825"/>
      <c r="L107" s="1825"/>
      <c r="M107" s="1825"/>
      <c r="N107" s="1826"/>
      <c r="V107" s="674" t="s">
        <v>3288</v>
      </c>
      <c r="W107" s="675"/>
      <c r="AC107" s="675"/>
      <c r="AD107" s="675"/>
      <c r="AF107" s="675"/>
    </row>
    <row r="108" spans="1:32" s="536" customFormat="1" ht="12" x14ac:dyDescent="0.2">
      <c r="A108" s="575" t="s">
        <v>190</v>
      </c>
      <c r="B108" s="670" t="s">
        <v>1368</v>
      </c>
      <c r="C108" s="1823" t="s">
        <v>1369</v>
      </c>
      <c r="D108" s="1823"/>
      <c r="E108" s="1823"/>
      <c r="F108" s="573" t="s">
        <v>509</v>
      </c>
      <c r="G108" s="573"/>
      <c r="H108" s="573"/>
      <c r="I108" s="573" t="s">
        <v>3504</v>
      </c>
      <c r="J108" s="572"/>
      <c r="K108" s="573"/>
      <c r="L108" s="572"/>
      <c r="M108" s="571"/>
      <c r="N108" s="570"/>
      <c r="V108" s="674"/>
      <c r="W108" s="675" t="s">
        <v>1369</v>
      </c>
      <c r="AC108" s="675"/>
      <c r="AD108" s="675"/>
      <c r="AF108" s="675"/>
    </row>
    <row r="109" spans="1:32" s="536" customFormat="1" ht="12" x14ac:dyDescent="0.2">
      <c r="A109" s="676"/>
      <c r="B109" s="664"/>
      <c r="C109" s="1822" t="s">
        <v>3505</v>
      </c>
      <c r="D109" s="1822"/>
      <c r="E109" s="1822"/>
      <c r="F109" s="1822"/>
      <c r="G109" s="1822"/>
      <c r="H109" s="1822"/>
      <c r="I109" s="1822"/>
      <c r="J109" s="1822"/>
      <c r="K109" s="1822"/>
      <c r="L109" s="1822"/>
      <c r="M109" s="1822"/>
      <c r="N109" s="1827"/>
      <c r="V109" s="674"/>
      <c r="W109" s="675"/>
      <c r="X109" s="537" t="s">
        <v>3505</v>
      </c>
      <c r="AC109" s="675"/>
      <c r="AD109" s="675"/>
      <c r="AF109" s="675"/>
    </row>
    <row r="110" spans="1:32" s="536" customFormat="1" ht="33.75" x14ac:dyDescent="0.2">
      <c r="A110" s="609"/>
      <c r="B110" s="552" t="s">
        <v>310</v>
      </c>
      <c r="C110" s="1822" t="s">
        <v>311</v>
      </c>
      <c r="D110" s="1822"/>
      <c r="E110" s="1822"/>
      <c r="F110" s="1822"/>
      <c r="G110" s="1822"/>
      <c r="H110" s="1822"/>
      <c r="I110" s="1822"/>
      <c r="J110" s="1822"/>
      <c r="K110" s="1822"/>
      <c r="L110" s="1822"/>
      <c r="M110" s="1822"/>
      <c r="N110" s="1827"/>
      <c r="V110" s="674"/>
      <c r="W110" s="675"/>
      <c r="Y110" s="537" t="s">
        <v>311</v>
      </c>
      <c r="AC110" s="675"/>
      <c r="AD110" s="675"/>
      <c r="AF110" s="675"/>
    </row>
    <row r="111" spans="1:32" s="536" customFormat="1" ht="12" x14ac:dyDescent="0.2">
      <c r="A111" s="605"/>
      <c r="B111" s="552" t="s">
        <v>185</v>
      </c>
      <c r="C111" s="1822" t="s">
        <v>312</v>
      </c>
      <c r="D111" s="1822"/>
      <c r="E111" s="1822"/>
      <c r="F111" s="562"/>
      <c r="G111" s="562"/>
      <c r="H111" s="562"/>
      <c r="I111" s="562"/>
      <c r="J111" s="604">
        <v>1053</v>
      </c>
      <c r="K111" s="562" t="s">
        <v>313</v>
      </c>
      <c r="L111" s="604">
        <v>60.02</v>
      </c>
      <c r="M111" s="603"/>
      <c r="N111" s="602"/>
      <c r="V111" s="674"/>
      <c r="W111" s="675"/>
      <c r="Z111" s="537" t="s">
        <v>312</v>
      </c>
      <c r="AC111" s="675"/>
      <c r="AD111" s="675"/>
      <c r="AF111" s="675"/>
    </row>
    <row r="112" spans="1:32" s="536" customFormat="1" ht="12" x14ac:dyDescent="0.2">
      <c r="A112" s="605"/>
      <c r="B112" s="552" t="s">
        <v>186</v>
      </c>
      <c r="C112" s="1822" t="s">
        <v>344</v>
      </c>
      <c r="D112" s="1822"/>
      <c r="E112" s="1822"/>
      <c r="F112" s="562"/>
      <c r="G112" s="562"/>
      <c r="H112" s="562"/>
      <c r="I112" s="562"/>
      <c r="J112" s="604">
        <v>1566.06</v>
      </c>
      <c r="K112" s="562" t="s">
        <v>313</v>
      </c>
      <c r="L112" s="604">
        <v>89.27</v>
      </c>
      <c r="M112" s="603"/>
      <c r="N112" s="602"/>
      <c r="V112" s="674"/>
      <c r="W112" s="675"/>
      <c r="Z112" s="537" t="s">
        <v>344</v>
      </c>
      <c r="AC112" s="675"/>
      <c r="AD112" s="675"/>
      <c r="AF112" s="675"/>
    </row>
    <row r="113" spans="1:33" s="536" customFormat="1" ht="12" x14ac:dyDescent="0.2">
      <c r="A113" s="605"/>
      <c r="B113" s="552" t="s">
        <v>187</v>
      </c>
      <c r="C113" s="1822" t="s">
        <v>345</v>
      </c>
      <c r="D113" s="1822"/>
      <c r="E113" s="1822"/>
      <c r="F113" s="562"/>
      <c r="G113" s="562"/>
      <c r="H113" s="562"/>
      <c r="I113" s="562"/>
      <c r="J113" s="604">
        <v>244.39</v>
      </c>
      <c r="K113" s="562" t="s">
        <v>313</v>
      </c>
      <c r="L113" s="604">
        <v>13.93</v>
      </c>
      <c r="M113" s="603"/>
      <c r="N113" s="602"/>
      <c r="V113" s="674"/>
      <c r="W113" s="675"/>
      <c r="Z113" s="537" t="s">
        <v>345</v>
      </c>
      <c r="AC113" s="675"/>
      <c r="AD113" s="675"/>
      <c r="AF113" s="675"/>
    </row>
    <row r="114" spans="1:33" s="536" customFormat="1" ht="12" x14ac:dyDescent="0.2">
      <c r="A114" s="605"/>
      <c r="B114" s="552" t="s">
        <v>188</v>
      </c>
      <c r="C114" s="1822" t="s">
        <v>475</v>
      </c>
      <c r="D114" s="1822"/>
      <c r="E114" s="1822"/>
      <c r="F114" s="562"/>
      <c r="G114" s="562"/>
      <c r="H114" s="562"/>
      <c r="I114" s="562"/>
      <c r="J114" s="604">
        <v>909.27</v>
      </c>
      <c r="K114" s="562"/>
      <c r="L114" s="604">
        <v>41.46</v>
      </c>
      <c r="M114" s="603"/>
      <c r="N114" s="602"/>
      <c r="V114" s="674"/>
      <c r="W114" s="675"/>
      <c r="Z114" s="537" t="s">
        <v>475</v>
      </c>
      <c r="AC114" s="675"/>
      <c r="AD114" s="675"/>
      <c r="AF114" s="675"/>
    </row>
    <row r="115" spans="1:33" s="536" customFormat="1" ht="12" x14ac:dyDescent="0.2">
      <c r="A115" s="676"/>
      <c r="B115" s="677" t="s">
        <v>639</v>
      </c>
      <c r="C115" s="1829" t="s">
        <v>640</v>
      </c>
      <c r="D115" s="1829"/>
      <c r="E115" s="1829"/>
      <c r="F115" s="678" t="s">
        <v>641</v>
      </c>
      <c r="G115" s="678" t="s">
        <v>680</v>
      </c>
      <c r="H115" s="678"/>
      <c r="I115" s="678" t="s">
        <v>3506</v>
      </c>
      <c r="J115" s="552"/>
      <c r="K115" s="562"/>
      <c r="L115" s="604"/>
      <c r="M115" s="562"/>
      <c r="N115" s="679"/>
      <c r="V115" s="674"/>
      <c r="W115" s="675"/>
      <c r="AC115" s="675"/>
      <c r="AD115" s="675"/>
      <c r="AF115" s="675"/>
      <c r="AG115" s="680" t="s">
        <v>640</v>
      </c>
    </row>
    <row r="116" spans="1:33" s="536" customFormat="1" ht="12" x14ac:dyDescent="0.2">
      <c r="A116" s="605"/>
      <c r="B116" s="552"/>
      <c r="C116" s="1822" t="s">
        <v>314</v>
      </c>
      <c r="D116" s="1822"/>
      <c r="E116" s="1822"/>
      <c r="F116" s="562" t="s">
        <v>315</v>
      </c>
      <c r="G116" s="562" t="s">
        <v>1373</v>
      </c>
      <c r="H116" s="562" t="s">
        <v>313</v>
      </c>
      <c r="I116" s="562" t="s">
        <v>3507</v>
      </c>
      <c r="J116" s="604"/>
      <c r="K116" s="562"/>
      <c r="L116" s="604"/>
      <c r="M116" s="603"/>
      <c r="N116" s="602"/>
      <c r="V116" s="674"/>
      <c r="W116" s="675"/>
      <c r="AA116" s="537" t="s">
        <v>314</v>
      </c>
      <c r="AC116" s="675"/>
      <c r="AD116" s="675"/>
      <c r="AF116" s="675"/>
      <c r="AG116" s="680"/>
    </row>
    <row r="117" spans="1:33" s="536" customFormat="1" ht="12" x14ac:dyDescent="0.2">
      <c r="A117" s="605"/>
      <c r="B117" s="552"/>
      <c r="C117" s="1822" t="s">
        <v>348</v>
      </c>
      <c r="D117" s="1822"/>
      <c r="E117" s="1822"/>
      <c r="F117" s="562" t="s">
        <v>315</v>
      </c>
      <c r="G117" s="562" t="s">
        <v>1375</v>
      </c>
      <c r="H117" s="562" t="s">
        <v>313</v>
      </c>
      <c r="I117" s="562" t="s">
        <v>3508</v>
      </c>
      <c r="J117" s="604"/>
      <c r="K117" s="562"/>
      <c r="L117" s="604"/>
      <c r="M117" s="603"/>
      <c r="N117" s="602"/>
      <c r="V117" s="674"/>
      <c r="W117" s="675"/>
      <c r="AA117" s="537" t="s">
        <v>348</v>
      </c>
      <c r="AC117" s="675"/>
      <c r="AD117" s="675"/>
      <c r="AF117" s="675"/>
      <c r="AG117" s="680"/>
    </row>
    <row r="118" spans="1:33" s="536" customFormat="1" ht="12" x14ac:dyDescent="0.2">
      <c r="A118" s="605"/>
      <c r="B118" s="552"/>
      <c r="C118" s="1828" t="s">
        <v>318</v>
      </c>
      <c r="D118" s="1828"/>
      <c r="E118" s="1828"/>
      <c r="F118" s="608"/>
      <c r="G118" s="608"/>
      <c r="H118" s="608"/>
      <c r="I118" s="608"/>
      <c r="J118" s="607">
        <v>3528.33</v>
      </c>
      <c r="K118" s="608"/>
      <c r="L118" s="607">
        <v>190.75</v>
      </c>
      <c r="M118" s="601"/>
      <c r="N118" s="606"/>
      <c r="V118" s="674"/>
      <c r="W118" s="675"/>
      <c r="AB118" s="537" t="s">
        <v>318</v>
      </c>
      <c r="AC118" s="675"/>
      <c r="AD118" s="675"/>
      <c r="AF118" s="675"/>
      <c r="AG118" s="680"/>
    </row>
    <row r="119" spans="1:33" s="536" customFormat="1" ht="12" x14ac:dyDescent="0.2">
      <c r="A119" s="605"/>
      <c r="B119" s="552"/>
      <c r="C119" s="1822" t="s">
        <v>319</v>
      </c>
      <c r="D119" s="1822"/>
      <c r="E119" s="1822"/>
      <c r="F119" s="562"/>
      <c r="G119" s="562"/>
      <c r="H119" s="562"/>
      <c r="I119" s="562"/>
      <c r="J119" s="604"/>
      <c r="K119" s="562"/>
      <c r="L119" s="604">
        <v>73.95</v>
      </c>
      <c r="M119" s="603"/>
      <c r="N119" s="602"/>
      <c r="V119" s="674"/>
      <c r="W119" s="675"/>
      <c r="AA119" s="537" t="s">
        <v>319</v>
      </c>
      <c r="AC119" s="675"/>
      <c r="AD119" s="675"/>
      <c r="AF119" s="675"/>
      <c r="AG119" s="680"/>
    </row>
    <row r="120" spans="1:33" s="536" customFormat="1" ht="33.75" x14ac:dyDescent="0.2">
      <c r="A120" s="605"/>
      <c r="B120" s="552" t="s">
        <v>686</v>
      </c>
      <c r="C120" s="1822" t="s">
        <v>687</v>
      </c>
      <c r="D120" s="1822"/>
      <c r="E120" s="1822"/>
      <c r="F120" s="562" t="s">
        <v>322</v>
      </c>
      <c r="G120" s="562" t="s">
        <v>680</v>
      </c>
      <c r="H120" s="562"/>
      <c r="I120" s="562" t="s">
        <v>680</v>
      </c>
      <c r="J120" s="604"/>
      <c r="K120" s="562"/>
      <c r="L120" s="604">
        <v>75.430000000000007</v>
      </c>
      <c r="M120" s="603"/>
      <c r="N120" s="602"/>
      <c r="V120" s="674"/>
      <c r="W120" s="675"/>
      <c r="AA120" s="537" t="s">
        <v>687</v>
      </c>
      <c r="AC120" s="675"/>
      <c r="AD120" s="675"/>
      <c r="AF120" s="675"/>
      <c r="AG120" s="680"/>
    </row>
    <row r="121" spans="1:33" s="536" customFormat="1" ht="33.75" x14ac:dyDescent="0.2">
      <c r="A121" s="605"/>
      <c r="B121" s="552" t="s">
        <v>688</v>
      </c>
      <c r="C121" s="1822" t="s">
        <v>689</v>
      </c>
      <c r="D121" s="1822"/>
      <c r="E121" s="1822"/>
      <c r="F121" s="562" t="s">
        <v>322</v>
      </c>
      <c r="G121" s="562" t="s">
        <v>690</v>
      </c>
      <c r="H121" s="562"/>
      <c r="I121" s="562" t="s">
        <v>690</v>
      </c>
      <c r="J121" s="604"/>
      <c r="K121" s="562"/>
      <c r="L121" s="604">
        <v>42.89</v>
      </c>
      <c r="M121" s="603"/>
      <c r="N121" s="602"/>
      <c r="V121" s="674"/>
      <c r="W121" s="675"/>
      <c r="AA121" s="537" t="s">
        <v>689</v>
      </c>
      <c r="AC121" s="675"/>
      <c r="AD121" s="675"/>
      <c r="AF121" s="675"/>
      <c r="AG121" s="680"/>
    </row>
    <row r="122" spans="1:33" s="536" customFormat="1" ht="12" x14ac:dyDescent="0.2">
      <c r="A122" s="569"/>
      <c r="B122" s="671"/>
      <c r="C122" s="1823" t="s">
        <v>327</v>
      </c>
      <c r="D122" s="1823"/>
      <c r="E122" s="1823"/>
      <c r="F122" s="573"/>
      <c r="G122" s="573"/>
      <c r="H122" s="573"/>
      <c r="I122" s="573"/>
      <c r="J122" s="572"/>
      <c r="K122" s="573"/>
      <c r="L122" s="572">
        <v>309.07</v>
      </c>
      <c r="M122" s="601"/>
      <c r="N122" s="570"/>
      <c r="V122" s="674"/>
      <c r="W122" s="675"/>
      <c r="AC122" s="675" t="s">
        <v>327</v>
      </c>
      <c r="AD122" s="675"/>
      <c r="AF122" s="675"/>
      <c r="AG122" s="680"/>
    </row>
    <row r="123" spans="1:33" s="536" customFormat="1" ht="22.5" x14ac:dyDescent="0.2">
      <c r="A123" s="575" t="s">
        <v>191</v>
      </c>
      <c r="B123" s="670" t="s">
        <v>1377</v>
      </c>
      <c r="C123" s="1823" t="s">
        <v>1378</v>
      </c>
      <c r="D123" s="1823"/>
      <c r="E123" s="1823"/>
      <c r="F123" s="573" t="s">
        <v>641</v>
      </c>
      <c r="G123" s="573"/>
      <c r="H123" s="573"/>
      <c r="I123" s="573" t="s">
        <v>3506</v>
      </c>
      <c r="J123" s="572">
        <v>560</v>
      </c>
      <c r="K123" s="573"/>
      <c r="L123" s="572">
        <v>2604.67</v>
      </c>
      <c r="M123" s="571"/>
      <c r="N123" s="570"/>
      <c r="V123" s="674"/>
      <c r="W123" s="675" t="s">
        <v>1378</v>
      </c>
      <c r="AC123" s="675"/>
      <c r="AD123" s="675"/>
      <c r="AF123" s="675"/>
      <c r="AG123" s="680"/>
    </row>
    <row r="124" spans="1:33" s="536" customFormat="1" ht="12" x14ac:dyDescent="0.2">
      <c r="A124" s="569"/>
      <c r="B124" s="671"/>
      <c r="C124" s="665" t="s">
        <v>717</v>
      </c>
      <c r="D124" s="666"/>
      <c r="E124" s="666"/>
      <c r="F124" s="563"/>
      <c r="G124" s="563"/>
      <c r="H124" s="563"/>
      <c r="I124" s="563"/>
      <c r="J124" s="566"/>
      <c r="K124" s="563"/>
      <c r="L124" s="566"/>
      <c r="M124" s="565"/>
      <c r="N124" s="564"/>
      <c r="V124" s="674"/>
      <c r="W124" s="675"/>
      <c r="AC124" s="675"/>
      <c r="AD124" s="675"/>
      <c r="AF124" s="675"/>
      <c r="AG124" s="680"/>
    </row>
    <row r="125" spans="1:33" s="536" customFormat="1" ht="22.5" x14ac:dyDescent="0.2">
      <c r="A125" s="575" t="s">
        <v>192</v>
      </c>
      <c r="B125" s="670" t="s">
        <v>1380</v>
      </c>
      <c r="C125" s="1823" t="s">
        <v>1381</v>
      </c>
      <c r="D125" s="1823"/>
      <c r="E125" s="1823"/>
      <c r="F125" s="573" t="s">
        <v>509</v>
      </c>
      <c r="G125" s="573"/>
      <c r="H125" s="573"/>
      <c r="I125" s="573" t="s">
        <v>3509</v>
      </c>
      <c r="J125" s="572"/>
      <c r="K125" s="573"/>
      <c r="L125" s="572"/>
      <c r="M125" s="571"/>
      <c r="N125" s="570"/>
      <c r="V125" s="674"/>
      <c r="W125" s="675" t="s">
        <v>1381</v>
      </c>
      <c r="AC125" s="675"/>
      <c r="AD125" s="675"/>
      <c r="AF125" s="675"/>
      <c r="AG125" s="680"/>
    </row>
    <row r="126" spans="1:33" s="536" customFormat="1" ht="12" x14ac:dyDescent="0.2">
      <c r="A126" s="676"/>
      <c r="B126" s="664"/>
      <c r="C126" s="1822" t="s">
        <v>3510</v>
      </c>
      <c r="D126" s="1822"/>
      <c r="E126" s="1822"/>
      <c r="F126" s="1822"/>
      <c r="G126" s="1822"/>
      <c r="H126" s="1822"/>
      <c r="I126" s="1822"/>
      <c r="J126" s="1822"/>
      <c r="K126" s="1822"/>
      <c r="L126" s="1822"/>
      <c r="M126" s="1822"/>
      <c r="N126" s="1827"/>
      <c r="V126" s="674"/>
      <c r="W126" s="675"/>
      <c r="X126" s="537" t="s">
        <v>3510</v>
      </c>
      <c r="AC126" s="675"/>
      <c r="AD126" s="675"/>
      <c r="AF126" s="675"/>
      <c r="AG126" s="680"/>
    </row>
    <row r="127" spans="1:33" s="536" customFormat="1" ht="33.75" x14ac:dyDescent="0.2">
      <c r="A127" s="609"/>
      <c r="B127" s="552" t="s">
        <v>310</v>
      </c>
      <c r="C127" s="1822" t="s">
        <v>311</v>
      </c>
      <c r="D127" s="1822"/>
      <c r="E127" s="1822"/>
      <c r="F127" s="1822"/>
      <c r="G127" s="1822"/>
      <c r="H127" s="1822"/>
      <c r="I127" s="1822"/>
      <c r="J127" s="1822"/>
      <c r="K127" s="1822"/>
      <c r="L127" s="1822"/>
      <c r="M127" s="1822"/>
      <c r="N127" s="1827"/>
      <c r="V127" s="674"/>
      <c r="W127" s="675"/>
      <c r="Y127" s="537" t="s">
        <v>311</v>
      </c>
      <c r="AC127" s="675"/>
      <c r="AD127" s="675"/>
      <c r="AF127" s="675"/>
      <c r="AG127" s="680"/>
    </row>
    <row r="128" spans="1:33" s="536" customFormat="1" ht="12" x14ac:dyDescent="0.2">
      <c r="A128" s="605"/>
      <c r="B128" s="552" t="s">
        <v>185</v>
      </c>
      <c r="C128" s="1822" t="s">
        <v>312</v>
      </c>
      <c r="D128" s="1822"/>
      <c r="E128" s="1822"/>
      <c r="F128" s="562"/>
      <c r="G128" s="562"/>
      <c r="H128" s="562"/>
      <c r="I128" s="562"/>
      <c r="J128" s="604">
        <v>1526.87</v>
      </c>
      <c r="K128" s="562" t="s">
        <v>313</v>
      </c>
      <c r="L128" s="604">
        <v>163.57</v>
      </c>
      <c r="M128" s="603"/>
      <c r="N128" s="602"/>
      <c r="V128" s="674"/>
      <c r="W128" s="675"/>
      <c r="Z128" s="537" t="s">
        <v>312</v>
      </c>
      <c r="AC128" s="675"/>
      <c r="AD128" s="675"/>
      <c r="AF128" s="675"/>
      <c r="AG128" s="680"/>
    </row>
    <row r="129" spans="1:33" s="536" customFormat="1" ht="12" x14ac:dyDescent="0.2">
      <c r="A129" s="605"/>
      <c r="B129" s="552" t="s">
        <v>186</v>
      </c>
      <c r="C129" s="1822" t="s">
        <v>344</v>
      </c>
      <c r="D129" s="1822"/>
      <c r="E129" s="1822"/>
      <c r="F129" s="562"/>
      <c r="G129" s="562"/>
      <c r="H129" s="562"/>
      <c r="I129" s="562"/>
      <c r="J129" s="604">
        <v>2518.58</v>
      </c>
      <c r="K129" s="562" t="s">
        <v>313</v>
      </c>
      <c r="L129" s="604">
        <v>269.8</v>
      </c>
      <c r="M129" s="603"/>
      <c r="N129" s="602"/>
      <c r="V129" s="674"/>
      <c r="W129" s="675"/>
      <c r="Z129" s="537" t="s">
        <v>344</v>
      </c>
      <c r="AC129" s="675"/>
      <c r="AD129" s="675"/>
      <c r="AF129" s="675"/>
      <c r="AG129" s="680"/>
    </row>
    <row r="130" spans="1:33" s="536" customFormat="1" ht="12" x14ac:dyDescent="0.2">
      <c r="A130" s="605"/>
      <c r="B130" s="552" t="s">
        <v>187</v>
      </c>
      <c r="C130" s="1822" t="s">
        <v>345</v>
      </c>
      <c r="D130" s="1822"/>
      <c r="E130" s="1822"/>
      <c r="F130" s="562"/>
      <c r="G130" s="562"/>
      <c r="H130" s="562"/>
      <c r="I130" s="562"/>
      <c r="J130" s="604">
        <v>382.14</v>
      </c>
      <c r="K130" s="562" t="s">
        <v>313</v>
      </c>
      <c r="L130" s="604">
        <v>40.94</v>
      </c>
      <c r="M130" s="603"/>
      <c r="N130" s="602"/>
      <c r="V130" s="674"/>
      <c r="W130" s="675"/>
      <c r="Z130" s="537" t="s">
        <v>345</v>
      </c>
      <c r="AC130" s="675"/>
      <c r="AD130" s="675"/>
      <c r="AF130" s="675"/>
      <c r="AG130" s="680"/>
    </row>
    <row r="131" spans="1:33" s="536" customFormat="1" ht="12" x14ac:dyDescent="0.2">
      <c r="A131" s="605"/>
      <c r="B131" s="552" t="s">
        <v>188</v>
      </c>
      <c r="C131" s="1822" t="s">
        <v>475</v>
      </c>
      <c r="D131" s="1822"/>
      <c r="E131" s="1822"/>
      <c r="F131" s="562"/>
      <c r="G131" s="562"/>
      <c r="H131" s="562"/>
      <c r="I131" s="562"/>
      <c r="J131" s="604">
        <v>488.42</v>
      </c>
      <c r="K131" s="562"/>
      <c r="L131" s="604">
        <v>41.86</v>
      </c>
      <c r="M131" s="603"/>
      <c r="N131" s="602"/>
      <c r="V131" s="674"/>
      <c r="W131" s="675"/>
      <c r="Z131" s="537" t="s">
        <v>475</v>
      </c>
      <c r="AC131" s="675"/>
      <c r="AD131" s="675"/>
      <c r="AF131" s="675"/>
      <c r="AG131" s="680"/>
    </row>
    <row r="132" spans="1:33" s="536" customFormat="1" ht="12" x14ac:dyDescent="0.2">
      <c r="A132" s="676"/>
      <c r="B132" s="677" t="s">
        <v>639</v>
      </c>
      <c r="C132" s="1829" t="s">
        <v>640</v>
      </c>
      <c r="D132" s="1829"/>
      <c r="E132" s="1829"/>
      <c r="F132" s="678" t="s">
        <v>641</v>
      </c>
      <c r="G132" s="678" t="s">
        <v>1384</v>
      </c>
      <c r="H132" s="678"/>
      <c r="I132" s="678" t="s">
        <v>3511</v>
      </c>
      <c r="J132" s="552"/>
      <c r="K132" s="562"/>
      <c r="L132" s="604"/>
      <c r="M132" s="562"/>
      <c r="N132" s="679"/>
      <c r="V132" s="674"/>
      <c r="W132" s="675"/>
      <c r="AC132" s="675"/>
      <c r="AD132" s="675"/>
      <c r="AF132" s="675"/>
      <c r="AG132" s="680" t="s">
        <v>640</v>
      </c>
    </row>
    <row r="133" spans="1:33" s="536" customFormat="1" ht="12" x14ac:dyDescent="0.2">
      <c r="A133" s="676"/>
      <c r="B133" s="677" t="s">
        <v>1272</v>
      </c>
      <c r="C133" s="1829" t="s">
        <v>1273</v>
      </c>
      <c r="D133" s="1829"/>
      <c r="E133" s="1829"/>
      <c r="F133" s="678" t="s">
        <v>694</v>
      </c>
      <c r="G133" s="678" t="s">
        <v>1386</v>
      </c>
      <c r="H133" s="678"/>
      <c r="I133" s="678" t="s">
        <v>3512</v>
      </c>
      <c r="J133" s="552"/>
      <c r="K133" s="562"/>
      <c r="L133" s="604"/>
      <c r="M133" s="562"/>
      <c r="N133" s="679"/>
      <c r="V133" s="674"/>
      <c r="W133" s="675"/>
      <c r="AC133" s="675"/>
      <c r="AD133" s="675"/>
      <c r="AF133" s="675"/>
      <c r="AG133" s="680" t="s">
        <v>1273</v>
      </c>
    </row>
    <row r="134" spans="1:33" s="536" customFormat="1" ht="12" x14ac:dyDescent="0.2">
      <c r="A134" s="605"/>
      <c r="B134" s="552"/>
      <c r="C134" s="1822" t="s">
        <v>314</v>
      </c>
      <c r="D134" s="1822"/>
      <c r="E134" s="1822"/>
      <c r="F134" s="562" t="s">
        <v>315</v>
      </c>
      <c r="G134" s="562" t="s">
        <v>1388</v>
      </c>
      <c r="H134" s="562" t="s">
        <v>313</v>
      </c>
      <c r="I134" s="562" t="s">
        <v>3513</v>
      </c>
      <c r="J134" s="604"/>
      <c r="K134" s="562"/>
      <c r="L134" s="604"/>
      <c r="M134" s="603"/>
      <c r="N134" s="602"/>
      <c r="V134" s="674"/>
      <c r="W134" s="675"/>
      <c r="AA134" s="537" t="s">
        <v>314</v>
      </c>
      <c r="AC134" s="675"/>
      <c r="AD134" s="675"/>
      <c r="AF134" s="675"/>
      <c r="AG134" s="680"/>
    </row>
    <row r="135" spans="1:33" s="536" customFormat="1" ht="12" x14ac:dyDescent="0.2">
      <c r="A135" s="605"/>
      <c r="B135" s="552"/>
      <c r="C135" s="1822" t="s">
        <v>348</v>
      </c>
      <c r="D135" s="1822"/>
      <c r="E135" s="1822"/>
      <c r="F135" s="562" t="s">
        <v>315</v>
      </c>
      <c r="G135" s="562" t="s">
        <v>1390</v>
      </c>
      <c r="H135" s="562" t="s">
        <v>313</v>
      </c>
      <c r="I135" s="562" t="s">
        <v>3514</v>
      </c>
      <c r="J135" s="604"/>
      <c r="K135" s="562"/>
      <c r="L135" s="604"/>
      <c r="M135" s="603"/>
      <c r="N135" s="602"/>
      <c r="V135" s="674"/>
      <c r="W135" s="675"/>
      <c r="AA135" s="537" t="s">
        <v>348</v>
      </c>
      <c r="AC135" s="675"/>
      <c r="AD135" s="675"/>
      <c r="AF135" s="675"/>
      <c r="AG135" s="680"/>
    </row>
    <row r="136" spans="1:33" s="536" customFormat="1" ht="12" x14ac:dyDescent="0.2">
      <c r="A136" s="605"/>
      <c r="B136" s="552"/>
      <c r="C136" s="1828" t="s">
        <v>318</v>
      </c>
      <c r="D136" s="1828"/>
      <c r="E136" s="1828"/>
      <c r="F136" s="608"/>
      <c r="G136" s="608"/>
      <c r="H136" s="608"/>
      <c r="I136" s="608"/>
      <c r="J136" s="607">
        <v>4533.87</v>
      </c>
      <c r="K136" s="608"/>
      <c r="L136" s="607">
        <v>475.23</v>
      </c>
      <c r="M136" s="601"/>
      <c r="N136" s="606"/>
      <c r="V136" s="674"/>
      <c r="W136" s="675"/>
      <c r="AB136" s="537" t="s">
        <v>318</v>
      </c>
      <c r="AC136" s="675"/>
      <c r="AD136" s="675"/>
      <c r="AF136" s="675"/>
      <c r="AG136" s="680"/>
    </row>
    <row r="137" spans="1:33" s="536" customFormat="1" ht="12" x14ac:dyDescent="0.2">
      <c r="A137" s="605"/>
      <c r="B137" s="552"/>
      <c r="C137" s="1822" t="s">
        <v>319</v>
      </c>
      <c r="D137" s="1822"/>
      <c r="E137" s="1822"/>
      <c r="F137" s="562"/>
      <c r="G137" s="562"/>
      <c r="H137" s="562"/>
      <c r="I137" s="562"/>
      <c r="J137" s="604"/>
      <c r="K137" s="562"/>
      <c r="L137" s="604">
        <v>204.51</v>
      </c>
      <c r="M137" s="603"/>
      <c r="N137" s="602"/>
      <c r="V137" s="674"/>
      <c r="W137" s="675"/>
      <c r="AA137" s="537" t="s">
        <v>319</v>
      </c>
      <c r="AC137" s="675"/>
      <c r="AD137" s="675"/>
      <c r="AF137" s="675"/>
      <c r="AG137" s="680"/>
    </row>
    <row r="138" spans="1:33" s="536" customFormat="1" ht="33.75" x14ac:dyDescent="0.2">
      <c r="A138" s="605"/>
      <c r="B138" s="552" t="s">
        <v>686</v>
      </c>
      <c r="C138" s="1822" t="s">
        <v>687</v>
      </c>
      <c r="D138" s="1822"/>
      <c r="E138" s="1822"/>
      <c r="F138" s="562" t="s">
        <v>322</v>
      </c>
      <c r="G138" s="562" t="s">
        <v>680</v>
      </c>
      <c r="H138" s="562"/>
      <c r="I138" s="562" t="s">
        <v>680</v>
      </c>
      <c r="J138" s="604"/>
      <c r="K138" s="562"/>
      <c r="L138" s="604">
        <v>208.6</v>
      </c>
      <c r="M138" s="603"/>
      <c r="N138" s="602"/>
      <c r="V138" s="674"/>
      <c r="W138" s="675"/>
      <c r="AA138" s="537" t="s">
        <v>687</v>
      </c>
      <c r="AC138" s="675"/>
      <c r="AD138" s="675"/>
      <c r="AF138" s="675"/>
      <c r="AG138" s="680"/>
    </row>
    <row r="139" spans="1:33" s="536" customFormat="1" ht="33.75" x14ac:dyDescent="0.2">
      <c r="A139" s="605"/>
      <c r="B139" s="552" t="s">
        <v>688</v>
      </c>
      <c r="C139" s="1822" t="s">
        <v>689</v>
      </c>
      <c r="D139" s="1822"/>
      <c r="E139" s="1822"/>
      <c r="F139" s="562" t="s">
        <v>322</v>
      </c>
      <c r="G139" s="562" t="s">
        <v>690</v>
      </c>
      <c r="H139" s="562"/>
      <c r="I139" s="562" t="s">
        <v>690</v>
      </c>
      <c r="J139" s="604"/>
      <c r="K139" s="562"/>
      <c r="L139" s="604">
        <v>118.62</v>
      </c>
      <c r="M139" s="603"/>
      <c r="N139" s="602"/>
      <c r="V139" s="674"/>
      <c r="W139" s="675"/>
      <c r="AA139" s="537" t="s">
        <v>689</v>
      </c>
      <c r="AC139" s="675"/>
      <c r="AD139" s="675"/>
      <c r="AF139" s="675"/>
      <c r="AG139" s="680"/>
    </row>
    <row r="140" spans="1:33" s="536" customFormat="1" ht="12" x14ac:dyDescent="0.2">
      <c r="A140" s="569"/>
      <c r="B140" s="671"/>
      <c r="C140" s="1823" t="s">
        <v>327</v>
      </c>
      <c r="D140" s="1823"/>
      <c r="E140" s="1823"/>
      <c r="F140" s="573"/>
      <c r="G140" s="573"/>
      <c r="H140" s="573"/>
      <c r="I140" s="573"/>
      <c r="J140" s="572"/>
      <c r="K140" s="573"/>
      <c r="L140" s="572">
        <v>802.45</v>
      </c>
      <c r="M140" s="601"/>
      <c r="N140" s="570"/>
      <c r="V140" s="674"/>
      <c r="W140" s="675"/>
      <c r="AC140" s="675" t="s">
        <v>327</v>
      </c>
      <c r="AD140" s="675"/>
      <c r="AF140" s="675"/>
      <c r="AG140" s="680"/>
    </row>
    <row r="141" spans="1:33" s="536" customFormat="1" ht="22.5" x14ac:dyDescent="0.2">
      <c r="A141" s="575" t="s">
        <v>193</v>
      </c>
      <c r="B141" s="670" t="s">
        <v>1392</v>
      </c>
      <c r="C141" s="1823" t="s">
        <v>1393</v>
      </c>
      <c r="D141" s="1823"/>
      <c r="E141" s="1823"/>
      <c r="F141" s="573" t="s">
        <v>641</v>
      </c>
      <c r="G141" s="573"/>
      <c r="H141" s="573"/>
      <c r="I141" s="573" t="s">
        <v>3515</v>
      </c>
      <c r="J141" s="572">
        <v>725.69</v>
      </c>
      <c r="K141" s="573"/>
      <c r="L141" s="572">
        <v>6312.49</v>
      </c>
      <c r="M141" s="571"/>
      <c r="N141" s="570"/>
      <c r="V141" s="674"/>
      <c r="W141" s="675" t="s">
        <v>1393</v>
      </c>
      <c r="AC141" s="675"/>
      <c r="AD141" s="675"/>
      <c r="AF141" s="675"/>
      <c r="AG141" s="680"/>
    </row>
    <row r="142" spans="1:33" s="536" customFormat="1" ht="12" x14ac:dyDescent="0.2">
      <c r="A142" s="569"/>
      <c r="B142" s="671"/>
      <c r="C142" s="665" t="s">
        <v>717</v>
      </c>
      <c r="D142" s="666"/>
      <c r="E142" s="666"/>
      <c r="F142" s="563"/>
      <c r="G142" s="563"/>
      <c r="H142" s="563"/>
      <c r="I142" s="563"/>
      <c r="J142" s="566"/>
      <c r="K142" s="563"/>
      <c r="L142" s="566"/>
      <c r="M142" s="565"/>
      <c r="N142" s="564"/>
      <c r="V142" s="674"/>
      <c r="W142" s="675"/>
      <c r="AC142" s="675"/>
      <c r="AD142" s="675"/>
      <c r="AF142" s="675"/>
      <c r="AG142" s="680"/>
    </row>
    <row r="143" spans="1:33" s="536" customFormat="1" ht="33.75" x14ac:dyDescent="0.2">
      <c r="A143" s="575" t="s">
        <v>194</v>
      </c>
      <c r="B143" s="670" t="s">
        <v>657</v>
      </c>
      <c r="C143" s="1823" t="s">
        <v>1396</v>
      </c>
      <c r="D143" s="1823"/>
      <c r="E143" s="1823"/>
      <c r="F143" s="573" t="s">
        <v>641</v>
      </c>
      <c r="G143" s="573"/>
      <c r="H143" s="573"/>
      <c r="I143" s="573" t="s">
        <v>3516</v>
      </c>
      <c r="J143" s="572">
        <v>9.69</v>
      </c>
      <c r="K143" s="573"/>
      <c r="L143" s="572">
        <v>83.04</v>
      </c>
      <c r="M143" s="571"/>
      <c r="N143" s="570"/>
      <c r="V143" s="674"/>
      <c r="W143" s="675" t="s">
        <v>1396</v>
      </c>
      <c r="AC143" s="675"/>
      <c r="AD143" s="675"/>
      <c r="AF143" s="675"/>
      <c r="AG143" s="680"/>
    </row>
    <row r="144" spans="1:33" s="536" customFormat="1" ht="12" x14ac:dyDescent="0.2">
      <c r="A144" s="569"/>
      <c r="B144" s="671"/>
      <c r="C144" s="665" t="s">
        <v>717</v>
      </c>
      <c r="D144" s="666"/>
      <c r="E144" s="666"/>
      <c r="F144" s="563"/>
      <c r="G144" s="563"/>
      <c r="H144" s="563"/>
      <c r="I144" s="563"/>
      <c r="J144" s="566"/>
      <c r="K144" s="563"/>
      <c r="L144" s="566"/>
      <c r="M144" s="565"/>
      <c r="N144" s="564"/>
      <c r="V144" s="674"/>
      <c r="W144" s="675"/>
      <c r="AC144" s="675"/>
      <c r="AD144" s="675"/>
      <c r="AF144" s="675"/>
      <c r="AG144" s="680"/>
    </row>
    <row r="145" spans="1:34" s="536" customFormat="1" ht="12" x14ac:dyDescent="0.2">
      <c r="A145" s="676"/>
      <c r="B145" s="664"/>
      <c r="C145" s="1822" t="s">
        <v>1399</v>
      </c>
      <c r="D145" s="1822"/>
      <c r="E145" s="1822"/>
      <c r="F145" s="1822"/>
      <c r="G145" s="1822"/>
      <c r="H145" s="1822"/>
      <c r="I145" s="1822"/>
      <c r="J145" s="1822"/>
      <c r="K145" s="1822"/>
      <c r="L145" s="1822"/>
      <c r="M145" s="1822"/>
      <c r="N145" s="1827"/>
      <c r="V145" s="674"/>
      <c r="W145" s="675"/>
      <c r="AC145" s="675"/>
      <c r="AD145" s="675"/>
      <c r="AF145" s="675"/>
      <c r="AG145" s="680"/>
      <c r="AH145" s="537" t="s">
        <v>1399</v>
      </c>
    </row>
    <row r="146" spans="1:34" s="536" customFormat="1" ht="22.5" x14ac:dyDescent="0.2">
      <c r="A146" s="575" t="s">
        <v>195</v>
      </c>
      <c r="B146" s="670" t="s">
        <v>1400</v>
      </c>
      <c r="C146" s="1823" t="s">
        <v>1401</v>
      </c>
      <c r="D146" s="1823"/>
      <c r="E146" s="1823"/>
      <c r="F146" s="573" t="s">
        <v>694</v>
      </c>
      <c r="G146" s="573"/>
      <c r="H146" s="573"/>
      <c r="I146" s="573" t="s">
        <v>3517</v>
      </c>
      <c r="J146" s="572">
        <v>5584.58</v>
      </c>
      <c r="K146" s="573"/>
      <c r="L146" s="572">
        <v>4937.33</v>
      </c>
      <c r="M146" s="571"/>
      <c r="N146" s="570"/>
      <c r="V146" s="674"/>
      <c r="W146" s="675" t="s">
        <v>1401</v>
      </c>
      <c r="AC146" s="675"/>
      <c r="AD146" s="675"/>
      <c r="AF146" s="675"/>
      <c r="AG146" s="680"/>
    </row>
    <row r="147" spans="1:34" s="536" customFormat="1" ht="12" x14ac:dyDescent="0.2">
      <c r="A147" s="569"/>
      <c r="B147" s="671"/>
      <c r="C147" s="665" t="s">
        <v>717</v>
      </c>
      <c r="D147" s="666"/>
      <c r="E147" s="666"/>
      <c r="F147" s="563"/>
      <c r="G147" s="563"/>
      <c r="H147" s="563"/>
      <c r="I147" s="563"/>
      <c r="J147" s="566"/>
      <c r="K147" s="563"/>
      <c r="L147" s="566"/>
      <c r="M147" s="565"/>
      <c r="N147" s="564"/>
      <c r="V147" s="674"/>
      <c r="W147" s="675"/>
      <c r="AC147" s="675"/>
      <c r="AD147" s="675"/>
      <c r="AF147" s="675"/>
      <c r="AG147" s="680"/>
    </row>
    <row r="148" spans="1:34" s="536" customFormat="1" ht="12" x14ac:dyDescent="0.2">
      <c r="A148" s="676"/>
      <c r="B148" s="664"/>
      <c r="C148" s="1822" t="s">
        <v>3518</v>
      </c>
      <c r="D148" s="1822"/>
      <c r="E148" s="1822"/>
      <c r="F148" s="1822"/>
      <c r="G148" s="1822"/>
      <c r="H148" s="1822"/>
      <c r="I148" s="1822"/>
      <c r="J148" s="1822"/>
      <c r="K148" s="1822"/>
      <c r="L148" s="1822"/>
      <c r="M148" s="1822"/>
      <c r="N148" s="1827"/>
      <c r="V148" s="674"/>
      <c r="W148" s="675"/>
      <c r="X148" s="537" t="s">
        <v>3518</v>
      </c>
      <c r="AC148" s="675"/>
      <c r="AD148" s="675"/>
      <c r="AF148" s="675"/>
      <c r="AG148" s="680"/>
    </row>
    <row r="149" spans="1:34" s="536" customFormat="1" ht="22.5" x14ac:dyDescent="0.2">
      <c r="A149" s="575" t="s">
        <v>196</v>
      </c>
      <c r="B149" s="670" t="s">
        <v>1404</v>
      </c>
      <c r="C149" s="1823" t="s">
        <v>1405</v>
      </c>
      <c r="D149" s="1823"/>
      <c r="E149" s="1823"/>
      <c r="F149" s="573" t="s">
        <v>694</v>
      </c>
      <c r="G149" s="573"/>
      <c r="H149" s="573"/>
      <c r="I149" s="573" t="s">
        <v>3519</v>
      </c>
      <c r="J149" s="572"/>
      <c r="K149" s="573"/>
      <c r="L149" s="572"/>
      <c r="M149" s="571"/>
      <c r="N149" s="570"/>
      <c r="V149" s="674"/>
      <c r="W149" s="675" t="s">
        <v>1405</v>
      </c>
      <c r="AC149" s="675"/>
      <c r="AD149" s="675"/>
      <c r="AF149" s="675"/>
      <c r="AG149" s="680"/>
    </row>
    <row r="150" spans="1:34" s="536" customFormat="1" ht="12" x14ac:dyDescent="0.2">
      <c r="A150" s="676"/>
      <c r="B150" s="664"/>
      <c r="C150" s="1822" t="s">
        <v>3520</v>
      </c>
      <c r="D150" s="1822"/>
      <c r="E150" s="1822"/>
      <c r="F150" s="1822"/>
      <c r="G150" s="1822"/>
      <c r="H150" s="1822"/>
      <c r="I150" s="1822"/>
      <c r="J150" s="1822"/>
      <c r="K150" s="1822"/>
      <c r="L150" s="1822"/>
      <c r="M150" s="1822"/>
      <c r="N150" s="1827"/>
      <c r="V150" s="674"/>
      <c r="W150" s="675"/>
      <c r="X150" s="537" t="s">
        <v>3520</v>
      </c>
      <c r="AC150" s="675"/>
      <c r="AD150" s="675"/>
      <c r="AF150" s="675"/>
      <c r="AG150" s="680"/>
    </row>
    <row r="151" spans="1:34" s="536" customFormat="1" ht="33.75" x14ac:dyDescent="0.2">
      <c r="A151" s="609"/>
      <c r="B151" s="552" t="s">
        <v>310</v>
      </c>
      <c r="C151" s="1822" t="s">
        <v>311</v>
      </c>
      <c r="D151" s="1822"/>
      <c r="E151" s="1822"/>
      <c r="F151" s="1822"/>
      <c r="G151" s="1822"/>
      <c r="H151" s="1822"/>
      <c r="I151" s="1822"/>
      <c r="J151" s="1822"/>
      <c r="K151" s="1822"/>
      <c r="L151" s="1822"/>
      <c r="M151" s="1822"/>
      <c r="N151" s="1827"/>
      <c r="V151" s="674"/>
      <c r="W151" s="675"/>
      <c r="Y151" s="537" t="s">
        <v>311</v>
      </c>
      <c r="AC151" s="675"/>
      <c r="AD151" s="675"/>
      <c r="AF151" s="675"/>
      <c r="AG151" s="680"/>
    </row>
    <row r="152" spans="1:34" s="536" customFormat="1" ht="12" x14ac:dyDescent="0.2">
      <c r="A152" s="605"/>
      <c r="B152" s="552" t="s">
        <v>185</v>
      </c>
      <c r="C152" s="1822" t="s">
        <v>312</v>
      </c>
      <c r="D152" s="1822"/>
      <c r="E152" s="1822"/>
      <c r="F152" s="562"/>
      <c r="G152" s="562"/>
      <c r="H152" s="562"/>
      <c r="I152" s="562"/>
      <c r="J152" s="604">
        <v>526.05999999999995</v>
      </c>
      <c r="K152" s="562" t="s">
        <v>313</v>
      </c>
      <c r="L152" s="604">
        <v>16.899999999999999</v>
      </c>
      <c r="M152" s="603"/>
      <c r="N152" s="602"/>
      <c r="V152" s="674"/>
      <c r="W152" s="675"/>
      <c r="Z152" s="537" t="s">
        <v>312</v>
      </c>
      <c r="AC152" s="675"/>
      <c r="AD152" s="675"/>
      <c r="AF152" s="675"/>
      <c r="AG152" s="680"/>
    </row>
    <row r="153" spans="1:34" s="536" customFormat="1" ht="12" x14ac:dyDescent="0.2">
      <c r="A153" s="605"/>
      <c r="B153" s="552" t="s">
        <v>186</v>
      </c>
      <c r="C153" s="1822" t="s">
        <v>344</v>
      </c>
      <c r="D153" s="1822"/>
      <c r="E153" s="1822"/>
      <c r="F153" s="562"/>
      <c r="G153" s="562"/>
      <c r="H153" s="562"/>
      <c r="I153" s="562"/>
      <c r="J153" s="604">
        <v>28.64</v>
      </c>
      <c r="K153" s="562" t="s">
        <v>313</v>
      </c>
      <c r="L153" s="604">
        <v>0.92</v>
      </c>
      <c r="M153" s="603"/>
      <c r="N153" s="602"/>
      <c r="V153" s="674"/>
      <c r="W153" s="675"/>
      <c r="Z153" s="537" t="s">
        <v>344</v>
      </c>
      <c r="AC153" s="675"/>
      <c r="AD153" s="675"/>
      <c r="AF153" s="675"/>
      <c r="AG153" s="680"/>
    </row>
    <row r="154" spans="1:34" s="536" customFormat="1" ht="12" x14ac:dyDescent="0.2">
      <c r="A154" s="605"/>
      <c r="B154" s="552" t="s">
        <v>187</v>
      </c>
      <c r="C154" s="1822" t="s">
        <v>345</v>
      </c>
      <c r="D154" s="1822"/>
      <c r="E154" s="1822"/>
      <c r="F154" s="562"/>
      <c r="G154" s="562"/>
      <c r="H154" s="562"/>
      <c r="I154" s="562"/>
      <c r="J154" s="604">
        <v>4.09</v>
      </c>
      <c r="K154" s="562" t="s">
        <v>313</v>
      </c>
      <c r="L154" s="604">
        <v>0.13</v>
      </c>
      <c r="M154" s="603"/>
      <c r="N154" s="602"/>
      <c r="V154" s="674"/>
      <c r="W154" s="675"/>
      <c r="Z154" s="537" t="s">
        <v>345</v>
      </c>
      <c r="AC154" s="675"/>
      <c r="AD154" s="675"/>
      <c r="AF154" s="675"/>
      <c r="AG154" s="680"/>
    </row>
    <row r="155" spans="1:34" s="536" customFormat="1" ht="12" x14ac:dyDescent="0.2">
      <c r="A155" s="676"/>
      <c r="B155" s="677" t="s">
        <v>1408</v>
      </c>
      <c r="C155" s="1829" t="s">
        <v>1409</v>
      </c>
      <c r="D155" s="1829"/>
      <c r="E155" s="1829"/>
      <c r="F155" s="678" t="s">
        <v>694</v>
      </c>
      <c r="G155" s="678" t="s">
        <v>185</v>
      </c>
      <c r="H155" s="678"/>
      <c r="I155" s="678" t="s">
        <v>3519</v>
      </c>
      <c r="J155" s="552"/>
      <c r="K155" s="562"/>
      <c r="L155" s="604"/>
      <c r="M155" s="562"/>
      <c r="N155" s="679"/>
      <c r="V155" s="674"/>
      <c r="W155" s="675"/>
      <c r="AC155" s="675"/>
      <c r="AD155" s="675"/>
      <c r="AF155" s="675"/>
      <c r="AG155" s="680" t="s">
        <v>1409</v>
      </c>
    </row>
    <row r="156" spans="1:34" s="536" customFormat="1" ht="12" x14ac:dyDescent="0.2">
      <c r="A156" s="605"/>
      <c r="B156" s="552"/>
      <c r="C156" s="1822" t="s">
        <v>314</v>
      </c>
      <c r="D156" s="1822"/>
      <c r="E156" s="1822"/>
      <c r="F156" s="562" t="s">
        <v>315</v>
      </c>
      <c r="G156" s="562" t="s">
        <v>690</v>
      </c>
      <c r="H156" s="562" t="s">
        <v>313</v>
      </c>
      <c r="I156" s="562" t="s">
        <v>3521</v>
      </c>
      <c r="J156" s="604"/>
      <c r="K156" s="562"/>
      <c r="L156" s="604"/>
      <c r="M156" s="603"/>
      <c r="N156" s="602"/>
      <c r="V156" s="674"/>
      <c r="W156" s="675"/>
      <c r="AA156" s="537" t="s">
        <v>314</v>
      </c>
      <c r="AC156" s="675"/>
      <c r="AD156" s="675"/>
      <c r="AF156" s="675"/>
      <c r="AG156" s="680"/>
    </row>
    <row r="157" spans="1:34" s="536" customFormat="1" ht="12" x14ac:dyDescent="0.2">
      <c r="A157" s="605"/>
      <c r="B157" s="552"/>
      <c r="C157" s="1822" t="s">
        <v>348</v>
      </c>
      <c r="D157" s="1822"/>
      <c r="E157" s="1822"/>
      <c r="F157" s="562" t="s">
        <v>315</v>
      </c>
      <c r="G157" s="562" t="s">
        <v>1411</v>
      </c>
      <c r="H157" s="562" t="s">
        <v>313</v>
      </c>
      <c r="I157" s="562" t="s">
        <v>3522</v>
      </c>
      <c r="J157" s="604"/>
      <c r="K157" s="562"/>
      <c r="L157" s="604"/>
      <c r="M157" s="603"/>
      <c r="N157" s="602"/>
      <c r="V157" s="674"/>
      <c r="W157" s="675"/>
      <c r="AA157" s="537" t="s">
        <v>348</v>
      </c>
      <c r="AC157" s="675"/>
      <c r="AD157" s="675"/>
      <c r="AF157" s="675"/>
      <c r="AG157" s="680"/>
    </row>
    <row r="158" spans="1:34" s="536" customFormat="1" ht="12" x14ac:dyDescent="0.2">
      <c r="A158" s="605"/>
      <c r="B158" s="552"/>
      <c r="C158" s="1828" t="s">
        <v>318</v>
      </c>
      <c r="D158" s="1828"/>
      <c r="E158" s="1828"/>
      <c r="F158" s="608"/>
      <c r="G158" s="608"/>
      <c r="H158" s="608"/>
      <c r="I158" s="608"/>
      <c r="J158" s="607">
        <v>554.70000000000005</v>
      </c>
      <c r="K158" s="608"/>
      <c r="L158" s="607">
        <v>17.82</v>
      </c>
      <c r="M158" s="601"/>
      <c r="N158" s="606"/>
      <c r="V158" s="674"/>
      <c r="W158" s="675"/>
      <c r="AB158" s="537" t="s">
        <v>318</v>
      </c>
      <c r="AC158" s="675"/>
      <c r="AD158" s="675"/>
      <c r="AF158" s="675"/>
      <c r="AG158" s="680"/>
    </row>
    <row r="159" spans="1:34" s="536" customFormat="1" ht="12" x14ac:dyDescent="0.2">
      <c r="A159" s="605"/>
      <c r="B159" s="552"/>
      <c r="C159" s="1822" t="s">
        <v>319</v>
      </c>
      <c r="D159" s="1822"/>
      <c r="E159" s="1822"/>
      <c r="F159" s="562"/>
      <c r="G159" s="562"/>
      <c r="H159" s="562"/>
      <c r="I159" s="562"/>
      <c r="J159" s="604"/>
      <c r="K159" s="562"/>
      <c r="L159" s="604">
        <v>17.03</v>
      </c>
      <c r="M159" s="603"/>
      <c r="N159" s="602"/>
      <c r="V159" s="674"/>
      <c r="W159" s="675"/>
      <c r="AA159" s="537" t="s">
        <v>319</v>
      </c>
      <c r="AC159" s="675"/>
      <c r="AD159" s="675"/>
      <c r="AF159" s="675"/>
      <c r="AG159" s="680"/>
    </row>
    <row r="160" spans="1:34" s="536" customFormat="1" ht="33.75" x14ac:dyDescent="0.2">
      <c r="A160" s="605"/>
      <c r="B160" s="552" t="s">
        <v>686</v>
      </c>
      <c r="C160" s="1822" t="s">
        <v>687</v>
      </c>
      <c r="D160" s="1822"/>
      <c r="E160" s="1822"/>
      <c r="F160" s="562" t="s">
        <v>322</v>
      </c>
      <c r="G160" s="562" t="s">
        <v>680</v>
      </c>
      <c r="H160" s="562"/>
      <c r="I160" s="562" t="s">
        <v>680</v>
      </c>
      <c r="J160" s="604"/>
      <c r="K160" s="562"/>
      <c r="L160" s="604">
        <v>17.37</v>
      </c>
      <c r="M160" s="603"/>
      <c r="N160" s="602"/>
      <c r="V160" s="674"/>
      <c r="W160" s="675"/>
      <c r="AA160" s="537" t="s">
        <v>687</v>
      </c>
      <c r="AC160" s="675"/>
      <c r="AD160" s="675"/>
      <c r="AF160" s="675"/>
      <c r="AG160" s="680"/>
    </row>
    <row r="161" spans="1:33" s="536" customFormat="1" ht="33.75" x14ac:dyDescent="0.2">
      <c r="A161" s="605"/>
      <c r="B161" s="552" t="s">
        <v>688</v>
      </c>
      <c r="C161" s="1822" t="s">
        <v>689</v>
      </c>
      <c r="D161" s="1822"/>
      <c r="E161" s="1822"/>
      <c r="F161" s="562" t="s">
        <v>322</v>
      </c>
      <c r="G161" s="562" t="s">
        <v>690</v>
      </c>
      <c r="H161" s="562"/>
      <c r="I161" s="562" t="s">
        <v>690</v>
      </c>
      <c r="J161" s="604"/>
      <c r="K161" s="562"/>
      <c r="L161" s="604">
        <v>9.8800000000000008</v>
      </c>
      <c r="M161" s="603"/>
      <c r="N161" s="602"/>
      <c r="V161" s="674"/>
      <c r="W161" s="675"/>
      <c r="AA161" s="537" t="s">
        <v>689</v>
      </c>
      <c r="AC161" s="675"/>
      <c r="AD161" s="675"/>
      <c r="AF161" s="675"/>
      <c r="AG161" s="680"/>
    </row>
    <row r="162" spans="1:33" s="536" customFormat="1" ht="12" x14ac:dyDescent="0.2">
      <c r="A162" s="569"/>
      <c r="B162" s="671"/>
      <c r="C162" s="1823" t="s">
        <v>327</v>
      </c>
      <c r="D162" s="1823"/>
      <c r="E162" s="1823"/>
      <c r="F162" s="573"/>
      <c r="G162" s="573"/>
      <c r="H162" s="573"/>
      <c r="I162" s="573"/>
      <c r="J162" s="572"/>
      <c r="K162" s="573"/>
      <c r="L162" s="572">
        <v>45.07</v>
      </c>
      <c r="M162" s="601"/>
      <c r="N162" s="570"/>
      <c r="V162" s="674"/>
      <c r="W162" s="675"/>
      <c r="AC162" s="675" t="s">
        <v>327</v>
      </c>
      <c r="AD162" s="675"/>
      <c r="AF162" s="675"/>
      <c r="AG162" s="680"/>
    </row>
    <row r="163" spans="1:33" s="536" customFormat="1" ht="67.5" x14ac:dyDescent="0.2">
      <c r="A163" s="575" t="s">
        <v>197</v>
      </c>
      <c r="B163" s="670" t="s">
        <v>1413</v>
      </c>
      <c r="C163" s="1823" t="s">
        <v>1414</v>
      </c>
      <c r="D163" s="1823"/>
      <c r="E163" s="1823"/>
      <c r="F163" s="573" t="s">
        <v>694</v>
      </c>
      <c r="G163" s="573"/>
      <c r="H163" s="573"/>
      <c r="I163" s="573" t="s">
        <v>3519</v>
      </c>
      <c r="J163" s="572">
        <v>6800</v>
      </c>
      <c r="K163" s="573"/>
      <c r="L163" s="572">
        <v>174.76</v>
      </c>
      <c r="M163" s="571"/>
      <c r="N163" s="570"/>
      <c r="V163" s="674"/>
      <c r="W163" s="675" t="s">
        <v>1414</v>
      </c>
      <c r="AC163" s="675"/>
      <c r="AD163" s="675"/>
      <c r="AF163" s="675"/>
      <c r="AG163" s="680"/>
    </row>
    <row r="164" spans="1:33" s="536" customFormat="1" ht="12" x14ac:dyDescent="0.2">
      <c r="A164" s="569"/>
      <c r="B164" s="671"/>
      <c r="C164" s="665" t="s">
        <v>717</v>
      </c>
      <c r="D164" s="666"/>
      <c r="E164" s="666"/>
      <c r="F164" s="563"/>
      <c r="G164" s="563"/>
      <c r="H164" s="563"/>
      <c r="I164" s="563"/>
      <c r="J164" s="566"/>
      <c r="K164" s="563"/>
      <c r="L164" s="566"/>
      <c r="M164" s="565"/>
      <c r="N164" s="564"/>
      <c r="V164" s="674"/>
      <c r="W164" s="675"/>
      <c r="AC164" s="675"/>
      <c r="AD164" s="675"/>
      <c r="AF164" s="675"/>
      <c r="AG164" s="680"/>
    </row>
    <row r="165" spans="1:33" s="536" customFormat="1" ht="33.75" x14ac:dyDescent="0.2">
      <c r="A165" s="575" t="s">
        <v>198</v>
      </c>
      <c r="B165" s="670" t="s">
        <v>1416</v>
      </c>
      <c r="C165" s="1823" t="s">
        <v>1417</v>
      </c>
      <c r="D165" s="1823"/>
      <c r="E165" s="1823"/>
      <c r="F165" s="573" t="s">
        <v>862</v>
      </c>
      <c r="G165" s="573"/>
      <c r="H165" s="573"/>
      <c r="I165" s="573" t="s">
        <v>3523</v>
      </c>
      <c r="J165" s="572"/>
      <c r="K165" s="573"/>
      <c r="L165" s="572"/>
      <c r="M165" s="571"/>
      <c r="N165" s="570"/>
      <c r="V165" s="674"/>
      <c r="W165" s="675" t="s">
        <v>1417</v>
      </c>
      <c r="AC165" s="675"/>
      <c r="AD165" s="675"/>
      <c r="AF165" s="675"/>
      <c r="AG165" s="680"/>
    </row>
    <row r="166" spans="1:33" s="536" customFormat="1" ht="12" x14ac:dyDescent="0.2">
      <c r="A166" s="676"/>
      <c r="B166" s="664"/>
      <c r="C166" s="1822" t="s">
        <v>3524</v>
      </c>
      <c r="D166" s="1822"/>
      <c r="E166" s="1822"/>
      <c r="F166" s="1822"/>
      <c r="G166" s="1822"/>
      <c r="H166" s="1822"/>
      <c r="I166" s="1822"/>
      <c r="J166" s="1822"/>
      <c r="K166" s="1822"/>
      <c r="L166" s="1822"/>
      <c r="M166" s="1822"/>
      <c r="N166" s="1827"/>
      <c r="V166" s="674"/>
      <c r="W166" s="675"/>
      <c r="X166" s="537" t="s">
        <v>3524</v>
      </c>
      <c r="AC166" s="675"/>
      <c r="AD166" s="675"/>
      <c r="AF166" s="675"/>
      <c r="AG166" s="680"/>
    </row>
    <row r="167" spans="1:33" s="536" customFormat="1" ht="33.75" x14ac:dyDescent="0.2">
      <c r="A167" s="609"/>
      <c r="B167" s="552" t="s">
        <v>310</v>
      </c>
      <c r="C167" s="1822" t="s">
        <v>311</v>
      </c>
      <c r="D167" s="1822"/>
      <c r="E167" s="1822"/>
      <c r="F167" s="1822"/>
      <c r="G167" s="1822"/>
      <c r="H167" s="1822"/>
      <c r="I167" s="1822"/>
      <c r="J167" s="1822"/>
      <c r="K167" s="1822"/>
      <c r="L167" s="1822"/>
      <c r="M167" s="1822"/>
      <c r="N167" s="1827"/>
      <c r="V167" s="674"/>
      <c r="W167" s="675"/>
      <c r="Y167" s="537" t="s">
        <v>311</v>
      </c>
      <c r="AC167" s="675"/>
      <c r="AD167" s="675"/>
      <c r="AF167" s="675"/>
      <c r="AG167" s="680"/>
    </row>
    <row r="168" spans="1:33" s="536" customFormat="1" ht="12" x14ac:dyDescent="0.2">
      <c r="A168" s="605"/>
      <c r="B168" s="552" t="s">
        <v>185</v>
      </c>
      <c r="C168" s="1822" t="s">
        <v>312</v>
      </c>
      <c r="D168" s="1822"/>
      <c r="E168" s="1822"/>
      <c r="F168" s="562"/>
      <c r="G168" s="562"/>
      <c r="H168" s="562"/>
      <c r="I168" s="562"/>
      <c r="J168" s="604">
        <v>170.01</v>
      </c>
      <c r="K168" s="562" t="s">
        <v>313</v>
      </c>
      <c r="L168" s="604">
        <v>102.49</v>
      </c>
      <c r="M168" s="603"/>
      <c r="N168" s="602"/>
      <c r="V168" s="674"/>
      <c r="W168" s="675"/>
      <c r="Z168" s="537" t="s">
        <v>312</v>
      </c>
      <c r="AC168" s="675"/>
      <c r="AD168" s="675"/>
      <c r="AF168" s="675"/>
      <c r="AG168" s="680"/>
    </row>
    <row r="169" spans="1:33" s="536" customFormat="1" ht="12" x14ac:dyDescent="0.2">
      <c r="A169" s="605"/>
      <c r="B169" s="552" t="s">
        <v>186</v>
      </c>
      <c r="C169" s="1822" t="s">
        <v>344</v>
      </c>
      <c r="D169" s="1822"/>
      <c r="E169" s="1822"/>
      <c r="F169" s="562"/>
      <c r="G169" s="562"/>
      <c r="H169" s="562"/>
      <c r="I169" s="562"/>
      <c r="J169" s="604">
        <v>38.6</v>
      </c>
      <c r="K169" s="562" t="s">
        <v>313</v>
      </c>
      <c r="L169" s="604">
        <v>23.27</v>
      </c>
      <c r="M169" s="603"/>
      <c r="N169" s="602"/>
      <c r="V169" s="674"/>
      <c r="W169" s="675"/>
      <c r="Z169" s="537" t="s">
        <v>344</v>
      </c>
      <c r="AC169" s="675"/>
      <c r="AD169" s="675"/>
      <c r="AF169" s="675"/>
      <c r="AG169" s="680"/>
    </row>
    <row r="170" spans="1:33" s="536" customFormat="1" ht="12" x14ac:dyDescent="0.2">
      <c r="A170" s="605"/>
      <c r="B170" s="552" t="s">
        <v>187</v>
      </c>
      <c r="C170" s="1822" t="s">
        <v>345</v>
      </c>
      <c r="D170" s="1822"/>
      <c r="E170" s="1822"/>
      <c r="F170" s="562"/>
      <c r="G170" s="562"/>
      <c r="H170" s="562"/>
      <c r="I170" s="562"/>
      <c r="J170" s="604">
        <v>9.2899999999999991</v>
      </c>
      <c r="K170" s="562" t="s">
        <v>313</v>
      </c>
      <c r="L170" s="604">
        <v>5.6</v>
      </c>
      <c r="M170" s="603"/>
      <c r="N170" s="602"/>
      <c r="V170" s="674"/>
      <c r="W170" s="675"/>
      <c r="Z170" s="537" t="s">
        <v>345</v>
      </c>
      <c r="AC170" s="675"/>
      <c r="AD170" s="675"/>
      <c r="AF170" s="675"/>
      <c r="AG170" s="680"/>
    </row>
    <row r="171" spans="1:33" s="536" customFormat="1" ht="12" x14ac:dyDescent="0.2">
      <c r="A171" s="605"/>
      <c r="B171" s="552" t="s">
        <v>188</v>
      </c>
      <c r="C171" s="1822" t="s">
        <v>475</v>
      </c>
      <c r="D171" s="1822"/>
      <c r="E171" s="1822"/>
      <c r="F171" s="562"/>
      <c r="G171" s="562"/>
      <c r="H171" s="562"/>
      <c r="I171" s="562"/>
      <c r="J171" s="604">
        <v>0.91</v>
      </c>
      <c r="K171" s="562"/>
      <c r="L171" s="604">
        <v>0.44</v>
      </c>
      <c r="M171" s="603"/>
      <c r="N171" s="602"/>
      <c r="V171" s="674"/>
      <c r="W171" s="675"/>
      <c r="Z171" s="537" t="s">
        <v>475</v>
      </c>
      <c r="AC171" s="675"/>
      <c r="AD171" s="675"/>
      <c r="AF171" s="675"/>
      <c r="AG171" s="680"/>
    </row>
    <row r="172" spans="1:33" s="536" customFormat="1" ht="12" x14ac:dyDescent="0.2">
      <c r="A172" s="676"/>
      <c r="B172" s="677" t="s">
        <v>1420</v>
      </c>
      <c r="C172" s="1829" t="s">
        <v>1421</v>
      </c>
      <c r="D172" s="1829"/>
      <c r="E172" s="1829"/>
      <c r="F172" s="678" t="s">
        <v>694</v>
      </c>
      <c r="G172" s="678" t="s">
        <v>1422</v>
      </c>
      <c r="H172" s="678"/>
      <c r="I172" s="678" t="s">
        <v>3525</v>
      </c>
      <c r="J172" s="552"/>
      <c r="K172" s="562"/>
      <c r="L172" s="604"/>
      <c r="M172" s="562"/>
      <c r="N172" s="679"/>
      <c r="V172" s="674"/>
      <c r="W172" s="675"/>
      <c r="AC172" s="675"/>
      <c r="AD172" s="675"/>
      <c r="AF172" s="675"/>
      <c r="AG172" s="680" t="s">
        <v>1421</v>
      </c>
    </row>
    <row r="173" spans="1:33" s="536" customFormat="1" ht="12" x14ac:dyDescent="0.2">
      <c r="A173" s="605"/>
      <c r="B173" s="552"/>
      <c r="C173" s="1822" t="s">
        <v>314</v>
      </c>
      <c r="D173" s="1822"/>
      <c r="E173" s="1822"/>
      <c r="F173" s="562" t="s">
        <v>315</v>
      </c>
      <c r="G173" s="562" t="s">
        <v>1424</v>
      </c>
      <c r="H173" s="562" t="s">
        <v>313</v>
      </c>
      <c r="I173" s="562" t="s">
        <v>3526</v>
      </c>
      <c r="J173" s="604"/>
      <c r="K173" s="562"/>
      <c r="L173" s="604"/>
      <c r="M173" s="603"/>
      <c r="N173" s="602"/>
      <c r="V173" s="674"/>
      <c r="W173" s="675"/>
      <c r="AA173" s="537" t="s">
        <v>314</v>
      </c>
      <c r="AC173" s="675"/>
      <c r="AD173" s="675"/>
      <c r="AF173" s="675"/>
      <c r="AG173" s="680"/>
    </row>
    <row r="174" spans="1:33" s="536" customFormat="1" ht="12" x14ac:dyDescent="0.2">
      <c r="A174" s="605"/>
      <c r="B174" s="552"/>
      <c r="C174" s="1822" t="s">
        <v>348</v>
      </c>
      <c r="D174" s="1822"/>
      <c r="E174" s="1822"/>
      <c r="F174" s="562" t="s">
        <v>315</v>
      </c>
      <c r="G174" s="562" t="s">
        <v>524</v>
      </c>
      <c r="H174" s="562" t="s">
        <v>313</v>
      </c>
      <c r="I174" s="562" t="s">
        <v>3527</v>
      </c>
      <c r="J174" s="604"/>
      <c r="K174" s="562"/>
      <c r="L174" s="604"/>
      <c r="M174" s="603"/>
      <c r="N174" s="602"/>
      <c r="V174" s="674"/>
      <c r="W174" s="675"/>
      <c r="AA174" s="537" t="s">
        <v>348</v>
      </c>
      <c r="AC174" s="675"/>
      <c r="AD174" s="675"/>
      <c r="AF174" s="675"/>
      <c r="AG174" s="680"/>
    </row>
    <row r="175" spans="1:33" s="536" customFormat="1" ht="12" x14ac:dyDescent="0.2">
      <c r="A175" s="605"/>
      <c r="B175" s="552"/>
      <c r="C175" s="1828" t="s">
        <v>318</v>
      </c>
      <c r="D175" s="1828"/>
      <c r="E175" s="1828"/>
      <c r="F175" s="608"/>
      <c r="G175" s="608"/>
      <c r="H175" s="608"/>
      <c r="I175" s="608"/>
      <c r="J175" s="607">
        <v>209.52</v>
      </c>
      <c r="K175" s="608"/>
      <c r="L175" s="607">
        <v>126.2</v>
      </c>
      <c r="M175" s="601"/>
      <c r="N175" s="606"/>
      <c r="V175" s="674"/>
      <c r="W175" s="675"/>
      <c r="AB175" s="537" t="s">
        <v>318</v>
      </c>
      <c r="AC175" s="675"/>
      <c r="AD175" s="675"/>
      <c r="AF175" s="675"/>
      <c r="AG175" s="680"/>
    </row>
    <row r="176" spans="1:33" s="536" customFormat="1" ht="12" x14ac:dyDescent="0.2">
      <c r="A176" s="605"/>
      <c r="B176" s="552"/>
      <c r="C176" s="1822" t="s">
        <v>319</v>
      </c>
      <c r="D176" s="1822"/>
      <c r="E176" s="1822"/>
      <c r="F176" s="562"/>
      <c r="G176" s="562"/>
      <c r="H176" s="562"/>
      <c r="I176" s="562"/>
      <c r="J176" s="604"/>
      <c r="K176" s="562"/>
      <c r="L176" s="604">
        <v>108.09</v>
      </c>
      <c r="M176" s="603"/>
      <c r="N176" s="602"/>
      <c r="V176" s="674"/>
      <c r="W176" s="675"/>
      <c r="AA176" s="537" t="s">
        <v>319</v>
      </c>
      <c r="AC176" s="675"/>
      <c r="AD176" s="675"/>
      <c r="AF176" s="675"/>
      <c r="AG176" s="680"/>
    </row>
    <row r="177" spans="1:33" s="536" customFormat="1" ht="33.75" x14ac:dyDescent="0.2">
      <c r="A177" s="605"/>
      <c r="B177" s="552" t="s">
        <v>1250</v>
      </c>
      <c r="C177" s="1822" t="s">
        <v>1251</v>
      </c>
      <c r="D177" s="1822"/>
      <c r="E177" s="1822"/>
      <c r="F177" s="562" t="s">
        <v>322</v>
      </c>
      <c r="G177" s="562" t="s">
        <v>1252</v>
      </c>
      <c r="H177" s="562"/>
      <c r="I177" s="562" t="s">
        <v>1252</v>
      </c>
      <c r="J177" s="604"/>
      <c r="K177" s="562"/>
      <c r="L177" s="604">
        <v>121.06</v>
      </c>
      <c r="M177" s="603"/>
      <c r="N177" s="602"/>
      <c r="V177" s="674"/>
      <c r="W177" s="675"/>
      <c r="AA177" s="537" t="s">
        <v>1251</v>
      </c>
      <c r="AC177" s="675"/>
      <c r="AD177" s="675"/>
      <c r="AF177" s="675"/>
      <c r="AG177" s="680"/>
    </row>
    <row r="178" spans="1:33" s="536" customFormat="1" ht="33.75" x14ac:dyDescent="0.2">
      <c r="A178" s="605"/>
      <c r="B178" s="552" t="s">
        <v>1253</v>
      </c>
      <c r="C178" s="1822" t="s">
        <v>1254</v>
      </c>
      <c r="D178" s="1822"/>
      <c r="E178" s="1822"/>
      <c r="F178" s="562" t="s">
        <v>322</v>
      </c>
      <c r="G178" s="562" t="s">
        <v>796</v>
      </c>
      <c r="H178" s="562"/>
      <c r="I178" s="562" t="s">
        <v>796</v>
      </c>
      <c r="J178" s="604"/>
      <c r="K178" s="562"/>
      <c r="L178" s="604">
        <v>70.260000000000005</v>
      </c>
      <c r="M178" s="603"/>
      <c r="N178" s="602"/>
      <c r="V178" s="674"/>
      <c r="W178" s="675"/>
      <c r="AA178" s="537" t="s">
        <v>1254</v>
      </c>
      <c r="AC178" s="675"/>
      <c r="AD178" s="675"/>
      <c r="AF178" s="675"/>
      <c r="AG178" s="680"/>
    </row>
    <row r="179" spans="1:33" s="536" customFormat="1" ht="12" x14ac:dyDescent="0.2">
      <c r="A179" s="569"/>
      <c r="B179" s="671"/>
      <c r="C179" s="1823" t="s">
        <v>327</v>
      </c>
      <c r="D179" s="1823"/>
      <c r="E179" s="1823"/>
      <c r="F179" s="573"/>
      <c r="G179" s="573"/>
      <c r="H179" s="573"/>
      <c r="I179" s="573"/>
      <c r="J179" s="572"/>
      <c r="K179" s="573"/>
      <c r="L179" s="572">
        <v>317.52</v>
      </c>
      <c r="M179" s="601"/>
      <c r="N179" s="570"/>
      <c r="V179" s="674"/>
      <c r="W179" s="675"/>
      <c r="AC179" s="675" t="s">
        <v>327</v>
      </c>
      <c r="AD179" s="675"/>
      <c r="AF179" s="675"/>
      <c r="AG179" s="680"/>
    </row>
    <row r="180" spans="1:33" s="536" customFormat="1" ht="45" x14ac:dyDescent="0.2">
      <c r="A180" s="575" t="s">
        <v>199</v>
      </c>
      <c r="B180" s="670" t="s">
        <v>2126</v>
      </c>
      <c r="C180" s="1823" t="s">
        <v>2127</v>
      </c>
      <c r="D180" s="1823"/>
      <c r="E180" s="1823"/>
      <c r="F180" s="573" t="s">
        <v>862</v>
      </c>
      <c r="G180" s="573"/>
      <c r="H180" s="573"/>
      <c r="I180" s="573" t="s">
        <v>3523</v>
      </c>
      <c r="J180" s="572"/>
      <c r="K180" s="573"/>
      <c r="L180" s="572"/>
      <c r="M180" s="571"/>
      <c r="N180" s="570"/>
      <c r="V180" s="674"/>
      <c r="W180" s="675" t="s">
        <v>2127</v>
      </c>
      <c r="AC180" s="675"/>
      <c r="AD180" s="675"/>
      <c r="AF180" s="675"/>
      <c r="AG180" s="680"/>
    </row>
    <row r="181" spans="1:33" s="536" customFormat="1" ht="12" x14ac:dyDescent="0.2">
      <c r="A181" s="676"/>
      <c r="B181" s="664"/>
      <c r="C181" s="1822" t="s">
        <v>3524</v>
      </c>
      <c r="D181" s="1822"/>
      <c r="E181" s="1822"/>
      <c r="F181" s="1822"/>
      <c r="G181" s="1822"/>
      <c r="H181" s="1822"/>
      <c r="I181" s="1822"/>
      <c r="J181" s="1822"/>
      <c r="K181" s="1822"/>
      <c r="L181" s="1822"/>
      <c r="M181" s="1822"/>
      <c r="N181" s="1827"/>
      <c r="V181" s="674"/>
      <c r="W181" s="675"/>
      <c r="X181" s="537" t="s">
        <v>3524</v>
      </c>
      <c r="AC181" s="675"/>
      <c r="AD181" s="675"/>
      <c r="AF181" s="675"/>
      <c r="AG181" s="680"/>
    </row>
    <row r="182" spans="1:33" s="536" customFormat="1" ht="33.75" x14ac:dyDescent="0.2">
      <c r="A182" s="609"/>
      <c r="B182" s="552" t="s">
        <v>310</v>
      </c>
      <c r="C182" s="1822" t="s">
        <v>311</v>
      </c>
      <c r="D182" s="1822"/>
      <c r="E182" s="1822"/>
      <c r="F182" s="1822"/>
      <c r="G182" s="1822"/>
      <c r="H182" s="1822"/>
      <c r="I182" s="1822"/>
      <c r="J182" s="1822"/>
      <c r="K182" s="1822"/>
      <c r="L182" s="1822"/>
      <c r="M182" s="1822"/>
      <c r="N182" s="1827"/>
      <c r="V182" s="674"/>
      <c r="W182" s="675"/>
      <c r="Y182" s="537" t="s">
        <v>311</v>
      </c>
      <c r="AC182" s="675"/>
      <c r="AD182" s="675"/>
      <c r="AF182" s="675"/>
      <c r="AG182" s="680"/>
    </row>
    <row r="183" spans="1:33" s="536" customFormat="1" ht="12" x14ac:dyDescent="0.2">
      <c r="A183" s="605"/>
      <c r="B183" s="552" t="s">
        <v>185</v>
      </c>
      <c r="C183" s="1822" t="s">
        <v>312</v>
      </c>
      <c r="D183" s="1822"/>
      <c r="E183" s="1822"/>
      <c r="F183" s="562"/>
      <c r="G183" s="562"/>
      <c r="H183" s="562"/>
      <c r="I183" s="562"/>
      <c r="J183" s="604">
        <v>53.82</v>
      </c>
      <c r="K183" s="562" t="s">
        <v>313</v>
      </c>
      <c r="L183" s="604">
        <v>32.450000000000003</v>
      </c>
      <c r="M183" s="603"/>
      <c r="N183" s="602"/>
      <c r="V183" s="674"/>
      <c r="W183" s="675"/>
      <c r="Z183" s="537" t="s">
        <v>312</v>
      </c>
      <c r="AC183" s="675"/>
      <c r="AD183" s="675"/>
      <c r="AF183" s="675"/>
      <c r="AG183" s="680"/>
    </row>
    <row r="184" spans="1:33" s="536" customFormat="1" ht="12" x14ac:dyDescent="0.2">
      <c r="A184" s="605"/>
      <c r="B184" s="552" t="s">
        <v>186</v>
      </c>
      <c r="C184" s="1822" t="s">
        <v>344</v>
      </c>
      <c r="D184" s="1822"/>
      <c r="E184" s="1822"/>
      <c r="F184" s="562"/>
      <c r="G184" s="562"/>
      <c r="H184" s="562"/>
      <c r="I184" s="562"/>
      <c r="J184" s="604">
        <v>19.149999999999999</v>
      </c>
      <c r="K184" s="562" t="s">
        <v>313</v>
      </c>
      <c r="L184" s="604">
        <v>11.55</v>
      </c>
      <c r="M184" s="603"/>
      <c r="N184" s="602"/>
      <c r="V184" s="674"/>
      <c r="W184" s="675"/>
      <c r="Z184" s="537" t="s">
        <v>344</v>
      </c>
      <c r="AC184" s="675"/>
      <c r="AD184" s="675"/>
      <c r="AF184" s="675"/>
      <c r="AG184" s="680"/>
    </row>
    <row r="185" spans="1:33" s="536" customFormat="1" ht="12" x14ac:dyDescent="0.2">
      <c r="A185" s="605"/>
      <c r="B185" s="552" t="s">
        <v>187</v>
      </c>
      <c r="C185" s="1822" t="s">
        <v>345</v>
      </c>
      <c r="D185" s="1822"/>
      <c r="E185" s="1822"/>
      <c r="F185" s="562"/>
      <c r="G185" s="562"/>
      <c r="H185" s="562"/>
      <c r="I185" s="562"/>
      <c r="J185" s="604">
        <v>4.58</v>
      </c>
      <c r="K185" s="562" t="s">
        <v>313</v>
      </c>
      <c r="L185" s="604">
        <v>2.76</v>
      </c>
      <c r="M185" s="603"/>
      <c r="N185" s="602"/>
      <c r="V185" s="674"/>
      <c r="W185" s="675"/>
      <c r="Z185" s="537" t="s">
        <v>345</v>
      </c>
      <c r="AC185" s="675"/>
      <c r="AD185" s="675"/>
      <c r="AF185" s="675"/>
      <c r="AG185" s="680"/>
    </row>
    <row r="186" spans="1:33" s="536" customFormat="1" ht="12" x14ac:dyDescent="0.2">
      <c r="A186" s="605"/>
      <c r="B186" s="552" t="s">
        <v>188</v>
      </c>
      <c r="C186" s="1822" t="s">
        <v>475</v>
      </c>
      <c r="D186" s="1822"/>
      <c r="E186" s="1822"/>
      <c r="F186" s="562"/>
      <c r="G186" s="562"/>
      <c r="H186" s="562"/>
      <c r="I186" s="562"/>
      <c r="J186" s="604">
        <v>0.55000000000000004</v>
      </c>
      <c r="K186" s="562"/>
      <c r="L186" s="604">
        <v>0.27</v>
      </c>
      <c r="M186" s="603"/>
      <c r="N186" s="602"/>
      <c r="V186" s="674"/>
      <c r="W186" s="675"/>
      <c r="Z186" s="537" t="s">
        <v>475</v>
      </c>
      <c r="AC186" s="675"/>
      <c r="AD186" s="675"/>
      <c r="AF186" s="675"/>
      <c r="AG186" s="680"/>
    </row>
    <row r="187" spans="1:33" s="536" customFormat="1" ht="12" x14ac:dyDescent="0.2">
      <c r="A187" s="676"/>
      <c r="B187" s="677" t="s">
        <v>1420</v>
      </c>
      <c r="C187" s="1829" t="s">
        <v>1421</v>
      </c>
      <c r="D187" s="1829"/>
      <c r="E187" s="1829"/>
      <c r="F187" s="678" t="s">
        <v>694</v>
      </c>
      <c r="G187" s="678" t="s">
        <v>646</v>
      </c>
      <c r="H187" s="678"/>
      <c r="I187" s="678" t="s">
        <v>3528</v>
      </c>
      <c r="J187" s="552"/>
      <c r="K187" s="562"/>
      <c r="L187" s="604"/>
      <c r="M187" s="562"/>
      <c r="N187" s="679"/>
      <c r="V187" s="674"/>
      <c r="W187" s="675"/>
      <c r="AC187" s="675"/>
      <c r="AD187" s="675"/>
      <c r="AF187" s="675"/>
      <c r="AG187" s="680" t="s">
        <v>1421</v>
      </c>
    </row>
    <row r="188" spans="1:33" s="536" customFormat="1" ht="12" x14ac:dyDescent="0.2">
      <c r="A188" s="605"/>
      <c r="B188" s="552"/>
      <c r="C188" s="1822" t="s">
        <v>314</v>
      </c>
      <c r="D188" s="1822"/>
      <c r="E188" s="1822"/>
      <c r="F188" s="562" t="s">
        <v>315</v>
      </c>
      <c r="G188" s="562" t="s">
        <v>2129</v>
      </c>
      <c r="H188" s="562" t="s">
        <v>313</v>
      </c>
      <c r="I188" s="562" t="s">
        <v>3529</v>
      </c>
      <c r="J188" s="604"/>
      <c r="K188" s="562"/>
      <c r="L188" s="604"/>
      <c r="M188" s="603"/>
      <c r="N188" s="602"/>
      <c r="V188" s="674"/>
      <c r="W188" s="675"/>
      <c r="AA188" s="537" t="s">
        <v>314</v>
      </c>
      <c r="AC188" s="675"/>
      <c r="AD188" s="675"/>
      <c r="AF188" s="675"/>
      <c r="AG188" s="680"/>
    </row>
    <row r="189" spans="1:33" s="536" customFormat="1" ht="12" x14ac:dyDescent="0.2">
      <c r="A189" s="605"/>
      <c r="B189" s="552"/>
      <c r="C189" s="1822" t="s">
        <v>348</v>
      </c>
      <c r="D189" s="1822"/>
      <c r="E189" s="1822"/>
      <c r="F189" s="562" t="s">
        <v>315</v>
      </c>
      <c r="G189" s="562" t="s">
        <v>2131</v>
      </c>
      <c r="H189" s="562" t="s">
        <v>313</v>
      </c>
      <c r="I189" s="562" t="s">
        <v>3530</v>
      </c>
      <c r="J189" s="604"/>
      <c r="K189" s="562"/>
      <c r="L189" s="604"/>
      <c r="M189" s="603"/>
      <c r="N189" s="602"/>
      <c r="V189" s="674"/>
      <c r="W189" s="675"/>
      <c r="AA189" s="537" t="s">
        <v>348</v>
      </c>
      <c r="AC189" s="675"/>
      <c r="AD189" s="675"/>
      <c r="AF189" s="675"/>
      <c r="AG189" s="680"/>
    </row>
    <row r="190" spans="1:33" s="536" customFormat="1" ht="12" x14ac:dyDescent="0.2">
      <c r="A190" s="605"/>
      <c r="B190" s="552"/>
      <c r="C190" s="1828" t="s">
        <v>318</v>
      </c>
      <c r="D190" s="1828"/>
      <c r="E190" s="1828"/>
      <c r="F190" s="608"/>
      <c r="G190" s="608"/>
      <c r="H190" s="608"/>
      <c r="I190" s="608"/>
      <c r="J190" s="607">
        <v>73.52</v>
      </c>
      <c r="K190" s="608"/>
      <c r="L190" s="607">
        <v>44.27</v>
      </c>
      <c r="M190" s="601"/>
      <c r="N190" s="606"/>
      <c r="V190" s="674"/>
      <c r="W190" s="675"/>
      <c r="AB190" s="537" t="s">
        <v>318</v>
      </c>
      <c r="AC190" s="675"/>
      <c r="AD190" s="675"/>
      <c r="AF190" s="675"/>
      <c r="AG190" s="680"/>
    </row>
    <row r="191" spans="1:33" s="536" customFormat="1" ht="12" x14ac:dyDescent="0.2">
      <c r="A191" s="605"/>
      <c r="B191" s="552"/>
      <c r="C191" s="1822" t="s">
        <v>319</v>
      </c>
      <c r="D191" s="1822"/>
      <c r="E191" s="1822"/>
      <c r="F191" s="562"/>
      <c r="G191" s="562"/>
      <c r="H191" s="562"/>
      <c r="I191" s="562"/>
      <c r="J191" s="604"/>
      <c r="K191" s="562"/>
      <c r="L191" s="604">
        <v>35.21</v>
      </c>
      <c r="M191" s="603"/>
      <c r="N191" s="602"/>
      <c r="V191" s="674"/>
      <c r="W191" s="675"/>
      <c r="AA191" s="537" t="s">
        <v>319</v>
      </c>
      <c r="AC191" s="675"/>
      <c r="AD191" s="675"/>
      <c r="AF191" s="675"/>
      <c r="AG191" s="680"/>
    </row>
    <row r="192" spans="1:33" s="536" customFormat="1" ht="33.75" x14ac:dyDescent="0.2">
      <c r="A192" s="605"/>
      <c r="B192" s="552" t="s">
        <v>1250</v>
      </c>
      <c r="C192" s="1822" t="s">
        <v>1251</v>
      </c>
      <c r="D192" s="1822"/>
      <c r="E192" s="1822"/>
      <c r="F192" s="562" t="s">
        <v>322</v>
      </c>
      <c r="G192" s="562" t="s">
        <v>1252</v>
      </c>
      <c r="H192" s="562"/>
      <c r="I192" s="562" t="s">
        <v>1252</v>
      </c>
      <c r="J192" s="604"/>
      <c r="K192" s="562"/>
      <c r="L192" s="604">
        <v>39.44</v>
      </c>
      <c r="M192" s="603"/>
      <c r="N192" s="602"/>
      <c r="V192" s="674"/>
      <c r="W192" s="675"/>
      <c r="AA192" s="537" t="s">
        <v>1251</v>
      </c>
      <c r="AC192" s="675"/>
      <c r="AD192" s="675"/>
      <c r="AF192" s="675"/>
      <c r="AG192" s="680"/>
    </row>
    <row r="193" spans="1:33" s="536" customFormat="1" ht="33.75" x14ac:dyDescent="0.2">
      <c r="A193" s="605"/>
      <c r="B193" s="552" t="s">
        <v>1253</v>
      </c>
      <c r="C193" s="1822" t="s">
        <v>1254</v>
      </c>
      <c r="D193" s="1822"/>
      <c r="E193" s="1822"/>
      <c r="F193" s="562" t="s">
        <v>322</v>
      </c>
      <c r="G193" s="562" t="s">
        <v>796</v>
      </c>
      <c r="H193" s="562"/>
      <c r="I193" s="562" t="s">
        <v>796</v>
      </c>
      <c r="J193" s="604"/>
      <c r="K193" s="562"/>
      <c r="L193" s="604">
        <v>22.89</v>
      </c>
      <c r="M193" s="603"/>
      <c r="N193" s="602"/>
      <c r="V193" s="674"/>
      <c r="W193" s="675"/>
      <c r="AA193" s="537" t="s">
        <v>1254</v>
      </c>
      <c r="AC193" s="675"/>
      <c r="AD193" s="675"/>
      <c r="AF193" s="675"/>
      <c r="AG193" s="680"/>
    </row>
    <row r="194" spans="1:33" s="536" customFormat="1" ht="12" x14ac:dyDescent="0.2">
      <c r="A194" s="569"/>
      <c r="B194" s="671"/>
      <c r="C194" s="1823" t="s">
        <v>327</v>
      </c>
      <c r="D194" s="1823"/>
      <c r="E194" s="1823"/>
      <c r="F194" s="573"/>
      <c r="G194" s="573"/>
      <c r="H194" s="573"/>
      <c r="I194" s="573"/>
      <c r="J194" s="572"/>
      <c r="K194" s="573"/>
      <c r="L194" s="572">
        <v>106.6</v>
      </c>
      <c r="M194" s="601"/>
      <c r="N194" s="570"/>
      <c r="V194" s="674"/>
      <c r="W194" s="675"/>
      <c r="AC194" s="675" t="s">
        <v>327</v>
      </c>
      <c r="AD194" s="675"/>
      <c r="AF194" s="675"/>
      <c r="AG194" s="680"/>
    </row>
    <row r="195" spans="1:33" s="536" customFormat="1" ht="22.5" x14ac:dyDescent="0.2">
      <c r="A195" s="575" t="s">
        <v>200</v>
      </c>
      <c r="B195" s="670" t="s">
        <v>1427</v>
      </c>
      <c r="C195" s="1823" t="s">
        <v>1428</v>
      </c>
      <c r="D195" s="1823"/>
      <c r="E195" s="1823"/>
      <c r="F195" s="573" t="s">
        <v>699</v>
      </c>
      <c r="G195" s="573"/>
      <c r="H195" s="573"/>
      <c r="I195" s="573" t="s">
        <v>3531</v>
      </c>
      <c r="J195" s="572">
        <v>9.15</v>
      </c>
      <c r="K195" s="573"/>
      <c r="L195" s="572">
        <v>706.09</v>
      </c>
      <c r="M195" s="571"/>
      <c r="N195" s="570"/>
      <c r="V195" s="674"/>
      <c r="W195" s="675" t="s">
        <v>1428</v>
      </c>
      <c r="AC195" s="675"/>
      <c r="AD195" s="675"/>
      <c r="AF195" s="675"/>
      <c r="AG195" s="680"/>
    </row>
    <row r="196" spans="1:33" s="536" customFormat="1" ht="12" x14ac:dyDescent="0.2">
      <c r="A196" s="569"/>
      <c r="B196" s="671"/>
      <c r="C196" s="665" t="s">
        <v>717</v>
      </c>
      <c r="D196" s="666"/>
      <c r="E196" s="666"/>
      <c r="F196" s="563"/>
      <c r="G196" s="563"/>
      <c r="H196" s="563"/>
      <c r="I196" s="563"/>
      <c r="J196" s="566"/>
      <c r="K196" s="563"/>
      <c r="L196" s="566"/>
      <c r="M196" s="565"/>
      <c r="N196" s="564"/>
      <c r="V196" s="674"/>
      <c r="W196" s="675"/>
      <c r="AC196" s="675"/>
      <c r="AD196" s="675"/>
      <c r="AF196" s="675"/>
      <c r="AG196" s="680"/>
    </row>
    <row r="197" spans="1:33" s="536" customFormat="1" ht="12" x14ac:dyDescent="0.2">
      <c r="A197" s="676"/>
      <c r="B197" s="664"/>
      <c r="C197" s="1822" t="s">
        <v>3532</v>
      </c>
      <c r="D197" s="1822"/>
      <c r="E197" s="1822"/>
      <c r="F197" s="1822"/>
      <c r="G197" s="1822"/>
      <c r="H197" s="1822"/>
      <c r="I197" s="1822"/>
      <c r="J197" s="1822"/>
      <c r="K197" s="1822"/>
      <c r="L197" s="1822"/>
      <c r="M197" s="1822"/>
      <c r="N197" s="1827"/>
      <c r="V197" s="674"/>
      <c r="W197" s="675"/>
      <c r="X197" s="537" t="s">
        <v>3532</v>
      </c>
      <c r="AC197" s="675"/>
      <c r="AD197" s="675"/>
      <c r="AF197" s="675"/>
      <c r="AG197" s="680"/>
    </row>
    <row r="198" spans="1:33" s="536" customFormat="1" ht="1.5" customHeight="1" x14ac:dyDescent="0.2">
      <c r="A198" s="563"/>
      <c r="B198" s="671"/>
      <c r="C198" s="671"/>
      <c r="D198" s="671"/>
      <c r="E198" s="671"/>
      <c r="F198" s="563"/>
      <c r="G198" s="563"/>
      <c r="H198" s="563"/>
      <c r="I198" s="563"/>
      <c r="J198" s="546"/>
      <c r="K198" s="563"/>
      <c r="L198" s="546"/>
      <c r="M198" s="562"/>
      <c r="N198" s="546"/>
      <c r="V198" s="674"/>
      <c r="W198" s="675"/>
      <c r="AC198" s="675"/>
      <c r="AD198" s="675"/>
      <c r="AF198" s="675"/>
      <c r="AG198" s="680"/>
    </row>
    <row r="199" spans="1:33" s="536" customFormat="1" ht="12" x14ac:dyDescent="0.2">
      <c r="A199" s="557"/>
      <c r="B199" s="556"/>
      <c r="C199" s="1823" t="s">
        <v>3327</v>
      </c>
      <c r="D199" s="1823"/>
      <c r="E199" s="1823"/>
      <c r="F199" s="1823"/>
      <c r="G199" s="1823"/>
      <c r="H199" s="1823"/>
      <c r="I199" s="1823"/>
      <c r="J199" s="1823"/>
      <c r="K199" s="1823"/>
      <c r="L199" s="555"/>
      <c r="M199" s="554"/>
      <c r="N199" s="553"/>
      <c r="V199" s="674"/>
      <c r="W199" s="675"/>
      <c r="AC199" s="675"/>
      <c r="AD199" s="675" t="s">
        <v>3327</v>
      </c>
      <c r="AF199" s="675"/>
      <c r="AG199" s="680"/>
    </row>
    <row r="200" spans="1:33" s="536" customFormat="1" ht="12" x14ac:dyDescent="0.2">
      <c r="A200" s="548"/>
      <c r="B200" s="552"/>
      <c r="C200" s="1822" t="s">
        <v>403</v>
      </c>
      <c r="D200" s="1822"/>
      <c r="E200" s="1822"/>
      <c r="F200" s="1822"/>
      <c r="G200" s="1822"/>
      <c r="H200" s="1822"/>
      <c r="I200" s="1822"/>
      <c r="J200" s="1822"/>
      <c r="K200" s="1822"/>
      <c r="L200" s="551">
        <v>15672.65</v>
      </c>
      <c r="M200" s="550"/>
      <c r="N200" s="549"/>
      <c r="V200" s="674"/>
      <c r="W200" s="675"/>
      <c r="AC200" s="675"/>
      <c r="AD200" s="675"/>
      <c r="AE200" s="537" t="s">
        <v>403</v>
      </c>
      <c r="AF200" s="675"/>
      <c r="AG200" s="680"/>
    </row>
    <row r="201" spans="1:33" s="536" customFormat="1" ht="12" x14ac:dyDescent="0.2">
      <c r="A201" s="548"/>
      <c r="B201" s="552"/>
      <c r="C201" s="1822" t="s">
        <v>204</v>
      </c>
      <c r="D201" s="1822"/>
      <c r="E201" s="1822"/>
      <c r="F201" s="1822"/>
      <c r="G201" s="1822"/>
      <c r="H201" s="1822"/>
      <c r="I201" s="1822"/>
      <c r="J201" s="1822"/>
      <c r="K201" s="1822"/>
      <c r="L201" s="551"/>
      <c r="M201" s="550"/>
      <c r="N201" s="549"/>
      <c r="V201" s="674"/>
      <c r="W201" s="675"/>
      <c r="AC201" s="675"/>
      <c r="AD201" s="675"/>
      <c r="AE201" s="537" t="s">
        <v>204</v>
      </c>
      <c r="AF201" s="675"/>
      <c r="AG201" s="680"/>
    </row>
    <row r="202" spans="1:33" s="536" customFormat="1" ht="12" x14ac:dyDescent="0.2">
      <c r="A202" s="548"/>
      <c r="B202" s="552"/>
      <c r="C202" s="1822" t="s">
        <v>404</v>
      </c>
      <c r="D202" s="1822"/>
      <c r="E202" s="1822"/>
      <c r="F202" s="1822"/>
      <c r="G202" s="1822"/>
      <c r="H202" s="1822"/>
      <c r="I202" s="1822"/>
      <c r="J202" s="1822"/>
      <c r="K202" s="1822"/>
      <c r="L202" s="551">
        <v>375.43</v>
      </c>
      <c r="M202" s="550"/>
      <c r="N202" s="549"/>
      <c r="V202" s="674"/>
      <c r="W202" s="675"/>
      <c r="AC202" s="675"/>
      <c r="AD202" s="675"/>
      <c r="AE202" s="537" t="s">
        <v>404</v>
      </c>
      <c r="AF202" s="675"/>
      <c r="AG202" s="680"/>
    </row>
    <row r="203" spans="1:33" s="536" customFormat="1" ht="12" x14ac:dyDescent="0.2">
      <c r="A203" s="548"/>
      <c r="B203" s="552"/>
      <c r="C203" s="1822" t="s">
        <v>405</v>
      </c>
      <c r="D203" s="1822"/>
      <c r="E203" s="1822"/>
      <c r="F203" s="1822"/>
      <c r="G203" s="1822"/>
      <c r="H203" s="1822"/>
      <c r="I203" s="1822"/>
      <c r="J203" s="1822"/>
      <c r="K203" s="1822"/>
      <c r="L203" s="551">
        <v>394.81</v>
      </c>
      <c r="M203" s="550"/>
      <c r="N203" s="549"/>
      <c r="V203" s="674"/>
      <c r="W203" s="675"/>
      <c r="AC203" s="675"/>
      <c r="AD203" s="675"/>
      <c r="AE203" s="537" t="s">
        <v>405</v>
      </c>
      <c r="AF203" s="675"/>
      <c r="AG203" s="680"/>
    </row>
    <row r="204" spans="1:33" s="536" customFormat="1" ht="12" x14ac:dyDescent="0.2">
      <c r="A204" s="548"/>
      <c r="B204" s="552"/>
      <c r="C204" s="1822" t="s">
        <v>406</v>
      </c>
      <c r="D204" s="1822"/>
      <c r="E204" s="1822"/>
      <c r="F204" s="1822"/>
      <c r="G204" s="1822"/>
      <c r="H204" s="1822"/>
      <c r="I204" s="1822"/>
      <c r="J204" s="1822"/>
      <c r="K204" s="1822"/>
      <c r="L204" s="551">
        <v>63.36</v>
      </c>
      <c r="M204" s="550"/>
      <c r="N204" s="549"/>
      <c r="V204" s="674"/>
      <c r="W204" s="675"/>
      <c r="AC204" s="675"/>
      <c r="AD204" s="675"/>
      <c r="AE204" s="537" t="s">
        <v>406</v>
      </c>
      <c r="AF204" s="675"/>
      <c r="AG204" s="680"/>
    </row>
    <row r="205" spans="1:33" s="536" customFormat="1" ht="12" x14ac:dyDescent="0.2">
      <c r="A205" s="548"/>
      <c r="B205" s="552"/>
      <c r="C205" s="1822" t="s">
        <v>480</v>
      </c>
      <c r="D205" s="1822"/>
      <c r="E205" s="1822"/>
      <c r="F205" s="1822"/>
      <c r="G205" s="1822"/>
      <c r="H205" s="1822"/>
      <c r="I205" s="1822"/>
      <c r="J205" s="1822"/>
      <c r="K205" s="1822"/>
      <c r="L205" s="551">
        <v>14902.41</v>
      </c>
      <c r="M205" s="550"/>
      <c r="N205" s="549"/>
      <c r="V205" s="674"/>
      <c r="W205" s="675"/>
      <c r="AC205" s="675"/>
      <c r="AD205" s="675"/>
      <c r="AE205" s="537" t="s">
        <v>480</v>
      </c>
      <c r="AF205" s="675"/>
      <c r="AG205" s="680"/>
    </row>
    <row r="206" spans="1:33" s="536" customFormat="1" ht="12" x14ac:dyDescent="0.2">
      <c r="A206" s="548"/>
      <c r="B206" s="552"/>
      <c r="C206" s="1822" t="s">
        <v>407</v>
      </c>
      <c r="D206" s="1822"/>
      <c r="E206" s="1822"/>
      <c r="F206" s="1822"/>
      <c r="G206" s="1822"/>
      <c r="H206" s="1822"/>
      <c r="I206" s="1822"/>
      <c r="J206" s="1822"/>
      <c r="K206" s="1822"/>
      <c r="L206" s="551">
        <v>16399.09</v>
      </c>
      <c r="M206" s="550"/>
      <c r="N206" s="549"/>
      <c r="V206" s="674"/>
      <c r="W206" s="675"/>
      <c r="AC206" s="675"/>
      <c r="AD206" s="675"/>
      <c r="AE206" s="537" t="s">
        <v>407</v>
      </c>
      <c r="AF206" s="675"/>
      <c r="AG206" s="680"/>
    </row>
    <row r="207" spans="1:33" s="536" customFormat="1" ht="12" x14ac:dyDescent="0.2">
      <c r="A207" s="548"/>
      <c r="B207" s="552"/>
      <c r="C207" s="1822" t="s">
        <v>204</v>
      </c>
      <c r="D207" s="1822"/>
      <c r="E207" s="1822"/>
      <c r="F207" s="1822"/>
      <c r="G207" s="1822"/>
      <c r="H207" s="1822"/>
      <c r="I207" s="1822"/>
      <c r="J207" s="1822"/>
      <c r="K207" s="1822"/>
      <c r="L207" s="551"/>
      <c r="M207" s="550"/>
      <c r="N207" s="549"/>
      <c r="V207" s="674"/>
      <c r="W207" s="675"/>
      <c r="AC207" s="675"/>
      <c r="AD207" s="675"/>
      <c r="AE207" s="537" t="s">
        <v>204</v>
      </c>
      <c r="AF207" s="675"/>
      <c r="AG207" s="680"/>
    </row>
    <row r="208" spans="1:33" s="536" customFormat="1" ht="12" x14ac:dyDescent="0.2">
      <c r="A208" s="548"/>
      <c r="B208" s="552"/>
      <c r="C208" s="1822" t="s">
        <v>546</v>
      </c>
      <c r="D208" s="1822"/>
      <c r="E208" s="1822"/>
      <c r="F208" s="1822"/>
      <c r="G208" s="1822"/>
      <c r="H208" s="1822"/>
      <c r="I208" s="1822"/>
      <c r="J208" s="1822"/>
      <c r="K208" s="1822"/>
      <c r="L208" s="551">
        <v>375.43</v>
      </c>
      <c r="M208" s="550"/>
      <c r="N208" s="549"/>
      <c r="V208" s="674"/>
      <c r="W208" s="675"/>
      <c r="AC208" s="675"/>
      <c r="AD208" s="675"/>
      <c r="AE208" s="537" t="s">
        <v>546</v>
      </c>
      <c r="AF208" s="675"/>
      <c r="AG208" s="680"/>
    </row>
    <row r="209" spans="1:33" s="536" customFormat="1" ht="12" x14ac:dyDescent="0.2">
      <c r="A209" s="548"/>
      <c r="B209" s="552"/>
      <c r="C209" s="1822" t="s">
        <v>442</v>
      </c>
      <c r="D209" s="1822"/>
      <c r="E209" s="1822"/>
      <c r="F209" s="1822"/>
      <c r="G209" s="1822"/>
      <c r="H209" s="1822"/>
      <c r="I209" s="1822"/>
      <c r="J209" s="1822"/>
      <c r="K209" s="1822"/>
      <c r="L209" s="551">
        <v>394.81</v>
      </c>
      <c r="M209" s="550"/>
      <c r="N209" s="549"/>
      <c r="V209" s="674"/>
      <c r="W209" s="675"/>
      <c r="AC209" s="675"/>
      <c r="AD209" s="675"/>
      <c r="AE209" s="537" t="s">
        <v>442</v>
      </c>
      <c r="AF209" s="675"/>
      <c r="AG209" s="680"/>
    </row>
    <row r="210" spans="1:33" s="536" customFormat="1" ht="12" x14ac:dyDescent="0.2">
      <c r="A210" s="548"/>
      <c r="B210" s="552"/>
      <c r="C210" s="1822" t="s">
        <v>547</v>
      </c>
      <c r="D210" s="1822"/>
      <c r="E210" s="1822"/>
      <c r="F210" s="1822"/>
      <c r="G210" s="1822"/>
      <c r="H210" s="1822"/>
      <c r="I210" s="1822"/>
      <c r="J210" s="1822"/>
      <c r="K210" s="1822"/>
      <c r="L210" s="551">
        <v>14902.41</v>
      </c>
      <c r="M210" s="550"/>
      <c r="N210" s="549"/>
      <c r="V210" s="674"/>
      <c r="W210" s="675"/>
      <c r="AC210" s="675"/>
      <c r="AD210" s="675"/>
      <c r="AE210" s="537" t="s">
        <v>547</v>
      </c>
      <c r="AF210" s="675"/>
      <c r="AG210" s="680"/>
    </row>
    <row r="211" spans="1:33" s="536" customFormat="1" ht="12" x14ac:dyDescent="0.2">
      <c r="A211" s="548"/>
      <c r="B211" s="552"/>
      <c r="C211" s="1822" t="s">
        <v>443</v>
      </c>
      <c r="D211" s="1822"/>
      <c r="E211" s="1822"/>
      <c r="F211" s="1822"/>
      <c r="G211" s="1822"/>
      <c r="H211" s="1822"/>
      <c r="I211" s="1822"/>
      <c r="J211" s="1822"/>
      <c r="K211" s="1822"/>
      <c r="L211" s="551">
        <v>461.9</v>
      </c>
      <c r="M211" s="550"/>
      <c r="N211" s="549"/>
      <c r="V211" s="674"/>
      <c r="W211" s="675"/>
      <c r="AC211" s="675"/>
      <c r="AD211" s="675"/>
      <c r="AE211" s="537" t="s">
        <v>443</v>
      </c>
      <c r="AF211" s="675"/>
      <c r="AG211" s="680"/>
    </row>
    <row r="212" spans="1:33" s="536" customFormat="1" ht="12" x14ac:dyDescent="0.2">
      <c r="A212" s="548"/>
      <c r="B212" s="552"/>
      <c r="C212" s="1822" t="s">
        <v>444</v>
      </c>
      <c r="D212" s="1822"/>
      <c r="E212" s="1822"/>
      <c r="F212" s="1822"/>
      <c r="G212" s="1822"/>
      <c r="H212" s="1822"/>
      <c r="I212" s="1822"/>
      <c r="J212" s="1822"/>
      <c r="K212" s="1822"/>
      <c r="L212" s="551">
        <v>264.54000000000002</v>
      </c>
      <c r="M212" s="550"/>
      <c r="N212" s="549"/>
      <c r="V212" s="674"/>
      <c r="W212" s="675"/>
      <c r="AC212" s="675"/>
      <c r="AD212" s="675"/>
      <c r="AE212" s="537" t="s">
        <v>444</v>
      </c>
      <c r="AF212" s="675"/>
      <c r="AG212" s="680"/>
    </row>
    <row r="213" spans="1:33" s="536" customFormat="1" ht="12" x14ac:dyDescent="0.2">
      <c r="A213" s="548"/>
      <c r="B213" s="552"/>
      <c r="C213" s="1822" t="s">
        <v>415</v>
      </c>
      <c r="D213" s="1822"/>
      <c r="E213" s="1822"/>
      <c r="F213" s="1822"/>
      <c r="G213" s="1822"/>
      <c r="H213" s="1822"/>
      <c r="I213" s="1822"/>
      <c r="J213" s="1822"/>
      <c r="K213" s="1822"/>
      <c r="L213" s="551">
        <v>438.79</v>
      </c>
      <c r="M213" s="550"/>
      <c r="N213" s="549"/>
      <c r="V213" s="674"/>
      <c r="W213" s="675"/>
      <c r="AC213" s="675"/>
      <c r="AD213" s="675"/>
      <c r="AE213" s="537" t="s">
        <v>415</v>
      </c>
      <c r="AF213" s="675"/>
      <c r="AG213" s="680"/>
    </row>
    <row r="214" spans="1:33" s="536" customFormat="1" ht="12" x14ac:dyDescent="0.2">
      <c r="A214" s="548"/>
      <c r="B214" s="552"/>
      <c r="C214" s="1822" t="s">
        <v>416</v>
      </c>
      <c r="D214" s="1822"/>
      <c r="E214" s="1822"/>
      <c r="F214" s="1822"/>
      <c r="G214" s="1822"/>
      <c r="H214" s="1822"/>
      <c r="I214" s="1822"/>
      <c r="J214" s="1822"/>
      <c r="K214" s="1822"/>
      <c r="L214" s="551">
        <v>461.9</v>
      </c>
      <c r="M214" s="550"/>
      <c r="N214" s="549"/>
      <c r="V214" s="674"/>
      <c r="W214" s="675"/>
      <c r="AC214" s="675"/>
      <c r="AD214" s="675"/>
      <c r="AE214" s="537" t="s">
        <v>416</v>
      </c>
      <c r="AF214" s="675"/>
      <c r="AG214" s="680"/>
    </row>
    <row r="215" spans="1:33" s="536" customFormat="1" ht="12" x14ac:dyDescent="0.2">
      <c r="A215" s="548"/>
      <c r="B215" s="552"/>
      <c r="C215" s="1822" t="s">
        <v>417</v>
      </c>
      <c r="D215" s="1822"/>
      <c r="E215" s="1822"/>
      <c r="F215" s="1822"/>
      <c r="G215" s="1822"/>
      <c r="H215" s="1822"/>
      <c r="I215" s="1822"/>
      <c r="J215" s="1822"/>
      <c r="K215" s="1822"/>
      <c r="L215" s="551">
        <v>264.54000000000002</v>
      </c>
      <c r="M215" s="550"/>
      <c r="N215" s="549"/>
      <c r="V215" s="674"/>
      <c r="W215" s="675"/>
      <c r="AC215" s="675"/>
      <c r="AD215" s="675"/>
      <c r="AE215" s="537" t="s">
        <v>417</v>
      </c>
      <c r="AF215" s="675"/>
      <c r="AG215" s="680"/>
    </row>
    <row r="216" spans="1:33" s="536" customFormat="1" ht="12" x14ac:dyDescent="0.2">
      <c r="A216" s="548"/>
      <c r="B216" s="546"/>
      <c r="C216" s="1819" t="s">
        <v>3328</v>
      </c>
      <c r="D216" s="1819"/>
      <c r="E216" s="1819"/>
      <c r="F216" s="1819"/>
      <c r="G216" s="1819"/>
      <c r="H216" s="1819"/>
      <c r="I216" s="1819"/>
      <c r="J216" s="1819"/>
      <c r="K216" s="1819"/>
      <c r="L216" s="544">
        <v>16399.09</v>
      </c>
      <c r="M216" s="543"/>
      <c r="N216" s="681"/>
      <c r="V216" s="674"/>
      <c r="W216" s="675"/>
      <c r="AC216" s="675"/>
      <c r="AD216" s="675"/>
      <c r="AF216" s="675" t="s">
        <v>3328</v>
      </c>
      <c r="AG216" s="680"/>
    </row>
    <row r="217" spans="1:33" s="536" customFormat="1" ht="12" x14ac:dyDescent="0.2">
      <c r="A217" s="1824" t="s">
        <v>2137</v>
      </c>
      <c r="B217" s="1825"/>
      <c r="C217" s="1825"/>
      <c r="D217" s="1825"/>
      <c r="E217" s="1825"/>
      <c r="F217" s="1825"/>
      <c r="G217" s="1825"/>
      <c r="H217" s="1825"/>
      <c r="I217" s="1825"/>
      <c r="J217" s="1825"/>
      <c r="K217" s="1825"/>
      <c r="L217" s="1825"/>
      <c r="M217" s="1825"/>
      <c r="N217" s="1826"/>
      <c r="V217" s="674" t="s">
        <v>2137</v>
      </c>
      <c r="W217" s="675"/>
      <c r="AC217" s="675"/>
      <c r="AD217" s="675"/>
      <c r="AF217" s="675"/>
      <c r="AG217" s="680"/>
    </row>
    <row r="218" spans="1:33" s="536" customFormat="1" ht="22.5" x14ac:dyDescent="0.2">
      <c r="A218" s="575" t="s">
        <v>425</v>
      </c>
      <c r="B218" s="670" t="s">
        <v>2145</v>
      </c>
      <c r="C218" s="1823" t="s">
        <v>3533</v>
      </c>
      <c r="D218" s="1823"/>
      <c r="E218" s="1823"/>
      <c r="F218" s="573" t="s">
        <v>694</v>
      </c>
      <c r="G218" s="573"/>
      <c r="H218" s="573"/>
      <c r="I218" s="573" t="s">
        <v>3534</v>
      </c>
      <c r="J218" s="572"/>
      <c r="K218" s="573"/>
      <c r="L218" s="572"/>
      <c r="M218" s="571"/>
      <c r="N218" s="570"/>
      <c r="V218" s="674"/>
      <c r="W218" s="675" t="s">
        <v>3533</v>
      </c>
      <c r="AC218" s="675"/>
      <c r="AD218" s="675"/>
      <c r="AF218" s="675"/>
      <c r="AG218" s="680"/>
    </row>
    <row r="219" spans="1:33" s="536" customFormat="1" ht="12" x14ac:dyDescent="0.2">
      <c r="A219" s="676"/>
      <c r="B219" s="664"/>
      <c r="C219" s="1822" t="s">
        <v>3535</v>
      </c>
      <c r="D219" s="1822"/>
      <c r="E219" s="1822"/>
      <c r="F219" s="1822"/>
      <c r="G219" s="1822"/>
      <c r="H219" s="1822"/>
      <c r="I219" s="1822"/>
      <c r="J219" s="1822"/>
      <c r="K219" s="1822"/>
      <c r="L219" s="1822"/>
      <c r="M219" s="1822"/>
      <c r="N219" s="1827"/>
      <c r="V219" s="674"/>
      <c r="W219" s="675"/>
      <c r="X219" s="537" t="s">
        <v>3535</v>
      </c>
      <c r="AC219" s="675"/>
      <c r="AD219" s="675"/>
      <c r="AF219" s="675"/>
      <c r="AG219" s="680"/>
    </row>
    <row r="220" spans="1:33" s="536" customFormat="1" ht="33.75" x14ac:dyDescent="0.2">
      <c r="A220" s="609"/>
      <c r="B220" s="552" t="s">
        <v>310</v>
      </c>
      <c r="C220" s="1822" t="s">
        <v>311</v>
      </c>
      <c r="D220" s="1822"/>
      <c r="E220" s="1822"/>
      <c r="F220" s="1822"/>
      <c r="G220" s="1822"/>
      <c r="H220" s="1822"/>
      <c r="I220" s="1822"/>
      <c r="J220" s="1822"/>
      <c r="K220" s="1822"/>
      <c r="L220" s="1822"/>
      <c r="M220" s="1822"/>
      <c r="N220" s="1827"/>
      <c r="V220" s="674"/>
      <c r="W220" s="675"/>
      <c r="Y220" s="537" t="s">
        <v>311</v>
      </c>
      <c r="AC220" s="675"/>
      <c r="AD220" s="675"/>
      <c r="AF220" s="675"/>
      <c r="AG220" s="680"/>
    </row>
    <row r="221" spans="1:33" s="536" customFormat="1" ht="12" x14ac:dyDescent="0.2">
      <c r="A221" s="605"/>
      <c r="B221" s="552" t="s">
        <v>185</v>
      </c>
      <c r="C221" s="1822" t="s">
        <v>312</v>
      </c>
      <c r="D221" s="1822"/>
      <c r="E221" s="1822"/>
      <c r="F221" s="562"/>
      <c r="G221" s="562"/>
      <c r="H221" s="562"/>
      <c r="I221" s="562"/>
      <c r="J221" s="604">
        <v>51.85</v>
      </c>
      <c r="K221" s="562" t="s">
        <v>313</v>
      </c>
      <c r="L221" s="604">
        <v>26.85</v>
      </c>
      <c r="M221" s="603"/>
      <c r="N221" s="602"/>
      <c r="V221" s="674"/>
      <c r="W221" s="675"/>
      <c r="Z221" s="537" t="s">
        <v>312</v>
      </c>
      <c r="AC221" s="675"/>
      <c r="AD221" s="675"/>
      <c r="AF221" s="675"/>
      <c r="AG221" s="680"/>
    </row>
    <row r="222" spans="1:33" s="536" customFormat="1" ht="12" x14ac:dyDescent="0.2">
      <c r="A222" s="605"/>
      <c r="B222" s="552" t="s">
        <v>186</v>
      </c>
      <c r="C222" s="1822" t="s">
        <v>344</v>
      </c>
      <c r="D222" s="1822"/>
      <c r="E222" s="1822"/>
      <c r="F222" s="562"/>
      <c r="G222" s="562"/>
      <c r="H222" s="562"/>
      <c r="I222" s="562"/>
      <c r="J222" s="604">
        <v>266.39</v>
      </c>
      <c r="K222" s="562" t="s">
        <v>313</v>
      </c>
      <c r="L222" s="604">
        <v>137.96</v>
      </c>
      <c r="M222" s="603"/>
      <c r="N222" s="602"/>
      <c r="V222" s="674"/>
      <c r="W222" s="675"/>
      <c r="Z222" s="537" t="s">
        <v>344</v>
      </c>
      <c r="AC222" s="675"/>
      <c r="AD222" s="675"/>
      <c r="AF222" s="675"/>
      <c r="AG222" s="680"/>
    </row>
    <row r="223" spans="1:33" s="536" customFormat="1" ht="12" x14ac:dyDescent="0.2">
      <c r="A223" s="605"/>
      <c r="B223" s="552" t="s">
        <v>187</v>
      </c>
      <c r="C223" s="1822" t="s">
        <v>345</v>
      </c>
      <c r="D223" s="1822"/>
      <c r="E223" s="1822"/>
      <c r="F223" s="562"/>
      <c r="G223" s="562"/>
      <c r="H223" s="562"/>
      <c r="I223" s="562"/>
      <c r="J223" s="604">
        <v>32.21</v>
      </c>
      <c r="K223" s="562" t="s">
        <v>313</v>
      </c>
      <c r="L223" s="604">
        <v>16.68</v>
      </c>
      <c r="M223" s="603"/>
      <c r="N223" s="602"/>
      <c r="V223" s="674"/>
      <c r="W223" s="675"/>
      <c r="Z223" s="537" t="s">
        <v>345</v>
      </c>
      <c r="AC223" s="675"/>
      <c r="AD223" s="675"/>
      <c r="AF223" s="675"/>
      <c r="AG223" s="680"/>
    </row>
    <row r="224" spans="1:33" s="536" customFormat="1" ht="12" x14ac:dyDescent="0.2">
      <c r="A224" s="605"/>
      <c r="B224" s="552" t="s">
        <v>188</v>
      </c>
      <c r="C224" s="1822" t="s">
        <v>475</v>
      </c>
      <c r="D224" s="1822"/>
      <c r="E224" s="1822"/>
      <c r="F224" s="562"/>
      <c r="G224" s="562"/>
      <c r="H224" s="562"/>
      <c r="I224" s="562"/>
      <c r="J224" s="604">
        <v>121.33</v>
      </c>
      <c r="K224" s="562"/>
      <c r="L224" s="604">
        <v>50.27</v>
      </c>
      <c r="M224" s="603"/>
      <c r="N224" s="602"/>
      <c r="V224" s="674"/>
      <c r="W224" s="675"/>
      <c r="Z224" s="537" t="s">
        <v>475</v>
      </c>
      <c r="AC224" s="675"/>
      <c r="AD224" s="675"/>
      <c r="AF224" s="675"/>
      <c r="AG224" s="680"/>
    </row>
    <row r="225" spans="1:33" s="536" customFormat="1" ht="12" x14ac:dyDescent="0.2">
      <c r="A225" s="676"/>
      <c r="B225" s="677" t="s">
        <v>1436</v>
      </c>
      <c r="C225" s="1829" t="s">
        <v>1229</v>
      </c>
      <c r="D225" s="1829"/>
      <c r="E225" s="1829"/>
      <c r="F225" s="678" t="s">
        <v>694</v>
      </c>
      <c r="G225" s="678" t="s">
        <v>185</v>
      </c>
      <c r="H225" s="678"/>
      <c r="I225" s="678" t="s">
        <v>3534</v>
      </c>
      <c r="J225" s="552"/>
      <c r="K225" s="562"/>
      <c r="L225" s="604"/>
      <c r="M225" s="562"/>
      <c r="N225" s="679"/>
      <c r="V225" s="674"/>
      <c r="W225" s="675"/>
      <c r="AC225" s="675"/>
      <c r="AD225" s="675"/>
      <c r="AF225" s="675"/>
      <c r="AG225" s="680" t="s">
        <v>1229</v>
      </c>
    </row>
    <row r="226" spans="1:33" s="536" customFormat="1" ht="12" x14ac:dyDescent="0.2">
      <c r="A226" s="605"/>
      <c r="B226" s="552"/>
      <c r="C226" s="1822" t="s">
        <v>314</v>
      </c>
      <c r="D226" s="1822"/>
      <c r="E226" s="1822"/>
      <c r="F226" s="562" t="s">
        <v>315</v>
      </c>
      <c r="G226" s="562" t="s">
        <v>2147</v>
      </c>
      <c r="H226" s="562" t="s">
        <v>313</v>
      </c>
      <c r="I226" s="562" t="s">
        <v>3536</v>
      </c>
      <c r="J226" s="604"/>
      <c r="K226" s="562"/>
      <c r="L226" s="604"/>
      <c r="M226" s="603"/>
      <c r="N226" s="602"/>
      <c r="V226" s="674"/>
      <c r="W226" s="675"/>
      <c r="AA226" s="537" t="s">
        <v>314</v>
      </c>
      <c r="AC226" s="675"/>
      <c r="AD226" s="675"/>
      <c r="AF226" s="675"/>
      <c r="AG226" s="680"/>
    </row>
    <row r="227" spans="1:33" s="536" customFormat="1" ht="12" x14ac:dyDescent="0.2">
      <c r="A227" s="605"/>
      <c r="B227" s="552"/>
      <c r="C227" s="1822" t="s">
        <v>348</v>
      </c>
      <c r="D227" s="1822"/>
      <c r="E227" s="1822"/>
      <c r="F227" s="562" t="s">
        <v>315</v>
      </c>
      <c r="G227" s="562" t="s">
        <v>2148</v>
      </c>
      <c r="H227" s="562" t="s">
        <v>313</v>
      </c>
      <c r="I227" s="562" t="s">
        <v>3537</v>
      </c>
      <c r="J227" s="604"/>
      <c r="K227" s="562"/>
      <c r="L227" s="604"/>
      <c r="M227" s="603"/>
      <c r="N227" s="602"/>
      <c r="V227" s="674"/>
      <c r="W227" s="675"/>
      <c r="AA227" s="537" t="s">
        <v>348</v>
      </c>
      <c r="AC227" s="675"/>
      <c r="AD227" s="675"/>
      <c r="AF227" s="675"/>
      <c r="AG227" s="680"/>
    </row>
    <row r="228" spans="1:33" s="536" customFormat="1" ht="12" x14ac:dyDescent="0.2">
      <c r="A228" s="605"/>
      <c r="B228" s="552"/>
      <c r="C228" s="1828" t="s">
        <v>318</v>
      </c>
      <c r="D228" s="1828"/>
      <c r="E228" s="1828"/>
      <c r="F228" s="608"/>
      <c r="G228" s="608"/>
      <c r="H228" s="608"/>
      <c r="I228" s="608"/>
      <c r="J228" s="607">
        <v>439.57</v>
      </c>
      <c r="K228" s="608"/>
      <c r="L228" s="607">
        <v>215.08</v>
      </c>
      <c r="M228" s="601"/>
      <c r="N228" s="606"/>
      <c r="V228" s="674"/>
      <c r="W228" s="675"/>
      <c r="AB228" s="537" t="s">
        <v>318</v>
      </c>
      <c r="AC228" s="675"/>
      <c r="AD228" s="675"/>
      <c r="AF228" s="675"/>
      <c r="AG228" s="680"/>
    </row>
    <row r="229" spans="1:33" s="536" customFormat="1" ht="12" x14ac:dyDescent="0.2">
      <c r="A229" s="605"/>
      <c r="B229" s="552"/>
      <c r="C229" s="1822" t="s">
        <v>319</v>
      </c>
      <c r="D229" s="1822"/>
      <c r="E229" s="1822"/>
      <c r="F229" s="562"/>
      <c r="G229" s="562"/>
      <c r="H229" s="562"/>
      <c r="I229" s="562"/>
      <c r="J229" s="604"/>
      <c r="K229" s="562"/>
      <c r="L229" s="604">
        <v>43.53</v>
      </c>
      <c r="M229" s="603"/>
      <c r="N229" s="602"/>
      <c r="V229" s="674"/>
      <c r="W229" s="675"/>
      <c r="AA229" s="537" t="s">
        <v>319</v>
      </c>
      <c r="AC229" s="675"/>
      <c r="AD229" s="675"/>
      <c r="AF229" s="675"/>
      <c r="AG229" s="680"/>
    </row>
    <row r="230" spans="1:33" s="536" customFormat="1" ht="33.75" x14ac:dyDescent="0.2">
      <c r="A230" s="605"/>
      <c r="B230" s="552" t="s">
        <v>648</v>
      </c>
      <c r="C230" s="1822" t="s">
        <v>649</v>
      </c>
      <c r="D230" s="1822"/>
      <c r="E230" s="1822"/>
      <c r="F230" s="562" t="s">
        <v>322</v>
      </c>
      <c r="G230" s="562" t="s">
        <v>650</v>
      </c>
      <c r="H230" s="562"/>
      <c r="I230" s="562" t="s">
        <v>650</v>
      </c>
      <c r="J230" s="604"/>
      <c r="K230" s="562"/>
      <c r="L230" s="604">
        <v>40.479999999999997</v>
      </c>
      <c r="M230" s="603"/>
      <c r="N230" s="602"/>
      <c r="V230" s="674"/>
      <c r="W230" s="675"/>
      <c r="AA230" s="537" t="s">
        <v>649</v>
      </c>
      <c r="AC230" s="675"/>
      <c r="AD230" s="675"/>
      <c r="AF230" s="675"/>
      <c r="AG230" s="680"/>
    </row>
    <row r="231" spans="1:33" s="536" customFormat="1" ht="33.75" x14ac:dyDescent="0.2">
      <c r="A231" s="605"/>
      <c r="B231" s="552" t="s">
        <v>651</v>
      </c>
      <c r="C231" s="1822" t="s">
        <v>652</v>
      </c>
      <c r="D231" s="1822"/>
      <c r="E231" s="1822"/>
      <c r="F231" s="562" t="s">
        <v>322</v>
      </c>
      <c r="G231" s="562" t="s">
        <v>653</v>
      </c>
      <c r="H231" s="562"/>
      <c r="I231" s="562" t="s">
        <v>653</v>
      </c>
      <c r="J231" s="604"/>
      <c r="K231" s="562"/>
      <c r="L231" s="604">
        <v>26.99</v>
      </c>
      <c r="M231" s="603"/>
      <c r="N231" s="602"/>
      <c r="V231" s="674"/>
      <c r="W231" s="675"/>
      <c r="AA231" s="537" t="s">
        <v>652</v>
      </c>
      <c r="AC231" s="675"/>
      <c r="AD231" s="675"/>
      <c r="AF231" s="675"/>
      <c r="AG231" s="680"/>
    </row>
    <row r="232" spans="1:33" s="536" customFormat="1" ht="12" x14ac:dyDescent="0.2">
      <c r="A232" s="569"/>
      <c r="B232" s="671"/>
      <c r="C232" s="1823" t="s">
        <v>327</v>
      </c>
      <c r="D232" s="1823"/>
      <c r="E232" s="1823"/>
      <c r="F232" s="573"/>
      <c r="G232" s="573"/>
      <c r="H232" s="573"/>
      <c r="I232" s="573"/>
      <c r="J232" s="572"/>
      <c r="K232" s="573"/>
      <c r="L232" s="572">
        <v>282.55</v>
      </c>
      <c r="M232" s="601"/>
      <c r="N232" s="570"/>
      <c r="V232" s="674"/>
      <c r="W232" s="675"/>
      <c r="AC232" s="675" t="s">
        <v>327</v>
      </c>
      <c r="AD232" s="675"/>
      <c r="AF232" s="675"/>
      <c r="AG232" s="680"/>
    </row>
    <row r="233" spans="1:33" s="536" customFormat="1" ht="56.25" x14ac:dyDescent="0.2">
      <c r="A233" s="575" t="s">
        <v>430</v>
      </c>
      <c r="B233" s="670" t="s">
        <v>1441</v>
      </c>
      <c r="C233" s="1823" t="s">
        <v>1442</v>
      </c>
      <c r="D233" s="1823"/>
      <c r="E233" s="1823"/>
      <c r="F233" s="573" t="s">
        <v>694</v>
      </c>
      <c r="G233" s="573"/>
      <c r="H233" s="573"/>
      <c r="I233" s="573" t="s">
        <v>3534</v>
      </c>
      <c r="J233" s="572">
        <v>11255</v>
      </c>
      <c r="K233" s="573"/>
      <c r="L233" s="572">
        <v>4662.95</v>
      </c>
      <c r="M233" s="571"/>
      <c r="N233" s="570"/>
      <c r="V233" s="674"/>
      <c r="W233" s="675" t="s">
        <v>1442</v>
      </c>
      <c r="AC233" s="675"/>
      <c r="AD233" s="675"/>
      <c r="AF233" s="675"/>
      <c r="AG233" s="680"/>
    </row>
    <row r="234" spans="1:33" s="536" customFormat="1" ht="12" x14ac:dyDescent="0.2">
      <c r="A234" s="569"/>
      <c r="B234" s="671"/>
      <c r="C234" s="665" t="s">
        <v>717</v>
      </c>
      <c r="D234" s="666"/>
      <c r="E234" s="666"/>
      <c r="F234" s="563"/>
      <c r="G234" s="563"/>
      <c r="H234" s="563"/>
      <c r="I234" s="563"/>
      <c r="J234" s="566"/>
      <c r="K234" s="563"/>
      <c r="L234" s="566"/>
      <c r="M234" s="565"/>
      <c r="N234" s="564"/>
      <c r="V234" s="674"/>
      <c r="W234" s="675"/>
      <c r="AC234" s="675"/>
      <c r="AD234" s="675"/>
      <c r="AF234" s="675"/>
      <c r="AG234" s="680"/>
    </row>
    <row r="235" spans="1:33" s="536" customFormat="1" ht="45" x14ac:dyDescent="0.2">
      <c r="A235" s="575" t="s">
        <v>436</v>
      </c>
      <c r="B235" s="670" t="s">
        <v>1444</v>
      </c>
      <c r="C235" s="1823" t="s">
        <v>2138</v>
      </c>
      <c r="D235" s="1823"/>
      <c r="E235" s="1823"/>
      <c r="F235" s="573" t="s">
        <v>694</v>
      </c>
      <c r="G235" s="573"/>
      <c r="H235" s="573"/>
      <c r="I235" s="573" t="s">
        <v>3538</v>
      </c>
      <c r="J235" s="572"/>
      <c r="K235" s="573"/>
      <c r="L235" s="572"/>
      <c r="M235" s="571"/>
      <c r="N235" s="570"/>
      <c r="V235" s="674"/>
      <c r="W235" s="675" t="s">
        <v>2138</v>
      </c>
      <c r="AC235" s="675"/>
      <c r="AD235" s="675"/>
      <c r="AF235" s="675"/>
      <c r="AG235" s="680"/>
    </row>
    <row r="236" spans="1:33" s="536" customFormat="1" ht="12" x14ac:dyDescent="0.2">
      <c r="A236" s="676"/>
      <c r="B236" s="664"/>
      <c r="C236" s="1822" t="s">
        <v>3539</v>
      </c>
      <c r="D236" s="1822"/>
      <c r="E236" s="1822"/>
      <c r="F236" s="1822"/>
      <c r="G236" s="1822"/>
      <c r="H236" s="1822"/>
      <c r="I236" s="1822"/>
      <c r="J236" s="1822"/>
      <c r="K236" s="1822"/>
      <c r="L236" s="1822"/>
      <c r="M236" s="1822"/>
      <c r="N236" s="1827"/>
      <c r="V236" s="674"/>
      <c r="W236" s="675"/>
      <c r="X236" s="537" t="s">
        <v>3539</v>
      </c>
      <c r="AC236" s="675"/>
      <c r="AD236" s="675"/>
      <c r="AF236" s="675"/>
      <c r="AG236" s="680"/>
    </row>
    <row r="237" spans="1:33" s="536" customFormat="1" ht="33.75" x14ac:dyDescent="0.2">
      <c r="A237" s="609"/>
      <c r="B237" s="552" t="s">
        <v>310</v>
      </c>
      <c r="C237" s="1822" t="s">
        <v>311</v>
      </c>
      <c r="D237" s="1822"/>
      <c r="E237" s="1822"/>
      <c r="F237" s="1822"/>
      <c r="G237" s="1822"/>
      <c r="H237" s="1822"/>
      <c r="I237" s="1822"/>
      <c r="J237" s="1822"/>
      <c r="K237" s="1822"/>
      <c r="L237" s="1822"/>
      <c r="M237" s="1822"/>
      <c r="N237" s="1827"/>
      <c r="V237" s="674"/>
      <c r="W237" s="675"/>
      <c r="Y237" s="537" t="s">
        <v>311</v>
      </c>
      <c r="AC237" s="675"/>
      <c r="AD237" s="675"/>
      <c r="AF237" s="675"/>
      <c r="AG237" s="680"/>
    </row>
    <row r="238" spans="1:33" s="536" customFormat="1" ht="12" x14ac:dyDescent="0.2">
      <c r="A238" s="605"/>
      <c r="B238" s="552" t="s">
        <v>185</v>
      </c>
      <c r="C238" s="1822" t="s">
        <v>312</v>
      </c>
      <c r="D238" s="1822"/>
      <c r="E238" s="1822"/>
      <c r="F238" s="562"/>
      <c r="G238" s="562"/>
      <c r="H238" s="562"/>
      <c r="I238" s="562"/>
      <c r="J238" s="604">
        <v>159.28</v>
      </c>
      <c r="K238" s="562" t="s">
        <v>313</v>
      </c>
      <c r="L238" s="604">
        <v>235.3</v>
      </c>
      <c r="M238" s="603"/>
      <c r="N238" s="602"/>
      <c r="V238" s="674"/>
      <c r="W238" s="675"/>
      <c r="Z238" s="537" t="s">
        <v>312</v>
      </c>
      <c r="AC238" s="675"/>
      <c r="AD238" s="675"/>
      <c r="AF238" s="675"/>
      <c r="AG238" s="680"/>
    </row>
    <row r="239" spans="1:33" s="536" customFormat="1" ht="12" x14ac:dyDescent="0.2">
      <c r="A239" s="605"/>
      <c r="B239" s="552" t="s">
        <v>186</v>
      </c>
      <c r="C239" s="1822" t="s">
        <v>344</v>
      </c>
      <c r="D239" s="1822"/>
      <c r="E239" s="1822"/>
      <c r="F239" s="562"/>
      <c r="G239" s="562"/>
      <c r="H239" s="562"/>
      <c r="I239" s="562"/>
      <c r="J239" s="604">
        <v>467.67</v>
      </c>
      <c r="K239" s="562" t="s">
        <v>313</v>
      </c>
      <c r="L239" s="604">
        <v>690.87</v>
      </c>
      <c r="M239" s="603"/>
      <c r="N239" s="602"/>
      <c r="V239" s="674"/>
      <c r="W239" s="675"/>
      <c r="Z239" s="537" t="s">
        <v>344</v>
      </c>
      <c r="AC239" s="675"/>
      <c r="AD239" s="675"/>
      <c r="AF239" s="675"/>
      <c r="AG239" s="680"/>
    </row>
    <row r="240" spans="1:33" s="536" customFormat="1" ht="12" x14ac:dyDescent="0.2">
      <c r="A240" s="605"/>
      <c r="B240" s="552" t="s">
        <v>187</v>
      </c>
      <c r="C240" s="1822" t="s">
        <v>345</v>
      </c>
      <c r="D240" s="1822"/>
      <c r="E240" s="1822"/>
      <c r="F240" s="562"/>
      <c r="G240" s="562"/>
      <c r="H240" s="562"/>
      <c r="I240" s="562"/>
      <c r="J240" s="604">
        <v>42.84</v>
      </c>
      <c r="K240" s="562" t="s">
        <v>313</v>
      </c>
      <c r="L240" s="604">
        <v>63.29</v>
      </c>
      <c r="M240" s="603"/>
      <c r="N240" s="602"/>
      <c r="V240" s="674"/>
      <c r="W240" s="675"/>
      <c r="Z240" s="537" t="s">
        <v>345</v>
      </c>
      <c r="AC240" s="675"/>
      <c r="AD240" s="675"/>
      <c r="AF240" s="675"/>
      <c r="AG240" s="680"/>
    </row>
    <row r="241" spans="1:33" s="536" customFormat="1" ht="12" x14ac:dyDescent="0.2">
      <c r="A241" s="605"/>
      <c r="B241" s="552" t="s">
        <v>188</v>
      </c>
      <c r="C241" s="1822" t="s">
        <v>475</v>
      </c>
      <c r="D241" s="1822"/>
      <c r="E241" s="1822"/>
      <c r="F241" s="562"/>
      <c r="G241" s="562"/>
      <c r="H241" s="562"/>
      <c r="I241" s="562"/>
      <c r="J241" s="604">
        <v>106.34</v>
      </c>
      <c r="K241" s="562"/>
      <c r="L241" s="604">
        <v>125.67</v>
      </c>
      <c r="M241" s="603"/>
      <c r="N241" s="602"/>
      <c r="V241" s="674"/>
      <c r="W241" s="675"/>
      <c r="Z241" s="537" t="s">
        <v>475</v>
      </c>
      <c r="AC241" s="675"/>
      <c r="AD241" s="675"/>
      <c r="AF241" s="675"/>
      <c r="AG241" s="680"/>
    </row>
    <row r="242" spans="1:33" s="536" customFormat="1" ht="12" x14ac:dyDescent="0.2">
      <c r="A242" s="676"/>
      <c r="B242" s="677" t="s">
        <v>1436</v>
      </c>
      <c r="C242" s="1829" t="s">
        <v>1229</v>
      </c>
      <c r="D242" s="1829"/>
      <c r="E242" s="1829"/>
      <c r="F242" s="678" t="s">
        <v>694</v>
      </c>
      <c r="G242" s="678" t="s">
        <v>185</v>
      </c>
      <c r="H242" s="678"/>
      <c r="I242" s="678" t="s">
        <v>3538</v>
      </c>
      <c r="J242" s="552"/>
      <c r="K242" s="562"/>
      <c r="L242" s="604"/>
      <c r="M242" s="562"/>
      <c r="N242" s="679"/>
      <c r="V242" s="674"/>
      <c r="W242" s="675"/>
      <c r="AC242" s="675"/>
      <c r="AD242" s="675"/>
      <c r="AF242" s="675"/>
      <c r="AG242" s="680" t="s">
        <v>1229</v>
      </c>
    </row>
    <row r="243" spans="1:33" s="536" customFormat="1" ht="12" x14ac:dyDescent="0.2">
      <c r="A243" s="605"/>
      <c r="B243" s="552"/>
      <c r="C243" s="1822" t="s">
        <v>314</v>
      </c>
      <c r="D243" s="1822"/>
      <c r="E243" s="1822"/>
      <c r="F243" s="562" t="s">
        <v>315</v>
      </c>
      <c r="G243" s="562" t="s">
        <v>1448</v>
      </c>
      <c r="H243" s="562" t="s">
        <v>313</v>
      </c>
      <c r="I243" s="562" t="s">
        <v>3540</v>
      </c>
      <c r="J243" s="604"/>
      <c r="K243" s="562"/>
      <c r="L243" s="604"/>
      <c r="M243" s="603"/>
      <c r="N243" s="602"/>
      <c r="V243" s="674"/>
      <c r="W243" s="675"/>
      <c r="AA243" s="537" t="s">
        <v>314</v>
      </c>
      <c r="AC243" s="675"/>
      <c r="AD243" s="675"/>
      <c r="AF243" s="675"/>
      <c r="AG243" s="680"/>
    </row>
    <row r="244" spans="1:33" s="536" customFormat="1" ht="12" x14ac:dyDescent="0.2">
      <c r="A244" s="605"/>
      <c r="B244" s="552"/>
      <c r="C244" s="1822" t="s">
        <v>348</v>
      </c>
      <c r="D244" s="1822"/>
      <c r="E244" s="1822"/>
      <c r="F244" s="562" t="s">
        <v>315</v>
      </c>
      <c r="G244" s="562" t="s">
        <v>1450</v>
      </c>
      <c r="H244" s="562" t="s">
        <v>313</v>
      </c>
      <c r="I244" s="562" t="s">
        <v>3541</v>
      </c>
      <c r="J244" s="604"/>
      <c r="K244" s="562"/>
      <c r="L244" s="604"/>
      <c r="M244" s="603"/>
      <c r="N244" s="602"/>
      <c r="V244" s="674"/>
      <c r="W244" s="675"/>
      <c r="AA244" s="537" t="s">
        <v>348</v>
      </c>
      <c r="AC244" s="675"/>
      <c r="AD244" s="675"/>
      <c r="AF244" s="675"/>
      <c r="AG244" s="680"/>
    </row>
    <row r="245" spans="1:33" s="536" customFormat="1" ht="12" x14ac:dyDescent="0.2">
      <c r="A245" s="605"/>
      <c r="B245" s="552"/>
      <c r="C245" s="1828" t="s">
        <v>318</v>
      </c>
      <c r="D245" s="1828"/>
      <c r="E245" s="1828"/>
      <c r="F245" s="608"/>
      <c r="G245" s="608"/>
      <c r="H245" s="608"/>
      <c r="I245" s="608"/>
      <c r="J245" s="607">
        <v>733.29</v>
      </c>
      <c r="K245" s="608"/>
      <c r="L245" s="607">
        <v>1051.8399999999999</v>
      </c>
      <c r="M245" s="601"/>
      <c r="N245" s="606"/>
      <c r="V245" s="674"/>
      <c r="W245" s="675"/>
      <c r="AB245" s="537" t="s">
        <v>318</v>
      </c>
      <c r="AC245" s="675"/>
      <c r="AD245" s="675"/>
      <c r="AF245" s="675"/>
      <c r="AG245" s="680"/>
    </row>
    <row r="246" spans="1:33" s="536" customFormat="1" ht="12" x14ac:dyDescent="0.2">
      <c r="A246" s="605"/>
      <c r="B246" s="552"/>
      <c r="C246" s="1822" t="s">
        <v>319</v>
      </c>
      <c r="D246" s="1822"/>
      <c r="E246" s="1822"/>
      <c r="F246" s="562"/>
      <c r="G246" s="562"/>
      <c r="H246" s="562"/>
      <c r="I246" s="562"/>
      <c r="J246" s="604"/>
      <c r="K246" s="562"/>
      <c r="L246" s="604">
        <v>298.58999999999997</v>
      </c>
      <c r="M246" s="603"/>
      <c r="N246" s="602"/>
      <c r="V246" s="674"/>
      <c r="W246" s="675"/>
      <c r="AA246" s="537" t="s">
        <v>319</v>
      </c>
      <c r="AC246" s="675"/>
      <c r="AD246" s="675"/>
      <c r="AF246" s="675"/>
      <c r="AG246" s="680"/>
    </row>
    <row r="247" spans="1:33" s="536" customFormat="1" ht="33.75" x14ac:dyDescent="0.2">
      <c r="A247" s="605"/>
      <c r="B247" s="552" t="s">
        <v>648</v>
      </c>
      <c r="C247" s="1822" t="s">
        <v>649</v>
      </c>
      <c r="D247" s="1822"/>
      <c r="E247" s="1822"/>
      <c r="F247" s="562" t="s">
        <v>322</v>
      </c>
      <c r="G247" s="562" t="s">
        <v>650</v>
      </c>
      <c r="H247" s="562"/>
      <c r="I247" s="562" t="s">
        <v>650</v>
      </c>
      <c r="J247" s="604"/>
      <c r="K247" s="562"/>
      <c r="L247" s="604">
        <v>277.69</v>
      </c>
      <c r="M247" s="603"/>
      <c r="N247" s="602"/>
      <c r="V247" s="674"/>
      <c r="W247" s="675"/>
      <c r="AA247" s="537" t="s">
        <v>649</v>
      </c>
      <c r="AC247" s="675"/>
      <c r="AD247" s="675"/>
      <c r="AF247" s="675"/>
      <c r="AG247" s="680"/>
    </row>
    <row r="248" spans="1:33" s="536" customFormat="1" ht="33.75" x14ac:dyDescent="0.2">
      <c r="A248" s="605"/>
      <c r="B248" s="552" t="s">
        <v>651</v>
      </c>
      <c r="C248" s="1822" t="s">
        <v>652</v>
      </c>
      <c r="D248" s="1822"/>
      <c r="E248" s="1822"/>
      <c r="F248" s="562" t="s">
        <v>322</v>
      </c>
      <c r="G248" s="562" t="s">
        <v>653</v>
      </c>
      <c r="H248" s="562"/>
      <c r="I248" s="562" t="s">
        <v>653</v>
      </c>
      <c r="J248" s="604"/>
      <c r="K248" s="562"/>
      <c r="L248" s="604">
        <v>185.13</v>
      </c>
      <c r="M248" s="603"/>
      <c r="N248" s="602"/>
      <c r="V248" s="674"/>
      <c r="W248" s="675"/>
      <c r="AA248" s="537" t="s">
        <v>652</v>
      </c>
      <c r="AC248" s="675"/>
      <c r="AD248" s="675"/>
      <c r="AF248" s="675"/>
      <c r="AG248" s="680"/>
    </row>
    <row r="249" spans="1:33" s="536" customFormat="1" ht="12" x14ac:dyDescent="0.2">
      <c r="A249" s="569"/>
      <c r="B249" s="671"/>
      <c r="C249" s="1823" t="s">
        <v>327</v>
      </c>
      <c r="D249" s="1823"/>
      <c r="E249" s="1823"/>
      <c r="F249" s="573"/>
      <c r="G249" s="573"/>
      <c r="H249" s="573"/>
      <c r="I249" s="573"/>
      <c r="J249" s="572"/>
      <c r="K249" s="573"/>
      <c r="L249" s="572">
        <v>1514.66</v>
      </c>
      <c r="M249" s="601"/>
      <c r="N249" s="570"/>
      <c r="V249" s="674"/>
      <c r="W249" s="675"/>
      <c r="AC249" s="675" t="s">
        <v>327</v>
      </c>
      <c r="AD249" s="675"/>
      <c r="AF249" s="675"/>
      <c r="AG249" s="680"/>
    </row>
    <row r="250" spans="1:33" s="536" customFormat="1" ht="56.25" x14ac:dyDescent="0.2">
      <c r="A250" s="575" t="s">
        <v>733</v>
      </c>
      <c r="B250" s="670" t="s">
        <v>1441</v>
      </c>
      <c r="C250" s="1823" t="s">
        <v>1442</v>
      </c>
      <c r="D250" s="1823"/>
      <c r="E250" s="1823"/>
      <c r="F250" s="573" t="s">
        <v>694</v>
      </c>
      <c r="G250" s="573"/>
      <c r="H250" s="573"/>
      <c r="I250" s="573" t="s">
        <v>3542</v>
      </c>
      <c r="J250" s="572">
        <v>11255</v>
      </c>
      <c r="K250" s="573"/>
      <c r="L250" s="572">
        <v>7153.68</v>
      </c>
      <c r="M250" s="571"/>
      <c r="N250" s="570"/>
      <c r="V250" s="674"/>
      <c r="W250" s="675" t="s">
        <v>1442</v>
      </c>
      <c r="AC250" s="675"/>
      <c r="AD250" s="675"/>
      <c r="AF250" s="675"/>
      <c r="AG250" s="680"/>
    </row>
    <row r="251" spans="1:33" s="536" customFormat="1" ht="12" x14ac:dyDescent="0.2">
      <c r="A251" s="569"/>
      <c r="B251" s="671"/>
      <c r="C251" s="665" t="s">
        <v>717</v>
      </c>
      <c r="D251" s="666"/>
      <c r="E251" s="666"/>
      <c r="F251" s="563"/>
      <c r="G251" s="563"/>
      <c r="H251" s="563"/>
      <c r="I251" s="563"/>
      <c r="J251" s="566"/>
      <c r="K251" s="563"/>
      <c r="L251" s="566"/>
      <c r="M251" s="565"/>
      <c r="N251" s="564"/>
      <c r="V251" s="674"/>
      <c r="W251" s="675"/>
      <c r="AC251" s="675"/>
      <c r="AD251" s="675"/>
      <c r="AF251" s="675"/>
      <c r="AG251" s="680"/>
    </row>
    <row r="252" spans="1:33" s="536" customFormat="1" ht="12" x14ac:dyDescent="0.2">
      <c r="A252" s="676"/>
      <c r="B252" s="664"/>
      <c r="C252" s="1822" t="s">
        <v>3543</v>
      </c>
      <c r="D252" s="1822"/>
      <c r="E252" s="1822"/>
      <c r="F252" s="1822"/>
      <c r="G252" s="1822"/>
      <c r="H252" s="1822"/>
      <c r="I252" s="1822"/>
      <c r="J252" s="1822"/>
      <c r="K252" s="1822"/>
      <c r="L252" s="1822"/>
      <c r="M252" s="1822"/>
      <c r="N252" s="1827"/>
      <c r="V252" s="674"/>
      <c r="W252" s="675"/>
      <c r="X252" s="537" t="s">
        <v>3543</v>
      </c>
      <c r="AC252" s="675"/>
      <c r="AD252" s="675"/>
      <c r="AF252" s="675"/>
      <c r="AG252" s="680"/>
    </row>
    <row r="253" spans="1:33" s="536" customFormat="1" ht="56.25" x14ac:dyDescent="0.2">
      <c r="A253" s="575" t="s">
        <v>736</v>
      </c>
      <c r="B253" s="670" t="s">
        <v>2149</v>
      </c>
      <c r="C253" s="1823" t="s">
        <v>2150</v>
      </c>
      <c r="D253" s="1823"/>
      <c r="E253" s="1823"/>
      <c r="F253" s="573" t="s">
        <v>694</v>
      </c>
      <c r="G253" s="573"/>
      <c r="H253" s="573"/>
      <c r="I253" s="573" t="s">
        <v>3544</v>
      </c>
      <c r="J253" s="572">
        <v>10508</v>
      </c>
      <c r="K253" s="573"/>
      <c r="L253" s="572">
        <v>5740.52</v>
      </c>
      <c r="M253" s="571"/>
      <c r="N253" s="570"/>
      <c r="V253" s="674"/>
      <c r="W253" s="675" t="s">
        <v>2150</v>
      </c>
      <c r="AC253" s="675"/>
      <c r="AD253" s="675"/>
      <c r="AF253" s="675"/>
      <c r="AG253" s="680"/>
    </row>
    <row r="254" spans="1:33" s="536" customFormat="1" ht="12" x14ac:dyDescent="0.2">
      <c r="A254" s="569"/>
      <c r="B254" s="671"/>
      <c r="C254" s="665" t="s">
        <v>717</v>
      </c>
      <c r="D254" s="666"/>
      <c r="E254" s="666"/>
      <c r="F254" s="563"/>
      <c r="G254" s="563"/>
      <c r="H254" s="563"/>
      <c r="I254" s="563"/>
      <c r="J254" s="566"/>
      <c r="K254" s="563"/>
      <c r="L254" s="566"/>
      <c r="M254" s="565"/>
      <c r="N254" s="564"/>
      <c r="V254" s="674"/>
      <c r="W254" s="675"/>
      <c r="AC254" s="675"/>
      <c r="AD254" s="675"/>
      <c r="AF254" s="675"/>
      <c r="AG254" s="680"/>
    </row>
    <row r="255" spans="1:33" s="536" customFormat="1" ht="12" x14ac:dyDescent="0.2">
      <c r="A255" s="676"/>
      <c r="B255" s="664"/>
      <c r="C255" s="1822" t="s">
        <v>3545</v>
      </c>
      <c r="D255" s="1822"/>
      <c r="E255" s="1822"/>
      <c r="F255" s="1822"/>
      <c r="G255" s="1822"/>
      <c r="H255" s="1822"/>
      <c r="I255" s="1822"/>
      <c r="J255" s="1822"/>
      <c r="K255" s="1822"/>
      <c r="L255" s="1822"/>
      <c r="M255" s="1822"/>
      <c r="N255" s="1827"/>
      <c r="V255" s="674"/>
      <c r="W255" s="675"/>
      <c r="X255" s="537" t="s">
        <v>3545</v>
      </c>
      <c r="AC255" s="675"/>
      <c r="AD255" s="675"/>
      <c r="AF255" s="675"/>
      <c r="AG255" s="680"/>
    </row>
    <row r="256" spans="1:33" s="536" customFormat="1" ht="45" x14ac:dyDescent="0.2">
      <c r="A256" s="575" t="s">
        <v>1067</v>
      </c>
      <c r="B256" s="670" t="s">
        <v>1454</v>
      </c>
      <c r="C256" s="1823" t="s">
        <v>3546</v>
      </c>
      <c r="D256" s="1823"/>
      <c r="E256" s="1823"/>
      <c r="F256" s="573" t="s">
        <v>694</v>
      </c>
      <c r="G256" s="573"/>
      <c r="H256" s="573"/>
      <c r="I256" s="573" t="s">
        <v>3547</v>
      </c>
      <c r="J256" s="572"/>
      <c r="K256" s="573"/>
      <c r="L256" s="572"/>
      <c r="M256" s="571"/>
      <c r="N256" s="570"/>
      <c r="V256" s="674"/>
      <c r="W256" s="675" t="s">
        <v>3546</v>
      </c>
      <c r="AC256" s="675"/>
      <c r="AD256" s="675"/>
      <c r="AF256" s="675"/>
      <c r="AG256" s="680"/>
    </row>
    <row r="257" spans="1:33" s="536" customFormat="1" ht="12" x14ac:dyDescent="0.2">
      <c r="A257" s="676"/>
      <c r="B257" s="664"/>
      <c r="C257" s="1822" t="s">
        <v>3548</v>
      </c>
      <c r="D257" s="1822"/>
      <c r="E257" s="1822"/>
      <c r="F257" s="1822"/>
      <c r="G257" s="1822"/>
      <c r="H257" s="1822"/>
      <c r="I257" s="1822"/>
      <c r="J257" s="1822"/>
      <c r="K257" s="1822"/>
      <c r="L257" s="1822"/>
      <c r="M257" s="1822"/>
      <c r="N257" s="1827"/>
      <c r="V257" s="674"/>
      <c r="W257" s="675"/>
      <c r="X257" s="537" t="s">
        <v>3548</v>
      </c>
      <c r="AC257" s="675"/>
      <c r="AD257" s="675"/>
      <c r="AF257" s="675"/>
      <c r="AG257" s="680"/>
    </row>
    <row r="258" spans="1:33" s="536" customFormat="1" ht="33.75" x14ac:dyDescent="0.2">
      <c r="A258" s="609"/>
      <c r="B258" s="552" t="s">
        <v>310</v>
      </c>
      <c r="C258" s="1822" t="s">
        <v>311</v>
      </c>
      <c r="D258" s="1822"/>
      <c r="E258" s="1822"/>
      <c r="F258" s="1822"/>
      <c r="G258" s="1822"/>
      <c r="H258" s="1822"/>
      <c r="I258" s="1822"/>
      <c r="J258" s="1822"/>
      <c r="K258" s="1822"/>
      <c r="L258" s="1822"/>
      <c r="M258" s="1822"/>
      <c r="N258" s="1827"/>
      <c r="V258" s="674"/>
      <c r="W258" s="675"/>
      <c r="Y258" s="537" t="s">
        <v>311</v>
      </c>
      <c r="AC258" s="675"/>
      <c r="AD258" s="675"/>
      <c r="AF258" s="675"/>
      <c r="AG258" s="680"/>
    </row>
    <row r="259" spans="1:33" s="536" customFormat="1" ht="12" x14ac:dyDescent="0.2">
      <c r="A259" s="605"/>
      <c r="B259" s="552" t="s">
        <v>185</v>
      </c>
      <c r="C259" s="1822" t="s">
        <v>312</v>
      </c>
      <c r="D259" s="1822"/>
      <c r="E259" s="1822"/>
      <c r="F259" s="562"/>
      <c r="G259" s="562"/>
      <c r="H259" s="562"/>
      <c r="I259" s="562"/>
      <c r="J259" s="604">
        <v>345.67</v>
      </c>
      <c r="K259" s="562" t="s">
        <v>313</v>
      </c>
      <c r="L259" s="604">
        <v>79.59</v>
      </c>
      <c r="M259" s="603"/>
      <c r="N259" s="602"/>
      <c r="V259" s="674"/>
      <c r="W259" s="675"/>
      <c r="Z259" s="537" t="s">
        <v>312</v>
      </c>
      <c r="AC259" s="675"/>
      <c r="AD259" s="675"/>
      <c r="AF259" s="675"/>
      <c r="AG259" s="680"/>
    </row>
    <row r="260" spans="1:33" s="536" customFormat="1" ht="12" x14ac:dyDescent="0.2">
      <c r="A260" s="605"/>
      <c r="B260" s="552" t="s">
        <v>186</v>
      </c>
      <c r="C260" s="1822" t="s">
        <v>344</v>
      </c>
      <c r="D260" s="1822"/>
      <c r="E260" s="1822"/>
      <c r="F260" s="562"/>
      <c r="G260" s="562"/>
      <c r="H260" s="562"/>
      <c r="I260" s="562"/>
      <c r="J260" s="604">
        <v>473.47</v>
      </c>
      <c r="K260" s="562" t="s">
        <v>313</v>
      </c>
      <c r="L260" s="604">
        <v>109.02</v>
      </c>
      <c r="M260" s="603"/>
      <c r="N260" s="602"/>
      <c r="V260" s="674"/>
      <c r="W260" s="675"/>
      <c r="Z260" s="537" t="s">
        <v>344</v>
      </c>
      <c r="AC260" s="675"/>
      <c r="AD260" s="675"/>
      <c r="AF260" s="675"/>
      <c r="AG260" s="680"/>
    </row>
    <row r="261" spans="1:33" s="536" customFormat="1" ht="12" x14ac:dyDescent="0.2">
      <c r="A261" s="605"/>
      <c r="B261" s="552" t="s">
        <v>187</v>
      </c>
      <c r="C261" s="1822" t="s">
        <v>345</v>
      </c>
      <c r="D261" s="1822"/>
      <c r="E261" s="1822"/>
      <c r="F261" s="562"/>
      <c r="G261" s="562"/>
      <c r="H261" s="562"/>
      <c r="I261" s="562"/>
      <c r="J261" s="604">
        <v>53.96</v>
      </c>
      <c r="K261" s="562" t="s">
        <v>313</v>
      </c>
      <c r="L261" s="604">
        <v>12.42</v>
      </c>
      <c r="M261" s="603"/>
      <c r="N261" s="602"/>
      <c r="V261" s="674"/>
      <c r="W261" s="675"/>
      <c r="Z261" s="537" t="s">
        <v>345</v>
      </c>
      <c r="AC261" s="675"/>
      <c r="AD261" s="675"/>
      <c r="AF261" s="675"/>
      <c r="AG261" s="680"/>
    </row>
    <row r="262" spans="1:33" s="536" customFormat="1" ht="12" x14ac:dyDescent="0.2">
      <c r="A262" s="605"/>
      <c r="B262" s="552" t="s">
        <v>188</v>
      </c>
      <c r="C262" s="1822" t="s">
        <v>475</v>
      </c>
      <c r="D262" s="1822"/>
      <c r="E262" s="1822"/>
      <c r="F262" s="562"/>
      <c r="G262" s="562"/>
      <c r="H262" s="562"/>
      <c r="I262" s="562"/>
      <c r="J262" s="604">
        <v>232.33</v>
      </c>
      <c r="K262" s="562"/>
      <c r="L262" s="604">
        <v>42.8</v>
      </c>
      <c r="M262" s="603"/>
      <c r="N262" s="602"/>
      <c r="V262" s="674"/>
      <c r="W262" s="675"/>
      <c r="Z262" s="537" t="s">
        <v>475</v>
      </c>
      <c r="AC262" s="675"/>
      <c r="AD262" s="675"/>
      <c r="AF262" s="675"/>
      <c r="AG262" s="680"/>
    </row>
    <row r="263" spans="1:33" s="536" customFormat="1" ht="12" x14ac:dyDescent="0.2">
      <c r="A263" s="676"/>
      <c r="B263" s="677" t="s">
        <v>1436</v>
      </c>
      <c r="C263" s="1829" t="s">
        <v>1229</v>
      </c>
      <c r="D263" s="1829"/>
      <c r="E263" s="1829"/>
      <c r="F263" s="678" t="s">
        <v>694</v>
      </c>
      <c r="G263" s="678" t="s">
        <v>185</v>
      </c>
      <c r="H263" s="678"/>
      <c r="I263" s="678" t="s">
        <v>3547</v>
      </c>
      <c r="J263" s="552"/>
      <c r="K263" s="562"/>
      <c r="L263" s="604"/>
      <c r="M263" s="562"/>
      <c r="N263" s="679"/>
      <c r="V263" s="674"/>
      <c r="W263" s="675"/>
      <c r="AC263" s="675"/>
      <c r="AD263" s="675"/>
      <c r="AF263" s="675"/>
      <c r="AG263" s="680" t="s">
        <v>1229</v>
      </c>
    </row>
    <row r="264" spans="1:33" s="536" customFormat="1" ht="12" x14ac:dyDescent="0.2">
      <c r="A264" s="605"/>
      <c r="B264" s="552"/>
      <c r="C264" s="1822" t="s">
        <v>314</v>
      </c>
      <c r="D264" s="1822"/>
      <c r="E264" s="1822"/>
      <c r="F264" s="562" t="s">
        <v>315</v>
      </c>
      <c r="G264" s="562" t="s">
        <v>1458</v>
      </c>
      <c r="H264" s="562" t="s">
        <v>313</v>
      </c>
      <c r="I264" s="562" t="s">
        <v>3549</v>
      </c>
      <c r="J264" s="604"/>
      <c r="K264" s="562"/>
      <c r="L264" s="604"/>
      <c r="M264" s="603"/>
      <c r="N264" s="602"/>
      <c r="V264" s="674"/>
      <c r="W264" s="675"/>
      <c r="AA264" s="537" t="s">
        <v>314</v>
      </c>
      <c r="AC264" s="675"/>
      <c r="AD264" s="675"/>
      <c r="AF264" s="675"/>
      <c r="AG264" s="680"/>
    </row>
    <row r="265" spans="1:33" s="536" customFormat="1" ht="12" x14ac:dyDescent="0.2">
      <c r="A265" s="605"/>
      <c r="B265" s="552"/>
      <c r="C265" s="1822" t="s">
        <v>348</v>
      </c>
      <c r="D265" s="1822"/>
      <c r="E265" s="1822"/>
      <c r="F265" s="562" t="s">
        <v>315</v>
      </c>
      <c r="G265" s="562" t="s">
        <v>1460</v>
      </c>
      <c r="H265" s="562" t="s">
        <v>313</v>
      </c>
      <c r="I265" s="562" t="s">
        <v>3550</v>
      </c>
      <c r="J265" s="604"/>
      <c r="K265" s="562"/>
      <c r="L265" s="604"/>
      <c r="M265" s="603"/>
      <c r="N265" s="602"/>
      <c r="V265" s="674"/>
      <c r="W265" s="675"/>
      <c r="AA265" s="537" t="s">
        <v>348</v>
      </c>
      <c r="AC265" s="675"/>
      <c r="AD265" s="675"/>
      <c r="AF265" s="675"/>
      <c r="AG265" s="680"/>
    </row>
    <row r="266" spans="1:33" s="536" customFormat="1" ht="12" x14ac:dyDescent="0.2">
      <c r="A266" s="605"/>
      <c r="B266" s="552"/>
      <c r="C266" s="1828" t="s">
        <v>318</v>
      </c>
      <c r="D266" s="1828"/>
      <c r="E266" s="1828"/>
      <c r="F266" s="608"/>
      <c r="G266" s="608"/>
      <c r="H266" s="608"/>
      <c r="I266" s="608"/>
      <c r="J266" s="607">
        <v>1051.47</v>
      </c>
      <c r="K266" s="608"/>
      <c r="L266" s="607">
        <v>231.41</v>
      </c>
      <c r="M266" s="601"/>
      <c r="N266" s="606"/>
      <c r="V266" s="674"/>
      <c r="W266" s="675"/>
      <c r="AB266" s="537" t="s">
        <v>318</v>
      </c>
      <c r="AC266" s="675"/>
      <c r="AD266" s="675"/>
      <c r="AF266" s="675"/>
      <c r="AG266" s="680"/>
    </row>
    <row r="267" spans="1:33" s="536" customFormat="1" ht="12" x14ac:dyDescent="0.2">
      <c r="A267" s="605"/>
      <c r="B267" s="552"/>
      <c r="C267" s="1822" t="s">
        <v>319</v>
      </c>
      <c r="D267" s="1822"/>
      <c r="E267" s="1822"/>
      <c r="F267" s="562"/>
      <c r="G267" s="562"/>
      <c r="H267" s="562"/>
      <c r="I267" s="562"/>
      <c r="J267" s="604"/>
      <c r="K267" s="562"/>
      <c r="L267" s="604">
        <v>92.01</v>
      </c>
      <c r="M267" s="603"/>
      <c r="N267" s="602"/>
      <c r="V267" s="674"/>
      <c r="W267" s="675"/>
      <c r="AA267" s="537" t="s">
        <v>319</v>
      </c>
      <c r="AC267" s="675"/>
      <c r="AD267" s="675"/>
      <c r="AF267" s="675"/>
      <c r="AG267" s="680"/>
    </row>
    <row r="268" spans="1:33" s="536" customFormat="1" ht="33.75" x14ac:dyDescent="0.2">
      <c r="A268" s="605"/>
      <c r="B268" s="552" t="s">
        <v>648</v>
      </c>
      <c r="C268" s="1822" t="s">
        <v>649</v>
      </c>
      <c r="D268" s="1822"/>
      <c r="E268" s="1822"/>
      <c r="F268" s="562" t="s">
        <v>322</v>
      </c>
      <c r="G268" s="562" t="s">
        <v>650</v>
      </c>
      <c r="H268" s="562"/>
      <c r="I268" s="562" t="s">
        <v>650</v>
      </c>
      <c r="J268" s="604"/>
      <c r="K268" s="562"/>
      <c r="L268" s="604">
        <v>85.57</v>
      </c>
      <c r="M268" s="603"/>
      <c r="N268" s="602"/>
      <c r="V268" s="674"/>
      <c r="W268" s="675"/>
      <c r="AA268" s="537" t="s">
        <v>649</v>
      </c>
      <c r="AC268" s="675"/>
      <c r="AD268" s="675"/>
      <c r="AF268" s="675"/>
      <c r="AG268" s="680"/>
    </row>
    <row r="269" spans="1:33" s="536" customFormat="1" ht="33.75" x14ac:dyDescent="0.2">
      <c r="A269" s="605"/>
      <c r="B269" s="552" t="s">
        <v>651</v>
      </c>
      <c r="C269" s="1822" t="s">
        <v>652</v>
      </c>
      <c r="D269" s="1822"/>
      <c r="E269" s="1822"/>
      <c r="F269" s="562" t="s">
        <v>322</v>
      </c>
      <c r="G269" s="562" t="s">
        <v>653</v>
      </c>
      <c r="H269" s="562"/>
      <c r="I269" s="562" t="s">
        <v>653</v>
      </c>
      <c r="J269" s="604"/>
      <c r="K269" s="562"/>
      <c r="L269" s="604">
        <v>57.05</v>
      </c>
      <c r="M269" s="603"/>
      <c r="N269" s="602"/>
      <c r="V269" s="674"/>
      <c r="W269" s="675"/>
      <c r="AA269" s="537" t="s">
        <v>652</v>
      </c>
      <c r="AC269" s="675"/>
      <c r="AD269" s="675"/>
      <c r="AF269" s="675"/>
      <c r="AG269" s="680"/>
    </row>
    <row r="270" spans="1:33" s="536" customFormat="1" ht="12" x14ac:dyDescent="0.2">
      <c r="A270" s="569"/>
      <c r="B270" s="671"/>
      <c r="C270" s="1823" t="s">
        <v>327</v>
      </c>
      <c r="D270" s="1823"/>
      <c r="E270" s="1823"/>
      <c r="F270" s="573"/>
      <c r="G270" s="573"/>
      <c r="H270" s="573"/>
      <c r="I270" s="573"/>
      <c r="J270" s="572"/>
      <c r="K270" s="573"/>
      <c r="L270" s="572">
        <v>374.03</v>
      </c>
      <c r="M270" s="601"/>
      <c r="N270" s="570"/>
      <c r="V270" s="674"/>
      <c r="W270" s="675"/>
      <c r="AC270" s="675" t="s">
        <v>327</v>
      </c>
      <c r="AD270" s="675"/>
      <c r="AF270" s="675"/>
      <c r="AG270" s="680"/>
    </row>
    <row r="271" spans="1:33" s="536" customFormat="1" ht="56.25" x14ac:dyDescent="0.2">
      <c r="A271" s="575" t="s">
        <v>912</v>
      </c>
      <c r="B271" s="670" t="s">
        <v>1441</v>
      </c>
      <c r="C271" s="1823" t="s">
        <v>1442</v>
      </c>
      <c r="D271" s="1823"/>
      <c r="E271" s="1823"/>
      <c r="F271" s="573" t="s">
        <v>694</v>
      </c>
      <c r="G271" s="573"/>
      <c r="H271" s="573"/>
      <c r="I271" s="573" t="s">
        <v>3547</v>
      </c>
      <c r="J271" s="572">
        <v>11255</v>
      </c>
      <c r="K271" s="573"/>
      <c r="L271" s="572">
        <v>2073.17</v>
      </c>
      <c r="M271" s="571"/>
      <c r="N271" s="570"/>
      <c r="V271" s="674"/>
      <c r="W271" s="675" t="s">
        <v>1442</v>
      </c>
      <c r="AC271" s="675"/>
      <c r="AD271" s="675"/>
      <c r="AF271" s="675"/>
      <c r="AG271" s="680"/>
    </row>
    <row r="272" spans="1:33" s="536" customFormat="1" ht="12" x14ac:dyDescent="0.2">
      <c r="A272" s="569"/>
      <c r="B272" s="671"/>
      <c r="C272" s="665" t="s">
        <v>717</v>
      </c>
      <c r="D272" s="666"/>
      <c r="E272" s="666"/>
      <c r="F272" s="563"/>
      <c r="G272" s="563"/>
      <c r="H272" s="563"/>
      <c r="I272" s="563"/>
      <c r="J272" s="566"/>
      <c r="K272" s="563"/>
      <c r="L272" s="566"/>
      <c r="M272" s="565"/>
      <c r="N272" s="564"/>
      <c r="V272" s="674"/>
      <c r="W272" s="675"/>
      <c r="AC272" s="675"/>
      <c r="AD272" s="675"/>
      <c r="AF272" s="675"/>
      <c r="AG272" s="680"/>
    </row>
    <row r="273" spans="1:33" s="536" customFormat="1" ht="12" x14ac:dyDescent="0.2">
      <c r="A273" s="676"/>
      <c r="B273" s="664"/>
      <c r="C273" s="1822" t="s">
        <v>3548</v>
      </c>
      <c r="D273" s="1822"/>
      <c r="E273" s="1822"/>
      <c r="F273" s="1822"/>
      <c r="G273" s="1822"/>
      <c r="H273" s="1822"/>
      <c r="I273" s="1822"/>
      <c r="J273" s="1822"/>
      <c r="K273" s="1822"/>
      <c r="L273" s="1822"/>
      <c r="M273" s="1822"/>
      <c r="N273" s="1827"/>
      <c r="V273" s="674"/>
      <c r="W273" s="675"/>
      <c r="X273" s="537" t="s">
        <v>3548</v>
      </c>
      <c r="AC273" s="675"/>
      <c r="AD273" s="675"/>
      <c r="AF273" s="675"/>
      <c r="AG273" s="680"/>
    </row>
    <row r="274" spans="1:33" s="536" customFormat="1" ht="33.75" x14ac:dyDescent="0.2">
      <c r="A274" s="575" t="s">
        <v>757</v>
      </c>
      <c r="B274" s="670" t="s">
        <v>1475</v>
      </c>
      <c r="C274" s="1823" t="s">
        <v>1476</v>
      </c>
      <c r="D274" s="1823"/>
      <c r="E274" s="1823"/>
      <c r="F274" s="573" t="s">
        <v>862</v>
      </c>
      <c r="G274" s="573"/>
      <c r="H274" s="573"/>
      <c r="I274" s="573" t="s">
        <v>3551</v>
      </c>
      <c r="J274" s="572"/>
      <c r="K274" s="573"/>
      <c r="L274" s="572"/>
      <c r="M274" s="571"/>
      <c r="N274" s="570"/>
      <c r="V274" s="674"/>
      <c r="W274" s="675" t="s">
        <v>1476</v>
      </c>
      <c r="AC274" s="675"/>
      <c r="AD274" s="675"/>
      <c r="AF274" s="675"/>
      <c r="AG274" s="680"/>
    </row>
    <row r="275" spans="1:33" s="536" customFormat="1" ht="12" x14ac:dyDescent="0.2">
      <c r="A275" s="676"/>
      <c r="B275" s="664"/>
      <c r="C275" s="1822" t="s">
        <v>3552</v>
      </c>
      <c r="D275" s="1822"/>
      <c r="E275" s="1822"/>
      <c r="F275" s="1822"/>
      <c r="G275" s="1822"/>
      <c r="H275" s="1822"/>
      <c r="I275" s="1822"/>
      <c r="J275" s="1822"/>
      <c r="K275" s="1822"/>
      <c r="L275" s="1822"/>
      <c r="M275" s="1822"/>
      <c r="N275" s="1827"/>
      <c r="V275" s="674"/>
      <c r="W275" s="675"/>
      <c r="X275" s="537" t="s">
        <v>3552</v>
      </c>
      <c r="AC275" s="675"/>
      <c r="AD275" s="675"/>
      <c r="AF275" s="675"/>
      <c r="AG275" s="680"/>
    </row>
    <row r="276" spans="1:33" s="536" customFormat="1" ht="33.75" x14ac:dyDescent="0.2">
      <c r="A276" s="609"/>
      <c r="B276" s="552" t="s">
        <v>310</v>
      </c>
      <c r="C276" s="1822" t="s">
        <v>311</v>
      </c>
      <c r="D276" s="1822"/>
      <c r="E276" s="1822"/>
      <c r="F276" s="1822"/>
      <c r="G276" s="1822"/>
      <c r="H276" s="1822"/>
      <c r="I276" s="1822"/>
      <c r="J276" s="1822"/>
      <c r="K276" s="1822"/>
      <c r="L276" s="1822"/>
      <c r="M276" s="1822"/>
      <c r="N276" s="1827"/>
      <c r="V276" s="674"/>
      <c r="W276" s="675"/>
      <c r="Y276" s="537" t="s">
        <v>311</v>
      </c>
      <c r="AC276" s="675"/>
      <c r="AD276" s="675"/>
      <c r="AF276" s="675"/>
      <c r="AG276" s="680"/>
    </row>
    <row r="277" spans="1:33" s="536" customFormat="1" ht="12" x14ac:dyDescent="0.2">
      <c r="A277" s="605"/>
      <c r="B277" s="552" t="s">
        <v>185</v>
      </c>
      <c r="C277" s="1822" t="s">
        <v>312</v>
      </c>
      <c r="D277" s="1822"/>
      <c r="E277" s="1822"/>
      <c r="F277" s="562"/>
      <c r="G277" s="562"/>
      <c r="H277" s="562"/>
      <c r="I277" s="562"/>
      <c r="J277" s="604">
        <v>40.020000000000003</v>
      </c>
      <c r="K277" s="562" t="s">
        <v>313</v>
      </c>
      <c r="L277" s="604">
        <v>24.83</v>
      </c>
      <c r="M277" s="603"/>
      <c r="N277" s="602"/>
      <c r="V277" s="674"/>
      <c r="W277" s="675"/>
      <c r="Z277" s="537" t="s">
        <v>312</v>
      </c>
      <c r="AC277" s="675"/>
      <c r="AD277" s="675"/>
      <c r="AF277" s="675"/>
      <c r="AG277" s="680"/>
    </row>
    <row r="278" spans="1:33" s="536" customFormat="1" ht="12" x14ac:dyDescent="0.2">
      <c r="A278" s="605"/>
      <c r="B278" s="552" t="s">
        <v>186</v>
      </c>
      <c r="C278" s="1822" t="s">
        <v>344</v>
      </c>
      <c r="D278" s="1822"/>
      <c r="E278" s="1822"/>
      <c r="F278" s="562"/>
      <c r="G278" s="562"/>
      <c r="H278" s="562"/>
      <c r="I278" s="562"/>
      <c r="J278" s="604">
        <v>15.9</v>
      </c>
      <c r="K278" s="562" t="s">
        <v>313</v>
      </c>
      <c r="L278" s="604">
        <v>9.86</v>
      </c>
      <c r="M278" s="603"/>
      <c r="N278" s="602"/>
      <c r="V278" s="674"/>
      <c r="W278" s="675"/>
      <c r="Z278" s="537" t="s">
        <v>344</v>
      </c>
      <c r="AC278" s="675"/>
      <c r="AD278" s="675"/>
      <c r="AF278" s="675"/>
      <c r="AG278" s="680"/>
    </row>
    <row r="279" spans="1:33" s="536" customFormat="1" ht="12" x14ac:dyDescent="0.2">
      <c r="A279" s="605"/>
      <c r="B279" s="552" t="s">
        <v>187</v>
      </c>
      <c r="C279" s="1822" t="s">
        <v>345</v>
      </c>
      <c r="D279" s="1822"/>
      <c r="E279" s="1822"/>
      <c r="F279" s="562"/>
      <c r="G279" s="562"/>
      <c r="H279" s="562"/>
      <c r="I279" s="562"/>
      <c r="J279" s="604">
        <v>0.22</v>
      </c>
      <c r="K279" s="562" t="s">
        <v>313</v>
      </c>
      <c r="L279" s="604">
        <v>0.14000000000000001</v>
      </c>
      <c r="M279" s="603"/>
      <c r="N279" s="602"/>
      <c r="V279" s="674"/>
      <c r="W279" s="675"/>
      <c r="Z279" s="537" t="s">
        <v>345</v>
      </c>
      <c r="AC279" s="675"/>
      <c r="AD279" s="675"/>
      <c r="AF279" s="675"/>
      <c r="AG279" s="680"/>
    </row>
    <row r="280" spans="1:33" s="536" customFormat="1" ht="12" x14ac:dyDescent="0.2">
      <c r="A280" s="605"/>
      <c r="B280" s="552" t="s">
        <v>188</v>
      </c>
      <c r="C280" s="1822" t="s">
        <v>475</v>
      </c>
      <c r="D280" s="1822"/>
      <c r="E280" s="1822"/>
      <c r="F280" s="562"/>
      <c r="G280" s="562"/>
      <c r="H280" s="562"/>
      <c r="I280" s="562"/>
      <c r="J280" s="604">
        <v>1308.99</v>
      </c>
      <c r="K280" s="562"/>
      <c r="L280" s="604">
        <v>649.65</v>
      </c>
      <c r="M280" s="603"/>
      <c r="N280" s="602"/>
      <c r="V280" s="674"/>
      <c r="W280" s="675"/>
      <c r="Z280" s="537" t="s">
        <v>475</v>
      </c>
      <c r="AC280" s="675"/>
      <c r="AD280" s="675"/>
      <c r="AF280" s="675"/>
      <c r="AG280" s="680"/>
    </row>
    <row r="281" spans="1:33" s="536" customFormat="1" ht="12" x14ac:dyDescent="0.2">
      <c r="A281" s="605"/>
      <c r="B281" s="552"/>
      <c r="C281" s="1822" t="s">
        <v>314</v>
      </c>
      <c r="D281" s="1822"/>
      <c r="E281" s="1822"/>
      <c r="F281" s="562" t="s">
        <v>315</v>
      </c>
      <c r="G281" s="562" t="s">
        <v>1479</v>
      </c>
      <c r="H281" s="562" t="s">
        <v>313</v>
      </c>
      <c r="I281" s="562" t="s">
        <v>3553</v>
      </c>
      <c r="J281" s="604"/>
      <c r="K281" s="562"/>
      <c r="L281" s="604"/>
      <c r="M281" s="603"/>
      <c r="N281" s="602"/>
      <c r="V281" s="674"/>
      <c r="W281" s="675"/>
      <c r="AA281" s="537" t="s">
        <v>314</v>
      </c>
      <c r="AC281" s="675"/>
      <c r="AD281" s="675"/>
      <c r="AF281" s="675"/>
      <c r="AG281" s="680"/>
    </row>
    <row r="282" spans="1:33" s="536" customFormat="1" ht="12" x14ac:dyDescent="0.2">
      <c r="A282" s="605"/>
      <c r="B282" s="552"/>
      <c r="C282" s="1822" t="s">
        <v>348</v>
      </c>
      <c r="D282" s="1822"/>
      <c r="E282" s="1822"/>
      <c r="F282" s="562" t="s">
        <v>315</v>
      </c>
      <c r="G282" s="562" t="s">
        <v>695</v>
      </c>
      <c r="H282" s="562" t="s">
        <v>313</v>
      </c>
      <c r="I282" s="562" t="s">
        <v>3554</v>
      </c>
      <c r="J282" s="604"/>
      <c r="K282" s="562"/>
      <c r="L282" s="604"/>
      <c r="M282" s="603"/>
      <c r="N282" s="602"/>
      <c r="V282" s="674"/>
      <c r="W282" s="675"/>
      <c r="AA282" s="537" t="s">
        <v>348</v>
      </c>
      <c r="AC282" s="675"/>
      <c r="AD282" s="675"/>
      <c r="AF282" s="675"/>
      <c r="AG282" s="680"/>
    </row>
    <row r="283" spans="1:33" s="536" customFormat="1" ht="12" x14ac:dyDescent="0.2">
      <c r="A283" s="605"/>
      <c r="B283" s="552"/>
      <c r="C283" s="1828" t="s">
        <v>318</v>
      </c>
      <c r="D283" s="1828"/>
      <c r="E283" s="1828"/>
      <c r="F283" s="608"/>
      <c r="G283" s="608"/>
      <c r="H283" s="608"/>
      <c r="I283" s="608"/>
      <c r="J283" s="607">
        <v>1364.91</v>
      </c>
      <c r="K283" s="608"/>
      <c r="L283" s="607">
        <v>684.34</v>
      </c>
      <c r="M283" s="601"/>
      <c r="N283" s="606"/>
      <c r="V283" s="674"/>
      <c r="W283" s="675"/>
      <c r="AB283" s="537" t="s">
        <v>318</v>
      </c>
      <c r="AC283" s="675"/>
      <c r="AD283" s="675"/>
      <c r="AF283" s="675"/>
      <c r="AG283" s="680"/>
    </row>
    <row r="284" spans="1:33" s="536" customFormat="1" ht="12" x14ac:dyDescent="0.2">
      <c r="A284" s="605"/>
      <c r="B284" s="552"/>
      <c r="C284" s="1822" t="s">
        <v>319</v>
      </c>
      <c r="D284" s="1822"/>
      <c r="E284" s="1822"/>
      <c r="F284" s="562"/>
      <c r="G284" s="562"/>
      <c r="H284" s="562"/>
      <c r="I284" s="562"/>
      <c r="J284" s="604"/>
      <c r="K284" s="562"/>
      <c r="L284" s="604">
        <v>24.97</v>
      </c>
      <c r="M284" s="603"/>
      <c r="N284" s="602"/>
      <c r="V284" s="674"/>
      <c r="W284" s="675"/>
      <c r="AA284" s="537" t="s">
        <v>319</v>
      </c>
      <c r="AC284" s="675"/>
      <c r="AD284" s="675"/>
      <c r="AF284" s="675"/>
      <c r="AG284" s="680"/>
    </row>
    <row r="285" spans="1:33" s="536" customFormat="1" ht="33.75" x14ac:dyDescent="0.2">
      <c r="A285" s="605"/>
      <c r="B285" s="552" t="s">
        <v>1482</v>
      </c>
      <c r="C285" s="1822" t="s">
        <v>1483</v>
      </c>
      <c r="D285" s="1822"/>
      <c r="E285" s="1822"/>
      <c r="F285" s="562" t="s">
        <v>322</v>
      </c>
      <c r="G285" s="562" t="s">
        <v>1484</v>
      </c>
      <c r="H285" s="562"/>
      <c r="I285" s="562" t="s">
        <v>1484</v>
      </c>
      <c r="J285" s="604"/>
      <c r="K285" s="562"/>
      <c r="L285" s="604">
        <v>23.47</v>
      </c>
      <c r="M285" s="603"/>
      <c r="N285" s="602"/>
      <c r="V285" s="674"/>
      <c r="W285" s="675"/>
      <c r="AA285" s="537" t="s">
        <v>1483</v>
      </c>
      <c r="AC285" s="675"/>
      <c r="AD285" s="675"/>
      <c r="AF285" s="675"/>
      <c r="AG285" s="680"/>
    </row>
    <row r="286" spans="1:33" s="536" customFormat="1" ht="33.75" x14ac:dyDescent="0.2">
      <c r="A286" s="605"/>
      <c r="B286" s="552" t="s">
        <v>1485</v>
      </c>
      <c r="C286" s="1822" t="s">
        <v>1486</v>
      </c>
      <c r="D286" s="1822"/>
      <c r="E286" s="1822"/>
      <c r="F286" s="562" t="s">
        <v>322</v>
      </c>
      <c r="G286" s="562" t="s">
        <v>786</v>
      </c>
      <c r="H286" s="562"/>
      <c r="I286" s="562" t="s">
        <v>786</v>
      </c>
      <c r="J286" s="604"/>
      <c r="K286" s="562"/>
      <c r="L286" s="604">
        <v>12.73</v>
      </c>
      <c r="M286" s="603"/>
      <c r="N286" s="602"/>
      <c r="V286" s="674"/>
      <c r="W286" s="675"/>
      <c r="AA286" s="537" t="s">
        <v>1486</v>
      </c>
      <c r="AC286" s="675"/>
      <c r="AD286" s="675"/>
      <c r="AF286" s="675"/>
      <c r="AG286" s="680"/>
    </row>
    <row r="287" spans="1:33" s="536" customFormat="1" ht="12" x14ac:dyDescent="0.2">
      <c r="A287" s="569"/>
      <c r="B287" s="671"/>
      <c r="C287" s="1823" t="s">
        <v>327</v>
      </c>
      <c r="D287" s="1823"/>
      <c r="E287" s="1823"/>
      <c r="F287" s="573"/>
      <c r="G287" s="573"/>
      <c r="H287" s="573"/>
      <c r="I287" s="573"/>
      <c r="J287" s="572"/>
      <c r="K287" s="573"/>
      <c r="L287" s="572">
        <v>720.54</v>
      </c>
      <c r="M287" s="601"/>
      <c r="N287" s="570"/>
      <c r="V287" s="674"/>
      <c r="W287" s="675"/>
      <c r="AC287" s="675" t="s">
        <v>327</v>
      </c>
      <c r="AD287" s="675"/>
      <c r="AF287" s="675"/>
      <c r="AG287" s="680"/>
    </row>
    <row r="288" spans="1:33" s="536" customFormat="1" ht="22.5" x14ac:dyDescent="0.2">
      <c r="A288" s="575" t="s">
        <v>1079</v>
      </c>
      <c r="B288" s="670" t="s">
        <v>1487</v>
      </c>
      <c r="C288" s="1823" t="s">
        <v>1488</v>
      </c>
      <c r="D288" s="1823"/>
      <c r="E288" s="1823"/>
      <c r="F288" s="573" t="s">
        <v>862</v>
      </c>
      <c r="G288" s="573"/>
      <c r="H288" s="573"/>
      <c r="I288" s="573" t="s">
        <v>3551</v>
      </c>
      <c r="J288" s="572"/>
      <c r="K288" s="573"/>
      <c r="L288" s="572"/>
      <c r="M288" s="571"/>
      <c r="N288" s="570"/>
      <c r="V288" s="674"/>
      <c r="W288" s="675" t="s">
        <v>1488</v>
      </c>
      <c r="AC288" s="675"/>
      <c r="AD288" s="675"/>
      <c r="AF288" s="675"/>
      <c r="AG288" s="680"/>
    </row>
    <row r="289" spans="1:33" s="536" customFormat="1" ht="12" x14ac:dyDescent="0.2">
      <c r="A289" s="676"/>
      <c r="B289" s="664"/>
      <c r="C289" s="1822" t="s">
        <v>3552</v>
      </c>
      <c r="D289" s="1822"/>
      <c r="E289" s="1822"/>
      <c r="F289" s="1822"/>
      <c r="G289" s="1822"/>
      <c r="H289" s="1822"/>
      <c r="I289" s="1822"/>
      <c r="J289" s="1822"/>
      <c r="K289" s="1822"/>
      <c r="L289" s="1822"/>
      <c r="M289" s="1822"/>
      <c r="N289" s="1827"/>
      <c r="V289" s="674"/>
      <c r="W289" s="675"/>
      <c r="X289" s="537" t="s">
        <v>3552</v>
      </c>
      <c r="AC289" s="675"/>
      <c r="AD289" s="675"/>
      <c r="AF289" s="675"/>
      <c r="AG289" s="680"/>
    </row>
    <row r="290" spans="1:33" s="536" customFormat="1" ht="33.75" x14ac:dyDescent="0.2">
      <c r="A290" s="609"/>
      <c r="B290" s="552" t="s">
        <v>310</v>
      </c>
      <c r="C290" s="1822" t="s">
        <v>311</v>
      </c>
      <c r="D290" s="1822"/>
      <c r="E290" s="1822"/>
      <c r="F290" s="1822"/>
      <c r="G290" s="1822"/>
      <c r="H290" s="1822"/>
      <c r="I290" s="1822"/>
      <c r="J290" s="1822"/>
      <c r="K290" s="1822"/>
      <c r="L290" s="1822"/>
      <c r="M290" s="1822"/>
      <c r="N290" s="1827"/>
      <c r="V290" s="674"/>
      <c r="W290" s="675"/>
      <c r="Y290" s="537" t="s">
        <v>311</v>
      </c>
      <c r="AC290" s="675"/>
      <c r="AD290" s="675"/>
      <c r="AF290" s="675"/>
      <c r="AG290" s="680"/>
    </row>
    <row r="291" spans="1:33" s="536" customFormat="1" ht="12" x14ac:dyDescent="0.2">
      <c r="A291" s="605"/>
      <c r="B291" s="552" t="s">
        <v>185</v>
      </c>
      <c r="C291" s="1822" t="s">
        <v>312</v>
      </c>
      <c r="D291" s="1822"/>
      <c r="E291" s="1822"/>
      <c r="F291" s="562"/>
      <c r="G291" s="562"/>
      <c r="H291" s="562"/>
      <c r="I291" s="562"/>
      <c r="J291" s="604">
        <v>19.32</v>
      </c>
      <c r="K291" s="562" t="s">
        <v>313</v>
      </c>
      <c r="L291" s="604">
        <v>11.99</v>
      </c>
      <c r="M291" s="603"/>
      <c r="N291" s="602"/>
      <c r="V291" s="674"/>
      <c r="W291" s="675"/>
      <c r="Z291" s="537" t="s">
        <v>312</v>
      </c>
      <c r="AC291" s="675"/>
      <c r="AD291" s="675"/>
      <c r="AF291" s="675"/>
      <c r="AG291" s="680"/>
    </row>
    <row r="292" spans="1:33" s="536" customFormat="1" ht="12" x14ac:dyDescent="0.2">
      <c r="A292" s="605"/>
      <c r="B292" s="552" t="s">
        <v>186</v>
      </c>
      <c r="C292" s="1822" t="s">
        <v>344</v>
      </c>
      <c r="D292" s="1822"/>
      <c r="E292" s="1822"/>
      <c r="F292" s="562"/>
      <c r="G292" s="562"/>
      <c r="H292" s="562"/>
      <c r="I292" s="562"/>
      <c r="J292" s="604">
        <v>6.01</v>
      </c>
      <c r="K292" s="562" t="s">
        <v>313</v>
      </c>
      <c r="L292" s="604">
        <v>3.73</v>
      </c>
      <c r="M292" s="603"/>
      <c r="N292" s="602"/>
      <c r="V292" s="674"/>
      <c r="W292" s="675"/>
      <c r="Z292" s="537" t="s">
        <v>344</v>
      </c>
      <c r="AC292" s="675"/>
      <c r="AD292" s="675"/>
      <c r="AF292" s="675"/>
      <c r="AG292" s="680"/>
    </row>
    <row r="293" spans="1:33" s="536" customFormat="1" ht="12" x14ac:dyDescent="0.2">
      <c r="A293" s="605"/>
      <c r="B293" s="552" t="s">
        <v>187</v>
      </c>
      <c r="C293" s="1822" t="s">
        <v>345</v>
      </c>
      <c r="D293" s="1822"/>
      <c r="E293" s="1822"/>
      <c r="F293" s="562"/>
      <c r="G293" s="562"/>
      <c r="H293" s="562"/>
      <c r="I293" s="562"/>
      <c r="J293" s="604">
        <v>0.22</v>
      </c>
      <c r="K293" s="562" t="s">
        <v>313</v>
      </c>
      <c r="L293" s="604">
        <v>0.14000000000000001</v>
      </c>
      <c r="M293" s="603"/>
      <c r="N293" s="602"/>
      <c r="V293" s="674"/>
      <c r="W293" s="675"/>
      <c r="Z293" s="537" t="s">
        <v>345</v>
      </c>
      <c r="AC293" s="675"/>
      <c r="AD293" s="675"/>
      <c r="AF293" s="675"/>
      <c r="AG293" s="680"/>
    </row>
    <row r="294" spans="1:33" s="536" customFormat="1" ht="12" x14ac:dyDescent="0.2">
      <c r="A294" s="605"/>
      <c r="B294" s="552" t="s">
        <v>188</v>
      </c>
      <c r="C294" s="1822" t="s">
        <v>475</v>
      </c>
      <c r="D294" s="1822"/>
      <c r="E294" s="1822"/>
      <c r="F294" s="562"/>
      <c r="G294" s="562"/>
      <c r="H294" s="562"/>
      <c r="I294" s="562"/>
      <c r="J294" s="604">
        <v>138.16</v>
      </c>
      <c r="K294" s="562"/>
      <c r="L294" s="604">
        <v>4.6399999999999997</v>
      </c>
      <c r="M294" s="603"/>
      <c r="N294" s="602"/>
      <c r="V294" s="674"/>
      <c r="W294" s="675"/>
      <c r="Z294" s="537" t="s">
        <v>475</v>
      </c>
      <c r="AC294" s="675"/>
      <c r="AD294" s="675"/>
      <c r="AF294" s="675"/>
      <c r="AG294" s="680"/>
    </row>
    <row r="295" spans="1:33" s="536" customFormat="1" ht="12" x14ac:dyDescent="0.2">
      <c r="A295" s="605"/>
      <c r="B295" s="552"/>
      <c r="C295" s="1822" t="s">
        <v>314</v>
      </c>
      <c r="D295" s="1822"/>
      <c r="E295" s="1822"/>
      <c r="F295" s="562" t="s">
        <v>315</v>
      </c>
      <c r="G295" s="562" t="s">
        <v>1489</v>
      </c>
      <c r="H295" s="562" t="s">
        <v>313</v>
      </c>
      <c r="I295" s="562" t="s">
        <v>3555</v>
      </c>
      <c r="J295" s="604"/>
      <c r="K295" s="562"/>
      <c r="L295" s="604"/>
      <c r="M295" s="603"/>
      <c r="N295" s="602"/>
      <c r="V295" s="674"/>
      <c r="W295" s="675"/>
      <c r="AA295" s="537" t="s">
        <v>314</v>
      </c>
      <c r="AC295" s="675"/>
      <c r="AD295" s="675"/>
      <c r="AF295" s="675"/>
      <c r="AG295" s="680"/>
    </row>
    <row r="296" spans="1:33" s="536" customFormat="1" ht="12" x14ac:dyDescent="0.2">
      <c r="A296" s="605"/>
      <c r="B296" s="552"/>
      <c r="C296" s="1822" t="s">
        <v>348</v>
      </c>
      <c r="D296" s="1822"/>
      <c r="E296" s="1822"/>
      <c r="F296" s="562" t="s">
        <v>315</v>
      </c>
      <c r="G296" s="562" t="s">
        <v>695</v>
      </c>
      <c r="H296" s="562" t="s">
        <v>313</v>
      </c>
      <c r="I296" s="562" t="s">
        <v>3554</v>
      </c>
      <c r="J296" s="604"/>
      <c r="K296" s="562"/>
      <c r="L296" s="604"/>
      <c r="M296" s="603"/>
      <c r="N296" s="602"/>
      <c r="V296" s="674"/>
      <c r="W296" s="675"/>
      <c r="AA296" s="537" t="s">
        <v>348</v>
      </c>
      <c r="AC296" s="675"/>
      <c r="AD296" s="675"/>
      <c r="AF296" s="675"/>
      <c r="AG296" s="680"/>
    </row>
    <row r="297" spans="1:33" s="536" customFormat="1" ht="12" x14ac:dyDescent="0.2">
      <c r="A297" s="605"/>
      <c r="B297" s="552"/>
      <c r="C297" s="1828" t="s">
        <v>318</v>
      </c>
      <c r="D297" s="1828"/>
      <c r="E297" s="1828"/>
      <c r="F297" s="608"/>
      <c r="G297" s="608"/>
      <c r="H297" s="608"/>
      <c r="I297" s="608"/>
      <c r="J297" s="607">
        <v>34.67</v>
      </c>
      <c r="K297" s="608"/>
      <c r="L297" s="607">
        <v>20.36</v>
      </c>
      <c r="M297" s="601"/>
      <c r="N297" s="606"/>
      <c r="V297" s="674"/>
      <c r="W297" s="675"/>
      <c r="AB297" s="537" t="s">
        <v>318</v>
      </c>
      <c r="AC297" s="675"/>
      <c r="AD297" s="675"/>
      <c r="AF297" s="675"/>
      <c r="AG297" s="680"/>
    </row>
    <row r="298" spans="1:33" s="536" customFormat="1" ht="12" x14ac:dyDescent="0.2">
      <c r="A298" s="605"/>
      <c r="B298" s="552"/>
      <c r="C298" s="1822" t="s">
        <v>319</v>
      </c>
      <c r="D298" s="1822"/>
      <c r="E298" s="1822"/>
      <c r="F298" s="562"/>
      <c r="G298" s="562"/>
      <c r="H298" s="562"/>
      <c r="I298" s="562"/>
      <c r="J298" s="604"/>
      <c r="K298" s="562"/>
      <c r="L298" s="604">
        <v>12.13</v>
      </c>
      <c r="M298" s="603"/>
      <c r="N298" s="602"/>
      <c r="V298" s="674"/>
      <c r="W298" s="675"/>
      <c r="AA298" s="537" t="s">
        <v>319</v>
      </c>
      <c r="AC298" s="675"/>
      <c r="AD298" s="675"/>
      <c r="AF298" s="675"/>
      <c r="AG298" s="680"/>
    </row>
    <row r="299" spans="1:33" s="536" customFormat="1" ht="33.75" x14ac:dyDescent="0.2">
      <c r="A299" s="605"/>
      <c r="B299" s="552" t="s">
        <v>1482</v>
      </c>
      <c r="C299" s="1822" t="s">
        <v>1483</v>
      </c>
      <c r="D299" s="1822"/>
      <c r="E299" s="1822"/>
      <c r="F299" s="562" t="s">
        <v>322</v>
      </c>
      <c r="G299" s="562" t="s">
        <v>1484</v>
      </c>
      <c r="H299" s="562"/>
      <c r="I299" s="562" t="s">
        <v>1484</v>
      </c>
      <c r="J299" s="604"/>
      <c r="K299" s="562"/>
      <c r="L299" s="604">
        <v>11.4</v>
      </c>
      <c r="M299" s="603"/>
      <c r="N299" s="602"/>
      <c r="V299" s="674"/>
      <c r="W299" s="675"/>
      <c r="AA299" s="537" t="s">
        <v>1483</v>
      </c>
      <c r="AC299" s="675"/>
      <c r="AD299" s="675"/>
      <c r="AF299" s="675"/>
      <c r="AG299" s="680"/>
    </row>
    <row r="300" spans="1:33" s="536" customFormat="1" ht="33.75" x14ac:dyDescent="0.2">
      <c r="A300" s="605"/>
      <c r="B300" s="552" t="s">
        <v>1485</v>
      </c>
      <c r="C300" s="1822" t="s">
        <v>1486</v>
      </c>
      <c r="D300" s="1822"/>
      <c r="E300" s="1822"/>
      <c r="F300" s="562" t="s">
        <v>322</v>
      </c>
      <c r="G300" s="562" t="s">
        <v>786</v>
      </c>
      <c r="H300" s="562"/>
      <c r="I300" s="562" t="s">
        <v>786</v>
      </c>
      <c r="J300" s="604"/>
      <c r="K300" s="562"/>
      <c r="L300" s="604">
        <v>6.19</v>
      </c>
      <c r="M300" s="603"/>
      <c r="N300" s="602"/>
      <c r="V300" s="674"/>
      <c r="W300" s="675"/>
      <c r="AA300" s="537" t="s">
        <v>1486</v>
      </c>
      <c r="AC300" s="675"/>
      <c r="AD300" s="675"/>
      <c r="AF300" s="675"/>
      <c r="AG300" s="680"/>
    </row>
    <row r="301" spans="1:33" s="536" customFormat="1" ht="12" x14ac:dyDescent="0.2">
      <c r="A301" s="569"/>
      <c r="B301" s="671"/>
      <c r="C301" s="1823" t="s">
        <v>327</v>
      </c>
      <c r="D301" s="1823"/>
      <c r="E301" s="1823"/>
      <c r="F301" s="573"/>
      <c r="G301" s="573"/>
      <c r="H301" s="573"/>
      <c r="I301" s="573"/>
      <c r="J301" s="572"/>
      <c r="K301" s="573"/>
      <c r="L301" s="572">
        <v>37.950000000000003</v>
      </c>
      <c r="M301" s="601"/>
      <c r="N301" s="570"/>
      <c r="V301" s="674"/>
      <c r="W301" s="675"/>
      <c r="AC301" s="675" t="s">
        <v>327</v>
      </c>
      <c r="AD301" s="675"/>
      <c r="AF301" s="675"/>
      <c r="AG301" s="680"/>
    </row>
    <row r="302" spans="1:33" s="536" customFormat="1" ht="22.5" x14ac:dyDescent="0.2">
      <c r="A302" s="575" t="s">
        <v>759</v>
      </c>
      <c r="B302" s="670" t="s">
        <v>1491</v>
      </c>
      <c r="C302" s="1823" t="s">
        <v>1492</v>
      </c>
      <c r="D302" s="1823"/>
      <c r="E302" s="1823"/>
      <c r="F302" s="573" t="s">
        <v>699</v>
      </c>
      <c r="G302" s="573"/>
      <c r="H302" s="573"/>
      <c r="I302" s="573" t="s">
        <v>3556</v>
      </c>
      <c r="J302" s="572">
        <v>34.950000000000003</v>
      </c>
      <c r="K302" s="573"/>
      <c r="L302" s="572">
        <v>346.91</v>
      </c>
      <c r="M302" s="571"/>
      <c r="N302" s="570"/>
      <c r="V302" s="674"/>
      <c r="W302" s="675" t="s">
        <v>1492</v>
      </c>
      <c r="AC302" s="675"/>
      <c r="AD302" s="675"/>
      <c r="AF302" s="675"/>
      <c r="AG302" s="680"/>
    </row>
    <row r="303" spans="1:33" s="536" customFormat="1" ht="12" x14ac:dyDescent="0.2">
      <c r="A303" s="569"/>
      <c r="B303" s="671"/>
      <c r="C303" s="665" t="s">
        <v>717</v>
      </c>
      <c r="D303" s="666"/>
      <c r="E303" s="666"/>
      <c r="F303" s="563"/>
      <c r="G303" s="563"/>
      <c r="H303" s="563"/>
      <c r="I303" s="563"/>
      <c r="J303" s="566"/>
      <c r="K303" s="563"/>
      <c r="L303" s="566"/>
      <c r="M303" s="565"/>
      <c r="N303" s="564"/>
      <c r="V303" s="674"/>
      <c r="W303" s="675"/>
      <c r="AC303" s="675"/>
      <c r="AD303" s="675"/>
      <c r="AF303" s="675"/>
      <c r="AG303" s="680"/>
    </row>
    <row r="304" spans="1:33" s="536" customFormat="1" ht="12" x14ac:dyDescent="0.2">
      <c r="A304" s="676"/>
      <c r="B304" s="664"/>
      <c r="C304" s="1822" t="s">
        <v>3557</v>
      </c>
      <c r="D304" s="1822"/>
      <c r="E304" s="1822"/>
      <c r="F304" s="1822"/>
      <c r="G304" s="1822"/>
      <c r="H304" s="1822"/>
      <c r="I304" s="1822"/>
      <c r="J304" s="1822"/>
      <c r="K304" s="1822"/>
      <c r="L304" s="1822"/>
      <c r="M304" s="1822"/>
      <c r="N304" s="1827"/>
      <c r="V304" s="674"/>
      <c r="W304" s="675"/>
      <c r="X304" s="537" t="s">
        <v>3557</v>
      </c>
      <c r="AC304" s="675"/>
      <c r="AD304" s="675"/>
      <c r="AF304" s="675"/>
      <c r="AG304" s="680"/>
    </row>
    <row r="305" spans="1:33" s="536" customFormat="1" ht="1.5" customHeight="1" x14ac:dyDescent="0.2">
      <c r="A305" s="563"/>
      <c r="B305" s="671"/>
      <c r="C305" s="671"/>
      <c r="D305" s="671"/>
      <c r="E305" s="671"/>
      <c r="F305" s="563"/>
      <c r="G305" s="563"/>
      <c r="H305" s="563"/>
      <c r="I305" s="563"/>
      <c r="J305" s="546"/>
      <c r="K305" s="563"/>
      <c r="L305" s="546"/>
      <c r="M305" s="562"/>
      <c r="N305" s="546"/>
      <c r="V305" s="674"/>
      <c r="W305" s="675"/>
      <c r="AC305" s="675"/>
      <c r="AD305" s="675"/>
      <c r="AF305" s="675"/>
      <c r="AG305" s="680"/>
    </row>
    <row r="306" spans="1:33" s="536" customFormat="1" ht="12" x14ac:dyDescent="0.2">
      <c r="A306" s="557"/>
      <c r="B306" s="556"/>
      <c r="C306" s="1823" t="s">
        <v>2164</v>
      </c>
      <c r="D306" s="1823"/>
      <c r="E306" s="1823"/>
      <c r="F306" s="1823"/>
      <c r="G306" s="1823"/>
      <c r="H306" s="1823"/>
      <c r="I306" s="1823"/>
      <c r="J306" s="1823"/>
      <c r="K306" s="1823"/>
      <c r="L306" s="555"/>
      <c r="M306" s="554"/>
      <c r="N306" s="553"/>
      <c r="V306" s="674"/>
      <c r="W306" s="675"/>
      <c r="AC306" s="675"/>
      <c r="AD306" s="675" t="s">
        <v>2164</v>
      </c>
      <c r="AF306" s="675"/>
      <c r="AG306" s="680"/>
    </row>
    <row r="307" spans="1:33" s="536" customFormat="1" ht="12" x14ac:dyDescent="0.2">
      <c r="A307" s="548"/>
      <c r="B307" s="552"/>
      <c r="C307" s="1822" t="s">
        <v>403</v>
      </c>
      <c r="D307" s="1822"/>
      <c r="E307" s="1822"/>
      <c r="F307" s="1822"/>
      <c r="G307" s="1822"/>
      <c r="H307" s="1822"/>
      <c r="I307" s="1822"/>
      <c r="J307" s="1822"/>
      <c r="K307" s="1822"/>
      <c r="L307" s="551">
        <v>22180.26</v>
      </c>
      <c r="M307" s="550"/>
      <c r="N307" s="549"/>
      <c r="V307" s="674"/>
      <c r="W307" s="675"/>
      <c r="AC307" s="675"/>
      <c r="AD307" s="675"/>
      <c r="AE307" s="537" t="s">
        <v>403</v>
      </c>
      <c r="AF307" s="675"/>
      <c r="AG307" s="680"/>
    </row>
    <row r="308" spans="1:33" s="536" customFormat="1" ht="12" x14ac:dyDescent="0.2">
      <c r="A308" s="548"/>
      <c r="B308" s="552"/>
      <c r="C308" s="1822" t="s">
        <v>204</v>
      </c>
      <c r="D308" s="1822"/>
      <c r="E308" s="1822"/>
      <c r="F308" s="1822"/>
      <c r="G308" s="1822"/>
      <c r="H308" s="1822"/>
      <c r="I308" s="1822"/>
      <c r="J308" s="1822"/>
      <c r="K308" s="1822"/>
      <c r="L308" s="551"/>
      <c r="M308" s="550"/>
      <c r="N308" s="549"/>
      <c r="V308" s="674"/>
      <c r="W308" s="675"/>
      <c r="AC308" s="675"/>
      <c r="AD308" s="675"/>
      <c r="AE308" s="537" t="s">
        <v>204</v>
      </c>
      <c r="AF308" s="675"/>
      <c r="AG308" s="680"/>
    </row>
    <row r="309" spans="1:33" s="536" customFormat="1" ht="12" x14ac:dyDescent="0.2">
      <c r="A309" s="548"/>
      <c r="B309" s="552"/>
      <c r="C309" s="1822" t="s">
        <v>404</v>
      </c>
      <c r="D309" s="1822"/>
      <c r="E309" s="1822"/>
      <c r="F309" s="1822"/>
      <c r="G309" s="1822"/>
      <c r="H309" s="1822"/>
      <c r="I309" s="1822"/>
      <c r="J309" s="1822"/>
      <c r="K309" s="1822"/>
      <c r="L309" s="551">
        <v>378.56</v>
      </c>
      <c r="M309" s="550"/>
      <c r="N309" s="549"/>
      <c r="V309" s="674"/>
      <c r="W309" s="675"/>
      <c r="AC309" s="675"/>
      <c r="AD309" s="675"/>
      <c r="AE309" s="537" t="s">
        <v>404</v>
      </c>
      <c r="AF309" s="675"/>
      <c r="AG309" s="680"/>
    </row>
    <row r="310" spans="1:33" s="536" customFormat="1" ht="12" x14ac:dyDescent="0.2">
      <c r="A310" s="548"/>
      <c r="B310" s="552"/>
      <c r="C310" s="1822" t="s">
        <v>405</v>
      </c>
      <c r="D310" s="1822"/>
      <c r="E310" s="1822"/>
      <c r="F310" s="1822"/>
      <c r="G310" s="1822"/>
      <c r="H310" s="1822"/>
      <c r="I310" s="1822"/>
      <c r="J310" s="1822"/>
      <c r="K310" s="1822"/>
      <c r="L310" s="551">
        <v>951.44</v>
      </c>
      <c r="M310" s="550"/>
      <c r="N310" s="549"/>
      <c r="V310" s="674"/>
      <c r="W310" s="675"/>
      <c r="AC310" s="675"/>
      <c r="AD310" s="675"/>
      <c r="AE310" s="537" t="s">
        <v>405</v>
      </c>
      <c r="AF310" s="675"/>
      <c r="AG310" s="680"/>
    </row>
    <row r="311" spans="1:33" s="536" customFormat="1" ht="12" x14ac:dyDescent="0.2">
      <c r="A311" s="548"/>
      <c r="B311" s="552"/>
      <c r="C311" s="1822" t="s">
        <v>406</v>
      </c>
      <c r="D311" s="1822"/>
      <c r="E311" s="1822"/>
      <c r="F311" s="1822"/>
      <c r="G311" s="1822"/>
      <c r="H311" s="1822"/>
      <c r="I311" s="1822"/>
      <c r="J311" s="1822"/>
      <c r="K311" s="1822"/>
      <c r="L311" s="551">
        <v>92.67</v>
      </c>
      <c r="M311" s="550"/>
      <c r="N311" s="549"/>
      <c r="V311" s="674"/>
      <c r="W311" s="675"/>
      <c r="AC311" s="675"/>
      <c r="AD311" s="675"/>
      <c r="AE311" s="537" t="s">
        <v>406</v>
      </c>
      <c r="AF311" s="675"/>
      <c r="AG311" s="680"/>
    </row>
    <row r="312" spans="1:33" s="536" customFormat="1" ht="12" x14ac:dyDescent="0.2">
      <c r="A312" s="548"/>
      <c r="B312" s="552"/>
      <c r="C312" s="1822" t="s">
        <v>480</v>
      </c>
      <c r="D312" s="1822"/>
      <c r="E312" s="1822"/>
      <c r="F312" s="1822"/>
      <c r="G312" s="1822"/>
      <c r="H312" s="1822"/>
      <c r="I312" s="1822"/>
      <c r="J312" s="1822"/>
      <c r="K312" s="1822"/>
      <c r="L312" s="551">
        <v>20850.259999999998</v>
      </c>
      <c r="M312" s="550"/>
      <c r="N312" s="549"/>
      <c r="V312" s="674"/>
      <c r="W312" s="675"/>
      <c r="AC312" s="675"/>
      <c r="AD312" s="675"/>
      <c r="AE312" s="537" t="s">
        <v>480</v>
      </c>
      <c r="AF312" s="675"/>
      <c r="AG312" s="680"/>
    </row>
    <row r="313" spans="1:33" s="536" customFormat="1" ht="12" x14ac:dyDescent="0.2">
      <c r="A313" s="548"/>
      <c r="B313" s="552"/>
      <c r="C313" s="1822" t="s">
        <v>407</v>
      </c>
      <c r="D313" s="1822"/>
      <c r="E313" s="1822"/>
      <c r="F313" s="1822"/>
      <c r="G313" s="1822"/>
      <c r="H313" s="1822"/>
      <c r="I313" s="1822"/>
      <c r="J313" s="1822"/>
      <c r="K313" s="1822"/>
      <c r="L313" s="551">
        <v>22906.959999999999</v>
      </c>
      <c r="M313" s="550"/>
      <c r="N313" s="549"/>
      <c r="V313" s="674"/>
      <c r="W313" s="675"/>
      <c r="AC313" s="675"/>
      <c r="AD313" s="675"/>
      <c r="AE313" s="537" t="s">
        <v>407</v>
      </c>
      <c r="AF313" s="675"/>
      <c r="AG313" s="680"/>
    </row>
    <row r="314" spans="1:33" s="536" customFormat="1" ht="12" x14ac:dyDescent="0.2">
      <c r="A314" s="548"/>
      <c r="B314" s="552"/>
      <c r="C314" s="1822" t="s">
        <v>204</v>
      </c>
      <c r="D314" s="1822"/>
      <c r="E314" s="1822"/>
      <c r="F314" s="1822"/>
      <c r="G314" s="1822"/>
      <c r="H314" s="1822"/>
      <c r="I314" s="1822"/>
      <c r="J314" s="1822"/>
      <c r="K314" s="1822"/>
      <c r="L314" s="551"/>
      <c r="M314" s="550"/>
      <c r="N314" s="549"/>
      <c r="V314" s="674"/>
      <c r="W314" s="675"/>
      <c r="AC314" s="675"/>
      <c r="AD314" s="675"/>
      <c r="AE314" s="537" t="s">
        <v>204</v>
      </c>
      <c r="AF314" s="675"/>
      <c r="AG314" s="680"/>
    </row>
    <row r="315" spans="1:33" s="536" customFormat="1" ht="12" x14ac:dyDescent="0.2">
      <c r="A315" s="548"/>
      <c r="B315" s="552"/>
      <c r="C315" s="1822" t="s">
        <v>546</v>
      </c>
      <c r="D315" s="1822"/>
      <c r="E315" s="1822"/>
      <c r="F315" s="1822"/>
      <c r="G315" s="1822"/>
      <c r="H315" s="1822"/>
      <c r="I315" s="1822"/>
      <c r="J315" s="1822"/>
      <c r="K315" s="1822"/>
      <c r="L315" s="551">
        <v>378.56</v>
      </c>
      <c r="M315" s="550"/>
      <c r="N315" s="549"/>
      <c r="V315" s="674"/>
      <c r="W315" s="675"/>
      <c r="AC315" s="675"/>
      <c r="AD315" s="675"/>
      <c r="AE315" s="537" t="s">
        <v>546</v>
      </c>
      <c r="AF315" s="675"/>
      <c r="AG315" s="680"/>
    </row>
    <row r="316" spans="1:33" s="536" customFormat="1" ht="12" x14ac:dyDescent="0.2">
      <c r="A316" s="548"/>
      <c r="B316" s="552"/>
      <c r="C316" s="1822" t="s">
        <v>442</v>
      </c>
      <c r="D316" s="1822"/>
      <c r="E316" s="1822"/>
      <c r="F316" s="1822"/>
      <c r="G316" s="1822"/>
      <c r="H316" s="1822"/>
      <c r="I316" s="1822"/>
      <c r="J316" s="1822"/>
      <c r="K316" s="1822"/>
      <c r="L316" s="551">
        <v>951.44</v>
      </c>
      <c r="M316" s="550"/>
      <c r="N316" s="549"/>
      <c r="V316" s="674"/>
      <c r="W316" s="675"/>
      <c r="AC316" s="675"/>
      <c r="AD316" s="675"/>
      <c r="AE316" s="537" t="s">
        <v>442</v>
      </c>
      <c r="AF316" s="675"/>
      <c r="AG316" s="680"/>
    </row>
    <row r="317" spans="1:33" s="536" customFormat="1" ht="12" x14ac:dyDescent="0.2">
      <c r="A317" s="548"/>
      <c r="B317" s="552"/>
      <c r="C317" s="1822" t="s">
        <v>547</v>
      </c>
      <c r="D317" s="1822"/>
      <c r="E317" s="1822"/>
      <c r="F317" s="1822"/>
      <c r="G317" s="1822"/>
      <c r="H317" s="1822"/>
      <c r="I317" s="1822"/>
      <c r="J317" s="1822"/>
      <c r="K317" s="1822"/>
      <c r="L317" s="551">
        <v>20850.259999999998</v>
      </c>
      <c r="M317" s="550"/>
      <c r="N317" s="549"/>
      <c r="V317" s="674"/>
      <c r="W317" s="675"/>
      <c r="AC317" s="675"/>
      <c r="AD317" s="675"/>
      <c r="AE317" s="537" t="s">
        <v>547</v>
      </c>
      <c r="AF317" s="675"/>
      <c r="AG317" s="680"/>
    </row>
    <row r="318" spans="1:33" s="536" customFormat="1" ht="12" x14ac:dyDescent="0.2">
      <c r="A318" s="548"/>
      <c r="B318" s="552"/>
      <c r="C318" s="1822" t="s">
        <v>443</v>
      </c>
      <c r="D318" s="1822"/>
      <c r="E318" s="1822"/>
      <c r="F318" s="1822"/>
      <c r="G318" s="1822"/>
      <c r="H318" s="1822"/>
      <c r="I318" s="1822"/>
      <c r="J318" s="1822"/>
      <c r="K318" s="1822"/>
      <c r="L318" s="551">
        <v>438.61</v>
      </c>
      <c r="M318" s="550"/>
      <c r="N318" s="549"/>
      <c r="V318" s="674"/>
      <c r="W318" s="675"/>
      <c r="AC318" s="675"/>
      <c r="AD318" s="675"/>
      <c r="AE318" s="537" t="s">
        <v>443</v>
      </c>
      <c r="AF318" s="675"/>
      <c r="AG318" s="680"/>
    </row>
    <row r="319" spans="1:33" s="536" customFormat="1" ht="12" x14ac:dyDescent="0.2">
      <c r="A319" s="548"/>
      <c r="B319" s="552"/>
      <c r="C319" s="1822" t="s">
        <v>444</v>
      </c>
      <c r="D319" s="1822"/>
      <c r="E319" s="1822"/>
      <c r="F319" s="1822"/>
      <c r="G319" s="1822"/>
      <c r="H319" s="1822"/>
      <c r="I319" s="1822"/>
      <c r="J319" s="1822"/>
      <c r="K319" s="1822"/>
      <c r="L319" s="551">
        <v>288.08999999999997</v>
      </c>
      <c r="M319" s="550"/>
      <c r="N319" s="549"/>
      <c r="V319" s="674"/>
      <c r="W319" s="675"/>
      <c r="AC319" s="675"/>
      <c r="AD319" s="675"/>
      <c r="AE319" s="537" t="s">
        <v>444</v>
      </c>
      <c r="AF319" s="675"/>
      <c r="AG319" s="680"/>
    </row>
    <row r="320" spans="1:33" s="536" customFormat="1" ht="12" x14ac:dyDescent="0.2">
      <c r="A320" s="548"/>
      <c r="B320" s="552"/>
      <c r="C320" s="1822" t="s">
        <v>415</v>
      </c>
      <c r="D320" s="1822"/>
      <c r="E320" s="1822"/>
      <c r="F320" s="1822"/>
      <c r="G320" s="1822"/>
      <c r="H320" s="1822"/>
      <c r="I320" s="1822"/>
      <c r="J320" s="1822"/>
      <c r="K320" s="1822"/>
      <c r="L320" s="551">
        <v>471.23</v>
      </c>
      <c r="M320" s="550"/>
      <c r="N320" s="549"/>
      <c r="V320" s="674"/>
      <c r="W320" s="675"/>
      <c r="AC320" s="675"/>
      <c r="AD320" s="675"/>
      <c r="AE320" s="537" t="s">
        <v>415</v>
      </c>
      <c r="AF320" s="675"/>
      <c r="AG320" s="680"/>
    </row>
    <row r="321" spans="1:33" s="536" customFormat="1" ht="12" x14ac:dyDescent="0.2">
      <c r="A321" s="548"/>
      <c r="B321" s="552"/>
      <c r="C321" s="1822" t="s">
        <v>416</v>
      </c>
      <c r="D321" s="1822"/>
      <c r="E321" s="1822"/>
      <c r="F321" s="1822"/>
      <c r="G321" s="1822"/>
      <c r="H321" s="1822"/>
      <c r="I321" s="1822"/>
      <c r="J321" s="1822"/>
      <c r="K321" s="1822"/>
      <c r="L321" s="551">
        <v>438.61</v>
      </c>
      <c r="M321" s="550"/>
      <c r="N321" s="549"/>
      <c r="V321" s="674"/>
      <c r="W321" s="675"/>
      <c r="AC321" s="675"/>
      <c r="AD321" s="675"/>
      <c r="AE321" s="537" t="s">
        <v>416</v>
      </c>
      <c r="AF321" s="675"/>
      <c r="AG321" s="680"/>
    </row>
    <row r="322" spans="1:33" s="536" customFormat="1" ht="12" x14ac:dyDescent="0.2">
      <c r="A322" s="548"/>
      <c r="B322" s="552"/>
      <c r="C322" s="1822" t="s">
        <v>417</v>
      </c>
      <c r="D322" s="1822"/>
      <c r="E322" s="1822"/>
      <c r="F322" s="1822"/>
      <c r="G322" s="1822"/>
      <c r="H322" s="1822"/>
      <c r="I322" s="1822"/>
      <c r="J322" s="1822"/>
      <c r="K322" s="1822"/>
      <c r="L322" s="551">
        <v>288.08999999999997</v>
      </c>
      <c r="M322" s="550"/>
      <c r="N322" s="549"/>
      <c r="V322" s="674"/>
      <c r="W322" s="675"/>
      <c r="AC322" s="675"/>
      <c r="AD322" s="675"/>
      <c r="AE322" s="537" t="s">
        <v>417</v>
      </c>
      <c r="AF322" s="675"/>
      <c r="AG322" s="680"/>
    </row>
    <row r="323" spans="1:33" s="536" customFormat="1" ht="12" x14ac:dyDescent="0.2">
      <c r="A323" s="548"/>
      <c r="B323" s="546"/>
      <c r="C323" s="1819" t="s">
        <v>2165</v>
      </c>
      <c r="D323" s="1819"/>
      <c r="E323" s="1819"/>
      <c r="F323" s="1819"/>
      <c r="G323" s="1819"/>
      <c r="H323" s="1819"/>
      <c r="I323" s="1819"/>
      <c r="J323" s="1819"/>
      <c r="K323" s="1819"/>
      <c r="L323" s="544">
        <v>22906.959999999999</v>
      </c>
      <c r="M323" s="543"/>
      <c r="N323" s="681"/>
      <c r="V323" s="674"/>
      <c r="W323" s="675"/>
      <c r="AC323" s="675"/>
      <c r="AD323" s="675"/>
      <c r="AF323" s="675" t="s">
        <v>2165</v>
      </c>
      <c r="AG323" s="680"/>
    </row>
    <row r="324" spans="1:33" s="536" customFormat="1" ht="12" x14ac:dyDescent="0.2">
      <c r="A324" s="1824" t="s">
        <v>1614</v>
      </c>
      <c r="B324" s="1825"/>
      <c r="C324" s="1825"/>
      <c r="D324" s="1825"/>
      <c r="E324" s="1825"/>
      <c r="F324" s="1825"/>
      <c r="G324" s="1825"/>
      <c r="H324" s="1825"/>
      <c r="I324" s="1825"/>
      <c r="J324" s="1825"/>
      <c r="K324" s="1825"/>
      <c r="L324" s="1825"/>
      <c r="M324" s="1825"/>
      <c r="N324" s="1826"/>
      <c r="V324" s="674" t="s">
        <v>1614</v>
      </c>
      <c r="W324" s="675"/>
      <c r="AC324" s="675"/>
      <c r="AD324" s="675"/>
      <c r="AF324" s="675"/>
      <c r="AG324" s="680"/>
    </row>
    <row r="325" spans="1:33" s="536" customFormat="1" ht="78.75" x14ac:dyDescent="0.2">
      <c r="A325" s="575" t="s">
        <v>917</v>
      </c>
      <c r="B325" s="670" t="s">
        <v>1497</v>
      </c>
      <c r="C325" s="1823" t="s">
        <v>1498</v>
      </c>
      <c r="D325" s="1823"/>
      <c r="E325" s="1823"/>
      <c r="F325" s="573" t="s">
        <v>201</v>
      </c>
      <c r="G325" s="573"/>
      <c r="H325" s="573"/>
      <c r="I325" s="573" t="s">
        <v>3558</v>
      </c>
      <c r="J325" s="572">
        <v>76.88</v>
      </c>
      <c r="K325" s="573"/>
      <c r="L325" s="572">
        <v>206.81</v>
      </c>
      <c r="M325" s="571"/>
      <c r="N325" s="570"/>
      <c r="V325" s="674"/>
      <c r="W325" s="675" t="s">
        <v>1498</v>
      </c>
      <c r="AC325" s="675"/>
      <c r="AD325" s="675"/>
      <c r="AF325" s="675"/>
      <c r="AG325" s="680"/>
    </row>
    <row r="326" spans="1:33" s="536" customFormat="1" ht="12" x14ac:dyDescent="0.2">
      <c r="A326" s="569"/>
      <c r="B326" s="671"/>
      <c r="C326" s="665" t="s">
        <v>717</v>
      </c>
      <c r="D326" s="666"/>
      <c r="E326" s="666"/>
      <c r="F326" s="563"/>
      <c r="G326" s="563"/>
      <c r="H326" s="563"/>
      <c r="I326" s="563"/>
      <c r="J326" s="566"/>
      <c r="K326" s="563"/>
      <c r="L326" s="566"/>
      <c r="M326" s="565"/>
      <c r="N326" s="564"/>
      <c r="V326" s="674"/>
      <c r="W326" s="675"/>
      <c r="AC326" s="675"/>
      <c r="AD326" s="675"/>
      <c r="AF326" s="675"/>
      <c r="AG326" s="680"/>
    </row>
    <row r="327" spans="1:33" s="536" customFormat="1" ht="12" x14ac:dyDescent="0.2">
      <c r="A327" s="676"/>
      <c r="B327" s="664"/>
      <c r="C327" s="1822" t="s">
        <v>3559</v>
      </c>
      <c r="D327" s="1822"/>
      <c r="E327" s="1822"/>
      <c r="F327" s="1822"/>
      <c r="G327" s="1822"/>
      <c r="H327" s="1822"/>
      <c r="I327" s="1822"/>
      <c r="J327" s="1822"/>
      <c r="K327" s="1822"/>
      <c r="L327" s="1822"/>
      <c r="M327" s="1822"/>
      <c r="N327" s="1827"/>
      <c r="V327" s="674"/>
      <c r="W327" s="675"/>
      <c r="X327" s="537" t="s">
        <v>3559</v>
      </c>
      <c r="AC327" s="675"/>
      <c r="AD327" s="675"/>
      <c r="AF327" s="675"/>
      <c r="AG327" s="680"/>
    </row>
    <row r="328" spans="1:33" s="536" customFormat="1" ht="67.5" x14ac:dyDescent="0.2">
      <c r="A328" s="575" t="s">
        <v>761</v>
      </c>
      <c r="B328" s="670" t="s">
        <v>1338</v>
      </c>
      <c r="C328" s="1823" t="s">
        <v>3560</v>
      </c>
      <c r="D328" s="1823"/>
      <c r="E328" s="1823"/>
      <c r="F328" s="573" t="s">
        <v>201</v>
      </c>
      <c r="G328" s="573"/>
      <c r="H328" s="573"/>
      <c r="I328" s="573" t="s">
        <v>3561</v>
      </c>
      <c r="J328" s="572">
        <v>90.45</v>
      </c>
      <c r="K328" s="573"/>
      <c r="L328" s="572">
        <v>13.93</v>
      </c>
      <c r="M328" s="571"/>
      <c r="N328" s="570"/>
      <c r="V328" s="674"/>
      <c r="W328" s="675" t="s">
        <v>3560</v>
      </c>
      <c r="AC328" s="675"/>
      <c r="AD328" s="675"/>
      <c r="AF328" s="675"/>
      <c r="AG328" s="680"/>
    </row>
    <row r="329" spans="1:33" s="536" customFormat="1" ht="12" x14ac:dyDescent="0.2">
      <c r="A329" s="569"/>
      <c r="B329" s="671"/>
      <c r="C329" s="665" t="s">
        <v>717</v>
      </c>
      <c r="D329" s="666"/>
      <c r="E329" s="666"/>
      <c r="F329" s="563"/>
      <c r="G329" s="563"/>
      <c r="H329" s="563"/>
      <c r="I329" s="563"/>
      <c r="J329" s="566"/>
      <c r="K329" s="563"/>
      <c r="L329" s="566"/>
      <c r="M329" s="565"/>
      <c r="N329" s="564"/>
      <c r="V329" s="674"/>
      <c r="W329" s="675"/>
      <c r="AC329" s="675"/>
      <c r="AD329" s="675"/>
      <c r="AF329" s="675"/>
      <c r="AG329" s="680"/>
    </row>
    <row r="330" spans="1:33" s="536" customFormat="1" ht="67.5" x14ac:dyDescent="0.2">
      <c r="A330" s="575" t="s">
        <v>762</v>
      </c>
      <c r="B330" s="670" t="s">
        <v>1503</v>
      </c>
      <c r="C330" s="1823" t="s">
        <v>1504</v>
      </c>
      <c r="D330" s="1823"/>
      <c r="E330" s="1823"/>
      <c r="F330" s="573" t="s">
        <v>201</v>
      </c>
      <c r="G330" s="573"/>
      <c r="H330" s="573"/>
      <c r="I330" s="573" t="s">
        <v>809</v>
      </c>
      <c r="J330" s="572">
        <v>127.09</v>
      </c>
      <c r="K330" s="573"/>
      <c r="L330" s="572">
        <v>1.27</v>
      </c>
      <c r="M330" s="571"/>
      <c r="N330" s="570"/>
      <c r="V330" s="674"/>
      <c r="W330" s="675" t="s">
        <v>1504</v>
      </c>
      <c r="AC330" s="675"/>
      <c r="AD330" s="675"/>
      <c r="AF330" s="675"/>
      <c r="AG330" s="680"/>
    </row>
    <row r="331" spans="1:33" s="536" customFormat="1" ht="12" x14ac:dyDescent="0.2">
      <c r="A331" s="569"/>
      <c r="B331" s="671"/>
      <c r="C331" s="665" t="s">
        <v>717</v>
      </c>
      <c r="D331" s="666"/>
      <c r="E331" s="666"/>
      <c r="F331" s="563"/>
      <c r="G331" s="563"/>
      <c r="H331" s="563"/>
      <c r="I331" s="563"/>
      <c r="J331" s="566"/>
      <c r="K331" s="563"/>
      <c r="L331" s="566"/>
      <c r="M331" s="565"/>
      <c r="N331" s="564"/>
      <c r="V331" s="674"/>
      <c r="W331" s="675"/>
      <c r="AC331" s="675"/>
      <c r="AD331" s="675"/>
      <c r="AF331" s="675"/>
      <c r="AG331" s="680"/>
    </row>
    <row r="332" spans="1:33" s="536" customFormat="1" ht="1.5" customHeight="1" x14ac:dyDescent="0.2">
      <c r="A332" s="563"/>
      <c r="B332" s="671"/>
      <c r="C332" s="671"/>
      <c r="D332" s="671"/>
      <c r="E332" s="671"/>
      <c r="F332" s="563"/>
      <c r="G332" s="563"/>
      <c r="H332" s="563"/>
      <c r="I332" s="563"/>
      <c r="J332" s="546"/>
      <c r="K332" s="563"/>
      <c r="L332" s="546"/>
      <c r="M332" s="562"/>
      <c r="N332" s="546"/>
      <c r="V332" s="674"/>
      <c r="W332" s="675"/>
      <c r="AC332" s="675"/>
      <c r="AD332" s="675"/>
      <c r="AF332" s="675"/>
      <c r="AG332" s="680"/>
    </row>
    <row r="333" spans="1:33" s="536" customFormat="1" ht="22.5" x14ac:dyDescent="0.2">
      <c r="A333" s="557"/>
      <c r="B333" s="556"/>
      <c r="C333" s="1823" t="s">
        <v>1620</v>
      </c>
      <c r="D333" s="1823"/>
      <c r="E333" s="1823"/>
      <c r="F333" s="1823"/>
      <c r="G333" s="1823"/>
      <c r="H333" s="1823"/>
      <c r="I333" s="1823"/>
      <c r="J333" s="1823"/>
      <c r="K333" s="1823"/>
      <c r="L333" s="555"/>
      <c r="M333" s="554"/>
      <c r="N333" s="553"/>
      <c r="V333" s="674"/>
      <c r="W333" s="675"/>
      <c r="AC333" s="675"/>
      <c r="AD333" s="675" t="s">
        <v>1620</v>
      </c>
      <c r="AF333" s="675"/>
      <c r="AG333" s="680"/>
    </row>
    <row r="334" spans="1:33" s="536" customFormat="1" ht="12" x14ac:dyDescent="0.2">
      <c r="A334" s="548"/>
      <c r="B334" s="552"/>
      <c r="C334" s="1822" t="s">
        <v>403</v>
      </c>
      <c r="D334" s="1822"/>
      <c r="E334" s="1822"/>
      <c r="F334" s="1822"/>
      <c r="G334" s="1822"/>
      <c r="H334" s="1822"/>
      <c r="I334" s="1822"/>
      <c r="J334" s="1822"/>
      <c r="K334" s="1822"/>
      <c r="L334" s="551">
        <v>222.01</v>
      </c>
      <c r="M334" s="550"/>
      <c r="N334" s="549"/>
      <c r="V334" s="674"/>
      <c r="W334" s="675"/>
      <c r="AC334" s="675"/>
      <c r="AD334" s="675"/>
      <c r="AE334" s="537" t="s">
        <v>403</v>
      </c>
      <c r="AF334" s="675"/>
      <c r="AG334" s="680"/>
    </row>
    <row r="335" spans="1:33" s="536" customFormat="1" ht="12" x14ac:dyDescent="0.2">
      <c r="A335" s="548"/>
      <c r="B335" s="552"/>
      <c r="C335" s="1822" t="s">
        <v>204</v>
      </c>
      <c r="D335" s="1822"/>
      <c r="E335" s="1822"/>
      <c r="F335" s="1822"/>
      <c r="G335" s="1822"/>
      <c r="H335" s="1822"/>
      <c r="I335" s="1822"/>
      <c r="J335" s="1822"/>
      <c r="K335" s="1822"/>
      <c r="L335" s="551"/>
      <c r="M335" s="550"/>
      <c r="N335" s="549"/>
      <c r="V335" s="674"/>
      <c r="W335" s="675"/>
      <c r="AC335" s="675"/>
      <c r="AD335" s="675"/>
      <c r="AE335" s="537" t="s">
        <v>204</v>
      </c>
      <c r="AF335" s="675"/>
      <c r="AG335" s="680"/>
    </row>
    <row r="336" spans="1:33" s="536" customFormat="1" ht="12" x14ac:dyDescent="0.2">
      <c r="A336" s="548"/>
      <c r="B336" s="552"/>
      <c r="C336" s="1822" t="s">
        <v>480</v>
      </c>
      <c r="D336" s="1822"/>
      <c r="E336" s="1822"/>
      <c r="F336" s="1822"/>
      <c r="G336" s="1822"/>
      <c r="H336" s="1822"/>
      <c r="I336" s="1822"/>
      <c r="J336" s="1822"/>
      <c r="K336" s="1822"/>
      <c r="L336" s="551">
        <v>222.01</v>
      </c>
      <c r="M336" s="550"/>
      <c r="N336" s="549"/>
      <c r="V336" s="674"/>
      <c r="W336" s="675"/>
      <c r="AC336" s="675"/>
      <c r="AD336" s="675"/>
      <c r="AE336" s="537" t="s">
        <v>480</v>
      </c>
      <c r="AF336" s="675"/>
      <c r="AG336" s="680"/>
    </row>
    <row r="337" spans="1:36" s="536" customFormat="1" ht="12" x14ac:dyDescent="0.2">
      <c r="A337" s="548"/>
      <c r="B337" s="552"/>
      <c r="C337" s="1822" t="s">
        <v>407</v>
      </c>
      <c r="D337" s="1822"/>
      <c r="E337" s="1822"/>
      <c r="F337" s="1822"/>
      <c r="G337" s="1822"/>
      <c r="H337" s="1822"/>
      <c r="I337" s="1822"/>
      <c r="J337" s="1822"/>
      <c r="K337" s="1822"/>
      <c r="L337" s="551">
        <v>222.01</v>
      </c>
      <c r="M337" s="550"/>
      <c r="N337" s="549"/>
      <c r="V337" s="674"/>
      <c r="W337" s="675"/>
      <c r="AC337" s="675"/>
      <c r="AD337" s="675"/>
      <c r="AE337" s="537" t="s">
        <v>407</v>
      </c>
      <c r="AF337" s="675"/>
      <c r="AG337" s="680"/>
    </row>
    <row r="338" spans="1:36" s="536" customFormat="1" ht="12" x14ac:dyDescent="0.2">
      <c r="A338" s="548"/>
      <c r="B338" s="552"/>
      <c r="C338" s="1822" t="s">
        <v>204</v>
      </c>
      <c r="D338" s="1822"/>
      <c r="E338" s="1822"/>
      <c r="F338" s="1822"/>
      <c r="G338" s="1822"/>
      <c r="H338" s="1822"/>
      <c r="I338" s="1822"/>
      <c r="J338" s="1822"/>
      <c r="K338" s="1822"/>
      <c r="L338" s="551"/>
      <c r="M338" s="550"/>
      <c r="N338" s="549"/>
      <c r="V338" s="674"/>
      <c r="W338" s="675"/>
      <c r="AC338" s="675"/>
      <c r="AD338" s="675"/>
      <c r="AE338" s="537" t="s">
        <v>204</v>
      </c>
      <c r="AF338" s="675"/>
      <c r="AG338" s="680"/>
    </row>
    <row r="339" spans="1:36" s="536" customFormat="1" ht="12" x14ac:dyDescent="0.2">
      <c r="A339" s="548"/>
      <c r="B339" s="552"/>
      <c r="C339" s="1822" t="s">
        <v>547</v>
      </c>
      <c r="D339" s="1822"/>
      <c r="E339" s="1822"/>
      <c r="F339" s="1822"/>
      <c r="G339" s="1822"/>
      <c r="H339" s="1822"/>
      <c r="I339" s="1822"/>
      <c r="J339" s="1822"/>
      <c r="K339" s="1822"/>
      <c r="L339" s="551">
        <v>222.01</v>
      </c>
      <c r="M339" s="550"/>
      <c r="N339" s="549"/>
      <c r="V339" s="674"/>
      <c r="W339" s="675"/>
      <c r="AC339" s="675"/>
      <c r="AD339" s="675"/>
      <c r="AE339" s="537" t="s">
        <v>547</v>
      </c>
      <c r="AF339" s="675"/>
      <c r="AG339" s="680"/>
    </row>
    <row r="340" spans="1:36" s="536" customFormat="1" ht="22.5" x14ac:dyDescent="0.2">
      <c r="A340" s="548"/>
      <c r="B340" s="546"/>
      <c r="C340" s="1819" t="s">
        <v>1621</v>
      </c>
      <c r="D340" s="1819"/>
      <c r="E340" s="1819"/>
      <c r="F340" s="1819"/>
      <c r="G340" s="1819"/>
      <c r="H340" s="1819"/>
      <c r="I340" s="1819"/>
      <c r="J340" s="1819"/>
      <c r="K340" s="1819"/>
      <c r="L340" s="544">
        <v>222.01</v>
      </c>
      <c r="M340" s="543"/>
      <c r="N340" s="681"/>
      <c r="V340" s="674"/>
      <c r="W340" s="675"/>
      <c r="AC340" s="675"/>
      <c r="AD340" s="675"/>
      <c r="AF340" s="675" t="s">
        <v>1621</v>
      </c>
      <c r="AG340" s="680"/>
    </row>
    <row r="341" spans="1:36" s="536" customFormat="1" ht="2.25" customHeight="1" x14ac:dyDescent="0.2">
      <c r="B341" s="561"/>
      <c r="C341" s="561"/>
      <c r="D341" s="561"/>
      <c r="E341" s="561"/>
      <c r="F341" s="561"/>
      <c r="G341" s="561"/>
      <c r="H341" s="561"/>
      <c r="I341" s="561"/>
      <c r="J341" s="561"/>
      <c r="K341" s="561"/>
      <c r="L341" s="560"/>
      <c r="M341" s="559"/>
      <c r="N341" s="558"/>
    </row>
    <row r="342" spans="1:36" s="536" customFormat="1" x14ac:dyDescent="0.2">
      <c r="A342" s="557"/>
      <c r="B342" s="556"/>
      <c r="C342" s="1823" t="s">
        <v>205</v>
      </c>
      <c r="D342" s="1823"/>
      <c r="E342" s="1823"/>
      <c r="F342" s="1823"/>
      <c r="G342" s="1823"/>
      <c r="H342" s="1823"/>
      <c r="I342" s="1823"/>
      <c r="J342" s="1823"/>
      <c r="K342" s="1823"/>
      <c r="L342" s="555"/>
      <c r="M342" s="554"/>
      <c r="N342" s="553"/>
      <c r="AI342" s="675" t="s">
        <v>205</v>
      </c>
    </row>
    <row r="343" spans="1:36" s="536" customFormat="1" x14ac:dyDescent="0.2">
      <c r="A343" s="548"/>
      <c r="B343" s="552"/>
      <c r="C343" s="1822" t="s">
        <v>403</v>
      </c>
      <c r="D343" s="1822"/>
      <c r="E343" s="1822"/>
      <c r="F343" s="1822"/>
      <c r="G343" s="1822"/>
      <c r="H343" s="1822"/>
      <c r="I343" s="1822"/>
      <c r="J343" s="1822"/>
      <c r="K343" s="1822"/>
      <c r="L343" s="551">
        <v>38610.269999999997</v>
      </c>
      <c r="M343" s="550"/>
      <c r="N343" s="549"/>
      <c r="AI343" s="675"/>
      <c r="AJ343" s="537" t="s">
        <v>403</v>
      </c>
    </row>
    <row r="344" spans="1:36" s="536" customFormat="1" x14ac:dyDescent="0.2">
      <c r="A344" s="548"/>
      <c r="B344" s="552"/>
      <c r="C344" s="1822" t="s">
        <v>204</v>
      </c>
      <c r="D344" s="1822"/>
      <c r="E344" s="1822"/>
      <c r="F344" s="1822"/>
      <c r="G344" s="1822"/>
      <c r="H344" s="1822"/>
      <c r="I344" s="1822"/>
      <c r="J344" s="1822"/>
      <c r="K344" s="1822"/>
      <c r="L344" s="551"/>
      <c r="M344" s="550"/>
      <c r="N344" s="549"/>
      <c r="AI344" s="675"/>
      <c r="AJ344" s="537" t="s">
        <v>204</v>
      </c>
    </row>
    <row r="345" spans="1:36" s="536" customFormat="1" x14ac:dyDescent="0.2">
      <c r="A345" s="548"/>
      <c r="B345" s="552"/>
      <c r="C345" s="1822" t="s">
        <v>404</v>
      </c>
      <c r="D345" s="1822"/>
      <c r="E345" s="1822"/>
      <c r="F345" s="1822"/>
      <c r="G345" s="1822"/>
      <c r="H345" s="1822"/>
      <c r="I345" s="1822"/>
      <c r="J345" s="1822"/>
      <c r="K345" s="1822"/>
      <c r="L345" s="551">
        <v>756.1</v>
      </c>
      <c r="M345" s="550"/>
      <c r="N345" s="549"/>
      <c r="AI345" s="675"/>
      <c r="AJ345" s="537" t="s">
        <v>404</v>
      </c>
    </row>
    <row r="346" spans="1:36" s="536" customFormat="1" x14ac:dyDescent="0.2">
      <c r="A346" s="548"/>
      <c r="B346" s="552"/>
      <c r="C346" s="1822" t="s">
        <v>405</v>
      </c>
      <c r="D346" s="1822"/>
      <c r="E346" s="1822"/>
      <c r="F346" s="1822"/>
      <c r="G346" s="1822"/>
      <c r="H346" s="1822"/>
      <c r="I346" s="1822"/>
      <c r="J346" s="1822"/>
      <c r="K346" s="1822"/>
      <c r="L346" s="551">
        <v>1879.49</v>
      </c>
      <c r="M346" s="550"/>
      <c r="N346" s="549"/>
      <c r="AI346" s="675"/>
      <c r="AJ346" s="537" t="s">
        <v>405</v>
      </c>
    </row>
    <row r="347" spans="1:36" s="536" customFormat="1" x14ac:dyDescent="0.2">
      <c r="A347" s="548"/>
      <c r="B347" s="552"/>
      <c r="C347" s="1822" t="s">
        <v>406</v>
      </c>
      <c r="D347" s="1822"/>
      <c r="E347" s="1822"/>
      <c r="F347" s="1822"/>
      <c r="G347" s="1822"/>
      <c r="H347" s="1822"/>
      <c r="I347" s="1822"/>
      <c r="J347" s="1822"/>
      <c r="K347" s="1822"/>
      <c r="L347" s="551">
        <v>193.54</v>
      </c>
      <c r="M347" s="550"/>
      <c r="N347" s="549"/>
      <c r="AI347" s="675"/>
      <c r="AJ347" s="537" t="s">
        <v>406</v>
      </c>
    </row>
    <row r="348" spans="1:36" s="536" customFormat="1" x14ac:dyDescent="0.2">
      <c r="A348" s="548"/>
      <c r="B348" s="552"/>
      <c r="C348" s="1822" t="s">
        <v>480</v>
      </c>
      <c r="D348" s="1822"/>
      <c r="E348" s="1822"/>
      <c r="F348" s="1822"/>
      <c r="G348" s="1822"/>
      <c r="H348" s="1822"/>
      <c r="I348" s="1822"/>
      <c r="J348" s="1822"/>
      <c r="K348" s="1822"/>
      <c r="L348" s="551">
        <v>35974.68</v>
      </c>
      <c r="M348" s="550"/>
      <c r="N348" s="549"/>
      <c r="AI348" s="675"/>
      <c r="AJ348" s="537" t="s">
        <v>480</v>
      </c>
    </row>
    <row r="349" spans="1:36" s="536" customFormat="1" x14ac:dyDescent="0.2">
      <c r="A349" s="548"/>
      <c r="B349" s="552"/>
      <c r="C349" s="1822" t="s">
        <v>407</v>
      </c>
      <c r="D349" s="1822"/>
      <c r="E349" s="1822"/>
      <c r="F349" s="1822"/>
      <c r="G349" s="1822"/>
      <c r="H349" s="1822"/>
      <c r="I349" s="1822"/>
      <c r="J349" s="1822"/>
      <c r="K349" s="1822"/>
      <c r="L349" s="551">
        <v>40118.080000000002</v>
      </c>
      <c r="M349" s="550"/>
      <c r="N349" s="549">
        <v>333783</v>
      </c>
      <c r="AI349" s="675"/>
      <c r="AJ349" s="537" t="s">
        <v>407</v>
      </c>
    </row>
    <row r="350" spans="1:36" s="536" customFormat="1" x14ac:dyDescent="0.2">
      <c r="A350" s="548"/>
      <c r="B350" s="552" t="s">
        <v>185</v>
      </c>
      <c r="C350" s="1822" t="s">
        <v>408</v>
      </c>
      <c r="D350" s="1822"/>
      <c r="E350" s="1822"/>
      <c r="F350" s="1822"/>
      <c r="G350" s="1822"/>
      <c r="H350" s="1822"/>
      <c r="I350" s="1822"/>
      <c r="J350" s="1822"/>
      <c r="K350" s="1822"/>
      <c r="L350" s="551">
        <v>39905.51</v>
      </c>
      <c r="M350" s="550">
        <v>8.32</v>
      </c>
      <c r="N350" s="549">
        <v>332014</v>
      </c>
      <c r="AI350" s="675"/>
      <c r="AJ350" s="537" t="s">
        <v>408</v>
      </c>
    </row>
    <row r="351" spans="1:36" s="536" customFormat="1" x14ac:dyDescent="0.2">
      <c r="A351" s="548"/>
      <c r="B351" s="552"/>
      <c r="C351" s="1822" t="s">
        <v>409</v>
      </c>
      <c r="D351" s="1822"/>
      <c r="E351" s="1822"/>
      <c r="F351" s="1822"/>
      <c r="G351" s="1822"/>
      <c r="H351" s="1822"/>
      <c r="I351" s="1822"/>
      <c r="J351" s="1822"/>
      <c r="K351" s="1822"/>
      <c r="L351" s="551"/>
      <c r="M351" s="550"/>
      <c r="N351" s="549"/>
      <c r="AI351" s="675"/>
      <c r="AJ351" s="537" t="s">
        <v>409</v>
      </c>
    </row>
    <row r="352" spans="1:36" s="536" customFormat="1" x14ac:dyDescent="0.2">
      <c r="A352" s="548"/>
      <c r="B352" s="552"/>
      <c r="C352" s="1822" t="s">
        <v>410</v>
      </c>
      <c r="D352" s="1822"/>
      <c r="E352" s="1822"/>
      <c r="F352" s="1822"/>
      <c r="G352" s="1822"/>
      <c r="H352" s="1822"/>
      <c r="I352" s="1822"/>
      <c r="J352" s="1822"/>
      <c r="K352" s="1822"/>
      <c r="L352" s="551">
        <v>756.1</v>
      </c>
      <c r="M352" s="550"/>
      <c r="N352" s="549"/>
      <c r="AI352" s="675"/>
      <c r="AJ352" s="537" t="s">
        <v>410</v>
      </c>
    </row>
    <row r="353" spans="1:37" x14ac:dyDescent="0.2">
      <c r="A353" s="548"/>
      <c r="B353" s="552"/>
      <c r="C353" s="1822" t="s">
        <v>411</v>
      </c>
      <c r="D353" s="1822"/>
      <c r="E353" s="1822"/>
      <c r="F353" s="1822"/>
      <c r="G353" s="1822"/>
      <c r="H353" s="1822"/>
      <c r="I353" s="1822"/>
      <c r="J353" s="1822"/>
      <c r="K353" s="1822"/>
      <c r="L353" s="551">
        <v>1666.92</v>
      </c>
      <c r="M353" s="550"/>
      <c r="N353" s="549"/>
      <c r="P353" s="536"/>
      <c r="Q353" s="536"/>
      <c r="R353" s="536"/>
      <c r="S353" s="536"/>
      <c r="T353" s="536"/>
      <c r="U353" s="536"/>
      <c r="V353" s="536"/>
      <c r="W353" s="536"/>
      <c r="X353" s="536"/>
      <c r="Y353" s="536"/>
      <c r="Z353" s="536"/>
      <c r="AA353" s="536"/>
      <c r="AB353" s="536"/>
      <c r="AC353" s="536"/>
      <c r="AD353" s="536"/>
      <c r="AE353" s="536"/>
      <c r="AF353" s="536"/>
      <c r="AG353" s="536"/>
      <c r="AH353" s="536"/>
      <c r="AI353" s="675"/>
      <c r="AJ353" s="537" t="s">
        <v>411</v>
      </c>
      <c r="AK353" s="536"/>
    </row>
    <row r="354" spans="1:37" x14ac:dyDescent="0.2">
      <c r="A354" s="548"/>
      <c r="B354" s="552"/>
      <c r="C354" s="1822" t="s">
        <v>481</v>
      </c>
      <c r="D354" s="1822"/>
      <c r="E354" s="1822"/>
      <c r="F354" s="1822"/>
      <c r="G354" s="1822"/>
      <c r="H354" s="1822"/>
      <c r="I354" s="1822"/>
      <c r="J354" s="1822"/>
      <c r="K354" s="1822"/>
      <c r="L354" s="551">
        <v>35974.68</v>
      </c>
      <c r="M354" s="550"/>
      <c r="N354" s="549"/>
      <c r="P354" s="536"/>
      <c r="Q354" s="536"/>
      <c r="R354" s="536"/>
      <c r="S354" s="536"/>
      <c r="T354" s="536"/>
      <c r="U354" s="536"/>
      <c r="V354" s="536"/>
      <c r="W354" s="536"/>
      <c r="X354" s="536"/>
      <c r="Y354" s="536"/>
      <c r="Z354" s="536"/>
      <c r="AA354" s="536"/>
      <c r="AB354" s="536"/>
      <c r="AC354" s="536"/>
      <c r="AD354" s="536"/>
      <c r="AE354" s="536"/>
      <c r="AF354" s="536"/>
      <c r="AG354" s="536"/>
      <c r="AH354" s="536"/>
      <c r="AI354" s="675"/>
      <c r="AJ354" s="537" t="s">
        <v>481</v>
      </c>
      <c r="AK354" s="536"/>
    </row>
    <row r="355" spans="1:37" x14ac:dyDescent="0.2">
      <c r="A355" s="548"/>
      <c r="B355" s="552"/>
      <c r="C355" s="1822" t="s">
        <v>412</v>
      </c>
      <c r="D355" s="1822"/>
      <c r="E355" s="1822"/>
      <c r="F355" s="1822"/>
      <c r="G355" s="1822"/>
      <c r="H355" s="1822"/>
      <c r="I355" s="1822"/>
      <c r="J355" s="1822"/>
      <c r="K355" s="1822"/>
      <c r="L355" s="551">
        <v>936.95</v>
      </c>
      <c r="M355" s="550"/>
      <c r="N355" s="549"/>
      <c r="P355" s="536"/>
      <c r="Q355" s="536"/>
      <c r="R355" s="536"/>
      <c r="S355" s="536"/>
      <c r="T355" s="536"/>
      <c r="U355" s="536"/>
      <c r="V355" s="536"/>
      <c r="W355" s="536"/>
      <c r="X355" s="536"/>
      <c r="Y355" s="536"/>
      <c r="Z355" s="536"/>
      <c r="AA355" s="536"/>
      <c r="AB355" s="536"/>
      <c r="AC355" s="536"/>
      <c r="AD355" s="536"/>
      <c r="AE355" s="536"/>
      <c r="AF355" s="536"/>
      <c r="AG355" s="536"/>
      <c r="AH355" s="536"/>
      <c r="AI355" s="675"/>
      <c r="AJ355" s="537" t="s">
        <v>412</v>
      </c>
      <c r="AK355" s="536"/>
    </row>
    <row r="356" spans="1:37" x14ac:dyDescent="0.2">
      <c r="A356" s="548"/>
      <c r="B356" s="552"/>
      <c r="C356" s="1822" t="s">
        <v>413</v>
      </c>
      <c r="D356" s="1822"/>
      <c r="E356" s="1822"/>
      <c r="F356" s="1822"/>
      <c r="G356" s="1822"/>
      <c r="H356" s="1822"/>
      <c r="I356" s="1822"/>
      <c r="J356" s="1822"/>
      <c r="K356" s="1822"/>
      <c r="L356" s="551">
        <v>570.86</v>
      </c>
      <c r="M356" s="550"/>
      <c r="N356" s="549"/>
      <c r="P356" s="536"/>
      <c r="Q356" s="536"/>
      <c r="R356" s="536"/>
      <c r="S356" s="536"/>
      <c r="T356" s="536"/>
      <c r="U356" s="536"/>
      <c r="V356" s="536"/>
      <c r="W356" s="536"/>
      <c r="X356" s="536"/>
      <c r="Y356" s="536"/>
      <c r="Z356" s="536"/>
      <c r="AA356" s="536"/>
      <c r="AB356" s="536"/>
      <c r="AC356" s="536"/>
      <c r="AD356" s="536"/>
      <c r="AE356" s="536"/>
      <c r="AF356" s="536"/>
      <c r="AG356" s="536"/>
      <c r="AH356" s="536"/>
      <c r="AI356" s="675"/>
      <c r="AJ356" s="537" t="s">
        <v>413</v>
      </c>
      <c r="AK356" s="536"/>
    </row>
    <row r="357" spans="1:37" x14ac:dyDescent="0.2">
      <c r="A357" s="548"/>
      <c r="B357" s="552" t="s">
        <v>185</v>
      </c>
      <c r="C357" s="1822" t="s">
        <v>414</v>
      </c>
      <c r="D357" s="1822"/>
      <c r="E357" s="1822"/>
      <c r="F357" s="1822"/>
      <c r="G357" s="1822"/>
      <c r="H357" s="1822"/>
      <c r="I357" s="1822"/>
      <c r="J357" s="1822"/>
      <c r="K357" s="1822"/>
      <c r="L357" s="551">
        <v>212.57</v>
      </c>
      <c r="M357" s="550">
        <v>8.32</v>
      </c>
      <c r="N357" s="549">
        <v>1769</v>
      </c>
      <c r="P357" s="536"/>
      <c r="Q357" s="536"/>
      <c r="R357" s="536"/>
      <c r="S357" s="536"/>
      <c r="T357" s="536"/>
      <c r="U357" s="536"/>
      <c r="V357" s="536"/>
      <c r="W357" s="536"/>
      <c r="X357" s="536"/>
      <c r="Y357" s="536"/>
      <c r="Z357" s="536"/>
      <c r="AA357" s="536"/>
      <c r="AB357" s="536"/>
      <c r="AC357" s="536"/>
      <c r="AD357" s="536"/>
      <c r="AE357" s="536"/>
      <c r="AF357" s="536"/>
      <c r="AG357" s="536"/>
      <c r="AH357" s="536"/>
      <c r="AI357" s="675"/>
      <c r="AJ357" s="537" t="s">
        <v>414</v>
      </c>
      <c r="AK357" s="536"/>
    </row>
    <row r="358" spans="1:37" x14ac:dyDescent="0.2">
      <c r="A358" s="548"/>
      <c r="B358" s="552"/>
      <c r="C358" s="1822" t="s">
        <v>415</v>
      </c>
      <c r="D358" s="1822"/>
      <c r="E358" s="1822"/>
      <c r="F358" s="1822"/>
      <c r="G358" s="1822"/>
      <c r="H358" s="1822"/>
      <c r="I358" s="1822"/>
      <c r="J358" s="1822"/>
      <c r="K358" s="1822"/>
      <c r="L358" s="551">
        <v>949.64</v>
      </c>
      <c r="M358" s="550"/>
      <c r="N358" s="549"/>
      <c r="P358" s="536"/>
      <c r="Q358" s="536"/>
      <c r="R358" s="536"/>
      <c r="S358" s="536"/>
      <c r="T358" s="536"/>
      <c r="U358" s="536"/>
      <c r="V358" s="536"/>
      <c r="W358" s="536"/>
      <c r="X358" s="536"/>
      <c r="Y358" s="536"/>
      <c r="Z358" s="536"/>
      <c r="AA358" s="536"/>
      <c r="AB358" s="536"/>
      <c r="AC358" s="536"/>
      <c r="AD358" s="536"/>
      <c r="AE358" s="536"/>
      <c r="AF358" s="536"/>
      <c r="AG358" s="536"/>
      <c r="AH358" s="536"/>
      <c r="AI358" s="675"/>
      <c r="AJ358" s="537" t="s">
        <v>415</v>
      </c>
      <c r="AK358" s="536"/>
    </row>
    <row r="359" spans="1:37" x14ac:dyDescent="0.2">
      <c r="A359" s="548"/>
      <c r="B359" s="552"/>
      <c r="C359" s="1822" t="s">
        <v>416</v>
      </c>
      <c r="D359" s="1822"/>
      <c r="E359" s="1822"/>
      <c r="F359" s="1822"/>
      <c r="G359" s="1822"/>
      <c r="H359" s="1822"/>
      <c r="I359" s="1822"/>
      <c r="J359" s="1822"/>
      <c r="K359" s="1822"/>
      <c r="L359" s="551">
        <v>936.95</v>
      </c>
      <c r="M359" s="550"/>
      <c r="N359" s="549"/>
      <c r="P359" s="536"/>
      <c r="Q359" s="536"/>
      <c r="R359" s="536"/>
      <c r="S359" s="536"/>
      <c r="T359" s="536"/>
      <c r="U359" s="536"/>
      <c r="V359" s="536"/>
      <c r="W359" s="536"/>
      <c r="X359" s="536"/>
      <c r="Y359" s="536"/>
      <c r="Z359" s="536"/>
      <c r="AA359" s="536"/>
      <c r="AB359" s="536"/>
      <c r="AC359" s="536"/>
      <c r="AD359" s="536"/>
      <c r="AE359" s="536"/>
      <c r="AF359" s="536"/>
      <c r="AG359" s="536"/>
      <c r="AH359" s="536"/>
      <c r="AI359" s="675"/>
      <c r="AJ359" s="537" t="s">
        <v>416</v>
      </c>
      <c r="AK359" s="536"/>
    </row>
    <row r="360" spans="1:37" x14ac:dyDescent="0.2">
      <c r="A360" s="548"/>
      <c r="B360" s="552"/>
      <c r="C360" s="1822" t="s">
        <v>417</v>
      </c>
      <c r="D360" s="1822"/>
      <c r="E360" s="1822"/>
      <c r="F360" s="1822"/>
      <c r="G360" s="1822"/>
      <c r="H360" s="1822"/>
      <c r="I360" s="1822"/>
      <c r="J360" s="1822"/>
      <c r="K360" s="1822"/>
      <c r="L360" s="551">
        <v>570.86</v>
      </c>
      <c r="M360" s="550"/>
      <c r="N360" s="549"/>
      <c r="P360" s="536"/>
      <c r="Q360" s="536"/>
      <c r="R360" s="536"/>
      <c r="S360" s="536"/>
      <c r="T360" s="536"/>
      <c r="U360" s="536"/>
      <c r="V360" s="536"/>
      <c r="W360" s="536"/>
      <c r="X360" s="536"/>
      <c r="Y360" s="536"/>
      <c r="Z360" s="536"/>
      <c r="AA360" s="536"/>
      <c r="AB360" s="536"/>
      <c r="AC360" s="536"/>
      <c r="AD360" s="536"/>
      <c r="AE360" s="536"/>
      <c r="AF360" s="536"/>
      <c r="AG360" s="536"/>
      <c r="AH360" s="536"/>
      <c r="AI360" s="675"/>
      <c r="AJ360" s="537" t="s">
        <v>417</v>
      </c>
      <c r="AK360" s="536"/>
    </row>
    <row r="361" spans="1:37" x14ac:dyDescent="0.2">
      <c r="A361" s="548"/>
      <c r="B361" s="546"/>
      <c r="C361" s="1819" t="s">
        <v>206</v>
      </c>
      <c r="D361" s="1819"/>
      <c r="E361" s="1819"/>
      <c r="F361" s="1819"/>
      <c r="G361" s="1819"/>
      <c r="H361" s="1819"/>
      <c r="I361" s="1819"/>
      <c r="J361" s="1819"/>
      <c r="K361" s="1819"/>
      <c r="L361" s="544">
        <v>40118.080000000002</v>
      </c>
      <c r="M361" s="543"/>
      <c r="N361" s="547">
        <v>333783</v>
      </c>
      <c r="P361" s="536"/>
      <c r="Q361" s="536"/>
      <c r="R361" s="536"/>
      <c r="S361" s="536"/>
      <c r="T361" s="536"/>
      <c r="U361" s="536"/>
      <c r="V361" s="536"/>
      <c r="W361" s="536"/>
      <c r="X361" s="536"/>
      <c r="Y361" s="536"/>
      <c r="Z361" s="536"/>
      <c r="AA361" s="536"/>
      <c r="AB361" s="536"/>
      <c r="AC361" s="536"/>
      <c r="AD361" s="536"/>
      <c r="AE361" s="536"/>
      <c r="AF361" s="536"/>
      <c r="AG361" s="536"/>
      <c r="AH361" s="536"/>
      <c r="AI361" s="675"/>
      <c r="AJ361" s="536"/>
      <c r="AK361" s="675" t="s">
        <v>206</v>
      </c>
    </row>
    <row r="362" spans="1:37" ht="1.5" customHeight="1" x14ac:dyDescent="0.2">
      <c r="B362" s="546"/>
      <c r="C362" s="671"/>
      <c r="D362" s="671"/>
      <c r="E362" s="671"/>
      <c r="F362" s="671"/>
      <c r="G362" s="671"/>
      <c r="H362" s="671"/>
      <c r="I362" s="671"/>
      <c r="J362" s="671"/>
      <c r="K362" s="671"/>
      <c r="L362" s="544"/>
      <c r="M362" s="543"/>
      <c r="N362" s="542"/>
      <c r="P362" s="536"/>
      <c r="Q362" s="536"/>
      <c r="R362" s="536"/>
      <c r="S362" s="536"/>
      <c r="T362" s="536"/>
      <c r="U362" s="536"/>
      <c r="V362" s="536"/>
      <c r="W362" s="536"/>
      <c r="X362" s="536"/>
      <c r="Y362" s="536"/>
      <c r="Z362" s="536"/>
      <c r="AA362" s="536"/>
      <c r="AB362" s="536"/>
      <c r="AC362" s="536"/>
      <c r="AD362" s="536"/>
      <c r="AE362" s="536"/>
      <c r="AF362" s="536"/>
      <c r="AG362" s="536"/>
      <c r="AH362" s="536"/>
      <c r="AI362" s="536"/>
      <c r="AJ362" s="536"/>
      <c r="AK362" s="536"/>
    </row>
    <row r="363" spans="1:37" ht="53.25" customHeight="1" x14ac:dyDescent="0.2">
      <c r="A363" s="541"/>
      <c r="B363" s="541"/>
      <c r="C363" s="541"/>
      <c r="D363" s="541"/>
      <c r="E363" s="541"/>
      <c r="F363" s="541"/>
      <c r="G363" s="541"/>
      <c r="H363" s="541"/>
      <c r="I363" s="541"/>
      <c r="J363" s="541"/>
      <c r="K363" s="541"/>
      <c r="L363" s="541"/>
      <c r="M363" s="541"/>
      <c r="N363" s="541"/>
      <c r="P363" s="536"/>
      <c r="Q363" s="536"/>
      <c r="R363" s="536"/>
      <c r="S363" s="536"/>
      <c r="T363" s="536"/>
      <c r="U363" s="536"/>
      <c r="V363" s="536"/>
      <c r="W363" s="536"/>
      <c r="X363" s="536"/>
      <c r="Y363" s="536"/>
      <c r="Z363" s="536"/>
      <c r="AA363" s="536"/>
      <c r="AB363" s="536"/>
      <c r="AC363" s="536"/>
      <c r="AD363" s="536"/>
      <c r="AE363" s="536"/>
      <c r="AF363" s="536"/>
      <c r="AG363" s="536"/>
      <c r="AH363" s="536"/>
      <c r="AI363" s="536"/>
      <c r="AJ363" s="536"/>
      <c r="AK363" s="536"/>
    </row>
    <row r="364" spans="1:37" x14ac:dyDescent="0.2">
      <c r="B364" s="539" t="s">
        <v>149</v>
      </c>
      <c r="C364" s="1820" t="s">
        <v>296</v>
      </c>
      <c r="D364" s="1820"/>
      <c r="E364" s="1820"/>
      <c r="F364" s="1820"/>
      <c r="G364" s="1820"/>
      <c r="H364" s="1820"/>
      <c r="I364" s="1820"/>
      <c r="J364" s="1820"/>
      <c r="K364" s="1820"/>
      <c r="L364" s="1820"/>
    </row>
    <row r="365" spans="1:37" ht="13.5" customHeight="1" x14ac:dyDescent="0.2">
      <c r="B365" s="540"/>
      <c r="C365" s="1821" t="s">
        <v>150</v>
      </c>
      <c r="D365" s="1821"/>
      <c r="E365" s="1821"/>
      <c r="F365" s="1821"/>
      <c r="G365" s="1821"/>
      <c r="H365" s="1821"/>
      <c r="I365" s="1821"/>
      <c r="J365" s="1821"/>
      <c r="K365" s="1821"/>
      <c r="L365" s="1821"/>
    </row>
    <row r="366" spans="1:37" ht="12.75" customHeight="1" x14ac:dyDescent="0.2">
      <c r="B366" s="539" t="s">
        <v>151</v>
      </c>
      <c r="C366" s="1820" t="s">
        <v>297</v>
      </c>
      <c r="D366" s="1820"/>
      <c r="E366" s="1820"/>
      <c r="F366" s="1820"/>
      <c r="G366" s="1820"/>
      <c r="H366" s="1820"/>
      <c r="I366" s="1820"/>
      <c r="J366" s="1820"/>
      <c r="K366" s="1820"/>
      <c r="L366" s="1820"/>
    </row>
    <row r="367" spans="1:37" ht="13.5" customHeight="1" x14ac:dyDescent="0.2">
      <c r="C367" s="1821" t="s">
        <v>150</v>
      </c>
      <c r="D367" s="1821"/>
      <c r="E367" s="1821"/>
      <c r="F367" s="1821"/>
      <c r="G367" s="1821"/>
      <c r="H367" s="1821"/>
      <c r="I367" s="1821"/>
      <c r="J367" s="1821"/>
      <c r="K367" s="1821"/>
      <c r="L367" s="1821"/>
    </row>
    <row r="369" spans="2:6" s="536" customFormat="1" x14ac:dyDescent="0.2">
      <c r="B369" s="538"/>
      <c r="D369" s="538"/>
      <c r="F369" s="538"/>
    </row>
  </sheetData>
  <mergeCells count="334">
    <mergeCell ref="C360:K360"/>
    <mergeCell ref="C361:K361"/>
    <mergeCell ref="C364:L364"/>
    <mergeCell ref="C365:L365"/>
    <mergeCell ref="C366:L366"/>
    <mergeCell ref="C367:L367"/>
    <mergeCell ref="C354:K354"/>
    <mergeCell ref="C355:K355"/>
    <mergeCell ref="C356:K356"/>
    <mergeCell ref="C357:K357"/>
    <mergeCell ref="C358:K358"/>
    <mergeCell ref="C359:K359"/>
    <mergeCell ref="C348:K348"/>
    <mergeCell ref="C349:K349"/>
    <mergeCell ref="C350:K350"/>
    <mergeCell ref="C351:K351"/>
    <mergeCell ref="C352:K352"/>
    <mergeCell ref="C353:K353"/>
    <mergeCell ref="C342:K342"/>
    <mergeCell ref="C343:K343"/>
    <mergeCell ref="C344:K344"/>
    <mergeCell ref="C345:K345"/>
    <mergeCell ref="C346:K346"/>
    <mergeCell ref="C347:K347"/>
    <mergeCell ref="C335:K335"/>
    <mergeCell ref="C336:K336"/>
    <mergeCell ref="C337:K337"/>
    <mergeCell ref="C338:K338"/>
    <mergeCell ref="C339:K339"/>
    <mergeCell ref="C340:K340"/>
    <mergeCell ref="C325:E325"/>
    <mergeCell ref="C327:N327"/>
    <mergeCell ref="C328:E328"/>
    <mergeCell ref="C330:E330"/>
    <mergeCell ref="C333:K333"/>
    <mergeCell ref="C334:K334"/>
    <mergeCell ref="C319:K319"/>
    <mergeCell ref="C320:K320"/>
    <mergeCell ref="C321:K321"/>
    <mergeCell ref="C322:K322"/>
    <mergeCell ref="C323:K323"/>
    <mergeCell ref="A324:N324"/>
    <mergeCell ref="C313:K313"/>
    <mergeCell ref="C314:K314"/>
    <mergeCell ref="C315:K315"/>
    <mergeCell ref="C316:K316"/>
    <mergeCell ref="C317:K317"/>
    <mergeCell ref="C318:K318"/>
    <mergeCell ref="C307:K307"/>
    <mergeCell ref="C308:K308"/>
    <mergeCell ref="C309:K309"/>
    <mergeCell ref="C310:K310"/>
    <mergeCell ref="C311:K311"/>
    <mergeCell ref="C312:K312"/>
    <mergeCell ref="C299:E299"/>
    <mergeCell ref="C300:E300"/>
    <mergeCell ref="C301:E301"/>
    <mergeCell ref="C302:E302"/>
    <mergeCell ref="C304:N304"/>
    <mergeCell ref="C306:K306"/>
    <mergeCell ref="C293:E293"/>
    <mergeCell ref="C294:E294"/>
    <mergeCell ref="C295:E295"/>
    <mergeCell ref="C296:E296"/>
    <mergeCell ref="C297:E297"/>
    <mergeCell ref="C298:E298"/>
    <mergeCell ref="C287:E287"/>
    <mergeCell ref="C288:E288"/>
    <mergeCell ref="C289:N289"/>
    <mergeCell ref="C290:N290"/>
    <mergeCell ref="C291:E291"/>
    <mergeCell ref="C292:E292"/>
    <mergeCell ref="C281:E281"/>
    <mergeCell ref="C282:E282"/>
    <mergeCell ref="C283:E283"/>
    <mergeCell ref="C284:E284"/>
    <mergeCell ref="C285:E285"/>
    <mergeCell ref="C286:E286"/>
    <mergeCell ref="C275:N275"/>
    <mergeCell ref="C276:N276"/>
    <mergeCell ref="C277:E277"/>
    <mergeCell ref="C278:E278"/>
    <mergeCell ref="C279:E279"/>
    <mergeCell ref="C280:E280"/>
    <mergeCell ref="C268:E268"/>
    <mergeCell ref="C269:E269"/>
    <mergeCell ref="C270:E270"/>
    <mergeCell ref="C271:E271"/>
    <mergeCell ref="C273:N273"/>
    <mergeCell ref="C274:E274"/>
    <mergeCell ref="C262:E262"/>
    <mergeCell ref="C263:E263"/>
    <mergeCell ref="C264:E264"/>
    <mergeCell ref="C265:E265"/>
    <mergeCell ref="C266:E266"/>
    <mergeCell ref="C267:E267"/>
    <mergeCell ref="C256:E256"/>
    <mergeCell ref="C257:N257"/>
    <mergeCell ref="C258:N258"/>
    <mergeCell ref="C259:E259"/>
    <mergeCell ref="C260:E260"/>
    <mergeCell ref="C261:E261"/>
    <mergeCell ref="C248:E248"/>
    <mergeCell ref="C249:E249"/>
    <mergeCell ref="C250:E250"/>
    <mergeCell ref="C252:N252"/>
    <mergeCell ref="C253:E253"/>
    <mergeCell ref="C255:N255"/>
    <mergeCell ref="C242:E242"/>
    <mergeCell ref="C243:E243"/>
    <mergeCell ref="C244:E244"/>
    <mergeCell ref="C245:E245"/>
    <mergeCell ref="C246:E246"/>
    <mergeCell ref="C247:E247"/>
    <mergeCell ref="C236:N236"/>
    <mergeCell ref="C237:N237"/>
    <mergeCell ref="C238:E238"/>
    <mergeCell ref="C239:E239"/>
    <mergeCell ref="C240:E240"/>
    <mergeCell ref="C241:E241"/>
    <mergeCell ref="C229:E229"/>
    <mergeCell ref="C230:E230"/>
    <mergeCell ref="C231:E231"/>
    <mergeCell ref="C232:E232"/>
    <mergeCell ref="C233:E233"/>
    <mergeCell ref="C235:E235"/>
    <mergeCell ref="C223:E223"/>
    <mergeCell ref="C224:E224"/>
    <mergeCell ref="C225:E225"/>
    <mergeCell ref="C226:E226"/>
    <mergeCell ref="C227:E227"/>
    <mergeCell ref="C228:E228"/>
    <mergeCell ref="A217:N217"/>
    <mergeCell ref="C218:E218"/>
    <mergeCell ref="C219:N219"/>
    <mergeCell ref="C220:N220"/>
    <mergeCell ref="C221:E221"/>
    <mergeCell ref="C222:E222"/>
    <mergeCell ref="C211:K211"/>
    <mergeCell ref="C212:K212"/>
    <mergeCell ref="C213:K213"/>
    <mergeCell ref="C214:K214"/>
    <mergeCell ref="C215:K215"/>
    <mergeCell ref="C216:K216"/>
    <mergeCell ref="C205:K205"/>
    <mergeCell ref="C206:K206"/>
    <mergeCell ref="C207:K207"/>
    <mergeCell ref="C208:K208"/>
    <mergeCell ref="C209:K209"/>
    <mergeCell ref="C210:K210"/>
    <mergeCell ref="C199:K199"/>
    <mergeCell ref="C200:K200"/>
    <mergeCell ref="C201:K201"/>
    <mergeCell ref="C202:K202"/>
    <mergeCell ref="C203:K203"/>
    <mergeCell ref="C204:K204"/>
    <mergeCell ref="C191:E191"/>
    <mergeCell ref="C192:E192"/>
    <mergeCell ref="C193:E193"/>
    <mergeCell ref="C194:E194"/>
    <mergeCell ref="C195:E195"/>
    <mergeCell ref="C197:N197"/>
    <mergeCell ref="C185:E185"/>
    <mergeCell ref="C186:E186"/>
    <mergeCell ref="C187:E187"/>
    <mergeCell ref="C188:E188"/>
    <mergeCell ref="C189:E189"/>
    <mergeCell ref="C190:E190"/>
    <mergeCell ref="C179:E179"/>
    <mergeCell ref="C180:E180"/>
    <mergeCell ref="C181:N181"/>
    <mergeCell ref="C182:N182"/>
    <mergeCell ref="C183:E183"/>
    <mergeCell ref="C184:E184"/>
    <mergeCell ref="C173:E173"/>
    <mergeCell ref="C174:E174"/>
    <mergeCell ref="C175:E175"/>
    <mergeCell ref="C176:E176"/>
    <mergeCell ref="C177:E177"/>
    <mergeCell ref="C178:E178"/>
    <mergeCell ref="C167:N167"/>
    <mergeCell ref="C168:E168"/>
    <mergeCell ref="C169:E169"/>
    <mergeCell ref="C170:E170"/>
    <mergeCell ref="C171:E171"/>
    <mergeCell ref="C172:E172"/>
    <mergeCell ref="C160:E160"/>
    <mergeCell ref="C161:E161"/>
    <mergeCell ref="C162:E162"/>
    <mergeCell ref="C163:E163"/>
    <mergeCell ref="C165:E165"/>
    <mergeCell ref="C166:N166"/>
    <mergeCell ref="C154:E154"/>
    <mergeCell ref="C155:E155"/>
    <mergeCell ref="C156:E156"/>
    <mergeCell ref="C157:E157"/>
    <mergeCell ref="C158:E158"/>
    <mergeCell ref="C159:E159"/>
    <mergeCell ref="C148:N148"/>
    <mergeCell ref="C149:E149"/>
    <mergeCell ref="C150:N150"/>
    <mergeCell ref="C151:N151"/>
    <mergeCell ref="C152:E152"/>
    <mergeCell ref="C153:E153"/>
    <mergeCell ref="C139:E139"/>
    <mergeCell ref="C140:E140"/>
    <mergeCell ref="C141:E141"/>
    <mergeCell ref="C143:E143"/>
    <mergeCell ref="C145:N145"/>
    <mergeCell ref="C146:E146"/>
    <mergeCell ref="C133:E133"/>
    <mergeCell ref="C134:E134"/>
    <mergeCell ref="C135:E135"/>
    <mergeCell ref="C136:E136"/>
    <mergeCell ref="C137:E137"/>
    <mergeCell ref="C138:E138"/>
    <mergeCell ref="C127:N127"/>
    <mergeCell ref="C128:E128"/>
    <mergeCell ref="C129:E129"/>
    <mergeCell ref="C130:E130"/>
    <mergeCell ref="C131:E131"/>
    <mergeCell ref="C132:E132"/>
    <mergeCell ref="C120:E120"/>
    <mergeCell ref="C121:E121"/>
    <mergeCell ref="C122:E122"/>
    <mergeCell ref="C123:E123"/>
    <mergeCell ref="C125:E125"/>
    <mergeCell ref="C126:N126"/>
    <mergeCell ref="C114:E114"/>
    <mergeCell ref="C115:E115"/>
    <mergeCell ref="C116:E116"/>
    <mergeCell ref="C117:E117"/>
    <mergeCell ref="C118:E118"/>
    <mergeCell ref="C119:E119"/>
    <mergeCell ref="C108:E108"/>
    <mergeCell ref="C109:N109"/>
    <mergeCell ref="C110:N110"/>
    <mergeCell ref="C111:E111"/>
    <mergeCell ref="C112:E112"/>
    <mergeCell ref="C113:E113"/>
    <mergeCell ref="C102:K102"/>
    <mergeCell ref="C103:K103"/>
    <mergeCell ref="C104:K104"/>
    <mergeCell ref="C105:K105"/>
    <mergeCell ref="C106:K106"/>
    <mergeCell ref="A107:N107"/>
    <mergeCell ref="C96:K96"/>
    <mergeCell ref="C97:K97"/>
    <mergeCell ref="C98:K98"/>
    <mergeCell ref="C99:K99"/>
    <mergeCell ref="C100:K100"/>
    <mergeCell ref="C101:K101"/>
    <mergeCell ref="C90:K90"/>
    <mergeCell ref="C91:K91"/>
    <mergeCell ref="C92:K92"/>
    <mergeCell ref="C93:K93"/>
    <mergeCell ref="C94:K94"/>
    <mergeCell ref="C95:K95"/>
    <mergeCell ref="C83:E83"/>
    <mergeCell ref="C84:E84"/>
    <mergeCell ref="C85:E85"/>
    <mergeCell ref="C86:E86"/>
    <mergeCell ref="C87:N87"/>
    <mergeCell ref="C89:K89"/>
    <mergeCell ref="C77:E77"/>
    <mergeCell ref="C78:E78"/>
    <mergeCell ref="C79:E79"/>
    <mergeCell ref="C80:E80"/>
    <mergeCell ref="C81:E81"/>
    <mergeCell ref="C82:E82"/>
    <mergeCell ref="C71:E71"/>
    <mergeCell ref="C72:E72"/>
    <mergeCell ref="C73:E73"/>
    <mergeCell ref="C74:N74"/>
    <mergeCell ref="C75:N75"/>
    <mergeCell ref="C76:E76"/>
    <mergeCell ref="C65:E65"/>
    <mergeCell ref="C66:E66"/>
    <mergeCell ref="C67:E67"/>
    <mergeCell ref="C68:E68"/>
    <mergeCell ref="C69:E69"/>
    <mergeCell ref="C70:E70"/>
    <mergeCell ref="C59:E59"/>
    <mergeCell ref="C60:E60"/>
    <mergeCell ref="C61:E61"/>
    <mergeCell ref="C62:E62"/>
    <mergeCell ref="C63:N63"/>
    <mergeCell ref="C64:N64"/>
    <mergeCell ref="C53:N53"/>
    <mergeCell ref="C54:E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N52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368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K421"/>
  <sheetViews>
    <sheetView topLeftCell="A383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4" width="110.140625" style="537" hidden="1" customWidth="1"/>
    <col min="25" max="28" width="34.140625" style="537" hidden="1" customWidth="1"/>
    <col min="29" max="29" width="110.140625" style="537" hidden="1" customWidth="1"/>
    <col min="30" max="32" width="84.42578125" style="537" hidden="1" customWidth="1"/>
    <col min="33" max="33" width="138.42578125" style="537" hidden="1" customWidth="1"/>
    <col min="34" max="36" width="84.42578125" style="537" hidden="1" customWidth="1"/>
    <col min="37" max="37" width="138.42578125" style="537" hidden="1" customWidth="1"/>
    <col min="38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159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3562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3562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3563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609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609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1623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653.77</v>
      </c>
      <c r="D28" s="579" t="s">
        <v>3564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15.48</v>
      </c>
      <c r="D30" s="579" t="s">
        <v>3565</v>
      </c>
      <c r="E30" s="665" t="s">
        <v>167</v>
      </c>
      <c r="G30" s="536" t="s">
        <v>170</v>
      </c>
      <c r="L30" s="580">
        <v>0</v>
      </c>
      <c r="M30" s="579" t="s">
        <v>3566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296.26</v>
      </c>
      <c r="D31" s="583" t="s">
        <v>8571</v>
      </c>
      <c r="E31" s="665" t="s">
        <v>167</v>
      </c>
      <c r="G31" s="536" t="s">
        <v>172</v>
      </c>
      <c r="L31" s="582"/>
      <c r="M31" s="582">
        <v>186.03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342.02</v>
      </c>
      <c r="D32" s="583" t="s">
        <v>3567</v>
      </c>
      <c r="E32" s="665" t="s">
        <v>167</v>
      </c>
      <c r="G32" s="536" t="s">
        <v>174</v>
      </c>
      <c r="L32" s="582"/>
      <c r="M32" s="582">
        <v>15.21</v>
      </c>
      <c r="N32" s="581" t="s">
        <v>173</v>
      </c>
    </row>
    <row r="33" spans="1:27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7" s="536" customFormat="1" ht="9.75" customHeight="1" x14ac:dyDescent="0.2">
      <c r="A34" s="578"/>
    </row>
    <row r="35" spans="1:27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7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7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7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7" s="536" customFormat="1" ht="12" x14ac:dyDescent="0.2">
      <c r="A39" s="1824" t="s">
        <v>1625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537" t="s">
        <v>1625</v>
      </c>
    </row>
    <row r="40" spans="1:27" s="536" customFormat="1" ht="33.75" x14ac:dyDescent="0.2">
      <c r="A40" s="575" t="s">
        <v>185</v>
      </c>
      <c r="B40" s="670" t="s">
        <v>1626</v>
      </c>
      <c r="C40" s="1823" t="s">
        <v>1627</v>
      </c>
      <c r="D40" s="1823"/>
      <c r="E40" s="1823"/>
      <c r="F40" s="573" t="s">
        <v>617</v>
      </c>
      <c r="G40" s="573"/>
      <c r="H40" s="573"/>
      <c r="I40" s="573" t="s">
        <v>185</v>
      </c>
      <c r="J40" s="572"/>
      <c r="K40" s="573"/>
      <c r="L40" s="572"/>
      <c r="M40" s="571"/>
      <c r="N40" s="570"/>
      <c r="W40" s="537" t="s">
        <v>1627</v>
      </c>
    </row>
    <row r="41" spans="1:27" s="536" customFormat="1" ht="33.75" x14ac:dyDescent="0.2">
      <c r="A41" s="609"/>
      <c r="B41" s="552" t="s">
        <v>310</v>
      </c>
      <c r="C41" s="1822" t="s">
        <v>311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X41" s="537" t="s">
        <v>311</v>
      </c>
    </row>
    <row r="42" spans="1:27" s="536" customFormat="1" x14ac:dyDescent="0.2">
      <c r="A42" s="605"/>
      <c r="B42" s="552" t="s">
        <v>185</v>
      </c>
      <c r="C42" s="1822" t="s">
        <v>312</v>
      </c>
      <c r="D42" s="1822"/>
      <c r="E42" s="1822"/>
      <c r="F42" s="562"/>
      <c r="G42" s="562"/>
      <c r="H42" s="562"/>
      <c r="I42" s="562"/>
      <c r="J42" s="604">
        <v>20.440000000000001</v>
      </c>
      <c r="K42" s="562" t="s">
        <v>313</v>
      </c>
      <c r="L42" s="604">
        <v>25.55</v>
      </c>
      <c r="M42" s="603"/>
      <c r="N42" s="602"/>
      <c r="Y42" s="537" t="s">
        <v>312</v>
      </c>
    </row>
    <row r="43" spans="1:27" s="536" customFormat="1" x14ac:dyDescent="0.2">
      <c r="A43" s="605"/>
      <c r="B43" s="552" t="s">
        <v>186</v>
      </c>
      <c r="C43" s="1822" t="s">
        <v>344</v>
      </c>
      <c r="D43" s="1822"/>
      <c r="E43" s="1822"/>
      <c r="F43" s="562"/>
      <c r="G43" s="562"/>
      <c r="H43" s="562"/>
      <c r="I43" s="562"/>
      <c r="J43" s="604">
        <v>33.47</v>
      </c>
      <c r="K43" s="562" t="s">
        <v>313</v>
      </c>
      <c r="L43" s="604">
        <v>41.84</v>
      </c>
      <c r="M43" s="603"/>
      <c r="N43" s="602"/>
      <c r="Y43" s="537" t="s">
        <v>344</v>
      </c>
    </row>
    <row r="44" spans="1:27" s="536" customFormat="1" x14ac:dyDescent="0.2">
      <c r="A44" s="605"/>
      <c r="B44" s="552" t="s">
        <v>187</v>
      </c>
      <c r="C44" s="1822" t="s">
        <v>345</v>
      </c>
      <c r="D44" s="1822"/>
      <c r="E44" s="1822"/>
      <c r="F44" s="562"/>
      <c r="G44" s="562"/>
      <c r="H44" s="562"/>
      <c r="I44" s="562"/>
      <c r="J44" s="604">
        <v>3.42</v>
      </c>
      <c r="K44" s="562" t="s">
        <v>313</v>
      </c>
      <c r="L44" s="604">
        <v>4.28</v>
      </c>
      <c r="M44" s="603"/>
      <c r="N44" s="602"/>
      <c r="Y44" s="537" t="s">
        <v>345</v>
      </c>
    </row>
    <row r="45" spans="1:27" s="536" customFormat="1" x14ac:dyDescent="0.2">
      <c r="A45" s="605"/>
      <c r="B45" s="552" t="s">
        <v>188</v>
      </c>
      <c r="C45" s="1822" t="s">
        <v>475</v>
      </c>
      <c r="D45" s="1822"/>
      <c r="E45" s="1822"/>
      <c r="F45" s="562"/>
      <c r="G45" s="562"/>
      <c r="H45" s="562"/>
      <c r="I45" s="562"/>
      <c r="J45" s="604">
        <v>2.94</v>
      </c>
      <c r="K45" s="562"/>
      <c r="L45" s="604">
        <v>2.94</v>
      </c>
      <c r="M45" s="603"/>
      <c r="N45" s="602"/>
      <c r="Y45" s="537" t="s">
        <v>475</v>
      </c>
    </row>
    <row r="46" spans="1:27" s="536" customFormat="1" x14ac:dyDescent="0.2">
      <c r="A46" s="605"/>
      <c r="B46" s="552"/>
      <c r="C46" s="1822" t="s">
        <v>314</v>
      </c>
      <c r="D46" s="1822"/>
      <c r="E46" s="1822"/>
      <c r="F46" s="562" t="s">
        <v>315</v>
      </c>
      <c r="G46" s="562" t="s">
        <v>807</v>
      </c>
      <c r="H46" s="562" t="s">
        <v>313</v>
      </c>
      <c r="I46" s="562" t="s">
        <v>808</v>
      </c>
      <c r="J46" s="604"/>
      <c r="K46" s="562"/>
      <c r="L46" s="604"/>
      <c r="M46" s="603"/>
      <c r="N46" s="602"/>
      <c r="Z46" s="537" t="s">
        <v>314</v>
      </c>
    </row>
    <row r="47" spans="1:27" s="536" customFormat="1" x14ac:dyDescent="0.2">
      <c r="A47" s="605"/>
      <c r="B47" s="552"/>
      <c r="C47" s="1822" t="s">
        <v>348</v>
      </c>
      <c r="D47" s="1822"/>
      <c r="E47" s="1822"/>
      <c r="F47" s="562" t="s">
        <v>315</v>
      </c>
      <c r="G47" s="562" t="s">
        <v>1629</v>
      </c>
      <c r="H47" s="562" t="s">
        <v>313</v>
      </c>
      <c r="I47" s="562" t="s">
        <v>3130</v>
      </c>
      <c r="J47" s="604"/>
      <c r="K47" s="562"/>
      <c r="L47" s="604"/>
      <c r="M47" s="603"/>
      <c r="N47" s="602"/>
      <c r="Z47" s="537" t="s">
        <v>348</v>
      </c>
    </row>
    <row r="48" spans="1:27" s="536" customFormat="1" x14ac:dyDescent="0.2">
      <c r="A48" s="605"/>
      <c r="B48" s="552"/>
      <c r="C48" s="1828" t="s">
        <v>318</v>
      </c>
      <c r="D48" s="1828"/>
      <c r="E48" s="1828"/>
      <c r="F48" s="608"/>
      <c r="G48" s="608"/>
      <c r="H48" s="608"/>
      <c r="I48" s="608"/>
      <c r="J48" s="607">
        <v>56.85</v>
      </c>
      <c r="K48" s="608"/>
      <c r="L48" s="607">
        <v>70.33</v>
      </c>
      <c r="M48" s="601"/>
      <c r="N48" s="606"/>
      <c r="AA48" s="537" t="s">
        <v>318</v>
      </c>
    </row>
    <row r="49" spans="1:29" s="536" customFormat="1" x14ac:dyDescent="0.2">
      <c r="A49" s="605"/>
      <c r="B49" s="552"/>
      <c r="C49" s="1822" t="s">
        <v>319</v>
      </c>
      <c r="D49" s="1822"/>
      <c r="E49" s="1822"/>
      <c r="F49" s="562"/>
      <c r="G49" s="562"/>
      <c r="H49" s="562"/>
      <c r="I49" s="562"/>
      <c r="J49" s="604"/>
      <c r="K49" s="562"/>
      <c r="L49" s="604">
        <v>29.83</v>
      </c>
      <c r="M49" s="603"/>
      <c r="N49" s="602"/>
      <c r="Z49" s="537" t="s">
        <v>319</v>
      </c>
    </row>
    <row r="50" spans="1:29" s="536" customFormat="1" ht="33.75" x14ac:dyDescent="0.2">
      <c r="A50" s="605"/>
      <c r="B50" s="552" t="s">
        <v>1631</v>
      </c>
      <c r="C50" s="1822" t="s">
        <v>1632</v>
      </c>
      <c r="D50" s="1822"/>
      <c r="E50" s="1822"/>
      <c r="F50" s="562" t="s">
        <v>322</v>
      </c>
      <c r="G50" s="562" t="s">
        <v>1633</v>
      </c>
      <c r="H50" s="562"/>
      <c r="I50" s="562" t="s">
        <v>1633</v>
      </c>
      <c r="J50" s="604"/>
      <c r="K50" s="562"/>
      <c r="L50" s="604">
        <v>28.94</v>
      </c>
      <c r="M50" s="603"/>
      <c r="N50" s="602"/>
      <c r="Z50" s="537" t="s">
        <v>1632</v>
      </c>
    </row>
    <row r="51" spans="1:29" s="536" customFormat="1" ht="33.75" x14ac:dyDescent="0.2">
      <c r="A51" s="605"/>
      <c r="B51" s="552" t="s">
        <v>1634</v>
      </c>
      <c r="C51" s="1822" t="s">
        <v>1635</v>
      </c>
      <c r="D51" s="1822"/>
      <c r="E51" s="1822"/>
      <c r="F51" s="562" t="s">
        <v>322</v>
      </c>
      <c r="G51" s="562" t="s">
        <v>786</v>
      </c>
      <c r="H51" s="562"/>
      <c r="I51" s="562" t="s">
        <v>786</v>
      </c>
      <c r="J51" s="604"/>
      <c r="K51" s="562"/>
      <c r="L51" s="604">
        <v>15.21</v>
      </c>
      <c r="M51" s="603"/>
      <c r="N51" s="602"/>
      <c r="Z51" s="537" t="s">
        <v>1635</v>
      </c>
    </row>
    <row r="52" spans="1:29" s="536" customFormat="1" x14ac:dyDescent="0.2">
      <c r="A52" s="569"/>
      <c r="B52" s="671"/>
      <c r="C52" s="1823" t="s">
        <v>327</v>
      </c>
      <c r="D52" s="1823"/>
      <c r="E52" s="1823"/>
      <c r="F52" s="573"/>
      <c r="G52" s="573"/>
      <c r="H52" s="573"/>
      <c r="I52" s="573"/>
      <c r="J52" s="572"/>
      <c r="K52" s="573"/>
      <c r="L52" s="572">
        <v>114.48</v>
      </c>
      <c r="M52" s="601"/>
      <c r="N52" s="570"/>
      <c r="AB52" s="537" t="s">
        <v>327</v>
      </c>
    </row>
    <row r="53" spans="1:29" s="536" customFormat="1" ht="168.75" x14ac:dyDescent="0.2">
      <c r="A53" s="575" t="s">
        <v>625</v>
      </c>
      <c r="B53" s="670" t="s">
        <v>3568</v>
      </c>
      <c r="C53" s="1823" t="s">
        <v>3569</v>
      </c>
      <c r="D53" s="1823"/>
      <c r="E53" s="1823"/>
      <c r="F53" s="573" t="s">
        <v>617</v>
      </c>
      <c r="G53" s="573"/>
      <c r="H53" s="573"/>
      <c r="I53" s="573" t="s">
        <v>185</v>
      </c>
      <c r="J53" s="572">
        <v>334087.92</v>
      </c>
      <c r="K53" s="573" t="s">
        <v>629</v>
      </c>
      <c r="L53" s="572">
        <v>73659.48</v>
      </c>
      <c r="M53" s="571">
        <v>4.59</v>
      </c>
      <c r="N53" s="570">
        <v>338097</v>
      </c>
      <c r="W53" s="537" t="s">
        <v>3569</v>
      </c>
    </row>
    <row r="54" spans="1:29" s="536" customFormat="1" x14ac:dyDescent="0.2">
      <c r="A54" s="569"/>
      <c r="B54" s="671"/>
      <c r="C54" s="665" t="s">
        <v>630</v>
      </c>
      <c r="D54" s="666"/>
      <c r="E54" s="666"/>
      <c r="F54" s="563"/>
      <c r="G54" s="563"/>
      <c r="H54" s="563"/>
      <c r="I54" s="563"/>
      <c r="J54" s="566"/>
      <c r="K54" s="563"/>
      <c r="L54" s="566"/>
      <c r="M54" s="565"/>
      <c r="N54" s="564"/>
    </row>
    <row r="55" spans="1:29" s="536" customFormat="1" ht="22.5" x14ac:dyDescent="0.2">
      <c r="A55" s="609"/>
      <c r="B55" s="552" t="s">
        <v>1638</v>
      </c>
      <c r="C55" s="1822" t="s">
        <v>632</v>
      </c>
      <c r="D55" s="1822"/>
      <c r="E55" s="1822"/>
      <c r="F55" s="1822"/>
      <c r="G55" s="1822"/>
      <c r="H55" s="1822"/>
      <c r="I55" s="1822"/>
      <c r="J55" s="1822"/>
      <c r="K55" s="1822"/>
      <c r="L55" s="1822"/>
      <c r="M55" s="1822"/>
      <c r="N55" s="1827"/>
      <c r="X55" s="537" t="s">
        <v>632</v>
      </c>
    </row>
    <row r="56" spans="1:29" s="536" customFormat="1" ht="33.75" x14ac:dyDescent="0.2">
      <c r="A56" s="575" t="s">
        <v>187</v>
      </c>
      <c r="B56" s="670" t="s">
        <v>1639</v>
      </c>
      <c r="C56" s="1823" t="s">
        <v>1640</v>
      </c>
      <c r="D56" s="1823"/>
      <c r="E56" s="1823"/>
      <c r="F56" s="573" t="s">
        <v>307</v>
      </c>
      <c r="G56" s="573"/>
      <c r="H56" s="573"/>
      <c r="I56" s="573" t="s">
        <v>890</v>
      </c>
      <c r="J56" s="572"/>
      <c r="K56" s="573"/>
      <c r="L56" s="572"/>
      <c r="M56" s="571"/>
      <c r="N56" s="570"/>
      <c r="W56" s="537" t="s">
        <v>1640</v>
      </c>
    </row>
    <row r="57" spans="1:29" s="536" customFormat="1" x14ac:dyDescent="0.2">
      <c r="A57" s="676"/>
      <c r="B57" s="664"/>
      <c r="C57" s="1822" t="s">
        <v>3570</v>
      </c>
      <c r="D57" s="1822"/>
      <c r="E57" s="1822"/>
      <c r="F57" s="1822"/>
      <c r="G57" s="1822"/>
      <c r="H57" s="1822"/>
      <c r="I57" s="1822"/>
      <c r="J57" s="1822"/>
      <c r="K57" s="1822"/>
      <c r="L57" s="1822"/>
      <c r="M57" s="1822"/>
      <c r="N57" s="1827"/>
      <c r="AC57" s="537" t="s">
        <v>3570</v>
      </c>
    </row>
    <row r="58" spans="1:29" s="536" customFormat="1" ht="33.75" x14ac:dyDescent="0.2">
      <c r="A58" s="609"/>
      <c r="B58" s="552" t="s">
        <v>310</v>
      </c>
      <c r="C58" s="1822" t="s">
        <v>311</v>
      </c>
      <c r="D58" s="1822"/>
      <c r="E58" s="1822"/>
      <c r="F58" s="1822"/>
      <c r="G58" s="1822"/>
      <c r="H58" s="1822"/>
      <c r="I58" s="1822"/>
      <c r="J58" s="1822"/>
      <c r="K58" s="1822"/>
      <c r="L58" s="1822"/>
      <c r="M58" s="1822"/>
      <c r="N58" s="1827"/>
      <c r="X58" s="537" t="s">
        <v>311</v>
      </c>
    </row>
    <row r="59" spans="1:29" s="536" customFormat="1" x14ac:dyDescent="0.2">
      <c r="A59" s="605"/>
      <c r="B59" s="552" t="s">
        <v>185</v>
      </c>
      <c r="C59" s="1822" t="s">
        <v>312</v>
      </c>
      <c r="D59" s="1822"/>
      <c r="E59" s="1822"/>
      <c r="F59" s="562"/>
      <c r="G59" s="562"/>
      <c r="H59" s="562"/>
      <c r="I59" s="562"/>
      <c r="J59" s="604">
        <v>153.26</v>
      </c>
      <c r="K59" s="562" t="s">
        <v>313</v>
      </c>
      <c r="L59" s="604">
        <v>38.32</v>
      </c>
      <c r="M59" s="603"/>
      <c r="N59" s="602"/>
      <c r="Y59" s="537" t="s">
        <v>312</v>
      </c>
    </row>
    <row r="60" spans="1:29" s="536" customFormat="1" x14ac:dyDescent="0.2">
      <c r="A60" s="605"/>
      <c r="B60" s="552" t="s">
        <v>186</v>
      </c>
      <c r="C60" s="1822" t="s">
        <v>344</v>
      </c>
      <c r="D60" s="1822"/>
      <c r="E60" s="1822"/>
      <c r="F60" s="562"/>
      <c r="G60" s="562"/>
      <c r="H60" s="562"/>
      <c r="I60" s="562"/>
      <c r="J60" s="604">
        <v>1.81</v>
      </c>
      <c r="K60" s="562" t="s">
        <v>313</v>
      </c>
      <c r="L60" s="604">
        <v>0.45</v>
      </c>
      <c r="M60" s="603"/>
      <c r="N60" s="602"/>
      <c r="Y60" s="537" t="s">
        <v>344</v>
      </c>
    </row>
    <row r="61" spans="1:29" s="536" customFormat="1" x14ac:dyDescent="0.2">
      <c r="A61" s="605"/>
      <c r="B61" s="552" t="s">
        <v>187</v>
      </c>
      <c r="C61" s="1822" t="s">
        <v>345</v>
      </c>
      <c r="D61" s="1822"/>
      <c r="E61" s="1822"/>
      <c r="F61" s="562"/>
      <c r="G61" s="562"/>
      <c r="H61" s="562"/>
      <c r="I61" s="562"/>
      <c r="J61" s="604">
        <v>0.26</v>
      </c>
      <c r="K61" s="562" t="s">
        <v>313</v>
      </c>
      <c r="L61" s="604">
        <v>7.0000000000000007E-2</v>
      </c>
      <c r="M61" s="603"/>
      <c r="N61" s="602"/>
      <c r="Y61" s="537" t="s">
        <v>345</v>
      </c>
    </row>
    <row r="62" spans="1:29" s="536" customFormat="1" x14ac:dyDescent="0.2">
      <c r="A62" s="605"/>
      <c r="B62" s="552" t="s">
        <v>188</v>
      </c>
      <c r="C62" s="1822" t="s">
        <v>475</v>
      </c>
      <c r="D62" s="1822"/>
      <c r="E62" s="1822"/>
      <c r="F62" s="562"/>
      <c r="G62" s="562"/>
      <c r="H62" s="562"/>
      <c r="I62" s="562"/>
      <c r="J62" s="604">
        <v>98.83</v>
      </c>
      <c r="K62" s="562"/>
      <c r="L62" s="604">
        <v>19.77</v>
      </c>
      <c r="M62" s="603"/>
      <c r="N62" s="602"/>
      <c r="Y62" s="537" t="s">
        <v>475</v>
      </c>
    </row>
    <row r="63" spans="1:29" s="536" customFormat="1" x14ac:dyDescent="0.2">
      <c r="A63" s="605"/>
      <c r="B63" s="552"/>
      <c r="C63" s="1822" t="s">
        <v>314</v>
      </c>
      <c r="D63" s="1822"/>
      <c r="E63" s="1822"/>
      <c r="F63" s="562" t="s">
        <v>315</v>
      </c>
      <c r="G63" s="562" t="s">
        <v>1628</v>
      </c>
      <c r="H63" s="562" t="s">
        <v>313</v>
      </c>
      <c r="I63" s="562" t="s">
        <v>821</v>
      </c>
      <c r="J63" s="604"/>
      <c r="K63" s="562"/>
      <c r="L63" s="604"/>
      <c r="M63" s="603"/>
      <c r="N63" s="602"/>
      <c r="Z63" s="537" t="s">
        <v>314</v>
      </c>
    </row>
    <row r="64" spans="1:29" s="536" customFormat="1" x14ac:dyDescent="0.2">
      <c r="A64" s="605"/>
      <c r="B64" s="552"/>
      <c r="C64" s="1822" t="s">
        <v>348</v>
      </c>
      <c r="D64" s="1822"/>
      <c r="E64" s="1822"/>
      <c r="F64" s="562" t="s">
        <v>315</v>
      </c>
      <c r="G64" s="562" t="s">
        <v>695</v>
      </c>
      <c r="H64" s="562" t="s">
        <v>313</v>
      </c>
      <c r="I64" s="562" t="s">
        <v>3170</v>
      </c>
      <c r="J64" s="604"/>
      <c r="K64" s="562"/>
      <c r="L64" s="604"/>
      <c r="M64" s="603"/>
      <c r="N64" s="602"/>
      <c r="Z64" s="537" t="s">
        <v>348</v>
      </c>
    </row>
    <row r="65" spans="1:31" s="536" customFormat="1" x14ac:dyDescent="0.2">
      <c r="A65" s="605"/>
      <c r="B65" s="552"/>
      <c r="C65" s="1828" t="s">
        <v>318</v>
      </c>
      <c r="D65" s="1828"/>
      <c r="E65" s="1828"/>
      <c r="F65" s="608"/>
      <c r="G65" s="608"/>
      <c r="H65" s="608"/>
      <c r="I65" s="608"/>
      <c r="J65" s="607">
        <v>253.9</v>
      </c>
      <c r="K65" s="608"/>
      <c r="L65" s="607">
        <v>58.54</v>
      </c>
      <c r="M65" s="601"/>
      <c r="N65" s="606"/>
      <c r="AA65" s="537" t="s">
        <v>318</v>
      </c>
    </row>
    <row r="66" spans="1:31" s="536" customFormat="1" x14ac:dyDescent="0.2">
      <c r="A66" s="605"/>
      <c r="B66" s="552"/>
      <c r="C66" s="1822" t="s">
        <v>319</v>
      </c>
      <c r="D66" s="1822"/>
      <c r="E66" s="1822"/>
      <c r="F66" s="562"/>
      <c r="G66" s="562"/>
      <c r="H66" s="562"/>
      <c r="I66" s="562"/>
      <c r="J66" s="604"/>
      <c r="K66" s="562"/>
      <c r="L66" s="604">
        <v>38.39</v>
      </c>
      <c r="M66" s="603"/>
      <c r="N66" s="602"/>
      <c r="Z66" s="537" t="s">
        <v>319</v>
      </c>
    </row>
    <row r="67" spans="1:31" s="536" customFormat="1" ht="33.75" x14ac:dyDescent="0.2">
      <c r="A67" s="605"/>
      <c r="B67" s="552" t="s">
        <v>1631</v>
      </c>
      <c r="C67" s="1822" t="s">
        <v>1632</v>
      </c>
      <c r="D67" s="1822"/>
      <c r="E67" s="1822"/>
      <c r="F67" s="562" t="s">
        <v>322</v>
      </c>
      <c r="G67" s="562" t="s">
        <v>1633</v>
      </c>
      <c r="H67" s="562"/>
      <c r="I67" s="562" t="s">
        <v>1633</v>
      </c>
      <c r="J67" s="604"/>
      <c r="K67" s="562"/>
      <c r="L67" s="604">
        <v>37.24</v>
      </c>
      <c r="M67" s="603"/>
      <c r="N67" s="602"/>
      <c r="Z67" s="537" t="s">
        <v>1632</v>
      </c>
    </row>
    <row r="68" spans="1:31" s="536" customFormat="1" ht="33.75" x14ac:dyDescent="0.2">
      <c r="A68" s="605"/>
      <c r="B68" s="552" t="s">
        <v>1634</v>
      </c>
      <c r="C68" s="1822" t="s">
        <v>1635</v>
      </c>
      <c r="D68" s="1822"/>
      <c r="E68" s="1822"/>
      <c r="F68" s="562" t="s">
        <v>322</v>
      </c>
      <c r="G68" s="562" t="s">
        <v>786</v>
      </c>
      <c r="H68" s="562"/>
      <c r="I68" s="562" t="s">
        <v>786</v>
      </c>
      <c r="J68" s="604"/>
      <c r="K68" s="562"/>
      <c r="L68" s="604">
        <v>19.579999999999998</v>
      </c>
      <c r="M68" s="603"/>
      <c r="N68" s="602"/>
      <c r="Z68" s="537" t="s">
        <v>1635</v>
      </c>
    </row>
    <row r="69" spans="1:31" s="536" customFormat="1" x14ac:dyDescent="0.2">
      <c r="A69" s="569"/>
      <c r="B69" s="671"/>
      <c r="C69" s="1823" t="s">
        <v>327</v>
      </c>
      <c r="D69" s="1823"/>
      <c r="E69" s="1823"/>
      <c r="F69" s="573"/>
      <c r="G69" s="573"/>
      <c r="H69" s="573"/>
      <c r="I69" s="573"/>
      <c r="J69" s="572"/>
      <c r="K69" s="573"/>
      <c r="L69" s="572">
        <v>115.36</v>
      </c>
      <c r="M69" s="601"/>
      <c r="N69" s="570"/>
      <c r="AB69" s="537" t="s">
        <v>327</v>
      </c>
    </row>
    <row r="70" spans="1:31" s="536" customFormat="1" ht="1.5" customHeight="1" x14ac:dyDescent="0.2">
      <c r="A70" s="563"/>
      <c r="B70" s="671"/>
      <c r="C70" s="671"/>
      <c r="D70" s="671"/>
      <c r="E70" s="671"/>
      <c r="F70" s="563"/>
      <c r="G70" s="563"/>
      <c r="H70" s="563"/>
      <c r="I70" s="563"/>
      <c r="J70" s="546"/>
      <c r="K70" s="563"/>
      <c r="L70" s="546"/>
      <c r="M70" s="562"/>
      <c r="N70" s="546"/>
    </row>
    <row r="71" spans="1:31" s="536" customFormat="1" x14ac:dyDescent="0.2">
      <c r="A71" s="557"/>
      <c r="B71" s="556"/>
      <c r="C71" s="1823" t="s">
        <v>1645</v>
      </c>
      <c r="D71" s="1823"/>
      <c r="E71" s="1823"/>
      <c r="F71" s="1823"/>
      <c r="G71" s="1823"/>
      <c r="H71" s="1823"/>
      <c r="I71" s="1823"/>
      <c r="J71" s="1823"/>
      <c r="K71" s="1823"/>
      <c r="L71" s="555"/>
      <c r="M71" s="554"/>
      <c r="N71" s="553"/>
      <c r="AD71" s="537" t="s">
        <v>1645</v>
      </c>
    </row>
    <row r="72" spans="1:31" s="536" customFormat="1" x14ac:dyDescent="0.2">
      <c r="A72" s="548"/>
      <c r="B72" s="552"/>
      <c r="C72" s="1822" t="s">
        <v>403</v>
      </c>
      <c r="D72" s="1822"/>
      <c r="E72" s="1822"/>
      <c r="F72" s="1822"/>
      <c r="G72" s="1822"/>
      <c r="H72" s="1822"/>
      <c r="I72" s="1822"/>
      <c r="J72" s="1822"/>
      <c r="K72" s="1822"/>
      <c r="L72" s="551">
        <v>128.87</v>
      </c>
      <c r="M72" s="550"/>
      <c r="N72" s="549"/>
      <c r="AE72" s="537" t="s">
        <v>403</v>
      </c>
    </row>
    <row r="73" spans="1:31" s="536" customFormat="1" x14ac:dyDescent="0.2">
      <c r="A73" s="548"/>
      <c r="B73" s="552"/>
      <c r="C73" s="1822" t="s">
        <v>204</v>
      </c>
      <c r="D73" s="1822"/>
      <c r="E73" s="1822"/>
      <c r="F73" s="1822"/>
      <c r="G73" s="1822"/>
      <c r="H73" s="1822"/>
      <c r="I73" s="1822"/>
      <c r="J73" s="1822"/>
      <c r="K73" s="1822"/>
      <c r="L73" s="551"/>
      <c r="M73" s="550"/>
      <c r="N73" s="549"/>
      <c r="AE73" s="537" t="s">
        <v>204</v>
      </c>
    </row>
    <row r="74" spans="1:31" s="536" customFormat="1" x14ac:dyDescent="0.2">
      <c r="A74" s="548"/>
      <c r="B74" s="552"/>
      <c r="C74" s="1822" t="s">
        <v>404</v>
      </c>
      <c r="D74" s="1822"/>
      <c r="E74" s="1822"/>
      <c r="F74" s="1822"/>
      <c r="G74" s="1822"/>
      <c r="H74" s="1822"/>
      <c r="I74" s="1822"/>
      <c r="J74" s="1822"/>
      <c r="K74" s="1822"/>
      <c r="L74" s="551">
        <v>63.87</v>
      </c>
      <c r="M74" s="550"/>
      <c r="N74" s="549"/>
      <c r="AE74" s="537" t="s">
        <v>404</v>
      </c>
    </row>
    <row r="75" spans="1:31" s="536" customFormat="1" x14ac:dyDescent="0.2">
      <c r="A75" s="548"/>
      <c r="B75" s="552"/>
      <c r="C75" s="1822" t="s">
        <v>405</v>
      </c>
      <c r="D75" s="1822"/>
      <c r="E75" s="1822"/>
      <c r="F75" s="1822"/>
      <c r="G75" s="1822"/>
      <c r="H75" s="1822"/>
      <c r="I75" s="1822"/>
      <c r="J75" s="1822"/>
      <c r="K75" s="1822"/>
      <c r="L75" s="551">
        <v>42.29</v>
      </c>
      <c r="M75" s="550"/>
      <c r="N75" s="549"/>
      <c r="AE75" s="537" t="s">
        <v>405</v>
      </c>
    </row>
    <row r="76" spans="1:31" s="536" customFormat="1" x14ac:dyDescent="0.2">
      <c r="A76" s="548"/>
      <c r="B76" s="552"/>
      <c r="C76" s="1822" t="s">
        <v>406</v>
      </c>
      <c r="D76" s="1822"/>
      <c r="E76" s="1822"/>
      <c r="F76" s="1822"/>
      <c r="G76" s="1822"/>
      <c r="H76" s="1822"/>
      <c r="I76" s="1822"/>
      <c r="J76" s="1822"/>
      <c r="K76" s="1822"/>
      <c r="L76" s="551">
        <v>4.3499999999999996</v>
      </c>
      <c r="M76" s="550"/>
      <c r="N76" s="549"/>
      <c r="AE76" s="537" t="s">
        <v>406</v>
      </c>
    </row>
    <row r="77" spans="1:31" s="536" customFormat="1" x14ac:dyDescent="0.2">
      <c r="A77" s="548"/>
      <c r="B77" s="552"/>
      <c r="C77" s="1822" t="s">
        <v>480</v>
      </c>
      <c r="D77" s="1822"/>
      <c r="E77" s="1822"/>
      <c r="F77" s="1822"/>
      <c r="G77" s="1822"/>
      <c r="H77" s="1822"/>
      <c r="I77" s="1822"/>
      <c r="J77" s="1822"/>
      <c r="K77" s="1822"/>
      <c r="L77" s="551">
        <v>22.71</v>
      </c>
      <c r="M77" s="550"/>
      <c r="N77" s="549"/>
      <c r="AE77" s="537" t="s">
        <v>480</v>
      </c>
    </row>
    <row r="78" spans="1:31" s="536" customFormat="1" x14ac:dyDescent="0.2">
      <c r="A78" s="548"/>
      <c r="B78" s="552" t="s">
        <v>185</v>
      </c>
      <c r="C78" s="1822" t="s">
        <v>753</v>
      </c>
      <c r="D78" s="1822"/>
      <c r="E78" s="1822"/>
      <c r="F78" s="1822"/>
      <c r="G78" s="1822"/>
      <c r="H78" s="1822"/>
      <c r="I78" s="1822"/>
      <c r="J78" s="1822"/>
      <c r="K78" s="1822"/>
      <c r="L78" s="551">
        <v>229.84</v>
      </c>
      <c r="M78" s="550"/>
      <c r="N78" s="549"/>
      <c r="AE78" s="537" t="s">
        <v>753</v>
      </c>
    </row>
    <row r="79" spans="1:31" s="536" customFormat="1" x14ac:dyDescent="0.2">
      <c r="A79" s="548"/>
      <c r="B79" s="552"/>
      <c r="C79" s="1822" t="s">
        <v>204</v>
      </c>
      <c r="D79" s="1822"/>
      <c r="E79" s="1822"/>
      <c r="F79" s="1822"/>
      <c r="G79" s="1822"/>
      <c r="H79" s="1822"/>
      <c r="I79" s="1822"/>
      <c r="J79" s="1822"/>
      <c r="K79" s="1822"/>
      <c r="L79" s="551"/>
      <c r="M79" s="550"/>
      <c r="N79" s="549"/>
      <c r="AE79" s="537" t="s">
        <v>204</v>
      </c>
    </row>
    <row r="80" spans="1:31" s="536" customFormat="1" x14ac:dyDescent="0.2">
      <c r="A80" s="548"/>
      <c r="B80" s="552"/>
      <c r="C80" s="1822" t="s">
        <v>546</v>
      </c>
      <c r="D80" s="1822"/>
      <c r="E80" s="1822"/>
      <c r="F80" s="1822"/>
      <c r="G80" s="1822"/>
      <c r="H80" s="1822"/>
      <c r="I80" s="1822"/>
      <c r="J80" s="1822"/>
      <c r="K80" s="1822"/>
      <c r="L80" s="551">
        <v>63.87</v>
      </c>
      <c r="M80" s="550"/>
      <c r="N80" s="549"/>
      <c r="AE80" s="537" t="s">
        <v>546</v>
      </c>
    </row>
    <row r="81" spans="1:33" s="536" customFormat="1" x14ac:dyDescent="0.2">
      <c r="A81" s="548"/>
      <c r="B81" s="552"/>
      <c r="C81" s="1822" t="s">
        <v>442</v>
      </c>
      <c r="D81" s="1822"/>
      <c r="E81" s="1822"/>
      <c r="F81" s="1822"/>
      <c r="G81" s="1822"/>
      <c r="H81" s="1822"/>
      <c r="I81" s="1822"/>
      <c r="J81" s="1822"/>
      <c r="K81" s="1822"/>
      <c r="L81" s="551">
        <v>42.29</v>
      </c>
      <c r="M81" s="550"/>
      <c r="N81" s="549"/>
      <c r="AE81" s="537" t="s">
        <v>442</v>
      </c>
    </row>
    <row r="82" spans="1:33" s="536" customFormat="1" x14ac:dyDescent="0.2">
      <c r="A82" s="548"/>
      <c r="B82" s="552"/>
      <c r="C82" s="1822" t="s">
        <v>547</v>
      </c>
      <c r="D82" s="1822"/>
      <c r="E82" s="1822"/>
      <c r="F82" s="1822"/>
      <c r="G82" s="1822"/>
      <c r="H82" s="1822"/>
      <c r="I82" s="1822"/>
      <c r="J82" s="1822"/>
      <c r="K82" s="1822"/>
      <c r="L82" s="551">
        <v>22.71</v>
      </c>
      <c r="M82" s="550"/>
      <c r="N82" s="549"/>
      <c r="AE82" s="537" t="s">
        <v>547</v>
      </c>
    </row>
    <row r="83" spans="1:33" s="536" customFormat="1" x14ac:dyDescent="0.2">
      <c r="A83" s="548"/>
      <c r="B83" s="552"/>
      <c r="C83" s="1822" t="s">
        <v>443</v>
      </c>
      <c r="D83" s="1822"/>
      <c r="E83" s="1822"/>
      <c r="F83" s="1822"/>
      <c r="G83" s="1822"/>
      <c r="H83" s="1822"/>
      <c r="I83" s="1822"/>
      <c r="J83" s="1822"/>
      <c r="K83" s="1822"/>
      <c r="L83" s="551">
        <v>66.180000000000007</v>
      </c>
      <c r="M83" s="550"/>
      <c r="N83" s="549"/>
      <c r="AE83" s="537" t="s">
        <v>443</v>
      </c>
    </row>
    <row r="84" spans="1:33" s="536" customFormat="1" x14ac:dyDescent="0.2">
      <c r="A84" s="548"/>
      <c r="B84" s="552"/>
      <c r="C84" s="1822" t="s">
        <v>444</v>
      </c>
      <c r="D84" s="1822"/>
      <c r="E84" s="1822"/>
      <c r="F84" s="1822"/>
      <c r="G84" s="1822"/>
      <c r="H84" s="1822"/>
      <c r="I84" s="1822"/>
      <c r="J84" s="1822"/>
      <c r="K84" s="1822"/>
      <c r="L84" s="551">
        <v>34.79</v>
      </c>
      <c r="M84" s="550"/>
      <c r="N84" s="549"/>
      <c r="AE84" s="537" t="s">
        <v>444</v>
      </c>
    </row>
    <row r="85" spans="1:33" s="536" customFormat="1" x14ac:dyDescent="0.2">
      <c r="A85" s="548"/>
      <c r="B85" s="552" t="s">
        <v>186</v>
      </c>
      <c r="C85" s="1822" t="s">
        <v>754</v>
      </c>
      <c r="D85" s="1822"/>
      <c r="E85" s="1822"/>
      <c r="F85" s="1822"/>
      <c r="G85" s="1822"/>
      <c r="H85" s="1822"/>
      <c r="I85" s="1822"/>
      <c r="J85" s="1822"/>
      <c r="K85" s="1822"/>
      <c r="L85" s="551">
        <v>73659.48</v>
      </c>
      <c r="M85" s="550"/>
      <c r="N85" s="549"/>
      <c r="AE85" s="537" t="s">
        <v>754</v>
      </c>
    </row>
    <row r="86" spans="1:33" s="536" customFormat="1" x14ac:dyDescent="0.2">
      <c r="A86" s="548"/>
      <c r="B86" s="552"/>
      <c r="C86" s="1822" t="s">
        <v>415</v>
      </c>
      <c r="D86" s="1822"/>
      <c r="E86" s="1822"/>
      <c r="F86" s="1822"/>
      <c r="G86" s="1822"/>
      <c r="H86" s="1822"/>
      <c r="I86" s="1822"/>
      <c r="J86" s="1822"/>
      <c r="K86" s="1822"/>
      <c r="L86" s="551">
        <v>68.22</v>
      </c>
      <c r="M86" s="550"/>
      <c r="N86" s="549"/>
      <c r="AE86" s="537" t="s">
        <v>415</v>
      </c>
    </row>
    <row r="87" spans="1:33" s="536" customFormat="1" x14ac:dyDescent="0.2">
      <c r="A87" s="548"/>
      <c r="B87" s="552"/>
      <c r="C87" s="1822" t="s">
        <v>416</v>
      </c>
      <c r="D87" s="1822"/>
      <c r="E87" s="1822"/>
      <c r="F87" s="1822"/>
      <c r="G87" s="1822"/>
      <c r="H87" s="1822"/>
      <c r="I87" s="1822"/>
      <c r="J87" s="1822"/>
      <c r="K87" s="1822"/>
      <c r="L87" s="551">
        <v>66.180000000000007</v>
      </c>
      <c r="M87" s="550"/>
      <c r="N87" s="549"/>
      <c r="AE87" s="537" t="s">
        <v>416</v>
      </c>
    </row>
    <row r="88" spans="1:33" s="536" customFormat="1" x14ac:dyDescent="0.2">
      <c r="A88" s="548"/>
      <c r="B88" s="552"/>
      <c r="C88" s="1822" t="s">
        <v>417</v>
      </c>
      <c r="D88" s="1822"/>
      <c r="E88" s="1822"/>
      <c r="F88" s="1822"/>
      <c r="G88" s="1822"/>
      <c r="H88" s="1822"/>
      <c r="I88" s="1822"/>
      <c r="J88" s="1822"/>
      <c r="K88" s="1822"/>
      <c r="L88" s="551">
        <v>34.79</v>
      </c>
      <c r="M88" s="550"/>
      <c r="N88" s="549"/>
      <c r="AE88" s="537" t="s">
        <v>417</v>
      </c>
    </row>
    <row r="89" spans="1:33" s="536" customFormat="1" x14ac:dyDescent="0.2">
      <c r="A89" s="548"/>
      <c r="B89" s="546"/>
      <c r="C89" s="1819" t="s">
        <v>1646</v>
      </c>
      <c r="D89" s="1819"/>
      <c r="E89" s="1819"/>
      <c r="F89" s="1819"/>
      <c r="G89" s="1819"/>
      <c r="H89" s="1819"/>
      <c r="I89" s="1819"/>
      <c r="J89" s="1819"/>
      <c r="K89" s="1819"/>
      <c r="L89" s="544">
        <v>73889.320000000007</v>
      </c>
      <c r="M89" s="543"/>
      <c r="N89" s="681"/>
      <c r="AF89" s="537" t="s">
        <v>1646</v>
      </c>
    </row>
    <row r="90" spans="1:33" s="536" customFormat="1" x14ac:dyDescent="0.2">
      <c r="A90" s="548"/>
      <c r="B90" s="552"/>
      <c r="C90" s="1822" t="s">
        <v>204</v>
      </c>
      <c r="D90" s="1822"/>
      <c r="E90" s="1822"/>
      <c r="F90" s="1822"/>
      <c r="G90" s="1822"/>
      <c r="H90" s="1822"/>
      <c r="I90" s="1822"/>
      <c r="J90" s="1822"/>
      <c r="K90" s="1822"/>
      <c r="L90" s="551"/>
      <c r="M90" s="550"/>
      <c r="N90" s="549"/>
      <c r="AE90" s="537" t="s">
        <v>204</v>
      </c>
    </row>
    <row r="91" spans="1:33" s="536" customFormat="1" x14ac:dyDescent="0.2">
      <c r="A91" s="548"/>
      <c r="B91" s="552"/>
      <c r="C91" s="1822" t="s">
        <v>8097</v>
      </c>
      <c r="D91" s="1822"/>
      <c r="E91" s="1822"/>
      <c r="F91" s="1822"/>
      <c r="G91" s="1822"/>
      <c r="H91" s="1822"/>
      <c r="I91" s="1822"/>
      <c r="J91" s="1822"/>
      <c r="K91" s="1822"/>
      <c r="L91" s="551">
        <v>73659.48</v>
      </c>
      <c r="M91" s="550"/>
      <c r="N91" s="549"/>
      <c r="AE91" s="537" t="s">
        <v>8097</v>
      </c>
    </row>
    <row r="92" spans="1:33" s="536" customFormat="1" ht="12" x14ac:dyDescent="0.2">
      <c r="A92" s="1824" t="s">
        <v>1647</v>
      </c>
      <c r="B92" s="1825"/>
      <c r="C92" s="1825"/>
      <c r="D92" s="1825"/>
      <c r="E92" s="1825"/>
      <c r="F92" s="1825"/>
      <c r="G92" s="1825"/>
      <c r="H92" s="1825"/>
      <c r="I92" s="1825"/>
      <c r="J92" s="1825"/>
      <c r="K92" s="1825"/>
      <c r="L92" s="1825"/>
      <c r="M92" s="1825"/>
      <c r="N92" s="1826"/>
      <c r="V92" s="537" t="s">
        <v>1647</v>
      </c>
    </row>
    <row r="93" spans="1:33" s="536" customFormat="1" x14ac:dyDescent="0.2">
      <c r="A93" s="1830" t="s">
        <v>1698</v>
      </c>
      <c r="B93" s="1831"/>
      <c r="C93" s="1831"/>
      <c r="D93" s="1831"/>
      <c r="E93" s="1831"/>
      <c r="F93" s="1831"/>
      <c r="G93" s="1831"/>
      <c r="H93" s="1831"/>
      <c r="I93" s="1831"/>
      <c r="J93" s="1831"/>
      <c r="K93" s="1831"/>
      <c r="L93" s="1831"/>
      <c r="M93" s="1831"/>
      <c r="N93" s="1832"/>
      <c r="AG93" s="537" t="s">
        <v>1698</v>
      </c>
    </row>
    <row r="94" spans="1:33" s="536" customFormat="1" ht="22.5" x14ac:dyDescent="0.2">
      <c r="A94" s="575" t="s">
        <v>188</v>
      </c>
      <c r="B94" s="670" t="s">
        <v>1699</v>
      </c>
      <c r="C94" s="1823" t="s">
        <v>1700</v>
      </c>
      <c r="D94" s="1823"/>
      <c r="E94" s="1823"/>
      <c r="F94" s="573" t="s">
        <v>1110</v>
      </c>
      <c r="G94" s="573"/>
      <c r="H94" s="573"/>
      <c r="I94" s="573" t="s">
        <v>2343</v>
      </c>
      <c r="J94" s="572"/>
      <c r="K94" s="573"/>
      <c r="L94" s="572"/>
      <c r="M94" s="571"/>
      <c r="N94" s="570"/>
      <c r="W94" s="537" t="s">
        <v>1700</v>
      </c>
    </row>
    <row r="95" spans="1:33" s="536" customFormat="1" x14ac:dyDescent="0.2">
      <c r="A95" s="676"/>
      <c r="B95" s="664"/>
      <c r="C95" s="1822" t="s">
        <v>3571</v>
      </c>
      <c r="D95" s="1822"/>
      <c r="E95" s="1822"/>
      <c r="F95" s="1822"/>
      <c r="G95" s="1822"/>
      <c r="H95" s="1822"/>
      <c r="I95" s="1822"/>
      <c r="J95" s="1822"/>
      <c r="K95" s="1822"/>
      <c r="L95" s="1822"/>
      <c r="M95" s="1822"/>
      <c r="N95" s="1827"/>
      <c r="AC95" s="537" t="s">
        <v>3571</v>
      </c>
    </row>
    <row r="96" spans="1:33" s="536" customFormat="1" ht="33.75" x14ac:dyDescent="0.2">
      <c r="A96" s="609"/>
      <c r="B96" s="552" t="s">
        <v>310</v>
      </c>
      <c r="C96" s="1822" t="s">
        <v>311</v>
      </c>
      <c r="D96" s="1822"/>
      <c r="E96" s="1822"/>
      <c r="F96" s="1822"/>
      <c r="G96" s="1822"/>
      <c r="H96" s="1822"/>
      <c r="I96" s="1822"/>
      <c r="J96" s="1822"/>
      <c r="K96" s="1822"/>
      <c r="L96" s="1822"/>
      <c r="M96" s="1822"/>
      <c r="N96" s="1827"/>
      <c r="X96" s="537" t="s">
        <v>311</v>
      </c>
    </row>
    <row r="97" spans="1:29" s="536" customFormat="1" x14ac:dyDescent="0.2">
      <c r="A97" s="605"/>
      <c r="B97" s="552" t="s">
        <v>185</v>
      </c>
      <c r="C97" s="1822" t="s">
        <v>312</v>
      </c>
      <c r="D97" s="1822"/>
      <c r="E97" s="1822"/>
      <c r="F97" s="562"/>
      <c r="G97" s="562"/>
      <c r="H97" s="562"/>
      <c r="I97" s="562"/>
      <c r="J97" s="604">
        <v>110.54</v>
      </c>
      <c r="K97" s="562" t="s">
        <v>313</v>
      </c>
      <c r="L97" s="604">
        <v>352.35</v>
      </c>
      <c r="M97" s="603"/>
      <c r="N97" s="602"/>
      <c r="Y97" s="537" t="s">
        <v>312</v>
      </c>
    </row>
    <row r="98" spans="1:29" s="536" customFormat="1" x14ac:dyDescent="0.2">
      <c r="A98" s="605"/>
      <c r="B98" s="552" t="s">
        <v>186</v>
      </c>
      <c r="C98" s="1822" t="s">
        <v>344</v>
      </c>
      <c r="D98" s="1822"/>
      <c r="E98" s="1822"/>
      <c r="F98" s="562"/>
      <c r="G98" s="562"/>
      <c r="H98" s="562"/>
      <c r="I98" s="562"/>
      <c r="J98" s="604">
        <v>577.26</v>
      </c>
      <c r="K98" s="562" t="s">
        <v>313</v>
      </c>
      <c r="L98" s="604">
        <v>1840.02</v>
      </c>
      <c r="M98" s="603"/>
      <c r="N98" s="602"/>
      <c r="Y98" s="537" t="s">
        <v>344</v>
      </c>
    </row>
    <row r="99" spans="1:29" s="536" customFormat="1" x14ac:dyDescent="0.2">
      <c r="A99" s="605"/>
      <c r="B99" s="552" t="s">
        <v>187</v>
      </c>
      <c r="C99" s="1822" t="s">
        <v>345</v>
      </c>
      <c r="D99" s="1822"/>
      <c r="E99" s="1822"/>
      <c r="F99" s="562"/>
      <c r="G99" s="562"/>
      <c r="H99" s="562"/>
      <c r="I99" s="562"/>
      <c r="J99" s="604">
        <v>55.11</v>
      </c>
      <c r="K99" s="562" t="s">
        <v>313</v>
      </c>
      <c r="L99" s="604">
        <v>175.66</v>
      </c>
      <c r="M99" s="603"/>
      <c r="N99" s="602"/>
      <c r="Y99" s="537" t="s">
        <v>345</v>
      </c>
    </row>
    <row r="100" spans="1:29" s="536" customFormat="1" x14ac:dyDescent="0.2">
      <c r="A100" s="605"/>
      <c r="B100" s="552" t="s">
        <v>188</v>
      </c>
      <c r="C100" s="1822" t="s">
        <v>475</v>
      </c>
      <c r="D100" s="1822"/>
      <c r="E100" s="1822"/>
      <c r="F100" s="562"/>
      <c r="G100" s="562"/>
      <c r="H100" s="562"/>
      <c r="I100" s="562"/>
      <c r="J100" s="604">
        <v>60.47</v>
      </c>
      <c r="K100" s="562"/>
      <c r="L100" s="604">
        <v>154.19999999999999</v>
      </c>
      <c r="M100" s="603"/>
      <c r="N100" s="602"/>
      <c r="Y100" s="537" t="s">
        <v>475</v>
      </c>
    </row>
    <row r="101" spans="1:29" s="536" customFormat="1" x14ac:dyDescent="0.2">
      <c r="A101" s="605"/>
      <c r="B101" s="552"/>
      <c r="C101" s="1822" t="s">
        <v>314</v>
      </c>
      <c r="D101" s="1822"/>
      <c r="E101" s="1822"/>
      <c r="F101" s="562" t="s">
        <v>315</v>
      </c>
      <c r="G101" s="562" t="s">
        <v>1703</v>
      </c>
      <c r="H101" s="562" t="s">
        <v>313</v>
      </c>
      <c r="I101" s="562" t="s">
        <v>3572</v>
      </c>
      <c r="J101" s="604"/>
      <c r="K101" s="562"/>
      <c r="L101" s="604"/>
      <c r="M101" s="603"/>
      <c r="N101" s="602"/>
      <c r="Z101" s="537" t="s">
        <v>314</v>
      </c>
    </row>
    <row r="102" spans="1:29" s="536" customFormat="1" x14ac:dyDescent="0.2">
      <c r="A102" s="605"/>
      <c r="B102" s="552"/>
      <c r="C102" s="1822" t="s">
        <v>348</v>
      </c>
      <c r="D102" s="1822"/>
      <c r="E102" s="1822"/>
      <c r="F102" s="562" t="s">
        <v>315</v>
      </c>
      <c r="G102" s="562" t="s">
        <v>1705</v>
      </c>
      <c r="H102" s="562" t="s">
        <v>313</v>
      </c>
      <c r="I102" s="562" t="s">
        <v>3573</v>
      </c>
      <c r="J102" s="604"/>
      <c r="K102" s="562"/>
      <c r="L102" s="604"/>
      <c r="M102" s="603"/>
      <c r="N102" s="602"/>
      <c r="Z102" s="537" t="s">
        <v>348</v>
      </c>
    </row>
    <row r="103" spans="1:29" s="536" customFormat="1" x14ac:dyDescent="0.2">
      <c r="A103" s="605"/>
      <c r="B103" s="552"/>
      <c r="C103" s="1828" t="s">
        <v>318</v>
      </c>
      <c r="D103" s="1828"/>
      <c r="E103" s="1828"/>
      <c r="F103" s="608"/>
      <c r="G103" s="608"/>
      <c r="H103" s="608"/>
      <c r="I103" s="608"/>
      <c r="J103" s="607">
        <v>748.27</v>
      </c>
      <c r="K103" s="608"/>
      <c r="L103" s="607">
        <v>2346.5700000000002</v>
      </c>
      <c r="M103" s="601"/>
      <c r="N103" s="606"/>
      <c r="AA103" s="537" t="s">
        <v>318</v>
      </c>
    </row>
    <row r="104" spans="1:29" s="536" customFormat="1" x14ac:dyDescent="0.2">
      <c r="A104" s="605"/>
      <c r="B104" s="552"/>
      <c r="C104" s="1822" t="s">
        <v>319</v>
      </c>
      <c r="D104" s="1822"/>
      <c r="E104" s="1822"/>
      <c r="F104" s="562"/>
      <c r="G104" s="562"/>
      <c r="H104" s="562"/>
      <c r="I104" s="562"/>
      <c r="J104" s="604"/>
      <c r="K104" s="562"/>
      <c r="L104" s="604">
        <v>528.01</v>
      </c>
      <c r="M104" s="603"/>
      <c r="N104" s="602"/>
      <c r="Z104" s="537" t="s">
        <v>319</v>
      </c>
    </row>
    <row r="105" spans="1:29" s="536" customFormat="1" ht="33.75" x14ac:dyDescent="0.2">
      <c r="A105" s="605"/>
      <c r="B105" s="552" t="s">
        <v>1631</v>
      </c>
      <c r="C105" s="1822" t="s">
        <v>1632</v>
      </c>
      <c r="D105" s="1822"/>
      <c r="E105" s="1822"/>
      <c r="F105" s="562" t="s">
        <v>322</v>
      </c>
      <c r="G105" s="562" t="s">
        <v>1633</v>
      </c>
      <c r="H105" s="562"/>
      <c r="I105" s="562" t="s">
        <v>1633</v>
      </c>
      <c r="J105" s="604"/>
      <c r="K105" s="562"/>
      <c r="L105" s="604">
        <v>512.16999999999996</v>
      </c>
      <c r="M105" s="603"/>
      <c r="N105" s="602"/>
      <c r="Z105" s="537" t="s">
        <v>1632</v>
      </c>
    </row>
    <row r="106" spans="1:29" s="536" customFormat="1" ht="33.75" x14ac:dyDescent="0.2">
      <c r="A106" s="605"/>
      <c r="B106" s="552" t="s">
        <v>1634</v>
      </c>
      <c r="C106" s="1822" t="s">
        <v>1635</v>
      </c>
      <c r="D106" s="1822"/>
      <c r="E106" s="1822"/>
      <c r="F106" s="562" t="s">
        <v>322</v>
      </c>
      <c r="G106" s="562" t="s">
        <v>786</v>
      </c>
      <c r="H106" s="562"/>
      <c r="I106" s="562" t="s">
        <v>786</v>
      </c>
      <c r="J106" s="604"/>
      <c r="K106" s="562"/>
      <c r="L106" s="604">
        <v>269.29000000000002</v>
      </c>
      <c r="M106" s="603"/>
      <c r="N106" s="602"/>
      <c r="Z106" s="537" t="s">
        <v>1635</v>
      </c>
    </row>
    <row r="107" spans="1:29" s="536" customFormat="1" x14ac:dyDescent="0.2">
      <c r="A107" s="569"/>
      <c r="B107" s="671"/>
      <c r="C107" s="1823" t="s">
        <v>327</v>
      </c>
      <c r="D107" s="1823"/>
      <c r="E107" s="1823"/>
      <c r="F107" s="573"/>
      <c r="G107" s="573"/>
      <c r="H107" s="573"/>
      <c r="I107" s="573"/>
      <c r="J107" s="572"/>
      <c r="K107" s="573"/>
      <c r="L107" s="572">
        <v>3128.03</v>
      </c>
      <c r="M107" s="601"/>
      <c r="N107" s="570"/>
      <c r="AB107" s="537" t="s">
        <v>327</v>
      </c>
    </row>
    <row r="108" spans="1:29" s="536" customFormat="1" ht="33.75" x14ac:dyDescent="0.2">
      <c r="A108" s="575" t="s">
        <v>189</v>
      </c>
      <c r="B108" s="670" t="s">
        <v>1707</v>
      </c>
      <c r="C108" s="1823" t="s">
        <v>3371</v>
      </c>
      <c r="D108" s="1823"/>
      <c r="E108" s="1823"/>
      <c r="F108" s="573" t="s">
        <v>483</v>
      </c>
      <c r="G108" s="573"/>
      <c r="H108" s="573"/>
      <c r="I108" s="573" t="s">
        <v>3574</v>
      </c>
      <c r="J108" s="572">
        <v>679.03</v>
      </c>
      <c r="K108" s="573" t="s">
        <v>716</v>
      </c>
      <c r="L108" s="572">
        <v>21652.400000000001</v>
      </c>
      <c r="M108" s="571">
        <v>8.32</v>
      </c>
      <c r="N108" s="570">
        <v>180148</v>
      </c>
      <c r="W108" s="537" t="s">
        <v>3371</v>
      </c>
    </row>
    <row r="109" spans="1:29" s="536" customFormat="1" x14ac:dyDescent="0.2">
      <c r="A109" s="569"/>
      <c r="B109" s="671"/>
      <c r="C109" s="665" t="s">
        <v>1658</v>
      </c>
      <c r="D109" s="666"/>
      <c r="E109" s="666"/>
      <c r="F109" s="563"/>
      <c r="G109" s="563"/>
      <c r="H109" s="563"/>
      <c r="I109" s="563"/>
      <c r="J109" s="566"/>
      <c r="K109" s="563"/>
      <c r="L109" s="566"/>
      <c r="M109" s="565"/>
      <c r="N109" s="564"/>
    </row>
    <row r="110" spans="1:29" s="536" customFormat="1" x14ac:dyDescent="0.2">
      <c r="A110" s="676"/>
      <c r="B110" s="664"/>
      <c r="C110" s="1822" t="s">
        <v>3575</v>
      </c>
      <c r="D110" s="1822"/>
      <c r="E110" s="1822"/>
      <c r="F110" s="1822"/>
      <c r="G110" s="1822"/>
      <c r="H110" s="1822"/>
      <c r="I110" s="1822"/>
      <c r="J110" s="1822"/>
      <c r="K110" s="1822"/>
      <c r="L110" s="1822"/>
      <c r="M110" s="1822"/>
      <c r="N110" s="1827"/>
      <c r="AC110" s="537" t="s">
        <v>3575</v>
      </c>
    </row>
    <row r="111" spans="1:29" s="536" customFormat="1" ht="22.5" x14ac:dyDescent="0.2">
      <c r="A111" s="609"/>
      <c r="B111" s="552" t="s">
        <v>718</v>
      </c>
      <c r="C111" s="1822" t="s">
        <v>719</v>
      </c>
      <c r="D111" s="1822"/>
      <c r="E111" s="1822"/>
      <c r="F111" s="1822"/>
      <c r="G111" s="1822"/>
      <c r="H111" s="1822"/>
      <c r="I111" s="1822"/>
      <c r="J111" s="1822"/>
      <c r="K111" s="1822"/>
      <c r="L111" s="1822"/>
      <c r="M111" s="1822"/>
      <c r="N111" s="1827"/>
      <c r="X111" s="537" t="s">
        <v>719</v>
      </c>
    </row>
    <row r="112" spans="1:29" s="536" customFormat="1" ht="33.75" x14ac:dyDescent="0.2">
      <c r="A112" s="575" t="s">
        <v>190</v>
      </c>
      <c r="B112" s="670" t="s">
        <v>3576</v>
      </c>
      <c r="C112" s="1823" t="s">
        <v>1712</v>
      </c>
      <c r="D112" s="1823"/>
      <c r="E112" s="1823"/>
      <c r="F112" s="573" t="s">
        <v>617</v>
      </c>
      <c r="G112" s="573"/>
      <c r="H112" s="573"/>
      <c r="I112" s="573" t="s">
        <v>196</v>
      </c>
      <c r="J112" s="572">
        <v>379.81</v>
      </c>
      <c r="K112" s="573" t="s">
        <v>716</v>
      </c>
      <c r="L112" s="572">
        <v>558.77</v>
      </c>
      <c r="M112" s="571">
        <v>8.32</v>
      </c>
      <c r="N112" s="570">
        <v>4649</v>
      </c>
      <c r="W112" s="537" t="s">
        <v>1712</v>
      </c>
    </row>
    <row r="113" spans="1:29" s="536" customFormat="1" x14ac:dyDescent="0.2">
      <c r="A113" s="569"/>
      <c r="B113" s="671"/>
      <c r="C113" s="665" t="s">
        <v>1658</v>
      </c>
      <c r="D113" s="666"/>
      <c r="E113" s="666"/>
      <c r="F113" s="563"/>
      <c r="G113" s="563"/>
      <c r="H113" s="563"/>
      <c r="I113" s="563"/>
      <c r="J113" s="566"/>
      <c r="K113" s="563"/>
      <c r="L113" s="566"/>
      <c r="M113" s="565"/>
      <c r="N113" s="564"/>
    </row>
    <row r="114" spans="1:29" s="536" customFormat="1" ht="22.5" x14ac:dyDescent="0.2">
      <c r="A114" s="609"/>
      <c r="B114" s="552" t="s">
        <v>718</v>
      </c>
      <c r="C114" s="1822" t="s">
        <v>719</v>
      </c>
      <c r="D114" s="1822"/>
      <c r="E114" s="1822"/>
      <c r="F114" s="1822"/>
      <c r="G114" s="1822"/>
      <c r="H114" s="1822"/>
      <c r="I114" s="1822"/>
      <c r="J114" s="1822"/>
      <c r="K114" s="1822"/>
      <c r="L114" s="1822"/>
      <c r="M114" s="1822"/>
      <c r="N114" s="1827"/>
      <c r="X114" s="537" t="s">
        <v>719</v>
      </c>
    </row>
    <row r="115" spans="1:29" s="536" customFormat="1" ht="33.75" x14ac:dyDescent="0.2">
      <c r="A115" s="575" t="s">
        <v>191</v>
      </c>
      <c r="B115" s="670" t="s">
        <v>1713</v>
      </c>
      <c r="C115" s="1823" t="s">
        <v>1714</v>
      </c>
      <c r="D115" s="1823"/>
      <c r="E115" s="1823"/>
      <c r="F115" s="573" t="s">
        <v>617</v>
      </c>
      <c r="G115" s="573"/>
      <c r="H115" s="573"/>
      <c r="I115" s="573" t="s">
        <v>193</v>
      </c>
      <c r="J115" s="572">
        <v>650.20000000000005</v>
      </c>
      <c r="K115" s="573" t="s">
        <v>716</v>
      </c>
      <c r="L115" s="572">
        <v>717.43</v>
      </c>
      <c r="M115" s="571">
        <v>8.32</v>
      </c>
      <c r="N115" s="570">
        <v>5969</v>
      </c>
      <c r="W115" s="537" t="s">
        <v>1714</v>
      </c>
    </row>
    <row r="116" spans="1:29" s="536" customFormat="1" x14ac:dyDescent="0.2">
      <c r="A116" s="569"/>
      <c r="B116" s="671"/>
      <c r="C116" s="665" t="s">
        <v>1658</v>
      </c>
      <c r="D116" s="666"/>
      <c r="E116" s="666"/>
      <c r="F116" s="563"/>
      <c r="G116" s="563"/>
      <c r="H116" s="563"/>
      <c r="I116" s="563"/>
      <c r="J116" s="566"/>
      <c r="K116" s="563"/>
      <c r="L116" s="566"/>
      <c r="M116" s="565"/>
      <c r="N116" s="564"/>
    </row>
    <row r="117" spans="1:29" s="536" customFormat="1" ht="22.5" x14ac:dyDescent="0.2">
      <c r="A117" s="609"/>
      <c r="B117" s="552" t="s">
        <v>718</v>
      </c>
      <c r="C117" s="1822" t="s">
        <v>719</v>
      </c>
      <c r="D117" s="1822"/>
      <c r="E117" s="1822"/>
      <c r="F117" s="1822"/>
      <c r="G117" s="1822"/>
      <c r="H117" s="1822"/>
      <c r="I117" s="1822"/>
      <c r="J117" s="1822"/>
      <c r="K117" s="1822"/>
      <c r="L117" s="1822"/>
      <c r="M117" s="1822"/>
      <c r="N117" s="1827"/>
      <c r="X117" s="537" t="s">
        <v>719</v>
      </c>
    </row>
    <row r="118" spans="1:29" s="536" customFormat="1" ht="45" x14ac:dyDescent="0.2">
      <c r="A118" s="575" t="s">
        <v>192</v>
      </c>
      <c r="B118" s="670" t="s">
        <v>1680</v>
      </c>
      <c r="C118" s="1823" t="s">
        <v>1681</v>
      </c>
      <c r="D118" s="1823"/>
      <c r="E118" s="1823"/>
      <c r="F118" s="573" t="s">
        <v>1110</v>
      </c>
      <c r="G118" s="573"/>
      <c r="H118" s="573"/>
      <c r="I118" s="573" t="s">
        <v>890</v>
      </c>
      <c r="J118" s="572"/>
      <c r="K118" s="573"/>
      <c r="L118" s="572"/>
      <c r="M118" s="571"/>
      <c r="N118" s="570"/>
      <c r="W118" s="537" t="s">
        <v>1681</v>
      </c>
    </row>
    <row r="119" spans="1:29" s="536" customFormat="1" x14ac:dyDescent="0.2">
      <c r="A119" s="676"/>
      <c r="B119" s="664"/>
      <c r="C119" s="1822" t="s">
        <v>2333</v>
      </c>
      <c r="D119" s="1822"/>
      <c r="E119" s="1822"/>
      <c r="F119" s="1822"/>
      <c r="G119" s="1822"/>
      <c r="H119" s="1822"/>
      <c r="I119" s="1822"/>
      <c r="J119" s="1822"/>
      <c r="K119" s="1822"/>
      <c r="L119" s="1822"/>
      <c r="M119" s="1822"/>
      <c r="N119" s="1827"/>
      <c r="AC119" s="537" t="s">
        <v>2333</v>
      </c>
    </row>
    <row r="120" spans="1:29" s="536" customFormat="1" ht="33.75" x14ac:dyDescent="0.2">
      <c r="A120" s="609"/>
      <c r="B120" s="552" t="s">
        <v>310</v>
      </c>
      <c r="C120" s="1822" t="s">
        <v>311</v>
      </c>
      <c r="D120" s="1822"/>
      <c r="E120" s="1822"/>
      <c r="F120" s="1822"/>
      <c r="G120" s="1822"/>
      <c r="H120" s="1822"/>
      <c r="I120" s="1822"/>
      <c r="J120" s="1822"/>
      <c r="K120" s="1822"/>
      <c r="L120" s="1822"/>
      <c r="M120" s="1822"/>
      <c r="N120" s="1827"/>
      <c r="X120" s="537" t="s">
        <v>311</v>
      </c>
    </row>
    <row r="121" spans="1:29" s="536" customFormat="1" x14ac:dyDescent="0.2">
      <c r="A121" s="605"/>
      <c r="B121" s="552" t="s">
        <v>185</v>
      </c>
      <c r="C121" s="1822" t="s">
        <v>312</v>
      </c>
      <c r="D121" s="1822"/>
      <c r="E121" s="1822"/>
      <c r="F121" s="562"/>
      <c r="G121" s="562"/>
      <c r="H121" s="562"/>
      <c r="I121" s="562"/>
      <c r="J121" s="604">
        <v>50.67</v>
      </c>
      <c r="K121" s="562" t="s">
        <v>313</v>
      </c>
      <c r="L121" s="604">
        <v>12.67</v>
      </c>
      <c r="M121" s="603"/>
      <c r="N121" s="602"/>
      <c r="Y121" s="537" t="s">
        <v>312</v>
      </c>
    </row>
    <row r="122" spans="1:29" s="536" customFormat="1" x14ac:dyDescent="0.2">
      <c r="A122" s="605"/>
      <c r="B122" s="552" t="s">
        <v>186</v>
      </c>
      <c r="C122" s="1822" t="s">
        <v>344</v>
      </c>
      <c r="D122" s="1822"/>
      <c r="E122" s="1822"/>
      <c r="F122" s="562"/>
      <c r="G122" s="562"/>
      <c r="H122" s="562"/>
      <c r="I122" s="562"/>
      <c r="J122" s="604">
        <v>3.62</v>
      </c>
      <c r="K122" s="562" t="s">
        <v>313</v>
      </c>
      <c r="L122" s="604">
        <v>0.91</v>
      </c>
      <c r="M122" s="603"/>
      <c r="N122" s="602"/>
      <c r="Y122" s="537" t="s">
        <v>344</v>
      </c>
    </row>
    <row r="123" spans="1:29" s="536" customFormat="1" x14ac:dyDescent="0.2">
      <c r="A123" s="605"/>
      <c r="B123" s="552" t="s">
        <v>187</v>
      </c>
      <c r="C123" s="1822" t="s">
        <v>345</v>
      </c>
      <c r="D123" s="1822"/>
      <c r="E123" s="1822"/>
      <c r="F123" s="562"/>
      <c r="G123" s="562"/>
      <c r="H123" s="562"/>
      <c r="I123" s="562"/>
      <c r="J123" s="604">
        <v>0.5</v>
      </c>
      <c r="K123" s="562" t="s">
        <v>313</v>
      </c>
      <c r="L123" s="604">
        <v>0.13</v>
      </c>
      <c r="M123" s="603"/>
      <c r="N123" s="602"/>
      <c r="Y123" s="537" t="s">
        <v>345</v>
      </c>
    </row>
    <row r="124" spans="1:29" s="536" customFormat="1" x14ac:dyDescent="0.2">
      <c r="A124" s="605"/>
      <c r="B124" s="552" t="s">
        <v>188</v>
      </c>
      <c r="C124" s="1822" t="s">
        <v>475</v>
      </c>
      <c r="D124" s="1822"/>
      <c r="E124" s="1822"/>
      <c r="F124" s="562"/>
      <c r="G124" s="562"/>
      <c r="H124" s="562"/>
      <c r="I124" s="562"/>
      <c r="J124" s="604">
        <v>14.48</v>
      </c>
      <c r="K124" s="562"/>
      <c r="L124" s="604">
        <v>2.9</v>
      </c>
      <c r="M124" s="603"/>
      <c r="N124" s="602"/>
      <c r="Y124" s="537" t="s">
        <v>475</v>
      </c>
    </row>
    <row r="125" spans="1:29" s="536" customFormat="1" x14ac:dyDescent="0.2">
      <c r="A125" s="605"/>
      <c r="B125" s="552"/>
      <c r="C125" s="1822" t="s">
        <v>314</v>
      </c>
      <c r="D125" s="1822"/>
      <c r="E125" s="1822"/>
      <c r="F125" s="562" t="s">
        <v>315</v>
      </c>
      <c r="G125" s="562" t="s">
        <v>1682</v>
      </c>
      <c r="H125" s="562" t="s">
        <v>313</v>
      </c>
      <c r="I125" s="562" t="s">
        <v>2334</v>
      </c>
      <c r="J125" s="604"/>
      <c r="K125" s="562"/>
      <c r="L125" s="604"/>
      <c r="M125" s="603"/>
      <c r="N125" s="602"/>
      <c r="Z125" s="537" t="s">
        <v>314</v>
      </c>
    </row>
    <row r="126" spans="1:29" s="536" customFormat="1" x14ac:dyDescent="0.2">
      <c r="A126" s="605"/>
      <c r="B126" s="552"/>
      <c r="C126" s="1822" t="s">
        <v>348</v>
      </c>
      <c r="D126" s="1822"/>
      <c r="E126" s="1822"/>
      <c r="F126" s="562" t="s">
        <v>315</v>
      </c>
      <c r="G126" s="562" t="s">
        <v>728</v>
      </c>
      <c r="H126" s="562" t="s">
        <v>313</v>
      </c>
      <c r="I126" s="562" t="s">
        <v>809</v>
      </c>
      <c r="J126" s="604"/>
      <c r="K126" s="562"/>
      <c r="L126" s="604"/>
      <c r="M126" s="603"/>
      <c r="N126" s="602"/>
      <c r="Z126" s="537" t="s">
        <v>348</v>
      </c>
    </row>
    <row r="127" spans="1:29" s="536" customFormat="1" x14ac:dyDescent="0.2">
      <c r="A127" s="605"/>
      <c r="B127" s="552"/>
      <c r="C127" s="1828" t="s">
        <v>318</v>
      </c>
      <c r="D127" s="1828"/>
      <c r="E127" s="1828"/>
      <c r="F127" s="608"/>
      <c r="G127" s="608"/>
      <c r="H127" s="608"/>
      <c r="I127" s="608"/>
      <c r="J127" s="607">
        <v>68.77</v>
      </c>
      <c r="K127" s="608"/>
      <c r="L127" s="607">
        <v>16.48</v>
      </c>
      <c r="M127" s="601"/>
      <c r="N127" s="606"/>
      <c r="AA127" s="537" t="s">
        <v>318</v>
      </c>
    </row>
    <row r="128" spans="1:29" s="536" customFormat="1" x14ac:dyDescent="0.2">
      <c r="A128" s="605"/>
      <c r="B128" s="552"/>
      <c r="C128" s="1822" t="s">
        <v>319</v>
      </c>
      <c r="D128" s="1822"/>
      <c r="E128" s="1822"/>
      <c r="F128" s="562"/>
      <c r="G128" s="562"/>
      <c r="H128" s="562"/>
      <c r="I128" s="562"/>
      <c r="J128" s="604"/>
      <c r="K128" s="562"/>
      <c r="L128" s="604">
        <v>12.8</v>
      </c>
      <c r="M128" s="603"/>
      <c r="N128" s="602"/>
      <c r="Z128" s="537" t="s">
        <v>319</v>
      </c>
    </row>
    <row r="129" spans="1:29" s="536" customFormat="1" ht="33.75" x14ac:dyDescent="0.2">
      <c r="A129" s="605"/>
      <c r="B129" s="552" t="s">
        <v>1631</v>
      </c>
      <c r="C129" s="1822" t="s">
        <v>1632</v>
      </c>
      <c r="D129" s="1822"/>
      <c r="E129" s="1822"/>
      <c r="F129" s="562" t="s">
        <v>322</v>
      </c>
      <c r="G129" s="562" t="s">
        <v>1633</v>
      </c>
      <c r="H129" s="562"/>
      <c r="I129" s="562" t="s">
        <v>1633</v>
      </c>
      <c r="J129" s="604"/>
      <c r="K129" s="562"/>
      <c r="L129" s="604">
        <v>12.42</v>
      </c>
      <c r="M129" s="603"/>
      <c r="N129" s="602"/>
      <c r="Z129" s="537" t="s">
        <v>1632</v>
      </c>
    </row>
    <row r="130" spans="1:29" s="536" customFormat="1" ht="33.75" x14ac:dyDescent="0.2">
      <c r="A130" s="605"/>
      <c r="B130" s="552" t="s">
        <v>1634</v>
      </c>
      <c r="C130" s="1822" t="s">
        <v>1635</v>
      </c>
      <c r="D130" s="1822"/>
      <c r="E130" s="1822"/>
      <c r="F130" s="562" t="s">
        <v>322</v>
      </c>
      <c r="G130" s="562" t="s">
        <v>786</v>
      </c>
      <c r="H130" s="562"/>
      <c r="I130" s="562" t="s">
        <v>786</v>
      </c>
      <c r="J130" s="604"/>
      <c r="K130" s="562"/>
      <c r="L130" s="604">
        <v>6.53</v>
      </c>
      <c r="M130" s="603"/>
      <c r="N130" s="602"/>
      <c r="Z130" s="537" t="s">
        <v>1635</v>
      </c>
    </row>
    <row r="131" spans="1:29" s="536" customFormat="1" x14ac:dyDescent="0.2">
      <c r="A131" s="569"/>
      <c r="B131" s="671"/>
      <c r="C131" s="1823" t="s">
        <v>327</v>
      </c>
      <c r="D131" s="1823"/>
      <c r="E131" s="1823"/>
      <c r="F131" s="573"/>
      <c r="G131" s="573"/>
      <c r="H131" s="573"/>
      <c r="I131" s="573"/>
      <c r="J131" s="572"/>
      <c r="K131" s="573"/>
      <c r="L131" s="572">
        <v>35.43</v>
      </c>
      <c r="M131" s="601"/>
      <c r="N131" s="570"/>
      <c r="AB131" s="537" t="s">
        <v>327</v>
      </c>
    </row>
    <row r="132" spans="1:29" s="536" customFormat="1" ht="33.75" x14ac:dyDescent="0.2">
      <c r="A132" s="575" t="s">
        <v>193</v>
      </c>
      <c r="B132" s="670" t="s">
        <v>2335</v>
      </c>
      <c r="C132" s="1823" t="s">
        <v>1720</v>
      </c>
      <c r="D132" s="1823"/>
      <c r="E132" s="1823"/>
      <c r="F132" s="573" t="s">
        <v>483</v>
      </c>
      <c r="G132" s="573"/>
      <c r="H132" s="573"/>
      <c r="I132" s="573" t="s">
        <v>2336</v>
      </c>
      <c r="J132" s="572">
        <v>253.2</v>
      </c>
      <c r="K132" s="573" t="s">
        <v>716</v>
      </c>
      <c r="L132" s="572">
        <v>633.29</v>
      </c>
      <c r="M132" s="571">
        <v>8.32</v>
      </c>
      <c r="N132" s="570">
        <v>5269</v>
      </c>
      <c r="W132" s="537" t="s">
        <v>1720</v>
      </c>
    </row>
    <row r="133" spans="1:29" s="536" customFormat="1" x14ac:dyDescent="0.2">
      <c r="A133" s="569"/>
      <c r="B133" s="671"/>
      <c r="C133" s="665" t="s">
        <v>1658</v>
      </c>
      <c r="D133" s="666"/>
      <c r="E133" s="666"/>
      <c r="F133" s="563"/>
      <c r="G133" s="563"/>
      <c r="H133" s="563"/>
      <c r="I133" s="563"/>
      <c r="J133" s="566"/>
      <c r="K133" s="563"/>
      <c r="L133" s="566"/>
      <c r="M133" s="565"/>
      <c r="N133" s="564"/>
    </row>
    <row r="134" spans="1:29" s="536" customFormat="1" x14ac:dyDescent="0.2">
      <c r="A134" s="676"/>
      <c r="B134" s="664"/>
      <c r="C134" s="1822" t="s">
        <v>2337</v>
      </c>
      <c r="D134" s="1822"/>
      <c r="E134" s="1822"/>
      <c r="F134" s="1822"/>
      <c r="G134" s="1822"/>
      <c r="H134" s="1822"/>
      <c r="I134" s="1822"/>
      <c r="J134" s="1822"/>
      <c r="K134" s="1822"/>
      <c r="L134" s="1822"/>
      <c r="M134" s="1822"/>
      <c r="N134" s="1827"/>
      <c r="AC134" s="537" t="s">
        <v>2337</v>
      </c>
    </row>
    <row r="135" spans="1:29" s="536" customFormat="1" ht="22.5" x14ac:dyDescent="0.2">
      <c r="A135" s="609"/>
      <c r="B135" s="552" t="s">
        <v>718</v>
      </c>
      <c r="C135" s="1822" t="s">
        <v>719</v>
      </c>
      <c r="D135" s="1822"/>
      <c r="E135" s="1822"/>
      <c r="F135" s="1822"/>
      <c r="G135" s="1822"/>
      <c r="H135" s="1822"/>
      <c r="I135" s="1822"/>
      <c r="J135" s="1822"/>
      <c r="K135" s="1822"/>
      <c r="L135" s="1822"/>
      <c r="M135" s="1822"/>
      <c r="N135" s="1827"/>
      <c r="X135" s="537" t="s">
        <v>719</v>
      </c>
    </row>
    <row r="136" spans="1:29" s="536" customFormat="1" ht="45" x14ac:dyDescent="0.2">
      <c r="A136" s="575" t="s">
        <v>194</v>
      </c>
      <c r="B136" s="670" t="s">
        <v>1668</v>
      </c>
      <c r="C136" s="1823" t="s">
        <v>1669</v>
      </c>
      <c r="D136" s="1823"/>
      <c r="E136" s="1823"/>
      <c r="F136" s="573" t="s">
        <v>1110</v>
      </c>
      <c r="G136" s="573"/>
      <c r="H136" s="573"/>
      <c r="I136" s="573" t="s">
        <v>890</v>
      </c>
      <c r="J136" s="572"/>
      <c r="K136" s="573"/>
      <c r="L136" s="572"/>
      <c r="M136" s="571"/>
      <c r="N136" s="570"/>
      <c r="W136" s="537" t="s">
        <v>1669</v>
      </c>
    </row>
    <row r="137" spans="1:29" s="536" customFormat="1" x14ac:dyDescent="0.2">
      <c r="A137" s="676"/>
      <c r="B137" s="664"/>
      <c r="C137" s="1822" t="s">
        <v>2333</v>
      </c>
      <c r="D137" s="1822"/>
      <c r="E137" s="1822"/>
      <c r="F137" s="1822"/>
      <c r="G137" s="1822"/>
      <c r="H137" s="1822"/>
      <c r="I137" s="1822"/>
      <c r="J137" s="1822"/>
      <c r="K137" s="1822"/>
      <c r="L137" s="1822"/>
      <c r="M137" s="1822"/>
      <c r="N137" s="1827"/>
      <c r="AC137" s="537" t="s">
        <v>2333</v>
      </c>
    </row>
    <row r="138" spans="1:29" s="536" customFormat="1" ht="33.75" x14ac:dyDescent="0.2">
      <c r="A138" s="609"/>
      <c r="B138" s="552" t="s">
        <v>310</v>
      </c>
      <c r="C138" s="1822" t="s">
        <v>311</v>
      </c>
      <c r="D138" s="1822"/>
      <c r="E138" s="1822"/>
      <c r="F138" s="1822"/>
      <c r="G138" s="1822"/>
      <c r="H138" s="1822"/>
      <c r="I138" s="1822"/>
      <c r="J138" s="1822"/>
      <c r="K138" s="1822"/>
      <c r="L138" s="1822"/>
      <c r="M138" s="1822"/>
      <c r="N138" s="1827"/>
      <c r="X138" s="537" t="s">
        <v>311</v>
      </c>
    </row>
    <row r="139" spans="1:29" s="536" customFormat="1" x14ac:dyDescent="0.2">
      <c r="A139" s="605"/>
      <c r="B139" s="552" t="s">
        <v>185</v>
      </c>
      <c r="C139" s="1822" t="s">
        <v>312</v>
      </c>
      <c r="D139" s="1822"/>
      <c r="E139" s="1822"/>
      <c r="F139" s="562"/>
      <c r="G139" s="562"/>
      <c r="H139" s="562"/>
      <c r="I139" s="562"/>
      <c r="J139" s="604">
        <v>139.54</v>
      </c>
      <c r="K139" s="562" t="s">
        <v>313</v>
      </c>
      <c r="L139" s="604">
        <v>34.89</v>
      </c>
      <c r="M139" s="603"/>
      <c r="N139" s="602"/>
      <c r="Y139" s="537" t="s">
        <v>312</v>
      </c>
    </row>
    <row r="140" spans="1:29" s="536" customFormat="1" x14ac:dyDescent="0.2">
      <c r="A140" s="605"/>
      <c r="B140" s="552" t="s">
        <v>188</v>
      </c>
      <c r="C140" s="1822" t="s">
        <v>475</v>
      </c>
      <c r="D140" s="1822"/>
      <c r="E140" s="1822"/>
      <c r="F140" s="562"/>
      <c r="G140" s="562"/>
      <c r="H140" s="562"/>
      <c r="I140" s="562"/>
      <c r="J140" s="604">
        <v>16.79</v>
      </c>
      <c r="K140" s="562"/>
      <c r="L140" s="604">
        <v>3.36</v>
      </c>
      <c r="M140" s="603"/>
      <c r="N140" s="602"/>
      <c r="Y140" s="537" t="s">
        <v>475</v>
      </c>
    </row>
    <row r="141" spans="1:29" s="536" customFormat="1" x14ac:dyDescent="0.2">
      <c r="A141" s="605"/>
      <c r="B141" s="552"/>
      <c r="C141" s="1822" t="s">
        <v>314</v>
      </c>
      <c r="D141" s="1822"/>
      <c r="E141" s="1822"/>
      <c r="F141" s="562" t="s">
        <v>315</v>
      </c>
      <c r="G141" s="562" t="s">
        <v>1671</v>
      </c>
      <c r="H141" s="562" t="s">
        <v>313</v>
      </c>
      <c r="I141" s="562" t="s">
        <v>422</v>
      </c>
      <c r="J141" s="604"/>
      <c r="K141" s="562"/>
      <c r="L141" s="604"/>
      <c r="M141" s="603"/>
      <c r="N141" s="602"/>
      <c r="Z141" s="537" t="s">
        <v>314</v>
      </c>
    </row>
    <row r="142" spans="1:29" s="536" customFormat="1" x14ac:dyDescent="0.2">
      <c r="A142" s="605"/>
      <c r="B142" s="552"/>
      <c r="C142" s="1828" t="s">
        <v>318</v>
      </c>
      <c r="D142" s="1828"/>
      <c r="E142" s="1828"/>
      <c r="F142" s="608"/>
      <c r="G142" s="608"/>
      <c r="H142" s="608"/>
      <c r="I142" s="608"/>
      <c r="J142" s="607">
        <v>156.33000000000001</v>
      </c>
      <c r="K142" s="608"/>
      <c r="L142" s="607">
        <v>38.25</v>
      </c>
      <c r="M142" s="601"/>
      <c r="N142" s="606"/>
      <c r="AA142" s="537" t="s">
        <v>318</v>
      </c>
    </row>
    <row r="143" spans="1:29" s="536" customFormat="1" x14ac:dyDescent="0.2">
      <c r="A143" s="605"/>
      <c r="B143" s="552"/>
      <c r="C143" s="1822" t="s">
        <v>319</v>
      </c>
      <c r="D143" s="1822"/>
      <c r="E143" s="1822"/>
      <c r="F143" s="562"/>
      <c r="G143" s="562"/>
      <c r="H143" s="562"/>
      <c r="I143" s="562"/>
      <c r="J143" s="604"/>
      <c r="K143" s="562"/>
      <c r="L143" s="604">
        <v>34.89</v>
      </c>
      <c r="M143" s="603"/>
      <c r="N143" s="602"/>
      <c r="Z143" s="537" t="s">
        <v>319</v>
      </c>
    </row>
    <row r="144" spans="1:29" s="536" customFormat="1" ht="33.75" x14ac:dyDescent="0.2">
      <c r="A144" s="605"/>
      <c r="B144" s="552" t="s">
        <v>1631</v>
      </c>
      <c r="C144" s="1822" t="s">
        <v>1632</v>
      </c>
      <c r="D144" s="1822"/>
      <c r="E144" s="1822"/>
      <c r="F144" s="562" t="s">
        <v>322</v>
      </c>
      <c r="G144" s="562" t="s">
        <v>1633</v>
      </c>
      <c r="H144" s="562"/>
      <c r="I144" s="562" t="s">
        <v>1633</v>
      </c>
      <c r="J144" s="604"/>
      <c r="K144" s="562"/>
      <c r="L144" s="604">
        <v>33.840000000000003</v>
      </c>
      <c r="M144" s="603"/>
      <c r="N144" s="602"/>
      <c r="Z144" s="537" t="s">
        <v>1632</v>
      </c>
    </row>
    <row r="145" spans="1:29" s="536" customFormat="1" ht="33.75" x14ac:dyDescent="0.2">
      <c r="A145" s="605"/>
      <c r="B145" s="552" t="s">
        <v>1634</v>
      </c>
      <c r="C145" s="1822" t="s">
        <v>1635</v>
      </c>
      <c r="D145" s="1822"/>
      <c r="E145" s="1822"/>
      <c r="F145" s="562" t="s">
        <v>322</v>
      </c>
      <c r="G145" s="562" t="s">
        <v>786</v>
      </c>
      <c r="H145" s="562"/>
      <c r="I145" s="562" t="s">
        <v>786</v>
      </c>
      <c r="J145" s="604"/>
      <c r="K145" s="562"/>
      <c r="L145" s="604">
        <v>17.79</v>
      </c>
      <c r="M145" s="603"/>
      <c r="N145" s="602"/>
      <c r="Z145" s="537" t="s">
        <v>1635</v>
      </c>
    </row>
    <row r="146" spans="1:29" s="536" customFormat="1" x14ac:dyDescent="0.2">
      <c r="A146" s="569"/>
      <c r="B146" s="671"/>
      <c r="C146" s="1823" t="s">
        <v>327</v>
      </c>
      <c r="D146" s="1823"/>
      <c r="E146" s="1823"/>
      <c r="F146" s="573"/>
      <c r="G146" s="573"/>
      <c r="H146" s="573"/>
      <c r="I146" s="573"/>
      <c r="J146" s="572"/>
      <c r="K146" s="573"/>
      <c r="L146" s="572">
        <v>89.88</v>
      </c>
      <c r="M146" s="601"/>
      <c r="N146" s="570"/>
      <c r="AB146" s="537" t="s">
        <v>327</v>
      </c>
    </row>
    <row r="147" spans="1:29" s="536" customFormat="1" ht="33.75" x14ac:dyDescent="0.2">
      <c r="A147" s="575" t="s">
        <v>195</v>
      </c>
      <c r="B147" s="670" t="s">
        <v>1724</v>
      </c>
      <c r="C147" s="1823" t="s">
        <v>1725</v>
      </c>
      <c r="D147" s="1823"/>
      <c r="E147" s="1823"/>
      <c r="F147" s="573" t="s">
        <v>483</v>
      </c>
      <c r="G147" s="573"/>
      <c r="H147" s="573"/>
      <c r="I147" s="573" t="s">
        <v>2336</v>
      </c>
      <c r="J147" s="572">
        <v>3</v>
      </c>
      <c r="K147" s="573"/>
      <c r="L147" s="572">
        <v>61.2</v>
      </c>
      <c r="M147" s="571"/>
      <c r="N147" s="570"/>
      <c r="W147" s="537" t="s">
        <v>1725</v>
      </c>
    </row>
    <row r="148" spans="1:29" s="536" customFormat="1" x14ac:dyDescent="0.2">
      <c r="A148" s="569"/>
      <c r="B148" s="671"/>
      <c r="C148" s="665" t="s">
        <v>1658</v>
      </c>
      <c r="D148" s="666"/>
      <c r="E148" s="666"/>
      <c r="F148" s="563"/>
      <c r="G148" s="563"/>
      <c r="H148" s="563"/>
      <c r="I148" s="563"/>
      <c r="J148" s="566"/>
      <c r="K148" s="563"/>
      <c r="L148" s="566"/>
      <c r="M148" s="565"/>
      <c r="N148" s="564"/>
    </row>
    <row r="149" spans="1:29" s="536" customFormat="1" x14ac:dyDescent="0.2">
      <c r="A149" s="676"/>
      <c r="B149" s="664"/>
      <c r="C149" s="1822" t="s">
        <v>2337</v>
      </c>
      <c r="D149" s="1822"/>
      <c r="E149" s="1822"/>
      <c r="F149" s="1822"/>
      <c r="G149" s="1822"/>
      <c r="H149" s="1822"/>
      <c r="I149" s="1822"/>
      <c r="J149" s="1822"/>
      <c r="K149" s="1822"/>
      <c r="L149" s="1822"/>
      <c r="M149" s="1822"/>
      <c r="N149" s="1827"/>
      <c r="AC149" s="537" t="s">
        <v>2337</v>
      </c>
    </row>
    <row r="150" spans="1:29" s="536" customFormat="1" x14ac:dyDescent="0.2">
      <c r="A150" s="575" t="s">
        <v>196</v>
      </c>
      <c r="B150" s="670" t="s">
        <v>1690</v>
      </c>
      <c r="C150" s="1823" t="s">
        <v>1691</v>
      </c>
      <c r="D150" s="1823"/>
      <c r="E150" s="1823"/>
      <c r="F150" s="573" t="s">
        <v>617</v>
      </c>
      <c r="G150" s="573"/>
      <c r="H150" s="573"/>
      <c r="I150" s="573" t="s">
        <v>188</v>
      </c>
      <c r="J150" s="572"/>
      <c r="K150" s="573"/>
      <c r="L150" s="572"/>
      <c r="M150" s="571"/>
      <c r="N150" s="570"/>
      <c r="W150" s="537" t="s">
        <v>1691</v>
      </c>
    </row>
    <row r="151" spans="1:29" s="536" customFormat="1" ht="33.75" x14ac:dyDescent="0.2">
      <c r="A151" s="609"/>
      <c r="B151" s="552" t="s">
        <v>310</v>
      </c>
      <c r="C151" s="1822" t="s">
        <v>311</v>
      </c>
      <c r="D151" s="1822"/>
      <c r="E151" s="1822"/>
      <c r="F151" s="1822"/>
      <c r="G151" s="1822"/>
      <c r="H151" s="1822"/>
      <c r="I151" s="1822"/>
      <c r="J151" s="1822"/>
      <c r="K151" s="1822"/>
      <c r="L151" s="1822"/>
      <c r="M151" s="1822"/>
      <c r="N151" s="1827"/>
      <c r="X151" s="537" t="s">
        <v>311</v>
      </c>
    </row>
    <row r="152" spans="1:29" s="536" customFormat="1" x14ac:dyDescent="0.2">
      <c r="A152" s="605"/>
      <c r="B152" s="552" t="s">
        <v>185</v>
      </c>
      <c r="C152" s="1822" t="s">
        <v>312</v>
      </c>
      <c r="D152" s="1822"/>
      <c r="E152" s="1822"/>
      <c r="F152" s="562"/>
      <c r="G152" s="562"/>
      <c r="H152" s="562"/>
      <c r="I152" s="562"/>
      <c r="J152" s="604">
        <v>4.88</v>
      </c>
      <c r="K152" s="562" t="s">
        <v>313</v>
      </c>
      <c r="L152" s="604">
        <v>24.4</v>
      </c>
      <c r="M152" s="603"/>
      <c r="N152" s="602"/>
      <c r="Y152" s="537" t="s">
        <v>312</v>
      </c>
    </row>
    <row r="153" spans="1:29" s="536" customFormat="1" x14ac:dyDescent="0.2">
      <c r="A153" s="605"/>
      <c r="B153" s="552" t="s">
        <v>188</v>
      </c>
      <c r="C153" s="1822" t="s">
        <v>475</v>
      </c>
      <c r="D153" s="1822"/>
      <c r="E153" s="1822"/>
      <c r="F153" s="562"/>
      <c r="G153" s="562"/>
      <c r="H153" s="562"/>
      <c r="I153" s="562"/>
      <c r="J153" s="604">
        <v>0.41</v>
      </c>
      <c r="K153" s="562"/>
      <c r="L153" s="604">
        <v>1.64</v>
      </c>
      <c r="M153" s="603"/>
      <c r="N153" s="602"/>
      <c r="Y153" s="537" t="s">
        <v>475</v>
      </c>
    </row>
    <row r="154" spans="1:29" s="536" customFormat="1" x14ac:dyDescent="0.2">
      <c r="A154" s="605"/>
      <c r="B154" s="552"/>
      <c r="C154" s="1822" t="s">
        <v>314</v>
      </c>
      <c r="D154" s="1822"/>
      <c r="E154" s="1822"/>
      <c r="F154" s="562" t="s">
        <v>315</v>
      </c>
      <c r="G154" s="562" t="s">
        <v>1692</v>
      </c>
      <c r="H154" s="562" t="s">
        <v>313</v>
      </c>
      <c r="I154" s="562" t="s">
        <v>722</v>
      </c>
      <c r="J154" s="604"/>
      <c r="K154" s="562"/>
      <c r="L154" s="604"/>
      <c r="M154" s="603"/>
      <c r="N154" s="602"/>
      <c r="Z154" s="537" t="s">
        <v>314</v>
      </c>
    </row>
    <row r="155" spans="1:29" s="536" customFormat="1" x14ac:dyDescent="0.2">
      <c r="A155" s="605"/>
      <c r="B155" s="552"/>
      <c r="C155" s="1828" t="s">
        <v>318</v>
      </c>
      <c r="D155" s="1828"/>
      <c r="E155" s="1828"/>
      <c r="F155" s="608"/>
      <c r="G155" s="608"/>
      <c r="H155" s="608"/>
      <c r="I155" s="608"/>
      <c r="J155" s="607">
        <v>5.29</v>
      </c>
      <c r="K155" s="608"/>
      <c r="L155" s="607">
        <v>26.04</v>
      </c>
      <c r="M155" s="601"/>
      <c r="N155" s="606"/>
      <c r="AA155" s="537" t="s">
        <v>318</v>
      </c>
    </row>
    <row r="156" spans="1:29" s="536" customFormat="1" x14ac:dyDescent="0.2">
      <c r="A156" s="605"/>
      <c r="B156" s="552"/>
      <c r="C156" s="1822" t="s">
        <v>319</v>
      </c>
      <c r="D156" s="1822"/>
      <c r="E156" s="1822"/>
      <c r="F156" s="562"/>
      <c r="G156" s="562"/>
      <c r="H156" s="562"/>
      <c r="I156" s="562"/>
      <c r="J156" s="604"/>
      <c r="K156" s="562"/>
      <c r="L156" s="604">
        <v>24.4</v>
      </c>
      <c r="M156" s="603"/>
      <c r="N156" s="602"/>
      <c r="Z156" s="537" t="s">
        <v>319</v>
      </c>
    </row>
    <row r="157" spans="1:29" s="536" customFormat="1" ht="33.75" x14ac:dyDescent="0.2">
      <c r="A157" s="605"/>
      <c r="B157" s="552" t="s">
        <v>884</v>
      </c>
      <c r="C157" s="1822" t="s">
        <v>885</v>
      </c>
      <c r="D157" s="1822"/>
      <c r="E157" s="1822"/>
      <c r="F157" s="562" t="s">
        <v>322</v>
      </c>
      <c r="G157" s="562" t="s">
        <v>886</v>
      </c>
      <c r="H157" s="562"/>
      <c r="I157" s="562" t="s">
        <v>886</v>
      </c>
      <c r="J157" s="604"/>
      <c r="K157" s="562"/>
      <c r="L157" s="604">
        <v>21.96</v>
      </c>
      <c r="M157" s="603"/>
      <c r="N157" s="602"/>
      <c r="Z157" s="537" t="s">
        <v>885</v>
      </c>
    </row>
    <row r="158" spans="1:29" s="536" customFormat="1" ht="33.75" x14ac:dyDescent="0.2">
      <c r="A158" s="605"/>
      <c r="B158" s="552" t="s">
        <v>887</v>
      </c>
      <c r="C158" s="1822" t="s">
        <v>888</v>
      </c>
      <c r="D158" s="1822"/>
      <c r="E158" s="1822"/>
      <c r="F158" s="562" t="s">
        <v>322</v>
      </c>
      <c r="G158" s="562" t="s">
        <v>465</v>
      </c>
      <c r="H158" s="562"/>
      <c r="I158" s="562" t="s">
        <v>465</v>
      </c>
      <c r="J158" s="604"/>
      <c r="K158" s="562"/>
      <c r="L158" s="604">
        <v>11.22</v>
      </c>
      <c r="M158" s="603"/>
      <c r="N158" s="602"/>
      <c r="Z158" s="537" t="s">
        <v>888</v>
      </c>
    </row>
    <row r="159" spans="1:29" s="536" customFormat="1" x14ac:dyDescent="0.2">
      <c r="A159" s="569"/>
      <c r="B159" s="671"/>
      <c r="C159" s="1823" t="s">
        <v>327</v>
      </c>
      <c r="D159" s="1823"/>
      <c r="E159" s="1823"/>
      <c r="F159" s="573"/>
      <c r="G159" s="573"/>
      <c r="H159" s="573"/>
      <c r="I159" s="573"/>
      <c r="J159" s="572"/>
      <c r="K159" s="573"/>
      <c r="L159" s="572">
        <v>59.22</v>
      </c>
      <c r="M159" s="601"/>
      <c r="N159" s="570"/>
      <c r="AB159" s="537" t="s">
        <v>327</v>
      </c>
    </row>
    <row r="160" spans="1:29" s="536" customFormat="1" ht="33.75" x14ac:dyDescent="0.2">
      <c r="A160" s="575" t="s">
        <v>197</v>
      </c>
      <c r="B160" s="670" t="s">
        <v>2338</v>
      </c>
      <c r="C160" s="1823" t="s">
        <v>1728</v>
      </c>
      <c r="D160" s="1823"/>
      <c r="E160" s="1823"/>
      <c r="F160" s="573" t="s">
        <v>617</v>
      </c>
      <c r="G160" s="573"/>
      <c r="H160" s="573"/>
      <c r="I160" s="573" t="s">
        <v>188</v>
      </c>
      <c r="J160" s="572">
        <v>902.71</v>
      </c>
      <c r="K160" s="573" t="s">
        <v>716</v>
      </c>
      <c r="L160" s="572">
        <v>442.67</v>
      </c>
      <c r="M160" s="571">
        <v>8.32</v>
      </c>
      <c r="N160" s="570">
        <v>3683</v>
      </c>
      <c r="W160" s="537" t="s">
        <v>1728</v>
      </c>
    </row>
    <row r="161" spans="1:29" s="536" customFormat="1" x14ac:dyDescent="0.2">
      <c r="A161" s="569"/>
      <c r="B161" s="671"/>
      <c r="C161" s="665" t="s">
        <v>1658</v>
      </c>
      <c r="D161" s="666"/>
      <c r="E161" s="666"/>
      <c r="F161" s="563"/>
      <c r="G161" s="563"/>
      <c r="H161" s="563"/>
      <c r="I161" s="563"/>
      <c r="J161" s="566"/>
      <c r="K161" s="563"/>
      <c r="L161" s="566"/>
      <c r="M161" s="565"/>
      <c r="N161" s="564"/>
    </row>
    <row r="162" spans="1:29" s="536" customFormat="1" ht="22.5" x14ac:dyDescent="0.2">
      <c r="A162" s="609"/>
      <c r="B162" s="552" t="s">
        <v>718</v>
      </c>
      <c r="C162" s="1822" t="s">
        <v>719</v>
      </c>
      <c r="D162" s="1822"/>
      <c r="E162" s="1822"/>
      <c r="F162" s="1822"/>
      <c r="G162" s="1822"/>
      <c r="H162" s="1822"/>
      <c r="I162" s="1822"/>
      <c r="J162" s="1822"/>
      <c r="K162" s="1822"/>
      <c r="L162" s="1822"/>
      <c r="M162" s="1822"/>
      <c r="N162" s="1827"/>
      <c r="X162" s="537" t="s">
        <v>719</v>
      </c>
    </row>
    <row r="163" spans="1:29" s="536" customFormat="1" ht="33.75" x14ac:dyDescent="0.2">
      <c r="A163" s="575" t="s">
        <v>198</v>
      </c>
      <c r="B163" s="670" t="s">
        <v>1729</v>
      </c>
      <c r="C163" s="1823" t="s">
        <v>1730</v>
      </c>
      <c r="D163" s="1823"/>
      <c r="E163" s="1823"/>
      <c r="F163" s="573" t="s">
        <v>617</v>
      </c>
      <c r="G163" s="573"/>
      <c r="H163" s="573"/>
      <c r="I163" s="573" t="s">
        <v>193</v>
      </c>
      <c r="J163" s="572">
        <v>17.22</v>
      </c>
      <c r="K163" s="573" t="s">
        <v>716</v>
      </c>
      <c r="L163" s="572">
        <v>18.989999999999998</v>
      </c>
      <c r="M163" s="571">
        <v>8.32</v>
      </c>
      <c r="N163" s="570">
        <v>158</v>
      </c>
      <c r="W163" s="537" t="s">
        <v>1730</v>
      </c>
    </row>
    <row r="164" spans="1:29" s="536" customFormat="1" x14ac:dyDescent="0.2">
      <c r="A164" s="569"/>
      <c r="B164" s="671"/>
      <c r="C164" s="665" t="s">
        <v>1658</v>
      </c>
      <c r="D164" s="666"/>
      <c r="E164" s="666"/>
      <c r="F164" s="563"/>
      <c r="G164" s="563"/>
      <c r="H164" s="563"/>
      <c r="I164" s="563"/>
      <c r="J164" s="566"/>
      <c r="K164" s="563"/>
      <c r="L164" s="566"/>
      <c r="M164" s="565"/>
      <c r="N164" s="564"/>
    </row>
    <row r="165" spans="1:29" s="536" customFormat="1" ht="22.5" x14ac:dyDescent="0.2">
      <c r="A165" s="609"/>
      <c r="B165" s="552" t="s">
        <v>718</v>
      </c>
      <c r="C165" s="1822" t="s">
        <v>719</v>
      </c>
      <c r="D165" s="1822"/>
      <c r="E165" s="1822"/>
      <c r="F165" s="1822"/>
      <c r="G165" s="1822"/>
      <c r="H165" s="1822"/>
      <c r="I165" s="1822"/>
      <c r="J165" s="1822"/>
      <c r="K165" s="1822"/>
      <c r="L165" s="1822"/>
      <c r="M165" s="1822"/>
      <c r="N165" s="1827"/>
      <c r="X165" s="537" t="s">
        <v>719</v>
      </c>
    </row>
    <row r="166" spans="1:29" s="536" customFormat="1" ht="33.75" x14ac:dyDescent="0.2">
      <c r="A166" s="575" t="s">
        <v>199</v>
      </c>
      <c r="B166" s="670" t="s">
        <v>1731</v>
      </c>
      <c r="C166" s="1823" t="s">
        <v>1732</v>
      </c>
      <c r="D166" s="1823"/>
      <c r="E166" s="1823"/>
      <c r="F166" s="573" t="s">
        <v>617</v>
      </c>
      <c r="G166" s="573"/>
      <c r="H166" s="573"/>
      <c r="I166" s="573" t="s">
        <v>193</v>
      </c>
      <c r="J166" s="572">
        <v>7.81</v>
      </c>
      <c r="K166" s="573" t="s">
        <v>716</v>
      </c>
      <c r="L166" s="572">
        <v>8.65</v>
      </c>
      <c r="M166" s="571">
        <v>8.32</v>
      </c>
      <c r="N166" s="570">
        <v>72</v>
      </c>
      <c r="W166" s="537" t="s">
        <v>1732</v>
      </c>
    </row>
    <row r="167" spans="1:29" s="536" customFormat="1" x14ac:dyDescent="0.2">
      <c r="A167" s="569"/>
      <c r="B167" s="671"/>
      <c r="C167" s="665" t="s">
        <v>1658</v>
      </c>
      <c r="D167" s="666"/>
      <c r="E167" s="666"/>
      <c r="F167" s="563"/>
      <c r="G167" s="563"/>
      <c r="H167" s="563"/>
      <c r="I167" s="563"/>
      <c r="J167" s="566"/>
      <c r="K167" s="563"/>
      <c r="L167" s="566"/>
      <c r="M167" s="565"/>
      <c r="N167" s="564"/>
    </row>
    <row r="168" spans="1:29" s="536" customFormat="1" ht="22.5" x14ac:dyDescent="0.2">
      <c r="A168" s="609"/>
      <c r="B168" s="552" t="s">
        <v>718</v>
      </c>
      <c r="C168" s="1822" t="s">
        <v>719</v>
      </c>
      <c r="D168" s="1822"/>
      <c r="E168" s="1822"/>
      <c r="F168" s="1822"/>
      <c r="G168" s="1822"/>
      <c r="H168" s="1822"/>
      <c r="I168" s="1822"/>
      <c r="J168" s="1822"/>
      <c r="K168" s="1822"/>
      <c r="L168" s="1822"/>
      <c r="M168" s="1822"/>
      <c r="N168" s="1827"/>
      <c r="X168" s="537" t="s">
        <v>719</v>
      </c>
    </row>
    <row r="169" spans="1:29" s="536" customFormat="1" ht="22.5" x14ac:dyDescent="0.2">
      <c r="A169" s="575" t="s">
        <v>200</v>
      </c>
      <c r="B169" s="670" t="s">
        <v>1733</v>
      </c>
      <c r="C169" s="1823" t="s">
        <v>1734</v>
      </c>
      <c r="D169" s="1823"/>
      <c r="E169" s="1823"/>
      <c r="F169" s="573" t="s">
        <v>307</v>
      </c>
      <c r="G169" s="573"/>
      <c r="H169" s="573"/>
      <c r="I169" s="573" t="s">
        <v>728</v>
      </c>
      <c r="J169" s="572">
        <v>125</v>
      </c>
      <c r="K169" s="573"/>
      <c r="L169" s="572">
        <v>5</v>
      </c>
      <c r="M169" s="571"/>
      <c r="N169" s="570"/>
      <c r="W169" s="537" t="s">
        <v>1734</v>
      </c>
    </row>
    <row r="170" spans="1:29" s="536" customFormat="1" x14ac:dyDescent="0.2">
      <c r="A170" s="569"/>
      <c r="B170" s="671"/>
      <c r="C170" s="665" t="s">
        <v>1658</v>
      </c>
      <c r="D170" s="666"/>
      <c r="E170" s="666"/>
      <c r="F170" s="563"/>
      <c r="G170" s="563"/>
      <c r="H170" s="563"/>
      <c r="I170" s="563"/>
      <c r="J170" s="566"/>
      <c r="K170" s="563"/>
      <c r="L170" s="566"/>
      <c r="M170" s="565"/>
      <c r="N170" s="564"/>
    </row>
    <row r="171" spans="1:29" s="536" customFormat="1" x14ac:dyDescent="0.2">
      <c r="A171" s="676"/>
      <c r="B171" s="664"/>
      <c r="C171" s="1822" t="s">
        <v>2263</v>
      </c>
      <c r="D171" s="1822"/>
      <c r="E171" s="1822"/>
      <c r="F171" s="1822"/>
      <c r="G171" s="1822"/>
      <c r="H171" s="1822"/>
      <c r="I171" s="1822"/>
      <c r="J171" s="1822"/>
      <c r="K171" s="1822"/>
      <c r="L171" s="1822"/>
      <c r="M171" s="1822"/>
      <c r="N171" s="1827"/>
      <c r="AC171" s="537" t="s">
        <v>2263</v>
      </c>
    </row>
    <row r="172" spans="1:29" s="536" customFormat="1" ht="22.5" x14ac:dyDescent="0.2">
      <c r="A172" s="575" t="s">
        <v>425</v>
      </c>
      <c r="B172" s="670" t="s">
        <v>1736</v>
      </c>
      <c r="C172" s="1823" t="s">
        <v>1737</v>
      </c>
      <c r="D172" s="1823"/>
      <c r="E172" s="1823"/>
      <c r="F172" s="573" t="s">
        <v>307</v>
      </c>
      <c r="G172" s="573"/>
      <c r="H172" s="573"/>
      <c r="I172" s="573" t="s">
        <v>809</v>
      </c>
      <c r="J172" s="572">
        <v>20</v>
      </c>
      <c r="K172" s="573"/>
      <c r="L172" s="572">
        <v>0.2</v>
      </c>
      <c r="M172" s="571"/>
      <c r="N172" s="570"/>
      <c r="W172" s="537" t="s">
        <v>1737</v>
      </c>
    </row>
    <row r="173" spans="1:29" s="536" customFormat="1" x14ac:dyDescent="0.2">
      <c r="A173" s="569"/>
      <c r="B173" s="671"/>
      <c r="C173" s="665" t="s">
        <v>1658</v>
      </c>
      <c r="D173" s="666"/>
      <c r="E173" s="666"/>
      <c r="F173" s="563"/>
      <c r="G173" s="563"/>
      <c r="H173" s="563"/>
      <c r="I173" s="563"/>
      <c r="J173" s="566"/>
      <c r="K173" s="563"/>
      <c r="L173" s="566"/>
      <c r="M173" s="565"/>
      <c r="N173" s="564"/>
    </row>
    <row r="174" spans="1:29" s="536" customFormat="1" x14ac:dyDescent="0.2">
      <c r="A174" s="676"/>
      <c r="B174" s="664"/>
      <c r="C174" s="1822" t="s">
        <v>843</v>
      </c>
      <c r="D174" s="1822"/>
      <c r="E174" s="1822"/>
      <c r="F174" s="1822"/>
      <c r="G174" s="1822"/>
      <c r="H174" s="1822"/>
      <c r="I174" s="1822"/>
      <c r="J174" s="1822"/>
      <c r="K174" s="1822"/>
      <c r="L174" s="1822"/>
      <c r="M174" s="1822"/>
      <c r="N174" s="1827"/>
      <c r="AC174" s="537" t="s">
        <v>843</v>
      </c>
    </row>
    <row r="175" spans="1:29" s="536" customFormat="1" ht="22.5" x14ac:dyDescent="0.2">
      <c r="A175" s="575" t="s">
        <v>430</v>
      </c>
      <c r="B175" s="670" t="s">
        <v>1738</v>
      </c>
      <c r="C175" s="1823" t="s">
        <v>1739</v>
      </c>
      <c r="D175" s="1823"/>
      <c r="E175" s="1823"/>
      <c r="F175" s="573" t="s">
        <v>307</v>
      </c>
      <c r="G175" s="573"/>
      <c r="H175" s="573"/>
      <c r="I175" s="573" t="s">
        <v>185</v>
      </c>
      <c r="J175" s="572">
        <v>14.46</v>
      </c>
      <c r="K175" s="573"/>
      <c r="L175" s="572">
        <v>14.46</v>
      </c>
      <c r="M175" s="571"/>
      <c r="N175" s="570"/>
      <c r="W175" s="537" t="s">
        <v>1739</v>
      </c>
    </row>
    <row r="176" spans="1:29" s="536" customFormat="1" x14ac:dyDescent="0.2">
      <c r="A176" s="569"/>
      <c r="B176" s="671"/>
      <c r="C176" s="665" t="s">
        <v>1658</v>
      </c>
      <c r="D176" s="666"/>
      <c r="E176" s="666"/>
      <c r="F176" s="563"/>
      <c r="G176" s="563"/>
      <c r="H176" s="563"/>
      <c r="I176" s="563"/>
      <c r="J176" s="566"/>
      <c r="K176" s="563"/>
      <c r="L176" s="566"/>
      <c r="M176" s="565"/>
      <c r="N176" s="564"/>
    </row>
    <row r="177" spans="1:29" s="536" customFormat="1" x14ac:dyDescent="0.2">
      <c r="A177" s="676"/>
      <c r="B177" s="664"/>
      <c r="C177" s="1822" t="s">
        <v>2340</v>
      </c>
      <c r="D177" s="1822"/>
      <c r="E177" s="1822"/>
      <c r="F177" s="1822"/>
      <c r="G177" s="1822"/>
      <c r="H177" s="1822"/>
      <c r="I177" s="1822"/>
      <c r="J177" s="1822"/>
      <c r="K177" s="1822"/>
      <c r="L177" s="1822"/>
      <c r="M177" s="1822"/>
      <c r="N177" s="1827"/>
      <c r="AC177" s="537" t="s">
        <v>2340</v>
      </c>
    </row>
    <row r="178" spans="1:29" s="536" customFormat="1" ht="33.75" x14ac:dyDescent="0.2">
      <c r="A178" s="575" t="s">
        <v>436</v>
      </c>
      <c r="B178" s="670" t="s">
        <v>1741</v>
      </c>
      <c r="C178" s="1823" t="s">
        <v>1742</v>
      </c>
      <c r="D178" s="1823"/>
      <c r="E178" s="1823"/>
      <c r="F178" s="573" t="s">
        <v>617</v>
      </c>
      <c r="G178" s="573"/>
      <c r="H178" s="573"/>
      <c r="I178" s="573" t="s">
        <v>1679</v>
      </c>
      <c r="J178" s="572">
        <v>45.33</v>
      </c>
      <c r="K178" s="573" t="s">
        <v>716</v>
      </c>
      <c r="L178" s="572">
        <v>277.88</v>
      </c>
      <c r="M178" s="571">
        <v>8.32</v>
      </c>
      <c r="N178" s="570">
        <v>2312</v>
      </c>
      <c r="W178" s="537" t="s">
        <v>1742</v>
      </c>
    </row>
    <row r="179" spans="1:29" s="536" customFormat="1" x14ac:dyDescent="0.2">
      <c r="A179" s="569"/>
      <c r="B179" s="671"/>
      <c r="C179" s="665" t="s">
        <v>1658</v>
      </c>
      <c r="D179" s="666"/>
      <c r="E179" s="666"/>
      <c r="F179" s="563"/>
      <c r="G179" s="563"/>
      <c r="H179" s="563"/>
      <c r="I179" s="563"/>
      <c r="J179" s="566"/>
      <c r="K179" s="563"/>
      <c r="L179" s="566"/>
      <c r="M179" s="565"/>
      <c r="N179" s="564"/>
    </row>
    <row r="180" spans="1:29" s="536" customFormat="1" ht="22.5" x14ac:dyDescent="0.2">
      <c r="A180" s="609"/>
      <c r="B180" s="552" t="s">
        <v>718</v>
      </c>
      <c r="C180" s="1822" t="s">
        <v>719</v>
      </c>
      <c r="D180" s="1822"/>
      <c r="E180" s="1822"/>
      <c r="F180" s="1822"/>
      <c r="G180" s="1822"/>
      <c r="H180" s="1822"/>
      <c r="I180" s="1822"/>
      <c r="J180" s="1822"/>
      <c r="K180" s="1822"/>
      <c r="L180" s="1822"/>
      <c r="M180" s="1822"/>
      <c r="N180" s="1827"/>
      <c r="X180" s="537" t="s">
        <v>719</v>
      </c>
    </row>
    <row r="181" spans="1:29" s="536" customFormat="1" ht="33.75" x14ac:dyDescent="0.2">
      <c r="A181" s="575" t="s">
        <v>733</v>
      </c>
      <c r="B181" s="670" t="s">
        <v>1744</v>
      </c>
      <c r="C181" s="1823" t="s">
        <v>1745</v>
      </c>
      <c r="D181" s="1823"/>
      <c r="E181" s="1823"/>
      <c r="F181" s="573" t="s">
        <v>617</v>
      </c>
      <c r="G181" s="573"/>
      <c r="H181" s="573"/>
      <c r="I181" s="573" t="s">
        <v>198</v>
      </c>
      <c r="J181" s="572">
        <v>42.2</v>
      </c>
      <c r="K181" s="573" t="s">
        <v>716</v>
      </c>
      <c r="L181" s="572">
        <v>72.48</v>
      </c>
      <c r="M181" s="571">
        <v>8.32</v>
      </c>
      <c r="N181" s="570">
        <v>603</v>
      </c>
      <c r="W181" s="537" t="s">
        <v>1745</v>
      </c>
    </row>
    <row r="182" spans="1:29" s="536" customFormat="1" x14ac:dyDescent="0.2">
      <c r="A182" s="569"/>
      <c r="B182" s="671"/>
      <c r="C182" s="665" t="s">
        <v>1658</v>
      </c>
      <c r="D182" s="666"/>
      <c r="E182" s="666"/>
      <c r="F182" s="563"/>
      <c r="G182" s="563"/>
      <c r="H182" s="563"/>
      <c r="I182" s="563"/>
      <c r="J182" s="566"/>
      <c r="K182" s="563"/>
      <c r="L182" s="566"/>
      <c r="M182" s="565"/>
      <c r="N182" s="564"/>
    </row>
    <row r="183" spans="1:29" s="536" customFormat="1" ht="22.5" x14ac:dyDescent="0.2">
      <c r="A183" s="609"/>
      <c r="B183" s="552" t="s">
        <v>718</v>
      </c>
      <c r="C183" s="1822" t="s">
        <v>719</v>
      </c>
      <c r="D183" s="1822"/>
      <c r="E183" s="1822"/>
      <c r="F183" s="1822"/>
      <c r="G183" s="1822"/>
      <c r="H183" s="1822"/>
      <c r="I183" s="1822"/>
      <c r="J183" s="1822"/>
      <c r="K183" s="1822"/>
      <c r="L183" s="1822"/>
      <c r="M183" s="1822"/>
      <c r="N183" s="1827"/>
      <c r="X183" s="537" t="s">
        <v>719</v>
      </c>
    </row>
    <row r="184" spans="1:29" s="536" customFormat="1" ht="33.75" x14ac:dyDescent="0.2">
      <c r="A184" s="575" t="s">
        <v>736</v>
      </c>
      <c r="B184" s="670" t="s">
        <v>1747</v>
      </c>
      <c r="C184" s="1823" t="s">
        <v>1748</v>
      </c>
      <c r="D184" s="1823"/>
      <c r="E184" s="1823"/>
      <c r="F184" s="573" t="s">
        <v>483</v>
      </c>
      <c r="G184" s="573"/>
      <c r="H184" s="573"/>
      <c r="I184" s="573" t="s">
        <v>733</v>
      </c>
      <c r="J184" s="572">
        <v>31.26</v>
      </c>
      <c r="K184" s="573" t="s">
        <v>716</v>
      </c>
      <c r="L184" s="572">
        <v>76.680000000000007</v>
      </c>
      <c r="M184" s="571">
        <v>8.32</v>
      </c>
      <c r="N184" s="570">
        <v>638</v>
      </c>
      <c r="W184" s="537" t="s">
        <v>1748</v>
      </c>
    </row>
    <row r="185" spans="1:29" s="536" customFormat="1" x14ac:dyDescent="0.2">
      <c r="A185" s="569"/>
      <c r="B185" s="671"/>
      <c r="C185" s="665" t="s">
        <v>1658</v>
      </c>
      <c r="D185" s="666"/>
      <c r="E185" s="666"/>
      <c r="F185" s="563"/>
      <c r="G185" s="563"/>
      <c r="H185" s="563"/>
      <c r="I185" s="563"/>
      <c r="J185" s="566"/>
      <c r="K185" s="563"/>
      <c r="L185" s="566"/>
      <c r="M185" s="565"/>
      <c r="N185" s="564"/>
    </row>
    <row r="186" spans="1:29" s="536" customFormat="1" ht="22.5" x14ac:dyDescent="0.2">
      <c r="A186" s="609"/>
      <c r="B186" s="552" t="s">
        <v>718</v>
      </c>
      <c r="C186" s="1822" t="s">
        <v>719</v>
      </c>
      <c r="D186" s="1822"/>
      <c r="E186" s="1822"/>
      <c r="F186" s="1822"/>
      <c r="G186" s="1822"/>
      <c r="H186" s="1822"/>
      <c r="I186" s="1822"/>
      <c r="J186" s="1822"/>
      <c r="K186" s="1822"/>
      <c r="L186" s="1822"/>
      <c r="M186" s="1822"/>
      <c r="N186" s="1827"/>
      <c r="X186" s="537" t="s">
        <v>719</v>
      </c>
    </row>
    <row r="187" spans="1:29" s="536" customFormat="1" ht="33.75" x14ac:dyDescent="0.2">
      <c r="A187" s="575" t="s">
        <v>1067</v>
      </c>
      <c r="B187" s="670" t="s">
        <v>1749</v>
      </c>
      <c r="C187" s="1823" t="s">
        <v>1750</v>
      </c>
      <c r="D187" s="1823"/>
      <c r="E187" s="1823"/>
      <c r="F187" s="573" t="s">
        <v>617</v>
      </c>
      <c r="G187" s="573"/>
      <c r="H187" s="573"/>
      <c r="I187" s="573" t="s">
        <v>186</v>
      </c>
      <c r="J187" s="572">
        <v>147.62</v>
      </c>
      <c r="K187" s="573" t="s">
        <v>716</v>
      </c>
      <c r="L187" s="572">
        <v>36.18</v>
      </c>
      <c r="M187" s="571">
        <v>8.32</v>
      </c>
      <c r="N187" s="570">
        <v>301</v>
      </c>
      <c r="W187" s="537" t="s">
        <v>1750</v>
      </c>
    </row>
    <row r="188" spans="1:29" s="536" customFormat="1" x14ac:dyDescent="0.2">
      <c r="A188" s="569"/>
      <c r="B188" s="671"/>
      <c r="C188" s="665" t="s">
        <v>1658</v>
      </c>
      <c r="D188" s="666"/>
      <c r="E188" s="666"/>
      <c r="F188" s="563"/>
      <c r="G188" s="563"/>
      <c r="H188" s="563"/>
      <c r="I188" s="563"/>
      <c r="J188" s="566"/>
      <c r="K188" s="563"/>
      <c r="L188" s="566"/>
      <c r="M188" s="565"/>
      <c r="N188" s="564"/>
    </row>
    <row r="189" spans="1:29" s="536" customFormat="1" ht="22.5" x14ac:dyDescent="0.2">
      <c r="A189" s="609"/>
      <c r="B189" s="552" t="s">
        <v>718</v>
      </c>
      <c r="C189" s="1822" t="s">
        <v>719</v>
      </c>
      <c r="D189" s="1822"/>
      <c r="E189" s="1822"/>
      <c r="F189" s="1822"/>
      <c r="G189" s="1822"/>
      <c r="H189" s="1822"/>
      <c r="I189" s="1822"/>
      <c r="J189" s="1822"/>
      <c r="K189" s="1822"/>
      <c r="L189" s="1822"/>
      <c r="M189" s="1822"/>
      <c r="N189" s="1827"/>
      <c r="X189" s="537" t="s">
        <v>719</v>
      </c>
    </row>
    <row r="190" spans="1:29" s="536" customFormat="1" x14ac:dyDescent="0.2">
      <c r="A190" s="575" t="s">
        <v>912</v>
      </c>
      <c r="B190" s="670" t="s">
        <v>2341</v>
      </c>
      <c r="C190" s="1823" t="s">
        <v>2342</v>
      </c>
      <c r="D190" s="1823"/>
      <c r="E190" s="1823"/>
      <c r="F190" s="573" t="s">
        <v>617</v>
      </c>
      <c r="G190" s="573"/>
      <c r="H190" s="573"/>
      <c r="I190" s="573" t="s">
        <v>185</v>
      </c>
      <c r="J190" s="572"/>
      <c r="K190" s="573"/>
      <c r="L190" s="572"/>
      <c r="M190" s="571"/>
      <c r="N190" s="570"/>
      <c r="W190" s="537" t="s">
        <v>2342</v>
      </c>
    </row>
    <row r="191" spans="1:29" s="536" customFormat="1" ht="33.75" x14ac:dyDescent="0.2">
      <c r="A191" s="609"/>
      <c r="B191" s="552" t="s">
        <v>310</v>
      </c>
      <c r="C191" s="1822" t="s">
        <v>311</v>
      </c>
      <c r="D191" s="1822"/>
      <c r="E191" s="1822"/>
      <c r="F191" s="1822"/>
      <c r="G191" s="1822"/>
      <c r="H191" s="1822"/>
      <c r="I191" s="1822"/>
      <c r="J191" s="1822"/>
      <c r="K191" s="1822"/>
      <c r="L191" s="1822"/>
      <c r="M191" s="1822"/>
      <c r="N191" s="1827"/>
      <c r="X191" s="537" t="s">
        <v>311</v>
      </c>
    </row>
    <row r="192" spans="1:29" s="536" customFormat="1" x14ac:dyDescent="0.2">
      <c r="A192" s="605"/>
      <c r="B192" s="552" t="s">
        <v>185</v>
      </c>
      <c r="C192" s="1822" t="s">
        <v>312</v>
      </c>
      <c r="D192" s="1822"/>
      <c r="E192" s="1822"/>
      <c r="F192" s="562"/>
      <c r="G192" s="562"/>
      <c r="H192" s="562"/>
      <c r="I192" s="562"/>
      <c r="J192" s="604">
        <v>18.73</v>
      </c>
      <c r="K192" s="562" t="s">
        <v>313</v>
      </c>
      <c r="L192" s="604">
        <v>23.41</v>
      </c>
      <c r="M192" s="603"/>
      <c r="N192" s="602"/>
      <c r="Y192" s="537" t="s">
        <v>312</v>
      </c>
    </row>
    <row r="193" spans="1:29" s="536" customFormat="1" x14ac:dyDescent="0.2">
      <c r="A193" s="605"/>
      <c r="B193" s="552" t="s">
        <v>186</v>
      </c>
      <c r="C193" s="1822" t="s">
        <v>344</v>
      </c>
      <c r="D193" s="1822"/>
      <c r="E193" s="1822"/>
      <c r="F193" s="562"/>
      <c r="G193" s="562"/>
      <c r="H193" s="562"/>
      <c r="I193" s="562"/>
      <c r="J193" s="604">
        <v>44.62</v>
      </c>
      <c r="K193" s="562" t="s">
        <v>313</v>
      </c>
      <c r="L193" s="604">
        <v>55.78</v>
      </c>
      <c r="M193" s="603"/>
      <c r="N193" s="602"/>
      <c r="Y193" s="537" t="s">
        <v>344</v>
      </c>
    </row>
    <row r="194" spans="1:29" s="536" customFormat="1" x14ac:dyDescent="0.2">
      <c r="A194" s="605"/>
      <c r="B194" s="552" t="s">
        <v>187</v>
      </c>
      <c r="C194" s="1822" t="s">
        <v>345</v>
      </c>
      <c r="D194" s="1822"/>
      <c r="E194" s="1822"/>
      <c r="F194" s="562"/>
      <c r="G194" s="562"/>
      <c r="H194" s="562"/>
      <c r="I194" s="562"/>
      <c r="J194" s="604">
        <v>4.3099999999999996</v>
      </c>
      <c r="K194" s="562" t="s">
        <v>313</v>
      </c>
      <c r="L194" s="604">
        <v>5.39</v>
      </c>
      <c r="M194" s="603"/>
      <c r="N194" s="602"/>
      <c r="Y194" s="537" t="s">
        <v>345</v>
      </c>
    </row>
    <row r="195" spans="1:29" s="536" customFormat="1" x14ac:dyDescent="0.2">
      <c r="A195" s="605"/>
      <c r="B195" s="552" t="s">
        <v>188</v>
      </c>
      <c r="C195" s="1822" t="s">
        <v>475</v>
      </c>
      <c r="D195" s="1822"/>
      <c r="E195" s="1822"/>
      <c r="F195" s="562"/>
      <c r="G195" s="562"/>
      <c r="H195" s="562"/>
      <c r="I195" s="562"/>
      <c r="J195" s="604">
        <v>0.37</v>
      </c>
      <c r="K195" s="562"/>
      <c r="L195" s="604">
        <v>0.37</v>
      </c>
      <c r="M195" s="603"/>
      <c r="N195" s="602"/>
      <c r="Y195" s="537" t="s">
        <v>475</v>
      </c>
    </row>
    <row r="196" spans="1:29" s="536" customFormat="1" x14ac:dyDescent="0.2">
      <c r="A196" s="605"/>
      <c r="B196" s="552"/>
      <c r="C196" s="1822" t="s">
        <v>314</v>
      </c>
      <c r="D196" s="1822"/>
      <c r="E196" s="1822"/>
      <c r="F196" s="562" t="s">
        <v>315</v>
      </c>
      <c r="G196" s="562" t="s">
        <v>1244</v>
      </c>
      <c r="H196" s="562" t="s">
        <v>313</v>
      </c>
      <c r="I196" s="562" t="s">
        <v>2343</v>
      </c>
      <c r="J196" s="604"/>
      <c r="K196" s="562"/>
      <c r="L196" s="604"/>
      <c r="M196" s="603"/>
      <c r="N196" s="602"/>
      <c r="Z196" s="537" t="s">
        <v>314</v>
      </c>
    </row>
    <row r="197" spans="1:29" s="536" customFormat="1" x14ac:dyDescent="0.2">
      <c r="A197" s="605"/>
      <c r="B197" s="552"/>
      <c r="C197" s="1822" t="s">
        <v>348</v>
      </c>
      <c r="D197" s="1822"/>
      <c r="E197" s="1822"/>
      <c r="F197" s="562" t="s">
        <v>315</v>
      </c>
      <c r="G197" s="562" t="s">
        <v>2344</v>
      </c>
      <c r="H197" s="562" t="s">
        <v>313</v>
      </c>
      <c r="I197" s="562" t="s">
        <v>947</v>
      </c>
      <c r="J197" s="604"/>
      <c r="K197" s="562"/>
      <c r="L197" s="604"/>
      <c r="M197" s="603"/>
      <c r="N197" s="602"/>
      <c r="Z197" s="537" t="s">
        <v>348</v>
      </c>
    </row>
    <row r="198" spans="1:29" s="536" customFormat="1" x14ac:dyDescent="0.2">
      <c r="A198" s="605"/>
      <c r="B198" s="552"/>
      <c r="C198" s="1828" t="s">
        <v>318</v>
      </c>
      <c r="D198" s="1828"/>
      <c r="E198" s="1828"/>
      <c r="F198" s="608"/>
      <c r="G198" s="608"/>
      <c r="H198" s="608"/>
      <c r="I198" s="608"/>
      <c r="J198" s="607">
        <v>63.72</v>
      </c>
      <c r="K198" s="608"/>
      <c r="L198" s="607">
        <v>79.56</v>
      </c>
      <c r="M198" s="601"/>
      <c r="N198" s="606"/>
      <c r="AA198" s="537" t="s">
        <v>318</v>
      </c>
    </row>
    <row r="199" spans="1:29" s="536" customFormat="1" x14ac:dyDescent="0.2">
      <c r="A199" s="605"/>
      <c r="B199" s="552"/>
      <c r="C199" s="1822" t="s">
        <v>319</v>
      </c>
      <c r="D199" s="1822"/>
      <c r="E199" s="1822"/>
      <c r="F199" s="562"/>
      <c r="G199" s="562"/>
      <c r="H199" s="562"/>
      <c r="I199" s="562"/>
      <c r="J199" s="604"/>
      <c r="K199" s="562"/>
      <c r="L199" s="604">
        <v>28.8</v>
      </c>
      <c r="M199" s="603"/>
      <c r="N199" s="602"/>
      <c r="Z199" s="537" t="s">
        <v>319</v>
      </c>
    </row>
    <row r="200" spans="1:29" s="536" customFormat="1" ht="33.75" x14ac:dyDescent="0.2">
      <c r="A200" s="605"/>
      <c r="B200" s="552" t="s">
        <v>1631</v>
      </c>
      <c r="C200" s="1822" t="s">
        <v>1632</v>
      </c>
      <c r="D200" s="1822"/>
      <c r="E200" s="1822"/>
      <c r="F200" s="562" t="s">
        <v>322</v>
      </c>
      <c r="G200" s="562" t="s">
        <v>1633</v>
      </c>
      <c r="H200" s="562"/>
      <c r="I200" s="562" t="s">
        <v>1633</v>
      </c>
      <c r="J200" s="604"/>
      <c r="K200" s="562"/>
      <c r="L200" s="604">
        <v>27.94</v>
      </c>
      <c r="M200" s="603"/>
      <c r="N200" s="602"/>
      <c r="Z200" s="537" t="s">
        <v>1632</v>
      </c>
    </row>
    <row r="201" spans="1:29" s="536" customFormat="1" ht="33.75" x14ac:dyDescent="0.2">
      <c r="A201" s="605"/>
      <c r="B201" s="552" t="s">
        <v>1634</v>
      </c>
      <c r="C201" s="1822" t="s">
        <v>1635</v>
      </c>
      <c r="D201" s="1822"/>
      <c r="E201" s="1822"/>
      <c r="F201" s="562" t="s">
        <v>322</v>
      </c>
      <c r="G201" s="562" t="s">
        <v>786</v>
      </c>
      <c r="H201" s="562"/>
      <c r="I201" s="562" t="s">
        <v>786</v>
      </c>
      <c r="J201" s="604"/>
      <c r="K201" s="562"/>
      <c r="L201" s="604">
        <v>14.69</v>
      </c>
      <c r="M201" s="603"/>
      <c r="N201" s="602"/>
      <c r="Z201" s="537" t="s">
        <v>1635</v>
      </c>
    </row>
    <row r="202" spans="1:29" s="536" customFormat="1" x14ac:dyDescent="0.2">
      <c r="A202" s="569"/>
      <c r="B202" s="671"/>
      <c r="C202" s="1823" t="s">
        <v>327</v>
      </c>
      <c r="D202" s="1823"/>
      <c r="E202" s="1823"/>
      <c r="F202" s="573"/>
      <c r="G202" s="573"/>
      <c r="H202" s="573"/>
      <c r="I202" s="573"/>
      <c r="J202" s="572"/>
      <c r="K202" s="573"/>
      <c r="L202" s="572">
        <v>122.19</v>
      </c>
      <c r="M202" s="601"/>
      <c r="N202" s="570"/>
      <c r="AB202" s="537" t="s">
        <v>327</v>
      </c>
    </row>
    <row r="203" spans="1:29" s="536" customFormat="1" ht="33.75" x14ac:dyDescent="0.2">
      <c r="A203" s="575" t="s">
        <v>757</v>
      </c>
      <c r="B203" s="670" t="s">
        <v>1756</v>
      </c>
      <c r="C203" s="1823" t="s">
        <v>1757</v>
      </c>
      <c r="D203" s="1823"/>
      <c r="E203" s="1823"/>
      <c r="F203" s="573" t="s">
        <v>483</v>
      </c>
      <c r="G203" s="573"/>
      <c r="H203" s="573"/>
      <c r="I203" s="573" t="s">
        <v>3577</v>
      </c>
      <c r="J203" s="572">
        <v>117.22</v>
      </c>
      <c r="K203" s="573" t="s">
        <v>716</v>
      </c>
      <c r="L203" s="572">
        <v>117.31</v>
      </c>
      <c r="M203" s="571">
        <v>8.32</v>
      </c>
      <c r="N203" s="570">
        <v>976</v>
      </c>
      <c r="W203" s="537" t="s">
        <v>1757</v>
      </c>
    </row>
    <row r="204" spans="1:29" s="536" customFormat="1" x14ac:dyDescent="0.2">
      <c r="A204" s="569"/>
      <c r="B204" s="671"/>
      <c r="C204" s="665" t="s">
        <v>1658</v>
      </c>
      <c r="D204" s="666"/>
      <c r="E204" s="666"/>
      <c r="F204" s="563"/>
      <c r="G204" s="563"/>
      <c r="H204" s="563"/>
      <c r="I204" s="563"/>
      <c r="J204" s="566"/>
      <c r="K204" s="563"/>
      <c r="L204" s="566"/>
      <c r="M204" s="565"/>
      <c r="N204" s="564"/>
    </row>
    <row r="205" spans="1:29" s="536" customFormat="1" x14ac:dyDescent="0.2">
      <c r="A205" s="676"/>
      <c r="B205" s="664"/>
      <c r="C205" s="1822" t="s">
        <v>3578</v>
      </c>
      <c r="D205" s="1822"/>
      <c r="E205" s="1822"/>
      <c r="F205" s="1822"/>
      <c r="G205" s="1822"/>
      <c r="H205" s="1822"/>
      <c r="I205" s="1822"/>
      <c r="J205" s="1822"/>
      <c r="K205" s="1822"/>
      <c r="L205" s="1822"/>
      <c r="M205" s="1822"/>
      <c r="N205" s="1827"/>
      <c r="AC205" s="537" t="s">
        <v>3578</v>
      </c>
    </row>
    <row r="206" spans="1:29" s="536" customFormat="1" ht="22.5" x14ac:dyDescent="0.2">
      <c r="A206" s="609"/>
      <c r="B206" s="552" t="s">
        <v>718</v>
      </c>
      <c r="C206" s="1822" t="s">
        <v>719</v>
      </c>
      <c r="D206" s="1822"/>
      <c r="E206" s="1822"/>
      <c r="F206" s="1822"/>
      <c r="G206" s="1822"/>
      <c r="H206" s="1822"/>
      <c r="I206" s="1822"/>
      <c r="J206" s="1822"/>
      <c r="K206" s="1822"/>
      <c r="L206" s="1822"/>
      <c r="M206" s="1822"/>
      <c r="N206" s="1827"/>
      <c r="X206" s="537" t="s">
        <v>719</v>
      </c>
    </row>
    <row r="207" spans="1:29" s="536" customFormat="1" ht="33.75" x14ac:dyDescent="0.2">
      <c r="A207" s="575" t="s">
        <v>1079</v>
      </c>
      <c r="B207" s="670" t="s">
        <v>1760</v>
      </c>
      <c r="C207" s="1823" t="s">
        <v>1761</v>
      </c>
      <c r="D207" s="1823"/>
      <c r="E207" s="1823"/>
      <c r="F207" s="573" t="s">
        <v>617</v>
      </c>
      <c r="G207" s="573"/>
      <c r="H207" s="573"/>
      <c r="I207" s="573" t="s">
        <v>186</v>
      </c>
      <c r="J207" s="572">
        <v>232.88</v>
      </c>
      <c r="K207" s="573" t="s">
        <v>716</v>
      </c>
      <c r="L207" s="572">
        <v>57.09</v>
      </c>
      <c r="M207" s="571">
        <v>8.32</v>
      </c>
      <c r="N207" s="570">
        <v>475</v>
      </c>
      <c r="W207" s="537" t="s">
        <v>1761</v>
      </c>
    </row>
    <row r="208" spans="1:29" s="536" customFormat="1" x14ac:dyDescent="0.2">
      <c r="A208" s="569"/>
      <c r="B208" s="671"/>
      <c r="C208" s="665" t="s">
        <v>1658</v>
      </c>
      <c r="D208" s="666"/>
      <c r="E208" s="666"/>
      <c r="F208" s="563"/>
      <c r="G208" s="563"/>
      <c r="H208" s="563"/>
      <c r="I208" s="563"/>
      <c r="J208" s="566"/>
      <c r="K208" s="563"/>
      <c r="L208" s="566"/>
      <c r="M208" s="565"/>
      <c r="N208" s="564"/>
    </row>
    <row r="209" spans="1:24" s="536" customFormat="1" ht="22.5" x14ac:dyDescent="0.2">
      <c r="A209" s="609"/>
      <c r="B209" s="552" t="s">
        <v>718</v>
      </c>
      <c r="C209" s="1822" t="s">
        <v>719</v>
      </c>
      <c r="D209" s="1822"/>
      <c r="E209" s="1822"/>
      <c r="F209" s="1822"/>
      <c r="G209" s="1822"/>
      <c r="H209" s="1822"/>
      <c r="I209" s="1822"/>
      <c r="J209" s="1822"/>
      <c r="K209" s="1822"/>
      <c r="L209" s="1822"/>
      <c r="M209" s="1822"/>
      <c r="N209" s="1827"/>
      <c r="X209" s="537" t="s">
        <v>719</v>
      </c>
    </row>
    <row r="210" spans="1:24" s="536" customFormat="1" ht="33.75" x14ac:dyDescent="0.2">
      <c r="A210" s="575" t="s">
        <v>759</v>
      </c>
      <c r="B210" s="670" t="s">
        <v>1762</v>
      </c>
      <c r="C210" s="1823" t="s">
        <v>1763</v>
      </c>
      <c r="D210" s="1823"/>
      <c r="E210" s="1823"/>
      <c r="F210" s="573" t="s">
        <v>617</v>
      </c>
      <c r="G210" s="573"/>
      <c r="H210" s="573"/>
      <c r="I210" s="573" t="s">
        <v>186</v>
      </c>
      <c r="J210" s="572">
        <v>232.88</v>
      </c>
      <c r="K210" s="573" t="s">
        <v>716</v>
      </c>
      <c r="L210" s="572">
        <v>57.09</v>
      </c>
      <c r="M210" s="571">
        <v>8.32</v>
      </c>
      <c r="N210" s="570">
        <v>475</v>
      </c>
      <c r="W210" s="537" t="s">
        <v>1763</v>
      </c>
    </row>
    <row r="211" spans="1:24" s="536" customFormat="1" x14ac:dyDescent="0.2">
      <c r="A211" s="569"/>
      <c r="B211" s="671"/>
      <c r="C211" s="665" t="s">
        <v>1658</v>
      </c>
      <c r="D211" s="666"/>
      <c r="E211" s="666"/>
      <c r="F211" s="563"/>
      <c r="G211" s="563"/>
      <c r="H211" s="563"/>
      <c r="I211" s="563"/>
      <c r="J211" s="566"/>
      <c r="K211" s="563"/>
      <c r="L211" s="566"/>
      <c r="M211" s="565"/>
      <c r="N211" s="564"/>
    </row>
    <row r="212" spans="1:24" s="536" customFormat="1" ht="22.5" x14ac:dyDescent="0.2">
      <c r="A212" s="609"/>
      <c r="B212" s="552" t="s">
        <v>718</v>
      </c>
      <c r="C212" s="1822" t="s">
        <v>719</v>
      </c>
      <c r="D212" s="1822"/>
      <c r="E212" s="1822"/>
      <c r="F212" s="1822"/>
      <c r="G212" s="1822"/>
      <c r="H212" s="1822"/>
      <c r="I212" s="1822"/>
      <c r="J212" s="1822"/>
      <c r="K212" s="1822"/>
      <c r="L212" s="1822"/>
      <c r="M212" s="1822"/>
      <c r="N212" s="1827"/>
      <c r="X212" s="537" t="s">
        <v>719</v>
      </c>
    </row>
    <row r="213" spans="1:24" s="536" customFormat="1" ht="33.75" x14ac:dyDescent="0.2">
      <c r="A213" s="575" t="s">
        <v>917</v>
      </c>
      <c r="B213" s="670" t="s">
        <v>1764</v>
      </c>
      <c r="C213" s="1823" t="s">
        <v>1765</v>
      </c>
      <c r="D213" s="1823"/>
      <c r="E213" s="1823"/>
      <c r="F213" s="573" t="s">
        <v>617</v>
      </c>
      <c r="G213" s="573"/>
      <c r="H213" s="573"/>
      <c r="I213" s="573" t="s">
        <v>713</v>
      </c>
      <c r="J213" s="572">
        <v>184.43</v>
      </c>
      <c r="K213" s="573" t="s">
        <v>716</v>
      </c>
      <c r="L213" s="572">
        <v>1356.61</v>
      </c>
      <c r="M213" s="571">
        <v>8.32</v>
      </c>
      <c r="N213" s="570">
        <v>11287</v>
      </c>
      <c r="W213" s="537" t="s">
        <v>1765</v>
      </c>
    </row>
    <row r="214" spans="1:24" s="536" customFormat="1" x14ac:dyDescent="0.2">
      <c r="A214" s="569"/>
      <c r="B214" s="671"/>
      <c r="C214" s="665" t="s">
        <v>1658</v>
      </c>
      <c r="D214" s="666"/>
      <c r="E214" s="666"/>
      <c r="F214" s="563"/>
      <c r="G214" s="563"/>
      <c r="H214" s="563"/>
      <c r="I214" s="563"/>
      <c r="J214" s="566"/>
      <c r="K214" s="563"/>
      <c r="L214" s="566"/>
      <c r="M214" s="565"/>
      <c r="N214" s="564"/>
    </row>
    <row r="215" spans="1:24" s="536" customFormat="1" ht="22.5" x14ac:dyDescent="0.2">
      <c r="A215" s="609"/>
      <c r="B215" s="552" t="s">
        <v>718</v>
      </c>
      <c r="C215" s="1822" t="s">
        <v>719</v>
      </c>
      <c r="D215" s="1822"/>
      <c r="E215" s="1822"/>
      <c r="F215" s="1822"/>
      <c r="G215" s="1822"/>
      <c r="H215" s="1822"/>
      <c r="I215" s="1822"/>
      <c r="J215" s="1822"/>
      <c r="K215" s="1822"/>
      <c r="L215" s="1822"/>
      <c r="M215" s="1822"/>
      <c r="N215" s="1827"/>
      <c r="X215" s="537" t="s">
        <v>719</v>
      </c>
    </row>
    <row r="216" spans="1:24" s="536" customFormat="1" ht="33.75" x14ac:dyDescent="0.2">
      <c r="A216" s="575" t="s">
        <v>761</v>
      </c>
      <c r="B216" s="670" t="s">
        <v>1767</v>
      </c>
      <c r="C216" s="1823" t="s">
        <v>1768</v>
      </c>
      <c r="D216" s="1823"/>
      <c r="E216" s="1823"/>
      <c r="F216" s="573" t="s">
        <v>617</v>
      </c>
      <c r="G216" s="573"/>
      <c r="H216" s="573"/>
      <c r="I216" s="573" t="s">
        <v>1772</v>
      </c>
      <c r="J216" s="572">
        <v>26.57</v>
      </c>
      <c r="K216" s="573" t="s">
        <v>716</v>
      </c>
      <c r="L216" s="572">
        <v>977.16</v>
      </c>
      <c r="M216" s="571">
        <v>8.32</v>
      </c>
      <c r="N216" s="570">
        <v>8130</v>
      </c>
      <c r="W216" s="537" t="s">
        <v>1768</v>
      </c>
    </row>
    <row r="217" spans="1:24" s="536" customFormat="1" x14ac:dyDescent="0.2">
      <c r="A217" s="569"/>
      <c r="B217" s="671"/>
      <c r="C217" s="665" t="s">
        <v>1658</v>
      </c>
      <c r="D217" s="666"/>
      <c r="E217" s="666"/>
      <c r="F217" s="563"/>
      <c r="G217" s="563"/>
      <c r="H217" s="563"/>
      <c r="I217" s="563"/>
      <c r="J217" s="566"/>
      <c r="K217" s="563"/>
      <c r="L217" s="566"/>
      <c r="M217" s="565"/>
      <c r="N217" s="564"/>
    </row>
    <row r="218" spans="1:24" s="536" customFormat="1" ht="22.5" x14ac:dyDescent="0.2">
      <c r="A218" s="609"/>
      <c r="B218" s="552" t="s">
        <v>718</v>
      </c>
      <c r="C218" s="1822" t="s">
        <v>719</v>
      </c>
      <c r="D218" s="1822"/>
      <c r="E218" s="1822"/>
      <c r="F218" s="1822"/>
      <c r="G218" s="1822"/>
      <c r="H218" s="1822"/>
      <c r="I218" s="1822"/>
      <c r="J218" s="1822"/>
      <c r="K218" s="1822"/>
      <c r="L218" s="1822"/>
      <c r="M218" s="1822"/>
      <c r="N218" s="1827"/>
      <c r="X218" s="537" t="s">
        <v>719</v>
      </c>
    </row>
    <row r="219" spans="1:24" s="536" customFormat="1" ht="33.75" x14ac:dyDescent="0.2">
      <c r="A219" s="575" t="s">
        <v>762</v>
      </c>
      <c r="B219" s="670" t="s">
        <v>1770</v>
      </c>
      <c r="C219" s="1823" t="s">
        <v>1771</v>
      </c>
      <c r="D219" s="1823"/>
      <c r="E219" s="1823"/>
      <c r="F219" s="573" t="s">
        <v>617</v>
      </c>
      <c r="G219" s="573"/>
      <c r="H219" s="573"/>
      <c r="I219" s="573" t="s">
        <v>804</v>
      </c>
      <c r="J219" s="572">
        <v>21.88</v>
      </c>
      <c r="K219" s="573" t="s">
        <v>716</v>
      </c>
      <c r="L219" s="572">
        <v>187.74</v>
      </c>
      <c r="M219" s="571">
        <v>8.32</v>
      </c>
      <c r="N219" s="570">
        <v>1562</v>
      </c>
      <c r="W219" s="537" t="s">
        <v>1771</v>
      </c>
    </row>
    <row r="220" spans="1:24" s="536" customFormat="1" x14ac:dyDescent="0.2">
      <c r="A220" s="569"/>
      <c r="B220" s="671"/>
      <c r="C220" s="665" t="s">
        <v>1658</v>
      </c>
      <c r="D220" s="666"/>
      <c r="E220" s="666"/>
      <c r="F220" s="563"/>
      <c r="G220" s="563"/>
      <c r="H220" s="563"/>
      <c r="I220" s="563"/>
      <c r="J220" s="566"/>
      <c r="K220" s="563"/>
      <c r="L220" s="566"/>
      <c r="M220" s="565"/>
      <c r="N220" s="564"/>
    </row>
    <row r="221" spans="1:24" s="536" customFormat="1" ht="22.5" x14ac:dyDescent="0.2">
      <c r="A221" s="609"/>
      <c r="B221" s="552" t="s">
        <v>718</v>
      </c>
      <c r="C221" s="1822" t="s">
        <v>719</v>
      </c>
      <c r="D221" s="1822"/>
      <c r="E221" s="1822"/>
      <c r="F221" s="1822"/>
      <c r="G221" s="1822"/>
      <c r="H221" s="1822"/>
      <c r="I221" s="1822"/>
      <c r="J221" s="1822"/>
      <c r="K221" s="1822"/>
      <c r="L221" s="1822"/>
      <c r="M221" s="1822"/>
      <c r="N221" s="1827"/>
      <c r="X221" s="537" t="s">
        <v>719</v>
      </c>
    </row>
    <row r="222" spans="1:24" s="536" customFormat="1" ht="33.75" x14ac:dyDescent="0.2">
      <c r="A222" s="575" t="s">
        <v>763</v>
      </c>
      <c r="B222" s="670" t="s">
        <v>1773</v>
      </c>
      <c r="C222" s="1823" t="s">
        <v>1774</v>
      </c>
      <c r="D222" s="1823"/>
      <c r="E222" s="1823"/>
      <c r="F222" s="573" t="s">
        <v>617</v>
      </c>
      <c r="G222" s="573"/>
      <c r="H222" s="573"/>
      <c r="I222" s="573" t="s">
        <v>3579</v>
      </c>
      <c r="J222" s="572">
        <v>10.94</v>
      </c>
      <c r="K222" s="573" t="s">
        <v>716</v>
      </c>
      <c r="L222" s="572">
        <v>670.55</v>
      </c>
      <c r="M222" s="571">
        <v>8.32</v>
      </c>
      <c r="N222" s="570">
        <v>5579</v>
      </c>
      <c r="W222" s="537" t="s">
        <v>1774</v>
      </c>
    </row>
    <row r="223" spans="1:24" s="536" customFormat="1" x14ac:dyDescent="0.2">
      <c r="A223" s="569"/>
      <c r="B223" s="671"/>
      <c r="C223" s="665" t="s">
        <v>1658</v>
      </c>
      <c r="D223" s="666"/>
      <c r="E223" s="666"/>
      <c r="F223" s="563"/>
      <c r="G223" s="563"/>
      <c r="H223" s="563"/>
      <c r="I223" s="563"/>
      <c r="J223" s="566"/>
      <c r="K223" s="563"/>
      <c r="L223" s="566"/>
      <c r="M223" s="565"/>
      <c r="N223" s="564"/>
    </row>
    <row r="224" spans="1:24" s="536" customFormat="1" ht="22.5" x14ac:dyDescent="0.2">
      <c r="A224" s="609"/>
      <c r="B224" s="552" t="s">
        <v>718</v>
      </c>
      <c r="C224" s="1822" t="s">
        <v>719</v>
      </c>
      <c r="D224" s="1822"/>
      <c r="E224" s="1822"/>
      <c r="F224" s="1822"/>
      <c r="G224" s="1822"/>
      <c r="H224" s="1822"/>
      <c r="I224" s="1822"/>
      <c r="J224" s="1822"/>
      <c r="K224" s="1822"/>
      <c r="L224" s="1822"/>
      <c r="M224" s="1822"/>
      <c r="N224" s="1827"/>
      <c r="X224" s="537" t="s">
        <v>719</v>
      </c>
    </row>
    <row r="225" spans="1:28" s="536" customFormat="1" ht="22.5" x14ac:dyDescent="0.2">
      <c r="A225" s="575" t="s">
        <v>922</v>
      </c>
      <c r="B225" s="670" t="s">
        <v>1776</v>
      </c>
      <c r="C225" s="1823" t="s">
        <v>1777</v>
      </c>
      <c r="D225" s="1823"/>
      <c r="E225" s="1823"/>
      <c r="F225" s="573" t="s">
        <v>617</v>
      </c>
      <c r="G225" s="573"/>
      <c r="H225" s="573"/>
      <c r="I225" s="573" t="s">
        <v>185</v>
      </c>
      <c r="J225" s="572"/>
      <c r="K225" s="573"/>
      <c r="L225" s="572"/>
      <c r="M225" s="571"/>
      <c r="N225" s="570"/>
      <c r="W225" s="537" t="s">
        <v>1777</v>
      </c>
    </row>
    <row r="226" spans="1:28" s="536" customFormat="1" ht="33.75" x14ac:dyDescent="0.2">
      <c r="A226" s="609"/>
      <c r="B226" s="552" t="s">
        <v>310</v>
      </c>
      <c r="C226" s="1822" t="s">
        <v>311</v>
      </c>
      <c r="D226" s="1822"/>
      <c r="E226" s="1822"/>
      <c r="F226" s="1822"/>
      <c r="G226" s="1822"/>
      <c r="H226" s="1822"/>
      <c r="I226" s="1822"/>
      <c r="J226" s="1822"/>
      <c r="K226" s="1822"/>
      <c r="L226" s="1822"/>
      <c r="M226" s="1822"/>
      <c r="N226" s="1827"/>
      <c r="X226" s="537" t="s">
        <v>311</v>
      </c>
    </row>
    <row r="227" spans="1:28" s="536" customFormat="1" x14ac:dyDescent="0.2">
      <c r="A227" s="605"/>
      <c r="B227" s="552" t="s">
        <v>185</v>
      </c>
      <c r="C227" s="1822" t="s">
        <v>312</v>
      </c>
      <c r="D227" s="1822"/>
      <c r="E227" s="1822"/>
      <c r="F227" s="562"/>
      <c r="G227" s="562"/>
      <c r="H227" s="562"/>
      <c r="I227" s="562"/>
      <c r="J227" s="604">
        <v>5.35</v>
      </c>
      <c r="K227" s="562" t="s">
        <v>313</v>
      </c>
      <c r="L227" s="604">
        <v>6.69</v>
      </c>
      <c r="M227" s="603"/>
      <c r="N227" s="602"/>
      <c r="Y227" s="537" t="s">
        <v>312</v>
      </c>
    </row>
    <row r="228" spans="1:28" s="536" customFormat="1" x14ac:dyDescent="0.2">
      <c r="A228" s="605"/>
      <c r="B228" s="552" t="s">
        <v>188</v>
      </c>
      <c r="C228" s="1822" t="s">
        <v>475</v>
      </c>
      <c r="D228" s="1822"/>
      <c r="E228" s="1822"/>
      <c r="F228" s="562"/>
      <c r="G228" s="562"/>
      <c r="H228" s="562"/>
      <c r="I228" s="562"/>
      <c r="J228" s="604">
        <v>0.94</v>
      </c>
      <c r="K228" s="562"/>
      <c r="L228" s="604">
        <v>0.94</v>
      </c>
      <c r="M228" s="603"/>
      <c r="N228" s="602"/>
      <c r="Y228" s="537" t="s">
        <v>475</v>
      </c>
    </row>
    <row r="229" spans="1:28" s="536" customFormat="1" x14ac:dyDescent="0.2">
      <c r="A229" s="605"/>
      <c r="B229" s="552"/>
      <c r="C229" s="1822" t="s">
        <v>314</v>
      </c>
      <c r="D229" s="1822"/>
      <c r="E229" s="1822"/>
      <c r="F229" s="562" t="s">
        <v>315</v>
      </c>
      <c r="G229" s="562" t="s">
        <v>1778</v>
      </c>
      <c r="H229" s="562" t="s">
        <v>313</v>
      </c>
      <c r="I229" s="562" t="s">
        <v>2351</v>
      </c>
      <c r="J229" s="604"/>
      <c r="K229" s="562"/>
      <c r="L229" s="604"/>
      <c r="M229" s="603"/>
      <c r="N229" s="602"/>
      <c r="Z229" s="537" t="s">
        <v>314</v>
      </c>
    </row>
    <row r="230" spans="1:28" s="536" customFormat="1" x14ac:dyDescent="0.2">
      <c r="A230" s="605"/>
      <c r="B230" s="552"/>
      <c r="C230" s="1828" t="s">
        <v>318</v>
      </c>
      <c r="D230" s="1828"/>
      <c r="E230" s="1828"/>
      <c r="F230" s="608"/>
      <c r="G230" s="608"/>
      <c r="H230" s="608"/>
      <c r="I230" s="608"/>
      <c r="J230" s="607">
        <v>6.29</v>
      </c>
      <c r="K230" s="608"/>
      <c r="L230" s="607">
        <v>7.63</v>
      </c>
      <c r="M230" s="601"/>
      <c r="N230" s="606"/>
      <c r="AA230" s="537" t="s">
        <v>318</v>
      </c>
    </row>
    <row r="231" spans="1:28" s="536" customFormat="1" x14ac:dyDescent="0.2">
      <c r="A231" s="605"/>
      <c r="B231" s="552"/>
      <c r="C231" s="1822" t="s">
        <v>319</v>
      </c>
      <c r="D231" s="1822"/>
      <c r="E231" s="1822"/>
      <c r="F231" s="562"/>
      <c r="G231" s="562"/>
      <c r="H231" s="562"/>
      <c r="I231" s="562"/>
      <c r="J231" s="604"/>
      <c r="K231" s="562"/>
      <c r="L231" s="604">
        <v>6.69</v>
      </c>
      <c r="M231" s="603"/>
      <c r="N231" s="602"/>
      <c r="Z231" s="537" t="s">
        <v>319</v>
      </c>
    </row>
    <row r="232" spans="1:28" s="536" customFormat="1" ht="33.75" x14ac:dyDescent="0.2">
      <c r="A232" s="605"/>
      <c r="B232" s="552" t="s">
        <v>1631</v>
      </c>
      <c r="C232" s="1822" t="s">
        <v>1632</v>
      </c>
      <c r="D232" s="1822"/>
      <c r="E232" s="1822"/>
      <c r="F232" s="562" t="s">
        <v>322</v>
      </c>
      <c r="G232" s="562" t="s">
        <v>1633</v>
      </c>
      <c r="H232" s="562"/>
      <c r="I232" s="562" t="s">
        <v>1633</v>
      </c>
      <c r="J232" s="604"/>
      <c r="K232" s="562"/>
      <c r="L232" s="604">
        <v>6.49</v>
      </c>
      <c r="M232" s="603"/>
      <c r="N232" s="602"/>
      <c r="Z232" s="537" t="s">
        <v>1632</v>
      </c>
    </row>
    <row r="233" spans="1:28" s="536" customFormat="1" ht="33.75" x14ac:dyDescent="0.2">
      <c r="A233" s="605"/>
      <c r="B233" s="552" t="s">
        <v>1634</v>
      </c>
      <c r="C233" s="1822" t="s">
        <v>1635</v>
      </c>
      <c r="D233" s="1822"/>
      <c r="E233" s="1822"/>
      <c r="F233" s="562" t="s">
        <v>322</v>
      </c>
      <c r="G233" s="562" t="s">
        <v>786</v>
      </c>
      <c r="H233" s="562"/>
      <c r="I233" s="562" t="s">
        <v>786</v>
      </c>
      <c r="J233" s="604"/>
      <c r="K233" s="562"/>
      <c r="L233" s="604">
        <v>3.41</v>
      </c>
      <c r="M233" s="603"/>
      <c r="N233" s="602"/>
      <c r="Z233" s="537" t="s">
        <v>1635</v>
      </c>
    </row>
    <row r="234" spans="1:28" s="536" customFormat="1" x14ac:dyDescent="0.2">
      <c r="A234" s="569"/>
      <c r="B234" s="671"/>
      <c r="C234" s="1823" t="s">
        <v>327</v>
      </c>
      <c r="D234" s="1823"/>
      <c r="E234" s="1823"/>
      <c r="F234" s="573"/>
      <c r="G234" s="573"/>
      <c r="H234" s="573"/>
      <c r="I234" s="573"/>
      <c r="J234" s="572"/>
      <c r="K234" s="573"/>
      <c r="L234" s="572">
        <v>17.53</v>
      </c>
      <c r="M234" s="601"/>
      <c r="N234" s="570"/>
      <c r="AB234" s="537" t="s">
        <v>327</v>
      </c>
    </row>
    <row r="235" spans="1:28" s="536" customFormat="1" ht="33.75" x14ac:dyDescent="0.2">
      <c r="A235" s="575" t="s">
        <v>765</v>
      </c>
      <c r="B235" s="670" t="s">
        <v>1780</v>
      </c>
      <c r="C235" s="1823" t="s">
        <v>1781</v>
      </c>
      <c r="D235" s="1823"/>
      <c r="E235" s="1823"/>
      <c r="F235" s="573" t="s">
        <v>483</v>
      </c>
      <c r="G235" s="573"/>
      <c r="H235" s="573"/>
      <c r="I235" s="573" t="s">
        <v>185</v>
      </c>
      <c r="J235" s="572">
        <v>211</v>
      </c>
      <c r="K235" s="573" t="s">
        <v>716</v>
      </c>
      <c r="L235" s="572">
        <v>25.84</v>
      </c>
      <c r="M235" s="571">
        <v>8.32</v>
      </c>
      <c r="N235" s="570">
        <v>215</v>
      </c>
      <c r="W235" s="537" t="s">
        <v>1781</v>
      </c>
    </row>
    <row r="236" spans="1:28" s="536" customFormat="1" x14ac:dyDescent="0.2">
      <c r="A236" s="569"/>
      <c r="B236" s="671"/>
      <c r="C236" s="665" t="s">
        <v>1658</v>
      </c>
      <c r="D236" s="666"/>
      <c r="E236" s="666"/>
      <c r="F236" s="563"/>
      <c r="G236" s="563"/>
      <c r="H236" s="563"/>
      <c r="I236" s="563"/>
      <c r="J236" s="566"/>
      <c r="K236" s="563"/>
      <c r="L236" s="566"/>
      <c r="M236" s="565"/>
      <c r="N236" s="564"/>
    </row>
    <row r="237" spans="1:28" s="536" customFormat="1" ht="22.5" x14ac:dyDescent="0.2">
      <c r="A237" s="609"/>
      <c r="B237" s="552" t="s">
        <v>718</v>
      </c>
      <c r="C237" s="1822" t="s">
        <v>719</v>
      </c>
      <c r="D237" s="1822"/>
      <c r="E237" s="1822"/>
      <c r="F237" s="1822"/>
      <c r="G237" s="1822"/>
      <c r="H237" s="1822"/>
      <c r="I237" s="1822"/>
      <c r="J237" s="1822"/>
      <c r="K237" s="1822"/>
      <c r="L237" s="1822"/>
      <c r="M237" s="1822"/>
      <c r="N237" s="1827"/>
      <c r="X237" s="537" t="s">
        <v>719</v>
      </c>
    </row>
    <row r="238" spans="1:28" s="536" customFormat="1" ht="33.75" x14ac:dyDescent="0.2">
      <c r="A238" s="575" t="s">
        <v>505</v>
      </c>
      <c r="B238" s="670" t="s">
        <v>1782</v>
      </c>
      <c r="C238" s="1823" t="s">
        <v>1783</v>
      </c>
      <c r="D238" s="1823"/>
      <c r="E238" s="1823"/>
      <c r="F238" s="573" t="s">
        <v>617</v>
      </c>
      <c r="G238" s="573"/>
      <c r="H238" s="573"/>
      <c r="I238" s="573" t="s">
        <v>197</v>
      </c>
      <c r="J238" s="572"/>
      <c r="K238" s="573"/>
      <c r="L238" s="572"/>
      <c r="M238" s="571"/>
      <c r="N238" s="570"/>
      <c r="W238" s="537" t="s">
        <v>1783</v>
      </c>
    </row>
    <row r="239" spans="1:28" s="536" customFormat="1" ht="33.75" x14ac:dyDescent="0.2">
      <c r="A239" s="609"/>
      <c r="B239" s="552" t="s">
        <v>310</v>
      </c>
      <c r="C239" s="1822" t="s">
        <v>311</v>
      </c>
      <c r="D239" s="1822"/>
      <c r="E239" s="1822"/>
      <c r="F239" s="1822"/>
      <c r="G239" s="1822"/>
      <c r="H239" s="1822"/>
      <c r="I239" s="1822"/>
      <c r="J239" s="1822"/>
      <c r="K239" s="1822"/>
      <c r="L239" s="1822"/>
      <c r="M239" s="1822"/>
      <c r="N239" s="1827"/>
      <c r="X239" s="537" t="s">
        <v>311</v>
      </c>
    </row>
    <row r="240" spans="1:28" s="536" customFormat="1" x14ac:dyDescent="0.2">
      <c r="A240" s="605"/>
      <c r="B240" s="552" t="s">
        <v>185</v>
      </c>
      <c r="C240" s="1822" t="s">
        <v>312</v>
      </c>
      <c r="D240" s="1822"/>
      <c r="E240" s="1822"/>
      <c r="F240" s="562"/>
      <c r="G240" s="562"/>
      <c r="H240" s="562"/>
      <c r="I240" s="562"/>
      <c r="J240" s="604">
        <v>3.57</v>
      </c>
      <c r="K240" s="562" t="s">
        <v>313</v>
      </c>
      <c r="L240" s="604">
        <v>58.01</v>
      </c>
      <c r="M240" s="603"/>
      <c r="N240" s="602"/>
      <c r="Y240" s="537" t="s">
        <v>312</v>
      </c>
    </row>
    <row r="241" spans="1:28" s="536" customFormat="1" x14ac:dyDescent="0.2">
      <c r="A241" s="605"/>
      <c r="B241" s="552" t="s">
        <v>188</v>
      </c>
      <c r="C241" s="1822" t="s">
        <v>475</v>
      </c>
      <c r="D241" s="1822"/>
      <c r="E241" s="1822"/>
      <c r="F241" s="562"/>
      <c r="G241" s="562"/>
      <c r="H241" s="562"/>
      <c r="I241" s="562"/>
      <c r="J241" s="604">
        <v>15.07</v>
      </c>
      <c r="K241" s="562"/>
      <c r="L241" s="604">
        <v>0</v>
      </c>
      <c r="M241" s="603"/>
      <c r="N241" s="602"/>
      <c r="Y241" s="537" t="s">
        <v>475</v>
      </c>
    </row>
    <row r="242" spans="1:28" s="536" customFormat="1" x14ac:dyDescent="0.2">
      <c r="A242" s="605"/>
      <c r="B242" s="552"/>
      <c r="C242" s="1822" t="s">
        <v>314</v>
      </c>
      <c r="D242" s="1822"/>
      <c r="E242" s="1822"/>
      <c r="F242" s="562" t="s">
        <v>315</v>
      </c>
      <c r="G242" s="562" t="s">
        <v>1785</v>
      </c>
      <c r="H242" s="562" t="s">
        <v>313</v>
      </c>
      <c r="I242" s="562" t="s">
        <v>2353</v>
      </c>
      <c r="J242" s="604"/>
      <c r="K242" s="562"/>
      <c r="L242" s="604"/>
      <c r="M242" s="603"/>
      <c r="N242" s="602"/>
      <c r="Z242" s="537" t="s">
        <v>314</v>
      </c>
    </row>
    <row r="243" spans="1:28" s="536" customFormat="1" x14ac:dyDescent="0.2">
      <c r="A243" s="605"/>
      <c r="B243" s="552"/>
      <c r="C243" s="1828" t="s">
        <v>318</v>
      </c>
      <c r="D243" s="1828"/>
      <c r="E243" s="1828"/>
      <c r="F243" s="608"/>
      <c r="G243" s="608"/>
      <c r="H243" s="608"/>
      <c r="I243" s="608"/>
      <c r="J243" s="607">
        <v>3.57</v>
      </c>
      <c r="K243" s="608"/>
      <c r="L243" s="607">
        <v>58.01</v>
      </c>
      <c r="M243" s="601"/>
      <c r="N243" s="606"/>
      <c r="AA243" s="537" t="s">
        <v>318</v>
      </c>
    </row>
    <row r="244" spans="1:28" s="536" customFormat="1" x14ac:dyDescent="0.2">
      <c r="A244" s="605"/>
      <c r="B244" s="552"/>
      <c r="C244" s="1822" t="s">
        <v>319</v>
      </c>
      <c r="D244" s="1822"/>
      <c r="E244" s="1822"/>
      <c r="F244" s="562"/>
      <c r="G244" s="562"/>
      <c r="H244" s="562"/>
      <c r="I244" s="562"/>
      <c r="J244" s="604"/>
      <c r="K244" s="562"/>
      <c r="L244" s="604">
        <v>58.01</v>
      </c>
      <c r="M244" s="603"/>
      <c r="N244" s="602"/>
      <c r="Z244" s="537" t="s">
        <v>319</v>
      </c>
    </row>
    <row r="245" spans="1:28" s="536" customFormat="1" ht="33.75" x14ac:dyDescent="0.2">
      <c r="A245" s="605"/>
      <c r="B245" s="552" t="s">
        <v>1631</v>
      </c>
      <c r="C245" s="1822" t="s">
        <v>1632</v>
      </c>
      <c r="D245" s="1822"/>
      <c r="E245" s="1822"/>
      <c r="F245" s="562" t="s">
        <v>322</v>
      </c>
      <c r="G245" s="562" t="s">
        <v>1633</v>
      </c>
      <c r="H245" s="562"/>
      <c r="I245" s="562" t="s">
        <v>1633</v>
      </c>
      <c r="J245" s="604"/>
      <c r="K245" s="562"/>
      <c r="L245" s="604">
        <v>56.27</v>
      </c>
      <c r="M245" s="603"/>
      <c r="N245" s="602"/>
      <c r="Z245" s="537" t="s">
        <v>1632</v>
      </c>
    </row>
    <row r="246" spans="1:28" s="536" customFormat="1" ht="33.75" x14ac:dyDescent="0.2">
      <c r="A246" s="605"/>
      <c r="B246" s="552" t="s">
        <v>1634</v>
      </c>
      <c r="C246" s="1822" t="s">
        <v>1635</v>
      </c>
      <c r="D246" s="1822"/>
      <c r="E246" s="1822"/>
      <c r="F246" s="562" t="s">
        <v>322</v>
      </c>
      <c r="G246" s="562" t="s">
        <v>786</v>
      </c>
      <c r="H246" s="562"/>
      <c r="I246" s="562" t="s">
        <v>786</v>
      </c>
      <c r="J246" s="604"/>
      <c r="K246" s="562"/>
      <c r="L246" s="604">
        <v>29.59</v>
      </c>
      <c r="M246" s="603"/>
      <c r="N246" s="602"/>
      <c r="Z246" s="537" t="s">
        <v>1635</v>
      </c>
    </row>
    <row r="247" spans="1:28" s="536" customFormat="1" x14ac:dyDescent="0.2">
      <c r="A247" s="569"/>
      <c r="B247" s="671"/>
      <c r="C247" s="1823" t="s">
        <v>327</v>
      </c>
      <c r="D247" s="1823"/>
      <c r="E247" s="1823"/>
      <c r="F247" s="573"/>
      <c r="G247" s="573"/>
      <c r="H247" s="573"/>
      <c r="I247" s="573"/>
      <c r="J247" s="572"/>
      <c r="K247" s="573"/>
      <c r="L247" s="572">
        <v>143.87</v>
      </c>
      <c r="M247" s="601"/>
      <c r="N247" s="570"/>
      <c r="AB247" s="537" t="s">
        <v>327</v>
      </c>
    </row>
    <row r="248" spans="1:28" s="536" customFormat="1" ht="33.75" x14ac:dyDescent="0.2">
      <c r="A248" s="575" t="s">
        <v>767</v>
      </c>
      <c r="B248" s="670" t="s">
        <v>1787</v>
      </c>
      <c r="C248" s="1823" t="s">
        <v>1788</v>
      </c>
      <c r="D248" s="1823"/>
      <c r="E248" s="1823"/>
      <c r="F248" s="573" t="s">
        <v>617</v>
      </c>
      <c r="G248" s="573"/>
      <c r="H248" s="573"/>
      <c r="I248" s="573" t="s">
        <v>188</v>
      </c>
      <c r="J248" s="572">
        <v>1266.02</v>
      </c>
      <c r="K248" s="573" t="s">
        <v>716</v>
      </c>
      <c r="L248" s="572">
        <v>620.79</v>
      </c>
      <c r="M248" s="571">
        <v>8.32</v>
      </c>
      <c r="N248" s="570">
        <v>5165</v>
      </c>
      <c r="W248" s="537" t="s">
        <v>1788</v>
      </c>
    </row>
    <row r="249" spans="1:28" s="536" customFormat="1" x14ac:dyDescent="0.2">
      <c r="A249" s="569"/>
      <c r="B249" s="671"/>
      <c r="C249" s="665" t="s">
        <v>1658</v>
      </c>
      <c r="D249" s="666"/>
      <c r="E249" s="666"/>
      <c r="F249" s="563"/>
      <c r="G249" s="563"/>
      <c r="H249" s="563"/>
      <c r="I249" s="563"/>
      <c r="J249" s="566"/>
      <c r="K249" s="563"/>
      <c r="L249" s="566"/>
      <c r="M249" s="565"/>
      <c r="N249" s="564"/>
    </row>
    <row r="250" spans="1:28" s="536" customFormat="1" ht="22.5" x14ac:dyDescent="0.2">
      <c r="A250" s="609"/>
      <c r="B250" s="552" t="s">
        <v>718</v>
      </c>
      <c r="C250" s="1822" t="s">
        <v>719</v>
      </c>
      <c r="D250" s="1822"/>
      <c r="E250" s="1822"/>
      <c r="F250" s="1822"/>
      <c r="G250" s="1822"/>
      <c r="H250" s="1822"/>
      <c r="I250" s="1822"/>
      <c r="J250" s="1822"/>
      <c r="K250" s="1822"/>
      <c r="L250" s="1822"/>
      <c r="M250" s="1822"/>
      <c r="N250" s="1827"/>
      <c r="X250" s="537" t="s">
        <v>719</v>
      </c>
    </row>
    <row r="251" spans="1:28" s="536" customFormat="1" ht="22.5" x14ac:dyDescent="0.2">
      <c r="A251" s="575" t="s">
        <v>768</v>
      </c>
      <c r="B251" s="670" t="s">
        <v>1789</v>
      </c>
      <c r="C251" s="1823" t="s">
        <v>1790</v>
      </c>
      <c r="D251" s="1823"/>
      <c r="E251" s="1823"/>
      <c r="F251" s="573" t="s">
        <v>617</v>
      </c>
      <c r="G251" s="573"/>
      <c r="H251" s="573"/>
      <c r="I251" s="573" t="s">
        <v>185</v>
      </c>
      <c r="J251" s="572"/>
      <c r="K251" s="573"/>
      <c r="L251" s="572"/>
      <c r="M251" s="571"/>
      <c r="N251" s="570"/>
      <c r="W251" s="537" t="s">
        <v>1790</v>
      </c>
    </row>
    <row r="252" spans="1:28" s="536" customFormat="1" x14ac:dyDescent="0.2">
      <c r="A252" s="605"/>
      <c r="B252" s="552" t="s">
        <v>185</v>
      </c>
      <c r="C252" s="1822" t="s">
        <v>312</v>
      </c>
      <c r="D252" s="1822"/>
      <c r="E252" s="1822"/>
      <c r="F252" s="562"/>
      <c r="G252" s="562"/>
      <c r="H252" s="562"/>
      <c r="I252" s="562"/>
      <c r="J252" s="604">
        <v>10.220000000000001</v>
      </c>
      <c r="K252" s="562"/>
      <c r="L252" s="604">
        <v>10.220000000000001</v>
      </c>
      <c r="M252" s="603"/>
      <c r="N252" s="602"/>
      <c r="Y252" s="537" t="s">
        <v>312</v>
      </c>
    </row>
    <row r="253" spans="1:28" s="536" customFormat="1" x14ac:dyDescent="0.2">
      <c r="A253" s="605"/>
      <c r="B253" s="552" t="s">
        <v>188</v>
      </c>
      <c r="C253" s="1822" t="s">
        <v>475</v>
      </c>
      <c r="D253" s="1822"/>
      <c r="E253" s="1822"/>
      <c r="F253" s="562"/>
      <c r="G253" s="562"/>
      <c r="H253" s="562"/>
      <c r="I253" s="562"/>
      <c r="J253" s="604">
        <v>1.31</v>
      </c>
      <c r="K253" s="562"/>
      <c r="L253" s="604">
        <v>1.31</v>
      </c>
      <c r="M253" s="603"/>
      <c r="N253" s="602"/>
      <c r="Y253" s="537" t="s">
        <v>475</v>
      </c>
    </row>
    <row r="254" spans="1:28" s="536" customFormat="1" x14ac:dyDescent="0.2">
      <c r="A254" s="605"/>
      <c r="B254" s="552"/>
      <c r="C254" s="1822" t="s">
        <v>314</v>
      </c>
      <c r="D254" s="1822"/>
      <c r="E254" s="1822"/>
      <c r="F254" s="562" t="s">
        <v>315</v>
      </c>
      <c r="G254" s="562" t="s">
        <v>702</v>
      </c>
      <c r="H254" s="562"/>
      <c r="I254" s="562" t="s">
        <v>702</v>
      </c>
      <c r="J254" s="604"/>
      <c r="K254" s="562"/>
      <c r="L254" s="604"/>
      <c r="M254" s="603"/>
      <c r="N254" s="602"/>
      <c r="Z254" s="537" t="s">
        <v>314</v>
      </c>
    </row>
    <row r="255" spans="1:28" s="536" customFormat="1" x14ac:dyDescent="0.2">
      <c r="A255" s="605"/>
      <c r="B255" s="552"/>
      <c r="C255" s="1828" t="s">
        <v>318</v>
      </c>
      <c r="D255" s="1828"/>
      <c r="E255" s="1828"/>
      <c r="F255" s="608"/>
      <c r="G255" s="608"/>
      <c r="H255" s="608"/>
      <c r="I255" s="608"/>
      <c r="J255" s="607">
        <v>11.53</v>
      </c>
      <c r="K255" s="608"/>
      <c r="L255" s="607">
        <v>11.53</v>
      </c>
      <c r="M255" s="601"/>
      <c r="N255" s="606"/>
      <c r="AA255" s="537" t="s">
        <v>318</v>
      </c>
    </row>
    <row r="256" spans="1:28" s="536" customFormat="1" x14ac:dyDescent="0.2">
      <c r="A256" s="605"/>
      <c r="B256" s="552"/>
      <c r="C256" s="1822" t="s">
        <v>319</v>
      </c>
      <c r="D256" s="1822"/>
      <c r="E256" s="1822"/>
      <c r="F256" s="562"/>
      <c r="G256" s="562"/>
      <c r="H256" s="562"/>
      <c r="I256" s="562"/>
      <c r="J256" s="604"/>
      <c r="K256" s="562"/>
      <c r="L256" s="604">
        <v>10.220000000000001</v>
      </c>
      <c r="M256" s="603"/>
      <c r="N256" s="602"/>
      <c r="Z256" s="537" t="s">
        <v>319</v>
      </c>
    </row>
    <row r="257" spans="1:33" s="536" customFormat="1" ht="33.75" x14ac:dyDescent="0.2">
      <c r="A257" s="605"/>
      <c r="B257" s="552" t="s">
        <v>948</v>
      </c>
      <c r="C257" s="1822" t="s">
        <v>949</v>
      </c>
      <c r="D257" s="1822"/>
      <c r="E257" s="1822"/>
      <c r="F257" s="562" t="s">
        <v>322</v>
      </c>
      <c r="G257" s="562" t="s">
        <v>886</v>
      </c>
      <c r="H257" s="562"/>
      <c r="I257" s="562" t="s">
        <v>886</v>
      </c>
      <c r="J257" s="604"/>
      <c r="K257" s="562"/>
      <c r="L257" s="604">
        <v>9.1999999999999993</v>
      </c>
      <c r="M257" s="603"/>
      <c r="N257" s="602"/>
      <c r="Z257" s="537" t="s">
        <v>949</v>
      </c>
    </row>
    <row r="258" spans="1:33" s="536" customFormat="1" ht="33.75" x14ac:dyDescent="0.2">
      <c r="A258" s="605"/>
      <c r="B258" s="552" t="s">
        <v>950</v>
      </c>
      <c r="C258" s="1822" t="s">
        <v>951</v>
      </c>
      <c r="D258" s="1822"/>
      <c r="E258" s="1822"/>
      <c r="F258" s="562" t="s">
        <v>322</v>
      </c>
      <c r="G258" s="562" t="s">
        <v>465</v>
      </c>
      <c r="H258" s="562"/>
      <c r="I258" s="562" t="s">
        <v>465</v>
      </c>
      <c r="J258" s="604"/>
      <c r="K258" s="562"/>
      <c r="L258" s="604">
        <v>4.7</v>
      </c>
      <c r="M258" s="603"/>
      <c r="N258" s="602"/>
      <c r="Z258" s="537" t="s">
        <v>951</v>
      </c>
    </row>
    <row r="259" spans="1:33" s="536" customFormat="1" x14ac:dyDescent="0.2">
      <c r="A259" s="569"/>
      <c r="B259" s="671"/>
      <c r="C259" s="1823" t="s">
        <v>327</v>
      </c>
      <c r="D259" s="1823"/>
      <c r="E259" s="1823"/>
      <c r="F259" s="573"/>
      <c r="G259" s="573"/>
      <c r="H259" s="573"/>
      <c r="I259" s="573"/>
      <c r="J259" s="572"/>
      <c r="K259" s="573"/>
      <c r="L259" s="572">
        <v>25.43</v>
      </c>
      <c r="M259" s="601"/>
      <c r="N259" s="570"/>
      <c r="AB259" s="537" t="s">
        <v>327</v>
      </c>
    </row>
    <row r="260" spans="1:33" s="536" customFormat="1" ht="33.75" x14ac:dyDescent="0.2">
      <c r="A260" s="575" t="s">
        <v>925</v>
      </c>
      <c r="B260" s="670" t="s">
        <v>1792</v>
      </c>
      <c r="C260" s="1823" t="s">
        <v>1793</v>
      </c>
      <c r="D260" s="1823"/>
      <c r="E260" s="1823"/>
      <c r="F260" s="573" t="s">
        <v>617</v>
      </c>
      <c r="G260" s="573"/>
      <c r="H260" s="573"/>
      <c r="I260" s="573" t="s">
        <v>185</v>
      </c>
      <c r="J260" s="572">
        <v>3876.2</v>
      </c>
      <c r="K260" s="573" t="s">
        <v>629</v>
      </c>
      <c r="L260" s="572">
        <v>854.68</v>
      </c>
      <c r="M260" s="571">
        <v>4.59</v>
      </c>
      <c r="N260" s="570">
        <v>3923</v>
      </c>
      <c r="W260" s="537" t="s">
        <v>1793</v>
      </c>
    </row>
    <row r="261" spans="1:33" s="536" customFormat="1" x14ac:dyDescent="0.2">
      <c r="A261" s="569"/>
      <c r="B261" s="671"/>
      <c r="C261" s="665" t="s">
        <v>630</v>
      </c>
      <c r="D261" s="666"/>
      <c r="E261" s="666"/>
      <c r="F261" s="563"/>
      <c r="G261" s="563"/>
      <c r="H261" s="563"/>
      <c r="I261" s="563"/>
      <c r="J261" s="566"/>
      <c r="K261" s="563"/>
      <c r="L261" s="566"/>
      <c r="M261" s="565"/>
      <c r="N261" s="564"/>
    </row>
    <row r="262" spans="1:33" s="536" customFormat="1" ht="22.5" x14ac:dyDescent="0.2">
      <c r="A262" s="609"/>
      <c r="B262" s="552" t="s">
        <v>1638</v>
      </c>
      <c r="C262" s="1822" t="s">
        <v>632</v>
      </c>
      <c r="D262" s="1822"/>
      <c r="E262" s="1822"/>
      <c r="F262" s="1822"/>
      <c r="G262" s="1822"/>
      <c r="H262" s="1822"/>
      <c r="I262" s="1822"/>
      <c r="J262" s="1822"/>
      <c r="K262" s="1822"/>
      <c r="L262" s="1822"/>
      <c r="M262" s="1822"/>
      <c r="N262" s="1827"/>
      <c r="X262" s="537" t="s">
        <v>632</v>
      </c>
    </row>
    <row r="263" spans="1:33" s="536" customFormat="1" x14ac:dyDescent="0.2">
      <c r="A263" s="1830" t="s">
        <v>2354</v>
      </c>
      <c r="B263" s="1831"/>
      <c r="C263" s="1831"/>
      <c r="D263" s="1831"/>
      <c r="E263" s="1831"/>
      <c r="F263" s="1831"/>
      <c r="G263" s="1831"/>
      <c r="H263" s="1831"/>
      <c r="I263" s="1831"/>
      <c r="J263" s="1831"/>
      <c r="K263" s="1831"/>
      <c r="L263" s="1831"/>
      <c r="M263" s="1831"/>
      <c r="N263" s="1832"/>
      <c r="AG263" s="537" t="s">
        <v>2354</v>
      </c>
    </row>
    <row r="264" spans="1:33" s="536" customFormat="1" ht="22.5" x14ac:dyDescent="0.2">
      <c r="A264" s="575" t="s">
        <v>770</v>
      </c>
      <c r="B264" s="670" t="s">
        <v>2381</v>
      </c>
      <c r="C264" s="1823" t="s">
        <v>2382</v>
      </c>
      <c r="D264" s="1823"/>
      <c r="E264" s="1823"/>
      <c r="F264" s="573" t="s">
        <v>1110</v>
      </c>
      <c r="G264" s="573"/>
      <c r="H264" s="573"/>
      <c r="I264" s="573" t="s">
        <v>1755</v>
      </c>
      <c r="J264" s="572"/>
      <c r="K264" s="573"/>
      <c r="L264" s="572"/>
      <c r="M264" s="571"/>
      <c r="N264" s="570"/>
      <c r="W264" s="537" t="s">
        <v>2382</v>
      </c>
    </row>
    <row r="265" spans="1:33" s="536" customFormat="1" x14ac:dyDescent="0.2">
      <c r="A265" s="676"/>
      <c r="B265" s="664"/>
      <c r="C265" s="1822" t="s">
        <v>3580</v>
      </c>
      <c r="D265" s="1822"/>
      <c r="E265" s="1822"/>
      <c r="F265" s="1822"/>
      <c r="G265" s="1822"/>
      <c r="H265" s="1822"/>
      <c r="I265" s="1822"/>
      <c r="J265" s="1822"/>
      <c r="K265" s="1822"/>
      <c r="L265" s="1822"/>
      <c r="M265" s="1822"/>
      <c r="N265" s="1827"/>
      <c r="AC265" s="537" t="s">
        <v>3580</v>
      </c>
    </row>
    <row r="266" spans="1:33" s="536" customFormat="1" ht="33.75" x14ac:dyDescent="0.2">
      <c r="A266" s="609"/>
      <c r="B266" s="552" t="s">
        <v>310</v>
      </c>
      <c r="C266" s="1822" t="s">
        <v>311</v>
      </c>
      <c r="D266" s="1822"/>
      <c r="E266" s="1822"/>
      <c r="F266" s="1822"/>
      <c r="G266" s="1822"/>
      <c r="H266" s="1822"/>
      <c r="I266" s="1822"/>
      <c r="J266" s="1822"/>
      <c r="K266" s="1822"/>
      <c r="L266" s="1822"/>
      <c r="M266" s="1822"/>
      <c r="N266" s="1827"/>
      <c r="X266" s="537" t="s">
        <v>311</v>
      </c>
    </row>
    <row r="267" spans="1:33" s="536" customFormat="1" x14ac:dyDescent="0.2">
      <c r="A267" s="605"/>
      <c r="B267" s="552" t="s">
        <v>185</v>
      </c>
      <c r="C267" s="1822" t="s">
        <v>312</v>
      </c>
      <c r="D267" s="1822"/>
      <c r="E267" s="1822"/>
      <c r="F267" s="562"/>
      <c r="G267" s="562"/>
      <c r="H267" s="562"/>
      <c r="I267" s="562"/>
      <c r="J267" s="604">
        <v>135.36000000000001</v>
      </c>
      <c r="K267" s="562" t="s">
        <v>313</v>
      </c>
      <c r="L267" s="604">
        <v>93.06</v>
      </c>
      <c r="M267" s="603"/>
      <c r="N267" s="602"/>
      <c r="Y267" s="537" t="s">
        <v>312</v>
      </c>
    </row>
    <row r="268" spans="1:33" s="536" customFormat="1" x14ac:dyDescent="0.2">
      <c r="A268" s="605"/>
      <c r="B268" s="552" t="s">
        <v>186</v>
      </c>
      <c r="C268" s="1822" t="s">
        <v>344</v>
      </c>
      <c r="D268" s="1822"/>
      <c r="E268" s="1822"/>
      <c r="F268" s="562"/>
      <c r="G268" s="562"/>
      <c r="H268" s="562"/>
      <c r="I268" s="562"/>
      <c r="J268" s="604">
        <v>58.09</v>
      </c>
      <c r="K268" s="562" t="s">
        <v>313</v>
      </c>
      <c r="L268" s="604">
        <v>39.94</v>
      </c>
      <c r="M268" s="603"/>
      <c r="N268" s="602"/>
      <c r="Y268" s="537" t="s">
        <v>344</v>
      </c>
    </row>
    <row r="269" spans="1:33" s="536" customFormat="1" x14ac:dyDescent="0.2">
      <c r="A269" s="605"/>
      <c r="B269" s="552" t="s">
        <v>187</v>
      </c>
      <c r="C269" s="1822" t="s">
        <v>345</v>
      </c>
      <c r="D269" s="1822"/>
      <c r="E269" s="1822"/>
      <c r="F269" s="562"/>
      <c r="G269" s="562"/>
      <c r="H269" s="562"/>
      <c r="I269" s="562"/>
      <c r="J269" s="604">
        <v>5.0199999999999996</v>
      </c>
      <c r="K269" s="562" t="s">
        <v>313</v>
      </c>
      <c r="L269" s="604">
        <v>3.45</v>
      </c>
      <c r="M269" s="603"/>
      <c r="N269" s="602"/>
      <c r="Y269" s="537" t="s">
        <v>345</v>
      </c>
    </row>
    <row r="270" spans="1:33" s="536" customFormat="1" x14ac:dyDescent="0.2">
      <c r="A270" s="605"/>
      <c r="B270" s="552" t="s">
        <v>188</v>
      </c>
      <c r="C270" s="1822" t="s">
        <v>475</v>
      </c>
      <c r="D270" s="1822"/>
      <c r="E270" s="1822"/>
      <c r="F270" s="562"/>
      <c r="G270" s="562"/>
      <c r="H270" s="562"/>
      <c r="I270" s="562"/>
      <c r="J270" s="604">
        <v>894.6</v>
      </c>
      <c r="K270" s="562"/>
      <c r="L270" s="604">
        <v>6.72</v>
      </c>
      <c r="M270" s="603"/>
      <c r="N270" s="602"/>
      <c r="Y270" s="537" t="s">
        <v>475</v>
      </c>
    </row>
    <row r="271" spans="1:33" s="536" customFormat="1" x14ac:dyDescent="0.2">
      <c r="A271" s="605"/>
      <c r="B271" s="552"/>
      <c r="C271" s="1822" t="s">
        <v>314</v>
      </c>
      <c r="D271" s="1822"/>
      <c r="E271" s="1822"/>
      <c r="F271" s="562" t="s">
        <v>315</v>
      </c>
      <c r="G271" s="562" t="s">
        <v>1028</v>
      </c>
      <c r="H271" s="562" t="s">
        <v>313</v>
      </c>
      <c r="I271" s="562" t="s">
        <v>3581</v>
      </c>
      <c r="J271" s="604"/>
      <c r="K271" s="562"/>
      <c r="L271" s="604"/>
      <c r="M271" s="603"/>
      <c r="N271" s="602"/>
      <c r="Z271" s="537" t="s">
        <v>314</v>
      </c>
    </row>
    <row r="272" spans="1:33" s="536" customFormat="1" x14ac:dyDescent="0.2">
      <c r="A272" s="605"/>
      <c r="B272" s="552"/>
      <c r="C272" s="1822" t="s">
        <v>348</v>
      </c>
      <c r="D272" s="1822"/>
      <c r="E272" s="1822"/>
      <c r="F272" s="562" t="s">
        <v>315</v>
      </c>
      <c r="G272" s="562" t="s">
        <v>947</v>
      </c>
      <c r="H272" s="562" t="s">
        <v>313</v>
      </c>
      <c r="I272" s="562" t="s">
        <v>2441</v>
      </c>
      <c r="J272" s="604"/>
      <c r="K272" s="562"/>
      <c r="L272" s="604"/>
      <c r="M272" s="603"/>
      <c r="N272" s="602"/>
      <c r="Z272" s="537" t="s">
        <v>348</v>
      </c>
    </row>
    <row r="273" spans="1:29" s="536" customFormat="1" x14ac:dyDescent="0.2">
      <c r="A273" s="605"/>
      <c r="B273" s="552"/>
      <c r="C273" s="1828" t="s">
        <v>318</v>
      </c>
      <c r="D273" s="1828"/>
      <c r="E273" s="1828"/>
      <c r="F273" s="608"/>
      <c r="G273" s="608"/>
      <c r="H273" s="608"/>
      <c r="I273" s="608"/>
      <c r="J273" s="607">
        <v>205.67</v>
      </c>
      <c r="K273" s="608"/>
      <c r="L273" s="607">
        <v>139.72</v>
      </c>
      <c r="M273" s="601"/>
      <c r="N273" s="606"/>
      <c r="AA273" s="537" t="s">
        <v>318</v>
      </c>
    </row>
    <row r="274" spans="1:29" s="536" customFormat="1" x14ac:dyDescent="0.2">
      <c r="A274" s="605"/>
      <c r="B274" s="552"/>
      <c r="C274" s="1822" t="s">
        <v>319</v>
      </c>
      <c r="D274" s="1822"/>
      <c r="E274" s="1822"/>
      <c r="F274" s="562"/>
      <c r="G274" s="562"/>
      <c r="H274" s="562"/>
      <c r="I274" s="562"/>
      <c r="J274" s="604"/>
      <c r="K274" s="562"/>
      <c r="L274" s="604">
        <v>96.51</v>
      </c>
      <c r="M274" s="603"/>
      <c r="N274" s="602"/>
      <c r="Z274" s="537" t="s">
        <v>319</v>
      </c>
    </row>
    <row r="275" spans="1:29" s="536" customFormat="1" ht="33.75" x14ac:dyDescent="0.2">
      <c r="A275" s="605"/>
      <c r="B275" s="552" t="s">
        <v>1631</v>
      </c>
      <c r="C275" s="1822" t="s">
        <v>1632</v>
      </c>
      <c r="D275" s="1822"/>
      <c r="E275" s="1822"/>
      <c r="F275" s="562" t="s">
        <v>322</v>
      </c>
      <c r="G275" s="562" t="s">
        <v>1633</v>
      </c>
      <c r="H275" s="562"/>
      <c r="I275" s="562" t="s">
        <v>1633</v>
      </c>
      <c r="J275" s="604"/>
      <c r="K275" s="562"/>
      <c r="L275" s="604">
        <v>93.61</v>
      </c>
      <c r="M275" s="603"/>
      <c r="N275" s="602"/>
      <c r="Z275" s="537" t="s">
        <v>1632</v>
      </c>
    </row>
    <row r="276" spans="1:29" s="536" customFormat="1" ht="33.75" x14ac:dyDescent="0.2">
      <c r="A276" s="605"/>
      <c r="B276" s="552" t="s">
        <v>1634</v>
      </c>
      <c r="C276" s="1822" t="s">
        <v>1635</v>
      </c>
      <c r="D276" s="1822"/>
      <c r="E276" s="1822"/>
      <c r="F276" s="562" t="s">
        <v>322</v>
      </c>
      <c r="G276" s="562" t="s">
        <v>786</v>
      </c>
      <c r="H276" s="562"/>
      <c r="I276" s="562" t="s">
        <v>786</v>
      </c>
      <c r="J276" s="604"/>
      <c r="K276" s="562"/>
      <c r="L276" s="604">
        <v>49.22</v>
      </c>
      <c r="M276" s="603"/>
      <c r="N276" s="602"/>
      <c r="Z276" s="537" t="s">
        <v>1635</v>
      </c>
    </row>
    <row r="277" spans="1:29" s="536" customFormat="1" x14ac:dyDescent="0.2">
      <c r="A277" s="569"/>
      <c r="B277" s="671"/>
      <c r="C277" s="1823" t="s">
        <v>327</v>
      </c>
      <c r="D277" s="1823"/>
      <c r="E277" s="1823"/>
      <c r="F277" s="573"/>
      <c r="G277" s="573"/>
      <c r="H277" s="573"/>
      <c r="I277" s="573"/>
      <c r="J277" s="572"/>
      <c r="K277" s="573"/>
      <c r="L277" s="572">
        <v>282.55</v>
      </c>
      <c r="M277" s="601"/>
      <c r="N277" s="570"/>
      <c r="AB277" s="537" t="s">
        <v>327</v>
      </c>
    </row>
    <row r="278" spans="1:29" s="536" customFormat="1" ht="33.75" x14ac:dyDescent="0.2">
      <c r="A278" s="575" t="s">
        <v>771</v>
      </c>
      <c r="B278" s="670" t="s">
        <v>3582</v>
      </c>
      <c r="C278" s="1823" t="s">
        <v>2387</v>
      </c>
      <c r="D278" s="1823"/>
      <c r="E278" s="1823"/>
      <c r="F278" s="573" t="s">
        <v>483</v>
      </c>
      <c r="G278" s="573"/>
      <c r="H278" s="573"/>
      <c r="I278" s="573" t="s">
        <v>789</v>
      </c>
      <c r="J278" s="572">
        <v>112</v>
      </c>
      <c r="K278" s="573" t="s">
        <v>716</v>
      </c>
      <c r="L278" s="572">
        <v>755.17</v>
      </c>
      <c r="M278" s="571">
        <v>8.32</v>
      </c>
      <c r="N278" s="570">
        <v>6283</v>
      </c>
      <c r="W278" s="537" t="s">
        <v>2387</v>
      </c>
    </row>
    <row r="279" spans="1:29" s="536" customFormat="1" x14ac:dyDescent="0.2">
      <c r="A279" s="569"/>
      <c r="B279" s="671"/>
      <c r="C279" s="665" t="s">
        <v>1658</v>
      </c>
      <c r="D279" s="666"/>
      <c r="E279" s="666"/>
      <c r="F279" s="563"/>
      <c r="G279" s="563"/>
      <c r="H279" s="563"/>
      <c r="I279" s="563"/>
      <c r="J279" s="566"/>
      <c r="K279" s="563"/>
      <c r="L279" s="566"/>
      <c r="M279" s="565"/>
      <c r="N279" s="564"/>
    </row>
    <row r="280" spans="1:29" s="536" customFormat="1" ht="22.5" x14ac:dyDescent="0.2">
      <c r="A280" s="609"/>
      <c r="B280" s="552" t="s">
        <v>2388</v>
      </c>
      <c r="C280" s="1822" t="s">
        <v>719</v>
      </c>
      <c r="D280" s="1822"/>
      <c r="E280" s="1822"/>
      <c r="F280" s="1822"/>
      <c r="G280" s="1822"/>
      <c r="H280" s="1822"/>
      <c r="I280" s="1822"/>
      <c r="J280" s="1822"/>
      <c r="K280" s="1822"/>
      <c r="L280" s="1822"/>
      <c r="M280" s="1822"/>
      <c r="N280" s="1827"/>
      <c r="X280" s="537" t="s">
        <v>719</v>
      </c>
    </row>
    <row r="281" spans="1:29" s="536" customFormat="1" ht="22.5" x14ac:dyDescent="0.2">
      <c r="A281" s="575" t="s">
        <v>772</v>
      </c>
      <c r="B281" s="670" t="s">
        <v>2399</v>
      </c>
      <c r="C281" s="1823" t="s">
        <v>2400</v>
      </c>
      <c r="D281" s="1823"/>
      <c r="E281" s="1823"/>
      <c r="F281" s="573" t="s">
        <v>889</v>
      </c>
      <c r="G281" s="573"/>
      <c r="H281" s="573"/>
      <c r="I281" s="573" t="s">
        <v>947</v>
      </c>
      <c r="J281" s="572"/>
      <c r="K281" s="573"/>
      <c r="L281" s="572"/>
      <c r="M281" s="571"/>
      <c r="N281" s="570"/>
      <c r="W281" s="537" t="s">
        <v>2400</v>
      </c>
    </row>
    <row r="282" spans="1:29" s="536" customFormat="1" x14ac:dyDescent="0.2">
      <c r="A282" s="676"/>
      <c r="B282" s="664"/>
      <c r="C282" s="1822" t="s">
        <v>2362</v>
      </c>
      <c r="D282" s="1822"/>
      <c r="E282" s="1822"/>
      <c r="F282" s="1822"/>
      <c r="G282" s="1822"/>
      <c r="H282" s="1822"/>
      <c r="I282" s="1822"/>
      <c r="J282" s="1822"/>
      <c r="K282" s="1822"/>
      <c r="L282" s="1822"/>
      <c r="M282" s="1822"/>
      <c r="N282" s="1827"/>
      <c r="AC282" s="537" t="s">
        <v>2362</v>
      </c>
    </row>
    <row r="283" spans="1:29" s="536" customFormat="1" ht="33.75" x14ac:dyDescent="0.2">
      <c r="A283" s="609"/>
      <c r="B283" s="552" t="s">
        <v>310</v>
      </c>
      <c r="C283" s="1822" t="s">
        <v>311</v>
      </c>
      <c r="D283" s="1822"/>
      <c r="E283" s="1822"/>
      <c r="F283" s="1822"/>
      <c r="G283" s="1822"/>
      <c r="H283" s="1822"/>
      <c r="I283" s="1822"/>
      <c r="J283" s="1822"/>
      <c r="K283" s="1822"/>
      <c r="L283" s="1822"/>
      <c r="M283" s="1822"/>
      <c r="N283" s="1827"/>
      <c r="X283" s="537" t="s">
        <v>311</v>
      </c>
    </row>
    <row r="284" spans="1:29" s="536" customFormat="1" x14ac:dyDescent="0.2">
      <c r="A284" s="605"/>
      <c r="B284" s="552" t="s">
        <v>185</v>
      </c>
      <c r="C284" s="1822" t="s">
        <v>312</v>
      </c>
      <c r="D284" s="1822"/>
      <c r="E284" s="1822"/>
      <c r="F284" s="562"/>
      <c r="G284" s="562"/>
      <c r="H284" s="562"/>
      <c r="I284" s="562"/>
      <c r="J284" s="604">
        <v>96.82</v>
      </c>
      <c r="K284" s="562" t="s">
        <v>313</v>
      </c>
      <c r="L284" s="604">
        <v>48.41</v>
      </c>
      <c r="M284" s="603"/>
      <c r="N284" s="602"/>
      <c r="Y284" s="537" t="s">
        <v>312</v>
      </c>
    </row>
    <row r="285" spans="1:29" s="536" customFormat="1" x14ac:dyDescent="0.2">
      <c r="A285" s="605"/>
      <c r="B285" s="552" t="s">
        <v>186</v>
      </c>
      <c r="C285" s="1822" t="s">
        <v>344</v>
      </c>
      <c r="D285" s="1822"/>
      <c r="E285" s="1822"/>
      <c r="F285" s="562"/>
      <c r="G285" s="562"/>
      <c r="H285" s="562"/>
      <c r="I285" s="562"/>
      <c r="J285" s="604">
        <v>61.13</v>
      </c>
      <c r="K285" s="562" t="s">
        <v>313</v>
      </c>
      <c r="L285" s="604">
        <v>30.57</v>
      </c>
      <c r="M285" s="603"/>
      <c r="N285" s="602"/>
      <c r="Y285" s="537" t="s">
        <v>344</v>
      </c>
    </row>
    <row r="286" spans="1:29" s="536" customFormat="1" x14ac:dyDescent="0.2">
      <c r="A286" s="605"/>
      <c r="B286" s="552" t="s">
        <v>187</v>
      </c>
      <c r="C286" s="1822" t="s">
        <v>345</v>
      </c>
      <c r="D286" s="1822"/>
      <c r="E286" s="1822"/>
      <c r="F286" s="562"/>
      <c r="G286" s="562"/>
      <c r="H286" s="562"/>
      <c r="I286" s="562"/>
      <c r="J286" s="604">
        <v>6.78</v>
      </c>
      <c r="K286" s="562" t="s">
        <v>313</v>
      </c>
      <c r="L286" s="604">
        <v>3.39</v>
      </c>
      <c r="M286" s="603"/>
      <c r="N286" s="602"/>
      <c r="Y286" s="537" t="s">
        <v>345</v>
      </c>
    </row>
    <row r="287" spans="1:29" s="536" customFormat="1" x14ac:dyDescent="0.2">
      <c r="A287" s="605"/>
      <c r="B287" s="552" t="s">
        <v>188</v>
      </c>
      <c r="C287" s="1822" t="s">
        <v>475</v>
      </c>
      <c r="D287" s="1822"/>
      <c r="E287" s="1822"/>
      <c r="F287" s="562"/>
      <c r="G287" s="562"/>
      <c r="H287" s="562"/>
      <c r="I287" s="562"/>
      <c r="J287" s="604">
        <v>581.9</v>
      </c>
      <c r="K287" s="562"/>
      <c r="L287" s="604">
        <v>3.82</v>
      </c>
      <c r="M287" s="603"/>
      <c r="N287" s="602"/>
      <c r="Y287" s="537" t="s">
        <v>475</v>
      </c>
    </row>
    <row r="288" spans="1:29" s="536" customFormat="1" x14ac:dyDescent="0.2">
      <c r="A288" s="605"/>
      <c r="B288" s="552"/>
      <c r="C288" s="1822" t="s">
        <v>314</v>
      </c>
      <c r="D288" s="1822"/>
      <c r="E288" s="1822"/>
      <c r="F288" s="562" t="s">
        <v>315</v>
      </c>
      <c r="G288" s="562" t="s">
        <v>618</v>
      </c>
      <c r="H288" s="562" t="s">
        <v>313</v>
      </c>
      <c r="I288" s="562" t="s">
        <v>2191</v>
      </c>
      <c r="J288" s="604"/>
      <c r="K288" s="562"/>
      <c r="L288" s="604"/>
      <c r="M288" s="603"/>
      <c r="N288" s="602"/>
      <c r="Z288" s="537" t="s">
        <v>314</v>
      </c>
    </row>
    <row r="289" spans="1:29" s="536" customFormat="1" x14ac:dyDescent="0.2">
      <c r="A289" s="605"/>
      <c r="B289" s="552"/>
      <c r="C289" s="1822" t="s">
        <v>348</v>
      </c>
      <c r="D289" s="1822"/>
      <c r="E289" s="1822"/>
      <c r="F289" s="562" t="s">
        <v>315</v>
      </c>
      <c r="G289" s="562" t="s">
        <v>866</v>
      </c>
      <c r="H289" s="562" t="s">
        <v>313</v>
      </c>
      <c r="I289" s="562" t="s">
        <v>1846</v>
      </c>
      <c r="J289" s="604"/>
      <c r="K289" s="562"/>
      <c r="L289" s="604"/>
      <c r="M289" s="603"/>
      <c r="N289" s="602"/>
      <c r="Z289" s="537" t="s">
        <v>348</v>
      </c>
    </row>
    <row r="290" spans="1:29" s="536" customFormat="1" x14ac:dyDescent="0.2">
      <c r="A290" s="605"/>
      <c r="B290" s="552"/>
      <c r="C290" s="1828" t="s">
        <v>318</v>
      </c>
      <c r="D290" s="1828"/>
      <c r="E290" s="1828"/>
      <c r="F290" s="608"/>
      <c r="G290" s="608"/>
      <c r="H290" s="608"/>
      <c r="I290" s="608"/>
      <c r="J290" s="607">
        <v>167.5</v>
      </c>
      <c r="K290" s="608"/>
      <c r="L290" s="607">
        <v>82.8</v>
      </c>
      <c r="M290" s="601"/>
      <c r="N290" s="606"/>
      <c r="AA290" s="537" t="s">
        <v>318</v>
      </c>
    </row>
    <row r="291" spans="1:29" s="536" customFormat="1" x14ac:dyDescent="0.2">
      <c r="A291" s="605"/>
      <c r="B291" s="552"/>
      <c r="C291" s="1822" t="s">
        <v>319</v>
      </c>
      <c r="D291" s="1822"/>
      <c r="E291" s="1822"/>
      <c r="F291" s="562"/>
      <c r="G291" s="562"/>
      <c r="H291" s="562"/>
      <c r="I291" s="562"/>
      <c r="J291" s="604"/>
      <c r="K291" s="562"/>
      <c r="L291" s="604">
        <v>51.8</v>
      </c>
      <c r="M291" s="603"/>
      <c r="N291" s="602"/>
      <c r="Z291" s="537" t="s">
        <v>319</v>
      </c>
    </row>
    <row r="292" spans="1:29" s="536" customFormat="1" ht="33.75" x14ac:dyDescent="0.2">
      <c r="A292" s="605"/>
      <c r="B292" s="552" t="s">
        <v>1631</v>
      </c>
      <c r="C292" s="1822" t="s">
        <v>1632</v>
      </c>
      <c r="D292" s="1822"/>
      <c r="E292" s="1822"/>
      <c r="F292" s="562" t="s">
        <v>322</v>
      </c>
      <c r="G292" s="562" t="s">
        <v>1633</v>
      </c>
      <c r="H292" s="562"/>
      <c r="I292" s="562" t="s">
        <v>1633</v>
      </c>
      <c r="J292" s="604"/>
      <c r="K292" s="562"/>
      <c r="L292" s="604">
        <v>50.25</v>
      </c>
      <c r="M292" s="603"/>
      <c r="N292" s="602"/>
      <c r="Z292" s="537" t="s">
        <v>1632</v>
      </c>
    </row>
    <row r="293" spans="1:29" s="536" customFormat="1" ht="33.75" x14ac:dyDescent="0.2">
      <c r="A293" s="605"/>
      <c r="B293" s="552" t="s">
        <v>1634</v>
      </c>
      <c r="C293" s="1822" t="s">
        <v>1635</v>
      </c>
      <c r="D293" s="1822"/>
      <c r="E293" s="1822"/>
      <c r="F293" s="562" t="s">
        <v>322</v>
      </c>
      <c r="G293" s="562" t="s">
        <v>786</v>
      </c>
      <c r="H293" s="562"/>
      <c r="I293" s="562" t="s">
        <v>786</v>
      </c>
      <c r="J293" s="604"/>
      <c r="K293" s="562"/>
      <c r="L293" s="604">
        <v>26.42</v>
      </c>
      <c r="M293" s="603"/>
      <c r="N293" s="602"/>
      <c r="Z293" s="537" t="s">
        <v>1635</v>
      </c>
    </row>
    <row r="294" spans="1:29" s="536" customFormat="1" x14ac:dyDescent="0.2">
      <c r="A294" s="569"/>
      <c r="B294" s="671"/>
      <c r="C294" s="1823" t="s">
        <v>327</v>
      </c>
      <c r="D294" s="1823"/>
      <c r="E294" s="1823"/>
      <c r="F294" s="573"/>
      <c r="G294" s="573"/>
      <c r="H294" s="573"/>
      <c r="I294" s="573"/>
      <c r="J294" s="572"/>
      <c r="K294" s="573"/>
      <c r="L294" s="572">
        <v>159.47</v>
      </c>
      <c r="M294" s="601"/>
      <c r="N294" s="570"/>
      <c r="AB294" s="537" t="s">
        <v>327</v>
      </c>
    </row>
    <row r="295" spans="1:29" s="536" customFormat="1" ht="33.75" x14ac:dyDescent="0.2">
      <c r="A295" s="575" t="s">
        <v>677</v>
      </c>
      <c r="B295" s="670" t="s">
        <v>2401</v>
      </c>
      <c r="C295" s="1823" t="s">
        <v>2402</v>
      </c>
      <c r="D295" s="1823"/>
      <c r="E295" s="1823"/>
      <c r="F295" s="573" t="s">
        <v>617</v>
      </c>
      <c r="G295" s="573"/>
      <c r="H295" s="573"/>
      <c r="I295" s="573" t="s">
        <v>188</v>
      </c>
      <c r="J295" s="572">
        <v>744.63</v>
      </c>
      <c r="K295" s="573" t="s">
        <v>716</v>
      </c>
      <c r="L295" s="572">
        <v>365.14</v>
      </c>
      <c r="M295" s="571">
        <v>8.32</v>
      </c>
      <c r="N295" s="570">
        <v>3038</v>
      </c>
      <c r="W295" s="537" t="s">
        <v>2402</v>
      </c>
    </row>
    <row r="296" spans="1:29" s="536" customFormat="1" x14ac:dyDescent="0.2">
      <c r="A296" s="569"/>
      <c r="B296" s="671"/>
      <c r="C296" s="665" t="s">
        <v>1658</v>
      </c>
      <c r="D296" s="666"/>
      <c r="E296" s="666"/>
      <c r="F296" s="563"/>
      <c r="G296" s="563"/>
      <c r="H296" s="563"/>
      <c r="I296" s="563"/>
      <c r="J296" s="566"/>
      <c r="K296" s="563"/>
      <c r="L296" s="566"/>
      <c r="M296" s="565"/>
      <c r="N296" s="564"/>
    </row>
    <row r="297" spans="1:29" s="536" customFormat="1" ht="22.5" x14ac:dyDescent="0.2">
      <c r="A297" s="609"/>
      <c r="B297" s="552" t="s">
        <v>2388</v>
      </c>
      <c r="C297" s="1822" t="s">
        <v>719</v>
      </c>
      <c r="D297" s="1822"/>
      <c r="E297" s="1822"/>
      <c r="F297" s="1822"/>
      <c r="G297" s="1822"/>
      <c r="H297" s="1822"/>
      <c r="I297" s="1822"/>
      <c r="J297" s="1822"/>
      <c r="K297" s="1822"/>
      <c r="L297" s="1822"/>
      <c r="M297" s="1822"/>
      <c r="N297" s="1827"/>
      <c r="X297" s="537" t="s">
        <v>719</v>
      </c>
    </row>
    <row r="298" spans="1:29" s="536" customFormat="1" ht="33.75" x14ac:dyDescent="0.2">
      <c r="A298" s="575" t="s">
        <v>326</v>
      </c>
      <c r="B298" s="670" t="s">
        <v>2404</v>
      </c>
      <c r="C298" s="1823" t="s">
        <v>2405</v>
      </c>
      <c r="D298" s="1823"/>
      <c r="E298" s="1823"/>
      <c r="F298" s="573" t="s">
        <v>1110</v>
      </c>
      <c r="G298" s="573"/>
      <c r="H298" s="573"/>
      <c r="I298" s="573" t="s">
        <v>1118</v>
      </c>
      <c r="J298" s="572"/>
      <c r="K298" s="573"/>
      <c r="L298" s="572"/>
      <c r="M298" s="571"/>
      <c r="N298" s="570"/>
      <c r="W298" s="537" t="s">
        <v>2405</v>
      </c>
    </row>
    <row r="299" spans="1:29" s="536" customFormat="1" x14ac:dyDescent="0.2">
      <c r="A299" s="676"/>
      <c r="B299" s="664"/>
      <c r="C299" s="1822" t="s">
        <v>2392</v>
      </c>
      <c r="D299" s="1822"/>
      <c r="E299" s="1822"/>
      <c r="F299" s="1822"/>
      <c r="G299" s="1822"/>
      <c r="H299" s="1822"/>
      <c r="I299" s="1822"/>
      <c r="J299" s="1822"/>
      <c r="K299" s="1822"/>
      <c r="L299" s="1822"/>
      <c r="M299" s="1822"/>
      <c r="N299" s="1827"/>
      <c r="AC299" s="537" t="s">
        <v>2392</v>
      </c>
    </row>
    <row r="300" spans="1:29" s="536" customFormat="1" ht="33.75" x14ac:dyDescent="0.2">
      <c r="A300" s="609"/>
      <c r="B300" s="552" t="s">
        <v>310</v>
      </c>
      <c r="C300" s="1822" t="s">
        <v>311</v>
      </c>
      <c r="D300" s="1822"/>
      <c r="E300" s="1822"/>
      <c r="F300" s="1822"/>
      <c r="G300" s="1822"/>
      <c r="H300" s="1822"/>
      <c r="I300" s="1822"/>
      <c r="J300" s="1822"/>
      <c r="K300" s="1822"/>
      <c r="L300" s="1822"/>
      <c r="M300" s="1822"/>
      <c r="N300" s="1827"/>
      <c r="X300" s="537" t="s">
        <v>311</v>
      </c>
    </row>
    <row r="301" spans="1:29" s="536" customFormat="1" x14ac:dyDescent="0.2">
      <c r="A301" s="605"/>
      <c r="B301" s="552" t="s">
        <v>185</v>
      </c>
      <c r="C301" s="1822" t="s">
        <v>312</v>
      </c>
      <c r="D301" s="1822"/>
      <c r="E301" s="1822"/>
      <c r="F301" s="562"/>
      <c r="G301" s="562"/>
      <c r="H301" s="562"/>
      <c r="I301" s="562"/>
      <c r="J301" s="604">
        <v>164.5</v>
      </c>
      <c r="K301" s="562" t="s">
        <v>313</v>
      </c>
      <c r="L301" s="604">
        <v>133.66</v>
      </c>
      <c r="M301" s="603"/>
      <c r="N301" s="602"/>
      <c r="Y301" s="537" t="s">
        <v>312</v>
      </c>
    </row>
    <row r="302" spans="1:29" s="536" customFormat="1" x14ac:dyDescent="0.2">
      <c r="A302" s="605"/>
      <c r="B302" s="552" t="s">
        <v>186</v>
      </c>
      <c r="C302" s="1822" t="s">
        <v>344</v>
      </c>
      <c r="D302" s="1822"/>
      <c r="E302" s="1822"/>
      <c r="F302" s="562"/>
      <c r="G302" s="562"/>
      <c r="H302" s="562"/>
      <c r="I302" s="562"/>
      <c r="J302" s="604">
        <v>41.6</v>
      </c>
      <c r="K302" s="562" t="s">
        <v>313</v>
      </c>
      <c r="L302" s="604">
        <v>33.799999999999997</v>
      </c>
      <c r="M302" s="603"/>
      <c r="N302" s="602"/>
      <c r="Y302" s="537" t="s">
        <v>344</v>
      </c>
    </row>
    <row r="303" spans="1:29" s="536" customFormat="1" x14ac:dyDescent="0.2">
      <c r="A303" s="605"/>
      <c r="B303" s="552" t="s">
        <v>187</v>
      </c>
      <c r="C303" s="1822" t="s">
        <v>345</v>
      </c>
      <c r="D303" s="1822"/>
      <c r="E303" s="1822"/>
      <c r="F303" s="562"/>
      <c r="G303" s="562"/>
      <c r="H303" s="562"/>
      <c r="I303" s="562"/>
      <c r="J303" s="604">
        <v>2.5099999999999998</v>
      </c>
      <c r="K303" s="562" t="s">
        <v>313</v>
      </c>
      <c r="L303" s="604">
        <v>2.04</v>
      </c>
      <c r="M303" s="603"/>
      <c r="N303" s="602"/>
      <c r="Y303" s="537" t="s">
        <v>345</v>
      </c>
    </row>
    <row r="304" spans="1:29" s="536" customFormat="1" x14ac:dyDescent="0.2">
      <c r="A304" s="605"/>
      <c r="B304" s="552" t="s">
        <v>188</v>
      </c>
      <c r="C304" s="1822" t="s">
        <v>475</v>
      </c>
      <c r="D304" s="1822"/>
      <c r="E304" s="1822"/>
      <c r="F304" s="562"/>
      <c r="G304" s="562"/>
      <c r="H304" s="562"/>
      <c r="I304" s="562"/>
      <c r="J304" s="604">
        <v>512.80999999999995</v>
      </c>
      <c r="K304" s="562"/>
      <c r="L304" s="604">
        <v>8.32</v>
      </c>
      <c r="M304" s="603"/>
      <c r="N304" s="602"/>
      <c r="Y304" s="537" t="s">
        <v>475</v>
      </c>
    </row>
    <row r="305" spans="1:28" s="536" customFormat="1" x14ac:dyDescent="0.2">
      <c r="A305" s="605"/>
      <c r="B305" s="552"/>
      <c r="C305" s="1822" t="s">
        <v>314</v>
      </c>
      <c r="D305" s="1822"/>
      <c r="E305" s="1822"/>
      <c r="F305" s="562" t="s">
        <v>315</v>
      </c>
      <c r="G305" s="562" t="s">
        <v>2406</v>
      </c>
      <c r="H305" s="562" t="s">
        <v>313</v>
      </c>
      <c r="I305" s="562" t="s">
        <v>3583</v>
      </c>
      <c r="J305" s="604"/>
      <c r="K305" s="562"/>
      <c r="L305" s="604"/>
      <c r="M305" s="603"/>
      <c r="N305" s="602"/>
      <c r="Z305" s="537" t="s">
        <v>314</v>
      </c>
    </row>
    <row r="306" spans="1:28" s="536" customFormat="1" x14ac:dyDescent="0.2">
      <c r="A306" s="605"/>
      <c r="B306" s="552"/>
      <c r="C306" s="1822" t="s">
        <v>348</v>
      </c>
      <c r="D306" s="1822"/>
      <c r="E306" s="1822"/>
      <c r="F306" s="562" t="s">
        <v>315</v>
      </c>
      <c r="G306" s="562" t="s">
        <v>890</v>
      </c>
      <c r="H306" s="562" t="s">
        <v>313</v>
      </c>
      <c r="I306" s="562" t="s">
        <v>3584</v>
      </c>
      <c r="J306" s="604"/>
      <c r="K306" s="562"/>
      <c r="L306" s="604"/>
      <c r="M306" s="603"/>
      <c r="N306" s="602"/>
      <c r="Z306" s="537" t="s">
        <v>348</v>
      </c>
    </row>
    <row r="307" spans="1:28" s="536" customFormat="1" x14ac:dyDescent="0.2">
      <c r="A307" s="605"/>
      <c r="B307" s="552"/>
      <c r="C307" s="1828" t="s">
        <v>318</v>
      </c>
      <c r="D307" s="1828"/>
      <c r="E307" s="1828"/>
      <c r="F307" s="608"/>
      <c r="G307" s="608"/>
      <c r="H307" s="608"/>
      <c r="I307" s="608"/>
      <c r="J307" s="607">
        <v>218.9</v>
      </c>
      <c r="K307" s="608"/>
      <c r="L307" s="607">
        <v>175.78</v>
      </c>
      <c r="M307" s="601"/>
      <c r="N307" s="606"/>
      <c r="AA307" s="537" t="s">
        <v>318</v>
      </c>
    </row>
    <row r="308" spans="1:28" s="536" customFormat="1" x14ac:dyDescent="0.2">
      <c r="A308" s="605"/>
      <c r="B308" s="552"/>
      <c r="C308" s="1822" t="s">
        <v>319</v>
      </c>
      <c r="D308" s="1822"/>
      <c r="E308" s="1822"/>
      <c r="F308" s="562"/>
      <c r="G308" s="562"/>
      <c r="H308" s="562"/>
      <c r="I308" s="562"/>
      <c r="J308" s="604"/>
      <c r="K308" s="562"/>
      <c r="L308" s="604">
        <v>135.69999999999999</v>
      </c>
      <c r="M308" s="603"/>
      <c r="N308" s="602"/>
      <c r="Z308" s="537" t="s">
        <v>319</v>
      </c>
    </row>
    <row r="309" spans="1:28" s="536" customFormat="1" ht="33.75" x14ac:dyDescent="0.2">
      <c r="A309" s="605"/>
      <c r="B309" s="552" t="s">
        <v>1631</v>
      </c>
      <c r="C309" s="1822" t="s">
        <v>1632</v>
      </c>
      <c r="D309" s="1822"/>
      <c r="E309" s="1822"/>
      <c r="F309" s="562" t="s">
        <v>322</v>
      </c>
      <c r="G309" s="562" t="s">
        <v>1633</v>
      </c>
      <c r="H309" s="562"/>
      <c r="I309" s="562" t="s">
        <v>1633</v>
      </c>
      <c r="J309" s="604"/>
      <c r="K309" s="562"/>
      <c r="L309" s="604">
        <v>131.63</v>
      </c>
      <c r="M309" s="603"/>
      <c r="N309" s="602"/>
      <c r="Z309" s="537" t="s">
        <v>1632</v>
      </c>
    </row>
    <row r="310" spans="1:28" s="536" customFormat="1" ht="33.75" x14ac:dyDescent="0.2">
      <c r="A310" s="605"/>
      <c r="B310" s="552" t="s">
        <v>1634</v>
      </c>
      <c r="C310" s="1822" t="s">
        <v>1635</v>
      </c>
      <c r="D310" s="1822"/>
      <c r="E310" s="1822"/>
      <c r="F310" s="562" t="s">
        <v>322</v>
      </c>
      <c r="G310" s="562" t="s">
        <v>786</v>
      </c>
      <c r="H310" s="562"/>
      <c r="I310" s="562" t="s">
        <v>786</v>
      </c>
      <c r="J310" s="604"/>
      <c r="K310" s="562"/>
      <c r="L310" s="604">
        <v>69.209999999999994</v>
      </c>
      <c r="M310" s="603"/>
      <c r="N310" s="602"/>
      <c r="Z310" s="537" t="s">
        <v>1635</v>
      </c>
    </row>
    <row r="311" spans="1:28" s="536" customFormat="1" x14ac:dyDescent="0.2">
      <c r="A311" s="569"/>
      <c r="B311" s="671"/>
      <c r="C311" s="1823" t="s">
        <v>327</v>
      </c>
      <c r="D311" s="1823"/>
      <c r="E311" s="1823"/>
      <c r="F311" s="573"/>
      <c r="G311" s="573"/>
      <c r="H311" s="573"/>
      <c r="I311" s="573"/>
      <c r="J311" s="572"/>
      <c r="K311" s="573"/>
      <c r="L311" s="572">
        <v>376.62</v>
      </c>
      <c r="M311" s="601"/>
      <c r="N311" s="570"/>
      <c r="AB311" s="537" t="s">
        <v>327</v>
      </c>
    </row>
    <row r="312" spans="1:28" s="536" customFormat="1" ht="33.75" x14ac:dyDescent="0.2">
      <c r="A312" s="575" t="s">
        <v>774</v>
      </c>
      <c r="B312" s="670" t="s">
        <v>2409</v>
      </c>
      <c r="C312" s="1823" t="s">
        <v>2410</v>
      </c>
      <c r="D312" s="1823"/>
      <c r="E312" s="1823"/>
      <c r="F312" s="573" t="s">
        <v>483</v>
      </c>
      <c r="G312" s="573"/>
      <c r="H312" s="573"/>
      <c r="I312" s="573" t="s">
        <v>796</v>
      </c>
      <c r="J312" s="572">
        <v>60.38</v>
      </c>
      <c r="K312" s="573" t="s">
        <v>716</v>
      </c>
      <c r="L312" s="572">
        <v>481.13</v>
      </c>
      <c r="M312" s="571">
        <v>8.32</v>
      </c>
      <c r="N312" s="570">
        <v>4003</v>
      </c>
      <c r="W312" s="537" t="s">
        <v>2410</v>
      </c>
    </row>
    <row r="313" spans="1:28" s="536" customFormat="1" x14ac:dyDescent="0.2">
      <c r="A313" s="569"/>
      <c r="B313" s="671"/>
      <c r="C313" s="665" t="s">
        <v>1658</v>
      </c>
      <c r="D313" s="666"/>
      <c r="E313" s="666"/>
      <c r="F313" s="563"/>
      <c r="G313" s="563"/>
      <c r="H313" s="563"/>
      <c r="I313" s="563"/>
      <c r="J313" s="566"/>
      <c r="K313" s="563"/>
      <c r="L313" s="566"/>
      <c r="M313" s="565"/>
      <c r="N313" s="564"/>
    </row>
    <row r="314" spans="1:28" s="536" customFormat="1" ht="22.5" x14ac:dyDescent="0.2">
      <c r="A314" s="609"/>
      <c r="B314" s="552" t="s">
        <v>2388</v>
      </c>
      <c r="C314" s="1822" t="s">
        <v>719</v>
      </c>
      <c r="D314" s="1822"/>
      <c r="E314" s="1822"/>
      <c r="F314" s="1822"/>
      <c r="G314" s="1822"/>
      <c r="H314" s="1822"/>
      <c r="I314" s="1822"/>
      <c r="J314" s="1822"/>
      <c r="K314" s="1822"/>
      <c r="L314" s="1822"/>
      <c r="M314" s="1822"/>
      <c r="N314" s="1827"/>
      <c r="X314" s="537" t="s">
        <v>719</v>
      </c>
    </row>
    <row r="315" spans="1:28" s="536" customFormat="1" ht="33.75" x14ac:dyDescent="0.2">
      <c r="A315" s="575" t="s">
        <v>775</v>
      </c>
      <c r="B315" s="670" t="s">
        <v>2412</v>
      </c>
      <c r="C315" s="1823" t="s">
        <v>2413</v>
      </c>
      <c r="D315" s="1823"/>
      <c r="E315" s="1823"/>
      <c r="F315" s="573" t="s">
        <v>617</v>
      </c>
      <c r="G315" s="573"/>
      <c r="H315" s="573"/>
      <c r="I315" s="573" t="s">
        <v>192</v>
      </c>
      <c r="J315" s="572">
        <v>110.69</v>
      </c>
      <c r="K315" s="573" t="s">
        <v>716</v>
      </c>
      <c r="L315" s="572">
        <v>108.53</v>
      </c>
      <c r="M315" s="571">
        <v>8.32</v>
      </c>
      <c r="N315" s="570">
        <v>903</v>
      </c>
      <c r="W315" s="537" t="s">
        <v>2413</v>
      </c>
    </row>
    <row r="316" spans="1:28" s="536" customFormat="1" x14ac:dyDescent="0.2">
      <c r="A316" s="569"/>
      <c r="B316" s="671"/>
      <c r="C316" s="665" t="s">
        <v>1658</v>
      </c>
      <c r="D316" s="666"/>
      <c r="E316" s="666"/>
      <c r="F316" s="563"/>
      <c r="G316" s="563"/>
      <c r="H316" s="563"/>
      <c r="I316" s="563"/>
      <c r="J316" s="566"/>
      <c r="K316" s="563"/>
      <c r="L316" s="566"/>
      <c r="M316" s="565"/>
      <c r="N316" s="564"/>
    </row>
    <row r="317" spans="1:28" s="536" customFormat="1" ht="22.5" x14ac:dyDescent="0.2">
      <c r="A317" s="609"/>
      <c r="B317" s="552" t="s">
        <v>2388</v>
      </c>
      <c r="C317" s="1822" t="s">
        <v>719</v>
      </c>
      <c r="D317" s="1822"/>
      <c r="E317" s="1822"/>
      <c r="F317" s="1822"/>
      <c r="G317" s="1822"/>
      <c r="H317" s="1822"/>
      <c r="I317" s="1822"/>
      <c r="J317" s="1822"/>
      <c r="K317" s="1822"/>
      <c r="L317" s="1822"/>
      <c r="M317" s="1822"/>
      <c r="N317" s="1827"/>
      <c r="X317" s="537" t="s">
        <v>719</v>
      </c>
    </row>
    <row r="318" spans="1:28" s="536" customFormat="1" ht="33.75" x14ac:dyDescent="0.2">
      <c r="A318" s="575" t="s">
        <v>776</v>
      </c>
      <c r="B318" s="670" t="s">
        <v>2414</v>
      </c>
      <c r="C318" s="1823" t="s">
        <v>2415</v>
      </c>
      <c r="D318" s="1823"/>
      <c r="E318" s="1823"/>
      <c r="F318" s="573" t="s">
        <v>617</v>
      </c>
      <c r="G318" s="573"/>
      <c r="H318" s="573"/>
      <c r="I318" s="573" t="s">
        <v>677</v>
      </c>
      <c r="J318" s="572">
        <v>118.72</v>
      </c>
      <c r="K318" s="573" t="s">
        <v>716</v>
      </c>
      <c r="L318" s="572">
        <v>582.21</v>
      </c>
      <c r="M318" s="571">
        <v>8.32</v>
      </c>
      <c r="N318" s="570">
        <v>4844</v>
      </c>
      <c r="W318" s="537" t="s">
        <v>2415</v>
      </c>
    </row>
    <row r="319" spans="1:28" s="536" customFormat="1" x14ac:dyDescent="0.2">
      <c r="A319" s="569"/>
      <c r="B319" s="671"/>
      <c r="C319" s="665" t="s">
        <v>1658</v>
      </c>
      <c r="D319" s="666"/>
      <c r="E319" s="666"/>
      <c r="F319" s="563"/>
      <c r="G319" s="563"/>
      <c r="H319" s="563"/>
      <c r="I319" s="563"/>
      <c r="J319" s="566"/>
      <c r="K319" s="563"/>
      <c r="L319" s="566"/>
      <c r="M319" s="565"/>
      <c r="N319" s="564"/>
    </row>
    <row r="320" spans="1:28" s="536" customFormat="1" ht="22.5" x14ac:dyDescent="0.2">
      <c r="A320" s="609"/>
      <c r="B320" s="552" t="s">
        <v>2388</v>
      </c>
      <c r="C320" s="1822" t="s">
        <v>719</v>
      </c>
      <c r="D320" s="1822"/>
      <c r="E320" s="1822"/>
      <c r="F320" s="1822"/>
      <c r="G320" s="1822"/>
      <c r="H320" s="1822"/>
      <c r="I320" s="1822"/>
      <c r="J320" s="1822"/>
      <c r="K320" s="1822"/>
      <c r="L320" s="1822"/>
      <c r="M320" s="1822"/>
      <c r="N320" s="1827"/>
      <c r="X320" s="537" t="s">
        <v>719</v>
      </c>
    </row>
    <row r="321" spans="1:33" s="536" customFormat="1" x14ac:dyDescent="0.2">
      <c r="A321" s="1830" t="s">
        <v>2417</v>
      </c>
      <c r="B321" s="1831"/>
      <c r="C321" s="1831"/>
      <c r="D321" s="1831"/>
      <c r="E321" s="1831"/>
      <c r="F321" s="1831"/>
      <c r="G321" s="1831"/>
      <c r="H321" s="1831"/>
      <c r="I321" s="1831"/>
      <c r="J321" s="1831"/>
      <c r="K321" s="1831"/>
      <c r="L321" s="1831"/>
      <c r="M321" s="1831"/>
      <c r="N321" s="1832"/>
      <c r="AG321" s="537" t="s">
        <v>2417</v>
      </c>
    </row>
    <row r="322" spans="1:33" s="536" customFormat="1" ht="33.75" x14ac:dyDescent="0.2">
      <c r="A322" s="575" t="s">
        <v>931</v>
      </c>
      <c r="B322" s="670" t="s">
        <v>1514</v>
      </c>
      <c r="C322" s="1823" t="s">
        <v>1515</v>
      </c>
      <c r="D322" s="1823"/>
      <c r="E322" s="1823"/>
      <c r="F322" s="573" t="s">
        <v>509</v>
      </c>
      <c r="G322" s="573"/>
      <c r="H322" s="573"/>
      <c r="I322" s="573" t="s">
        <v>3561</v>
      </c>
      <c r="J322" s="572"/>
      <c r="K322" s="573"/>
      <c r="L322" s="572"/>
      <c r="M322" s="571"/>
      <c r="N322" s="570"/>
      <c r="W322" s="537" t="s">
        <v>1515</v>
      </c>
    </row>
    <row r="323" spans="1:33" s="536" customFormat="1" x14ac:dyDescent="0.2">
      <c r="A323" s="676"/>
      <c r="B323" s="664"/>
      <c r="C323" s="1822" t="s">
        <v>3585</v>
      </c>
      <c r="D323" s="1822"/>
      <c r="E323" s="1822"/>
      <c r="F323" s="1822"/>
      <c r="G323" s="1822"/>
      <c r="H323" s="1822"/>
      <c r="I323" s="1822"/>
      <c r="J323" s="1822"/>
      <c r="K323" s="1822"/>
      <c r="L323" s="1822"/>
      <c r="M323" s="1822"/>
      <c r="N323" s="1827"/>
      <c r="AC323" s="537" t="s">
        <v>3585</v>
      </c>
    </row>
    <row r="324" spans="1:33" s="536" customFormat="1" ht="33.75" x14ac:dyDescent="0.2">
      <c r="A324" s="609"/>
      <c r="B324" s="552" t="s">
        <v>310</v>
      </c>
      <c r="C324" s="1822" t="s">
        <v>311</v>
      </c>
      <c r="D324" s="1822"/>
      <c r="E324" s="1822"/>
      <c r="F324" s="1822"/>
      <c r="G324" s="1822"/>
      <c r="H324" s="1822"/>
      <c r="I324" s="1822"/>
      <c r="J324" s="1822"/>
      <c r="K324" s="1822"/>
      <c r="L324" s="1822"/>
      <c r="M324" s="1822"/>
      <c r="N324" s="1827"/>
      <c r="X324" s="537" t="s">
        <v>311</v>
      </c>
    </row>
    <row r="325" spans="1:33" s="536" customFormat="1" x14ac:dyDescent="0.2">
      <c r="A325" s="605"/>
      <c r="B325" s="552" t="s">
        <v>185</v>
      </c>
      <c r="C325" s="1822" t="s">
        <v>312</v>
      </c>
      <c r="D325" s="1822"/>
      <c r="E325" s="1822"/>
      <c r="F325" s="562"/>
      <c r="G325" s="562"/>
      <c r="H325" s="562"/>
      <c r="I325" s="562"/>
      <c r="J325" s="604">
        <v>3036.68</v>
      </c>
      <c r="K325" s="562" t="s">
        <v>313</v>
      </c>
      <c r="L325" s="604">
        <v>584.55999999999995</v>
      </c>
      <c r="M325" s="603"/>
      <c r="N325" s="602"/>
      <c r="Y325" s="537" t="s">
        <v>312</v>
      </c>
    </row>
    <row r="326" spans="1:33" s="536" customFormat="1" x14ac:dyDescent="0.2">
      <c r="A326" s="605"/>
      <c r="B326" s="552"/>
      <c r="C326" s="1822" t="s">
        <v>314</v>
      </c>
      <c r="D326" s="1822"/>
      <c r="E326" s="1822"/>
      <c r="F326" s="562" t="s">
        <v>315</v>
      </c>
      <c r="G326" s="562" t="s">
        <v>1521</v>
      </c>
      <c r="H326" s="562" t="s">
        <v>313</v>
      </c>
      <c r="I326" s="562" t="s">
        <v>3586</v>
      </c>
      <c r="J326" s="604"/>
      <c r="K326" s="562"/>
      <c r="L326" s="604"/>
      <c r="M326" s="603"/>
      <c r="N326" s="602"/>
      <c r="Z326" s="537" t="s">
        <v>314</v>
      </c>
    </row>
    <row r="327" spans="1:33" s="536" customFormat="1" x14ac:dyDescent="0.2">
      <c r="A327" s="605"/>
      <c r="B327" s="552"/>
      <c r="C327" s="1828" t="s">
        <v>318</v>
      </c>
      <c r="D327" s="1828"/>
      <c r="E327" s="1828"/>
      <c r="F327" s="608"/>
      <c r="G327" s="608"/>
      <c r="H327" s="608"/>
      <c r="I327" s="608"/>
      <c r="J327" s="607">
        <v>3036.68</v>
      </c>
      <c r="K327" s="608"/>
      <c r="L327" s="607">
        <v>584.55999999999995</v>
      </c>
      <c r="M327" s="601"/>
      <c r="N327" s="606"/>
      <c r="AA327" s="537" t="s">
        <v>318</v>
      </c>
    </row>
    <row r="328" spans="1:33" s="536" customFormat="1" x14ac:dyDescent="0.2">
      <c r="A328" s="605"/>
      <c r="B328" s="552"/>
      <c r="C328" s="1822" t="s">
        <v>319</v>
      </c>
      <c r="D328" s="1822"/>
      <c r="E328" s="1822"/>
      <c r="F328" s="562"/>
      <c r="G328" s="562"/>
      <c r="H328" s="562"/>
      <c r="I328" s="562"/>
      <c r="J328" s="604"/>
      <c r="K328" s="562"/>
      <c r="L328" s="604">
        <v>584.55999999999995</v>
      </c>
      <c r="M328" s="603"/>
      <c r="N328" s="602"/>
      <c r="Z328" s="537" t="s">
        <v>319</v>
      </c>
    </row>
    <row r="329" spans="1:33" s="536" customFormat="1" ht="33.75" x14ac:dyDescent="0.2">
      <c r="A329" s="605"/>
      <c r="B329" s="552" t="s">
        <v>673</v>
      </c>
      <c r="C329" s="1822" t="s">
        <v>674</v>
      </c>
      <c r="D329" s="1822"/>
      <c r="E329" s="1822"/>
      <c r="F329" s="562" t="s">
        <v>322</v>
      </c>
      <c r="G329" s="562" t="s">
        <v>323</v>
      </c>
      <c r="H329" s="562"/>
      <c r="I329" s="562" t="s">
        <v>323</v>
      </c>
      <c r="J329" s="604"/>
      <c r="K329" s="562"/>
      <c r="L329" s="604">
        <v>520.26</v>
      </c>
      <c r="M329" s="603"/>
      <c r="N329" s="602"/>
      <c r="Z329" s="537" t="s">
        <v>674</v>
      </c>
    </row>
    <row r="330" spans="1:33" s="536" customFormat="1" ht="33.75" x14ac:dyDescent="0.2">
      <c r="A330" s="605"/>
      <c r="B330" s="552" t="s">
        <v>675</v>
      </c>
      <c r="C330" s="1822" t="s">
        <v>676</v>
      </c>
      <c r="D330" s="1822"/>
      <c r="E330" s="1822"/>
      <c r="F330" s="562" t="s">
        <v>322</v>
      </c>
      <c r="G330" s="562" t="s">
        <v>677</v>
      </c>
      <c r="H330" s="562"/>
      <c r="I330" s="562" t="s">
        <v>677</v>
      </c>
      <c r="J330" s="604"/>
      <c r="K330" s="562"/>
      <c r="L330" s="604">
        <v>233.82</v>
      </c>
      <c r="M330" s="603"/>
      <c r="N330" s="602"/>
      <c r="Z330" s="537" t="s">
        <v>676</v>
      </c>
    </row>
    <row r="331" spans="1:33" s="536" customFormat="1" x14ac:dyDescent="0.2">
      <c r="A331" s="569"/>
      <c r="B331" s="671"/>
      <c r="C331" s="1823" t="s">
        <v>327</v>
      </c>
      <c r="D331" s="1823"/>
      <c r="E331" s="1823"/>
      <c r="F331" s="573"/>
      <c r="G331" s="573"/>
      <c r="H331" s="573"/>
      <c r="I331" s="573"/>
      <c r="J331" s="572"/>
      <c r="K331" s="573"/>
      <c r="L331" s="572">
        <v>1338.64</v>
      </c>
      <c r="M331" s="601"/>
      <c r="N331" s="570"/>
      <c r="AB331" s="537" t="s">
        <v>327</v>
      </c>
    </row>
    <row r="332" spans="1:33" s="536" customFormat="1" ht="22.5" x14ac:dyDescent="0.2">
      <c r="A332" s="575" t="s">
        <v>465</v>
      </c>
      <c r="B332" s="670" t="s">
        <v>2422</v>
      </c>
      <c r="C332" s="1823" t="s">
        <v>2423</v>
      </c>
      <c r="D332" s="1823"/>
      <c r="E332" s="1823"/>
      <c r="F332" s="573" t="s">
        <v>509</v>
      </c>
      <c r="G332" s="573"/>
      <c r="H332" s="573"/>
      <c r="I332" s="573" t="s">
        <v>3561</v>
      </c>
      <c r="J332" s="572"/>
      <c r="K332" s="573"/>
      <c r="L332" s="572"/>
      <c r="M332" s="571"/>
      <c r="N332" s="570"/>
      <c r="W332" s="537" t="s">
        <v>2423</v>
      </c>
    </row>
    <row r="333" spans="1:33" s="536" customFormat="1" x14ac:dyDescent="0.2">
      <c r="A333" s="676"/>
      <c r="B333" s="664"/>
      <c r="C333" s="1822" t="s">
        <v>3585</v>
      </c>
      <c r="D333" s="1822"/>
      <c r="E333" s="1822"/>
      <c r="F333" s="1822"/>
      <c r="G333" s="1822"/>
      <c r="H333" s="1822"/>
      <c r="I333" s="1822"/>
      <c r="J333" s="1822"/>
      <c r="K333" s="1822"/>
      <c r="L333" s="1822"/>
      <c r="M333" s="1822"/>
      <c r="N333" s="1827"/>
      <c r="AC333" s="537" t="s">
        <v>3585</v>
      </c>
    </row>
    <row r="334" spans="1:33" s="536" customFormat="1" ht="33.75" x14ac:dyDescent="0.2">
      <c r="A334" s="609"/>
      <c r="B334" s="552" t="s">
        <v>310</v>
      </c>
      <c r="C334" s="1822" t="s">
        <v>311</v>
      </c>
      <c r="D334" s="1822"/>
      <c r="E334" s="1822"/>
      <c r="F334" s="1822"/>
      <c r="G334" s="1822"/>
      <c r="H334" s="1822"/>
      <c r="I334" s="1822"/>
      <c r="J334" s="1822"/>
      <c r="K334" s="1822"/>
      <c r="L334" s="1822"/>
      <c r="M334" s="1822"/>
      <c r="N334" s="1827"/>
      <c r="X334" s="537" t="s">
        <v>311</v>
      </c>
    </row>
    <row r="335" spans="1:33" s="536" customFormat="1" x14ac:dyDescent="0.2">
      <c r="A335" s="605"/>
      <c r="B335" s="552" t="s">
        <v>185</v>
      </c>
      <c r="C335" s="1822" t="s">
        <v>312</v>
      </c>
      <c r="D335" s="1822"/>
      <c r="E335" s="1822"/>
      <c r="F335" s="562"/>
      <c r="G335" s="562"/>
      <c r="H335" s="562"/>
      <c r="I335" s="562"/>
      <c r="J335" s="604">
        <v>907.5</v>
      </c>
      <c r="K335" s="562" t="s">
        <v>313</v>
      </c>
      <c r="L335" s="604">
        <v>174.69</v>
      </c>
      <c r="M335" s="603"/>
      <c r="N335" s="602"/>
      <c r="Y335" s="537" t="s">
        <v>312</v>
      </c>
    </row>
    <row r="336" spans="1:33" s="536" customFormat="1" x14ac:dyDescent="0.2">
      <c r="A336" s="605"/>
      <c r="B336" s="552"/>
      <c r="C336" s="1822" t="s">
        <v>314</v>
      </c>
      <c r="D336" s="1822"/>
      <c r="E336" s="1822"/>
      <c r="F336" s="562" t="s">
        <v>315</v>
      </c>
      <c r="G336" s="562" t="s">
        <v>894</v>
      </c>
      <c r="H336" s="562" t="s">
        <v>313</v>
      </c>
      <c r="I336" s="562" t="s">
        <v>3587</v>
      </c>
      <c r="J336" s="604"/>
      <c r="K336" s="562"/>
      <c r="L336" s="604"/>
      <c r="M336" s="603"/>
      <c r="N336" s="602"/>
      <c r="Z336" s="537" t="s">
        <v>314</v>
      </c>
    </row>
    <row r="337" spans="1:29" s="536" customFormat="1" x14ac:dyDescent="0.2">
      <c r="A337" s="605"/>
      <c r="B337" s="552"/>
      <c r="C337" s="1828" t="s">
        <v>318</v>
      </c>
      <c r="D337" s="1828"/>
      <c r="E337" s="1828"/>
      <c r="F337" s="608"/>
      <c r="G337" s="608"/>
      <c r="H337" s="608"/>
      <c r="I337" s="608"/>
      <c r="J337" s="607">
        <v>907.5</v>
      </c>
      <c r="K337" s="608"/>
      <c r="L337" s="607">
        <v>174.69</v>
      </c>
      <c r="M337" s="601"/>
      <c r="N337" s="606"/>
      <c r="AA337" s="537" t="s">
        <v>318</v>
      </c>
    </row>
    <row r="338" spans="1:29" s="536" customFormat="1" x14ac:dyDescent="0.2">
      <c r="A338" s="605"/>
      <c r="B338" s="552"/>
      <c r="C338" s="1822" t="s">
        <v>319</v>
      </c>
      <c r="D338" s="1822"/>
      <c r="E338" s="1822"/>
      <c r="F338" s="562"/>
      <c r="G338" s="562"/>
      <c r="H338" s="562"/>
      <c r="I338" s="562"/>
      <c r="J338" s="604"/>
      <c r="K338" s="562"/>
      <c r="L338" s="604">
        <v>174.69</v>
      </c>
      <c r="M338" s="603"/>
      <c r="N338" s="602"/>
      <c r="Z338" s="537" t="s">
        <v>319</v>
      </c>
    </row>
    <row r="339" spans="1:29" s="536" customFormat="1" ht="33.75" x14ac:dyDescent="0.2">
      <c r="A339" s="605"/>
      <c r="B339" s="552" t="s">
        <v>673</v>
      </c>
      <c r="C339" s="1822" t="s">
        <v>674</v>
      </c>
      <c r="D339" s="1822"/>
      <c r="E339" s="1822"/>
      <c r="F339" s="562" t="s">
        <v>322</v>
      </c>
      <c r="G339" s="562" t="s">
        <v>323</v>
      </c>
      <c r="H339" s="562"/>
      <c r="I339" s="562" t="s">
        <v>323</v>
      </c>
      <c r="J339" s="604"/>
      <c r="K339" s="562"/>
      <c r="L339" s="604">
        <v>155.47</v>
      </c>
      <c r="M339" s="603"/>
      <c r="N339" s="602"/>
      <c r="Z339" s="537" t="s">
        <v>674</v>
      </c>
    </row>
    <row r="340" spans="1:29" s="536" customFormat="1" ht="33.75" x14ac:dyDescent="0.2">
      <c r="A340" s="605"/>
      <c r="B340" s="552" t="s">
        <v>675</v>
      </c>
      <c r="C340" s="1822" t="s">
        <v>676</v>
      </c>
      <c r="D340" s="1822"/>
      <c r="E340" s="1822"/>
      <c r="F340" s="562" t="s">
        <v>322</v>
      </c>
      <c r="G340" s="562" t="s">
        <v>677</v>
      </c>
      <c r="H340" s="562"/>
      <c r="I340" s="562" t="s">
        <v>677</v>
      </c>
      <c r="J340" s="604"/>
      <c r="K340" s="562"/>
      <c r="L340" s="604">
        <v>69.88</v>
      </c>
      <c r="M340" s="603"/>
      <c r="N340" s="602"/>
      <c r="Z340" s="537" t="s">
        <v>676</v>
      </c>
    </row>
    <row r="341" spans="1:29" s="536" customFormat="1" x14ac:dyDescent="0.2">
      <c r="A341" s="569"/>
      <c r="B341" s="671"/>
      <c r="C341" s="1823" t="s">
        <v>327</v>
      </c>
      <c r="D341" s="1823"/>
      <c r="E341" s="1823"/>
      <c r="F341" s="573"/>
      <c r="G341" s="573"/>
      <c r="H341" s="573"/>
      <c r="I341" s="573"/>
      <c r="J341" s="572"/>
      <c r="K341" s="573"/>
      <c r="L341" s="572">
        <v>400.04</v>
      </c>
      <c r="M341" s="601"/>
      <c r="N341" s="570"/>
      <c r="AB341" s="537" t="s">
        <v>327</v>
      </c>
    </row>
    <row r="342" spans="1:29" s="536" customFormat="1" ht="22.5" x14ac:dyDescent="0.2">
      <c r="A342" s="575" t="s">
        <v>782</v>
      </c>
      <c r="B342" s="670" t="s">
        <v>507</v>
      </c>
      <c r="C342" s="1823" t="s">
        <v>508</v>
      </c>
      <c r="D342" s="1823"/>
      <c r="E342" s="1823"/>
      <c r="F342" s="573" t="s">
        <v>509</v>
      </c>
      <c r="G342" s="573"/>
      <c r="H342" s="573"/>
      <c r="I342" s="573" t="s">
        <v>3561</v>
      </c>
      <c r="J342" s="572"/>
      <c r="K342" s="573"/>
      <c r="L342" s="572"/>
      <c r="M342" s="571"/>
      <c r="N342" s="570"/>
      <c r="W342" s="537" t="s">
        <v>508</v>
      </c>
    </row>
    <row r="343" spans="1:29" s="536" customFormat="1" x14ac:dyDescent="0.2">
      <c r="A343" s="676"/>
      <c r="B343" s="664"/>
      <c r="C343" s="1822" t="s">
        <v>3588</v>
      </c>
      <c r="D343" s="1822"/>
      <c r="E343" s="1822"/>
      <c r="F343" s="1822"/>
      <c r="G343" s="1822"/>
      <c r="H343" s="1822"/>
      <c r="I343" s="1822"/>
      <c r="J343" s="1822"/>
      <c r="K343" s="1822"/>
      <c r="L343" s="1822"/>
      <c r="M343" s="1822"/>
      <c r="N343" s="1827"/>
      <c r="AC343" s="537" t="s">
        <v>3588</v>
      </c>
    </row>
    <row r="344" spans="1:29" s="536" customFormat="1" ht="33.75" x14ac:dyDescent="0.2">
      <c r="A344" s="609"/>
      <c r="B344" s="552" t="s">
        <v>310</v>
      </c>
      <c r="C344" s="1822" t="s">
        <v>311</v>
      </c>
      <c r="D344" s="1822"/>
      <c r="E344" s="1822"/>
      <c r="F344" s="1822"/>
      <c r="G344" s="1822"/>
      <c r="H344" s="1822"/>
      <c r="I344" s="1822"/>
      <c r="J344" s="1822"/>
      <c r="K344" s="1822"/>
      <c r="L344" s="1822"/>
      <c r="M344" s="1822"/>
      <c r="N344" s="1827"/>
      <c r="X344" s="537" t="s">
        <v>311</v>
      </c>
    </row>
    <row r="345" spans="1:29" s="536" customFormat="1" x14ac:dyDescent="0.2">
      <c r="A345" s="605"/>
      <c r="B345" s="552" t="s">
        <v>185</v>
      </c>
      <c r="C345" s="1822" t="s">
        <v>312</v>
      </c>
      <c r="D345" s="1822"/>
      <c r="E345" s="1822"/>
      <c r="F345" s="562"/>
      <c r="G345" s="562"/>
      <c r="H345" s="562"/>
      <c r="I345" s="562"/>
      <c r="J345" s="604">
        <v>127.61</v>
      </c>
      <c r="K345" s="562" t="s">
        <v>313</v>
      </c>
      <c r="L345" s="604">
        <v>24.56</v>
      </c>
      <c r="M345" s="603"/>
      <c r="N345" s="602"/>
      <c r="Y345" s="537" t="s">
        <v>312</v>
      </c>
    </row>
    <row r="346" spans="1:29" s="536" customFormat="1" x14ac:dyDescent="0.2">
      <c r="A346" s="605"/>
      <c r="B346" s="552" t="s">
        <v>186</v>
      </c>
      <c r="C346" s="1822" t="s">
        <v>344</v>
      </c>
      <c r="D346" s="1822"/>
      <c r="E346" s="1822"/>
      <c r="F346" s="562"/>
      <c r="G346" s="562"/>
      <c r="H346" s="562"/>
      <c r="I346" s="562"/>
      <c r="J346" s="604">
        <v>288.58</v>
      </c>
      <c r="K346" s="562" t="s">
        <v>313</v>
      </c>
      <c r="L346" s="604">
        <v>55.55</v>
      </c>
      <c r="M346" s="603"/>
      <c r="N346" s="602"/>
      <c r="Y346" s="537" t="s">
        <v>344</v>
      </c>
    </row>
    <row r="347" spans="1:29" s="536" customFormat="1" x14ac:dyDescent="0.2">
      <c r="A347" s="605"/>
      <c r="B347" s="552" t="s">
        <v>187</v>
      </c>
      <c r="C347" s="1822" t="s">
        <v>345</v>
      </c>
      <c r="D347" s="1822"/>
      <c r="E347" s="1822"/>
      <c r="F347" s="562"/>
      <c r="G347" s="562"/>
      <c r="H347" s="562"/>
      <c r="I347" s="562"/>
      <c r="J347" s="604">
        <v>31.49</v>
      </c>
      <c r="K347" s="562" t="s">
        <v>313</v>
      </c>
      <c r="L347" s="604">
        <v>6.06</v>
      </c>
      <c r="M347" s="603"/>
      <c r="N347" s="602"/>
      <c r="Y347" s="537" t="s">
        <v>345</v>
      </c>
    </row>
    <row r="348" spans="1:29" s="536" customFormat="1" x14ac:dyDescent="0.2">
      <c r="A348" s="605"/>
      <c r="B348" s="552"/>
      <c r="C348" s="1822" t="s">
        <v>314</v>
      </c>
      <c r="D348" s="1822"/>
      <c r="E348" s="1822"/>
      <c r="F348" s="562" t="s">
        <v>315</v>
      </c>
      <c r="G348" s="562" t="s">
        <v>512</v>
      </c>
      <c r="H348" s="562" t="s">
        <v>313</v>
      </c>
      <c r="I348" s="562" t="s">
        <v>3589</v>
      </c>
      <c r="J348" s="604"/>
      <c r="K348" s="562"/>
      <c r="L348" s="604"/>
      <c r="M348" s="603"/>
      <c r="N348" s="602"/>
      <c r="Z348" s="537" t="s">
        <v>314</v>
      </c>
    </row>
    <row r="349" spans="1:29" s="536" customFormat="1" x14ac:dyDescent="0.2">
      <c r="A349" s="605"/>
      <c r="B349" s="552"/>
      <c r="C349" s="1822" t="s">
        <v>348</v>
      </c>
      <c r="D349" s="1822"/>
      <c r="E349" s="1822"/>
      <c r="F349" s="562" t="s">
        <v>315</v>
      </c>
      <c r="G349" s="562" t="s">
        <v>514</v>
      </c>
      <c r="H349" s="562" t="s">
        <v>313</v>
      </c>
      <c r="I349" s="562" t="s">
        <v>3590</v>
      </c>
      <c r="J349" s="604"/>
      <c r="K349" s="562"/>
      <c r="L349" s="604"/>
      <c r="M349" s="603"/>
      <c r="N349" s="602"/>
      <c r="Z349" s="537" t="s">
        <v>348</v>
      </c>
    </row>
    <row r="350" spans="1:29" s="536" customFormat="1" x14ac:dyDescent="0.2">
      <c r="A350" s="605"/>
      <c r="B350" s="552"/>
      <c r="C350" s="1828" t="s">
        <v>318</v>
      </c>
      <c r="D350" s="1828"/>
      <c r="E350" s="1828"/>
      <c r="F350" s="608"/>
      <c r="G350" s="608"/>
      <c r="H350" s="608"/>
      <c r="I350" s="608"/>
      <c r="J350" s="607">
        <v>416.19</v>
      </c>
      <c r="K350" s="608"/>
      <c r="L350" s="607">
        <v>80.11</v>
      </c>
      <c r="M350" s="601"/>
      <c r="N350" s="606"/>
      <c r="AA350" s="537" t="s">
        <v>318</v>
      </c>
    </row>
    <row r="351" spans="1:29" s="536" customFormat="1" x14ac:dyDescent="0.2">
      <c r="A351" s="605"/>
      <c r="B351" s="552"/>
      <c r="C351" s="1822" t="s">
        <v>319</v>
      </c>
      <c r="D351" s="1822"/>
      <c r="E351" s="1822"/>
      <c r="F351" s="562"/>
      <c r="G351" s="562"/>
      <c r="H351" s="562"/>
      <c r="I351" s="562"/>
      <c r="J351" s="604"/>
      <c r="K351" s="562"/>
      <c r="L351" s="604">
        <v>30.62</v>
      </c>
      <c r="M351" s="603"/>
      <c r="N351" s="602"/>
      <c r="Z351" s="537" t="s">
        <v>319</v>
      </c>
    </row>
    <row r="352" spans="1:29" s="536" customFormat="1" ht="33.75" x14ac:dyDescent="0.2">
      <c r="A352" s="605"/>
      <c r="B352" s="552" t="s">
        <v>460</v>
      </c>
      <c r="C352" s="1822" t="s">
        <v>461</v>
      </c>
      <c r="D352" s="1822"/>
      <c r="E352" s="1822"/>
      <c r="F352" s="562" t="s">
        <v>322</v>
      </c>
      <c r="G352" s="562" t="s">
        <v>462</v>
      </c>
      <c r="H352" s="562"/>
      <c r="I352" s="562" t="s">
        <v>462</v>
      </c>
      <c r="J352" s="604"/>
      <c r="K352" s="562"/>
      <c r="L352" s="604">
        <v>28.17</v>
      </c>
      <c r="M352" s="603"/>
      <c r="N352" s="602"/>
      <c r="Z352" s="537" t="s">
        <v>461</v>
      </c>
    </row>
    <row r="353" spans="1:31" s="536" customFormat="1" ht="33.75" x14ac:dyDescent="0.2">
      <c r="A353" s="605"/>
      <c r="B353" s="552" t="s">
        <v>463</v>
      </c>
      <c r="C353" s="1822" t="s">
        <v>464</v>
      </c>
      <c r="D353" s="1822"/>
      <c r="E353" s="1822"/>
      <c r="F353" s="562" t="s">
        <v>322</v>
      </c>
      <c r="G353" s="562" t="s">
        <v>465</v>
      </c>
      <c r="H353" s="562"/>
      <c r="I353" s="562" t="s">
        <v>465</v>
      </c>
      <c r="J353" s="604"/>
      <c r="K353" s="562"/>
      <c r="L353" s="604">
        <v>14.09</v>
      </c>
      <c r="M353" s="603"/>
      <c r="N353" s="602"/>
      <c r="Z353" s="537" t="s">
        <v>464</v>
      </c>
    </row>
    <row r="354" spans="1:31" s="536" customFormat="1" x14ac:dyDescent="0.2">
      <c r="A354" s="569"/>
      <c r="B354" s="671"/>
      <c r="C354" s="1823" t="s">
        <v>327</v>
      </c>
      <c r="D354" s="1823"/>
      <c r="E354" s="1823"/>
      <c r="F354" s="573"/>
      <c r="G354" s="573"/>
      <c r="H354" s="573"/>
      <c r="I354" s="573"/>
      <c r="J354" s="572"/>
      <c r="K354" s="573"/>
      <c r="L354" s="572">
        <v>122.37</v>
      </c>
      <c r="M354" s="601"/>
      <c r="N354" s="570"/>
      <c r="AB354" s="537" t="s">
        <v>327</v>
      </c>
    </row>
    <row r="355" spans="1:31" s="536" customFormat="1" ht="1.5" customHeight="1" x14ac:dyDescent="0.2">
      <c r="A355" s="563"/>
      <c r="B355" s="671"/>
      <c r="C355" s="671"/>
      <c r="D355" s="671"/>
      <c r="E355" s="671"/>
      <c r="F355" s="563"/>
      <c r="G355" s="563"/>
      <c r="H355" s="563"/>
      <c r="I355" s="563"/>
      <c r="J355" s="546"/>
      <c r="K355" s="563"/>
      <c r="L355" s="546"/>
      <c r="M355" s="562"/>
      <c r="N355" s="546"/>
    </row>
    <row r="356" spans="1:31" s="536" customFormat="1" x14ac:dyDescent="0.2">
      <c r="A356" s="557"/>
      <c r="B356" s="556"/>
      <c r="C356" s="1823" t="s">
        <v>1802</v>
      </c>
      <c r="D356" s="1823"/>
      <c r="E356" s="1823"/>
      <c r="F356" s="1823"/>
      <c r="G356" s="1823"/>
      <c r="H356" s="1823"/>
      <c r="I356" s="1823"/>
      <c r="J356" s="1823"/>
      <c r="K356" s="1823"/>
      <c r="L356" s="555"/>
      <c r="M356" s="554"/>
      <c r="N356" s="553"/>
      <c r="AD356" s="537" t="s">
        <v>1802</v>
      </c>
    </row>
    <row r="357" spans="1:31" s="536" customFormat="1" x14ac:dyDescent="0.2">
      <c r="A357" s="548"/>
      <c r="B357" s="552"/>
      <c r="C357" s="1822" t="s">
        <v>403</v>
      </c>
      <c r="D357" s="1822"/>
      <c r="E357" s="1822"/>
      <c r="F357" s="1822"/>
      <c r="G357" s="1822"/>
      <c r="H357" s="1822"/>
      <c r="I357" s="1822"/>
      <c r="J357" s="1822"/>
      <c r="K357" s="1822"/>
      <c r="L357" s="551">
        <v>34760.370000000003</v>
      </c>
      <c r="M357" s="550"/>
      <c r="N357" s="549"/>
      <c r="AE357" s="537" t="s">
        <v>403</v>
      </c>
    </row>
    <row r="358" spans="1:31" s="536" customFormat="1" x14ac:dyDescent="0.2">
      <c r="A358" s="548"/>
      <c r="B358" s="552"/>
      <c r="C358" s="1822" t="s">
        <v>204</v>
      </c>
      <c r="D358" s="1822"/>
      <c r="E358" s="1822"/>
      <c r="F358" s="1822"/>
      <c r="G358" s="1822"/>
      <c r="H358" s="1822"/>
      <c r="I358" s="1822"/>
      <c r="J358" s="1822"/>
      <c r="K358" s="1822"/>
      <c r="L358" s="551"/>
      <c r="M358" s="550"/>
      <c r="N358" s="549"/>
      <c r="AE358" s="537" t="s">
        <v>204</v>
      </c>
    </row>
    <row r="359" spans="1:31" s="536" customFormat="1" x14ac:dyDescent="0.2">
      <c r="A359" s="548"/>
      <c r="B359" s="552"/>
      <c r="C359" s="1822" t="s">
        <v>404</v>
      </c>
      <c r="D359" s="1822"/>
      <c r="E359" s="1822"/>
      <c r="F359" s="1822"/>
      <c r="G359" s="1822"/>
      <c r="H359" s="1822"/>
      <c r="I359" s="1822"/>
      <c r="J359" s="1822"/>
      <c r="K359" s="1822"/>
      <c r="L359" s="551">
        <v>1581.58</v>
      </c>
      <c r="M359" s="550"/>
      <c r="N359" s="549"/>
      <c r="AE359" s="537" t="s">
        <v>404</v>
      </c>
    </row>
    <row r="360" spans="1:31" s="536" customFormat="1" x14ac:dyDescent="0.2">
      <c r="A360" s="548"/>
      <c r="B360" s="552"/>
      <c r="C360" s="1822" t="s">
        <v>405</v>
      </c>
      <c r="D360" s="1822"/>
      <c r="E360" s="1822"/>
      <c r="F360" s="1822"/>
      <c r="G360" s="1822"/>
      <c r="H360" s="1822"/>
      <c r="I360" s="1822"/>
      <c r="J360" s="1822"/>
      <c r="K360" s="1822"/>
      <c r="L360" s="551">
        <v>2056.5700000000002</v>
      </c>
      <c r="M360" s="550"/>
      <c r="N360" s="549"/>
      <c r="AE360" s="537" t="s">
        <v>405</v>
      </c>
    </row>
    <row r="361" spans="1:31" s="536" customFormat="1" x14ac:dyDescent="0.2">
      <c r="A361" s="548"/>
      <c r="B361" s="552"/>
      <c r="C361" s="1822" t="s">
        <v>406</v>
      </c>
      <c r="D361" s="1822"/>
      <c r="E361" s="1822"/>
      <c r="F361" s="1822"/>
      <c r="G361" s="1822"/>
      <c r="H361" s="1822"/>
      <c r="I361" s="1822"/>
      <c r="J361" s="1822"/>
      <c r="K361" s="1822"/>
      <c r="L361" s="551">
        <v>196.12</v>
      </c>
      <c r="M361" s="550"/>
      <c r="N361" s="549"/>
      <c r="AE361" s="537" t="s">
        <v>406</v>
      </c>
    </row>
    <row r="362" spans="1:31" s="536" customFormat="1" x14ac:dyDescent="0.2">
      <c r="A362" s="548"/>
      <c r="B362" s="552"/>
      <c r="C362" s="1822" t="s">
        <v>480</v>
      </c>
      <c r="D362" s="1822"/>
      <c r="E362" s="1822"/>
      <c r="F362" s="1822"/>
      <c r="G362" s="1822"/>
      <c r="H362" s="1822"/>
      <c r="I362" s="1822"/>
      <c r="J362" s="1822"/>
      <c r="K362" s="1822"/>
      <c r="L362" s="551">
        <v>31122.22</v>
      </c>
      <c r="M362" s="550"/>
      <c r="N362" s="549"/>
      <c r="AE362" s="537" t="s">
        <v>480</v>
      </c>
    </row>
    <row r="363" spans="1:31" s="536" customFormat="1" x14ac:dyDescent="0.2">
      <c r="A363" s="548"/>
      <c r="B363" s="552" t="s">
        <v>185</v>
      </c>
      <c r="C363" s="1822" t="s">
        <v>407</v>
      </c>
      <c r="D363" s="1822"/>
      <c r="E363" s="1822"/>
      <c r="F363" s="1822"/>
      <c r="G363" s="1822"/>
      <c r="H363" s="1822"/>
      <c r="I363" s="1822"/>
      <c r="J363" s="1822"/>
      <c r="K363" s="1822"/>
      <c r="L363" s="551">
        <v>1861.05</v>
      </c>
      <c r="M363" s="550"/>
      <c r="N363" s="549"/>
      <c r="AE363" s="537" t="s">
        <v>407</v>
      </c>
    </row>
    <row r="364" spans="1:31" s="536" customFormat="1" x14ac:dyDescent="0.2">
      <c r="A364" s="548"/>
      <c r="B364" s="552"/>
      <c r="C364" s="1822" t="s">
        <v>204</v>
      </c>
      <c r="D364" s="1822"/>
      <c r="E364" s="1822"/>
      <c r="F364" s="1822"/>
      <c r="G364" s="1822"/>
      <c r="H364" s="1822"/>
      <c r="I364" s="1822"/>
      <c r="J364" s="1822"/>
      <c r="K364" s="1822"/>
      <c r="L364" s="551"/>
      <c r="M364" s="550"/>
      <c r="N364" s="549"/>
      <c r="AE364" s="537" t="s">
        <v>204</v>
      </c>
    </row>
    <row r="365" spans="1:31" s="536" customFormat="1" x14ac:dyDescent="0.2">
      <c r="A365" s="548"/>
      <c r="B365" s="552"/>
      <c r="C365" s="1822" t="s">
        <v>546</v>
      </c>
      <c r="D365" s="1822"/>
      <c r="E365" s="1822"/>
      <c r="F365" s="1822"/>
      <c r="G365" s="1822"/>
      <c r="H365" s="1822"/>
      <c r="I365" s="1822"/>
      <c r="J365" s="1822"/>
      <c r="K365" s="1822"/>
      <c r="L365" s="551">
        <v>783.81</v>
      </c>
      <c r="M365" s="550"/>
      <c r="N365" s="549"/>
      <c r="AE365" s="537" t="s">
        <v>546</v>
      </c>
    </row>
    <row r="366" spans="1:31" s="536" customFormat="1" x14ac:dyDescent="0.2">
      <c r="A366" s="548"/>
      <c r="B366" s="552"/>
      <c r="C366" s="1822" t="s">
        <v>442</v>
      </c>
      <c r="D366" s="1822"/>
      <c r="E366" s="1822"/>
      <c r="F366" s="1822"/>
      <c r="G366" s="1822"/>
      <c r="H366" s="1822"/>
      <c r="I366" s="1822"/>
      <c r="J366" s="1822"/>
      <c r="K366" s="1822"/>
      <c r="L366" s="551">
        <v>55.55</v>
      </c>
      <c r="M366" s="550"/>
      <c r="N366" s="549"/>
      <c r="AE366" s="537" t="s">
        <v>442</v>
      </c>
    </row>
    <row r="367" spans="1:31" s="536" customFormat="1" x14ac:dyDescent="0.2">
      <c r="A367" s="548"/>
      <c r="B367" s="552"/>
      <c r="C367" s="1822" t="s">
        <v>443</v>
      </c>
      <c r="D367" s="1822"/>
      <c r="E367" s="1822"/>
      <c r="F367" s="1822"/>
      <c r="G367" s="1822"/>
      <c r="H367" s="1822"/>
      <c r="I367" s="1822"/>
      <c r="J367" s="1822"/>
      <c r="K367" s="1822"/>
      <c r="L367" s="551">
        <v>703.9</v>
      </c>
      <c r="M367" s="550"/>
      <c r="N367" s="549"/>
      <c r="AE367" s="537" t="s">
        <v>443</v>
      </c>
    </row>
    <row r="368" spans="1:31" s="536" customFormat="1" x14ac:dyDescent="0.2">
      <c r="A368" s="548"/>
      <c r="B368" s="552"/>
      <c r="C368" s="1822" t="s">
        <v>444</v>
      </c>
      <c r="D368" s="1822"/>
      <c r="E368" s="1822"/>
      <c r="F368" s="1822"/>
      <c r="G368" s="1822"/>
      <c r="H368" s="1822"/>
      <c r="I368" s="1822"/>
      <c r="J368" s="1822"/>
      <c r="K368" s="1822"/>
      <c r="L368" s="551">
        <v>317.79000000000002</v>
      </c>
      <c r="M368" s="550"/>
      <c r="N368" s="549"/>
      <c r="AE368" s="537" t="s">
        <v>444</v>
      </c>
    </row>
    <row r="369" spans="1:32" s="536" customFormat="1" x14ac:dyDescent="0.2">
      <c r="A369" s="548"/>
      <c r="B369" s="552" t="s">
        <v>185</v>
      </c>
      <c r="C369" s="1822" t="s">
        <v>753</v>
      </c>
      <c r="D369" s="1822"/>
      <c r="E369" s="1822"/>
      <c r="F369" s="1822"/>
      <c r="G369" s="1822"/>
      <c r="H369" s="1822"/>
      <c r="I369" s="1822"/>
      <c r="J369" s="1822"/>
      <c r="K369" s="1822"/>
      <c r="L369" s="551">
        <v>35378.86</v>
      </c>
      <c r="M369" s="550"/>
      <c r="N369" s="549"/>
      <c r="AE369" s="537" t="s">
        <v>753</v>
      </c>
    </row>
    <row r="370" spans="1:32" s="536" customFormat="1" x14ac:dyDescent="0.2">
      <c r="A370" s="548"/>
      <c r="B370" s="552"/>
      <c r="C370" s="1822" t="s">
        <v>204</v>
      </c>
      <c r="D370" s="1822"/>
      <c r="E370" s="1822"/>
      <c r="F370" s="1822"/>
      <c r="G370" s="1822"/>
      <c r="H370" s="1822"/>
      <c r="I370" s="1822"/>
      <c r="J370" s="1822"/>
      <c r="K370" s="1822"/>
      <c r="L370" s="551"/>
      <c r="M370" s="550"/>
      <c r="N370" s="549"/>
      <c r="AE370" s="537" t="s">
        <v>204</v>
      </c>
    </row>
    <row r="371" spans="1:32" s="536" customFormat="1" x14ac:dyDescent="0.2">
      <c r="A371" s="548"/>
      <c r="B371" s="552"/>
      <c r="C371" s="1822" t="s">
        <v>546</v>
      </c>
      <c r="D371" s="1822"/>
      <c r="E371" s="1822"/>
      <c r="F371" s="1822"/>
      <c r="G371" s="1822"/>
      <c r="H371" s="1822"/>
      <c r="I371" s="1822"/>
      <c r="J371" s="1822"/>
      <c r="K371" s="1822"/>
      <c r="L371" s="551">
        <v>797.77</v>
      </c>
      <c r="M371" s="550"/>
      <c r="N371" s="549"/>
      <c r="AE371" s="537" t="s">
        <v>546</v>
      </c>
    </row>
    <row r="372" spans="1:32" s="536" customFormat="1" x14ac:dyDescent="0.2">
      <c r="A372" s="548"/>
      <c r="B372" s="552"/>
      <c r="C372" s="1822" t="s">
        <v>442</v>
      </c>
      <c r="D372" s="1822"/>
      <c r="E372" s="1822"/>
      <c r="F372" s="1822"/>
      <c r="G372" s="1822"/>
      <c r="H372" s="1822"/>
      <c r="I372" s="1822"/>
      <c r="J372" s="1822"/>
      <c r="K372" s="1822"/>
      <c r="L372" s="551">
        <v>2001.02</v>
      </c>
      <c r="M372" s="550"/>
      <c r="N372" s="549"/>
      <c r="AE372" s="537" t="s">
        <v>442</v>
      </c>
    </row>
    <row r="373" spans="1:32" s="536" customFormat="1" x14ac:dyDescent="0.2">
      <c r="A373" s="548"/>
      <c r="B373" s="552"/>
      <c r="C373" s="1822" t="s">
        <v>547</v>
      </c>
      <c r="D373" s="1822"/>
      <c r="E373" s="1822"/>
      <c r="F373" s="1822"/>
      <c r="G373" s="1822"/>
      <c r="H373" s="1822"/>
      <c r="I373" s="1822"/>
      <c r="J373" s="1822"/>
      <c r="K373" s="1822"/>
      <c r="L373" s="551">
        <v>31122.22</v>
      </c>
      <c r="M373" s="550"/>
      <c r="N373" s="549"/>
      <c r="AE373" s="537" t="s">
        <v>547</v>
      </c>
    </row>
    <row r="374" spans="1:32" s="536" customFormat="1" x14ac:dyDescent="0.2">
      <c r="A374" s="548"/>
      <c r="B374" s="552"/>
      <c r="C374" s="1822" t="s">
        <v>443</v>
      </c>
      <c r="D374" s="1822"/>
      <c r="E374" s="1822"/>
      <c r="F374" s="1822"/>
      <c r="G374" s="1822"/>
      <c r="H374" s="1822"/>
      <c r="I374" s="1822"/>
      <c r="J374" s="1822"/>
      <c r="K374" s="1822"/>
      <c r="L374" s="551">
        <v>955.78</v>
      </c>
      <c r="M374" s="550"/>
      <c r="N374" s="549"/>
      <c r="AE374" s="537" t="s">
        <v>443</v>
      </c>
    </row>
    <row r="375" spans="1:32" s="536" customFormat="1" x14ac:dyDescent="0.2">
      <c r="A375" s="548"/>
      <c r="B375" s="552"/>
      <c r="C375" s="1822" t="s">
        <v>444</v>
      </c>
      <c r="D375" s="1822"/>
      <c r="E375" s="1822"/>
      <c r="F375" s="1822"/>
      <c r="G375" s="1822"/>
      <c r="H375" s="1822"/>
      <c r="I375" s="1822"/>
      <c r="J375" s="1822"/>
      <c r="K375" s="1822"/>
      <c r="L375" s="551">
        <v>502.07</v>
      </c>
      <c r="M375" s="550"/>
      <c r="N375" s="549"/>
      <c r="AE375" s="537" t="s">
        <v>444</v>
      </c>
    </row>
    <row r="376" spans="1:32" s="536" customFormat="1" x14ac:dyDescent="0.2">
      <c r="A376" s="548"/>
      <c r="B376" s="552" t="s">
        <v>186</v>
      </c>
      <c r="C376" s="1822" t="s">
        <v>754</v>
      </c>
      <c r="D376" s="1822"/>
      <c r="E376" s="1822"/>
      <c r="F376" s="1822"/>
      <c r="G376" s="1822"/>
      <c r="H376" s="1822"/>
      <c r="I376" s="1822"/>
      <c r="J376" s="1822"/>
      <c r="K376" s="1822"/>
      <c r="L376" s="551">
        <v>854.68</v>
      </c>
      <c r="M376" s="550"/>
      <c r="N376" s="549"/>
      <c r="AE376" s="537" t="s">
        <v>754</v>
      </c>
    </row>
    <row r="377" spans="1:32" s="536" customFormat="1" x14ac:dyDescent="0.2">
      <c r="A377" s="548"/>
      <c r="B377" s="552"/>
      <c r="C377" s="1822" t="s">
        <v>415</v>
      </c>
      <c r="D377" s="1822"/>
      <c r="E377" s="1822"/>
      <c r="F377" s="1822"/>
      <c r="G377" s="1822"/>
      <c r="H377" s="1822"/>
      <c r="I377" s="1822"/>
      <c r="J377" s="1822"/>
      <c r="K377" s="1822"/>
      <c r="L377" s="551">
        <v>1777.7</v>
      </c>
      <c r="M377" s="550"/>
      <c r="N377" s="549"/>
      <c r="AE377" s="537" t="s">
        <v>415</v>
      </c>
    </row>
    <row r="378" spans="1:32" s="536" customFormat="1" x14ac:dyDescent="0.2">
      <c r="A378" s="548"/>
      <c r="B378" s="552"/>
      <c r="C378" s="1822" t="s">
        <v>416</v>
      </c>
      <c r="D378" s="1822"/>
      <c r="E378" s="1822"/>
      <c r="F378" s="1822"/>
      <c r="G378" s="1822"/>
      <c r="H378" s="1822"/>
      <c r="I378" s="1822"/>
      <c r="J378" s="1822"/>
      <c r="K378" s="1822"/>
      <c r="L378" s="551">
        <v>1659.68</v>
      </c>
      <c r="M378" s="550"/>
      <c r="N378" s="549"/>
      <c r="AE378" s="537" t="s">
        <v>416</v>
      </c>
    </row>
    <row r="379" spans="1:32" s="536" customFormat="1" x14ac:dyDescent="0.2">
      <c r="A379" s="548"/>
      <c r="B379" s="552"/>
      <c r="C379" s="1822" t="s">
        <v>417</v>
      </c>
      <c r="D379" s="1822"/>
      <c r="E379" s="1822"/>
      <c r="F379" s="1822"/>
      <c r="G379" s="1822"/>
      <c r="H379" s="1822"/>
      <c r="I379" s="1822"/>
      <c r="J379" s="1822"/>
      <c r="K379" s="1822"/>
      <c r="L379" s="551">
        <v>819.86</v>
      </c>
      <c r="M379" s="550"/>
      <c r="N379" s="549"/>
      <c r="AE379" s="537" t="s">
        <v>417</v>
      </c>
    </row>
    <row r="380" spans="1:32" s="536" customFormat="1" x14ac:dyDescent="0.2">
      <c r="A380" s="548"/>
      <c r="B380" s="546"/>
      <c r="C380" s="1819" t="s">
        <v>1803</v>
      </c>
      <c r="D380" s="1819"/>
      <c r="E380" s="1819"/>
      <c r="F380" s="1819"/>
      <c r="G380" s="1819"/>
      <c r="H380" s="1819"/>
      <c r="I380" s="1819"/>
      <c r="J380" s="1819"/>
      <c r="K380" s="1819"/>
      <c r="L380" s="544">
        <v>38094.589999999997</v>
      </c>
      <c r="M380" s="543"/>
      <c r="N380" s="681"/>
      <c r="AF380" s="537" t="s">
        <v>1803</v>
      </c>
    </row>
    <row r="381" spans="1:32" s="536" customFormat="1" x14ac:dyDescent="0.2">
      <c r="A381" s="548"/>
      <c r="B381" s="552"/>
      <c r="C381" s="1822" t="s">
        <v>204</v>
      </c>
      <c r="D381" s="1822"/>
      <c r="E381" s="1822"/>
      <c r="F381" s="1822"/>
      <c r="G381" s="1822"/>
      <c r="H381" s="1822"/>
      <c r="I381" s="1822"/>
      <c r="J381" s="1822"/>
      <c r="K381" s="1822"/>
      <c r="L381" s="551"/>
      <c r="M381" s="550"/>
      <c r="N381" s="549"/>
      <c r="AE381" s="537" t="s">
        <v>204</v>
      </c>
    </row>
    <row r="382" spans="1:32" s="536" customFormat="1" x14ac:dyDescent="0.2">
      <c r="A382" s="548"/>
      <c r="B382" s="552"/>
      <c r="C382" s="1822" t="s">
        <v>8095</v>
      </c>
      <c r="D382" s="1822"/>
      <c r="E382" s="1822"/>
      <c r="F382" s="1822"/>
      <c r="G382" s="1822"/>
      <c r="H382" s="1822"/>
      <c r="I382" s="1822"/>
      <c r="J382" s="1822"/>
      <c r="K382" s="1822"/>
      <c r="L382" s="551">
        <v>30831.94</v>
      </c>
      <c r="M382" s="550"/>
      <c r="N382" s="549"/>
      <c r="AE382" s="537" t="s">
        <v>8095</v>
      </c>
    </row>
    <row r="383" spans="1:32" s="536" customFormat="1" x14ac:dyDescent="0.2">
      <c r="A383" s="548"/>
      <c r="B383" s="552"/>
      <c r="C383" s="1822" t="s">
        <v>8097</v>
      </c>
      <c r="D383" s="1822"/>
      <c r="E383" s="1822"/>
      <c r="F383" s="1822"/>
      <c r="G383" s="1822"/>
      <c r="H383" s="1822"/>
      <c r="I383" s="1822"/>
      <c r="J383" s="1822"/>
      <c r="K383" s="1822"/>
      <c r="L383" s="551">
        <v>854.68</v>
      </c>
      <c r="M383" s="550"/>
      <c r="N383" s="549"/>
      <c r="AE383" s="537" t="s">
        <v>8097</v>
      </c>
    </row>
    <row r="384" spans="1:32" s="536" customFormat="1" ht="2.25" customHeight="1" x14ac:dyDescent="0.2">
      <c r="B384" s="561"/>
      <c r="C384" s="561"/>
      <c r="D384" s="561"/>
      <c r="E384" s="561"/>
      <c r="F384" s="561"/>
      <c r="G384" s="561"/>
      <c r="H384" s="561"/>
      <c r="I384" s="561"/>
      <c r="J384" s="561"/>
      <c r="K384" s="561"/>
      <c r="L384" s="560"/>
      <c r="M384" s="559"/>
      <c r="N384" s="558"/>
    </row>
    <row r="385" spans="1:35" s="536" customFormat="1" x14ac:dyDescent="0.2">
      <c r="A385" s="557"/>
      <c r="B385" s="556"/>
      <c r="C385" s="1823" t="s">
        <v>205</v>
      </c>
      <c r="D385" s="1823"/>
      <c r="E385" s="1823"/>
      <c r="F385" s="1823"/>
      <c r="G385" s="1823"/>
      <c r="H385" s="1823"/>
      <c r="I385" s="1823"/>
      <c r="J385" s="1823"/>
      <c r="K385" s="1823"/>
      <c r="L385" s="555"/>
      <c r="M385" s="554"/>
      <c r="N385" s="553"/>
      <c r="AH385" s="537" t="s">
        <v>205</v>
      </c>
    </row>
    <row r="386" spans="1:35" s="536" customFormat="1" x14ac:dyDescent="0.2">
      <c r="A386" s="548"/>
      <c r="B386" s="552"/>
      <c r="C386" s="1822" t="s">
        <v>403</v>
      </c>
      <c r="D386" s="1822"/>
      <c r="E386" s="1822"/>
      <c r="F386" s="1822"/>
      <c r="G386" s="1822"/>
      <c r="H386" s="1822"/>
      <c r="I386" s="1822"/>
      <c r="J386" s="1822"/>
      <c r="K386" s="1822"/>
      <c r="L386" s="551">
        <v>34889.24</v>
      </c>
      <c r="M386" s="550"/>
      <c r="N386" s="549"/>
      <c r="AI386" s="537" t="s">
        <v>403</v>
      </c>
    </row>
    <row r="387" spans="1:35" s="536" customFormat="1" x14ac:dyDescent="0.2">
      <c r="A387" s="548"/>
      <c r="B387" s="552"/>
      <c r="C387" s="1822" t="s">
        <v>204</v>
      </c>
      <c r="D387" s="1822"/>
      <c r="E387" s="1822"/>
      <c r="F387" s="1822"/>
      <c r="G387" s="1822"/>
      <c r="H387" s="1822"/>
      <c r="I387" s="1822"/>
      <c r="J387" s="1822"/>
      <c r="K387" s="1822"/>
      <c r="L387" s="551"/>
      <c r="M387" s="550"/>
      <c r="N387" s="549"/>
      <c r="AI387" s="537" t="s">
        <v>204</v>
      </c>
    </row>
    <row r="388" spans="1:35" s="536" customFormat="1" x14ac:dyDescent="0.2">
      <c r="A388" s="548"/>
      <c r="B388" s="552"/>
      <c r="C388" s="1822" t="s">
        <v>404</v>
      </c>
      <c r="D388" s="1822"/>
      <c r="E388" s="1822"/>
      <c r="F388" s="1822"/>
      <c r="G388" s="1822"/>
      <c r="H388" s="1822"/>
      <c r="I388" s="1822"/>
      <c r="J388" s="1822"/>
      <c r="K388" s="1822"/>
      <c r="L388" s="551">
        <v>1645.45</v>
      </c>
      <c r="M388" s="550"/>
      <c r="N388" s="549"/>
      <c r="AI388" s="537" t="s">
        <v>404</v>
      </c>
    </row>
    <row r="389" spans="1:35" s="536" customFormat="1" x14ac:dyDescent="0.2">
      <c r="A389" s="548"/>
      <c r="B389" s="552"/>
      <c r="C389" s="1822" t="s">
        <v>405</v>
      </c>
      <c r="D389" s="1822"/>
      <c r="E389" s="1822"/>
      <c r="F389" s="1822"/>
      <c r="G389" s="1822"/>
      <c r="H389" s="1822"/>
      <c r="I389" s="1822"/>
      <c r="J389" s="1822"/>
      <c r="K389" s="1822"/>
      <c r="L389" s="551">
        <v>2098.86</v>
      </c>
      <c r="M389" s="550"/>
      <c r="N389" s="549"/>
      <c r="AI389" s="537" t="s">
        <v>405</v>
      </c>
    </row>
    <row r="390" spans="1:35" s="536" customFormat="1" x14ac:dyDescent="0.2">
      <c r="A390" s="548"/>
      <c r="B390" s="552"/>
      <c r="C390" s="1822" t="s">
        <v>406</v>
      </c>
      <c r="D390" s="1822"/>
      <c r="E390" s="1822"/>
      <c r="F390" s="1822"/>
      <c r="G390" s="1822"/>
      <c r="H390" s="1822"/>
      <c r="I390" s="1822"/>
      <c r="J390" s="1822"/>
      <c r="K390" s="1822"/>
      <c r="L390" s="551">
        <v>200.47</v>
      </c>
      <c r="M390" s="550"/>
      <c r="N390" s="549"/>
      <c r="AI390" s="537" t="s">
        <v>406</v>
      </c>
    </row>
    <row r="391" spans="1:35" s="536" customFormat="1" x14ac:dyDescent="0.2">
      <c r="A391" s="548"/>
      <c r="B391" s="552"/>
      <c r="C391" s="1822" t="s">
        <v>480</v>
      </c>
      <c r="D391" s="1822"/>
      <c r="E391" s="1822"/>
      <c r="F391" s="1822"/>
      <c r="G391" s="1822"/>
      <c r="H391" s="1822"/>
      <c r="I391" s="1822"/>
      <c r="J391" s="1822"/>
      <c r="K391" s="1822"/>
      <c r="L391" s="551">
        <v>31144.93</v>
      </c>
      <c r="M391" s="550"/>
      <c r="N391" s="549"/>
      <c r="AI391" s="537" t="s">
        <v>480</v>
      </c>
    </row>
    <row r="392" spans="1:35" s="536" customFormat="1" x14ac:dyDescent="0.2">
      <c r="A392" s="548"/>
      <c r="B392" s="552" t="s">
        <v>185</v>
      </c>
      <c r="C392" s="1822" t="s">
        <v>407</v>
      </c>
      <c r="D392" s="1822"/>
      <c r="E392" s="1822"/>
      <c r="F392" s="1822"/>
      <c r="G392" s="1822"/>
      <c r="H392" s="1822"/>
      <c r="I392" s="1822"/>
      <c r="J392" s="1822"/>
      <c r="K392" s="1822"/>
      <c r="L392" s="551">
        <v>1861.05</v>
      </c>
      <c r="M392" s="550">
        <v>8.32</v>
      </c>
      <c r="N392" s="549">
        <v>15484</v>
      </c>
      <c r="AI392" s="537" t="s">
        <v>407</v>
      </c>
    </row>
    <row r="393" spans="1:35" s="536" customFormat="1" x14ac:dyDescent="0.2">
      <c r="A393" s="548"/>
      <c r="B393" s="552"/>
      <c r="C393" s="1822" t="s">
        <v>204</v>
      </c>
      <c r="D393" s="1822"/>
      <c r="E393" s="1822"/>
      <c r="F393" s="1822"/>
      <c r="G393" s="1822"/>
      <c r="H393" s="1822"/>
      <c r="I393" s="1822"/>
      <c r="J393" s="1822"/>
      <c r="K393" s="1822"/>
      <c r="L393" s="551"/>
      <c r="M393" s="550"/>
      <c r="N393" s="549"/>
      <c r="AI393" s="537" t="s">
        <v>204</v>
      </c>
    </row>
    <row r="394" spans="1:35" s="536" customFormat="1" x14ac:dyDescent="0.2">
      <c r="A394" s="548"/>
      <c r="B394" s="552"/>
      <c r="C394" s="1822" t="s">
        <v>546</v>
      </c>
      <c r="D394" s="1822"/>
      <c r="E394" s="1822"/>
      <c r="F394" s="1822"/>
      <c r="G394" s="1822"/>
      <c r="H394" s="1822"/>
      <c r="I394" s="1822"/>
      <c r="J394" s="1822"/>
      <c r="K394" s="1822"/>
      <c r="L394" s="551">
        <v>783.81</v>
      </c>
      <c r="M394" s="550"/>
      <c r="N394" s="549"/>
      <c r="AI394" s="537" t="s">
        <v>546</v>
      </c>
    </row>
    <row r="395" spans="1:35" s="536" customFormat="1" x14ac:dyDescent="0.2">
      <c r="A395" s="548"/>
      <c r="B395" s="552"/>
      <c r="C395" s="1822" t="s">
        <v>442</v>
      </c>
      <c r="D395" s="1822"/>
      <c r="E395" s="1822"/>
      <c r="F395" s="1822"/>
      <c r="G395" s="1822"/>
      <c r="H395" s="1822"/>
      <c r="I395" s="1822"/>
      <c r="J395" s="1822"/>
      <c r="K395" s="1822"/>
      <c r="L395" s="551">
        <v>55.55</v>
      </c>
      <c r="M395" s="550"/>
      <c r="N395" s="549"/>
      <c r="AI395" s="537" t="s">
        <v>442</v>
      </c>
    </row>
    <row r="396" spans="1:35" s="536" customFormat="1" x14ac:dyDescent="0.2">
      <c r="A396" s="548"/>
      <c r="B396" s="552"/>
      <c r="C396" s="1822" t="s">
        <v>443</v>
      </c>
      <c r="D396" s="1822"/>
      <c r="E396" s="1822"/>
      <c r="F396" s="1822"/>
      <c r="G396" s="1822"/>
      <c r="H396" s="1822"/>
      <c r="I396" s="1822"/>
      <c r="J396" s="1822"/>
      <c r="K396" s="1822"/>
      <c r="L396" s="551">
        <v>703.9</v>
      </c>
      <c r="M396" s="550"/>
      <c r="N396" s="549"/>
      <c r="AI396" s="537" t="s">
        <v>443</v>
      </c>
    </row>
    <row r="397" spans="1:35" s="536" customFormat="1" x14ac:dyDescent="0.2">
      <c r="A397" s="548"/>
      <c r="B397" s="552"/>
      <c r="C397" s="1822" t="s">
        <v>444</v>
      </c>
      <c r="D397" s="1822"/>
      <c r="E397" s="1822"/>
      <c r="F397" s="1822"/>
      <c r="G397" s="1822"/>
      <c r="H397" s="1822"/>
      <c r="I397" s="1822"/>
      <c r="J397" s="1822"/>
      <c r="K397" s="1822"/>
      <c r="L397" s="551">
        <v>317.79000000000002</v>
      </c>
      <c r="M397" s="550"/>
      <c r="N397" s="549"/>
      <c r="AI397" s="537" t="s">
        <v>444</v>
      </c>
    </row>
    <row r="398" spans="1:35" s="536" customFormat="1" x14ac:dyDescent="0.2">
      <c r="A398" s="548"/>
      <c r="B398" s="552" t="s">
        <v>185</v>
      </c>
      <c r="C398" s="1822" t="s">
        <v>753</v>
      </c>
      <c r="D398" s="1822"/>
      <c r="E398" s="1822"/>
      <c r="F398" s="1822"/>
      <c r="G398" s="1822"/>
      <c r="H398" s="1822"/>
      <c r="I398" s="1822"/>
      <c r="J398" s="1822"/>
      <c r="K398" s="1822"/>
      <c r="L398" s="551">
        <v>35608.699999999997</v>
      </c>
      <c r="M398" s="550">
        <v>8.32</v>
      </c>
      <c r="N398" s="549">
        <v>296264</v>
      </c>
      <c r="AI398" s="537" t="s">
        <v>753</v>
      </c>
    </row>
    <row r="399" spans="1:35" s="536" customFormat="1" x14ac:dyDescent="0.2">
      <c r="A399" s="548"/>
      <c r="B399" s="552"/>
      <c r="C399" s="1822" t="s">
        <v>204</v>
      </c>
      <c r="D399" s="1822"/>
      <c r="E399" s="1822"/>
      <c r="F399" s="1822"/>
      <c r="G399" s="1822"/>
      <c r="H399" s="1822"/>
      <c r="I399" s="1822"/>
      <c r="J399" s="1822"/>
      <c r="K399" s="1822"/>
      <c r="L399" s="551"/>
      <c r="M399" s="550"/>
      <c r="N399" s="549"/>
      <c r="AI399" s="537" t="s">
        <v>204</v>
      </c>
    </row>
    <row r="400" spans="1:35" s="536" customFormat="1" x14ac:dyDescent="0.2">
      <c r="A400" s="548"/>
      <c r="B400" s="552"/>
      <c r="C400" s="1822" t="s">
        <v>546</v>
      </c>
      <c r="D400" s="1822"/>
      <c r="E400" s="1822"/>
      <c r="F400" s="1822"/>
      <c r="G400" s="1822"/>
      <c r="H400" s="1822"/>
      <c r="I400" s="1822"/>
      <c r="J400" s="1822"/>
      <c r="K400" s="1822"/>
      <c r="L400" s="551">
        <v>861.64</v>
      </c>
      <c r="M400" s="550"/>
      <c r="N400" s="549"/>
      <c r="AI400" s="537" t="s">
        <v>546</v>
      </c>
    </row>
    <row r="401" spans="1:37" x14ac:dyDescent="0.2">
      <c r="A401" s="548"/>
      <c r="B401" s="552"/>
      <c r="C401" s="1822" t="s">
        <v>442</v>
      </c>
      <c r="D401" s="1822"/>
      <c r="E401" s="1822"/>
      <c r="F401" s="1822"/>
      <c r="G401" s="1822"/>
      <c r="H401" s="1822"/>
      <c r="I401" s="1822"/>
      <c r="J401" s="1822"/>
      <c r="K401" s="1822"/>
      <c r="L401" s="551">
        <v>2043.31</v>
      </c>
      <c r="M401" s="550"/>
      <c r="N401" s="549"/>
      <c r="P401" s="536"/>
      <c r="Q401" s="536"/>
      <c r="R401" s="536"/>
      <c r="S401" s="536"/>
      <c r="T401" s="536"/>
      <c r="U401" s="536"/>
      <c r="V401" s="536"/>
      <c r="W401" s="536"/>
      <c r="X401" s="536"/>
      <c r="Y401" s="536"/>
      <c r="Z401" s="536"/>
      <c r="AA401" s="536"/>
      <c r="AB401" s="536"/>
      <c r="AC401" s="536"/>
      <c r="AD401" s="536"/>
      <c r="AE401" s="536"/>
      <c r="AF401" s="536"/>
      <c r="AG401" s="536"/>
      <c r="AH401" s="536"/>
      <c r="AI401" s="537" t="s">
        <v>442</v>
      </c>
      <c r="AJ401" s="536"/>
      <c r="AK401" s="536"/>
    </row>
    <row r="402" spans="1:37" x14ac:dyDescent="0.2">
      <c r="A402" s="548"/>
      <c r="B402" s="552"/>
      <c r="C402" s="1822" t="s">
        <v>547</v>
      </c>
      <c r="D402" s="1822"/>
      <c r="E402" s="1822"/>
      <c r="F402" s="1822"/>
      <c r="G402" s="1822"/>
      <c r="H402" s="1822"/>
      <c r="I402" s="1822"/>
      <c r="J402" s="1822"/>
      <c r="K402" s="1822"/>
      <c r="L402" s="551">
        <v>31144.93</v>
      </c>
      <c r="M402" s="550"/>
      <c r="N402" s="549"/>
      <c r="P402" s="536"/>
      <c r="Q402" s="536"/>
      <c r="R402" s="536"/>
      <c r="S402" s="536"/>
      <c r="T402" s="536"/>
      <c r="U402" s="536"/>
      <c r="V402" s="536"/>
      <c r="W402" s="536"/>
      <c r="X402" s="536"/>
      <c r="Y402" s="536"/>
      <c r="Z402" s="536"/>
      <c r="AA402" s="536"/>
      <c r="AB402" s="536"/>
      <c r="AC402" s="536"/>
      <c r="AD402" s="536"/>
      <c r="AE402" s="536"/>
      <c r="AF402" s="536"/>
      <c r="AG402" s="536"/>
      <c r="AH402" s="536"/>
      <c r="AI402" s="537" t="s">
        <v>547</v>
      </c>
      <c r="AJ402" s="536"/>
      <c r="AK402" s="536"/>
    </row>
    <row r="403" spans="1:37" x14ac:dyDescent="0.2">
      <c r="A403" s="548"/>
      <c r="B403" s="552"/>
      <c r="C403" s="1822" t="s">
        <v>443</v>
      </c>
      <c r="D403" s="1822"/>
      <c r="E403" s="1822"/>
      <c r="F403" s="1822"/>
      <c r="G403" s="1822"/>
      <c r="H403" s="1822"/>
      <c r="I403" s="1822"/>
      <c r="J403" s="1822"/>
      <c r="K403" s="1822"/>
      <c r="L403" s="551">
        <v>1021.96</v>
      </c>
      <c r="M403" s="550"/>
      <c r="N403" s="549"/>
      <c r="P403" s="536"/>
      <c r="Q403" s="536"/>
      <c r="R403" s="536"/>
      <c r="S403" s="536"/>
      <c r="T403" s="536"/>
      <c r="U403" s="536"/>
      <c r="V403" s="536"/>
      <c r="W403" s="536"/>
      <c r="X403" s="536"/>
      <c r="Y403" s="536"/>
      <c r="Z403" s="536"/>
      <c r="AA403" s="536"/>
      <c r="AB403" s="536"/>
      <c r="AC403" s="536"/>
      <c r="AD403" s="536"/>
      <c r="AE403" s="536"/>
      <c r="AF403" s="536"/>
      <c r="AG403" s="536"/>
      <c r="AH403" s="536"/>
      <c r="AI403" s="537" t="s">
        <v>443</v>
      </c>
      <c r="AJ403" s="536"/>
      <c r="AK403" s="536"/>
    </row>
    <row r="404" spans="1:37" x14ac:dyDescent="0.2">
      <c r="A404" s="548"/>
      <c r="B404" s="552"/>
      <c r="C404" s="1822" t="s">
        <v>444</v>
      </c>
      <c r="D404" s="1822"/>
      <c r="E404" s="1822"/>
      <c r="F404" s="1822"/>
      <c r="G404" s="1822"/>
      <c r="H404" s="1822"/>
      <c r="I404" s="1822"/>
      <c r="J404" s="1822"/>
      <c r="K404" s="1822"/>
      <c r="L404" s="551">
        <v>536.86</v>
      </c>
      <c r="M404" s="550"/>
      <c r="N404" s="549"/>
      <c r="P404" s="536"/>
      <c r="Q404" s="536"/>
      <c r="R404" s="536"/>
      <c r="S404" s="536"/>
      <c r="T404" s="536"/>
      <c r="U404" s="536"/>
      <c r="V404" s="536"/>
      <c r="W404" s="536"/>
      <c r="X404" s="536"/>
      <c r="Y404" s="536"/>
      <c r="Z404" s="536"/>
      <c r="AA404" s="536"/>
      <c r="AB404" s="536"/>
      <c r="AC404" s="536"/>
      <c r="AD404" s="536"/>
      <c r="AE404" s="536"/>
      <c r="AF404" s="536"/>
      <c r="AG404" s="536"/>
      <c r="AH404" s="536"/>
      <c r="AI404" s="537" t="s">
        <v>444</v>
      </c>
      <c r="AJ404" s="536"/>
      <c r="AK404" s="536"/>
    </row>
    <row r="405" spans="1:37" x14ac:dyDescent="0.2">
      <c r="A405" s="548"/>
      <c r="B405" s="552" t="s">
        <v>186</v>
      </c>
      <c r="C405" s="1822" t="s">
        <v>754</v>
      </c>
      <c r="D405" s="1822"/>
      <c r="E405" s="1822"/>
      <c r="F405" s="1822"/>
      <c r="G405" s="1822"/>
      <c r="H405" s="1822"/>
      <c r="I405" s="1822"/>
      <c r="J405" s="1822"/>
      <c r="K405" s="1822"/>
      <c r="L405" s="551">
        <v>74514.16</v>
      </c>
      <c r="M405" s="550">
        <v>4.59</v>
      </c>
      <c r="N405" s="549">
        <v>342020</v>
      </c>
      <c r="P405" s="536"/>
      <c r="Q405" s="536"/>
      <c r="R405" s="536"/>
      <c r="S405" s="536"/>
      <c r="T405" s="536"/>
      <c r="U405" s="536"/>
      <c r="V405" s="536"/>
      <c r="W405" s="536"/>
      <c r="X405" s="536"/>
      <c r="Y405" s="536"/>
      <c r="Z405" s="536"/>
      <c r="AA405" s="536"/>
      <c r="AB405" s="536"/>
      <c r="AC405" s="536"/>
      <c r="AD405" s="536"/>
      <c r="AE405" s="536"/>
      <c r="AF405" s="536"/>
      <c r="AG405" s="536"/>
      <c r="AH405" s="536"/>
      <c r="AI405" s="537" t="s">
        <v>754</v>
      </c>
      <c r="AJ405" s="536"/>
      <c r="AK405" s="536"/>
    </row>
    <row r="406" spans="1:37" x14ac:dyDescent="0.2">
      <c r="A406" s="548"/>
      <c r="B406" s="552"/>
      <c r="C406" s="1822" t="s">
        <v>415</v>
      </c>
      <c r="D406" s="1822"/>
      <c r="E406" s="1822"/>
      <c r="F406" s="1822"/>
      <c r="G406" s="1822"/>
      <c r="H406" s="1822"/>
      <c r="I406" s="1822"/>
      <c r="J406" s="1822"/>
      <c r="K406" s="1822"/>
      <c r="L406" s="551">
        <v>1845.92</v>
      </c>
      <c r="M406" s="550"/>
      <c r="N406" s="549"/>
      <c r="P406" s="536"/>
      <c r="Q406" s="536"/>
      <c r="R406" s="536"/>
      <c r="S406" s="536"/>
      <c r="T406" s="536"/>
      <c r="U406" s="536"/>
      <c r="V406" s="536"/>
      <c r="W406" s="536"/>
      <c r="X406" s="536"/>
      <c r="Y406" s="536"/>
      <c r="Z406" s="536"/>
      <c r="AA406" s="536"/>
      <c r="AB406" s="536"/>
      <c r="AC406" s="536"/>
      <c r="AD406" s="536"/>
      <c r="AE406" s="536"/>
      <c r="AF406" s="536"/>
      <c r="AG406" s="536"/>
      <c r="AH406" s="536"/>
      <c r="AI406" s="537" t="s">
        <v>415</v>
      </c>
      <c r="AJ406" s="536"/>
      <c r="AK406" s="536"/>
    </row>
    <row r="407" spans="1:37" x14ac:dyDescent="0.2">
      <c r="A407" s="548"/>
      <c r="B407" s="552"/>
      <c r="C407" s="1822" t="s">
        <v>416</v>
      </c>
      <c r="D407" s="1822"/>
      <c r="E407" s="1822"/>
      <c r="F407" s="1822"/>
      <c r="G407" s="1822"/>
      <c r="H407" s="1822"/>
      <c r="I407" s="1822"/>
      <c r="J407" s="1822"/>
      <c r="K407" s="1822"/>
      <c r="L407" s="551">
        <v>1725.86</v>
      </c>
      <c r="M407" s="550"/>
      <c r="N407" s="549"/>
      <c r="P407" s="536"/>
      <c r="Q407" s="536"/>
      <c r="R407" s="536"/>
      <c r="S407" s="536"/>
      <c r="T407" s="536"/>
      <c r="U407" s="536"/>
      <c r="V407" s="536"/>
      <c r="W407" s="536"/>
      <c r="X407" s="536"/>
      <c r="Y407" s="536"/>
      <c r="Z407" s="536"/>
      <c r="AA407" s="536"/>
      <c r="AB407" s="536"/>
      <c r="AC407" s="536"/>
      <c r="AD407" s="536"/>
      <c r="AE407" s="536"/>
      <c r="AF407" s="536"/>
      <c r="AG407" s="536"/>
      <c r="AH407" s="536"/>
      <c r="AI407" s="537" t="s">
        <v>416</v>
      </c>
      <c r="AJ407" s="536"/>
      <c r="AK407" s="536"/>
    </row>
    <row r="408" spans="1:37" x14ac:dyDescent="0.2">
      <c r="A408" s="548"/>
      <c r="B408" s="552"/>
      <c r="C408" s="1822" t="s">
        <v>417</v>
      </c>
      <c r="D408" s="1822"/>
      <c r="E408" s="1822"/>
      <c r="F408" s="1822"/>
      <c r="G408" s="1822"/>
      <c r="H408" s="1822"/>
      <c r="I408" s="1822"/>
      <c r="J408" s="1822"/>
      <c r="K408" s="1822"/>
      <c r="L408" s="551">
        <v>854.65</v>
      </c>
      <c r="M408" s="550"/>
      <c r="N408" s="549"/>
      <c r="P408" s="536"/>
      <c r="Q408" s="536"/>
      <c r="R408" s="536"/>
      <c r="S408" s="536"/>
      <c r="T408" s="536"/>
      <c r="U408" s="536"/>
      <c r="V408" s="536"/>
      <c r="W408" s="536"/>
      <c r="X408" s="536"/>
      <c r="Y408" s="536"/>
      <c r="Z408" s="536"/>
      <c r="AA408" s="536"/>
      <c r="AB408" s="536"/>
      <c r="AC408" s="536"/>
      <c r="AD408" s="536"/>
      <c r="AE408" s="536"/>
      <c r="AF408" s="536"/>
      <c r="AG408" s="536"/>
      <c r="AH408" s="536"/>
      <c r="AI408" s="537" t="s">
        <v>417</v>
      </c>
      <c r="AJ408" s="536"/>
      <c r="AK408" s="536"/>
    </row>
    <row r="409" spans="1:37" x14ac:dyDescent="0.2">
      <c r="A409" s="548"/>
      <c r="B409" s="546"/>
      <c r="C409" s="1819" t="s">
        <v>206</v>
      </c>
      <c r="D409" s="1819"/>
      <c r="E409" s="1819"/>
      <c r="F409" s="1819"/>
      <c r="G409" s="1819"/>
      <c r="H409" s="1819"/>
      <c r="I409" s="1819"/>
      <c r="J409" s="1819"/>
      <c r="K409" s="1819"/>
      <c r="L409" s="544">
        <v>111983.91</v>
      </c>
      <c r="M409" s="543"/>
      <c r="N409" s="547">
        <v>653768</v>
      </c>
      <c r="P409" s="536"/>
      <c r="Q409" s="536"/>
      <c r="R409" s="536"/>
      <c r="S409" s="536"/>
      <c r="T409" s="536"/>
      <c r="U409" s="536"/>
      <c r="V409" s="536"/>
      <c r="W409" s="536"/>
      <c r="X409" s="536"/>
      <c r="Y409" s="536"/>
      <c r="Z409" s="536"/>
      <c r="AA409" s="536"/>
      <c r="AB409" s="536"/>
      <c r="AC409" s="536"/>
      <c r="AD409" s="536"/>
      <c r="AE409" s="536"/>
      <c r="AF409" s="536"/>
      <c r="AG409" s="536"/>
      <c r="AH409" s="536"/>
      <c r="AI409" s="536"/>
      <c r="AJ409" s="537" t="s">
        <v>206</v>
      </c>
      <c r="AK409" s="536"/>
    </row>
    <row r="410" spans="1:37" x14ac:dyDescent="0.2">
      <c r="A410" s="548"/>
      <c r="B410" s="552"/>
      <c r="C410" s="1822" t="s">
        <v>204</v>
      </c>
      <c r="D410" s="1822"/>
      <c r="E410" s="1822"/>
      <c r="F410" s="1822"/>
      <c r="G410" s="1822"/>
      <c r="H410" s="1822"/>
      <c r="I410" s="1822"/>
      <c r="J410" s="1822"/>
      <c r="K410" s="1822"/>
      <c r="L410" s="551"/>
      <c r="M410" s="550"/>
      <c r="N410" s="549"/>
      <c r="P410" s="536"/>
      <c r="Q410" s="536"/>
      <c r="R410" s="536"/>
      <c r="S410" s="536"/>
      <c r="T410" s="536"/>
      <c r="U410" s="536"/>
      <c r="V410" s="536"/>
      <c r="W410" s="536"/>
      <c r="X410" s="536"/>
      <c r="Y410" s="536"/>
      <c r="Z410" s="536"/>
      <c r="AA410" s="536"/>
      <c r="AB410" s="536"/>
      <c r="AC410" s="536"/>
      <c r="AD410" s="536"/>
      <c r="AE410" s="536"/>
      <c r="AF410" s="536"/>
      <c r="AG410" s="536"/>
      <c r="AH410" s="536"/>
      <c r="AI410" s="537" t="s">
        <v>204</v>
      </c>
      <c r="AJ410" s="536"/>
      <c r="AK410" s="536"/>
    </row>
    <row r="411" spans="1:37" x14ac:dyDescent="0.2">
      <c r="A411" s="548"/>
      <c r="B411" s="552"/>
      <c r="C411" s="1822" t="s">
        <v>8095</v>
      </c>
      <c r="D411" s="1822"/>
      <c r="E411" s="1822"/>
      <c r="F411" s="1822"/>
      <c r="G411" s="1822"/>
      <c r="H411" s="1822"/>
      <c r="I411" s="1822"/>
      <c r="J411" s="1822"/>
      <c r="K411" s="1822"/>
      <c r="L411" s="551">
        <v>30831.94</v>
      </c>
      <c r="M411" s="550"/>
      <c r="N411" s="549">
        <v>256522</v>
      </c>
      <c r="P411" s="536"/>
      <c r="Q411" s="536"/>
      <c r="R411" s="536"/>
      <c r="S411" s="536"/>
      <c r="T411" s="536"/>
      <c r="U411" s="536"/>
      <c r="V411" s="536"/>
      <c r="W411" s="536"/>
      <c r="X411" s="536"/>
      <c r="Y411" s="536"/>
      <c r="Z411" s="536"/>
      <c r="AA411" s="536"/>
      <c r="AB411" s="536"/>
      <c r="AC411" s="536"/>
      <c r="AD411" s="536"/>
      <c r="AE411" s="536"/>
      <c r="AF411" s="536"/>
      <c r="AG411" s="536"/>
      <c r="AH411" s="536"/>
      <c r="AI411" s="537" t="s">
        <v>8095</v>
      </c>
      <c r="AJ411" s="536"/>
      <c r="AK411" s="536"/>
    </row>
    <row r="412" spans="1:37" x14ac:dyDescent="0.2">
      <c r="A412" s="548"/>
      <c r="B412" s="552"/>
      <c r="C412" s="1822" t="s">
        <v>8097</v>
      </c>
      <c r="D412" s="1822"/>
      <c r="E412" s="1822"/>
      <c r="F412" s="1822"/>
      <c r="G412" s="1822"/>
      <c r="H412" s="1822"/>
      <c r="I412" s="1822"/>
      <c r="J412" s="1822"/>
      <c r="K412" s="1822"/>
      <c r="L412" s="551"/>
      <c r="M412" s="550"/>
      <c r="N412" s="549">
        <v>342020</v>
      </c>
      <c r="P412" s="536"/>
      <c r="Q412" s="536"/>
      <c r="R412" s="536"/>
      <c r="S412" s="536"/>
      <c r="T412" s="536"/>
      <c r="U412" s="536"/>
      <c r="V412" s="536"/>
      <c r="W412" s="536"/>
      <c r="X412" s="536"/>
      <c r="Y412" s="536"/>
      <c r="Z412" s="536"/>
      <c r="AA412" s="536"/>
      <c r="AB412" s="536"/>
      <c r="AC412" s="536"/>
      <c r="AD412" s="536"/>
      <c r="AE412" s="536"/>
      <c r="AF412" s="536"/>
      <c r="AG412" s="536"/>
      <c r="AH412" s="536"/>
      <c r="AI412" s="537" t="s">
        <v>8097</v>
      </c>
      <c r="AJ412" s="536"/>
      <c r="AK412" s="536"/>
    </row>
    <row r="413" spans="1:37" ht="1.5" customHeight="1" x14ac:dyDescent="0.2">
      <c r="B413" s="546"/>
      <c r="C413" s="671"/>
      <c r="D413" s="671"/>
      <c r="E413" s="671"/>
      <c r="F413" s="671"/>
      <c r="G413" s="671"/>
      <c r="H413" s="671"/>
      <c r="I413" s="671"/>
      <c r="J413" s="671"/>
      <c r="K413" s="671"/>
      <c r="L413" s="544"/>
      <c r="M413" s="543"/>
      <c r="N413" s="542"/>
      <c r="P413" s="536"/>
      <c r="Q413" s="536"/>
      <c r="R413" s="536"/>
      <c r="S413" s="536"/>
      <c r="T413" s="536"/>
      <c r="U413" s="536"/>
      <c r="V413" s="536"/>
      <c r="W413" s="536"/>
      <c r="X413" s="536"/>
      <c r="Y413" s="536"/>
      <c r="Z413" s="536"/>
      <c r="AA413" s="536"/>
      <c r="AB413" s="536"/>
      <c r="AC413" s="536"/>
      <c r="AD413" s="536"/>
      <c r="AE413" s="536"/>
      <c r="AF413" s="536"/>
      <c r="AG413" s="536"/>
      <c r="AH413" s="536"/>
      <c r="AI413" s="536"/>
      <c r="AJ413" s="536"/>
      <c r="AK413" s="536"/>
    </row>
    <row r="414" spans="1:37" ht="53.25" customHeight="1" x14ac:dyDescent="0.2">
      <c r="A414" s="541"/>
      <c r="B414" s="541"/>
      <c r="C414" s="541"/>
      <c r="D414" s="541"/>
      <c r="E414" s="541"/>
      <c r="F414" s="541"/>
      <c r="G414" s="541"/>
      <c r="H414" s="541"/>
      <c r="I414" s="541"/>
      <c r="J414" s="541"/>
      <c r="K414" s="541"/>
      <c r="L414" s="541"/>
      <c r="M414" s="541"/>
      <c r="N414" s="541"/>
      <c r="P414" s="536"/>
      <c r="Q414" s="536"/>
      <c r="R414" s="536"/>
      <c r="S414" s="536"/>
      <c r="T414" s="536"/>
      <c r="U414" s="536"/>
      <c r="V414" s="536"/>
      <c r="W414" s="536"/>
      <c r="X414" s="536"/>
      <c r="Y414" s="536"/>
      <c r="Z414" s="536"/>
      <c r="AA414" s="536"/>
      <c r="AB414" s="536"/>
      <c r="AC414" s="536"/>
      <c r="AD414" s="536"/>
      <c r="AE414" s="536"/>
      <c r="AF414" s="536"/>
      <c r="AG414" s="536"/>
      <c r="AH414" s="536"/>
      <c r="AI414" s="536"/>
      <c r="AJ414" s="536"/>
      <c r="AK414" s="536"/>
    </row>
    <row r="415" spans="1:37" x14ac:dyDescent="0.2">
      <c r="B415" s="539" t="s">
        <v>149</v>
      </c>
      <c r="C415" s="1943" t="s">
        <v>207</v>
      </c>
      <c r="D415" s="1943"/>
      <c r="E415" s="1943"/>
      <c r="F415" s="1943"/>
      <c r="G415" s="1943"/>
      <c r="H415" s="1943"/>
      <c r="I415" s="1943"/>
      <c r="J415" s="1943"/>
      <c r="K415" s="1943"/>
      <c r="L415" s="1943"/>
    </row>
    <row r="416" spans="1:37" ht="13.5" customHeight="1" x14ac:dyDescent="0.2">
      <c r="B416" s="540"/>
      <c r="C416" s="1821" t="s">
        <v>150</v>
      </c>
      <c r="D416" s="1821"/>
      <c r="E416" s="1821"/>
      <c r="F416" s="1821"/>
      <c r="G416" s="1821"/>
      <c r="H416" s="1821"/>
      <c r="I416" s="1821"/>
      <c r="J416" s="1821"/>
      <c r="K416" s="1821"/>
      <c r="L416" s="1821"/>
    </row>
    <row r="417" spans="1:37" ht="12.75" customHeight="1" x14ac:dyDescent="0.2">
      <c r="B417" s="539" t="s">
        <v>151</v>
      </c>
      <c r="C417" s="1943" t="s">
        <v>208</v>
      </c>
      <c r="D417" s="1943"/>
      <c r="E417" s="1943"/>
      <c r="F417" s="1943"/>
      <c r="G417" s="1943"/>
      <c r="H417" s="1943"/>
      <c r="I417" s="1943"/>
      <c r="J417" s="1943"/>
      <c r="K417" s="1943"/>
      <c r="L417" s="1943"/>
    </row>
    <row r="418" spans="1:37" ht="13.5" customHeight="1" x14ac:dyDescent="0.2">
      <c r="C418" s="1821" t="s">
        <v>150</v>
      </c>
      <c r="D418" s="1821"/>
      <c r="E418" s="1821"/>
      <c r="F418" s="1821"/>
      <c r="G418" s="1821"/>
      <c r="H418" s="1821"/>
      <c r="I418" s="1821"/>
      <c r="J418" s="1821"/>
      <c r="K418" s="1821"/>
      <c r="L418" s="1821"/>
    </row>
    <row r="420" spans="1:37" x14ac:dyDescent="0.2">
      <c r="A420" s="1944"/>
      <c r="B420" s="1944"/>
      <c r="C420" s="1944"/>
      <c r="D420" s="1944"/>
      <c r="E420" s="1944"/>
      <c r="F420" s="1944"/>
      <c r="G420" s="1944"/>
      <c r="H420" s="1944"/>
      <c r="I420" s="1944"/>
      <c r="J420" s="1944"/>
      <c r="K420" s="1944"/>
      <c r="L420" s="1944"/>
      <c r="M420" s="1944"/>
      <c r="N420" s="1944"/>
      <c r="P420" s="536"/>
      <c r="Q420" s="536"/>
      <c r="R420" s="536"/>
      <c r="S420" s="536"/>
      <c r="T420" s="536"/>
      <c r="U420" s="536"/>
      <c r="V420" s="536"/>
      <c r="W420" s="536"/>
      <c r="X420" s="536"/>
      <c r="Y420" s="536"/>
      <c r="Z420" s="536"/>
      <c r="AA420" s="536"/>
      <c r="AB420" s="536"/>
      <c r="AC420" s="536"/>
      <c r="AD420" s="536"/>
      <c r="AE420" s="536"/>
      <c r="AF420" s="536"/>
      <c r="AG420" s="536"/>
      <c r="AH420" s="536"/>
      <c r="AI420" s="536"/>
      <c r="AJ420" s="536"/>
      <c r="AK420" s="537" t="s">
        <v>143</v>
      </c>
    </row>
    <row r="421" spans="1:37" x14ac:dyDescent="0.2">
      <c r="B421" s="538"/>
      <c r="D421" s="538"/>
      <c r="F421" s="538"/>
      <c r="P421" s="536"/>
      <c r="Q421" s="536"/>
      <c r="R421" s="536"/>
      <c r="S421" s="536"/>
      <c r="T421" s="536"/>
      <c r="U421" s="536"/>
      <c r="V421" s="536"/>
      <c r="W421" s="536"/>
      <c r="X421" s="536"/>
      <c r="Y421" s="536"/>
      <c r="Z421" s="536"/>
      <c r="AA421" s="536"/>
      <c r="AB421" s="536"/>
      <c r="AC421" s="536"/>
      <c r="AD421" s="536"/>
      <c r="AE421" s="536"/>
      <c r="AF421" s="536"/>
      <c r="AG421" s="536"/>
      <c r="AH421" s="536"/>
      <c r="AI421" s="536"/>
      <c r="AJ421" s="536"/>
      <c r="AK421" s="536"/>
    </row>
  </sheetData>
  <mergeCells count="371">
    <mergeCell ref="A420:N420"/>
    <mergeCell ref="C411:K411"/>
    <mergeCell ref="C412:K412"/>
    <mergeCell ref="C415:L415"/>
    <mergeCell ref="C416:L416"/>
    <mergeCell ref="C417:L417"/>
    <mergeCell ref="C418:L418"/>
    <mergeCell ref="C405:K405"/>
    <mergeCell ref="C406:K406"/>
    <mergeCell ref="C407:K407"/>
    <mergeCell ref="C408:K408"/>
    <mergeCell ref="C409:K409"/>
    <mergeCell ref="C410:K410"/>
    <mergeCell ref="C399:K399"/>
    <mergeCell ref="C400:K400"/>
    <mergeCell ref="C401:K401"/>
    <mergeCell ref="C402:K402"/>
    <mergeCell ref="C403:K403"/>
    <mergeCell ref="C404:K404"/>
    <mergeCell ref="C393:K393"/>
    <mergeCell ref="C394:K394"/>
    <mergeCell ref="C395:K395"/>
    <mergeCell ref="C396:K396"/>
    <mergeCell ref="C397:K397"/>
    <mergeCell ref="C398:K398"/>
    <mergeCell ref="C387:K387"/>
    <mergeCell ref="C388:K388"/>
    <mergeCell ref="C389:K389"/>
    <mergeCell ref="C390:K390"/>
    <mergeCell ref="C391:K391"/>
    <mergeCell ref="C392:K392"/>
    <mergeCell ref="C380:K380"/>
    <mergeCell ref="C381:K381"/>
    <mergeCell ref="C382:K382"/>
    <mergeCell ref="C383:K383"/>
    <mergeCell ref="C385:K385"/>
    <mergeCell ref="C386:K386"/>
    <mergeCell ref="C374:K374"/>
    <mergeCell ref="C375:K375"/>
    <mergeCell ref="C376:K376"/>
    <mergeCell ref="C377:K377"/>
    <mergeCell ref="C378:K378"/>
    <mergeCell ref="C379:K379"/>
    <mergeCell ref="C368:K368"/>
    <mergeCell ref="C369:K369"/>
    <mergeCell ref="C370:K370"/>
    <mergeCell ref="C371:K371"/>
    <mergeCell ref="C372:K372"/>
    <mergeCell ref="C373:K373"/>
    <mergeCell ref="C362:K362"/>
    <mergeCell ref="C363:K363"/>
    <mergeCell ref="C364:K364"/>
    <mergeCell ref="C365:K365"/>
    <mergeCell ref="C366:K366"/>
    <mergeCell ref="C367:K367"/>
    <mergeCell ref="C356:K356"/>
    <mergeCell ref="C357:K357"/>
    <mergeCell ref="C358:K358"/>
    <mergeCell ref="C359:K359"/>
    <mergeCell ref="C360:K360"/>
    <mergeCell ref="C361:K361"/>
    <mergeCell ref="C349:E349"/>
    <mergeCell ref="C350:E350"/>
    <mergeCell ref="C351:E351"/>
    <mergeCell ref="C352:E352"/>
    <mergeCell ref="C353:E353"/>
    <mergeCell ref="C354:E354"/>
    <mergeCell ref="C343:N343"/>
    <mergeCell ref="C344:N344"/>
    <mergeCell ref="C345:E345"/>
    <mergeCell ref="C346:E346"/>
    <mergeCell ref="C347:E347"/>
    <mergeCell ref="C348:E348"/>
    <mergeCell ref="C337:E337"/>
    <mergeCell ref="C338:E338"/>
    <mergeCell ref="C339:E339"/>
    <mergeCell ref="C340:E340"/>
    <mergeCell ref="C341:E341"/>
    <mergeCell ref="C342:E342"/>
    <mergeCell ref="C331:E331"/>
    <mergeCell ref="C332:E332"/>
    <mergeCell ref="C333:N333"/>
    <mergeCell ref="C334:N334"/>
    <mergeCell ref="C335:E335"/>
    <mergeCell ref="C336:E336"/>
    <mergeCell ref="C325:E325"/>
    <mergeCell ref="C326:E326"/>
    <mergeCell ref="C327:E327"/>
    <mergeCell ref="C328:E328"/>
    <mergeCell ref="C329:E329"/>
    <mergeCell ref="C330:E330"/>
    <mergeCell ref="C318:E318"/>
    <mergeCell ref="C320:N320"/>
    <mergeCell ref="A321:N321"/>
    <mergeCell ref="C322:E322"/>
    <mergeCell ref="C323:N323"/>
    <mergeCell ref="C324:N324"/>
    <mergeCell ref="C310:E310"/>
    <mergeCell ref="C311:E311"/>
    <mergeCell ref="C312:E312"/>
    <mergeCell ref="C314:N314"/>
    <mergeCell ref="C315:E315"/>
    <mergeCell ref="C317:N317"/>
    <mergeCell ref="C304:E304"/>
    <mergeCell ref="C305:E305"/>
    <mergeCell ref="C306:E306"/>
    <mergeCell ref="C307:E307"/>
    <mergeCell ref="C308:E308"/>
    <mergeCell ref="C309:E309"/>
    <mergeCell ref="C298:E298"/>
    <mergeCell ref="C299:N299"/>
    <mergeCell ref="C300:N300"/>
    <mergeCell ref="C301:E301"/>
    <mergeCell ref="C302:E302"/>
    <mergeCell ref="C303:E303"/>
    <mergeCell ref="C291:E291"/>
    <mergeCell ref="C292:E292"/>
    <mergeCell ref="C293:E293"/>
    <mergeCell ref="C294:E294"/>
    <mergeCell ref="C295:E295"/>
    <mergeCell ref="C297:N297"/>
    <mergeCell ref="C285:E285"/>
    <mergeCell ref="C286:E286"/>
    <mergeCell ref="C287:E287"/>
    <mergeCell ref="C288:E288"/>
    <mergeCell ref="C289:E289"/>
    <mergeCell ref="C290:E290"/>
    <mergeCell ref="C278:E278"/>
    <mergeCell ref="C280:N280"/>
    <mergeCell ref="C281:E281"/>
    <mergeCell ref="C282:N282"/>
    <mergeCell ref="C283:N283"/>
    <mergeCell ref="C284:E284"/>
    <mergeCell ref="C272:E272"/>
    <mergeCell ref="C273:E273"/>
    <mergeCell ref="C274:E274"/>
    <mergeCell ref="C275:E275"/>
    <mergeCell ref="C276:E276"/>
    <mergeCell ref="C277:E277"/>
    <mergeCell ref="C266:N266"/>
    <mergeCell ref="C267:E267"/>
    <mergeCell ref="C268:E268"/>
    <mergeCell ref="C269:E269"/>
    <mergeCell ref="C270:E270"/>
    <mergeCell ref="C271:E271"/>
    <mergeCell ref="C259:E259"/>
    <mergeCell ref="C260:E260"/>
    <mergeCell ref="C262:N262"/>
    <mergeCell ref="A263:N263"/>
    <mergeCell ref="C264:E264"/>
    <mergeCell ref="C265:N265"/>
    <mergeCell ref="C253:E253"/>
    <mergeCell ref="C254:E254"/>
    <mergeCell ref="C255:E255"/>
    <mergeCell ref="C256:E256"/>
    <mergeCell ref="C257:E257"/>
    <mergeCell ref="C258:E258"/>
    <mergeCell ref="C246:E246"/>
    <mergeCell ref="C247:E247"/>
    <mergeCell ref="C248:E248"/>
    <mergeCell ref="C250:N250"/>
    <mergeCell ref="C251:E251"/>
    <mergeCell ref="C252:E252"/>
    <mergeCell ref="C240:E240"/>
    <mergeCell ref="C241:E241"/>
    <mergeCell ref="C242:E242"/>
    <mergeCell ref="C243:E243"/>
    <mergeCell ref="C244:E244"/>
    <mergeCell ref="C245:E245"/>
    <mergeCell ref="C233:E233"/>
    <mergeCell ref="C234:E234"/>
    <mergeCell ref="C235:E235"/>
    <mergeCell ref="C237:N237"/>
    <mergeCell ref="C238:E238"/>
    <mergeCell ref="C239:N239"/>
    <mergeCell ref="C227:E227"/>
    <mergeCell ref="C228:E228"/>
    <mergeCell ref="C229:E229"/>
    <mergeCell ref="C230:E230"/>
    <mergeCell ref="C231:E231"/>
    <mergeCell ref="C232:E232"/>
    <mergeCell ref="C219:E219"/>
    <mergeCell ref="C221:N221"/>
    <mergeCell ref="C222:E222"/>
    <mergeCell ref="C224:N224"/>
    <mergeCell ref="C225:E225"/>
    <mergeCell ref="C226:N226"/>
    <mergeCell ref="C210:E210"/>
    <mergeCell ref="C212:N212"/>
    <mergeCell ref="C213:E213"/>
    <mergeCell ref="C215:N215"/>
    <mergeCell ref="C216:E216"/>
    <mergeCell ref="C218:N218"/>
    <mergeCell ref="C202:E202"/>
    <mergeCell ref="C203:E203"/>
    <mergeCell ref="C205:N205"/>
    <mergeCell ref="C206:N206"/>
    <mergeCell ref="C207:E207"/>
    <mergeCell ref="C209:N209"/>
    <mergeCell ref="C196:E196"/>
    <mergeCell ref="C197:E197"/>
    <mergeCell ref="C198:E198"/>
    <mergeCell ref="C199:E199"/>
    <mergeCell ref="C200:E200"/>
    <mergeCell ref="C201:E201"/>
    <mergeCell ref="C190:E190"/>
    <mergeCell ref="C191:N191"/>
    <mergeCell ref="C192:E192"/>
    <mergeCell ref="C193:E193"/>
    <mergeCell ref="C194:E194"/>
    <mergeCell ref="C195:E195"/>
    <mergeCell ref="C181:E181"/>
    <mergeCell ref="C183:N183"/>
    <mergeCell ref="C184:E184"/>
    <mergeCell ref="C186:N186"/>
    <mergeCell ref="C187:E187"/>
    <mergeCell ref="C189:N189"/>
    <mergeCell ref="C172:E172"/>
    <mergeCell ref="C174:N174"/>
    <mergeCell ref="C175:E175"/>
    <mergeCell ref="C177:N177"/>
    <mergeCell ref="C178:E178"/>
    <mergeCell ref="C180:N180"/>
    <mergeCell ref="C163:E163"/>
    <mergeCell ref="C165:N165"/>
    <mergeCell ref="C166:E166"/>
    <mergeCell ref="C168:N168"/>
    <mergeCell ref="C169:E169"/>
    <mergeCell ref="C171:N171"/>
    <mergeCell ref="C156:E156"/>
    <mergeCell ref="C157:E157"/>
    <mergeCell ref="C158:E158"/>
    <mergeCell ref="C159:E159"/>
    <mergeCell ref="C160:E160"/>
    <mergeCell ref="C162:N162"/>
    <mergeCell ref="C150:E150"/>
    <mergeCell ref="C151:N151"/>
    <mergeCell ref="C152:E152"/>
    <mergeCell ref="C153:E153"/>
    <mergeCell ref="C154:E154"/>
    <mergeCell ref="C155:E155"/>
    <mergeCell ref="C143:E143"/>
    <mergeCell ref="C144:E144"/>
    <mergeCell ref="C145:E145"/>
    <mergeCell ref="C146:E146"/>
    <mergeCell ref="C147:E147"/>
    <mergeCell ref="C149:N149"/>
    <mergeCell ref="C137:N137"/>
    <mergeCell ref="C138:N138"/>
    <mergeCell ref="C139:E139"/>
    <mergeCell ref="C140:E140"/>
    <mergeCell ref="C141:E141"/>
    <mergeCell ref="C142:E142"/>
    <mergeCell ref="C130:E130"/>
    <mergeCell ref="C131:E131"/>
    <mergeCell ref="C132:E132"/>
    <mergeCell ref="C134:N134"/>
    <mergeCell ref="C135:N135"/>
    <mergeCell ref="C136:E136"/>
    <mergeCell ref="C124:E124"/>
    <mergeCell ref="C125:E125"/>
    <mergeCell ref="C126:E126"/>
    <mergeCell ref="C127:E127"/>
    <mergeCell ref="C128:E128"/>
    <mergeCell ref="C129:E129"/>
    <mergeCell ref="C118:E118"/>
    <mergeCell ref="C119:N119"/>
    <mergeCell ref="C120:N120"/>
    <mergeCell ref="C121:E121"/>
    <mergeCell ref="C122:E122"/>
    <mergeCell ref="C123:E123"/>
    <mergeCell ref="C110:N110"/>
    <mergeCell ref="C111:N111"/>
    <mergeCell ref="C112:E112"/>
    <mergeCell ref="C114:N114"/>
    <mergeCell ref="C115:E115"/>
    <mergeCell ref="C117:N117"/>
    <mergeCell ref="C103:E103"/>
    <mergeCell ref="C104:E104"/>
    <mergeCell ref="C105:E105"/>
    <mergeCell ref="C106:E106"/>
    <mergeCell ref="C107:E107"/>
    <mergeCell ref="C108:E108"/>
    <mergeCell ref="C97:E97"/>
    <mergeCell ref="C98:E98"/>
    <mergeCell ref="C99:E99"/>
    <mergeCell ref="C100:E100"/>
    <mergeCell ref="C101:E101"/>
    <mergeCell ref="C102:E102"/>
    <mergeCell ref="C91:K91"/>
    <mergeCell ref="A92:N92"/>
    <mergeCell ref="A93:N93"/>
    <mergeCell ref="C94:E94"/>
    <mergeCell ref="C95:N95"/>
    <mergeCell ref="C96:N96"/>
    <mergeCell ref="C85:K85"/>
    <mergeCell ref="C86:K86"/>
    <mergeCell ref="C87:K87"/>
    <mergeCell ref="C88:K88"/>
    <mergeCell ref="C89:K89"/>
    <mergeCell ref="C90:K90"/>
    <mergeCell ref="C79:K79"/>
    <mergeCell ref="C80:K80"/>
    <mergeCell ref="C81:K81"/>
    <mergeCell ref="C82:K82"/>
    <mergeCell ref="C83:K83"/>
    <mergeCell ref="C84:K84"/>
    <mergeCell ref="C73:K73"/>
    <mergeCell ref="C74:K74"/>
    <mergeCell ref="C75:K75"/>
    <mergeCell ref="C76:K76"/>
    <mergeCell ref="C77:K77"/>
    <mergeCell ref="C78:K78"/>
    <mergeCell ref="C66:E66"/>
    <mergeCell ref="C67:E67"/>
    <mergeCell ref="C68:E68"/>
    <mergeCell ref="C69:E69"/>
    <mergeCell ref="C71:K71"/>
    <mergeCell ref="C72:K72"/>
    <mergeCell ref="C60:E60"/>
    <mergeCell ref="C61:E61"/>
    <mergeCell ref="C62:E62"/>
    <mergeCell ref="C63:E63"/>
    <mergeCell ref="C64:E64"/>
    <mergeCell ref="C65:E65"/>
    <mergeCell ref="C53:E53"/>
    <mergeCell ref="C55:N55"/>
    <mergeCell ref="C56:E56"/>
    <mergeCell ref="C57:N57"/>
    <mergeCell ref="C58:N58"/>
    <mergeCell ref="C59:E59"/>
    <mergeCell ref="C47:E47"/>
    <mergeCell ref="C48:E48"/>
    <mergeCell ref="C49:E49"/>
    <mergeCell ref="C50:E50"/>
    <mergeCell ref="C51:E51"/>
    <mergeCell ref="C52:E52"/>
    <mergeCell ref="C41:N41"/>
    <mergeCell ref="C42:E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420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M1049"/>
  <sheetViews>
    <sheetView topLeftCell="A1012" zoomScale="115" zoomScaleNormal="115" workbookViewId="0"/>
  </sheetViews>
  <sheetFormatPr defaultColWidth="9.140625" defaultRowHeight="11.25" customHeight="1" x14ac:dyDescent="0.2"/>
  <cols>
    <col min="1" max="1" width="8.140625" style="40" customWidth="1"/>
    <col min="2" max="2" width="20.140625" style="40" customWidth="1"/>
    <col min="3" max="4" width="10.42578125" style="40" customWidth="1"/>
    <col min="5" max="5" width="13.28515625" style="40" customWidth="1"/>
    <col min="6" max="6" width="8.5703125" style="40" customWidth="1"/>
    <col min="7" max="7" width="7.85546875" style="40" customWidth="1"/>
    <col min="8" max="8" width="8.42578125" style="40" customWidth="1"/>
    <col min="9" max="9" width="8.7109375" style="40" customWidth="1"/>
    <col min="10" max="10" width="8.140625" style="40" customWidth="1"/>
    <col min="11" max="11" width="8.5703125" style="40" customWidth="1"/>
    <col min="12" max="12" width="10" style="40" customWidth="1"/>
    <col min="13" max="13" width="6" style="40" customWidth="1"/>
    <col min="14" max="14" width="9.7109375" style="40" customWidth="1"/>
    <col min="15" max="15" width="9.140625" style="40"/>
    <col min="16" max="16" width="49.140625" style="43" hidden="1" customWidth="1"/>
    <col min="17" max="17" width="42.42578125" style="43" hidden="1" customWidth="1"/>
    <col min="18" max="18" width="99.7109375" style="43" hidden="1" customWidth="1"/>
    <col min="19" max="23" width="138.42578125" style="43" hidden="1" customWidth="1"/>
    <col min="24" max="24" width="34.140625" style="43" hidden="1" customWidth="1"/>
    <col min="25" max="26" width="110.140625" style="43" hidden="1" customWidth="1"/>
    <col min="27" max="31" width="34.140625" style="43" hidden="1" customWidth="1"/>
    <col min="32" max="32" width="110.140625" style="43" hidden="1" customWidth="1"/>
    <col min="33" max="38" width="84.42578125" style="43" hidden="1" customWidth="1"/>
    <col min="39" max="39" width="138.42578125" style="43" hidden="1" customWidth="1"/>
    <col min="40" max="16384" width="9.140625" style="40"/>
  </cols>
  <sheetData>
    <row r="1" spans="1:20" s="40" customFormat="1" x14ac:dyDescent="0.2">
      <c r="N1" s="41" t="s">
        <v>152</v>
      </c>
    </row>
    <row r="2" spans="1:20" s="40" customFormat="1" x14ac:dyDescent="0.2">
      <c r="N2" s="41" t="s">
        <v>141</v>
      </c>
    </row>
    <row r="3" spans="1:20" s="40" customFormat="1" ht="8.25" customHeight="1" x14ac:dyDescent="0.2">
      <c r="N3" s="41"/>
    </row>
    <row r="4" spans="1:20" s="40" customFormat="1" ht="14.25" customHeight="1" x14ac:dyDescent="0.2">
      <c r="A4" s="1772" t="s">
        <v>153</v>
      </c>
      <c r="B4" s="1772"/>
      <c r="C4" s="1772"/>
      <c r="D4" s="42"/>
      <c r="K4" s="1772" t="s">
        <v>154</v>
      </c>
      <c r="L4" s="1772"/>
      <c r="M4" s="1772"/>
      <c r="N4" s="1772"/>
    </row>
    <row r="5" spans="1:20" s="40" customFormat="1" ht="12" customHeight="1" x14ac:dyDescent="0.2">
      <c r="A5" s="1773"/>
      <c r="B5" s="1773"/>
      <c r="C5" s="1773"/>
      <c r="D5" s="1773"/>
      <c r="E5" s="43"/>
      <c r="J5" s="1774"/>
      <c r="K5" s="1774"/>
      <c r="L5" s="1774"/>
      <c r="M5" s="1774"/>
      <c r="N5" s="1774"/>
    </row>
    <row r="6" spans="1:20" s="40" customFormat="1" x14ac:dyDescent="0.2">
      <c r="A6" s="1768"/>
      <c r="B6" s="1768"/>
      <c r="C6" s="1768"/>
      <c r="D6" s="1768"/>
      <c r="J6" s="1768"/>
      <c r="K6" s="1768"/>
      <c r="L6" s="1768"/>
      <c r="M6" s="1768"/>
      <c r="N6" s="1768"/>
      <c r="P6" s="43" t="s">
        <v>143</v>
      </c>
      <c r="Q6" s="43" t="s">
        <v>143</v>
      </c>
    </row>
    <row r="7" spans="1:20" s="40" customFormat="1" ht="17.25" customHeight="1" x14ac:dyDescent="0.2">
      <c r="A7" s="44"/>
      <c r="B7" s="45"/>
      <c r="C7" s="43"/>
      <c r="D7" s="43"/>
      <c r="K7" s="44"/>
      <c r="L7" s="44"/>
      <c r="M7" s="44"/>
      <c r="N7" s="45"/>
    </row>
    <row r="8" spans="1:20" s="40" customFormat="1" ht="16.5" customHeight="1" x14ac:dyDescent="0.2">
      <c r="A8" s="40" t="s">
        <v>155</v>
      </c>
      <c r="B8" s="46"/>
      <c r="C8" s="46"/>
      <c r="D8" s="46"/>
      <c r="L8" s="46"/>
      <c r="M8" s="46"/>
      <c r="N8" s="41" t="s">
        <v>155</v>
      </c>
    </row>
    <row r="9" spans="1:20" s="40" customFormat="1" ht="15.75" customHeight="1" x14ac:dyDescent="0.2">
      <c r="F9" s="47"/>
    </row>
    <row r="10" spans="1:20" s="40" customFormat="1" ht="33.75" x14ac:dyDescent="0.2">
      <c r="A10" s="48" t="s">
        <v>156</v>
      </c>
      <c r="B10" s="46"/>
      <c r="D10" s="1768" t="s">
        <v>157</v>
      </c>
      <c r="E10" s="1768"/>
      <c r="F10" s="1768"/>
      <c r="G10" s="1768"/>
      <c r="H10" s="1768"/>
      <c r="I10" s="1768"/>
      <c r="J10" s="1768"/>
      <c r="K10" s="1768"/>
      <c r="L10" s="1768"/>
      <c r="M10" s="1768"/>
      <c r="N10" s="1768"/>
      <c r="R10" s="43" t="s">
        <v>157</v>
      </c>
    </row>
    <row r="11" spans="1:20" s="40" customFormat="1" ht="15" customHeight="1" x14ac:dyDescent="0.2">
      <c r="A11" s="49" t="s">
        <v>158</v>
      </c>
      <c r="D11" s="44" t="s">
        <v>159</v>
      </c>
      <c r="E11" s="44"/>
      <c r="F11" s="50"/>
      <c r="G11" s="50"/>
      <c r="H11" s="50"/>
      <c r="I11" s="50"/>
      <c r="J11" s="50"/>
      <c r="K11" s="50"/>
      <c r="L11" s="50"/>
      <c r="M11" s="50"/>
      <c r="N11" s="50"/>
    </row>
    <row r="12" spans="1:20" s="40" customFormat="1" ht="8.25" customHeight="1" x14ac:dyDescent="0.2">
      <c r="A12" s="49"/>
      <c r="F12" s="46"/>
      <c r="G12" s="46"/>
      <c r="H12" s="46"/>
      <c r="I12" s="46"/>
      <c r="J12" s="46"/>
      <c r="K12" s="46"/>
      <c r="L12" s="46"/>
      <c r="M12" s="46"/>
      <c r="N12" s="46"/>
    </row>
    <row r="13" spans="1:20" s="40" customFormat="1" x14ac:dyDescent="0.2">
      <c r="A13" s="1769" t="s">
        <v>20</v>
      </c>
      <c r="B13" s="1769"/>
      <c r="C13" s="1769"/>
      <c r="D13" s="1769"/>
      <c r="E13" s="1769"/>
      <c r="F13" s="1769"/>
      <c r="G13" s="1769"/>
      <c r="H13" s="1769"/>
      <c r="I13" s="1769"/>
      <c r="J13" s="1769"/>
      <c r="K13" s="1769"/>
      <c r="L13" s="1769"/>
      <c r="M13" s="1769"/>
      <c r="N13" s="1769"/>
      <c r="S13" s="43" t="s">
        <v>20</v>
      </c>
    </row>
    <row r="14" spans="1:20" s="40" customFormat="1" x14ac:dyDescent="0.2">
      <c r="A14" s="1770" t="s">
        <v>139</v>
      </c>
      <c r="B14" s="1770"/>
      <c r="C14" s="1770"/>
      <c r="D14" s="1770"/>
      <c r="E14" s="1770"/>
      <c r="F14" s="1770"/>
      <c r="G14" s="1770"/>
      <c r="H14" s="1770"/>
      <c r="I14" s="1770"/>
      <c r="J14" s="1770"/>
      <c r="K14" s="1770"/>
      <c r="L14" s="1770"/>
      <c r="M14" s="1770"/>
      <c r="N14" s="1770"/>
    </row>
    <row r="15" spans="1:20" s="40" customFormat="1" ht="8.25" customHeight="1" x14ac:dyDescent="0.2">
      <c r="A15" s="51"/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</row>
    <row r="16" spans="1:20" s="40" customFormat="1" x14ac:dyDescent="0.2">
      <c r="A16" s="1769" t="s">
        <v>3591</v>
      </c>
      <c r="B16" s="1769"/>
      <c r="C16" s="1769"/>
      <c r="D16" s="1769"/>
      <c r="E16" s="1769"/>
      <c r="F16" s="1769"/>
      <c r="G16" s="1769"/>
      <c r="H16" s="1769"/>
      <c r="I16" s="1769"/>
      <c r="J16" s="1769"/>
      <c r="K16" s="1769"/>
      <c r="L16" s="1769"/>
      <c r="M16" s="1769"/>
      <c r="N16" s="1769"/>
      <c r="T16" s="43" t="s">
        <v>3591</v>
      </c>
    </row>
    <row r="17" spans="1:21" s="40" customFormat="1" x14ac:dyDescent="0.2">
      <c r="A17" s="1770" t="s">
        <v>142</v>
      </c>
      <c r="B17" s="1770"/>
      <c r="C17" s="1770"/>
      <c r="D17" s="1770"/>
      <c r="E17" s="1770"/>
      <c r="F17" s="1770"/>
      <c r="G17" s="1770"/>
      <c r="H17" s="1770"/>
      <c r="I17" s="1770"/>
      <c r="J17" s="1770"/>
      <c r="K17" s="1770"/>
      <c r="L17" s="1770"/>
      <c r="M17" s="1770"/>
      <c r="N17" s="1770"/>
    </row>
    <row r="18" spans="1:21" s="40" customFormat="1" ht="24" customHeight="1" x14ac:dyDescent="0.25">
      <c r="A18" s="1771" t="s">
        <v>3592</v>
      </c>
      <c r="B18" s="1771"/>
      <c r="C18" s="1771"/>
      <c r="D18" s="1771"/>
      <c r="E18" s="1771"/>
      <c r="F18" s="1771"/>
      <c r="G18" s="1771"/>
      <c r="H18" s="1771"/>
      <c r="I18" s="1771"/>
      <c r="J18" s="1771"/>
      <c r="K18" s="1771"/>
      <c r="L18" s="1771"/>
      <c r="M18" s="1771"/>
      <c r="N18" s="1771"/>
    </row>
    <row r="19" spans="1:21" s="40" customFormat="1" ht="8.25" customHeight="1" x14ac:dyDescent="0.25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</row>
    <row r="20" spans="1:21" s="40" customFormat="1" x14ac:dyDescent="0.2">
      <c r="A20" s="1775" t="s">
        <v>606</v>
      </c>
      <c r="B20" s="1775"/>
      <c r="C20" s="1775"/>
      <c r="D20" s="1775"/>
      <c r="E20" s="1775"/>
      <c r="F20" s="1775"/>
      <c r="G20" s="1775"/>
      <c r="H20" s="1775"/>
      <c r="I20" s="1775"/>
      <c r="J20" s="1775"/>
      <c r="K20" s="1775"/>
      <c r="L20" s="1775"/>
      <c r="M20" s="1775"/>
      <c r="N20" s="1775"/>
      <c r="U20" s="43" t="s">
        <v>606</v>
      </c>
    </row>
    <row r="21" spans="1:21" s="40" customFormat="1" ht="13.5" customHeight="1" x14ac:dyDescent="0.2">
      <c r="A21" s="1770" t="s">
        <v>160</v>
      </c>
      <c r="B21" s="1770"/>
      <c r="C21" s="1770"/>
      <c r="D21" s="1770"/>
      <c r="E21" s="1770"/>
      <c r="F21" s="1770"/>
      <c r="G21" s="1770"/>
      <c r="H21" s="1770"/>
      <c r="I21" s="1770"/>
      <c r="J21" s="1770"/>
      <c r="K21" s="1770"/>
      <c r="L21" s="1770"/>
      <c r="M21" s="1770"/>
      <c r="N21" s="1770"/>
    </row>
    <row r="22" spans="1:21" s="40" customFormat="1" ht="15" customHeight="1" x14ac:dyDescent="0.2">
      <c r="A22" s="40" t="s">
        <v>161</v>
      </c>
      <c r="B22" s="53" t="s">
        <v>162</v>
      </c>
      <c r="C22" s="40" t="s">
        <v>163</v>
      </c>
      <c r="F22" s="43"/>
      <c r="G22" s="43"/>
      <c r="H22" s="43"/>
      <c r="I22" s="43"/>
      <c r="J22" s="43"/>
      <c r="K22" s="43"/>
      <c r="L22" s="43"/>
      <c r="M22" s="43"/>
      <c r="N22" s="43"/>
    </row>
    <row r="23" spans="1:21" s="40" customFormat="1" ht="18" customHeight="1" x14ac:dyDescent="0.2">
      <c r="A23" s="40" t="s">
        <v>164</v>
      </c>
      <c r="B23" s="1775"/>
      <c r="C23" s="1775"/>
      <c r="D23" s="1775"/>
      <c r="E23" s="1775"/>
      <c r="F23" s="1775"/>
      <c r="G23" s="43"/>
      <c r="H23" s="43"/>
      <c r="I23" s="43"/>
      <c r="J23" s="43"/>
      <c r="K23" s="43"/>
      <c r="L23" s="43"/>
      <c r="M23" s="43"/>
      <c r="N23" s="43"/>
    </row>
    <row r="24" spans="1:21" s="40" customFormat="1" x14ac:dyDescent="0.2">
      <c r="B24" s="1776" t="s">
        <v>144</v>
      </c>
      <c r="C24" s="1776"/>
      <c r="D24" s="1776"/>
      <c r="E24" s="1776"/>
      <c r="F24" s="1776"/>
      <c r="G24" s="54"/>
      <c r="H24" s="54"/>
      <c r="I24" s="54"/>
      <c r="J24" s="54"/>
      <c r="K24" s="54"/>
      <c r="L24" s="54"/>
      <c r="M24" s="55"/>
      <c r="N24" s="54"/>
    </row>
    <row r="25" spans="1:21" s="40" customFormat="1" ht="9.75" customHeight="1" x14ac:dyDescent="0.2">
      <c r="D25" s="56"/>
      <c r="E25" s="56"/>
      <c r="F25" s="56"/>
      <c r="G25" s="56"/>
      <c r="H25" s="56"/>
      <c r="I25" s="56"/>
      <c r="J25" s="56"/>
      <c r="K25" s="56"/>
      <c r="L25" s="56"/>
      <c r="M25" s="54"/>
      <c r="N25" s="54"/>
    </row>
    <row r="26" spans="1:21" s="40" customFormat="1" x14ac:dyDescent="0.2">
      <c r="A26" s="57" t="s">
        <v>165</v>
      </c>
      <c r="D26" s="44" t="s">
        <v>301</v>
      </c>
      <c r="F26" s="58"/>
      <c r="G26" s="58"/>
      <c r="H26" s="58"/>
      <c r="I26" s="58"/>
      <c r="J26" s="58"/>
      <c r="K26" s="58"/>
      <c r="L26" s="58"/>
      <c r="M26" s="58"/>
      <c r="N26" s="58"/>
    </row>
    <row r="27" spans="1:21" s="40" customFormat="1" ht="9.75" customHeight="1" x14ac:dyDescent="0.2"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</row>
    <row r="28" spans="1:21" s="40" customFormat="1" ht="12.75" customHeight="1" x14ac:dyDescent="0.2">
      <c r="A28" s="57" t="s">
        <v>166</v>
      </c>
      <c r="C28" s="59">
        <v>339.23</v>
      </c>
      <c r="D28" s="60" t="s">
        <v>3593</v>
      </c>
      <c r="E28" s="48" t="s">
        <v>167</v>
      </c>
      <c r="L28" s="61"/>
      <c r="M28" s="61"/>
    </row>
    <row r="29" spans="1:21" s="40" customFormat="1" ht="12.75" customHeight="1" x14ac:dyDescent="0.2">
      <c r="B29" s="40" t="s">
        <v>168</v>
      </c>
      <c r="C29" s="62"/>
      <c r="D29" s="63"/>
      <c r="E29" s="48"/>
    </row>
    <row r="30" spans="1:21" s="40" customFormat="1" ht="12.75" customHeight="1" x14ac:dyDescent="0.2">
      <c r="B30" s="40" t="s">
        <v>169</v>
      </c>
      <c r="C30" s="59">
        <v>339.23</v>
      </c>
      <c r="D30" s="60" t="s">
        <v>3593</v>
      </c>
      <c r="E30" s="48" t="s">
        <v>167</v>
      </c>
      <c r="G30" s="40" t="s">
        <v>170</v>
      </c>
      <c r="L30" s="59">
        <v>0</v>
      </c>
      <c r="M30" s="60" t="s">
        <v>3594</v>
      </c>
      <c r="N30" s="48" t="s">
        <v>167</v>
      </c>
    </row>
    <row r="31" spans="1:21" s="40" customFormat="1" ht="12.75" customHeight="1" x14ac:dyDescent="0.2">
      <c r="B31" s="40" t="s">
        <v>140</v>
      </c>
      <c r="C31" s="59">
        <v>0</v>
      </c>
      <c r="D31" s="64" t="s">
        <v>171</v>
      </c>
      <c r="E31" s="48" t="s">
        <v>167</v>
      </c>
      <c r="G31" s="40" t="s">
        <v>172</v>
      </c>
      <c r="L31" s="65"/>
      <c r="M31" s="65">
        <v>96.51</v>
      </c>
      <c r="N31" s="49" t="s">
        <v>173</v>
      </c>
    </row>
    <row r="32" spans="1:21" s="40" customFormat="1" ht="12.75" customHeight="1" x14ac:dyDescent="0.2">
      <c r="B32" s="40" t="s">
        <v>146</v>
      </c>
      <c r="C32" s="59">
        <v>0</v>
      </c>
      <c r="D32" s="64" t="s">
        <v>171</v>
      </c>
      <c r="E32" s="48" t="s">
        <v>167</v>
      </c>
      <c r="G32" s="40" t="s">
        <v>174</v>
      </c>
      <c r="L32" s="65"/>
      <c r="M32" s="65">
        <v>13.83</v>
      </c>
      <c r="N32" s="49" t="s">
        <v>173</v>
      </c>
    </row>
    <row r="33" spans="1:29" s="40" customFormat="1" ht="12.75" customHeight="1" x14ac:dyDescent="0.2">
      <c r="B33" s="40" t="s">
        <v>147</v>
      </c>
      <c r="C33" s="59">
        <v>0</v>
      </c>
      <c r="D33" s="60" t="s">
        <v>171</v>
      </c>
      <c r="E33" s="48" t="s">
        <v>167</v>
      </c>
      <c r="G33" s="40" t="s">
        <v>175</v>
      </c>
      <c r="L33" s="1777"/>
      <c r="M33" s="1777"/>
    </row>
    <row r="34" spans="1:29" s="40" customFormat="1" ht="9.75" customHeight="1" x14ac:dyDescent="0.2">
      <c r="A34" s="66"/>
    </row>
    <row r="35" spans="1:29" s="40" customFormat="1" ht="36" customHeight="1" x14ac:dyDescent="0.2">
      <c r="A35" s="1778" t="s">
        <v>8</v>
      </c>
      <c r="B35" s="1778" t="s">
        <v>145</v>
      </c>
      <c r="C35" s="1778" t="s">
        <v>176</v>
      </c>
      <c r="D35" s="1778"/>
      <c r="E35" s="1778"/>
      <c r="F35" s="1778" t="s">
        <v>177</v>
      </c>
      <c r="G35" s="1778" t="s">
        <v>178</v>
      </c>
      <c r="H35" s="1778"/>
      <c r="I35" s="1778"/>
      <c r="J35" s="1778" t="s">
        <v>179</v>
      </c>
      <c r="K35" s="1778"/>
      <c r="L35" s="1778"/>
      <c r="M35" s="1778" t="s">
        <v>180</v>
      </c>
      <c r="N35" s="1778" t="s">
        <v>181</v>
      </c>
    </row>
    <row r="36" spans="1:29" s="40" customFormat="1" ht="36.75" customHeight="1" x14ac:dyDescent="0.2">
      <c r="A36" s="1778"/>
      <c r="B36" s="1778"/>
      <c r="C36" s="1778"/>
      <c r="D36" s="1778"/>
      <c r="E36" s="1778"/>
      <c r="F36" s="1778"/>
      <c r="G36" s="1778"/>
      <c r="H36" s="1778"/>
      <c r="I36" s="1778"/>
      <c r="J36" s="1778"/>
      <c r="K36" s="1778"/>
      <c r="L36" s="1778"/>
      <c r="M36" s="1778"/>
      <c r="N36" s="1778"/>
    </row>
    <row r="37" spans="1:29" s="40" customFormat="1" ht="45" x14ac:dyDescent="0.2">
      <c r="A37" s="1778"/>
      <c r="B37" s="1778"/>
      <c r="C37" s="1778"/>
      <c r="D37" s="1778"/>
      <c r="E37" s="1778"/>
      <c r="F37" s="1778"/>
      <c r="G37" s="67" t="s">
        <v>182</v>
      </c>
      <c r="H37" s="67" t="s">
        <v>183</v>
      </c>
      <c r="I37" s="67" t="s">
        <v>184</v>
      </c>
      <c r="J37" s="67" t="s">
        <v>182</v>
      </c>
      <c r="K37" s="67" t="s">
        <v>183</v>
      </c>
      <c r="L37" s="67" t="s">
        <v>148</v>
      </c>
      <c r="M37" s="1778"/>
      <c r="N37" s="1778"/>
    </row>
    <row r="38" spans="1:29" s="40" customFormat="1" x14ac:dyDescent="0.2">
      <c r="A38" s="68">
        <v>1</v>
      </c>
      <c r="B38" s="68">
        <v>2</v>
      </c>
      <c r="C38" s="1781">
        <v>3</v>
      </c>
      <c r="D38" s="1781"/>
      <c r="E38" s="1781"/>
      <c r="F38" s="68">
        <v>4</v>
      </c>
      <c r="G38" s="68">
        <v>5</v>
      </c>
      <c r="H38" s="68">
        <v>6</v>
      </c>
      <c r="I38" s="68">
        <v>7</v>
      </c>
      <c r="J38" s="68">
        <v>8</v>
      </c>
      <c r="K38" s="68">
        <v>9</v>
      </c>
      <c r="L38" s="68">
        <v>10</v>
      </c>
      <c r="M38" s="68">
        <v>11</v>
      </c>
      <c r="N38" s="68">
        <v>12</v>
      </c>
    </row>
    <row r="39" spans="1:29" s="40" customFormat="1" ht="12" x14ac:dyDescent="0.2">
      <c r="A39" s="1782" t="s">
        <v>3595</v>
      </c>
      <c r="B39" s="1783"/>
      <c r="C39" s="1783"/>
      <c r="D39" s="1783"/>
      <c r="E39" s="1783"/>
      <c r="F39" s="1783"/>
      <c r="G39" s="1783"/>
      <c r="H39" s="1783"/>
      <c r="I39" s="1783"/>
      <c r="J39" s="1783"/>
      <c r="K39" s="1783"/>
      <c r="L39" s="1783"/>
      <c r="M39" s="1783"/>
      <c r="N39" s="1784"/>
      <c r="V39" s="43" t="s">
        <v>3595</v>
      </c>
    </row>
    <row r="40" spans="1:29" s="40" customFormat="1" x14ac:dyDescent="0.2">
      <c r="A40" s="1801" t="s">
        <v>494</v>
      </c>
      <c r="B40" s="1802"/>
      <c r="C40" s="1802"/>
      <c r="D40" s="1802"/>
      <c r="E40" s="1802"/>
      <c r="F40" s="1802"/>
      <c r="G40" s="1802"/>
      <c r="H40" s="1802"/>
      <c r="I40" s="1802"/>
      <c r="J40" s="1802"/>
      <c r="K40" s="1802"/>
      <c r="L40" s="1802"/>
      <c r="M40" s="1802"/>
      <c r="N40" s="1803"/>
      <c r="W40" s="43" t="s">
        <v>494</v>
      </c>
    </row>
    <row r="41" spans="1:29" s="40" customFormat="1" ht="56.25" x14ac:dyDescent="0.2">
      <c r="A41" s="69" t="s">
        <v>185</v>
      </c>
      <c r="B41" s="70" t="s">
        <v>1349</v>
      </c>
      <c r="C41" s="1785" t="s">
        <v>1350</v>
      </c>
      <c r="D41" s="1785"/>
      <c r="E41" s="1785"/>
      <c r="F41" s="71" t="s">
        <v>455</v>
      </c>
      <c r="G41" s="71"/>
      <c r="H41" s="71"/>
      <c r="I41" s="71" t="s">
        <v>3596</v>
      </c>
      <c r="J41" s="72"/>
      <c r="K41" s="71"/>
      <c r="L41" s="72"/>
      <c r="M41" s="73"/>
      <c r="N41" s="74"/>
      <c r="X41" s="43" t="s">
        <v>1350</v>
      </c>
    </row>
    <row r="42" spans="1:29" s="40" customFormat="1" x14ac:dyDescent="0.2">
      <c r="A42" s="75"/>
      <c r="B42" s="76"/>
      <c r="C42" s="1768" t="s">
        <v>3597</v>
      </c>
      <c r="D42" s="1768"/>
      <c r="E42" s="1768"/>
      <c r="F42" s="1768"/>
      <c r="G42" s="1768"/>
      <c r="H42" s="1768"/>
      <c r="I42" s="1768"/>
      <c r="J42" s="1768"/>
      <c r="K42" s="1768"/>
      <c r="L42" s="1768"/>
      <c r="M42" s="1768"/>
      <c r="N42" s="1779"/>
      <c r="Y42" s="43" t="s">
        <v>3597</v>
      </c>
    </row>
    <row r="43" spans="1:29" s="40" customFormat="1" ht="33.75" x14ac:dyDescent="0.2">
      <c r="A43" s="77"/>
      <c r="B43" s="78" t="s">
        <v>310</v>
      </c>
      <c r="C43" s="1768" t="s">
        <v>311</v>
      </c>
      <c r="D43" s="1768"/>
      <c r="E43" s="1768"/>
      <c r="F43" s="1768"/>
      <c r="G43" s="1768"/>
      <c r="H43" s="1768"/>
      <c r="I43" s="1768"/>
      <c r="J43" s="1768"/>
      <c r="K43" s="1768"/>
      <c r="L43" s="1768"/>
      <c r="M43" s="1768"/>
      <c r="N43" s="1779"/>
      <c r="Z43" s="43" t="s">
        <v>311</v>
      </c>
    </row>
    <row r="44" spans="1:29" s="40" customFormat="1" x14ac:dyDescent="0.2">
      <c r="A44" s="79"/>
      <c r="B44" s="78" t="s">
        <v>186</v>
      </c>
      <c r="C44" s="1768" t="s">
        <v>344</v>
      </c>
      <c r="D44" s="1768"/>
      <c r="E44" s="1768"/>
      <c r="F44" s="80"/>
      <c r="G44" s="80"/>
      <c r="H44" s="80"/>
      <c r="I44" s="80"/>
      <c r="J44" s="81">
        <v>7550.19</v>
      </c>
      <c r="K44" s="80" t="s">
        <v>313</v>
      </c>
      <c r="L44" s="81">
        <v>29.92</v>
      </c>
      <c r="M44" s="82"/>
      <c r="N44" s="83"/>
      <c r="AA44" s="43" t="s">
        <v>344</v>
      </c>
    </row>
    <row r="45" spans="1:29" s="40" customFormat="1" x14ac:dyDescent="0.2">
      <c r="A45" s="79"/>
      <c r="B45" s="78" t="s">
        <v>187</v>
      </c>
      <c r="C45" s="1768" t="s">
        <v>345</v>
      </c>
      <c r="D45" s="1768"/>
      <c r="E45" s="1768"/>
      <c r="F45" s="80"/>
      <c r="G45" s="80"/>
      <c r="H45" s="80"/>
      <c r="I45" s="80"/>
      <c r="J45" s="81">
        <v>884.25</v>
      </c>
      <c r="K45" s="80" t="s">
        <v>313</v>
      </c>
      <c r="L45" s="81">
        <v>3.5</v>
      </c>
      <c r="M45" s="82"/>
      <c r="N45" s="83"/>
      <c r="AA45" s="43" t="s">
        <v>345</v>
      </c>
    </row>
    <row r="46" spans="1:29" s="40" customFormat="1" x14ac:dyDescent="0.2">
      <c r="A46" s="79"/>
      <c r="B46" s="78"/>
      <c r="C46" s="1768" t="s">
        <v>348</v>
      </c>
      <c r="D46" s="1768"/>
      <c r="E46" s="1768"/>
      <c r="F46" s="80" t="s">
        <v>315</v>
      </c>
      <c r="G46" s="80" t="s">
        <v>1353</v>
      </c>
      <c r="H46" s="80" t="s">
        <v>313</v>
      </c>
      <c r="I46" s="80" t="s">
        <v>3598</v>
      </c>
      <c r="J46" s="81"/>
      <c r="K46" s="80"/>
      <c r="L46" s="81"/>
      <c r="M46" s="82"/>
      <c r="N46" s="83"/>
      <c r="AB46" s="43" t="s">
        <v>348</v>
      </c>
    </row>
    <row r="47" spans="1:29" s="40" customFormat="1" x14ac:dyDescent="0.2">
      <c r="A47" s="79"/>
      <c r="B47" s="78"/>
      <c r="C47" s="1780" t="s">
        <v>318</v>
      </c>
      <c r="D47" s="1780"/>
      <c r="E47" s="1780"/>
      <c r="F47" s="84"/>
      <c r="G47" s="84"/>
      <c r="H47" s="84"/>
      <c r="I47" s="84"/>
      <c r="J47" s="85">
        <v>7550.19</v>
      </c>
      <c r="K47" s="84"/>
      <c r="L47" s="85">
        <v>29.92</v>
      </c>
      <c r="M47" s="86"/>
      <c r="N47" s="87"/>
      <c r="AC47" s="43" t="s">
        <v>318</v>
      </c>
    </row>
    <row r="48" spans="1:29" s="40" customFormat="1" x14ac:dyDescent="0.2">
      <c r="A48" s="79"/>
      <c r="B48" s="78"/>
      <c r="C48" s="1768" t="s">
        <v>319</v>
      </c>
      <c r="D48" s="1768"/>
      <c r="E48" s="1768"/>
      <c r="F48" s="80"/>
      <c r="G48" s="80"/>
      <c r="H48" s="80"/>
      <c r="I48" s="80"/>
      <c r="J48" s="81"/>
      <c r="K48" s="80"/>
      <c r="L48" s="81">
        <v>3.5</v>
      </c>
      <c r="M48" s="82"/>
      <c r="N48" s="83"/>
      <c r="AB48" s="43" t="s">
        <v>319</v>
      </c>
    </row>
    <row r="49" spans="1:30" s="40" customFormat="1" ht="33.75" x14ac:dyDescent="0.2">
      <c r="A49" s="79"/>
      <c r="B49" s="78" t="s">
        <v>460</v>
      </c>
      <c r="C49" s="1768" t="s">
        <v>461</v>
      </c>
      <c r="D49" s="1768"/>
      <c r="E49" s="1768"/>
      <c r="F49" s="80" t="s">
        <v>322</v>
      </c>
      <c r="G49" s="80" t="s">
        <v>462</v>
      </c>
      <c r="H49" s="80"/>
      <c r="I49" s="80" t="s">
        <v>462</v>
      </c>
      <c r="J49" s="81"/>
      <c r="K49" s="80"/>
      <c r="L49" s="81">
        <v>3.22</v>
      </c>
      <c r="M49" s="82"/>
      <c r="N49" s="83"/>
      <c r="AB49" s="43" t="s">
        <v>461</v>
      </c>
    </row>
    <row r="50" spans="1:30" s="40" customFormat="1" ht="33.75" x14ac:dyDescent="0.2">
      <c r="A50" s="79"/>
      <c r="B50" s="78" t="s">
        <v>463</v>
      </c>
      <c r="C50" s="1768" t="s">
        <v>464</v>
      </c>
      <c r="D50" s="1768"/>
      <c r="E50" s="1768"/>
      <c r="F50" s="80" t="s">
        <v>322</v>
      </c>
      <c r="G50" s="80" t="s">
        <v>465</v>
      </c>
      <c r="H50" s="80"/>
      <c r="I50" s="80" t="s">
        <v>465</v>
      </c>
      <c r="J50" s="81"/>
      <c r="K50" s="80"/>
      <c r="L50" s="81">
        <v>1.61</v>
      </c>
      <c r="M50" s="82"/>
      <c r="N50" s="83"/>
      <c r="AB50" s="43" t="s">
        <v>464</v>
      </c>
    </row>
    <row r="51" spans="1:30" s="40" customFormat="1" x14ac:dyDescent="0.2">
      <c r="A51" s="88"/>
      <c r="B51" s="89"/>
      <c r="C51" s="1785" t="s">
        <v>327</v>
      </c>
      <c r="D51" s="1785"/>
      <c r="E51" s="1785"/>
      <c r="F51" s="71"/>
      <c r="G51" s="71"/>
      <c r="H51" s="71"/>
      <c r="I51" s="71"/>
      <c r="J51" s="72"/>
      <c r="K51" s="71"/>
      <c r="L51" s="72">
        <v>34.75</v>
      </c>
      <c r="M51" s="86"/>
      <c r="N51" s="74"/>
      <c r="AD51" s="43" t="s">
        <v>327</v>
      </c>
    </row>
    <row r="52" spans="1:30" s="40" customFormat="1" ht="45" x14ac:dyDescent="0.2">
      <c r="A52" s="69" t="s">
        <v>186</v>
      </c>
      <c r="B52" s="70" t="s">
        <v>495</v>
      </c>
      <c r="C52" s="1785" t="s">
        <v>496</v>
      </c>
      <c r="D52" s="1785"/>
      <c r="E52" s="1785"/>
      <c r="F52" s="71" t="s">
        <v>455</v>
      </c>
      <c r="G52" s="71"/>
      <c r="H52" s="71"/>
      <c r="I52" s="71" t="s">
        <v>3599</v>
      </c>
      <c r="J52" s="72"/>
      <c r="K52" s="71"/>
      <c r="L52" s="72"/>
      <c r="M52" s="73"/>
      <c r="N52" s="74"/>
      <c r="X52" s="43" t="s">
        <v>496</v>
      </c>
    </row>
    <row r="53" spans="1:30" s="40" customFormat="1" x14ac:dyDescent="0.2">
      <c r="A53" s="75"/>
      <c r="B53" s="76"/>
      <c r="C53" s="1768" t="s">
        <v>3600</v>
      </c>
      <c r="D53" s="1768"/>
      <c r="E53" s="1768"/>
      <c r="F53" s="1768"/>
      <c r="G53" s="1768"/>
      <c r="H53" s="1768"/>
      <c r="I53" s="1768"/>
      <c r="J53" s="1768"/>
      <c r="K53" s="1768"/>
      <c r="L53" s="1768"/>
      <c r="M53" s="1768"/>
      <c r="N53" s="1779"/>
      <c r="Y53" s="43" t="s">
        <v>3600</v>
      </c>
    </row>
    <row r="54" spans="1:30" s="40" customFormat="1" ht="33.75" x14ac:dyDescent="0.2">
      <c r="A54" s="77"/>
      <c r="B54" s="78" t="s">
        <v>310</v>
      </c>
      <c r="C54" s="1768" t="s">
        <v>311</v>
      </c>
      <c r="D54" s="1768"/>
      <c r="E54" s="1768"/>
      <c r="F54" s="1768"/>
      <c r="G54" s="1768"/>
      <c r="H54" s="1768"/>
      <c r="I54" s="1768"/>
      <c r="J54" s="1768"/>
      <c r="K54" s="1768"/>
      <c r="L54" s="1768"/>
      <c r="M54" s="1768"/>
      <c r="N54" s="1779"/>
      <c r="Z54" s="43" t="s">
        <v>311</v>
      </c>
    </row>
    <row r="55" spans="1:30" s="40" customFormat="1" x14ac:dyDescent="0.2">
      <c r="A55" s="79"/>
      <c r="B55" s="78" t="s">
        <v>186</v>
      </c>
      <c r="C55" s="1768" t="s">
        <v>344</v>
      </c>
      <c r="D55" s="1768"/>
      <c r="E55" s="1768"/>
      <c r="F55" s="80"/>
      <c r="G55" s="80"/>
      <c r="H55" s="80"/>
      <c r="I55" s="80"/>
      <c r="J55" s="81">
        <v>5532.96</v>
      </c>
      <c r="K55" s="80" t="s">
        <v>313</v>
      </c>
      <c r="L55" s="81">
        <v>13.62</v>
      </c>
      <c r="M55" s="82"/>
      <c r="N55" s="83"/>
      <c r="AA55" s="43" t="s">
        <v>344</v>
      </c>
    </row>
    <row r="56" spans="1:30" s="40" customFormat="1" x14ac:dyDescent="0.2">
      <c r="A56" s="79"/>
      <c r="B56" s="78" t="s">
        <v>187</v>
      </c>
      <c r="C56" s="1768" t="s">
        <v>345</v>
      </c>
      <c r="D56" s="1768"/>
      <c r="E56" s="1768"/>
      <c r="F56" s="80"/>
      <c r="G56" s="80"/>
      <c r="H56" s="80"/>
      <c r="I56" s="80"/>
      <c r="J56" s="81">
        <v>648</v>
      </c>
      <c r="K56" s="80" t="s">
        <v>313</v>
      </c>
      <c r="L56" s="81">
        <v>1.6</v>
      </c>
      <c r="M56" s="82"/>
      <c r="N56" s="83"/>
      <c r="AA56" s="43" t="s">
        <v>345</v>
      </c>
    </row>
    <row r="57" spans="1:30" s="40" customFormat="1" x14ac:dyDescent="0.2">
      <c r="A57" s="79"/>
      <c r="B57" s="78"/>
      <c r="C57" s="1768" t="s">
        <v>348</v>
      </c>
      <c r="D57" s="1768"/>
      <c r="E57" s="1768"/>
      <c r="F57" s="80" t="s">
        <v>315</v>
      </c>
      <c r="G57" s="80" t="s">
        <v>501</v>
      </c>
      <c r="H57" s="80" t="s">
        <v>313</v>
      </c>
      <c r="I57" s="80" t="s">
        <v>3601</v>
      </c>
      <c r="J57" s="81"/>
      <c r="K57" s="80"/>
      <c r="L57" s="81"/>
      <c r="M57" s="82"/>
      <c r="N57" s="83"/>
      <c r="AB57" s="43" t="s">
        <v>348</v>
      </c>
    </row>
    <row r="58" spans="1:30" s="40" customFormat="1" x14ac:dyDescent="0.2">
      <c r="A58" s="79"/>
      <c r="B58" s="78"/>
      <c r="C58" s="1780" t="s">
        <v>318</v>
      </c>
      <c r="D58" s="1780"/>
      <c r="E58" s="1780"/>
      <c r="F58" s="84"/>
      <c r="G58" s="84"/>
      <c r="H58" s="84"/>
      <c r="I58" s="84"/>
      <c r="J58" s="85">
        <v>5532.96</v>
      </c>
      <c r="K58" s="84"/>
      <c r="L58" s="85">
        <v>13.62</v>
      </c>
      <c r="M58" s="86"/>
      <c r="N58" s="87"/>
      <c r="AC58" s="43" t="s">
        <v>318</v>
      </c>
    </row>
    <row r="59" spans="1:30" s="40" customFormat="1" x14ac:dyDescent="0.2">
      <c r="A59" s="79"/>
      <c r="B59" s="78"/>
      <c r="C59" s="1768" t="s">
        <v>319</v>
      </c>
      <c r="D59" s="1768"/>
      <c r="E59" s="1768"/>
      <c r="F59" s="80"/>
      <c r="G59" s="80"/>
      <c r="H59" s="80"/>
      <c r="I59" s="80"/>
      <c r="J59" s="81"/>
      <c r="K59" s="80"/>
      <c r="L59" s="81">
        <v>1.6</v>
      </c>
      <c r="M59" s="82"/>
      <c r="N59" s="83"/>
      <c r="AB59" s="43" t="s">
        <v>319</v>
      </c>
    </row>
    <row r="60" spans="1:30" s="40" customFormat="1" ht="33.75" x14ac:dyDescent="0.2">
      <c r="A60" s="79"/>
      <c r="B60" s="78" t="s">
        <v>460</v>
      </c>
      <c r="C60" s="1768" t="s">
        <v>461</v>
      </c>
      <c r="D60" s="1768"/>
      <c r="E60" s="1768"/>
      <c r="F60" s="80" t="s">
        <v>322</v>
      </c>
      <c r="G60" s="80" t="s">
        <v>462</v>
      </c>
      <c r="H60" s="80"/>
      <c r="I60" s="80" t="s">
        <v>462</v>
      </c>
      <c r="J60" s="81"/>
      <c r="K60" s="80"/>
      <c r="L60" s="81">
        <v>1.47</v>
      </c>
      <c r="M60" s="82"/>
      <c r="N60" s="83"/>
      <c r="AB60" s="43" t="s">
        <v>461</v>
      </c>
    </row>
    <row r="61" spans="1:30" s="40" customFormat="1" ht="33.75" x14ac:dyDescent="0.2">
      <c r="A61" s="79"/>
      <c r="B61" s="78" t="s">
        <v>463</v>
      </c>
      <c r="C61" s="1768" t="s">
        <v>464</v>
      </c>
      <c r="D61" s="1768"/>
      <c r="E61" s="1768"/>
      <c r="F61" s="80" t="s">
        <v>322</v>
      </c>
      <c r="G61" s="80" t="s">
        <v>465</v>
      </c>
      <c r="H61" s="80"/>
      <c r="I61" s="80" t="s">
        <v>465</v>
      </c>
      <c r="J61" s="81"/>
      <c r="K61" s="80"/>
      <c r="L61" s="81">
        <v>0.74</v>
      </c>
      <c r="M61" s="82"/>
      <c r="N61" s="83"/>
      <c r="AB61" s="43" t="s">
        <v>464</v>
      </c>
    </row>
    <row r="62" spans="1:30" s="40" customFormat="1" x14ac:dyDescent="0.2">
      <c r="A62" s="88"/>
      <c r="B62" s="89"/>
      <c r="C62" s="1785" t="s">
        <v>327</v>
      </c>
      <c r="D62" s="1785"/>
      <c r="E62" s="1785"/>
      <c r="F62" s="71"/>
      <c r="G62" s="71"/>
      <c r="H62" s="71"/>
      <c r="I62" s="71"/>
      <c r="J62" s="72"/>
      <c r="K62" s="71"/>
      <c r="L62" s="72">
        <v>15.83</v>
      </c>
      <c r="M62" s="86"/>
      <c r="N62" s="74"/>
      <c r="AD62" s="43" t="s">
        <v>327</v>
      </c>
    </row>
    <row r="63" spans="1:30" s="40" customFormat="1" ht="56.25" x14ac:dyDescent="0.2">
      <c r="A63" s="69" t="s">
        <v>187</v>
      </c>
      <c r="B63" s="70" t="s">
        <v>1358</v>
      </c>
      <c r="C63" s="1785" t="s">
        <v>1359</v>
      </c>
      <c r="D63" s="1785"/>
      <c r="E63" s="1785"/>
      <c r="F63" s="71" t="s">
        <v>455</v>
      </c>
      <c r="G63" s="71"/>
      <c r="H63" s="71"/>
      <c r="I63" s="71" t="s">
        <v>3599</v>
      </c>
      <c r="J63" s="72"/>
      <c r="K63" s="71"/>
      <c r="L63" s="72"/>
      <c r="M63" s="73"/>
      <c r="N63" s="74"/>
      <c r="X63" s="43" t="s">
        <v>1359</v>
      </c>
    </row>
    <row r="64" spans="1:30" s="40" customFormat="1" x14ac:dyDescent="0.2">
      <c r="A64" s="75"/>
      <c r="B64" s="76"/>
      <c r="C64" s="1768" t="s">
        <v>3600</v>
      </c>
      <c r="D64" s="1768"/>
      <c r="E64" s="1768"/>
      <c r="F64" s="1768"/>
      <c r="G64" s="1768"/>
      <c r="H64" s="1768"/>
      <c r="I64" s="1768"/>
      <c r="J64" s="1768"/>
      <c r="K64" s="1768"/>
      <c r="L64" s="1768"/>
      <c r="M64" s="1768"/>
      <c r="N64" s="1779"/>
      <c r="Y64" s="43" t="s">
        <v>3600</v>
      </c>
    </row>
    <row r="65" spans="1:30" s="40" customFormat="1" ht="33.75" x14ac:dyDescent="0.2">
      <c r="A65" s="77"/>
      <c r="B65" s="78" t="s">
        <v>310</v>
      </c>
      <c r="C65" s="1768" t="s">
        <v>311</v>
      </c>
      <c r="D65" s="1768"/>
      <c r="E65" s="1768"/>
      <c r="F65" s="1768"/>
      <c r="G65" s="1768"/>
      <c r="H65" s="1768"/>
      <c r="I65" s="1768"/>
      <c r="J65" s="1768"/>
      <c r="K65" s="1768"/>
      <c r="L65" s="1768"/>
      <c r="M65" s="1768"/>
      <c r="N65" s="1779"/>
      <c r="Z65" s="43" t="s">
        <v>311</v>
      </c>
    </row>
    <row r="66" spans="1:30" s="40" customFormat="1" x14ac:dyDescent="0.2">
      <c r="A66" s="79"/>
      <c r="B66" s="78" t="s">
        <v>186</v>
      </c>
      <c r="C66" s="1768" t="s">
        <v>344</v>
      </c>
      <c r="D66" s="1768"/>
      <c r="E66" s="1768"/>
      <c r="F66" s="80"/>
      <c r="G66" s="80"/>
      <c r="H66" s="80"/>
      <c r="I66" s="80"/>
      <c r="J66" s="81">
        <v>4264.99</v>
      </c>
      <c r="K66" s="80" t="s">
        <v>313</v>
      </c>
      <c r="L66" s="81">
        <v>10.5</v>
      </c>
      <c r="M66" s="82"/>
      <c r="N66" s="83"/>
      <c r="AA66" s="43" t="s">
        <v>344</v>
      </c>
    </row>
    <row r="67" spans="1:30" s="40" customFormat="1" x14ac:dyDescent="0.2">
      <c r="A67" s="79"/>
      <c r="B67" s="78" t="s">
        <v>187</v>
      </c>
      <c r="C67" s="1768" t="s">
        <v>345</v>
      </c>
      <c r="D67" s="1768"/>
      <c r="E67" s="1768"/>
      <c r="F67" s="80"/>
      <c r="G67" s="80"/>
      <c r="H67" s="80"/>
      <c r="I67" s="80"/>
      <c r="J67" s="81">
        <v>499.5</v>
      </c>
      <c r="K67" s="80" t="s">
        <v>313</v>
      </c>
      <c r="L67" s="81">
        <v>1.23</v>
      </c>
      <c r="M67" s="82"/>
      <c r="N67" s="83"/>
      <c r="AA67" s="43" t="s">
        <v>345</v>
      </c>
    </row>
    <row r="68" spans="1:30" s="40" customFormat="1" x14ac:dyDescent="0.2">
      <c r="A68" s="79"/>
      <c r="B68" s="78"/>
      <c r="C68" s="1768" t="s">
        <v>348</v>
      </c>
      <c r="D68" s="1768"/>
      <c r="E68" s="1768"/>
      <c r="F68" s="80" t="s">
        <v>315</v>
      </c>
      <c r="G68" s="80" t="s">
        <v>770</v>
      </c>
      <c r="H68" s="80" t="s">
        <v>313</v>
      </c>
      <c r="I68" s="80" t="s">
        <v>3602</v>
      </c>
      <c r="J68" s="81"/>
      <c r="K68" s="80"/>
      <c r="L68" s="81"/>
      <c r="M68" s="82"/>
      <c r="N68" s="83"/>
      <c r="AB68" s="43" t="s">
        <v>348</v>
      </c>
    </row>
    <row r="69" spans="1:30" s="40" customFormat="1" x14ac:dyDescent="0.2">
      <c r="A69" s="79"/>
      <c r="B69" s="78"/>
      <c r="C69" s="1780" t="s">
        <v>318</v>
      </c>
      <c r="D69" s="1780"/>
      <c r="E69" s="1780"/>
      <c r="F69" s="84"/>
      <c r="G69" s="84"/>
      <c r="H69" s="84"/>
      <c r="I69" s="84"/>
      <c r="J69" s="85">
        <v>4264.99</v>
      </c>
      <c r="K69" s="84"/>
      <c r="L69" s="85">
        <v>10.5</v>
      </c>
      <c r="M69" s="86"/>
      <c r="N69" s="87"/>
      <c r="AC69" s="43" t="s">
        <v>318</v>
      </c>
    </row>
    <row r="70" spans="1:30" s="40" customFormat="1" x14ac:dyDescent="0.2">
      <c r="A70" s="79"/>
      <c r="B70" s="78"/>
      <c r="C70" s="1768" t="s">
        <v>319</v>
      </c>
      <c r="D70" s="1768"/>
      <c r="E70" s="1768"/>
      <c r="F70" s="80"/>
      <c r="G70" s="80"/>
      <c r="H70" s="80"/>
      <c r="I70" s="80"/>
      <c r="J70" s="81"/>
      <c r="K70" s="80"/>
      <c r="L70" s="81">
        <v>1.23</v>
      </c>
      <c r="M70" s="82"/>
      <c r="N70" s="83"/>
      <c r="AB70" s="43" t="s">
        <v>319</v>
      </c>
    </row>
    <row r="71" spans="1:30" s="40" customFormat="1" ht="33.75" x14ac:dyDescent="0.2">
      <c r="A71" s="79"/>
      <c r="B71" s="78" t="s">
        <v>460</v>
      </c>
      <c r="C71" s="1768" t="s">
        <v>461</v>
      </c>
      <c r="D71" s="1768"/>
      <c r="E71" s="1768"/>
      <c r="F71" s="80" t="s">
        <v>322</v>
      </c>
      <c r="G71" s="80" t="s">
        <v>462</v>
      </c>
      <c r="H71" s="80"/>
      <c r="I71" s="80" t="s">
        <v>462</v>
      </c>
      <c r="J71" s="81"/>
      <c r="K71" s="80"/>
      <c r="L71" s="81">
        <v>1.1299999999999999</v>
      </c>
      <c r="M71" s="82"/>
      <c r="N71" s="83"/>
      <c r="AB71" s="43" t="s">
        <v>461</v>
      </c>
    </row>
    <row r="72" spans="1:30" s="40" customFormat="1" ht="33.75" x14ac:dyDescent="0.2">
      <c r="A72" s="79"/>
      <c r="B72" s="78" t="s">
        <v>463</v>
      </c>
      <c r="C72" s="1768" t="s">
        <v>464</v>
      </c>
      <c r="D72" s="1768"/>
      <c r="E72" s="1768"/>
      <c r="F72" s="80" t="s">
        <v>322</v>
      </c>
      <c r="G72" s="80" t="s">
        <v>465</v>
      </c>
      <c r="H72" s="80"/>
      <c r="I72" s="80" t="s">
        <v>465</v>
      </c>
      <c r="J72" s="81"/>
      <c r="K72" s="80"/>
      <c r="L72" s="81">
        <v>0.56999999999999995</v>
      </c>
      <c r="M72" s="82"/>
      <c r="N72" s="83"/>
      <c r="AB72" s="43" t="s">
        <v>464</v>
      </c>
    </row>
    <row r="73" spans="1:30" s="40" customFormat="1" x14ac:dyDescent="0.2">
      <c r="A73" s="88"/>
      <c r="B73" s="89"/>
      <c r="C73" s="1785" t="s">
        <v>327</v>
      </c>
      <c r="D73" s="1785"/>
      <c r="E73" s="1785"/>
      <c r="F73" s="71"/>
      <c r="G73" s="71"/>
      <c r="H73" s="71"/>
      <c r="I73" s="71"/>
      <c r="J73" s="72"/>
      <c r="K73" s="71"/>
      <c r="L73" s="72">
        <v>12.2</v>
      </c>
      <c r="M73" s="86"/>
      <c r="N73" s="74"/>
      <c r="AD73" s="43" t="s">
        <v>327</v>
      </c>
    </row>
    <row r="74" spans="1:30" s="40" customFormat="1" ht="22.5" x14ac:dyDescent="0.2">
      <c r="A74" s="69" t="s">
        <v>188</v>
      </c>
      <c r="B74" s="70" t="s">
        <v>507</v>
      </c>
      <c r="C74" s="1785" t="s">
        <v>508</v>
      </c>
      <c r="D74" s="1785"/>
      <c r="E74" s="1785"/>
      <c r="F74" s="71" t="s">
        <v>509</v>
      </c>
      <c r="G74" s="71"/>
      <c r="H74" s="71"/>
      <c r="I74" s="71" t="s">
        <v>3603</v>
      </c>
      <c r="J74" s="72"/>
      <c r="K74" s="71"/>
      <c r="L74" s="72"/>
      <c r="M74" s="73"/>
      <c r="N74" s="74"/>
      <c r="X74" s="43" t="s">
        <v>508</v>
      </c>
    </row>
    <row r="75" spans="1:30" s="40" customFormat="1" x14ac:dyDescent="0.2">
      <c r="A75" s="75"/>
      <c r="B75" s="76"/>
      <c r="C75" s="1768" t="s">
        <v>3604</v>
      </c>
      <c r="D75" s="1768"/>
      <c r="E75" s="1768"/>
      <c r="F75" s="1768"/>
      <c r="G75" s="1768"/>
      <c r="H75" s="1768"/>
      <c r="I75" s="1768"/>
      <c r="J75" s="1768"/>
      <c r="K75" s="1768"/>
      <c r="L75" s="1768"/>
      <c r="M75" s="1768"/>
      <c r="N75" s="1779"/>
      <c r="Y75" s="43" t="s">
        <v>3604</v>
      </c>
    </row>
    <row r="76" spans="1:30" s="40" customFormat="1" ht="33.75" x14ac:dyDescent="0.2">
      <c r="A76" s="77"/>
      <c r="B76" s="78" t="s">
        <v>310</v>
      </c>
      <c r="C76" s="1768" t="s">
        <v>311</v>
      </c>
      <c r="D76" s="1768"/>
      <c r="E76" s="1768"/>
      <c r="F76" s="1768"/>
      <c r="G76" s="1768"/>
      <c r="H76" s="1768"/>
      <c r="I76" s="1768"/>
      <c r="J76" s="1768"/>
      <c r="K76" s="1768"/>
      <c r="L76" s="1768"/>
      <c r="M76" s="1768"/>
      <c r="N76" s="1779"/>
      <c r="Z76" s="43" t="s">
        <v>311</v>
      </c>
    </row>
    <row r="77" spans="1:30" s="40" customFormat="1" x14ac:dyDescent="0.2">
      <c r="A77" s="79"/>
      <c r="B77" s="78" t="s">
        <v>185</v>
      </c>
      <c r="C77" s="1768" t="s">
        <v>312</v>
      </c>
      <c r="D77" s="1768"/>
      <c r="E77" s="1768"/>
      <c r="F77" s="80"/>
      <c r="G77" s="80"/>
      <c r="H77" s="80"/>
      <c r="I77" s="80"/>
      <c r="J77" s="81">
        <v>127.61</v>
      </c>
      <c r="K77" s="80" t="s">
        <v>313</v>
      </c>
      <c r="L77" s="81">
        <v>3.14</v>
      </c>
      <c r="M77" s="82"/>
      <c r="N77" s="83"/>
      <c r="AA77" s="43" t="s">
        <v>312</v>
      </c>
    </row>
    <row r="78" spans="1:30" s="40" customFormat="1" x14ac:dyDescent="0.2">
      <c r="A78" s="79"/>
      <c r="B78" s="78" t="s">
        <v>186</v>
      </c>
      <c r="C78" s="1768" t="s">
        <v>344</v>
      </c>
      <c r="D78" s="1768"/>
      <c r="E78" s="1768"/>
      <c r="F78" s="80"/>
      <c r="G78" s="80"/>
      <c r="H78" s="80"/>
      <c r="I78" s="80"/>
      <c r="J78" s="81">
        <v>288.58</v>
      </c>
      <c r="K78" s="80" t="s">
        <v>313</v>
      </c>
      <c r="L78" s="81">
        <v>7.11</v>
      </c>
      <c r="M78" s="82"/>
      <c r="N78" s="83"/>
      <c r="AA78" s="43" t="s">
        <v>344</v>
      </c>
    </row>
    <row r="79" spans="1:30" s="40" customFormat="1" x14ac:dyDescent="0.2">
      <c r="A79" s="79"/>
      <c r="B79" s="78" t="s">
        <v>187</v>
      </c>
      <c r="C79" s="1768" t="s">
        <v>345</v>
      </c>
      <c r="D79" s="1768"/>
      <c r="E79" s="1768"/>
      <c r="F79" s="80"/>
      <c r="G79" s="80"/>
      <c r="H79" s="80"/>
      <c r="I79" s="80"/>
      <c r="J79" s="81">
        <v>31.49</v>
      </c>
      <c r="K79" s="80" t="s">
        <v>313</v>
      </c>
      <c r="L79" s="81">
        <v>0.78</v>
      </c>
      <c r="M79" s="82"/>
      <c r="N79" s="83"/>
      <c r="AA79" s="43" t="s">
        <v>345</v>
      </c>
    </row>
    <row r="80" spans="1:30" s="40" customFormat="1" x14ac:dyDescent="0.2">
      <c r="A80" s="79"/>
      <c r="B80" s="78"/>
      <c r="C80" s="1768" t="s">
        <v>314</v>
      </c>
      <c r="D80" s="1768"/>
      <c r="E80" s="1768"/>
      <c r="F80" s="80" t="s">
        <v>315</v>
      </c>
      <c r="G80" s="80" t="s">
        <v>512</v>
      </c>
      <c r="H80" s="80" t="s">
        <v>313</v>
      </c>
      <c r="I80" s="80" t="s">
        <v>3605</v>
      </c>
      <c r="J80" s="81"/>
      <c r="K80" s="80"/>
      <c r="L80" s="81"/>
      <c r="M80" s="82"/>
      <c r="N80" s="83"/>
      <c r="AB80" s="43" t="s">
        <v>314</v>
      </c>
    </row>
    <row r="81" spans="1:30" s="40" customFormat="1" x14ac:dyDescent="0.2">
      <c r="A81" s="79"/>
      <c r="B81" s="78"/>
      <c r="C81" s="1768" t="s">
        <v>348</v>
      </c>
      <c r="D81" s="1768"/>
      <c r="E81" s="1768"/>
      <c r="F81" s="80" t="s">
        <v>315</v>
      </c>
      <c r="G81" s="80" t="s">
        <v>514</v>
      </c>
      <c r="H81" s="80" t="s">
        <v>313</v>
      </c>
      <c r="I81" s="80" t="s">
        <v>3606</v>
      </c>
      <c r="J81" s="81"/>
      <c r="K81" s="80"/>
      <c r="L81" s="81"/>
      <c r="M81" s="82"/>
      <c r="N81" s="83"/>
      <c r="AB81" s="43" t="s">
        <v>348</v>
      </c>
    </row>
    <row r="82" spans="1:30" s="40" customFormat="1" x14ac:dyDescent="0.2">
      <c r="A82" s="79"/>
      <c r="B82" s="78"/>
      <c r="C82" s="1780" t="s">
        <v>318</v>
      </c>
      <c r="D82" s="1780"/>
      <c r="E82" s="1780"/>
      <c r="F82" s="84"/>
      <c r="G82" s="84"/>
      <c r="H82" s="84"/>
      <c r="I82" s="84"/>
      <c r="J82" s="85">
        <v>416.19</v>
      </c>
      <c r="K82" s="84"/>
      <c r="L82" s="85">
        <v>10.25</v>
      </c>
      <c r="M82" s="86"/>
      <c r="N82" s="87"/>
      <c r="AC82" s="43" t="s">
        <v>318</v>
      </c>
    </row>
    <row r="83" spans="1:30" s="40" customFormat="1" x14ac:dyDescent="0.2">
      <c r="A83" s="79"/>
      <c r="B83" s="78"/>
      <c r="C83" s="1768" t="s">
        <v>319</v>
      </c>
      <c r="D83" s="1768"/>
      <c r="E83" s="1768"/>
      <c r="F83" s="80"/>
      <c r="G83" s="80"/>
      <c r="H83" s="80"/>
      <c r="I83" s="80"/>
      <c r="J83" s="81"/>
      <c r="K83" s="80"/>
      <c r="L83" s="81">
        <v>3.92</v>
      </c>
      <c r="M83" s="82"/>
      <c r="N83" s="83"/>
      <c r="AB83" s="43" t="s">
        <v>319</v>
      </c>
    </row>
    <row r="84" spans="1:30" s="40" customFormat="1" ht="33.75" x14ac:dyDescent="0.2">
      <c r="A84" s="79"/>
      <c r="B84" s="78" t="s">
        <v>460</v>
      </c>
      <c r="C84" s="1768" t="s">
        <v>461</v>
      </c>
      <c r="D84" s="1768"/>
      <c r="E84" s="1768"/>
      <c r="F84" s="80" t="s">
        <v>322</v>
      </c>
      <c r="G84" s="80" t="s">
        <v>462</v>
      </c>
      <c r="H84" s="80"/>
      <c r="I84" s="80" t="s">
        <v>462</v>
      </c>
      <c r="J84" s="81"/>
      <c r="K84" s="80"/>
      <c r="L84" s="81">
        <v>3.61</v>
      </c>
      <c r="M84" s="82"/>
      <c r="N84" s="83"/>
      <c r="AB84" s="43" t="s">
        <v>461</v>
      </c>
    </row>
    <row r="85" spans="1:30" s="40" customFormat="1" ht="33.75" x14ac:dyDescent="0.2">
      <c r="A85" s="79"/>
      <c r="B85" s="78" t="s">
        <v>463</v>
      </c>
      <c r="C85" s="1768" t="s">
        <v>464</v>
      </c>
      <c r="D85" s="1768"/>
      <c r="E85" s="1768"/>
      <c r="F85" s="80" t="s">
        <v>322</v>
      </c>
      <c r="G85" s="80" t="s">
        <v>465</v>
      </c>
      <c r="H85" s="80"/>
      <c r="I85" s="80" t="s">
        <v>465</v>
      </c>
      <c r="J85" s="81"/>
      <c r="K85" s="80"/>
      <c r="L85" s="81">
        <v>1.8</v>
      </c>
      <c r="M85" s="82"/>
      <c r="N85" s="83"/>
      <c r="AB85" s="43" t="s">
        <v>464</v>
      </c>
    </row>
    <row r="86" spans="1:30" s="40" customFormat="1" x14ac:dyDescent="0.2">
      <c r="A86" s="88"/>
      <c r="B86" s="89"/>
      <c r="C86" s="1785" t="s">
        <v>327</v>
      </c>
      <c r="D86" s="1785"/>
      <c r="E86" s="1785"/>
      <c r="F86" s="71"/>
      <c r="G86" s="71"/>
      <c r="H86" s="71"/>
      <c r="I86" s="71"/>
      <c r="J86" s="72"/>
      <c r="K86" s="71"/>
      <c r="L86" s="72">
        <v>15.66</v>
      </c>
      <c r="M86" s="86"/>
      <c r="N86" s="74"/>
      <c r="AD86" s="43" t="s">
        <v>327</v>
      </c>
    </row>
    <row r="87" spans="1:30" s="40" customFormat="1" ht="45" x14ac:dyDescent="0.2">
      <c r="A87" s="69" t="s">
        <v>189</v>
      </c>
      <c r="B87" s="70" t="s">
        <v>1005</v>
      </c>
      <c r="C87" s="1785" t="s">
        <v>1006</v>
      </c>
      <c r="D87" s="1785"/>
      <c r="E87" s="1785"/>
      <c r="F87" s="71" t="s">
        <v>201</v>
      </c>
      <c r="G87" s="71"/>
      <c r="H87" s="71"/>
      <c r="I87" s="71" t="s">
        <v>3607</v>
      </c>
      <c r="J87" s="72">
        <v>2.91</v>
      </c>
      <c r="K87" s="71"/>
      <c r="L87" s="72">
        <v>21.22</v>
      </c>
      <c r="M87" s="73"/>
      <c r="N87" s="74"/>
      <c r="X87" s="43" t="s">
        <v>1006</v>
      </c>
    </row>
    <row r="88" spans="1:30" s="40" customFormat="1" x14ac:dyDescent="0.2">
      <c r="A88" s="75"/>
      <c r="B88" s="76"/>
      <c r="C88" s="1768" t="s">
        <v>3608</v>
      </c>
      <c r="D88" s="1768"/>
      <c r="E88" s="1768"/>
      <c r="F88" s="1768"/>
      <c r="G88" s="1768"/>
      <c r="H88" s="1768"/>
      <c r="I88" s="1768"/>
      <c r="J88" s="1768"/>
      <c r="K88" s="1768"/>
      <c r="L88" s="1768"/>
      <c r="M88" s="1768"/>
      <c r="N88" s="1779"/>
      <c r="Y88" s="43" t="s">
        <v>3608</v>
      </c>
    </row>
    <row r="89" spans="1:30" s="40" customFormat="1" x14ac:dyDescent="0.2">
      <c r="A89" s="1801" t="s">
        <v>3609</v>
      </c>
      <c r="B89" s="1802"/>
      <c r="C89" s="1802"/>
      <c r="D89" s="1802"/>
      <c r="E89" s="1802"/>
      <c r="F89" s="1802"/>
      <c r="G89" s="1802"/>
      <c r="H89" s="1802"/>
      <c r="I89" s="1802"/>
      <c r="J89" s="1802"/>
      <c r="K89" s="1802"/>
      <c r="L89" s="1802"/>
      <c r="M89" s="1802"/>
      <c r="N89" s="1803"/>
      <c r="W89" s="43" t="s">
        <v>3609</v>
      </c>
    </row>
    <row r="90" spans="1:30" s="40" customFormat="1" x14ac:dyDescent="0.2">
      <c r="A90" s="69" t="s">
        <v>190</v>
      </c>
      <c r="B90" s="70" t="s">
        <v>1368</v>
      </c>
      <c r="C90" s="1785" t="s">
        <v>1369</v>
      </c>
      <c r="D90" s="1785"/>
      <c r="E90" s="1785"/>
      <c r="F90" s="71" t="s">
        <v>509</v>
      </c>
      <c r="G90" s="71"/>
      <c r="H90" s="71"/>
      <c r="I90" s="71" t="s">
        <v>3610</v>
      </c>
      <c r="J90" s="72"/>
      <c r="K90" s="71"/>
      <c r="L90" s="72"/>
      <c r="M90" s="73"/>
      <c r="N90" s="74"/>
      <c r="X90" s="43" t="s">
        <v>1369</v>
      </c>
    </row>
    <row r="91" spans="1:30" s="40" customFormat="1" x14ac:dyDescent="0.2">
      <c r="A91" s="75"/>
      <c r="B91" s="76"/>
      <c r="C91" s="1768" t="s">
        <v>3611</v>
      </c>
      <c r="D91" s="1768"/>
      <c r="E91" s="1768"/>
      <c r="F91" s="1768"/>
      <c r="G91" s="1768"/>
      <c r="H91" s="1768"/>
      <c r="I91" s="1768"/>
      <c r="J91" s="1768"/>
      <c r="K91" s="1768"/>
      <c r="L91" s="1768"/>
      <c r="M91" s="1768"/>
      <c r="N91" s="1779"/>
      <c r="Y91" s="43" t="s">
        <v>3611</v>
      </c>
    </row>
    <row r="92" spans="1:30" s="40" customFormat="1" ht="33.75" x14ac:dyDescent="0.2">
      <c r="A92" s="77"/>
      <c r="B92" s="78" t="s">
        <v>310</v>
      </c>
      <c r="C92" s="1768" t="s">
        <v>311</v>
      </c>
      <c r="D92" s="1768"/>
      <c r="E92" s="1768"/>
      <c r="F92" s="1768"/>
      <c r="G92" s="1768"/>
      <c r="H92" s="1768"/>
      <c r="I92" s="1768"/>
      <c r="J92" s="1768"/>
      <c r="K92" s="1768"/>
      <c r="L92" s="1768"/>
      <c r="M92" s="1768"/>
      <c r="N92" s="1779"/>
      <c r="Z92" s="43" t="s">
        <v>311</v>
      </c>
    </row>
    <row r="93" spans="1:30" s="40" customFormat="1" x14ac:dyDescent="0.2">
      <c r="A93" s="79"/>
      <c r="B93" s="78" t="s">
        <v>185</v>
      </c>
      <c r="C93" s="1768" t="s">
        <v>312</v>
      </c>
      <c r="D93" s="1768"/>
      <c r="E93" s="1768"/>
      <c r="F93" s="80"/>
      <c r="G93" s="80"/>
      <c r="H93" s="80"/>
      <c r="I93" s="80"/>
      <c r="J93" s="81">
        <v>1053</v>
      </c>
      <c r="K93" s="80" t="s">
        <v>313</v>
      </c>
      <c r="L93" s="81">
        <v>9.48</v>
      </c>
      <c r="M93" s="82"/>
      <c r="N93" s="83"/>
      <c r="AA93" s="43" t="s">
        <v>312</v>
      </c>
    </row>
    <row r="94" spans="1:30" s="40" customFormat="1" x14ac:dyDescent="0.2">
      <c r="A94" s="79"/>
      <c r="B94" s="78" t="s">
        <v>186</v>
      </c>
      <c r="C94" s="1768" t="s">
        <v>344</v>
      </c>
      <c r="D94" s="1768"/>
      <c r="E94" s="1768"/>
      <c r="F94" s="80"/>
      <c r="G94" s="80"/>
      <c r="H94" s="80"/>
      <c r="I94" s="80"/>
      <c r="J94" s="81">
        <v>1566.06</v>
      </c>
      <c r="K94" s="80" t="s">
        <v>313</v>
      </c>
      <c r="L94" s="81">
        <v>14.09</v>
      </c>
      <c r="M94" s="82"/>
      <c r="N94" s="83"/>
      <c r="AA94" s="43" t="s">
        <v>344</v>
      </c>
    </row>
    <row r="95" spans="1:30" s="40" customFormat="1" x14ac:dyDescent="0.2">
      <c r="A95" s="79"/>
      <c r="B95" s="78" t="s">
        <v>187</v>
      </c>
      <c r="C95" s="1768" t="s">
        <v>345</v>
      </c>
      <c r="D95" s="1768"/>
      <c r="E95" s="1768"/>
      <c r="F95" s="80"/>
      <c r="G95" s="80"/>
      <c r="H95" s="80"/>
      <c r="I95" s="80"/>
      <c r="J95" s="81">
        <v>244.39</v>
      </c>
      <c r="K95" s="80" t="s">
        <v>313</v>
      </c>
      <c r="L95" s="81">
        <v>2.2000000000000002</v>
      </c>
      <c r="M95" s="82"/>
      <c r="N95" s="83"/>
      <c r="AA95" s="43" t="s">
        <v>345</v>
      </c>
    </row>
    <row r="96" spans="1:30" s="40" customFormat="1" x14ac:dyDescent="0.2">
      <c r="A96" s="79"/>
      <c r="B96" s="78" t="s">
        <v>188</v>
      </c>
      <c r="C96" s="1768" t="s">
        <v>475</v>
      </c>
      <c r="D96" s="1768"/>
      <c r="E96" s="1768"/>
      <c r="F96" s="80"/>
      <c r="G96" s="80"/>
      <c r="H96" s="80"/>
      <c r="I96" s="80"/>
      <c r="J96" s="81">
        <v>909.27</v>
      </c>
      <c r="K96" s="80"/>
      <c r="L96" s="81">
        <v>6.55</v>
      </c>
      <c r="M96" s="82"/>
      <c r="N96" s="83"/>
      <c r="AA96" s="43" t="s">
        <v>475</v>
      </c>
    </row>
    <row r="97" spans="1:31" s="40" customFormat="1" x14ac:dyDescent="0.2">
      <c r="A97" s="75"/>
      <c r="B97" s="114" t="s">
        <v>639</v>
      </c>
      <c r="C97" s="1804" t="s">
        <v>640</v>
      </c>
      <c r="D97" s="1804"/>
      <c r="E97" s="1804"/>
      <c r="F97" s="115" t="s">
        <v>641</v>
      </c>
      <c r="G97" s="115" t="s">
        <v>680</v>
      </c>
      <c r="H97" s="115"/>
      <c r="I97" s="115" t="s">
        <v>3612</v>
      </c>
      <c r="J97" s="78"/>
      <c r="K97" s="80"/>
      <c r="L97" s="81"/>
      <c r="M97" s="80"/>
      <c r="N97" s="116"/>
      <c r="AE97" s="43" t="s">
        <v>640</v>
      </c>
    </row>
    <row r="98" spans="1:31" s="40" customFormat="1" x14ac:dyDescent="0.2">
      <c r="A98" s="79"/>
      <c r="B98" s="78"/>
      <c r="C98" s="1768" t="s">
        <v>314</v>
      </c>
      <c r="D98" s="1768"/>
      <c r="E98" s="1768"/>
      <c r="F98" s="80" t="s">
        <v>315</v>
      </c>
      <c r="G98" s="80" t="s">
        <v>1373</v>
      </c>
      <c r="H98" s="80" t="s">
        <v>313</v>
      </c>
      <c r="I98" s="80" t="s">
        <v>3613</v>
      </c>
      <c r="J98" s="81"/>
      <c r="K98" s="80"/>
      <c r="L98" s="81"/>
      <c r="M98" s="82"/>
      <c r="N98" s="83"/>
      <c r="AB98" s="43" t="s">
        <v>314</v>
      </c>
    </row>
    <row r="99" spans="1:31" s="40" customFormat="1" x14ac:dyDescent="0.2">
      <c r="A99" s="79"/>
      <c r="B99" s="78"/>
      <c r="C99" s="1768" t="s">
        <v>348</v>
      </c>
      <c r="D99" s="1768"/>
      <c r="E99" s="1768"/>
      <c r="F99" s="80" t="s">
        <v>315</v>
      </c>
      <c r="G99" s="80" t="s">
        <v>1375</v>
      </c>
      <c r="H99" s="80" t="s">
        <v>313</v>
      </c>
      <c r="I99" s="80" t="s">
        <v>3614</v>
      </c>
      <c r="J99" s="81"/>
      <c r="K99" s="80"/>
      <c r="L99" s="81"/>
      <c r="M99" s="82"/>
      <c r="N99" s="83"/>
      <c r="AB99" s="43" t="s">
        <v>348</v>
      </c>
    </row>
    <row r="100" spans="1:31" s="40" customFormat="1" x14ac:dyDescent="0.2">
      <c r="A100" s="79"/>
      <c r="B100" s="78"/>
      <c r="C100" s="1780" t="s">
        <v>318</v>
      </c>
      <c r="D100" s="1780"/>
      <c r="E100" s="1780"/>
      <c r="F100" s="84"/>
      <c r="G100" s="84"/>
      <c r="H100" s="84"/>
      <c r="I100" s="84"/>
      <c r="J100" s="85">
        <v>3528.33</v>
      </c>
      <c r="K100" s="84"/>
      <c r="L100" s="85">
        <v>30.12</v>
      </c>
      <c r="M100" s="86"/>
      <c r="N100" s="87"/>
      <c r="AC100" s="43" t="s">
        <v>318</v>
      </c>
    </row>
    <row r="101" spans="1:31" s="40" customFormat="1" x14ac:dyDescent="0.2">
      <c r="A101" s="79"/>
      <c r="B101" s="78"/>
      <c r="C101" s="1768" t="s">
        <v>319</v>
      </c>
      <c r="D101" s="1768"/>
      <c r="E101" s="1768"/>
      <c r="F101" s="80"/>
      <c r="G101" s="80"/>
      <c r="H101" s="80"/>
      <c r="I101" s="80"/>
      <c r="J101" s="81"/>
      <c r="K101" s="80"/>
      <c r="L101" s="81">
        <v>11.68</v>
      </c>
      <c r="M101" s="82"/>
      <c r="N101" s="83"/>
      <c r="AB101" s="43" t="s">
        <v>319</v>
      </c>
    </row>
    <row r="102" spans="1:31" s="40" customFormat="1" ht="33.75" x14ac:dyDescent="0.2">
      <c r="A102" s="79"/>
      <c r="B102" s="78" t="s">
        <v>686</v>
      </c>
      <c r="C102" s="1768" t="s">
        <v>687</v>
      </c>
      <c r="D102" s="1768"/>
      <c r="E102" s="1768"/>
      <c r="F102" s="80" t="s">
        <v>322</v>
      </c>
      <c r="G102" s="80" t="s">
        <v>680</v>
      </c>
      <c r="H102" s="80"/>
      <c r="I102" s="80" t="s">
        <v>680</v>
      </c>
      <c r="J102" s="81"/>
      <c r="K102" s="80"/>
      <c r="L102" s="81">
        <v>11.91</v>
      </c>
      <c r="M102" s="82"/>
      <c r="N102" s="83"/>
      <c r="AB102" s="43" t="s">
        <v>687</v>
      </c>
    </row>
    <row r="103" spans="1:31" s="40" customFormat="1" ht="33.75" x14ac:dyDescent="0.2">
      <c r="A103" s="79"/>
      <c r="B103" s="78" t="s">
        <v>688</v>
      </c>
      <c r="C103" s="1768" t="s">
        <v>689</v>
      </c>
      <c r="D103" s="1768"/>
      <c r="E103" s="1768"/>
      <c r="F103" s="80" t="s">
        <v>322</v>
      </c>
      <c r="G103" s="80" t="s">
        <v>690</v>
      </c>
      <c r="H103" s="80"/>
      <c r="I103" s="80" t="s">
        <v>690</v>
      </c>
      <c r="J103" s="81"/>
      <c r="K103" s="80"/>
      <c r="L103" s="81">
        <v>6.77</v>
      </c>
      <c r="M103" s="82"/>
      <c r="N103" s="83"/>
      <c r="AB103" s="43" t="s">
        <v>689</v>
      </c>
    </row>
    <row r="104" spans="1:31" s="40" customFormat="1" x14ac:dyDescent="0.2">
      <c r="A104" s="88"/>
      <c r="B104" s="89"/>
      <c r="C104" s="1785" t="s">
        <v>327</v>
      </c>
      <c r="D104" s="1785"/>
      <c r="E104" s="1785"/>
      <c r="F104" s="71"/>
      <c r="G104" s="71"/>
      <c r="H104" s="71"/>
      <c r="I104" s="71"/>
      <c r="J104" s="72"/>
      <c r="K104" s="71"/>
      <c r="L104" s="72">
        <v>48.8</v>
      </c>
      <c r="M104" s="86"/>
      <c r="N104" s="74"/>
      <c r="AD104" s="43" t="s">
        <v>327</v>
      </c>
    </row>
    <row r="105" spans="1:31" s="40" customFormat="1" ht="22.5" x14ac:dyDescent="0.2">
      <c r="A105" s="69" t="s">
        <v>191</v>
      </c>
      <c r="B105" s="70" t="s">
        <v>1377</v>
      </c>
      <c r="C105" s="1785" t="s">
        <v>1378</v>
      </c>
      <c r="D105" s="1785"/>
      <c r="E105" s="1785"/>
      <c r="F105" s="71" t="s">
        <v>641</v>
      </c>
      <c r="G105" s="71"/>
      <c r="H105" s="71"/>
      <c r="I105" s="71" t="s">
        <v>3612</v>
      </c>
      <c r="J105" s="72">
        <v>560</v>
      </c>
      <c r="K105" s="71"/>
      <c r="L105" s="72">
        <v>411.26</v>
      </c>
      <c r="M105" s="73"/>
      <c r="N105" s="74"/>
      <c r="X105" s="43" t="s">
        <v>1378</v>
      </c>
    </row>
    <row r="106" spans="1:31" s="40" customFormat="1" x14ac:dyDescent="0.2">
      <c r="A106" s="88"/>
      <c r="B106" s="89"/>
      <c r="C106" s="48" t="s">
        <v>717</v>
      </c>
      <c r="D106" s="117"/>
      <c r="E106" s="117"/>
      <c r="F106" s="90"/>
      <c r="G106" s="90"/>
      <c r="H106" s="90"/>
      <c r="I106" s="90"/>
      <c r="J106" s="118"/>
      <c r="K106" s="90"/>
      <c r="L106" s="118"/>
      <c r="M106" s="119"/>
      <c r="N106" s="120"/>
    </row>
    <row r="107" spans="1:31" s="40" customFormat="1" ht="22.5" x14ac:dyDescent="0.2">
      <c r="A107" s="69" t="s">
        <v>192</v>
      </c>
      <c r="B107" s="70" t="s">
        <v>1380</v>
      </c>
      <c r="C107" s="1785" t="s">
        <v>1381</v>
      </c>
      <c r="D107" s="1785"/>
      <c r="E107" s="1785"/>
      <c r="F107" s="71" t="s">
        <v>509</v>
      </c>
      <c r="G107" s="71"/>
      <c r="H107" s="71"/>
      <c r="I107" s="71" t="s">
        <v>3615</v>
      </c>
      <c r="J107" s="72"/>
      <c r="K107" s="71"/>
      <c r="L107" s="72"/>
      <c r="M107" s="73"/>
      <c r="N107" s="74"/>
      <c r="X107" s="43" t="s">
        <v>1381</v>
      </c>
    </row>
    <row r="108" spans="1:31" s="40" customFormat="1" x14ac:dyDescent="0.2">
      <c r="A108" s="75"/>
      <c r="B108" s="76"/>
      <c r="C108" s="1768" t="s">
        <v>3616</v>
      </c>
      <c r="D108" s="1768"/>
      <c r="E108" s="1768"/>
      <c r="F108" s="1768"/>
      <c r="G108" s="1768"/>
      <c r="H108" s="1768"/>
      <c r="I108" s="1768"/>
      <c r="J108" s="1768"/>
      <c r="K108" s="1768"/>
      <c r="L108" s="1768"/>
      <c r="M108" s="1768"/>
      <c r="N108" s="1779"/>
      <c r="Y108" s="43" t="s">
        <v>3616</v>
      </c>
    </row>
    <row r="109" spans="1:31" s="40" customFormat="1" ht="33.75" x14ac:dyDescent="0.2">
      <c r="A109" s="77"/>
      <c r="B109" s="78" t="s">
        <v>310</v>
      </c>
      <c r="C109" s="1768" t="s">
        <v>311</v>
      </c>
      <c r="D109" s="1768"/>
      <c r="E109" s="1768"/>
      <c r="F109" s="1768"/>
      <c r="G109" s="1768"/>
      <c r="H109" s="1768"/>
      <c r="I109" s="1768"/>
      <c r="J109" s="1768"/>
      <c r="K109" s="1768"/>
      <c r="L109" s="1768"/>
      <c r="M109" s="1768"/>
      <c r="N109" s="1779"/>
      <c r="Z109" s="43" t="s">
        <v>311</v>
      </c>
    </row>
    <row r="110" spans="1:31" s="40" customFormat="1" x14ac:dyDescent="0.2">
      <c r="A110" s="79"/>
      <c r="B110" s="78" t="s">
        <v>185</v>
      </c>
      <c r="C110" s="1768" t="s">
        <v>312</v>
      </c>
      <c r="D110" s="1768"/>
      <c r="E110" s="1768"/>
      <c r="F110" s="80"/>
      <c r="G110" s="80"/>
      <c r="H110" s="80"/>
      <c r="I110" s="80"/>
      <c r="J110" s="81">
        <v>1526.87</v>
      </c>
      <c r="K110" s="80" t="s">
        <v>313</v>
      </c>
      <c r="L110" s="81">
        <v>53.25</v>
      </c>
      <c r="M110" s="82"/>
      <c r="N110" s="83"/>
      <c r="AA110" s="43" t="s">
        <v>312</v>
      </c>
    </row>
    <row r="111" spans="1:31" s="40" customFormat="1" x14ac:dyDescent="0.2">
      <c r="A111" s="79"/>
      <c r="B111" s="78" t="s">
        <v>186</v>
      </c>
      <c r="C111" s="1768" t="s">
        <v>344</v>
      </c>
      <c r="D111" s="1768"/>
      <c r="E111" s="1768"/>
      <c r="F111" s="80"/>
      <c r="G111" s="80"/>
      <c r="H111" s="80"/>
      <c r="I111" s="80"/>
      <c r="J111" s="81">
        <v>2518.58</v>
      </c>
      <c r="K111" s="80" t="s">
        <v>313</v>
      </c>
      <c r="L111" s="81">
        <v>87.84</v>
      </c>
      <c r="M111" s="82"/>
      <c r="N111" s="83"/>
      <c r="AA111" s="43" t="s">
        <v>344</v>
      </c>
    </row>
    <row r="112" spans="1:31" s="40" customFormat="1" x14ac:dyDescent="0.2">
      <c r="A112" s="79"/>
      <c r="B112" s="78" t="s">
        <v>187</v>
      </c>
      <c r="C112" s="1768" t="s">
        <v>345</v>
      </c>
      <c r="D112" s="1768"/>
      <c r="E112" s="1768"/>
      <c r="F112" s="80"/>
      <c r="G112" s="80"/>
      <c r="H112" s="80"/>
      <c r="I112" s="80"/>
      <c r="J112" s="81">
        <v>382.14</v>
      </c>
      <c r="K112" s="80" t="s">
        <v>313</v>
      </c>
      <c r="L112" s="81">
        <v>13.33</v>
      </c>
      <c r="M112" s="82"/>
      <c r="N112" s="83"/>
      <c r="AA112" s="43" t="s">
        <v>345</v>
      </c>
    </row>
    <row r="113" spans="1:32" s="40" customFormat="1" x14ac:dyDescent="0.2">
      <c r="A113" s="79"/>
      <c r="B113" s="78" t="s">
        <v>188</v>
      </c>
      <c r="C113" s="1768" t="s">
        <v>475</v>
      </c>
      <c r="D113" s="1768"/>
      <c r="E113" s="1768"/>
      <c r="F113" s="80"/>
      <c r="G113" s="80"/>
      <c r="H113" s="80"/>
      <c r="I113" s="80"/>
      <c r="J113" s="81">
        <v>488.42</v>
      </c>
      <c r="K113" s="80"/>
      <c r="L113" s="81">
        <v>13.63</v>
      </c>
      <c r="M113" s="82"/>
      <c r="N113" s="83"/>
      <c r="AA113" s="43" t="s">
        <v>475</v>
      </c>
    </row>
    <row r="114" spans="1:32" s="40" customFormat="1" x14ac:dyDescent="0.2">
      <c r="A114" s="75"/>
      <c r="B114" s="114" t="s">
        <v>639</v>
      </c>
      <c r="C114" s="1804" t="s">
        <v>640</v>
      </c>
      <c r="D114" s="1804"/>
      <c r="E114" s="1804"/>
      <c r="F114" s="115" t="s">
        <v>641</v>
      </c>
      <c r="G114" s="115" t="s">
        <v>1384</v>
      </c>
      <c r="H114" s="115"/>
      <c r="I114" s="115" t="s">
        <v>3617</v>
      </c>
      <c r="J114" s="78"/>
      <c r="K114" s="80"/>
      <c r="L114" s="81"/>
      <c r="M114" s="80"/>
      <c r="N114" s="116"/>
      <c r="AE114" s="43" t="s">
        <v>640</v>
      </c>
    </row>
    <row r="115" spans="1:32" s="40" customFormat="1" x14ac:dyDescent="0.2">
      <c r="A115" s="75"/>
      <c r="B115" s="114" t="s">
        <v>1272</v>
      </c>
      <c r="C115" s="1804" t="s">
        <v>1273</v>
      </c>
      <c r="D115" s="1804"/>
      <c r="E115" s="1804"/>
      <c r="F115" s="115" t="s">
        <v>694</v>
      </c>
      <c r="G115" s="115" t="s">
        <v>1386</v>
      </c>
      <c r="H115" s="115"/>
      <c r="I115" s="115" t="s">
        <v>3618</v>
      </c>
      <c r="J115" s="78"/>
      <c r="K115" s="80"/>
      <c r="L115" s="81"/>
      <c r="M115" s="80"/>
      <c r="N115" s="116"/>
      <c r="AE115" s="43" t="s">
        <v>1273</v>
      </c>
    </row>
    <row r="116" spans="1:32" s="40" customFormat="1" x14ac:dyDescent="0.2">
      <c r="A116" s="79"/>
      <c r="B116" s="78"/>
      <c r="C116" s="1768" t="s">
        <v>314</v>
      </c>
      <c r="D116" s="1768"/>
      <c r="E116" s="1768"/>
      <c r="F116" s="80" t="s">
        <v>315</v>
      </c>
      <c r="G116" s="80" t="s">
        <v>1388</v>
      </c>
      <c r="H116" s="80" t="s">
        <v>313</v>
      </c>
      <c r="I116" s="80" t="s">
        <v>3619</v>
      </c>
      <c r="J116" s="81"/>
      <c r="K116" s="80"/>
      <c r="L116" s="81"/>
      <c r="M116" s="82"/>
      <c r="N116" s="83"/>
      <c r="AB116" s="43" t="s">
        <v>314</v>
      </c>
    </row>
    <row r="117" spans="1:32" s="40" customFormat="1" x14ac:dyDescent="0.2">
      <c r="A117" s="79"/>
      <c r="B117" s="78"/>
      <c r="C117" s="1768" t="s">
        <v>348</v>
      </c>
      <c r="D117" s="1768"/>
      <c r="E117" s="1768"/>
      <c r="F117" s="80" t="s">
        <v>315</v>
      </c>
      <c r="G117" s="80" t="s">
        <v>1390</v>
      </c>
      <c r="H117" s="80" t="s">
        <v>313</v>
      </c>
      <c r="I117" s="80" t="s">
        <v>3620</v>
      </c>
      <c r="J117" s="81"/>
      <c r="K117" s="80"/>
      <c r="L117" s="81"/>
      <c r="M117" s="82"/>
      <c r="N117" s="83"/>
      <c r="AB117" s="43" t="s">
        <v>348</v>
      </c>
    </row>
    <row r="118" spans="1:32" s="40" customFormat="1" x14ac:dyDescent="0.2">
      <c r="A118" s="79"/>
      <c r="B118" s="78"/>
      <c r="C118" s="1780" t="s">
        <v>318</v>
      </c>
      <c r="D118" s="1780"/>
      <c r="E118" s="1780"/>
      <c r="F118" s="84"/>
      <c r="G118" s="84"/>
      <c r="H118" s="84"/>
      <c r="I118" s="84"/>
      <c r="J118" s="85">
        <v>4533.87</v>
      </c>
      <c r="K118" s="84"/>
      <c r="L118" s="85">
        <v>154.72</v>
      </c>
      <c r="M118" s="86"/>
      <c r="N118" s="87"/>
      <c r="AC118" s="43" t="s">
        <v>318</v>
      </c>
    </row>
    <row r="119" spans="1:32" s="40" customFormat="1" x14ac:dyDescent="0.2">
      <c r="A119" s="79"/>
      <c r="B119" s="78"/>
      <c r="C119" s="1768" t="s">
        <v>319</v>
      </c>
      <c r="D119" s="1768"/>
      <c r="E119" s="1768"/>
      <c r="F119" s="80"/>
      <c r="G119" s="80"/>
      <c r="H119" s="80"/>
      <c r="I119" s="80"/>
      <c r="J119" s="81"/>
      <c r="K119" s="80"/>
      <c r="L119" s="81">
        <v>66.58</v>
      </c>
      <c r="M119" s="82"/>
      <c r="N119" s="83"/>
      <c r="AB119" s="43" t="s">
        <v>319</v>
      </c>
    </row>
    <row r="120" spans="1:32" s="40" customFormat="1" ht="33.75" x14ac:dyDescent="0.2">
      <c r="A120" s="79"/>
      <c r="B120" s="78" t="s">
        <v>686</v>
      </c>
      <c r="C120" s="1768" t="s">
        <v>687</v>
      </c>
      <c r="D120" s="1768"/>
      <c r="E120" s="1768"/>
      <c r="F120" s="80" t="s">
        <v>322</v>
      </c>
      <c r="G120" s="80" t="s">
        <v>680</v>
      </c>
      <c r="H120" s="80"/>
      <c r="I120" s="80" t="s">
        <v>680</v>
      </c>
      <c r="J120" s="81"/>
      <c r="K120" s="80"/>
      <c r="L120" s="81">
        <v>67.91</v>
      </c>
      <c r="M120" s="82"/>
      <c r="N120" s="83"/>
      <c r="AB120" s="43" t="s">
        <v>687</v>
      </c>
    </row>
    <row r="121" spans="1:32" s="40" customFormat="1" ht="33.75" x14ac:dyDescent="0.2">
      <c r="A121" s="79"/>
      <c r="B121" s="78" t="s">
        <v>688</v>
      </c>
      <c r="C121" s="1768" t="s">
        <v>689</v>
      </c>
      <c r="D121" s="1768"/>
      <c r="E121" s="1768"/>
      <c r="F121" s="80" t="s">
        <v>322</v>
      </c>
      <c r="G121" s="80" t="s">
        <v>690</v>
      </c>
      <c r="H121" s="80"/>
      <c r="I121" s="80" t="s">
        <v>690</v>
      </c>
      <c r="J121" s="81"/>
      <c r="K121" s="80"/>
      <c r="L121" s="81">
        <v>38.619999999999997</v>
      </c>
      <c r="M121" s="82"/>
      <c r="N121" s="83"/>
      <c r="AB121" s="43" t="s">
        <v>689</v>
      </c>
    </row>
    <row r="122" spans="1:32" s="40" customFormat="1" x14ac:dyDescent="0.2">
      <c r="A122" s="88"/>
      <c r="B122" s="89"/>
      <c r="C122" s="1785" t="s">
        <v>327</v>
      </c>
      <c r="D122" s="1785"/>
      <c r="E122" s="1785"/>
      <c r="F122" s="71"/>
      <c r="G122" s="71"/>
      <c r="H122" s="71"/>
      <c r="I122" s="71"/>
      <c r="J122" s="72"/>
      <c r="K122" s="71"/>
      <c r="L122" s="72">
        <v>261.25</v>
      </c>
      <c r="M122" s="86"/>
      <c r="N122" s="74"/>
      <c r="AD122" s="43" t="s">
        <v>327</v>
      </c>
    </row>
    <row r="123" spans="1:32" s="40" customFormat="1" ht="22.5" x14ac:dyDescent="0.2">
      <c r="A123" s="69" t="s">
        <v>193</v>
      </c>
      <c r="B123" s="70" t="s">
        <v>654</v>
      </c>
      <c r="C123" s="1785" t="s">
        <v>655</v>
      </c>
      <c r="D123" s="1785"/>
      <c r="E123" s="1785"/>
      <c r="F123" s="71" t="s">
        <v>641</v>
      </c>
      <c r="G123" s="71"/>
      <c r="H123" s="71"/>
      <c r="I123" s="71" t="s">
        <v>3621</v>
      </c>
      <c r="J123" s="72">
        <v>592.76</v>
      </c>
      <c r="K123" s="71"/>
      <c r="L123" s="72">
        <v>1678.58</v>
      </c>
      <c r="M123" s="73"/>
      <c r="N123" s="74"/>
      <c r="X123" s="43" t="s">
        <v>655</v>
      </c>
    </row>
    <row r="124" spans="1:32" s="40" customFormat="1" x14ac:dyDescent="0.2">
      <c r="A124" s="88"/>
      <c r="B124" s="89"/>
      <c r="C124" s="48" t="s">
        <v>717</v>
      </c>
      <c r="D124" s="117"/>
      <c r="E124" s="117"/>
      <c r="F124" s="90"/>
      <c r="G124" s="90"/>
      <c r="H124" s="90"/>
      <c r="I124" s="90"/>
      <c r="J124" s="118"/>
      <c r="K124" s="90"/>
      <c r="L124" s="118"/>
      <c r="M124" s="119"/>
      <c r="N124" s="120"/>
    </row>
    <row r="125" spans="1:32" s="40" customFormat="1" ht="33.75" x14ac:dyDescent="0.2">
      <c r="A125" s="69" t="s">
        <v>194</v>
      </c>
      <c r="B125" s="70" t="s">
        <v>657</v>
      </c>
      <c r="C125" s="1785" t="s">
        <v>3622</v>
      </c>
      <c r="D125" s="1785"/>
      <c r="E125" s="1785"/>
      <c r="F125" s="71" t="s">
        <v>641</v>
      </c>
      <c r="G125" s="71"/>
      <c r="H125" s="71"/>
      <c r="I125" s="71" t="s">
        <v>3623</v>
      </c>
      <c r="J125" s="72">
        <v>18.04</v>
      </c>
      <c r="K125" s="71"/>
      <c r="L125" s="72">
        <v>50.24</v>
      </c>
      <c r="M125" s="73"/>
      <c r="N125" s="74"/>
      <c r="X125" s="43" t="s">
        <v>3622</v>
      </c>
    </row>
    <row r="126" spans="1:32" s="40" customFormat="1" x14ac:dyDescent="0.2">
      <c r="A126" s="88"/>
      <c r="B126" s="89"/>
      <c r="C126" s="48" t="s">
        <v>717</v>
      </c>
      <c r="D126" s="117"/>
      <c r="E126" s="117"/>
      <c r="F126" s="90"/>
      <c r="G126" s="90"/>
      <c r="H126" s="90"/>
      <c r="I126" s="90"/>
      <c r="J126" s="118"/>
      <c r="K126" s="90"/>
      <c r="L126" s="118"/>
      <c r="M126" s="119"/>
      <c r="N126" s="120"/>
    </row>
    <row r="127" spans="1:32" s="40" customFormat="1" x14ac:dyDescent="0.2">
      <c r="A127" s="75"/>
      <c r="B127" s="76"/>
      <c r="C127" s="1768" t="s">
        <v>659</v>
      </c>
      <c r="D127" s="1768"/>
      <c r="E127" s="1768"/>
      <c r="F127" s="1768"/>
      <c r="G127" s="1768"/>
      <c r="H127" s="1768"/>
      <c r="I127" s="1768"/>
      <c r="J127" s="1768"/>
      <c r="K127" s="1768"/>
      <c r="L127" s="1768"/>
      <c r="M127" s="1768"/>
      <c r="N127" s="1779"/>
      <c r="AF127" s="43" t="s">
        <v>659</v>
      </c>
    </row>
    <row r="128" spans="1:32" s="40" customFormat="1" ht="22.5" x14ac:dyDescent="0.2">
      <c r="A128" s="69" t="s">
        <v>195</v>
      </c>
      <c r="B128" s="70" t="s">
        <v>3624</v>
      </c>
      <c r="C128" s="1785" t="s">
        <v>3625</v>
      </c>
      <c r="D128" s="1785"/>
      <c r="E128" s="1785"/>
      <c r="F128" s="71" t="s">
        <v>694</v>
      </c>
      <c r="G128" s="71"/>
      <c r="H128" s="71"/>
      <c r="I128" s="71" t="s">
        <v>3626</v>
      </c>
      <c r="J128" s="72">
        <v>5802.77</v>
      </c>
      <c r="K128" s="71"/>
      <c r="L128" s="72">
        <v>296.52</v>
      </c>
      <c r="M128" s="73"/>
      <c r="N128" s="74"/>
      <c r="X128" s="43" t="s">
        <v>3625</v>
      </c>
    </row>
    <row r="129" spans="1:31" s="40" customFormat="1" x14ac:dyDescent="0.2">
      <c r="A129" s="88"/>
      <c r="B129" s="89"/>
      <c r="C129" s="48" t="s">
        <v>717</v>
      </c>
      <c r="D129" s="117"/>
      <c r="E129" s="117"/>
      <c r="F129" s="90"/>
      <c r="G129" s="90"/>
      <c r="H129" s="90"/>
      <c r="I129" s="90"/>
      <c r="J129" s="118"/>
      <c r="K129" s="90"/>
      <c r="L129" s="118"/>
      <c r="M129" s="119"/>
      <c r="N129" s="120"/>
    </row>
    <row r="130" spans="1:31" s="40" customFormat="1" x14ac:dyDescent="0.2">
      <c r="A130" s="75"/>
      <c r="B130" s="76"/>
      <c r="C130" s="1768" t="s">
        <v>3627</v>
      </c>
      <c r="D130" s="1768"/>
      <c r="E130" s="1768"/>
      <c r="F130" s="1768"/>
      <c r="G130" s="1768"/>
      <c r="H130" s="1768"/>
      <c r="I130" s="1768"/>
      <c r="J130" s="1768"/>
      <c r="K130" s="1768"/>
      <c r="L130" s="1768"/>
      <c r="M130" s="1768"/>
      <c r="N130" s="1779"/>
      <c r="Y130" s="43" t="s">
        <v>3627</v>
      </c>
    </row>
    <row r="131" spans="1:31" s="40" customFormat="1" ht="22.5" x14ac:dyDescent="0.2">
      <c r="A131" s="69" t="s">
        <v>196</v>
      </c>
      <c r="B131" s="70" t="s">
        <v>3309</v>
      </c>
      <c r="C131" s="1785" t="s">
        <v>3310</v>
      </c>
      <c r="D131" s="1785"/>
      <c r="E131" s="1785"/>
      <c r="F131" s="71" t="s">
        <v>694</v>
      </c>
      <c r="G131" s="71"/>
      <c r="H131" s="71"/>
      <c r="I131" s="71" t="s">
        <v>3628</v>
      </c>
      <c r="J131" s="72"/>
      <c r="K131" s="71"/>
      <c r="L131" s="72"/>
      <c r="M131" s="73"/>
      <c r="N131" s="74"/>
      <c r="X131" s="43" t="s">
        <v>3310</v>
      </c>
    </row>
    <row r="132" spans="1:31" s="40" customFormat="1" x14ac:dyDescent="0.2">
      <c r="A132" s="75"/>
      <c r="B132" s="76"/>
      <c r="C132" s="1768" t="s">
        <v>3629</v>
      </c>
      <c r="D132" s="1768"/>
      <c r="E132" s="1768"/>
      <c r="F132" s="1768"/>
      <c r="G132" s="1768"/>
      <c r="H132" s="1768"/>
      <c r="I132" s="1768"/>
      <c r="J132" s="1768"/>
      <c r="K132" s="1768"/>
      <c r="L132" s="1768"/>
      <c r="M132" s="1768"/>
      <c r="N132" s="1779"/>
      <c r="Y132" s="43" t="s">
        <v>3629</v>
      </c>
    </row>
    <row r="133" spans="1:31" s="40" customFormat="1" ht="33.75" x14ac:dyDescent="0.2">
      <c r="A133" s="77"/>
      <c r="B133" s="78" t="s">
        <v>310</v>
      </c>
      <c r="C133" s="1768" t="s">
        <v>311</v>
      </c>
      <c r="D133" s="1768"/>
      <c r="E133" s="1768"/>
      <c r="F133" s="1768"/>
      <c r="G133" s="1768"/>
      <c r="H133" s="1768"/>
      <c r="I133" s="1768"/>
      <c r="J133" s="1768"/>
      <c r="K133" s="1768"/>
      <c r="L133" s="1768"/>
      <c r="M133" s="1768"/>
      <c r="N133" s="1779"/>
      <c r="Z133" s="43" t="s">
        <v>311</v>
      </c>
    </row>
    <row r="134" spans="1:31" s="40" customFormat="1" x14ac:dyDescent="0.2">
      <c r="A134" s="79"/>
      <c r="B134" s="78" t="s">
        <v>185</v>
      </c>
      <c r="C134" s="1768" t="s">
        <v>312</v>
      </c>
      <c r="D134" s="1768"/>
      <c r="E134" s="1768"/>
      <c r="F134" s="80"/>
      <c r="G134" s="80"/>
      <c r="H134" s="80"/>
      <c r="I134" s="80"/>
      <c r="J134" s="81">
        <v>408.85</v>
      </c>
      <c r="K134" s="80" t="s">
        <v>313</v>
      </c>
      <c r="L134" s="81">
        <v>5.4</v>
      </c>
      <c r="M134" s="82"/>
      <c r="N134" s="83"/>
      <c r="AA134" s="43" t="s">
        <v>312</v>
      </c>
    </row>
    <row r="135" spans="1:31" s="40" customFormat="1" x14ac:dyDescent="0.2">
      <c r="A135" s="79"/>
      <c r="B135" s="78" t="s">
        <v>186</v>
      </c>
      <c r="C135" s="1768" t="s">
        <v>344</v>
      </c>
      <c r="D135" s="1768"/>
      <c r="E135" s="1768"/>
      <c r="F135" s="80"/>
      <c r="G135" s="80"/>
      <c r="H135" s="80"/>
      <c r="I135" s="80"/>
      <c r="J135" s="81">
        <v>425.84</v>
      </c>
      <c r="K135" s="80" t="s">
        <v>313</v>
      </c>
      <c r="L135" s="81">
        <v>5.62</v>
      </c>
      <c r="M135" s="82"/>
      <c r="N135" s="83"/>
      <c r="AA135" s="43" t="s">
        <v>344</v>
      </c>
    </row>
    <row r="136" spans="1:31" s="40" customFormat="1" x14ac:dyDescent="0.2">
      <c r="A136" s="79"/>
      <c r="B136" s="78" t="s">
        <v>187</v>
      </c>
      <c r="C136" s="1768" t="s">
        <v>345</v>
      </c>
      <c r="D136" s="1768"/>
      <c r="E136" s="1768"/>
      <c r="F136" s="80"/>
      <c r="G136" s="80"/>
      <c r="H136" s="80"/>
      <c r="I136" s="80"/>
      <c r="J136" s="81">
        <v>51.59</v>
      </c>
      <c r="K136" s="80" t="s">
        <v>313</v>
      </c>
      <c r="L136" s="81">
        <v>0.68</v>
      </c>
      <c r="M136" s="82"/>
      <c r="N136" s="83"/>
      <c r="AA136" s="43" t="s">
        <v>345</v>
      </c>
    </row>
    <row r="137" spans="1:31" s="40" customFormat="1" x14ac:dyDescent="0.2">
      <c r="A137" s="79"/>
      <c r="B137" s="78" t="s">
        <v>188</v>
      </c>
      <c r="C137" s="1768" t="s">
        <v>475</v>
      </c>
      <c r="D137" s="1768"/>
      <c r="E137" s="1768"/>
      <c r="F137" s="80"/>
      <c r="G137" s="80"/>
      <c r="H137" s="80"/>
      <c r="I137" s="80"/>
      <c r="J137" s="81">
        <v>72.209999999999994</v>
      </c>
      <c r="K137" s="80"/>
      <c r="L137" s="81">
        <v>0.76</v>
      </c>
      <c r="M137" s="82"/>
      <c r="N137" s="83"/>
      <c r="AA137" s="43" t="s">
        <v>475</v>
      </c>
    </row>
    <row r="138" spans="1:31" s="40" customFormat="1" x14ac:dyDescent="0.2">
      <c r="A138" s="75"/>
      <c r="B138" s="114" t="s">
        <v>3313</v>
      </c>
      <c r="C138" s="1804" t="s">
        <v>1229</v>
      </c>
      <c r="D138" s="1804"/>
      <c r="E138" s="1804"/>
      <c r="F138" s="115" t="s">
        <v>694</v>
      </c>
      <c r="G138" s="115" t="s">
        <v>185</v>
      </c>
      <c r="H138" s="115"/>
      <c r="I138" s="115" t="s">
        <v>3628</v>
      </c>
      <c r="J138" s="78"/>
      <c r="K138" s="80"/>
      <c r="L138" s="81"/>
      <c r="M138" s="80"/>
      <c r="N138" s="116"/>
      <c r="AE138" s="43" t="s">
        <v>1229</v>
      </c>
    </row>
    <row r="139" spans="1:31" s="40" customFormat="1" x14ac:dyDescent="0.2">
      <c r="A139" s="79"/>
      <c r="B139" s="78"/>
      <c r="C139" s="1768" t="s">
        <v>314</v>
      </c>
      <c r="D139" s="1768"/>
      <c r="E139" s="1768"/>
      <c r="F139" s="80" t="s">
        <v>315</v>
      </c>
      <c r="G139" s="80" t="s">
        <v>1513</v>
      </c>
      <c r="H139" s="80" t="s">
        <v>313</v>
      </c>
      <c r="I139" s="80" t="s">
        <v>3630</v>
      </c>
      <c r="J139" s="81"/>
      <c r="K139" s="80"/>
      <c r="L139" s="81"/>
      <c r="M139" s="82"/>
      <c r="N139" s="83"/>
      <c r="AB139" s="43" t="s">
        <v>314</v>
      </c>
    </row>
    <row r="140" spans="1:31" s="40" customFormat="1" x14ac:dyDescent="0.2">
      <c r="A140" s="79"/>
      <c r="B140" s="78"/>
      <c r="C140" s="1768" t="s">
        <v>348</v>
      </c>
      <c r="D140" s="1768"/>
      <c r="E140" s="1768"/>
      <c r="F140" s="80" t="s">
        <v>315</v>
      </c>
      <c r="G140" s="80" t="s">
        <v>3315</v>
      </c>
      <c r="H140" s="80" t="s">
        <v>313</v>
      </c>
      <c r="I140" s="80" t="s">
        <v>3631</v>
      </c>
      <c r="J140" s="81"/>
      <c r="K140" s="80"/>
      <c r="L140" s="81"/>
      <c r="M140" s="82"/>
      <c r="N140" s="83"/>
      <c r="AB140" s="43" t="s">
        <v>348</v>
      </c>
    </row>
    <row r="141" spans="1:31" s="40" customFormat="1" x14ac:dyDescent="0.2">
      <c r="A141" s="79"/>
      <c r="B141" s="78"/>
      <c r="C141" s="1780" t="s">
        <v>318</v>
      </c>
      <c r="D141" s="1780"/>
      <c r="E141" s="1780"/>
      <c r="F141" s="84"/>
      <c r="G141" s="84"/>
      <c r="H141" s="84"/>
      <c r="I141" s="84"/>
      <c r="J141" s="85">
        <v>906.9</v>
      </c>
      <c r="K141" s="84"/>
      <c r="L141" s="85">
        <v>11.78</v>
      </c>
      <c r="M141" s="86"/>
      <c r="N141" s="87"/>
      <c r="AC141" s="43" t="s">
        <v>318</v>
      </c>
    </row>
    <row r="142" spans="1:31" s="40" customFormat="1" x14ac:dyDescent="0.2">
      <c r="A142" s="79"/>
      <c r="B142" s="78"/>
      <c r="C142" s="1768" t="s">
        <v>319</v>
      </c>
      <c r="D142" s="1768"/>
      <c r="E142" s="1768"/>
      <c r="F142" s="80"/>
      <c r="G142" s="80"/>
      <c r="H142" s="80"/>
      <c r="I142" s="80"/>
      <c r="J142" s="81"/>
      <c r="K142" s="80"/>
      <c r="L142" s="81">
        <v>6.08</v>
      </c>
      <c r="M142" s="82"/>
      <c r="N142" s="83"/>
      <c r="AB142" s="43" t="s">
        <v>319</v>
      </c>
    </row>
    <row r="143" spans="1:31" s="40" customFormat="1" ht="33.75" x14ac:dyDescent="0.2">
      <c r="A143" s="79"/>
      <c r="B143" s="78" t="s">
        <v>686</v>
      </c>
      <c r="C143" s="1768" t="s">
        <v>687</v>
      </c>
      <c r="D143" s="1768"/>
      <c r="E143" s="1768"/>
      <c r="F143" s="80" t="s">
        <v>322</v>
      </c>
      <c r="G143" s="80" t="s">
        <v>680</v>
      </c>
      <c r="H143" s="80"/>
      <c r="I143" s="80" t="s">
        <v>680</v>
      </c>
      <c r="J143" s="81"/>
      <c r="K143" s="80"/>
      <c r="L143" s="81">
        <v>6.2</v>
      </c>
      <c r="M143" s="82"/>
      <c r="N143" s="83"/>
      <c r="AB143" s="43" t="s">
        <v>687</v>
      </c>
    </row>
    <row r="144" spans="1:31" s="40" customFormat="1" ht="33.75" x14ac:dyDescent="0.2">
      <c r="A144" s="79"/>
      <c r="B144" s="78" t="s">
        <v>688</v>
      </c>
      <c r="C144" s="1768" t="s">
        <v>689</v>
      </c>
      <c r="D144" s="1768"/>
      <c r="E144" s="1768"/>
      <c r="F144" s="80" t="s">
        <v>322</v>
      </c>
      <c r="G144" s="80" t="s">
        <v>690</v>
      </c>
      <c r="H144" s="80"/>
      <c r="I144" s="80" t="s">
        <v>690</v>
      </c>
      <c r="J144" s="81"/>
      <c r="K144" s="80"/>
      <c r="L144" s="81">
        <v>3.53</v>
      </c>
      <c r="M144" s="82"/>
      <c r="N144" s="83"/>
      <c r="AB144" s="43" t="s">
        <v>689</v>
      </c>
    </row>
    <row r="145" spans="1:30" s="40" customFormat="1" x14ac:dyDescent="0.2">
      <c r="A145" s="88"/>
      <c r="B145" s="89"/>
      <c r="C145" s="1785" t="s">
        <v>327</v>
      </c>
      <c r="D145" s="1785"/>
      <c r="E145" s="1785"/>
      <c r="F145" s="71"/>
      <c r="G145" s="71"/>
      <c r="H145" s="71"/>
      <c r="I145" s="71"/>
      <c r="J145" s="72"/>
      <c r="K145" s="71"/>
      <c r="L145" s="72">
        <v>21.51</v>
      </c>
      <c r="M145" s="86"/>
      <c r="N145" s="74"/>
      <c r="AD145" s="43" t="s">
        <v>327</v>
      </c>
    </row>
    <row r="146" spans="1:30" s="40" customFormat="1" ht="33.75" x14ac:dyDescent="0.2">
      <c r="A146" s="69" t="s">
        <v>197</v>
      </c>
      <c r="B146" s="70" t="s">
        <v>3632</v>
      </c>
      <c r="C146" s="1785" t="s">
        <v>3633</v>
      </c>
      <c r="D146" s="1785"/>
      <c r="E146" s="1785"/>
      <c r="F146" s="71" t="s">
        <v>694</v>
      </c>
      <c r="G146" s="71"/>
      <c r="H146" s="71"/>
      <c r="I146" s="71" t="s">
        <v>3634</v>
      </c>
      <c r="J146" s="72">
        <v>7028.18</v>
      </c>
      <c r="K146" s="71"/>
      <c r="L146" s="72">
        <v>74.5</v>
      </c>
      <c r="M146" s="73"/>
      <c r="N146" s="74"/>
      <c r="X146" s="43" t="s">
        <v>3633</v>
      </c>
    </row>
    <row r="147" spans="1:30" s="40" customFormat="1" x14ac:dyDescent="0.2">
      <c r="A147" s="88"/>
      <c r="B147" s="89"/>
      <c r="C147" s="48" t="s">
        <v>717</v>
      </c>
      <c r="D147" s="117"/>
      <c r="E147" s="117"/>
      <c r="F147" s="90"/>
      <c r="G147" s="90"/>
      <c r="H147" s="90"/>
      <c r="I147" s="90"/>
      <c r="J147" s="118"/>
      <c r="K147" s="90"/>
      <c r="L147" s="118"/>
      <c r="M147" s="119"/>
      <c r="N147" s="120"/>
    </row>
    <row r="148" spans="1:30" s="40" customFormat="1" x14ac:dyDescent="0.2">
      <c r="A148" s="1801" t="s">
        <v>3635</v>
      </c>
      <c r="B148" s="1802"/>
      <c r="C148" s="1802"/>
      <c r="D148" s="1802"/>
      <c r="E148" s="1802"/>
      <c r="F148" s="1802"/>
      <c r="G148" s="1802"/>
      <c r="H148" s="1802"/>
      <c r="I148" s="1802"/>
      <c r="J148" s="1802"/>
      <c r="K148" s="1802"/>
      <c r="L148" s="1802"/>
      <c r="M148" s="1802"/>
      <c r="N148" s="1803"/>
      <c r="W148" s="43" t="s">
        <v>3635</v>
      </c>
    </row>
    <row r="149" spans="1:30" s="40" customFormat="1" ht="22.5" x14ac:dyDescent="0.2">
      <c r="A149" s="69" t="s">
        <v>198</v>
      </c>
      <c r="B149" s="70" t="s">
        <v>3454</v>
      </c>
      <c r="C149" s="1785" t="s">
        <v>3455</v>
      </c>
      <c r="D149" s="1785"/>
      <c r="E149" s="1785"/>
      <c r="F149" s="71" t="s">
        <v>1110</v>
      </c>
      <c r="G149" s="71"/>
      <c r="H149" s="71"/>
      <c r="I149" s="71" t="s">
        <v>3636</v>
      </c>
      <c r="J149" s="72"/>
      <c r="K149" s="71"/>
      <c r="L149" s="72"/>
      <c r="M149" s="73"/>
      <c r="N149" s="74"/>
      <c r="X149" s="43" t="s">
        <v>3455</v>
      </c>
    </row>
    <row r="150" spans="1:30" s="40" customFormat="1" x14ac:dyDescent="0.2">
      <c r="A150" s="75"/>
      <c r="B150" s="76"/>
      <c r="C150" s="1768" t="s">
        <v>3637</v>
      </c>
      <c r="D150" s="1768"/>
      <c r="E150" s="1768"/>
      <c r="F150" s="1768"/>
      <c r="G150" s="1768"/>
      <c r="H150" s="1768"/>
      <c r="I150" s="1768"/>
      <c r="J150" s="1768"/>
      <c r="K150" s="1768"/>
      <c r="L150" s="1768"/>
      <c r="M150" s="1768"/>
      <c r="N150" s="1779"/>
      <c r="Y150" s="43" t="s">
        <v>3637</v>
      </c>
    </row>
    <row r="151" spans="1:30" s="40" customFormat="1" ht="33.75" x14ac:dyDescent="0.2">
      <c r="A151" s="77"/>
      <c r="B151" s="78" t="s">
        <v>310</v>
      </c>
      <c r="C151" s="1768" t="s">
        <v>311</v>
      </c>
      <c r="D151" s="1768"/>
      <c r="E151" s="1768"/>
      <c r="F151" s="1768"/>
      <c r="G151" s="1768"/>
      <c r="H151" s="1768"/>
      <c r="I151" s="1768"/>
      <c r="J151" s="1768"/>
      <c r="K151" s="1768"/>
      <c r="L151" s="1768"/>
      <c r="M151" s="1768"/>
      <c r="N151" s="1779"/>
      <c r="Z151" s="43" t="s">
        <v>311</v>
      </c>
    </row>
    <row r="152" spans="1:30" s="40" customFormat="1" x14ac:dyDescent="0.2">
      <c r="A152" s="79"/>
      <c r="B152" s="78" t="s">
        <v>185</v>
      </c>
      <c r="C152" s="1768" t="s">
        <v>312</v>
      </c>
      <c r="D152" s="1768"/>
      <c r="E152" s="1768"/>
      <c r="F152" s="80"/>
      <c r="G152" s="80"/>
      <c r="H152" s="80"/>
      <c r="I152" s="80"/>
      <c r="J152" s="81">
        <v>390.1</v>
      </c>
      <c r="K152" s="80" t="s">
        <v>313</v>
      </c>
      <c r="L152" s="81">
        <v>81.819999999999993</v>
      </c>
      <c r="M152" s="82"/>
      <c r="N152" s="83"/>
      <c r="AA152" s="43" t="s">
        <v>312</v>
      </c>
    </row>
    <row r="153" spans="1:30" s="40" customFormat="1" x14ac:dyDescent="0.2">
      <c r="A153" s="79"/>
      <c r="B153" s="78" t="s">
        <v>186</v>
      </c>
      <c r="C153" s="1768" t="s">
        <v>344</v>
      </c>
      <c r="D153" s="1768"/>
      <c r="E153" s="1768"/>
      <c r="F153" s="80"/>
      <c r="G153" s="80"/>
      <c r="H153" s="80"/>
      <c r="I153" s="80"/>
      <c r="J153" s="81">
        <v>204.08</v>
      </c>
      <c r="K153" s="80" t="s">
        <v>313</v>
      </c>
      <c r="L153" s="81">
        <v>42.81</v>
      </c>
      <c r="M153" s="82"/>
      <c r="N153" s="83"/>
      <c r="AA153" s="43" t="s">
        <v>344</v>
      </c>
    </row>
    <row r="154" spans="1:30" s="40" customFormat="1" x14ac:dyDescent="0.2">
      <c r="A154" s="79"/>
      <c r="B154" s="78" t="s">
        <v>187</v>
      </c>
      <c r="C154" s="1768" t="s">
        <v>345</v>
      </c>
      <c r="D154" s="1768"/>
      <c r="E154" s="1768"/>
      <c r="F154" s="80"/>
      <c r="G154" s="80"/>
      <c r="H154" s="80"/>
      <c r="I154" s="80"/>
      <c r="J154" s="81">
        <v>30.77</v>
      </c>
      <c r="K154" s="80" t="s">
        <v>313</v>
      </c>
      <c r="L154" s="81">
        <v>6.45</v>
      </c>
      <c r="M154" s="82"/>
      <c r="N154" s="83"/>
      <c r="AA154" s="43" t="s">
        <v>345</v>
      </c>
    </row>
    <row r="155" spans="1:30" s="40" customFormat="1" x14ac:dyDescent="0.2">
      <c r="A155" s="79"/>
      <c r="B155" s="78" t="s">
        <v>188</v>
      </c>
      <c r="C155" s="1768" t="s">
        <v>475</v>
      </c>
      <c r="D155" s="1768"/>
      <c r="E155" s="1768"/>
      <c r="F155" s="80"/>
      <c r="G155" s="80"/>
      <c r="H155" s="80"/>
      <c r="I155" s="80"/>
      <c r="J155" s="81">
        <v>16057.11</v>
      </c>
      <c r="K155" s="80"/>
      <c r="L155" s="81">
        <v>2694.38</v>
      </c>
      <c r="M155" s="82"/>
      <c r="N155" s="83"/>
      <c r="AA155" s="43" t="s">
        <v>475</v>
      </c>
    </row>
    <row r="156" spans="1:30" s="40" customFormat="1" x14ac:dyDescent="0.2">
      <c r="A156" s="79"/>
      <c r="B156" s="78"/>
      <c r="C156" s="1768" t="s">
        <v>314</v>
      </c>
      <c r="D156" s="1768"/>
      <c r="E156" s="1768"/>
      <c r="F156" s="80" t="s">
        <v>315</v>
      </c>
      <c r="G156" s="80" t="s">
        <v>3458</v>
      </c>
      <c r="H156" s="80" t="s">
        <v>313</v>
      </c>
      <c r="I156" s="80" t="s">
        <v>3638</v>
      </c>
      <c r="J156" s="81"/>
      <c r="K156" s="80"/>
      <c r="L156" s="81"/>
      <c r="M156" s="82"/>
      <c r="N156" s="83"/>
      <c r="AB156" s="43" t="s">
        <v>314</v>
      </c>
    </row>
    <row r="157" spans="1:30" s="40" customFormat="1" x14ac:dyDescent="0.2">
      <c r="A157" s="79"/>
      <c r="B157" s="78"/>
      <c r="C157" s="1768" t="s">
        <v>348</v>
      </c>
      <c r="D157" s="1768"/>
      <c r="E157" s="1768"/>
      <c r="F157" s="80" t="s">
        <v>315</v>
      </c>
      <c r="G157" s="80" t="s">
        <v>3460</v>
      </c>
      <c r="H157" s="80" t="s">
        <v>313</v>
      </c>
      <c r="I157" s="80" t="s">
        <v>3639</v>
      </c>
      <c r="J157" s="81"/>
      <c r="K157" s="80"/>
      <c r="L157" s="81"/>
      <c r="M157" s="82"/>
      <c r="N157" s="83"/>
      <c r="AB157" s="43" t="s">
        <v>348</v>
      </c>
    </row>
    <row r="158" spans="1:30" s="40" customFormat="1" x14ac:dyDescent="0.2">
      <c r="A158" s="79"/>
      <c r="B158" s="78"/>
      <c r="C158" s="1780" t="s">
        <v>318</v>
      </c>
      <c r="D158" s="1780"/>
      <c r="E158" s="1780"/>
      <c r="F158" s="84"/>
      <c r="G158" s="84"/>
      <c r="H158" s="84"/>
      <c r="I158" s="84"/>
      <c r="J158" s="85">
        <v>16651.29</v>
      </c>
      <c r="K158" s="84"/>
      <c r="L158" s="85">
        <v>2819.01</v>
      </c>
      <c r="M158" s="86"/>
      <c r="N158" s="87"/>
      <c r="AC158" s="43" t="s">
        <v>318</v>
      </c>
    </row>
    <row r="159" spans="1:30" s="40" customFormat="1" x14ac:dyDescent="0.2">
      <c r="A159" s="79"/>
      <c r="B159" s="78"/>
      <c r="C159" s="1768" t="s">
        <v>319</v>
      </c>
      <c r="D159" s="1768"/>
      <c r="E159" s="1768"/>
      <c r="F159" s="80"/>
      <c r="G159" s="80"/>
      <c r="H159" s="80"/>
      <c r="I159" s="80"/>
      <c r="J159" s="81"/>
      <c r="K159" s="80"/>
      <c r="L159" s="81">
        <v>88.27</v>
      </c>
      <c r="M159" s="82"/>
      <c r="N159" s="83"/>
      <c r="AB159" s="43" t="s">
        <v>319</v>
      </c>
    </row>
    <row r="160" spans="1:30" s="40" customFormat="1" ht="33.75" x14ac:dyDescent="0.2">
      <c r="A160" s="79"/>
      <c r="B160" s="78" t="s">
        <v>3640</v>
      </c>
      <c r="C160" s="1768" t="s">
        <v>3641</v>
      </c>
      <c r="D160" s="1768"/>
      <c r="E160" s="1768"/>
      <c r="F160" s="80" t="s">
        <v>322</v>
      </c>
      <c r="G160" s="80" t="s">
        <v>2034</v>
      </c>
      <c r="H160" s="80"/>
      <c r="I160" s="80" t="s">
        <v>2034</v>
      </c>
      <c r="J160" s="81"/>
      <c r="K160" s="80"/>
      <c r="L160" s="81">
        <v>97.1</v>
      </c>
      <c r="M160" s="82"/>
      <c r="N160" s="83"/>
      <c r="AB160" s="43" t="s">
        <v>3641</v>
      </c>
    </row>
    <row r="161" spans="1:31" s="40" customFormat="1" ht="33.75" x14ac:dyDescent="0.2">
      <c r="A161" s="79"/>
      <c r="B161" s="78" t="s">
        <v>3642</v>
      </c>
      <c r="C161" s="1768" t="s">
        <v>3643</v>
      </c>
      <c r="D161" s="1768"/>
      <c r="E161" s="1768"/>
      <c r="F161" s="80" t="s">
        <v>322</v>
      </c>
      <c r="G161" s="80" t="s">
        <v>817</v>
      </c>
      <c r="H161" s="80"/>
      <c r="I161" s="80" t="s">
        <v>817</v>
      </c>
      <c r="J161" s="81"/>
      <c r="K161" s="80"/>
      <c r="L161" s="81">
        <v>64.44</v>
      </c>
      <c r="M161" s="82"/>
      <c r="N161" s="83"/>
      <c r="AB161" s="43" t="s">
        <v>3643</v>
      </c>
    </row>
    <row r="162" spans="1:31" s="40" customFormat="1" x14ac:dyDescent="0.2">
      <c r="A162" s="88"/>
      <c r="B162" s="89"/>
      <c r="C162" s="1785" t="s">
        <v>327</v>
      </c>
      <c r="D162" s="1785"/>
      <c r="E162" s="1785"/>
      <c r="F162" s="71"/>
      <c r="G162" s="71"/>
      <c r="H162" s="71"/>
      <c r="I162" s="71"/>
      <c r="J162" s="72"/>
      <c r="K162" s="71"/>
      <c r="L162" s="72">
        <v>2980.55</v>
      </c>
      <c r="M162" s="86"/>
      <c r="N162" s="74"/>
      <c r="AD162" s="43" t="s">
        <v>327</v>
      </c>
    </row>
    <row r="163" spans="1:31" s="40" customFormat="1" x14ac:dyDescent="0.2">
      <c r="A163" s="1801" t="s">
        <v>3644</v>
      </c>
      <c r="B163" s="1802"/>
      <c r="C163" s="1802"/>
      <c r="D163" s="1802"/>
      <c r="E163" s="1802"/>
      <c r="F163" s="1802"/>
      <c r="G163" s="1802"/>
      <c r="H163" s="1802"/>
      <c r="I163" s="1802"/>
      <c r="J163" s="1802"/>
      <c r="K163" s="1802"/>
      <c r="L163" s="1802"/>
      <c r="M163" s="1802"/>
      <c r="N163" s="1803"/>
      <c r="W163" s="43" t="s">
        <v>3644</v>
      </c>
    </row>
    <row r="164" spans="1:31" s="40" customFormat="1" ht="22.5" x14ac:dyDescent="0.2">
      <c r="A164" s="69" t="s">
        <v>199</v>
      </c>
      <c r="B164" s="70" t="s">
        <v>3645</v>
      </c>
      <c r="C164" s="1785" t="s">
        <v>3646</v>
      </c>
      <c r="D164" s="1785"/>
      <c r="E164" s="1785"/>
      <c r="F164" s="71" t="s">
        <v>307</v>
      </c>
      <c r="G164" s="71"/>
      <c r="H164" s="71"/>
      <c r="I164" s="71" t="s">
        <v>809</v>
      </c>
      <c r="J164" s="72"/>
      <c r="K164" s="71"/>
      <c r="L164" s="72"/>
      <c r="M164" s="73"/>
      <c r="N164" s="74"/>
      <c r="X164" s="43" t="s">
        <v>3646</v>
      </c>
    </row>
    <row r="165" spans="1:31" s="40" customFormat="1" x14ac:dyDescent="0.2">
      <c r="A165" s="75"/>
      <c r="B165" s="76"/>
      <c r="C165" s="1768" t="s">
        <v>843</v>
      </c>
      <c r="D165" s="1768"/>
      <c r="E165" s="1768"/>
      <c r="F165" s="1768"/>
      <c r="G165" s="1768"/>
      <c r="H165" s="1768"/>
      <c r="I165" s="1768"/>
      <c r="J165" s="1768"/>
      <c r="K165" s="1768"/>
      <c r="L165" s="1768"/>
      <c r="M165" s="1768"/>
      <c r="N165" s="1779"/>
      <c r="Y165" s="43" t="s">
        <v>843</v>
      </c>
    </row>
    <row r="166" spans="1:31" s="40" customFormat="1" ht="33.75" x14ac:dyDescent="0.2">
      <c r="A166" s="77"/>
      <c r="B166" s="78" t="s">
        <v>310</v>
      </c>
      <c r="C166" s="1768" t="s">
        <v>311</v>
      </c>
      <c r="D166" s="1768"/>
      <c r="E166" s="1768"/>
      <c r="F166" s="1768"/>
      <c r="G166" s="1768"/>
      <c r="H166" s="1768"/>
      <c r="I166" s="1768"/>
      <c r="J166" s="1768"/>
      <c r="K166" s="1768"/>
      <c r="L166" s="1768"/>
      <c r="M166" s="1768"/>
      <c r="N166" s="1779"/>
      <c r="Z166" s="43" t="s">
        <v>311</v>
      </c>
    </row>
    <row r="167" spans="1:31" s="40" customFormat="1" x14ac:dyDescent="0.2">
      <c r="A167" s="79"/>
      <c r="B167" s="78" t="s">
        <v>185</v>
      </c>
      <c r="C167" s="1768" t="s">
        <v>312</v>
      </c>
      <c r="D167" s="1768"/>
      <c r="E167" s="1768"/>
      <c r="F167" s="80"/>
      <c r="G167" s="80"/>
      <c r="H167" s="80"/>
      <c r="I167" s="80"/>
      <c r="J167" s="81">
        <v>105.43</v>
      </c>
      <c r="K167" s="80" t="s">
        <v>313</v>
      </c>
      <c r="L167" s="81">
        <v>1.32</v>
      </c>
      <c r="M167" s="82"/>
      <c r="N167" s="83"/>
      <c r="AA167" s="43" t="s">
        <v>312</v>
      </c>
    </row>
    <row r="168" spans="1:31" s="40" customFormat="1" x14ac:dyDescent="0.2">
      <c r="A168" s="79"/>
      <c r="B168" s="78" t="s">
        <v>186</v>
      </c>
      <c r="C168" s="1768" t="s">
        <v>344</v>
      </c>
      <c r="D168" s="1768"/>
      <c r="E168" s="1768"/>
      <c r="F168" s="80"/>
      <c r="G168" s="80"/>
      <c r="H168" s="80"/>
      <c r="I168" s="80"/>
      <c r="J168" s="81">
        <v>674.16</v>
      </c>
      <c r="K168" s="80" t="s">
        <v>313</v>
      </c>
      <c r="L168" s="81">
        <v>8.43</v>
      </c>
      <c r="M168" s="82"/>
      <c r="N168" s="83"/>
      <c r="AA168" s="43" t="s">
        <v>344</v>
      </c>
    </row>
    <row r="169" spans="1:31" s="40" customFormat="1" x14ac:dyDescent="0.2">
      <c r="A169" s="79"/>
      <c r="B169" s="78" t="s">
        <v>187</v>
      </c>
      <c r="C169" s="1768" t="s">
        <v>345</v>
      </c>
      <c r="D169" s="1768"/>
      <c r="E169" s="1768"/>
      <c r="F169" s="80"/>
      <c r="G169" s="80"/>
      <c r="H169" s="80"/>
      <c r="I169" s="80"/>
      <c r="J169" s="81">
        <v>69.599999999999994</v>
      </c>
      <c r="K169" s="80" t="s">
        <v>313</v>
      </c>
      <c r="L169" s="81">
        <v>0.87</v>
      </c>
      <c r="M169" s="82"/>
      <c r="N169" s="83"/>
      <c r="AA169" s="43" t="s">
        <v>345</v>
      </c>
    </row>
    <row r="170" spans="1:31" s="40" customFormat="1" ht="22.5" x14ac:dyDescent="0.2">
      <c r="A170" s="75"/>
      <c r="B170" s="114" t="s">
        <v>3647</v>
      </c>
      <c r="C170" s="1804" t="s">
        <v>3648</v>
      </c>
      <c r="D170" s="1804"/>
      <c r="E170" s="1804"/>
      <c r="F170" s="115" t="s">
        <v>638</v>
      </c>
      <c r="G170" s="115" t="s">
        <v>844</v>
      </c>
      <c r="H170" s="115"/>
      <c r="I170" s="115" t="s">
        <v>185</v>
      </c>
      <c r="J170" s="78"/>
      <c r="K170" s="80"/>
      <c r="L170" s="81"/>
      <c r="M170" s="80"/>
      <c r="N170" s="116"/>
      <c r="AE170" s="43" t="s">
        <v>3648</v>
      </c>
    </row>
    <row r="171" spans="1:31" s="40" customFormat="1" x14ac:dyDescent="0.2">
      <c r="A171" s="79"/>
      <c r="B171" s="78"/>
      <c r="C171" s="1768" t="s">
        <v>314</v>
      </c>
      <c r="D171" s="1768"/>
      <c r="E171" s="1768"/>
      <c r="F171" s="80" t="s">
        <v>315</v>
      </c>
      <c r="G171" s="80" t="s">
        <v>3649</v>
      </c>
      <c r="H171" s="80" t="s">
        <v>313</v>
      </c>
      <c r="I171" s="80" t="s">
        <v>3650</v>
      </c>
      <c r="J171" s="81"/>
      <c r="K171" s="80"/>
      <c r="L171" s="81"/>
      <c r="M171" s="82"/>
      <c r="N171" s="83"/>
      <c r="AB171" s="43" t="s">
        <v>314</v>
      </c>
    </row>
    <row r="172" spans="1:31" s="40" customFormat="1" x14ac:dyDescent="0.2">
      <c r="A172" s="79"/>
      <c r="B172" s="78"/>
      <c r="C172" s="1768" t="s">
        <v>348</v>
      </c>
      <c r="D172" s="1768"/>
      <c r="E172" s="1768"/>
      <c r="F172" s="80" t="s">
        <v>315</v>
      </c>
      <c r="G172" s="80" t="s">
        <v>190</v>
      </c>
      <c r="H172" s="80" t="s">
        <v>313</v>
      </c>
      <c r="I172" s="80" t="s">
        <v>2219</v>
      </c>
      <c r="J172" s="81"/>
      <c r="K172" s="80"/>
      <c r="L172" s="81"/>
      <c r="M172" s="82"/>
      <c r="N172" s="83"/>
      <c r="AB172" s="43" t="s">
        <v>348</v>
      </c>
    </row>
    <row r="173" spans="1:31" s="40" customFormat="1" x14ac:dyDescent="0.2">
      <c r="A173" s="79"/>
      <c r="B173" s="78"/>
      <c r="C173" s="1780" t="s">
        <v>318</v>
      </c>
      <c r="D173" s="1780"/>
      <c r="E173" s="1780"/>
      <c r="F173" s="84"/>
      <c r="G173" s="84"/>
      <c r="H173" s="84"/>
      <c r="I173" s="84"/>
      <c r="J173" s="85">
        <v>779.59</v>
      </c>
      <c r="K173" s="84"/>
      <c r="L173" s="85">
        <v>9.75</v>
      </c>
      <c r="M173" s="86"/>
      <c r="N173" s="87"/>
      <c r="AC173" s="43" t="s">
        <v>318</v>
      </c>
    </row>
    <row r="174" spans="1:31" s="40" customFormat="1" x14ac:dyDescent="0.2">
      <c r="A174" s="79"/>
      <c r="B174" s="78"/>
      <c r="C174" s="1768" t="s">
        <v>319</v>
      </c>
      <c r="D174" s="1768"/>
      <c r="E174" s="1768"/>
      <c r="F174" s="80"/>
      <c r="G174" s="80"/>
      <c r="H174" s="80"/>
      <c r="I174" s="80"/>
      <c r="J174" s="81"/>
      <c r="K174" s="80"/>
      <c r="L174" s="81">
        <v>2.19</v>
      </c>
      <c r="M174" s="82"/>
      <c r="N174" s="83"/>
      <c r="AB174" s="43" t="s">
        <v>319</v>
      </c>
    </row>
    <row r="175" spans="1:31" s="40" customFormat="1" ht="33.75" x14ac:dyDescent="0.2">
      <c r="A175" s="79"/>
      <c r="B175" s="78" t="s">
        <v>741</v>
      </c>
      <c r="C175" s="1768" t="s">
        <v>742</v>
      </c>
      <c r="D175" s="1768"/>
      <c r="E175" s="1768"/>
      <c r="F175" s="80" t="s">
        <v>322</v>
      </c>
      <c r="G175" s="80" t="s">
        <v>743</v>
      </c>
      <c r="H175" s="80"/>
      <c r="I175" s="80" t="s">
        <v>743</v>
      </c>
      <c r="J175" s="81"/>
      <c r="K175" s="80"/>
      <c r="L175" s="81">
        <v>2.15</v>
      </c>
      <c r="M175" s="82"/>
      <c r="N175" s="83"/>
      <c r="AB175" s="43" t="s">
        <v>742</v>
      </c>
    </row>
    <row r="176" spans="1:31" s="40" customFormat="1" ht="33.75" x14ac:dyDescent="0.2">
      <c r="A176" s="79"/>
      <c r="B176" s="78" t="s">
        <v>744</v>
      </c>
      <c r="C176" s="1768" t="s">
        <v>745</v>
      </c>
      <c r="D176" s="1768"/>
      <c r="E176" s="1768"/>
      <c r="F176" s="80" t="s">
        <v>322</v>
      </c>
      <c r="G176" s="80" t="s">
        <v>690</v>
      </c>
      <c r="H176" s="80"/>
      <c r="I176" s="80" t="s">
        <v>690</v>
      </c>
      <c r="J176" s="81"/>
      <c r="K176" s="80"/>
      <c r="L176" s="81">
        <v>1.27</v>
      </c>
      <c r="M176" s="82"/>
      <c r="N176" s="83"/>
      <c r="AB176" s="43" t="s">
        <v>745</v>
      </c>
    </row>
    <row r="177" spans="1:34" s="40" customFormat="1" x14ac:dyDescent="0.2">
      <c r="A177" s="88"/>
      <c r="B177" s="89"/>
      <c r="C177" s="1785" t="s">
        <v>327</v>
      </c>
      <c r="D177" s="1785"/>
      <c r="E177" s="1785"/>
      <c r="F177" s="71"/>
      <c r="G177" s="71"/>
      <c r="H177" s="71"/>
      <c r="I177" s="71"/>
      <c r="J177" s="72"/>
      <c r="K177" s="71"/>
      <c r="L177" s="72">
        <v>13.17</v>
      </c>
      <c r="M177" s="86"/>
      <c r="N177" s="74"/>
      <c r="AD177" s="43" t="s">
        <v>327</v>
      </c>
    </row>
    <row r="178" spans="1:34" s="40" customFormat="1" ht="56.25" x14ac:dyDescent="0.2">
      <c r="A178" s="69" t="s">
        <v>200</v>
      </c>
      <c r="B178" s="70" t="s">
        <v>3651</v>
      </c>
      <c r="C178" s="1785" t="s">
        <v>3652</v>
      </c>
      <c r="D178" s="1785"/>
      <c r="E178" s="1785"/>
      <c r="F178" s="71" t="s">
        <v>638</v>
      </c>
      <c r="G178" s="71"/>
      <c r="H178" s="71"/>
      <c r="I178" s="71" t="s">
        <v>185</v>
      </c>
      <c r="J178" s="72">
        <v>886.75</v>
      </c>
      <c r="K178" s="71"/>
      <c r="L178" s="72">
        <v>886.75</v>
      </c>
      <c r="M178" s="73"/>
      <c r="N178" s="74"/>
      <c r="X178" s="43" t="s">
        <v>3652</v>
      </c>
    </row>
    <row r="179" spans="1:34" s="40" customFormat="1" x14ac:dyDescent="0.2">
      <c r="A179" s="88"/>
      <c r="B179" s="89"/>
      <c r="C179" s="48" t="s">
        <v>717</v>
      </c>
      <c r="D179" s="117"/>
      <c r="E179" s="117"/>
      <c r="F179" s="90"/>
      <c r="G179" s="90"/>
      <c r="H179" s="90"/>
      <c r="I179" s="90"/>
      <c r="J179" s="118"/>
      <c r="K179" s="90"/>
      <c r="L179" s="118"/>
      <c r="M179" s="119"/>
      <c r="N179" s="120"/>
    </row>
    <row r="180" spans="1:34" s="40" customFormat="1" ht="1.5" customHeight="1" x14ac:dyDescent="0.2">
      <c r="A180" s="90"/>
      <c r="B180" s="89"/>
      <c r="C180" s="89"/>
      <c r="D180" s="89"/>
      <c r="E180" s="89"/>
      <c r="F180" s="90"/>
      <c r="G180" s="90"/>
      <c r="H180" s="90"/>
      <c r="I180" s="90"/>
      <c r="J180" s="91"/>
      <c r="K180" s="90"/>
      <c r="L180" s="91"/>
      <c r="M180" s="80"/>
      <c r="N180" s="91"/>
    </row>
    <row r="181" spans="1:34" s="40" customFormat="1" x14ac:dyDescent="0.2">
      <c r="A181" s="92"/>
      <c r="B181" s="93"/>
      <c r="C181" s="1785" t="s">
        <v>3653</v>
      </c>
      <c r="D181" s="1785"/>
      <c r="E181" s="1785"/>
      <c r="F181" s="1785"/>
      <c r="G181" s="1785"/>
      <c r="H181" s="1785"/>
      <c r="I181" s="1785"/>
      <c r="J181" s="1785"/>
      <c r="K181" s="1785"/>
      <c r="L181" s="94"/>
      <c r="M181" s="95"/>
      <c r="N181" s="96"/>
      <c r="AG181" s="43" t="s">
        <v>3653</v>
      </c>
    </row>
    <row r="182" spans="1:34" s="40" customFormat="1" x14ac:dyDescent="0.2">
      <c r="A182" s="97"/>
      <c r="B182" s="78"/>
      <c r="C182" s="1768" t="s">
        <v>403</v>
      </c>
      <c r="D182" s="1768"/>
      <c r="E182" s="1768"/>
      <c r="F182" s="1768"/>
      <c r="G182" s="1768"/>
      <c r="H182" s="1768"/>
      <c r="I182" s="1768"/>
      <c r="J182" s="1768"/>
      <c r="K182" s="1768"/>
      <c r="L182" s="98">
        <v>6508.74</v>
      </c>
      <c r="M182" s="99"/>
      <c r="N182" s="100"/>
      <c r="AH182" s="43" t="s">
        <v>403</v>
      </c>
    </row>
    <row r="183" spans="1:34" s="40" customFormat="1" x14ac:dyDescent="0.2">
      <c r="A183" s="97"/>
      <c r="B183" s="78"/>
      <c r="C183" s="1768" t="s">
        <v>204</v>
      </c>
      <c r="D183" s="1768"/>
      <c r="E183" s="1768"/>
      <c r="F183" s="1768"/>
      <c r="G183" s="1768"/>
      <c r="H183" s="1768"/>
      <c r="I183" s="1768"/>
      <c r="J183" s="1768"/>
      <c r="K183" s="1768"/>
      <c r="L183" s="98"/>
      <c r="M183" s="99"/>
      <c r="N183" s="100"/>
      <c r="AH183" s="43" t="s">
        <v>204</v>
      </c>
    </row>
    <row r="184" spans="1:34" s="40" customFormat="1" x14ac:dyDescent="0.2">
      <c r="A184" s="97"/>
      <c r="B184" s="78"/>
      <c r="C184" s="1768" t="s">
        <v>404</v>
      </c>
      <c r="D184" s="1768"/>
      <c r="E184" s="1768"/>
      <c r="F184" s="1768"/>
      <c r="G184" s="1768"/>
      <c r="H184" s="1768"/>
      <c r="I184" s="1768"/>
      <c r="J184" s="1768"/>
      <c r="K184" s="1768"/>
      <c r="L184" s="98">
        <v>154.41</v>
      </c>
      <c r="M184" s="99"/>
      <c r="N184" s="100"/>
      <c r="AH184" s="43" t="s">
        <v>404</v>
      </c>
    </row>
    <row r="185" spans="1:34" s="40" customFormat="1" x14ac:dyDescent="0.2">
      <c r="A185" s="97"/>
      <c r="B185" s="78"/>
      <c r="C185" s="1768" t="s">
        <v>405</v>
      </c>
      <c r="D185" s="1768"/>
      <c r="E185" s="1768"/>
      <c r="F185" s="1768"/>
      <c r="G185" s="1768"/>
      <c r="H185" s="1768"/>
      <c r="I185" s="1768"/>
      <c r="J185" s="1768"/>
      <c r="K185" s="1768"/>
      <c r="L185" s="98">
        <v>241.16</v>
      </c>
      <c r="M185" s="99"/>
      <c r="N185" s="100"/>
      <c r="AH185" s="43" t="s">
        <v>405</v>
      </c>
    </row>
    <row r="186" spans="1:34" s="40" customFormat="1" x14ac:dyDescent="0.2">
      <c r="A186" s="97"/>
      <c r="B186" s="78"/>
      <c r="C186" s="1768" t="s">
        <v>406</v>
      </c>
      <c r="D186" s="1768"/>
      <c r="E186" s="1768"/>
      <c r="F186" s="1768"/>
      <c r="G186" s="1768"/>
      <c r="H186" s="1768"/>
      <c r="I186" s="1768"/>
      <c r="J186" s="1768"/>
      <c r="K186" s="1768"/>
      <c r="L186" s="98">
        <v>30.64</v>
      </c>
      <c r="M186" s="99"/>
      <c r="N186" s="100"/>
      <c r="AH186" s="43" t="s">
        <v>406</v>
      </c>
    </row>
    <row r="187" spans="1:34" s="40" customFormat="1" x14ac:dyDescent="0.2">
      <c r="A187" s="97"/>
      <c r="B187" s="78"/>
      <c r="C187" s="1768" t="s">
        <v>480</v>
      </c>
      <c r="D187" s="1768"/>
      <c r="E187" s="1768"/>
      <c r="F187" s="1768"/>
      <c r="G187" s="1768"/>
      <c r="H187" s="1768"/>
      <c r="I187" s="1768"/>
      <c r="J187" s="1768"/>
      <c r="K187" s="1768"/>
      <c r="L187" s="98">
        <v>6113.17</v>
      </c>
      <c r="M187" s="99"/>
      <c r="N187" s="100"/>
      <c r="AH187" s="43" t="s">
        <v>480</v>
      </c>
    </row>
    <row r="188" spans="1:34" s="40" customFormat="1" x14ac:dyDescent="0.2">
      <c r="A188" s="97"/>
      <c r="B188" s="78"/>
      <c r="C188" s="1768" t="s">
        <v>407</v>
      </c>
      <c r="D188" s="1768"/>
      <c r="E188" s="1768"/>
      <c r="F188" s="1768"/>
      <c r="G188" s="1768"/>
      <c r="H188" s="1768"/>
      <c r="I188" s="1768"/>
      <c r="J188" s="1768"/>
      <c r="K188" s="1768"/>
      <c r="L188" s="98">
        <v>6822.79</v>
      </c>
      <c r="M188" s="99"/>
      <c r="N188" s="100"/>
      <c r="AH188" s="43" t="s">
        <v>407</v>
      </c>
    </row>
    <row r="189" spans="1:34" s="40" customFormat="1" x14ac:dyDescent="0.2">
      <c r="A189" s="97"/>
      <c r="B189" s="78" t="s">
        <v>185</v>
      </c>
      <c r="C189" s="1768" t="s">
        <v>408</v>
      </c>
      <c r="D189" s="1768"/>
      <c r="E189" s="1768"/>
      <c r="F189" s="1768"/>
      <c r="G189" s="1768"/>
      <c r="H189" s="1768"/>
      <c r="I189" s="1768"/>
      <c r="J189" s="1768"/>
      <c r="K189" s="1768"/>
      <c r="L189" s="98">
        <v>6801.57</v>
      </c>
      <c r="M189" s="99"/>
      <c r="N189" s="100"/>
      <c r="AH189" s="43" t="s">
        <v>408</v>
      </c>
    </row>
    <row r="190" spans="1:34" s="40" customFormat="1" x14ac:dyDescent="0.2">
      <c r="A190" s="97"/>
      <c r="B190" s="78"/>
      <c r="C190" s="1768" t="s">
        <v>409</v>
      </c>
      <c r="D190" s="1768"/>
      <c r="E190" s="1768"/>
      <c r="F190" s="1768"/>
      <c r="G190" s="1768"/>
      <c r="H190" s="1768"/>
      <c r="I190" s="1768"/>
      <c r="J190" s="1768"/>
      <c r="K190" s="1768"/>
      <c r="L190" s="98"/>
      <c r="M190" s="99"/>
      <c r="N190" s="100"/>
      <c r="AH190" s="43" t="s">
        <v>409</v>
      </c>
    </row>
    <row r="191" spans="1:34" s="40" customFormat="1" x14ac:dyDescent="0.2">
      <c r="A191" s="97"/>
      <c r="B191" s="78"/>
      <c r="C191" s="1768" t="s">
        <v>410</v>
      </c>
      <c r="D191" s="1768"/>
      <c r="E191" s="1768"/>
      <c r="F191" s="1768"/>
      <c r="G191" s="1768"/>
      <c r="H191" s="1768"/>
      <c r="I191" s="1768"/>
      <c r="J191" s="1768"/>
      <c r="K191" s="1768"/>
      <c r="L191" s="98">
        <v>154.41</v>
      </c>
      <c r="M191" s="99"/>
      <c r="N191" s="100"/>
      <c r="AH191" s="43" t="s">
        <v>410</v>
      </c>
    </row>
    <row r="192" spans="1:34" s="40" customFormat="1" x14ac:dyDescent="0.2">
      <c r="A192" s="97"/>
      <c r="B192" s="78"/>
      <c r="C192" s="1768" t="s">
        <v>411</v>
      </c>
      <c r="D192" s="1768"/>
      <c r="E192" s="1768"/>
      <c r="F192" s="1768"/>
      <c r="G192" s="1768"/>
      <c r="H192" s="1768"/>
      <c r="I192" s="1768"/>
      <c r="J192" s="1768"/>
      <c r="K192" s="1768"/>
      <c r="L192" s="98">
        <v>219.94</v>
      </c>
      <c r="M192" s="99"/>
      <c r="N192" s="100"/>
      <c r="AH192" s="43" t="s">
        <v>411</v>
      </c>
    </row>
    <row r="193" spans="1:35" s="40" customFormat="1" x14ac:dyDescent="0.2">
      <c r="A193" s="97"/>
      <c r="B193" s="78"/>
      <c r="C193" s="1768" t="s">
        <v>481</v>
      </c>
      <c r="D193" s="1768"/>
      <c r="E193" s="1768"/>
      <c r="F193" s="1768"/>
      <c r="G193" s="1768"/>
      <c r="H193" s="1768"/>
      <c r="I193" s="1768"/>
      <c r="J193" s="1768"/>
      <c r="K193" s="1768"/>
      <c r="L193" s="98">
        <v>6113.17</v>
      </c>
      <c r="M193" s="99"/>
      <c r="N193" s="100"/>
      <c r="AH193" s="43" t="s">
        <v>481</v>
      </c>
    </row>
    <row r="194" spans="1:35" s="40" customFormat="1" x14ac:dyDescent="0.2">
      <c r="A194" s="97"/>
      <c r="B194" s="78"/>
      <c r="C194" s="1768" t="s">
        <v>412</v>
      </c>
      <c r="D194" s="1768"/>
      <c r="E194" s="1768"/>
      <c r="F194" s="1768"/>
      <c r="G194" s="1768"/>
      <c r="H194" s="1768"/>
      <c r="I194" s="1768"/>
      <c r="J194" s="1768"/>
      <c r="K194" s="1768"/>
      <c r="L194" s="98">
        <v>194.7</v>
      </c>
      <c r="M194" s="99"/>
      <c r="N194" s="100"/>
      <c r="AH194" s="43" t="s">
        <v>412</v>
      </c>
    </row>
    <row r="195" spans="1:35" s="40" customFormat="1" x14ac:dyDescent="0.2">
      <c r="A195" s="97"/>
      <c r="B195" s="78"/>
      <c r="C195" s="1768" t="s">
        <v>413</v>
      </c>
      <c r="D195" s="1768"/>
      <c r="E195" s="1768"/>
      <c r="F195" s="1768"/>
      <c r="G195" s="1768"/>
      <c r="H195" s="1768"/>
      <c r="I195" s="1768"/>
      <c r="J195" s="1768"/>
      <c r="K195" s="1768"/>
      <c r="L195" s="98">
        <v>119.35</v>
      </c>
      <c r="M195" s="99"/>
      <c r="N195" s="100"/>
      <c r="AH195" s="43" t="s">
        <v>413</v>
      </c>
    </row>
    <row r="196" spans="1:35" s="40" customFormat="1" x14ac:dyDescent="0.2">
      <c r="A196" s="97"/>
      <c r="B196" s="78" t="s">
        <v>185</v>
      </c>
      <c r="C196" s="1768" t="s">
        <v>414</v>
      </c>
      <c r="D196" s="1768"/>
      <c r="E196" s="1768"/>
      <c r="F196" s="1768"/>
      <c r="G196" s="1768"/>
      <c r="H196" s="1768"/>
      <c r="I196" s="1768"/>
      <c r="J196" s="1768"/>
      <c r="K196" s="1768"/>
      <c r="L196" s="98">
        <v>21.22</v>
      </c>
      <c r="M196" s="99"/>
      <c r="N196" s="100"/>
      <c r="AH196" s="43" t="s">
        <v>414</v>
      </c>
    </row>
    <row r="197" spans="1:35" s="40" customFormat="1" x14ac:dyDescent="0.2">
      <c r="A197" s="97"/>
      <c r="B197" s="78"/>
      <c r="C197" s="1768" t="s">
        <v>415</v>
      </c>
      <c r="D197" s="1768"/>
      <c r="E197" s="1768"/>
      <c r="F197" s="1768"/>
      <c r="G197" s="1768"/>
      <c r="H197" s="1768"/>
      <c r="I197" s="1768"/>
      <c r="J197" s="1768"/>
      <c r="K197" s="1768"/>
      <c r="L197" s="98">
        <v>185.05</v>
      </c>
      <c r="M197" s="99"/>
      <c r="N197" s="100"/>
      <c r="AH197" s="43" t="s">
        <v>415</v>
      </c>
    </row>
    <row r="198" spans="1:35" s="40" customFormat="1" x14ac:dyDescent="0.2">
      <c r="A198" s="97"/>
      <c r="B198" s="78"/>
      <c r="C198" s="1768" t="s">
        <v>416</v>
      </c>
      <c r="D198" s="1768"/>
      <c r="E198" s="1768"/>
      <c r="F198" s="1768"/>
      <c r="G198" s="1768"/>
      <c r="H198" s="1768"/>
      <c r="I198" s="1768"/>
      <c r="J198" s="1768"/>
      <c r="K198" s="1768"/>
      <c r="L198" s="98">
        <v>194.7</v>
      </c>
      <c r="M198" s="99"/>
      <c r="N198" s="100"/>
      <c r="AH198" s="43" t="s">
        <v>416</v>
      </c>
    </row>
    <row r="199" spans="1:35" s="40" customFormat="1" x14ac:dyDescent="0.2">
      <c r="A199" s="97"/>
      <c r="B199" s="78"/>
      <c r="C199" s="1768" t="s">
        <v>417</v>
      </c>
      <c r="D199" s="1768"/>
      <c r="E199" s="1768"/>
      <c r="F199" s="1768"/>
      <c r="G199" s="1768"/>
      <c r="H199" s="1768"/>
      <c r="I199" s="1768"/>
      <c r="J199" s="1768"/>
      <c r="K199" s="1768"/>
      <c r="L199" s="98">
        <v>119.35</v>
      </c>
      <c r="M199" s="99"/>
      <c r="N199" s="100"/>
      <c r="AH199" s="43" t="s">
        <v>417</v>
      </c>
    </row>
    <row r="200" spans="1:35" s="40" customFormat="1" x14ac:dyDescent="0.2">
      <c r="A200" s="97"/>
      <c r="B200" s="91"/>
      <c r="C200" s="1787" t="s">
        <v>3654</v>
      </c>
      <c r="D200" s="1787"/>
      <c r="E200" s="1787"/>
      <c r="F200" s="1787"/>
      <c r="G200" s="1787"/>
      <c r="H200" s="1787"/>
      <c r="I200" s="1787"/>
      <c r="J200" s="1787"/>
      <c r="K200" s="1787"/>
      <c r="L200" s="102">
        <v>6822.79</v>
      </c>
      <c r="M200" s="103"/>
      <c r="N200" s="104"/>
      <c r="AI200" s="43" t="s">
        <v>3654</v>
      </c>
    </row>
    <row r="201" spans="1:35" s="40" customFormat="1" ht="12" x14ac:dyDescent="0.2">
      <c r="A201" s="1782" t="s">
        <v>3655</v>
      </c>
      <c r="B201" s="1783"/>
      <c r="C201" s="1783"/>
      <c r="D201" s="1783"/>
      <c r="E201" s="1783"/>
      <c r="F201" s="1783"/>
      <c r="G201" s="1783"/>
      <c r="H201" s="1783"/>
      <c r="I201" s="1783"/>
      <c r="J201" s="1783"/>
      <c r="K201" s="1783"/>
      <c r="L201" s="1783"/>
      <c r="M201" s="1783"/>
      <c r="N201" s="1784"/>
      <c r="V201" s="43" t="s">
        <v>3655</v>
      </c>
    </row>
    <row r="202" spans="1:35" s="40" customFormat="1" x14ac:dyDescent="0.2">
      <c r="A202" s="1801" t="s">
        <v>494</v>
      </c>
      <c r="B202" s="1802"/>
      <c r="C202" s="1802"/>
      <c r="D202" s="1802"/>
      <c r="E202" s="1802"/>
      <c r="F202" s="1802"/>
      <c r="G202" s="1802"/>
      <c r="H202" s="1802"/>
      <c r="I202" s="1802"/>
      <c r="J202" s="1802"/>
      <c r="K202" s="1802"/>
      <c r="L202" s="1802"/>
      <c r="M202" s="1802"/>
      <c r="N202" s="1803"/>
      <c r="W202" s="43" t="s">
        <v>494</v>
      </c>
    </row>
    <row r="203" spans="1:35" s="40" customFormat="1" ht="56.25" x14ac:dyDescent="0.2">
      <c r="A203" s="69" t="s">
        <v>425</v>
      </c>
      <c r="B203" s="70" t="s">
        <v>1349</v>
      </c>
      <c r="C203" s="1785" t="s">
        <v>1350</v>
      </c>
      <c r="D203" s="1785"/>
      <c r="E203" s="1785"/>
      <c r="F203" s="71" t="s">
        <v>455</v>
      </c>
      <c r="G203" s="71"/>
      <c r="H203" s="71"/>
      <c r="I203" s="71" t="s">
        <v>3596</v>
      </c>
      <c r="J203" s="72"/>
      <c r="K203" s="71"/>
      <c r="L203" s="72"/>
      <c r="M203" s="73"/>
      <c r="N203" s="74"/>
      <c r="X203" s="43" t="s">
        <v>1350</v>
      </c>
    </row>
    <row r="204" spans="1:35" s="40" customFormat="1" x14ac:dyDescent="0.2">
      <c r="A204" s="75"/>
      <c r="B204" s="76"/>
      <c r="C204" s="1768" t="s">
        <v>3597</v>
      </c>
      <c r="D204" s="1768"/>
      <c r="E204" s="1768"/>
      <c r="F204" s="1768"/>
      <c r="G204" s="1768"/>
      <c r="H204" s="1768"/>
      <c r="I204" s="1768"/>
      <c r="J204" s="1768"/>
      <c r="K204" s="1768"/>
      <c r="L204" s="1768"/>
      <c r="M204" s="1768"/>
      <c r="N204" s="1779"/>
      <c r="Y204" s="43" t="s">
        <v>3597</v>
      </c>
    </row>
    <row r="205" spans="1:35" s="40" customFormat="1" ht="33.75" x14ac:dyDescent="0.2">
      <c r="A205" s="77"/>
      <c r="B205" s="78" t="s">
        <v>310</v>
      </c>
      <c r="C205" s="1768" t="s">
        <v>311</v>
      </c>
      <c r="D205" s="1768"/>
      <c r="E205" s="1768"/>
      <c r="F205" s="1768"/>
      <c r="G205" s="1768"/>
      <c r="H205" s="1768"/>
      <c r="I205" s="1768"/>
      <c r="J205" s="1768"/>
      <c r="K205" s="1768"/>
      <c r="L205" s="1768"/>
      <c r="M205" s="1768"/>
      <c r="N205" s="1779"/>
      <c r="Z205" s="43" t="s">
        <v>311</v>
      </c>
    </row>
    <row r="206" spans="1:35" s="40" customFormat="1" x14ac:dyDescent="0.2">
      <c r="A206" s="79"/>
      <c r="B206" s="78" t="s">
        <v>186</v>
      </c>
      <c r="C206" s="1768" t="s">
        <v>344</v>
      </c>
      <c r="D206" s="1768"/>
      <c r="E206" s="1768"/>
      <c r="F206" s="80"/>
      <c r="G206" s="80"/>
      <c r="H206" s="80"/>
      <c r="I206" s="80"/>
      <c r="J206" s="81">
        <v>7550.19</v>
      </c>
      <c r="K206" s="80" t="s">
        <v>313</v>
      </c>
      <c r="L206" s="81">
        <v>29.92</v>
      </c>
      <c r="M206" s="82"/>
      <c r="N206" s="83"/>
      <c r="AA206" s="43" t="s">
        <v>344</v>
      </c>
    </row>
    <row r="207" spans="1:35" s="40" customFormat="1" x14ac:dyDescent="0.2">
      <c r="A207" s="79"/>
      <c r="B207" s="78" t="s">
        <v>187</v>
      </c>
      <c r="C207" s="1768" t="s">
        <v>345</v>
      </c>
      <c r="D207" s="1768"/>
      <c r="E207" s="1768"/>
      <c r="F207" s="80"/>
      <c r="G207" s="80"/>
      <c r="H207" s="80"/>
      <c r="I207" s="80"/>
      <c r="J207" s="81">
        <v>884.25</v>
      </c>
      <c r="K207" s="80" t="s">
        <v>313</v>
      </c>
      <c r="L207" s="81">
        <v>3.5</v>
      </c>
      <c r="M207" s="82"/>
      <c r="N207" s="83"/>
      <c r="AA207" s="43" t="s">
        <v>345</v>
      </c>
    </row>
    <row r="208" spans="1:35" s="40" customFormat="1" x14ac:dyDescent="0.2">
      <c r="A208" s="79"/>
      <c r="B208" s="78"/>
      <c r="C208" s="1768" t="s">
        <v>348</v>
      </c>
      <c r="D208" s="1768"/>
      <c r="E208" s="1768"/>
      <c r="F208" s="80" t="s">
        <v>315</v>
      </c>
      <c r="G208" s="80" t="s">
        <v>1353</v>
      </c>
      <c r="H208" s="80" t="s">
        <v>313</v>
      </c>
      <c r="I208" s="80" t="s">
        <v>3598</v>
      </c>
      <c r="J208" s="81"/>
      <c r="K208" s="80"/>
      <c r="L208" s="81"/>
      <c r="M208" s="82"/>
      <c r="N208" s="83"/>
      <c r="AB208" s="43" t="s">
        <v>348</v>
      </c>
    </row>
    <row r="209" spans="1:30" s="40" customFormat="1" x14ac:dyDescent="0.2">
      <c r="A209" s="79"/>
      <c r="B209" s="78"/>
      <c r="C209" s="1780" t="s">
        <v>318</v>
      </c>
      <c r="D209" s="1780"/>
      <c r="E209" s="1780"/>
      <c r="F209" s="84"/>
      <c r="G209" s="84"/>
      <c r="H209" s="84"/>
      <c r="I209" s="84"/>
      <c r="J209" s="85">
        <v>7550.19</v>
      </c>
      <c r="K209" s="84"/>
      <c r="L209" s="85">
        <v>29.92</v>
      </c>
      <c r="M209" s="86"/>
      <c r="N209" s="87"/>
      <c r="AC209" s="43" t="s">
        <v>318</v>
      </c>
    </row>
    <row r="210" spans="1:30" s="40" customFormat="1" x14ac:dyDescent="0.2">
      <c r="A210" s="79"/>
      <c r="B210" s="78"/>
      <c r="C210" s="1768" t="s">
        <v>319</v>
      </c>
      <c r="D210" s="1768"/>
      <c r="E210" s="1768"/>
      <c r="F210" s="80"/>
      <c r="G210" s="80"/>
      <c r="H210" s="80"/>
      <c r="I210" s="80"/>
      <c r="J210" s="81"/>
      <c r="K210" s="80"/>
      <c r="L210" s="81">
        <v>3.5</v>
      </c>
      <c r="M210" s="82"/>
      <c r="N210" s="83"/>
      <c r="AB210" s="43" t="s">
        <v>319</v>
      </c>
    </row>
    <row r="211" spans="1:30" s="40" customFormat="1" ht="33.75" x14ac:dyDescent="0.2">
      <c r="A211" s="79"/>
      <c r="B211" s="78" t="s">
        <v>460</v>
      </c>
      <c r="C211" s="1768" t="s">
        <v>461</v>
      </c>
      <c r="D211" s="1768"/>
      <c r="E211" s="1768"/>
      <c r="F211" s="80" t="s">
        <v>322</v>
      </c>
      <c r="G211" s="80" t="s">
        <v>462</v>
      </c>
      <c r="H211" s="80"/>
      <c r="I211" s="80" t="s">
        <v>462</v>
      </c>
      <c r="J211" s="81"/>
      <c r="K211" s="80"/>
      <c r="L211" s="81">
        <v>3.22</v>
      </c>
      <c r="M211" s="82"/>
      <c r="N211" s="83"/>
      <c r="AB211" s="43" t="s">
        <v>461</v>
      </c>
    </row>
    <row r="212" spans="1:30" s="40" customFormat="1" ht="33.75" x14ac:dyDescent="0.2">
      <c r="A212" s="79"/>
      <c r="B212" s="78" t="s">
        <v>463</v>
      </c>
      <c r="C212" s="1768" t="s">
        <v>464</v>
      </c>
      <c r="D212" s="1768"/>
      <c r="E212" s="1768"/>
      <c r="F212" s="80" t="s">
        <v>322</v>
      </c>
      <c r="G212" s="80" t="s">
        <v>465</v>
      </c>
      <c r="H212" s="80"/>
      <c r="I212" s="80" t="s">
        <v>465</v>
      </c>
      <c r="J212" s="81"/>
      <c r="K212" s="80"/>
      <c r="L212" s="81">
        <v>1.61</v>
      </c>
      <c r="M212" s="82"/>
      <c r="N212" s="83"/>
      <c r="AB212" s="43" t="s">
        <v>464</v>
      </c>
    </row>
    <row r="213" spans="1:30" s="40" customFormat="1" x14ac:dyDescent="0.2">
      <c r="A213" s="88"/>
      <c r="B213" s="89"/>
      <c r="C213" s="1785" t="s">
        <v>327</v>
      </c>
      <c r="D213" s="1785"/>
      <c r="E213" s="1785"/>
      <c r="F213" s="71"/>
      <c r="G213" s="71"/>
      <c r="H213" s="71"/>
      <c r="I213" s="71"/>
      <c r="J213" s="72"/>
      <c r="K213" s="71"/>
      <c r="L213" s="72">
        <v>34.75</v>
      </c>
      <c r="M213" s="86"/>
      <c r="N213" s="74"/>
      <c r="AD213" s="43" t="s">
        <v>327</v>
      </c>
    </row>
    <row r="214" spans="1:30" s="40" customFormat="1" ht="45" x14ac:dyDescent="0.2">
      <c r="A214" s="69" t="s">
        <v>430</v>
      </c>
      <c r="B214" s="70" t="s">
        <v>495</v>
      </c>
      <c r="C214" s="1785" t="s">
        <v>496</v>
      </c>
      <c r="D214" s="1785"/>
      <c r="E214" s="1785"/>
      <c r="F214" s="71" t="s">
        <v>455</v>
      </c>
      <c r="G214" s="71"/>
      <c r="H214" s="71"/>
      <c r="I214" s="71" t="s">
        <v>3599</v>
      </c>
      <c r="J214" s="72"/>
      <c r="K214" s="71"/>
      <c r="L214" s="72"/>
      <c r="M214" s="73"/>
      <c r="N214" s="74"/>
      <c r="X214" s="43" t="s">
        <v>496</v>
      </c>
    </row>
    <row r="215" spans="1:30" s="40" customFormat="1" x14ac:dyDescent="0.2">
      <c r="A215" s="75"/>
      <c r="B215" s="76"/>
      <c r="C215" s="1768" t="s">
        <v>3600</v>
      </c>
      <c r="D215" s="1768"/>
      <c r="E215" s="1768"/>
      <c r="F215" s="1768"/>
      <c r="G215" s="1768"/>
      <c r="H215" s="1768"/>
      <c r="I215" s="1768"/>
      <c r="J215" s="1768"/>
      <c r="K215" s="1768"/>
      <c r="L215" s="1768"/>
      <c r="M215" s="1768"/>
      <c r="N215" s="1779"/>
      <c r="Y215" s="43" t="s">
        <v>3600</v>
      </c>
    </row>
    <row r="216" spans="1:30" s="40" customFormat="1" ht="33.75" x14ac:dyDescent="0.2">
      <c r="A216" s="77"/>
      <c r="B216" s="78" t="s">
        <v>310</v>
      </c>
      <c r="C216" s="1768" t="s">
        <v>311</v>
      </c>
      <c r="D216" s="1768"/>
      <c r="E216" s="1768"/>
      <c r="F216" s="1768"/>
      <c r="G216" s="1768"/>
      <c r="H216" s="1768"/>
      <c r="I216" s="1768"/>
      <c r="J216" s="1768"/>
      <c r="K216" s="1768"/>
      <c r="L216" s="1768"/>
      <c r="M216" s="1768"/>
      <c r="N216" s="1779"/>
      <c r="Z216" s="43" t="s">
        <v>311</v>
      </c>
    </row>
    <row r="217" spans="1:30" s="40" customFormat="1" x14ac:dyDescent="0.2">
      <c r="A217" s="79"/>
      <c r="B217" s="78" t="s">
        <v>186</v>
      </c>
      <c r="C217" s="1768" t="s">
        <v>344</v>
      </c>
      <c r="D217" s="1768"/>
      <c r="E217" s="1768"/>
      <c r="F217" s="80"/>
      <c r="G217" s="80"/>
      <c r="H217" s="80"/>
      <c r="I217" s="80"/>
      <c r="J217" s="81">
        <v>5532.96</v>
      </c>
      <c r="K217" s="80" t="s">
        <v>313</v>
      </c>
      <c r="L217" s="81">
        <v>13.62</v>
      </c>
      <c r="M217" s="82"/>
      <c r="N217" s="83"/>
      <c r="AA217" s="43" t="s">
        <v>344</v>
      </c>
    </row>
    <row r="218" spans="1:30" s="40" customFormat="1" x14ac:dyDescent="0.2">
      <c r="A218" s="79"/>
      <c r="B218" s="78" t="s">
        <v>187</v>
      </c>
      <c r="C218" s="1768" t="s">
        <v>345</v>
      </c>
      <c r="D218" s="1768"/>
      <c r="E218" s="1768"/>
      <c r="F218" s="80"/>
      <c r="G218" s="80"/>
      <c r="H218" s="80"/>
      <c r="I218" s="80"/>
      <c r="J218" s="81">
        <v>648</v>
      </c>
      <c r="K218" s="80" t="s">
        <v>313</v>
      </c>
      <c r="L218" s="81">
        <v>1.6</v>
      </c>
      <c r="M218" s="82"/>
      <c r="N218" s="83"/>
      <c r="AA218" s="43" t="s">
        <v>345</v>
      </c>
    </row>
    <row r="219" spans="1:30" s="40" customFormat="1" x14ac:dyDescent="0.2">
      <c r="A219" s="79"/>
      <c r="B219" s="78"/>
      <c r="C219" s="1768" t="s">
        <v>348</v>
      </c>
      <c r="D219" s="1768"/>
      <c r="E219" s="1768"/>
      <c r="F219" s="80" t="s">
        <v>315</v>
      </c>
      <c r="G219" s="80" t="s">
        <v>501</v>
      </c>
      <c r="H219" s="80" t="s">
        <v>313</v>
      </c>
      <c r="I219" s="80" t="s">
        <v>3601</v>
      </c>
      <c r="J219" s="81"/>
      <c r="K219" s="80"/>
      <c r="L219" s="81"/>
      <c r="M219" s="82"/>
      <c r="N219" s="83"/>
      <c r="AB219" s="43" t="s">
        <v>348</v>
      </c>
    </row>
    <row r="220" spans="1:30" s="40" customFormat="1" x14ac:dyDescent="0.2">
      <c r="A220" s="79"/>
      <c r="B220" s="78"/>
      <c r="C220" s="1780" t="s">
        <v>318</v>
      </c>
      <c r="D220" s="1780"/>
      <c r="E220" s="1780"/>
      <c r="F220" s="84"/>
      <c r="G220" s="84"/>
      <c r="H220" s="84"/>
      <c r="I220" s="84"/>
      <c r="J220" s="85">
        <v>5532.96</v>
      </c>
      <c r="K220" s="84"/>
      <c r="L220" s="85">
        <v>13.62</v>
      </c>
      <c r="M220" s="86"/>
      <c r="N220" s="87"/>
      <c r="AC220" s="43" t="s">
        <v>318</v>
      </c>
    </row>
    <row r="221" spans="1:30" s="40" customFormat="1" x14ac:dyDescent="0.2">
      <c r="A221" s="79"/>
      <c r="B221" s="78"/>
      <c r="C221" s="1768" t="s">
        <v>319</v>
      </c>
      <c r="D221" s="1768"/>
      <c r="E221" s="1768"/>
      <c r="F221" s="80"/>
      <c r="G221" s="80"/>
      <c r="H221" s="80"/>
      <c r="I221" s="80"/>
      <c r="J221" s="81"/>
      <c r="K221" s="80"/>
      <c r="L221" s="81">
        <v>1.6</v>
      </c>
      <c r="M221" s="82"/>
      <c r="N221" s="83"/>
      <c r="AB221" s="43" t="s">
        <v>319</v>
      </c>
    </row>
    <row r="222" spans="1:30" s="40" customFormat="1" ht="33.75" x14ac:dyDescent="0.2">
      <c r="A222" s="79"/>
      <c r="B222" s="78" t="s">
        <v>460</v>
      </c>
      <c r="C222" s="1768" t="s">
        <v>461</v>
      </c>
      <c r="D222" s="1768"/>
      <c r="E222" s="1768"/>
      <c r="F222" s="80" t="s">
        <v>322</v>
      </c>
      <c r="G222" s="80" t="s">
        <v>462</v>
      </c>
      <c r="H222" s="80"/>
      <c r="I222" s="80" t="s">
        <v>462</v>
      </c>
      <c r="J222" s="81"/>
      <c r="K222" s="80"/>
      <c r="L222" s="81">
        <v>1.47</v>
      </c>
      <c r="M222" s="82"/>
      <c r="N222" s="83"/>
      <c r="AB222" s="43" t="s">
        <v>461</v>
      </c>
    </row>
    <row r="223" spans="1:30" s="40" customFormat="1" ht="33.75" x14ac:dyDescent="0.2">
      <c r="A223" s="79"/>
      <c r="B223" s="78" t="s">
        <v>463</v>
      </c>
      <c r="C223" s="1768" t="s">
        <v>464</v>
      </c>
      <c r="D223" s="1768"/>
      <c r="E223" s="1768"/>
      <c r="F223" s="80" t="s">
        <v>322</v>
      </c>
      <c r="G223" s="80" t="s">
        <v>465</v>
      </c>
      <c r="H223" s="80"/>
      <c r="I223" s="80" t="s">
        <v>465</v>
      </c>
      <c r="J223" s="81"/>
      <c r="K223" s="80"/>
      <c r="L223" s="81">
        <v>0.74</v>
      </c>
      <c r="M223" s="82"/>
      <c r="N223" s="83"/>
      <c r="AB223" s="43" t="s">
        <v>464</v>
      </c>
    </row>
    <row r="224" spans="1:30" s="40" customFormat="1" x14ac:dyDescent="0.2">
      <c r="A224" s="88"/>
      <c r="B224" s="89"/>
      <c r="C224" s="1785" t="s">
        <v>327</v>
      </c>
      <c r="D224" s="1785"/>
      <c r="E224" s="1785"/>
      <c r="F224" s="71"/>
      <c r="G224" s="71"/>
      <c r="H224" s="71"/>
      <c r="I224" s="71"/>
      <c r="J224" s="72"/>
      <c r="K224" s="71"/>
      <c r="L224" s="72">
        <v>15.83</v>
      </c>
      <c r="M224" s="86"/>
      <c r="N224" s="74"/>
      <c r="AD224" s="43" t="s">
        <v>327</v>
      </c>
    </row>
    <row r="225" spans="1:30" s="40" customFormat="1" ht="56.25" x14ac:dyDescent="0.2">
      <c r="A225" s="69" t="s">
        <v>436</v>
      </c>
      <c r="B225" s="70" t="s">
        <v>1358</v>
      </c>
      <c r="C225" s="1785" t="s">
        <v>1359</v>
      </c>
      <c r="D225" s="1785"/>
      <c r="E225" s="1785"/>
      <c r="F225" s="71" t="s">
        <v>455</v>
      </c>
      <c r="G225" s="71"/>
      <c r="H225" s="71"/>
      <c r="I225" s="71" t="s">
        <v>3599</v>
      </c>
      <c r="J225" s="72"/>
      <c r="K225" s="71"/>
      <c r="L225" s="72"/>
      <c r="M225" s="73"/>
      <c r="N225" s="74"/>
      <c r="X225" s="43" t="s">
        <v>1359</v>
      </c>
    </row>
    <row r="226" spans="1:30" s="40" customFormat="1" x14ac:dyDescent="0.2">
      <c r="A226" s="75"/>
      <c r="B226" s="76"/>
      <c r="C226" s="1768" t="s">
        <v>3600</v>
      </c>
      <c r="D226" s="1768"/>
      <c r="E226" s="1768"/>
      <c r="F226" s="1768"/>
      <c r="G226" s="1768"/>
      <c r="H226" s="1768"/>
      <c r="I226" s="1768"/>
      <c r="J226" s="1768"/>
      <c r="K226" s="1768"/>
      <c r="L226" s="1768"/>
      <c r="M226" s="1768"/>
      <c r="N226" s="1779"/>
      <c r="Y226" s="43" t="s">
        <v>3600</v>
      </c>
    </row>
    <row r="227" spans="1:30" s="40" customFormat="1" ht="33.75" x14ac:dyDescent="0.2">
      <c r="A227" s="77"/>
      <c r="B227" s="78" t="s">
        <v>310</v>
      </c>
      <c r="C227" s="1768" t="s">
        <v>311</v>
      </c>
      <c r="D227" s="1768"/>
      <c r="E227" s="1768"/>
      <c r="F227" s="1768"/>
      <c r="G227" s="1768"/>
      <c r="H227" s="1768"/>
      <c r="I227" s="1768"/>
      <c r="J227" s="1768"/>
      <c r="K227" s="1768"/>
      <c r="L227" s="1768"/>
      <c r="M227" s="1768"/>
      <c r="N227" s="1779"/>
      <c r="Z227" s="43" t="s">
        <v>311</v>
      </c>
    </row>
    <row r="228" spans="1:30" s="40" customFormat="1" x14ac:dyDescent="0.2">
      <c r="A228" s="79"/>
      <c r="B228" s="78" t="s">
        <v>186</v>
      </c>
      <c r="C228" s="1768" t="s">
        <v>344</v>
      </c>
      <c r="D228" s="1768"/>
      <c r="E228" s="1768"/>
      <c r="F228" s="80"/>
      <c r="G228" s="80"/>
      <c r="H228" s="80"/>
      <c r="I228" s="80"/>
      <c r="J228" s="81">
        <v>4264.99</v>
      </c>
      <c r="K228" s="80" t="s">
        <v>313</v>
      </c>
      <c r="L228" s="81">
        <v>10.5</v>
      </c>
      <c r="M228" s="82"/>
      <c r="N228" s="83"/>
      <c r="AA228" s="43" t="s">
        <v>344</v>
      </c>
    </row>
    <row r="229" spans="1:30" s="40" customFormat="1" x14ac:dyDescent="0.2">
      <c r="A229" s="79"/>
      <c r="B229" s="78" t="s">
        <v>187</v>
      </c>
      <c r="C229" s="1768" t="s">
        <v>345</v>
      </c>
      <c r="D229" s="1768"/>
      <c r="E229" s="1768"/>
      <c r="F229" s="80"/>
      <c r="G229" s="80"/>
      <c r="H229" s="80"/>
      <c r="I229" s="80"/>
      <c r="J229" s="81">
        <v>499.5</v>
      </c>
      <c r="K229" s="80" t="s">
        <v>313</v>
      </c>
      <c r="L229" s="81">
        <v>1.23</v>
      </c>
      <c r="M229" s="82"/>
      <c r="N229" s="83"/>
      <c r="AA229" s="43" t="s">
        <v>345</v>
      </c>
    </row>
    <row r="230" spans="1:30" s="40" customFormat="1" x14ac:dyDescent="0.2">
      <c r="A230" s="79"/>
      <c r="B230" s="78"/>
      <c r="C230" s="1768" t="s">
        <v>348</v>
      </c>
      <c r="D230" s="1768"/>
      <c r="E230" s="1768"/>
      <c r="F230" s="80" t="s">
        <v>315</v>
      </c>
      <c r="G230" s="80" t="s">
        <v>770</v>
      </c>
      <c r="H230" s="80" t="s">
        <v>313</v>
      </c>
      <c r="I230" s="80" t="s">
        <v>3602</v>
      </c>
      <c r="J230" s="81"/>
      <c r="K230" s="80"/>
      <c r="L230" s="81"/>
      <c r="M230" s="82"/>
      <c r="N230" s="83"/>
      <c r="AB230" s="43" t="s">
        <v>348</v>
      </c>
    </row>
    <row r="231" spans="1:30" s="40" customFormat="1" x14ac:dyDescent="0.2">
      <c r="A231" s="79"/>
      <c r="B231" s="78"/>
      <c r="C231" s="1780" t="s">
        <v>318</v>
      </c>
      <c r="D231" s="1780"/>
      <c r="E231" s="1780"/>
      <c r="F231" s="84"/>
      <c r="G231" s="84"/>
      <c r="H231" s="84"/>
      <c r="I231" s="84"/>
      <c r="J231" s="85">
        <v>4264.99</v>
      </c>
      <c r="K231" s="84"/>
      <c r="L231" s="85">
        <v>10.5</v>
      </c>
      <c r="M231" s="86"/>
      <c r="N231" s="87"/>
      <c r="AC231" s="43" t="s">
        <v>318</v>
      </c>
    </row>
    <row r="232" spans="1:30" s="40" customFormat="1" x14ac:dyDescent="0.2">
      <c r="A232" s="79"/>
      <c r="B232" s="78"/>
      <c r="C232" s="1768" t="s">
        <v>319</v>
      </c>
      <c r="D232" s="1768"/>
      <c r="E232" s="1768"/>
      <c r="F232" s="80"/>
      <c r="G232" s="80"/>
      <c r="H232" s="80"/>
      <c r="I232" s="80"/>
      <c r="J232" s="81"/>
      <c r="K232" s="80"/>
      <c r="L232" s="81">
        <v>1.23</v>
      </c>
      <c r="M232" s="82"/>
      <c r="N232" s="83"/>
      <c r="AB232" s="43" t="s">
        <v>319</v>
      </c>
    </row>
    <row r="233" spans="1:30" s="40" customFormat="1" ht="33.75" x14ac:dyDescent="0.2">
      <c r="A233" s="79"/>
      <c r="B233" s="78" t="s">
        <v>460</v>
      </c>
      <c r="C233" s="1768" t="s">
        <v>461</v>
      </c>
      <c r="D233" s="1768"/>
      <c r="E233" s="1768"/>
      <c r="F233" s="80" t="s">
        <v>322</v>
      </c>
      <c r="G233" s="80" t="s">
        <v>462</v>
      </c>
      <c r="H233" s="80"/>
      <c r="I233" s="80" t="s">
        <v>462</v>
      </c>
      <c r="J233" s="81"/>
      <c r="K233" s="80"/>
      <c r="L233" s="81">
        <v>1.1299999999999999</v>
      </c>
      <c r="M233" s="82"/>
      <c r="N233" s="83"/>
      <c r="AB233" s="43" t="s">
        <v>461</v>
      </c>
    </row>
    <row r="234" spans="1:30" s="40" customFormat="1" ht="33.75" x14ac:dyDescent="0.2">
      <c r="A234" s="79"/>
      <c r="B234" s="78" t="s">
        <v>463</v>
      </c>
      <c r="C234" s="1768" t="s">
        <v>464</v>
      </c>
      <c r="D234" s="1768"/>
      <c r="E234" s="1768"/>
      <c r="F234" s="80" t="s">
        <v>322</v>
      </c>
      <c r="G234" s="80" t="s">
        <v>465</v>
      </c>
      <c r="H234" s="80"/>
      <c r="I234" s="80" t="s">
        <v>465</v>
      </c>
      <c r="J234" s="81"/>
      <c r="K234" s="80"/>
      <c r="L234" s="81">
        <v>0.56999999999999995</v>
      </c>
      <c r="M234" s="82"/>
      <c r="N234" s="83"/>
      <c r="AB234" s="43" t="s">
        <v>464</v>
      </c>
    </row>
    <row r="235" spans="1:30" s="40" customFormat="1" x14ac:dyDescent="0.2">
      <c r="A235" s="88"/>
      <c r="B235" s="89"/>
      <c r="C235" s="1785" t="s">
        <v>327</v>
      </c>
      <c r="D235" s="1785"/>
      <c r="E235" s="1785"/>
      <c r="F235" s="71"/>
      <c r="G235" s="71"/>
      <c r="H235" s="71"/>
      <c r="I235" s="71"/>
      <c r="J235" s="72"/>
      <c r="K235" s="71"/>
      <c r="L235" s="72">
        <v>12.2</v>
      </c>
      <c r="M235" s="86"/>
      <c r="N235" s="74"/>
      <c r="AD235" s="43" t="s">
        <v>327</v>
      </c>
    </row>
    <row r="236" spans="1:30" s="40" customFormat="1" ht="22.5" x14ac:dyDescent="0.2">
      <c r="A236" s="69" t="s">
        <v>733</v>
      </c>
      <c r="B236" s="70" t="s">
        <v>507</v>
      </c>
      <c r="C236" s="1785" t="s">
        <v>508</v>
      </c>
      <c r="D236" s="1785"/>
      <c r="E236" s="1785"/>
      <c r="F236" s="71" t="s">
        <v>509</v>
      </c>
      <c r="G236" s="71"/>
      <c r="H236" s="71"/>
      <c r="I236" s="71" t="s">
        <v>3603</v>
      </c>
      <c r="J236" s="72"/>
      <c r="K236" s="71"/>
      <c r="L236" s="72"/>
      <c r="M236" s="73"/>
      <c r="N236" s="74"/>
      <c r="X236" s="43" t="s">
        <v>508</v>
      </c>
    </row>
    <row r="237" spans="1:30" s="40" customFormat="1" x14ac:dyDescent="0.2">
      <c r="A237" s="75"/>
      <c r="B237" s="76"/>
      <c r="C237" s="1768" t="s">
        <v>3604</v>
      </c>
      <c r="D237" s="1768"/>
      <c r="E237" s="1768"/>
      <c r="F237" s="1768"/>
      <c r="G237" s="1768"/>
      <c r="H237" s="1768"/>
      <c r="I237" s="1768"/>
      <c r="J237" s="1768"/>
      <c r="K237" s="1768"/>
      <c r="L237" s="1768"/>
      <c r="M237" s="1768"/>
      <c r="N237" s="1779"/>
      <c r="Y237" s="43" t="s">
        <v>3604</v>
      </c>
    </row>
    <row r="238" spans="1:30" s="40" customFormat="1" ht="33.75" x14ac:dyDescent="0.2">
      <c r="A238" s="77"/>
      <c r="B238" s="78" t="s">
        <v>310</v>
      </c>
      <c r="C238" s="1768" t="s">
        <v>311</v>
      </c>
      <c r="D238" s="1768"/>
      <c r="E238" s="1768"/>
      <c r="F238" s="1768"/>
      <c r="G238" s="1768"/>
      <c r="H238" s="1768"/>
      <c r="I238" s="1768"/>
      <c r="J238" s="1768"/>
      <c r="K238" s="1768"/>
      <c r="L238" s="1768"/>
      <c r="M238" s="1768"/>
      <c r="N238" s="1779"/>
      <c r="Z238" s="43" t="s">
        <v>311</v>
      </c>
    </row>
    <row r="239" spans="1:30" s="40" customFormat="1" x14ac:dyDescent="0.2">
      <c r="A239" s="79"/>
      <c r="B239" s="78" t="s">
        <v>185</v>
      </c>
      <c r="C239" s="1768" t="s">
        <v>312</v>
      </c>
      <c r="D239" s="1768"/>
      <c r="E239" s="1768"/>
      <c r="F239" s="80"/>
      <c r="G239" s="80"/>
      <c r="H239" s="80"/>
      <c r="I239" s="80"/>
      <c r="J239" s="81">
        <v>127.61</v>
      </c>
      <c r="K239" s="80" t="s">
        <v>313</v>
      </c>
      <c r="L239" s="81">
        <v>3.14</v>
      </c>
      <c r="M239" s="82"/>
      <c r="N239" s="83"/>
      <c r="AA239" s="43" t="s">
        <v>312</v>
      </c>
    </row>
    <row r="240" spans="1:30" s="40" customFormat="1" x14ac:dyDescent="0.2">
      <c r="A240" s="79"/>
      <c r="B240" s="78" t="s">
        <v>186</v>
      </c>
      <c r="C240" s="1768" t="s">
        <v>344</v>
      </c>
      <c r="D240" s="1768"/>
      <c r="E240" s="1768"/>
      <c r="F240" s="80"/>
      <c r="G240" s="80"/>
      <c r="H240" s="80"/>
      <c r="I240" s="80"/>
      <c r="J240" s="81">
        <v>288.58</v>
      </c>
      <c r="K240" s="80" t="s">
        <v>313</v>
      </c>
      <c r="L240" s="81">
        <v>7.11</v>
      </c>
      <c r="M240" s="82"/>
      <c r="N240" s="83"/>
      <c r="AA240" s="43" t="s">
        <v>344</v>
      </c>
    </row>
    <row r="241" spans="1:30" s="40" customFormat="1" x14ac:dyDescent="0.2">
      <c r="A241" s="79"/>
      <c r="B241" s="78" t="s">
        <v>187</v>
      </c>
      <c r="C241" s="1768" t="s">
        <v>345</v>
      </c>
      <c r="D241" s="1768"/>
      <c r="E241" s="1768"/>
      <c r="F241" s="80"/>
      <c r="G241" s="80"/>
      <c r="H241" s="80"/>
      <c r="I241" s="80"/>
      <c r="J241" s="81">
        <v>31.49</v>
      </c>
      <c r="K241" s="80" t="s">
        <v>313</v>
      </c>
      <c r="L241" s="81">
        <v>0.78</v>
      </c>
      <c r="M241" s="82"/>
      <c r="N241" s="83"/>
      <c r="AA241" s="43" t="s">
        <v>345</v>
      </c>
    </row>
    <row r="242" spans="1:30" s="40" customFormat="1" x14ac:dyDescent="0.2">
      <c r="A242" s="79"/>
      <c r="B242" s="78"/>
      <c r="C242" s="1768" t="s">
        <v>314</v>
      </c>
      <c r="D242" s="1768"/>
      <c r="E242" s="1768"/>
      <c r="F242" s="80" t="s">
        <v>315</v>
      </c>
      <c r="G242" s="80" t="s">
        <v>512</v>
      </c>
      <c r="H242" s="80" t="s">
        <v>313</v>
      </c>
      <c r="I242" s="80" t="s">
        <v>3605</v>
      </c>
      <c r="J242" s="81"/>
      <c r="K242" s="80"/>
      <c r="L242" s="81"/>
      <c r="M242" s="82"/>
      <c r="N242" s="83"/>
      <c r="AB242" s="43" t="s">
        <v>314</v>
      </c>
    </row>
    <row r="243" spans="1:30" s="40" customFormat="1" x14ac:dyDescent="0.2">
      <c r="A243" s="79"/>
      <c r="B243" s="78"/>
      <c r="C243" s="1768" t="s">
        <v>348</v>
      </c>
      <c r="D243" s="1768"/>
      <c r="E243" s="1768"/>
      <c r="F243" s="80" t="s">
        <v>315</v>
      </c>
      <c r="G243" s="80" t="s">
        <v>514</v>
      </c>
      <c r="H243" s="80" t="s">
        <v>313</v>
      </c>
      <c r="I243" s="80" t="s">
        <v>3606</v>
      </c>
      <c r="J243" s="81"/>
      <c r="K243" s="80"/>
      <c r="L243" s="81"/>
      <c r="M243" s="82"/>
      <c r="N243" s="83"/>
      <c r="AB243" s="43" t="s">
        <v>348</v>
      </c>
    </row>
    <row r="244" spans="1:30" s="40" customFormat="1" x14ac:dyDescent="0.2">
      <c r="A244" s="79"/>
      <c r="B244" s="78"/>
      <c r="C244" s="1780" t="s">
        <v>318</v>
      </c>
      <c r="D244" s="1780"/>
      <c r="E244" s="1780"/>
      <c r="F244" s="84"/>
      <c r="G244" s="84"/>
      <c r="H244" s="84"/>
      <c r="I244" s="84"/>
      <c r="J244" s="85">
        <v>416.19</v>
      </c>
      <c r="K244" s="84"/>
      <c r="L244" s="85">
        <v>10.25</v>
      </c>
      <c r="M244" s="86"/>
      <c r="N244" s="87"/>
      <c r="AC244" s="43" t="s">
        <v>318</v>
      </c>
    </row>
    <row r="245" spans="1:30" s="40" customFormat="1" x14ac:dyDescent="0.2">
      <c r="A245" s="79"/>
      <c r="B245" s="78"/>
      <c r="C245" s="1768" t="s">
        <v>319</v>
      </c>
      <c r="D245" s="1768"/>
      <c r="E245" s="1768"/>
      <c r="F245" s="80"/>
      <c r="G245" s="80"/>
      <c r="H245" s="80"/>
      <c r="I245" s="80"/>
      <c r="J245" s="81"/>
      <c r="K245" s="80"/>
      <c r="L245" s="81">
        <v>3.92</v>
      </c>
      <c r="M245" s="82"/>
      <c r="N245" s="83"/>
      <c r="AB245" s="43" t="s">
        <v>319</v>
      </c>
    </row>
    <row r="246" spans="1:30" s="40" customFormat="1" ht="33.75" x14ac:dyDescent="0.2">
      <c r="A246" s="79"/>
      <c r="B246" s="78" t="s">
        <v>460</v>
      </c>
      <c r="C246" s="1768" t="s">
        <v>461</v>
      </c>
      <c r="D246" s="1768"/>
      <c r="E246" s="1768"/>
      <c r="F246" s="80" t="s">
        <v>322</v>
      </c>
      <c r="G246" s="80" t="s">
        <v>462</v>
      </c>
      <c r="H246" s="80"/>
      <c r="I246" s="80" t="s">
        <v>462</v>
      </c>
      <c r="J246" s="81"/>
      <c r="K246" s="80"/>
      <c r="L246" s="81">
        <v>3.61</v>
      </c>
      <c r="M246" s="82"/>
      <c r="N246" s="83"/>
      <c r="AB246" s="43" t="s">
        <v>461</v>
      </c>
    </row>
    <row r="247" spans="1:30" s="40" customFormat="1" ht="33.75" x14ac:dyDescent="0.2">
      <c r="A247" s="79"/>
      <c r="B247" s="78" t="s">
        <v>463</v>
      </c>
      <c r="C247" s="1768" t="s">
        <v>464</v>
      </c>
      <c r="D247" s="1768"/>
      <c r="E247" s="1768"/>
      <c r="F247" s="80" t="s">
        <v>322</v>
      </c>
      <c r="G247" s="80" t="s">
        <v>465</v>
      </c>
      <c r="H247" s="80"/>
      <c r="I247" s="80" t="s">
        <v>465</v>
      </c>
      <c r="J247" s="81"/>
      <c r="K247" s="80"/>
      <c r="L247" s="81">
        <v>1.8</v>
      </c>
      <c r="M247" s="82"/>
      <c r="N247" s="83"/>
      <c r="AB247" s="43" t="s">
        <v>464</v>
      </c>
    </row>
    <row r="248" spans="1:30" s="40" customFormat="1" x14ac:dyDescent="0.2">
      <c r="A248" s="88"/>
      <c r="B248" s="89"/>
      <c r="C248" s="1785" t="s">
        <v>327</v>
      </c>
      <c r="D248" s="1785"/>
      <c r="E248" s="1785"/>
      <c r="F248" s="71"/>
      <c r="G248" s="71"/>
      <c r="H248" s="71"/>
      <c r="I248" s="71"/>
      <c r="J248" s="72"/>
      <c r="K248" s="71"/>
      <c r="L248" s="72">
        <v>15.66</v>
      </c>
      <c r="M248" s="86"/>
      <c r="N248" s="74"/>
      <c r="AD248" s="43" t="s">
        <v>327</v>
      </c>
    </row>
    <row r="249" spans="1:30" s="40" customFormat="1" ht="45" x14ac:dyDescent="0.2">
      <c r="A249" s="69" t="s">
        <v>736</v>
      </c>
      <c r="B249" s="70" t="s">
        <v>1005</v>
      </c>
      <c r="C249" s="1785" t="s">
        <v>1006</v>
      </c>
      <c r="D249" s="1785"/>
      <c r="E249" s="1785"/>
      <c r="F249" s="71" t="s">
        <v>201</v>
      </c>
      <c r="G249" s="71"/>
      <c r="H249" s="71"/>
      <c r="I249" s="71" t="s">
        <v>3607</v>
      </c>
      <c r="J249" s="72">
        <v>2.91</v>
      </c>
      <c r="K249" s="71"/>
      <c r="L249" s="72">
        <v>21.22</v>
      </c>
      <c r="M249" s="73"/>
      <c r="N249" s="74"/>
      <c r="X249" s="43" t="s">
        <v>1006</v>
      </c>
    </row>
    <row r="250" spans="1:30" s="40" customFormat="1" x14ac:dyDescent="0.2">
      <c r="A250" s="75"/>
      <c r="B250" s="76"/>
      <c r="C250" s="1768" t="s">
        <v>3608</v>
      </c>
      <c r="D250" s="1768"/>
      <c r="E250" s="1768"/>
      <c r="F250" s="1768"/>
      <c r="G250" s="1768"/>
      <c r="H250" s="1768"/>
      <c r="I250" s="1768"/>
      <c r="J250" s="1768"/>
      <c r="K250" s="1768"/>
      <c r="L250" s="1768"/>
      <c r="M250" s="1768"/>
      <c r="N250" s="1779"/>
      <c r="Y250" s="43" t="s">
        <v>3608</v>
      </c>
    </row>
    <row r="251" spans="1:30" s="40" customFormat="1" x14ac:dyDescent="0.2">
      <c r="A251" s="1801" t="s">
        <v>3609</v>
      </c>
      <c r="B251" s="1802"/>
      <c r="C251" s="1802"/>
      <c r="D251" s="1802"/>
      <c r="E251" s="1802"/>
      <c r="F251" s="1802"/>
      <c r="G251" s="1802"/>
      <c r="H251" s="1802"/>
      <c r="I251" s="1802"/>
      <c r="J251" s="1802"/>
      <c r="K251" s="1802"/>
      <c r="L251" s="1802"/>
      <c r="M251" s="1802"/>
      <c r="N251" s="1803"/>
      <c r="W251" s="43" t="s">
        <v>3609</v>
      </c>
    </row>
    <row r="252" spans="1:30" s="40" customFormat="1" x14ac:dyDescent="0.2">
      <c r="A252" s="69" t="s">
        <v>1067</v>
      </c>
      <c r="B252" s="70" t="s">
        <v>1368</v>
      </c>
      <c r="C252" s="1785" t="s">
        <v>1369</v>
      </c>
      <c r="D252" s="1785"/>
      <c r="E252" s="1785"/>
      <c r="F252" s="71" t="s">
        <v>509</v>
      </c>
      <c r="G252" s="71"/>
      <c r="H252" s="71"/>
      <c r="I252" s="71" t="s">
        <v>3610</v>
      </c>
      <c r="J252" s="72"/>
      <c r="K252" s="71"/>
      <c r="L252" s="72"/>
      <c r="M252" s="73"/>
      <c r="N252" s="74"/>
      <c r="X252" s="43" t="s">
        <v>1369</v>
      </c>
    </row>
    <row r="253" spans="1:30" s="40" customFormat="1" x14ac:dyDescent="0.2">
      <c r="A253" s="75"/>
      <c r="B253" s="76"/>
      <c r="C253" s="1768" t="s">
        <v>3611</v>
      </c>
      <c r="D253" s="1768"/>
      <c r="E253" s="1768"/>
      <c r="F253" s="1768"/>
      <c r="G253" s="1768"/>
      <c r="H253" s="1768"/>
      <c r="I253" s="1768"/>
      <c r="J253" s="1768"/>
      <c r="K253" s="1768"/>
      <c r="L253" s="1768"/>
      <c r="M253" s="1768"/>
      <c r="N253" s="1779"/>
      <c r="Y253" s="43" t="s">
        <v>3611</v>
      </c>
    </row>
    <row r="254" spans="1:30" s="40" customFormat="1" ht="33.75" x14ac:dyDescent="0.2">
      <c r="A254" s="77"/>
      <c r="B254" s="78" t="s">
        <v>310</v>
      </c>
      <c r="C254" s="1768" t="s">
        <v>311</v>
      </c>
      <c r="D254" s="1768"/>
      <c r="E254" s="1768"/>
      <c r="F254" s="1768"/>
      <c r="G254" s="1768"/>
      <c r="H254" s="1768"/>
      <c r="I254" s="1768"/>
      <c r="J254" s="1768"/>
      <c r="K254" s="1768"/>
      <c r="L254" s="1768"/>
      <c r="M254" s="1768"/>
      <c r="N254" s="1779"/>
      <c r="Z254" s="43" t="s">
        <v>311</v>
      </c>
    </row>
    <row r="255" spans="1:30" s="40" customFormat="1" x14ac:dyDescent="0.2">
      <c r="A255" s="79"/>
      <c r="B255" s="78" t="s">
        <v>185</v>
      </c>
      <c r="C255" s="1768" t="s">
        <v>312</v>
      </c>
      <c r="D255" s="1768"/>
      <c r="E255" s="1768"/>
      <c r="F255" s="80"/>
      <c r="G255" s="80"/>
      <c r="H255" s="80"/>
      <c r="I255" s="80"/>
      <c r="J255" s="81">
        <v>1053</v>
      </c>
      <c r="K255" s="80" t="s">
        <v>313</v>
      </c>
      <c r="L255" s="81">
        <v>9.48</v>
      </c>
      <c r="M255" s="82"/>
      <c r="N255" s="83"/>
      <c r="AA255" s="43" t="s">
        <v>312</v>
      </c>
    </row>
    <row r="256" spans="1:30" s="40" customFormat="1" x14ac:dyDescent="0.2">
      <c r="A256" s="79"/>
      <c r="B256" s="78" t="s">
        <v>186</v>
      </c>
      <c r="C256" s="1768" t="s">
        <v>344</v>
      </c>
      <c r="D256" s="1768"/>
      <c r="E256" s="1768"/>
      <c r="F256" s="80"/>
      <c r="G256" s="80"/>
      <c r="H256" s="80"/>
      <c r="I256" s="80"/>
      <c r="J256" s="81">
        <v>1566.06</v>
      </c>
      <c r="K256" s="80" t="s">
        <v>313</v>
      </c>
      <c r="L256" s="81">
        <v>14.09</v>
      </c>
      <c r="M256" s="82"/>
      <c r="N256" s="83"/>
      <c r="AA256" s="43" t="s">
        <v>344</v>
      </c>
    </row>
    <row r="257" spans="1:31" s="40" customFormat="1" x14ac:dyDescent="0.2">
      <c r="A257" s="79"/>
      <c r="B257" s="78" t="s">
        <v>187</v>
      </c>
      <c r="C257" s="1768" t="s">
        <v>345</v>
      </c>
      <c r="D257" s="1768"/>
      <c r="E257" s="1768"/>
      <c r="F257" s="80"/>
      <c r="G257" s="80"/>
      <c r="H257" s="80"/>
      <c r="I257" s="80"/>
      <c r="J257" s="81">
        <v>244.39</v>
      </c>
      <c r="K257" s="80" t="s">
        <v>313</v>
      </c>
      <c r="L257" s="81">
        <v>2.2000000000000002</v>
      </c>
      <c r="M257" s="82"/>
      <c r="N257" s="83"/>
      <c r="AA257" s="43" t="s">
        <v>345</v>
      </c>
    </row>
    <row r="258" spans="1:31" s="40" customFormat="1" x14ac:dyDescent="0.2">
      <c r="A258" s="79"/>
      <c r="B258" s="78" t="s">
        <v>188</v>
      </c>
      <c r="C258" s="1768" t="s">
        <v>475</v>
      </c>
      <c r="D258" s="1768"/>
      <c r="E258" s="1768"/>
      <c r="F258" s="80"/>
      <c r="G258" s="80"/>
      <c r="H258" s="80"/>
      <c r="I258" s="80"/>
      <c r="J258" s="81">
        <v>909.27</v>
      </c>
      <c r="K258" s="80"/>
      <c r="L258" s="81">
        <v>6.55</v>
      </c>
      <c r="M258" s="82"/>
      <c r="N258" s="83"/>
      <c r="AA258" s="43" t="s">
        <v>475</v>
      </c>
    </row>
    <row r="259" spans="1:31" s="40" customFormat="1" x14ac:dyDescent="0.2">
      <c r="A259" s="75"/>
      <c r="B259" s="114" t="s">
        <v>639</v>
      </c>
      <c r="C259" s="1804" t="s">
        <v>640</v>
      </c>
      <c r="D259" s="1804"/>
      <c r="E259" s="1804"/>
      <c r="F259" s="115" t="s">
        <v>641</v>
      </c>
      <c r="G259" s="115" t="s">
        <v>680</v>
      </c>
      <c r="H259" s="115"/>
      <c r="I259" s="115" t="s">
        <v>3612</v>
      </c>
      <c r="J259" s="78"/>
      <c r="K259" s="80"/>
      <c r="L259" s="81"/>
      <c r="M259" s="80"/>
      <c r="N259" s="116"/>
      <c r="AE259" s="43" t="s">
        <v>640</v>
      </c>
    </row>
    <row r="260" spans="1:31" s="40" customFormat="1" x14ac:dyDescent="0.2">
      <c r="A260" s="79"/>
      <c r="B260" s="78"/>
      <c r="C260" s="1768" t="s">
        <v>314</v>
      </c>
      <c r="D260" s="1768"/>
      <c r="E260" s="1768"/>
      <c r="F260" s="80" t="s">
        <v>315</v>
      </c>
      <c r="G260" s="80" t="s">
        <v>1373</v>
      </c>
      <c r="H260" s="80" t="s">
        <v>313</v>
      </c>
      <c r="I260" s="80" t="s">
        <v>3613</v>
      </c>
      <c r="J260" s="81"/>
      <c r="K260" s="80"/>
      <c r="L260" s="81"/>
      <c r="M260" s="82"/>
      <c r="N260" s="83"/>
      <c r="AB260" s="43" t="s">
        <v>314</v>
      </c>
    </row>
    <row r="261" spans="1:31" s="40" customFormat="1" x14ac:dyDescent="0.2">
      <c r="A261" s="79"/>
      <c r="B261" s="78"/>
      <c r="C261" s="1768" t="s">
        <v>348</v>
      </c>
      <c r="D261" s="1768"/>
      <c r="E261" s="1768"/>
      <c r="F261" s="80" t="s">
        <v>315</v>
      </c>
      <c r="G261" s="80" t="s">
        <v>1375</v>
      </c>
      <c r="H261" s="80" t="s">
        <v>313</v>
      </c>
      <c r="I261" s="80" t="s">
        <v>3614</v>
      </c>
      <c r="J261" s="81"/>
      <c r="K261" s="80"/>
      <c r="L261" s="81"/>
      <c r="M261" s="82"/>
      <c r="N261" s="83"/>
      <c r="AB261" s="43" t="s">
        <v>348</v>
      </c>
    </row>
    <row r="262" spans="1:31" s="40" customFormat="1" x14ac:dyDescent="0.2">
      <c r="A262" s="79"/>
      <c r="B262" s="78"/>
      <c r="C262" s="1780" t="s">
        <v>318</v>
      </c>
      <c r="D262" s="1780"/>
      <c r="E262" s="1780"/>
      <c r="F262" s="84"/>
      <c r="G262" s="84"/>
      <c r="H262" s="84"/>
      <c r="I262" s="84"/>
      <c r="J262" s="85">
        <v>3528.33</v>
      </c>
      <c r="K262" s="84"/>
      <c r="L262" s="85">
        <v>30.12</v>
      </c>
      <c r="M262" s="86"/>
      <c r="N262" s="87"/>
      <c r="AC262" s="43" t="s">
        <v>318</v>
      </c>
    </row>
    <row r="263" spans="1:31" s="40" customFormat="1" x14ac:dyDescent="0.2">
      <c r="A263" s="79"/>
      <c r="B263" s="78"/>
      <c r="C263" s="1768" t="s">
        <v>319</v>
      </c>
      <c r="D263" s="1768"/>
      <c r="E263" s="1768"/>
      <c r="F263" s="80"/>
      <c r="G263" s="80"/>
      <c r="H263" s="80"/>
      <c r="I263" s="80"/>
      <c r="J263" s="81"/>
      <c r="K263" s="80"/>
      <c r="L263" s="81">
        <v>11.68</v>
      </c>
      <c r="M263" s="82"/>
      <c r="N263" s="83"/>
      <c r="AB263" s="43" t="s">
        <v>319</v>
      </c>
    </row>
    <row r="264" spans="1:31" s="40" customFormat="1" ht="33.75" x14ac:dyDescent="0.2">
      <c r="A264" s="79"/>
      <c r="B264" s="78" t="s">
        <v>686</v>
      </c>
      <c r="C264" s="1768" t="s">
        <v>687</v>
      </c>
      <c r="D264" s="1768"/>
      <c r="E264" s="1768"/>
      <c r="F264" s="80" t="s">
        <v>322</v>
      </c>
      <c r="G264" s="80" t="s">
        <v>680</v>
      </c>
      <c r="H264" s="80"/>
      <c r="I264" s="80" t="s">
        <v>680</v>
      </c>
      <c r="J264" s="81"/>
      <c r="K264" s="80"/>
      <c r="L264" s="81">
        <v>11.91</v>
      </c>
      <c r="M264" s="82"/>
      <c r="N264" s="83"/>
      <c r="AB264" s="43" t="s">
        <v>687</v>
      </c>
    </row>
    <row r="265" spans="1:31" s="40" customFormat="1" ht="33.75" x14ac:dyDescent="0.2">
      <c r="A265" s="79"/>
      <c r="B265" s="78" t="s">
        <v>688</v>
      </c>
      <c r="C265" s="1768" t="s">
        <v>689</v>
      </c>
      <c r="D265" s="1768"/>
      <c r="E265" s="1768"/>
      <c r="F265" s="80" t="s">
        <v>322</v>
      </c>
      <c r="G265" s="80" t="s">
        <v>690</v>
      </c>
      <c r="H265" s="80"/>
      <c r="I265" s="80" t="s">
        <v>690</v>
      </c>
      <c r="J265" s="81"/>
      <c r="K265" s="80"/>
      <c r="L265" s="81">
        <v>6.77</v>
      </c>
      <c r="M265" s="82"/>
      <c r="N265" s="83"/>
      <c r="AB265" s="43" t="s">
        <v>689</v>
      </c>
    </row>
    <row r="266" spans="1:31" s="40" customFormat="1" x14ac:dyDescent="0.2">
      <c r="A266" s="88"/>
      <c r="B266" s="89"/>
      <c r="C266" s="1785" t="s">
        <v>327</v>
      </c>
      <c r="D266" s="1785"/>
      <c r="E266" s="1785"/>
      <c r="F266" s="71"/>
      <c r="G266" s="71"/>
      <c r="H266" s="71"/>
      <c r="I266" s="71"/>
      <c r="J266" s="72"/>
      <c r="K266" s="71"/>
      <c r="L266" s="72">
        <v>48.8</v>
      </c>
      <c r="M266" s="86"/>
      <c r="N266" s="74"/>
      <c r="AD266" s="43" t="s">
        <v>327</v>
      </c>
    </row>
    <row r="267" spans="1:31" s="40" customFormat="1" ht="22.5" x14ac:dyDescent="0.2">
      <c r="A267" s="69" t="s">
        <v>912</v>
      </c>
      <c r="B267" s="70" t="s">
        <v>1377</v>
      </c>
      <c r="C267" s="1785" t="s">
        <v>1378</v>
      </c>
      <c r="D267" s="1785"/>
      <c r="E267" s="1785"/>
      <c r="F267" s="71" t="s">
        <v>641</v>
      </c>
      <c r="G267" s="71"/>
      <c r="H267" s="71"/>
      <c r="I267" s="71" t="s">
        <v>3612</v>
      </c>
      <c r="J267" s="72">
        <v>560</v>
      </c>
      <c r="K267" s="71"/>
      <c r="L267" s="72">
        <v>411.26</v>
      </c>
      <c r="M267" s="73"/>
      <c r="N267" s="74"/>
      <c r="X267" s="43" t="s">
        <v>1378</v>
      </c>
    </row>
    <row r="268" spans="1:31" s="40" customFormat="1" x14ac:dyDescent="0.2">
      <c r="A268" s="88"/>
      <c r="B268" s="89"/>
      <c r="C268" s="48" t="s">
        <v>717</v>
      </c>
      <c r="D268" s="117"/>
      <c r="E268" s="117"/>
      <c r="F268" s="90"/>
      <c r="G268" s="90"/>
      <c r="H268" s="90"/>
      <c r="I268" s="90"/>
      <c r="J268" s="118"/>
      <c r="K268" s="90"/>
      <c r="L268" s="118"/>
      <c r="M268" s="119"/>
      <c r="N268" s="120"/>
    </row>
    <row r="269" spans="1:31" s="40" customFormat="1" ht="22.5" x14ac:dyDescent="0.2">
      <c r="A269" s="69" t="s">
        <v>757</v>
      </c>
      <c r="B269" s="70" t="s">
        <v>1380</v>
      </c>
      <c r="C269" s="1785" t="s">
        <v>1381</v>
      </c>
      <c r="D269" s="1785"/>
      <c r="E269" s="1785"/>
      <c r="F269" s="71" t="s">
        <v>509</v>
      </c>
      <c r="G269" s="71"/>
      <c r="H269" s="71"/>
      <c r="I269" s="71" t="s">
        <v>3615</v>
      </c>
      <c r="J269" s="72"/>
      <c r="K269" s="71"/>
      <c r="L269" s="72"/>
      <c r="M269" s="73"/>
      <c r="N269" s="74"/>
      <c r="X269" s="43" t="s">
        <v>1381</v>
      </c>
    </row>
    <row r="270" spans="1:31" s="40" customFormat="1" x14ac:dyDescent="0.2">
      <c r="A270" s="75"/>
      <c r="B270" s="76"/>
      <c r="C270" s="1768" t="s">
        <v>3616</v>
      </c>
      <c r="D270" s="1768"/>
      <c r="E270" s="1768"/>
      <c r="F270" s="1768"/>
      <c r="G270" s="1768"/>
      <c r="H270" s="1768"/>
      <c r="I270" s="1768"/>
      <c r="J270" s="1768"/>
      <c r="K270" s="1768"/>
      <c r="L270" s="1768"/>
      <c r="M270" s="1768"/>
      <c r="N270" s="1779"/>
      <c r="Y270" s="43" t="s">
        <v>3616</v>
      </c>
    </row>
    <row r="271" spans="1:31" s="40" customFormat="1" ht="33.75" x14ac:dyDescent="0.2">
      <c r="A271" s="77"/>
      <c r="B271" s="78" t="s">
        <v>310</v>
      </c>
      <c r="C271" s="1768" t="s">
        <v>311</v>
      </c>
      <c r="D271" s="1768"/>
      <c r="E271" s="1768"/>
      <c r="F271" s="1768"/>
      <c r="G271" s="1768"/>
      <c r="H271" s="1768"/>
      <c r="I271" s="1768"/>
      <c r="J271" s="1768"/>
      <c r="K271" s="1768"/>
      <c r="L271" s="1768"/>
      <c r="M271" s="1768"/>
      <c r="N271" s="1779"/>
      <c r="Z271" s="43" t="s">
        <v>311</v>
      </c>
    </row>
    <row r="272" spans="1:31" s="40" customFormat="1" x14ac:dyDescent="0.2">
      <c r="A272" s="79"/>
      <c r="B272" s="78" t="s">
        <v>185</v>
      </c>
      <c r="C272" s="1768" t="s">
        <v>312</v>
      </c>
      <c r="D272" s="1768"/>
      <c r="E272" s="1768"/>
      <c r="F272" s="80"/>
      <c r="G272" s="80"/>
      <c r="H272" s="80"/>
      <c r="I272" s="80"/>
      <c r="J272" s="81">
        <v>1526.87</v>
      </c>
      <c r="K272" s="80" t="s">
        <v>313</v>
      </c>
      <c r="L272" s="81">
        <v>53.25</v>
      </c>
      <c r="M272" s="82"/>
      <c r="N272" s="83"/>
      <c r="AA272" s="43" t="s">
        <v>312</v>
      </c>
    </row>
    <row r="273" spans="1:31" s="40" customFormat="1" x14ac:dyDescent="0.2">
      <c r="A273" s="79"/>
      <c r="B273" s="78" t="s">
        <v>186</v>
      </c>
      <c r="C273" s="1768" t="s">
        <v>344</v>
      </c>
      <c r="D273" s="1768"/>
      <c r="E273" s="1768"/>
      <c r="F273" s="80"/>
      <c r="G273" s="80"/>
      <c r="H273" s="80"/>
      <c r="I273" s="80"/>
      <c r="J273" s="81">
        <v>2518.58</v>
      </c>
      <c r="K273" s="80" t="s">
        <v>313</v>
      </c>
      <c r="L273" s="81">
        <v>87.84</v>
      </c>
      <c r="M273" s="82"/>
      <c r="N273" s="83"/>
      <c r="AA273" s="43" t="s">
        <v>344</v>
      </c>
    </row>
    <row r="274" spans="1:31" s="40" customFormat="1" x14ac:dyDescent="0.2">
      <c r="A274" s="79"/>
      <c r="B274" s="78" t="s">
        <v>187</v>
      </c>
      <c r="C274" s="1768" t="s">
        <v>345</v>
      </c>
      <c r="D274" s="1768"/>
      <c r="E274" s="1768"/>
      <c r="F274" s="80"/>
      <c r="G274" s="80"/>
      <c r="H274" s="80"/>
      <c r="I274" s="80"/>
      <c r="J274" s="81">
        <v>382.14</v>
      </c>
      <c r="K274" s="80" t="s">
        <v>313</v>
      </c>
      <c r="L274" s="81">
        <v>13.33</v>
      </c>
      <c r="M274" s="82"/>
      <c r="N274" s="83"/>
      <c r="AA274" s="43" t="s">
        <v>345</v>
      </c>
    </row>
    <row r="275" spans="1:31" s="40" customFormat="1" x14ac:dyDescent="0.2">
      <c r="A275" s="79"/>
      <c r="B275" s="78" t="s">
        <v>188</v>
      </c>
      <c r="C275" s="1768" t="s">
        <v>475</v>
      </c>
      <c r="D275" s="1768"/>
      <c r="E275" s="1768"/>
      <c r="F275" s="80"/>
      <c r="G275" s="80"/>
      <c r="H275" s="80"/>
      <c r="I275" s="80"/>
      <c r="J275" s="81">
        <v>488.42</v>
      </c>
      <c r="K275" s="80"/>
      <c r="L275" s="81">
        <v>13.63</v>
      </c>
      <c r="M275" s="82"/>
      <c r="N275" s="83"/>
      <c r="AA275" s="43" t="s">
        <v>475</v>
      </c>
    </row>
    <row r="276" spans="1:31" s="40" customFormat="1" x14ac:dyDescent="0.2">
      <c r="A276" s="75"/>
      <c r="B276" s="114" t="s">
        <v>639</v>
      </c>
      <c r="C276" s="1804" t="s">
        <v>640</v>
      </c>
      <c r="D276" s="1804"/>
      <c r="E276" s="1804"/>
      <c r="F276" s="115" t="s">
        <v>641</v>
      </c>
      <c r="G276" s="115" t="s">
        <v>1384</v>
      </c>
      <c r="H276" s="115"/>
      <c r="I276" s="115" t="s">
        <v>3617</v>
      </c>
      <c r="J276" s="78"/>
      <c r="K276" s="80"/>
      <c r="L276" s="81"/>
      <c r="M276" s="80"/>
      <c r="N276" s="116"/>
      <c r="AE276" s="43" t="s">
        <v>640</v>
      </c>
    </row>
    <row r="277" spans="1:31" s="40" customFormat="1" x14ac:dyDescent="0.2">
      <c r="A277" s="75"/>
      <c r="B277" s="114" t="s">
        <v>1272</v>
      </c>
      <c r="C277" s="1804" t="s">
        <v>1273</v>
      </c>
      <c r="D277" s="1804"/>
      <c r="E277" s="1804"/>
      <c r="F277" s="115" t="s">
        <v>694</v>
      </c>
      <c r="G277" s="115" t="s">
        <v>1386</v>
      </c>
      <c r="H277" s="115"/>
      <c r="I277" s="115" t="s">
        <v>3618</v>
      </c>
      <c r="J277" s="78"/>
      <c r="K277" s="80"/>
      <c r="L277" s="81"/>
      <c r="M277" s="80"/>
      <c r="N277" s="116"/>
      <c r="AE277" s="43" t="s">
        <v>1273</v>
      </c>
    </row>
    <row r="278" spans="1:31" s="40" customFormat="1" x14ac:dyDescent="0.2">
      <c r="A278" s="79"/>
      <c r="B278" s="78"/>
      <c r="C278" s="1768" t="s">
        <v>314</v>
      </c>
      <c r="D278" s="1768"/>
      <c r="E278" s="1768"/>
      <c r="F278" s="80" t="s">
        <v>315</v>
      </c>
      <c r="G278" s="80" t="s">
        <v>1388</v>
      </c>
      <c r="H278" s="80" t="s">
        <v>313</v>
      </c>
      <c r="I278" s="80" t="s">
        <v>3619</v>
      </c>
      <c r="J278" s="81"/>
      <c r="K278" s="80"/>
      <c r="L278" s="81"/>
      <c r="M278" s="82"/>
      <c r="N278" s="83"/>
      <c r="AB278" s="43" t="s">
        <v>314</v>
      </c>
    </row>
    <row r="279" spans="1:31" s="40" customFormat="1" x14ac:dyDescent="0.2">
      <c r="A279" s="79"/>
      <c r="B279" s="78"/>
      <c r="C279" s="1768" t="s">
        <v>348</v>
      </c>
      <c r="D279" s="1768"/>
      <c r="E279" s="1768"/>
      <c r="F279" s="80" t="s">
        <v>315</v>
      </c>
      <c r="G279" s="80" t="s">
        <v>1390</v>
      </c>
      <c r="H279" s="80" t="s">
        <v>313</v>
      </c>
      <c r="I279" s="80" t="s">
        <v>3620</v>
      </c>
      <c r="J279" s="81"/>
      <c r="K279" s="80"/>
      <c r="L279" s="81"/>
      <c r="M279" s="82"/>
      <c r="N279" s="83"/>
      <c r="AB279" s="43" t="s">
        <v>348</v>
      </c>
    </row>
    <row r="280" spans="1:31" s="40" customFormat="1" x14ac:dyDescent="0.2">
      <c r="A280" s="79"/>
      <c r="B280" s="78"/>
      <c r="C280" s="1780" t="s">
        <v>318</v>
      </c>
      <c r="D280" s="1780"/>
      <c r="E280" s="1780"/>
      <c r="F280" s="84"/>
      <c r="G280" s="84"/>
      <c r="H280" s="84"/>
      <c r="I280" s="84"/>
      <c r="J280" s="85">
        <v>4533.87</v>
      </c>
      <c r="K280" s="84"/>
      <c r="L280" s="85">
        <v>154.72</v>
      </c>
      <c r="M280" s="86"/>
      <c r="N280" s="87"/>
      <c r="AC280" s="43" t="s">
        <v>318</v>
      </c>
    </row>
    <row r="281" spans="1:31" s="40" customFormat="1" x14ac:dyDescent="0.2">
      <c r="A281" s="79"/>
      <c r="B281" s="78"/>
      <c r="C281" s="1768" t="s">
        <v>319</v>
      </c>
      <c r="D281" s="1768"/>
      <c r="E281" s="1768"/>
      <c r="F281" s="80"/>
      <c r="G281" s="80"/>
      <c r="H281" s="80"/>
      <c r="I281" s="80"/>
      <c r="J281" s="81"/>
      <c r="K281" s="80"/>
      <c r="L281" s="81">
        <v>66.58</v>
      </c>
      <c r="M281" s="82"/>
      <c r="N281" s="83"/>
      <c r="AB281" s="43" t="s">
        <v>319</v>
      </c>
    </row>
    <row r="282" spans="1:31" s="40" customFormat="1" ht="33.75" x14ac:dyDescent="0.2">
      <c r="A282" s="79"/>
      <c r="B282" s="78" t="s">
        <v>686</v>
      </c>
      <c r="C282" s="1768" t="s">
        <v>687</v>
      </c>
      <c r="D282" s="1768"/>
      <c r="E282" s="1768"/>
      <c r="F282" s="80" t="s">
        <v>322</v>
      </c>
      <c r="G282" s="80" t="s">
        <v>680</v>
      </c>
      <c r="H282" s="80"/>
      <c r="I282" s="80" t="s">
        <v>680</v>
      </c>
      <c r="J282" s="81"/>
      <c r="K282" s="80"/>
      <c r="L282" s="81">
        <v>67.91</v>
      </c>
      <c r="M282" s="82"/>
      <c r="N282" s="83"/>
      <c r="AB282" s="43" t="s">
        <v>687</v>
      </c>
    </row>
    <row r="283" spans="1:31" s="40" customFormat="1" ht="33.75" x14ac:dyDescent="0.2">
      <c r="A283" s="79"/>
      <c r="B283" s="78" t="s">
        <v>688</v>
      </c>
      <c r="C283" s="1768" t="s">
        <v>689</v>
      </c>
      <c r="D283" s="1768"/>
      <c r="E283" s="1768"/>
      <c r="F283" s="80" t="s">
        <v>322</v>
      </c>
      <c r="G283" s="80" t="s">
        <v>690</v>
      </c>
      <c r="H283" s="80"/>
      <c r="I283" s="80" t="s">
        <v>690</v>
      </c>
      <c r="J283" s="81"/>
      <c r="K283" s="80"/>
      <c r="L283" s="81">
        <v>38.619999999999997</v>
      </c>
      <c r="M283" s="82"/>
      <c r="N283" s="83"/>
      <c r="AB283" s="43" t="s">
        <v>689</v>
      </c>
    </row>
    <row r="284" spans="1:31" s="40" customFormat="1" x14ac:dyDescent="0.2">
      <c r="A284" s="88"/>
      <c r="B284" s="89"/>
      <c r="C284" s="1785" t="s">
        <v>327</v>
      </c>
      <c r="D284" s="1785"/>
      <c r="E284" s="1785"/>
      <c r="F284" s="71"/>
      <c r="G284" s="71"/>
      <c r="H284" s="71"/>
      <c r="I284" s="71"/>
      <c r="J284" s="72"/>
      <c r="K284" s="71"/>
      <c r="L284" s="72">
        <v>261.25</v>
      </c>
      <c r="M284" s="86"/>
      <c r="N284" s="74"/>
      <c r="AD284" s="43" t="s">
        <v>327</v>
      </c>
    </row>
    <row r="285" spans="1:31" s="40" customFormat="1" ht="22.5" x14ac:dyDescent="0.2">
      <c r="A285" s="69" t="s">
        <v>1079</v>
      </c>
      <c r="B285" s="70" t="s">
        <v>654</v>
      </c>
      <c r="C285" s="1785" t="s">
        <v>655</v>
      </c>
      <c r="D285" s="1785"/>
      <c r="E285" s="1785"/>
      <c r="F285" s="71" t="s">
        <v>641</v>
      </c>
      <c r="G285" s="71"/>
      <c r="H285" s="71"/>
      <c r="I285" s="71" t="s">
        <v>3621</v>
      </c>
      <c r="J285" s="72">
        <v>592.76</v>
      </c>
      <c r="K285" s="71"/>
      <c r="L285" s="72">
        <v>1678.58</v>
      </c>
      <c r="M285" s="73"/>
      <c r="N285" s="74"/>
      <c r="X285" s="43" t="s">
        <v>655</v>
      </c>
    </row>
    <row r="286" spans="1:31" s="40" customFormat="1" x14ac:dyDescent="0.2">
      <c r="A286" s="88"/>
      <c r="B286" s="89"/>
      <c r="C286" s="48" t="s">
        <v>717</v>
      </c>
      <c r="D286" s="117"/>
      <c r="E286" s="117"/>
      <c r="F286" s="90"/>
      <c r="G286" s="90"/>
      <c r="H286" s="90"/>
      <c r="I286" s="90"/>
      <c r="J286" s="118"/>
      <c r="K286" s="90"/>
      <c r="L286" s="118"/>
      <c r="M286" s="119"/>
      <c r="N286" s="120"/>
    </row>
    <row r="287" spans="1:31" s="40" customFormat="1" ht="33.75" x14ac:dyDescent="0.2">
      <c r="A287" s="69" t="s">
        <v>759</v>
      </c>
      <c r="B287" s="70" t="s">
        <v>657</v>
      </c>
      <c r="C287" s="1785" t="s">
        <v>3622</v>
      </c>
      <c r="D287" s="1785"/>
      <c r="E287" s="1785"/>
      <c r="F287" s="71" t="s">
        <v>641</v>
      </c>
      <c r="G287" s="71"/>
      <c r="H287" s="71"/>
      <c r="I287" s="71" t="s">
        <v>3623</v>
      </c>
      <c r="J287" s="72">
        <v>18.04</v>
      </c>
      <c r="K287" s="71"/>
      <c r="L287" s="72">
        <v>50.24</v>
      </c>
      <c r="M287" s="73"/>
      <c r="N287" s="74"/>
      <c r="X287" s="43" t="s">
        <v>3622</v>
      </c>
    </row>
    <row r="288" spans="1:31" s="40" customFormat="1" x14ac:dyDescent="0.2">
      <c r="A288" s="88"/>
      <c r="B288" s="89"/>
      <c r="C288" s="48" t="s">
        <v>717</v>
      </c>
      <c r="D288" s="117"/>
      <c r="E288" s="117"/>
      <c r="F288" s="90"/>
      <c r="G288" s="90"/>
      <c r="H288" s="90"/>
      <c r="I288" s="90"/>
      <c r="J288" s="118"/>
      <c r="K288" s="90"/>
      <c r="L288" s="118"/>
      <c r="M288" s="119"/>
      <c r="N288" s="120"/>
    </row>
    <row r="289" spans="1:32" s="40" customFormat="1" x14ac:dyDescent="0.2">
      <c r="A289" s="75"/>
      <c r="B289" s="76"/>
      <c r="C289" s="1768" t="s">
        <v>659</v>
      </c>
      <c r="D289" s="1768"/>
      <c r="E289" s="1768"/>
      <c r="F289" s="1768"/>
      <c r="G289" s="1768"/>
      <c r="H289" s="1768"/>
      <c r="I289" s="1768"/>
      <c r="J289" s="1768"/>
      <c r="K289" s="1768"/>
      <c r="L289" s="1768"/>
      <c r="M289" s="1768"/>
      <c r="N289" s="1779"/>
      <c r="AF289" s="43" t="s">
        <v>659</v>
      </c>
    </row>
    <row r="290" spans="1:32" s="40" customFormat="1" ht="22.5" x14ac:dyDescent="0.2">
      <c r="A290" s="69" t="s">
        <v>917</v>
      </c>
      <c r="B290" s="70" t="s">
        <v>3624</v>
      </c>
      <c r="C290" s="1785" t="s">
        <v>3625</v>
      </c>
      <c r="D290" s="1785"/>
      <c r="E290" s="1785"/>
      <c r="F290" s="71" t="s">
        <v>694</v>
      </c>
      <c r="G290" s="71"/>
      <c r="H290" s="71"/>
      <c r="I290" s="71" t="s">
        <v>3626</v>
      </c>
      <c r="J290" s="72">
        <v>5802.77</v>
      </c>
      <c r="K290" s="71"/>
      <c r="L290" s="72">
        <v>296.52</v>
      </c>
      <c r="M290" s="73"/>
      <c r="N290" s="74"/>
      <c r="X290" s="43" t="s">
        <v>3625</v>
      </c>
    </row>
    <row r="291" spans="1:32" s="40" customFormat="1" x14ac:dyDescent="0.2">
      <c r="A291" s="88"/>
      <c r="B291" s="89"/>
      <c r="C291" s="48" t="s">
        <v>717</v>
      </c>
      <c r="D291" s="117"/>
      <c r="E291" s="117"/>
      <c r="F291" s="90"/>
      <c r="G291" s="90"/>
      <c r="H291" s="90"/>
      <c r="I291" s="90"/>
      <c r="J291" s="118"/>
      <c r="K291" s="90"/>
      <c r="L291" s="118"/>
      <c r="M291" s="119"/>
      <c r="N291" s="120"/>
    </row>
    <row r="292" spans="1:32" s="40" customFormat="1" x14ac:dyDescent="0.2">
      <c r="A292" s="75"/>
      <c r="B292" s="76"/>
      <c r="C292" s="1768" t="s">
        <v>3627</v>
      </c>
      <c r="D292" s="1768"/>
      <c r="E292" s="1768"/>
      <c r="F292" s="1768"/>
      <c r="G292" s="1768"/>
      <c r="H292" s="1768"/>
      <c r="I292" s="1768"/>
      <c r="J292" s="1768"/>
      <c r="K292" s="1768"/>
      <c r="L292" s="1768"/>
      <c r="M292" s="1768"/>
      <c r="N292" s="1779"/>
      <c r="Y292" s="43" t="s">
        <v>3627</v>
      </c>
    </row>
    <row r="293" spans="1:32" s="40" customFormat="1" ht="22.5" x14ac:dyDescent="0.2">
      <c r="A293" s="69" t="s">
        <v>761</v>
      </c>
      <c r="B293" s="70" t="s">
        <v>3309</v>
      </c>
      <c r="C293" s="1785" t="s">
        <v>3310</v>
      </c>
      <c r="D293" s="1785"/>
      <c r="E293" s="1785"/>
      <c r="F293" s="71" t="s">
        <v>694</v>
      </c>
      <c r="G293" s="71"/>
      <c r="H293" s="71"/>
      <c r="I293" s="71" t="s">
        <v>3628</v>
      </c>
      <c r="J293" s="72"/>
      <c r="K293" s="71"/>
      <c r="L293" s="72"/>
      <c r="M293" s="73"/>
      <c r="N293" s="74"/>
      <c r="X293" s="43" t="s">
        <v>3310</v>
      </c>
    </row>
    <row r="294" spans="1:32" s="40" customFormat="1" x14ac:dyDescent="0.2">
      <c r="A294" s="75"/>
      <c r="B294" s="76"/>
      <c r="C294" s="1768" t="s">
        <v>3629</v>
      </c>
      <c r="D294" s="1768"/>
      <c r="E294" s="1768"/>
      <c r="F294" s="1768"/>
      <c r="G294" s="1768"/>
      <c r="H294" s="1768"/>
      <c r="I294" s="1768"/>
      <c r="J294" s="1768"/>
      <c r="K294" s="1768"/>
      <c r="L294" s="1768"/>
      <c r="M294" s="1768"/>
      <c r="N294" s="1779"/>
      <c r="Y294" s="43" t="s">
        <v>3629</v>
      </c>
    </row>
    <row r="295" spans="1:32" s="40" customFormat="1" ht="33.75" x14ac:dyDescent="0.2">
      <c r="A295" s="77"/>
      <c r="B295" s="78" t="s">
        <v>310</v>
      </c>
      <c r="C295" s="1768" t="s">
        <v>311</v>
      </c>
      <c r="D295" s="1768"/>
      <c r="E295" s="1768"/>
      <c r="F295" s="1768"/>
      <c r="G295" s="1768"/>
      <c r="H295" s="1768"/>
      <c r="I295" s="1768"/>
      <c r="J295" s="1768"/>
      <c r="K295" s="1768"/>
      <c r="L295" s="1768"/>
      <c r="M295" s="1768"/>
      <c r="N295" s="1779"/>
      <c r="Z295" s="43" t="s">
        <v>311</v>
      </c>
    </row>
    <row r="296" spans="1:32" s="40" customFormat="1" x14ac:dyDescent="0.2">
      <c r="A296" s="79"/>
      <c r="B296" s="78" t="s">
        <v>185</v>
      </c>
      <c r="C296" s="1768" t="s">
        <v>312</v>
      </c>
      <c r="D296" s="1768"/>
      <c r="E296" s="1768"/>
      <c r="F296" s="80"/>
      <c r="G296" s="80"/>
      <c r="H296" s="80"/>
      <c r="I296" s="80"/>
      <c r="J296" s="81">
        <v>408.85</v>
      </c>
      <c r="K296" s="80" t="s">
        <v>313</v>
      </c>
      <c r="L296" s="81">
        <v>5.4</v>
      </c>
      <c r="M296" s="82"/>
      <c r="N296" s="83"/>
      <c r="AA296" s="43" t="s">
        <v>312</v>
      </c>
    </row>
    <row r="297" spans="1:32" s="40" customFormat="1" x14ac:dyDescent="0.2">
      <c r="A297" s="79"/>
      <c r="B297" s="78" t="s">
        <v>186</v>
      </c>
      <c r="C297" s="1768" t="s">
        <v>344</v>
      </c>
      <c r="D297" s="1768"/>
      <c r="E297" s="1768"/>
      <c r="F297" s="80"/>
      <c r="G297" s="80"/>
      <c r="H297" s="80"/>
      <c r="I297" s="80"/>
      <c r="J297" s="81">
        <v>425.84</v>
      </c>
      <c r="K297" s="80" t="s">
        <v>313</v>
      </c>
      <c r="L297" s="81">
        <v>5.62</v>
      </c>
      <c r="M297" s="82"/>
      <c r="N297" s="83"/>
      <c r="AA297" s="43" t="s">
        <v>344</v>
      </c>
    </row>
    <row r="298" spans="1:32" s="40" customFormat="1" x14ac:dyDescent="0.2">
      <c r="A298" s="79"/>
      <c r="B298" s="78" t="s">
        <v>187</v>
      </c>
      <c r="C298" s="1768" t="s">
        <v>345</v>
      </c>
      <c r="D298" s="1768"/>
      <c r="E298" s="1768"/>
      <c r="F298" s="80"/>
      <c r="G298" s="80"/>
      <c r="H298" s="80"/>
      <c r="I298" s="80"/>
      <c r="J298" s="81">
        <v>51.59</v>
      </c>
      <c r="K298" s="80" t="s">
        <v>313</v>
      </c>
      <c r="L298" s="81">
        <v>0.68</v>
      </c>
      <c r="M298" s="82"/>
      <c r="N298" s="83"/>
      <c r="AA298" s="43" t="s">
        <v>345</v>
      </c>
    </row>
    <row r="299" spans="1:32" s="40" customFormat="1" x14ac:dyDescent="0.2">
      <c r="A299" s="79"/>
      <c r="B299" s="78" t="s">
        <v>188</v>
      </c>
      <c r="C299" s="1768" t="s">
        <v>475</v>
      </c>
      <c r="D299" s="1768"/>
      <c r="E299" s="1768"/>
      <c r="F299" s="80"/>
      <c r="G299" s="80"/>
      <c r="H299" s="80"/>
      <c r="I299" s="80"/>
      <c r="J299" s="81">
        <v>72.209999999999994</v>
      </c>
      <c r="K299" s="80"/>
      <c r="L299" s="81">
        <v>0.76</v>
      </c>
      <c r="M299" s="82"/>
      <c r="N299" s="83"/>
      <c r="AA299" s="43" t="s">
        <v>475</v>
      </c>
    </row>
    <row r="300" spans="1:32" s="40" customFormat="1" x14ac:dyDescent="0.2">
      <c r="A300" s="75"/>
      <c r="B300" s="114" t="s">
        <v>3313</v>
      </c>
      <c r="C300" s="1804" t="s">
        <v>1229</v>
      </c>
      <c r="D300" s="1804"/>
      <c r="E300" s="1804"/>
      <c r="F300" s="115" t="s">
        <v>694</v>
      </c>
      <c r="G300" s="115" t="s">
        <v>185</v>
      </c>
      <c r="H300" s="115"/>
      <c r="I300" s="115" t="s">
        <v>3628</v>
      </c>
      <c r="J300" s="78"/>
      <c r="K300" s="80"/>
      <c r="L300" s="81"/>
      <c r="M300" s="80"/>
      <c r="N300" s="116"/>
      <c r="AE300" s="43" t="s">
        <v>1229</v>
      </c>
    </row>
    <row r="301" spans="1:32" s="40" customFormat="1" x14ac:dyDescent="0.2">
      <c r="A301" s="79"/>
      <c r="B301" s="78"/>
      <c r="C301" s="1768" t="s">
        <v>314</v>
      </c>
      <c r="D301" s="1768"/>
      <c r="E301" s="1768"/>
      <c r="F301" s="80" t="s">
        <v>315</v>
      </c>
      <c r="G301" s="80" t="s">
        <v>1513</v>
      </c>
      <c r="H301" s="80" t="s">
        <v>313</v>
      </c>
      <c r="I301" s="80" t="s">
        <v>3630</v>
      </c>
      <c r="J301" s="81"/>
      <c r="K301" s="80"/>
      <c r="L301" s="81"/>
      <c r="M301" s="82"/>
      <c r="N301" s="83"/>
      <c r="AB301" s="43" t="s">
        <v>314</v>
      </c>
    </row>
    <row r="302" spans="1:32" s="40" customFormat="1" x14ac:dyDescent="0.2">
      <c r="A302" s="79"/>
      <c r="B302" s="78"/>
      <c r="C302" s="1768" t="s">
        <v>348</v>
      </c>
      <c r="D302" s="1768"/>
      <c r="E302" s="1768"/>
      <c r="F302" s="80" t="s">
        <v>315</v>
      </c>
      <c r="G302" s="80" t="s">
        <v>3315</v>
      </c>
      <c r="H302" s="80" t="s">
        <v>313</v>
      </c>
      <c r="I302" s="80" t="s">
        <v>3631</v>
      </c>
      <c r="J302" s="81"/>
      <c r="K302" s="80"/>
      <c r="L302" s="81"/>
      <c r="M302" s="82"/>
      <c r="N302" s="83"/>
      <c r="AB302" s="43" t="s">
        <v>348</v>
      </c>
    </row>
    <row r="303" spans="1:32" s="40" customFormat="1" x14ac:dyDescent="0.2">
      <c r="A303" s="79"/>
      <c r="B303" s="78"/>
      <c r="C303" s="1780" t="s">
        <v>318</v>
      </c>
      <c r="D303" s="1780"/>
      <c r="E303" s="1780"/>
      <c r="F303" s="84"/>
      <c r="G303" s="84"/>
      <c r="H303" s="84"/>
      <c r="I303" s="84"/>
      <c r="J303" s="85">
        <v>906.9</v>
      </c>
      <c r="K303" s="84"/>
      <c r="L303" s="85">
        <v>11.78</v>
      </c>
      <c r="M303" s="86"/>
      <c r="N303" s="87"/>
      <c r="AC303" s="43" t="s">
        <v>318</v>
      </c>
    </row>
    <row r="304" spans="1:32" s="40" customFormat="1" x14ac:dyDescent="0.2">
      <c r="A304" s="79"/>
      <c r="B304" s="78"/>
      <c r="C304" s="1768" t="s">
        <v>319</v>
      </c>
      <c r="D304" s="1768"/>
      <c r="E304" s="1768"/>
      <c r="F304" s="80"/>
      <c r="G304" s="80"/>
      <c r="H304" s="80"/>
      <c r="I304" s="80"/>
      <c r="J304" s="81"/>
      <c r="K304" s="80"/>
      <c r="L304" s="81">
        <v>6.08</v>
      </c>
      <c r="M304" s="82"/>
      <c r="N304" s="83"/>
      <c r="AB304" s="43" t="s">
        <v>319</v>
      </c>
    </row>
    <row r="305" spans="1:30" s="40" customFormat="1" ht="33.75" x14ac:dyDescent="0.2">
      <c r="A305" s="79"/>
      <c r="B305" s="78" t="s">
        <v>686</v>
      </c>
      <c r="C305" s="1768" t="s">
        <v>687</v>
      </c>
      <c r="D305" s="1768"/>
      <c r="E305" s="1768"/>
      <c r="F305" s="80" t="s">
        <v>322</v>
      </c>
      <c r="G305" s="80" t="s">
        <v>680</v>
      </c>
      <c r="H305" s="80"/>
      <c r="I305" s="80" t="s">
        <v>680</v>
      </c>
      <c r="J305" s="81"/>
      <c r="K305" s="80"/>
      <c r="L305" s="81">
        <v>6.2</v>
      </c>
      <c r="M305" s="82"/>
      <c r="N305" s="83"/>
      <c r="AB305" s="43" t="s">
        <v>687</v>
      </c>
    </row>
    <row r="306" spans="1:30" s="40" customFormat="1" ht="33.75" x14ac:dyDescent="0.2">
      <c r="A306" s="79"/>
      <c r="B306" s="78" t="s">
        <v>688</v>
      </c>
      <c r="C306" s="1768" t="s">
        <v>689</v>
      </c>
      <c r="D306" s="1768"/>
      <c r="E306" s="1768"/>
      <c r="F306" s="80" t="s">
        <v>322</v>
      </c>
      <c r="G306" s="80" t="s">
        <v>690</v>
      </c>
      <c r="H306" s="80"/>
      <c r="I306" s="80" t="s">
        <v>690</v>
      </c>
      <c r="J306" s="81"/>
      <c r="K306" s="80"/>
      <c r="L306" s="81">
        <v>3.53</v>
      </c>
      <c r="M306" s="82"/>
      <c r="N306" s="83"/>
      <c r="AB306" s="43" t="s">
        <v>689</v>
      </c>
    </row>
    <row r="307" spans="1:30" s="40" customFormat="1" x14ac:dyDescent="0.2">
      <c r="A307" s="88"/>
      <c r="B307" s="89"/>
      <c r="C307" s="1785" t="s">
        <v>327</v>
      </c>
      <c r="D307" s="1785"/>
      <c r="E307" s="1785"/>
      <c r="F307" s="71"/>
      <c r="G307" s="71"/>
      <c r="H307" s="71"/>
      <c r="I307" s="71"/>
      <c r="J307" s="72"/>
      <c r="K307" s="71"/>
      <c r="L307" s="72">
        <v>21.51</v>
      </c>
      <c r="M307" s="86"/>
      <c r="N307" s="74"/>
      <c r="AD307" s="43" t="s">
        <v>327</v>
      </c>
    </row>
    <row r="308" spans="1:30" s="40" customFormat="1" ht="33.75" x14ac:dyDescent="0.2">
      <c r="A308" s="69" t="s">
        <v>762</v>
      </c>
      <c r="B308" s="70" t="s">
        <v>3632</v>
      </c>
      <c r="C308" s="1785" t="s">
        <v>3633</v>
      </c>
      <c r="D308" s="1785"/>
      <c r="E308" s="1785"/>
      <c r="F308" s="71" t="s">
        <v>694</v>
      </c>
      <c r="G308" s="71"/>
      <c r="H308" s="71"/>
      <c r="I308" s="71" t="s">
        <v>3634</v>
      </c>
      <c r="J308" s="72">
        <v>7028.18</v>
      </c>
      <c r="K308" s="71"/>
      <c r="L308" s="72">
        <v>74.5</v>
      </c>
      <c r="M308" s="73"/>
      <c r="N308" s="74"/>
      <c r="X308" s="43" t="s">
        <v>3633</v>
      </c>
    </row>
    <row r="309" spans="1:30" s="40" customFormat="1" x14ac:dyDescent="0.2">
      <c r="A309" s="88"/>
      <c r="B309" s="89"/>
      <c r="C309" s="48" t="s">
        <v>717</v>
      </c>
      <c r="D309" s="117"/>
      <c r="E309" s="117"/>
      <c r="F309" s="90"/>
      <c r="G309" s="90"/>
      <c r="H309" s="90"/>
      <c r="I309" s="90"/>
      <c r="J309" s="118"/>
      <c r="K309" s="90"/>
      <c r="L309" s="118"/>
      <c r="M309" s="119"/>
      <c r="N309" s="120"/>
    </row>
    <row r="310" spans="1:30" s="40" customFormat="1" x14ac:dyDescent="0.2">
      <c r="A310" s="1801" t="s">
        <v>3635</v>
      </c>
      <c r="B310" s="1802"/>
      <c r="C310" s="1802"/>
      <c r="D310" s="1802"/>
      <c r="E310" s="1802"/>
      <c r="F310" s="1802"/>
      <c r="G310" s="1802"/>
      <c r="H310" s="1802"/>
      <c r="I310" s="1802"/>
      <c r="J310" s="1802"/>
      <c r="K310" s="1802"/>
      <c r="L310" s="1802"/>
      <c r="M310" s="1802"/>
      <c r="N310" s="1803"/>
      <c r="W310" s="43" t="s">
        <v>3635</v>
      </c>
    </row>
    <row r="311" spans="1:30" s="40" customFormat="1" ht="22.5" x14ac:dyDescent="0.2">
      <c r="A311" s="69" t="s">
        <v>763</v>
      </c>
      <c r="B311" s="70" t="s">
        <v>3454</v>
      </c>
      <c r="C311" s="1785" t="s">
        <v>3455</v>
      </c>
      <c r="D311" s="1785"/>
      <c r="E311" s="1785"/>
      <c r="F311" s="71" t="s">
        <v>1110</v>
      </c>
      <c r="G311" s="71"/>
      <c r="H311" s="71"/>
      <c r="I311" s="71" t="s">
        <v>3636</v>
      </c>
      <c r="J311" s="72"/>
      <c r="K311" s="71"/>
      <c r="L311" s="72"/>
      <c r="M311" s="73"/>
      <c r="N311" s="74"/>
      <c r="X311" s="43" t="s">
        <v>3455</v>
      </c>
    </row>
    <row r="312" spans="1:30" s="40" customFormat="1" x14ac:dyDescent="0.2">
      <c r="A312" s="75"/>
      <c r="B312" s="76"/>
      <c r="C312" s="1768" t="s">
        <v>3637</v>
      </c>
      <c r="D312" s="1768"/>
      <c r="E312" s="1768"/>
      <c r="F312" s="1768"/>
      <c r="G312" s="1768"/>
      <c r="H312" s="1768"/>
      <c r="I312" s="1768"/>
      <c r="J312" s="1768"/>
      <c r="K312" s="1768"/>
      <c r="L312" s="1768"/>
      <c r="M312" s="1768"/>
      <c r="N312" s="1779"/>
      <c r="Y312" s="43" t="s">
        <v>3637</v>
      </c>
    </row>
    <row r="313" spans="1:30" s="40" customFormat="1" ht="33.75" x14ac:dyDescent="0.2">
      <c r="A313" s="77"/>
      <c r="B313" s="78" t="s">
        <v>310</v>
      </c>
      <c r="C313" s="1768" t="s">
        <v>311</v>
      </c>
      <c r="D313" s="1768"/>
      <c r="E313" s="1768"/>
      <c r="F313" s="1768"/>
      <c r="G313" s="1768"/>
      <c r="H313" s="1768"/>
      <c r="I313" s="1768"/>
      <c r="J313" s="1768"/>
      <c r="K313" s="1768"/>
      <c r="L313" s="1768"/>
      <c r="M313" s="1768"/>
      <c r="N313" s="1779"/>
      <c r="Z313" s="43" t="s">
        <v>311</v>
      </c>
    </row>
    <row r="314" spans="1:30" s="40" customFormat="1" x14ac:dyDescent="0.2">
      <c r="A314" s="79"/>
      <c r="B314" s="78" t="s">
        <v>185</v>
      </c>
      <c r="C314" s="1768" t="s">
        <v>312</v>
      </c>
      <c r="D314" s="1768"/>
      <c r="E314" s="1768"/>
      <c r="F314" s="80"/>
      <c r="G314" s="80"/>
      <c r="H314" s="80"/>
      <c r="I314" s="80"/>
      <c r="J314" s="81">
        <v>390.1</v>
      </c>
      <c r="K314" s="80" t="s">
        <v>313</v>
      </c>
      <c r="L314" s="81">
        <v>81.819999999999993</v>
      </c>
      <c r="M314" s="82"/>
      <c r="N314" s="83"/>
      <c r="AA314" s="43" t="s">
        <v>312</v>
      </c>
    </row>
    <row r="315" spans="1:30" s="40" customFormat="1" x14ac:dyDescent="0.2">
      <c r="A315" s="79"/>
      <c r="B315" s="78" t="s">
        <v>186</v>
      </c>
      <c r="C315" s="1768" t="s">
        <v>344</v>
      </c>
      <c r="D315" s="1768"/>
      <c r="E315" s="1768"/>
      <c r="F315" s="80"/>
      <c r="G315" s="80"/>
      <c r="H315" s="80"/>
      <c r="I315" s="80"/>
      <c r="J315" s="81">
        <v>204.08</v>
      </c>
      <c r="K315" s="80" t="s">
        <v>313</v>
      </c>
      <c r="L315" s="81">
        <v>42.81</v>
      </c>
      <c r="M315" s="82"/>
      <c r="N315" s="83"/>
      <c r="AA315" s="43" t="s">
        <v>344</v>
      </c>
    </row>
    <row r="316" spans="1:30" s="40" customFormat="1" x14ac:dyDescent="0.2">
      <c r="A316" s="79"/>
      <c r="B316" s="78" t="s">
        <v>187</v>
      </c>
      <c r="C316" s="1768" t="s">
        <v>345</v>
      </c>
      <c r="D316" s="1768"/>
      <c r="E316" s="1768"/>
      <c r="F316" s="80"/>
      <c r="G316" s="80"/>
      <c r="H316" s="80"/>
      <c r="I316" s="80"/>
      <c r="J316" s="81">
        <v>30.77</v>
      </c>
      <c r="K316" s="80" t="s">
        <v>313</v>
      </c>
      <c r="L316" s="81">
        <v>6.45</v>
      </c>
      <c r="M316" s="82"/>
      <c r="N316" s="83"/>
      <c r="AA316" s="43" t="s">
        <v>345</v>
      </c>
    </row>
    <row r="317" spans="1:30" s="40" customFormat="1" x14ac:dyDescent="0.2">
      <c r="A317" s="79"/>
      <c r="B317" s="78" t="s">
        <v>188</v>
      </c>
      <c r="C317" s="1768" t="s">
        <v>475</v>
      </c>
      <c r="D317" s="1768"/>
      <c r="E317" s="1768"/>
      <c r="F317" s="80"/>
      <c r="G317" s="80"/>
      <c r="H317" s="80"/>
      <c r="I317" s="80"/>
      <c r="J317" s="81">
        <v>16057.11</v>
      </c>
      <c r="K317" s="80"/>
      <c r="L317" s="81">
        <v>2694.38</v>
      </c>
      <c r="M317" s="82"/>
      <c r="N317" s="83"/>
      <c r="AA317" s="43" t="s">
        <v>475</v>
      </c>
    </row>
    <row r="318" spans="1:30" s="40" customFormat="1" x14ac:dyDescent="0.2">
      <c r="A318" s="79"/>
      <c r="B318" s="78"/>
      <c r="C318" s="1768" t="s">
        <v>314</v>
      </c>
      <c r="D318" s="1768"/>
      <c r="E318" s="1768"/>
      <c r="F318" s="80" t="s">
        <v>315</v>
      </c>
      <c r="G318" s="80" t="s">
        <v>3458</v>
      </c>
      <c r="H318" s="80" t="s">
        <v>313</v>
      </c>
      <c r="I318" s="80" t="s">
        <v>3638</v>
      </c>
      <c r="J318" s="81"/>
      <c r="K318" s="80"/>
      <c r="L318" s="81"/>
      <c r="M318" s="82"/>
      <c r="N318" s="83"/>
      <c r="AB318" s="43" t="s">
        <v>314</v>
      </c>
    </row>
    <row r="319" spans="1:30" s="40" customFormat="1" x14ac:dyDescent="0.2">
      <c r="A319" s="79"/>
      <c r="B319" s="78"/>
      <c r="C319" s="1768" t="s">
        <v>348</v>
      </c>
      <c r="D319" s="1768"/>
      <c r="E319" s="1768"/>
      <c r="F319" s="80" t="s">
        <v>315</v>
      </c>
      <c r="G319" s="80" t="s">
        <v>3460</v>
      </c>
      <c r="H319" s="80" t="s">
        <v>313</v>
      </c>
      <c r="I319" s="80" t="s">
        <v>3639</v>
      </c>
      <c r="J319" s="81"/>
      <c r="K319" s="80"/>
      <c r="L319" s="81"/>
      <c r="M319" s="82"/>
      <c r="N319" s="83"/>
      <c r="AB319" s="43" t="s">
        <v>348</v>
      </c>
    </row>
    <row r="320" spans="1:30" s="40" customFormat="1" x14ac:dyDescent="0.2">
      <c r="A320" s="79"/>
      <c r="B320" s="78"/>
      <c r="C320" s="1780" t="s">
        <v>318</v>
      </c>
      <c r="D320" s="1780"/>
      <c r="E320" s="1780"/>
      <c r="F320" s="84"/>
      <c r="G320" s="84"/>
      <c r="H320" s="84"/>
      <c r="I320" s="84"/>
      <c r="J320" s="85">
        <v>16651.29</v>
      </c>
      <c r="K320" s="84"/>
      <c r="L320" s="85">
        <v>2819.01</v>
      </c>
      <c r="M320" s="86"/>
      <c r="N320" s="87"/>
      <c r="AC320" s="43" t="s">
        <v>318</v>
      </c>
    </row>
    <row r="321" spans="1:31" s="40" customFormat="1" x14ac:dyDescent="0.2">
      <c r="A321" s="79"/>
      <c r="B321" s="78"/>
      <c r="C321" s="1768" t="s">
        <v>319</v>
      </c>
      <c r="D321" s="1768"/>
      <c r="E321" s="1768"/>
      <c r="F321" s="80"/>
      <c r="G321" s="80"/>
      <c r="H321" s="80"/>
      <c r="I321" s="80"/>
      <c r="J321" s="81"/>
      <c r="K321" s="80"/>
      <c r="L321" s="81">
        <v>88.27</v>
      </c>
      <c r="M321" s="82"/>
      <c r="N321" s="83"/>
      <c r="AB321" s="43" t="s">
        <v>319</v>
      </c>
    </row>
    <row r="322" spans="1:31" s="40" customFormat="1" ht="33.75" x14ac:dyDescent="0.2">
      <c r="A322" s="79"/>
      <c r="B322" s="78" t="s">
        <v>3640</v>
      </c>
      <c r="C322" s="1768" t="s">
        <v>3641</v>
      </c>
      <c r="D322" s="1768"/>
      <c r="E322" s="1768"/>
      <c r="F322" s="80" t="s">
        <v>322</v>
      </c>
      <c r="G322" s="80" t="s">
        <v>2034</v>
      </c>
      <c r="H322" s="80"/>
      <c r="I322" s="80" t="s">
        <v>2034</v>
      </c>
      <c r="J322" s="81"/>
      <c r="K322" s="80"/>
      <c r="L322" s="81">
        <v>97.1</v>
      </c>
      <c r="M322" s="82"/>
      <c r="N322" s="83"/>
      <c r="AB322" s="43" t="s">
        <v>3641</v>
      </c>
    </row>
    <row r="323" spans="1:31" s="40" customFormat="1" ht="33.75" x14ac:dyDescent="0.2">
      <c r="A323" s="79"/>
      <c r="B323" s="78" t="s">
        <v>3642</v>
      </c>
      <c r="C323" s="1768" t="s">
        <v>3643</v>
      </c>
      <c r="D323" s="1768"/>
      <c r="E323" s="1768"/>
      <c r="F323" s="80" t="s">
        <v>322</v>
      </c>
      <c r="G323" s="80" t="s">
        <v>817</v>
      </c>
      <c r="H323" s="80"/>
      <c r="I323" s="80" t="s">
        <v>817</v>
      </c>
      <c r="J323" s="81"/>
      <c r="K323" s="80"/>
      <c r="L323" s="81">
        <v>64.44</v>
      </c>
      <c r="M323" s="82"/>
      <c r="N323" s="83"/>
      <c r="AB323" s="43" t="s">
        <v>3643</v>
      </c>
    </row>
    <row r="324" spans="1:31" s="40" customFormat="1" x14ac:dyDescent="0.2">
      <c r="A324" s="88"/>
      <c r="B324" s="89"/>
      <c r="C324" s="1785" t="s">
        <v>327</v>
      </c>
      <c r="D324" s="1785"/>
      <c r="E324" s="1785"/>
      <c r="F324" s="71"/>
      <c r="G324" s="71"/>
      <c r="H324" s="71"/>
      <c r="I324" s="71"/>
      <c r="J324" s="72"/>
      <c r="K324" s="71"/>
      <c r="L324" s="72">
        <v>2980.55</v>
      </c>
      <c r="M324" s="86"/>
      <c r="N324" s="74"/>
      <c r="AD324" s="43" t="s">
        <v>327</v>
      </c>
    </row>
    <row r="325" spans="1:31" s="40" customFormat="1" x14ac:dyDescent="0.2">
      <c r="A325" s="1801" t="s">
        <v>3644</v>
      </c>
      <c r="B325" s="1802"/>
      <c r="C325" s="1802"/>
      <c r="D325" s="1802"/>
      <c r="E325" s="1802"/>
      <c r="F325" s="1802"/>
      <c r="G325" s="1802"/>
      <c r="H325" s="1802"/>
      <c r="I325" s="1802"/>
      <c r="J325" s="1802"/>
      <c r="K325" s="1802"/>
      <c r="L325" s="1802"/>
      <c r="M325" s="1802"/>
      <c r="N325" s="1803"/>
      <c r="W325" s="43" t="s">
        <v>3644</v>
      </c>
    </row>
    <row r="326" spans="1:31" s="40" customFormat="1" ht="22.5" x14ac:dyDescent="0.2">
      <c r="A326" s="69" t="s">
        <v>922</v>
      </c>
      <c r="B326" s="70" t="s">
        <v>3645</v>
      </c>
      <c r="C326" s="1785" t="s">
        <v>3646</v>
      </c>
      <c r="D326" s="1785"/>
      <c r="E326" s="1785"/>
      <c r="F326" s="71" t="s">
        <v>307</v>
      </c>
      <c r="G326" s="71"/>
      <c r="H326" s="71"/>
      <c r="I326" s="71" t="s">
        <v>809</v>
      </c>
      <c r="J326" s="72"/>
      <c r="K326" s="71"/>
      <c r="L326" s="72"/>
      <c r="M326" s="73"/>
      <c r="N326" s="74"/>
      <c r="X326" s="43" t="s">
        <v>3646</v>
      </c>
    </row>
    <row r="327" spans="1:31" s="40" customFormat="1" x14ac:dyDescent="0.2">
      <c r="A327" s="75"/>
      <c r="B327" s="76"/>
      <c r="C327" s="1768" t="s">
        <v>843</v>
      </c>
      <c r="D327" s="1768"/>
      <c r="E327" s="1768"/>
      <c r="F327" s="1768"/>
      <c r="G327" s="1768"/>
      <c r="H327" s="1768"/>
      <c r="I327" s="1768"/>
      <c r="J327" s="1768"/>
      <c r="K327" s="1768"/>
      <c r="L327" s="1768"/>
      <c r="M327" s="1768"/>
      <c r="N327" s="1779"/>
      <c r="Y327" s="43" t="s">
        <v>843</v>
      </c>
    </row>
    <row r="328" spans="1:31" s="40" customFormat="1" ht="33.75" x14ac:dyDescent="0.2">
      <c r="A328" s="77"/>
      <c r="B328" s="78" t="s">
        <v>310</v>
      </c>
      <c r="C328" s="1768" t="s">
        <v>311</v>
      </c>
      <c r="D328" s="1768"/>
      <c r="E328" s="1768"/>
      <c r="F328" s="1768"/>
      <c r="G328" s="1768"/>
      <c r="H328" s="1768"/>
      <c r="I328" s="1768"/>
      <c r="J328" s="1768"/>
      <c r="K328" s="1768"/>
      <c r="L328" s="1768"/>
      <c r="M328" s="1768"/>
      <c r="N328" s="1779"/>
      <c r="Z328" s="43" t="s">
        <v>311</v>
      </c>
    </row>
    <row r="329" spans="1:31" s="40" customFormat="1" x14ac:dyDescent="0.2">
      <c r="A329" s="79"/>
      <c r="B329" s="78" t="s">
        <v>185</v>
      </c>
      <c r="C329" s="1768" t="s">
        <v>312</v>
      </c>
      <c r="D329" s="1768"/>
      <c r="E329" s="1768"/>
      <c r="F329" s="80"/>
      <c r="G329" s="80"/>
      <c r="H329" s="80"/>
      <c r="I329" s="80"/>
      <c r="J329" s="81">
        <v>105.43</v>
      </c>
      <c r="K329" s="80" t="s">
        <v>313</v>
      </c>
      <c r="L329" s="81">
        <v>1.32</v>
      </c>
      <c r="M329" s="82"/>
      <c r="N329" s="83"/>
      <c r="AA329" s="43" t="s">
        <v>312</v>
      </c>
    </row>
    <row r="330" spans="1:31" s="40" customFormat="1" x14ac:dyDescent="0.2">
      <c r="A330" s="79"/>
      <c r="B330" s="78" t="s">
        <v>186</v>
      </c>
      <c r="C330" s="1768" t="s">
        <v>344</v>
      </c>
      <c r="D330" s="1768"/>
      <c r="E330" s="1768"/>
      <c r="F330" s="80"/>
      <c r="G330" s="80"/>
      <c r="H330" s="80"/>
      <c r="I330" s="80"/>
      <c r="J330" s="81">
        <v>674.16</v>
      </c>
      <c r="K330" s="80" t="s">
        <v>313</v>
      </c>
      <c r="L330" s="81">
        <v>8.43</v>
      </c>
      <c r="M330" s="82"/>
      <c r="N330" s="83"/>
      <c r="AA330" s="43" t="s">
        <v>344</v>
      </c>
    </row>
    <row r="331" spans="1:31" s="40" customFormat="1" x14ac:dyDescent="0.2">
      <c r="A331" s="79"/>
      <c r="B331" s="78" t="s">
        <v>187</v>
      </c>
      <c r="C331" s="1768" t="s">
        <v>345</v>
      </c>
      <c r="D331" s="1768"/>
      <c r="E331" s="1768"/>
      <c r="F331" s="80"/>
      <c r="G331" s="80"/>
      <c r="H331" s="80"/>
      <c r="I331" s="80"/>
      <c r="J331" s="81">
        <v>69.599999999999994</v>
      </c>
      <c r="K331" s="80" t="s">
        <v>313</v>
      </c>
      <c r="L331" s="81">
        <v>0.87</v>
      </c>
      <c r="M331" s="82"/>
      <c r="N331" s="83"/>
      <c r="AA331" s="43" t="s">
        <v>345</v>
      </c>
    </row>
    <row r="332" spans="1:31" s="40" customFormat="1" ht="22.5" x14ac:dyDescent="0.2">
      <c r="A332" s="75"/>
      <c r="B332" s="114" t="s">
        <v>3647</v>
      </c>
      <c r="C332" s="1804" t="s">
        <v>3648</v>
      </c>
      <c r="D332" s="1804"/>
      <c r="E332" s="1804"/>
      <c r="F332" s="115" t="s">
        <v>638</v>
      </c>
      <c r="G332" s="115" t="s">
        <v>844</v>
      </c>
      <c r="H332" s="115"/>
      <c r="I332" s="115" t="s">
        <v>185</v>
      </c>
      <c r="J332" s="78"/>
      <c r="K332" s="80"/>
      <c r="L332" s="81"/>
      <c r="M332" s="80"/>
      <c r="N332" s="116"/>
      <c r="AE332" s="43" t="s">
        <v>3648</v>
      </c>
    </row>
    <row r="333" spans="1:31" s="40" customFormat="1" x14ac:dyDescent="0.2">
      <c r="A333" s="79"/>
      <c r="B333" s="78"/>
      <c r="C333" s="1768" t="s">
        <v>314</v>
      </c>
      <c r="D333" s="1768"/>
      <c r="E333" s="1768"/>
      <c r="F333" s="80" t="s">
        <v>315</v>
      </c>
      <c r="G333" s="80" t="s">
        <v>3649</v>
      </c>
      <c r="H333" s="80" t="s">
        <v>313</v>
      </c>
      <c r="I333" s="80" t="s">
        <v>3650</v>
      </c>
      <c r="J333" s="81"/>
      <c r="K333" s="80"/>
      <c r="L333" s="81"/>
      <c r="M333" s="82"/>
      <c r="N333" s="83"/>
      <c r="AB333" s="43" t="s">
        <v>314</v>
      </c>
    </row>
    <row r="334" spans="1:31" s="40" customFormat="1" x14ac:dyDescent="0.2">
      <c r="A334" s="79"/>
      <c r="B334" s="78"/>
      <c r="C334" s="1768" t="s">
        <v>348</v>
      </c>
      <c r="D334" s="1768"/>
      <c r="E334" s="1768"/>
      <c r="F334" s="80" t="s">
        <v>315</v>
      </c>
      <c r="G334" s="80" t="s">
        <v>190</v>
      </c>
      <c r="H334" s="80" t="s">
        <v>313</v>
      </c>
      <c r="I334" s="80" t="s">
        <v>2219</v>
      </c>
      <c r="J334" s="81"/>
      <c r="K334" s="80"/>
      <c r="L334" s="81"/>
      <c r="M334" s="82"/>
      <c r="N334" s="83"/>
      <c r="AB334" s="43" t="s">
        <v>348</v>
      </c>
    </row>
    <row r="335" spans="1:31" s="40" customFormat="1" x14ac:dyDescent="0.2">
      <c r="A335" s="79"/>
      <c r="B335" s="78"/>
      <c r="C335" s="1780" t="s">
        <v>318</v>
      </c>
      <c r="D335" s="1780"/>
      <c r="E335" s="1780"/>
      <c r="F335" s="84"/>
      <c r="G335" s="84"/>
      <c r="H335" s="84"/>
      <c r="I335" s="84"/>
      <c r="J335" s="85">
        <v>779.59</v>
      </c>
      <c r="K335" s="84"/>
      <c r="L335" s="85">
        <v>9.75</v>
      </c>
      <c r="M335" s="86"/>
      <c r="N335" s="87"/>
      <c r="AC335" s="43" t="s">
        <v>318</v>
      </c>
    </row>
    <row r="336" spans="1:31" s="40" customFormat="1" x14ac:dyDescent="0.2">
      <c r="A336" s="79"/>
      <c r="B336" s="78"/>
      <c r="C336" s="1768" t="s">
        <v>319</v>
      </c>
      <c r="D336" s="1768"/>
      <c r="E336" s="1768"/>
      <c r="F336" s="80"/>
      <c r="G336" s="80"/>
      <c r="H336" s="80"/>
      <c r="I336" s="80"/>
      <c r="J336" s="81"/>
      <c r="K336" s="80"/>
      <c r="L336" s="81">
        <v>2.19</v>
      </c>
      <c r="M336" s="82"/>
      <c r="N336" s="83"/>
      <c r="AB336" s="43" t="s">
        <v>319</v>
      </c>
    </row>
    <row r="337" spans="1:34" s="40" customFormat="1" ht="33.75" x14ac:dyDescent="0.2">
      <c r="A337" s="79"/>
      <c r="B337" s="78" t="s">
        <v>741</v>
      </c>
      <c r="C337" s="1768" t="s">
        <v>742</v>
      </c>
      <c r="D337" s="1768"/>
      <c r="E337" s="1768"/>
      <c r="F337" s="80" t="s">
        <v>322</v>
      </c>
      <c r="G337" s="80" t="s">
        <v>743</v>
      </c>
      <c r="H337" s="80"/>
      <c r="I337" s="80" t="s">
        <v>743</v>
      </c>
      <c r="J337" s="81"/>
      <c r="K337" s="80"/>
      <c r="L337" s="81">
        <v>2.15</v>
      </c>
      <c r="M337" s="82"/>
      <c r="N337" s="83"/>
      <c r="AB337" s="43" t="s">
        <v>742</v>
      </c>
    </row>
    <row r="338" spans="1:34" s="40" customFormat="1" ht="33.75" x14ac:dyDescent="0.2">
      <c r="A338" s="79"/>
      <c r="B338" s="78" t="s">
        <v>744</v>
      </c>
      <c r="C338" s="1768" t="s">
        <v>745</v>
      </c>
      <c r="D338" s="1768"/>
      <c r="E338" s="1768"/>
      <c r="F338" s="80" t="s">
        <v>322</v>
      </c>
      <c r="G338" s="80" t="s">
        <v>690</v>
      </c>
      <c r="H338" s="80"/>
      <c r="I338" s="80" t="s">
        <v>690</v>
      </c>
      <c r="J338" s="81"/>
      <c r="K338" s="80"/>
      <c r="L338" s="81">
        <v>1.27</v>
      </c>
      <c r="M338" s="82"/>
      <c r="N338" s="83"/>
      <c r="AB338" s="43" t="s">
        <v>745</v>
      </c>
    </row>
    <row r="339" spans="1:34" s="40" customFormat="1" x14ac:dyDescent="0.2">
      <c r="A339" s="88"/>
      <c r="B339" s="89"/>
      <c r="C339" s="1785" t="s">
        <v>327</v>
      </c>
      <c r="D339" s="1785"/>
      <c r="E339" s="1785"/>
      <c r="F339" s="71"/>
      <c r="G339" s="71"/>
      <c r="H339" s="71"/>
      <c r="I339" s="71"/>
      <c r="J339" s="72"/>
      <c r="K339" s="71"/>
      <c r="L339" s="72">
        <v>13.17</v>
      </c>
      <c r="M339" s="86"/>
      <c r="N339" s="74"/>
      <c r="AD339" s="43" t="s">
        <v>327</v>
      </c>
    </row>
    <row r="340" spans="1:34" s="40" customFormat="1" ht="56.25" x14ac:dyDescent="0.2">
      <c r="A340" s="69" t="s">
        <v>765</v>
      </c>
      <c r="B340" s="70" t="s">
        <v>3651</v>
      </c>
      <c r="C340" s="1785" t="s">
        <v>3652</v>
      </c>
      <c r="D340" s="1785"/>
      <c r="E340" s="1785"/>
      <c r="F340" s="71" t="s">
        <v>638</v>
      </c>
      <c r="G340" s="71"/>
      <c r="H340" s="71"/>
      <c r="I340" s="71" t="s">
        <v>185</v>
      </c>
      <c r="J340" s="72">
        <v>886.75</v>
      </c>
      <c r="K340" s="71"/>
      <c r="L340" s="72">
        <v>886.75</v>
      </c>
      <c r="M340" s="73"/>
      <c r="N340" s="74"/>
      <c r="X340" s="43" t="s">
        <v>3652</v>
      </c>
    </row>
    <row r="341" spans="1:34" s="40" customFormat="1" x14ac:dyDescent="0.2">
      <c r="A341" s="88"/>
      <c r="B341" s="89"/>
      <c r="C341" s="48" t="s">
        <v>717</v>
      </c>
      <c r="D341" s="117"/>
      <c r="E341" s="117"/>
      <c r="F341" s="90"/>
      <c r="G341" s="90"/>
      <c r="H341" s="90"/>
      <c r="I341" s="90"/>
      <c r="J341" s="118"/>
      <c r="K341" s="90"/>
      <c r="L341" s="118"/>
      <c r="M341" s="119"/>
      <c r="N341" s="120"/>
    </row>
    <row r="342" spans="1:34" s="40" customFormat="1" ht="1.5" customHeight="1" x14ac:dyDescent="0.2">
      <c r="A342" s="90"/>
      <c r="B342" s="89"/>
      <c r="C342" s="89"/>
      <c r="D342" s="89"/>
      <c r="E342" s="89"/>
      <c r="F342" s="90"/>
      <c r="G342" s="90"/>
      <c r="H342" s="90"/>
      <c r="I342" s="90"/>
      <c r="J342" s="91"/>
      <c r="K342" s="90"/>
      <c r="L342" s="91"/>
      <c r="M342" s="80"/>
      <c r="N342" s="91"/>
    </row>
    <row r="343" spans="1:34" s="40" customFormat="1" x14ac:dyDescent="0.2">
      <c r="A343" s="92"/>
      <c r="B343" s="93"/>
      <c r="C343" s="1785" t="s">
        <v>3656</v>
      </c>
      <c r="D343" s="1785"/>
      <c r="E343" s="1785"/>
      <c r="F343" s="1785"/>
      <c r="G343" s="1785"/>
      <c r="H343" s="1785"/>
      <c r="I343" s="1785"/>
      <c r="J343" s="1785"/>
      <c r="K343" s="1785"/>
      <c r="L343" s="94"/>
      <c r="M343" s="95"/>
      <c r="N343" s="96"/>
      <c r="AG343" s="43" t="s">
        <v>3656</v>
      </c>
    </row>
    <row r="344" spans="1:34" s="40" customFormat="1" x14ac:dyDescent="0.2">
      <c r="A344" s="97"/>
      <c r="B344" s="78"/>
      <c r="C344" s="1768" t="s">
        <v>403</v>
      </c>
      <c r="D344" s="1768"/>
      <c r="E344" s="1768"/>
      <c r="F344" s="1768"/>
      <c r="G344" s="1768"/>
      <c r="H344" s="1768"/>
      <c r="I344" s="1768"/>
      <c r="J344" s="1768"/>
      <c r="K344" s="1768"/>
      <c r="L344" s="98">
        <v>6508.74</v>
      </c>
      <c r="M344" s="99"/>
      <c r="N344" s="100"/>
      <c r="AH344" s="43" t="s">
        <v>403</v>
      </c>
    </row>
    <row r="345" spans="1:34" s="40" customFormat="1" x14ac:dyDescent="0.2">
      <c r="A345" s="97"/>
      <c r="B345" s="78"/>
      <c r="C345" s="1768" t="s">
        <v>204</v>
      </c>
      <c r="D345" s="1768"/>
      <c r="E345" s="1768"/>
      <c r="F345" s="1768"/>
      <c r="G345" s="1768"/>
      <c r="H345" s="1768"/>
      <c r="I345" s="1768"/>
      <c r="J345" s="1768"/>
      <c r="K345" s="1768"/>
      <c r="L345" s="98"/>
      <c r="M345" s="99"/>
      <c r="N345" s="100"/>
      <c r="AH345" s="43" t="s">
        <v>204</v>
      </c>
    </row>
    <row r="346" spans="1:34" s="40" customFormat="1" x14ac:dyDescent="0.2">
      <c r="A346" s="97"/>
      <c r="B346" s="78"/>
      <c r="C346" s="1768" t="s">
        <v>404</v>
      </c>
      <c r="D346" s="1768"/>
      <c r="E346" s="1768"/>
      <c r="F346" s="1768"/>
      <c r="G346" s="1768"/>
      <c r="H346" s="1768"/>
      <c r="I346" s="1768"/>
      <c r="J346" s="1768"/>
      <c r="K346" s="1768"/>
      <c r="L346" s="98">
        <v>154.41</v>
      </c>
      <c r="M346" s="99"/>
      <c r="N346" s="100"/>
      <c r="AH346" s="43" t="s">
        <v>404</v>
      </c>
    </row>
    <row r="347" spans="1:34" s="40" customFormat="1" x14ac:dyDescent="0.2">
      <c r="A347" s="97"/>
      <c r="B347" s="78"/>
      <c r="C347" s="1768" t="s">
        <v>405</v>
      </c>
      <c r="D347" s="1768"/>
      <c r="E347" s="1768"/>
      <c r="F347" s="1768"/>
      <c r="G347" s="1768"/>
      <c r="H347" s="1768"/>
      <c r="I347" s="1768"/>
      <c r="J347" s="1768"/>
      <c r="K347" s="1768"/>
      <c r="L347" s="98">
        <v>241.16</v>
      </c>
      <c r="M347" s="99"/>
      <c r="N347" s="100"/>
      <c r="AH347" s="43" t="s">
        <v>405</v>
      </c>
    </row>
    <row r="348" spans="1:34" s="40" customFormat="1" x14ac:dyDescent="0.2">
      <c r="A348" s="97"/>
      <c r="B348" s="78"/>
      <c r="C348" s="1768" t="s">
        <v>406</v>
      </c>
      <c r="D348" s="1768"/>
      <c r="E348" s="1768"/>
      <c r="F348" s="1768"/>
      <c r="G348" s="1768"/>
      <c r="H348" s="1768"/>
      <c r="I348" s="1768"/>
      <c r="J348" s="1768"/>
      <c r="K348" s="1768"/>
      <c r="L348" s="98">
        <v>30.64</v>
      </c>
      <c r="M348" s="99"/>
      <c r="N348" s="100"/>
      <c r="AH348" s="43" t="s">
        <v>406</v>
      </c>
    </row>
    <row r="349" spans="1:34" s="40" customFormat="1" x14ac:dyDescent="0.2">
      <c r="A349" s="97"/>
      <c r="B349" s="78"/>
      <c r="C349" s="1768" t="s">
        <v>480</v>
      </c>
      <c r="D349" s="1768"/>
      <c r="E349" s="1768"/>
      <c r="F349" s="1768"/>
      <c r="G349" s="1768"/>
      <c r="H349" s="1768"/>
      <c r="I349" s="1768"/>
      <c r="J349" s="1768"/>
      <c r="K349" s="1768"/>
      <c r="L349" s="98">
        <v>6113.17</v>
      </c>
      <c r="M349" s="99"/>
      <c r="N349" s="100"/>
      <c r="AH349" s="43" t="s">
        <v>480</v>
      </c>
    </row>
    <row r="350" spans="1:34" s="40" customFormat="1" x14ac:dyDescent="0.2">
      <c r="A350" s="97"/>
      <c r="B350" s="78"/>
      <c r="C350" s="1768" t="s">
        <v>407</v>
      </c>
      <c r="D350" s="1768"/>
      <c r="E350" s="1768"/>
      <c r="F350" s="1768"/>
      <c r="G350" s="1768"/>
      <c r="H350" s="1768"/>
      <c r="I350" s="1768"/>
      <c r="J350" s="1768"/>
      <c r="K350" s="1768"/>
      <c r="L350" s="98">
        <v>6822.79</v>
      </c>
      <c r="M350" s="99"/>
      <c r="N350" s="100"/>
      <c r="AH350" s="43" t="s">
        <v>407</v>
      </c>
    </row>
    <row r="351" spans="1:34" s="40" customFormat="1" x14ac:dyDescent="0.2">
      <c r="A351" s="97"/>
      <c r="B351" s="78" t="s">
        <v>185</v>
      </c>
      <c r="C351" s="1768" t="s">
        <v>408</v>
      </c>
      <c r="D351" s="1768"/>
      <c r="E351" s="1768"/>
      <c r="F351" s="1768"/>
      <c r="G351" s="1768"/>
      <c r="H351" s="1768"/>
      <c r="I351" s="1768"/>
      <c r="J351" s="1768"/>
      <c r="K351" s="1768"/>
      <c r="L351" s="98">
        <v>6801.57</v>
      </c>
      <c r="M351" s="99"/>
      <c r="N351" s="100"/>
      <c r="AH351" s="43" t="s">
        <v>408</v>
      </c>
    </row>
    <row r="352" spans="1:34" s="40" customFormat="1" x14ac:dyDescent="0.2">
      <c r="A352" s="97"/>
      <c r="B352" s="78"/>
      <c r="C352" s="1768" t="s">
        <v>409</v>
      </c>
      <c r="D352" s="1768"/>
      <c r="E352" s="1768"/>
      <c r="F352" s="1768"/>
      <c r="G352" s="1768"/>
      <c r="H352" s="1768"/>
      <c r="I352" s="1768"/>
      <c r="J352" s="1768"/>
      <c r="K352" s="1768"/>
      <c r="L352" s="98"/>
      <c r="M352" s="99"/>
      <c r="N352" s="100"/>
      <c r="AH352" s="43" t="s">
        <v>409</v>
      </c>
    </row>
    <row r="353" spans="1:35" s="40" customFormat="1" x14ac:dyDescent="0.2">
      <c r="A353" s="97"/>
      <c r="B353" s="78"/>
      <c r="C353" s="1768" t="s">
        <v>410</v>
      </c>
      <c r="D353" s="1768"/>
      <c r="E353" s="1768"/>
      <c r="F353" s="1768"/>
      <c r="G353" s="1768"/>
      <c r="H353" s="1768"/>
      <c r="I353" s="1768"/>
      <c r="J353" s="1768"/>
      <c r="K353" s="1768"/>
      <c r="L353" s="98">
        <v>154.41</v>
      </c>
      <c r="M353" s="99"/>
      <c r="N353" s="100"/>
      <c r="AH353" s="43" t="s">
        <v>410</v>
      </c>
    </row>
    <row r="354" spans="1:35" s="40" customFormat="1" x14ac:dyDescent="0.2">
      <c r="A354" s="97"/>
      <c r="B354" s="78"/>
      <c r="C354" s="1768" t="s">
        <v>411</v>
      </c>
      <c r="D354" s="1768"/>
      <c r="E354" s="1768"/>
      <c r="F354" s="1768"/>
      <c r="G354" s="1768"/>
      <c r="H354" s="1768"/>
      <c r="I354" s="1768"/>
      <c r="J354" s="1768"/>
      <c r="K354" s="1768"/>
      <c r="L354" s="98">
        <v>219.94</v>
      </c>
      <c r="M354" s="99"/>
      <c r="N354" s="100"/>
      <c r="AH354" s="43" t="s">
        <v>411</v>
      </c>
    </row>
    <row r="355" spans="1:35" s="40" customFormat="1" x14ac:dyDescent="0.2">
      <c r="A355" s="97"/>
      <c r="B355" s="78"/>
      <c r="C355" s="1768" t="s">
        <v>481</v>
      </c>
      <c r="D355" s="1768"/>
      <c r="E355" s="1768"/>
      <c r="F355" s="1768"/>
      <c r="G355" s="1768"/>
      <c r="H355" s="1768"/>
      <c r="I355" s="1768"/>
      <c r="J355" s="1768"/>
      <c r="K355" s="1768"/>
      <c r="L355" s="98">
        <v>6113.17</v>
      </c>
      <c r="M355" s="99"/>
      <c r="N355" s="100"/>
      <c r="AH355" s="43" t="s">
        <v>481</v>
      </c>
    </row>
    <row r="356" spans="1:35" s="40" customFormat="1" x14ac:dyDescent="0.2">
      <c r="A356" s="97"/>
      <c r="B356" s="78"/>
      <c r="C356" s="1768" t="s">
        <v>412</v>
      </c>
      <c r="D356" s="1768"/>
      <c r="E356" s="1768"/>
      <c r="F356" s="1768"/>
      <c r="G356" s="1768"/>
      <c r="H356" s="1768"/>
      <c r="I356" s="1768"/>
      <c r="J356" s="1768"/>
      <c r="K356" s="1768"/>
      <c r="L356" s="98">
        <v>194.7</v>
      </c>
      <c r="M356" s="99"/>
      <c r="N356" s="100"/>
      <c r="AH356" s="43" t="s">
        <v>412</v>
      </c>
    </row>
    <row r="357" spans="1:35" s="40" customFormat="1" x14ac:dyDescent="0.2">
      <c r="A357" s="97"/>
      <c r="B357" s="78"/>
      <c r="C357" s="1768" t="s">
        <v>413</v>
      </c>
      <c r="D357" s="1768"/>
      <c r="E357" s="1768"/>
      <c r="F357" s="1768"/>
      <c r="G357" s="1768"/>
      <c r="H357" s="1768"/>
      <c r="I357" s="1768"/>
      <c r="J357" s="1768"/>
      <c r="K357" s="1768"/>
      <c r="L357" s="98">
        <v>119.35</v>
      </c>
      <c r="M357" s="99"/>
      <c r="N357" s="100"/>
      <c r="AH357" s="43" t="s">
        <v>413</v>
      </c>
    </row>
    <row r="358" spans="1:35" s="40" customFormat="1" x14ac:dyDescent="0.2">
      <c r="A358" s="97"/>
      <c r="B358" s="78" t="s">
        <v>185</v>
      </c>
      <c r="C358" s="1768" t="s">
        <v>414</v>
      </c>
      <c r="D358" s="1768"/>
      <c r="E358" s="1768"/>
      <c r="F358" s="1768"/>
      <c r="G358" s="1768"/>
      <c r="H358" s="1768"/>
      <c r="I358" s="1768"/>
      <c r="J358" s="1768"/>
      <c r="K358" s="1768"/>
      <c r="L358" s="98">
        <v>21.22</v>
      </c>
      <c r="M358" s="99"/>
      <c r="N358" s="100"/>
      <c r="AH358" s="43" t="s">
        <v>414</v>
      </c>
    </row>
    <row r="359" spans="1:35" s="40" customFormat="1" x14ac:dyDescent="0.2">
      <c r="A359" s="97"/>
      <c r="B359" s="78"/>
      <c r="C359" s="1768" t="s">
        <v>415</v>
      </c>
      <c r="D359" s="1768"/>
      <c r="E359" s="1768"/>
      <c r="F359" s="1768"/>
      <c r="G359" s="1768"/>
      <c r="H359" s="1768"/>
      <c r="I359" s="1768"/>
      <c r="J359" s="1768"/>
      <c r="K359" s="1768"/>
      <c r="L359" s="98">
        <v>185.05</v>
      </c>
      <c r="M359" s="99"/>
      <c r="N359" s="100"/>
      <c r="AH359" s="43" t="s">
        <v>415</v>
      </c>
    </row>
    <row r="360" spans="1:35" s="40" customFormat="1" x14ac:dyDescent="0.2">
      <c r="A360" s="97"/>
      <c r="B360" s="78"/>
      <c r="C360" s="1768" t="s">
        <v>416</v>
      </c>
      <c r="D360" s="1768"/>
      <c r="E360" s="1768"/>
      <c r="F360" s="1768"/>
      <c r="G360" s="1768"/>
      <c r="H360" s="1768"/>
      <c r="I360" s="1768"/>
      <c r="J360" s="1768"/>
      <c r="K360" s="1768"/>
      <c r="L360" s="98">
        <v>194.7</v>
      </c>
      <c r="M360" s="99"/>
      <c r="N360" s="100"/>
      <c r="AH360" s="43" t="s">
        <v>416</v>
      </c>
    </row>
    <row r="361" spans="1:35" s="40" customFormat="1" x14ac:dyDescent="0.2">
      <c r="A361" s="97"/>
      <c r="B361" s="78"/>
      <c r="C361" s="1768" t="s">
        <v>417</v>
      </c>
      <c r="D361" s="1768"/>
      <c r="E361" s="1768"/>
      <c r="F361" s="1768"/>
      <c r="G361" s="1768"/>
      <c r="H361" s="1768"/>
      <c r="I361" s="1768"/>
      <c r="J361" s="1768"/>
      <c r="K361" s="1768"/>
      <c r="L361" s="98">
        <v>119.35</v>
      </c>
      <c r="M361" s="99"/>
      <c r="N361" s="100"/>
      <c r="AH361" s="43" t="s">
        <v>417</v>
      </c>
    </row>
    <row r="362" spans="1:35" s="40" customFormat="1" x14ac:dyDescent="0.2">
      <c r="A362" s="97"/>
      <c r="B362" s="91"/>
      <c r="C362" s="1787" t="s">
        <v>3657</v>
      </c>
      <c r="D362" s="1787"/>
      <c r="E362" s="1787"/>
      <c r="F362" s="1787"/>
      <c r="G362" s="1787"/>
      <c r="H362" s="1787"/>
      <c r="I362" s="1787"/>
      <c r="J362" s="1787"/>
      <c r="K362" s="1787"/>
      <c r="L362" s="102">
        <v>6822.79</v>
      </c>
      <c r="M362" s="103"/>
      <c r="N362" s="104"/>
      <c r="AI362" s="43" t="s">
        <v>3657</v>
      </c>
    </row>
    <row r="363" spans="1:35" s="40" customFormat="1" ht="12" x14ac:dyDescent="0.2">
      <c r="A363" s="1782" t="s">
        <v>3658</v>
      </c>
      <c r="B363" s="1783"/>
      <c r="C363" s="1783"/>
      <c r="D363" s="1783"/>
      <c r="E363" s="1783"/>
      <c r="F363" s="1783"/>
      <c r="G363" s="1783"/>
      <c r="H363" s="1783"/>
      <c r="I363" s="1783"/>
      <c r="J363" s="1783"/>
      <c r="K363" s="1783"/>
      <c r="L363" s="1783"/>
      <c r="M363" s="1783"/>
      <c r="N363" s="1784"/>
      <c r="V363" s="43" t="s">
        <v>3658</v>
      </c>
    </row>
    <row r="364" spans="1:35" s="40" customFormat="1" x14ac:dyDescent="0.2">
      <c r="A364" s="1801" t="s">
        <v>494</v>
      </c>
      <c r="B364" s="1802"/>
      <c r="C364" s="1802"/>
      <c r="D364" s="1802"/>
      <c r="E364" s="1802"/>
      <c r="F364" s="1802"/>
      <c r="G364" s="1802"/>
      <c r="H364" s="1802"/>
      <c r="I364" s="1802"/>
      <c r="J364" s="1802"/>
      <c r="K364" s="1802"/>
      <c r="L364" s="1802"/>
      <c r="M364" s="1802"/>
      <c r="N364" s="1803"/>
      <c r="W364" s="43" t="s">
        <v>494</v>
      </c>
    </row>
    <row r="365" spans="1:35" s="40" customFormat="1" ht="56.25" x14ac:dyDescent="0.2">
      <c r="A365" s="69" t="s">
        <v>505</v>
      </c>
      <c r="B365" s="70" t="s">
        <v>1349</v>
      </c>
      <c r="C365" s="1785" t="s">
        <v>1350</v>
      </c>
      <c r="D365" s="1785"/>
      <c r="E365" s="1785"/>
      <c r="F365" s="71" t="s">
        <v>455</v>
      </c>
      <c r="G365" s="71"/>
      <c r="H365" s="71"/>
      <c r="I365" s="71" t="s">
        <v>3596</v>
      </c>
      <c r="J365" s="72"/>
      <c r="K365" s="71"/>
      <c r="L365" s="72"/>
      <c r="M365" s="73"/>
      <c r="N365" s="74"/>
      <c r="X365" s="43" t="s">
        <v>1350</v>
      </c>
    </row>
    <row r="366" spans="1:35" s="40" customFormat="1" x14ac:dyDescent="0.2">
      <c r="A366" s="75"/>
      <c r="B366" s="76"/>
      <c r="C366" s="1768" t="s">
        <v>3597</v>
      </c>
      <c r="D366" s="1768"/>
      <c r="E366" s="1768"/>
      <c r="F366" s="1768"/>
      <c r="G366" s="1768"/>
      <c r="H366" s="1768"/>
      <c r="I366" s="1768"/>
      <c r="J366" s="1768"/>
      <c r="K366" s="1768"/>
      <c r="L366" s="1768"/>
      <c r="M366" s="1768"/>
      <c r="N366" s="1779"/>
      <c r="Y366" s="43" t="s">
        <v>3597</v>
      </c>
    </row>
    <row r="367" spans="1:35" s="40" customFormat="1" ht="33.75" x14ac:dyDescent="0.2">
      <c r="A367" s="77"/>
      <c r="B367" s="78" t="s">
        <v>310</v>
      </c>
      <c r="C367" s="1768" t="s">
        <v>311</v>
      </c>
      <c r="D367" s="1768"/>
      <c r="E367" s="1768"/>
      <c r="F367" s="1768"/>
      <c r="G367" s="1768"/>
      <c r="H367" s="1768"/>
      <c r="I367" s="1768"/>
      <c r="J367" s="1768"/>
      <c r="K367" s="1768"/>
      <c r="L367" s="1768"/>
      <c r="M367" s="1768"/>
      <c r="N367" s="1779"/>
      <c r="Z367" s="43" t="s">
        <v>311</v>
      </c>
    </row>
    <row r="368" spans="1:35" s="40" customFormat="1" x14ac:dyDescent="0.2">
      <c r="A368" s="79"/>
      <c r="B368" s="78" t="s">
        <v>186</v>
      </c>
      <c r="C368" s="1768" t="s">
        <v>344</v>
      </c>
      <c r="D368" s="1768"/>
      <c r="E368" s="1768"/>
      <c r="F368" s="80"/>
      <c r="G368" s="80"/>
      <c r="H368" s="80"/>
      <c r="I368" s="80"/>
      <c r="J368" s="81">
        <v>7550.19</v>
      </c>
      <c r="K368" s="80" t="s">
        <v>313</v>
      </c>
      <c r="L368" s="81">
        <v>29.92</v>
      </c>
      <c r="M368" s="82"/>
      <c r="N368" s="83"/>
      <c r="AA368" s="43" t="s">
        <v>344</v>
      </c>
    </row>
    <row r="369" spans="1:30" s="40" customFormat="1" x14ac:dyDescent="0.2">
      <c r="A369" s="79"/>
      <c r="B369" s="78" t="s">
        <v>187</v>
      </c>
      <c r="C369" s="1768" t="s">
        <v>345</v>
      </c>
      <c r="D369" s="1768"/>
      <c r="E369" s="1768"/>
      <c r="F369" s="80"/>
      <c r="G369" s="80"/>
      <c r="H369" s="80"/>
      <c r="I369" s="80"/>
      <c r="J369" s="81">
        <v>884.25</v>
      </c>
      <c r="K369" s="80" t="s">
        <v>313</v>
      </c>
      <c r="L369" s="81">
        <v>3.5</v>
      </c>
      <c r="M369" s="82"/>
      <c r="N369" s="83"/>
      <c r="AA369" s="43" t="s">
        <v>345</v>
      </c>
    </row>
    <row r="370" spans="1:30" s="40" customFormat="1" x14ac:dyDescent="0.2">
      <c r="A370" s="79"/>
      <c r="B370" s="78"/>
      <c r="C370" s="1768" t="s">
        <v>348</v>
      </c>
      <c r="D370" s="1768"/>
      <c r="E370" s="1768"/>
      <c r="F370" s="80" t="s">
        <v>315</v>
      </c>
      <c r="G370" s="80" t="s">
        <v>1353</v>
      </c>
      <c r="H370" s="80" t="s">
        <v>313</v>
      </c>
      <c r="I370" s="80" t="s">
        <v>3598</v>
      </c>
      <c r="J370" s="81"/>
      <c r="K370" s="80"/>
      <c r="L370" s="81"/>
      <c r="M370" s="82"/>
      <c r="N370" s="83"/>
      <c r="AB370" s="43" t="s">
        <v>348</v>
      </c>
    </row>
    <row r="371" spans="1:30" s="40" customFormat="1" x14ac:dyDescent="0.2">
      <c r="A371" s="79"/>
      <c r="B371" s="78"/>
      <c r="C371" s="1780" t="s">
        <v>318</v>
      </c>
      <c r="D371" s="1780"/>
      <c r="E371" s="1780"/>
      <c r="F371" s="84"/>
      <c r="G371" s="84"/>
      <c r="H371" s="84"/>
      <c r="I371" s="84"/>
      <c r="J371" s="85">
        <v>7550.19</v>
      </c>
      <c r="K371" s="84"/>
      <c r="L371" s="85">
        <v>29.92</v>
      </c>
      <c r="M371" s="86"/>
      <c r="N371" s="87"/>
      <c r="AC371" s="43" t="s">
        <v>318</v>
      </c>
    </row>
    <row r="372" spans="1:30" s="40" customFormat="1" x14ac:dyDescent="0.2">
      <c r="A372" s="79"/>
      <c r="B372" s="78"/>
      <c r="C372" s="1768" t="s">
        <v>319</v>
      </c>
      <c r="D372" s="1768"/>
      <c r="E372" s="1768"/>
      <c r="F372" s="80"/>
      <c r="G372" s="80"/>
      <c r="H372" s="80"/>
      <c r="I372" s="80"/>
      <c r="J372" s="81"/>
      <c r="K372" s="80"/>
      <c r="L372" s="81">
        <v>3.5</v>
      </c>
      <c r="M372" s="82"/>
      <c r="N372" s="83"/>
      <c r="AB372" s="43" t="s">
        <v>319</v>
      </c>
    </row>
    <row r="373" spans="1:30" s="40" customFormat="1" ht="33.75" x14ac:dyDescent="0.2">
      <c r="A373" s="79"/>
      <c r="B373" s="78" t="s">
        <v>460</v>
      </c>
      <c r="C373" s="1768" t="s">
        <v>461</v>
      </c>
      <c r="D373" s="1768"/>
      <c r="E373" s="1768"/>
      <c r="F373" s="80" t="s">
        <v>322</v>
      </c>
      <c r="G373" s="80" t="s">
        <v>462</v>
      </c>
      <c r="H373" s="80"/>
      <c r="I373" s="80" t="s">
        <v>462</v>
      </c>
      <c r="J373" s="81"/>
      <c r="K373" s="80"/>
      <c r="L373" s="81">
        <v>3.22</v>
      </c>
      <c r="M373" s="82"/>
      <c r="N373" s="83"/>
      <c r="AB373" s="43" t="s">
        <v>461</v>
      </c>
    </row>
    <row r="374" spans="1:30" s="40" customFormat="1" ht="33.75" x14ac:dyDescent="0.2">
      <c r="A374" s="79"/>
      <c r="B374" s="78" t="s">
        <v>463</v>
      </c>
      <c r="C374" s="1768" t="s">
        <v>464</v>
      </c>
      <c r="D374" s="1768"/>
      <c r="E374" s="1768"/>
      <c r="F374" s="80" t="s">
        <v>322</v>
      </c>
      <c r="G374" s="80" t="s">
        <v>465</v>
      </c>
      <c r="H374" s="80"/>
      <c r="I374" s="80" t="s">
        <v>465</v>
      </c>
      <c r="J374" s="81"/>
      <c r="K374" s="80"/>
      <c r="L374" s="81">
        <v>1.61</v>
      </c>
      <c r="M374" s="82"/>
      <c r="N374" s="83"/>
      <c r="AB374" s="43" t="s">
        <v>464</v>
      </c>
    </row>
    <row r="375" spans="1:30" s="40" customFormat="1" x14ac:dyDescent="0.2">
      <c r="A375" s="88"/>
      <c r="B375" s="89"/>
      <c r="C375" s="1785" t="s">
        <v>327</v>
      </c>
      <c r="D375" s="1785"/>
      <c r="E375" s="1785"/>
      <c r="F375" s="71"/>
      <c r="G375" s="71"/>
      <c r="H375" s="71"/>
      <c r="I375" s="71"/>
      <c r="J375" s="72"/>
      <c r="K375" s="71"/>
      <c r="L375" s="72">
        <v>34.75</v>
      </c>
      <c r="M375" s="86"/>
      <c r="N375" s="74"/>
      <c r="AD375" s="43" t="s">
        <v>327</v>
      </c>
    </row>
    <row r="376" spans="1:30" s="40" customFormat="1" ht="45" x14ac:dyDescent="0.2">
      <c r="A376" s="69" t="s">
        <v>767</v>
      </c>
      <c r="B376" s="70" t="s">
        <v>495</v>
      </c>
      <c r="C376" s="1785" t="s">
        <v>496</v>
      </c>
      <c r="D376" s="1785"/>
      <c r="E376" s="1785"/>
      <c r="F376" s="71" t="s">
        <v>455</v>
      </c>
      <c r="G376" s="71"/>
      <c r="H376" s="71"/>
      <c r="I376" s="71" t="s">
        <v>3599</v>
      </c>
      <c r="J376" s="72"/>
      <c r="K376" s="71"/>
      <c r="L376" s="72"/>
      <c r="M376" s="73"/>
      <c r="N376" s="74"/>
      <c r="X376" s="43" t="s">
        <v>496</v>
      </c>
    </row>
    <row r="377" spans="1:30" s="40" customFormat="1" x14ac:dyDescent="0.2">
      <c r="A377" s="75"/>
      <c r="B377" s="76"/>
      <c r="C377" s="1768" t="s">
        <v>3600</v>
      </c>
      <c r="D377" s="1768"/>
      <c r="E377" s="1768"/>
      <c r="F377" s="1768"/>
      <c r="G377" s="1768"/>
      <c r="H377" s="1768"/>
      <c r="I377" s="1768"/>
      <c r="J377" s="1768"/>
      <c r="K377" s="1768"/>
      <c r="L377" s="1768"/>
      <c r="M377" s="1768"/>
      <c r="N377" s="1779"/>
      <c r="Y377" s="43" t="s">
        <v>3600</v>
      </c>
    </row>
    <row r="378" spans="1:30" s="40" customFormat="1" ht="33.75" x14ac:dyDescent="0.2">
      <c r="A378" s="77"/>
      <c r="B378" s="78" t="s">
        <v>310</v>
      </c>
      <c r="C378" s="1768" t="s">
        <v>311</v>
      </c>
      <c r="D378" s="1768"/>
      <c r="E378" s="1768"/>
      <c r="F378" s="1768"/>
      <c r="G378" s="1768"/>
      <c r="H378" s="1768"/>
      <c r="I378" s="1768"/>
      <c r="J378" s="1768"/>
      <c r="K378" s="1768"/>
      <c r="L378" s="1768"/>
      <c r="M378" s="1768"/>
      <c r="N378" s="1779"/>
      <c r="Z378" s="43" t="s">
        <v>311</v>
      </c>
    </row>
    <row r="379" spans="1:30" s="40" customFormat="1" x14ac:dyDescent="0.2">
      <c r="A379" s="79"/>
      <c r="B379" s="78" t="s">
        <v>186</v>
      </c>
      <c r="C379" s="1768" t="s">
        <v>344</v>
      </c>
      <c r="D379" s="1768"/>
      <c r="E379" s="1768"/>
      <c r="F379" s="80"/>
      <c r="G379" s="80"/>
      <c r="H379" s="80"/>
      <c r="I379" s="80"/>
      <c r="J379" s="81">
        <v>5532.96</v>
      </c>
      <c r="K379" s="80" t="s">
        <v>313</v>
      </c>
      <c r="L379" s="81">
        <v>13.62</v>
      </c>
      <c r="M379" s="82"/>
      <c r="N379" s="83"/>
      <c r="AA379" s="43" t="s">
        <v>344</v>
      </c>
    </row>
    <row r="380" spans="1:30" s="40" customFormat="1" x14ac:dyDescent="0.2">
      <c r="A380" s="79"/>
      <c r="B380" s="78" t="s">
        <v>187</v>
      </c>
      <c r="C380" s="1768" t="s">
        <v>345</v>
      </c>
      <c r="D380" s="1768"/>
      <c r="E380" s="1768"/>
      <c r="F380" s="80"/>
      <c r="G380" s="80"/>
      <c r="H380" s="80"/>
      <c r="I380" s="80"/>
      <c r="J380" s="81">
        <v>648</v>
      </c>
      <c r="K380" s="80" t="s">
        <v>313</v>
      </c>
      <c r="L380" s="81">
        <v>1.6</v>
      </c>
      <c r="M380" s="82"/>
      <c r="N380" s="83"/>
      <c r="AA380" s="43" t="s">
        <v>345</v>
      </c>
    </row>
    <row r="381" spans="1:30" s="40" customFormat="1" x14ac:dyDescent="0.2">
      <c r="A381" s="79"/>
      <c r="B381" s="78"/>
      <c r="C381" s="1768" t="s">
        <v>348</v>
      </c>
      <c r="D381" s="1768"/>
      <c r="E381" s="1768"/>
      <c r="F381" s="80" t="s">
        <v>315</v>
      </c>
      <c r="G381" s="80" t="s">
        <v>501</v>
      </c>
      <c r="H381" s="80" t="s">
        <v>313</v>
      </c>
      <c r="I381" s="80" t="s">
        <v>3601</v>
      </c>
      <c r="J381" s="81"/>
      <c r="K381" s="80"/>
      <c r="L381" s="81"/>
      <c r="M381" s="82"/>
      <c r="N381" s="83"/>
      <c r="AB381" s="43" t="s">
        <v>348</v>
      </c>
    </row>
    <row r="382" spans="1:30" s="40" customFormat="1" x14ac:dyDescent="0.2">
      <c r="A382" s="79"/>
      <c r="B382" s="78"/>
      <c r="C382" s="1780" t="s">
        <v>318</v>
      </c>
      <c r="D382" s="1780"/>
      <c r="E382" s="1780"/>
      <c r="F382" s="84"/>
      <c r="G382" s="84"/>
      <c r="H382" s="84"/>
      <c r="I382" s="84"/>
      <c r="J382" s="85">
        <v>5532.96</v>
      </c>
      <c r="K382" s="84"/>
      <c r="L382" s="85">
        <v>13.62</v>
      </c>
      <c r="M382" s="86"/>
      <c r="N382" s="87"/>
      <c r="AC382" s="43" t="s">
        <v>318</v>
      </c>
    </row>
    <row r="383" spans="1:30" s="40" customFormat="1" x14ac:dyDescent="0.2">
      <c r="A383" s="79"/>
      <c r="B383" s="78"/>
      <c r="C383" s="1768" t="s">
        <v>319</v>
      </c>
      <c r="D383" s="1768"/>
      <c r="E383" s="1768"/>
      <c r="F383" s="80"/>
      <c r="G383" s="80"/>
      <c r="H383" s="80"/>
      <c r="I383" s="80"/>
      <c r="J383" s="81"/>
      <c r="K383" s="80"/>
      <c r="L383" s="81">
        <v>1.6</v>
      </c>
      <c r="M383" s="82"/>
      <c r="N383" s="83"/>
      <c r="AB383" s="43" t="s">
        <v>319</v>
      </c>
    </row>
    <row r="384" spans="1:30" s="40" customFormat="1" ht="33.75" x14ac:dyDescent="0.2">
      <c r="A384" s="79"/>
      <c r="B384" s="78" t="s">
        <v>460</v>
      </c>
      <c r="C384" s="1768" t="s">
        <v>461</v>
      </c>
      <c r="D384" s="1768"/>
      <c r="E384" s="1768"/>
      <c r="F384" s="80" t="s">
        <v>322</v>
      </c>
      <c r="G384" s="80" t="s">
        <v>462</v>
      </c>
      <c r="H384" s="80"/>
      <c r="I384" s="80" t="s">
        <v>462</v>
      </c>
      <c r="J384" s="81"/>
      <c r="K384" s="80"/>
      <c r="L384" s="81">
        <v>1.47</v>
      </c>
      <c r="M384" s="82"/>
      <c r="N384" s="83"/>
      <c r="AB384" s="43" t="s">
        <v>461</v>
      </c>
    </row>
    <row r="385" spans="1:30" s="40" customFormat="1" ht="33.75" x14ac:dyDescent="0.2">
      <c r="A385" s="79"/>
      <c r="B385" s="78" t="s">
        <v>463</v>
      </c>
      <c r="C385" s="1768" t="s">
        <v>464</v>
      </c>
      <c r="D385" s="1768"/>
      <c r="E385" s="1768"/>
      <c r="F385" s="80" t="s">
        <v>322</v>
      </c>
      <c r="G385" s="80" t="s">
        <v>465</v>
      </c>
      <c r="H385" s="80"/>
      <c r="I385" s="80" t="s">
        <v>465</v>
      </c>
      <c r="J385" s="81"/>
      <c r="K385" s="80"/>
      <c r="L385" s="81">
        <v>0.74</v>
      </c>
      <c r="M385" s="82"/>
      <c r="N385" s="83"/>
      <c r="AB385" s="43" t="s">
        <v>464</v>
      </c>
    </row>
    <row r="386" spans="1:30" s="40" customFormat="1" x14ac:dyDescent="0.2">
      <c r="A386" s="88"/>
      <c r="B386" s="89"/>
      <c r="C386" s="1785" t="s">
        <v>327</v>
      </c>
      <c r="D386" s="1785"/>
      <c r="E386" s="1785"/>
      <c r="F386" s="71"/>
      <c r="G386" s="71"/>
      <c r="H386" s="71"/>
      <c r="I386" s="71"/>
      <c r="J386" s="72"/>
      <c r="K386" s="71"/>
      <c r="L386" s="72">
        <v>15.83</v>
      </c>
      <c r="M386" s="86"/>
      <c r="N386" s="74"/>
      <c r="AD386" s="43" t="s">
        <v>327</v>
      </c>
    </row>
    <row r="387" spans="1:30" s="40" customFormat="1" ht="56.25" x14ac:dyDescent="0.2">
      <c r="A387" s="69" t="s">
        <v>768</v>
      </c>
      <c r="B387" s="70" t="s">
        <v>1358</v>
      </c>
      <c r="C387" s="1785" t="s">
        <v>1359</v>
      </c>
      <c r="D387" s="1785"/>
      <c r="E387" s="1785"/>
      <c r="F387" s="71" t="s">
        <v>455</v>
      </c>
      <c r="G387" s="71"/>
      <c r="H387" s="71"/>
      <c r="I387" s="71" t="s">
        <v>3599</v>
      </c>
      <c r="J387" s="72"/>
      <c r="K387" s="71"/>
      <c r="L387" s="72"/>
      <c r="M387" s="73"/>
      <c r="N387" s="74"/>
      <c r="X387" s="43" t="s">
        <v>1359</v>
      </c>
    </row>
    <row r="388" spans="1:30" s="40" customFormat="1" x14ac:dyDescent="0.2">
      <c r="A388" s="75"/>
      <c r="B388" s="76"/>
      <c r="C388" s="1768" t="s">
        <v>3600</v>
      </c>
      <c r="D388" s="1768"/>
      <c r="E388" s="1768"/>
      <c r="F388" s="1768"/>
      <c r="G388" s="1768"/>
      <c r="H388" s="1768"/>
      <c r="I388" s="1768"/>
      <c r="J388" s="1768"/>
      <c r="K388" s="1768"/>
      <c r="L388" s="1768"/>
      <c r="M388" s="1768"/>
      <c r="N388" s="1779"/>
      <c r="Y388" s="43" t="s">
        <v>3600</v>
      </c>
    </row>
    <row r="389" spans="1:30" s="40" customFormat="1" ht="33.75" x14ac:dyDescent="0.2">
      <c r="A389" s="77"/>
      <c r="B389" s="78" t="s">
        <v>310</v>
      </c>
      <c r="C389" s="1768" t="s">
        <v>311</v>
      </c>
      <c r="D389" s="1768"/>
      <c r="E389" s="1768"/>
      <c r="F389" s="1768"/>
      <c r="G389" s="1768"/>
      <c r="H389" s="1768"/>
      <c r="I389" s="1768"/>
      <c r="J389" s="1768"/>
      <c r="K389" s="1768"/>
      <c r="L389" s="1768"/>
      <c r="M389" s="1768"/>
      <c r="N389" s="1779"/>
      <c r="Z389" s="43" t="s">
        <v>311</v>
      </c>
    </row>
    <row r="390" spans="1:30" s="40" customFormat="1" x14ac:dyDescent="0.2">
      <c r="A390" s="79"/>
      <c r="B390" s="78" t="s">
        <v>186</v>
      </c>
      <c r="C390" s="1768" t="s">
        <v>344</v>
      </c>
      <c r="D390" s="1768"/>
      <c r="E390" s="1768"/>
      <c r="F390" s="80"/>
      <c r="G390" s="80"/>
      <c r="H390" s="80"/>
      <c r="I390" s="80"/>
      <c r="J390" s="81">
        <v>4264.99</v>
      </c>
      <c r="K390" s="80" t="s">
        <v>313</v>
      </c>
      <c r="L390" s="81">
        <v>10.5</v>
      </c>
      <c r="M390" s="82"/>
      <c r="N390" s="83"/>
      <c r="AA390" s="43" t="s">
        <v>344</v>
      </c>
    </row>
    <row r="391" spans="1:30" s="40" customFormat="1" x14ac:dyDescent="0.2">
      <c r="A391" s="79"/>
      <c r="B391" s="78" t="s">
        <v>187</v>
      </c>
      <c r="C391" s="1768" t="s">
        <v>345</v>
      </c>
      <c r="D391" s="1768"/>
      <c r="E391" s="1768"/>
      <c r="F391" s="80"/>
      <c r="G391" s="80"/>
      <c r="H391" s="80"/>
      <c r="I391" s="80"/>
      <c r="J391" s="81">
        <v>499.5</v>
      </c>
      <c r="K391" s="80" t="s">
        <v>313</v>
      </c>
      <c r="L391" s="81">
        <v>1.23</v>
      </c>
      <c r="M391" s="82"/>
      <c r="N391" s="83"/>
      <c r="AA391" s="43" t="s">
        <v>345</v>
      </c>
    </row>
    <row r="392" spans="1:30" s="40" customFormat="1" x14ac:dyDescent="0.2">
      <c r="A392" s="79"/>
      <c r="B392" s="78"/>
      <c r="C392" s="1768" t="s">
        <v>348</v>
      </c>
      <c r="D392" s="1768"/>
      <c r="E392" s="1768"/>
      <c r="F392" s="80" t="s">
        <v>315</v>
      </c>
      <c r="G392" s="80" t="s">
        <v>770</v>
      </c>
      <c r="H392" s="80" t="s">
        <v>313</v>
      </c>
      <c r="I392" s="80" t="s">
        <v>3602</v>
      </c>
      <c r="J392" s="81"/>
      <c r="K392" s="80"/>
      <c r="L392" s="81"/>
      <c r="M392" s="82"/>
      <c r="N392" s="83"/>
      <c r="AB392" s="43" t="s">
        <v>348</v>
      </c>
    </row>
    <row r="393" spans="1:30" s="40" customFormat="1" x14ac:dyDescent="0.2">
      <c r="A393" s="79"/>
      <c r="B393" s="78"/>
      <c r="C393" s="1780" t="s">
        <v>318</v>
      </c>
      <c r="D393" s="1780"/>
      <c r="E393" s="1780"/>
      <c r="F393" s="84"/>
      <c r="G393" s="84"/>
      <c r="H393" s="84"/>
      <c r="I393" s="84"/>
      <c r="J393" s="85">
        <v>4264.99</v>
      </c>
      <c r="K393" s="84"/>
      <c r="L393" s="85">
        <v>10.5</v>
      </c>
      <c r="M393" s="86"/>
      <c r="N393" s="87"/>
      <c r="AC393" s="43" t="s">
        <v>318</v>
      </c>
    </row>
    <row r="394" spans="1:30" s="40" customFormat="1" x14ac:dyDescent="0.2">
      <c r="A394" s="79"/>
      <c r="B394" s="78"/>
      <c r="C394" s="1768" t="s">
        <v>319</v>
      </c>
      <c r="D394" s="1768"/>
      <c r="E394" s="1768"/>
      <c r="F394" s="80"/>
      <c r="G394" s="80"/>
      <c r="H394" s="80"/>
      <c r="I394" s="80"/>
      <c r="J394" s="81"/>
      <c r="K394" s="80"/>
      <c r="L394" s="81">
        <v>1.23</v>
      </c>
      <c r="M394" s="82"/>
      <c r="N394" s="83"/>
      <c r="AB394" s="43" t="s">
        <v>319</v>
      </c>
    </row>
    <row r="395" spans="1:30" s="40" customFormat="1" ht="33.75" x14ac:dyDescent="0.2">
      <c r="A395" s="79"/>
      <c r="B395" s="78" t="s">
        <v>460</v>
      </c>
      <c r="C395" s="1768" t="s">
        <v>461</v>
      </c>
      <c r="D395" s="1768"/>
      <c r="E395" s="1768"/>
      <c r="F395" s="80" t="s">
        <v>322</v>
      </c>
      <c r="G395" s="80" t="s">
        <v>462</v>
      </c>
      <c r="H395" s="80"/>
      <c r="I395" s="80" t="s">
        <v>462</v>
      </c>
      <c r="J395" s="81"/>
      <c r="K395" s="80"/>
      <c r="L395" s="81">
        <v>1.1299999999999999</v>
      </c>
      <c r="M395" s="82"/>
      <c r="N395" s="83"/>
      <c r="AB395" s="43" t="s">
        <v>461</v>
      </c>
    </row>
    <row r="396" spans="1:30" s="40" customFormat="1" ht="33.75" x14ac:dyDescent="0.2">
      <c r="A396" s="79"/>
      <c r="B396" s="78" t="s">
        <v>463</v>
      </c>
      <c r="C396" s="1768" t="s">
        <v>464</v>
      </c>
      <c r="D396" s="1768"/>
      <c r="E396" s="1768"/>
      <c r="F396" s="80" t="s">
        <v>322</v>
      </c>
      <c r="G396" s="80" t="s">
        <v>465</v>
      </c>
      <c r="H396" s="80"/>
      <c r="I396" s="80" t="s">
        <v>465</v>
      </c>
      <c r="J396" s="81"/>
      <c r="K396" s="80"/>
      <c r="L396" s="81">
        <v>0.56999999999999995</v>
      </c>
      <c r="M396" s="82"/>
      <c r="N396" s="83"/>
      <c r="AB396" s="43" t="s">
        <v>464</v>
      </c>
    </row>
    <row r="397" spans="1:30" s="40" customFormat="1" x14ac:dyDescent="0.2">
      <c r="A397" s="88"/>
      <c r="B397" s="89"/>
      <c r="C397" s="1785" t="s">
        <v>327</v>
      </c>
      <c r="D397" s="1785"/>
      <c r="E397" s="1785"/>
      <c r="F397" s="71"/>
      <c r="G397" s="71"/>
      <c r="H397" s="71"/>
      <c r="I397" s="71"/>
      <c r="J397" s="72"/>
      <c r="K397" s="71"/>
      <c r="L397" s="72">
        <v>12.2</v>
      </c>
      <c r="M397" s="86"/>
      <c r="N397" s="74"/>
      <c r="AD397" s="43" t="s">
        <v>327</v>
      </c>
    </row>
    <row r="398" spans="1:30" s="40" customFormat="1" ht="22.5" x14ac:dyDescent="0.2">
      <c r="A398" s="69" t="s">
        <v>769</v>
      </c>
      <c r="B398" s="70" t="s">
        <v>507</v>
      </c>
      <c r="C398" s="1785" t="s">
        <v>508</v>
      </c>
      <c r="D398" s="1785"/>
      <c r="E398" s="1785"/>
      <c r="F398" s="71" t="s">
        <v>509</v>
      </c>
      <c r="G398" s="71"/>
      <c r="H398" s="71"/>
      <c r="I398" s="71" t="s">
        <v>3603</v>
      </c>
      <c r="J398" s="72"/>
      <c r="K398" s="71"/>
      <c r="L398" s="72"/>
      <c r="M398" s="73"/>
      <c r="N398" s="74"/>
      <c r="X398" s="43" t="s">
        <v>508</v>
      </c>
    </row>
    <row r="399" spans="1:30" s="40" customFormat="1" x14ac:dyDescent="0.2">
      <c r="A399" s="75"/>
      <c r="B399" s="76"/>
      <c r="C399" s="1768" t="s">
        <v>3604</v>
      </c>
      <c r="D399" s="1768"/>
      <c r="E399" s="1768"/>
      <c r="F399" s="1768"/>
      <c r="G399" s="1768"/>
      <c r="H399" s="1768"/>
      <c r="I399" s="1768"/>
      <c r="J399" s="1768"/>
      <c r="K399" s="1768"/>
      <c r="L399" s="1768"/>
      <c r="M399" s="1768"/>
      <c r="N399" s="1779"/>
      <c r="Y399" s="43" t="s">
        <v>3604</v>
      </c>
    </row>
    <row r="400" spans="1:30" s="40" customFormat="1" ht="33.75" x14ac:dyDescent="0.2">
      <c r="A400" s="77"/>
      <c r="B400" s="78" t="s">
        <v>310</v>
      </c>
      <c r="C400" s="1768" t="s">
        <v>311</v>
      </c>
      <c r="D400" s="1768"/>
      <c r="E400" s="1768"/>
      <c r="F400" s="1768"/>
      <c r="G400" s="1768"/>
      <c r="H400" s="1768"/>
      <c r="I400" s="1768"/>
      <c r="J400" s="1768"/>
      <c r="K400" s="1768"/>
      <c r="L400" s="1768"/>
      <c r="M400" s="1768"/>
      <c r="N400" s="1779"/>
      <c r="Z400" s="43" t="s">
        <v>311</v>
      </c>
    </row>
    <row r="401" spans="1:30" s="40" customFormat="1" x14ac:dyDescent="0.2">
      <c r="A401" s="79"/>
      <c r="B401" s="78" t="s">
        <v>185</v>
      </c>
      <c r="C401" s="1768" t="s">
        <v>312</v>
      </c>
      <c r="D401" s="1768"/>
      <c r="E401" s="1768"/>
      <c r="F401" s="80"/>
      <c r="G401" s="80"/>
      <c r="H401" s="80"/>
      <c r="I401" s="80"/>
      <c r="J401" s="81">
        <v>127.61</v>
      </c>
      <c r="K401" s="80" t="s">
        <v>313</v>
      </c>
      <c r="L401" s="81">
        <v>3.14</v>
      </c>
      <c r="M401" s="82"/>
      <c r="N401" s="83"/>
      <c r="AA401" s="43" t="s">
        <v>312</v>
      </c>
    </row>
    <row r="402" spans="1:30" s="40" customFormat="1" x14ac:dyDescent="0.2">
      <c r="A402" s="79"/>
      <c r="B402" s="78" t="s">
        <v>186</v>
      </c>
      <c r="C402" s="1768" t="s">
        <v>344</v>
      </c>
      <c r="D402" s="1768"/>
      <c r="E402" s="1768"/>
      <c r="F402" s="80"/>
      <c r="G402" s="80"/>
      <c r="H402" s="80"/>
      <c r="I402" s="80"/>
      <c r="J402" s="81">
        <v>288.58</v>
      </c>
      <c r="K402" s="80" t="s">
        <v>313</v>
      </c>
      <c r="L402" s="81">
        <v>7.11</v>
      </c>
      <c r="M402" s="82"/>
      <c r="N402" s="83"/>
      <c r="AA402" s="43" t="s">
        <v>344</v>
      </c>
    </row>
    <row r="403" spans="1:30" s="40" customFormat="1" x14ac:dyDescent="0.2">
      <c r="A403" s="79"/>
      <c r="B403" s="78" t="s">
        <v>187</v>
      </c>
      <c r="C403" s="1768" t="s">
        <v>345</v>
      </c>
      <c r="D403" s="1768"/>
      <c r="E403" s="1768"/>
      <c r="F403" s="80"/>
      <c r="G403" s="80"/>
      <c r="H403" s="80"/>
      <c r="I403" s="80"/>
      <c r="J403" s="81">
        <v>31.49</v>
      </c>
      <c r="K403" s="80" t="s">
        <v>313</v>
      </c>
      <c r="L403" s="81">
        <v>0.78</v>
      </c>
      <c r="M403" s="82"/>
      <c r="N403" s="83"/>
      <c r="AA403" s="43" t="s">
        <v>345</v>
      </c>
    </row>
    <row r="404" spans="1:30" s="40" customFormat="1" x14ac:dyDescent="0.2">
      <c r="A404" s="79"/>
      <c r="B404" s="78"/>
      <c r="C404" s="1768" t="s">
        <v>314</v>
      </c>
      <c r="D404" s="1768"/>
      <c r="E404" s="1768"/>
      <c r="F404" s="80" t="s">
        <v>315</v>
      </c>
      <c r="G404" s="80" t="s">
        <v>512</v>
      </c>
      <c r="H404" s="80" t="s">
        <v>313</v>
      </c>
      <c r="I404" s="80" t="s">
        <v>3605</v>
      </c>
      <c r="J404" s="81"/>
      <c r="K404" s="80"/>
      <c r="L404" s="81"/>
      <c r="M404" s="82"/>
      <c r="N404" s="83"/>
      <c r="AB404" s="43" t="s">
        <v>314</v>
      </c>
    </row>
    <row r="405" spans="1:30" s="40" customFormat="1" x14ac:dyDescent="0.2">
      <c r="A405" s="79"/>
      <c r="B405" s="78"/>
      <c r="C405" s="1768" t="s">
        <v>348</v>
      </c>
      <c r="D405" s="1768"/>
      <c r="E405" s="1768"/>
      <c r="F405" s="80" t="s">
        <v>315</v>
      </c>
      <c r="G405" s="80" t="s">
        <v>514</v>
      </c>
      <c r="H405" s="80" t="s">
        <v>313</v>
      </c>
      <c r="I405" s="80" t="s">
        <v>3606</v>
      </c>
      <c r="J405" s="81"/>
      <c r="K405" s="80"/>
      <c r="L405" s="81"/>
      <c r="M405" s="82"/>
      <c r="N405" s="83"/>
      <c r="AB405" s="43" t="s">
        <v>348</v>
      </c>
    </row>
    <row r="406" spans="1:30" s="40" customFormat="1" x14ac:dyDescent="0.2">
      <c r="A406" s="79"/>
      <c r="B406" s="78"/>
      <c r="C406" s="1780" t="s">
        <v>318</v>
      </c>
      <c r="D406" s="1780"/>
      <c r="E406" s="1780"/>
      <c r="F406" s="84"/>
      <c r="G406" s="84"/>
      <c r="H406" s="84"/>
      <c r="I406" s="84"/>
      <c r="J406" s="85">
        <v>416.19</v>
      </c>
      <c r="K406" s="84"/>
      <c r="L406" s="85">
        <v>10.25</v>
      </c>
      <c r="M406" s="86"/>
      <c r="N406" s="87"/>
      <c r="AC406" s="43" t="s">
        <v>318</v>
      </c>
    </row>
    <row r="407" spans="1:30" s="40" customFormat="1" x14ac:dyDescent="0.2">
      <c r="A407" s="79"/>
      <c r="B407" s="78"/>
      <c r="C407" s="1768" t="s">
        <v>319</v>
      </c>
      <c r="D407" s="1768"/>
      <c r="E407" s="1768"/>
      <c r="F407" s="80"/>
      <c r="G407" s="80"/>
      <c r="H407" s="80"/>
      <c r="I407" s="80"/>
      <c r="J407" s="81"/>
      <c r="K407" s="80"/>
      <c r="L407" s="81">
        <v>3.92</v>
      </c>
      <c r="M407" s="82"/>
      <c r="N407" s="83"/>
      <c r="AB407" s="43" t="s">
        <v>319</v>
      </c>
    </row>
    <row r="408" spans="1:30" s="40" customFormat="1" ht="33.75" x14ac:dyDescent="0.2">
      <c r="A408" s="79"/>
      <c r="B408" s="78" t="s">
        <v>460</v>
      </c>
      <c r="C408" s="1768" t="s">
        <v>461</v>
      </c>
      <c r="D408" s="1768"/>
      <c r="E408" s="1768"/>
      <c r="F408" s="80" t="s">
        <v>322</v>
      </c>
      <c r="G408" s="80" t="s">
        <v>462</v>
      </c>
      <c r="H408" s="80"/>
      <c r="I408" s="80" t="s">
        <v>462</v>
      </c>
      <c r="J408" s="81"/>
      <c r="K408" s="80"/>
      <c r="L408" s="81">
        <v>3.61</v>
      </c>
      <c r="M408" s="82"/>
      <c r="N408" s="83"/>
      <c r="AB408" s="43" t="s">
        <v>461</v>
      </c>
    </row>
    <row r="409" spans="1:30" s="40" customFormat="1" ht="33.75" x14ac:dyDescent="0.2">
      <c r="A409" s="79"/>
      <c r="B409" s="78" t="s">
        <v>463</v>
      </c>
      <c r="C409" s="1768" t="s">
        <v>464</v>
      </c>
      <c r="D409" s="1768"/>
      <c r="E409" s="1768"/>
      <c r="F409" s="80" t="s">
        <v>322</v>
      </c>
      <c r="G409" s="80" t="s">
        <v>465</v>
      </c>
      <c r="H409" s="80"/>
      <c r="I409" s="80" t="s">
        <v>465</v>
      </c>
      <c r="J409" s="81"/>
      <c r="K409" s="80"/>
      <c r="L409" s="81">
        <v>1.8</v>
      </c>
      <c r="M409" s="82"/>
      <c r="N409" s="83"/>
      <c r="AB409" s="43" t="s">
        <v>464</v>
      </c>
    </row>
    <row r="410" spans="1:30" s="40" customFormat="1" x14ac:dyDescent="0.2">
      <c r="A410" s="88"/>
      <c r="B410" s="89"/>
      <c r="C410" s="1785" t="s">
        <v>327</v>
      </c>
      <c r="D410" s="1785"/>
      <c r="E410" s="1785"/>
      <c r="F410" s="71"/>
      <c r="G410" s="71"/>
      <c r="H410" s="71"/>
      <c r="I410" s="71"/>
      <c r="J410" s="72"/>
      <c r="K410" s="71"/>
      <c r="L410" s="72">
        <v>15.66</v>
      </c>
      <c r="M410" s="86"/>
      <c r="N410" s="74"/>
      <c r="AD410" s="43" t="s">
        <v>327</v>
      </c>
    </row>
    <row r="411" spans="1:30" s="40" customFormat="1" ht="45" x14ac:dyDescent="0.2">
      <c r="A411" s="69" t="s">
        <v>770</v>
      </c>
      <c r="B411" s="70" t="s">
        <v>1005</v>
      </c>
      <c r="C411" s="1785" t="s">
        <v>1006</v>
      </c>
      <c r="D411" s="1785"/>
      <c r="E411" s="1785"/>
      <c r="F411" s="71" t="s">
        <v>201</v>
      </c>
      <c r="G411" s="71"/>
      <c r="H411" s="71"/>
      <c r="I411" s="71" t="s">
        <v>3607</v>
      </c>
      <c r="J411" s="72">
        <v>2.91</v>
      </c>
      <c r="K411" s="71"/>
      <c r="L411" s="72">
        <v>21.22</v>
      </c>
      <c r="M411" s="73"/>
      <c r="N411" s="74"/>
      <c r="X411" s="43" t="s">
        <v>1006</v>
      </c>
    </row>
    <row r="412" spans="1:30" s="40" customFormat="1" x14ac:dyDescent="0.2">
      <c r="A412" s="75"/>
      <c r="B412" s="76"/>
      <c r="C412" s="1768" t="s">
        <v>3608</v>
      </c>
      <c r="D412" s="1768"/>
      <c r="E412" s="1768"/>
      <c r="F412" s="1768"/>
      <c r="G412" s="1768"/>
      <c r="H412" s="1768"/>
      <c r="I412" s="1768"/>
      <c r="J412" s="1768"/>
      <c r="K412" s="1768"/>
      <c r="L412" s="1768"/>
      <c r="M412" s="1768"/>
      <c r="N412" s="1779"/>
      <c r="Y412" s="43" t="s">
        <v>3608</v>
      </c>
    </row>
    <row r="413" spans="1:30" s="40" customFormat="1" x14ac:dyDescent="0.2">
      <c r="A413" s="1801" t="s">
        <v>3609</v>
      </c>
      <c r="B413" s="1802"/>
      <c r="C413" s="1802"/>
      <c r="D413" s="1802"/>
      <c r="E413" s="1802"/>
      <c r="F413" s="1802"/>
      <c r="G413" s="1802"/>
      <c r="H413" s="1802"/>
      <c r="I413" s="1802"/>
      <c r="J413" s="1802"/>
      <c r="K413" s="1802"/>
      <c r="L413" s="1802"/>
      <c r="M413" s="1802"/>
      <c r="N413" s="1803"/>
      <c r="W413" s="43" t="s">
        <v>3609</v>
      </c>
    </row>
    <row r="414" spans="1:30" s="40" customFormat="1" x14ac:dyDescent="0.2">
      <c r="A414" s="69" t="s">
        <v>771</v>
      </c>
      <c r="B414" s="70" t="s">
        <v>1368</v>
      </c>
      <c r="C414" s="1785" t="s">
        <v>1369</v>
      </c>
      <c r="D414" s="1785"/>
      <c r="E414" s="1785"/>
      <c r="F414" s="71" t="s">
        <v>509</v>
      </c>
      <c r="G414" s="71"/>
      <c r="H414" s="71"/>
      <c r="I414" s="71" t="s">
        <v>3610</v>
      </c>
      <c r="J414" s="72"/>
      <c r="K414" s="71"/>
      <c r="L414" s="72"/>
      <c r="M414" s="73"/>
      <c r="N414" s="74"/>
      <c r="X414" s="43" t="s">
        <v>1369</v>
      </c>
    </row>
    <row r="415" spans="1:30" s="40" customFormat="1" x14ac:dyDescent="0.2">
      <c r="A415" s="75"/>
      <c r="B415" s="76"/>
      <c r="C415" s="1768" t="s">
        <v>3611</v>
      </c>
      <c r="D415" s="1768"/>
      <c r="E415" s="1768"/>
      <c r="F415" s="1768"/>
      <c r="G415" s="1768"/>
      <c r="H415" s="1768"/>
      <c r="I415" s="1768"/>
      <c r="J415" s="1768"/>
      <c r="K415" s="1768"/>
      <c r="L415" s="1768"/>
      <c r="M415" s="1768"/>
      <c r="N415" s="1779"/>
      <c r="Y415" s="43" t="s">
        <v>3611</v>
      </c>
    </row>
    <row r="416" spans="1:30" s="40" customFormat="1" ht="33.75" x14ac:dyDescent="0.2">
      <c r="A416" s="77"/>
      <c r="B416" s="78" t="s">
        <v>310</v>
      </c>
      <c r="C416" s="1768" t="s">
        <v>311</v>
      </c>
      <c r="D416" s="1768"/>
      <c r="E416" s="1768"/>
      <c r="F416" s="1768"/>
      <c r="G416" s="1768"/>
      <c r="H416" s="1768"/>
      <c r="I416" s="1768"/>
      <c r="J416" s="1768"/>
      <c r="K416" s="1768"/>
      <c r="L416" s="1768"/>
      <c r="M416" s="1768"/>
      <c r="N416" s="1779"/>
      <c r="Z416" s="43" t="s">
        <v>311</v>
      </c>
    </row>
    <row r="417" spans="1:31" s="40" customFormat="1" x14ac:dyDescent="0.2">
      <c r="A417" s="79"/>
      <c r="B417" s="78" t="s">
        <v>185</v>
      </c>
      <c r="C417" s="1768" t="s">
        <v>312</v>
      </c>
      <c r="D417" s="1768"/>
      <c r="E417" s="1768"/>
      <c r="F417" s="80"/>
      <c r="G417" s="80"/>
      <c r="H417" s="80"/>
      <c r="I417" s="80"/>
      <c r="J417" s="81">
        <v>1053</v>
      </c>
      <c r="K417" s="80" t="s">
        <v>313</v>
      </c>
      <c r="L417" s="81">
        <v>9.48</v>
      </c>
      <c r="M417" s="82"/>
      <c r="N417" s="83"/>
      <c r="AA417" s="43" t="s">
        <v>312</v>
      </c>
    </row>
    <row r="418" spans="1:31" s="40" customFormat="1" x14ac:dyDescent="0.2">
      <c r="A418" s="79"/>
      <c r="B418" s="78" t="s">
        <v>186</v>
      </c>
      <c r="C418" s="1768" t="s">
        <v>344</v>
      </c>
      <c r="D418" s="1768"/>
      <c r="E418" s="1768"/>
      <c r="F418" s="80"/>
      <c r="G418" s="80"/>
      <c r="H418" s="80"/>
      <c r="I418" s="80"/>
      <c r="J418" s="81">
        <v>1566.06</v>
      </c>
      <c r="K418" s="80" t="s">
        <v>313</v>
      </c>
      <c r="L418" s="81">
        <v>14.09</v>
      </c>
      <c r="M418" s="82"/>
      <c r="N418" s="83"/>
      <c r="AA418" s="43" t="s">
        <v>344</v>
      </c>
    </row>
    <row r="419" spans="1:31" s="40" customFormat="1" x14ac:dyDescent="0.2">
      <c r="A419" s="79"/>
      <c r="B419" s="78" t="s">
        <v>187</v>
      </c>
      <c r="C419" s="1768" t="s">
        <v>345</v>
      </c>
      <c r="D419" s="1768"/>
      <c r="E419" s="1768"/>
      <c r="F419" s="80"/>
      <c r="G419" s="80"/>
      <c r="H419" s="80"/>
      <c r="I419" s="80"/>
      <c r="J419" s="81">
        <v>244.39</v>
      </c>
      <c r="K419" s="80" t="s">
        <v>313</v>
      </c>
      <c r="L419" s="81">
        <v>2.2000000000000002</v>
      </c>
      <c r="M419" s="82"/>
      <c r="N419" s="83"/>
      <c r="AA419" s="43" t="s">
        <v>345</v>
      </c>
    </row>
    <row r="420" spans="1:31" s="40" customFormat="1" x14ac:dyDescent="0.2">
      <c r="A420" s="79"/>
      <c r="B420" s="78" t="s">
        <v>188</v>
      </c>
      <c r="C420" s="1768" t="s">
        <v>475</v>
      </c>
      <c r="D420" s="1768"/>
      <c r="E420" s="1768"/>
      <c r="F420" s="80"/>
      <c r="G420" s="80"/>
      <c r="H420" s="80"/>
      <c r="I420" s="80"/>
      <c r="J420" s="81">
        <v>909.27</v>
      </c>
      <c r="K420" s="80"/>
      <c r="L420" s="81">
        <v>6.55</v>
      </c>
      <c r="M420" s="82"/>
      <c r="N420" s="83"/>
      <c r="AA420" s="43" t="s">
        <v>475</v>
      </c>
    </row>
    <row r="421" spans="1:31" s="40" customFormat="1" x14ac:dyDescent="0.2">
      <c r="A421" s="75"/>
      <c r="B421" s="114" t="s">
        <v>639</v>
      </c>
      <c r="C421" s="1804" t="s">
        <v>640</v>
      </c>
      <c r="D421" s="1804"/>
      <c r="E421" s="1804"/>
      <c r="F421" s="115" t="s">
        <v>641</v>
      </c>
      <c r="G421" s="115" t="s">
        <v>680</v>
      </c>
      <c r="H421" s="115"/>
      <c r="I421" s="115" t="s">
        <v>3612</v>
      </c>
      <c r="J421" s="78"/>
      <c r="K421" s="80"/>
      <c r="L421" s="81"/>
      <c r="M421" s="80"/>
      <c r="N421" s="116"/>
      <c r="AE421" s="43" t="s">
        <v>640</v>
      </c>
    </row>
    <row r="422" spans="1:31" s="40" customFormat="1" x14ac:dyDescent="0.2">
      <c r="A422" s="79"/>
      <c r="B422" s="78"/>
      <c r="C422" s="1768" t="s">
        <v>314</v>
      </c>
      <c r="D422" s="1768"/>
      <c r="E422" s="1768"/>
      <c r="F422" s="80" t="s">
        <v>315</v>
      </c>
      <c r="G422" s="80" t="s">
        <v>1373</v>
      </c>
      <c r="H422" s="80" t="s">
        <v>313</v>
      </c>
      <c r="I422" s="80" t="s">
        <v>3613</v>
      </c>
      <c r="J422" s="81"/>
      <c r="K422" s="80"/>
      <c r="L422" s="81"/>
      <c r="M422" s="82"/>
      <c r="N422" s="83"/>
      <c r="AB422" s="43" t="s">
        <v>314</v>
      </c>
    </row>
    <row r="423" spans="1:31" s="40" customFormat="1" x14ac:dyDescent="0.2">
      <c r="A423" s="79"/>
      <c r="B423" s="78"/>
      <c r="C423" s="1768" t="s">
        <v>348</v>
      </c>
      <c r="D423" s="1768"/>
      <c r="E423" s="1768"/>
      <c r="F423" s="80" t="s">
        <v>315</v>
      </c>
      <c r="G423" s="80" t="s">
        <v>1375</v>
      </c>
      <c r="H423" s="80" t="s">
        <v>313</v>
      </c>
      <c r="I423" s="80" t="s">
        <v>3614</v>
      </c>
      <c r="J423" s="81"/>
      <c r="K423" s="80"/>
      <c r="L423" s="81"/>
      <c r="M423" s="82"/>
      <c r="N423" s="83"/>
      <c r="AB423" s="43" t="s">
        <v>348</v>
      </c>
    </row>
    <row r="424" spans="1:31" s="40" customFormat="1" x14ac:dyDescent="0.2">
      <c r="A424" s="79"/>
      <c r="B424" s="78"/>
      <c r="C424" s="1780" t="s">
        <v>318</v>
      </c>
      <c r="D424" s="1780"/>
      <c r="E424" s="1780"/>
      <c r="F424" s="84"/>
      <c r="G424" s="84"/>
      <c r="H424" s="84"/>
      <c r="I424" s="84"/>
      <c r="J424" s="85">
        <v>3528.33</v>
      </c>
      <c r="K424" s="84"/>
      <c r="L424" s="85">
        <v>30.12</v>
      </c>
      <c r="M424" s="86"/>
      <c r="N424" s="87"/>
      <c r="AC424" s="43" t="s">
        <v>318</v>
      </c>
    </row>
    <row r="425" spans="1:31" s="40" customFormat="1" x14ac:dyDescent="0.2">
      <c r="A425" s="79"/>
      <c r="B425" s="78"/>
      <c r="C425" s="1768" t="s">
        <v>319</v>
      </c>
      <c r="D425" s="1768"/>
      <c r="E425" s="1768"/>
      <c r="F425" s="80"/>
      <c r="G425" s="80"/>
      <c r="H425" s="80"/>
      <c r="I425" s="80"/>
      <c r="J425" s="81"/>
      <c r="K425" s="80"/>
      <c r="L425" s="81">
        <v>11.68</v>
      </c>
      <c r="M425" s="82"/>
      <c r="N425" s="83"/>
      <c r="AB425" s="43" t="s">
        <v>319</v>
      </c>
    </row>
    <row r="426" spans="1:31" s="40" customFormat="1" ht="33.75" x14ac:dyDescent="0.2">
      <c r="A426" s="79"/>
      <c r="B426" s="78" t="s">
        <v>686</v>
      </c>
      <c r="C426" s="1768" t="s">
        <v>687</v>
      </c>
      <c r="D426" s="1768"/>
      <c r="E426" s="1768"/>
      <c r="F426" s="80" t="s">
        <v>322</v>
      </c>
      <c r="G426" s="80" t="s">
        <v>680</v>
      </c>
      <c r="H426" s="80"/>
      <c r="I426" s="80" t="s">
        <v>680</v>
      </c>
      <c r="J426" s="81"/>
      <c r="K426" s="80"/>
      <c r="L426" s="81">
        <v>11.91</v>
      </c>
      <c r="M426" s="82"/>
      <c r="N426" s="83"/>
      <c r="AB426" s="43" t="s">
        <v>687</v>
      </c>
    </row>
    <row r="427" spans="1:31" s="40" customFormat="1" ht="33.75" x14ac:dyDescent="0.2">
      <c r="A427" s="79"/>
      <c r="B427" s="78" t="s">
        <v>688</v>
      </c>
      <c r="C427" s="1768" t="s">
        <v>689</v>
      </c>
      <c r="D427" s="1768"/>
      <c r="E427" s="1768"/>
      <c r="F427" s="80" t="s">
        <v>322</v>
      </c>
      <c r="G427" s="80" t="s">
        <v>690</v>
      </c>
      <c r="H427" s="80"/>
      <c r="I427" s="80" t="s">
        <v>690</v>
      </c>
      <c r="J427" s="81"/>
      <c r="K427" s="80"/>
      <c r="L427" s="81">
        <v>6.77</v>
      </c>
      <c r="M427" s="82"/>
      <c r="N427" s="83"/>
      <c r="AB427" s="43" t="s">
        <v>689</v>
      </c>
    </row>
    <row r="428" spans="1:31" s="40" customFormat="1" x14ac:dyDescent="0.2">
      <c r="A428" s="88"/>
      <c r="B428" s="89"/>
      <c r="C428" s="1785" t="s">
        <v>327</v>
      </c>
      <c r="D428" s="1785"/>
      <c r="E428" s="1785"/>
      <c r="F428" s="71"/>
      <c r="G428" s="71"/>
      <c r="H428" s="71"/>
      <c r="I428" s="71"/>
      <c r="J428" s="72"/>
      <c r="K428" s="71"/>
      <c r="L428" s="72">
        <v>48.8</v>
      </c>
      <c r="M428" s="86"/>
      <c r="N428" s="74"/>
      <c r="AD428" s="43" t="s">
        <v>327</v>
      </c>
    </row>
    <row r="429" spans="1:31" s="40" customFormat="1" ht="22.5" x14ac:dyDescent="0.2">
      <c r="A429" s="69" t="s">
        <v>772</v>
      </c>
      <c r="B429" s="70" t="s">
        <v>1377</v>
      </c>
      <c r="C429" s="1785" t="s">
        <v>1378</v>
      </c>
      <c r="D429" s="1785"/>
      <c r="E429" s="1785"/>
      <c r="F429" s="71" t="s">
        <v>641</v>
      </c>
      <c r="G429" s="71"/>
      <c r="H429" s="71"/>
      <c r="I429" s="71" t="s">
        <v>3612</v>
      </c>
      <c r="J429" s="72">
        <v>560</v>
      </c>
      <c r="K429" s="71"/>
      <c r="L429" s="72">
        <v>411.26</v>
      </c>
      <c r="M429" s="73"/>
      <c r="N429" s="74"/>
      <c r="X429" s="43" t="s">
        <v>1378</v>
      </c>
    </row>
    <row r="430" spans="1:31" s="40" customFormat="1" x14ac:dyDescent="0.2">
      <c r="A430" s="88"/>
      <c r="B430" s="89"/>
      <c r="C430" s="48" t="s">
        <v>717</v>
      </c>
      <c r="D430" s="117"/>
      <c r="E430" s="117"/>
      <c r="F430" s="90"/>
      <c r="G430" s="90"/>
      <c r="H430" s="90"/>
      <c r="I430" s="90"/>
      <c r="J430" s="118"/>
      <c r="K430" s="90"/>
      <c r="L430" s="118"/>
      <c r="M430" s="119"/>
      <c r="N430" s="120"/>
    </row>
    <row r="431" spans="1:31" s="40" customFormat="1" ht="22.5" x14ac:dyDescent="0.2">
      <c r="A431" s="69" t="s">
        <v>677</v>
      </c>
      <c r="B431" s="70" t="s">
        <v>1380</v>
      </c>
      <c r="C431" s="1785" t="s">
        <v>1381</v>
      </c>
      <c r="D431" s="1785"/>
      <c r="E431" s="1785"/>
      <c r="F431" s="71" t="s">
        <v>509</v>
      </c>
      <c r="G431" s="71"/>
      <c r="H431" s="71"/>
      <c r="I431" s="71" t="s">
        <v>3615</v>
      </c>
      <c r="J431" s="72"/>
      <c r="K431" s="71"/>
      <c r="L431" s="72"/>
      <c r="M431" s="73"/>
      <c r="N431" s="74"/>
      <c r="X431" s="43" t="s">
        <v>1381</v>
      </c>
    </row>
    <row r="432" spans="1:31" s="40" customFormat="1" x14ac:dyDescent="0.2">
      <c r="A432" s="75"/>
      <c r="B432" s="76"/>
      <c r="C432" s="1768" t="s">
        <v>3616</v>
      </c>
      <c r="D432" s="1768"/>
      <c r="E432" s="1768"/>
      <c r="F432" s="1768"/>
      <c r="G432" s="1768"/>
      <c r="H432" s="1768"/>
      <c r="I432" s="1768"/>
      <c r="J432" s="1768"/>
      <c r="K432" s="1768"/>
      <c r="L432" s="1768"/>
      <c r="M432" s="1768"/>
      <c r="N432" s="1779"/>
      <c r="Y432" s="43" t="s">
        <v>3616</v>
      </c>
    </row>
    <row r="433" spans="1:31" s="40" customFormat="1" ht="33.75" x14ac:dyDescent="0.2">
      <c r="A433" s="77"/>
      <c r="B433" s="78" t="s">
        <v>310</v>
      </c>
      <c r="C433" s="1768" t="s">
        <v>311</v>
      </c>
      <c r="D433" s="1768"/>
      <c r="E433" s="1768"/>
      <c r="F433" s="1768"/>
      <c r="G433" s="1768"/>
      <c r="H433" s="1768"/>
      <c r="I433" s="1768"/>
      <c r="J433" s="1768"/>
      <c r="K433" s="1768"/>
      <c r="L433" s="1768"/>
      <c r="M433" s="1768"/>
      <c r="N433" s="1779"/>
      <c r="Z433" s="43" t="s">
        <v>311</v>
      </c>
    </row>
    <row r="434" spans="1:31" s="40" customFormat="1" x14ac:dyDescent="0.2">
      <c r="A434" s="79"/>
      <c r="B434" s="78" t="s">
        <v>185</v>
      </c>
      <c r="C434" s="1768" t="s">
        <v>312</v>
      </c>
      <c r="D434" s="1768"/>
      <c r="E434" s="1768"/>
      <c r="F434" s="80"/>
      <c r="G434" s="80"/>
      <c r="H434" s="80"/>
      <c r="I434" s="80"/>
      <c r="J434" s="81">
        <v>1526.87</v>
      </c>
      <c r="K434" s="80" t="s">
        <v>313</v>
      </c>
      <c r="L434" s="81">
        <v>53.25</v>
      </c>
      <c r="M434" s="82"/>
      <c r="N434" s="83"/>
      <c r="AA434" s="43" t="s">
        <v>312</v>
      </c>
    </row>
    <row r="435" spans="1:31" s="40" customFormat="1" x14ac:dyDescent="0.2">
      <c r="A435" s="79"/>
      <c r="B435" s="78" t="s">
        <v>186</v>
      </c>
      <c r="C435" s="1768" t="s">
        <v>344</v>
      </c>
      <c r="D435" s="1768"/>
      <c r="E435" s="1768"/>
      <c r="F435" s="80"/>
      <c r="G435" s="80"/>
      <c r="H435" s="80"/>
      <c r="I435" s="80"/>
      <c r="J435" s="81">
        <v>2518.58</v>
      </c>
      <c r="K435" s="80" t="s">
        <v>313</v>
      </c>
      <c r="L435" s="81">
        <v>87.84</v>
      </c>
      <c r="M435" s="82"/>
      <c r="N435" s="83"/>
      <c r="AA435" s="43" t="s">
        <v>344</v>
      </c>
    </row>
    <row r="436" spans="1:31" s="40" customFormat="1" x14ac:dyDescent="0.2">
      <c r="A436" s="79"/>
      <c r="B436" s="78" t="s">
        <v>187</v>
      </c>
      <c r="C436" s="1768" t="s">
        <v>345</v>
      </c>
      <c r="D436" s="1768"/>
      <c r="E436" s="1768"/>
      <c r="F436" s="80"/>
      <c r="G436" s="80"/>
      <c r="H436" s="80"/>
      <c r="I436" s="80"/>
      <c r="J436" s="81">
        <v>382.14</v>
      </c>
      <c r="K436" s="80" t="s">
        <v>313</v>
      </c>
      <c r="L436" s="81">
        <v>13.33</v>
      </c>
      <c r="M436" s="82"/>
      <c r="N436" s="83"/>
      <c r="AA436" s="43" t="s">
        <v>345</v>
      </c>
    </row>
    <row r="437" spans="1:31" s="40" customFormat="1" x14ac:dyDescent="0.2">
      <c r="A437" s="79"/>
      <c r="B437" s="78" t="s">
        <v>188</v>
      </c>
      <c r="C437" s="1768" t="s">
        <v>475</v>
      </c>
      <c r="D437" s="1768"/>
      <c r="E437" s="1768"/>
      <c r="F437" s="80"/>
      <c r="G437" s="80"/>
      <c r="H437" s="80"/>
      <c r="I437" s="80"/>
      <c r="J437" s="81">
        <v>488.42</v>
      </c>
      <c r="K437" s="80"/>
      <c r="L437" s="81">
        <v>13.63</v>
      </c>
      <c r="M437" s="82"/>
      <c r="N437" s="83"/>
      <c r="AA437" s="43" t="s">
        <v>475</v>
      </c>
    </row>
    <row r="438" spans="1:31" s="40" customFormat="1" x14ac:dyDescent="0.2">
      <c r="A438" s="75"/>
      <c r="B438" s="114" t="s">
        <v>639</v>
      </c>
      <c r="C438" s="1804" t="s">
        <v>640</v>
      </c>
      <c r="D438" s="1804"/>
      <c r="E438" s="1804"/>
      <c r="F438" s="115" t="s">
        <v>641</v>
      </c>
      <c r="G438" s="115" t="s">
        <v>1384</v>
      </c>
      <c r="H438" s="115"/>
      <c r="I438" s="115" t="s">
        <v>3617</v>
      </c>
      <c r="J438" s="78"/>
      <c r="K438" s="80"/>
      <c r="L438" s="81"/>
      <c r="M438" s="80"/>
      <c r="N438" s="116"/>
      <c r="AE438" s="43" t="s">
        <v>640</v>
      </c>
    </row>
    <row r="439" spans="1:31" s="40" customFormat="1" x14ac:dyDescent="0.2">
      <c r="A439" s="75"/>
      <c r="B439" s="114" t="s">
        <v>1272</v>
      </c>
      <c r="C439" s="1804" t="s">
        <v>1273</v>
      </c>
      <c r="D439" s="1804"/>
      <c r="E439" s="1804"/>
      <c r="F439" s="115" t="s">
        <v>694</v>
      </c>
      <c r="G439" s="115" t="s">
        <v>1386</v>
      </c>
      <c r="H439" s="115"/>
      <c r="I439" s="115" t="s">
        <v>3618</v>
      </c>
      <c r="J439" s="78"/>
      <c r="K439" s="80"/>
      <c r="L439" s="81"/>
      <c r="M439" s="80"/>
      <c r="N439" s="116"/>
      <c r="AE439" s="43" t="s">
        <v>1273</v>
      </c>
    </row>
    <row r="440" spans="1:31" s="40" customFormat="1" x14ac:dyDescent="0.2">
      <c r="A440" s="79"/>
      <c r="B440" s="78"/>
      <c r="C440" s="1768" t="s">
        <v>314</v>
      </c>
      <c r="D440" s="1768"/>
      <c r="E440" s="1768"/>
      <c r="F440" s="80" t="s">
        <v>315</v>
      </c>
      <c r="G440" s="80" t="s">
        <v>1388</v>
      </c>
      <c r="H440" s="80" t="s">
        <v>313</v>
      </c>
      <c r="I440" s="80" t="s">
        <v>3619</v>
      </c>
      <c r="J440" s="81"/>
      <c r="K440" s="80"/>
      <c r="L440" s="81"/>
      <c r="M440" s="82"/>
      <c r="N440" s="83"/>
      <c r="AB440" s="43" t="s">
        <v>314</v>
      </c>
    </row>
    <row r="441" spans="1:31" s="40" customFormat="1" x14ac:dyDescent="0.2">
      <c r="A441" s="79"/>
      <c r="B441" s="78"/>
      <c r="C441" s="1768" t="s">
        <v>348</v>
      </c>
      <c r="D441" s="1768"/>
      <c r="E441" s="1768"/>
      <c r="F441" s="80" t="s">
        <v>315</v>
      </c>
      <c r="G441" s="80" t="s">
        <v>1390</v>
      </c>
      <c r="H441" s="80" t="s">
        <v>313</v>
      </c>
      <c r="I441" s="80" t="s">
        <v>3620</v>
      </c>
      <c r="J441" s="81"/>
      <c r="K441" s="80"/>
      <c r="L441" s="81"/>
      <c r="M441" s="82"/>
      <c r="N441" s="83"/>
      <c r="AB441" s="43" t="s">
        <v>348</v>
      </c>
    </row>
    <row r="442" spans="1:31" s="40" customFormat="1" x14ac:dyDescent="0.2">
      <c r="A442" s="79"/>
      <c r="B442" s="78"/>
      <c r="C442" s="1780" t="s">
        <v>318</v>
      </c>
      <c r="D442" s="1780"/>
      <c r="E442" s="1780"/>
      <c r="F442" s="84"/>
      <c r="G442" s="84"/>
      <c r="H442" s="84"/>
      <c r="I442" s="84"/>
      <c r="J442" s="85">
        <v>4533.87</v>
      </c>
      <c r="K442" s="84"/>
      <c r="L442" s="85">
        <v>154.72</v>
      </c>
      <c r="M442" s="86"/>
      <c r="N442" s="87"/>
      <c r="AC442" s="43" t="s">
        <v>318</v>
      </c>
    </row>
    <row r="443" spans="1:31" s="40" customFormat="1" x14ac:dyDescent="0.2">
      <c r="A443" s="79"/>
      <c r="B443" s="78"/>
      <c r="C443" s="1768" t="s">
        <v>319</v>
      </c>
      <c r="D443" s="1768"/>
      <c r="E443" s="1768"/>
      <c r="F443" s="80"/>
      <c r="G443" s="80"/>
      <c r="H443" s="80"/>
      <c r="I443" s="80"/>
      <c r="J443" s="81"/>
      <c r="K443" s="80"/>
      <c r="L443" s="81">
        <v>66.58</v>
      </c>
      <c r="M443" s="82"/>
      <c r="N443" s="83"/>
      <c r="AB443" s="43" t="s">
        <v>319</v>
      </c>
    </row>
    <row r="444" spans="1:31" s="40" customFormat="1" ht="33.75" x14ac:dyDescent="0.2">
      <c r="A444" s="79"/>
      <c r="B444" s="78" t="s">
        <v>686</v>
      </c>
      <c r="C444" s="1768" t="s">
        <v>687</v>
      </c>
      <c r="D444" s="1768"/>
      <c r="E444" s="1768"/>
      <c r="F444" s="80" t="s">
        <v>322</v>
      </c>
      <c r="G444" s="80" t="s">
        <v>680</v>
      </c>
      <c r="H444" s="80"/>
      <c r="I444" s="80" t="s">
        <v>680</v>
      </c>
      <c r="J444" s="81"/>
      <c r="K444" s="80"/>
      <c r="L444" s="81">
        <v>67.91</v>
      </c>
      <c r="M444" s="82"/>
      <c r="N444" s="83"/>
      <c r="AB444" s="43" t="s">
        <v>687</v>
      </c>
    </row>
    <row r="445" spans="1:31" s="40" customFormat="1" ht="33.75" x14ac:dyDescent="0.2">
      <c r="A445" s="79"/>
      <c r="B445" s="78" t="s">
        <v>688</v>
      </c>
      <c r="C445" s="1768" t="s">
        <v>689</v>
      </c>
      <c r="D445" s="1768"/>
      <c r="E445" s="1768"/>
      <c r="F445" s="80" t="s">
        <v>322</v>
      </c>
      <c r="G445" s="80" t="s">
        <v>690</v>
      </c>
      <c r="H445" s="80"/>
      <c r="I445" s="80" t="s">
        <v>690</v>
      </c>
      <c r="J445" s="81"/>
      <c r="K445" s="80"/>
      <c r="L445" s="81">
        <v>38.619999999999997</v>
      </c>
      <c r="M445" s="82"/>
      <c r="N445" s="83"/>
      <c r="AB445" s="43" t="s">
        <v>689</v>
      </c>
    </row>
    <row r="446" spans="1:31" s="40" customFormat="1" x14ac:dyDescent="0.2">
      <c r="A446" s="88"/>
      <c r="B446" s="89"/>
      <c r="C446" s="1785" t="s">
        <v>327</v>
      </c>
      <c r="D446" s="1785"/>
      <c r="E446" s="1785"/>
      <c r="F446" s="71"/>
      <c r="G446" s="71"/>
      <c r="H446" s="71"/>
      <c r="I446" s="71"/>
      <c r="J446" s="72"/>
      <c r="K446" s="71"/>
      <c r="L446" s="72">
        <v>261.25</v>
      </c>
      <c r="M446" s="86"/>
      <c r="N446" s="74"/>
      <c r="AD446" s="43" t="s">
        <v>327</v>
      </c>
    </row>
    <row r="447" spans="1:31" s="40" customFormat="1" ht="22.5" x14ac:dyDescent="0.2">
      <c r="A447" s="69" t="s">
        <v>326</v>
      </c>
      <c r="B447" s="70" t="s">
        <v>654</v>
      </c>
      <c r="C447" s="1785" t="s">
        <v>655</v>
      </c>
      <c r="D447" s="1785"/>
      <c r="E447" s="1785"/>
      <c r="F447" s="71" t="s">
        <v>641</v>
      </c>
      <c r="G447" s="71"/>
      <c r="H447" s="71"/>
      <c r="I447" s="71" t="s">
        <v>3621</v>
      </c>
      <c r="J447" s="72">
        <v>592.76</v>
      </c>
      <c r="K447" s="71"/>
      <c r="L447" s="72">
        <v>1678.58</v>
      </c>
      <c r="M447" s="73"/>
      <c r="N447" s="74"/>
      <c r="X447" s="43" t="s">
        <v>655</v>
      </c>
    </row>
    <row r="448" spans="1:31" s="40" customFormat="1" x14ac:dyDescent="0.2">
      <c r="A448" s="88"/>
      <c r="B448" s="89"/>
      <c r="C448" s="48" t="s">
        <v>717</v>
      </c>
      <c r="D448" s="117"/>
      <c r="E448" s="117"/>
      <c r="F448" s="90"/>
      <c r="G448" s="90"/>
      <c r="H448" s="90"/>
      <c r="I448" s="90"/>
      <c r="J448" s="118"/>
      <c r="K448" s="90"/>
      <c r="L448" s="118"/>
      <c r="M448" s="119"/>
      <c r="N448" s="120"/>
    </row>
    <row r="449" spans="1:32" s="40" customFormat="1" ht="33.75" x14ac:dyDescent="0.2">
      <c r="A449" s="69" t="s">
        <v>774</v>
      </c>
      <c r="B449" s="70" t="s">
        <v>657</v>
      </c>
      <c r="C449" s="1785" t="s">
        <v>3622</v>
      </c>
      <c r="D449" s="1785"/>
      <c r="E449" s="1785"/>
      <c r="F449" s="71" t="s">
        <v>641</v>
      </c>
      <c r="G449" s="71"/>
      <c r="H449" s="71"/>
      <c r="I449" s="71" t="s">
        <v>3623</v>
      </c>
      <c r="J449" s="72">
        <v>18.04</v>
      </c>
      <c r="K449" s="71"/>
      <c r="L449" s="72">
        <v>50.24</v>
      </c>
      <c r="M449" s="73"/>
      <c r="N449" s="74"/>
      <c r="X449" s="43" t="s">
        <v>3622</v>
      </c>
    </row>
    <row r="450" spans="1:32" s="40" customFormat="1" x14ac:dyDescent="0.2">
      <c r="A450" s="88"/>
      <c r="B450" s="89"/>
      <c r="C450" s="48" t="s">
        <v>717</v>
      </c>
      <c r="D450" s="117"/>
      <c r="E450" s="117"/>
      <c r="F450" s="90"/>
      <c r="G450" s="90"/>
      <c r="H450" s="90"/>
      <c r="I450" s="90"/>
      <c r="J450" s="118"/>
      <c r="K450" s="90"/>
      <c r="L450" s="118"/>
      <c r="M450" s="119"/>
      <c r="N450" s="120"/>
    </row>
    <row r="451" spans="1:32" s="40" customFormat="1" x14ac:dyDescent="0.2">
      <c r="A451" s="75"/>
      <c r="B451" s="76"/>
      <c r="C451" s="1768" t="s">
        <v>659</v>
      </c>
      <c r="D451" s="1768"/>
      <c r="E451" s="1768"/>
      <c r="F451" s="1768"/>
      <c r="G451" s="1768"/>
      <c r="H451" s="1768"/>
      <c r="I451" s="1768"/>
      <c r="J451" s="1768"/>
      <c r="K451" s="1768"/>
      <c r="L451" s="1768"/>
      <c r="M451" s="1768"/>
      <c r="N451" s="1779"/>
      <c r="AF451" s="43" t="s">
        <v>659</v>
      </c>
    </row>
    <row r="452" spans="1:32" s="40" customFormat="1" ht="22.5" x14ac:dyDescent="0.2">
      <c r="A452" s="69" t="s">
        <v>775</v>
      </c>
      <c r="B452" s="70" t="s">
        <v>3624</v>
      </c>
      <c r="C452" s="1785" t="s">
        <v>3625</v>
      </c>
      <c r="D452" s="1785"/>
      <c r="E452" s="1785"/>
      <c r="F452" s="71" t="s">
        <v>694</v>
      </c>
      <c r="G452" s="71"/>
      <c r="H452" s="71"/>
      <c r="I452" s="71" t="s">
        <v>3626</v>
      </c>
      <c r="J452" s="72">
        <v>5802.77</v>
      </c>
      <c r="K452" s="71"/>
      <c r="L452" s="72">
        <v>296.52</v>
      </c>
      <c r="M452" s="73"/>
      <c r="N452" s="74"/>
      <c r="X452" s="43" t="s">
        <v>3625</v>
      </c>
    </row>
    <row r="453" spans="1:32" s="40" customFormat="1" x14ac:dyDescent="0.2">
      <c r="A453" s="88"/>
      <c r="B453" s="89"/>
      <c r="C453" s="48" t="s">
        <v>717</v>
      </c>
      <c r="D453" s="117"/>
      <c r="E453" s="117"/>
      <c r="F453" s="90"/>
      <c r="G453" s="90"/>
      <c r="H453" s="90"/>
      <c r="I453" s="90"/>
      <c r="J453" s="118"/>
      <c r="K453" s="90"/>
      <c r="L453" s="118"/>
      <c r="M453" s="119"/>
      <c r="N453" s="120"/>
    </row>
    <row r="454" spans="1:32" s="40" customFormat="1" x14ac:dyDescent="0.2">
      <c r="A454" s="75"/>
      <c r="B454" s="76"/>
      <c r="C454" s="1768" t="s">
        <v>3627</v>
      </c>
      <c r="D454" s="1768"/>
      <c r="E454" s="1768"/>
      <c r="F454" s="1768"/>
      <c r="G454" s="1768"/>
      <c r="H454" s="1768"/>
      <c r="I454" s="1768"/>
      <c r="J454" s="1768"/>
      <c r="K454" s="1768"/>
      <c r="L454" s="1768"/>
      <c r="M454" s="1768"/>
      <c r="N454" s="1779"/>
      <c r="Y454" s="43" t="s">
        <v>3627</v>
      </c>
    </row>
    <row r="455" spans="1:32" s="40" customFormat="1" ht="22.5" x14ac:dyDescent="0.2">
      <c r="A455" s="69" t="s">
        <v>776</v>
      </c>
      <c r="B455" s="70" t="s">
        <v>3309</v>
      </c>
      <c r="C455" s="1785" t="s">
        <v>3310</v>
      </c>
      <c r="D455" s="1785"/>
      <c r="E455" s="1785"/>
      <c r="F455" s="71" t="s">
        <v>694</v>
      </c>
      <c r="G455" s="71"/>
      <c r="H455" s="71"/>
      <c r="I455" s="71" t="s">
        <v>3628</v>
      </c>
      <c r="J455" s="72"/>
      <c r="K455" s="71"/>
      <c r="L455" s="72"/>
      <c r="M455" s="73"/>
      <c r="N455" s="74"/>
      <c r="X455" s="43" t="s">
        <v>3310</v>
      </c>
    </row>
    <row r="456" spans="1:32" s="40" customFormat="1" x14ac:dyDescent="0.2">
      <c r="A456" s="75"/>
      <c r="B456" s="76"/>
      <c r="C456" s="1768" t="s">
        <v>3629</v>
      </c>
      <c r="D456" s="1768"/>
      <c r="E456" s="1768"/>
      <c r="F456" s="1768"/>
      <c r="G456" s="1768"/>
      <c r="H456" s="1768"/>
      <c r="I456" s="1768"/>
      <c r="J456" s="1768"/>
      <c r="K456" s="1768"/>
      <c r="L456" s="1768"/>
      <c r="M456" s="1768"/>
      <c r="N456" s="1779"/>
      <c r="Y456" s="43" t="s">
        <v>3629</v>
      </c>
    </row>
    <row r="457" spans="1:32" s="40" customFormat="1" ht="33.75" x14ac:dyDescent="0.2">
      <c r="A457" s="77"/>
      <c r="B457" s="78" t="s">
        <v>310</v>
      </c>
      <c r="C457" s="1768" t="s">
        <v>311</v>
      </c>
      <c r="D457" s="1768"/>
      <c r="E457" s="1768"/>
      <c r="F457" s="1768"/>
      <c r="G457" s="1768"/>
      <c r="H457" s="1768"/>
      <c r="I457" s="1768"/>
      <c r="J457" s="1768"/>
      <c r="K457" s="1768"/>
      <c r="L457" s="1768"/>
      <c r="M457" s="1768"/>
      <c r="N457" s="1779"/>
      <c r="Z457" s="43" t="s">
        <v>311</v>
      </c>
    </row>
    <row r="458" spans="1:32" s="40" customFormat="1" x14ac:dyDescent="0.2">
      <c r="A458" s="79"/>
      <c r="B458" s="78" t="s">
        <v>185</v>
      </c>
      <c r="C458" s="1768" t="s">
        <v>312</v>
      </c>
      <c r="D458" s="1768"/>
      <c r="E458" s="1768"/>
      <c r="F458" s="80"/>
      <c r="G458" s="80"/>
      <c r="H458" s="80"/>
      <c r="I458" s="80"/>
      <c r="J458" s="81">
        <v>408.85</v>
      </c>
      <c r="K458" s="80" t="s">
        <v>313</v>
      </c>
      <c r="L458" s="81">
        <v>5.4</v>
      </c>
      <c r="M458" s="82"/>
      <c r="N458" s="83"/>
      <c r="AA458" s="43" t="s">
        <v>312</v>
      </c>
    </row>
    <row r="459" spans="1:32" s="40" customFormat="1" x14ac:dyDescent="0.2">
      <c r="A459" s="79"/>
      <c r="B459" s="78" t="s">
        <v>186</v>
      </c>
      <c r="C459" s="1768" t="s">
        <v>344</v>
      </c>
      <c r="D459" s="1768"/>
      <c r="E459" s="1768"/>
      <c r="F459" s="80"/>
      <c r="G459" s="80"/>
      <c r="H459" s="80"/>
      <c r="I459" s="80"/>
      <c r="J459" s="81">
        <v>425.84</v>
      </c>
      <c r="K459" s="80" t="s">
        <v>313</v>
      </c>
      <c r="L459" s="81">
        <v>5.62</v>
      </c>
      <c r="M459" s="82"/>
      <c r="N459" s="83"/>
      <c r="AA459" s="43" t="s">
        <v>344</v>
      </c>
    </row>
    <row r="460" spans="1:32" s="40" customFormat="1" x14ac:dyDescent="0.2">
      <c r="A460" s="79"/>
      <c r="B460" s="78" t="s">
        <v>187</v>
      </c>
      <c r="C460" s="1768" t="s">
        <v>345</v>
      </c>
      <c r="D460" s="1768"/>
      <c r="E460" s="1768"/>
      <c r="F460" s="80"/>
      <c r="G460" s="80"/>
      <c r="H460" s="80"/>
      <c r="I460" s="80"/>
      <c r="J460" s="81">
        <v>51.59</v>
      </c>
      <c r="K460" s="80" t="s">
        <v>313</v>
      </c>
      <c r="L460" s="81">
        <v>0.68</v>
      </c>
      <c r="M460" s="82"/>
      <c r="N460" s="83"/>
      <c r="AA460" s="43" t="s">
        <v>345</v>
      </c>
    </row>
    <row r="461" spans="1:32" s="40" customFormat="1" x14ac:dyDescent="0.2">
      <c r="A461" s="79"/>
      <c r="B461" s="78" t="s">
        <v>188</v>
      </c>
      <c r="C461" s="1768" t="s">
        <v>475</v>
      </c>
      <c r="D461" s="1768"/>
      <c r="E461" s="1768"/>
      <c r="F461" s="80"/>
      <c r="G461" s="80"/>
      <c r="H461" s="80"/>
      <c r="I461" s="80"/>
      <c r="J461" s="81">
        <v>72.209999999999994</v>
      </c>
      <c r="K461" s="80"/>
      <c r="L461" s="81">
        <v>0.76</v>
      </c>
      <c r="M461" s="82"/>
      <c r="N461" s="83"/>
      <c r="AA461" s="43" t="s">
        <v>475</v>
      </c>
    </row>
    <row r="462" spans="1:32" s="40" customFormat="1" x14ac:dyDescent="0.2">
      <c r="A462" s="75"/>
      <c r="B462" s="114" t="s">
        <v>3313</v>
      </c>
      <c r="C462" s="1804" t="s">
        <v>1229</v>
      </c>
      <c r="D462" s="1804"/>
      <c r="E462" s="1804"/>
      <c r="F462" s="115" t="s">
        <v>694</v>
      </c>
      <c r="G462" s="115" t="s">
        <v>185</v>
      </c>
      <c r="H462" s="115"/>
      <c r="I462" s="115" t="s">
        <v>3628</v>
      </c>
      <c r="J462" s="78"/>
      <c r="K462" s="80"/>
      <c r="L462" s="81"/>
      <c r="M462" s="80"/>
      <c r="N462" s="116"/>
      <c r="AE462" s="43" t="s">
        <v>1229</v>
      </c>
    </row>
    <row r="463" spans="1:32" s="40" customFormat="1" x14ac:dyDescent="0.2">
      <c r="A463" s="79"/>
      <c r="B463" s="78"/>
      <c r="C463" s="1768" t="s">
        <v>314</v>
      </c>
      <c r="D463" s="1768"/>
      <c r="E463" s="1768"/>
      <c r="F463" s="80" t="s">
        <v>315</v>
      </c>
      <c r="G463" s="80" t="s">
        <v>1513</v>
      </c>
      <c r="H463" s="80" t="s">
        <v>313</v>
      </c>
      <c r="I463" s="80" t="s">
        <v>3630</v>
      </c>
      <c r="J463" s="81"/>
      <c r="K463" s="80"/>
      <c r="L463" s="81"/>
      <c r="M463" s="82"/>
      <c r="N463" s="83"/>
      <c r="AB463" s="43" t="s">
        <v>314</v>
      </c>
    </row>
    <row r="464" spans="1:32" s="40" customFormat="1" x14ac:dyDescent="0.2">
      <c r="A464" s="79"/>
      <c r="B464" s="78"/>
      <c r="C464" s="1768" t="s">
        <v>348</v>
      </c>
      <c r="D464" s="1768"/>
      <c r="E464" s="1768"/>
      <c r="F464" s="80" t="s">
        <v>315</v>
      </c>
      <c r="G464" s="80" t="s">
        <v>3315</v>
      </c>
      <c r="H464" s="80" t="s">
        <v>313</v>
      </c>
      <c r="I464" s="80" t="s">
        <v>3631</v>
      </c>
      <c r="J464" s="81"/>
      <c r="K464" s="80"/>
      <c r="L464" s="81"/>
      <c r="M464" s="82"/>
      <c r="N464" s="83"/>
      <c r="AB464" s="43" t="s">
        <v>348</v>
      </c>
    </row>
    <row r="465" spans="1:30" s="40" customFormat="1" x14ac:dyDescent="0.2">
      <c r="A465" s="79"/>
      <c r="B465" s="78"/>
      <c r="C465" s="1780" t="s">
        <v>318</v>
      </c>
      <c r="D465" s="1780"/>
      <c r="E465" s="1780"/>
      <c r="F465" s="84"/>
      <c r="G465" s="84"/>
      <c r="H465" s="84"/>
      <c r="I465" s="84"/>
      <c r="J465" s="85">
        <v>906.9</v>
      </c>
      <c r="K465" s="84"/>
      <c r="L465" s="85">
        <v>11.78</v>
      </c>
      <c r="M465" s="86"/>
      <c r="N465" s="87"/>
      <c r="AC465" s="43" t="s">
        <v>318</v>
      </c>
    </row>
    <row r="466" spans="1:30" s="40" customFormat="1" x14ac:dyDescent="0.2">
      <c r="A466" s="79"/>
      <c r="B466" s="78"/>
      <c r="C466" s="1768" t="s">
        <v>319</v>
      </c>
      <c r="D466" s="1768"/>
      <c r="E466" s="1768"/>
      <c r="F466" s="80"/>
      <c r="G466" s="80"/>
      <c r="H466" s="80"/>
      <c r="I466" s="80"/>
      <c r="J466" s="81"/>
      <c r="K466" s="80"/>
      <c r="L466" s="81">
        <v>6.08</v>
      </c>
      <c r="M466" s="82"/>
      <c r="N466" s="83"/>
      <c r="AB466" s="43" t="s">
        <v>319</v>
      </c>
    </row>
    <row r="467" spans="1:30" s="40" customFormat="1" ht="33.75" x14ac:dyDescent="0.2">
      <c r="A467" s="79"/>
      <c r="B467" s="78" t="s">
        <v>686</v>
      </c>
      <c r="C467" s="1768" t="s">
        <v>687</v>
      </c>
      <c r="D467" s="1768"/>
      <c r="E467" s="1768"/>
      <c r="F467" s="80" t="s">
        <v>322</v>
      </c>
      <c r="G467" s="80" t="s">
        <v>680</v>
      </c>
      <c r="H467" s="80"/>
      <c r="I467" s="80" t="s">
        <v>680</v>
      </c>
      <c r="J467" s="81"/>
      <c r="K467" s="80"/>
      <c r="L467" s="81">
        <v>6.2</v>
      </c>
      <c r="M467" s="82"/>
      <c r="N467" s="83"/>
      <c r="AB467" s="43" t="s">
        <v>687</v>
      </c>
    </row>
    <row r="468" spans="1:30" s="40" customFormat="1" ht="33.75" x14ac:dyDescent="0.2">
      <c r="A468" s="79"/>
      <c r="B468" s="78" t="s">
        <v>688</v>
      </c>
      <c r="C468" s="1768" t="s">
        <v>689</v>
      </c>
      <c r="D468" s="1768"/>
      <c r="E468" s="1768"/>
      <c r="F468" s="80" t="s">
        <v>322</v>
      </c>
      <c r="G468" s="80" t="s">
        <v>690</v>
      </c>
      <c r="H468" s="80"/>
      <c r="I468" s="80" t="s">
        <v>690</v>
      </c>
      <c r="J468" s="81"/>
      <c r="K468" s="80"/>
      <c r="L468" s="81">
        <v>3.53</v>
      </c>
      <c r="M468" s="82"/>
      <c r="N468" s="83"/>
      <c r="AB468" s="43" t="s">
        <v>689</v>
      </c>
    </row>
    <row r="469" spans="1:30" s="40" customFormat="1" x14ac:dyDescent="0.2">
      <c r="A469" s="88"/>
      <c r="B469" s="89"/>
      <c r="C469" s="1785" t="s">
        <v>327</v>
      </c>
      <c r="D469" s="1785"/>
      <c r="E469" s="1785"/>
      <c r="F469" s="71"/>
      <c r="G469" s="71"/>
      <c r="H469" s="71"/>
      <c r="I469" s="71"/>
      <c r="J469" s="72"/>
      <c r="K469" s="71"/>
      <c r="L469" s="72">
        <v>21.51</v>
      </c>
      <c r="M469" s="86"/>
      <c r="N469" s="74"/>
      <c r="AD469" s="43" t="s">
        <v>327</v>
      </c>
    </row>
    <row r="470" spans="1:30" s="40" customFormat="1" ht="33.75" x14ac:dyDescent="0.2">
      <c r="A470" s="69" t="s">
        <v>931</v>
      </c>
      <c r="B470" s="70" t="s">
        <v>3632</v>
      </c>
      <c r="C470" s="1785" t="s">
        <v>3633</v>
      </c>
      <c r="D470" s="1785"/>
      <c r="E470" s="1785"/>
      <c r="F470" s="71" t="s">
        <v>694</v>
      </c>
      <c r="G470" s="71"/>
      <c r="H470" s="71"/>
      <c r="I470" s="71" t="s">
        <v>3634</v>
      </c>
      <c r="J470" s="72">
        <v>7028.18</v>
      </c>
      <c r="K470" s="71"/>
      <c r="L470" s="72">
        <v>74.5</v>
      </c>
      <c r="M470" s="73"/>
      <c r="N470" s="74"/>
      <c r="X470" s="43" t="s">
        <v>3633</v>
      </c>
    </row>
    <row r="471" spans="1:30" s="40" customFormat="1" x14ac:dyDescent="0.2">
      <c r="A471" s="88"/>
      <c r="B471" s="89"/>
      <c r="C471" s="48" t="s">
        <v>717</v>
      </c>
      <c r="D471" s="117"/>
      <c r="E471" s="117"/>
      <c r="F471" s="90"/>
      <c r="G471" s="90"/>
      <c r="H471" s="90"/>
      <c r="I471" s="90"/>
      <c r="J471" s="118"/>
      <c r="K471" s="90"/>
      <c r="L471" s="118"/>
      <c r="M471" s="119"/>
      <c r="N471" s="120"/>
    </row>
    <row r="472" spans="1:30" s="40" customFormat="1" x14ac:dyDescent="0.2">
      <c r="A472" s="1801" t="s">
        <v>3659</v>
      </c>
      <c r="B472" s="1802"/>
      <c r="C472" s="1802"/>
      <c r="D472" s="1802"/>
      <c r="E472" s="1802"/>
      <c r="F472" s="1802"/>
      <c r="G472" s="1802"/>
      <c r="H472" s="1802"/>
      <c r="I472" s="1802"/>
      <c r="J472" s="1802"/>
      <c r="K472" s="1802"/>
      <c r="L472" s="1802"/>
      <c r="M472" s="1802"/>
      <c r="N472" s="1803"/>
      <c r="W472" s="43" t="s">
        <v>3659</v>
      </c>
    </row>
    <row r="473" spans="1:30" s="40" customFormat="1" ht="22.5" x14ac:dyDescent="0.2">
      <c r="A473" s="69" t="s">
        <v>465</v>
      </c>
      <c r="B473" s="70" t="s">
        <v>3454</v>
      </c>
      <c r="C473" s="1785" t="s">
        <v>3455</v>
      </c>
      <c r="D473" s="1785"/>
      <c r="E473" s="1785"/>
      <c r="F473" s="71" t="s">
        <v>1110</v>
      </c>
      <c r="G473" s="71"/>
      <c r="H473" s="71"/>
      <c r="I473" s="71" t="s">
        <v>3636</v>
      </c>
      <c r="J473" s="72"/>
      <c r="K473" s="71"/>
      <c r="L473" s="72"/>
      <c r="M473" s="73"/>
      <c r="N473" s="74"/>
      <c r="X473" s="43" t="s">
        <v>3455</v>
      </c>
    </row>
    <row r="474" spans="1:30" s="40" customFormat="1" x14ac:dyDescent="0.2">
      <c r="A474" s="75"/>
      <c r="B474" s="76"/>
      <c r="C474" s="1768" t="s">
        <v>3637</v>
      </c>
      <c r="D474" s="1768"/>
      <c r="E474" s="1768"/>
      <c r="F474" s="1768"/>
      <c r="G474" s="1768"/>
      <c r="H474" s="1768"/>
      <c r="I474" s="1768"/>
      <c r="J474" s="1768"/>
      <c r="K474" s="1768"/>
      <c r="L474" s="1768"/>
      <c r="M474" s="1768"/>
      <c r="N474" s="1779"/>
      <c r="Y474" s="43" t="s">
        <v>3637</v>
      </c>
    </row>
    <row r="475" spans="1:30" s="40" customFormat="1" x14ac:dyDescent="0.2">
      <c r="A475" s="79"/>
      <c r="B475" s="78" t="s">
        <v>185</v>
      </c>
      <c r="C475" s="1768" t="s">
        <v>312</v>
      </c>
      <c r="D475" s="1768"/>
      <c r="E475" s="1768"/>
      <c r="F475" s="80"/>
      <c r="G475" s="80"/>
      <c r="H475" s="80"/>
      <c r="I475" s="80"/>
      <c r="J475" s="81">
        <v>390.1</v>
      </c>
      <c r="K475" s="80"/>
      <c r="L475" s="81">
        <v>65.459999999999994</v>
      </c>
      <c r="M475" s="82"/>
      <c r="N475" s="83"/>
      <c r="AA475" s="43" t="s">
        <v>312</v>
      </c>
    </row>
    <row r="476" spans="1:30" s="40" customFormat="1" x14ac:dyDescent="0.2">
      <c r="A476" s="79"/>
      <c r="B476" s="78" t="s">
        <v>186</v>
      </c>
      <c r="C476" s="1768" t="s">
        <v>344</v>
      </c>
      <c r="D476" s="1768"/>
      <c r="E476" s="1768"/>
      <c r="F476" s="80"/>
      <c r="G476" s="80"/>
      <c r="H476" s="80"/>
      <c r="I476" s="80"/>
      <c r="J476" s="81">
        <v>204.08</v>
      </c>
      <c r="K476" s="80"/>
      <c r="L476" s="81">
        <v>34.24</v>
      </c>
      <c r="M476" s="82"/>
      <c r="N476" s="83"/>
      <c r="AA476" s="43" t="s">
        <v>344</v>
      </c>
    </row>
    <row r="477" spans="1:30" s="40" customFormat="1" x14ac:dyDescent="0.2">
      <c r="A477" s="79"/>
      <c r="B477" s="78" t="s">
        <v>187</v>
      </c>
      <c r="C477" s="1768" t="s">
        <v>345</v>
      </c>
      <c r="D477" s="1768"/>
      <c r="E477" s="1768"/>
      <c r="F477" s="80"/>
      <c r="G477" s="80"/>
      <c r="H477" s="80"/>
      <c r="I477" s="80"/>
      <c r="J477" s="81">
        <v>30.77</v>
      </c>
      <c r="K477" s="80"/>
      <c r="L477" s="81">
        <v>5.16</v>
      </c>
      <c r="M477" s="82"/>
      <c r="N477" s="83"/>
      <c r="AA477" s="43" t="s">
        <v>345</v>
      </c>
    </row>
    <row r="478" spans="1:30" s="40" customFormat="1" x14ac:dyDescent="0.2">
      <c r="A478" s="79"/>
      <c r="B478" s="78" t="s">
        <v>188</v>
      </c>
      <c r="C478" s="1768" t="s">
        <v>475</v>
      </c>
      <c r="D478" s="1768"/>
      <c r="E478" s="1768"/>
      <c r="F478" s="80"/>
      <c r="G478" s="80"/>
      <c r="H478" s="80"/>
      <c r="I478" s="80"/>
      <c r="J478" s="81">
        <v>16057.11</v>
      </c>
      <c r="K478" s="80"/>
      <c r="L478" s="81">
        <v>2694.38</v>
      </c>
      <c r="M478" s="82"/>
      <c r="N478" s="83"/>
      <c r="AA478" s="43" t="s">
        <v>475</v>
      </c>
    </row>
    <row r="479" spans="1:30" s="40" customFormat="1" x14ac:dyDescent="0.2">
      <c r="A479" s="79"/>
      <c r="B479" s="78"/>
      <c r="C479" s="1768" t="s">
        <v>314</v>
      </c>
      <c r="D479" s="1768"/>
      <c r="E479" s="1768"/>
      <c r="F479" s="80" t="s">
        <v>315</v>
      </c>
      <c r="G479" s="80" t="s">
        <v>3458</v>
      </c>
      <c r="H479" s="80"/>
      <c r="I479" s="80" t="s">
        <v>3660</v>
      </c>
      <c r="J479" s="81"/>
      <c r="K479" s="80"/>
      <c r="L479" s="81"/>
      <c r="M479" s="82"/>
      <c r="N479" s="83"/>
      <c r="AB479" s="43" t="s">
        <v>314</v>
      </c>
    </row>
    <row r="480" spans="1:30" s="40" customFormat="1" x14ac:dyDescent="0.2">
      <c r="A480" s="79"/>
      <c r="B480" s="78"/>
      <c r="C480" s="1768" t="s">
        <v>348</v>
      </c>
      <c r="D480" s="1768"/>
      <c r="E480" s="1768"/>
      <c r="F480" s="80" t="s">
        <v>315</v>
      </c>
      <c r="G480" s="80" t="s">
        <v>3460</v>
      </c>
      <c r="H480" s="80"/>
      <c r="I480" s="80" t="s">
        <v>3661</v>
      </c>
      <c r="J480" s="81"/>
      <c r="K480" s="80"/>
      <c r="L480" s="81"/>
      <c r="M480" s="82"/>
      <c r="N480" s="83"/>
      <c r="AB480" s="43" t="s">
        <v>348</v>
      </c>
    </row>
    <row r="481" spans="1:31" s="40" customFormat="1" x14ac:dyDescent="0.2">
      <c r="A481" s="79"/>
      <c r="B481" s="78"/>
      <c r="C481" s="1780" t="s">
        <v>318</v>
      </c>
      <c r="D481" s="1780"/>
      <c r="E481" s="1780"/>
      <c r="F481" s="84"/>
      <c r="G481" s="84"/>
      <c r="H481" s="84"/>
      <c r="I481" s="84"/>
      <c r="J481" s="85">
        <v>16651.29</v>
      </c>
      <c r="K481" s="84"/>
      <c r="L481" s="85">
        <v>2794.08</v>
      </c>
      <c r="M481" s="86"/>
      <c r="N481" s="87"/>
      <c r="AC481" s="43" t="s">
        <v>318</v>
      </c>
    </row>
    <row r="482" spans="1:31" s="40" customFormat="1" x14ac:dyDescent="0.2">
      <c r="A482" s="79"/>
      <c r="B482" s="78"/>
      <c r="C482" s="1768" t="s">
        <v>319</v>
      </c>
      <c r="D482" s="1768"/>
      <c r="E482" s="1768"/>
      <c r="F482" s="80"/>
      <c r="G482" s="80"/>
      <c r="H482" s="80"/>
      <c r="I482" s="80"/>
      <c r="J482" s="81"/>
      <c r="K482" s="80"/>
      <c r="L482" s="81">
        <v>70.62</v>
      </c>
      <c r="M482" s="82"/>
      <c r="N482" s="83"/>
      <c r="AB482" s="43" t="s">
        <v>319</v>
      </c>
    </row>
    <row r="483" spans="1:31" s="40" customFormat="1" ht="45" x14ac:dyDescent="0.2">
      <c r="A483" s="79"/>
      <c r="B483" s="78" t="s">
        <v>3462</v>
      </c>
      <c r="C483" s="1768" t="s">
        <v>3463</v>
      </c>
      <c r="D483" s="1768"/>
      <c r="E483" s="1768"/>
      <c r="F483" s="80" t="s">
        <v>322</v>
      </c>
      <c r="G483" s="80" t="s">
        <v>3039</v>
      </c>
      <c r="H483" s="80"/>
      <c r="I483" s="80" t="s">
        <v>3039</v>
      </c>
      <c r="J483" s="81"/>
      <c r="K483" s="80"/>
      <c r="L483" s="81">
        <v>81.92</v>
      </c>
      <c r="M483" s="82"/>
      <c r="N483" s="83"/>
      <c r="AB483" s="43" t="s">
        <v>3463</v>
      </c>
    </row>
    <row r="484" spans="1:31" s="40" customFormat="1" ht="45" x14ac:dyDescent="0.2">
      <c r="A484" s="79"/>
      <c r="B484" s="78" t="s">
        <v>3464</v>
      </c>
      <c r="C484" s="1768" t="s">
        <v>3465</v>
      </c>
      <c r="D484" s="1768"/>
      <c r="E484" s="1768"/>
      <c r="F484" s="80" t="s">
        <v>322</v>
      </c>
      <c r="G484" s="80" t="s">
        <v>1540</v>
      </c>
      <c r="H484" s="80"/>
      <c r="I484" s="80" t="s">
        <v>1540</v>
      </c>
      <c r="J484" s="81"/>
      <c r="K484" s="80"/>
      <c r="L484" s="81">
        <v>56.5</v>
      </c>
      <c r="M484" s="82"/>
      <c r="N484" s="83"/>
      <c r="AB484" s="43" t="s">
        <v>3465</v>
      </c>
    </row>
    <row r="485" spans="1:31" s="40" customFormat="1" x14ac:dyDescent="0.2">
      <c r="A485" s="88"/>
      <c r="B485" s="89"/>
      <c r="C485" s="1785" t="s">
        <v>327</v>
      </c>
      <c r="D485" s="1785"/>
      <c r="E485" s="1785"/>
      <c r="F485" s="71"/>
      <c r="G485" s="71"/>
      <c r="H485" s="71"/>
      <c r="I485" s="71"/>
      <c r="J485" s="72"/>
      <c r="K485" s="71"/>
      <c r="L485" s="72">
        <v>2932.5</v>
      </c>
      <c r="M485" s="86"/>
      <c r="N485" s="74"/>
      <c r="AD485" s="43" t="s">
        <v>327</v>
      </c>
    </row>
    <row r="486" spans="1:31" s="40" customFormat="1" x14ac:dyDescent="0.2">
      <c r="A486" s="1801" t="s">
        <v>3644</v>
      </c>
      <c r="B486" s="1802"/>
      <c r="C486" s="1802"/>
      <c r="D486" s="1802"/>
      <c r="E486" s="1802"/>
      <c r="F486" s="1802"/>
      <c r="G486" s="1802"/>
      <c r="H486" s="1802"/>
      <c r="I486" s="1802"/>
      <c r="J486" s="1802"/>
      <c r="K486" s="1802"/>
      <c r="L486" s="1802"/>
      <c r="M486" s="1802"/>
      <c r="N486" s="1803"/>
      <c r="W486" s="43" t="s">
        <v>3644</v>
      </c>
    </row>
    <row r="487" spans="1:31" s="40" customFormat="1" ht="22.5" x14ac:dyDescent="0.2">
      <c r="A487" s="69" t="s">
        <v>782</v>
      </c>
      <c r="B487" s="70" t="s">
        <v>3645</v>
      </c>
      <c r="C487" s="1785" t="s">
        <v>3646</v>
      </c>
      <c r="D487" s="1785"/>
      <c r="E487" s="1785"/>
      <c r="F487" s="71" t="s">
        <v>307</v>
      </c>
      <c r="G487" s="71"/>
      <c r="H487" s="71"/>
      <c r="I487" s="71" t="s">
        <v>809</v>
      </c>
      <c r="J487" s="72"/>
      <c r="K487" s="71"/>
      <c r="L487" s="72"/>
      <c r="M487" s="73"/>
      <c r="N487" s="74"/>
      <c r="X487" s="43" t="s">
        <v>3646</v>
      </c>
    </row>
    <row r="488" spans="1:31" s="40" customFormat="1" x14ac:dyDescent="0.2">
      <c r="A488" s="75"/>
      <c r="B488" s="76"/>
      <c r="C488" s="1768" t="s">
        <v>843</v>
      </c>
      <c r="D488" s="1768"/>
      <c r="E488" s="1768"/>
      <c r="F488" s="1768"/>
      <c r="G488" s="1768"/>
      <c r="H488" s="1768"/>
      <c r="I488" s="1768"/>
      <c r="J488" s="1768"/>
      <c r="K488" s="1768"/>
      <c r="L488" s="1768"/>
      <c r="M488" s="1768"/>
      <c r="N488" s="1779"/>
      <c r="Y488" s="43" t="s">
        <v>843</v>
      </c>
    </row>
    <row r="489" spans="1:31" s="40" customFormat="1" ht="33.75" x14ac:dyDescent="0.2">
      <c r="A489" s="77"/>
      <c r="B489" s="78" t="s">
        <v>310</v>
      </c>
      <c r="C489" s="1768" t="s">
        <v>311</v>
      </c>
      <c r="D489" s="1768"/>
      <c r="E489" s="1768"/>
      <c r="F489" s="1768"/>
      <c r="G489" s="1768"/>
      <c r="H489" s="1768"/>
      <c r="I489" s="1768"/>
      <c r="J489" s="1768"/>
      <c r="K489" s="1768"/>
      <c r="L489" s="1768"/>
      <c r="M489" s="1768"/>
      <c r="N489" s="1779"/>
      <c r="Z489" s="43" t="s">
        <v>311</v>
      </c>
    </row>
    <row r="490" spans="1:31" s="40" customFormat="1" x14ac:dyDescent="0.2">
      <c r="A490" s="79"/>
      <c r="B490" s="78" t="s">
        <v>185</v>
      </c>
      <c r="C490" s="1768" t="s">
        <v>312</v>
      </c>
      <c r="D490" s="1768"/>
      <c r="E490" s="1768"/>
      <c r="F490" s="80"/>
      <c r="G490" s="80"/>
      <c r="H490" s="80"/>
      <c r="I490" s="80"/>
      <c r="J490" s="81">
        <v>105.43</v>
      </c>
      <c r="K490" s="80" t="s">
        <v>313</v>
      </c>
      <c r="L490" s="81">
        <v>1.32</v>
      </c>
      <c r="M490" s="82"/>
      <c r="N490" s="83"/>
      <c r="AA490" s="43" t="s">
        <v>312</v>
      </c>
    </row>
    <row r="491" spans="1:31" s="40" customFormat="1" x14ac:dyDescent="0.2">
      <c r="A491" s="79"/>
      <c r="B491" s="78" t="s">
        <v>186</v>
      </c>
      <c r="C491" s="1768" t="s">
        <v>344</v>
      </c>
      <c r="D491" s="1768"/>
      <c r="E491" s="1768"/>
      <c r="F491" s="80"/>
      <c r="G491" s="80"/>
      <c r="H491" s="80"/>
      <c r="I491" s="80"/>
      <c r="J491" s="81">
        <v>674.16</v>
      </c>
      <c r="K491" s="80" t="s">
        <v>313</v>
      </c>
      <c r="L491" s="81">
        <v>8.43</v>
      </c>
      <c r="M491" s="82"/>
      <c r="N491" s="83"/>
      <c r="AA491" s="43" t="s">
        <v>344</v>
      </c>
    </row>
    <row r="492" spans="1:31" s="40" customFormat="1" x14ac:dyDescent="0.2">
      <c r="A492" s="79"/>
      <c r="B492" s="78" t="s">
        <v>187</v>
      </c>
      <c r="C492" s="1768" t="s">
        <v>345</v>
      </c>
      <c r="D492" s="1768"/>
      <c r="E492" s="1768"/>
      <c r="F492" s="80"/>
      <c r="G492" s="80"/>
      <c r="H492" s="80"/>
      <c r="I492" s="80"/>
      <c r="J492" s="81">
        <v>69.599999999999994</v>
      </c>
      <c r="K492" s="80" t="s">
        <v>313</v>
      </c>
      <c r="L492" s="81">
        <v>0.87</v>
      </c>
      <c r="M492" s="82"/>
      <c r="N492" s="83"/>
      <c r="AA492" s="43" t="s">
        <v>345</v>
      </c>
    </row>
    <row r="493" spans="1:31" s="40" customFormat="1" ht="22.5" x14ac:dyDescent="0.2">
      <c r="A493" s="75"/>
      <c r="B493" s="114" t="s">
        <v>3647</v>
      </c>
      <c r="C493" s="1804" t="s">
        <v>3648</v>
      </c>
      <c r="D493" s="1804"/>
      <c r="E493" s="1804"/>
      <c r="F493" s="115" t="s">
        <v>638</v>
      </c>
      <c r="G493" s="115" t="s">
        <v>844</v>
      </c>
      <c r="H493" s="115"/>
      <c r="I493" s="115" t="s">
        <v>185</v>
      </c>
      <c r="J493" s="78"/>
      <c r="K493" s="80"/>
      <c r="L493" s="81"/>
      <c r="M493" s="80"/>
      <c r="N493" s="116"/>
      <c r="AE493" s="43" t="s">
        <v>3648</v>
      </c>
    </row>
    <row r="494" spans="1:31" s="40" customFormat="1" x14ac:dyDescent="0.2">
      <c r="A494" s="79"/>
      <c r="B494" s="78"/>
      <c r="C494" s="1768" t="s">
        <v>314</v>
      </c>
      <c r="D494" s="1768"/>
      <c r="E494" s="1768"/>
      <c r="F494" s="80" t="s">
        <v>315</v>
      </c>
      <c r="G494" s="80" t="s">
        <v>3649</v>
      </c>
      <c r="H494" s="80" t="s">
        <v>313</v>
      </c>
      <c r="I494" s="80" t="s">
        <v>3650</v>
      </c>
      <c r="J494" s="81"/>
      <c r="K494" s="80"/>
      <c r="L494" s="81"/>
      <c r="M494" s="82"/>
      <c r="N494" s="83"/>
      <c r="AB494" s="43" t="s">
        <v>314</v>
      </c>
    </row>
    <row r="495" spans="1:31" s="40" customFormat="1" x14ac:dyDescent="0.2">
      <c r="A495" s="79"/>
      <c r="B495" s="78"/>
      <c r="C495" s="1768" t="s">
        <v>348</v>
      </c>
      <c r="D495" s="1768"/>
      <c r="E495" s="1768"/>
      <c r="F495" s="80" t="s">
        <v>315</v>
      </c>
      <c r="G495" s="80" t="s">
        <v>190</v>
      </c>
      <c r="H495" s="80" t="s">
        <v>313</v>
      </c>
      <c r="I495" s="80" t="s">
        <v>2219</v>
      </c>
      <c r="J495" s="81"/>
      <c r="K495" s="80"/>
      <c r="L495" s="81"/>
      <c r="M495" s="82"/>
      <c r="N495" s="83"/>
      <c r="AB495" s="43" t="s">
        <v>348</v>
      </c>
    </row>
    <row r="496" spans="1:31" s="40" customFormat="1" x14ac:dyDescent="0.2">
      <c r="A496" s="79"/>
      <c r="B496" s="78"/>
      <c r="C496" s="1780" t="s">
        <v>318</v>
      </c>
      <c r="D496" s="1780"/>
      <c r="E496" s="1780"/>
      <c r="F496" s="84"/>
      <c r="G496" s="84"/>
      <c r="H496" s="84"/>
      <c r="I496" s="84"/>
      <c r="J496" s="85">
        <v>779.59</v>
      </c>
      <c r="K496" s="84"/>
      <c r="L496" s="85">
        <v>9.75</v>
      </c>
      <c r="M496" s="86"/>
      <c r="N496" s="87"/>
      <c r="AC496" s="43" t="s">
        <v>318</v>
      </c>
    </row>
    <row r="497" spans="1:34" s="40" customFormat="1" x14ac:dyDescent="0.2">
      <c r="A497" s="79"/>
      <c r="B497" s="78"/>
      <c r="C497" s="1768" t="s">
        <v>319</v>
      </c>
      <c r="D497" s="1768"/>
      <c r="E497" s="1768"/>
      <c r="F497" s="80"/>
      <c r="G497" s="80"/>
      <c r="H497" s="80"/>
      <c r="I497" s="80"/>
      <c r="J497" s="81"/>
      <c r="K497" s="80"/>
      <c r="L497" s="81">
        <v>2.19</v>
      </c>
      <c r="M497" s="82"/>
      <c r="N497" s="83"/>
      <c r="AB497" s="43" t="s">
        <v>319</v>
      </c>
    </row>
    <row r="498" spans="1:34" s="40" customFormat="1" ht="33.75" x14ac:dyDescent="0.2">
      <c r="A498" s="79"/>
      <c r="B498" s="78" t="s">
        <v>741</v>
      </c>
      <c r="C498" s="1768" t="s">
        <v>742</v>
      </c>
      <c r="D498" s="1768"/>
      <c r="E498" s="1768"/>
      <c r="F498" s="80" t="s">
        <v>322</v>
      </c>
      <c r="G498" s="80" t="s">
        <v>743</v>
      </c>
      <c r="H498" s="80"/>
      <c r="I498" s="80" t="s">
        <v>743</v>
      </c>
      <c r="J498" s="81"/>
      <c r="K498" s="80"/>
      <c r="L498" s="81">
        <v>2.15</v>
      </c>
      <c r="M498" s="82"/>
      <c r="N498" s="83"/>
      <c r="AB498" s="43" t="s">
        <v>742</v>
      </c>
    </row>
    <row r="499" spans="1:34" s="40" customFormat="1" ht="33.75" x14ac:dyDescent="0.2">
      <c r="A499" s="79"/>
      <c r="B499" s="78" t="s">
        <v>744</v>
      </c>
      <c r="C499" s="1768" t="s">
        <v>745</v>
      </c>
      <c r="D499" s="1768"/>
      <c r="E499" s="1768"/>
      <c r="F499" s="80" t="s">
        <v>322</v>
      </c>
      <c r="G499" s="80" t="s">
        <v>690</v>
      </c>
      <c r="H499" s="80"/>
      <c r="I499" s="80" t="s">
        <v>690</v>
      </c>
      <c r="J499" s="81"/>
      <c r="K499" s="80"/>
      <c r="L499" s="81">
        <v>1.27</v>
      </c>
      <c r="M499" s="82"/>
      <c r="N499" s="83"/>
      <c r="AB499" s="43" t="s">
        <v>745</v>
      </c>
    </row>
    <row r="500" spans="1:34" s="40" customFormat="1" x14ac:dyDescent="0.2">
      <c r="A500" s="88"/>
      <c r="B500" s="89"/>
      <c r="C500" s="1785" t="s">
        <v>327</v>
      </c>
      <c r="D500" s="1785"/>
      <c r="E500" s="1785"/>
      <c r="F500" s="71"/>
      <c r="G500" s="71"/>
      <c r="H500" s="71"/>
      <c r="I500" s="71"/>
      <c r="J500" s="72"/>
      <c r="K500" s="71"/>
      <c r="L500" s="72">
        <v>13.17</v>
      </c>
      <c r="M500" s="86"/>
      <c r="N500" s="74"/>
      <c r="AD500" s="43" t="s">
        <v>327</v>
      </c>
    </row>
    <row r="501" spans="1:34" s="40" customFormat="1" ht="56.25" x14ac:dyDescent="0.2">
      <c r="A501" s="69" t="s">
        <v>501</v>
      </c>
      <c r="B501" s="70" t="s">
        <v>3651</v>
      </c>
      <c r="C501" s="1785" t="s">
        <v>3652</v>
      </c>
      <c r="D501" s="1785"/>
      <c r="E501" s="1785"/>
      <c r="F501" s="71" t="s">
        <v>638</v>
      </c>
      <c r="G501" s="71"/>
      <c r="H501" s="71"/>
      <c r="I501" s="71" t="s">
        <v>185</v>
      </c>
      <c r="J501" s="72">
        <v>886.75</v>
      </c>
      <c r="K501" s="71"/>
      <c r="L501" s="72">
        <v>886.75</v>
      </c>
      <c r="M501" s="73"/>
      <c r="N501" s="74"/>
      <c r="X501" s="43" t="s">
        <v>3652</v>
      </c>
    </row>
    <row r="502" spans="1:34" s="40" customFormat="1" x14ac:dyDescent="0.2">
      <c r="A502" s="88"/>
      <c r="B502" s="89"/>
      <c r="C502" s="48" t="s">
        <v>717</v>
      </c>
      <c r="D502" s="117"/>
      <c r="E502" s="117"/>
      <c r="F502" s="90"/>
      <c r="G502" s="90"/>
      <c r="H502" s="90"/>
      <c r="I502" s="90"/>
      <c r="J502" s="118"/>
      <c r="K502" s="90"/>
      <c r="L502" s="118"/>
      <c r="M502" s="119"/>
      <c r="N502" s="120"/>
    </row>
    <row r="503" spans="1:34" s="40" customFormat="1" ht="1.5" customHeight="1" x14ac:dyDescent="0.2">
      <c r="A503" s="90"/>
      <c r="B503" s="89"/>
      <c r="C503" s="89"/>
      <c r="D503" s="89"/>
      <c r="E503" s="89"/>
      <c r="F503" s="90"/>
      <c r="G503" s="90"/>
      <c r="H503" s="90"/>
      <c r="I503" s="90"/>
      <c r="J503" s="91"/>
      <c r="K503" s="90"/>
      <c r="L503" s="91"/>
      <c r="M503" s="80"/>
      <c r="N503" s="91"/>
    </row>
    <row r="504" spans="1:34" s="40" customFormat="1" x14ac:dyDescent="0.2">
      <c r="A504" s="92"/>
      <c r="B504" s="93"/>
      <c r="C504" s="1785" t="s">
        <v>3662</v>
      </c>
      <c r="D504" s="1785"/>
      <c r="E504" s="1785"/>
      <c r="F504" s="1785"/>
      <c r="G504" s="1785"/>
      <c r="H504" s="1785"/>
      <c r="I504" s="1785"/>
      <c r="J504" s="1785"/>
      <c r="K504" s="1785"/>
      <c r="L504" s="94"/>
      <c r="M504" s="95"/>
      <c r="N504" s="96"/>
      <c r="AG504" s="43" t="s">
        <v>3662</v>
      </c>
    </row>
    <row r="505" spans="1:34" s="40" customFormat="1" x14ac:dyDescent="0.2">
      <c r="A505" s="97"/>
      <c r="B505" s="78"/>
      <c r="C505" s="1768" t="s">
        <v>403</v>
      </c>
      <c r="D505" s="1768"/>
      <c r="E505" s="1768"/>
      <c r="F505" s="1768"/>
      <c r="G505" s="1768"/>
      <c r="H505" s="1768"/>
      <c r="I505" s="1768"/>
      <c r="J505" s="1768"/>
      <c r="K505" s="1768"/>
      <c r="L505" s="98">
        <v>6483.81</v>
      </c>
      <c r="M505" s="99"/>
      <c r="N505" s="100"/>
      <c r="AH505" s="43" t="s">
        <v>403</v>
      </c>
    </row>
    <row r="506" spans="1:34" s="40" customFormat="1" x14ac:dyDescent="0.2">
      <c r="A506" s="97"/>
      <c r="B506" s="78"/>
      <c r="C506" s="1768" t="s">
        <v>204</v>
      </c>
      <c r="D506" s="1768"/>
      <c r="E506" s="1768"/>
      <c r="F506" s="1768"/>
      <c r="G506" s="1768"/>
      <c r="H506" s="1768"/>
      <c r="I506" s="1768"/>
      <c r="J506" s="1768"/>
      <c r="K506" s="1768"/>
      <c r="L506" s="98"/>
      <c r="M506" s="99"/>
      <c r="N506" s="100"/>
      <c r="AH506" s="43" t="s">
        <v>204</v>
      </c>
    </row>
    <row r="507" spans="1:34" s="40" customFormat="1" x14ac:dyDescent="0.2">
      <c r="A507" s="97"/>
      <c r="B507" s="78"/>
      <c r="C507" s="1768" t="s">
        <v>404</v>
      </c>
      <c r="D507" s="1768"/>
      <c r="E507" s="1768"/>
      <c r="F507" s="1768"/>
      <c r="G507" s="1768"/>
      <c r="H507" s="1768"/>
      <c r="I507" s="1768"/>
      <c r="J507" s="1768"/>
      <c r="K507" s="1768"/>
      <c r="L507" s="98">
        <v>138.05000000000001</v>
      </c>
      <c r="M507" s="99"/>
      <c r="N507" s="100"/>
      <c r="AH507" s="43" t="s">
        <v>404</v>
      </c>
    </row>
    <row r="508" spans="1:34" s="40" customFormat="1" x14ac:dyDescent="0.2">
      <c r="A508" s="97"/>
      <c r="B508" s="78"/>
      <c r="C508" s="1768" t="s">
        <v>405</v>
      </c>
      <c r="D508" s="1768"/>
      <c r="E508" s="1768"/>
      <c r="F508" s="1768"/>
      <c r="G508" s="1768"/>
      <c r="H508" s="1768"/>
      <c r="I508" s="1768"/>
      <c r="J508" s="1768"/>
      <c r="K508" s="1768"/>
      <c r="L508" s="98">
        <v>232.59</v>
      </c>
      <c r="M508" s="99"/>
      <c r="N508" s="100"/>
      <c r="AH508" s="43" t="s">
        <v>405</v>
      </c>
    </row>
    <row r="509" spans="1:34" s="40" customFormat="1" x14ac:dyDescent="0.2">
      <c r="A509" s="97"/>
      <c r="B509" s="78"/>
      <c r="C509" s="1768" t="s">
        <v>406</v>
      </c>
      <c r="D509" s="1768"/>
      <c r="E509" s="1768"/>
      <c r="F509" s="1768"/>
      <c r="G509" s="1768"/>
      <c r="H509" s="1768"/>
      <c r="I509" s="1768"/>
      <c r="J509" s="1768"/>
      <c r="K509" s="1768"/>
      <c r="L509" s="98">
        <v>29.35</v>
      </c>
      <c r="M509" s="99"/>
      <c r="N509" s="100"/>
      <c r="AH509" s="43" t="s">
        <v>406</v>
      </c>
    </row>
    <row r="510" spans="1:34" s="40" customFormat="1" x14ac:dyDescent="0.2">
      <c r="A510" s="97"/>
      <c r="B510" s="78"/>
      <c r="C510" s="1768" t="s">
        <v>480</v>
      </c>
      <c r="D510" s="1768"/>
      <c r="E510" s="1768"/>
      <c r="F510" s="1768"/>
      <c r="G510" s="1768"/>
      <c r="H510" s="1768"/>
      <c r="I510" s="1768"/>
      <c r="J510" s="1768"/>
      <c r="K510" s="1768"/>
      <c r="L510" s="98">
        <v>6113.17</v>
      </c>
      <c r="M510" s="99"/>
      <c r="N510" s="100"/>
      <c r="AH510" s="43" t="s">
        <v>480</v>
      </c>
    </row>
    <row r="511" spans="1:34" s="40" customFormat="1" x14ac:dyDescent="0.2">
      <c r="A511" s="97"/>
      <c r="B511" s="78"/>
      <c r="C511" s="1768" t="s">
        <v>407</v>
      </c>
      <c r="D511" s="1768"/>
      <c r="E511" s="1768"/>
      <c r="F511" s="1768"/>
      <c r="G511" s="1768"/>
      <c r="H511" s="1768"/>
      <c r="I511" s="1768"/>
      <c r="J511" s="1768"/>
      <c r="K511" s="1768"/>
      <c r="L511" s="98">
        <v>6774.74</v>
      </c>
      <c r="M511" s="99"/>
      <c r="N511" s="100"/>
      <c r="AH511" s="43" t="s">
        <v>407</v>
      </c>
    </row>
    <row r="512" spans="1:34" s="40" customFormat="1" x14ac:dyDescent="0.2">
      <c r="A512" s="97"/>
      <c r="B512" s="78" t="s">
        <v>185</v>
      </c>
      <c r="C512" s="1768" t="s">
        <v>408</v>
      </c>
      <c r="D512" s="1768"/>
      <c r="E512" s="1768"/>
      <c r="F512" s="1768"/>
      <c r="G512" s="1768"/>
      <c r="H512" s="1768"/>
      <c r="I512" s="1768"/>
      <c r="J512" s="1768"/>
      <c r="K512" s="1768"/>
      <c r="L512" s="98">
        <v>6753.52</v>
      </c>
      <c r="M512" s="99"/>
      <c r="N512" s="100"/>
      <c r="AH512" s="43" t="s">
        <v>408</v>
      </c>
    </row>
    <row r="513" spans="1:35" s="40" customFormat="1" x14ac:dyDescent="0.2">
      <c r="A513" s="97"/>
      <c r="B513" s="78"/>
      <c r="C513" s="1768" t="s">
        <v>409</v>
      </c>
      <c r="D513" s="1768"/>
      <c r="E513" s="1768"/>
      <c r="F513" s="1768"/>
      <c r="G513" s="1768"/>
      <c r="H513" s="1768"/>
      <c r="I513" s="1768"/>
      <c r="J513" s="1768"/>
      <c r="K513" s="1768"/>
      <c r="L513" s="98"/>
      <c r="M513" s="99"/>
      <c r="N513" s="100"/>
      <c r="AH513" s="43" t="s">
        <v>409</v>
      </c>
    </row>
    <row r="514" spans="1:35" s="40" customFormat="1" x14ac:dyDescent="0.2">
      <c r="A514" s="97"/>
      <c r="B514" s="78"/>
      <c r="C514" s="1768" t="s">
        <v>410</v>
      </c>
      <c r="D514" s="1768"/>
      <c r="E514" s="1768"/>
      <c r="F514" s="1768"/>
      <c r="G514" s="1768"/>
      <c r="H514" s="1768"/>
      <c r="I514" s="1768"/>
      <c r="J514" s="1768"/>
      <c r="K514" s="1768"/>
      <c r="L514" s="98">
        <v>138.05000000000001</v>
      </c>
      <c r="M514" s="99"/>
      <c r="N514" s="100"/>
      <c r="AH514" s="43" t="s">
        <v>410</v>
      </c>
    </row>
    <row r="515" spans="1:35" s="40" customFormat="1" x14ac:dyDescent="0.2">
      <c r="A515" s="97"/>
      <c r="B515" s="78"/>
      <c r="C515" s="1768" t="s">
        <v>411</v>
      </c>
      <c r="D515" s="1768"/>
      <c r="E515" s="1768"/>
      <c r="F515" s="1768"/>
      <c r="G515" s="1768"/>
      <c r="H515" s="1768"/>
      <c r="I515" s="1768"/>
      <c r="J515" s="1768"/>
      <c r="K515" s="1768"/>
      <c r="L515" s="98">
        <v>211.37</v>
      </c>
      <c r="M515" s="99"/>
      <c r="N515" s="100"/>
      <c r="AH515" s="43" t="s">
        <v>411</v>
      </c>
    </row>
    <row r="516" spans="1:35" s="40" customFormat="1" x14ac:dyDescent="0.2">
      <c r="A516" s="97"/>
      <c r="B516" s="78"/>
      <c r="C516" s="1768" t="s">
        <v>481</v>
      </c>
      <c r="D516" s="1768"/>
      <c r="E516" s="1768"/>
      <c r="F516" s="1768"/>
      <c r="G516" s="1768"/>
      <c r="H516" s="1768"/>
      <c r="I516" s="1768"/>
      <c r="J516" s="1768"/>
      <c r="K516" s="1768"/>
      <c r="L516" s="98">
        <v>6113.17</v>
      </c>
      <c r="M516" s="99"/>
      <c r="N516" s="100"/>
      <c r="AH516" s="43" t="s">
        <v>481</v>
      </c>
    </row>
    <row r="517" spans="1:35" s="40" customFormat="1" x14ac:dyDescent="0.2">
      <c r="A517" s="97"/>
      <c r="B517" s="78"/>
      <c r="C517" s="1768" t="s">
        <v>412</v>
      </c>
      <c r="D517" s="1768"/>
      <c r="E517" s="1768"/>
      <c r="F517" s="1768"/>
      <c r="G517" s="1768"/>
      <c r="H517" s="1768"/>
      <c r="I517" s="1768"/>
      <c r="J517" s="1768"/>
      <c r="K517" s="1768"/>
      <c r="L517" s="98">
        <v>179.52</v>
      </c>
      <c r="M517" s="99"/>
      <c r="N517" s="100"/>
      <c r="AH517" s="43" t="s">
        <v>412</v>
      </c>
    </row>
    <row r="518" spans="1:35" s="40" customFormat="1" x14ac:dyDescent="0.2">
      <c r="A518" s="97"/>
      <c r="B518" s="78"/>
      <c r="C518" s="1768" t="s">
        <v>413</v>
      </c>
      <c r="D518" s="1768"/>
      <c r="E518" s="1768"/>
      <c r="F518" s="1768"/>
      <c r="G518" s="1768"/>
      <c r="H518" s="1768"/>
      <c r="I518" s="1768"/>
      <c r="J518" s="1768"/>
      <c r="K518" s="1768"/>
      <c r="L518" s="98">
        <v>111.41</v>
      </c>
      <c r="M518" s="99"/>
      <c r="N518" s="100"/>
      <c r="AH518" s="43" t="s">
        <v>413</v>
      </c>
    </row>
    <row r="519" spans="1:35" s="40" customFormat="1" x14ac:dyDescent="0.2">
      <c r="A519" s="97"/>
      <c r="B519" s="78" t="s">
        <v>185</v>
      </c>
      <c r="C519" s="1768" t="s">
        <v>414</v>
      </c>
      <c r="D519" s="1768"/>
      <c r="E519" s="1768"/>
      <c r="F519" s="1768"/>
      <c r="G519" s="1768"/>
      <c r="H519" s="1768"/>
      <c r="I519" s="1768"/>
      <c r="J519" s="1768"/>
      <c r="K519" s="1768"/>
      <c r="L519" s="98">
        <v>21.22</v>
      </c>
      <c r="M519" s="99"/>
      <c r="N519" s="100"/>
      <c r="AH519" s="43" t="s">
        <v>414</v>
      </c>
    </row>
    <row r="520" spans="1:35" s="40" customFormat="1" x14ac:dyDescent="0.2">
      <c r="A520" s="97"/>
      <c r="B520" s="78"/>
      <c r="C520" s="1768" t="s">
        <v>415</v>
      </c>
      <c r="D520" s="1768"/>
      <c r="E520" s="1768"/>
      <c r="F520" s="1768"/>
      <c r="G520" s="1768"/>
      <c r="H520" s="1768"/>
      <c r="I520" s="1768"/>
      <c r="J520" s="1768"/>
      <c r="K520" s="1768"/>
      <c r="L520" s="98">
        <v>167.4</v>
      </c>
      <c r="M520" s="99"/>
      <c r="N520" s="100"/>
      <c r="AH520" s="43" t="s">
        <v>415</v>
      </c>
    </row>
    <row r="521" spans="1:35" s="40" customFormat="1" x14ac:dyDescent="0.2">
      <c r="A521" s="97"/>
      <c r="B521" s="78"/>
      <c r="C521" s="1768" t="s">
        <v>416</v>
      </c>
      <c r="D521" s="1768"/>
      <c r="E521" s="1768"/>
      <c r="F521" s="1768"/>
      <c r="G521" s="1768"/>
      <c r="H521" s="1768"/>
      <c r="I521" s="1768"/>
      <c r="J521" s="1768"/>
      <c r="K521" s="1768"/>
      <c r="L521" s="98">
        <v>179.52</v>
      </c>
      <c r="M521" s="99"/>
      <c r="N521" s="100"/>
      <c r="AH521" s="43" t="s">
        <v>416</v>
      </c>
    </row>
    <row r="522" spans="1:35" s="40" customFormat="1" x14ac:dyDescent="0.2">
      <c r="A522" s="97"/>
      <c r="B522" s="78"/>
      <c r="C522" s="1768" t="s">
        <v>417</v>
      </c>
      <c r="D522" s="1768"/>
      <c r="E522" s="1768"/>
      <c r="F522" s="1768"/>
      <c r="G522" s="1768"/>
      <c r="H522" s="1768"/>
      <c r="I522" s="1768"/>
      <c r="J522" s="1768"/>
      <c r="K522" s="1768"/>
      <c r="L522" s="98">
        <v>111.41</v>
      </c>
      <c r="M522" s="99"/>
      <c r="N522" s="100"/>
      <c r="AH522" s="43" t="s">
        <v>417</v>
      </c>
    </row>
    <row r="523" spans="1:35" s="40" customFormat="1" x14ac:dyDescent="0.2">
      <c r="A523" s="97"/>
      <c r="B523" s="91"/>
      <c r="C523" s="1787" t="s">
        <v>3663</v>
      </c>
      <c r="D523" s="1787"/>
      <c r="E523" s="1787"/>
      <c r="F523" s="1787"/>
      <c r="G523" s="1787"/>
      <c r="H523" s="1787"/>
      <c r="I523" s="1787"/>
      <c r="J523" s="1787"/>
      <c r="K523" s="1787"/>
      <c r="L523" s="102">
        <v>6774.74</v>
      </c>
      <c r="M523" s="103"/>
      <c r="N523" s="104"/>
      <c r="AI523" s="43" t="s">
        <v>3663</v>
      </c>
    </row>
    <row r="524" spans="1:35" s="40" customFormat="1" ht="12" x14ac:dyDescent="0.2">
      <c r="A524" s="1782" t="s">
        <v>3664</v>
      </c>
      <c r="B524" s="1783"/>
      <c r="C524" s="1783"/>
      <c r="D524" s="1783"/>
      <c r="E524" s="1783"/>
      <c r="F524" s="1783"/>
      <c r="G524" s="1783"/>
      <c r="H524" s="1783"/>
      <c r="I524" s="1783"/>
      <c r="J524" s="1783"/>
      <c r="K524" s="1783"/>
      <c r="L524" s="1783"/>
      <c r="M524" s="1783"/>
      <c r="N524" s="1784"/>
      <c r="V524" s="43" t="s">
        <v>3664</v>
      </c>
    </row>
    <row r="525" spans="1:35" s="40" customFormat="1" x14ac:dyDescent="0.2">
      <c r="A525" s="1801" t="s">
        <v>494</v>
      </c>
      <c r="B525" s="1802"/>
      <c r="C525" s="1802"/>
      <c r="D525" s="1802"/>
      <c r="E525" s="1802"/>
      <c r="F525" s="1802"/>
      <c r="G525" s="1802"/>
      <c r="H525" s="1802"/>
      <c r="I525" s="1802"/>
      <c r="J525" s="1802"/>
      <c r="K525" s="1802"/>
      <c r="L525" s="1802"/>
      <c r="M525" s="1802"/>
      <c r="N525" s="1803"/>
      <c r="W525" s="43" t="s">
        <v>494</v>
      </c>
    </row>
    <row r="526" spans="1:35" s="40" customFormat="1" ht="56.25" x14ac:dyDescent="0.2">
      <c r="A526" s="69" t="s">
        <v>784</v>
      </c>
      <c r="B526" s="70" t="s">
        <v>1349</v>
      </c>
      <c r="C526" s="1785" t="s">
        <v>1350</v>
      </c>
      <c r="D526" s="1785"/>
      <c r="E526" s="1785"/>
      <c r="F526" s="71" t="s">
        <v>455</v>
      </c>
      <c r="G526" s="71"/>
      <c r="H526" s="71"/>
      <c r="I526" s="71" t="s">
        <v>3596</v>
      </c>
      <c r="J526" s="72"/>
      <c r="K526" s="71"/>
      <c r="L526" s="72"/>
      <c r="M526" s="73"/>
      <c r="N526" s="74"/>
      <c r="X526" s="43" t="s">
        <v>1350</v>
      </c>
    </row>
    <row r="527" spans="1:35" s="40" customFormat="1" x14ac:dyDescent="0.2">
      <c r="A527" s="75"/>
      <c r="B527" s="76"/>
      <c r="C527" s="1768" t="s">
        <v>3597</v>
      </c>
      <c r="D527" s="1768"/>
      <c r="E527" s="1768"/>
      <c r="F527" s="1768"/>
      <c r="G527" s="1768"/>
      <c r="H527" s="1768"/>
      <c r="I527" s="1768"/>
      <c r="J527" s="1768"/>
      <c r="K527" s="1768"/>
      <c r="L527" s="1768"/>
      <c r="M527" s="1768"/>
      <c r="N527" s="1779"/>
      <c r="Y527" s="43" t="s">
        <v>3597</v>
      </c>
    </row>
    <row r="528" spans="1:35" s="40" customFormat="1" ht="33.75" x14ac:dyDescent="0.2">
      <c r="A528" s="77"/>
      <c r="B528" s="78" t="s">
        <v>310</v>
      </c>
      <c r="C528" s="1768" t="s">
        <v>311</v>
      </c>
      <c r="D528" s="1768"/>
      <c r="E528" s="1768"/>
      <c r="F528" s="1768"/>
      <c r="G528" s="1768"/>
      <c r="H528" s="1768"/>
      <c r="I528" s="1768"/>
      <c r="J528" s="1768"/>
      <c r="K528" s="1768"/>
      <c r="L528" s="1768"/>
      <c r="M528" s="1768"/>
      <c r="N528" s="1779"/>
      <c r="Z528" s="43" t="s">
        <v>311</v>
      </c>
    </row>
    <row r="529" spans="1:30" s="40" customFormat="1" x14ac:dyDescent="0.2">
      <c r="A529" s="79"/>
      <c r="B529" s="78" t="s">
        <v>186</v>
      </c>
      <c r="C529" s="1768" t="s">
        <v>344</v>
      </c>
      <c r="D529" s="1768"/>
      <c r="E529" s="1768"/>
      <c r="F529" s="80"/>
      <c r="G529" s="80"/>
      <c r="H529" s="80"/>
      <c r="I529" s="80"/>
      <c r="J529" s="81">
        <v>7550.19</v>
      </c>
      <c r="K529" s="80" t="s">
        <v>313</v>
      </c>
      <c r="L529" s="81">
        <v>29.92</v>
      </c>
      <c r="M529" s="82"/>
      <c r="N529" s="83"/>
      <c r="AA529" s="43" t="s">
        <v>344</v>
      </c>
    </row>
    <row r="530" spans="1:30" s="40" customFormat="1" x14ac:dyDescent="0.2">
      <c r="A530" s="79"/>
      <c r="B530" s="78" t="s">
        <v>187</v>
      </c>
      <c r="C530" s="1768" t="s">
        <v>345</v>
      </c>
      <c r="D530" s="1768"/>
      <c r="E530" s="1768"/>
      <c r="F530" s="80"/>
      <c r="G530" s="80"/>
      <c r="H530" s="80"/>
      <c r="I530" s="80"/>
      <c r="J530" s="81">
        <v>884.25</v>
      </c>
      <c r="K530" s="80" t="s">
        <v>313</v>
      </c>
      <c r="L530" s="81">
        <v>3.5</v>
      </c>
      <c r="M530" s="82"/>
      <c r="N530" s="83"/>
      <c r="AA530" s="43" t="s">
        <v>345</v>
      </c>
    </row>
    <row r="531" spans="1:30" s="40" customFormat="1" x14ac:dyDescent="0.2">
      <c r="A531" s="79"/>
      <c r="B531" s="78"/>
      <c r="C531" s="1768" t="s">
        <v>348</v>
      </c>
      <c r="D531" s="1768"/>
      <c r="E531" s="1768"/>
      <c r="F531" s="80" t="s">
        <v>315</v>
      </c>
      <c r="G531" s="80" t="s">
        <v>1353</v>
      </c>
      <c r="H531" s="80" t="s">
        <v>313</v>
      </c>
      <c r="I531" s="80" t="s">
        <v>3598</v>
      </c>
      <c r="J531" s="81"/>
      <c r="K531" s="80"/>
      <c r="L531" s="81"/>
      <c r="M531" s="82"/>
      <c r="N531" s="83"/>
      <c r="AB531" s="43" t="s">
        <v>348</v>
      </c>
    </row>
    <row r="532" spans="1:30" s="40" customFormat="1" x14ac:dyDescent="0.2">
      <c r="A532" s="79"/>
      <c r="B532" s="78"/>
      <c r="C532" s="1780" t="s">
        <v>318</v>
      </c>
      <c r="D532" s="1780"/>
      <c r="E532" s="1780"/>
      <c r="F532" s="84"/>
      <c r="G532" s="84"/>
      <c r="H532" s="84"/>
      <c r="I532" s="84"/>
      <c r="J532" s="85">
        <v>7550.19</v>
      </c>
      <c r="K532" s="84"/>
      <c r="L532" s="85">
        <v>29.92</v>
      </c>
      <c r="M532" s="86"/>
      <c r="N532" s="87"/>
      <c r="AC532" s="43" t="s">
        <v>318</v>
      </c>
    </row>
    <row r="533" spans="1:30" s="40" customFormat="1" x14ac:dyDescent="0.2">
      <c r="A533" s="79"/>
      <c r="B533" s="78"/>
      <c r="C533" s="1768" t="s">
        <v>319</v>
      </c>
      <c r="D533" s="1768"/>
      <c r="E533" s="1768"/>
      <c r="F533" s="80"/>
      <c r="G533" s="80"/>
      <c r="H533" s="80"/>
      <c r="I533" s="80"/>
      <c r="J533" s="81"/>
      <c r="K533" s="80"/>
      <c r="L533" s="81">
        <v>3.5</v>
      </c>
      <c r="M533" s="82"/>
      <c r="N533" s="83"/>
      <c r="AB533" s="43" t="s">
        <v>319</v>
      </c>
    </row>
    <row r="534" spans="1:30" s="40" customFormat="1" ht="33.75" x14ac:dyDescent="0.2">
      <c r="A534" s="79"/>
      <c r="B534" s="78" t="s">
        <v>460</v>
      </c>
      <c r="C534" s="1768" t="s">
        <v>461</v>
      </c>
      <c r="D534" s="1768"/>
      <c r="E534" s="1768"/>
      <c r="F534" s="80" t="s">
        <v>322</v>
      </c>
      <c r="G534" s="80" t="s">
        <v>462</v>
      </c>
      <c r="H534" s="80"/>
      <c r="I534" s="80" t="s">
        <v>462</v>
      </c>
      <c r="J534" s="81"/>
      <c r="K534" s="80"/>
      <c r="L534" s="81">
        <v>3.22</v>
      </c>
      <c r="M534" s="82"/>
      <c r="N534" s="83"/>
      <c r="AB534" s="43" t="s">
        <v>461</v>
      </c>
    </row>
    <row r="535" spans="1:30" s="40" customFormat="1" ht="33.75" x14ac:dyDescent="0.2">
      <c r="A535" s="79"/>
      <c r="B535" s="78" t="s">
        <v>463</v>
      </c>
      <c r="C535" s="1768" t="s">
        <v>464</v>
      </c>
      <c r="D535" s="1768"/>
      <c r="E535" s="1768"/>
      <c r="F535" s="80" t="s">
        <v>322</v>
      </c>
      <c r="G535" s="80" t="s">
        <v>465</v>
      </c>
      <c r="H535" s="80"/>
      <c r="I535" s="80" t="s">
        <v>465</v>
      </c>
      <c r="J535" s="81"/>
      <c r="K535" s="80"/>
      <c r="L535" s="81">
        <v>1.61</v>
      </c>
      <c r="M535" s="82"/>
      <c r="N535" s="83"/>
      <c r="AB535" s="43" t="s">
        <v>464</v>
      </c>
    </row>
    <row r="536" spans="1:30" s="40" customFormat="1" x14ac:dyDescent="0.2">
      <c r="A536" s="88"/>
      <c r="B536" s="89"/>
      <c r="C536" s="1785" t="s">
        <v>327</v>
      </c>
      <c r="D536" s="1785"/>
      <c r="E536" s="1785"/>
      <c r="F536" s="71"/>
      <c r="G536" s="71"/>
      <c r="H536" s="71"/>
      <c r="I536" s="71"/>
      <c r="J536" s="72"/>
      <c r="K536" s="71"/>
      <c r="L536" s="72">
        <v>34.75</v>
      </c>
      <c r="M536" s="86"/>
      <c r="N536" s="74"/>
      <c r="AD536" s="43" t="s">
        <v>327</v>
      </c>
    </row>
    <row r="537" spans="1:30" s="40" customFormat="1" ht="45" x14ac:dyDescent="0.2">
      <c r="A537" s="69" t="s">
        <v>1679</v>
      </c>
      <c r="B537" s="70" t="s">
        <v>495</v>
      </c>
      <c r="C537" s="1785" t="s">
        <v>496</v>
      </c>
      <c r="D537" s="1785"/>
      <c r="E537" s="1785"/>
      <c r="F537" s="71" t="s">
        <v>455</v>
      </c>
      <c r="G537" s="71"/>
      <c r="H537" s="71"/>
      <c r="I537" s="71" t="s">
        <v>3599</v>
      </c>
      <c r="J537" s="72"/>
      <c r="K537" s="71"/>
      <c r="L537" s="72"/>
      <c r="M537" s="73"/>
      <c r="N537" s="74"/>
      <c r="X537" s="43" t="s">
        <v>496</v>
      </c>
    </row>
    <row r="538" spans="1:30" s="40" customFormat="1" x14ac:dyDescent="0.2">
      <c r="A538" s="75"/>
      <c r="B538" s="76"/>
      <c r="C538" s="1768" t="s">
        <v>3600</v>
      </c>
      <c r="D538" s="1768"/>
      <c r="E538" s="1768"/>
      <c r="F538" s="1768"/>
      <c r="G538" s="1768"/>
      <c r="H538" s="1768"/>
      <c r="I538" s="1768"/>
      <c r="J538" s="1768"/>
      <c r="K538" s="1768"/>
      <c r="L538" s="1768"/>
      <c r="M538" s="1768"/>
      <c r="N538" s="1779"/>
      <c r="Y538" s="43" t="s">
        <v>3600</v>
      </c>
    </row>
    <row r="539" spans="1:30" s="40" customFormat="1" ht="33.75" x14ac:dyDescent="0.2">
      <c r="A539" s="77"/>
      <c r="B539" s="78" t="s">
        <v>310</v>
      </c>
      <c r="C539" s="1768" t="s">
        <v>311</v>
      </c>
      <c r="D539" s="1768"/>
      <c r="E539" s="1768"/>
      <c r="F539" s="1768"/>
      <c r="G539" s="1768"/>
      <c r="H539" s="1768"/>
      <c r="I539" s="1768"/>
      <c r="J539" s="1768"/>
      <c r="K539" s="1768"/>
      <c r="L539" s="1768"/>
      <c r="M539" s="1768"/>
      <c r="N539" s="1779"/>
      <c r="Z539" s="43" t="s">
        <v>311</v>
      </c>
    </row>
    <row r="540" spans="1:30" s="40" customFormat="1" x14ac:dyDescent="0.2">
      <c r="A540" s="79"/>
      <c r="B540" s="78" t="s">
        <v>186</v>
      </c>
      <c r="C540" s="1768" t="s">
        <v>344</v>
      </c>
      <c r="D540" s="1768"/>
      <c r="E540" s="1768"/>
      <c r="F540" s="80"/>
      <c r="G540" s="80"/>
      <c r="H540" s="80"/>
      <c r="I540" s="80"/>
      <c r="J540" s="81">
        <v>5532.96</v>
      </c>
      <c r="K540" s="80" t="s">
        <v>313</v>
      </c>
      <c r="L540" s="81">
        <v>13.62</v>
      </c>
      <c r="M540" s="82"/>
      <c r="N540" s="83"/>
      <c r="AA540" s="43" t="s">
        <v>344</v>
      </c>
    </row>
    <row r="541" spans="1:30" s="40" customFormat="1" x14ac:dyDescent="0.2">
      <c r="A541" s="79"/>
      <c r="B541" s="78" t="s">
        <v>187</v>
      </c>
      <c r="C541" s="1768" t="s">
        <v>345</v>
      </c>
      <c r="D541" s="1768"/>
      <c r="E541" s="1768"/>
      <c r="F541" s="80"/>
      <c r="G541" s="80"/>
      <c r="H541" s="80"/>
      <c r="I541" s="80"/>
      <c r="J541" s="81">
        <v>648</v>
      </c>
      <c r="K541" s="80" t="s">
        <v>313</v>
      </c>
      <c r="L541" s="81">
        <v>1.6</v>
      </c>
      <c r="M541" s="82"/>
      <c r="N541" s="83"/>
      <c r="AA541" s="43" t="s">
        <v>345</v>
      </c>
    </row>
    <row r="542" spans="1:30" s="40" customFormat="1" x14ac:dyDescent="0.2">
      <c r="A542" s="79"/>
      <c r="B542" s="78"/>
      <c r="C542" s="1768" t="s">
        <v>348</v>
      </c>
      <c r="D542" s="1768"/>
      <c r="E542" s="1768"/>
      <c r="F542" s="80" t="s">
        <v>315</v>
      </c>
      <c r="G542" s="80" t="s">
        <v>501</v>
      </c>
      <c r="H542" s="80" t="s">
        <v>313</v>
      </c>
      <c r="I542" s="80" t="s">
        <v>3601</v>
      </c>
      <c r="J542" s="81"/>
      <c r="K542" s="80"/>
      <c r="L542" s="81"/>
      <c r="M542" s="82"/>
      <c r="N542" s="83"/>
      <c r="AB542" s="43" t="s">
        <v>348</v>
      </c>
    </row>
    <row r="543" spans="1:30" s="40" customFormat="1" x14ac:dyDescent="0.2">
      <c r="A543" s="79"/>
      <c r="B543" s="78"/>
      <c r="C543" s="1780" t="s">
        <v>318</v>
      </c>
      <c r="D543" s="1780"/>
      <c r="E543" s="1780"/>
      <c r="F543" s="84"/>
      <c r="G543" s="84"/>
      <c r="H543" s="84"/>
      <c r="I543" s="84"/>
      <c r="J543" s="85">
        <v>5532.96</v>
      </c>
      <c r="K543" s="84"/>
      <c r="L543" s="85">
        <v>13.62</v>
      </c>
      <c r="M543" s="86"/>
      <c r="N543" s="87"/>
      <c r="AC543" s="43" t="s">
        <v>318</v>
      </c>
    </row>
    <row r="544" spans="1:30" s="40" customFormat="1" x14ac:dyDescent="0.2">
      <c r="A544" s="79"/>
      <c r="B544" s="78"/>
      <c r="C544" s="1768" t="s">
        <v>319</v>
      </c>
      <c r="D544" s="1768"/>
      <c r="E544" s="1768"/>
      <c r="F544" s="80"/>
      <c r="G544" s="80"/>
      <c r="H544" s="80"/>
      <c r="I544" s="80"/>
      <c r="J544" s="81"/>
      <c r="K544" s="80"/>
      <c r="L544" s="81">
        <v>1.6</v>
      </c>
      <c r="M544" s="82"/>
      <c r="N544" s="83"/>
      <c r="AB544" s="43" t="s">
        <v>319</v>
      </c>
    </row>
    <row r="545" spans="1:30" s="40" customFormat="1" ht="33.75" x14ac:dyDescent="0.2">
      <c r="A545" s="79"/>
      <c r="B545" s="78" t="s">
        <v>460</v>
      </c>
      <c r="C545" s="1768" t="s">
        <v>461</v>
      </c>
      <c r="D545" s="1768"/>
      <c r="E545" s="1768"/>
      <c r="F545" s="80" t="s">
        <v>322</v>
      </c>
      <c r="G545" s="80" t="s">
        <v>462</v>
      </c>
      <c r="H545" s="80"/>
      <c r="I545" s="80" t="s">
        <v>462</v>
      </c>
      <c r="J545" s="81"/>
      <c r="K545" s="80"/>
      <c r="L545" s="81">
        <v>1.47</v>
      </c>
      <c r="M545" s="82"/>
      <c r="N545" s="83"/>
      <c r="AB545" s="43" t="s">
        <v>461</v>
      </c>
    </row>
    <row r="546" spans="1:30" s="40" customFormat="1" ht="33.75" x14ac:dyDescent="0.2">
      <c r="A546" s="79"/>
      <c r="B546" s="78" t="s">
        <v>463</v>
      </c>
      <c r="C546" s="1768" t="s">
        <v>464</v>
      </c>
      <c r="D546" s="1768"/>
      <c r="E546" s="1768"/>
      <c r="F546" s="80" t="s">
        <v>322</v>
      </c>
      <c r="G546" s="80" t="s">
        <v>465</v>
      </c>
      <c r="H546" s="80"/>
      <c r="I546" s="80" t="s">
        <v>465</v>
      </c>
      <c r="J546" s="81"/>
      <c r="K546" s="80"/>
      <c r="L546" s="81">
        <v>0.74</v>
      </c>
      <c r="M546" s="82"/>
      <c r="N546" s="83"/>
      <c r="AB546" s="43" t="s">
        <v>464</v>
      </c>
    </row>
    <row r="547" spans="1:30" s="40" customFormat="1" x14ac:dyDescent="0.2">
      <c r="A547" s="88"/>
      <c r="B547" s="89"/>
      <c r="C547" s="1785" t="s">
        <v>327</v>
      </c>
      <c r="D547" s="1785"/>
      <c r="E547" s="1785"/>
      <c r="F547" s="71"/>
      <c r="G547" s="71"/>
      <c r="H547" s="71"/>
      <c r="I547" s="71"/>
      <c r="J547" s="72"/>
      <c r="K547" s="71"/>
      <c r="L547" s="72">
        <v>15.83</v>
      </c>
      <c r="M547" s="86"/>
      <c r="N547" s="74"/>
      <c r="AD547" s="43" t="s">
        <v>327</v>
      </c>
    </row>
    <row r="548" spans="1:30" s="40" customFormat="1" ht="56.25" x14ac:dyDescent="0.2">
      <c r="A548" s="69" t="s">
        <v>786</v>
      </c>
      <c r="B548" s="70" t="s">
        <v>1358</v>
      </c>
      <c r="C548" s="1785" t="s">
        <v>1359</v>
      </c>
      <c r="D548" s="1785"/>
      <c r="E548" s="1785"/>
      <c r="F548" s="71" t="s">
        <v>455</v>
      </c>
      <c r="G548" s="71"/>
      <c r="H548" s="71"/>
      <c r="I548" s="71" t="s">
        <v>3599</v>
      </c>
      <c r="J548" s="72"/>
      <c r="K548" s="71"/>
      <c r="L548" s="72"/>
      <c r="M548" s="73"/>
      <c r="N548" s="74"/>
      <c r="X548" s="43" t="s">
        <v>1359</v>
      </c>
    </row>
    <row r="549" spans="1:30" s="40" customFormat="1" x14ac:dyDescent="0.2">
      <c r="A549" s="75"/>
      <c r="B549" s="76"/>
      <c r="C549" s="1768" t="s">
        <v>3600</v>
      </c>
      <c r="D549" s="1768"/>
      <c r="E549" s="1768"/>
      <c r="F549" s="1768"/>
      <c r="G549" s="1768"/>
      <c r="H549" s="1768"/>
      <c r="I549" s="1768"/>
      <c r="J549" s="1768"/>
      <c r="K549" s="1768"/>
      <c r="L549" s="1768"/>
      <c r="M549" s="1768"/>
      <c r="N549" s="1779"/>
      <c r="Y549" s="43" t="s">
        <v>3600</v>
      </c>
    </row>
    <row r="550" spans="1:30" s="40" customFormat="1" ht="33.75" x14ac:dyDescent="0.2">
      <c r="A550" s="77"/>
      <c r="B550" s="78" t="s">
        <v>310</v>
      </c>
      <c r="C550" s="1768" t="s">
        <v>311</v>
      </c>
      <c r="D550" s="1768"/>
      <c r="E550" s="1768"/>
      <c r="F550" s="1768"/>
      <c r="G550" s="1768"/>
      <c r="H550" s="1768"/>
      <c r="I550" s="1768"/>
      <c r="J550" s="1768"/>
      <c r="K550" s="1768"/>
      <c r="L550" s="1768"/>
      <c r="M550" s="1768"/>
      <c r="N550" s="1779"/>
      <c r="Z550" s="43" t="s">
        <v>311</v>
      </c>
    </row>
    <row r="551" spans="1:30" s="40" customFormat="1" x14ac:dyDescent="0.2">
      <c r="A551" s="79"/>
      <c r="B551" s="78" t="s">
        <v>186</v>
      </c>
      <c r="C551" s="1768" t="s">
        <v>344</v>
      </c>
      <c r="D551" s="1768"/>
      <c r="E551" s="1768"/>
      <c r="F551" s="80"/>
      <c r="G551" s="80"/>
      <c r="H551" s="80"/>
      <c r="I551" s="80"/>
      <c r="J551" s="81">
        <v>4264.99</v>
      </c>
      <c r="K551" s="80" t="s">
        <v>313</v>
      </c>
      <c r="L551" s="81">
        <v>10.5</v>
      </c>
      <c r="M551" s="82"/>
      <c r="N551" s="83"/>
      <c r="AA551" s="43" t="s">
        <v>344</v>
      </c>
    </row>
    <row r="552" spans="1:30" s="40" customFormat="1" x14ac:dyDescent="0.2">
      <c r="A552" s="79"/>
      <c r="B552" s="78" t="s">
        <v>187</v>
      </c>
      <c r="C552" s="1768" t="s">
        <v>345</v>
      </c>
      <c r="D552" s="1768"/>
      <c r="E552" s="1768"/>
      <c r="F552" s="80"/>
      <c r="G552" s="80"/>
      <c r="H552" s="80"/>
      <c r="I552" s="80"/>
      <c r="J552" s="81">
        <v>499.5</v>
      </c>
      <c r="K552" s="80" t="s">
        <v>313</v>
      </c>
      <c r="L552" s="81">
        <v>1.23</v>
      </c>
      <c r="M552" s="82"/>
      <c r="N552" s="83"/>
      <c r="AA552" s="43" t="s">
        <v>345</v>
      </c>
    </row>
    <row r="553" spans="1:30" s="40" customFormat="1" x14ac:dyDescent="0.2">
      <c r="A553" s="79"/>
      <c r="B553" s="78"/>
      <c r="C553" s="1768" t="s">
        <v>348</v>
      </c>
      <c r="D553" s="1768"/>
      <c r="E553" s="1768"/>
      <c r="F553" s="80" t="s">
        <v>315</v>
      </c>
      <c r="G553" s="80" t="s">
        <v>770</v>
      </c>
      <c r="H553" s="80" t="s">
        <v>313</v>
      </c>
      <c r="I553" s="80" t="s">
        <v>3602</v>
      </c>
      <c r="J553" s="81"/>
      <c r="K553" s="80"/>
      <c r="L553" s="81"/>
      <c r="M553" s="82"/>
      <c r="N553" s="83"/>
      <c r="AB553" s="43" t="s">
        <v>348</v>
      </c>
    </row>
    <row r="554" spans="1:30" s="40" customFormat="1" x14ac:dyDescent="0.2">
      <c r="A554" s="79"/>
      <c r="B554" s="78"/>
      <c r="C554" s="1780" t="s">
        <v>318</v>
      </c>
      <c r="D554" s="1780"/>
      <c r="E554" s="1780"/>
      <c r="F554" s="84"/>
      <c r="G554" s="84"/>
      <c r="H554" s="84"/>
      <c r="I554" s="84"/>
      <c r="J554" s="85">
        <v>4264.99</v>
      </c>
      <c r="K554" s="84"/>
      <c r="L554" s="85">
        <v>10.5</v>
      </c>
      <c r="M554" s="86"/>
      <c r="N554" s="87"/>
      <c r="AC554" s="43" t="s">
        <v>318</v>
      </c>
    </row>
    <row r="555" spans="1:30" s="40" customFormat="1" x14ac:dyDescent="0.2">
      <c r="A555" s="79"/>
      <c r="B555" s="78"/>
      <c r="C555" s="1768" t="s">
        <v>319</v>
      </c>
      <c r="D555" s="1768"/>
      <c r="E555" s="1768"/>
      <c r="F555" s="80"/>
      <c r="G555" s="80"/>
      <c r="H555" s="80"/>
      <c r="I555" s="80"/>
      <c r="J555" s="81"/>
      <c r="K555" s="80"/>
      <c r="L555" s="81">
        <v>1.23</v>
      </c>
      <c r="M555" s="82"/>
      <c r="N555" s="83"/>
      <c r="AB555" s="43" t="s">
        <v>319</v>
      </c>
    </row>
    <row r="556" spans="1:30" s="40" customFormat="1" ht="33.75" x14ac:dyDescent="0.2">
      <c r="A556" s="79"/>
      <c r="B556" s="78" t="s">
        <v>460</v>
      </c>
      <c r="C556" s="1768" t="s">
        <v>461</v>
      </c>
      <c r="D556" s="1768"/>
      <c r="E556" s="1768"/>
      <c r="F556" s="80" t="s">
        <v>322</v>
      </c>
      <c r="G556" s="80" t="s">
        <v>462</v>
      </c>
      <c r="H556" s="80"/>
      <c r="I556" s="80" t="s">
        <v>462</v>
      </c>
      <c r="J556" s="81"/>
      <c r="K556" s="80"/>
      <c r="L556" s="81">
        <v>1.1299999999999999</v>
      </c>
      <c r="M556" s="82"/>
      <c r="N556" s="83"/>
      <c r="AB556" s="43" t="s">
        <v>461</v>
      </c>
    </row>
    <row r="557" spans="1:30" s="40" customFormat="1" ht="33.75" x14ac:dyDescent="0.2">
      <c r="A557" s="79"/>
      <c r="B557" s="78" t="s">
        <v>463</v>
      </c>
      <c r="C557" s="1768" t="s">
        <v>464</v>
      </c>
      <c r="D557" s="1768"/>
      <c r="E557" s="1768"/>
      <c r="F557" s="80" t="s">
        <v>322</v>
      </c>
      <c r="G557" s="80" t="s">
        <v>465</v>
      </c>
      <c r="H557" s="80"/>
      <c r="I557" s="80" t="s">
        <v>465</v>
      </c>
      <c r="J557" s="81"/>
      <c r="K557" s="80"/>
      <c r="L557" s="81">
        <v>0.56999999999999995</v>
      </c>
      <c r="M557" s="82"/>
      <c r="N557" s="83"/>
      <c r="AB557" s="43" t="s">
        <v>464</v>
      </c>
    </row>
    <row r="558" spans="1:30" s="40" customFormat="1" x14ac:dyDescent="0.2">
      <c r="A558" s="88"/>
      <c r="B558" s="89"/>
      <c r="C558" s="1785" t="s">
        <v>327</v>
      </c>
      <c r="D558" s="1785"/>
      <c r="E558" s="1785"/>
      <c r="F558" s="71"/>
      <c r="G558" s="71"/>
      <c r="H558" s="71"/>
      <c r="I558" s="71"/>
      <c r="J558" s="72"/>
      <c r="K558" s="71"/>
      <c r="L558" s="72">
        <v>12.2</v>
      </c>
      <c r="M558" s="86"/>
      <c r="N558" s="74"/>
      <c r="AD558" s="43" t="s">
        <v>327</v>
      </c>
    </row>
    <row r="559" spans="1:30" s="40" customFormat="1" ht="22.5" x14ac:dyDescent="0.2">
      <c r="A559" s="69" t="s">
        <v>787</v>
      </c>
      <c r="B559" s="70" t="s">
        <v>507</v>
      </c>
      <c r="C559" s="1785" t="s">
        <v>508</v>
      </c>
      <c r="D559" s="1785"/>
      <c r="E559" s="1785"/>
      <c r="F559" s="71" t="s">
        <v>509</v>
      </c>
      <c r="G559" s="71"/>
      <c r="H559" s="71"/>
      <c r="I559" s="71" t="s">
        <v>3603</v>
      </c>
      <c r="J559" s="72"/>
      <c r="K559" s="71"/>
      <c r="L559" s="72"/>
      <c r="M559" s="73"/>
      <c r="N559" s="74"/>
      <c r="X559" s="43" t="s">
        <v>508</v>
      </c>
    </row>
    <row r="560" spans="1:30" s="40" customFormat="1" x14ac:dyDescent="0.2">
      <c r="A560" s="75"/>
      <c r="B560" s="76"/>
      <c r="C560" s="1768" t="s">
        <v>3604</v>
      </c>
      <c r="D560" s="1768"/>
      <c r="E560" s="1768"/>
      <c r="F560" s="1768"/>
      <c r="G560" s="1768"/>
      <c r="H560" s="1768"/>
      <c r="I560" s="1768"/>
      <c r="J560" s="1768"/>
      <c r="K560" s="1768"/>
      <c r="L560" s="1768"/>
      <c r="M560" s="1768"/>
      <c r="N560" s="1779"/>
      <c r="Y560" s="43" t="s">
        <v>3604</v>
      </c>
    </row>
    <row r="561" spans="1:30" s="40" customFormat="1" ht="33.75" x14ac:dyDescent="0.2">
      <c r="A561" s="77"/>
      <c r="B561" s="78" t="s">
        <v>310</v>
      </c>
      <c r="C561" s="1768" t="s">
        <v>311</v>
      </c>
      <c r="D561" s="1768"/>
      <c r="E561" s="1768"/>
      <c r="F561" s="1768"/>
      <c r="G561" s="1768"/>
      <c r="H561" s="1768"/>
      <c r="I561" s="1768"/>
      <c r="J561" s="1768"/>
      <c r="K561" s="1768"/>
      <c r="L561" s="1768"/>
      <c r="M561" s="1768"/>
      <c r="N561" s="1779"/>
      <c r="Z561" s="43" t="s">
        <v>311</v>
      </c>
    </row>
    <row r="562" spans="1:30" s="40" customFormat="1" x14ac:dyDescent="0.2">
      <c r="A562" s="79"/>
      <c r="B562" s="78" t="s">
        <v>185</v>
      </c>
      <c r="C562" s="1768" t="s">
        <v>312</v>
      </c>
      <c r="D562" s="1768"/>
      <c r="E562" s="1768"/>
      <c r="F562" s="80"/>
      <c r="G562" s="80"/>
      <c r="H562" s="80"/>
      <c r="I562" s="80"/>
      <c r="J562" s="81">
        <v>127.61</v>
      </c>
      <c r="K562" s="80" t="s">
        <v>313</v>
      </c>
      <c r="L562" s="81">
        <v>3.14</v>
      </c>
      <c r="M562" s="82"/>
      <c r="N562" s="83"/>
      <c r="AA562" s="43" t="s">
        <v>312</v>
      </c>
    </row>
    <row r="563" spans="1:30" s="40" customFormat="1" x14ac:dyDescent="0.2">
      <c r="A563" s="79"/>
      <c r="B563" s="78" t="s">
        <v>186</v>
      </c>
      <c r="C563" s="1768" t="s">
        <v>344</v>
      </c>
      <c r="D563" s="1768"/>
      <c r="E563" s="1768"/>
      <c r="F563" s="80"/>
      <c r="G563" s="80"/>
      <c r="H563" s="80"/>
      <c r="I563" s="80"/>
      <c r="J563" s="81">
        <v>288.58</v>
      </c>
      <c r="K563" s="80" t="s">
        <v>313</v>
      </c>
      <c r="L563" s="81">
        <v>7.11</v>
      </c>
      <c r="M563" s="82"/>
      <c r="N563" s="83"/>
      <c r="AA563" s="43" t="s">
        <v>344</v>
      </c>
    </row>
    <row r="564" spans="1:30" s="40" customFormat="1" x14ac:dyDescent="0.2">
      <c r="A564" s="79"/>
      <c r="B564" s="78" t="s">
        <v>187</v>
      </c>
      <c r="C564" s="1768" t="s">
        <v>345</v>
      </c>
      <c r="D564" s="1768"/>
      <c r="E564" s="1768"/>
      <c r="F564" s="80"/>
      <c r="G564" s="80"/>
      <c r="H564" s="80"/>
      <c r="I564" s="80"/>
      <c r="J564" s="81">
        <v>31.49</v>
      </c>
      <c r="K564" s="80" t="s">
        <v>313</v>
      </c>
      <c r="L564" s="81">
        <v>0.78</v>
      </c>
      <c r="M564" s="82"/>
      <c r="N564" s="83"/>
      <c r="AA564" s="43" t="s">
        <v>345</v>
      </c>
    </row>
    <row r="565" spans="1:30" s="40" customFormat="1" x14ac:dyDescent="0.2">
      <c r="A565" s="79"/>
      <c r="B565" s="78"/>
      <c r="C565" s="1768" t="s">
        <v>314</v>
      </c>
      <c r="D565" s="1768"/>
      <c r="E565" s="1768"/>
      <c r="F565" s="80" t="s">
        <v>315</v>
      </c>
      <c r="G565" s="80" t="s">
        <v>512</v>
      </c>
      <c r="H565" s="80" t="s">
        <v>313</v>
      </c>
      <c r="I565" s="80" t="s">
        <v>3605</v>
      </c>
      <c r="J565" s="81"/>
      <c r="K565" s="80"/>
      <c r="L565" s="81"/>
      <c r="M565" s="82"/>
      <c r="N565" s="83"/>
      <c r="AB565" s="43" t="s">
        <v>314</v>
      </c>
    </row>
    <row r="566" spans="1:30" s="40" customFormat="1" x14ac:dyDescent="0.2">
      <c r="A566" s="79"/>
      <c r="B566" s="78"/>
      <c r="C566" s="1768" t="s">
        <v>348</v>
      </c>
      <c r="D566" s="1768"/>
      <c r="E566" s="1768"/>
      <c r="F566" s="80" t="s">
        <v>315</v>
      </c>
      <c r="G566" s="80" t="s">
        <v>514</v>
      </c>
      <c r="H566" s="80" t="s">
        <v>313</v>
      </c>
      <c r="I566" s="80" t="s">
        <v>3606</v>
      </c>
      <c r="J566" s="81"/>
      <c r="K566" s="80"/>
      <c r="L566" s="81"/>
      <c r="M566" s="82"/>
      <c r="N566" s="83"/>
      <c r="AB566" s="43" t="s">
        <v>348</v>
      </c>
    </row>
    <row r="567" spans="1:30" s="40" customFormat="1" x14ac:dyDescent="0.2">
      <c r="A567" s="79"/>
      <c r="B567" s="78"/>
      <c r="C567" s="1780" t="s">
        <v>318</v>
      </c>
      <c r="D567" s="1780"/>
      <c r="E567" s="1780"/>
      <c r="F567" s="84"/>
      <c r="G567" s="84"/>
      <c r="H567" s="84"/>
      <c r="I567" s="84"/>
      <c r="J567" s="85">
        <v>416.19</v>
      </c>
      <c r="K567" s="84"/>
      <c r="L567" s="85">
        <v>10.25</v>
      </c>
      <c r="M567" s="86"/>
      <c r="N567" s="87"/>
      <c r="AC567" s="43" t="s">
        <v>318</v>
      </c>
    </row>
    <row r="568" spans="1:30" s="40" customFormat="1" x14ac:dyDescent="0.2">
      <c r="A568" s="79"/>
      <c r="B568" s="78"/>
      <c r="C568" s="1768" t="s">
        <v>319</v>
      </c>
      <c r="D568" s="1768"/>
      <c r="E568" s="1768"/>
      <c r="F568" s="80"/>
      <c r="G568" s="80"/>
      <c r="H568" s="80"/>
      <c r="I568" s="80"/>
      <c r="J568" s="81"/>
      <c r="K568" s="80"/>
      <c r="L568" s="81">
        <v>3.92</v>
      </c>
      <c r="M568" s="82"/>
      <c r="N568" s="83"/>
      <c r="AB568" s="43" t="s">
        <v>319</v>
      </c>
    </row>
    <row r="569" spans="1:30" s="40" customFormat="1" ht="33.75" x14ac:dyDescent="0.2">
      <c r="A569" s="79"/>
      <c r="B569" s="78" t="s">
        <v>460</v>
      </c>
      <c r="C569" s="1768" t="s">
        <v>461</v>
      </c>
      <c r="D569" s="1768"/>
      <c r="E569" s="1768"/>
      <c r="F569" s="80" t="s">
        <v>322</v>
      </c>
      <c r="G569" s="80" t="s">
        <v>462</v>
      </c>
      <c r="H569" s="80"/>
      <c r="I569" s="80" t="s">
        <v>462</v>
      </c>
      <c r="J569" s="81"/>
      <c r="K569" s="80"/>
      <c r="L569" s="81">
        <v>3.61</v>
      </c>
      <c r="M569" s="82"/>
      <c r="N569" s="83"/>
      <c r="AB569" s="43" t="s">
        <v>461</v>
      </c>
    </row>
    <row r="570" spans="1:30" s="40" customFormat="1" ht="33.75" x14ac:dyDescent="0.2">
      <c r="A570" s="79"/>
      <c r="B570" s="78" t="s">
        <v>463</v>
      </c>
      <c r="C570" s="1768" t="s">
        <v>464</v>
      </c>
      <c r="D570" s="1768"/>
      <c r="E570" s="1768"/>
      <c r="F570" s="80" t="s">
        <v>322</v>
      </c>
      <c r="G570" s="80" t="s">
        <v>465</v>
      </c>
      <c r="H570" s="80"/>
      <c r="I570" s="80" t="s">
        <v>465</v>
      </c>
      <c r="J570" s="81"/>
      <c r="K570" s="80"/>
      <c r="L570" s="81">
        <v>1.8</v>
      </c>
      <c r="M570" s="82"/>
      <c r="N570" s="83"/>
      <c r="AB570" s="43" t="s">
        <v>464</v>
      </c>
    </row>
    <row r="571" spans="1:30" s="40" customFormat="1" x14ac:dyDescent="0.2">
      <c r="A571" s="88"/>
      <c r="B571" s="89"/>
      <c r="C571" s="1785" t="s">
        <v>327</v>
      </c>
      <c r="D571" s="1785"/>
      <c r="E571" s="1785"/>
      <c r="F571" s="71"/>
      <c r="G571" s="71"/>
      <c r="H571" s="71"/>
      <c r="I571" s="71"/>
      <c r="J571" s="72"/>
      <c r="K571" s="71"/>
      <c r="L571" s="72">
        <v>15.66</v>
      </c>
      <c r="M571" s="86"/>
      <c r="N571" s="74"/>
      <c r="AD571" s="43" t="s">
        <v>327</v>
      </c>
    </row>
    <row r="572" spans="1:30" s="40" customFormat="1" ht="45" x14ac:dyDescent="0.2">
      <c r="A572" s="69" t="s">
        <v>624</v>
      </c>
      <c r="B572" s="70" t="s">
        <v>1005</v>
      </c>
      <c r="C572" s="1785" t="s">
        <v>1006</v>
      </c>
      <c r="D572" s="1785"/>
      <c r="E572" s="1785"/>
      <c r="F572" s="71" t="s">
        <v>201</v>
      </c>
      <c r="G572" s="71"/>
      <c r="H572" s="71"/>
      <c r="I572" s="71" t="s">
        <v>3607</v>
      </c>
      <c r="J572" s="72">
        <v>2.91</v>
      </c>
      <c r="K572" s="71"/>
      <c r="L572" s="72">
        <v>21.22</v>
      </c>
      <c r="M572" s="73"/>
      <c r="N572" s="74"/>
      <c r="X572" s="43" t="s">
        <v>1006</v>
      </c>
    </row>
    <row r="573" spans="1:30" s="40" customFormat="1" x14ac:dyDescent="0.2">
      <c r="A573" s="75"/>
      <c r="B573" s="76"/>
      <c r="C573" s="1768" t="s">
        <v>3608</v>
      </c>
      <c r="D573" s="1768"/>
      <c r="E573" s="1768"/>
      <c r="F573" s="1768"/>
      <c r="G573" s="1768"/>
      <c r="H573" s="1768"/>
      <c r="I573" s="1768"/>
      <c r="J573" s="1768"/>
      <c r="K573" s="1768"/>
      <c r="L573" s="1768"/>
      <c r="M573" s="1768"/>
      <c r="N573" s="1779"/>
      <c r="Y573" s="43" t="s">
        <v>3608</v>
      </c>
    </row>
    <row r="574" spans="1:30" s="40" customFormat="1" x14ac:dyDescent="0.2">
      <c r="A574" s="1801" t="s">
        <v>3609</v>
      </c>
      <c r="B574" s="1802"/>
      <c r="C574" s="1802"/>
      <c r="D574" s="1802"/>
      <c r="E574" s="1802"/>
      <c r="F574" s="1802"/>
      <c r="G574" s="1802"/>
      <c r="H574" s="1802"/>
      <c r="I574" s="1802"/>
      <c r="J574" s="1802"/>
      <c r="K574" s="1802"/>
      <c r="L574" s="1802"/>
      <c r="M574" s="1802"/>
      <c r="N574" s="1803"/>
      <c r="W574" s="43" t="s">
        <v>3609</v>
      </c>
    </row>
    <row r="575" spans="1:30" s="40" customFormat="1" x14ac:dyDescent="0.2">
      <c r="A575" s="69" t="s">
        <v>1784</v>
      </c>
      <c r="B575" s="70" t="s">
        <v>1368</v>
      </c>
      <c r="C575" s="1785" t="s">
        <v>1369</v>
      </c>
      <c r="D575" s="1785"/>
      <c r="E575" s="1785"/>
      <c r="F575" s="71" t="s">
        <v>509</v>
      </c>
      <c r="G575" s="71"/>
      <c r="H575" s="71"/>
      <c r="I575" s="71" t="s">
        <v>3610</v>
      </c>
      <c r="J575" s="72"/>
      <c r="K575" s="71"/>
      <c r="L575" s="72"/>
      <c r="M575" s="73"/>
      <c r="N575" s="74"/>
      <c r="X575" s="43" t="s">
        <v>1369</v>
      </c>
    </row>
    <row r="576" spans="1:30" s="40" customFormat="1" x14ac:dyDescent="0.2">
      <c r="A576" s="75"/>
      <c r="B576" s="76"/>
      <c r="C576" s="1768" t="s">
        <v>3611</v>
      </c>
      <c r="D576" s="1768"/>
      <c r="E576" s="1768"/>
      <c r="F576" s="1768"/>
      <c r="G576" s="1768"/>
      <c r="H576" s="1768"/>
      <c r="I576" s="1768"/>
      <c r="J576" s="1768"/>
      <c r="K576" s="1768"/>
      <c r="L576" s="1768"/>
      <c r="M576" s="1768"/>
      <c r="N576" s="1779"/>
      <c r="Y576" s="43" t="s">
        <v>3611</v>
      </c>
    </row>
    <row r="577" spans="1:31" s="40" customFormat="1" ht="33.75" x14ac:dyDescent="0.2">
      <c r="A577" s="77"/>
      <c r="B577" s="78" t="s">
        <v>310</v>
      </c>
      <c r="C577" s="1768" t="s">
        <v>311</v>
      </c>
      <c r="D577" s="1768"/>
      <c r="E577" s="1768"/>
      <c r="F577" s="1768"/>
      <c r="G577" s="1768"/>
      <c r="H577" s="1768"/>
      <c r="I577" s="1768"/>
      <c r="J577" s="1768"/>
      <c r="K577" s="1768"/>
      <c r="L577" s="1768"/>
      <c r="M577" s="1768"/>
      <c r="N577" s="1779"/>
      <c r="Z577" s="43" t="s">
        <v>311</v>
      </c>
    </row>
    <row r="578" spans="1:31" s="40" customFormat="1" x14ac:dyDescent="0.2">
      <c r="A578" s="79"/>
      <c r="B578" s="78" t="s">
        <v>185</v>
      </c>
      <c r="C578" s="1768" t="s">
        <v>312</v>
      </c>
      <c r="D578" s="1768"/>
      <c r="E578" s="1768"/>
      <c r="F578" s="80"/>
      <c r="G578" s="80"/>
      <c r="H578" s="80"/>
      <c r="I578" s="80"/>
      <c r="J578" s="81">
        <v>1053</v>
      </c>
      <c r="K578" s="80" t="s">
        <v>313</v>
      </c>
      <c r="L578" s="81">
        <v>9.48</v>
      </c>
      <c r="M578" s="82"/>
      <c r="N578" s="83"/>
      <c r="AA578" s="43" t="s">
        <v>312</v>
      </c>
    </row>
    <row r="579" spans="1:31" s="40" customFormat="1" x14ac:dyDescent="0.2">
      <c r="A579" s="79"/>
      <c r="B579" s="78" t="s">
        <v>186</v>
      </c>
      <c r="C579" s="1768" t="s">
        <v>344</v>
      </c>
      <c r="D579" s="1768"/>
      <c r="E579" s="1768"/>
      <c r="F579" s="80"/>
      <c r="G579" s="80"/>
      <c r="H579" s="80"/>
      <c r="I579" s="80"/>
      <c r="J579" s="81">
        <v>1566.06</v>
      </c>
      <c r="K579" s="80" t="s">
        <v>313</v>
      </c>
      <c r="L579" s="81">
        <v>14.09</v>
      </c>
      <c r="M579" s="82"/>
      <c r="N579" s="83"/>
      <c r="AA579" s="43" t="s">
        <v>344</v>
      </c>
    </row>
    <row r="580" spans="1:31" s="40" customFormat="1" x14ac:dyDescent="0.2">
      <c r="A580" s="79"/>
      <c r="B580" s="78" t="s">
        <v>187</v>
      </c>
      <c r="C580" s="1768" t="s">
        <v>345</v>
      </c>
      <c r="D580" s="1768"/>
      <c r="E580" s="1768"/>
      <c r="F580" s="80"/>
      <c r="G580" s="80"/>
      <c r="H580" s="80"/>
      <c r="I580" s="80"/>
      <c r="J580" s="81">
        <v>244.39</v>
      </c>
      <c r="K580" s="80" t="s">
        <v>313</v>
      </c>
      <c r="L580" s="81">
        <v>2.2000000000000002</v>
      </c>
      <c r="M580" s="82"/>
      <c r="N580" s="83"/>
      <c r="AA580" s="43" t="s">
        <v>345</v>
      </c>
    </row>
    <row r="581" spans="1:31" s="40" customFormat="1" x14ac:dyDescent="0.2">
      <c r="A581" s="79"/>
      <c r="B581" s="78" t="s">
        <v>188</v>
      </c>
      <c r="C581" s="1768" t="s">
        <v>475</v>
      </c>
      <c r="D581" s="1768"/>
      <c r="E581" s="1768"/>
      <c r="F581" s="80"/>
      <c r="G581" s="80"/>
      <c r="H581" s="80"/>
      <c r="I581" s="80"/>
      <c r="J581" s="81">
        <v>909.27</v>
      </c>
      <c r="K581" s="80"/>
      <c r="L581" s="81">
        <v>6.55</v>
      </c>
      <c r="M581" s="82"/>
      <c r="N581" s="83"/>
      <c r="AA581" s="43" t="s">
        <v>475</v>
      </c>
    </row>
    <row r="582" spans="1:31" s="40" customFormat="1" x14ac:dyDescent="0.2">
      <c r="A582" s="75"/>
      <c r="B582" s="114" t="s">
        <v>639</v>
      </c>
      <c r="C582" s="1804" t="s">
        <v>640</v>
      </c>
      <c r="D582" s="1804"/>
      <c r="E582" s="1804"/>
      <c r="F582" s="115" t="s">
        <v>641</v>
      </c>
      <c r="G582" s="115" t="s">
        <v>680</v>
      </c>
      <c r="H582" s="115"/>
      <c r="I582" s="115" t="s">
        <v>3612</v>
      </c>
      <c r="J582" s="78"/>
      <c r="K582" s="80"/>
      <c r="L582" s="81"/>
      <c r="M582" s="80"/>
      <c r="N582" s="116"/>
      <c r="AE582" s="43" t="s">
        <v>640</v>
      </c>
    </row>
    <row r="583" spans="1:31" s="40" customFormat="1" x14ac:dyDescent="0.2">
      <c r="A583" s="79"/>
      <c r="B583" s="78"/>
      <c r="C583" s="1768" t="s">
        <v>314</v>
      </c>
      <c r="D583" s="1768"/>
      <c r="E583" s="1768"/>
      <c r="F583" s="80" t="s">
        <v>315</v>
      </c>
      <c r="G583" s="80" t="s">
        <v>1373</v>
      </c>
      <c r="H583" s="80" t="s">
        <v>313</v>
      </c>
      <c r="I583" s="80" t="s">
        <v>3613</v>
      </c>
      <c r="J583" s="81"/>
      <c r="K583" s="80"/>
      <c r="L583" s="81"/>
      <c r="M583" s="82"/>
      <c r="N583" s="83"/>
      <c r="AB583" s="43" t="s">
        <v>314</v>
      </c>
    </row>
    <row r="584" spans="1:31" s="40" customFormat="1" x14ac:dyDescent="0.2">
      <c r="A584" s="79"/>
      <c r="B584" s="78"/>
      <c r="C584" s="1768" t="s">
        <v>348</v>
      </c>
      <c r="D584" s="1768"/>
      <c r="E584" s="1768"/>
      <c r="F584" s="80" t="s">
        <v>315</v>
      </c>
      <c r="G584" s="80" t="s">
        <v>1375</v>
      </c>
      <c r="H584" s="80" t="s">
        <v>313</v>
      </c>
      <c r="I584" s="80" t="s">
        <v>3614</v>
      </c>
      <c r="J584" s="81"/>
      <c r="K584" s="80"/>
      <c r="L584" s="81"/>
      <c r="M584" s="82"/>
      <c r="N584" s="83"/>
      <c r="AB584" s="43" t="s">
        <v>348</v>
      </c>
    </row>
    <row r="585" spans="1:31" s="40" customFormat="1" x14ac:dyDescent="0.2">
      <c r="A585" s="79"/>
      <c r="B585" s="78"/>
      <c r="C585" s="1780" t="s">
        <v>318</v>
      </c>
      <c r="D585" s="1780"/>
      <c r="E585" s="1780"/>
      <c r="F585" s="84"/>
      <c r="G585" s="84"/>
      <c r="H585" s="84"/>
      <c r="I585" s="84"/>
      <c r="J585" s="85">
        <v>3528.33</v>
      </c>
      <c r="K585" s="84"/>
      <c r="L585" s="85">
        <v>30.12</v>
      </c>
      <c r="M585" s="86"/>
      <c r="N585" s="87"/>
      <c r="AC585" s="43" t="s">
        <v>318</v>
      </c>
    </row>
    <row r="586" spans="1:31" s="40" customFormat="1" x14ac:dyDescent="0.2">
      <c r="A586" s="79"/>
      <c r="B586" s="78"/>
      <c r="C586" s="1768" t="s">
        <v>319</v>
      </c>
      <c r="D586" s="1768"/>
      <c r="E586" s="1768"/>
      <c r="F586" s="80"/>
      <c r="G586" s="80"/>
      <c r="H586" s="80"/>
      <c r="I586" s="80"/>
      <c r="J586" s="81"/>
      <c r="K586" s="80"/>
      <c r="L586" s="81">
        <v>11.68</v>
      </c>
      <c r="M586" s="82"/>
      <c r="N586" s="83"/>
      <c r="AB586" s="43" t="s">
        <v>319</v>
      </c>
    </row>
    <row r="587" spans="1:31" s="40" customFormat="1" ht="33.75" x14ac:dyDescent="0.2">
      <c r="A587" s="79"/>
      <c r="B587" s="78" t="s">
        <v>686</v>
      </c>
      <c r="C587" s="1768" t="s">
        <v>687</v>
      </c>
      <c r="D587" s="1768"/>
      <c r="E587" s="1768"/>
      <c r="F587" s="80" t="s">
        <v>322</v>
      </c>
      <c r="G587" s="80" t="s">
        <v>680</v>
      </c>
      <c r="H587" s="80"/>
      <c r="I587" s="80" t="s">
        <v>680</v>
      </c>
      <c r="J587" s="81"/>
      <c r="K587" s="80"/>
      <c r="L587" s="81">
        <v>11.91</v>
      </c>
      <c r="M587" s="82"/>
      <c r="N587" s="83"/>
      <c r="AB587" s="43" t="s">
        <v>687</v>
      </c>
    </row>
    <row r="588" spans="1:31" s="40" customFormat="1" ht="33.75" x14ac:dyDescent="0.2">
      <c r="A588" s="79"/>
      <c r="B588" s="78" t="s">
        <v>688</v>
      </c>
      <c r="C588" s="1768" t="s">
        <v>689</v>
      </c>
      <c r="D588" s="1768"/>
      <c r="E588" s="1768"/>
      <c r="F588" s="80" t="s">
        <v>322</v>
      </c>
      <c r="G588" s="80" t="s">
        <v>690</v>
      </c>
      <c r="H588" s="80"/>
      <c r="I588" s="80" t="s">
        <v>690</v>
      </c>
      <c r="J588" s="81"/>
      <c r="K588" s="80"/>
      <c r="L588" s="81">
        <v>6.77</v>
      </c>
      <c r="M588" s="82"/>
      <c r="N588" s="83"/>
      <c r="AB588" s="43" t="s">
        <v>689</v>
      </c>
    </row>
    <row r="589" spans="1:31" s="40" customFormat="1" x14ac:dyDescent="0.2">
      <c r="A589" s="88"/>
      <c r="B589" s="89"/>
      <c r="C589" s="1785" t="s">
        <v>327</v>
      </c>
      <c r="D589" s="1785"/>
      <c r="E589" s="1785"/>
      <c r="F589" s="71"/>
      <c r="G589" s="71"/>
      <c r="H589" s="71"/>
      <c r="I589" s="71"/>
      <c r="J589" s="72"/>
      <c r="K589" s="71"/>
      <c r="L589" s="72">
        <v>48.8</v>
      </c>
      <c r="M589" s="86"/>
      <c r="N589" s="74"/>
      <c r="AD589" s="43" t="s">
        <v>327</v>
      </c>
    </row>
    <row r="590" spans="1:31" s="40" customFormat="1" ht="22.5" x14ac:dyDescent="0.2">
      <c r="A590" s="69" t="s">
        <v>789</v>
      </c>
      <c r="B590" s="70" t="s">
        <v>1377</v>
      </c>
      <c r="C590" s="1785" t="s">
        <v>1378</v>
      </c>
      <c r="D590" s="1785"/>
      <c r="E590" s="1785"/>
      <c r="F590" s="71" t="s">
        <v>641</v>
      </c>
      <c r="G590" s="71"/>
      <c r="H590" s="71"/>
      <c r="I590" s="71" t="s">
        <v>3612</v>
      </c>
      <c r="J590" s="72">
        <v>560</v>
      </c>
      <c r="K590" s="71"/>
      <c r="L590" s="72">
        <v>411.26</v>
      </c>
      <c r="M590" s="73"/>
      <c r="N590" s="74"/>
      <c r="X590" s="43" t="s">
        <v>1378</v>
      </c>
    </row>
    <row r="591" spans="1:31" s="40" customFormat="1" x14ac:dyDescent="0.2">
      <c r="A591" s="88"/>
      <c r="B591" s="89"/>
      <c r="C591" s="48" t="s">
        <v>717</v>
      </c>
      <c r="D591" s="117"/>
      <c r="E591" s="117"/>
      <c r="F591" s="90"/>
      <c r="G591" s="90"/>
      <c r="H591" s="90"/>
      <c r="I591" s="90"/>
      <c r="J591" s="118"/>
      <c r="K591" s="90"/>
      <c r="L591" s="118"/>
      <c r="M591" s="119"/>
      <c r="N591" s="120"/>
    </row>
    <row r="592" spans="1:31" s="40" customFormat="1" ht="22.5" x14ac:dyDescent="0.2">
      <c r="A592" s="69" t="s">
        <v>2339</v>
      </c>
      <c r="B592" s="70" t="s">
        <v>1380</v>
      </c>
      <c r="C592" s="1785" t="s">
        <v>1381</v>
      </c>
      <c r="D592" s="1785"/>
      <c r="E592" s="1785"/>
      <c r="F592" s="71" t="s">
        <v>509</v>
      </c>
      <c r="G592" s="71"/>
      <c r="H592" s="71"/>
      <c r="I592" s="71" t="s">
        <v>3615</v>
      </c>
      <c r="J592" s="72"/>
      <c r="K592" s="71"/>
      <c r="L592" s="72"/>
      <c r="M592" s="73"/>
      <c r="N592" s="74"/>
      <c r="X592" s="43" t="s">
        <v>1381</v>
      </c>
    </row>
    <row r="593" spans="1:31" s="40" customFormat="1" x14ac:dyDescent="0.2">
      <c r="A593" s="75"/>
      <c r="B593" s="76"/>
      <c r="C593" s="1768" t="s">
        <v>3616</v>
      </c>
      <c r="D593" s="1768"/>
      <c r="E593" s="1768"/>
      <c r="F593" s="1768"/>
      <c r="G593" s="1768"/>
      <c r="H593" s="1768"/>
      <c r="I593" s="1768"/>
      <c r="J593" s="1768"/>
      <c r="K593" s="1768"/>
      <c r="L593" s="1768"/>
      <c r="M593" s="1768"/>
      <c r="N593" s="1779"/>
      <c r="Y593" s="43" t="s">
        <v>3616</v>
      </c>
    </row>
    <row r="594" spans="1:31" s="40" customFormat="1" ht="33.75" x14ac:dyDescent="0.2">
      <c r="A594" s="77"/>
      <c r="B594" s="78" t="s">
        <v>310</v>
      </c>
      <c r="C594" s="1768" t="s">
        <v>311</v>
      </c>
      <c r="D594" s="1768"/>
      <c r="E594" s="1768"/>
      <c r="F594" s="1768"/>
      <c r="G594" s="1768"/>
      <c r="H594" s="1768"/>
      <c r="I594" s="1768"/>
      <c r="J594" s="1768"/>
      <c r="K594" s="1768"/>
      <c r="L594" s="1768"/>
      <c r="M594" s="1768"/>
      <c r="N594" s="1779"/>
      <c r="Z594" s="43" t="s">
        <v>311</v>
      </c>
    </row>
    <row r="595" spans="1:31" s="40" customFormat="1" x14ac:dyDescent="0.2">
      <c r="A595" s="79"/>
      <c r="B595" s="78" t="s">
        <v>185</v>
      </c>
      <c r="C595" s="1768" t="s">
        <v>312</v>
      </c>
      <c r="D595" s="1768"/>
      <c r="E595" s="1768"/>
      <c r="F595" s="80"/>
      <c r="G595" s="80"/>
      <c r="H595" s="80"/>
      <c r="I595" s="80"/>
      <c r="J595" s="81">
        <v>1526.87</v>
      </c>
      <c r="K595" s="80" t="s">
        <v>313</v>
      </c>
      <c r="L595" s="81">
        <v>53.25</v>
      </c>
      <c r="M595" s="82"/>
      <c r="N595" s="83"/>
      <c r="AA595" s="43" t="s">
        <v>312</v>
      </c>
    </row>
    <row r="596" spans="1:31" s="40" customFormat="1" x14ac:dyDescent="0.2">
      <c r="A596" s="79"/>
      <c r="B596" s="78" t="s">
        <v>186</v>
      </c>
      <c r="C596" s="1768" t="s">
        <v>344</v>
      </c>
      <c r="D596" s="1768"/>
      <c r="E596" s="1768"/>
      <c r="F596" s="80"/>
      <c r="G596" s="80"/>
      <c r="H596" s="80"/>
      <c r="I596" s="80"/>
      <c r="J596" s="81">
        <v>2518.58</v>
      </c>
      <c r="K596" s="80" t="s">
        <v>313</v>
      </c>
      <c r="L596" s="81">
        <v>87.84</v>
      </c>
      <c r="M596" s="82"/>
      <c r="N596" s="83"/>
      <c r="AA596" s="43" t="s">
        <v>344</v>
      </c>
    </row>
    <row r="597" spans="1:31" s="40" customFormat="1" x14ac:dyDescent="0.2">
      <c r="A597" s="79"/>
      <c r="B597" s="78" t="s">
        <v>187</v>
      </c>
      <c r="C597" s="1768" t="s">
        <v>345</v>
      </c>
      <c r="D597" s="1768"/>
      <c r="E597" s="1768"/>
      <c r="F597" s="80"/>
      <c r="G597" s="80"/>
      <c r="H597" s="80"/>
      <c r="I597" s="80"/>
      <c r="J597" s="81">
        <v>382.14</v>
      </c>
      <c r="K597" s="80" t="s">
        <v>313</v>
      </c>
      <c r="L597" s="81">
        <v>13.33</v>
      </c>
      <c r="M597" s="82"/>
      <c r="N597" s="83"/>
      <c r="AA597" s="43" t="s">
        <v>345</v>
      </c>
    </row>
    <row r="598" spans="1:31" s="40" customFormat="1" x14ac:dyDescent="0.2">
      <c r="A598" s="79"/>
      <c r="B598" s="78" t="s">
        <v>188</v>
      </c>
      <c r="C598" s="1768" t="s">
        <v>475</v>
      </c>
      <c r="D598" s="1768"/>
      <c r="E598" s="1768"/>
      <c r="F598" s="80"/>
      <c r="G598" s="80"/>
      <c r="H598" s="80"/>
      <c r="I598" s="80"/>
      <c r="J598" s="81">
        <v>488.42</v>
      </c>
      <c r="K598" s="80"/>
      <c r="L598" s="81">
        <v>13.63</v>
      </c>
      <c r="M598" s="82"/>
      <c r="N598" s="83"/>
      <c r="AA598" s="43" t="s">
        <v>475</v>
      </c>
    </row>
    <row r="599" spans="1:31" s="40" customFormat="1" x14ac:dyDescent="0.2">
      <c r="A599" s="75"/>
      <c r="B599" s="114" t="s">
        <v>639</v>
      </c>
      <c r="C599" s="1804" t="s">
        <v>640</v>
      </c>
      <c r="D599" s="1804"/>
      <c r="E599" s="1804"/>
      <c r="F599" s="115" t="s">
        <v>641</v>
      </c>
      <c r="G599" s="115" t="s">
        <v>1384</v>
      </c>
      <c r="H599" s="115"/>
      <c r="I599" s="115" t="s">
        <v>3617</v>
      </c>
      <c r="J599" s="78"/>
      <c r="K599" s="80"/>
      <c r="L599" s="81"/>
      <c r="M599" s="80"/>
      <c r="N599" s="116"/>
      <c r="AE599" s="43" t="s">
        <v>640</v>
      </c>
    </row>
    <row r="600" spans="1:31" s="40" customFormat="1" x14ac:dyDescent="0.2">
      <c r="A600" s="75"/>
      <c r="B600" s="114" t="s">
        <v>1272</v>
      </c>
      <c r="C600" s="1804" t="s">
        <v>1273</v>
      </c>
      <c r="D600" s="1804"/>
      <c r="E600" s="1804"/>
      <c r="F600" s="115" t="s">
        <v>694</v>
      </c>
      <c r="G600" s="115" t="s">
        <v>1386</v>
      </c>
      <c r="H600" s="115"/>
      <c r="I600" s="115" t="s">
        <v>3618</v>
      </c>
      <c r="J600" s="78"/>
      <c r="K600" s="80"/>
      <c r="L600" s="81"/>
      <c r="M600" s="80"/>
      <c r="N600" s="116"/>
      <c r="AE600" s="43" t="s">
        <v>1273</v>
      </c>
    </row>
    <row r="601" spans="1:31" s="40" customFormat="1" x14ac:dyDescent="0.2">
      <c r="A601" s="79"/>
      <c r="B601" s="78"/>
      <c r="C601" s="1768" t="s">
        <v>314</v>
      </c>
      <c r="D601" s="1768"/>
      <c r="E601" s="1768"/>
      <c r="F601" s="80" t="s">
        <v>315</v>
      </c>
      <c r="G601" s="80" t="s">
        <v>1388</v>
      </c>
      <c r="H601" s="80" t="s">
        <v>313</v>
      </c>
      <c r="I601" s="80" t="s">
        <v>3619</v>
      </c>
      <c r="J601" s="81"/>
      <c r="K601" s="80"/>
      <c r="L601" s="81"/>
      <c r="M601" s="82"/>
      <c r="N601" s="83"/>
      <c r="AB601" s="43" t="s">
        <v>314</v>
      </c>
    </row>
    <row r="602" spans="1:31" s="40" customFormat="1" x14ac:dyDescent="0.2">
      <c r="A602" s="79"/>
      <c r="B602" s="78"/>
      <c r="C602" s="1768" t="s">
        <v>348</v>
      </c>
      <c r="D602" s="1768"/>
      <c r="E602" s="1768"/>
      <c r="F602" s="80" t="s">
        <v>315</v>
      </c>
      <c r="G602" s="80" t="s">
        <v>1390</v>
      </c>
      <c r="H602" s="80" t="s">
        <v>313</v>
      </c>
      <c r="I602" s="80" t="s">
        <v>3620</v>
      </c>
      <c r="J602" s="81"/>
      <c r="K602" s="80"/>
      <c r="L602" s="81"/>
      <c r="M602" s="82"/>
      <c r="N602" s="83"/>
      <c r="AB602" s="43" t="s">
        <v>348</v>
      </c>
    </row>
    <row r="603" spans="1:31" s="40" customFormat="1" x14ac:dyDescent="0.2">
      <c r="A603" s="79"/>
      <c r="B603" s="78"/>
      <c r="C603" s="1780" t="s">
        <v>318</v>
      </c>
      <c r="D603" s="1780"/>
      <c r="E603" s="1780"/>
      <c r="F603" s="84"/>
      <c r="G603" s="84"/>
      <c r="H603" s="84"/>
      <c r="I603" s="84"/>
      <c r="J603" s="85">
        <v>4533.87</v>
      </c>
      <c r="K603" s="84"/>
      <c r="L603" s="85">
        <v>154.72</v>
      </c>
      <c r="M603" s="86"/>
      <c r="N603" s="87"/>
      <c r="AC603" s="43" t="s">
        <v>318</v>
      </c>
    </row>
    <row r="604" spans="1:31" s="40" customFormat="1" x14ac:dyDescent="0.2">
      <c r="A604" s="79"/>
      <c r="B604" s="78"/>
      <c r="C604" s="1768" t="s">
        <v>319</v>
      </c>
      <c r="D604" s="1768"/>
      <c r="E604" s="1768"/>
      <c r="F604" s="80"/>
      <c r="G604" s="80"/>
      <c r="H604" s="80"/>
      <c r="I604" s="80"/>
      <c r="J604" s="81"/>
      <c r="K604" s="80"/>
      <c r="L604" s="81">
        <v>66.58</v>
      </c>
      <c r="M604" s="82"/>
      <c r="N604" s="83"/>
      <c r="AB604" s="43" t="s">
        <v>319</v>
      </c>
    </row>
    <row r="605" spans="1:31" s="40" customFormat="1" ht="33.75" x14ac:dyDescent="0.2">
      <c r="A605" s="79"/>
      <c r="B605" s="78" t="s">
        <v>686</v>
      </c>
      <c r="C605" s="1768" t="s">
        <v>687</v>
      </c>
      <c r="D605" s="1768"/>
      <c r="E605" s="1768"/>
      <c r="F605" s="80" t="s">
        <v>322</v>
      </c>
      <c r="G605" s="80" t="s">
        <v>680</v>
      </c>
      <c r="H605" s="80"/>
      <c r="I605" s="80" t="s">
        <v>680</v>
      </c>
      <c r="J605" s="81"/>
      <c r="K605" s="80"/>
      <c r="L605" s="81">
        <v>67.91</v>
      </c>
      <c r="M605" s="82"/>
      <c r="N605" s="83"/>
      <c r="AB605" s="43" t="s">
        <v>687</v>
      </c>
    </row>
    <row r="606" spans="1:31" s="40" customFormat="1" ht="33.75" x14ac:dyDescent="0.2">
      <c r="A606" s="79"/>
      <c r="B606" s="78" t="s">
        <v>688</v>
      </c>
      <c r="C606" s="1768" t="s">
        <v>689</v>
      </c>
      <c r="D606" s="1768"/>
      <c r="E606" s="1768"/>
      <c r="F606" s="80" t="s">
        <v>322</v>
      </c>
      <c r="G606" s="80" t="s">
        <v>690</v>
      </c>
      <c r="H606" s="80"/>
      <c r="I606" s="80" t="s">
        <v>690</v>
      </c>
      <c r="J606" s="81"/>
      <c r="K606" s="80"/>
      <c r="L606" s="81">
        <v>38.619999999999997</v>
      </c>
      <c r="M606" s="82"/>
      <c r="N606" s="83"/>
      <c r="AB606" s="43" t="s">
        <v>689</v>
      </c>
    </row>
    <row r="607" spans="1:31" s="40" customFormat="1" x14ac:dyDescent="0.2">
      <c r="A607" s="88"/>
      <c r="B607" s="89"/>
      <c r="C607" s="1785" t="s">
        <v>327</v>
      </c>
      <c r="D607" s="1785"/>
      <c r="E607" s="1785"/>
      <c r="F607" s="71"/>
      <c r="G607" s="71"/>
      <c r="H607" s="71"/>
      <c r="I607" s="71"/>
      <c r="J607" s="72"/>
      <c r="K607" s="71"/>
      <c r="L607" s="72">
        <v>261.25</v>
      </c>
      <c r="M607" s="86"/>
      <c r="N607" s="74"/>
      <c r="AD607" s="43" t="s">
        <v>327</v>
      </c>
    </row>
    <row r="608" spans="1:31" s="40" customFormat="1" ht="22.5" x14ac:dyDescent="0.2">
      <c r="A608" s="69" t="s">
        <v>791</v>
      </c>
      <c r="B608" s="70" t="s">
        <v>654</v>
      </c>
      <c r="C608" s="1785" t="s">
        <v>655</v>
      </c>
      <c r="D608" s="1785"/>
      <c r="E608" s="1785"/>
      <c r="F608" s="71" t="s">
        <v>641</v>
      </c>
      <c r="G608" s="71"/>
      <c r="H608" s="71"/>
      <c r="I608" s="71" t="s">
        <v>3621</v>
      </c>
      <c r="J608" s="72">
        <v>592.76</v>
      </c>
      <c r="K608" s="71"/>
      <c r="L608" s="72">
        <v>1678.58</v>
      </c>
      <c r="M608" s="73"/>
      <c r="N608" s="74"/>
      <c r="X608" s="43" t="s">
        <v>655</v>
      </c>
    </row>
    <row r="609" spans="1:32" s="40" customFormat="1" x14ac:dyDescent="0.2">
      <c r="A609" s="88"/>
      <c r="B609" s="89"/>
      <c r="C609" s="48" t="s">
        <v>717</v>
      </c>
      <c r="D609" s="117"/>
      <c r="E609" s="117"/>
      <c r="F609" s="90"/>
      <c r="G609" s="90"/>
      <c r="H609" s="90"/>
      <c r="I609" s="90"/>
      <c r="J609" s="118"/>
      <c r="K609" s="90"/>
      <c r="L609" s="118"/>
      <c r="M609" s="119"/>
      <c r="N609" s="120"/>
    </row>
    <row r="610" spans="1:32" s="40" customFormat="1" ht="33.75" x14ac:dyDescent="0.2">
      <c r="A610" s="69" t="s">
        <v>690</v>
      </c>
      <c r="B610" s="70" t="s">
        <v>657</v>
      </c>
      <c r="C610" s="1785" t="s">
        <v>3622</v>
      </c>
      <c r="D610" s="1785"/>
      <c r="E610" s="1785"/>
      <c r="F610" s="71" t="s">
        <v>641</v>
      </c>
      <c r="G610" s="71"/>
      <c r="H610" s="71"/>
      <c r="I610" s="71" t="s">
        <v>3623</v>
      </c>
      <c r="J610" s="72">
        <v>18.04</v>
      </c>
      <c r="K610" s="71"/>
      <c r="L610" s="72">
        <v>50.24</v>
      </c>
      <c r="M610" s="73"/>
      <c r="N610" s="74"/>
      <c r="X610" s="43" t="s">
        <v>3622</v>
      </c>
    </row>
    <row r="611" spans="1:32" s="40" customFormat="1" x14ac:dyDescent="0.2">
      <c r="A611" s="88"/>
      <c r="B611" s="89"/>
      <c r="C611" s="48" t="s">
        <v>717</v>
      </c>
      <c r="D611" s="117"/>
      <c r="E611" s="117"/>
      <c r="F611" s="90"/>
      <c r="G611" s="90"/>
      <c r="H611" s="90"/>
      <c r="I611" s="90"/>
      <c r="J611" s="118"/>
      <c r="K611" s="90"/>
      <c r="L611" s="118"/>
      <c r="M611" s="119"/>
      <c r="N611" s="120"/>
    </row>
    <row r="612" spans="1:32" s="40" customFormat="1" x14ac:dyDescent="0.2">
      <c r="A612" s="75"/>
      <c r="B612" s="76"/>
      <c r="C612" s="1768" t="s">
        <v>659</v>
      </c>
      <c r="D612" s="1768"/>
      <c r="E612" s="1768"/>
      <c r="F612" s="1768"/>
      <c r="G612" s="1768"/>
      <c r="H612" s="1768"/>
      <c r="I612" s="1768"/>
      <c r="J612" s="1768"/>
      <c r="K612" s="1768"/>
      <c r="L612" s="1768"/>
      <c r="M612" s="1768"/>
      <c r="N612" s="1779"/>
      <c r="AF612" s="43" t="s">
        <v>659</v>
      </c>
    </row>
    <row r="613" spans="1:32" s="40" customFormat="1" ht="22.5" x14ac:dyDescent="0.2">
      <c r="A613" s="69" t="s">
        <v>792</v>
      </c>
      <c r="B613" s="70" t="s">
        <v>3624</v>
      </c>
      <c r="C613" s="1785" t="s">
        <v>3625</v>
      </c>
      <c r="D613" s="1785"/>
      <c r="E613" s="1785"/>
      <c r="F613" s="71" t="s">
        <v>694</v>
      </c>
      <c r="G613" s="71"/>
      <c r="H613" s="71"/>
      <c r="I613" s="71" t="s">
        <v>3626</v>
      </c>
      <c r="J613" s="72">
        <v>5802.77</v>
      </c>
      <c r="K613" s="71"/>
      <c r="L613" s="72">
        <v>296.52</v>
      </c>
      <c r="M613" s="73"/>
      <c r="N613" s="74"/>
      <c r="X613" s="43" t="s">
        <v>3625</v>
      </c>
    </row>
    <row r="614" spans="1:32" s="40" customFormat="1" x14ac:dyDescent="0.2">
      <c r="A614" s="88"/>
      <c r="B614" s="89"/>
      <c r="C614" s="48" t="s">
        <v>717</v>
      </c>
      <c r="D614" s="117"/>
      <c r="E614" s="117"/>
      <c r="F614" s="90"/>
      <c r="G614" s="90"/>
      <c r="H614" s="90"/>
      <c r="I614" s="90"/>
      <c r="J614" s="118"/>
      <c r="K614" s="90"/>
      <c r="L614" s="118"/>
      <c r="M614" s="119"/>
      <c r="N614" s="120"/>
    </row>
    <row r="615" spans="1:32" s="40" customFormat="1" x14ac:dyDescent="0.2">
      <c r="A615" s="75"/>
      <c r="B615" s="76"/>
      <c r="C615" s="1768" t="s">
        <v>3627</v>
      </c>
      <c r="D615" s="1768"/>
      <c r="E615" s="1768"/>
      <c r="F615" s="1768"/>
      <c r="G615" s="1768"/>
      <c r="H615" s="1768"/>
      <c r="I615" s="1768"/>
      <c r="J615" s="1768"/>
      <c r="K615" s="1768"/>
      <c r="L615" s="1768"/>
      <c r="M615" s="1768"/>
      <c r="N615" s="1779"/>
      <c r="Y615" s="43" t="s">
        <v>3627</v>
      </c>
    </row>
    <row r="616" spans="1:32" s="40" customFormat="1" ht="22.5" x14ac:dyDescent="0.2">
      <c r="A616" s="69" t="s">
        <v>713</v>
      </c>
      <c r="B616" s="70" t="s">
        <v>3309</v>
      </c>
      <c r="C616" s="1785" t="s">
        <v>3310</v>
      </c>
      <c r="D616" s="1785"/>
      <c r="E616" s="1785"/>
      <c r="F616" s="71" t="s">
        <v>694</v>
      </c>
      <c r="G616" s="71"/>
      <c r="H616" s="71"/>
      <c r="I616" s="71" t="s">
        <v>3628</v>
      </c>
      <c r="J616" s="72"/>
      <c r="K616" s="71"/>
      <c r="L616" s="72"/>
      <c r="M616" s="73"/>
      <c r="N616" s="74"/>
      <c r="X616" s="43" t="s">
        <v>3310</v>
      </c>
    </row>
    <row r="617" spans="1:32" s="40" customFormat="1" x14ac:dyDescent="0.2">
      <c r="A617" s="75"/>
      <c r="B617" s="76"/>
      <c r="C617" s="1768" t="s">
        <v>3629</v>
      </c>
      <c r="D617" s="1768"/>
      <c r="E617" s="1768"/>
      <c r="F617" s="1768"/>
      <c r="G617" s="1768"/>
      <c r="H617" s="1768"/>
      <c r="I617" s="1768"/>
      <c r="J617" s="1768"/>
      <c r="K617" s="1768"/>
      <c r="L617" s="1768"/>
      <c r="M617" s="1768"/>
      <c r="N617" s="1779"/>
      <c r="Y617" s="43" t="s">
        <v>3629</v>
      </c>
    </row>
    <row r="618" spans="1:32" s="40" customFormat="1" ht="33.75" x14ac:dyDescent="0.2">
      <c r="A618" s="77"/>
      <c r="B618" s="78" t="s">
        <v>310</v>
      </c>
      <c r="C618" s="1768" t="s">
        <v>311</v>
      </c>
      <c r="D618" s="1768"/>
      <c r="E618" s="1768"/>
      <c r="F618" s="1768"/>
      <c r="G618" s="1768"/>
      <c r="H618" s="1768"/>
      <c r="I618" s="1768"/>
      <c r="J618" s="1768"/>
      <c r="K618" s="1768"/>
      <c r="L618" s="1768"/>
      <c r="M618" s="1768"/>
      <c r="N618" s="1779"/>
      <c r="Z618" s="43" t="s">
        <v>311</v>
      </c>
    </row>
    <row r="619" spans="1:32" s="40" customFormat="1" x14ac:dyDescent="0.2">
      <c r="A619" s="79"/>
      <c r="B619" s="78" t="s">
        <v>185</v>
      </c>
      <c r="C619" s="1768" t="s">
        <v>312</v>
      </c>
      <c r="D619" s="1768"/>
      <c r="E619" s="1768"/>
      <c r="F619" s="80"/>
      <c r="G619" s="80"/>
      <c r="H619" s="80"/>
      <c r="I619" s="80"/>
      <c r="J619" s="81">
        <v>408.85</v>
      </c>
      <c r="K619" s="80" t="s">
        <v>313</v>
      </c>
      <c r="L619" s="81">
        <v>5.4</v>
      </c>
      <c r="M619" s="82"/>
      <c r="N619" s="83"/>
      <c r="AA619" s="43" t="s">
        <v>312</v>
      </c>
    </row>
    <row r="620" spans="1:32" s="40" customFormat="1" x14ac:dyDescent="0.2">
      <c r="A620" s="79"/>
      <c r="B620" s="78" t="s">
        <v>186</v>
      </c>
      <c r="C620" s="1768" t="s">
        <v>344</v>
      </c>
      <c r="D620" s="1768"/>
      <c r="E620" s="1768"/>
      <c r="F620" s="80"/>
      <c r="G620" s="80"/>
      <c r="H620" s="80"/>
      <c r="I620" s="80"/>
      <c r="J620" s="81">
        <v>425.84</v>
      </c>
      <c r="K620" s="80" t="s">
        <v>313</v>
      </c>
      <c r="L620" s="81">
        <v>5.62</v>
      </c>
      <c r="M620" s="82"/>
      <c r="N620" s="83"/>
      <c r="AA620" s="43" t="s">
        <v>344</v>
      </c>
    </row>
    <row r="621" spans="1:32" s="40" customFormat="1" x14ac:dyDescent="0.2">
      <c r="A621" s="79"/>
      <c r="B621" s="78" t="s">
        <v>187</v>
      </c>
      <c r="C621" s="1768" t="s">
        <v>345</v>
      </c>
      <c r="D621" s="1768"/>
      <c r="E621" s="1768"/>
      <c r="F621" s="80"/>
      <c r="G621" s="80"/>
      <c r="H621" s="80"/>
      <c r="I621" s="80"/>
      <c r="J621" s="81">
        <v>51.59</v>
      </c>
      <c r="K621" s="80" t="s">
        <v>313</v>
      </c>
      <c r="L621" s="81">
        <v>0.68</v>
      </c>
      <c r="M621" s="82"/>
      <c r="N621" s="83"/>
      <c r="AA621" s="43" t="s">
        <v>345</v>
      </c>
    </row>
    <row r="622" spans="1:32" s="40" customFormat="1" x14ac:dyDescent="0.2">
      <c r="A622" s="79"/>
      <c r="B622" s="78" t="s">
        <v>188</v>
      </c>
      <c r="C622" s="1768" t="s">
        <v>475</v>
      </c>
      <c r="D622" s="1768"/>
      <c r="E622" s="1768"/>
      <c r="F622" s="80"/>
      <c r="G622" s="80"/>
      <c r="H622" s="80"/>
      <c r="I622" s="80"/>
      <c r="J622" s="81">
        <v>72.209999999999994</v>
      </c>
      <c r="K622" s="80"/>
      <c r="L622" s="81">
        <v>0.76</v>
      </c>
      <c r="M622" s="82"/>
      <c r="N622" s="83"/>
      <c r="AA622" s="43" t="s">
        <v>475</v>
      </c>
    </row>
    <row r="623" spans="1:32" s="40" customFormat="1" x14ac:dyDescent="0.2">
      <c r="A623" s="75"/>
      <c r="B623" s="114" t="s">
        <v>3313</v>
      </c>
      <c r="C623" s="1804" t="s">
        <v>1229</v>
      </c>
      <c r="D623" s="1804"/>
      <c r="E623" s="1804"/>
      <c r="F623" s="115" t="s">
        <v>694</v>
      </c>
      <c r="G623" s="115" t="s">
        <v>185</v>
      </c>
      <c r="H623" s="115"/>
      <c r="I623" s="115" t="s">
        <v>3628</v>
      </c>
      <c r="J623" s="78"/>
      <c r="K623" s="80"/>
      <c r="L623" s="81"/>
      <c r="M623" s="80"/>
      <c r="N623" s="116"/>
      <c r="AE623" s="43" t="s">
        <v>1229</v>
      </c>
    </row>
    <row r="624" spans="1:32" s="40" customFormat="1" x14ac:dyDescent="0.2">
      <c r="A624" s="79"/>
      <c r="B624" s="78"/>
      <c r="C624" s="1768" t="s">
        <v>314</v>
      </c>
      <c r="D624" s="1768"/>
      <c r="E624" s="1768"/>
      <c r="F624" s="80" t="s">
        <v>315</v>
      </c>
      <c r="G624" s="80" t="s">
        <v>1513</v>
      </c>
      <c r="H624" s="80" t="s">
        <v>313</v>
      </c>
      <c r="I624" s="80" t="s">
        <v>3630</v>
      </c>
      <c r="J624" s="81"/>
      <c r="K624" s="80"/>
      <c r="L624" s="81"/>
      <c r="M624" s="82"/>
      <c r="N624" s="83"/>
      <c r="AB624" s="43" t="s">
        <v>314</v>
      </c>
    </row>
    <row r="625" spans="1:30" s="40" customFormat="1" x14ac:dyDescent="0.2">
      <c r="A625" s="79"/>
      <c r="B625" s="78"/>
      <c r="C625" s="1768" t="s">
        <v>348</v>
      </c>
      <c r="D625" s="1768"/>
      <c r="E625" s="1768"/>
      <c r="F625" s="80" t="s">
        <v>315</v>
      </c>
      <c r="G625" s="80" t="s">
        <v>3315</v>
      </c>
      <c r="H625" s="80" t="s">
        <v>313</v>
      </c>
      <c r="I625" s="80" t="s">
        <v>3631</v>
      </c>
      <c r="J625" s="81"/>
      <c r="K625" s="80"/>
      <c r="L625" s="81"/>
      <c r="M625" s="82"/>
      <c r="N625" s="83"/>
      <c r="AB625" s="43" t="s">
        <v>348</v>
      </c>
    </row>
    <row r="626" spans="1:30" s="40" customFormat="1" x14ac:dyDescent="0.2">
      <c r="A626" s="79"/>
      <c r="B626" s="78"/>
      <c r="C626" s="1780" t="s">
        <v>318</v>
      </c>
      <c r="D626" s="1780"/>
      <c r="E626" s="1780"/>
      <c r="F626" s="84"/>
      <c r="G626" s="84"/>
      <c r="H626" s="84"/>
      <c r="I626" s="84"/>
      <c r="J626" s="85">
        <v>906.9</v>
      </c>
      <c r="K626" s="84"/>
      <c r="L626" s="85">
        <v>11.78</v>
      </c>
      <c r="M626" s="86"/>
      <c r="N626" s="87"/>
      <c r="AC626" s="43" t="s">
        <v>318</v>
      </c>
    </row>
    <row r="627" spans="1:30" s="40" customFormat="1" x14ac:dyDescent="0.2">
      <c r="A627" s="79"/>
      <c r="B627" s="78"/>
      <c r="C627" s="1768" t="s">
        <v>319</v>
      </c>
      <c r="D627" s="1768"/>
      <c r="E627" s="1768"/>
      <c r="F627" s="80"/>
      <c r="G627" s="80"/>
      <c r="H627" s="80"/>
      <c r="I627" s="80"/>
      <c r="J627" s="81"/>
      <c r="K627" s="80"/>
      <c r="L627" s="81">
        <v>6.08</v>
      </c>
      <c r="M627" s="82"/>
      <c r="N627" s="83"/>
      <c r="AB627" s="43" t="s">
        <v>319</v>
      </c>
    </row>
    <row r="628" spans="1:30" s="40" customFormat="1" ht="33.75" x14ac:dyDescent="0.2">
      <c r="A628" s="79"/>
      <c r="B628" s="78" t="s">
        <v>686</v>
      </c>
      <c r="C628" s="1768" t="s">
        <v>687</v>
      </c>
      <c r="D628" s="1768"/>
      <c r="E628" s="1768"/>
      <c r="F628" s="80" t="s">
        <v>322</v>
      </c>
      <c r="G628" s="80" t="s">
        <v>680</v>
      </c>
      <c r="H628" s="80"/>
      <c r="I628" s="80" t="s">
        <v>680</v>
      </c>
      <c r="J628" s="81"/>
      <c r="K628" s="80"/>
      <c r="L628" s="81">
        <v>6.2</v>
      </c>
      <c r="M628" s="82"/>
      <c r="N628" s="83"/>
      <c r="AB628" s="43" t="s">
        <v>687</v>
      </c>
    </row>
    <row r="629" spans="1:30" s="40" customFormat="1" ht="33.75" x14ac:dyDescent="0.2">
      <c r="A629" s="79"/>
      <c r="B629" s="78" t="s">
        <v>688</v>
      </c>
      <c r="C629" s="1768" t="s">
        <v>689</v>
      </c>
      <c r="D629" s="1768"/>
      <c r="E629" s="1768"/>
      <c r="F629" s="80" t="s">
        <v>322</v>
      </c>
      <c r="G629" s="80" t="s">
        <v>690</v>
      </c>
      <c r="H629" s="80"/>
      <c r="I629" s="80" t="s">
        <v>690</v>
      </c>
      <c r="J629" s="81"/>
      <c r="K629" s="80"/>
      <c r="L629" s="81">
        <v>3.53</v>
      </c>
      <c r="M629" s="82"/>
      <c r="N629" s="83"/>
      <c r="AB629" s="43" t="s">
        <v>689</v>
      </c>
    </row>
    <row r="630" spans="1:30" s="40" customFormat="1" x14ac:dyDescent="0.2">
      <c r="A630" s="88"/>
      <c r="B630" s="89"/>
      <c r="C630" s="1785" t="s">
        <v>327</v>
      </c>
      <c r="D630" s="1785"/>
      <c r="E630" s="1785"/>
      <c r="F630" s="71"/>
      <c r="G630" s="71"/>
      <c r="H630" s="71"/>
      <c r="I630" s="71"/>
      <c r="J630" s="72"/>
      <c r="K630" s="71"/>
      <c r="L630" s="72">
        <v>21.51</v>
      </c>
      <c r="M630" s="86"/>
      <c r="N630" s="74"/>
      <c r="AD630" s="43" t="s">
        <v>327</v>
      </c>
    </row>
    <row r="631" spans="1:30" s="40" customFormat="1" ht="33.75" x14ac:dyDescent="0.2">
      <c r="A631" s="69" t="s">
        <v>793</v>
      </c>
      <c r="B631" s="70" t="s">
        <v>3632</v>
      </c>
      <c r="C631" s="1785" t="s">
        <v>3633</v>
      </c>
      <c r="D631" s="1785"/>
      <c r="E631" s="1785"/>
      <c r="F631" s="71" t="s">
        <v>694</v>
      </c>
      <c r="G631" s="71"/>
      <c r="H631" s="71"/>
      <c r="I631" s="71" t="s">
        <v>3634</v>
      </c>
      <c r="J631" s="72">
        <v>7028.18</v>
      </c>
      <c r="K631" s="71"/>
      <c r="L631" s="72">
        <v>74.5</v>
      </c>
      <c r="M631" s="73"/>
      <c r="N631" s="74"/>
      <c r="X631" s="43" t="s">
        <v>3633</v>
      </c>
    </row>
    <row r="632" spans="1:30" s="40" customFormat="1" x14ac:dyDescent="0.2">
      <c r="A632" s="88"/>
      <c r="B632" s="89"/>
      <c r="C632" s="48" t="s">
        <v>717</v>
      </c>
      <c r="D632" s="117"/>
      <c r="E632" s="117"/>
      <c r="F632" s="90"/>
      <c r="G632" s="90"/>
      <c r="H632" s="90"/>
      <c r="I632" s="90"/>
      <c r="J632" s="118"/>
      <c r="K632" s="90"/>
      <c r="L632" s="118"/>
      <c r="M632" s="119"/>
      <c r="N632" s="120"/>
    </row>
    <row r="633" spans="1:30" s="40" customFormat="1" x14ac:dyDescent="0.2">
      <c r="A633" s="1801" t="s">
        <v>3659</v>
      </c>
      <c r="B633" s="1802"/>
      <c r="C633" s="1802"/>
      <c r="D633" s="1802"/>
      <c r="E633" s="1802"/>
      <c r="F633" s="1802"/>
      <c r="G633" s="1802"/>
      <c r="H633" s="1802"/>
      <c r="I633" s="1802"/>
      <c r="J633" s="1802"/>
      <c r="K633" s="1802"/>
      <c r="L633" s="1802"/>
      <c r="M633" s="1802"/>
      <c r="N633" s="1803"/>
      <c r="W633" s="43" t="s">
        <v>3659</v>
      </c>
    </row>
    <row r="634" spans="1:30" s="40" customFormat="1" ht="22.5" x14ac:dyDescent="0.2">
      <c r="A634" s="69" t="s">
        <v>653</v>
      </c>
      <c r="B634" s="70" t="s">
        <v>3454</v>
      </c>
      <c r="C634" s="1785" t="s">
        <v>3455</v>
      </c>
      <c r="D634" s="1785"/>
      <c r="E634" s="1785"/>
      <c r="F634" s="71" t="s">
        <v>1110</v>
      </c>
      <c r="G634" s="71"/>
      <c r="H634" s="71"/>
      <c r="I634" s="71" t="s">
        <v>3636</v>
      </c>
      <c r="J634" s="72"/>
      <c r="K634" s="71"/>
      <c r="L634" s="72"/>
      <c r="M634" s="73"/>
      <c r="N634" s="74"/>
      <c r="X634" s="43" t="s">
        <v>3455</v>
      </c>
    </row>
    <row r="635" spans="1:30" s="40" customFormat="1" x14ac:dyDescent="0.2">
      <c r="A635" s="75"/>
      <c r="B635" s="76"/>
      <c r="C635" s="1768" t="s">
        <v>3637</v>
      </c>
      <c r="D635" s="1768"/>
      <c r="E635" s="1768"/>
      <c r="F635" s="1768"/>
      <c r="G635" s="1768"/>
      <c r="H635" s="1768"/>
      <c r="I635" s="1768"/>
      <c r="J635" s="1768"/>
      <c r="K635" s="1768"/>
      <c r="L635" s="1768"/>
      <c r="M635" s="1768"/>
      <c r="N635" s="1779"/>
      <c r="Y635" s="43" t="s">
        <v>3637</v>
      </c>
    </row>
    <row r="636" spans="1:30" s="40" customFormat="1" x14ac:dyDescent="0.2">
      <c r="A636" s="79"/>
      <c r="B636" s="78" t="s">
        <v>185</v>
      </c>
      <c r="C636" s="1768" t="s">
        <v>312</v>
      </c>
      <c r="D636" s="1768"/>
      <c r="E636" s="1768"/>
      <c r="F636" s="80"/>
      <c r="G636" s="80"/>
      <c r="H636" s="80"/>
      <c r="I636" s="80"/>
      <c r="J636" s="81">
        <v>390.1</v>
      </c>
      <c r="K636" s="80"/>
      <c r="L636" s="81">
        <v>65.459999999999994</v>
      </c>
      <c r="M636" s="82"/>
      <c r="N636" s="83"/>
      <c r="AA636" s="43" t="s">
        <v>312</v>
      </c>
    </row>
    <row r="637" spans="1:30" s="40" customFormat="1" x14ac:dyDescent="0.2">
      <c r="A637" s="79"/>
      <c r="B637" s="78" t="s">
        <v>186</v>
      </c>
      <c r="C637" s="1768" t="s">
        <v>344</v>
      </c>
      <c r="D637" s="1768"/>
      <c r="E637" s="1768"/>
      <c r="F637" s="80"/>
      <c r="G637" s="80"/>
      <c r="H637" s="80"/>
      <c r="I637" s="80"/>
      <c r="J637" s="81">
        <v>204.08</v>
      </c>
      <c r="K637" s="80"/>
      <c r="L637" s="81">
        <v>34.24</v>
      </c>
      <c r="M637" s="82"/>
      <c r="N637" s="83"/>
      <c r="AA637" s="43" t="s">
        <v>344</v>
      </c>
    </row>
    <row r="638" spans="1:30" s="40" customFormat="1" x14ac:dyDescent="0.2">
      <c r="A638" s="79"/>
      <c r="B638" s="78" t="s">
        <v>187</v>
      </c>
      <c r="C638" s="1768" t="s">
        <v>345</v>
      </c>
      <c r="D638" s="1768"/>
      <c r="E638" s="1768"/>
      <c r="F638" s="80"/>
      <c r="G638" s="80"/>
      <c r="H638" s="80"/>
      <c r="I638" s="80"/>
      <c r="J638" s="81">
        <v>30.77</v>
      </c>
      <c r="K638" s="80"/>
      <c r="L638" s="81">
        <v>5.16</v>
      </c>
      <c r="M638" s="82"/>
      <c r="N638" s="83"/>
      <c r="AA638" s="43" t="s">
        <v>345</v>
      </c>
    </row>
    <row r="639" spans="1:30" s="40" customFormat="1" x14ac:dyDescent="0.2">
      <c r="A639" s="79"/>
      <c r="B639" s="78" t="s">
        <v>188</v>
      </c>
      <c r="C639" s="1768" t="s">
        <v>475</v>
      </c>
      <c r="D639" s="1768"/>
      <c r="E639" s="1768"/>
      <c r="F639" s="80"/>
      <c r="G639" s="80"/>
      <c r="H639" s="80"/>
      <c r="I639" s="80"/>
      <c r="J639" s="81">
        <v>16057.11</v>
      </c>
      <c r="K639" s="80"/>
      <c r="L639" s="81">
        <v>2694.38</v>
      </c>
      <c r="M639" s="82"/>
      <c r="N639" s="83"/>
      <c r="AA639" s="43" t="s">
        <v>475</v>
      </c>
    </row>
    <row r="640" spans="1:30" s="40" customFormat="1" x14ac:dyDescent="0.2">
      <c r="A640" s="79"/>
      <c r="B640" s="78"/>
      <c r="C640" s="1768" t="s">
        <v>314</v>
      </c>
      <c r="D640" s="1768"/>
      <c r="E640" s="1768"/>
      <c r="F640" s="80" t="s">
        <v>315</v>
      </c>
      <c r="G640" s="80" t="s">
        <v>3458</v>
      </c>
      <c r="H640" s="80"/>
      <c r="I640" s="80" t="s">
        <v>3660</v>
      </c>
      <c r="J640" s="81"/>
      <c r="K640" s="80"/>
      <c r="L640" s="81"/>
      <c r="M640" s="82"/>
      <c r="N640" s="83"/>
      <c r="AB640" s="43" t="s">
        <v>314</v>
      </c>
    </row>
    <row r="641" spans="1:31" s="40" customFormat="1" x14ac:dyDescent="0.2">
      <c r="A641" s="79"/>
      <c r="B641" s="78"/>
      <c r="C641" s="1768" t="s">
        <v>348</v>
      </c>
      <c r="D641" s="1768"/>
      <c r="E641" s="1768"/>
      <c r="F641" s="80" t="s">
        <v>315</v>
      </c>
      <c r="G641" s="80" t="s">
        <v>3460</v>
      </c>
      <c r="H641" s="80"/>
      <c r="I641" s="80" t="s">
        <v>3661</v>
      </c>
      <c r="J641" s="81"/>
      <c r="K641" s="80"/>
      <c r="L641" s="81"/>
      <c r="M641" s="82"/>
      <c r="N641" s="83"/>
      <c r="AB641" s="43" t="s">
        <v>348</v>
      </c>
    </row>
    <row r="642" spans="1:31" s="40" customFormat="1" x14ac:dyDescent="0.2">
      <c r="A642" s="79"/>
      <c r="B642" s="78"/>
      <c r="C642" s="1780" t="s">
        <v>318</v>
      </c>
      <c r="D642" s="1780"/>
      <c r="E642" s="1780"/>
      <c r="F642" s="84"/>
      <c r="G642" s="84"/>
      <c r="H642" s="84"/>
      <c r="I642" s="84"/>
      <c r="J642" s="85">
        <v>16651.29</v>
      </c>
      <c r="K642" s="84"/>
      <c r="L642" s="85">
        <v>2794.08</v>
      </c>
      <c r="M642" s="86"/>
      <c r="N642" s="87"/>
      <c r="AC642" s="43" t="s">
        <v>318</v>
      </c>
    </row>
    <row r="643" spans="1:31" s="40" customFormat="1" x14ac:dyDescent="0.2">
      <c r="A643" s="79"/>
      <c r="B643" s="78"/>
      <c r="C643" s="1768" t="s">
        <v>319</v>
      </c>
      <c r="D643" s="1768"/>
      <c r="E643" s="1768"/>
      <c r="F643" s="80"/>
      <c r="G643" s="80"/>
      <c r="H643" s="80"/>
      <c r="I643" s="80"/>
      <c r="J643" s="81"/>
      <c r="K643" s="80"/>
      <c r="L643" s="81">
        <v>70.62</v>
      </c>
      <c r="M643" s="82"/>
      <c r="N643" s="83"/>
      <c r="AB643" s="43" t="s">
        <v>319</v>
      </c>
    </row>
    <row r="644" spans="1:31" s="40" customFormat="1" ht="45" x14ac:dyDescent="0.2">
      <c r="A644" s="79"/>
      <c r="B644" s="78" t="s">
        <v>3462</v>
      </c>
      <c r="C644" s="1768" t="s">
        <v>3463</v>
      </c>
      <c r="D644" s="1768"/>
      <c r="E644" s="1768"/>
      <c r="F644" s="80" t="s">
        <v>322</v>
      </c>
      <c r="G644" s="80" t="s">
        <v>3039</v>
      </c>
      <c r="H644" s="80"/>
      <c r="I644" s="80" t="s">
        <v>3039</v>
      </c>
      <c r="J644" s="81"/>
      <c r="K644" s="80"/>
      <c r="L644" s="81">
        <v>81.92</v>
      </c>
      <c r="M644" s="82"/>
      <c r="N644" s="83"/>
      <c r="AB644" s="43" t="s">
        <v>3463</v>
      </c>
    </row>
    <row r="645" spans="1:31" s="40" customFormat="1" ht="45" x14ac:dyDescent="0.2">
      <c r="A645" s="79"/>
      <c r="B645" s="78" t="s">
        <v>3464</v>
      </c>
      <c r="C645" s="1768" t="s">
        <v>3465</v>
      </c>
      <c r="D645" s="1768"/>
      <c r="E645" s="1768"/>
      <c r="F645" s="80" t="s">
        <v>322</v>
      </c>
      <c r="G645" s="80" t="s">
        <v>1540</v>
      </c>
      <c r="H645" s="80"/>
      <c r="I645" s="80" t="s">
        <v>1540</v>
      </c>
      <c r="J645" s="81"/>
      <c r="K645" s="80"/>
      <c r="L645" s="81">
        <v>56.5</v>
      </c>
      <c r="M645" s="82"/>
      <c r="N645" s="83"/>
      <c r="AB645" s="43" t="s">
        <v>3465</v>
      </c>
    </row>
    <row r="646" spans="1:31" s="40" customFormat="1" x14ac:dyDescent="0.2">
      <c r="A646" s="88"/>
      <c r="B646" s="89"/>
      <c r="C646" s="1785" t="s">
        <v>327</v>
      </c>
      <c r="D646" s="1785"/>
      <c r="E646" s="1785"/>
      <c r="F646" s="71"/>
      <c r="G646" s="71"/>
      <c r="H646" s="71"/>
      <c r="I646" s="71"/>
      <c r="J646" s="72"/>
      <c r="K646" s="71"/>
      <c r="L646" s="72">
        <v>2932.5</v>
      </c>
      <c r="M646" s="86"/>
      <c r="N646" s="74"/>
      <c r="AD646" s="43" t="s">
        <v>327</v>
      </c>
    </row>
    <row r="647" spans="1:31" s="40" customFormat="1" x14ac:dyDescent="0.2">
      <c r="A647" s="1801" t="s">
        <v>3644</v>
      </c>
      <c r="B647" s="1802"/>
      <c r="C647" s="1802"/>
      <c r="D647" s="1802"/>
      <c r="E647" s="1802"/>
      <c r="F647" s="1802"/>
      <c r="G647" s="1802"/>
      <c r="H647" s="1802"/>
      <c r="I647" s="1802"/>
      <c r="J647" s="1802"/>
      <c r="K647" s="1802"/>
      <c r="L647" s="1802"/>
      <c r="M647" s="1802"/>
      <c r="N647" s="1803"/>
      <c r="W647" s="43" t="s">
        <v>3644</v>
      </c>
    </row>
    <row r="648" spans="1:31" s="40" customFormat="1" ht="22.5" x14ac:dyDescent="0.2">
      <c r="A648" s="69" t="s">
        <v>794</v>
      </c>
      <c r="B648" s="70" t="s">
        <v>3645</v>
      </c>
      <c r="C648" s="1785" t="s">
        <v>3646</v>
      </c>
      <c r="D648" s="1785"/>
      <c r="E648" s="1785"/>
      <c r="F648" s="71" t="s">
        <v>307</v>
      </c>
      <c r="G648" s="71"/>
      <c r="H648" s="71"/>
      <c r="I648" s="71" t="s">
        <v>809</v>
      </c>
      <c r="J648" s="72"/>
      <c r="K648" s="71"/>
      <c r="L648" s="72"/>
      <c r="M648" s="73"/>
      <c r="N648" s="74"/>
      <c r="X648" s="43" t="s">
        <v>3646</v>
      </c>
    </row>
    <row r="649" spans="1:31" s="40" customFormat="1" x14ac:dyDescent="0.2">
      <c r="A649" s="75"/>
      <c r="B649" s="76"/>
      <c r="C649" s="1768" t="s">
        <v>843</v>
      </c>
      <c r="D649" s="1768"/>
      <c r="E649" s="1768"/>
      <c r="F649" s="1768"/>
      <c r="G649" s="1768"/>
      <c r="H649" s="1768"/>
      <c r="I649" s="1768"/>
      <c r="J649" s="1768"/>
      <c r="K649" s="1768"/>
      <c r="L649" s="1768"/>
      <c r="M649" s="1768"/>
      <c r="N649" s="1779"/>
      <c r="Y649" s="43" t="s">
        <v>843</v>
      </c>
    </row>
    <row r="650" spans="1:31" s="40" customFormat="1" ht="33.75" x14ac:dyDescent="0.2">
      <c r="A650" s="77"/>
      <c r="B650" s="78" t="s">
        <v>310</v>
      </c>
      <c r="C650" s="1768" t="s">
        <v>311</v>
      </c>
      <c r="D650" s="1768"/>
      <c r="E650" s="1768"/>
      <c r="F650" s="1768"/>
      <c r="G650" s="1768"/>
      <c r="H650" s="1768"/>
      <c r="I650" s="1768"/>
      <c r="J650" s="1768"/>
      <c r="K650" s="1768"/>
      <c r="L650" s="1768"/>
      <c r="M650" s="1768"/>
      <c r="N650" s="1779"/>
      <c r="Z650" s="43" t="s">
        <v>311</v>
      </c>
    </row>
    <row r="651" spans="1:31" s="40" customFormat="1" x14ac:dyDescent="0.2">
      <c r="A651" s="79"/>
      <c r="B651" s="78" t="s">
        <v>185</v>
      </c>
      <c r="C651" s="1768" t="s">
        <v>312</v>
      </c>
      <c r="D651" s="1768"/>
      <c r="E651" s="1768"/>
      <c r="F651" s="80"/>
      <c r="G651" s="80"/>
      <c r="H651" s="80"/>
      <c r="I651" s="80"/>
      <c r="J651" s="81">
        <v>105.43</v>
      </c>
      <c r="K651" s="80" t="s">
        <v>313</v>
      </c>
      <c r="L651" s="81">
        <v>1.32</v>
      </c>
      <c r="M651" s="82"/>
      <c r="N651" s="83"/>
      <c r="AA651" s="43" t="s">
        <v>312</v>
      </c>
    </row>
    <row r="652" spans="1:31" s="40" customFormat="1" x14ac:dyDescent="0.2">
      <c r="A652" s="79"/>
      <c r="B652" s="78" t="s">
        <v>186</v>
      </c>
      <c r="C652" s="1768" t="s">
        <v>344</v>
      </c>
      <c r="D652" s="1768"/>
      <c r="E652" s="1768"/>
      <c r="F652" s="80"/>
      <c r="G652" s="80"/>
      <c r="H652" s="80"/>
      <c r="I652" s="80"/>
      <c r="J652" s="81">
        <v>674.16</v>
      </c>
      <c r="K652" s="80" t="s">
        <v>313</v>
      </c>
      <c r="L652" s="81">
        <v>8.43</v>
      </c>
      <c r="M652" s="82"/>
      <c r="N652" s="83"/>
      <c r="AA652" s="43" t="s">
        <v>344</v>
      </c>
    </row>
    <row r="653" spans="1:31" s="40" customFormat="1" x14ac:dyDescent="0.2">
      <c r="A653" s="79"/>
      <c r="B653" s="78" t="s">
        <v>187</v>
      </c>
      <c r="C653" s="1768" t="s">
        <v>345</v>
      </c>
      <c r="D653" s="1768"/>
      <c r="E653" s="1768"/>
      <c r="F653" s="80"/>
      <c r="G653" s="80"/>
      <c r="H653" s="80"/>
      <c r="I653" s="80"/>
      <c r="J653" s="81">
        <v>69.599999999999994</v>
      </c>
      <c r="K653" s="80" t="s">
        <v>313</v>
      </c>
      <c r="L653" s="81">
        <v>0.87</v>
      </c>
      <c r="M653" s="82"/>
      <c r="N653" s="83"/>
      <c r="AA653" s="43" t="s">
        <v>345</v>
      </c>
    </row>
    <row r="654" spans="1:31" s="40" customFormat="1" ht="22.5" x14ac:dyDescent="0.2">
      <c r="A654" s="75"/>
      <c r="B654" s="114" t="s">
        <v>3647</v>
      </c>
      <c r="C654" s="1804" t="s">
        <v>3648</v>
      </c>
      <c r="D654" s="1804"/>
      <c r="E654" s="1804"/>
      <c r="F654" s="115" t="s">
        <v>638</v>
      </c>
      <c r="G654" s="115" t="s">
        <v>844</v>
      </c>
      <c r="H654" s="115"/>
      <c r="I654" s="115" t="s">
        <v>185</v>
      </c>
      <c r="J654" s="78"/>
      <c r="K654" s="80"/>
      <c r="L654" s="81"/>
      <c r="M654" s="80"/>
      <c r="N654" s="116"/>
      <c r="AE654" s="43" t="s">
        <v>3648</v>
      </c>
    </row>
    <row r="655" spans="1:31" s="40" customFormat="1" x14ac:dyDescent="0.2">
      <c r="A655" s="79"/>
      <c r="B655" s="78"/>
      <c r="C655" s="1768" t="s">
        <v>314</v>
      </c>
      <c r="D655" s="1768"/>
      <c r="E655" s="1768"/>
      <c r="F655" s="80" t="s">
        <v>315</v>
      </c>
      <c r="G655" s="80" t="s">
        <v>3649</v>
      </c>
      <c r="H655" s="80" t="s">
        <v>313</v>
      </c>
      <c r="I655" s="80" t="s">
        <v>3650</v>
      </c>
      <c r="J655" s="81"/>
      <c r="K655" s="80"/>
      <c r="L655" s="81"/>
      <c r="M655" s="82"/>
      <c r="N655" s="83"/>
      <c r="AB655" s="43" t="s">
        <v>314</v>
      </c>
    </row>
    <row r="656" spans="1:31" s="40" customFormat="1" x14ac:dyDescent="0.2">
      <c r="A656" s="79"/>
      <c r="B656" s="78"/>
      <c r="C656" s="1768" t="s">
        <v>348</v>
      </c>
      <c r="D656" s="1768"/>
      <c r="E656" s="1768"/>
      <c r="F656" s="80" t="s">
        <v>315</v>
      </c>
      <c r="G656" s="80" t="s">
        <v>190</v>
      </c>
      <c r="H656" s="80" t="s">
        <v>313</v>
      </c>
      <c r="I656" s="80" t="s">
        <v>2219</v>
      </c>
      <c r="J656" s="81"/>
      <c r="K656" s="80"/>
      <c r="L656" s="81"/>
      <c r="M656" s="82"/>
      <c r="N656" s="83"/>
      <c r="AB656" s="43" t="s">
        <v>348</v>
      </c>
    </row>
    <row r="657" spans="1:34" s="40" customFormat="1" x14ac:dyDescent="0.2">
      <c r="A657" s="79"/>
      <c r="B657" s="78"/>
      <c r="C657" s="1780" t="s">
        <v>318</v>
      </c>
      <c r="D657" s="1780"/>
      <c r="E657" s="1780"/>
      <c r="F657" s="84"/>
      <c r="G657" s="84"/>
      <c r="H657" s="84"/>
      <c r="I657" s="84"/>
      <c r="J657" s="85">
        <v>779.59</v>
      </c>
      <c r="K657" s="84"/>
      <c r="L657" s="85">
        <v>9.75</v>
      </c>
      <c r="M657" s="86"/>
      <c r="N657" s="87"/>
      <c r="AC657" s="43" t="s">
        <v>318</v>
      </c>
    </row>
    <row r="658" spans="1:34" s="40" customFormat="1" x14ac:dyDescent="0.2">
      <c r="A658" s="79"/>
      <c r="B658" s="78"/>
      <c r="C658" s="1768" t="s">
        <v>319</v>
      </c>
      <c r="D658" s="1768"/>
      <c r="E658" s="1768"/>
      <c r="F658" s="80"/>
      <c r="G658" s="80"/>
      <c r="H658" s="80"/>
      <c r="I658" s="80"/>
      <c r="J658" s="81"/>
      <c r="K658" s="80"/>
      <c r="L658" s="81">
        <v>2.19</v>
      </c>
      <c r="M658" s="82"/>
      <c r="N658" s="83"/>
      <c r="AB658" s="43" t="s">
        <v>319</v>
      </c>
    </row>
    <row r="659" spans="1:34" s="40" customFormat="1" ht="33.75" x14ac:dyDescent="0.2">
      <c r="A659" s="79"/>
      <c r="B659" s="78" t="s">
        <v>741</v>
      </c>
      <c r="C659" s="1768" t="s">
        <v>742</v>
      </c>
      <c r="D659" s="1768"/>
      <c r="E659" s="1768"/>
      <c r="F659" s="80" t="s">
        <v>322</v>
      </c>
      <c r="G659" s="80" t="s">
        <v>743</v>
      </c>
      <c r="H659" s="80"/>
      <c r="I659" s="80" t="s">
        <v>743</v>
      </c>
      <c r="J659" s="81"/>
      <c r="K659" s="80"/>
      <c r="L659" s="81">
        <v>2.15</v>
      </c>
      <c r="M659" s="82"/>
      <c r="N659" s="83"/>
      <c r="AB659" s="43" t="s">
        <v>742</v>
      </c>
    </row>
    <row r="660" spans="1:34" s="40" customFormat="1" ht="33.75" x14ac:dyDescent="0.2">
      <c r="A660" s="79"/>
      <c r="B660" s="78" t="s">
        <v>744</v>
      </c>
      <c r="C660" s="1768" t="s">
        <v>745</v>
      </c>
      <c r="D660" s="1768"/>
      <c r="E660" s="1768"/>
      <c r="F660" s="80" t="s">
        <v>322</v>
      </c>
      <c r="G660" s="80" t="s">
        <v>690</v>
      </c>
      <c r="H660" s="80"/>
      <c r="I660" s="80" t="s">
        <v>690</v>
      </c>
      <c r="J660" s="81"/>
      <c r="K660" s="80"/>
      <c r="L660" s="81">
        <v>1.27</v>
      </c>
      <c r="M660" s="82"/>
      <c r="N660" s="83"/>
      <c r="AB660" s="43" t="s">
        <v>745</v>
      </c>
    </row>
    <row r="661" spans="1:34" s="40" customFormat="1" x14ac:dyDescent="0.2">
      <c r="A661" s="88"/>
      <c r="B661" s="89"/>
      <c r="C661" s="1785" t="s">
        <v>327</v>
      </c>
      <c r="D661" s="1785"/>
      <c r="E661" s="1785"/>
      <c r="F661" s="71"/>
      <c r="G661" s="71"/>
      <c r="H661" s="71"/>
      <c r="I661" s="71"/>
      <c r="J661" s="72"/>
      <c r="K661" s="71"/>
      <c r="L661" s="72">
        <v>13.17</v>
      </c>
      <c r="M661" s="86"/>
      <c r="N661" s="74"/>
      <c r="AD661" s="43" t="s">
        <v>327</v>
      </c>
    </row>
    <row r="662" spans="1:34" s="40" customFormat="1" ht="56.25" x14ac:dyDescent="0.2">
      <c r="A662" s="69" t="s">
        <v>2347</v>
      </c>
      <c r="B662" s="70" t="s">
        <v>3651</v>
      </c>
      <c r="C662" s="1785" t="s">
        <v>3652</v>
      </c>
      <c r="D662" s="1785"/>
      <c r="E662" s="1785"/>
      <c r="F662" s="71" t="s">
        <v>638</v>
      </c>
      <c r="G662" s="71"/>
      <c r="H662" s="71"/>
      <c r="I662" s="71" t="s">
        <v>185</v>
      </c>
      <c r="J662" s="72">
        <v>886.75</v>
      </c>
      <c r="K662" s="71"/>
      <c r="L662" s="72">
        <v>886.75</v>
      </c>
      <c r="M662" s="73"/>
      <c r="N662" s="74"/>
      <c r="X662" s="43" t="s">
        <v>3652</v>
      </c>
    </row>
    <row r="663" spans="1:34" s="40" customFormat="1" x14ac:dyDescent="0.2">
      <c r="A663" s="88"/>
      <c r="B663" s="89"/>
      <c r="C663" s="48" t="s">
        <v>717</v>
      </c>
      <c r="D663" s="117"/>
      <c r="E663" s="117"/>
      <c r="F663" s="90"/>
      <c r="G663" s="90"/>
      <c r="H663" s="90"/>
      <c r="I663" s="90"/>
      <c r="J663" s="118"/>
      <c r="K663" s="90"/>
      <c r="L663" s="118"/>
      <c r="M663" s="119"/>
      <c r="N663" s="120"/>
    </row>
    <row r="664" spans="1:34" s="40" customFormat="1" ht="1.5" customHeight="1" x14ac:dyDescent="0.2">
      <c r="A664" s="90"/>
      <c r="B664" s="89"/>
      <c r="C664" s="89"/>
      <c r="D664" s="89"/>
      <c r="E664" s="89"/>
      <c r="F664" s="90"/>
      <c r="G664" s="90"/>
      <c r="H664" s="90"/>
      <c r="I664" s="90"/>
      <c r="J664" s="91"/>
      <c r="K664" s="90"/>
      <c r="L664" s="91"/>
      <c r="M664" s="80"/>
      <c r="N664" s="91"/>
    </row>
    <row r="665" spans="1:34" s="40" customFormat="1" x14ac:dyDescent="0.2">
      <c r="A665" s="92"/>
      <c r="B665" s="93"/>
      <c r="C665" s="1785" t="s">
        <v>3665</v>
      </c>
      <c r="D665" s="1785"/>
      <c r="E665" s="1785"/>
      <c r="F665" s="1785"/>
      <c r="G665" s="1785"/>
      <c r="H665" s="1785"/>
      <c r="I665" s="1785"/>
      <c r="J665" s="1785"/>
      <c r="K665" s="1785"/>
      <c r="L665" s="94"/>
      <c r="M665" s="95"/>
      <c r="N665" s="96"/>
      <c r="AG665" s="43" t="s">
        <v>3665</v>
      </c>
    </row>
    <row r="666" spans="1:34" s="40" customFormat="1" x14ac:dyDescent="0.2">
      <c r="A666" s="97"/>
      <c r="B666" s="78"/>
      <c r="C666" s="1768" t="s">
        <v>403</v>
      </c>
      <c r="D666" s="1768"/>
      <c r="E666" s="1768"/>
      <c r="F666" s="1768"/>
      <c r="G666" s="1768"/>
      <c r="H666" s="1768"/>
      <c r="I666" s="1768"/>
      <c r="J666" s="1768"/>
      <c r="K666" s="1768"/>
      <c r="L666" s="98">
        <v>6483.81</v>
      </c>
      <c r="M666" s="99"/>
      <c r="N666" s="100"/>
      <c r="AH666" s="43" t="s">
        <v>403</v>
      </c>
    </row>
    <row r="667" spans="1:34" s="40" customFormat="1" x14ac:dyDescent="0.2">
      <c r="A667" s="97"/>
      <c r="B667" s="78"/>
      <c r="C667" s="1768" t="s">
        <v>204</v>
      </c>
      <c r="D667" s="1768"/>
      <c r="E667" s="1768"/>
      <c r="F667" s="1768"/>
      <c r="G667" s="1768"/>
      <c r="H667" s="1768"/>
      <c r="I667" s="1768"/>
      <c r="J667" s="1768"/>
      <c r="K667" s="1768"/>
      <c r="L667" s="98"/>
      <c r="M667" s="99"/>
      <c r="N667" s="100"/>
      <c r="AH667" s="43" t="s">
        <v>204</v>
      </c>
    </row>
    <row r="668" spans="1:34" s="40" customFormat="1" x14ac:dyDescent="0.2">
      <c r="A668" s="97"/>
      <c r="B668" s="78"/>
      <c r="C668" s="1768" t="s">
        <v>404</v>
      </c>
      <c r="D668" s="1768"/>
      <c r="E668" s="1768"/>
      <c r="F668" s="1768"/>
      <c r="G668" s="1768"/>
      <c r="H668" s="1768"/>
      <c r="I668" s="1768"/>
      <c r="J668" s="1768"/>
      <c r="K668" s="1768"/>
      <c r="L668" s="98">
        <v>138.05000000000001</v>
      </c>
      <c r="M668" s="99"/>
      <c r="N668" s="100"/>
      <c r="AH668" s="43" t="s">
        <v>404</v>
      </c>
    </row>
    <row r="669" spans="1:34" s="40" customFormat="1" x14ac:dyDescent="0.2">
      <c r="A669" s="97"/>
      <c r="B669" s="78"/>
      <c r="C669" s="1768" t="s">
        <v>405</v>
      </c>
      <c r="D669" s="1768"/>
      <c r="E669" s="1768"/>
      <c r="F669" s="1768"/>
      <c r="G669" s="1768"/>
      <c r="H669" s="1768"/>
      <c r="I669" s="1768"/>
      <c r="J669" s="1768"/>
      <c r="K669" s="1768"/>
      <c r="L669" s="98">
        <v>232.59</v>
      </c>
      <c r="M669" s="99"/>
      <c r="N669" s="100"/>
      <c r="AH669" s="43" t="s">
        <v>405</v>
      </c>
    </row>
    <row r="670" spans="1:34" s="40" customFormat="1" x14ac:dyDescent="0.2">
      <c r="A670" s="97"/>
      <c r="B670" s="78"/>
      <c r="C670" s="1768" t="s">
        <v>406</v>
      </c>
      <c r="D670" s="1768"/>
      <c r="E670" s="1768"/>
      <c r="F670" s="1768"/>
      <c r="G670" s="1768"/>
      <c r="H670" s="1768"/>
      <c r="I670" s="1768"/>
      <c r="J670" s="1768"/>
      <c r="K670" s="1768"/>
      <c r="L670" s="98">
        <v>29.35</v>
      </c>
      <c r="M670" s="99"/>
      <c r="N670" s="100"/>
      <c r="AH670" s="43" t="s">
        <v>406</v>
      </c>
    </row>
    <row r="671" spans="1:34" s="40" customFormat="1" x14ac:dyDescent="0.2">
      <c r="A671" s="97"/>
      <c r="B671" s="78"/>
      <c r="C671" s="1768" t="s">
        <v>480</v>
      </c>
      <c r="D671" s="1768"/>
      <c r="E671" s="1768"/>
      <c r="F671" s="1768"/>
      <c r="G671" s="1768"/>
      <c r="H671" s="1768"/>
      <c r="I671" s="1768"/>
      <c r="J671" s="1768"/>
      <c r="K671" s="1768"/>
      <c r="L671" s="98">
        <v>6113.17</v>
      </c>
      <c r="M671" s="99"/>
      <c r="N671" s="100"/>
      <c r="AH671" s="43" t="s">
        <v>480</v>
      </c>
    </row>
    <row r="672" spans="1:34" s="40" customFormat="1" x14ac:dyDescent="0.2">
      <c r="A672" s="97"/>
      <c r="B672" s="78"/>
      <c r="C672" s="1768" t="s">
        <v>407</v>
      </c>
      <c r="D672" s="1768"/>
      <c r="E672" s="1768"/>
      <c r="F672" s="1768"/>
      <c r="G672" s="1768"/>
      <c r="H672" s="1768"/>
      <c r="I672" s="1768"/>
      <c r="J672" s="1768"/>
      <c r="K672" s="1768"/>
      <c r="L672" s="98">
        <v>6774.74</v>
      </c>
      <c r="M672" s="99"/>
      <c r="N672" s="100"/>
      <c r="AH672" s="43" t="s">
        <v>407</v>
      </c>
    </row>
    <row r="673" spans="1:35" s="40" customFormat="1" x14ac:dyDescent="0.2">
      <c r="A673" s="97"/>
      <c r="B673" s="78" t="s">
        <v>185</v>
      </c>
      <c r="C673" s="1768" t="s">
        <v>408</v>
      </c>
      <c r="D673" s="1768"/>
      <c r="E673" s="1768"/>
      <c r="F673" s="1768"/>
      <c r="G673" s="1768"/>
      <c r="H673" s="1768"/>
      <c r="I673" s="1768"/>
      <c r="J673" s="1768"/>
      <c r="K673" s="1768"/>
      <c r="L673" s="98">
        <v>6753.52</v>
      </c>
      <c r="M673" s="99"/>
      <c r="N673" s="100"/>
      <c r="AH673" s="43" t="s">
        <v>408</v>
      </c>
    </row>
    <row r="674" spans="1:35" s="40" customFormat="1" x14ac:dyDescent="0.2">
      <c r="A674" s="97"/>
      <c r="B674" s="78"/>
      <c r="C674" s="1768" t="s">
        <v>409</v>
      </c>
      <c r="D674" s="1768"/>
      <c r="E674" s="1768"/>
      <c r="F674" s="1768"/>
      <c r="G674" s="1768"/>
      <c r="H674" s="1768"/>
      <c r="I674" s="1768"/>
      <c r="J674" s="1768"/>
      <c r="K674" s="1768"/>
      <c r="L674" s="98"/>
      <c r="M674" s="99"/>
      <c r="N674" s="100"/>
      <c r="AH674" s="43" t="s">
        <v>409</v>
      </c>
    </row>
    <row r="675" spans="1:35" s="40" customFormat="1" x14ac:dyDescent="0.2">
      <c r="A675" s="97"/>
      <c r="B675" s="78"/>
      <c r="C675" s="1768" t="s">
        <v>410</v>
      </c>
      <c r="D675" s="1768"/>
      <c r="E675" s="1768"/>
      <c r="F675" s="1768"/>
      <c r="G675" s="1768"/>
      <c r="H675" s="1768"/>
      <c r="I675" s="1768"/>
      <c r="J675" s="1768"/>
      <c r="K675" s="1768"/>
      <c r="L675" s="98">
        <v>138.05000000000001</v>
      </c>
      <c r="M675" s="99"/>
      <c r="N675" s="100"/>
      <c r="AH675" s="43" t="s">
        <v>410</v>
      </c>
    </row>
    <row r="676" spans="1:35" s="40" customFormat="1" x14ac:dyDescent="0.2">
      <c r="A676" s="97"/>
      <c r="B676" s="78"/>
      <c r="C676" s="1768" t="s">
        <v>411</v>
      </c>
      <c r="D676" s="1768"/>
      <c r="E676" s="1768"/>
      <c r="F676" s="1768"/>
      <c r="G676" s="1768"/>
      <c r="H676" s="1768"/>
      <c r="I676" s="1768"/>
      <c r="J676" s="1768"/>
      <c r="K676" s="1768"/>
      <c r="L676" s="98">
        <v>211.37</v>
      </c>
      <c r="M676" s="99"/>
      <c r="N676" s="100"/>
      <c r="AH676" s="43" t="s">
        <v>411</v>
      </c>
    </row>
    <row r="677" spans="1:35" s="40" customFormat="1" x14ac:dyDescent="0.2">
      <c r="A677" s="97"/>
      <c r="B677" s="78"/>
      <c r="C677" s="1768" t="s">
        <v>481</v>
      </c>
      <c r="D677" s="1768"/>
      <c r="E677" s="1768"/>
      <c r="F677" s="1768"/>
      <c r="G677" s="1768"/>
      <c r="H677" s="1768"/>
      <c r="I677" s="1768"/>
      <c r="J677" s="1768"/>
      <c r="K677" s="1768"/>
      <c r="L677" s="98">
        <v>6113.17</v>
      </c>
      <c r="M677" s="99"/>
      <c r="N677" s="100"/>
      <c r="AH677" s="43" t="s">
        <v>481</v>
      </c>
    </row>
    <row r="678" spans="1:35" s="40" customFormat="1" x14ac:dyDescent="0.2">
      <c r="A678" s="97"/>
      <c r="B678" s="78"/>
      <c r="C678" s="1768" t="s">
        <v>412</v>
      </c>
      <c r="D678" s="1768"/>
      <c r="E678" s="1768"/>
      <c r="F678" s="1768"/>
      <c r="G678" s="1768"/>
      <c r="H678" s="1768"/>
      <c r="I678" s="1768"/>
      <c r="J678" s="1768"/>
      <c r="K678" s="1768"/>
      <c r="L678" s="98">
        <v>179.52</v>
      </c>
      <c r="M678" s="99"/>
      <c r="N678" s="100"/>
      <c r="AH678" s="43" t="s">
        <v>412</v>
      </c>
    </row>
    <row r="679" spans="1:35" s="40" customFormat="1" x14ac:dyDescent="0.2">
      <c r="A679" s="97"/>
      <c r="B679" s="78"/>
      <c r="C679" s="1768" t="s">
        <v>413</v>
      </c>
      <c r="D679" s="1768"/>
      <c r="E679" s="1768"/>
      <c r="F679" s="1768"/>
      <c r="G679" s="1768"/>
      <c r="H679" s="1768"/>
      <c r="I679" s="1768"/>
      <c r="J679" s="1768"/>
      <c r="K679" s="1768"/>
      <c r="L679" s="98">
        <v>111.41</v>
      </c>
      <c r="M679" s="99"/>
      <c r="N679" s="100"/>
      <c r="AH679" s="43" t="s">
        <v>413</v>
      </c>
    </row>
    <row r="680" spans="1:35" s="40" customFormat="1" x14ac:dyDescent="0.2">
      <c r="A680" s="97"/>
      <c r="B680" s="78" t="s">
        <v>185</v>
      </c>
      <c r="C680" s="1768" t="s">
        <v>414</v>
      </c>
      <c r="D680" s="1768"/>
      <c r="E680" s="1768"/>
      <c r="F680" s="1768"/>
      <c r="G680" s="1768"/>
      <c r="H680" s="1768"/>
      <c r="I680" s="1768"/>
      <c r="J680" s="1768"/>
      <c r="K680" s="1768"/>
      <c r="L680" s="98">
        <v>21.22</v>
      </c>
      <c r="M680" s="99"/>
      <c r="N680" s="100"/>
      <c r="AH680" s="43" t="s">
        <v>414</v>
      </c>
    </row>
    <row r="681" spans="1:35" s="40" customFormat="1" x14ac:dyDescent="0.2">
      <c r="A681" s="97"/>
      <c r="B681" s="78"/>
      <c r="C681" s="1768" t="s">
        <v>415</v>
      </c>
      <c r="D681" s="1768"/>
      <c r="E681" s="1768"/>
      <c r="F681" s="1768"/>
      <c r="G681" s="1768"/>
      <c r="H681" s="1768"/>
      <c r="I681" s="1768"/>
      <c r="J681" s="1768"/>
      <c r="K681" s="1768"/>
      <c r="L681" s="98">
        <v>167.4</v>
      </c>
      <c r="M681" s="99"/>
      <c r="N681" s="100"/>
      <c r="AH681" s="43" t="s">
        <v>415</v>
      </c>
    </row>
    <row r="682" spans="1:35" s="40" customFormat="1" x14ac:dyDescent="0.2">
      <c r="A682" s="97"/>
      <c r="B682" s="78"/>
      <c r="C682" s="1768" t="s">
        <v>416</v>
      </c>
      <c r="D682" s="1768"/>
      <c r="E682" s="1768"/>
      <c r="F682" s="1768"/>
      <c r="G682" s="1768"/>
      <c r="H682" s="1768"/>
      <c r="I682" s="1768"/>
      <c r="J682" s="1768"/>
      <c r="K682" s="1768"/>
      <c r="L682" s="98">
        <v>179.52</v>
      </c>
      <c r="M682" s="99"/>
      <c r="N682" s="100"/>
      <c r="AH682" s="43" t="s">
        <v>416</v>
      </c>
    </row>
    <row r="683" spans="1:35" s="40" customFormat="1" x14ac:dyDescent="0.2">
      <c r="A683" s="97"/>
      <c r="B683" s="78"/>
      <c r="C683" s="1768" t="s">
        <v>417</v>
      </c>
      <c r="D683" s="1768"/>
      <c r="E683" s="1768"/>
      <c r="F683" s="1768"/>
      <c r="G683" s="1768"/>
      <c r="H683" s="1768"/>
      <c r="I683" s="1768"/>
      <c r="J683" s="1768"/>
      <c r="K683" s="1768"/>
      <c r="L683" s="98">
        <v>111.41</v>
      </c>
      <c r="M683" s="99"/>
      <c r="N683" s="100"/>
      <c r="AH683" s="43" t="s">
        <v>417</v>
      </c>
    </row>
    <row r="684" spans="1:35" s="40" customFormat="1" x14ac:dyDescent="0.2">
      <c r="A684" s="97"/>
      <c r="B684" s="91"/>
      <c r="C684" s="1787" t="s">
        <v>3666</v>
      </c>
      <c r="D684" s="1787"/>
      <c r="E684" s="1787"/>
      <c r="F684" s="1787"/>
      <c r="G684" s="1787"/>
      <c r="H684" s="1787"/>
      <c r="I684" s="1787"/>
      <c r="J684" s="1787"/>
      <c r="K684" s="1787"/>
      <c r="L684" s="102">
        <v>6774.74</v>
      </c>
      <c r="M684" s="103"/>
      <c r="N684" s="104"/>
      <c r="AI684" s="43" t="s">
        <v>3666</v>
      </c>
    </row>
    <row r="685" spans="1:35" s="40" customFormat="1" ht="12" x14ac:dyDescent="0.2">
      <c r="A685" s="1782" t="s">
        <v>3667</v>
      </c>
      <c r="B685" s="1783"/>
      <c r="C685" s="1783"/>
      <c r="D685" s="1783"/>
      <c r="E685" s="1783"/>
      <c r="F685" s="1783"/>
      <c r="G685" s="1783"/>
      <c r="H685" s="1783"/>
      <c r="I685" s="1783"/>
      <c r="J685" s="1783"/>
      <c r="K685" s="1783"/>
      <c r="L685" s="1783"/>
      <c r="M685" s="1783"/>
      <c r="N685" s="1784"/>
      <c r="V685" s="43" t="s">
        <v>3667</v>
      </c>
    </row>
    <row r="686" spans="1:35" s="40" customFormat="1" x14ac:dyDescent="0.2">
      <c r="A686" s="1801" t="s">
        <v>494</v>
      </c>
      <c r="B686" s="1802"/>
      <c r="C686" s="1802"/>
      <c r="D686" s="1802"/>
      <c r="E686" s="1802"/>
      <c r="F686" s="1802"/>
      <c r="G686" s="1802"/>
      <c r="H686" s="1802"/>
      <c r="I686" s="1802"/>
      <c r="J686" s="1802"/>
      <c r="K686" s="1802"/>
      <c r="L686" s="1802"/>
      <c r="M686" s="1802"/>
      <c r="N686" s="1803"/>
      <c r="W686" s="43" t="s">
        <v>494</v>
      </c>
    </row>
    <row r="687" spans="1:35" s="40" customFormat="1" ht="56.25" x14ac:dyDescent="0.2">
      <c r="A687" s="69" t="s">
        <v>796</v>
      </c>
      <c r="B687" s="70" t="s">
        <v>1349</v>
      </c>
      <c r="C687" s="1785" t="s">
        <v>1350</v>
      </c>
      <c r="D687" s="1785"/>
      <c r="E687" s="1785"/>
      <c r="F687" s="71" t="s">
        <v>455</v>
      </c>
      <c r="G687" s="71"/>
      <c r="H687" s="71"/>
      <c r="I687" s="71" t="s">
        <v>3596</v>
      </c>
      <c r="J687" s="72"/>
      <c r="K687" s="71"/>
      <c r="L687" s="72"/>
      <c r="M687" s="73"/>
      <c r="N687" s="74"/>
      <c r="X687" s="43" t="s">
        <v>1350</v>
      </c>
    </row>
    <row r="688" spans="1:35" s="40" customFormat="1" x14ac:dyDescent="0.2">
      <c r="A688" s="75"/>
      <c r="B688" s="76"/>
      <c r="C688" s="1768" t="s">
        <v>3597</v>
      </c>
      <c r="D688" s="1768"/>
      <c r="E688" s="1768"/>
      <c r="F688" s="1768"/>
      <c r="G688" s="1768"/>
      <c r="H688" s="1768"/>
      <c r="I688" s="1768"/>
      <c r="J688" s="1768"/>
      <c r="K688" s="1768"/>
      <c r="L688" s="1768"/>
      <c r="M688" s="1768"/>
      <c r="N688" s="1779"/>
      <c r="Y688" s="43" t="s">
        <v>3597</v>
      </c>
    </row>
    <row r="689" spans="1:30" s="40" customFormat="1" ht="33.75" x14ac:dyDescent="0.2">
      <c r="A689" s="77"/>
      <c r="B689" s="78" t="s">
        <v>310</v>
      </c>
      <c r="C689" s="1768" t="s">
        <v>311</v>
      </c>
      <c r="D689" s="1768"/>
      <c r="E689" s="1768"/>
      <c r="F689" s="1768"/>
      <c r="G689" s="1768"/>
      <c r="H689" s="1768"/>
      <c r="I689" s="1768"/>
      <c r="J689" s="1768"/>
      <c r="K689" s="1768"/>
      <c r="L689" s="1768"/>
      <c r="M689" s="1768"/>
      <c r="N689" s="1779"/>
      <c r="Z689" s="43" t="s">
        <v>311</v>
      </c>
    </row>
    <row r="690" spans="1:30" s="40" customFormat="1" x14ac:dyDescent="0.2">
      <c r="A690" s="79"/>
      <c r="B690" s="78" t="s">
        <v>186</v>
      </c>
      <c r="C690" s="1768" t="s">
        <v>344</v>
      </c>
      <c r="D690" s="1768"/>
      <c r="E690" s="1768"/>
      <c r="F690" s="80"/>
      <c r="G690" s="80"/>
      <c r="H690" s="80"/>
      <c r="I690" s="80"/>
      <c r="J690" s="81">
        <v>7550.19</v>
      </c>
      <c r="K690" s="80" t="s">
        <v>313</v>
      </c>
      <c r="L690" s="81">
        <v>29.92</v>
      </c>
      <c r="M690" s="82"/>
      <c r="N690" s="83"/>
      <c r="AA690" s="43" t="s">
        <v>344</v>
      </c>
    </row>
    <row r="691" spans="1:30" s="40" customFormat="1" x14ac:dyDescent="0.2">
      <c r="A691" s="79"/>
      <c r="B691" s="78" t="s">
        <v>187</v>
      </c>
      <c r="C691" s="1768" t="s">
        <v>345</v>
      </c>
      <c r="D691" s="1768"/>
      <c r="E691" s="1768"/>
      <c r="F691" s="80"/>
      <c r="G691" s="80"/>
      <c r="H691" s="80"/>
      <c r="I691" s="80"/>
      <c r="J691" s="81">
        <v>884.25</v>
      </c>
      <c r="K691" s="80" t="s">
        <v>313</v>
      </c>
      <c r="L691" s="81">
        <v>3.5</v>
      </c>
      <c r="M691" s="82"/>
      <c r="N691" s="83"/>
      <c r="AA691" s="43" t="s">
        <v>345</v>
      </c>
    </row>
    <row r="692" spans="1:30" s="40" customFormat="1" x14ac:dyDescent="0.2">
      <c r="A692" s="79"/>
      <c r="B692" s="78"/>
      <c r="C692" s="1768" t="s">
        <v>348</v>
      </c>
      <c r="D692" s="1768"/>
      <c r="E692" s="1768"/>
      <c r="F692" s="80" t="s">
        <v>315</v>
      </c>
      <c r="G692" s="80" t="s">
        <v>1353</v>
      </c>
      <c r="H692" s="80" t="s">
        <v>313</v>
      </c>
      <c r="I692" s="80" t="s">
        <v>3598</v>
      </c>
      <c r="J692" s="81"/>
      <c r="K692" s="80"/>
      <c r="L692" s="81"/>
      <c r="M692" s="82"/>
      <c r="N692" s="83"/>
      <c r="AB692" s="43" t="s">
        <v>348</v>
      </c>
    </row>
    <row r="693" spans="1:30" s="40" customFormat="1" x14ac:dyDescent="0.2">
      <c r="A693" s="79"/>
      <c r="B693" s="78"/>
      <c r="C693" s="1780" t="s">
        <v>318</v>
      </c>
      <c r="D693" s="1780"/>
      <c r="E693" s="1780"/>
      <c r="F693" s="84"/>
      <c r="G693" s="84"/>
      <c r="H693" s="84"/>
      <c r="I693" s="84"/>
      <c r="J693" s="85">
        <v>7550.19</v>
      </c>
      <c r="K693" s="84"/>
      <c r="L693" s="85">
        <v>29.92</v>
      </c>
      <c r="M693" s="86"/>
      <c r="N693" s="87"/>
      <c r="AC693" s="43" t="s">
        <v>318</v>
      </c>
    </row>
    <row r="694" spans="1:30" s="40" customFormat="1" x14ac:dyDescent="0.2">
      <c r="A694" s="79"/>
      <c r="B694" s="78"/>
      <c r="C694" s="1768" t="s">
        <v>319</v>
      </c>
      <c r="D694" s="1768"/>
      <c r="E694" s="1768"/>
      <c r="F694" s="80"/>
      <c r="G694" s="80"/>
      <c r="H694" s="80"/>
      <c r="I694" s="80"/>
      <c r="J694" s="81"/>
      <c r="K694" s="80"/>
      <c r="L694" s="81">
        <v>3.5</v>
      </c>
      <c r="M694" s="82"/>
      <c r="N694" s="83"/>
      <c r="AB694" s="43" t="s">
        <v>319</v>
      </c>
    </row>
    <row r="695" spans="1:30" s="40" customFormat="1" ht="33.75" x14ac:dyDescent="0.2">
      <c r="A695" s="79"/>
      <c r="B695" s="78" t="s">
        <v>460</v>
      </c>
      <c r="C695" s="1768" t="s">
        <v>461</v>
      </c>
      <c r="D695" s="1768"/>
      <c r="E695" s="1768"/>
      <c r="F695" s="80" t="s">
        <v>322</v>
      </c>
      <c r="G695" s="80" t="s">
        <v>462</v>
      </c>
      <c r="H695" s="80"/>
      <c r="I695" s="80" t="s">
        <v>462</v>
      </c>
      <c r="J695" s="81"/>
      <c r="K695" s="80"/>
      <c r="L695" s="81">
        <v>3.22</v>
      </c>
      <c r="M695" s="82"/>
      <c r="N695" s="83"/>
      <c r="AB695" s="43" t="s">
        <v>461</v>
      </c>
    </row>
    <row r="696" spans="1:30" s="40" customFormat="1" ht="33.75" x14ac:dyDescent="0.2">
      <c r="A696" s="79"/>
      <c r="B696" s="78" t="s">
        <v>463</v>
      </c>
      <c r="C696" s="1768" t="s">
        <v>464</v>
      </c>
      <c r="D696" s="1768"/>
      <c r="E696" s="1768"/>
      <c r="F696" s="80" t="s">
        <v>322</v>
      </c>
      <c r="G696" s="80" t="s">
        <v>465</v>
      </c>
      <c r="H696" s="80"/>
      <c r="I696" s="80" t="s">
        <v>465</v>
      </c>
      <c r="J696" s="81"/>
      <c r="K696" s="80"/>
      <c r="L696" s="81">
        <v>1.61</v>
      </c>
      <c r="M696" s="82"/>
      <c r="N696" s="83"/>
      <c r="AB696" s="43" t="s">
        <v>464</v>
      </c>
    </row>
    <row r="697" spans="1:30" s="40" customFormat="1" x14ac:dyDescent="0.2">
      <c r="A697" s="88"/>
      <c r="B697" s="89"/>
      <c r="C697" s="1785" t="s">
        <v>327</v>
      </c>
      <c r="D697" s="1785"/>
      <c r="E697" s="1785"/>
      <c r="F697" s="71"/>
      <c r="G697" s="71"/>
      <c r="H697" s="71"/>
      <c r="I697" s="71"/>
      <c r="J697" s="72"/>
      <c r="K697" s="71"/>
      <c r="L697" s="72">
        <v>34.75</v>
      </c>
      <c r="M697" s="86"/>
      <c r="N697" s="74"/>
      <c r="AD697" s="43" t="s">
        <v>327</v>
      </c>
    </row>
    <row r="698" spans="1:30" s="40" customFormat="1" ht="45" x14ac:dyDescent="0.2">
      <c r="A698" s="69" t="s">
        <v>797</v>
      </c>
      <c r="B698" s="70" t="s">
        <v>495</v>
      </c>
      <c r="C698" s="1785" t="s">
        <v>496</v>
      </c>
      <c r="D698" s="1785"/>
      <c r="E698" s="1785"/>
      <c r="F698" s="71" t="s">
        <v>455</v>
      </c>
      <c r="G698" s="71"/>
      <c r="H698" s="71"/>
      <c r="I698" s="71" t="s">
        <v>3599</v>
      </c>
      <c r="J698" s="72"/>
      <c r="K698" s="71"/>
      <c r="L698" s="72"/>
      <c r="M698" s="73"/>
      <c r="N698" s="74"/>
      <c r="X698" s="43" t="s">
        <v>496</v>
      </c>
    </row>
    <row r="699" spans="1:30" s="40" customFormat="1" x14ac:dyDescent="0.2">
      <c r="A699" s="75"/>
      <c r="B699" s="76"/>
      <c r="C699" s="1768" t="s">
        <v>3600</v>
      </c>
      <c r="D699" s="1768"/>
      <c r="E699" s="1768"/>
      <c r="F699" s="1768"/>
      <c r="G699" s="1768"/>
      <c r="H699" s="1768"/>
      <c r="I699" s="1768"/>
      <c r="J699" s="1768"/>
      <c r="K699" s="1768"/>
      <c r="L699" s="1768"/>
      <c r="M699" s="1768"/>
      <c r="N699" s="1779"/>
      <c r="Y699" s="43" t="s">
        <v>3600</v>
      </c>
    </row>
    <row r="700" spans="1:30" s="40" customFormat="1" ht="33.75" x14ac:dyDescent="0.2">
      <c r="A700" s="77"/>
      <c r="B700" s="78" t="s">
        <v>310</v>
      </c>
      <c r="C700" s="1768" t="s">
        <v>311</v>
      </c>
      <c r="D700" s="1768"/>
      <c r="E700" s="1768"/>
      <c r="F700" s="1768"/>
      <c r="G700" s="1768"/>
      <c r="H700" s="1768"/>
      <c r="I700" s="1768"/>
      <c r="J700" s="1768"/>
      <c r="K700" s="1768"/>
      <c r="L700" s="1768"/>
      <c r="M700" s="1768"/>
      <c r="N700" s="1779"/>
      <c r="Z700" s="43" t="s">
        <v>311</v>
      </c>
    </row>
    <row r="701" spans="1:30" s="40" customFormat="1" x14ac:dyDescent="0.2">
      <c r="A701" s="79"/>
      <c r="B701" s="78" t="s">
        <v>186</v>
      </c>
      <c r="C701" s="1768" t="s">
        <v>344</v>
      </c>
      <c r="D701" s="1768"/>
      <c r="E701" s="1768"/>
      <c r="F701" s="80"/>
      <c r="G701" s="80"/>
      <c r="H701" s="80"/>
      <c r="I701" s="80"/>
      <c r="J701" s="81">
        <v>5532.96</v>
      </c>
      <c r="K701" s="80" t="s">
        <v>313</v>
      </c>
      <c r="L701" s="81">
        <v>13.62</v>
      </c>
      <c r="M701" s="82"/>
      <c r="N701" s="83"/>
      <c r="AA701" s="43" t="s">
        <v>344</v>
      </c>
    </row>
    <row r="702" spans="1:30" s="40" customFormat="1" x14ac:dyDescent="0.2">
      <c r="A702" s="79"/>
      <c r="B702" s="78" t="s">
        <v>187</v>
      </c>
      <c r="C702" s="1768" t="s">
        <v>345</v>
      </c>
      <c r="D702" s="1768"/>
      <c r="E702" s="1768"/>
      <c r="F702" s="80"/>
      <c r="G702" s="80"/>
      <c r="H702" s="80"/>
      <c r="I702" s="80"/>
      <c r="J702" s="81">
        <v>648</v>
      </c>
      <c r="K702" s="80" t="s">
        <v>313</v>
      </c>
      <c r="L702" s="81">
        <v>1.6</v>
      </c>
      <c r="M702" s="82"/>
      <c r="N702" s="83"/>
      <c r="AA702" s="43" t="s">
        <v>345</v>
      </c>
    </row>
    <row r="703" spans="1:30" s="40" customFormat="1" x14ac:dyDescent="0.2">
      <c r="A703" s="79"/>
      <c r="B703" s="78"/>
      <c r="C703" s="1768" t="s">
        <v>348</v>
      </c>
      <c r="D703" s="1768"/>
      <c r="E703" s="1768"/>
      <c r="F703" s="80" t="s">
        <v>315</v>
      </c>
      <c r="G703" s="80" t="s">
        <v>501</v>
      </c>
      <c r="H703" s="80" t="s">
        <v>313</v>
      </c>
      <c r="I703" s="80" t="s">
        <v>3601</v>
      </c>
      <c r="J703" s="81"/>
      <c r="K703" s="80"/>
      <c r="L703" s="81"/>
      <c r="M703" s="82"/>
      <c r="N703" s="83"/>
      <c r="AB703" s="43" t="s">
        <v>348</v>
      </c>
    </row>
    <row r="704" spans="1:30" s="40" customFormat="1" x14ac:dyDescent="0.2">
      <c r="A704" s="79"/>
      <c r="B704" s="78"/>
      <c r="C704" s="1780" t="s">
        <v>318</v>
      </c>
      <c r="D704" s="1780"/>
      <c r="E704" s="1780"/>
      <c r="F704" s="84"/>
      <c r="G704" s="84"/>
      <c r="H704" s="84"/>
      <c r="I704" s="84"/>
      <c r="J704" s="85">
        <v>5532.96</v>
      </c>
      <c r="K704" s="84"/>
      <c r="L704" s="85">
        <v>13.62</v>
      </c>
      <c r="M704" s="86"/>
      <c r="N704" s="87"/>
      <c r="AC704" s="43" t="s">
        <v>318</v>
      </c>
    </row>
    <row r="705" spans="1:30" s="40" customFormat="1" x14ac:dyDescent="0.2">
      <c r="A705" s="79"/>
      <c r="B705" s="78"/>
      <c r="C705" s="1768" t="s">
        <v>319</v>
      </c>
      <c r="D705" s="1768"/>
      <c r="E705" s="1768"/>
      <c r="F705" s="80"/>
      <c r="G705" s="80"/>
      <c r="H705" s="80"/>
      <c r="I705" s="80"/>
      <c r="J705" s="81"/>
      <c r="K705" s="80"/>
      <c r="L705" s="81">
        <v>1.6</v>
      </c>
      <c r="M705" s="82"/>
      <c r="N705" s="83"/>
      <c r="AB705" s="43" t="s">
        <v>319</v>
      </c>
    </row>
    <row r="706" spans="1:30" s="40" customFormat="1" ht="33.75" x14ac:dyDescent="0.2">
      <c r="A706" s="79"/>
      <c r="B706" s="78" t="s">
        <v>460</v>
      </c>
      <c r="C706" s="1768" t="s">
        <v>461</v>
      </c>
      <c r="D706" s="1768"/>
      <c r="E706" s="1768"/>
      <c r="F706" s="80" t="s">
        <v>322</v>
      </c>
      <c r="G706" s="80" t="s">
        <v>462</v>
      </c>
      <c r="H706" s="80"/>
      <c r="I706" s="80" t="s">
        <v>462</v>
      </c>
      <c r="J706" s="81"/>
      <c r="K706" s="80"/>
      <c r="L706" s="81">
        <v>1.47</v>
      </c>
      <c r="M706" s="82"/>
      <c r="N706" s="83"/>
      <c r="AB706" s="43" t="s">
        <v>461</v>
      </c>
    </row>
    <row r="707" spans="1:30" s="40" customFormat="1" ht="33.75" x14ac:dyDescent="0.2">
      <c r="A707" s="79"/>
      <c r="B707" s="78" t="s">
        <v>463</v>
      </c>
      <c r="C707" s="1768" t="s">
        <v>464</v>
      </c>
      <c r="D707" s="1768"/>
      <c r="E707" s="1768"/>
      <c r="F707" s="80" t="s">
        <v>322</v>
      </c>
      <c r="G707" s="80" t="s">
        <v>465</v>
      </c>
      <c r="H707" s="80"/>
      <c r="I707" s="80" t="s">
        <v>465</v>
      </c>
      <c r="J707" s="81"/>
      <c r="K707" s="80"/>
      <c r="L707" s="81">
        <v>0.74</v>
      </c>
      <c r="M707" s="82"/>
      <c r="N707" s="83"/>
      <c r="AB707" s="43" t="s">
        <v>464</v>
      </c>
    </row>
    <row r="708" spans="1:30" s="40" customFormat="1" x14ac:dyDescent="0.2">
      <c r="A708" s="88"/>
      <c r="B708" s="89"/>
      <c r="C708" s="1785" t="s">
        <v>327</v>
      </c>
      <c r="D708" s="1785"/>
      <c r="E708" s="1785"/>
      <c r="F708" s="71"/>
      <c r="G708" s="71"/>
      <c r="H708" s="71"/>
      <c r="I708" s="71"/>
      <c r="J708" s="72"/>
      <c r="K708" s="71"/>
      <c r="L708" s="72">
        <v>15.83</v>
      </c>
      <c r="M708" s="86"/>
      <c r="N708" s="74"/>
      <c r="AD708" s="43" t="s">
        <v>327</v>
      </c>
    </row>
    <row r="709" spans="1:30" s="40" customFormat="1" ht="56.25" x14ac:dyDescent="0.2">
      <c r="A709" s="69" t="s">
        <v>798</v>
      </c>
      <c r="B709" s="70" t="s">
        <v>1358</v>
      </c>
      <c r="C709" s="1785" t="s">
        <v>1359</v>
      </c>
      <c r="D709" s="1785"/>
      <c r="E709" s="1785"/>
      <c r="F709" s="71" t="s">
        <v>455</v>
      </c>
      <c r="G709" s="71"/>
      <c r="H709" s="71"/>
      <c r="I709" s="71" t="s">
        <v>3599</v>
      </c>
      <c r="J709" s="72"/>
      <c r="K709" s="71"/>
      <c r="L709" s="72"/>
      <c r="M709" s="73"/>
      <c r="N709" s="74"/>
      <c r="X709" s="43" t="s">
        <v>1359</v>
      </c>
    </row>
    <row r="710" spans="1:30" s="40" customFormat="1" x14ac:dyDescent="0.2">
      <c r="A710" s="75"/>
      <c r="B710" s="76"/>
      <c r="C710" s="1768" t="s">
        <v>3600</v>
      </c>
      <c r="D710" s="1768"/>
      <c r="E710" s="1768"/>
      <c r="F710" s="1768"/>
      <c r="G710" s="1768"/>
      <c r="H710" s="1768"/>
      <c r="I710" s="1768"/>
      <c r="J710" s="1768"/>
      <c r="K710" s="1768"/>
      <c r="L710" s="1768"/>
      <c r="M710" s="1768"/>
      <c r="N710" s="1779"/>
      <c r="Y710" s="43" t="s">
        <v>3600</v>
      </c>
    </row>
    <row r="711" spans="1:30" s="40" customFormat="1" ht="33.75" x14ac:dyDescent="0.2">
      <c r="A711" s="77"/>
      <c r="B711" s="78" t="s">
        <v>310</v>
      </c>
      <c r="C711" s="1768" t="s">
        <v>311</v>
      </c>
      <c r="D711" s="1768"/>
      <c r="E711" s="1768"/>
      <c r="F711" s="1768"/>
      <c r="G711" s="1768"/>
      <c r="H711" s="1768"/>
      <c r="I711" s="1768"/>
      <c r="J711" s="1768"/>
      <c r="K711" s="1768"/>
      <c r="L711" s="1768"/>
      <c r="M711" s="1768"/>
      <c r="N711" s="1779"/>
      <c r="Z711" s="43" t="s">
        <v>311</v>
      </c>
    </row>
    <row r="712" spans="1:30" s="40" customFormat="1" x14ac:dyDescent="0.2">
      <c r="A712" s="79"/>
      <c r="B712" s="78" t="s">
        <v>186</v>
      </c>
      <c r="C712" s="1768" t="s">
        <v>344</v>
      </c>
      <c r="D712" s="1768"/>
      <c r="E712" s="1768"/>
      <c r="F712" s="80"/>
      <c r="G712" s="80"/>
      <c r="H712" s="80"/>
      <c r="I712" s="80"/>
      <c r="J712" s="81">
        <v>4264.99</v>
      </c>
      <c r="K712" s="80" t="s">
        <v>313</v>
      </c>
      <c r="L712" s="81">
        <v>10.5</v>
      </c>
      <c r="M712" s="82"/>
      <c r="N712" s="83"/>
      <c r="AA712" s="43" t="s">
        <v>344</v>
      </c>
    </row>
    <row r="713" spans="1:30" s="40" customFormat="1" x14ac:dyDescent="0.2">
      <c r="A713" s="79"/>
      <c r="B713" s="78" t="s">
        <v>187</v>
      </c>
      <c r="C713" s="1768" t="s">
        <v>345</v>
      </c>
      <c r="D713" s="1768"/>
      <c r="E713" s="1768"/>
      <c r="F713" s="80"/>
      <c r="G713" s="80"/>
      <c r="H713" s="80"/>
      <c r="I713" s="80"/>
      <c r="J713" s="81">
        <v>499.5</v>
      </c>
      <c r="K713" s="80" t="s">
        <v>313</v>
      </c>
      <c r="L713" s="81">
        <v>1.23</v>
      </c>
      <c r="M713" s="82"/>
      <c r="N713" s="83"/>
      <c r="AA713" s="43" t="s">
        <v>345</v>
      </c>
    </row>
    <row r="714" spans="1:30" s="40" customFormat="1" x14ac:dyDescent="0.2">
      <c r="A714" s="79"/>
      <c r="B714" s="78"/>
      <c r="C714" s="1768" t="s">
        <v>348</v>
      </c>
      <c r="D714" s="1768"/>
      <c r="E714" s="1768"/>
      <c r="F714" s="80" t="s">
        <v>315</v>
      </c>
      <c r="G714" s="80" t="s">
        <v>770</v>
      </c>
      <c r="H714" s="80" t="s">
        <v>313</v>
      </c>
      <c r="I714" s="80" t="s">
        <v>3602</v>
      </c>
      <c r="J714" s="81"/>
      <c r="K714" s="80"/>
      <c r="L714" s="81"/>
      <c r="M714" s="82"/>
      <c r="N714" s="83"/>
      <c r="AB714" s="43" t="s">
        <v>348</v>
      </c>
    </row>
    <row r="715" spans="1:30" s="40" customFormat="1" x14ac:dyDescent="0.2">
      <c r="A715" s="79"/>
      <c r="B715" s="78"/>
      <c r="C715" s="1780" t="s">
        <v>318</v>
      </c>
      <c r="D715" s="1780"/>
      <c r="E715" s="1780"/>
      <c r="F715" s="84"/>
      <c r="G715" s="84"/>
      <c r="H715" s="84"/>
      <c r="I715" s="84"/>
      <c r="J715" s="85">
        <v>4264.99</v>
      </c>
      <c r="K715" s="84"/>
      <c r="L715" s="85">
        <v>10.5</v>
      </c>
      <c r="M715" s="86"/>
      <c r="N715" s="87"/>
      <c r="AC715" s="43" t="s">
        <v>318</v>
      </c>
    </row>
    <row r="716" spans="1:30" s="40" customFormat="1" x14ac:dyDescent="0.2">
      <c r="A716" s="79"/>
      <c r="B716" s="78"/>
      <c r="C716" s="1768" t="s">
        <v>319</v>
      </c>
      <c r="D716" s="1768"/>
      <c r="E716" s="1768"/>
      <c r="F716" s="80"/>
      <c r="G716" s="80"/>
      <c r="H716" s="80"/>
      <c r="I716" s="80"/>
      <c r="J716" s="81"/>
      <c r="K716" s="80"/>
      <c r="L716" s="81">
        <v>1.23</v>
      </c>
      <c r="M716" s="82"/>
      <c r="N716" s="83"/>
      <c r="AB716" s="43" t="s">
        <v>319</v>
      </c>
    </row>
    <row r="717" spans="1:30" s="40" customFormat="1" ht="33.75" x14ac:dyDescent="0.2">
      <c r="A717" s="79"/>
      <c r="B717" s="78" t="s">
        <v>460</v>
      </c>
      <c r="C717" s="1768" t="s">
        <v>461</v>
      </c>
      <c r="D717" s="1768"/>
      <c r="E717" s="1768"/>
      <c r="F717" s="80" t="s">
        <v>322</v>
      </c>
      <c r="G717" s="80" t="s">
        <v>462</v>
      </c>
      <c r="H717" s="80"/>
      <c r="I717" s="80" t="s">
        <v>462</v>
      </c>
      <c r="J717" s="81"/>
      <c r="K717" s="80"/>
      <c r="L717" s="81">
        <v>1.1299999999999999</v>
      </c>
      <c r="M717" s="82"/>
      <c r="N717" s="83"/>
      <c r="AB717" s="43" t="s">
        <v>461</v>
      </c>
    </row>
    <row r="718" spans="1:30" s="40" customFormat="1" ht="33.75" x14ac:dyDescent="0.2">
      <c r="A718" s="79"/>
      <c r="B718" s="78" t="s">
        <v>463</v>
      </c>
      <c r="C718" s="1768" t="s">
        <v>464</v>
      </c>
      <c r="D718" s="1768"/>
      <c r="E718" s="1768"/>
      <c r="F718" s="80" t="s">
        <v>322</v>
      </c>
      <c r="G718" s="80" t="s">
        <v>465</v>
      </c>
      <c r="H718" s="80"/>
      <c r="I718" s="80" t="s">
        <v>465</v>
      </c>
      <c r="J718" s="81"/>
      <c r="K718" s="80"/>
      <c r="L718" s="81">
        <v>0.56999999999999995</v>
      </c>
      <c r="M718" s="82"/>
      <c r="N718" s="83"/>
      <c r="AB718" s="43" t="s">
        <v>464</v>
      </c>
    </row>
    <row r="719" spans="1:30" s="40" customFormat="1" x14ac:dyDescent="0.2">
      <c r="A719" s="88"/>
      <c r="B719" s="89"/>
      <c r="C719" s="1785" t="s">
        <v>327</v>
      </c>
      <c r="D719" s="1785"/>
      <c r="E719" s="1785"/>
      <c r="F719" s="71"/>
      <c r="G719" s="71"/>
      <c r="H719" s="71"/>
      <c r="I719" s="71"/>
      <c r="J719" s="72"/>
      <c r="K719" s="71"/>
      <c r="L719" s="72">
        <v>12.2</v>
      </c>
      <c r="M719" s="86"/>
      <c r="N719" s="74"/>
      <c r="AD719" s="43" t="s">
        <v>327</v>
      </c>
    </row>
    <row r="720" spans="1:30" s="40" customFormat="1" ht="22.5" x14ac:dyDescent="0.2">
      <c r="A720" s="69" t="s">
        <v>2349</v>
      </c>
      <c r="B720" s="70" t="s">
        <v>507</v>
      </c>
      <c r="C720" s="1785" t="s">
        <v>508</v>
      </c>
      <c r="D720" s="1785"/>
      <c r="E720" s="1785"/>
      <c r="F720" s="71" t="s">
        <v>509</v>
      </c>
      <c r="G720" s="71"/>
      <c r="H720" s="71"/>
      <c r="I720" s="71" t="s">
        <v>3603</v>
      </c>
      <c r="J720" s="72"/>
      <c r="K720" s="71"/>
      <c r="L720" s="72"/>
      <c r="M720" s="73"/>
      <c r="N720" s="74"/>
      <c r="X720" s="43" t="s">
        <v>508</v>
      </c>
    </row>
    <row r="721" spans="1:30" s="40" customFormat="1" x14ac:dyDescent="0.2">
      <c r="A721" s="75"/>
      <c r="B721" s="76"/>
      <c r="C721" s="1768" t="s">
        <v>3604</v>
      </c>
      <c r="D721" s="1768"/>
      <c r="E721" s="1768"/>
      <c r="F721" s="1768"/>
      <c r="G721" s="1768"/>
      <c r="H721" s="1768"/>
      <c r="I721" s="1768"/>
      <c r="J721" s="1768"/>
      <c r="K721" s="1768"/>
      <c r="L721" s="1768"/>
      <c r="M721" s="1768"/>
      <c r="N721" s="1779"/>
      <c r="Y721" s="43" t="s">
        <v>3604</v>
      </c>
    </row>
    <row r="722" spans="1:30" s="40" customFormat="1" ht="33.75" x14ac:dyDescent="0.2">
      <c r="A722" s="77"/>
      <c r="B722" s="78" t="s">
        <v>310</v>
      </c>
      <c r="C722" s="1768" t="s">
        <v>311</v>
      </c>
      <c r="D722" s="1768"/>
      <c r="E722" s="1768"/>
      <c r="F722" s="1768"/>
      <c r="G722" s="1768"/>
      <c r="H722" s="1768"/>
      <c r="I722" s="1768"/>
      <c r="J722" s="1768"/>
      <c r="K722" s="1768"/>
      <c r="L722" s="1768"/>
      <c r="M722" s="1768"/>
      <c r="N722" s="1779"/>
      <c r="Z722" s="43" t="s">
        <v>311</v>
      </c>
    </row>
    <row r="723" spans="1:30" s="40" customFormat="1" x14ac:dyDescent="0.2">
      <c r="A723" s="79"/>
      <c r="B723" s="78" t="s">
        <v>185</v>
      </c>
      <c r="C723" s="1768" t="s">
        <v>312</v>
      </c>
      <c r="D723" s="1768"/>
      <c r="E723" s="1768"/>
      <c r="F723" s="80"/>
      <c r="G723" s="80"/>
      <c r="H723" s="80"/>
      <c r="I723" s="80"/>
      <c r="J723" s="81">
        <v>127.61</v>
      </c>
      <c r="K723" s="80" t="s">
        <v>313</v>
      </c>
      <c r="L723" s="81">
        <v>3.14</v>
      </c>
      <c r="M723" s="82"/>
      <c r="N723" s="83"/>
      <c r="AA723" s="43" t="s">
        <v>312</v>
      </c>
    </row>
    <row r="724" spans="1:30" s="40" customFormat="1" x14ac:dyDescent="0.2">
      <c r="A724" s="79"/>
      <c r="B724" s="78" t="s">
        <v>186</v>
      </c>
      <c r="C724" s="1768" t="s">
        <v>344</v>
      </c>
      <c r="D724" s="1768"/>
      <c r="E724" s="1768"/>
      <c r="F724" s="80"/>
      <c r="G724" s="80"/>
      <c r="H724" s="80"/>
      <c r="I724" s="80"/>
      <c r="J724" s="81">
        <v>288.58</v>
      </c>
      <c r="K724" s="80" t="s">
        <v>313</v>
      </c>
      <c r="L724" s="81">
        <v>7.11</v>
      </c>
      <c r="M724" s="82"/>
      <c r="N724" s="83"/>
      <c r="AA724" s="43" t="s">
        <v>344</v>
      </c>
    </row>
    <row r="725" spans="1:30" s="40" customFormat="1" x14ac:dyDescent="0.2">
      <c r="A725" s="79"/>
      <c r="B725" s="78" t="s">
        <v>187</v>
      </c>
      <c r="C725" s="1768" t="s">
        <v>345</v>
      </c>
      <c r="D725" s="1768"/>
      <c r="E725" s="1768"/>
      <c r="F725" s="80"/>
      <c r="G725" s="80"/>
      <c r="H725" s="80"/>
      <c r="I725" s="80"/>
      <c r="J725" s="81">
        <v>31.49</v>
      </c>
      <c r="K725" s="80" t="s">
        <v>313</v>
      </c>
      <c r="L725" s="81">
        <v>0.78</v>
      </c>
      <c r="M725" s="82"/>
      <c r="N725" s="83"/>
      <c r="AA725" s="43" t="s">
        <v>345</v>
      </c>
    </row>
    <row r="726" spans="1:30" s="40" customFormat="1" x14ac:dyDescent="0.2">
      <c r="A726" s="79"/>
      <c r="B726" s="78"/>
      <c r="C726" s="1768" t="s">
        <v>314</v>
      </c>
      <c r="D726" s="1768"/>
      <c r="E726" s="1768"/>
      <c r="F726" s="80" t="s">
        <v>315</v>
      </c>
      <c r="G726" s="80" t="s">
        <v>512</v>
      </c>
      <c r="H726" s="80" t="s">
        <v>313</v>
      </c>
      <c r="I726" s="80" t="s">
        <v>3605</v>
      </c>
      <c r="J726" s="81"/>
      <c r="K726" s="80"/>
      <c r="L726" s="81"/>
      <c r="M726" s="82"/>
      <c r="N726" s="83"/>
      <c r="AB726" s="43" t="s">
        <v>314</v>
      </c>
    </row>
    <row r="727" spans="1:30" s="40" customFormat="1" x14ac:dyDescent="0.2">
      <c r="A727" s="79"/>
      <c r="B727" s="78"/>
      <c r="C727" s="1768" t="s">
        <v>348</v>
      </c>
      <c r="D727" s="1768"/>
      <c r="E727" s="1768"/>
      <c r="F727" s="80" t="s">
        <v>315</v>
      </c>
      <c r="G727" s="80" t="s">
        <v>514</v>
      </c>
      <c r="H727" s="80" t="s">
        <v>313</v>
      </c>
      <c r="I727" s="80" t="s">
        <v>3606</v>
      </c>
      <c r="J727" s="81"/>
      <c r="K727" s="80"/>
      <c r="L727" s="81"/>
      <c r="M727" s="82"/>
      <c r="N727" s="83"/>
      <c r="AB727" s="43" t="s">
        <v>348</v>
      </c>
    </row>
    <row r="728" spans="1:30" s="40" customFormat="1" x14ac:dyDescent="0.2">
      <c r="A728" s="79"/>
      <c r="B728" s="78"/>
      <c r="C728" s="1780" t="s">
        <v>318</v>
      </c>
      <c r="D728" s="1780"/>
      <c r="E728" s="1780"/>
      <c r="F728" s="84"/>
      <c r="G728" s="84"/>
      <c r="H728" s="84"/>
      <c r="I728" s="84"/>
      <c r="J728" s="85">
        <v>416.19</v>
      </c>
      <c r="K728" s="84"/>
      <c r="L728" s="85">
        <v>10.25</v>
      </c>
      <c r="M728" s="86"/>
      <c r="N728" s="87"/>
      <c r="AC728" s="43" t="s">
        <v>318</v>
      </c>
    </row>
    <row r="729" spans="1:30" s="40" customFormat="1" x14ac:dyDescent="0.2">
      <c r="A729" s="79"/>
      <c r="B729" s="78"/>
      <c r="C729" s="1768" t="s">
        <v>319</v>
      </c>
      <c r="D729" s="1768"/>
      <c r="E729" s="1768"/>
      <c r="F729" s="80"/>
      <c r="G729" s="80"/>
      <c r="H729" s="80"/>
      <c r="I729" s="80"/>
      <c r="J729" s="81"/>
      <c r="K729" s="80"/>
      <c r="L729" s="81">
        <v>3.92</v>
      </c>
      <c r="M729" s="82"/>
      <c r="N729" s="83"/>
      <c r="AB729" s="43" t="s">
        <v>319</v>
      </c>
    </row>
    <row r="730" spans="1:30" s="40" customFormat="1" ht="33.75" x14ac:dyDescent="0.2">
      <c r="A730" s="79"/>
      <c r="B730" s="78" t="s">
        <v>460</v>
      </c>
      <c r="C730" s="1768" t="s">
        <v>461</v>
      </c>
      <c r="D730" s="1768"/>
      <c r="E730" s="1768"/>
      <c r="F730" s="80" t="s">
        <v>322</v>
      </c>
      <c r="G730" s="80" t="s">
        <v>462</v>
      </c>
      <c r="H730" s="80"/>
      <c r="I730" s="80" t="s">
        <v>462</v>
      </c>
      <c r="J730" s="81"/>
      <c r="K730" s="80"/>
      <c r="L730" s="81">
        <v>3.61</v>
      </c>
      <c r="M730" s="82"/>
      <c r="N730" s="83"/>
      <c r="AB730" s="43" t="s">
        <v>461</v>
      </c>
    </row>
    <row r="731" spans="1:30" s="40" customFormat="1" ht="33.75" x14ac:dyDescent="0.2">
      <c r="A731" s="79"/>
      <c r="B731" s="78" t="s">
        <v>463</v>
      </c>
      <c r="C731" s="1768" t="s">
        <v>464</v>
      </c>
      <c r="D731" s="1768"/>
      <c r="E731" s="1768"/>
      <c r="F731" s="80" t="s">
        <v>322</v>
      </c>
      <c r="G731" s="80" t="s">
        <v>465</v>
      </c>
      <c r="H731" s="80"/>
      <c r="I731" s="80" t="s">
        <v>465</v>
      </c>
      <c r="J731" s="81"/>
      <c r="K731" s="80"/>
      <c r="L731" s="81">
        <v>1.8</v>
      </c>
      <c r="M731" s="82"/>
      <c r="N731" s="83"/>
      <c r="AB731" s="43" t="s">
        <v>464</v>
      </c>
    </row>
    <row r="732" spans="1:30" s="40" customFormat="1" x14ac:dyDescent="0.2">
      <c r="A732" s="88"/>
      <c r="B732" s="89"/>
      <c r="C732" s="1785" t="s">
        <v>327</v>
      </c>
      <c r="D732" s="1785"/>
      <c r="E732" s="1785"/>
      <c r="F732" s="71"/>
      <c r="G732" s="71"/>
      <c r="H732" s="71"/>
      <c r="I732" s="71"/>
      <c r="J732" s="72"/>
      <c r="K732" s="71"/>
      <c r="L732" s="72">
        <v>15.66</v>
      </c>
      <c r="M732" s="86"/>
      <c r="N732" s="74"/>
      <c r="AD732" s="43" t="s">
        <v>327</v>
      </c>
    </row>
    <row r="733" spans="1:30" s="40" customFormat="1" ht="45" x14ac:dyDescent="0.2">
      <c r="A733" s="69" t="s">
        <v>2037</v>
      </c>
      <c r="B733" s="70" t="s">
        <v>1005</v>
      </c>
      <c r="C733" s="1785" t="s">
        <v>1006</v>
      </c>
      <c r="D733" s="1785"/>
      <c r="E733" s="1785"/>
      <c r="F733" s="71" t="s">
        <v>201</v>
      </c>
      <c r="G733" s="71"/>
      <c r="H733" s="71"/>
      <c r="I733" s="71" t="s">
        <v>3607</v>
      </c>
      <c r="J733" s="72">
        <v>2.91</v>
      </c>
      <c r="K733" s="71"/>
      <c r="L733" s="72">
        <v>21.22</v>
      </c>
      <c r="M733" s="73"/>
      <c r="N733" s="74"/>
      <c r="X733" s="43" t="s">
        <v>1006</v>
      </c>
    </row>
    <row r="734" spans="1:30" s="40" customFormat="1" x14ac:dyDescent="0.2">
      <c r="A734" s="75"/>
      <c r="B734" s="76"/>
      <c r="C734" s="1768" t="s">
        <v>3608</v>
      </c>
      <c r="D734" s="1768"/>
      <c r="E734" s="1768"/>
      <c r="F734" s="1768"/>
      <c r="G734" s="1768"/>
      <c r="H734" s="1768"/>
      <c r="I734" s="1768"/>
      <c r="J734" s="1768"/>
      <c r="K734" s="1768"/>
      <c r="L734" s="1768"/>
      <c r="M734" s="1768"/>
      <c r="N734" s="1779"/>
      <c r="Y734" s="43" t="s">
        <v>3608</v>
      </c>
    </row>
    <row r="735" spans="1:30" s="40" customFormat="1" x14ac:dyDescent="0.2">
      <c r="A735" s="1801" t="s">
        <v>3609</v>
      </c>
      <c r="B735" s="1802"/>
      <c r="C735" s="1802"/>
      <c r="D735" s="1802"/>
      <c r="E735" s="1802"/>
      <c r="F735" s="1802"/>
      <c r="G735" s="1802"/>
      <c r="H735" s="1802"/>
      <c r="I735" s="1802"/>
      <c r="J735" s="1802"/>
      <c r="K735" s="1802"/>
      <c r="L735" s="1802"/>
      <c r="M735" s="1802"/>
      <c r="N735" s="1803"/>
      <c r="W735" s="43" t="s">
        <v>3609</v>
      </c>
    </row>
    <row r="736" spans="1:30" s="40" customFormat="1" x14ac:dyDescent="0.2">
      <c r="A736" s="69" t="s">
        <v>804</v>
      </c>
      <c r="B736" s="70" t="s">
        <v>1368</v>
      </c>
      <c r="C736" s="1785" t="s">
        <v>1369</v>
      </c>
      <c r="D736" s="1785"/>
      <c r="E736" s="1785"/>
      <c r="F736" s="71" t="s">
        <v>509</v>
      </c>
      <c r="G736" s="71"/>
      <c r="H736" s="71"/>
      <c r="I736" s="71" t="s">
        <v>3610</v>
      </c>
      <c r="J736" s="72"/>
      <c r="K736" s="71"/>
      <c r="L736" s="72"/>
      <c r="M736" s="73"/>
      <c r="N736" s="74"/>
      <c r="X736" s="43" t="s">
        <v>1369</v>
      </c>
    </row>
    <row r="737" spans="1:31" s="40" customFormat="1" x14ac:dyDescent="0.2">
      <c r="A737" s="75"/>
      <c r="B737" s="76"/>
      <c r="C737" s="1768" t="s">
        <v>3611</v>
      </c>
      <c r="D737" s="1768"/>
      <c r="E737" s="1768"/>
      <c r="F737" s="1768"/>
      <c r="G737" s="1768"/>
      <c r="H737" s="1768"/>
      <c r="I737" s="1768"/>
      <c r="J737" s="1768"/>
      <c r="K737" s="1768"/>
      <c r="L737" s="1768"/>
      <c r="M737" s="1768"/>
      <c r="N737" s="1779"/>
      <c r="Y737" s="43" t="s">
        <v>3611</v>
      </c>
    </row>
    <row r="738" spans="1:31" s="40" customFormat="1" ht="33.75" x14ac:dyDescent="0.2">
      <c r="A738" s="77"/>
      <c r="B738" s="78" t="s">
        <v>310</v>
      </c>
      <c r="C738" s="1768" t="s">
        <v>311</v>
      </c>
      <c r="D738" s="1768"/>
      <c r="E738" s="1768"/>
      <c r="F738" s="1768"/>
      <c r="G738" s="1768"/>
      <c r="H738" s="1768"/>
      <c r="I738" s="1768"/>
      <c r="J738" s="1768"/>
      <c r="K738" s="1768"/>
      <c r="L738" s="1768"/>
      <c r="M738" s="1768"/>
      <c r="N738" s="1779"/>
      <c r="Z738" s="43" t="s">
        <v>311</v>
      </c>
    </row>
    <row r="739" spans="1:31" s="40" customFormat="1" x14ac:dyDescent="0.2">
      <c r="A739" s="79"/>
      <c r="B739" s="78" t="s">
        <v>185</v>
      </c>
      <c r="C739" s="1768" t="s">
        <v>312</v>
      </c>
      <c r="D739" s="1768"/>
      <c r="E739" s="1768"/>
      <c r="F739" s="80"/>
      <c r="G739" s="80"/>
      <c r="H739" s="80"/>
      <c r="I739" s="80"/>
      <c r="J739" s="81">
        <v>1053</v>
      </c>
      <c r="K739" s="80" t="s">
        <v>313</v>
      </c>
      <c r="L739" s="81">
        <v>9.48</v>
      </c>
      <c r="M739" s="82"/>
      <c r="N739" s="83"/>
      <c r="AA739" s="43" t="s">
        <v>312</v>
      </c>
    </row>
    <row r="740" spans="1:31" s="40" customFormat="1" x14ac:dyDescent="0.2">
      <c r="A740" s="79"/>
      <c r="B740" s="78" t="s">
        <v>186</v>
      </c>
      <c r="C740" s="1768" t="s">
        <v>344</v>
      </c>
      <c r="D740" s="1768"/>
      <c r="E740" s="1768"/>
      <c r="F740" s="80"/>
      <c r="G740" s="80"/>
      <c r="H740" s="80"/>
      <c r="I740" s="80"/>
      <c r="J740" s="81">
        <v>1566.06</v>
      </c>
      <c r="K740" s="80" t="s">
        <v>313</v>
      </c>
      <c r="L740" s="81">
        <v>14.09</v>
      </c>
      <c r="M740" s="82"/>
      <c r="N740" s="83"/>
      <c r="AA740" s="43" t="s">
        <v>344</v>
      </c>
    </row>
    <row r="741" spans="1:31" s="40" customFormat="1" x14ac:dyDescent="0.2">
      <c r="A741" s="79"/>
      <c r="B741" s="78" t="s">
        <v>187</v>
      </c>
      <c r="C741" s="1768" t="s">
        <v>345</v>
      </c>
      <c r="D741" s="1768"/>
      <c r="E741" s="1768"/>
      <c r="F741" s="80"/>
      <c r="G741" s="80"/>
      <c r="H741" s="80"/>
      <c r="I741" s="80"/>
      <c r="J741" s="81">
        <v>244.39</v>
      </c>
      <c r="K741" s="80" t="s">
        <v>313</v>
      </c>
      <c r="L741" s="81">
        <v>2.2000000000000002</v>
      </c>
      <c r="M741" s="82"/>
      <c r="N741" s="83"/>
      <c r="AA741" s="43" t="s">
        <v>345</v>
      </c>
    </row>
    <row r="742" spans="1:31" s="40" customFormat="1" x14ac:dyDescent="0.2">
      <c r="A742" s="79"/>
      <c r="B742" s="78" t="s">
        <v>188</v>
      </c>
      <c r="C742" s="1768" t="s">
        <v>475</v>
      </c>
      <c r="D742" s="1768"/>
      <c r="E742" s="1768"/>
      <c r="F742" s="80"/>
      <c r="G742" s="80"/>
      <c r="H742" s="80"/>
      <c r="I742" s="80"/>
      <c r="J742" s="81">
        <v>909.27</v>
      </c>
      <c r="K742" s="80"/>
      <c r="L742" s="81">
        <v>6.55</v>
      </c>
      <c r="M742" s="82"/>
      <c r="N742" s="83"/>
      <c r="AA742" s="43" t="s">
        <v>475</v>
      </c>
    </row>
    <row r="743" spans="1:31" s="40" customFormat="1" x14ac:dyDescent="0.2">
      <c r="A743" s="75"/>
      <c r="B743" s="114" t="s">
        <v>639</v>
      </c>
      <c r="C743" s="1804" t="s">
        <v>640</v>
      </c>
      <c r="D743" s="1804"/>
      <c r="E743" s="1804"/>
      <c r="F743" s="115" t="s">
        <v>641</v>
      </c>
      <c r="G743" s="115" t="s">
        <v>680</v>
      </c>
      <c r="H743" s="115"/>
      <c r="I743" s="115" t="s">
        <v>3612</v>
      </c>
      <c r="J743" s="78"/>
      <c r="K743" s="80"/>
      <c r="L743" s="81"/>
      <c r="M743" s="80"/>
      <c r="N743" s="116"/>
      <c r="AE743" s="43" t="s">
        <v>640</v>
      </c>
    </row>
    <row r="744" spans="1:31" s="40" customFormat="1" x14ac:dyDescent="0.2">
      <c r="A744" s="79"/>
      <c r="B744" s="78"/>
      <c r="C744" s="1768" t="s">
        <v>314</v>
      </c>
      <c r="D744" s="1768"/>
      <c r="E744" s="1768"/>
      <c r="F744" s="80" t="s">
        <v>315</v>
      </c>
      <c r="G744" s="80" t="s">
        <v>1373</v>
      </c>
      <c r="H744" s="80" t="s">
        <v>313</v>
      </c>
      <c r="I744" s="80" t="s">
        <v>3613</v>
      </c>
      <c r="J744" s="81"/>
      <c r="K744" s="80"/>
      <c r="L744" s="81"/>
      <c r="M744" s="82"/>
      <c r="N744" s="83"/>
      <c r="AB744" s="43" t="s">
        <v>314</v>
      </c>
    </row>
    <row r="745" spans="1:31" s="40" customFormat="1" x14ac:dyDescent="0.2">
      <c r="A745" s="79"/>
      <c r="B745" s="78"/>
      <c r="C745" s="1768" t="s">
        <v>348</v>
      </c>
      <c r="D745" s="1768"/>
      <c r="E745" s="1768"/>
      <c r="F745" s="80" t="s">
        <v>315</v>
      </c>
      <c r="G745" s="80" t="s">
        <v>1375</v>
      </c>
      <c r="H745" s="80" t="s">
        <v>313</v>
      </c>
      <c r="I745" s="80" t="s">
        <v>3614</v>
      </c>
      <c r="J745" s="81"/>
      <c r="K745" s="80"/>
      <c r="L745" s="81"/>
      <c r="M745" s="82"/>
      <c r="N745" s="83"/>
      <c r="AB745" s="43" t="s">
        <v>348</v>
      </c>
    </row>
    <row r="746" spans="1:31" s="40" customFormat="1" x14ac:dyDescent="0.2">
      <c r="A746" s="79"/>
      <c r="B746" s="78"/>
      <c r="C746" s="1780" t="s">
        <v>318</v>
      </c>
      <c r="D746" s="1780"/>
      <c r="E746" s="1780"/>
      <c r="F746" s="84"/>
      <c r="G746" s="84"/>
      <c r="H746" s="84"/>
      <c r="I746" s="84"/>
      <c r="J746" s="85">
        <v>3528.33</v>
      </c>
      <c r="K746" s="84"/>
      <c r="L746" s="85">
        <v>30.12</v>
      </c>
      <c r="M746" s="86"/>
      <c r="N746" s="87"/>
      <c r="AC746" s="43" t="s">
        <v>318</v>
      </c>
    </row>
    <row r="747" spans="1:31" s="40" customFormat="1" x14ac:dyDescent="0.2">
      <c r="A747" s="79"/>
      <c r="B747" s="78"/>
      <c r="C747" s="1768" t="s">
        <v>319</v>
      </c>
      <c r="D747" s="1768"/>
      <c r="E747" s="1768"/>
      <c r="F747" s="80"/>
      <c r="G747" s="80"/>
      <c r="H747" s="80"/>
      <c r="I747" s="80"/>
      <c r="J747" s="81"/>
      <c r="K747" s="80"/>
      <c r="L747" s="81">
        <v>11.68</v>
      </c>
      <c r="M747" s="82"/>
      <c r="N747" s="83"/>
      <c r="AB747" s="43" t="s">
        <v>319</v>
      </c>
    </row>
    <row r="748" spans="1:31" s="40" customFormat="1" ht="33.75" x14ac:dyDescent="0.2">
      <c r="A748" s="79"/>
      <c r="B748" s="78" t="s">
        <v>686</v>
      </c>
      <c r="C748" s="1768" t="s">
        <v>687</v>
      </c>
      <c r="D748" s="1768"/>
      <c r="E748" s="1768"/>
      <c r="F748" s="80" t="s">
        <v>322</v>
      </c>
      <c r="G748" s="80" t="s">
        <v>680</v>
      </c>
      <c r="H748" s="80"/>
      <c r="I748" s="80" t="s">
        <v>680</v>
      </c>
      <c r="J748" s="81"/>
      <c r="K748" s="80"/>
      <c r="L748" s="81">
        <v>11.91</v>
      </c>
      <c r="M748" s="82"/>
      <c r="N748" s="83"/>
      <c r="AB748" s="43" t="s">
        <v>687</v>
      </c>
    </row>
    <row r="749" spans="1:31" s="40" customFormat="1" ht="33.75" x14ac:dyDescent="0.2">
      <c r="A749" s="79"/>
      <c r="B749" s="78" t="s">
        <v>688</v>
      </c>
      <c r="C749" s="1768" t="s">
        <v>689</v>
      </c>
      <c r="D749" s="1768"/>
      <c r="E749" s="1768"/>
      <c r="F749" s="80" t="s">
        <v>322</v>
      </c>
      <c r="G749" s="80" t="s">
        <v>690</v>
      </c>
      <c r="H749" s="80"/>
      <c r="I749" s="80" t="s">
        <v>690</v>
      </c>
      <c r="J749" s="81"/>
      <c r="K749" s="80"/>
      <c r="L749" s="81">
        <v>6.77</v>
      </c>
      <c r="M749" s="82"/>
      <c r="N749" s="83"/>
      <c r="AB749" s="43" t="s">
        <v>689</v>
      </c>
    </row>
    <row r="750" spans="1:31" s="40" customFormat="1" x14ac:dyDescent="0.2">
      <c r="A750" s="88"/>
      <c r="B750" s="89"/>
      <c r="C750" s="1785" t="s">
        <v>327</v>
      </c>
      <c r="D750" s="1785"/>
      <c r="E750" s="1785"/>
      <c r="F750" s="71"/>
      <c r="G750" s="71"/>
      <c r="H750" s="71"/>
      <c r="I750" s="71"/>
      <c r="J750" s="72"/>
      <c r="K750" s="71"/>
      <c r="L750" s="72">
        <v>48.8</v>
      </c>
      <c r="M750" s="86"/>
      <c r="N750" s="74"/>
      <c r="AD750" s="43" t="s">
        <v>327</v>
      </c>
    </row>
    <row r="751" spans="1:31" s="40" customFormat="1" ht="22.5" x14ac:dyDescent="0.2">
      <c r="A751" s="69" t="s">
        <v>2352</v>
      </c>
      <c r="B751" s="70" t="s">
        <v>1377</v>
      </c>
      <c r="C751" s="1785" t="s">
        <v>1378</v>
      </c>
      <c r="D751" s="1785"/>
      <c r="E751" s="1785"/>
      <c r="F751" s="71" t="s">
        <v>641</v>
      </c>
      <c r="G751" s="71"/>
      <c r="H751" s="71"/>
      <c r="I751" s="71" t="s">
        <v>3612</v>
      </c>
      <c r="J751" s="72">
        <v>560</v>
      </c>
      <c r="K751" s="71"/>
      <c r="L751" s="72">
        <v>411.26</v>
      </c>
      <c r="M751" s="73"/>
      <c r="N751" s="74"/>
      <c r="X751" s="43" t="s">
        <v>1378</v>
      </c>
    </row>
    <row r="752" spans="1:31" s="40" customFormat="1" x14ac:dyDescent="0.2">
      <c r="A752" s="88"/>
      <c r="B752" s="89"/>
      <c r="C752" s="48" t="s">
        <v>717</v>
      </c>
      <c r="D752" s="117"/>
      <c r="E752" s="117"/>
      <c r="F752" s="90"/>
      <c r="G752" s="90"/>
      <c r="H752" s="90"/>
      <c r="I752" s="90"/>
      <c r="J752" s="118"/>
      <c r="K752" s="90"/>
      <c r="L752" s="118"/>
      <c r="M752" s="119"/>
      <c r="N752" s="120"/>
    </row>
    <row r="753" spans="1:31" s="40" customFormat="1" ht="22.5" x14ac:dyDescent="0.2">
      <c r="A753" s="69" t="s">
        <v>897</v>
      </c>
      <c r="B753" s="70" t="s">
        <v>1380</v>
      </c>
      <c r="C753" s="1785" t="s">
        <v>1381</v>
      </c>
      <c r="D753" s="1785"/>
      <c r="E753" s="1785"/>
      <c r="F753" s="71" t="s">
        <v>509</v>
      </c>
      <c r="G753" s="71"/>
      <c r="H753" s="71"/>
      <c r="I753" s="71" t="s">
        <v>3615</v>
      </c>
      <c r="J753" s="72"/>
      <c r="K753" s="71"/>
      <c r="L753" s="72"/>
      <c r="M753" s="73"/>
      <c r="N753" s="74"/>
      <c r="X753" s="43" t="s">
        <v>1381</v>
      </c>
    </row>
    <row r="754" spans="1:31" s="40" customFormat="1" x14ac:dyDescent="0.2">
      <c r="A754" s="75"/>
      <c r="B754" s="76"/>
      <c r="C754" s="1768" t="s">
        <v>3616</v>
      </c>
      <c r="D754" s="1768"/>
      <c r="E754" s="1768"/>
      <c r="F754" s="1768"/>
      <c r="G754" s="1768"/>
      <c r="H754" s="1768"/>
      <c r="I754" s="1768"/>
      <c r="J754" s="1768"/>
      <c r="K754" s="1768"/>
      <c r="L754" s="1768"/>
      <c r="M754" s="1768"/>
      <c r="N754" s="1779"/>
      <c r="Y754" s="43" t="s">
        <v>3616</v>
      </c>
    </row>
    <row r="755" spans="1:31" s="40" customFormat="1" ht="33.75" x14ac:dyDescent="0.2">
      <c r="A755" s="77"/>
      <c r="B755" s="78" t="s">
        <v>310</v>
      </c>
      <c r="C755" s="1768" t="s">
        <v>311</v>
      </c>
      <c r="D755" s="1768"/>
      <c r="E755" s="1768"/>
      <c r="F755" s="1768"/>
      <c r="G755" s="1768"/>
      <c r="H755" s="1768"/>
      <c r="I755" s="1768"/>
      <c r="J755" s="1768"/>
      <c r="K755" s="1768"/>
      <c r="L755" s="1768"/>
      <c r="M755" s="1768"/>
      <c r="N755" s="1779"/>
      <c r="Z755" s="43" t="s">
        <v>311</v>
      </c>
    </row>
    <row r="756" spans="1:31" s="40" customFormat="1" x14ac:dyDescent="0.2">
      <c r="A756" s="79"/>
      <c r="B756" s="78" t="s">
        <v>185</v>
      </c>
      <c r="C756" s="1768" t="s">
        <v>312</v>
      </c>
      <c r="D756" s="1768"/>
      <c r="E756" s="1768"/>
      <c r="F756" s="80"/>
      <c r="G756" s="80"/>
      <c r="H756" s="80"/>
      <c r="I756" s="80"/>
      <c r="J756" s="81">
        <v>1526.87</v>
      </c>
      <c r="K756" s="80" t="s">
        <v>313</v>
      </c>
      <c r="L756" s="81">
        <v>53.25</v>
      </c>
      <c r="M756" s="82"/>
      <c r="N756" s="83"/>
      <c r="AA756" s="43" t="s">
        <v>312</v>
      </c>
    </row>
    <row r="757" spans="1:31" s="40" customFormat="1" x14ac:dyDescent="0.2">
      <c r="A757" s="79"/>
      <c r="B757" s="78" t="s">
        <v>186</v>
      </c>
      <c r="C757" s="1768" t="s">
        <v>344</v>
      </c>
      <c r="D757" s="1768"/>
      <c r="E757" s="1768"/>
      <c r="F757" s="80"/>
      <c r="G757" s="80"/>
      <c r="H757" s="80"/>
      <c r="I757" s="80"/>
      <c r="J757" s="81">
        <v>2518.58</v>
      </c>
      <c r="K757" s="80" t="s">
        <v>313</v>
      </c>
      <c r="L757" s="81">
        <v>87.84</v>
      </c>
      <c r="M757" s="82"/>
      <c r="N757" s="83"/>
      <c r="AA757" s="43" t="s">
        <v>344</v>
      </c>
    </row>
    <row r="758" spans="1:31" s="40" customFormat="1" x14ac:dyDescent="0.2">
      <c r="A758" s="79"/>
      <c r="B758" s="78" t="s">
        <v>187</v>
      </c>
      <c r="C758" s="1768" t="s">
        <v>345</v>
      </c>
      <c r="D758" s="1768"/>
      <c r="E758" s="1768"/>
      <c r="F758" s="80"/>
      <c r="G758" s="80"/>
      <c r="H758" s="80"/>
      <c r="I758" s="80"/>
      <c r="J758" s="81">
        <v>382.14</v>
      </c>
      <c r="K758" s="80" t="s">
        <v>313</v>
      </c>
      <c r="L758" s="81">
        <v>13.33</v>
      </c>
      <c r="M758" s="82"/>
      <c r="N758" s="83"/>
      <c r="AA758" s="43" t="s">
        <v>345</v>
      </c>
    </row>
    <row r="759" spans="1:31" s="40" customFormat="1" x14ac:dyDescent="0.2">
      <c r="A759" s="79"/>
      <c r="B759" s="78" t="s">
        <v>188</v>
      </c>
      <c r="C759" s="1768" t="s">
        <v>475</v>
      </c>
      <c r="D759" s="1768"/>
      <c r="E759" s="1768"/>
      <c r="F759" s="80"/>
      <c r="G759" s="80"/>
      <c r="H759" s="80"/>
      <c r="I759" s="80"/>
      <c r="J759" s="81">
        <v>488.42</v>
      </c>
      <c r="K759" s="80"/>
      <c r="L759" s="81">
        <v>13.63</v>
      </c>
      <c r="M759" s="82"/>
      <c r="N759" s="83"/>
      <c r="AA759" s="43" t="s">
        <v>475</v>
      </c>
    </row>
    <row r="760" spans="1:31" s="40" customFormat="1" x14ac:dyDescent="0.2">
      <c r="A760" s="75"/>
      <c r="B760" s="114" t="s">
        <v>639</v>
      </c>
      <c r="C760" s="1804" t="s">
        <v>640</v>
      </c>
      <c r="D760" s="1804"/>
      <c r="E760" s="1804"/>
      <c r="F760" s="115" t="s">
        <v>641</v>
      </c>
      <c r="G760" s="115" t="s">
        <v>1384</v>
      </c>
      <c r="H760" s="115"/>
      <c r="I760" s="115" t="s">
        <v>3617</v>
      </c>
      <c r="J760" s="78"/>
      <c r="K760" s="80"/>
      <c r="L760" s="81"/>
      <c r="M760" s="80"/>
      <c r="N760" s="116"/>
      <c r="AE760" s="43" t="s">
        <v>640</v>
      </c>
    </row>
    <row r="761" spans="1:31" s="40" customFormat="1" x14ac:dyDescent="0.2">
      <c r="A761" s="75"/>
      <c r="B761" s="114" t="s">
        <v>1272</v>
      </c>
      <c r="C761" s="1804" t="s">
        <v>1273</v>
      </c>
      <c r="D761" s="1804"/>
      <c r="E761" s="1804"/>
      <c r="F761" s="115" t="s">
        <v>694</v>
      </c>
      <c r="G761" s="115" t="s">
        <v>1386</v>
      </c>
      <c r="H761" s="115"/>
      <c r="I761" s="115" t="s">
        <v>3618</v>
      </c>
      <c r="J761" s="78"/>
      <c r="K761" s="80"/>
      <c r="L761" s="81"/>
      <c r="M761" s="80"/>
      <c r="N761" s="116"/>
      <c r="AE761" s="43" t="s">
        <v>1273</v>
      </c>
    </row>
    <row r="762" spans="1:31" s="40" customFormat="1" x14ac:dyDescent="0.2">
      <c r="A762" s="79"/>
      <c r="B762" s="78"/>
      <c r="C762" s="1768" t="s">
        <v>314</v>
      </c>
      <c r="D762" s="1768"/>
      <c r="E762" s="1768"/>
      <c r="F762" s="80" t="s">
        <v>315</v>
      </c>
      <c r="G762" s="80" t="s">
        <v>1388</v>
      </c>
      <c r="H762" s="80" t="s">
        <v>313</v>
      </c>
      <c r="I762" s="80" t="s">
        <v>3619</v>
      </c>
      <c r="J762" s="81"/>
      <c r="K762" s="80"/>
      <c r="L762" s="81"/>
      <c r="M762" s="82"/>
      <c r="N762" s="83"/>
      <c r="AB762" s="43" t="s">
        <v>314</v>
      </c>
    </row>
    <row r="763" spans="1:31" s="40" customFormat="1" x14ac:dyDescent="0.2">
      <c r="A763" s="79"/>
      <c r="B763" s="78"/>
      <c r="C763" s="1768" t="s">
        <v>348</v>
      </c>
      <c r="D763" s="1768"/>
      <c r="E763" s="1768"/>
      <c r="F763" s="80" t="s">
        <v>315</v>
      </c>
      <c r="G763" s="80" t="s">
        <v>1390</v>
      </c>
      <c r="H763" s="80" t="s">
        <v>313</v>
      </c>
      <c r="I763" s="80" t="s">
        <v>3620</v>
      </c>
      <c r="J763" s="81"/>
      <c r="K763" s="80"/>
      <c r="L763" s="81"/>
      <c r="M763" s="82"/>
      <c r="N763" s="83"/>
      <c r="AB763" s="43" t="s">
        <v>348</v>
      </c>
    </row>
    <row r="764" spans="1:31" s="40" customFormat="1" x14ac:dyDescent="0.2">
      <c r="A764" s="79"/>
      <c r="B764" s="78"/>
      <c r="C764" s="1780" t="s">
        <v>318</v>
      </c>
      <c r="D764" s="1780"/>
      <c r="E764" s="1780"/>
      <c r="F764" s="84"/>
      <c r="G764" s="84"/>
      <c r="H764" s="84"/>
      <c r="I764" s="84"/>
      <c r="J764" s="85">
        <v>4533.87</v>
      </c>
      <c r="K764" s="84"/>
      <c r="L764" s="85">
        <v>154.72</v>
      </c>
      <c r="M764" s="86"/>
      <c r="N764" s="87"/>
      <c r="AC764" s="43" t="s">
        <v>318</v>
      </c>
    </row>
    <row r="765" spans="1:31" s="40" customFormat="1" x14ac:dyDescent="0.2">
      <c r="A765" s="79"/>
      <c r="B765" s="78"/>
      <c r="C765" s="1768" t="s">
        <v>319</v>
      </c>
      <c r="D765" s="1768"/>
      <c r="E765" s="1768"/>
      <c r="F765" s="80"/>
      <c r="G765" s="80"/>
      <c r="H765" s="80"/>
      <c r="I765" s="80"/>
      <c r="J765" s="81"/>
      <c r="K765" s="80"/>
      <c r="L765" s="81">
        <v>66.58</v>
      </c>
      <c r="M765" s="82"/>
      <c r="N765" s="83"/>
      <c r="AB765" s="43" t="s">
        <v>319</v>
      </c>
    </row>
    <row r="766" spans="1:31" s="40" customFormat="1" ht="33.75" x14ac:dyDescent="0.2">
      <c r="A766" s="79"/>
      <c r="B766" s="78" t="s">
        <v>686</v>
      </c>
      <c r="C766" s="1768" t="s">
        <v>687</v>
      </c>
      <c r="D766" s="1768"/>
      <c r="E766" s="1768"/>
      <c r="F766" s="80" t="s">
        <v>322</v>
      </c>
      <c r="G766" s="80" t="s">
        <v>680</v>
      </c>
      <c r="H766" s="80"/>
      <c r="I766" s="80" t="s">
        <v>680</v>
      </c>
      <c r="J766" s="81"/>
      <c r="K766" s="80"/>
      <c r="L766" s="81">
        <v>67.91</v>
      </c>
      <c r="M766" s="82"/>
      <c r="N766" s="83"/>
      <c r="AB766" s="43" t="s">
        <v>687</v>
      </c>
    </row>
    <row r="767" spans="1:31" s="40" customFormat="1" ht="33.75" x14ac:dyDescent="0.2">
      <c r="A767" s="79"/>
      <c r="B767" s="78" t="s">
        <v>688</v>
      </c>
      <c r="C767" s="1768" t="s">
        <v>689</v>
      </c>
      <c r="D767" s="1768"/>
      <c r="E767" s="1768"/>
      <c r="F767" s="80" t="s">
        <v>322</v>
      </c>
      <c r="G767" s="80" t="s">
        <v>690</v>
      </c>
      <c r="H767" s="80"/>
      <c r="I767" s="80" t="s">
        <v>690</v>
      </c>
      <c r="J767" s="81"/>
      <c r="K767" s="80"/>
      <c r="L767" s="81">
        <v>38.619999999999997</v>
      </c>
      <c r="M767" s="82"/>
      <c r="N767" s="83"/>
      <c r="AB767" s="43" t="s">
        <v>689</v>
      </c>
    </row>
    <row r="768" spans="1:31" s="40" customFormat="1" x14ac:dyDescent="0.2">
      <c r="A768" s="88"/>
      <c r="B768" s="89"/>
      <c r="C768" s="1785" t="s">
        <v>327</v>
      </c>
      <c r="D768" s="1785"/>
      <c r="E768" s="1785"/>
      <c r="F768" s="71"/>
      <c r="G768" s="71"/>
      <c r="H768" s="71"/>
      <c r="I768" s="71"/>
      <c r="J768" s="72"/>
      <c r="K768" s="71"/>
      <c r="L768" s="72">
        <v>261.25</v>
      </c>
      <c r="M768" s="86"/>
      <c r="N768" s="74"/>
      <c r="AD768" s="43" t="s">
        <v>327</v>
      </c>
    </row>
    <row r="769" spans="1:32" s="40" customFormat="1" ht="22.5" x14ac:dyDescent="0.2">
      <c r="A769" s="69" t="s">
        <v>817</v>
      </c>
      <c r="B769" s="70" t="s">
        <v>654</v>
      </c>
      <c r="C769" s="1785" t="s">
        <v>655</v>
      </c>
      <c r="D769" s="1785"/>
      <c r="E769" s="1785"/>
      <c r="F769" s="71" t="s">
        <v>641</v>
      </c>
      <c r="G769" s="71"/>
      <c r="H769" s="71"/>
      <c r="I769" s="71" t="s">
        <v>3621</v>
      </c>
      <c r="J769" s="72">
        <v>592.76</v>
      </c>
      <c r="K769" s="71"/>
      <c r="L769" s="72">
        <v>1678.58</v>
      </c>
      <c r="M769" s="73"/>
      <c r="N769" s="74"/>
      <c r="X769" s="43" t="s">
        <v>655</v>
      </c>
    </row>
    <row r="770" spans="1:32" s="40" customFormat="1" x14ac:dyDescent="0.2">
      <c r="A770" s="88"/>
      <c r="B770" s="89"/>
      <c r="C770" s="48" t="s">
        <v>717</v>
      </c>
      <c r="D770" s="117"/>
      <c r="E770" s="117"/>
      <c r="F770" s="90"/>
      <c r="G770" s="90"/>
      <c r="H770" s="90"/>
      <c r="I770" s="90"/>
      <c r="J770" s="118"/>
      <c r="K770" s="90"/>
      <c r="L770" s="118"/>
      <c r="M770" s="119"/>
      <c r="N770" s="120"/>
    </row>
    <row r="771" spans="1:32" s="40" customFormat="1" ht="33.75" x14ac:dyDescent="0.2">
      <c r="A771" s="69" t="s">
        <v>538</v>
      </c>
      <c r="B771" s="70" t="s">
        <v>657</v>
      </c>
      <c r="C771" s="1785" t="s">
        <v>3622</v>
      </c>
      <c r="D771" s="1785"/>
      <c r="E771" s="1785"/>
      <c r="F771" s="71" t="s">
        <v>641</v>
      </c>
      <c r="G771" s="71"/>
      <c r="H771" s="71"/>
      <c r="I771" s="71" t="s">
        <v>3623</v>
      </c>
      <c r="J771" s="72">
        <v>18.04</v>
      </c>
      <c r="K771" s="71"/>
      <c r="L771" s="72">
        <v>50.24</v>
      </c>
      <c r="M771" s="73"/>
      <c r="N771" s="74"/>
      <c r="X771" s="43" t="s">
        <v>3622</v>
      </c>
    </row>
    <row r="772" spans="1:32" s="40" customFormat="1" x14ac:dyDescent="0.2">
      <c r="A772" s="88"/>
      <c r="B772" s="89"/>
      <c r="C772" s="48" t="s">
        <v>717</v>
      </c>
      <c r="D772" s="117"/>
      <c r="E772" s="117"/>
      <c r="F772" s="90"/>
      <c r="G772" s="90"/>
      <c r="H772" s="90"/>
      <c r="I772" s="90"/>
      <c r="J772" s="118"/>
      <c r="K772" s="90"/>
      <c r="L772" s="118"/>
      <c r="M772" s="119"/>
      <c r="N772" s="120"/>
    </row>
    <row r="773" spans="1:32" s="40" customFormat="1" x14ac:dyDescent="0.2">
      <c r="A773" s="75"/>
      <c r="B773" s="76"/>
      <c r="C773" s="1768" t="s">
        <v>659</v>
      </c>
      <c r="D773" s="1768"/>
      <c r="E773" s="1768"/>
      <c r="F773" s="1768"/>
      <c r="G773" s="1768"/>
      <c r="H773" s="1768"/>
      <c r="I773" s="1768"/>
      <c r="J773" s="1768"/>
      <c r="K773" s="1768"/>
      <c r="L773" s="1768"/>
      <c r="M773" s="1768"/>
      <c r="N773" s="1779"/>
      <c r="AF773" s="43" t="s">
        <v>659</v>
      </c>
    </row>
    <row r="774" spans="1:32" s="40" customFormat="1" ht="22.5" x14ac:dyDescent="0.2">
      <c r="A774" s="69" t="s">
        <v>966</v>
      </c>
      <c r="B774" s="70" t="s">
        <v>3624</v>
      </c>
      <c r="C774" s="1785" t="s">
        <v>3625</v>
      </c>
      <c r="D774" s="1785"/>
      <c r="E774" s="1785"/>
      <c r="F774" s="71" t="s">
        <v>694</v>
      </c>
      <c r="G774" s="71"/>
      <c r="H774" s="71"/>
      <c r="I774" s="71" t="s">
        <v>3626</v>
      </c>
      <c r="J774" s="72">
        <v>5802.77</v>
      </c>
      <c r="K774" s="71"/>
      <c r="L774" s="72">
        <v>296.52</v>
      </c>
      <c r="M774" s="73"/>
      <c r="N774" s="74"/>
      <c r="X774" s="43" t="s">
        <v>3625</v>
      </c>
    </row>
    <row r="775" spans="1:32" s="40" customFormat="1" x14ac:dyDescent="0.2">
      <c r="A775" s="88"/>
      <c r="B775" s="89"/>
      <c r="C775" s="48" t="s">
        <v>717</v>
      </c>
      <c r="D775" s="117"/>
      <c r="E775" s="117"/>
      <c r="F775" s="90"/>
      <c r="G775" s="90"/>
      <c r="H775" s="90"/>
      <c r="I775" s="90"/>
      <c r="J775" s="118"/>
      <c r="K775" s="90"/>
      <c r="L775" s="118"/>
      <c r="M775" s="119"/>
      <c r="N775" s="120"/>
    </row>
    <row r="776" spans="1:32" s="40" customFormat="1" x14ac:dyDescent="0.2">
      <c r="A776" s="75"/>
      <c r="B776" s="76"/>
      <c r="C776" s="1768" t="s">
        <v>3627</v>
      </c>
      <c r="D776" s="1768"/>
      <c r="E776" s="1768"/>
      <c r="F776" s="1768"/>
      <c r="G776" s="1768"/>
      <c r="H776" s="1768"/>
      <c r="I776" s="1768"/>
      <c r="J776" s="1768"/>
      <c r="K776" s="1768"/>
      <c r="L776" s="1768"/>
      <c r="M776" s="1768"/>
      <c r="N776" s="1779"/>
      <c r="Y776" s="43" t="s">
        <v>3627</v>
      </c>
    </row>
    <row r="777" spans="1:32" s="40" customFormat="1" ht="22.5" x14ac:dyDescent="0.2">
      <c r="A777" s="69" t="s">
        <v>2359</v>
      </c>
      <c r="B777" s="70" t="s">
        <v>3309</v>
      </c>
      <c r="C777" s="1785" t="s">
        <v>3310</v>
      </c>
      <c r="D777" s="1785"/>
      <c r="E777" s="1785"/>
      <c r="F777" s="71" t="s">
        <v>694</v>
      </c>
      <c r="G777" s="71"/>
      <c r="H777" s="71"/>
      <c r="I777" s="71" t="s">
        <v>3628</v>
      </c>
      <c r="J777" s="72"/>
      <c r="K777" s="71"/>
      <c r="L777" s="72"/>
      <c r="M777" s="73"/>
      <c r="N777" s="74"/>
      <c r="X777" s="43" t="s">
        <v>3310</v>
      </c>
    </row>
    <row r="778" spans="1:32" s="40" customFormat="1" x14ac:dyDescent="0.2">
      <c r="A778" s="75"/>
      <c r="B778" s="76"/>
      <c r="C778" s="1768" t="s">
        <v>3629</v>
      </c>
      <c r="D778" s="1768"/>
      <c r="E778" s="1768"/>
      <c r="F778" s="1768"/>
      <c r="G778" s="1768"/>
      <c r="H778" s="1768"/>
      <c r="I778" s="1768"/>
      <c r="J778" s="1768"/>
      <c r="K778" s="1768"/>
      <c r="L778" s="1768"/>
      <c r="M778" s="1768"/>
      <c r="N778" s="1779"/>
      <c r="Y778" s="43" t="s">
        <v>3629</v>
      </c>
    </row>
    <row r="779" spans="1:32" s="40" customFormat="1" ht="33.75" x14ac:dyDescent="0.2">
      <c r="A779" s="77"/>
      <c r="B779" s="78" t="s">
        <v>310</v>
      </c>
      <c r="C779" s="1768" t="s">
        <v>311</v>
      </c>
      <c r="D779" s="1768"/>
      <c r="E779" s="1768"/>
      <c r="F779" s="1768"/>
      <c r="G779" s="1768"/>
      <c r="H779" s="1768"/>
      <c r="I779" s="1768"/>
      <c r="J779" s="1768"/>
      <c r="K779" s="1768"/>
      <c r="L779" s="1768"/>
      <c r="M779" s="1768"/>
      <c r="N779" s="1779"/>
      <c r="Z779" s="43" t="s">
        <v>311</v>
      </c>
    </row>
    <row r="780" spans="1:32" s="40" customFormat="1" x14ac:dyDescent="0.2">
      <c r="A780" s="79"/>
      <c r="B780" s="78" t="s">
        <v>185</v>
      </c>
      <c r="C780" s="1768" t="s">
        <v>312</v>
      </c>
      <c r="D780" s="1768"/>
      <c r="E780" s="1768"/>
      <c r="F780" s="80"/>
      <c r="G780" s="80"/>
      <c r="H780" s="80"/>
      <c r="I780" s="80"/>
      <c r="J780" s="81">
        <v>408.85</v>
      </c>
      <c r="K780" s="80" t="s">
        <v>313</v>
      </c>
      <c r="L780" s="81">
        <v>5.4</v>
      </c>
      <c r="M780" s="82"/>
      <c r="N780" s="83"/>
      <c r="AA780" s="43" t="s">
        <v>312</v>
      </c>
    </row>
    <row r="781" spans="1:32" s="40" customFormat="1" x14ac:dyDescent="0.2">
      <c r="A781" s="79"/>
      <c r="B781" s="78" t="s">
        <v>186</v>
      </c>
      <c r="C781" s="1768" t="s">
        <v>344</v>
      </c>
      <c r="D781" s="1768"/>
      <c r="E781" s="1768"/>
      <c r="F781" s="80"/>
      <c r="G781" s="80"/>
      <c r="H781" s="80"/>
      <c r="I781" s="80"/>
      <c r="J781" s="81">
        <v>425.84</v>
      </c>
      <c r="K781" s="80" t="s">
        <v>313</v>
      </c>
      <c r="L781" s="81">
        <v>5.62</v>
      </c>
      <c r="M781" s="82"/>
      <c r="N781" s="83"/>
      <c r="AA781" s="43" t="s">
        <v>344</v>
      </c>
    </row>
    <row r="782" spans="1:32" s="40" customFormat="1" x14ac:dyDescent="0.2">
      <c r="A782" s="79"/>
      <c r="B782" s="78" t="s">
        <v>187</v>
      </c>
      <c r="C782" s="1768" t="s">
        <v>345</v>
      </c>
      <c r="D782" s="1768"/>
      <c r="E782" s="1768"/>
      <c r="F782" s="80"/>
      <c r="G782" s="80"/>
      <c r="H782" s="80"/>
      <c r="I782" s="80"/>
      <c r="J782" s="81">
        <v>51.59</v>
      </c>
      <c r="K782" s="80" t="s">
        <v>313</v>
      </c>
      <c r="L782" s="81">
        <v>0.68</v>
      </c>
      <c r="M782" s="82"/>
      <c r="N782" s="83"/>
      <c r="AA782" s="43" t="s">
        <v>345</v>
      </c>
    </row>
    <row r="783" spans="1:32" s="40" customFormat="1" x14ac:dyDescent="0.2">
      <c r="A783" s="79"/>
      <c r="B783" s="78" t="s">
        <v>188</v>
      </c>
      <c r="C783" s="1768" t="s">
        <v>475</v>
      </c>
      <c r="D783" s="1768"/>
      <c r="E783" s="1768"/>
      <c r="F783" s="80"/>
      <c r="G783" s="80"/>
      <c r="H783" s="80"/>
      <c r="I783" s="80"/>
      <c r="J783" s="81">
        <v>72.209999999999994</v>
      </c>
      <c r="K783" s="80"/>
      <c r="L783" s="81">
        <v>0.76</v>
      </c>
      <c r="M783" s="82"/>
      <c r="N783" s="83"/>
      <c r="AA783" s="43" t="s">
        <v>475</v>
      </c>
    </row>
    <row r="784" spans="1:32" s="40" customFormat="1" x14ac:dyDescent="0.2">
      <c r="A784" s="75"/>
      <c r="B784" s="114" t="s">
        <v>3313</v>
      </c>
      <c r="C784" s="1804" t="s">
        <v>1229</v>
      </c>
      <c r="D784" s="1804"/>
      <c r="E784" s="1804"/>
      <c r="F784" s="115" t="s">
        <v>694</v>
      </c>
      <c r="G784" s="115" t="s">
        <v>185</v>
      </c>
      <c r="H784" s="115"/>
      <c r="I784" s="115" t="s">
        <v>3628</v>
      </c>
      <c r="J784" s="78"/>
      <c r="K784" s="80"/>
      <c r="L784" s="81"/>
      <c r="M784" s="80"/>
      <c r="N784" s="116"/>
      <c r="AE784" s="43" t="s">
        <v>1229</v>
      </c>
    </row>
    <row r="785" spans="1:30" s="40" customFormat="1" x14ac:dyDescent="0.2">
      <c r="A785" s="79"/>
      <c r="B785" s="78"/>
      <c r="C785" s="1768" t="s">
        <v>314</v>
      </c>
      <c r="D785" s="1768"/>
      <c r="E785" s="1768"/>
      <c r="F785" s="80" t="s">
        <v>315</v>
      </c>
      <c r="G785" s="80" t="s">
        <v>1513</v>
      </c>
      <c r="H785" s="80" t="s">
        <v>313</v>
      </c>
      <c r="I785" s="80" t="s">
        <v>3630</v>
      </c>
      <c r="J785" s="81"/>
      <c r="K785" s="80"/>
      <c r="L785" s="81"/>
      <c r="M785" s="82"/>
      <c r="N785" s="83"/>
      <c r="AB785" s="43" t="s">
        <v>314</v>
      </c>
    </row>
    <row r="786" spans="1:30" s="40" customFormat="1" x14ac:dyDescent="0.2">
      <c r="A786" s="79"/>
      <c r="B786" s="78"/>
      <c r="C786" s="1768" t="s">
        <v>348</v>
      </c>
      <c r="D786" s="1768"/>
      <c r="E786" s="1768"/>
      <c r="F786" s="80" t="s">
        <v>315</v>
      </c>
      <c r="G786" s="80" t="s">
        <v>3315</v>
      </c>
      <c r="H786" s="80" t="s">
        <v>313</v>
      </c>
      <c r="I786" s="80" t="s">
        <v>3631</v>
      </c>
      <c r="J786" s="81"/>
      <c r="K786" s="80"/>
      <c r="L786" s="81"/>
      <c r="M786" s="82"/>
      <c r="N786" s="83"/>
      <c r="AB786" s="43" t="s">
        <v>348</v>
      </c>
    </row>
    <row r="787" spans="1:30" s="40" customFormat="1" x14ac:dyDescent="0.2">
      <c r="A787" s="79"/>
      <c r="B787" s="78"/>
      <c r="C787" s="1780" t="s">
        <v>318</v>
      </c>
      <c r="D787" s="1780"/>
      <c r="E787" s="1780"/>
      <c r="F787" s="84"/>
      <c r="G787" s="84"/>
      <c r="H787" s="84"/>
      <c r="I787" s="84"/>
      <c r="J787" s="85">
        <v>906.9</v>
      </c>
      <c r="K787" s="84"/>
      <c r="L787" s="85">
        <v>11.78</v>
      </c>
      <c r="M787" s="86"/>
      <c r="N787" s="87"/>
      <c r="AC787" s="43" t="s">
        <v>318</v>
      </c>
    </row>
    <row r="788" spans="1:30" s="40" customFormat="1" x14ac:dyDescent="0.2">
      <c r="A788" s="79"/>
      <c r="B788" s="78"/>
      <c r="C788" s="1768" t="s">
        <v>319</v>
      </c>
      <c r="D788" s="1768"/>
      <c r="E788" s="1768"/>
      <c r="F788" s="80"/>
      <c r="G788" s="80"/>
      <c r="H788" s="80"/>
      <c r="I788" s="80"/>
      <c r="J788" s="81"/>
      <c r="K788" s="80"/>
      <c r="L788" s="81">
        <v>6.08</v>
      </c>
      <c r="M788" s="82"/>
      <c r="N788" s="83"/>
      <c r="AB788" s="43" t="s">
        <v>319</v>
      </c>
    </row>
    <row r="789" spans="1:30" s="40" customFormat="1" ht="33.75" x14ac:dyDescent="0.2">
      <c r="A789" s="79"/>
      <c r="B789" s="78" t="s">
        <v>686</v>
      </c>
      <c r="C789" s="1768" t="s">
        <v>687</v>
      </c>
      <c r="D789" s="1768"/>
      <c r="E789" s="1768"/>
      <c r="F789" s="80" t="s">
        <v>322</v>
      </c>
      <c r="G789" s="80" t="s">
        <v>680</v>
      </c>
      <c r="H789" s="80"/>
      <c r="I789" s="80" t="s">
        <v>680</v>
      </c>
      <c r="J789" s="81"/>
      <c r="K789" s="80"/>
      <c r="L789" s="81">
        <v>6.2</v>
      </c>
      <c r="M789" s="82"/>
      <c r="N789" s="83"/>
      <c r="AB789" s="43" t="s">
        <v>687</v>
      </c>
    </row>
    <row r="790" spans="1:30" s="40" customFormat="1" ht="33.75" x14ac:dyDescent="0.2">
      <c r="A790" s="79"/>
      <c r="B790" s="78" t="s">
        <v>688</v>
      </c>
      <c r="C790" s="1768" t="s">
        <v>689</v>
      </c>
      <c r="D790" s="1768"/>
      <c r="E790" s="1768"/>
      <c r="F790" s="80" t="s">
        <v>322</v>
      </c>
      <c r="G790" s="80" t="s">
        <v>690</v>
      </c>
      <c r="H790" s="80"/>
      <c r="I790" s="80" t="s">
        <v>690</v>
      </c>
      <c r="J790" s="81"/>
      <c r="K790" s="80"/>
      <c r="L790" s="81">
        <v>3.53</v>
      </c>
      <c r="M790" s="82"/>
      <c r="N790" s="83"/>
      <c r="AB790" s="43" t="s">
        <v>689</v>
      </c>
    </row>
    <row r="791" spans="1:30" s="40" customFormat="1" x14ac:dyDescent="0.2">
      <c r="A791" s="88"/>
      <c r="B791" s="89"/>
      <c r="C791" s="1785" t="s">
        <v>327</v>
      </c>
      <c r="D791" s="1785"/>
      <c r="E791" s="1785"/>
      <c r="F791" s="71"/>
      <c r="G791" s="71"/>
      <c r="H791" s="71"/>
      <c r="I791" s="71"/>
      <c r="J791" s="72"/>
      <c r="K791" s="71"/>
      <c r="L791" s="72">
        <v>21.51</v>
      </c>
      <c r="M791" s="86"/>
      <c r="N791" s="74"/>
      <c r="AD791" s="43" t="s">
        <v>327</v>
      </c>
    </row>
    <row r="792" spans="1:30" s="40" customFormat="1" ht="33.75" x14ac:dyDescent="0.2">
      <c r="A792" s="69" t="s">
        <v>2363</v>
      </c>
      <c r="B792" s="70" t="s">
        <v>3632</v>
      </c>
      <c r="C792" s="1785" t="s">
        <v>3633</v>
      </c>
      <c r="D792" s="1785"/>
      <c r="E792" s="1785"/>
      <c r="F792" s="71" t="s">
        <v>694</v>
      </c>
      <c r="G792" s="71"/>
      <c r="H792" s="71"/>
      <c r="I792" s="71" t="s">
        <v>3634</v>
      </c>
      <c r="J792" s="72">
        <v>7028.18</v>
      </c>
      <c r="K792" s="71"/>
      <c r="L792" s="72">
        <v>74.5</v>
      </c>
      <c r="M792" s="73"/>
      <c r="N792" s="74"/>
      <c r="X792" s="43" t="s">
        <v>3633</v>
      </c>
    </row>
    <row r="793" spans="1:30" s="40" customFormat="1" x14ac:dyDescent="0.2">
      <c r="A793" s="88"/>
      <c r="B793" s="89"/>
      <c r="C793" s="48" t="s">
        <v>717</v>
      </c>
      <c r="D793" s="117"/>
      <c r="E793" s="117"/>
      <c r="F793" s="90"/>
      <c r="G793" s="90"/>
      <c r="H793" s="90"/>
      <c r="I793" s="90"/>
      <c r="J793" s="118"/>
      <c r="K793" s="90"/>
      <c r="L793" s="118"/>
      <c r="M793" s="119"/>
      <c r="N793" s="120"/>
    </row>
    <row r="794" spans="1:30" s="40" customFormat="1" x14ac:dyDescent="0.2">
      <c r="A794" s="1801" t="s">
        <v>3659</v>
      </c>
      <c r="B794" s="1802"/>
      <c r="C794" s="1802"/>
      <c r="D794" s="1802"/>
      <c r="E794" s="1802"/>
      <c r="F794" s="1802"/>
      <c r="G794" s="1802"/>
      <c r="H794" s="1802"/>
      <c r="I794" s="1802"/>
      <c r="J794" s="1802"/>
      <c r="K794" s="1802"/>
      <c r="L794" s="1802"/>
      <c r="M794" s="1802"/>
      <c r="N794" s="1803"/>
      <c r="W794" s="43" t="s">
        <v>3659</v>
      </c>
    </row>
    <row r="795" spans="1:30" s="40" customFormat="1" ht="22.5" x14ac:dyDescent="0.2">
      <c r="A795" s="69" t="s">
        <v>2368</v>
      </c>
      <c r="B795" s="70" t="s">
        <v>3454</v>
      </c>
      <c r="C795" s="1785" t="s">
        <v>3455</v>
      </c>
      <c r="D795" s="1785"/>
      <c r="E795" s="1785"/>
      <c r="F795" s="71" t="s">
        <v>1110</v>
      </c>
      <c r="G795" s="71"/>
      <c r="H795" s="71"/>
      <c r="I795" s="71" t="s">
        <v>3636</v>
      </c>
      <c r="J795" s="72"/>
      <c r="K795" s="71"/>
      <c r="L795" s="72"/>
      <c r="M795" s="73"/>
      <c r="N795" s="74"/>
      <c r="X795" s="43" t="s">
        <v>3455</v>
      </c>
    </row>
    <row r="796" spans="1:30" s="40" customFormat="1" x14ac:dyDescent="0.2">
      <c r="A796" s="75"/>
      <c r="B796" s="76"/>
      <c r="C796" s="1768" t="s">
        <v>3637</v>
      </c>
      <c r="D796" s="1768"/>
      <c r="E796" s="1768"/>
      <c r="F796" s="1768"/>
      <c r="G796" s="1768"/>
      <c r="H796" s="1768"/>
      <c r="I796" s="1768"/>
      <c r="J796" s="1768"/>
      <c r="K796" s="1768"/>
      <c r="L796" s="1768"/>
      <c r="M796" s="1768"/>
      <c r="N796" s="1779"/>
      <c r="Y796" s="43" t="s">
        <v>3637</v>
      </c>
    </row>
    <row r="797" spans="1:30" s="40" customFormat="1" x14ac:dyDescent="0.2">
      <c r="A797" s="79"/>
      <c r="B797" s="78" t="s">
        <v>185</v>
      </c>
      <c r="C797" s="1768" t="s">
        <v>312</v>
      </c>
      <c r="D797" s="1768"/>
      <c r="E797" s="1768"/>
      <c r="F797" s="80"/>
      <c r="G797" s="80"/>
      <c r="H797" s="80"/>
      <c r="I797" s="80"/>
      <c r="J797" s="81">
        <v>390.1</v>
      </c>
      <c r="K797" s="80"/>
      <c r="L797" s="81">
        <v>65.459999999999994</v>
      </c>
      <c r="M797" s="82"/>
      <c r="N797" s="83"/>
      <c r="AA797" s="43" t="s">
        <v>312</v>
      </c>
    </row>
    <row r="798" spans="1:30" s="40" customFormat="1" x14ac:dyDescent="0.2">
      <c r="A798" s="79"/>
      <c r="B798" s="78" t="s">
        <v>186</v>
      </c>
      <c r="C798" s="1768" t="s">
        <v>344</v>
      </c>
      <c r="D798" s="1768"/>
      <c r="E798" s="1768"/>
      <c r="F798" s="80"/>
      <c r="G798" s="80"/>
      <c r="H798" s="80"/>
      <c r="I798" s="80"/>
      <c r="J798" s="81">
        <v>204.08</v>
      </c>
      <c r="K798" s="80"/>
      <c r="L798" s="81">
        <v>34.24</v>
      </c>
      <c r="M798" s="82"/>
      <c r="N798" s="83"/>
      <c r="AA798" s="43" t="s">
        <v>344</v>
      </c>
    </row>
    <row r="799" spans="1:30" s="40" customFormat="1" x14ac:dyDescent="0.2">
      <c r="A799" s="79"/>
      <c r="B799" s="78" t="s">
        <v>187</v>
      </c>
      <c r="C799" s="1768" t="s">
        <v>345</v>
      </c>
      <c r="D799" s="1768"/>
      <c r="E799" s="1768"/>
      <c r="F799" s="80"/>
      <c r="G799" s="80"/>
      <c r="H799" s="80"/>
      <c r="I799" s="80"/>
      <c r="J799" s="81">
        <v>30.77</v>
      </c>
      <c r="K799" s="80"/>
      <c r="L799" s="81">
        <v>5.16</v>
      </c>
      <c r="M799" s="82"/>
      <c r="N799" s="83"/>
      <c r="AA799" s="43" t="s">
        <v>345</v>
      </c>
    </row>
    <row r="800" spans="1:30" s="40" customFormat="1" x14ac:dyDescent="0.2">
      <c r="A800" s="79"/>
      <c r="B800" s="78" t="s">
        <v>188</v>
      </c>
      <c r="C800" s="1768" t="s">
        <v>475</v>
      </c>
      <c r="D800" s="1768"/>
      <c r="E800" s="1768"/>
      <c r="F800" s="80"/>
      <c r="G800" s="80"/>
      <c r="H800" s="80"/>
      <c r="I800" s="80"/>
      <c r="J800" s="81">
        <v>16057.11</v>
      </c>
      <c r="K800" s="80"/>
      <c r="L800" s="81">
        <v>2694.38</v>
      </c>
      <c r="M800" s="82"/>
      <c r="N800" s="83"/>
      <c r="AA800" s="43" t="s">
        <v>475</v>
      </c>
    </row>
    <row r="801" spans="1:31" s="40" customFormat="1" x14ac:dyDescent="0.2">
      <c r="A801" s="79"/>
      <c r="B801" s="78"/>
      <c r="C801" s="1768" t="s">
        <v>314</v>
      </c>
      <c r="D801" s="1768"/>
      <c r="E801" s="1768"/>
      <c r="F801" s="80" t="s">
        <v>315</v>
      </c>
      <c r="G801" s="80" t="s">
        <v>3458</v>
      </c>
      <c r="H801" s="80"/>
      <c r="I801" s="80" t="s">
        <v>3660</v>
      </c>
      <c r="J801" s="81"/>
      <c r="K801" s="80"/>
      <c r="L801" s="81"/>
      <c r="M801" s="82"/>
      <c r="N801" s="83"/>
      <c r="AB801" s="43" t="s">
        <v>314</v>
      </c>
    </row>
    <row r="802" spans="1:31" s="40" customFormat="1" x14ac:dyDescent="0.2">
      <c r="A802" s="79"/>
      <c r="B802" s="78"/>
      <c r="C802" s="1768" t="s">
        <v>348</v>
      </c>
      <c r="D802" s="1768"/>
      <c r="E802" s="1768"/>
      <c r="F802" s="80" t="s">
        <v>315</v>
      </c>
      <c r="G802" s="80" t="s">
        <v>3460</v>
      </c>
      <c r="H802" s="80"/>
      <c r="I802" s="80" t="s">
        <v>3661</v>
      </c>
      <c r="J802" s="81"/>
      <c r="K802" s="80"/>
      <c r="L802" s="81"/>
      <c r="M802" s="82"/>
      <c r="N802" s="83"/>
      <c r="AB802" s="43" t="s">
        <v>348</v>
      </c>
    </row>
    <row r="803" spans="1:31" s="40" customFormat="1" x14ac:dyDescent="0.2">
      <c r="A803" s="79"/>
      <c r="B803" s="78"/>
      <c r="C803" s="1780" t="s">
        <v>318</v>
      </c>
      <c r="D803" s="1780"/>
      <c r="E803" s="1780"/>
      <c r="F803" s="84"/>
      <c r="G803" s="84"/>
      <c r="H803" s="84"/>
      <c r="I803" s="84"/>
      <c r="J803" s="85">
        <v>16651.29</v>
      </c>
      <c r="K803" s="84"/>
      <c r="L803" s="85">
        <v>2794.08</v>
      </c>
      <c r="M803" s="86"/>
      <c r="N803" s="87"/>
      <c r="AC803" s="43" t="s">
        <v>318</v>
      </c>
    </row>
    <row r="804" spans="1:31" s="40" customFormat="1" x14ac:dyDescent="0.2">
      <c r="A804" s="79"/>
      <c r="B804" s="78"/>
      <c r="C804" s="1768" t="s">
        <v>319</v>
      </c>
      <c r="D804" s="1768"/>
      <c r="E804" s="1768"/>
      <c r="F804" s="80"/>
      <c r="G804" s="80"/>
      <c r="H804" s="80"/>
      <c r="I804" s="80"/>
      <c r="J804" s="81"/>
      <c r="K804" s="80"/>
      <c r="L804" s="81">
        <v>70.62</v>
      </c>
      <c r="M804" s="82"/>
      <c r="N804" s="83"/>
      <c r="AB804" s="43" t="s">
        <v>319</v>
      </c>
    </row>
    <row r="805" spans="1:31" s="40" customFormat="1" ht="45" x14ac:dyDescent="0.2">
      <c r="A805" s="79"/>
      <c r="B805" s="78" t="s">
        <v>3462</v>
      </c>
      <c r="C805" s="1768" t="s">
        <v>3463</v>
      </c>
      <c r="D805" s="1768"/>
      <c r="E805" s="1768"/>
      <c r="F805" s="80" t="s">
        <v>322</v>
      </c>
      <c r="G805" s="80" t="s">
        <v>3039</v>
      </c>
      <c r="H805" s="80"/>
      <c r="I805" s="80" t="s">
        <v>3039</v>
      </c>
      <c r="J805" s="81"/>
      <c r="K805" s="80"/>
      <c r="L805" s="81">
        <v>81.92</v>
      </c>
      <c r="M805" s="82"/>
      <c r="N805" s="83"/>
      <c r="AB805" s="43" t="s">
        <v>3463</v>
      </c>
    </row>
    <row r="806" spans="1:31" s="40" customFormat="1" ht="45" x14ac:dyDescent="0.2">
      <c r="A806" s="79"/>
      <c r="B806" s="78" t="s">
        <v>3464</v>
      </c>
      <c r="C806" s="1768" t="s">
        <v>3465</v>
      </c>
      <c r="D806" s="1768"/>
      <c r="E806" s="1768"/>
      <c r="F806" s="80" t="s">
        <v>322</v>
      </c>
      <c r="G806" s="80" t="s">
        <v>1540</v>
      </c>
      <c r="H806" s="80"/>
      <c r="I806" s="80" t="s">
        <v>1540</v>
      </c>
      <c r="J806" s="81"/>
      <c r="K806" s="80"/>
      <c r="L806" s="81">
        <v>56.5</v>
      </c>
      <c r="M806" s="82"/>
      <c r="N806" s="83"/>
      <c r="AB806" s="43" t="s">
        <v>3465</v>
      </c>
    </row>
    <row r="807" spans="1:31" s="40" customFormat="1" x14ac:dyDescent="0.2">
      <c r="A807" s="88"/>
      <c r="B807" s="89"/>
      <c r="C807" s="1785" t="s">
        <v>327</v>
      </c>
      <c r="D807" s="1785"/>
      <c r="E807" s="1785"/>
      <c r="F807" s="71"/>
      <c r="G807" s="71"/>
      <c r="H807" s="71"/>
      <c r="I807" s="71"/>
      <c r="J807" s="72"/>
      <c r="K807" s="71"/>
      <c r="L807" s="72">
        <v>2932.5</v>
      </c>
      <c r="M807" s="86"/>
      <c r="N807" s="74"/>
      <c r="AD807" s="43" t="s">
        <v>327</v>
      </c>
    </row>
    <row r="808" spans="1:31" s="40" customFormat="1" x14ac:dyDescent="0.2">
      <c r="A808" s="1801" t="s">
        <v>3644</v>
      </c>
      <c r="B808" s="1802"/>
      <c r="C808" s="1802"/>
      <c r="D808" s="1802"/>
      <c r="E808" s="1802"/>
      <c r="F808" s="1802"/>
      <c r="G808" s="1802"/>
      <c r="H808" s="1802"/>
      <c r="I808" s="1802"/>
      <c r="J808" s="1802"/>
      <c r="K808" s="1802"/>
      <c r="L808" s="1802"/>
      <c r="M808" s="1802"/>
      <c r="N808" s="1803"/>
      <c r="W808" s="43" t="s">
        <v>3644</v>
      </c>
    </row>
    <row r="809" spans="1:31" s="40" customFormat="1" ht="22.5" x14ac:dyDescent="0.2">
      <c r="A809" s="69" t="s">
        <v>2373</v>
      </c>
      <c r="B809" s="70" t="s">
        <v>3645</v>
      </c>
      <c r="C809" s="1785" t="s">
        <v>3646</v>
      </c>
      <c r="D809" s="1785"/>
      <c r="E809" s="1785"/>
      <c r="F809" s="71" t="s">
        <v>307</v>
      </c>
      <c r="G809" s="71"/>
      <c r="H809" s="71"/>
      <c r="I809" s="71" t="s">
        <v>809</v>
      </c>
      <c r="J809" s="72"/>
      <c r="K809" s="71"/>
      <c r="L809" s="72"/>
      <c r="M809" s="73"/>
      <c r="N809" s="74"/>
      <c r="X809" s="43" t="s">
        <v>3646</v>
      </c>
    </row>
    <row r="810" spans="1:31" s="40" customFormat="1" x14ac:dyDescent="0.2">
      <c r="A810" s="75"/>
      <c r="B810" s="76"/>
      <c r="C810" s="1768" t="s">
        <v>843</v>
      </c>
      <c r="D810" s="1768"/>
      <c r="E810" s="1768"/>
      <c r="F810" s="1768"/>
      <c r="G810" s="1768"/>
      <c r="H810" s="1768"/>
      <c r="I810" s="1768"/>
      <c r="J810" s="1768"/>
      <c r="K810" s="1768"/>
      <c r="L810" s="1768"/>
      <c r="M810" s="1768"/>
      <c r="N810" s="1779"/>
      <c r="Y810" s="43" t="s">
        <v>843</v>
      </c>
    </row>
    <row r="811" spans="1:31" s="40" customFormat="1" ht="33.75" x14ac:dyDescent="0.2">
      <c r="A811" s="77"/>
      <c r="B811" s="78" t="s">
        <v>310</v>
      </c>
      <c r="C811" s="1768" t="s">
        <v>311</v>
      </c>
      <c r="D811" s="1768"/>
      <c r="E811" s="1768"/>
      <c r="F811" s="1768"/>
      <c r="G811" s="1768"/>
      <c r="H811" s="1768"/>
      <c r="I811" s="1768"/>
      <c r="J811" s="1768"/>
      <c r="K811" s="1768"/>
      <c r="L811" s="1768"/>
      <c r="M811" s="1768"/>
      <c r="N811" s="1779"/>
      <c r="Z811" s="43" t="s">
        <v>311</v>
      </c>
    </row>
    <row r="812" spans="1:31" s="40" customFormat="1" x14ac:dyDescent="0.2">
      <c r="A812" s="79"/>
      <c r="B812" s="78" t="s">
        <v>185</v>
      </c>
      <c r="C812" s="1768" t="s">
        <v>312</v>
      </c>
      <c r="D812" s="1768"/>
      <c r="E812" s="1768"/>
      <c r="F812" s="80"/>
      <c r="G812" s="80"/>
      <c r="H812" s="80"/>
      <c r="I812" s="80"/>
      <c r="J812" s="81">
        <v>105.43</v>
      </c>
      <c r="K812" s="80" t="s">
        <v>313</v>
      </c>
      <c r="L812" s="81">
        <v>1.32</v>
      </c>
      <c r="M812" s="82"/>
      <c r="N812" s="83"/>
      <c r="AA812" s="43" t="s">
        <v>312</v>
      </c>
    </row>
    <row r="813" spans="1:31" s="40" customFormat="1" x14ac:dyDescent="0.2">
      <c r="A813" s="79"/>
      <c r="B813" s="78" t="s">
        <v>186</v>
      </c>
      <c r="C813" s="1768" t="s">
        <v>344</v>
      </c>
      <c r="D813" s="1768"/>
      <c r="E813" s="1768"/>
      <c r="F813" s="80"/>
      <c r="G813" s="80"/>
      <c r="H813" s="80"/>
      <c r="I813" s="80"/>
      <c r="J813" s="81">
        <v>674.16</v>
      </c>
      <c r="K813" s="80" t="s">
        <v>313</v>
      </c>
      <c r="L813" s="81">
        <v>8.43</v>
      </c>
      <c r="M813" s="82"/>
      <c r="N813" s="83"/>
      <c r="AA813" s="43" t="s">
        <v>344</v>
      </c>
    </row>
    <row r="814" spans="1:31" s="40" customFormat="1" x14ac:dyDescent="0.2">
      <c r="A814" s="79"/>
      <c r="B814" s="78" t="s">
        <v>187</v>
      </c>
      <c r="C814" s="1768" t="s">
        <v>345</v>
      </c>
      <c r="D814" s="1768"/>
      <c r="E814" s="1768"/>
      <c r="F814" s="80"/>
      <c r="G814" s="80"/>
      <c r="H814" s="80"/>
      <c r="I814" s="80"/>
      <c r="J814" s="81">
        <v>69.599999999999994</v>
      </c>
      <c r="K814" s="80" t="s">
        <v>313</v>
      </c>
      <c r="L814" s="81">
        <v>0.87</v>
      </c>
      <c r="M814" s="82"/>
      <c r="N814" s="83"/>
      <c r="AA814" s="43" t="s">
        <v>345</v>
      </c>
    </row>
    <row r="815" spans="1:31" s="40" customFormat="1" ht="22.5" x14ac:dyDescent="0.2">
      <c r="A815" s="75"/>
      <c r="B815" s="114" t="s">
        <v>3647</v>
      </c>
      <c r="C815" s="1804" t="s">
        <v>3648</v>
      </c>
      <c r="D815" s="1804"/>
      <c r="E815" s="1804"/>
      <c r="F815" s="115" t="s">
        <v>638</v>
      </c>
      <c r="G815" s="115" t="s">
        <v>844</v>
      </c>
      <c r="H815" s="115"/>
      <c r="I815" s="115" t="s">
        <v>185</v>
      </c>
      <c r="J815" s="78"/>
      <c r="K815" s="80"/>
      <c r="L815" s="81"/>
      <c r="M815" s="80"/>
      <c r="N815" s="116"/>
      <c r="AE815" s="43" t="s">
        <v>3648</v>
      </c>
    </row>
    <row r="816" spans="1:31" s="40" customFormat="1" x14ac:dyDescent="0.2">
      <c r="A816" s="79"/>
      <c r="B816" s="78"/>
      <c r="C816" s="1768" t="s">
        <v>314</v>
      </c>
      <c r="D816" s="1768"/>
      <c r="E816" s="1768"/>
      <c r="F816" s="80" t="s">
        <v>315</v>
      </c>
      <c r="G816" s="80" t="s">
        <v>3649</v>
      </c>
      <c r="H816" s="80" t="s">
        <v>313</v>
      </c>
      <c r="I816" s="80" t="s">
        <v>3650</v>
      </c>
      <c r="J816" s="81"/>
      <c r="K816" s="80"/>
      <c r="L816" s="81"/>
      <c r="M816" s="82"/>
      <c r="N816" s="83"/>
      <c r="AB816" s="43" t="s">
        <v>314</v>
      </c>
    </row>
    <row r="817" spans="1:34" s="40" customFormat="1" x14ac:dyDescent="0.2">
      <c r="A817" s="79"/>
      <c r="B817" s="78"/>
      <c r="C817" s="1768" t="s">
        <v>348</v>
      </c>
      <c r="D817" s="1768"/>
      <c r="E817" s="1768"/>
      <c r="F817" s="80" t="s">
        <v>315</v>
      </c>
      <c r="G817" s="80" t="s">
        <v>190</v>
      </c>
      <c r="H817" s="80" t="s">
        <v>313</v>
      </c>
      <c r="I817" s="80" t="s">
        <v>2219</v>
      </c>
      <c r="J817" s="81"/>
      <c r="K817" s="80"/>
      <c r="L817" s="81"/>
      <c r="M817" s="82"/>
      <c r="N817" s="83"/>
      <c r="AB817" s="43" t="s">
        <v>348</v>
      </c>
    </row>
    <row r="818" spans="1:34" s="40" customFormat="1" x14ac:dyDescent="0.2">
      <c r="A818" s="79"/>
      <c r="B818" s="78"/>
      <c r="C818" s="1780" t="s">
        <v>318</v>
      </c>
      <c r="D818" s="1780"/>
      <c r="E818" s="1780"/>
      <c r="F818" s="84"/>
      <c r="G818" s="84"/>
      <c r="H818" s="84"/>
      <c r="I818" s="84"/>
      <c r="J818" s="85">
        <v>779.59</v>
      </c>
      <c r="K818" s="84"/>
      <c r="L818" s="85">
        <v>9.75</v>
      </c>
      <c r="M818" s="86"/>
      <c r="N818" s="87"/>
      <c r="AC818" s="43" t="s">
        <v>318</v>
      </c>
    </row>
    <row r="819" spans="1:34" s="40" customFormat="1" x14ac:dyDescent="0.2">
      <c r="A819" s="79"/>
      <c r="B819" s="78"/>
      <c r="C819" s="1768" t="s">
        <v>319</v>
      </c>
      <c r="D819" s="1768"/>
      <c r="E819" s="1768"/>
      <c r="F819" s="80"/>
      <c r="G819" s="80"/>
      <c r="H819" s="80"/>
      <c r="I819" s="80"/>
      <c r="J819" s="81"/>
      <c r="K819" s="80"/>
      <c r="L819" s="81">
        <v>2.19</v>
      </c>
      <c r="M819" s="82"/>
      <c r="N819" s="83"/>
      <c r="AB819" s="43" t="s">
        <v>319</v>
      </c>
    </row>
    <row r="820" spans="1:34" s="40" customFormat="1" ht="33.75" x14ac:dyDescent="0.2">
      <c r="A820" s="79"/>
      <c r="B820" s="78" t="s">
        <v>741</v>
      </c>
      <c r="C820" s="1768" t="s">
        <v>742</v>
      </c>
      <c r="D820" s="1768"/>
      <c r="E820" s="1768"/>
      <c r="F820" s="80" t="s">
        <v>322</v>
      </c>
      <c r="G820" s="80" t="s">
        <v>743</v>
      </c>
      <c r="H820" s="80"/>
      <c r="I820" s="80" t="s">
        <v>743</v>
      </c>
      <c r="J820" s="81"/>
      <c r="K820" s="80"/>
      <c r="L820" s="81">
        <v>2.15</v>
      </c>
      <c r="M820" s="82"/>
      <c r="N820" s="83"/>
      <c r="AB820" s="43" t="s">
        <v>742</v>
      </c>
    </row>
    <row r="821" spans="1:34" s="40" customFormat="1" ht="33.75" x14ac:dyDescent="0.2">
      <c r="A821" s="79"/>
      <c r="B821" s="78" t="s">
        <v>744</v>
      </c>
      <c r="C821" s="1768" t="s">
        <v>745</v>
      </c>
      <c r="D821" s="1768"/>
      <c r="E821" s="1768"/>
      <c r="F821" s="80" t="s">
        <v>322</v>
      </c>
      <c r="G821" s="80" t="s">
        <v>690</v>
      </c>
      <c r="H821" s="80"/>
      <c r="I821" s="80" t="s">
        <v>690</v>
      </c>
      <c r="J821" s="81"/>
      <c r="K821" s="80"/>
      <c r="L821" s="81">
        <v>1.27</v>
      </c>
      <c r="M821" s="82"/>
      <c r="N821" s="83"/>
      <c r="AB821" s="43" t="s">
        <v>745</v>
      </c>
    </row>
    <row r="822" spans="1:34" s="40" customFormat="1" x14ac:dyDescent="0.2">
      <c r="A822" s="88"/>
      <c r="B822" s="89"/>
      <c r="C822" s="1785" t="s">
        <v>327</v>
      </c>
      <c r="D822" s="1785"/>
      <c r="E822" s="1785"/>
      <c r="F822" s="71"/>
      <c r="G822" s="71"/>
      <c r="H822" s="71"/>
      <c r="I822" s="71"/>
      <c r="J822" s="72"/>
      <c r="K822" s="71"/>
      <c r="L822" s="72">
        <v>13.17</v>
      </c>
      <c r="M822" s="86"/>
      <c r="N822" s="74"/>
      <c r="AD822" s="43" t="s">
        <v>327</v>
      </c>
    </row>
    <row r="823" spans="1:34" s="40" customFormat="1" ht="56.25" x14ac:dyDescent="0.2">
      <c r="A823" s="69" t="s">
        <v>1540</v>
      </c>
      <c r="B823" s="70" t="s">
        <v>3651</v>
      </c>
      <c r="C823" s="1785" t="s">
        <v>3652</v>
      </c>
      <c r="D823" s="1785"/>
      <c r="E823" s="1785"/>
      <c r="F823" s="71" t="s">
        <v>638</v>
      </c>
      <c r="G823" s="71"/>
      <c r="H823" s="71"/>
      <c r="I823" s="71" t="s">
        <v>185</v>
      </c>
      <c r="J823" s="72">
        <v>886.75</v>
      </c>
      <c r="K823" s="71"/>
      <c r="L823" s="72">
        <v>886.75</v>
      </c>
      <c r="M823" s="73"/>
      <c r="N823" s="74"/>
      <c r="X823" s="43" t="s">
        <v>3652</v>
      </c>
    </row>
    <row r="824" spans="1:34" s="40" customFormat="1" x14ac:dyDescent="0.2">
      <c r="A824" s="88"/>
      <c r="B824" s="89"/>
      <c r="C824" s="48" t="s">
        <v>717</v>
      </c>
      <c r="D824" s="117"/>
      <c r="E824" s="117"/>
      <c r="F824" s="90"/>
      <c r="G824" s="90"/>
      <c r="H824" s="90"/>
      <c r="I824" s="90"/>
      <c r="J824" s="118"/>
      <c r="K824" s="90"/>
      <c r="L824" s="118"/>
      <c r="M824" s="119"/>
      <c r="N824" s="120"/>
    </row>
    <row r="825" spans="1:34" s="40" customFormat="1" ht="1.5" customHeight="1" x14ac:dyDescent="0.2">
      <c r="A825" s="90"/>
      <c r="B825" s="89"/>
      <c r="C825" s="89"/>
      <c r="D825" s="89"/>
      <c r="E825" s="89"/>
      <c r="F825" s="90"/>
      <c r="G825" s="90"/>
      <c r="H825" s="90"/>
      <c r="I825" s="90"/>
      <c r="J825" s="91"/>
      <c r="K825" s="90"/>
      <c r="L825" s="91"/>
      <c r="M825" s="80"/>
      <c r="N825" s="91"/>
    </row>
    <row r="826" spans="1:34" s="40" customFormat="1" x14ac:dyDescent="0.2">
      <c r="A826" s="92"/>
      <c r="B826" s="93"/>
      <c r="C826" s="1785" t="s">
        <v>3668</v>
      </c>
      <c r="D826" s="1785"/>
      <c r="E826" s="1785"/>
      <c r="F826" s="1785"/>
      <c r="G826" s="1785"/>
      <c r="H826" s="1785"/>
      <c r="I826" s="1785"/>
      <c r="J826" s="1785"/>
      <c r="K826" s="1785"/>
      <c r="L826" s="94"/>
      <c r="M826" s="95"/>
      <c r="N826" s="96"/>
      <c r="AG826" s="43" t="s">
        <v>3668</v>
      </c>
    </row>
    <row r="827" spans="1:34" s="40" customFormat="1" x14ac:dyDescent="0.2">
      <c r="A827" s="97"/>
      <c r="B827" s="78"/>
      <c r="C827" s="1768" t="s">
        <v>403</v>
      </c>
      <c r="D827" s="1768"/>
      <c r="E827" s="1768"/>
      <c r="F827" s="1768"/>
      <c r="G827" s="1768"/>
      <c r="H827" s="1768"/>
      <c r="I827" s="1768"/>
      <c r="J827" s="1768"/>
      <c r="K827" s="1768"/>
      <c r="L827" s="98">
        <v>6483.81</v>
      </c>
      <c r="M827" s="99"/>
      <c r="N827" s="100"/>
      <c r="AH827" s="43" t="s">
        <v>403</v>
      </c>
    </row>
    <row r="828" spans="1:34" s="40" customFormat="1" x14ac:dyDescent="0.2">
      <c r="A828" s="97"/>
      <c r="B828" s="78"/>
      <c r="C828" s="1768" t="s">
        <v>204</v>
      </c>
      <c r="D828" s="1768"/>
      <c r="E828" s="1768"/>
      <c r="F828" s="1768"/>
      <c r="G828" s="1768"/>
      <c r="H828" s="1768"/>
      <c r="I828" s="1768"/>
      <c r="J828" s="1768"/>
      <c r="K828" s="1768"/>
      <c r="L828" s="98"/>
      <c r="M828" s="99"/>
      <c r="N828" s="100"/>
      <c r="AH828" s="43" t="s">
        <v>204</v>
      </c>
    </row>
    <row r="829" spans="1:34" s="40" customFormat="1" x14ac:dyDescent="0.2">
      <c r="A829" s="97"/>
      <c r="B829" s="78"/>
      <c r="C829" s="1768" t="s">
        <v>404</v>
      </c>
      <c r="D829" s="1768"/>
      <c r="E829" s="1768"/>
      <c r="F829" s="1768"/>
      <c r="G829" s="1768"/>
      <c r="H829" s="1768"/>
      <c r="I829" s="1768"/>
      <c r="J829" s="1768"/>
      <c r="K829" s="1768"/>
      <c r="L829" s="98">
        <v>138.05000000000001</v>
      </c>
      <c r="M829" s="99"/>
      <c r="N829" s="100"/>
      <c r="AH829" s="43" t="s">
        <v>404</v>
      </c>
    </row>
    <row r="830" spans="1:34" s="40" customFormat="1" x14ac:dyDescent="0.2">
      <c r="A830" s="97"/>
      <c r="B830" s="78"/>
      <c r="C830" s="1768" t="s">
        <v>405</v>
      </c>
      <c r="D830" s="1768"/>
      <c r="E830" s="1768"/>
      <c r="F830" s="1768"/>
      <c r="G830" s="1768"/>
      <c r="H830" s="1768"/>
      <c r="I830" s="1768"/>
      <c r="J830" s="1768"/>
      <c r="K830" s="1768"/>
      <c r="L830" s="98">
        <v>232.59</v>
      </c>
      <c r="M830" s="99"/>
      <c r="N830" s="100"/>
      <c r="AH830" s="43" t="s">
        <v>405</v>
      </c>
    </row>
    <row r="831" spans="1:34" s="40" customFormat="1" x14ac:dyDescent="0.2">
      <c r="A831" s="97"/>
      <c r="B831" s="78"/>
      <c r="C831" s="1768" t="s">
        <v>406</v>
      </c>
      <c r="D831" s="1768"/>
      <c r="E831" s="1768"/>
      <c r="F831" s="1768"/>
      <c r="G831" s="1768"/>
      <c r="H831" s="1768"/>
      <c r="I831" s="1768"/>
      <c r="J831" s="1768"/>
      <c r="K831" s="1768"/>
      <c r="L831" s="98">
        <v>29.35</v>
      </c>
      <c r="M831" s="99"/>
      <c r="N831" s="100"/>
      <c r="AH831" s="43" t="s">
        <v>406</v>
      </c>
    </row>
    <row r="832" spans="1:34" s="40" customFormat="1" x14ac:dyDescent="0.2">
      <c r="A832" s="97"/>
      <c r="B832" s="78"/>
      <c r="C832" s="1768" t="s">
        <v>480</v>
      </c>
      <c r="D832" s="1768"/>
      <c r="E832" s="1768"/>
      <c r="F832" s="1768"/>
      <c r="G832" s="1768"/>
      <c r="H832" s="1768"/>
      <c r="I832" s="1768"/>
      <c r="J832" s="1768"/>
      <c r="K832" s="1768"/>
      <c r="L832" s="98">
        <v>6113.17</v>
      </c>
      <c r="M832" s="99"/>
      <c r="N832" s="100"/>
      <c r="AH832" s="43" t="s">
        <v>480</v>
      </c>
    </row>
    <row r="833" spans="1:35" s="40" customFormat="1" x14ac:dyDescent="0.2">
      <c r="A833" s="97"/>
      <c r="B833" s="78"/>
      <c r="C833" s="1768" t="s">
        <v>407</v>
      </c>
      <c r="D833" s="1768"/>
      <c r="E833" s="1768"/>
      <c r="F833" s="1768"/>
      <c r="G833" s="1768"/>
      <c r="H833" s="1768"/>
      <c r="I833" s="1768"/>
      <c r="J833" s="1768"/>
      <c r="K833" s="1768"/>
      <c r="L833" s="98">
        <v>6774.74</v>
      </c>
      <c r="M833" s="99"/>
      <c r="N833" s="100"/>
      <c r="AH833" s="43" t="s">
        <v>407</v>
      </c>
    </row>
    <row r="834" spans="1:35" s="40" customFormat="1" x14ac:dyDescent="0.2">
      <c r="A834" s="97"/>
      <c r="B834" s="78" t="s">
        <v>185</v>
      </c>
      <c r="C834" s="1768" t="s">
        <v>408</v>
      </c>
      <c r="D834" s="1768"/>
      <c r="E834" s="1768"/>
      <c r="F834" s="1768"/>
      <c r="G834" s="1768"/>
      <c r="H834" s="1768"/>
      <c r="I834" s="1768"/>
      <c r="J834" s="1768"/>
      <c r="K834" s="1768"/>
      <c r="L834" s="98">
        <v>6753.52</v>
      </c>
      <c r="M834" s="99"/>
      <c r="N834" s="100"/>
      <c r="AH834" s="43" t="s">
        <v>408</v>
      </c>
    </row>
    <row r="835" spans="1:35" s="40" customFormat="1" x14ac:dyDescent="0.2">
      <c r="A835" s="97"/>
      <c r="B835" s="78"/>
      <c r="C835" s="1768" t="s">
        <v>409</v>
      </c>
      <c r="D835" s="1768"/>
      <c r="E835" s="1768"/>
      <c r="F835" s="1768"/>
      <c r="G835" s="1768"/>
      <c r="H835" s="1768"/>
      <c r="I835" s="1768"/>
      <c r="J835" s="1768"/>
      <c r="K835" s="1768"/>
      <c r="L835" s="98"/>
      <c r="M835" s="99"/>
      <c r="N835" s="100"/>
      <c r="AH835" s="43" t="s">
        <v>409</v>
      </c>
    </row>
    <row r="836" spans="1:35" s="40" customFormat="1" x14ac:dyDescent="0.2">
      <c r="A836" s="97"/>
      <c r="B836" s="78"/>
      <c r="C836" s="1768" t="s">
        <v>410</v>
      </c>
      <c r="D836" s="1768"/>
      <c r="E836" s="1768"/>
      <c r="F836" s="1768"/>
      <c r="G836" s="1768"/>
      <c r="H836" s="1768"/>
      <c r="I836" s="1768"/>
      <c r="J836" s="1768"/>
      <c r="K836" s="1768"/>
      <c r="L836" s="98">
        <v>138.05000000000001</v>
      </c>
      <c r="M836" s="99"/>
      <c r="N836" s="100"/>
      <c r="AH836" s="43" t="s">
        <v>410</v>
      </c>
    </row>
    <row r="837" spans="1:35" s="40" customFormat="1" x14ac:dyDescent="0.2">
      <c r="A837" s="97"/>
      <c r="B837" s="78"/>
      <c r="C837" s="1768" t="s">
        <v>411</v>
      </c>
      <c r="D837" s="1768"/>
      <c r="E837" s="1768"/>
      <c r="F837" s="1768"/>
      <c r="G837" s="1768"/>
      <c r="H837" s="1768"/>
      <c r="I837" s="1768"/>
      <c r="J837" s="1768"/>
      <c r="K837" s="1768"/>
      <c r="L837" s="98">
        <v>211.37</v>
      </c>
      <c r="M837" s="99"/>
      <c r="N837" s="100"/>
      <c r="AH837" s="43" t="s">
        <v>411</v>
      </c>
    </row>
    <row r="838" spans="1:35" s="40" customFormat="1" x14ac:dyDescent="0.2">
      <c r="A838" s="97"/>
      <c r="B838" s="78"/>
      <c r="C838" s="1768" t="s">
        <v>481</v>
      </c>
      <c r="D838" s="1768"/>
      <c r="E838" s="1768"/>
      <c r="F838" s="1768"/>
      <c r="G838" s="1768"/>
      <c r="H838" s="1768"/>
      <c r="I838" s="1768"/>
      <c r="J838" s="1768"/>
      <c r="K838" s="1768"/>
      <c r="L838" s="98">
        <v>6113.17</v>
      </c>
      <c r="M838" s="99"/>
      <c r="N838" s="100"/>
      <c r="AH838" s="43" t="s">
        <v>481</v>
      </c>
    </row>
    <row r="839" spans="1:35" s="40" customFormat="1" x14ac:dyDescent="0.2">
      <c r="A839" s="97"/>
      <c r="B839" s="78"/>
      <c r="C839" s="1768" t="s">
        <v>412</v>
      </c>
      <c r="D839" s="1768"/>
      <c r="E839" s="1768"/>
      <c r="F839" s="1768"/>
      <c r="G839" s="1768"/>
      <c r="H839" s="1768"/>
      <c r="I839" s="1768"/>
      <c r="J839" s="1768"/>
      <c r="K839" s="1768"/>
      <c r="L839" s="98">
        <v>179.52</v>
      </c>
      <c r="M839" s="99"/>
      <c r="N839" s="100"/>
      <c r="AH839" s="43" t="s">
        <v>412</v>
      </c>
    </row>
    <row r="840" spans="1:35" s="40" customFormat="1" x14ac:dyDescent="0.2">
      <c r="A840" s="97"/>
      <c r="B840" s="78"/>
      <c r="C840" s="1768" t="s">
        <v>413</v>
      </c>
      <c r="D840" s="1768"/>
      <c r="E840" s="1768"/>
      <c r="F840" s="1768"/>
      <c r="G840" s="1768"/>
      <c r="H840" s="1768"/>
      <c r="I840" s="1768"/>
      <c r="J840" s="1768"/>
      <c r="K840" s="1768"/>
      <c r="L840" s="98">
        <v>111.41</v>
      </c>
      <c r="M840" s="99"/>
      <c r="N840" s="100"/>
      <c r="AH840" s="43" t="s">
        <v>413</v>
      </c>
    </row>
    <row r="841" spans="1:35" s="40" customFormat="1" x14ac:dyDescent="0.2">
      <c r="A841" s="97"/>
      <c r="B841" s="78" t="s">
        <v>185</v>
      </c>
      <c r="C841" s="1768" t="s">
        <v>414</v>
      </c>
      <c r="D841" s="1768"/>
      <c r="E841" s="1768"/>
      <c r="F841" s="1768"/>
      <c r="G841" s="1768"/>
      <c r="H841" s="1768"/>
      <c r="I841" s="1768"/>
      <c r="J841" s="1768"/>
      <c r="K841" s="1768"/>
      <c r="L841" s="98">
        <v>21.22</v>
      </c>
      <c r="M841" s="99"/>
      <c r="N841" s="100"/>
      <c r="AH841" s="43" t="s">
        <v>414</v>
      </c>
    </row>
    <row r="842" spans="1:35" s="40" customFormat="1" x14ac:dyDescent="0.2">
      <c r="A842" s="97"/>
      <c r="B842" s="78"/>
      <c r="C842" s="1768" t="s">
        <v>415</v>
      </c>
      <c r="D842" s="1768"/>
      <c r="E842" s="1768"/>
      <c r="F842" s="1768"/>
      <c r="G842" s="1768"/>
      <c r="H842" s="1768"/>
      <c r="I842" s="1768"/>
      <c r="J842" s="1768"/>
      <c r="K842" s="1768"/>
      <c r="L842" s="98">
        <v>167.4</v>
      </c>
      <c r="M842" s="99"/>
      <c r="N842" s="100"/>
      <c r="AH842" s="43" t="s">
        <v>415</v>
      </c>
    </row>
    <row r="843" spans="1:35" s="40" customFormat="1" x14ac:dyDescent="0.2">
      <c r="A843" s="97"/>
      <c r="B843" s="78"/>
      <c r="C843" s="1768" t="s">
        <v>416</v>
      </c>
      <c r="D843" s="1768"/>
      <c r="E843" s="1768"/>
      <c r="F843" s="1768"/>
      <c r="G843" s="1768"/>
      <c r="H843" s="1768"/>
      <c r="I843" s="1768"/>
      <c r="J843" s="1768"/>
      <c r="K843" s="1768"/>
      <c r="L843" s="98">
        <v>179.52</v>
      </c>
      <c r="M843" s="99"/>
      <c r="N843" s="100"/>
      <c r="AH843" s="43" t="s">
        <v>416</v>
      </c>
    </row>
    <row r="844" spans="1:35" s="40" customFormat="1" x14ac:dyDescent="0.2">
      <c r="A844" s="97"/>
      <c r="B844" s="78"/>
      <c r="C844" s="1768" t="s">
        <v>417</v>
      </c>
      <c r="D844" s="1768"/>
      <c r="E844" s="1768"/>
      <c r="F844" s="1768"/>
      <c r="G844" s="1768"/>
      <c r="H844" s="1768"/>
      <c r="I844" s="1768"/>
      <c r="J844" s="1768"/>
      <c r="K844" s="1768"/>
      <c r="L844" s="98">
        <v>111.41</v>
      </c>
      <c r="M844" s="99"/>
      <c r="N844" s="100"/>
      <c r="AH844" s="43" t="s">
        <v>417</v>
      </c>
    </row>
    <row r="845" spans="1:35" s="40" customFormat="1" x14ac:dyDescent="0.2">
      <c r="A845" s="97"/>
      <c r="B845" s="91"/>
      <c r="C845" s="1787" t="s">
        <v>3669</v>
      </c>
      <c r="D845" s="1787"/>
      <c r="E845" s="1787"/>
      <c r="F845" s="1787"/>
      <c r="G845" s="1787"/>
      <c r="H845" s="1787"/>
      <c r="I845" s="1787"/>
      <c r="J845" s="1787"/>
      <c r="K845" s="1787"/>
      <c r="L845" s="102">
        <v>6774.74</v>
      </c>
      <c r="M845" s="103"/>
      <c r="N845" s="104"/>
      <c r="AI845" s="43" t="s">
        <v>3669</v>
      </c>
    </row>
    <row r="846" spans="1:35" s="40" customFormat="1" ht="12" x14ac:dyDescent="0.2">
      <c r="A846" s="1782" t="s">
        <v>3670</v>
      </c>
      <c r="B846" s="1783"/>
      <c r="C846" s="1783"/>
      <c r="D846" s="1783"/>
      <c r="E846" s="1783"/>
      <c r="F846" s="1783"/>
      <c r="G846" s="1783"/>
      <c r="H846" s="1783"/>
      <c r="I846" s="1783"/>
      <c r="J846" s="1783"/>
      <c r="K846" s="1783"/>
      <c r="L846" s="1783"/>
      <c r="M846" s="1783"/>
      <c r="N846" s="1784"/>
      <c r="V846" s="43" t="s">
        <v>3670</v>
      </c>
    </row>
    <row r="847" spans="1:35" s="40" customFormat="1" x14ac:dyDescent="0.2">
      <c r="A847" s="1801" t="s">
        <v>494</v>
      </c>
      <c r="B847" s="1802"/>
      <c r="C847" s="1802"/>
      <c r="D847" s="1802"/>
      <c r="E847" s="1802"/>
      <c r="F847" s="1802"/>
      <c r="G847" s="1802"/>
      <c r="H847" s="1802"/>
      <c r="I847" s="1802"/>
      <c r="J847" s="1802"/>
      <c r="K847" s="1802"/>
      <c r="L847" s="1802"/>
      <c r="M847" s="1802"/>
      <c r="N847" s="1803"/>
      <c r="W847" s="43" t="s">
        <v>494</v>
      </c>
    </row>
    <row r="848" spans="1:35" s="40" customFormat="1" ht="56.25" x14ac:dyDescent="0.2">
      <c r="A848" s="69" t="s">
        <v>968</v>
      </c>
      <c r="B848" s="70" t="s">
        <v>1349</v>
      </c>
      <c r="C848" s="1785" t="s">
        <v>1350</v>
      </c>
      <c r="D848" s="1785"/>
      <c r="E848" s="1785"/>
      <c r="F848" s="71" t="s">
        <v>455</v>
      </c>
      <c r="G848" s="71"/>
      <c r="H848" s="71"/>
      <c r="I848" s="71" t="s">
        <v>3596</v>
      </c>
      <c r="J848" s="72"/>
      <c r="K848" s="71"/>
      <c r="L848" s="72"/>
      <c r="M848" s="73"/>
      <c r="N848" s="74"/>
      <c r="X848" s="43" t="s">
        <v>1350</v>
      </c>
    </row>
    <row r="849" spans="1:30" s="40" customFormat="1" x14ac:dyDescent="0.2">
      <c r="A849" s="75"/>
      <c r="B849" s="76"/>
      <c r="C849" s="1768" t="s">
        <v>3597</v>
      </c>
      <c r="D849" s="1768"/>
      <c r="E849" s="1768"/>
      <c r="F849" s="1768"/>
      <c r="G849" s="1768"/>
      <c r="H849" s="1768"/>
      <c r="I849" s="1768"/>
      <c r="J849" s="1768"/>
      <c r="K849" s="1768"/>
      <c r="L849" s="1768"/>
      <c r="M849" s="1768"/>
      <c r="N849" s="1779"/>
      <c r="Y849" s="43" t="s">
        <v>3597</v>
      </c>
    </row>
    <row r="850" spans="1:30" s="40" customFormat="1" ht="33.75" x14ac:dyDescent="0.2">
      <c r="A850" s="77"/>
      <c r="B850" s="78" t="s">
        <v>310</v>
      </c>
      <c r="C850" s="1768" t="s">
        <v>311</v>
      </c>
      <c r="D850" s="1768"/>
      <c r="E850" s="1768"/>
      <c r="F850" s="1768"/>
      <c r="G850" s="1768"/>
      <c r="H850" s="1768"/>
      <c r="I850" s="1768"/>
      <c r="J850" s="1768"/>
      <c r="K850" s="1768"/>
      <c r="L850" s="1768"/>
      <c r="M850" s="1768"/>
      <c r="N850" s="1779"/>
      <c r="Z850" s="43" t="s">
        <v>311</v>
      </c>
    </row>
    <row r="851" spans="1:30" s="40" customFormat="1" x14ac:dyDescent="0.2">
      <c r="A851" s="79"/>
      <c r="B851" s="78" t="s">
        <v>186</v>
      </c>
      <c r="C851" s="1768" t="s">
        <v>344</v>
      </c>
      <c r="D851" s="1768"/>
      <c r="E851" s="1768"/>
      <c r="F851" s="80"/>
      <c r="G851" s="80"/>
      <c r="H851" s="80"/>
      <c r="I851" s="80"/>
      <c r="J851" s="81">
        <v>7550.19</v>
      </c>
      <c r="K851" s="80" t="s">
        <v>313</v>
      </c>
      <c r="L851" s="81">
        <v>29.92</v>
      </c>
      <c r="M851" s="82"/>
      <c r="N851" s="83"/>
      <c r="AA851" s="43" t="s">
        <v>344</v>
      </c>
    </row>
    <row r="852" spans="1:30" s="40" customFormat="1" x14ac:dyDescent="0.2">
      <c r="A852" s="79"/>
      <c r="B852" s="78" t="s">
        <v>187</v>
      </c>
      <c r="C852" s="1768" t="s">
        <v>345</v>
      </c>
      <c r="D852" s="1768"/>
      <c r="E852" s="1768"/>
      <c r="F852" s="80"/>
      <c r="G852" s="80"/>
      <c r="H852" s="80"/>
      <c r="I852" s="80"/>
      <c r="J852" s="81">
        <v>884.25</v>
      </c>
      <c r="K852" s="80" t="s">
        <v>313</v>
      </c>
      <c r="L852" s="81">
        <v>3.5</v>
      </c>
      <c r="M852" s="82"/>
      <c r="N852" s="83"/>
      <c r="AA852" s="43" t="s">
        <v>345</v>
      </c>
    </row>
    <row r="853" spans="1:30" s="40" customFormat="1" x14ac:dyDescent="0.2">
      <c r="A853" s="79"/>
      <c r="B853" s="78"/>
      <c r="C853" s="1768" t="s">
        <v>348</v>
      </c>
      <c r="D853" s="1768"/>
      <c r="E853" s="1768"/>
      <c r="F853" s="80" t="s">
        <v>315</v>
      </c>
      <c r="G853" s="80" t="s">
        <v>1353</v>
      </c>
      <c r="H853" s="80" t="s">
        <v>313</v>
      </c>
      <c r="I853" s="80" t="s">
        <v>3598</v>
      </c>
      <c r="J853" s="81"/>
      <c r="K853" s="80"/>
      <c r="L853" s="81"/>
      <c r="M853" s="82"/>
      <c r="N853" s="83"/>
      <c r="AB853" s="43" t="s">
        <v>348</v>
      </c>
    </row>
    <row r="854" spans="1:30" s="40" customFormat="1" x14ac:dyDescent="0.2">
      <c r="A854" s="79"/>
      <c r="B854" s="78"/>
      <c r="C854" s="1780" t="s">
        <v>318</v>
      </c>
      <c r="D854" s="1780"/>
      <c r="E854" s="1780"/>
      <c r="F854" s="84"/>
      <c r="G854" s="84"/>
      <c r="H854" s="84"/>
      <c r="I854" s="84"/>
      <c r="J854" s="85">
        <v>7550.19</v>
      </c>
      <c r="K854" s="84"/>
      <c r="L854" s="85">
        <v>29.92</v>
      </c>
      <c r="M854" s="86"/>
      <c r="N854" s="87"/>
      <c r="AC854" s="43" t="s">
        <v>318</v>
      </c>
    </row>
    <row r="855" spans="1:30" s="40" customFormat="1" x14ac:dyDescent="0.2">
      <c r="A855" s="79"/>
      <c r="B855" s="78"/>
      <c r="C855" s="1768" t="s">
        <v>319</v>
      </c>
      <c r="D855" s="1768"/>
      <c r="E855" s="1768"/>
      <c r="F855" s="80"/>
      <c r="G855" s="80"/>
      <c r="H855" s="80"/>
      <c r="I855" s="80"/>
      <c r="J855" s="81"/>
      <c r="K855" s="80"/>
      <c r="L855" s="81">
        <v>3.5</v>
      </c>
      <c r="M855" s="82"/>
      <c r="N855" s="83"/>
      <c r="AB855" s="43" t="s">
        <v>319</v>
      </c>
    </row>
    <row r="856" spans="1:30" s="40" customFormat="1" ht="33.75" x14ac:dyDescent="0.2">
      <c r="A856" s="79"/>
      <c r="B856" s="78" t="s">
        <v>460</v>
      </c>
      <c r="C856" s="1768" t="s">
        <v>461</v>
      </c>
      <c r="D856" s="1768"/>
      <c r="E856" s="1768"/>
      <c r="F856" s="80" t="s">
        <v>322</v>
      </c>
      <c r="G856" s="80" t="s">
        <v>462</v>
      </c>
      <c r="H856" s="80"/>
      <c r="I856" s="80" t="s">
        <v>462</v>
      </c>
      <c r="J856" s="81"/>
      <c r="K856" s="80"/>
      <c r="L856" s="81">
        <v>3.22</v>
      </c>
      <c r="M856" s="82"/>
      <c r="N856" s="83"/>
      <c r="AB856" s="43" t="s">
        <v>461</v>
      </c>
    </row>
    <row r="857" spans="1:30" s="40" customFormat="1" ht="33.75" x14ac:dyDescent="0.2">
      <c r="A857" s="79"/>
      <c r="B857" s="78" t="s">
        <v>463</v>
      </c>
      <c r="C857" s="1768" t="s">
        <v>464</v>
      </c>
      <c r="D857" s="1768"/>
      <c r="E857" s="1768"/>
      <c r="F857" s="80" t="s">
        <v>322</v>
      </c>
      <c r="G857" s="80" t="s">
        <v>465</v>
      </c>
      <c r="H857" s="80"/>
      <c r="I857" s="80" t="s">
        <v>465</v>
      </c>
      <c r="J857" s="81"/>
      <c r="K857" s="80"/>
      <c r="L857" s="81">
        <v>1.61</v>
      </c>
      <c r="M857" s="82"/>
      <c r="N857" s="83"/>
      <c r="AB857" s="43" t="s">
        <v>464</v>
      </c>
    </row>
    <row r="858" spans="1:30" s="40" customFormat="1" x14ac:dyDescent="0.2">
      <c r="A858" s="88"/>
      <c r="B858" s="89"/>
      <c r="C858" s="1785" t="s">
        <v>327</v>
      </c>
      <c r="D858" s="1785"/>
      <c r="E858" s="1785"/>
      <c r="F858" s="71"/>
      <c r="G858" s="71"/>
      <c r="H858" s="71"/>
      <c r="I858" s="71"/>
      <c r="J858" s="72"/>
      <c r="K858" s="71"/>
      <c r="L858" s="72">
        <v>34.75</v>
      </c>
      <c r="M858" s="86"/>
      <c r="N858" s="74"/>
      <c r="AD858" s="43" t="s">
        <v>327</v>
      </c>
    </row>
    <row r="859" spans="1:30" s="40" customFormat="1" ht="45" x14ac:dyDescent="0.2">
      <c r="A859" s="69" t="s">
        <v>2385</v>
      </c>
      <c r="B859" s="70" t="s">
        <v>495</v>
      </c>
      <c r="C859" s="1785" t="s">
        <v>496</v>
      </c>
      <c r="D859" s="1785"/>
      <c r="E859" s="1785"/>
      <c r="F859" s="71" t="s">
        <v>455</v>
      </c>
      <c r="G859" s="71"/>
      <c r="H859" s="71"/>
      <c r="I859" s="71" t="s">
        <v>3599</v>
      </c>
      <c r="J859" s="72"/>
      <c r="K859" s="71"/>
      <c r="L859" s="72"/>
      <c r="M859" s="73"/>
      <c r="N859" s="74"/>
      <c r="X859" s="43" t="s">
        <v>496</v>
      </c>
    </row>
    <row r="860" spans="1:30" s="40" customFormat="1" x14ac:dyDescent="0.2">
      <c r="A860" s="75"/>
      <c r="B860" s="76"/>
      <c r="C860" s="1768" t="s">
        <v>3600</v>
      </c>
      <c r="D860" s="1768"/>
      <c r="E860" s="1768"/>
      <c r="F860" s="1768"/>
      <c r="G860" s="1768"/>
      <c r="H860" s="1768"/>
      <c r="I860" s="1768"/>
      <c r="J860" s="1768"/>
      <c r="K860" s="1768"/>
      <c r="L860" s="1768"/>
      <c r="M860" s="1768"/>
      <c r="N860" s="1779"/>
      <c r="Y860" s="43" t="s">
        <v>3600</v>
      </c>
    </row>
    <row r="861" spans="1:30" s="40" customFormat="1" ht="33.75" x14ac:dyDescent="0.2">
      <c r="A861" s="77"/>
      <c r="B861" s="78" t="s">
        <v>310</v>
      </c>
      <c r="C861" s="1768" t="s">
        <v>311</v>
      </c>
      <c r="D861" s="1768"/>
      <c r="E861" s="1768"/>
      <c r="F861" s="1768"/>
      <c r="G861" s="1768"/>
      <c r="H861" s="1768"/>
      <c r="I861" s="1768"/>
      <c r="J861" s="1768"/>
      <c r="K861" s="1768"/>
      <c r="L861" s="1768"/>
      <c r="M861" s="1768"/>
      <c r="N861" s="1779"/>
      <c r="Z861" s="43" t="s">
        <v>311</v>
      </c>
    </row>
    <row r="862" spans="1:30" s="40" customFormat="1" x14ac:dyDescent="0.2">
      <c r="A862" s="79"/>
      <c r="B862" s="78" t="s">
        <v>186</v>
      </c>
      <c r="C862" s="1768" t="s">
        <v>344</v>
      </c>
      <c r="D862" s="1768"/>
      <c r="E862" s="1768"/>
      <c r="F862" s="80"/>
      <c r="G862" s="80"/>
      <c r="H862" s="80"/>
      <c r="I862" s="80"/>
      <c r="J862" s="81">
        <v>5532.96</v>
      </c>
      <c r="K862" s="80" t="s">
        <v>313</v>
      </c>
      <c r="L862" s="81">
        <v>13.62</v>
      </c>
      <c r="M862" s="82"/>
      <c r="N862" s="83"/>
      <c r="AA862" s="43" t="s">
        <v>344</v>
      </c>
    </row>
    <row r="863" spans="1:30" s="40" customFormat="1" x14ac:dyDescent="0.2">
      <c r="A863" s="79"/>
      <c r="B863" s="78" t="s">
        <v>187</v>
      </c>
      <c r="C863" s="1768" t="s">
        <v>345</v>
      </c>
      <c r="D863" s="1768"/>
      <c r="E863" s="1768"/>
      <c r="F863" s="80"/>
      <c r="G863" s="80"/>
      <c r="H863" s="80"/>
      <c r="I863" s="80"/>
      <c r="J863" s="81">
        <v>648</v>
      </c>
      <c r="K863" s="80" t="s">
        <v>313</v>
      </c>
      <c r="L863" s="81">
        <v>1.6</v>
      </c>
      <c r="M863" s="82"/>
      <c r="N863" s="83"/>
      <c r="AA863" s="43" t="s">
        <v>345</v>
      </c>
    </row>
    <row r="864" spans="1:30" s="40" customFormat="1" x14ac:dyDescent="0.2">
      <c r="A864" s="79"/>
      <c r="B864" s="78"/>
      <c r="C864" s="1768" t="s">
        <v>348</v>
      </c>
      <c r="D864" s="1768"/>
      <c r="E864" s="1768"/>
      <c r="F864" s="80" t="s">
        <v>315</v>
      </c>
      <c r="G864" s="80" t="s">
        <v>501</v>
      </c>
      <c r="H864" s="80" t="s">
        <v>313</v>
      </c>
      <c r="I864" s="80" t="s">
        <v>3601</v>
      </c>
      <c r="J864" s="81"/>
      <c r="K864" s="80"/>
      <c r="L864" s="81"/>
      <c r="M864" s="82"/>
      <c r="N864" s="83"/>
      <c r="AB864" s="43" t="s">
        <v>348</v>
      </c>
    </row>
    <row r="865" spans="1:30" s="40" customFormat="1" x14ac:dyDescent="0.2">
      <c r="A865" s="79"/>
      <c r="B865" s="78"/>
      <c r="C865" s="1780" t="s">
        <v>318</v>
      </c>
      <c r="D865" s="1780"/>
      <c r="E865" s="1780"/>
      <c r="F865" s="84"/>
      <c r="G865" s="84"/>
      <c r="H865" s="84"/>
      <c r="I865" s="84"/>
      <c r="J865" s="85">
        <v>5532.96</v>
      </c>
      <c r="K865" s="84"/>
      <c r="L865" s="85">
        <v>13.62</v>
      </c>
      <c r="M865" s="86"/>
      <c r="N865" s="87"/>
      <c r="AC865" s="43" t="s">
        <v>318</v>
      </c>
    </row>
    <row r="866" spans="1:30" s="40" customFormat="1" x14ac:dyDescent="0.2">
      <c r="A866" s="79"/>
      <c r="B866" s="78"/>
      <c r="C866" s="1768" t="s">
        <v>319</v>
      </c>
      <c r="D866" s="1768"/>
      <c r="E866" s="1768"/>
      <c r="F866" s="80"/>
      <c r="G866" s="80"/>
      <c r="H866" s="80"/>
      <c r="I866" s="80"/>
      <c r="J866" s="81"/>
      <c r="K866" s="80"/>
      <c r="L866" s="81">
        <v>1.6</v>
      </c>
      <c r="M866" s="82"/>
      <c r="N866" s="83"/>
      <c r="AB866" s="43" t="s">
        <v>319</v>
      </c>
    </row>
    <row r="867" spans="1:30" s="40" customFormat="1" ht="33.75" x14ac:dyDescent="0.2">
      <c r="A867" s="79"/>
      <c r="B867" s="78" t="s">
        <v>460</v>
      </c>
      <c r="C867" s="1768" t="s">
        <v>461</v>
      </c>
      <c r="D867" s="1768"/>
      <c r="E867" s="1768"/>
      <c r="F867" s="80" t="s">
        <v>322</v>
      </c>
      <c r="G867" s="80" t="s">
        <v>462</v>
      </c>
      <c r="H867" s="80"/>
      <c r="I867" s="80" t="s">
        <v>462</v>
      </c>
      <c r="J867" s="81"/>
      <c r="K867" s="80"/>
      <c r="L867" s="81">
        <v>1.47</v>
      </c>
      <c r="M867" s="82"/>
      <c r="N867" s="83"/>
      <c r="AB867" s="43" t="s">
        <v>461</v>
      </c>
    </row>
    <row r="868" spans="1:30" s="40" customFormat="1" ht="33.75" x14ac:dyDescent="0.2">
      <c r="A868" s="79"/>
      <c r="B868" s="78" t="s">
        <v>463</v>
      </c>
      <c r="C868" s="1768" t="s">
        <v>464</v>
      </c>
      <c r="D868" s="1768"/>
      <c r="E868" s="1768"/>
      <c r="F868" s="80" t="s">
        <v>322</v>
      </c>
      <c r="G868" s="80" t="s">
        <v>465</v>
      </c>
      <c r="H868" s="80"/>
      <c r="I868" s="80" t="s">
        <v>465</v>
      </c>
      <c r="J868" s="81"/>
      <c r="K868" s="80"/>
      <c r="L868" s="81">
        <v>0.74</v>
      </c>
      <c r="M868" s="82"/>
      <c r="N868" s="83"/>
      <c r="AB868" s="43" t="s">
        <v>464</v>
      </c>
    </row>
    <row r="869" spans="1:30" s="40" customFormat="1" x14ac:dyDescent="0.2">
      <c r="A869" s="88"/>
      <c r="B869" s="89"/>
      <c r="C869" s="1785" t="s">
        <v>327</v>
      </c>
      <c r="D869" s="1785"/>
      <c r="E869" s="1785"/>
      <c r="F869" s="71"/>
      <c r="G869" s="71"/>
      <c r="H869" s="71"/>
      <c r="I869" s="71"/>
      <c r="J869" s="72"/>
      <c r="K869" s="71"/>
      <c r="L869" s="72">
        <v>15.83</v>
      </c>
      <c r="M869" s="86"/>
      <c r="N869" s="74"/>
      <c r="AD869" s="43" t="s">
        <v>327</v>
      </c>
    </row>
    <row r="870" spans="1:30" s="40" customFormat="1" ht="56.25" x14ac:dyDescent="0.2">
      <c r="A870" s="69" t="s">
        <v>2389</v>
      </c>
      <c r="B870" s="70" t="s">
        <v>1358</v>
      </c>
      <c r="C870" s="1785" t="s">
        <v>1359</v>
      </c>
      <c r="D870" s="1785"/>
      <c r="E870" s="1785"/>
      <c r="F870" s="71" t="s">
        <v>455</v>
      </c>
      <c r="G870" s="71"/>
      <c r="H870" s="71"/>
      <c r="I870" s="71" t="s">
        <v>3599</v>
      </c>
      <c r="J870" s="72"/>
      <c r="K870" s="71"/>
      <c r="L870" s="72"/>
      <c r="M870" s="73"/>
      <c r="N870" s="74"/>
      <c r="X870" s="43" t="s">
        <v>1359</v>
      </c>
    </row>
    <row r="871" spans="1:30" s="40" customFormat="1" x14ac:dyDescent="0.2">
      <c r="A871" s="75"/>
      <c r="B871" s="76"/>
      <c r="C871" s="1768" t="s">
        <v>3600</v>
      </c>
      <c r="D871" s="1768"/>
      <c r="E871" s="1768"/>
      <c r="F871" s="1768"/>
      <c r="G871" s="1768"/>
      <c r="H871" s="1768"/>
      <c r="I871" s="1768"/>
      <c r="J871" s="1768"/>
      <c r="K871" s="1768"/>
      <c r="L871" s="1768"/>
      <c r="M871" s="1768"/>
      <c r="N871" s="1779"/>
      <c r="Y871" s="43" t="s">
        <v>3600</v>
      </c>
    </row>
    <row r="872" spans="1:30" s="40" customFormat="1" ht="33.75" x14ac:dyDescent="0.2">
      <c r="A872" s="77"/>
      <c r="B872" s="78" t="s">
        <v>310</v>
      </c>
      <c r="C872" s="1768" t="s">
        <v>311</v>
      </c>
      <c r="D872" s="1768"/>
      <c r="E872" s="1768"/>
      <c r="F872" s="1768"/>
      <c r="G872" s="1768"/>
      <c r="H872" s="1768"/>
      <c r="I872" s="1768"/>
      <c r="J872" s="1768"/>
      <c r="K872" s="1768"/>
      <c r="L872" s="1768"/>
      <c r="M872" s="1768"/>
      <c r="N872" s="1779"/>
      <c r="Z872" s="43" t="s">
        <v>311</v>
      </c>
    </row>
    <row r="873" spans="1:30" s="40" customFormat="1" x14ac:dyDescent="0.2">
      <c r="A873" s="79"/>
      <c r="B873" s="78" t="s">
        <v>186</v>
      </c>
      <c r="C873" s="1768" t="s">
        <v>344</v>
      </c>
      <c r="D873" s="1768"/>
      <c r="E873" s="1768"/>
      <c r="F873" s="80"/>
      <c r="G873" s="80"/>
      <c r="H873" s="80"/>
      <c r="I873" s="80"/>
      <c r="J873" s="81">
        <v>4264.99</v>
      </c>
      <c r="K873" s="80" t="s">
        <v>313</v>
      </c>
      <c r="L873" s="81">
        <v>10.5</v>
      </c>
      <c r="M873" s="82"/>
      <c r="N873" s="83"/>
      <c r="AA873" s="43" t="s">
        <v>344</v>
      </c>
    </row>
    <row r="874" spans="1:30" s="40" customFormat="1" x14ac:dyDescent="0.2">
      <c r="A874" s="79"/>
      <c r="B874" s="78" t="s">
        <v>187</v>
      </c>
      <c r="C874" s="1768" t="s">
        <v>345</v>
      </c>
      <c r="D874" s="1768"/>
      <c r="E874" s="1768"/>
      <c r="F874" s="80"/>
      <c r="G874" s="80"/>
      <c r="H874" s="80"/>
      <c r="I874" s="80"/>
      <c r="J874" s="81">
        <v>499.5</v>
      </c>
      <c r="K874" s="80" t="s">
        <v>313</v>
      </c>
      <c r="L874" s="81">
        <v>1.23</v>
      </c>
      <c r="M874" s="82"/>
      <c r="N874" s="83"/>
      <c r="AA874" s="43" t="s">
        <v>345</v>
      </c>
    </row>
    <row r="875" spans="1:30" s="40" customFormat="1" x14ac:dyDescent="0.2">
      <c r="A875" s="79"/>
      <c r="B875" s="78"/>
      <c r="C875" s="1768" t="s">
        <v>348</v>
      </c>
      <c r="D875" s="1768"/>
      <c r="E875" s="1768"/>
      <c r="F875" s="80" t="s">
        <v>315</v>
      </c>
      <c r="G875" s="80" t="s">
        <v>770</v>
      </c>
      <c r="H875" s="80" t="s">
        <v>313</v>
      </c>
      <c r="I875" s="80" t="s">
        <v>3602</v>
      </c>
      <c r="J875" s="81"/>
      <c r="K875" s="80"/>
      <c r="L875" s="81"/>
      <c r="M875" s="82"/>
      <c r="N875" s="83"/>
      <c r="AB875" s="43" t="s">
        <v>348</v>
      </c>
    </row>
    <row r="876" spans="1:30" s="40" customFormat="1" x14ac:dyDescent="0.2">
      <c r="A876" s="79"/>
      <c r="B876" s="78"/>
      <c r="C876" s="1780" t="s">
        <v>318</v>
      </c>
      <c r="D876" s="1780"/>
      <c r="E876" s="1780"/>
      <c r="F876" s="84"/>
      <c r="G876" s="84"/>
      <c r="H876" s="84"/>
      <c r="I876" s="84"/>
      <c r="J876" s="85">
        <v>4264.99</v>
      </c>
      <c r="K876" s="84"/>
      <c r="L876" s="85">
        <v>10.5</v>
      </c>
      <c r="M876" s="86"/>
      <c r="N876" s="87"/>
      <c r="AC876" s="43" t="s">
        <v>318</v>
      </c>
    </row>
    <row r="877" spans="1:30" s="40" customFormat="1" x14ac:dyDescent="0.2">
      <c r="A877" s="79"/>
      <c r="B877" s="78"/>
      <c r="C877" s="1768" t="s">
        <v>319</v>
      </c>
      <c r="D877" s="1768"/>
      <c r="E877" s="1768"/>
      <c r="F877" s="80"/>
      <c r="G877" s="80"/>
      <c r="H877" s="80"/>
      <c r="I877" s="80"/>
      <c r="J877" s="81"/>
      <c r="K877" s="80"/>
      <c r="L877" s="81">
        <v>1.23</v>
      </c>
      <c r="M877" s="82"/>
      <c r="N877" s="83"/>
      <c r="AB877" s="43" t="s">
        <v>319</v>
      </c>
    </row>
    <row r="878" spans="1:30" s="40" customFormat="1" ht="33.75" x14ac:dyDescent="0.2">
      <c r="A878" s="79"/>
      <c r="B878" s="78" t="s">
        <v>460</v>
      </c>
      <c r="C878" s="1768" t="s">
        <v>461</v>
      </c>
      <c r="D878" s="1768"/>
      <c r="E878" s="1768"/>
      <c r="F878" s="80" t="s">
        <v>322</v>
      </c>
      <c r="G878" s="80" t="s">
        <v>462</v>
      </c>
      <c r="H878" s="80"/>
      <c r="I878" s="80" t="s">
        <v>462</v>
      </c>
      <c r="J878" s="81"/>
      <c r="K878" s="80"/>
      <c r="L878" s="81">
        <v>1.1299999999999999</v>
      </c>
      <c r="M878" s="82"/>
      <c r="N878" s="83"/>
      <c r="AB878" s="43" t="s">
        <v>461</v>
      </c>
    </row>
    <row r="879" spans="1:30" s="40" customFormat="1" ht="33.75" x14ac:dyDescent="0.2">
      <c r="A879" s="79"/>
      <c r="B879" s="78" t="s">
        <v>463</v>
      </c>
      <c r="C879" s="1768" t="s">
        <v>464</v>
      </c>
      <c r="D879" s="1768"/>
      <c r="E879" s="1768"/>
      <c r="F879" s="80" t="s">
        <v>322</v>
      </c>
      <c r="G879" s="80" t="s">
        <v>465</v>
      </c>
      <c r="H879" s="80"/>
      <c r="I879" s="80" t="s">
        <v>465</v>
      </c>
      <c r="J879" s="81"/>
      <c r="K879" s="80"/>
      <c r="L879" s="81">
        <v>0.56999999999999995</v>
      </c>
      <c r="M879" s="82"/>
      <c r="N879" s="83"/>
      <c r="AB879" s="43" t="s">
        <v>464</v>
      </c>
    </row>
    <row r="880" spans="1:30" s="40" customFormat="1" x14ac:dyDescent="0.2">
      <c r="A880" s="88"/>
      <c r="B880" s="89"/>
      <c r="C880" s="1785" t="s">
        <v>327</v>
      </c>
      <c r="D880" s="1785"/>
      <c r="E880" s="1785"/>
      <c r="F880" s="71"/>
      <c r="G880" s="71"/>
      <c r="H880" s="71"/>
      <c r="I880" s="71"/>
      <c r="J880" s="72"/>
      <c r="K880" s="71"/>
      <c r="L880" s="72">
        <v>12.2</v>
      </c>
      <c r="M880" s="86"/>
      <c r="N880" s="74"/>
      <c r="AD880" s="43" t="s">
        <v>327</v>
      </c>
    </row>
    <row r="881" spans="1:30" s="40" customFormat="1" ht="22.5" x14ac:dyDescent="0.2">
      <c r="A881" s="69" t="s">
        <v>1746</v>
      </c>
      <c r="B881" s="70" t="s">
        <v>507</v>
      </c>
      <c r="C881" s="1785" t="s">
        <v>508</v>
      </c>
      <c r="D881" s="1785"/>
      <c r="E881" s="1785"/>
      <c r="F881" s="71" t="s">
        <v>509</v>
      </c>
      <c r="G881" s="71"/>
      <c r="H881" s="71"/>
      <c r="I881" s="71" t="s">
        <v>3603</v>
      </c>
      <c r="J881" s="72"/>
      <c r="K881" s="71"/>
      <c r="L881" s="72"/>
      <c r="M881" s="73"/>
      <c r="N881" s="74"/>
      <c r="X881" s="43" t="s">
        <v>508</v>
      </c>
    </row>
    <row r="882" spans="1:30" s="40" customFormat="1" x14ac:dyDescent="0.2">
      <c r="A882" s="75"/>
      <c r="B882" s="76"/>
      <c r="C882" s="1768" t="s">
        <v>3604</v>
      </c>
      <c r="D882" s="1768"/>
      <c r="E882" s="1768"/>
      <c r="F882" s="1768"/>
      <c r="G882" s="1768"/>
      <c r="H882" s="1768"/>
      <c r="I882" s="1768"/>
      <c r="J882" s="1768"/>
      <c r="K882" s="1768"/>
      <c r="L882" s="1768"/>
      <c r="M882" s="1768"/>
      <c r="N882" s="1779"/>
      <c r="Y882" s="43" t="s">
        <v>3604</v>
      </c>
    </row>
    <row r="883" spans="1:30" s="40" customFormat="1" ht="33.75" x14ac:dyDescent="0.2">
      <c r="A883" s="77"/>
      <c r="B883" s="78" t="s">
        <v>310</v>
      </c>
      <c r="C883" s="1768" t="s">
        <v>311</v>
      </c>
      <c r="D883" s="1768"/>
      <c r="E883" s="1768"/>
      <c r="F883" s="1768"/>
      <c r="G883" s="1768"/>
      <c r="H883" s="1768"/>
      <c r="I883" s="1768"/>
      <c r="J883" s="1768"/>
      <c r="K883" s="1768"/>
      <c r="L883" s="1768"/>
      <c r="M883" s="1768"/>
      <c r="N883" s="1779"/>
      <c r="Z883" s="43" t="s">
        <v>311</v>
      </c>
    </row>
    <row r="884" spans="1:30" s="40" customFormat="1" x14ac:dyDescent="0.2">
      <c r="A884" s="79"/>
      <c r="B884" s="78" t="s">
        <v>185</v>
      </c>
      <c r="C884" s="1768" t="s">
        <v>312</v>
      </c>
      <c r="D884" s="1768"/>
      <c r="E884" s="1768"/>
      <c r="F884" s="80"/>
      <c r="G884" s="80"/>
      <c r="H884" s="80"/>
      <c r="I884" s="80"/>
      <c r="J884" s="81">
        <v>127.61</v>
      </c>
      <c r="K884" s="80" t="s">
        <v>313</v>
      </c>
      <c r="L884" s="81">
        <v>3.14</v>
      </c>
      <c r="M884" s="82"/>
      <c r="N884" s="83"/>
      <c r="AA884" s="43" t="s">
        <v>312</v>
      </c>
    </row>
    <row r="885" spans="1:30" s="40" customFormat="1" x14ac:dyDescent="0.2">
      <c r="A885" s="79"/>
      <c r="B885" s="78" t="s">
        <v>186</v>
      </c>
      <c r="C885" s="1768" t="s">
        <v>344</v>
      </c>
      <c r="D885" s="1768"/>
      <c r="E885" s="1768"/>
      <c r="F885" s="80"/>
      <c r="G885" s="80"/>
      <c r="H885" s="80"/>
      <c r="I885" s="80"/>
      <c r="J885" s="81">
        <v>288.58</v>
      </c>
      <c r="K885" s="80" t="s">
        <v>313</v>
      </c>
      <c r="L885" s="81">
        <v>7.11</v>
      </c>
      <c r="M885" s="82"/>
      <c r="N885" s="83"/>
      <c r="AA885" s="43" t="s">
        <v>344</v>
      </c>
    </row>
    <row r="886" spans="1:30" s="40" customFormat="1" x14ac:dyDescent="0.2">
      <c r="A886" s="79"/>
      <c r="B886" s="78" t="s">
        <v>187</v>
      </c>
      <c r="C886" s="1768" t="s">
        <v>345</v>
      </c>
      <c r="D886" s="1768"/>
      <c r="E886" s="1768"/>
      <c r="F886" s="80"/>
      <c r="G886" s="80"/>
      <c r="H886" s="80"/>
      <c r="I886" s="80"/>
      <c r="J886" s="81">
        <v>31.49</v>
      </c>
      <c r="K886" s="80" t="s">
        <v>313</v>
      </c>
      <c r="L886" s="81">
        <v>0.78</v>
      </c>
      <c r="M886" s="82"/>
      <c r="N886" s="83"/>
      <c r="AA886" s="43" t="s">
        <v>345</v>
      </c>
    </row>
    <row r="887" spans="1:30" s="40" customFormat="1" x14ac:dyDescent="0.2">
      <c r="A887" s="79"/>
      <c r="B887" s="78"/>
      <c r="C887" s="1768" t="s">
        <v>314</v>
      </c>
      <c r="D887" s="1768"/>
      <c r="E887" s="1768"/>
      <c r="F887" s="80" t="s">
        <v>315</v>
      </c>
      <c r="G887" s="80" t="s">
        <v>512</v>
      </c>
      <c r="H887" s="80" t="s">
        <v>313</v>
      </c>
      <c r="I887" s="80" t="s">
        <v>3605</v>
      </c>
      <c r="J887" s="81"/>
      <c r="K887" s="80"/>
      <c r="L887" s="81"/>
      <c r="M887" s="82"/>
      <c r="N887" s="83"/>
      <c r="AB887" s="43" t="s">
        <v>314</v>
      </c>
    </row>
    <row r="888" spans="1:30" s="40" customFormat="1" x14ac:dyDescent="0.2">
      <c r="A888" s="79"/>
      <c r="B888" s="78"/>
      <c r="C888" s="1768" t="s">
        <v>348</v>
      </c>
      <c r="D888" s="1768"/>
      <c r="E888" s="1768"/>
      <c r="F888" s="80" t="s">
        <v>315</v>
      </c>
      <c r="G888" s="80" t="s">
        <v>514</v>
      </c>
      <c r="H888" s="80" t="s">
        <v>313</v>
      </c>
      <c r="I888" s="80" t="s">
        <v>3606</v>
      </c>
      <c r="J888" s="81"/>
      <c r="K888" s="80"/>
      <c r="L888" s="81"/>
      <c r="M888" s="82"/>
      <c r="N888" s="83"/>
      <c r="AB888" s="43" t="s">
        <v>348</v>
      </c>
    </row>
    <row r="889" spans="1:30" s="40" customFormat="1" x14ac:dyDescent="0.2">
      <c r="A889" s="79"/>
      <c r="B889" s="78"/>
      <c r="C889" s="1780" t="s">
        <v>318</v>
      </c>
      <c r="D889" s="1780"/>
      <c r="E889" s="1780"/>
      <c r="F889" s="84"/>
      <c r="G889" s="84"/>
      <c r="H889" s="84"/>
      <c r="I889" s="84"/>
      <c r="J889" s="85">
        <v>416.19</v>
      </c>
      <c r="K889" s="84"/>
      <c r="L889" s="85">
        <v>10.25</v>
      </c>
      <c r="M889" s="86"/>
      <c r="N889" s="87"/>
      <c r="AC889" s="43" t="s">
        <v>318</v>
      </c>
    </row>
    <row r="890" spans="1:30" s="40" customFormat="1" x14ac:dyDescent="0.2">
      <c r="A890" s="79"/>
      <c r="B890" s="78"/>
      <c r="C890" s="1768" t="s">
        <v>319</v>
      </c>
      <c r="D890" s="1768"/>
      <c r="E890" s="1768"/>
      <c r="F890" s="80"/>
      <c r="G890" s="80"/>
      <c r="H890" s="80"/>
      <c r="I890" s="80"/>
      <c r="J890" s="81"/>
      <c r="K890" s="80"/>
      <c r="L890" s="81">
        <v>3.92</v>
      </c>
      <c r="M890" s="82"/>
      <c r="N890" s="83"/>
      <c r="AB890" s="43" t="s">
        <v>319</v>
      </c>
    </row>
    <row r="891" spans="1:30" s="40" customFormat="1" ht="33.75" x14ac:dyDescent="0.2">
      <c r="A891" s="79"/>
      <c r="B891" s="78" t="s">
        <v>460</v>
      </c>
      <c r="C891" s="1768" t="s">
        <v>461</v>
      </c>
      <c r="D891" s="1768"/>
      <c r="E891" s="1768"/>
      <c r="F891" s="80" t="s">
        <v>322</v>
      </c>
      <c r="G891" s="80" t="s">
        <v>462</v>
      </c>
      <c r="H891" s="80"/>
      <c r="I891" s="80" t="s">
        <v>462</v>
      </c>
      <c r="J891" s="81"/>
      <c r="K891" s="80"/>
      <c r="L891" s="81">
        <v>3.61</v>
      </c>
      <c r="M891" s="82"/>
      <c r="N891" s="83"/>
      <c r="AB891" s="43" t="s">
        <v>461</v>
      </c>
    </row>
    <row r="892" spans="1:30" s="40" customFormat="1" ht="33.75" x14ac:dyDescent="0.2">
      <c r="A892" s="79"/>
      <c r="B892" s="78" t="s">
        <v>463</v>
      </c>
      <c r="C892" s="1768" t="s">
        <v>464</v>
      </c>
      <c r="D892" s="1768"/>
      <c r="E892" s="1768"/>
      <c r="F892" s="80" t="s">
        <v>322</v>
      </c>
      <c r="G892" s="80" t="s">
        <v>465</v>
      </c>
      <c r="H892" s="80"/>
      <c r="I892" s="80" t="s">
        <v>465</v>
      </c>
      <c r="J892" s="81"/>
      <c r="K892" s="80"/>
      <c r="L892" s="81">
        <v>1.8</v>
      </c>
      <c r="M892" s="82"/>
      <c r="N892" s="83"/>
      <c r="AB892" s="43" t="s">
        <v>464</v>
      </c>
    </row>
    <row r="893" spans="1:30" s="40" customFormat="1" x14ac:dyDescent="0.2">
      <c r="A893" s="88"/>
      <c r="B893" s="89"/>
      <c r="C893" s="1785" t="s">
        <v>327</v>
      </c>
      <c r="D893" s="1785"/>
      <c r="E893" s="1785"/>
      <c r="F893" s="71"/>
      <c r="G893" s="71"/>
      <c r="H893" s="71"/>
      <c r="I893" s="71"/>
      <c r="J893" s="72"/>
      <c r="K893" s="71"/>
      <c r="L893" s="72">
        <v>15.66</v>
      </c>
      <c r="M893" s="86"/>
      <c r="N893" s="74"/>
      <c r="AD893" s="43" t="s">
        <v>327</v>
      </c>
    </row>
    <row r="894" spans="1:30" s="40" customFormat="1" ht="45" x14ac:dyDescent="0.2">
      <c r="A894" s="69" t="s">
        <v>2398</v>
      </c>
      <c r="B894" s="70" t="s">
        <v>1005</v>
      </c>
      <c r="C894" s="1785" t="s">
        <v>1006</v>
      </c>
      <c r="D894" s="1785"/>
      <c r="E894" s="1785"/>
      <c r="F894" s="71" t="s">
        <v>201</v>
      </c>
      <c r="G894" s="71"/>
      <c r="H894" s="71"/>
      <c r="I894" s="71" t="s">
        <v>3607</v>
      </c>
      <c r="J894" s="72">
        <v>2.91</v>
      </c>
      <c r="K894" s="71"/>
      <c r="L894" s="72">
        <v>21.22</v>
      </c>
      <c r="M894" s="73"/>
      <c r="N894" s="74"/>
      <c r="X894" s="43" t="s">
        <v>1006</v>
      </c>
    </row>
    <row r="895" spans="1:30" s="40" customFormat="1" x14ac:dyDescent="0.2">
      <c r="A895" s="75"/>
      <c r="B895" s="76"/>
      <c r="C895" s="1768" t="s">
        <v>3608</v>
      </c>
      <c r="D895" s="1768"/>
      <c r="E895" s="1768"/>
      <c r="F895" s="1768"/>
      <c r="G895" s="1768"/>
      <c r="H895" s="1768"/>
      <c r="I895" s="1768"/>
      <c r="J895" s="1768"/>
      <c r="K895" s="1768"/>
      <c r="L895" s="1768"/>
      <c r="M895" s="1768"/>
      <c r="N895" s="1779"/>
      <c r="Y895" s="43" t="s">
        <v>3608</v>
      </c>
    </row>
    <row r="896" spans="1:30" s="40" customFormat="1" x14ac:dyDescent="0.2">
      <c r="A896" s="1801" t="s">
        <v>3609</v>
      </c>
      <c r="B896" s="1802"/>
      <c r="C896" s="1802"/>
      <c r="D896" s="1802"/>
      <c r="E896" s="1802"/>
      <c r="F896" s="1802"/>
      <c r="G896" s="1802"/>
      <c r="H896" s="1802"/>
      <c r="I896" s="1802"/>
      <c r="J896" s="1802"/>
      <c r="K896" s="1802"/>
      <c r="L896" s="1802"/>
      <c r="M896" s="1802"/>
      <c r="N896" s="1803"/>
      <c r="W896" s="43" t="s">
        <v>3609</v>
      </c>
    </row>
    <row r="897" spans="1:31" s="40" customFormat="1" x14ac:dyDescent="0.2">
      <c r="A897" s="69" t="s">
        <v>969</v>
      </c>
      <c r="B897" s="70" t="s">
        <v>1368</v>
      </c>
      <c r="C897" s="1785" t="s">
        <v>1369</v>
      </c>
      <c r="D897" s="1785"/>
      <c r="E897" s="1785"/>
      <c r="F897" s="71" t="s">
        <v>509</v>
      </c>
      <c r="G897" s="71"/>
      <c r="H897" s="71"/>
      <c r="I897" s="71" t="s">
        <v>3610</v>
      </c>
      <c r="J897" s="72"/>
      <c r="K897" s="71"/>
      <c r="L897" s="72"/>
      <c r="M897" s="73"/>
      <c r="N897" s="74"/>
      <c r="X897" s="43" t="s">
        <v>1369</v>
      </c>
    </row>
    <row r="898" spans="1:31" s="40" customFormat="1" x14ac:dyDescent="0.2">
      <c r="A898" s="75"/>
      <c r="B898" s="76"/>
      <c r="C898" s="1768" t="s">
        <v>3611</v>
      </c>
      <c r="D898" s="1768"/>
      <c r="E898" s="1768"/>
      <c r="F898" s="1768"/>
      <c r="G898" s="1768"/>
      <c r="H898" s="1768"/>
      <c r="I898" s="1768"/>
      <c r="J898" s="1768"/>
      <c r="K898" s="1768"/>
      <c r="L898" s="1768"/>
      <c r="M898" s="1768"/>
      <c r="N898" s="1779"/>
      <c r="Y898" s="43" t="s">
        <v>3611</v>
      </c>
    </row>
    <row r="899" spans="1:31" s="40" customFormat="1" ht="33.75" x14ac:dyDescent="0.2">
      <c r="A899" s="77"/>
      <c r="B899" s="78" t="s">
        <v>310</v>
      </c>
      <c r="C899" s="1768" t="s">
        <v>311</v>
      </c>
      <c r="D899" s="1768"/>
      <c r="E899" s="1768"/>
      <c r="F899" s="1768"/>
      <c r="G899" s="1768"/>
      <c r="H899" s="1768"/>
      <c r="I899" s="1768"/>
      <c r="J899" s="1768"/>
      <c r="K899" s="1768"/>
      <c r="L899" s="1768"/>
      <c r="M899" s="1768"/>
      <c r="N899" s="1779"/>
      <c r="Z899" s="43" t="s">
        <v>311</v>
      </c>
    </row>
    <row r="900" spans="1:31" s="40" customFormat="1" x14ac:dyDescent="0.2">
      <c r="A900" s="79"/>
      <c r="B900" s="78" t="s">
        <v>185</v>
      </c>
      <c r="C900" s="1768" t="s">
        <v>312</v>
      </c>
      <c r="D900" s="1768"/>
      <c r="E900" s="1768"/>
      <c r="F900" s="80"/>
      <c r="G900" s="80"/>
      <c r="H900" s="80"/>
      <c r="I900" s="80"/>
      <c r="J900" s="81">
        <v>1053</v>
      </c>
      <c r="K900" s="80" t="s">
        <v>313</v>
      </c>
      <c r="L900" s="81">
        <v>9.48</v>
      </c>
      <c r="M900" s="82"/>
      <c r="N900" s="83"/>
      <c r="AA900" s="43" t="s">
        <v>312</v>
      </c>
    </row>
    <row r="901" spans="1:31" s="40" customFormat="1" x14ac:dyDescent="0.2">
      <c r="A901" s="79"/>
      <c r="B901" s="78" t="s">
        <v>186</v>
      </c>
      <c r="C901" s="1768" t="s">
        <v>344</v>
      </c>
      <c r="D901" s="1768"/>
      <c r="E901" s="1768"/>
      <c r="F901" s="80"/>
      <c r="G901" s="80"/>
      <c r="H901" s="80"/>
      <c r="I901" s="80"/>
      <c r="J901" s="81">
        <v>1566.06</v>
      </c>
      <c r="K901" s="80" t="s">
        <v>313</v>
      </c>
      <c r="L901" s="81">
        <v>14.09</v>
      </c>
      <c r="M901" s="82"/>
      <c r="N901" s="83"/>
      <c r="AA901" s="43" t="s">
        <v>344</v>
      </c>
    </row>
    <row r="902" spans="1:31" s="40" customFormat="1" x14ac:dyDescent="0.2">
      <c r="A902" s="79"/>
      <c r="B902" s="78" t="s">
        <v>187</v>
      </c>
      <c r="C902" s="1768" t="s">
        <v>345</v>
      </c>
      <c r="D902" s="1768"/>
      <c r="E902" s="1768"/>
      <c r="F902" s="80"/>
      <c r="G902" s="80"/>
      <c r="H902" s="80"/>
      <c r="I902" s="80"/>
      <c r="J902" s="81">
        <v>244.39</v>
      </c>
      <c r="K902" s="80" t="s">
        <v>313</v>
      </c>
      <c r="L902" s="81">
        <v>2.2000000000000002</v>
      </c>
      <c r="M902" s="82"/>
      <c r="N902" s="83"/>
      <c r="AA902" s="43" t="s">
        <v>345</v>
      </c>
    </row>
    <row r="903" spans="1:31" s="40" customFormat="1" x14ac:dyDescent="0.2">
      <c r="A903" s="79"/>
      <c r="B903" s="78" t="s">
        <v>188</v>
      </c>
      <c r="C903" s="1768" t="s">
        <v>475</v>
      </c>
      <c r="D903" s="1768"/>
      <c r="E903" s="1768"/>
      <c r="F903" s="80"/>
      <c r="G903" s="80"/>
      <c r="H903" s="80"/>
      <c r="I903" s="80"/>
      <c r="J903" s="81">
        <v>909.27</v>
      </c>
      <c r="K903" s="80"/>
      <c r="L903" s="81">
        <v>6.55</v>
      </c>
      <c r="M903" s="82"/>
      <c r="N903" s="83"/>
      <c r="AA903" s="43" t="s">
        <v>475</v>
      </c>
    </row>
    <row r="904" spans="1:31" s="40" customFormat="1" x14ac:dyDescent="0.2">
      <c r="A904" s="75"/>
      <c r="B904" s="114" t="s">
        <v>639</v>
      </c>
      <c r="C904" s="1804" t="s">
        <v>640</v>
      </c>
      <c r="D904" s="1804"/>
      <c r="E904" s="1804"/>
      <c r="F904" s="115" t="s">
        <v>641</v>
      </c>
      <c r="G904" s="115" t="s">
        <v>680</v>
      </c>
      <c r="H904" s="115"/>
      <c r="I904" s="115" t="s">
        <v>3612</v>
      </c>
      <c r="J904" s="78"/>
      <c r="K904" s="80"/>
      <c r="L904" s="81"/>
      <c r="M904" s="80"/>
      <c r="N904" s="116"/>
      <c r="AE904" s="43" t="s">
        <v>640</v>
      </c>
    </row>
    <row r="905" spans="1:31" s="40" customFormat="1" x14ac:dyDescent="0.2">
      <c r="A905" s="79"/>
      <c r="B905" s="78"/>
      <c r="C905" s="1768" t="s">
        <v>314</v>
      </c>
      <c r="D905" s="1768"/>
      <c r="E905" s="1768"/>
      <c r="F905" s="80" t="s">
        <v>315</v>
      </c>
      <c r="G905" s="80" t="s">
        <v>1373</v>
      </c>
      <c r="H905" s="80" t="s">
        <v>313</v>
      </c>
      <c r="I905" s="80" t="s">
        <v>3613</v>
      </c>
      <c r="J905" s="81"/>
      <c r="K905" s="80"/>
      <c r="L905" s="81"/>
      <c r="M905" s="82"/>
      <c r="N905" s="83"/>
      <c r="AB905" s="43" t="s">
        <v>314</v>
      </c>
    </row>
    <row r="906" spans="1:31" s="40" customFormat="1" x14ac:dyDescent="0.2">
      <c r="A906" s="79"/>
      <c r="B906" s="78"/>
      <c r="C906" s="1768" t="s">
        <v>348</v>
      </c>
      <c r="D906" s="1768"/>
      <c r="E906" s="1768"/>
      <c r="F906" s="80" t="s">
        <v>315</v>
      </c>
      <c r="G906" s="80" t="s">
        <v>1375</v>
      </c>
      <c r="H906" s="80" t="s">
        <v>313</v>
      </c>
      <c r="I906" s="80" t="s">
        <v>3614</v>
      </c>
      <c r="J906" s="81"/>
      <c r="K906" s="80"/>
      <c r="L906" s="81"/>
      <c r="M906" s="82"/>
      <c r="N906" s="83"/>
      <c r="AB906" s="43" t="s">
        <v>348</v>
      </c>
    </row>
    <row r="907" spans="1:31" s="40" customFormat="1" x14ac:dyDescent="0.2">
      <c r="A907" s="79"/>
      <c r="B907" s="78"/>
      <c r="C907" s="1780" t="s">
        <v>318</v>
      </c>
      <c r="D907" s="1780"/>
      <c r="E907" s="1780"/>
      <c r="F907" s="84"/>
      <c r="G907" s="84"/>
      <c r="H907" s="84"/>
      <c r="I907" s="84"/>
      <c r="J907" s="85">
        <v>3528.33</v>
      </c>
      <c r="K907" s="84"/>
      <c r="L907" s="85">
        <v>30.12</v>
      </c>
      <c r="M907" s="86"/>
      <c r="N907" s="87"/>
      <c r="AC907" s="43" t="s">
        <v>318</v>
      </c>
    </row>
    <row r="908" spans="1:31" s="40" customFormat="1" x14ac:dyDescent="0.2">
      <c r="A908" s="79"/>
      <c r="B908" s="78"/>
      <c r="C908" s="1768" t="s">
        <v>319</v>
      </c>
      <c r="D908" s="1768"/>
      <c r="E908" s="1768"/>
      <c r="F908" s="80"/>
      <c r="G908" s="80"/>
      <c r="H908" s="80"/>
      <c r="I908" s="80"/>
      <c r="J908" s="81"/>
      <c r="K908" s="80"/>
      <c r="L908" s="81">
        <v>11.68</v>
      </c>
      <c r="M908" s="82"/>
      <c r="N908" s="83"/>
      <c r="AB908" s="43" t="s">
        <v>319</v>
      </c>
    </row>
    <row r="909" spans="1:31" s="40" customFormat="1" ht="33.75" x14ac:dyDescent="0.2">
      <c r="A909" s="79"/>
      <c r="B909" s="78" t="s">
        <v>686</v>
      </c>
      <c r="C909" s="1768" t="s">
        <v>687</v>
      </c>
      <c r="D909" s="1768"/>
      <c r="E909" s="1768"/>
      <c r="F909" s="80" t="s">
        <v>322</v>
      </c>
      <c r="G909" s="80" t="s">
        <v>680</v>
      </c>
      <c r="H909" s="80"/>
      <c r="I909" s="80" t="s">
        <v>680</v>
      </c>
      <c r="J909" s="81"/>
      <c r="K909" s="80"/>
      <c r="L909" s="81">
        <v>11.91</v>
      </c>
      <c r="M909" s="82"/>
      <c r="N909" s="83"/>
      <c r="AB909" s="43" t="s">
        <v>687</v>
      </c>
    </row>
    <row r="910" spans="1:31" s="40" customFormat="1" ht="33.75" x14ac:dyDescent="0.2">
      <c r="A910" s="79"/>
      <c r="B910" s="78" t="s">
        <v>688</v>
      </c>
      <c r="C910" s="1768" t="s">
        <v>689</v>
      </c>
      <c r="D910" s="1768"/>
      <c r="E910" s="1768"/>
      <c r="F910" s="80" t="s">
        <v>322</v>
      </c>
      <c r="G910" s="80" t="s">
        <v>690</v>
      </c>
      <c r="H910" s="80"/>
      <c r="I910" s="80" t="s">
        <v>690</v>
      </c>
      <c r="J910" s="81"/>
      <c r="K910" s="80"/>
      <c r="L910" s="81">
        <v>6.77</v>
      </c>
      <c r="M910" s="82"/>
      <c r="N910" s="83"/>
      <c r="AB910" s="43" t="s">
        <v>689</v>
      </c>
    </row>
    <row r="911" spans="1:31" s="40" customFormat="1" x14ac:dyDescent="0.2">
      <c r="A911" s="88"/>
      <c r="B911" s="89"/>
      <c r="C911" s="1785" t="s">
        <v>327</v>
      </c>
      <c r="D911" s="1785"/>
      <c r="E911" s="1785"/>
      <c r="F911" s="71"/>
      <c r="G911" s="71"/>
      <c r="H911" s="71"/>
      <c r="I911" s="71"/>
      <c r="J911" s="72"/>
      <c r="K911" s="71"/>
      <c r="L911" s="72">
        <v>48.8</v>
      </c>
      <c r="M911" s="86"/>
      <c r="N911" s="74"/>
      <c r="AD911" s="43" t="s">
        <v>327</v>
      </c>
    </row>
    <row r="912" spans="1:31" s="40" customFormat="1" ht="22.5" x14ac:dyDescent="0.2">
      <c r="A912" s="69" t="s">
        <v>2403</v>
      </c>
      <c r="B912" s="70" t="s">
        <v>1377</v>
      </c>
      <c r="C912" s="1785" t="s">
        <v>1378</v>
      </c>
      <c r="D912" s="1785"/>
      <c r="E912" s="1785"/>
      <c r="F912" s="71" t="s">
        <v>641</v>
      </c>
      <c r="G912" s="71"/>
      <c r="H912" s="71"/>
      <c r="I912" s="71" t="s">
        <v>3612</v>
      </c>
      <c r="J912" s="72">
        <v>560</v>
      </c>
      <c r="K912" s="71"/>
      <c r="L912" s="72">
        <v>411.26</v>
      </c>
      <c r="M912" s="73"/>
      <c r="N912" s="74"/>
      <c r="X912" s="43" t="s">
        <v>1378</v>
      </c>
    </row>
    <row r="913" spans="1:31" s="40" customFormat="1" x14ac:dyDescent="0.2">
      <c r="A913" s="88"/>
      <c r="B913" s="89"/>
      <c r="C913" s="48" t="s">
        <v>717</v>
      </c>
      <c r="D913" s="117"/>
      <c r="E913" s="117"/>
      <c r="F913" s="90"/>
      <c r="G913" s="90"/>
      <c r="H913" s="90"/>
      <c r="I913" s="90"/>
      <c r="J913" s="118"/>
      <c r="K913" s="90"/>
      <c r="L913" s="118"/>
      <c r="M913" s="119"/>
      <c r="N913" s="120"/>
    </row>
    <row r="914" spans="1:31" s="40" customFormat="1" ht="22.5" x14ac:dyDescent="0.2">
      <c r="A914" s="69" t="s">
        <v>2408</v>
      </c>
      <c r="B914" s="70" t="s">
        <v>1380</v>
      </c>
      <c r="C914" s="1785" t="s">
        <v>1381</v>
      </c>
      <c r="D914" s="1785"/>
      <c r="E914" s="1785"/>
      <c r="F914" s="71" t="s">
        <v>509</v>
      </c>
      <c r="G914" s="71"/>
      <c r="H914" s="71"/>
      <c r="I914" s="71" t="s">
        <v>3615</v>
      </c>
      <c r="J914" s="72"/>
      <c r="K914" s="71"/>
      <c r="L914" s="72"/>
      <c r="M914" s="73"/>
      <c r="N914" s="74"/>
      <c r="X914" s="43" t="s">
        <v>1381</v>
      </c>
    </row>
    <row r="915" spans="1:31" s="40" customFormat="1" x14ac:dyDescent="0.2">
      <c r="A915" s="75"/>
      <c r="B915" s="76"/>
      <c r="C915" s="1768" t="s">
        <v>3616</v>
      </c>
      <c r="D915" s="1768"/>
      <c r="E915" s="1768"/>
      <c r="F915" s="1768"/>
      <c r="G915" s="1768"/>
      <c r="H915" s="1768"/>
      <c r="I915" s="1768"/>
      <c r="J915" s="1768"/>
      <c r="K915" s="1768"/>
      <c r="L915" s="1768"/>
      <c r="M915" s="1768"/>
      <c r="N915" s="1779"/>
      <c r="Y915" s="43" t="s">
        <v>3616</v>
      </c>
    </row>
    <row r="916" spans="1:31" s="40" customFormat="1" ht="33.75" x14ac:dyDescent="0.2">
      <c r="A916" s="77"/>
      <c r="B916" s="78" t="s">
        <v>310</v>
      </c>
      <c r="C916" s="1768" t="s">
        <v>311</v>
      </c>
      <c r="D916" s="1768"/>
      <c r="E916" s="1768"/>
      <c r="F916" s="1768"/>
      <c r="G916" s="1768"/>
      <c r="H916" s="1768"/>
      <c r="I916" s="1768"/>
      <c r="J916" s="1768"/>
      <c r="K916" s="1768"/>
      <c r="L916" s="1768"/>
      <c r="M916" s="1768"/>
      <c r="N916" s="1779"/>
      <c r="Z916" s="43" t="s">
        <v>311</v>
      </c>
    </row>
    <row r="917" spans="1:31" s="40" customFormat="1" x14ac:dyDescent="0.2">
      <c r="A917" s="79"/>
      <c r="B917" s="78" t="s">
        <v>185</v>
      </c>
      <c r="C917" s="1768" t="s">
        <v>312</v>
      </c>
      <c r="D917" s="1768"/>
      <c r="E917" s="1768"/>
      <c r="F917" s="80"/>
      <c r="G917" s="80"/>
      <c r="H917" s="80"/>
      <c r="I917" s="80"/>
      <c r="J917" s="81">
        <v>1526.87</v>
      </c>
      <c r="K917" s="80" t="s">
        <v>313</v>
      </c>
      <c r="L917" s="81">
        <v>53.25</v>
      </c>
      <c r="M917" s="82"/>
      <c r="N917" s="83"/>
      <c r="AA917" s="43" t="s">
        <v>312</v>
      </c>
    </row>
    <row r="918" spans="1:31" s="40" customFormat="1" x14ac:dyDescent="0.2">
      <c r="A918" s="79"/>
      <c r="B918" s="78" t="s">
        <v>186</v>
      </c>
      <c r="C918" s="1768" t="s">
        <v>344</v>
      </c>
      <c r="D918" s="1768"/>
      <c r="E918" s="1768"/>
      <c r="F918" s="80"/>
      <c r="G918" s="80"/>
      <c r="H918" s="80"/>
      <c r="I918" s="80"/>
      <c r="J918" s="81">
        <v>2518.58</v>
      </c>
      <c r="K918" s="80" t="s">
        <v>313</v>
      </c>
      <c r="L918" s="81">
        <v>87.84</v>
      </c>
      <c r="M918" s="82"/>
      <c r="N918" s="83"/>
      <c r="AA918" s="43" t="s">
        <v>344</v>
      </c>
    </row>
    <row r="919" spans="1:31" s="40" customFormat="1" x14ac:dyDescent="0.2">
      <c r="A919" s="79"/>
      <c r="B919" s="78" t="s">
        <v>187</v>
      </c>
      <c r="C919" s="1768" t="s">
        <v>345</v>
      </c>
      <c r="D919" s="1768"/>
      <c r="E919" s="1768"/>
      <c r="F919" s="80"/>
      <c r="G919" s="80"/>
      <c r="H919" s="80"/>
      <c r="I919" s="80"/>
      <c r="J919" s="81">
        <v>382.14</v>
      </c>
      <c r="K919" s="80" t="s">
        <v>313</v>
      </c>
      <c r="L919" s="81">
        <v>13.33</v>
      </c>
      <c r="M919" s="82"/>
      <c r="N919" s="83"/>
      <c r="AA919" s="43" t="s">
        <v>345</v>
      </c>
    </row>
    <row r="920" spans="1:31" s="40" customFormat="1" x14ac:dyDescent="0.2">
      <c r="A920" s="79"/>
      <c r="B920" s="78" t="s">
        <v>188</v>
      </c>
      <c r="C920" s="1768" t="s">
        <v>475</v>
      </c>
      <c r="D920" s="1768"/>
      <c r="E920" s="1768"/>
      <c r="F920" s="80"/>
      <c r="G920" s="80"/>
      <c r="H920" s="80"/>
      <c r="I920" s="80"/>
      <c r="J920" s="81">
        <v>488.42</v>
      </c>
      <c r="K920" s="80"/>
      <c r="L920" s="81">
        <v>13.63</v>
      </c>
      <c r="M920" s="82"/>
      <c r="N920" s="83"/>
      <c r="AA920" s="43" t="s">
        <v>475</v>
      </c>
    </row>
    <row r="921" spans="1:31" s="40" customFormat="1" x14ac:dyDescent="0.2">
      <c r="A921" s="75"/>
      <c r="B921" s="114" t="s">
        <v>639</v>
      </c>
      <c r="C921" s="1804" t="s">
        <v>640</v>
      </c>
      <c r="D921" s="1804"/>
      <c r="E921" s="1804"/>
      <c r="F921" s="115" t="s">
        <v>641</v>
      </c>
      <c r="G921" s="115" t="s">
        <v>1384</v>
      </c>
      <c r="H921" s="115"/>
      <c r="I921" s="115" t="s">
        <v>3617</v>
      </c>
      <c r="J921" s="78"/>
      <c r="K921" s="80"/>
      <c r="L921" s="81"/>
      <c r="M921" s="80"/>
      <c r="N921" s="116"/>
      <c r="AE921" s="43" t="s">
        <v>640</v>
      </c>
    </row>
    <row r="922" spans="1:31" s="40" customFormat="1" x14ac:dyDescent="0.2">
      <c r="A922" s="75"/>
      <c r="B922" s="114" t="s">
        <v>1272</v>
      </c>
      <c r="C922" s="1804" t="s">
        <v>1273</v>
      </c>
      <c r="D922" s="1804"/>
      <c r="E922" s="1804"/>
      <c r="F922" s="115" t="s">
        <v>694</v>
      </c>
      <c r="G922" s="115" t="s">
        <v>1386</v>
      </c>
      <c r="H922" s="115"/>
      <c r="I922" s="115" t="s">
        <v>3618</v>
      </c>
      <c r="J922" s="78"/>
      <c r="K922" s="80"/>
      <c r="L922" s="81"/>
      <c r="M922" s="80"/>
      <c r="N922" s="116"/>
      <c r="AE922" s="43" t="s">
        <v>1273</v>
      </c>
    </row>
    <row r="923" spans="1:31" s="40" customFormat="1" x14ac:dyDescent="0.2">
      <c r="A923" s="79"/>
      <c r="B923" s="78"/>
      <c r="C923" s="1768" t="s">
        <v>314</v>
      </c>
      <c r="D923" s="1768"/>
      <c r="E923" s="1768"/>
      <c r="F923" s="80" t="s">
        <v>315</v>
      </c>
      <c r="G923" s="80" t="s">
        <v>1388</v>
      </c>
      <c r="H923" s="80" t="s">
        <v>313</v>
      </c>
      <c r="I923" s="80" t="s">
        <v>3619</v>
      </c>
      <c r="J923" s="81"/>
      <c r="K923" s="80"/>
      <c r="L923" s="81"/>
      <c r="M923" s="82"/>
      <c r="N923" s="83"/>
      <c r="AB923" s="43" t="s">
        <v>314</v>
      </c>
    </row>
    <row r="924" spans="1:31" s="40" customFormat="1" x14ac:dyDescent="0.2">
      <c r="A924" s="79"/>
      <c r="B924" s="78"/>
      <c r="C924" s="1768" t="s">
        <v>348</v>
      </c>
      <c r="D924" s="1768"/>
      <c r="E924" s="1768"/>
      <c r="F924" s="80" t="s">
        <v>315</v>
      </c>
      <c r="G924" s="80" t="s">
        <v>1390</v>
      </c>
      <c r="H924" s="80" t="s">
        <v>313</v>
      </c>
      <c r="I924" s="80" t="s">
        <v>3620</v>
      </c>
      <c r="J924" s="81"/>
      <c r="K924" s="80"/>
      <c r="L924" s="81"/>
      <c r="M924" s="82"/>
      <c r="N924" s="83"/>
      <c r="AB924" s="43" t="s">
        <v>348</v>
      </c>
    </row>
    <row r="925" spans="1:31" s="40" customFormat="1" x14ac:dyDescent="0.2">
      <c r="A925" s="79"/>
      <c r="B925" s="78"/>
      <c r="C925" s="1780" t="s">
        <v>318</v>
      </c>
      <c r="D925" s="1780"/>
      <c r="E925" s="1780"/>
      <c r="F925" s="84"/>
      <c r="G925" s="84"/>
      <c r="H925" s="84"/>
      <c r="I925" s="84"/>
      <c r="J925" s="85">
        <v>4533.87</v>
      </c>
      <c r="K925" s="84"/>
      <c r="L925" s="85">
        <v>154.72</v>
      </c>
      <c r="M925" s="86"/>
      <c r="N925" s="87"/>
      <c r="AC925" s="43" t="s">
        <v>318</v>
      </c>
    </row>
    <row r="926" spans="1:31" s="40" customFormat="1" x14ac:dyDescent="0.2">
      <c r="A926" s="79"/>
      <c r="B926" s="78"/>
      <c r="C926" s="1768" t="s">
        <v>319</v>
      </c>
      <c r="D926" s="1768"/>
      <c r="E926" s="1768"/>
      <c r="F926" s="80"/>
      <c r="G926" s="80"/>
      <c r="H926" s="80"/>
      <c r="I926" s="80"/>
      <c r="J926" s="81"/>
      <c r="K926" s="80"/>
      <c r="L926" s="81">
        <v>66.58</v>
      </c>
      <c r="M926" s="82"/>
      <c r="N926" s="83"/>
      <c r="AB926" s="43" t="s">
        <v>319</v>
      </c>
    </row>
    <row r="927" spans="1:31" s="40" customFormat="1" ht="33.75" x14ac:dyDescent="0.2">
      <c r="A927" s="79"/>
      <c r="B927" s="78" t="s">
        <v>686</v>
      </c>
      <c r="C927" s="1768" t="s">
        <v>687</v>
      </c>
      <c r="D927" s="1768"/>
      <c r="E927" s="1768"/>
      <c r="F927" s="80" t="s">
        <v>322</v>
      </c>
      <c r="G927" s="80" t="s">
        <v>680</v>
      </c>
      <c r="H927" s="80"/>
      <c r="I927" s="80" t="s">
        <v>680</v>
      </c>
      <c r="J927" s="81"/>
      <c r="K927" s="80"/>
      <c r="L927" s="81">
        <v>67.91</v>
      </c>
      <c r="M927" s="82"/>
      <c r="N927" s="83"/>
      <c r="AB927" s="43" t="s">
        <v>687</v>
      </c>
    </row>
    <row r="928" spans="1:31" s="40" customFormat="1" ht="33.75" x14ac:dyDescent="0.2">
      <c r="A928" s="79"/>
      <c r="B928" s="78" t="s">
        <v>688</v>
      </c>
      <c r="C928" s="1768" t="s">
        <v>689</v>
      </c>
      <c r="D928" s="1768"/>
      <c r="E928" s="1768"/>
      <c r="F928" s="80" t="s">
        <v>322</v>
      </c>
      <c r="G928" s="80" t="s">
        <v>690</v>
      </c>
      <c r="H928" s="80"/>
      <c r="I928" s="80" t="s">
        <v>690</v>
      </c>
      <c r="J928" s="81"/>
      <c r="K928" s="80"/>
      <c r="L928" s="81">
        <v>38.619999999999997</v>
      </c>
      <c r="M928" s="82"/>
      <c r="N928" s="83"/>
      <c r="AB928" s="43" t="s">
        <v>689</v>
      </c>
    </row>
    <row r="929" spans="1:32" s="40" customFormat="1" x14ac:dyDescent="0.2">
      <c r="A929" s="88"/>
      <c r="B929" s="89"/>
      <c r="C929" s="1785" t="s">
        <v>327</v>
      </c>
      <c r="D929" s="1785"/>
      <c r="E929" s="1785"/>
      <c r="F929" s="71"/>
      <c r="G929" s="71"/>
      <c r="H929" s="71"/>
      <c r="I929" s="71"/>
      <c r="J929" s="72"/>
      <c r="K929" s="71"/>
      <c r="L929" s="72">
        <v>261.25</v>
      </c>
      <c r="M929" s="86"/>
      <c r="N929" s="74"/>
      <c r="AD929" s="43" t="s">
        <v>327</v>
      </c>
    </row>
    <row r="930" spans="1:32" s="40" customFormat="1" ht="22.5" x14ac:dyDescent="0.2">
      <c r="A930" s="69" t="s">
        <v>323</v>
      </c>
      <c r="B930" s="70" t="s">
        <v>654</v>
      </c>
      <c r="C930" s="1785" t="s">
        <v>655</v>
      </c>
      <c r="D930" s="1785"/>
      <c r="E930" s="1785"/>
      <c r="F930" s="71" t="s">
        <v>641</v>
      </c>
      <c r="G930" s="71"/>
      <c r="H930" s="71"/>
      <c r="I930" s="71" t="s">
        <v>3621</v>
      </c>
      <c r="J930" s="72">
        <v>592.76</v>
      </c>
      <c r="K930" s="71"/>
      <c r="L930" s="72">
        <v>1678.58</v>
      </c>
      <c r="M930" s="73"/>
      <c r="N930" s="74"/>
      <c r="X930" s="43" t="s">
        <v>655</v>
      </c>
    </row>
    <row r="931" spans="1:32" s="40" customFormat="1" x14ac:dyDescent="0.2">
      <c r="A931" s="88"/>
      <c r="B931" s="89"/>
      <c r="C931" s="48" t="s">
        <v>717</v>
      </c>
      <c r="D931" s="117"/>
      <c r="E931" s="117"/>
      <c r="F931" s="90"/>
      <c r="G931" s="90"/>
      <c r="H931" s="90"/>
      <c r="I931" s="90"/>
      <c r="J931" s="118"/>
      <c r="K931" s="90"/>
      <c r="L931" s="118"/>
      <c r="M931" s="119"/>
      <c r="N931" s="120"/>
    </row>
    <row r="932" spans="1:32" s="40" customFormat="1" ht="33.75" x14ac:dyDescent="0.2">
      <c r="A932" s="69" t="s">
        <v>886</v>
      </c>
      <c r="B932" s="70" t="s">
        <v>657</v>
      </c>
      <c r="C932" s="1785" t="s">
        <v>3622</v>
      </c>
      <c r="D932" s="1785"/>
      <c r="E932" s="1785"/>
      <c r="F932" s="71" t="s">
        <v>641</v>
      </c>
      <c r="G932" s="71"/>
      <c r="H932" s="71"/>
      <c r="I932" s="71" t="s">
        <v>3623</v>
      </c>
      <c r="J932" s="72">
        <v>18.04</v>
      </c>
      <c r="K932" s="71"/>
      <c r="L932" s="72">
        <v>50.24</v>
      </c>
      <c r="M932" s="73"/>
      <c r="N932" s="74"/>
      <c r="X932" s="43" t="s">
        <v>3622</v>
      </c>
    </row>
    <row r="933" spans="1:32" s="40" customFormat="1" x14ac:dyDescent="0.2">
      <c r="A933" s="88"/>
      <c r="B933" s="89"/>
      <c r="C933" s="48" t="s">
        <v>717</v>
      </c>
      <c r="D933" s="117"/>
      <c r="E933" s="117"/>
      <c r="F933" s="90"/>
      <c r="G933" s="90"/>
      <c r="H933" s="90"/>
      <c r="I933" s="90"/>
      <c r="J933" s="118"/>
      <c r="K933" s="90"/>
      <c r="L933" s="118"/>
      <c r="M933" s="119"/>
      <c r="N933" s="120"/>
    </row>
    <row r="934" spans="1:32" s="40" customFormat="1" x14ac:dyDescent="0.2">
      <c r="A934" s="75"/>
      <c r="B934" s="76"/>
      <c r="C934" s="1768" t="s">
        <v>659</v>
      </c>
      <c r="D934" s="1768"/>
      <c r="E934" s="1768"/>
      <c r="F934" s="1768"/>
      <c r="G934" s="1768"/>
      <c r="H934" s="1768"/>
      <c r="I934" s="1768"/>
      <c r="J934" s="1768"/>
      <c r="K934" s="1768"/>
      <c r="L934" s="1768"/>
      <c r="M934" s="1768"/>
      <c r="N934" s="1779"/>
      <c r="AF934" s="43" t="s">
        <v>659</v>
      </c>
    </row>
    <row r="935" spans="1:32" s="40" customFormat="1" ht="22.5" x14ac:dyDescent="0.2">
      <c r="A935" s="69" t="s">
        <v>2418</v>
      </c>
      <c r="B935" s="70" t="s">
        <v>3624</v>
      </c>
      <c r="C935" s="1785" t="s">
        <v>3625</v>
      </c>
      <c r="D935" s="1785"/>
      <c r="E935" s="1785"/>
      <c r="F935" s="71" t="s">
        <v>694</v>
      </c>
      <c r="G935" s="71"/>
      <c r="H935" s="71"/>
      <c r="I935" s="71" t="s">
        <v>3626</v>
      </c>
      <c r="J935" s="72">
        <v>5802.77</v>
      </c>
      <c r="K935" s="71"/>
      <c r="L935" s="72">
        <v>296.52</v>
      </c>
      <c r="M935" s="73"/>
      <c r="N935" s="74"/>
      <c r="X935" s="43" t="s">
        <v>3625</v>
      </c>
    </row>
    <row r="936" spans="1:32" s="40" customFormat="1" x14ac:dyDescent="0.2">
      <c r="A936" s="88"/>
      <c r="B936" s="89"/>
      <c r="C936" s="48" t="s">
        <v>717</v>
      </c>
      <c r="D936" s="117"/>
      <c r="E936" s="117"/>
      <c r="F936" s="90"/>
      <c r="G936" s="90"/>
      <c r="H936" s="90"/>
      <c r="I936" s="90"/>
      <c r="J936" s="118"/>
      <c r="K936" s="90"/>
      <c r="L936" s="118"/>
      <c r="M936" s="119"/>
      <c r="N936" s="120"/>
    </row>
    <row r="937" spans="1:32" s="40" customFormat="1" x14ac:dyDescent="0.2">
      <c r="A937" s="75"/>
      <c r="B937" s="76"/>
      <c r="C937" s="1768" t="s">
        <v>3627</v>
      </c>
      <c r="D937" s="1768"/>
      <c r="E937" s="1768"/>
      <c r="F937" s="1768"/>
      <c r="G937" s="1768"/>
      <c r="H937" s="1768"/>
      <c r="I937" s="1768"/>
      <c r="J937" s="1768"/>
      <c r="K937" s="1768"/>
      <c r="L937" s="1768"/>
      <c r="M937" s="1768"/>
      <c r="N937" s="1779"/>
      <c r="Y937" s="43" t="s">
        <v>3627</v>
      </c>
    </row>
    <row r="938" spans="1:32" s="40" customFormat="1" ht="22.5" x14ac:dyDescent="0.2">
      <c r="A938" s="69" t="s">
        <v>462</v>
      </c>
      <c r="B938" s="70" t="s">
        <v>3309</v>
      </c>
      <c r="C938" s="1785" t="s">
        <v>3310</v>
      </c>
      <c r="D938" s="1785"/>
      <c r="E938" s="1785"/>
      <c r="F938" s="71" t="s">
        <v>694</v>
      </c>
      <c r="G938" s="71"/>
      <c r="H938" s="71"/>
      <c r="I938" s="71" t="s">
        <v>3628</v>
      </c>
      <c r="J938" s="72"/>
      <c r="K938" s="71"/>
      <c r="L938" s="72"/>
      <c r="M938" s="73"/>
      <c r="N938" s="74"/>
      <c r="X938" s="43" t="s">
        <v>3310</v>
      </c>
    </row>
    <row r="939" spans="1:32" s="40" customFormat="1" x14ac:dyDescent="0.2">
      <c r="A939" s="75"/>
      <c r="B939" s="76"/>
      <c r="C939" s="1768" t="s">
        <v>3629</v>
      </c>
      <c r="D939" s="1768"/>
      <c r="E939" s="1768"/>
      <c r="F939" s="1768"/>
      <c r="G939" s="1768"/>
      <c r="H939" s="1768"/>
      <c r="I939" s="1768"/>
      <c r="J939" s="1768"/>
      <c r="K939" s="1768"/>
      <c r="L939" s="1768"/>
      <c r="M939" s="1768"/>
      <c r="N939" s="1779"/>
      <c r="Y939" s="43" t="s">
        <v>3629</v>
      </c>
    </row>
    <row r="940" spans="1:32" s="40" customFormat="1" ht="33.75" x14ac:dyDescent="0.2">
      <c r="A940" s="77"/>
      <c r="B940" s="78" t="s">
        <v>310</v>
      </c>
      <c r="C940" s="1768" t="s">
        <v>311</v>
      </c>
      <c r="D940" s="1768"/>
      <c r="E940" s="1768"/>
      <c r="F940" s="1768"/>
      <c r="G940" s="1768"/>
      <c r="H940" s="1768"/>
      <c r="I940" s="1768"/>
      <c r="J940" s="1768"/>
      <c r="K940" s="1768"/>
      <c r="L940" s="1768"/>
      <c r="M940" s="1768"/>
      <c r="N940" s="1779"/>
      <c r="Z940" s="43" t="s">
        <v>311</v>
      </c>
    </row>
    <row r="941" spans="1:32" s="40" customFormat="1" x14ac:dyDescent="0.2">
      <c r="A941" s="79"/>
      <c r="B941" s="78" t="s">
        <v>185</v>
      </c>
      <c r="C941" s="1768" t="s">
        <v>312</v>
      </c>
      <c r="D941" s="1768"/>
      <c r="E941" s="1768"/>
      <c r="F941" s="80"/>
      <c r="G941" s="80"/>
      <c r="H941" s="80"/>
      <c r="I941" s="80"/>
      <c r="J941" s="81">
        <v>408.85</v>
      </c>
      <c r="K941" s="80" t="s">
        <v>313</v>
      </c>
      <c r="L941" s="81">
        <v>5.4</v>
      </c>
      <c r="M941" s="82"/>
      <c r="N941" s="83"/>
      <c r="AA941" s="43" t="s">
        <v>312</v>
      </c>
    </row>
    <row r="942" spans="1:32" s="40" customFormat="1" x14ac:dyDescent="0.2">
      <c r="A942" s="79"/>
      <c r="B942" s="78" t="s">
        <v>186</v>
      </c>
      <c r="C942" s="1768" t="s">
        <v>344</v>
      </c>
      <c r="D942" s="1768"/>
      <c r="E942" s="1768"/>
      <c r="F942" s="80"/>
      <c r="G942" s="80"/>
      <c r="H942" s="80"/>
      <c r="I942" s="80"/>
      <c r="J942" s="81">
        <v>425.84</v>
      </c>
      <c r="K942" s="80" t="s">
        <v>313</v>
      </c>
      <c r="L942" s="81">
        <v>5.62</v>
      </c>
      <c r="M942" s="82"/>
      <c r="N942" s="83"/>
      <c r="AA942" s="43" t="s">
        <v>344</v>
      </c>
    </row>
    <row r="943" spans="1:32" s="40" customFormat="1" x14ac:dyDescent="0.2">
      <c r="A943" s="79"/>
      <c r="B943" s="78" t="s">
        <v>187</v>
      </c>
      <c r="C943" s="1768" t="s">
        <v>345</v>
      </c>
      <c r="D943" s="1768"/>
      <c r="E943" s="1768"/>
      <c r="F943" s="80"/>
      <c r="G943" s="80"/>
      <c r="H943" s="80"/>
      <c r="I943" s="80"/>
      <c r="J943" s="81">
        <v>51.59</v>
      </c>
      <c r="K943" s="80" t="s">
        <v>313</v>
      </c>
      <c r="L943" s="81">
        <v>0.68</v>
      </c>
      <c r="M943" s="82"/>
      <c r="N943" s="83"/>
      <c r="AA943" s="43" t="s">
        <v>345</v>
      </c>
    </row>
    <row r="944" spans="1:32" s="40" customFormat="1" x14ac:dyDescent="0.2">
      <c r="A944" s="79"/>
      <c r="B944" s="78" t="s">
        <v>188</v>
      </c>
      <c r="C944" s="1768" t="s">
        <v>475</v>
      </c>
      <c r="D944" s="1768"/>
      <c r="E944" s="1768"/>
      <c r="F944" s="80"/>
      <c r="G944" s="80"/>
      <c r="H944" s="80"/>
      <c r="I944" s="80"/>
      <c r="J944" s="81">
        <v>72.209999999999994</v>
      </c>
      <c r="K944" s="80"/>
      <c r="L944" s="81">
        <v>0.76</v>
      </c>
      <c r="M944" s="82"/>
      <c r="N944" s="83"/>
      <c r="AA944" s="43" t="s">
        <v>475</v>
      </c>
    </row>
    <row r="945" spans="1:31" s="40" customFormat="1" x14ac:dyDescent="0.2">
      <c r="A945" s="75"/>
      <c r="B945" s="114" t="s">
        <v>3313</v>
      </c>
      <c r="C945" s="1804" t="s">
        <v>1229</v>
      </c>
      <c r="D945" s="1804"/>
      <c r="E945" s="1804"/>
      <c r="F945" s="115" t="s">
        <v>694</v>
      </c>
      <c r="G945" s="115" t="s">
        <v>185</v>
      </c>
      <c r="H945" s="115"/>
      <c r="I945" s="115" t="s">
        <v>3628</v>
      </c>
      <c r="J945" s="78"/>
      <c r="K945" s="80"/>
      <c r="L945" s="81"/>
      <c r="M945" s="80"/>
      <c r="N945" s="116"/>
      <c r="AE945" s="43" t="s">
        <v>1229</v>
      </c>
    </row>
    <row r="946" spans="1:31" s="40" customFormat="1" x14ac:dyDescent="0.2">
      <c r="A946" s="79"/>
      <c r="B946" s="78"/>
      <c r="C946" s="1768" t="s">
        <v>314</v>
      </c>
      <c r="D946" s="1768"/>
      <c r="E946" s="1768"/>
      <c r="F946" s="80" t="s">
        <v>315</v>
      </c>
      <c r="G946" s="80" t="s">
        <v>1513</v>
      </c>
      <c r="H946" s="80" t="s">
        <v>313</v>
      </c>
      <c r="I946" s="80" t="s">
        <v>3630</v>
      </c>
      <c r="J946" s="81"/>
      <c r="K946" s="80"/>
      <c r="L946" s="81"/>
      <c r="M946" s="82"/>
      <c r="N946" s="83"/>
      <c r="AB946" s="43" t="s">
        <v>314</v>
      </c>
    </row>
    <row r="947" spans="1:31" s="40" customFormat="1" x14ac:dyDescent="0.2">
      <c r="A947" s="79"/>
      <c r="B947" s="78"/>
      <c r="C947" s="1768" t="s">
        <v>348</v>
      </c>
      <c r="D947" s="1768"/>
      <c r="E947" s="1768"/>
      <c r="F947" s="80" t="s">
        <v>315</v>
      </c>
      <c r="G947" s="80" t="s">
        <v>3315</v>
      </c>
      <c r="H947" s="80" t="s">
        <v>313</v>
      </c>
      <c r="I947" s="80" t="s">
        <v>3631</v>
      </c>
      <c r="J947" s="81"/>
      <c r="K947" s="80"/>
      <c r="L947" s="81"/>
      <c r="M947" s="82"/>
      <c r="N947" s="83"/>
      <c r="AB947" s="43" t="s">
        <v>348</v>
      </c>
    </row>
    <row r="948" spans="1:31" s="40" customFormat="1" x14ac:dyDescent="0.2">
      <c r="A948" s="79"/>
      <c r="B948" s="78"/>
      <c r="C948" s="1780" t="s">
        <v>318</v>
      </c>
      <c r="D948" s="1780"/>
      <c r="E948" s="1780"/>
      <c r="F948" s="84"/>
      <c r="G948" s="84"/>
      <c r="H948" s="84"/>
      <c r="I948" s="84"/>
      <c r="J948" s="85">
        <v>906.9</v>
      </c>
      <c r="K948" s="84"/>
      <c r="L948" s="85">
        <v>11.78</v>
      </c>
      <c r="M948" s="86"/>
      <c r="N948" s="87"/>
      <c r="AC948" s="43" t="s">
        <v>318</v>
      </c>
    </row>
    <row r="949" spans="1:31" s="40" customFormat="1" x14ac:dyDescent="0.2">
      <c r="A949" s="79"/>
      <c r="B949" s="78"/>
      <c r="C949" s="1768" t="s">
        <v>319</v>
      </c>
      <c r="D949" s="1768"/>
      <c r="E949" s="1768"/>
      <c r="F949" s="80"/>
      <c r="G949" s="80"/>
      <c r="H949" s="80"/>
      <c r="I949" s="80"/>
      <c r="J949" s="81"/>
      <c r="K949" s="80"/>
      <c r="L949" s="81">
        <v>6.08</v>
      </c>
      <c r="M949" s="82"/>
      <c r="N949" s="83"/>
      <c r="AB949" s="43" t="s">
        <v>319</v>
      </c>
    </row>
    <row r="950" spans="1:31" s="40" customFormat="1" ht="33.75" x14ac:dyDescent="0.2">
      <c r="A950" s="79"/>
      <c r="B950" s="78" t="s">
        <v>686</v>
      </c>
      <c r="C950" s="1768" t="s">
        <v>687</v>
      </c>
      <c r="D950" s="1768"/>
      <c r="E950" s="1768"/>
      <c r="F950" s="80" t="s">
        <v>322</v>
      </c>
      <c r="G950" s="80" t="s">
        <v>680</v>
      </c>
      <c r="H950" s="80"/>
      <c r="I950" s="80" t="s">
        <v>680</v>
      </c>
      <c r="J950" s="81"/>
      <c r="K950" s="80"/>
      <c r="L950" s="81">
        <v>6.2</v>
      </c>
      <c r="M950" s="82"/>
      <c r="N950" s="83"/>
      <c r="AB950" s="43" t="s">
        <v>687</v>
      </c>
    </row>
    <row r="951" spans="1:31" s="40" customFormat="1" ht="33.75" x14ac:dyDescent="0.2">
      <c r="A951" s="79"/>
      <c r="B951" s="78" t="s">
        <v>688</v>
      </c>
      <c r="C951" s="1768" t="s">
        <v>689</v>
      </c>
      <c r="D951" s="1768"/>
      <c r="E951" s="1768"/>
      <c r="F951" s="80" t="s">
        <v>322</v>
      </c>
      <c r="G951" s="80" t="s">
        <v>690</v>
      </c>
      <c r="H951" s="80"/>
      <c r="I951" s="80" t="s">
        <v>690</v>
      </c>
      <c r="J951" s="81"/>
      <c r="K951" s="80"/>
      <c r="L951" s="81">
        <v>3.53</v>
      </c>
      <c r="M951" s="82"/>
      <c r="N951" s="83"/>
      <c r="AB951" s="43" t="s">
        <v>689</v>
      </c>
    </row>
    <row r="952" spans="1:31" s="40" customFormat="1" x14ac:dyDescent="0.2">
      <c r="A952" s="88"/>
      <c r="B952" s="89"/>
      <c r="C952" s="1785" t="s">
        <v>327</v>
      </c>
      <c r="D952" s="1785"/>
      <c r="E952" s="1785"/>
      <c r="F952" s="71"/>
      <c r="G952" s="71"/>
      <c r="H952" s="71"/>
      <c r="I952" s="71"/>
      <c r="J952" s="72"/>
      <c r="K952" s="71"/>
      <c r="L952" s="72">
        <v>21.51</v>
      </c>
      <c r="M952" s="86"/>
      <c r="N952" s="74"/>
      <c r="AD952" s="43" t="s">
        <v>327</v>
      </c>
    </row>
    <row r="953" spans="1:31" s="40" customFormat="1" ht="33.75" x14ac:dyDescent="0.2">
      <c r="A953" s="69" t="s">
        <v>650</v>
      </c>
      <c r="B953" s="70" t="s">
        <v>3632</v>
      </c>
      <c r="C953" s="1785" t="s">
        <v>3633</v>
      </c>
      <c r="D953" s="1785"/>
      <c r="E953" s="1785"/>
      <c r="F953" s="71" t="s">
        <v>694</v>
      </c>
      <c r="G953" s="71"/>
      <c r="H953" s="71"/>
      <c r="I953" s="71" t="s">
        <v>3634</v>
      </c>
      <c r="J953" s="72">
        <v>7028.18</v>
      </c>
      <c r="K953" s="71"/>
      <c r="L953" s="72">
        <v>74.5</v>
      </c>
      <c r="M953" s="73"/>
      <c r="N953" s="74"/>
      <c r="X953" s="43" t="s">
        <v>3633</v>
      </c>
    </row>
    <row r="954" spans="1:31" s="40" customFormat="1" x14ac:dyDescent="0.2">
      <c r="A954" s="88"/>
      <c r="B954" s="89"/>
      <c r="C954" s="48" t="s">
        <v>717</v>
      </c>
      <c r="D954" s="117"/>
      <c r="E954" s="117"/>
      <c r="F954" s="90"/>
      <c r="G954" s="90"/>
      <c r="H954" s="90"/>
      <c r="I954" s="90"/>
      <c r="J954" s="118"/>
      <c r="K954" s="90"/>
      <c r="L954" s="118"/>
      <c r="M954" s="119"/>
      <c r="N954" s="120"/>
    </row>
    <row r="955" spans="1:31" s="40" customFormat="1" x14ac:dyDescent="0.2">
      <c r="A955" s="1801" t="s">
        <v>3659</v>
      </c>
      <c r="B955" s="1802"/>
      <c r="C955" s="1802"/>
      <c r="D955" s="1802"/>
      <c r="E955" s="1802"/>
      <c r="F955" s="1802"/>
      <c r="G955" s="1802"/>
      <c r="H955" s="1802"/>
      <c r="I955" s="1802"/>
      <c r="J955" s="1802"/>
      <c r="K955" s="1802"/>
      <c r="L955" s="1802"/>
      <c r="M955" s="1802"/>
      <c r="N955" s="1803"/>
      <c r="W955" s="43" t="s">
        <v>3659</v>
      </c>
    </row>
    <row r="956" spans="1:31" s="40" customFormat="1" ht="22.5" x14ac:dyDescent="0.2">
      <c r="A956" s="69" t="s">
        <v>1484</v>
      </c>
      <c r="B956" s="70" t="s">
        <v>3454</v>
      </c>
      <c r="C956" s="1785" t="s">
        <v>3455</v>
      </c>
      <c r="D956" s="1785"/>
      <c r="E956" s="1785"/>
      <c r="F956" s="71" t="s">
        <v>1110</v>
      </c>
      <c r="G956" s="71"/>
      <c r="H956" s="71"/>
      <c r="I956" s="71" t="s">
        <v>3636</v>
      </c>
      <c r="J956" s="72"/>
      <c r="K956" s="71"/>
      <c r="L956" s="72"/>
      <c r="M956" s="73"/>
      <c r="N956" s="74"/>
      <c r="X956" s="43" t="s">
        <v>3455</v>
      </c>
    </row>
    <row r="957" spans="1:31" s="40" customFormat="1" x14ac:dyDescent="0.2">
      <c r="A957" s="75"/>
      <c r="B957" s="76"/>
      <c r="C957" s="1768" t="s">
        <v>3637</v>
      </c>
      <c r="D957" s="1768"/>
      <c r="E957" s="1768"/>
      <c r="F957" s="1768"/>
      <c r="G957" s="1768"/>
      <c r="H957" s="1768"/>
      <c r="I957" s="1768"/>
      <c r="J957" s="1768"/>
      <c r="K957" s="1768"/>
      <c r="L957" s="1768"/>
      <c r="M957" s="1768"/>
      <c r="N957" s="1779"/>
      <c r="Y957" s="43" t="s">
        <v>3637</v>
      </c>
    </row>
    <row r="958" spans="1:31" s="40" customFormat="1" x14ac:dyDescent="0.2">
      <c r="A958" s="79"/>
      <c r="B958" s="78" t="s">
        <v>185</v>
      </c>
      <c r="C958" s="1768" t="s">
        <v>312</v>
      </c>
      <c r="D958" s="1768"/>
      <c r="E958" s="1768"/>
      <c r="F958" s="80"/>
      <c r="G958" s="80"/>
      <c r="H958" s="80"/>
      <c r="I958" s="80"/>
      <c r="J958" s="81">
        <v>390.1</v>
      </c>
      <c r="K958" s="80"/>
      <c r="L958" s="81">
        <v>65.459999999999994</v>
      </c>
      <c r="M958" s="82"/>
      <c r="N958" s="83"/>
      <c r="AA958" s="43" t="s">
        <v>312</v>
      </c>
    </row>
    <row r="959" spans="1:31" s="40" customFormat="1" x14ac:dyDescent="0.2">
      <c r="A959" s="79"/>
      <c r="B959" s="78" t="s">
        <v>186</v>
      </c>
      <c r="C959" s="1768" t="s">
        <v>344</v>
      </c>
      <c r="D959" s="1768"/>
      <c r="E959" s="1768"/>
      <c r="F959" s="80"/>
      <c r="G959" s="80"/>
      <c r="H959" s="80"/>
      <c r="I959" s="80"/>
      <c r="J959" s="81">
        <v>204.08</v>
      </c>
      <c r="K959" s="80"/>
      <c r="L959" s="81">
        <v>34.24</v>
      </c>
      <c r="M959" s="82"/>
      <c r="N959" s="83"/>
      <c r="AA959" s="43" t="s">
        <v>344</v>
      </c>
    </row>
    <row r="960" spans="1:31" s="40" customFormat="1" x14ac:dyDescent="0.2">
      <c r="A960" s="79"/>
      <c r="B960" s="78" t="s">
        <v>187</v>
      </c>
      <c r="C960" s="1768" t="s">
        <v>345</v>
      </c>
      <c r="D960" s="1768"/>
      <c r="E960" s="1768"/>
      <c r="F960" s="80"/>
      <c r="G960" s="80"/>
      <c r="H960" s="80"/>
      <c r="I960" s="80"/>
      <c r="J960" s="81">
        <v>30.77</v>
      </c>
      <c r="K960" s="80"/>
      <c r="L960" s="81">
        <v>5.16</v>
      </c>
      <c r="M960" s="82"/>
      <c r="N960" s="83"/>
      <c r="AA960" s="43" t="s">
        <v>345</v>
      </c>
    </row>
    <row r="961" spans="1:31" s="40" customFormat="1" x14ac:dyDescent="0.2">
      <c r="A961" s="79"/>
      <c r="B961" s="78" t="s">
        <v>188</v>
      </c>
      <c r="C961" s="1768" t="s">
        <v>475</v>
      </c>
      <c r="D961" s="1768"/>
      <c r="E961" s="1768"/>
      <c r="F961" s="80"/>
      <c r="G961" s="80"/>
      <c r="H961" s="80"/>
      <c r="I961" s="80"/>
      <c r="J961" s="81">
        <v>16057.11</v>
      </c>
      <c r="K961" s="80"/>
      <c r="L961" s="81">
        <v>2694.38</v>
      </c>
      <c r="M961" s="82"/>
      <c r="N961" s="83"/>
      <c r="AA961" s="43" t="s">
        <v>475</v>
      </c>
    </row>
    <row r="962" spans="1:31" s="40" customFormat="1" x14ac:dyDescent="0.2">
      <c r="A962" s="79"/>
      <c r="B962" s="78"/>
      <c r="C962" s="1768" t="s">
        <v>314</v>
      </c>
      <c r="D962" s="1768"/>
      <c r="E962" s="1768"/>
      <c r="F962" s="80" t="s">
        <v>315</v>
      </c>
      <c r="G962" s="80" t="s">
        <v>3458</v>
      </c>
      <c r="H962" s="80"/>
      <c r="I962" s="80" t="s">
        <v>3660</v>
      </c>
      <c r="J962" s="81"/>
      <c r="K962" s="80"/>
      <c r="L962" s="81"/>
      <c r="M962" s="82"/>
      <c r="N962" s="83"/>
      <c r="AB962" s="43" t="s">
        <v>314</v>
      </c>
    </row>
    <row r="963" spans="1:31" s="40" customFormat="1" x14ac:dyDescent="0.2">
      <c r="A963" s="79"/>
      <c r="B963" s="78"/>
      <c r="C963" s="1768" t="s">
        <v>348</v>
      </c>
      <c r="D963" s="1768"/>
      <c r="E963" s="1768"/>
      <c r="F963" s="80" t="s">
        <v>315</v>
      </c>
      <c r="G963" s="80" t="s">
        <v>3460</v>
      </c>
      <c r="H963" s="80"/>
      <c r="I963" s="80" t="s">
        <v>3661</v>
      </c>
      <c r="J963" s="81"/>
      <c r="K963" s="80"/>
      <c r="L963" s="81"/>
      <c r="M963" s="82"/>
      <c r="N963" s="83"/>
      <c r="AB963" s="43" t="s">
        <v>348</v>
      </c>
    </row>
    <row r="964" spans="1:31" s="40" customFormat="1" x14ac:dyDescent="0.2">
      <c r="A964" s="79"/>
      <c r="B964" s="78"/>
      <c r="C964" s="1780" t="s">
        <v>318</v>
      </c>
      <c r="D964" s="1780"/>
      <c r="E964" s="1780"/>
      <c r="F964" s="84"/>
      <c r="G964" s="84"/>
      <c r="H964" s="84"/>
      <c r="I964" s="84"/>
      <c r="J964" s="85">
        <v>16651.29</v>
      </c>
      <c r="K964" s="84"/>
      <c r="L964" s="85">
        <v>2794.08</v>
      </c>
      <c r="M964" s="86"/>
      <c r="N964" s="87"/>
      <c r="AC964" s="43" t="s">
        <v>318</v>
      </c>
    </row>
    <row r="965" spans="1:31" s="40" customFormat="1" x14ac:dyDescent="0.2">
      <c r="A965" s="79"/>
      <c r="B965" s="78"/>
      <c r="C965" s="1768" t="s">
        <v>319</v>
      </c>
      <c r="D965" s="1768"/>
      <c r="E965" s="1768"/>
      <c r="F965" s="80"/>
      <c r="G965" s="80"/>
      <c r="H965" s="80"/>
      <c r="I965" s="80"/>
      <c r="J965" s="81"/>
      <c r="K965" s="80"/>
      <c r="L965" s="81">
        <v>70.62</v>
      </c>
      <c r="M965" s="82"/>
      <c r="N965" s="83"/>
      <c r="AB965" s="43" t="s">
        <v>319</v>
      </c>
    </row>
    <row r="966" spans="1:31" s="40" customFormat="1" ht="45" x14ac:dyDescent="0.2">
      <c r="A966" s="79"/>
      <c r="B966" s="78" t="s">
        <v>3462</v>
      </c>
      <c r="C966" s="1768" t="s">
        <v>3463</v>
      </c>
      <c r="D966" s="1768"/>
      <c r="E966" s="1768"/>
      <c r="F966" s="80" t="s">
        <v>322</v>
      </c>
      <c r="G966" s="80" t="s">
        <v>3039</v>
      </c>
      <c r="H966" s="80"/>
      <c r="I966" s="80" t="s">
        <v>3039</v>
      </c>
      <c r="J966" s="81"/>
      <c r="K966" s="80"/>
      <c r="L966" s="81">
        <v>81.92</v>
      </c>
      <c r="M966" s="82"/>
      <c r="N966" s="83"/>
      <c r="AB966" s="43" t="s">
        <v>3463</v>
      </c>
    </row>
    <row r="967" spans="1:31" s="40" customFormat="1" ht="45" x14ac:dyDescent="0.2">
      <c r="A967" s="79"/>
      <c r="B967" s="78" t="s">
        <v>3464</v>
      </c>
      <c r="C967" s="1768" t="s">
        <v>3465</v>
      </c>
      <c r="D967" s="1768"/>
      <c r="E967" s="1768"/>
      <c r="F967" s="80" t="s">
        <v>322</v>
      </c>
      <c r="G967" s="80" t="s">
        <v>1540</v>
      </c>
      <c r="H967" s="80"/>
      <c r="I967" s="80" t="s">
        <v>1540</v>
      </c>
      <c r="J967" s="81"/>
      <c r="K967" s="80"/>
      <c r="L967" s="81">
        <v>56.5</v>
      </c>
      <c r="M967" s="82"/>
      <c r="N967" s="83"/>
      <c r="AB967" s="43" t="s">
        <v>3465</v>
      </c>
    </row>
    <row r="968" spans="1:31" s="40" customFormat="1" x14ac:dyDescent="0.2">
      <c r="A968" s="88"/>
      <c r="B968" s="89"/>
      <c r="C968" s="1785" t="s">
        <v>327</v>
      </c>
      <c r="D968" s="1785"/>
      <c r="E968" s="1785"/>
      <c r="F968" s="71"/>
      <c r="G968" s="71"/>
      <c r="H968" s="71"/>
      <c r="I968" s="71"/>
      <c r="J968" s="72"/>
      <c r="K968" s="71"/>
      <c r="L968" s="72">
        <v>2932.5</v>
      </c>
      <c r="M968" s="86"/>
      <c r="N968" s="74"/>
      <c r="AD968" s="43" t="s">
        <v>327</v>
      </c>
    </row>
    <row r="969" spans="1:31" s="40" customFormat="1" x14ac:dyDescent="0.2">
      <c r="A969" s="1801" t="s">
        <v>3644</v>
      </c>
      <c r="B969" s="1802"/>
      <c r="C969" s="1802"/>
      <c r="D969" s="1802"/>
      <c r="E969" s="1802"/>
      <c r="F969" s="1802"/>
      <c r="G969" s="1802"/>
      <c r="H969" s="1802"/>
      <c r="I969" s="1802"/>
      <c r="J969" s="1802"/>
      <c r="K969" s="1802"/>
      <c r="L969" s="1802"/>
      <c r="M969" s="1802"/>
      <c r="N969" s="1803"/>
      <c r="W969" s="43" t="s">
        <v>3644</v>
      </c>
    </row>
    <row r="970" spans="1:31" s="40" customFormat="1" ht="22.5" x14ac:dyDescent="0.2">
      <c r="A970" s="69" t="s">
        <v>559</v>
      </c>
      <c r="B970" s="70" t="s">
        <v>3645</v>
      </c>
      <c r="C970" s="1785" t="s">
        <v>3646</v>
      </c>
      <c r="D970" s="1785"/>
      <c r="E970" s="1785"/>
      <c r="F970" s="71" t="s">
        <v>307</v>
      </c>
      <c r="G970" s="71"/>
      <c r="H970" s="71"/>
      <c r="I970" s="71" t="s">
        <v>809</v>
      </c>
      <c r="J970" s="72"/>
      <c r="K970" s="71"/>
      <c r="L970" s="72"/>
      <c r="M970" s="73"/>
      <c r="N970" s="74"/>
      <c r="X970" s="43" t="s">
        <v>3646</v>
      </c>
    </row>
    <row r="971" spans="1:31" s="40" customFormat="1" x14ac:dyDescent="0.2">
      <c r="A971" s="75"/>
      <c r="B971" s="76"/>
      <c r="C971" s="1768" t="s">
        <v>843</v>
      </c>
      <c r="D971" s="1768"/>
      <c r="E971" s="1768"/>
      <c r="F971" s="1768"/>
      <c r="G971" s="1768"/>
      <c r="H971" s="1768"/>
      <c r="I971" s="1768"/>
      <c r="J971" s="1768"/>
      <c r="K971" s="1768"/>
      <c r="L971" s="1768"/>
      <c r="M971" s="1768"/>
      <c r="N971" s="1779"/>
      <c r="Y971" s="43" t="s">
        <v>843</v>
      </c>
    </row>
    <row r="972" spans="1:31" s="40" customFormat="1" ht="33.75" x14ac:dyDescent="0.2">
      <c r="A972" s="77"/>
      <c r="B972" s="78" t="s">
        <v>310</v>
      </c>
      <c r="C972" s="1768" t="s">
        <v>311</v>
      </c>
      <c r="D972" s="1768"/>
      <c r="E972" s="1768"/>
      <c r="F972" s="1768"/>
      <c r="G972" s="1768"/>
      <c r="H972" s="1768"/>
      <c r="I972" s="1768"/>
      <c r="J972" s="1768"/>
      <c r="K972" s="1768"/>
      <c r="L972" s="1768"/>
      <c r="M972" s="1768"/>
      <c r="N972" s="1779"/>
      <c r="Z972" s="43" t="s">
        <v>311</v>
      </c>
    </row>
    <row r="973" spans="1:31" s="40" customFormat="1" x14ac:dyDescent="0.2">
      <c r="A973" s="79"/>
      <c r="B973" s="78" t="s">
        <v>185</v>
      </c>
      <c r="C973" s="1768" t="s">
        <v>312</v>
      </c>
      <c r="D973" s="1768"/>
      <c r="E973" s="1768"/>
      <c r="F973" s="80"/>
      <c r="G973" s="80"/>
      <c r="H973" s="80"/>
      <c r="I973" s="80"/>
      <c r="J973" s="81">
        <v>105.43</v>
      </c>
      <c r="K973" s="80" t="s">
        <v>313</v>
      </c>
      <c r="L973" s="81">
        <v>1.32</v>
      </c>
      <c r="M973" s="82"/>
      <c r="N973" s="83"/>
      <c r="AA973" s="43" t="s">
        <v>312</v>
      </c>
    </row>
    <row r="974" spans="1:31" s="40" customFormat="1" x14ac:dyDescent="0.2">
      <c r="A974" s="79"/>
      <c r="B974" s="78" t="s">
        <v>186</v>
      </c>
      <c r="C974" s="1768" t="s">
        <v>344</v>
      </c>
      <c r="D974" s="1768"/>
      <c r="E974" s="1768"/>
      <c r="F974" s="80"/>
      <c r="G974" s="80"/>
      <c r="H974" s="80"/>
      <c r="I974" s="80"/>
      <c r="J974" s="81">
        <v>674.16</v>
      </c>
      <c r="K974" s="80" t="s">
        <v>313</v>
      </c>
      <c r="L974" s="81">
        <v>8.43</v>
      </c>
      <c r="M974" s="82"/>
      <c r="N974" s="83"/>
      <c r="AA974" s="43" t="s">
        <v>344</v>
      </c>
    </row>
    <row r="975" spans="1:31" s="40" customFormat="1" x14ac:dyDescent="0.2">
      <c r="A975" s="79"/>
      <c r="B975" s="78" t="s">
        <v>187</v>
      </c>
      <c r="C975" s="1768" t="s">
        <v>345</v>
      </c>
      <c r="D975" s="1768"/>
      <c r="E975" s="1768"/>
      <c r="F975" s="80"/>
      <c r="G975" s="80"/>
      <c r="H975" s="80"/>
      <c r="I975" s="80"/>
      <c r="J975" s="81">
        <v>69.599999999999994</v>
      </c>
      <c r="K975" s="80" t="s">
        <v>313</v>
      </c>
      <c r="L975" s="81">
        <v>0.87</v>
      </c>
      <c r="M975" s="82"/>
      <c r="N975" s="83"/>
      <c r="AA975" s="43" t="s">
        <v>345</v>
      </c>
    </row>
    <row r="976" spans="1:31" s="40" customFormat="1" ht="22.5" x14ac:dyDescent="0.2">
      <c r="A976" s="75"/>
      <c r="B976" s="114" t="s">
        <v>3647</v>
      </c>
      <c r="C976" s="1804" t="s">
        <v>3648</v>
      </c>
      <c r="D976" s="1804"/>
      <c r="E976" s="1804"/>
      <c r="F976" s="115" t="s">
        <v>638</v>
      </c>
      <c r="G976" s="115" t="s">
        <v>844</v>
      </c>
      <c r="H976" s="115"/>
      <c r="I976" s="115" t="s">
        <v>185</v>
      </c>
      <c r="J976" s="78"/>
      <c r="K976" s="80"/>
      <c r="L976" s="81"/>
      <c r="M976" s="80"/>
      <c r="N976" s="116"/>
      <c r="AE976" s="43" t="s">
        <v>3648</v>
      </c>
    </row>
    <row r="977" spans="1:34" s="40" customFormat="1" x14ac:dyDescent="0.2">
      <c r="A977" s="79"/>
      <c r="B977" s="78"/>
      <c r="C977" s="1768" t="s">
        <v>314</v>
      </c>
      <c r="D977" s="1768"/>
      <c r="E977" s="1768"/>
      <c r="F977" s="80" t="s">
        <v>315</v>
      </c>
      <c r="G977" s="80" t="s">
        <v>3649</v>
      </c>
      <c r="H977" s="80" t="s">
        <v>313</v>
      </c>
      <c r="I977" s="80" t="s">
        <v>3650</v>
      </c>
      <c r="J977" s="81"/>
      <c r="K977" s="80"/>
      <c r="L977" s="81"/>
      <c r="M977" s="82"/>
      <c r="N977" s="83"/>
      <c r="AB977" s="43" t="s">
        <v>314</v>
      </c>
    </row>
    <row r="978" spans="1:34" s="40" customFormat="1" x14ac:dyDescent="0.2">
      <c r="A978" s="79"/>
      <c r="B978" s="78"/>
      <c r="C978" s="1768" t="s">
        <v>348</v>
      </c>
      <c r="D978" s="1768"/>
      <c r="E978" s="1768"/>
      <c r="F978" s="80" t="s">
        <v>315</v>
      </c>
      <c r="G978" s="80" t="s">
        <v>190</v>
      </c>
      <c r="H978" s="80" t="s">
        <v>313</v>
      </c>
      <c r="I978" s="80" t="s">
        <v>2219</v>
      </c>
      <c r="J978" s="81"/>
      <c r="K978" s="80"/>
      <c r="L978" s="81"/>
      <c r="M978" s="82"/>
      <c r="N978" s="83"/>
      <c r="AB978" s="43" t="s">
        <v>348</v>
      </c>
    </row>
    <row r="979" spans="1:34" s="40" customFormat="1" x14ac:dyDescent="0.2">
      <c r="A979" s="79"/>
      <c r="B979" s="78"/>
      <c r="C979" s="1780" t="s">
        <v>318</v>
      </c>
      <c r="D979" s="1780"/>
      <c r="E979" s="1780"/>
      <c r="F979" s="84"/>
      <c r="G979" s="84"/>
      <c r="H979" s="84"/>
      <c r="I979" s="84"/>
      <c r="J979" s="85">
        <v>779.59</v>
      </c>
      <c r="K979" s="84"/>
      <c r="L979" s="85">
        <v>9.75</v>
      </c>
      <c r="M979" s="86"/>
      <c r="N979" s="87"/>
      <c r="AC979" s="43" t="s">
        <v>318</v>
      </c>
    </row>
    <row r="980" spans="1:34" s="40" customFormat="1" x14ac:dyDescent="0.2">
      <c r="A980" s="79"/>
      <c r="B980" s="78"/>
      <c r="C980" s="1768" t="s">
        <v>319</v>
      </c>
      <c r="D980" s="1768"/>
      <c r="E980" s="1768"/>
      <c r="F980" s="80"/>
      <c r="G980" s="80"/>
      <c r="H980" s="80"/>
      <c r="I980" s="80"/>
      <c r="J980" s="81"/>
      <c r="K980" s="80"/>
      <c r="L980" s="81">
        <v>2.19</v>
      </c>
      <c r="M980" s="82"/>
      <c r="N980" s="83"/>
      <c r="AB980" s="43" t="s">
        <v>319</v>
      </c>
    </row>
    <row r="981" spans="1:34" s="40" customFormat="1" ht="33.75" x14ac:dyDescent="0.2">
      <c r="A981" s="79"/>
      <c r="B981" s="78" t="s">
        <v>741</v>
      </c>
      <c r="C981" s="1768" t="s">
        <v>742</v>
      </c>
      <c r="D981" s="1768"/>
      <c r="E981" s="1768"/>
      <c r="F981" s="80" t="s">
        <v>322</v>
      </c>
      <c r="G981" s="80" t="s">
        <v>743</v>
      </c>
      <c r="H981" s="80"/>
      <c r="I981" s="80" t="s">
        <v>743</v>
      </c>
      <c r="J981" s="81"/>
      <c r="K981" s="80"/>
      <c r="L981" s="81">
        <v>2.15</v>
      </c>
      <c r="M981" s="82"/>
      <c r="N981" s="83"/>
      <c r="AB981" s="43" t="s">
        <v>742</v>
      </c>
    </row>
    <row r="982" spans="1:34" s="40" customFormat="1" ht="33.75" x14ac:dyDescent="0.2">
      <c r="A982" s="79"/>
      <c r="B982" s="78" t="s">
        <v>744</v>
      </c>
      <c r="C982" s="1768" t="s">
        <v>745</v>
      </c>
      <c r="D982" s="1768"/>
      <c r="E982" s="1768"/>
      <c r="F982" s="80" t="s">
        <v>322</v>
      </c>
      <c r="G982" s="80" t="s">
        <v>690</v>
      </c>
      <c r="H982" s="80"/>
      <c r="I982" s="80" t="s">
        <v>690</v>
      </c>
      <c r="J982" s="81"/>
      <c r="K982" s="80"/>
      <c r="L982" s="81">
        <v>1.27</v>
      </c>
      <c r="M982" s="82"/>
      <c r="N982" s="83"/>
      <c r="AB982" s="43" t="s">
        <v>745</v>
      </c>
    </row>
    <row r="983" spans="1:34" s="40" customFormat="1" x14ac:dyDescent="0.2">
      <c r="A983" s="88"/>
      <c r="B983" s="89"/>
      <c r="C983" s="1785" t="s">
        <v>327</v>
      </c>
      <c r="D983" s="1785"/>
      <c r="E983" s="1785"/>
      <c r="F983" s="71"/>
      <c r="G983" s="71"/>
      <c r="H983" s="71"/>
      <c r="I983" s="71"/>
      <c r="J983" s="72"/>
      <c r="K983" s="71"/>
      <c r="L983" s="72">
        <v>13.17</v>
      </c>
      <c r="M983" s="86"/>
      <c r="N983" s="74"/>
      <c r="AD983" s="43" t="s">
        <v>327</v>
      </c>
    </row>
    <row r="984" spans="1:34" s="40" customFormat="1" ht="56.25" x14ac:dyDescent="0.2">
      <c r="A984" s="69" t="s">
        <v>2980</v>
      </c>
      <c r="B984" s="70" t="s">
        <v>3651</v>
      </c>
      <c r="C984" s="1785" t="s">
        <v>3652</v>
      </c>
      <c r="D984" s="1785"/>
      <c r="E984" s="1785"/>
      <c r="F984" s="71" t="s">
        <v>638</v>
      </c>
      <c r="G984" s="71"/>
      <c r="H984" s="71"/>
      <c r="I984" s="71" t="s">
        <v>185</v>
      </c>
      <c r="J984" s="72">
        <v>886.75</v>
      </c>
      <c r="K984" s="71"/>
      <c r="L984" s="72">
        <v>886.75</v>
      </c>
      <c r="M984" s="73"/>
      <c r="N984" s="74"/>
      <c r="X984" s="43" t="s">
        <v>3652</v>
      </c>
    </row>
    <row r="985" spans="1:34" s="40" customFormat="1" x14ac:dyDescent="0.2">
      <c r="A985" s="88"/>
      <c r="B985" s="89"/>
      <c r="C985" s="48" t="s">
        <v>717</v>
      </c>
      <c r="D985" s="117"/>
      <c r="E985" s="117"/>
      <c r="F985" s="90"/>
      <c r="G985" s="90"/>
      <c r="H985" s="90"/>
      <c r="I985" s="90"/>
      <c r="J985" s="118"/>
      <c r="K985" s="90"/>
      <c r="L985" s="118"/>
      <c r="M985" s="119"/>
      <c r="N985" s="120"/>
    </row>
    <row r="986" spans="1:34" s="40" customFormat="1" ht="1.5" customHeight="1" x14ac:dyDescent="0.2">
      <c r="A986" s="90"/>
      <c r="B986" s="89"/>
      <c r="C986" s="89"/>
      <c r="D986" s="89"/>
      <c r="E986" s="89"/>
      <c r="F986" s="90"/>
      <c r="G986" s="90"/>
      <c r="H986" s="90"/>
      <c r="I986" s="90"/>
      <c r="J986" s="91"/>
      <c r="K986" s="90"/>
      <c r="L986" s="91"/>
      <c r="M986" s="80"/>
      <c r="N986" s="91"/>
    </row>
    <row r="987" spans="1:34" s="40" customFormat="1" x14ac:dyDescent="0.2">
      <c r="A987" s="92"/>
      <c r="B987" s="93"/>
      <c r="C987" s="1785" t="s">
        <v>3671</v>
      </c>
      <c r="D987" s="1785"/>
      <c r="E987" s="1785"/>
      <c r="F987" s="1785"/>
      <c r="G987" s="1785"/>
      <c r="H987" s="1785"/>
      <c r="I987" s="1785"/>
      <c r="J987" s="1785"/>
      <c r="K987" s="1785"/>
      <c r="L987" s="94"/>
      <c r="M987" s="95"/>
      <c r="N987" s="96"/>
      <c r="AG987" s="43" t="s">
        <v>3671</v>
      </c>
    </row>
    <row r="988" spans="1:34" s="40" customFormat="1" x14ac:dyDescent="0.2">
      <c r="A988" s="97"/>
      <c r="B988" s="78"/>
      <c r="C988" s="1768" t="s">
        <v>403</v>
      </c>
      <c r="D988" s="1768"/>
      <c r="E988" s="1768"/>
      <c r="F988" s="1768"/>
      <c r="G988" s="1768"/>
      <c r="H988" s="1768"/>
      <c r="I988" s="1768"/>
      <c r="J988" s="1768"/>
      <c r="K988" s="1768"/>
      <c r="L988" s="98">
        <v>6483.81</v>
      </c>
      <c r="M988" s="99"/>
      <c r="N988" s="100"/>
      <c r="AH988" s="43" t="s">
        <v>403</v>
      </c>
    </row>
    <row r="989" spans="1:34" s="40" customFormat="1" x14ac:dyDescent="0.2">
      <c r="A989" s="97"/>
      <c r="B989" s="78"/>
      <c r="C989" s="1768" t="s">
        <v>204</v>
      </c>
      <c r="D989" s="1768"/>
      <c r="E989" s="1768"/>
      <c r="F989" s="1768"/>
      <c r="G989" s="1768"/>
      <c r="H989" s="1768"/>
      <c r="I989" s="1768"/>
      <c r="J989" s="1768"/>
      <c r="K989" s="1768"/>
      <c r="L989" s="98"/>
      <c r="M989" s="99"/>
      <c r="N989" s="100"/>
      <c r="AH989" s="43" t="s">
        <v>204</v>
      </c>
    </row>
    <row r="990" spans="1:34" s="40" customFormat="1" x14ac:dyDescent="0.2">
      <c r="A990" s="97"/>
      <c r="B990" s="78"/>
      <c r="C990" s="1768" t="s">
        <v>404</v>
      </c>
      <c r="D990" s="1768"/>
      <c r="E990" s="1768"/>
      <c r="F990" s="1768"/>
      <c r="G990" s="1768"/>
      <c r="H990" s="1768"/>
      <c r="I990" s="1768"/>
      <c r="J990" s="1768"/>
      <c r="K990" s="1768"/>
      <c r="L990" s="98">
        <v>138.05000000000001</v>
      </c>
      <c r="M990" s="99"/>
      <c r="N990" s="100"/>
      <c r="AH990" s="43" t="s">
        <v>404</v>
      </c>
    </row>
    <row r="991" spans="1:34" s="40" customFormat="1" x14ac:dyDescent="0.2">
      <c r="A991" s="97"/>
      <c r="B991" s="78"/>
      <c r="C991" s="1768" t="s">
        <v>405</v>
      </c>
      <c r="D991" s="1768"/>
      <c r="E991" s="1768"/>
      <c r="F991" s="1768"/>
      <c r="G991" s="1768"/>
      <c r="H991" s="1768"/>
      <c r="I991" s="1768"/>
      <c r="J991" s="1768"/>
      <c r="K991" s="1768"/>
      <c r="L991" s="98">
        <v>232.59</v>
      </c>
      <c r="M991" s="99"/>
      <c r="N991" s="100"/>
      <c r="AH991" s="43" t="s">
        <v>405</v>
      </c>
    </row>
    <row r="992" spans="1:34" s="40" customFormat="1" x14ac:dyDescent="0.2">
      <c r="A992" s="97"/>
      <c r="B992" s="78"/>
      <c r="C992" s="1768" t="s">
        <v>406</v>
      </c>
      <c r="D992" s="1768"/>
      <c r="E992" s="1768"/>
      <c r="F992" s="1768"/>
      <c r="G992" s="1768"/>
      <c r="H992" s="1768"/>
      <c r="I992" s="1768"/>
      <c r="J992" s="1768"/>
      <c r="K992" s="1768"/>
      <c r="L992" s="98">
        <v>29.35</v>
      </c>
      <c r="M992" s="99"/>
      <c r="N992" s="100"/>
      <c r="AH992" s="43" t="s">
        <v>406</v>
      </c>
    </row>
    <row r="993" spans="1:35" s="40" customFormat="1" x14ac:dyDescent="0.2">
      <c r="A993" s="97"/>
      <c r="B993" s="78"/>
      <c r="C993" s="1768" t="s">
        <v>480</v>
      </c>
      <c r="D993" s="1768"/>
      <c r="E993" s="1768"/>
      <c r="F993" s="1768"/>
      <c r="G993" s="1768"/>
      <c r="H993" s="1768"/>
      <c r="I993" s="1768"/>
      <c r="J993" s="1768"/>
      <c r="K993" s="1768"/>
      <c r="L993" s="98">
        <v>6113.17</v>
      </c>
      <c r="M993" s="99"/>
      <c r="N993" s="100"/>
      <c r="AH993" s="43" t="s">
        <v>480</v>
      </c>
    </row>
    <row r="994" spans="1:35" s="40" customFormat="1" x14ac:dyDescent="0.2">
      <c r="A994" s="97"/>
      <c r="B994" s="78"/>
      <c r="C994" s="1768" t="s">
        <v>407</v>
      </c>
      <c r="D994" s="1768"/>
      <c r="E994" s="1768"/>
      <c r="F994" s="1768"/>
      <c r="G994" s="1768"/>
      <c r="H994" s="1768"/>
      <c r="I994" s="1768"/>
      <c r="J994" s="1768"/>
      <c r="K994" s="1768"/>
      <c r="L994" s="98">
        <v>6774.74</v>
      </c>
      <c r="M994" s="99"/>
      <c r="N994" s="100"/>
      <c r="AH994" s="43" t="s">
        <v>407</v>
      </c>
    </row>
    <row r="995" spans="1:35" s="40" customFormat="1" x14ac:dyDescent="0.2">
      <c r="A995" s="97"/>
      <c r="B995" s="78" t="s">
        <v>185</v>
      </c>
      <c r="C995" s="1768" t="s">
        <v>408</v>
      </c>
      <c r="D995" s="1768"/>
      <c r="E995" s="1768"/>
      <c r="F995" s="1768"/>
      <c r="G995" s="1768"/>
      <c r="H995" s="1768"/>
      <c r="I995" s="1768"/>
      <c r="J995" s="1768"/>
      <c r="K995" s="1768"/>
      <c r="L995" s="98">
        <v>6753.52</v>
      </c>
      <c r="M995" s="99"/>
      <c r="N995" s="100"/>
      <c r="AH995" s="43" t="s">
        <v>408</v>
      </c>
    </row>
    <row r="996" spans="1:35" s="40" customFormat="1" x14ac:dyDescent="0.2">
      <c r="A996" s="97"/>
      <c r="B996" s="78"/>
      <c r="C996" s="1768" t="s">
        <v>409</v>
      </c>
      <c r="D996" s="1768"/>
      <c r="E996" s="1768"/>
      <c r="F996" s="1768"/>
      <c r="G996" s="1768"/>
      <c r="H996" s="1768"/>
      <c r="I996" s="1768"/>
      <c r="J996" s="1768"/>
      <c r="K996" s="1768"/>
      <c r="L996" s="98"/>
      <c r="M996" s="99"/>
      <c r="N996" s="100"/>
      <c r="AH996" s="43" t="s">
        <v>409</v>
      </c>
    </row>
    <row r="997" spans="1:35" s="40" customFormat="1" x14ac:dyDescent="0.2">
      <c r="A997" s="97"/>
      <c r="B997" s="78"/>
      <c r="C997" s="1768" t="s">
        <v>410</v>
      </c>
      <c r="D997" s="1768"/>
      <c r="E997" s="1768"/>
      <c r="F997" s="1768"/>
      <c r="G997" s="1768"/>
      <c r="H997" s="1768"/>
      <c r="I997" s="1768"/>
      <c r="J997" s="1768"/>
      <c r="K997" s="1768"/>
      <c r="L997" s="98">
        <v>138.05000000000001</v>
      </c>
      <c r="M997" s="99"/>
      <c r="N997" s="100"/>
      <c r="AH997" s="43" t="s">
        <v>410</v>
      </c>
    </row>
    <row r="998" spans="1:35" s="40" customFormat="1" x14ac:dyDescent="0.2">
      <c r="A998" s="97"/>
      <c r="B998" s="78"/>
      <c r="C998" s="1768" t="s">
        <v>411</v>
      </c>
      <c r="D998" s="1768"/>
      <c r="E998" s="1768"/>
      <c r="F998" s="1768"/>
      <c r="G998" s="1768"/>
      <c r="H998" s="1768"/>
      <c r="I998" s="1768"/>
      <c r="J998" s="1768"/>
      <c r="K998" s="1768"/>
      <c r="L998" s="98">
        <v>211.37</v>
      </c>
      <c r="M998" s="99"/>
      <c r="N998" s="100"/>
      <c r="AH998" s="43" t="s">
        <v>411</v>
      </c>
    </row>
    <row r="999" spans="1:35" s="40" customFormat="1" x14ac:dyDescent="0.2">
      <c r="A999" s="97"/>
      <c r="B999" s="78"/>
      <c r="C999" s="1768" t="s">
        <v>481</v>
      </c>
      <c r="D999" s="1768"/>
      <c r="E999" s="1768"/>
      <c r="F999" s="1768"/>
      <c r="G999" s="1768"/>
      <c r="H999" s="1768"/>
      <c r="I999" s="1768"/>
      <c r="J999" s="1768"/>
      <c r="K999" s="1768"/>
      <c r="L999" s="98">
        <v>6113.17</v>
      </c>
      <c r="M999" s="99"/>
      <c r="N999" s="100"/>
      <c r="AH999" s="43" t="s">
        <v>481</v>
      </c>
    </row>
    <row r="1000" spans="1:35" s="40" customFormat="1" x14ac:dyDescent="0.2">
      <c r="A1000" s="97"/>
      <c r="B1000" s="78"/>
      <c r="C1000" s="1768" t="s">
        <v>412</v>
      </c>
      <c r="D1000" s="1768"/>
      <c r="E1000" s="1768"/>
      <c r="F1000" s="1768"/>
      <c r="G1000" s="1768"/>
      <c r="H1000" s="1768"/>
      <c r="I1000" s="1768"/>
      <c r="J1000" s="1768"/>
      <c r="K1000" s="1768"/>
      <c r="L1000" s="98">
        <v>179.52</v>
      </c>
      <c r="M1000" s="99"/>
      <c r="N1000" s="100"/>
      <c r="AH1000" s="43" t="s">
        <v>412</v>
      </c>
    </row>
    <row r="1001" spans="1:35" s="40" customFormat="1" x14ac:dyDescent="0.2">
      <c r="A1001" s="97"/>
      <c r="B1001" s="78"/>
      <c r="C1001" s="1768" t="s">
        <v>413</v>
      </c>
      <c r="D1001" s="1768"/>
      <c r="E1001" s="1768"/>
      <c r="F1001" s="1768"/>
      <c r="G1001" s="1768"/>
      <c r="H1001" s="1768"/>
      <c r="I1001" s="1768"/>
      <c r="J1001" s="1768"/>
      <c r="K1001" s="1768"/>
      <c r="L1001" s="98">
        <v>111.41</v>
      </c>
      <c r="M1001" s="99"/>
      <c r="N1001" s="100"/>
      <c r="AH1001" s="43" t="s">
        <v>413</v>
      </c>
    </row>
    <row r="1002" spans="1:35" s="40" customFormat="1" x14ac:dyDescent="0.2">
      <c r="A1002" s="97"/>
      <c r="B1002" s="78" t="s">
        <v>185</v>
      </c>
      <c r="C1002" s="1768" t="s">
        <v>414</v>
      </c>
      <c r="D1002" s="1768"/>
      <c r="E1002" s="1768"/>
      <c r="F1002" s="1768"/>
      <c r="G1002" s="1768"/>
      <c r="H1002" s="1768"/>
      <c r="I1002" s="1768"/>
      <c r="J1002" s="1768"/>
      <c r="K1002" s="1768"/>
      <c r="L1002" s="98">
        <v>21.22</v>
      </c>
      <c r="M1002" s="99"/>
      <c r="N1002" s="100"/>
      <c r="AH1002" s="43" t="s">
        <v>414</v>
      </c>
    </row>
    <row r="1003" spans="1:35" s="40" customFormat="1" x14ac:dyDescent="0.2">
      <c r="A1003" s="97"/>
      <c r="B1003" s="78"/>
      <c r="C1003" s="1768" t="s">
        <v>415</v>
      </c>
      <c r="D1003" s="1768"/>
      <c r="E1003" s="1768"/>
      <c r="F1003" s="1768"/>
      <c r="G1003" s="1768"/>
      <c r="H1003" s="1768"/>
      <c r="I1003" s="1768"/>
      <c r="J1003" s="1768"/>
      <c r="K1003" s="1768"/>
      <c r="L1003" s="98">
        <v>167.4</v>
      </c>
      <c r="M1003" s="99"/>
      <c r="N1003" s="100"/>
      <c r="AH1003" s="43" t="s">
        <v>415</v>
      </c>
    </row>
    <row r="1004" spans="1:35" s="40" customFormat="1" x14ac:dyDescent="0.2">
      <c r="A1004" s="97"/>
      <c r="B1004" s="78"/>
      <c r="C1004" s="1768" t="s">
        <v>416</v>
      </c>
      <c r="D1004" s="1768"/>
      <c r="E1004" s="1768"/>
      <c r="F1004" s="1768"/>
      <c r="G1004" s="1768"/>
      <c r="H1004" s="1768"/>
      <c r="I1004" s="1768"/>
      <c r="J1004" s="1768"/>
      <c r="K1004" s="1768"/>
      <c r="L1004" s="98">
        <v>179.52</v>
      </c>
      <c r="M1004" s="99"/>
      <c r="N1004" s="100"/>
      <c r="AH1004" s="43" t="s">
        <v>416</v>
      </c>
    </row>
    <row r="1005" spans="1:35" s="40" customFormat="1" x14ac:dyDescent="0.2">
      <c r="A1005" s="97"/>
      <c r="B1005" s="78"/>
      <c r="C1005" s="1768" t="s">
        <v>417</v>
      </c>
      <c r="D1005" s="1768"/>
      <c r="E1005" s="1768"/>
      <c r="F1005" s="1768"/>
      <c r="G1005" s="1768"/>
      <c r="H1005" s="1768"/>
      <c r="I1005" s="1768"/>
      <c r="J1005" s="1768"/>
      <c r="K1005" s="1768"/>
      <c r="L1005" s="98">
        <v>111.41</v>
      </c>
      <c r="M1005" s="99"/>
      <c r="N1005" s="100"/>
      <c r="AH1005" s="43" t="s">
        <v>417</v>
      </c>
    </row>
    <row r="1006" spans="1:35" s="40" customFormat="1" x14ac:dyDescent="0.2">
      <c r="A1006" s="97"/>
      <c r="B1006" s="91"/>
      <c r="C1006" s="1787" t="s">
        <v>3672</v>
      </c>
      <c r="D1006" s="1787"/>
      <c r="E1006" s="1787"/>
      <c r="F1006" s="1787"/>
      <c r="G1006" s="1787"/>
      <c r="H1006" s="1787"/>
      <c r="I1006" s="1787"/>
      <c r="J1006" s="1787"/>
      <c r="K1006" s="1787"/>
      <c r="L1006" s="102">
        <v>6774.74</v>
      </c>
      <c r="M1006" s="103"/>
      <c r="N1006" s="104"/>
      <c r="AI1006" s="43" t="s">
        <v>3672</v>
      </c>
    </row>
    <row r="1007" spans="1:35" s="40" customFormat="1" ht="12" x14ac:dyDescent="0.2">
      <c r="A1007" s="1782" t="s">
        <v>3673</v>
      </c>
      <c r="B1007" s="1783"/>
      <c r="C1007" s="1783"/>
      <c r="D1007" s="1783"/>
      <c r="E1007" s="1783"/>
      <c r="F1007" s="1783"/>
      <c r="G1007" s="1783"/>
      <c r="H1007" s="1783"/>
      <c r="I1007" s="1783"/>
      <c r="J1007" s="1783"/>
      <c r="K1007" s="1783"/>
      <c r="L1007" s="1783"/>
      <c r="M1007" s="1783"/>
      <c r="N1007" s="1784"/>
      <c r="V1007" s="43" t="s">
        <v>3673</v>
      </c>
    </row>
    <row r="1008" spans="1:35" s="40" customFormat="1" ht="67.5" x14ac:dyDescent="0.2">
      <c r="A1008" s="69" t="s">
        <v>1633</v>
      </c>
      <c r="B1008" s="70" t="s">
        <v>1497</v>
      </c>
      <c r="C1008" s="1785" t="s">
        <v>3674</v>
      </c>
      <c r="D1008" s="1785"/>
      <c r="E1008" s="1785"/>
      <c r="F1008" s="71" t="s">
        <v>201</v>
      </c>
      <c r="G1008" s="71"/>
      <c r="H1008" s="71"/>
      <c r="I1008" s="71" t="s">
        <v>3675</v>
      </c>
      <c r="J1008" s="72">
        <v>76.88</v>
      </c>
      <c r="K1008" s="71"/>
      <c r="L1008" s="72">
        <v>28.6</v>
      </c>
      <c r="M1008" s="73"/>
      <c r="N1008" s="74"/>
      <c r="X1008" s="43" t="s">
        <v>3674</v>
      </c>
    </row>
    <row r="1009" spans="1:37" s="40" customFormat="1" x14ac:dyDescent="0.2">
      <c r="A1009" s="88"/>
      <c r="B1009" s="89"/>
      <c r="C1009" s="48" t="s">
        <v>717</v>
      </c>
      <c r="D1009" s="117"/>
      <c r="E1009" s="117"/>
      <c r="F1009" s="90"/>
      <c r="G1009" s="90"/>
      <c r="H1009" s="90"/>
      <c r="I1009" s="90"/>
      <c r="J1009" s="118"/>
      <c r="K1009" s="90"/>
      <c r="L1009" s="118"/>
      <c r="M1009" s="119"/>
      <c r="N1009" s="120"/>
    </row>
    <row r="1010" spans="1:37" s="40" customFormat="1" x14ac:dyDescent="0.2">
      <c r="A1010" s="75"/>
      <c r="B1010" s="76"/>
      <c r="C1010" s="1768" t="s">
        <v>3676</v>
      </c>
      <c r="D1010" s="1768"/>
      <c r="E1010" s="1768"/>
      <c r="F1010" s="1768"/>
      <c r="G1010" s="1768"/>
      <c r="H1010" s="1768"/>
      <c r="I1010" s="1768"/>
      <c r="J1010" s="1768"/>
      <c r="K1010" s="1768"/>
      <c r="L1010" s="1768"/>
      <c r="M1010" s="1768"/>
      <c r="N1010" s="1779"/>
      <c r="Y1010" s="43" t="s">
        <v>3676</v>
      </c>
    </row>
    <row r="1011" spans="1:37" s="40" customFormat="1" ht="1.5" customHeight="1" x14ac:dyDescent="0.2">
      <c r="A1011" s="90"/>
      <c r="B1011" s="89"/>
      <c r="C1011" s="89"/>
      <c r="D1011" s="89"/>
      <c r="E1011" s="89"/>
      <c r="F1011" s="90"/>
      <c r="G1011" s="90"/>
      <c r="H1011" s="90"/>
      <c r="I1011" s="90"/>
      <c r="J1011" s="91"/>
      <c r="K1011" s="90"/>
      <c r="L1011" s="91"/>
      <c r="M1011" s="80"/>
      <c r="N1011" s="91"/>
    </row>
    <row r="1012" spans="1:37" s="40" customFormat="1" ht="22.5" x14ac:dyDescent="0.2">
      <c r="A1012" s="92"/>
      <c r="B1012" s="93"/>
      <c r="C1012" s="1785" t="s">
        <v>3677</v>
      </c>
      <c r="D1012" s="1785"/>
      <c r="E1012" s="1785"/>
      <c r="F1012" s="1785"/>
      <c r="G1012" s="1785"/>
      <c r="H1012" s="1785"/>
      <c r="I1012" s="1785"/>
      <c r="J1012" s="1785"/>
      <c r="K1012" s="1785"/>
      <c r="L1012" s="94"/>
      <c r="M1012" s="95"/>
      <c r="N1012" s="96"/>
      <c r="AG1012" s="43" t="s">
        <v>3677</v>
      </c>
    </row>
    <row r="1013" spans="1:37" s="40" customFormat="1" x14ac:dyDescent="0.2">
      <c r="A1013" s="97"/>
      <c r="B1013" s="78"/>
      <c r="C1013" s="1768" t="s">
        <v>403</v>
      </c>
      <c r="D1013" s="1768"/>
      <c r="E1013" s="1768"/>
      <c r="F1013" s="1768"/>
      <c r="G1013" s="1768"/>
      <c r="H1013" s="1768"/>
      <c r="I1013" s="1768"/>
      <c r="J1013" s="1768"/>
      <c r="K1013" s="1768"/>
      <c r="L1013" s="98">
        <v>28.6</v>
      </c>
      <c r="M1013" s="99"/>
      <c r="N1013" s="100"/>
      <c r="AH1013" s="43" t="s">
        <v>403</v>
      </c>
    </row>
    <row r="1014" spans="1:37" s="40" customFormat="1" x14ac:dyDescent="0.2">
      <c r="A1014" s="97"/>
      <c r="B1014" s="78"/>
      <c r="C1014" s="1768" t="s">
        <v>204</v>
      </c>
      <c r="D1014" s="1768"/>
      <c r="E1014" s="1768"/>
      <c r="F1014" s="1768"/>
      <c r="G1014" s="1768"/>
      <c r="H1014" s="1768"/>
      <c r="I1014" s="1768"/>
      <c r="J1014" s="1768"/>
      <c r="K1014" s="1768"/>
      <c r="L1014" s="98"/>
      <c r="M1014" s="99"/>
      <c r="N1014" s="100"/>
      <c r="AH1014" s="43" t="s">
        <v>204</v>
      </c>
    </row>
    <row r="1015" spans="1:37" s="40" customFormat="1" x14ac:dyDescent="0.2">
      <c r="A1015" s="97"/>
      <c r="B1015" s="78"/>
      <c r="C1015" s="1768" t="s">
        <v>480</v>
      </c>
      <c r="D1015" s="1768"/>
      <c r="E1015" s="1768"/>
      <c r="F1015" s="1768"/>
      <c r="G1015" s="1768"/>
      <c r="H1015" s="1768"/>
      <c r="I1015" s="1768"/>
      <c r="J1015" s="1768"/>
      <c r="K1015" s="1768"/>
      <c r="L1015" s="98">
        <v>28.6</v>
      </c>
      <c r="M1015" s="99"/>
      <c r="N1015" s="100"/>
      <c r="AH1015" s="43" t="s">
        <v>480</v>
      </c>
    </row>
    <row r="1016" spans="1:37" s="40" customFormat="1" x14ac:dyDescent="0.2">
      <c r="A1016" s="97"/>
      <c r="B1016" s="78" t="s">
        <v>185</v>
      </c>
      <c r="C1016" s="1768" t="s">
        <v>407</v>
      </c>
      <c r="D1016" s="1768"/>
      <c r="E1016" s="1768"/>
      <c r="F1016" s="1768"/>
      <c r="G1016" s="1768"/>
      <c r="H1016" s="1768"/>
      <c r="I1016" s="1768"/>
      <c r="J1016" s="1768"/>
      <c r="K1016" s="1768"/>
      <c r="L1016" s="98">
        <v>28.6</v>
      </c>
      <c r="M1016" s="99"/>
      <c r="N1016" s="100"/>
      <c r="AH1016" s="43" t="s">
        <v>407</v>
      </c>
    </row>
    <row r="1017" spans="1:37" s="40" customFormat="1" x14ac:dyDescent="0.2">
      <c r="A1017" s="97"/>
      <c r="B1017" s="78"/>
      <c r="C1017" s="1768" t="s">
        <v>204</v>
      </c>
      <c r="D1017" s="1768"/>
      <c r="E1017" s="1768"/>
      <c r="F1017" s="1768"/>
      <c r="G1017" s="1768"/>
      <c r="H1017" s="1768"/>
      <c r="I1017" s="1768"/>
      <c r="J1017" s="1768"/>
      <c r="K1017" s="1768"/>
      <c r="L1017" s="98"/>
      <c r="M1017" s="99"/>
      <c r="N1017" s="100"/>
      <c r="AH1017" s="43" t="s">
        <v>204</v>
      </c>
    </row>
    <row r="1018" spans="1:37" s="40" customFormat="1" x14ac:dyDescent="0.2">
      <c r="A1018" s="97"/>
      <c r="B1018" s="78"/>
      <c r="C1018" s="1768" t="s">
        <v>547</v>
      </c>
      <c r="D1018" s="1768"/>
      <c r="E1018" s="1768"/>
      <c r="F1018" s="1768"/>
      <c r="G1018" s="1768"/>
      <c r="H1018" s="1768"/>
      <c r="I1018" s="1768"/>
      <c r="J1018" s="1768"/>
      <c r="K1018" s="1768"/>
      <c r="L1018" s="98">
        <v>28.6</v>
      </c>
      <c r="M1018" s="99"/>
      <c r="N1018" s="100"/>
      <c r="AH1018" s="43" t="s">
        <v>547</v>
      </c>
    </row>
    <row r="1019" spans="1:37" s="40" customFormat="1" ht="22.5" x14ac:dyDescent="0.2">
      <c r="A1019" s="97"/>
      <c r="B1019" s="91"/>
      <c r="C1019" s="1787" t="s">
        <v>3678</v>
      </c>
      <c r="D1019" s="1787"/>
      <c r="E1019" s="1787"/>
      <c r="F1019" s="1787"/>
      <c r="G1019" s="1787"/>
      <c r="H1019" s="1787"/>
      <c r="I1019" s="1787"/>
      <c r="J1019" s="1787"/>
      <c r="K1019" s="1787"/>
      <c r="L1019" s="102">
        <v>28.6</v>
      </c>
      <c r="M1019" s="103"/>
      <c r="N1019" s="104"/>
      <c r="AI1019" s="43" t="s">
        <v>3678</v>
      </c>
    </row>
    <row r="1020" spans="1:37" s="40" customFormat="1" ht="2.25" customHeight="1" x14ac:dyDescent="0.2">
      <c r="B1020" s="46"/>
      <c r="C1020" s="46"/>
      <c r="D1020" s="46"/>
      <c r="E1020" s="46"/>
      <c r="F1020" s="46"/>
      <c r="G1020" s="46"/>
      <c r="H1020" s="46"/>
      <c r="I1020" s="46"/>
      <c r="J1020" s="46"/>
      <c r="K1020" s="46"/>
      <c r="L1020" s="105"/>
      <c r="M1020" s="106"/>
      <c r="N1020" s="107"/>
    </row>
    <row r="1021" spans="1:37" s="40" customFormat="1" x14ac:dyDescent="0.2">
      <c r="A1021" s="92"/>
      <c r="B1021" s="93"/>
      <c r="C1021" s="1785" t="s">
        <v>205</v>
      </c>
      <c r="D1021" s="1785"/>
      <c r="E1021" s="1785"/>
      <c r="F1021" s="1785"/>
      <c r="G1021" s="1785"/>
      <c r="H1021" s="1785"/>
      <c r="I1021" s="1785"/>
      <c r="J1021" s="1785"/>
      <c r="K1021" s="1785"/>
      <c r="L1021" s="94"/>
      <c r="M1021" s="95"/>
      <c r="N1021" s="96"/>
      <c r="AJ1021" s="43" t="s">
        <v>205</v>
      </c>
    </row>
    <row r="1022" spans="1:37" s="40" customFormat="1" x14ac:dyDescent="0.2">
      <c r="A1022" s="97"/>
      <c r="B1022" s="78"/>
      <c r="C1022" s="1768" t="s">
        <v>403</v>
      </c>
      <c r="D1022" s="1768"/>
      <c r="E1022" s="1768"/>
      <c r="F1022" s="1768"/>
      <c r="G1022" s="1768"/>
      <c r="H1022" s="1768"/>
      <c r="I1022" s="1768"/>
      <c r="J1022" s="1768"/>
      <c r="K1022" s="1768"/>
      <c r="L1022" s="98">
        <v>38981.32</v>
      </c>
      <c r="M1022" s="99"/>
      <c r="N1022" s="100"/>
      <c r="AK1022" s="43" t="s">
        <v>403</v>
      </c>
    </row>
    <row r="1023" spans="1:37" s="40" customFormat="1" x14ac:dyDescent="0.2">
      <c r="A1023" s="97"/>
      <c r="B1023" s="78"/>
      <c r="C1023" s="1768" t="s">
        <v>204</v>
      </c>
      <c r="D1023" s="1768"/>
      <c r="E1023" s="1768"/>
      <c r="F1023" s="1768"/>
      <c r="G1023" s="1768"/>
      <c r="H1023" s="1768"/>
      <c r="I1023" s="1768"/>
      <c r="J1023" s="1768"/>
      <c r="K1023" s="1768"/>
      <c r="L1023" s="98"/>
      <c r="M1023" s="99"/>
      <c r="N1023" s="100"/>
      <c r="AK1023" s="43" t="s">
        <v>204</v>
      </c>
    </row>
    <row r="1024" spans="1:37" s="40" customFormat="1" x14ac:dyDescent="0.2">
      <c r="A1024" s="97"/>
      <c r="B1024" s="78"/>
      <c r="C1024" s="1768" t="s">
        <v>404</v>
      </c>
      <c r="D1024" s="1768"/>
      <c r="E1024" s="1768"/>
      <c r="F1024" s="1768"/>
      <c r="G1024" s="1768"/>
      <c r="H1024" s="1768"/>
      <c r="I1024" s="1768"/>
      <c r="J1024" s="1768"/>
      <c r="K1024" s="1768"/>
      <c r="L1024" s="98">
        <v>861.02</v>
      </c>
      <c r="M1024" s="99"/>
      <c r="N1024" s="100"/>
      <c r="AK1024" s="43" t="s">
        <v>404</v>
      </c>
    </row>
    <row r="1025" spans="1:38" s="40" customFormat="1" x14ac:dyDescent="0.2">
      <c r="A1025" s="97"/>
      <c r="B1025" s="78"/>
      <c r="C1025" s="1768" t="s">
        <v>405</v>
      </c>
      <c r="D1025" s="1768"/>
      <c r="E1025" s="1768"/>
      <c r="F1025" s="1768"/>
      <c r="G1025" s="1768"/>
      <c r="H1025" s="1768"/>
      <c r="I1025" s="1768"/>
      <c r="J1025" s="1768"/>
      <c r="K1025" s="1768"/>
      <c r="L1025" s="98">
        <v>1412.68</v>
      </c>
      <c r="M1025" s="99"/>
      <c r="N1025" s="100"/>
      <c r="AK1025" s="43" t="s">
        <v>405</v>
      </c>
    </row>
    <row r="1026" spans="1:38" s="40" customFormat="1" x14ac:dyDescent="0.2">
      <c r="A1026" s="97"/>
      <c r="B1026" s="78"/>
      <c r="C1026" s="1768" t="s">
        <v>406</v>
      </c>
      <c r="D1026" s="1768"/>
      <c r="E1026" s="1768"/>
      <c r="F1026" s="1768"/>
      <c r="G1026" s="1768"/>
      <c r="H1026" s="1768"/>
      <c r="I1026" s="1768"/>
      <c r="J1026" s="1768"/>
      <c r="K1026" s="1768"/>
      <c r="L1026" s="98">
        <v>178.68</v>
      </c>
      <c r="M1026" s="99"/>
      <c r="N1026" s="100"/>
      <c r="AK1026" s="43" t="s">
        <v>406</v>
      </c>
    </row>
    <row r="1027" spans="1:38" s="40" customFormat="1" x14ac:dyDescent="0.2">
      <c r="A1027" s="97"/>
      <c r="B1027" s="78"/>
      <c r="C1027" s="1768" t="s">
        <v>480</v>
      </c>
      <c r="D1027" s="1768"/>
      <c r="E1027" s="1768"/>
      <c r="F1027" s="1768"/>
      <c r="G1027" s="1768"/>
      <c r="H1027" s="1768"/>
      <c r="I1027" s="1768"/>
      <c r="J1027" s="1768"/>
      <c r="K1027" s="1768"/>
      <c r="L1027" s="98">
        <v>36707.620000000003</v>
      </c>
      <c r="M1027" s="99"/>
      <c r="N1027" s="100"/>
      <c r="AK1027" s="43" t="s">
        <v>480</v>
      </c>
    </row>
    <row r="1028" spans="1:38" s="40" customFormat="1" x14ac:dyDescent="0.2">
      <c r="A1028" s="97"/>
      <c r="B1028" s="78"/>
      <c r="C1028" s="1768" t="s">
        <v>407</v>
      </c>
      <c r="D1028" s="1768"/>
      <c r="E1028" s="1768"/>
      <c r="F1028" s="1768"/>
      <c r="G1028" s="1768"/>
      <c r="H1028" s="1768"/>
      <c r="I1028" s="1768"/>
      <c r="J1028" s="1768"/>
      <c r="K1028" s="1768"/>
      <c r="L1028" s="98">
        <v>40773.14</v>
      </c>
      <c r="M1028" s="99"/>
      <c r="N1028" s="100">
        <v>339232</v>
      </c>
      <c r="AK1028" s="43" t="s">
        <v>407</v>
      </c>
    </row>
    <row r="1029" spans="1:38" s="40" customFormat="1" x14ac:dyDescent="0.2">
      <c r="A1029" s="97"/>
      <c r="B1029" s="78" t="s">
        <v>185</v>
      </c>
      <c r="C1029" s="1768" t="s">
        <v>408</v>
      </c>
      <c r="D1029" s="1768"/>
      <c r="E1029" s="1768"/>
      <c r="F1029" s="1768"/>
      <c r="G1029" s="1768"/>
      <c r="H1029" s="1768"/>
      <c r="I1029" s="1768"/>
      <c r="J1029" s="1768"/>
      <c r="K1029" s="1768"/>
      <c r="L1029" s="98">
        <v>40645.82</v>
      </c>
      <c r="M1029" s="99">
        <v>8.32</v>
      </c>
      <c r="N1029" s="100">
        <v>338173</v>
      </c>
      <c r="AK1029" s="43" t="s">
        <v>408</v>
      </c>
    </row>
    <row r="1030" spans="1:38" s="40" customFormat="1" x14ac:dyDescent="0.2">
      <c r="A1030" s="97"/>
      <c r="B1030" s="78"/>
      <c r="C1030" s="1768" t="s">
        <v>409</v>
      </c>
      <c r="D1030" s="1768"/>
      <c r="E1030" s="1768"/>
      <c r="F1030" s="1768"/>
      <c r="G1030" s="1768"/>
      <c r="H1030" s="1768"/>
      <c r="I1030" s="1768"/>
      <c r="J1030" s="1768"/>
      <c r="K1030" s="1768"/>
      <c r="L1030" s="98"/>
      <c r="M1030" s="99"/>
      <c r="N1030" s="100"/>
      <c r="AK1030" s="43" t="s">
        <v>409</v>
      </c>
    </row>
    <row r="1031" spans="1:38" s="40" customFormat="1" x14ac:dyDescent="0.2">
      <c r="A1031" s="97"/>
      <c r="B1031" s="78"/>
      <c r="C1031" s="1768" t="s">
        <v>410</v>
      </c>
      <c r="D1031" s="1768"/>
      <c r="E1031" s="1768"/>
      <c r="F1031" s="1768"/>
      <c r="G1031" s="1768"/>
      <c r="H1031" s="1768"/>
      <c r="I1031" s="1768"/>
      <c r="J1031" s="1768"/>
      <c r="K1031" s="1768"/>
      <c r="L1031" s="98">
        <v>861.02</v>
      </c>
      <c r="M1031" s="99"/>
      <c r="N1031" s="100"/>
      <c r="AK1031" s="43" t="s">
        <v>410</v>
      </c>
    </row>
    <row r="1032" spans="1:38" s="40" customFormat="1" x14ac:dyDescent="0.2">
      <c r="A1032" s="97"/>
      <c r="B1032" s="78"/>
      <c r="C1032" s="1768" t="s">
        <v>411</v>
      </c>
      <c r="D1032" s="1768"/>
      <c r="E1032" s="1768"/>
      <c r="F1032" s="1768"/>
      <c r="G1032" s="1768"/>
      <c r="H1032" s="1768"/>
      <c r="I1032" s="1768"/>
      <c r="J1032" s="1768"/>
      <c r="K1032" s="1768"/>
      <c r="L1032" s="98">
        <v>1285.3599999999999</v>
      </c>
      <c r="M1032" s="99"/>
      <c r="N1032" s="100"/>
      <c r="AK1032" s="43" t="s">
        <v>411</v>
      </c>
    </row>
    <row r="1033" spans="1:38" s="40" customFormat="1" x14ac:dyDescent="0.2">
      <c r="A1033" s="97"/>
      <c r="B1033" s="78"/>
      <c r="C1033" s="1768" t="s">
        <v>481</v>
      </c>
      <c r="D1033" s="1768"/>
      <c r="E1033" s="1768"/>
      <c r="F1033" s="1768"/>
      <c r="G1033" s="1768"/>
      <c r="H1033" s="1768"/>
      <c r="I1033" s="1768"/>
      <c r="J1033" s="1768"/>
      <c r="K1033" s="1768"/>
      <c r="L1033" s="98">
        <v>36707.620000000003</v>
      </c>
      <c r="M1033" s="99"/>
      <c r="N1033" s="100"/>
      <c r="AK1033" s="43" t="s">
        <v>481</v>
      </c>
    </row>
    <row r="1034" spans="1:38" s="40" customFormat="1" x14ac:dyDescent="0.2">
      <c r="A1034" s="97"/>
      <c r="B1034" s="78"/>
      <c r="C1034" s="1768" t="s">
        <v>412</v>
      </c>
      <c r="D1034" s="1768"/>
      <c r="E1034" s="1768"/>
      <c r="F1034" s="1768"/>
      <c r="G1034" s="1768"/>
      <c r="H1034" s="1768"/>
      <c r="I1034" s="1768"/>
      <c r="J1034" s="1768"/>
      <c r="K1034" s="1768"/>
      <c r="L1034" s="98">
        <v>1107.48</v>
      </c>
      <c r="M1034" s="99"/>
      <c r="N1034" s="100"/>
      <c r="AK1034" s="43" t="s">
        <v>412</v>
      </c>
    </row>
    <row r="1035" spans="1:38" s="40" customFormat="1" x14ac:dyDescent="0.2">
      <c r="A1035" s="97"/>
      <c r="B1035" s="78"/>
      <c r="C1035" s="1768" t="s">
        <v>413</v>
      </c>
      <c r="D1035" s="1768"/>
      <c r="E1035" s="1768"/>
      <c r="F1035" s="1768"/>
      <c r="G1035" s="1768"/>
      <c r="H1035" s="1768"/>
      <c r="I1035" s="1768"/>
      <c r="J1035" s="1768"/>
      <c r="K1035" s="1768"/>
      <c r="L1035" s="98">
        <v>684.34</v>
      </c>
      <c r="M1035" s="99"/>
      <c r="N1035" s="100"/>
      <c r="AK1035" s="43" t="s">
        <v>413</v>
      </c>
    </row>
    <row r="1036" spans="1:38" s="40" customFormat="1" x14ac:dyDescent="0.2">
      <c r="A1036" s="97"/>
      <c r="B1036" s="78" t="s">
        <v>185</v>
      </c>
      <c r="C1036" s="1768" t="s">
        <v>414</v>
      </c>
      <c r="D1036" s="1768"/>
      <c r="E1036" s="1768"/>
      <c r="F1036" s="1768"/>
      <c r="G1036" s="1768"/>
      <c r="H1036" s="1768"/>
      <c r="I1036" s="1768"/>
      <c r="J1036" s="1768"/>
      <c r="K1036" s="1768"/>
      <c r="L1036" s="98">
        <v>127.32</v>
      </c>
      <c r="M1036" s="99">
        <v>8.32</v>
      </c>
      <c r="N1036" s="100">
        <v>1059</v>
      </c>
      <c r="AK1036" s="43" t="s">
        <v>414</v>
      </c>
    </row>
    <row r="1037" spans="1:38" s="40" customFormat="1" x14ac:dyDescent="0.2">
      <c r="A1037" s="97"/>
      <c r="B1037" s="78"/>
      <c r="C1037" s="1768" t="s">
        <v>415</v>
      </c>
      <c r="D1037" s="1768"/>
      <c r="E1037" s="1768"/>
      <c r="F1037" s="1768"/>
      <c r="G1037" s="1768"/>
      <c r="H1037" s="1768"/>
      <c r="I1037" s="1768"/>
      <c r="J1037" s="1768"/>
      <c r="K1037" s="1768"/>
      <c r="L1037" s="98">
        <v>1039.7</v>
      </c>
      <c r="M1037" s="99"/>
      <c r="N1037" s="100"/>
      <c r="AK1037" s="43" t="s">
        <v>415</v>
      </c>
    </row>
    <row r="1038" spans="1:38" s="40" customFormat="1" x14ac:dyDescent="0.2">
      <c r="A1038" s="97"/>
      <c r="B1038" s="78"/>
      <c r="C1038" s="1768" t="s">
        <v>416</v>
      </c>
      <c r="D1038" s="1768"/>
      <c r="E1038" s="1768"/>
      <c r="F1038" s="1768"/>
      <c r="G1038" s="1768"/>
      <c r="H1038" s="1768"/>
      <c r="I1038" s="1768"/>
      <c r="J1038" s="1768"/>
      <c r="K1038" s="1768"/>
      <c r="L1038" s="98">
        <v>1107.48</v>
      </c>
      <c r="M1038" s="99"/>
      <c r="N1038" s="100"/>
      <c r="AK1038" s="43" t="s">
        <v>416</v>
      </c>
    </row>
    <row r="1039" spans="1:38" s="40" customFormat="1" x14ac:dyDescent="0.2">
      <c r="A1039" s="97"/>
      <c r="B1039" s="78"/>
      <c r="C1039" s="1768" t="s">
        <v>417</v>
      </c>
      <c r="D1039" s="1768"/>
      <c r="E1039" s="1768"/>
      <c r="F1039" s="1768"/>
      <c r="G1039" s="1768"/>
      <c r="H1039" s="1768"/>
      <c r="I1039" s="1768"/>
      <c r="J1039" s="1768"/>
      <c r="K1039" s="1768"/>
      <c r="L1039" s="98">
        <v>684.34</v>
      </c>
      <c r="M1039" s="99"/>
      <c r="N1039" s="100"/>
      <c r="AK1039" s="43" t="s">
        <v>417</v>
      </c>
    </row>
    <row r="1040" spans="1:38" s="40" customFormat="1" x14ac:dyDescent="0.2">
      <c r="A1040" s="97"/>
      <c r="B1040" s="91"/>
      <c r="C1040" s="1787" t="s">
        <v>206</v>
      </c>
      <c r="D1040" s="1787"/>
      <c r="E1040" s="1787"/>
      <c r="F1040" s="1787"/>
      <c r="G1040" s="1787"/>
      <c r="H1040" s="1787"/>
      <c r="I1040" s="1787"/>
      <c r="J1040" s="1787"/>
      <c r="K1040" s="1787"/>
      <c r="L1040" s="102">
        <v>40773.14</v>
      </c>
      <c r="M1040" s="103"/>
      <c r="N1040" s="108">
        <v>339232</v>
      </c>
      <c r="AL1040" s="43" t="s">
        <v>206</v>
      </c>
    </row>
    <row r="1041" spans="1:39" ht="1.5" customHeight="1" x14ac:dyDescent="0.2">
      <c r="B1041" s="91"/>
      <c r="C1041" s="89"/>
      <c r="D1041" s="89"/>
      <c r="E1041" s="89"/>
      <c r="F1041" s="89"/>
      <c r="G1041" s="89"/>
      <c r="H1041" s="89"/>
      <c r="I1041" s="89"/>
      <c r="J1041" s="89"/>
      <c r="K1041" s="89"/>
      <c r="L1041" s="102"/>
      <c r="M1041" s="103"/>
      <c r="N1041" s="109"/>
      <c r="P1041" s="40"/>
      <c r="Q1041" s="40"/>
      <c r="R1041" s="40"/>
      <c r="S1041" s="40"/>
      <c r="T1041" s="40"/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40"/>
      <c r="AE1041" s="40"/>
      <c r="AF1041" s="40"/>
      <c r="AG1041" s="40"/>
      <c r="AH1041" s="40"/>
      <c r="AI1041" s="40"/>
      <c r="AJ1041" s="40"/>
      <c r="AK1041" s="40"/>
      <c r="AL1041" s="40"/>
      <c r="AM1041" s="40"/>
    </row>
    <row r="1042" spans="1:39" ht="53.25" customHeight="1" x14ac:dyDescent="0.2">
      <c r="A1042" s="110"/>
      <c r="B1042" s="110"/>
      <c r="C1042" s="110"/>
      <c r="D1042" s="110"/>
      <c r="E1042" s="110"/>
      <c r="F1042" s="110"/>
      <c r="G1042" s="110"/>
      <c r="H1042" s="110"/>
      <c r="I1042" s="110"/>
      <c r="J1042" s="110"/>
      <c r="K1042" s="110"/>
      <c r="L1042" s="110"/>
      <c r="M1042" s="110"/>
      <c r="N1042" s="110"/>
      <c r="P1042" s="40"/>
      <c r="Q1042" s="40"/>
      <c r="R1042" s="40"/>
      <c r="S1042" s="40"/>
      <c r="T1042" s="40"/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F1042" s="40"/>
      <c r="AG1042" s="40"/>
      <c r="AH1042" s="40"/>
      <c r="AI1042" s="40"/>
      <c r="AJ1042" s="40"/>
      <c r="AK1042" s="40"/>
      <c r="AL1042" s="40"/>
      <c r="AM1042" s="40"/>
    </row>
    <row r="1043" spans="1:39" x14ac:dyDescent="0.2">
      <c r="B1043" s="111" t="s">
        <v>149</v>
      </c>
      <c r="C1043" s="1789" t="s">
        <v>296</v>
      </c>
      <c r="D1043" s="1789"/>
      <c r="E1043" s="1789"/>
      <c r="F1043" s="1789"/>
      <c r="G1043" s="1789"/>
      <c r="H1043" s="1789"/>
      <c r="I1043" s="1789"/>
      <c r="J1043" s="1789"/>
      <c r="K1043" s="1789"/>
      <c r="L1043" s="1789"/>
    </row>
    <row r="1044" spans="1:39" ht="13.5" customHeight="1" x14ac:dyDescent="0.2">
      <c r="B1044" s="41"/>
      <c r="C1044" s="1788" t="s">
        <v>150</v>
      </c>
      <c r="D1044" s="1788"/>
      <c r="E1044" s="1788"/>
      <c r="F1044" s="1788"/>
      <c r="G1044" s="1788"/>
      <c r="H1044" s="1788"/>
      <c r="I1044" s="1788"/>
      <c r="J1044" s="1788"/>
      <c r="K1044" s="1788"/>
      <c r="L1044" s="1788"/>
    </row>
    <row r="1045" spans="1:39" ht="12.75" customHeight="1" x14ac:dyDescent="0.2">
      <c r="B1045" s="111" t="s">
        <v>151</v>
      </c>
      <c r="C1045" s="1789" t="s">
        <v>297</v>
      </c>
      <c r="D1045" s="1789"/>
      <c r="E1045" s="1789"/>
      <c r="F1045" s="1789"/>
      <c r="G1045" s="1789"/>
      <c r="H1045" s="1789"/>
      <c r="I1045" s="1789"/>
      <c r="J1045" s="1789"/>
      <c r="K1045" s="1789"/>
      <c r="L1045" s="1789"/>
    </row>
    <row r="1046" spans="1:39" ht="13.5" customHeight="1" x14ac:dyDescent="0.2">
      <c r="C1046" s="1788" t="s">
        <v>150</v>
      </c>
      <c r="D1046" s="1788"/>
      <c r="E1046" s="1788"/>
      <c r="F1046" s="1788"/>
      <c r="G1046" s="1788"/>
      <c r="H1046" s="1788"/>
      <c r="I1046" s="1788"/>
      <c r="J1046" s="1788"/>
      <c r="K1046" s="1788"/>
      <c r="L1046" s="1788"/>
    </row>
    <row r="1048" spans="1:39" x14ac:dyDescent="0.2">
      <c r="A1048" s="1790"/>
      <c r="B1048" s="1790"/>
      <c r="C1048" s="1790"/>
      <c r="D1048" s="1790"/>
      <c r="E1048" s="1790"/>
      <c r="F1048" s="1790"/>
      <c r="G1048" s="1790"/>
      <c r="H1048" s="1790"/>
      <c r="I1048" s="1790"/>
      <c r="J1048" s="1790"/>
      <c r="K1048" s="1790"/>
      <c r="L1048" s="1790"/>
      <c r="M1048" s="1790"/>
      <c r="N1048" s="179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F1048" s="40"/>
      <c r="AG1048" s="40"/>
      <c r="AH1048" s="40"/>
      <c r="AI1048" s="40"/>
      <c r="AJ1048" s="40"/>
      <c r="AK1048" s="40"/>
      <c r="AL1048" s="40"/>
      <c r="AM1048" s="43" t="s">
        <v>143</v>
      </c>
    </row>
    <row r="1049" spans="1:39" x14ac:dyDescent="0.2">
      <c r="B1049" s="112"/>
      <c r="D1049" s="112"/>
      <c r="F1049" s="112"/>
      <c r="P1049" s="40"/>
      <c r="Q1049" s="40"/>
      <c r="R1049" s="40"/>
      <c r="S1049" s="40"/>
      <c r="T1049" s="40"/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F1049" s="40"/>
      <c r="AG1049" s="40"/>
      <c r="AH1049" s="40"/>
      <c r="AI1049" s="40"/>
      <c r="AJ1049" s="40"/>
      <c r="AK1049" s="40"/>
      <c r="AL1049" s="40"/>
      <c r="AM1049" s="40"/>
    </row>
  </sheetData>
  <mergeCells count="988">
    <mergeCell ref="C1040:K1040"/>
    <mergeCell ref="C1043:L1043"/>
    <mergeCell ref="C1044:L1044"/>
    <mergeCell ref="C1045:L1045"/>
    <mergeCell ref="C1046:L1046"/>
    <mergeCell ref="A1048:N1048"/>
    <mergeCell ref="C1034:K1034"/>
    <mergeCell ref="C1035:K1035"/>
    <mergeCell ref="C1036:K1036"/>
    <mergeCell ref="C1037:K1037"/>
    <mergeCell ref="C1038:K1038"/>
    <mergeCell ref="C1039:K1039"/>
    <mergeCell ref="C1028:K1028"/>
    <mergeCell ref="C1029:K1029"/>
    <mergeCell ref="C1030:K1030"/>
    <mergeCell ref="C1031:K1031"/>
    <mergeCell ref="C1032:K1032"/>
    <mergeCell ref="C1033:K1033"/>
    <mergeCell ref="C1022:K1022"/>
    <mergeCell ref="C1023:K1023"/>
    <mergeCell ref="C1024:K1024"/>
    <mergeCell ref="C1025:K1025"/>
    <mergeCell ref="C1026:K1026"/>
    <mergeCell ref="C1027:K1027"/>
    <mergeCell ref="C1015:K1015"/>
    <mergeCell ref="C1016:K1016"/>
    <mergeCell ref="C1017:K1017"/>
    <mergeCell ref="C1018:K1018"/>
    <mergeCell ref="C1019:K1019"/>
    <mergeCell ref="C1021:K1021"/>
    <mergeCell ref="A1007:N1007"/>
    <mergeCell ref="C1008:E1008"/>
    <mergeCell ref="C1010:N1010"/>
    <mergeCell ref="C1012:K1012"/>
    <mergeCell ref="C1013:K1013"/>
    <mergeCell ref="C1014:K1014"/>
    <mergeCell ref="C1001:K1001"/>
    <mergeCell ref="C1002:K1002"/>
    <mergeCell ref="C1003:K1003"/>
    <mergeCell ref="C1004:K1004"/>
    <mergeCell ref="C1005:K1005"/>
    <mergeCell ref="C1006:K1006"/>
    <mergeCell ref="C995:K995"/>
    <mergeCell ref="C996:K996"/>
    <mergeCell ref="C997:K997"/>
    <mergeCell ref="C998:K998"/>
    <mergeCell ref="C999:K999"/>
    <mergeCell ref="C1000:K1000"/>
    <mergeCell ref="C989:K989"/>
    <mergeCell ref="C990:K990"/>
    <mergeCell ref="C991:K991"/>
    <mergeCell ref="C992:K992"/>
    <mergeCell ref="C993:K993"/>
    <mergeCell ref="C994:K994"/>
    <mergeCell ref="C981:E981"/>
    <mergeCell ref="C982:E982"/>
    <mergeCell ref="C983:E983"/>
    <mergeCell ref="C984:E984"/>
    <mergeCell ref="C987:K987"/>
    <mergeCell ref="C988:K988"/>
    <mergeCell ref="C975:E975"/>
    <mergeCell ref="C976:E976"/>
    <mergeCell ref="C977:E977"/>
    <mergeCell ref="C978:E978"/>
    <mergeCell ref="C979:E979"/>
    <mergeCell ref="C980:E980"/>
    <mergeCell ref="A969:N969"/>
    <mergeCell ref="C970:E970"/>
    <mergeCell ref="C971:N971"/>
    <mergeCell ref="C972:N972"/>
    <mergeCell ref="C973:E973"/>
    <mergeCell ref="C974:E974"/>
    <mergeCell ref="C963:E963"/>
    <mergeCell ref="C964:E964"/>
    <mergeCell ref="C965:E965"/>
    <mergeCell ref="C966:E966"/>
    <mergeCell ref="C967:E967"/>
    <mergeCell ref="C968:E968"/>
    <mergeCell ref="C957:N957"/>
    <mergeCell ref="C958:E958"/>
    <mergeCell ref="C959:E959"/>
    <mergeCell ref="C960:E960"/>
    <mergeCell ref="C961:E961"/>
    <mergeCell ref="C962:E962"/>
    <mergeCell ref="C950:E950"/>
    <mergeCell ref="C951:E951"/>
    <mergeCell ref="C952:E952"/>
    <mergeCell ref="C953:E953"/>
    <mergeCell ref="A955:N955"/>
    <mergeCell ref="C956:E956"/>
    <mergeCell ref="C944:E944"/>
    <mergeCell ref="C945:E945"/>
    <mergeCell ref="C946:E946"/>
    <mergeCell ref="C947:E947"/>
    <mergeCell ref="C948:E948"/>
    <mergeCell ref="C949:E949"/>
    <mergeCell ref="C938:E938"/>
    <mergeCell ref="C939:N939"/>
    <mergeCell ref="C940:N940"/>
    <mergeCell ref="C941:E941"/>
    <mergeCell ref="C942:E942"/>
    <mergeCell ref="C943:E943"/>
    <mergeCell ref="C929:E929"/>
    <mergeCell ref="C930:E930"/>
    <mergeCell ref="C932:E932"/>
    <mergeCell ref="C934:N934"/>
    <mergeCell ref="C935:E935"/>
    <mergeCell ref="C937:N937"/>
    <mergeCell ref="C923:E923"/>
    <mergeCell ref="C924:E924"/>
    <mergeCell ref="C925:E925"/>
    <mergeCell ref="C926:E926"/>
    <mergeCell ref="C927:E927"/>
    <mergeCell ref="C928:E928"/>
    <mergeCell ref="C917:E917"/>
    <mergeCell ref="C918:E918"/>
    <mergeCell ref="C919:E919"/>
    <mergeCell ref="C920:E920"/>
    <mergeCell ref="C921:E921"/>
    <mergeCell ref="C922:E922"/>
    <mergeCell ref="C910:E910"/>
    <mergeCell ref="C911:E911"/>
    <mergeCell ref="C912:E912"/>
    <mergeCell ref="C914:E914"/>
    <mergeCell ref="C915:N915"/>
    <mergeCell ref="C916:N916"/>
    <mergeCell ref="C904:E904"/>
    <mergeCell ref="C905:E905"/>
    <mergeCell ref="C906:E906"/>
    <mergeCell ref="C907:E907"/>
    <mergeCell ref="C908:E908"/>
    <mergeCell ref="C909:E909"/>
    <mergeCell ref="C898:N898"/>
    <mergeCell ref="C899:N899"/>
    <mergeCell ref="C900:E900"/>
    <mergeCell ref="C901:E901"/>
    <mergeCell ref="C902:E902"/>
    <mergeCell ref="C903:E903"/>
    <mergeCell ref="C892:E892"/>
    <mergeCell ref="C893:E893"/>
    <mergeCell ref="C894:E894"/>
    <mergeCell ref="C895:N895"/>
    <mergeCell ref="A896:N896"/>
    <mergeCell ref="C897:E897"/>
    <mergeCell ref="C886:E886"/>
    <mergeCell ref="C887:E887"/>
    <mergeCell ref="C888:E888"/>
    <mergeCell ref="C889:E889"/>
    <mergeCell ref="C890:E890"/>
    <mergeCell ref="C891:E891"/>
    <mergeCell ref="C880:E880"/>
    <mergeCell ref="C881:E881"/>
    <mergeCell ref="C882:N882"/>
    <mergeCell ref="C883:N883"/>
    <mergeCell ref="C884:E884"/>
    <mergeCell ref="C885:E885"/>
    <mergeCell ref="C874:E874"/>
    <mergeCell ref="C875:E875"/>
    <mergeCell ref="C876:E876"/>
    <mergeCell ref="C877:E877"/>
    <mergeCell ref="C878:E878"/>
    <mergeCell ref="C879:E879"/>
    <mergeCell ref="C868:E868"/>
    <mergeCell ref="C869:E869"/>
    <mergeCell ref="C870:E870"/>
    <mergeCell ref="C871:N871"/>
    <mergeCell ref="C872:N872"/>
    <mergeCell ref="C873:E873"/>
    <mergeCell ref="C862:E862"/>
    <mergeCell ref="C863:E863"/>
    <mergeCell ref="C864:E864"/>
    <mergeCell ref="C865:E865"/>
    <mergeCell ref="C866:E866"/>
    <mergeCell ref="C867:E867"/>
    <mergeCell ref="C856:E856"/>
    <mergeCell ref="C857:E857"/>
    <mergeCell ref="C858:E858"/>
    <mergeCell ref="C859:E859"/>
    <mergeCell ref="C860:N860"/>
    <mergeCell ref="C861:N861"/>
    <mergeCell ref="C850:N850"/>
    <mergeCell ref="C851:E851"/>
    <mergeCell ref="C852:E852"/>
    <mergeCell ref="C853:E853"/>
    <mergeCell ref="C854:E854"/>
    <mergeCell ref="C855:E855"/>
    <mergeCell ref="C844:K844"/>
    <mergeCell ref="C845:K845"/>
    <mergeCell ref="A846:N846"/>
    <mergeCell ref="A847:N847"/>
    <mergeCell ref="C848:E848"/>
    <mergeCell ref="C849:N849"/>
    <mergeCell ref="C838:K838"/>
    <mergeCell ref="C839:K839"/>
    <mergeCell ref="C840:K840"/>
    <mergeCell ref="C841:K841"/>
    <mergeCell ref="C842:K842"/>
    <mergeCell ref="C843:K843"/>
    <mergeCell ref="C832:K832"/>
    <mergeCell ref="C833:K833"/>
    <mergeCell ref="C834:K834"/>
    <mergeCell ref="C835:K835"/>
    <mergeCell ref="C836:K836"/>
    <mergeCell ref="C837:K837"/>
    <mergeCell ref="C826:K826"/>
    <mergeCell ref="C827:K827"/>
    <mergeCell ref="C828:K828"/>
    <mergeCell ref="C829:K829"/>
    <mergeCell ref="C830:K830"/>
    <mergeCell ref="C831:K831"/>
    <mergeCell ref="C818:E818"/>
    <mergeCell ref="C819:E819"/>
    <mergeCell ref="C820:E820"/>
    <mergeCell ref="C821:E821"/>
    <mergeCell ref="C822:E822"/>
    <mergeCell ref="C823:E823"/>
    <mergeCell ref="C812:E812"/>
    <mergeCell ref="C813:E813"/>
    <mergeCell ref="C814:E814"/>
    <mergeCell ref="C815:E815"/>
    <mergeCell ref="C816:E816"/>
    <mergeCell ref="C817:E817"/>
    <mergeCell ref="C806:E806"/>
    <mergeCell ref="C807:E807"/>
    <mergeCell ref="A808:N808"/>
    <mergeCell ref="C809:E809"/>
    <mergeCell ref="C810:N810"/>
    <mergeCell ref="C811:N811"/>
    <mergeCell ref="C800:E800"/>
    <mergeCell ref="C801:E801"/>
    <mergeCell ref="C802:E802"/>
    <mergeCell ref="C803:E803"/>
    <mergeCell ref="C804:E804"/>
    <mergeCell ref="C805:E805"/>
    <mergeCell ref="A794:N794"/>
    <mergeCell ref="C795:E795"/>
    <mergeCell ref="C796:N796"/>
    <mergeCell ref="C797:E797"/>
    <mergeCell ref="C798:E798"/>
    <mergeCell ref="C799:E799"/>
    <mergeCell ref="C787:E787"/>
    <mergeCell ref="C788:E788"/>
    <mergeCell ref="C789:E789"/>
    <mergeCell ref="C790:E790"/>
    <mergeCell ref="C791:E791"/>
    <mergeCell ref="C792:E792"/>
    <mergeCell ref="C781:E781"/>
    <mergeCell ref="C782:E782"/>
    <mergeCell ref="C783:E783"/>
    <mergeCell ref="C784:E784"/>
    <mergeCell ref="C785:E785"/>
    <mergeCell ref="C786:E786"/>
    <mergeCell ref="C774:E774"/>
    <mergeCell ref="C776:N776"/>
    <mergeCell ref="C777:E777"/>
    <mergeCell ref="C778:N778"/>
    <mergeCell ref="C779:N779"/>
    <mergeCell ref="C780:E780"/>
    <mergeCell ref="C766:E766"/>
    <mergeCell ref="C767:E767"/>
    <mergeCell ref="C768:E768"/>
    <mergeCell ref="C769:E769"/>
    <mergeCell ref="C771:E771"/>
    <mergeCell ref="C773:N773"/>
    <mergeCell ref="C760:E760"/>
    <mergeCell ref="C761:E761"/>
    <mergeCell ref="C762:E762"/>
    <mergeCell ref="C763:E763"/>
    <mergeCell ref="C764:E764"/>
    <mergeCell ref="C765:E765"/>
    <mergeCell ref="C754:N754"/>
    <mergeCell ref="C755:N755"/>
    <mergeCell ref="C756:E756"/>
    <mergeCell ref="C757:E757"/>
    <mergeCell ref="C758:E758"/>
    <mergeCell ref="C759:E759"/>
    <mergeCell ref="C747:E747"/>
    <mergeCell ref="C748:E748"/>
    <mergeCell ref="C749:E749"/>
    <mergeCell ref="C750:E750"/>
    <mergeCell ref="C751:E751"/>
    <mergeCell ref="C753:E753"/>
    <mergeCell ref="C741:E741"/>
    <mergeCell ref="C742:E742"/>
    <mergeCell ref="C743:E743"/>
    <mergeCell ref="C744:E744"/>
    <mergeCell ref="C745:E745"/>
    <mergeCell ref="C746:E746"/>
    <mergeCell ref="A735:N735"/>
    <mergeCell ref="C736:E736"/>
    <mergeCell ref="C737:N737"/>
    <mergeCell ref="C738:N738"/>
    <mergeCell ref="C739:E739"/>
    <mergeCell ref="C740:E740"/>
    <mergeCell ref="C729:E729"/>
    <mergeCell ref="C730:E730"/>
    <mergeCell ref="C731:E731"/>
    <mergeCell ref="C732:E732"/>
    <mergeCell ref="C733:E733"/>
    <mergeCell ref="C734:N734"/>
    <mergeCell ref="C723:E723"/>
    <mergeCell ref="C724:E724"/>
    <mergeCell ref="C725:E725"/>
    <mergeCell ref="C726:E726"/>
    <mergeCell ref="C727:E727"/>
    <mergeCell ref="C728:E728"/>
    <mergeCell ref="C717:E717"/>
    <mergeCell ref="C718:E718"/>
    <mergeCell ref="C719:E719"/>
    <mergeCell ref="C720:E720"/>
    <mergeCell ref="C721:N721"/>
    <mergeCell ref="C722:N722"/>
    <mergeCell ref="C711:N711"/>
    <mergeCell ref="C712:E712"/>
    <mergeCell ref="C713:E713"/>
    <mergeCell ref="C714:E714"/>
    <mergeCell ref="C715:E715"/>
    <mergeCell ref="C716:E716"/>
    <mergeCell ref="C705:E705"/>
    <mergeCell ref="C706:E706"/>
    <mergeCell ref="C707:E707"/>
    <mergeCell ref="C708:E708"/>
    <mergeCell ref="C709:E709"/>
    <mergeCell ref="C710:N710"/>
    <mergeCell ref="C699:N699"/>
    <mergeCell ref="C700:N700"/>
    <mergeCell ref="C701:E701"/>
    <mergeCell ref="C702:E702"/>
    <mergeCell ref="C703:E703"/>
    <mergeCell ref="C704:E704"/>
    <mergeCell ref="C693:E693"/>
    <mergeCell ref="C694:E694"/>
    <mergeCell ref="C695:E695"/>
    <mergeCell ref="C696:E696"/>
    <mergeCell ref="C697:E697"/>
    <mergeCell ref="C698:E698"/>
    <mergeCell ref="C687:E687"/>
    <mergeCell ref="C688:N688"/>
    <mergeCell ref="C689:N689"/>
    <mergeCell ref="C690:E690"/>
    <mergeCell ref="C691:E691"/>
    <mergeCell ref="C692:E692"/>
    <mergeCell ref="C681:K681"/>
    <mergeCell ref="C682:K682"/>
    <mergeCell ref="C683:K683"/>
    <mergeCell ref="C684:K684"/>
    <mergeCell ref="A685:N685"/>
    <mergeCell ref="A686:N686"/>
    <mergeCell ref="C675:K675"/>
    <mergeCell ref="C676:K676"/>
    <mergeCell ref="C677:K677"/>
    <mergeCell ref="C678:K678"/>
    <mergeCell ref="C679:K679"/>
    <mergeCell ref="C680:K680"/>
    <mergeCell ref="C669:K669"/>
    <mergeCell ref="C670:K670"/>
    <mergeCell ref="C671:K671"/>
    <mergeCell ref="C672:K672"/>
    <mergeCell ref="C673:K673"/>
    <mergeCell ref="C674:K674"/>
    <mergeCell ref="C661:E661"/>
    <mergeCell ref="C662:E662"/>
    <mergeCell ref="C665:K665"/>
    <mergeCell ref="C666:K666"/>
    <mergeCell ref="C667:K667"/>
    <mergeCell ref="C668:K668"/>
    <mergeCell ref="C655:E655"/>
    <mergeCell ref="C656:E656"/>
    <mergeCell ref="C657:E657"/>
    <mergeCell ref="C658:E658"/>
    <mergeCell ref="C659:E659"/>
    <mergeCell ref="C660:E660"/>
    <mergeCell ref="C649:N649"/>
    <mergeCell ref="C650:N650"/>
    <mergeCell ref="C651:E651"/>
    <mergeCell ref="C652:E652"/>
    <mergeCell ref="C653:E653"/>
    <mergeCell ref="C654:E654"/>
    <mergeCell ref="C643:E643"/>
    <mergeCell ref="C644:E644"/>
    <mergeCell ref="C645:E645"/>
    <mergeCell ref="C646:E646"/>
    <mergeCell ref="A647:N647"/>
    <mergeCell ref="C648:E648"/>
    <mergeCell ref="C637:E637"/>
    <mergeCell ref="C638:E638"/>
    <mergeCell ref="C639:E639"/>
    <mergeCell ref="C640:E640"/>
    <mergeCell ref="C641:E641"/>
    <mergeCell ref="C642:E642"/>
    <mergeCell ref="C630:E630"/>
    <mergeCell ref="C631:E631"/>
    <mergeCell ref="A633:N633"/>
    <mergeCell ref="C634:E634"/>
    <mergeCell ref="C635:N635"/>
    <mergeCell ref="C636:E636"/>
    <mergeCell ref="C624:E624"/>
    <mergeCell ref="C625:E625"/>
    <mergeCell ref="C626:E626"/>
    <mergeCell ref="C627:E627"/>
    <mergeCell ref="C628:E628"/>
    <mergeCell ref="C629:E629"/>
    <mergeCell ref="C618:N618"/>
    <mergeCell ref="C619:E619"/>
    <mergeCell ref="C620:E620"/>
    <mergeCell ref="C621:E621"/>
    <mergeCell ref="C622:E622"/>
    <mergeCell ref="C623:E623"/>
    <mergeCell ref="C610:E610"/>
    <mergeCell ref="C612:N612"/>
    <mergeCell ref="C613:E613"/>
    <mergeCell ref="C615:N615"/>
    <mergeCell ref="C616:E616"/>
    <mergeCell ref="C617:N617"/>
    <mergeCell ref="C603:E603"/>
    <mergeCell ref="C604:E604"/>
    <mergeCell ref="C605:E605"/>
    <mergeCell ref="C606:E606"/>
    <mergeCell ref="C607:E607"/>
    <mergeCell ref="C608:E608"/>
    <mergeCell ref="C597:E597"/>
    <mergeCell ref="C598:E598"/>
    <mergeCell ref="C599:E599"/>
    <mergeCell ref="C600:E600"/>
    <mergeCell ref="C601:E601"/>
    <mergeCell ref="C602:E602"/>
    <mergeCell ref="C590:E590"/>
    <mergeCell ref="C592:E592"/>
    <mergeCell ref="C593:N593"/>
    <mergeCell ref="C594:N594"/>
    <mergeCell ref="C595:E595"/>
    <mergeCell ref="C596:E596"/>
    <mergeCell ref="C584:E584"/>
    <mergeCell ref="C585:E585"/>
    <mergeCell ref="C586:E586"/>
    <mergeCell ref="C587:E587"/>
    <mergeCell ref="C588:E588"/>
    <mergeCell ref="C589:E589"/>
    <mergeCell ref="C578:E578"/>
    <mergeCell ref="C579:E579"/>
    <mergeCell ref="C580:E580"/>
    <mergeCell ref="C581:E581"/>
    <mergeCell ref="C582:E582"/>
    <mergeCell ref="C583:E583"/>
    <mergeCell ref="C572:E572"/>
    <mergeCell ref="C573:N573"/>
    <mergeCell ref="A574:N574"/>
    <mergeCell ref="C575:E575"/>
    <mergeCell ref="C576:N576"/>
    <mergeCell ref="C577:N577"/>
    <mergeCell ref="C566:E566"/>
    <mergeCell ref="C567:E567"/>
    <mergeCell ref="C568:E568"/>
    <mergeCell ref="C569:E569"/>
    <mergeCell ref="C570:E570"/>
    <mergeCell ref="C571:E571"/>
    <mergeCell ref="C560:N560"/>
    <mergeCell ref="C561:N561"/>
    <mergeCell ref="C562:E562"/>
    <mergeCell ref="C563:E563"/>
    <mergeCell ref="C564:E564"/>
    <mergeCell ref="C565:E565"/>
    <mergeCell ref="C554:E554"/>
    <mergeCell ref="C555:E555"/>
    <mergeCell ref="C556:E556"/>
    <mergeCell ref="C557:E557"/>
    <mergeCell ref="C558:E558"/>
    <mergeCell ref="C559:E559"/>
    <mergeCell ref="C548:E548"/>
    <mergeCell ref="C549:N549"/>
    <mergeCell ref="C550:N550"/>
    <mergeCell ref="C551:E551"/>
    <mergeCell ref="C552:E552"/>
    <mergeCell ref="C553:E553"/>
    <mergeCell ref="C542:E542"/>
    <mergeCell ref="C543:E543"/>
    <mergeCell ref="C544:E544"/>
    <mergeCell ref="C545:E545"/>
    <mergeCell ref="C546:E546"/>
    <mergeCell ref="C547:E547"/>
    <mergeCell ref="C536:E536"/>
    <mergeCell ref="C537:E537"/>
    <mergeCell ref="C538:N538"/>
    <mergeCell ref="C539:N539"/>
    <mergeCell ref="C540:E540"/>
    <mergeCell ref="C541:E541"/>
    <mergeCell ref="C530:E530"/>
    <mergeCell ref="C531:E531"/>
    <mergeCell ref="C532:E532"/>
    <mergeCell ref="C533:E533"/>
    <mergeCell ref="C534:E534"/>
    <mergeCell ref="C535:E535"/>
    <mergeCell ref="A524:N524"/>
    <mergeCell ref="A525:N525"/>
    <mergeCell ref="C526:E526"/>
    <mergeCell ref="C527:N527"/>
    <mergeCell ref="C528:N528"/>
    <mergeCell ref="C529:E529"/>
    <mergeCell ref="C518:K518"/>
    <mergeCell ref="C519:K519"/>
    <mergeCell ref="C520:K520"/>
    <mergeCell ref="C521:K521"/>
    <mergeCell ref="C522:K522"/>
    <mergeCell ref="C523:K523"/>
    <mergeCell ref="C512:K512"/>
    <mergeCell ref="C513:K513"/>
    <mergeCell ref="C514:K514"/>
    <mergeCell ref="C515:K515"/>
    <mergeCell ref="C516:K516"/>
    <mergeCell ref="C517:K517"/>
    <mergeCell ref="C506:K506"/>
    <mergeCell ref="C507:K507"/>
    <mergeCell ref="C508:K508"/>
    <mergeCell ref="C509:K509"/>
    <mergeCell ref="C510:K510"/>
    <mergeCell ref="C511:K511"/>
    <mergeCell ref="C498:E498"/>
    <mergeCell ref="C499:E499"/>
    <mergeCell ref="C500:E500"/>
    <mergeCell ref="C501:E501"/>
    <mergeCell ref="C504:K504"/>
    <mergeCell ref="C505:K505"/>
    <mergeCell ref="C492:E492"/>
    <mergeCell ref="C493:E493"/>
    <mergeCell ref="C494:E494"/>
    <mergeCell ref="C495:E495"/>
    <mergeCell ref="C496:E496"/>
    <mergeCell ref="C497:E497"/>
    <mergeCell ref="A486:N486"/>
    <mergeCell ref="C487:E487"/>
    <mergeCell ref="C488:N488"/>
    <mergeCell ref="C489:N489"/>
    <mergeCell ref="C490:E490"/>
    <mergeCell ref="C491:E491"/>
    <mergeCell ref="C480:E480"/>
    <mergeCell ref="C481:E481"/>
    <mergeCell ref="C482:E482"/>
    <mergeCell ref="C483:E483"/>
    <mergeCell ref="C484:E484"/>
    <mergeCell ref="C485:E485"/>
    <mergeCell ref="C474:N474"/>
    <mergeCell ref="C475:E475"/>
    <mergeCell ref="C476:E476"/>
    <mergeCell ref="C477:E477"/>
    <mergeCell ref="C478:E478"/>
    <mergeCell ref="C479:E479"/>
    <mergeCell ref="C467:E467"/>
    <mergeCell ref="C468:E468"/>
    <mergeCell ref="C469:E469"/>
    <mergeCell ref="C470:E470"/>
    <mergeCell ref="A472:N472"/>
    <mergeCell ref="C473:E473"/>
    <mergeCell ref="C461:E461"/>
    <mergeCell ref="C462:E462"/>
    <mergeCell ref="C463:E463"/>
    <mergeCell ref="C464:E464"/>
    <mergeCell ref="C465:E465"/>
    <mergeCell ref="C466:E466"/>
    <mergeCell ref="C455:E455"/>
    <mergeCell ref="C456:N456"/>
    <mergeCell ref="C457:N457"/>
    <mergeCell ref="C458:E458"/>
    <mergeCell ref="C459:E459"/>
    <mergeCell ref="C460:E460"/>
    <mergeCell ref="C446:E446"/>
    <mergeCell ref="C447:E447"/>
    <mergeCell ref="C449:E449"/>
    <mergeCell ref="C451:N451"/>
    <mergeCell ref="C452:E452"/>
    <mergeCell ref="C454:N454"/>
    <mergeCell ref="C440:E440"/>
    <mergeCell ref="C441:E441"/>
    <mergeCell ref="C442:E442"/>
    <mergeCell ref="C443:E443"/>
    <mergeCell ref="C444:E444"/>
    <mergeCell ref="C445:E445"/>
    <mergeCell ref="C434:E434"/>
    <mergeCell ref="C435:E435"/>
    <mergeCell ref="C436:E436"/>
    <mergeCell ref="C437:E437"/>
    <mergeCell ref="C438:E438"/>
    <mergeCell ref="C439:E439"/>
    <mergeCell ref="C427:E427"/>
    <mergeCell ref="C428:E428"/>
    <mergeCell ref="C429:E429"/>
    <mergeCell ref="C431:E431"/>
    <mergeCell ref="C432:N432"/>
    <mergeCell ref="C433:N433"/>
    <mergeCell ref="C421:E421"/>
    <mergeCell ref="C422:E422"/>
    <mergeCell ref="C423:E423"/>
    <mergeCell ref="C424:E424"/>
    <mergeCell ref="C425:E425"/>
    <mergeCell ref="C426:E426"/>
    <mergeCell ref="C415:N415"/>
    <mergeCell ref="C416:N416"/>
    <mergeCell ref="C417:E417"/>
    <mergeCell ref="C418:E418"/>
    <mergeCell ref="C419:E419"/>
    <mergeCell ref="C420:E420"/>
    <mergeCell ref="C409:E409"/>
    <mergeCell ref="C410:E410"/>
    <mergeCell ref="C411:E411"/>
    <mergeCell ref="C412:N412"/>
    <mergeCell ref="A413:N413"/>
    <mergeCell ref="C414:E414"/>
    <mergeCell ref="C403:E403"/>
    <mergeCell ref="C404:E404"/>
    <mergeCell ref="C405:E405"/>
    <mergeCell ref="C406:E406"/>
    <mergeCell ref="C407:E407"/>
    <mergeCell ref="C408:E408"/>
    <mergeCell ref="C397:E397"/>
    <mergeCell ref="C398:E398"/>
    <mergeCell ref="C399:N399"/>
    <mergeCell ref="C400:N400"/>
    <mergeCell ref="C401:E401"/>
    <mergeCell ref="C402:E402"/>
    <mergeCell ref="C391:E391"/>
    <mergeCell ref="C392:E392"/>
    <mergeCell ref="C393:E393"/>
    <mergeCell ref="C394:E394"/>
    <mergeCell ref="C395:E395"/>
    <mergeCell ref="C396:E396"/>
    <mergeCell ref="C385:E385"/>
    <mergeCell ref="C386:E386"/>
    <mergeCell ref="C387:E387"/>
    <mergeCell ref="C388:N388"/>
    <mergeCell ref="C389:N389"/>
    <mergeCell ref="C390:E390"/>
    <mergeCell ref="C379:E379"/>
    <mergeCell ref="C380:E380"/>
    <mergeCell ref="C381:E381"/>
    <mergeCell ref="C382:E382"/>
    <mergeCell ref="C383:E383"/>
    <mergeCell ref="C384:E384"/>
    <mergeCell ref="C373:E373"/>
    <mergeCell ref="C374:E374"/>
    <mergeCell ref="C375:E375"/>
    <mergeCell ref="C376:E376"/>
    <mergeCell ref="C377:N377"/>
    <mergeCell ref="C378:N378"/>
    <mergeCell ref="C367:N367"/>
    <mergeCell ref="C368:E368"/>
    <mergeCell ref="C369:E369"/>
    <mergeCell ref="C370:E370"/>
    <mergeCell ref="C371:E371"/>
    <mergeCell ref="C372:E372"/>
    <mergeCell ref="C361:K361"/>
    <mergeCell ref="C362:K362"/>
    <mergeCell ref="A363:N363"/>
    <mergeCell ref="A364:N364"/>
    <mergeCell ref="C365:E365"/>
    <mergeCell ref="C366:N366"/>
    <mergeCell ref="C355:K355"/>
    <mergeCell ref="C356:K356"/>
    <mergeCell ref="C357:K357"/>
    <mergeCell ref="C358:K358"/>
    <mergeCell ref="C359:K359"/>
    <mergeCell ref="C360:K360"/>
    <mergeCell ref="C349:K349"/>
    <mergeCell ref="C350:K350"/>
    <mergeCell ref="C351:K351"/>
    <mergeCell ref="C352:K352"/>
    <mergeCell ref="C353:K353"/>
    <mergeCell ref="C354:K354"/>
    <mergeCell ref="C343:K343"/>
    <mergeCell ref="C344:K344"/>
    <mergeCell ref="C345:K345"/>
    <mergeCell ref="C346:K346"/>
    <mergeCell ref="C347:K347"/>
    <mergeCell ref="C348:K348"/>
    <mergeCell ref="C335:E335"/>
    <mergeCell ref="C336:E336"/>
    <mergeCell ref="C337:E337"/>
    <mergeCell ref="C338:E338"/>
    <mergeCell ref="C339:E339"/>
    <mergeCell ref="C340:E340"/>
    <mergeCell ref="C329:E329"/>
    <mergeCell ref="C330:E330"/>
    <mergeCell ref="C331:E331"/>
    <mergeCell ref="C332:E332"/>
    <mergeCell ref="C333:E333"/>
    <mergeCell ref="C334:E334"/>
    <mergeCell ref="C323:E323"/>
    <mergeCell ref="C324:E324"/>
    <mergeCell ref="A325:N325"/>
    <mergeCell ref="C326:E326"/>
    <mergeCell ref="C327:N327"/>
    <mergeCell ref="C328:N328"/>
    <mergeCell ref="C317:E317"/>
    <mergeCell ref="C318:E318"/>
    <mergeCell ref="C319:E319"/>
    <mergeCell ref="C320:E320"/>
    <mergeCell ref="C321:E321"/>
    <mergeCell ref="C322:E322"/>
    <mergeCell ref="C311:E311"/>
    <mergeCell ref="C312:N312"/>
    <mergeCell ref="C313:N313"/>
    <mergeCell ref="C314:E314"/>
    <mergeCell ref="C315:E315"/>
    <mergeCell ref="C316:E316"/>
    <mergeCell ref="C304:E304"/>
    <mergeCell ref="C305:E305"/>
    <mergeCell ref="C306:E306"/>
    <mergeCell ref="C307:E307"/>
    <mergeCell ref="C308:E308"/>
    <mergeCell ref="A310:N310"/>
    <mergeCell ref="C298:E298"/>
    <mergeCell ref="C299:E299"/>
    <mergeCell ref="C300:E300"/>
    <mergeCell ref="C301:E301"/>
    <mergeCell ref="C302:E302"/>
    <mergeCell ref="C303:E303"/>
    <mergeCell ref="C292:N292"/>
    <mergeCell ref="C293:E293"/>
    <mergeCell ref="C294:N294"/>
    <mergeCell ref="C295:N295"/>
    <mergeCell ref="C296:E296"/>
    <mergeCell ref="C297:E297"/>
    <mergeCell ref="C283:E283"/>
    <mergeCell ref="C284:E284"/>
    <mergeCell ref="C285:E285"/>
    <mergeCell ref="C287:E287"/>
    <mergeCell ref="C289:N289"/>
    <mergeCell ref="C290:E290"/>
    <mergeCell ref="C277:E277"/>
    <mergeCell ref="C278:E278"/>
    <mergeCell ref="C279:E279"/>
    <mergeCell ref="C280:E280"/>
    <mergeCell ref="C281:E281"/>
    <mergeCell ref="C282:E282"/>
    <mergeCell ref="C271:N271"/>
    <mergeCell ref="C272:E272"/>
    <mergeCell ref="C273:E273"/>
    <mergeCell ref="C274:E274"/>
    <mergeCell ref="C275:E275"/>
    <mergeCell ref="C276:E276"/>
    <mergeCell ref="C264:E264"/>
    <mergeCell ref="C265:E265"/>
    <mergeCell ref="C266:E266"/>
    <mergeCell ref="C267:E267"/>
    <mergeCell ref="C269:E269"/>
    <mergeCell ref="C270:N270"/>
    <mergeCell ref="C258:E258"/>
    <mergeCell ref="C259:E259"/>
    <mergeCell ref="C260:E260"/>
    <mergeCell ref="C261:E261"/>
    <mergeCell ref="C262:E262"/>
    <mergeCell ref="C263:E263"/>
    <mergeCell ref="C252:E252"/>
    <mergeCell ref="C253:N253"/>
    <mergeCell ref="C254:N254"/>
    <mergeCell ref="C255:E255"/>
    <mergeCell ref="C256:E256"/>
    <mergeCell ref="C257:E257"/>
    <mergeCell ref="C246:E246"/>
    <mergeCell ref="C247:E247"/>
    <mergeCell ref="C248:E248"/>
    <mergeCell ref="C249:E249"/>
    <mergeCell ref="C250:N250"/>
    <mergeCell ref="A251:N251"/>
    <mergeCell ref="C240:E240"/>
    <mergeCell ref="C241:E241"/>
    <mergeCell ref="C242:E242"/>
    <mergeCell ref="C243:E243"/>
    <mergeCell ref="C244:E244"/>
    <mergeCell ref="C245:E245"/>
    <mergeCell ref="C234:E234"/>
    <mergeCell ref="C235:E235"/>
    <mergeCell ref="C236:E236"/>
    <mergeCell ref="C237:N237"/>
    <mergeCell ref="C238:N238"/>
    <mergeCell ref="C239:E239"/>
    <mergeCell ref="C228:E228"/>
    <mergeCell ref="C229:E229"/>
    <mergeCell ref="C230:E230"/>
    <mergeCell ref="C231:E231"/>
    <mergeCell ref="C232:E232"/>
    <mergeCell ref="C233:E233"/>
    <mergeCell ref="C222:E222"/>
    <mergeCell ref="C223:E223"/>
    <mergeCell ref="C224:E224"/>
    <mergeCell ref="C225:E225"/>
    <mergeCell ref="C226:N226"/>
    <mergeCell ref="C227:N227"/>
    <mergeCell ref="C216:N216"/>
    <mergeCell ref="C217:E217"/>
    <mergeCell ref="C218:E218"/>
    <mergeCell ref="C219:E219"/>
    <mergeCell ref="C220:E220"/>
    <mergeCell ref="C221:E221"/>
    <mergeCell ref="C210:E210"/>
    <mergeCell ref="C211:E211"/>
    <mergeCell ref="C212:E212"/>
    <mergeCell ref="C213:E213"/>
    <mergeCell ref="C214:E214"/>
    <mergeCell ref="C215:N215"/>
    <mergeCell ref="C204:N204"/>
    <mergeCell ref="C205:N205"/>
    <mergeCell ref="C206:E206"/>
    <mergeCell ref="C207:E207"/>
    <mergeCell ref="C208:E208"/>
    <mergeCell ref="C209:E209"/>
    <mergeCell ref="C198:K198"/>
    <mergeCell ref="C199:K199"/>
    <mergeCell ref="C200:K200"/>
    <mergeCell ref="A201:N201"/>
    <mergeCell ref="A202:N202"/>
    <mergeCell ref="C203:E203"/>
    <mergeCell ref="C192:K192"/>
    <mergeCell ref="C193:K193"/>
    <mergeCell ref="C194:K194"/>
    <mergeCell ref="C195:K195"/>
    <mergeCell ref="C196:K196"/>
    <mergeCell ref="C197:K197"/>
    <mergeCell ref="C186:K186"/>
    <mergeCell ref="C187:K187"/>
    <mergeCell ref="C188:K188"/>
    <mergeCell ref="C189:K189"/>
    <mergeCell ref="C190:K190"/>
    <mergeCell ref="C191:K191"/>
    <mergeCell ref="C178:E178"/>
    <mergeCell ref="C181:K181"/>
    <mergeCell ref="C182:K182"/>
    <mergeCell ref="C183:K183"/>
    <mergeCell ref="C184:K184"/>
    <mergeCell ref="C185:K185"/>
    <mergeCell ref="C172:E172"/>
    <mergeCell ref="C173:E173"/>
    <mergeCell ref="C174:E174"/>
    <mergeCell ref="C175:E175"/>
    <mergeCell ref="C176:E176"/>
    <mergeCell ref="C177:E177"/>
    <mergeCell ref="C166:N166"/>
    <mergeCell ref="C167:E167"/>
    <mergeCell ref="C168:E168"/>
    <mergeCell ref="C169:E169"/>
    <mergeCell ref="C170:E170"/>
    <mergeCell ref="C171:E171"/>
    <mergeCell ref="C160:E160"/>
    <mergeCell ref="C161:E161"/>
    <mergeCell ref="C162:E162"/>
    <mergeCell ref="A163:N163"/>
    <mergeCell ref="C164:E164"/>
    <mergeCell ref="C165:N165"/>
    <mergeCell ref="C154:E154"/>
    <mergeCell ref="C155:E155"/>
    <mergeCell ref="C156:E156"/>
    <mergeCell ref="C157:E157"/>
    <mergeCell ref="C158:E158"/>
    <mergeCell ref="C159:E159"/>
    <mergeCell ref="A148:N148"/>
    <mergeCell ref="C149:E149"/>
    <mergeCell ref="C150:N150"/>
    <mergeCell ref="C151:N151"/>
    <mergeCell ref="C152:E152"/>
    <mergeCell ref="C153:E153"/>
    <mergeCell ref="C141:E141"/>
    <mergeCell ref="C142:E142"/>
    <mergeCell ref="C143:E143"/>
    <mergeCell ref="C144:E144"/>
    <mergeCell ref="C145:E145"/>
    <mergeCell ref="C146:E146"/>
    <mergeCell ref="C135:E135"/>
    <mergeCell ref="C136:E136"/>
    <mergeCell ref="C137:E137"/>
    <mergeCell ref="C138:E138"/>
    <mergeCell ref="C139:E139"/>
    <mergeCell ref="C140:E140"/>
    <mergeCell ref="C128:E128"/>
    <mergeCell ref="C130:N130"/>
    <mergeCell ref="C131:E131"/>
    <mergeCell ref="C132:N132"/>
    <mergeCell ref="C133:N133"/>
    <mergeCell ref="C134:E134"/>
    <mergeCell ref="C120:E120"/>
    <mergeCell ref="C121:E121"/>
    <mergeCell ref="C122:E122"/>
    <mergeCell ref="C123:E123"/>
    <mergeCell ref="C125:E125"/>
    <mergeCell ref="C127:N127"/>
    <mergeCell ref="C114:E114"/>
    <mergeCell ref="C115:E115"/>
    <mergeCell ref="C116:E116"/>
    <mergeCell ref="C117:E117"/>
    <mergeCell ref="C118:E118"/>
    <mergeCell ref="C119:E119"/>
    <mergeCell ref="C108:N108"/>
    <mergeCell ref="C109:N109"/>
    <mergeCell ref="C110:E110"/>
    <mergeCell ref="C111:E111"/>
    <mergeCell ref="C112:E112"/>
    <mergeCell ref="C113:E113"/>
    <mergeCell ref="C101:E101"/>
    <mergeCell ref="C102:E102"/>
    <mergeCell ref="C103:E103"/>
    <mergeCell ref="C104:E104"/>
    <mergeCell ref="C105:E105"/>
    <mergeCell ref="C107:E107"/>
    <mergeCell ref="C95:E95"/>
    <mergeCell ref="C96:E96"/>
    <mergeCell ref="C97:E97"/>
    <mergeCell ref="C98:E98"/>
    <mergeCell ref="C99:E99"/>
    <mergeCell ref="C100:E100"/>
    <mergeCell ref="A89:N89"/>
    <mergeCell ref="C90:E90"/>
    <mergeCell ref="C91:N91"/>
    <mergeCell ref="C92:N92"/>
    <mergeCell ref="C93:E93"/>
    <mergeCell ref="C94:E94"/>
    <mergeCell ref="C83:E83"/>
    <mergeCell ref="C84:E84"/>
    <mergeCell ref="C85:E85"/>
    <mergeCell ref="C86:E86"/>
    <mergeCell ref="C87:E87"/>
    <mergeCell ref="C88:N88"/>
    <mergeCell ref="C77:E77"/>
    <mergeCell ref="C78:E78"/>
    <mergeCell ref="C79:E79"/>
    <mergeCell ref="C80:E80"/>
    <mergeCell ref="C81:E81"/>
    <mergeCell ref="C82:E82"/>
    <mergeCell ref="C71:E71"/>
    <mergeCell ref="C72:E72"/>
    <mergeCell ref="C73:E73"/>
    <mergeCell ref="C74:E74"/>
    <mergeCell ref="C75:N75"/>
    <mergeCell ref="C76:N76"/>
    <mergeCell ref="C65:N65"/>
    <mergeCell ref="C66:E66"/>
    <mergeCell ref="C67:E67"/>
    <mergeCell ref="C68:E68"/>
    <mergeCell ref="C69:E69"/>
    <mergeCell ref="C70:E70"/>
    <mergeCell ref="C59:E59"/>
    <mergeCell ref="C60:E60"/>
    <mergeCell ref="C61:E61"/>
    <mergeCell ref="C62:E62"/>
    <mergeCell ref="C63:E63"/>
    <mergeCell ref="C64:N64"/>
    <mergeCell ref="C53:N53"/>
    <mergeCell ref="C54:N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E52"/>
    <mergeCell ref="C41:E41"/>
    <mergeCell ref="C42:N42"/>
    <mergeCell ref="C43:N43"/>
    <mergeCell ref="C44:E44"/>
    <mergeCell ref="C45:E45"/>
    <mergeCell ref="C46:E46"/>
    <mergeCell ref="J35:L36"/>
    <mergeCell ref="M35:M37"/>
    <mergeCell ref="N35:N37"/>
    <mergeCell ref="C38:E38"/>
    <mergeCell ref="A39:N39"/>
    <mergeCell ref="A40:N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104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D11"/>
  <sheetViews>
    <sheetView workbookViewId="0">
      <selection activeCell="A8" sqref="A8:D8"/>
    </sheetView>
  </sheetViews>
  <sheetFormatPr defaultRowHeight="15" x14ac:dyDescent="0.25"/>
  <cols>
    <col min="1" max="1" width="7" style="1605" customWidth="1"/>
    <col min="2" max="2" width="81.140625" style="1605" customWidth="1"/>
    <col min="3" max="3" width="19.28515625" style="1605" customWidth="1"/>
    <col min="4" max="4" width="20.7109375" style="1605" customWidth="1"/>
    <col min="5" max="16384" width="9.140625" style="1605"/>
  </cols>
  <sheetData>
    <row r="1" spans="1:4" ht="15.75" x14ac:dyDescent="0.25">
      <c r="A1" s="1701"/>
      <c r="B1" s="1701"/>
      <c r="C1" s="1701"/>
      <c r="D1" s="1701"/>
    </row>
    <row r="2" spans="1:4" ht="92.25" customHeight="1" x14ac:dyDescent="0.25">
      <c r="A2" s="1702" t="s">
        <v>10378</v>
      </c>
      <c r="B2" s="1702"/>
      <c r="C2" s="1702"/>
      <c r="D2" s="1702"/>
    </row>
    <row r="3" spans="1:4" ht="24.75" customHeight="1" x14ac:dyDescent="0.25">
      <c r="A3" s="1703" t="s">
        <v>287</v>
      </c>
      <c r="B3" s="1703" t="s">
        <v>10379</v>
      </c>
      <c r="C3" s="1703" t="s">
        <v>10380</v>
      </c>
      <c r="D3" s="1703"/>
    </row>
    <row r="4" spans="1:4" ht="28.5" customHeight="1" x14ac:dyDescent="0.25">
      <c r="A4" s="1703"/>
      <c r="B4" s="1703"/>
      <c r="C4" s="1606" t="s">
        <v>10381</v>
      </c>
      <c r="D4" s="1606" t="s">
        <v>10382</v>
      </c>
    </row>
    <row r="5" spans="1:4" ht="16.5" customHeight="1" x14ac:dyDescent="0.25">
      <c r="A5" s="1607">
        <v>1</v>
      </c>
      <c r="B5" s="1607">
        <v>2</v>
      </c>
      <c r="C5" s="1607">
        <v>3</v>
      </c>
      <c r="D5" s="1607">
        <v>4</v>
      </c>
    </row>
    <row r="6" spans="1:4" ht="16.5" customHeight="1" x14ac:dyDescent="0.25">
      <c r="A6" s="1698" t="s">
        <v>10383</v>
      </c>
      <c r="B6" s="1699"/>
      <c r="C6" s="1699"/>
      <c r="D6" s="1700"/>
    </row>
    <row r="7" spans="1:4" ht="36.75" customHeight="1" x14ac:dyDescent="0.25">
      <c r="A7" s="1607">
        <v>1</v>
      </c>
      <c r="B7" s="1608" t="s">
        <v>10384</v>
      </c>
      <c r="C7" s="1609" t="s">
        <v>10385</v>
      </c>
      <c r="D7" s="1609" t="s">
        <v>10386</v>
      </c>
    </row>
    <row r="8" spans="1:4" ht="54.75" customHeight="1" x14ac:dyDescent="0.25">
      <c r="A8" s="1698" t="s">
        <v>10387</v>
      </c>
      <c r="B8" s="1699"/>
      <c r="C8" s="1699"/>
      <c r="D8" s="1700"/>
    </row>
    <row r="9" spans="1:4" ht="42" customHeight="1" x14ac:dyDescent="0.25">
      <c r="A9" s="1607">
        <v>2</v>
      </c>
      <c r="B9" s="1608" t="s">
        <v>10384</v>
      </c>
      <c r="C9" s="1609" t="s">
        <v>10388</v>
      </c>
      <c r="D9" s="1609">
        <v>44915</v>
      </c>
    </row>
    <row r="10" spans="1:4" x14ac:dyDescent="0.25">
      <c r="A10" s="1610"/>
      <c r="B10" s="1610"/>
      <c r="C10" s="1610"/>
      <c r="D10" s="1610"/>
    </row>
    <row r="11" spans="1:4" ht="15.75" x14ac:dyDescent="0.25">
      <c r="B11" s="1611" t="s">
        <v>10389</v>
      </c>
    </row>
  </sheetData>
  <mergeCells count="7">
    <mergeCell ref="A8:D8"/>
    <mergeCell ref="A1:D1"/>
    <mergeCell ref="A2:D2"/>
    <mergeCell ref="A3:A4"/>
    <mergeCell ref="B3:B4"/>
    <mergeCell ref="C3:D3"/>
    <mergeCell ref="A6:D6"/>
  </mergeCells>
  <printOptions horizontalCentered="1"/>
  <pageMargins left="0" right="0" top="0.74803149606299213" bottom="0.74803149606299213" header="0.31496062992125984" footer="0.31496062992125984"/>
  <pageSetup paperSize="9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7">
    <pageSetUpPr fitToPage="1"/>
  </sheetPr>
  <dimension ref="B1:I36"/>
  <sheetViews>
    <sheetView showGridLines="0" topLeftCell="B7" zoomScale="115" zoomScaleNormal="115" workbookViewId="0">
      <selection activeCell="E18" sqref="E18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20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 t="s">
        <v>3683</v>
      </c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663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3679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3685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1715.45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507">
        <v>103</v>
      </c>
      <c r="F15" s="508"/>
      <c r="G15" s="509"/>
      <c r="H15" s="9" t="s">
        <v>483</v>
      </c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693">
        <f>I29/E15</f>
        <v>16.655000000000001</v>
      </c>
      <c r="F17" s="508"/>
      <c r="G17" s="509"/>
      <c r="H17" s="9" t="s">
        <v>279</v>
      </c>
      <c r="I17" s="9"/>
    </row>
    <row r="18" spans="2:9" x14ac:dyDescent="0.2">
      <c r="B18" s="6"/>
      <c r="C18" s="24" t="s">
        <v>484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x14ac:dyDescent="0.2">
      <c r="B26" s="511">
        <v>1</v>
      </c>
      <c r="C26" s="512" t="s">
        <v>3680</v>
      </c>
      <c r="D26" s="513" t="s">
        <v>8572</v>
      </c>
      <c r="E26" s="514">
        <v>114.84</v>
      </c>
      <c r="F26" s="514">
        <v>61.9</v>
      </c>
      <c r="G26" s="514">
        <v>1529.8</v>
      </c>
      <c r="H26" s="514"/>
      <c r="I26" s="514">
        <v>1706.54</v>
      </c>
    </row>
    <row r="27" spans="2:9" x14ac:dyDescent="0.2">
      <c r="B27" s="511">
        <v>2</v>
      </c>
      <c r="C27" s="512" t="s">
        <v>3682</v>
      </c>
      <c r="D27" s="513" t="s">
        <v>8573</v>
      </c>
      <c r="E27" s="514">
        <v>8.91</v>
      </c>
      <c r="F27" s="514"/>
      <c r="G27" s="514"/>
      <c r="H27" s="514"/>
      <c r="I27" s="514">
        <v>8.91</v>
      </c>
    </row>
    <row r="28" spans="2:9" x14ac:dyDescent="0.2">
      <c r="B28" s="511" t="s">
        <v>143</v>
      </c>
      <c r="C28" s="512" t="s">
        <v>143</v>
      </c>
      <c r="D28" s="513" t="s">
        <v>6725</v>
      </c>
      <c r="E28" s="514">
        <v>123.75</v>
      </c>
      <c r="F28" s="514">
        <v>61.9</v>
      </c>
      <c r="G28" s="514">
        <v>1529.8</v>
      </c>
      <c r="H28" s="514"/>
      <c r="I28" s="514">
        <v>1715.45</v>
      </c>
    </row>
    <row r="29" spans="2:9" x14ac:dyDescent="0.2">
      <c r="B29" s="511" t="s">
        <v>143</v>
      </c>
      <c r="C29" s="512" t="s">
        <v>143</v>
      </c>
      <c r="D29" s="515" t="s">
        <v>294</v>
      </c>
      <c r="E29" s="527">
        <v>123.75</v>
      </c>
      <c r="F29" s="527">
        <v>61.9</v>
      </c>
      <c r="G29" s="527">
        <v>1529.8</v>
      </c>
      <c r="H29" s="527"/>
      <c r="I29" s="527">
        <v>1715.45</v>
      </c>
    </row>
    <row r="30" spans="2:9" x14ac:dyDescent="0.2">
      <c r="B30" s="31"/>
      <c r="C30" s="32"/>
      <c r="D30" s="33"/>
      <c r="E30" s="34"/>
      <c r="F30" s="34"/>
      <c r="G30" s="34"/>
      <c r="H30" s="34"/>
      <c r="I30" s="34"/>
    </row>
    <row r="33" spans="2:9" ht="15" x14ac:dyDescent="0.2">
      <c r="B33" s="35" t="s">
        <v>149</v>
      </c>
      <c r="D33" s="516"/>
      <c r="E33" s="517"/>
      <c r="F33" s="516"/>
      <c r="G33" s="516" t="s">
        <v>296</v>
      </c>
      <c r="I33" s="518"/>
    </row>
    <row r="34" spans="2:9" ht="15" x14ac:dyDescent="0.2">
      <c r="C34" s="39"/>
      <c r="D34" s="1793" t="s">
        <v>150</v>
      </c>
      <c r="E34" s="1793"/>
      <c r="F34" s="1793"/>
      <c r="G34" s="1793"/>
      <c r="H34" s="1793"/>
      <c r="I34" s="1793"/>
    </row>
    <row r="35" spans="2:9" ht="15" x14ac:dyDescent="0.2">
      <c r="B35" s="35" t="s">
        <v>151</v>
      </c>
      <c r="D35" s="516"/>
      <c r="E35" s="517"/>
      <c r="F35" s="516"/>
      <c r="G35" s="516" t="s">
        <v>297</v>
      </c>
      <c r="H35" s="517"/>
      <c r="I35" s="518"/>
    </row>
    <row r="36" spans="2:9" x14ac:dyDescent="0.2">
      <c r="D36" s="1793" t="s">
        <v>150</v>
      </c>
      <c r="E36" s="1793"/>
      <c r="F36" s="1793"/>
      <c r="G36" s="1793"/>
      <c r="H36" s="1793"/>
      <c r="I36" s="1793"/>
    </row>
  </sheetData>
  <mergeCells count="18">
    <mergeCell ref="B25:I25"/>
    <mergeCell ref="D34:I34"/>
    <mergeCell ref="D36:I36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  <mergeCell ref="B11:I11"/>
    <mergeCell ref="C3:H3"/>
    <mergeCell ref="D4:G4"/>
    <mergeCell ref="C5:H5"/>
    <mergeCell ref="D6:G6"/>
    <mergeCell ref="D10:H10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8">
    <pageSetUpPr fitToPage="1"/>
  </sheetPr>
  <dimension ref="B1:I36"/>
  <sheetViews>
    <sheetView showGridLines="0" topLeftCell="B14" zoomScale="115" zoomScaleNormal="115" workbookViewId="0">
      <selection activeCell="B26" sqref="B26:I27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20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 t="s">
        <v>3683</v>
      </c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663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3679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3685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8213.65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507">
        <v>103</v>
      </c>
      <c r="F15" s="508"/>
      <c r="G15" s="509"/>
      <c r="H15" s="691" t="s">
        <v>483</v>
      </c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693">
        <f>I29/E15</f>
        <v>79.744</v>
      </c>
      <c r="F17" s="508"/>
      <c r="G17" s="509"/>
      <c r="H17" s="691" t="s">
        <v>279</v>
      </c>
      <c r="I17" s="9"/>
    </row>
    <row r="18" spans="2:9" x14ac:dyDescent="0.2">
      <c r="B18" s="6"/>
      <c r="C18" s="24" t="s">
        <v>3396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x14ac:dyDescent="0.2">
      <c r="B26" s="511">
        <v>1</v>
      </c>
      <c r="C26" s="512" t="s">
        <v>3680</v>
      </c>
      <c r="D26" s="513" t="s">
        <v>3681</v>
      </c>
      <c r="E26" s="514">
        <v>737.28</v>
      </c>
      <c r="F26" s="514">
        <v>397.37</v>
      </c>
      <c r="G26" s="514">
        <v>7021.78</v>
      </c>
      <c r="H26" s="514"/>
      <c r="I26" s="514">
        <v>8156.43</v>
      </c>
    </row>
    <row r="27" spans="2:9" x14ac:dyDescent="0.2">
      <c r="B27" s="511">
        <v>2</v>
      </c>
      <c r="C27" s="512" t="s">
        <v>3682</v>
      </c>
      <c r="D27" s="513" t="s">
        <v>606</v>
      </c>
      <c r="E27" s="514">
        <v>57.22</v>
      </c>
      <c r="F27" s="514"/>
      <c r="G27" s="514"/>
      <c r="H27" s="514"/>
      <c r="I27" s="514">
        <v>57.22</v>
      </c>
    </row>
    <row r="28" spans="2:9" x14ac:dyDescent="0.2">
      <c r="B28" s="511" t="s">
        <v>143</v>
      </c>
      <c r="C28" s="512" t="s">
        <v>143</v>
      </c>
      <c r="D28" s="513" t="s">
        <v>6725</v>
      </c>
      <c r="E28" s="514">
        <v>794.5</v>
      </c>
      <c r="F28" s="514">
        <v>397.37</v>
      </c>
      <c r="G28" s="514">
        <v>7021.78</v>
      </c>
      <c r="H28" s="514"/>
      <c r="I28" s="514">
        <v>8213.65</v>
      </c>
    </row>
    <row r="29" spans="2:9" x14ac:dyDescent="0.2">
      <c r="B29" s="672" t="s">
        <v>143</v>
      </c>
      <c r="C29" s="673" t="s">
        <v>143</v>
      </c>
      <c r="D29" s="515" t="s">
        <v>294</v>
      </c>
      <c r="E29" s="527">
        <v>794.5</v>
      </c>
      <c r="F29" s="527">
        <v>397.37</v>
      </c>
      <c r="G29" s="527">
        <v>7021.78</v>
      </c>
      <c r="H29" s="527"/>
      <c r="I29" s="527">
        <v>8213.65</v>
      </c>
    </row>
    <row r="30" spans="2:9" x14ac:dyDescent="0.2">
      <c r="B30" s="31"/>
      <c r="C30" s="32"/>
      <c r="D30" s="33"/>
      <c r="E30" s="34"/>
      <c r="F30" s="34"/>
      <c r="G30" s="34"/>
      <c r="H30" s="34"/>
      <c r="I30" s="34"/>
    </row>
    <row r="33" spans="2:9" ht="15" x14ac:dyDescent="0.2">
      <c r="B33" s="35" t="s">
        <v>149</v>
      </c>
      <c r="D33" s="516"/>
      <c r="E33" s="517"/>
      <c r="F33" s="516"/>
      <c r="G33" s="516" t="s">
        <v>296</v>
      </c>
      <c r="I33" s="518"/>
    </row>
    <row r="34" spans="2:9" ht="15" x14ac:dyDescent="0.2">
      <c r="C34" s="39"/>
      <c r="D34" s="1793" t="s">
        <v>150</v>
      </c>
      <c r="E34" s="1793"/>
      <c r="F34" s="1793"/>
      <c r="G34" s="1793"/>
      <c r="H34" s="1793"/>
      <c r="I34" s="1793"/>
    </row>
    <row r="35" spans="2:9" ht="15" x14ac:dyDescent="0.2">
      <c r="B35" s="35" t="s">
        <v>151</v>
      </c>
      <c r="D35" s="516"/>
      <c r="E35" s="517"/>
      <c r="F35" s="516"/>
      <c r="G35" s="516" t="s">
        <v>297</v>
      </c>
      <c r="H35" s="517"/>
      <c r="I35" s="518"/>
    </row>
    <row r="36" spans="2:9" x14ac:dyDescent="0.2">
      <c r="D36" s="1793" t="s">
        <v>150</v>
      </c>
      <c r="E36" s="1793"/>
      <c r="F36" s="1793"/>
      <c r="G36" s="1793"/>
      <c r="H36" s="1793"/>
      <c r="I36" s="1793"/>
    </row>
  </sheetData>
  <mergeCells count="18">
    <mergeCell ref="B25:I25"/>
    <mergeCell ref="D34:I34"/>
    <mergeCell ref="D36:I36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  <mergeCell ref="B11:I11"/>
    <mergeCell ref="C3:H3"/>
    <mergeCell ref="D4:G4"/>
    <mergeCell ref="C5:H5"/>
    <mergeCell ref="D6:G6"/>
    <mergeCell ref="D10:H10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/>
  <dimension ref="A1:AL561"/>
  <sheetViews>
    <sheetView topLeftCell="A43" zoomScale="115" zoomScaleNormal="115" workbookViewId="0">
      <selection activeCell="K554" sqref="K554"/>
    </sheetView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10.57031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4" width="110.140625" style="537" hidden="1" customWidth="1"/>
    <col min="25" max="28" width="34.140625" style="537" hidden="1" customWidth="1"/>
    <col min="29" max="31" width="84.42578125" style="537" hidden="1" customWidth="1"/>
    <col min="32" max="32" width="138.42578125" style="537" hidden="1" customWidth="1"/>
    <col min="33" max="33" width="110.140625" style="537" hidden="1" customWidth="1"/>
    <col min="34" max="34" width="34.140625" style="537" hidden="1" customWidth="1"/>
    <col min="35" max="37" width="84.42578125" style="537" hidden="1" customWidth="1"/>
    <col min="38" max="38" width="138.42578125" style="537" hidden="1" customWidth="1"/>
    <col min="39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159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3683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3683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3684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3681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3681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3685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8156.43</v>
      </c>
      <c r="D28" s="579" t="s">
        <v>8574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737.28</v>
      </c>
      <c r="D30" s="579" t="s">
        <v>8575</v>
      </c>
      <c r="E30" s="665" t="s">
        <v>167</v>
      </c>
      <c r="G30" s="536" t="s">
        <v>170</v>
      </c>
      <c r="L30" s="580">
        <v>0</v>
      </c>
      <c r="M30" s="579" t="s">
        <v>8576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397.37</v>
      </c>
      <c r="D31" s="583" t="s">
        <v>8577</v>
      </c>
      <c r="E31" s="665" t="s">
        <v>167</v>
      </c>
      <c r="G31" s="536" t="s">
        <v>172</v>
      </c>
      <c r="L31" s="582"/>
      <c r="M31" s="582">
        <v>324.37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7021.78</v>
      </c>
      <c r="D32" s="583" t="s">
        <v>6566</v>
      </c>
      <c r="E32" s="665" t="s">
        <v>167</v>
      </c>
      <c r="G32" s="536" t="s">
        <v>174</v>
      </c>
      <c r="L32" s="582"/>
      <c r="M32" s="582">
        <v>166.29</v>
      </c>
      <c r="N32" s="581" t="s">
        <v>173</v>
      </c>
    </row>
    <row r="33" spans="1:27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7" s="536" customFormat="1" ht="9.75" customHeight="1" x14ac:dyDescent="0.2">
      <c r="A34" s="578"/>
    </row>
    <row r="35" spans="1:27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7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7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7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7" s="536" customFormat="1" ht="12" x14ac:dyDescent="0.2">
      <c r="A39" s="1824" t="s">
        <v>1625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537" t="s">
        <v>1625</v>
      </c>
    </row>
    <row r="40" spans="1:27" s="536" customFormat="1" ht="45" x14ac:dyDescent="0.2">
      <c r="A40" s="575" t="s">
        <v>185</v>
      </c>
      <c r="B40" s="670" t="s">
        <v>3686</v>
      </c>
      <c r="C40" s="1823" t="s">
        <v>3687</v>
      </c>
      <c r="D40" s="1823"/>
      <c r="E40" s="1823"/>
      <c r="F40" s="573" t="s">
        <v>617</v>
      </c>
      <c r="G40" s="573"/>
      <c r="H40" s="573"/>
      <c r="I40" s="573" t="s">
        <v>185</v>
      </c>
      <c r="J40" s="572"/>
      <c r="K40" s="573"/>
      <c r="L40" s="572"/>
      <c r="M40" s="571"/>
      <c r="N40" s="570"/>
      <c r="W40" s="537" t="s">
        <v>3687</v>
      </c>
    </row>
    <row r="41" spans="1:27" s="536" customFormat="1" ht="33.75" x14ac:dyDescent="0.2">
      <c r="A41" s="609"/>
      <c r="B41" s="552" t="s">
        <v>310</v>
      </c>
      <c r="C41" s="1822" t="s">
        <v>311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X41" s="537" t="s">
        <v>311</v>
      </c>
    </row>
    <row r="42" spans="1:27" s="536" customFormat="1" x14ac:dyDescent="0.2">
      <c r="A42" s="605"/>
      <c r="B42" s="552" t="s">
        <v>185</v>
      </c>
      <c r="C42" s="1822" t="s">
        <v>312</v>
      </c>
      <c r="D42" s="1822"/>
      <c r="E42" s="1822"/>
      <c r="F42" s="562"/>
      <c r="G42" s="562"/>
      <c r="H42" s="562"/>
      <c r="I42" s="562"/>
      <c r="J42" s="604">
        <v>267.44</v>
      </c>
      <c r="K42" s="562" t="s">
        <v>313</v>
      </c>
      <c r="L42" s="604">
        <v>334.3</v>
      </c>
      <c r="M42" s="603"/>
      <c r="N42" s="602"/>
      <c r="Y42" s="537" t="s">
        <v>312</v>
      </c>
    </row>
    <row r="43" spans="1:27" s="536" customFormat="1" x14ac:dyDescent="0.2">
      <c r="A43" s="605"/>
      <c r="B43" s="552" t="s">
        <v>186</v>
      </c>
      <c r="C43" s="1822" t="s">
        <v>344</v>
      </c>
      <c r="D43" s="1822"/>
      <c r="E43" s="1822"/>
      <c r="F43" s="562"/>
      <c r="G43" s="562"/>
      <c r="H43" s="562"/>
      <c r="I43" s="562"/>
      <c r="J43" s="604">
        <v>839.94</v>
      </c>
      <c r="K43" s="562" t="s">
        <v>313</v>
      </c>
      <c r="L43" s="604">
        <v>1049.93</v>
      </c>
      <c r="M43" s="603"/>
      <c r="N43" s="602"/>
      <c r="Y43" s="537" t="s">
        <v>344</v>
      </c>
    </row>
    <row r="44" spans="1:27" s="536" customFormat="1" x14ac:dyDescent="0.2">
      <c r="A44" s="605"/>
      <c r="B44" s="552" t="s">
        <v>187</v>
      </c>
      <c r="C44" s="1822" t="s">
        <v>345</v>
      </c>
      <c r="D44" s="1822"/>
      <c r="E44" s="1822"/>
      <c r="F44" s="562"/>
      <c r="G44" s="562"/>
      <c r="H44" s="562"/>
      <c r="I44" s="562"/>
      <c r="J44" s="604">
        <v>100.61</v>
      </c>
      <c r="K44" s="562" t="s">
        <v>313</v>
      </c>
      <c r="L44" s="604">
        <v>125.76</v>
      </c>
      <c r="M44" s="603"/>
      <c r="N44" s="602"/>
      <c r="Y44" s="537" t="s">
        <v>345</v>
      </c>
    </row>
    <row r="45" spans="1:27" s="536" customFormat="1" x14ac:dyDescent="0.2">
      <c r="A45" s="605"/>
      <c r="B45" s="552" t="s">
        <v>188</v>
      </c>
      <c r="C45" s="1822" t="s">
        <v>475</v>
      </c>
      <c r="D45" s="1822"/>
      <c r="E45" s="1822"/>
      <c r="F45" s="562"/>
      <c r="G45" s="562"/>
      <c r="H45" s="562"/>
      <c r="I45" s="562"/>
      <c r="J45" s="604">
        <v>95.18</v>
      </c>
      <c r="K45" s="562"/>
      <c r="L45" s="604">
        <v>95.18</v>
      </c>
      <c r="M45" s="603"/>
      <c r="N45" s="602"/>
      <c r="Y45" s="537" t="s">
        <v>475</v>
      </c>
    </row>
    <row r="46" spans="1:27" s="536" customFormat="1" x14ac:dyDescent="0.2">
      <c r="A46" s="605"/>
      <c r="B46" s="552"/>
      <c r="C46" s="1822" t="s">
        <v>314</v>
      </c>
      <c r="D46" s="1822"/>
      <c r="E46" s="1822"/>
      <c r="F46" s="562" t="s">
        <v>315</v>
      </c>
      <c r="G46" s="562" t="s">
        <v>1179</v>
      </c>
      <c r="H46" s="562" t="s">
        <v>313</v>
      </c>
      <c r="I46" s="562" t="s">
        <v>3688</v>
      </c>
      <c r="J46" s="604"/>
      <c r="K46" s="562"/>
      <c r="L46" s="604"/>
      <c r="M46" s="603"/>
      <c r="N46" s="602"/>
      <c r="Z46" s="537" t="s">
        <v>314</v>
      </c>
    </row>
    <row r="47" spans="1:27" s="536" customFormat="1" x14ac:dyDescent="0.2">
      <c r="A47" s="605"/>
      <c r="B47" s="552"/>
      <c r="C47" s="1822" t="s">
        <v>348</v>
      </c>
      <c r="D47" s="1822"/>
      <c r="E47" s="1822"/>
      <c r="F47" s="562" t="s">
        <v>315</v>
      </c>
      <c r="G47" s="562" t="s">
        <v>3689</v>
      </c>
      <c r="H47" s="562" t="s">
        <v>313</v>
      </c>
      <c r="I47" s="562" t="s">
        <v>3690</v>
      </c>
      <c r="J47" s="604"/>
      <c r="K47" s="562"/>
      <c r="L47" s="604"/>
      <c r="M47" s="603"/>
      <c r="N47" s="602"/>
      <c r="Z47" s="537" t="s">
        <v>348</v>
      </c>
    </row>
    <row r="48" spans="1:27" s="536" customFormat="1" x14ac:dyDescent="0.2">
      <c r="A48" s="605"/>
      <c r="B48" s="552"/>
      <c r="C48" s="1828" t="s">
        <v>318</v>
      </c>
      <c r="D48" s="1828"/>
      <c r="E48" s="1828"/>
      <c r="F48" s="608"/>
      <c r="G48" s="608"/>
      <c r="H48" s="608"/>
      <c r="I48" s="608"/>
      <c r="J48" s="607">
        <v>1202.56</v>
      </c>
      <c r="K48" s="608"/>
      <c r="L48" s="607">
        <v>1479.41</v>
      </c>
      <c r="M48" s="601"/>
      <c r="N48" s="606"/>
      <c r="AA48" s="537" t="s">
        <v>318</v>
      </c>
    </row>
    <row r="49" spans="1:30" s="536" customFormat="1" x14ac:dyDescent="0.2">
      <c r="A49" s="605"/>
      <c r="B49" s="552"/>
      <c r="C49" s="1822" t="s">
        <v>319</v>
      </c>
      <c r="D49" s="1822"/>
      <c r="E49" s="1822"/>
      <c r="F49" s="562"/>
      <c r="G49" s="562"/>
      <c r="H49" s="562"/>
      <c r="I49" s="562"/>
      <c r="J49" s="604"/>
      <c r="K49" s="562"/>
      <c r="L49" s="604">
        <v>460.06</v>
      </c>
      <c r="M49" s="603"/>
      <c r="N49" s="602"/>
      <c r="Z49" s="537" t="s">
        <v>319</v>
      </c>
    </row>
    <row r="50" spans="1:30" s="536" customFormat="1" ht="33.75" x14ac:dyDescent="0.2">
      <c r="A50" s="605"/>
      <c r="B50" s="552" t="s">
        <v>1631</v>
      </c>
      <c r="C50" s="1822" t="s">
        <v>1632</v>
      </c>
      <c r="D50" s="1822"/>
      <c r="E50" s="1822"/>
      <c r="F50" s="562" t="s">
        <v>322</v>
      </c>
      <c r="G50" s="562" t="s">
        <v>1633</v>
      </c>
      <c r="H50" s="562"/>
      <c r="I50" s="562" t="s">
        <v>1633</v>
      </c>
      <c r="J50" s="604"/>
      <c r="K50" s="562"/>
      <c r="L50" s="604">
        <v>446.26</v>
      </c>
      <c r="M50" s="603"/>
      <c r="N50" s="602"/>
      <c r="Z50" s="537" t="s">
        <v>1632</v>
      </c>
    </row>
    <row r="51" spans="1:30" s="536" customFormat="1" ht="33.75" x14ac:dyDescent="0.2">
      <c r="A51" s="605"/>
      <c r="B51" s="552" t="s">
        <v>1634</v>
      </c>
      <c r="C51" s="1822" t="s">
        <v>1635</v>
      </c>
      <c r="D51" s="1822"/>
      <c r="E51" s="1822"/>
      <c r="F51" s="562" t="s">
        <v>322</v>
      </c>
      <c r="G51" s="562" t="s">
        <v>786</v>
      </c>
      <c r="H51" s="562"/>
      <c r="I51" s="562" t="s">
        <v>786</v>
      </c>
      <c r="J51" s="604"/>
      <c r="K51" s="562"/>
      <c r="L51" s="604">
        <v>234.63</v>
      </c>
      <c r="M51" s="603"/>
      <c r="N51" s="602"/>
      <c r="Z51" s="537" t="s">
        <v>1635</v>
      </c>
    </row>
    <row r="52" spans="1:30" s="536" customFormat="1" x14ac:dyDescent="0.2">
      <c r="A52" s="569"/>
      <c r="B52" s="671"/>
      <c r="C52" s="1823" t="s">
        <v>327</v>
      </c>
      <c r="D52" s="1823"/>
      <c r="E52" s="1823"/>
      <c r="F52" s="573"/>
      <c r="G52" s="573"/>
      <c r="H52" s="573"/>
      <c r="I52" s="573"/>
      <c r="J52" s="572"/>
      <c r="K52" s="573"/>
      <c r="L52" s="572">
        <v>2160.3000000000002</v>
      </c>
      <c r="M52" s="601"/>
      <c r="N52" s="570"/>
      <c r="AB52" s="537" t="s">
        <v>327</v>
      </c>
    </row>
    <row r="53" spans="1:30" s="536" customFormat="1" ht="101.25" x14ac:dyDescent="0.2">
      <c r="A53" s="575" t="s">
        <v>625</v>
      </c>
      <c r="B53" s="670" t="s">
        <v>3691</v>
      </c>
      <c r="C53" s="1823" t="s">
        <v>3692</v>
      </c>
      <c r="D53" s="1823"/>
      <c r="E53" s="1823"/>
      <c r="F53" s="573" t="s">
        <v>617</v>
      </c>
      <c r="G53" s="573"/>
      <c r="H53" s="573"/>
      <c r="I53" s="573" t="s">
        <v>185</v>
      </c>
      <c r="J53" s="572">
        <v>6938514.5</v>
      </c>
      <c r="K53" s="573" t="s">
        <v>629</v>
      </c>
      <c r="L53" s="572">
        <v>1529798.91</v>
      </c>
      <c r="M53" s="571">
        <v>4.59</v>
      </c>
      <c r="N53" s="570">
        <v>7021777</v>
      </c>
      <c r="W53" s="537" t="s">
        <v>3692</v>
      </c>
    </row>
    <row r="54" spans="1:30" s="536" customFormat="1" x14ac:dyDescent="0.2">
      <c r="A54" s="569"/>
      <c r="B54" s="671"/>
      <c r="C54" s="665" t="s">
        <v>630</v>
      </c>
      <c r="D54" s="666"/>
      <c r="E54" s="666"/>
      <c r="F54" s="563"/>
      <c r="G54" s="563"/>
      <c r="H54" s="563"/>
      <c r="I54" s="563"/>
      <c r="J54" s="566"/>
      <c r="K54" s="563"/>
      <c r="L54" s="566"/>
      <c r="M54" s="565"/>
      <c r="N54" s="564"/>
    </row>
    <row r="55" spans="1:30" s="536" customFormat="1" ht="22.5" x14ac:dyDescent="0.2">
      <c r="A55" s="609"/>
      <c r="B55" s="552" t="s">
        <v>631</v>
      </c>
      <c r="C55" s="1822" t="s">
        <v>632</v>
      </c>
      <c r="D55" s="1822"/>
      <c r="E55" s="1822"/>
      <c r="F55" s="1822"/>
      <c r="G55" s="1822"/>
      <c r="H55" s="1822"/>
      <c r="I55" s="1822"/>
      <c r="J55" s="1822"/>
      <c r="K55" s="1822"/>
      <c r="L55" s="1822"/>
      <c r="M55" s="1822"/>
      <c r="N55" s="1827"/>
      <c r="X55" s="537" t="s">
        <v>632</v>
      </c>
    </row>
    <row r="56" spans="1:30" s="536" customFormat="1" ht="1.5" customHeight="1" x14ac:dyDescent="0.2">
      <c r="A56" s="563"/>
      <c r="B56" s="671"/>
      <c r="C56" s="671"/>
      <c r="D56" s="671"/>
      <c r="E56" s="671"/>
      <c r="F56" s="563"/>
      <c r="G56" s="563"/>
      <c r="H56" s="563"/>
      <c r="I56" s="563"/>
      <c r="J56" s="546"/>
      <c r="K56" s="563"/>
      <c r="L56" s="546"/>
      <c r="M56" s="562"/>
      <c r="N56" s="546"/>
    </row>
    <row r="57" spans="1:30" s="536" customFormat="1" x14ac:dyDescent="0.2">
      <c r="A57" s="557"/>
      <c r="B57" s="556"/>
      <c r="C57" s="1823" t="s">
        <v>1645</v>
      </c>
      <c r="D57" s="1823"/>
      <c r="E57" s="1823"/>
      <c r="F57" s="1823"/>
      <c r="G57" s="1823"/>
      <c r="H57" s="1823"/>
      <c r="I57" s="1823"/>
      <c r="J57" s="1823"/>
      <c r="K57" s="1823"/>
      <c r="L57" s="555"/>
      <c r="M57" s="554"/>
      <c r="N57" s="553"/>
      <c r="AC57" s="537" t="s">
        <v>1645</v>
      </c>
    </row>
    <row r="58" spans="1:30" s="536" customFormat="1" x14ac:dyDescent="0.2">
      <c r="A58" s="548"/>
      <c r="B58" s="552"/>
      <c r="C58" s="1822" t="s">
        <v>403</v>
      </c>
      <c r="D58" s="1822"/>
      <c r="E58" s="1822"/>
      <c r="F58" s="1822"/>
      <c r="G58" s="1822"/>
      <c r="H58" s="1822"/>
      <c r="I58" s="1822"/>
      <c r="J58" s="1822"/>
      <c r="K58" s="1822"/>
      <c r="L58" s="551">
        <v>1479.41</v>
      </c>
      <c r="M58" s="550"/>
      <c r="N58" s="549"/>
      <c r="AD58" s="537" t="s">
        <v>403</v>
      </c>
    </row>
    <row r="59" spans="1:30" s="536" customFormat="1" x14ac:dyDescent="0.2">
      <c r="A59" s="548"/>
      <c r="B59" s="552"/>
      <c r="C59" s="1822" t="s">
        <v>204</v>
      </c>
      <c r="D59" s="1822"/>
      <c r="E59" s="1822"/>
      <c r="F59" s="1822"/>
      <c r="G59" s="1822"/>
      <c r="H59" s="1822"/>
      <c r="I59" s="1822"/>
      <c r="J59" s="1822"/>
      <c r="K59" s="1822"/>
      <c r="L59" s="551"/>
      <c r="M59" s="550"/>
      <c r="N59" s="549"/>
      <c r="AD59" s="537" t="s">
        <v>204</v>
      </c>
    </row>
    <row r="60" spans="1:30" s="536" customFormat="1" x14ac:dyDescent="0.2">
      <c r="A60" s="548"/>
      <c r="B60" s="552"/>
      <c r="C60" s="1822" t="s">
        <v>404</v>
      </c>
      <c r="D60" s="1822"/>
      <c r="E60" s="1822"/>
      <c r="F60" s="1822"/>
      <c r="G60" s="1822"/>
      <c r="H60" s="1822"/>
      <c r="I60" s="1822"/>
      <c r="J60" s="1822"/>
      <c r="K60" s="1822"/>
      <c r="L60" s="551">
        <v>334.3</v>
      </c>
      <c r="M60" s="550"/>
      <c r="N60" s="549"/>
      <c r="AD60" s="537" t="s">
        <v>404</v>
      </c>
    </row>
    <row r="61" spans="1:30" s="536" customFormat="1" x14ac:dyDescent="0.2">
      <c r="A61" s="548"/>
      <c r="B61" s="552"/>
      <c r="C61" s="1822" t="s">
        <v>405</v>
      </c>
      <c r="D61" s="1822"/>
      <c r="E61" s="1822"/>
      <c r="F61" s="1822"/>
      <c r="G61" s="1822"/>
      <c r="H61" s="1822"/>
      <c r="I61" s="1822"/>
      <c r="J61" s="1822"/>
      <c r="K61" s="1822"/>
      <c r="L61" s="551">
        <v>1049.93</v>
      </c>
      <c r="M61" s="550"/>
      <c r="N61" s="549"/>
      <c r="AD61" s="537" t="s">
        <v>405</v>
      </c>
    </row>
    <row r="62" spans="1:30" s="536" customFormat="1" x14ac:dyDescent="0.2">
      <c r="A62" s="548"/>
      <c r="B62" s="552"/>
      <c r="C62" s="1822" t="s">
        <v>406</v>
      </c>
      <c r="D62" s="1822"/>
      <c r="E62" s="1822"/>
      <c r="F62" s="1822"/>
      <c r="G62" s="1822"/>
      <c r="H62" s="1822"/>
      <c r="I62" s="1822"/>
      <c r="J62" s="1822"/>
      <c r="K62" s="1822"/>
      <c r="L62" s="551">
        <v>125.76</v>
      </c>
      <c r="M62" s="550"/>
      <c r="N62" s="549"/>
      <c r="AD62" s="537" t="s">
        <v>406</v>
      </c>
    </row>
    <row r="63" spans="1:30" s="536" customFormat="1" x14ac:dyDescent="0.2">
      <c r="A63" s="548"/>
      <c r="B63" s="552"/>
      <c r="C63" s="1822" t="s">
        <v>480</v>
      </c>
      <c r="D63" s="1822"/>
      <c r="E63" s="1822"/>
      <c r="F63" s="1822"/>
      <c r="G63" s="1822"/>
      <c r="H63" s="1822"/>
      <c r="I63" s="1822"/>
      <c r="J63" s="1822"/>
      <c r="K63" s="1822"/>
      <c r="L63" s="551">
        <v>95.18</v>
      </c>
      <c r="M63" s="550"/>
      <c r="N63" s="549"/>
      <c r="AD63" s="537" t="s">
        <v>480</v>
      </c>
    </row>
    <row r="64" spans="1:30" s="536" customFormat="1" x14ac:dyDescent="0.2">
      <c r="A64" s="548"/>
      <c r="B64" s="552" t="s">
        <v>185</v>
      </c>
      <c r="C64" s="1822" t="s">
        <v>753</v>
      </c>
      <c r="D64" s="1822"/>
      <c r="E64" s="1822"/>
      <c r="F64" s="1822"/>
      <c r="G64" s="1822"/>
      <c r="H64" s="1822"/>
      <c r="I64" s="1822"/>
      <c r="J64" s="1822"/>
      <c r="K64" s="1822"/>
      <c r="L64" s="551">
        <v>2160.3000000000002</v>
      </c>
      <c r="M64" s="550"/>
      <c r="N64" s="549"/>
      <c r="AD64" s="537" t="s">
        <v>753</v>
      </c>
    </row>
    <row r="65" spans="1:32" s="536" customFormat="1" x14ac:dyDescent="0.2">
      <c r="A65" s="548"/>
      <c r="B65" s="552"/>
      <c r="C65" s="1822" t="s">
        <v>204</v>
      </c>
      <c r="D65" s="1822"/>
      <c r="E65" s="1822"/>
      <c r="F65" s="1822"/>
      <c r="G65" s="1822"/>
      <c r="H65" s="1822"/>
      <c r="I65" s="1822"/>
      <c r="J65" s="1822"/>
      <c r="K65" s="1822"/>
      <c r="L65" s="551"/>
      <c r="M65" s="550"/>
      <c r="N65" s="549"/>
      <c r="AD65" s="537" t="s">
        <v>204</v>
      </c>
    </row>
    <row r="66" spans="1:32" s="536" customFormat="1" x14ac:dyDescent="0.2">
      <c r="A66" s="548"/>
      <c r="B66" s="552"/>
      <c r="C66" s="1822" t="s">
        <v>546</v>
      </c>
      <c r="D66" s="1822"/>
      <c r="E66" s="1822"/>
      <c r="F66" s="1822"/>
      <c r="G66" s="1822"/>
      <c r="H66" s="1822"/>
      <c r="I66" s="1822"/>
      <c r="J66" s="1822"/>
      <c r="K66" s="1822"/>
      <c r="L66" s="551">
        <v>334.3</v>
      </c>
      <c r="M66" s="550"/>
      <c r="N66" s="549"/>
      <c r="AD66" s="537" t="s">
        <v>546</v>
      </c>
    </row>
    <row r="67" spans="1:32" s="536" customFormat="1" x14ac:dyDescent="0.2">
      <c r="A67" s="548"/>
      <c r="B67" s="552"/>
      <c r="C67" s="1822" t="s">
        <v>442</v>
      </c>
      <c r="D67" s="1822"/>
      <c r="E67" s="1822"/>
      <c r="F67" s="1822"/>
      <c r="G67" s="1822"/>
      <c r="H67" s="1822"/>
      <c r="I67" s="1822"/>
      <c r="J67" s="1822"/>
      <c r="K67" s="1822"/>
      <c r="L67" s="551">
        <v>1049.93</v>
      </c>
      <c r="M67" s="550"/>
      <c r="N67" s="549"/>
      <c r="AD67" s="537" t="s">
        <v>442</v>
      </c>
    </row>
    <row r="68" spans="1:32" s="536" customFormat="1" x14ac:dyDescent="0.2">
      <c r="A68" s="548"/>
      <c r="B68" s="552"/>
      <c r="C68" s="1822" t="s">
        <v>547</v>
      </c>
      <c r="D68" s="1822"/>
      <c r="E68" s="1822"/>
      <c r="F68" s="1822"/>
      <c r="G68" s="1822"/>
      <c r="H68" s="1822"/>
      <c r="I68" s="1822"/>
      <c r="J68" s="1822"/>
      <c r="K68" s="1822"/>
      <c r="L68" s="551">
        <v>95.18</v>
      </c>
      <c r="M68" s="550"/>
      <c r="N68" s="549"/>
      <c r="AD68" s="537" t="s">
        <v>547</v>
      </c>
    </row>
    <row r="69" spans="1:32" s="536" customFormat="1" x14ac:dyDescent="0.2">
      <c r="A69" s="548"/>
      <c r="B69" s="552"/>
      <c r="C69" s="1822" t="s">
        <v>443</v>
      </c>
      <c r="D69" s="1822"/>
      <c r="E69" s="1822"/>
      <c r="F69" s="1822"/>
      <c r="G69" s="1822"/>
      <c r="H69" s="1822"/>
      <c r="I69" s="1822"/>
      <c r="J69" s="1822"/>
      <c r="K69" s="1822"/>
      <c r="L69" s="551">
        <v>446.26</v>
      </c>
      <c r="M69" s="550"/>
      <c r="N69" s="549"/>
      <c r="AD69" s="537" t="s">
        <v>443</v>
      </c>
    </row>
    <row r="70" spans="1:32" s="536" customFormat="1" x14ac:dyDescent="0.2">
      <c r="A70" s="548"/>
      <c r="B70" s="552"/>
      <c r="C70" s="1822" t="s">
        <v>444</v>
      </c>
      <c r="D70" s="1822"/>
      <c r="E70" s="1822"/>
      <c r="F70" s="1822"/>
      <c r="G70" s="1822"/>
      <c r="H70" s="1822"/>
      <c r="I70" s="1822"/>
      <c r="J70" s="1822"/>
      <c r="K70" s="1822"/>
      <c r="L70" s="551">
        <v>234.63</v>
      </c>
      <c r="M70" s="550"/>
      <c r="N70" s="549"/>
      <c r="AD70" s="537" t="s">
        <v>444</v>
      </c>
    </row>
    <row r="71" spans="1:32" s="536" customFormat="1" x14ac:dyDescent="0.2">
      <c r="A71" s="548"/>
      <c r="B71" s="552" t="s">
        <v>186</v>
      </c>
      <c r="C71" s="1822" t="s">
        <v>754</v>
      </c>
      <c r="D71" s="1822"/>
      <c r="E71" s="1822"/>
      <c r="F71" s="1822"/>
      <c r="G71" s="1822"/>
      <c r="H71" s="1822"/>
      <c r="I71" s="1822"/>
      <c r="J71" s="1822"/>
      <c r="K71" s="1822"/>
      <c r="L71" s="551">
        <v>1529798.91</v>
      </c>
      <c r="M71" s="550"/>
      <c r="N71" s="549"/>
      <c r="AD71" s="537" t="s">
        <v>754</v>
      </c>
    </row>
    <row r="72" spans="1:32" s="536" customFormat="1" x14ac:dyDescent="0.2">
      <c r="A72" s="548"/>
      <c r="B72" s="552"/>
      <c r="C72" s="1822" t="s">
        <v>415</v>
      </c>
      <c r="D72" s="1822"/>
      <c r="E72" s="1822"/>
      <c r="F72" s="1822"/>
      <c r="G72" s="1822"/>
      <c r="H72" s="1822"/>
      <c r="I72" s="1822"/>
      <c r="J72" s="1822"/>
      <c r="K72" s="1822"/>
      <c r="L72" s="551">
        <v>460.06</v>
      </c>
      <c r="M72" s="550"/>
      <c r="N72" s="549"/>
      <c r="AD72" s="537" t="s">
        <v>415</v>
      </c>
    </row>
    <row r="73" spans="1:32" s="536" customFormat="1" x14ac:dyDescent="0.2">
      <c r="A73" s="548"/>
      <c r="B73" s="552"/>
      <c r="C73" s="1822" t="s">
        <v>416</v>
      </c>
      <c r="D73" s="1822"/>
      <c r="E73" s="1822"/>
      <c r="F73" s="1822"/>
      <c r="G73" s="1822"/>
      <c r="H73" s="1822"/>
      <c r="I73" s="1822"/>
      <c r="J73" s="1822"/>
      <c r="K73" s="1822"/>
      <c r="L73" s="551">
        <v>446.26</v>
      </c>
      <c r="M73" s="550"/>
      <c r="N73" s="549"/>
      <c r="AD73" s="537" t="s">
        <v>416</v>
      </c>
    </row>
    <row r="74" spans="1:32" s="536" customFormat="1" x14ac:dyDescent="0.2">
      <c r="A74" s="548"/>
      <c r="B74" s="552"/>
      <c r="C74" s="1822" t="s">
        <v>417</v>
      </c>
      <c r="D74" s="1822"/>
      <c r="E74" s="1822"/>
      <c r="F74" s="1822"/>
      <c r="G74" s="1822"/>
      <c r="H74" s="1822"/>
      <c r="I74" s="1822"/>
      <c r="J74" s="1822"/>
      <c r="K74" s="1822"/>
      <c r="L74" s="551">
        <v>234.63</v>
      </c>
      <c r="M74" s="550"/>
      <c r="N74" s="549"/>
      <c r="AD74" s="537" t="s">
        <v>417</v>
      </c>
    </row>
    <row r="75" spans="1:32" s="536" customFormat="1" x14ac:dyDescent="0.2">
      <c r="A75" s="548"/>
      <c r="B75" s="546"/>
      <c r="C75" s="1819" t="s">
        <v>1646</v>
      </c>
      <c r="D75" s="1819"/>
      <c r="E75" s="1819"/>
      <c r="F75" s="1819"/>
      <c r="G75" s="1819"/>
      <c r="H75" s="1819"/>
      <c r="I75" s="1819"/>
      <c r="J75" s="1819"/>
      <c r="K75" s="1819"/>
      <c r="L75" s="544">
        <v>1531959.21</v>
      </c>
      <c r="M75" s="543"/>
      <c r="N75" s="681"/>
      <c r="AE75" s="537" t="s">
        <v>1646</v>
      </c>
    </row>
    <row r="76" spans="1:32" s="536" customFormat="1" x14ac:dyDescent="0.2">
      <c r="A76" s="548"/>
      <c r="B76" s="552"/>
      <c r="C76" s="1822" t="s">
        <v>204</v>
      </c>
      <c r="D76" s="1822"/>
      <c r="E76" s="1822"/>
      <c r="F76" s="1822"/>
      <c r="G76" s="1822"/>
      <c r="H76" s="1822"/>
      <c r="I76" s="1822"/>
      <c r="J76" s="1822"/>
      <c r="K76" s="1822"/>
      <c r="L76" s="551"/>
      <c r="M76" s="550"/>
      <c r="N76" s="549"/>
      <c r="AD76" s="537" t="s">
        <v>204</v>
      </c>
    </row>
    <row r="77" spans="1:32" s="536" customFormat="1" x14ac:dyDescent="0.2">
      <c r="A77" s="548"/>
      <c r="B77" s="552"/>
      <c r="C77" s="1822" t="s">
        <v>8097</v>
      </c>
      <c r="D77" s="1822"/>
      <c r="E77" s="1822"/>
      <c r="F77" s="1822"/>
      <c r="G77" s="1822"/>
      <c r="H77" s="1822"/>
      <c r="I77" s="1822"/>
      <c r="J77" s="1822"/>
      <c r="K77" s="1822"/>
      <c r="L77" s="551">
        <v>1529798.91</v>
      </c>
      <c r="M77" s="550"/>
      <c r="N77" s="549"/>
      <c r="AD77" s="537" t="s">
        <v>8097</v>
      </c>
    </row>
    <row r="78" spans="1:32" s="536" customFormat="1" ht="12" x14ac:dyDescent="0.2">
      <c r="A78" s="1824" t="s">
        <v>6567</v>
      </c>
      <c r="B78" s="1825"/>
      <c r="C78" s="1825"/>
      <c r="D78" s="1825"/>
      <c r="E78" s="1825"/>
      <c r="F78" s="1825"/>
      <c r="G78" s="1825"/>
      <c r="H78" s="1825"/>
      <c r="I78" s="1825"/>
      <c r="J78" s="1825"/>
      <c r="K78" s="1825"/>
      <c r="L78" s="1825"/>
      <c r="M78" s="1825"/>
      <c r="N78" s="1826"/>
      <c r="V78" s="537" t="s">
        <v>6567</v>
      </c>
    </row>
    <row r="79" spans="1:32" s="536" customFormat="1" x14ac:dyDescent="0.2">
      <c r="A79" s="1830" t="s">
        <v>6568</v>
      </c>
      <c r="B79" s="1831"/>
      <c r="C79" s="1831"/>
      <c r="D79" s="1831"/>
      <c r="E79" s="1831"/>
      <c r="F79" s="1831"/>
      <c r="G79" s="1831"/>
      <c r="H79" s="1831"/>
      <c r="I79" s="1831"/>
      <c r="J79" s="1831"/>
      <c r="K79" s="1831"/>
      <c r="L79" s="1831"/>
      <c r="M79" s="1831"/>
      <c r="N79" s="1832"/>
      <c r="AF79" s="537" t="s">
        <v>6568</v>
      </c>
    </row>
    <row r="80" spans="1:32" s="536" customFormat="1" ht="56.25" x14ac:dyDescent="0.2">
      <c r="A80" s="575" t="s">
        <v>187</v>
      </c>
      <c r="B80" s="670" t="s">
        <v>3774</v>
      </c>
      <c r="C80" s="1823" t="s">
        <v>3775</v>
      </c>
      <c r="D80" s="1823"/>
      <c r="E80" s="1823"/>
      <c r="F80" s="573" t="s">
        <v>455</v>
      </c>
      <c r="G80" s="573"/>
      <c r="H80" s="573"/>
      <c r="I80" s="573" t="s">
        <v>6569</v>
      </c>
      <c r="J80" s="572"/>
      <c r="K80" s="573"/>
      <c r="L80" s="572"/>
      <c r="M80" s="571"/>
      <c r="N80" s="570"/>
      <c r="W80" s="537" t="s">
        <v>3775</v>
      </c>
    </row>
    <row r="81" spans="1:33" s="536" customFormat="1" x14ac:dyDescent="0.2">
      <c r="A81" s="676"/>
      <c r="B81" s="664"/>
      <c r="C81" s="1822" t="s">
        <v>6570</v>
      </c>
      <c r="D81" s="1822"/>
      <c r="E81" s="1822"/>
      <c r="F81" s="1822"/>
      <c r="G81" s="1822"/>
      <c r="H81" s="1822"/>
      <c r="I81" s="1822"/>
      <c r="J81" s="1822"/>
      <c r="K81" s="1822"/>
      <c r="L81" s="1822"/>
      <c r="M81" s="1822"/>
      <c r="N81" s="1827"/>
      <c r="AG81" s="537" t="s">
        <v>6570</v>
      </c>
    </row>
    <row r="82" spans="1:33" s="536" customFormat="1" ht="33.75" x14ac:dyDescent="0.2">
      <c r="A82" s="609"/>
      <c r="B82" s="552" t="s">
        <v>310</v>
      </c>
      <c r="C82" s="1822" t="s">
        <v>311</v>
      </c>
      <c r="D82" s="1822"/>
      <c r="E82" s="1822"/>
      <c r="F82" s="1822"/>
      <c r="G82" s="1822"/>
      <c r="H82" s="1822"/>
      <c r="I82" s="1822"/>
      <c r="J82" s="1822"/>
      <c r="K82" s="1822"/>
      <c r="L82" s="1822"/>
      <c r="M82" s="1822"/>
      <c r="N82" s="1827"/>
      <c r="X82" s="537" t="s">
        <v>311</v>
      </c>
    </row>
    <row r="83" spans="1:33" s="536" customFormat="1" x14ac:dyDescent="0.2">
      <c r="A83" s="605"/>
      <c r="B83" s="552" t="s">
        <v>186</v>
      </c>
      <c r="C83" s="1822" t="s">
        <v>344</v>
      </c>
      <c r="D83" s="1822"/>
      <c r="E83" s="1822"/>
      <c r="F83" s="562"/>
      <c r="G83" s="562"/>
      <c r="H83" s="562"/>
      <c r="I83" s="562"/>
      <c r="J83" s="604">
        <v>6166.95</v>
      </c>
      <c r="K83" s="562" t="s">
        <v>313</v>
      </c>
      <c r="L83" s="604">
        <v>6.14</v>
      </c>
      <c r="M83" s="603"/>
      <c r="N83" s="602"/>
      <c r="Y83" s="537" t="s">
        <v>344</v>
      </c>
    </row>
    <row r="84" spans="1:33" s="536" customFormat="1" x14ac:dyDescent="0.2">
      <c r="A84" s="605"/>
      <c r="B84" s="552" t="s">
        <v>187</v>
      </c>
      <c r="C84" s="1822" t="s">
        <v>345</v>
      </c>
      <c r="D84" s="1822"/>
      <c r="E84" s="1822"/>
      <c r="F84" s="562"/>
      <c r="G84" s="562"/>
      <c r="H84" s="562"/>
      <c r="I84" s="562"/>
      <c r="J84" s="604">
        <v>722.25</v>
      </c>
      <c r="K84" s="562" t="s">
        <v>313</v>
      </c>
      <c r="L84" s="604">
        <v>0.72</v>
      </c>
      <c r="M84" s="603"/>
      <c r="N84" s="602"/>
      <c r="Y84" s="537" t="s">
        <v>345</v>
      </c>
    </row>
    <row r="85" spans="1:33" s="536" customFormat="1" x14ac:dyDescent="0.2">
      <c r="A85" s="605"/>
      <c r="B85" s="552"/>
      <c r="C85" s="1822" t="s">
        <v>348</v>
      </c>
      <c r="D85" s="1822"/>
      <c r="E85" s="1822"/>
      <c r="F85" s="562" t="s">
        <v>315</v>
      </c>
      <c r="G85" s="562" t="s">
        <v>3776</v>
      </c>
      <c r="H85" s="562" t="s">
        <v>313</v>
      </c>
      <c r="I85" s="562" t="s">
        <v>6571</v>
      </c>
      <c r="J85" s="604"/>
      <c r="K85" s="562"/>
      <c r="L85" s="604"/>
      <c r="M85" s="603"/>
      <c r="N85" s="602"/>
      <c r="Z85" s="537" t="s">
        <v>348</v>
      </c>
    </row>
    <row r="86" spans="1:33" s="536" customFormat="1" x14ac:dyDescent="0.2">
      <c r="A86" s="605"/>
      <c r="B86" s="552"/>
      <c r="C86" s="1828" t="s">
        <v>318</v>
      </c>
      <c r="D86" s="1828"/>
      <c r="E86" s="1828"/>
      <c r="F86" s="608"/>
      <c r="G86" s="608"/>
      <c r="H86" s="608"/>
      <c r="I86" s="608"/>
      <c r="J86" s="607">
        <v>6166.95</v>
      </c>
      <c r="K86" s="608"/>
      <c r="L86" s="607">
        <v>6.14</v>
      </c>
      <c r="M86" s="601"/>
      <c r="N86" s="606"/>
      <c r="AA86" s="537" t="s">
        <v>318</v>
      </c>
    </row>
    <row r="87" spans="1:33" s="536" customFormat="1" x14ac:dyDescent="0.2">
      <c r="A87" s="605"/>
      <c r="B87" s="552"/>
      <c r="C87" s="1822" t="s">
        <v>319</v>
      </c>
      <c r="D87" s="1822"/>
      <c r="E87" s="1822"/>
      <c r="F87" s="562"/>
      <c r="G87" s="562"/>
      <c r="H87" s="562"/>
      <c r="I87" s="562"/>
      <c r="J87" s="604"/>
      <c r="K87" s="562"/>
      <c r="L87" s="604">
        <v>0.72</v>
      </c>
      <c r="M87" s="603"/>
      <c r="N87" s="602"/>
      <c r="Z87" s="537" t="s">
        <v>319</v>
      </c>
    </row>
    <row r="88" spans="1:33" s="536" customFormat="1" ht="33.75" x14ac:dyDescent="0.2">
      <c r="A88" s="605"/>
      <c r="B88" s="552" t="s">
        <v>460</v>
      </c>
      <c r="C88" s="1822" t="s">
        <v>461</v>
      </c>
      <c r="D88" s="1822"/>
      <c r="E88" s="1822"/>
      <c r="F88" s="562" t="s">
        <v>322</v>
      </c>
      <c r="G88" s="562" t="s">
        <v>462</v>
      </c>
      <c r="H88" s="562"/>
      <c r="I88" s="562" t="s">
        <v>462</v>
      </c>
      <c r="J88" s="604"/>
      <c r="K88" s="562"/>
      <c r="L88" s="604">
        <v>0.66</v>
      </c>
      <c r="M88" s="603"/>
      <c r="N88" s="602"/>
      <c r="Z88" s="537" t="s">
        <v>461</v>
      </c>
    </row>
    <row r="89" spans="1:33" s="536" customFormat="1" ht="33.75" x14ac:dyDescent="0.2">
      <c r="A89" s="605"/>
      <c r="B89" s="552" t="s">
        <v>463</v>
      </c>
      <c r="C89" s="1822" t="s">
        <v>464</v>
      </c>
      <c r="D89" s="1822"/>
      <c r="E89" s="1822"/>
      <c r="F89" s="562" t="s">
        <v>322</v>
      </c>
      <c r="G89" s="562" t="s">
        <v>465</v>
      </c>
      <c r="H89" s="562"/>
      <c r="I89" s="562" t="s">
        <v>465</v>
      </c>
      <c r="J89" s="604"/>
      <c r="K89" s="562"/>
      <c r="L89" s="604">
        <v>0.33</v>
      </c>
      <c r="M89" s="603"/>
      <c r="N89" s="602"/>
      <c r="Z89" s="537" t="s">
        <v>464</v>
      </c>
    </row>
    <row r="90" spans="1:33" s="536" customFormat="1" x14ac:dyDescent="0.2">
      <c r="A90" s="569"/>
      <c r="B90" s="671"/>
      <c r="C90" s="1823" t="s">
        <v>327</v>
      </c>
      <c r="D90" s="1823"/>
      <c r="E90" s="1823"/>
      <c r="F90" s="573"/>
      <c r="G90" s="573"/>
      <c r="H90" s="573"/>
      <c r="I90" s="573"/>
      <c r="J90" s="572"/>
      <c r="K90" s="573"/>
      <c r="L90" s="572">
        <v>7.13</v>
      </c>
      <c r="M90" s="601"/>
      <c r="N90" s="570"/>
      <c r="AB90" s="537" t="s">
        <v>327</v>
      </c>
    </row>
    <row r="91" spans="1:33" s="536" customFormat="1" ht="45" x14ac:dyDescent="0.2">
      <c r="A91" s="575" t="s">
        <v>188</v>
      </c>
      <c r="B91" s="670" t="s">
        <v>1511</v>
      </c>
      <c r="C91" s="1823" t="s">
        <v>1512</v>
      </c>
      <c r="D91" s="1823"/>
      <c r="E91" s="1823"/>
      <c r="F91" s="573" t="s">
        <v>455</v>
      </c>
      <c r="G91" s="573"/>
      <c r="H91" s="573"/>
      <c r="I91" s="573" t="s">
        <v>6572</v>
      </c>
      <c r="J91" s="572"/>
      <c r="K91" s="573"/>
      <c r="L91" s="572"/>
      <c r="M91" s="571"/>
      <c r="N91" s="570"/>
      <c r="W91" s="537" t="s">
        <v>1512</v>
      </c>
    </row>
    <row r="92" spans="1:33" s="536" customFormat="1" x14ac:dyDescent="0.2">
      <c r="A92" s="676"/>
      <c r="B92" s="664"/>
      <c r="C92" s="1822" t="s">
        <v>6573</v>
      </c>
      <c r="D92" s="1822"/>
      <c r="E92" s="1822"/>
      <c r="F92" s="1822"/>
      <c r="G92" s="1822"/>
      <c r="H92" s="1822"/>
      <c r="I92" s="1822"/>
      <c r="J92" s="1822"/>
      <c r="K92" s="1822"/>
      <c r="L92" s="1822"/>
      <c r="M92" s="1822"/>
      <c r="N92" s="1827"/>
      <c r="AG92" s="537" t="s">
        <v>6573</v>
      </c>
    </row>
    <row r="93" spans="1:33" s="536" customFormat="1" ht="33.75" x14ac:dyDescent="0.2">
      <c r="A93" s="609"/>
      <c r="B93" s="552" t="s">
        <v>310</v>
      </c>
      <c r="C93" s="1822" t="s">
        <v>311</v>
      </c>
      <c r="D93" s="1822"/>
      <c r="E93" s="1822"/>
      <c r="F93" s="1822"/>
      <c r="G93" s="1822"/>
      <c r="H93" s="1822"/>
      <c r="I93" s="1822"/>
      <c r="J93" s="1822"/>
      <c r="K93" s="1822"/>
      <c r="L93" s="1822"/>
      <c r="M93" s="1822"/>
      <c r="N93" s="1827"/>
      <c r="X93" s="537" t="s">
        <v>311</v>
      </c>
    </row>
    <row r="94" spans="1:33" s="536" customFormat="1" x14ac:dyDescent="0.2">
      <c r="A94" s="605"/>
      <c r="B94" s="552" t="s">
        <v>186</v>
      </c>
      <c r="C94" s="1822" t="s">
        <v>344</v>
      </c>
      <c r="D94" s="1822"/>
      <c r="E94" s="1822"/>
      <c r="F94" s="562"/>
      <c r="G94" s="562"/>
      <c r="H94" s="562"/>
      <c r="I94" s="562"/>
      <c r="J94" s="604">
        <v>4898.9799999999996</v>
      </c>
      <c r="K94" s="562" t="s">
        <v>313</v>
      </c>
      <c r="L94" s="604">
        <v>88.95</v>
      </c>
      <c r="M94" s="603"/>
      <c r="N94" s="602"/>
      <c r="Y94" s="537" t="s">
        <v>344</v>
      </c>
    </row>
    <row r="95" spans="1:33" s="536" customFormat="1" x14ac:dyDescent="0.2">
      <c r="A95" s="605"/>
      <c r="B95" s="552" t="s">
        <v>187</v>
      </c>
      <c r="C95" s="1822" t="s">
        <v>345</v>
      </c>
      <c r="D95" s="1822"/>
      <c r="E95" s="1822"/>
      <c r="F95" s="562"/>
      <c r="G95" s="562"/>
      <c r="H95" s="562"/>
      <c r="I95" s="562"/>
      <c r="J95" s="604">
        <v>573.75</v>
      </c>
      <c r="K95" s="562" t="s">
        <v>313</v>
      </c>
      <c r="L95" s="604">
        <v>10.42</v>
      </c>
      <c r="M95" s="603"/>
      <c r="N95" s="602"/>
      <c r="Y95" s="537" t="s">
        <v>345</v>
      </c>
    </row>
    <row r="96" spans="1:33" s="536" customFormat="1" x14ac:dyDescent="0.2">
      <c r="A96" s="605"/>
      <c r="B96" s="552"/>
      <c r="C96" s="1822" t="s">
        <v>348</v>
      </c>
      <c r="D96" s="1822"/>
      <c r="E96" s="1822"/>
      <c r="F96" s="562" t="s">
        <v>315</v>
      </c>
      <c r="G96" s="562" t="s">
        <v>1513</v>
      </c>
      <c r="H96" s="562" t="s">
        <v>313</v>
      </c>
      <c r="I96" s="562" t="s">
        <v>6574</v>
      </c>
      <c r="J96" s="604"/>
      <c r="K96" s="562"/>
      <c r="L96" s="604"/>
      <c r="M96" s="603"/>
      <c r="N96" s="602"/>
      <c r="Z96" s="537" t="s">
        <v>348</v>
      </c>
    </row>
    <row r="97" spans="1:33" s="536" customFormat="1" x14ac:dyDescent="0.2">
      <c r="A97" s="605"/>
      <c r="B97" s="552"/>
      <c r="C97" s="1828" t="s">
        <v>318</v>
      </c>
      <c r="D97" s="1828"/>
      <c r="E97" s="1828"/>
      <c r="F97" s="608"/>
      <c r="G97" s="608"/>
      <c r="H97" s="608"/>
      <c r="I97" s="608"/>
      <c r="J97" s="607">
        <v>4898.9799999999996</v>
      </c>
      <c r="K97" s="608"/>
      <c r="L97" s="607">
        <v>88.95</v>
      </c>
      <c r="M97" s="601"/>
      <c r="N97" s="606"/>
      <c r="AA97" s="537" t="s">
        <v>318</v>
      </c>
    </row>
    <row r="98" spans="1:33" s="536" customFormat="1" x14ac:dyDescent="0.2">
      <c r="A98" s="605"/>
      <c r="B98" s="552"/>
      <c r="C98" s="1822" t="s">
        <v>319</v>
      </c>
      <c r="D98" s="1822"/>
      <c r="E98" s="1822"/>
      <c r="F98" s="562"/>
      <c r="G98" s="562"/>
      <c r="H98" s="562"/>
      <c r="I98" s="562"/>
      <c r="J98" s="604"/>
      <c r="K98" s="562"/>
      <c r="L98" s="604">
        <v>10.42</v>
      </c>
      <c r="M98" s="603"/>
      <c r="N98" s="602"/>
      <c r="Z98" s="537" t="s">
        <v>319</v>
      </c>
    </row>
    <row r="99" spans="1:33" s="536" customFormat="1" ht="33.75" x14ac:dyDescent="0.2">
      <c r="A99" s="605"/>
      <c r="B99" s="552" t="s">
        <v>460</v>
      </c>
      <c r="C99" s="1822" t="s">
        <v>461</v>
      </c>
      <c r="D99" s="1822"/>
      <c r="E99" s="1822"/>
      <c r="F99" s="562" t="s">
        <v>322</v>
      </c>
      <c r="G99" s="562" t="s">
        <v>462</v>
      </c>
      <c r="H99" s="562"/>
      <c r="I99" s="562" t="s">
        <v>462</v>
      </c>
      <c r="J99" s="604"/>
      <c r="K99" s="562"/>
      <c r="L99" s="604">
        <v>9.59</v>
      </c>
      <c r="M99" s="603"/>
      <c r="N99" s="602"/>
      <c r="Z99" s="537" t="s">
        <v>461</v>
      </c>
    </row>
    <row r="100" spans="1:33" s="536" customFormat="1" ht="33.75" x14ac:dyDescent="0.2">
      <c r="A100" s="605"/>
      <c r="B100" s="552" t="s">
        <v>463</v>
      </c>
      <c r="C100" s="1822" t="s">
        <v>464</v>
      </c>
      <c r="D100" s="1822"/>
      <c r="E100" s="1822"/>
      <c r="F100" s="562" t="s">
        <v>322</v>
      </c>
      <c r="G100" s="562" t="s">
        <v>465</v>
      </c>
      <c r="H100" s="562"/>
      <c r="I100" s="562" t="s">
        <v>465</v>
      </c>
      <c r="J100" s="604"/>
      <c r="K100" s="562"/>
      <c r="L100" s="604">
        <v>4.79</v>
      </c>
      <c r="M100" s="603"/>
      <c r="N100" s="602"/>
      <c r="Z100" s="537" t="s">
        <v>464</v>
      </c>
    </row>
    <row r="101" spans="1:33" s="536" customFormat="1" x14ac:dyDescent="0.2">
      <c r="A101" s="569"/>
      <c r="B101" s="671"/>
      <c r="C101" s="1823" t="s">
        <v>327</v>
      </c>
      <c r="D101" s="1823"/>
      <c r="E101" s="1823"/>
      <c r="F101" s="573"/>
      <c r="G101" s="573"/>
      <c r="H101" s="573"/>
      <c r="I101" s="573"/>
      <c r="J101" s="572"/>
      <c r="K101" s="573"/>
      <c r="L101" s="572">
        <v>103.33</v>
      </c>
      <c r="M101" s="601"/>
      <c r="N101" s="570"/>
      <c r="AB101" s="537" t="s">
        <v>327</v>
      </c>
    </row>
    <row r="102" spans="1:33" s="536" customFormat="1" ht="33.75" x14ac:dyDescent="0.2">
      <c r="A102" s="575" t="s">
        <v>189</v>
      </c>
      <c r="B102" s="670" t="s">
        <v>1514</v>
      </c>
      <c r="C102" s="1823" t="s">
        <v>1515</v>
      </c>
      <c r="D102" s="1823"/>
      <c r="E102" s="1823"/>
      <c r="F102" s="573" t="s">
        <v>509</v>
      </c>
      <c r="G102" s="573"/>
      <c r="H102" s="573"/>
      <c r="I102" s="573" t="s">
        <v>6575</v>
      </c>
      <c r="J102" s="572"/>
      <c r="K102" s="573"/>
      <c r="L102" s="572"/>
      <c r="M102" s="571"/>
      <c r="N102" s="570"/>
      <c r="W102" s="537" t="s">
        <v>1515</v>
      </c>
    </row>
    <row r="103" spans="1:33" s="536" customFormat="1" x14ac:dyDescent="0.2">
      <c r="A103" s="676"/>
      <c r="B103" s="664"/>
      <c r="C103" s="1822" t="s">
        <v>6576</v>
      </c>
      <c r="D103" s="1822"/>
      <c r="E103" s="1822"/>
      <c r="F103" s="1822"/>
      <c r="G103" s="1822"/>
      <c r="H103" s="1822"/>
      <c r="I103" s="1822"/>
      <c r="J103" s="1822"/>
      <c r="K103" s="1822"/>
      <c r="L103" s="1822"/>
      <c r="M103" s="1822"/>
      <c r="N103" s="1827"/>
      <c r="AG103" s="537" t="s">
        <v>6576</v>
      </c>
    </row>
    <row r="104" spans="1:33" s="536" customFormat="1" ht="33.75" x14ac:dyDescent="0.2">
      <c r="A104" s="609"/>
      <c r="B104" s="552" t="s">
        <v>310</v>
      </c>
      <c r="C104" s="1822" t="s">
        <v>311</v>
      </c>
      <c r="D104" s="1822"/>
      <c r="E104" s="1822"/>
      <c r="F104" s="1822"/>
      <c r="G104" s="1822"/>
      <c r="H104" s="1822"/>
      <c r="I104" s="1822"/>
      <c r="J104" s="1822"/>
      <c r="K104" s="1822"/>
      <c r="L104" s="1822"/>
      <c r="M104" s="1822"/>
      <c r="N104" s="1827"/>
      <c r="X104" s="537" t="s">
        <v>311</v>
      </c>
    </row>
    <row r="105" spans="1:33" s="536" customFormat="1" x14ac:dyDescent="0.2">
      <c r="A105" s="605"/>
      <c r="B105" s="552" t="s">
        <v>185</v>
      </c>
      <c r="C105" s="1822" t="s">
        <v>312</v>
      </c>
      <c r="D105" s="1822"/>
      <c r="E105" s="1822"/>
      <c r="F105" s="562"/>
      <c r="G105" s="562"/>
      <c r="H105" s="562"/>
      <c r="I105" s="562"/>
      <c r="J105" s="604">
        <v>3036.68</v>
      </c>
      <c r="K105" s="562" t="s">
        <v>313</v>
      </c>
      <c r="L105" s="604">
        <v>17.989999999999998</v>
      </c>
      <c r="M105" s="603"/>
      <c r="N105" s="602"/>
      <c r="Y105" s="537" t="s">
        <v>312</v>
      </c>
    </row>
    <row r="106" spans="1:33" s="536" customFormat="1" x14ac:dyDescent="0.2">
      <c r="A106" s="605"/>
      <c r="B106" s="552"/>
      <c r="C106" s="1822" t="s">
        <v>314</v>
      </c>
      <c r="D106" s="1822"/>
      <c r="E106" s="1822"/>
      <c r="F106" s="562" t="s">
        <v>315</v>
      </c>
      <c r="G106" s="562" t="s">
        <v>1521</v>
      </c>
      <c r="H106" s="562" t="s">
        <v>313</v>
      </c>
      <c r="I106" s="562" t="s">
        <v>6577</v>
      </c>
      <c r="J106" s="604"/>
      <c r="K106" s="562"/>
      <c r="L106" s="604"/>
      <c r="M106" s="603"/>
      <c r="N106" s="602"/>
      <c r="Z106" s="537" t="s">
        <v>314</v>
      </c>
    </row>
    <row r="107" spans="1:33" s="536" customFormat="1" x14ac:dyDescent="0.2">
      <c r="A107" s="605"/>
      <c r="B107" s="552"/>
      <c r="C107" s="1828" t="s">
        <v>318</v>
      </c>
      <c r="D107" s="1828"/>
      <c r="E107" s="1828"/>
      <c r="F107" s="608"/>
      <c r="G107" s="608"/>
      <c r="H107" s="608"/>
      <c r="I107" s="608"/>
      <c r="J107" s="607">
        <v>3036.68</v>
      </c>
      <c r="K107" s="608"/>
      <c r="L107" s="607">
        <v>17.989999999999998</v>
      </c>
      <c r="M107" s="601"/>
      <c r="N107" s="606"/>
      <c r="AA107" s="537" t="s">
        <v>318</v>
      </c>
    </row>
    <row r="108" spans="1:33" s="536" customFormat="1" x14ac:dyDescent="0.2">
      <c r="A108" s="605"/>
      <c r="B108" s="552"/>
      <c r="C108" s="1822" t="s">
        <v>319</v>
      </c>
      <c r="D108" s="1822"/>
      <c r="E108" s="1822"/>
      <c r="F108" s="562"/>
      <c r="G108" s="562"/>
      <c r="H108" s="562"/>
      <c r="I108" s="562"/>
      <c r="J108" s="604"/>
      <c r="K108" s="562"/>
      <c r="L108" s="604">
        <v>17.989999999999998</v>
      </c>
      <c r="M108" s="603"/>
      <c r="N108" s="602"/>
      <c r="Z108" s="537" t="s">
        <v>319</v>
      </c>
    </row>
    <row r="109" spans="1:33" s="536" customFormat="1" ht="33.75" x14ac:dyDescent="0.2">
      <c r="A109" s="605"/>
      <c r="B109" s="552" t="s">
        <v>673</v>
      </c>
      <c r="C109" s="1822" t="s">
        <v>674</v>
      </c>
      <c r="D109" s="1822"/>
      <c r="E109" s="1822"/>
      <c r="F109" s="562" t="s">
        <v>322</v>
      </c>
      <c r="G109" s="562" t="s">
        <v>323</v>
      </c>
      <c r="H109" s="562"/>
      <c r="I109" s="562" t="s">
        <v>323</v>
      </c>
      <c r="J109" s="604"/>
      <c r="K109" s="562"/>
      <c r="L109" s="604">
        <v>16.010000000000002</v>
      </c>
      <c r="M109" s="603"/>
      <c r="N109" s="602"/>
      <c r="Z109" s="537" t="s">
        <v>674</v>
      </c>
    </row>
    <row r="110" spans="1:33" s="536" customFormat="1" ht="33.75" x14ac:dyDescent="0.2">
      <c r="A110" s="605"/>
      <c r="B110" s="552" t="s">
        <v>675</v>
      </c>
      <c r="C110" s="1822" t="s">
        <v>676</v>
      </c>
      <c r="D110" s="1822"/>
      <c r="E110" s="1822"/>
      <c r="F110" s="562" t="s">
        <v>322</v>
      </c>
      <c r="G110" s="562" t="s">
        <v>677</v>
      </c>
      <c r="H110" s="562"/>
      <c r="I110" s="562" t="s">
        <v>677</v>
      </c>
      <c r="J110" s="604"/>
      <c r="K110" s="562"/>
      <c r="L110" s="604">
        <v>7.2</v>
      </c>
      <c r="M110" s="603"/>
      <c r="N110" s="602"/>
      <c r="Z110" s="537" t="s">
        <v>676</v>
      </c>
    </row>
    <row r="111" spans="1:33" s="536" customFormat="1" x14ac:dyDescent="0.2">
      <c r="A111" s="569"/>
      <c r="B111" s="671"/>
      <c r="C111" s="1823" t="s">
        <v>327</v>
      </c>
      <c r="D111" s="1823"/>
      <c r="E111" s="1823"/>
      <c r="F111" s="573"/>
      <c r="G111" s="573"/>
      <c r="H111" s="573"/>
      <c r="I111" s="573"/>
      <c r="J111" s="572"/>
      <c r="K111" s="573"/>
      <c r="L111" s="572">
        <v>41.2</v>
      </c>
      <c r="M111" s="601"/>
      <c r="N111" s="570"/>
      <c r="AB111" s="537" t="s">
        <v>327</v>
      </c>
    </row>
    <row r="112" spans="1:33" s="536" customFormat="1" ht="45" x14ac:dyDescent="0.2">
      <c r="A112" s="575" t="s">
        <v>190</v>
      </c>
      <c r="B112" s="670" t="s">
        <v>1005</v>
      </c>
      <c r="C112" s="1823" t="s">
        <v>1006</v>
      </c>
      <c r="D112" s="1823"/>
      <c r="E112" s="1823"/>
      <c r="F112" s="573" t="s">
        <v>201</v>
      </c>
      <c r="G112" s="573"/>
      <c r="H112" s="573"/>
      <c r="I112" s="573" t="s">
        <v>6578</v>
      </c>
      <c r="J112" s="572">
        <v>2.91</v>
      </c>
      <c r="K112" s="573"/>
      <c r="L112" s="572">
        <v>5.33</v>
      </c>
      <c r="M112" s="571"/>
      <c r="N112" s="570"/>
      <c r="W112" s="537" t="s">
        <v>1006</v>
      </c>
    </row>
    <row r="113" spans="1:33" s="536" customFormat="1" x14ac:dyDescent="0.2">
      <c r="A113" s="676"/>
      <c r="B113" s="664"/>
      <c r="C113" s="1822" t="s">
        <v>6579</v>
      </c>
      <c r="D113" s="1822"/>
      <c r="E113" s="1822"/>
      <c r="F113" s="1822"/>
      <c r="G113" s="1822"/>
      <c r="H113" s="1822"/>
      <c r="I113" s="1822"/>
      <c r="J113" s="1822"/>
      <c r="K113" s="1822"/>
      <c r="L113" s="1822"/>
      <c r="M113" s="1822"/>
      <c r="N113" s="1827"/>
      <c r="AG113" s="537" t="s">
        <v>6579</v>
      </c>
    </row>
    <row r="114" spans="1:33" s="536" customFormat="1" ht="45" x14ac:dyDescent="0.2">
      <c r="A114" s="575" t="s">
        <v>191</v>
      </c>
      <c r="B114" s="670" t="s">
        <v>503</v>
      </c>
      <c r="C114" s="1823" t="s">
        <v>504</v>
      </c>
      <c r="D114" s="1823"/>
      <c r="E114" s="1823"/>
      <c r="F114" s="573" t="s">
        <v>455</v>
      </c>
      <c r="G114" s="573"/>
      <c r="H114" s="573"/>
      <c r="I114" s="573" t="s">
        <v>6580</v>
      </c>
      <c r="J114" s="572"/>
      <c r="K114" s="573"/>
      <c r="L114" s="572"/>
      <c r="M114" s="571"/>
      <c r="N114" s="570"/>
      <c r="W114" s="537" t="s">
        <v>504</v>
      </c>
    </row>
    <row r="115" spans="1:33" s="536" customFormat="1" x14ac:dyDescent="0.2">
      <c r="A115" s="676"/>
      <c r="B115" s="664"/>
      <c r="C115" s="1822" t="s">
        <v>6581</v>
      </c>
      <c r="D115" s="1822"/>
      <c r="E115" s="1822"/>
      <c r="F115" s="1822"/>
      <c r="G115" s="1822"/>
      <c r="H115" s="1822"/>
      <c r="I115" s="1822"/>
      <c r="J115" s="1822"/>
      <c r="K115" s="1822"/>
      <c r="L115" s="1822"/>
      <c r="M115" s="1822"/>
      <c r="N115" s="1827"/>
      <c r="AG115" s="537" t="s">
        <v>6581</v>
      </c>
    </row>
    <row r="116" spans="1:33" s="536" customFormat="1" ht="33.75" x14ac:dyDescent="0.2">
      <c r="A116" s="609"/>
      <c r="B116" s="552" t="s">
        <v>310</v>
      </c>
      <c r="C116" s="1822" t="s">
        <v>311</v>
      </c>
      <c r="D116" s="1822"/>
      <c r="E116" s="1822"/>
      <c r="F116" s="1822"/>
      <c r="G116" s="1822"/>
      <c r="H116" s="1822"/>
      <c r="I116" s="1822"/>
      <c r="J116" s="1822"/>
      <c r="K116" s="1822"/>
      <c r="L116" s="1822"/>
      <c r="M116" s="1822"/>
      <c r="N116" s="1827"/>
      <c r="X116" s="537" t="s">
        <v>311</v>
      </c>
    </row>
    <row r="117" spans="1:33" s="536" customFormat="1" x14ac:dyDescent="0.2">
      <c r="A117" s="605"/>
      <c r="B117" s="552" t="s">
        <v>186</v>
      </c>
      <c r="C117" s="1822" t="s">
        <v>344</v>
      </c>
      <c r="D117" s="1822"/>
      <c r="E117" s="1822"/>
      <c r="F117" s="562"/>
      <c r="G117" s="562"/>
      <c r="H117" s="562"/>
      <c r="I117" s="562"/>
      <c r="J117" s="604">
        <v>3803.91</v>
      </c>
      <c r="K117" s="562" t="s">
        <v>313</v>
      </c>
      <c r="L117" s="604">
        <v>71.319999999999993</v>
      </c>
      <c r="M117" s="603"/>
      <c r="N117" s="602"/>
      <c r="Y117" s="537" t="s">
        <v>344</v>
      </c>
    </row>
    <row r="118" spans="1:33" s="536" customFormat="1" x14ac:dyDescent="0.2">
      <c r="A118" s="605"/>
      <c r="B118" s="552" t="s">
        <v>187</v>
      </c>
      <c r="C118" s="1822" t="s">
        <v>345</v>
      </c>
      <c r="D118" s="1822"/>
      <c r="E118" s="1822"/>
      <c r="F118" s="562"/>
      <c r="G118" s="562"/>
      <c r="H118" s="562"/>
      <c r="I118" s="562"/>
      <c r="J118" s="604">
        <v>445.5</v>
      </c>
      <c r="K118" s="562" t="s">
        <v>313</v>
      </c>
      <c r="L118" s="604">
        <v>8.35</v>
      </c>
      <c r="M118" s="603"/>
      <c r="N118" s="602"/>
      <c r="Y118" s="537" t="s">
        <v>345</v>
      </c>
    </row>
    <row r="119" spans="1:33" s="536" customFormat="1" x14ac:dyDescent="0.2">
      <c r="A119" s="605"/>
      <c r="B119" s="552"/>
      <c r="C119" s="1822" t="s">
        <v>348</v>
      </c>
      <c r="D119" s="1822"/>
      <c r="E119" s="1822"/>
      <c r="F119" s="562" t="s">
        <v>315</v>
      </c>
      <c r="G119" s="562" t="s">
        <v>505</v>
      </c>
      <c r="H119" s="562" t="s">
        <v>313</v>
      </c>
      <c r="I119" s="562" t="s">
        <v>6582</v>
      </c>
      <c r="J119" s="604"/>
      <c r="K119" s="562"/>
      <c r="L119" s="604"/>
      <c r="M119" s="603"/>
      <c r="N119" s="602"/>
      <c r="Z119" s="537" t="s">
        <v>348</v>
      </c>
    </row>
    <row r="120" spans="1:33" s="536" customFormat="1" x14ac:dyDescent="0.2">
      <c r="A120" s="605"/>
      <c r="B120" s="552"/>
      <c r="C120" s="1828" t="s">
        <v>318</v>
      </c>
      <c r="D120" s="1828"/>
      <c r="E120" s="1828"/>
      <c r="F120" s="608"/>
      <c r="G120" s="608"/>
      <c r="H120" s="608"/>
      <c r="I120" s="608"/>
      <c r="J120" s="607">
        <v>3803.91</v>
      </c>
      <c r="K120" s="608"/>
      <c r="L120" s="607">
        <v>71.319999999999993</v>
      </c>
      <c r="M120" s="601"/>
      <c r="N120" s="606"/>
      <c r="AA120" s="537" t="s">
        <v>318</v>
      </c>
    </row>
    <row r="121" spans="1:33" s="536" customFormat="1" x14ac:dyDescent="0.2">
      <c r="A121" s="605"/>
      <c r="B121" s="552"/>
      <c r="C121" s="1822" t="s">
        <v>319</v>
      </c>
      <c r="D121" s="1822"/>
      <c r="E121" s="1822"/>
      <c r="F121" s="562"/>
      <c r="G121" s="562"/>
      <c r="H121" s="562"/>
      <c r="I121" s="562"/>
      <c r="J121" s="604"/>
      <c r="K121" s="562"/>
      <c r="L121" s="604">
        <v>8.35</v>
      </c>
      <c r="M121" s="603"/>
      <c r="N121" s="602"/>
      <c r="Z121" s="537" t="s">
        <v>319</v>
      </c>
    </row>
    <row r="122" spans="1:33" s="536" customFormat="1" ht="33.75" x14ac:dyDescent="0.2">
      <c r="A122" s="605"/>
      <c r="B122" s="552" t="s">
        <v>460</v>
      </c>
      <c r="C122" s="1822" t="s">
        <v>461</v>
      </c>
      <c r="D122" s="1822"/>
      <c r="E122" s="1822"/>
      <c r="F122" s="562" t="s">
        <v>322</v>
      </c>
      <c r="G122" s="562" t="s">
        <v>462</v>
      </c>
      <c r="H122" s="562"/>
      <c r="I122" s="562" t="s">
        <v>462</v>
      </c>
      <c r="J122" s="604"/>
      <c r="K122" s="562"/>
      <c r="L122" s="604">
        <v>7.68</v>
      </c>
      <c r="M122" s="603"/>
      <c r="N122" s="602"/>
      <c r="Z122" s="537" t="s">
        <v>461</v>
      </c>
    </row>
    <row r="123" spans="1:33" s="536" customFormat="1" ht="33.75" x14ac:dyDescent="0.2">
      <c r="A123" s="605"/>
      <c r="B123" s="552" t="s">
        <v>463</v>
      </c>
      <c r="C123" s="1822" t="s">
        <v>464</v>
      </c>
      <c r="D123" s="1822"/>
      <c r="E123" s="1822"/>
      <c r="F123" s="562" t="s">
        <v>322</v>
      </c>
      <c r="G123" s="562" t="s">
        <v>465</v>
      </c>
      <c r="H123" s="562"/>
      <c r="I123" s="562" t="s">
        <v>465</v>
      </c>
      <c r="J123" s="604"/>
      <c r="K123" s="562"/>
      <c r="L123" s="604">
        <v>3.84</v>
      </c>
      <c r="M123" s="603"/>
      <c r="N123" s="602"/>
      <c r="Z123" s="537" t="s">
        <v>464</v>
      </c>
    </row>
    <row r="124" spans="1:33" s="536" customFormat="1" x14ac:dyDescent="0.2">
      <c r="A124" s="569"/>
      <c r="B124" s="671"/>
      <c r="C124" s="1823" t="s">
        <v>327</v>
      </c>
      <c r="D124" s="1823"/>
      <c r="E124" s="1823"/>
      <c r="F124" s="573"/>
      <c r="G124" s="573"/>
      <c r="H124" s="573"/>
      <c r="I124" s="573"/>
      <c r="J124" s="572"/>
      <c r="K124" s="573"/>
      <c r="L124" s="572">
        <v>82.84</v>
      </c>
      <c r="M124" s="601"/>
      <c r="N124" s="570"/>
      <c r="AB124" s="537" t="s">
        <v>327</v>
      </c>
    </row>
    <row r="125" spans="1:33" s="536" customFormat="1" ht="22.5" x14ac:dyDescent="0.2">
      <c r="A125" s="575" t="s">
        <v>192</v>
      </c>
      <c r="B125" s="670" t="s">
        <v>507</v>
      </c>
      <c r="C125" s="1823" t="s">
        <v>508</v>
      </c>
      <c r="D125" s="1823"/>
      <c r="E125" s="1823"/>
      <c r="F125" s="573" t="s">
        <v>509</v>
      </c>
      <c r="G125" s="573"/>
      <c r="H125" s="573"/>
      <c r="I125" s="573" t="s">
        <v>6583</v>
      </c>
      <c r="J125" s="572"/>
      <c r="K125" s="573"/>
      <c r="L125" s="572"/>
      <c r="M125" s="571"/>
      <c r="N125" s="570"/>
      <c r="W125" s="537" t="s">
        <v>508</v>
      </c>
    </row>
    <row r="126" spans="1:33" s="536" customFormat="1" x14ac:dyDescent="0.2">
      <c r="A126" s="676"/>
      <c r="B126" s="664"/>
      <c r="C126" s="1822" t="s">
        <v>6584</v>
      </c>
      <c r="D126" s="1822"/>
      <c r="E126" s="1822"/>
      <c r="F126" s="1822"/>
      <c r="G126" s="1822"/>
      <c r="H126" s="1822"/>
      <c r="I126" s="1822"/>
      <c r="J126" s="1822"/>
      <c r="K126" s="1822"/>
      <c r="L126" s="1822"/>
      <c r="M126" s="1822"/>
      <c r="N126" s="1827"/>
      <c r="AG126" s="537" t="s">
        <v>6584</v>
      </c>
    </row>
    <row r="127" spans="1:33" s="536" customFormat="1" ht="33.75" x14ac:dyDescent="0.2">
      <c r="A127" s="609"/>
      <c r="B127" s="552" t="s">
        <v>310</v>
      </c>
      <c r="C127" s="1822" t="s">
        <v>311</v>
      </c>
      <c r="D127" s="1822"/>
      <c r="E127" s="1822"/>
      <c r="F127" s="1822"/>
      <c r="G127" s="1822"/>
      <c r="H127" s="1822"/>
      <c r="I127" s="1822"/>
      <c r="J127" s="1822"/>
      <c r="K127" s="1822"/>
      <c r="L127" s="1822"/>
      <c r="M127" s="1822"/>
      <c r="N127" s="1827"/>
      <c r="X127" s="537" t="s">
        <v>311</v>
      </c>
    </row>
    <row r="128" spans="1:33" s="536" customFormat="1" x14ac:dyDescent="0.2">
      <c r="A128" s="605"/>
      <c r="B128" s="552" t="s">
        <v>185</v>
      </c>
      <c r="C128" s="1822" t="s">
        <v>312</v>
      </c>
      <c r="D128" s="1822"/>
      <c r="E128" s="1822"/>
      <c r="F128" s="562"/>
      <c r="G128" s="562"/>
      <c r="H128" s="562"/>
      <c r="I128" s="562"/>
      <c r="J128" s="604">
        <v>127.61</v>
      </c>
      <c r="K128" s="562" t="s">
        <v>313</v>
      </c>
      <c r="L128" s="604">
        <v>23.93</v>
      </c>
      <c r="M128" s="603"/>
      <c r="N128" s="602"/>
      <c r="Y128" s="537" t="s">
        <v>312</v>
      </c>
    </row>
    <row r="129" spans="1:33" s="536" customFormat="1" x14ac:dyDescent="0.2">
      <c r="A129" s="605"/>
      <c r="B129" s="552" t="s">
        <v>186</v>
      </c>
      <c r="C129" s="1822" t="s">
        <v>344</v>
      </c>
      <c r="D129" s="1822"/>
      <c r="E129" s="1822"/>
      <c r="F129" s="562"/>
      <c r="G129" s="562"/>
      <c r="H129" s="562"/>
      <c r="I129" s="562"/>
      <c r="J129" s="604">
        <v>288.58</v>
      </c>
      <c r="K129" s="562" t="s">
        <v>313</v>
      </c>
      <c r="L129" s="604">
        <v>54.11</v>
      </c>
      <c r="M129" s="603"/>
      <c r="N129" s="602"/>
      <c r="Y129" s="537" t="s">
        <v>344</v>
      </c>
    </row>
    <row r="130" spans="1:33" s="536" customFormat="1" x14ac:dyDescent="0.2">
      <c r="A130" s="605"/>
      <c r="B130" s="552" t="s">
        <v>187</v>
      </c>
      <c r="C130" s="1822" t="s">
        <v>345</v>
      </c>
      <c r="D130" s="1822"/>
      <c r="E130" s="1822"/>
      <c r="F130" s="562"/>
      <c r="G130" s="562"/>
      <c r="H130" s="562"/>
      <c r="I130" s="562"/>
      <c r="J130" s="604">
        <v>31.49</v>
      </c>
      <c r="K130" s="562" t="s">
        <v>313</v>
      </c>
      <c r="L130" s="604">
        <v>5.9</v>
      </c>
      <c r="M130" s="603"/>
      <c r="N130" s="602"/>
      <c r="Y130" s="537" t="s">
        <v>345</v>
      </c>
    </row>
    <row r="131" spans="1:33" s="536" customFormat="1" x14ac:dyDescent="0.2">
      <c r="A131" s="605"/>
      <c r="B131" s="552"/>
      <c r="C131" s="1822" t="s">
        <v>314</v>
      </c>
      <c r="D131" s="1822"/>
      <c r="E131" s="1822"/>
      <c r="F131" s="562" t="s">
        <v>315</v>
      </c>
      <c r="G131" s="562" t="s">
        <v>512</v>
      </c>
      <c r="H131" s="562" t="s">
        <v>313</v>
      </c>
      <c r="I131" s="562" t="s">
        <v>6585</v>
      </c>
      <c r="J131" s="604"/>
      <c r="K131" s="562"/>
      <c r="L131" s="604"/>
      <c r="M131" s="603"/>
      <c r="N131" s="602"/>
      <c r="Z131" s="537" t="s">
        <v>314</v>
      </c>
    </row>
    <row r="132" spans="1:33" s="536" customFormat="1" x14ac:dyDescent="0.2">
      <c r="A132" s="605"/>
      <c r="B132" s="552"/>
      <c r="C132" s="1822" t="s">
        <v>348</v>
      </c>
      <c r="D132" s="1822"/>
      <c r="E132" s="1822"/>
      <c r="F132" s="562" t="s">
        <v>315</v>
      </c>
      <c r="G132" s="562" t="s">
        <v>514</v>
      </c>
      <c r="H132" s="562" t="s">
        <v>313</v>
      </c>
      <c r="I132" s="562" t="s">
        <v>6586</v>
      </c>
      <c r="J132" s="604"/>
      <c r="K132" s="562"/>
      <c r="L132" s="604"/>
      <c r="M132" s="603"/>
      <c r="N132" s="602"/>
      <c r="Z132" s="537" t="s">
        <v>348</v>
      </c>
    </row>
    <row r="133" spans="1:33" s="536" customFormat="1" x14ac:dyDescent="0.2">
      <c r="A133" s="605"/>
      <c r="B133" s="552"/>
      <c r="C133" s="1828" t="s">
        <v>318</v>
      </c>
      <c r="D133" s="1828"/>
      <c r="E133" s="1828"/>
      <c r="F133" s="608"/>
      <c r="G133" s="608"/>
      <c r="H133" s="608"/>
      <c r="I133" s="608"/>
      <c r="J133" s="607">
        <v>416.19</v>
      </c>
      <c r="K133" s="608"/>
      <c r="L133" s="607">
        <v>78.040000000000006</v>
      </c>
      <c r="M133" s="601"/>
      <c r="N133" s="606"/>
      <c r="AA133" s="537" t="s">
        <v>318</v>
      </c>
    </row>
    <row r="134" spans="1:33" s="536" customFormat="1" x14ac:dyDescent="0.2">
      <c r="A134" s="605"/>
      <c r="B134" s="552"/>
      <c r="C134" s="1822" t="s">
        <v>319</v>
      </c>
      <c r="D134" s="1822"/>
      <c r="E134" s="1822"/>
      <c r="F134" s="562"/>
      <c r="G134" s="562"/>
      <c r="H134" s="562"/>
      <c r="I134" s="562"/>
      <c r="J134" s="604"/>
      <c r="K134" s="562"/>
      <c r="L134" s="604">
        <v>29.83</v>
      </c>
      <c r="M134" s="603"/>
      <c r="N134" s="602"/>
      <c r="Z134" s="537" t="s">
        <v>319</v>
      </c>
    </row>
    <row r="135" spans="1:33" s="536" customFormat="1" ht="33.75" x14ac:dyDescent="0.2">
      <c r="A135" s="605"/>
      <c r="B135" s="552" t="s">
        <v>460</v>
      </c>
      <c r="C135" s="1822" t="s">
        <v>461</v>
      </c>
      <c r="D135" s="1822"/>
      <c r="E135" s="1822"/>
      <c r="F135" s="562" t="s">
        <v>322</v>
      </c>
      <c r="G135" s="562" t="s">
        <v>462</v>
      </c>
      <c r="H135" s="562"/>
      <c r="I135" s="562" t="s">
        <v>462</v>
      </c>
      <c r="J135" s="604"/>
      <c r="K135" s="562"/>
      <c r="L135" s="604">
        <v>27.44</v>
      </c>
      <c r="M135" s="603"/>
      <c r="N135" s="602"/>
      <c r="Z135" s="537" t="s">
        <v>461</v>
      </c>
    </row>
    <row r="136" spans="1:33" s="536" customFormat="1" ht="33.75" x14ac:dyDescent="0.2">
      <c r="A136" s="605"/>
      <c r="B136" s="552" t="s">
        <v>463</v>
      </c>
      <c r="C136" s="1822" t="s">
        <v>464</v>
      </c>
      <c r="D136" s="1822"/>
      <c r="E136" s="1822"/>
      <c r="F136" s="562" t="s">
        <v>322</v>
      </c>
      <c r="G136" s="562" t="s">
        <v>465</v>
      </c>
      <c r="H136" s="562"/>
      <c r="I136" s="562" t="s">
        <v>465</v>
      </c>
      <c r="J136" s="604"/>
      <c r="K136" s="562"/>
      <c r="L136" s="604">
        <v>13.72</v>
      </c>
      <c r="M136" s="603"/>
      <c r="N136" s="602"/>
      <c r="Z136" s="537" t="s">
        <v>464</v>
      </c>
    </row>
    <row r="137" spans="1:33" s="536" customFormat="1" x14ac:dyDescent="0.2">
      <c r="A137" s="569"/>
      <c r="B137" s="671"/>
      <c r="C137" s="1823" t="s">
        <v>327</v>
      </c>
      <c r="D137" s="1823"/>
      <c r="E137" s="1823"/>
      <c r="F137" s="573"/>
      <c r="G137" s="573"/>
      <c r="H137" s="573"/>
      <c r="I137" s="573"/>
      <c r="J137" s="572"/>
      <c r="K137" s="573"/>
      <c r="L137" s="572">
        <v>119.2</v>
      </c>
      <c r="M137" s="601"/>
      <c r="N137" s="570"/>
      <c r="AB137" s="537" t="s">
        <v>327</v>
      </c>
    </row>
    <row r="138" spans="1:33" s="536" customFormat="1" x14ac:dyDescent="0.2">
      <c r="A138" s="1830" t="s">
        <v>6587</v>
      </c>
      <c r="B138" s="1831"/>
      <c r="C138" s="1831"/>
      <c r="D138" s="1831"/>
      <c r="E138" s="1831"/>
      <c r="F138" s="1831"/>
      <c r="G138" s="1831"/>
      <c r="H138" s="1831"/>
      <c r="I138" s="1831"/>
      <c r="J138" s="1831"/>
      <c r="K138" s="1831"/>
      <c r="L138" s="1831"/>
      <c r="M138" s="1831"/>
      <c r="N138" s="1832"/>
      <c r="AF138" s="537" t="s">
        <v>6587</v>
      </c>
    </row>
    <row r="139" spans="1:33" s="536" customFormat="1" ht="56.25" x14ac:dyDescent="0.2">
      <c r="A139" s="575" t="s">
        <v>193</v>
      </c>
      <c r="B139" s="670" t="s">
        <v>1019</v>
      </c>
      <c r="C139" s="1823" t="s">
        <v>1020</v>
      </c>
      <c r="D139" s="1823"/>
      <c r="E139" s="1823"/>
      <c r="F139" s="573" t="s">
        <v>455</v>
      </c>
      <c r="G139" s="573"/>
      <c r="H139" s="573"/>
      <c r="I139" s="573" t="s">
        <v>6588</v>
      </c>
      <c r="J139" s="572"/>
      <c r="K139" s="573"/>
      <c r="L139" s="572"/>
      <c r="M139" s="571"/>
      <c r="N139" s="570"/>
      <c r="W139" s="537" t="s">
        <v>1020</v>
      </c>
    </row>
    <row r="140" spans="1:33" s="536" customFormat="1" x14ac:dyDescent="0.2">
      <c r="A140" s="676"/>
      <c r="B140" s="664"/>
      <c r="C140" s="1822" t="s">
        <v>6589</v>
      </c>
      <c r="D140" s="1822"/>
      <c r="E140" s="1822"/>
      <c r="F140" s="1822"/>
      <c r="G140" s="1822"/>
      <c r="H140" s="1822"/>
      <c r="I140" s="1822"/>
      <c r="J140" s="1822"/>
      <c r="K140" s="1822"/>
      <c r="L140" s="1822"/>
      <c r="M140" s="1822"/>
      <c r="N140" s="1827"/>
      <c r="AG140" s="537" t="s">
        <v>6589</v>
      </c>
    </row>
    <row r="141" spans="1:33" s="536" customFormat="1" ht="33.75" x14ac:dyDescent="0.2">
      <c r="A141" s="609"/>
      <c r="B141" s="552" t="s">
        <v>310</v>
      </c>
      <c r="C141" s="1822" t="s">
        <v>311</v>
      </c>
      <c r="D141" s="1822"/>
      <c r="E141" s="1822"/>
      <c r="F141" s="1822"/>
      <c r="G141" s="1822"/>
      <c r="H141" s="1822"/>
      <c r="I141" s="1822"/>
      <c r="J141" s="1822"/>
      <c r="K141" s="1822"/>
      <c r="L141" s="1822"/>
      <c r="M141" s="1822"/>
      <c r="N141" s="1827"/>
      <c r="X141" s="537" t="s">
        <v>311</v>
      </c>
    </row>
    <row r="142" spans="1:33" s="536" customFormat="1" x14ac:dyDescent="0.2">
      <c r="A142" s="605"/>
      <c r="B142" s="552" t="s">
        <v>186</v>
      </c>
      <c r="C142" s="1822" t="s">
        <v>344</v>
      </c>
      <c r="D142" s="1822"/>
      <c r="E142" s="1822"/>
      <c r="F142" s="562"/>
      <c r="G142" s="562"/>
      <c r="H142" s="562"/>
      <c r="I142" s="562"/>
      <c r="J142" s="604">
        <v>7500</v>
      </c>
      <c r="K142" s="562" t="s">
        <v>313</v>
      </c>
      <c r="L142" s="604">
        <v>4.4800000000000004</v>
      </c>
      <c r="M142" s="603"/>
      <c r="N142" s="602"/>
      <c r="Y142" s="537" t="s">
        <v>344</v>
      </c>
    </row>
    <row r="143" spans="1:33" s="536" customFormat="1" x14ac:dyDescent="0.2">
      <c r="A143" s="605"/>
      <c r="B143" s="552" t="s">
        <v>187</v>
      </c>
      <c r="C143" s="1822" t="s">
        <v>345</v>
      </c>
      <c r="D143" s="1822"/>
      <c r="E143" s="1822"/>
      <c r="F143" s="562"/>
      <c r="G143" s="562"/>
      <c r="H143" s="562"/>
      <c r="I143" s="562"/>
      <c r="J143" s="604">
        <v>1012.5</v>
      </c>
      <c r="K143" s="562" t="s">
        <v>313</v>
      </c>
      <c r="L143" s="604">
        <v>0.6</v>
      </c>
      <c r="M143" s="603"/>
      <c r="N143" s="602"/>
      <c r="Y143" s="537" t="s">
        <v>345</v>
      </c>
    </row>
    <row r="144" spans="1:33" s="536" customFormat="1" x14ac:dyDescent="0.2">
      <c r="A144" s="605"/>
      <c r="B144" s="552"/>
      <c r="C144" s="1822" t="s">
        <v>348</v>
      </c>
      <c r="D144" s="1822"/>
      <c r="E144" s="1822"/>
      <c r="F144" s="562" t="s">
        <v>315</v>
      </c>
      <c r="G144" s="562" t="s">
        <v>966</v>
      </c>
      <c r="H144" s="562" t="s">
        <v>313</v>
      </c>
      <c r="I144" s="562" t="s">
        <v>6590</v>
      </c>
      <c r="J144" s="604"/>
      <c r="K144" s="562"/>
      <c r="L144" s="604"/>
      <c r="M144" s="603"/>
      <c r="N144" s="602"/>
      <c r="Z144" s="537" t="s">
        <v>348</v>
      </c>
    </row>
    <row r="145" spans="1:33" s="536" customFormat="1" x14ac:dyDescent="0.2">
      <c r="A145" s="605"/>
      <c r="B145" s="552"/>
      <c r="C145" s="1828" t="s">
        <v>318</v>
      </c>
      <c r="D145" s="1828"/>
      <c r="E145" s="1828"/>
      <c r="F145" s="608"/>
      <c r="G145" s="608"/>
      <c r="H145" s="608"/>
      <c r="I145" s="608"/>
      <c r="J145" s="607">
        <v>7500</v>
      </c>
      <c r="K145" s="608"/>
      <c r="L145" s="607">
        <v>4.4800000000000004</v>
      </c>
      <c r="M145" s="601"/>
      <c r="N145" s="606"/>
      <c r="AA145" s="537" t="s">
        <v>318</v>
      </c>
    </row>
    <row r="146" spans="1:33" s="536" customFormat="1" x14ac:dyDescent="0.2">
      <c r="A146" s="605"/>
      <c r="B146" s="552"/>
      <c r="C146" s="1822" t="s">
        <v>319</v>
      </c>
      <c r="D146" s="1822"/>
      <c r="E146" s="1822"/>
      <c r="F146" s="562"/>
      <c r="G146" s="562"/>
      <c r="H146" s="562"/>
      <c r="I146" s="562"/>
      <c r="J146" s="604"/>
      <c r="K146" s="562"/>
      <c r="L146" s="604">
        <v>0.6</v>
      </c>
      <c r="M146" s="603"/>
      <c r="N146" s="602"/>
      <c r="Z146" s="537" t="s">
        <v>319</v>
      </c>
    </row>
    <row r="147" spans="1:33" s="536" customFormat="1" ht="33.75" x14ac:dyDescent="0.2">
      <c r="A147" s="605"/>
      <c r="B147" s="552" t="s">
        <v>460</v>
      </c>
      <c r="C147" s="1822" t="s">
        <v>461</v>
      </c>
      <c r="D147" s="1822"/>
      <c r="E147" s="1822"/>
      <c r="F147" s="562" t="s">
        <v>322</v>
      </c>
      <c r="G147" s="562" t="s">
        <v>462</v>
      </c>
      <c r="H147" s="562"/>
      <c r="I147" s="562" t="s">
        <v>462</v>
      </c>
      <c r="J147" s="604"/>
      <c r="K147" s="562"/>
      <c r="L147" s="604">
        <v>0.55000000000000004</v>
      </c>
      <c r="M147" s="603"/>
      <c r="N147" s="602"/>
      <c r="Z147" s="537" t="s">
        <v>461</v>
      </c>
    </row>
    <row r="148" spans="1:33" s="536" customFormat="1" ht="33.75" x14ac:dyDescent="0.2">
      <c r="A148" s="605"/>
      <c r="B148" s="552" t="s">
        <v>463</v>
      </c>
      <c r="C148" s="1822" t="s">
        <v>464</v>
      </c>
      <c r="D148" s="1822"/>
      <c r="E148" s="1822"/>
      <c r="F148" s="562" t="s">
        <v>322</v>
      </c>
      <c r="G148" s="562" t="s">
        <v>465</v>
      </c>
      <c r="H148" s="562"/>
      <c r="I148" s="562" t="s">
        <v>465</v>
      </c>
      <c r="J148" s="604"/>
      <c r="K148" s="562"/>
      <c r="L148" s="604">
        <v>0.28000000000000003</v>
      </c>
      <c r="M148" s="603"/>
      <c r="N148" s="602"/>
      <c r="Z148" s="537" t="s">
        <v>464</v>
      </c>
    </row>
    <row r="149" spans="1:33" s="536" customFormat="1" x14ac:dyDescent="0.2">
      <c r="A149" s="569"/>
      <c r="B149" s="671"/>
      <c r="C149" s="1823" t="s">
        <v>327</v>
      </c>
      <c r="D149" s="1823"/>
      <c r="E149" s="1823"/>
      <c r="F149" s="573"/>
      <c r="G149" s="573"/>
      <c r="H149" s="573"/>
      <c r="I149" s="573"/>
      <c r="J149" s="572"/>
      <c r="K149" s="573"/>
      <c r="L149" s="572">
        <v>5.31</v>
      </c>
      <c r="M149" s="601"/>
      <c r="N149" s="570"/>
      <c r="AB149" s="537" t="s">
        <v>327</v>
      </c>
    </row>
    <row r="150" spans="1:33" s="536" customFormat="1" ht="45" x14ac:dyDescent="0.2">
      <c r="A150" s="575" t="s">
        <v>194</v>
      </c>
      <c r="B150" s="670" t="s">
        <v>6591</v>
      </c>
      <c r="C150" s="1823" t="s">
        <v>6592</v>
      </c>
      <c r="D150" s="1823"/>
      <c r="E150" s="1823"/>
      <c r="F150" s="573" t="s">
        <v>455</v>
      </c>
      <c r="G150" s="573"/>
      <c r="H150" s="573"/>
      <c r="I150" s="573" t="s">
        <v>6593</v>
      </c>
      <c r="J150" s="572"/>
      <c r="K150" s="573"/>
      <c r="L150" s="572"/>
      <c r="M150" s="571"/>
      <c r="N150" s="570"/>
      <c r="W150" s="537" t="s">
        <v>6592</v>
      </c>
    </row>
    <row r="151" spans="1:33" s="536" customFormat="1" x14ac:dyDescent="0.2">
      <c r="A151" s="676"/>
      <c r="B151" s="664"/>
      <c r="C151" s="1822" t="s">
        <v>6594</v>
      </c>
      <c r="D151" s="1822"/>
      <c r="E151" s="1822"/>
      <c r="F151" s="1822"/>
      <c r="G151" s="1822"/>
      <c r="H151" s="1822"/>
      <c r="I151" s="1822"/>
      <c r="J151" s="1822"/>
      <c r="K151" s="1822"/>
      <c r="L151" s="1822"/>
      <c r="M151" s="1822"/>
      <c r="N151" s="1827"/>
      <c r="AG151" s="537" t="s">
        <v>6594</v>
      </c>
    </row>
    <row r="152" spans="1:33" s="536" customFormat="1" ht="33.75" x14ac:dyDescent="0.2">
      <c r="A152" s="609"/>
      <c r="B152" s="552" t="s">
        <v>310</v>
      </c>
      <c r="C152" s="1822" t="s">
        <v>311</v>
      </c>
      <c r="D152" s="1822"/>
      <c r="E152" s="1822"/>
      <c r="F152" s="1822"/>
      <c r="G152" s="1822"/>
      <c r="H152" s="1822"/>
      <c r="I152" s="1822"/>
      <c r="J152" s="1822"/>
      <c r="K152" s="1822"/>
      <c r="L152" s="1822"/>
      <c r="M152" s="1822"/>
      <c r="N152" s="1827"/>
      <c r="X152" s="537" t="s">
        <v>311</v>
      </c>
    </row>
    <row r="153" spans="1:33" s="536" customFormat="1" x14ac:dyDescent="0.2">
      <c r="A153" s="605"/>
      <c r="B153" s="552" t="s">
        <v>186</v>
      </c>
      <c r="C153" s="1822" t="s">
        <v>344</v>
      </c>
      <c r="D153" s="1822"/>
      <c r="E153" s="1822"/>
      <c r="F153" s="562"/>
      <c r="G153" s="562"/>
      <c r="H153" s="562"/>
      <c r="I153" s="562"/>
      <c r="J153" s="604">
        <v>5950</v>
      </c>
      <c r="K153" s="562" t="s">
        <v>313</v>
      </c>
      <c r="L153" s="604">
        <v>113.59</v>
      </c>
      <c r="M153" s="603"/>
      <c r="N153" s="602"/>
      <c r="Y153" s="537" t="s">
        <v>344</v>
      </c>
    </row>
    <row r="154" spans="1:33" s="536" customFormat="1" x14ac:dyDescent="0.2">
      <c r="A154" s="605"/>
      <c r="B154" s="552" t="s">
        <v>187</v>
      </c>
      <c r="C154" s="1822" t="s">
        <v>345</v>
      </c>
      <c r="D154" s="1822"/>
      <c r="E154" s="1822"/>
      <c r="F154" s="562"/>
      <c r="G154" s="562"/>
      <c r="H154" s="562"/>
      <c r="I154" s="562"/>
      <c r="J154" s="604">
        <v>803.25</v>
      </c>
      <c r="K154" s="562" t="s">
        <v>313</v>
      </c>
      <c r="L154" s="604">
        <v>15.33</v>
      </c>
      <c r="M154" s="603"/>
      <c r="N154" s="602"/>
      <c r="Y154" s="537" t="s">
        <v>345</v>
      </c>
    </row>
    <row r="155" spans="1:33" s="536" customFormat="1" x14ac:dyDescent="0.2">
      <c r="A155" s="605"/>
      <c r="B155" s="552"/>
      <c r="C155" s="1822" t="s">
        <v>348</v>
      </c>
      <c r="D155" s="1822"/>
      <c r="E155" s="1822"/>
      <c r="F155" s="562" t="s">
        <v>315</v>
      </c>
      <c r="G155" s="562" t="s">
        <v>6595</v>
      </c>
      <c r="H155" s="562" t="s">
        <v>313</v>
      </c>
      <c r="I155" s="562" t="s">
        <v>6596</v>
      </c>
      <c r="J155" s="604"/>
      <c r="K155" s="562"/>
      <c r="L155" s="604"/>
      <c r="M155" s="603"/>
      <c r="N155" s="602"/>
      <c r="Z155" s="537" t="s">
        <v>348</v>
      </c>
    </row>
    <row r="156" spans="1:33" s="536" customFormat="1" x14ac:dyDescent="0.2">
      <c r="A156" s="605"/>
      <c r="B156" s="552"/>
      <c r="C156" s="1828" t="s">
        <v>318</v>
      </c>
      <c r="D156" s="1828"/>
      <c r="E156" s="1828"/>
      <c r="F156" s="608"/>
      <c r="G156" s="608"/>
      <c r="H156" s="608"/>
      <c r="I156" s="608"/>
      <c r="J156" s="607">
        <v>5950</v>
      </c>
      <c r="K156" s="608"/>
      <c r="L156" s="607">
        <v>113.59</v>
      </c>
      <c r="M156" s="601"/>
      <c r="N156" s="606"/>
      <c r="AA156" s="537" t="s">
        <v>318</v>
      </c>
    </row>
    <row r="157" spans="1:33" s="536" customFormat="1" x14ac:dyDescent="0.2">
      <c r="A157" s="605"/>
      <c r="B157" s="552"/>
      <c r="C157" s="1822" t="s">
        <v>319</v>
      </c>
      <c r="D157" s="1822"/>
      <c r="E157" s="1822"/>
      <c r="F157" s="562"/>
      <c r="G157" s="562"/>
      <c r="H157" s="562"/>
      <c r="I157" s="562"/>
      <c r="J157" s="604"/>
      <c r="K157" s="562"/>
      <c r="L157" s="604">
        <v>15.33</v>
      </c>
      <c r="M157" s="603"/>
      <c r="N157" s="602"/>
      <c r="Z157" s="537" t="s">
        <v>319</v>
      </c>
    </row>
    <row r="158" spans="1:33" s="536" customFormat="1" ht="33.75" x14ac:dyDescent="0.2">
      <c r="A158" s="605"/>
      <c r="B158" s="552" t="s">
        <v>460</v>
      </c>
      <c r="C158" s="1822" t="s">
        <v>461</v>
      </c>
      <c r="D158" s="1822"/>
      <c r="E158" s="1822"/>
      <c r="F158" s="562" t="s">
        <v>322</v>
      </c>
      <c r="G158" s="562" t="s">
        <v>462</v>
      </c>
      <c r="H158" s="562"/>
      <c r="I158" s="562" t="s">
        <v>462</v>
      </c>
      <c r="J158" s="604"/>
      <c r="K158" s="562"/>
      <c r="L158" s="604">
        <v>14.1</v>
      </c>
      <c r="M158" s="603"/>
      <c r="N158" s="602"/>
      <c r="Z158" s="537" t="s">
        <v>461</v>
      </c>
    </row>
    <row r="159" spans="1:33" s="536" customFormat="1" ht="33.75" x14ac:dyDescent="0.2">
      <c r="A159" s="605"/>
      <c r="B159" s="552" t="s">
        <v>463</v>
      </c>
      <c r="C159" s="1822" t="s">
        <v>464</v>
      </c>
      <c r="D159" s="1822"/>
      <c r="E159" s="1822"/>
      <c r="F159" s="562" t="s">
        <v>322</v>
      </c>
      <c r="G159" s="562" t="s">
        <v>465</v>
      </c>
      <c r="H159" s="562"/>
      <c r="I159" s="562" t="s">
        <v>465</v>
      </c>
      <c r="J159" s="604"/>
      <c r="K159" s="562"/>
      <c r="L159" s="604">
        <v>7.05</v>
      </c>
      <c r="M159" s="603"/>
      <c r="N159" s="602"/>
      <c r="Z159" s="537" t="s">
        <v>464</v>
      </c>
    </row>
    <row r="160" spans="1:33" s="536" customFormat="1" x14ac:dyDescent="0.2">
      <c r="A160" s="569"/>
      <c r="B160" s="671"/>
      <c r="C160" s="1823" t="s">
        <v>327</v>
      </c>
      <c r="D160" s="1823"/>
      <c r="E160" s="1823"/>
      <c r="F160" s="573"/>
      <c r="G160" s="573"/>
      <c r="H160" s="573"/>
      <c r="I160" s="573"/>
      <c r="J160" s="572"/>
      <c r="K160" s="573"/>
      <c r="L160" s="572">
        <v>134.74</v>
      </c>
      <c r="M160" s="601"/>
      <c r="N160" s="570"/>
      <c r="AB160" s="537" t="s">
        <v>327</v>
      </c>
    </row>
    <row r="161" spans="1:33" s="536" customFormat="1" ht="45" x14ac:dyDescent="0.2">
      <c r="A161" s="575" t="s">
        <v>195</v>
      </c>
      <c r="B161" s="670" t="s">
        <v>1005</v>
      </c>
      <c r="C161" s="1823" t="s">
        <v>1006</v>
      </c>
      <c r="D161" s="1823"/>
      <c r="E161" s="1823"/>
      <c r="F161" s="573" t="s">
        <v>201</v>
      </c>
      <c r="G161" s="573"/>
      <c r="H161" s="573"/>
      <c r="I161" s="573" t="s">
        <v>6597</v>
      </c>
      <c r="J161" s="572">
        <v>2.91</v>
      </c>
      <c r="K161" s="573"/>
      <c r="L161" s="572">
        <v>3.2</v>
      </c>
      <c r="M161" s="571"/>
      <c r="N161" s="570"/>
      <c r="W161" s="537" t="s">
        <v>1006</v>
      </c>
    </row>
    <row r="162" spans="1:33" s="536" customFormat="1" x14ac:dyDescent="0.2">
      <c r="A162" s="676"/>
      <c r="B162" s="664"/>
      <c r="C162" s="1822" t="s">
        <v>6598</v>
      </c>
      <c r="D162" s="1822"/>
      <c r="E162" s="1822"/>
      <c r="F162" s="1822"/>
      <c r="G162" s="1822"/>
      <c r="H162" s="1822"/>
      <c r="I162" s="1822"/>
      <c r="J162" s="1822"/>
      <c r="K162" s="1822"/>
      <c r="L162" s="1822"/>
      <c r="M162" s="1822"/>
      <c r="N162" s="1827"/>
      <c r="AG162" s="537" t="s">
        <v>6598</v>
      </c>
    </row>
    <row r="163" spans="1:33" s="536" customFormat="1" ht="45" x14ac:dyDescent="0.2">
      <c r="A163" s="575" t="s">
        <v>196</v>
      </c>
      <c r="B163" s="670" t="s">
        <v>6599</v>
      </c>
      <c r="C163" s="1823" t="s">
        <v>6600</v>
      </c>
      <c r="D163" s="1823"/>
      <c r="E163" s="1823"/>
      <c r="F163" s="573" t="s">
        <v>455</v>
      </c>
      <c r="G163" s="573"/>
      <c r="H163" s="573"/>
      <c r="I163" s="573" t="s">
        <v>6593</v>
      </c>
      <c r="J163" s="572"/>
      <c r="K163" s="573"/>
      <c r="L163" s="572"/>
      <c r="M163" s="571"/>
      <c r="N163" s="570"/>
      <c r="W163" s="537" t="s">
        <v>6600</v>
      </c>
    </row>
    <row r="164" spans="1:33" s="536" customFormat="1" x14ac:dyDescent="0.2">
      <c r="A164" s="676"/>
      <c r="B164" s="664"/>
      <c r="C164" s="1822" t="s">
        <v>6601</v>
      </c>
      <c r="D164" s="1822"/>
      <c r="E164" s="1822"/>
      <c r="F164" s="1822"/>
      <c r="G164" s="1822"/>
      <c r="H164" s="1822"/>
      <c r="I164" s="1822"/>
      <c r="J164" s="1822"/>
      <c r="K164" s="1822"/>
      <c r="L164" s="1822"/>
      <c r="M164" s="1822"/>
      <c r="N164" s="1827"/>
      <c r="AG164" s="537" t="s">
        <v>6601</v>
      </c>
    </row>
    <row r="165" spans="1:33" s="536" customFormat="1" ht="33.75" x14ac:dyDescent="0.2">
      <c r="A165" s="609"/>
      <c r="B165" s="552" t="s">
        <v>310</v>
      </c>
      <c r="C165" s="1822" t="s">
        <v>311</v>
      </c>
      <c r="D165" s="1822"/>
      <c r="E165" s="1822"/>
      <c r="F165" s="1822"/>
      <c r="G165" s="1822"/>
      <c r="H165" s="1822"/>
      <c r="I165" s="1822"/>
      <c r="J165" s="1822"/>
      <c r="K165" s="1822"/>
      <c r="L165" s="1822"/>
      <c r="M165" s="1822"/>
      <c r="N165" s="1827"/>
      <c r="X165" s="537" t="s">
        <v>311</v>
      </c>
    </row>
    <row r="166" spans="1:33" s="536" customFormat="1" x14ac:dyDescent="0.2">
      <c r="A166" s="605"/>
      <c r="B166" s="552" t="s">
        <v>186</v>
      </c>
      <c r="C166" s="1822" t="s">
        <v>344</v>
      </c>
      <c r="D166" s="1822"/>
      <c r="E166" s="1822"/>
      <c r="F166" s="562"/>
      <c r="G166" s="562"/>
      <c r="H166" s="562"/>
      <c r="I166" s="562"/>
      <c r="J166" s="604">
        <v>4500</v>
      </c>
      <c r="K166" s="562" t="s">
        <v>313</v>
      </c>
      <c r="L166" s="604">
        <v>85.91</v>
      </c>
      <c r="M166" s="603"/>
      <c r="N166" s="602"/>
      <c r="Y166" s="537" t="s">
        <v>344</v>
      </c>
    </row>
    <row r="167" spans="1:33" s="536" customFormat="1" x14ac:dyDescent="0.2">
      <c r="A167" s="605"/>
      <c r="B167" s="552" t="s">
        <v>187</v>
      </c>
      <c r="C167" s="1822" t="s">
        <v>345</v>
      </c>
      <c r="D167" s="1822"/>
      <c r="E167" s="1822"/>
      <c r="F167" s="562"/>
      <c r="G167" s="562"/>
      <c r="H167" s="562"/>
      <c r="I167" s="562"/>
      <c r="J167" s="604">
        <v>607.5</v>
      </c>
      <c r="K167" s="562" t="s">
        <v>313</v>
      </c>
      <c r="L167" s="604">
        <v>11.6</v>
      </c>
      <c r="M167" s="603"/>
      <c r="N167" s="602"/>
      <c r="Y167" s="537" t="s">
        <v>345</v>
      </c>
    </row>
    <row r="168" spans="1:33" s="536" customFormat="1" x14ac:dyDescent="0.2">
      <c r="A168" s="605"/>
      <c r="B168" s="552"/>
      <c r="C168" s="1822" t="s">
        <v>348</v>
      </c>
      <c r="D168" s="1822"/>
      <c r="E168" s="1822"/>
      <c r="F168" s="562" t="s">
        <v>315</v>
      </c>
      <c r="G168" s="562" t="s">
        <v>931</v>
      </c>
      <c r="H168" s="562" t="s">
        <v>313</v>
      </c>
      <c r="I168" s="562" t="s">
        <v>6602</v>
      </c>
      <c r="J168" s="604"/>
      <c r="K168" s="562"/>
      <c r="L168" s="604"/>
      <c r="M168" s="603"/>
      <c r="N168" s="602"/>
      <c r="Z168" s="537" t="s">
        <v>348</v>
      </c>
    </row>
    <row r="169" spans="1:33" s="536" customFormat="1" x14ac:dyDescent="0.2">
      <c r="A169" s="605"/>
      <c r="B169" s="552"/>
      <c r="C169" s="1828" t="s">
        <v>318</v>
      </c>
      <c r="D169" s="1828"/>
      <c r="E169" s="1828"/>
      <c r="F169" s="608"/>
      <c r="G169" s="608"/>
      <c r="H169" s="608"/>
      <c r="I169" s="608"/>
      <c r="J169" s="607">
        <v>4500</v>
      </c>
      <c r="K169" s="608"/>
      <c r="L169" s="607">
        <v>85.91</v>
      </c>
      <c r="M169" s="601"/>
      <c r="N169" s="606"/>
      <c r="AA169" s="537" t="s">
        <v>318</v>
      </c>
    </row>
    <row r="170" spans="1:33" s="536" customFormat="1" x14ac:dyDescent="0.2">
      <c r="A170" s="605"/>
      <c r="B170" s="552"/>
      <c r="C170" s="1822" t="s">
        <v>319</v>
      </c>
      <c r="D170" s="1822"/>
      <c r="E170" s="1822"/>
      <c r="F170" s="562"/>
      <c r="G170" s="562"/>
      <c r="H170" s="562"/>
      <c r="I170" s="562"/>
      <c r="J170" s="604"/>
      <c r="K170" s="562"/>
      <c r="L170" s="604">
        <v>11.6</v>
      </c>
      <c r="M170" s="603"/>
      <c r="N170" s="602"/>
      <c r="Z170" s="537" t="s">
        <v>319</v>
      </c>
    </row>
    <row r="171" spans="1:33" s="536" customFormat="1" ht="33.75" x14ac:dyDescent="0.2">
      <c r="A171" s="605"/>
      <c r="B171" s="552" t="s">
        <v>460</v>
      </c>
      <c r="C171" s="1822" t="s">
        <v>461</v>
      </c>
      <c r="D171" s="1822"/>
      <c r="E171" s="1822"/>
      <c r="F171" s="562" t="s">
        <v>322</v>
      </c>
      <c r="G171" s="562" t="s">
        <v>462</v>
      </c>
      <c r="H171" s="562"/>
      <c r="I171" s="562" t="s">
        <v>462</v>
      </c>
      <c r="J171" s="604"/>
      <c r="K171" s="562"/>
      <c r="L171" s="604">
        <v>10.67</v>
      </c>
      <c r="M171" s="603"/>
      <c r="N171" s="602"/>
      <c r="Z171" s="537" t="s">
        <v>461</v>
      </c>
    </row>
    <row r="172" spans="1:33" s="536" customFormat="1" ht="33.75" x14ac:dyDescent="0.2">
      <c r="A172" s="605"/>
      <c r="B172" s="552" t="s">
        <v>463</v>
      </c>
      <c r="C172" s="1822" t="s">
        <v>464</v>
      </c>
      <c r="D172" s="1822"/>
      <c r="E172" s="1822"/>
      <c r="F172" s="562" t="s">
        <v>322</v>
      </c>
      <c r="G172" s="562" t="s">
        <v>465</v>
      </c>
      <c r="H172" s="562"/>
      <c r="I172" s="562" t="s">
        <v>465</v>
      </c>
      <c r="J172" s="604"/>
      <c r="K172" s="562"/>
      <c r="L172" s="604">
        <v>5.34</v>
      </c>
      <c r="M172" s="603"/>
      <c r="N172" s="602"/>
      <c r="Z172" s="537" t="s">
        <v>464</v>
      </c>
    </row>
    <row r="173" spans="1:33" s="536" customFormat="1" x14ac:dyDescent="0.2">
      <c r="A173" s="569"/>
      <c r="B173" s="671"/>
      <c r="C173" s="1823" t="s">
        <v>327</v>
      </c>
      <c r="D173" s="1823"/>
      <c r="E173" s="1823"/>
      <c r="F173" s="573"/>
      <c r="G173" s="573"/>
      <c r="H173" s="573"/>
      <c r="I173" s="573"/>
      <c r="J173" s="572"/>
      <c r="K173" s="573"/>
      <c r="L173" s="572">
        <v>101.92</v>
      </c>
      <c r="M173" s="601"/>
      <c r="N173" s="570"/>
      <c r="AB173" s="537" t="s">
        <v>327</v>
      </c>
    </row>
    <row r="174" spans="1:33" s="536" customFormat="1" ht="22.5" x14ac:dyDescent="0.2">
      <c r="A174" s="575" t="s">
        <v>197</v>
      </c>
      <c r="B174" s="670" t="s">
        <v>507</v>
      </c>
      <c r="C174" s="1823" t="s">
        <v>508</v>
      </c>
      <c r="D174" s="1823"/>
      <c r="E174" s="1823"/>
      <c r="F174" s="573" t="s">
        <v>509</v>
      </c>
      <c r="G174" s="573"/>
      <c r="H174" s="573"/>
      <c r="I174" s="573" t="s">
        <v>6603</v>
      </c>
      <c r="J174" s="572"/>
      <c r="K174" s="573"/>
      <c r="L174" s="572"/>
      <c r="M174" s="571"/>
      <c r="N174" s="570"/>
      <c r="W174" s="537" t="s">
        <v>508</v>
      </c>
    </row>
    <row r="175" spans="1:33" s="536" customFormat="1" x14ac:dyDescent="0.2">
      <c r="A175" s="676"/>
      <c r="B175" s="664"/>
      <c r="C175" s="1822" t="s">
        <v>6604</v>
      </c>
      <c r="D175" s="1822"/>
      <c r="E175" s="1822"/>
      <c r="F175" s="1822"/>
      <c r="G175" s="1822"/>
      <c r="H175" s="1822"/>
      <c r="I175" s="1822"/>
      <c r="J175" s="1822"/>
      <c r="K175" s="1822"/>
      <c r="L175" s="1822"/>
      <c r="M175" s="1822"/>
      <c r="N175" s="1827"/>
      <c r="AG175" s="537" t="s">
        <v>6604</v>
      </c>
    </row>
    <row r="176" spans="1:33" s="536" customFormat="1" ht="33.75" x14ac:dyDescent="0.2">
      <c r="A176" s="609"/>
      <c r="B176" s="552" t="s">
        <v>310</v>
      </c>
      <c r="C176" s="1822" t="s">
        <v>311</v>
      </c>
      <c r="D176" s="1822"/>
      <c r="E176" s="1822"/>
      <c r="F176" s="1822"/>
      <c r="G176" s="1822"/>
      <c r="H176" s="1822"/>
      <c r="I176" s="1822"/>
      <c r="J176" s="1822"/>
      <c r="K176" s="1822"/>
      <c r="L176" s="1822"/>
      <c r="M176" s="1822"/>
      <c r="N176" s="1827"/>
      <c r="X176" s="537" t="s">
        <v>311</v>
      </c>
    </row>
    <row r="177" spans="1:30" s="536" customFormat="1" x14ac:dyDescent="0.2">
      <c r="A177" s="605"/>
      <c r="B177" s="552" t="s">
        <v>185</v>
      </c>
      <c r="C177" s="1822" t="s">
        <v>312</v>
      </c>
      <c r="D177" s="1822"/>
      <c r="E177" s="1822"/>
      <c r="F177" s="562"/>
      <c r="G177" s="562"/>
      <c r="H177" s="562"/>
      <c r="I177" s="562"/>
      <c r="J177" s="604">
        <v>127.61</v>
      </c>
      <c r="K177" s="562" t="s">
        <v>313</v>
      </c>
      <c r="L177" s="604">
        <v>24.36</v>
      </c>
      <c r="M177" s="603"/>
      <c r="N177" s="602"/>
      <c r="Y177" s="537" t="s">
        <v>312</v>
      </c>
    </row>
    <row r="178" spans="1:30" s="536" customFormat="1" x14ac:dyDescent="0.2">
      <c r="A178" s="605"/>
      <c r="B178" s="552" t="s">
        <v>186</v>
      </c>
      <c r="C178" s="1822" t="s">
        <v>344</v>
      </c>
      <c r="D178" s="1822"/>
      <c r="E178" s="1822"/>
      <c r="F178" s="562"/>
      <c r="G178" s="562"/>
      <c r="H178" s="562"/>
      <c r="I178" s="562"/>
      <c r="J178" s="604">
        <v>288.58</v>
      </c>
      <c r="K178" s="562" t="s">
        <v>313</v>
      </c>
      <c r="L178" s="604">
        <v>55.09</v>
      </c>
      <c r="M178" s="603"/>
      <c r="N178" s="602"/>
      <c r="Y178" s="537" t="s">
        <v>344</v>
      </c>
    </row>
    <row r="179" spans="1:30" s="536" customFormat="1" x14ac:dyDescent="0.2">
      <c r="A179" s="605"/>
      <c r="B179" s="552" t="s">
        <v>187</v>
      </c>
      <c r="C179" s="1822" t="s">
        <v>345</v>
      </c>
      <c r="D179" s="1822"/>
      <c r="E179" s="1822"/>
      <c r="F179" s="562"/>
      <c r="G179" s="562"/>
      <c r="H179" s="562"/>
      <c r="I179" s="562"/>
      <c r="J179" s="604">
        <v>31.49</v>
      </c>
      <c r="K179" s="562" t="s">
        <v>313</v>
      </c>
      <c r="L179" s="604">
        <v>6.01</v>
      </c>
      <c r="M179" s="603"/>
      <c r="N179" s="602"/>
      <c r="Y179" s="537" t="s">
        <v>345</v>
      </c>
    </row>
    <row r="180" spans="1:30" s="536" customFormat="1" x14ac:dyDescent="0.2">
      <c r="A180" s="605"/>
      <c r="B180" s="552"/>
      <c r="C180" s="1822" t="s">
        <v>314</v>
      </c>
      <c r="D180" s="1822"/>
      <c r="E180" s="1822"/>
      <c r="F180" s="562" t="s">
        <v>315</v>
      </c>
      <c r="G180" s="562" t="s">
        <v>512</v>
      </c>
      <c r="H180" s="562" t="s">
        <v>313</v>
      </c>
      <c r="I180" s="562" t="s">
        <v>6605</v>
      </c>
      <c r="J180" s="604"/>
      <c r="K180" s="562"/>
      <c r="L180" s="604"/>
      <c r="M180" s="603"/>
      <c r="N180" s="602"/>
      <c r="Z180" s="537" t="s">
        <v>314</v>
      </c>
    </row>
    <row r="181" spans="1:30" s="536" customFormat="1" x14ac:dyDescent="0.2">
      <c r="A181" s="605"/>
      <c r="B181" s="552"/>
      <c r="C181" s="1822" t="s">
        <v>348</v>
      </c>
      <c r="D181" s="1822"/>
      <c r="E181" s="1822"/>
      <c r="F181" s="562" t="s">
        <v>315</v>
      </c>
      <c r="G181" s="562" t="s">
        <v>514</v>
      </c>
      <c r="H181" s="562" t="s">
        <v>313</v>
      </c>
      <c r="I181" s="562" t="s">
        <v>6606</v>
      </c>
      <c r="J181" s="604"/>
      <c r="K181" s="562"/>
      <c r="L181" s="604"/>
      <c r="M181" s="603"/>
      <c r="N181" s="602"/>
      <c r="Z181" s="537" t="s">
        <v>348</v>
      </c>
    </row>
    <row r="182" spans="1:30" s="536" customFormat="1" x14ac:dyDescent="0.2">
      <c r="A182" s="605"/>
      <c r="B182" s="552"/>
      <c r="C182" s="1828" t="s">
        <v>318</v>
      </c>
      <c r="D182" s="1828"/>
      <c r="E182" s="1828"/>
      <c r="F182" s="608"/>
      <c r="G182" s="608"/>
      <c r="H182" s="608"/>
      <c r="I182" s="608"/>
      <c r="J182" s="607">
        <v>416.19</v>
      </c>
      <c r="K182" s="608"/>
      <c r="L182" s="607">
        <v>79.45</v>
      </c>
      <c r="M182" s="601"/>
      <c r="N182" s="606"/>
      <c r="AA182" s="537" t="s">
        <v>318</v>
      </c>
    </row>
    <row r="183" spans="1:30" s="536" customFormat="1" x14ac:dyDescent="0.2">
      <c r="A183" s="605"/>
      <c r="B183" s="552"/>
      <c r="C183" s="1822" t="s">
        <v>319</v>
      </c>
      <c r="D183" s="1822"/>
      <c r="E183" s="1822"/>
      <c r="F183" s="562"/>
      <c r="G183" s="562"/>
      <c r="H183" s="562"/>
      <c r="I183" s="562"/>
      <c r="J183" s="604"/>
      <c r="K183" s="562"/>
      <c r="L183" s="604">
        <v>30.37</v>
      </c>
      <c r="M183" s="603"/>
      <c r="N183" s="602"/>
      <c r="Z183" s="537" t="s">
        <v>319</v>
      </c>
    </row>
    <row r="184" spans="1:30" s="536" customFormat="1" ht="33.75" x14ac:dyDescent="0.2">
      <c r="A184" s="605"/>
      <c r="B184" s="552" t="s">
        <v>460</v>
      </c>
      <c r="C184" s="1822" t="s">
        <v>461</v>
      </c>
      <c r="D184" s="1822"/>
      <c r="E184" s="1822"/>
      <c r="F184" s="562" t="s">
        <v>322</v>
      </c>
      <c r="G184" s="562" t="s">
        <v>462</v>
      </c>
      <c r="H184" s="562"/>
      <c r="I184" s="562" t="s">
        <v>462</v>
      </c>
      <c r="J184" s="604"/>
      <c r="K184" s="562"/>
      <c r="L184" s="604">
        <v>27.94</v>
      </c>
      <c r="M184" s="603"/>
      <c r="N184" s="602"/>
      <c r="Z184" s="537" t="s">
        <v>461</v>
      </c>
    </row>
    <row r="185" spans="1:30" s="536" customFormat="1" ht="33.75" x14ac:dyDescent="0.2">
      <c r="A185" s="605"/>
      <c r="B185" s="552" t="s">
        <v>463</v>
      </c>
      <c r="C185" s="1822" t="s">
        <v>464</v>
      </c>
      <c r="D185" s="1822"/>
      <c r="E185" s="1822"/>
      <c r="F185" s="562" t="s">
        <v>322</v>
      </c>
      <c r="G185" s="562" t="s">
        <v>465</v>
      </c>
      <c r="H185" s="562"/>
      <c r="I185" s="562" t="s">
        <v>465</v>
      </c>
      <c r="J185" s="604"/>
      <c r="K185" s="562"/>
      <c r="L185" s="604">
        <v>13.97</v>
      </c>
      <c r="M185" s="603"/>
      <c r="N185" s="602"/>
      <c r="Z185" s="537" t="s">
        <v>464</v>
      </c>
    </row>
    <row r="186" spans="1:30" s="536" customFormat="1" x14ac:dyDescent="0.2">
      <c r="A186" s="569"/>
      <c r="B186" s="671"/>
      <c r="C186" s="1823" t="s">
        <v>327</v>
      </c>
      <c r="D186" s="1823"/>
      <c r="E186" s="1823"/>
      <c r="F186" s="573"/>
      <c r="G186" s="573"/>
      <c r="H186" s="573"/>
      <c r="I186" s="573"/>
      <c r="J186" s="572"/>
      <c r="K186" s="573"/>
      <c r="L186" s="572">
        <v>121.36</v>
      </c>
      <c r="M186" s="601"/>
      <c r="N186" s="570"/>
      <c r="AB186" s="537" t="s">
        <v>327</v>
      </c>
    </row>
    <row r="187" spans="1:30" s="536" customFormat="1" ht="1.5" customHeight="1" x14ac:dyDescent="0.2">
      <c r="A187" s="563"/>
      <c r="B187" s="671"/>
      <c r="C187" s="671"/>
      <c r="D187" s="671"/>
      <c r="E187" s="671"/>
      <c r="F187" s="563"/>
      <c r="G187" s="563"/>
      <c r="H187" s="563"/>
      <c r="I187" s="563"/>
      <c r="J187" s="546"/>
      <c r="K187" s="563"/>
      <c r="L187" s="546"/>
      <c r="M187" s="562"/>
      <c r="N187" s="546"/>
    </row>
    <row r="188" spans="1:30" s="536" customFormat="1" x14ac:dyDescent="0.2">
      <c r="A188" s="557"/>
      <c r="B188" s="556"/>
      <c r="C188" s="1823" t="s">
        <v>6607</v>
      </c>
      <c r="D188" s="1823"/>
      <c r="E188" s="1823"/>
      <c r="F188" s="1823"/>
      <c r="G188" s="1823"/>
      <c r="H188" s="1823"/>
      <c r="I188" s="1823"/>
      <c r="J188" s="1823"/>
      <c r="K188" s="1823"/>
      <c r="L188" s="555"/>
      <c r="M188" s="554"/>
      <c r="N188" s="553"/>
      <c r="AC188" s="537" t="s">
        <v>6607</v>
      </c>
    </row>
    <row r="189" spans="1:30" s="536" customFormat="1" x14ac:dyDescent="0.2">
      <c r="A189" s="548"/>
      <c r="B189" s="552"/>
      <c r="C189" s="1822" t="s">
        <v>403</v>
      </c>
      <c r="D189" s="1822"/>
      <c r="E189" s="1822"/>
      <c r="F189" s="1822"/>
      <c r="G189" s="1822"/>
      <c r="H189" s="1822"/>
      <c r="I189" s="1822"/>
      <c r="J189" s="1822"/>
      <c r="K189" s="1822"/>
      <c r="L189" s="551">
        <v>554.4</v>
      </c>
      <c r="M189" s="550"/>
      <c r="N189" s="549"/>
      <c r="AD189" s="537" t="s">
        <v>403</v>
      </c>
    </row>
    <row r="190" spans="1:30" s="536" customFormat="1" x14ac:dyDescent="0.2">
      <c r="A190" s="548"/>
      <c r="B190" s="552"/>
      <c r="C190" s="1822" t="s">
        <v>204</v>
      </c>
      <c r="D190" s="1822"/>
      <c r="E190" s="1822"/>
      <c r="F190" s="1822"/>
      <c r="G190" s="1822"/>
      <c r="H190" s="1822"/>
      <c r="I190" s="1822"/>
      <c r="J190" s="1822"/>
      <c r="K190" s="1822"/>
      <c r="L190" s="551"/>
      <c r="M190" s="550"/>
      <c r="N190" s="549"/>
      <c r="AD190" s="537" t="s">
        <v>204</v>
      </c>
    </row>
    <row r="191" spans="1:30" s="536" customFormat="1" x14ac:dyDescent="0.2">
      <c r="A191" s="548"/>
      <c r="B191" s="552"/>
      <c r="C191" s="1822" t="s">
        <v>404</v>
      </c>
      <c r="D191" s="1822"/>
      <c r="E191" s="1822"/>
      <c r="F191" s="1822"/>
      <c r="G191" s="1822"/>
      <c r="H191" s="1822"/>
      <c r="I191" s="1822"/>
      <c r="J191" s="1822"/>
      <c r="K191" s="1822"/>
      <c r="L191" s="551">
        <v>66.28</v>
      </c>
      <c r="M191" s="550"/>
      <c r="N191" s="549"/>
      <c r="AD191" s="537" t="s">
        <v>404</v>
      </c>
    </row>
    <row r="192" spans="1:30" s="536" customFormat="1" x14ac:dyDescent="0.2">
      <c r="A192" s="548"/>
      <c r="B192" s="552"/>
      <c r="C192" s="1822" t="s">
        <v>405</v>
      </c>
      <c r="D192" s="1822"/>
      <c r="E192" s="1822"/>
      <c r="F192" s="1822"/>
      <c r="G192" s="1822"/>
      <c r="H192" s="1822"/>
      <c r="I192" s="1822"/>
      <c r="J192" s="1822"/>
      <c r="K192" s="1822"/>
      <c r="L192" s="551">
        <v>488.12</v>
      </c>
      <c r="M192" s="550"/>
      <c r="N192" s="549"/>
      <c r="AD192" s="537" t="s">
        <v>405</v>
      </c>
    </row>
    <row r="193" spans="1:31" s="536" customFormat="1" x14ac:dyDescent="0.2">
      <c r="A193" s="548"/>
      <c r="B193" s="552"/>
      <c r="C193" s="1822" t="s">
        <v>406</v>
      </c>
      <c r="D193" s="1822"/>
      <c r="E193" s="1822"/>
      <c r="F193" s="1822"/>
      <c r="G193" s="1822"/>
      <c r="H193" s="1822"/>
      <c r="I193" s="1822"/>
      <c r="J193" s="1822"/>
      <c r="K193" s="1822"/>
      <c r="L193" s="551">
        <v>58.93</v>
      </c>
      <c r="M193" s="550"/>
      <c r="N193" s="549"/>
      <c r="AD193" s="537" t="s">
        <v>406</v>
      </c>
    </row>
    <row r="194" spans="1:31" s="536" customFormat="1" x14ac:dyDescent="0.2">
      <c r="A194" s="548"/>
      <c r="B194" s="552"/>
      <c r="C194" s="1822" t="s">
        <v>407</v>
      </c>
      <c r="D194" s="1822"/>
      <c r="E194" s="1822"/>
      <c r="F194" s="1822"/>
      <c r="G194" s="1822"/>
      <c r="H194" s="1822"/>
      <c r="I194" s="1822"/>
      <c r="J194" s="1822"/>
      <c r="K194" s="1822"/>
      <c r="L194" s="551">
        <v>725.56</v>
      </c>
      <c r="M194" s="550"/>
      <c r="N194" s="549"/>
      <c r="AD194" s="537" t="s">
        <v>407</v>
      </c>
    </row>
    <row r="195" spans="1:31" s="536" customFormat="1" x14ac:dyDescent="0.2">
      <c r="A195" s="548"/>
      <c r="B195" s="552" t="s">
        <v>185</v>
      </c>
      <c r="C195" s="1822" t="s">
        <v>408</v>
      </c>
      <c r="D195" s="1822"/>
      <c r="E195" s="1822"/>
      <c r="F195" s="1822"/>
      <c r="G195" s="1822"/>
      <c r="H195" s="1822"/>
      <c r="I195" s="1822"/>
      <c r="J195" s="1822"/>
      <c r="K195" s="1822"/>
      <c r="L195" s="551">
        <v>717.03</v>
      </c>
      <c r="M195" s="550"/>
      <c r="N195" s="549"/>
      <c r="AD195" s="537" t="s">
        <v>408</v>
      </c>
    </row>
    <row r="196" spans="1:31" s="536" customFormat="1" x14ac:dyDescent="0.2">
      <c r="A196" s="548"/>
      <c r="B196" s="552"/>
      <c r="C196" s="1822" t="s">
        <v>409</v>
      </c>
      <c r="D196" s="1822"/>
      <c r="E196" s="1822"/>
      <c r="F196" s="1822"/>
      <c r="G196" s="1822"/>
      <c r="H196" s="1822"/>
      <c r="I196" s="1822"/>
      <c r="J196" s="1822"/>
      <c r="K196" s="1822"/>
      <c r="L196" s="551"/>
      <c r="M196" s="550"/>
      <c r="N196" s="549"/>
      <c r="AD196" s="537" t="s">
        <v>409</v>
      </c>
    </row>
    <row r="197" spans="1:31" s="536" customFormat="1" x14ac:dyDescent="0.2">
      <c r="A197" s="548"/>
      <c r="B197" s="552"/>
      <c r="C197" s="1822" t="s">
        <v>410</v>
      </c>
      <c r="D197" s="1822"/>
      <c r="E197" s="1822"/>
      <c r="F197" s="1822"/>
      <c r="G197" s="1822"/>
      <c r="H197" s="1822"/>
      <c r="I197" s="1822"/>
      <c r="J197" s="1822"/>
      <c r="K197" s="1822"/>
      <c r="L197" s="551">
        <v>66.28</v>
      </c>
      <c r="M197" s="550"/>
      <c r="N197" s="549"/>
      <c r="AD197" s="537" t="s">
        <v>410</v>
      </c>
    </row>
    <row r="198" spans="1:31" s="536" customFormat="1" x14ac:dyDescent="0.2">
      <c r="A198" s="548"/>
      <c r="B198" s="552"/>
      <c r="C198" s="1822" t="s">
        <v>411</v>
      </c>
      <c r="D198" s="1822"/>
      <c r="E198" s="1822"/>
      <c r="F198" s="1822"/>
      <c r="G198" s="1822"/>
      <c r="H198" s="1822"/>
      <c r="I198" s="1822"/>
      <c r="J198" s="1822"/>
      <c r="K198" s="1822"/>
      <c r="L198" s="551">
        <v>479.59</v>
      </c>
      <c r="M198" s="550"/>
      <c r="N198" s="549"/>
      <c r="AD198" s="537" t="s">
        <v>411</v>
      </c>
    </row>
    <row r="199" spans="1:31" s="536" customFormat="1" x14ac:dyDescent="0.2">
      <c r="A199" s="548"/>
      <c r="B199" s="552"/>
      <c r="C199" s="1822" t="s">
        <v>412</v>
      </c>
      <c r="D199" s="1822"/>
      <c r="E199" s="1822"/>
      <c r="F199" s="1822"/>
      <c r="G199" s="1822"/>
      <c r="H199" s="1822"/>
      <c r="I199" s="1822"/>
      <c r="J199" s="1822"/>
      <c r="K199" s="1822"/>
      <c r="L199" s="551">
        <v>114.64</v>
      </c>
      <c r="M199" s="550"/>
      <c r="N199" s="549"/>
      <c r="AD199" s="537" t="s">
        <v>412</v>
      </c>
    </row>
    <row r="200" spans="1:31" s="536" customFormat="1" x14ac:dyDescent="0.2">
      <c r="A200" s="548"/>
      <c r="B200" s="552"/>
      <c r="C200" s="1822" t="s">
        <v>413</v>
      </c>
      <c r="D200" s="1822"/>
      <c r="E200" s="1822"/>
      <c r="F200" s="1822"/>
      <c r="G200" s="1822"/>
      <c r="H200" s="1822"/>
      <c r="I200" s="1822"/>
      <c r="J200" s="1822"/>
      <c r="K200" s="1822"/>
      <c r="L200" s="551">
        <v>56.52</v>
      </c>
      <c r="M200" s="550"/>
      <c r="N200" s="549"/>
      <c r="AD200" s="537" t="s">
        <v>413</v>
      </c>
    </row>
    <row r="201" spans="1:31" s="536" customFormat="1" x14ac:dyDescent="0.2">
      <c r="A201" s="548"/>
      <c r="B201" s="552" t="s">
        <v>185</v>
      </c>
      <c r="C201" s="1822" t="s">
        <v>414</v>
      </c>
      <c r="D201" s="1822"/>
      <c r="E201" s="1822"/>
      <c r="F201" s="1822"/>
      <c r="G201" s="1822"/>
      <c r="H201" s="1822"/>
      <c r="I201" s="1822"/>
      <c r="J201" s="1822"/>
      <c r="K201" s="1822"/>
      <c r="L201" s="551">
        <v>8.5299999999999994</v>
      </c>
      <c r="M201" s="550"/>
      <c r="N201" s="549"/>
      <c r="AD201" s="537" t="s">
        <v>414</v>
      </c>
    </row>
    <row r="202" spans="1:31" s="536" customFormat="1" x14ac:dyDescent="0.2">
      <c r="A202" s="548"/>
      <c r="B202" s="552"/>
      <c r="C202" s="1822" t="s">
        <v>415</v>
      </c>
      <c r="D202" s="1822"/>
      <c r="E202" s="1822"/>
      <c r="F202" s="1822"/>
      <c r="G202" s="1822"/>
      <c r="H202" s="1822"/>
      <c r="I202" s="1822"/>
      <c r="J202" s="1822"/>
      <c r="K202" s="1822"/>
      <c r="L202" s="551">
        <v>125.21</v>
      </c>
      <c r="M202" s="550"/>
      <c r="N202" s="549"/>
      <c r="AD202" s="537" t="s">
        <v>415</v>
      </c>
    </row>
    <row r="203" spans="1:31" s="536" customFormat="1" x14ac:dyDescent="0.2">
      <c r="A203" s="548"/>
      <c r="B203" s="552"/>
      <c r="C203" s="1822" t="s">
        <v>416</v>
      </c>
      <c r="D203" s="1822"/>
      <c r="E203" s="1822"/>
      <c r="F203" s="1822"/>
      <c r="G203" s="1822"/>
      <c r="H203" s="1822"/>
      <c r="I203" s="1822"/>
      <c r="J203" s="1822"/>
      <c r="K203" s="1822"/>
      <c r="L203" s="551">
        <v>114.64</v>
      </c>
      <c r="M203" s="550"/>
      <c r="N203" s="549"/>
      <c r="AD203" s="537" t="s">
        <v>416</v>
      </c>
    </row>
    <row r="204" spans="1:31" s="536" customFormat="1" x14ac:dyDescent="0.2">
      <c r="A204" s="548"/>
      <c r="B204" s="552"/>
      <c r="C204" s="1822" t="s">
        <v>417</v>
      </c>
      <c r="D204" s="1822"/>
      <c r="E204" s="1822"/>
      <c r="F204" s="1822"/>
      <c r="G204" s="1822"/>
      <c r="H204" s="1822"/>
      <c r="I204" s="1822"/>
      <c r="J204" s="1822"/>
      <c r="K204" s="1822"/>
      <c r="L204" s="551">
        <v>56.52</v>
      </c>
      <c r="M204" s="550"/>
      <c r="N204" s="549"/>
      <c r="AD204" s="537" t="s">
        <v>417</v>
      </c>
    </row>
    <row r="205" spans="1:31" s="536" customFormat="1" x14ac:dyDescent="0.2">
      <c r="A205" s="548"/>
      <c r="B205" s="546"/>
      <c r="C205" s="1819" t="s">
        <v>6608</v>
      </c>
      <c r="D205" s="1819"/>
      <c r="E205" s="1819"/>
      <c r="F205" s="1819"/>
      <c r="G205" s="1819"/>
      <c r="H205" s="1819"/>
      <c r="I205" s="1819"/>
      <c r="J205" s="1819"/>
      <c r="K205" s="1819"/>
      <c r="L205" s="544">
        <v>725.56</v>
      </c>
      <c r="M205" s="543"/>
      <c r="N205" s="681"/>
      <c r="AE205" s="537" t="s">
        <v>6608</v>
      </c>
    </row>
    <row r="206" spans="1:31" s="536" customFormat="1" ht="12" x14ac:dyDescent="0.2">
      <c r="A206" s="1824" t="s">
        <v>6609</v>
      </c>
      <c r="B206" s="1825"/>
      <c r="C206" s="1825"/>
      <c r="D206" s="1825"/>
      <c r="E206" s="1825"/>
      <c r="F206" s="1825"/>
      <c r="G206" s="1825"/>
      <c r="H206" s="1825"/>
      <c r="I206" s="1825"/>
      <c r="J206" s="1825"/>
      <c r="K206" s="1825"/>
      <c r="L206" s="1825"/>
      <c r="M206" s="1825"/>
      <c r="N206" s="1826"/>
      <c r="V206" s="537" t="s">
        <v>6609</v>
      </c>
    </row>
    <row r="207" spans="1:31" s="536" customFormat="1" ht="33.75" x14ac:dyDescent="0.2">
      <c r="A207" s="575" t="s">
        <v>198</v>
      </c>
      <c r="B207" s="670" t="s">
        <v>6610</v>
      </c>
      <c r="C207" s="1823" t="s">
        <v>6611</v>
      </c>
      <c r="D207" s="1823"/>
      <c r="E207" s="1823"/>
      <c r="F207" s="573" t="s">
        <v>617</v>
      </c>
      <c r="G207" s="573"/>
      <c r="H207" s="573"/>
      <c r="I207" s="573" t="s">
        <v>185</v>
      </c>
      <c r="J207" s="572"/>
      <c r="K207" s="573"/>
      <c r="L207" s="572"/>
      <c r="M207" s="571"/>
      <c r="N207" s="570"/>
      <c r="W207" s="537" t="s">
        <v>6611</v>
      </c>
    </row>
    <row r="208" spans="1:31" s="536" customFormat="1" ht="33.75" x14ac:dyDescent="0.2">
      <c r="A208" s="609"/>
      <c r="B208" s="552" t="s">
        <v>310</v>
      </c>
      <c r="C208" s="1822" t="s">
        <v>311</v>
      </c>
      <c r="D208" s="1822"/>
      <c r="E208" s="1822"/>
      <c r="F208" s="1822"/>
      <c r="G208" s="1822"/>
      <c r="H208" s="1822"/>
      <c r="I208" s="1822"/>
      <c r="J208" s="1822"/>
      <c r="K208" s="1822"/>
      <c r="L208" s="1822"/>
      <c r="M208" s="1822"/>
      <c r="N208" s="1827"/>
      <c r="X208" s="537" t="s">
        <v>311</v>
      </c>
    </row>
    <row r="209" spans="1:28" s="536" customFormat="1" x14ac:dyDescent="0.2">
      <c r="A209" s="605"/>
      <c r="B209" s="552" t="s">
        <v>185</v>
      </c>
      <c r="C209" s="1822" t="s">
        <v>312</v>
      </c>
      <c r="D209" s="1822"/>
      <c r="E209" s="1822"/>
      <c r="F209" s="562"/>
      <c r="G209" s="562"/>
      <c r="H209" s="562"/>
      <c r="I209" s="562"/>
      <c r="J209" s="604">
        <v>2.6</v>
      </c>
      <c r="K209" s="562" t="s">
        <v>313</v>
      </c>
      <c r="L209" s="604">
        <v>3.25</v>
      </c>
      <c r="M209" s="603"/>
      <c r="N209" s="602"/>
      <c r="Y209" s="537" t="s">
        <v>312</v>
      </c>
    </row>
    <row r="210" spans="1:28" s="536" customFormat="1" x14ac:dyDescent="0.2">
      <c r="A210" s="605"/>
      <c r="B210" s="552" t="s">
        <v>186</v>
      </c>
      <c r="C210" s="1822" t="s">
        <v>344</v>
      </c>
      <c r="D210" s="1822"/>
      <c r="E210" s="1822"/>
      <c r="F210" s="562"/>
      <c r="G210" s="562"/>
      <c r="H210" s="562"/>
      <c r="I210" s="562"/>
      <c r="J210" s="604">
        <v>298.12</v>
      </c>
      <c r="K210" s="562" t="s">
        <v>313</v>
      </c>
      <c r="L210" s="604">
        <v>372.65</v>
      </c>
      <c r="M210" s="603"/>
      <c r="N210" s="602"/>
      <c r="Y210" s="537" t="s">
        <v>344</v>
      </c>
    </row>
    <row r="211" spans="1:28" s="536" customFormat="1" x14ac:dyDescent="0.2">
      <c r="A211" s="605"/>
      <c r="B211" s="552" t="s">
        <v>187</v>
      </c>
      <c r="C211" s="1822" t="s">
        <v>345</v>
      </c>
      <c r="D211" s="1822"/>
      <c r="E211" s="1822"/>
      <c r="F211" s="562"/>
      <c r="G211" s="562"/>
      <c r="H211" s="562"/>
      <c r="I211" s="562"/>
      <c r="J211" s="604">
        <v>3.78</v>
      </c>
      <c r="K211" s="562" t="s">
        <v>313</v>
      </c>
      <c r="L211" s="604">
        <v>4.7300000000000004</v>
      </c>
      <c r="M211" s="603"/>
      <c r="N211" s="602"/>
      <c r="Y211" s="537" t="s">
        <v>345</v>
      </c>
    </row>
    <row r="212" spans="1:28" s="536" customFormat="1" x14ac:dyDescent="0.2">
      <c r="A212" s="605"/>
      <c r="B212" s="552"/>
      <c r="C212" s="1822" t="s">
        <v>314</v>
      </c>
      <c r="D212" s="1822"/>
      <c r="E212" s="1822"/>
      <c r="F212" s="562" t="s">
        <v>315</v>
      </c>
      <c r="G212" s="562" t="s">
        <v>1846</v>
      </c>
      <c r="H212" s="562" t="s">
        <v>313</v>
      </c>
      <c r="I212" s="562" t="s">
        <v>6612</v>
      </c>
      <c r="J212" s="604"/>
      <c r="K212" s="562"/>
      <c r="L212" s="604"/>
      <c r="M212" s="603"/>
      <c r="N212" s="602"/>
      <c r="Z212" s="537" t="s">
        <v>314</v>
      </c>
    </row>
    <row r="213" spans="1:28" s="536" customFormat="1" x14ac:dyDescent="0.2">
      <c r="A213" s="605"/>
      <c r="B213" s="552"/>
      <c r="C213" s="1822" t="s">
        <v>348</v>
      </c>
      <c r="D213" s="1822"/>
      <c r="E213" s="1822"/>
      <c r="F213" s="562" t="s">
        <v>315</v>
      </c>
      <c r="G213" s="562" t="s">
        <v>3175</v>
      </c>
      <c r="H213" s="562" t="s">
        <v>313</v>
      </c>
      <c r="I213" s="562" t="s">
        <v>691</v>
      </c>
      <c r="J213" s="604"/>
      <c r="K213" s="562"/>
      <c r="L213" s="604"/>
      <c r="M213" s="603"/>
      <c r="N213" s="602"/>
      <c r="Z213" s="537" t="s">
        <v>348</v>
      </c>
    </row>
    <row r="214" spans="1:28" s="536" customFormat="1" x14ac:dyDescent="0.2">
      <c r="A214" s="605"/>
      <c r="B214" s="552"/>
      <c r="C214" s="1828" t="s">
        <v>318</v>
      </c>
      <c r="D214" s="1828"/>
      <c r="E214" s="1828"/>
      <c r="F214" s="608"/>
      <c r="G214" s="608"/>
      <c r="H214" s="608"/>
      <c r="I214" s="608"/>
      <c r="J214" s="607">
        <v>300.72000000000003</v>
      </c>
      <c r="K214" s="608"/>
      <c r="L214" s="607">
        <v>375.9</v>
      </c>
      <c r="M214" s="601"/>
      <c r="N214" s="606"/>
      <c r="AA214" s="537" t="s">
        <v>318</v>
      </c>
    </row>
    <row r="215" spans="1:28" s="536" customFormat="1" x14ac:dyDescent="0.2">
      <c r="A215" s="605"/>
      <c r="B215" s="552"/>
      <c r="C215" s="1822" t="s">
        <v>319</v>
      </c>
      <c r="D215" s="1822"/>
      <c r="E215" s="1822"/>
      <c r="F215" s="562"/>
      <c r="G215" s="562"/>
      <c r="H215" s="562"/>
      <c r="I215" s="562"/>
      <c r="J215" s="604"/>
      <c r="K215" s="562"/>
      <c r="L215" s="604">
        <v>7.98</v>
      </c>
      <c r="M215" s="603"/>
      <c r="N215" s="602"/>
      <c r="Z215" s="537" t="s">
        <v>319</v>
      </c>
    </row>
    <row r="216" spans="1:28" s="536" customFormat="1" ht="33.75" x14ac:dyDescent="0.2">
      <c r="A216" s="605"/>
      <c r="B216" s="552" t="s">
        <v>6613</v>
      </c>
      <c r="C216" s="1822" t="s">
        <v>6614</v>
      </c>
      <c r="D216" s="1822"/>
      <c r="E216" s="1822"/>
      <c r="F216" s="562" t="s">
        <v>322</v>
      </c>
      <c r="G216" s="562" t="s">
        <v>1527</v>
      </c>
      <c r="H216" s="562"/>
      <c r="I216" s="562" t="s">
        <v>1527</v>
      </c>
      <c r="J216" s="604"/>
      <c r="K216" s="562"/>
      <c r="L216" s="604">
        <v>8.4600000000000009</v>
      </c>
      <c r="M216" s="603"/>
      <c r="N216" s="602"/>
      <c r="Z216" s="537" t="s">
        <v>6614</v>
      </c>
    </row>
    <row r="217" spans="1:28" s="536" customFormat="1" ht="33.75" x14ac:dyDescent="0.2">
      <c r="A217" s="605"/>
      <c r="B217" s="552" t="s">
        <v>6615</v>
      </c>
      <c r="C217" s="1822" t="s">
        <v>6616</v>
      </c>
      <c r="D217" s="1822"/>
      <c r="E217" s="1822"/>
      <c r="F217" s="562" t="s">
        <v>322</v>
      </c>
      <c r="G217" s="562" t="s">
        <v>931</v>
      </c>
      <c r="H217" s="562"/>
      <c r="I217" s="562" t="s">
        <v>931</v>
      </c>
      <c r="J217" s="604"/>
      <c r="K217" s="562"/>
      <c r="L217" s="604">
        <v>3.59</v>
      </c>
      <c r="M217" s="603"/>
      <c r="N217" s="602"/>
      <c r="Z217" s="537" t="s">
        <v>6616</v>
      </c>
    </row>
    <row r="218" spans="1:28" s="536" customFormat="1" x14ac:dyDescent="0.2">
      <c r="A218" s="569"/>
      <c r="B218" s="671"/>
      <c r="C218" s="1823" t="s">
        <v>327</v>
      </c>
      <c r="D218" s="1823"/>
      <c r="E218" s="1823"/>
      <c r="F218" s="573"/>
      <c r="G218" s="573"/>
      <c r="H218" s="573"/>
      <c r="I218" s="573"/>
      <c r="J218" s="572"/>
      <c r="K218" s="573"/>
      <c r="L218" s="572">
        <v>387.95</v>
      </c>
      <c r="M218" s="601"/>
      <c r="N218" s="570"/>
      <c r="AB218" s="537" t="s">
        <v>327</v>
      </c>
    </row>
    <row r="219" spans="1:28" s="536" customFormat="1" ht="33.75" x14ac:dyDescent="0.2">
      <c r="A219" s="575" t="s">
        <v>199</v>
      </c>
      <c r="B219" s="670" t="s">
        <v>6617</v>
      </c>
      <c r="C219" s="1823" t="s">
        <v>6618</v>
      </c>
      <c r="D219" s="1823"/>
      <c r="E219" s="1823"/>
      <c r="F219" s="573" t="s">
        <v>617</v>
      </c>
      <c r="G219" s="573"/>
      <c r="H219" s="573"/>
      <c r="I219" s="573" t="s">
        <v>185</v>
      </c>
      <c r="J219" s="572"/>
      <c r="K219" s="573"/>
      <c r="L219" s="572"/>
      <c r="M219" s="571"/>
      <c r="N219" s="570"/>
      <c r="W219" s="537" t="s">
        <v>6618</v>
      </c>
    </row>
    <row r="220" spans="1:28" s="536" customFormat="1" ht="33.75" x14ac:dyDescent="0.2">
      <c r="A220" s="609"/>
      <c r="B220" s="552" t="s">
        <v>310</v>
      </c>
      <c r="C220" s="1822" t="s">
        <v>311</v>
      </c>
      <c r="D220" s="1822"/>
      <c r="E220" s="1822"/>
      <c r="F220" s="1822"/>
      <c r="G220" s="1822"/>
      <c r="H220" s="1822"/>
      <c r="I220" s="1822"/>
      <c r="J220" s="1822"/>
      <c r="K220" s="1822"/>
      <c r="L220" s="1822"/>
      <c r="M220" s="1822"/>
      <c r="N220" s="1827"/>
      <c r="X220" s="537" t="s">
        <v>311</v>
      </c>
    </row>
    <row r="221" spans="1:28" s="536" customFormat="1" x14ac:dyDescent="0.2">
      <c r="A221" s="605"/>
      <c r="B221" s="552" t="s">
        <v>185</v>
      </c>
      <c r="C221" s="1822" t="s">
        <v>312</v>
      </c>
      <c r="D221" s="1822"/>
      <c r="E221" s="1822"/>
      <c r="F221" s="562"/>
      <c r="G221" s="562"/>
      <c r="H221" s="562"/>
      <c r="I221" s="562"/>
      <c r="J221" s="604">
        <v>2.5</v>
      </c>
      <c r="K221" s="562" t="s">
        <v>313</v>
      </c>
      <c r="L221" s="604">
        <v>3.13</v>
      </c>
      <c r="M221" s="603"/>
      <c r="N221" s="602"/>
      <c r="Y221" s="537" t="s">
        <v>312</v>
      </c>
    </row>
    <row r="222" spans="1:28" s="536" customFormat="1" x14ac:dyDescent="0.2">
      <c r="A222" s="605"/>
      <c r="B222" s="552" t="s">
        <v>186</v>
      </c>
      <c r="C222" s="1822" t="s">
        <v>344</v>
      </c>
      <c r="D222" s="1822"/>
      <c r="E222" s="1822"/>
      <c r="F222" s="562"/>
      <c r="G222" s="562"/>
      <c r="H222" s="562"/>
      <c r="I222" s="562"/>
      <c r="J222" s="604">
        <v>276.83</v>
      </c>
      <c r="K222" s="562" t="s">
        <v>313</v>
      </c>
      <c r="L222" s="604">
        <v>346.04</v>
      </c>
      <c r="M222" s="603"/>
      <c r="N222" s="602"/>
      <c r="Y222" s="537" t="s">
        <v>344</v>
      </c>
    </row>
    <row r="223" spans="1:28" s="536" customFormat="1" x14ac:dyDescent="0.2">
      <c r="A223" s="605"/>
      <c r="B223" s="552" t="s">
        <v>187</v>
      </c>
      <c r="C223" s="1822" t="s">
        <v>345</v>
      </c>
      <c r="D223" s="1822"/>
      <c r="E223" s="1822"/>
      <c r="F223" s="562"/>
      <c r="G223" s="562"/>
      <c r="H223" s="562"/>
      <c r="I223" s="562"/>
      <c r="J223" s="604">
        <v>3.51</v>
      </c>
      <c r="K223" s="562" t="s">
        <v>313</v>
      </c>
      <c r="L223" s="604">
        <v>4.3899999999999997</v>
      </c>
      <c r="M223" s="603"/>
      <c r="N223" s="602"/>
      <c r="Y223" s="537" t="s">
        <v>345</v>
      </c>
    </row>
    <row r="224" spans="1:28" s="536" customFormat="1" x14ac:dyDescent="0.2">
      <c r="A224" s="605"/>
      <c r="B224" s="552"/>
      <c r="C224" s="1822" t="s">
        <v>314</v>
      </c>
      <c r="D224" s="1822"/>
      <c r="E224" s="1822"/>
      <c r="F224" s="562" t="s">
        <v>315</v>
      </c>
      <c r="G224" s="562" t="s">
        <v>1153</v>
      </c>
      <c r="H224" s="562" t="s">
        <v>313</v>
      </c>
      <c r="I224" s="562" t="s">
        <v>1545</v>
      </c>
      <c r="J224" s="604"/>
      <c r="K224" s="562"/>
      <c r="L224" s="604"/>
      <c r="M224" s="603"/>
      <c r="N224" s="602"/>
      <c r="Z224" s="537" t="s">
        <v>314</v>
      </c>
    </row>
    <row r="225" spans="1:34" s="536" customFormat="1" x14ac:dyDescent="0.2">
      <c r="A225" s="605"/>
      <c r="B225" s="552"/>
      <c r="C225" s="1822" t="s">
        <v>348</v>
      </c>
      <c r="D225" s="1822"/>
      <c r="E225" s="1822"/>
      <c r="F225" s="562" t="s">
        <v>315</v>
      </c>
      <c r="G225" s="562" t="s">
        <v>1153</v>
      </c>
      <c r="H225" s="562" t="s">
        <v>313</v>
      </c>
      <c r="I225" s="562" t="s">
        <v>1545</v>
      </c>
      <c r="J225" s="604"/>
      <c r="K225" s="562"/>
      <c r="L225" s="604"/>
      <c r="M225" s="603"/>
      <c r="N225" s="602"/>
      <c r="Z225" s="537" t="s">
        <v>348</v>
      </c>
    </row>
    <row r="226" spans="1:34" s="536" customFormat="1" x14ac:dyDescent="0.2">
      <c r="A226" s="605"/>
      <c r="B226" s="552"/>
      <c r="C226" s="1828" t="s">
        <v>318</v>
      </c>
      <c r="D226" s="1828"/>
      <c r="E226" s="1828"/>
      <c r="F226" s="608"/>
      <c r="G226" s="608"/>
      <c r="H226" s="608"/>
      <c r="I226" s="608"/>
      <c r="J226" s="607">
        <v>279.33</v>
      </c>
      <c r="K226" s="608"/>
      <c r="L226" s="607">
        <v>349.17</v>
      </c>
      <c r="M226" s="601"/>
      <c r="N226" s="606"/>
      <c r="AA226" s="537" t="s">
        <v>318</v>
      </c>
    </row>
    <row r="227" spans="1:34" s="536" customFormat="1" x14ac:dyDescent="0.2">
      <c r="A227" s="605"/>
      <c r="B227" s="552"/>
      <c r="C227" s="1822" t="s">
        <v>319</v>
      </c>
      <c r="D227" s="1822"/>
      <c r="E227" s="1822"/>
      <c r="F227" s="562"/>
      <c r="G227" s="562"/>
      <c r="H227" s="562"/>
      <c r="I227" s="562"/>
      <c r="J227" s="604"/>
      <c r="K227" s="562"/>
      <c r="L227" s="604">
        <v>7.52</v>
      </c>
      <c r="M227" s="603"/>
      <c r="N227" s="602"/>
      <c r="Z227" s="537" t="s">
        <v>319</v>
      </c>
    </row>
    <row r="228" spans="1:34" s="536" customFormat="1" ht="33.75" x14ac:dyDescent="0.2">
      <c r="A228" s="605"/>
      <c r="B228" s="552" t="s">
        <v>6613</v>
      </c>
      <c r="C228" s="1822" t="s">
        <v>6614</v>
      </c>
      <c r="D228" s="1822"/>
      <c r="E228" s="1822"/>
      <c r="F228" s="562" t="s">
        <v>322</v>
      </c>
      <c r="G228" s="562" t="s">
        <v>1527</v>
      </c>
      <c r="H228" s="562"/>
      <c r="I228" s="562" t="s">
        <v>1527</v>
      </c>
      <c r="J228" s="604"/>
      <c r="K228" s="562"/>
      <c r="L228" s="604">
        <v>7.97</v>
      </c>
      <c r="M228" s="603"/>
      <c r="N228" s="602"/>
      <c r="Z228" s="537" t="s">
        <v>6614</v>
      </c>
    </row>
    <row r="229" spans="1:34" s="536" customFormat="1" ht="33.75" x14ac:dyDescent="0.2">
      <c r="A229" s="605"/>
      <c r="B229" s="552" t="s">
        <v>6615</v>
      </c>
      <c r="C229" s="1822" t="s">
        <v>6616</v>
      </c>
      <c r="D229" s="1822"/>
      <c r="E229" s="1822"/>
      <c r="F229" s="562" t="s">
        <v>322</v>
      </c>
      <c r="G229" s="562" t="s">
        <v>931</v>
      </c>
      <c r="H229" s="562"/>
      <c r="I229" s="562" t="s">
        <v>931</v>
      </c>
      <c r="J229" s="604"/>
      <c r="K229" s="562"/>
      <c r="L229" s="604">
        <v>3.38</v>
      </c>
      <c r="M229" s="603"/>
      <c r="N229" s="602"/>
      <c r="Z229" s="537" t="s">
        <v>6616</v>
      </c>
    </row>
    <row r="230" spans="1:34" s="536" customFormat="1" x14ac:dyDescent="0.2">
      <c r="A230" s="569"/>
      <c r="B230" s="671"/>
      <c r="C230" s="1823" t="s">
        <v>327</v>
      </c>
      <c r="D230" s="1823"/>
      <c r="E230" s="1823"/>
      <c r="F230" s="573"/>
      <c r="G230" s="573"/>
      <c r="H230" s="573"/>
      <c r="I230" s="573"/>
      <c r="J230" s="572"/>
      <c r="K230" s="573"/>
      <c r="L230" s="572">
        <v>360.52</v>
      </c>
      <c r="M230" s="601"/>
      <c r="N230" s="570"/>
      <c r="AB230" s="537" t="s">
        <v>327</v>
      </c>
    </row>
    <row r="231" spans="1:34" s="536" customFormat="1" ht="67.5" x14ac:dyDescent="0.2">
      <c r="A231" s="575" t="s">
        <v>200</v>
      </c>
      <c r="B231" s="670" t="s">
        <v>6619</v>
      </c>
      <c r="C231" s="1823" t="s">
        <v>6620</v>
      </c>
      <c r="D231" s="1823"/>
      <c r="E231" s="1823"/>
      <c r="F231" s="573" t="s">
        <v>483</v>
      </c>
      <c r="G231" s="573"/>
      <c r="H231" s="573"/>
      <c r="I231" s="573" t="s">
        <v>897</v>
      </c>
      <c r="J231" s="572"/>
      <c r="K231" s="573"/>
      <c r="L231" s="572"/>
      <c r="M231" s="571"/>
      <c r="N231" s="570"/>
      <c r="W231" s="537" t="s">
        <v>6620</v>
      </c>
    </row>
    <row r="232" spans="1:34" s="536" customFormat="1" ht="33.75" x14ac:dyDescent="0.2">
      <c r="A232" s="609"/>
      <c r="B232" s="552" t="s">
        <v>310</v>
      </c>
      <c r="C232" s="1822" t="s">
        <v>311</v>
      </c>
      <c r="D232" s="1822"/>
      <c r="E232" s="1822"/>
      <c r="F232" s="1822"/>
      <c r="G232" s="1822"/>
      <c r="H232" s="1822"/>
      <c r="I232" s="1822"/>
      <c r="J232" s="1822"/>
      <c r="K232" s="1822"/>
      <c r="L232" s="1822"/>
      <c r="M232" s="1822"/>
      <c r="N232" s="1827"/>
      <c r="X232" s="537" t="s">
        <v>311</v>
      </c>
    </row>
    <row r="233" spans="1:34" s="536" customFormat="1" x14ac:dyDescent="0.2">
      <c r="A233" s="605"/>
      <c r="B233" s="552" t="s">
        <v>185</v>
      </c>
      <c r="C233" s="1822" t="s">
        <v>312</v>
      </c>
      <c r="D233" s="1822"/>
      <c r="E233" s="1822"/>
      <c r="F233" s="562"/>
      <c r="G233" s="562"/>
      <c r="H233" s="562"/>
      <c r="I233" s="562"/>
      <c r="J233" s="604">
        <v>14.7</v>
      </c>
      <c r="K233" s="562" t="s">
        <v>313</v>
      </c>
      <c r="L233" s="604">
        <v>1323</v>
      </c>
      <c r="M233" s="603"/>
      <c r="N233" s="602"/>
      <c r="Y233" s="537" t="s">
        <v>312</v>
      </c>
    </row>
    <row r="234" spans="1:34" s="536" customFormat="1" x14ac:dyDescent="0.2">
      <c r="A234" s="605"/>
      <c r="B234" s="552" t="s">
        <v>186</v>
      </c>
      <c r="C234" s="1822" t="s">
        <v>344</v>
      </c>
      <c r="D234" s="1822"/>
      <c r="E234" s="1822"/>
      <c r="F234" s="562"/>
      <c r="G234" s="562"/>
      <c r="H234" s="562"/>
      <c r="I234" s="562"/>
      <c r="J234" s="604">
        <v>856.98</v>
      </c>
      <c r="K234" s="562" t="s">
        <v>313</v>
      </c>
      <c r="L234" s="604">
        <v>77128.2</v>
      </c>
      <c r="M234" s="603"/>
      <c r="N234" s="602"/>
      <c r="Y234" s="537" t="s">
        <v>344</v>
      </c>
    </row>
    <row r="235" spans="1:34" s="536" customFormat="1" x14ac:dyDescent="0.2">
      <c r="A235" s="605"/>
      <c r="B235" s="552" t="s">
        <v>187</v>
      </c>
      <c r="C235" s="1822" t="s">
        <v>345</v>
      </c>
      <c r="D235" s="1822"/>
      <c r="E235" s="1822"/>
      <c r="F235" s="562"/>
      <c r="G235" s="562"/>
      <c r="H235" s="562"/>
      <c r="I235" s="562"/>
      <c r="J235" s="604">
        <v>22.61</v>
      </c>
      <c r="K235" s="562" t="s">
        <v>313</v>
      </c>
      <c r="L235" s="604">
        <v>2034.9</v>
      </c>
      <c r="M235" s="603"/>
      <c r="N235" s="602"/>
      <c r="Y235" s="537" t="s">
        <v>345</v>
      </c>
    </row>
    <row r="236" spans="1:34" s="536" customFormat="1" x14ac:dyDescent="0.2">
      <c r="A236" s="605"/>
      <c r="B236" s="552" t="s">
        <v>188</v>
      </c>
      <c r="C236" s="1822" t="s">
        <v>475</v>
      </c>
      <c r="D236" s="1822"/>
      <c r="E236" s="1822"/>
      <c r="F236" s="562"/>
      <c r="G236" s="562"/>
      <c r="H236" s="562"/>
      <c r="I236" s="562"/>
      <c r="J236" s="604">
        <v>3.24</v>
      </c>
      <c r="K236" s="562"/>
      <c r="L236" s="604">
        <v>233.28</v>
      </c>
      <c r="M236" s="603"/>
      <c r="N236" s="602"/>
      <c r="Y236" s="537" t="s">
        <v>475</v>
      </c>
    </row>
    <row r="237" spans="1:34" s="536" customFormat="1" x14ac:dyDescent="0.2">
      <c r="A237" s="676"/>
      <c r="B237" s="677" t="s">
        <v>6797</v>
      </c>
      <c r="C237" s="1829" t="s">
        <v>6798</v>
      </c>
      <c r="D237" s="1829"/>
      <c r="E237" s="1829"/>
      <c r="F237" s="678" t="s">
        <v>699</v>
      </c>
      <c r="G237" s="678" t="s">
        <v>6799</v>
      </c>
      <c r="H237" s="678"/>
      <c r="I237" s="678" t="s">
        <v>6800</v>
      </c>
      <c r="J237" s="552"/>
      <c r="K237" s="562"/>
      <c r="L237" s="604"/>
      <c r="M237" s="562"/>
      <c r="N237" s="679"/>
      <c r="AH237" s="537" t="s">
        <v>6798</v>
      </c>
    </row>
    <row r="238" spans="1:34" s="536" customFormat="1" x14ac:dyDescent="0.2">
      <c r="A238" s="676"/>
      <c r="B238" s="677" t="s">
        <v>6801</v>
      </c>
      <c r="C238" s="1829" t="s">
        <v>6802</v>
      </c>
      <c r="D238" s="1829"/>
      <c r="E238" s="1829"/>
      <c r="F238" s="678" t="s">
        <v>694</v>
      </c>
      <c r="G238" s="678" t="s">
        <v>6803</v>
      </c>
      <c r="H238" s="678"/>
      <c r="I238" s="678" t="s">
        <v>6804</v>
      </c>
      <c r="J238" s="552"/>
      <c r="K238" s="562"/>
      <c r="L238" s="604"/>
      <c r="M238" s="562"/>
      <c r="N238" s="679"/>
      <c r="AH238" s="537" t="s">
        <v>6802</v>
      </c>
    </row>
    <row r="239" spans="1:34" s="536" customFormat="1" x14ac:dyDescent="0.2">
      <c r="A239" s="605"/>
      <c r="B239" s="552"/>
      <c r="C239" s="1822" t="s">
        <v>314</v>
      </c>
      <c r="D239" s="1822"/>
      <c r="E239" s="1822"/>
      <c r="F239" s="562" t="s">
        <v>315</v>
      </c>
      <c r="G239" s="562" t="s">
        <v>5595</v>
      </c>
      <c r="H239" s="562" t="s">
        <v>313</v>
      </c>
      <c r="I239" s="562" t="s">
        <v>6621</v>
      </c>
      <c r="J239" s="604"/>
      <c r="K239" s="562"/>
      <c r="L239" s="604"/>
      <c r="M239" s="603"/>
      <c r="N239" s="602"/>
      <c r="Z239" s="537" t="s">
        <v>314</v>
      </c>
    </row>
    <row r="240" spans="1:34" s="536" customFormat="1" x14ac:dyDescent="0.2">
      <c r="A240" s="605"/>
      <c r="B240" s="552"/>
      <c r="C240" s="1822" t="s">
        <v>348</v>
      </c>
      <c r="D240" s="1822"/>
      <c r="E240" s="1822"/>
      <c r="F240" s="562" t="s">
        <v>315</v>
      </c>
      <c r="G240" s="562" t="s">
        <v>6622</v>
      </c>
      <c r="H240" s="562" t="s">
        <v>313</v>
      </c>
      <c r="I240" s="562" t="s">
        <v>6623</v>
      </c>
      <c r="J240" s="604"/>
      <c r="K240" s="562"/>
      <c r="L240" s="604"/>
      <c r="M240" s="603"/>
      <c r="N240" s="602"/>
      <c r="Z240" s="537" t="s">
        <v>348</v>
      </c>
    </row>
    <row r="241" spans="1:33" s="536" customFormat="1" x14ac:dyDescent="0.2">
      <c r="A241" s="605"/>
      <c r="B241" s="552"/>
      <c r="C241" s="1828" t="s">
        <v>318</v>
      </c>
      <c r="D241" s="1828"/>
      <c r="E241" s="1828"/>
      <c r="F241" s="608"/>
      <c r="G241" s="608"/>
      <c r="H241" s="608"/>
      <c r="I241" s="608"/>
      <c r="J241" s="607">
        <v>874.92</v>
      </c>
      <c r="K241" s="608"/>
      <c r="L241" s="607">
        <v>78684.479999999996</v>
      </c>
      <c r="M241" s="601"/>
      <c r="N241" s="606"/>
      <c r="AA241" s="537" t="s">
        <v>318</v>
      </c>
    </row>
    <row r="242" spans="1:33" s="536" customFormat="1" x14ac:dyDescent="0.2">
      <c r="A242" s="605"/>
      <c r="B242" s="552"/>
      <c r="C242" s="1822" t="s">
        <v>319</v>
      </c>
      <c r="D242" s="1822"/>
      <c r="E242" s="1822"/>
      <c r="F242" s="562"/>
      <c r="G242" s="562"/>
      <c r="H242" s="562"/>
      <c r="I242" s="562"/>
      <c r="J242" s="604"/>
      <c r="K242" s="562"/>
      <c r="L242" s="604">
        <v>3357.9</v>
      </c>
      <c r="M242" s="603"/>
      <c r="N242" s="602"/>
      <c r="Z242" s="537" t="s">
        <v>319</v>
      </c>
    </row>
    <row r="243" spans="1:33" s="536" customFormat="1" ht="33.75" x14ac:dyDescent="0.2">
      <c r="A243" s="605"/>
      <c r="B243" s="552" t="s">
        <v>6613</v>
      </c>
      <c r="C243" s="1822" t="s">
        <v>6614</v>
      </c>
      <c r="D243" s="1822"/>
      <c r="E243" s="1822"/>
      <c r="F243" s="562" t="s">
        <v>322</v>
      </c>
      <c r="G243" s="562" t="s">
        <v>1527</v>
      </c>
      <c r="H243" s="562"/>
      <c r="I243" s="562" t="s">
        <v>1527</v>
      </c>
      <c r="J243" s="604"/>
      <c r="K243" s="562"/>
      <c r="L243" s="604">
        <v>3559.37</v>
      </c>
      <c r="M243" s="603"/>
      <c r="N243" s="602"/>
      <c r="Z243" s="537" t="s">
        <v>6614</v>
      </c>
    </row>
    <row r="244" spans="1:33" s="536" customFormat="1" ht="33.75" x14ac:dyDescent="0.2">
      <c r="A244" s="605"/>
      <c r="B244" s="552" t="s">
        <v>6615</v>
      </c>
      <c r="C244" s="1822" t="s">
        <v>6616</v>
      </c>
      <c r="D244" s="1822"/>
      <c r="E244" s="1822"/>
      <c r="F244" s="562" t="s">
        <v>322</v>
      </c>
      <c r="G244" s="562" t="s">
        <v>931</v>
      </c>
      <c r="H244" s="562"/>
      <c r="I244" s="562" t="s">
        <v>931</v>
      </c>
      <c r="J244" s="604"/>
      <c r="K244" s="562"/>
      <c r="L244" s="604">
        <v>1511.06</v>
      </c>
      <c r="M244" s="603"/>
      <c r="N244" s="602"/>
      <c r="Z244" s="537" t="s">
        <v>6616</v>
      </c>
    </row>
    <row r="245" spans="1:33" s="536" customFormat="1" x14ac:dyDescent="0.2">
      <c r="A245" s="569"/>
      <c r="B245" s="671"/>
      <c r="C245" s="1823" t="s">
        <v>327</v>
      </c>
      <c r="D245" s="1823"/>
      <c r="E245" s="1823"/>
      <c r="F245" s="573"/>
      <c r="G245" s="573"/>
      <c r="H245" s="573"/>
      <c r="I245" s="573"/>
      <c r="J245" s="572"/>
      <c r="K245" s="573"/>
      <c r="L245" s="572">
        <v>83754.91</v>
      </c>
      <c r="M245" s="601"/>
      <c r="N245" s="570"/>
      <c r="AB245" s="537" t="s">
        <v>327</v>
      </c>
    </row>
    <row r="246" spans="1:33" s="536" customFormat="1" x14ac:dyDescent="0.2">
      <c r="A246" s="575" t="s">
        <v>425</v>
      </c>
      <c r="B246" s="670" t="s">
        <v>6624</v>
      </c>
      <c r="C246" s="1823" t="s">
        <v>6625</v>
      </c>
      <c r="D246" s="1823"/>
      <c r="E246" s="1823"/>
      <c r="F246" s="573" t="s">
        <v>694</v>
      </c>
      <c r="G246" s="573"/>
      <c r="H246" s="573"/>
      <c r="I246" s="573" t="s">
        <v>6626</v>
      </c>
      <c r="J246" s="572">
        <v>926.6</v>
      </c>
      <c r="K246" s="573"/>
      <c r="L246" s="572">
        <v>2848.74</v>
      </c>
      <c r="M246" s="571"/>
      <c r="N246" s="570"/>
      <c r="W246" s="537" t="s">
        <v>6625</v>
      </c>
    </row>
    <row r="247" spans="1:33" s="536" customFormat="1" x14ac:dyDescent="0.2">
      <c r="A247" s="569"/>
      <c r="B247" s="671"/>
      <c r="C247" s="665" t="s">
        <v>717</v>
      </c>
      <c r="D247" s="666"/>
      <c r="E247" s="666"/>
      <c r="F247" s="563"/>
      <c r="G247" s="563"/>
      <c r="H247" s="563"/>
      <c r="I247" s="563"/>
      <c r="J247" s="566"/>
      <c r="K247" s="563"/>
      <c r="L247" s="566"/>
      <c r="M247" s="565"/>
      <c r="N247" s="564"/>
    </row>
    <row r="248" spans="1:33" s="536" customFormat="1" x14ac:dyDescent="0.2">
      <c r="A248" s="676"/>
      <c r="B248" s="664"/>
      <c r="C248" s="1822" t="s">
        <v>6627</v>
      </c>
      <c r="D248" s="1822"/>
      <c r="E248" s="1822"/>
      <c r="F248" s="1822"/>
      <c r="G248" s="1822"/>
      <c r="H248" s="1822"/>
      <c r="I248" s="1822"/>
      <c r="J248" s="1822"/>
      <c r="K248" s="1822"/>
      <c r="L248" s="1822"/>
      <c r="M248" s="1822"/>
      <c r="N248" s="1827"/>
      <c r="AG248" s="537" t="s">
        <v>6627</v>
      </c>
    </row>
    <row r="249" spans="1:33" s="536" customFormat="1" ht="22.5" x14ac:dyDescent="0.2">
      <c r="A249" s="575" t="s">
        <v>430</v>
      </c>
      <c r="B249" s="670" t="s">
        <v>6628</v>
      </c>
      <c r="C249" s="1823" t="s">
        <v>6629</v>
      </c>
      <c r="D249" s="1823"/>
      <c r="E249" s="1823"/>
      <c r="F249" s="573" t="s">
        <v>699</v>
      </c>
      <c r="G249" s="573"/>
      <c r="H249" s="573"/>
      <c r="I249" s="573" t="s">
        <v>6630</v>
      </c>
      <c r="J249" s="572">
        <v>69.28</v>
      </c>
      <c r="K249" s="573"/>
      <c r="L249" s="572">
        <v>10774.43</v>
      </c>
      <c r="M249" s="571"/>
      <c r="N249" s="570"/>
      <c r="W249" s="537" t="s">
        <v>6629</v>
      </c>
    </row>
    <row r="250" spans="1:33" s="536" customFormat="1" x14ac:dyDescent="0.2">
      <c r="A250" s="569"/>
      <c r="B250" s="671"/>
      <c r="C250" s="665" t="s">
        <v>717</v>
      </c>
      <c r="D250" s="666"/>
      <c r="E250" s="666"/>
      <c r="F250" s="563"/>
      <c r="G250" s="563"/>
      <c r="H250" s="563"/>
      <c r="I250" s="563"/>
      <c r="J250" s="566"/>
      <c r="K250" s="563"/>
      <c r="L250" s="566"/>
      <c r="M250" s="565"/>
      <c r="N250" s="564"/>
    </row>
    <row r="251" spans="1:33" s="536" customFormat="1" ht="33.75" x14ac:dyDescent="0.2">
      <c r="A251" s="575" t="s">
        <v>436</v>
      </c>
      <c r="B251" s="670" t="s">
        <v>8578</v>
      </c>
      <c r="C251" s="1823" t="s">
        <v>6805</v>
      </c>
      <c r="D251" s="1823"/>
      <c r="E251" s="1823"/>
      <c r="F251" s="573" t="s">
        <v>483</v>
      </c>
      <c r="G251" s="573"/>
      <c r="H251" s="573"/>
      <c r="I251" s="573" t="s">
        <v>1721</v>
      </c>
      <c r="J251" s="572">
        <v>980</v>
      </c>
      <c r="K251" s="573" t="s">
        <v>716</v>
      </c>
      <c r="L251" s="572">
        <v>11434.74</v>
      </c>
      <c r="M251" s="571">
        <v>6.42</v>
      </c>
      <c r="N251" s="570">
        <v>73411</v>
      </c>
      <c r="W251" s="537" t="s">
        <v>6805</v>
      </c>
    </row>
    <row r="252" spans="1:33" s="536" customFormat="1" x14ac:dyDescent="0.2">
      <c r="A252" s="569"/>
      <c r="B252" s="671"/>
      <c r="C252" s="665" t="s">
        <v>717</v>
      </c>
      <c r="D252" s="666"/>
      <c r="E252" s="666"/>
      <c r="F252" s="563"/>
      <c r="G252" s="563"/>
      <c r="H252" s="563"/>
      <c r="I252" s="563"/>
      <c r="J252" s="566"/>
      <c r="K252" s="563"/>
      <c r="L252" s="566"/>
      <c r="M252" s="565"/>
      <c r="N252" s="564"/>
    </row>
    <row r="253" spans="1:33" s="536" customFormat="1" x14ac:dyDescent="0.2">
      <c r="A253" s="676"/>
      <c r="B253" s="664"/>
      <c r="C253" s="1822" t="s">
        <v>1722</v>
      </c>
      <c r="D253" s="1822"/>
      <c r="E253" s="1822"/>
      <c r="F253" s="1822"/>
      <c r="G253" s="1822"/>
      <c r="H253" s="1822"/>
      <c r="I253" s="1822"/>
      <c r="J253" s="1822"/>
      <c r="K253" s="1822"/>
      <c r="L253" s="1822"/>
      <c r="M253" s="1822"/>
      <c r="N253" s="1827"/>
      <c r="AG253" s="537" t="s">
        <v>1722</v>
      </c>
    </row>
    <row r="254" spans="1:33" s="536" customFormat="1" ht="22.5" x14ac:dyDescent="0.2">
      <c r="A254" s="609"/>
      <c r="B254" s="552" t="s">
        <v>718</v>
      </c>
      <c r="C254" s="1822" t="s">
        <v>719</v>
      </c>
      <c r="D254" s="1822"/>
      <c r="E254" s="1822"/>
      <c r="F254" s="1822"/>
      <c r="G254" s="1822"/>
      <c r="H254" s="1822"/>
      <c r="I254" s="1822"/>
      <c r="J254" s="1822"/>
      <c r="K254" s="1822"/>
      <c r="L254" s="1822"/>
      <c r="M254" s="1822"/>
      <c r="N254" s="1827"/>
      <c r="X254" s="537" t="s">
        <v>719</v>
      </c>
    </row>
    <row r="255" spans="1:33" s="536" customFormat="1" ht="45" x14ac:dyDescent="0.2">
      <c r="A255" s="575" t="s">
        <v>733</v>
      </c>
      <c r="B255" s="670" t="s">
        <v>6631</v>
      </c>
      <c r="C255" s="1823" t="s">
        <v>6632</v>
      </c>
      <c r="D255" s="1823"/>
      <c r="E255" s="1823"/>
      <c r="F255" s="573" t="s">
        <v>1110</v>
      </c>
      <c r="G255" s="573"/>
      <c r="H255" s="573"/>
      <c r="I255" s="573" t="s">
        <v>695</v>
      </c>
      <c r="J255" s="572"/>
      <c r="K255" s="573"/>
      <c r="L255" s="572"/>
      <c r="M255" s="571"/>
      <c r="N255" s="570"/>
      <c r="W255" s="537" t="s">
        <v>6632</v>
      </c>
    </row>
    <row r="256" spans="1:33" s="536" customFormat="1" x14ac:dyDescent="0.2">
      <c r="A256" s="676"/>
      <c r="B256" s="664"/>
      <c r="C256" s="1822" t="s">
        <v>1597</v>
      </c>
      <c r="D256" s="1822"/>
      <c r="E256" s="1822"/>
      <c r="F256" s="1822"/>
      <c r="G256" s="1822"/>
      <c r="H256" s="1822"/>
      <c r="I256" s="1822"/>
      <c r="J256" s="1822"/>
      <c r="K256" s="1822"/>
      <c r="L256" s="1822"/>
      <c r="M256" s="1822"/>
      <c r="N256" s="1827"/>
      <c r="AG256" s="537" t="s">
        <v>1597</v>
      </c>
    </row>
    <row r="257" spans="1:33" s="536" customFormat="1" ht="33.75" x14ac:dyDescent="0.2">
      <c r="A257" s="609"/>
      <c r="B257" s="552" t="s">
        <v>310</v>
      </c>
      <c r="C257" s="1822" t="s">
        <v>311</v>
      </c>
      <c r="D257" s="1822"/>
      <c r="E257" s="1822"/>
      <c r="F257" s="1822"/>
      <c r="G257" s="1822"/>
      <c r="H257" s="1822"/>
      <c r="I257" s="1822"/>
      <c r="J257" s="1822"/>
      <c r="K257" s="1822"/>
      <c r="L257" s="1822"/>
      <c r="M257" s="1822"/>
      <c r="N257" s="1827"/>
      <c r="X257" s="537" t="s">
        <v>311</v>
      </c>
    </row>
    <row r="258" spans="1:33" s="536" customFormat="1" x14ac:dyDescent="0.2">
      <c r="A258" s="605"/>
      <c r="B258" s="552" t="s">
        <v>185</v>
      </c>
      <c r="C258" s="1822" t="s">
        <v>312</v>
      </c>
      <c r="D258" s="1822"/>
      <c r="E258" s="1822"/>
      <c r="F258" s="562"/>
      <c r="G258" s="562"/>
      <c r="H258" s="562"/>
      <c r="I258" s="562"/>
      <c r="J258" s="604">
        <v>525.65</v>
      </c>
      <c r="K258" s="562" t="s">
        <v>313</v>
      </c>
      <c r="L258" s="604">
        <v>13.14</v>
      </c>
      <c r="M258" s="603"/>
      <c r="N258" s="602"/>
      <c r="Y258" s="537" t="s">
        <v>312</v>
      </c>
    </row>
    <row r="259" spans="1:33" s="536" customFormat="1" x14ac:dyDescent="0.2">
      <c r="A259" s="605"/>
      <c r="B259" s="552" t="s">
        <v>186</v>
      </c>
      <c r="C259" s="1822" t="s">
        <v>344</v>
      </c>
      <c r="D259" s="1822"/>
      <c r="E259" s="1822"/>
      <c r="F259" s="562"/>
      <c r="G259" s="562"/>
      <c r="H259" s="562"/>
      <c r="I259" s="562"/>
      <c r="J259" s="604">
        <v>355.12</v>
      </c>
      <c r="K259" s="562" t="s">
        <v>313</v>
      </c>
      <c r="L259" s="604">
        <v>8.8800000000000008</v>
      </c>
      <c r="M259" s="603"/>
      <c r="N259" s="602"/>
      <c r="Y259" s="537" t="s">
        <v>344</v>
      </c>
    </row>
    <row r="260" spans="1:33" s="536" customFormat="1" x14ac:dyDescent="0.2">
      <c r="A260" s="605"/>
      <c r="B260" s="552" t="s">
        <v>187</v>
      </c>
      <c r="C260" s="1822" t="s">
        <v>345</v>
      </c>
      <c r="D260" s="1822"/>
      <c r="E260" s="1822"/>
      <c r="F260" s="562"/>
      <c r="G260" s="562"/>
      <c r="H260" s="562"/>
      <c r="I260" s="562"/>
      <c r="J260" s="604">
        <v>37.909999999999997</v>
      </c>
      <c r="K260" s="562" t="s">
        <v>313</v>
      </c>
      <c r="L260" s="604">
        <v>0.95</v>
      </c>
      <c r="M260" s="603"/>
      <c r="N260" s="602"/>
      <c r="Y260" s="537" t="s">
        <v>345</v>
      </c>
    </row>
    <row r="261" spans="1:33" s="536" customFormat="1" x14ac:dyDescent="0.2">
      <c r="A261" s="605"/>
      <c r="B261" s="552" t="s">
        <v>188</v>
      </c>
      <c r="C261" s="1822" t="s">
        <v>475</v>
      </c>
      <c r="D261" s="1822"/>
      <c r="E261" s="1822"/>
      <c r="F261" s="562"/>
      <c r="G261" s="562"/>
      <c r="H261" s="562"/>
      <c r="I261" s="562"/>
      <c r="J261" s="604">
        <v>699.33</v>
      </c>
      <c r="K261" s="562"/>
      <c r="L261" s="604">
        <v>13.99</v>
      </c>
      <c r="M261" s="603"/>
      <c r="N261" s="602"/>
      <c r="Y261" s="537" t="s">
        <v>475</v>
      </c>
    </row>
    <row r="262" spans="1:33" s="536" customFormat="1" x14ac:dyDescent="0.2">
      <c r="A262" s="605"/>
      <c r="B262" s="552"/>
      <c r="C262" s="1822" t="s">
        <v>314</v>
      </c>
      <c r="D262" s="1822"/>
      <c r="E262" s="1822"/>
      <c r="F262" s="562" t="s">
        <v>315</v>
      </c>
      <c r="G262" s="562" t="s">
        <v>6633</v>
      </c>
      <c r="H262" s="562" t="s">
        <v>313</v>
      </c>
      <c r="I262" s="562" t="s">
        <v>6806</v>
      </c>
      <c r="J262" s="604"/>
      <c r="K262" s="562"/>
      <c r="L262" s="604"/>
      <c r="M262" s="603"/>
      <c r="N262" s="602"/>
      <c r="Z262" s="537" t="s">
        <v>314</v>
      </c>
    </row>
    <row r="263" spans="1:33" s="536" customFormat="1" x14ac:dyDescent="0.2">
      <c r="A263" s="605"/>
      <c r="B263" s="552"/>
      <c r="C263" s="1822" t="s">
        <v>348</v>
      </c>
      <c r="D263" s="1822"/>
      <c r="E263" s="1822"/>
      <c r="F263" s="562" t="s">
        <v>315</v>
      </c>
      <c r="G263" s="562" t="s">
        <v>3030</v>
      </c>
      <c r="H263" s="562" t="s">
        <v>313</v>
      </c>
      <c r="I263" s="562" t="s">
        <v>6807</v>
      </c>
      <c r="J263" s="604"/>
      <c r="K263" s="562"/>
      <c r="L263" s="604"/>
      <c r="M263" s="603"/>
      <c r="N263" s="602"/>
      <c r="Z263" s="537" t="s">
        <v>348</v>
      </c>
    </row>
    <row r="264" spans="1:33" s="536" customFormat="1" x14ac:dyDescent="0.2">
      <c r="A264" s="605"/>
      <c r="B264" s="552"/>
      <c r="C264" s="1828" t="s">
        <v>318</v>
      </c>
      <c r="D264" s="1828"/>
      <c r="E264" s="1828"/>
      <c r="F264" s="608"/>
      <c r="G264" s="608"/>
      <c r="H264" s="608"/>
      <c r="I264" s="608"/>
      <c r="J264" s="607">
        <v>1580.1</v>
      </c>
      <c r="K264" s="608"/>
      <c r="L264" s="607">
        <v>36.01</v>
      </c>
      <c r="M264" s="601"/>
      <c r="N264" s="606"/>
      <c r="AA264" s="537" t="s">
        <v>318</v>
      </c>
    </row>
    <row r="265" spans="1:33" s="536" customFormat="1" x14ac:dyDescent="0.2">
      <c r="A265" s="605"/>
      <c r="B265" s="552"/>
      <c r="C265" s="1822" t="s">
        <v>319</v>
      </c>
      <c r="D265" s="1822"/>
      <c r="E265" s="1822"/>
      <c r="F265" s="562"/>
      <c r="G265" s="562"/>
      <c r="H265" s="562"/>
      <c r="I265" s="562"/>
      <c r="J265" s="604"/>
      <c r="K265" s="562"/>
      <c r="L265" s="604">
        <v>14.09</v>
      </c>
      <c r="M265" s="603"/>
      <c r="N265" s="602"/>
      <c r="Z265" s="537" t="s">
        <v>319</v>
      </c>
    </row>
    <row r="266" spans="1:33" s="536" customFormat="1" ht="33.75" x14ac:dyDescent="0.2">
      <c r="A266" s="605"/>
      <c r="B266" s="552" t="s">
        <v>1631</v>
      </c>
      <c r="C266" s="1822" t="s">
        <v>1632</v>
      </c>
      <c r="D266" s="1822"/>
      <c r="E266" s="1822"/>
      <c r="F266" s="562" t="s">
        <v>322</v>
      </c>
      <c r="G266" s="562" t="s">
        <v>1633</v>
      </c>
      <c r="H266" s="562"/>
      <c r="I266" s="562" t="s">
        <v>1633</v>
      </c>
      <c r="J266" s="604"/>
      <c r="K266" s="562"/>
      <c r="L266" s="604">
        <v>13.67</v>
      </c>
      <c r="M266" s="603"/>
      <c r="N266" s="602"/>
      <c r="Z266" s="537" t="s">
        <v>1632</v>
      </c>
    </row>
    <row r="267" spans="1:33" s="536" customFormat="1" ht="33.75" x14ac:dyDescent="0.2">
      <c r="A267" s="605"/>
      <c r="B267" s="552" t="s">
        <v>1634</v>
      </c>
      <c r="C267" s="1822" t="s">
        <v>1635</v>
      </c>
      <c r="D267" s="1822"/>
      <c r="E267" s="1822"/>
      <c r="F267" s="562" t="s">
        <v>322</v>
      </c>
      <c r="G267" s="562" t="s">
        <v>786</v>
      </c>
      <c r="H267" s="562"/>
      <c r="I267" s="562" t="s">
        <v>786</v>
      </c>
      <c r="J267" s="604"/>
      <c r="K267" s="562"/>
      <c r="L267" s="604">
        <v>7.19</v>
      </c>
      <c r="M267" s="603"/>
      <c r="N267" s="602"/>
      <c r="Z267" s="537" t="s">
        <v>1635</v>
      </c>
    </row>
    <row r="268" spans="1:33" s="536" customFormat="1" x14ac:dyDescent="0.2">
      <c r="A268" s="569"/>
      <c r="B268" s="671"/>
      <c r="C268" s="1823" t="s">
        <v>327</v>
      </c>
      <c r="D268" s="1823"/>
      <c r="E268" s="1823"/>
      <c r="F268" s="573"/>
      <c r="G268" s="573"/>
      <c r="H268" s="573"/>
      <c r="I268" s="573"/>
      <c r="J268" s="572"/>
      <c r="K268" s="573"/>
      <c r="L268" s="572">
        <v>56.87</v>
      </c>
      <c r="M268" s="601"/>
      <c r="N268" s="570"/>
      <c r="AB268" s="537" t="s">
        <v>327</v>
      </c>
    </row>
    <row r="269" spans="1:33" s="536" customFormat="1" ht="45" x14ac:dyDescent="0.2">
      <c r="A269" s="575" t="s">
        <v>736</v>
      </c>
      <c r="B269" s="670" t="s">
        <v>6634</v>
      </c>
      <c r="C269" s="1823" t="s">
        <v>6635</v>
      </c>
      <c r="D269" s="1823"/>
      <c r="E269" s="1823"/>
      <c r="F269" s="573" t="s">
        <v>483</v>
      </c>
      <c r="G269" s="573"/>
      <c r="H269" s="573"/>
      <c r="I269" s="573" t="s">
        <v>1244</v>
      </c>
      <c r="J269" s="572">
        <v>94.29</v>
      </c>
      <c r="K269" s="573"/>
      <c r="L269" s="572">
        <v>192.35</v>
      </c>
      <c r="M269" s="571"/>
      <c r="N269" s="570"/>
      <c r="W269" s="537" t="s">
        <v>6635</v>
      </c>
    </row>
    <row r="270" spans="1:33" s="536" customFormat="1" x14ac:dyDescent="0.2">
      <c r="A270" s="569"/>
      <c r="B270" s="671"/>
      <c r="C270" s="665" t="s">
        <v>1658</v>
      </c>
      <c r="D270" s="666"/>
      <c r="E270" s="666"/>
      <c r="F270" s="563"/>
      <c r="G270" s="563"/>
      <c r="H270" s="563"/>
      <c r="I270" s="563"/>
      <c r="J270" s="566"/>
      <c r="K270" s="563"/>
      <c r="L270" s="566"/>
      <c r="M270" s="565"/>
      <c r="N270" s="564"/>
    </row>
    <row r="271" spans="1:33" s="536" customFormat="1" x14ac:dyDescent="0.2">
      <c r="A271" s="676"/>
      <c r="B271" s="664"/>
      <c r="C271" s="1822" t="s">
        <v>6636</v>
      </c>
      <c r="D271" s="1822"/>
      <c r="E271" s="1822"/>
      <c r="F271" s="1822"/>
      <c r="G271" s="1822"/>
      <c r="H271" s="1822"/>
      <c r="I271" s="1822"/>
      <c r="J271" s="1822"/>
      <c r="K271" s="1822"/>
      <c r="L271" s="1822"/>
      <c r="M271" s="1822"/>
      <c r="N271" s="1827"/>
      <c r="AG271" s="537" t="s">
        <v>6636</v>
      </c>
    </row>
    <row r="272" spans="1:33" s="536" customFormat="1" ht="33.75" x14ac:dyDescent="0.2">
      <c r="A272" s="575" t="s">
        <v>1067</v>
      </c>
      <c r="B272" s="670" t="s">
        <v>5478</v>
      </c>
      <c r="C272" s="1823" t="s">
        <v>5479</v>
      </c>
      <c r="D272" s="1823"/>
      <c r="E272" s="1823"/>
      <c r="F272" s="573" t="s">
        <v>1110</v>
      </c>
      <c r="G272" s="573"/>
      <c r="H272" s="573"/>
      <c r="I272" s="573" t="s">
        <v>1846</v>
      </c>
      <c r="J272" s="572"/>
      <c r="K272" s="573"/>
      <c r="L272" s="572"/>
      <c r="M272" s="571"/>
      <c r="N272" s="570"/>
      <c r="W272" s="537" t="s">
        <v>5479</v>
      </c>
    </row>
    <row r="273" spans="1:33" s="536" customFormat="1" x14ac:dyDescent="0.2">
      <c r="A273" s="676"/>
      <c r="B273" s="664"/>
      <c r="C273" s="1822" t="s">
        <v>1854</v>
      </c>
      <c r="D273" s="1822"/>
      <c r="E273" s="1822"/>
      <c r="F273" s="1822"/>
      <c r="G273" s="1822"/>
      <c r="H273" s="1822"/>
      <c r="I273" s="1822"/>
      <c r="J273" s="1822"/>
      <c r="K273" s="1822"/>
      <c r="L273" s="1822"/>
      <c r="M273" s="1822"/>
      <c r="N273" s="1827"/>
      <c r="AG273" s="537" t="s">
        <v>1854</v>
      </c>
    </row>
    <row r="274" spans="1:33" s="536" customFormat="1" ht="33.75" x14ac:dyDescent="0.2">
      <c r="A274" s="609"/>
      <c r="B274" s="552" t="s">
        <v>310</v>
      </c>
      <c r="C274" s="1822" t="s">
        <v>311</v>
      </c>
      <c r="D274" s="1822"/>
      <c r="E274" s="1822"/>
      <c r="F274" s="1822"/>
      <c r="G274" s="1822"/>
      <c r="H274" s="1822"/>
      <c r="I274" s="1822"/>
      <c r="J274" s="1822"/>
      <c r="K274" s="1822"/>
      <c r="L274" s="1822"/>
      <c r="M274" s="1822"/>
      <c r="N274" s="1827"/>
      <c r="X274" s="537" t="s">
        <v>311</v>
      </c>
    </row>
    <row r="275" spans="1:33" s="536" customFormat="1" x14ac:dyDescent="0.2">
      <c r="A275" s="605"/>
      <c r="B275" s="552" t="s">
        <v>185</v>
      </c>
      <c r="C275" s="1822" t="s">
        <v>312</v>
      </c>
      <c r="D275" s="1822"/>
      <c r="E275" s="1822"/>
      <c r="F275" s="562"/>
      <c r="G275" s="562"/>
      <c r="H275" s="562"/>
      <c r="I275" s="562"/>
      <c r="J275" s="604">
        <v>49.46</v>
      </c>
      <c r="K275" s="562" t="s">
        <v>313</v>
      </c>
      <c r="L275" s="604">
        <v>16.690000000000001</v>
      </c>
      <c r="M275" s="603"/>
      <c r="N275" s="602"/>
      <c r="Y275" s="537" t="s">
        <v>312</v>
      </c>
    </row>
    <row r="276" spans="1:33" s="536" customFormat="1" x14ac:dyDescent="0.2">
      <c r="A276" s="605"/>
      <c r="B276" s="552" t="s">
        <v>186</v>
      </c>
      <c r="C276" s="1822" t="s">
        <v>344</v>
      </c>
      <c r="D276" s="1822"/>
      <c r="E276" s="1822"/>
      <c r="F276" s="562"/>
      <c r="G276" s="562"/>
      <c r="H276" s="562"/>
      <c r="I276" s="562"/>
      <c r="J276" s="604">
        <v>3.94</v>
      </c>
      <c r="K276" s="562" t="s">
        <v>313</v>
      </c>
      <c r="L276" s="604">
        <v>1.33</v>
      </c>
      <c r="M276" s="603"/>
      <c r="N276" s="602"/>
      <c r="Y276" s="537" t="s">
        <v>344</v>
      </c>
    </row>
    <row r="277" spans="1:33" s="536" customFormat="1" x14ac:dyDescent="0.2">
      <c r="A277" s="605"/>
      <c r="B277" s="552" t="s">
        <v>187</v>
      </c>
      <c r="C277" s="1822" t="s">
        <v>345</v>
      </c>
      <c r="D277" s="1822"/>
      <c r="E277" s="1822"/>
      <c r="F277" s="562"/>
      <c r="G277" s="562"/>
      <c r="H277" s="562"/>
      <c r="I277" s="562"/>
      <c r="J277" s="604">
        <v>0.7</v>
      </c>
      <c r="K277" s="562" t="s">
        <v>313</v>
      </c>
      <c r="L277" s="604">
        <v>0.24</v>
      </c>
      <c r="M277" s="603"/>
      <c r="N277" s="602"/>
      <c r="Y277" s="537" t="s">
        <v>345</v>
      </c>
    </row>
    <row r="278" spans="1:33" s="536" customFormat="1" x14ac:dyDescent="0.2">
      <c r="A278" s="605"/>
      <c r="B278" s="552" t="s">
        <v>188</v>
      </c>
      <c r="C278" s="1822" t="s">
        <v>475</v>
      </c>
      <c r="D278" s="1822"/>
      <c r="E278" s="1822"/>
      <c r="F278" s="562"/>
      <c r="G278" s="562"/>
      <c r="H278" s="562"/>
      <c r="I278" s="562"/>
      <c r="J278" s="604">
        <v>0.99</v>
      </c>
      <c r="K278" s="562"/>
      <c r="L278" s="604">
        <v>0.27</v>
      </c>
      <c r="M278" s="603"/>
      <c r="N278" s="602"/>
      <c r="Y278" s="537" t="s">
        <v>475</v>
      </c>
    </row>
    <row r="279" spans="1:33" s="536" customFormat="1" x14ac:dyDescent="0.2">
      <c r="A279" s="605"/>
      <c r="B279" s="552"/>
      <c r="C279" s="1822" t="s">
        <v>314</v>
      </c>
      <c r="D279" s="1822"/>
      <c r="E279" s="1822"/>
      <c r="F279" s="562" t="s">
        <v>315</v>
      </c>
      <c r="G279" s="562" t="s">
        <v>5482</v>
      </c>
      <c r="H279" s="562" t="s">
        <v>313</v>
      </c>
      <c r="I279" s="562" t="s">
        <v>6808</v>
      </c>
      <c r="J279" s="604"/>
      <c r="K279" s="562"/>
      <c r="L279" s="604"/>
      <c r="M279" s="603"/>
      <c r="N279" s="602"/>
      <c r="Z279" s="537" t="s">
        <v>314</v>
      </c>
    </row>
    <row r="280" spans="1:33" s="536" customFormat="1" x14ac:dyDescent="0.2">
      <c r="A280" s="605"/>
      <c r="B280" s="552"/>
      <c r="C280" s="1822" t="s">
        <v>348</v>
      </c>
      <c r="D280" s="1822"/>
      <c r="E280" s="1822"/>
      <c r="F280" s="562" t="s">
        <v>315</v>
      </c>
      <c r="G280" s="562" t="s">
        <v>1554</v>
      </c>
      <c r="H280" s="562" t="s">
        <v>313</v>
      </c>
      <c r="I280" s="562" t="s">
        <v>6809</v>
      </c>
      <c r="J280" s="604"/>
      <c r="K280" s="562"/>
      <c r="L280" s="604"/>
      <c r="M280" s="603"/>
      <c r="N280" s="602"/>
      <c r="Z280" s="537" t="s">
        <v>348</v>
      </c>
    </row>
    <row r="281" spans="1:33" s="536" customFormat="1" x14ac:dyDescent="0.2">
      <c r="A281" s="605"/>
      <c r="B281" s="552"/>
      <c r="C281" s="1828" t="s">
        <v>318</v>
      </c>
      <c r="D281" s="1828"/>
      <c r="E281" s="1828"/>
      <c r="F281" s="608"/>
      <c r="G281" s="608"/>
      <c r="H281" s="608"/>
      <c r="I281" s="608"/>
      <c r="J281" s="607">
        <v>54.39</v>
      </c>
      <c r="K281" s="608"/>
      <c r="L281" s="607">
        <v>18.29</v>
      </c>
      <c r="M281" s="601"/>
      <c r="N281" s="606"/>
      <c r="AA281" s="537" t="s">
        <v>318</v>
      </c>
    </row>
    <row r="282" spans="1:33" s="536" customFormat="1" x14ac:dyDescent="0.2">
      <c r="A282" s="605"/>
      <c r="B282" s="552"/>
      <c r="C282" s="1822" t="s">
        <v>319</v>
      </c>
      <c r="D282" s="1822"/>
      <c r="E282" s="1822"/>
      <c r="F282" s="562"/>
      <c r="G282" s="562"/>
      <c r="H282" s="562"/>
      <c r="I282" s="562"/>
      <c r="J282" s="604"/>
      <c r="K282" s="562"/>
      <c r="L282" s="604">
        <v>16.93</v>
      </c>
      <c r="M282" s="603"/>
      <c r="N282" s="602"/>
      <c r="Z282" s="537" t="s">
        <v>319</v>
      </c>
    </row>
    <row r="283" spans="1:33" s="536" customFormat="1" ht="33.75" x14ac:dyDescent="0.2">
      <c r="A283" s="605"/>
      <c r="B283" s="552" t="s">
        <v>1631</v>
      </c>
      <c r="C283" s="1822" t="s">
        <v>1632</v>
      </c>
      <c r="D283" s="1822"/>
      <c r="E283" s="1822"/>
      <c r="F283" s="562" t="s">
        <v>322</v>
      </c>
      <c r="G283" s="562" t="s">
        <v>1633</v>
      </c>
      <c r="H283" s="562"/>
      <c r="I283" s="562" t="s">
        <v>1633</v>
      </c>
      <c r="J283" s="604"/>
      <c r="K283" s="562"/>
      <c r="L283" s="604">
        <v>16.420000000000002</v>
      </c>
      <c r="M283" s="603"/>
      <c r="N283" s="602"/>
      <c r="Z283" s="537" t="s">
        <v>1632</v>
      </c>
    </row>
    <row r="284" spans="1:33" s="536" customFormat="1" ht="33.75" x14ac:dyDescent="0.2">
      <c r="A284" s="605"/>
      <c r="B284" s="552" t="s">
        <v>1634</v>
      </c>
      <c r="C284" s="1822" t="s">
        <v>1635</v>
      </c>
      <c r="D284" s="1822"/>
      <c r="E284" s="1822"/>
      <c r="F284" s="562" t="s">
        <v>322</v>
      </c>
      <c r="G284" s="562" t="s">
        <v>786</v>
      </c>
      <c r="H284" s="562"/>
      <c r="I284" s="562" t="s">
        <v>786</v>
      </c>
      <c r="J284" s="604"/>
      <c r="K284" s="562"/>
      <c r="L284" s="604">
        <v>8.6300000000000008</v>
      </c>
      <c r="M284" s="603"/>
      <c r="N284" s="602"/>
      <c r="Z284" s="537" t="s">
        <v>1635</v>
      </c>
    </row>
    <row r="285" spans="1:33" s="536" customFormat="1" x14ac:dyDescent="0.2">
      <c r="A285" s="569"/>
      <c r="B285" s="671"/>
      <c r="C285" s="1823" t="s">
        <v>327</v>
      </c>
      <c r="D285" s="1823"/>
      <c r="E285" s="1823"/>
      <c r="F285" s="573"/>
      <c r="G285" s="573"/>
      <c r="H285" s="573"/>
      <c r="I285" s="573"/>
      <c r="J285" s="572"/>
      <c r="K285" s="573"/>
      <c r="L285" s="572">
        <v>43.34</v>
      </c>
      <c r="M285" s="601"/>
      <c r="N285" s="570"/>
      <c r="AB285" s="537" t="s">
        <v>327</v>
      </c>
    </row>
    <row r="286" spans="1:33" s="536" customFormat="1" ht="22.5" x14ac:dyDescent="0.2">
      <c r="A286" s="575" t="s">
        <v>912</v>
      </c>
      <c r="B286" s="670" t="s">
        <v>6810</v>
      </c>
      <c r="C286" s="1823" t="s">
        <v>6811</v>
      </c>
      <c r="D286" s="1823"/>
      <c r="E286" s="1823"/>
      <c r="F286" s="573" t="s">
        <v>1110</v>
      </c>
      <c r="G286" s="573"/>
      <c r="H286" s="573"/>
      <c r="I286" s="573" t="s">
        <v>6812</v>
      </c>
      <c r="J286" s="572"/>
      <c r="K286" s="573"/>
      <c r="L286" s="572"/>
      <c r="M286" s="571"/>
      <c r="N286" s="570"/>
      <c r="W286" s="537" t="s">
        <v>6811</v>
      </c>
    </row>
    <row r="287" spans="1:33" s="536" customFormat="1" x14ac:dyDescent="0.2">
      <c r="A287" s="676"/>
      <c r="B287" s="664"/>
      <c r="C287" s="1822" t="s">
        <v>6813</v>
      </c>
      <c r="D287" s="1822"/>
      <c r="E287" s="1822"/>
      <c r="F287" s="1822"/>
      <c r="G287" s="1822"/>
      <c r="H287" s="1822"/>
      <c r="I287" s="1822"/>
      <c r="J287" s="1822"/>
      <c r="K287" s="1822"/>
      <c r="L287" s="1822"/>
      <c r="M287" s="1822"/>
      <c r="N287" s="1827"/>
      <c r="AG287" s="537" t="s">
        <v>6813</v>
      </c>
    </row>
    <row r="288" spans="1:33" s="536" customFormat="1" ht="33.75" x14ac:dyDescent="0.2">
      <c r="A288" s="609"/>
      <c r="B288" s="552" t="s">
        <v>310</v>
      </c>
      <c r="C288" s="1822" t="s">
        <v>311</v>
      </c>
      <c r="D288" s="1822"/>
      <c r="E288" s="1822"/>
      <c r="F288" s="1822"/>
      <c r="G288" s="1822"/>
      <c r="H288" s="1822"/>
      <c r="I288" s="1822"/>
      <c r="J288" s="1822"/>
      <c r="K288" s="1822"/>
      <c r="L288" s="1822"/>
      <c r="M288" s="1822"/>
      <c r="N288" s="1827"/>
      <c r="X288" s="537" t="s">
        <v>311</v>
      </c>
    </row>
    <row r="289" spans="1:33" s="536" customFormat="1" x14ac:dyDescent="0.2">
      <c r="A289" s="605"/>
      <c r="B289" s="552" t="s">
        <v>185</v>
      </c>
      <c r="C289" s="1822" t="s">
        <v>312</v>
      </c>
      <c r="D289" s="1822"/>
      <c r="E289" s="1822"/>
      <c r="F289" s="562"/>
      <c r="G289" s="562"/>
      <c r="H289" s="562"/>
      <c r="I289" s="562"/>
      <c r="J289" s="604">
        <v>23.63</v>
      </c>
      <c r="K289" s="562" t="s">
        <v>313</v>
      </c>
      <c r="L289" s="604">
        <v>10.63</v>
      </c>
      <c r="M289" s="603"/>
      <c r="N289" s="602"/>
      <c r="Y289" s="537" t="s">
        <v>312</v>
      </c>
    </row>
    <row r="290" spans="1:33" s="536" customFormat="1" x14ac:dyDescent="0.2">
      <c r="A290" s="605"/>
      <c r="B290" s="552" t="s">
        <v>186</v>
      </c>
      <c r="C290" s="1822" t="s">
        <v>344</v>
      </c>
      <c r="D290" s="1822"/>
      <c r="E290" s="1822"/>
      <c r="F290" s="562"/>
      <c r="G290" s="562"/>
      <c r="H290" s="562"/>
      <c r="I290" s="562"/>
      <c r="J290" s="604">
        <v>1.31</v>
      </c>
      <c r="K290" s="562" t="s">
        <v>313</v>
      </c>
      <c r="L290" s="604">
        <v>0.59</v>
      </c>
      <c r="M290" s="603"/>
      <c r="N290" s="602"/>
      <c r="Y290" s="537" t="s">
        <v>344</v>
      </c>
    </row>
    <row r="291" spans="1:33" s="536" customFormat="1" x14ac:dyDescent="0.2">
      <c r="A291" s="605"/>
      <c r="B291" s="552" t="s">
        <v>187</v>
      </c>
      <c r="C291" s="1822" t="s">
        <v>345</v>
      </c>
      <c r="D291" s="1822"/>
      <c r="E291" s="1822"/>
      <c r="F291" s="562"/>
      <c r="G291" s="562"/>
      <c r="H291" s="562"/>
      <c r="I291" s="562"/>
      <c r="J291" s="604">
        <v>0.23</v>
      </c>
      <c r="K291" s="562" t="s">
        <v>313</v>
      </c>
      <c r="L291" s="604">
        <v>0.1</v>
      </c>
      <c r="M291" s="603"/>
      <c r="N291" s="602"/>
      <c r="Y291" s="537" t="s">
        <v>345</v>
      </c>
    </row>
    <row r="292" spans="1:33" s="536" customFormat="1" x14ac:dyDescent="0.2">
      <c r="A292" s="605"/>
      <c r="B292" s="552" t="s">
        <v>188</v>
      </c>
      <c r="C292" s="1822" t="s">
        <v>475</v>
      </c>
      <c r="D292" s="1822"/>
      <c r="E292" s="1822"/>
      <c r="F292" s="562"/>
      <c r="G292" s="562"/>
      <c r="H292" s="562"/>
      <c r="I292" s="562"/>
      <c r="J292" s="604">
        <v>0.47</v>
      </c>
      <c r="K292" s="562"/>
      <c r="L292" s="604">
        <v>0.17</v>
      </c>
      <c r="M292" s="603"/>
      <c r="N292" s="602"/>
      <c r="Y292" s="537" t="s">
        <v>475</v>
      </c>
    </row>
    <row r="293" spans="1:33" s="536" customFormat="1" x14ac:dyDescent="0.2">
      <c r="A293" s="605"/>
      <c r="B293" s="552"/>
      <c r="C293" s="1822" t="s">
        <v>314</v>
      </c>
      <c r="D293" s="1822"/>
      <c r="E293" s="1822"/>
      <c r="F293" s="562" t="s">
        <v>315</v>
      </c>
      <c r="G293" s="562" t="s">
        <v>478</v>
      </c>
      <c r="H293" s="562" t="s">
        <v>313</v>
      </c>
      <c r="I293" s="562" t="s">
        <v>6814</v>
      </c>
      <c r="J293" s="604"/>
      <c r="K293" s="562"/>
      <c r="L293" s="604"/>
      <c r="M293" s="603"/>
      <c r="N293" s="602"/>
      <c r="Z293" s="537" t="s">
        <v>314</v>
      </c>
    </row>
    <row r="294" spans="1:33" s="536" customFormat="1" x14ac:dyDescent="0.2">
      <c r="A294" s="605"/>
      <c r="B294" s="552"/>
      <c r="C294" s="1822" t="s">
        <v>348</v>
      </c>
      <c r="D294" s="1822"/>
      <c r="E294" s="1822"/>
      <c r="F294" s="562" t="s">
        <v>315</v>
      </c>
      <c r="G294" s="562" t="s">
        <v>695</v>
      </c>
      <c r="H294" s="562" t="s">
        <v>313</v>
      </c>
      <c r="I294" s="562" t="s">
        <v>1664</v>
      </c>
      <c r="J294" s="604"/>
      <c r="K294" s="562"/>
      <c r="L294" s="604"/>
      <c r="M294" s="603"/>
      <c r="N294" s="602"/>
      <c r="Z294" s="537" t="s">
        <v>348</v>
      </c>
    </row>
    <row r="295" spans="1:33" s="536" customFormat="1" x14ac:dyDescent="0.2">
      <c r="A295" s="605"/>
      <c r="B295" s="552"/>
      <c r="C295" s="1828" t="s">
        <v>318</v>
      </c>
      <c r="D295" s="1828"/>
      <c r="E295" s="1828"/>
      <c r="F295" s="608"/>
      <c r="G295" s="608"/>
      <c r="H295" s="608"/>
      <c r="I295" s="608"/>
      <c r="J295" s="607">
        <v>25.41</v>
      </c>
      <c r="K295" s="608"/>
      <c r="L295" s="607">
        <v>11.39</v>
      </c>
      <c r="M295" s="601"/>
      <c r="N295" s="606"/>
      <c r="AA295" s="537" t="s">
        <v>318</v>
      </c>
    </row>
    <row r="296" spans="1:33" s="536" customFormat="1" x14ac:dyDescent="0.2">
      <c r="A296" s="605"/>
      <c r="B296" s="552"/>
      <c r="C296" s="1822" t="s">
        <v>319</v>
      </c>
      <c r="D296" s="1822"/>
      <c r="E296" s="1822"/>
      <c r="F296" s="562"/>
      <c r="G296" s="562"/>
      <c r="H296" s="562"/>
      <c r="I296" s="562"/>
      <c r="J296" s="604"/>
      <c r="K296" s="562"/>
      <c r="L296" s="604">
        <v>10.73</v>
      </c>
      <c r="M296" s="603"/>
      <c r="N296" s="602"/>
      <c r="Z296" s="537" t="s">
        <v>319</v>
      </c>
    </row>
    <row r="297" spans="1:33" s="536" customFormat="1" ht="33.75" x14ac:dyDescent="0.2">
      <c r="A297" s="605"/>
      <c r="B297" s="552" t="s">
        <v>1631</v>
      </c>
      <c r="C297" s="1822" t="s">
        <v>1632</v>
      </c>
      <c r="D297" s="1822"/>
      <c r="E297" s="1822"/>
      <c r="F297" s="562" t="s">
        <v>322</v>
      </c>
      <c r="G297" s="562" t="s">
        <v>1633</v>
      </c>
      <c r="H297" s="562"/>
      <c r="I297" s="562" t="s">
        <v>1633</v>
      </c>
      <c r="J297" s="604"/>
      <c r="K297" s="562"/>
      <c r="L297" s="604">
        <v>10.41</v>
      </c>
      <c r="M297" s="603"/>
      <c r="N297" s="602"/>
      <c r="Z297" s="537" t="s">
        <v>1632</v>
      </c>
    </row>
    <row r="298" spans="1:33" s="536" customFormat="1" ht="33.75" x14ac:dyDescent="0.2">
      <c r="A298" s="605"/>
      <c r="B298" s="552" t="s">
        <v>1634</v>
      </c>
      <c r="C298" s="1822" t="s">
        <v>1635</v>
      </c>
      <c r="D298" s="1822"/>
      <c r="E298" s="1822"/>
      <c r="F298" s="562" t="s">
        <v>322</v>
      </c>
      <c r="G298" s="562" t="s">
        <v>786</v>
      </c>
      <c r="H298" s="562"/>
      <c r="I298" s="562" t="s">
        <v>786</v>
      </c>
      <c r="J298" s="604"/>
      <c r="K298" s="562"/>
      <c r="L298" s="604">
        <v>5.47</v>
      </c>
      <c r="M298" s="603"/>
      <c r="N298" s="602"/>
      <c r="Z298" s="537" t="s">
        <v>1635</v>
      </c>
    </row>
    <row r="299" spans="1:33" s="536" customFormat="1" x14ac:dyDescent="0.2">
      <c r="A299" s="569"/>
      <c r="B299" s="671"/>
      <c r="C299" s="1823" t="s">
        <v>327</v>
      </c>
      <c r="D299" s="1823"/>
      <c r="E299" s="1823"/>
      <c r="F299" s="573"/>
      <c r="G299" s="573"/>
      <c r="H299" s="573"/>
      <c r="I299" s="573"/>
      <c r="J299" s="572"/>
      <c r="K299" s="573"/>
      <c r="L299" s="572">
        <v>27.27</v>
      </c>
      <c r="M299" s="601"/>
      <c r="N299" s="570"/>
      <c r="AB299" s="537" t="s">
        <v>327</v>
      </c>
    </row>
    <row r="300" spans="1:33" s="536" customFormat="1" ht="45" x14ac:dyDescent="0.2">
      <c r="A300" s="575" t="s">
        <v>757</v>
      </c>
      <c r="B300" s="670" t="s">
        <v>6815</v>
      </c>
      <c r="C300" s="1823" t="s">
        <v>6816</v>
      </c>
      <c r="D300" s="1823"/>
      <c r="E300" s="1823"/>
      <c r="F300" s="573" t="s">
        <v>483</v>
      </c>
      <c r="G300" s="573"/>
      <c r="H300" s="573"/>
      <c r="I300" s="573" t="s">
        <v>6817</v>
      </c>
      <c r="J300" s="572">
        <v>199.08</v>
      </c>
      <c r="K300" s="573"/>
      <c r="L300" s="572">
        <v>1992.68</v>
      </c>
      <c r="M300" s="571">
        <v>6.42</v>
      </c>
      <c r="N300" s="570">
        <v>12793</v>
      </c>
      <c r="W300" s="537" t="s">
        <v>6816</v>
      </c>
    </row>
    <row r="301" spans="1:33" s="536" customFormat="1" x14ac:dyDescent="0.2">
      <c r="A301" s="569"/>
      <c r="B301" s="671"/>
      <c r="C301" s="665" t="s">
        <v>6818</v>
      </c>
      <c r="D301" s="666"/>
      <c r="E301" s="666"/>
      <c r="F301" s="563"/>
      <c r="G301" s="563"/>
      <c r="H301" s="563"/>
      <c r="I301" s="563"/>
      <c r="J301" s="566"/>
      <c r="K301" s="563"/>
      <c r="L301" s="566"/>
      <c r="M301" s="565"/>
      <c r="N301" s="564"/>
    </row>
    <row r="302" spans="1:33" s="536" customFormat="1" x14ac:dyDescent="0.2">
      <c r="A302" s="676"/>
      <c r="B302" s="664"/>
      <c r="C302" s="1822" t="s">
        <v>6819</v>
      </c>
      <c r="D302" s="1822"/>
      <c r="E302" s="1822"/>
      <c r="F302" s="1822"/>
      <c r="G302" s="1822"/>
      <c r="H302" s="1822"/>
      <c r="I302" s="1822"/>
      <c r="J302" s="1822"/>
      <c r="K302" s="1822"/>
      <c r="L302" s="1822"/>
      <c r="M302" s="1822"/>
      <c r="N302" s="1827"/>
      <c r="AG302" s="537" t="s">
        <v>6819</v>
      </c>
    </row>
    <row r="303" spans="1:33" s="536" customFormat="1" ht="33.75" x14ac:dyDescent="0.2">
      <c r="A303" s="575" t="s">
        <v>1079</v>
      </c>
      <c r="B303" s="670" t="s">
        <v>1095</v>
      </c>
      <c r="C303" s="1823" t="s">
        <v>1096</v>
      </c>
      <c r="D303" s="1823"/>
      <c r="E303" s="1823"/>
      <c r="F303" s="573" t="s">
        <v>641</v>
      </c>
      <c r="G303" s="573"/>
      <c r="H303" s="573"/>
      <c r="I303" s="573" t="s">
        <v>6637</v>
      </c>
      <c r="J303" s="572">
        <v>55.26</v>
      </c>
      <c r="K303" s="573"/>
      <c r="L303" s="572">
        <v>60.18</v>
      </c>
      <c r="M303" s="571"/>
      <c r="N303" s="570"/>
      <c r="W303" s="537" t="s">
        <v>1096</v>
      </c>
    </row>
    <row r="304" spans="1:33" s="536" customFormat="1" x14ac:dyDescent="0.2">
      <c r="A304" s="569"/>
      <c r="B304" s="671"/>
      <c r="C304" s="665" t="s">
        <v>717</v>
      </c>
      <c r="D304" s="666"/>
      <c r="E304" s="666"/>
      <c r="F304" s="563"/>
      <c r="G304" s="563"/>
      <c r="H304" s="563"/>
      <c r="I304" s="563"/>
      <c r="J304" s="566"/>
      <c r="K304" s="563"/>
      <c r="L304" s="566"/>
      <c r="M304" s="565"/>
      <c r="N304" s="564"/>
    </row>
    <row r="305" spans="1:33" s="536" customFormat="1" x14ac:dyDescent="0.2">
      <c r="A305" s="676"/>
      <c r="B305" s="664"/>
      <c r="C305" s="1822" t="s">
        <v>6638</v>
      </c>
      <c r="D305" s="1822"/>
      <c r="E305" s="1822"/>
      <c r="F305" s="1822"/>
      <c r="G305" s="1822"/>
      <c r="H305" s="1822"/>
      <c r="I305" s="1822"/>
      <c r="J305" s="1822"/>
      <c r="K305" s="1822"/>
      <c r="L305" s="1822"/>
      <c r="M305" s="1822"/>
      <c r="N305" s="1827"/>
      <c r="AG305" s="537" t="s">
        <v>6638</v>
      </c>
    </row>
    <row r="306" spans="1:33" s="536" customFormat="1" ht="45" x14ac:dyDescent="0.2">
      <c r="A306" s="575" t="s">
        <v>759</v>
      </c>
      <c r="B306" s="670" t="s">
        <v>1668</v>
      </c>
      <c r="C306" s="1823" t="s">
        <v>6820</v>
      </c>
      <c r="D306" s="1823"/>
      <c r="E306" s="1823"/>
      <c r="F306" s="573" t="s">
        <v>1110</v>
      </c>
      <c r="G306" s="573"/>
      <c r="H306" s="573"/>
      <c r="I306" s="573" t="s">
        <v>1181</v>
      </c>
      <c r="J306" s="572"/>
      <c r="K306" s="573"/>
      <c r="L306" s="572"/>
      <c r="M306" s="571"/>
      <c r="N306" s="570"/>
      <c r="W306" s="537" t="s">
        <v>6820</v>
      </c>
    </row>
    <row r="307" spans="1:33" s="536" customFormat="1" x14ac:dyDescent="0.2">
      <c r="A307" s="676"/>
      <c r="B307" s="664"/>
      <c r="C307" s="1822" t="s">
        <v>6639</v>
      </c>
      <c r="D307" s="1822"/>
      <c r="E307" s="1822"/>
      <c r="F307" s="1822"/>
      <c r="G307" s="1822"/>
      <c r="H307" s="1822"/>
      <c r="I307" s="1822"/>
      <c r="J307" s="1822"/>
      <c r="K307" s="1822"/>
      <c r="L307" s="1822"/>
      <c r="M307" s="1822"/>
      <c r="N307" s="1827"/>
      <c r="AG307" s="537" t="s">
        <v>6639</v>
      </c>
    </row>
    <row r="308" spans="1:33" s="536" customFormat="1" ht="33.75" x14ac:dyDescent="0.2">
      <c r="A308" s="609"/>
      <c r="B308" s="552" t="s">
        <v>310</v>
      </c>
      <c r="C308" s="1822" t="s">
        <v>311</v>
      </c>
      <c r="D308" s="1822"/>
      <c r="E308" s="1822"/>
      <c r="F308" s="1822"/>
      <c r="G308" s="1822"/>
      <c r="H308" s="1822"/>
      <c r="I308" s="1822"/>
      <c r="J308" s="1822"/>
      <c r="K308" s="1822"/>
      <c r="L308" s="1822"/>
      <c r="M308" s="1822"/>
      <c r="N308" s="1827"/>
      <c r="X308" s="537" t="s">
        <v>311</v>
      </c>
    </row>
    <row r="309" spans="1:33" s="536" customFormat="1" x14ac:dyDescent="0.2">
      <c r="A309" s="605"/>
      <c r="B309" s="552" t="s">
        <v>185</v>
      </c>
      <c r="C309" s="1822" t="s">
        <v>312</v>
      </c>
      <c r="D309" s="1822"/>
      <c r="E309" s="1822"/>
      <c r="F309" s="562"/>
      <c r="G309" s="562"/>
      <c r="H309" s="562"/>
      <c r="I309" s="562"/>
      <c r="J309" s="604">
        <v>139.54</v>
      </c>
      <c r="K309" s="562" t="s">
        <v>313</v>
      </c>
      <c r="L309" s="604">
        <v>43.61</v>
      </c>
      <c r="M309" s="603"/>
      <c r="N309" s="602"/>
      <c r="Y309" s="537" t="s">
        <v>312</v>
      </c>
    </row>
    <row r="310" spans="1:33" s="536" customFormat="1" x14ac:dyDescent="0.2">
      <c r="A310" s="605"/>
      <c r="B310" s="552" t="s">
        <v>188</v>
      </c>
      <c r="C310" s="1822" t="s">
        <v>475</v>
      </c>
      <c r="D310" s="1822"/>
      <c r="E310" s="1822"/>
      <c r="F310" s="562"/>
      <c r="G310" s="562"/>
      <c r="H310" s="562"/>
      <c r="I310" s="562"/>
      <c r="J310" s="604">
        <v>16.79</v>
      </c>
      <c r="K310" s="562"/>
      <c r="L310" s="604">
        <v>4.2</v>
      </c>
      <c r="M310" s="603"/>
      <c r="N310" s="602"/>
      <c r="Y310" s="537" t="s">
        <v>475</v>
      </c>
    </row>
    <row r="311" spans="1:33" s="536" customFormat="1" x14ac:dyDescent="0.2">
      <c r="A311" s="605"/>
      <c r="B311" s="552"/>
      <c r="C311" s="1822" t="s">
        <v>314</v>
      </c>
      <c r="D311" s="1822"/>
      <c r="E311" s="1822"/>
      <c r="F311" s="562" t="s">
        <v>315</v>
      </c>
      <c r="G311" s="562" t="s">
        <v>1671</v>
      </c>
      <c r="H311" s="562" t="s">
        <v>313</v>
      </c>
      <c r="I311" s="562" t="s">
        <v>3100</v>
      </c>
      <c r="J311" s="604"/>
      <c r="K311" s="562"/>
      <c r="L311" s="604"/>
      <c r="M311" s="603"/>
      <c r="N311" s="602"/>
      <c r="Z311" s="537" t="s">
        <v>314</v>
      </c>
    </row>
    <row r="312" spans="1:33" s="536" customFormat="1" x14ac:dyDescent="0.2">
      <c r="A312" s="605"/>
      <c r="B312" s="552"/>
      <c r="C312" s="1828" t="s">
        <v>318</v>
      </c>
      <c r="D312" s="1828"/>
      <c r="E312" s="1828"/>
      <c r="F312" s="608"/>
      <c r="G312" s="608"/>
      <c r="H312" s="608"/>
      <c r="I312" s="608"/>
      <c r="J312" s="607">
        <v>156.33000000000001</v>
      </c>
      <c r="K312" s="608"/>
      <c r="L312" s="607">
        <v>47.81</v>
      </c>
      <c r="M312" s="601"/>
      <c r="N312" s="606"/>
      <c r="AA312" s="537" t="s">
        <v>318</v>
      </c>
    </row>
    <row r="313" spans="1:33" s="536" customFormat="1" x14ac:dyDescent="0.2">
      <c r="A313" s="605"/>
      <c r="B313" s="552"/>
      <c r="C313" s="1822" t="s">
        <v>319</v>
      </c>
      <c r="D313" s="1822"/>
      <c r="E313" s="1822"/>
      <c r="F313" s="562"/>
      <c r="G313" s="562"/>
      <c r="H313" s="562"/>
      <c r="I313" s="562"/>
      <c r="J313" s="604"/>
      <c r="K313" s="562"/>
      <c r="L313" s="604">
        <v>43.61</v>
      </c>
      <c r="M313" s="603"/>
      <c r="N313" s="602"/>
      <c r="Z313" s="537" t="s">
        <v>319</v>
      </c>
    </row>
    <row r="314" spans="1:33" s="536" customFormat="1" ht="33.75" x14ac:dyDescent="0.2">
      <c r="A314" s="605"/>
      <c r="B314" s="552" t="s">
        <v>1631</v>
      </c>
      <c r="C314" s="1822" t="s">
        <v>1632</v>
      </c>
      <c r="D314" s="1822"/>
      <c r="E314" s="1822"/>
      <c r="F314" s="562" t="s">
        <v>322</v>
      </c>
      <c r="G314" s="562" t="s">
        <v>1633</v>
      </c>
      <c r="H314" s="562"/>
      <c r="I314" s="562" t="s">
        <v>1633</v>
      </c>
      <c r="J314" s="604"/>
      <c r="K314" s="562"/>
      <c r="L314" s="604">
        <v>42.3</v>
      </c>
      <c r="M314" s="603"/>
      <c r="N314" s="602"/>
      <c r="Z314" s="537" t="s">
        <v>1632</v>
      </c>
    </row>
    <row r="315" spans="1:33" s="536" customFormat="1" ht="33.75" x14ac:dyDescent="0.2">
      <c r="A315" s="605"/>
      <c r="B315" s="552" t="s">
        <v>1634</v>
      </c>
      <c r="C315" s="1822" t="s">
        <v>1635</v>
      </c>
      <c r="D315" s="1822"/>
      <c r="E315" s="1822"/>
      <c r="F315" s="562" t="s">
        <v>322</v>
      </c>
      <c r="G315" s="562" t="s">
        <v>786</v>
      </c>
      <c r="H315" s="562"/>
      <c r="I315" s="562" t="s">
        <v>786</v>
      </c>
      <c r="J315" s="604"/>
      <c r="K315" s="562"/>
      <c r="L315" s="604">
        <v>22.24</v>
      </c>
      <c r="M315" s="603"/>
      <c r="N315" s="602"/>
      <c r="Z315" s="537" t="s">
        <v>1635</v>
      </c>
    </row>
    <row r="316" spans="1:33" s="536" customFormat="1" x14ac:dyDescent="0.2">
      <c r="A316" s="569"/>
      <c r="B316" s="671"/>
      <c r="C316" s="1823" t="s">
        <v>327</v>
      </c>
      <c r="D316" s="1823"/>
      <c r="E316" s="1823"/>
      <c r="F316" s="573"/>
      <c r="G316" s="573"/>
      <c r="H316" s="573"/>
      <c r="I316" s="573"/>
      <c r="J316" s="572"/>
      <c r="K316" s="573"/>
      <c r="L316" s="572">
        <v>112.35</v>
      </c>
      <c r="M316" s="601"/>
      <c r="N316" s="570"/>
      <c r="AB316" s="537" t="s">
        <v>327</v>
      </c>
    </row>
    <row r="317" spans="1:33" s="536" customFormat="1" ht="56.25" x14ac:dyDescent="0.2">
      <c r="A317" s="575" t="s">
        <v>917</v>
      </c>
      <c r="B317" s="670" t="s">
        <v>6821</v>
      </c>
      <c r="C317" s="1823" t="s">
        <v>6822</v>
      </c>
      <c r="D317" s="1823"/>
      <c r="E317" s="1823"/>
      <c r="F317" s="573" t="s">
        <v>483</v>
      </c>
      <c r="G317" s="573"/>
      <c r="H317" s="573"/>
      <c r="I317" s="573" t="s">
        <v>6640</v>
      </c>
      <c r="J317" s="572">
        <v>252.97</v>
      </c>
      <c r="K317" s="573" t="s">
        <v>716</v>
      </c>
      <c r="L317" s="572">
        <v>1024.92</v>
      </c>
      <c r="M317" s="571">
        <v>6.42</v>
      </c>
      <c r="N317" s="570">
        <v>6580</v>
      </c>
      <c r="W317" s="537" t="s">
        <v>6822</v>
      </c>
    </row>
    <row r="318" spans="1:33" s="536" customFormat="1" x14ac:dyDescent="0.2">
      <c r="A318" s="569"/>
      <c r="B318" s="671"/>
      <c r="C318" s="665" t="s">
        <v>1658</v>
      </c>
      <c r="D318" s="666"/>
      <c r="E318" s="666"/>
      <c r="F318" s="563"/>
      <c r="G318" s="563"/>
      <c r="H318" s="563"/>
      <c r="I318" s="563"/>
      <c r="J318" s="566"/>
      <c r="K318" s="563"/>
      <c r="L318" s="566"/>
      <c r="M318" s="565"/>
      <c r="N318" s="564"/>
    </row>
    <row r="319" spans="1:33" s="536" customFormat="1" x14ac:dyDescent="0.2">
      <c r="A319" s="676"/>
      <c r="B319" s="664"/>
      <c r="C319" s="1822" t="s">
        <v>6823</v>
      </c>
      <c r="D319" s="1822"/>
      <c r="E319" s="1822"/>
      <c r="F319" s="1822"/>
      <c r="G319" s="1822"/>
      <c r="H319" s="1822"/>
      <c r="I319" s="1822"/>
      <c r="J319" s="1822"/>
      <c r="K319" s="1822"/>
      <c r="L319" s="1822"/>
      <c r="M319" s="1822"/>
      <c r="N319" s="1827"/>
      <c r="AG319" s="537" t="s">
        <v>6823</v>
      </c>
    </row>
    <row r="320" spans="1:33" s="536" customFormat="1" ht="22.5" x14ac:dyDescent="0.2">
      <c r="A320" s="609"/>
      <c r="B320" s="552" t="s">
        <v>718</v>
      </c>
      <c r="C320" s="1822" t="s">
        <v>719</v>
      </c>
      <c r="D320" s="1822"/>
      <c r="E320" s="1822"/>
      <c r="F320" s="1822"/>
      <c r="G320" s="1822"/>
      <c r="H320" s="1822"/>
      <c r="I320" s="1822"/>
      <c r="J320" s="1822"/>
      <c r="K320" s="1822"/>
      <c r="L320" s="1822"/>
      <c r="M320" s="1822"/>
      <c r="N320" s="1827"/>
      <c r="X320" s="537" t="s">
        <v>719</v>
      </c>
    </row>
    <row r="321" spans="1:33" s="536" customFormat="1" ht="22.5" x14ac:dyDescent="0.2">
      <c r="A321" s="575" t="s">
        <v>761</v>
      </c>
      <c r="B321" s="670" t="s">
        <v>5520</v>
      </c>
      <c r="C321" s="1823" t="s">
        <v>5521</v>
      </c>
      <c r="D321" s="1823"/>
      <c r="E321" s="1823"/>
      <c r="F321" s="573" t="s">
        <v>1110</v>
      </c>
      <c r="G321" s="573"/>
      <c r="H321" s="573"/>
      <c r="I321" s="573" t="s">
        <v>702</v>
      </c>
      <c r="J321" s="572"/>
      <c r="K321" s="573"/>
      <c r="L321" s="572"/>
      <c r="M321" s="571"/>
      <c r="N321" s="570"/>
      <c r="W321" s="537" t="s">
        <v>5521</v>
      </c>
    </row>
    <row r="322" spans="1:33" s="536" customFormat="1" x14ac:dyDescent="0.2">
      <c r="A322" s="676"/>
      <c r="B322" s="664"/>
      <c r="C322" s="1822" t="s">
        <v>6641</v>
      </c>
      <c r="D322" s="1822"/>
      <c r="E322" s="1822"/>
      <c r="F322" s="1822"/>
      <c r="G322" s="1822"/>
      <c r="H322" s="1822"/>
      <c r="I322" s="1822"/>
      <c r="J322" s="1822"/>
      <c r="K322" s="1822"/>
      <c r="L322" s="1822"/>
      <c r="M322" s="1822"/>
      <c r="N322" s="1827"/>
      <c r="AG322" s="537" t="s">
        <v>6641</v>
      </c>
    </row>
    <row r="323" spans="1:33" s="536" customFormat="1" ht="33.75" x14ac:dyDescent="0.2">
      <c r="A323" s="609"/>
      <c r="B323" s="552" t="s">
        <v>310</v>
      </c>
      <c r="C323" s="1822" t="s">
        <v>311</v>
      </c>
      <c r="D323" s="1822"/>
      <c r="E323" s="1822"/>
      <c r="F323" s="1822"/>
      <c r="G323" s="1822"/>
      <c r="H323" s="1822"/>
      <c r="I323" s="1822"/>
      <c r="J323" s="1822"/>
      <c r="K323" s="1822"/>
      <c r="L323" s="1822"/>
      <c r="M323" s="1822"/>
      <c r="N323" s="1827"/>
      <c r="X323" s="537" t="s">
        <v>311</v>
      </c>
    </row>
    <row r="324" spans="1:33" s="536" customFormat="1" x14ac:dyDescent="0.2">
      <c r="A324" s="605"/>
      <c r="B324" s="552" t="s">
        <v>185</v>
      </c>
      <c r="C324" s="1822" t="s">
        <v>312</v>
      </c>
      <c r="D324" s="1822"/>
      <c r="E324" s="1822"/>
      <c r="F324" s="562"/>
      <c r="G324" s="562"/>
      <c r="H324" s="562"/>
      <c r="I324" s="562"/>
      <c r="J324" s="604">
        <v>216.58</v>
      </c>
      <c r="K324" s="562" t="s">
        <v>313</v>
      </c>
      <c r="L324" s="604">
        <v>278.85000000000002</v>
      </c>
      <c r="M324" s="603"/>
      <c r="N324" s="602"/>
      <c r="Y324" s="537" t="s">
        <v>312</v>
      </c>
    </row>
    <row r="325" spans="1:33" s="536" customFormat="1" x14ac:dyDescent="0.2">
      <c r="A325" s="605"/>
      <c r="B325" s="552" t="s">
        <v>186</v>
      </c>
      <c r="C325" s="1822" t="s">
        <v>344</v>
      </c>
      <c r="D325" s="1822"/>
      <c r="E325" s="1822"/>
      <c r="F325" s="562"/>
      <c r="G325" s="562"/>
      <c r="H325" s="562"/>
      <c r="I325" s="562"/>
      <c r="J325" s="604">
        <v>76.319999999999993</v>
      </c>
      <c r="K325" s="562" t="s">
        <v>313</v>
      </c>
      <c r="L325" s="604">
        <v>98.26</v>
      </c>
      <c r="M325" s="603"/>
      <c r="N325" s="602"/>
      <c r="Y325" s="537" t="s">
        <v>344</v>
      </c>
    </row>
    <row r="326" spans="1:33" s="536" customFormat="1" x14ac:dyDescent="0.2">
      <c r="A326" s="605"/>
      <c r="B326" s="552" t="s">
        <v>187</v>
      </c>
      <c r="C326" s="1822" t="s">
        <v>345</v>
      </c>
      <c r="D326" s="1822"/>
      <c r="E326" s="1822"/>
      <c r="F326" s="562"/>
      <c r="G326" s="562"/>
      <c r="H326" s="562"/>
      <c r="I326" s="562"/>
      <c r="J326" s="604">
        <v>5.0199999999999996</v>
      </c>
      <c r="K326" s="562" t="s">
        <v>313</v>
      </c>
      <c r="L326" s="604">
        <v>6.46</v>
      </c>
      <c r="M326" s="603"/>
      <c r="N326" s="602"/>
      <c r="Y326" s="537" t="s">
        <v>345</v>
      </c>
    </row>
    <row r="327" spans="1:33" s="536" customFormat="1" x14ac:dyDescent="0.2">
      <c r="A327" s="605"/>
      <c r="B327" s="552" t="s">
        <v>188</v>
      </c>
      <c r="C327" s="1822" t="s">
        <v>475</v>
      </c>
      <c r="D327" s="1822"/>
      <c r="E327" s="1822"/>
      <c r="F327" s="562"/>
      <c r="G327" s="562"/>
      <c r="H327" s="562"/>
      <c r="I327" s="562"/>
      <c r="J327" s="604">
        <v>39.49</v>
      </c>
      <c r="K327" s="562"/>
      <c r="L327" s="604">
        <v>40.67</v>
      </c>
      <c r="M327" s="603"/>
      <c r="N327" s="602"/>
      <c r="Y327" s="537" t="s">
        <v>475</v>
      </c>
    </row>
    <row r="328" spans="1:33" s="536" customFormat="1" x14ac:dyDescent="0.2">
      <c r="A328" s="605"/>
      <c r="B328" s="552"/>
      <c r="C328" s="1822" t="s">
        <v>314</v>
      </c>
      <c r="D328" s="1822"/>
      <c r="E328" s="1822"/>
      <c r="F328" s="562" t="s">
        <v>315</v>
      </c>
      <c r="G328" s="562" t="s">
        <v>5523</v>
      </c>
      <c r="H328" s="562" t="s">
        <v>313</v>
      </c>
      <c r="I328" s="562" t="s">
        <v>6642</v>
      </c>
      <c r="J328" s="604"/>
      <c r="K328" s="562"/>
      <c r="L328" s="604"/>
      <c r="M328" s="603"/>
      <c r="N328" s="602"/>
      <c r="Z328" s="537" t="s">
        <v>314</v>
      </c>
    </row>
    <row r="329" spans="1:33" s="536" customFormat="1" x14ac:dyDescent="0.2">
      <c r="A329" s="605"/>
      <c r="B329" s="552"/>
      <c r="C329" s="1822" t="s">
        <v>348</v>
      </c>
      <c r="D329" s="1822"/>
      <c r="E329" s="1822"/>
      <c r="F329" s="562" t="s">
        <v>315</v>
      </c>
      <c r="G329" s="562" t="s">
        <v>947</v>
      </c>
      <c r="H329" s="562" t="s">
        <v>313</v>
      </c>
      <c r="I329" s="562" t="s">
        <v>6643</v>
      </c>
      <c r="J329" s="604"/>
      <c r="K329" s="562"/>
      <c r="L329" s="604"/>
      <c r="M329" s="603"/>
      <c r="N329" s="602"/>
      <c r="Z329" s="537" t="s">
        <v>348</v>
      </c>
    </row>
    <row r="330" spans="1:33" s="536" customFormat="1" x14ac:dyDescent="0.2">
      <c r="A330" s="605"/>
      <c r="B330" s="552"/>
      <c r="C330" s="1828" t="s">
        <v>318</v>
      </c>
      <c r="D330" s="1828"/>
      <c r="E330" s="1828"/>
      <c r="F330" s="608"/>
      <c r="G330" s="608"/>
      <c r="H330" s="608"/>
      <c r="I330" s="608"/>
      <c r="J330" s="607">
        <v>332.39</v>
      </c>
      <c r="K330" s="608"/>
      <c r="L330" s="607">
        <v>417.78</v>
      </c>
      <c r="M330" s="601"/>
      <c r="N330" s="606"/>
      <c r="AA330" s="537" t="s">
        <v>318</v>
      </c>
    </row>
    <row r="331" spans="1:33" s="536" customFormat="1" x14ac:dyDescent="0.2">
      <c r="A331" s="605"/>
      <c r="B331" s="552"/>
      <c r="C331" s="1822" t="s">
        <v>319</v>
      </c>
      <c r="D331" s="1822"/>
      <c r="E331" s="1822"/>
      <c r="F331" s="562"/>
      <c r="G331" s="562"/>
      <c r="H331" s="562"/>
      <c r="I331" s="562"/>
      <c r="J331" s="604"/>
      <c r="K331" s="562"/>
      <c r="L331" s="604">
        <v>285.31</v>
      </c>
      <c r="M331" s="603"/>
      <c r="N331" s="602"/>
      <c r="Z331" s="537" t="s">
        <v>319</v>
      </c>
    </row>
    <row r="332" spans="1:33" s="536" customFormat="1" ht="33.75" x14ac:dyDescent="0.2">
      <c r="A332" s="605"/>
      <c r="B332" s="552" t="s">
        <v>1631</v>
      </c>
      <c r="C332" s="1822" t="s">
        <v>1632</v>
      </c>
      <c r="D332" s="1822"/>
      <c r="E332" s="1822"/>
      <c r="F332" s="562" t="s">
        <v>322</v>
      </c>
      <c r="G332" s="562" t="s">
        <v>1633</v>
      </c>
      <c r="H332" s="562"/>
      <c r="I332" s="562" t="s">
        <v>1633</v>
      </c>
      <c r="J332" s="604"/>
      <c r="K332" s="562"/>
      <c r="L332" s="604">
        <v>276.75</v>
      </c>
      <c r="M332" s="603"/>
      <c r="N332" s="602"/>
      <c r="Z332" s="537" t="s">
        <v>1632</v>
      </c>
    </row>
    <row r="333" spans="1:33" s="536" customFormat="1" ht="33.75" x14ac:dyDescent="0.2">
      <c r="A333" s="605"/>
      <c r="B333" s="552" t="s">
        <v>1634</v>
      </c>
      <c r="C333" s="1822" t="s">
        <v>1635</v>
      </c>
      <c r="D333" s="1822"/>
      <c r="E333" s="1822"/>
      <c r="F333" s="562" t="s">
        <v>322</v>
      </c>
      <c r="G333" s="562" t="s">
        <v>786</v>
      </c>
      <c r="H333" s="562"/>
      <c r="I333" s="562" t="s">
        <v>786</v>
      </c>
      <c r="J333" s="604"/>
      <c r="K333" s="562"/>
      <c r="L333" s="604">
        <v>145.51</v>
      </c>
      <c r="M333" s="603"/>
      <c r="N333" s="602"/>
      <c r="Z333" s="537" t="s">
        <v>1635</v>
      </c>
    </row>
    <row r="334" spans="1:33" s="536" customFormat="1" x14ac:dyDescent="0.2">
      <c r="A334" s="569"/>
      <c r="B334" s="671"/>
      <c r="C334" s="1823" t="s">
        <v>327</v>
      </c>
      <c r="D334" s="1823"/>
      <c r="E334" s="1823"/>
      <c r="F334" s="573"/>
      <c r="G334" s="573"/>
      <c r="H334" s="573"/>
      <c r="I334" s="573"/>
      <c r="J334" s="572"/>
      <c r="K334" s="573"/>
      <c r="L334" s="572">
        <v>840.04</v>
      </c>
      <c r="M334" s="601"/>
      <c r="N334" s="570"/>
      <c r="AB334" s="537" t="s">
        <v>327</v>
      </c>
    </row>
    <row r="335" spans="1:33" s="536" customFormat="1" ht="45" x14ac:dyDescent="0.2">
      <c r="A335" s="575" t="s">
        <v>762</v>
      </c>
      <c r="B335" s="670" t="s">
        <v>6644</v>
      </c>
      <c r="C335" s="1823" t="s">
        <v>6645</v>
      </c>
      <c r="D335" s="1823"/>
      <c r="E335" s="1823"/>
      <c r="F335" s="573" t="s">
        <v>483</v>
      </c>
      <c r="G335" s="573"/>
      <c r="H335" s="573"/>
      <c r="I335" s="573" t="s">
        <v>6646</v>
      </c>
      <c r="J335" s="572">
        <v>2640.4</v>
      </c>
      <c r="K335" s="573" t="s">
        <v>716</v>
      </c>
      <c r="L335" s="572">
        <v>44072.9</v>
      </c>
      <c r="M335" s="571">
        <v>6.42</v>
      </c>
      <c r="N335" s="570">
        <v>282948</v>
      </c>
      <c r="W335" s="537" t="s">
        <v>6645</v>
      </c>
    </row>
    <row r="336" spans="1:33" s="536" customFormat="1" x14ac:dyDescent="0.2">
      <c r="A336" s="569"/>
      <c r="B336" s="671"/>
      <c r="C336" s="665" t="s">
        <v>1658</v>
      </c>
      <c r="D336" s="666"/>
      <c r="E336" s="666"/>
      <c r="F336" s="563"/>
      <c r="G336" s="563"/>
      <c r="H336" s="563"/>
      <c r="I336" s="563"/>
      <c r="J336" s="566"/>
      <c r="K336" s="563"/>
      <c r="L336" s="566"/>
      <c r="M336" s="565"/>
      <c r="N336" s="564"/>
    </row>
    <row r="337" spans="1:33" s="536" customFormat="1" x14ac:dyDescent="0.2">
      <c r="A337" s="676"/>
      <c r="B337" s="664"/>
      <c r="C337" s="1822" t="s">
        <v>6647</v>
      </c>
      <c r="D337" s="1822"/>
      <c r="E337" s="1822"/>
      <c r="F337" s="1822"/>
      <c r="G337" s="1822"/>
      <c r="H337" s="1822"/>
      <c r="I337" s="1822"/>
      <c r="J337" s="1822"/>
      <c r="K337" s="1822"/>
      <c r="L337" s="1822"/>
      <c r="M337" s="1822"/>
      <c r="N337" s="1827"/>
      <c r="AG337" s="537" t="s">
        <v>6647</v>
      </c>
    </row>
    <row r="338" spans="1:33" s="536" customFormat="1" ht="22.5" x14ac:dyDescent="0.2">
      <c r="A338" s="609"/>
      <c r="B338" s="552" t="s">
        <v>718</v>
      </c>
      <c r="C338" s="1822" t="s">
        <v>719</v>
      </c>
      <c r="D338" s="1822"/>
      <c r="E338" s="1822"/>
      <c r="F338" s="1822"/>
      <c r="G338" s="1822"/>
      <c r="H338" s="1822"/>
      <c r="I338" s="1822"/>
      <c r="J338" s="1822"/>
      <c r="K338" s="1822"/>
      <c r="L338" s="1822"/>
      <c r="M338" s="1822"/>
      <c r="N338" s="1827"/>
      <c r="X338" s="537" t="s">
        <v>719</v>
      </c>
    </row>
    <row r="339" spans="1:33" s="536" customFormat="1" ht="45" x14ac:dyDescent="0.2">
      <c r="A339" s="575" t="s">
        <v>763</v>
      </c>
      <c r="B339" s="670" t="s">
        <v>6648</v>
      </c>
      <c r="C339" s="1823" t="s">
        <v>6649</v>
      </c>
      <c r="D339" s="1823"/>
      <c r="E339" s="1823"/>
      <c r="F339" s="573" t="s">
        <v>617</v>
      </c>
      <c r="G339" s="573"/>
      <c r="H339" s="573"/>
      <c r="I339" s="573" t="s">
        <v>186</v>
      </c>
      <c r="J339" s="572"/>
      <c r="K339" s="573"/>
      <c r="L339" s="572"/>
      <c r="M339" s="571"/>
      <c r="N339" s="570"/>
      <c r="W339" s="537" t="s">
        <v>6649</v>
      </c>
    </row>
    <row r="340" spans="1:33" s="536" customFormat="1" x14ac:dyDescent="0.2">
      <c r="A340" s="676"/>
      <c r="B340" s="664"/>
      <c r="C340" s="1822" t="s">
        <v>946</v>
      </c>
      <c r="D340" s="1822"/>
      <c r="E340" s="1822"/>
      <c r="F340" s="1822"/>
      <c r="G340" s="1822"/>
      <c r="H340" s="1822"/>
      <c r="I340" s="1822"/>
      <c r="J340" s="1822"/>
      <c r="K340" s="1822"/>
      <c r="L340" s="1822"/>
      <c r="M340" s="1822"/>
      <c r="N340" s="1827"/>
      <c r="AG340" s="537" t="s">
        <v>946</v>
      </c>
    </row>
    <row r="341" spans="1:33" s="536" customFormat="1" ht="33.75" x14ac:dyDescent="0.2">
      <c r="A341" s="609"/>
      <c r="B341" s="552" t="s">
        <v>310</v>
      </c>
      <c r="C341" s="1822" t="s">
        <v>311</v>
      </c>
      <c r="D341" s="1822"/>
      <c r="E341" s="1822"/>
      <c r="F341" s="1822"/>
      <c r="G341" s="1822"/>
      <c r="H341" s="1822"/>
      <c r="I341" s="1822"/>
      <c r="J341" s="1822"/>
      <c r="K341" s="1822"/>
      <c r="L341" s="1822"/>
      <c r="M341" s="1822"/>
      <c r="N341" s="1827"/>
      <c r="X341" s="537" t="s">
        <v>311</v>
      </c>
    </row>
    <row r="342" spans="1:33" s="536" customFormat="1" x14ac:dyDescent="0.2">
      <c r="A342" s="605"/>
      <c r="B342" s="552" t="s">
        <v>185</v>
      </c>
      <c r="C342" s="1822" t="s">
        <v>312</v>
      </c>
      <c r="D342" s="1822"/>
      <c r="E342" s="1822"/>
      <c r="F342" s="562"/>
      <c r="G342" s="562"/>
      <c r="H342" s="562"/>
      <c r="I342" s="562"/>
      <c r="J342" s="604">
        <v>18.239999999999998</v>
      </c>
      <c r="K342" s="562" t="s">
        <v>313</v>
      </c>
      <c r="L342" s="604">
        <v>45.6</v>
      </c>
      <c r="M342" s="603"/>
      <c r="N342" s="602"/>
      <c r="Y342" s="537" t="s">
        <v>312</v>
      </c>
    </row>
    <row r="343" spans="1:33" s="536" customFormat="1" x14ac:dyDescent="0.2">
      <c r="A343" s="605"/>
      <c r="B343" s="552" t="s">
        <v>188</v>
      </c>
      <c r="C343" s="1822" t="s">
        <v>475</v>
      </c>
      <c r="D343" s="1822"/>
      <c r="E343" s="1822"/>
      <c r="F343" s="562"/>
      <c r="G343" s="562"/>
      <c r="H343" s="562"/>
      <c r="I343" s="562"/>
      <c r="J343" s="604">
        <v>4.2</v>
      </c>
      <c r="K343" s="562"/>
      <c r="L343" s="604">
        <v>8.4</v>
      </c>
      <c r="M343" s="603"/>
      <c r="N343" s="602"/>
      <c r="Y343" s="537" t="s">
        <v>475</v>
      </c>
    </row>
    <row r="344" spans="1:33" s="536" customFormat="1" x14ac:dyDescent="0.2">
      <c r="A344" s="605"/>
      <c r="B344" s="552"/>
      <c r="C344" s="1822" t="s">
        <v>314</v>
      </c>
      <c r="D344" s="1822"/>
      <c r="E344" s="1822"/>
      <c r="F344" s="562" t="s">
        <v>315</v>
      </c>
      <c r="G344" s="562" t="s">
        <v>383</v>
      </c>
      <c r="H344" s="562" t="s">
        <v>313</v>
      </c>
      <c r="I344" s="562" t="s">
        <v>6650</v>
      </c>
      <c r="J344" s="604"/>
      <c r="K344" s="562"/>
      <c r="L344" s="604"/>
      <c r="M344" s="603"/>
      <c r="N344" s="602"/>
      <c r="Z344" s="537" t="s">
        <v>314</v>
      </c>
    </row>
    <row r="345" spans="1:33" s="536" customFormat="1" x14ac:dyDescent="0.2">
      <c r="A345" s="605"/>
      <c r="B345" s="552"/>
      <c r="C345" s="1828" t="s">
        <v>318</v>
      </c>
      <c r="D345" s="1828"/>
      <c r="E345" s="1828"/>
      <c r="F345" s="608"/>
      <c r="G345" s="608"/>
      <c r="H345" s="608"/>
      <c r="I345" s="608"/>
      <c r="J345" s="607">
        <v>22.44</v>
      </c>
      <c r="K345" s="608"/>
      <c r="L345" s="607">
        <v>54</v>
      </c>
      <c r="M345" s="601"/>
      <c r="N345" s="606"/>
      <c r="AA345" s="537" t="s">
        <v>318</v>
      </c>
    </row>
    <row r="346" spans="1:33" s="536" customFormat="1" x14ac:dyDescent="0.2">
      <c r="A346" s="605"/>
      <c r="B346" s="552"/>
      <c r="C346" s="1822" t="s">
        <v>319</v>
      </c>
      <c r="D346" s="1822"/>
      <c r="E346" s="1822"/>
      <c r="F346" s="562"/>
      <c r="G346" s="562"/>
      <c r="H346" s="562"/>
      <c r="I346" s="562"/>
      <c r="J346" s="604"/>
      <c r="K346" s="562"/>
      <c r="L346" s="604">
        <v>45.6</v>
      </c>
      <c r="M346" s="603"/>
      <c r="N346" s="602"/>
      <c r="Z346" s="537" t="s">
        <v>319</v>
      </c>
    </row>
    <row r="347" spans="1:33" s="536" customFormat="1" ht="33.75" x14ac:dyDescent="0.2">
      <c r="A347" s="605"/>
      <c r="B347" s="552" t="s">
        <v>1631</v>
      </c>
      <c r="C347" s="1822" t="s">
        <v>1632</v>
      </c>
      <c r="D347" s="1822"/>
      <c r="E347" s="1822"/>
      <c r="F347" s="562" t="s">
        <v>322</v>
      </c>
      <c r="G347" s="562" t="s">
        <v>1633</v>
      </c>
      <c r="H347" s="562"/>
      <c r="I347" s="562" t="s">
        <v>1633</v>
      </c>
      <c r="J347" s="604"/>
      <c r="K347" s="562"/>
      <c r="L347" s="604">
        <v>44.23</v>
      </c>
      <c r="M347" s="603"/>
      <c r="N347" s="602"/>
      <c r="Z347" s="537" t="s">
        <v>1632</v>
      </c>
    </row>
    <row r="348" spans="1:33" s="536" customFormat="1" ht="33.75" x14ac:dyDescent="0.2">
      <c r="A348" s="605"/>
      <c r="B348" s="552" t="s">
        <v>1634</v>
      </c>
      <c r="C348" s="1822" t="s">
        <v>1635</v>
      </c>
      <c r="D348" s="1822"/>
      <c r="E348" s="1822"/>
      <c r="F348" s="562" t="s">
        <v>322</v>
      </c>
      <c r="G348" s="562" t="s">
        <v>786</v>
      </c>
      <c r="H348" s="562"/>
      <c r="I348" s="562" t="s">
        <v>786</v>
      </c>
      <c r="J348" s="604"/>
      <c r="K348" s="562"/>
      <c r="L348" s="604">
        <v>23.26</v>
      </c>
      <c r="M348" s="603"/>
      <c r="N348" s="602"/>
      <c r="Z348" s="537" t="s">
        <v>1635</v>
      </c>
    </row>
    <row r="349" spans="1:33" s="536" customFormat="1" x14ac:dyDescent="0.2">
      <c r="A349" s="569"/>
      <c r="B349" s="671"/>
      <c r="C349" s="1823" t="s">
        <v>327</v>
      </c>
      <c r="D349" s="1823"/>
      <c r="E349" s="1823"/>
      <c r="F349" s="573"/>
      <c r="G349" s="573"/>
      <c r="H349" s="573"/>
      <c r="I349" s="573"/>
      <c r="J349" s="572"/>
      <c r="K349" s="573"/>
      <c r="L349" s="572">
        <v>121.49</v>
      </c>
      <c r="M349" s="601"/>
      <c r="N349" s="570"/>
      <c r="AB349" s="537" t="s">
        <v>327</v>
      </c>
    </row>
    <row r="350" spans="1:33" s="536" customFormat="1" ht="33.75" x14ac:dyDescent="0.2">
      <c r="A350" s="575" t="s">
        <v>922</v>
      </c>
      <c r="B350" s="670" t="s">
        <v>6651</v>
      </c>
      <c r="C350" s="1823" t="s">
        <v>6652</v>
      </c>
      <c r="D350" s="1823"/>
      <c r="E350" s="1823"/>
      <c r="F350" s="573" t="s">
        <v>617</v>
      </c>
      <c r="G350" s="573"/>
      <c r="H350" s="573"/>
      <c r="I350" s="573" t="s">
        <v>185</v>
      </c>
      <c r="J350" s="572">
        <v>7336</v>
      </c>
      <c r="K350" s="573" t="s">
        <v>716</v>
      </c>
      <c r="L350" s="572">
        <v>1165.58</v>
      </c>
      <c r="M350" s="571">
        <v>6.42</v>
      </c>
      <c r="N350" s="570">
        <v>7483</v>
      </c>
      <c r="W350" s="537" t="s">
        <v>6652</v>
      </c>
    </row>
    <row r="351" spans="1:33" s="536" customFormat="1" x14ac:dyDescent="0.2">
      <c r="A351" s="569"/>
      <c r="B351" s="671"/>
      <c r="C351" s="665" t="s">
        <v>1658</v>
      </c>
      <c r="D351" s="666"/>
      <c r="E351" s="666"/>
      <c r="F351" s="563"/>
      <c r="G351" s="563"/>
      <c r="H351" s="563"/>
      <c r="I351" s="563"/>
      <c r="J351" s="566"/>
      <c r="K351" s="563"/>
      <c r="L351" s="566"/>
      <c r="M351" s="565"/>
      <c r="N351" s="564"/>
    </row>
    <row r="352" spans="1:33" s="536" customFormat="1" ht="22.5" x14ac:dyDescent="0.2">
      <c r="A352" s="609"/>
      <c r="B352" s="552" t="s">
        <v>718</v>
      </c>
      <c r="C352" s="1822" t="s">
        <v>719</v>
      </c>
      <c r="D352" s="1822"/>
      <c r="E352" s="1822"/>
      <c r="F352" s="1822"/>
      <c r="G352" s="1822"/>
      <c r="H352" s="1822"/>
      <c r="I352" s="1822"/>
      <c r="J352" s="1822"/>
      <c r="K352" s="1822"/>
      <c r="L352" s="1822"/>
      <c r="M352" s="1822"/>
      <c r="N352" s="1827"/>
      <c r="X352" s="537" t="s">
        <v>719</v>
      </c>
    </row>
    <row r="353" spans="1:33" s="536" customFormat="1" ht="33.75" x14ac:dyDescent="0.2">
      <c r="A353" s="575" t="s">
        <v>765</v>
      </c>
      <c r="B353" s="670" t="s">
        <v>6653</v>
      </c>
      <c r="C353" s="1823" t="s">
        <v>6654</v>
      </c>
      <c r="D353" s="1823"/>
      <c r="E353" s="1823"/>
      <c r="F353" s="573" t="s">
        <v>617</v>
      </c>
      <c r="G353" s="573"/>
      <c r="H353" s="573"/>
      <c r="I353" s="573" t="s">
        <v>185</v>
      </c>
      <c r="J353" s="572">
        <v>6986.37</v>
      </c>
      <c r="K353" s="573" t="s">
        <v>716</v>
      </c>
      <c r="L353" s="572">
        <v>1109.97</v>
      </c>
      <c r="M353" s="571">
        <v>6.42</v>
      </c>
      <c r="N353" s="570">
        <v>7126</v>
      </c>
      <c r="W353" s="537" t="s">
        <v>6654</v>
      </c>
    </row>
    <row r="354" spans="1:33" s="536" customFormat="1" x14ac:dyDescent="0.2">
      <c r="A354" s="569"/>
      <c r="B354" s="671"/>
      <c r="C354" s="665" t="s">
        <v>1658</v>
      </c>
      <c r="D354" s="666"/>
      <c r="E354" s="666"/>
      <c r="F354" s="563"/>
      <c r="G354" s="563"/>
      <c r="H354" s="563"/>
      <c r="I354" s="563"/>
      <c r="J354" s="566"/>
      <c r="K354" s="563"/>
      <c r="L354" s="566"/>
      <c r="M354" s="565"/>
      <c r="N354" s="564"/>
    </row>
    <row r="355" spans="1:33" s="536" customFormat="1" ht="22.5" x14ac:dyDescent="0.2">
      <c r="A355" s="609"/>
      <c r="B355" s="552" t="s">
        <v>718</v>
      </c>
      <c r="C355" s="1822" t="s">
        <v>719</v>
      </c>
      <c r="D355" s="1822"/>
      <c r="E355" s="1822"/>
      <c r="F355" s="1822"/>
      <c r="G355" s="1822"/>
      <c r="H355" s="1822"/>
      <c r="I355" s="1822"/>
      <c r="J355" s="1822"/>
      <c r="K355" s="1822"/>
      <c r="L355" s="1822"/>
      <c r="M355" s="1822"/>
      <c r="N355" s="1827"/>
      <c r="X355" s="537" t="s">
        <v>719</v>
      </c>
    </row>
    <row r="356" spans="1:33" s="536" customFormat="1" ht="22.5" x14ac:dyDescent="0.2">
      <c r="A356" s="575" t="s">
        <v>505</v>
      </c>
      <c r="B356" s="670" t="s">
        <v>6655</v>
      </c>
      <c r="C356" s="1823" t="s">
        <v>6656</v>
      </c>
      <c r="D356" s="1823"/>
      <c r="E356" s="1823"/>
      <c r="F356" s="573" t="s">
        <v>307</v>
      </c>
      <c r="G356" s="573"/>
      <c r="H356" s="573"/>
      <c r="I356" s="573" t="s">
        <v>695</v>
      </c>
      <c r="J356" s="572">
        <v>690</v>
      </c>
      <c r="K356" s="573"/>
      <c r="L356" s="572">
        <v>13.8</v>
      </c>
      <c r="M356" s="571"/>
      <c r="N356" s="570"/>
      <c r="W356" s="537" t="s">
        <v>6656</v>
      </c>
    </row>
    <row r="357" spans="1:33" s="536" customFormat="1" x14ac:dyDescent="0.2">
      <c r="A357" s="569"/>
      <c r="B357" s="671"/>
      <c r="C357" s="665" t="s">
        <v>1658</v>
      </c>
      <c r="D357" s="666"/>
      <c r="E357" s="666"/>
      <c r="F357" s="563"/>
      <c r="G357" s="563"/>
      <c r="H357" s="563"/>
      <c r="I357" s="563"/>
      <c r="J357" s="566"/>
      <c r="K357" s="563"/>
      <c r="L357" s="566"/>
      <c r="M357" s="565"/>
      <c r="N357" s="564"/>
    </row>
    <row r="358" spans="1:33" s="536" customFormat="1" x14ac:dyDescent="0.2">
      <c r="A358" s="676"/>
      <c r="B358" s="664"/>
      <c r="C358" s="1822" t="s">
        <v>1597</v>
      </c>
      <c r="D358" s="1822"/>
      <c r="E358" s="1822"/>
      <c r="F358" s="1822"/>
      <c r="G358" s="1822"/>
      <c r="H358" s="1822"/>
      <c r="I358" s="1822"/>
      <c r="J358" s="1822"/>
      <c r="K358" s="1822"/>
      <c r="L358" s="1822"/>
      <c r="M358" s="1822"/>
      <c r="N358" s="1827"/>
      <c r="AG358" s="537" t="s">
        <v>1597</v>
      </c>
    </row>
    <row r="359" spans="1:33" s="536" customFormat="1" ht="45" x14ac:dyDescent="0.2">
      <c r="A359" s="575" t="s">
        <v>767</v>
      </c>
      <c r="B359" s="670" t="s">
        <v>6648</v>
      </c>
      <c r="C359" s="1823" t="s">
        <v>6649</v>
      </c>
      <c r="D359" s="1823"/>
      <c r="E359" s="1823"/>
      <c r="F359" s="573" t="s">
        <v>617</v>
      </c>
      <c r="G359" s="573"/>
      <c r="H359" s="573"/>
      <c r="I359" s="573" t="s">
        <v>187</v>
      </c>
      <c r="J359" s="572"/>
      <c r="K359" s="573"/>
      <c r="L359" s="572"/>
      <c r="M359" s="571"/>
      <c r="N359" s="570"/>
      <c r="W359" s="537" t="s">
        <v>6649</v>
      </c>
    </row>
    <row r="360" spans="1:33" s="536" customFormat="1" ht="33.75" x14ac:dyDescent="0.2">
      <c r="A360" s="609"/>
      <c r="B360" s="552" t="s">
        <v>310</v>
      </c>
      <c r="C360" s="1822" t="s">
        <v>311</v>
      </c>
      <c r="D360" s="1822"/>
      <c r="E360" s="1822"/>
      <c r="F360" s="1822"/>
      <c r="G360" s="1822"/>
      <c r="H360" s="1822"/>
      <c r="I360" s="1822"/>
      <c r="J360" s="1822"/>
      <c r="K360" s="1822"/>
      <c r="L360" s="1822"/>
      <c r="M360" s="1822"/>
      <c r="N360" s="1827"/>
      <c r="X360" s="537" t="s">
        <v>311</v>
      </c>
    </row>
    <row r="361" spans="1:33" s="536" customFormat="1" x14ac:dyDescent="0.2">
      <c r="A361" s="605"/>
      <c r="B361" s="552" t="s">
        <v>185</v>
      </c>
      <c r="C361" s="1822" t="s">
        <v>312</v>
      </c>
      <c r="D361" s="1822"/>
      <c r="E361" s="1822"/>
      <c r="F361" s="562"/>
      <c r="G361" s="562"/>
      <c r="H361" s="562"/>
      <c r="I361" s="562"/>
      <c r="J361" s="604">
        <v>18.239999999999998</v>
      </c>
      <c r="K361" s="562" t="s">
        <v>313</v>
      </c>
      <c r="L361" s="604">
        <v>68.400000000000006</v>
      </c>
      <c r="M361" s="603"/>
      <c r="N361" s="602"/>
      <c r="Y361" s="537" t="s">
        <v>312</v>
      </c>
    </row>
    <row r="362" spans="1:33" s="536" customFormat="1" x14ac:dyDescent="0.2">
      <c r="A362" s="605"/>
      <c r="B362" s="552" t="s">
        <v>188</v>
      </c>
      <c r="C362" s="1822" t="s">
        <v>475</v>
      </c>
      <c r="D362" s="1822"/>
      <c r="E362" s="1822"/>
      <c r="F362" s="562"/>
      <c r="G362" s="562"/>
      <c r="H362" s="562"/>
      <c r="I362" s="562"/>
      <c r="J362" s="604">
        <v>4.2</v>
      </c>
      <c r="K362" s="562"/>
      <c r="L362" s="604">
        <v>12.6</v>
      </c>
      <c r="M362" s="603"/>
      <c r="N362" s="602"/>
      <c r="Y362" s="537" t="s">
        <v>475</v>
      </c>
    </row>
    <row r="363" spans="1:33" s="536" customFormat="1" x14ac:dyDescent="0.2">
      <c r="A363" s="605"/>
      <c r="B363" s="552"/>
      <c r="C363" s="1822" t="s">
        <v>314</v>
      </c>
      <c r="D363" s="1822"/>
      <c r="E363" s="1822"/>
      <c r="F363" s="562" t="s">
        <v>315</v>
      </c>
      <c r="G363" s="562" t="s">
        <v>383</v>
      </c>
      <c r="H363" s="562" t="s">
        <v>313</v>
      </c>
      <c r="I363" s="562" t="s">
        <v>6657</v>
      </c>
      <c r="J363" s="604"/>
      <c r="K363" s="562"/>
      <c r="L363" s="604"/>
      <c r="M363" s="603"/>
      <c r="N363" s="602"/>
      <c r="Z363" s="537" t="s">
        <v>314</v>
      </c>
    </row>
    <row r="364" spans="1:33" s="536" customFormat="1" x14ac:dyDescent="0.2">
      <c r="A364" s="605"/>
      <c r="B364" s="552"/>
      <c r="C364" s="1828" t="s">
        <v>318</v>
      </c>
      <c r="D364" s="1828"/>
      <c r="E364" s="1828"/>
      <c r="F364" s="608"/>
      <c r="G364" s="608"/>
      <c r="H364" s="608"/>
      <c r="I364" s="608"/>
      <c r="J364" s="607">
        <v>22.44</v>
      </c>
      <c r="K364" s="608"/>
      <c r="L364" s="607">
        <v>81</v>
      </c>
      <c r="M364" s="601"/>
      <c r="N364" s="606"/>
      <c r="AA364" s="537" t="s">
        <v>318</v>
      </c>
    </row>
    <row r="365" spans="1:33" s="536" customFormat="1" x14ac:dyDescent="0.2">
      <c r="A365" s="605"/>
      <c r="B365" s="552"/>
      <c r="C365" s="1822" t="s">
        <v>319</v>
      </c>
      <c r="D365" s="1822"/>
      <c r="E365" s="1822"/>
      <c r="F365" s="562"/>
      <c r="G365" s="562"/>
      <c r="H365" s="562"/>
      <c r="I365" s="562"/>
      <c r="J365" s="604"/>
      <c r="K365" s="562"/>
      <c r="L365" s="604">
        <v>68.400000000000006</v>
      </c>
      <c r="M365" s="603"/>
      <c r="N365" s="602"/>
      <c r="Z365" s="537" t="s">
        <v>319</v>
      </c>
    </row>
    <row r="366" spans="1:33" s="536" customFormat="1" ht="33.75" x14ac:dyDescent="0.2">
      <c r="A366" s="605"/>
      <c r="B366" s="552" t="s">
        <v>1631</v>
      </c>
      <c r="C366" s="1822" t="s">
        <v>1632</v>
      </c>
      <c r="D366" s="1822"/>
      <c r="E366" s="1822"/>
      <c r="F366" s="562" t="s">
        <v>322</v>
      </c>
      <c r="G366" s="562" t="s">
        <v>1633</v>
      </c>
      <c r="H366" s="562"/>
      <c r="I366" s="562" t="s">
        <v>1633</v>
      </c>
      <c r="J366" s="604"/>
      <c r="K366" s="562"/>
      <c r="L366" s="604">
        <v>66.349999999999994</v>
      </c>
      <c r="M366" s="603"/>
      <c r="N366" s="602"/>
      <c r="Z366" s="537" t="s">
        <v>1632</v>
      </c>
    </row>
    <row r="367" spans="1:33" s="536" customFormat="1" ht="33.75" x14ac:dyDescent="0.2">
      <c r="A367" s="605"/>
      <c r="B367" s="552" t="s">
        <v>1634</v>
      </c>
      <c r="C367" s="1822" t="s">
        <v>1635</v>
      </c>
      <c r="D367" s="1822"/>
      <c r="E367" s="1822"/>
      <c r="F367" s="562" t="s">
        <v>322</v>
      </c>
      <c r="G367" s="562" t="s">
        <v>786</v>
      </c>
      <c r="H367" s="562"/>
      <c r="I367" s="562" t="s">
        <v>786</v>
      </c>
      <c r="J367" s="604"/>
      <c r="K367" s="562"/>
      <c r="L367" s="604">
        <v>34.880000000000003</v>
      </c>
      <c r="M367" s="603"/>
      <c r="N367" s="602"/>
      <c r="Z367" s="537" t="s">
        <v>1635</v>
      </c>
    </row>
    <row r="368" spans="1:33" s="536" customFormat="1" x14ac:dyDescent="0.2">
      <c r="A368" s="569"/>
      <c r="B368" s="671"/>
      <c r="C368" s="1823" t="s">
        <v>327</v>
      </c>
      <c r="D368" s="1823"/>
      <c r="E368" s="1823"/>
      <c r="F368" s="573"/>
      <c r="G368" s="573"/>
      <c r="H368" s="573"/>
      <c r="I368" s="573"/>
      <c r="J368" s="572"/>
      <c r="K368" s="573"/>
      <c r="L368" s="572">
        <v>182.23</v>
      </c>
      <c r="M368" s="601"/>
      <c r="N368" s="570"/>
      <c r="AB368" s="537" t="s">
        <v>327</v>
      </c>
    </row>
    <row r="369" spans="1:28" s="536" customFormat="1" ht="33.75" x14ac:dyDescent="0.2">
      <c r="A369" s="575" t="s">
        <v>768</v>
      </c>
      <c r="B369" s="670" t="s">
        <v>6658</v>
      </c>
      <c r="C369" s="1823" t="s">
        <v>6659</v>
      </c>
      <c r="D369" s="1823"/>
      <c r="E369" s="1823"/>
      <c r="F369" s="573" t="s">
        <v>617</v>
      </c>
      <c r="G369" s="573"/>
      <c r="H369" s="573"/>
      <c r="I369" s="573" t="s">
        <v>187</v>
      </c>
      <c r="J369" s="572">
        <v>16582.7</v>
      </c>
      <c r="K369" s="573" t="s">
        <v>716</v>
      </c>
      <c r="L369" s="572">
        <v>7903.89</v>
      </c>
      <c r="M369" s="571">
        <v>6.42</v>
      </c>
      <c r="N369" s="570">
        <v>50743</v>
      </c>
      <c r="W369" s="537" t="s">
        <v>6659</v>
      </c>
    </row>
    <row r="370" spans="1:28" s="536" customFormat="1" x14ac:dyDescent="0.2">
      <c r="A370" s="569"/>
      <c r="B370" s="671"/>
      <c r="C370" s="665" t="s">
        <v>1658</v>
      </c>
      <c r="D370" s="666"/>
      <c r="E370" s="666"/>
      <c r="F370" s="563"/>
      <c r="G370" s="563"/>
      <c r="H370" s="563"/>
      <c r="I370" s="563"/>
      <c r="J370" s="566"/>
      <c r="K370" s="563"/>
      <c r="L370" s="566"/>
      <c r="M370" s="565"/>
      <c r="N370" s="564"/>
    </row>
    <row r="371" spans="1:28" s="536" customFormat="1" ht="22.5" x14ac:dyDescent="0.2">
      <c r="A371" s="609"/>
      <c r="B371" s="552" t="s">
        <v>718</v>
      </c>
      <c r="C371" s="1822" t="s">
        <v>719</v>
      </c>
      <c r="D371" s="1822"/>
      <c r="E371" s="1822"/>
      <c r="F371" s="1822"/>
      <c r="G371" s="1822"/>
      <c r="H371" s="1822"/>
      <c r="I371" s="1822"/>
      <c r="J371" s="1822"/>
      <c r="K371" s="1822"/>
      <c r="L371" s="1822"/>
      <c r="M371" s="1822"/>
      <c r="N371" s="1827"/>
      <c r="X371" s="537" t="s">
        <v>719</v>
      </c>
    </row>
    <row r="372" spans="1:28" s="536" customFormat="1" ht="33.75" x14ac:dyDescent="0.2">
      <c r="A372" s="575" t="s">
        <v>769</v>
      </c>
      <c r="B372" s="670" t="s">
        <v>1782</v>
      </c>
      <c r="C372" s="1823" t="s">
        <v>1783</v>
      </c>
      <c r="D372" s="1823"/>
      <c r="E372" s="1823"/>
      <c r="F372" s="573" t="s">
        <v>617</v>
      </c>
      <c r="G372" s="573"/>
      <c r="H372" s="573"/>
      <c r="I372" s="573" t="s">
        <v>194</v>
      </c>
      <c r="J372" s="572"/>
      <c r="K372" s="573"/>
      <c r="L372" s="572"/>
      <c r="M372" s="571"/>
      <c r="N372" s="570"/>
      <c r="W372" s="537" t="s">
        <v>1783</v>
      </c>
    </row>
    <row r="373" spans="1:28" s="536" customFormat="1" ht="33.75" x14ac:dyDescent="0.2">
      <c r="A373" s="609"/>
      <c r="B373" s="552" t="s">
        <v>310</v>
      </c>
      <c r="C373" s="1822" t="s">
        <v>311</v>
      </c>
      <c r="D373" s="1822"/>
      <c r="E373" s="1822"/>
      <c r="F373" s="1822"/>
      <c r="G373" s="1822"/>
      <c r="H373" s="1822"/>
      <c r="I373" s="1822"/>
      <c r="J373" s="1822"/>
      <c r="K373" s="1822"/>
      <c r="L373" s="1822"/>
      <c r="M373" s="1822"/>
      <c r="N373" s="1827"/>
      <c r="X373" s="537" t="s">
        <v>311</v>
      </c>
    </row>
    <row r="374" spans="1:28" s="536" customFormat="1" x14ac:dyDescent="0.2">
      <c r="A374" s="605"/>
      <c r="B374" s="552" t="s">
        <v>185</v>
      </c>
      <c r="C374" s="1822" t="s">
        <v>312</v>
      </c>
      <c r="D374" s="1822"/>
      <c r="E374" s="1822"/>
      <c r="F374" s="562"/>
      <c r="G374" s="562"/>
      <c r="H374" s="562"/>
      <c r="I374" s="562"/>
      <c r="J374" s="604">
        <v>3.57</v>
      </c>
      <c r="K374" s="562" t="s">
        <v>313</v>
      </c>
      <c r="L374" s="604">
        <v>44.63</v>
      </c>
      <c r="M374" s="603"/>
      <c r="N374" s="602"/>
      <c r="Y374" s="537" t="s">
        <v>312</v>
      </c>
    </row>
    <row r="375" spans="1:28" s="536" customFormat="1" x14ac:dyDescent="0.2">
      <c r="A375" s="605"/>
      <c r="B375" s="552" t="s">
        <v>188</v>
      </c>
      <c r="C375" s="1822" t="s">
        <v>475</v>
      </c>
      <c r="D375" s="1822"/>
      <c r="E375" s="1822"/>
      <c r="F375" s="562"/>
      <c r="G375" s="562"/>
      <c r="H375" s="562"/>
      <c r="I375" s="562"/>
      <c r="J375" s="604">
        <v>15.07</v>
      </c>
      <c r="K375" s="562"/>
      <c r="L375" s="604">
        <v>0.7</v>
      </c>
      <c r="M375" s="603"/>
      <c r="N375" s="602"/>
      <c r="Y375" s="537" t="s">
        <v>475</v>
      </c>
    </row>
    <row r="376" spans="1:28" s="536" customFormat="1" x14ac:dyDescent="0.2">
      <c r="A376" s="605"/>
      <c r="B376" s="552"/>
      <c r="C376" s="1822" t="s">
        <v>314</v>
      </c>
      <c r="D376" s="1822"/>
      <c r="E376" s="1822"/>
      <c r="F376" s="562" t="s">
        <v>315</v>
      </c>
      <c r="G376" s="562" t="s">
        <v>1785</v>
      </c>
      <c r="H376" s="562" t="s">
        <v>313</v>
      </c>
      <c r="I376" s="562" t="s">
        <v>3100</v>
      </c>
      <c r="J376" s="604"/>
      <c r="K376" s="562"/>
      <c r="L376" s="604"/>
      <c r="M376" s="603"/>
      <c r="N376" s="602"/>
      <c r="Z376" s="537" t="s">
        <v>314</v>
      </c>
    </row>
    <row r="377" spans="1:28" s="536" customFormat="1" x14ac:dyDescent="0.2">
      <c r="A377" s="605"/>
      <c r="B377" s="552"/>
      <c r="C377" s="1828" t="s">
        <v>318</v>
      </c>
      <c r="D377" s="1828"/>
      <c r="E377" s="1828"/>
      <c r="F377" s="608"/>
      <c r="G377" s="608"/>
      <c r="H377" s="608"/>
      <c r="I377" s="608"/>
      <c r="J377" s="607">
        <v>3.64</v>
      </c>
      <c r="K377" s="608"/>
      <c r="L377" s="607">
        <v>45.33</v>
      </c>
      <c r="M377" s="601"/>
      <c r="N377" s="606"/>
      <c r="AA377" s="537" t="s">
        <v>318</v>
      </c>
    </row>
    <row r="378" spans="1:28" s="536" customFormat="1" x14ac:dyDescent="0.2">
      <c r="A378" s="605"/>
      <c r="B378" s="552"/>
      <c r="C378" s="1822" t="s">
        <v>319</v>
      </c>
      <c r="D378" s="1822"/>
      <c r="E378" s="1822"/>
      <c r="F378" s="562"/>
      <c r="G378" s="562"/>
      <c r="H378" s="562"/>
      <c r="I378" s="562"/>
      <c r="J378" s="604"/>
      <c r="K378" s="562"/>
      <c r="L378" s="604">
        <v>44.63</v>
      </c>
      <c r="M378" s="603"/>
      <c r="N378" s="602"/>
      <c r="Z378" s="537" t="s">
        <v>319</v>
      </c>
    </row>
    <row r="379" spans="1:28" s="536" customFormat="1" ht="33.75" x14ac:dyDescent="0.2">
      <c r="A379" s="605"/>
      <c r="B379" s="552" t="s">
        <v>1631</v>
      </c>
      <c r="C379" s="1822" t="s">
        <v>1632</v>
      </c>
      <c r="D379" s="1822"/>
      <c r="E379" s="1822"/>
      <c r="F379" s="562" t="s">
        <v>322</v>
      </c>
      <c r="G379" s="562" t="s">
        <v>1633</v>
      </c>
      <c r="H379" s="562"/>
      <c r="I379" s="562" t="s">
        <v>1633</v>
      </c>
      <c r="J379" s="604"/>
      <c r="K379" s="562"/>
      <c r="L379" s="604">
        <v>43.29</v>
      </c>
      <c r="M379" s="603"/>
      <c r="N379" s="602"/>
      <c r="Z379" s="537" t="s">
        <v>1632</v>
      </c>
    </row>
    <row r="380" spans="1:28" s="536" customFormat="1" ht="33.75" x14ac:dyDescent="0.2">
      <c r="A380" s="605"/>
      <c r="B380" s="552" t="s">
        <v>1634</v>
      </c>
      <c r="C380" s="1822" t="s">
        <v>1635</v>
      </c>
      <c r="D380" s="1822"/>
      <c r="E380" s="1822"/>
      <c r="F380" s="562" t="s">
        <v>322</v>
      </c>
      <c r="G380" s="562" t="s">
        <v>786</v>
      </c>
      <c r="H380" s="562"/>
      <c r="I380" s="562" t="s">
        <v>786</v>
      </c>
      <c r="J380" s="604"/>
      <c r="K380" s="562"/>
      <c r="L380" s="604">
        <v>22.76</v>
      </c>
      <c r="M380" s="603"/>
      <c r="N380" s="602"/>
      <c r="Z380" s="537" t="s">
        <v>1635</v>
      </c>
    </row>
    <row r="381" spans="1:28" s="536" customFormat="1" x14ac:dyDescent="0.2">
      <c r="A381" s="569"/>
      <c r="B381" s="671"/>
      <c r="C381" s="1823" t="s">
        <v>327</v>
      </c>
      <c r="D381" s="1823"/>
      <c r="E381" s="1823"/>
      <c r="F381" s="573"/>
      <c r="G381" s="573"/>
      <c r="H381" s="573"/>
      <c r="I381" s="573"/>
      <c r="J381" s="572"/>
      <c r="K381" s="573"/>
      <c r="L381" s="572">
        <v>111.38</v>
      </c>
      <c r="M381" s="601"/>
      <c r="N381" s="570"/>
      <c r="AB381" s="537" t="s">
        <v>327</v>
      </c>
    </row>
    <row r="382" spans="1:28" s="536" customFormat="1" x14ac:dyDescent="0.2">
      <c r="A382" s="575" t="s">
        <v>770</v>
      </c>
      <c r="B382" s="670" t="s">
        <v>5604</v>
      </c>
      <c r="C382" s="1823" t="s">
        <v>5605</v>
      </c>
      <c r="D382" s="1823"/>
      <c r="E382" s="1823"/>
      <c r="F382" s="573" t="s">
        <v>699</v>
      </c>
      <c r="G382" s="573"/>
      <c r="H382" s="573"/>
      <c r="I382" s="573" t="s">
        <v>6622</v>
      </c>
      <c r="J382" s="572">
        <v>44.76</v>
      </c>
      <c r="K382" s="573"/>
      <c r="L382" s="572">
        <v>74.3</v>
      </c>
      <c r="M382" s="571"/>
      <c r="N382" s="570"/>
      <c r="W382" s="537" t="s">
        <v>5605</v>
      </c>
    </row>
    <row r="383" spans="1:28" s="536" customFormat="1" x14ac:dyDescent="0.2">
      <c r="A383" s="569"/>
      <c r="B383" s="671"/>
      <c r="C383" s="665" t="s">
        <v>1658</v>
      </c>
      <c r="D383" s="666"/>
      <c r="E383" s="666"/>
      <c r="F383" s="563"/>
      <c r="G383" s="563"/>
      <c r="H383" s="563"/>
      <c r="I383" s="563"/>
      <c r="J383" s="566"/>
      <c r="K383" s="563"/>
      <c r="L383" s="566"/>
      <c r="M383" s="565"/>
      <c r="N383" s="564"/>
    </row>
    <row r="384" spans="1:28" s="536" customFormat="1" ht="1.5" customHeight="1" x14ac:dyDescent="0.2">
      <c r="A384" s="563"/>
      <c r="B384" s="671"/>
      <c r="C384" s="671"/>
      <c r="D384" s="671"/>
      <c r="E384" s="671"/>
      <c r="F384" s="563"/>
      <c r="G384" s="563"/>
      <c r="H384" s="563"/>
      <c r="I384" s="563"/>
      <c r="J384" s="546"/>
      <c r="K384" s="563"/>
      <c r="L384" s="546"/>
      <c r="M384" s="562"/>
      <c r="N384" s="546"/>
    </row>
    <row r="385" spans="1:30" s="536" customFormat="1" x14ac:dyDescent="0.2">
      <c r="A385" s="557"/>
      <c r="B385" s="556"/>
      <c r="C385" s="1823" t="s">
        <v>6660</v>
      </c>
      <c r="D385" s="1823"/>
      <c r="E385" s="1823"/>
      <c r="F385" s="1823"/>
      <c r="G385" s="1823"/>
      <c r="H385" s="1823"/>
      <c r="I385" s="1823"/>
      <c r="J385" s="1823"/>
      <c r="K385" s="1823"/>
      <c r="L385" s="555"/>
      <c r="M385" s="554"/>
      <c r="N385" s="553"/>
      <c r="AC385" s="537" t="s">
        <v>6660</v>
      </c>
    </row>
    <row r="386" spans="1:30" s="536" customFormat="1" x14ac:dyDescent="0.2">
      <c r="A386" s="548"/>
      <c r="B386" s="552"/>
      <c r="C386" s="1822" t="s">
        <v>403</v>
      </c>
      <c r="D386" s="1822"/>
      <c r="E386" s="1822"/>
      <c r="F386" s="1822"/>
      <c r="G386" s="1822"/>
      <c r="H386" s="1822"/>
      <c r="I386" s="1822"/>
      <c r="J386" s="1822"/>
      <c r="K386" s="1822"/>
      <c r="L386" s="551">
        <v>162789.64000000001</v>
      </c>
      <c r="M386" s="550"/>
      <c r="N386" s="549"/>
      <c r="AD386" s="537" t="s">
        <v>403</v>
      </c>
    </row>
    <row r="387" spans="1:30" s="536" customFormat="1" x14ac:dyDescent="0.2">
      <c r="A387" s="548"/>
      <c r="B387" s="552"/>
      <c r="C387" s="1822" t="s">
        <v>204</v>
      </c>
      <c r="D387" s="1822"/>
      <c r="E387" s="1822"/>
      <c r="F387" s="1822"/>
      <c r="G387" s="1822"/>
      <c r="H387" s="1822"/>
      <c r="I387" s="1822"/>
      <c r="J387" s="1822"/>
      <c r="K387" s="1822"/>
      <c r="L387" s="551"/>
      <c r="M387" s="550"/>
      <c r="N387" s="549"/>
      <c r="AD387" s="537" t="s">
        <v>204</v>
      </c>
    </row>
    <row r="388" spans="1:30" s="536" customFormat="1" x14ac:dyDescent="0.2">
      <c r="A388" s="548"/>
      <c r="B388" s="552"/>
      <c r="C388" s="1822" t="s">
        <v>404</v>
      </c>
      <c r="D388" s="1822"/>
      <c r="E388" s="1822"/>
      <c r="F388" s="1822"/>
      <c r="G388" s="1822"/>
      <c r="H388" s="1822"/>
      <c r="I388" s="1822"/>
      <c r="J388" s="1822"/>
      <c r="K388" s="1822"/>
      <c r="L388" s="551">
        <v>1850.93</v>
      </c>
      <c r="M388" s="550"/>
      <c r="N388" s="549"/>
      <c r="AD388" s="537" t="s">
        <v>404</v>
      </c>
    </row>
    <row r="389" spans="1:30" s="536" customFormat="1" x14ac:dyDescent="0.2">
      <c r="A389" s="548"/>
      <c r="B389" s="552"/>
      <c r="C389" s="1822" t="s">
        <v>405</v>
      </c>
      <c r="D389" s="1822"/>
      <c r="E389" s="1822"/>
      <c r="F389" s="1822"/>
      <c r="G389" s="1822"/>
      <c r="H389" s="1822"/>
      <c r="I389" s="1822"/>
      <c r="J389" s="1822"/>
      <c r="K389" s="1822"/>
      <c r="L389" s="551">
        <v>77955.95</v>
      </c>
      <c r="M389" s="550"/>
      <c r="N389" s="549"/>
      <c r="AD389" s="537" t="s">
        <v>405</v>
      </c>
    </row>
    <row r="390" spans="1:30" s="536" customFormat="1" x14ac:dyDescent="0.2">
      <c r="A390" s="548"/>
      <c r="B390" s="552"/>
      <c r="C390" s="1822" t="s">
        <v>406</v>
      </c>
      <c r="D390" s="1822"/>
      <c r="E390" s="1822"/>
      <c r="F390" s="1822"/>
      <c r="G390" s="1822"/>
      <c r="H390" s="1822"/>
      <c r="I390" s="1822"/>
      <c r="J390" s="1822"/>
      <c r="K390" s="1822"/>
      <c r="L390" s="551">
        <v>2051.77</v>
      </c>
      <c r="M390" s="550"/>
      <c r="N390" s="549"/>
      <c r="AD390" s="537" t="s">
        <v>406</v>
      </c>
    </row>
    <row r="391" spans="1:30" s="536" customFormat="1" x14ac:dyDescent="0.2">
      <c r="A391" s="548"/>
      <c r="B391" s="552"/>
      <c r="C391" s="1822" t="s">
        <v>480</v>
      </c>
      <c r="D391" s="1822"/>
      <c r="E391" s="1822"/>
      <c r="F391" s="1822"/>
      <c r="G391" s="1822"/>
      <c r="H391" s="1822"/>
      <c r="I391" s="1822"/>
      <c r="J391" s="1822"/>
      <c r="K391" s="1822"/>
      <c r="L391" s="551">
        <v>82982.759999999995</v>
      </c>
      <c r="M391" s="550"/>
      <c r="N391" s="549"/>
      <c r="AD391" s="537" t="s">
        <v>480</v>
      </c>
    </row>
    <row r="392" spans="1:30" s="536" customFormat="1" x14ac:dyDescent="0.2">
      <c r="A392" s="548"/>
      <c r="B392" s="552" t="s">
        <v>185</v>
      </c>
      <c r="C392" s="1822" t="s">
        <v>407</v>
      </c>
      <c r="D392" s="1822"/>
      <c r="E392" s="1822"/>
      <c r="F392" s="1822"/>
      <c r="G392" s="1822"/>
      <c r="H392" s="1822"/>
      <c r="I392" s="1822"/>
      <c r="J392" s="1822"/>
      <c r="K392" s="1822"/>
      <c r="L392" s="551">
        <v>109621.47</v>
      </c>
      <c r="M392" s="550"/>
      <c r="N392" s="549"/>
      <c r="AD392" s="537" t="s">
        <v>407</v>
      </c>
    </row>
    <row r="393" spans="1:30" s="536" customFormat="1" x14ac:dyDescent="0.2">
      <c r="A393" s="548"/>
      <c r="B393" s="552"/>
      <c r="C393" s="1822" t="s">
        <v>204</v>
      </c>
      <c r="D393" s="1822"/>
      <c r="E393" s="1822"/>
      <c r="F393" s="1822"/>
      <c r="G393" s="1822"/>
      <c r="H393" s="1822"/>
      <c r="I393" s="1822"/>
      <c r="J393" s="1822"/>
      <c r="K393" s="1822"/>
      <c r="L393" s="551"/>
      <c r="M393" s="550"/>
      <c r="N393" s="549"/>
      <c r="AD393" s="537" t="s">
        <v>204</v>
      </c>
    </row>
    <row r="394" spans="1:30" s="536" customFormat="1" x14ac:dyDescent="0.2">
      <c r="A394" s="548"/>
      <c r="B394" s="552"/>
      <c r="C394" s="1822" t="s">
        <v>546</v>
      </c>
      <c r="D394" s="1822"/>
      <c r="E394" s="1822"/>
      <c r="F394" s="1822"/>
      <c r="G394" s="1822"/>
      <c r="H394" s="1822"/>
      <c r="I394" s="1822"/>
      <c r="J394" s="1822"/>
      <c r="K394" s="1822"/>
      <c r="L394" s="551">
        <v>1329.38</v>
      </c>
      <c r="M394" s="550"/>
      <c r="N394" s="549"/>
      <c r="AD394" s="537" t="s">
        <v>546</v>
      </c>
    </row>
    <row r="395" spans="1:30" s="536" customFormat="1" x14ac:dyDescent="0.2">
      <c r="A395" s="548"/>
      <c r="B395" s="552"/>
      <c r="C395" s="1822" t="s">
        <v>442</v>
      </c>
      <c r="D395" s="1822"/>
      <c r="E395" s="1822"/>
      <c r="F395" s="1822"/>
      <c r="G395" s="1822"/>
      <c r="H395" s="1822"/>
      <c r="I395" s="1822"/>
      <c r="J395" s="1822"/>
      <c r="K395" s="1822"/>
      <c r="L395" s="551">
        <v>77846.89</v>
      </c>
      <c r="M395" s="550"/>
      <c r="N395" s="549"/>
      <c r="AD395" s="537" t="s">
        <v>442</v>
      </c>
    </row>
    <row r="396" spans="1:30" s="536" customFormat="1" x14ac:dyDescent="0.2">
      <c r="A396" s="548"/>
      <c r="B396" s="552"/>
      <c r="C396" s="1822" t="s">
        <v>547</v>
      </c>
      <c r="D396" s="1822"/>
      <c r="E396" s="1822"/>
      <c r="F396" s="1822"/>
      <c r="G396" s="1822"/>
      <c r="H396" s="1822"/>
      <c r="I396" s="1822"/>
      <c r="J396" s="1822"/>
      <c r="K396" s="1822"/>
      <c r="L396" s="551">
        <v>25351.37</v>
      </c>
      <c r="M396" s="550"/>
      <c r="N396" s="549"/>
      <c r="AD396" s="537" t="s">
        <v>547</v>
      </c>
    </row>
    <row r="397" spans="1:30" s="536" customFormat="1" x14ac:dyDescent="0.2">
      <c r="A397" s="548"/>
      <c r="B397" s="552"/>
      <c r="C397" s="1822" t="s">
        <v>443</v>
      </c>
      <c r="D397" s="1822"/>
      <c r="E397" s="1822"/>
      <c r="F397" s="1822"/>
      <c r="G397" s="1822"/>
      <c r="H397" s="1822"/>
      <c r="I397" s="1822"/>
      <c r="J397" s="1822"/>
      <c r="K397" s="1822"/>
      <c r="L397" s="551">
        <v>3575.8</v>
      </c>
      <c r="M397" s="550"/>
      <c r="N397" s="549"/>
      <c r="AD397" s="537" t="s">
        <v>443</v>
      </c>
    </row>
    <row r="398" spans="1:30" s="536" customFormat="1" x14ac:dyDescent="0.2">
      <c r="A398" s="548"/>
      <c r="B398" s="552"/>
      <c r="C398" s="1822" t="s">
        <v>444</v>
      </c>
      <c r="D398" s="1822"/>
      <c r="E398" s="1822"/>
      <c r="F398" s="1822"/>
      <c r="G398" s="1822"/>
      <c r="H398" s="1822"/>
      <c r="I398" s="1822"/>
      <c r="J398" s="1822"/>
      <c r="K398" s="1822"/>
      <c r="L398" s="551">
        <v>1518.03</v>
      </c>
      <c r="M398" s="550"/>
      <c r="N398" s="549"/>
      <c r="AD398" s="537" t="s">
        <v>444</v>
      </c>
    </row>
    <row r="399" spans="1:30" s="536" customFormat="1" x14ac:dyDescent="0.2">
      <c r="A399" s="548"/>
      <c r="B399" s="552" t="s">
        <v>185</v>
      </c>
      <c r="C399" s="1822" t="s">
        <v>753</v>
      </c>
      <c r="D399" s="1822"/>
      <c r="E399" s="1822"/>
      <c r="F399" s="1822"/>
      <c r="G399" s="1822"/>
      <c r="H399" s="1822"/>
      <c r="I399" s="1822"/>
      <c r="J399" s="1822"/>
      <c r="K399" s="1822"/>
      <c r="L399" s="551">
        <v>59045.36</v>
      </c>
      <c r="M399" s="550"/>
      <c r="N399" s="549"/>
      <c r="AD399" s="537" t="s">
        <v>753</v>
      </c>
    </row>
    <row r="400" spans="1:30" s="536" customFormat="1" x14ac:dyDescent="0.2">
      <c r="A400" s="548"/>
      <c r="B400" s="552"/>
      <c r="C400" s="1822" t="s">
        <v>204</v>
      </c>
      <c r="D400" s="1822"/>
      <c r="E400" s="1822"/>
      <c r="F400" s="1822"/>
      <c r="G400" s="1822"/>
      <c r="H400" s="1822"/>
      <c r="I400" s="1822"/>
      <c r="J400" s="1822"/>
      <c r="K400" s="1822"/>
      <c r="L400" s="551"/>
      <c r="M400" s="550"/>
      <c r="N400" s="549"/>
      <c r="AD400" s="537" t="s">
        <v>204</v>
      </c>
    </row>
    <row r="401" spans="1:33" s="536" customFormat="1" x14ac:dyDescent="0.2">
      <c r="A401" s="548"/>
      <c r="B401" s="552"/>
      <c r="C401" s="1822" t="s">
        <v>546</v>
      </c>
      <c r="D401" s="1822"/>
      <c r="E401" s="1822"/>
      <c r="F401" s="1822"/>
      <c r="G401" s="1822"/>
      <c r="H401" s="1822"/>
      <c r="I401" s="1822"/>
      <c r="J401" s="1822"/>
      <c r="K401" s="1822"/>
      <c r="L401" s="551">
        <v>521.54999999999995</v>
      </c>
      <c r="M401" s="550"/>
      <c r="N401" s="549"/>
      <c r="AD401" s="537" t="s">
        <v>546</v>
      </c>
    </row>
    <row r="402" spans="1:33" s="536" customFormat="1" x14ac:dyDescent="0.2">
      <c r="A402" s="548"/>
      <c r="B402" s="552"/>
      <c r="C402" s="1822" t="s">
        <v>442</v>
      </c>
      <c r="D402" s="1822"/>
      <c r="E402" s="1822"/>
      <c r="F402" s="1822"/>
      <c r="G402" s="1822"/>
      <c r="H402" s="1822"/>
      <c r="I402" s="1822"/>
      <c r="J402" s="1822"/>
      <c r="K402" s="1822"/>
      <c r="L402" s="551">
        <v>109.06</v>
      </c>
      <c r="M402" s="550"/>
      <c r="N402" s="549"/>
      <c r="AD402" s="537" t="s">
        <v>442</v>
      </c>
    </row>
    <row r="403" spans="1:33" s="536" customFormat="1" x14ac:dyDescent="0.2">
      <c r="A403" s="548"/>
      <c r="B403" s="552"/>
      <c r="C403" s="1822" t="s">
        <v>547</v>
      </c>
      <c r="D403" s="1822"/>
      <c r="E403" s="1822"/>
      <c r="F403" s="1822"/>
      <c r="G403" s="1822"/>
      <c r="H403" s="1822"/>
      <c r="I403" s="1822"/>
      <c r="J403" s="1822"/>
      <c r="K403" s="1822"/>
      <c r="L403" s="551">
        <v>57631.39</v>
      </c>
      <c r="M403" s="550"/>
      <c r="N403" s="549"/>
      <c r="AD403" s="537" t="s">
        <v>547</v>
      </c>
    </row>
    <row r="404" spans="1:33" s="536" customFormat="1" x14ac:dyDescent="0.2">
      <c r="A404" s="548"/>
      <c r="B404" s="552"/>
      <c r="C404" s="1822" t="s">
        <v>443</v>
      </c>
      <c r="D404" s="1822"/>
      <c r="E404" s="1822"/>
      <c r="F404" s="1822"/>
      <c r="G404" s="1822"/>
      <c r="H404" s="1822"/>
      <c r="I404" s="1822"/>
      <c r="J404" s="1822"/>
      <c r="K404" s="1822"/>
      <c r="L404" s="551">
        <v>513.41999999999996</v>
      </c>
      <c r="M404" s="550"/>
      <c r="N404" s="549"/>
      <c r="AD404" s="537" t="s">
        <v>443</v>
      </c>
    </row>
    <row r="405" spans="1:33" s="536" customFormat="1" x14ac:dyDescent="0.2">
      <c r="A405" s="548"/>
      <c r="B405" s="552"/>
      <c r="C405" s="1822" t="s">
        <v>444</v>
      </c>
      <c r="D405" s="1822"/>
      <c r="E405" s="1822"/>
      <c r="F405" s="1822"/>
      <c r="G405" s="1822"/>
      <c r="H405" s="1822"/>
      <c r="I405" s="1822"/>
      <c r="J405" s="1822"/>
      <c r="K405" s="1822"/>
      <c r="L405" s="551">
        <v>269.94</v>
      </c>
      <c r="M405" s="550"/>
      <c r="N405" s="549"/>
      <c r="AD405" s="537" t="s">
        <v>444</v>
      </c>
    </row>
    <row r="406" spans="1:33" s="536" customFormat="1" x14ac:dyDescent="0.2">
      <c r="A406" s="548"/>
      <c r="B406" s="552"/>
      <c r="C406" s="1822" t="s">
        <v>415</v>
      </c>
      <c r="D406" s="1822"/>
      <c r="E406" s="1822"/>
      <c r="F406" s="1822"/>
      <c r="G406" s="1822"/>
      <c r="H406" s="1822"/>
      <c r="I406" s="1822"/>
      <c r="J406" s="1822"/>
      <c r="K406" s="1822"/>
      <c r="L406" s="551">
        <v>3902.7</v>
      </c>
      <c r="M406" s="550"/>
      <c r="N406" s="549"/>
      <c r="AD406" s="537" t="s">
        <v>415</v>
      </c>
    </row>
    <row r="407" spans="1:33" s="536" customFormat="1" x14ac:dyDescent="0.2">
      <c r="A407" s="548"/>
      <c r="B407" s="552"/>
      <c r="C407" s="1822" t="s">
        <v>416</v>
      </c>
      <c r="D407" s="1822"/>
      <c r="E407" s="1822"/>
      <c r="F407" s="1822"/>
      <c r="G407" s="1822"/>
      <c r="H407" s="1822"/>
      <c r="I407" s="1822"/>
      <c r="J407" s="1822"/>
      <c r="K407" s="1822"/>
      <c r="L407" s="551">
        <v>4089.22</v>
      </c>
      <c r="M407" s="550"/>
      <c r="N407" s="549"/>
      <c r="AD407" s="537" t="s">
        <v>416</v>
      </c>
    </row>
    <row r="408" spans="1:33" s="536" customFormat="1" x14ac:dyDescent="0.2">
      <c r="A408" s="548"/>
      <c r="B408" s="552"/>
      <c r="C408" s="1822" t="s">
        <v>417</v>
      </c>
      <c r="D408" s="1822"/>
      <c r="E408" s="1822"/>
      <c r="F408" s="1822"/>
      <c r="G408" s="1822"/>
      <c r="H408" s="1822"/>
      <c r="I408" s="1822"/>
      <c r="J408" s="1822"/>
      <c r="K408" s="1822"/>
      <c r="L408" s="551">
        <v>1787.97</v>
      </c>
      <c r="M408" s="550"/>
      <c r="N408" s="549"/>
      <c r="AD408" s="537" t="s">
        <v>417</v>
      </c>
    </row>
    <row r="409" spans="1:33" s="536" customFormat="1" x14ac:dyDescent="0.2">
      <c r="A409" s="548"/>
      <c r="B409" s="546"/>
      <c r="C409" s="1819" t="s">
        <v>6661</v>
      </c>
      <c r="D409" s="1819"/>
      <c r="E409" s="1819"/>
      <c r="F409" s="1819"/>
      <c r="G409" s="1819"/>
      <c r="H409" s="1819"/>
      <c r="I409" s="1819"/>
      <c r="J409" s="1819"/>
      <c r="K409" s="1819"/>
      <c r="L409" s="544">
        <v>168666.83</v>
      </c>
      <c r="M409" s="543"/>
      <c r="N409" s="681"/>
      <c r="AE409" s="537" t="s">
        <v>6661</v>
      </c>
    </row>
    <row r="410" spans="1:33" s="536" customFormat="1" x14ac:dyDescent="0.2">
      <c r="A410" s="548"/>
      <c r="B410" s="552"/>
      <c r="C410" s="1822" t="s">
        <v>204</v>
      </c>
      <c r="D410" s="1822"/>
      <c r="E410" s="1822"/>
      <c r="F410" s="1822"/>
      <c r="G410" s="1822"/>
      <c r="H410" s="1822"/>
      <c r="I410" s="1822"/>
      <c r="J410" s="1822"/>
      <c r="K410" s="1822"/>
      <c r="L410" s="551"/>
      <c r="M410" s="550"/>
      <c r="N410" s="549"/>
      <c r="AD410" s="537" t="s">
        <v>204</v>
      </c>
    </row>
    <row r="411" spans="1:33" s="536" customFormat="1" x14ac:dyDescent="0.2">
      <c r="A411" s="548"/>
      <c r="B411" s="552"/>
      <c r="C411" s="1822" t="s">
        <v>8095</v>
      </c>
      <c r="D411" s="1822"/>
      <c r="E411" s="1822"/>
      <c r="F411" s="1822"/>
      <c r="G411" s="1822"/>
      <c r="H411" s="1822"/>
      <c r="I411" s="1822"/>
      <c r="J411" s="1822"/>
      <c r="K411" s="1822"/>
      <c r="L411" s="551">
        <v>68704.679999999993</v>
      </c>
      <c r="M411" s="550"/>
      <c r="N411" s="549"/>
      <c r="AD411" s="537" t="s">
        <v>8095</v>
      </c>
    </row>
    <row r="412" spans="1:33" s="536" customFormat="1" ht="12" x14ac:dyDescent="0.2">
      <c r="A412" s="1824" t="s">
        <v>6662</v>
      </c>
      <c r="B412" s="1825"/>
      <c r="C412" s="1825"/>
      <c r="D412" s="1825"/>
      <c r="E412" s="1825"/>
      <c r="F412" s="1825"/>
      <c r="G412" s="1825"/>
      <c r="H412" s="1825"/>
      <c r="I412" s="1825"/>
      <c r="J412" s="1825"/>
      <c r="K412" s="1825"/>
      <c r="L412" s="1825"/>
      <c r="M412" s="1825"/>
      <c r="N412" s="1826"/>
      <c r="V412" s="537" t="s">
        <v>6662</v>
      </c>
    </row>
    <row r="413" spans="1:33" s="536" customFormat="1" ht="33.75" x14ac:dyDescent="0.2">
      <c r="A413" s="575" t="s">
        <v>771</v>
      </c>
      <c r="B413" s="670" t="s">
        <v>1514</v>
      </c>
      <c r="C413" s="1823" t="s">
        <v>1515</v>
      </c>
      <c r="D413" s="1823"/>
      <c r="E413" s="1823"/>
      <c r="F413" s="573" t="s">
        <v>509</v>
      </c>
      <c r="G413" s="573"/>
      <c r="H413" s="573"/>
      <c r="I413" s="573" t="s">
        <v>4052</v>
      </c>
      <c r="J413" s="572"/>
      <c r="K413" s="573"/>
      <c r="L413" s="572"/>
      <c r="M413" s="571"/>
      <c r="N413" s="570"/>
      <c r="W413" s="537" t="s">
        <v>1515</v>
      </c>
    </row>
    <row r="414" spans="1:33" s="536" customFormat="1" x14ac:dyDescent="0.2">
      <c r="A414" s="676"/>
      <c r="B414" s="664"/>
      <c r="C414" s="1822" t="s">
        <v>4053</v>
      </c>
      <c r="D414" s="1822"/>
      <c r="E414" s="1822"/>
      <c r="F414" s="1822"/>
      <c r="G414" s="1822"/>
      <c r="H414" s="1822"/>
      <c r="I414" s="1822"/>
      <c r="J414" s="1822"/>
      <c r="K414" s="1822"/>
      <c r="L414" s="1822"/>
      <c r="M414" s="1822"/>
      <c r="N414" s="1827"/>
      <c r="AG414" s="537" t="s">
        <v>4053</v>
      </c>
    </row>
    <row r="415" spans="1:33" s="536" customFormat="1" ht="33.75" x14ac:dyDescent="0.2">
      <c r="A415" s="609"/>
      <c r="B415" s="552" t="s">
        <v>310</v>
      </c>
      <c r="C415" s="1822" t="s">
        <v>311</v>
      </c>
      <c r="D415" s="1822"/>
      <c r="E415" s="1822"/>
      <c r="F415" s="1822"/>
      <c r="G415" s="1822"/>
      <c r="H415" s="1822"/>
      <c r="I415" s="1822"/>
      <c r="J415" s="1822"/>
      <c r="K415" s="1822"/>
      <c r="L415" s="1822"/>
      <c r="M415" s="1822"/>
      <c r="N415" s="1827"/>
      <c r="X415" s="537" t="s">
        <v>311</v>
      </c>
    </row>
    <row r="416" spans="1:33" s="536" customFormat="1" x14ac:dyDescent="0.2">
      <c r="A416" s="605"/>
      <c r="B416" s="552" t="s">
        <v>185</v>
      </c>
      <c r="C416" s="1822" t="s">
        <v>312</v>
      </c>
      <c r="D416" s="1822"/>
      <c r="E416" s="1822"/>
      <c r="F416" s="562"/>
      <c r="G416" s="562"/>
      <c r="H416" s="562"/>
      <c r="I416" s="562"/>
      <c r="J416" s="604">
        <v>3036.68</v>
      </c>
      <c r="K416" s="562" t="s">
        <v>313</v>
      </c>
      <c r="L416" s="604">
        <v>478.28</v>
      </c>
      <c r="M416" s="603"/>
      <c r="N416" s="602"/>
      <c r="Y416" s="537" t="s">
        <v>312</v>
      </c>
    </row>
    <row r="417" spans="1:33" s="536" customFormat="1" x14ac:dyDescent="0.2">
      <c r="A417" s="605"/>
      <c r="B417" s="552"/>
      <c r="C417" s="1822" t="s">
        <v>314</v>
      </c>
      <c r="D417" s="1822"/>
      <c r="E417" s="1822"/>
      <c r="F417" s="562" t="s">
        <v>315</v>
      </c>
      <c r="G417" s="562" t="s">
        <v>1521</v>
      </c>
      <c r="H417" s="562" t="s">
        <v>313</v>
      </c>
      <c r="I417" s="562" t="s">
        <v>4054</v>
      </c>
      <c r="J417" s="604"/>
      <c r="K417" s="562"/>
      <c r="L417" s="604"/>
      <c r="M417" s="603"/>
      <c r="N417" s="602"/>
      <c r="Z417" s="537" t="s">
        <v>314</v>
      </c>
    </row>
    <row r="418" spans="1:33" s="536" customFormat="1" x14ac:dyDescent="0.2">
      <c r="A418" s="605"/>
      <c r="B418" s="552"/>
      <c r="C418" s="1828" t="s">
        <v>318</v>
      </c>
      <c r="D418" s="1828"/>
      <c r="E418" s="1828"/>
      <c r="F418" s="608"/>
      <c r="G418" s="608"/>
      <c r="H418" s="608"/>
      <c r="I418" s="608"/>
      <c r="J418" s="607">
        <v>3036.68</v>
      </c>
      <c r="K418" s="608"/>
      <c r="L418" s="607">
        <v>478.28</v>
      </c>
      <c r="M418" s="601"/>
      <c r="N418" s="606"/>
      <c r="AA418" s="537" t="s">
        <v>318</v>
      </c>
    </row>
    <row r="419" spans="1:33" s="536" customFormat="1" x14ac:dyDescent="0.2">
      <c r="A419" s="605"/>
      <c r="B419" s="552"/>
      <c r="C419" s="1822" t="s">
        <v>319</v>
      </c>
      <c r="D419" s="1822"/>
      <c r="E419" s="1822"/>
      <c r="F419" s="562"/>
      <c r="G419" s="562"/>
      <c r="H419" s="562"/>
      <c r="I419" s="562"/>
      <c r="J419" s="604"/>
      <c r="K419" s="562"/>
      <c r="L419" s="604">
        <v>478.28</v>
      </c>
      <c r="M419" s="603"/>
      <c r="N419" s="602"/>
      <c r="Z419" s="537" t="s">
        <v>319</v>
      </c>
    </row>
    <row r="420" spans="1:33" s="536" customFormat="1" ht="33.75" x14ac:dyDescent="0.2">
      <c r="A420" s="605"/>
      <c r="B420" s="552" t="s">
        <v>673</v>
      </c>
      <c r="C420" s="1822" t="s">
        <v>674</v>
      </c>
      <c r="D420" s="1822"/>
      <c r="E420" s="1822"/>
      <c r="F420" s="562" t="s">
        <v>322</v>
      </c>
      <c r="G420" s="562" t="s">
        <v>323</v>
      </c>
      <c r="H420" s="562"/>
      <c r="I420" s="562" t="s">
        <v>323</v>
      </c>
      <c r="J420" s="604"/>
      <c r="K420" s="562"/>
      <c r="L420" s="604">
        <v>425.67</v>
      </c>
      <c r="M420" s="603"/>
      <c r="N420" s="602"/>
      <c r="Z420" s="537" t="s">
        <v>674</v>
      </c>
    </row>
    <row r="421" spans="1:33" s="536" customFormat="1" ht="33.75" x14ac:dyDescent="0.2">
      <c r="A421" s="605"/>
      <c r="B421" s="552" t="s">
        <v>675</v>
      </c>
      <c r="C421" s="1822" t="s">
        <v>676</v>
      </c>
      <c r="D421" s="1822"/>
      <c r="E421" s="1822"/>
      <c r="F421" s="562" t="s">
        <v>322</v>
      </c>
      <c r="G421" s="562" t="s">
        <v>677</v>
      </c>
      <c r="H421" s="562"/>
      <c r="I421" s="562" t="s">
        <v>677</v>
      </c>
      <c r="J421" s="604"/>
      <c r="K421" s="562"/>
      <c r="L421" s="604">
        <v>191.31</v>
      </c>
      <c r="M421" s="603"/>
      <c r="N421" s="602"/>
      <c r="Z421" s="537" t="s">
        <v>676</v>
      </c>
    </row>
    <row r="422" spans="1:33" s="536" customFormat="1" x14ac:dyDescent="0.2">
      <c r="A422" s="569"/>
      <c r="B422" s="671"/>
      <c r="C422" s="1823" t="s">
        <v>327</v>
      </c>
      <c r="D422" s="1823"/>
      <c r="E422" s="1823"/>
      <c r="F422" s="573"/>
      <c r="G422" s="573"/>
      <c r="H422" s="573"/>
      <c r="I422" s="573"/>
      <c r="J422" s="572"/>
      <c r="K422" s="573"/>
      <c r="L422" s="572">
        <v>1095.26</v>
      </c>
      <c r="M422" s="601"/>
      <c r="N422" s="570"/>
      <c r="AB422" s="537" t="s">
        <v>327</v>
      </c>
    </row>
    <row r="423" spans="1:33" s="536" customFormat="1" ht="22.5" x14ac:dyDescent="0.2">
      <c r="A423" s="575" t="s">
        <v>772</v>
      </c>
      <c r="B423" s="670" t="s">
        <v>2422</v>
      </c>
      <c r="C423" s="1823" t="s">
        <v>2423</v>
      </c>
      <c r="D423" s="1823"/>
      <c r="E423" s="1823"/>
      <c r="F423" s="573" t="s">
        <v>509</v>
      </c>
      <c r="G423" s="573"/>
      <c r="H423" s="573"/>
      <c r="I423" s="573" t="s">
        <v>4052</v>
      </c>
      <c r="J423" s="572"/>
      <c r="K423" s="573"/>
      <c r="L423" s="572"/>
      <c r="M423" s="571"/>
      <c r="N423" s="570"/>
      <c r="W423" s="537" t="s">
        <v>2423</v>
      </c>
    </row>
    <row r="424" spans="1:33" s="536" customFormat="1" x14ac:dyDescent="0.2">
      <c r="A424" s="676"/>
      <c r="B424" s="664"/>
      <c r="C424" s="1822" t="s">
        <v>4056</v>
      </c>
      <c r="D424" s="1822"/>
      <c r="E424" s="1822"/>
      <c r="F424" s="1822"/>
      <c r="G424" s="1822"/>
      <c r="H424" s="1822"/>
      <c r="I424" s="1822"/>
      <c r="J424" s="1822"/>
      <c r="K424" s="1822"/>
      <c r="L424" s="1822"/>
      <c r="M424" s="1822"/>
      <c r="N424" s="1827"/>
      <c r="AG424" s="537" t="s">
        <v>4056</v>
      </c>
    </row>
    <row r="425" spans="1:33" s="536" customFormat="1" ht="33.75" x14ac:dyDescent="0.2">
      <c r="A425" s="609"/>
      <c r="B425" s="552" t="s">
        <v>310</v>
      </c>
      <c r="C425" s="1822" t="s">
        <v>311</v>
      </c>
      <c r="D425" s="1822"/>
      <c r="E425" s="1822"/>
      <c r="F425" s="1822"/>
      <c r="G425" s="1822"/>
      <c r="H425" s="1822"/>
      <c r="I425" s="1822"/>
      <c r="J425" s="1822"/>
      <c r="K425" s="1822"/>
      <c r="L425" s="1822"/>
      <c r="M425" s="1822"/>
      <c r="N425" s="1827"/>
      <c r="X425" s="537" t="s">
        <v>311</v>
      </c>
    </row>
    <row r="426" spans="1:33" s="536" customFormat="1" x14ac:dyDescent="0.2">
      <c r="A426" s="605"/>
      <c r="B426" s="552" t="s">
        <v>185</v>
      </c>
      <c r="C426" s="1822" t="s">
        <v>312</v>
      </c>
      <c r="D426" s="1822"/>
      <c r="E426" s="1822"/>
      <c r="F426" s="562"/>
      <c r="G426" s="562"/>
      <c r="H426" s="562"/>
      <c r="I426" s="562"/>
      <c r="J426" s="604">
        <v>907.5</v>
      </c>
      <c r="K426" s="562" t="s">
        <v>313</v>
      </c>
      <c r="L426" s="604">
        <v>142.93</v>
      </c>
      <c r="M426" s="603"/>
      <c r="N426" s="602"/>
      <c r="Y426" s="537" t="s">
        <v>312</v>
      </c>
    </row>
    <row r="427" spans="1:33" s="536" customFormat="1" x14ac:dyDescent="0.2">
      <c r="A427" s="605"/>
      <c r="B427" s="552"/>
      <c r="C427" s="1822" t="s">
        <v>314</v>
      </c>
      <c r="D427" s="1822"/>
      <c r="E427" s="1822"/>
      <c r="F427" s="562" t="s">
        <v>315</v>
      </c>
      <c r="G427" s="562" t="s">
        <v>894</v>
      </c>
      <c r="H427" s="562" t="s">
        <v>313</v>
      </c>
      <c r="I427" s="562" t="s">
        <v>4055</v>
      </c>
      <c r="J427" s="604"/>
      <c r="K427" s="562"/>
      <c r="L427" s="604"/>
      <c r="M427" s="603"/>
      <c r="N427" s="602"/>
      <c r="Z427" s="537" t="s">
        <v>314</v>
      </c>
    </row>
    <row r="428" spans="1:33" s="536" customFormat="1" x14ac:dyDescent="0.2">
      <c r="A428" s="605"/>
      <c r="B428" s="552"/>
      <c r="C428" s="1828" t="s">
        <v>318</v>
      </c>
      <c r="D428" s="1828"/>
      <c r="E428" s="1828"/>
      <c r="F428" s="608"/>
      <c r="G428" s="608"/>
      <c r="H428" s="608"/>
      <c r="I428" s="608"/>
      <c r="J428" s="607">
        <v>907.5</v>
      </c>
      <c r="K428" s="608"/>
      <c r="L428" s="607">
        <v>142.93</v>
      </c>
      <c r="M428" s="601"/>
      <c r="N428" s="606"/>
      <c r="AA428" s="537" t="s">
        <v>318</v>
      </c>
    </row>
    <row r="429" spans="1:33" s="536" customFormat="1" x14ac:dyDescent="0.2">
      <c r="A429" s="605"/>
      <c r="B429" s="552"/>
      <c r="C429" s="1822" t="s">
        <v>319</v>
      </c>
      <c r="D429" s="1822"/>
      <c r="E429" s="1822"/>
      <c r="F429" s="562"/>
      <c r="G429" s="562"/>
      <c r="H429" s="562"/>
      <c r="I429" s="562"/>
      <c r="J429" s="604"/>
      <c r="K429" s="562"/>
      <c r="L429" s="604">
        <v>142.93</v>
      </c>
      <c r="M429" s="603"/>
      <c r="N429" s="602"/>
      <c r="Z429" s="537" t="s">
        <v>319</v>
      </c>
    </row>
    <row r="430" spans="1:33" s="536" customFormat="1" ht="33.75" x14ac:dyDescent="0.2">
      <c r="A430" s="605"/>
      <c r="B430" s="552" t="s">
        <v>673</v>
      </c>
      <c r="C430" s="1822" t="s">
        <v>674</v>
      </c>
      <c r="D430" s="1822"/>
      <c r="E430" s="1822"/>
      <c r="F430" s="562" t="s">
        <v>322</v>
      </c>
      <c r="G430" s="562" t="s">
        <v>323</v>
      </c>
      <c r="H430" s="562"/>
      <c r="I430" s="562" t="s">
        <v>323</v>
      </c>
      <c r="J430" s="604"/>
      <c r="K430" s="562"/>
      <c r="L430" s="604">
        <v>127.21</v>
      </c>
      <c r="M430" s="603"/>
      <c r="N430" s="602"/>
      <c r="Z430" s="537" t="s">
        <v>674</v>
      </c>
    </row>
    <row r="431" spans="1:33" s="536" customFormat="1" ht="33.75" x14ac:dyDescent="0.2">
      <c r="A431" s="605"/>
      <c r="B431" s="552" t="s">
        <v>675</v>
      </c>
      <c r="C431" s="1822" t="s">
        <v>676</v>
      </c>
      <c r="D431" s="1822"/>
      <c r="E431" s="1822"/>
      <c r="F431" s="562" t="s">
        <v>322</v>
      </c>
      <c r="G431" s="562" t="s">
        <v>677</v>
      </c>
      <c r="H431" s="562"/>
      <c r="I431" s="562" t="s">
        <v>677</v>
      </c>
      <c r="J431" s="604"/>
      <c r="K431" s="562"/>
      <c r="L431" s="604">
        <v>57.17</v>
      </c>
      <c r="M431" s="603"/>
      <c r="N431" s="602"/>
      <c r="Z431" s="537" t="s">
        <v>676</v>
      </c>
    </row>
    <row r="432" spans="1:33" s="536" customFormat="1" x14ac:dyDescent="0.2">
      <c r="A432" s="569"/>
      <c r="B432" s="671"/>
      <c r="C432" s="1823" t="s">
        <v>327</v>
      </c>
      <c r="D432" s="1823"/>
      <c r="E432" s="1823"/>
      <c r="F432" s="573"/>
      <c r="G432" s="573"/>
      <c r="H432" s="573"/>
      <c r="I432" s="573"/>
      <c r="J432" s="572"/>
      <c r="K432" s="573"/>
      <c r="L432" s="572">
        <v>327.31</v>
      </c>
      <c r="M432" s="601"/>
      <c r="N432" s="570"/>
      <c r="AB432" s="537" t="s">
        <v>327</v>
      </c>
    </row>
    <row r="433" spans="1:33" s="536" customFormat="1" ht="22.5" x14ac:dyDescent="0.2">
      <c r="A433" s="575" t="s">
        <v>677</v>
      </c>
      <c r="B433" s="670" t="s">
        <v>507</v>
      </c>
      <c r="C433" s="1823" t="s">
        <v>508</v>
      </c>
      <c r="D433" s="1823"/>
      <c r="E433" s="1823"/>
      <c r="F433" s="573" t="s">
        <v>509</v>
      </c>
      <c r="G433" s="573"/>
      <c r="H433" s="573"/>
      <c r="I433" s="573" t="s">
        <v>4052</v>
      </c>
      <c r="J433" s="572"/>
      <c r="K433" s="573"/>
      <c r="L433" s="572"/>
      <c r="M433" s="571"/>
      <c r="N433" s="570"/>
      <c r="W433" s="537" t="s">
        <v>508</v>
      </c>
    </row>
    <row r="434" spans="1:33" s="536" customFormat="1" x14ac:dyDescent="0.2">
      <c r="A434" s="676"/>
      <c r="B434" s="664"/>
      <c r="C434" s="1822" t="s">
        <v>4056</v>
      </c>
      <c r="D434" s="1822"/>
      <c r="E434" s="1822"/>
      <c r="F434" s="1822"/>
      <c r="G434" s="1822"/>
      <c r="H434" s="1822"/>
      <c r="I434" s="1822"/>
      <c r="J434" s="1822"/>
      <c r="K434" s="1822"/>
      <c r="L434" s="1822"/>
      <c r="M434" s="1822"/>
      <c r="N434" s="1827"/>
      <c r="AG434" s="537" t="s">
        <v>4056</v>
      </c>
    </row>
    <row r="435" spans="1:33" s="536" customFormat="1" ht="33.75" x14ac:dyDescent="0.2">
      <c r="A435" s="609"/>
      <c r="B435" s="552" t="s">
        <v>310</v>
      </c>
      <c r="C435" s="1822" t="s">
        <v>311</v>
      </c>
      <c r="D435" s="1822"/>
      <c r="E435" s="1822"/>
      <c r="F435" s="1822"/>
      <c r="G435" s="1822"/>
      <c r="H435" s="1822"/>
      <c r="I435" s="1822"/>
      <c r="J435" s="1822"/>
      <c r="K435" s="1822"/>
      <c r="L435" s="1822"/>
      <c r="M435" s="1822"/>
      <c r="N435" s="1827"/>
      <c r="X435" s="537" t="s">
        <v>311</v>
      </c>
    </row>
    <row r="436" spans="1:33" s="536" customFormat="1" x14ac:dyDescent="0.2">
      <c r="A436" s="605"/>
      <c r="B436" s="552" t="s">
        <v>185</v>
      </c>
      <c r="C436" s="1822" t="s">
        <v>312</v>
      </c>
      <c r="D436" s="1822"/>
      <c r="E436" s="1822"/>
      <c r="F436" s="562"/>
      <c r="G436" s="562"/>
      <c r="H436" s="562"/>
      <c r="I436" s="562"/>
      <c r="J436" s="604">
        <v>127.61</v>
      </c>
      <c r="K436" s="562" t="s">
        <v>313</v>
      </c>
      <c r="L436" s="604">
        <v>20.100000000000001</v>
      </c>
      <c r="M436" s="603"/>
      <c r="N436" s="602"/>
      <c r="Y436" s="537" t="s">
        <v>312</v>
      </c>
    </row>
    <row r="437" spans="1:33" s="536" customFormat="1" x14ac:dyDescent="0.2">
      <c r="A437" s="605"/>
      <c r="B437" s="552" t="s">
        <v>186</v>
      </c>
      <c r="C437" s="1822" t="s">
        <v>344</v>
      </c>
      <c r="D437" s="1822"/>
      <c r="E437" s="1822"/>
      <c r="F437" s="562"/>
      <c r="G437" s="562"/>
      <c r="H437" s="562"/>
      <c r="I437" s="562"/>
      <c r="J437" s="604">
        <v>288.58</v>
      </c>
      <c r="K437" s="562" t="s">
        <v>313</v>
      </c>
      <c r="L437" s="604">
        <v>45.45</v>
      </c>
      <c r="M437" s="603"/>
      <c r="N437" s="602"/>
      <c r="Y437" s="537" t="s">
        <v>344</v>
      </c>
    </row>
    <row r="438" spans="1:33" s="536" customFormat="1" x14ac:dyDescent="0.2">
      <c r="A438" s="605"/>
      <c r="B438" s="552" t="s">
        <v>187</v>
      </c>
      <c r="C438" s="1822" t="s">
        <v>345</v>
      </c>
      <c r="D438" s="1822"/>
      <c r="E438" s="1822"/>
      <c r="F438" s="562"/>
      <c r="G438" s="562"/>
      <c r="H438" s="562"/>
      <c r="I438" s="562"/>
      <c r="J438" s="604">
        <v>31.49</v>
      </c>
      <c r="K438" s="562" t="s">
        <v>313</v>
      </c>
      <c r="L438" s="604">
        <v>4.96</v>
      </c>
      <c r="M438" s="603"/>
      <c r="N438" s="602"/>
      <c r="Y438" s="537" t="s">
        <v>345</v>
      </c>
    </row>
    <row r="439" spans="1:33" s="536" customFormat="1" x14ac:dyDescent="0.2">
      <c r="A439" s="605"/>
      <c r="B439" s="552"/>
      <c r="C439" s="1822" t="s">
        <v>314</v>
      </c>
      <c r="D439" s="1822"/>
      <c r="E439" s="1822"/>
      <c r="F439" s="562" t="s">
        <v>315</v>
      </c>
      <c r="G439" s="562" t="s">
        <v>512</v>
      </c>
      <c r="H439" s="562" t="s">
        <v>313</v>
      </c>
      <c r="I439" s="562" t="s">
        <v>4057</v>
      </c>
      <c r="J439" s="604"/>
      <c r="K439" s="562"/>
      <c r="L439" s="604"/>
      <c r="M439" s="603"/>
      <c r="N439" s="602"/>
      <c r="Z439" s="537" t="s">
        <v>314</v>
      </c>
    </row>
    <row r="440" spans="1:33" s="536" customFormat="1" x14ac:dyDescent="0.2">
      <c r="A440" s="605"/>
      <c r="B440" s="552"/>
      <c r="C440" s="1822" t="s">
        <v>348</v>
      </c>
      <c r="D440" s="1822"/>
      <c r="E440" s="1822"/>
      <c r="F440" s="562" t="s">
        <v>315</v>
      </c>
      <c r="G440" s="562" t="s">
        <v>514</v>
      </c>
      <c r="H440" s="562" t="s">
        <v>313</v>
      </c>
      <c r="I440" s="562" t="s">
        <v>4058</v>
      </c>
      <c r="J440" s="604"/>
      <c r="K440" s="562"/>
      <c r="L440" s="604"/>
      <c r="M440" s="603"/>
      <c r="N440" s="602"/>
      <c r="Z440" s="537" t="s">
        <v>348</v>
      </c>
    </row>
    <row r="441" spans="1:33" s="536" customFormat="1" x14ac:dyDescent="0.2">
      <c r="A441" s="605"/>
      <c r="B441" s="552"/>
      <c r="C441" s="1828" t="s">
        <v>318</v>
      </c>
      <c r="D441" s="1828"/>
      <c r="E441" s="1828"/>
      <c r="F441" s="608"/>
      <c r="G441" s="608"/>
      <c r="H441" s="608"/>
      <c r="I441" s="608"/>
      <c r="J441" s="607">
        <v>416.19</v>
      </c>
      <c r="K441" s="608"/>
      <c r="L441" s="607">
        <v>65.55</v>
      </c>
      <c r="M441" s="601"/>
      <c r="N441" s="606"/>
      <c r="AA441" s="537" t="s">
        <v>318</v>
      </c>
    </row>
    <row r="442" spans="1:33" s="536" customFormat="1" x14ac:dyDescent="0.2">
      <c r="A442" s="605"/>
      <c r="B442" s="552"/>
      <c r="C442" s="1822" t="s">
        <v>319</v>
      </c>
      <c r="D442" s="1822"/>
      <c r="E442" s="1822"/>
      <c r="F442" s="562"/>
      <c r="G442" s="562"/>
      <c r="H442" s="562"/>
      <c r="I442" s="562"/>
      <c r="J442" s="604"/>
      <c r="K442" s="562"/>
      <c r="L442" s="604">
        <v>25.06</v>
      </c>
      <c r="M442" s="603"/>
      <c r="N442" s="602"/>
      <c r="Z442" s="537" t="s">
        <v>319</v>
      </c>
    </row>
    <row r="443" spans="1:33" s="536" customFormat="1" ht="33.75" x14ac:dyDescent="0.2">
      <c r="A443" s="605"/>
      <c r="B443" s="552" t="s">
        <v>460</v>
      </c>
      <c r="C443" s="1822" t="s">
        <v>461</v>
      </c>
      <c r="D443" s="1822"/>
      <c r="E443" s="1822"/>
      <c r="F443" s="562" t="s">
        <v>322</v>
      </c>
      <c r="G443" s="562" t="s">
        <v>462</v>
      </c>
      <c r="H443" s="562"/>
      <c r="I443" s="562" t="s">
        <v>462</v>
      </c>
      <c r="J443" s="604"/>
      <c r="K443" s="562"/>
      <c r="L443" s="604">
        <v>23.06</v>
      </c>
      <c r="M443" s="603"/>
      <c r="N443" s="602"/>
      <c r="Z443" s="537" t="s">
        <v>461</v>
      </c>
    </row>
    <row r="444" spans="1:33" s="536" customFormat="1" ht="33.75" x14ac:dyDescent="0.2">
      <c r="A444" s="605"/>
      <c r="B444" s="552" t="s">
        <v>463</v>
      </c>
      <c r="C444" s="1822" t="s">
        <v>464</v>
      </c>
      <c r="D444" s="1822"/>
      <c r="E444" s="1822"/>
      <c r="F444" s="562" t="s">
        <v>322</v>
      </c>
      <c r="G444" s="562" t="s">
        <v>465</v>
      </c>
      <c r="H444" s="562"/>
      <c r="I444" s="562" t="s">
        <v>465</v>
      </c>
      <c r="J444" s="604"/>
      <c r="K444" s="562"/>
      <c r="L444" s="604">
        <v>11.53</v>
      </c>
      <c r="M444" s="603"/>
      <c r="N444" s="602"/>
      <c r="Z444" s="537" t="s">
        <v>464</v>
      </c>
    </row>
    <row r="445" spans="1:33" s="536" customFormat="1" x14ac:dyDescent="0.2">
      <c r="A445" s="569"/>
      <c r="B445" s="671"/>
      <c r="C445" s="1823" t="s">
        <v>327</v>
      </c>
      <c r="D445" s="1823"/>
      <c r="E445" s="1823"/>
      <c r="F445" s="573"/>
      <c r="G445" s="573"/>
      <c r="H445" s="573"/>
      <c r="I445" s="573"/>
      <c r="J445" s="572"/>
      <c r="K445" s="573"/>
      <c r="L445" s="572">
        <v>100.14</v>
      </c>
      <c r="M445" s="601"/>
      <c r="N445" s="570"/>
      <c r="AB445" s="537" t="s">
        <v>327</v>
      </c>
    </row>
    <row r="446" spans="1:33" s="536" customFormat="1" ht="33.75" x14ac:dyDescent="0.2">
      <c r="A446" s="575" t="s">
        <v>326</v>
      </c>
      <c r="B446" s="670" t="s">
        <v>6663</v>
      </c>
      <c r="C446" s="1823" t="s">
        <v>6664</v>
      </c>
      <c r="D446" s="1823"/>
      <c r="E446" s="1823"/>
      <c r="F446" s="573" t="s">
        <v>1110</v>
      </c>
      <c r="G446" s="573"/>
      <c r="H446" s="573"/>
      <c r="I446" s="573" t="s">
        <v>647</v>
      </c>
      <c r="J446" s="572"/>
      <c r="K446" s="573"/>
      <c r="L446" s="572"/>
      <c r="M446" s="571"/>
      <c r="N446" s="570"/>
      <c r="W446" s="537" t="s">
        <v>6664</v>
      </c>
    </row>
    <row r="447" spans="1:33" s="536" customFormat="1" x14ac:dyDescent="0.2">
      <c r="A447" s="676"/>
      <c r="B447" s="664"/>
      <c r="C447" s="1822" t="s">
        <v>4049</v>
      </c>
      <c r="D447" s="1822"/>
      <c r="E447" s="1822"/>
      <c r="F447" s="1822"/>
      <c r="G447" s="1822"/>
      <c r="H447" s="1822"/>
      <c r="I447" s="1822"/>
      <c r="J447" s="1822"/>
      <c r="K447" s="1822"/>
      <c r="L447" s="1822"/>
      <c r="M447" s="1822"/>
      <c r="N447" s="1827"/>
      <c r="AG447" s="537" t="s">
        <v>4049</v>
      </c>
    </row>
    <row r="448" spans="1:33" s="536" customFormat="1" ht="33.75" x14ac:dyDescent="0.2">
      <c r="A448" s="609"/>
      <c r="B448" s="552" t="s">
        <v>310</v>
      </c>
      <c r="C448" s="1822" t="s">
        <v>311</v>
      </c>
      <c r="D448" s="1822"/>
      <c r="E448" s="1822"/>
      <c r="F448" s="1822"/>
      <c r="G448" s="1822"/>
      <c r="H448" s="1822"/>
      <c r="I448" s="1822"/>
      <c r="J448" s="1822"/>
      <c r="K448" s="1822"/>
      <c r="L448" s="1822"/>
      <c r="M448" s="1822"/>
      <c r="N448" s="1827"/>
      <c r="X448" s="537" t="s">
        <v>311</v>
      </c>
    </row>
    <row r="449" spans="1:33" s="536" customFormat="1" x14ac:dyDescent="0.2">
      <c r="A449" s="605"/>
      <c r="B449" s="552" t="s">
        <v>185</v>
      </c>
      <c r="C449" s="1822" t="s">
        <v>312</v>
      </c>
      <c r="D449" s="1822"/>
      <c r="E449" s="1822"/>
      <c r="F449" s="562"/>
      <c r="G449" s="562"/>
      <c r="H449" s="562"/>
      <c r="I449" s="562"/>
      <c r="J449" s="604">
        <v>173.9</v>
      </c>
      <c r="K449" s="562" t="s">
        <v>313</v>
      </c>
      <c r="L449" s="604">
        <v>97.82</v>
      </c>
      <c r="M449" s="603"/>
      <c r="N449" s="602"/>
      <c r="Y449" s="537" t="s">
        <v>312</v>
      </c>
    </row>
    <row r="450" spans="1:33" s="536" customFormat="1" x14ac:dyDescent="0.2">
      <c r="A450" s="605"/>
      <c r="B450" s="552" t="s">
        <v>186</v>
      </c>
      <c r="C450" s="1822" t="s">
        <v>344</v>
      </c>
      <c r="D450" s="1822"/>
      <c r="E450" s="1822"/>
      <c r="F450" s="562"/>
      <c r="G450" s="562"/>
      <c r="H450" s="562"/>
      <c r="I450" s="562"/>
      <c r="J450" s="604">
        <v>65.14</v>
      </c>
      <c r="K450" s="562" t="s">
        <v>313</v>
      </c>
      <c r="L450" s="604">
        <v>36.64</v>
      </c>
      <c r="M450" s="603"/>
      <c r="N450" s="602"/>
      <c r="Y450" s="537" t="s">
        <v>344</v>
      </c>
    </row>
    <row r="451" spans="1:33" s="536" customFormat="1" x14ac:dyDescent="0.2">
      <c r="A451" s="605"/>
      <c r="B451" s="552" t="s">
        <v>187</v>
      </c>
      <c r="C451" s="1822" t="s">
        <v>345</v>
      </c>
      <c r="D451" s="1822"/>
      <c r="E451" s="1822"/>
      <c r="F451" s="562"/>
      <c r="G451" s="562"/>
      <c r="H451" s="562"/>
      <c r="I451" s="562"/>
      <c r="J451" s="604">
        <v>5.78</v>
      </c>
      <c r="K451" s="562" t="s">
        <v>313</v>
      </c>
      <c r="L451" s="604">
        <v>3.25</v>
      </c>
      <c r="M451" s="603"/>
      <c r="N451" s="602"/>
      <c r="Y451" s="537" t="s">
        <v>345</v>
      </c>
    </row>
    <row r="452" spans="1:33" s="536" customFormat="1" x14ac:dyDescent="0.2">
      <c r="A452" s="605"/>
      <c r="B452" s="552" t="s">
        <v>188</v>
      </c>
      <c r="C452" s="1822" t="s">
        <v>475</v>
      </c>
      <c r="D452" s="1822"/>
      <c r="E452" s="1822"/>
      <c r="F452" s="562"/>
      <c r="G452" s="562"/>
      <c r="H452" s="562"/>
      <c r="I452" s="562"/>
      <c r="J452" s="604">
        <v>588.77</v>
      </c>
      <c r="K452" s="562"/>
      <c r="L452" s="604">
        <v>7.75</v>
      </c>
      <c r="M452" s="603"/>
      <c r="N452" s="602"/>
      <c r="Y452" s="537" t="s">
        <v>475</v>
      </c>
    </row>
    <row r="453" spans="1:33" s="536" customFormat="1" x14ac:dyDescent="0.2">
      <c r="A453" s="605"/>
      <c r="B453" s="552"/>
      <c r="C453" s="1822" t="s">
        <v>314</v>
      </c>
      <c r="D453" s="1822"/>
      <c r="E453" s="1822"/>
      <c r="F453" s="562" t="s">
        <v>315</v>
      </c>
      <c r="G453" s="562" t="s">
        <v>6665</v>
      </c>
      <c r="H453" s="562" t="s">
        <v>313</v>
      </c>
      <c r="I453" s="562" t="s">
        <v>8579</v>
      </c>
      <c r="J453" s="604"/>
      <c r="K453" s="562"/>
      <c r="L453" s="604"/>
      <c r="M453" s="603"/>
      <c r="N453" s="602"/>
      <c r="Z453" s="537" t="s">
        <v>314</v>
      </c>
    </row>
    <row r="454" spans="1:33" s="536" customFormat="1" x14ac:dyDescent="0.2">
      <c r="A454" s="605"/>
      <c r="B454" s="552"/>
      <c r="C454" s="1822" t="s">
        <v>348</v>
      </c>
      <c r="D454" s="1822"/>
      <c r="E454" s="1822"/>
      <c r="F454" s="562" t="s">
        <v>315</v>
      </c>
      <c r="G454" s="562" t="s">
        <v>1042</v>
      </c>
      <c r="H454" s="562" t="s">
        <v>313</v>
      </c>
      <c r="I454" s="562" t="s">
        <v>8580</v>
      </c>
      <c r="J454" s="604"/>
      <c r="K454" s="562"/>
      <c r="L454" s="604"/>
      <c r="M454" s="603"/>
      <c r="N454" s="602"/>
      <c r="Z454" s="537" t="s">
        <v>348</v>
      </c>
    </row>
    <row r="455" spans="1:33" s="536" customFormat="1" x14ac:dyDescent="0.2">
      <c r="A455" s="605"/>
      <c r="B455" s="552"/>
      <c r="C455" s="1828" t="s">
        <v>318</v>
      </c>
      <c r="D455" s="1828"/>
      <c r="E455" s="1828"/>
      <c r="F455" s="608"/>
      <c r="G455" s="608"/>
      <c r="H455" s="608"/>
      <c r="I455" s="608"/>
      <c r="J455" s="607">
        <v>256.26</v>
      </c>
      <c r="K455" s="608"/>
      <c r="L455" s="607">
        <v>142.21</v>
      </c>
      <c r="M455" s="601"/>
      <c r="N455" s="606"/>
      <c r="AA455" s="537" t="s">
        <v>318</v>
      </c>
    </row>
    <row r="456" spans="1:33" s="536" customFormat="1" x14ac:dyDescent="0.2">
      <c r="A456" s="605"/>
      <c r="B456" s="552"/>
      <c r="C456" s="1822" t="s">
        <v>319</v>
      </c>
      <c r="D456" s="1822"/>
      <c r="E456" s="1822"/>
      <c r="F456" s="562"/>
      <c r="G456" s="562"/>
      <c r="H456" s="562"/>
      <c r="I456" s="562"/>
      <c r="J456" s="604"/>
      <c r="K456" s="562"/>
      <c r="L456" s="604">
        <v>101.07</v>
      </c>
      <c r="M456" s="603"/>
      <c r="N456" s="602"/>
      <c r="Z456" s="537" t="s">
        <v>319</v>
      </c>
    </row>
    <row r="457" spans="1:33" s="536" customFormat="1" ht="33.75" x14ac:dyDescent="0.2">
      <c r="A457" s="605"/>
      <c r="B457" s="552" t="s">
        <v>1631</v>
      </c>
      <c r="C457" s="1822" t="s">
        <v>1632</v>
      </c>
      <c r="D457" s="1822"/>
      <c r="E457" s="1822"/>
      <c r="F457" s="562" t="s">
        <v>322</v>
      </c>
      <c r="G457" s="562" t="s">
        <v>1633</v>
      </c>
      <c r="H457" s="562"/>
      <c r="I457" s="562" t="s">
        <v>1633</v>
      </c>
      <c r="J457" s="604"/>
      <c r="K457" s="562"/>
      <c r="L457" s="604">
        <v>98.04</v>
      </c>
      <c r="M457" s="603"/>
      <c r="N457" s="602"/>
      <c r="Z457" s="537" t="s">
        <v>1632</v>
      </c>
    </row>
    <row r="458" spans="1:33" s="536" customFormat="1" ht="33.75" x14ac:dyDescent="0.2">
      <c r="A458" s="605"/>
      <c r="B458" s="552" t="s">
        <v>1634</v>
      </c>
      <c r="C458" s="1822" t="s">
        <v>1635</v>
      </c>
      <c r="D458" s="1822"/>
      <c r="E458" s="1822"/>
      <c r="F458" s="562" t="s">
        <v>322</v>
      </c>
      <c r="G458" s="562" t="s">
        <v>786</v>
      </c>
      <c r="H458" s="562"/>
      <c r="I458" s="562" t="s">
        <v>786</v>
      </c>
      <c r="J458" s="604"/>
      <c r="K458" s="562"/>
      <c r="L458" s="604">
        <v>51.55</v>
      </c>
      <c r="M458" s="603"/>
      <c r="N458" s="602"/>
      <c r="Z458" s="537" t="s">
        <v>1635</v>
      </c>
    </row>
    <row r="459" spans="1:33" s="536" customFormat="1" x14ac:dyDescent="0.2">
      <c r="A459" s="569"/>
      <c r="B459" s="671"/>
      <c r="C459" s="1823" t="s">
        <v>327</v>
      </c>
      <c r="D459" s="1823"/>
      <c r="E459" s="1823"/>
      <c r="F459" s="573"/>
      <c r="G459" s="573"/>
      <c r="H459" s="573"/>
      <c r="I459" s="573"/>
      <c r="J459" s="572"/>
      <c r="K459" s="573"/>
      <c r="L459" s="572">
        <v>291.8</v>
      </c>
      <c r="M459" s="601"/>
      <c r="N459" s="570"/>
      <c r="AB459" s="537" t="s">
        <v>327</v>
      </c>
    </row>
    <row r="460" spans="1:33" s="536" customFormat="1" ht="33.75" x14ac:dyDescent="0.2">
      <c r="A460" s="575" t="s">
        <v>774</v>
      </c>
      <c r="B460" s="670" t="s">
        <v>3696</v>
      </c>
      <c r="C460" s="1823" t="s">
        <v>3697</v>
      </c>
      <c r="D460" s="1823"/>
      <c r="E460" s="1823"/>
      <c r="F460" s="573" t="s">
        <v>483</v>
      </c>
      <c r="G460" s="573"/>
      <c r="H460" s="573"/>
      <c r="I460" s="573" t="s">
        <v>931</v>
      </c>
      <c r="J460" s="572">
        <v>238.88</v>
      </c>
      <c r="K460" s="573" t="s">
        <v>716</v>
      </c>
      <c r="L460" s="572">
        <v>1707.94</v>
      </c>
      <c r="M460" s="571">
        <v>6.42</v>
      </c>
      <c r="N460" s="570">
        <v>10965</v>
      </c>
      <c r="W460" s="537" t="s">
        <v>3697</v>
      </c>
    </row>
    <row r="461" spans="1:33" s="536" customFormat="1" x14ac:dyDescent="0.2">
      <c r="A461" s="569"/>
      <c r="B461" s="671"/>
      <c r="C461" s="665" t="s">
        <v>717</v>
      </c>
      <c r="D461" s="666"/>
      <c r="E461" s="666"/>
      <c r="F461" s="563"/>
      <c r="G461" s="563"/>
      <c r="H461" s="563"/>
      <c r="I461" s="563"/>
      <c r="J461" s="566"/>
      <c r="K461" s="563"/>
      <c r="L461" s="566"/>
      <c r="M461" s="565"/>
      <c r="N461" s="564"/>
    </row>
    <row r="462" spans="1:33" s="536" customFormat="1" ht="22.5" x14ac:dyDescent="0.2">
      <c r="A462" s="609"/>
      <c r="B462" s="552" t="s">
        <v>718</v>
      </c>
      <c r="C462" s="1822" t="s">
        <v>719</v>
      </c>
      <c r="D462" s="1822"/>
      <c r="E462" s="1822"/>
      <c r="F462" s="1822"/>
      <c r="G462" s="1822"/>
      <c r="H462" s="1822"/>
      <c r="I462" s="1822"/>
      <c r="J462" s="1822"/>
      <c r="K462" s="1822"/>
      <c r="L462" s="1822"/>
      <c r="M462" s="1822"/>
      <c r="N462" s="1827"/>
      <c r="X462" s="537" t="s">
        <v>719</v>
      </c>
    </row>
    <row r="463" spans="1:33" s="536" customFormat="1" ht="22.5" x14ac:dyDescent="0.2">
      <c r="A463" s="575" t="s">
        <v>775</v>
      </c>
      <c r="B463" s="670" t="s">
        <v>2399</v>
      </c>
      <c r="C463" s="1823" t="s">
        <v>2400</v>
      </c>
      <c r="D463" s="1823"/>
      <c r="E463" s="1823"/>
      <c r="F463" s="573" t="s">
        <v>889</v>
      </c>
      <c r="G463" s="573"/>
      <c r="H463" s="573"/>
      <c r="I463" s="573" t="s">
        <v>185</v>
      </c>
      <c r="J463" s="572"/>
      <c r="K463" s="573"/>
      <c r="L463" s="572"/>
      <c r="M463" s="571"/>
      <c r="N463" s="570"/>
      <c r="W463" s="537" t="s">
        <v>2400</v>
      </c>
    </row>
    <row r="464" spans="1:33" s="536" customFormat="1" x14ac:dyDescent="0.2">
      <c r="A464" s="676"/>
      <c r="B464" s="664"/>
      <c r="C464" s="1822" t="s">
        <v>2601</v>
      </c>
      <c r="D464" s="1822"/>
      <c r="E464" s="1822"/>
      <c r="F464" s="1822"/>
      <c r="G464" s="1822"/>
      <c r="H464" s="1822"/>
      <c r="I464" s="1822"/>
      <c r="J464" s="1822"/>
      <c r="K464" s="1822"/>
      <c r="L464" s="1822"/>
      <c r="M464" s="1822"/>
      <c r="N464" s="1827"/>
      <c r="AG464" s="537" t="s">
        <v>2601</v>
      </c>
    </row>
    <row r="465" spans="1:28" s="536" customFormat="1" ht="33.75" x14ac:dyDescent="0.2">
      <c r="A465" s="609"/>
      <c r="B465" s="552" t="s">
        <v>310</v>
      </c>
      <c r="C465" s="1822" t="s">
        <v>311</v>
      </c>
      <c r="D465" s="1822"/>
      <c r="E465" s="1822"/>
      <c r="F465" s="1822"/>
      <c r="G465" s="1822"/>
      <c r="H465" s="1822"/>
      <c r="I465" s="1822"/>
      <c r="J465" s="1822"/>
      <c r="K465" s="1822"/>
      <c r="L465" s="1822"/>
      <c r="M465" s="1822"/>
      <c r="N465" s="1827"/>
      <c r="X465" s="537" t="s">
        <v>311</v>
      </c>
    </row>
    <row r="466" spans="1:28" s="536" customFormat="1" x14ac:dyDescent="0.2">
      <c r="A466" s="605"/>
      <c r="B466" s="552" t="s">
        <v>185</v>
      </c>
      <c r="C466" s="1822" t="s">
        <v>312</v>
      </c>
      <c r="D466" s="1822"/>
      <c r="E466" s="1822"/>
      <c r="F466" s="562"/>
      <c r="G466" s="562"/>
      <c r="H466" s="562"/>
      <c r="I466" s="562"/>
      <c r="J466" s="604">
        <v>96.82</v>
      </c>
      <c r="K466" s="562" t="s">
        <v>313</v>
      </c>
      <c r="L466" s="604">
        <v>121.03</v>
      </c>
      <c r="M466" s="603"/>
      <c r="N466" s="602"/>
      <c r="Y466" s="537" t="s">
        <v>312</v>
      </c>
    </row>
    <row r="467" spans="1:28" s="536" customFormat="1" x14ac:dyDescent="0.2">
      <c r="A467" s="605"/>
      <c r="B467" s="552" t="s">
        <v>186</v>
      </c>
      <c r="C467" s="1822" t="s">
        <v>344</v>
      </c>
      <c r="D467" s="1822"/>
      <c r="E467" s="1822"/>
      <c r="F467" s="562"/>
      <c r="G467" s="562"/>
      <c r="H467" s="562"/>
      <c r="I467" s="562"/>
      <c r="J467" s="604">
        <v>61.13</v>
      </c>
      <c r="K467" s="562" t="s">
        <v>313</v>
      </c>
      <c r="L467" s="604">
        <v>76.41</v>
      </c>
      <c r="M467" s="603"/>
      <c r="N467" s="602"/>
      <c r="Y467" s="537" t="s">
        <v>344</v>
      </c>
    </row>
    <row r="468" spans="1:28" s="536" customFormat="1" x14ac:dyDescent="0.2">
      <c r="A468" s="605"/>
      <c r="B468" s="552" t="s">
        <v>187</v>
      </c>
      <c r="C468" s="1822" t="s">
        <v>345</v>
      </c>
      <c r="D468" s="1822"/>
      <c r="E468" s="1822"/>
      <c r="F468" s="562"/>
      <c r="G468" s="562"/>
      <c r="H468" s="562"/>
      <c r="I468" s="562"/>
      <c r="J468" s="604">
        <v>6.78</v>
      </c>
      <c r="K468" s="562" t="s">
        <v>313</v>
      </c>
      <c r="L468" s="604">
        <v>8.48</v>
      </c>
      <c r="M468" s="603"/>
      <c r="N468" s="602"/>
      <c r="Y468" s="537" t="s">
        <v>345</v>
      </c>
    </row>
    <row r="469" spans="1:28" s="536" customFormat="1" x14ac:dyDescent="0.2">
      <c r="A469" s="605"/>
      <c r="B469" s="552" t="s">
        <v>188</v>
      </c>
      <c r="C469" s="1822" t="s">
        <v>475</v>
      </c>
      <c r="D469" s="1822"/>
      <c r="E469" s="1822"/>
      <c r="F469" s="562"/>
      <c r="G469" s="562"/>
      <c r="H469" s="562"/>
      <c r="I469" s="562"/>
      <c r="J469" s="604">
        <v>581.9</v>
      </c>
      <c r="K469" s="562"/>
      <c r="L469" s="604">
        <v>9.5500000000000007</v>
      </c>
      <c r="M469" s="603"/>
      <c r="N469" s="602"/>
      <c r="Y469" s="537" t="s">
        <v>475</v>
      </c>
    </row>
    <row r="470" spans="1:28" s="536" customFormat="1" x14ac:dyDescent="0.2">
      <c r="A470" s="605"/>
      <c r="B470" s="552"/>
      <c r="C470" s="1822" t="s">
        <v>314</v>
      </c>
      <c r="D470" s="1822"/>
      <c r="E470" s="1822"/>
      <c r="F470" s="562" t="s">
        <v>315</v>
      </c>
      <c r="G470" s="562" t="s">
        <v>618</v>
      </c>
      <c r="H470" s="562" t="s">
        <v>313</v>
      </c>
      <c r="I470" s="562" t="s">
        <v>6666</v>
      </c>
      <c r="J470" s="604"/>
      <c r="K470" s="562"/>
      <c r="L470" s="604"/>
      <c r="M470" s="603"/>
      <c r="N470" s="602"/>
      <c r="Z470" s="537" t="s">
        <v>314</v>
      </c>
    </row>
    <row r="471" spans="1:28" s="536" customFormat="1" x14ac:dyDescent="0.2">
      <c r="A471" s="605"/>
      <c r="B471" s="552"/>
      <c r="C471" s="1822" t="s">
        <v>348</v>
      </c>
      <c r="D471" s="1822"/>
      <c r="E471" s="1822"/>
      <c r="F471" s="562" t="s">
        <v>315</v>
      </c>
      <c r="G471" s="562" t="s">
        <v>866</v>
      </c>
      <c r="H471" s="562" t="s">
        <v>313</v>
      </c>
      <c r="I471" s="562" t="s">
        <v>6667</v>
      </c>
      <c r="J471" s="604"/>
      <c r="K471" s="562"/>
      <c r="L471" s="604"/>
      <c r="M471" s="603"/>
      <c r="N471" s="602"/>
      <c r="Z471" s="537" t="s">
        <v>348</v>
      </c>
    </row>
    <row r="472" spans="1:28" s="536" customFormat="1" x14ac:dyDescent="0.2">
      <c r="A472" s="605"/>
      <c r="B472" s="552"/>
      <c r="C472" s="1828" t="s">
        <v>318</v>
      </c>
      <c r="D472" s="1828"/>
      <c r="E472" s="1828"/>
      <c r="F472" s="608"/>
      <c r="G472" s="608"/>
      <c r="H472" s="608"/>
      <c r="I472" s="608"/>
      <c r="J472" s="607">
        <v>167.5</v>
      </c>
      <c r="K472" s="608"/>
      <c r="L472" s="607">
        <v>206.99</v>
      </c>
      <c r="M472" s="601"/>
      <c r="N472" s="606"/>
      <c r="AA472" s="537" t="s">
        <v>318</v>
      </c>
    </row>
    <row r="473" spans="1:28" s="536" customFormat="1" x14ac:dyDescent="0.2">
      <c r="A473" s="605"/>
      <c r="B473" s="552"/>
      <c r="C473" s="1822" t="s">
        <v>319</v>
      </c>
      <c r="D473" s="1822"/>
      <c r="E473" s="1822"/>
      <c r="F473" s="562"/>
      <c r="G473" s="562"/>
      <c r="H473" s="562"/>
      <c r="I473" s="562"/>
      <c r="J473" s="604"/>
      <c r="K473" s="562"/>
      <c r="L473" s="604">
        <v>129.51</v>
      </c>
      <c r="M473" s="603"/>
      <c r="N473" s="602"/>
      <c r="Z473" s="537" t="s">
        <v>319</v>
      </c>
    </row>
    <row r="474" spans="1:28" s="536" customFormat="1" ht="33.75" x14ac:dyDescent="0.2">
      <c r="A474" s="605"/>
      <c r="B474" s="552" t="s">
        <v>1631</v>
      </c>
      <c r="C474" s="1822" t="s">
        <v>1632</v>
      </c>
      <c r="D474" s="1822"/>
      <c r="E474" s="1822"/>
      <c r="F474" s="562" t="s">
        <v>322</v>
      </c>
      <c r="G474" s="562" t="s">
        <v>1633</v>
      </c>
      <c r="H474" s="562"/>
      <c r="I474" s="562" t="s">
        <v>1633</v>
      </c>
      <c r="J474" s="604"/>
      <c r="K474" s="562"/>
      <c r="L474" s="604">
        <v>125.62</v>
      </c>
      <c r="M474" s="603"/>
      <c r="N474" s="602"/>
      <c r="Z474" s="537" t="s">
        <v>1632</v>
      </c>
    </row>
    <row r="475" spans="1:28" s="536" customFormat="1" ht="33.75" x14ac:dyDescent="0.2">
      <c r="A475" s="605"/>
      <c r="B475" s="552" t="s">
        <v>1634</v>
      </c>
      <c r="C475" s="1822" t="s">
        <v>1635</v>
      </c>
      <c r="D475" s="1822"/>
      <c r="E475" s="1822"/>
      <c r="F475" s="562" t="s">
        <v>322</v>
      </c>
      <c r="G475" s="562" t="s">
        <v>786</v>
      </c>
      <c r="H475" s="562"/>
      <c r="I475" s="562" t="s">
        <v>786</v>
      </c>
      <c r="J475" s="604"/>
      <c r="K475" s="562"/>
      <c r="L475" s="604">
        <v>66.05</v>
      </c>
      <c r="M475" s="603"/>
      <c r="N475" s="602"/>
      <c r="Z475" s="537" t="s">
        <v>1635</v>
      </c>
    </row>
    <row r="476" spans="1:28" s="536" customFormat="1" x14ac:dyDescent="0.2">
      <c r="A476" s="569"/>
      <c r="B476" s="671"/>
      <c r="C476" s="1823" t="s">
        <v>327</v>
      </c>
      <c r="D476" s="1823"/>
      <c r="E476" s="1823"/>
      <c r="F476" s="573"/>
      <c r="G476" s="573"/>
      <c r="H476" s="573"/>
      <c r="I476" s="573"/>
      <c r="J476" s="572"/>
      <c r="K476" s="573"/>
      <c r="L476" s="572">
        <v>398.66</v>
      </c>
      <c r="M476" s="601"/>
      <c r="N476" s="570"/>
      <c r="AB476" s="537" t="s">
        <v>327</v>
      </c>
    </row>
    <row r="477" spans="1:28" s="536" customFormat="1" ht="33.75" x14ac:dyDescent="0.2">
      <c r="A477" s="575" t="s">
        <v>776</v>
      </c>
      <c r="B477" s="670" t="s">
        <v>3698</v>
      </c>
      <c r="C477" s="1823" t="s">
        <v>3699</v>
      </c>
      <c r="D477" s="1823"/>
      <c r="E477" s="1823"/>
      <c r="F477" s="573" t="s">
        <v>617</v>
      </c>
      <c r="G477" s="573"/>
      <c r="H477" s="573"/>
      <c r="I477" s="573" t="s">
        <v>194</v>
      </c>
      <c r="J477" s="572">
        <v>744.63</v>
      </c>
      <c r="K477" s="573" t="s">
        <v>716</v>
      </c>
      <c r="L477" s="572">
        <v>1183.02</v>
      </c>
      <c r="M477" s="571">
        <v>6.42</v>
      </c>
      <c r="N477" s="570">
        <v>7595</v>
      </c>
      <c r="W477" s="537" t="s">
        <v>3699</v>
      </c>
    </row>
    <row r="478" spans="1:28" s="536" customFormat="1" x14ac:dyDescent="0.2">
      <c r="A478" s="569"/>
      <c r="B478" s="671"/>
      <c r="C478" s="665" t="s">
        <v>717</v>
      </c>
      <c r="D478" s="666"/>
      <c r="E478" s="666"/>
      <c r="F478" s="563"/>
      <c r="G478" s="563"/>
      <c r="H478" s="563"/>
      <c r="I478" s="563"/>
      <c r="J478" s="566"/>
      <c r="K478" s="563"/>
      <c r="L478" s="566"/>
      <c r="M478" s="565"/>
      <c r="N478" s="564"/>
    </row>
    <row r="479" spans="1:28" s="536" customFormat="1" ht="22.5" x14ac:dyDescent="0.2">
      <c r="A479" s="609"/>
      <c r="B479" s="552" t="s">
        <v>718</v>
      </c>
      <c r="C479" s="1822" t="s">
        <v>719</v>
      </c>
      <c r="D479" s="1822"/>
      <c r="E479" s="1822"/>
      <c r="F479" s="1822"/>
      <c r="G479" s="1822"/>
      <c r="H479" s="1822"/>
      <c r="I479" s="1822"/>
      <c r="J479" s="1822"/>
      <c r="K479" s="1822"/>
      <c r="L479" s="1822"/>
      <c r="M479" s="1822"/>
      <c r="N479" s="1827"/>
      <c r="X479" s="537" t="s">
        <v>719</v>
      </c>
    </row>
    <row r="480" spans="1:28" s="536" customFormat="1" ht="1.5" customHeight="1" x14ac:dyDescent="0.2">
      <c r="A480" s="563"/>
      <c r="B480" s="671"/>
      <c r="C480" s="671"/>
      <c r="D480" s="671"/>
      <c r="E480" s="671"/>
      <c r="F480" s="563"/>
      <c r="G480" s="563"/>
      <c r="H480" s="563"/>
      <c r="I480" s="563"/>
      <c r="J480" s="546"/>
      <c r="K480" s="563"/>
      <c r="L480" s="546"/>
      <c r="M480" s="562"/>
      <c r="N480" s="546"/>
    </row>
    <row r="481" spans="1:30" s="536" customFormat="1" x14ac:dyDescent="0.2">
      <c r="A481" s="557"/>
      <c r="B481" s="556"/>
      <c r="C481" s="1823" t="s">
        <v>6668</v>
      </c>
      <c r="D481" s="1823"/>
      <c r="E481" s="1823"/>
      <c r="F481" s="1823"/>
      <c r="G481" s="1823"/>
      <c r="H481" s="1823"/>
      <c r="I481" s="1823"/>
      <c r="J481" s="1823"/>
      <c r="K481" s="1823"/>
      <c r="L481" s="555"/>
      <c r="M481" s="554"/>
      <c r="N481" s="553"/>
      <c r="AC481" s="537" t="s">
        <v>6668</v>
      </c>
    </row>
    <row r="482" spans="1:30" s="536" customFormat="1" x14ac:dyDescent="0.2">
      <c r="A482" s="548"/>
      <c r="B482" s="552"/>
      <c r="C482" s="1822" t="s">
        <v>403</v>
      </c>
      <c r="D482" s="1822"/>
      <c r="E482" s="1822"/>
      <c r="F482" s="1822"/>
      <c r="G482" s="1822"/>
      <c r="H482" s="1822"/>
      <c r="I482" s="1822"/>
      <c r="J482" s="1822"/>
      <c r="K482" s="1822"/>
      <c r="L482" s="551">
        <v>3926.92</v>
      </c>
      <c r="M482" s="550"/>
      <c r="N482" s="549"/>
      <c r="AD482" s="537" t="s">
        <v>403</v>
      </c>
    </row>
    <row r="483" spans="1:30" s="536" customFormat="1" x14ac:dyDescent="0.2">
      <c r="A483" s="548"/>
      <c r="B483" s="552"/>
      <c r="C483" s="1822" t="s">
        <v>204</v>
      </c>
      <c r="D483" s="1822"/>
      <c r="E483" s="1822"/>
      <c r="F483" s="1822"/>
      <c r="G483" s="1822"/>
      <c r="H483" s="1822"/>
      <c r="I483" s="1822"/>
      <c r="J483" s="1822"/>
      <c r="K483" s="1822"/>
      <c r="L483" s="551"/>
      <c r="M483" s="550"/>
      <c r="N483" s="549"/>
      <c r="AD483" s="537" t="s">
        <v>204</v>
      </c>
    </row>
    <row r="484" spans="1:30" s="536" customFormat="1" x14ac:dyDescent="0.2">
      <c r="A484" s="548"/>
      <c r="B484" s="552"/>
      <c r="C484" s="1822" t="s">
        <v>404</v>
      </c>
      <c r="D484" s="1822"/>
      <c r="E484" s="1822"/>
      <c r="F484" s="1822"/>
      <c r="G484" s="1822"/>
      <c r="H484" s="1822"/>
      <c r="I484" s="1822"/>
      <c r="J484" s="1822"/>
      <c r="K484" s="1822"/>
      <c r="L484" s="551">
        <v>860.16</v>
      </c>
      <c r="M484" s="550"/>
      <c r="N484" s="549"/>
      <c r="AD484" s="537" t="s">
        <v>404</v>
      </c>
    </row>
    <row r="485" spans="1:30" s="536" customFormat="1" x14ac:dyDescent="0.2">
      <c r="A485" s="548"/>
      <c r="B485" s="552"/>
      <c r="C485" s="1822" t="s">
        <v>405</v>
      </c>
      <c r="D485" s="1822"/>
      <c r="E485" s="1822"/>
      <c r="F485" s="1822"/>
      <c r="G485" s="1822"/>
      <c r="H485" s="1822"/>
      <c r="I485" s="1822"/>
      <c r="J485" s="1822"/>
      <c r="K485" s="1822"/>
      <c r="L485" s="551">
        <v>158.5</v>
      </c>
      <c r="M485" s="550"/>
      <c r="N485" s="549"/>
      <c r="AD485" s="537" t="s">
        <v>405</v>
      </c>
    </row>
    <row r="486" spans="1:30" s="536" customFormat="1" x14ac:dyDescent="0.2">
      <c r="A486" s="548"/>
      <c r="B486" s="552"/>
      <c r="C486" s="1822" t="s">
        <v>406</v>
      </c>
      <c r="D486" s="1822"/>
      <c r="E486" s="1822"/>
      <c r="F486" s="1822"/>
      <c r="G486" s="1822"/>
      <c r="H486" s="1822"/>
      <c r="I486" s="1822"/>
      <c r="J486" s="1822"/>
      <c r="K486" s="1822"/>
      <c r="L486" s="551">
        <v>16.690000000000001</v>
      </c>
      <c r="M486" s="550"/>
      <c r="N486" s="549"/>
      <c r="AD486" s="537" t="s">
        <v>406</v>
      </c>
    </row>
    <row r="487" spans="1:30" s="536" customFormat="1" x14ac:dyDescent="0.2">
      <c r="A487" s="548"/>
      <c r="B487" s="552"/>
      <c r="C487" s="1822" t="s">
        <v>480</v>
      </c>
      <c r="D487" s="1822"/>
      <c r="E487" s="1822"/>
      <c r="F487" s="1822"/>
      <c r="G487" s="1822"/>
      <c r="H487" s="1822"/>
      <c r="I487" s="1822"/>
      <c r="J487" s="1822"/>
      <c r="K487" s="1822"/>
      <c r="L487" s="551">
        <v>2908.26</v>
      </c>
      <c r="M487" s="550"/>
      <c r="N487" s="549"/>
      <c r="AD487" s="537" t="s">
        <v>480</v>
      </c>
    </row>
    <row r="488" spans="1:30" s="536" customFormat="1" x14ac:dyDescent="0.2">
      <c r="A488" s="548"/>
      <c r="B488" s="552" t="s">
        <v>185</v>
      </c>
      <c r="C488" s="1822" t="s">
        <v>407</v>
      </c>
      <c r="D488" s="1822"/>
      <c r="E488" s="1822"/>
      <c r="F488" s="1822"/>
      <c r="G488" s="1822"/>
      <c r="H488" s="1822"/>
      <c r="I488" s="1822"/>
      <c r="J488" s="1822"/>
      <c r="K488" s="1822"/>
      <c r="L488" s="551">
        <v>4413.67</v>
      </c>
      <c r="M488" s="550"/>
      <c r="N488" s="549"/>
      <c r="AD488" s="537" t="s">
        <v>407</v>
      </c>
    </row>
    <row r="489" spans="1:30" s="536" customFormat="1" x14ac:dyDescent="0.2">
      <c r="A489" s="548"/>
      <c r="B489" s="552"/>
      <c r="C489" s="1822" t="s">
        <v>204</v>
      </c>
      <c r="D489" s="1822"/>
      <c r="E489" s="1822"/>
      <c r="F489" s="1822"/>
      <c r="G489" s="1822"/>
      <c r="H489" s="1822"/>
      <c r="I489" s="1822"/>
      <c r="J489" s="1822"/>
      <c r="K489" s="1822"/>
      <c r="L489" s="551"/>
      <c r="M489" s="550"/>
      <c r="N489" s="549"/>
      <c r="AD489" s="537" t="s">
        <v>204</v>
      </c>
    </row>
    <row r="490" spans="1:30" s="536" customFormat="1" x14ac:dyDescent="0.2">
      <c r="A490" s="548"/>
      <c r="B490" s="552"/>
      <c r="C490" s="1822" t="s">
        <v>546</v>
      </c>
      <c r="D490" s="1822"/>
      <c r="E490" s="1822"/>
      <c r="F490" s="1822"/>
      <c r="G490" s="1822"/>
      <c r="H490" s="1822"/>
      <c r="I490" s="1822"/>
      <c r="J490" s="1822"/>
      <c r="K490" s="1822"/>
      <c r="L490" s="551">
        <v>641.30999999999995</v>
      </c>
      <c r="M490" s="550"/>
      <c r="N490" s="549"/>
      <c r="AD490" s="537" t="s">
        <v>546</v>
      </c>
    </row>
    <row r="491" spans="1:30" s="536" customFormat="1" x14ac:dyDescent="0.2">
      <c r="A491" s="548"/>
      <c r="B491" s="552"/>
      <c r="C491" s="1822" t="s">
        <v>442</v>
      </c>
      <c r="D491" s="1822"/>
      <c r="E491" s="1822"/>
      <c r="F491" s="1822"/>
      <c r="G491" s="1822"/>
      <c r="H491" s="1822"/>
      <c r="I491" s="1822"/>
      <c r="J491" s="1822"/>
      <c r="K491" s="1822"/>
      <c r="L491" s="551">
        <v>45.45</v>
      </c>
      <c r="M491" s="550"/>
      <c r="N491" s="549"/>
      <c r="AD491" s="537" t="s">
        <v>442</v>
      </c>
    </row>
    <row r="492" spans="1:30" s="536" customFormat="1" x14ac:dyDescent="0.2">
      <c r="A492" s="548"/>
      <c r="B492" s="552"/>
      <c r="C492" s="1822" t="s">
        <v>547</v>
      </c>
      <c r="D492" s="1822"/>
      <c r="E492" s="1822"/>
      <c r="F492" s="1822"/>
      <c r="G492" s="1822"/>
      <c r="H492" s="1822"/>
      <c r="I492" s="1822"/>
      <c r="J492" s="1822"/>
      <c r="K492" s="1822"/>
      <c r="L492" s="551">
        <v>2890.96</v>
      </c>
      <c r="M492" s="550"/>
      <c r="N492" s="549"/>
      <c r="AD492" s="537" t="s">
        <v>547</v>
      </c>
    </row>
    <row r="493" spans="1:30" s="536" customFormat="1" x14ac:dyDescent="0.2">
      <c r="A493" s="548"/>
      <c r="B493" s="552"/>
      <c r="C493" s="1822" t="s">
        <v>443</v>
      </c>
      <c r="D493" s="1822"/>
      <c r="E493" s="1822"/>
      <c r="F493" s="1822"/>
      <c r="G493" s="1822"/>
      <c r="H493" s="1822"/>
      <c r="I493" s="1822"/>
      <c r="J493" s="1822"/>
      <c r="K493" s="1822"/>
      <c r="L493" s="551">
        <v>575.94000000000005</v>
      </c>
      <c r="M493" s="550"/>
      <c r="N493" s="549"/>
      <c r="AD493" s="537" t="s">
        <v>443</v>
      </c>
    </row>
    <row r="494" spans="1:30" s="536" customFormat="1" x14ac:dyDescent="0.2">
      <c r="A494" s="548"/>
      <c r="B494" s="552"/>
      <c r="C494" s="1822" t="s">
        <v>444</v>
      </c>
      <c r="D494" s="1822"/>
      <c r="E494" s="1822"/>
      <c r="F494" s="1822"/>
      <c r="G494" s="1822"/>
      <c r="H494" s="1822"/>
      <c r="I494" s="1822"/>
      <c r="J494" s="1822"/>
      <c r="K494" s="1822"/>
      <c r="L494" s="551">
        <v>260.01</v>
      </c>
      <c r="M494" s="550"/>
      <c r="N494" s="549"/>
      <c r="AD494" s="537" t="s">
        <v>444</v>
      </c>
    </row>
    <row r="495" spans="1:30" s="536" customFormat="1" x14ac:dyDescent="0.2">
      <c r="A495" s="548"/>
      <c r="B495" s="552" t="s">
        <v>185</v>
      </c>
      <c r="C495" s="1822" t="s">
        <v>753</v>
      </c>
      <c r="D495" s="1822"/>
      <c r="E495" s="1822"/>
      <c r="F495" s="1822"/>
      <c r="G495" s="1822"/>
      <c r="H495" s="1822"/>
      <c r="I495" s="1822"/>
      <c r="J495" s="1822"/>
      <c r="K495" s="1822"/>
      <c r="L495" s="551">
        <v>690.46</v>
      </c>
      <c r="M495" s="550"/>
      <c r="N495" s="549"/>
      <c r="AD495" s="537" t="s">
        <v>753</v>
      </c>
    </row>
    <row r="496" spans="1:30" s="536" customFormat="1" x14ac:dyDescent="0.2">
      <c r="A496" s="548"/>
      <c r="B496" s="552"/>
      <c r="C496" s="1822" t="s">
        <v>204</v>
      </c>
      <c r="D496" s="1822"/>
      <c r="E496" s="1822"/>
      <c r="F496" s="1822"/>
      <c r="G496" s="1822"/>
      <c r="H496" s="1822"/>
      <c r="I496" s="1822"/>
      <c r="J496" s="1822"/>
      <c r="K496" s="1822"/>
      <c r="L496" s="551"/>
      <c r="M496" s="550"/>
      <c r="N496" s="549"/>
      <c r="AD496" s="537" t="s">
        <v>204</v>
      </c>
    </row>
    <row r="497" spans="1:33" s="536" customFormat="1" x14ac:dyDescent="0.2">
      <c r="A497" s="548"/>
      <c r="B497" s="552"/>
      <c r="C497" s="1822" t="s">
        <v>546</v>
      </c>
      <c r="D497" s="1822"/>
      <c r="E497" s="1822"/>
      <c r="F497" s="1822"/>
      <c r="G497" s="1822"/>
      <c r="H497" s="1822"/>
      <c r="I497" s="1822"/>
      <c r="J497" s="1822"/>
      <c r="K497" s="1822"/>
      <c r="L497" s="551">
        <v>218.85</v>
      </c>
      <c r="M497" s="550"/>
      <c r="N497" s="549"/>
      <c r="AD497" s="537" t="s">
        <v>546</v>
      </c>
    </row>
    <row r="498" spans="1:33" s="536" customFormat="1" x14ac:dyDescent="0.2">
      <c r="A498" s="548"/>
      <c r="B498" s="552"/>
      <c r="C498" s="1822" t="s">
        <v>442</v>
      </c>
      <c r="D498" s="1822"/>
      <c r="E498" s="1822"/>
      <c r="F498" s="1822"/>
      <c r="G498" s="1822"/>
      <c r="H498" s="1822"/>
      <c r="I498" s="1822"/>
      <c r="J498" s="1822"/>
      <c r="K498" s="1822"/>
      <c r="L498" s="551">
        <v>113.05</v>
      </c>
      <c r="M498" s="550"/>
      <c r="N498" s="549"/>
      <c r="AD498" s="537" t="s">
        <v>442</v>
      </c>
    </row>
    <row r="499" spans="1:33" s="536" customFormat="1" x14ac:dyDescent="0.2">
      <c r="A499" s="548"/>
      <c r="B499" s="552"/>
      <c r="C499" s="1822" t="s">
        <v>547</v>
      </c>
      <c r="D499" s="1822"/>
      <c r="E499" s="1822"/>
      <c r="F499" s="1822"/>
      <c r="G499" s="1822"/>
      <c r="H499" s="1822"/>
      <c r="I499" s="1822"/>
      <c r="J499" s="1822"/>
      <c r="K499" s="1822"/>
      <c r="L499" s="551">
        <v>17.3</v>
      </c>
      <c r="M499" s="550"/>
      <c r="N499" s="549"/>
      <c r="AD499" s="537" t="s">
        <v>547</v>
      </c>
    </row>
    <row r="500" spans="1:33" s="536" customFormat="1" x14ac:dyDescent="0.2">
      <c r="A500" s="548"/>
      <c r="B500" s="552"/>
      <c r="C500" s="1822" t="s">
        <v>443</v>
      </c>
      <c r="D500" s="1822"/>
      <c r="E500" s="1822"/>
      <c r="F500" s="1822"/>
      <c r="G500" s="1822"/>
      <c r="H500" s="1822"/>
      <c r="I500" s="1822"/>
      <c r="J500" s="1822"/>
      <c r="K500" s="1822"/>
      <c r="L500" s="551">
        <v>223.66</v>
      </c>
      <c r="M500" s="550"/>
      <c r="N500" s="549"/>
      <c r="AD500" s="537" t="s">
        <v>443</v>
      </c>
    </row>
    <row r="501" spans="1:33" s="536" customFormat="1" x14ac:dyDescent="0.2">
      <c r="A501" s="548"/>
      <c r="B501" s="552"/>
      <c r="C501" s="1822" t="s">
        <v>444</v>
      </c>
      <c r="D501" s="1822"/>
      <c r="E501" s="1822"/>
      <c r="F501" s="1822"/>
      <c r="G501" s="1822"/>
      <c r="H501" s="1822"/>
      <c r="I501" s="1822"/>
      <c r="J501" s="1822"/>
      <c r="K501" s="1822"/>
      <c r="L501" s="551">
        <v>117.6</v>
      </c>
      <c r="M501" s="550"/>
      <c r="N501" s="549"/>
      <c r="AD501" s="537" t="s">
        <v>444</v>
      </c>
    </row>
    <row r="502" spans="1:33" s="536" customFormat="1" x14ac:dyDescent="0.2">
      <c r="A502" s="548"/>
      <c r="B502" s="552"/>
      <c r="C502" s="1822" t="s">
        <v>415</v>
      </c>
      <c r="D502" s="1822"/>
      <c r="E502" s="1822"/>
      <c r="F502" s="1822"/>
      <c r="G502" s="1822"/>
      <c r="H502" s="1822"/>
      <c r="I502" s="1822"/>
      <c r="J502" s="1822"/>
      <c r="K502" s="1822"/>
      <c r="L502" s="551">
        <v>876.85</v>
      </c>
      <c r="M502" s="550"/>
      <c r="N502" s="549"/>
      <c r="AD502" s="537" t="s">
        <v>415</v>
      </c>
    </row>
    <row r="503" spans="1:33" s="536" customFormat="1" x14ac:dyDescent="0.2">
      <c r="A503" s="548"/>
      <c r="B503" s="552"/>
      <c r="C503" s="1822" t="s">
        <v>416</v>
      </c>
      <c r="D503" s="1822"/>
      <c r="E503" s="1822"/>
      <c r="F503" s="1822"/>
      <c r="G503" s="1822"/>
      <c r="H503" s="1822"/>
      <c r="I503" s="1822"/>
      <c r="J503" s="1822"/>
      <c r="K503" s="1822"/>
      <c r="L503" s="551">
        <v>799.6</v>
      </c>
      <c r="M503" s="550"/>
      <c r="N503" s="549"/>
      <c r="AD503" s="537" t="s">
        <v>416</v>
      </c>
    </row>
    <row r="504" spans="1:33" s="536" customFormat="1" x14ac:dyDescent="0.2">
      <c r="A504" s="548"/>
      <c r="B504" s="552"/>
      <c r="C504" s="1822" t="s">
        <v>417</v>
      </c>
      <c r="D504" s="1822"/>
      <c r="E504" s="1822"/>
      <c r="F504" s="1822"/>
      <c r="G504" s="1822"/>
      <c r="H504" s="1822"/>
      <c r="I504" s="1822"/>
      <c r="J504" s="1822"/>
      <c r="K504" s="1822"/>
      <c r="L504" s="551">
        <v>377.61</v>
      </c>
      <c r="M504" s="550"/>
      <c r="N504" s="549"/>
      <c r="AD504" s="537" t="s">
        <v>417</v>
      </c>
    </row>
    <row r="505" spans="1:33" s="536" customFormat="1" x14ac:dyDescent="0.2">
      <c r="A505" s="548"/>
      <c r="B505" s="546"/>
      <c r="C505" s="1819" t="s">
        <v>6669</v>
      </c>
      <c r="D505" s="1819"/>
      <c r="E505" s="1819"/>
      <c r="F505" s="1819"/>
      <c r="G505" s="1819"/>
      <c r="H505" s="1819"/>
      <c r="I505" s="1819"/>
      <c r="J505" s="1819"/>
      <c r="K505" s="1819"/>
      <c r="L505" s="544">
        <v>5104.13</v>
      </c>
      <c r="M505" s="543"/>
      <c r="N505" s="681"/>
      <c r="AE505" s="537" t="s">
        <v>6669</v>
      </c>
    </row>
    <row r="506" spans="1:33" s="536" customFormat="1" x14ac:dyDescent="0.2">
      <c r="A506" s="548"/>
      <c r="B506" s="552"/>
      <c r="C506" s="1822" t="s">
        <v>204</v>
      </c>
      <c r="D506" s="1822"/>
      <c r="E506" s="1822"/>
      <c r="F506" s="1822"/>
      <c r="G506" s="1822"/>
      <c r="H506" s="1822"/>
      <c r="I506" s="1822"/>
      <c r="J506" s="1822"/>
      <c r="K506" s="1822"/>
      <c r="L506" s="551"/>
      <c r="M506" s="550"/>
      <c r="N506" s="549"/>
      <c r="AD506" s="537" t="s">
        <v>204</v>
      </c>
    </row>
    <row r="507" spans="1:33" s="536" customFormat="1" x14ac:dyDescent="0.2">
      <c r="A507" s="548"/>
      <c r="B507" s="552"/>
      <c r="C507" s="1822" t="s">
        <v>8095</v>
      </c>
      <c r="D507" s="1822"/>
      <c r="E507" s="1822"/>
      <c r="F507" s="1822"/>
      <c r="G507" s="1822"/>
      <c r="H507" s="1822"/>
      <c r="I507" s="1822"/>
      <c r="J507" s="1822"/>
      <c r="K507" s="1822"/>
      <c r="L507" s="551">
        <v>2890.96</v>
      </c>
      <c r="M507" s="550"/>
      <c r="N507" s="549"/>
      <c r="AD507" s="537" t="s">
        <v>8095</v>
      </c>
    </row>
    <row r="508" spans="1:33" s="536" customFormat="1" ht="12" x14ac:dyDescent="0.2">
      <c r="A508" s="1824" t="s">
        <v>2178</v>
      </c>
      <c r="B508" s="1825"/>
      <c r="C508" s="1825"/>
      <c r="D508" s="1825"/>
      <c r="E508" s="1825"/>
      <c r="F508" s="1825"/>
      <c r="G508" s="1825"/>
      <c r="H508" s="1825"/>
      <c r="I508" s="1825"/>
      <c r="J508" s="1825"/>
      <c r="K508" s="1825"/>
      <c r="L508" s="1825"/>
      <c r="M508" s="1825"/>
      <c r="N508" s="1826"/>
      <c r="V508" s="537" t="s">
        <v>2178</v>
      </c>
    </row>
    <row r="509" spans="1:33" s="536" customFormat="1" ht="78.75" x14ac:dyDescent="0.2">
      <c r="A509" s="575" t="s">
        <v>931</v>
      </c>
      <c r="B509" s="670" t="s">
        <v>5638</v>
      </c>
      <c r="C509" s="1823" t="s">
        <v>3880</v>
      </c>
      <c r="D509" s="1823"/>
      <c r="E509" s="1823"/>
      <c r="F509" s="573" t="s">
        <v>201</v>
      </c>
      <c r="G509" s="573"/>
      <c r="H509" s="573"/>
      <c r="I509" s="573" t="s">
        <v>8581</v>
      </c>
      <c r="J509" s="572">
        <v>48.81</v>
      </c>
      <c r="K509" s="573"/>
      <c r="L509" s="572">
        <v>79.73</v>
      </c>
      <c r="M509" s="571"/>
      <c r="N509" s="570"/>
      <c r="W509" s="537" t="s">
        <v>3880</v>
      </c>
    </row>
    <row r="510" spans="1:33" s="536" customFormat="1" x14ac:dyDescent="0.2">
      <c r="A510" s="569"/>
      <c r="B510" s="671"/>
      <c r="C510" s="665" t="s">
        <v>717</v>
      </c>
      <c r="D510" s="666"/>
      <c r="E510" s="666"/>
      <c r="F510" s="563"/>
      <c r="G510" s="563"/>
      <c r="H510" s="563"/>
      <c r="I510" s="563"/>
      <c r="J510" s="566"/>
      <c r="K510" s="563"/>
      <c r="L510" s="566"/>
      <c r="M510" s="565"/>
      <c r="N510" s="564"/>
    </row>
    <row r="511" spans="1:33" s="536" customFormat="1" x14ac:dyDescent="0.2">
      <c r="A511" s="676"/>
      <c r="B511" s="664"/>
      <c r="C511" s="1822" t="s">
        <v>8582</v>
      </c>
      <c r="D511" s="1822"/>
      <c r="E511" s="1822"/>
      <c r="F511" s="1822"/>
      <c r="G511" s="1822"/>
      <c r="H511" s="1822"/>
      <c r="I511" s="1822"/>
      <c r="J511" s="1822"/>
      <c r="K511" s="1822"/>
      <c r="L511" s="1822"/>
      <c r="M511" s="1822"/>
      <c r="N511" s="1827"/>
      <c r="AG511" s="537" t="s">
        <v>8582</v>
      </c>
    </row>
    <row r="512" spans="1:33" s="536" customFormat="1" ht="1.5" customHeight="1" x14ac:dyDescent="0.2">
      <c r="A512" s="563"/>
      <c r="B512" s="671"/>
      <c r="C512" s="671"/>
      <c r="D512" s="671"/>
      <c r="E512" s="671"/>
      <c r="F512" s="563"/>
      <c r="G512" s="563"/>
      <c r="H512" s="563"/>
      <c r="I512" s="563"/>
      <c r="J512" s="546"/>
      <c r="K512" s="563"/>
      <c r="L512" s="546"/>
      <c r="M512" s="562"/>
      <c r="N512" s="546"/>
    </row>
    <row r="513" spans="1:36" s="536" customFormat="1" ht="22.5" x14ac:dyDescent="0.2">
      <c r="A513" s="557"/>
      <c r="B513" s="556"/>
      <c r="C513" s="1823" t="s">
        <v>2185</v>
      </c>
      <c r="D513" s="1823"/>
      <c r="E513" s="1823"/>
      <c r="F513" s="1823"/>
      <c r="G513" s="1823"/>
      <c r="H513" s="1823"/>
      <c r="I513" s="1823"/>
      <c r="J513" s="1823"/>
      <c r="K513" s="1823"/>
      <c r="L513" s="555"/>
      <c r="M513" s="554"/>
      <c r="N513" s="553"/>
      <c r="AC513" s="537" t="s">
        <v>2185</v>
      </c>
    </row>
    <row r="514" spans="1:36" s="536" customFormat="1" x14ac:dyDescent="0.2">
      <c r="A514" s="548"/>
      <c r="B514" s="552"/>
      <c r="C514" s="1822" t="s">
        <v>403</v>
      </c>
      <c r="D514" s="1822"/>
      <c r="E514" s="1822"/>
      <c r="F514" s="1822"/>
      <c r="G514" s="1822"/>
      <c r="H514" s="1822"/>
      <c r="I514" s="1822"/>
      <c r="J514" s="1822"/>
      <c r="K514" s="1822"/>
      <c r="L514" s="551">
        <v>79.73</v>
      </c>
      <c r="M514" s="550"/>
      <c r="N514" s="549"/>
      <c r="AD514" s="537" t="s">
        <v>403</v>
      </c>
    </row>
    <row r="515" spans="1:36" s="536" customFormat="1" x14ac:dyDescent="0.2">
      <c r="A515" s="548"/>
      <c r="B515" s="552"/>
      <c r="C515" s="1822" t="s">
        <v>204</v>
      </c>
      <c r="D515" s="1822"/>
      <c r="E515" s="1822"/>
      <c r="F515" s="1822"/>
      <c r="G515" s="1822"/>
      <c r="H515" s="1822"/>
      <c r="I515" s="1822"/>
      <c r="J515" s="1822"/>
      <c r="K515" s="1822"/>
      <c r="L515" s="551"/>
      <c r="M515" s="550"/>
      <c r="N515" s="549"/>
      <c r="AD515" s="537" t="s">
        <v>204</v>
      </c>
    </row>
    <row r="516" spans="1:36" s="536" customFormat="1" x14ac:dyDescent="0.2">
      <c r="A516" s="548"/>
      <c r="B516" s="552"/>
      <c r="C516" s="1822" t="s">
        <v>480</v>
      </c>
      <c r="D516" s="1822"/>
      <c r="E516" s="1822"/>
      <c r="F516" s="1822"/>
      <c r="G516" s="1822"/>
      <c r="H516" s="1822"/>
      <c r="I516" s="1822"/>
      <c r="J516" s="1822"/>
      <c r="K516" s="1822"/>
      <c r="L516" s="551">
        <v>79.73</v>
      </c>
      <c r="M516" s="550"/>
      <c r="N516" s="549"/>
      <c r="AD516" s="537" t="s">
        <v>480</v>
      </c>
    </row>
    <row r="517" spans="1:36" s="536" customFormat="1" x14ac:dyDescent="0.2">
      <c r="A517" s="548"/>
      <c r="B517" s="552" t="s">
        <v>185</v>
      </c>
      <c r="C517" s="1822" t="s">
        <v>407</v>
      </c>
      <c r="D517" s="1822"/>
      <c r="E517" s="1822"/>
      <c r="F517" s="1822"/>
      <c r="G517" s="1822"/>
      <c r="H517" s="1822"/>
      <c r="I517" s="1822"/>
      <c r="J517" s="1822"/>
      <c r="K517" s="1822"/>
      <c r="L517" s="551">
        <v>79.73</v>
      </c>
      <c r="M517" s="550"/>
      <c r="N517" s="549"/>
      <c r="AD517" s="537" t="s">
        <v>407</v>
      </c>
    </row>
    <row r="518" spans="1:36" s="536" customFormat="1" x14ac:dyDescent="0.2">
      <c r="A518" s="548"/>
      <c r="B518" s="552"/>
      <c r="C518" s="1822" t="s">
        <v>204</v>
      </c>
      <c r="D518" s="1822"/>
      <c r="E518" s="1822"/>
      <c r="F518" s="1822"/>
      <c r="G518" s="1822"/>
      <c r="H518" s="1822"/>
      <c r="I518" s="1822"/>
      <c r="J518" s="1822"/>
      <c r="K518" s="1822"/>
      <c r="L518" s="551"/>
      <c r="M518" s="550"/>
      <c r="N518" s="549"/>
      <c r="AD518" s="537" t="s">
        <v>204</v>
      </c>
    </row>
    <row r="519" spans="1:36" s="536" customFormat="1" x14ac:dyDescent="0.2">
      <c r="A519" s="548"/>
      <c r="B519" s="552"/>
      <c r="C519" s="1822" t="s">
        <v>547</v>
      </c>
      <c r="D519" s="1822"/>
      <c r="E519" s="1822"/>
      <c r="F519" s="1822"/>
      <c r="G519" s="1822"/>
      <c r="H519" s="1822"/>
      <c r="I519" s="1822"/>
      <c r="J519" s="1822"/>
      <c r="K519" s="1822"/>
      <c r="L519" s="551">
        <v>79.73</v>
      </c>
      <c r="M519" s="550"/>
      <c r="N519" s="549"/>
      <c r="AD519" s="537" t="s">
        <v>547</v>
      </c>
    </row>
    <row r="520" spans="1:36" s="536" customFormat="1" ht="22.5" x14ac:dyDescent="0.2">
      <c r="A520" s="548"/>
      <c r="B520" s="546"/>
      <c r="C520" s="1819" t="s">
        <v>2186</v>
      </c>
      <c r="D520" s="1819"/>
      <c r="E520" s="1819"/>
      <c r="F520" s="1819"/>
      <c r="G520" s="1819"/>
      <c r="H520" s="1819"/>
      <c r="I520" s="1819"/>
      <c r="J520" s="1819"/>
      <c r="K520" s="1819"/>
      <c r="L520" s="544">
        <v>79.73</v>
      </c>
      <c r="M520" s="543"/>
      <c r="N520" s="681"/>
      <c r="AE520" s="537" t="s">
        <v>2186</v>
      </c>
    </row>
    <row r="521" spans="1:36" s="536" customFormat="1" ht="2.25" customHeight="1" x14ac:dyDescent="0.2">
      <c r="B521" s="561"/>
      <c r="C521" s="561"/>
      <c r="D521" s="561"/>
      <c r="E521" s="561"/>
      <c r="F521" s="561"/>
      <c r="G521" s="561"/>
      <c r="H521" s="561"/>
      <c r="I521" s="561"/>
      <c r="J521" s="561"/>
      <c r="K521" s="561"/>
      <c r="L521" s="560"/>
      <c r="M521" s="559"/>
      <c r="N521" s="558"/>
    </row>
    <row r="522" spans="1:36" s="536" customFormat="1" x14ac:dyDescent="0.2">
      <c r="A522" s="557"/>
      <c r="B522" s="556"/>
      <c r="C522" s="1823" t="s">
        <v>205</v>
      </c>
      <c r="D522" s="1823"/>
      <c r="E522" s="1823"/>
      <c r="F522" s="1823"/>
      <c r="G522" s="1823"/>
      <c r="H522" s="1823"/>
      <c r="I522" s="1823"/>
      <c r="J522" s="1823"/>
      <c r="K522" s="1823"/>
      <c r="L522" s="555"/>
      <c r="M522" s="554"/>
      <c r="N522" s="553"/>
      <c r="AI522" s="537" t="s">
        <v>205</v>
      </c>
    </row>
    <row r="523" spans="1:36" s="536" customFormat="1" x14ac:dyDescent="0.2">
      <c r="A523" s="548"/>
      <c r="B523" s="552"/>
      <c r="C523" s="1822" t="s">
        <v>403</v>
      </c>
      <c r="D523" s="1822"/>
      <c r="E523" s="1822"/>
      <c r="F523" s="1822"/>
      <c r="G523" s="1822"/>
      <c r="H523" s="1822"/>
      <c r="I523" s="1822"/>
      <c r="J523" s="1822"/>
      <c r="K523" s="1822"/>
      <c r="L523" s="551">
        <v>168830.1</v>
      </c>
      <c r="M523" s="550"/>
      <c r="N523" s="549"/>
      <c r="AJ523" s="537" t="s">
        <v>403</v>
      </c>
    </row>
    <row r="524" spans="1:36" s="536" customFormat="1" x14ac:dyDescent="0.2">
      <c r="A524" s="548"/>
      <c r="B524" s="552"/>
      <c r="C524" s="1822" t="s">
        <v>204</v>
      </c>
      <c r="D524" s="1822"/>
      <c r="E524" s="1822"/>
      <c r="F524" s="1822"/>
      <c r="G524" s="1822"/>
      <c r="H524" s="1822"/>
      <c r="I524" s="1822"/>
      <c r="J524" s="1822"/>
      <c r="K524" s="1822"/>
      <c r="L524" s="551"/>
      <c r="M524" s="550"/>
      <c r="N524" s="549"/>
      <c r="AJ524" s="537" t="s">
        <v>204</v>
      </c>
    </row>
    <row r="525" spans="1:36" s="536" customFormat="1" x14ac:dyDescent="0.2">
      <c r="A525" s="548"/>
      <c r="B525" s="552"/>
      <c r="C525" s="1822" t="s">
        <v>404</v>
      </c>
      <c r="D525" s="1822"/>
      <c r="E525" s="1822"/>
      <c r="F525" s="1822"/>
      <c r="G525" s="1822"/>
      <c r="H525" s="1822"/>
      <c r="I525" s="1822"/>
      <c r="J525" s="1822"/>
      <c r="K525" s="1822"/>
      <c r="L525" s="551">
        <v>3111.67</v>
      </c>
      <c r="M525" s="550"/>
      <c r="N525" s="549"/>
      <c r="AJ525" s="537" t="s">
        <v>404</v>
      </c>
    </row>
    <row r="526" spans="1:36" s="536" customFormat="1" x14ac:dyDescent="0.2">
      <c r="A526" s="548"/>
      <c r="B526" s="552"/>
      <c r="C526" s="1822" t="s">
        <v>405</v>
      </c>
      <c r="D526" s="1822"/>
      <c r="E526" s="1822"/>
      <c r="F526" s="1822"/>
      <c r="G526" s="1822"/>
      <c r="H526" s="1822"/>
      <c r="I526" s="1822"/>
      <c r="J526" s="1822"/>
      <c r="K526" s="1822"/>
      <c r="L526" s="551">
        <v>79652.5</v>
      </c>
      <c r="M526" s="550"/>
      <c r="N526" s="549"/>
      <c r="AJ526" s="537" t="s">
        <v>405</v>
      </c>
    </row>
    <row r="527" spans="1:36" s="536" customFormat="1" x14ac:dyDescent="0.2">
      <c r="A527" s="548"/>
      <c r="B527" s="552"/>
      <c r="C527" s="1822" t="s">
        <v>406</v>
      </c>
      <c r="D527" s="1822"/>
      <c r="E527" s="1822"/>
      <c r="F527" s="1822"/>
      <c r="G527" s="1822"/>
      <c r="H527" s="1822"/>
      <c r="I527" s="1822"/>
      <c r="J527" s="1822"/>
      <c r="K527" s="1822"/>
      <c r="L527" s="551">
        <v>2253.15</v>
      </c>
      <c r="M527" s="550"/>
      <c r="N527" s="549"/>
      <c r="AJ527" s="537" t="s">
        <v>406</v>
      </c>
    </row>
    <row r="528" spans="1:36" s="536" customFormat="1" x14ac:dyDescent="0.2">
      <c r="A528" s="548"/>
      <c r="B528" s="552"/>
      <c r="C528" s="1822" t="s">
        <v>480</v>
      </c>
      <c r="D528" s="1822"/>
      <c r="E528" s="1822"/>
      <c r="F528" s="1822"/>
      <c r="G528" s="1822"/>
      <c r="H528" s="1822"/>
      <c r="I528" s="1822"/>
      <c r="J528" s="1822"/>
      <c r="K528" s="1822"/>
      <c r="L528" s="551">
        <v>86065.93</v>
      </c>
      <c r="M528" s="550"/>
      <c r="N528" s="549"/>
      <c r="AJ528" s="537" t="s">
        <v>480</v>
      </c>
    </row>
    <row r="529" spans="1:36" s="536" customFormat="1" x14ac:dyDescent="0.2">
      <c r="A529" s="548"/>
      <c r="B529" s="552"/>
      <c r="C529" s="1822" t="s">
        <v>407</v>
      </c>
      <c r="D529" s="1822"/>
      <c r="E529" s="1822"/>
      <c r="F529" s="1822"/>
      <c r="G529" s="1822"/>
      <c r="H529" s="1822"/>
      <c r="I529" s="1822"/>
      <c r="J529" s="1822"/>
      <c r="K529" s="1822"/>
      <c r="L529" s="551">
        <v>114840.43</v>
      </c>
      <c r="M529" s="550"/>
      <c r="N529" s="549">
        <v>737276</v>
      </c>
      <c r="AJ529" s="537" t="s">
        <v>407</v>
      </c>
    </row>
    <row r="530" spans="1:36" s="536" customFormat="1" x14ac:dyDescent="0.2">
      <c r="A530" s="548"/>
      <c r="B530" s="552" t="s">
        <v>185</v>
      </c>
      <c r="C530" s="1822" t="s">
        <v>408</v>
      </c>
      <c r="D530" s="1822"/>
      <c r="E530" s="1822"/>
      <c r="F530" s="1822"/>
      <c r="G530" s="1822"/>
      <c r="H530" s="1822"/>
      <c r="I530" s="1822"/>
      <c r="J530" s="1822"/>
      <c r="K530" s="1822"/>
      <c r="L530" s="551">
        <v>114831.9</v>
      </c>
      <c r="M530" s="550">
        <v>6.42</v>
      </c>
      <c r="N530" s="549">
        <v>737221</v>
      </c>
      <c r="AJ530" s="537" t="s">
        <v>408</v>
      </c>
    </row>
    <row r="531" spans="1:36" s="536" customFormat="1" x14ac:dyDescent="0.2">
      <c r="A531" s="548"/>
      <c r="B531" s="552"/>
      <c r="C531" s="1822" t="s">
        <v>409</v>
      </c>
      <c r="D531" s="1822"/>
      <c r="E531" s="1822"/>
      <c r="F531" s="1822"/>
      <c r="G531" s="1822"/>
      <c r="H531" s="1822"/>
      <c r="I531" s="1822"/>
      <c r="J531" s="1822"/>
      <c r="K531" s="1822"/>
      <c r="L531" s="551"/>
      <c r="M531" s="550"/>
      <c r="N531" s="549"/>
      <c r="AJ531" s="537" t="s">
        <v>409</v>
      </c>
    </row>
    <row r="532" spans="1:36" s="536" customFormat="1" x14ac:dyDescent="0.2">
      <c r="A532" s="548"/>
      <c r="B532" s="552"/>
      <c r="C532" s="1822" t="s">
        <v>410</v>
      </c>
      <c r="D532" s="1822"/>
      <c r="E532" s="1822"/>
      <c r="F532" s="1822"/>
      <c r="G532" s="1822"/>
      <c r="H532" s="1822"/>
      <c r="I532" s="1822"/>
      <c r="J532" s="1822"/>
      <c r="K532" s="1822"/>
      <c r="L532" s="551">
        <v>2036.97</v>
      </c>
      <c r="M532" s="550"/>
      <c r="N532" s="549"/>
      <c r="AJ532" s="537" t="s">
        <v>410</v>
      </c>
    </row>
    <row r="533" spans="1:36" s="536" customFormat="1" x14ac:dyDescent="0.2">
      <c r="A533" s="548"/>
      <c r="B533" s="552"/>
      <c r="C533" s="1822" t="s">
        <v>411</v>
      </c>
      <c r="D533" s="1822"/>
      <c r="E533" s="1822"/>
      <c r="F533" s="1822"/>
      <c r="G533" s="1822"/>
      <c r="H533" s="1822"/>
      <c r="I533" s="1822"/>
      <c r="J533" s="1822"/>
      <c r="K533" s="1822"/>
      <c r="L533" s="551">
        <v>78371.929999999993</v>
      </c>
      <c r="M533" s="550"/>
      <c r="N533" s="549"/>
      <c r="AJ533" s="537" t="s">
        <v>411</v>
      </c>
    </row>
    <row r="534" spans="1:36" s="536" customFormat="1" x14ac:dyDescent="0.2">
      <c r="A534" s="548"/>
      <c r="B534" s="552"/>
      <c r="C534" s="1822" t="s">
        <v>481</v>
      </c>
      <c r="D534" s="1822"/>
      <c r="E534" s="1822"/>
      <c r="F534" s="1822"/>
      <c r="G534" s="1822"/>
      <c r="H534" s="1822"/>
      <c r="I534" s="1822"/>
      <c r="J534" s="1822"/>
      <c r="K534" s="1822"/>
      <c r="L534" s="551">
        <v>28322.06</v>
      </c>
      <c r="M534" s="550"/>
      <c r="N534" s="549"/>
      <c r="AJ534" s="537" t="s">
        <v>481</v>
      </c>
    </row>
    <row r="535" spans="1:36" s="536" customFormat="1" x14ac:dyDescent="0.2">
      <c r="A535" s="548"/>
      <c r="B535" s="552"/>
      <c r="C535" s="1822" t="s">
        <v>412</v>
      </c>
      <c r="D535" s="1822"/>
      <c r="E535" s="1822"/>
      <c r="F535" s="1822"/>
      <c r="G535" s="1822"/>
      <c r="H535" s="1822"/>
      <c r="I535" s="1822"/>
      <c r="J535" s="1822"/>
      <c r="K535" s="1822"/>
      <c r="L535" s="551">
        <v>4266.38</v>
      </c>
      <c r="M535" s="550"/>
      <c r="N535" s="549"/>
      <c r="AJ535" s="537" t="s">
        <v>412</v>
      </c>
    </row>
    <row r="536" spans="1:36" s="536" customFormat="1" x14ac:dyDescent="0.2">
      <c r="A536" s="548"/>
      <c r="B536" s="552"/>
      <c r="C536" s="1822" t="s">
        <v>413</v>
      </c>
      <c r="D536" s="1822"/>
      <c r="E536" s="1822"/>
      <c r="F536" s="1822"/>
      <c r="G536" s="1822"/>
      <c r="H536" s="1822"/>
      <c r="I536" s="1822"/>
      <c r="J536" s="1822"/>
      <c r="K536" s="1822"/>
      <c r="L536" s="551">
        <v>1834.56</v>
      </c>
      <c r="M536" s="550"/>
      <c r="N536" s="549"/>
      <c r="AJ536" s="537" t="s">
        <v>413</v>
      </c>
    </row>
    <row r="537" spans="1:36" s="536" customFormat="1" x14ac:dyDescent="0.2">
      <c r="A537" s="548"/>
      <c r="B537" s="552" t="s">
        <v>185</v>
      </c>
      <c r="C537" s="1822" t="s">
        <v>414</v>
      </c>
      <c r="D537" s="1822"/>
      <c r="E537" s="1822"/>
      <c r="F537" s="1822"/>
      <c r="G537" s="1822"/>
      <c r="H537" s="1822"/>
      <c r="I537" s="1822"/>
      <c r="J537" s="1822"/>
      <c r="K537" s="1822"/>
      <c r="L537" s="551">
        <v>8.5299999999999994</v>
      </c>
      <c r="M537" s="550">
        <v>6.42</v>
      </c>
      <c r="N537" s="549">
        <v>55</v>
      </c>
      <c r="AJ537" s="537" t="s">
        <v>414</v>
      </c>
    </row>
    <row r="538" spans="1:36" s="536" customFormat="1" x14ac:dyDescent="0.2">
      <c r="A538" s="548"/>
      <c r="B538" s="552" t="s">
        <v>185</v>
      </c>
      <c r="C538" s="1822" t="s">
        <v>753</v>
      </c>
      <c r="D538" s="1822"/>
      <c r="E538" s="1822"/>
      <c r="F538" s="1822"/>
      <c r="G538" s="1822"/>
      <c r="H538" s="1822"/>
      <c r="I538" s="1822"/>
      <c r="J538" s="1822"/>
      <c r="K538" s="1822"/>
      <c r="L538" s="551">
        <v>61896.12</v>
      </c>
      <c r="M538" s="550">
        <v>6.42</v>
      </c>
      <c r="N538" s="549">
        <v>397373</v>
      </c>
      <c r="AJ538" s="537" t="s">
        <v>753</v>
      </c>
    </row>
    <row r="539" spans="1:36" s="536" customFormat="1" x14ac:dyDescent="0.2">
      <c r="A539" s="548"/>
      <c r="B539" s="552"/>
      <c r="C539" s="1822" t="s">
        <v>204</v>
      </c>
      <c r="D539" s="1822"/>
      <c r="E539" s="1822"/>
      <c r="F539" s="1822"/>
      <c r="G539" s="1822"/>
      <c r="H539" s="1822"/>
      <c r="I539" s="1822"/>
      <c r="J539" s="1822"/>
      <c r="K539" s="1822"/>
      <c r="L539" s="551"/>
      <c r="M539" s="550"/>
      <c r="N539" s="549"/>
      <c r="AJ539" s="537" t="s">
        <v>204</v>
      </c>
    </row>
    <row r="540" spans="1:36" s="536" customFormat="1" x14ac:dyDescent="0.2">
      <c r="A540" s="548"/>
      <c r="B540" s="552"/>
      <c r="C540" s="1822" t="s">
        <v>546</v>
      </c>
      <c r="D540" s="1822"/>
      <c r="E540" s="1822"/>
      <c r="F540" s="1822"/>
      <c r="G540" s="1822"/>
      <c r="H540" s="1822"/>
      <c r="I540" s="1822"/>
      <c r="J540" s="1822"/>
      <c r="K540" s="1822"/>
      <c r="L540" s="551">
        <v>1074.7</v>
      </c>
      <c r="M540" s="550"/>
      <c r="N540" s="549"/>
      <c r="AJ540" s="537" t="s">
        <v>546</v>
      </c>
    </row>
    <row r="541" spans="1:36" s="536" customFormat="1" x14ac:dyDescent="0.2">
      <c r="A541" s="548"/>
      <c r="B541" s="552"/>
      <c r="C541" s="1822" t="s">
        <v>442</v>
      </c>
      <c r="D541" s="1822"/>
      <c r="E541" s="1822"/>
      <c r="F541" s="1822"/>
      <c r="G541" s="1822"/>
      <c r="H541" s="1822"/>
      <c r="I541" s="1822"/>
      <c r="J541" s="1822"/>
      <c r="K541" s="1822"/>
      <c r="L541" s="551">
        <v>1272.04</v>
      </c>
      <c r="M541" s="550"/>
      <c r="N541" s="549"/>
      <c r="AJ541" s="537" t="s">
        <v>442</v>
      </c>
    </row>
    <row r="542" spans="1:36" s="536" customFormat="1" x14ac:dyDescent="0.2">
      <c r="A542" s="548"/>
      <c r="B542" s="552"/>
      <c r="C542" s="1822" t="s">
        <v>547</v>
      </c>
      <c r="D542" s="1822"/>
      <c r="E542" s="1822"/>
      <c r="F542" s="1822"/>
      <c r="G542" s="1822"/>
      <c r="H542" s="1822"/>
      <c r="I542" s="1822"/>
      <c r="J542" s="1822"/>
      <c r="K542" s="1822"/>
      <c r="L542" s="551">
        <v>57743.87</v>
      </c>
      <c r="M542" s="550"/>
      <c r="N542" s="549"/>
      <c r="AJ542" s="537" t="s">
        <v>547</v>
      </c>
    </row>
    <row r="543" spans="1:36" s="536" customFormat="1" x14ac:dyDescent="0.2">
      <c r="A543" s="548"/>
      <c r="B543" s="552"/>
      <c r="C543" s="1822" t="s">
        <v>443</v>
      </c>
      <c r="D543" s="1822"/>
      <c r="E543" s="1822"/>
      <c r="F543" s="1822"/>
      <c r="G543" s="1822"/>
      <c r="H543" s="1822"/>
      <c r="I543" s="1822"/>
      <c r="J543" s="1822"/>
      <c r="K543" s="1822"/>
      <c r="L543" s="551">
        <v>1183.3399999999999</v>
      </c>
      <c r="M543" s="550"/>
      <c r="N543" s="549"/>
      <c r="AJ543" s="537" t="s">
        <v>443</v>
      </c>
    </row>
    <row r="544" spans="1:36" s="536" customFormat="1" x14ac:dyDescent="0.2">
      <c r="A544" s="548"/>
      <c r="B544" s="552"/>
      <c r="C544" s="1822" t="s">
        <v>444</v>
      </c>
      <c r="D544" s="1822"/>
      <c r="E544" s="1822"/>
      <c r="F544" s="1822"/>
      <c r="G544" s="1822"/>
      <c r="H544" s="1822"/>
      <c r="I544" s="1822"/>
      <c r="J544" s="1822"/>
      <c r="K544" s="1822"/>
      <c r="L544" s="551">
        <v>622.16999999999996</v>
      </c>
      <c r="M544" s="550"/>
      <c r="N544" s="549"/>
      <c r="AJ544" s="537" t="s">
        <v>444</v>
      </c>
    </row>
    <row r="545" spans="1:38" x14ac:dyDescent="0.2">
      <c r="A545" s="548"/>
      <c r="B545" s="552" t="s">
        <v>186</v>
      </c>
      <c r="C545" s="1822" t="s">
        <v>754</v>
      </c>
      <c r="D545" s="1822"/>
      <c r="E545" s="1822"/>
      <c r="F545" s="1822"/>
      <c r="G545" s="1822"/>
      <c r="H545" s="1822"/>
      <c r="I545" s="1822"/>
      <c r="J545" s="1822"/>
      <c r="K545" s="1822"/>
      <c r="L545" s="551">
        <v>1529798.91</v>
      </c>
      <c r="M545" s="550">
        <v>4.59</v>
      </c>
      <c r="N545" s="549">
        <v>7021777</v>
      </c>
      <c r="P545" s="536"/>
      <c r="Q545" s="536"/>
      <c r="R545" s="536"/>
      <c r="S545" s="536"/>
      <c r="T545" s="536"/>
      <c r="U545" s="536"/>
      <c r="V545" s="536"/>
      <c r="W545" s="536"/>
      <c r="X545" s="536"/>
      <c r="Y545" s="536"/>
      <c r="Z545" s="536"/>
      <c r="AA545" s="536"/>
      <c r="AB545" s="536"/>
      <c r="AC545" s="536"/>
      <c r="AD545" s="536"/>
      <c r="AE545" s="536"/>
      <c r="AF545" s="536"/>
      <c r="AG545" s="536"/>
      <c r="AH545" s="536"/>
      <c r="AI545" s="536"/>
      <c r="AJ545" s="537" t="s">
        <v>754</v>
      </c>
      <c r="AK545" s="536"/>
      <c r="AL545" s="536"/>
    </row>
    <row r="546" spans="1:38" x14ac:dyDescent="0.2">
      <c r="A546" s="548"/>
      <c r="B546" s="552"/>
      <c r="C546" s="1822" t="s">
        <v>415</v>
      </c>
      <c r="D546" s="1822"/>
      <c r="E546" s="1822"/>
      <c r="F546" s="1822"/>
      <c r="G546" s="1822"/>
      <c r="H546" s="1822"/>
      <c r="I546" s="1822"/>
      <c r="J546" s="1822"/>
      <c r="K546" s="1822"/>
      <c r="L546" s="551">
        <v>5364.82</v>
      </c>
      <c r="M546" s="550"/>
      <c r="N546" s="549"/>
      <c r="P546" s="536"/>
      <c r="Q546" s="536"/>
      <c r="R546" s="536"/>
      <c r="S546" s="536"/>
      <c r="T546" s="536"/>
      <c r="U546" s="536"/>
      <c r="V546" s="536"/>
      <c r="W546" s="536"/>
      <c r="X546" s="536"/>
      <c r="Y546" s="536"/>
      <c r="Z546" s="536"/>
      <c r="AA546" s="536"/>
      <c r="AB546" s="536"/>
      <c r="AC546" s="536"/>
      <c r="AD546" s="536"/>
      <c r="AE546" s="536"/>
      <c r="AF546" s="536"/>
      <c r="AG546" s="536"/>
      <c r="AH546" s="536"/>
      <c r="AI546" s="536"/>
      <c r="AJ546" s="537" t="s">
        <v>415</v>
      </c>
      <c r="AK546" s="536"/>
      <c r="AL546" s="536"/>
    </row>
    <row r="547" spans="1:38" x14ac:dyDescent="0.2">
      <c r="A547" s="548"/>
      <c r="B547" s="552"/>
      <c r="C547" s="1822" t="s">
        <v>416</v>
      </c>
      <c r="D547" s="1822"/>
      <c r="E547" s="1822"/>
      <c r="F547" s="1822"/>
      <c r="G547" s="1822"/>
      <c r="H547" s="1822"/>
      <c r="I547" s="1822"/>
      <c r="J547" s="1822"/>
      <c r="K547" s="1822"/>
      <c r="L547" s="551">
        <v>5449.72</v>
      </c>
      <c r="M547" s="550"/>
      <c r="N547" s="549"/>
      <c r="P547" s="536"/>
      <c r="Q547" s="536"/>
      <c r="R547" s="536"/>
      <c r="S547" s="536"/>
      <c r="T547" s="536"/>
      <c r="U547" s="536"/>
      <c r="V547" s="536"/>
      <c r="W547" s="536"/>
      <c r="X547" s="536"/>
      <c r="Y547" s="536"/>
      <c r="Z547" s="536"/>
      <c r="AA547" s="536"/>
      <c r="AB547" s="536"/>
      <c r="AC547" s="536"/>
      <c r="AD547" s="536"/>
      <c r="AE547" s="536"/>
      <c r="AF547" s="536"/>
      <c r="AG547" s="536"/>
      <c r="AH547" s="536"/>
      <c r="AI547" s="536"/>
      <c r="AJ547" s="537" t="s">
        <v>416</v>
      </c>
      <c r="AK547" s="536"/>
      <c r="AL547" s="536"/>
    </row>
    <row r="548" spans="1:38" x14ac:dyDescent="0.2">
      <c r="A548" s="548"/>
      <c r="B548" s="552"/>
      <c r="C548" s="1822" t="s">
        <v>417</v>
      </c>
      <c r="D548" s="1822"/>
      <c r="E548" s="1822"/>
      <c r="F548" s="1822"/>
      <c r="G548" s="1822"/>
      <c r="H548" s="1822"/>
      <c r="I548" s="1822"/>
      <c r="J548" s="1822"/>
      <c r="K548" s="1822"/>
      <c r="L548" s="551">
        <v>2456.73</v>
      </c>
      <c r="M548" s="550"/>
      <c r="N548" s="549"/>
      <c r="P548" s="536"/>
      <c r="Q548" s="536"/>
      <c r="R548" s="536"/>
      <c r="S548" s="536"/>
      <c r="T548" s="536"/>
      <c r="U548" s="536"/>
      <c r="V548" s="536"/>
      <c r="W548" s="536"/>
      <c r="X548" s="536"/>
      <c r="Y548" s="536"/>
      <c r="Z548" s="536"/>
      <c r="AA548" s="536"/>
      <c r="AB548" s="536"/>
      <c r="AC548" s="536"/>
      <c r="AD548" s="536"/>
      <c r="AE548" s="536"/>
      <c r="AF548" s="536"/>
      <c r="AG548" s="536"/>
      <c r="AH548" s="536"/>
      <c r="AI548" s="536"/>
      <c r="AJ548" s="537" t="s">
        <v>417</v>
      </c>
      <c r="AK548" s="536"/>
      <c r="AL548" s="536"/>
    </row>
    <row r="549" spans="1:38" x14ac:dyDescent="0.2">
      <c r="A549" s="548"/>
      <c r="B549" s="546"/>
      <c r="C549" s="1819" t="s">
        <v>206</v>
      </c>
      <c r="D549" s="1819"/>
      <c r="E549" s="1819"/>
      <c r="F549" s="1819"/>
      <c r="G549" s="1819"/>
      <c r="H549" s="1819"/>
      <c r="I549" s="1819"/>
      <c r="J549" s="1819"/>
      <c r="K549" s="1819"/>
      <c r="L549" s="544">
        <v>1706535.46</v>
      </c>
      <c r="M549" s="543"/>
      <c r="N549" s="547">
        <v>8156426</v>
      </c>
      <c r="P549" s="536"/>
      <c r="Q549" s="536"/>
      <c r="R549" s="536"/>
      <c r="S549" s="536"/>
      <c r="T549" s="536"/>
      <c r="U549" s="536"/>
      <c r="V549" s="536"/>
      <c r="W549" s="536"/>
      <c r="X549" s="536"/>
      <c r="Y549" s="536"/>
      <c r="Z549" s="536"/>
      <c r="AA549" s="536"/>
      <c r="AB549" s="536"/>
      <c r="AC549" s="536"/>
      <c r="AD549" s="536"/>
      <c r="AE549" s="536"/>
      <c r="AF549" s="536"/>
      <c r="AG549" s="536"/>
      <c r="AH549" s="536"/>
      <c r="AI549" s="536"/>
      <c r="AJ549" s="536"/>
      <c r="AK549" s="537" t="s">
        <v>206</v>
      </c>
      <c r="AL549" s="536"/>
    </row>
    <row r="550" spans="1:38" x14ac:dyDescent="0.2">
      <c r="A550" s="548"/>
      <c r="B550" s="552"/>
      <c r="C550" s="1822" t="s">
        <v>204</v>
      </c>
      <c r="D550" s="1822"/>
      <c r="E550" s="1822"/>
      <c r="F550" s="1822"/>
      <c r="G550" s="1822"/>
      <c r="H550" s="1822"/>
      <c r="I550" s="1822"/>
      <c r="J550" s="1822"/>
      <c r="K550" s="1822"/>
      <c r="L550" s="551"/>
      <c r="M550" s="550"/>
      <c r="N550" s="549"/>
      <c r="P550" s="536"/>
      <c r="Q550" s="536"/>
      <c r="R550" s="536"/>
      <c r="S550" s="536"/>
      <c r="T550" s="536"/>
      <c r="U550" s="536"/>
      <c r="V550" s="536"/>
      <c r="W550" s="536"/>
      <c r="X550" s="536"/>
      <c r="Y550" s="536"/>
      <c r="Z550" s="536"/>
      <c r="AA550" s="536"/>
      <c r="AB550" s="536"/>
      <c r="AC550" s="536"/>
      <c r="AD550" s="536"/>
      <c r="AE550" s="536"/>
      <c r="AF550" s="536"/>
      <c r="AG550" s="536"/>
      <c r="AH550" s="536"/>
      <c r="AI550" s="536"/>
      <c r="AJ550" s="537" t="s">
        <v>204</v>
      </c>
      <c r="AK550" s="536"/>
      <c r="AL550" s="536"/>
    </row>
    <row r="551" spans="1:38" x14ac:dyDescent="0.2">
      <c r="A551" s="548"/>
      <c r="B551" s="552"/>
      <c r="C551" s="1822" t="s">
        <v>8095</v>
      </c>
      <c r="D551" s="1822"/>
      <c r="E551" s="1822"/>
      <c r="F551" s="1822"/>
      <c r="G551" s="1822"/>
      <c r="H551" s="1822"/>
      <c r="I551" s="1822"/>
      <c r="J551" s="1822"/>
      <c r="K551" s="1822"/>
      <c r="L551" s="551">
        <v>71595.64</v>
      </c>
      <c r="M551" s="550"/>
      <c r="N551" s="549">
        <v>459644</v>
      </c>
      <c r="P551" s="536"/>
      <c r="Q551" s="536"/>
      <c r="R551" s="536"/>
      <c r="S551" s="536"/>
      <c r="T551" s="536"/>
      <c r="U551" s="536"/>
      <c r="V551" s="536"/>
      <c r="W551" s="536"/>
      <c r="X551" s="536"/>
      <c r="Y551" s="536"/>
      <c r="Z551" s="536"/>
      <c r="AA551" s="536"/>
      <c r="AB551" s="536"/>
      <c r="AC551" s="536"/>
      <c r="AD551" s="536"/>
      <c r="AE551" s="536"/>
      <c r="AF551" s="536"/>
      <c r="AG551" s="536"/>
      <c r="AH551" s="536"/>
      <c r="AI551" s="536"/>
      <c r="AJ551" s="537" t="s">
        <v>8095</v>
      </c>
      <c r="AK551" s="536"/>
      <c r="AL551" s="536"/>
    </row>
    <row r="552" spans="1:38" x14ac:dyDescent="0.2">
      <c r="A552" s="548"/>
      <c r="B552" s="552"/>
      <c r="C552" s="1822" t="s">
        <v>8097</v>
      </c>
      <c r="D552" s="1822"/>
      <c r="E552" s="1822"/>
      <c r="F552" s="1822"/>
      <c r="G552" s="1822"/>
      <c r="H552" s="1822"/>
      <c r="I552" s="1822"/>
      <c r="J552" s="1822"/>
      <c r="K552" s="1822"/>
      <c r="L552" s="551"/>
      <c r="M552" s="550"/>
      <c r="N552" s="549">
        <v>7021777</v>
      </c>
      <c r="P552" s="536"/>
      <c r="Q552" s="536"/>
      <c r="R552" s="536"/>
      <c r="S552" s="536"/>
      <c r="T552" s="536"/>
      <c r="U552" s="536"/>
      <c r="V552" s="536"/>
      <c r="W552" s="536"/>
      <c r="X552" s="536"/>
      <c r="Y552" s="536"/>
      <c r="Z552" s="536"/>
      <c r="AA552" s="536"/>
      <c r="AB552" s="536"/>
      <c r="AC552" s="536"/>
      <c r="AD552" s="536"/>
      <c r="AE552" s="536"/>
      <c r="AF552" s="536"/>
      <c r="AG552" s="536"/>
      <c r="AH552" s="536"/>
      <c r="AI552" s="536"/>
      <c r="AJ552" s="537" t="s">
        <v>8097</v>
      </c>
      <c r="AK552" s="536"/>
      <c r="AL552" s="536"/>
    </row>
    <row r="553" spans="1:38" ht="1.5" customHeight="1" x14ac:dyDescent="0.2">
      <c r="B553" s="546"/>
      <c r="C553" s="671"/>
      <c r="D553" s="671"/>
      <c r="E553" s="671"/>
      <c r="F553" s="671"/>
      <c r="G553" s="671"/>
      <c r="H553" s="671"/>
      <c r="I553" s="671"/>
      <c r="J553" s="671"/>
      <c r="K553" s="671"/>
      <c r="L553" s="544"/>
      <c r="M553" s="543"/>
      <c r="N553" s="542"/>
      <c r="P553" s="536"/>
      <c r="Q553" s="536"/>
      <c r="R553" s="536"/>
      <c r="S553" s="536"/>
      <c r="T553" s="536"/>
      <c r="U553" s="536"/>
      <c r="V553" s="536"/>
      <c r="W553" s="536"/>
      <c r="X553" s="536"/>
      <c r="Y553" s="536"/>
      <c r="Z553" s="536"/>
      <c r="AA553" s="536"/>
      <c r="AB553" s="536"/>
      <c r="AC553" s="536"/>
      <c r="AD553" s="536"/>
      <c r="AE553" s="536"/>
      <c r="AF553" s="536"/>
      <c r="AG553" s="536"/>
      <c r="AH553" s="536"/>
      <c r="AI553" s="536"/>
      <c r="AJ553" s="536"/>
      <c r="AK553" s="536"/>
      <c r="AL553" s="536"/>
    </row>
    <row r="554" spans="1:38" ht="53.25" customHeight="1" x14ac:dyDescent="0.2">
      <c r="A554" s="541"/>
      <c r="B554" s="541"/>
      <c r="C554" s="541"/>
      <c r="D554" s="541"/>
      <c r="E554" s="541"/>
      <c r="F554" s="541"/>
      <c r="G554" s="541"/>
      <c r="H554" s="541"/>
      <c r="I554" s="541"/>
      <c r="J554" s="541"/>
      <c r="K554" s="541"/>
      <c r="L554" s="541"/>
      <c r="M554" s="541"/>
      <c r="N554" s="541"/>
      <c r="P554" s="536"/>
      <c r="Q554" s="536"/>
      <c r="R554" s="536"/>
      <c r="S554" s="536"/>
      <c r="T554" s="536"/>
      <c r="U554" s="536"/>
      <c r="V554" s="536"/>
      <c r="W554" s="536"/>
      <c r="X554" s="536"/>
      <c r="Y554" s="536"/>
      <c r="Z554" s="536"/>
      <c r="AA554" s="536"/>
      <c r="AB554" s="536"/>
      <c r="AC554" s="536"/>
      <c r="AD554" s="536"/>
      <c r="AE554" s="536"/>
      <c r="AF554" s="536"/>
      <c r="AG554" s="536"/>
      <c r="AH554" s="536"/>
      <c r="AI554" s="536"/>
      <c r="AJ554" s="536"/>
      <c r="AK554" s="536"/>
      <c r="AL554" s="536"/>
    </row>
    <row r="555" spans="1:38" x14ac:dyDescent="0.2">
      <c r="B555" s="539" t="s">
        <v>149</v>
      </c>
      <c r="C555" s="1943" t="s">
        <v>207</v>
      </c>
      <c r="D555" s="1943"/>
      <c r="E555" s="1943"/>
      <c r="F555" s="1943"/>
      <c r="G555" s="1943"/>
      <c r="H555" s="1943"/>
      <c r="I555" s="1943"/>
      <c r="J555" s="1943"/>
      <c r="K555" s="1943"/>
      <c r="L555" s="1943"/>
    </row>
    <row r="556" spans="1:38" ht="13.5" customHeight="1" x14ac:dyDescent="0.2">
      <c r="B556" s="540"/>
      <c r="C556" s="1821" t="s">
        <v>150</v>
      </c>
      <c r="D556" s="1821"/>
      <c r="E556" s="1821"/>
      <c r="F556" s="1821"/>
      <c r="G556" s="1821"/>
      <c r="H556" s="1821"/>
      <c r="I556" s="1821"/>
      <c r="J556" s="1821"/>
      <c r="K556" s="1821"/>
      <c r="L556" s="1821"/>
    </row>
    <row r="557" spans="1:38" ht="12.75" customHeight="1" x14ac:dyDescent="0.2">
      <c r="B557" s="539" t="s">
        <v>151</v>
      </c>
      <c r="C557" s="1943" t="s">
        <v>208</v>
      </c>
      <c r="D557" s="1943"/>
      <c r="E557" s="1943"/>
      <c r="F557" s="1943"/>
      <c r="G557" s="1943"/>
      <c r="H557" s="1943"/>
      <c r="I557" s="1943"/>
      <c r="J557" s="1943"/>
      <c r="K557" s="1943"/>
      <c r="L557" s="1943"/>
    </row>
    <row r="558" spans="1:38" ht="13.5" customHeight="1" x14ac:dyDescent="0.2">
      <c r="C558" s="1821" t="s">
        <v>150</v>
      </c>
      <c r="D558" s="1821"/>
      <c r="E558" s="1821"/>
      <c r="F558" s="1821"/>
      <c r="G558" s="1821"/>
      <c r="H558" s="1821"/>
      <c r="I558" s="1821"/>
      <c r="J558" s="1821"/>
      <c r="K558" s="1821"/>
      <c r="L558" s="1821"/>
    </row>
    <row r="560" spans="1:38" x14ac:dyDescent="0.2">
      <c r="A560" s="1944"/>
      <c r="B560" s="1944"/>
      <c r="C560" s="1944"/>
      <c r="D560" s="1944"/>
      <c r="E560" s="1944"/>
      <c r="F560" s="1944"/>
      <c r="G560" s="1944"/>
      <c r="H560" s="1944"/>
      <c r="I560" s="1944"/>
      <c r="J560" s="1944"/>
      <c r="K560" s="1944"/>
      <c r="L560" s="1944"/>
      <c r="M560" s="1944"/>
      <c r="N560" s="1944"/>
      <c r="P560" s="536"/>
      <c r="Q560" s="536"/>
      <c r="R560" s="536"/>
      <c r="S560" s="536"/>
      <c r="T560" s="536"/>
      <c r="U560" s="536"/>
      <c r="V560" s="536"/>
      <c r="W560" s="536"/>
      <c r="X560" s="536"/>
      <c r="Y560" s="536"/>
      <c r="Z560" s="536"/>
      <c r="AA560" s="536"/>
      <c r="AB560" s="536"/>
      <c r="AC560" s="536"/>
      <c r="AD560" s="536"/>
      <c r="AE560" s="536"/>
      <c r="AF560" s="536"/>
      <c r="AG560" s="536"/>
      <c r="AH560" s="536"/>
      <c r="AI560" s="536"/>
      <c r="AJ560" s="536"/>
      <c r="AK560" s="536"/>
      <c r="AL560" s="537" t="s">
        <v>143</v>
      </c>
    </row>
    <row r="561" spans="2:6" s="536" customFormat="1" x14ac:dyDescent="0.2">
      <c r="B561" s="538"/>
      <c r="D561" s="538"/>
      <c r="F561" s="538"/>
    </row>
  </sheetData>
  <mergeCells count="522">
    <mergeCell ref="C558:L558"/>
    <mergeCell ref="A560:N560"/>
    <mergeCell ref="C550:K550"/>
    <mergeCell ref="C551:K551"/>
    <mergeCell ref="C552:K552"/>
    <mergeCell ref="C555:L555"/>
    <mergeCell ref="C556:L556"/>
    <mergeCell ref="C557:L557"/>
    <mergeCell ref="C544:K544"/>
    <mergeCell ref="C545:K545"/>
    <mergeCell ref="C546:K546"/>
    <mergeCell ref="C547:K547"/>
    <mergeCell ref="C548:K548"/>
    <mergeCell ref="C549:K549"/>
    <mergeCell ref="C538:K538"/>
    <mergeCell ref="C539:K539"/>
    <mergeCell ref="C540:K540"/>
    <mergeCell ref="C541:K541"/>
    <mergeCell ref="C542:K542"/>
    <mergeCell ref="C543:K543"/>
    <mergeCell ref="C532:K532"/>
    <mergeCell ref="C533:K533"/>
    <mergeCell ref="C534:K534"/>
    <mergeCell ref="C535:K535"/>
    <mergeCell ref="C536:K536"/>
    <mergeCell ref="C537:K537"/>
    <mergeCell ref="C526:K526"/>
    <mergeCell ref="C527:K527"/>
    <mergeCell ref="C528:K528"/>
    <mergeCell ref="C529:K529"/>
    <mergeCell ref="C530:K530"/>
    <mergeCell ref="C531:K531"/>
    <mergeCell ref="C519:K519"/>
    <mergeCell ref="C520:K520"/>
    <mergeCell ref="C522:K522"/>
    <mergeCell ref="C523:K523"/>
    <mergeCell ref="C524:K524"/>
    <mergeCell ref="C525:K525"/>
    <mergeCell ref="C513:K513"/>
    <mergeCell ref="C514:K514"/>
    <mergeCell ref="C515:K515"/>
    <mergeCell ref="C516:K516"/>
    <mergeCell ref="C517:K517"/>
    <mergeCell ref="C518:K518"/>
    <mergeCell ref="C505:K505"/>
    <mergeCell ref="C506:K506"/>
    <mergeCell ref="C507:K507"/>
    <mergeCell ref="A508:N508"/>
    <mergeCell ref="C509:E509"/>
    <mergeCell ref="C511:N511"/>
    <mergeCell ref="C499:K499"/>
    <mergeCell ref="C500:K500"/>
    <mergeCell ref="C501:K501"/>
    <mergeCell ref="C502:K502"/>
    <mergeCell ref="C503:K503"/>
    <mergeCell ref="C504:K504"/>
    <mergeCell ref="C493:K493"/>
    <mergeCell ref="C494:K494"/>
    <mergeCell ref="C495:K495"/>
    <mergeCell ref="C496:K496"/>
    <mergeCell ref="C497:K497"/>
    <mergeCell ref="C498:K498"/>
    <mergeCell ref="C487:K487"/>
    <mergeCell ref="C488:K488"/>
    <mergeCell ref="C489:K489"/>
    <mergeCell ref="C490:K490"/>
    <mergeCell ref="C491:K491"/>
    <mergeCell ref="C492:K492"/>
    <mergeCell ref="C481:K481"/>
    <mergeCell ref="C482:K482"/>
    <mergeCell ref="C483:K483"/>
    <mergeCell ref="C484:K484"/>
    <mergeCell ref="C485:K485"/>
    <mergeCell ref="C486:K486"/>
    <mergeCell ref="C473:E473"/>
    <mergeCell ref="C474:E474"/>
    <mergeCell ref="C475:E475"/>
    <mergeCell ref="C476:E476"/>
    <mergeCell ref="C477:E477"/>
    <mergeCell ref="C479:N479"/>
    <mergeCell ref="C467:E467"/>
    <mergeCell ref="C468:E468"/>
    <mergeCell ref="C469:E469"/>
    <mergeCell ref="C470:E470"/>
    <mergeCell ref="C471:E471"/>
    <mergeCell ref="C472:E472"/>
    <mergeCell ref="C460:E460"/>
    <mergeCell ref="C462:N462"/>
    <mergeCell ref="C463:E463"/>
    <mergeCell ref="C464:N464"/>
    <mergeCell ref="C465:N465"/>
    <mergeCell ref="C466:E466"/>
    <mergeCell ref="C454:E454"/>
    <mergeCell ref="C455:E455"/>
    <mergeCell ref="C456:E456"/>
    <mergeCell ref="C457:E457"/>
    <mergeCell ref="C458:E458"/>
    <mergeCell ref="C459:E459"/>
    <mergeCell ref="C448:N448"/>
    <mergeCell ref="C449:E449"/>
    <mergeCell ref="C450:E450"/>
    <mergeCell ref="C451:E451"/>
    <mergeCell ref="C452:E452"/>
    <mergeCell ref="C453:E453"/>
    <mergeCell ref="C442:E442"/>
    <mergeCell ref="C443:E443"/>
    <mergeCell ref="C444:E444"/>
    <mergeCell ref="C445:E445"/>
    <mergeCell ref="C446:E446"/>
    <mergeCell ref="C447:N447"/>
    <mergeCell ref="C436:E436"/>
    <mergeCell ref="C437:E437"/>
    <mergeCell ref="C438:E438"/>
    <mergeCell ref="C439:E439"/>
    <mergeCell ref="C440:E440"/>
    <mergeCell ref="C441:E441"/>
    <mergeCell ref="C430:E430"/>
    <mergeCell ref="C431:E431"/>
    <mergeCell ref="C432:E432"/>
    <mergeCell ref="C433:E433"/>
    <mergeCell ref="C434:N434"/>
    <mergeCell ref="C435:N435"/>
    <mergeCell ref="C424:N424"/>
    <mergeCell ref="C425:N425"/>
    <mergeCell ref="C426:E426"/>
    <mergeCell ref="C427:E427"/>
    <mergeCell ref="C428:E428"/>
    <mergeCell ref="C429:E429"/>
    <mergeCell ref="C418:E418"/>
    <mergeCell ref="C419:E419"/>
    <mergeCell ref="C420:E420"/>
    <mergeCell ref="C421:E421"/>
    <mergeCell ref="C422:E422"/>
    <mergeCell ref="C423:E423"/>
    <mergeCell ref="A412:N412"/>
    <mergeCell ref="C413:E413"/>
    <mergeCell ref="C414:N414"/>
    <mergeCell ref="C415:N415"/>
    <mergeCell ref="C416:E416"/>
    <mergeCell ref="C417:E417"/>
    <mergeCell ref="C406:K406"/>
    <mergeCell ref="C407:K407"/>
    <mergeCell ref="C408:K408"/>
    <mergeCell ref="C409:K409"/>
    <mergeCell ref="C410:K410"/>
    <mergeCell ref="C411:K411"/>
    <mergeCell ref="C400:K400"/>
    <mergeCell ref="C401:K401"/>
    <mergeCell ref="C402:K402"/>
    <mergeCell ref="C403:K403"/>
    <mergeCell ref="C404:K404"/>
    <mergeCell ref="C405:K405"/>
    <mergeCell ref="C394:K394"/>
    <mergeCell ref="C395:K395"/>
    <mergeCell ref="C396:K396"/>
    <mergeCell ref="C397:K397"/>
    <mergeCell ref="C398:K398"/>
    <mergeCell ref="C399:K399"/>
    <mergeCell ref="C388:K388"/>
    <mergeCell ref="C389:K389"/>
    <mergeCell ref="C390:K390"/>
    <mergeCell ref="C391:K391"/>
    <mergeCell ref="C392:K392"/>
    <mergeCell ref="C393:K393"/>
    <mergeCell ref="C380:E380"/>
    <mergeCell ref="C381:E381"/>
    <mergeCell ref="C382:E382"/>
    <mergeCell ref="C385:K385"/>
    <mergeCell ref="C386:K386"/>
    <mergeCell ref="C387:K387"/>
    <mergeCell ref="C374:E374"/>
    <mergeCell ref="C375:E375"/>
    <mergeCell ref="C376:E376"/>
    <mergeCell ref="C377:E377"/>
    <mergeCell ref="C378:E378"/>
    <mergeCell ref="C379:E379"/>
    <mergeCell ref="C367:E367"/>
    <mergeCell ref="C368:E368"/>
    <mergeCell ref="C369:E369"/>
    <mergeCell ref="C371:N371"/>
    <mergeCell ref="C372:E372"/>
    <mergeCell ref="C373:N373"/>
    <mergeCell ref="C361:E361"/>
    <mergeCell ref="C362:E362"/>
    <mergeCell ref="C363:E363"/>
    <mergeCell ref="C364:E364"/>
    <mergeCell ref="C365:E365"/>
    <mergeCell ref="C366:E366"/>
    <mergeCell ref="C353:E353"/>
    <mergeCell ref="C355:N355"/>
    <mergeCell ref="C356:E356"/>
    <mergeCell ref="C358:N358"/>
    <mergeCell ref="C359:E359"/>
    <mergeCell ref="C360:N360"/>
    <mergeCell ref="C346:E346"/>
    <mergeCell ref="C347:E347"/>
    <mergeCell ref="C348:E348"/>
    <mergeCell ref="C349:E349"/>
    <mergeCell ref="C350:E350"/>
    <mergeCell ref="C352:N352"/>
    <mergeCell ref="C340:N340"/>
    <mergeCell ref="C341:N341"/>
    <mergeCell ref="C342:E342"/>
    <mergeCell ref="C343:E343"/>
    <mergeCell ref="C344:E344"/>
    <mergeCell ref="C345:E345"/>
    <mergeCell ref="C333:E333"/>
    <mergeCell ref="C334:E334"/>
    <mergeCell ref="C335:E335"/>
    <mergeCell ref="C337:N337"/>
    <mergeCell ref="C338:N338"/>
    <mergeCell ref="C339:E339"/>
    <mergeCell ref="C327:E327"/>
    <mergeCell ref="C328:E328"/>
    <mergeCell ref="C329:E329"/>
    <mergeCell ref="C330:E330"/>
    <mergeCell ref="C331:E331"/>
    <mergeCell ref="C332:E332"/>
    <mergeCell ref="C321:E321"/>
    <mergeCell ref="C322:N322"/>
    <mergeCell ref="C323:N323"/>
    <mergeCell ref="C324:E324"/>
    <mergeCell ref="C325:E325"/>
    <mergeCell ref="C326:E326"/>
    <mergeCell ref="C314:E314"/>
    <mergeCell ref="C315:E315"/>
    <mergeCell ref="C316:E316"/>
    <mergeCell ref="C317:E317"/>
    <mergeCell ref="C319:N319"/>
    <mergeCell ref="C320:N320"/>
    <mergeCell ref="C308:N308"/>
    <mergeCell ref="C309:E309"/>
    <mergeCell ref="C310:E310"/>
    <mergeCell ref="C311:E311"/>
    <mergeCell ref="C312:E312"/>
    <mergeCell ref="C313:E313"/>
    <mergeCell ref="C300:E300"/>
    <mergeCell ref="C302:N302"/>
    <mergeCell ref="C303:E303"/>
    <mergeCell ref="C305:N305"/>
    <mergeCell ref="C306:E306"/>
    <mergeCell ref="C307:N307"/>
    <mergeCell ref="C294:E294"/>
    <mergeCell ref="C295:E295"/>
    <mergeCell ref="C296:E296"/>
    <mergeCell ref="C297:E297"/>
    <mergeCell ref="C298:E298"/>
    <mergeCell ref="C299:E299"/>
    <mergeCell ref="C288:N288"/>
    <mergeCell ref="C289:E289"/>
    <mergeCell ref="C290:E290"/>
    <mergeCell ref="C291:E291"/>
    <mergeCell ref="C292:E292"/>
    <mergeCell ref="C293:E293"/>
    <mergeCell ref="C282:E282"/>
    <mergeCell ref="C283:E283"/>
    <mergeCell ref="C284:E284"/>
    <mergeCell ref="C285:E285"/>
    <mergeCell ref="C286:E286"/>
    <mergeCell ref="C287:N287"/>
    <mergeCell ref="C276:E276"/>
    <mergeCell ref="C277:E277"/>
    <mergeCell ref="C278:E278"/>
    <mergeCell ref="C279:E279"/>
    <mergeCell ref="C280:E280"/>
    <mergeCell ref="C281:E281"/>
    <mergeCell ref="C269:E269"/>
    <mergeCell ref="C271:N271"/>
    <mergeCell ref="C272:E272"/>
    <mergeCell ref="C273:N273"/>
    <mergeCell ref="C274:N274"/>
    <mergeCell ref="C275:E275"/>
    <mergeCell ref="C263:E263"/>
    <mergeCell ref="C264:E264"/>
    <mergeCell ref="C265:E265"/>
    <mergeCell ref="C266:E266"/>
    <mergeCell ref="C267:E267"/>
    <mergeCell ref="C268:E268"/>
    <mergeCell ref="C257:N257"/>
    <mergeCell ref="C258:E258"/>
    <mergeCell ref="C259:E259"/>
    <mergeCell ref="C260:E260"/>
    <mergeCell ref="C261:E261"/>
    <mergeCell ref="C262:E262"/>
    <mergeCell ref="C249:E249"/>
    <mergeCell ref="C251:E251"/>
    <mergeCell ref="C253:N253"/>
    <mergeCell ref="C254:N254"/>
    <mergeCell ref="C255:E255"/>
    <mergeCell ref="C256:N256"/>
    <mergeCell ref="C242:E242"/>
    <mergeCell ref="C243:E243"/>
    <mergeCell ref="C244:E244"/>
    <mergeCell ref="C245:E245"/>
    <mergeCell ref="C246:E246"/>
    <mergeCell ref="C248:N248"/>
    <mergeCell ref="C236:E236"/>
    <mergeCell ref="C237:E237"/>
    <mergeCell ref="C238:E238"/>
    <mergeCell ref="C239:E239"/>
    <mergeCell ref="C240:E240"/>
    <mergeCell ref="C241:E241"/>
    <mergeCell ref="C230:E230"/>
    <mergeCell ref="C231:E231"/>
    <mergeCell ref="C232:N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18:E218"/>
    <mergeCell ref="C219:E219"/>
    <mergeCell ref="C220:N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A206:N206"/>
    <mergeCell ref="C207:E207"/>
    <mergeCell ref="C208:N208"/>
    <mergeCell ref="C209:E209"/>
    <mergeCell ref="C210:E210"/>
    <mergeCell ref="C211:E211"/>
    <mergeCell ref="C200:K200"/>
    <mergeCell ref="C201:K201"/>
    <mergeCell ref="C202:K202"/>
    <mergeCell ref="C203:K203"/>
    <mergeCell ref="C204:K204"/>
    <mergeCell ref="C205:K205"/>
    <mergeCell ref="C194:K194"/>
    <mergeCell ref="C195:K195"/>
    <mergeCell ref="C196:K196"/>
    <mergeCell ref="C197:K197"/>
    <mergeCell ref="C198:K198"/>
    <mergeCell ref="C199:K199"/>
    <mergeCell ref="C188:K188"/>
    <mergeCell ref="C189:K189"/>
    <mergeCell ref="C190:K190"/>
    <mergeCell ref="C191:K191"/>
    <mergeCell ref="C192:K192"/>
    <mergeCell ref="C193:K193"/>
    <mergeCell ref="C181:E181"/>
    <mergeCell ref="C182:E182"/>
    <mergeCell ref="C183:E183"/>
    <mergeCell ref="C184:E184"/>
    <mergeCell ref="C185:E185"/>
    <mergeCell ref="C186:E186"/>
    <mergeCell ref="C175:N175"/>
    <mergeCell ref="C176:N176"/>
    <mergeCell ref="C177:E177"/>
    <mergeCell ref="C178:E178"/>
    <mergeCell ref="C179:E179"/>
    <mergeCell ref="C180:E180"/>
    <mergeCell ref="C169:E169"/>
    <mergeCell ref="C170:E170"/>
    <mergeCell ref="C171:E171"/>
    <mergeCell ref="C172:E172"/>
    <mergeCell ref="C173:E173"/>
    <mergeCell ref="C174:E174"/>
    <mergeCell ref="C163:E163"/>
    <mergeCell ref="C164:N164"/>
    <mergeCell ref="C165:N165"/>
    <mergeCell ref="C166:E166"/>
    <mergeCell ref="C167:E167"/>
    <mergeCell ref="C168:E168"/>
    <mergeCell ref="C157:E157"/>
    <mergeCell ref="C158:E158"/>
    <mergeCell ref="C159:E159"/>
    <mergeCell ref="C160:E160"/>
    <mergeCell ref="C161:E161"/>
    <mergeCell ref="C162:N162"/>
    <mergeCell ref="C151:N151"/>
    <mergeCell ref="C152:N152"/>
    <mergeCell ref="C153:E153"/>
    <mergeCell ref="C154:E154"/>
    <mergeCell ref="C155:E155"/>
    <mergeCell ref="C156:E156"/>
    <mergeCell ref="C145:E145"/>
    <mergeCell ref="C146:E146"/>
    <mergeCell ref="C147:E147"/>
    <mergeCell ref="C148:E148"/>
    <mergeCell ref="C149:E149"/>
    <mergeCell ref="C150:E150"/>
    <mergeCell ref="C139:E139"/>
    <mergeCell ref="C140:N140"/>
    <mergeCell ref="C141:N141"/>
    <mergeCell ref="C142:E142"/>
    <mergeCell ref="C143:E143"/>
    <mergeCell ref="C144:E144"/>
    <mergeCell ref="C133:E133"/>
    <mergeCell ref="C134:E134"/>
    <mergeCell ref="C135:E135"/>
    <mergeCell ref="C136:E136"/>
    <mergeCell ref="C137:E137"/>
    <mergeCell ref="A138:N138"/>
    <mergeCell ref="C127:N127"/>
    <mergeCell ref="C128:E128"/>
    <mergeCell ref="C129:E129"/>
    <mergeCell ref="C130:E130"/>
    <mergeCell ref="C131:E131"/>
    <mergeCell ref="C132:E132"/>
    <mergeCell ref="C121:E121"/>
    <mergeCell ref="C122:E122"/>
    <mergeCell ref="C123:E123"/>
    <mergeCell ref="C124:E124"/>
    <mergeCell ref="C125:E125"/>
    <mergeCell ref="C126:N126"/>
    <mergeCell ref="C115:N115"/>
    <mergeCell ref="C116:N116"/>
    <mergeCell ref="C117:E117"/>
    <mergeCell ref="C118:E118"/>
    <mergeCell ref="C119:E119"/>
    <mergeCell ref="C120:E120"/>
    <mergeCell ref="C109:E109"/>
    <mergeCell ref="C110:E110"/>
    <mergeCell ref="C111:E111"/>
    <mergeCell ref="C112:E112"/>
    <mergeCell ref="C113:N113"/>
    <mergeCell ref="C114:E114"/>
    <mergeCell ref="C103:N103"/>
    <mergeCell ref="C104:N104"/>
    <mergeCell ref="C105:E105"/>
    <mergeCell ref="C106:E106"/>
    <mergeCell ref="C107:E107"/>
    <mergeCell ref="C108:E108"/>
    <mergeCell ref="C97:E97"/>
    <mergeCell ref="C98:E98"/>
    <mergeCell ref="C99:E99"/>
    <mergeCell ref="C100:E100"/>
    <mergeCell ref="C101:E101"/>
    <mergeCell ref="C102:E102"/>
    <mergeCell ref="C91:E91"/>
    <mergeCell ref="C92:N92"/>
    <mergeCell ref="C93:N93"/>
    <mergeCell ref="C94:E94"/>
    <mergeCell ref="C95:E95"/>
    <mergeCell ref="C96:E96"/>
    <mergeCell ref="C85:E85"/>
    <mergeCell ref="C86:E86"/>
    <mergeCell ref="C87:E87"/>
    <mergeCell ref="C88:E88"/>
    <mergeCell ref="C89:E89"/>
    <mergeCell ref="C90:E90"/>
    <mergeCell ref="A79:N79"/>
    <mergeCell ref="C80:E80"/>
    <mergeCell ref="C81:N81"/>
    <mergeCell ref="C82:N82"/>
    <mergeCell ref="C83:E83"/>
    <mergeCell ref="C84:E84"/>
    <mergeCell ref="C73:K73"/>
    <mergeCell ref="C74:K74"/>
    <mergeCell ref="C75:K75"/>
    <mergeCell ref="C76:K76"/>
    <mergeCell ref="C77:K77"/>
    <mergeCell ref="A78:N78"/>
    <mergeCell ref="C67:K67"/>
    <mergeCell ref="C68:K68"/>
    <mergeCell ref="C69:K69"/>
    <mergeCell ref="C70:K70"/>
    <mergeCell ref="C71:K71"/>
    <mergeCell ref="C72:K72"/>
    <mergeCell ref="C61:K61"/>
    <mergeCell ref="C62:K62"/>
    <mergeCell ref="C63:K63"/>
    <mergeCell ref="C64:K64"/>
    <mergeCell ref="C65:K65"/>
    <mergeCell ref="C66:K66"/>
    <mergeCell ref="C53:E53"/>
    <mergeCell ref="C55:N55"/>
    <mergeCell ref="C57:K57"/>
    <mergeCell ref="C58:K58"/>
    <mergeCell ref="C59:K59"/>
    <mergeCell ref="C60:K60"/>
    <mergeCell ref="C47:E47"/>
    <mergeCell ref="C48:E48"/>
    <mergeCell ref="C49:E49"/>
    <mergeCell ref="C50:E50"/>
    <mergeCell ref="C51:E51"/>
    <mergeCell ref="C52:E52"/>
    <mergeCell ref="C41:N41"/>
    <mergeCell ref="C42:E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560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/>
  <dimension ref="A1:AK264"/>
  <sheetViews>
    <sheetView topLeftCell="A172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29" width="34.140625" style="537" hidden="1" customWidth="1"/>
    <col min="30" max="32" width="84.42578125" style="537" hidden="1" customWidth="1"/>
    <col min="33" max="33" width="34.140625" style="537" hidden="1" customWidth="1"/>
    <col min="34" max="34" width="110.140625" style="537" hidden="1" customWidth="1"/>
    <col min="35" max="37" width="84.42578125" style="537" hidden="1" customWidth="1"/>
    <col min="38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3700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3700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3701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606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606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/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57.22</v>
      </c>
      <c r="D28" s="579" t="s">
        <v>3702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57.22</v>
      </c>
      <c r="D30" s="579" t="s">
        <v>3702</v>
      </c>
      <c r="E30" s="665" t="s">
        <v>167</v>
      </c>
      <c r="G30" s="536" t="s">
        <v>170</v>
      </c>
      <c r="L30" s="580">
        <v>0</v>
      </c>
      <c r="M30" s="579" t="s">
        <v>3703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665" t="s">
        <v>167</v>
      </c>
      <c r="G31" s="536" t="s">
        <v>172</v>
      </c>
      <c r="L31" s="582"/>
      <c r="M31" s="582">
        <v>16.7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665" t="s">
        <v>167</v>
      </c>
      <c r="G32" s="536" t="s">
        <v>174</v>
      </c>
      <c r="L32" s="582"/>
      <c r="M32" s="582">
        <v>4.05</v>
      </c>
      <c r="N32" s="581" t="s">
        <v>173</v>
      </c>
    </row>
    <row r="33" spans="1:28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8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8" s="536" customFormat="1" ht="12" x14ac:dyDescent="0.2">
      <c r="A39" s="1824" t="s">
        <v>976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976</v>
      </c>
    </row>
    <row r="40" spans="1:28" s="536" customFormat="1" ht="56.25" x14ac:dyDescent="0.2">
      <c r="A40" s="575" t="s">
        <v>185</v>
      </c>
      <c r="B40" s="670" t="s">
        <v>1349</v>
      </c>
      <c r="C40" s="1823" t="s">
        <v>1350</v>
      </c>
      <c r="D40" s="1823"/>
      <c r="E40" s="1823"/>
      <c r="F40" s="573" t="s">
        <v>455</v>
      </c>
      <c r="G40" s="573"/>
      <c r="H40" s="573"/>
      <c r="I40" s="573" t="s">
        <v>2487</v>
      </c>
      <c r="J40" s="572"/>
      <c r="K40" s="573"/>
      <c r="L40" s="572"/>
      <c r="M40" s="571"/>
      <c r="N40" s="570"/>
      <c r="V40" s="674"/>
      <c r="W40" s="675" t="s">
        <v>1350</v>
      </c>
    </row>
    <row r="41" spans="1:28" s="536" customFormat="1" ht="12" x14ac:dyDescent="0.2">
      <c r="A41" s="676"/>
      <c r="B41" s="664"/>
      <c r="C41" s="1822" t="s">
        <v>3704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3704</v>
      </c>
    </row>
    <row r="42" spans="1:28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Y42" s="537" t="s">
        <v>311</v>
      </c>
    </row>
    <row r="43" spans="1:28" s="536" customFormat="1" ht="12" x14ac:dyDescent="0.2">
      <c r="A43" s="605"/>
      <c r="B43" s="552" t="s">
        <v>186</v>
      </c>
      <c r="C43" s="1822" t="s">
        <v>344</v>
      </c>
      <c r="D43" s="1822"/>
      <c r="E43" s="1822"/>
      <c r="F43" s="562"/>
      <c r="G43" s="562"/>
      <c r="H43" s="562"/>
      <c r="I43" s="562"/>
      <c r="J43" s="604">
        <v>7550.19</v>
      </c>
      <c r="K43" s="562" t="s">
        <v>313</v>
      </c>
      <c r="L43" s="604">
        <v>14.16</v>
      </c>
      <c r="M43" s="603"/>
      <c r="N43" s="602"/>
      <c r="V43" s="674"/>
      <c r="W43" s="675"/>
      <c r="Z43" s="537" t="s">
        <v>344</v>
      </c>
    </row>
    <row r="44" spans="1:28" s="536" customFormat="1" ht="12" x14ac:dyDescent="0.2">
      <c r="A44" s="605"/>
      <c r="B44" s="552" t="s">
        <v>187</v>
      </c>
      <c r="C44" s="1822" t="s">
        <v>345</v>
      </c>
      <c r="D44" s="1822"/>
      <c r="E44" s="1822"/>
      <c r="F44" s="562"/>
      <c r="G44" s="562"/>
      <c r="H44" s="562"/>
      <c r="I44" s="562"/>
      <c r="J44" s="604">
        <v>884.25</v>
      </c>
      <c r="K44" s="562" t="s">
        <v>313</v>
      </c>
      <c r="L44" s="604">
        <v>1.66</v>
      </c>
      <c r="M44" s="603"/>
      <c r="N44" s="602"/>
      <c r="V44" s="674"/>
      <c r="W44" s="675"/>
      <c r="Z44" s="537" t="s">
        <v>345</v>
      </c>
    </row>
    <row r="45" spans="1:28" s="536" customFormat="1" ht="12" x14ac:dyDescent="0.2">
      <c r="A45" s="605"/>
      <c r="B45" s="552"/>
      <c r="C45" s="1822" t="s">
        <v>348</v>
      </c>
      <c r="D45" s="1822"/>
      <c r="E45" s="1822"/>
      <c r="F45" s="562" t="s">
        <v>315</v>
      </c>
      <c r="G45" s="562" t="s">
        <v>1353</v>
      </c>
      <c r="H45" s="562" t="s">
        <v>313</v>
      </c>
      <c r="I45" s="562" t="s">
        <v>3705</v>
      </c>
      <c r="J45" s="604"/>
      <c r="K45" s="562"/>
      <c r="L45" s="604"/>
      <c r="M45" s="603"/>
      <c r="N45" s="602"/>
      <c r="V45" s="674"/>
      <c r="W45" s="675"/>
      <c r="AA45" s="537" t="s">
        <v>348</v>
      </c>
    </row>
    <row r="46" spans="1:28" s="536" customFormat="1" ht="12" x14ac:dyDescent="0.2">
      <c r="A46" s="605"/>
      <c r="B46" s="552"/>
      <c r="C46" s="1828" t="s">
        <v>318</v>
      </c>
      <c r="D46" s="1828"/>
      <c r="E46" s="1828"/>
      <c r="F46" s="608"/>
      <c r="G46" s="608"/>
      <c r="H46" s="608"/>
      <c r="I46" s="608"/>
      <c r="J46" s="607">
        <v>7550.19</v>
      </c>
      <c r="K46" s="608"/>
      <c r="L46" s="607">
        <v>14.16</v>
      </c>
      <c r="M46" s="601"/>
      <c r="N46" s="606"/>
      <c r="V46" s="674"/>
      <c r="W46" s="675"/>
      <c r="AB46" s="537" t="s">
        <v>318</v>
      </c>
    </row>
    <row r="47" spans="1:28" s="536" customFormat="1" ht="12" x14ac:dyDescent="0.2">
      <c r="A47" s="605"/>
      <c r="B47" s="552"/>
      <c r="C47" s="1822" t="s">
        <v>319</v>
      </c>
      <c r="D47" s="1822"/>
      <c r="E47" s="1822"/>
      <c r="F47" s="562"/>
      <c r="G47" s="562"/>
      <c r="H47" s="562"/>
      <c r="I47" s="562"/>
      <c r="J47" s="604"/>
      <c r="K47" s="562"/>
      <c r="L47" s="604">
        <v>1.66</v>
      </c>
      <c r="M47" s="603"/>
      <c r="N47" s="602"/>
      <c r="V47" s="674"/>
      <c r="W47" s="675"/>
      <c r="AA47" s="537" t="s">
        <v>319</v>
      </c>
    </row>
    <row r="48" spans="1:28" s="536" customFormat="1" ht="33.75" x14ac:dyDescent="0.2">
      <c r="A48" s="605"/>
      <c r="B48" s="552" t="s">
        <v>460</v>
      </c>
      <c r="C48" s="1822" t="s">
        <v>461</v>
      </c>
      <c r="D48" s="1822"/>
      <c r="E48" s="1822"/>
      <c r="F48" s="562" t="s">
        <v>322</v>
      </c>
      <c r="G48" s="562" t="s">
        <v>462</v>
      </c>
      <c r="H48" s="562"/>
      <c r="I48" s="562" t="s">
        <v>462</v>
      </c>
      <c r="J48" s="604"/>
      <c r="K48" s="562"/>
      <c r="L48" s="604">
        <v>1.53</v>
      </c>
      <c r="M48" s="603"/>
      <c r="N48" s="602"/>
      <c r="V48" s="674"/>
      <c r="W48" s="675"/>
      <c r="AA48" s="537" t="s">
        <v>461</v>
      </c>
    </row>
    <row r="49" spans="1:29" s="536" customFormat="1" ht="33.75" x14ac:dyDescent="0.2">
      <c r="A49" s="605"/>
      <c r="B49" s="552" t="s">
        <v>463</v>
      </c>
      <c r="C49" s="1822" t="s">
        <v>464</v>
      </c>
      <c r="D49" s="1822"/>
      <c r="E49" s="1822"/>
      <c r="F49" s="562" t="s">
        <v>322</v>
      </c>
      <c r="G49" s="562" t="s">
        <v>465</v>
      </c>
      <c r="H49" s="562"/>
      <c r="I49" s="562" t="s">
        <v>465</v>
      </c>
      <c r="J49" s="604"/>
      <c r="K49" s="562"/>
      <c r="L49" s="604">
        <v>0.76</v>
      </c>
      <c r="M49" s="603"/>
      <c r="N49" s="602"/>
      <c r="V49" s="674"/>
      <c r="W49" s="675"/>
      <c r="AA49" s="537" t="s">
        <v>464</v>
      </c>
    </row>
    <row r="50" spans="1:29" s="536" customFormat="1" ht="12" x14ac:dyDescent="0.2">
      <c r="A50" s="569"/>
      <c r="B50" s="671"/>
      <c r="C50" s="1823" t="s">
        <v>327</v>
      </c>
      <c r="D50" s="1823"/>
      <c r="E50" s="1823"/>
      <c r="F50" s="573"/>
      <c r="G50" s="573"/>
      <c r="H50" s="573"/>
      <c r="I50" s="573"/>
      <c r="J50" s="572"/>
      <c r="K50" s="573"/>
      <c r="L50" s="572">
        <v>16.45</v>
      </c>
      <c r="M50" s="601"/>
      <c r="N50" s="570"/>
      <c r="V50" s="674"/>
      <c r="W50" s="675"/>
      <c r="AC50" s="675" t="s">
        <v>327</v>
      </c>
    </row>
    <row r="51" spans="1:29" s="536" customFormat="1" ht="45" x14ac:dyDescent="0.2">
      <c r="A51" s="575" t="s">
        <v>186</v>
      </c>
      <c r="B51" s="670" t="s">
        <v>495</v>
      </c>
      <c r="C51" s="1823" t="s">
        <v>496</v>
      </c>
      <c r="D51" s="1823"/>
      <c r="E51" s="1823"/>
      <c r="F51" s="573" t="s">
        <v>455</v>
      </c>
      <c r="G51" s="573"/>
      <c r="H51" s="573"/>
      <c r="I51" s="573" t="s">
        <v>3706</v>
      </c>
      <c r="J51" s="572"/>
      <c r="K51" s="573"/>
      <c r="L51" s="572"/>
      <c r="M51" s="571"/>
      <c r="N51" s="570"/>
      <c r="V51" s="674"/>
      <c r="W51" s="675" t="s">
        <v>496</v>
      </c>
      <c r="AC51" s="675"/>
    </row>
    <row r="52" spans="1:29" s="536" customFormat="1" ht="12" x14ac:dyDescent="0.2">
      <c r="A52" s="676"/>
      <c r="B52" s="664"/>
      <c r="C52" s="1822" t="s">
        <v>3707</v>
      </c>
      <c r="D52" s="1822"/>
      <c r="E52" s="1822"/>
      <c r="F52" s="1822"/>
      <c r="G52" s="1822"/>
      <c r="H52" s="1822"/>
      <c r="I52" s="1822"/>
      <c r="J52" s="1822"/>
      <c r="K52" s="1822"/>
      <c r="L52" s="1822"/>
      <c r="M52" s="1822"/>
      <c r="N52" s="1827"/>
      <c r="V52" s="674"/>
      <c r="W52" s="675"/>
      <c r="X52" s="537" t="s">
        <v>3707</v>
      </c>
      <c r="AC52" s="675"/>
    </row>
    <row r="53" spans="1:29" s="536" customFormat="1" ht="33.75" x14ac:dyDescent="0.2">
      <c r="A53" s="609"/>
      <c r="B53" s="552" t="s">
        <v>310</v>
      </c>
      <c r="C53" s="1822" t="s">
        <v>311</v>
      </c>
      <c r="D53" s="1822"/>
      <c r="E53" s="1822"/>
      <c r="F53" s="1822"/>
      <c r="G53" s="1822"/>
      <c r="H53" s="1822"/>
      <c r="I53" s="1822"/>
      <c r="J53" s="1822"/>
      <c r="K53" s="1822"/>
      <c r="L53" s="1822"/>
      <c r="M53" s="1822"/>
      <c r="N53" s="1827"/>
      <c r="V53" s="674"/>
      <c r="W53" s="675"/>
      <c r="Y53" s="537" t="s">
        <v>311</v>
      </c>
      <c r="AC53" s="675"/>
    </row>
    <row r="54" spans="1:29" s="536" customFormat="1" ht="12" x14ac:dyDescent="0.2">
      <c r="A54" s="605"/>
      <c r="B54" s="552" t="s">
        <v>186</v>
      </c>
      <c r="C54" s="1822" t="s">
        <v>344</v>
      </c>
      <c r="D54" s="1822"/>
      <c r="E54" s="1822"/>
      <c r="F54" s="562"/>
      <c r="G54" s="562"/>
      <c r="H54" s="562"/>
      <c r="I54" s="562"/>
      <c r="J54" s="604">
        <v>5532.96</v>
      </c>
      <c r="K54" s="562" t="s">
        <v>313</v>
      </c>
      <c r="L54" s="604">
        <v>0.83</v>
      </c>
      <c r="M54" s="603"/>
      <c r="N54" s="602"/>
      <c r="V54" s="674"/>
      <c r="W54" s="675"/>
      <c r="Z54" s="537" t="s">
        <v>344</v>
      </c>
      <c r="AC54" s="675"/>
    </row>
    <row r="55" spans="1:29" s="536" customFormat="1" ht="12" x14ac:dyDescent="0.2">
      <c r="A55" s="605"/>
      <c r="B55" s="552" t="s">
        <v>187</v>
      </c>
      <c r="C55" s="1822" t="s">
        <v>345</v>
      </c>
      <c r="D55" s="1822"/>
      <c r="E55" s="1822"/>
      <c r="F55" s="562"/>
      <c r="G55" s="562"/>
      <c r="H55" s="562"/>
      <c r="I55" s="562"/>
      <c r="J55" s="604">
        <v>648</v>
      </c>
      <c r="K55" s="562" t="s">
        <v>313</v>
      </c>
      <c r="L55" s="604">
        <v>0.1</v>
      </c>
      <c r="M55" s="603"/>
      <c r="N55" s="602"/>
      <c r="V55" s="674"/>
      <c r="W55" s="675"/>
      <c r="Z55" s="537" t="s">
        <v>345</v>
      </c>
      <c r="AC55" s="675"/>
    </row>
    <row r="56" spans="1:29" s="536" customFormat="1" ht="12" x14ac:dyDescent="0.2">
      <c r="A56" s="605"/>
      <c r="B56" s="552"/>
      <c r="C56" s="1822" t="s">
        <v>348</v>
      </c>
      <c r="D56" s="1822"/>
      <c r="E56" s="1822"/>
      <c r="F56" s="562" t="s">
        <v>315</v>
      </c>
      <c r="G56" s="562" t="s">
        <v>501</v>
      </c>
      <c r="H56" s="562" t="s">
        <v>313</v>
      </c>
      <c r="I56" s="562" t="s">
        <v>3610</v>
      </c>
      <c r="J56" s="604"/>
      <c r="K56" s="562"/>
      <c r="L56" s="604"/>
      <c r="M56" s="603"/>
      <c r="N56" s="602"/>
      <c r="V56" s="674"/>
      <c r="W56" s="675"/>
      <c r="AA56" s="537" t="s">
        <v>348</v>
      </c>
      <c r="AC56" s="675"/>
    </row>
    <row r="57" spans="1:29" s="536" customFormat="1" ht="12" x14ac:dyDescent="0.2">
      <c r="A57" s="605"/>
      <c r="B57" s="552"/>
      <c r="C57" s="1828" t="s">
        <v>318</v>
      </c>
      <c r="D57" s="1828"/>
      <c r="E57" s="1828"/>
      <c r="F57" s="608"/>
      <c r="G57" s="608"/>
      <c r="H57" s="608"/>
      <c r="I57" s="608"/>
      <c r="J57" s="607">
        <v>5532.96</v>
      </c>
      <c r="K57" s="608"/>
      <c r="L57" s="607">
        <v>0.83</v>
      </c>
      <c r="M57" s="601"/>
      <c r="N57" s="606"/>
      <c r="V57" s="674"/>
      <c r="W57" s="675"/>
      <c r="AB57" s="537" t="s">
        <v>318</v>
      </c>
      <c r="AC57" s="675"/>
    </row>
    <row r="58" spans="1:29" s="536" customFormat="1" ht="12" x14ac:dyDescent="0.2">
      <c r="A58" s="605"/>
      <c r="B58" s="552"/>
      <c r="C58" s="1822" t="s">
        <v>319</v>
      </c>
      <c r="D58" s="1822"/>
      <c r="E58" s="1822"/>
      <c r="F58" s="562"/>
      <c r="G58" s="562"/>
      <c r="H58" s="562"/>
      <c r="I58" s="562"/>
      <c r="J58" s="604"/>
      <c r="K58" s="562"/>
      <c r="L58" s="604">
        <v>0.1</v>
      </c>
      <c r="M58" s="603"/>
      <c r="N58" s="602"/>
      <c r="V58" s="674"/>
      <c r="W58" s="675"/>
      <c r="AA58" s="537" t="s">
        <v>319</v>
      </c>
      <c r="AC58" s="675"/>
    </row>
    <row r="59" spans="1:29" s="536" customFormat="1" ht="33.75" x14ac:dyDescent="0.2">
      <c r="A59" s="605"/>
      <c r="B59" s="552" t="s">
        <v>460</v>
      </c>
      <c r="C59" s="1822" t="s">
        <v>461</v>
      </c>
      <c r="D59" s="1822"/>
      <c r="E59" s="1822"/>
      <c r="F59" s="562" t="s">
        <v>322</v>
      </c>
      <c r="G59" s="562" t="s">
        <v>462</v>
      </c>
      <c r="H59" s="562"/>
      <c r="I59" s="562" t="s">
        <v>462</v>
      </c>
      <c r="J59" s="604"/>
      <c r="K59" s="562"/>
      <c r="L59" s="604">
        <v>0.09</v>
      </c>
      <c r="M59" s="603"/>
      <c r="N59" s="602"/>
      <c r="V59" s="674"/>
      <c r="W59" s="675"/>
      <c r="AA59" s="537" t="s">
        <v>461</v>
      </c>
      <c r="AC59" s="675"/>
    </row>
    <row r="60" spans="1:29" s="536" customFormat="1" ht="33.75" x14ac:dyDescent="0.2">
      <c r="A60" s="605"/>
      <c r="B60" s="552" t="s">
        <v>463</v>
      </c>
      <c r="C60" s="1822" t="s">
        <v>464</v>
      </c>
      <c r="D60" s="1822"/>
      <c r="E60" s="1822"/>
      <c r="F60" s="562" t="s">
        <v>322</v>
      </c>
      <c r="G60" s="562" t="s">
        <v>465</v>
      </c>
      <c r="H60" s="562"/>
      <c r="I60" s="562" t="s">
        <v>465</v>
      </c>
      <c r="J60" s="604"/>
      <c r="K60" s="562"/>
      <c r="L60" s="604">
        <v>0.05</v>
      </c>
      <c r="M60" s="603"/>
      <c r="N60" s="602"/>
      <c r="V60" s="674"/>
      <c r="W60" s="675"/>
      <c r="AA60" s="537" t="s">
        <v>464</v>
      </c>
      <c r="AC60" s="675"/>
    </row>
    <row r="61" spans="1:29" s="536" customFormat="1" ht="12" x14ac:dyDescent="0.2">
      <c r="A61" s="569"/>
      <c r="B61" s="671"/>
      <c r="C61" s="1823" t="s">
        <v>327</v>
      </c>
      <c r="D61" s="1823"/>
      <c r="E61" s="1823"/>
      <c r="F61" s="573"/>
      <c r="G61" s="573"/>
      <c r="H61" s="573"/>
      <c r="I61" s="573"/>
      <c r="J61" s="572"/>
      <c r="K61" s="573"/>
      <c r="L61" s="572">
        <v>0.97</v>
      </c>
      <c r="M61" s="601"/>
      <c r="N61" s="570"/>
      <c r="V61" s="674"/>
      <c r="W61" s="675"/>
      <c r="AC61" s="675" t="s">
        <v>327</v>
      </c>
    </row>
    <row r="62" spans="1:29" s="536" customFormat="1" ht="56.25" x14ac:dyDescent="0.2">
      <c r="A62" s="575" t="s">
        <v>187</v>
      </c>
      <c r="B62" s="670" t="s">
        <v>1358</v>
      </c>
      <c r="C62" s="1823" t="s">
        <v>1359</v>
      </c>
      <c r="D62" s="1823"/>
      <c r="E62" s="1823"/>
      <c r="F62" s="573" t="s">
        <v>455</v>
      </c>
      <c r="G62" s="573"/>
      <c r="H62" s="573"/>
      <c r="I62" s="573" t="s">
        <v>3706</v>
      </c>
      <c r="J62" s="572"/>
      <c r="K62" s="573"/>
      <c r="L62" s="572"/>
      <c r="M62" s="571"/>
      <c r="N62" s="570"/>
      <c r="V62" s="674"/>
      <c r="W62" s="675" t="s">
        <v>1359</v>
      </c>
      <c r="AC62" s="675"/>
    </row>
    <row r="63" spans="1:29" s="536" customFormat="1" ht="12" x14ac:dyDescent="0.2">
      <c r="A63" s="676"/>
      <c r="B63" s="664"/>
      <c r="C63" s="1822" t="s">
        <v>3707</v>
      </c>
      <c r="D63" s="1822"/>
      <c r="E63" s="1822"/>
      <c r="F63" s="1822"/>
      <c r="G63" s="1822"/>
      <c r="H63" s="1822"/>
      <c r="I63" s="1822"/>
      <c r="J63" s="1822"/>
      <c r="K63" s="1822"/>
      <c r="L63" s="1822"/>
      <c r="M63" s="1822"/>
      <c r="N63" s="1827"/>
      <c r="V63" s="674"/>
      <c r="W63" s="675"/>
      <c r="X63" s="537" t="s">
        <v>3707</v>
      </c>
      <c r="AC63" s="675"/>
    </row>
    <row r="64" spans="1:29" s="536" customFormat="1" ht="33.75" x14ac:dyDescent="0.2">
      <c r="A64" s="609"/>
      <c r="B64" s="552" t="s">
        <v>310</v>
      </c>
      <c r="C64" s="1822" t="s">
        <v>311</v>
      </c>
      <c r="D64" s="1822"/>
      <c r="E64" s="1822"/>
      <c r="F64" s="1822"/>
      <c r="G64" s="1822"/>
      <c r="H64" s="1822"/>
      <c r="I64" s="1822"/>
      <c r="J64" s="1822"/>
      <c r="K64" s="1822"/>
      <c r="L64" s="1822"/>
      <c r="M64" s="1822"/>
      <c r="N64" s="1827"/>
      <c r="V64" s="674"/>
      <c r="W64" s="675"/>
      <c r="Y64" s="537" t="s">
        <v>311</v>
      </c>
      <c r="AC64" s="675"/>
    </row>
    <row r="65" spans="1:29" s="536" customFormat="1" ht="12" x14ac:dyDescent="0.2">
      <c r="A65" s="605"/>
      <c r="B65" s="552" t="s">
        <v>186</v>
      </c>
      <c r="C65" s="1822" t="s">
        <v>344</v>
      </c>
      <c r="D65" s="1822"/>
      <c r="E65" s="1822"/>
      <c r="F65" s="562"/>
      <c r="G65" s="562"/>
      <c r="H65" s="562"/>
      <c r="I65" s="562"/>
      <c r="J65" s="604">
        <v>4264.99</v>
      </c>
      <c r="K65" s="562" t="s">
        <v>313</v>
      </c>
      <c r="L65" s="604">
        <v>0.64</v>
      </c>
      <c r="M65" s="603"/>
      <c r="N65" s="602"/>
      <c r="V65" s="674"/>
      <c r="W65" s="675"/>
      <c r="Z65" s="537" t="s">
        <v>344</v>
      </c>
      <c r="AC65" s="675"/>
    </row>
    <row r="66" spans="1:29" s="536" customFormat="1" ht="12" x14ac:dyDescent="0.2">
      <c r="A66" s="605"/>
      <c r="B66" s="552" t="s">
        <v>187</v>
      </c>
      <c r="C66" s="1822" t="s">
        <v>345</v>
      </c>
      <c r="D66" s="1822"/>
      <c r="E66" s="1822"/>
      <c r="F66" s="562"/>
      <c r="G66" s="562"/>
      <c r="H66" s="562"/>
      <c r="I66" s="562"/>
      <c r="J66" s="604">
        <v>499.5</v>
      </c>
      <c r="K66" s="562" t="s">
        <v>313</v>
      </c>
      <c r="L66" s="604">
        <v>7.0000000000000007E-2</v>
      </c>
      <c r="M66" s="603"/>
      <c r="N66" s="602"/>
      <c r="V66" s="674"/>
      <c r="W66" s="675"/>
      <c r="Z66" s="537" t="s">
        <v>345</v>
      </c>
      <c r="AC66" s="675"/>
    </row>
    <row r="67" spans="1:29" s="536" customFormat="1" ht="12" x14ac:dyDescent="0.2">
      <c r="A67" s="605"/>
      <c r="B67" s="552"/>
      <c r="C67" s="1822" t="s">
        <v>348</v>
      </c>
      <c r="D67" s="1822"/>
      <c r="E67" s="1822"/>
      <c r="F67" s="562" t="s">
        <v>315</v>
      </c>
      <c r="G67" s="562" t="s">
        <v>770</v>
      </c>
      <c r="H67" s="562" t="s">
        <v>313</v>
      </c>
      <c r="I67" s="562" t="s">
        <v>3708</v>
      </c>
      <c r="J67" s="604"/>
      <c r="K67" s="562"/>
      <c r="L67" s="604"/>
      <c r="M67" s="603"/>
      <c r="N67" s="602"/>
      <c r="V67" s="674"/>
      <c r="W67" s="675"/>
      <c r="AA67" s="537" t="s">
        <v>348</v>
      </c>
      <c r="AC67" s="675"/>
    </row>
    <row r="68" spans="1:29" s="536" customFormat="1" ht="12" x14ac:dyDescent="0.2">
      <c r="A68" s="605"/>
      <c r="B68" s="552"/>
      <c r="C68" s="1828" t="s">
        <v>318</v>
      </c>
      <c r="D68" s="1828"/>
      <c r="E68" s="1828"/>
      <c r="F68" s="608"/>
      <c r="G68" s="608"/>
      <c r="H68" s="608"/>
      <c r="I68" s="608"/>
      <c r="J68" s="607">
        <v>4264.99</v>
      </c>
      <c r="K68" s="608"/>
      <c r="L68" s="607">
        <v>0.64</v>
      </c>
      <c r="M68" s="601"/>
      <c r="N68" s="606"/>
      <c r="V68" s="674"/>
      <c r="W68" s="675"/>
      <c r="AB68" s="537" t="s">
        <v>318</v>
      </c>
      <c r="AC68" s="675"/>
    </row>
    <row r="69" spans="1:29" s="536" customFormat="1" ht="12" x14ac:dyDescent="0.2">
      <c r="A69" s="605"/>
      <c r="B69" s="552"/>
      <c r="C69" s="1822" t="s">
        <v>319</v>
      </c>
      <c r="D69" s="1822"/>
      <c r="E69" s="1822"/>
      <c r="F69" s="562"/>
      <c r="G69" s="562"/>
      <c r="H69" s="562"/>
      <c r="I69" s="562"/>
      <c r="J69" s="604"/>
      <c r="K69" s="562"/>
      <c r="L69" s="604">
        <v>7.0000000000000007E-2</v>
      </c>
      <c r="M69" s="603"/>
      <c r="N69" s="602"/>
      <c r="V69" s="674"/>
      <c r="W69" s="675"/>
      <c r="AA69" s="537" t="s">
        <v>319</v>
      </c>
      <c r="AC69" s="675"/>
    </row>
    <row r="70" spans="1:29" s="536" customFormat="1" ht="33.75" x14ac:dyDescent="0.2">
      <c r="A70" s="605"/>
      <c r="B70" s="552" t="s">
        <v>460</v>
      </c>
      <c r="C70" s="1822" t="s">
        <v>461</v>
      </c>
      <c r="D70" s="1822"/>
      <c r="E70" s="1822"/>
      <c r="F70" s="562" t="s">
        <v>322</v>
      </c>
      <c r="G70" s="562" t="s">
        <v>462</v>
      </c>
      <c r="H70" s="562"/>
      <c r="I70" s="562" t="s">
        <v>462</v>
      </c>
      <c r="J70" s="604"/>
      <c r="K70" s="562"/>
      <c r="L70" s="604">
        <v>0.06</v>
      </c>
      <c r="M70" s="603"/>
      <c r="N70" s="602"/>
      <c r="V70" s="674"/>
      <c r="W70" s="675"/>
      <c r="AA70" s="537" t="s">
        <v>461</v>
      </c>
      <c r="AC70" s="675"/>
    </row>
    <row r="71" spans="1:29" s="536" customFormat="1" ht="33.75" x14ac:dyDescent="0.2">
      <c r="A71" s="605"/>
      <c r="B71" s="552" t="s">
        <v>463</v>
      </c>
      <c r="C71" s="1822" t="s">
        <v>464</v>
      </c>
      <c r="D71" s="1822"/>
      <c r="E71" s="1822"/>
      <c r="F71" s="562" t="s">
        <v>322</v>
      </c>
      <c r="G71" s="562" t="s">
        <v>465</v>
      </c>
      <c r="H71" s="562"/>
      <c r="I71" s="562" t="s">
        <v>465</v>
      </c>
      <c r="J71" s="604"/>
      <c r="K71" s="562"/>
      <c r="L71" s="604">
        <v>0.03</v>
      </c>
      <c r="M71" s="603"/>
      <c r="N71" s="602"/>
      <c r="V71" s="674"/>
      <c r="W71" s="675"/>
      <c r="AA71" s="537" t="s">
        <v>464</v>
      </c>
      <c r="AC71" s="675"/>
    </row>
    <row r="72" spans="1:29" s="536" customFormat="1" ht="12" x14ac:dyDescent="0.2">
      <c r="A72" s="569"/>
      <c r="B72" s="671"/>
      <c r="C72" s="1823" t="s">
        <v>327</v>
      </c>
      <c r="D72" s="1823"/>
      <c r="E72" s="1823"/>
      <c r="F72" s="573"/>
      <c r="G72" s="573"/>
      <c r="H72" s="573"/>
      <c r="I72" s="573"/>
      <c r="J72" s="572"/>
      <c r="K72" s="573"/>
      <c r="L72" s="572">
        <v>0.73</v>
      </c>
      <c r="M72" s="601"/>
      <c r="N72" s="570"/>
      <c r="V72" s="674"/>
      <c r="W72" s="675"/>
      <c r="AC72" s="675" t="s">
        <v>327</v>
      </c>
    </row>
    <row r="73" spans="1:29" s="536" customFormat="1" ht="22.5" x14ac:dyDescent="0.2">
      <c r="A73" s="575" t="s">
        <v>188</v>
      </c>
      <c r="B73" s="670" t="s">
        <v>507</v>
      </c>
      <c r="C73" s="1823" t="s">
        <v>508</v>
      </c>
      <c r="D73" s="1823"/>
      <c r="E73" s="1823"/>
      <c r="F73" s="573" t="s">
        <v>509</v>
      </c>
      <c r="G73" s="573"/>
      <c r="H73" s="573"/>
      <c r="I73" s="573" t="s">
        <v>3709</v>
      </c>
      <c r="J73" s="572"/>
      <c r="K73" s="573"/>
      <c r="L73" s="572"/>
      <c r="M73" s="571"/>
      <c r="N73" s="570"/>
      <c r="V73" s="674"/>
      <c r="W73" s="675" t="s">
        <v>508</v>
      </c>
      <c r="AC73" s="675"/>
    </row>
    <row r="74" spans="1:29" s="536" customFormat="1" ht="12" x14ac:dyDescent="0.2">
      <c r="A74" s="676"/>
      <c r="B74" s="664"/>
      <c r="C74" s="1822" t="s">
        <v>3710</v>
      </c>
      <c r="D74" s="1822"/>
      <c r="E74" s="1822"/>
      <c r="F74" s="1822"/>
      <c r="G74" s="1822"/>
      <c r="H74" s="1822"/>
      <c r="I74" s="1822"/>
      <c r="J74" s="1822"/>
      <c r="K74" s="1822"/>
      <c r="L74" s="1822"/>
      <c r="M74" s="1822"/>
      <c r="N74" s="1827"/>
      <c r="V74" s="674"/>
      <c r="W74" s="675"/>
      <c r="X74" s="537" t="s">
        <v>3710</v>
      </c>
      <c r="AC74" s="675"/>
    </row>
    <row r="75" spans="1:29" s="536" customFormat="1" ht="33.75" x14ac:dyDescent="0.2">
      <c r="A75" s="609"/>
      <c r="B75" s="552" t="s">
        <v>310</v>
      </c>
      <c r="C75" s="1822" t="s">
        <v>311</v>
      </c>
      <c r="D75" s="1822"/>
      <c r="E75" s="1822"/>
      <c r="F75" s="1822"/>
      <c r="G75" s="1822"/>
      <c r="H75" s="1822"/>
      <c r="I75" s="1822"/>
      <c r="J75" s="1822"/>
      <c r="K75" s="1822"/>
      <c r="L75" s="1822"/>
      <c r="M75" s="1822"/>
      <c r="N75" s="1827"/>
      <c r="V75" s="674"/>
      <c r="W75" s="675"/>
      <c r="Y75" s="537" t="s">
        <v>311</v>
      </c>
      <c r="AC75" s="675"/>
    </row>
    <row r="76" spans="1:29" s="536" customFormat="1" ht="12" x14ac:dyDescent="0.2">
      <c r="A76" s="605"/>
      <c r="B76" s="552" t="s">
        <v>185</v>
      </c>
      <c r="C76" s="1822" t="s">
        <v>312</v>
      </c>
      <c r="D76" s="1822"/>
      <c r="E76" s="1822"/>
      <c r="F76" s="562"/>
      <c r="G76" s="562"/>
      <c r="H76" s="562"/>
      <c r="I76" s="562"/>
      <c r="J76" s="604">
        <v>127.61</v>
      </c>
      <c r="K76" s="562" t="s">
        <v>313</v>
      </c>
      <c r="L76" s="604">
        <v>0.19</v>
      </c>
      <c r="M76" s="603"/>
      <c r="N76" s="602"/>
      <c r="V76" s="674"/>
      <c r="W76" s="675"/>
      <c r="Z76" s="537" t="s">
        <v>312</v>
      </c>
      <c r="AC76" s="675"/>
    </row>
    <row r="77" spans="1:29" s="536" customFormat="1" ht="12" x14ac:dyDescent="0.2">
      <c r="A77" s="605"/>
      <c r="B77" s="552" t="s">
        <v>186</v>
      </c>
      <c r="C77" s="1822" t="s">
        <v>344</v>
      </c>
      <c r="D77" s="1822"/>
      <c r="E77" s="1822"/>
      <c r="F77" s="562"/>
      <c r="G77" s="562"/>
      <c r="H77" s="562"/>
      <c r="I77" s="562"/>
      <c r="J77" s="604">
        <v>288.58</v>
      </c>
      <c r="K77" s="562" t="s">
        <v>313</v>
      </c>
      <c r="L77" s="604">
        <v>0.43</v>
      </c>
      <c r="M77" s="603"/>
      <c r="N77" s="602"/>
      <c r="V77" s="674"/>
      <c r="W77" s="675"/>
      <c r="Z77" s="537" t="s">
        <v>344</v>
      </c>
      <c r="AC77" s="675"/>
    </row>
    <row r="78" spans="1:29" s="536" customFormat="1" ht="12" x14ac:dyDescent="0.2">
      <c r="A78" s="605"/>
      <c r="B78" s="552" t="s">
        <v>187</v>
      </c>
      <c r="C78" s="1822" t="s">
        <v>345</v>
      </c>
      <c r="D78" s="1822"/>
      <c r="E78" s="1822"/>
      <c r="F78" s="562"/>
      <c r="G78" s="562"/>
      <c r="H78" s="562"/>
      <c r="I78" s="562"/>
      <c r="J78" s="604">
        <v>31.49</v>
      </c>
      <c r="K78" s="562" t="s">
        <v>313</v>
      </c>
      <c r="L78" s="604">
        <v>0.05</v>
      </c>
      <c r="M78" s="603"/>
      <c r="N78" s="602"/>
      <c r="V78" s="674"/>
      <c r="W78" s="675"/>
      <c r="Z78" s="537" t="s">
        <v>345</v>
      </c>
      <c r="AC78" s="675"/>
    </row>
    <row r="79" spans="1:29" s="536" customFormat="1" ht="12" x14ac:dyDescent="0.2">
      <c r="A79" s="605"/>
      <c r="B79" s="552"/>
      <c r="C79" s="1822" t="s">
        <v>314</v>
      </c>
      <c r="D79" s="1822"/>
      <c r="E79" s="1822"/>
      <c r="F79" s="562" t="s">
        <v>315</v>
      </c>
      <c r="G79" s="562" t="s">
        <v>512</v>
      </c>
      <c r="H79" s="562" t="s">
        <v>313</v>
      </c>
      <c r="I79" s="562" t="s">
        <v>3711</v>
      </c>
      <c r="J79" s="604"/>
      <c r="K79" s="562"/>
      <c r="L79" s="604"/>
      <c r="M79" s="603"/>
      <c r="N79" s="602"/>
      <c r="V79" s="674"/>
      <c r="W79" s="675"/>
      <c r="AA79" s="537" t="s">
        <v>314</v>
      </c>
      <c r="AC79" s="675"/>
    </row>
    <row r="80" spans="1:29" s="536" customFormat="1" ht="12" x14ac:dyDescent="0.2">
      <c r="A80" s="605"/>
      <c r="B80" s="552"/>
      <c r="C80" s="1822" t="s">
        <v>348</v>
      </c>
      <c r="D80" s="1822"/>
      <c r="E80" s="1822"/>
      <c r="F80" s="562" t="s">
        <v>315</v>
      </c>
      <c r="G80" s="562" t="s">
        <v>514</v>
      </c>
      <c r="H80" s="562" t="s">
        <v>313</v>
      </c>
      <c r="I80" s="562" t="s">
        <v>3712</v>
      </c>
      <c r="J80" s="604"/>
      <c r="K80" s="562"/>
      <c r="L80" s="604"/>
      <c r="M80" s="603"/>
      <c r="N80" s="602"/>
      <c r="V80" s="674"/>
      <c r="W80" s="675"/>
      <c r="AA80" s="537" t="s">
        <v>348</v>
      </c>
      <c r="AC80" s="675"/>
    </row>
    <row r="81" spans="1:31" s="536" customFormat="1" ht="12" x14ac:dyDescent="0.2">
      <c r="A81" s="605"/>
      <c r="B81" s="552"/>
      <c r="C81" s="1828" t="s">
        <v>318</v>
      </c>
      <c r="D81" s="1828"/>
      <c r="E81" s="1828"/>
      <c r="F81" s="608"/>
      <c r="G81" s="608"/>
      <c r="H81" s="608"/>
      <c r="I81" s="608"/>
      <c r="J81" s="607">
        <v>416.19</v>
      </c>
      <c r="K81" s="608"/>
      <c r="L81" s="607">
        <v>0.62</v>
      </c>
      <c r="M81" s="601"/>
      <c r="N81" s="606"/>
      <c r="V81" s="674"/>
      <c r="W81" s="675"/>
      <c r="AB81" s="537" t="s">
        <v>318</v>
      </c>
      <c r="AC81" s="675"/>
    </row>
    <row r="82" spans="1:31" s="536" customFormat="1" ht="12" x14ac:dyDescent="0.2">
      <c r="A82" s="605"/>
      <c r="B82" s="552"/>
      <c r="C82" s="1822" t="s">
        <v>319</v>
      </c>
      <c r="D82" s="1822"/>
      <c r="E82" s="1822"/>
      <c r="F82" s="562"/>
      <c r="G82" s="562"/>
      <c r="H82" s="562"/>
      <c r="I82" s="562"/>
      <c r="J82" s="604"/>
      <c r="K82" s="562"/>
      <c r="L82" s="604">
        <v>0.24</v>
      </c>
      <c r="M82" s="603"/>
      <c r="N82" s="602"/>
      <c r="V82" s="674"/>
      <c r="W82" s="675"/>
      <c r="AA82" s="537" t="s">
        <v>319</v>
      </c>
      <c r="AC82" s="675"/>
    </row>
    <row r="83" spans="1:31" s="536" customFormat="1" ht="33.75" x14ac:dyDescent="0.2">
      <c r="A83" s="605"/>
      <c r="B83" s="552" t="s">
        <v>460</v>
      </c>
      <c r="C83" s="1822" t="s">
        <v>461</v>
      </c>
      <c r="D83" s="1822"/>
      <c r="E83" s="1822"/>
      <c r="F83" s="562" t="s">
        <v>322</v>
      </c>
      <c r="G83" s="562" t="s">
        <v>462</v>
      </c>
      <c r="H83" s="562"/>
      <c r="I83" s="562" t="s">
        <v>462</v>
      </c>
      <c r="J83" s="604"/>
      <c r="K83" s="562"/>
      <c r="L83" s="604">
        <v>0.22</v>
      </c>
      <c r="M83" s="603"/>
      <c r="N83" s="602"/>
      <c r="V83" s="674"/>
      <c r="W83" s="675"/>
      <c r="AA83" s="537" t="s">
        <v>461</v>
      </c>
      <c r="AC83" s="675"/>
    </row>
    <row r="84" spans="1:31" s="536" customFormat="1" ht="33.75" x14ac:dyDescent="0.2">
      <c r="A84" s="605"/>
      <c r="B84" s="552" t="s">
        <v>463</v>
      </c>
      <c r="C84" s="1822" t="s">
        <v>464</v>
      </c>
      <c r="D84" s="1822"/>
      <c r="E84" s="1822"/>
      <c r="F84" s="562" t="s">
        <v>322</v>
      </c>
      <c r="G84" s="562" t="s">
        <v>465</v>
      </c>
      <c r="H84" s="562"/>
      <c r="I84" s="562" t="s">
        <v>465</v>
      </c>
      <c r="J84" s="604"/>
      <c r="K84" s="562"/>
      <c r="L84" s="604">
        <v>0.11</v>
      </c>
      <c r="M84" s="603"/>
      <c r="N84" s="602"/>
      <c r="V84" s="674"/>
      <c r="W84" s="675"/>
      <c r="AA84" s="537" t="s">
        <v>464</v>
      </c>
      <c r="AC84" s="675"/>
    </row>
    <row r="85" spans="1:31" s="536" customFormat="1" ht="12" x14ac:dyDescent="0.2">
      <c r="A85" s="569"/>
      <c r="B85" s="671"/>
      <c r="C85" s="1823" t="s">
        <v>327</v>
      </c>
      <c r="D85" s="1823"/>
      <c r="E85" s="1823"/>
      <c r="F85" s="573"/>
      <c r="G85" s="573"/>
      <c r="H85" s="573"/>
      <c r="I85" s="573"/>
      <c r="J85" s="572"/>
      <c r="K85" s="573"/>
      <c r="L85" s="572">
        <v>0.95</v>
      </c>
      <c r="M85" s="601"/>
      <c r="N85" s="570"/>
      <c r="V85" s="674"/>
      <c r="W85" s="675"/>
      <c r="AC85" s="675" t="s">
        <v>327</v>
      </c>
    </row>
    <row r="86" spans="1:31" s="536" customFormat="1" ht="45" x14ac:dyDescent="0.2">
      <c r="A86" s="575" t="s">
        <v>189</v>
      </c>
      <c r="B86" s="670" t="s">
        <v>1005</v>
      </c>
      <c r="C86" s="1823" t="s">
        <v>1006</v>
      </c>
      <c r="D86" s="1823"/>
      <c r="E86" s="1823"/>
      <c r="F86" s="573" t="s">
        <v>201</v>
      </c>
      <c r="G86" s="573"/>
      <c r="H86" s="573"/>
      <c r="I86" s="573" t="s">
        <v>3713</v>
      </c>
      <c r="J86" s="572">
        <v>2.91</v>
      </c>
      <c r="K86" s="573"/>
      <c r="L86" s="572">
        <v>10.039999999999999</v>
      </c>
      <c r="M86" s="571"/>
      <c r="N86" s="570"/>
      <c r="V86" s="674"/>
      <c r="W86" s="675" t="s">
        <v>1006</v>
      </c>
      <c r="AC86" s="675"/>
    </row>
    <row r="87" spans="1:31" s="536" customFormat="1" ht="12" x14ac:dyDescent="0.2">
      <c r="A87" s="676"/>
      <c r="B87" s="664"/>
      <c r="C87" s="1822" t="s">
        <v>3714</v>
      </c>
      <c r="D87" s="1822"/>
      <c r="E87" s="1822"/>
      <c r="F87" s="1822"/>
      <c r="G87" s="1822"/>
      <c r="H87" s="1822"/>
      <c r="I87" s="1822"/>
      <c r="J87" s="1822"/>
      <c r="K87" s="1822"/>
      <c r="L87" s="1822"/>
      <c r="M87" s="1822"/>
      <c r="N87" s="1827"/>
      <c r="V87" s="674"/>
      <c r="W87" s="675"/>
      <c r="X87" s="537" t="s">
        <v>3714</v>
      </c>
      <c r="AC87" s="675"/>
    </row>
    <row r="88" spans="1:31" s="536" customFormat="1" ht="1.5" customHeight="1" x14ac:dyDescent="0.2">
      <c r="A88" s="563"/>
      <c r="B88" s="671"/>
      <c r="C88" s="671"/>
      <c r="D88" s="671"/>
      <c r="E88" s="671"/>
      <c r="F88" s="563"/>
      <c r="G88" s="563"/>
      <c r="H88" s="563"/>
      <c r="I88" s="563"/>
      <c r="J88" s="546"/>
      <c r="K88" s="563"/>
      <c r="L88" s="546"/>
      <c r="M88" s="562"/>
      <c r="N88" s="546"/>
      <c r="V88" s="674"/>
      <c r="W88" s="675"/>
      <c r="AC88" s="675"/>
    </row>
    <row r="89" spans="1:31" s="536" customFormat="1" ht="12" x14ac:dyDescent="0.2">
      <c r="A89" s="557"/>
      <c r="B89" s="556"/>
      <c r="C89" s="1823" t="s">
        <v>1021</v>
      </c>
      <c r="D89" s="1823"/>
      <c r="E89" s="1823"/>
      <c r="F89" s="1823"/>
      <c r="G89" s="1823"/>
      <c r="H89" s="1823"/>
      <c r="I89" s="1823"/>
      <c r="J89" s="1823"/>
      <c r="K89" s="1823"/>
      <c r="L89" s="555"/>
      <c r="M89" s="554"/>
      <c r="N89" s="553"/>
      <c r="V89" s="674"/>
      <c r="W89" s="675"/>
      <c r="AC89" s="675"/>
      <c r="AD89" s="675" t="s">
        <v>1021</v>
      </c>
    </row>
    <row r="90" spans="1:31" s="536" customFormat="1" ht="12" x14ac:dyDescent="0.2">
      <c r="A90" s="548"/>
      <c r="B90" s="552"/>
      <c r="C90" s="1822" t="s">
        <v>403</v>
      </c>
      <c r="D90" s="1822"/>
      <c r="E90" s="1822"/>
      <c r="F90" s="1822"/>
      <c r="G90" s="1822"/>
      <c r="H90" s="1822"/>
      <c r="I90" s="1822"/>
      <c r="J90" s="1822"/>
      <c r="K90" s="1822"/>
      <c r="L90" s="551">
        <v>26.29</v>
      </c>
      <c r="M90" s="550"/>
      <c r="N90" s="549"/>
      <c r="V90" s="674"/>
      <c r="W90" s="675"/>
      <c r="AC90" s="675"/>
      <c r="AD90" s="675"/>
      <c r="AE90" s="537" t="s">
        <v>403</v>
      </c>
    </row>
    <row r="91" spans="1:31" s="536" customFormat="1" ht="12" x14ac:dyDescent="0.2">
      <c r="A91" s="548"/>
      <c r="B91" s="552"/>
      <c r="C91" s="1822" t="s">
        <v>204</v>
      </c>
      <c r="D91" s="1822"/>
      <c r="E91" s="1822"/>
      <c r="F91" s="1822"/>
      <c r="G91" s="1822"/>
      <c r="H91" s="1822"/>
      <c r="I91" s="1822"/>
      <c r="J91" s="1822"/>
      <c r="K91" s="1822"/>
      <c r="L91" s="551"/>
      <c r="M91" s="550"/>
      <c r="N91" s="549"/>
      <c r="V91" s="674"/>
      <c r="W91" s="675"/>
      <c r="AC91" s="675"/>
      <c r="AD91" s="675"/>
      <c r="AE91" s="537" t="s">
        <v>204</v>
      </c>
    </row>
    <row r="92" spans="1:31" s="536" customFormat="1" ht="12" x14ac:dyDescent="0.2">
      <c r="A92" s="548"/>
      <c r="B92" s="552"/>
      <c r="C92" s="1822" t="s">
        <v>404</v>
      </c>
      <c r="D92" s="1822"/>
      <c r="E92" s="1822"/>
      <c r="F92" s="1822"/>
      <c r="G92" s="1822"/>
      <c r="H92" s="1822"/>
      <c r="I92" s="1822"/>
      <c r="J92" s="1822"/>
      <c r="K92" s="1822"/>
      <c r="L92" s="551">
        <v>0.19</v>
      </c>
      <c r="M92" s="550"/>
      <c r="N92" s="549"/>
      <c r="V92" s="674"/>
      <c r="W92" s="675"/>
      <c r="AC92" s="675"/>
      <c r="AD92" s="675"/>
      <c r="AE92" s="537" t="s">
        <v>404</v>
      </c>
    </row>
    <row r="93" spans="1:31" s="536" customFormat="1" ht="12" x14ac:dyDescent="0.2">
      <c r="A93" s="548"/>
      <c r="B93" s="552"/>
      <c r="C93" s="1822" t="s">
        <v>405</v>
      </c>
      <c r="D93" s="1822"/>
      <c r="E93" s="1822"/>
      <c r="F93" s="1822"/>
      <c r="G93" s="1822"/>
      <c r="H93" s="1822"/>
      <c r="I93" s="1822"/>
      <c r="J93" s="1822"/>
      <c r="K93" s="1822"/>
      <c r="L93" s="551">
        <v>26.1</v>
      </c>
      <c r="M93" s="550"/>
      <c r="N93" s="549"/>
      <c r="V93" s="674"/>
      <c r="W93" s="675"/>
      <c r="AC93" s="675"/>
      <c r="AD93" s="675"/>
      <c r="AE93" s="537" t="s">
        <v>405</v>
      </c>
    </row>
    <row r="94" spans="1:31" s="536" customFormat="1" ht="12" x14ac:dyDescent="0.2">
      <c r="A94" s="548"/>
      <c r="B94" s="552"/>
      <c r="C94" s="1822" t="s">
        <v>406</v>
      </c>
      <c r="D94" s="1822"/>
      <c r="E94" s="1822"/>
      <c r="F94" s="1822"/>
      <c r="G94" s="1822"/>
      <c r="H94" s="1822"/>
      <c r="I94" s="1822"/>
      <c r="J94" s="1822"/>
      <c r="K94" s="1822"/>
      <c r="L94" s="551">
        <v>1.88</v>
      </c>
      <c r="M94" s="550"/>
      <c r="N94" s="549"/>
      <c r="V94" s="674"/>
      <c r="W94" s="675"/>
      <c r="AC94" s="675"/>
      <c r="AD94" s="675"/>
      <c r="AE94" s="537" t="s">
        <v>406</v>
      </c>
    </row>
    <row r="95" spans="1:31" s="536" customFormat="1" ht="12" x14ac:dyDescent="0.2">
      <c r="A95" s="548"/>
      <c r="B95" s="552"/>
      <c r="C95" s="1822" t="s">
        <v>407</v>
      </c>
      <c r="D95" s="1822"/>
      <c r="E95" s="1822"/>
      <c r="F95" s="1822"/>
      <c r="G95" s="1822"/>
      <c r="H95" s="1822"/>
      <c r="I95" s="1822"/>
      <c r="J95" s="1822"/>
      <c r="K95" s="1822"/>
      <c r="L95" s="551">
        <v>29.14</v>
      </c>
      <c r="M95" s="550"/>
      <c r="N95" s="549"/>
      <c r="V95" s="674"/>
      <c r="W95" s="675"/>
      <c r="AC95" s="675"/>
      <c r="AD95" s="675"/>
      <c r="AE95" s="537" t="s">
        <v>407</v>
      </c>
    </row>
    <row r="96" spans="1:31" s="536" customFormat="1" ht="12" x14ac:dyDescent="0.2">
      <c r="A96" s="548"/>
      <c r="B96" s="552"/>
      <c r="C96" s="1822" t="s">
        <v>408</v>
      </c>
      <c r="D96" s="1822"/>
      <c r="E96" s="1822"/>
      <c r="F96" s="1822"/>
      <c r="G96" s="1822"/>
      <c r="H96" s="1822"/>
      <c r="I96" s="1822"/>
      <c r="J96" s="1822"/>
      <c r="K96" s="1822"/>
      <c r="L96" s="551">
        <v>19.100000000000001</v>
      </c>
      <c r="M96" s="550"/>
      <c r="N96" s="549"/>
      <c r="V96" s="674"/>
      <c r="W96" s="675"/>
      <c r="AC96" s="675"/>
      <c r="AD96" s="675"/>
      <c r="AE96" s="537" t="s">
        <v>408</v>
      </c>
    </row>
    <row r="97" spans="1:32" s="536" customFormat="1" ht="12" x14ac:dyDescent="0.2">
      <c r="A97" s="548"/>
      <c r="B97" s="552"/>
      <c r="C97" s="1822" t="s">
        <v>409</v>
      </c>
      <c r="D97" s="1822"/>
      <c r="E97" s="1822"/>
      <c r="F97" s="1822"/>
      <c r="G97" s="1822"/>
      <c r="H97" s="1822"/>
      <c r="I97" s="1822"/>
      <c r="J97" s="1822"/>
      <c r="K97" s="1822"/>
      <c r="L97" s="551"/>
      <c r="M97" s="550"/>
      <c r="N97" s="549"/>
      <c r="V97" s="674"/>
      <c r="W97" s="675"/>
      <c r="AC97" s="675"/>
      <c r="AD97" s="675"/>
      <c r="AE97" s="537" t="s">
        <v>409</v>
      </c>
    </row>
    <row r="98" spans="1:32" s="536" customFormat="1" ht="12" x14ac:dyDescent="0.2">
      <c r="A98" s="548"/>
      <c r="B98" s="552"/>
      <c r="C98" s="1822" t="s">
        <v>410</v>
      </c>
      <c r="D98" s="1822"/>
      <c r="E98" s="1822"/>
      <c r="F98" s="1822"/>
      <c r="G98" s="1822"/>
      <c r="H98" s="1822"/>
      <c r="I98" s="1822"/>
      <c r="J98" s="1822"/>
      <c r="K98" s="1822"/>
      <c r="L98" s="551">
        <v>0.19</v>
      </c>
      <c r="M98" s="550"/>
      <c r="N98" s="549"/>
      <c r="V98" s="674"/>
      <c r="W98" s="675"/>
      <c r="AC98" s="675"/>
      <c r="AD98" s="675"/>
      <c r="AE98" s="537" t="s">
        <v>410</v>
      </c>
    </row>
    <row r="99" spans="1:32" s="536" customFormat="1" ht="12" x14ac:dyDescent="0.2">
      <c r="A99" s="548"/>
      <c r="B99" s="552"/>
      <c r="C99" s="1822" t="s">
        <v>411</v>
      </c>
      <c r="D99" s="1822"/>
      <c r="E99" s="1822"/>
      <c r="F99" s="1822"/>
      <c r="G99" s="1822"/>
      <c r="H99" s="1822"/>
      <c r="I99" s="1822"/>
      <c r="J99" s="1822"/>
      <c r="K99" s="1822"/>
      <c r="L99" s="551">
        <v>16.059999999999999</v>
      </c>
      <c r="M99" s="550"/>
      <c r="N99" s="549"/>
      <c r="V99" s="674"/>
      <c r="W99" s="675"/>
      <c r="AC99" s="675"/>
      <c r="AD99" s="675"/>
      <c r="AE99" s="537" t="s">
        <v>411</v>
      </c>
    </row>
    <row r="100" spans="1:32" s="536" customFormat="1" ht="12" x14ac:dyDescent="0.2">
      <c r="A100" s="548"/>
      <c r="B100" s="552"/>
      <c r="C100" s="1822" t="s">
        <v>412</v>
      </c>
      <c r="D100" s="1822"/>
      <c r="E100" s="1822"/>
      <c r="F100" s="1822"/>
      <c r="G100" s="1822"/>
      <c r="H100" s="1822"/>
      <c r="I100" s="1822"/>
      <c r="J100" s="1822"/>
      <c r="K100" s="1822"/>
      <c r="L100" s="551">
        <v>1.9</v>
      </c>
      <c r="M100" s="550"/>
      <c r="N100" s="549"/>
      <c r="V100" s="674"/>
      <c r="W100" s="675"/>
      <c r="AC100" s="675"/>
      <c r="AD100" s="675"/>
      <c r="AE100" s="537" t="s">
        <v>412</v>
      </c>
    </row>
    <row r="101" spans="1:32" s="536" customFormat="1" ht="12" x14ac:dyDescent="0.2">
      <c r="A101" s="548"/>
      <c r="B101" s="552"/>
      <c r="C101" s="1822" t="s">
        <v>413</v>
      </c>
      <c r="D101" s="1822"/>
      <c r="E101" s="1822"/>
      <c r="F101" s="1822"/>
      <c r="G101" s="1822"/>
      <c r="H101" s="1822"/>
      <c r="I101" s="1822"/>
      <c r="J101" s="1822"/>
      <c r="K101" s="1822"/>
      <c r="L101" s="551">
        <v>0.95</v>
      </c>
      <c r="M101" s="550"/>
      <c r="N101" s="549"/>
      <c r="V101" s="674"/>
      <c r="W101" s="675"/>
      <c r="AC101" s="675"/>
      <c r="AD101" s="675"/>
      <c r="AE101" s="537" t="s">
        <v>413</v>
      </c>
    </row>
    <row r="102" spans="1:32" s="536" customFormat="1" ht="12" x14ac:dyDescent="0.2">
      <c r="A102" s="548"/>
      <c r="B102" s="552"/>
      <c r="C102" s="1822" t="s">
        <v>414</v>
      </c>
      <c r="D102" s="1822"/>
      <c r="E102" s="1822"/>
      <c r="F102" s="1822"/>
      <c r="G102" s="1822"/>
      <c r="H102" s="1822"/>
      <c r="I102" s="1822"/>
      <c r="J102" s="1822"/>
      <c r="K102" s="1822"/>
      <c r="L102" s="551">
        <v>10.039999999999999</v>
      </c>
      <c r="M102" s="550"/>
      <c r="N102" s="549"/>
      <c r="V102" s="674"/>
      <c r="W102" s="675"/>
      <c r="AC102" s="675"/>
      <c r="AD102" s="675"/>
      <c r="AE102" s="537" t="s">
        <v>414</v>
      </c>
    </row>
    <row r="103" spans="1:32" s="536" customFormat="1" ht="12" x14ac:dyDescent="0.2">
      <c r="A103" s="548"/>
      <c r="B103" s="552"/>
      <c r="C103" s="1822" t="s">
        <v>415</v>
      </c>
      <c r="D103" s="1822"/>
      <c r="E103" s="1822"/>
      <c r="F103" s="1822"/>
      <c r="G103" s="1822"/>
      <c r="H103" s="1822"/>
      <c r="I103" s="1822"/>
      <c r="J103" s="1822"/>
      <c r="K103" s="1822"/>
      <c r="L103" s="551">
        <v>2.0699999999999998</v>
      </c>
      <c r="M103" s="550"/>
      <c r="N103" s="549"/>
      <c r="V103" s="674"/>
      <c r="W103" s="675"/>
      <c r="AC103" s="675"/>
      <c r="AD103" s="675"/>
      <c r="AE103" s="537" t="s">
        <v>415</v>
      </c>
    </row>
    <row r="104" spans="1:32" s="536" customFormat="1" ht="12" x14ac:dyDescent="0.2">
      <c r="A104" s="548"/>
      <c r="B104" s="552"/>
      <c r="C104" s="1822" t="s">
        <v>416</v>
      </c>
      <c r="D104" s="1822"/>
      <c r="E104" s="1822"/>
      <c r="F104" s="1822"/>
      <c r="G104" s="1822"/>
      <c r="H104" s="1822"/>
      <c r="I104" s="1822"/>
      <c r="J104" s="1822"/>
      <c r="K104" s="1822"/>
      <c r="L104" s="551">
        <v>1.9</v>
      </c>
      <c r="M104" s="550"/>
      <c r="N104" s="549"/>
      <c r="V104" s="674"/>
      <c r="W104" s="675"/>
      <c r="AC104" s="675"/>
      <c r="AD104" s="675"/>
      <c r="AE104" s="537" t="s">
        <v>416</v>
      </c>
    </row>
    <row r="105" spans="1:32" s="536" customFormat="1" ht="12" x14ac:dyDescent="0.2">
      <c r="A105" s="548"/>
      <c r="B105" s="552"/>
      <c r="C105" s="1822" t="s">
        <v>417</v>
      </c>
      <c r="D105" s="1822"/>
      <c r="E105" s="1822"/>
      <c r="F105" s="1822"/>
      <c r="G105" s="1822"/>
      <c r="H105" s="1822"/>
      <c r="I105" s="1822"/>
      <c r="J105" s="1822"/>
      <c r="K105" s="1822"/>
      <c r="L105" s="551">
        <v>0.95</v>
      </c>
      <c r="M105" s="550"/>
      <c r="N105" s="549"/>
      <c r="V105" s="674"/>
      <c r="W105" s="675"/>
      <c r="AC105" s="675"/>
      <c r="AD105" s="675"/>
      <c r="AE105" s="537" t="s">
        <v>417</v>
      </c>
    </row>
    <row r="106" spans="1:32" s="536" customFormat="1" ht="12" x14ac:dyDescent="0.2">
      <c r="A106" s="548"/>
      <c r="B106" s="546"/>
      <c r="C106" s="1819" t="s">
        <v>1022</v>
      </c>
      <c r="D106" s="1819"/>
      <c r="E106" s="1819"/>
      <c r="F106" s="1819"/>
      <c r="G106" s="1819"/>
      <c r="H106" s="1819"/>
      <c r="I106" s="1819"/>
      <c r="J106" s="1819"/>
      <c r="K106" s="1819"/>
      <c r="L106" s="544">
        <v>29.14</v>
      </c>
      <c r="M106" s="543"/>
      <c r="N106" s="681"/>
      <c r="V106" s="674"/>
      <c r="W106" s="675"/>
      <c r="AC106" s="675"/>
      <c r="AD106" s="675"/>
      <c r="AF106" s="675" t="s">
        <v>1022</v>
      </c>
    </row>
    <row r="107" spans="1:32" s="536" customFormat="1" ht="12" x14ac:dyDescent="0.2">
      <c r="A107" s="1824" t="s">
        <v>3715</v>
      </c>
      <c r="B107" s="1825"/>
      <c r="C107" s="1825"/>
      <c r="D107" s="1825"/>
      <c r="E107" s="1825"/>
      <c r="F107" s="1825"/>
      <c r="G107" s="1825"/>
      <c r="H107" s="1825"/>
      <c r="I107" s="1825"/>
      <c r="J107" s="1825"/>
      <c r="K107" s="1825"/>
      <c r="L107" s="1825"/>
      <c r="M107" s="1825"/>
      <c r="N107" s="1826"/>
      <c r="V107" s="674" t="s">
        <v>3715</v>
      </c>
      <c r="W107" s="675"/>
      <c r="AC107" s="675"/>
      <c r="AD107" s="675"/>
      <c r="AF107" s="675"/>
    </row>
    <row r="108" spans="1:32" s="536" customFormat="1" ht="12" x14ac:dyDescent="0.2">
      <c r="A108" s="575" t="s">
        <v>190</v>
      </c>
      <c r="B108" s="670" t="s">
        <v>1368</v>
      </c>
      <c r="C108" s="1823" t="s">
        <v>1369</v>
      </c>
      <c r="D108" s="1823"/>
      <c r="E108" s="1823"/>
      <c r="F108" s="573" t="s">
        <v>509</v>
      </c>
      <c r="G108" s="573"/>
      <c r="H108" s="573"/>
      <c r="I108" s="573" t="s">
        <v>3716</v>
      </c>
      <c r="J108" s="572"/>
      <c r="K108" s="573"/>
      <c r="L108" s="572"/>
      <c r="M108" s="571"/>
      <c r="N108" s="570"/>
      <c r="V108" s="674"/>
      <c r="W108" s="675" t="s">
        <v>1369</v>
      </c>
      <c r="AC108" s="675"/>
      <c r="AD108" s="675"/>
      <c r="AF108" s="675"/>
    </row>
    <row r="109" spans="1:32" s="536" customFormat="1" ht="12" x14ac:dyDescent="0.2">
      <c r="A109" s="676"/>
      <c r="B109" s="664"/>
      <c r="C109" s="1822" t="s">
        <v>3717</v>
      </c>
      <c r="D109" s="1822"/>
      <c r="E109" s="1822"/>
      <c r="F109" s="1822"/>
      <c r="G109" s="1822"/>
      <c r="H109" s="1822"/>
      <c r="I109" s="1822"/>
      <c r="J109" s="1822"/>
      <c r="K109" s="1822"/>
      <c r="L109" s="1822"/>
      <c r="M109" s="1822"/>
      <c r="N109" s="1827"/>
      <c r="V109" s="674"/>
      <c r="W109" s="675"/>
      <c r="X109" s="537" t="s">
        <v>3717</v>
      </c>
      <c r="AC109" s="675"/>
      <c r="AD109" s="675"/>
      <c r="AF109" s="675"/>
    </row>
    <row r="110" spans="1:32" s="536" customFormat="1" ht="33.75" x14ac:dyDescent="0.2">
      <c r="A110" s="609"/>
      <c r="B110" s="552" t="s">
        <v>310</v>
      </c>
      <c r="C110" s="1822" t="s">
        <v>311</v>
      </c>
      <c r="D110" s="1822"/>
      <c r="E110" s="1822"/>
      <c r="F110" s="1822"/>
      <c r="G110" s="1822"/>
      <c r="H110" s="1822"/>
      <c r="I110" s="1822"/>
      <c r="J110" s="1822"/>
      <c r="K110" s="1822"/>
      <c r="L110" s="1822"/>
      <c r="M110" s="1822"/>
      <c r="N110" s="1827"/>
      <c r="V110" s="674"/>
      <c r="W110" s="675"/>
      <c r="Y110" s="537" t="s">
        <v>311</v>
      </c>
      <c r="AC110" s="675"/>
      <c r="AD110" s="675"/>
      <c r="AF110" s="675"/>
    </row>
    <row r="111" spans="1:32" s="536" customFormat="1" ht="12" x14ac:dyDescent="0.2">
      <c r="A111" s="605"/>
      <c r="B111" s="552" t="s">
        <v>185</v>
      </c>
      <c r="C111" s="1822" t="s">
        <v>312</v>
      </c>
      <c r="D111" s="1822"/>
      <c r="E111" s="1822"/>
      <c r="F111" s="562"/>
      <c r="G111" s="562"/>
      <c r="H111" s="562"/>
      <c r="I111" s="562"/>
      <c r="J111" s="604">
        <v>1053</v>
      </c>
      <c r="K111" s="562" t="s">
        <v>313</v>
      </c>
      <c r="L111" s="604">
        <v>24.75</v>
      </c>
      <c r="M111" s="603"/>
      <c r="N111" s="602"/>
      <c r="V111" s="674"/>
      <c r="W111" s="675"/>
      <c r="Z111" s="537" t="s">
        <v>312</v>
      </c>
      <c r="AC111" s="675"/>
      <c r="AD111" s="675"/>
      <c r="AF111" s="675"/>
    </row>
    <row r="112" spans="1:32" s="536" customFormat="1" ht="12" x14ac:dyDescent="0.2">
      <c r="A112" s="605"/>
      <c r="B112" s="552" t="s">
        <v>186</v>
      </c>
      <c r="C112" s="1822" t="s">
        <v>344</v>
      </c>
      <c r="D112" s="1822"/>
      <c r="E112" s="1822"/>
      <c r="F112" s="562"/>
      <c r="G112" s="562"/>
      <c r="H112" s="562"/>
      <c r="I112" s="562"/>
      <c r="J112" s="604">
        <v>1566.06</v>
      </c>
      <c r="K112" s="562" t="s">
        <v>313</v>
      </c>
      <c r="L112" s="604">
        <v>36.799999999999997</v>
      </c>
      <c r="M112" s="603"/>
      <c r="N112" s="602"/>
      <c r="V112" s="674"/>
      <c r="W112" s="675"/>
      <c r="Z112" s="537" t="s">
        <v>344</v>
      </c>
      <c r="AC112" s="675"/>
      <c r="AD112" s="675"/>
      <c r="AF112" s="675"/>
    </row>
    <row r="113" spans="1:33" s="536" customFormat="1" ht="12" x14ac:dyDescent="0.2">
      <c r="A113" s="605"/>
      <c r="B113" s="552" t="s">
        <v>187</v>
      </c>
      <c r="C113" s="1822" t="s">
        <v>345</v>
      </c>
      <c r="D113" s="1822"/>
      <c r="E113" s="1822"/>
      <c r="F113" s="562"/>
      <c r="G113" s="562"/>
      <c r="H113" s="562"/>
      <c r="I113" s="562"/>
      <c r="J113" s="604">
        <v>244.39</v>
      </c>
      <c r="K113" s="562" t="s">
        <v>313</v>
      </c>
      <c r="L113" s="604">
        <v>5.74</v>
      </c>
      <c r="M113" s="603"/>
      <c r="N113" s="602"/>
      <c r="V113" s="674"/>
      <c r="W113" s="675"/>
      <c r="Z113" s="537" t="s">
        <v>345</v>
      </c>
      <c r="AC113" s="675"/>
      <c r="AD113" s="675"/>
      <c r="AF113" s="675"/>
    </row>
    <row r="114" spans="1:33" s="536" customFormat="1" ht="12" x14ac:dyDescent="0.2">
      <c r="A114" s="605"/>
      <c r="B114" s="552" t="s">
        <v>188</v>
      </c>
      <c r="C114" s="1822" t="s">
        <v>475</v>
      </c>
      <c r="D114" s="1822"/>
      <c r="E114" s="1822"/>
      <c r="F114" s="562"/>
      <c r="G114" s="562"/>
      <c r="H114" s="562"/>
      <c r="I114" s="562"/>
      <c r="J114" s="604">
        <v>909.27</v>
      </c>
      <c r="K114" s="562"/>
      <c r="L114" s="604">
        <v>17.09</v>
      </c>
      <c r="M114" s="603"/>
      <c r="N114" s="602"/>
      <c r="V114" s="674"/>
      <c r="W114" s="675"/>
      <c r="Z114" s="537" t="s">
        <v>475</v>
      </c>
      <c r="AC114" s="675"/>
      <c r="AD114" s="675"/>
      <c r="AF114" s="675"/>
    </row>
    <row r="115" spans="1:33" s="536" customFormat="1" ht="12" x14ac:dyDescent="0.2">
      <c r="A115" s="676"/>
      <c r="B115" s="677" t="s">
        <v>639</v>
      </c>
      <c r="C115" s="1829" t="s">
        <v>640</v>
      </c>
      <c r="D115" s="1829"/>
      <c r="E115" s="1829"/>
      <c r="F115" s="678" t="s">
        <v>641</v>
      </c>
      <c r="G115" s="678" t="s">
        <v>680</v>
      </c>
      <c r="H115" s="678"/>
      <c r="I115" s="678" t="s">
        <v>3718</v>
      </c>
      <c r="J115" s="552"/>
      <c r="K115" s="562"/>
      <c r="L115" s="604"/>
      <c r="M115" s="562"/>
      <c r="N115" s="679"/>
      <c r="V115" s="674"/>
      <c r="W115" s="675"/>
      <c r="AC115" s="675"/>
      <c r="AD115" s="675"/>
      <c r="AF115" s="675"/>
      <c r="AG115" s="680" t="s">
        <v>640</v>
      </c>
    </row>
    <row r="116" spans="1:33" s="536" customFormat="1" ht="12" x14ac:dyDescent="0.2">
      <c r="A116" s="605"/>
      <c r="B116" s="552"/>
      <c r="C116" s="1822" t="s">
        <v>314</v>
      </c>
      <c r="D116" s="1822"/>
      <c r="E116" s="1822"/>
      <c r="F116" s="562" t="s">
        <v>315</v>
      </c>
      <c r="G116" s="562" t="s">
        <v>1373</v>
      </c>
      <c r="H116" s="562" t="s">
        <v>313</v>
      </c>
      <c r="I116" s="562" t="s">
        <v>3166</v>
      </c>
      <c r="J116" s="604"/>
      <c r="K116" s="562"/>
      <c r="L116" s="604"/>
      <c r="M116" s="603"/>
      <c r="N116" s="602"/>
      <c r="V116" s="674"/>
      <c r="W116" s="675"/>
      <c r="AA116" s="537" t="s">
        <v>314</v>
      </c>
      <c r="AC116" s="675"/>
      <c r="AD116" s="675"/>
      <c r="AF116" s="675"/>
      <c r="AG116" s="680"/>
    </row>
    <row r="117" spans="1:33" s="536" customFormat="1" ht="12" x14ac:dyDescent="0.2">
      <c r="A117" s="605"/>
      <c r="B117" s="552"/>
      <c r="C117" s="1822" t="s">
        <v>348</v>
      </c>
      <c r="D117" s="1822"/>
      <c r="E117" s="1822"/>
      <c r="F117" s="562" t="s">
        <v>315</v>
      </c>
      <c r="G117" s="562" t="s">
        <v>1375</v>
      </c>
      <c r="H117" s="562" t="s">
        <v>313</v>
      </c>
      <c r="I117" s="562" t="s">
        <v>3719</v>
      </c>
      <c r="J117" s="604"/>
      <c r="K117" s="562"/>
      <c r="L117" s="604"/>
      <c r="M117" s="603"/>
      <c r="N117" s="602"/>
      <c r="V117" s="674"/>
      <c r="W117" s="675"/>
      <c r="AA117" s="537" t="s">
        <v>348</v>
      </c>
      <c r="AC117" s="675"/>
      <c r="AD117" s="675"/>
      <c r="AF117" s="675"/>
      <c r="AG117" s="680"/>
    </row>
    <row r="118" spans="1:33" s="536" customFormat="1" ht="12" x14ac:dyDescent="0.2">
      <c r="A118" s="605"/>
      <c r="B118" s="552"/>
      <c r="C118" s="1828" t="s">
        <v>318</v>
      </c>
      <c r="D118" s="1828"/>
      <c r="E118" s="1828"/>
      <c r="F118" s="608"/>
      <c r="G118" s="608"/>
      <c r="H118" s="608"/>
      <c r="I118" s="608"/>
      <c r="J118" s="607">
        <v>3528.33</v>
      </c>
      <c r="K118" s="608"/>
      <c r="L118" s="607">
        <v>78.64</v>
      </c>
      <c r="M118" s="601"/>
      <c r="N118" s="606"/>
      <c r="V118" s="674"/>
      <c r="W118" s="675"/>
      <c r="AB118" s="537" t="s">
        <v>318</v>
      </c>
      <c r="AC118" s="675"/>
      <c r="AD118" s="675"/>
      <c r="AF118" s="675"/>
      <c r="AG118" s="680"/>
    </row>
    <row r="119" spans="1:33" s="536" customFormat="1" ht="12" x14ac:dyDescent="0.2">
      <c r="A119" s="605"/>
      <c r="B119" s="552"/>
      <c r="C119" s="1822" t="s">
        <v>319</v>
      </c>
      <c r="D119" s="1822"/>
      <c r="E119" s="1822"/>
      <c r="F119" s="562"/>
      <c r="G119" s="562"/>
      <c r="H119" s="562"/>
      <c r="I119" s="562"/>
      <c r="J119" s="604"/>
      <c r="K119" s="562"/>
      <c r="L119" s="604">
        <v>30.49</v>
      </c>
      <c r="M119" s="603"/>
      <c r="N119" s="602"/>
      <c r="V119" s="674"/>
      <c r="W119" s="675"/>
      <c r="AA119" s="537" t="s">
        <v>319</v>
      </c>
      <c r="AC119" s="675"/>
      <c r="AD119" s="675"/>
      <c r="AF119" s="675"/>
      <c r="AG119" s="680"/>
    </row>
    <row r="120" spans="1:33" s="536" customFormat="1" ht="33.75" x14ac:dyDescent="0.2">
      <c r="A120" s="605"/>
      <c r="B120" s="552" t="s">
        <v>686</v>
      </c>
      <c r="C120" s="1822" t="s">
        <v>687</v>
      </c>
      <c r="D120" s="1822"/>
      <c r="E120" s="1822"/>
      <c r="F120" s="562" t="s">
        <v>322</v>
      </c>
      <c r="G120" s="562" t="s">
        <v>680</v>
      </c>
      <c r="H120" s="562"/>
      <c r="I120" s="562" t="s">
        <v>680</v>
      </c>
      <c r="J120" s="604"/>
      <c r="K120" s="562"/>
      <c r="L120" s="604">
        <v>31.1</v>
      </c>
      <c r="M120" s="603"/>
      <c r="N120" s="602"/>
      <c r="V120" s="674"/>
      <c r="W120" s="675"/>
      <c r="AA120" s="537" t="s">
        <v>687</v>
      </c>
      <c r="AC120" s="675"/>
      <c r="AD120" s="675"/>
      <c r="AF120" s="675"/>
      <c r="AG120" s="680"/>
    </row>
    <row r="121" spans="1:33" s="536" customFormat="1" ht="33.75" x14ac:dyDescent="0.2">
      <c r="A121" s="605"/>
      <c r="B121" s="552" t="s">
        <v>688</v>
      </c>
      <c r="C121" s="1822" t="s">
        <v>689</v>
      </c>
      <c r="D121" s="1822"/>
      <c r="E121" s="1822"/>
      <c r="F121" s="562" t="s">
        <v>322</v>
      </c>
      <c r="G121" s="562" t="s">
        <v>690</v>
      </c>
      <c r="H121" s="562"/>
      <c r="I121" s="562" t="s">
        <v>690</v>
      </c>
      <c r="J121" s="604"/>
      <c r="K121" s="562"/>
      <c r="L121" s="604">
        <v>17.68</v>
      </c>
      <c r="M121" s="603"/>
      <c r="N121" s="602"/>
      <c r="V121" s="674"/>
      <c r="W121" s="675"/>
      <c r="AA121" s="537" t="s">
        <v>689</v>
      </c>
      <c r="AC121" s="675"/>
      <c r="AD121" s="675"/>
      <c r="AF121" s="675"/>
      <c r="AG121" s="680"/>
    </row>
    <row r="122" spans="1:33" s="536" customFormat="1" ht="12" x14ac:dyDescent="0.2">
      <c r="A122" s="569"/>
      <c r="B122" s="671"/>
      <c r="C122" s="1823" t="s">
        <v>327</v>
      </c>
      <c r="D122" s="1823"/>
      <c r="E122" s="1823"/>
      <c r="F122" s="573"/>
      <c r="G122" s="573"/>
      <c r="H122" s="573"/>
      <c r="I122" s="573"/>
      <c r="J122" s="572"/>
      <c r="K122" s="573"/>
      <c r="L122" s="572">
        <v>127.42</v>
      </c>
      <c r="M122" s="601"/>
      <c r="N122" s="570"/>
      <c r="V122" s="674"/>
      <c r="W122" s="675"/>
      <c r="AC122" s="675" t="s">
        <v>327</v>
      </c>
      <c r="AD122" s="675"/>
      <c r="AF122" s="675"/>
      <c r="AG122" s="680"/>
    </row>
    <row r="123" spans="1:33" s="536" customFormat="1" ht="22.5" x14ac:dyDescent="0.2">
      <c r="A123" s="575" t="s">
        <v>191</v>
      </c>
      <c r="B123" s="670" t="s">
        <v>1377</v>
      </c>
      <c r="C123" s="1823" t="s">
        <v>1378</v>
      </c>
      <c r="D123" s="1823"/>
      <c r="E123" s="1823"/>
      <c r="F123" s="573" t="s">
        <v>641</v>
      </c>
      <c r="G123" s="573"/>
      <c r="H123" s="573"/>
      <c r="I123" s="573" t="s">
        <v>3718</v>
      </c>
      <c r="J123" s="572">
        <v>560</v>
      </c>
      <c r="K123" s="573"/>
      <c r="L123" s="572">
        <v>1073.8599999999999</v>
      </c>
      <c r="M123" s="571"/>
      <c r="N123" s="570"/>
      <c r="V123" s="674"/>
      <c r="W123" s="675" t="s">
        <v>1378</v>
      </c>
      <c r="AC123" s="675"/>
      <c r="AD123" s="675"/>
      <c r="AF123" s="675"/>
      <c r="AG123" s="680"/>
    </row>
    <row r="124" spans="1:33" s="536" customFormat="1" ht="12" x14ac:dyDescent="0.2">
      <c r="A124" s="569"/>
      <c r="B124" s="671"/>
      <c r="C124" s="665" t="s">
        <v>717</v>
      </c>
      <c r="D124" s="666"/>
      <c r="E124" s="666"/>
      <c r="F124" s="563"/>
      <c r="G124" s="563"/>
      <c r="H124" s="563"/>
      <c r="I124" s="563"/>
      <c r="J124" s="566"/>
      <c r="K124" s="563"/>
      <c r="L124" s="566"/>
      <c r="M124" s="565"/>
      <c r="N124" s="564"/>
      <c r="V124" s="674"/>
      <c r="W124" s="675"/>
      <c r="AC124" s="675"/>
      <c r="AD124" s="675"/>
      <c r="AF124" s="675"/>
      <c r="AG124" s="680"/>
    </row>
    <row r="125" spans="1:33" s="536" customFormat="1" ht="22.5" x14ac:dyDescent="0.2">
      <c r="A125" s="575" t="s">
        <v>192</v>
      </c>
      <c r="B125" s="670" t="s">
        <v>1380</v>
      </c>
      <c r="C125" s="1823" t="s">
        <v>1381</v>
      </c>
      <c r="D125" s="1823"/>
      <c r="E125" s="1823"/>
      <c r="F125" s="573" t="s">
        <v>509</v>
      </c>
      <c r="G125" s="573"/>
      <c r="H125" s="573"/>
      <c r="I125" s="573" t="s">
        <v>3720</v>
      </c>
      <c r="J125" s="572"/>
      <c r="K125" s="573"/>
      <c r="L125" s="572"/>
      <c r="M125" s="571"/>
      <c r="N125" s="570"/>
      <c r="V125" s="674"/>
      <c r="W125" s="675" t="s">
        <v>1381</v>
      </c>
      <c r="AC125" s="675"/>
      <c r="AD125" s="675"/>
      <c r="AF125" s="675"/>
      <c r="AG125" s="680"/>
    </row>
    <row r="126" spans="1:33" s="536" customFormat="1" ht="12" x14ac:dyDescent="0.2">
      <c r="A126" s="676"/>
      <c r="B126" s="664"/>
      <c r="C126" s="1822" t="s">
        <v>3721</v>
      </c>
      <c r="D126" s="1822"/>
      <c r="E126" s="1822"/>
      <c r="F126" s="1822"/>
      <c r="G126" s="1822"/>
      <c r="H126" s="1822"/>
      <c r="I126" s="1822"/>
      <c r="J126" s="1822"/>
      <c r="K126" s="1822"/>
      <c r="L126" s="1822"/>
      <c r="M126" s="1822"/>
      <c r="N126" s="1827"/>
      <c r="V126" s="674"/>
      <c r="W126" s="675"/>
      <c r="X126" s="537" t="s">
        <v>3721</v>
      </c>
      <c r="AC126" s="675"/>
      <c r="AD126" s="675"/>
      <c r="AF126" s="675"/>
      <c r="AG126" s="680"/>
    </row>
    <row r="127" spans="1:33" s="536" customFormat="1" ht="33.75" x14ac:dyDescent="0.2">
      <c r="A127" s="609"/>
      <c r="B127" s="552" t="s">
        <v>310</v>
      </c>
      <c r="C127" s="1822" t="s">
        <v>311</v>
      </c>
      <c r="D127" s="1822"/>
      <c r="E127" s="1822"/>
      <c r="F127" s="1822"/>
      <c r="G127" s="1822"/>
      <c r="H127" s="1822"/>
      <c r="I127" s="1822"/>
      <c r="J127" s="1822"/>
      <c r="K127" s="1822"/>
      <c r="L127" s="1822"/>
      <c r="M127" s="1822"/>
      <c r="N127" s="1827"/>
      <c r="V127" s="674"/>
      <c r="W127" s="675"/>
      <c r="Y127" s="537" t="s">
        <v>311</v>
      </c>
      <c r="AC127" s="675"/>
      <c r="AD127" s="675"/>
      <c r="AF127" s="675"/>
      <c r="AG127" s="680"/>
    </row>
    <row r="128" spans="1:33" s="536" customFormat="1" ht="12" x14ac:dyDescent="0.2">
      <c r="A128" s="605"/>
      <c r="B128" s="552" t="s">
        <v>185</v>
      </c>
      <c r="C128" s="1822" t="s">
        <v>312</v>
      </c>
      <c r="D128" s="1822"/>
      <c r="E128" s="1822"/>
      <c r="F128" s="562"/>
      <c r="G128" s="562"/>
      <c r="H128" s="562"/>
      <c r="I128" s="562"/>
      <c r="J128" s="604">
        <v>1526.87</v>
      </c>
      <c r="K128" s="562" t="s">
        <v>313</v>
      </c>
      <c r="L128" s="604">
        <v>64.510000000000005</v>
      </c>
      <c r="M128" s="603"/>
      <c r="N128" s="602"/>
      <c r="V128" s="674"/>
      <c r="W128" s="675"/>
      <c r="Z128" s="537" t="s">
        <v>312</v>
      </c>
      <c r="AC128" s="675"/>
      <c r="AD128" s="675"/>
      <c r="AF128" s="675"/>
      <c r="AG128" s="680"/>
    </row>
    <row r="129" spans="1:33" s="536" customFormat="1" ht="12" x14ac:dyDescent="0.2">
      <c r="A129" s="605"/>
      <c r="B129" s="552" t="s">
        <v>186</v>
      </c>
      <c r="C129" s="1822" t="s">
        <v>344</v>
      </c>
      <c r="D129" s="1822"/>
      <c r="E129" s="1822"/>
      <c r="F129" s="562"/>
      <c r="G129" s="562"/>
      <c r="H129" s="562"/>
      <c r="I129" s="562"/>
      <c r="J129" s="604">
        <v>2518.58</v>
      </c>
      <c r="K129" s="562" t="s">
        <v>313</v>
      </c>
      <c r="L129" s="604">
        <v>106.41</v>
      </c>
      <c r="M129" s="603"/>
      <c r="N129" s="602"/>
      <c r="V129" s="674"/>
      <c r="W129" s="675"/>
      <c r="Z129" s="537" t="s">
        <v>344</v>
      </c>
      <c r="AC129" s="675"/>
      <c r="AD129" s="675"/>
      <c r="AF129" s="675"/>
      <c r="AG129" s="680"/>
    </row>
    <row r="130" spans="1:33" s="536" customFormat="1" ht="12" x14ac:dyDescent="0.2">
      <c r="A130" s="605"/>
      <c r="B130" s="552" t="s">
        <v>187</v>
      </c>
      <c r="C130" s="1822" t="s">
        <v>345</v>
      </c>
      <c r="D130" s="1822"/>
      <c r="E130" s="1822"/>
      <c r="F130" s="562"/>
      <c r="G130" s="562"/>
      <c r="H130" s="562"/>
      <c r="I130" s="562"/>
      <c r="J130" s="604">
        <v>382.14</v>
      </c>
      <c r="K130" s="562" t="s">
        <v>313</v>
      </c>
      <c r="L130" s="604">
        <v>16.149999999999999</v>
      </c>
      <c r="M130" s="603"/>
      <c r="N130" s="602"/>
      <c r="V130" s="674"/>
      <c r="W130" s="675"/>
      <c r="Z130" s="537" t="s">
        <v>345</v>
      </c>
      <c r="AC130" s="675"/>
      <c r="AD130" s="675"/>
      <c r="AF130" s="675"/>
      <c r="AG130" s="680"/>
    </row>
    <row r="131" spans="1:33" s="536" customFormat="1" ht="12" x14ac:dyDescent="0.2">
      <c r="A131" s="605"/>
      <c r="B131" s="552" t="s">
        <v>188</v>
      </c>
      <c r="C131" s="1822" t="s">
        <v>475</v>
      </c>
      <c r="D131" s="1822"/>
      <c r="E131" s="1822"/>
      <c r="F131" s="562"/>
      <c r="G131" s="562"/>
      <c r="H131" s="562"/>
      <c r="I131" s="562"/>
      <c r="J131" s="604">
        <v>488.42</v>
      </c>
      <c r="K131" s="562"/>
      <c r="L131" s="604">
        <v>16.510000000000002</v>
      </c>
      <c r="M131" s="603"/>
      <c r="N131" s="602"/>
      <c r="V131" s="674"/>
      <c r="W131" s="675"/>
      <c r="Z131" s="537" t="s">
        <v>475</v>
      </c>
      <c r="AC131" s="675"/>
      <c r="AD131" s="675"/>
      <c r="AF131" s="675"/>
      <c r="AG131" s="680"/>
    </row>
    <row r="132" spans="1:33" s="536" customFormat="1" ht="12" x14ac:dyDescent="0.2">
      <c r="A132" s="676"/>
      <c r="B132" s="677" t="s">
        <v>639</v>
      </c>
      <c r="C132" s="1829" t="s">
        <v>640</v>
      </c>
      <c r="D132" s="1829"/>
      <c r="E132" s="1829"/>
      <c r="F132" s="678" t="s">
        <v>641</v>
      </c>
      <c r="G132" s="678" t="s">
        <v>1384</v>
      </c>
      <c r="H132" s="678"/>
      <c r="I132" s="678" t="s">
        <v>3722</v>
      </c>
      <c r="J132" s="552"/>
      <c r="K132" s="562"/>
      <c r="L132" s="604"/>
      <c r="M132" s="562"/>
      <c r="N132" s="679"/>
      <c r="V132" s="674"/>
      <c r="W132" s="675"/>
      <c r="AC132" s="675"/>
      <c r="AD132" s="675"/>
      <c r="AF132" s="675"/>
      <c r="AG132" s="680" t="s">
        <v>640</v>
      </c>
    </row>
    <row r="133" spans="1:33" s="536" customFormat="1" ht="12" x14ac:dyDescent="0.2">
      <c r="A133" s="676"/>
      <c r="B133" s="677" t="s">
        <v>1272</v>
      </c>
      <c r="C133" s="1829" t="s">
        <v>1273</v>
      </c>
      <c r="D133" s="1829"/>
      <c r="E133" s="1829"/>
      <c r="F133" s="678" t="s">
        <v>694</v>
      </c>
      <c r="G133" s="678" t="s">
        <v>1386</v>
      </c>
      <c r="H133" s="678"/>
      <c r="I133" s="678" t="s">
        <v>3723</v>
      </c>
      <c r="J133" s="552"/>
      <c r="K133" s="562"/>
      <c r="L133" s="604"/>
      <c r="M133" s="562"/>
      <c r="N133" s="679"/>
      <c r="V133" s="674"/>
      <c r="W133" s="675"/>
      <c r="AC133" s="675"/>
      <c r="AD133" s="675"/>
      <c r="AF133" s="675"/>
      <c r="AG133" s="680" t="s">
        <v>1273</v>
      </c>
    </row>
    <row r="134" spans="1:33" s="536" customFormat="1" ht="12" x14ac:dyDescent="0.2">
      <c r="A134" s="605"/>
      <c r="B134" s="552"/>
      <c r="C134" s="1822" t="s">
        <v>314</v>
      </c>
      <c r="D134" s="1822"/>
      <c r="E134" s="1822"/>
      <c r="F134" s="562" t="s">
        <v>315</v>
      </c>
      <c r="G134" s="562" t="s">
        <v>1388</v>
      </c>
      <c r="H134" s="562" t="s">
        <v>313</v>
      </c>
      <c r="I134" s="562" t="s">
        <v>3724</v>
      </c>
      <c r="J134" s="604"/>
      <c r="K134" s="562"/>
      <c r="L134" s="604"/>
      <c r="M134" s="603"/>
      <c r="N134" s="602"/>
      <c r="V134" s="674"/>
      <c r="W134" s="675"/>
      <c r="AA134" s="537" t="s">
        <v>314</v>
      </c>
      <c r="AC134" s="675"/>
      <c r="AD134" s="675"/>
      <c r="AF134" s="675"/>
      <c r="AG134" s="680"/>
    </row>
    <row r="135" spans="1:33" s="536" customFormat="1" ht="12" x14ac:dyDescent="0.2">
      <c r="A135" s="605"/>
      <c r="B135" s="552"/>
      <c r="C135" s="1822" t="s">
        <v>348</v>
      </c>
      <c r="D135" s="1822"/>
      <c r="E135" s="1822"/>
      <c r="F135" s="562" t="s">
        <v>315</v>
      </c>
      <c r="G135" s="562" t="s">
        <v>1390</v>
      </c>
      <c r="H135" s="562" t="s">
        <v>313</v>
      </c>
      <c r="I135" s="562" t="s">
        <v>3725</v>
      </c>
      <c r="J135" s="604"/>
      <c r="K135" s="562"/>
      <c r="L135" s="604"/>
      <c r="M135" s="603"/>
      <c r="N135" s="602"/>
      <c r="V135" s="674"/>
      <c r="W135" s="675"/>
      <c r="AA135" s="537" t="s">
        <v>348</v>
      </c>
      <c r="AC135" s="675"/>
      <c r="AD135" s="675"/>
      <c r="AF135" s="675"/>
      <c r="AG135" s="680"/>
    </row>
    <row r="136" spans="1:33" s="536" customFormat="1" ht="12" x14ac:dyDescent="0.2">
      <c r="A136" s="605"/>
      <c r="B136" s="552"/>
      <c r="C136" s="1828" t="s">
        <v>318</v>
      </c>
      <c r="D136" s="1828"/>
      <c r="E136" s="1828"/>
      <c r="F136" s="608"/>
      <c r="G136" s="608"/>
      <c r="H136" s="608"/>
      <c r="I136" s="608"/>
      <c r="J136" s="607">
        <v>4533.87</v>
      </c>
      <c r="K136" s="608"/>
      <c r="L136" s="607">
        <v>187.43</v>
      </c>
      <c r="M136" s="601"/>
      <c r="N136" s="606"/>
      <c r="V136" s="674"/>
      <c r="W136" s="675"/>
      <c r="AB136" s="537" t="s">
        <v>318</v>
      </c>
      <c r="AC136" s="675"/>
      <c r="AD136" s="675"/>
      <c r="AF136" s="675"/>
      <c r="AG136" s="680"/>
    </row>
    <row r="137" spans="1:33" s="536" customFormat="1" ht="12" x14ac:dyDescent="0.2">
      <c r="A137" s="605"/>
      <c r="B137" s="552"/>
      <c r="C137" s="1822" t="s">
        <v>319</v>
      </c>
      <c r="D137" s="1822"/>
      <c r="E137" s="1822"/>
      <c r="F137" s="562"/>
      <c r="G137" s="562"/>
      <c r="H137" s="562"/>
      <c r="I137" s="562"/>
      <c r="J137" s="604"/>
      <c r="K137" s="562"/>
      <c r="L137" s="604">
        <v>80.66</v>
      </c>
      <c r="M137" s="603"/>
      <c r="N137" s="602"/>
      <c r="V137" s="674"/>
      <c r="W137" s="675"/>
      <c r="AA137" s="537" t="s">
        <v>319</v>
      </c>
      <c r="AC137" s="675"/>
      <c r="AD137" s="675"/>
      <c r="AF137" s="675"/>
      <c r="AG137" s="680"/>
    </row>
    <row r="138" spans="1:33" s="536" customFormat="1" ht="33.75" x14ac:dyDescent="0.2">
      <c r="A138" s="605"/>
      <c r="B138" s="552" t="s">
        <v>686</v>
      </c>
      <c r="C138" s="1822" t="s">
        <v>687</v>
      </c>
      <c r="D138" s="1822"/>
      <c r="E138" s="1822"/>
      <c r="F138" s="562" t="s">
        <v>322</v>
      </c>
      <c r="G138" s="562" t="s">
        <v>680</v>
      </c>
      <c r="H138" s="562"/>
      <c r="I138" s="562" t="s">
        <v>680</v>
      </c>
      <c r="J138" s="604"/>
      <c r="K138" s="562"/>
      <c r="L138" s="604">
        <v>82.27</v>
      </c>
      <c r="M138" s="603"/>
      <c r="N138" s="602"/>
      <c r="V138" s="674"/>
      <c r="W138" s="675"/>
      <c r="AA138" s="537" t="s">
        <v>687</v>
      </c>
      <c r="AC138" s="675"/>
      <c r="AD138" s="675"/>
      <c r="AF138" s="675"/>
      <c r="AG138" s="680"/>
    </row>
    <row r="139" spans="1:33" s="536" customFormat="1" ht="33.75" x14ac:dyDescent="0.2">
      <c r="A139" s="605"/>
      <c r="B139" s="552" t="s">
        <v>688</v>
      </c>
      <c r="C139" s="1822" t="s">
        <v>689</v>
      </c>
      <c r="D139" s="1822"/>
      <c r="E139" s="1822"/>
      <c r="F139" s="562" t="s">
        <v>322</v>
      </c>
      <c r="G139" s="562" t="s">
        <v>690</v>
      </c>
      <c r="H139" s="562"/>
      <c r="I139" s="562" t="s">
        <v>690</v>
      </c>
      <c r="J139" s="604"/>
      <c r="K139" s="562"/>
      <c r="L139" s="604">
        <v>46.78</v>
      </c>
      <c r="M139" s="603"/>
      <c r="N139" s="602"/>
      <c r="V139" s="674"/>
      <c r="W139" s="675"/>
      <c r="AA139" s="537" t="s">
        <v>689</v>
      </c>
      <c r="AC139" s="675"/>
      <c r="AD139" s="675"/>
      <c r="AF139" s="675"/>
      <c r="AG139" s="680"/>
    </row>
    <row r="140" spans="1:33" s="536" customFormat="1" ht="12" x14ac:dyDescent="0.2">
      <c r="A140" s="569"/>
      <c r="B140" s="671"/>
      <c r="C140" s="1823" t="s">
        <v>327</v>
      </c>
      <c r="D140" s="1823"/>
      <c r="E140" s="1823"/>
      <c r="F140" s="573"/>
      <c r="G140" s="573"/>
      <c r="H140" s="573"/>
      <c r="I140" s="573"/>
      <c r="J140" s="572"/>
      <c r="K140" s="573"/>
      <c r="L140" s="572">
        <v>316.48</v>
      </c>
      <c r="M140" s="601"/>
      <c r="N140" s="570"/>
      <c r="V140" s="674"/>
      <c r="W140" s="675"/>
      <c r="AC140" s="675" t="s">
        <v>327</v>
      </c>
      <c r="AD140" s="675"/>
      <c r="AF140" s="675"/>
      <c r="AG140" s="680"/>
    </row>
    <row r="141" spans="1:33" s="536" customFormat="1" ht="22.5" x14ac:dyDescent="0.2">
      <c r="A141" s="575" t="s">
        <v>193</v>
      </c>
      <c r="B141" s="670" t="s">
        <v>1392</v>
      </c>
      <c r="C141" s="1823" t="s">
        <v>1393</v>
      </c>
      <c r="D141" s="1823"/>
      <c r="E141" s="1823"/>
      <c r="F141" s="573" t="s">
        <v>641</v>
      </c>
      <c r="G141" s="573"/>
      <c r="H141" s="573"/>
      <c r="I141" s="573" t="s">
        <v>3722</v>
      </c>
      <c r="J141" s="572">
        <v>725.69</v>
      </c>
      <c r="K141" s="573"/>
      <c r="L141" s="572">
        <v>2489.62</v>
      </c>
      <c r="M141" s="571"/>
      <c r="N141" s="570"/>
      <c r="V141" s="674"/>
      <c r="W141" s="675" t="s">
        <v>1393</v>
      </c>
      <c r="AC141" s="675"/>
      <c r="AD141" s="675"/>
      <c r="AF141" s="675"/>
      <c r="AG141" s="680"/>
    </row>
    <row r="142" spans="1:33" s="536" customFormat="1" ht="12" x14ac:dyDescent="0.2">
      <c r="A142" s="569"/>
      <c r="B142" s="671"/>
      <c r="C142" s="665" t="s">
        <v>717</v>
      </c>
      <c r="D142" s="666"/>
      <c r="E142" s="666"/>
      <c r="F142" s="563"/>
      <c r="G142" s="563"/>
      <c r="H142" s="563"/>
      <c r="I142" s="563"/>
      <c r="J142" s="566"/>
      <c r="K142" s="563"/>
      <c r="L142" s="566"/>
      <c r="M142" s="565"/>
      <c r="N142" s="564"/>
      <c r="V142" s="674"/>
      <c r="W142" s="675"/>
      <c r="AC142" s="675"/>
      <c r="AD142" s="675"/>
      <c r="AF142" s="675"/>
      <c r="AG142" s="680"/>
    </row>
    <row r="143" spans="1:33" s="536" customFormat="1" ht="33.75" x14ac:dyDescent="0.2">
      <c r="A143" s="575" t="s">
        <v>194</v>
      </c>
      <c r="B143" s="670" t="s">
        <v>657</v>
      </c>
      <c r="C143" s="1823" t="s">
        <v>3300</v>
      </c>
      <c r="D143" s="1823"/>
      <c r="E143" s="1823"/>
      <c r="F143" s="573" t="s">
        <v>641</v>
      </c>
      <c r="G143" s="573"/>
      <c r="H143" s="573"/>
      <c r="I143" s="573" t="s">
        <v>3726</v>
      </c>
      <c r="J143" s="572">
        <v>9.69</v>
      </c>
      <c r="K143" s="573"/>
      <c r="L143" s="572">
        <v>32.75</v>
      </c>
      <c r="M143" s="571"/>
      <c r="N143" s="570"/>
      <c r="V143" s="674"/>
      <c r="W143" s="675" t="s">
        <v>3300</v>
      </c>
      <c r="AC143" s="675"/>
      <c r="AD143" s="675"/>
      <c r="AF143" s="675"/>
      <c r="AG143" s="680"/>
    </row>
    <row r="144" spans="1:33" s="536" customFormat="1" ht="12" x14ac:dyDescent="0.2">
      <c r="A144" s="569"/>
      <c r="B144" s="671"/>
      <c r="C144" s="665" t="s">
        <v>717</v>
      </c>
      <c r="D144" s="666"/>
      <c r="E144" s="666"/>
      <c r="F144" s="563"/>
      <c r="G144" s="563"/>
      <c r="H144" s="563"/>
      <c r="I144" s="563"/>
      <c r="J144" s="566"/>
      <c r="K144" s="563"/>
      <c r="L144" s="566"/>
      <c r="M144" s="565"/>
      <c r="N144" s="564"/>
      <c r="V144" s="674"/>
      <c r="W144" s="675"/>
      <c r="AC144" s="675"/>
      <c r="AD144" s="675"/>
      <c r="AF144" s="675"/>
      <c r="AG144" s="680"/>
    </row>
    <row r="145" spans="1:34" s="536" customFormat="1" ht="12" x14ac:dyDescent="0.2">
      <c r="A145" s="676"/>
      <c r="B145" s="664"/>
      <c r="C145" s="1822" t="s">
        <v>1399</v>
      </c>
      <c r="D145" s="1822"/>
      <c r="E145" s="1822"/>
      <c r="F145" s="1822"/>
      <c r="G145" s="1822"/>
      <c r="H145" s="1822"/>
      <c r="I145" s="1822"/>
      <c r="J145" s="1822"/>
      <c r="K145" s="1822"/>
      <c r="L145" s="1822"/>
      <c r="M145" s="1822"/>
      <c r="N145" s="1827"/>
      <c r="V145" s="674"/>
      <c r="W145" s="675"/>
      <c r="AC145" s="675"/>
      <c r="AD145" s="675"/>
      <c r="AF145" s="675"/>
      <c r="AG145" s="680"/>
      <c r="AH145" s="537" t="s">
        <v>1399</v>
      </c>
    </row>
    <row r="146" spans="1:34" s="536" customFormat="1" ht="22.5" x14ac:dyDescent="0.2">
      <c r="A146" s="575" t="s">
        <v>195</v>
      </c>
      <c r="B146" s="670" t="s">
        <v>1400</v>
      </c>
      <c r="C146" s="1823" t="s">
        <v>1401</v>
      </c>
      <c r="D146" s="1823"/>
      <c r="E146" s="1823"/>
      <c r="F146" s="573" t="s">
        <v>694</v>
      </c>
      <c r="G146" s="573"/>
      <c r="H146" s="573"/>
      <c r="I146" s="573" t="s">
        <v>3727</v>
      </c>
      <c r="J146" s="572">
        <v>5584.58</v>
      </c>
      <c r="K146" s="573"/>
      <c r="L146" s="572">
        <v>2173.52</v>
      </c>
      <c r="M146" s="571"/>
      <c r="N146" s="570"/>
      <c r="V146" s="674"/>
      <c r="W146" s="675" t="s">
        <v>1401</v>
      </c>
      <c r="AC146" s="675"/>
      <c r="AD146" s="675"/>
      <c r="AF146" s="675"/>
      <c r="AG146" s="680"/>
    </row>
    <row r="147" spans="1:34" s="536" customFormat="1" ht="12" x14ac:dyDescent="0.2">
      <c r="A147" s="569"/>
      <c r="B147" s="671"/>
      <c r="C147" s="665" t="s">
        <v>717</v>
      </c>
      <c r="D147" s="666"/>
      <c r="E147" s="666"/>
      <c r="F147" s="563"/>
      <c r="G147" s="563"/>
      <c r="H147" s="563"/>
      <c r="I147" s="563"/>
      <c r="J147" s="566"/>
      <c r="K147" s="563"/>
      <c r="L147" s="566"/>
      <c r="M147" s="565"/>
      <c r="N147" s="564"/>
      <c r="V147" s="674"/>
      <c r="W147" s="675"/>
      <c r="AC147" s="675"/>
      <c r="AD147" s="675"/>
      <c r="AF147" s="675"/>
      <c r="AG147" s="680"/>
    </row>
    <row r="148" spans="1:34" s="536" customFormat="1" ht="12" x14ac:dyDescent="0.2">
      <c r="A148" s="676"/>
      <c r="B148" s="664"/>
      <c r="C148" s="1822" t="s">
        <v>3728</v>
      </c>
      <c r="D148" s="1822"/>
      <c r="E148" s="1822"/>
      <c r="F148" s="1822"/>
      <c r="G148" s="1822"/>
      <c r="H148" s="1822"/>
      <c r="I148" s="1822"/>
      <c r="J148" s="1822"/>
      <c r="K148" s="1822"/>
      <c r="L148" s="1822"/>
      <c r="M148" s="1822"/>
      <c r="N148" s="1827"/>
      <c r="V148" s="674"/>
      <c r="W148" s="675"/>
      <c r="X148" s="537" t="s">
        <v>3728</v>
      </c>
      <c r="AC148" s="675"/>
      <c r="AD148" s="675"/>
      <c r="AF148" s="675"/>
      <c r="AG148" s="680"/>
    </row>
    <row r="149" spans="1:34" s="536" customFormat="1" ht="33.75" x14ac:dyDescent="0.2">
      <c r="A149" s="575" t="s">
        <v>196</v>
      </c>
      <c r="B149" s="670" t="s">
        <v>3729</v>
      </c>
      <c r="C149" s="1823" t="s">
        <v>3730</v>
      </c>
      <c r="D149" s="1823"/>
      <c r="E149" s="1823"/>
      <c r="F149" s="573" t="s">
        <v>862</v>
      </c>
      <c r="G149" s="573"/>
      <c r="H149" s="573"/>
      <c r="I149" s="573" t="s">
        <v>3731</v>
      </c>
      <c r="J149" s="572"/>
      <c r="K149" s="573"/>
      <c r="L149" s="572"/>
      <c r="M149" s="571"/>
      <c r="N149" s="570"/>
      <c r="V149" s="674"/>
      <c r="W149" s="675" t="s">
        <v>3730</v>
      </c>
      <c r="AC149" s="675"/>
      <c r="AD149" s="675"/>
      <c r="AF149" s="675"/>
      <c r="AG149" s="680"/>
    </row>
    <row r="150" spans="1:34" s="536" customFormat="1" ht="12" x14ac:dyDescent="0.2">
      <c r="A150" s="676"/>
      <c r="B150" s="664"/>
      <c r="C150" s="1822" t="s">
        <v>3732</v>
      </c>
      <c r="D150" s="1822"/>
      <c r="E150" s="1822"/>
      <c r="F150" s="1822"/>
      <c r="G150" s="1822"/>
      <c r="H150" s="1822"/>
      <c r="I150" s="1822"/>
      <c r="J150" s="1822"/>
      <c r="K150" s="1822"/>
      <c r="L150" s="1822"/>
      <c r="M150" s="1822"/>
      <c r="N150" s="1827"/>
      <c r="V150" s="674"/>
      <c r="W150" s="675"/>
      <c r="X150" s="537" t="s">
        <v>3732</v>
      </c>
      <c r="AC150" s="675"/>
      <c r="AD150" s="675"/>
      <c r="AF150" s="675"/>
      <c r="AG150" s="680"/>
    </row>
    <row r="151" spans="1:34" s="536" customFormat="1" ht="33.75" x14ac:dyDescent="0.2">
      <c r="A151" s="609"/>
      <c r="B151" s="552" t="s">
        <v>310</v>
      </c>
      <c r="C151" s="1822" t="s">
        <v>311</v>
      </c>
      <c r="D151" s="1822"/>
      <c r="E151" s="1822"/>
      <c r="F151" s="1822"/>
      <c r="G151" s="1822"/>
      <c r="H151" s="1822"/>
      <c r="I151" s="1822"/>
      <c r="J151" s="1822"/>
      <c r="K151" s="1822"/>
      <c r="L151" s="1822"/>
      <c r="M151" s="1822"/>
      <c r="N151" s="1827"/>
      <c r="V151" s="674"/>
      <c r="W151" s="675"/>
      <c r="Y151" s="537" t="s">
        <v>311</v>
      </c>
      <c r="AC151" s="675"/>
      <c r="AD151" s="675"/>
      <c r="AF151" s="675"/>
      <c r="AG151" s="680"/>
    </row>
    <row r="152" spans="1:34" s="536" customFormat="1" ht="12" x14ac:dyDescent="0.2">
      <c r="A152" s="605"/>
      <c r="B152" s="552" t="s">
        <v>185</v>
      </c>
      <c r="C152" s="1822" t="s">
        <v>312</v>
      </c>
      <c r="D152" s="1822"/>
      <c r="E152" s="1822"/>
      <c r="F152" s="562"/>
      <c r="G152" s="562"/>
      <c r="H152" s="562"/>
      <c r="I152" s="562"/>
      <c r="J152" s="604">
        <v>31.95</v>
      </c>
      <c r="K152" s="562" t="s">
        <v>313</v>
      </c>
      <c r="L152" s="604">
        <v>8.1999999999999993</v>
      </c>
      <c r="M152" s="603"/>
      <c r="N152" s="602"/>
      <c r="V152" s="674"/>
      <c r="W152" s="675"/>
      <c r="Z152" s="537" t="s">
        <v>312</v>
      </c>
      <c r="AC152" s="675"/>
      <c r="AD152" s="675"/>
      <c r="AF152" s="675"/>
      <c r="AG152" s="680"/>
    </row>
    <row r="153" spans="1:34" s="536" customFormat="1" ht="12" x14ac:dyDescent="0.2">
      <c r="A153" s="605"/>
      <c r="B153" s="552" t="s">
        <v>186</v>
      </c>
      <c r="C153" s="1822" t="s">
        <v>344</v>
      </c>
      <c r="D153" s="1822"/>
      <c r="E153" s="1822"/>
      <c r="F153" s="562"/>
      <c r="G153" s="562"/>
      <c r="H153" s="562"/>
      <c r="I153" s="562"/>
      <c r="J153" s="604">
        <v>3.29</v>
      </c>
      <c r="K153" s="562" t="s">
        <v>313</v>
      </c>
      <c r="L153" s="604">
        <v>0.84</v>
      </c>
      <c r="M153" s="603"/>
      <c r="N153" s="602"/>
      <c r="V153" s="674"/>
      <c r="W153" s="675"/>
      <c r="Z153" s="537" t="s">
        <v>344</v>
      </c>
      <c r="AC153" s="675"/>
      <c r="AD153" s="675"/>
      <c r="AF153" s="675"/>
      <c r="AG153" s="680"/>
    </row>
    <row r="154" spans="1:34" s="536" customFormat="1" ht="12" x14ac:dyDescent="0.2">
      <c r="A154" s="605"/>
      <c r="B154" s="552" t="s">
        <v>187</v>
      </c>
      <c r="C154" s="1822" t="s">
        <v>345</v>
      </c>
      <c r="D154" s="1822"/>
      <c r="E154" s="1822"/>
      <c r="F154" s="562"/>
      <c r="G154" s="562"/>
      <c r="H154" s="562"/>
      <c r="I154" s="562"/>
      <c r="J154" s="604">
        <v>0.57999999999999996</v>
      </c>
      <c r="K154" s="562" t="s">
        <v>313</v>
      </c>
      <c r="L154" s="604">
        <v>0.15</v>
      </c>
      <c r="M154" s="603"/>
      <c r="N154" s="602"/>
      <c r="V154" s="674"/>
      <c r="W154" s="675"/>
      <c r="Z154" s="537" t="s">
        <v>345</v>
      </c>
      <c r="AC154" s="675"/>
      <c r="AD154" s="675"/>
      <c r="AF154" s="675"/>
      <c r="AG154" s="680"/>
    </row>
    <row r="155" spans="1:34" s="536" customFormat="1" ht="33.75" x14ac:dyDescent="0.2">
      <c r="A155" s="676"/>
      <c r="B155" s="677" t="s">
        <v>3733</v>
      </c>
      <c r="C155" s="1829" t="s">
        <v>3734</v>
      </c>
      <c r="D155" s="1829"/>
      <c r="E155" s="1829"/>
      <c r="F155" s="678" t="s">
        <v>699</v>
      </c>
      <c r="G155" s="678" t="s">
        <v>3735</v>
      </c>
      <c r="H155" s="678"/>
      <c r="I155" s="678" t="s">
        <v>3736</v>
      </c>
      <c r="J155" s="552"/>
      <c r="K155" s="562"/>
      <c r="L155" s="604"/>
      <c r="M155" s="562"/>
      <c r="N155" s="679"/>
      <c r="V155" s="674"/>
      <c r="W155" s="675"/>
      <c r="AC155" s="675"/>
      <c r="AD155" s="675"/>
      <c r="AF155" s="675"/>
      <c r="AG155" s="680" t="s">
        <v>3734</v>
      </c>
    </row>
    <row r="156" spans="1:34" s="536" customFormat="1" ht="12" x14ac:dyDescent="0.2">
      <c r="A156" s="605"/>
      <c r="B156" s="552"/>
      <c r="C156" s="1822" t="s">
        <v>314</v>
      </c>
      <c r="D156" s="1822"/>
      <c r="E156" s="1822"/>
      <c r="F156" s="562" t="s">
        <v>315</v>
      </c>
      <c r="G156" s="562" t="s">
        <v>3737</v>
      </c>
      <c r="H156" s="562" t="s">
        <v>313</v>
      </c>
      <c r="I156" s="562" t="s">
        <v>3738</v>
      </c>
      <c r="J156" s="604"/>
      <c r="K156" s="562"/>
      <c r="L156" s="604"/>
      <c r="M156" s="603"/>
      <c r="N156" s="602"/>
      <c r="V156" s="674"/>
      <c r="W156" s="675"/>
      <c r="AA156" s="537" t="s">
        <v>314</v>
      </c>
      <c r="AC156" s="675"/>
      <c r="AD156" s="675"/>
      <c r="AF156" s="675"/>
      <c r="AG156" s="680"/>
    </row>
    <row r="157" spans="1:34" s="536" customFormat="1" ht="12" x14ac:dyDescent="0.2">
      <c r="A157" s="605"/>
      <c r="B157" s="552"/>
      <c r="C157" s="1822" t="s">
        <v>348</v>
      </c>
      <c r="D157" s="1822"/>
      <c r="E157" s="1822"/>
      <c r="F157" s="562" t="s">
        <v>315</v>
      </c>
      <c r="G157" s="562" t="s">
        <v>856</v>
      </c>
      <c r="H157" s="562" t="s">
        <v>313</v>
      </c>
      <c r="I157" s="562" t="s">
        <v>3739</v>
      </c>
      <c r="J157" s="604"/>
      <c r="K157" s="562"/>
      <c r="L157" s="604"/>
      <c r="M157" s="603"/>
      <c r="N157" s="602"/>
      <c r="V157" s="674"/>
      <c r="W157" s="675"/>
      <c r="AA157" s="537" t="s">
        <v>348</v>
      </c>
      <c r="AC157" s="675"/>
      <c r="AD157" s="675"/>
      <c r="AF157" s="675"/>
      <c r="AG157" s="680"/>
    </row>
    <row r="158" spans="1:34" s="536" customFormat="1" ht="12" x14ac:dyDescent="0.2">
      <c r="A158" s="605"/>
      <c r="B158" s="552"/>
      <c r="C158" s="1828" t="s">
        <v>318</v>
      </c>
      <c r="D158" s="1828"/>
      <c r="E158" s="1828"/>
      <c r="F158" s="608"/>
      <c r="G158" s="608"/>
      <c r="H158" s="608"/>
      <c r="I158" s="608"/>
      <c r="J158" s="607">
        <v>35.24</v>
      </c>
      <c r="K158" s="608"/>
      <c r="L158" s="607">
        <v>9.0399999999999991</v>
      </c>
      <c r="M158" s="601"/>
      <c r="N158" s="606"/>
      <c r="V158" s="674"/>
      <c r="W158" s="675"/>
      <c r="AB158" s="537" t="s">
        <v>318</v>
      </c>
      <c r="AC158" s="675"/>
      <c r="AD158" s="675"/>
      <c r="AF158" s="675"/>
      <c r="AG158" s="680"/>
    </row>
    <row r="159" spans="1:34" s="536" customFormat="1" ht="12" x14ac:dyDescent="0.2">
      <c r="A159" s="605"/>
      <c r="B159" s="552"/>
      <c r="C159" s="1822" t="s">
        <v>319</v>
      </c>
      <c r="D159" s="1822"/>
      <c r="E159" s="1822"/>
      <c r="F159" s="562"/>
      <c r="G159" s="562"/>
      <c r="H159" s="562"/>
      <c r="I159" s="562"/>
      <c r="J159" s="604"/>
      <c r="K159" s="562"/>
      <c r="L159" s="604">
        <v>8.35</v>
      </c>
      <c r="M159" s="603"/>
      <c r="N159" s="602"/>
      <c r="V159" s="674"/>
      <c r="W159" s="675"/>
      <c r="AA159" s="537" t="s">
        <v>319</v>
      </c>
      <c r="AC159" s="675"/>
      <c r="AD159" s="675"/>
      <c r="AF159" s="675"/>
      <c r="AG159" s="680"/>
    </row>
    <row r="160" spans="1:34" s="536" customFormat="1" ht="33.75" x14ac:dyDescent="0.2">
      <c r="A160" s="605"/>
      <c r="B160" s="552" t="s">
        <v>2032</v>
      </c>
      <c r="C160" s="1822" t="s">
        <v>2033</v>
      </c>
      <c r="D160" s="1822"/>
      <c r="E160" s="1822"/>
      <c r="F160" s="562" t="s">
        <v>322</v>
      </c>
      <c r="G160" s="562" t="s">
        <v>2034</v>
      </c>
      <c r="H160" s="562"/>
      <c r="I160" s="562" t="s">
        <v>2034</v>
      </c>
      <c r="J160" s="604"/>
      <c r="K160" s="562"/>
      <c r="L160" s="604">
        <v>9.19</v>
      </c>
      <c r="M160" s="603"/>
      <c r="N160" s="602"/>
      <c r="V160" s="674"/>
      <c r="W160" s="675"/>
      <c r="AA160" s="537" t="s">
        <v>2033</v>
      </c>
      <c r="AC160" s="675"/>
      <c r="AD160" s="675"/>
      <c r="AF160" s="675"/>
      <c r="AG160" s="680"/>
    </row>
    <row r="161" spans="1:33" s="536" customFormat="1" ht="33.75" x14ac:dyDescent="0.2">
      <c r="A161" s="605"/>
      <c r="B161" s="552" t="s">
        <v>2035</v>
      </c>
      <c r="C161" s="1822" t="s">
        <v>2036</v>
      </c>
      <c r="D161" s="1822"/>
      <c r="E161" s="1822"/>
      <c r="F161" s="562" t="s">
        <v>322</v>
      </c>
      <c r="G161" s="562" t="s">
        <v>2037</v>
      </c>
      <c r="H161" s="562"/>
      <c r="I161" s="562" t="s">
        <v>2037</v>
      </c>
      <c r="J161" s="604"/>
      <c r="K161" s="562"/>
      <c r="L161" s="604">
        <v>5.76</v>
      </c>
      <c r="M161" s="603"/>
      <c r="N161" s="602"/>
      <c r="V161" s="674"/>
      <c r="W161" s="675"/>
      <c r="AA161" s="537" t="s">
        <v>2036</v>
      </c>
      <c r="AC161" s="675"/>
      <c r="AD161" s="675"/>
      <c r="AF161" s="675"/>
      <c r="AG161" s="680"/>
    </row>
    <row r="162" spans="1:33" s="536" customFormat="1" ht="12" x14ac:dyDescent="0.2">
      <c r="A162" s="569"/>
      <c r="B162" s="671"/>
      <c r="C162" s="1823" t="s">
        <v>327</v>
      </c>
      <c r="D162" s="1823"/>
      <c r="E162" s="1823"/>
      <c r="F162" s="573"/>
      <c r="G162" s="573"/>
      <c r="H162" s="573"/>
      <c r="I162" s="573"/>
      <c r="J162" s="572"/>
      <c r="K162" s="573"/>
      <c r="L162" s="572">
        <v>23.99</v>
      </c>
      <c r="M162" s="601"/>
      <c r="N162" s="570"/>
      <c r="V162" s="674"/>
      <c r="W162" s="675"/>
      <c r="AC162" s="675" t="s">
        <v>327</v>
      </c>
      <c r="AD162" s="675"/>
      <c r="AF162" s="675"/>
      <c r="AG162" s="680"/>
    </row>
    <row r="163" spans="1:33" s="536" customFormat="1" ht="22.5" x14ac:dyDescent="0.2">
      <c r="A163" s="575" t="s">
        <v>197</v>
      </c>
      <c r="B163" s="670" t="s">
        <v>1427</v>
      </c>
      <c r="C163" s="1823" t="s">
        <v>1428</v>
      </c>
      <c r="D163" s="1823"/>
      <c r="E163" s="1823"/>
      <c r="F163" s="573" t="s">
        <v>699</v>
      </c>
      <c r="G163" s="573"/>
      <c r="H163" s="573"/>
      <c r="I163" s="573" t="s">
        <v>3740</v>
      </c>
      <c r="J163" s="572">
        <v>9.15</v>
      </c>
      <c r="K163" s="573"/>
      <c r="L163" s="572">
        <v>300.70999999999998</v>
      </c>
      <c r="M163" s="571"/>
      <c r="N163" s="570"/>
      <c r="V163" s="674"/>
      <c r="W163" s="675" t="s">
        <v>1428</v>
      </c>
      <c r="AC163" s="675"/>
      <c r="AD163" s="675"/>
      <c r="AF163" s="675"/>
      <c r="AG163" s="680"/>
    </row>
    <row r="164" spans="1:33" s="536" customFormat="1" ht="12" x14ac:dyDescent="0.2">
      <c r="A164" s="569"/>
      <c r="B164" s="671"/>
      <c r="C164" s="665" t="s">
        <v>717</v>
      </c>
      <c r="D164" s="666"/>
      <c r="E164" s="666"/>
      <c r="F164" s="563"/>
      <c r="G164" s="563"/>
      <c r="H164" s="563"/>
      <c r="I164" s="563"/>
      <c r="J164" s="566"/>
      <c r="K164" s="563"/>
      <c r="L164" s="566"/>
      <c r="M164" s="565"/>
      <c r="N164" s="564"/>
      <c r="V164" s="674"/>
      <c r="W164" s="675"/>
      <c r="AC164" s="675"/>
      <c r="AD164" s="675"/>
      <c r="AF164" s="675"/>
      <c r="AG164" s="680"/>
    </row>
    <row r="165" spans="1:33" s="536" customFormat="1" ht="12" x14ac:dyDescent="0.2">
      <c r="A165" s="676"/>
      <c r="B165" s="664"/>
      <c r="C165" s="1822" t="s">
        <v>3741</v>
      </c>
      <c r="D165" s="1822"/>
      <c r="E165" s="1822"/>
      <c r="F165" s="1822"/>
      <c r="G165" s="1822"/>
      <c r="H165" s="1822"/>
      <c r="I165" s="1822"/>
      <c r="J165" s="1822"/>
      <c r="K165" s="1822"/>
      <c r="L165" s="1822"/>
      <c r="M165" s="1822"/>
      <c r="N165" s="1827"/>
      <c r="V165" s="674"/>
      <c r="W165" s="675"/>
      <c r="X165" s="537" t="s">
        <v>3741</v>
      </c>
      <c r="AC165" s="675"/>
      <c r="AD165" s="675"/>
      <c r="AF165" s="675"/>
      <c r="AG165" s="680"/>
    </row>
    <row r="166" spans="1:33" s="536" customFormat="1" ht="22.5" x14ac:dyDescent="0.2">
      <c r="A166" s="575" t="s">
        <v>198</v>
      </c>
      <c r="B166" s="670" t="s">
        <v>3742</v>
      </c>
      <c r="C166" s="1823" t="s">
        <v>3743</v>
      </c>
      <c r="D166" s="1823"/>
      <c r="E166" s="1823"/>
      <c r="F166" s="573" t="s">
        <v>307</v>
      </c>
      <c r="G166" s="573"/>
      <c r="H166" s="573"/>
      <c r="I166" s="573" t="s">
        <v>695</v>
      </c>
      <c r="J166" s="572"/>
      <c r="K166" s="573"/>
      <c r="L166" s="572"/>
      <c r="M166" s="571"/>
      <c r="N166" s="570"/>
      <c r="V166" s="674"/>
      <c r="W166" s="675" t="s">
        <v>3743</v>
      </c>
      <c r="AC166" s="675"/>
      <c r="AD166" s="675"/>
      <c r="AF166" s="675"/>
      <c r="AG166" s="680"/>
    </row>
    <row r="167" spans="1:33" s="536" customFormat="1" ht="12" x14ac:dyDescent="0.2">
      <c r="A167" s="676"/>
      <c r="B167" s="664"/>
      <c r="C167" s="1822" t="s">
        <v>1597</v>
      </c>
      <c r="D167" s="1822"/>
      <c r="E167" s="1822"/>
      <c r="F167" s="1822"/>
      <c r="G167" s="1822"/>
      <c r="H167" s="1822"/>
      <c r="I167" s="1822"/>
      <c r="J167" s="1822"/>
      <c r="K167" s="1822"/>
      <c r="L167" s="1822"/>
      <c r="M167" s="1822"/>
      <c r="N167" s="1827"/>
      <c r="V167" s="674"/>
      <c r="W167" s="675"/>
      <c r="X167" s="537" t="s">
        <v>1597</v>
      </c>
      <c r="AC167" s="675"/>
      <c r="AD167" s="675"/>
      <c r="AF167" s="675"/>
      <c r="AG167" s="680"/>
    </row>
    <row r="168" spans="1:33" s="536" customFormat="1" ht="12" x14ac:dyDescent="0.2">
      <c r="A168" s="605"/>
      <c r="B168" s="552" t="s">
        <v>185</v>
      </c>
      <c r="C168" s="1822" t="s">
        <v>312</v>
      </c>
      <c r="D168" s="1822"/>
      <c r="E168" s="1822"/>
      <c r="F168" s="562"/>
      <c r="G168" s="562"/>
      <c r="H168" s="562"/>
      <c r="I168" s="562"/>
      <c r="J168" s="604">
        <v>583.83000000000004</v>
      </c>
      <c r="K168" s="562"/>
      <c r="L168" s="604">
        <v>11.68</v>
      </c>
      <c r="M168" s="603"/>
      <c r="N168" s="602"/>
      <c r="V168" s="674"/>
      <c r="W168" s="675"/>
      <c r="Z168" s="537" t="s">
        <v>312</v>
      </c>
      <c r="AC168" s="675"/>
      <c r="AD168" s="675"/>
      <c r="AF168" s="675"/>
      <c r="AG168" s="680"/>
    </row>
    <row r="169" spans="1:33" s="536" customFormat="1" ht="12" x14ac:dyDescent="0.2">
      <c r="A169" s="605"/>
      <c r="B169" s="552" t="s">
        <v>186</v>
      </c>
      <c r="C169" s="1822" t="s">
        <v>344</v>
      </c>
      <c r="D169" s="1822"/>
      <c r="E169" s="1822"/>
      <c r="F169" s="562"/>
      <c r="G169" s="562"/>
      <c r="H169" s="562"/>
      <c r="I169" s="562"/>
      <c r="J169" s="604">
        <v>2524.4699999999998</v>
      </c>
      <c r="K169" s="562"/>
      <c r="L169" s="604">
        <v>50.49</v>
      </c>
      <c r="M169" s="603"/>
      <c r="N169" s="602"/>
      <c r="V169" s="674"/>
      <c r="W169" s="675"/>
      <c r="Z169" s="537" t="s">
        <v>344</v>
      </c>
      <c r="AC169" s="675"/>
      <c r="AD169" s="675"/>
      <c r="AF169" s="675"/>
      <c r="AG169" s="680"/>
    </row>
    <row r="170" spans="1:33" s="536" customFormat="1" ht="12" x14ac:dyDescent="0.2">
      <c r="A170" s="605"/>
      <c r="B170" s="552" t="s">
        <v>187</v>
      </c>
      <c r="C170" s="1822" t="s">
        <v>345</v>
      </c>
      <c r="D170" s="1822"/>
      <c r="E170" s="1822"/>
      <c r="F170" s="562"/>
      <c r="G170" s="562"/>
      <c r="H170" s="562"/>
      <c r="I170" s="562"/>
      <c r="J170" s="604">
        <v>355.32</v>
      </c>
      <c r="K170" s="562"/>
      <c r="L170" s="604">
        <v>7.11</v>
      </c>
      <c r="M170" s="603"/>
      <c r="N170" s="602"/>
      <c r="V170" s="674"/>
      <c r="W170" s="675"/>
      <c r="Z170" s="537" t="s">
        <v>345</v>
      </c>
      <c r="AC170" s="675"/>
      <c r="AD170" s="675"/>
      <c r="AF170" s="675"/>
      <c r="AG170" s="680"/>
    </row>
    <row r="171" spans="1:33" s="536" customFormat="1" ht="12" x14ac:dyDescent="0.2">
      <c r="A171" s="605"/>
      <c r="B171" s="552" t="s">
        <v>188</v>
      </c>
      <c r="C171" s="1822" t="s">
        <v>475</v>
      </c>
      <c r="D171" s="1822"/>
      <c r="E171" s="1822"/>
      <c r="F171" s="562"/>
      <c r="G171" s="562"/>
      <c r="H171" s="562"/>
      <c r="I171" s="562"/>
      <c r="J171" s="604">
        <v>857.67</v>
      </c>
      <c r="K171" s="562"/>
      <c r="L171" s="604">
        <v>17.149999999999999</v>
      </c>
      <c r="M171" s="603"/>
      <c r="N171" s="602"/>
      <c r="V171" s="674"/>
      <c r="W171" s="675"/>
      <c r="Z171" s="537" t="s">
        <v>475</v>
      </c>
      <c r="AC171" s="675"/>
      <c r="AD171" s="675"/>
      <c r="AF171" s="675"/>
      <c r="AG171" s="680"/>
    </row>
    <row r="172" spans="1:33" s="536" customFormat="1" ht="12" x14ac:dyDescent="0.2">
      <c r="A172" s="676"/>
      <c r="B172" s="677" t="s">
        <v>639</v>
      </c>
      <c r="C172" s="1829" t="s">
        <v>640</v>
      </c>
      <c r="D172" s="1829"/>
      <c r="E172" s="1829"/>
      <c r="F172" s="678" t="s">
        <v>641</v>
      </c>
      <c r="G172" s="678" t="s">
        <v>2723</v>
      </c>
      <c r="H172" s="678"/>
      <c r="I172" s="678" t="s">
        <v>3744</v>
      </c>
      <c r="J172" s="552"/>
      <c r="K172" s="562"/>
      <c r="L172" s="604"/>
      <c r="M172" s="562"/>
      <c r="N172" s="679"/>
      <c r="V172" s="674"/>
      <c r="W172" s="675"/>
      <c r="AC172" s="675"/>
      <c r="AD172" s="675"/>
      <c r="AF172" s="675"/>
      <c r="AG172" s="680" t="s">
        <v>640</v>
      </c>
    </row>
    <row r="173" spans="1:33" s="536" customFormat="1" ht="12" x14ac:dyDescent="0.2">
      <c r="A173" s="676"/>
      <c r="B173" s="677" t="s">
        <v>3745</v>
      </c>
      <c r="C173" s="1829" t="s">
        <v>3746</v>
      </c>
      <c r="D173" s="1829"/>
      <c r="E173" s="1829"/>
      <c r="F173" s="678" t="s">
        <v>617</v>
      </c>
      <c r="G173" s="678" t="s">
        <v>844</v>
      </c>
      <c r="H173" s="678"/>
      <c r="I173" s="678" t="s">
        <v>186</v>
      </c>
      <c r="J173" s="552"/>
      <c r="K173" s="562"/>
      <c r="L173" s="604"/>
      <c r="M173" s="562"/>
      <c r="N173" s="679"/>
      <c r="V173" s="674"/>
      <c r="W173" s="675"/>
      <c r="AC173" s="675"/>
      <c r="AD173" s="675"/>
      <c r="AF173" s="675"/>
      <c r="AG173" s="680" t="s">
        <v>3746</v>
      </c>
    </row>
    <row r="174" spans="1:33" s="536" customFormat="1" ht="12" x14ac:dyDescent="0.2">
      <c r="A174" s="605"/>
      <c r="B174" s="552"/>
      <c r="C174" s="1822" t="s">
        <v>314</v>
      </c>
      <c r="D174" s="1822"/>
      <c r="E174" s="1822"/>
      <c r="F174" s="562" t="s">
        <v>315</v>
      </c>
      <c r="G174" s="562" t="s">
        <v>3747</v>
      </c>
      <c r="H174" s="562"/>
      <c r="I174" s="562" t="s">
        <v>3748</v>
      </c>
      <c r="J174" s="604"/>
      <c r="K174" s="562"/>
      <c r="L174" s="604"/>
      <c r="M174" s="603"/>
      <c r="N174" s="602"/>
      <c r="V174" s="674"/>
      <c r="W174" s="675"/>
      <c r="AA174" s="537" t="s">
        <v>314</v>
      </c>
      <c r="AC174" s="675"/>
      <c r="AD174" s="675"/>
      <c r="AF174" s="675"/>
      <c r="AG174" s="680"/>
    </row>
    <row r="175" spans="1:33" s="536" customFormat="1" ht="12" x14ac:dyDescent="0.2">
      <c r="A175" s="605"/>
      <c r="B175" s="552"/>
      <c r="C175" s="1822" t="s">
        <v>348</v>
      </c>
      <c r="D175" s="1822"/>
      <c r="E175" s="1822"/>
      <c r="F175" s="562" t="s">
        <v>315</v>
      </c>
      <c r="G175" s="562" t="s">
        <v>3749</v>
      </c>
      <c r="H175" s="562"/>
      <c r="I175" s="562" t="s">
        <v>3750</v>
      </c>
      <c r="J175" s="604"/>
      <c r="K175" s="562"/>
      <c r="L175" s="604"/>
      <c r="M175" s="603"/>
      <c r="N175" s="602"/>
      <c r="V175" s="674"/>
      <c r="W175" s="675"/>
      <c r="AA175" s="537" t="s">
        <v>348</v>
      </c>
      <c r="AC175" s="675"/>
      <c r="AD175" s="675"/>
      <c r="AF175" s="675"/>
      <c r="AG175" s="680"/>
    </row>
    <row r="176" spans="1:33" s="536" customFormat="1" ht="12" x14ac:dyDescent="0.2">
      <c r="A176" s="605"/>
      <c r="B176" s="552"/>
      <c r="C176" s="1828" t="s">
        <v>318</v>
      </c>
      <c r="D176" s="1828"/>
      <c r="E176" s="1828"/>
      <c r="F176" s="608"/>
      <c r="G176" s="608"/>
      <c r="H176" s="608"/>
      <c r="I176" s="608"/>
      <c r="J176" s="607">
        <v>3965.97</v>
      </c>
      <c r="K176" s="608"/>
      <c r="L176" s="607">
        <v>79.319999999999993</v>
      </c>
      <c r="M176" s="601"/>
      <c r="N176" s="606"/>
      <c r="V176" s="674"/>
      <c r="W176" s="675"/>
      <c r="AB176" s="537" t="s">
        <v>318</v>
      </c>
      <c r="AC176" s="675"/>
      <c r="AD176" s="675"/>
      <c r="AF176" s="675"/>
      <c r="AG176" s="680"/>
    </row>
    <row r="177" spans="1:33" s="536" customFormat="1" ht="12" x14ac:dyDescent="0.2">
      <c r="A177" s="605"/>
      <c r="B177" s="552"/>
      <c r="C177" s="1822" t="s">
        <v>319</v>
      </c>
      <c r="D177" s="1822"/>
      <c r="E177" s="1822"/>
      <c r="F177" s="562"/>
      <c r="G177" s="562"/>
      <c r="H177" s="562"/>
      <c r="I177" s="562"/>
      <c r="J177" s="604"/>
      <c r="K177" s="562"/>
      <c r="L177" s="604">
        <v>18.79</v>
      </c>
      <c r="M177" s="603"/>
      <c r="N177" s="602"/>
      <c r="V177" s="674"/>
      <c r="W177" s="675"/>
      <c r="AA177" s="537" t="s">
        <v>319</v>
      </c>
      <c r="AC177" s="675"/>
      <c r="AD177" s="675"/>
      <c r="AF177" s="675"/>
      <c r="AG177" s="680"/>
    </row>
    <row r="178" spans="1:33" s="536" customFormat="1" ht="45" x14ac:dyDescent="0.2">
      <c r="A178" s="605"/>
      <c r="B178" s="552" t="s">
        <v>3462</v>
      </c>
      <c r="C178" s="1822" t="s">
        <v>3463</v>
      </c>
      <c r="D178" s="1822"/>
      <c r="E178" s="1822"/>
      <c r="F178" s="562" t="s">
        <v>322</v>
      </c>
      <c r="G178" s="562" t="s">
        <v>3039</v>
      </c>
      <c r="H178" s="562"/>
      <c r="I178" s="562" t="s">
        <v>3039</v>
      </c>
      <c r="J178" s="604"/>
      <c r="K178" s="562"/>
      <c r="L178" s="604">
        <v>21.8</v>
      </c>
      <c r="M178" s="603"/>
      <c r="N178" s="602"/>
      <c r="V178" s="674"/>
      <c r="W178" s="675"/>
      <c r="AA178" s="537" t="s">
        <v>3463</v>
      </c>
      <c r="AC178" s="675"/>
      <c r="AD178" s="675"/>
      <c r="AF178" s="675"/>
      <c r="AG178" s="680"/>
    </row>
    <row r="179" spans="1:33" s="536" customFormat="1" ht="45" x14ac:dyDescent="0.2">
      <c r="A179" s="605"/>
      <c r="B179" s="552" t="s">
        <v>3464</v>
      </c>
      <c r="C179" s="1822" t="s">
        <v>3465</v>
      </c>
      <c r="D179" s="1822"/>
      <c r="E179" s="1822"/>
      <c r="F179" s="562" t="s">
        <v>322</v>
      </c>
      <c r="G179" s="562" t="s">
        <v>1540</v>
      </c>
      <c r="H179" s="562"/>
      <c r="I179" s="562" t="s">
        <v>1540</v>
      </c>
      <c r="J179" s="604"/>
      <c r="K179" s="562"/>
      <c r="L179" s="604">
        <v>15.03</v>
      </c>
      <c r="M179" s="603"/>
      <c r="N179" s="602"/>
      <c r="V179" s="674"/>
      <c r="W179" s="675"/>
      <c r="AA179" s="537" t="s">
        <v>3465</v>
      </c>
      <c r="AC179" s="675"/>
      <c r="AD179" s="675"/>
      <c r="AF179" s="675"/>
      <c r="AG179" s="680"/>
    </row>
    <row r="180" spans="1:33" s="536" customFormat="1" ht="12" x14ac:dyDescent="0.2">
      <c r="A180" s="569"/>
      <c r="B180" s="671"/>
      <c r="C180" s="1823" t="s">
        <v>327</v>
      </c>
      <c r="D180" s="1823"/>
      <c r="E180" s="1823"/>
      <c r="F180" s="573"/>
      <c r="G180" s="573"/>
      <c r="H180" s="573"/>
      <c r="I180" s="573"/>
      <c r="J180" s="572"/>
      <c r="K180" s="573"/>
      <c r="L180" s="572">
        <v>116.15</v>
      </c>
      <c r="M180" s="601"/>
      <c r="N180" s="570"/>
      <c r="V180" s="674"/>
      <c r="W180" s="675"/>
      <c r="AC180" s="675" t="s">
        <v>327</v>
      </c>
      <c r="AD180" s="675"/>
      <c r="AF180" s="675"/>
      <c r="AG180" s="680"/>
    </row>
    <row r="181" spans="1:33" s="536" customFormat="1" ht="45" x14ac:dyDescent="0.2">
      <c r="A181" s="575" t="s">
        <v>199</v>
      </c>
      <c r="B181" s="670" t="s">
        <v>3751</v>
      </c>
      <c r="C181" s="1823" t="s">
        <v>3752</v>
      </c>
      <c r="D181" s="1823"/>
      <c r="E181" s="1823"/>
      <c r="F181" s="573" t="s">
        <v>617</v>
      </c>
      <c r="G181" s="573"/>
      <c r="H181" s="573"/>
      <c r="I181" s="573" t="s">
        <v>186</v>
      </c>
      <c r="J181" s="572">
        <v>164.3</v>
      </c>
      <c r="K181" s="573"/>
      <c r="L181" s="572">
        <v>328.6</v>
      </c>
      <c r="M181" s="571"/>
      <c r="N181" s="570"/>
      <c r="V181" s="674"/>
      <c r="W181" s="675" t="s">
        <v>3752</v>
      </c>
      <c r="AC181" s="675"/>
      <c r="AD181" s="675"/>
      <c r="AF181" s="675"/>
      <c r="AG181" s="680"/>
    </row>
    <row r="182" spans="1:33" s="536" customFormat="1" ht="12" x14ac:dyDescent="0.2">
      <c r="A182" s="569"/>
      <c r="B182" s="671"/>
      <c r="C182" s="665" t="s">
        <v>717</v>
      </c>
      <c r="D182" s="666"/>
      <c r="E182" s="666"/>
      <c r="F182" s="563"/>
      <c r="G182" s="563"/>
      <c r="H182" s="563"/>
      <c r="I182" s="563"/>
      <c r="J182" s="566"/>
      <c r="K182" s="563"/>
      <c r="L182" s="566"/>
      <c r="M182" s="565"/>
      <c r="N182" s="564"/>
      <c r="V182" s="674"/>
      <c r="W182" s="675"/>
      <c r="AC182" s="675"/>
      <c r="AD182" s="675"/>
      <c r="AF182" s="675"/>
      <c r="AG182" s="680"/>
    </row>
    <row r="183" spans="1:33" s="536" customFormat="1" ht="22.5" x14ac:dyDescent="0.2">
      <c r="A183" s="575" t="s">
        <v>200</v>
      </c>
      <c r="B183" s="670" t="s">
        <v>3753</v>
      </c>
      <c r="C183" s="1823" t="s">
        <v>3754</v>
      </c>
      <c r="D183" s="1823"/>
      <c r="E183" s="1823"/>
      <c r="F183" s="573" t="s">
        <v>307</v>
      </c>
      <c r="G183" s="573"/>
      <c r="H183" s="573"/>
      <c r="I183" s="573" t="s">
        <v>728</v>
      </c>
      <c r="J183" s="572"/>
      <c r="K183" s="573"/>
      <c r="L183" s="572"/>
      <c r="M183" s="571"/>
      <c r="N183" s="570"/>
      <c r="V183" s="674"/>
      <c r="W183" s="675" t="s">
        <v>3754</v>
      </c>
      <c r="AC183" s="675"/>
      <c r="AD183" s="675"/>
      <c r="AF183" s="675"/>
      <c r="AG183" s="680"/>
    </row>
    <row r="184" spans="1:33" s="536" customFormat="1" ht="12" x14ac:dyDescent="0.2">
      <c r="A184" s="676"/>
      <c r="B184" s="664"/>
      <c r="C184" s="1822" t="s">
        <v>2263</v>
      </c>
      <c r="D184" s="1822"/>
      <c r="E184" s="1822"/>
      <c r="F184" s="1822"/>
      <c r="G184" s="1822"/>
      <c r="H184" s="1822"/>
      <c r="I184" s="1822"/>
      <c r="J184" s="1822"/>
      <c r="K184" s="1822"/>
      <c r="L184" s="1822"/>
      <c r="M184" s="1822"/>
      <c r="N184" s="1827"/>
      <c r="V184" s="674"/>
      <c r="W184" s="675"/>
      <c r="X184" s="537" t="s">
        <v>2263</v>
      </c>
      <c r="AC184" s="675"/>
      <c r="AD184" s="675"/>
      <c r="AF184" s="675"/>
      <c r="AG184" s="680"/>
    </row>
    <row r="185" spans="1:33" s="536" customFormat="1" ht="12" x14ac:dyDescent="0.2">
      <c r="A185" s="605"/>
      <c r="B185" s="552" t="s">
        <v>185</v>
      </c>
      <c r="C185" s="1822" t="s">
        <v>312</v>
      </c>
      <c r="D185" s="1822"/>
      <c r="E185" s="1822"/>
      <c r="F185" s="562"/>
      <c r="G185" s="562"/>
      <c r="H185" s="562"/>
      <c r="I185" s="562"/>
      <c r="J185" s="604">
        <v>840.49</v>
      </c>
      <c r="K185" s="562"/>
      <c r="L185" s="604">
        <v>33.619999999999997</v>
      </c>
      <c r="M185" s="603"/>
      <c r="N185" s="602"/>
      <c r="V185" s="674"/>
      <c r="W185" s="675"/>
      <c r="Z185" s="537" t="s">
        <v>312</v>
      </c>
      <c r="AC185" s="675"/>
      <c r="AD185" s="675"/>
      <c r="AF185" s="675"/>
      <c r="AG185" s="680"/>
    </row>
    <row r="186" spans="1:33" s="536" customFormat="1" ht="12" x14ac:dyDescent="0.2">
      <c r="A186" s="605"/>
      <c r="B186" s="552" t="s">
        <v>186</v>
      </c>
      <c r="C186" s="1822" t="s">
        <v>344</v>
      </c>
      <c r="D186" s="1822"/>
      <c r="E186" s="1822"/>
      <c r="F186" s="562"/>
      <c r="G186" s="562"/>
      <c r="H186" s="562"/>
      <c r="I186" s="562"/>
      <c r="J186" s="604">
        <v>3992.41</v>
      </c>
      <c r="K186" s="562"/>
      <c r="L186" s="604">
        <v>159.69999999999999</v>
      </c>
      <c r="M186" s="603"/>
      <c r="N186" s="602"/>
      <c r="V186" s="674"/>
      <c r="W186" s="675"/>
      <c r="Z186" s="537" t="s">
        <v>344</v>
      </c>
      <c r="AC186" s="675"/>
      <c r="AD186" s="675"/>
      <c r="AF186" s="675"/>
      <c r="AG186" s="680"/>
    </row>
    <row r="187" spans="1:33" s="536" customFormat="1" ht="12" x14ac:dyDescent="0.2">
      <c r="A187" s="605"/>
      <c r="B187" s="552" t="s">
        <v>187</v>
      </c>
      <c r="C187" s="1822" t="s">
        <v>345</v>
      </c>
      <c r="D187" s="1822"/>
      <c r="E187" s="1822"/>
      <c r="F187" s="562"/>
      <c r="G187" s="562"/>
      <c r="H187" s="562"/>
      <c r="I187" s="562"/>
      <c r="J187" s="604">
        <v>562.87</v>
      </c>
      <c r="K187" s="562"/>
      <c r="L187" s="604">
        <v>22.51</v>
      </c>
      <c r="M187" s="603"/>
      <c r="N187" s="602"/>
      <c r="V187" s="674"/>
      <c r="W187" s="675"/>
      <c r="Z187" s="537" t="s">
        <v>345</v>
      </c>
      <c r="AC187" s="675"/>
      <c r="AD187" s="675"/>
      <c r="AF187" s="675"/>
      <c r="AG187" s="680"/>
    </row>
    <row r="188" spans="1:33" s="536" customFormat="1" ht="12" x14ac:dyDescent="0.2">
      <c r="A188" s="605"/>
      <c r="B188" s="552" t="s">
        <v>188</v>
      </c>
      <c r="C188" s="1822" t="s">
        <v>475</v>
      </c>
      <c r="D188" s="1822"/>
      <c r="E188" s="1822"/>
      <c r="F188" s="562"/>
      <c r="G188" s="562"/>
      <c r="H188" s="562"/>
      <c r="I188" s="562"/>
      <c r="J188" s="604">
        <v>1533.41</v>
      </c>
      <c r="K188" s="562"/>
      <c r="L188" s="604">
        <v>61.34</v>
      </c>
      <c r="M188" s="603"/>
      <c r="N188" s="602"/>
      <c r="V188" s="674"/>
      <c r="W188" s="675"/>
      <c r="Z188" s="537" t="s">
        <v>475</v>
      </c>
      <c r="AC188" s="675"/>
      <c r="AD188" s="675"/>
      <c r="AF188" s="675"/>
      <c r="AG188" s="680"/>
    </row>
    <row r="189" spans="1:33" s="536" customFormat="1" ht="12" x14ac:dyDescent="0.2">
      <c r="A189" s="676"/>
      <c r="B189" s="677" t="s">
        <v>639</v>
      </c>
      <c r="C189" s="1829" t="s">
        <v>640</v>
      </c>
      <c r="D189" s="1829"/>
      <c r="E189" s="1829"/>
      <c r="F189" s="678" t="s">
        <v>641</v>
      </c>
      <c r="G189" s="678" t="s">
        <v>1072</v>
      </c>
      <c r="H189" s="678"/>
      <c r="I189" s="678" t="s">
        <v>3716</v>
      </c>
      <c r="J189" s="552"/>
      <c r="K189" s="562"/>
      <c r="L189" s="604"/>
      <c r="M189" s="562"/>
      <c r="N189" s="679"/>
      <c r="V189" s="674"/>
      <c r="W189" s="675"/>
      <c r="AC189" s="675"/>
      <c r="AD189" s="675"/>
      <c r="AF189" s="675"/>
      <c r="AG189" s="680" t="s">
        <v>640</v>
      </c>
    </row>
    <row r="190" spans="1:33" s="536" customFormat="1" ht="12" x14ac:dyDescent="0.2">
      <c r="A190" s="676"/>
      <c r="B190" s="677" t="s">
        <v>3745</v>
      </c>
      <c r="C190" s="1829" t="s">
        <v>3746</v>
      </c>
      <c r="D190" s="1829"/>
      <c r="E190" s="1829"/>
      <c r="F190" s="678" t="s">
        <v>617</v>
      </c>
      <c r="G190" s="678" t="s">
        <v>844</v>
      </c>
      <c r="H190" s="678"/>
      <c r="I190" s="678" t="s">
        <v>188</v>
      </c>
      <c r="J190" s="552"/>
      <c r="K190" s="562"/>
      <c r="L190" s="604"/>
      <c r="M190" s="562"/>
      <c r="N190" s="679"/>
      <c r="V190" s="674"/>
      <c r="W190" s="675"/>
      <c r="AC190" s="675"/>
      <c r="AD190" s="675"/>
      <c r="AF190" s="675"/>
      <c r="AG190" s="680" t="s">
        <v>3746</v>
      </c>
    </row>
    <row r="191" spans="1:33" s="536" customFormat="1" ht="12" x14ac:dyDescent="0.2">
      <c r="A191" s="605"/>
      <c r="B191" s="552"/>
      <c r="C191" s="1822" t="s">
        <v>314</v>
      </c>
      <c r="D191" s="1822"/>
      <c r="E191" s="1822"/>
      <c r="F191" s="562" t="s">
        <v>315</v>
      </c>
      <c r="G191" s="562" t="s">
        <v>3755</v>
      </c>
      <c r="H191" s="562"/>
      <c r="I191" s="562" t="s">
        <v>3756</v>
      </c>
      <c r="J191" s="604"/>
      <c r="K191" s="562"/>
      <c r="L191" s="604"/>
      <c r="M191" s="603"/>
      <c r="N191" s="602"/>
      <c r="V191" s="674"/>
      <c r="W191" s="675"/>
      <c r="AA191" s="537" t="s">
        <v>314</v>
      </c>
      <c r="AC191" s="675"/>
      <c r="AD191" s="675"/>
      <c r="AF191" s="675"/>
      <c r="AG191" s="680"/>
    </row>
    <row r="192" spans="1:33" s="536" customFormat="1" ht="12" x14ac:dyDescent="0.2">
      <c r="A192" s="605"/>
      <c r="B192" s="552"/>
      <c r="C192" s="1822" t="s">
        <v>348</v>
      </c>
      <c r="D192" s="1822"/>
      <c r="E192" s="1822"/>
      <c r="F192" s="562" t="s">
        <v>315</v>
      </c>
      <c r="G192" s="562" t="s">
        <v>3757</v>
      </c>
      <c r="H192" s="562"/>
      <c r="I192" s="562" t="s">
        <v>3758</v>
      </c>
      <c r="J192" s="604"/>
      <c r="K192" s="562"/>
      <c r="L192" s="604"/>
      <c r="M192" s="603"/>
      <c r="N192" s="602"/>
      <c r="V192" s="674"/>
      <c r="W192" s="675"/>
      <c r="AA192" s="537" t="s">
        <v>348</v>
      </c>
      <c r="AC192" s="675"/>
      <c r="AD192" s="675"/>
      <c r="AF192" s="675"/>
      <c r="AG192" s="680"/>
    </row>
    <row r="193" spans="1:33" s="536" customFormat="1" ht="12" x14ac:dyDescent="0.2">
      <c r="A193" s="605"/>
      <c r="B193" s="552"/>
      <c r="C193" s="1828" t="s">
        <v>318</v>
      </c>
      <c r="D193" s="1828"/>
      <c r="E193" s="1828"/>
      <c r="F193" s="608"/>
      <c r="G193" s="608"/>
      <c r="H193" s="608"/>
      <c r="I193" s="608"/>
      <c r="J193" s="607">
        <v>6366.31</v>
      </c>
      <c r="K193" s="608"/>
      <c r="L193" s="607">
        <v>254.66</v>
      </c>
      <c r="M193" s="601"/>
      <c r="N193" s="606"/>
      <c r="V193" s="674"/>
      <c r="W193" s="675"/>
      <c r="AB193" s="537" t="s">
        <v>318</v>
      </c>
      <c r="AC193" s="675"/>
      <c r="AD193" s="675"/>
      <c r="AF193" s="675"/>
      <c r="AG193" s="680"/>
    </row>
    <row r="194" spans="1:33" s="536" customFormat="1" ht="12" x14ac:dyDescent="0.2">
      <c r="A194" s="605"/>
      <c r="B194" s="552"/>
      <c r="C194" s="1822" t="s">
        <v>319</v>
      </c>
      <c r="D194" s="1822"/>
      <c r="E194" s="1822"/>
      <c r="F194" s="562"/>
      <c r="G194" s="562"/>
      <c r="H194" s="562"/>
      <c r="I194" s="562"/>
      <c r="J194" s="604"/>
      <c r="K194" s="562"/>
      <c r="L194" s="604">
        <v>56.13</v>
      </c>
      <c r="M194" s="603"/>
      <c r="N194" s="602"/>
      <c r="V194" s="674"/>
      <c r="W194" s="675"/>
      <c r="AA194" s="537" t="s">
        <v>319</v>
      </c>
      <c r="AC194" s="675"/>
      <c r="AD194" s="675"/>
      <c r="AF194" s="675"/>
      <c r="AG194" s="680"/>
    </row>
    <row r="195" spans="1:33" s="536" customFormat="1" ht="45" x14ac:dyDescent="0.2">
      <c r="A195" s="605"/>
      <c r="B195" s="552" t="s">
        <v>3462</v>
      </c>
      <c r="C195" s="1822" t="s">
        <v>3463</v>
      </c>
      <c r="D195" s="1822"/>
      <c r="E195" s="1822"/>
      <c r="F195" s="562" t="s">
        <v>322</v>
      </c>
      <c r="G195" s="562" t="s">
        <v>3039</v>
      </c>
      <c r="H195" s="562"/>
      <c r="I195" s="562" t="s">
        <v>3039</v>
      </c>
      <c r="J195" s="604"/>
      <c r="K195" s="562"/>
      <c r="L195" s="604">
        <v>65.11</v>
      </c>
      <c r="M195" s="603"/>
      <c r="N195" s="602"/>
      <c r="V195" s="674"/>
      <c r="W195" s="675"/>
      <c r="AA195" s="537" t="s">
        <v>3463</v>
      </c>
      <c r="AC195" s="675"/>
      <c r="AD195" s="675"/>
      <c r="AF195" s="675"/>
      <c r="AG195" s="680"/>
    </row>
    <row r="196" spans="1:33" s="536" customFormat="1" ht="45" x14ac:dyDescent="0.2">
      <c r="A196" s="605"/>
      <c r="B196" s="552" t="s">
        <v>3464</v>
      </c>
      <c r="C196" s="1822" t="s">
        <v>3465</v>
      </c>
      <c r="D196" s="1822"/>
      <c r="E196" s="1822"/>
      <c r="F196" s="562" t="s">
        <v>322</v>
      </c>
      <c r="G196" s="562" t="s">
        <v>1540</v>
      </c>
      <c r="H196" s="562"/>
      <c r="I196" s="562" t="s">
        <v>1540</v>
      </c>
      <c r="J196" s="604"/>
      <c r="K196" s="562"/>
      <c r="L196" s="604">
        <v>44.9</v>
      </c>
      <c r="M196" s="603"/>
      <c r="N196" s="602"/>
      <c r="V196" s="674"/>
      <c r="W196" s="675"/>
      <c r="AA196" s="537" t="s">
        <v>3465</v>
      </c>
      <c r="AC196" s="675"/>
      <c r="AD196" s="675"/>
      <c r="AF196" s="675"/>
      <c r="AG196" s="680"/>
    </row>
    <row r="197" spans="1:33" s="536" customFormat="1" ht="12" x14ac:dyDescent="0.2">
      <c r="A197" s="569"/>
      <c r="B197" s="671"/>
      <c r="C197" s="1823" t="s">
        <v>327</v>
      </c>
      <c r="D197" s="1823"/>
      <c r="E197" s="1823"/>
      <c r="F197" s="573"/>
      <c r="G197" s="573"/>
      <c r="H197" s="573"/>
      <c r="I197" s="573"/>
      <c r="J197" s="572"/>
      <c r="K197" s="573"/>
      <c r="L197" s="572">
        <v>364.67</v>
      </c>
      <c r="M197" s="601"/>
      <c r="N197" s="570"/>
      <c r="V197" s="674"/>
      <c r="W197" s="675"/>
      <c r="AC197" s="675" t="s">
        <v>327</v>
      </c>
      <c r="AD197" s="675"/>
      <c r="AF197" s="675"/>
      <c r="AG197" s="680"/>
    </row>
    <row r="198" spans="1:33" s="536" customFormat="1" ht="45" x14ac:dyDescent="0.2">
      <c r="A198" s="575" t="s">
        <v>425</v>
      </c>
      <c r="B198" s="670" t="s">
        <v>3759</v>
      </c>
      <c r="C198" s="1823" t="s">
        <v>3760</v>
      </c>
      <c r="D198" s="1823"/>
      <c r="E198" s="1823"/>
      <c r="F198" s="573" t="s">
        <v>617</v>
      </c>
      <c r="G198" s="573"/>
      <c r="H198" s="573"/>
      <c r="I198" s="573" t="s">
        <v>188</v>
      </c>
      <c r="J198" s="572">
        <v>314.94</v>
      </c>
      <c r="K198" s="573"/>
      <c r="L198" s="572">
        <v>1259.76</v>
      </c>
      <c r="M198" s="571"/>
      <c r="N198" s="570"/>
      <c r="V198" s="674"/>
      <c r="W198" s="675" t="s">
        <v>3760</v>
      </c>
      <c r="AC198" s="675"/>
      <c r="AD198" s="675"/>
      <c r="AF198" s="675"/>
      <c r="AG198" s="680"/>
    </row>
    <row r="199" spans="1:33" s="536" customFormat="1" ht="12" x14ac:dyDescent="0.2">
      <c r="A199" s="569"/>
      <c r="B199" s="671"/>
      <c r="C199" s="665" t="s">
        <v>717</v>
      </c>
      <c r="D199" s="666"/>
      <c r="E199" s="666"/>
      <c r="F199" s="563"/>
      <c r="G199" s="563"/>
      <c r="H199" s="563"/>
      <c r="I199" s="563"/>
      <c r="J199" s="566"/>
      <c r="K199" s="563"/>
      <c r="L199" s="566"/>
      <c r="M199" s="565"/>
      <c r="N199" s="564"/>
      <c r="V199" s="674"/>
      <c r="W199" s="675"/>
      <c r="AC199" s="675"/>
      <c r="AD199" s="675"/>
      <c r="AF199" s="675"/>
      <c r="AG199" s="680"/>
    </row>
    <row r="200" spans="1:33" s="536" customFormat="1" ht="1.5" customHeight="1" x14ac:dyDescent="0.2">
      <c r="A200" s="563"/>
      <c r="B200" s="671"/>
      <c r="C200" s="671"/>
      <c r="D200" s="671"/>
      <c r="E200" s="671"/>
      <c r="F200" s="563"/>
      <c r="G200" s="563"/>
      <c r="H200" s="563"/>
      <c r="I200" s="563"/>
      <c r="J200" s="546"/>
      <c r="K200" s="563"/>
      <c r="L200" s="546"/>
      <c r="M200" s="562"/>
      <c r="N200" s="546"/>
      <c r="V200" s="674"/>
      <c r="W200" s="675"/>
      <c r="AC200" s="675"/>
      <c r="AD200" s="675"/>
      <c r="AF200" s="675"/>
      <c r="AG200" s="680"/>
    </row>
    <row r="201" spans="1:33" s="536" customFormat="1" ht="12" x14ac:dyDescent="0.2">
      <c r="A201" s="557"/>
      <c r="B201" s="556"/>
      <c r="C201" s="1823" t="s">
        <v>3761</v>
      </c>
      <c r="D201" s="1823"/>
      <c r="E201" s="1823"/>
      <c r="F201" s="1823"/>
      <c r="G201" s="1823"/>
      <c r="H201" s="1823"/>
      <c r="I201" s="1823"/>
      <c r="J201" s="1823"/>
      <c r="K201" s="1823"/>
      <c r="L201" s="555"/>
      <c r="M201" s="554"/>
      <c r="N201" s="553"/>
      <c r="V201" s="674"/>
      <c r="W201" s="675"/>
      <c r="AC201" s="675"/>
      <c r="AD201" s="675" t="s">
        <v>3761</v>
      </c>
      <c r="AF201" s="675"/>
      <c r="AG201" s="680"/>
    </row>
    <row r="202" spans="1:33" s="536" customFormat="1" ht="12" x14ac:dyDescent="0.2">
      <c r="A202" s="548"/>
      <c r="B202" s="552"/>
      <c r="C202" s="1822" t="s">
        <v>403</v>
      </c>
      <c r="D202" s="1822"/>
      <c r="E202" s="1822"/>
      <c r="F202" s="1822"/>
      <c r="G202" s="1822"/>
      <c r="H202" s="1822"/>
      <c r="I202" s="1822"/>
      <c r="J202" s="1822"/>
      <c r="K202" s="1822"/>
      <c r="L202" s="551">
        <v>8267.91</v>
      </c>
      <c r="M202" s="550"/>
      <c r="N202" s="549"/>
      <c r="V202" s="674"/>
      <c r="W202" s="675"/>
      <c r="AC202" s="675"/>
      <c r="AD202" s="675"/>
      <c r="AE202" s="537" t="s">
        <v>403</v>
      </c>
      <c r="AF202" s="675"/>
      <c r="AG202" s="680"/>
    </row>
    <row r="203" spans="1:33" s="536" customFormat="1" ht="12" x14ac:dyDescent="0.2">
      <c r="A203" s="548"/>
      <c r="B203" s="552"/>
      <c r="C203" s="1822" t="s">
        <v>204</v>
      </c>
      <c r="D203" s="1822"/>
      <c r="E203" s="1822"/>
      <c r="F203" s="1822"/>
      <c r="G203" s="1822"/>
      <c r="H203" s="1822"/>
      <c r="I203" s="1822"/>
      <c r="J203" s="1822"/>
      <c r="K203" s="1822"/>
      <c r="L203" s="551"/>
      <c r="M203" s="550"/>
      <c r="N203" s="549"/>
      <c r="V203" s="674"/>
      <c r="W203" s="675"/>
      <c r="AC203" s="675"/>
      <c r="AD203" s="675"/>
      <c r="AE203" s="537" t="s">
        <v>204</v>
      </c>
      <c r="AF203" s="675"/>
      <c r="AG203" s="680"/>
    </row>
    <row r="204" spans="1:33" s="536" customFormat="1" ht="12" x14ac:dyDescent="0.2">
      <c r="A204" s="548"/>
      <c r="B204" s="552"/>
      <c r="C204" s="1822" t="s">
        <v>404</v>
      </c>
      <c r="D204" s="1822"/>
      <c r="E204" s="1822"/>
      <c r="F204" s="1822"/>
      <c r="G204" s="1822"/>
      <c r="H204" s="1822"/>
      <c r="I204" s="1822"/>
      <c r="J204" s="1822"/>
      <c r="K204" s="1822"/>
      <c r="L204" s="551">
        <v>142.76</v>
      </c>
      <c r="M204" s="550"/>
      <c r="N204" s="549"/>
      <c r="V204" s="674"/>
      <c r="W204" s="675"/>
      <c r="AC204" s="675"/>
      <c r="AD204" s="675"/>
      <c r="AE204" s="537" t="s">
        <v>404</v>
      </c>
      <c r="AF204" s="675"/>
      <c r="AG204" s="680"/>
    </row>
    <row r="205" spans="1:33" s="536" customFormat="1" ht="12" x14ac:dyDescent="0.2">
      <c r="A205" s="548"/>
      <c r="B205" s="552"/>
      <c r="C205" s="1822" t="s">
        <v>405</v>
      </c>
      <c r="D205" s="1822"/>
      <c r="E205" s="1822"/>
      <c r="F205" s="1822"/>
      <c r="G205" s="1822"/>
      <c r="H205" s="1822"/>
      <c r="I205" s="1822"/>
      <c r="J205" s="1822"/>
      <c r="K205" s="1822"/>
      <c r="L205" s="551">
        <v>354.24</v>
      </c>
      <c r="M205" s="550"/>
      <c r="N205" s="549"/>
      <c r="V205" s="674"/>
      <c r="W205" s="675"/>
      <c r="AC205" s="675"/>
      <c r="AD205" s="675"/>
      <c r="AE205" s="537" t="s">
        <v>405</v>
      </c>
      <c r="AF205" s="675"/>
      <c r="AG205" s="680"/>
    </row>
    <row r="206" spans="1:33" s="536" customFormat="1" ht="12" x14ac:dyDescent="0.2">
      <c r="A206" s="548"/>
      <c r="B206" s="552"/>
      <c r="C206" s="1822" t="s">
        <v>406</v>
      </c>
      <c r="D206" s="1822"/>
      <c r="E206" s="1822"/>
      <c r="F206" s="1822"/>
      <c r="G206" s="1822"/>
      <c r="H206" s="1822"/>
      <c r="I206" s="1822"/>
      <c r="J206" s="1822"/>
      <c r="K206" s="1822"/>
      <c r="L206" s="551">
        <v>51.66</v>
      </c>
      <c r="M206" s="550"/>
      <c r="N206" s="549"/>
      <c r="V206" s="674"/>
      <c r="W206" s="675"/>
      <c r="AC206" s="675"/>
      <c r="AD206" s="675"/>
      <c r="AE206" s="537" t="s">
        <v>406</v>
      </c>
      <c r="AF206" s="675"/>
      <c r="AG206" s="680"/>
    </row>
    <row r="207" spans="1:33" s="536" customFormat="1" ht="12" x14ac:dyDescent="0.2">
      <c r="A207" s="548"/>
      <c r="B207" s="552"/>
      <c r="C207" s="1822" t="s">
        <v>480</v>
      </c>
      <c r="D207" s="1822"/>
      <c r="E207" s="1822"/>
      <c r="F207" s="1822"/>
      <c r="G207" s="1822"/>
      <c r="H207" s="1822"/>
      <c r="I207" s="1822"/>
      <c r="J207" s="1822"/>
      <c r="K207" s="1822"/>
      <c r="L207" s="551">
        <v>7770.91</v>
      </c>
      <c r="M207" s="550"/>
      <c r="N207" s="549"/>
      <c r="V207" s="674"/>
      <c r="W207" s="675"/>
      <c r="AC207" s="675"/>
      <c r="AD207" s="675"/>
      <c r="AE207" s="537" t="s">
        <v>480</v>
      </c>
      <c r="AF207" s="675"/>
      <c r="AG207" s="680"/>
    </row>
    <row r="208" spans="1:33" s="536" customFormat="1" ht="12" x14ac:dyDescent="0.2">
      <c r="A208" s="548"/>
      <c r="B208" s="552"/>
      <c r="C208" s="1822" t="s">
        <v>407</v>
      </c>
      <c r="D208" s="1822"/>
      <c r="E208" s="1822"/>
      <c r="F208" s="1822"/>
      <c r="G208" s="1822"/>
      <c r="H208" s="1822"/>
      <c r="I208" s="1822"/>
      <c r="J208" s="1822"/>
      <c r="K208" s="1822"/>
      <c r="L208" s="551">
        <v>8607.5300000000007</v>
      </c>
      <c r="M208" s="550"/>
      <c r="N208" s="549"/>
      <c r="V208" s="674"/>
      <c r="W208" s="675"/>
      <c r="AC208" s="675"/>
      <c r="AD208" s="675"/>
      <c r="AE208" s="537" t="s">
        <v>407</v>
      </c>
      <c r="AF208" s="675"/>
      <c r="AG208" s="680"/>
    </row>
    <row r="209" spans="1:33" s="536" customFormat="1" ht="12" x14ac:dyDescent="0.2">
      <c r="A209" s="548"/>
      <c r="B209" s="552"/>
      <c r="C209" s="1822" t="s">
        <v>204</v>
      </c>
      <c r="D209" s="1822"/>
      <c r="E209" s="1822"/>
      <c r="F209" s="1822"/>
      <c r="G209" s="1822"/>
      <c r="H209" s="1822"/>
      <c r="I209" s="1822"/>
      <c r="J209" s="1822"/>
      <c r="K209" s="1822"/>
      <c r="L209" s="551"/>
      <c r="M209" s="550"/>
      <c r="N209" s="549"/>
      <c r="V209" s="674"/>
      <c r="W209" s="675"/>
      <c r="AC209" s="675"/>
      <c r="AD209" s="675"/>
      <c r="AE209" s="537" t="s">
        <v>204</v>
      </c>
      <c r="AF209" s="675"/>
      <c r="AG209" s="680"/>
    </row>
    <row r="210" spans="1:33" s="536" customFormat="1" ht="12" x14ac:dyDescent="0.2">
      <c r="A210" s="548"/>
      <c r="B210" s="552"/>
      <c r="C210" s="1822" t="s">
        <v>546</v>
      </c>
      <c r="D210" s="1822"/>
      <c r="E210" s="1822"/>
      <c r="F210" s="1822"/>
      <c r="G210" s="1822"/>
      <c r="H210" s="1822"/>
      <c r="I210" s="1822"/>
      <c r="J210" s="1822"/>
      <c r="K210" s="1822"/>
      <c r="L210" s="551">
        <v>142.76</v>
      </c>
      <c r="M210" s="550"/>
      <c r="N210" s="549"/>
      <c r="V210" s="674"/>
      <c r="W210" s="675"/>
      <c r="AC210" s="675"/>
      <c r="AD210" s="675"/>
      <c r="AE210" s="537" t="s">
        <v>546</v>
      </c>
      <c r="AF210" s="675"/>
      <c r="AG210" s="680"/>
    </row>
    <row r="211" spans="1:33" s="536" customFormat="1" ht="12" x14ac:dyDescent="0.2">
      <c r="A211" s="548"/>
      <c r="B211" s="552"/>
      <c r="C211" s="1822" t="s">
        <v>442</v>
      </c>
      <c r="D211" s="1822"/>
      <c r="E211" s="1822"/>
      <c r="F211" s="1822"/>
      <c r="G211" s="1822"/>
      <c r="H211" s="1822"/>
      <c r="I211" s="1822"/>
      <c r="J211" s="1822"/>
      <c r="K211" s="1822"/>
      <c r="L211" s="551">
        <v>354.24</v>
      </c>
      <c r="M211" s="550"/>
      <c r="N211" s="549"/>
      <c r="V211" s="674"/>
      <c r="W211" s="675"/>
      <c r="AC211" s="675"/>
      <c r="AD211" s="675"/>
      <c r="AE211" s="537" t="s">
        <v>442</v>
      </c>
      <c r="AF211" s="675"/>
      <c r="AG211" s="680"/>
    </row>
    <row r="212" spans="1:33" s="536" customFormat="1" ht="12" x14ac:dyDescent="0.2">
      <c r="A212" s="548"/>
      <c r="B212" s="552"/>
      <c r="C212" s="1822" t="s">
        <v>547</v>
      </c>
      <c r="D212" s="1822"/>
      <c r="E212" s="1822"/>
      <c r="F212" s="1822"/>
      <c r="G212" s="1822"/>
      <c r="H212" s="1822"/>
      <c r="I212" s="1822"/>
      <c r="J212" s="1822"/>
      <c r="K212" s="1822"/>
      <c r="L212" s="551">
        <v>7770.91</v>
      </c>
      <c r="M212" s="550"/>
      <c r="N212" s="549"/>
      <c r="V212" s="674"/>
      <c r="W212" s="675"/>
      <c r="AC212" s="675"/>
      <c r="AD212" s="675"/>
      <c r="AE212" s="537" t="s">
        <v>547</v>
      </c>
      <c r="AF212" s="675"/>
      <c r="AG212" s="680"/>
    </row>
    <row r="213" spans="1:33" s="536" customFormat="1" ht="12" x14ac:dyDescent="0.2">
      <c r="A213" s="548"/>
      <c r="B213" s="552"/>
      <c r="C213" s="1822" t="s">
        <v>443</v>
      </c>
      <c r="D213" s="1822"/>
      <c r="E213" s="1822"/>
      <c r="F213" s="1822"/>
      <c r="G213" s="1822"/>
      <c r="H213" s="1822"/>
      <c r="I213" s="1822"/>
      <c r="J213" s="1822"/>
      <c r="K213" s="1822"/>
      <c r="L213" s="551">
        <v>209.47</v>
      </c>
      <c r="M213" s="550"/>
      <c r="N213" s="549"/>
      <c r="V213" s="674"/>
      <c r="W213" s="675"/>
      <c r="AC213" s="675"/>
      <c r="AD213" s="675"/>
      <c r="AE213" s="537" t="s">
        <v>443</v>
      </c>
      <c r="AF213" s="675"/>
      <c r="AG213" s="680"/>
    </row>
    <row r="214" spans="1:33" s="536" customFormat="1" ht="12" x14ac:dyDescent="0.2">
      <c r="A214" s="548"/>
      <c r="B214" s="552"/>
      <c r="C214" s="1822" t="s">
        <v>444</v>
      </c>
      <c r="D214" s="1822"/>
      <c r="E214" s="1822"/>
      <c r="F214" s="1822"/>
      <c r="G214" s="1822"/>
      <c r="H214" s="1822"/>
      <c r="I214" s="1822"/>
      <c r="J214" s="1822"/>
      <c r="K214" s="1822"/>
      <c r="L214" s="551">
        <v>130.15</v>
      </c>
      <c r="M214" s="550"/>
      <c r="N214" s="549"/>
      <c r="V214" s="674"/>
      <c r="W214" s="675"/>
      <c r="AC214" s="675"/>
      <c r="AD214" s="675"/>
      <c r="AE214" s="537" t="s">
        <v>444</v>
      </c>
      <c r="AF214" s="675"/>
      <c r="AG214" s="680"/>
    </row>
    <row r="215" spans="1:33" s="536" customFormat="1" ht="12" x14ac:dyDescent="0.2">
      <c r="A215" s="548"/>
      <c r="B215" s="552"/>
      <c r="C215" s="1822" t="s">
        <v>415</v>
      </c>
      <c r="D215" s="1822"/>
      <c r="E215" s="1822"/>
      <c r="F215" s="1822"/>
      <c r="G215" s="1822"/>
      <c r="H215" s="1822"/>
      <c r="I215" s="1822"/>
      <c r="J215" s="1822"/>
      <c r="K215" s="1822"/>
      <c r="L215" s="551">
        <v>194.42</v>
      </c>
      <c r="M215" s="550"/>
      <c r="N215" s="549"/>
      <c r="V215" s="674"/>
      <c r="W215" s="675"/>
      <c r="AC215" s="675"/>
      <c r="AD215" s="675"/>
      <c r="AE215" s="537" t="s">
        <v>415</v>
      </c>
      <c r="AF215" s="675"/>
      <c r="AG215" s="680"/>
    </row>
    <row r="216" spans="1:33" s="536" customFormat="1" ht="12" x14ac:dyDescent="0.2">
      <c r="A216" s="548"/>
      <c r="B216" s="552"/>
      <c r="C216" s="1822" t="s">
        <v>416</v>
      </c>
      <c r="D216" s="1822"/>
      <c r="E216" s="1822"/>
      <c r="F216" s="1822"/>
      <c r="G216" s="1822"/>
      <c r="H216" s="1822"/>
      <c r="I216" s="1822"/>
      <c r="J216" s="1822"/>
      <c r="K216" s="1822"/>
      <c r="L216" s="551">
        <v>209.47</v>
      </c>
      <c r="M216" s="550"/>
      <c r="N216" s="549"/>
      <c r="V216" s="674"/>
      <c r="W216" s="675"/>
      <c r="AC216" s="675"/>
      <c r="AD216" s="675"/>
      <c r="AE216" s="537" t="s">
        <v>416</v>
      </c>
      <c r="AF216" s="675"/>
      <c r="AG216" s="680"/>
    </row>
    <row r="217" spans="1:33" s="536" customFormat="1" ht="12" x14ac:dyDescent="0.2">
      <c r="A217" s="548"/>
      <c r="B217" s="552"/>
      <c r="C217" s="1822" t="s">
        <v>417</v>
      </c>
      <c r="D217" s="1822"/>
      <c r="E217" s="1822"/>
      <c r="F217" s="1822"/>
      <c r="G217" s="1822"/>
      <c r="H217" s="1822"/>
      <c r="I217" s="1822"/>
      <c r="J217" s="1822"/>
      <c r="K217" s="1822"/>
      <c r="L217" s="551">
        <v>130.15</v>
      </c>
      <c r="M217" s="550"/>
      <c r="N217" s="549"/>
      <c r="V217" s="674"/>
      <c r="W217" s="675"/>
      <c r="AC217" s="675"/>
      <c r="AD217" s="675"/>
      <c r="AE217" s="537" t="s">
        <v>417</v>
      </c>
      <c r="AF217" s="675"/>
      <c r="AG217" s="680"/>
    </row>
    <row r="218" spans="1:33" s="536" customFormat="1" ht="12" x14ac:dyDescent="0.2">
      <c r="A218" s="548"/>
      <c r="B218" s="546"/>
      <c r="C218" s="1819" t="s">
        <v>3762</v>
      </c>
      <c r="D218" s="1819"/>
      <c r="E218" s="1819"/>
      <c r="F218" s="1819"/>
      <c r="G218" s="1819"/>
      <c r="H218" s="1819"/>
      <c r="I218" s="1819"/>
      <c r="J218" s="1819"/>
      <c r="K218" s="1819"/>
      <c r="L218" s="544">
        <v>8607.5300000000007</v>
      </c>
      <c r="M218" s="543"/>
      <c r="N218" s="681"/>
      <c r="V218" s="674"/>
      <c r="W218" s="675"/>
      <c r="AC218" s="675"/>
      <c r="AD218" s="675"/>
      <c r="AF218" s="675" t="s">
        <v>3762</v>
      </c>
      <c r="AG218" s="680"/>
    </row>
    <row r="219" spans="1:33" s="536" customFormat="1" ht="12" x14ac:dyDescent="0.2">
      <c r="A219" s="1824" t="s">
        <v>1124</v>
      </c>
      <c r="B219" s="1825"/>
      <c r="C219" s="1825"/>
      <c r="D219" s="1825"/>
      <c r="E219" s="1825"/>
      <c r="F219" s="1825"/>
      <c r="G219" s="1825"/>
      <c r="H219" s="1825"/>
      <c r="I219" s="1825"/>
      <c r="J219" s="1825"/>
      <c r="K219" s="1825"/>
      <c r="L219" s="1825"/>
      <c r="M219" s="1825"/>
      <c r="N219" s="1826"/>
      <c r="V219" s="674" t="s">
        <v>1124</v>
      </c>
      <c r="W219" s="675"/>
      <c r="AC219" s="675"/>
      <c r="AD219" s="675"/>
      <c r="AF219" s="675"/>
      <c r="AG219" s="680"/>
    </row>
    <row r="220" spans="1:33" s="536" customFormat="1" ht="67.5" x14ac:dyDescent="0.2">
      <c r="A220" s="575" t="s">
        <v>430</v>
      </c>
      <c r="B220" s="670" t="s">
        <v>1497</v>
      </c>
      <c r="C220" s="1823" t="s">
        <v>3763</v>
      </c>
      <c r="D220" s="1823"/>
      <c r="E220" s="1823"/>
      <c r="F220" s="573" t="s">
        <v>201</v>
      </c>
      <c r="G220" s="573"/>
      <c r="H220" s="573"/>
      <c r="I220" s="573" t="s">
        <v>3764</v>
      </c>
      <c r="J220" s="572">
        <v>76.88</v>
      </c>
      <c r="K220" s="573"/>
      <c r="L220" s="572">
        <v>29.91</v>
      </c>
      <c r="M220" s="571"/>
      <c r="N220" s="570"/>
      <c r="V220" s="674"/>
      <c r="W220" s="675" t="s">
        <v>3763</v>
      </c>
      <c r="AC220" s="675"/>
      <c r="AD220" s="675"/>
      <c r="AF220" s="675"/>
      <c r="AG220" s="680"/>
    </row>
    <row r="221" spans="1:33" s="536" customFormat="1" ht="12" x14ac:dyDescent="0.2">
      <c r="A221" s="569"/>
      <c r="B221" s="671"/>
      <c r="C221" s="665" t="s">
        <v>717</v>
      </c>
      <c r="D221" s="666"/>
      <c r="E221" s="666"/>
      <c r="F221" s="563"/>
      <c r="G221" s="563"/>
      <c r="H221" s="563"/>
      <c r="I221" s="563"/>
      <c r="J221" s="566"/>
      <c r="K221" s="563"/>
      <c r="L221" s="566"/>
      <c r="M221" s="565"/>
      <c r="N221" s="564"/>
      <c r="V221" s="674"/>
      <c r="W221" s="675"/>
      <c r="AC221" s="675"/>
      <c r="AD221" s="675"/>
      <c r="AF221" s="675"/>
      <c r="AG221" s="680"/>
    </row>
    <row r="222" spans="1:33" s="536" customFormat="1" ht="67.5" x14ac:dyDescent="0.2">
      <c r="A222" s="575" t="s">
        <v>436</v>
      </c>
      <c r="B222" s="670" t="s">
        <v>1616</v>
      </c>
      <c r="C222" s="1823" t="s">
        <v>3765</v>
      </c>
      <c r="D222" s="1823"/>
      <c r="E222" s="1823"/>
      <c r="F222" s="573" t="s">
        <v>201</v>
      </c>
      <c r="G222" s="573"/>
      <c r="H222" s="573"/>
      <c r="I222" s="573" t="s">
        <v>1270</v>
      </c>
      <c r="J222" s="572">
        <v>90.45</v>
      </c>
      <c r="K222" s="573"/>
      <c r="L222" s="572">
        <v>2.98</v>
      </c>
      <c r="M222" s="571"/>
      <c r="N222" s="570"/>
      <c r="V222" s="674"/>
      <c r="W222" s="675" t="s">
        <v>3765</v>
      </c>
      <c r="AC222" s="675"/>
      <c r="AD222" s="675"/>
      <c r="AF222" s="675"/>
      <c r="AG222" s="680"/>
    </row>
    <row r="223" spans="1:33" s="536" customFormat="1" ht="12" x14ac:dyDescent="0.2">
      <c r="A223" s="569"/>
      <c r="B223" s="671"/>
      <c r="C223" s="665" t="s">
        <v>717</v>
      </c>
      <c r="D223" s="666"/>
      <c r="E223" s="666"/>
      <c r="F223" s="563"/>
      <c r="G223" s="563"/>
      <c r="H223" s="563"/>
      <c r="I223" s="563"/>
      <c r="J223" s="566"/>
      <c r="K223" s="563"/>
      <c r="L223" s="566"/>
      <c r="M223" s="565"/>
      <c r="N223" s="564"/>
      <c r="V223" s="674"/>
      <c r="W223" s="675"/>
      <c r="AC223" s="675"/>
      <c r="AD223" s="675"/>
      <c r="AF223" s="675"/>
      <c r="AG223" s="680"/>
    </row>
    <row r="224" spans="1:33" s="536" customFormat="1" ht="78.75" x14ac:dyDescent="0.2">
      <c r="A224" s="575" t="s">
        <v>733</v>
      </c>
      <c r="B224" s="670" t="s">
        <v>3766</v>
      </c>
      <c r="C224" s="1823" t="s">
        <v>3767</v>
      </c>
      <c r="D224" s="1823"/>
      <c r="E224" s="1823"/>
      <c r="F224" s="573" t="s">
        <v>201</v>
      </c>
      <c r="G224" s="573"/>
      <c r="H224" s="573"/>
      <c r="I224" s="573" t="s">
        <v>3768</v>
      </c>
      <c r="J224" s="572">
        <v>37.42</v>
      </c>
      <c r="K224" s="573"/>
      <c r="L224" s="572">
        <v>242.48</v>
      </c>
      <c r="M224" s="571"/>
      <c r="N224" s="570"/>
      <c r="V224" s="674"/>
      <c r="W224" s="675" t="s">
        <v>3767</v>
      </c>
      <c r="AC224" s="675"/>
      <c r="AD224" s="675"/>
      <c r="AF224" s="675"/>
      <c r="AG224" s="680"/>
    </row>
    <row r="225" spans="1:36" s="536" customFormat="1" ht="12" x14ac:dyDescent="0.2">
      <c r="A225" s="569"/>
      <c r="B225" s="671"/>
      <c r="C225" s="665" t="s">
        <v>209</v>
      </c>
      <c r="D225" s="666"/>
      <c r="E225" s="666"/>
      <c r="F225" s="563"/>
      <c r="G225" s="563"/>
      <c r="H225" s="563"/>
      <c r="I225" s="563"/>
      <c r="J225" s="566"/>
      <c r="K225" s="563"/>
      <c r="L225" s="566"/>
      <c r="M225" s="565"/>
      <c r="N225" s="564"/>
      <c r="V225" s="674"/>
      <c r="W225" s="675"/>
      <c r="AC225" s="675"/>
      <c r="AD225" s="675"/>
      <c r="AF225" s="675"/>
      <c r="AG225" s="680"/>
    </row>
    <row r="226" spans="1:36" s="536" customFormat="1" ht="12" x14ac:dyDescent="0.2">
      <c r="A226" s="676"/>
      <c r="B226" s="664"/>
      <c r="C226" s="1822" t="s">
        <v>3769</v>
      </c>
      <c r="D226" s="1822"/>
      <c r="E226" s="1822"/>
      <c r="F226" s="1822"/>
      <c r="G226" s="1822"/>
      <c r="H226" s="1822"/>
      <c r="I226" s="1822"/>
      <c r="J226" s="1822"/>
      <c r="K226" s="1822"/>
      <c r="L226" s="1822"/>
      <c r="M226" s="1822"/>
      <c r="N226" s="1827"/>
      <c r="V226" s="674"/>
      <c r="W226" s="675"/>
      <c r="X226" s="537" t="s">
        <v>3769</v>
      </c>
      <c r="AC226" s="675"/>
      <c r="AD226" s="675"/>
      <c r="AF226" s="675"/>
      <c r="AG226" s="680"/>
    </row>
    <row r="227" spans="1:36" s="536" customFormat="1" ht="1.5" customHeight="1" x14ac:dyDescent="0.2">
      <c r="A227" s="563"/>
      <c r="B227" s="671"/>
      <c r="C227" s="671"/>
      <c r="D227" s="671"/>
      <c r="E227" s="671"/>
      <c r="F227" s="563"/>
      <c r="G227" s="563"/>
      <c r="H227" s="563"/>
      <c r="I227" s="563"/>
      <c r="J227" s="546"/>
      <c r="K227" s="563"/>
      <c r="L227" s="546"/>
      <c r="M227" s="562"/>
      <c r="N227" s="546"/>
      <c r="V227" s="674"/>
      <c r="W227" s="675"/>
      <c r="AC227" s="675"/>
      <c r="AD227" s="675"/>
      <c r="AF227" s="675"/>
      <c r="AG227" s="680"/>
    </row>
    <row r="228" spans="1:36" s="536" customFormat="1" ht="22.5" x14ac:dyDescent="0.2">
      <c r="A228" s="557"/>
      <c r="B228" s="556"/>
      <c r="C228" s="1823" t="s">
        <v>1138</v>
      </c>
      <c r="D228" s="1823"/>
      <c r="E228" s="1823"/>
      <c r="F228" s="1823"/>
      <c r="G228" s="1823"/>
      <c r="H228" s="1823"/>
      <c r="I228" s="1823"/>
      <c r="J228" s="1823"/>
      <c r="K228" s="1823"/>
      <c r="L228" s="555"/>
      <c r="M228" s="554"/>
      <c r="N228" s="553"/>
      <c r="V228" s="674"/>
      <c r="W228" s="675"/>
      <c r="AC228" s="675"/>
      <c r="AD228" s="675" t="s">
        <v>1138</v>
      </c>
      <c r="AF228" s="675"/>
      <c r="AG228" s="680"/>
    </row>
    <row r="229" spans="1:36" s="536" customFormat="1" ht="12" x14ac:dyDescent="0.2">
      <c r="A229" s="548"/>
      <c r="B229" s="552"/>
      <c r="C229" s="1822" t="s">
        <v>403</v>
      </c>
      <c r="D229" s="1822"/>
      <c r="E229" s="1822"/>
      <c r="F229" s="1822"/>
      <c r="G229" s="1822"/>
      <c r="H229" s="1822"/>
      <c r="I229" s="1822"/>
      <c r="J229" s="1822"/>
      <c r="K229" s="1822"/>
      <c r="L229" s="551">
        <v>275.37</v>
      </c>
      <c r="M229" s="550"/>
      <c r="N229" s="549"/>
      <c r="V229" s="674"/>
      <c r="W229" s="675"/>
      <c r="AC229" s="675"/>
      <c r="AD229" s="675"/>
      <c r="AE229" s="537" t="s">
        <v>403</v>
      </c>
      <c r="AF229" s="675"/>
      <c r="AG229" s="680"/>
    </row>
    <row r="230" spans="1:36" s="536" customFormat="1" ht="12" x14ac:dyDescent="0.2">
      <c r="A230" s="548"/>
      <c r="B230" s="552"/>
      <c r="C230" s="1822" t="s">
        <v>204</v>
      </c>
      <c r="D230" s="1822"/>
      <c r="E230" s="1822"/>
      <c r="F230" s="1822"/>
      <c r="G230" s="1822"/>
      <c r="H230" s="1822"/>
      <c r="I230" s="1822"/>
      <c r="J230" s="1822"/>
      <c r="K230" s="1822"/>
      <c r="L230" s="551"/>
      <c r="M230" s="550"/>
      <c r="N230" s="549"/>
      <c r="V230" s="674"/>
      <c r="W230" s="675"/>
      <c r="AC230" s="675"/>
      <c r="AD230" s="675"/>
      <c r="AE230" s="537" t="s">
        <v>204</v>
      </c>
      <c r="AF230" s="675"/>
      <c r="AG230" s="680"/>
    </row>
    <row r="231" spans="1:36" s="536" customFormat="1" ht="12" x14ac:dyDescent="0.2">
      <c r="A231" s="548"/>
      <c r="B231" s="552"/>
      <c r="C231" s="1822" t="s">
        <v>480</v>
      </c>
      <c r="D231" s="1822"/>
      <c r="E231" s="1822"/>
      <c r="F231" s="1822"/>
      <c r="G231" s="1822"/>
      <c r="H231" s="1822"/>
      <c r="I231" s="1822"/>
      <c r="J231" s="1822"/>
      <c r="K231" s="1822"/>
      <c r="L231" s="551">
        <v>275.37</v>
      </c>
      <c r="M231" s="550"/>
      <c r="N231" s="549"/>
      <c r="V231" s="674"/>
      <c r="W231" s="675"/>
      <c r="AC231" s="675"/>
      <c r="AD231" s="675"/>
      <c r="AE231" s="537" t="s">
        <v>480</v>
      </c>
      <c r="AF231" s="675"/>
      <c r="AG231" s="680"/>
    </row>
    <row r="232" spans="1:36" s="536" customFormat="1" ht="12" x14ac:dyDescent="0.2">
      <c r="A232" s="548"/>
      <c r="B232" s="552"/>
      <c r="C232" s="1822" t="s">
        <v>407</v>
      </c>
      <c r="D232" s="1822"/>
      <c r="E232" s="1822"/>
      <c r="F232" s="1822"/>
      <c r="G232" s="1822"/>
      <c r="H232" s="1822"/>
      <c r="I232" s="1822"/>
      <c r="J232" s="1822"/>
      <c r="K232" s="1822"/>
      <c r="L232" s="551">
        <v>275.37</v>
      </c>
      <c r="M232" s="550"/>
      <c r="N232" s="549"/>
      <c r="V232" s="674"/>
      <c r="W232" s="675"/>
      <c r="AC232" s="675"/>
      <c r="AD232" s="675"/>
      <c r="AE232" s="537" t="s">
        <v>407</v>
      </c>
      <c r="AF232" s="675"/>
      <c r="AG232" s="680"/>
    </row>
    <row r="233" spans="1:36" s="536" customFormat="1" ht="12" x14ac:dyDescent="0.2">
      <c r="A233" s="548"/>
      <c r="B233" s="552"/>
      <c r="C233" s="1822" t="s">
        <v>204</v>
      </c>
      <c r="D233" s="1822"/>
      <c r="E233" s="1822"/>
      <c r="F233" s="1822"/>
      <c r="G233" s="1822"/>
      <c r="H233" s="1822"/>
      <c r="I233" s="1822"/>
      <c r="J233" s="1822"/>
      <c r="K233" s="1822"/>
      <c r="L233" s="551"/>
      <c r="M233" s="550"/>
      <c r="N233" s="549"/>
      <c r="V233" s="674"/>
      <c r="W233" s="675"/>
      <c r="AC233" s="675"/>
      <c r="AD233" s="675"/>
      <c r="AE233" s="537" t="s">
        <v>204</v>
      </c>
      <c r="AF233" s="675"/>
      <c r="AG233" s="680"/>
    </row>
    <row r="234" spans="1:36" s="536" customFormat="1" ht="12" x14ac:dyDescent="0.2">
      <c r="A234" s="548"/>
      <c r="B234" s="552"/>
      <c r="C234" s="1822" t="s">
        <v>547</v>
      </c>
      <c r="D234" s="1822"/>
      <c r="E234" s="1822"/>
      <c r="F234" s="1822"/>
      <c r="G234" s="1822"/>
      <c r="H234" s="1822"/>
      <c r="I234" s="1822"/>
      <c r="J234" s="1822"/>
      <c r="K234" s="1822"/>
      <c r="L234" s="551">
        <v>275.37</v>
      </c>
      <c r="M234" s="550"/>
      <c r="N234" s="549"/>
      <c r="V234" s="674"/>
      <c r="W234" s="675"/>
      <c r="AC234" s="675"/>
      <c r="AD234" s="675"/>
      <c r="AE234" s="537" t="s">
        <v>547</v>
      </c>
      <c r="AF234" s="675"/>
      <c r="AG234" s="680"/>
    </row>
    <row r="235" spans="1:36" s="536" customFormat="1" ht="22.5" x14ac:dyDescent="0.2">
      <c r="A235" s="548"/>
      <c r="B235" s="546"/>
      <c r="C235" s="1819" t="s">
        <v>1139</v>
      </c>
      <c r="D235" s="1819"/>
      <c r="E235" s="1819"/>
      <c r="F235" s="1819"/>
      <c r="G235" s="1819"/>
      <c r="H235" s="1819"/>
      <c r="I235" s="1819"/>
      <c r="J235" s="1819"/>
      <c r="K235" s="1819"/>
      <c r="L235" s="544">
        <v>275.37</v>
      </c>
      <c r="M235" s="543"/>
      <c r="N235" s="681"/>
      <c r="V235" s="674"/>
      <c r="W235" s="675"/>
      <c r="AC235" s="675"/>
      <c r="AD235" s="675"/>
      <c r="AF235" s="675" t="s">
        <v>1139</v>
      </c>
      <c r="AG235" s="680"/>
    </row>
    <row r="236" spans="1:36" s="536" customFormat="1" ht="2.25" customHeight="1" x14ac:dyDescent="0.2">
      <c r="B236" s="561"/>
      <c r="C236" s="561"/>
      <c r="D236" s="561"/>
      <c r="E236" s="561"/>
      <c r="F236" s="561"/>
      <c r="G236" s="561"/>
      <c r="H236" s="561"/>
      <c r="I236" s="561"/>
      <c r="J236" s="561"/>
      <c r="K236" s="561"/>
      <c r="L236" s="560"/>
      <c r="M236" s="559"/>
      <c r="N236" s="558"/>
    </row>
    <row r="237" spans="1:36" s="536" customFormat="1" x14ac:dyDescent="0.2">
      <c r="A237" s="557"/>
      <c r="B237" s="556"/>
      <c r="C237" s="1823" t="s">
        <v>205</v>
      </c>
      <c r="D237" s="1823"/>
      <c r="E237" s="1823"/>
      <c r="F237" s="1823"/>
      <c r="G237" s="1823"/>
      <c r="H237" s="1823"/>
      <c r="I237" s="1823"/>
      <c r="J237" s="1823"/>
      <c r="K237" s="1823"/>
      <c r="L237" s="555"/>
      <c r="M237" s="554"/>
      <c r="N237" s="553"/>
      <c r="AI237" s="675" t="s">
        <v>205</v>
      </c>
    </row>
    <row r="238" spans="1:36" s="536" customFormat="1" x14ac:dyDescent="0.2">
      <c r="A238" s="548"/>
      <c r="B238" s="552"/>
      <c r="C238" s="1822" t="s">
        <v>403</v>
      </c>
      <c r="D238" s="1822"/>
      <c r="E238" s="1822"/>
      <c r="F238" s="1822"/>
      <c r="G238" s="1822"/>
      <c r="H238" s="1822"/>
      <c r="I238" s="1822"/>
      <c r="J238" s="1822"/>
      <c r="K238" s="1822"/>
      <c r="L238" s="551">
        <v>8569.57</v>
      </c>
      <c r="M238" s="550"/>
      <c r="N238" s="549"/>
      <c r="AI238" s="675"/>
      <c r="AJ238" s="537" t="s">
        <v>403</v>
      </c>
    </row>
    <row r="239" spans="1:36" s="536" customFormat="1" x14ac:dyDescent="0.2">
      <c r="A239" s="548"/>
      <c r="B239" s="552"/>
      <c r="C239" s="1822" t="s">
        <v>204</v>
      </c>
      <c r="D239" s="1822"/>
      <c r="E239" s="1822"/>
      <c r="F239" s="1822"/>
      <c r="G239" s="1822"/>
      <c r="H239" s="1822"/>
      <c r="I239" s="1822"/>
      <c r="J239" s="1822"/>
      <c r="K239" s="1822"/>
      <c r="L239" s="551"/>
      <c r="M239" s="550"/>
      <c r="N239" s="549"/>
      <c r="AI239" s="675"/>
      <c r="AJ239" s="537" t="s">
        <v>204</v>
      </c>
    </row>
    <row r="240" spans="1:36" s="536" customFormat="1" x14ac:dyDescent="0.2">
      <c r="A240" s="548"/>
      <c r="B240" s="552"/>
      <c r="C240" s="1822" t="s">
        <v>404</v>
      </c>
      <c r="D240" s="1822"/>
      <c r="E240" s="1822"/>
      <c r="F240" s="1822"/>
      <c r="G240" s="1822"/>
      <c r="H240" s="1822"/>
      <c r="I240" s="1822"/>
      <c r="J240" s="1822"/>
      <c r="K240" s="1822"/>
      <c r="L240" s="551">
        <v>142.94999999999999</v>
      </c>
      <c r="M240" s="550"/>
      <c r="N240" s="549"/>
      <c r="AI240" s="675"/>
      <c r="AJ240" s="537" t="s">
        <v>404</v>
      </c>
    </row>
    <row r="241" spans="1:37" x14ac:dyDescent="0.2">
      <c r="A241" s="548"/>
      <c r="B241" s="552"/>
      <c r="C241" s="1822" t="s">
        <v>405</v>
      </c>
      <c r="D241" s="1822"/>
      <c r="E241" s="1822"/>
      <c r="F241" s="1822"/>
      <c r="G241" s="1822"/>
      <c r="H241" s="1822"/>
      <c r="I241" s="1822"/>
      <c r="J241" s="1822"/>
      <c r="K241" s="1822"/>
      <c r="L241" s="551">
        <v>380.34</v>
      </c>
      <c r="M241" s="550"/>
      <c r="N241" s="549"/>
      <c r="P241" s="536"/>
      <c r="Q241" s="536"/>
      <c r="R241" s="536"/>
      <c r="S241" s="536"/>
      <c r="T241" s="536"/>
      <c r="U241" s="536"/>
      <c r="V241" s="536"/>
      <c r="W241" s="536"/>
      <c r="X241" s="536"/>
      <c r="Y241" s="536"/>
      <c r="Z241" s="536"/>
      <c r="AA241" s="536"/>
      <c r="AB241" s="536"/>
      <c r="AC241" s="536"/>
      <c r="AD241" s="536"/>
      <c r="AE241" s="536"/>
      <c r="AF241" s="536"/>
      <c r="AG241" s="536"/>
      <c r="AH241" s="536"/>
      <c r="AI241" s="675"/>
      <c r="AJ241" s="537" t="s">
        <v>405</v>
      </c>
      <c r="AK241" s="536"/>
    </row>
    <row r="242" spans="1:37" x14ac:dyDescent="0.2">
      <c r="A242" s="548"/>
      <c r="B242" s="552"/>
      <c r="C242" s="1822" t="s">
        <v>406</v>
      </c>
      <c r="D242" s="1822"/>
      <c r="E242" s="1822"/>
      <c r="F242" s="1822"/>
      <c r="G242" s="1822"/>
      <c r="H242" s="1822"/>
      <c r="I242" s="1822"/>
      <c r="J242" s="1822"/>
      <c r="K242" s="1822"/>
      <c r="L242" s="551">
        <v>53.54</v>
      </c>
      <c r="M242" s="550"/>
      <c r="N242" s="549"/>
      <c r="P242" s="536"/>
      <c r="Q242" s="536"/>
      <c r="R242" s="536"/>
      <c r="S242" s="536"/>
      <c r="T242" s="536"/>
      <c r="U242" s="536"/>
      <c r="V242" s="536"/>
      <c r="W242" s="536"/>
      <c r="X242" s="536"/>
      <c r="Y242" s="536"/>
      <c r="Z242" s="536"/>
      <c r="AA242" s="536"/>
      <c r="AB242" s="536"/>
      <c r="AC242" s="536"/>
      <c r="AD242" s="536"/>
      <c r="AE242" s="536"/>
      <c r="AF242" s="536"/>
      <c r="AG242" s="536"/>
      <c r="AH242" s="536"/>
      <c r="AI242" s="675"/>
      <c r="AJ242" s="537" t="s">
        <v>406</v>
      </c>
      <c r="AK242" s="536"/>
    </row>
    <row r="243" spans="1:37" x14ac:dyDescent="0.2">
      <c r="A243" s="548"/>
      <c r="B243" s="552"/>
      <c r="C243" s="1822" t="s">
        <v>480</v>
      </c>
      <c r="D243" s="1822"/>
      <c r="E243" s="1822"/>
      <c r="F243" s="1822"/>
      <c r="G243" s="1822"/>
      <c r="H243" s="1822"/>
      <c r="I243" s="1822"/>
      <c r="J243" s="1822"/>
      <c r="K243" s="1822"/>
      <c r="L243" s="551">
        <v>8046.28</v>
      </c>
      <c r="M243" s="550"/>
      <c r="N243" s="549"/>
      <c r="P243" s="536"/>
      <c r="Q243" s="536"/>
      <c r="R243" s="536"/>
      <c r="S243" s="536"/>
      <c r="T243" s="536"/>
      <c r="U243" s="536"/>
      <c r="V243" s="536"/>
      <c r="W243" s="536"/>
      <c r="X243" s="536"/>
      <c r="Y243" s="536"/>
      <c r="Z243" s="536"/>
      <c r="AA243" s="536"/>
      <c r="AB243" s="536"/>
      <c r="AC243" s="536"/>
      <c r="AD243" s="536"/>
      <c r="AE243" s="536"/>
      <c r="AF243" s="536"/>
      <c r="AG243" s="536"/>
      <c r="AH243" s="536"/>
      <c r="AI243" s="675"/>
      <c r="AJ243" s="537" t="s">
        <v>480</v>
      </c>
      <c r="AK243" s="536"/>
    </row>
    <row r="244" spans="1:37" x14ac:dyDescent="0.2">
      <c r="A244" s="548"/>
      <c r="B244" s="552"/>
      <c r="C244" s="1822" t="s">
        <v>407</v>
      </c>
      <c r="D244" s="1822"/>
      <c r="E244" s="1822"/>
      <c r="F244" s="1822"/>
      <c r="G244" s="1822"/>
      <c r="H244" s="1822"/>
      <c r="I244" s="1822"/>
      <c r="J244" s="1822"/>
      <c r="K244" s="1822"/>
      <c r="L244" s="551">
        <v>8912.0400000000009</v>
      </c>
      <c r="M244" s="550"/>
      <c r="N244" s="549">
        <v>57215</v>
      </c>
      <c r="P244" s="536"/>
      <c r="Q244" s="536"/>
      <c r="R244" s="536"/>
      <c r="S244" s="536"/>
      <c r="T244" s="536"/>
      <c r="U244" s="536"/>
      <c r="V244" s="536"/>
      <c r="W244" s="536"/>
      <c r="X244" s="536"/>
      <c r="Y244" s="536"/>
      <c r="Z244" s="536"/>
      <c r="AA244" s="536"/>
      <c r="AB244" s="536"/>
      <c r="AC244" s="536"/>
      <c r="AD244" s="536"/>
      <c r="AE244" s="536"/>
      <c r="AF244" s="536"/>
      <c r="AG244" s="536"/>
      <c r="AH244" s="536"/>
      <c r="AI244" s="675"/>
      <c r="AJ244" s="537" t="s">
        <v>407</v>
      </c>
      <c r="AK244" s="536"/>
    </row>
    <row r="245" spans="1:37" x14ac:dyDescent="0.2">
      <c r="A245" s="548"/>
      <c r="B245" s="552" t="s">
        <v>185</v>
      </c>
      <c r="C245" s="1822" t="s">
        <v>408</v>
      </c>
      <c r="D245" s="1822"/>
      <c r="E245" s="1822"/>
      <c r="F245" s="1822"/>
      <c r="G245" s="1822"/>
      <c r="H245" s="1822"/>
      <c r="I245" s="1822"/>
      <c r="J245" s="1822"/>
      <c r="K245" s="1822"/>
      <c r="L245" s="551">
        <v>8902</v>
      </c>
      <c r="M245" s="550">
        <v>6.42</v>
      </c>
      <c r="N245" s="549">
        <v>57151</v>
      </c>
      <c r="P245" s="536"/>
      <c r="Q245" s="536"/>
      <c r="R245" s="536"/>
      <c r="S245" s="536"/>
      <c r="T245" s="536"/>
      <c r="U245" s="536"/>
      <c r="V245" s="536"/>
      <c r="W245" s="536"/>
      <c r="X245" s="536"/>
      <c r="Y245" s="536"/>
      <c r="Z245" s="536"/>
      <c r="AA245" s="536"/>
      <c r="AB245" s="536"/>
      <c r="AC245" s="536"/>
      <c r="AD245" s="536"/>
      <c r="AE245" s="536"/>
      <c r="AF245" s="536"/>
      <c r="AG245" s="536"/>
      <c r="AH245" s="536"/>
      <c r="AI245" s="675"/>
      <c r="AJ245" s="537" t="s">
        <v>408</v>
      </c>
      <c r="AK245" s="536"/>
    </row>
    <row r="246" spans="1:37" x14ac:dyDescent="0.2">
      <c r="A246" s="548"/>
      <c r="B246" s="552"/>
      <c r="C246" s="1822" t="s">
        <v>409</v>
      </c>
      <c r="D246" s="1822"/>
      <c r="E246" s="1822"/>
      <c r="F246" s="1822"/>
      <c r="G246" s="1822"/>
      <c r="H246" s="1822"/>
      <c r="I246" s="1822"/>
      <c r="J246" s="1822"/>
      <c r="K246" s="1822"/>
      <c r="L246" s="551"/>
      <c r="M246" s="550"/>
      <c r="N246" s="549"/>
      <c r="P246" s="536"/>
      <c r="Q246" s="536"/>
      <c r="R246" s="536"/>
      <c r="S246" s="536"/>
      <c r="T246" s="536"/>
      <c r="U246" s="536"/>
      <c r="V246" s="536"/>
      <c r="W246" s="536"/>
      <c r="X246" s="536"/>
      <c r="Y246" s="536"/>
      <c r="Z246" s="536"/>
      <c r="AA246" s="536"/>
      <c r="AB246" s="536"/>
      <c r="AC246" s="536"/>
      <c r="AD246" s="536"/>
      <c r="AE246" s="536"/>
      <c r="AF246" s="536"/>
      <c r="AG246" s="536"/>
      <c r="AH246" s="536"/>
      <c r="AI246" s="675"/>
      <c r="AJ246" s="537" t="s">
        <v>409</v>
      </c>
      <c r="AK246" s="536"/>
    </row>
    <row r="247" spans="1:37" x14ac:dyDescent="0.2">
      <c r="A247" s="548"/>
      <c r="B247" s="552"/>
      <c r="C247" s="1822" t="s">
        <v>410</v>
      </c>
      <c r="D247" s="1822"/>
      <c r="E247" s="1822"/>
      <c r="F247" s="1822"/>
      <c r="G247" s="1822"/>
      <c r="H247" s="1822"/>
      <c r="I247" s="1822"/>
      <c r="J247" s="1822"/>
      <c r="K247" s="1822"/>
      <c r="L247" s="551">
        <v>142.94999999999999</v>
      </c>
      <c r="M247" s="550"/>
      <c r="N247" s="549"/>
      <c r="P247" s="536"/>
      <c r="Q247" s="536"/>
      <c r="R247" s="536"/>
      <c r="S247" s="536"/>
      <c r="T247" s="536"/>
      <c r="U247" s="536"/>
      <c r="V247" s="536"/>
      <c r="W247" s="536"/>
      <c r="X247" s="536"/>
      <c r="Y247" s="536"/>
      <c r="Z247" s="536"/>
      <c r="AA247" s="536"/>
      <c r="AB247" s="536"/>
      <c r="AC247" s="536"/>
      <c r="AD247" s="536"/>
      <c r="AE247" s="536"/>
      <c r="AF247" s="536"/>
      <c r="AG247" s="536"/>
      <c r="AH247" s="536"/>
      <c r="AI247" s="675"/>
      <c r="AJ247" s="537" t="s">
        <v>410</v>
      </c>
      <c r="AK247" s="536"/>
    </row>
    <row r="248" spans="1:37" x14ac:dyDescent="0.2">
      <c r="A248" s="548"/>
      <c r="B248" s="552"/>
      <c r="C248" s="1822" t="s">
        <v>411</v>
      </c>
      <c r="D248" s="1822"/>
      <c r="E248" s="1822"/>
      <c r="F248" s="1822"/>
      <c r="G248" s="1822"/>
      <c r="H248" s="1822"/>
      <c r="I248" s="1822"/>
      <c r="J248" s="1822"/>
      <c r="K248" s="1822"/>
      <c r="L248" s="551">
        <v>370.3</v>
      </c>
      <c r="M248" s="550"/>
      <c r="N248" s="549"/>
      <c r="P248" s="536"/>
      <c r="Q248" s="536"/>
      <c r="R248" s="536"/>
      <c r="S248" s="536"/>
      <c r="T248" s="536"/>
      <c r="U248" s="536"/>
      <c r="V248" s="536"/>
      <c r="W248" s="536"/>
      <c r="X248" s="536"/>
      <c r="Y248" s="536"/>
      <c r="Z248" s="536"/>
      <c r="AA248" s="536"/>
      <c r="AB248" s="536"/>
      <c r="AC248" s="536"/>
      <c r="AD248" s="536"/>
      <c r="AE248" s="536"/>
      <c r="AF248" s="536"/>
      <c r="AG248" s="536"/>
      <c r="AH248" s="536"/>
      <c r="AI248" s="675"/>
      <c r="AJ248" s="537" t="s">
        <v>411</v>
      </c>
      <c r="AK248" s="536"/>
    </row>
    <row r="249" spans="1:37" x14ac:dyDescent="0.2">
      <c r="A249" s="548"/>
      <c r="B249" s="552"/>
      <c r="C249" s="1822" t="s">
        <v>481</v>
      </c>
      <c r="D249" s="1822"/>
      <c r="E249" s="1822"/>
      <c r="F249" s="1822"/>
      <c r="G249" s="1822"/>
      <c r="H249" s="1822"/>
      <c r="I249" s="1822"/>
      <c r="J249" s="1822"/>
      <c r="K249" s="1822"/>
      <c r="L249" s="551">
        <v>8046.28</v>
      </c>
      <c r="M249" s="550"/>
      <c r="N249" s="549"/>
      <c r="P249" s="536"/>
      <c r="Q249" s="536"/>
      <c r="R249" s="536"/>
      <c r="S249" s="536"/>
      <c r="T249" s="536"/>
      <c r="U249" s="536"/>
      <c r="V249" s="536"/>
      <c r="W249" s="536"/>
      <c r="X249" s="536"/>
      <c r="Y249" s="536"/>
      <c r="Z249" s="536"/>
      <c r="AA249" s="536"/>
      <c r="AB249" s="536"/>
      <c r="AC249" s="536"/>
      <c r="AD249" s="536"/>
      <c r="AE249" s="536"/>
      <c r="AF249" s="536"/>
      <c r="AG249" s="536"/>
      <c r="AH249" s="536"/>
      <c r="AI249" s="675"/>
      <c r="AJ249" s="537" t="s">
        <v>481</v>
      </c>
      <c r="AK249" s="536"/>
    </row>
    <row r="250" spans="1:37" x14ac:dyDescent="0.2">
      <c r="A250" s="548"/>
      <c r="B250" s="552"/>
      <c r="C250" s="1822" t="s">
        <v>412</v>
      </c>
      <c r="D250" s="1822"/>
      <c r="E250" s="1822"/>
      <c r="F250" s="1822"/>
      <c r="G250" s="1822"/>
      <c r="H250" s="1822"/>
      <c r="I250" s="1822"/>
      <c r="J250" s="1822"/>
      <c r="K250" s="1822"/>
      <c r="L250" s="551">
        <v>211.37</v>
      </c>
      <c r="M250" s="550"/>
      <c r="N250" s="549"/>
      <c r="P250" s="536"/>
      <c r="Q250" s="536"/>
      <c r="R250" s="536"/>
      <c r="S250" s="536"/>
      <c r="T250" s="536"/>
      <c r="U250" s="536"/>
      <c r="V250" s="536"/>
      <c r="W250" s="536"/>
      <c r="X250" s="536"/>
      <c r="Y250" s="536"/>
      <c r="Z250" s="536"/>
      <c r="AA250" s="536"/>
      <c r="AB250" s="536"/>
      <c r="AC250" s="536"/>
      <c r="AD250" s="536"/>
      <c r="AE250" s="536"/>
      <c r="AF250" s="536"/>
      <c r="AG250" s="536"/>
      <c r="AH250" s="536"/>
      <c r="AI250" s="675"/>
      <c r="AJ250" s="537" t="s">
        <v>412</v>
      </c>
      <c r="AK250" s="536"/>
    </row>
    <row r="251" spans="1:37" x14ac:dyDescent="0.2">
      <c r="A251" s="548"/>
      <c r="B251" s="552"/>
      <c r="C251" s="1822" t="s">
        <v>413</v>
      </c>
      <c r="D251" s="1822"/>
      <c r="E251" s="1822"/>
      <c r="F251" s="1822"/>
      <c r="G251" s="1822"/>
      <c r="H251" s="1822"/>
      <c r="I251" s="1822"/>
      <c r="J251" s="1822"/>
      <c r="K251" s="1822"/>
      <c r="L251" s="551">
        <v>131.1</v>
      </c>
      <c r="M251" s="550"/>
      <c r="N251" s="549"/>
      <c r="P251" s="536"/>
      <c r="Q251" s="536"/>
      <c r="R251" s="536"/>
      <c r="S251" s="536"/>
      <c r="T251" s="536"/>
      <c r="U251" s="536"/>
      <c r="V251" s="536"/>
      <c r="W251" s="536"/>
      <c r="X251" s="536"/>
      <c r="Y251" s="536"/>
      <c r="Z251" s="536"/>
      <c r="AA251" s="536"/>
      <c r="AB251" s="536"/>
      <c r="AC251" s="536"/>
      <c r="AD251" s="536"/>
      <c r="AE251" s="536"/>
      <c r="AF251" s="536"/>
      <c r="AG251" s="536"/>
      <c r="AH251" s="536"/>
      <c r="AI251" s="675"/>
      <c r="AJ251" s="537" t="s">
        <v>413</v>
      </c>
      <c r="AK251" s="536"/>
    </row>
    <row r="252" spans="1:37" x14ac:dyDescent="0.2">
      <c r="A252" s="548"/>
      <c r="B252" s="552" t="s">
        <v>185</v>
      </c>
      <c r="C252" s="1822" t="s">
        <v>414</v>
      </c>
      <c r="D252" s="1822"/>
      <c r="E252" s="1822"/>
      <c r="F252" s="1822"/>
      <c r="G252" s="1822"/>
      <c r="H252" s="1822"/>
      <c r="I252" s="1822"/>
      <c r="J252" s="1822"/>
      <c r="K252" s="1822"/>
      <c r="L252" s="551">
        <v>10.039999999999999</v>
      </c>
      <c r="M252" s="550">
        <v>6.42</v>
      </c>
      <c r="N252" s="549">
        <v>64</v>
      </c>
      <c r="P252" s="536"/>
      <c r="Q252" s="536"/>
      <c r="R252" s="536"/>
      <c r="S252" s="536"/>
      <c r="T252" s="536"/>
      <c r="U252" s="536"/>
      <c r="V252" s="536"/>
      <c r="W252" s="536"/>
      <c r="X252" s="536"/>
      <c r="Y252" s="536"/>
      <c r="Z252" s="536"/>
      <c r="AA252" s="536"/>
      <c r="AB252" s="536"/>
      <c r="AC252" s="536"/>
      <c r="AD252" s="536"/>
      <c r="AE252" s="536"/>
      <c r="AF252" s="536"/>
      <c r="AG252" s="536"/>
      <c r="AH252" s="536"/>
      <c r="AI252" s="675"/>
      <c r="AJ252" s="537" t="s">
        <v>414</v>
      </c>
      <c r="AK252" s="536"/>
    </row>
    <row r="253" spans="1:37" x14ac:dyDescent="0.2">
      <c r="A253" s="548"/>
      <c r="B253" s="552"/>
      <c r="C253" s="1822" t="s">
        <v>415</v>
      </c>
      <c r="D253" s="1822"/>
      <c r="E253" s="1822"/>
      <c r="F253" s="1822"/>
      <c r="G253" s="1822"/>
      <c r="H253" s="1822"/>
      <c r="I253" s="1822"/>
      <c r="J253" s="1822"/>
      <c r="K253" s="1822"/>
      <c r="L253" s="551">
        <v>196.49</v>
      </c>
      <c r="M253" s="550"/>
      <c r="N253" s="549"/>
      <c r="P253" s="536"/>
      <c r="Q253" s="536"/>
      <c r="R253" s="536"/>
      <c r="S253" s="536"/>
      <c r="T253" s="536"/>
      <c r="U253" s="536"/>
      <c r="V253" s="536"/>
      <c r="W253" s="536"/>
      <c r="X253" s="536"/>
      <c r="Y253" s="536"/>
      <c r="Z253" s="536"/>
      <c r="AA253" s="536"/>
      <c r="AB253" s="536"/>
      <c r="AC253" s="536"/>
      <c r="AD253" s="536"/>
      <c r="AE253" s="536"/>
      <c r="AF253" s="536"/>
      <c r="AG253" s="536"/>
      <c r="AH253" s="536"/>
      <c r="AI253" s="675"/>
      <c r="AJ253" s="537" t="s">
        <v>415</v>
      </c>
      <c r="AK253" s="536"/>
    </row>
    <row r="254" spans="1:37" x14ac:dyDescent="0.2">
      <c r="A254" s="548"/>
      <c r="B254" s="552"/>
      <c r="C254" s="1822" t="s">
        <v>416</v>
      </c>
      <c r="D254" s="1822"/>
      <c r="E254" s="1822"/>
      <c r="F254" s="1822"/>
      <c r="G254" s="1822"/>
      <c r="H254" s="1822"/>
      <c r="I254" s="1822"/>
      <c r="J254" s="1822"/>
      <c r="K254" s="1822"/>
      <c r="L254" s="551">
        <v>211.37</v>
      </c>
      <c r="M254" s="550"/>
      <c r="N254" s="549"/>
      <c r="P254" s="536"/>
      <c r="Q254" s="536"/>
      <c r="R254" s="536"/>
      <c r="S254" s="536"/>
      <c r="T254" s="536"/>
      <c r="U254" s="536"/>
      <c r="V254" s="536"/>
      <c r="W254" s="536"/>
      <c r="X254" s="536"/>
      <c r="Y254" s="536"/>
      <c r="Z254" s="536"/>
      <c r="AA254" s="536"/>
      <c r="AB254" s="536"/>
      <c r="AC254" s="536"/>
      <c r="AD254" s="536"/>
      <c r="AE254" s="536"/>
      <c r="AF254" s="536"/>
      <c r="AG254" s="536"/>
      <c r="AH254" s="536"/>
      <c r="AI254" s="675"/>
      <c r="AJ254" s="537" t="s">
        <v>416</v>
      </c>
      <c r="AK254" s="536"/>
    </row>
    <row r="255" spans="1:37" x14ac:dyDescent="0.2">
      <c r="A255" s="548"/>
      <c r="B255" s="552"/>
      <c r="C255" s="1822" t="s">
        <v>417</v>
      </c>
      <c r="D255" s="1822"/>
      <c r="E255" s="1822"/>
      <c r="F255" s="1822"/>
      <c r="G255" s="1822"/>
      <c r="H255" s="1822"/>
      <c r="I255" s="1822"/>
      <c r="J255" s="1822"/>
      <c r="K255" s="1822"/>
      <c r="L255" s="551">
        <v>131.1</v>
      </c>
      <c r="M255" s="550"/>
      <c r="N255" s="549"/>
      <c r="P255" s="536"/>
      <c r="Q255" s="536"/>
      <c r="R255" s="536"/>
      <c r="S255" s="536"/>
      <c r="T255" s="536"/>
      <c r="U255" s="536"/>
      <c r="V255" s="536"/>
      <c r="W255" s="536"/>
      <c r="X255" s="536"/>
      <c r="Y255" s="536"/>
      <c r="Z255" s="536"/>
      <c r="AA255" s="536"/>
      <c r="AB255" s="536"/>
      <c r="AC255" s="536"/>
      <c r="AD255" s="536"/>
      <c r="AE255" s="536"/>
      <c r="AF255" s="536"/>
      <c r="AG255" s="536"/>
      <c r="AH255" s="536"/>
      <c r="AI255" s="675"/>
      <c r="AJ255" s="537" t="s">
        <v>417</v>
      </c>
      <c r="AK255" s="536"/>
    </row>
    <row r="256" spans="1:37" x14ac:dyDescent="0.2">
      <c r="A256" s="548"/>
      <c r="B256" s="546"/>
      <c r="C256" s="1819" t="s">
        <v>206</v>
      </c>
      <c r="D256" s="1819"/>
      <c r="E256" s="1819"/>
      <c r="F256" s="1819"/>
      <c r="G256" s="1819"/>
      <c r="H256" s="1819"/>
      <c r="I256" s="1819"/>
      <c r="J256" s="1819"/>
      <c r="K256" s="1819"/>
      <c r="L256" s="544">
        <v>8912.0400000000009</v>
      </c>
      <c r="M256" s="543"/>
      <c r="N256" s="547">
        <v>57215</v>
      </c>
      <c r="P256" s="536"/>
      <c r="Q256" s="536"/>
      <c r="R256" s="536"/>
      <c r="S256" s="536"/>
      <c r="T256" s="536"/>
      <c r="U256" s="536"/>
      <c r="V256" s="536"/>
      <c r="W256" s="536"/>
      <c r="X256" s="536"/>
      <c r="Y256" s="536"/>
      <c r="Z256" s="536"/>
      <c r="AA256" s="536"/>
      <c r="AB256" s="536"/>
      <c r="AC256" s="536"/>
      <c r="AD256" s="536"/>
      <c r="AE256" s="536"/>
      <c r="AF256" s="536"/>
      <c r="AG256" s="536"/>
      <c r="AH256" s="536"/>
      <c r="AI256" s="675"/>
      <c r="AJ256" s="536"/>
      <c r="AK256" s="675" t="s">
        <v>206</v>
      </c>
    </row>
    <row r="257" spans="1:37" ht="1.5" customHeight="1" x14ac:dyDescent="0.2">
      <c r="B257" s="546"/>
      <c r="C257" s="671"/>
      <c r="D257" s="671"/>
      <c r="E257" s="671"/>
      <c r="F257" s="671"/>
      <c r="G257" s="671"/>
      <c r="H257" s="671"/>
      <c r="I257" s="671"/>
      <c r="J257" s="671"/>
      <c r="K257" s="671"/>
      <c r="L257" s="544"/>
      <c r="M257" s="543"/>
      <c r="N257" s="542"/>
      <c r="P257" s="536"/>
      <c r="Q257" s="536"/>
      <c r="R257" s="536"/>
      <c r="S257" s="536"/>
      <c r="T257" s="536"/>
      <c r="U257" s="536"/>
      <c r="V257" s="536"/>
      <c r="W257" s="536"/>
      <c r="X257" s="536"/>
      <c r="Y257" s="536"/>
      <c r="Z257" s="536"/>
      <c r="AA257" s="536"/>
      <c r="AB257" s="536"/>
      <c r="AC257" s="536"/>
      <c r="AD257" s="536"/>
      <c r="AE257" s="536"/>
      <c r="AF257" s="536"/>
      <c r="AG257" s="536"/>
      <c r="AH257" s="536"/>
      <c r="AI257" s="536"/>
      <c r="AJ257" s="536"/>
      <c r="AK257" s="536"/>
    </row>
    <row r="258" spans="1:37" ht="53.25" customHeight="1" x14ac:dyDescent="0.2">
      <c r="A258" s="541"/>
      <c r="B258" s="541"/>
      <c r="C258" s="541"/>
      <c r="D258" s="541"/>
      <c r="E258" s="541"/>
      <c r="F258" s="541"/>
      <c r="G258" s="541"/>
      <c r="H258" s="541"/>
      <c r="I258" s="541"/>
      <c r="J258" s="541"/>
      <c r="K258" s="541"/>
      <c r="L258" s="541"/>
      <c r="M258" s="541"/>
      <c r="N258" s="541"/>
      <c r="P258" s="536"/>
      <c r="Q258" s="536"/>
      <c r="R258" s="536"/>
      <c r="S258" s="536"/>
      <c r="T258" s="536"/>
      <c r="U258" s="536"/>
      <c r="V258" s="536"/>
      <c r="W258" s="536"/>
      <c r="X258" s="536"/>
      <c r="Y258" s="536"/>
      <c r="Z258" s="536"/>
      <c r="AA258" s="536"/>
      <c r="AB258" s="536"/>
      <c r="AC258" s="536"/>
      <c r="AD258" s="536"/>
      <c r="AE258" s="536"/>
      <c r="AF258" s="536"/>
      <c r="AG258" s="536"/>
      <c r="AH258" s="536"/>
      <c r="AI258" s="536"/>
      <c r="AJ258" s="536"/>
      <c r="AK258" s="536"/>
    </row>
    <row r="259" spans="1:37" x14ac:dyDescent="0.2">
      <c r="B259" s="539" t="s">
        <v>149</v>
      </c>
      <c r="C259" s="1943"/>
      <c r="D259" s="1943"/>
      <c r="E259" s="1943"/>
      <c r="F259" s="1943"/>
      <c r="G259" s="1943"/>
      <c r="H259" s="1943"/>
      <c r="I259" s="1943"/>
      <c r="J259" s="1943"/>
      <c r="K259" s="1943"/>
      <c r="L259" s="1943"/>
    </row>
    <row r="260" spans="1:37" ht="13.5" customHeight="1" x14ac:dyDescent="0.2">
      <c r="B260" s="540"/>
      <c r="C260" s="1821" t="s">
        <v>150</v>
      </c>
      <c r="D260" s="1821"/>
      <c r="E260" s="1821"/>
      <c r="F260" s="1821"/>
      <c r="G260" s="1821"/>
      <c r="H260" s="1821"/>
      <c r="I260" s="1821"/>
      <c r="J260" s="1821"/>
      <c r="K260" s="1821"/>
      <c r="L260" s="1821"/>
    </row>
    <row r="261" spans="1:37" ht="12.75" customHeight="1" x14ac:dyDescent="0.2">
      <c r="B261" s="539" t="s">
        <v>151</v>
      </c>
      <c r="C261" s="1943"/>
      <c r="D261" s="1943"/>
      <c r="E261" s="1943"/>
      <c r="F261" s="1943"/>
      <c r="G261" s="1943"/>
      <c r="H261" s="1943"/>
      <c r="I261" s="1943"/>
      <c r="J261" s="1943"/>
      <c r="K261" s="1943"/>
      <c r="L261" s="1943"/>
    </row>
    <row r="262" spans="1:37" ht="13.5" customHeight="1" x14ac:dyDescent="0.2">
      <c r="C262" s="1821" t="s">
        <v>150</v>
      </c>
      <c r="D262" s="1821"/>
      <c r="E262" s="1821"/>
      <c r="F262" s="1821"/>
      <c r="G262" s="1821"/>
      <c r="H262" s="1821"/>
      <c r="I262" s="1821"/>
      <c r="J262" s="1821"/>
      <c r="K262" s="1821"/>
      <c r="L262" s="1821"/>
    </row>
    <row r="264" spans="1:37" x14ac:dyDescent="0.2">
      <c r="B264" s="538"/>
      <c r="D264" s="538"/>
      <c r="F264" s="538"/>
      <c r="P264" s="536"/>
      <c r="Q264" s="536"/>
      <c r="R264" s="536"/>
      <c r="S264" s="536"/>
      <c r="T264" s="536"/>
      <c r="U264" s="536"/>
      <c r="V264" s="536"/>
      <c r="W264" s="536"/>
      <c r="X264" s="536"/>
      <c r="Y264" s="536"/>
      <c r="Z264" s="536"/>
      <c r="AA264" s="536"/>
      <c r="AB264" s="536"/>
      <c r="AC264" s="536"/>
      <c r="AD264" s="536"/>
      <c r="AE264" s="536"/>
      <c r="AF264" s="536"/>
      <c r="AG264" s="536"/>
      <c r="AH264" s="536"/>
      <c r="AI264" s="536"/>
      <c r="AJ264" s="536"/>
      <c r="AK264" s="536"/>
    </row>
  </sheetData>
  <mergeCells count="234">
    <mergeCell ref="C261:L261"/>
    <mergeCell ref="C262:L262"/>
    <mergeCell ref="C253:K253"/>
    <mergeCell ref="C254:K254"/>
    <mergeCell ref="C255:K255"/>
    <mergeCell ref="C256:K256"/>
    <mergeCell ref="C259:L259"/>
    <mergeCell ref="C260:L260"/>
    <mergeCell ref="C247:K247"/>
    <mergeCell ref="C248:K248"/>
    <mergeCell ref="C249:K249"/>
    <mergeCell ref="C250:K250"/>
    <mergeCell ref="C251:K251"/>
    <mergeCell ref="C252:K252"/>
    <mergeCell ref="C241:K241"/>
    <mergeCell ref="C242:K242"/>
    <mergeCell ref="C243:K243"/>
    <mergeCell ref="C244:K244"/>
    <mergeCell ref="C245:K245"/>
    <mergeCell ref="C246:K246"/>
    <mergeCell ref="C234:K234"/>
    <mergeCell ref="C235:K235"/>
    <mergeCell ref="C237:K237"/>
    <mergeCell ref="C238:K238"/>
    <mergeCell ref="C239:K239"/>
    <mergeCell ref="C240:K240"/>
    <mergeCell ref="C228:K228"/>
    <mergeCell ref="C229:K229"/>
    <mergeCell ref="C230:K230"/>
    <mergeCell ref="C231:K231"/>
    <mergeCell ref="C232:K232"/>
    <mergeCell ref="C233:K233"/>
    <mergeCell ref="C218:K218"/>
    <mergeCell ref="A219:N219"/>
    <mergeCell ref="C220:E220"/>
    <mergeCell ref="C222:E222"/>
    <mergeCell ref="C224:E224"/>
    <mergeCell ref="C226:N226"/>
    <mergeCell ref="C212:K212"/>
    <mergeCell ref="C213:K213"/>
    <mergeCell ref="C214:K214"/>
    <mergeCell ref="C215:K215"/>
    <mergeCell ref="C216:K216"/>
    <mergeCell ref="C217:K217"/>
    <mergeCell ref="C206:K206"/>
    <mergeCell ref="C207:K207"/>
    <mergeCell ref="C208:K208"/>
    <mergeCell ref="C209:K209"/>
    <mergeCell ref="C210:K210"/>
    <mergeCell ref="C211:K211"/>
    <mergeCell ref="C198:E198"/>
    <mergeCell ref="C201:K201"/>
    <mergeCell ref="C202:K202"/>
    <mergeCell ref="C203:K203"/>
    <mergeCell ref="C204:K204"/>
    <mergeCell ref="C205:K205"/>
    <mergeCell ref="C192:E192"/>
    <mergeCell ref="C193:E193"/>
    <mergeCell ref="C194:E194"/>
    <mergeCell ref="C195:E195"/>
    <mergeCell ref="C196:E196"/>
    <mergeCell ref="C197:E197"/>
    <mergeCell ref="C186:E186"/>
    <mergeCell ref="C187:E187"/>
    <mergeCell ref="C188:E188"/>
    <mergeCell ref="C189:E189"/>
    <mergeCell ref="C190:E190"/>
    <mergeCell ref="C191:E191"/>
    <mergeCell ref="C179:E179"/>
    <mergeCell ref="C180:E180"/>
    <mergeCell ref="C181:E181"/>
    <mergeCell ref="C183:E183"/>
    <mergeCell ref="C184:N184"/>
    <mergeCell ref="C185:E185"/>
    <mergeCell ref="C173:E173"/>
    <mergeCell ref="C174:E174"/>
    <mergeCell ref="C175:E175"/>
    <mergeCell ref="C176:E176"/>
    <mergeCell ref="C177:E177"/>
    <mergeCell ref="C178:E178"/>
    <mergeCell ref="C167:N167"/>
    <mergeCell ref="C168:E168"/>
    <mergeCell ref="C169:E169"/>
    <mergeCell ref="C170:E170"/>
    <mergeCell ref="C171:E171"/>
    <mergeCell ref="C172:E172"/>
    <mergeCell ref="C160:E160"/>
    <mergeCell ref="C161:E161"/>
    <mergeCell ref="C162:E162"/>
    <mergeCell ref="C163:E163"/>
    <mergeCell ref="C165:N165"/>
    <mergeCell ref="C166:E166"/>
    <mergeCell ref="C154:E154"/>
    <mergeCell ref="C155:E155"/>
    <mergeCell ref="C156:E156"/>
    <mergeCell ref="C157:E157"/>
    <mergeCell ref="C158:E158"/>
    <mergeCell ref="C159:E159"/>
    <mergeCell ref="C148:N148"/>
    <mergeCell ref="C149:E149"/>
    <mergeCell ref="C150:N150"/>
    <mergeCell ref="C151:N151"/>
    <mergeCell ref="C152:E152"/>
    <mergeCell ref="C153:E153"/>
    <mergeCell ref="C139:E139"/>
    <mergeCell ref="C140:E140"/>
    <mergeCell ref="C141:E141"/>
    <mergeCell ref="C143:E143"/>
    <mergeCell ref="C145:N145"/>
    <mergeCell ref="C146:E146"/>
    <mergeCell ref="C133:E133"/>
    <mergeCell ref="C134:E134"/>
    <mergeCell ref="C135:E135"/>
    <mergeCell ref="C136:E136"/>
    <mergeCell ref="C137:E137"/>
    <mergeCell ref="C138:E138"/>
    <mergeCell ref="C127:N127"/>
    <mergeCell ref="C128:E128"/>
    <mergeCell ref="C129:E129"/>
    <mergeCell ref="C130:E130"/>
    <mergeCell ref="C131:E131"/>
    <mergeCell ref="C132:E132"/>
    <mergeCell ref="C120:E120"/>
    <mergeCell ref="C121:E121"/>
    <mergeCell ref="C122:E122"/>
    <mergeCell ref="C123:E123"/>
    <mergeCell ref="C125:E125"/>
    <mergeCell ref="C126:N126"/>
    <mergeCell ref="C114:E114"/>
    <mergeCell ref="C115:E115"/>
    <mergeCell ref="C116:E116"/>
    <mergeCell ref="C117:E117"/>
    <mergeCell ref="C118:E118"/>
    <mergeCell ref="C119:E119"/>
    <mergeCell ref="C108:E108"/>
    <mergeCell ref="C109:N109"/>
    <mergeCell ref="C110:N110"/>
    <mergeCell ref="C111:E111"/>
    <mergeCell ref="C112:E112"/>
    <mergeCell ref="C113:E113"/>
    <mergeCell ref="C102:K102"/>
    <mergeCell ref="C103:K103"/>
    <mergeCell ref="C104:K104"/>
    <mergeCell ref="C105:K105"/>
    <mergeCell ref="C106:K106"/>
    <mergeCell ref="A107:N107"/>
    <mergeCell ref="C96:K96"/>
    <mergeCell ref="C97:K97"/>
    <mergeCell ref="C98:K98"/>
    <mergeCell ref="C99:K99"/>
    <mergeCell ref="C100:K100"/>
    <mergeCell ref="C101:K101"/>
    <mergeCell ref="C90:K90"/>
    <mergeCell ref="C91:K91"/>
    <mergeCell ref="C92:K92"/>
    <mergeCell ref="C93:K93"/>
    <mergeCell ref="C94:K94"/>
    <mergeCell ref="C95:K95"/>
    <mergeCell ref="C83:E83"/>
    <mergeCell ref="C84:E84"/>
    <mergeCell ref="C85:E85"/>
    <mergeCell ref="C86:E86"/>
    <mergeCell ref="C87:N87"/>
    <mergeCell ref="C89:K89"/>
    <mergeCell ref="C77:E77"/>
    <mergeCell ref="C78:E78"/>
    <mergeCell ref="C79:E79"/>
    <mergeCell ref="C80:E80"/>
    <mergeCell ref="C81:E81"/>
    <mergeCell ref="C82:E82"/>
    <mergeCell ref="C71:E71"/>
    <mergeCell ref="C72:E72"/>
    <mergeCell ref="C73:E73"/>
    <mergeCell ref="C74:N74"/>
    <mergeCell ref="C75:N75"/>
    <mergeCell ref="C76:E76"/>
    <mergeCell ref="C65:E65"/>
    <mergeCell ref="C66:E66"/>
    <mergeCell ref="C67:E67"/>
    <mergeCell ref="C68:E68"/>
    <mergeCell ref="C69:E69"/>
    <mergeCell ref="C70:E70"/>
    <mergeCell ref="C59:E59"/>
    <mergeCell ref="C60:E60"/>
    <mergeCell ref="C61:E61"/>
    <mergeCell ref="C62:E62"/>
    <mergeCell ref="C63:N63"/>
    <mergeCell ref="C64:N64"/>
    <mergeCell ref="C53:N53"/>
    <mergeCell ref="C54:E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N52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26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1">
    <pageSetUpPr fitToPage="1"/>
  </sheetPr>
  <dimension ref="B1:I36"/>
  <sheetViews>
    <sheetView showGridLines="0" topLeftCell="B5" zoomScale="115" zoomScaleNormal="115" workbookViewId="0">
      <selection activeCell="I19" sqref="I19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20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 t="s">
        <v>9194</v>
      </c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663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3679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3685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10042.69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507">
        <v>93</v>
      </c>
      <c r="F15" s="508"/>
      <c r="G15" s="509"/>
      <c r="H15" s="9" t="s">
        <v>483</v>
      </c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1172">
        <f>I29/E15</f>
        <v>107.99</v>
      </c>
      <c r="F17" s="508"/>
      <c r="G17" s="509"/>
      <c r="H17" s="9" t="s">
        <v>279</v>
      </c>
      <c r="I17" s="9"/>
    </row>
    <row r="18" spans="2:9" x14ac:dyDescent="0.2">
      <c r="B18" s="6"/>
      <c r="C18" s="24" t="s">
        <v>484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x14ac:dyDescent="0.2">
      <c r="B26" s="511">
        <v>1</v>
      </c>
      <c r="C26" s="512" t="s">
        <v>8583</v>
      </c>
      <c r="D26" s="513" t="s">
        <v>8584</v>
      </c>
      <c r="E26" s="514">
        <v>14.31</v>
      </c>
      <c r="F26" s="514"/>
      <c r="G26" s="514"/>
      <c r="H26" s="514"/>
      <c r="I26" s="514">
        <v>14.31</v>
      </c>
    </row>
    <row r="27" spans="2:9" ht="25.5" x14ac:dyDescent="0.2">
      <c r="B27" s="511">
        <v>2</v>
      </c>
      <c r="C27" s="512" t="s">
        <v>8585</v>
      </c>
      <c r="D27" s="513" t="s">
        <v>8586</v>
      </c>
      <c r="E27" s="514">
        <v>9.24</v>
      </c>
      <c r="F27" s="514">
        <v>2258.89</v>
      </c>
      <c r="G27" s="514">
        <v>7760.25</v>
      </c>
      <c r="H27" s="514"/>
      <c r="I27" s="514">
        <v>10028.379999999999</v>
      </c>
    </row>
    <row r="28" spans="2:9" x14ac:dyDescent="0.2">
      <c r="B28" s="511" t="s">
        <v>143</v>
      </c>
      <c r="C28" s="512" t="s">
        <v>143</v>
      </c>
      <c r="D28" s="515" t="s">
        <v>6725</v>
      </c>
      <c r="E28" s="527">
        <v>23.55</v>
      </c>
      <c r="F28" s="527">
        <v>2258.89</v>
      </c>
      <c r="G28" s="527">
        <v>7760.25</v>
      </c>
      <c r="H28" s="527"/>
      <c r="I28" s="527">
        <v>10042.69</v>
      </c>
    </row>
    <row r="29" spans="2:9" x14ac:dyDescent="0.2">
      <c r="B29" s="511" t="s">
        <v>143</v>
      </c>
      <c r="C29" s="512" t="s">
        <v>143</v>
      </c>
      <c r="D29" s="515" t="s">
        <v>294</v>
      </c>
      <c r="E29" s="527">
        <v>23.55</v>
      </c>
      <c r="F29" s="527">
        <v>2258.89</v>
      </c>
      <c r="G29" s="527">
        <v>7760.25</v>
      </c>
      <c r="H29" s="527"/>
      <c r="I29" s="527">
        <v>10042.69</v>
      </c>
    </row>
    <row r="30" spans="2:9" x14ac:dyDescent="0.2">
      <c r="B30" s="31"/>
      <c r="C30" s="32"/>
      <c r="D30" s="33"/>
      <c r="E30" s="34"/>
      <c r="F30" s="34"/>
      <c r="G30" s="34"/>
      <c r="H30" s="34"/>
      <c r="I30" s="34"/>
    </row>
    <row r="33" spans="2:9" ht="15" x14ac:dyDescent="0.2">
      <c r="B33" s="35" t="s">
        <v>149</v>
      </c>
      <c r="D33" s="516"/>
      <c r="E33" s="517"/>
      <c r="F33" s="516"/>
      <c r="G33" s="516" t="s">
        <v>296</v>
      </c>
      <c r="I33" s="518"/>
    </row>
    <row r="34" spans="2:9" ht="15" x14ac:dyDescent="0.2">
      <c r="C34" s="39"/>
      <c r="D34" s="1793" t="s">
        <v>150</v>
      </c>
      <c r="E34" s="1793"/>
      <c r="F34" s="1793"/>
      <c r="G34" s="1793"/>
      <c r="H34" s="1793"/>
      <c r="I34" s="1793"/>
    </row>
    <row r="35" spans="2:9" ht="15" x14ac:dyDescent="0.2">
      <c r="B35" s="35" t="s">
        <v>151</v>
      </c>
      <c r="D35" s="516"/>
      <c r="E35" s="517"/>
      <c r="F35" s="516"/>
      <c r="G35" s="516" t="s">
        <v>297</v>
      </c>
      <c r="H35" s="517"/>
      <c r="I35" s="518"/>
    </row>
    <row r="36" spans="2:9" x14ac:dyDescent="0.2">
      <c r="D36" s="1793" t="s">
        <v>150</v>
      </c>
      <c r="E36" s="1793"/>
      <c r="F36" s="1793"/>
      <c r="G36" s="1793"/>
      <c r="H36" s="1793"/>
      <c r="I36" s="1793"/>
    </row>
  </sheetData>
  <mergeCells count="18">
    <mergeCell ref="B25:I25"/>
    <mergeCell ref="D34:I34"/>
    <mergeCell ref="D36:I36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  <mergeCell ref="B11:I11"/>
    <mergeCell ref="C3:H3"/>
    <mergeCell ref="D4:G4"/>
    <mergeCell ref="C5:H5"/>
    <mergeCell ref="D6:G6"/>
    <mergeCell ref="D10:H10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2">
    <pageSetUpPr fitToPage="1"/>
  </sheetPr>
  <dimension ref="B1:I36"/>
  <sheetViews>
    <sheetView showGridLines="0" topLeftCell="B13" zoomScale="115" zoomScaleNormal="115" workbookViewId="0">
      <selection activeCell="B26" sqref="B26:I27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20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 t="s">
        <v>9194</v>
      </c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663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3679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3685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48401.2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1173">
        <v>93</v>
      </c>
      <c r="F15" s="508"/>
      <c r="G15" s="509"/>
      <c r="H15" s="9" t="s">
        <v>483</v>
      </c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1174">
        <f>I29/E15</f>
        <v>520.44000000000005</v>
      </c>
      <c r="F17" s="508"/>
      <c r="G17" s="509"/>
      <c r="H17" s="9" t="s">
        <v>279</v>
      </c>
      <c r="I17" s="9"/>
    </row>
    <row r="18" spans="2:9" x14ac:dyDescent="0.2">
      <c r="B18" s="6"/>
      <c r="C18" s="24" t="s">
        <v>3396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x14ac:dyDescent="0.2">
      <c r="B26" s="511">
        <v>1</v>
      </c>
      <c r="C26" s="512" t="s">
        <v>8583</v>
      </c>
      <c r="D26" s="513" t="s">
        <v>8584</v>
      </c>
      <c r="E26" s="514">
        <v>80.13</v>
      </c>
      <c r="F26" s="514"/>
      <c r="G26" s="514"/>
      <c r="H26" s="514"/>
      <c r="I26" s="514">
        <v>80.13</v>
      </c>
    </row>
    <row r="27" spans="2:9" ht="25.5" x14ac:dyDescent="0.2">
      <c r="B27" s="511">
        <v>2</v>
      </c>
      <c r="C27" s="512" t="s">
        <v>8585</v>
      </c>
      <c r="D27" s="513" t="s">
        <v>8586</v>
      </c>
      <c r="E27" s="514">
        <v>51.76</v>
      </c>
      <c r="F27" s="514">
        <v>12649.77</v>
      </c>
      <c r="G27" s="514">
        <v>35619.54</v>
      </c>
      <c r="H27" s="514"/>
      <c r="I27" s="514">
        <v>48321.07</v>
      </c>
    </row>
    <row r="28" spans="2:9" x14ac:dyDescent="0.2">
      <c r="B28" s="511" t="s">
        <v>143</v>
      </c>
      <c r="C28" s="512" t="s">
        <v>143</v>
      </c>
      <c r="D28" s="513" t="s">
        <v>6725</v>
      </c>
      <c r="E28" s="514">
        <v>131.88999999999999</v>
      </c>
      <c r="F28" s="514">
        <v>12649.77</v>
      </c>
      <c r="G28" s="514">
        <v>35619.54</v>
      </c>
      <c r="H28" s="514"/>
      <c r="I28" s="514">
        <v>48401.2</v>
      </c>
    </row>
    <row r="29" spans="2:9" x14ac:dyDescent="0.2">
      <c r="B29" s="511" t="s">
        <v>143</v>
      </c>
      <c r="C29" s="512" t="s">
        <v>143</v>
      </c>
      <c r="D29" s="515" t="s">
        <v>294</v>
      </c>
      <c r="E29" s="527">
        <v>131.88999999999999</v>
      </c>
      <c r="F29" s="527">
        <v>12649.77</v>
      </c>
      <c r="G29" s="527">
        <v>35619.54</v>
      </c>
      <c r="H29" s="527"/>
      <c r="I29" s="527">
        <v>48401.2</v>
      </c>
    </row>
    <row r="30" spans="2:9" x14ac:dyDescent="0.2">
      <c r="B30" s="31"/>
      <c r="C30" s="32"/>
      <c r="D30" s="33"/>
      <c r="E30" s="34"/>
      <c r="F30" s="34"/>
      <c r="G30" s="34"/>
      <c r="H30" s="34"/>
      <c r="I30" s="34"/>
    </row>
    <row r="33" spans="2:9" ht="15" x14ac:dyDescent="0.2">
      <c r="B33" s="35" t="s">
        <v>149</v>
      </c>
      <c r="D33" s="516"/>
      <c r="E33" s="517"/>
      <c r="F33" s="516"/>
      <c r="G33" s="516" t="s">
        <v>296</v>
      </c>
      <c r="I33" s="518"/>
    </row>
    <row r="34" spans="2:9" ht="15" x14ac:dyDescent="0.2">
      <c r="C34" s="39"/>
      <c r="D34" s="1793" t="s">
        <v>150</v>
      </c>
      <c r="E34" s="1793"/>
      <c r="F34" s="1793"/>
      <c r="G34" s="1793"/>
      <c r="H34" s="1793"/>
      <c r="I34" s="1793"/>
    </row>
    <row r="35" spans="2:9" ht="15" x14ac:dyDescent="0.2">
      <c r="B35" s="35" t="s">
        <v>151</v>
      </c>
      <c r="D35" s="516"/>
      <c r="E35" s="517"/>
      <c r="F35" s="516"/>
      <c r="G35" s="516" t="s">
        <v>297</v>
      </c>
      <c r="H35" s="517"/>
      <c r="I35" s="518"/>
    </row>
    <row r="36" spans="2:9" x14ac:dyDescent="0.2">
      <c r="D36" s="1793" t="s">
        <v>150</v>
      </c>
      <c r="E36" s="1793"/>
      <c r="F36" s="1793"/>
      <c r="G36" s="1793"/>
      <c r="H36" s="1793"/>
      <c r="I36" s="1793"/>
    </row>
  </sheetData>
  <mergeCells count="18">
    <mergeCell ref="B25:I25"/>
    <mergeCell ref="D34:I34"/>
    <mergeCell ref="D36:I36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  <mergeCell ref="B11:I11"/>
    <mergeCell ref="C3:H3"/>
    <mergeCell ref="D4:G4"/>
    <mergeCell ref="C5:H5"/>
    <mergeCell ref="D6:G6"/>
    <mergeCell ref="D10:H10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/>
  <dimension ref="A1:AL228"/>
  <sheetViews>
    <sheetView topLeftCell="A192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29" width="34.140625" style="537" hidden="1" customWidth="1"/>
    <col min="30" max="32" width="84.42578125" style="537" hidden="1" customWidth="1"/>
    <col min="33" max="33" width="34.140625" style="537" hidden="1" customWidth="1"/>
    <col min="34" max="34" width="110.140625" style="537" hidden="1" customWidth="1"/>
    <col min="35" max="37" width="84.42578125" style="537" hidden="1" customWidth="1"/>
    <col min="38" max="38" width="138.42578125" style="537" hidden="1" customWidth="1"/>
    <col min="39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159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8587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8587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8588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8584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8584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/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80.13</v>
      </c>
      <c r="D28" s="579" t="s">
        <v>8589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80.13</v>
      </c>
      <c r="D30" s="579" t="s">
        <v>8589</v>
      </c>
      <c r="E30" s="665" t="s">
        <v>167</v>
      </c>
      <c r="G30" s="536" t="s">
        <v>170</v>
      </c>
      <c r="L30" s="580">
        <v>0</v>
      </c>
      <c r="M30" s="579" t="s">
        <v>8590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665" t="s">
        <v>167</v>
      </c>
      <c r="G31" s="536" t="s">
        <v>172</v>
      </c>
      <c r="L31" s="582"/>
      <c r="M31" s="582">
        <v>25.89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665" t="s">
        <v>167</v>
      </c>
      <c r="G32" s="536" t="s">
        <v>174</v>
      </c>
      <c r="L32" s="582"/>
      <c r="M32" s="582">
        <v>4.37</v>
      </c>
      <c r="N32" s="581" t="s">
        <v>173</v>
      </c>
    </row>
    <row r="33" spans="1:28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8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8" s="536" customFormat="1" ht="12" x14ac:dyDescent="0.2">
      <c r="A39" s="1824" t="s">
        <v>976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537" t="s">
        <v>976</v>
      </c>
    </row>
    <row r="40" spans="1:28" s="536" customFormat="1" ht="56.25" x14ac:dyDescent="0.2">
      <c r="A40" s="575" t="s">
        <v>185</v>
      </c>
      <c r="B40" s="670" t="s">
        <v>1349</v>
      </c>
      <c r="C40" s="1823" t="s">
        <v>1350</v>
      </c>
      <c r="D40" s="1823"/>
      <c r="E40" s="1823"/>
      <c r="F40" s="573" t="s">
        <v>455</v>
      </c>
      <c r="G40" s="573"/>
      <c r="H40" s="573"/>
      <c r="I40" s="573" t="s">
        <v>2266</v>
      </c>
      <c r="J40" s="572"/>
      <c r="K40" s="573"/>
      <c r="L40" s="572"/>
      <c r="M40" s="571"/>
      <c r="N40" s="570"/>
      <c r="W40" s="537" t="s">
        <v>1350</v>
      </c>
    </row>
    <row r="41" spans="1:28" s="536" customFormat="1" x14ac:dyDescent="0.2">
      <c r="A41" s="676"/>
      <c r="B41" s="664"/>
      <c r="C41" s="1822" t="s">
        <v>8591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X41" s="537" t="s">
        <v>8591</v>
      </c>
    </row>
    <row r="42" spans="1:28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Y42" s="537" t="s">
        <v>311</v>
      </c>
    </row>
    <row r="43" spans="1:28" s="536" customFormat="1" x14ac:dyDescent="0.2">
      <c r="A43" s="605"/>
      <c r="B43" s="552" t="s">
        <v>186</v>
      </c>
      <c r="C43" s="1822" t="s">
        <v>344</v>
      </c>
      <c r="D43" s="1822"/>
      <c r="E43" s="1822"/>
      <c r="F43" s="562"/>
      <c r="G43" s="562"/>
      <c r="H43" s="562"/>
      <c r="I43" s="562"/>
      <c r="J43" s="604">
        <v>7550.19</v>
      </c>
      <c r="K43" s="562" t="s">
        <v>313</v>
      </c>
      <c r="L43" s="604">
        <v>75.5</v>
      </c>
      <c r="M43" s="603"/>
      <c r="N43" s="602"/>
      <c r="Z43" s="537" t="s">
        <v>344</v>
      </c>
    </row>
    <row r="44" spans="1:28" s="536" customFormat="1" x14ac:dyDescent="0.2">
      <c r="A44" s="605"/>
      <c r="B44" s="552" t="s">
        <v>187</v>
      </c>
      <c r="C44" s="1822" t="s">
        <v>345</v>
      </c>
      <c r="D44" s="1822"/>
      <c r="E44" s="1822"/>
      <c r="F44" s="562"/>
      <c r="G44" s="562"/>
      <c r="H44" s="562"/>
      <c r="I44" s="562"/>
      <c r="J44" s="604">
        <v>884.25</v>
      </c>
      <c r="K44" s="562" t="s">
        <v>313</v>
      </c>
      <c r="L44" s="604">
        <v>8.84</v>
      </c>
      <c r="M44" s="603"/>
      <c r="N44" s="602"/>
      <c r="Z44" s="537" t="s">
        <v>345</v>
      </c>
    </row>
    <row r="45" spans="1:28" s="536" customFormat="1" x14ac:dyDescent="0.2">
      <c r="A45" s="605"/>
      <c r="B45" s="552"/>
      <c r="C45" s="1822" t="s">
        <v>348</v>
      </c>
      <c r="D45" s="1822"/>
      <c r="E45" s="1822"/>
      <c r="F45" s="562" t="s">
        <v>315</v>
      </c>
      <c r="G45" s="562" t="s">
        <v>1353</v>
      </c>
      <c r="H45" s="562" t="s">
        <v>313</v>
      </c>
      <c r="I45" s="562" t="s">
        <v>8592</v>
      </c>
      <c r="J45" s="604"/>
      <c r="K45" s="562"/>
      <c r="L45" s="604"/>
      <c r="M45" s="603"/>
      <c r="N45" s="602"/>
      <c r="AA45" s="537" t="s">
        <v>348</v>
      </c>
    </row>
    <row r="46" spans="1:28" s="536" customFormat="1" x14ac:dyDescent="0.2">
      <c r="A46" s="605"/>
      <c r="B46" s="552"/>
      <c r="C46" s="1828" t="s">
        <v>318</v>
      </c>
      <c r="D46" s="1828"/>
      <c r="E46" s="1828"/>
      <c r="F46" s="608"/>
      <c r="G46" s="608"/>
      <c r="H46" s="608"/>
      <c r="I46" s="608"/>
      <c r="J46" s="607">
        <v>7550.19</v>
      </c>
      <c r="K46" s="608"/>
      <c r="L46" s="607">
        <v>75.5</v>
      </c>
      <c r="M46" s="601"/>
      <c r="N46" s="606"/>
      <c r="AB46" s="537" t="s">
        <v>318</v>
      </c>
    </row>
    <row r="47" spans="1:28" s="536" customFormat="1" x14ac:dyDescent="0.2">
      <c r="A47" s="605"/>
      <c r="B47" s="552"/>
      <c r="C47" s="1822" t="s">
        <v>319</v>
      </c>
      <c r="D47" s="1822"/>
      <c r="E47" s="1822"/>
      <c r="F47" s="562"/>
      <c r="G47" s="562"/>
      <c r="H47" s="562"/>
      <c r="I47" s="562"/>
      <c r="J47" s="604"/>
      <c r="K47" s="562"/>
      <c r="L47" s="604">
        <v>8.84</v>
      </c>
      <c r="M47" s="603"/>
      <c r="N47" s="602"/>
      <c r="AA47" s="537" t="s">
        <v>319</v>
      </c>
    </row>
    <row r="48" spans="1:28" s="536" customFormat="1" ht="33.75" x14ac:dyDescent="0.2">
      <c r="A48" s="605"/>
      <c r="B48" s="552" t="s">
        <v>460</v>
      </c>
      <c r="C48" s="1822" t="s">
        <v>461</v>
      </c>
      <c r="D48" s="1822"/>
      <c r="E48" s="1822"/>
      <c r="F48" s="562" t="s">
        <v>322</v>
      </c>
      <c r="G48" s="562" t="s">
        <v>462</v>
      </c>
      <c r="H48" s="562"/>
      <c r="I48" s="562" t="s">
        <v>462</v>
      </c>
      <c r="J48" s="604"/>
      <c r="K48" s="562"/>
      <c r="L48" s="604">
        <v>8.1300000000000008</v>
      </c>
      <c r="M48" s="603"/>
      <c r="N48" s="602"/>
      <c r="AA48" s="537" t="s">
        <v>461</v>
      </c>
    </row>
    <row r="49" spans="1:29" s="536" customFormat="1" ht="33.75" x14ac:dyDescent="0.2">
      <c r="A49" s="605"/>
      <c r="B49" s="552" t="s">
        <v>463</v>
      </c>
      <c r="C49" s="1822" t="s">
        <v>464</v>
      </c>
      <c r="D49" s="1822"/>
      <c r="E49" s="1822"/>
      <c r="F49" s="562" t="s">
        <v>322</v>
      </c>
      <c r="G49" s="562" t="s">
        <v>465</v>
      </c>
      <c r="H49" s="562"/>
      <c r="I49" s="562" t="s">
        <v>465</v>
      </c>
      <c r="J49" s="604"/>
      <c r="K49" s="562"/>
      <c r="L49" s="604">
        <v>4.07</v>
      </c>
      <c r="M49" s="603"/>
      <c r="N49" s="602"/>
      <c r="AA49" s="537" t="s">
        <v>464</v>
      </c>
    </row>
    <row r="50" spans="1:29" s="536" customFormat="1" x14ac:dyDescent="0.2">
      <c r="A50" s="569"/>
      <c r="B50" s="671"/>
      <c r="C50" s="1823" t="s">
        <v>327</v>
      </c>
      <c r="D50" s="1823"/>
      <c r="E50" s="1823"/>
      <c r="F50" s="573"/>
      <c r="G50" s="573"/>
      <c r="H50" s="573"/>
      <c r="I50" s="573"/>
      <c r="J50" s="572"/>
      <c r="K50" s="573"/>
      <c r="L50" s="572">
        <v>87.7</v>
      </c>
      <c r="M50" s="601"/>
      <c r="N50" s="570"/>
      <c r="AC50" s="537" t="s">
        <v>327</v>
      </c>
    </row>
    <row r="51" spans="1:29" s="536" customFormat="1" ht="45" x14ac:dyDescent="0.2">
      <c r="A51" s="575" t="s">
        <v>186</v>
      </c>
      <c r="B51" s="670" t="s">
        <v>1005</v>
      </c>
      <c r="C51" s="1823" t="s">
        <v>1006</v>
      </c>
      <c r="D51" s="1823"/>
      <c r="E51" s="1823"/>
      <c r="F51" s="573" t="s">
        <v>201</v>
      </c>
      <c r="G51" s="573"/>
      <c r="H51" s="573"/>
      <c r="I51" s="573" t="s">
        <v>8593</v>
      </c>
      <c r="J51" s="572">
        <v>2.91</v>
      </c>
      <c r="K51" s="573"/>
      <c r="L51" s="572">
        <v>53.54</v>
      </c>
      <c r="M51" s="571"/>
      <c r="N51" s="570"/>
      <c r="W51" s="537" t="s">
        <v>1006</v>
      </c>
    </row>
    <row r="52" spans="1:29" s="536" customFormat="1" x14ac:dyDescent="0.2">
      <c r="A52" s="676"/>
      <c r="B52" s="664"/>
      <c r="C52" s="1822" t="s">
        <v>8594</v>
      </c>
      <c r="D52" s="1822"/>
      <c r="E52" s="1822"/>
      <c r="F52" s="1822"/>
      <c r="G52" s="1822"/>
      <c r="H52" s="1822"/>
      <c r="I52" s="1822"/>
      <c r="J52" s="1822"/>
      <c r="K52" s="1822"/>
      <c r="L52" s="1822"/>
      <c r="M52" s="1822"/>
      <c r="N52" s="1827"/>
      <c r="X52" s="537" t="s">
        <v>8594</v>
      </c>
    </row>
    <row r="53" spans="1:29" s="536" customFormat="1" ht="45" x14ac:dyDescent="0.2">
      <c r="A53" s="575" t="s">
        <v>187</v>
      </c>
      <c r="B53" s="670" t="s">
        <v>495</v>
      </c>
      <c r="C53" s="1823" t="s">
        <v>496</v>
      </c>
      <c r="D53" s="1823"/>
      <c r="E53" s="1823"/>
      <c r="F53" s="573" t="s">
        <v>455</v>
      </c>
      <c r="G53" s="573"/>
      <c r="H53" s="573"/>
      <c r="I53" s="573" t="s">
        <v>8595</v>
      </c>
      <c r="J53" s="572"/>
      <c r="K53" s="573"/>
      <c r="L53" s="572"/>
      <c r="M53" s="571"/>
      <c r="N53" s="570"/>
      <c r="W53" s="537" t="s">
        <v>496</v>
      </c>
    </row>
    <row r="54" spans="1:29" s="536" customFormat="1" x14ac:dyDescent="0.2">
      <c r="A54" s="676"/>
      <c r="B54" s="664"/>
      <c r="C54" s="1822" t="s">
        <v>8596</v>
      </c>
      <c r="D54" s="1822"/>
      <c r="E54" s="1822"/>
      <c r="F54" s="1822"/>
      <c r="G54" s="1822"/>
      <c r="H54" s="1822"/>
      <c r="I54" s="1822"/>
      <c r="J54" s="1822"/>
      <c r="K54" s="1822"/>
      <c r="L54" s="1822"/>
      <c r="M54" s="1822"/>
      <c r="N54" s="1827"/>
      <c r="X54" s="537" t="s">
        <v>8596</v>
      </c>
    </row>
    <row r="55" spans="1:29" s="536" customFormat="1" ht="33.75" x14ac:dyDescent="0.2">
      <c r="A55" s="609"/>
      <c r="B55" s="552" t="s">
        <v>310</v>
      </c>
      <c r="C55" s="1822" t="s">
        <v>311</v>
      </c>
      <c r="D55" s="1822"/>
      <c r="E55" s="1822"/>
      <c r="F55" s="1822"/>
      <c r="G55" s="1822"/>
      <c r="H55" s="1822"/>
      <c r="I55" s="1822"/>
      <c r="J55" s="1822"/>
      <c r="K55" s="1822"/>
      <c r="L55" s="1822"/>
      <c r="M55" s="1822"/>
      <c r="N55" s="1827"/>
      <c r="Y55" s="537" t="s">
        <v>311</v>
      </c>
    </row>
    <row r="56" spans="1:29" s="536" customFormat="1" x14ac:dyDescent="0.2">
      <c r="A56" s="605"/>
      <c r="B56" s="552" t="s">
        <v>186</v>
      </c>
      <c r="C56" s="1822" t="s">
        <v>344</v>
      </c>
      <c r="D56" s="1822"/>
      <c r="E56" s="1822"/>
      <c r="F56" s="562"/>
      <c r="G56" s="562"/>
      <c r="H56" s="562"/>
      <c r="I56" s="562"/>
      <c r="J56" s="604">
        <v>5532.96</v>
      </c>
      <c r="K56" s="562" t="s">
        <v>313</v>
      </c>
      <c r="L56" s="604">
        <v>2.2799999999999998</v>
      </c>
      <c r="M56" s="603"/>
      <c r="N56" s="602"/>
      <c r="Z56" s="537" t="s">
        <v>344</v>
      </c>
    </row>
    <row r="57" spans="1:29" s="536" customFormat="1" x14ac:dyDescent="0.2">
      <c r="A57" s="605"/>
      <c r="B57" s="552" t="s">
        <v>187</v>
      </c>
      <c r="C57" s="1822" t="s">
        <v>345</v>
      </c>
      <c r="D57" s="1822"/>
      <c r="E57" s="1822"/>
      <c r="F57" s="562"/>
      <c r="G57" s="562"/>
      <c r="H57" s="562"/>
      <c r="I57" s="562"/>
      <c r="J57" s="604">
        <v>648</v>
      </c>
      <c r="K57" s="562" t="s">
        <v>313</v>
      </c>
      <c r="L57" s="604">
        <v>0.27</v>
      </c>
      <c r="M57" s="603"/>
      <c r="N57" s="602"/>
      <c r="Z57" s="537" t="s">
        <v>345</v>
      </c>
    </row>
    <row r="58" spans="1:29" s="536" customFormat="1" x14ac:dyDescent="0.2">
      <c r="A58" s="605"/>
      <c r="B58" s="552"/>
      <c r="C58" s="1822" t="s">
        <v>348</v>
      </c>
      <c r="D58" s="1822"/>
      <c r="E58" s="1822"/>
      <c r="F58" s="562" t="s">
        <v>315</v>
      </c>
      <c r="G58" s="562" t="s">
        <v>501</v>
      </c>
      <c r="H58" s="562" t="s">
        <v>313</v>
      </c>
      <c r="I58" s="562" t="s">
        <v>8597</v>
      </c>
      <c r="J58" s="604"/>
      <c r="K58" s="562"/>
      <c r="L58" s="604"/>
      <c r="M58" s="603"/>
      <c r="N58" s="602"/>
      <c r="AA58" s="537" t="s">
        <v>348</v>
      </c>
    </row>
    <row r="59" spans="1:29" s="536" customFormat="1" x14ac:dyDescent="0.2">
      <c r="A59" s="605"/>
      <c r="B59" s="552"/>
      <c r="C59" s="1828" t="s">
        <v>318</v>
      </c>
      <c r="D59" s="1828"/>
      <c r="E59" s="1828"/>
      <c r="F59" s="608"/>
      <c r="G59" s="608"/>
      <c r="H59" s="608"/>
      <c r="I59" s="608"/>
      <c r="J59" s="607">
        <v>5532.96</v>
      </c>
      <c r="K59" s="608"/>
      <c r="L59" s="607">
        <v>2.2799999999999998</v>
      </c>
      <c r="M59" s="601"/>
      <c r="N59" s="606"/>
      <c r="AB59" s="537" t="s">
        <v>318</v>
      </c>
    </row>
    <row r="60" spans="1:29" s="536" customFormat="1" x14ac:dyDescent="0.2">
      <c r="A60" s="605"/>
      <c r="B60" s="552"/>
      <c r="C60" s="1822" t="s">
        <v>319</v>
      </c>
      <c r="D60" s="1822"/>
      <c r="E60" s="1822"/>
      <c r="F60" s="562"/>
      <c r="G60" s="562"/>
      <c r="H60" s="562"/>
      <c r="I60" s="562"/>
      <c r="J60" s="604"/>
      <c r="K60" s="562"/>
      <c r="L60" s="604">
        <v>0.27</v>
      </c>
      <c r="M60" s="603"/>
      <c r="N60" s="602"/>
      <c r="AA60" s="537" t="s">
        <v>319</v>
      </c>
    </row>
    <row r="61" spans="1:29" s="536" customFormat="1" ht="33.75" x14ac:dyDescent="0.2">
      <c r="A61" s="605"/>
      <c r="B61" s="552" t="s">
        <v>460</v>
      </c>
      <c r="C61" s="1822" t="s">
        <v>461</v>
      </c>
      <c r="D61" s="1822"/>
      <c r="E61" s="1822"/>
      <c r="F61" s="562" t="s">
        <v>322</v>
      </c>
      <c r="G61" s="562" t="s">
        <v>462</v>
      </c>
      <c r="H61" s="562"/>
      <c r="I61" s="562" t="s">
        <v>462</v>
      </c>
      <c r="J61" s="604"/>
      <c r="K61" s="562"/>
      <c r="L61" s="604">
        <v>0.25</v>
      </c>
      <c r="M61" s="603"/>
      <c r="N61" s="602"/>
      <c r="AA61" s="537" t="s">
        <v>461</v>
      </c>
    </row>
    <row r="62" spans="1:29" s="536" customFormat="1" ht="33.75" x14ac:dyDescent="0.2">
      <c r="A62" s="605"/>
      <c r="B62" s="552" t="s">
        <v>463</v>
      </c>
      <c r="C62" s="1822" t="s">
        <v>464</v>
      </c>
      <c r="D62" s="1822"/>
      <c r="E62" s="1822"/>
      <c r="F62" s="562" t="s">
        <v>322</v>
      </c>
      <c r="G62" s="562" t="s">
        <v>465</v>
      </c>
      <c r="H62" s="562"/>
      <c r="I62" s="562" t="s">
        <v>465</v>
      </c>
      <c r="J62" s="604"/>
      <c r="K62" s="562"/>
      <c r="L62" s="604">
        <v>0.12</v>
      </c>
      <c r="M62" s="603"/>
      <c r="N62" s="602"/>
      <c r="AA62" s="537" t="s">
        <v>464</v>
      </c>
    </row>
    <row r="63" spans="1:29" s="536" customFormat="1" x14ac:dyDescent="0.2">
      <c r="A63" s="569"/>
      <c r="B63" s="671"/>
      <c r="C63" s="1823" t="s">
        <v>327</v>
      </c>
      <c r="D63" s="1823"/>
      <c r="E63" s="1823"/>
      <c r="F63" s="573"/>
      <c r="G63" s="573"/>
      <c r="H63" s="573"/>
      <c r="I63" s="573"/>
      <c r="J63" s="572"/>
      <c r="K63" s="573"/>
      <c r="L63" s="572">
        <v>2.65</v>
      </c>
      <c r="M63" s="601"/>
      <c r="N63" s="570"/>
      <c r="AC63" s="537" t="s">
        <v>327</v>
      </c>
    </row>
    <row r="64" spans="1:29" s="536" customFormat="1" ht="56.25" x14ac:dyDescent="0.2">
      <c r="A64" s="575" t="s">
        <v>188</v>
      </c>
      <c r="B64" s="670" t="s">
        <v>1358</v>
      </c>
      <c r="C64" s="1823" t="s">
        <v>1359</v>
      </c>
      <c r="D64" s="1823"/>
      <c r="E64" s="1823"/>
      <c r="F64" s="573" t="s">
        <v>455</v>
      </c>
      <c r="G64" s="573"/>
      <c r="H64" s="573"/>
      <c r="I64" s="573" t="s">
        <v>8595</v>
      </c>
      <c r="J64" s="572"/>
      <c r="K64" s="573"/>
      <c r="L64" s="572"/>
      <c r="M64" s="571"/>
      <c r="N64" s="570"/>
      <c r="W64" s="537" t="s">
        <v>1359</v>
      </c>
    </row>
    <row r="65" spans="1:29" s="536" customFormat="1" x14ac:dyDescent="0.2">
      <c r="A65" s="676"/>
      <c r="B65" s="664"/>
      <c r="C65" s="1822" t="s">
        <v>8596</v>
      </c>
      <c r="D65" s="1822"/>
      <c r="E65" s="1822"/>
      <c r="F65" s="1822"/>
      <c r="G65" s="1822"/>
      <c r="H65" s="1822"/>
      <c r="I65" s="1822"/>
      <c r="J65" s="1822"/>
      <c r="K65" s="1822"/>
      <c r="L65" s="1822"/>
      <c r="M65" s="1822"/>
      <c r="N65" s="1827"/>
      <c r="X65" s="537" t="s">
        <v>8596</v>
      </c>
    </row>
    <row r="66" spans="1:29" s="536" customFormat="1" ht="33.75" x14ac:dyDescent="0.2">
      <c r="A66" s="609"/>
      <c r="B66" s="552" t="s">
        <v>310</v>
      </c>
      <c r="C66" s="1822" t="s">
        <v>311</v>
      </c>
      <c r="D66" s="1822"/>
      <c r="E66" s="1822"/>
      <c r="F66" s="1822"/>
      <c r="G66" s="1822"/>
      <c r="H66" s="1822"/>
      <c r="I66" s="1822"/>
      <c r="J66" s="1822"/>
      <c r="K66" s="1822"/>
      <c r="L66" s="1822"/>
      <c r="M66" s="1822"/>
      <c r="N66" s="1827"/>
      <c r="Y66" s="537" t="s">
        <v>311</v>
      </c>
    </row>
    <row r="67" spans="1:29" s="536" customFormat="1" x14ac:dyDescent="0.2">
      <c r="A67" s="605"/>
      <c r="B67" s="552" t="s">
        <v>186</v>
      </c>
      <c r="C67" s="1822" t="s">
        <v>344</v>
      </c>
      <c r="D67" s="1822"/>
      <c r="E67" s="1822"/>
      <c r="F67" s="562"/>
      <c r="G67" s="562"/>
      <c r="H67" s="562"/>
      <c r="I67" s="562"/>
      <c r="J67" s="604">
        <v>4264.99</v>
      </c>
      <c r="K67" s="562" t="s">
        <v>313</v>
      </c>
      <c r="L67" s="604">
        <v>1.76</v>
      </c>
      <c r="M67" s="603"/>
      <c r="N67" s="602"/>
      <c r="Z67" s="537" t="s">
        <v>344</v>
      </c>
    </row>
    <row r="68" spans="1:29" s="536" customFormat="1" x14ac:dyDescent="0.2">
      <c r="A68" s="605"/>
      <c r="B68" s="552" t="s">
        <v>187</v>
      </c>
      <c r="C68" s="1822" t="s">
        <v>345</v>
      </c>
      <c r="D68" s="1822"/>
      <c r="E68" s="1822"/>
      <c r="F68" s="562"/>
      <c r="G68" s="562"/>
      <c r="H68" s="562"/>
      <c r="I68" s="562"/>
      <c r="J68" s="604">
        <v>499.5</v>
      </c>
      <c r="K68" s="562" t="s">
        <v>313</v>
      </c>
      <c r="L68" s="604">
        <v>0.21</v>
      </c>
      <c r="M68" s="603"/>
      <c r="N68" s="602"/>
      <c r="Z68" s="537" t="s">
        <v>345</v>
      </c>
    </row>
    <row r="69" spans="1:29" s="536" customFormat="1" x14ac:dyDescent="0.2">
      <c r="A69" s="605"/>
      <c r="B69" s="552"/>
      <c r="C69" s="1822" t="s">
        <v>348</v>
      </c>
      <c r="D69" s="1822"/>
      <c r="E69" s="1822"/>
      <c r="F69" s="562" t="s">
        <v>315</v>
      </c>
      <c r="G69" s="562" t="s">
        <v>770</v>
      </c>
      <c r="H69" s="562" t="s">
        <v>313</v>
      </c>
      <c r="I69" s="562" t="s">
        <v>8598</v>
      </c>
      <c r="J69" s="604"/>
      <c r="K69" s="562"/>
      <c r="L69" s="604"/>
      <c r="M69" s="603"/>
      <c r="N69" s="602"/>
      <c r="AA69" s="537" t="s">
        <v>348</v>
      </c>
    </row>
    <row r="70" spans="1:29" s="536" customFormat="1" x14ac:dyDescent="0.2">
      <c r="A70" s="605"/>
      <c r="B70" s="552"/>
      <c r="C70" s="1828" t="s">
        <v>318</v>
      </c>
      <c r="D70" s="1828"/>
      <c r="E70" s="1828"/>
      <c r="F70" s="608"/>
      <c r="G70" s="608"/>
      <c r="H70" s="608"/>
      <c r="I70" s="608"/>
      <c r="J70" s="607">
        <v>4264.99</v>
      </c>
      <c r="K70" s="608"/>
      <c r="L70" s="607">
        <v>1.76</v>
      </c>
      <c r="M70" s="601"/>
      <c r="N70" s="606"/>
      <c r="AB70" s="537" t="s">
        <v>318</v>
      </c>
    </row>
    <row r="71" spans="1:29" s="536" customFormat="1" x14ac:dyDescent="0.2">
      <c r="A71" s="605"/>
      <c r="B71" s="552"/>
      <c r="C71" s="1822" t="s">
        <v>319</v>
      </c>
      <c r="D71" s="1822"/>
      <c r="E71" s="1822"/>
      <c r="F71" s="562"/>
      <c r="G71" s="562"/>
      <c r="H71" s="562"/>
      <c r="I71" s="562"/>
      <c r="J71" s="604"/>
      <c r="K71" s="562"/>
      <c r="L71" s="604">
        <v>0.21</v>
      </c>
      <c r="M71" s="603"/>
      <c r="N71" s="602"/>
      <c r="AA71" s="537" t="s">
        <v>319</v>
      </c>
    </row>
    <row r="72" spans="1:29" s="536" customFormat="1" ht="33.75" x14ac:dyDescent="0.2">
      <c r="A72" s="605"/>
      <c r="B72" s="552" t="s">
        <v>460</v>
      </c>
      <c r="C72" s="1822" t="s">
        <v>461</v>
      </c>
      <c r="D72" s="1822"/>
      <c r="E72" s="1822"/>
      <c r="F72" s="562" t="s">
        <v>322</v>
      </c>
      <c r="G72" s="562" t="s">
        <v>462</v>
      </c>
      <c r="H72" s="562"/>
      <c r="I72" s="562" t="s">
        <v>462</v>
      </c>
      <c r="J72" s="604"/>
      <c r="K72" s="562"/>
      <c r="L72" s="604">
        <v>0.19</v>
      </c>
      <c r="M72" s="603"/>
      <c r="N72" s="602"/>
      <c r="AA72" s="537" t="s">
        <v>461</v>
      </c>
    </row>
    <row r="73" spans="1:29" s="536" customFormat="1" ht="33.75" x14ac:dyDescent="0.2">
      <c r="A73" s="605"/>
      <c r="B73" s="552" t="s">
        <v>463</v>
      </c>
      <c r="C73" s="1822" t="s">
        <v>464</v>
      </c>
      <c r="D73" s="1822"/>
      <c r="E73" s="1822"/>
      <c r="F73" s="562" t="s">
        <v>322</v>
      </c>
      <c r="G73" s="562" t="s">
        <v>465</v>
      </c>
      <c r="H73" s="562"/>
      <c r="I73" s="562" t="s">
        <v>465</v>
      </c>
      <c r="J73" s="604"/>
      <c r="K73" s="562"/>
      <c r="L73" s="604">
        <v>0.1</v>
      </c>
      <c r="M73" s="603"/>
      <c r="N73" s="602"/>
      <c r="AA73" s="537" t="s">
        <v>464</v>
      </c>
    </row>
    <row r="74" spans="1:29" s="536" customFormat="1" x14ac:dyDescent="0.2">
      <c r="A74" s="569"/>
      <c r="B74" s="671"/>
      <c r="C74" s="1823" t="s">
        <v>327</v>
      </c>
      <c r="D74" s="1823"/>
      <c r="E74" s="1823"/>
      <c r="F74" s="573"/>
      <c r="G74" s="573"/>
      <c r="H74" s="573"/>
      <c r="I74" s="573"/>
      <c r="J74" s="572"/>
      <c r="K74" s="573"/>
      <c r="L74" s="572">
        <v>2.0499999999999998</v>
      </c>
      <c r="M74" s="601"/>
      <c r="N74" s="570"/>
      <c r="AC74" s="537" t="s">
        <v>327</v>
      </c>
    </row>
    <row r="75" spans="1:29" s="536" customFormat="1" ht="22.5" x14ac:dyDescent="0.2">
      <c r="A75" s="575" t="s">
        <v>189</v>
      </c>
      <c r="B75" s="670" t="s">
        <v>507</v>
      </c>
      <c r="C75" s="1823" t="s">
        <v>508</v>
      </c>
      <c r="D75" s="1823"/>
      <c r="E75" s="1823"/>
      <c r="F75" s="573" t="s">
        <v>509</v>
      </c>
      <c r="G75" s="573"/>
      <c r="H75" s="573"/>
      <c r="I75" s="573" t="s">
        <v>8599</v>
      </c>
      <c r="J75" s="572"/>
      <c r="K75" s="573"/>
      <c r="L75" s="572"/>
      <c r="M75" s="571"/>
      <c r="N75" s="570"/>
      <c r="W75" s="537" t="s">
        <v>508</v>
      </c>
    </row>
    <row r="76" spans="1:29" s="536" customFormat="1" x14ac:dyDescent="0.2">
      <c r="A76" s="676"/>
      <c r="B76" s="664"/>
      <c r="C76" s="1822" t="s">
        <v>8600</v>
      </c>
      <c r="D76" s="1822"/>
      <c r="E76" s="1822"/>
      <c r="F76" s="1822"/>
      <c r="G76" s="1822"/>
      <c r="H76" s="1822"/>
      <c r="I76" s="1822"/>
      <c r="J76" s="1822"/>
      <c r="K76" s="1822"/>
      <c r="L76" s="1822"/>
      <c r="M76" s="1822"/>
      <c r="N76" s="1827"/>
      <c r="X76" s="537" t="s">
        <v>8600</v>
      </c>
    </row>
    <row r="77" spans="1:29" s="536" customFormat="1" ht="33.75" x14ac:dyDescent="0.2">
      <c r="A77" s="609"/>
      <c r="B77" s="552" t="s">
        <v>310</v>
      </c>
      <c r="C77" s="1822" t="s">
        <v>311</v>
      </c>
      <c r="D77" s="1822"/>
      <c r="E77" s="1822"/>
      <c r="F77" s="1822"/>
      <c r="G77" s="1822"/>
      <c r="H77" s="1822"/>
      <c r="I77" s="1822"/>
      <c r="J77" s="1822"/>
      <c r="K77" s="1822"/>
      <c r="L77" s="1822"/>
      <c r="M77" s="1822"/>
      <c r="N77" s="1827"/>
      <c r="Y77" s="537" t="s">
        <v>311</v>
      </c>
    </row>
    <row r="78" spans="1:29" s="536" customFormat="1" x14ac:dyDescent="0.2">
      <c r="A78" s="605"/>
      <c r="B78" s="552" t="s">
        <v>185</v>
      </c>
      <c r="C78" s="1822" t="s">
        <v>312</v>
      </c>
      <c r="D78" s="1822"/>
      <c r="E78" s="1822"/>
      <c r="F78" s="562"/>
      <c r="G78" s="562"/>
      <c r="H78" s="562"/>
      <c r="I78" s="562"/>
      <c r="J78" s="604">
        <v>127.61</v>
      </c>
      <c r="K78" s="562" t="s">
        <v>313</v>
      </c>
      <c r="L78" s="604">
        <v>0.53</v>
      </c>
      <c r="M78" s="603"/>
      <c r="N78" s="602"/>
      <c r="Z78" s="537" t="s">
        <v>312</v>
      </c>
    </row>
    <row r="79" spans="1:29" s="536" customFormat="1" x14ac:dyDescent="0.2">
      <c r="A79" s="605"/>
      <c r="B79" s="552" t="s">
        <v>186</v>
      </c>
      <c r="C79" s="1822" t="s">
        <v>344</v>
      </c>
      <c r="D79" s="1822"/>
      <c r="E79" s="1822"/>
      <c r="F79" s="562"/>
      <c r="G79" s="562"/>
      <c r="H79" s="562"/>
      <c r="I79" s="562"/>
      <c r="J79" s="604">
        <v>288.58</v>
      </c>
      <c r="K79" s="562" t="s">
        <v>313</v>
      </c>
      <c r="L79" s="604">
        <v>1.19</v>
      </c>
      <c r="M79" s="603"/>
      <c r="N79" s="602"/>
      <c r="Z79" s="537" t="s">
        <v>344</v>
      </c>
    </row>
    <row r="80" spans="1:29" s="536" customFormat="1" x14ac:dyDescent="0.2">
      <c r="A80" s="605"/>
      <c r="B80" s="552" t="s">
        <v>187</v>
      </c>
      <c r="C80" s="1822" t="s">
        <v>345</v>
      </c>
      <c r="D80" s="1822"/>
      <c r="E80" s="1822"/>
      <c r="F80" s="562"/>
      <c r="G80" s="562"/>
      <c r="H80" s="562"/>
      <c r="I80" s="562"/>
      <c r="J80" s="604">
        <v>31.49</v>
      </c>
      <c r="K80" s="562" t="s">
        <v>313</v>
      </c>
      <c r="L80" s="604">
        <v>0.13</v>
      </c>
      <c r="M80" s="603"/>
      <c r="N80" s="602"/>
      <c r="Z80" s="537" t="s">
        <v>345</v>
      </c>
    </row>
    <row r="81" spans="1:31" s="536" customFormat="1" x14ac:dyDescent="0.2">
      <c r="A81" s="605"/>
      <c r="B81" s="552"/>
      <c r="C81" s="1822" t="s">
        <v>314</v>
      </c>
      <c r="D81" s="1822"/>
      <c r="E81" s="1822"/>
      <c r="F81" s="562" t="s">
        <v>315</v>
      </c>
      <c r="G81" s="562" t="s">
        <v>512</v>
      </c>
      <c r="H81" s="562" t="s">
        <v>313</v>
      </c>
      <c r="I81" s="562" t="s">
        <v>8601</v>
      </c>
      <c r="J81" s="604"/>
      <c r="K81" s="562"/>
      <c r="L81" s="604"/>
      <c r="M81" s="603"/>
      <c r="N81" s="602"/>
      <c r="AA81" s="537" t="s">
        <v>314</v>
      </c>
    </row>
    <row r="82" spans="1:31" s="536" customFormat="1" x14ac:dyDescent="0.2">
      <c r="A82" s="605"/>
      <c r="B82" s="552"/>
      <c r="C82" s="1822" t="s">
        <v>348</v>
      </c>
      <c r="D82" s="1822"/>
      <c r="E82" s="1822"/>
      <c r="F82" s="562" t="s">
        <v>315</v>
      </c>
      <c r="G82" s="562" t="s">
        <v>514</v>
      </c>
      <c r="H82" s="562" t="s">
        <v>313</v>
      </c>
      <c r="I82" s="562" t="s">
        <v>8602</v>
      </c>
      <c r="J82" s="604"/>
      <c r="K82" s="562"/>
      <c r="L82" s="604"/>
      <c r="M82" s="603"/>
      <c r="N82" s="602"/>
      <c r="AA82" s="537" t="s">
        <v>348</v>
      </c>
    </row>
    <row r="83" spans="1:31" s="536" customFormat="1" x14ac:dyDescent="0.2">
      <c r="A83" s="605"/>
      <c r="B83" s="552"/>
      <c r="C83" s="1828" t="s">
        <v>318</v>
      </c>
      <c r="D83" s="1828"/>
      <c r="E83" s="1828"/>
      <c r="F83" s="608"/>
      <c r="G83" s="608"/>
      <c r="H83" s="608"/>
      <c r="I83" s="608"/>
      <c r="J83" s="607">
        <v>416.19</v>
      </c>
      <c r="K83" s="608"/>
      <c r="L83" s="607">
        <v>1.72</v>
      </c>
      <c r="M83" s="601"/>
      <c r="N83" s="606"/>
      <c r="AB83" s="537" t="s">
        <v>318</v>
      </c>
    </row>
    <row r="84" spans="1:31" s="536" customFormat="1" x14ac:dyDescent="0.2">
      <c r="A84" s="605"/>
      <c r="B84" s="552"/>
      <c r="C84" s="1822" t="s">
        <v>319</v>
      </c>
      <c r="D84" s="1822"/>
      <c r="E84" s="1822"/>
      <c r="F84" s="562"/>
      <c r="G84" s="562"/>
      <c r="H84" s="562"/>
      <c r="I84" s="562"/>
      <c r="J84" s="604"/>
      <c r="K84" s="562"/>
      <c r="L84" s="604">
        <v>0.66</v>
      </c>
      <c r="M84" s="603"/>
      <c r="N84" s="602"/>
      <c r="AA84" s="537" t="s">
        <v>319</v>
      </c>
    </row>
    <row r="85" spans="1:31" s="536" customFormat="1" ht="33.75" x14ac:dyDescent="0.2">
      <c r="A85" s="605"/>
      <c r="B85" s="552" t="s">
        <v>460</v>
      </c>
      <c r="C85" s="1822" t="s">
        <v>461</v>
      </c>
      <c r="D85" s="1822"/>
      <c r="E85" s="1822"/>
      <c r="F85" s="562" t="s">
        <v>322</v>
      </c>
      <c r="G85" s="562" t="s">
        <v>462</v>
      </c>
      <c r="H85" s="562"/>
      <c r="I85" s="562" t="s">
        <v>462</v>
      </c>
      <c r="J85" s="604"/>
      <c r="K85" s="562"/>
      <c r="L85" s="604">
        <v>0.61</v>
      </c>
      <c r="M85" s="603"/>
      <c r="N85" s="602"/>
      <c r="AA85" s="537" t="s">
        <v>461</v>
      </c>
    </row>
    <row r="86" spans="1:31" s="536" customFormat="1" ht="33.75" x14ac:dyDescent="0.2">
      <c r="A86" s="605"/>
      <c r="B86" s="552" t="s">
        <v>463</v>
      </c>
      <c r="C86" s="1822" t="s">
        <v>464</v>
      </c>
      <c r="D86" s="1822"/>
      <c r="E86" s="1822"/>
      <c r="F86" s="562" t="s">
        <v>322</v>
      </c>
      <c r="G86" s="562" t="s">
        <v>465</v>
      </c>
      <c r="H86" s="562"/>
      <c r="I86" s="562" t="s">
        <v>465</v>
      </c>
      <c r="J86" s="604"/>
      <c r="K86" s="562"/>
      <c r="L86" s="604">
        <v>0.3</v>
      </c>
      <c r="M86" s="603"/>
      <c r="N86" s="602"/>
      <c r="AA86" s="537" t="s">
        <v>464</v>
      </c>
    </row>
    <row r="87" spans="1:31" s="536" customFormat="1" x14ac:dyDescent="0.2">
      <c r="A87" s="569"/>
      <c r="B87" s="671"/>
      <c r="C87" s="1823" t="s">
        <v>327</v>
      </c>
      <c r="D87" s="1823"/>
      <c r="E87" s="1823"/>
      <c r="F87" s="573"/>
      <c r="G87" s="573"/>
      <c r="H87" s="573"/>
      <c r="I87" s="573"/>
      <c r="J87" s="572"/>
      <c r="K87" s="573"/>
      <c r="L87" s="572">
        <v>2.63</v>
      </c>
      <c r="M87" s="601"/>
      <c r="N87" s="570"/>
      <c r="AC87" s="537" t="s">
        <v>327</v>
      </c>
    </row>
    <row r="88" spans="1:31" s="536" customFormat="1" ht="1.5" customHeight="1" x14ac:dyDescent="0.2">
      <c r="A88" s="563"/>
      <c r="B88" s="671"/>
      <c r="C88" s="671"/>
      <c r="D88" s="671"/>
      <c r="E88" s="671"/>
      <c r="F88" s="563"/>
      <c r="G88" s="563"/>
      <c r="H88" s="563"/>
      <c r="I88" s="563"/>
      <c r="J88" s="546"/>
      <c r="K88" s="563"/>
      <c r="L88" s="546"/>
      <c r="M88" s="562"/>
      <c r="N88" s="546"/>
    </row>
    <row r="89" spans="1:31" s="536" customFormat="1" x14ac:dyDescent="0.2">
      <c r="A89" s="557"/>
      <c r="B89" s="556"/>
      <c r="C89" s="1823" t="s">
        <v>1021</v>
      </c>
      <c r="D89" s="1823"/>
      <c r="E89" s="1823"/>
      <c r="F89" s="1823"/>
      <c r="G89" s="1823"/>
      <c r="H89" s="1823"/>
      <c r="I89" s="1823"/>
      <c r="J89" s="1823"/>
      <c r="K89" s="1823"/>
      <c r="L89" s="555"/>
      <c r="M89" s="554"/>
      <c r="N89" s="553"/>
      <c r="AD89" s="537" t="s">
        <v>1021</v>
      </c>
    </row>
    <row r="90" spans="1:31" s="536" customFormat="1" x14ac:dyDescent="0.2">
      <c r="A90" s="548"/>
      <c r="B90" s="552"/>
      <c r="C90" s="1822" t="s">
        <v>403</v>
      </c>
      <c r="D90" s="1822"/>
      <c r="E90" s="1822"/>
      <c r="F90" s="1822"/>
      <c r="G90" s="1822"/>
      <c r="H90" s="1822"/>
      <c r="I90" s="1822"/>
      <c r="J90" s="1822"/>
      <c r="K90" s="1822"/>
      <c r="L90" s="551">
        <v>134.80000000000001</v>
      </c>
      <c r="M90" s="550"/>
      <c r="N90" s="549"/>
      <c r="AE90" s="537" t="s">
        <v>403</v>
      </c>
    </row>
    <row r="91" spans="1:31" s="536" customFormat="1" x14ac:dyDescent="0.2">
      <c r="A91" s="548"/>
      <c r="B91" s="552"/>
      <c r="C91" s="1822" t="s">
        <v>204</v>
      </c>
      <c r="D91" s="1822"/>
      <c r="E91" s="1822"/>
      <c r="F91" s="1822"/>
      <c r="G91" s="1822"/>
      <c r="H91" s="1822"/>
      <c r="I91" s="1822"/>
      <c r="J91" s="1822"/>
      <c r="K91" s="1822"/>
      <c r="L91" s="551"/>
      <c r="M91" s="550"/>
      <c r="N91" s="549"/>
      <c r="AE91" s="537" t="s">
        <v>204</v>
      </c>
    </row>
    <row r="92" spans="1:31" s="536" customFormat="1" x14ac:dyDescent="0.2">
      <c r="A92" s="548"/>
      <c r="B92" s="552"/>
      <c r="C92" s="1822" t="s">
        <v>404</v>
      </c>
      <c r="D92" s="1822"/>
      <c r="E92" s="1822"/>
      <c r="F92" s="1822"/>
      <c r="G92" s="1822"/>
      <c r="H92" s="1822"/>
      <c r="I92" s="1822"/>
      <c r="J92" s="1822"/>
      <c r="K92" s="1822"/>
      <c r="L92" s="551">
        <v>0.53</v>
      </c>
      <c r="M92" s="550"/>
      <c r="N92" s="549"/>
      <c r="AE92" s="537" t="s">
        <v>404</v>
      </c>
    </row>
    <row r="93" spans="1:31" s="536" customFormat="1" x14ac:dyDescent="0.2">
      <c r="A93" s="548"/>
      <c r="B93" s="552"/>
      <c r="C93" s="1822" t="s">
        <v>405</v>
      </c>
      <c r="D93" s="1822"/>
      <c r="E93" s="1822"/>
      <c r="F93" s="1822"/>
      <c r="G93" s="1822"/>
      <c r="H93" s="1822"/>
      <c r="I93" s="1822"/>
      <c r="J93" s="1822"/>
      <c r="K93" s="1822"/>
      <c r="L93" s="551">
        <v>134.27000000000001</v>
      </c>
      <c r="M93" s="550"/>
      <c r="N93" s="549"/>
      <c r="AE93" s="537" t="s">
        <v>405</v>
      </c>
    </row>
    <row r="94" spans="1:31" s="536" customFormat="1" x14ac:dyDescent="0.2">
      <c r="A94" s="548"/>
      <c r="B94" s="552"/>
      <c r="C94" s="1822" t="s">
        <v>406</v>
      </c>
      <c r="D94" s="1822"/>
      <c r="E94" s="1822"/>
      <c r="F94" s="1822"/>
      <c r="G94" s="1822"/>
      <c r="H94" s="1822"/>
      <c r="I94" s="1822"/>
      <c r="J94" s="1822"/>
      <c r="K94" s="1822"/>
      <c r="L94" s="551">
        <v>9.4499999999999993</v>
      </c>
      <c r="M94" s="550"/>
      <c r="N94" s="549"/>
      <c r="AE94" s="537" t="s">
        <v>406</v>
      </c>
    </row>
    <row r="95" spans="1:31" s="536" customFormat="1" x14ac:dyDescent="0.2">
      <c r="A95" s="548"/>
      <c r="B95" s="552"/>
      <c r="C95" s="1822" t="s">
        <v>407</v>
      </c>
      <c r="D95" s="1822"/>
      <c r="E95" s="1822"/>
      <c r="F95" s="1822"/>
      <c r="G95" s="1822"/>
      <c r="H95" s="1822"/>
      <c r="I95" s="1822"/>
      <c r="J95" s="1822"/>
      <c r="K95" s="1822"/>
      <c r="L95" s="551">
        <v>148.57</v>
      </c>
      <c r="M95" s="550"/>
      <c r="N95" s="549"/>
      <c r="AE95" s="537" t="s">
        <v>407</v>
      </c>
    </row>
    <row r="96" spans="1:31" s="536" customFormat="1" x14ac:dyDescent="0.2">
      <c r="A96" s="548"/>
      <c r="B96" s="552" t="s">
        <v>185</v>
      </c>
      <c r="C96" s="1822" t="s">
        <v>408</v>
      </c>
      <c r="D96" s="1822"/>
      <c r="E96" s="1822"/>
      <c r="F96" s="1822"/>
      <c r="G96" s="1822"/>
      <c r="H96" s="1822"/>
      <c r="I96" s="1822"/>
      <c r="J96" s="1822"/>
      <c r="K96" s="1822"/>
      <c r="L96" s="551">
        <v>95.03</v>
      </c>
      <c r="M96" s="550"/>
      <c r="N96" s="549"/>
      <c r="AE96" s="537" t="s">
        <v>408</v>
      </c>
    </row>
    <row r="97" spans="1:32" s="536" customFormat="1" x14ac:dyDescent="0.2">
      <c r="A97" s="548"/>
      <c r="B97" s="552"/>
      <c r="C97" s="1822" t="s">
        <v>409</v>
      </c>
      <c r="D97" s="1822"/>
      <c r="E97" s="1822"/>
      <c r="F97" s="1822"/>
      <c r="G97" s="1822"/>
      <c r="H97" s="1822"/>
      <c r="I97" s="1822"/>
      <c r="J97" s="1822"/>
      <c r="K97" s="1822"/>
      <c r="L97" s="551"/>
      <c r="M97" s="550"/>
      <c r="N97" s="549"/>
      <c r="AE97" s="537" t="s">
        <v>409</v>
      </c>
    </row>
    <row r="98" spans="1:32" s="536" customFormat="1" x14ac:dyDescent="0.2">
      <c r="A98" s="548"/>
      <c r="B98" s="552"/>
      <c r="C98" s="1822" t="s">
        <v>410</v>
      </c>
      <c r="D98" s="1822"/>
      <c r="E98" s="1822"/>
      <c r="F98" s="1822"/>
      <c r="G98" s="1822"/>
      <c r="H98" s="1822"/>
      <c r="I98" s="1822"/>
      <c r="J98" s="1822"/>
      <c r="K98" s="1822"/>
      <c r="L98" s="551">
        <v>0.53</v>
      </c>
      <c r="M98" s="550"/>
      <c r="N98" s="549"/>
      <c r="AE98" s="537" t="s">
        <v>410</v>
      </c>
    </row>
    <row r="99" spans="1:32" s="536" customFormat="1" x14ac:dyDescent="0.2">
      <c r="A99" s="548"/>
      <c r="B99" s="552"/>
      <c r="C99" s="1822" t="s">
        <v>411</v>
      </c>
      <c r="D99" s="1822"/>
      <c r="E99" s="1822"/>
      <c r="F99" s="1822"/>
      <c r="G99" s="1822"/>
      <c r="H99" s="1822"/>
      <c r="I99" s="1822"/>
      <c r="J99" s="1822"/>
      <c r="K99" s="1822"/>
      <c r="L99" s="551">
        <v>80.73</v>
      </c>
      <c r="M99" s="550"/>
      <c r="N99" s="549"/>
      <c r="AE99" s="537" t="s">
        <v>411</v>
      </c>
    </row>
    <row r="100" spans="1:32" s="536" customFormat="1" x14ac:dyDescent="0.2">
      <c r="A100" s="548"/>
      <c r="B100" s="552"/>
      <c r="C100" s="1822" t="s">
        <v>412</v>
      </c>
      <c r="D100" s="1822"/>
      <c r="E100" s="1822"/>
      <c r="F100" s="1822"/>
      <c r="G100" s="1822"/>
      <c r="H100" s="1822"/>
      <c r="I100" s="1822"/>
      <c r="J100" s="1822"/>
      <c r="K100" s="1822"/>
      <c r="L100" s="551">
        <v>9.18</v>
      </c>
      <c r="M100" s="550"/>
      <c r="N100" s="549"/>
      <c r="AE100" s="537" t="s">
        <v>412</v>
      </c>
    </row>
    <row r="101" spans="1:32" s="536" customFormat="1" x14ac:dyDescent="0.2">
      <c r="A101" s="548"/>
      <c r="B101" s="552"/>
      <c r="C101" s="1822" t="s">
        <v>413</v>
      </c>
      <c r="D101" s="1822"/>
      <c r="E101" s="1822"/>
      <c r="F101" s="1822"/>
      <c r="G101" s="1822"/>
      <c r="H101" s="1822"/>
      <c r="I101" s="1822"/>
      <c r="J101" s="1822"/>
      <c r="K101" s="1822"/>
      <c r="L101" s="551">
        <v>4.59</v>
      </c>
      <c r="M101" s="550"/>
      <c r="N101" s="549"/>
      <c r="AE101" s="537" t="s">
        <v>413</v>
      </c>
    </row>
    <row r="102" spans="1:32" s="536" customFormat="1" x14ac:dyDescent="0.2">
      <c r="A102" s="548"/>
      <c r="B102" s="552" t="s">
        <v>185</v>
      </c>
      <c r="C102" s="1822" t="s">
        <v>414</v>
      </c>
      <c r="D102" s="1822"/>
      <c r="E102" s="1822"/>
      <c r="F102" s="1822"/>
      <c r="G102" s="1822"/>
      <c r="H102" s="1822"/>
      <c r="I102" s="1822"/>
      <c r="J102" s="1822"/>
      <c r="K102" s="1822"/>
      <c r="L102" s="551">
        <v>53.54</v>
      </c>
      <c r="M102" s="550"/>
      <c r="N102" s="549"/>
      <c r="AE102" s="537" t="s">
        <v>414</v>
      </c>
    </row>
    <row r="103" spans="1:32" s="536" customFormat="1" x14ac:dyDescent="0.2">
      <c r="A103" s="548"/>
      <c r="B103" s="552"/>
      <c r="C103" s="1822" t="s">
        <v>415</v>
      </c>
      <c r="D103" s="1822"/>
      <c r="E103" s="1822"/>
      <c r="F103" s="1822"/>
      <c r="G103" s="1822"/>
      <c r="H103" s="1822"/>
      <c r="I103" s="1822"/>
      <c r="J103" s="1822"/>
      <c r="K103" s="1822"/>
      <c r="L103" s="551">
        <v>9.98</v>
      </c>
      <c r="M103" s="550"/>
      <c r="N103" s="549"/>
      <c r="AE103" s="537" t="s">
        <v>415</v>
      </c>
    </row>
    <row r="104" spans="1:32" s="536" customFormat="1" x14ac:dyDescent="0.2">
      <c r="A104" s="548"/>
      <c r="B104" s="552"/>
      <c r="C104" s="1822" t="s">
        <v>416</v>
      </c>
      <c r="D104" s="1822"/>
      <c r="E104" s="1822"/>
      <c r="F104" s="1822"/>
      <c r="G104" s="1822"/>
      <c r="H104" s="1822"/>
      <c r="I104" s="1822"/>
      <c r="J104" s="1822"/>
      <c r="K104" s="1822"/>
      <c r="L104" s="551">
        <v>9.18</v>
      </c>
      <c r="M104" s="550"/>
      <c r="N104" s="549"/>
      <c r="AE104" s="537" t="s">
        <v>416</v>
      </c>
    </row>
    <row r="105" spans="1:32" s="536" customFormat="1" x14ac:dyDescent="0.2">
      <c r="A105" s="548"/>
      <c r="B105" s="552"/>
      <c r="C105" s="1822" t="s">
        <v>417</v>
      </c>
      <c r="D105" s="1822"/>
      <c r="E105" s="1822"/>
      <c r="F105" s="1822"/>
      <c r="G105" s="1822"/>
      <c r="H105" s="1822"/>
      <c r="I105" s="1822"/>
      <c r="J105" s="1822"/>
      <c r="K105" s="1822"/>
      <c r="L105" s="551">
        <v>4.59</v>
      </c>
      <c r="M105" s="550"/>
      <c r="N105" s="549"/>
      <c r="AE105" s="537" t="s">
        <v>417</v>
      </c>
    </row>
    <row r="106" spans="1:32" s="536" customFormat="1" x14ac:dyDescent="0.2">
      <c r="A106" s="548"/>
      <c r="B106" s="546"/>
      <c r="C106" s="1819" t="s">
        <v>1022</v>
      </c>
      <c r="D106" s="1819"/>
      <c r="E106" s="1819"/>
      <c r="F106" s="1819"/>
      <c r="G106" s="1819"/>
      <c r="H106" s="1819"/>
      <c r="I106" s="1819"/>
      <c r="J106" s="1819"/>
      <c r="K106" s="1819"/>
      <c r="L106" s="544">
        <v>148.57</v>
      </c>
      <c r="M106" s="543"/>
      <c r="N106" s="681"/>
      <c r="AF106" s="537" t="s">
        <v>1022</v>
      </c>
    </row>
    <row r="107" spans="1:32" s="536" customFormat="1" ht="12" x14ac:dyDescent="0.2">
      <c r="A107" s="1824" t="s">
        <v>3715</v>
      </c>
      <c r="B107" s="1825"/>
      <c r="C107" s="1825"/>
      <c r="D107" s="1825"/>
      <c r="E107" s="1825"/>
      <c r="F107" s="1825"/>
      <c r="G107" s="1825"/>
      <c r="H107" s="1825"/>
      <c r="I107" s="1825"/>
      <c r="J107" s="1825"/>
      <c r="K107" s="1825"/>
      <c r="L107" s="1825"/>
      <c r="M107" s="1825"/>
      <c r="N107" s="1826"/>
      <c r="V107" s="537" t="s">
        <v>3715</v>
      </c>
    </row>
    <row r="108" spans="1:32" s="536" customFormat="1" x14ac:dyDescent="0.2">
      <c r="A108" s="575" t="s">
        <v>190</v>
      </c>
      <c r="B108" s="670" t="s">
        <v>1368</v>
      </c>
      <c r="C108" s="1823" t="s">
        <v>1369</v>
      </c>
      <c r="D108" s="1823"/>
      <c r="E108" s="1823"/>
      <c r="F108" s="573" t="s">
        <v>509</v>
      </c>
      <c r="G108" s="573"/>
      <c r="H108" s="573"/>
      <c r="I108" s="573" t="s">
        <v>8603</v>
      </c>
      <c r="J108" s="572"/>
      <c r="K108" s="573"/>
      <c r="L108" s="572"/>
      <c r="M108" s="571"/>
      <c r="N108" s="570"/>
      <c r="W108" s="537" t="s">
        <v>1369</v>
      </c>
    </row>
    <row r="109" spans="1:32" s="536" customFormat="1" x14ac:dyDescent="0.2">
      <c r="A109" s="676"/>
      <c r="B109" s="664"/>
      <c r="C109" s="1822" t="s">
        <v>8604</v>
      </c>
      <c r="D109" s="1822"/>
      <c r="E109" s="1822"/>
      <c r="F109" s="1822"/>
      <c r="G109" s="1822"/>
      <c r="H109" s="1822"/>
      <c r="I109" s="1822"/>
      <c r="J109" s="1822"/>
      <c r="K109" s="1822"/>
      <c r="L109" s="1822"/>
      <c r="M109" s="1822"/>
      <c r="N109" s="1827"/>
      <c r="X109" s="537" t="s">
        <v>8604</v>
      </c>
    </row>
    <row r="110" spans="1:32" s="536" customFormat="1" ht="33.75" x14ac:dyDescent="0.2">
      <c r="A110" s="609"/>
      <c r="B110" s="552" t="s">
        <v>310</v>
      </c>
      <c r="C110" s="1822" t="s">
        <v>311</v>
      </c>
      <c r="D110" s="1822"/>
      <c r="E110" s="1822"/>
      <c r="F110" s="1822"/>
      <c r="G110" s="1822"/>
      <c r="H110" s="1822"/>
      <c r="I110" s="1822"/>
      <c r="J110" s="1822"/>
      <c r="K110" s="1822"/>
      <c r="L110" s="1822"/>
      <c r="M110" s="1822"/>
      <c r="N110" s="1827"/>
      <c r="Y110" s="537" t="s">
        <v>311</v>
      </c>
    </row>
    <row r="111" spans="1:32" s="536" customFormat="1" x14ac:dyDescent="0.2">
      <c r="A111" s="605"/>
      <c r="B111" s="552" t="s">
        <v>185</v>
      </c>
      <c r="C111" s="1822" t="s">
        <v>312</v>
      </c>
      <c r="D111" s="1822"/>
      <c r="E111" s="1822"/>
      <c r="F111" s="562"/>
      <c r="G111" s="562"/>
      <c r="H111" s="562"/>
      <c r="I111" s="562"/>
      <c r="J111" s="604">
        <v>1053</v>
      </c>
      <c r="K111" s="562" t="s">
        <v>313</v>
      </c>
      <c r="L111" s="604">
        <v>53.97</v>
      </c>
      <c r="M111" s="603"/>
      <c r="N111" s="602"/>
      <c r="Z111" s="537" t="s">
        <v>312</v>
      </c>
    </row>
    <row r="112" spans="1:32" s="536" customFormat="1" x14ac:dyDescent="0.2">
      <c r="A112" s="605"/>
      <c r="B112" s="552" t="s">
        <v>186</v>
      </c>
      <c r="C112" s="1822" t="s">
        <v>344</v>
      </c>
      <c r="D112" s="1822"/>
      <c r="E112" s="1822"/>
      <c r="F112" s="562"/>
      <c r="G112" s="562"/>
      <c r="H112" s="562"/>
      <c r="I112" s="562"/>
      <c r="J112" s="604">
        <v>1566.06</v>
      </c>
      <c r="K112" s="562" t="s">
        <v>313</v>
      </c>
      <c r="L112" s="604">
        <v>80.260000000000005</v>
      </c>
      <c r="M112" s="603"/>
      <c r="N112" s="602"/>
      <c r="Z112" s="537" t="s">
        <v>344</v>
      </c>
    </row>
    <row r="113" spans="1:33" s="536" customFormat="1" x14ac:dyDescent="0.2">
      <c r="A113" s="605"/>
      <c r="B113" s="552" t="s">
        <v>187</v>
      </c>
      <c r="C113" s="1822" t="s">
        <v>345</v>
      </c>
      <c r="D113" s="1822"/>
      <c r="E113" s="1822"/>
      <c r="F113" s="562"/>
      <c r="G113" s="562"/>
      <c r="H113" s="562"/>
      <c r="I113" s="562"/>
      <c r="J113" s="604">
        <v>244.39</v>
      </c>
      <c r="K113" s="562" t="s">
        <v>313</v>
      </c>
      <c r="L113" s="604">
        <v>12.52</v>
      </c>
      <c r="M113" s="603"/>
      <c r="N113" s="602"/>
      <c r="Z113" s="537" t="s">
        <v>345</v>
      </c>
    </row>
    <row r="114" spans="1:33" s="536" customFormat="1" x14ac:dyDescent="0.2">
      <c r="A114" s="605"/>
      <c r="B114" s="552" t="s">
        <v>188</v>
      </c>
      <c r="C114" s="1822" t="s">
        <v>475</v>
      </c>
      <c r="D114" s="1822"/>
      <c r="E114" s="1822"/>
      <c r="F114" s="562"/>
      <c r="G114" s="562"/>
      <c r="H114" s="562"/>
      <c r="I114" s="562"/>
      <c r="J114" s="604">
        <v>909.27</v>
      </c>
      <c r="K114" s="562"/>
      <c r="L114" s="604">
        <v>37.28</v>
      </c>
      <c r="M114" s="603"/>
      <c r="N114" s="602"/>
      <c r="Z114" s="537" t="s">
        <v>475</v>
      </c>
    </row>
    <row r="115" spans="1:33" s="536" customFormat="1" x14ac:dyDescent="0.2">
      <c r="A115" s="676"/>
      <c r="B115" s="677" t="s">
        <v>639</v>
      </c>
      <c r="C115" s="1829" t="s">
        <v>640</v>
      </c>
      <c r="D115" s="1829"/>
      <c r="E115" s="1829"/>
      <c r="F115" s="678" t="s">
        <v>641</v>
      </c>
      <c r="G115" s="678" t="s">
        <v>680</v>
      </c>
      <c r="H115" s="678"/>
      <c r="I115" s="678" t="s">
        <v>8605</v>
      </c>
      <c r="J115" s="552"/>
      <c r="K115" s="562"/>
      <c r="L115" s="604"/>
      <c r="M115" s="562"/>
      <c r="N115" s="679"/>
      <c r="AG115" s="537" t="s">
        <v>640</v>
      </c>
    </row>
    <row r="116" spans="1:33" s="536" customFormat="1" x14ac:dyDescent="0.2">
      <c r="A116" s="605"/>
      <c r="B116" s="552"/>
      <c r="C116" s="1822" t="s">
        <v>314</v>
      </c>
      <c r="D116" s="1822"/>
      <c r="E116" s="1822"/>
      <c r="F116" s="562" t="s">
        <v>315</v>
      </c>
      <c r="G116" s="562" t="s">
        <v>1373</v>
      </c>
      <c r="H116" s="562" t="s">
        <v>313</v>
      </c>
      <c r="I116" s="562" t="s">
        <v>8606</v>
      </c>
      <c r="J116" s="604"/>
      <c r="K116" s="562"/>
      <c r="L116" s="604"/>
      <c r="M116" s="603"/>
      <c r="N116" s="602"/>
      <c r="AA116" s="537" t="s">
        <v>314</v>
      </c>
    </row>
    <row r="117" spans="1:33" s="536" customFormat="1" x14ac:dyDescent="0.2">
      <c r="A117" s="605"/>
      <c r="B117" s="552"/>
      <c r="C117" s="1822" t="s">
        <v>348</v>
      </c>
      <c r="D117" s="1822"/>
      <c r="E117" s="1822"/>
      <c r="F117" s="562" t="s">
        <v>315</v>
      </c>
      <c r="G117" s="562" t="s">
        <v>1375</v>
      </c>
      <c r="H117" s="562" t="s">
        <v>313</v>
      </c>
      <c r="I117" s="562" t="s">
        <v>8607</v>
      </c>
      <c r="J117" s="604"/>
      <c r="K117" s="562"/>
      <c r="L117" s="604"/>
      <c r="M117" s="603"/>
      <c r="N117" s="602"/>
      <c r="AA117" s="537" t="s">
        <v>348</v>
      </c>
    </row>
    <row r="118" spans="1:33" s="536" customFormat="1" x14ac:dyDescent="0.2">
      <c r="A118" s="605"/>
      <c r="B118" s="552"/>
      <c r="C118" s="1828" t="s">
        <v>318</v>
      </c>
      <c r="D118" s="1828"/>
      <c r="E118" s="1828"/>
      <c r="F118" s="608"/>
      <c r="G118" s="608"/>
      <c r="H118" s="608"/>
      <c r="I118" s="608"/>
      <c r="J118" s="607">
        <v>3528.33</v>
      </c>
      <c r="K118" s="608"/>
      <c r="L118" s="607">
        <v>171.51</v>
      </c>
      <c r="M118" s="601"/>
      <c r="N118" s="606"/>
      <c r="AB118" s="537" t="s">
        <v>318</v>
      </c>
    </row>
    <row r="119" spans="1:33" s="536" customFormat="1" x14ac:dyDescent="0.2">
      <c r="A119" s="605"/>
      <c r="B119" s="552"/>
      <c r="C119" s="1822" t="s">
        <v>319</v>
      </c>
      <c r="D119" s="1822"/>
      <c r="E119" s="1822"/>
      <c r="F119" s="562"/>
      <c r="G119" s="562"/>
      <c r="H119" s="562"/>
      <c r="I119" s="562"/>
      <c r="J119" s="604"/>
      <c r="K119" s="562"/>
      <c r="L119" s="604">
        <v>66.489999999999995</v>
      </c>
      <c r="M119" s="603"/>
      <c r="N119" s="602"/>
      <c r="AA119" s="537" t="s">
        <v>319</v>
      </c>
    </row>
    <row r="120" spans="1:33" s="536" customFormat="1" ht="33.75" x14ac:dyDescent="0.2">
      <c r="A120" s="605"/>
      <c r="B120" s="552" t="s">
        <v>686</v>
      </c>
      <c r="C120" s="1822" t="s">
        <v>687</v>
      </c>
      <c r="D120" s="1822"/>
      <c r="E120" s="1822"/>
      <c r="F120" s="562" t="s">
        <v>322</v>
      </c>
      <c r="G120" s="562" t="s">
        <v>680</v>
      </c>
      <c r="H120" s="562"/>
      <c r="I120" s="562" t="s">
        <v>680</v>
      </c>
      <c r="J120" s="604"/>
      <c r="K120" s="562"/>
      <c r="L120" s="604">
        <v>67.819999999999993</v>
      </c>
      <c r="M120" s="603"/>
      <c r="N120" s="602"/>
      <c r="AA120" s="537" t="s">
        <v>687</v>
      </c>
    </row>
    <row r="121" spans="1:33" s="536" customFormat="1" ht="33.75" x14ac:dyDescent="0.2">
      <c r="A121" s="605"/>
      <c r="B121" s="552" t="s">
        <v>688</v>
      </c>
      <c r="C121" s="1822" t="s">
        <v>689</v>
      </c>
      <c r="D121" s="1822"/>
      <c r="E121" s="1822"/>
      <c r="F121" s="562" t="s">
        <v>322</v>
      </c>
      <c r="G121" s="562" t="s">
        <v>690</v>
      </c>
      <c r="H121" s="562"/>
      <c r="I121" s="562" t="s">
        <v>690</v>
      </c>
      <c r="J121" s="604"/>
      <c r="K121" s="562"/>
      <c r="L121" s="604">
        <v>38.56</v>
      </c>
      <c r="M121" s="603"/>
      <c r="N121" s="602"/>
      <c r="AA121" s="537" t="s">
        <v>689</v>
      </c>
    </row>
    <row r="122" spans="1:33" s="536" customFormat="1" x14ac:dyDescent="0.2">
      <c r="A122" s="569"/>
      <c r="B122" s="671"/>
      <c r="C122" s="1823" t="s">
        <v>327</v>
      </c>
      <c r="D122" s="1823"/>
      <c r="E122" s="1823"/>
      <c r="F122" s="573"/>
      <c r="G122" s="573"/>
      <c r="H122" s="573"/>
      <c r="I122" s="573"/>
      <c r="J122" s="572"/>
      <c r="K122" s="573"/>
      <c r="L122" s="572">
        <v>277.89</v>
      </c>
      <c r="M122" s="601"/>
      <c r="N122" s="570"/>
      <c r="AC122" s="537" t="s">
        <v>327</v>
      </c>
    </row>
    <row r="123" spans="1:33" s="536" customFormat="1" ht="22.5" x14ac:dyDescent="0.2">
      <c r="A123" s="575" t="s">
        <v>191</v>
      </c>
      <c r="B123" s="670" t="s">
        <v>1377</v>
      </c>
      <c r="C123" s="1823" t="s">
        <v>1378</v>
      </c>
      <c r="D123" s="1823"/>
      <c r="E123" s="1823"/>
      <c r="F123" s="573" t="s">
        <v>641</v>
      </c>
      <c r="G123" s="573"/>
      <c r="H123" s="573"/>
      <c r="I123" s="573" t="s">
        <v>8605</v>
      </c>
      <c r="J123" s="572">
        <v>560</v>
      </c>
      <c r="K123" s="573"/>
      <c r="L123" s="572">
        <v>2341.92</v>
      </c>
      <c r="M123" s="571"/>
      <c r="N123" s="570"/>
      <c r="W123" s="537" t="s">
        <v>1378</v>
      </c>
    </row>
    <row r="124" spans="1:33" s="536" customFormat="1" x14ac:dyDescent="0.2">
      <c r="A124" s="569"/>
      <c r="B124" s="671"/>
      <c r="C124" s="665" t="s">
        <v>717</v>
      </c>
      <c r="D124" s="666"/>
      <c r="E124" s="666"/>
      <c r="F124" s="563"/>
      <c r="G124" s="563"/>
      <c r="H124" s="563"/>
      <c r="I124" s="563"/>
      <c r="J124" s="566"/>
      <c r="K124" s="563"/>
      <c r="L124" s="566"/>
      <c r="M124" s="565"/>
      <c r="N124" s="564"/>
    </row>
    <row r="125" spans="1:33" s="536" customFormat="1" ht="22.5" x14ac:dyDescent="0.2">
      <c r="A125" s="575" t="s">
        <v>192</v>
      </c>
      <c r="B125" s="670" t="s">
        <v>1380</v>
      </c>
      <c r="C125" s="1823" t="s">
        <v>1381</v>
      </c>
      <c r="D125" s="1823"/>
      <c r="E125" s="1823"/>
      <c r="F125" s="573" t="s">
        <v>509</v>
      </c>
      <c r="G125" s="573"/>
      <c r="H125" s="573"/>
      <c r="I125" s="573" t="s">
        <v>8608</v>
      </c>
      <c r="J125" s="572"/>
      <c r="K125" s="573"/>
      <c r="L125" s="572"/>
      <c r="M125" s="571"/>
      <c r="N125" s="570"/>
      <c r="W125" s="537" t="s">
        <v>1381</v>
      </c>
    </row>
    <row r="126" spans="1:33" s="536" customFormat="1" x14ac:dyDescent="0.2">
      <c r="A126" s="676"/>
      <c r="B126" s="664"/>
      <c r="C126" s="1822" t="s">
        <v>8609</v>
      </c>
      <c r="D126" s="1822"/>
      <c r="E126" s="1822"/>
      <c r="F126" s="1822"/>
      <c r="G126" s="1822"/>
      <c r="H126" s="1822"/>
      <c r="I126" s="1822"/>
      <c r="J126" s="1822"/>
      <c r="K126" s="1822"/>
      <c r="L126" s="1822"/>
      <c r="M126" s="1822"/>
      <c r="N126" s="1827"/>
      <c r="X126" s="537" t="s">
        <v>8609</v>
      </c>
    </row>
    <row r="127" spans="1:33" s="536" customFormat="1" ht="33.75" x14ac:dyDescent="0.2">
      <c r="A127" s="609"/>
      <c r="B127" s="552" t="s">
        <v>310</v>
      </c>
      <c r="C127" s="1822" t="s">
        <v>311</v>
      </c>
      <c r="D127" s="1822"/>
      <c r="E127" s="1822"/>
      <c r="F127" s="1822"/>
      <c r="G127" s="1822"/>
      <c r="H127" s="1822"/>
      <c r="I127" s="1822"/>
      <c r="J127" s="1822"/>
      <c r="K127" s="1822"/>
      <c r="L127" s="1822"/>
      <c r="M127" s="1822"/>
      <c r="N127" s="1827"/>
      <c r="Y127" s="537" t="s">
        <v>311</v>
      </c>
    </row>
    <row r="128" spans="1:33" s="536" customFormat="1" x14ac:dyDescent="0.2">
      <c r="A128" s="605"/>
      <c r="B128" s="552" t="s">
        <v>185</v>
      </c>
      <c r="C128" s="1822" t="s">
        <v>312</v>
      </c>
      <c r="D128" s="1822"/>
      <c r="E128" s="1822"/>
      <c r="F128" s="562"/>
      <c r="G128" s="562"/>
      <c r="H128" s="562"/>
      <c r="I128" s="562"/>
      <c r="J128" s="604">
        <v>1526.87</v>
      </c>
      <c r="K128" s="562" t="s">
        <v>313</v>
      </c>
      <c r="L128" s="604">
        <v>145.05000000000001</v>
      </c>
      <c r="M128" s="603"/>
      <c r="N128" s="602"/>
      <c r="Z128" s="537" t="s">
        <v>312</v>
      </c>
    </row>
    <row r="129" spans="1:33" s="536" customFormat="1" x14ac:dyDescent="0.2">
      <c r="A129" s="605"/>
      <c r="B129" s="552" t="s">
        <v>186</v>
      </c>
      <c r="C129" s="1822" t="s">
        <v>344</v>
      </c>
      <c r="D129" s="1822"/>
      <c r="E129" s="1822"/>
      <c r="F129" s="562"/>
      <c r="G129" s="562"/>
      <c r="H129" s="562"/>
      <c r="I129" s="562"/>
      <c r="J129" s="604">
        <v>2518.58</v>
      </c>
      <c r="K129" s="562" t="s">
        <v>313</v>
      </c>
      <c r="L129" s="604">
        <v>239.27</v>
      </c>
      <c r="M129" s="603"/>
      <c r="N129" s="602"/>
      <c r="Z129" s="537" t="s">
        <v>344</v>
      </c>
    </row>
    <row r="130" spans="1:33" s="536" customFormat="1" x14ac:dyDescent="0.2">
      <c r="A130" s="605"/>
      <c r="B130" s="552" t="s">
        <v>187</v>
      </c>
      <c r="C130" s="1822" t="s">
        <v>345</v>
      </c>
      <c r="D130" s="1822"/>
      <c r="E130" s="1822"/>
      <c r="F130" s="562"/>
      <c r="G130" s="562"/>
      <c r="H130" s="562"/>
      <c r="I130" s="562"/>
      <c r="J130" s="604">
        <v>382.14</v>
      </c>
      <c r="K130" s="562" t="s">
        <v>313</v>
      </c>
      <c r="L130" s="604">
        <v>36.299999999999997</v>
      </c>
      <c r="M130" s="603"/>
      <c r="N130" s="602"/>
      <c r="Z130" s="537" t="s">
        <v>345</v>
      </c>
    </row>
    <row r="131" spans="1:33" s="536" customFormat="1" x14ac:dyDescent="0.2">
      <c r="A131" s="605"/>
      <c r="B131" s="552" t="s">
        <v>188</v>
      </c>
      <c r="C131" s="1822" t="s">
        <v>475</v>
      </c>
      <c r="D131" s="1822"/>
      <c r="E131" s="1822"/>
      <c r="F131" s="562"/>
      <c r="G131" s="562"/>
      <c r="H131" s="562"/>
      <c r="I131" s="562"/>
      <c r="J131" s="604">
        <v>488.42</v>
      </c>
      <c r="K131" s="562"/>
      <c r="L131" s="604">
        <v>37.119999999999997</v>
      </c>
      <c r="M131" s="603"/>
      <c r="N131" s="602"/>
      <c r="Z131" s="537" t="s">
        <v>475</v>
      </c>
    </row>
    <row r="132" spans="1:33" s="536" customFormat="1" x14ac:dyDescent="0.2">
      <c r="A132" s="676"/>
      <c r="B132" s="677" t="s">
        <v>639</v>
      </c>
      <c r="C132" s="1829" t="s">
        <v>640</v>
      </c>
      <c r="D132" s="1829"/>
      <c r="E132" s="1829"/>
      <c r="F132" s="678" t="s">
        <v>641</v>
      </c>
      <c r="G132" s="678" t="s">
        <v>1384</v>
      </c>
      <c r="H132" s="678"/>
      <c r="I132" s="678" t="s">
        <v>8610</v>
      </c>
      <c r="J132" s="552"/>
      <c r="K132" s="562"/>
      <c r="L132" s="604"/>
      <c r="M132" s="562"/>
      <c r="N132" s="679"/>
      <c r="AG132" s="537" t="s">
        <v>640</v>
      </c>
    </row>
    <row r="133" spans="1:33" s="536" customFormat="1" x14ac:dyDescent="0.2">
      <c r="A133" s="676"/>
      <c r="B133" s="677" t="s">
        <v>1272</v>
      </c>
      <c r="C133" s="1829" t="s">
        <v>1273</v>
      </c>
      <c r="D133" s="1829"/>
      <c r="E133" s="1829"/>
      <c r="F133" s="678" t="s">
        <v>694</v>
      </c>
      <c r="G133" s="678" t="s">
        <v>1386</v>
      </c>
      <c r="H133" s="678"/>
      <c r="I133" s="678" t="s">
        <v>8611</v>
      </c>
      <c r="J133" s="552"/>
      <c r="K133" s="562"/>
      <c r="L133" s="604"/>
      <c r="M133" s="562"/>
      <c r="N133" s="679"/>
      <c r="AG133" s="537" t="s">
        <v>1273</v>
      </c>
    </row>
    <row r="134" spans="1:33" s="536" customFormat="1" x14ac:dyDescent="0.2">
      <c r="A134" s="605"/>
      <c r="B134" s="552"/>
      <c r="C134" s="1822" t="s">
        <v>314</v>
      </c>
      <c r="D134" s="1822"/>
      <c r="E134" s="1822"/>
      <c r="F134" s="562" t="s">
        <v>315</v>
      </c>
      <c r="G134" s="562" t="s">
        <v>1388</v>
      </c>
      <c r="H134" s="562" t="s">
        <v>313</v>
      </c>
      <c r="I134" s="562" t="s">
        <v>8612</v>
      </c>
      <c r="J134" s="604"/>
      <c r="K134" s="562"/>
      <c r="L134" s="604"/>
      <c r="M134" s="603"/>
      <c r="N134" s="602"/>
      <c r="AA134" s="537" t="s">
        <v>314</v>
      </c>
    </row>
    <row r="135" spans="1:33" s="536" customFormat="1" x14ac:dyDescent="0.2">
      <c r="A135" s="605"/>
      <c r="B135" s="552"/>
      <c r="C135" s="1822" t="s">
        <v>348</v>
      </c>
      <c r="D135" s="1822"/>
      <c r="E135" s="1822"/>
      <c r="F135" s="562" t="s">
        <v>315</v>
      </c>
      <c r="G135" s="562" t="s">
        <v>1390</v>
      </c>
      <c r="H135" s="562" t="s">
        <v>313</v>
      </c>
      <c r="I135" s="562" t="s">
        <v>8613</v>
      </c>
      <c r="J135" s="604"/>
      <c r="K135" s="562"/>
      <c r="L135" s="604"/>
      <c r="M135" s="603"/>
      <c r="N135" s="602"/>
      <c r="AA135" s="537" t="s">
        <v>348</v>
      </c>
    </row>
    <row r="136" spans="1:33" s="536" customFormat="1" x14ac:dyDescent="0.2">
      <c r="A136" s="605"/>
      <c r="B136" s="552"/>
      <c r="C136" s="1828" t="s">
        <v>318</v>
      </c>
      <c r="D136" s="1828"/>
      <c r="E136" s="1828"/>
      <c r="F136" s="608"/>
      <c r="G136" s="608"/>
      <c r="H136" s="608"/>
      <c r="I136" s="608"/>
      <c r="J136" s="607">
        <v>4533.87</v>
      </c>
      <c r="K136" s="608"/>
      <c r="L136" s="607">
        <v>421.44</v>
      </c>
      <c r="M136" s="601"/>
      <c r="N136" s="606"/>
      <c r="AB136" s="537" t="s">
        <v>318</v>
      </c>
    </row>
    <row r="137" spans="1:33" s="536" customFormat="1" x14ac:dyDescent="0.2">
      <c r="A137" s="605"/>
      <c r="B137" s="552"/>
      <c r="C137" s="1822" t="s">
        <v>319</v>
      </c>
      <c r="D137" s="1822"/>
      <c r="E137" s="1822"/>
      <c r="F137" s="562"/>
      <c r="G137" s="562"/>
      <c r="H137" s="562"/>
      <c r="I137" s="562"/>
      <c r="J137" s="604"/>
      <c r="K137" s="562"/>
      <c r="L137" s="604">
        <v>181.35</v>
      </c>
      <c r="M137" s="603"/>
      <c r="N137" s="602"/>
      <c r="AA137" s="537" t="s">
        <v>319</v>
      </c>
    </row>
    <row r="138" spans="1:33" s="536" customFormat="1" ht="33.75" x14ac:dyDescent="0.2">
      <c r="A138" s="605"/>
      <c r="B138" s="552" t="s">
        <v>686</v>
      </c>
      <c r="C138" s="1822" t="s">
        <v>687</v>
      </c>
      <c r="D138" s="1822"/>
      <c r="E138" s="1822"/>
      <c r="F138" s="562" t="s">
        <v>322</v>
      </c>
      <c r="G138" s="562" t="s">
        <v>680</v>
      </c>
      <c r="H138" s="562"/>
      <c r="I138" s="562" t="s">
        <v>680</v>
      </c>
      <c r="J138" s="604"/>
      <c r="K138" s="562"/>
      <c r="L138" s="604">
        <v>184.98</v>
      </c>
      <c r="M138" s="603"/>
      <c r="N138" s="602"/>
      <c r="AA138" s="537" t="s">
        <v>687</v>
      </c>
    </row>
    <row r="139" spans="1:33" s="536" customFormat="1" ht="33.75" x14ac:dyDescent="0.2">
      <c r="A139" s="605"/>
      <c r="B139" s="552" t="s">
        <v>688</v>
      </c>
      <c r="C139" s="1822" t="s">
        <v>689</v>
      </c>
      <c r="D139" s="1822"/>
      <c r="E139" s="1822"/>
      <c r="F139" s="562" t="s">
        <v>322</v>
      </c>
      <c r="G139" s="562" t="s">
        <v>690</v>
      </c>
      <c r="H139" s="562"/>
      <c r="I139" s="562" t="s">
        <v>690</v>
      </c>
      <c r="J139" s="604"/>
      <c r="K139" s="562"/>
      <c r="L139" s="604">
        <v>105.18</v>
      </c>
      <c r="M139" s="603"/>
      <c r="N139" s="602"/>
      <c r="AA139" s="537" t="s">
        <v>689</v>
      </c>
    </row>
    <row r="140" spans="1:33" s="536" customFormat="1" x14ac:dyDescent="0.2">
      <c r="A140" s="569"/>
      <c r="B140" s="671"/>
      <c r="C140" s="1823" t="s">
        <v>327</v>
      </c>
      <c r="D140" s="1823"/>
      <c r="E140" s="1823"/>
      <c r="F140" s="573"/>
      <c r="G140" s="573"/>
      <c r="H140" s="573"/>
      <c r="I140" s="573"/>
      <c r="J140" s="572"/>
      <c r="K140" s="573"/>
      <c r="L140" s="572">
        <v>711.6</v>
      </c>
      <c r="M140" s="601"/>
      <c r="N140" s="570"/>
      <c r="AC140" s="537" t="s">
        <v>327</v>
      </c>
    </row>
    <row r="141" spans="1:33" s="536" customFormat="1" ht="22.5" x14ac:dyDescent="0.2">
      <c r="A141" s="575" t="s">
        <v>193</v>
      </c>
      <c r="B141" s="670" t="s">
        <v>1392</v>
      </c>
      <c r="C141" s="1823" t="s">
        <v>1393</v>
      </c>
      <c r="D141" s="1823"/>
      <c r="E141" s="1823"/>
      <c r="F141" s="573" t="s">
        <v>641</v>
      </c>
      <c r="G141" s="573"/>
      <c r="H141" s="573"/>
      <c r="I141" s="573" t="s">
        <v>8610</v>
      </c>
      <c r="J141" s="572">
        <v>725.69</v>
      </c>
      <c r="K141" s="573"/>
      <c r="L141" s="572">
        <v>5597.97</v>
      </c>
      <c r="M141" s="571"/>
      <c r="N141" s="570"/>
      <c r="W141" s="537" t="s">
        <v>1393</v>
      </c>
    </row>
    <row r="142" spans="1:33" s="536" customFormat="1" x14ac:dyDescent="0.2">
      <c r="A142" s="569"/>
      <c r="B142" s="671"/>
      <c r="C142" s="665" t="s">
        <v>717</v>
      </c>
      <c r="D142" s="666"/>
      <c r="E142" s="666"/>
      <c r="F142" s="563"/>
      <c r="G142" s="563"/>
      <c r="H142" s="563"/>
      <c r="I142" s="563"/>
      <c r="J142" s="566"/>
      <c r="K142" s="563"/>
      <c r="L142" s="566"/>
      <c r="M142" s="565"/>
      <c r="N142" s="564"/>
    </row>
    <row r="143" spans="1:33" s="536" customFormat="1" ht="33.75" x14ac:dyDescent="0.2">
      <c r="A143" s="575" t="s">
        <v>194</v>
      </c>
      <c r="B143" s="670" t="s">
        <v>657</v>
      </c>
      <c r="C143" s="1823" t="s">
        <v>3300</v>
      </c>
      <c r="D143" s="1823"/>
      <c r="E143" s="1823"/>
      <c r="F143" s="573" t="s">
        <v>641</v>
      </c>
      <c r="G143" s="573"/>
      <c r="H143" s="573"/>
      <c r="I143" s="573" t="s">
        <v>3689</v>
      </c>
      <c r="J143" s="572">
        <v>9.69</v>
      </c>
      <c r="K143" s="573"/>
      <c r="L143" s="572">
        <v>73.64</v>
      </c>
      <c r="M143" s="571"/>
      <c r="N143" s="570"/>
      <c r="W143" s="537" t="s">
        <v>3300</v>
      </c>
    </row>
    <row r="144" spans="1:33" s="536" customFormat="1" x14ac:dyDescent="0.2">
      <c r="A144" s="569"/>
      <c r="B144" s="671"/>
      <c r="C144" s="665" t="s">
        <v>717</v>
      </c>
      <c r="D144" s="666"/>
      <c r="E144" s="666"/>
      <c r="F144" s="563"/>
      <c r="G144" s="563"/>
      <c r="H144" s="563"/>
      <c r="I144" s="563"/>
      <c r="J144" s="566"/>
      <c r="K144" s="563"/>
      <c r="L144" s="566"/>
      <c r="M144" s="565"/>
      <c r="N144" s="564"/>
    </row>
    <row r="145" spans="1:34" s="536" customFormat="1" x14ac:dyDescent="0.2">
      <c r="A145" s="676"/>
      <c r="B145" s="664"/>
      <c r="C145" s="1822" t="s">
        <v>1399</v>
      </c>
      <c r="D145" s="1822"/>
      <c r="E145" s="1822"/>
      <c r="F145" s="1822"/>
      <c r="G145" s="1822"/>
      <c r="H145" s="1822"/>
      <c r="I145" s="1822"/>
      <c r="J145" s="1822"/>
      <c r="K145" s="1822"/>
      <c r="L145" s="1822"/>
      <c r="M145" s="1822"/>
      <c r="N145" s="1827"/>
      <c r="AH145" s="537" t="s">
        <v>1399</v>
      </c>
    </row>
    <row r="146" spans="1:34" s="536" customFormat="1" ht="22.5" x14ac:dyDescent="0.2">
      <c r="A146" s="575" t="s">
        <v>195</v>
      </c>
      <c r="B146" s="670" t="s">
        <v>1400</v>
      </c>
      <c r="C146" s="1823" t="s">
        <v>1401</v>
      </c>
      <c r="D146" s="1823"/>
      <c r="E146" s="1823"/>
      <c r="F146" s="573" t="s">
        <v>694</v>
      </c>
      <c r="G146" s="573"/>
      <c r="H146" s="573"/>
      <c r="I146" s="573" t="s">
        <v>8614</v>
      </c>
      <c r="J146" s="572">
        <v>5584.58</v>
      </c>
      <c r="K146" s="573"/>
      <c r="L146" s="572">
        <v>4374.3999999999996</v>
      </c>
      <c r="M146" s="571"/>
      <c r="N146" s="570"/>
      <c r="W146" s="537" t="s">
        <v>1401</v>
      </c>
    </row>
    <row r="147" spans="1:34" s="536" customFormat="1" x14ac:dyDescent="0.2">
      <c r="A147" s="569"/>
      <c r="B147" s="671"/>
      <c r="C147" s="665" t="s">
        <v>717</v>
      </c>
      <c r="D147" s="666"/>
      <c r="E147" s="666"/>
      <c r="F147" s="563"/>
      <c r="G147" s="563"/>
      <c r="H147" s="563"/>
      <c r="I147" s="563"/>
      <c r="J147" s="566"/>
      <c r="K147" s="563"/>
      <c r="L147" s="566"/>
      <c r="M147" s="565"/>
      <c r="N147" s="564"/>
    </row>
    <row r="148" spans="1:34" s="536" customFormat="1" x14ac:dyDescent="0.2">
      <c r="A148" s="676"/>
      <c r="B148" s="664"/>
      <c r="C148" s="1822" t="s">
        <v>8615</v>
      </c>
      <c r="D148" s="1822"/>
      <c r="E148" s="1822"/>
      <c r="F148" s="1822"/>
      <c r="G148" s="1822"/>
      <c r="H148" s="1822"/>
      <c r="I148" s="1822"/>
      <c r="J148" s="1822"/>
      <c r="K148" s="1822"/>
      <c r="L148" s="1822"/>
      <c r="M148" s="1822"/>
      <c r="N148" s="1827"/>
      <c r="X148" s="537" t="s">
        <v>8615</v>
      </c>
    </row>
    <row r="149" spans="1:34" s="536" customFormat="1" ht="33.75" x14ac:dyDescent="0.2">
      <c r="A149" s="575" t="s">
        <v>196</v>
      </c>
      <c r="B149" s="670" t="s">
        <v>3729</v>
      </c>
      <c r="C149" s="1823" t="s">
        <v>3730</v>
      </c>
      <c r="D149" s="1823"/>
      <c r="E149" s="1823"/>
      <c r="F149" s="573" t="s">
        <v>862</v>
      </c>
      <c r="G149" s="573"/>
      <c r="H149" s="573"/>
      <c r="I149" s="573" t="s">
        <v>1599</v>
      </c>
      <c r="J149" s="572"/>
      <c r="K149" s="573"/>
      <c r="L149" s="572"/>
      <c r="M149" s="571"/>
      <c r="N149" s="570"/>
      <c r="W149" s="537" t="s">
        <v>3730</v>
      </c>
    </row>
    <row r="150" spans="1:34" s="536" customFormat="1" x14ac:dyDescent="0.2">
      <c r="A150" s="676"/>
      <c r="B150" s="664"/>
      <c r="C150" s="1822" t="s">
        <v>8616</v>
      </c>
      <c r="D150" s="1822"/>
      <c r="E150" s="1822"/>
      <c r="F150" s="1822"/>
      <c r="G150" s="1822"/>
      <c r="H150" s="1822"/>
      <c r="I150" s="1822"/>
      <c r="J150" s="1822"/>
      <c r="K150" s="1822"/>
      <c r="L150" s="1822"/>
      <c r="M150" s="1822"/>
      <c r="N150" s="1827"/>
      <c r="X150" s="537" t="s">
        <v>8616</v>
      </c>
    </row>
    <row r="151" spans="1:34" s="536" customFormat="1" ht="33.75" x14ac:dyDescent="0.2">
      <c r="A151" s="609"/>
      <c r="B151" s="552" t="s">
        <v>310</v>
      </c>
      <c r="C151" s="1822" t="s">
        <v>311</v>
      </c>
      <c r="D151" s="1822"/>
      <c r="E151" s="1822"/>
      <c r="F151" s="1822"/>
      <c r="G151" s="1822"/>
      <c r="H151" s="1822"/>
      <c r="I151" s="1822"/>
      <c r="J151" s="1822"/>
      <c r="K151" s="1822"/>
      <c r="L151" s="1822"/>
      <c r="M151" s="1822"/>
      <c r="N151" s="1827"/>
      <c r="Y151" s="537" t="s">
        <v>311</v>
      </c>
    </row>
    <row r="152" spans="1:34" s="536" customFormat="1" x14ac:dyDescent="0.2">
      <c r="A152" s="605"/>
      <c r="B152" s="552" t="s">
        <v>185</v>
      </c>
      <c r="C152" s="1822" t="s">
        <v>312</v>
      </c>
      <c r="D152" s="1822"/>
      <c r="E152" s="1822"/>
      <c r="F152" s="562"/>
      <c r="G152" s="562"/>
      <c r="H152" s="562"/>
      <c r="I152" s="562"/>
      <c r="J152" s="604">
        <v>31.95</v>
      </c>
      <c r="K152" s="562" t="s">
        <v>313</v>
      </c>
      <c r="L152" s="604">
        <v>18.09</v>
      </c>
      <c r="M152" s="603"/>
      <c r="N152" s="602"/>
      <c r="Z152" s="537" t="s">
        <v>312</v>
      </c>
    </row>
    <row r="153" spans="1:34" s="536" customFormat="1" x14ac:dyDescent="0.2">
      <c r="A153" s="605"/>
      <c r="B153" s="552" t="s">
        <v>186</v>
      </c>
      <c r="C153" s="1822" t="s">
        <v>344</v>
      </c>
      <c r="D153" s="1822"/>
      <c r="E153" s="1822"/>
      <c r="F153" s="562"/>
      <c r="G153" s="562"/>
      <c r="H153" s="562"/>
      <c r="I153" s="562"/>
      <c r="J153" s="604">
        <v>3.29</v>
      </c>
      <c r="K153" s="562" t="s">
        <v>313</v>
      </c>
      <c r="L153" s="604">
        <v>1.86</v>
      </c>
      <c r="M153" s="603"/>
      <c r="N153" s="602"/>
      <c r="Z153" s="537" t="s">
        <v>344</v>
      </c>
    </row>
    <row r="154" spans="1:34" s="536" customFormat="1" x14ac:dyDescent="0.2">
      <c r="A154" s="605"/>
      <c r="B154" s="552" t="s">
        <v>187</v>
      </c>
      <c r="C154" s="1822" t="s">
        <v>345</v>
      </c>
      <c r="D154" s="1822"/>
      <c r="E154" s="1822"/>
      <c r="F154" s="562"/>
      <c r="G154" s="562"/>
      <c r="H154" s="562"/>
      <c r="I154" s="562"/>
      <c r="J154" s="604">
        <v>0.57999999999999996</v>
      </c>
      <c r="K154" s="562" t="s">
        <v>313</v>
      </c>
      <c r="L154" s="604">
        <v>0.33</v>
      </c>
      <c r="M154" s="603"/>
      <c r="N154" s="602"/>
      <c r="Z154" s="537" t="s">
        <v>345</v>
      </c>
    </row>
    <row r="155" spans="1:34" s="536" customFormat="1" ht="33.75" x14ac:dyDescent="0.2">
      <c r="A155" s="676"/>
      <c r="B155" s="677" t="s">
        <v>3733</v>
      </c>
      <c r="C155" s="1829" t="s">
        <v>3734</v>
      </c>
      <c r="D155" s="1829"/>
      <c r="E155" s="1829"/>
      <c r="F155" s="678" t="s">
        <v>699</v>
      </c>
      <c r="G155" s="678" t="s">
        <v>3735</v>
      </c>
      <c r="H155" s="678"/>
      <c r="I155" s="678" t="s">
        <v>8617</v>
      </c>
      <c r="J155" s="552"/>
      <c r="K155" s="562"/>
      <c r="L155" s="604"/>
      <c r="M155" s="562"/>
      <c r="N155" s="679"/>
      <c r="AG155" s="537" t="s">
        <v>3734</v>
      </c>
    </row>
    <row r="156" spans="1:34" s="536" customFormat="1" x14ac:dyDescent="0.2">
      <c r="A156" s="605"/>
      <c r="B156" s="552"/>
      <c r="C156" s="1822" t="s">
        <v>314</v>
      </c>
      <c r="D156" s="1822"/>
      <c r="E156" s="1822"/>
      <c r="F156" s="562" t="s">
        <v>315</v>
      </c>
      <c r="G156" s="562" t="s">
        <v>3737</v>
      </c>
      <c r="H156" s="562" t="s">
        <v>313</v>
      </c>
      <c r="I156" s="562" t="s">
        <v>8618</v>
      </c>
      <c r="J156" s="604"/>
      <c r="K156" s="562"/>
      <c r="L156" s="604"/>
      <c r="M156" s="603"/>
      <c r="N156" s="602"/>
      <c r="AA156" s="537" t="s">
        <v>314</v>
      </c>
    </row>
    <row r="157" spans="1:34" s="536" customFormat="1" x14ac:dyDescent="0.2">
      <c r="A157" s="605"/>
      <c r="B157" s="552"/>
      <c r="C157" s="1822" t="s">
        <v>348</v>
      </c>
      <c r="D157" s="1822"/>
      <c r="E157" s="1822"/>
      <c r="F157" s="562" t="s">
        <v>315</v>
      </c>
      <c r="G157" s="562" t="s">
        <v>856</v>
      </c>
      <c r="H157" s="562" t="s">
        <v>313</v>
      </c>
      <c r="I157" s="562" t="s">
        <v>8619</v>
      </c>
      <c r="J157" s="604"/>
      <c r="K157" s="562"/>
      <c r="L157" s="604"/>
      <c r="M157" s="603"/>
      <c r="N157" s="602"/>
      <c r="AA157" s="537" t="s">
        <v>348</v>
      </c>
    </row>
    <row r="158" spans="1:34" s="536" customFormat="1" x14ac:dyDescent="0.2">
      <c r="A158" s="605"/>
      <c r="B158" s="552"/>
      <c r="C158" s="1828" t="s">
        <v>318</v>
      </c>
      <c r="D158" s="1828"/>
      <c r="E158" s="1828"/>
      <c r="F158" s="608"/>
      <c r="G158" s="608"/>
      <c r="H158" s="608"/>
      <c r="I158" s="608"/>
      <c r="J158" s="607">
        <v>35.24</v>
      </c>
      <c r="K158" s="608"/>
      <c r="L158" s="607">
        <v>19.95</v>
      </c>
      <c r="M158" s="601"/>
      <c r="N158" s="606"/>
      <c r="AB158" s="537" t="s">
        <v>318</v>
      </c>
    </row>
    <row r="159" spans="1:34" s="536" customFormat="1" x14ac:dyDescent="0.2">
      <c r="A159" s="605"/>
      <c r="B159" s="552"/>
      <c r="C159" s="1822" t="s">
        <v>319</v>
      </c>
      <c r="D159" s="1822"/>
      <c r="E159" s="1822"/>
      <c r="F159" s="562"/>
      <c r="G159" s="562"/>
      <c r="H159" s="562"/>
      <c r="I159" s="562"/>
      <c r="J159" s="604"/>
      <c r="K159" s="562"/>
      <c r="L159" s="604">
        <v>18.420000000000002</v>
      </c>
      <c r="M159" s="603"/>
      <c r="N159" s="602"/>
      <c r="AA159" s="537" t="s">
        <v>319</v>
      </c>
    </row>
    <row r="160" spans="1:34" s="536" customFormat="1" ht="33.75" x14ac:dyDescent="0.2">
      <c r="A160" s="605"/>
      <c r="B160" s="552" t="s">
        <v>2032</v>
      </c>
      <c r="C160" s="1822" t="s">
        <v>2033</v>
      </c>
      <c r="D160" s="1822"/>
      <c r="E160" s="1822"/>
      <c r="F160" s="562" t="s">
        <v>322</v>
      </c>
      <c r="G160" s="562" t="s">
        <v>2034</v>
      </c>
      <c r="H160" s="562"/>
      <c r="I160" s="562" t="s">
        <v>2034</v>
      </c>
      <c r="J160" s="604"/>
      <c r="K160" s="562"/>
      <c r="L160" s="604">
        <v>20.260000000000002</v>
      </c>
      <c r="M160" s="603"/>
      <c r="N160" s="602"/>
      <c r="AA160" s="537" t="s">
        <v>2033</v>
      </c>
    </row>
    <row r="161" spans="1:31" s="536" customFormat="1" ht="33.75" x14ac:dyDescent="0.2">
      <c r="A161" s="605"/>
      <c r="B161" s="552" t="s">
        <v>2035</v>
      </c>
      <c r="C161" s="1822" t="s">
        <v>2036</v>
      </c>
      <c r="D161" s="1822"/>
      <c r="E161" s="1822"/>
      <c r="F161" s="562" t="s">
        <v>322</v>
      </c>
      <c r="G161" s="562" t="s">
        <v>2037</v>
      </c>
      <c r="H161" s="562"/>
      <c r="I161" s="562" t="s">
        <v>2037</v>
      </c>
      <c r="J161" s="604"/>
      <c r="K161" s="562"/>
      <c r="L161" s="604">
        <v>12.71</v>
      </c>
      <c r="M161" s="603"/>
      <c r="N161" s="602"/>
      <c r="AA161" s="537" t="s">
        <v>2036</v>
      </c>
    </row>
    <row r="162" spans="1:31" s="536" customFormat="1" x14ac:dyDescent="0.2">
      <c r="A162" s="569"/>
      <c r="B162" s="671"/>
      <c r="C162" s="1823" t="s">
        <v>327</v>
      </c>
      <c r="D162" s="1823"/>
      <c r="E162" s="1823"/>
      <c r="F162" s="573"/>
      <c r="G162" s="573"/>
      <c r="H162" s="573"/>
      <c r="I162" s="573"/>
      <c r="J162" s="572"/>
      <c r="K162" s="573"/>
      <c r="L162" s="572">
        <v>52.92</v>
      </c>
      <c r="M162" s="601"/>
      <c r="N162" s="570"/>
      <c r="AC162" s="537" t="s">
        <v>327</v>
      </c>
    </row>
    <row r="163" spans="1:31" s="536" customFormat="1" ht="22.5" x14ac:dyDescent="0.2">
      <c r="A163" s="575" t="s">
        <v>197</v>
      </c>
      <c r="B163" s="670" t="s">
        <v>1427</v>
      </c>
      <c r="C163" s="1823" t="s">
        <v>1428</v>
      </c>
      <c r="D163" s="1823"/>
      <c r="E163" s="1823"/>
      <c r="F163" s="573" t="s">
        <v>699</v>
      </c>
      <c r="G163" s="573"/>
      <c r="H163" s="573"/>
      <c r="I163" s="573" t="s">
        <v>8620</v>
      </c>
      <c r="J163" s="572">
        <v>9.15</v>
      </c>
      <c r="K163" s="573"/>
      <c r="L163" s="572">
        <v>663.19</v>
      </c>
      <c r="M163" s="571"/>
      <c r="N163" s="570"/>
      <c r="W163" s="537" t="s">
        <v>1428</v>
      </c>
    </row>
    <row r="164" spans="1:31" s="536" customFormat="1" x14ac:dyDescent="0.2">
      <c r="A164" s="569"/>
      <c r="B164" s="671"/>
      <c r="C164" s="665" t="s">
        <v>717</v>
      </c>
      <c r="D164" s="666"/>
      <c r="E164" s="666"/>
      <c r="F164" s="563"/>
      <c r="G164" s="563"/>
      <c r="H164" s="563"/>
      <c r="I164" s="563"/>
      <c r="J164" s="566"/>
      <c r="K164" s="563"/>
      <c r="L164" s="566"/>
      <c r="M164" s="565"/>
      <c r="N164" s="564"/>
    </row>
    <row r="165" spans="1:31" s="536" customFormat="1" x14ac:dyDescent="0.2">
      <c r="A165" s="676"/>
      <c r="B165" s="664"/>
      <c r="C165" s="1822" t="s">
        <v>8621</v>
      </c>
      <c r="D165" s="1822"/>
      <c r="E165" s="1822"/>
      <c r="F165" s="1822"/>
      <c r="G165" s="1822"/>
      <c r="H165" s="1822"/>
      <c r="I165" s="1822"/>
      <c r="J165" s="1822"/>
      <c r="K165" s="1822"/>
      <c r="L165" s="1822"/>
      <c r="M165" s="1822"/>
      <c r="N165" s="1827"/>
      <c r="X165" s="537" t="s">
        <v>8621</v>
      </c>
    </row>
    <row r="166" spans="1:31" s="536" customFormat="1" ht="1.5" customHeight="1" x14ac:dyDescent="0.2">
      <c r="A166" s="563"/>
      <c r="B166" s="671"/>
      <c r="C166" s="671"/>
      <c r="D166" s="671"/>
      <c r="E166" s="671"/>
      <c r="F166" s="563"/>
      <c r="G166" s="563"/>
      <c r="H166" s="563"/>
      <c r="I166" s="563"/>
      <c r="J166" s="546"/>
      <c r="K166" s="563"/>
      <c r="L166" s="546"/>
      <c r="M166" s="562"/>
      <c r="N166" s="546"/>
    </row>
    <row r="167" spans="1:31" s="536" customFormat="1" x14ac:dyDescent="0.2">
      <c r="A167" s="557"/>
      <c r="B167" s="556"/>
      <c r="C167" s="1823" t="s">
        <v>3761</v>
      </c>
      <c r="D167" s="1823"/>
      <c r="E167" s="1823"/>
      <c r="F167" s="1823"/>
      <c r="G167" s="1823"/>
      <c r="H167" s="1823"/>
      <c r="I167" s="1823"/>
      <c r="J167" s="1823"/>
      <c r="K167" s="1823"/>
      <c r="L167" s="555"/>
      <c r="M167" s="554"/>
      <c r="N167" s="553"/>
      <c r="AD167" s="537" t="s">
        <v>3761</v>
      </c>
    </row>
    <row r="168" spans="1:31" s="536" customFormat="1" x14ac:dyDescent="0.2">
      <c r="A168" s="548"/>
      <c r="B168" s="552"/>
      <c r="C168" s="1822" t="s">
        <v>403</v>
      </c>
      <c r="D168" s="1822"/>
      <c r="E168" s="1822"/>
      <c r="F168" s="1822"/>
      <c r="G168" s="1822"/>
      <c r="H168" s="1822"/>
      <c r="I168" s="1822"/>
      <c r="J168" s="1822"/>
      <c r="K168" s="1822"/>
      <c r="L168" s="551">
        <v>13664.02</v>
      </c>
      <c r="M168" s="550"/>
      <c r="N168" s="549"/>
      <c r="AE168" s="537" t="s">
        <v>403</v>
      </c>
    </row>
    <row r="169" spans="1:31" s="536" customFormat="1" x14ac:dyDescent="0.2">
      <c r="A169" s="548"/>
      <c r="B169" s="552"/>
      <c r="C169" s="1822" t="s">
        <v>204</v>
      </c>
      <c r="D169" s="1822"/>
      <c r="E169" s="1822"/>
      <c r="F169" s="1822"/>
      <c r="G169" s="1822"/>
      <c r="H169" s="1822"/>
      <c r="I169" s="1822"/>
      <c r="J169" s="1822"/>
      <c r="K169" s="1822"/>
      <c r="L169" s="551"/>
      <c r="M169" s="550"/>
      <c r="N169" s="549"/>
      <c r="AE169" s="537" t="s">
        <v>204</v>
      </c>
    </row>
    <row r="170" spans="1:31" s="536" customFormat="1" x14ac:dyDescent="0.2">
      <c r="A170" s="548"/>
      <c r="B170" s="552"/>
      <c r="C170" s="1822" t="s">
        <v>404</v>
      </c>
      <c r="D170" s="1822"/>
      <c r="E170" s="1822"/>
      <c r="F170" s="1822"/>
      <c r="G170" s="1822"/>
      <c r="H170" s="1822"/>
      <c r="I170" s="1822"/>
      <c r="J170" s="1822"/>
      <c r="K170" s="1822"/>
      <c r="L170" s="551">
        <v>217.11</v>
      </c>
      <c r="M170" s="550"/>
      <c r="N170" s="549"/>
      <c r="AE170" s="537" t="s">
        <v>404</v>
      </c>
    </row>
    <row r="171" spans="1:31" s="536" customFormat="1" x14ac:dyDescent="0.2">
      <c r="A171" s="548"/>
      <c r="B171" s="552"/>
      <c r="C171" s="1822" t="s">
        <v>405</v>
      </c>
      <c r="D171" s="1822"/>
      <c r="E171" s="1822"/>
      <c r="F171" s="1822"/>
      <c r="G171" s="1822"/>
      <c r="H171" s="1822"/>
      <c r="I171" s="1822"/>
      <c r="J171" s="1822"/>
      <c r="K171" s="1822"/>
      <c r="L171" s="551">
        <v>321.39</v>
      </c>
      <c r="M171" s="550"/>
      <c r="N171" s="549"/>
      <c r="AE171" s="537" t="s">
        <v>405</v>
      </c>
    </row>
    <row r="172" spans="1:31" s="536" customFormat="1" x14ac:dyDescent="0.2">
      <c r="A172" s="548"/>
      <c r="B172" s="552"/>
      <c r="C172" s="1822" t="s">
        <v>406</v>
      </c>
      <c r="D172" s="1822"/>
      <c r="E172" s="1822"/>
      <c r="F172" s="1822"/>
      <c r="G172" s="1822"/>
      <c r="H172" s="1822"/>
      <c r="I172" s="1822"/>
      <c r="J172" s="1822"/>
      <c r="K172" s="1822"/>
      <c r="L172" s="551">
        <v>49.15</v>
      </c>
      <c r="M172" s="550"/>
      <c r="N172" s="549"/>
      <c r="AE172" s="537" t="s">
        <v>406</v>
      </c>
    </row>
    <row r="173" spans="1:31" s="536" customFormat="1" x14ac:dyDescent="0.2">
      <c r="A173" s="548"/>
      <c r="B173" s="552"/>
      <c r="C173" s="1822" t="s">
        <v>480</v>
      </c>
      <c r="D173" s="1822"/>
      <c r="E173" s="1822"/>
      <c r="F173" s="1822"/>
      <c r="G173" s="1822"/>
      <c r="H173" s="1822"/>
      <c r="I173" s="1822"/>
      <c r="J173" s="1822"/>
      <c r="K173" s="1822"/>
      <c r="L173" s="551">
        <v>13125.52</v>
      </c>
      <c r="M173" s="550"/>
      <c r="N173" s="549"/>
      <c r="AE173" s="537" t="s">
        <v>480</v>
      </c>
    </row>
    <row r="174" spans="1:31" s="536" customFormat="1" x14ac:dyDescent="0.2">
      <c r="A174" s="548"/>
      <c r="B174" s="552" t="s">
        <v>185</v>
      </c>
      <c r="C174" s="1822" t="s">
        <v>407</v>
      </c>
      <c r="D174" s="1822"/>
      <c r="E174" s="1822"/>
      <c r="F174" s="1822"/>
      <c r="G174" s="1822"/>
      <c r="H174" s="1822"/>
      <c r="I174" s="1822"/>
      <c r="J174" s="1822"/>
      <c r="K174" s="1822"/>
      <c r="L174" s="551">
        <v>14093.53</v>
      </c>
      <c r="M174" s="550"/>
      <c r="N174" s="549"/>
      <c r="AE174" s="537" t="s">
        <v>407</v>
      </c>
    </row>
    <row r="175" spans="1:31" s="536" customFormat="1" x14ac:dyDescent="0.2">
      <c r="A175" s="548"/>
      <c r="B175" s="552"/>
      <c r="C175" s="1822" t="s">
        <v>204</v>
      </c>
      <c r="D175" s="1822"/>
      <c r="E175" s="1822"/>
      <c r="F175" s="1822"/>
      <c r="G175" s="1822"/>
      <c r="H175" s="1822"/>
      <c r="I175" s="1822"/>
      <c r="J175" s="1822"/>
      <c r="K175" s="1822"/>
      <c r="L175" s="551"/>
      <c r="M175" s="550"/>
      <c r="N175" s="549"/>
      <c r="AE175" s="537" t="s">
        <v>204</v>
      </c>
    </row>
    <row r="176" spans="1:31" s="536" customFormat="1" x14ac:dyDescent="0.2">
      <c r="A176" s="548"/>
      <c r="B176" s="552"/>
      <c r="C176" s="1822" t="s">
        <v>546</v>
      </c>
      <c r="D176" s="1822"/>
      <c r="E176" s="1822"/>
      <c r="F176" s="1822"/>
      <c r="G176" s="1822"/>
      <c r="H176" s="1822"/>
      <c r="I176" s="1822"/>
      <c r="J176" s="1822"/>
      <c r="K176" s="1822"/>
      <c r="L176" s="551">
        <v>217.11</v>
      </c>
      <c r="M176" s="550"/>
      <c r="N176" s="549"/>
      <c r="AE176" s="537" t="s">
        <v>546</v>
      </c>
    </row>
    <row r="177" spans="1:32" s="536" customFormat="1" x14ac:dyDescent="0.2">
      <c r="A177" s="548"/>
      <c r="B177" s="552"/>
      <c r="C177" s="1822" t="s">
        <v>442</v>
      </c>
      <c r="D177" s="1822"/>
      <c r="E177" s="1822"/>
      <c r="F177" s="1822"/>
      <c r="G177" s="1822"/>
      <c r="H177" s="1822"/>
      <c r="I177" s="1822"/>
      <c r="J177" s="1822"/>
      <c r="K177" s="1822"/>
      <c r="L177" s="551">
        <v>321.39</v>
      </c>
      <c r="M177" s="550"/>
      <c r="N177" s="549"/>
      <c r="AE177" s="537" t="s">
        <v>442</v>
      </c>
    </row>
    <row r="178" spans="1:32" s="536" customFormat="1" x14ac:dyDescent="0.2">
      <c r="A178" s="548"/>
      <c r="B178" s="552"/>
      <c r="C178" s="1822" t="s">
        <v>547</v>
      </c>
      <c r="D178" s="1822"/>
      <c r="E178" s="1822"/>
      <c r="F178" s="1822"/>
      <c r="G178" s="1822"/>
      <c r="H178" s="1822"/>
      <c r="I178" s="1822"/>
      <c r="J178" s="1822"/>
      <c r="K178" s="1822"/>
      <c r="L178" s="551">
        <v>13125.52</v>
      </c>
      <c r="M178" s="550"/>
      <c r="N178" s="549"/>
      <c r="AE178" s="537" t="s">
        <v>547</v>
      </c>
    </row>
    <row r="179" spans="1:32" s="536" customFormat="1" x14ac:dyDescent="0.2">
      <c r="A179" s="548"/>
      <c r="B179" s="552"/>
      <c r="C179" s="1822" t="s">
        <v>443</v>
      </c>
      <c r="D179" s="1822"/>
      <c r="E179" s="1822"/>
      <c r="F179" s="1822"/>
      <c r="G179" s="1822"/>
      <c r="H179" s="1822"/>
      <c r="I179" s="1822"/>
      <c r="J179" s="1822"/>
      <c r="K179" s="1822"/>
      <c r="L179" s="551">
        <v>273.06</v>
      </c>
      <c r="M179" s="550"/>
      <c r="N179" s="549"/>
      <c r="AE179" s="537" t="s">
        <v>443</v>
      </c>
    </row>
    <row r="180" spans="1:32" s="536" customFormat="1" x14ac:dyDescent="0.2">
      <c r="A180" s="548"/>
      <c r="B180" s="552"/>
      <c r="C180" s="1822" t="s">
        <v>444</v>
      </c>
      <c r="D180" s="1822"/>
      <c r="E180" s="1822"/>
      <c r="F180" s="1822"/>
      <c r="G180" s="1822"/>
      <c r="H180" s="1822"/>
      <c r="I180" s="1822"/>
      <c r="J180" s="1822"/>
      <c r="K180" s="1822"/>
      <c r="L180" s="551">
        <v>156.44999999999999</v>
      </c>
      <c r="M180" s="550"/>
      <c r="N180" s="549"/>
      <c r="AE180" s="537" t="s">
        <v>444</v>
      </c>
    </row>
    <row r="181" spans="1:32" s="536" customFormat="1" x14ac:dyDescent="0.2">
      <c r="A181" s="548"/>
      <c r="B181" s="552"/>
      <c r="C181" s="1822" t="s">
        <v>415</v>
      </c>
      <c r="D181" s="1822"/>
      <c r="E181" s="1822"/>
      <c r="F181" s="1822"/>
      <c r="G181" s="1822"/>
      <c r="H181" s="1822"/>
      <c r="I181" s="1822"/>
      <c r="J181" s="1822"/>
      <c r="K181" s="1822"/>
      <c r="L181" s="551">
        <v>266.26</v>
      </c>
      <c r="M181" s="550"/>
      <c r="N181" s="549"/>
      <c r="AE181" s="537" t="s">
        <v>415</v>
      </c>
    </row>
    <row r="182" spans="1:32" s="536" customFormat="1" x14ac:dyDescent="0.2">
      <c r="A182" s="548"/>
      <c r="B182" s="552"/>
      <c r="C182" s="1822" t="s">
        <v>416</v>
      </c>
      <c r="D182" s="1822"/>
      <c r="E182" s="1822"/>
      <c r="F182" s="1822"/>
      <c r="G182" s="1822"/>
      <c r="H182" s="1822"/>
      <c r="I182" s="1822"/>
      <c r="J182" s="1822"/>
      <c r="K182" s="1822"/>
      <c r="L182" s="551">
        <v>273.06</v>
      </c>
      <c r="M182" s="550"/>
      <c r="N182" s="549"/>
      <c r="AE182" s="537" t="s">
        <v>416</v>
      </c>
    </row>
    <row r="183" spans="1:32" s="536" customFormat="1" x14ac:dyDescent="0.2">
      <c r="A183" s="548"/>
      <c r="B183" s="552"/>
      <c r="C183" s="1822" t="s">
        <v>417</v>
      </c>
      <c r="D183" s="1822"/>
      <c r="E183" s="1822"/>
      <c r="F183" s="1822"/>
      <c r="G183" s="1822"/>
      <c r="H183" s="1822"/>
      <c r="I183" s="1822"/>
      <c r="J183" s="1822"/>
      <c r="K183" s="1822"/>
      <c r="L183" s="551">
        <v>156.44999999999999</v>
      </c>
      <c r="M183" s="550"/>
      <c r="N183" s="549"/>
      <c r="AE183" s="537" t="s">
        <v>417</v>
      </c>
    </row>
    <row r="184" spans="1:32" s="536" customFormat="1" x14ac:dyDescent="0.2">
      <c r="A184" s="548"/>
      <c r="B184" s="546"/>
      <c r="C184" s="1819" t="s">
        <v>3762</v>
      </c>
      <c r="D184" s="1819"/>
      <c r="E184" s="1819"/>
      <c r="F184" s="1819"/>
      <c r="G184" s="1819"/>
      <c r="H184" s="1819"/>
      <c r="I184" s="1819"/>
      <c r="J184" s="1819"/>
      <c r="K184" s="1819"/>
      <c r="L184" s="544">
        <v>14093.53</v>
      </c>
      <c r="M184" s="543"/>
      <c r="N184" s="681"/>
      <c r="AF184" s="537" t="s">
        <v>3762</v>
      </c>
    </row>
    <row r="185" spans="1:32" s="536" customFormat="1" ht="12" x14ac:dyDescent="0.2">
      <c r="A185" s="1824" t="s">
        <v>1124</v>
      </c>
      <c r="B185" s="1825"/>
      <c r="C185" s="1825"/>
      <c r="D185" s="1825"/>
      <c r="E185" s="1825"/>
      <c r="F185" s="1825"/>
      <c r="G185" s="1825"/>
      <c r="H185" s="1825"/>
      <c r="I185" s="1825"/>
      <c r="J185" s="1825"/>
      <c r="K185" s="1825"/>
      <c r="L185" s="1825"/>
      <c r="M185" s="1825"/>
      <c r="N185" s="1826"/>
      <c r="V185" s="537" t="s">
        <v>1124</v>
      </c>
    </row>
    <row r="186" spans="1:32" s="536" customFormat="1" ht="67.5" x14ac:dyDescent="0.2">
      <c r="A186" s="575" t="s">
        <v>198</v>
      </c>
      <c r="B186" s="670" t="s">
        <v>1497</v>
      </c>
      <c r="C186" s="1823" t="s">
        <v>3763</v>
      </c>
      <c r="D186" s="1823"/>
      <c r="E186" s="1823"/>
      <c r="F186" s="573" t="s">
        <v>201</v>
      </c>
      <c r="G186" s="573"/>
      <c r="H186" s="573"/>
      <c r="I186" s="573" t="s">
        <v>3409</v>
      </c>
      <c r="J186" s="572">
        <v>76.88</v>
      </c>
      <c r="K186" s="573"/>
      <c r="L186" s="572">
        <v>60.2</v>
      </c>
      <c r="M186" s="571"/>
      <c r="N186" s="570"/>
      <c r="W186" s="537" t="s">
        <v>3763</v>
      </c>
    </row>
    <row r="187" spans="1:32" s="536" customFormat="1" x14ac:dyDescent="0.2">
      <c r="A187" s="569"/>
      <c r="B187" s="671"/>
      <c r="C187" s="665" t="s">
        <v>717</v>
      </c>
      <c r="D187" s="666"/>
      <c r="E187" s="666"/>
      <c r="F187" s="563"/>
      <c r="G187" s="563"/>
      <c r="H187" s="563"/>
      <c r="I187" s="563"/>
      <c r="J187" s="566"/>
      <c r="K187" s="563"/>
      <c r="L187" s="566"/>
      <c r="M187" s="565"/>
      <c r="N187" s="564"/>
    </row>
    <row r="188" spans="1:32" s="536" customFormat="1" ht="67.5" x14ac:dyDescent="0.2">
      <c r="A188" s="575" t="s">
        <v>199</v>
      </c>
      <c r="B188" s="670" t="s">
        <v>1616</v>
      </c>
      <c r="C188" s="1823" t="s">
        <v>3765</v>
      </c>
      <c r="D188" s="1823"/>
      <c r="E188" s="1823"/>
      <c r="F188" s="573" t="s">
        <v>201</v>
      </c>
      <c r="G188" s="573"/>
      <c r="H188" s="573"/>
      <c r="I188" s="573" t="s">
        <v>8622</v>
      </c>
      <c r="J188" s="572">
        <v>90.45</v>
      </c>
      <c r="K188" s="573"/>
      <c r="L188" s="572">
        <v>6.6</v>
      </c>
      <c r="M188" s="571"/>
      <c r="N188" s="570"/>
      <c r="W188" s="537" t="s">
        <v>3765</v>
      </c>
    </row>
    <row r="189" spans="1:32" s="536" customFormat="1" x14ac:dyDescent="0.2">
      <c r="A189" s="569"/>
      <c r="B189" s="671"/>
      <c r="C189" s="665" t="s">
        <v>717</v>
      </c>
      <c r="D189" s="666"/>
      <c r="E189" s="666"/>
      <c r="F189" s="563"/>
      <c r="G189" s="563"/>
      <c r="H189" s="563"/>
      <c r="I189" s="563"/>
      <c r="J189" s="566"/>
      <c r="K189" s="563"/>
      <c r="L189" s="566"/>
      <c r="M189" s="565"/>
      <c r="N189" s="564"/>
    </row>
    <row r="190" spans="1:32" s="536" customFormat="1" ht="1.5" customHeight="1" x14ac:dyDescent="0.2">
      <c r="A190" s="563"/>
      <c r="B190" s="671"/>
      <c r="C190" s="671"/>
      <c r="D190" s="671"/>
      <c r="E190" s="671"/>
      <c r="F190" s="563"/>
      <c r="G190" s="563"/>
      <c r="H190" s="563"/>
      <c r="I190" s="563"/>
      <c r="J190" s="546"/>
      <c r="K190" s="563"/>
      <c r="L190" s="546"/>
      <c r="M190" s="562"/>
      <c r="N190" s="546"/>
    </row>
    <row r="191" spans="1:32" s="536" customFormat="1" ht="22.5" x14ac:dyDescent="0.2">
      <c r="A191" s="557"/>
      <c r="B191" s="556"/>
      <c r="C191" s="1823" t="s">
        <v>1138</v>
      </c>
      <c r="D191" s="1823"/>
      <c r="E191" s="1823"/>
      <c r="F191" s="1823"/>
      <c r="G191" s="1823"/>
      <c r="H191" s="1823"/>
      <c r="I191" s="1823"/>
      <c r="J191" s="1823"/>
      <c r="K191" s="1823"/>
      <c r="L191" s="555"/>
      <c r="M191" s="554"/>
      <c r="N191" s="553"/>
      <c r="AD191" s="537" t="s">
        <v>1138</v>
      </c>
    </row>
    <row r="192" spans="1:32" s="536" customFormat="1" x14ac:dyDescent="0.2">
      <c r="A192" s="548"/>
      <c r="B192" s="552"/>
      <c r="C192" s="1822" t="s">
        <v>403</v>
      </c>
      <c r="D192" s="1822"/>
      <c r="E192" s="1822"/>
      <c r="F192" s="1822"/>
      <c r="G192" s="1822"/>
      <c r="H192" s="1822"/>
      <c r="I192" s="1822"/>
      <c r="J192" s="1822"/>
      <c r="K192" s="1822"/>
      <c r="L192" s="551">
        <v>66.8</v>
      </c>
      <c r="M192" s="550"/>
      <c r="N192" s="549"/>
      <c r="AE192" s="537" t="s">
        <v>403</v>
      </c>
    </row>
    <row r="193" spans="1:36" s="536" customFormat="1" x14ac:dyDescent="0.2">
      <c r="A193" s="548"/>
      <c r="B193" s="552"/>
      <c r="C193" s="1822" t="s">
        <v>204</v>
      </c>
      <c r="D193" s="1822"/>
      <c r="E193" s="1822"/>
      <c r="F193" s="1822"/>
      <c r="G193" s="1822"/>
      <c r="H193" s="1822"/>
      <c r="I193" s="1822"/>
      <c r="J193" s="1822"/>
      <c r="K193" s="1822"/>
      <c r="L193" s="551"/>
      <c r="M193" s="550"/>
      <c r="N193" s="549"/>
      <c r="AE193" s="537" t="s">
        <v>204</v>
      </c>
    </row>
    <row r="194" spans="1:36" s="536" customFormat="1" x14ac:dyDescent="0.2">
      <c r="A194" s="548"/>
      <c r="B194" s="552"/>
      <c r="C194" s="1822" t="s">
        <v>480</v>
      </c>
      <c r="D194" s="1822"/>
      <c r="E194" s="1822"/>
      <c r="F194" s="1822"/>
      <c r="G194" s="1822"/>
      <c r="H194" s="1822"/>
      <c r="I194" s="1822"/>
      <c r="J194" s="1822"/>
      <c r="K194" s="1822"/>
      <c r="L194" s="551">
        <v>66.8</v>
      </c>
      <c r="M194" s="550"/>
      <c r="N194" s="549"/>
      <c r="AE194" s="537" t="s">
        <v>480</v>
      </c>
    </row>
    <row r="195" spans="1:36" s="536" customFormat="1" x14ac:dyDescent="0.2">
      <c r="A195" s="548"/>
      <c r="B195" s="552" t="s">
        <v>185</v>
      </c>
      <c r="C195" s="1822" t="s">
        <v>407</v>
      </c>
      <c r="D195" s="1822"/>
      <c r="E195" s="1822"/>
      <c r="F195" s="1822"/>
      <c r="G195" s="1822"/>
      <c r="H195" s="1822"/>
      <c r="I195" s="1822"/>
      <c r="J195" s="1822"/>
      <c r="K195" s="1822"/>
      <c r="L195" s="551">
        <v>66.8</v>
      </c>
      <c r="M195" s="550"/>
      <c r="N195" s="549"/>
      <c r="AE195" s="537" t="s">
        <v>407</v>
      </c>
    </row>
    <row r="196" spans="1:36" s="536" customFormat="1" x14ac:dyDescent="0.2">
      <c r="A196" s="548"/>
      <c r="B196" s="552"/>
      <c r="C196" s="1822" t="s">
        <v>204</v>
      </c>
      <c r="D196" s="1822"/>
      <c r="E196" s="1822"/>
      <c r="F196" s="1822"/>
      <c r="G196" s="1822"/>
      <c r="H196" s="1822"/>
      <c r="I196" s="1822"/>
      <c r="J196" s="1822"/>
      <c r="K196" s="1822"/>
      <c r="L196" s="551"/>
      <c r="M196" s="550"/>
      <c r="N196" s="549"/>
      <c r="AE196" s="537" t="s">
        <v>204</v>
      </c>
    </row>
    <row r="197" spans="1:36" s="536" customFormat="1" x14ac:dyDescent="0.2">
      <c r="A197" s="548"/>
      <c r="B197" s="552"/>
      <c r="C197" s="1822" t="s">
        <v>547</v>
      </c>
      <c r="D197" s="1822"/>
      <c r="E197" s="1822"/>
      <c r="F197" s="1822"/>
      <c r="G197" s="1822"/>
      <c r="H197" s="1822"/>
      <c r="I197" s="1822"/>
      <c r="J197" s="1822"/>
      <c r="K197" s="1822"/>
      <c r="L197" s="551">
        <v>66.8</v>
      </c>
      <c r="M197" s="550"/>
      <c r="N197" s="549"/>
      <c r="AE197" s="537" t="s">
        <v>547</v>
      </c>
    </row>
    <row r="198" spans="1:36" s="536" customFormat="1" ht="22.5" x14ac:dyDescent="0.2">
      <c r="A198" s="548"/>
      <c r="B198" s="546"/>
      <c r="C198" s="1819" t="s">
        <v>1139</v>
      </c>
      <c r="D198" s="1819"/>
      <c r="E198" s="1819"/>
      <c r="F198" s="1819"/>
      <c r="G198" s="1819"/>
      <c r="H198" s="1819"/>
      <c r="I198" s="1819"/>
      <c r="J198" s="1819"/>
      <c r="K198" s="1819"/>
      <c r="L198" s="544">
        <v>66.8</v>
      </c>
      <c r="M198" s="543"/>
      <c r="N198" s="681"/>
      <c r="AF198" s="537" t="s">
        <v>1139</v>
      </c>
    </row>
    <row r="199" spans="1:36" s="536" customFormat="1" ht="2.25" customHeight="1" x14ac:dyDescent="0.2">
      <c r="B199" s="561"/>
      <c r="C199" s="561"/>
      <c r="D199" s="561"/>
      <c r="E199" s="561"/>
      <c r="F199" s="561"/>
      <c r="G199" s="561"/>
      <c r="H199" s="561"/>
      <c r="I199" s="561"/>
      <c r="J199" s="561"/>
      <c r="K199" s="561"/>
      <c r="L199" s="560"/>
      <c r="M199" s="559"/>
      <c r="N199" s="558"/>
    </row>
    <row r="200" spans="1:36" s="536" customFormat="1" x14ac:dyDescent="0.2">
      <c r="A200" s="557"/>
      <c r="B200" s="556"/>
      <c r="C200" s="1823" t="s">
        <v>205</v>
      </c>
      <c r="D200" s="1823"/>
      <c r="E200" s="1823"/>
      <c r="F200" s="1823"/>
      <c r="G200" s="1823"/>
      <c r="H200" s="1823"/>
      <c r="I200" s="1823"/>
      <c r="J200" s="1823"/>
      <c r="K200" s="1823"/>
      <c r="L200" s="555"/>
      <c r="M200" s="554"/>
      <c r="N200" s="553"/>
      <c r="AI200" s="537" t="s">
        <v>205</v>
      </c>
    </row>
    <row r="201" spans="1:36" s="536" customFormat="1" x14ac:dyDescent="0.2">
      <c r="A201" s="548"/>
      <c r="B201" s="552"/>
      <c r="C201" s="1822" t="s">
        <v>403</v>
      </c>
      <c r="D201" s="1822"/>
      <c r="E201" s="1822"/>
      <c r="F201" s="1822"/>
      <c r="G201" s="1822"/>
      <c r="H201" s="1822"/>
      <c r="I201" s="1822"/>
      <c r="J201" s="1822"/>
      <c r="K201" s="1822"/>
      <c r="L201" s="551">
        <v>13865.62</v>
      </c>
      <c r="M201" s="550"/>
      <c r="N201" s="549"/>
      <c r="AJ201" s="537" t="s">
        <v>403</v>
      </c>
    </row>
    <row r="202" spans="1:36" s="536" customFormat="1" x14ac:dyDescent="0.2">
      <c r="A202" s="548"/>
      <c r="B202" s="552"/>
      <c r="C202" s="1822" t="s">
        <v>204</v>
      </c>
      <c r="D202" s="1822"/>
      <c r="E202" s="1822"/>
      <c r="F202" s="1822"/>
      <c r="G202" s="1822"/>
      <c r="H202" s="1822"/>
      <c r="I202" s="1822"/>
      <c r="J202" s="1822"/>
      <c r="K202" s="1822"/>
      <c r="L202" s="551"/>
      <c r="M202" s="550"/>
      <c r="N202" s="549"/>
      <c r="AJ202" s="537" t="s">
        <v>204</v>
      </c>
    </row>
    <row r="203" spans="1:36" s="536" customFormat="1" x14ac:dyDescent="0.2">
      <c r="A203" s="548"/>
      <c r="B203" s="552"/>
      <c r="C203" s="1822" t="s">
        <v>404</v>
      </c>
      <c r="D203" s="1822"/>
      <c r="E203" s="1822"/>
      <c r="F203" s="1822"/>
      <c r="G203" s="1822"/>
      <c r="H203" s="1822"/>
      <c r="I203" s="1822"/>
      <c r="J203" s="1822"/>
      <c r="K203" s="1822"/>
      <c r="L203" s="551">
        <v>217.64</v>
      </c>
      <c r="M203" s="550"/>
      <c r="N203" s="549"/>
      <c r="AJ203" s="537" t="s">
        <v>404</v>
      </c>
    </row>
    <row r="204" spans="1:36" s="536" customFormat="1" x14ac:dyDescent="0.2">
      <c r="A204" s="548"/>
      <c r="B204" s="552"/>
      <c r="C204" s="1822" t="s">
        <v>405</v>
      </c>
      <c r="D204" s="1822"/>
      <c r="E204" s="1822"/>
      <c r="F204" s="1822"/>
      <c r="G204" s="1822"/>
      <c r="H204" s="1822"/>
      <c r="I204" s="1822"/>
      <c r="J204" s="1822"/>
      <c r="K204" s="1822"/>
      <c r="L204" s="551">
        <v>455.66</v>
      </c>
      <c r="M204" s="550"/>
      <c r="N204" s="549"/>
      <c r="AJ204" s="537" t="s">
        <v>405</v>
      </c>
    </row>
    <row r="205" spans="1:36" s="536" customFormat="1" x14ac:dyDescent="0.2">
      <c r="A205" s="548"/>
      <c r="B205" s="552"/>
      <c r="C205" s="1822" t="s">
        <v>406</v>
      </c>
      <c r="D205" s="1822"/>
      <c r="E205" s="1822"/>
      <c r="F205" s="1822"/>
      <c r="G205" s="1822"/>
      <c r="H205" s="1822"/>
      <c r="I205" s="1822"/>
      <c r="J205" s="1822"/>
      <c r="K205" s="1822"/>
      <c r="L205" s="551">
        <v>58.6</v>
      </c>
      <c r="M205" s="550"/>
      <c r="N205" s="549"/>
      <c r="AJ205" s="537" t="s">
        <v>406</v>
      </c>
    </row>
    <row r="206" spans="1:36" s="536" customFormat="1" x14ac:dyDescent="0.2">
      <c r="A206" s="548"/>
      <c r="B206" s="552"/>
      <c r="C206" s="1822" t="s">
        <v>480</v>
      </c>
      <c r="D206" s="1822"/>
      <c r="E206" s="1822"/>
      <c r="F206" s="1822"/>
      <c r="G206" s="1822"/>
      <c r="H206" s="1822"/>
      <c r="I206" s="1822"/>
      <c r="J206" s="1822"/>
      <c r="K206" s="1822"/>
      <c r="L206" s="551">
        <v>13192.32</v>
      </c>
      <c r="M206" s="550"/>
      <c r="N206" s="549"/>
      <c r="AJ206" s="537" t="s">
        <v>480</v>
      </c>
    </row>
    <row r="207" spans="1:36" s="536" customFormat="1" x14ac:dyDescent="0.2">
      <c r="A207" s="548"/>
      <c r="B207" s="552"/>
      <c r="C207" s="1822" t="s">
        <v>407</v>
      </c>
      <c r="D207" s="1822"/>
      <c r="E207" s="1822"/>
      <c r="F207" s="1822"/>
      <c r="G207" s="1822"/>
      <c r="H207" s="1822"/>
      <c r="I207" s="1822"/>
      <c r="J207" s="1822"/>
      <c r="K207" s="1822"/>
      <c r="L207" s="551">
        <v>14308.9</v>
      </c>
      <c r="M207" s="550"/>
      <c r="N207" s="549">
        <v>80130</v>
      </c>
      <c r="AJ207" s="537" t="s">
        <v>407</v>
      </c>
    </row>
    <row r="208" spans="1:36" s="536" customFormat="1" x14ac:dyDescent="0.2">
      <c r="A208" s="548"/>
      <c r="B208" s="552" t="s">
        <v>185</v>
      </c>
      <c r="C208" s="1822" t="s">
        <v>408</v>
      </c>
      <c r="D208" s="1822"/>
      <c r="E208" s="1822"/>
      <c r="F208" s="1822"/>
      <c r="G208" s="1822"/>
      <c r="H208" s="1822"/>
      <c r="I208" s="1822"/>
      <c r="J208" s="1822"/>
      <c r="K208" s="1822"/>
      <c r="L208" s="551">
        <v>14255.36</v>
      </c>
      <c r="M208" s="550">
        <v>5.6</v>
      </c>
      <c r="N208" s="549">
        <v>79830</v>
      </c>
      <c r="AJ208" s="537" t="s">
        <v>408</v>
      </c>
    </row>
    <row r="209" spans="1:38" x14ac:dyDescent="0.2">
      <c r="A209" s="548"/>
      <c r="B209" s="552"/>
      <c r="C209" s="1822" t="s">
        <v>409</v>
      </c>
      <c r="D209" s="1822"/>
      <c r="E209" s="1822"/>
      <c r="F209" s="1822"/>
      <c r="G209" s="1822"/>
      <c r="H209" s="1822"/>
      <c r="I209" s="1822"/>
      <c r="J209" s="1822"/>
      <c r="K209" s="1822"/>
      <c r="L209" s="551"/>
      <c r="M209" s="550"/>
      <c r="N209" s="549"/>
      <c r="P209" s="536"/>
      <c r="Q209" s="536"/>
      <c r="R209" s="536"/>
      <c r="S209" s="536"/>
      <c r="T209" s="536"/>
      <c r="U209" s="536"/>
      <c r="V209" s="536"/>
      <c r="W209" s="536"/>
      <c r="X209" s="536"/>
      <c r="Y209" s="536"/>
      <c r="Z209" s="536"/>
      <c r="AA209" s="536"/>
      <c r="AB209" s="536"/>
      <c r="AC209" s="536"/>
      <c r="AD209" s="536"/>
      <c r="AE209" s="536"/>
      <c r="AF209" s="536"/>
      <c r="AG209" s="536"/>
      <c r="AH209" s="536"/>
      <c r="AI209" s="536"/>
      <c r="AJ209" s="537" t="s">
        <v>409</v>
      </c>
      <c r="AK209" s="536"/>
      <c r="AL209" s="536"/>
    </row>
    <row r="210" spans="1:38" x14ac:dyDescent="0.2">
      <c r="A210" s="548"/>
      <c r="B210" s="552"/>
      <c r="C210" s="1822" t="s">
        <v>410</v>
      </c>
      <c r="D210" s="1822"/>
      <c r="E210" s="1822"/>
      <c r="F210" s="1822"/>
      <c r="G210" s="1822"/>
      <c r="H210" s="1822"/>
      <c r="I210" s="1822"/>
      <c r="J210" s="1822"/>
      <c r="K210" s="1822"/>
      <c r="L210" s="551">
        <v>217.64</v>
      </c>
      <c r="M210" s="550"/>
      <c r="N210" s="549"/>
      <c r="P210" s="536"/>
      <c r="Q210" s="536"/>
      <c r="R210" s="536"/>
      <c r="S210" s="536"/>
      <c r="T210" s="536"/>
      <c r="U210" s="536"/>
      <c r="V210" s="536"/>
      <c r="W210" s="536"/>
      <c r="X210" s="536"/>
      <c r="Y210" s="536"/>
      <c r="Z210" s="536"/>
      <c r="AA210" s="536"/>
      <c r="AB210" s="536"/>
      <c r="AC210" s="536"/>
      <c r="AD210" s="536"/>
      <c r="AE210" s="536"/>
      <c r="AF210" s="536"/>
      <c r="AG210" s="536"/>
      <c r="AH210" s="536"/>
      <c r="AI210" s="536"/>
      <c r="AJ210" s="537" t="s">
        <v>410</v>
      </c>
      <c r="AK210" s="536"/>
      <c r="AL210" s="536"/>
    </row>
    <row r="211" spans="1:38" x14ac:dyDescent="0.2">
      <c r="A211" s="548"/>
      <c r="B211" s="552"/>
      <c r="C211" s="1822" t="s">
        <v>411</v>
      </c>
      <c r="D211" s="1822"/>
      <c r="E211" s="1822"/>
      <c r="F211" s="1822"/>
      <c r="G211" s="1822"/>
      <c r="H211" s="1822"/>
      <c r="I211" s="1822"/>
      <c r="J211" s="1822"/>
      <c r="K211" s="1822"/>
      <c r="L211" s="551">
        <v>402.12</v>
      </c>
      <c r="M211" s="550"/>
      <c r="N211" s="549"/>
      <c r="P211" s="536"/>
      <c r="Q211" s="536"/>
      <c r="R211" s="536"/>
      <c r="S211" s="536"/>
      <c r="T211" s="536"/>
      <c r="U211" s="536"/>
      <c r="V211" s="536"/>
      <c r="W211" s="536"/>
      <c r="X211" s="536"/>
      <c r="Y211" s="536"/>
      <c r="Z211" s="536"/>
      <c r="AA211" s="536"/>
      <c r="AB211" s="536"/>
      <c r="AC211" s="536"/>
      <c r="AD211" s="536"/>
      <c r="AE211" s="536"/>
      <c r="AF211" s="536"/>
      <c r="AG211" s="536"/>
      <c r="AH211" s="536"/>
      <c r="AI211" s="536"/>
      <c r="AJ211" s="537" t="s">
        <v>411</v>
      </c>
      <c r="AK211" s="536"/>
      <c r="AL211" s="536"/>
    </row>
    <row r="212" spans="1:38" x14ac:dyDescent="0.2">
      <c r="A212" s="548"/>
      <c r="B212" s="552"/>
      <c r="C212" s="1822" t="s">
        <v>481</v>
      </c>
      <c r="D212" s="1822"/>
      <c r="E212" s="1822"/>
      <c r="F212" s="1822"/>
      <c r="G212" s="1822"/>
      <c r="H212" s="1822"/>
      <c r="I212" s="1822"/>
      <c r="J212" s="1822"/>
      <c r="K212" s="1822"/>
      <c r="L212" s="551">
        <v>13192.32</v>
      </c>
      <c r="M212" s="550"/>
      <c r="N212" s="549"/>
      <c r="P212" s="536"/>
      <c r="Q212" s="536"/>
      <c r="R212" s="536"/>
      <c r="S212" s="536"/>
      <c r="T212" s="536"/>
      <c r="U212" s="536"/>
      <c r="V212" s="536"/>
      <c r="W212" s="536"/>
      <c r="X212" s="536"/>
      <c r="Y212" s="536"/>
      <c r="Z212" s="536"/>
      <c r="AA212" s="536"/>
      <c r="AB212" s="536"/>
      <c r="AC212" s="536"/>
      <c r="AD212" s="536"/>
      <c r="AE212" s="536"/>
      <c r="AF212" s="536"/>
      <c r="AG212" s="536"/>
      <c r="AH212" s="536"/>
      <c r="AI212" s="536"/>
      <c r="AJ212" s="537" t="s">
        <v>481</v>
      </c>
      <c r="AK212" s="536"/>
      <c r="AL212" s="536"/>
    </row>
    <row r="213" spans="1:38" x14ac:dyDescent="0.2">
      <c r="A213" s="548"/>
      <c r="B213" s="552"/>
      <c r="C213" s="1822" t="s">
        <v>412</v>
      </c>
      <c r="D213" s="1822"/>
      <c r="E213" s="1822"/>
      <c r="F213" s="1822"/>
      <c r="G213" s="1822"/>
      <c r="H213" s="1822"/>
      <c r="I213" s="1822"/>
      <c r="J213" s="1822"/>
      <c r="K213" s="1822"/>
      <c r="L213" s="551">
        <v>282.24</v>
      </c>
      <c r="M213" s="550"/>
      <c r="N213" s="549"/>
      <c r="P213" s="536"/>
      <c r="Q213" s="536"/>
      <c r="R213" s="536"/>
      <c r="S213" s="536"/>
      <c r="T213" s="536"/>
      <c r="U213" s="536"/>
      <c r="V213" s="536"/>
      <c r="W213" s="536"/>
      <c r="X213" s="536"/>
      <c r="Y213" s="536"/>
      <c r="Z213" s="536"/>
      <c r="AA213" s="536"/>
      <c r="AB213" s="536"/>
      <c r="AC213" s="536"/>
      <c r="AD213" s="536"/>
      <c r="AE213" s="536"/>
      <c r="AF213" s="536"/>
      <c r="AG213" s="536"/>
      <c r="AH213" s="536"/>
      <c r="AI213" s="536"/>
      <c r="AJ213" s="537" t="s">
        <v>412</v>
      </c>
      <c r="AK213" s="536"/>
      <c r="AL213" s="536"/>
    </row>
    <row r="214" spans="1:38" x14ac:dyDescent="0.2">
      <c r="A214" s="548"/>
      <c r="B214" s="552"/>
      <c r="C214" s="1822" t="s">
        <v>413</v>
      </c>
      <c r="D214" s="1822"/>
      <c r="E214" s="1822"/>
      <c r="F214" s="1822"/>
      <c r="G214" s="1822"/>
      <c r="H214" s="1822"/>
      <c r="I214" s="1822"/>
      <c r="J214" s="1822"/>
      <c r="K214" s="1822"/>
      <c r="L214" s="551">
        <v>161.04</v>
      </c>
      <c r="M214" s="550"/>
      <c r="N214" s="549"/>
      <c r="P214" s="536"/>
      <c r="Q214" s="536"/>
      <c r="R214" s="536"/>
      <c r="S214" s="536"/>
      <c r="T214" s="536"/>
      <c r="U214" s="536"/>
      <c r="V214" s="536"/>
      <c r="W214" s="536"/>
      <c r="X214" s="536"/>
      <c r="Y214" s="536"/>
      <c r="Z214" s="536"/>
      <c r="AA214" s="536"/>
      <c r="AB214" s="536"/>
      <c r="AC214" s="536"/>
      <c r="AD214" s="536"/>
      <c r="AE214" s="536"/>
      <c r="AF214" s="536"/>
      <c r="AG214" s="536"/>
      <c r="AH214" s="536"/>
      <c r="AI214" s="536"/>
      <c r="AJ214" s="537" t="s">
        <v>413</v>
      </c>
      <c r="AK214" s="536"/>
      <c r="AL214" s="536"/>
    </row>
    <row r="215" spans="1:38" x14ac:dyDescent="0.2">
      <c r="A215" s="548"/>
      <c r="B215" s="552" t="s">
        <v>185</v>
      </c>
      <c r="C215" s="1822" t="s">
        <v>414</v>
      </c>
      <c r="D215" s="1822"/>
      <c r="E215" s="1822"/>
      <c r="F215" s="1822"/>
      <c r="G215" s="1822"/>
      <c r="H215" s="1822"/>
      <c r="I215" s="1822"/>
      <c r="J215" s="1822"/>
      <c r="K215" s="1822"/>
      <c r="L215" s="551">
        <v>53.54</v>
      </c>
      <c r="M215" s="550">
        <v>5.6</v>
      </c>
      <c r="N215" s="549">
        <v>300</v>
      </c>
      <c r="P215" s="536"/>
      <c r="Q215" s="536"/>
      <c r="R215" s="536"/>
      <c r="S215" s="536"/>
      <c r="T215" s="536"/>
      <c r="U215" s="536"/>
      <c r="V215" s="536"/>
      <c r="W215" s="536"/>
      <c r="X215" s="536"/>
      <c r="Y215" s="536"/>
      <c r="Z215" s="536"/>
      <c r="AA215" s="536"/>
      <c r="AB215" s="536"/>
      <c r="AC215" s="536"/>
      <c r="AD215" s="536"/>
      <c r="AE215" s="536"/>
      <c r="AF215" s="536"/>
      <c r="AG215" s="536"/>
      <c r="AH215" s="536"/>
      <c r="AI215" s="536"/>
      <c r="AJ215" s="537" t="s">
        <v>414</v>
      </c>
      <c r="AK215" s="536"/>
      <c r="AL215" s="536"/>
    </row>
    <row r="216" spans="1:38" x14ac:dyDescent="0.2">
      <c r="A216" s="548"/>
      <c r="B216" s="552"/>
      <c r="C216" s="1822" t="s">
        <v>415</v>
      </c>
      <c r="D216" s="1822"/>
      <c r="E216" s="1822"/>
      <c r="F216" s="1822"/>
      <c r="G216" s="1822"/>
      <c r="H216" s="1822"/>
      <c r="I216" s="1822"/>
      <c r="J216" s="1822"/>
      <c r="K216" s="1822"/>
      <c r="L216" s="551">
        <v>276.24</v>
      </c>
      <c r="M216" s="550"/>
      <c r="N216" s="549"/>
      <c r="P216" s="536"/>
      <c r="Q216" s="536"/>
      <c r="R216" s="536"/>
      <c r="S216" s="536"/>
      <c r="T216" s="536"/>
      <c r="U216" s="536"/>
      <c r="V216" s="536"/>
      <c r="W216" s="536"/>
      <c r="X216" s="536"/>
      <c r="Y216" s="536"/>
      <c r="Z216" s="536"/>
      <c r="AA216" s="536"/>
      <c r="AB216" s="536"/>
      <c r="AC216" s="536"/>
      <c r="AD216" s="536"/>
      <c r="AE216" s="536"/>
      <c r="AF216" s="536"/>
      <c r="AG216" s="536"/>
      <c r="AH216" s="536"/>
      <c r="AI216" s="536"/>
      <c r="AJ216" s="537" t="s">
        <v>415</v>
      </c>
      <c r="AK216" s="536"/>
      <c r="AL216" s="536"/>
    </row>
    <row r="217" spans="1:38" x14ac:dyDescent="0.2">
      <c r="A217" s="548"/>
      <c r="B217" s="552"/>
      <c r="C217" s="1822" t="s">
        <v>416</v>
      </c>
      <c r="D217" s="1822"/>
      <c r="E217" s="1822"/>
      <c r="F217" s="1822"/>
      <c r="G217" s="1822"/>
      <c r="H217" s="1822"/>
      <c r="I217" s="1822"/>
      <c r="J217" s="1822"/>
      <c r="K217" s="1822"/>
      <c r="L217" s="551">
        <v>282.24</v>
      </c>
      <c r="M217" s="550"/>
      <c r="N217" s="549"/>
      <c r="P217" s="536"/>
      <c r="Q217" s="536"/>
      <c r="R217" s="536"/>
      <c r="S217" s="536"/>
      <c r="T217" s="536"/>
      <c r="U217" s="536"/>
      <c r="V217" s="536"/>
      <c r="W217" s="536"/>
      <c r="X217" s="536"/>
      <c r="Y217" s="536"/>
      <c r="Z217" s="536"/>
      <c r="AA217" s="536"/>
      <c r="AB217" s="536"/>
      <c r="AC217" s="536"/>
      <c r="AD217" s="536"/>
      <c r="AE217" s="536"/>
      <c r="AF217" s="536"/>
      <c r="AG217" s="536"/>
      <c r="AH217" s="536"/>
      <c r="AI217" s="536"/>
      <c r="AJ217" s="537" t="s">
        <v>416</v>
      </c>
      <c r="AK217" s="536"/>
      <c r="AL217" s="536"/>
    </row>
    <row r="218" spans="1:38" x14ac:dyDescent="0.2">
      <c r="A218" s="548"/>
      <c r="B218" s="552"/>
      <c r="C218" s="1822" t="s">
        <v>417</v>
      </c>
      <c r="D218" s="1822"/>
      <c r="E218" s="1822"/>
      <c r="F218" s="1822"/>
      <c r="G218" s="1822"/>
      <c r="H218" s="1822"/>
      <c r="I218" s="1822"/>
      <c r="J218" s="1822"/>
      <c r="K218" s="1822"/>
      <c r="L218" s="551">
        <v>161.04</v>
      </c>
      <c r="M218" s="550"/>
      <c r="N218" s="549"/>
      <c r="P218" s="536"/>
      <c r="Q218" s="536"/>
      <c r="R218" s="536"/>
      <c r="S218" s="536"/>
      <c r="T218" s="536"/>
      <c r="U218" s="536"/>
      <c r="V218" s="536"/>
      <c r="W218" s="536"/>
      <c r="X218" s="536"/>
      <c r="Y218" s="536"/>
      <c r="Z218" s="536"/>
      <c r="AA218" s="536"/>
      <c r="AB218" s="536"/>
      <c r="AC218" s="536"/>
      <c r="AD218" s="536"/>
      <c r="AE218" s="536"/>
      <c r="AF218" s="536"/>
      <c r="AG218" s="536"/>
      <c r="AH218" s="536"/>
      <c r="AI218" s="536"/>
      <c r="AJ218" s="537" t="s">
        <v>417</v>
      </c>
      <c r="AK218" s="536"/>
      <c r="AL218" s="536"/>
    </row>
    <row r="219" spans="1:38" x14ac:dyDescent="0.2">
      <c r="A219" s="548"/>
      <c r="B219" s="546"/>
      <c r="C219" s="1819" t="s">
        <v>206</v>
      </c>
      <c r="D219" s="1819"/>
      <c r="E219" s="1819"/>
      <c r="F219" s="1819"/>
      <c r="G219" s="1819"/>
      <c r="H219" s="1819"/>
      <c r="I219" s="1819"/>
      <c r="J219" s="1819"/>
      <c r="K219" s="1819"/>
      <c r="L219" s="544">
        <v>14308.9</v>
      </c>
      <c r="M219" s="543"/>
      <c r="N219" s="547">
        <v>80130</v>
      </c>
      <c r="P219" s="536"/>
      <c r="Q219" s="536"/>
      <c r="R219" s="536"/>
      <c r="S219" s="536"/>
      <c r="T219" s="536"/>
      <c r="U219" s="536"/>
      <c r="V219" s="536"/>
      <c r="W219" s="536"/>
      <c r="X219" s="536"/>
      <c r="Y219" s="536"/>
      <c r="Z219" s="536"/>
      <c r="AA219" s="536"/>
      <c r="AB219" s="536"/>
      <c r="AC219" s="536"/>
      <c r="AD219" s="536"/>
      <c r="AE219" s="536"/>
      <c r="AF219" s="536"/>
      <c r="AG219" s="536"/>
      <c r="AH219" s="536"/>
      <c r="AI219" s="536"/>
      <c r="AJ219" s="536"/>
      <c r="AK219" s="537" t="s">
        <v>206</v>
      </c>
      <c r="AL219" s="536"/>
    </row>
    <row r="220" spans="1:38" ht="1.5" customHeight="1" x14ac:dyDescent="0.2">
      <c r="B220" s="546"/>
      <c r="C220" s="671"/>
      <c r="D220" s="671"/>
      <c r="E220" s="671"/>
      <c r="F220" s="671"/>
      <c r="G220" s="671"/>
      <c r="H220" s="671"/>
      <c r="I220" s="671"/>
      <c r="J220" s="671"/>
      <c r="K220" s="671"/>
      <c r="L220" s="544"/>
      <c r="M220" s="543"/>
      <c r="N220" s="542"/>
      <c r="P220" s="536"/>
      <c r="Q220" s="536"/>
      <c r="R220" s="536"/>
      <c r="S220" s="536"/>
      <c r="T220" s="536"/>
      <c r="U220" s="536"/>
      <c r="V220" s="536"/>
      <c r="W220" s="536"/>
      <c r="X220" s="536"/>
      <c r="Y220" s="536"/>
      <c r="Z220" s="536"/>
      <c r="AA220" s="536"/>
      <c r="AB220" s="536"/>
      <c r="AC220" s="536"/>
      <c r="AD220" s="536"/>
      <c r="AE220" s="536"/>
      <c r="AF220" s="536"/>
      <c r="AG220" s="536"/>
      <c r="AH220" s="536"/>
      <c r="AI220" s="536"/>
      <c r="AJ220" s="536"/>
      <c r="AK220" s="536"/>
      <c r="AL220" s="536"/>
    </row>
    <row r="221" spans="1:38" ht="53.25" customHeight="1" x14ac:dyDescent="0.2">
      <c r="A221" s="541"/>
      <c r="B221" s="541"/>
      <c r="C221" s="541"/>
      <c r="D221" s="541"/>
      <c r="E221" s="541"/>
      <c r="F221" s="541"/>
      <c r="G221" s="541"/>
      <c r="H221" s="541"/>
      <c r="I221" s="541"/>
      <c r="J221" s="541"/>
      <c r="K221" s="541"/>
      <c r="L221" s="541"/>
      <c r="M221" s="541"/>
      <c r="N221" s="541"/>
      <c r="P221" s="536"/>
      <c r="Q221" s="536"/>
      <c r="R221" s="536"/>
      <c r="S221" s="536"/>
      <c r="T221" s="536"/>
      <c r="U221" s="536"/>
      <c r="V221" s="536"/>
      <c r="W221" s="536"/>
      <c r="X221" s="536"/>
      <c r="Y221" s="536"/>
      <c r="Z221" s="536"/>
      <c r="AA221" s="536"/>
      <c r="AB221" s="536"/>
      <c r="AC221" s="536"/>
      <c r="AD221" s="536"/>
      <c r="AE221" s="536"/>
      <c r="AF221" s="536"/>
      <c r="AG221" s="536"/>
      <c r="AH221" s="536"/>
      <c r="AI221" s="536"/>
      <c r="AJ221" s="536"/>
      <c r="AK221" s="536"/>
      <c r="AL221" s="536"/>
    </row>
    <row r="222" spans="1:38" x14ac:dyDescent="0.2">
      <c r="B222" s="539" t="s">
        <v>149</v>
      </c>
      <c r="C222" s="1943"/>
      <c r="D222" s="1943"/>
      <c r="E222" s="1943"/>
      <c r="F222" s="1943"/>
      <c r="G222" s="1943"/>
      <c r="H222" s="1943"/>
      <c r="I222" s="1943"/>
      <c r="J222" s="1943"/>
      <c r="K222" s="1943"/>
      <c r="L222" s="1943"/>
    </row>
    <row r="223" spans="1:38" ht="13.5" customHeight="1" x14ac:dyDescent="0.2">
      <c r="B223" s="540"/>
      <c r="C223" s="1821" t="s">
        <v>150</v>
      </c>
      <c r="D223" s="1821"/>
      <c r="E223" s="1821"/>
      <c r="F223" s="1821"/>
      <c r="G223" s="1821"/>
      <c r="H223" s="1821"/>
      <c r="I223" s="1821"/>
      <c r="J223" s="1821"/>
      <c r="K223" s="1821"/>
      <c r="L223" s="1821"/>
    </row>
    <row r="224" spans="1:38" ht="12.75" customHeight="1" x14ac:dyDescent="0.2">
      <c r="B224" s="539" t="s">
        <v>151</v>
      </c>
      <c r="C224" s="1943"/>
      <c r="D224" s="1943"/>
      <c r="E224" s="1943"/>
      <c r="F224" s="1943"/>
      <c r="G224" s="1943"/>
      <c r="H224" s="1943"/>
      <c r="I224" s="1943"/>
      <c r="J224" s="1943"/>
      <c r="K224" s="1943"/>
      <c r="L224" s="1943"/>
    </row>
    <row r="225" spans="1:38" ht="13.5" customHeight="1" x14ac:dyDescent="0.2">
      <c r="C225" s="1821" t="s">
        <v>150</v>
      </c>
      <c r="D225" s="1821"/>
      <c r="E225" s="1821"/>
      <c r="F225" s="1821"/>
      <c r="G225" s="1821"/>
      <c r="H225" s="1821"/>
      <c r="I225" s="1821"/>
      <c r="J225" s="1821"/>
      <c r="K225" s="1821"/>
      <c r="L225" s="1821"/>
    </row>
    <row r="227" spans="1:38" x14ac:dyDescent="0.2">
      <c r="A227" s="1944"/>
      <c r="B227" s="1944"/>
      <c r="C227" s="1944"/>
      <c r="D227" s="1944"/>
      <c r="E227" s="1944"/>
      <c r="F227" s="1944"/>
      <c r="G227" s="1944"/>
      <c r="H227" s="1944"/>
      <c r="I227" s="1944"/>
      <c r="J227" s="1944"/>
      <c r="K227" s="1944"/>
      <c r="L227" s="1944"/>
      <c r="M227" s="1944"/>
      <c r="N227" s="1944"/>
      <c r="P227" s="536"/>
      <c r="Q227" s="536"/>
      <c r="R227" s="536"/>
      <c r="S227" s="536"/>
      <c r="T227" s="536"/>
      <c r="U227" s="536"/>
      <c r="V227" s="536"/>
      <c r="W227" s="536"/>
      <c r="X227" s="536"/>
      <c r="Y227" s="536"/>
      <c r="Z227" s="536"/>
      <c r="AA227" s="536"/>
      <c r="AB227" s="536"/>
      <c r="AC227" s="536"/>
      <c r="AD227" s="536"/>
      <c r="AE227" s="536"/>
      <c r="AF227" s="536"/>
      <c r="AG227" s="536"/>
      <c r="AH227" s="536"/>
      <c r="AI227" s="536"/>
      <c r="AJ227" s="536"/>
      <c r="AK227" s="536"/>
      <c r="AL227" s="537" t="s">
        <v>143</v>
      </c>
    </row>
    <row r="228" spans="1:38" x14ac:dyDescent="0.2">
      <c r="B228" s="538"/>
      <c r="D228" s="538"/>
      <c r="F228" s="538"/>
      <c r="P228" s="536"/>
      <c r="Q228" s="536"/>
      <c r="R228" s="536"/>
      <c r="S228" s="536"/>
      <c r="T228" s="536"/>
      <c r="U228" s="536"/>
      <c r="V228" s="536"/>
      <c r="W228" s="536"/>
      <c r="X228" s="536"/>
      <c r="Y228" s="536"/>
      <c r="Z228" s="536"/>
      <c r="AA228" s="536"/>
      <c r="AB228" s="536"/>
      <c r="AC228" s="536"/>
      <c r="AD228" s="536"/>
      <c r="AE228" s="536"/>
      <c r="AF228" s="536"/>
      <c r="AG228" s="536"/>
      <c r="AH228" s="536"/>
      <c r="AI228" s="536"/>
      <c r="AJ228" s="536"/>
      <c r="AK228" s="536"/>
      <c r="AL228" s="536"/>
    </row>
  </sheetData>
  <mergeCells count="201">
    <mergeCell ref="C222:L222"/>
    <mergeCell ref="C223:L223"/>
    <mergeCell ref="C224:L224"/>
    <mergeCell ref="C225:L225"/>
    <mergeCell ref="A227:N227"/>
    <mergeCell ref="C214:K214"/>
    <mergeCell ref="C215:K215"/>
    <mergeCell ref="C216:K216"/>
    <mergeCell ref="C217:K217"/>
    <mergeCell ref="C218:K218"/>
    <mergeCell ref="C219:K219"/>
    <mergeCell ref="C208:K208"/>
    <mergeCell ref="C209:K209"/>
    <mergeCell ref="C210:K210"/>
    <mergeCell ref="C211:K211"/>
    <mergeCell ref="C212:K212"/>
    <mergeCell ref="C213:K213"/>
    <mergeCell ref="C202:K202"/>
    <mergeCell ref="C203:K203"/>
    <mergeCell ref="C204:K204"/>
    <mergeCell ref="C205:K205"/>
    <mergeCell ref="C206:K206"/>
    <mergeCell ref="C207:K207"/>
    <mergeCell ref="C195:K195"/>
    <mergeCell ref="C196:K196"/>
    <mergeCell ref="C197:K197"/>
    <mergeCell ref="C198:K198"/>
    <mergeCell ref="C200:K200"/>
    <mergeCell ref="C201:K201"/>
    <mergeCell ref="C186:E186"/>
    <mergeCell ref="C188:E188"/>
    <mergeCell ref="C191:K191"/>
    <mergeCell ref="C192:K192"/>
    <mergeCell ref="C193:K193"/>
    <mergeCell ref="C194:K194"/>
    <mergeCell ref="C180:K180"/>
    <mergeCell ref="C181:K181"/>
    <mergeCell ref="C182:K182"/>
    <mergeCell ref="C183:K183"/>
    <mergeCell ref="C184:K184"/>
    <mergeCell ref="A185:N185"/>
    <mergeCell ref="C174:K174"/>
    <mergeCell ref="C175:K175"/>
    <mergeCell ref="C176:K176"/>
    <mergeCell ref="C177:K177"/>
    <mergeCell ref="C178:K178"/>
    <mergeCell ref="C179:K179"/>
    <mergeCell ref="C168:K168"/>
    <mergeCell ref="C169:K169"/>
    <mergeCell ref="C170:K170"/>
    <mergeCell ref="C171:K171"/>
    <mergeCell ref="C172:K172"/>
    <mergeCell ref="C173:K173"/>
    <mergeCell ref="C160:E160"/>
    <mergeCell ref="C161:E161"/>
    <mergeCell ref="C162:E162"/>
    <mergeCell ref="C163:E163"/>
    <mergeCell ref="C165:N165"/>
    <mergeCell ref="C167:K167"/>
    <mergeCell ref="C154:E154"/>
    <mergeCell ref="C155:E155"/>
    <mergeCell ref="C156:E156"/>
    <mergeCell ref="C157:E157"/>
    <mergeCell ref="C158:E158"/>
    <mergeCell ref="C159:E159"/>
    <mergeCell ref="C148:N148"/>
    <mergeCell ref="C149:E149"/>
    <mergeCell ref="C150:N150"/>
    <mergeCell ref="C151:N151"/>
    <mergeCell ref="C152:E152"/>
    <mergeCell ref="C153:E153"/>
    <mergeCell ref="C139:E139"/>
    <mergeCell ref="C140:E140"/>
    <mergeCell ref="C141:E141"/>
    <mergeCell ref="C143:E143"/>
    <mergeCell ref="C145:N145"/>
    <mergeCell ref="C146:E146"/>
    <mergeCell ref="C133:E133"/>
    <mergeCell ref="C134:E134"/>
    <mergeCell ref="C135:E135"/>
    <mergeCell ref="C136:E136"/>
    <mergeCell ref="C137:E137"/>
    <mergeCell ref="C138:E138"/>
    <mergeCell ref="C127:N127"/>
    <mergeCell ref="C128:E128"/>
    <mergeCell ref="C129:E129"/>
    <mergeCell ref="C130:E130"/>
    <mergeCell ref="C131:E131"/>
    <mergeCell ref="C132:E132"/>
    <mergeCell ref="C120:E120"/>
    <mergeCell ref="C121:E121"/>
    <mergeCell ref="C122:E122"/>
    <mergeCell ref="C123:E123"/>
    <mergeCell ref="C125:E125"/>
    <mergeCell ref="C126:N126"/>
    <mergeCell ref="C114:E114"/>
    <mergeCell ref="C115:E115"/>
    <mergeCell ref="C116:E116"/>
    <mergeCell ref="C117:E117"/>
    <mergeCell ref="C118:E118"/>
    <mergeCell ref="C119:E119"/>
    <mergeCell ref="C108:E108"/>
    <mergeCell ref="C109:N109"/>
    <mergeCell ref="C110:N110"/>
    <mergeCell ref="C111:E111"/>
    <mergeCell ref="C112:E112"/>
    <mergeCell ref="C113:E113"/>
    <mergeCell ref="C102:K102"/>
    <mergeCell ref="C103:K103"/>
    <mergeCell ref="C104:K104"/>
    <mergeCell ref="C105:K105"/>
    <mergeCell ref="C106:K106"/>
    <mergeCell ref="A107:N107"/>
    <mergeCell ref="C96:K96"/>
    <mergeCell ref="C97:K97"/>
    <mergeCell ref="C98:K98"/>
    <mergeCell ref="C99:K99"/>
    <mergeCell ref="C100:K100"/>
    <mergeCell ref="C101:K101"/>
    <mergeCell ref="C90:K90"/>
    <mergeCell ref="C91:K91"/>
    <mergeCell ref="C92:K92"/>
    <mergeCell ref="C93:K93"/>
    <mergeCell ref="C94:K94"/>
    <mergeCell ref="C95:K95"/>
    <mergeCell ref="C83:E83"/>
    <mergeCell ref="C84:E84"/>
    <mergeCell ref="C85:E85"/>
    <mergeCell ref="C86:E86"/>
    <mergeCell ref="C87:E87"/>
    <mergeCell ref="C89:K89"/>
    <mergeCell ref="C77:N77"/>
    <mergeCell ref="C78:E78"/>
    <mergeCell ref="C79:E79"/>
    <mergeCell ref="C80:E80"/>
    <mergeCell ref="C81:E81"/>
    <mergeCell ref="C82:E82"/>
    <mergeCell ref="C71:E71"/>
    <mergeCell ref="C72:E72"/>
    <mergeCell ref="C73:E73"/>
    <mergeCell ref="C74:E74"/>
    <mergeCell ref="C75:E75"/>
    <mergeCell ref="C76:N76"/>
    <mergeCell ref="C65:N65"/>
    <mergeCell ref="C66:N66"/>
    <mergeCell ref="C67:E67"/>
    <mergeCell ref="C68:E68"/>
    <mergeCell ref="C69:E69"/>
    <mergeCell ref="C70:E70"/>
    <mergeCell ref="C59:E59"/>
    <mergeCell ref="C60:E60"/>
    <mergeCell ref="C61:E61"/>
    <mergeCell ref="C62:E62"/>
    <mergeCell ref="C63:E63"/>
    <mergeCell ref="C64:E64"/>
    <mergeCell ref="C53:E53"/>
    <mergeCell ref="C54:N54"/>
    <mergeCell ref="C55:N55"/>
    <mergeCell ref="C56:E56"/>
    <mergeCell ref="C57:E57"/>
    <mergeCell ref="C58:E58"/>
    <mergeCell ref="C47:E47"/>
    <mergeCell ref="C48:E48"/>
    <mergeCell ref="C49:E49"/>
    <mergeCell ref="C50:E50"/>
    <mergeCell ref="C51:E51"/>
    <mergeCell ref="C52:N52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227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/>
  <dimension ref="A1:AL541"/>
  <sheetViews>
    <sheetView topLeftCell="A503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12.42578125" style="536" customWidth="1"/>
    <col min="11" max="11" width="9" style="536" customWidth="1"/>
    <col min="12" max="12" width="11.85546875" style="536" customWidth="1"/>
    <col min="13" max="13" width="6" style="536" customWidth="1"/>
    <col min="14" max="14" width="12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4" width="110.140625" style="537" hidden="1" customWidth="1"/>
    <col min="25" max="28" width="34.140625" style="537" hidden="1" customWidth="1"/>
    <col min="29" max="31" width="84.42578125" style="537" hidden="1" customWidth="1"/>
    <col min="32" max="32" width="138.42578125" style="537" hidden="1" customWidth="1"/>
    <col min="33" max="34" width="110.140625" style="537" hidden="1" customWidth="1"/>
    <col min="35" max="37" width="84.42578125" style="537" hidden="1" customWidth="1"/>
    <col min="38" max="38" width="138.42578125" style="537" hidden="1" customWidth="1"/>
    <col min="39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159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3683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3683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8623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9193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8586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3685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48321.07</v>
      </c>
      <c r="D28" s="579" t="s">
        <v>8624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51.76</v>
      </c>
      <c r="D30" s="579" t="s">
        <v>8625</v>
      </c>
      <c r="E30" s="665" t="s">
        <v>167</v>
      </c>
      <c r="G30" s="536" t="s">
        <v>170</v>
      </c>
      <c r="L30" s="580">
        <v>0</v>
      </c>
      <c r="M30" s="579" t="s">
        <v>8626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12649.77</v>
      </c>
      <c r="D31" s="583" t="s">
        <v>8627</v>
      </c>
      <c r="E31" s="665" t="s">
        <v>167</v>
      </c>
      <c r="G31" s="536" t="s">
        <v>172</v>
      </c>
      <c r="L31" s="582"/>
      <c r="M31" s="582">
        <v>779.3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35619.54</v>
      </c>
      <c r="D32" s="583" t="s">
        <v>8628</v>
      </c>
      <c r="E32" s="665" t="s">
        <v>167</v>
      </c>
      <c r="G32" s="536" t="s">
        <v>174</v>
      </c>
      <c r="L32" s="582"/>
      <c r="M32" s="582">
        <v>116.6</v>
      </c>
      <c r="N32" s="581" t="s">
        <v>173</v>
      </c>
    </row>
    <row r="33" spans="1:27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7" s="536" customFormat="1" ht="9.75" customHeight="1" x14ac:dyDescent="0.2">
      <c r="A34" s="578"/>
    </row>
    <row r="35" spans="1:27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7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7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7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7" s="536" customFormat="1" ht="12" x14ac:dyDescent="0.2">
      <c r="A39" s="1824" t="s">
        <v>1625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537" t="s">
        <v>1625</v>
      </c>
    </row>
    <row r="40" spans="1:27" s="536" customFormat="1" ht="33.75" x14ac:dyDescent="0.2">
      <c r="A40" s="575" t="s">
        <v>185</v>
      </c>
      <c r="B40" s="670" t="s">
        <v>8629</v>
      </c>
      <c r="C40" s="1823" t="s">
        <v>8630</v>
      </c>
      <c r="D40" s="1823"/>
      <c r="E40" s="1823"/>
      <c r="F40" s="573" t="s">
        <v>617</v>
      </c>
      <c r="G40" s="573"/>
      <c r="H40" s="573"/>
      <c r="I40" s="573" t="s">
        <v>185</v>
      </c>
      <c r="J40" s="572"/>
      <c r="K40" s="573"/>
      <c r="L40" s="572"/>
      <c r="M40" s="571"/>
      <c r="N40" s="570"/>
      <c r="W40" s="537" t="s">
        <v>8630</v>
      </c>
    </row>
    <row r="41" spans="1:27" s="536" customFormat="1" ht="33.75" x14ac:dyDescent="0.2">
      <c r="A41" s="609"/>
      <c r="B41" s="552" t="s">
        <v>310</v>
      </c>
      <c r="C41" s="1822" t="s">
        <v>311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X41" s="537" t="s">
        <v>311</v>
      </c>
    </row>
    <row r="42" spans="1:27" s="536" customFormat="1" x14ac:dyDescent="0.2">
      <c r="A42" s="605"/>
      <c r="B42" s="552" t="s">
        <v>185</v>
      </c>
      <c r="C42" s="1822" t="s">
        <v>312</v>
      </c>
      <c r="D42" s="1822"/>
      <c r="E42" s="1822"/>
      <c r="F42" s="562"/>
      <c r="G42" s="562"/>
      <c r="H42" s="562"/>
      <c r="I42" s="562"/>
      <c r="J42" s="604">
        <v>1266.8399999999999</v>
      </c>
      <c r="K42" s="562" t="s">
        <v>313</v>
      </c>
      <c r="L42" s="604">
        <v>1583.55</v>
      </c>
      <c r="M42" s="603"/>
      <c r="N42" s="602"/>
      <c r="Y42" s="537" t="s">
        <v>312</v>
      </c>
    </row>
    <row r="43" spans="1:27" s="536" customFormat="1" x14ac:dyDescent="0.2">
      <c r="A43" s="605"/>
      <c r="B43" s="552" t="s">
        <v>186</v>
      </c>
      <c r="C43" s="1822" t="s">
        <v>344</v>
      </c>
      <c r="D43" s="1822"/>
      <c r="E43" s="1822"/>
      <c r="F43" s="562"/>
      <c r="G43" s="562"/>
      <c r="H43" s="562"/>
      <c r="I43" s="562"/>
      <c r="J43" s="604">
        <v>4439.1499999999996</v>
      </c>
      <c r="K43" s="562" t="s">
        <v>313</v>
      </c>
      <c r="L43" s="604">
        <v>5548.94</v>
      </c>
      <c r="M43" s="603"/>
      <c r="N43" s="602"/>
      <c r="Y43" s="537" t="s">
        <v>344</v>
      </c>
    </row>
    <row r="44" spans="1:27" s="536" customFormat="1" x14ac:dyDescent="0.2">
      <c r="A44" s="605"/>
      <c r="B44" s="552" t="s">
        <v>187</v>
      </c>
      <c r="C44" s="1822" t="s">
        <v>345</v>
      </c>
      <c r="D44" s="1822"/>
      <c r="E44" s="1822"/>
      <c r="F44" s="562"/>
      <c r="G44" s="562"/>
      <c r="H44" s="562"/>
      <c r="I44" s="562"/>
      <c r="J44" s="604">
        <v>297.72000000000003</v>
      </c>
      <c r="K44" s="562" t="s">
        <v>313</v>
      </c>
      <c r="L44" s="604">
        <v>372.15</v>
      </c>
      <c r="M44" s="603"/>
      <c r="N44" s="602"/>
      <c r="Y44" s="537" t="s">
        <v>345</v>
      </c>
    </row>
    <row r="45" spans="1:27" s="536" customFormat="1" x14ac:dyDescent="0.2">
      <c r="A45" s="605"/>
      <c r="B45" s="552" t="s">
        <v>188</v>
      </c>
      <c r="C45" s="1822" t="s">
        <v>475</v>
      </c>
      <c r="D45" s="1822"/>
      <c r="E45" s="1822"/>
      <c r="F45" s="562"/>
      <c r="G45" s="562"/>
      <c r="H45" s="562"/>
      <c r="I45" s="562"/>
      <c r="J45" s="604">
        <v>1403.79</v>
      </c>
      <c r="K45" s="562"/>
      <c r="L45" s="604">
        <v>1403.79</v>
      </c>
      <c r="M45" s="603"/>
      <c r="N45" s="602"/>
      <c r="Y45" s="537" t="s">
        <v>475</v>
      </c>
    </row>
    <row r="46" spans="1:27" s="536" customFormat="1" x14ac:dyDescent="0.2">
      <c r="A46" s="605"/>
      <c r="B46" s="552"/>
      <c r="C46" s="1822" t="s">
        <v>314</v>
      </c>
      <c r="D46" s="1822"/>
      <c r="E46" s="1822"/>
      <c r="F46" s="562" t="s">
        <v>315</v>
      </c>
      <c r="G46" s="562" t="s">
        <v>8631</v>
      </c>
      <c r="H46" s="562" t="s">
        <v>313</v>
      </c>
      <c r="I46" s="562" t="s">
        <v>8632</v>
      </c>
      <c r="J46" s="604"/>
      <c r="K46" s="562"/>
      <c r="L46" s="604"/>
      <c r="M46" s="603"/>
      <c r="N46" s="602"/>
      <c r="Z46" s="537" t="s">
        <v>314</v>
      </c>
    </row>
    <row r="47" spans="1:27" s="536" customFormat="1" x14ac:dyDescent="0.2">
      <c r="A47" s="605"/>
      <c r="B47" s="552"/>
      <c r="C47" s="1822" t="s">
        <v>348</v>
      </c>
      <c r="D47" s="1822"/>
      <c r="E47" s="1822"/>
      <c r="F47" s="562" t="s">
        <v>315</v>
      </c>
      <c r="G47" s="562" t="s">
        <v>373</v>
      </c>
      <c r="H47" s="562" t="s">
        <v>313</v>
      </c>
      <c r="I47" s="562" t="s">
        <v>917</v>
      </c>
      <c r="J47" s="604"/>
      <c r="K47" s="562"/>
      <c r="L47" s="604"/>
      <c r="M47" s="603"/>
      <c r="N47" s="602"/>
      <c r="Z47" s="537" t="s">
        <v>348</v>
      </c>
    </row>
    <row r="48" spans="1:27" s="536" customFormat="1" x14ac:dyDescent="0.2">
      <c r="A48" s="605"/>
      <c r="B48" s="552"/>
      <c r="C48" s="1828" t="s">
        <v>318</v>
      </c>
      <c r="D48" s="1828"/>
      <c r="E48" s="1828"/>
      <c r="F48" s="608"/>
      <c r="G48" s="608"/>
      <c r="H48" s="608"/>
      <c r="I48" s="608"/>
      <c r="J48" s="607">
        <v>7109.78</v>
      </c>
      <c r="K48" s="608"/>
      <c r="L48" s="607">
        <v>8536.2800000000007</v>
      </c>
      <c r="M48" s="601"/>
      <c r="N48" s="606"/>
      <c r="AA48" s="537" t="s">
        <v>318</v>
      </c>
    </row>
    <row r="49" spans="1:30" s="536" customFormat="1" x14ac:dyDescent="0.2">
      <c r="A49" s="605"/>
      <c r="B49" s="552"/>
      <c r="C49" s="1822" t="s">
        <v>319</v>
      </c>
      <c r="D49" s="1822"/>
      <c r="E49" s="1822"/>
      <c r="F49" s="562"/>
      <c r="G49" s="562"/>
      <c r="H49" s="562"/>
      <c r="I49" s="562"/>
      <c r="J49" s="604"/>
      <c r="K49" s="562"/>
      <c r="L49" s="604">
        <v>1955.7</v>
      </c>
      <c r="M49" s="603"/>
      <c r="N49" s="602"/>
      <c r="Z49" s="537" t="s">
        <v>319</v>
      </c>
    </row>
    <row r="50" spans="1:30" s="536" customFormat="1" ht="33.75" x14ac:dyDescent="0.2">
      <c r="A50" s="605"/>
      <c r="B50" s="552" t="s">
        <v>2050</v>
      </c>
      <c r="C50" s="1822" t="s">
        <v>2051</v>
      </c>
      <c r="D50" s="1822"/>
      <c r="E50" s="1822"/>
      <c r="F50" s="562" t="s">
        <v>322</v>
      </c>
      <c r="G50" s="562" t="s">
        <v>462</v>
      </c>
      <c r="H50" s="562"/>
      <c r="I50" s="562" t="s">
        <v>462</v>
      </c>
      <c r="J50" s="604"/>
      <c r="K50" s="562"/>
      <c r="L50" s="604">
        <v>1799.24</v>
      </c>
      <c r="M50" s="603"/>
      <c r="N50" s="602"/>
      <c r="Z50" s="537" t="s">
        <v>2051</v>
      </c>
    </row>
    <row r="51" spans="1:30" s="536" customFormat="1" ht="33.75" x14ac:dyDescent="0.2">
      <c r="A51" s="605"/>
      <c r="B51" s="552" t="s">
        <v>2052</v>
      </c>
      <c r="C51" s="1822" t="s">
        <v>2053</v>
      </c>
      <c r="D51" s="1822"/>
      <c r="E51" s="1822"/>
      <c r="F51" s="562" t="s">
        <v>322</v>
      </c>
      <c r="G51" s="562" t="s">
        <v>784</v>
      </c>
      <c r="H51" s="562"/>
      <c r="I51" s="562" t="s">
        <v>784</v>
      </c>
      <c r="J51" s="604"/>
      <c r="K51" s="562"/>
      <c r="L51" s="604">
        <v>958.29</v>
      </c>
      <c r="M51" s="603"/>
      <c r="N51" s="602"/>
      <c r="Z51" s="537" t="s">
        <v>2053</v>
      </c>
    </row>
    <row r="52" spans="1:30" s="536" customFormat="1" x14ac:dyDescent="0.2">
      <c r="A52" s="569"/>
      <c r="B52" s="671"/>
      <c r="C52" s="1823" t="s">
        <v>327</v>
      </c>
      <c r="D52" s="1823"/>
      <c r="E52" s="1823"/>
      <c r="F52" s="573"/>
      <c r="G52" s="573"/>
      <c r="H52" s="573"/>
      <c r="I52" s="573"/>
      <c r="J52" s="572"/>
      <c r="K52" s="573"/>
      <c r="L52" s="572">
        <v>11293.81</v>
      </c>
      <c r="M52" s="601"/>
      <c r="N52" s="570"/>
      <c r="AB52" s="537" t="s">
        <v>327</v>
      </c>
    </row>
    <row r="53" spans="1:30" s="536" customFormat="1" ht="45" x14ac:dyDescent="0.2">
      <c r="A53" s="575" t="s">
        <v>625</v>
      </c>
      <c r="B53" s="670" t="s">
        <v>8633</v>
      </c>
      <c r="C53" s="1823" t="s">
        <v>8634</v>
      </c>
      <c r="D53" s="1823"/>
      <c r="E53" s="1823"/>
      <c r="F53" s="573" t="s">
        <v>617</v>
      </c>
      <c r="G53" s="573"/>
      <c r="H53" s="573"/>
      <c r="I53" s="573" t="s">
        <v>185</v>
      </c>
      <c r="J53" s="572">
        <v>35197175</v>
      </c>
      <c r="K53" s="573" t="s">
        <v>629</v>
      </c>
      <c r="L53" s="572">
        <v>7760248.5800000001</v>
      </c>
      <c r="M53" s="571">
        <v>4.59</v>
      </c>
      <c r="N53" s="570">
        <v>35619541</v>
      </c>
      <c r="W53" s="537" t="s">
        <v>8634</v>
      </c>
    </row>
    <row r="54" spans="1:30" s="536" customFormat="1" x14ac:dyDescent="0.2">
      <c r="A54" s="569"/>
      <c r="B54" s="671"/>
      <c r="C54" s="665" t="s">
        <v>630</v>
      </c>
      <c r="D54" s="666"/>
      <c r="E54" s="666"/>
      <c r="F54" s="563"/>
      <c r="G54" s="563"/>
      <c r="H54" s="563"/>
      <c r="I54" s="563"/>
      <c r="J54" s="566"/>
      <c r="K54" s="563"/>
      <c r="L54" s="566"/>
      <c r="M54" s="565"/>
      <c r="N54" s="564"/>
    </row>
    <row r="55" spans="1:30" s="536" customFormat="1" ht="22.5" x14ac:dyDescent="0.2">
      <c r="A55" s="609"/>
      <c r="B55" s="552" t="s">
        <v>631</v>
      </c>
      <c r="C55" s="1822" t="s">
        <v>632</v>
      </c>
      <c r="D55" s="1822"/>
      <c r="E55" s="1822"/>
      <c r="F55" s="1822"/>
      <c r="G55" s="1822"/>
      <c r="H55" s="1822"/>
      <c r="I55" s="1822"/>
      <c r="J55" s="1822"/>
      <c r="K55" s="1822"/>
      <c r="L55" s="1822"/>
      <c r="M55" s="1822"/>
      <c r="N55" s="1827"/>
      <c r="X55" s="537" t="s">
        <v>632</v>
      </c>
    </row>
    <row r="56" spans="1:30" s="536" customFormat="1" ht="1.5" customHeight="1" x14ac:dyDescent="0.2">
      <c r="A56" s="563"/>
      <c r="B56" s="671"/>
      <c r="C56" s="671"/>
      <c r="D56" s="671"/>
      <c r="E56" s="671"/>
      <c r="F56" s="563"/>
      <c r="G56" s="563"/>
      <c r="H56" s="563"/>
      <c r="I56" s="563"/>
      <c r="J56" s="546"/>
      <c r="K56" s="563"/>
      <c r="L56" s="546"/>
      <c r="M56" s="562"/>
      <c r="N56" s="546"/>
    </row>
    <row r="57" spans="1:30" s="536" customFormat="1" x14ac:dyDescent="0.2">
      <c r="A57" s="557"/>
      <c r="B57" s="556"/>
      <c r="C57" s="1823" t="s">
        <v>1645</v>
      </c>
      <c r="D57" s="1823"/>
      <c r="E57" s="1823"/>
      <c r="F57" s="1823"/>
      <c r="G57" s="1823"/>
      <c r="H57" s="1823"/>
      <c r="I57" s="1823"/>
      <c r="J57" s="1823"/>
      <c r="K57" s="1823"/>
      <c r="L57" s="555"/>
      <c r="M57" s="554"/>
      <c r="N57" s="553"/>
      <c r="AC57" s="537" t="s">
        <v>1645</v>
      </c>
    </row>
    <row r="58" spans="1:30" s="536" customFormat="1" x14ac:dyDescent="0.2">
      <c r="A58" s="548"/>
      <c r="B58" s="552"/>
      <c r="C58" s="1822" t="s">
        <v>403</v>
      </c>
      <c r="D58" s="1822"/>
      <c r="E58" s="1822"/>
      <c r="F58" s="1822"/>
      <c r="G58" s="1822"/>
      <c r="H58" s="1822"/>
      <c r="I58" s="1822"/>
      <c r="J58" s="1822"/>
      <c r="K58" s="1822"/>
      <c r="L58" s="551">
        <v>8536.2800000000007</v>
      </c>
      <c r="M58" s="550"/>
      <c r="N58" s="549"/>
      <c r="AD58" s="537" t="s">
        <v>403</v>
      </c>
    </row>
    <row r="59" spans="1:30" s="536" customFormat="1" x14ac:dyDescent="0.2">
      <c r="A59" s="548"/>
      <c r="B59" s="552"/>
      <c r="C59" s="1822" t="s">
        <v>204</v>
      </c>
      <c r="D59" s="1822"/>
      <c r="E59" s="1822"/>
      <c r="F59" s="1822"/>
      <c r="G59" s="1822"/>
      <c r="H59" s="1822"/>
      <c r="I59" s="1822"/>
      <c r="J59" s="1822"/>
      <c r="K59" s="1822"/>
      <c r="L59" s="551"/>
      <c r="M59" s="550"/>
      <c r="N59" s="549"/>
      <c r="AD59" s="537" t="s">
        <v>204</v>
      </c>
    </row>
    <row r="60" spans="1:30" s="536" customFormat="1" x14ac:dyDescent="0.2">
      <c r="A60" s="548"/>
      <c r="B60" s="552"/>
      <c r="C60" s="1822" t="s">
        <v>404</v>
      </c>
      <c r="D60" s="1822"/>
      <c r="E60" s="1822"/>
      <c r="F60" s="1822"/>
      <c r="G60" s="1822"/>
      <c r="H60" s="1822"/>
      <c r="I60" s="1822"/>
      <c r="J60" s="1822"/>
      <c r="K60" s="1822"/>
      <c r="L60" s="551">
        <v>1583.55</v>
      </c>
      <c r="M60" s="550"/>
      <c r="N60" s="549"/>
      <c r="AD60" s="537" t="s">
        <v>404</v>
      </c>
    </row>
    <row r="61" spans="1:30" s="536" customFormat="1" x14ac:dyDescent="0.2">
      <c r="A61" s="548"/>
      <c r="B61" s="552"/>
      <c r="C61" s="1822" t="s">
        <v>405</v>
      </c>
      <c r="D61" s="1822"/>
      <c r="E61" s="1822"/>
      <c r="F61" s="1822"/>
      <c r="G61" s="1822"/>
      <c r="H61" s="1822"/>
      <c r="I61" s="1822"/>
      <c r="J61" s="1822"/>
      <c r="K61" s="1822"/>
      <c r="L61" s="551">
        <v>5548.94</v>
      </c>
      <c r="M61" s="550"/>
      <c r="N61" s="549"/>
      <c r="AD61" s="537" t="s">
        <v>405</v>
      </c>
    </row>
    <row r="62" spans="1:30" s="536" customFormat="1" x14ac:dyDescent="0.2">
      <c r="A62" s="548"/>
      <c r="B62" s="552"/>
      <c r="C62" s="1822" t="s">
        <v>406</v>
      </c>
      <c r="D62" s="1822"/>
      <c r="E62" s="1822"/>
      <c r="F62" s="1822"/>
      <c r="G62" s="1822"/>
      <c r="H62" s="1822"/>
      <c r="I62" s="1822"/>
      <c r="J62" s="1822"/>
      <c r="K62" s="1822"/>
      <c r="L62" s="551">
        <v>372.15</v>
      </c>
      <c r="M62" s="550"/>
      <c r="N62" s="549"/>
      <c r="AD62" s="537" t="s">
        <v>406</v>
      </c>
    </row>
    <row r="63" spans="1:30" s="536" customFormat="1" x14ac:dyDescent="0.2">
      <c r="A63" s="548"/>
      <c r="B63" s="552"/>
      <c r="C63" s="1822" t="s">
        <v>480</v>
      </c>
      <c r="D63" s="1822"/>
      <c r="E63" s="1822"/>
      <c r="F63" s="1822"/>
      <c r="G63" s="1822"/>
      <c r="H63" s="1822"/>
      <c r="I63" s="1822"/>
      <c r="J63" s="1822"/>
      <c r="K63" s="1822"/>
      <c r="L63" s="551">
        <v>1403.79</v>
      </c>
      <c r="M63" s="550"/>
      <c r="N63" s="549"/>
      <c r="AD63" s="537" t="s">
        <v>480</v>
      </c>
    </row>
    <row r="64" spans="1:30" s="536" customFormat="1" x14ac:dyDescent="0.2">
      <c r="A64" s="548"/>
      <c r="B64" s="552" t="s">
        <v>185</v>
      </c>
      <c r="C64" s="1822" t="s">
        <v>753</v>
      </c>
      <c r="D64" s="1822"/>
      <c r="E64" s="1822"/>
      <c r="F64" s="1822"/>
      <c r="G64" s="1822"/>
      <c r="H64" s="1822"/>
      <c r="I64" s="1822"/>
      <c r="J64" s="1822"/>
      <c r="K64" s="1822"/>
      <c r="L64" s="551">
        <v>11293.81</v>
      </c>
      <c r="M64" s="550"/>
      <c r="N64" s="549"/>
      <c r="AD64" s="537" t="s">
        <v>753</v>
      </c>
    </row>
    <row r="65" spans="1:32" s="536" customFormat="1" x14ac:dyDescent="0.2">
      <c r="A65" s="548"/>
      <c r="B65" s="552"/>
      <c r="C65" s="1822" t="s">
        <v>204</v>
      </c>
      <c r="D65" s="1822"/>
      <c r="E65" s="1822"/>
      <c r="F65" s="1822"/>
      <c r="G65" s="1822"/>
      <c r="H65" s="1822"/>
      <c r="I65" s="1822"/>
      <c r="J65" s="1822"/>
      <c r="K65" s="1822"/>
      <c r="L65" s="551"/>
      <c r="M65" s="550"/>
      <c r="N65" s="549"/>
      <c r="AD65" s="537" t="s">
        <v>204</v>
      </c>
    </row>
    <row r="66" spans="1:32" s="536" customFormat="1" x14ac:dyDescent="0.2">
      <c r="A66" s="548"/>
      <c r="B66" s="552"/>
      <c r="C66" s="1822" t="s">
        <v>546</v>
      </c>
      <c r="D66" s="1822"/>
      <c r="E66" s="1822"/>
      <c r="F66" s="1822"/>
      <c r="G66" s="1822"/>
      <c r="H66" s="1822"/>
      <c r="I66" s="1822"/>
      <c r="J66" s="1822"/>
      <c r="K66" s="1822"/>
      <c r="L66" s="551">
        <v>1583.55</v>
      </c>
      <c r="M66" s="550"/>
      <c r="N66" s="549"/>
      <c r="AD66" s="537" t="s">
        <v>546</v>
      </c>
    </row>
    <row r="67" spans="1:32" s="536" customFormat="1" x14ac:dyDescent="0.2">
      <c r="A67" s="548"/>
      <c r="B67" s="552"/>
      <c r="C67" s="1822" t="s">
        <v>442</v>
      </c>
      <c r="D67" s="1822"/>
      <c r="E67" s="1822"/>
      <c r="F67" s="1822"/>
      <c r="G67" s="1822"/>
      <c r="H67" s="1822"/>
      <c r="I67" s="1822"/>
      <c r="J67" s="1822"/>
      <c r="K67" s="1822"/>
      <c r="L67" s="551">
        <v>5548.94</v>
      </c>
      <c r="M67" s="550"/>
      <c r="N67" s="549"/>
      <c r="AD67" s="537" t="s">
        <v>442</v>
      </c>
    </row>
    <row r="68" spans="1:32" s="536" customFormat="1" x14ac:dyDescent="0.2">
      <c r="A68" s="548"/>
      <c r="B68" s="552"/>
      <c r="C68" s="1822" t="s">
        <v>547</v>
      </c>
      <c r="D68" s="1822"/>
      <c r="E68" s="1822"/>
      <c r="F68" s="1822"/>
      <c r="G68" s="1822"/>
      <c r="H68" s="1822"/>
      <c r="I68" s="1822"/>
      <c r="J68" s="1822"/>
      <c r="K68" s="1822"/>
      <c r="L68" s="551">
        <v>1403.79</v>
      </c>
      <c r="M68" s="550"/>
      <c r="N68" s="549"/>
      <c r="AD68" s="537" t="s">
        <v>547</v>
      </c>
    </row>
    <row r="69" spans="1:32" s="536" customFormat="1" x14ac:dyDescent="0.2">
      <c r="A69" s="548"/>
      <c r="B69" s="552"/>
      <c r="C69" s="1822" t="s">
        <v>443</v>
      </c>
      <c r="D69" s="1822"/>
      <c r="E69" s="1822"/>
      <c r="F69" s="1822"/>
      <c r="G69" s="1822"/>
      <c r="H69" s="1822"/>
      <c r="I69" s="1822"/>
      <c r="J69" s="1822"/>
      <c r="K69" s="1822"/>
      <c r="L69" s="551">
        <v>1799.24</v>
      </c>
      <c r="M69" s="550"/>
      <c r="N69" s="549"/>
      <c r="AD69" s="537" t="s">
        <v>443</v>
      </c>
    </row>
    <row r="70" spans="1:32" s="536" customFormat="1" x14ac:dyDescent="0.2">
      <c r="A70" s="548"/>
      <c r="B70" s="552"/>
      <c r="C70" s="1822" t="s">
        <v>444</v>
      </c>
      <c r="D70" s="1822"/>
      <c r="E70" s="1822"/>
      <c r="F70" s="1822"/>
      <c r="G70" s="1822"/>
      <c r="H70" s="1822"/>
      <c r="I70" s="1822"/>
      <c r="J70" s="1822"/>
      <c r="K70" s="1822"/>
      <c r="L70" s="551">
        <v>958.29</v>
      </c>
      <c r="M70" s="550"/>
      <c r="N70" s="549"/>
      <c r="AD70" s="537" t="s">
        <v>444</v>
      </c>
    </row>
    <row r="71" spans="1:32" s="536" customFormat="1" x14ac:dyDescent="0.2">
      <c r="A71" s="548"/>
      <c r="B71" s="552" t="s">
        <v>186</v>
      </c>
      <c r="C71" s="1822" t="s">
        <v>754</v>
      </c>
      <c r="D71" s="1822"/>
      <c r="E71" s="1822"/>
      <c r="F71" s="1822"/>
      <c r="G71" s="1822"/>
      <c r="H71" s="1822"/>
      <c r="I71" s="1822"/>
      <c r="J71" s="1822"/>
      <c r="K71" s="1822"/>
      <c r="L71" s="551">
        <v>7760248.5800000001</v>
      </c>
      <c r="M71" s="550"/>
      <c r="N71" s="549"/>
      <c r="AD71" s="537" t="s">
        <v>754</v>
      </c>
    </row>
    <row r="72" spans="1:32" s="536" customFormat="1" x14ac:dyDescent="0.2">
      <c r="A72" s="548"/>
      <c r="B72" s="552"/>
      <c r="C72" s="1822" t="s">
        <v>415</v>
      </c>
      <c r="D72" s="1822"/>
      <c r="E72" s="1822"/>
      <c r="F72" s="1822"/>
      <c r="G72" s="1822"/>
      <c r="H72" s="1822"/>
      <c r="I72" s="1822"/>
      <c r="J72" s="1822"/>
      <c r="K72" s="1822"/>
      <c r="L72" s="551">
        <v>1955.7</v>
      </c>
      <c r="M72" s="550"/>
      <c r="N72" s="549"/>
      <c r="AD72" s="537" t="s">
        <v>415</v>
      </c>
    </row>
    <row r="73" spans="1:32" s="536" customFormat="1" x14ac:dyDescent="0.2">
      <c r="A73" s="548"/>
      <c r="B73" s="552"/>
      <c r="C73" s="1822" t="s">
        <v>416</v>
      </c>
      <c r="D73" s="1822"/>
      <c r="E73" s="1822"/>
      <c r="F73" s="1822"/>
      <c r="G73" s="1822"/>
      <c r="H73" s="1822"/>
      <c r="I73" s="1822"/>
      <c r="J73" s="1822"/>
      <c r="K73" s="1822"/>
      <c r="L73" s="551">
        <v>1799.24</v>
      </c>
      <c r="M73" s="550"/>
      <c r="N73" s="549"/>
      <c r="AD73" s="537" t="s">
        <v>416</v>
      </c>
    </row>
    <row r="74" spans="1:32" s="536" customFormat="1" x14ac:dyDescent="0.2">
      <c r="A74" s="548"/>
      <c r="B74" s="552"/>
      <c r="C74" s="1822" t="s">
        <v>417</v>
      </c>
      <c r="D74" s="1822"/>
      <c r="E74" s="1822"/>
      <c r="F74" s="1822"/>
      <c r="G74" s="1822"/>
      <c r="H74" s="1822"/>
      <c r="I74" s="1822"/>
      <c r="J74" s="1822"/>
      <c r="K74" s="1822"/>
      <c r="L74" s="551">
        <v>958.29</v>
      </c>
      <c r="M74" s="550"/>
      <c r="N74" s="549"/>
      <c r="AD74" s="537" t="s">
        <v>417</v>
      </c>
    </row>
    <row r="75" spans="1:32" s="536" customFormat="1" x14ac:dyDescent="0.2">
      <c r="A75" s="548"/>
      <c r="B75" s="546"/>
      <c r="C75" s="1819" t="s">
        <v>1646</v>
      </c>
      <c r="D75" s="1819"/>
      <c r="E75" s="1819"/>
      <c r="F75" s="1819"/>
      <c r="G75" s="1819"/>
      <c r="H75" s="1819"/>
      <c r="I75" s="1819"/>
      <c r="J75" s="1819"/>
      <c r="K75" s="1819"/>
      <c r="L75" s="544">
        <v>7771542.3899999997</v>
      </c>
      <c r="M75" s="543"/>
      <c r="N75" s="681"/>
      <c r="AE75" s="537" t="s">
        <v>1646</v>
      </c>
    </row>
    <row r="76" spans="1:32" s="536" customFormat="1" x14ac:dyDescent="0.2">
      <c r="A76" s="548"/>
      <c r="B76" s="552"/>
      <c r="C76" s="1822" t="s">
        <v>204</v>
      </c>
      <c r="D76" s="1822"/>
      <c r="E76" s="1822"/>
      <c r="F76" s="1822"/>
      <c r="G76" s="1822"/>
      <c r="H76" s="1822"/>
      <c r="I76" s="1822"/>
      <c r="J76" s="1822"/>
      <c r="K76" s="1822"/>
      <c r="L76" s="551"/>
      <c r="M76" s="550"/>
      <c r="N76" s="549"/>
      <c r="AD76" s="537" t="s">
        <v>204</v>
      </c>
    </row>
    <row r="77" spans="1:32" s="536" customFormat="1" x14ac:dyDescent="0.2">
      <c r="A77" s="548"/>
      <c r="B77" s="552"/>
      <c r="C77" s="1822" t="s">
        <v>8097</v>
      </c>
      <c r="D77" s="1822"/>
      <c r="E77" s="1822"/>
      <c r="F77" s="1822"/>
      <c r="G77" s="1822"/>
      <c r="H77" s="1822"/>
      <c r="I77" s="1822"/>
      <c r="J77" s="1822"/>
      <c r="K77" s="1822"/>
      <c r="L77" s="551">
        <v>7760248.5800000001</v>
      </c>
      <c r="M77" s="550"/>
      <c r="N77" s="549"/>
      <c r="AD77" s="537" t="s">
        <v>8097</v>
      </c>
    </row>
    <row r="78" spans="1:32" s="536" customFormat="1" ht="12" x14ac:dyDescent="0.2">
      <c r="A78" s="1824" t="s">
        <v>6567</v>
      </c>
      <c r="B78" s="1825"/>
      <c r="C78" s="1825"/>
      <c r="D78" s="1825"/>
      <c r="E78" s="1825"/>
      <c r="F78" s="1825"/>
      <c r="G78" s="1825"/>
      <c r="H78" s="1825"/>
      <c r="I78" s="1825"/>
      <c r="J78" s="1825"/>
      <c r="K78" s="1825"/>
      <c r="L78" s="1825"/>
      <c r="M78" s="1825"/>
      <c r="N78" s="1826"/>
      <c r="V78" s="537" t="s">
        <v>6567</v>
      </c>
    </row>
    <row r="79" spans="1:32" s="536" customFormat="1" x14ac:dyDescent="0.2">
      <c r="A79" s="1830" t="s">
        <v>8635</v>
      </c>
      <c r="B79" s="1831"/>
      <c r="C79" s="1831"/>
      <c r="D79" s="1831"/>
      <c r="E79" s="1831"/>
      <c r="F79" s="1831"/>
      <c r="G79" s="1831"/>
      <c r="H79" s="1831"/>
      <c r="I79" s="1831"/>
      <c r="J79" s="1831"/>
      <c r="K79" s="1831"/>
      <c r="L79" s="1831"/>
      <c r="M79" s="1831"/>
      <c r="N79" s="1832"/>
      <c r="AF79" s="537" t="s">
        <v>8635</v>
      </c>
    </row>
    <row r="80" spans="1:32" s="536" customFormat="1" ht="56.25" x14ac:dyDescent="0.2">
      <c r="A80" s="575" t="s">
        <v>187</v>
      </c>
      <c r="B80" s="670" t="s">
        <v>3774</v>
      </c>
      <c r="C80" s="1823" t="s">
        <v>3775</v>
      </c>
      <c r="D80" s="1823"/>
      <c r="E80" s="1823"/>
      <c r="F80" s="573" t="s">
        <v>455</v>
      </c>
      <c r="G80" s="573"/>
      <c r="H80" s="573"/>
      <c r="I80" s="573" t="s">
        <v>8636</v>
      </c>
      <c r="J80" s="572"/>
      <c r="K80" s="573"/>
      <c r="L80" s="572"/>
      <c r="M80" s="571"/>
      <c r="N80" s="570"/>
      <c r="W80" s="537" t="s">
        <v>3775</v>
      </c>
    </row>
    <row r="81" spans="1:33" s="536" customFormat="1" x14ac:dyDescent="0.2">
      <c r="A81" s="676"/>
      <c r="B81" s="664"/>
      <c r="C81" s="1822" t="s">
        <v>8637</v>
      </c>
      <c r="D81" s="1822"/>
      <c r="E81" s="1822"/>
      <c r="F81" s="1822"/>
      <c r="G81" s="1822"/>
      <c r="H81" s="1822"/>
      <c r="I81" s="1822"/>
      <c r="J81" s="1822"/>
      <c r="K81" s="1822"/>
      <c r="L81" s="1822"/>
      <c r="M81" s="1822"/>
      <c r="N81" s="1827"/>
      <c r="AG81" s="537" t="s">
        <v>8637</v>
      </c>
    </row>
    <row r="82" spans="1:33" s="536" customFormat="1" ht="33.75" x14ac:dyDescent="0.2">
      <c r="A82" s="609"/>
      <c r="B82" s="552" t="s">
        <v>310</v>
      </c>
      <c r="C82" s="1822" t="s">
        <v>311</v>
      </c>
      <c r="D82" s="1822"/>
      <c r="E82" s="1822"/>
      <c r="F82" s="1822"/>
      <c r="G82" s="1822"/>
      <c r="H82" s="1822"/>
      <c r="I82" s="1822"/>
      <c r="J82" s="1822"/>
      <c r="K82" s="1822"/>
      <c r="L82" s="1822"/>
      <c r="M82" s="1822"/>
      <c r="N82" s="1827"/>
      <c r="X82" s="537" t="s">
        <v>311</v>
      </c>
    </row>
    <row r="83" spans="1:33" s="536" customFormat="1" x14ac:dyDescent="0.2">
      <c r="A83" s="605"/>
      <c r="B83" s="552" t="s">
        <v>186</v>
      </c>
      <c r="C83" s="1822" t="s">
        <v>344</v>
      </c>
      <c r="D83" s="1822"/>
      <c r="E83" s="1822"/>
      <c r="F83" s="562"/>
      <c r="G83" s="562"/>
      <c r="H83" s="562"/>
      <c r="I83" s="562"/>
      <c r="J83" s="604">
        <v>6166.95</v>
      </c>
      <c r="K83" s="562" t="s">
        <v>313</v>
      </c>
      <c r="L83" s="604">
        <v>35.520000000000003</v>
      </c>
      <c r="M83" s="603"/>
      <c r="N83" s="602"/>
      <c r="Y83" s="537" t="s">
        <v>344</v>
      </c>
    </row>
    <row r="84" spans="1:33" s="536" customFormat="1" x14ac:dyDescent="0.2">
      <c r="A84" s="605"/>
      <c r="B84" s="552" t="s">
        <v>187</v>
      </c>
      <c r="C84" s="1822" t="s">
        <v>345</v>
      </c>
      <c r="D84" s="1822"/>
      <c r="E84" s="1822"/>
      <c r="F84" s="562"/>
      <c r="G84" s="562"/>
      <c r="H84" s="562"/>
      <c r="I84" s="562"/>
      <c r="J84" s="604">
        <v>722.25</v>
      </c>
      <c r="K84" s="562" t="s">
        <v>313</v>
      </c>
      <c r="L84" s="604">
        <v>4.16</v>
      </c>
      <c r="M84" s="603"/>
      <c r="N84" s="602"/>
      <c r="Y84" s="537" t="s">
        <v>345</v>
      </c>
    </row>
    <row r="85" spans="1:33" s="536" customFormat="1" x14ac:dyDescent="0.2">
      <c r="A85" s="605"/>
      <c r="B85" s="552"/>
      <c r="C85" s="1822" t="s">
        <v>348</v>
      </c>
      <c r="D85" s="1822"/>
      <c r="E85" s="1822"/>
      <c r="F85" s="562" t="s">
        <v>315</v>
      </c>
      <c r="G85" s="562" t="s">
        <v>3776</v>
      </c>
      <c r="H85" s="562" t="s">
        <v>313</v>
      </c>
      <c r="I85" s="562" t="s">
        <v>8638</v>
      </c>
      <c r="J85" s="604"/>
      <c r="K85" s="562"/>
      <c r="L85" s="604"/>
      <c r="M85" s="603"/>
      <c r="N85" s="602"/>
      <c r="Z85" s="537" t="s">
        <v>348</v>
      </c>
    </row>
    <row r="86" spans="1:33" s="536" customFormat="1" x14ac:dyDescent="0.2">
      <c r="A86" s="605"/>
      <c r="B86" s="552"/>
      <c r="C86" s="1828" t="s">
        <v>318</v>
      </c>
      <c r="D86" s="1828"/>
      <c r="E86" s="1828"/>
      <c r="F86" s="608"/>
      <c r="G86" s="608"/>
      <c r="H86" s="608"/>
      <c r="I86" s="608"/>
      <c r="J86" s="607">
        <v>6166.95</v>
      </c>
      <c r="K86" s="608"/>
      <c r="L86" s="607">
        <v>35.520000000000003</v>
      </c>
      <c r="M86" s="601"/>
      <c r="N86" s="606"/>
      <c r="AA86" s="537" t="s">
        <v>318</v>
      </c>
    </row>
    <row r="87" spans="1:33" s="536" customFormat="1" x14ac:dyDescent="0.2">
      <c r="A87" s="605"/>
      <c r="B87" s="552"/>
      <c r="C87" s="1822" t="s">
        <v>319</v>
      </c>
      <c r="D87" s="1822"/>
      <c r="E87" s="1822"/>
      <c r="F87" s="562"/>
      <c r="G87" s="562"/>
      <c r="H87" s="562"/>
      <c r="I87" s="562"/>
      <c r="J87" s="604"/>
      <c r="K87" s="562"/>
      <c r="L87" s="604">
        <v>4.16</v>
      </c>
      <c r="M87" s="603"/>
      <c r="N87" s="602"/>
      <c r="Z87" s="537" t="s">
        <v>319</v>
      </c>
    </row>
    <row r="88" spans="1:33" s="536" customFormat="1" ht="33.75" x14ac:dyDescent="0.2">
      <c r="A88" s="605"/>
      <c r="B88" s="552" t="s">
        <v>460</v>
      </c>
      <c r="C88" s="1822" t="s">
        <v>461</v>
      </c>
      <c r="D88" s="1822"/>
      <c r="E88" s="1822"/>
      <c r="F88" s="562" t="s">
        <v>322</v>
      </c>
      <c r="G88" s="562" t="s">
        <v>462</v>
      </c>
      <c r="H88" s="562"/>
      <c r="I88" s="562" t="s">
        <v>462</v>
      </c>
      <c r="J88" s="604"/>
      <c r="K88" s="562"/>
      <c r="L88" s="604">
        <v>3.83</v>
      </c>
      <c r="M88" s="603"/>
      <c r="N88" s="602"/>
      <c r="Z88" s="537" t="s">
        <v>461</v>
      </c>
    </row>
    <row r="89" spans="1:33" s="536" customFormat="1" ht="33.75" x14ac:dyDescent="0.2">
      <c r="A89" s="605"/>
      <c r="B89" s="552" t="s">
        <v>463</v>
      </c>
      <c r="C89" s="1822" t="s">
        <v>464</v>
      </c>
      <c r="D89" s="1822"/>
      <c r="E89" s="1822"/>
      <c r="F89" s="562" t="s">
        <v>322</v>
      </c>
      <c r="G89" s="562" t="s">
        <v>465</v>
      </c>
      <c r="H89" s="562"/>
      <c r="I89" s="562" t="s">
        <v>465</v>
      </c>
      <c r="J89" s="604"/>
      <c r="K89" s="562"/>
      <c r="L89" s="604">
        <v>1.91</v>
      </c>
      <c r="M89" s="603"/>
      <c r="N89" s="602"/>
      <c r="Z89" s="537" t="s">
        <v>464</v>
      </c>
    </row>
    <row r="90" spans="1:33" s="536" customFormat="1" x14ac:dyDescent="0.2">
      <c r="A90" s="569"/>
      <c r="B90" s="671"/>
      <c r="C90" s="1823" t="s">
        <v>327</v>
      </c>
      <c r="D90" s="1823"/>
      <c r="E90" s="1823"/>
      <c r="F90" s="573"/>
      <c r="G90" s="573"/>
      <c r="H90" s="573"/>
      <c r="I90" s="573"/>
      <c r="J90" s="572"/>
      <c r="K90" s="573"/>
      <c r="L90" s="572">
        <v>41.26</v>
      </c>
      <c r="M90" s="601"/>
      <c r="N90" s="570"/>
      <c r="AB90" s="537" t="s">
        <v>327</v>
      </c>
    </row>
    <row r="91" spans="1:33" s="536" customFormat="1" ht="45" x14ac:dyDescent="0.2">
      <c r="A91" s="575" t="s">
        <v>188</v>
      </c>
      <c r="B91" s="670" t="s">
        <v>1511</v>
      </c>
      <c r="C91" s="1823" t="s">
        <v>1512</v>
      </c>
      <c r="D91" s="1823"/>
      <c r="E91" s="1823"/>
      <c r="F91" s="573" t="s">
        <v>455</v>
      </c>
      <c r="G91" s="573"/>
      <c r="H91" s="573"/>
      <c r="I91" s="573" t="s">
        <v>8639</v>
      </c>
      <c r="J91" s="572"/>
      <c r="K91" s="573"/>
      <c r="L91" s="572"/>
      <c r="M91" s="571"/>
      <c r="N91" s="570"/>
      <c r="W91" s="537" t="s">
        <v>1512</v>
      </c>
    </row>
    <row r="92" spans="1:33" s="536" customFormat="1" x14ac:dyDescent="0.2">
      <c r="A92" s="676"/>
      <c r="B92" s="664"/>
      <c r="C92" s="1822" t="s">
        <v>8640</v>
      </c>
      <c r="D92" s="1822"/>
      <c r="E92" s="1822"/>
      <c r="F92" s="1822"/>
      <c r="G92" s="1822"/>
      <c r="H92" s="1822"/>
      <c r="I92" s="1822"/>
      <c r="J92" s="1822"/>
      <c r="K92" s="1822"/>
      <c r="L92" s="1822"/>
      <c r="M92" s="1822"/>
      <c r="N92" s="1827"/>
      <c r="AG92" s="537" t="s">
        <v>8640</v>
      </c>
    </row>
    <row r="93" spans="1:33" s="536" customFormat="1" ht="33.75" x14ac:dyDescent="0.2">
      <c r="A93" s="609"/>
      <c r="B93" s="552" t="s">
        <v>310</v>
      </c>
      <c r="C93" s="1822" t="s">
        <v>311</v>
      </c>
      <c r="D93" s="1822"/>
      <c r="E93" s="1822"/>
      <c r="F93" s="1822"/>
      <c r="G93" s="1822"/>
      <c r="H93" s="1822"/>
      <c r="I93" s="1822"/>
      <c r="J93" s="1822"/>
      <c r="K93" s="1822"/>
      <c r="L93" s="1822"/>
      <c r="M93" s="1822"/>
      <c r="N93" s="1827"/>
      <c r="X93" s="537" t="s">
        <v>311</v>
      </c>
    </row>
    <row r="94" spans="1:33" s="536" customFormat="1" x14ac:dyDescent="0.2">
      <c r="A94" s="605"/>
      <c r="B94" s="552" t="s">
        <v>186</v>
      </c>
      <c r="C94" s="1822" t="s">
        <v>344</v>
      </c>
      <c r="D94" s="1822"/>
      <c r="E94" s="1822"/>
      <c r="F94" s="562"/>
      <c r="G94" s="562"/>
      <c r="H94" s="562"/>
      <c r="I94" s="562"/>
      <c r="J94" s="604">
        <v>4898.9799999999996</v>
      </c>
      <c r="K94" s="562" t="s">
        <v>313</v>
      </c>
      <c r="L94" s="604">
        <v>49.28</v>
      </c>
      <c r="M94" s="603"/>
      <c r="N94" s="602"/>
      <c r="Y94" s="537" t="s">
        <v>344</v>
      </c>
    </row>
    <row r="95" spans="1:33" s="536" customFormat="1" x14ac:dyDescent="0.2">
      <c r="A95" s="605"/>
      <c r="B95" s="552" t="s">
        <v>187</v>
      </c>
      <c r="C95" s="1822" t="s">
        <v>345</v>
      </c>
      <c r="D95" s="1822"/>
      <c r="E95" s="1822"/>
      <c r="F95" s="562"/>
      <c r="G95" s="562"/>
      <c r="H95" s="562"/>
      <c r="I95" s="562"/>
      <c r="J95" s="604">
        <v>573.75</v>
      </c>
      <c r="K95" s="562" t="s">
        <v>313</v>
      </c>
      <c r="L95" s="604">
        <v>5.77</v>
      </c>
      <c r="M95" s="603"/>
      <c r="N95" s="602"/>
      <c r="Y95" s="537" t="s">
        <v>345</v>
      </c>
    </row>
    <row r="96" spans="1:33" s="536" customFormat="1" x14ac:dyDescent="0.2">
      <c r="A96" s="605"/>
      <c r="B96" s="552"/>
      <c r="C96" s="1822" t="s">
        <v>348</v>
      </c>
      <c r="D96" s="1822"/>
      <c r="E96" s="1822"/>
      <c r="F96" s="562" t="s">
        <v>315</v>
      </c>
      <c r="G96" s="562" t="s">
        <v>1513</v>
      </c>
      <c r="H96" s="562" t="s">
        <v>313</v>
      </c>
      <c r="I96" s="562" t="s">
        <v>8641</v>
      </c>
      <c r="J96" s="604"/>
      <c r="K96" s="562"/>
      <c r="L96" s="604"/>
      <c r="M96" s="603"/>
      <c r="N96" s="602"/>
      <c r="Z96" s="537" t="s">
        <v>348</v>
      </c>
    </row>
    <row r="97" spans="1:33" s="536" customFormat="1" x14ac:dyDescent="0.2">
      <c r="A97" s="605"/>
      <c r="B97" s="552"/>
      <c r="C97" s="1828" t="s">
        <v>318</v>
      </c>
      <c r="D97" s="1828"/>
      <c r="E97" s="1828"/>
      <c r="F97" s="608"/>
      <c r="G97" s="608"/>
      <c r="H97" s="608"/>
      <c r="I97" s="608"/>
      <c r="J97" s="607">
        <v>4898.9799999999996</v>
      </c>
      <c r="K97" s="608"/>
      <c r="L97" s="607">
        <v>49.28</v>
      </c>
      <c r="M97" s="601"/>
      <c r="N97" s="606"/>
      <c r="AA97" s="537" t="s">
        <v>318</v>
      </c>
    </row>
    <row r="98" spans="1:33" s="536" customFormat="1" x14ac:dyDescent="0.2">
      <c r="A98" s="605"/>
      <c r="B98" s="552"/>
      <c r="C98" s="1822" t="s">
        <v>319</v>
      </c>
      <c r="D98" s="1822"/>
      <c r="E98" s="1822"/>
      <c r="F98" s="562"/>
      <c r="G98" s="562"/>
      <c r="H98" s="562"/>
      <c r="I98" s="562"/>
      <c r="J98" s="604"/>
      <c r="K98" s="562"/>
      <c r="L98" s="604">
        <v>5.77</v>
      </c>
      <c r="M98" s="603"/>
      <c r="N98" s="602"/>
      <c r="Z98" s="537" t="s">
        <v>319</v>
      </c>
    </row>
    <row r="99" spans="1:33" s="536" customFormat="1" ht="33.75" x14ac:dyDescent="0.2">
      <c r="A99" s="605"/>
      <c r="B99" s="552" t="s">
        <v>460</v>
      </c>
      <c r="C99" s="1822" t="s">
        <v>461</v>
      </c>
      <c r="D99" s="1822"/>
      <c r="E99" s="1822"/>
      <c r="F99" s="562" t="s">
        <v>322</v>
      </c>
      <c r="G99" s="562" t="s">
        <v>462</v>
      </c>
      <c r="H99" s="562"/>
      <c r="I99" s="562" t="s">
        <v>462</v>
      </c>
      <c r="J99" s="604"/>
      <c r="K99" s="562"/>
      <c r="L99" s="604">
        <v>5.31</v>
      </c>
      <c r="M99" s="603"/>
      <c r="N99" s="602"/>
      <c r="Z99" s="537" t="s">
        <v>461</v>
      </c>
    </row>
    <row r="100" spans="1:33" s="536" customFormat="1" ht="33.75" x14ac:dyDescent="0.2">
      <c r="A100" s="605"/>
      <c r="B100" s="552" t="s">
        <v>463</v>
      </c>
      <c r="C100" s="1822" t="s">
        <v>464</v>
      </c>
      <c r="D100" s="1822"/>
      <c r="E100" s="1822"/>
      <c r="F100" s="562" t="s">
        <v>322</v>
      </c>
      <c r="G100" s="562" t="s">
        <v>465</v>
      </c>
      <c r="H100" s="562"/>
      <c r="I100" s="562" t="s">
        <v>465</v>
      </c>
      <c r="J100" s="604"/>
      <c r="K100" s="562"/>
      <c r="L100" s="604">
        <v>2.65</v>
      </c>
      <c r="M100" s="603"/>
      <c r="N100" s="602"/>
      <c r="Z100" s="537" t="s">
        <v>464</v>
      </c>
    </row>
    <row r="101" spans="1:33" s="536" customFormat="1" x14ac:dyDescent="0.2">
      <c r="A101" s="569"/>
      <c r="B101" s="671"/>
      <c r="C101" s="1823" t="s">
        <v>327</v>
      </c>
      <c r="D101" s="1823"/>
      <c r="E101" s="1823"/>
      <c r="F101" s="573"/>
      <c r="G101" s="573"/>
      <c r="H101" s="573"/>
      <c r="I101" s="573"/>
      <c r="J101" s="572"/>
      <c r="K101" s="573"/>
      <c r="L101" s="572">
        <v>57.24</v>
      </c>
      <c r="M101" s="601"/>
      <c r="N101" s="570"/>
      <c r="AB101" s="537" t="s">
        <v>327</v>
      </c>
    </row>
    <row r="102" spans="1:33" s="536" customFormat="1" ht="33.75" x14ac:dyDescent="0.2">
      <c r="A102" s="575" t="s">
        <v>189</v>
      </c>
      <c r="B102" s="670" t="s">
        <v>1514</v>
      </c>
      <c r="C102" s="1823" t="s">
        <v>1515</v>
      </c>
      <c r="D102" s="1823"/>
      <c r="E102" s="1823"/>
      <c r="F102" s="573" t="s">
        <v>509</v>
      </c>
      <c r="G102" s="573"/>
      <c r="H102" s="573"/>
      <c r="I102" s="573" t="s">
        <v>8642</v>
      </c>
      <c r="J102" s="572"/>
      <c r="K102" s="573"/>
      <c r="L102" s="572"/>
      <c r="M102" s="571"/>
      <c r="N102" s="570"/>
      <c r="W102" s="537" t="s">
        <v>1515</v>
      </c>
    </row>
    <row r="103" spans="1:33" s="536" customFormat="1" x14ac:dyDescent="0.2">
      <c r="A103" s="676"/>
      <c r="B103" s="664"/>
      <c r="C103" s="1822" t="s">
        <v>8643</v>
      </c>
      <c r="D103" s="1822"/>
      <c r="E103" s="1822"/>
      <c r="F103" s="1822"/>
      <c r="G103" s="1822"/>
      <c r="H103" s="1822"/>
      <c r="I103" s="1822"/>
      <c r="J103" s="1822"/>
      <c r="K103" s="1822"/>
      <c r="L103" s="1822"/>
      <c r="M103" s="1822"/>
      <c r="N103" s="1827"/>
      <c r="AG103" s="537" t="s">
        <v>8643</v>
      </c>
    </row>
    <row r="104" spans="1:33" s="536" customFormat="1" ht="33.75" x14ac:dyDescent="0.2">
      <c r="A104" s="609"/>
      <c r="B104" s="552" t="s">
        <v>310</v>
      </c>
      <c r="C104" s="1822" t="s">
        <v>311</v>
      </c>
      <c r="D104" s="1822"/>
      <c r="E104" s="1822"/>
      <c r="F104" s="1822"/>
      <c r="G104" s="1822"/>
      <c r="H104" s="1822"/>
      <c r="I104" s="1822"/>
      <c r="J104" s="1822"/>
      <c r="K104" s="1822"/>
      <c r="L104" s="1822"/>
      <c r="M104" s="1822"/>
      <c r="N104" s="1827"/>
      <c r="X104" s="537" t="s">
        <v>311</v>
      </c>
    </row>
    <row r="105" spans="1:33" s="536" customFormat="1" x14ac:dyDescent="0.2">
      <c r="A105" s="605"/>
      <c r="B105" s="552" t="s">
        <v>185</v>
      </c>
      <c r="C105" s="1822" t="s">
        <v>312</v>
      </c>
      <c r="D105" s="1822"/>
      <c r="E105" s="1822"/>
      <c r="F105" s="562"/>
      <c r="G105" s="562"/>
      <c r="H105" s="562"/>
      <c r="I105" s="562"/>
      <c r="J105" s="604">
        <v>3036.68</v>
      </c>
      <c r="K105" s="562" t="s">
        <v>313</v>
      </c>
      <c r="L105" s="604">
        <v>14.86</v>
      </c>
      <c r="M105" s="603"/>
      <c r="N105" s="602"/>
      <c r="Y105" s="537" t="s">
        <v>312</v>
      </c>
    </row>
    <row r="106" spans="1:33" s="536" customFormat="1" x14ac:dyDescent="0.2">
      <c r="A106" s="605"/>
      <c r="B106" s="552"/>
      <c r="C106" s="1822" t="s">
        <v>314</v>
      </c>
      <c r="D106" s="1822"/>
      <c r="E106" s="1822"/>
      <c r="F106" s="562" t="s">
        <v>315</v>
      </c>
      <c r="G106" s="562" t="s">
        <v>1521</v>
      </c>
      <c r="H106" s="562" t="s">
        <v>313</v>
      </c>
      <c r="I106" s="562" t="s">
        <v>8644</v>
      </c>
      <c r="J106" s="604"/>
      <c r="K106" s="562"/>
      <c r="L106" s="604"/>
      <c r="M106" s="603"/>
      <c r="N106" s="602"/>
      <c r="Z106" s="537" t="s">
        <v>314</v>
      </c>
    </row>
    <row r="107" spans="1:33" s="536" customFormat="1" x14ac:dyDescent="0.2">
      <c r="A107" s="605"/>
      <c r="B107" s="552"/>
      <c r="C107" s="1828" t="s">
        <v>318</v>
      </c>
      <c r="D107" s="1828"/>
      <c r="E107" s="1828"/>
      <c r="F107" s="608"/>
      <c r="G107" s="608"/>
      <c r="H107" s="608"/>
      <c r="I107" s="608"/>
      <c r="J107" s="607">
        <v>3036.68</v>
      </c>
      <c r="K107" s="608"/>
      <c r="L107" s="607">
        <v>14.86</v>
      </c>
      <c r="M107" s="601"/>
      <c r="N107" s="606"/>
      <c r="AA107" s="537" t="s">
        <v>318</v>
      </c>
    </row>
    <row r="108" spans="1:33" s="536" customFormat="1" x14ac:dyDescent="0.2">
      <c r="A108" s="605"/>
      <c r="B108" s="552"/>
      <c r="C108" s="1822" t="s">
        <v>319</v>
      </c>
      <c r="D108" s="1822"/>
      <c r="E108" s="1822"/>
      <c r="F108" s="562"/>
      <c r="G108" s="562"/>
      <c r="H108" s="562"/>
      <c r="I108" s="562"/>
      <c r="J108" s="604"/>
      <c r="K108" s="562"/>
      <c r="L108" s="604">
        <v>14.86</v>
      </c>
      <c r="M108" s="603"/>
      <c r="N108" s="602"/>
      <c r="Z108" s="537" t="s">
        <v>319</v>
      </c>
    </row>
    <row r="109" spans="1:33" s="536" customFormat="1" ht="33.75" x14ac:dyDescent="0.2">
      <c r="A109" s="605"/>
      <c r="B109" s="552" t="s">
        <v>673</v>
      </c>
      <c r="C109" s="1822" t="s">
        <v>674</v>
      </c>
      <c r="D109" s="1822"/>
      <c r="E109" s="1822"/>
      <c r="F109" s="562" t="s">
        <v>322</v>
      </c>
      <c r="G109" s="562" t="s">
        <v>323</v>
      </c>
      <c r="H109" s="562"/>
      <c r="I109" s="562" t="s">
        <v>323</v>
      </c>
      <c r="J109" s="604"/>
      <c r="K109" s="562"/>
      <c r="L109" s="604">
        <v>13.23</v>
      </c>
      <c r="M109" s="603"/>
      <c r="N109" s="602"/>
      <c r="Z109" s="537" t="s">
        <v>674</v>
      </c>
    </row>
    <row r="110" spans="1:33" s="536" customFormat="1" ht="33.75" x14ac:dyDescent="0.2">
      <c r="A110" s="605"/>
      <c r="B110" s="552" t="s">
        <v>675</v>
      </c>
      <c r="C110" s="1822" t="s">
        <v>676</v>
      </c>
      <c r="D110" s="1822"/>
      <c r="E110" s="1822"/>
      <c r="F110" s="562" t="s">
        <v>322</v>
      </c>
      <c r="G110" s="562" t="s">
        <v>677</v>
      </c>
      <c r="H110" s="562"/>
      <c r="I110" s="562" t="s">
        <v>677</v>
      </c>
      <c r="J110" s="604"/>
      <c r="K110" s="562"/>
      <c r="L110" s="604">
        <v>5.94</v>
      </c>
      <c r="M110" s="603"/>
      <c r="N110" s="602"/>
      <c r="Z110" s="537" t="s">
        <v>676</v>
      </c>
    </row>
    <row r="111" spans="1:33" s="536" customFormat="1" x14ac:dyDescent="0.2">
      <c r="A111" s="569"/>
      <c r="B111" s="671"/>
      <c r="C111" s="1823" t="s">
        <v>327</v>
      </c>
      <c r="D111" s="1823"/>
      <c r="E111" s="1823"/>
      <c r="F111" s="573"/>
      <c r="G111" s="573"/>
      <c r="H111" s="573"/>
      <c r="I111" s="573"/>
      <c r="J111" s="572"/>
      <c r="K111" s="573"/>
      <c r="L111" s="572">
        <v>34.03</v>
      </c>
      <c r="M111" s="601"/>
      <c r="N111" s="570"/>
      <c r="AB111" s="537" t="s">
        <v>327</v>
      </c>
    </row>
    <row r="112" spans="1:33" s="536" customFormat="1" ht="45" x14ac:dyDescent="0.2">
      <c r="A112" s="575" t="s">
        <v>190</v>
      </c>
      <c r="B112" s="670" t="s">
        <v>1005</v>
      </c>
      <c r="C112" s="1823" t="s">
        <v>1006</v>
      </c>
      <c r="D112" s="1823"/>
      <c r="E112" s="1823"/>
      <c r="F112" s="573" t="s">
        <v>201</v>
      </c>
      <c r="G112" s="573"/>
      <c r="H112" s="573"/>
      <c r="I112" s="573" t="s">
        <v>8645</v>
      </c>
      <c r="J112" s="572">
        <v>2.91</v>
      </c>
      <c r="K112" s="573"/>
      <c r="L112" s="572">
        <v>30.84</v>
      </c>
      <c r="M112" s="571"/>
      <c r="N112" s="570"/>
      <c r="W112" s="537" t="s">
        <v>1006</v>
      </c>
    </row>
    <row r="113" spans="1:33" s="536" customFormat="1" x14ac:dyDescent="0.2">
      <c r="A113" s="676"/>
      <c r="B113" s="664"/>
      <c r="C113" s="1822" t="s">
        <v>8646</v>
      </c>
      <c r="D113" s="1822"/>
      <c r="E113" s="1822"/>
      <c r="F113" s="1822"/>
      <c r="G113" s="1822"/>
      <c r="H113" s="1822"/>
      <c r="I113" s="1822"/>
      <c r="J113" s="1822"/>
      <c r="K113" s="1822"/>
      <c r="L113" s="1822"/>
      <c r="M113" s="1822"/>
      <c r="N113" s="1827"/>
      <c r="AG113" s="537" t="s">
        <v>8646</v>
      </c>
    </row>
    <row r="114" spans="1:33" s="536" customFormat="1" ht="45" x14ac:dyDescent="0.2">
      <c r="A114" s="575" t="s">
        <v>191</v>
      </c>
      <c r="B114" s="670" t="s">
        <v>503</v>
      </c>
      <c r="C114" s="1823" t="s">
        <v>504</v>
      </c>
      <c r="D114" s="1823"/>
      <c r="E114" s="1823"/>
      <c r="F114" s="573" t="s">
        <v>455</v>
      </c>
      <c r="G114" s="573"/>
      <c r="H114" s="573"/>
      <c r="I114" s="573" t="s">
        <v>8647</v>
      </c>
      <c r="J114" s="572"/>
      <c r="K114" s="573"/>
      <c r="L114" s="572"/>
      <c r="M114" s="571"/>
      <c r="N114" s="570"/>
      <c r="W114" s="537" t="s">
        <v>504</v>
      </c>
    </row>
    <row r="115" spans="1:33" s="536" customFormat="1" x14ac:dyDescent="0.2">
      <c r="A115" s="676"/>
      <c r="B115" s="664"/>
      <c r="C115" s="1822" t="s">
        <v>8648</v>
      </c>
      <c r="D115" s="1822"/>
      <c r="E115" s="1822"/>
      <c r="F115" s="1822"/>
      <c r="G115" s="1822"/>
      <c r="H115" s="1822"/>
      <c r="I115" s="1822"/>
      <c r="J115" s="1822"/>
      <c r="K115" s="1822"/>
      <c r="L115" s="1822"/>
      <c r="M115" s="1822"/>
      <c r="N115" s="1827"/>
      <c r="AG115" s="537" t="s">
        <v>8648</v>
      </c>
    </row>
    <row r="116" spans="1:33" s="536" customFormat="1" ht="33.75" x14ac:dyDescent="0.2">
      <c r="A116" s="609"/>
      <c r="B116" s="552" t="s">
        <v>310</v>
      </c>
      <c r="C116" s="1822" t="s">
        <v>311</v>
      </c>
      <c r="D116" s="1822"/>
      <c r="E116" s="1822"/>
      <c r="F116" s="1822"/>
      <c r="G116" s="1822"/>
      <c r="H116" s="1822"/>
      <c r="I116" s="1822"/>
      <c r="J116" s="1822"/>
      <c r="K116" s="1822"/>
      <c r="L116" s="1822"/>
      <c r="M116" s="1822"/>
      <c r="N116" s="1827"/>
      <c r="X116" s="537" t="s">
        <v>311</v>
      </c>
    </row>
    <row r="117" spans="1:33" s="536" customFormat="1" x14ac:dyDescent="0.2">
      <c r="A117" s="605"/>
      <c r="B117" s="552" t="s">
        <v>186</v>
      </c>
      <c r="C117" s="1822" t="s">
        <v>344</v>
      </c>
      <c r="D117" s="1822"/>
      <c r="E117" s="1822"/>
      <c r="F117" s="562"/>
      <c r="G117" s="562"/>
      <c r="H117" s="562"/>
      <c r="I117" s="562"/>
      <c r="J117" s="604">
        <v>3803.91</v>
      </c>
      <c r="K117" s="562" t="s">
        <v>313</v>
      </c>
      <c r="L117" s="604">
        <v>40.130000000000003</v>
      </c>
      <c r="M117" s="603"/>
      <c r="N117" s="602"/>
      <c r="Y117" s="537" t="s">
        <v>344</v>
      </c>
    </row>
    <row r="118" spans="1:33" s="536" customFormat="1" x14ac:dyDescent="0.2">
      <c r="A118" s="605"/>
      <c r="B118" s="552" t="s">
        <v>187</v>
      </c>
      <c r="C118" s="1822" t="s">
        <v>345</v>
      </c>
      <c r="D118" s="1822"/>
      <c r="E118" s="1822"/>
      <c r="F118" s="562"/>
      <c r="G118" s="562"/>
      <c r="H118" s="562"/>
      <c r="I118" s="562"/>
      <c r="J118" s="604">
        <v>445.5</v>
      </c>
      <c r="K118" s="562" t="s">
        <v>313</v>
      </c>
      <c r="L118" s="604">
        <v>4.7</v>
      </c>
      <c r="M118" s="603"/>
      <c r="N118" s="602"/>
      <c r="Y118" s="537" t="s">
        <v>345</v>
      </c>
    </row>
    <row r="119" spans="1:33" s="536" customFormat="1" x14ac:dyDescent="0.2">
      <c r="A119" s="605"/>
      <c r="B119" s="552"/>
      <c r="C119" s="1822" t="s">
        <v>348</v>
      </c>
      <c r="D119" s="1822"/>
      <c r="E119" s="1822"/>
      <c r="F119" s="562" t="s">
        <v>315</v>
      </c>
      <c r="G119" s="562" t="s">
        <v>505</v>
      </c>
      <c r="H119" s="562" t="s">
        <v>313</v>
      </c>
      <c r="I119" s="562" t="s">
        <v>8649</v>
      </c>
      <c r="J119" s="604"/>
      <c r="K119" s="562"/>
      <c r="L119" s="604"/>
      <c r="M119" s="603"/>
      <c r="N119" s="602"/>
      <c r="Z119" s="537" t="s">
        <v>348</v>
      </c>
    </row>
    <row r="120" spans="1:33" s="536" customFormat="1" x14ac:dyDescent="0.2">
      <c r="A120" s="605"/>
      <c r="B120" s="552"/>
      <c r="C120" s="1828" t="s">
        <v>318</v>
      </c>
      <c r="D120" s="1828"/>
      <c r="E120" s="1828"/>
      <c r="F120" s="608"/>
      <c r="G120" s="608"/>
      <c r="H120" s="608"/>
      <c r="I120" s="608"/>
      <c r="J120" s="607">
        <v>3803.91</v>
      </c>
      <c r="K120" s="608"/>
      <c r="L120" s="607">
        <v>40.130000000000003</v>
      </c>
      <c r="M120" s="601"/>
      <c r="N120" s="606"/>
      <c r="AA120" s="537" t="s">
        <v>318</v>
      </c>
    </row>
    <row r="121" spans="1:33" s="536" customFormat="1" x14ac:dyDescent="0.2">
      <c r="A121" s="605"/>
      <c r="B121" s="552"/>
      <c r="C121" s="1822" t="s">
        <v>319</v>
      </c>
      <c r="D121" s="1822"/>
      <c r="E121" s="1822"/>
      <c r="F121" s="562"/>
      <c r="G121" s="562"/>
      <c r="H121" s="562"/>
      <c r="I121" s="562"/>
      <c r="J121" s="604"/>
      <c r="K121" s="562"/>
      <c r="L121" s="604">
        <v>4.7</v>
      </c>
      <c r="M121" s="603"/>
      <c r="N121" s="602"/>
      <c r="Z121" s="537" t="s">
        <v>319</v>
      </c>
    </row>
    <row r="122" spans="1:33" s="536" customFormat="1" ht="33.75" x14ac:dyDescent="0.2">
      <c r="A122" s="605"/>
      <c r="B122" s="552" t="s">
        <v>460</v>
      </c>
      <c r="C122" s="1822" t="s">
        <v>461</v>
      </c>
      <c r="D122" s="1822"/>
      <c r="E122" s="1822"/>
      <c r="F122" s="562" t="s">
        <v>322</v>
      </c>
      <c r="G122" s="562" t="s">
        <v>462</v>
      </c>
      <c r="H122" s="562"/>
      <c r="I122" s="562" t="s">
        <v>462</v>
      </c>
      <c r="J122" s="604"/>
      <c r="K122" s="562"/>
      <c r="L122" s="604">
        <v>4.32</v>
      </c>
      <c r="M122" s="603"/>
      <c r="N122" s="602"/>
      <c r="Z122" s="537" t="s">
        <v>461</v>
      </c>
    </row>
    <row r="123" spans="1:33" s="536" customFormat="1" ht="33.75" x14ac:dyDescent="0.2">
      <c r="A123" s="605"/>
      <c r="B123" s="552" t="s">
        <v>463</v>
      </c>
      <c r="C123" s="1822" t="s">
        <v>464</v>
      </c>
      <c r="D123" s="1822"/>
      <c r="E123" s="1822"/>
      <c r="F123" s="562" t="s">
        <v>322</v>
      </c>
      <c r="G123" s="562" t="s">
        <v>465</v>
      </c>
      <c r="H123" s="562"/>
      <c r="I123" s="562" t="s">
        <v>465</v>
      </c>
      <c r="J123" s="604"/>
      <c r="K123" s="562"/>
      <c r="L123" s="604">
        <v>2.16</v>
      </c>
      <c r="M123" s="603"/>
      <c r="N123" s="602"/>
      <c r="Z123" s="537" t="s">
        <v>464</v>
      </c>
    </row>
    <row r="124" spans="1:33" s="536" customFormat="1" x14ac:dyDescent="0.2">
      <c r="A124" s="569"/>
      <c r="B124" s="671"/>
      <c r="C124" s="1823" t="s">
        <v>327</v>
      </c>
      <c r="D124" s="1823"/>
      <c r="E124" s="1823"/>
      <c r="F124" s="573"/>
      <c r="G124" s="573"/>
      <c r="H124" s="573"/>
      <c r="I124" s="573"/>
      <c r="J124" s="572"/>
      <c r="K124" s="573"/>
      <c r="L124" s="572">
        <v>46.61</v>
      </c>
      <c r="M124" s="601"/>
      <c r="N124" s="570"/>
      <c r="AB124" s="537" t="s">
        <v>327</v>
      </c>
    </row>
    <row r="125" spans="1:33" s="536" customFormat="1" ht="22.5" x14ac:dyDescent="0.2">
      <c r="A125" s="575" t="s">
        <v>192</v>
      </c>
      <c r="B125" s="670" t="s">
        <v>507</v>
      </c>
      <c r="C125" s="1823" t="s">
        <v>508</v>
      </c>
      <c r="D125" s="1823"/>
      <c r="E125" s="1823"/>
      <c r="F125" s="573" t="s">
        <v>509</v>
      </c>
      <c r="G125" s="573"/>
      <c r="H125" s="573"/>
      <c r="I125" s="573" t="s">
        <v>8650</v>
      </c>
      <c r="J125" s="572"/>
      <c r="K125" s="573"/>
      <c r="L125" s="572"/>
      <c r="M125" s="571"/>
      <c r="N125" s="570"/>
      <c r="W125" s="537" t="s">
        <v>508</v>
      </c>
    </row>
    <row r="126" spans="1:33" s="536" customFormat="1" x14ac:dyDescent="0.2">
      <c r="A126" s="676"/>
      <c r="B126" s="664"/>
      <c r="C126" s="1822" t="s">
        <v>8651</v>
      </c>
      <c r="D126" s="1822"/>
      <c r="E126" s="1822"/>
      <c r="F126" s="1822"/>
      <c r="G126" s="1822"/>
      <c r="H126" s="1822"/>
      <c r="I126" s="1822"/>
      <c r="J126" s="1822"/>
      <c r="K126" s="1822"/>
      <c r="L126" s="1822"/>
      <c r="M126" s="1822"/>
      <c r="N126" s="1827"/>
      <c r="AG126" s="537" t="s">
        <v>8651</v>
      </c>
    </row>
    <row r="127" spans="1:33" s="536" customFormat="1" ht="33.75" x14ac:dyDescent="0.2">
      <c r="A127" s="609"/>
      <c r="B127" s="552" t="s">
        <v>310</v>
      </c>
      <c r="C127" s="1822" t="s">
        <v>311</v>
      </c>
      <c r="D127" s="1822"/>
      <c r="E127" s="1822"/>
      <c r="F127" s="1822"/>
      <c r="G127" s="1822"/>
      <c r="H127" s="1822"/>
      <c r="I127" s="1822"/>
      <c r="J127" s="1822"/>
      <c r="K127" s="1822"/>
      <c r="L127" s="1822"/>
      <c r="M127" s="1822"/>
      <c r="N127" s="1827"/>
      <c r="X127" s="537" t="s">
        <v>311</v>
      </c>
    </row>
    <row r="128" spans="1:33" s="536" customFormat="1" x14ac:dyDescent="0.2">
      <c r="A128" s="605"/>
      <c r="B128" s="552" t="s">
        <v>185</v>
      </c>
      <c r="C128" s="1822" t="s">
        <v>312</v>
      </c>
      <c r="D128" s="1822"/>
      <c r="E128" s="1822"/>
      <c r="F128" s="562"/>
      <c r="G128" s="562"/>
      <c r="H128" s="562"/>
      <c r="I128" s="562"/>
      <c r="J128" s="604">
        <v>127.61</v>
      </c>
      <c r="K128" s="562" t="s">
        <v>313</v>
      </c>
      <c r="L128" s="604">
        <v>13.46</v>
      </c>
      <c r="M128" s="603"/>
      <c r="N128" s="602"/>
      <c r="Y128" s="537" t="s">
        <v>312</v>
      </c>
    </row>
    <row r="129" spans="1:33" s="536" customFormat="1" x14ac:dyDescent="0.2">
      <c r="A129" s="605"/>
      <c r="B129" s="552" t="s">
        <v>186</v>
      </c>
      <c r="C129" s="1822" t="s">
        <v>344</v>
      </c>
      <c r="D129" s="1822"/>
      <c r="E129" s="1822"/>
      <c r="F129" s="562"/>
      <c r="G129" s="562"/>
      <c r="H129" s="562"/>
      <c r="I129" s="562"/>
      <c r="J129" s="604">
        <v>288.58</v>
      </c>
      <c r="K129" s="562" t="s">
        <v>313</v>
      </c>
      <c r="L129" s="604">
        <v>30.44</v>
      </c>
      <c r="M129" s="603"/>
      <c r="N129" s="602"/>
      <c r="Y129" s="537" t="s">
        <v>344</v>
      </c>
    </row>
    <row r="130" spans="1:33" s="536" customFormat="1" x14ac:dyDescent="0.2">
      <c r="A130" s="605"/>
      <c r="B130" s="552" t="s">
        <v>187</v>
      </c>
      <c r="C130" s="1822" t="s">
        <v>345</v>
      </c>
      <c r="D130" s="1822"/>
      <c r="E130" s="1822"/>
      <c r="F130" s="562"/>
      <c r="G130" s="562"/>
      <c r="H130" s="562"/>
      <c r="I130" s="562"/>
      <c r="J130" s="604">
        <v>31.49</v>
      </c>
      <c r="K130" s="562" t="s">
        <v>313</v>
      </c>
      <c r="L130" s="604">
        <v>3.32</v>
      </c>
      <c r="M130" s="603"/>
      <c r="N130" s="602"/>
      <c r="Y130" s="537" t="s">
        <v>345</v>
      </c>
    </row>
    <row r="131" spans="1:33" s="536" customFormat="1" x14ac:dyDescent="0.2">
      <c r="A131" s="605"/>
      <c r="B131" s="552"/>
      <c r="C131" s="1822" t="s">
        <v>314</v>
      </c>
      <c r="D131" s="1822"/>
      <c r="E131" s="1822"/>
      <c r="F131" s="562" t="s">
        <v>315</v>
      </c>
      <c r="G131" s="562" t="s">
        <v>512</v>
      </c>
      <c r="H131" s="562" t="s">
        <v>313</v>
      </c>
      <c r="I131" s="562" t="s">
        <v>8652</v>
      </c>
      <c r="J131" s="604"/>
      <c r="K131" s="562"/>
      <c r="L131" s="604"/>
      <c r="M131" s="603"/>
      <c r="N131" s="602"/>
      <c r="Z131" s="537" t="s">
        <v>314</v>
      </c>
    </row>
    <row r="132" spans="1:33" s="536" customFormat="1" x14ac:dyDescent="0.2">
      <c r="A132" s="605"/>
      <c r="B132" s="552"/>
      <c r="C132" s="1822" t="s">
        <v>348</v>
      </c>
      <c r="D132" s="1822"/>
      <c r="E132" s="1822"/>
      <c r="F132" s="562" t="s">
        <v>315</v>
      </c>
      <c r="G132" s="562" t="s">
        <v>514</v>
      </c>
      <c r="H132" s="562" t="s">
        <v>313</v>
      </c>
      <c r="I132" s="562" t="s">
        <v>8653</v>
      </c>
      <c r="J132" s="604"/>
      <c r="K132" s="562"/>
      <c r="L132" s="604"/>
      <c r="M132" s="603"/>
      <c r="N132" s="602"/>
      <c r="Z132" s="537" t="s">
        <v>348</v>
      </c>
    </row>
    <row r="133" spans="1:33" s="536" customFormat="1" x14ac:dyDescent="0.2">
      <c r="A133" s="605"/>
      <c r="B133" s="552"/>
      <c r="C133" s="1828" t="s">
        <v>318</v>
      </c>
      <c r="D133" s="1828"/>
      <c r="E133" s="1828"/>
      <c r="F133" s="608"/>
      <c r="G133" s="608"/>
      <c r="H133" s="608"/>
      <c r="I133" s="608"/>
      <c r="J133" s="607">
        <v>416.19</v>
      </c>
      <c r="K133" s="608"/>
      <c r="L133" s="607">
        <v>43.9</v>
      </c>
      <c r="M133" s="601"/>
      <c r="N133" s="606"/>
      <c r="AA133" s="537" t="s">
        <v>318</v>
      </c>
    </row>
    <row r="134" spans="1:33" s="536" customFormat="1" x14ac:dyDescent="0.2">
      <c r="A134" s="605"/>
      <c r="B134" s="552"/>
      <c r="C134" s="1822" t="s">
        <v>319</v>
      </c>
      <c r="D134" s="1822"/>
      <c r="E134" s="1822"/>
      <c r="F134" s="562"/>
      <c r="G134" s="562"/>
      <c r="H134" s="562"/>
      <c r="I134" s="562"/>
      <c r="J134" s="604"/>
      <c r="K134" s="562"/>
      <c r="L134" s="604">
        <v>16.78</v>
      </c>
      <c r="M134" s="603"/>
      <c r="N134" s="602"/>
      <c r="Z134" s="537" t="s">
        <v>319</v>
      </c>
    </row>
    <row r="135" spans="1:33" s="536" customFormat="1" ht="33.75" x14ac:dyDescent="0.2">
      <c r="A135" s="605"/>
      <c r="B135" s="552" t="s">
        <v>460</v>
      </c>
      <c r="C135" s="1822" t="s">
        <v>461</v>
      </c>
      <c r="D135" s="1822"/>
      <c r="E135" s="1822"/>
      <c r="F135" s="562" t="s">
        <v>322</v>
      </c>
      <c r="G135" s="562" t="s">
        <v>462</v>
      </c>
      <c r="H135" s="562"/>
      <c r="I135" s="562" t="s">
        <v>462</v>
      </c>
      <c r="J135" s="604"/>
      <c r="K135" s="562"/>
      <c r="L135" s="604">
        <v>15.44</v>
      </c>
      <c r="M135" s="603"/>
      <c r="N135" s="602"/>
      <c r="Z135" s="537" t="s">
        <v>461</v>
      </c>
    </row>
    <row r="136" spans="1:33" s="536" customFormat="1" ht="33.75" x14ac:dyDescent="0.2">
      <c r="A136" s="605"/>
      <c r="B136" s="552" t="s">
        <v>463</v>
      </c>
      <c r="C136" s="1822" t="s">
        <v>464</v>
      </c>
      <c r="D136" s="1822"/>
      <c r="E136" s="1822"/>
      <c r="F136" s="562" t="s">
        <v>322</v>
      </c>
      <c r="G136" s="562" t="s">
        <v>465</v>
      </c>
      <c r="H136" s="562"/>
      <c r="I136" s="562" t="s">
        <v>465</v>
      </c>
      <c r="J136" s="604"/>
      <c r="K136" s="562"/>
      <c r="L136" s="604">
        <v>7.72</v>
      </c>
      <c r="M136" s="603"/>
      <c r="N136" s="602"/>
      <c r="Z136" s="537" t="s">
        <v>464</v>
      </c>
    </row>
    <row r="137" spans="1:33" s="536" customFormat="1" x14ac:dyDescent="0.2">
      <c r="A137" s="569"/>
      <c r="B137" s="671"/>
      <c r="C137" s="1823" t="s">
        <v>327</v>
      </c>
      <c r="D137" s="1823"/>
      <c r="E137" s="1823"/>
      <c r="F137" s="573"/>
      <c r="G137" s="573"/>
      <c r="H137" s="573"/>
      <c r="I137" s="573"/>
      <c r="J137" s="572"/>
      <c r="K137" s="573"/>
      <c r="L137" s="572">
        <v>67.06</v>
      </c>
      <c r="M137" s="601"/>
      <c r="N137" s="570"/>
      <c r="AB137" s="537" t="s">
        <v>327</v>
      </c>
    </row>
    <row r="138" spans="1:33" s="536" customFormat="1" x14ac:dyDescent="0.2">
      <c r="A138" s="1830" t="s">
        <v>8654</v>
      </c>
      <c r="B138" s="1831"/>
      <c r="C138" s="1831"/>
      <c r="D138" s="1831"/>
      <c r="E138" s="1831"/>
      <c r="F138" s="1831"/>
      <c r="G138" s="1831"/>
      <c r="H138" s="1831"/>
      <c r="I138" s="1831"/>
      <c r="J138" s="1831"/>
      <c r="K138" s="1831"/>
      <c r="L138" s="1831"/>
      <c r="M138" s="1831"/>
      <c r="N138" s="1832"/>
      <c r="AF138" s="537" t="s">
        <v>8654</v>
      </c>
    </row>
    <row r="139" spans="1:33" s="536" customFormat="1" ht="56.25" x14ac:dyDescent="0.2">
      <c r="A139" s="575" t="s">
        <v>193</v>
      </c>
      <c r="B139" s="670" t="s">
        <v>3774</v>
      </c>
      <c r="C139" s="1823" t="s">
        <v>3775</v>
      </c>
      <c r="D139" s="1823"/>
      <c r="E139" s="1823"/>
      <c r="F139" s="573" t="s">
        <v>455</v>
      </c>
      <c r="G139" s="573"/>
      <c r="H139" s="573"/>
      <c r="I139" s="573" t="s">
        <v>8636</v>
      </c>
      <c r="J139" s="572"/>
      <c r="K139" s="573"/>
      <c r="L139" s="572"/>
      <c r="M139" s="571"/>
      <c r="N139" s="570"/>
      <c r="W139" s="537" t="s">
        <v>3775</v>
      </c>
    </row>
    <row r="140" spans="1:33" s="536" customFormat="1" x14ac:dyDescent="0.2">
      <c r="A140" s="676"/>
      <c r="B140" s="664"/>
      <c r="C140" s="1822" t="s">
        <v>8637</v>
      </c>
      <c r="D140" s="1822"/>
      <c r="E140" s="1822"/>
      <c r="F140" s="1822"/>
      <c r="G140" s="1822"/>
      <c r="H140" s="1822"/>
      <c r="I140" s="1822"/>
      <c r="J140" s="1822"/>
      <c r="K140" s="1822"/>
      <c r="L140" s="1822"/>
      <c r="M140" s="1822"/>
      <c r="N140" s="1827"/>
      <c r="AG140" s="537" t="s">
        <v>8637</v>
      </c>
    </row>
    <row r="141" spans="1:33" s="536" customFormat="1" ht="33.75" x14ac:dyDescent="0.2">
      <c r="A141" s="609"/>
      <c r="B141" s="552" t="s">
        <v>310</v>
      </c>
      <c r="C141" s="1822" t="s">
        <v>311</v>
      </c>
      <c r="D141" s="1822"/>
      <c r="E141" s="1822"/>
      <c r="F141" s="1822"/>
      <c r="G141" s="1822"/>
      <c r="H141" s="1822"/>
      <c r="I141" s="1822"/>
      <c r="J141" s="1822"/>
      <c r="K141" s="1822"/>
      <c r="L141" s="1822"/>
      <c r="M141" s="1822"/>
      <c r="N141" s="1827"/>
      <c r="X141" s="537" t="s">
        <v>311</v>
      </c>
    </row>
    <row r="142" spans="1:33" s="536" customFormat="1" x14ac:dyDescent="0.2">
      <c r="A142" s="605"/>
      <c r="B142" s="552" t="s">
        <v>186</v>
      </c>
      <c r="C142" s="1822" t="s">
        <v>344</v>
      </c>
      <c r="D142" s="1822"/>
      <c r="E142" s="1822"/>
      <c r="F142" s="562"/>
      <c r="G142" s="562"/>
      <c r="H142" s="562"/>
      <c r="I142" s="562"/>
      <c r="J142" s="604">
        <v>6166.95</v>
      </c>
      <c r="K142" s="562" t="s">
        <v>313</v>
      </c>
      <c r="L142" s="604">
        <v>35.520000000000003</v>
      </c>
      <c r="M142" s="603"/>
      <c r="N142" s="602"/>
      <c r="Y142" s="537" t="s">
        <v>344</v>
      </c>
    </row>
    <row r="143" spans="1:33" s="536" customFormat="1" x14ac:dyDescent="0.2">
      <c r="A143" s="605"/>
      <c r="B143" s="552" t="s">
        <v>187</v>
      </c>
      <c r="C143" s="1822" t="s">
        <v>345</v>
      </c>
      <c r="D143" s="1822"/>
      <c r="E143" s="1822"/>
      <c r="F143" s="562"/>
      <c r="G143" s="562"/>
      <c r="H143" s="562"/>
      <c r="I143" s="562"/>
      <c r="J143" s="604">
        <v>722.25</v>
      </c>
      <c r="K143" s="562" t="s">
        <v>313</v>
      </c>
      <c r="L143" s="604">
        <v>4.16</v>
      </c>
      <c r="M143" s="603"/>
      <c r="N143" s="602"/>
      <c r="Y143" s="537" t="s">
        <v>345</v>
      </c>
    </row>
    <row r="144" spans="1:33" s="536" customFormat="1" x14ac:dyDescent="0.2">
      <c r="A144" s="605"/>
      <c r="B144" s="552"/>
      <c r="C144" s="1822" t="s">
        <v>348</v>
      </c>
      <c r="D144" s="1822"/>
      <c r="E144" s="1822"/>
      <c r="F144" s="562" t="s">
        <v>315</v>
      </c>
      <c r="G144" s="562" t="s">
        <v>3776</v>
      </c>
      <c r="H144" s="562" t="s">
        <v>313</v>
      </c>
      <c r="I144" s="562" t="s">
        <v>8638</v>
      </c>
      <c r="J144" s="604"/>
      <c r="K144" s="562"/>
      <c r="L144" s="604"/>
      <c r="M144" s="603"/>
      <c r="N144" s="602"/>
      <c r="Z144" s="537" t="s">
        <v>348</v>
      </c>
    </row>
    <row r="145" spans="1:33" s="536" customFormat="1" x14ac:dyDescent="0.2">
      <c r="A145" s="605"/>
      <c r="B145" s="552"/>
      <c r="C145" s="1828" t="s">
        <v>318</v>
      </c>
      <c r="D145" s="1828"/>
      <c r="E145" s="1828"/>
      <c r="F145" s="608"/>
      <c r="G145" s="608"/>
      <c r="H145" s="608"/>
      <c r="I145" s="608"/>
      <c r="J145" s="607">
        <v>6166.95</v>
      </c>
      <c r="K145" s="608"/>
      <c r="L145" s="607">
        <v>35.520000000000003</v>
      </c>
      <c r="M145" s="601"/>
      <c r="N145" s="606"/>
      <c r="AA145" s="537" t="s">
        <v>318</v>
      </c>
    </row>
    <row r="146" spans="1:33" s="536" customFormat="1" x14ac:dyDescent="0.2">
      <c r="A146" s="605"/>
      <c r="B146" s="552"/>
      <c r="C146" s="1822" t="s">
        <v>319</v>
      </c>
      <c r="D146" s="1822"/>
      <c r="E146" s="1822"/>
      <c r="F146" s="562"/>
      <c r="G146" s="562"/>
      <c r="H146" s="562"/>
      <c r="I146" s="562"/>
      <c r="J146" s="604"/>
      <c r="K146" s="562"/>
      <c r="L146" s="604">
        <v>4.16</v>
      </c>
      <c r="M146" s="603"/>
      <c r="N146" s="602"/>
      <c r="Z146" s="537" t="s">
        <v>319</v>
      </c>
    </row>
    <row r="147" spans="1:33" s="536" customFormat="1" ht="33.75" x14ac:dyDescent="0.2">
      <c r="A147" s="605"/>
      <c r="B147" s="552" t="s">
        <v>460</v>
      </c>
      <c r="C147" s="1822" t="s">
        <v>461</v>
      </c>
      <c r="D147" s="1822"/>
      <c r="E147" s="1822"/>
      <c r="F147" s="562" t="s">
        <v>322</v>
      </c>
      <c r="G147" s="562" t="s">
        <v>462</v>
      </c>
      <c r="H147" s="562"/>
      <c r="I147" s="562" t="s">
        <v>462</v>
      </c>
      <c r="J147" s="604"/>
      <c r="K147" s="562"/>
      <c r="L147" s="604">
        <v>3.83</v>
      </c>
      <c r="M147" s="603"/>
      <c r="N147" s="602"/>
      <c r="Z147" s="537" t="s">
        <v>461</v>
      </c>
    </row>
    <row r="148" spans="1:33" s="536" customFormat="1" ht="33.75" x14ac:dyDescent="0.2">
      <c r="A148" s="605"/>
      <c r="B148" s="552" t="s">
        <v>463</v>
      </c>
      <c r="C148" s="1822" t="s">
        <v>464</v>
      </c>
      <c r="D148" s="1822"/>
      <c r="E148" s="1822"/>
      <c r="F148" s="562" t="s">
        <v>322</v>
      </c>
      <c r="G148" s="562" t="s">
        <v>465</v>
      </c>
      <c r="H148" s="562"/>
      <c r="I148" s="562" t="s">
        <v>465</v>
      </c>
      <c r="J148" s="604"/>
      <c r="K148" s="562"/>
      <c r="L148" s="604">
        <v>1.91</v>
      </c>
      <c r="M148" s="603"/>
      <c r="N148" s="602"/>
      <c r="Z148" s="537" t="s">
        <v>464</v>
      </c>
    </row>
    <row r="149" spans="1:33" s="536" customFormat="1" x14ac:dyDescent="0.2">
      <c r="A149" s="569"/>
      <c r="B149" s="671"/>
      <c r="C149" s="1823" t="s">
        <v>327</v>
      </c>
      <c r="D149" s="1823"/>
      <c r="E149" s="1823"/>
      <c r="F149" s="573"/>
      <c r="G149" s="573"/>
      <c r="H149" s="573"/>
      <c r="I149" s="573"/>
      <c r="J149" s="572"/>
      <c r="K149" s="573"/>
      <c r="L149" s="572">
        <v>41.26</v>
      </c>
      <c r="M149" s="601"/>
      <c r="N149" s="570"/>
      <c r="AB149" s="537" t="s">
        <v>327</v>
      </c>
    </row>
    <row r="150" spans="1:33" s="536" customFormat="1" ht="45" x14ac:dyDescent="0.2">
      <c r="A150" s="575" t="s">
        <v>194</v>
      </c>
      <c r="B150" s="670" t="s">
        <v>1511</v>
      </c>
      <c r="C150" s="1823" t="s">
        <v>1512</v>
      </c>
      <c r="D150" s="1823"/>
      <c r="E150" s="1823"/>
      <c r="F150" s="573" t="s">
        <v>455</v>
      </c>
      <c r="G150" s="573"/>
      <c r="H150" s="573"/>
      <c r="I150" s="573" t="s">
        <v>8655</v>
      </c>
      <c r="J150" s="572"/>
      <c r="K150" s="573"/>
      <c r="L150" s="572"/>
      <c r="M150" s="571"/>
      <c r="N150" s="570"/>
      <c r="W150" s="537" t="s">
        <v>1512</v>
      </c>
    </row>
    <row r="151" spans="1:33" s="536" customFormat="1" x14ac:dyDescent="0.2">
      <c r="A151" s="676"/>
      <c r="B151" s="664"/>
      <c r="C151" s="1822" t="s">
        <v>8656</v>
      </c>
      <c r="D151" s="1822"/>
      <c r="E151" s="1822"/>
      <c r="F151" s="1822"/>
      <c r="G151" s="1822"/>
      <c r="H151" s="1822"/>
      <c r="I151" s="1822"/>
      <c r="J151" s="1822"/>
      <c r="K151" s="1822"/>
      <c r="L151" s="1822"/>
      <c r="M151" s="1822"/>
      <c r="N151" s="1827"/>
      <c r="AG151" s="537" t="s">
        <v>8656</v>
      </c>
    </row>
    <row r="152" spans="1:33" s="536" customFormat="1" ht="33.75" x14ac:dyDescent="0.2">
      <c r="A152" s="609"/>
      <c r="B152" s="552" t="s">
        <v>310</v>
      </c>
      <c r="C152" s="1822" t="s">
        <v>311</v>
      </c>
      <c r="D152" s="1822"/>
      <c r="E152" s="1822"/>
      <c r="F152" s="1822"/>
      <c r="G152" s="1822"/>
      <c r="H152" s="1822"/>
      <c r="I152" s="1822"/>
      <c r="J152" s="1822"/>
      <c r="K152" s="1822"/>
      <c r="L152" s="1822"/>
      <c r="M152" s="1822"/>
      <c r="N152" s="1827"/>
      <c r="X152" s="537" t="s">
        <v>311</v>
      </c>
    </row>
    <row r="153" spans="1:33" s="536" customFormat="1" x14ac:dyDescent="0.2">
      <c r="A153" s="605"/>
      <c r="B153" s="552" t="s">
        <v>186</v>
      </c>
      <c r="C153" s="1822" t="s">
        <v>344</v>
      </c>
      <c r="D153" s="1822"/>
      <c r="E153" s="1822"/>
      <c r="F153" s="562"/>
      <c r="G153" s="562"/>
      <c r="H153" s="562"/>
      <c r="I153" s="562"/>
      <c r="J153" s="604">
        <v>4898.9799999999996</v>
      </c>
      <c r="K153" s="562" t="s">
        <v>313</v>
      </c>
      <c r="L153" s="604">
        <v>78.44</v>
      </c>
      <c r="M153" s="603"/>
      <c r="N153" s="602"/>
      <c r="Y153" s="537" t="s">
        <v>344</v>
      </c>
    </row>
    <row r="154" spans="1:33" s="536" customFormat="1" x14ac:dyDescent="0.2">
      <c r="A154" s="605"/>
      <c r="B154" s="552" t="s">
        <v>187</v>
      </c>
      <c r="C154" s="1822" t="s">
        <v>345</v>
      </c>
      <c r="D154" s="1822"/>
      <c r="E154" s="1822"/>
      <c r="F154" s="562"/>
      <c r="G154" s="562"/>
      <c r="H154" s="562"/>
      <c r="I154" s="562"/>
      <c r="J154" s="604">
        <v>573.75</v>
      </c>
      <c r="K154" s="562" t="s">
        <v>313</v>
      </c>
      <c r="L154" s="604">
        <v>9.19</v>
      </c>
      <c r="M154" s="603"/>
      <c r="N154" s="602"/>
      <c r="Y154" s="537" t="s">
        <v>345</v>
      </c>
    </row>
    <row r="155" spans="1:33" s="536" customFormat="1" x14ac:dyDescent="0.2">
      <c r="A155" s="605"/>
      <c r="B155" s="552"/>
      <c r="C155" s="1822" t="s">
        <v>348</v>
      </c>
      <c r="D155" s="1822"/>
      <c r="E155" s="1822"/>
      <c r="F155" s="562" t="s">
        <v>315</v>
      </c>
      <c r="G155" s="562" t="s">
        <v>1513</v>
      </c>
      <c r="H155" s="562" t="s">
        <v>313</v>
      </c>
      <c r="I155" s="562" t="s">
        <v>8657</v>
      </c>
      <c r="J155" s="604"/>
      <c r="K155" s="562"/>
      <c r="L155" s="604"/>
      <c r="M155" s="603"/>
      <c r="N155" s="602"/>
      <c r="Z155" s="537" t="s">
        <v>348</v>
      </c>
    </row>
    <row r="156" spans="1:33" s="536" customFormat="1" x14ac:dyDescent="0.2">
      <c r="A156" s="605"/>
      <c r="B156" s="552"/>
      <c r="C156" s="1828" t="s">
        <v>318</v>
      </c>
      <c r="D156" s="1828"/>
      <c r="E156" s="1828"/>
      <c r="F156" s="608"/>
      <c r="G156" s="608"/>
      <c r="H156" s="608"/>
      <c r="I156" s="608"/>
      <c r="J156" s="607">
        <v>4898.9799999999996</v>
      </c>
      <c r="K156" s="608"/>
      <c r="L156" s="607">
        <v>78.44</v>
      </c>
      <c r="M156" s="601"/>
      <c r="N156" s="606"/>
      <c r="AA156" s="537" t="s">
        <v>318</v>
      </c>
    </row>
    <row r="157" spans="1:33" s="536" customFormat="1" x14ac:dyDescent="0.2">
      <c r="A157" s="605"/>
      <c r="B157" s="552"/>
      <c r="C157" s="1822" t="s">
        <v>319</v>
      </c>
      <c r="D157" s="1822"/>
      <c r="E157" s="1822"/>
      <c r="F157" s="562"/>
      <c r="G157" s="562"/>
      <c r="H157" s="562"/>
      <c r="I157" s="562"/>
      <c r="J157" s="604"/>
      <c r="K157" s="562"/>
      <c r="L157" s="604">
        <v>9.19</v>
      </c>
      <c r="M157" s="603"/>
      <c r="N157" s="602"/>
      <c r="Z157" s="537" t="s">
        <v>319</v>
      </c>
    </row>
    <row r="158" spans="1:33" s="536" customFormat="1" ht="33.75" x14ac:dyDescent="0.2">
      <c r="A158" s="605"/>
      <c r="B158" s="552" t="s">
        <v>460</v>
      </c>
      <c r="C158" s="1822" t="s">
        <v>461</v>
      </c>
      <c r="D158" s="1822"/>
      <c r="E158" s="1822"/>
      <c r="F158" s="562" t="s">
        <v>322</v>
      </c>
      <c r="G158" s="562" t="s">
        <v>462</v>
      </c>
      <c r="H158" s="562"/>
      <c r="I158" s="562" t="s">
        <v>462</v>
      </c>
      <c r="J158" s="604"/>
      <c r="K158" s="562"/>
      <c r="L158" s="604">
        <v>8.4499999999999993</v>
      </c>
      <c r="M158" s="603"/>
      <c r="N158" s="602"/>
      <c r="Z158" s="537" t="s">
        <v>461</v>
      </c>
    </row>
    <row r="159" spans="1:33" s="536" customFormat="1" ht="33.75" x14ac:dyDescent="0.2">
      <c r="A159" s="605"/>
      <c r="B159" s="552" t="s">
        <v>463</v>
      </c>
      <c r="C159" s="1822" t="s">
        <v>464</v>
      </c>
      <c r="D159" s="1822"/>
      <c r="E159" s="1822"/>
      <c r="F159" s="562" t="s">
        <v>322</v>
      </c>
      <c r="G159" s="562" t="s">
        <v>465</v>
      </c>
      <c r="H159" s="562"/>
      <c r="I159" s="562" t="s">
        <v>465</v>
      </c>
      <c r="J159" s="604"/>
      <c r="K159" s="562"/>
      <c r="L159" s="604">
        <v>4.2300000000000004</v>
      </c>
      <c r="M159" s="603"/>
      <c r="N159" s="602"/>
      <c r="Z159" s="537" t="s">
        <v>464</v>
      </c>
    </row>
    <row r="160" spans="1:33" s="536" customFormat="1" x14ac:dyDescent="0.2">
      <c r="A160" s="569"/>
      <c r="B160" s="671"/>
      <c r="C160" s="1823" t="s">
        <v>327</v>
      </c>
      <c r="D160" s="1823"/>
      <c r="E160" s="1823"/>
      <c r="F160" s="573"/>
      <c r="G160" s="573"/>
      <c r="H160" s="573"/>
      <c r="I160" s="573"/>
      <c r="J160" s="572"/>
      <c r="K160" s="573"/>
      <c r="L160" s="572">
        <v>91.12</v>
      </c>
      <c r="M160" s="601"/>
      <c r="N160" s="570"/>
      <c r="AB160" s="537" t="s">
        <v>327</v>
      </c>
    </row>
    <row r="161" spans="1:33" s="536" customFormat="1" ht="33.75" x14ac:dyDescent="0.2">
      <c r="A161" s="575" t="s">
        <v>195</v>
      </c>
      <c r="B161" s="670" t="s">
        <v>1514</v>
      </c>
      <c r="C161" s="1823" t="s">
        <v>1515</v>
      </c>
      <c r="D161" s="1823"/>
      <c r="E161" s="1823"/>
      <c r="F161" s="573" t="s">
        <v>509</v>
      </c>
      <c r="G161" s="573"/>
      <c r="H161" s="573"/>
      <c r="I161" s="573" t="s">
        <v>8658</v>
      </c>
      <c r="J161" s="572"/>
      <c r="K161" s="573"/>
      <c r="L161" s="572"/>
      <c r="M161" s="571"/>
      <c r="N161" s="570"/>
      <c r="W161" s="537" t="s">
        <v>1515</v>
      </c>
    </row>
    <row r="162" spans="1:33" s="536" customFormat="1" x14ac:dyDescent="0.2">
      <c r="A162" s="676"/>
      <c r="B162" s="664"/>
      <c r="C162" s="1822" t="s">
        <v>8659</v>
      </c>
      <c r="D162" s="1822"/>
      <c r="E162" s="1822"/>
      <c r="F162" s="1822"/>
      <c r="G162" s="1822"/>
      <c r="H162" s="1822"/>
      <c r="I162" s="1822"/>
      <c r="J162" s="1822"/>
      <c r="K162" s="1822"/>
      <c r="L162" s="1822"/>
      <c r="M162" s="1822"/>
      <c r="N162" s="1827"/>
      <c r="AG162" s="537" t="s">
        <v>8659</v>
      </c>
    </row>
    <row r="163" spans="1:33" s="536" customFormat="1" ht="33.75" x14ac:dyDescent="0.2">
      <c r="A163" s="609"/>
      <c r="B163" s="552" t="s">
        <v>310</v>
      </c>
      <c r="C163" s="1822" t="s">
        <v>311</v>
      </c>
      <c r="D163" s="1822"/>
      <c r="E163" s="1822"/>
      <c r="F163" s="1822"/>
      <c r="G163" s="1822"/>
      <c r="H163" s="1822"/>
      <c r="I163" s="1822"/>
      <c r="J163" s="1822"/>
      <c r="K163" s="1822"/>
      <c r="L163" s="1822"/>
      <c r="M163" s="1822"/>
      <c r="N163" s="1827"/>
      <c r="X163" s="537" t="s">
        <v>311</v>
      </c>
    </row>
    <row r="164" spans="1:33" s="536" customFormat="1" x14ac:dyDescent="0.2">
      <c r="A164" s="605"/>
      <c r="B164" s="552" t="s">
        <v>185</v>
      </c>
      <c r="C164" s="1822" t="s">
        <v>312</v>
      </c>
      <c r="D164" s="1822"/>
      <c r="E164" s="1822"/>
      <c r="F164" s="562"/>
      <c r="G164" s="562"/>
      <c r="H164" s="562"/>
      <c r="I164" s="562"/>
      <c r="J164" s="604">
        <v>3036.68</v>
      </c>
      <c r="K164" s="562" t="s">
        <v>313</v>
      </c>
      <c r="L164" s="604">
        <v>20.45</v>
      </c>
      <c r="M164" s="603"/>
      <c r="N164" s="602"/>
      <c r="Y164" s="537" t="s">
        <v>312</v>
      </c>
    </row>
    <row r="165" spans="1:33" s="536" customFormat="1" x14ac:dyDescent="0.2">
      <c r="A165" s="605"/>
      <c r="B165" s="552"/>
      <c r="C165" s="1822" t="s">
        <v>314</v>
      </c>
      <c r="D165" s="1822"/>
      <c r="E165" s="1822"/>
      <c r="F165" s="562" t="s">
        <v>315</v>
      </c>
      <c r="G165" s="562" t="s">
        <v>1521</v>
      </c>
      <c r="H165" s="562" t="s">
        <v>313</v>
      </c>
      <c r="I165" s="562" t="s">
        <v>8660</v>
      </c>
      <c r="J165" s="604"/>
      <c r="K165" s="562"/>
      <c r="L165" s="604"/>
      <c r="M165" s="603"/>
      <c r="N165" s="602"/>
      <c r="Z165" s="537" t="s">
        <v>314</v>
      </c>
    </row>
    <row r="166" spans="1:33" s="536" customFormat="1" x14ac:dyDescent="0.2">
      <c r="A166" s="605"/>
      <c r="B166" s="552"/>
      <c r="C166" s="1828" t="s">
        <v>318</v>
      </c>
      <c r="D166" s="1828"/>
      <c r="E166" s="1828"/>
      <c r="F166" s="608"/>
      <c r="G166" s="608"/>
      <c r="H166" s="608"/>
      <c r="I166" s="608"/>
      <c r="J166" s="607">
        <v>3036.68</v>
      </c>
      <c r="K166" s="608"/>
      <c r="L166" s="607">
        <v>20.45</v>
      </c>
      <c r="M166" s="601"/>
      <c r="N166" s="606"/>
      <c r="AA166" s="537" t="s">
        <v>318</v>
      </c>
    </row>
    <row r="167" spans="1:33" s="536" customFormat="1" x14ac:dyDescent="0.2">
      <c r="A167" s="605"/>
      <c r="B167" s="552"/>
      <c r="C167" s="1822" t="s">
        <v>319</v>
      </c>
      <c r="D167" s="1822"/>
      <c r="E167" s="1822"/>
      <c r="F167" s="562"/>
      <c r="G167" s="562"/>
      <c r="H167" s="562"/>
      <c r="I167" s="562"/>
      <c r="J167" s="604"/>
      <c r="K167" s="562"/>
      <c r="L167" s="604">
        <v>20.45</v>
      </c>
      <c r="M167" s="603"/>
      <c r="N167" s="602"/>
      <c r="Z167" s="537" t="s">
        <v>319</v>
      </c>
    </row>
    <row r="168" spans="1:33" s="536" customFormat="1" ht="33.75" x14ac:dyDescent="0.2">
      <c r="A168" s="605"/>
      <c r="B168" s="552" t="s">
        <v>673</v>
      </c>
      <c r="C168" s="1822" t="s">
        <v>674</v>
      </c>
      <c r="D168" s="1822"/>
      <c r="E168" s="1822"/>
      <c r="F168" s="562" t="s">
        <v>322</v>
      </c>
      <c r="G168" s="562" t="s">
        <v>323</v>
      </c>
      <c r="H168" s="562"/>
      <c r="I168" s="562" t="s">
        <v>323</v>
      </c>
      <c r="J168" s="604"/>
      <c r="K168" s="562"/>
      <c r="L168" s="604">
        <v>18.2</v>
      </c>
      <c r="M168" s="603"/>
      <c r="N168" s="602"/>
      <c r="Z168" s="537" t="s">
        <v>674</v>
      </c>
    </row>
    <row r="169" spans="1:33" s="536" customFormat="1" ht="33.75" x14ac:dyDescent="0.2">
      <c r="A169" s="605"/>
      <c r="B169" s="552" t="s">
        <v>675</v>
      </c>
      <c r="C169" s="1822" t="s">
        <v>676</v>
      </c>
      <c r="D169" s="1822"/>
      <c r="E169" s="1822"/>
      <c r="F169" s="562" t="s">
        <v>322</v>
      </c>
      <c r="G169" s="562" t="s">
        <v>677</v>
      </c>
      <c r="H169" s="562"/>
      <c r="I169" s="562" t="s">
        <v>677</v>
      </c>
      <c r="J169" s="604"/>
      <c r="K169" s="562"/>
      <c r="L169" s="604">
        <v>8.18</v>
      </c>
      <c r="M169" s="603"/>
      <c r="N169" s="602"/>
      <c r="Z169" s="537" t="s">
        <v>676</v>
      </c>
    </row>
    <row r="170" spans="1:33" s="536" customFormat="1" x14ac:dyDescent="0.2">
      <c r="A170" s="569"/>
      <c r="B170" s="671"/>
      <c r="C170" s="1823" t="s">
        <v>327</v>
      </c>
      <c r="D170" s="1823"/>
      <c r="E170" s="1823"/>
      <c r="F170" s="573"/>
      <c r="G170" s="573"/>
      <c r="H170" s="573"/>
      <c r="I170" s="573"/>
      <c r="J170" s="572"/>
      <c r="K170" s="573"/>
      <c r="L170" s="572">
        <v>46.83</v>
      </c>
      <c r="M170" s="601"/>
      <c r="N170" s="570"/>
      <c r="AB170" s="537" t="s">
        <v>327</v>
      </c>
    </row>
    <row r="171" spans="1:33" s="536" customFormat="1" ht="45" x14ac:dyDescent="0.2">
      <c r="A171" s="575" t="s">
        <v>196</v>
      </c>
      <c r="B171" s="670" t="s">
        <v>1005</v>
      </c>
      <c r="C171" s="1823" t="s">
        <v>1006</v>
      </c>
      <c r="D171" s="1823"/>
      <c r="E171" s="1823"/>
      <c r="F171" s="573" t="s">
        <v>201</v>
      </c>
      <c r="G171" s="573"/>
      <c r="H171" s="573"/>
      <c r="I171" s="573" t="s">
        <v>8645</v>
      </c>
      <c r="J171" s="572">
        <v>2.91</v>
      </c>
      <c r="K171" s="573"/>
      <c r="L171" s="572">
        <v>30.84</v>
      </c>
      <c r="M171" s="571"/>
      <c r="N171" s="570"/>
      <c r="W171" s="537" t="s">
        <v>1006</v>
      </c>
    </row>
    <row r="172" spans="1:33" s="536" customFormat="1" x14ac:dyDescent="0.2">
      <c r="A172" s="676"/>
      <c r="B172" s="664"/>
      <c r="C172" s="1822" t="s">
        <v>8646</v>
      </c>
      <c r="D172" s="1822"/>
      <c r="E172" s="1822"/>
      <c r="F172" s="1822"/>
      <c r="G172" s="1822"/>
      <c r="H172" s="1822"/>
      <c r="I172" s="1822"/>
      <c r="J172" s="1822"/>
      <c r="K172" s="1822"/>
      <c r="L172" s="1822"/>
      <c r="M172" s="1822"/>
      <c r="N172" s="1827"/>
      <c r="AG172" s="537" t="s">
        <v>8646</v>
      </c>
    </row>
    <row r="173" spans="1:33" s="536" customFormat="1" ht="45" x14ac:dyDescent="0.2">
      <c r="A173" s="575" t="s">
        <v>197</v>
      </c>
      <c r="B173" s="670" t="s">
        <v>503</v>
      </c>
      <c r="C173" s="1823" t="s">
        <v>504</v>
      </c>
      <c r="D173" s="1823"/>
      <c r="E173" s="1823"/>
      <c r="F173" s="573" t="s">
        <v>455</v>
      </c>
      <c r="G173" s="573"/>
      <c r="H173" s="573"/>
      <c r="I173" s="573" t="s">
        <v>8661</v>
      </c>
      <c r="J173" s="572"/>
      <c r="K173" s="573"/>
      <c r="L173" s="572"/>
      <c r="M173" s="571"/>
      <c r="N173" s="570"/>
      <c r="W173" s="537" t="s">
        <v>504</v>
      </c>
    </row>
    <row r="174" spans="1:33" s="536" customFormat="1" x14ac:dyDescent="0.2">
      <c r="A174" s="676"/>
      <c r="B174" s="664"/>
      <c r="C174" s="1822" t="s">
        <v>8662</v>
      </c>
      <c r="D174" s="1822"/>
      <c r="E174" s="1822"/>
      <c r="F174" s="1822"/>
      <c r="G174" s="1822"/>
      <c r="H174" s="1822"/>
      <c r="I174" s="1822"/>
      <c r="J174" s="1822"/>
      <c r="K174" s="1822"/>
      <c r="L174" s="1822"/>
      <c r="M174" s="1822"/>
      <c r="N174" s="1827"/>
      <c r="AG174" s="537" t="s">
        <v>8662</v>
      </c>
    </row>
    <row r="175" spans="1:33" s="536" customFormat="1" ht="33.75" x14ac:dyDescent="0.2">
      <c r="A175" s="609"/>
      <c r="B175" s="552" t="s">
        <v>310</v>
      </c>
      <c r="C175" s="1822" t="s">
        <v>311</v>
      </c>
      <c r="D175" s="1822"/>
      <c r="E175" s="1822"/>
      <c r="F175" s="1822"/>
      <c r="G175" s="1822"/>
      <c r="H175" s="1822"/>
      <c r="I175" s="1822"/>
      <c r="J175" s="1822"/>
      <c r="K175" s="1822"/>
      <c r="L175" s="1822"/>
      <c r="M175" s="1822"/>
      <c r="N175" s="1827"/>
      <c r="X175" s="537" t="s">
        <v>311</v>
      </c>
    </row>
    <row r="176" spans="1:33" s="536" customFormat="1" x14ac:dyDescent="0.2">
      <c r="A176" s="605"/>
      <c r="B176" s="552" t="s">
        <v>186</v>
      </c>
      <c r="C176" s="1822" t="s">
        <v>344</v>
      </c>
      <c r="D176" s="1822"/>
      <c r="E176" s="1822"/>
      <c r="F176" s="562"/>
      <c r="G176" s="562"/>
      <c r="H176" s="562"/>
      <c r="I176" s="562"/>
      <c r="J176" s="604">
        <v>3803.91</v>
      </c>
      <c r="K176" s="562" t="s">
        <v>313</v>
      </c>
      <c r="L176" s="604">
        <v>63.47</v>
      </c>
      <c r="M176" s="603"/>
      <c r="N176" s="602"/>
      <c r="Y176" s="537" t="s">
        <v>344</v>
      </c>
    </row>
    <row r="177" spans="1:33" s="536" customFormat="1" x14ac:dyDescent="0.2">
      <c r="A177" s="605"/>
      <c r="B177" s="552" t="s">
        <v>187</v>
      </c>
      <c r="C177" s="1822" t="s">
        <v>345</v>
      </c>
      <c r="D177" s="1822"/>
      <c r="E177" s="1822"/>
      <c r="F177" s="562"/>
      <c r="G177" s="562"/>
      <c r="H177" s="562"/>
      <c r="I177" s="562"/>
      <c r="J177" s="604">
        <v>445.5</v>
      </c>
      <c r="K177" s="562" t="s">
        <v>313</v>
      </c>
      <c r="L177" s="604">
        <v>7.43</v>
      </c>
      <c r="M177" s="603"/>
      <c r="N177" s="602"/>
      <c r="Y177" s="537" t="s">
        <v>345</v>
      </c>
    </row>
    <row r="178" spans="1:33" s="536" customFormat="1" x14ac:dyDescent="0.2">
      <c r="A178" s="605"/>
      <c r="B178" s="552"/>
      <c r="C178" s="1822" t="s">
        <v>348</v>
      </c>
      <c r="D178" s="1822"/>
      <c r="E178" s="1822"/>
      <c r="F178" s="562" t="s">
        <v>315</v>
      </c>
      <c r="G178" s="562" t="s">
        <v>505</v>
      </c>
      <c r="H178" s="562" t="s">
        <v>313</v>
      </c>
      <c r="I178" s="562" t="s">
        <v>8663</v>
      </c>
      <c r="J178" s="604"/>
      <c r="K178" s="562"/>
      <c r="L178" s="604"/>
      <c r="M178" s="603"/>
      <c r="N178" s="602"/>
      <c r="Z178" s="537" t="s">
        <v>348</v>
      </c>
    </row>
    <row r="179" spans="1:33" s="536" customFormat="1" x14ac:dyDescent="0.2">
      <c r="A179" s="605"/>
      <c r="B179" s="552"/>
      <c r="C179" s="1828" t="s">
        <v>318</v>
      </c>
      <c r="D179" s="1828"/>
      <c r="E179" s="1828"/>
      <c r="F179" s="608"/>
      <c r="G179" s="608"/>
      <c r="H179" s="608"/>
      <c r="I179" s="608"/>
      <c r="J179" s="607">
        <v>3803.91</v>
      </c>
      <c r="K179" s="608"/>
      <c r="L179" s="607">
        <v>63.47</v>
      </c>
      <c r="M179" s="601"/>
      <c r="N179" s="606"/>
      <c r="AA179" s="537" t="s">
        <v>318</v>
      </c>
    </row>
    <row r="180" spans="1:33" s="536" customFormat="1" x14ac:dyDescent="0.2">
      <c r="A180" s="605"/>
      <c r="B180" s="552"/>
      <c r="C180" s="1822" t="s">
        <v>319</v>
      </c>
      <c r="D180" s="1822"/>
      <c r="E180" s="1822"/>
      <c r="F180" s="562"/>
      <c r="G180" s="562"/>
      <c r="H180" s="562"/>
      <c r="I180" s="562"/>
      <c r="J180" s="604"/>
      <c r="K180" s="562"/>
      <c r="L180" s="604">
        <v>7.43</v>
      </c>
      <c r="M180" s="603"/>
      <c r="N180" s="602"/>
      <c r="Z180" s="537" t="s">
        <v>319</v>
      </c>
    </row>
    <row r="181" spans="1:33" s="536" customFormat="1" ht="33.75" x14ac:dyDescent="0.2">
      <c r="A181" s="605"/>
      <c r="B181" s="552" t="s">
        <v>460</v>
      </c>
      <c r="C181" s="1822" t="s">
        <v>461</v>
      </c>
      <c r="D181" s="1822"/>
      <c r="E181" s="1822"/>
      <c r="F181" s="562" t="s">
        <v>322</v>
      </c>
      <c r="G181" s="562" t="s">
        <v>462</v>
      </c>
      <c r="H181" s="562"/>
      <c r="I181" s="562" t="s">
        <v>462</v>
      </c>
      <c r="J181" s="604"/>
      <c r="K181" s="562"/>
      <c r="L181" s="604">
        <v>6.84</v>
      </c>
      <c r="M181" s="603"/>
      <c r="N181" s="602"/>
      <c r="Z181" s="537" t="s">
        <v>461</v>
      </c>
    </row>
    <row r="182" spans="1:33" s="536" customFormat="1" ht="33.75" x14ac:dyDescent="0.2">
      <c r="A182" s="605"/>
      <c r="B182" s="552" t="s">
        <v>463</v>
      </c>
      <c r="C182" s="1822" t="s">
        <v>464</v>
      </c>
      <c r="D182" s="1822"/>
      <c r="E182" s="1822"/>
      <c r="F182" s="562" t="s">
        <v>322</v>
      </c>
      <c r="G182" s="562" t="s">
        <v>465</v>
      </c>
      <c r="H182" s="562"/>
      <c r="I182" s="562" t="s">
        <v>465</v>
      </c>
      <c r="J182" s="604"/>
      <c r="K182" s="562"/>
      <c r="L182" s="604">
        <v>3.42</v>
      </c>
      <c r="M182" s="603"/>
      <c r="N182" s="602"/>
      <c r="Z182" s="537" t="s">
        <v>464</v>
      </c>
    </row>
    <row r="183" spans="1:33" s="536" customFormat="1" x14ac:dyDescent="0.2">
      <c r="A183" s="569"/>
      <c r="B183" s="671"/>
      <c r="C183" s="1823" t="s">
        <v>327</v>
      </c>
      <c r="D183" s="1823"/>
      <c r="E183" s="1823"/>
      <c r="F183" s="573"/>
      <c r="G183" s="573"/>
      <c r="H183" s="573"/>
      <c r="I183" s="573"/>
      <c r="J183" s="572"/>
      <c r="K183" s="573"/>
      <c r="L183" s="572">
        <v>73.73</v>
      </c>
      <c r="M183" s="601"/>
      <c r="N183" s="570"/>
      <c r="AB183" s="537" t="s">
        <v>327</v>
      </c>
    </row>
    <row r="184" spans="1:33" s="536" customFormat="1" ht="22.5" x14ac:dyDescent="0.2">
      <c r="A184" s="575" t="s">
        <v>198</v>
      </c>
      <c r="B184" s="670" t="s">
        <v>507</v>
      </c>
      <c r="C184" s="1823" t="s">
        <v>508</v>
      </c>
      <c r="D184" s="1823"/>
      <c r="E184" s="1823"/>
      <c r="F184" s="573" t="s">
        <v>509</v>
      </c>
      <c r="G184" s="573"/>
      <c r="H184" s="573"/>
      <c r="I184" s="573" t="s">
        <v>8664</v>
      </c>
      <c r="J184" s="572"/>
      <c r="K184" s="573"/>
      <c r="L184" s="572"/>
      <c r="M184" s="571"/>
      <c r="N184" s="570"/>
      <c r="W184" s="537" t="s">
        <v>508</v>
      </c>
    </row>
    <row r="185" spans="1:33" s="536" customFormat="1" x14ac:dyDescent="0.2">
      <c r="A185" s="676"/>
      <c r="B185" s="664"/>
      <c r="C185" s="1822" t="s">
        <v>8665</v>
      </c>
      <c r="D185" s="1822"/>
      <c r="E185" s="1822"/>
      <c r="F185" s="1822"/>
      <c r="G185" s="1822"/>
      <c r="H185" s="1822"/>
      <c r="I185" s="1822"/>
      <c r="J185" s="1822"/>
      <c r="K185" s="1822"/>
      <c r="L185" s="1822"/>
      <c r="M185" s="1822"/>
      <c r="N185" s="1827"/>
      <c r="AG185" s="537" t="s">
        <v>8665</v>
      </c>
    </row>
    <row r="186" spans="1:33" s="536" customFormat="1" ht="33.75" x14ac:dyDescent="0.2">
      <c r="A186" s="609"/>
      <c r="B186" s="552" t="s">
        <v>310</v>
      </c>
      <c r="C186" s="1822" t="s">
        <v>311</v>
      </c>
      <c r="D186" s="1822"/>
      <c r="E186" s="1822"/>
      <c r="F186" s="1822"/>
      <c r="G186" s="1822"/>
      <c r="H186" s="1822"/>
      <c r="I186" s="1822"/>
      <c r="J186" s="1822"/>
      <c r="K186" s="1822"/>
      <c r="L186" s="1822"/>
      <c r="M186" s="1822"/>
      <c r="N186" s="1827"/>
      <c r="X186" s="537" t="s">
        <v>311</v>
      </c>
    </row>
    <row r="187" spans="1:33" s="536" customFormat="1" x14ac:dyDescent="0.2">
      <c r="A187" s="605"/>
      <c r="B187" s="552" t="s">
        <v>185</v>
      </c>
      <c r="C187" s="1822" t="s">
        <v>312</v>
      </c>
      <c r="D187" s="1822"/>
      <c r="E187" s="1822"/>
      <c r="F187" s="562"/>
      <c r="G187" s="562"/>
      <c r="H187" s="562"/>
      <c r="I187" s="562"/>
      <c r="J187" s="604">
        <v>127.61</v>
      </c>
      <c r="K187" s="562" t="s">
        <v>313</v>
      </c>
      <c r="L187" s="604">
        <v>21.29</v>
      </c>
      <c r="M187" s="603"/>
      <c r="N187" s="602"/>
      <c r="Y187" s="537" t="s">
        <v>312</v>
      </c>
    </row>
    <row r="188" spans="1:33" s="536" customFormat="1" x14ac:dyDescent="0.2">
      <c r="A188" s="605"/>
      <c r="B188" s="552" t="s">
        <v>186</v>
      </c>
      <c r="C188" s="1822" t="s">
        <v>344</v>
      </c>
      <c r="D188" s="1822"/>
      <c r="E188" s="1822"/>
      <c r="F188" s="562"/>
      <c r="G188" s="562"/>
      <c r="H188" s="562"/>
      <c r="I188" s="562"/>
      <c r="J188" s="604">
        <v>288.58</v>
      </c>
      <c r="K188" s="562" t="s">
        <v>313</v>
      </c>
      <c r="L188" s="604">
        <v>48.15</v>
      </c>
      <c r="M188" s="603"/>
      <c r="N188" s="602"/>
      <c r="Y188" s="537" t="s">
        <v>344</v>
      </c>
    </row>
    <row r="189" spans="1:33" s="536" customFormat="1" x14ac:dyDescent="0.2">
      <c r="A189" s="605"/>
      <c r="B189" s="552" t="s">
        <v>187</v>
      </c>
      <c r="C189" s="1822" t="s">
        <v>345</v>
      </c>
      <c r="D189" s="1822"/>
      <c r="E189" s="1822"/>
      <c r="F189" s="562"/>
      <c r="G189" s="562"/>
      <c r="H189" s="562"/>
      <c r="I189" s="562"/>
      <c r="J189" s="604">
        <v>31.49</v>
      </c>
      <c r="K189" s="562" t="s">
        <v>313</v>
      </c>
      <c r="L189" s="604">
        <v>5.25</v>
      </c>
      <c r="M189" s="603"/>
      <c r="N189" s="602"/>
      <c r="Y189" s="537" t="s">
        <v>345</v>
      </c>
    </row>
    <row r="190" spans="1:33" s="536" customFormat="1" x14ac:dyDescent="0.2">
      <c r="A190" s="605"/>
      <c r="B190" s="552"/>
      <c r="C190" s="1822" t="s">
        <v>314</v>
      </c>
      <c r="D190" s="1822"/>
      <c r="E190" s="1822"/>
      <c r="F190" s="562" t="s">
        <v>315</v>
      </c>
      <c r="G190" s="562" t="s">
        <v>512</v>
      </c>
      <c r="H190" s="562" t="s">
        <v>313</v>
      </c>
      <c r="I190" s="562" t="s">
        <v>8666</v>
      </c>
      <c r="J190" s="604"/>
      <c r="K190" s="562"/>
      <c r="L190" s="604"/>
      <c r="M190" s="603"/>
      <c r="N190" s="602"/>
      <c r="Z190" s="537" t="s">
        <v>314</v>
      </c>
    </row>
    <row r="191" spans="1:33" s="536" customFormat="1" x14ac:dyDescent="0.2">
      <c r="A191" s="605"/>
      <c r="B191" s="552"/>
      <c r="C191" s="1822" t="s">
        <v>348</v>
      </c>
      <c r="D191" s="1822"/>
      <c r="E191" s="1822"/>
      <c r="F191" s="562" t="s">
        <v>315</v>
      </c>
      <c r="G191" s="562" t="s">
        <v>514</v>
      </c>
      <c r="H191" s="562" t="s">
        <v>313</v>
      </c>
      <c r="I191" s="562" t="s">
        <v>8667</v>
      </c>
      <c r="J191" s="604"/>
      <c r="K191" s="562"/>
      <c r="L191" s="604"/>
      <c r="M191" s="603"/>
      <c r="N191" s="602"/>
      <c r="Z191" s="537" t="s">
        <v>348</v>
      </c>
    </row>
    <row r="192" spans="1:33" s="536" customFormat="1" x14ac:dyDescent="0.2">
      <c r="A192" s="605"/>
      <c r="B192" s="552"/>
      <c r="C192" s="1828" t="s">
        <v>318</v>
      </c>
      <c r="D192" s="1828"/>
      <c r="E192" s="1828"/>
      <c r="F192" s="608"/>
      <c r="G192" s="608"/>
      <c r="H192" s="608"/>
      <c r="I192" s="608"/>
      <c r="J192" s="607">
        <v>416.19</v>
      </c>
      <c r="K192" s="608"/>
      <c r="L192" s="607">
        <v>69.44</v>
      </c>
      <c r="M192" s="601"/>
      <c r="N192" s="606"/>
      <c r="AA192" s="537" t="s">
        <v>318</v>
      </c>
    </row>
    <row r="193" spans="1:33" s="536" customFormat="1" x14ac:dyDescent="0.2">
      <c r="A193" s="605"/>
      <c r="B193" s="552"/>
      <c r="C193" s="1822" t="s">
        <v>319</v>
      </c>
      <c r="D193" s="1822"/>
      <c r="E193" s="1822"/>
      <c r="F193" s="562"/>
      <c r="G193" s="562"/>
      <c r="H193" s="562"/>
      <c r="I193" s="562"/>
      <c r="J193" s="604"/>
      <c r="K193" s="562"/>
      <c r="L193" s="604">
        <v>26.54</v>
      </c>
      <c r="M193" s="603"/>
      <c r="N193" s="602"/>
      <c r="Z193" s="537" t="s">
        <v>319</v>
      </c>
    </row>
    <row r="194" spans="1:33" s="536" customFormat="1" ht="33.75" x14ac:dyDescent="0.2">
      <c r="A194" s="605"/>
      <c r="B194" s="552" t="s">
        <v>460</v>
      </c>
      <c r="C194" s="1822" t="s">
        <v>461</v>
      </c>
      <c r="D194" s="1822"/>
      <c r="E194" s="1822"/>
      <c r="F194" s="562" t="s">
        <v>322</v>
      </c>
      <c r="G194" s="562" t="s">
        <v>462</v>
      </c>
      <c r="H194" s="562"/>
      <c r="I194" s="562" t="s">
        <v>462</v>
      </c>
      <c r="J194" s="604"/>
      <c r="K194" s="562"/>
      <c r="L194" s="604">
        <v>24.42</v>
      </c>
      <c r="M194" s="603"/>
      <c r="N194" s="602"/>
      <c r="Z194" s="537" t="s">
        <v>461</v>
      </c>
    </row>
    <row r="195" spans="1:33" s="536" customFormat="1" ht="33.75" x14ac:dyDescent="0.2">
      <c r="A195" s="605"/>
      <c r="B195" s="552" t="s">
        <v>463</v>
      </c>
      <c r="C195" s="1822" t="s">
        <v>464</v>
      </c>
      <c r="D195" s="1822"/>
      <c r="E195" s="1822"/>
      <c r="F195" s="562" t="s">
        <v>322</v>
      </c>
      <c r="G195" s="562" t="s">
        <v>465</v>
      </c>
      <c r="H195" s="562"/>
      <c r="I195" s="562" t="s">
        <v>465</v>
      </c>
      <c r="J195" s="604"/>
      <c r="K195" s="562"/>
      <c r="L195" s="604">
        <v>12.21</v>
      </c>
      <c r="M195" s="603"/>
      <c r="N195" s="602"/>
      <c r="Z195" s="537" t="s">
        <v>464</v>
      </c>
    </row>
    <row r="196" spans="1:33" s="536" customFormat="1" x14ac:dyDescent="0.2">
      <c r="A196" s="569"/>
      <c r="B196" s="671"/>
      <c r="C196" s="1823" t="s">
        <v>327</v>
      </c>
      <c r="D196" s="1823"/>
      <c r="E196" s="1823"/>
      <c r="F196" s="573"/>
      <c r="G196" s="573"/>
      <c r="H196" s="573"/>
      <c r="I196" s="573"/>
      <c r="J196" s="572"/>
      <c r="K196" s="573"/>
      <c r="L196" s="572">
        <v>106.07</v>
      </c>
      <c r="M196" s="601"/>
      <c r="N196" s="570"/>
      <c r="AB196" s="537" t="s">
        <v>327</v>
      </c>
    </row>
    <row r="197" spans="1:33" s="536" customFormat="1" x14ac:dyDescent="0.2">
      <c r="A197" s="1830" t="s">
        <v>8668</v>
      </c>
      <c r="B197" s="1831"/>
      <c r="C197" s="1831"/>
      <c r="D197" s="1831"/>
      <c r="E197" s="1831"/>
      <c r="F197" s="1831"/>
      <c r="G197" s="1831"/>
      <c r="H197" s="1831"/>
      <c r="I197" s="1831"/>
      <c r="J197" s="1831"/>
      <c r="K197" s="1831"/>
      <c r="L197" s="1831"/>
      <c r="M197" s="1831"/>
      <c r="N197" s="1832"/>
      <c r="AF197" s="537" t="s">
        <v>8668</v>
      </c>
    </row>
    <row r="198" spans="1:33" s="536" customFormat="1" ht="56.25" x14ac:dyDescent="0.2">
      <c r="A198" s="575" t="s">
        <v>199</v>
      </c>
      <c r="B198" s="670" t="s">
        <v>3774</v>
      </c>
      <c r="C198" s="1823" t="s">
        <v>3775</v>
      </c>
      <c r="D198" s="1823"/>
      <c r="E198" s="1823"/>
      <c r="F198" s="573" t="s">
        <v>455</v>
      </c>
      <c r="G198" s="573"/>
      <c r="H198" s="573"/>
      <c r="I198" s="573" t="s">
        <v>8669</v>
      </c>
      <c r="J198" s="572"/>
      <c r="K198" s="573"/>
      <c r="L198" s="572"/>
      <c r="M198" s="571"/>
      <c r="N198" s="570"/>
      <c r="W198" s="537" t="s">
        <v>3775</v>
      </c>
    </row>
    <row r="199" spans="1:33" s="536" customFormat="1" x14ac:dyDescent="0.2">
      <c r="A199" s="676"/>
      <c r="B199" s="664"/>
      <c r="C199" s="1822" t="s">
        <v>8670</v>
      </c>
      <c r="D199" s="1822"/>
      <c r="E199" s="1822"/>
      <c r="F199" s="1822"/>
      <c r="G199" s="1822"/>
      <c r="H199" s="1822"/>
      <c r="I199" s="1822"/>
      <c r="J199" s="1822"/>
      <c r="K199" s="1822"/>
      <c r="L199" s="1822"/>
      <c r="M199" s="1822"/>
      <c r="N199" s="1827"/>
      <c r="AG199" s="537" t="s">
        <v>8670</v>
      </c>
    </row>
    <row r="200" spans="1:33" s="536" customFormat="1" ht="33.75" x14ac:dyDescent="0.2">
      <c r="A200" s="609"/>
      <c r="B200" s="552" t="s">
        <v>310</v>
      </c>
      <c r="C200" s="1822" t="s">
        <v>311</v>
      </c>
      <c r="D200" s="1822"/>
      <c r="E200" s="1822"/>
      <c r="F200" s="1822"/>
      <c r="G200" s="1822"/>
      <c r="H200" s="1822"/>
      <c r="I200" s="1822"/>
      <c r="J200" s="1822"/>
      <c r="K200" s="1822"/>
      <c r="L200" s="1822"/>
      <c r="M200" s="1822"/>
      <c r="N200" s="1827"/>
      <c r="X200" s="537" t="s">
        <v>311</v>
      </c>
    </row>
    <row r="201" spans="1:33" s="536" customFormat="1" x14ac:dyDescent="0.2">
      <c r="A201" s="605"/>
      <c r="B201" s="552" t="s">
        <v>186</v>
      </c>
      <c r="C201" s="1822" t="s">
        <v>344</v>
      </c>
      <c r="D201" s="1822"/>
      <c r="E201" s="1822"/>
      <c r="F201" s="562"/>
      <c r="G201" s="562"/>
      <c r="H201" s="562"/>
      <c r="I201" s="562"/>
      <c r="J201" s="604">
        <v>6166.95</v>
      </c>
      <c r="K201" s="562" t="s">
        <v>313</v>
      </c>
      <c r="L201" s="604">
        <v>402.43</v>
      </c>
      <c r="M201" s="603"/>
      <c r="N201" s="602"/>
      <c r="Y201" s="537" t="s">
        <v>344</v>
      </c>
    </row>
    <row r="202" spans="1:33" s="536" customFormat="1" x14ac:dyDescent="0.2">
      <c r="A202" s="605"/>
      <c r="B202" s="552" t="s">
        <v>187</v>
      </c>
      <c r="C202" s="1822" t="s">
        <v>345</v>
      </c>
      <c r="D202" s="1822"/>
      <c r="E202" s="1822"/>
      <c r="F202" s="562"/>
      <c r="G202" s="562"/>
      <c r="H202" s="562"/>
      <c r="I202" s="562"/>
      <c r="J202" s="604">
        <v>722.25</v>
      </c>
      <c r="K202" s="562" t="s">
        <v>313</v>
      </c>
      <c r="L202" s="604">
        <v>47.13</v>
      </c>
      <c r="M202" s="603"/>
      <c r="N202" s="602"/>
      <c r="Y202" s="537" t="s">
        <v>345</v>
      </c>
    </row>
    <row r="203" spans="1:33" s="536" customFormat="1" x14ac:dyDescent="0.2">
      <c r="A203" s="605"/>
      <c r="B203" s="552"/>
      <c r="C203" s="1822" t="s">
        <v>348</v>
      </c>
      <c r="D203" s="1822"/>
      <c r="E203" s="1822"/>
      <c r="F203" s="562" t="s">
        <v>315</v>
      </c>
      <c r="G203" s="562" t="s">
        <v>3776</v>
      </c>
      <c r="H203" s="562" t="s">
        <v>313</v>
      </c>
      <c r="I203" s="562" t="s">
        <v>8671</v>
      </c>
      <c r="J203" s="604"/>
      <c r="K203" s="562"/>
      <c r="L203" s="604"/>
      <c r="M203" s="603"/>
      <c r="N203" s="602"/>
      <c r="Z203" s="537" t="s">
        <v>348</v>
      </c>
    </row>
    <row r="204" spans="1:33" s="536" customFormat="1" x14ac:dyDescent="0.2">
      <c r="A204" s="605"/>
      <c r="B204" s="552"/>
      <c r="C204" s="1828" t="s">
        <v>318</v>
      </c>
      <c r="D204" s="1828"/>
      <c r="E204" s="1828"/>
      <c r="F204" s="608"/>
      <c r="G204" s="608"/>
      <c r="H204" s="608"/>
      <c r="I204" s="608"/>
      <c r="J204" s="607">
        <v>6166.95</v>
      </c>
      <c r="K204" s="608"/>
      <c r="L204" s="607">
        <v>402.43</v>
      </c>
      <c r="M204" s="601"/>
      <c r="N204" s="606"/>
      <c r="AA204" s="537" t="s">
        <v>318</v>
      </c>
    </row>
    <row r="205" spans="1:33" s="536" customFormat="1" x14ac:dyDescent="0.2">
      <c r="A205" s="605"/>
      <c r="B205" s="552"/>
      <c r="C205" s="1822" t="s">
        <v>319</v>
      </c>
      <c r="D205" s="1822"/>
      <c r="E205" s="1822"/>
      <c r="F205" s="562"/>
      <c r="G205" s="562"/>
      <c r="H205" s="562"/>
      <c r="I205" s="562"/>
      <c r="J205" s="604"/>
      <c r="K205" s="562"/>
      <c r="L205" s="604">
        <v>47.13</v>
      </c>
      <c r="M205" s="603"/>
      <c r="N205" s="602"/>
      <c r="Z205" s="537" t="s">
        <v>319</v>
      </c>
    </row>
    <row r="206" spans="1:33" s="536" customFormat="1" ht="33.75" x14ac:dyDescent="0.2">
      <c r="A206" s="605"/>
      <c r="B206" s="552" t="s">
        <v>460</v>
      </c>
      <c r="C206" s="1822" t="s">
        <v>461</v>
      </c>
      <c r="D206" s="1822"/>
      <c r="E206" s="1822"/>
      <c r="F206" s="562" t="s">
        <v>322</v>
      </c>
      <c r="G206" s="562" t="s">
        <v>462</v>
      </c>
      <c r="H206" s="562"/>
      <c r="I206" s="562" t="s">
        <v>462</v>
      </c>
      <c r="J206" s="604"/>
      <c r="K206" s="562"/>
      <c r="L206" s="604">
        <v>43.36</v>
      </c>
      <c r="M206" s="603"/>
      <c r="N206" s="602"/>
      <c r="Z206" s="537" t="s">
        <v>461</v>
      </c>
    </row>
    <row r="207" spans="1:33" s="536" customFormat="1" ht="33.75" x14ac:dyDescent="0.2">
      <c r="A207" s="605"/>
      <c r="B207" s="552" t="s">
        <v>463</v>
      </c>
      <c r="C207" s="1822" t="s">
        <v>464</v>
      </c>
      <c r="D207" s="1822"/>
      <c r="E207" s="1822"/>
      <c r="F207" s="562" t="s">
        <v>322</v>
      </c>
      <c r="G207" s="562" t="s">
        <v>465</v>
      </c>
      <c r="H207" s="562"/>
      <c r="I207" s="562" t="s">
        <v>465</v>
      </c>
      <c r="J207" s="604"/>
      <c r="K207" s="562"/>
      <c r="L207" s="604">
        <v>21.68</v>
      </c>
      <c r="M207" s="603"/>
      <c r="N207" s="602"/>
      <c r="Z207" s="537" t="s">
        <v>464</v>
      </c>
    </row>
    <row r="208" spans="1:33" s="536" customFormat="1" x14ac:dyDescent="0.2">
      <c r="A208" s="569"/>
      <c r="B208" s="671"/>
      <c r="C208" s="1823" t="s">
        <v>327</v>
      </c>
      <c r="D208" s="1823"/>
      <c r="E208" s="1823"/>
      <c r="F208" s="573"/>
      <c r="G208" s="573"/>
      <c r="H208" s="573"/>
      <c r="I208" s="573"/>
      <c r="J208" s="572"/>
      <c r="K208" s="573"/>
      <c r="L208" s="572">
        <v>467.47</v>
      </c>
      <c r="M208" s="601"/>
      <c r="N208" s="570"/>
      <c r="AB208" s="537" t="s">
        <v>327</v>
      </c>
    </row>
    <row r="209" spans="1:33" s="536" customFormat="1" ht="45" x14ac:dyDescent="0.2">
      <c r="A209" s="575" t="s">
        <v>200</v>
      </c>
      <c r="B209" s="670" t="s">
        <v>1511</v>
      </c>
      <c r="C209" s="1823" t="s">
        <v>1512</v>
      </c>
      <c r="D209" s="1823"/>
      <c r="E209" s="1823"/>
      <c r="F209" s="573" t="s">
        <v>455</v>
      </c>
      <c r="G209" s="573"/>
      <c r="H209" s="573"/>
      <c r="I209" s="573" t="s">
        <v>8672</v>
      </c>
      <c r="J209" s="572"/>
      <c r="K209" s="573"/>
      <c r="L209" s="572"/>
      <c r="M209" s="571"/>
      <c r="N209" s="570"/>
      <c r="W209" s="537" t="s">
        <v>1512</v>
      </c>
    </row>
    <row r="210" spans="1:33" s="536" customFormat="1" x14ac:dyDescent="0.2">
      <c r="A210" s="676"/>
      <c r="B210" s="664"/>
      <c r="C210" s="1822" t="s">
        <v>8673</v>
      </c>
      <c r="D210" s="1822"/>
      <c r="E210" s="1822"/>
      <c r="F210" s="1822"/>
      <c r="G210" s="1822"/>
      <c r="H210" s="1822"/>
      <c r="I210" s="1822"/>
      <c r="J210" s="1822"/>
      <c r="K210" s="1822"/>
      <c r="L210" s="1822"/>
      <c r="M210" s="1822"/>
      <c r="N210" s="1827"/>
      <c r="AG210" s="537" t="s">
        <v>8673</v>
      </c>
    </row>
    <row r="211" spans="1:33" s="536" customFormat="1" ht="33.75" x14ac:dyDescent="0.2">
      <c r="A211" s="609"/>
      <c r="B211" s="552" t="s">
        <v>310</v>
      </c>
      <c r="C211" s="1822" t="s">
        <v>311</v>
      </c>
      <c r="D211" s="1822"/>
      <c r="E211" s="1822"/>
      <c r="F211" s="1822"/>
      <c r="G211" s="1822"/>
      <c r="H211" s="1822"/>
      <c r="I211" s="1822"/>
      <c r="J211" s="1822"/>
      <c r="K211" s="1822"/>
      <c r="L211" s="1822"/>
      <c r="M211" s="1822"/>
      <c r="N211" s="1827"/>
      <c r="X211" s="537" t="s">
        <v>311</v>
      </c>
    </row>
    <row r="212" spans="1:33" s="536" customFormat="1" x14ac:dyDescent="0.2">
      <c r="A212" s="605"/>
      <c r="B212" s="552" t="s">
        <v>186</v>
      </c>
      <c r="C212" s="1822" t="s">
        <v>344</v>
      </c>
      <c r="D212" s="1822"/>
      <c r="E212" s="1822"/>
      <c r="F212" s="562"/>
      <c r="G212" s="562"/>
      <c r="H212" s="562"/>
      <c r="I212" s="562"/>
      <c r="J212" s="604">
        <v>4898.9799999999996</v>
      </c>
      <c r="K212" s="562" t="s">
        <v>313</v>
      </c>
      <c r="L212" s="604">
        <v>722.35</v>
      </c>
      <c r="M212" s="603"/>
      <c r="N212" s="602"/>
      <c r="Y212" s="537" t="s">
        <v>344</v>
      </c>
    </row>
    <row r="213" spans="1:33" s="536" customFormat="1" x14ac:dyDescent="0.2">
      <c r="A213" s="605"/>
      <c r="B213" s="552" t="s">
        <v>187</v>
      </c>
      <c r="C213" s="1822" t="s">
        <v>345</v>
      </c>
      <c r="D213" s="1822"/>
      <c r="E213" s="1822"/>
      <c r="F213" s="562"/>
      <c r="G213" s="562"/>
      <c r="H213" s="562"/>
      <c r="I213" s="562"/>
      <c r="J213" s="604">
        <v>573.75</v>
      </c>
      <c r="K213" s="562" t="s">
        <v>313</v>
      </c>
      <c r="L213" s="604">
        <v>84.6</v>
      </c>
      <c r="M213" s="603"/>
      <c r="N213" s="602"/>
      <c r="Y213" s="537" t="s">
        <v>345</v>
      </c>
    </row>
    <row r="214" spans="1:33" s="536" customFormat="1" x14ac:dyDescent="0.2">
      <c r="A214" s="605"/>
      <c r="B214" s="552"/>
      <c r="C214" s="1822" t="s">
        <v>348</v>
      </c>
      <c r="D214" s="1822"/>
      <c r="E214" s="1822"/>
      <c r="F214" s="562" t="s">
        <v>315</v>
      </c>
      <c r="G214" s="562" t="s">
        <v>1513</v>
      </c>
      <c r="H214" s="562" t="s">
        <v>313</v>
      </c>
      <c r="I214" s="562" t="s">
        <v>8674</v>
      </c>
      <c r="J214" s="604"/>
      <c r="K214" s="562"/>
      <c r="L214" s="604"/>
      <c r="M214" s="603"/>
      <c r="N214" s="602"/>
      <c r="Z214" s="537" t="s">
        <v>348</v>
      </c>
    </row>
    <row r="215" spans="1:33" s="536" customFormat="1" x14ac:dyDescent="0.2">
      <c r="A215" s="605"/>
      <c r="B215" s="552"/>
      <c r="C215" s="1828" t="s">
        <v>318</v>
      </c>
      <c r="D215" s="1828"/>
      <c r="E215" s="1828"/>
      <c r="F215" s="608"/>
      <c r="G215" s="608"/>
      <c r="H215" s="608"/>
      <c r="I215" s="608"/>
      <c r="J215" s="607">
        <v>4898.9799999999996</v>
      </c>
      <c r="K215" s="608"/>
      <c r="L215" s="607">
        <v>722.35</v>
      </c>
      <c r="M215" s="601"/>
      <c r="N215" s="606"/>
      <c r="AA215" s="537" t="s">
        <v>318</v>
      </c>
    </row>
    <row r="216" spans="1:33" s="536" customFormat="1" x14ac:dyDescent="0.2">
      <c r="A216" s="605"/>
      <c r="B216" s="552"/>
      <c r="C216" s="1822" t="s">
        <v>319</v>
      </c>
      <c r="D216" s="1822"/>
      <c r="E216" s="1822"/>
      <c r="F216" s="562"/>
      <c r="G216" s="562"/>
      <c r="H216" s="562"/>
      <c r="I216" s="562"/>
      <c r="J216" s="604"/>
      <c r="K216" s="562"/>
      <c r="L216" s="604">
        <v>84.6</v>
      </c>
      <c r="M216" s="603"/>
      <c r="N216" s="602"/>
      <c r="Z216" s="537" t="s">
        <v>319</v>
      </c>
    </row>
    <row r="217" spans="1:33" s="536" customFormat="1" ht="33.75" x14ac:dyDescent="0.2">
      <c r="A217" s="605"/>
      <c r="B217" s="552" t="s">
        <v>460</v>
      </c>
      <c r="C217" s="1822" t="s">
        <v>461</v>
      </c>
      <c r="D217" s="1822"/>
      <c r="E217" s="1822"/>
      <c r="F217" s="562" t="s">
        <v>322</v>
      </c>
      <c r="G217" s="562" t="s">
        <v>462</v>
      </c>
      <c r="H217" s="562"/>
      <c r="I217" s="562" t="s">
        <v>462</v>
      </c>
      <c r="J217" s="604"/>
      <c r="K217" s="562"/>
      <c r="L217" s="604">
        <v>77.83</v>
      </c>
      <c r="M217" s="603"/>
      <c r="N217" s="602"/>
      <c r="Z217" s="537" t="s">
        <v>461</v>
      </c>
    </row>
    <row r="218" spans="1:33" s="536" customFormat="1" ht="33.75" x14ac:dyDescent="0.2">
      <c r="A218" s="605"/>
      <c r="B218" s="552" t="s">
        <v>463</v>
      </c>
      <c r="C218" s="1822" t="s">
        <v>464</v>
      </c>
      <c r="D218" s="1822"/>
      <c r="E218" s="1822"/>
      <c r="F218" s="562" t="s">
        <v>322</v>
      </c>
      <c r="G218" s="562" t="s">
        <v>465</v>
      </c>
      <c r="H218" s="562"/>
      <c r="I218" s="562" t="s">
        <v>465</v>
      </c>
      <c r="J218" s="604"/>
      <c r="K218" s="562"/>
      <c r="L218" s="604">
        <v>38.92</v>
      </c>
      <c r="M218" s="603"/>
      <c r="N218" s="602"/>
      <c r="Z218" s="537" t="s">
        <v>464</v>
      </c>
    </row>
    <row r="219" spans="1:33" s="536" customFormat="1" x14ac:dyDescent="0.2">
      <c r="A219" s="569"/>
      <c r="B219" s="671"/>
      <c r="C219" s="1823" t="s">
        <v>327</v>
      </c>
      <c r="D219" s="1823"/>
      <c r="E219" s="1823"/>
      <c r="F219" s="573"/>
      <c r="G219" s="573"/>
      <c r="H219" s="573"/>
      <c r="I219" s="573"/>
      <c r="J219" s="572"/>
      <c r="K219" s="573"/>
      <c r="L219" s="572">
        <v>839.1</v>
      </c>
      <c r="M219" s="601"/>
      <c r="N219" s="570"/>
      <c r="AB219" s="537" t="s">
        <v>327</v>
      </c>
    </row>
    <row r="220" spans="1:33" s="536" customFormat="1" ht="33.75" x14ac:dyDescent="0.2">
      <c r="A220" s="575" t="s">
        <v>425</v>
      </c>
      <c r="B220" s="670" t="s">
        <v>1514</v>
      </c>
      <c r="C220" s="1823" t="s">
        <v>1515</v>
      </c>
      <c r="D220" s="1823"/>
      <c r="E220" s="1823"/>
      <c r="F220" s="573" t="s">
        <v>509</v>
      </c>
      <c r="G220" s="573"/>
      <c r="H220" s="573"/>
      <c r="I220" s="573" t="s">
        <v>8675</v>
      </c>
      <c r="J220" s="572"/>
      <c r="K220" s="573"/>
      <c r="L220" s="572"/>
      <c r="M220" s="571"/>
      <c r="N220" s="570"/>
      <c r="W220" s="537" t="s">
        <v>1515</v>
      </c>
    </row>
    <row r="221" spans="1:33" s="536" customFormat="1" x14ac:dyDescent="0.2">
      <c r="A221" s="676"/>
      <c r="B221" s="664"/>
      <c r="C221" s="1822" t="s">
        <v>8676</v>
      </c>
      <c r="D221" s="1822"/>
      <c r="E221" s="1822"/>
      <c r="F221" s="1822"/>
      <c r="G221" s="1822"/>
      <c r="H221" s="1822"/>
      <c r="I221" s="1822"/>
      <c r="J221" s="1822"/>
      <c r="K221" s="1822"/>
      <c r="L221" s="1822"/>
      <c r="M221" s="1822"/>
      <c r="N221" s="1827"/>
      <c r="AG221" s="537" t="s">
        <v>8676</v>
      </c>
    </row>
    <row r="222" spans="1:33" s="536" customFormat="1" ht="33.75" x14ac:dyDescent="0.2">
      <c r="A222" s="609"/>
      <c r="B222" s="552" t="s">
        <v>310</v>
      </c>
      <c r="C222" s="1822" t="s">
        <v>311</v>
      </c>
      <c r="D222" s="1822"/>
      <c r="E222" s="1822"/>
      <c r="F222" s="1822"/>
      <c r="G222" s="1822"/>
      <c r="H222" s="1822"/>
      <c r="I222" s="1822"/>
      <c r="J222" s="1822"/>
      <c r="K222" s="1822"/>
      <c r="L222" s="1822"/>
      <c r="M222" s="1822"/>
      <c r="N222" s="1827"/>
      <c r="X222" s="537" t="s">
        <v>311</v>
      </c>
    </row>
    <row r="223" spans="1:33" s="536" customFormat="1" x14ac:dyDescent="0.2">
      <c r="A223" s="605"/>
      <c r="B223" s="552" t="s">
        <v>185</v>
      </c>
      <c r="C223" s="1822" t="s">
        <v>312</v>
      </c>
      <c r="D223" s="1822"/>
      <c r="E223" s="1822"/>
      <c r="F223" s="562"/>
      <c r="G223" s="562"/>
      <c r="H223" s="562"/>
      <c r="I223" s="562"/>
      <c r="J223" s="604">
        <v>3036.68</v>
      </c>
      <c r="K223" s="562" t="s">
        <v>313</v>
      </c>
      <c r="L223" s="604">
        <v>199.77</v>
      </c>
      <c r="M223" s="603"/>
      <c r="N223" s="602"/>
      <c r="Y223" s="537" t="s">
        <v>312</v>
      </c>
    </row>
    <row r="224" spans="1:33" s="536" customFormat="1" x14ac:dyDescent="0.2">
      <c r="A224" s="605"/>
      <c r="B224" s="552"/>
      <c r="C224" s="1822" t="s">
        <v>314</v>
      </c>
      <c r="D224" s="1822"/>
      <c r="E224" s="1822"/>
      <c r="F224" s="562" t="s">
        <v>315</v>
      </c>
      <c r="G224" s="562" t="s">
        <v>1521</v>
      </c>
      <c r="H224" s="562" t="s">
        <v>313</v>
      </c>
      <c r="I224" s="562" t="s">
        <v>8677</v>
      </c>
      <c r="J224" s="604"/>
      <c r="K224" s="562"/>
      <c r="L224" s="604"/>
      <c r="M224" s="603"/>
      <c r="N224" s="602"/>
      <c r="Z224" s="537" t="s">
        <v>314</v>
      </c>
    </row>
    <row r="225" spans="1:33" s="536" customFormat="1" x14ac:dyDescent="0.2">
      <c r="A225" s="605"/>
      <c r="B225" s="552"/>
      <c r="C225" s="1828" t="s">
        <v>318</v>
      </c>
      <c r="D225" s="1828"/>
      <c r="E225" s="1828"/>
      <c r="F225" s="608"/>
      <c r="G225" s="608"/>
      <c r="H225" s="608"/>
      <c r="I225" s="608"/>
      <c r="J225" s="607">
        <v>3036.68</v>
      </c>
      <c r="K225" s="608"/>
      <c r="L225" s="607">
        <v>199.77</v>
      </c>
      <c r="M225" s="601"/>
      <c r="N225" s="606"/>
      <c r="AA225" s="537" t="s">
        <v>318</v>
      </c>
    </row>
    <row r="226" spans="1:33" s="536" customFormat="1" x14ac:dyDescent="0.2">
      <c r="A226" s="605"/>
      <c r="B226" s="552"/>
      <c r="C226" s="1822" t="s">
        <v>319</v>
      </c>
      <c r="D226" s="1822"/>
      <c r="E226" s="1822"/>
      <c r="F226" s="562"/>
      <c r="G226" s="562"/>
      <c r="H226" s="562"/>
      <c r="I226" s="562"/>
      <c r="J226" s="604"/>
      <c r="K226" s="562"/>
      <c r="L226" s="604">
        <v>199.77</v>
      </c>
      <c r="M226" s="603"/>
      <c r="N226" s="602"/>
      <c r="Z226" s="537" t="s">
        <v>319</v>
      </c>
    </row>
    <row r="227" spans="1:33" s="536" customFormat="1" ht="33.75" x14ac:dyDescent="0.2">
      <c r="A227" s="605"/>
      <c r="B227" s="552" t="s">
        <v>673</v>
      </c>
      <c r="C227" s="1822" t="s">
        <v>674</v>
      </c>
      <c r="D227" s="1822"/>
      <c r="E227" s="1822"/>
      <c r="F227" s="562" t="s">
        <v>322</v>
      </c>
      <c r="G227" s="562" t="s">
        <v>323</v>
      </c>
      <c r="H227" s="562"/>
      <c r="I227" s="562" t="s">
        <v>323</v>
      </c>
      <c r="J227" s="604"/>
      <c r="K227" s="562"/>
      <c r="L227" s="604">
        <v>177.8</v>
      </c>
      <c r="M227" s="603"/>
      <c r="N227" s="602"/>
      <c r="Z227" s="537" t="s">
        <v>674</v>
      </c>
    </row>
    <row r="228" spans="1:33" s="536" customFormat="1" ht="33.75" x14ac:dyDescent="0.2">
      <c r="A228" s="605"/>
      <c r="B228" s="552" t="s">
        <v>675</v>
      </c>
      <c r="C228" s="1822" t="s">
        <v>676</v>
      </c>
      <c r="D228" s="1822"/>
      <c r="E228" s="1822"/>
      <c r="F228" s="562" t="s">
        <v>322</v>
      </c>
      <c r="G228" s="562" t="s">
        <v>677</v>
      </c>
      <c r="H228" s="562"/>
      <c r="I228" s="562" t="s">
        <v>677</v>
      </c>
      <c r="J228" s="604"/>
      <c r="K228" s="562"/>
      <c r="L228" s="604">
        <v>79.91</v>
      </c>
      <c r="M228" s="603"/>
      <c r="N228" s="602"/>
      <c r="Z228" s="537" t="s">
        <v>676</v>
      </c>
    </row>
    <row r="229" spans="1:33" s="536" customFormat="1" x14ac:dyDescent="0.2">
      <c r="A229" s="569"/>
      <c r="B229" s="671"/>
      <c r="C229" s="1823" t="s">
        <v>327</v>
      </c>
      <c r="D229" s="1823"/>
      <c r="E229" s="1823"/>
      <c r="F229" s="573"/>
      <c r="G229" s="573"/>
      <c r="H229" s="573"/>
      <c r="I229" s="573"/>
      <c r="J229" s="572"/>
      <c r="K229" s="573"/>
      <c r="L229" s="572">
        <v>457.48</v>
      </c>
      <c r="M229" s="601"/>
      <c r="N229" s="570"/>
      <c r="AB229" s="537" t="s">
        <v>327</v>
      </c>
    </row>
    <row r="230" spans="1:33" s="536" customFormat="1" ht="45" x14ac:dyDescent="0.2">
      <c r="A230" s="575" t="s">
        <v>430</v>
      </c>
      <c r="B230" s="670" t="s">
        <v>1005</v>
      </c>
      <c r="C230" s="1823" t="s">
        <v>1006</v>
      </c>
      <c r="D230" s="1823"/>
      <c r="E230" s="1823"/>
      <c r="F230" s="573" t="s">
        <v>201</v>
      </c>
      <c r="G230" s="573"/>
      <c r="H230" s="573"/>
      <c r="I230" s="573" t="s">
        <v>8678</v>
      </c>
      <c r="J230" s="572">
        <v>2.91</v>
      </c>
      <c r="K230" s="573"/>
      <c r="L230" s="572">
        <v>349.41</v>
      </c>
      <c r="M230" s="571"/>
      <c r="N230" s="570"/>
      <c r="W230" s="537" t="s">
        <v>1006</v>
      </c>
    </row>
    <row r="231" spans="1:33" s="536" customFormat="1" x14ac:dyDescent="0.2">
      <c r="A231" s="676"/>
      <c r="B231" s="664"/>
      <c r="C231" s="1822" t="s">
        <v>8679</v>
      </c>
      <c r="D231" s="1822"/>
      <c r="E231" s="1822"/>
      <c r="F231" s="1822"/>
      <c r="G231" s="1822"/>
      <c r="H231" s="1822"/>
      <c r="I231" s="1822"/>
      <c r="J231" s="1822"/>
      <c r="K231" s="1822"/>
      <c r="L231" s="1822"/>
      <c r="M231" s="1822"/>
      <c r="N231" s="1827"/>
      <c r="AG231" s="537" t="s">
        <v>8679</v>
      </c>
    </row>
    <row r="232" spans="1:33" s="536" customFormat="1" ht="45" x14ac:dyDescent="0.2">
      <c r="A232" s="575" t="s">
        <v>436</v>
      </c>
      <c r="B232" s="670" t="s">
        <v>503</v>
      </c>
      <c r="C232" s="1823" t="s">
        <v>504</v>
      </c>
      <c r="D232" s="1823"/>
      <c r="E232" s="1823"/>
      <c r="F232" s="573" t="s">
        <v>455</v>
      </c>
      <c r="G232" s="573"/>
      <c r="H232" s="573"/>
      <c r="I232" s="573" t="s">
        <v>8680</v>
      </c>
      <c r="J232" s="572"/>
      <c r="K232" s="573"/>
      <c r="L232" s="572"/>
      <c r="M232" s="571"/>
      <c r="N232" s="570"/>
      <c r="W232" s="537" t="s">
        <v>504</v>
      </c>
    </row>
    <row r="233" spans="1:33" s="536" customFormat="1" x14ac:dyDescent="0.2">
      <c r="A233" s="676"/>
      <c r="B233" s="664"/>
      <c r="C233" s="1822" t="s">
        <v>8681</v>
      </c>
      <c r="D233" s="1822"/>
      <c r="E233" s="1822"/>
      <c r="F233" s="1822"/>
      <c r="G233" s="1822"/>
      <c r="H233" s="1822"/>
      <c r="I233" s="1822"/>
      <c r="J233" s="1822"/>
      <c r="K233" s="1822"/>
      <c r="L233" s="1822"/>
      <c r="M233" s="1822"/>
      <c r="N233" s="1827"/>
      <c r="AG233" s="537" t="s">
        <v>8681</v>
      </c>
    </row>
    <row r="234" spans="1:33" s="536" customFormat="1" ht="33.75" x14ac:dyDescent="0.2">
      <c r="A234" s="609"/>
      <c r="B234" s="552" t="s">
        <v>310</v>
      </c>
      <c r="C234" s="1822" t="s">
        <v>311</v>
      </c>
      <c r="D234" s="1822"/>
      <c r="E234" s="1822"/>
      <c r="F234" s="1822"/>
      <c r="G234" s="1822"/>
      <c r="H234" s="1822"/>
      <c r="I234" s="1822"/>
      <c r="J234" s="1822"/>
      <c r="K234" s="1822"/>
      <c r="L234" s="1822"/>
      <c r="M234" s="1822"/>
      <c r="N234" s="1827"/>
      <c r="X234" s="537" t="s">
        <v>311</v>
      </c>
    </row>
    <row r="235" spans="1:33" s="536" customFormat="1" x14ac:dyDescent="0.2">
      <c r="A235" s="605"/>
      <c r="B235" s="552" t="s">
        <v>186</v>
      </c>
      <c r="C235" s="1822" t="s">
        <v>344</v>
      </c>
      <c r="D235" s="1822"/>
      <c r="E235" s="1822"/>
      <c r="F235" s="562"/>
      <c r="G235" s="562"/>
      <c r="H235" s="562"/>
      <c r="I235" s="562"/>
      <c r="J235" s="604">
        <v>3803.91</v>
      </c>
      <c r="K235" s="562" t="s">
        <v>313</v>
      </c>
      <c r="L235" s="604">
        <v>585.94000000000005</v>
      </c>
      <c r="M235" s="603"/>
      <c r="N235" s="602"/>
      <c r="Y235" s="537" t="s">
        <v>344</v>
      </c>
    </row>
    <row r="236" spans="1:33" s="536" customFormat="1" x14ac:dyDescent="0.2">
      <c r="A236" s="605"/>
      <c r="B236" s="552" t="s">
        <v>187</v>
      </c>
      <c r="C236" s="1822" t="s">
        <v>345</v>
      </c>
      <c r="D236" s="1822"/>
      <c r="E236" s="1822"/>
      <c r="F236" s="562"/>
      <c r="G236" s="562"/>
      <c r="H236" s="562"/>
      <c r="I236" s="562"/>
      <c r="J236" s="604">
        <v>445.5</v>
      </c>
      <c r="K236" s="562" t="s">
        <v>313</v>
      </c>
      <c r="L236" s="604">
        <v>68.62</v>
      </c>
      <c r="M236" s="603"/>
      <c r="N236" s="602"/>
      <c r="Y236" s="537" t="s">
        <v>345</v>
      </c>
    </row>
    <row r="237" spans="1:33" s="536" customFormat="1" x14ac:dyDescent="0.2">
      <c r="A237" s="605"/>
      <c r="B237" s="552"/>
      <c r="C237" s="1822" t="s">
        <v>348</v>
      </c>
      <c r="D237" s="1822"/>
      <c r="E237" s="1822"/>
      <c r="F237" s="562" t="s">
        <v>315</v>
      </c>
      <c r="G237" s="562" t="s">
        <v>505</v>
      </c>
      <c r="H237" s="562" t="s">
        <v>313</v>
      </c>
      <c r="I237" s="562" t="s">
        <v>8682</v>
      </c>
      <c r="J237" s="604"/>
      <c r="K237" s="562"/>
      <c r="L237" s="604"/>
      <c r="M237" s="603"/>
      <c r="N237" s="602"/>
      <c r="Z237" s="537" t="s">
        <v>348</v>
      </c>
    </row>
    <row r="238" spans="1:33" s="536" customFormat="1" x14ac:dyDescent="0.2">
      <c r="A238" s="605"/>
      <c r="B238" s="552"/>
      <c r="C238" s="1828" t="s">
        <v>318</v>
      </c>
      <c r="D238" s="1828"/>
      <c r="E238" s="1828"/>
      <c r="F238" s="608"/>
      <c r="G238" s="608"/>
      <c r="H238" s="608"/>
      <c r="I238" s="608"/>
      <c r="J238" s="607">
        <v>3803.91</v>
      </c>
      <c r="K238" s="608"/>
      <c r="L238" s="607">
        <v>585.94000000000005</v>
      </c>
      <c r="M238" s="601"/>
      <c r="N238" s="606"/>
      <c r="AA238" s="537" t="s">
        <v>318</v>
      </c>
    </row>
    <row r="239" spans="1:33" s="536" customFormat="1" x14ac:dyDescent="0.2">
      <c r="A239" s="605"/>
      <c r="B239" s="552"/>
      <c r="C239" s="1822" t="s">
        <v>319</v>
      </c>
      <c r="D239" s="1822"/>
      <c r="E239" s="1822"/>
      <c r="F239" s="562"/>
      <c r="G239" s="562"/>
      <c r="H239" s="562"/>
      <c r="I239" s="562"/>
      <c r="J239" s="604"/>
      <c r="K239" s="562"/>
      <c r="L239" s="604">
        <v>68.62</v>
      </c>
      <c r="M239" s="603"/>
      <c r="N239" s="602"/>
      <c r="Z239" s="537" t="s">
        <v>319</v>
      </c>
    </row>
    <row r="240" spans="1:33" s="536" customFormat="1" ht="33.75" x14ac:dyDescent="0.2">
      <c r="A240" s="605"/>
      <c r="B240" s="552" t="s">
        <v>460</v>
      </c>
      <c r="C240" s="1822" t="s">
        <v>461</v>
      </c>
      <c r="D240" s="1822"/>
      <c r="E240" s="1822"/>
      <c r="F240" s="562" t="s">
        <v>322</v>
      </c>
      <c r="G240" s="562" t="s">
        <v>462</v>
      </c>
      <c r="H240" s="562"/>
      <c r="I240" s="562" t="s">
        <v>462</v>
      </c>
      <c r="J240" s="604"/>
      <c r="K240" s="562"/>
      <c r="L240" s="604">
        <v>63.13</v>
      </c>
      <c r="M240" s="603"/>
      <c r="N240" s="602"/>
      <c r="Z240" s="537" t="s">
        <v>461</v>
      </c>
    </row>
    <row r="241" spans="1:33" s="536" customFormat="1" ht="33.75" x14ac:dyDescent="0.2">
      <c r="A241" s="605"/>
      <c r="B241" s="552" t="s">
        <v>463</v>
      </c>
      <c r="C241" s="1822" t="s">
        <v>464</v>
      </c>
      <c r="D241" s="1822"/>
      <c r="E241" s="1822"/>
      <c r="F241" s="562" t="s">
        <v>322</v>
      </c>
      <c r="G241" s="562" t="s">
        <v>465</v>
      </c>
      <c r="H241" s="562"/>
      <c r="I241" s="562" t="s">
        <v>465</v>
      </c>
      <c r="J241" s="604"/>
      <c r="K241" s="562"/>
      <c r="L241" s="604">
        <v>31.57</v>
      </c>
      <c r="M241" s="603"/>
      <c r="N241" s="602"/>
      <c r="Z241" s="537" t="s">
        <v>464</v>
      </c>
    </row>
    <row r="242" spans="1:33" s="536" customFormat="1" x14ac:dyDescent="0.2">
      <c r="A242" s="569"/>
      <c r="B242" s="671"/>
      <c r="C242" s="1823" t="s">
        <v>327</v>
      </c>
      <c r="D242" s="1823"/>
      <c r="E242" s="1823"/>
      <c r="F242" s="573"/>
      <c r="G242" s="573"/>
      <c r="H242" s="573"/>
      <c r="I242" s="573"/>
      <c r="J242" s="572"/>
      <c r="K242" s="573"/>
      <c r="L242" s="572">
        <v>680.64</v>
      </c>
      <c r="M242" s="601"/>
      <c r="N242" s="570"/>
      <c r="AB242" s="537" t="s">
        <v>327</v>
      </c>
    </row>
    <row r="243" spans="1:33" s="536" customFormat="1" ht="22.5" x14ac:dyDescent="0.2">
      <c r="A243" s="575" t="s">
        <v>733</v>
      </c>
      <c r="B243" s="670" t="s">
        <v>507</v>
      </c>
      <c r="C243" s="1823" t="s">
        <v>508</v>
      </c>
      <c r="D243" s="1823"/>
      <c r="E243" s="1823"/>
      <c r="F243" s="573" t="s">
        <v>509</v>
      </c>
      <c r="G243" s="573"/>
      <c r="H243" s="573"/>
      <c r="I243" s="573" t="s">
        <v>8683</v>
      </c>
      <c r="J243" s="572"/>
      <c r="K243" s="573"/>
      <c r="L243" s="572"/>
      <c r="M243" s="571"/>
      <c r="N243" s="570"/>
      <c r="W243" s="537" t="s">
        <v>508</v>
      </c>
    </row>
    <row r="244" spans="1:33" s="536" customFormat="1" x14ac:dyDescent="0.2">
      <c r="A244" s="676"/>
      <c r="B244" s="664"/>
      <c r="C244" s="1822" t="s">
        <v>8684</v>
      </c>
      <c r="D244" s="1822"/>
      <c r="E244" s="1822"/>
      <c r="F244" s="1822"/>
      <c r="G244" s="1822"/>
      <c r="H244" s="1822"/>
      <c r="I244" s="1822"/>
      <c r="J244" s="1822"/>
      <c r="K244" s="1822"/>
      <c r="L244" s="1822"/>
      <c r="M244" s="1822"/>
      <c r="N244" s="1827"/>
      <c r="AG244" s="537" t="s">
        <v>8684</v>
      </c>
    </row>
    <row r="245" spans="1:33" s="536" customFormat="1" ht="33.75" x14ac:dyDescent="0.2">
      <c r="A245" s="609"/>
      <c r="B245" s="552" t="s">
        <v>310</v>
      </c>
      <c r="C245" s="1822" t="s">
        <v>311</v>
      </c>
      <c r="D245" s="1822"/>
      <c r="E245" s="1822"/>
      <c r="F245" s="1822"/>
      <c r="G245" s="1822"/>
      <c r="H245" s="1822"/>
      <c r="I245" s="1822"/>
      <c r="J245" s="1822"/>
      <c r="K245" s="1822"/>
      <c r="L245" s="1822"/>
      <c r="M245" s="1822"/>
      <c r="N245" s="1827"/>
      <c r="X245" s="537" t="s">
        <v>311</v>
      </c>
    </row>
    <row r="246" spans="1:33" s="536" customFormat="1" x14ac:dyDescent="0.2">
      <c r="A246" s="605"/>
      <c r="B246" s="552" t="s">
        <v>185</v>
      </c>
      <c r="C246" s="1822" t="s">
        <v>312</v>
      </c>
      <c r="D246" s="1822"/>
      <c r="E246" s="1822"/>
      <c r="F246" s="562"/>
      <c r="G246" s="562"/>
      <c r="H246" s="562"/>
      <c r="I246" s="562"/>
      <c r="J246" s="604">
        <v>127.61</v>
      </c>
      <c r="K246" s="562" t="s">
        <v>313</v>
      </c>
      <c r="L246" s="604">
        <v>196.57</v>
      </c>
      <c r="M246" s="603"/>
      <c r="N246" s="602"/>
      <c r="Y246" s="537" t="s">
        <v>312</v>
      </c>
    </row>
    <row r="247" spans="1:33" s="536" customFormat="1" x14ac:dyDescent="0.2">
      <c r="A247" s="605"/>
      <c r="B247" s="552" t="s">
        <v>186</v>
      </c>
      <c r="C247" s="1822" t="s">
        <v>344</v>
      </c>
      <c r="D247" s="1822"/>
      <c r="E247" s="1822"/>
      <c r="F247" s="562"/>
      <c r="G247" s="562"/>
      <c r="H247" s="562"/>
      <c r="I247" s="562"/>
      <c r="J247" s="604">
        <v>288.58</v>
      </c>
      <c r="K247" s="562" t="s">
        <v>313</v>
      </c>
      <c r="L247" s="604">
        <v>444.52</v>
      </c>
      <c r="M247" s="603"/>
      <c r="N247" s="602"/>
      <c r="Y247" s="537" t="s">
        <v>344</v>
      </c>
    </row>
    <row r="248" spans="1:33" s="536" customFormat="1" x14ac:dyDescent="0.2">
      <c r="A248" s="605"/>
      <c r="B248" s="552" t="s">
        <v>187</v>
      </c>
      <c r="C248" s="1822" t="s">
        <v>345</v>
      </c>
      <c r="D248" s="1822"/>
      <c r="E248" s="1822"/>
      <c r="F248" s="562"/>
      <c r="G248" s="562"/>
      <c r="H248" s="562"/>
      <c r="I248" s="562"/>
      <c r="J248" s="604">
        <v>31.49</v>
      </c>
      <c r="K248" s="562" t="s">
        <v>313</v>
      </c>
      <c r="L248" s="604">
        <v>48.51</v>
      </c>
      <c r="M248" s="603"/>
      <c r="N248" s="602"/>
      <c r="Y248" s="537" t="s">
        <v>345</v>
      </c>
    </row>
    <row r="249" spans="1:33" s="536" customFormat="1" x14ac:dyDescent="0.2">
      <c r="A249" s="605"/>
      <c r="B249" s="552"/>
      <c r="C249" s="1822" t="s">
        <v>314</v>
      </c>
      <c r="D249" s="1822"/>
      <c r="E249" s="1822"/>
      <c r="F249" s="562" t="s">
        <v>315</v>
      </c>
      <c r="G249" s="562" t="s">
        <v>512</v>
      </c>
      <c r="H249" s="562" t="s">
        <v>313</v>
      </c>
      <c r="I249" s="562" t="s">
        <v>8685</v>
      </c>
      <c r="J249" s="604"/>
      <c r="K249" s="562"/>
      <c r="L249" s="604"/>
      <c r="M249" s="603"/>
      <c r="N249" s="602"/>
      <c r="Z249" s="537" t="s">
        <v>314</v>
      </c>
    </row>
    <row r="250" spans="1:33" s="536" customFormat="1" x14ac:dyDescent="0.2">
      <c r="A250" s="605"/>
      <c r="B250" s="552"/>
      <c r="C250" s="1822" t="s">
        <v>348</v>
      </c>
      <c r="D250" s="1822"/>
      <c r="E250" s="1822"/>
      <c r="F250" s="562" t="s">
        <v>315</v>
      </c>
      <c r="G250" s="562" t="s">
        <v>514</v>
      </c>
      <c r="H250" s="562" t="s">
        <v>313</v>
      </c>
      <c r="I250" s="562" t="s">
        <v>8686</v>
      </c>
      <c r="J250" s="604"/>
      <c r="K250" s="562"/>
      <c r="L250" s="604"/>
      <c r="M250" s="603"/>
      <c r="N250" s="602"/>
      <c r="Z250" s="537" t="s">
        <v>348</v>
      </c>
    </row>
    <row r="251" spans="1:33" s="536" customFormat="1" x14ac:dyDescent="0.2">
      <c r="A251" s="605"/>
      <c r="B251" s="552"/>
      <c r="C251" s="1828" t="s">
        <v>318</v>
      </c>
      <c r="D251" s="1828"/>
      <c r="E251" s="1828"/>
      <c r="F251" s="608"/>
      <c r="G251" s="608"/>
      <c r="H251" s="608"/>
      <c r="I251" s="608"/>
      <c r="J251" s="607">
        <v>416.19</v>
      </c>
      <c r="K251" s="608"/>
      <c r="L251" s="607">
        <v>641.09</v>
      </c>
      <c r="M251" s="601"/>
      <c r="N251" s="606"/>
      <c r="AA251" s="537" t="s">
        <v>318</v>
      </c>
    </row>
    <row r="252" spans="1:33" s="536" customFormat="1" x14ac:dyDescent="0.2">
      <c r="A252" s="605"/>
      <c r="B252" s="552"/>
      <c r="C252" s="1822" t="s">
        <v>319</v>
      </c>
      <c r="D252" s="1822"/>
      <c r="E252" s="1822"/>
      <c r="F252" s="562"/>
      <c r="G252" s="562"/>
      <c r="H252" s="562"/>
      <c r="I252" s="562"/>
      <c r="J252" s="604"/>
      <c r="K252" s="562"/>
      <c r="L252" s="604">
        <v>245.08</v>
      </c>
      <c r="M252" s="603"/>
      <c r="N252" s="602"/>
      <c r="Z252" s="537" t="s">
        <v>319</v>
      </c>
    </row>
    <row r="253" spans="1:33" s="536" customFormat="1" ht="33.75" x14ac:dyDescent="0.2">
      <c r="A253" s="605"/>
      <c r="B253" s="552" t="s">
        <v>460</v>
      </c>
      <c r="C253" s="1822" t="s">
        <v>461</v>
      </c>
      <c r="D253" s="1822"/>
      <c r="E253" s="1822"/>
      <c r="F253" s="562" t="s">
        <v>322</v>
      </c>
      <c r="G253" s="562" t="s">
        <v>462</v>
      </c>
      <c r="H253" s="562"/>
      <c r="I253" s="562" t="s">
        <v>462</v>
      </c>
      <c r="J253" s="604"/>
      <c r="K253" s="562"/>
      <c r="L253" s="604">
        <v>225.47</v>
      </c>
      <c r="M253" s="603"/>
      <c r="N253" s="602"/>
      <c r="Z253" s="537" t="s">
        <v>461</v>
      </c>
    </row>
    <row r="254" spans="1:33" s="536" customFormat="1" ht="33.75" x14ac:dyDescent="0.2">
      <c r="A254" s="605"/>
      <c r="B254" s="552" t="s">
        <v>463</v>
      </c>
      <c r="C254" s="1822" t="s">
        <v>464</v>
      </c>
      <c r="D254" s="1822"/>
      <c r="E254" s="1822"/>
      <c r="F254" s="562" t="s">
        <v>322</v>
      </c>
      <c r="G254" s="562" t="s">
        <v>465</v>
      </c>
      <c r="H254" s="562"/>
      <c r="I254" s="562" t="s">
        <v>465</v>
      </c>
      <c r="J254" s="604"/>
      <c r="K254" s="562"/>
      <c r="L254" s="604">
        <v>112.74</v>
      </c>
      <c r="M254" s="603"/>
      <c r="N254" s="602"/>
      <c r="Z254" s="537" t="s">
        <v>464</v>
      </c>
    </row>
    <row r="255" spans="1:33" s="536" customFormat="1" x14ac:dyDescent="0.2">
      <c r="A255" s="569"/>
      <c r="B255" s="671"/>
      <c r="C255" s="1823" t="s">
        <v>327</v>
      </c>
      <c r="D255" s="1823"/>
      <c r="E255" s="1823"/>
      <c r="F255" s="573"/>
      <c r="G255" s="573"/>
      <c r="H255" s="573"/>
      <c r="I255" s="573"/>
      <c r="J255" s="572"/>
      <c r="K255" s="573"/>
      <c r="L255" s="572">
        <v>979.3</v>
      </c>
      <c r="M255" s="601"/>
      <c r="N255" s="570"/>
      <c r="AB255" s="537" t="s">
        <v>327</v>
      </c>
    </row>
    <row r="256" spans="1:33" s="536" customFormat="1" ht="1.5" customHeight="1" x14ac:dyDescent="0.2">
      <c r="A256" s="563"/>
      <c r="B256" s="671"/>
      <c r="C256" s="671"/>
      <c r="D256" s="671"/>
      <c r="E256" s="671"/>
      <c r="F256" s="563"/>
      <c r="G256" s="563"/>
      <c r="H256" s="563"/>
      <c r="I256" s="563"/>
      <c r="J256" s="546"/>
      <c r="K256" s="563"/>
      <c r="L256" s="546"/>
      <c r="M256" s="562"/>
      <c r="N256" s="546"/>
    </row>
    <row r="257" spans="1:30" s="536" customFormat="1" x14ac:dyDescent="0.2">
      <c r="A257" s="557"/>
      <c r="B257" s="556"/>
      <c r="C257" s="1823" t="s">
        <v>6607</v>
      </c>
      <c r="D257" s="1823"/>
      <c r="E257" s="1823"/>
      <c r="F257" s="1823"/>
      <c r="G257" s="1823"/>
      <c r="H257" s="1823"/>
      <c r="I257" s="1823"/>
      <c r="J257" s="1823"/>
      <c r="K257" s="1823"/>
      <c r="L257" s="555"/>
      <c r="M257" s="554"/>
      <c r="N257" s="553"/>
      <c r="AC257" s="537" t="s">
        <v>6607</v>
      </c>
    </row>
    <row r="258" spans="1:30" s="536" customFormat="1" x14ac:dyDescent="0.2">
      <c r="A258" s="548"/>
      <c r="B258" s="552"/>
      <c r="C258" s="1822" t="s">
        <v>403</v>
      </c>
      <c r="D258" s="1822"/>
      <c r="E258" s="1822"/>
      <c r="F258" s="1822"/>
      <c r="G258" s="1822"/>
      <c r="H258" s="1822"/>
      <c r="I258" s="1822"/>
      <c r="J258" s="1822"/>
      <c r="K258" s="1822"/>
      <c r="L258" s="551">
        <v>3413.68</v>
      </c>
      <c r="M258" s="550"/>
      <c r="N258" s="549"/>
      <c r="AD258" s="537" t="s">
        <v>403</v>
      </c>
    </row>
    <row r="259" spans="1:30" s="536" customFormat="1" x14ac:dyDescent="0.2">
      <c r="A259" s="548"/>
      <c r="B259" s="552"/>
      <c r="C259" s="1822" t="s">
        <v>204</v>
      </c>
      <c r="D259" s="1822"/>
      <c r="E259" s="1822"/>
      <c r="F259" s="1822"/>
      <c r="G259" s="1822"/>
      <c r="H259" s="1822"/>
      <c r="I259" s="1822"/>
      <c r="J259" s="1822"/>
      <c r="K259" s="1822"/>
      <c r="L259" s="551"/>
      <c r="M259" s="550"/>
      <c r="N259" s="549"/>
      <c r="AD259" s="537" t="s">
        <v>204</v>
      </c>
    </row>
    <row r="260" spans="1:30" s="536" customFormat="1" x14ac:dyDescent="0.2">
      <c r="A260" s="548"/>
      <c r="B260" s="552"/>
      <c r="C260" s="1822" t="s">
        <v>404</v>
      </c>
      <c r="D260" s="1822"/>
      <c r="E260" s="1822"/>
      <c r="F260" s="1822"/>
      <c r="G260" s="1822"/>
      <c r="H260" s="1822"/>
      <c r="I260" s="1822"/>
      <c r="J260" s="1822"/>
      <c r="K260" s="1822"/>
      <c r="L260" s="551">
        <v>466.4</v>
      </c>
      <c r="M260" s="550"/>
      <c r="N260" s="549"/>
      <c r="AD260" s="537" t="s">
        <v>404</v>
      </c>
    </row>
    <row r="261" spans="1:30" s="536" customFormat="1" x14ac:dyDescent="0.2">
      <c r="A261" s="548"/>
      <c r="B261" s="552"/>
      <c r="C261" s="1822" t="s">
        <v>405</v>
      </c>
      <c r="D261" s="1822"/>
      <c r="E261" s="1822"/>
      <c r="F261" s="1822"/>
      <c r="G261" s="1822"/>
      <c r="H261" s="1822"/>
      <c r="I261" s="1822"/>
      <c r="J261" s="1822"/>
      <c r="K261" s="1822"/>
      <c r="L261" s="551">
        <v>2947.28</v>
      </c>
      <c r="M261" s="550"/>
      <c r="N261" s="549"/>
      <c r="AD261" s="537" t="s">
        <v>405</v>
      </c>
    </row>
    <row r="262" spans="1:30" s="536" customFormat="1" x14ac:dyDescent="0.2">
      <c r="A262" s="548"/>
      <c r="B262" s="552"/>
      <c r="C262" s="1822" t="s">
        <v>406</v>
      </c>
      <c r="D262" s="1822"/>
      <c r="E262" s="1822"/>
      <c r="F262" s="1822"/>
      <c r="G262" s="1822"/>
      <c r="H262" s="1822"/>
      <c r="I262" s="1822"/>
      <c r="J262" s="1822"/>
      <c r="K262" s="1822"/>
      <c r="L262" s="551">
        <v>292.83999999999997</v>
      </c>
      <c r="M262" s="550"/>
      <c r="N262" s="549"/>
      <c r="AD262" s="537" t="s">
        <v>406</v>
      </c>
    </row>
    <row r="263" spans="1:30" s="536" customFormat="1" x14ac:dyDescent="0.2">
      <c r="A263" s="548"/>
      <c r="B263" s="552"/>
      <c r="C263" s="1822" t="s">
        <v>407</v>
      </c>
      <c r="D263" s="1822"/>
      <c r="E263" s="1822"/>
      <c r="F263" s="1822"/>
      <c r="G263" s="1822"/>
      <c r="H263" s="1822"/>
      <c r="I263" s="1822"/>
      <c r="J263" s="1822"/>
      <c r="K263" s="1822"/>
      <c r="L263" s="551">
        <v>4440.29</v>
      </c>
      <c r="M263" s="550"/>
      <c r="N263" s="549"/>
      <c r="AD263" s="537" t="s">
        <v>407</v>
      </c>
    </row>
    <row r="264" spans="1:30" s="536" customFormat="1" x14ac:dyDescent="0.2">
      <c r="A264" s="548"/>
      <c r="B264" s="552" t="s">
        <v>185</v>
      </c>
      <c r="C264" s="1822" t="s">
        <v>408</v>
      </c>
      <c r="D264" s="1822"/>
      <c r="E264" s="1822"/>
      <c r="F264" s="1822"/>
      <c r="G264" s="1822"/>
      <c r="H264" s="1822"/>
      <c r="I264" s="1822"/>
      <c r="J264" s="1822"/>
      <c r="K264" s="1822"/>
      <c r="L264" s="551">
        <v>4029.2</v>
      </c>
      <c r="M264" s="550"/>
      <c r="N264" s="549"/>
      <c r="AD264" s="537" t="s">
        <v>408</v>
      </c>
    </row>
    <row r="265" spans="1:30" s="536" customFormat="1" x14ac:dyDescent="0.2">
      <c r="A265" s="548"/>
      <c r="B265" s="552"/>
      <c r="C265" s="1822" t="s">
        <v>409</v>
      </c>
      <c r="D265" s="1822"/>
      <c r="E265" s="1822"/>
      <c r="F265" s="1822"/>
      <c r="G265" s="1822"/>
      <c r="H265" s="1822"/>
      <c r="I265" s="1822"/>
      <c r="J265" s="1822"/>
      <c r="K265" s="1822"/>
      <c r="L265" s="551"/>
      <c r="M265" s="550"/>
      <c r="N265" s="549"/>
      <c r="AD265" s="537" t="s">
        <v>409</v>
      </c>
    </row>
    <row r="266" spans="1:30" s="536" customFormat="1" x14ac:dyDescent="0.2">
      <c r="A266" s="548"/>
      <c r="B266" s="552"/>
      <c r="C266" s="1822" t="s">
        <v>410</v>
      </c>
      <c r="D266" s="1822"/>
      <c r="E266" s="1822"/>
      <c r="F266" s="1822"/>
      <c r="G266" s="1822"/>
      <c r="H266" s="1822"/>
      <c r="I266" s="1822"/>
      <c r="J266" s="1822"/>
      <c r="K266" s="1822"/>
      <c r="L266" s="551">
        <v>466.4</v>
      </c>
      <c r="M266" s="550"/>
      <c r="N266" s="549"/>
      <c r="AD266" s="537" t="s">
        <v>410</v>
      </c>
    </row>
    <row r="267" spans="1:30" s="536" customFormat="1" x14ac:dyDescent="0.2">
      <c r="A267" s="548"/>
      <c r="B267" s="552"/>
      <c r="C267" s="1822" t="s">
        <v>411</v>
      </c>
      <c r="D267" s="1822"/>
      <c r="E267" s="1822"/>
      <c r="F267" s="1822"/>
      <c r="G267" s="1822"/>
      <c r="H267" s="1822"/>
      <c r="I267" s="1822"/>
      <c r="J267" s="1822"/>
      <c r="K267" s="1822"/>
      <c r="L267" s="551">
        <v>2536.19</v>
      </c>
      <c r="M267" s="550"/>
      <c r="N267" s="549"/>
      <c r="AD267" s="537" t="s">
        <v>411</v>
      </c>
    </row>
    <row r="268" spans="1:30" s="536" customFormat="1" x14ac:dyDescent="0.2">
      <c r="A268" s="548"/>
      <c r="B268" s="552"/>
      <c r="C268" s="1822" t="s">
        <v>412</v>
      </c>
      <c r="D268" s="1822"/>
      <c r="E268" s="1822"/>
      <c r="F268" s="1822"/>
      <c r="G268" s="1822"/>
      <c r="H268" s="1822"/>
      <c r="I268" s="1822"/>
      <c r="J268" s="1822"/>
      <c r="K268" s="1822"/>
      <c r="L268" s="551">
        <v>691.46</v>
      </c>
      <c r="M268" s="550"/>
      <c r="N268" s="549"/>
      <c r="AD268" s="537" t="s">
        <v>412</v>
      </c>
    </row>
    <row r="269" spans="1:30" s="536" customFormat="1" x14ac:dyDescent="0.2">
      <c r="A269" s="548"/>
      <c r="B269" s="552"/>
      <c r="C269" s="1822" t="s">
        <v>413</v>
      </c>
      <c r="D269" s="1822"/>
      <c r="E269" s="1822"/>
      <c r="F269" s="1822"/>
      <c r="G269" s="1822"/>
      <c r="H269" s="1822"/>
      <c r="I269" s="1822"/>
      <c r="J269" s="1822"/>
      <c r="K269" s="1822"/>
      <c r="L269" s="551">
        <v>335.15</v>
      </c>
      <c r="M269" s="550"/>
      <c r="N269" s="549"/>
      <c r="AD269" s="537" t="s">
        <v>413</v>
      </c>
    </row>
    <row r="270" spans="1:30" s="536" customFormat="1" x14ac:dyDescent="0.2">
      <c r="A270" s="548"/>
      <c r="B270" s="552" t="s">
        <v>185</v>
      </c>
      <c r="C270" s="1822" t="s">
        <v>414</v>
      </c>
      <c r="D270" s="1822"/>
      <c r="E270" s="1822"/>
      <c r="F270" s="1822"/>
      <c r="G270" s="1822"/>
      <c r="H270" s="1822"/>
      <c r="I270" s="1822"/>
      <c r="J270" s="1822"/>
      <c r="K270" s="1822"/>
      <c r="L270" s="551">
        <v>411.09</v>
      </c>
      <c r="M270" s="550"/>
      <c r="N270" s="549"/>
      <c r="AD270" s="537" t="s">
        <v>414</v>
      </c>
    </row>
    <row r="271" spans="1:30" s="536" customFormat="1" x14ac:dyDescent="0.2">
      <c r="A271" s="548"/>
      <c r="B271" s="552"/>
      <c r="C271" s="1822" t="s">
        <v>415</v>
      </c>
      <c r="D271" s="1822"/>
      <c r="E271" s="1822"/>
      <c r="F271" s="1822"/>
      <c r="G271" s="1822"/>
      <c r="H271" s="1822"/>
      <c r="I271" s="1822"/>
      <c r="J271" s="1822"/>
      <c r="K271" s="1822"/>
      <c r="L271" s="551">
        <v>759.24</v>
      </c>
      <c r="M271" s="550"/>
      <c r="N271" s="549"/>
      <c r="AD271" s="537" t="s">
        <v>415</v>
      </c>
    </row>
    <row r="272" spans="1:30" s="536" customFormat="1" x14ac:dyDescent="0.2">
      <c r="A272" s="548"/>
      <c r="B272" s="552"/>
      <c r="C272" s="1822" t="s">
        <v>416</v>
      </c>
      <c r="D272" s="1822"/>
      <c r="E272" s="1822"/>
      <c r="F272" s="1822"/>
      <c r="G272" s="1822"/>
      <c r="H272" s="1822"/>
      <c r="I272" s="1822"/>
      <c r="J272" s="1822"/>
      <c r="K272" s="1822"/>
      <c r="L272" s="551">
        <v>691.46</v>
      </c>
      <c r="M272" s="550"/>
      <c r="N272" s="549"/>
      <c r="AD272" s="537" t="s">
        <v>416</v>
      </c>
    </row>
    <row r="273" spans="1:33" s="536" customFormat="1" x14ac:dyDescent="0.2">
      <c r="A273" s="548"/>
      <c r="B273" s="552"/>
      <c r="C273" s="1822" t="s">
        <v>417</v>
      </c>
      <c r="D273" s="1822"/>
      <c r="E273" s="1822"/>
      <c r="F273" s="1822"/>
      <c r="G273" s="1822"/>
      <c r="H273" s="1822"/>
      <c r="I273" s="1822"/>
      <c r="J273" s="1822"/>
      <c r="K273" s="1822"/>
      <c r="L273" s="551">
        <v>335.15</v>
      </c>
      <c r="M273" s="550"/>
      <c r="N273" s="549"/>
      <c r="AD273" s="537" t="s">
        <v>417</v>
      </c>
    </row>
    <row r="274" spans="1:33" s="536" customFormat="1" x14ac:dyDescent="0.2">
      <c r="A274" s="548"/>
      <c r="B274" s="546"/>
      <c r="C274" s="1819" t="s">
        <v>6608</v>
      </c>
      <c r="D274" s="1819"/>
      <c r="E274" s="1819"/>
      <c r="F274" s="1819"/>
      <c r="G274" s="1819"/>
      <c r="H274" s="1819"/>
      <c r="I274" s="1819"/>
      <c r="J274" s="1819"/>
      <c r="K274" s="1819"/>
      <c r="L274" s="544">
        <v>4440.29</v>
      </c>
      <c r="M274" s="543"/>
      <c r="N274" s="681"/>
      <c r="AE274" s="537" t="s">
        <v>6608</v>
      </c>
    </row>
    <row r="275" spans="1:33" s="536" customFormat="1" ht="12" x14ac:dyDescent="0.2">
      <c r="A275" s="1824" t="s">
        <v>6609</v>
      </c>
      <c r="B275" s="1825"/>
      <c r="C275" s="1825"/>
      <c r="D275" s="1825"/>
      <c r="E275" s="1825"/>
      <c r="F275" s="1825"/>
      <c r="G275" s="1825"/>
      <c r="H275" s="1825"/>
      <c r="I275" s="1825"/>
      <c r="J275" s="1825"/>
      <c r="K275" s="1825"/>
      <c r="L275" s="1825"/>
      <c r="M275" s="1825"/>
      <c r="N275" s="1826"/>
      <c r="V275" s="537" t="s">
        <v>6609</v>
      </c>
    </row>
    <row r="276" spans="1:33" s="536" customFormat="1" ht="22.5" x14ac:dyDescent="0.2">
      <c r="A276" s="575" t="s">
        <v>736</v>
      </c>
      <c r="B276" s="670" t="s">
        <v>8687</v>
      </c>
      <c r="C276" s="1823" t="s">
        <v>8688</v>
      </c>
      <c r="D276" s="1823"/>
      <c r="E276" s="1823"/>
      <c r="F276" s="573" t="s">
        <v>1110</v>
      </c>
      <c r="G276" s="573"/>
      <c r="H276" s="573"/>
      <c r="I276" s="573" t="s">
        <v>619</v>
      </c>
      <c r="J276" s="572"/>
      <c r="K276" s="573"/>
      <c r="L276" s="572"/>
      <c r="M276" s="571"/>
      <c r="N276" s="570"/>
      <c r="W276" s="537" t="s">
        <v>8688</v>
      </c>
    </row>
    <row r="277" spans="1:33" s="536" customFormat="1" x14ac:dyDescent="0.2">
      <c r="A277" s="676"/>
      <c r="B277" s="664"/>
      <c r="C277" s="1822" t="s">
        <v>8689</v>
      </c>
      <c r="D277" s="1822"/>
      <c r="E277" s="1822"/>
      <c r="F277" s="1822"/>
      <c r="G277" s="1822"/>
      <c r="H277" s="1822"/>
      <c r="I277" s="1822"/>
      <c r="J277" s="1822"/>
      <c r="K277" s="1822"/>
      <c r="L277" s="1822"/>
      <c r="M277" s="1822"/>
      <c r="N277" s="1827"/>
      <c r="AG277" s="537" t="s">
        <v>8689</v>
      </c>
    </row>
    <row r="278" spans="1:33" s="536" customFormat="1" ht="33.75" x14ac:dyDescent="0.2">
      <c r="A278" s="609"/>
      <c r="B278" s="552" t="s">
        <v>310</v>
      </c>
      <c r="C278" s="1822" t="s">
        <v>311</v>
      </c>
      <c r="D278" s="1822"/>
      <c r="E278" s="1822"/>
      <c r="F278" s="1822"/>
      <c r="G278" s="1822"/>
      <c r="H278" s="1822"/>
      <c r="I278" s="1822"/>
      <c r="J278" s="1822"/>
      <c r="K278" s="1822"/>
      <c r="L278" s="1822"/>
      <c r="M278" s="1822"/>
      <c r="N278" s="1827"/>
      <c r="X278" s="537" t="s">
        <v>311</v>
      </c>
    </row>
    <row r="279" spans="1:33" s="536" customFormat="1" x14ac:dyDescent="0.2">
      <c r="A279" s="605"/>
      <c r="B279" s="552" t="s">
        <v>185</v>
      </c>
      <c r="C279" s="1822" t="s">
        <v>312</v>
      </c>
      <c r="D279" s="1822"/>
      <c r="E279" s="1822"/>
      <c r="F279" s="562"/>
      <c r="G279" s="562"/>
      <c r="H279" s="562"/>
      <c r="I279" s="562"/>
      <c r="J279" s="604">
        <v>49.82</v>
      </c>
      <c r="K279" s="562" t="s">
        <v>313</v>
      </c>
      <c r="L279" s="604">
        <v>51.69</v>
      </c>
      <c r="M279" s="603"/>
      <c r="N279" s="602"/>
      <c r="Y279" s="537" t="s">
        <v>312</v>
      </c>
    </row>
    <row r="280" spans="1:33" s="536" customFormat="1" x14ac:dyDescent="0.2">
      <c r="A280" s="605"/>
      <c r="B280" s="552" t="s">
        <v>186</v>
      </c>
      <c r="C280" s="1822" t="s">
        <v>344</v>
      </c>
      <c r="D280" s="1822"/>
      <c r="E280" s="1822"/>
      <c r="F280" s="562"/>
      <c r="G280" s="562"/>
      <c r="H280" s="562"/>
      <c r="I280" s="562"/>
      <c r="J280" s="604">
        <v>256.27</v>
      </c>
      <c r="K280" s="562" t="s">
        <v>313</v>
      </c>
      <c r="L280" s="604">
        <v>265.88</v>
      </c>
      <c r="M280" s="603"/>
      <c r="N280" s="602"/>
      <c r="Y280" s="537" t="s">
        <v>344</v>
      </c>
    </row>
    <row r="281" spans="1:33" s="536" customFormat="1" x14ac:dyDescent="0.2">
      <c r="A281" s="605"/>
      <c r="B281" s="552" t="s">
        <v>187</v>
      </c>
      <c r="C281" s="1822" t="s">
        <v>345</v>
      </c>
      <c r="D281" s="1822"/>
      <c r="E281" s="1822"/>
      <c r="F281" s="562"/>
      <c r="G281" s="562"/>
      <c r="H281" s="562"/>
      <c r="I281" s="562"/>
      <c r="J281" s="604">
        <v>45.24</v>
      </c>
      <c r="K281" s="562" t="s">
        <v>313</v>
      </c>
      <c r="L281" s="604">
        <v>46.94</v>
      </c>
      <c r="M281" s="603"/>
      <c r="N281" s="602"/>
      <c r="Y281" s="537" t="s">
        <v>345</v>
      </c>
    </row>
    <row r="282" spans="1:33" s="536" customFormat="1" x14ac:dyDescent="0.2">
      <c r="A282" s="605"/>
      <c r="B282" s="552" t="s">
        <v>188</v>
      </c>
      <c r="C282" s="1822" t="s">
        <v>475</v>
      </c>
      <c r="D282" s="1822"/>
      <c r="E282" s="1822"/>
      <c r="F282" s="562"/>
      <c r="G282" s="562"/>
      <c r="H282" s="562"/>
      <c r="I282" s="562"/>
      <c r="J282" s="604">
        <v>1</v>
      </c>
      <c r="K282" s="562"/>
      <c r="L282" s="604">
        <v>0.83</v>
      </c>
      <c r="M282" s="603"/>
      <c r="N282" s="602"/>
      <c r="Y282" s="537" t="s">
        <v>475</v>
      </c>
    </row>
    <row r="283" spans="1:33" s="536" customFormat="1" x14ac:dyDescent="0.2">
      <c r="A283" s="605"/>
      <c r="B283" s="552"/>
      <c r="C283" s="1822" t="s">
        <v>314</v>
      </c>
      <c r="D283" s="1822"/>
      <c r="E283" s="1822"/>
      <c r="F283" s="562" t="s">
        <v>315</v>
      </c>
      <c r="G283" s="562" t="s">
        <v>1230</v>
      </c>
      <c r="H283" s="562" t="s">
        <v>313</v>
      </c>
      <c r="I283" s="562" t="s">
        <v>8690</v>
      </c>
      <c r="J283" s="604"/>
      <c r="K283" s="562"/>
      <c r="L283" s="604"/>
      <c r="M283" s="603"/>
      <c r="N283" s="602"/>
      <c r="Z283" s="537" t="s">
        <v>314</v>
      </c>
    </row>
    <row r="284" spans="1:33" s="536" customFormat="1" x14ac:dyDescent="0.2">
      <c r="A284" s="605"/>
      <c r="B284" s="552"/>
      <c r="C284" s="1822" t="s">
        <v>348</v>
      </c>
      <c r="D284" s="1822"/>
      <c r="E284" s="1822"/>
      <c r="F284" s="562" t="s">
        <v>315</v>
      </c>
      <c r="G284" s="562" t="s">
        <v>8691</v>
      </c>
      <c r="H284" s="562" t="s">
        <v>313</v>
      </c>
      <c r="I284" s="562" t="s">
        <v>8692</v>
      </c>
      <c r="J284" s="604"/>
      <c r="K284" s="562"/>
      <c r="L284" s="604"/>
      <c r="M284" s="603"/>
      <c r="N284" s="602"/>
      <c r="Z284" s="537" t="s">
        <v>348</v>
      </c>
    </row>
    <row r="285" spans="1:33" s="536" customFormat="1" x14ac:dyDescent="0.2">
      <c r="A285" s="605"/>
      <c r="B285" s="552"/>
      <c r="C285" s="1828" t="s">
        <v>318</v>
      </c>
      <c r="D285" s="1828"/>
      <c r="E285" s="1828"/>
      <c r="F285" s="608"/>
      <c r="G285" s="608"/>
      <c r="H285" s="608"/>
      <c r="I285" s="608"/>
      <c r="J285" s="607">
        <v>307.08999999999997</v>
      </c>
      <c r="K285" s="608"/>
      <c r="L285" s="607">
        <v>318.39999999999998</v>
      </c>
      <c r="M285" s="601"/>
      <c r="N285" s="606"/>
      <c r="AA285" s="537" t="s">
        <v>318</v>
      </c>
    </row>
    <row r="286" spans="1:33" s="536" customFormat="1" x14ac:dyDescent="0.2">
      <c r="A286" s="605"/>
      <c r="B286" s="552"/>
      <c r="C286" s="1822" t="s">
        <v>319</v>
      </c>
      <c r="D286" s="1822"/>
      <c r="E286" s="1822"/>
      <c r="F286" s="562"/>
      <c r="G286" s="562"/>
      <c r="H286" s="562"/>
      <c r="I286" s="562"/>
      <c r="J286" s="604"/>
      <c r="K286" s="562"/>
      <c r="L286" s="604">
        <v>98.63</v>
      </c>
      <c r="M286" s="603"/>
      <c r="N286" s="602"/>
      <c r="Z286" s="537" t="s">
        <v>319</v>
      </c>
    </row>
    <row r="287" spans="1:33" s="536" customFormat="1" ht="33.75" x14ac:dyDescent="0.2">
      <c r="A287" s="605"/>
      <c r="B287" s="552" t="s">
        <v>1631</v>
      </c>
      <c r="C287" s="1822" t="s">
        <v>1632</v>
      </c>
      <c r="D287" s="1822"/>
      <c r="E287" s="1822"/>
      <c r="F287" s="562" t="s">
        <v>322</v>
      </c>
      <c r="G287" s="562" t="s">
        <v>1633</v>
      </c>
      <c r="H287" s="562"/>
      <c r="I287" s="562" t="s">
        <v>1633</v>
      </c>
      <c r="J287" s="604"/>
      <c r="K287" s="562"/>
      <c r="L287" s="604">
        <v>95.67</v>
      </c>
      <c r="M287" s="603"/>
      <c r="N287" s="602"/>
      <c r="Z287" s="537" t="s">
        <v>1632</v>
      </c>
    </row>
    <row r="288" spans="1:33" s="536" customFormat="1" ht="33.75" x14ac:dyDescent="0.2">
      <c r="A288" s="605"/>
      <c r="B288" s="552" t="s">
        <v>1634</v>
      </c>
      <c r="C288" s="1822" t="s">
        <v>1635</v>
      </c>
      <c r="D288" s="1822"/>
      <c r="E288" s="1822"/>
      <c r="F288" s="562" t="s">
        <v>322</v>
      </c>
      <c r="G288" s="562" t="s">
        <v>786</v>
      </c>
      <c r="H288" s="562"/>
      <c r="I288" s="562" t="s">
        <v>786</v>
      </c>
      <c r="J288" s="604"/>
      <c r="K288" s="562"/>
      <c r="L288" s="604">
        <v>50.3</v>
      </c>
      <c r="M288" s="603"/>
      <c r="N288" s="602"/>
      <c r="Z288" s="537" t="s">
        <v>1635</v>
      </c>
    </row>
    <row r="289" spans="1:33" s="536" customFormat="1" x14ac:dyDescent="0.2">
      <c r="A289" s="569"/>
      <c r="B289" s="671"/>
      <c r="C289" s="1823" t="s">
        <v>327</v>
      </c>
      <c r="D289" s="1823"/>
      <c r="E289" s="1823"/>
      <c r="F289" s="573"/>
      <c r="G289" s="573"/>
      <c r="H289" s="573"/>
      <c r="I289" s="573"/>
      <c r="J289" s="572"/>
      <c r="K289" s="573"/>
      <c r="L289" s="572">
        <v>464.37</v>
      </c>
      <c r="M289" s="601"/>
      <c r="N289" s="570"/>
      <c r="AB289" s="537" t="s">
        <v>327</v>
      </c>
    </row>
    <row r="290" spans="1:33" s="536" customFormat="1" ht="22.5" x14ac:dyDescent="0.2">
      <c r="A290" s="575" t="s">
        <v>1067</v>
      </c>
      <c r="B290" s="670" t="s">
        <v>8693</v>
      </c>
      <c r="C290" s="1823" t="s">
        <v>8694</v>
      </c>
      <c r="D290" s="1823"/>
      <c r="E290" s="1823"/>
      <c r="F290" s="573" t="s">
        <v>1110</v>
      </c>
      <c r="G290" s="573"/>
      <c r="H290" s="573"/>
      <c r="I290" s="573" t="s">
        <v>8695</v>
      </c>
      <c r="J290" s="572"/>
      <c r="K290" s="573"/>
      <c r="L290" s="572"/>
      <c r="M290" s="571"/>
      <c r="N290" s="570"/>
      <c r="W290" s="537" t="s">
        <v>8694</v>
      </c>
    </row>
    <row r="291" spans="1:33" s="536" customFormat="1" x14ac:dyDescent="0.2">
      <c r="A291" s="676"/>
      <c r="B291" s="664"/>
      <c r="C291" s="1822" t="s">
        <v>8696</v>
      </c>
      <c r="D291" s="1822"/>
      <c r="E291" s="1822"/>
      <c r="F291" s="1822"/>
      <c r="G291" s="1822"/>
      <c r="H291" s="1822"/>
      <c r="I291" s="1822"/>
      <c r="J291" s="1822"/>
      <c r="K291" s="1822"/>
      <c r="L291" s="1822"/>
      <c r="M291" s="1822"/>
      <c r="N291" s="1827"/>
      <c r="AG291" s="537" t="s">
        <v>8696</v>
      </c>
    </row>
    <row r="292" spans="1:33" s="536" customFormat="1" ht="33.75" x14ac:dyDescent="0.2">
      <c r="A292" s="609"/>
      <c r="B292" s="552" t="s">
        <v>310</v>
      </c>
      <c r="C292" s="1822" t="s">
        <v>311</v>
      </c>
      <c r="D292" s="1822"/>
      <c r="E292" s="1822"/>
      <c r="F292" s="1822"/>
      <c r="G292" s="1822"/>
      <c r="H292" s="1822"/>
      <c r="I292" s="1822"/>
      <c r="J292" s="1822"/>
      <c r="K292" s="1822"/>
      <c r="L292" s="1822"/>
      <c r="M292" s="1822"/>
      <c r="N292" s="1827"/>
      <c r="X292" s="537" t="s">
        <v>311</v>
      </c>
    </row>
    <row r="293" spans="1:33" s="536" customFormat="1" x14ac:dyDescent="0.2">
      <c r="A293" s="605"/>
      <c r="B293" s="552" t="s">
        <v>185</v>
      </c>
      <c r="C293" s="1822" t="s">
        <v>312</v>
      </c>
      <c r="D293" s="1822"/>
      <c r="E293" s="1822"/>
      <c r="F293" s="562"/>
      <c r="G293" s="562"/>
      <c r="H293" s="562"/>
      <c r="I293" s="562"/>
      <c r="J293" s="604">
        <v>18.71</v>
      </c>
      <c r="K293" s="562" t="s">
        <v>313</v>
      </c>
      <c r="L293" s="604">
        <v>220.54</v>
      </c>
      <c r="M293" s="603"/>
      <c r="N293" s="602"/>
      <c r="Y293" s="537" t="s">
        <v>312</v>
      </c>
    </row>
    <row r="294" spans="1:33" s="536" customFormat="1" x14ac:dyDescent="0.2">
      <c r="A294" s="605"/>
      <c r="B294" s="552" t="s">
        <v>186</v>
      </c>
      <c r="C294" s="1822" t="s">
        <v>344</v>
      </c>
      <c r="D294" s="1822"/>
      <c r="E294" s="1822"/>
      <c r="F294" s="562"/>
      <c r="G294" s="562"/>
      <c r="H294" s="562"/>
      <c r="I294" s="562"/>
      <c r="J294" s="604">
        <v>5.26</v>
      </c>
      <c r="K294" s="562" t="s">
        <v>313</v>
      </c>
      <c r="L294" s="604">
        <v>62</v>
      </c>
      <c r="M294" s="603"/>
      <c r="N294" s="602"/>
      <c r="Y294" s="537" t="s">
        <v>344</v>
      </c>
    </row>
    <row r="295" spans="1:33" s="536" customFormat="1" x14ac:dyDescent="0.2">
      <c r="A295" s="605"/>
      <c r="B295" s="552" t="s">
        <v>187</v>
      </c>
      <c r="C295" s="1822" t="s">
        <v>345</v>
      </c>
      <c r="D295" s="1822"/>
      <c r="E295" s="1822"/>
      <c r="F295" s="562"/>
      <c r="G295" s="562"/>
      <c r="H295" s="562"/>
      <c r="I295" s="562"/>
      <c r="J295" s="604">
        <v>0.93</v>
      </c>
      <c r="K295" s="562" t="s">
        <v>313</v>
      </c>
      <c r="L295" s="604">
        <v>10.96</v>
      </c>
      <c r="M295" s="603"/>
      <c r="N295" s="602"/>
      <c r="Y295" s="537" t="s">
        <v>345</v>
      </c>
    </row>
    <row r="296" spans="1:33" s="536" customFormat="1" x14ac:dyDescent="0.2">
      <c r="A296" s="605"/>
      <c r="B296" s="552" t="s">
        <v>188</v>
      </c>
      <c r="C296" s="1822" t="s">
        <v>475</v>
      </c>
      <c r="D296" s="1822"/>
      <c r="E296" s="1822"/>
      <c r="F296" s="562"/>
      <c r="G296" s="562"/>
      <c r="H296" s="562"/>
      <c r="I296" s="562"/>
      <c r="J296" s="604">
        <v>0.37</v>
      </c>
      <c r="K296" s="562"/>
      <c r="L296" s="604">
        <v>3.49</v>
      </c>
      <c r="M296" s="603"/>
      <c r="N296" s="602"/>
      <c r="Y296" s="537" t="s">
        <v>475</v>
      </c>
    </row>
    <row r="297" spans="1:33" s="536" customFormat="1" x14ac:dyDescent="0.2">
      <c r="A297" s="605"/>
      <c r="B297" s="552"/>
      <c r="C297" s="1822" t="s">
        <v>314</v>
      </c>
      <c r="D297" s="1822"/>
      <c r="E297" s="1822"/>
      <c r="F297" s="562" t="s">
        <v>315</v>
      </c>
      <c r="G297" s="562" t="s">
        <v>8697</v>
      </c>
      <c r="H297" s="562" t="s">
        <v>313</v>
      </c>
      <c r="I297" s="562" t="s">
        <v>8698</v>
      </c>
      <c r="J297" s="604"/>
      <c r="K297" s="562"/>
      <c r="L297" s="604"/>
      <c r="M297" s="603"/>
      <c r="N297" s="602"/>
      <c r="Z297" s="537" t="s">
        <v>314</v>
      </c>
    </row>
    <row r="298" spans="1:33" s="536" customFormat="1" x14ac:dyDescent="0.2">
      <c r="A298" s="605"/>
      <c r="B298" s="552"/>
      <c r="C298" s="1822" t="s">
        <v>348</v>
      </c>
      <c r="D298" s="1822"/>
      <c r="E298" s="1822"/>
      <c r="F298" s="562" t="s">
        <v>315</v>
      </c>
      <c r="G298" s="562" t="s">
        <v>2247</v>
      </c>
      <c r="H298" s="562" t="s">
        <v>313</v>
      </c>
      <c r="I298" s="562" t="s">
        <v>8699</v>
      </c>
      <c r="J298" s="604"/>
      <c r="K298" s="562"/>
      <c r="L298" s="604"/>
      <c r="M298" s="603"/>
      <c r="N298" s="602"/>
      <c r="Z298" s="537" t="s">
        <v>348</v>
      </c>
    </row>
    <row r="299" spans="1:33" s="536" customFormat="1" x14ac:dyDescent="0.2">
      <c r="A299" s="605"/>
      <c r="B299" s="552"/>
      <c r="C299" s="1828" t="s">
        <v>318</v>
      </c>
      <c r="D299" s="1828"/>
      <c r="E299" s="1828"/>
      <c r="F299" s="608"/>
      <c r="G299" s="608"/>
      <c r="H299" s="608"/>
      <c r="I299" s="608"/>
      <c r="J299" s="607">
        <v>24.34</v>
      </c>
      <c r="K299" s="608"/>
      <c r="L299" s="607">
        <v>286.02999999999997</v>
      </c>
      <c r="M299" s="601"/>
      <c r="N299" s="606"/>
      <c r="AA299" s="537" t="s">
        <v>318</v>
      </c>
    </row>
    <row r="300" spans="1:33" s="536" customFormat="1" x14ac:dyDescent="0.2">
      <c r="A300" s="605"/>
      <c r="B300" s="552"/>
      <c r="C300" s="1822" t="s">
        <v>319</v>
      </c>
      <c r="D300" s="1822"/>
      <c r="E300" s="1822"/>
      <c r="F300" s="562"/>
      <c r="G300" s="562"/>
      <c r="H300" s="562"/>
      <c r="I300" s="562"/>
      <c r="J300" s="604"/>
      <c r="K300" s="562"/>
      <c r="L300" s="604">
        <v>231.5</v>
      </c>
      <c r="M300" s="603"/>
      <c r="N300" s="602"/>
      <c r="Z300" s="537" t="s">
        <v>319</v>
      </c>
    </row>
    <row r="301" spans="1:33" s="536" customFormat="1" ht="33.75" x14ac:dyDescent="0.2">
      <c r="A301" s="605"/>
      <c r="B301" s="552" t="s">
        <v>1631</v>
      </c>
      <c r="C301" s="1822" t="s">
        <v>1632</v>
      </c>
      <c r="D301" s="1822"/>
      <c r="E301" s="1822"/>
      <c r="F301" s="562" t="s">
        <v>322</v>
      </c>
      <c r="G301" s="562" t="s">
        <v>1633</v>
      </c>
      <c r="H301" s="562"/>
      <c r="I301" s="562" t="s">
        <v>1633</v>
      </c>
      <c r="J301" s="604"/>
      <c r="K301" s="562"/>
      <c r="L301" s="604">
        <v>224.56</v>
      </c>
      <c r="M301" s="603"/>
      <c r="N301" s="602"/>
      <c r="Z301" s="537" t="s">
        <v>1632</v>
      </c>
    </row>
    <row r="302" spans="1:33" s="536" customFormat="1" ht="33.75" x14ac:dyDescent="0.2">
      <c r="A302" s="605"/>
      <c r="B302" s="552" t="s">
        <v>1634</v>
      </c>
      <c r="C302" s="1822" t="s">
        <v>1635</v>
      </c>
      <c r="D302" s="1822"/>
      <c r="E302" s="1822"/>
      <c r="F302" s="562" t="s">
        <v>322</v>
      </c>
      <c r="G302" s="562" t="s">
        <v>786</v>
      </c>
      <c r="H302" s="562"/>
      <c r="I302" s="562" t="s">
        <v>786</v>
      </c>
      <c r="J302" s="604"/>
      <c r="K302" s="562"/>
      <c r="L302" s="604">
        <v>118.07</v>
      </c>
      <c r="M302" s="603"/>
      <c r="N302" s="602"/>
      <c r="Z302" s="537" t="s">
        <v>1635</v>
      </c>
    </row>
    <row r="303" spans="1:33" s="536" customFormat="1" x14ac:dyDescent="0.2">
      <c r="A303" s="569"/>
      <c r="B303" s="671"/>
      <c r="C303" s="1823" t="s">
        <v>327</v>
      </c>
      <c r="D303" s="1823"/>
      <c r="E303" s="1823"/>
      <c r="F303" s="573"/>
      <c r="G303" s="573"/>
      <c r="H303" s="573"/>
      <c r="I303" s="573"/>
      <c r="J303" s="572"/>
      <c r="K303" s="573"/>
      <c r="L303" s="572">
        <v>628.66</v>
      </c>
      <c r="M303" s="601"/>
      <c r="N303" s="570"/>
      <c r="AB303" s="537" t="s">
        <v>327</v>
      </c>
    </row>
    <row r="304" spans="1:33" s="536" customFormat="1" ht="33.75" x14ac:dyDescent="0.2">
      <c r="A304" s="575" t="s">
        <v>912</v>
      </c>
      <c r="B304" s="670" t="s">
        <v>1095</v>
      </c>
      <c r="C304" s="1823" t="s">
        <v>1096</v>
      </c>
      <c r="D304" s="1823"/>
      <c r="E304" s="1823"/>
      <c r="F304" s="573" t="s">
        <v>641</v>
      </c>
      <c r="G304" s="573"/>
      <c r="H304" s="573"/>
      <c r="I304" s="573" t="s">
        <v>8700</v>
      </c>
      <c r="J304" s="572">
        <v>55.26</v>
      </c>
      <c r="K304" s="573"/>
      <c r="L304" s="572">
        <v>3002.22</v>
      </c>
      <c r="M304" s="571"/>
      <c r="N304" s="570"/>
      <c r="W304" s="537" t="s">
        <v>1096</v>
      </c>
    </row>
    <row r="305" spans="1:33" s="536" customFormat="1" x14ac:dyDescent="0.2">
      <c r="A305" s="569"/>
      <c r="B305" s="671"/>
      <c r="C305" s="665" t="s">
        <v>1658</v>
      </c>
      <c r="D305" s="666"/>
      <c r="E305" s="666"/>
      <c r="F305" s="563"/>
      <c r="G305" s="563"/>
      <c r="H305" s="563"/>
      <c r="I305" s="563"/>
      <c r="J305" s="566"/>
      <c r="K305" s="563"/>
      <c r="L305" s="566"/>
      <c r="M305" s="565"/>
      <c r="N305" s="564"/>
    </row>
    <row r="306" spans="1:33" s="536" customFormat="1" x14ac:dyDescent="0.2">
      <c r="A306" s="676"/>
      <c r="B306" s="664"/>
      <c r="C306" s="1822" t="s">
        <v>8701</v>
      </c>
      <c r="D306" s="1822"/>
      <c r="E306" s="1822"/>
      <c r="F306" s="1822"/>
      <c r="G306" s="1822"/>
      <c r="H306" s="1822"/>
      <c r="I306" s="1822"/>
      <c r="J306" s="1822"/>
      <c r="K306" s="1822"/>
      <c r="L306" s="1822"/>
      <c r="M306" s="1822"/>
      <c r="N306" s="1827"/>
      <c r="AG306" s="537" t="s">
        <v>8701</v>
      </c>
    </row>
    <row r="307" spans="1:33" s="536" customFormat="1" ht="22.5" x14ac:dyDescent="0.2">
      <c r="A307" s="575" t="s">
        <v>757</v>
      </c>
      <c r="B307" s="670" t="s">
        <v>8702</v>
      </c>
      <c r="C307" s="1823" t="s">
        <v>8703</v>
      </c>
      <c r="D307" s="1823"/>
      <c r="E307" s="1823"/>
      <c r="F307" s="573" t="s">
        <v>1110</v>
      </c>
      <c r="G307" s="573"/>
      <c r="H307" s="573"/>
      <c r="I307" s="573" t="s">
        <v>8704</v>
      </c>
      <c r="J307" s="572"/>
      <c r="K307" s="573"/>
      <c r="L307" s="572"/>
      <c r="M307" s="571"/>
      <c r="N307" s="570"/>
      <c r="W307" s="537" t="s">
        <v>8703</v>
      </c>
    </row>
    <row r="308" spans="1:33" s="536" customFormat="1" x14ac:dyDescent="0.2">
      <c r="A308" s="676"/>
      <c r="B308" s="664"/>
      <c r="C308" s="1822" t="s">
        <v>8705</v>
      </c>
      <c r="D308" s="1822"/>
      <c r="E308" s="1822"/>
      <c r="F308" s="1822"/>
      <c r="G308" s="1822"/>
      <c r="H308" s="1822"/>
      <c r="I308" s="1822"/>
      <c r="J308" s="1822"/>
      <c r="K308" s="1822"/>
      <c r="L308" s="1822"/>
      <c r="M308" s="1822"/>
      <c r="N308" s="1827"/>
      <c r="AG308" s="537" t="s">
        <v>8705</v>
      </c>
    </row>
    <row r="309" spans="1:33" s="536" customFormat="1" ht="33.75" x14ac:dyDescent="0.2">
      <c r="A309" s="609"/>
      <c r="B309" s="552" t="s">
        <v>310</v>
      </c>
      <c r="C309" s="1822" t="s">
        <v>311</v>
      </c>
      <c r="D309" s="1822"/>
      <c r="E309" s="1822"/>
      <c r="F309" s="1822"/>
      <c r="G309" s="1822"/>
      <c r="H309" s="1822"/>
      <c r="I309" s="1822"/>
      <c r="J309" s="1822"/>
      <c r="K309" s="1822"/>
      <c r="L309" s="1822"/>
      <c r="M309" s="1822"/>
      <c r="N309" s="1827"/>
      <c r="X309" s="537" t="s">
        <v>311</v>
      </c>
    </row>
    <row r="310" spans="1:33" s="536" customFormat="1" x14ac:dyDescent="0.2">
      <c r="A310" s="605"/>
      <c r="B310" s="552" t="s">
        <v>185</v>
      </c>
      <c r="C310" s="1822" t="s">
        <v>312</v>
      </c>
      <c r="D310" s="1822"/>
      <c r="E310" s="1822"/>
      <c r="F310" s="562"/>
      <c r="G310" s="562"/>
      <c r="H310" s="562"/>
      <c r="I310" s="562"/>
      <c r="J310" s="604">
        <v>163.94</v>
      </c>
      <c r="K310" s="562" t="s">
        <v>313</v>
      </c>
      <c r="L310" s="604">
        <v>2102.5300000000002</v>
      </c>
      <c r="M310" s="603"/>
      <c r="N310" s="602"/>
      <c r="Y310" s="537" t="s">
        <v>312</v>
      </c>
    </row>
    <row r="311" spans="1:33" s="536" customFormat="1" x14ac:dyDescent="0.2">
      <c r="A311" s="605"/>
      <c r="B311" s="552" t="s">
        <v>186</v>
      </c>
      <c r="C311" s="1822" t="s">
        <v>344</v>
      </c>
      <c r="D311" s="1822"/>
      <c r="E311" s="1822"/>
      <c r="F311" s="562"/>
      <c r="G311" s="562"/>
      <c r="H311" s="562"/>
      <c r="I311" s="562"/>
      <c r="J311" s="604">
        <v>270.02999999999997</v>
      </c>
      <c r="K311" s="562" t="s">
        <v>313</v>
      </c>
      <c r="L311" s="604">
        <v>3463.13</v>
      </c>
      <c r="M311" s="603"/>
      <c r="N311" s="602"/>
      <c r="Y311" s="537" t="s">
        <v>344</v>
      </c>
    </row>
    <row r="312" spans="1:33" s="536" customFormat="1" x14ac:dyDescent="0.2">
      <c r="A312" s="605"/>
      <c r="B312" s="552" t="s">
        <v>187</v>
      </c>
      <c r="C312" s="1822" t="s">
        <v>345</v>
      </c>
      <c r="D312" s="1822"/>
      <c r="E312" s="1822"/>
      <c r="F312" s="562"/>
      <c r="G312" s="562"/>
      <c r="H312" s="562"/>
      <c r="I312" s="562"/>
      <c r="J312" s="604">
        <v>33.130000000000003</v>
      </c>
      <c r="K312" s="562" t="s">
        <v>313</v>
      </c>
      <c r="L312" s="604">
        <v>424.89</v>
      </c>
      <c r="M312" s="603"/>
      <c r="N312" s="602"/>
      <c r="Y312" s="537" t="s">
        <v>345</v>
      </c>
    </row>
    <row r="313" spans="1:33" s="536" customFormat="1" x14ac:dyDescent="0.2">
      <c r="A313" s="605"/>
      <c r="B313" s="552" t="s">
        <v>188</v>
      </c>
      <c r="C313" s="1822" t="s">
        <v>475</v>
      </c>
      <c r="D313" s="1822"/>
      <c r="E313" s="1822"/>
      <c r="F313" s="562"/>
      <c r="G313" s="562"/>
      <c r="H313" s="562"/>
      <c r="I313" s="562"/>
      <c r="J313" s="604">
        <v>74.19</v>
      </c>
      <c r="K313" s="562"/>
      <c r="L313" s="604">
        <v>761.19</v>
      </c>
      <c r="M313" s="603"/>
      <c r="N313" s="602"/>
      <c r="Y313" s="537" t="s">
        <v>475</v>
      </c>
    </row>
    <row r="314" spans="1:33" s="536" customFormat="1" x14ac:dyDescent="0.2">
      <c r="A314" s="605"/>
      <c r="B314" s="552"/>
      <c r="C314" s="1822" t="s">
        <v>314</v>
      </c>
      <c r="D314" s="1822"/>
      <c r="E314" s="1822"/>
      <c r="F314" s="562" t="s">
        <v>315</v>
      </c>
      <c r="G314" s="562" t="s">
        <v>8706</v>
      </c>
      <c r="H314" s="562" t="s">
        <v>313</v>
      </c>
      <c r="I314" s="562" t="s">
        <v>8707</v>
      </c>
      <c r="J314" s="604"/>
      <c r="K314" s="562"/>
      <c r="L314" s="604"/>
      <c r="M314" s="603"/>
      <c r="N314" s="602"/>
      <c r="Z314" s="537" t="s">
        <v>314</v>
      </c>
    </row>
    <row r="315" spans="1:33" s="536" customFormat="1" x14ac:dyDescent="0.2">
      <c r="A315" s="605"/>
      <c r="B315" s="552"/>
      <c r="C315" s="1822" t="s">
        <v>348</v>
      </c>
      <c r="D315" s="1822"/>
      <c r="E315" s="1822"/>
      <c r="F315" s="562" t="s">
        <v>315</v>
      </c>
      <c r="G315" s="562" t="s">
        <v>8708</v>
      </c>
      <c r="H315" s="562" t="s">
        <v>313</v>
      </c>
      <c r="I315" s="562" t="s">
        <v>8709</v>
      </c>
      <c r="J315" s="604"/>
      <c r="K315" s="562"/>
      <c r="L315" s="604"/>
      <c r="M315" s="603"/>
      <c r="N315" s="602"/>
      <c r="Z315" s="537" t="s">
        <v>348</v>
      </c>
    </row>
    <row r="316" spans="1:33" s="536" customFormat="1" x14ac:dyDescent="0.2">
      <c r="A316" s="605"/>
      <c r="B316" s="552"/>
      <c r="C316" s="1828" t="s">
        <v>318</v>
      </c>
      <c r="D316" s="1828"/>
      <c r="E316" s="1828"/>
      <c r="F316" s="608"/>
      <c r="G316" s="608"/>
      <c r="H316" s="608"/>
      <c r="I316" s="608"/>
      <c r="J316" s="607">
        <v>508.16</v>
      </c>
      <c r="K316" s="608"/>
      <c r="L316" s="607">
        <v>6326.85</v>
      </c>
      <c r="M316" s="601"/>
      <c r="N316" s="606"/>
      <c r="AA316" s="537" t="s">
        <v>318</v>
      </c>
    </row>
    <row r="317" spans="1:33" s="536" customFormat="1" x14ac:dyDescent="0.2">
      <c r="A317" s="605"/>
      <c r="B317" s="552"/>
      <c r="C317" s="1822" t="s">
        <v>319</v>
      </c>
      <c r="D317" s="1822"/>
      <c r="E317" s="1822"/>
      <c r="F317" s="562"/>
      <c r="G317" s="562"/>
      <c r="H317" s="562"/>
      <c r="I317" s="562"/>
      <c r="J317" s="604"/>
      <c r="K317" s="562"/>
      <c r="L317" s="604">
        <v>2527.42</v>
      </c>
      <c r="M317" s="603"/>
      <c r="N317" s="602"/>
      <c r="Z317" s="537" t="s">
        <v>319</v>
      </c>
    </row>
    <row r="318" spans="1:33" s="536" customFormat="1" ht="33.75" x14ac:dyDescent="0.2">
      <c r="A318" s="605"/>
      <c r="B318" s="552" t="s">
        <v>1631</v>
      </c>
      <c r="C318" s="1822" t="s">
        <v>1632</v>
      </c>
      <c r="D318" s="1822"/>
      <c r="E318" s="1822"/>
      <c r="F318" s="562" t="s">
        <v>322</v>
      </c>
      <c r="G318" s="562" t="s">
        <v>1633</v>
      </c>
      <c r="H318" s="562"/>
      <c r="I318" s="562" t="s">
        <v>1633</v>
      </c>
      <c r="J318" s="604"/>
      <c r="K318" s="562"/>
      <c r="L318" s="604">
        <v>2451.6</v>
      </c>
      <c r="M318" s="603"/>
      <c r="N318" s="602"/>
      <c r="Z318" s="537" t="s">
        <v>1632</v>
      </c>
    </row>
    <row r="319" spans="1:33" s="536" customFormat="1" ht="33.75" x14ac:dyDescent="0.2">
      <c r="A319" s="605"/>
      <c r="B319" s="552" t="s">
        <v>1634</v>
      </c>
      <c r="C319" s="1822" t="s">
        <v>1635</v>
      </c>
      <c r="D319" s="1822"/>
      <c r="E319" s="1822"/>
      <c r="F319" s="562" t="s">
        <v>322</v>
      </c>
      <c r="G319" s="562" t="s">
        <v>786</v>
      </c>
      <c r="H319" s="562"/>
      <c r="I319" s="562" t="s">
        <v>786</v>
      </c>
      <c r="J319" s="604"/>
      <c r="K319" s="562"/>
      <c r="L319" s="604">
        <v>1288.98</v>
      </c>
      <c r="M319" s="603"/>
      <c r="N319" s="602"/>
      <c r="Z319" s="537" t="s">
        <v>1635</v>
      </c>
    </row>
    <row r="320" spans="1:33" s="536" customFormat="1" x14ac:dyDescent="0.2">
      <c r="A320" s="569"/>
      <c r="B320" s="671"/>
      <c r="C320" s="1823" t="s">
        <v>327</v>
      </c>
      <c r="D320" s="1823"/>
      <c r="E320" s="1823"/>
      <c r="F320" s="573"/>
      <c r="G320" s="573"/>
      <c r="H320" s="573"/>
      <c r="I320" s="573"/>
      <c r="J320" s="572"/>
      <c r="K320" s="573"/>
      <c r="L320" s="572">
        <v>10067.43</v>
      </c>
      <c r="M320" s="601"/>
      <c r="N320" s="570"/>
      <c r="AB320" s="537" t="s">
        <v>327</v>
      </c>
    </row>
    <row r="321" spans="1:34" s="536" customFormat="1" ht="56.25" x14ac:dyDescent="0.2">
      <c r="A321" s="575" t="s">
        <v>1079</v>
      </c>
      <c r="B321" s="670" t="s">
        <v>8710</v>
      </c>
      <c r="C321" s="1823" t="s">
        <v>8711</v>
      </c>
      <c r="D321" s="1823"/>
      <c r="E321" s="1823"/>
      <c r="F321" s="573" t="s">
        <v>483</v>
      </c>
      <c r="G321" s="573"/>
      <c r="H321" s="573"/>
      <c r="I321" s="573" t="s">
        <v>8712</v>
      </c>
      <c r="J321" s="572">
        <v>7713.64</v>
      </c>
      <c r="K321" s="573" t="s">
        <v>716</v>
      </c>
      <c r="L321" s="572">
        <v>1470344.29</v>
      </c>
      <c r="M321" s="571">
        <v>5.6</v>
      </c>
      <c r="N321" s="570">
        <v>8233928</v>
      </c>
      <c r="W321" s="537" t="s">
        <v>8711</v>
      </c>
    </row>
    <row r="322" spans="1:34" s="536" customFormat="1" x14ac:dyDescent="0.2">
      <c r="A322" s="569"/>
      <c r="B322" s="671"/>
      <c r="C322" s="665" t="s">
        <v>1658</v>
      </c>
      <c r="D322" s="666"/>
      <c r="E322" s="666"/>
      <c r="F322" s="563"/>
      <c r="G322" s="563"/>
      <c r="H322" s="563"/>
      <c r="I322" s="563"/>
      <c r="J322" s="566"/>
      <c r="K322" s="563"/>
      <c r="L322" s="566"/>
      <c r="M322" s="565"/>
      <c r="N322" s="564"/>
    </row>
    <row r="323" spans="1:34" s="536" customFormat="1" x14ac:dyDescent="0.2">
      <c r="A323" s="676"/>
      <c r="B323" s="664"/>
      <c r="C323" s="1822" t="s">
        <v>8713</v>
      </c>
      <c r="D323" s="1822"/>
      <c r="E323" s="1822"/>
      <c r="F323" s="1822"/>
      <c r="G323" s="1822"/>
      <c r="H323" s="1822"/>
      <c r="I323" s="1822"/>
      <c r="J323" s="1822"/>
      <c r="K323" s="1822"/>
      <c r="L323" s="1822"/>
      <c r="M323" s="1822"/>
      <c r="N323" s="1827"/>
      <c r="AG323" s="537" t="s">
        <v>8713</v>
      </c>
    </row>
    <row r="324" spans="1:34" s="536" customFormat="1" x14ac:dyDescent="0.2">
      <c r="A324" s="676"/>
      <c r="B324" s="664"/>
      <c r="C324" s="1822" t="s">
        <v>8714</v>
      </c>
      <c r="D324" s="1822"/>
      <c r="E324" s="1822"/>
      <c r="F324" s="1822"/>
      <c r="G324" s="1822"/>
      <c r="H324" s="1822"/>
      <c r="I324" s="1822"/>
      <c r="J324" s="1822"/>
      <c r="K324" s="1822"/>
      <c r="L324" s="1822"/>
      <c r="M324" s="1822"/>
      <c r="N324" s="1827"/>
      <c r="AH324" s="537" t="s">
        <v>8714</v>
      </c>
    </row>
    <row r="325" spans="1:34" s="536" customFormat="1" ht="22.5" x14ac:dyDescent="0.2">
      <c r="A325" s="609"/>
      <c r="B325" s="552" t="s">
        <v>718</v>
      </c>
      <c r="C325" s="1822" t="s">
        <v>719</v>
      </c>
      <c r="D325" s="1822"/>
      <c r="E325" s="1822"/>
      <c r="F325" s="1822"/>
      <c r="G325" s="1822"/>
      <c r="H325" s="1822"/>
      <c r="I325" s="1822"/>
      <c r="J325" s="1822"/>
      <c r="K325" s="1822"/>
      <c r="L325" s="1822"/>
      <c r="M325" s="1822"/>
      <c r="N325" s="1827"/>
      <c r="X325" s="537" t="s">
        <v>719</v>
      </c>
    </row>
    <row r="326" spans="1:34" s="536" customFormat="1" ht="22.5" x14ac:dyDescent="0.2">
      <c r="A326" s="575" t="s">
        <v>759</v>
      </c>
      <c r="B326" s="670" t="s">
        <v>8715</v>
      </c>
      <c r="C326" s="1823" t="s">
        <v>8716</v>
      </c>
      <c r="D326" s="1823"/>
      <c r="E326" s="1823"/>
      <c r="F326" s="573" t="s">
        <v>1110</v>
      </c>
      <c r="G326" s="573"/>
      <c r="H326" s="573"/>
      <c r="I326" s="573" t="s">
        <v>619</v>
      </c>
      <c r="J326" s="572"/>
      <c r="K326" s="573"/>
      <c r="L326" s="572"/>
      <c r="M326" s="571"/>
      <c r="N326" s="570"/>
      <c r="W326" s="537" t="s">
        <v>8716</v>
      </c>
    </row>
    <row r="327" spans="1:34" s="536" customFormat="1" x14ac:dyDescent="0.2">
      <c r="A327" s="676"/>
      <c r="B327" s="664"/>
      <c r="C327" s="1822" t="s">
        <v>8689</v>
      </c>
      <c r="D327" s="1822"/>
      <c r="E327" s="1822"/>
      <c r="F327" s="1822"/>
      <c r="G327" s="1822"/>
      <c r="H327" s="1822"/>
      <c r="I327" s="1822"/>
      <c r="J327" s="1822"/>
      <c r="K327" s="1822"/>
      <c r="L327" s="1822"/>
      <c r="M327" s="1822"/>
      <c r="N327" s="1827"/>
      <c r="AG327" s="537" t="s">
        <v>8689</v>
      </c>
    </row>
    <row r="328" spans="1:34" s="536" customFormat="1" ht="33.75" x14ac:dyDescent="0.2">
      <c r="A328" s="609"/>
      <c r="B328" s="552" t="s">
        <v>310</v>
      </c>
      <c r="C328" s="1822" t="s">
        <v>311</v>
      </c>
      <c r="D328" s="1822"/>
      <c r="E328" s="1822"/>
      <c r="F328" s="1822"/>
      <c r="G328" s="1822"/>
      <c r="H328" s="1822"/>
      <c r="I328" s="1822"/>
      <c r="J328" s="1822"/>
      <c r="K328" s="1822"/>
      <c r="L328" s="1822"/>
      <c r="M328" s="1822"/>
      <c r="N328" s="1827"/>
      <c r="X328" s="537" t="s">
        <v>311</v>
      </c>
    </row>
    <row r="329" spans="1:34" s="536" customFormat="1" x14ac:dyDescent="0.2">
      <c r="A329" s="605"/>
      <c r="B329" s="552" t="s">
        <v>185</v>
      </c>
      <c r="C329" s="1822" t="s">
        <v>312</v>
      </c>
      <c r="D329" s="1822"/>
      <c r="E329" s="1822"/>
      <c r="F329" s="562"/>
      <c r="G329" s="562"/>
      <c r="H329" s="562"/>
      <c r="I329" s="562"/>
      <c r="J329" s="604">
        <v>48.97</v>
      </c>
      <c r="K329" s="562" t="s">
        <v>313</v>
      </c>
      <c r="L329" s="604">
        <v>50.81</v>
      </c>
      <c r="M329" s="603"/>
      <c r="N329" s="602"/>
      <c r="Y329" s="537" t="s">
        <v>312</v>
      </c>
    </row>
    <row r="330" spans="1:34" s="536" customFormat="1" x14ac:dyDescent="0.2">
      <c r="A330" s="605"/>
      <c r="B330" s="552" t="s">
        <v>186</v>
      </c>
      <c r="C330" s="1822" t="s">
        <v>344</v>
      </c>
      <c r="D330" s="1822"/>
      <c r="E330" s="1822"/>
      <c r="F330" s="562"/>
      <c r="G330" s="562"/>
      <c r="H330" s="562"/>
      <c r="I330" s="562"/>
      <c r="J330" s="604">
        <v>313.32</v>
      </c>
      <c r="K330" s="562" t="s">
        <v>313</v>
      </c>
      <c r="L330" s="604">
        <v>325.07</v>
      </c>
      <c r="M330" s="603"/>
      <c r="N330" s="602"/>
      <c r="Y330" s="537" t="s">
        <v>344</v>
      </c>
    </row>
    <row r="331" spans="1:34" s="536" customFormat="1" x14ac:dyDescent="0.2">
      <c r="A331" s="605"/>
      <c r="B331" s="552" t="s">
        <v>187</v>
      </c>
      <c r="C331" s="1822" t="s">
        <v>345</v>
      </c>
      <c r="D331" s="1822"/>
      <c r="E331" s="1822"/>
      <c r="F331" s="562"/>
      <c r="G331" s="562"/>
      <c r="H331" s="562"/>
      <c r="I331" s="562"/>
      <c r="J331" s="604">
        <v>43.43</v>
      </c>
      <c r="K331" s="562" t="s">
        <v>313</v>
      </c>
      <c r="L331" s="604">
        <v>45.06</v>
      </c>
      <c r="M331" s="603"/>
      <c r="N331" s="602"/>
      <c r="Y331" s="537" t="s">
        <v>345</v>
      </c>
    </row>
    <row r="332" spans="1:34" s="536" customFormat="1" x14ac:dyDescent="0.2">
      <c r="A332" s="605"/>
      <c r="B332" s="552" t="s">
        <v>188</v>
      </c>
      <c r="C332" s="1822" t="s">
        <v>475</v>
      </c>
      <c r="D332" s="1822"/>
      <c r="E332" s="1822"/>
      <c r="F332" s="562"/>
      <c r="G332" s="562"/>
      <c r="H332" s="562"/>
      <c r="I332" s="562"/>
      <c r="J332" s="604">
        <v>0.98</v>
      </c>
      <c r="K332" s="562"/>
      <c r="L332" s="604">
        <v>0.81</v>
      </c>
      <c r="M332" s="603"/>
      <c r="N332" s="602"/>
      <c r="Y332" s="537" t="s">
        <v>475</v>
      </c>
    </row>
    <row r="333" spans="1:34" s="536" customFormat="1" x14ac:dyDescent="0.2">
      <c r="A333" s="605"/>
      <c r="B333" s="552"/>
      <c r="C333" s="1822" t="s">
        <v>314</v>
      </c>
      <c r="D333" s="1822"/>
      <c r="E333" s="1822"/>
      <c r="F333" s="562" t="s">
        <v>315</v>
      </c>
      <c r="G333" s="562" t="s">
        <v>316</v>
      </c>
      <c r="H333" s="562" t="s">
        <v>313</v>
      </c>
      <c r="I333" s="562" t="s">
        <v>8717</v>
      </c>
      <c r="J333" s="604"/>
      <c r="K333" s="562"/>
      <c r="L333" s="604"/>
      <c r="M333" s="603"/>
      <c r="N333" s="602"/>
      <c r="Z333" s="537" t="s">
        <v>314</v>
      </c>
    </row>
    <row r="334" spans="1:34" s="536" customFormat="1" x14ac:dyDescent="0.2">
      <c r="A334" s="605"/>
      <c r="B334" s="552"/>
      <c r="C334" s="1822" t="s">
        <v>348</v>
      </c>
      <c r="D334" s="1822"/>
      <c r="E334" s="1822"/>
      <c r="F334" s="562" t="s">
        <v>315</v>
      </c>
      <c r="G334" s="562" t="s">
        <v>8718</v>
      </c>
      <c r="H334" s="562" t="s">
        <v>313</v>
      </c>
      <c r="I334" s="562" t="s">
        <v>8719</v>
      </c>
      <c r="J334" s="604"/>
      <c r="K334" s="562"/>
      <c r="L334" s="604"/>
      <c r="M334" s="603"/>
      <c r="N334" s="602"/>
      <c r="Z334" s="537" t="s">
        <v>348</v>
      </c>
    </row>
    <row r="335" spans="1:34" s="536" customFormat="1" x14ac:dyDescent="0.2">
      <c r="A335" s="605"/>
      <c r="B335" s="552"/>
      <c r="C335" s="1828" t="s">
        <v>318</v>
      </c>
      <c r="D335" s="1828"/>
      <c r="E335" s="1828"/>
      <c r="F335" s="608"/>
      <c r="G335" s="608"/>
      <c r="H335" s="608"/>
      <c r="I335" s="608"/>
      <c r="J335" s="607">
        <v>363.27</v>
      </c>
      <c r="K335" s="608"/>
      <c r="L335" s="607">
        <v>376.69</v>
      </c>
      <c r="M335" s="601"/>
      <c r="N335" s="606"/>
      <c r="AA335" s="537" t="s">
        <v>318</v>
      </c>
    </row>
    <row r="336" spans="1:34" s="536" customFormat="1" x14ac:dyDescent="0.2">
      <c r="A336" s="605"/>
      <c r="B336" s="552"/>
      <c r="C336" s="1822" t="s">
        <v>319</v>
      </c>
      <c r="D336" s="1822"/>
      <c r="E336" s="1822"/>
      <c r="F336" s="562"/>
      <c r="G336" s="562"/>
      <c r="H336" s="562"/>
      <c r="I336" s="562"/>
      <c r="J336" s="604"/>
      <c r="K336" s="562"/>
      <c r="L336" s="604">
        <v>95.87</v>
      </c>
      <c r="M336" s="603"/>
      <c r="N336" s="602"/>
      <c r="Z336" s="537" t="s">
        <v>319</v>
      </c>
    </row>
    <row r="337" spans="1:33" s="536" customFormat="1" ht="33.75" x14ac:dyDescent="0.2">
      <c r="A337" s="605"/>
      <c r="B337" s="552" t="s">
        <v>1631</v>
      </c>
      <c r="C337" s="1822" t="s">
        <v>1632</v>
      </c>
      <c r="D337" s="1822"/>
      <c r="E337" s="1822"/>
      <c r="F337" s="562" t="s">
        <v>322</v>
      </c>
      <c r="G337" s="562" t="s">
        <v>1633</v>
      </c>
      <c r="H337" s="562"/>
      <c r="I337" s="562" t="s">
        <v>1633</v>
      </c>
      <c r="J337" s="604"/>
      <c r="K337" s="562"/>
      <c r="L337" s="604">
        <v>92.99</v>
      </c>
      <c r="M337" s="603"/>
      <c r="N337" s="602"/>
      <c r="Z337" s="537" t="s">
        <v>1632</v>
      </c>
    </row>
    <row r="338" spans="1:33" s="536" customFormat="1" ht="33.75" x14ac:dyDescent="0.2">
      <c r="A338" s="605"/>
      <c r="B338" s="552" t="s">
        <v>1634</v>
      </c>
      <c r="C338" s="1822" t="s">
        <v>1635</v>
      </c>
      <c r="D338" s="1822"/>
      <c r="E338" s="1822"/>
      <c r="F338" s="562" t="s">
        <v>322</v>
      </c>
      <c r="G338" s="562" t="s">
        <v>786</v>
      </c>
      <c r="H338" s="562"/>
      <c r="I338" s="562" t="s">
        <v>786</v>
      </c>
      <c r="J338" s="604"/>
      <c r="K338" s="562"/>
      <c r="L338" s="604">
        <v>48.89</v>
      </c>
      <c r="M338" s="603"/>
      <c r="N338" s="602"/>
      <c r="Z338" s="537" t="s">
        <v>1635</v>
      </c>
    </row>
    <row r="339" spans="1:33" s="536" customFormat="1" x14ac:dyDescent="0.2">
      <c r="A339" s="569"/>
      <c r="B339" s="671"/>
      <c r="C339" s="1823" t="s">
        <v>327</v>
      </c>
      <c r="D339" s="1823"/>
      <c r="E339" s="1823"/>
      <c r="F339" s="573"/>
      <c r="G339" s="573"/>
      <c r="H339" s="573"/>
      <c r="I339" s="573"/>
      <c r="J339" s="572"/>
      <c r="K339" s="573"/>
      <c r="L339" s="572">
        <v>518.57000000000005</v>
      </c>
      <c r="M339" s="601"/>
      <c r="N339" s="570"/>
      <c r="AB339" s="537" t="s">
        <v>327</v>
      </c>
    </row>
    <row r="340" spans="1:33" s="536" customFormat="1" ht="22.5" x14ac:dyDescent="0.2">
      <c r="A340" s="575" t="s">
        <v>917</v>
      </c>
      <c r="B340" s="670" t="s">
        <v>8720</v>
      </c>
      <c r="C340" s="1823" t="s">
        <v>8721</v>
      </c>
      <c r="D340" s="1823"/>
      <c r="E340" s="1823"/>
      <c r="F340" s="573" t="s">
        <v>1110</v>
      </c>
      <c r="G340" s="573"/>
      <c r="H340" s="573"/>
      <c r="I340" s="573" t="s">
        <v>8695</v>
      </c>
      <c r="J340" s="572"/>
      <c r="K340" s="573"/>
      <c r="L340" s="572"/>
      <c r="M340" s="571"/>
      <c r="N340" s="570"/>
      <c r="W340" s="537" t="s">
        <v>8721</v>
      </c>
    </row>
    <row r="341" spans="1:33" s="536" customFormat="1" x14ac:dyDescent="0.2">
      <c r="A341" s="676"/>
      <c r="B341" s="664"/>
      <c r="C341" s="1822" t="s">
        <v>8696</v>
      </c>
      <c r="D341" s="1822"/>
      <c r="E341" s="1822"/>
      <c r="F341" s="1822"/>
      <c r="G341" s="1822"/>
      <c r="H341" s="1822"/>
      <c r="I341" s="1822"/>
      <c r="J341" s="1822"/>
      <c r="K341" s="1822"/>
      <c r="L341" s="1822"/>
      <c r="M341" s="1822"/>
      <c r="N341" s="1827"/>
      <c r="AG341" s="537" t="s">
        <v>8696</v>
      </c>
    </row>
    <row r="342" spans="1:33" s="536" customFormat="1" ht="33.75" x14ac:dyDescent="0.2">
      <c r="A342" s="609"/>
      <c r="B342" s="552" t="s">
        <v>310</v>
      </c>
      <c r="C342" s="1822" t="s">
        <v>311</v>
      </c>
      <c r="D342" s="1822"/>
      <c r="E342" s="1822"/>
      <c r="F342" s="1822"/>
      <c r="G342" s="1822"/>
      <c r="H342" s="1822"/>
      <c r="I342" s="1822"/>
      <c r="J342" s="1822"/>
      <c r="K342" s="1822"/>
      <c r="L342" s="1822"/>
      <c r="M342" s="1822"/>
      <c r="N342" s="1827"/>
      <c r="X342" s="537" t="s">
        <v>311</v>
      </c>
    </row>
    <row r="343" spans="1:33" s="536" customFormat="1" x14ac:dyDescent="0.2">
      <c r="A343" s="605"/>
      <c r="B343" s="552" t="s">
        <v>185</v>
      </c>
      <c r="C343" s="1822" t="s">
        <v>312</v>
      </c>
      <c r="D343" s="1822"/>
      <c r="E343" s="1822"/>
      <c r="F343" s="562"/>
      <c r="G343" s="562"/>
      <c r="H343" s="562"/>
      <c r="I343" s="562"/>
      <c r="J343" s="604">
        <v>25.57</v>
      </c>
      <c r="K343" s="562" t="s">
        <v>313</v>
      </c>
      <c r="L343" s="604">
        <v>301.41000000000003</v>
      </c>
      <c r="M343" s="603"/>
      <c r="N343" s="602"/>
      <c r="Y343" s="537" t="s">
        <v>312</v>
      </c>
    </row>
    <row r="344" spans="1:33" s="536" customFormat="1" x14ac:dyDescent="0.2">
      <c r="A344" s="605"/>
      <c r="B344" s="552" t="s">
        <v>186</v>
      </c>
      <c r="C344" s="1822" t="s">
        <v>344</v>
      </c>
      <c r="D344" s="1822"/>
      <c r="E344" s="1822"/>
      <c r="F344" s="562"/>
      <c r="G344" s="562"/>
      <c r="H344" s="562"/>
      <c r="I344" s="562"/>
      <c r="J344" s="604">
        <v>164.81</v>
      </c>
      <c r="K344" s="562" t="s">
        <v>313</v>
      </c>
      <c r="L344" s="604">
        <v>1942.7</v>
      </c>
      <c r="M344" s="603"/>
      <c r="N344" s="602"/>
      <c r="Y344" s="537" t="s">
        <v>344</v>
      </c>
    </row>
    <row r="345" spans="1:33" s="536" customFormat="1" x14ac:dyDescent="0.2">
      <c r="A345" s="605"/>
      <c r="B345" s="552" t="s">
        <v>187</v>
      </c>
      <c r="C345" s="1822" t="s">
        <v>345</v>
      </c>
      <c r="D345" s="1822"/>
      <c r="E345" s="1822"/>
      <c r="F345" s="562"/>
      <c r="G345" s="562"/>
      <c r="H345" s="562"/>
      <c r="I345" s="562"/>
      <c r="J345" s="604">
        <v>22.85</v>
      </c>
      <c r="K345" s="562" t="s">
        <v>313</v>
      </c>
      <c r="L345" s="604">
        <v>269.33999999999997</v>
      </c>
      <c r="M345" s="603"/>
      <c r="N345" s="602"/>
      <c r="Y345" s="537" t="s">
        <v>345</v>
      </c>
    </row>
    <row r="346" spans="1:33" s="536" customFormat="1" x14ac:dyDescent="0.2">
      <c r="A346" s="605"/>
      <c r="B346" s="552" t="s">
        <v>188</v>
      </c>
      <c r="C346" s="1822" t="s">
        <v>475</v>
      </c>
      <c r="D346" s="1822"/>
      <c r="E346" s="1822"/>
      <c r="F346" s="562"/>
      <c r="G346" s="562"/>
      <c r="H346" s="562"/>
      <c r="I346" s="562"/>
      <c r="J346" s="604">
        <v>0.51</v>
      </c>
      <c r="K346" s="562"/>
      <c r="L346" s="604">
        <v>4.8099999999999996</v>
      </c>
      <c r="M346" s="603"/>
      <c r="N346" s="602"/>
      <c r="Y346" s="537" t="s">
        <v>475</v>
      </c>
    </row>
    <row r="347" spans="1:33" s="536" customFormat="1" x14ac:dyDescent="0.2">
      <c r="A347" s="605"/>
      <c r="B347" s="552"/>
      <c r="C347" s="1822" t="s">
        <v>314</v>
      </c>
      <c r="D347" s="1822"/>
      <c r="E347" s="1822"/>
      <c r="F347" s="562" t="s">
        <v>315</v>
      </c>
      <c r="G347" s="562" t="s">
        <v>476</v>
      </c>
      <c r="H347" s="562" t="s">
        <v>313</v>
      </c>
      <c r="I347" s="562" t="s">
        <v>8722</v>
      </c>
      <c r="J347" s="604"/>
      <c r="K347" s="562"/>
      <c r="L347" s="604"/>
      <c r="M347" s="603"/>
      <c r="N347" s="602"/>
      <c r="Z347" s="537" t="s">
        <v>314</v>
      </c>
    </row>
    <row r="348" spans="1:33" s="536" customFormat="1" x14ac:dyDescent="0.2">
      <c r="A348" s="605"/>
      <c r="B348" s="552"/>
      <c r="C348" s="1822" t="s">
        <v>348</v>
      </c>
      <c r="D348" s="1822"/>
      <c r="E348" s="1822"/>
      <c r="F348" s="562" t="s">
        <v>315</v>
      </c>
      <c r="G348" s="562" t="s">
        <v>4468</v>
      </c>
      <c r="H348" s="562" t="s">
        <v>313</v>
      </c>
      <c r="I348" s="562" t="s">
        <v>8723</v>
      </c>
      <c r="J348" s="604"/>
      <c r="K348" s="562"/>
      <c r="L348" s="604"/>
      <c r="M348" s="603"/>
      <c r="N348" s="602"/>
      <c r="Z348" s="537" t="s">
        <v>348</v>
      </c>
    </row>
    <row r="349" spans="1:33" s="536" customFormat="1" x14ac:dyDescent="0.2">
      <c r="A349" s="605"/>
      <c r="B349" s="552"/>
      <c r="C349" s="1828" t="s">
        <v>318</v>
      </c>
      <c r="D349" s="1828"/>
      <c r="E349" s="1828"/>
      <c r="F349" s="608"/>
      <c r="G349" s="608"/>
      <c r="H349" s="608"/>
      <c r="I349" s="608"/>
      <c r="J349" s="607">
        <v>190.89</v>
      </c>
      <c r="K349" s="608"/>
      <c r="L349" s="607">
        <v>2248.92</v>
      </c>
      <c r="M349" s="601"/>
      <c r="N349" s="606"/>
      <c r="AA349" s="537" t="s">
        <v>318</v>
      </c>
    </row>
    <row r="350" spans="1:33" s="536" customFormat="1" x14ac:dyDescent="0.2">
      <c r="A350" s="605"/>
      <c r="B350" s="552"/>
      <c r="C350" s="1822" t="s">
        <v>319</v>
      </c>
      <c r="D350" s="1822"/>
      <c r="E350" s="1822"/>
      <c r="F350" s="562"/>
      <c r="G350" s="562"/>
      <c r="H350" s="562"/>
      <c r="I350" s="562"/>
      <c r="J350" s="604"/>
      <c r="K350" s="562"/>
      <c r="L350" s="604">
        <v>570.75</v>
      </c>
      <c r="M350" s="603"/>
      <c r="N350" s="602"/>
      <c r="Z350" s="537" t="s">
        <v>319</v>
      </c>
    </row>
    <row r="351" spans="1:33" s="536" customFormat="1" ht="33.75" x14ac:dyDescent="0.2">
      <c r="A351" s="605"/>
      <c r="B351" s="552" t="s">
        <v>1631</v>
      </c>
      <c r="C351" s="1822" t="s">
        <v>1632</v>
      </c>
      <c r="D351" s="1822"/>
      <c r="E351" s="1822"/>
      <c r="F351" s="562" t="s">
        <v>322</v>
      </c>
      <c r="G351" s="562" t="s">
        <v>1633</v>
      </c>
      <c r="H351" s="562"/>
      <c r="I351" s="562" t="s">
        <v>1633</v>
      </c>
      <c r="J351" s="604"/>
      <c r="K351" s="562"/>
      <c r="L351" s="604">
        <v>553.63</v>
      </c>
      <c r="M351" s="603"/>
      <c r="N351" s="602"/>
      <c r="Z351" s="537" t="s">
        <v>1632</v>
      </c>
    </row>
    <row r="352" spans="1:33" s="536" customFormat="1" ht="33.75" x14ac:dyDescent="0.2">
      <c r="A352" s="605"/>
      <c r="B352" s="552" t="s">
        <v>1634</v>
      </c>
      <c r="C352" s="1822" t="s">
        <v>1635</v>
      </c>
      <c r="D352" s="1822"/>
      <c r="E352" s="1822"/>
      <c r="F352" s="562" t="s">
        <v>322</v>
      </c>
      <c r="G352" s="562" t="s">
        <v>786</v>
      </c>
      <c r="H352" s="562"/>
      <c r="I352" s="562" t="s">
        <v>786</v>
      </c>
      <c r="J352" s="604"/>
      <c r="K352" s="562"/>
      <c r="L352" s="604">
        <v>291.08</v>
      </c>
      <c r="M352" s="603"/>
      <c r="N352" s="602"/>
      <c r="Z352" s="537" t="s">
        <v>1635</v>
      </c>
    </row>
    <row r="353" spans="1:33" s="536" customFormat="1" x14ac:dyDescent="0.2">
      <c r="A353" s="569"/>
      <c r="B353" s="671"/>
      <c r="C353" s="1823" t="s">
        <v>327</v>
      </c>
      <c r="D353" s="1823"/>
      <c r="E353" s="1823"/>
      <c r="F353" s="573"/>
      <c r="G353" s="573"/>
      <c r="H353" s="573"/>
      <c r="I353" s="573"/>
      <c r="J353" s="572"/>
      <c r="K353" s="573"/>
      <c r="L353" s="572">
        <v>3093.63</v>
      </c>
      <c r="M353" s="601"/>
      <c r="N353" s="570"/>
      <c r="AB353" s="537" t="s">
        <v>327</v>
      </c>
    </row>
    <row r="354" spans="1:33" s="536" customFormat="1" ht="22.5" x14ac:dyDescent="0.2">
      <c r="A354" s="575" t="s">
        <v>761</v>
      </c>
      <c r="B354" s="670" t="s">
        <v>8724</v>
      </c>
      <c r="C354" s="1823" t="s">
        <v>8725</v>
      </c>
      <c r="D354" s="1823"/>
      <c r="E354" s="1823"/>
      <c r="F354" s="573" t="s">
        <v>8726</v>
      </c>
      <c r="G354" s="573"/>
      <c r="H354" s="573"/>
      <c r="I354" s="573" t="s">
        <v>3840</v>
      </c>
      <c r="J354" s="572">
        <v>2088.2399999999998</v>
      </c>
      <c r="K354" s="573"/>
      <c r="L354" s="572">
        <v>5784.42</v>
      </c>
      <c r="M354" s="571"/>
      <c r="N354" s="570"/>
      <c r="W354" s="537" t="s">
        <v>8725</v>
      </c>
    </row>
    <row r="355" spans="1:33" s="536" customFormat="1" x14ac:dyDescent="0.2">
      <c r="A355" s="569"/>
      <c r="B355" s="671"/>
      <c r="C355" s="665" t="s">
        <v>1658</v>
      </c>
      <c r="D355" s="666"/>
      <c r="E355" s="666"/>
      <c r="F355" s="563"/>
      <c r="G355" s="563"/>
      <c r="H355" s="563"/>
      <c r="I355" s="563"/>
      <c r="J355" s="566"/>
      <c r="K355" s="563"/>
      <c r="L355" s="566"/>
      <c r="M355" s="565"/>
      <c r="N355" s="564"/>
    </row>
    <row r="356" spans="1:33" s="536" customFormat="1" x14ac:dyDescent="0.2">
      <c r="A356" s="676"/>
      <c r="B356" s="664"/>
      <c r="C356" s="1822" t="s">
        <v>8727</v>
      </c>
      <c r="D356" s="1822"/>
      <c r="E356" s="1822"/>
      <c r="F356" s="1822"/>
      <c r="G356" s="1822"/>
      <c r="H356" s="1822"/>
      <c r="I356" s="1822"/>
      <c r="J356" s="1822"/>
      <c r="K356" s="1822"/>
      <c r="L356" s="1822"/>
      <c r="M356" s="1822"/>
      <c r="N356" s="1827"/>
      <c r="AG356" s="537" t="s">
        <v>8727</v>
      </c>
    </row>
    <row r="357" spans="1:33" s="536" customFormat="1" ht="22.5" x14ac:dyDescent="0.2">
      <c r="A357" s="575" t="s">
        <v>762</v>
      </c>
      <c r="B357" s="670" t="s">
        <v>8728</v>
      </c>
      <c r="C357" s="1823" t="s">
        <v>8729</v>
      </c>
      <c r="D357" s="1823"/>
      <c r="E357" s="1823"/>
      <c r="F357" s="573" t="s">
        <v>1110</v>
      </c>
      <c r="G357" s="573"/>
      <c r="H357" s="573"/>
      <c r="I357" s="573" t="s">
        <v>186</v>
      </c>
      <c r="J357" s="572"/>
      <c r="K357" s="573"/>
      <c r="L357" s="572"/>
      <c r="M357" s="571"/>
      <c r="N357" s="570"/>
      <c r="W357" s="537" t="s">
        <v>8729</v>
      </c>
    </row>
    <row r="358" spans="1:33" s="536" customFormat="1" x14ac:dyDescent="0.2">
      <c r="A358" s="676"/>
      <c r="B358" s="664"/>
      <c r="C358" s="1822" t="s">
        <v>8730</v>
      </c>
      <c r="D358" s="1822"/>
      <c r="E358" s="1822"/>
      <c r="F358" s="1822"/>
      <c r="G358" s="1822"/>
      <c r="H358" s="1822"/>
      <c r="I358" s="1822"/>
      <c r="J358" s="1822"/>
      <c r="K358" s="1822"/>
      <c r="L358" s="1822"/>
      <c r="M358" s="1822"/>
      <c r="N358" s="1827"/>
      <c r="AG358" s="537" t="s">
        <v>8730</v>
      </c>
    </row>
    <row r="359" spans="1:33" s="536" customFormat="1" ht="33.75" x14ac:dyDescent="0.2">
      <c r="A359" s="609"/>
      <c r="B359" s="552" t="s">
        <v>310</v>
      </c>
      <c r="C359" s="1822" t="s">
        <v>311</v>
      </c>
      <c r="D359" s="1822"/>
      <c r="E359" s="1822"/>
      <c r="F359" s="1822"/>
      <c r="G359" s="1822"/>
      <c r="H359" s="1822"/>
      <c r="I359" s="1822"/>
      <c r="J359" s="1822"/>
      <c r="K359" s="1822"/>
      <c r="L359" s="1822"/>
      <c r="M359" s="1822"/>
      <c r="N359" s="1827"/>
      <c r="X359" s="537" t="s">
        <v>311</v>
      </c>
    </row>
    <row r="360" spans="1:33" s="536" customFormat="1" x14ac:dyDescent="0.2">
      <c r="A360" s="605"/>
      <c r="B360" s="552" t="s">
        <v>185</v>
      </c>
      <c r="C360" s="1822" t="s">
        <v>312</v>
      </c>
      <c r="D360" s="1822"/>
      <c r="E360" s="1822"/>
      <c r="F360" s="562"/>
      <c r="G360" s="562"/>
      <c r="H360" s="562"/>
      <c r="I360" s="562"/>
      <c r="J360" s="604">
        <v>3.85</v>
      </c>
      <c r="K360" s="562" t="s">
        <v>313</v>
      </c>
      <c r="L360" s="604">
        <v>9.6300000000000008</v>
      </c>
      <c r="M360" s="603"/>
      <c r="N360" s="602"/>
      <c r="Y360" s="537" t="s">
        <v>312</v>
      </c>
    </row>
    <row r="361" spans="1:33" s="536" customFormat="1" x14ac:dyDescent="0.2">
      <c r="A361" s="605"/>
      <c r="B361" s="552" t="s">
        <v>186</v>
      </c>
      <c r="C361" s="1822" t="s">
        <v>344</v>
      </c>
      <c r="D361" s="1822"/>
      <c r="E361" s="1822"/>
      <c r="F361" s="562"/>
      <c r="G361" s="562"/>
      <c r="H361" s="562"/>
      <c r="I361" s="562"/>
      <c r="J361" s="604">
        <v>1.31</v>
      </c>
      <c r="K361" s="562" t="s">
        <v>313</v>
      </c>
      <c r="L361" s="604">
        <v>3.28</v>
      </c>
      <c r="M361" s="603"/>
      <c r="N361" s="602"/>
      <c r="Y361" s="537" t="s">
        <v>344</v>
      </c>
    </row>
    <row r="362" spans="1:33" s="536" customFormat="1" x14ac:dyDescent="0.2">
      <c r="A362" s="605"/>
      <c r="B362" s="552" t="s">
        <v>187</v>
      </c>
      <c r="C362" s="1822" t="s">
        <v>345</v>
      </c>
      <c r="D362" s="1822"/>
      <c r="E362" s="1822"/>
      <c r="F362" s="562"/>
      <c r="G362" s="562"/>
      <c r="H362" s="562"/>
      <c r="I362" s="562"/>
      <c r="J362" s="604">
        <v>0.23</v>
      </c>
      <c r="K362" s="562" t="s">
        <v>313</v>
      </c>
      <c r="L362" s="604">
        <v>0.57999999999999996</v>
      </c>
      <c r="M362" s="603"/>
      <c r="N362" s="602"/>
      <c r="Y362" s="537" t="s">
        <v>345</v>
      </c>
    </row>
    <row r="363" spans="1:33" s="536" customFormat="1" x14ac:dyDescent="0.2">
      <c r="A363" s="605"/>
      <c r="B363" s="552" t="s">
        <v>188</v>
      </c>
      <c r="C363" s="1822" t="s">
        <v>475</v>
      </c>
      <c r="D363" s="1822"/>
      <c r="E363" s="1822"/>
      <c r="F363" s="562"/>
      <c r="G363" s="562"/>
      <c r="H363" s="562"/>
      <c r="I363" s="562"/>
      <c r="J363" s="604">
        <v>0.08</v>
      </c>
      <c r="K363" s="562"/>
      <c r="L363" s="604">
        <v>0.16</v>
      </c>
      <c r="M363" s="603"/>
      <c r="N363" s="602"/>
      <c r="Y363" s="537" t="s">
        <v>475</v>
      </c>
    </row>
    <row r="364" spans="1:33" s="536" customFormat="1" x14ac:dyDescent="0.2">
      <c r="A364" s="605"/>
      <c r="B364" s="552"/>
      <c r="C364" s="1822" t="s">
        <v>314</v>
      </c>
      <c r="D364" s="1822"/>
      <c r="E364" s="1822"/>
      <c r="F364" s="562" t="s">
        <v>315</v>
      </c>
      <c r="G364" s="562" t="s">
        <v>8731</v>
      </c>
      <c r="H364" s="562" t="s">
        <v>313</v>
      </c>
      <c r="I364" s="562" t="s">
        <v>1908</v>
      </c>
      <c r="J364" s="604"/>
      <c r="K364" s="562"/>
      <c r="L364" s="604"/>
      <c r="M364" s="603"/>
      <c r="N364" s="602"/>
      <c r="Z364" s="537" t="s">
        <v>314</v>
      </c>
    </row>
    <row r="365" spans="1:33" s="536" customFormat="1" x14ac:dyDescent="0.2">
      <c r="A365" s="605"/>
      <c r="B365" s="552"/>
      <c r="C365" s="1822" t="s">
        <v>348</v>
      </c>
      <c r="D365" s="1822"/>
      <c r="E365" s="1822"/>
      <c r="F365" s="562" t="s">
        <v>315</v>
      </c>
      <c r="G365" s="562" t="s">
        <v>695</v>
      </c>
      <c r="H365" s="562" t="s">
        <v>313</v>
      </c>
      <c r="I365" s="562" t="s">
        <v>856</v>
      </c>
      <c r="J365" s="604"/>
      <c r="K365" s="562"/>
      <c r="L365" s="604"/>
      <c r="M365" s="603"/>
      <c r="N365" s="602"/>
      <c r="Z365" s="537" t="s">
        <v>348</v>
      </c>
    </row>
    <row r="366" spans="1:33" s="536" customFormat="1" x14ac:dyDescent="0.2">
      <c r="A366" s="605"/>
      <c r="B366" s="552"/>
      <c r="C366" s="1828" t="s">
        <v>318</v>
      </c>
      <c r="D366" s="1828"/>
      <c r="E366" s="1828"/>
      <c r="F366" s="608"/>
      <c r="G366" s="608"/>
      <c r="H366" s="608"/>
      <c r="I366" s="608"/>
      <c r="J366" s="607">
        <v>5.24</v>
      </c>
      <c r="K366" s="608"/>
      <c r="L366" s="607">
        <v>13.07</v>
      </c>
      <c r="M366" s="601"/>
      <c r="N366" s="606"/>
      <c r="AA366" s="537" t="s">
        <v>318</v>
      </c>
    </row>
    <row r="367" spans="1:33" s="536" customFormat="1" x14ac:dyDescent="0.2">
      <c r="A367" s="605"/>
      <c r="B367" s="552"/>
      <c r="C367" s="1822" t="s">
        <v>319</v>
      </c>
      <c r="D367" s="1822"/>
      <c r="E367" s="1822"/>
      <c r="F367" s="562"/>
      <c r="G367" s="562"/>
      <c r="H367" s="562"/>
      <c r="I367" s="562"/>
      <c r="J367" s="604"/>
      <c r="K367" s="562"/>
      <c r="L367" s="604">
        <v>10.210000000000001</v>
      </c>
      <c r="M367" s="603"/>
      <c r="N367" s="602"/>
      <c r="Z367" s="537" t="s">
        <v>319</v>
      </c>
    </row>
    <row r="368" spans="1:33" s="536" customFormat="1" ht="33.75" x14ac:dyDescent="0.2">
      <c r="A368" s="605"/>
      <c r="B368" s="552" t="s">
        <v>1631</v>
      </c>
      <c r="C368" s="1822" t="s">
        <v>1632</v>
      </c>
      <c r="D368" s="1822"/>
      <c r="E368" s="1822"/>
      <c r="F368" s="562" t="s">
        <v>322</v>
      </c>
      <c r="G368" s="562" t="s">
        <v>1633</v>
      </c>
      <c r="H368" s="562"/>
      <c r="I368" s="562" t="s">
        <v>1633</v>
      </c>
      <c r="J368" s="604"/>
      <c r="K368" s="562"/>
      <c r="L368" s="604">
        <v>9.9</v>
      </c>
      <c r="M368" s="603"/>
      <c r="N368" s="602"/>
      <c r="Z368" s="537" t="s">
        <v>1632</v>
      </c>
    </row>
    <row r="369" spans="1:33" s="536" customFormat="1" ht="33.75" x14ac:dyDescent="0.2">
      <c r="A369" s="605"/>
      <c r="B369" s="552" t="s">
        <v>1634</v>
      </c>
      <c r="C369" s="1822" t="s">
        <v>1635</v>
      </c>
      <c r="D369" s="1822"/>
      <c r="E369" s="1822"/>
      <c r="F369" s="562" t="s">
        <v>322</v>
      </c>
      <c r="G369" s="562" t="s">
        <v>786</v>
      </c>
      <c r="H369" s="562"/>
      <c r="I369" s="562" t="s">
        <v>786</v>
      </c>
      <c r="J369" s="604"/>
      <c r="K369" s="562"/>
      <c r="L369" s="604">
        <v>5.21</v>
      </c>
      <c r="M369" s="603"/>
      <c r="N369" s="602"/>
      <c r="Z369" s="537" t="s">
        <v>1635</v>
      </c>
    </row>
    <row r="370" spans="1:33" s="536" customFormat="1" x14ac:dyDescent="0.2">
      <c r="A370" s="569"/>
      <c r="B370" s="671"/>
      <c r="C370" s="1823" t="s">
        <v>327</v>
      </c>
      <c r="D370" s="1823"/>
      <c r="E370" s="1823"/>
      <c r="F370" s="573"/>
      <c r="G370" s="573"/>
      <c r="H370" s="573"/>
      <c r="I370" s="573"/>
      <c r="J370" s="572"/>
      <c r="K370" s="573"/>
      <c r="L370" s="572">
        <v>28.18</v>
      </c>
      <c r="M370" s="601"/>
      <c r="N370" s="570"/>
      <c r="AB370" s="537" t="s">
        <v>327</v>
      </c>
    </row>
    <row r="371" spans="1:33" s="536" customFormat="1" ht="22.5" x14ac:dyDescent="0.2">
      <c r="A371" s="575" t="s">
        <v>763</v>
      </c>
      <c r="B371" s="670" t="s">
        <v>8732</v>
      </c>
      <c r="C371" s="1823" t="s">
        <v>8733</v>
      </c>
      <c r="D371" s="1823"/>
      <c r="E371" s="1823"/>
      <c r="F371" s="573" t="s">
        <v>617</v>
      </c>
      <c r="G371" s="573"/>
      <c r="H371" s="573"/>
      <c r="I371" s="573" t="s">
        <v>186</v>
      </c>
      <c r="J371" s="572">
        <v>376.94</v>
      </c>
      <c r="K371" s="573"/>
      <c r="L371" s="572">
        <v>753.88</v>
      </c>
      <c r="M371" s="571"/>
      <c r="N371" s="570"/>
      <c r="W371" s="537" t="s">
        <v>8733</v>
      </c>
    </row>
    <row r="372" spans="1:33" s="536" customFormat="1" x14ac:dyDescent="0.2">
      <c r="A372" s="569"/>
      <c r="B372" s="671"/>
      <c r="C372" s="665" t="s">
        <v>1658</v>
      </c>
      <c r="D372" s="666"/>
      <c r="E372" s="666"/>
      <c r="F372" s="563"/>
      <c r="G372" s="563"/>
      <c r="H372" s="563"/>
      <c r="I372" s="563"/>
      <c r="J372" s="566"/>
      <c r="K372" s="563"/>
      <c r="L372" s="566"/>
      <c r="M372" s="565"/>
      <c r="N372" s="564"/>
    </row>
    <row r="373" spans="1:33" s="536" customFormat="1" ht="33.75" x14ac:dyDescent="0.2">
      <c r="A373" s="575" t="s">
        <v>922</v>
      </c>
      <c r="B373" s="670" t="s">
        <v>8734</v>
      </c>
      <c r="C373" s="1823" t="s">
        <v>8735</v>
      </c>
      <c r="D373" s="1823"/>
      <c r="E373" s="1823"/>
      <c r="F373" s="573" t="s">
        <v>1110</v>
      </c>
      <c r="G373" s="573"/>
      <c r="H373" s="573"/>
      <c r="I373" s="573" t="s">
        <v>8736</v>
      </c>
      <c r="J373" s="572"/>
      <c r="K373" s="573"/>
      <c r="L373" s="572"/>
      <c r="M373" s="571"/>
      <c r="N373" s="570"/>
      <c r="W373" s="537" t="s">
        <v>8735</v>
      </c>
    </row>
    <row r="374" spans="1:33" s="536" customFormat="1" x14ac:dyDescent="0.2">
      <c r="A374" s="676"/>
      <c r="B374" s="664"/>
      <c r="C374" s="1822" t="s">
        <v>8737</v>
      </c>
      <c r="D374" s="1822"/>
      <c r="E374" s="1822"/>
      <c r="F374" s="1822"/>
      <c r="G374" s="1822"/>
      <c r="H374" s="1822"/>
      <c r="I374" s="1822"/>
      <c r="J374" s="1822"/>
      <c r="K374" s="1822"/>
      <c r="L374" s="1822"/>
      <c r="M374" s="1822"/>
      <c r="N374" s="1827"/>
      <c r="AG374" s="537" t="s">
        <v>8737</v>
      </c>
    </row>
    <row r="375" spans="1:33" s="536" customFormat="1" ht="33.75" x14ac:dyDescent="0.2">
      <c r="A375" s="609"/>
      <c r="B375" s="552" t="s">
        <v>310</v>
      </c>
      <c r="C375" s="1822" t="s">
        <v>311</v>
      </c>
      <c r="D375" s="1822"/>
      <c r="E375" s="1822"/>
      <c r="F375" s="1822"/>
      <c r="G375" s="1822"/>
      <c r="H375" s="1822"/>
      <c r="I375" s="1822"/>
      <c r="J375" s="1822"/>
      <c r="K375" s="1822"/>
      <c r="L375" s="1822"/>
      <c r="M375" s="1822"/>
      <c r="N375" s="1827"/>
      <c r="X375" s="537" t="s">
        <v>311</v>
      </c>
    </row>
    <row r="376" spans="1:33" s="536" customFormat="1" x14ac:dyDescent="0.2">
      <c r="A376" s="605"/>
      <c r="B376" s="552" t="s">
        <v>185</v>
      </c>
      <c r="C376" s="1822" t="s">
        <v>312</v>
      </c>
      <c r="D376" s="1822"/>
      <c r="E376" s="1822"/>
      <c r="F376" s="562"/>
      <c r="G376" s="562"/>
      <c r="H376" s="562"/>
      <c r="I376" s="562"/>
      <c r="J376" s="604">
        <v>278.99</v>
      </c>
      <c r="K376" s="562" t="s">
        <v>313</v>
      </c>
      <c r="L376" s="604">
        <v>1217.0899999999999</v>
      </c>
      <c r="M376" s="603"/>
      <c r="N376" s="602"/>
      <c r="Y376" s="537" t="s">
        <v>312</v>
      </c>
    </row>
    <row r="377" spans="1:33" s="536" customFormat="1" x14ac:dyDescent="0.2">
      <c r="A377" s="605"/>
      <c r="B377" s="552" t="s">
        <v>186</v>
      </c>
      <c r="C377" s="1822" t="s">
        <v>344</v>
      </c>
      <c r="D377" s="1822"/>
      <c r="E377" s="1822"/>
      <c r="F377" s="562"/>
      <c r="G377" s="562"/>
      <c r="H377" s="562"/>
      <c r="I377" s="562"/>
      <c r="J377" s="604">
        <v>90.04</v>
      </c>
      <c r="K377" s="562" t="s">
        <v>313</v>
      </c>
      <c r="L377" s="604">
        <v>392.8</v>
      </c>
      <c r="M377" s="603"/>
      <c r="N377" s="602"/>
      <c r="Y377" s="537" t="s">
        <v>344</v>
      </c>
    </row>
    <row r="378" spans="1:33" s="536" customFormat="1" x14ac:dyDescent="0.2">
      <c r="A378" s="605"/>
      <c r="B378" s="552" t="s">
        <v>187</v>
      </c>
      <c r="C378" s="1822" t="s">
        <v>345</v>
      </c>
      <c r="D378" s="1822"/>
      <c r="E378" s="1822"/>
      <c r="F378" s="562"/>
      <c r="G378" s="562"/>
      <c r="H378" s="562"/>
      <c r="I378" s="562"/>
      <c r="J378" s="604">
        <v>5.0199999999999996</v>
      </c>
      <c r="K378" s="562" t="s">
        <v>313</v>
      </c>
      <c r="L378" s="604">
        <v>21.9</v>
      </c>
      <c r="M378" s="603"/>
      <c r="N378" s="602"/>
      <c r="Y378" s="537" t="s">
        <v>345</v>
      </c>
    </row>
    <row r="379" spans="1:33" s="536" customFormat="1" x14ac:dyDescent="0.2">
      <c r="A379" s="605"/>
      <c r="B379" s="552" t="s">
        <v>188</v>
      </c>
      <c r="C379" s="1822" t="s">
        <v>475</v>
      </c>
      <c r="D379" s="1822"/>
      <c r="E379" s="1822"/>
      <c r="F379" s="562"/>
      <c r="G379" s="562"/>
      <c r="H379" s="562"/>
      <c r="I379" s="562"/>
      <c r="J379" s="604">
        <v>37.630000000000003</v>
      </c>
      <c r="K379" s="562"/>
      <c r="L379" s="604">
        <v>131.33000000000001</v>
      </c>
      <c r="M379" s="603"/>
      <c r="N379" s="602"/>
      <c r="Y379" s="537" t="s">
        <v>475</v>
      </c>
    </row>
    <row r="380" spans="1:33" s="536" customFormat="1" x14ac:dyDescent="0.2">
      <c r="A380" s="605"/>
      <c r="B380" s="552"/>
      <c r="C380" s="1822" t="s">
        <v>314</v>
      </c>
      <c r="D380" s="1822"/>
      <c r="E380" s="1822"/>
      <c r="F380" s="562" t="s">
        <v>315</v>
      </c>
      <c r="G380" s="562" t="s">
        <v>4532</v>
      </c>
      <c r="H380" s="562" t="s">
        <v>313</v>
      </c>
      <c r="I380" s="562" t="s">
        <v>8738</v>
      </c>
      <c r="J380" s="604"/>
      <c r="K380" s="562"/>
      <c r="L380" s="604"/>
      <c r="M380" s="603"/>
      <c r="N380" s="602"/>
      <c r="Z380" s="537" t="s">
        <v>314</v>
      </c>
    </row>
    <row r="381" spans="1:33" s="536" customFormat="1" x14ac:dyDescent="0.2">
      <c r="A381" s="605"/>
      <c r="B381" s="552"/>
      <c r="C381" s="1822" t="s">
        <v>348</v>
      </c>
      <c r="D381" s="1822"/>
      <c r="E381" s="1822"/>
      <c r="F381" s="562" t="s">
        <v>315</v>
      </c>
      <c r="G381" s="562" t="s">
        <v>947</v>
      </c>
      <c r="H381" s="562" t="s">
        <v>313</v>
      </c>
      <c r="I381" s="562" t="s">
        <v>8739</v>
      </c>
      <c r="J381" s="604"/>
      <c r="K381" s="562"/>
      <c r="L381" s="604"/>
      <c r="M381" s="603"/>
      <c r="N381" s="602"/>
      <c r="Z381" s="537" t="s">
        <v>348</v>
      </c>
    </row>
    <row r="382" spans="1:33" s="536" customFormat="1" x14ac:dyDescent="0.2">
      <c r="A382" s="605"/>
      <c r="B382" s="552"/>
      <c r="C382" s="1828" t="s">
        <v>318</v>
      </c>
      <c r="D382" s="1828"/>
      <c r="E382" s="1828"/>
      <c r="F382" s="608"/>
      <c r="G382" s="608"/>
      <c r="H382" s="608"/>
      <c r="I382" s="608"/>
      <c r="J382" s="607">
        <v>406.66</v>
      </c>
      <c r="K382" s="608"/>
      <c r="L382" s="607">
        <v>1741.22</v>
      </c>
      <c r="M382" s="601"/>
      <c r="N382" s="606"/>
      <c r="AA382" s="537" t="s">
        <v>318</v>
      </c>
    </row>
    <row r="383" spans="1:33" s="536" customFormat="1" x14ac:dyDescent="0.2">
      <c r="A383" s="605"/>
      <c r="B383" s="552"/>
      <c r="C383" s="1822" t="s">
        <v>319</v>
      </c>
      <c r="D383" s="1822"/>
      <c r="E383" s="1822"/>
      <c r="F383" s="562"/>
      <c r="G383" s="562"/>
      <c r="H383" s="562"/>
      <c r="I383" s="562"/>
      <c r="J383" s="604"/>
      <c r="K383" s="562"/>
      <c r="L383" s="604">
        <v>1238.99</v>
      </c>
      <c r="M383" s="603"/>
      <c r="N383" s="602"/>
      <c r="Z383" s="537" t="s">
        <v>319</v>
      </c>
    </row>
    <row r="384" spans="1:33" s="536" customFormat="1" ht="33.75" x14ac:dyDescent="0.2">
      <c r="A384" s="605"/>
      <c r="B384" s="552" t="s">
        <v>1631</v>
      </c>
      <c r="C384" s="1822" t="s">
        <v>1632</v>
      </c>
      <c r="D384" s="1822"/>
      <c r="E384" s="1822"/>
      <c r="F384" s="562" t="s">
        <v>322</v>
      </c>
      <c r="G384" s="562" t="s">
        <v>1633</v>
      </c>
      <c r="H384" s="562"/>
      <c r="I384" s="562" t="s">
        <v>1633</v>
      </c>
      <c r="J384" s="604"/>
      <c r="K384" s="562"/>
      <c r="L384" s="604">
        <v>1201.82</v>
      </c>
      <c r="M384" s="603"/>
      <c r="N384" s="602"/>
      <c r="Z384" s="537" t="s">
        <v>1632</v>
      </c>
    </row>
    <row r="385" spans="1:34" s="536" customFormat="1" ht="33.75" x14ac:dyDescent="0.2">
      <c r="A385" s="605"/>
      <c r="B385" s="552" t="s">
        <v>1634</v>
      </c>
      <c r="C385" s="1822" t="s">
        <v>1635</v>
      </c>
      <c r="D385" s="1822"/>
      <c r="E385" s="1822"/>
      <c r="F385" s="562" t="s">
        <v>322</v>
      </c>
      <c r="G385" s="562" t="s">
        <v>786</v>
      </c>
      <c r="H385" s="562"/>
      <c r="I385" s="562" t="s">
        <v>786</v>
      </c>
      <c r="J385" s="604"/>
      <c r="K385" s="562"/>
      <c r="L385" s="604">
        <v>631.88</v>
      </c>
      <c r="M385" s="603"/>
      <c r="N385" s="602"/>
      <c r="Z385" s="537" t="s">
        <v>1635</v>
      </c>
    </row>
    <row r="386" spans="1:34" s="536" customFormat="1" x14ac:dyDescent="0.2">
      <c r="A386" s="569"/>
      <c r="B386" s="671"/>
      <c r="C386" s="1823" t="s">
        <v>327</v>
      </c>
      <c r="D386" s="1823"/>
      <c r="E386" s="1823"/>
      <c r="F386" s="573"/>
      <c r="G386" s="573"/>
      <c r="H386" s="573"/>
      <c r="I386" s="573"/>
      <c r="J386" s="572"/>
      <c r="K386" s="573"/>
      <c r="L386" s="572">
        <v>3574.92</v>
      </c>
      <c r="M386" s="601"/>
      <c r="N386" s="570"/>
      <c r="AB386" s="537" t="s">
        <v>327</v>
      </c>
    </row>
    <row r="387" spans="1:34" s="536" customFormat="1" ht="56.25" x14ac:dyDescent="0.2">
      <c r="A387" s="575" t="s">
        <v>765</v>
      </c>
      <c r="B387" s="670" t="s">
        <v>8710</v>
      </c>
      <c r="C387" s="1823" t="s">
        <v>8711</v>
      </c>
      <c r="D387" s="1823"/>
      <c r="E387" s="1823"/>
      <c r="F387" s="573" t="s">
        <v>483</v>
      </c>
      <c r="G387" s="573"/>
      <c r="H387" s="573"/>
      <c r="I387" s="573" t="s">
        <v>8740</v>
      </c>
      <c r="J387" s="572">
        <v>7713.64</v>
      </c>
      <c r="K387" s="573" t="s">
        <v>716</v>
      </c>
      <c r="L387" s="572">
        <v>500146.43</v>
      </c>
      <c r="M387" s="571">
        <v>5.6</v>
      </c>
      <c r="N387" s="570">
        <v>2800820</v>
      </c>
      <c r="W387" s="537" t="s">
        <v>8711</v>
      </c>
    </row>
    <row r="388" spans="1:34" s="536" customFormat="1" x14ac:dyDescent="0.2">
      <c r="A388" s="569"/>
      <c r="B388" s="671"/>
      <c r="C388" s="665" t="s">
        <v>1658</v>
      </c>
      <c r="D388" s="666"/>
      <c r="E388" s="666"/>
      <c r="F388" s="563"/>
      <c r="G388" s="563"/>
      <c r="H388" s="563"/>
      <c r="I388" s="563"/>
      <c r="J388" s="566"/>
      <c r="K388" s="563"/>
      <c r="L388" s="566"/>
      <c r="M388" s="565"/>
      <c r="N388" s="564"/>
    </row>
    <row r="389" spans="1:34" s="536" customFormat="1" x14ac:dyDescent="0.2">
      <c r="A389" s="676"/>
      <c r="B389" s="664"/>
      <c r="C389" s="1822" t="s">
        <v>8741</v>
      </c>
      <c r="D389" s="1822"/>
      <c r="E389" s="1822"/>
      <c r="F389" s="1822"/>
      <c r="G389" s="1822"/>
      <c r="H389" s="1822"/>
      <c r="I389" s="1822"/>
      <c r="J389" s="1822"/>
      <c r="K389" s="1822"/>
      <c r="L389" s="1822"/>
      <c r="M389" s="1822"/>
      <c r="N389" s="1827"/>
      <c r="AG389" s="537" t="s">
        <v>8741</v>
      </c>
    </row>
    <row r="390" spans="1:34" s="536" customFormat="1" x14ac:dyDescent="0.2">
      <c r="A390" s="676"/>
      <c r="B390" s="664"/>
      <c r="C390" s="1822" t="s">
        <v>8714</v>
      </c>
      <c r="D390" s="1822"/>
      <c r="E390" s="1822"/>
      <c r="F390" s="1822"/>
      <c r="G390" s="1822"/>
      <c r="H390" s="1822"/>
      <c r="I390" s="1822"/>
      <c r="J390" s="1822"/>
      <c r="K390" s="1822"/>
      <c r="L390" s="1822"/>
      <c r="M390" s="1822"/>
      <c r="N390" s="1827"/>
      <c r="AH390" s="537" t="s">
        <v>8714</v>
      </c>
    </row>
    <row r="391" spans="1:34" s="536" customFormat="1" ht="22.5" x14ac:dyDescent="0.2">
      <c r="A391" s="609"/>
      <c r="B391" s="552" t="s">
        <v>718</v>
      </c>
      <c r="C391" s="1822" t="s">
        <v>719</v>
      </c>
      <c r="D391" s="1822"/>
      <c r="E391" s="1822"/>
      <c r="F391" s="1822"/>
      <c r="G391" s="1822"/>
      <c r="H391" s="1822"/>
      <c r="I391" s="1822"/>
      <c r="J391" s="1822"/>
      <c r="K391" s="1822"/>
      <c r="L391" s="1822"/>
      <c r="M391" s="1822"/>
      <c r="N391" s="1827"/>
      <c r="X391" s="537" t="s">
        <v>719</v>
      </c>
    </row>
    <row r="392" spans="1:34" s="536" customFormat="1" ht="22.5" x14ac:dyDescent="0.2">
      <c r="A392" s="575" t="s">
        <v>505</v>
      </c>
      <c r="B392" s="670" t="s">
        <v>3791</v>
      </c>
      <c r="C392" s="1823" t="s">
        <v>3792</v>
      </c>
      <c r="D392" s="1823"/>
      <c r="E392" s="1823"/>
      <c r="F392" s="573" t="s">
        <v>3793</v>
      </c>
      <c r="G392" s="573"/>
      <c r="H392" s="573"/>
      <c r="I392" s="573" t="s">
        <v>856</v>
      </c>
      <c r="J392" s="572"/>
      <c r="K392" s="573"/>
      <c r="L392" s="572"/>
      <c r="M392" s="571"/>
      <c r="N392" s="570"/>
      <c r="W392" s="537" t="s">
        <v>3792</v>
      </c>
    </row>
    <row r="393" spans="1:34" s="536" customFormat="1" x14ac:dyDescent="0.2">
      <c r="A393" s="676"/>
      <c r="B393" s="664"/>
      <c r="C393" s="1822" t="s">
        <v>8742</v>
      </c>
      <c r="D393" s="1822"/>
      <c r="E393" s="1822"/>
      <c r="F393" s="1822"/>
      <c r="G393" s="1822"/>
      <c r="H393" s="1822"/>
      <c r="I393" s="1822"/>
      <c r="J393" s="1822"/>
      <c r="K393" s="1822"/>
      <c r="L393" s="1822"/>
      <c r="M393" s="1822"/>
      <c r="N393" s="1827"/>
      <c r="AG393" s="537" t="s">
        <v>8742</v>
      </c>
    </row>
    <row r="394" spans="1:34" s="536" customFormat="1" ht="33.75" x14ac:dyDescent="0.2">
      <c r="A394" s="609"/>
      <c r="B394" s="552" t="s">
        <v>310</v>
      </c>
      <c r="C394" s="1822" t="s">
        <v>311</v>
      </c>
      <c r="D394" s="1822"/>
      <c r="E394" s="1822"/>
      <c r="F394" s="1822"/>
      <c r="G394" s="1822"/>
      <c r="H394" s="1822"/>
      <c r="I394" s="1822"/>
      <c r="J394" s="1822"/>
      <c r="K394" s="1822"/>
      <c r="L394" s="1822"/>
      <c r="M394" s="1822"/>
      <c r="N394" s="1827"/>
      <c r="X394" s="537" t="s">
        <v>311</v>
      </c>
    </row>
    <row r="395" spans="1:34" s="536" customFormat="1" x14ac:dyDescent="0.2">
      <c r="A395" s="605"/>
      <c r="B395" s="552" t="s">
        <v>185</v>
      </c>
      <c r="C395" s="1822" t="s">
        <v>312</v>
      </c>
      <c r="D395" s="1822"/>
      <c r="E395" s="1822"/>
      <c r="F395" s="562"/>
      <c r="G395" s="562"/>
      <c r="H395" s="562"/>
      <c r="I395" s="562"/>
      <c r="J395" s="604">
        <v>1125.18</v>
      </c>
      <c r="K395" s="562" t="s">
        <v>313</v>
      </c>
      <c r="L395" s="604">
        <v>70.319999999999993</v>
      </c>
      <c r="M395" s="603"/>
      <c r="N395" s="602"/>
      <c r="Y395" s="537" t="s">
        <v>312</v>
      </c>
    </row>
    <row r="396" spans="1:34" s="536" customFormat="1" x14ac:dyDescent="0.2">
      <c r="A396" s="605"/>
      <c r="B396" s="552" t="s">
        <v>188</v>
      </c>
      <c r="C396" s="1822" t="s">
        <v>475</v>
      </c>
      <c r="D396" s="1822"/>
      <c r="E396" s="1822"/>
      <c r="F396" s="562"/>
      <c r="G396" s="562"/>
      <c r="H396" s="562"/>
      <c r="I396" s="562"/>
      <c r="J396" s="604">
        <v>63068.02</v>
      </c>
      <c r="K396" s="562"/>
      <c r="L396" s="604">
        <v>3.4</v>
      </c>
      <c r="M396" s="603"/>
      <c r="N396" s="602"/>
      <c r="Y396" s="537" t="s">
        <v>475</v>
      </c>
    </row>
    <row r="397" spans="1:34" s="536" customFormat="1" x14ac:dyDescent="0.2">
      <c r="A397" s="605"/>
      <c r="B397" s="552"/>
      <c r="C397" s="1822" t="s">
        <v>314</v>
      </c>
      <c r="D397" s="1822"/>
      <c r="E397" s="1822"/>
      <c r="F397" s="562" t="s">
        <v>315</v>
      </c>
      <c r="G397" s="562" t="s">
        <v>3794</v>
      </c>
      <c r="H397" s="562" t="s">
        <v>313</v>
      </c>
      <c r="I397" s="562" t="s">
        <v>8743</v>
      </c>
      <c r="J397" s="604"/>
      <c r="K397" s="562"/>
      <c r="L397" s="604"/>
      <c r="M397" s="603"/>
      <c r="N397" s="602"/>
      <c r="Z397" s="537" t="s">
        <v>314</v>
      </c>
    </row>
    <row r="398" spans="1:34" s="536" customFormat="1" x14ac:dyDescent="0.2">
      <c r="A398" s="605"/>
      <c r="B398" s="552"/>
      <c r="C398" s="1828" t="s">
        <v>318</v>
      </c>
      <c r="D398" s="1828"/>
      <c r="E398" s="1828"/>
      <c r="F398" s="608"/>
      <c r="G398" s="608"/>
      <c r="H398" s="608"/>
      <c r="I398" s="608"/>
      <c r="J398" s="607">
        <v>1193.2</v>
      </c>
      <c r="K398" s="608"/>
      <c r="L398" s="607">
        <v>73.72</v>
      </c>
      <c r="M398" s="601"/>
      <c r="N398" s="606"/>
      <c r="AA398" s="537" t="s">
        <v>318</v>
      </c>
    </row>
    <row r="399" spans="1:34" s="536" customFormat="1" x14ac:dyDescent="0.2">
      <c r="A399" s="605"/>
      <c r="B399" s="552"/>
      <c r="C399" s="1822" t="s">
        <v>319</v>
      </c>
      <c r="D399" s="1822"/>
      <c r="E399" s="1822"/>
      <c r="F399" s="562"/>
      <c r="G399" s="562"/>
      <c r="H399" s="562"/>
      <c r="I399" s="562"/>
      <c r="J399" s="604"/>
      <c r="K399" s="562"/>
      <c r="L399" s="604">
        <v>70.319999999999993</v>
      </c>
      <c r="M399" s="603"/>
      <c r="N399" s="602"/>
      <c r="Z399" s="537" t="s">
        <v>319</v>
      </c>
    </row>
    <row r="400" spans="1:34" s="536" customFormat="1" ht="33.75" x14ac:dyDescent="0.2">
      <c r="A400" s="605"/>
      <c r="B400" s="552" t="s">
        <v>741</v>
      </c>
      <c r="C400" s="1822" t="s">
        <v>742</v>
      </c>
      <c r="D400" s="1822"/>
      <c r="E400" s="1822"/>
      <c r="F400" s="562" t="s">
        <v>322</v>
      </c>
      <c r="G400" s="562" t="s">
        <v>743</v>
      </c>
      <c r="H400" s="562"/>
      <c r="I400" s="562" t="s">
        <v>743</v>
      </c>
      <c r="J400" s="604"/>
      <c r="K400" s="562"/>
      <c r="L400" s="604">
        <v>68.91</v>
      </c>
      <c r="M400" s="603"/>
      <c r="N400" s="602"/>
      <c r="Z400" s="537" t="s">
        <v>742</v>
      </c>
    </row>
    <row r="401" spans="1:33" s="536" customFormat="1" ht="33.75" x14ac:dyDescent="0.2">
      <c r="A401" s="605"/>
      <c r="B401" s="552" t="s">
        <v>744</v>
      </c>
      <c r="C401" s="1822" t="s">
        <v>745</v>
      </c>
      <c r="D401" s="1822"/>
      <c r="E401" s="1822"/>
      <c r="F401" s="562" t="s">
        <v>322</v>
      </c>
      <c r="G401" s="562" t="s">
        <v>690</v>
      </c>
      <c r="H401" s="562"/>
      <c r="I401" s="562" t="s">
        <v>690</v>
      </c>
      <c r="J401" s="604"/>
      <c r="K401" s="562"/>
      <c r="L401" s="604">
        <v>40.79</v>
      </c>
      <c r="M401" s="603"/>
      <c r="N401" s="602"/>
      <c r="Z401" s="537" t="s">
        <v>745</v>
      </c>
    </row>
    <row r="402" spans="1:33" s="536" customFormat="1" x14ac:dyDescent="0.2">
      <c r="A402" s="569"/>
      <c r="B402" s="671"/>
      <c r="C402" s="1823" t="s">
        <v>327</v>
      </c>
      <c r="D402" s="1823"/>
      <c r="E402" s="1823"/>
      <c r="F402" s="573"/>
      <c r="G402" s="573"/>
      <c r="H402" s="573"/>
      <c r="I402" s="573"/>
      <c r="J402" s="572"/>
      <c r="K402" s="573"/>
      <c r="L402" s="572">
        <v>183.42</v>
      </c>
      <c r="M402" s="601"/>
      <c r="N402" s="570"/>
      <c r="AB402" s="537" t="s">
        <v>327</v>
      </c>
    </row>
    <row r="403" spans="1:33" s="536" customFormat="1" ht="33.75" x14ac:dyDescent="0.2">
      <c r="A403" s="575" t="s">
        <v>767</v>
      </c>
      <c r="B403" s="670" t="s">
        <v>1095</v>
      </c>
      <c r="C403" s="1823" t="s">
        <v>1096</v>
      </c>
      <c r="D403" s="1823"/>
      <c r="E403" s="1823"/>
      <c r="F403" s="573" t="s">
        <v>641</v>
      </c>
      <c r="G403" s="573"/>
      <c r="H403" s="573"/>
      <c r="I403" s="573" t="s">
        <v>8744</v>
      </c>
      <c r="J403" s="572">
        <v>55.26</v>
      </c>
      <c r="K403" s="573"/>
      <c r="L403" s="572">
        <v>483.86</v>
      </c>
      <c r="M403" s="571"/>
      <c r="N403" s="570"/>
      <c r="W403" s="537" t="s">
        <v>1096</v>
      </c>
    </row>
    <row r="404" spans="1:33" s="536" customFormat="1" x14ac:dyDescent="0.2">
      <c r="A404" s="569"/>
      <c r="B404" s="671"/>
      <c r="C404" s="665" t="s">
        <v>1658</v>
      </c>
      <c r="D404" s="666"/>
      <c r="E404" s="666"/>
      <c r="F404" s="563"/>
      <c r="G404" s="563"/>
      <c r="H404" s="563"/>
      <c r="I404" s="563"/>
      <c r="J404" s="566"/>
      <c r="K404" s="563"/>
      <c r="L404" s="566"/>
      <c r="M404" s="565"/>
      <c r="N404" s="564"/>
    </row>
    <row r="405" spans="1:33" s="536" customFormat="1" x14ac:dyDescent="0.2">
      <c r="A405" s="676"/>
      <c r="B405" s="664"/>
      <c r="C405" s="1822" t="s">
        <v>8745</v>
      </c>
      <c r="D405" s="1822"/>
      <c r="E405" s="1822"/>
      <c r="F405" s="1822"/>
      <c r="G405" s="1822"/>
      <c r="H405" s="1822"/>
      <c r="I405" s="1822"/>
      <c r="J405" s="1822"/>
      <c r="K405" s="1822"/>
      <c r="L405" s="1822"/>
      <c r="M405" s="1822"/>
      <c r="N405" s="1827"/>
      <c r="AG405" s="537" t="s">
        <v>8745</v>
      </c>
    </row>
    <row r="406" spans="1:33" s="536" customFormat="1" ht="33.75" x14ac:dyDescent="0.2">
      <c r="A406" s="575" t="s">
        <v>768</v>
      </c>
      <c r="B406" s="670" t="s">
        <v>8746</v>
      </c>
      <c r="C406" s="1823" t="s">
        <v>8747</v>
      </c>
      <c r="D406" s="1823"/>
      <c r="E406" s="1823"/>
      <c r="F406" s="573" t="s">
        <v>483</v>
      </c>
      <c r="G406" s="573"/>
      <c r="H406" s="573"/>
      <c r="I406" s="573" t="s">
        <v>786</v>
      </c>
      <c r="J406" s="572">
        <v>231.6</v>
      </c>
      <c r="K406" s="573"/>
      <c r="L406" s="572">
        <v>11811.6</v>
      </c>
      <c r="M406" s="571"/>
      <c r="N406" s="570"/>
      <c r="W406" s="537" t="s">
        <v>8747</v>
      </c>
    </row>
    <row r="407" spans="1:33" s="536" customFormat="1" x14ac:dyDescent="0.2">
      <c r="A407" s="569"/>
      <c r="B407" s="671"/>
      <c r="C407" s="665" t="s">
        <v>1658</v>
      </c>
      <c r="D407" s="666"/>
      <c r="E407" s="666"/>
      <c r="F407" s="563"/>
      <c r="G407" s="563"/>
      <c r="H407" s="563"/>
      <c r="I407" s="563"/>
      <c r="J407" s="566"/>
      <c r="K407" s="563"/>
      <c r="L407" s="566"/>
      <c r="M407" s="565"/>
      <c r="N407" s="564"/>
    </row>
    <row r="408" spans="1:33" s="536" customFormat="1" x14ac:dyDescent="0.2">
      <c r="A408" s="676"/>
      <c r="B408" s="664"/>
      <c r="C408" s="1822" t="s">
        <v>8242</v>
      </c>
      <c r="D408" s="1822"/>
      <c r="E408" s="1822"/>
      <c r="F408" s="1822"/>
      <c r="G408" s="1822"/>
      <c r="H408" s="1822"/>
      <c r="I408" s="1822"/>
      <c r="J408" s="1822"/>
      <c r="K408" s="1822"/>
      <c r="L408" s="1822"/>
      <c r="M408" s="1822"/>
      <c r="N408" s="1827"/>
      <c r="AG408" s="537" t="s">
        <v>8242</v>
      </c>
    </row>
    <row r="409" spans="1:33" s="536" customFormat="1" ht="22.5" x14ac:dyDescent="0.2">
      <c r="A409" s="575" t="s">
        <v>769</v>
      </c>
      <c r="B409" s="670" t="s">
        <v>5520</v>
      </c>
      <c r="C409" s="1823" t="s">
        <v>5521</v>
      </c>
      <c r="D409" s="1823"/>
      <c r="E409" s="1823"/>
      <c r="F409" s="573" t="s">
        <v>1110</v>
      </c>
      <c r="G409" s="573"/>
      <c r="H409" s="573"/>
      <c r="I409" s="573" t="s">
        <v>4517</v>
      </c>
      <c r="J409" s="572"/>
      <c r="K409" s="573"/>
      <c r="L409" s="572"/>
      <c r="M409" s="571"/>
      <c r="N409" s="570"/>
      <c r="W409" s="537" t="s">
        <v>5521</v>
      </c>
    </row>
    <row r="410" spans="1:33" s="536" customFormat="1" x14ac:dyDescent="0.2">
      <c r="A410" s="676"/>
      <c r="B410" s="664"/>
      <c r="C410" s="1822" t="s">
        <v>8748</v>
      </c>
      <c r="D410" s="1822"/>
      <c r="E410" s="1822"/>
      <c r="F410" s="1822"/>
      <c r="G410" s="1822"/>
      <c r="H410" s="1822"/>
      <c r="I410" s="1822"/>
      <c r="J410" s="1822"/>
      <c r="K410" s="1822"/>
      <c r="L410" s="1822"/>
      <c r="M410" s="1822"/>
      <c r="N410" s="1827"/>
      <c r="AG410" s="537" t="s">
        <v>8748</v>
      </c>
    </row>
    <row r="411" spans="1:33" s="536" customFormat="1" ht="33.75" x14ac:dyDescent="0.2">
      <c r="A411" s="609"/>
      <c r="B411" s="552" t="s">
        <v>310</v>
      </c>
      <c r="C411" s="1822" t="s">
        <v>311</v>
      </c>
      <c r="D411" s="1822"/>
      <c r="E411" s="1822"/>
      <c r="F411" s="1822"/>
      <c r="G411" s="1822"/>
      <c r="H411" s="1822"/>
      <c r="I411" s="1822"/>
      <c r="J411" s="1822"/>
      <c r="K411" s="1822"/>
      <c r="L411" s="1822"/>
      <c r="M411" s="1822"/>
      <c r="N411" s="1827"/>
      <c r="X411" s="537" t="s">
        <v>311</v>
      </c>
    </row>
    <row r="412" spans="1:33" s="536" customFormat="1" x14ac:dyDescent="0.2">
      <c r="A412" s="605"/>
      <c r="B412" s="552" t="s">
        <v>185</v>
      </c>
      <c r="C412" s="1822" t="s">
        <v>312</v>
      </c>
      <c r="D412" s="1822"/>
      <c r="E412" s="1822"/>
      <c r="F412" s="562"/>
      <c r="G412" s="562"/>
      <c r="H412" s="562"/>
      <c r="I412" s="562"/>
      <c r="J412" s="604">
        <v>216.58</v>
      </c>
      <c r="K412" s="562" t="s">
        <v>313</v>
      </c>
      <c r="L412" s="604">
        <v>419.62</v>
      </c>
      <c r="M412" s="603"/>
      <c r="N412" s="602"/>
      <c r="Y412" s="537" t="s">
        <v>312</v>
      </c>
    </row>
    <row r="413" spans="1:33" s="536" customFormat="1" x14ac:dyDescent="0.2">
      <c r="A413" s="605"/>
      <c r="B413" s="552" t="s">
        <v>186</v>
      </c>
      <c r="C413" s="1822" t="s">
        <v>344</v>
      </c>
      <c r="D413" s="1822"/>
      <c r="E413" s="1822"/>
      <c r="F413" s="562"/>
      <c r="G413" s="562"/>
      <c r="H413" s="562"/>
      <c r="I413" s="562"/>
      <c r="J413" s="604">
        <v>76.319999999999993</v>
      </c>
      <c r="K413" s="562" t="s">
        <v>313</v>
      </c>
      <c r="L413" s="604">
        <v>147.87</v>
      </c>
      <c r="M413" s="603"/>
      <c r="N413" s="602"/>
      <c r="Y413" s="537" t="s">
        <v>344</v>
      </c>
    </row>
    <row r="414" spans="1:33" s="536" customFormat="1" x14ac:dyDescent="0.2">
      <c r="A414" s="605"/>
      <c r="B414" s="552" t="s">
        <v>187</v>
      </c>
      <c r="C414" s="1822" t="s">
        <v>345</v>
      </c>
      <c r="D414" s="1822"/>
      <c r="E414" s="1822"/>
      <c r="F414" s="562"/>
      <c r="G414" s="562"/>
      <c r="H414" s="562"/>
      <c r="I414" s="562"/>
      <c r="J414" s="604">
        <v>5.0199999999999996</v>
      </c>
      <c r="K414" s="562" t="s">
        <v>313</v>
      </c>
      <c r="L414" s="604">
        <v>9.73</v>
      </c>
      <c r="M414" s="603"/>
      <c r="N414" s="602"/>
      <c r="Y414" s="537" t="s">
        <v>345</v>
      </c>
    </row>
    <row r="415" spans="1:33" s="536" customFormat="1" x14ac:dyDescent="0.2">
      <c r="A415" s="605"/>
      <c r="B415" s="552" t="s">
        <v>188</v>
      </c>
      <c r="C415" s="1822" t="s">
        <v>475</v>
      </c>
      <c r="D415" s="1822"/>
      <c r="E415" s="1822"/>
      <c r="F415" s="562"/>
      <c r="G415" s="562"/>
      <c r="H415" s="562"/>
      <c r="I415" s="562"/>
      <c r="J415" s="604">
        <v>39.49</v>
      </c>
      <c r="K415" s="562"/>
      <c r="L415" s="604">
        <v>61.21</v>
      </c>
      <c r="M415" s="603"/>
      <c r="N415" s="602"/>
      <c r="Y415" s="537" t="s">
        <v>475</v>
      </c>
    </row>
    <row r="416" spans="1:33" s="536" customFormat="1" x14ac:dyDescent="0.2">
      <c r="A416" s="605"/>
      <c r="B416" s="552"/>
      <c r="C416" s="1822" t="s">
        <v>314</v>
      </c>
      <c r="D416" s="1822"/>
      <c r="E416" s="1822"/>
      <c r="F416" s="562" t="s">
        <v>315</v>
      </c>
      <c r="G416" s="562" t="s">
        <v>5523</v>
      </c>
      <c r="H416" s="562" t="s">
        <v>313</v>
      </c>
      <c r="I416" s="562" t="s">
        <v>8749</v>
      </c>
      <c r="J416" s="604"/>
      <c r="K416" s="562"/>
      <c r="L416" s="604"/>
      <c r="M416" s="603"/>
      <c r="N416" s="602"/>
      <c r="Z416" s="537" t="s">
        <v>314</v>
      </c>
    </row>
    <row r="417" spans="1:34" s="536" customFormat="1" x14ac:dyDescent="0.2">
      <c r="A417" s="605"/>
      <c r="B417" s="552"/>
      <c r="C417" s="1822" t="s">
        <v>348</v>
      </c>
      <c r="D417" s="1822"/>
      <c r="E417" s="1822"/>
      <c r="F417" s="562" t="s">
        <v>315</v>
      </c>
      <c r="G417" s="562" t="s">
        <v>947</v>
      </c>
      <c r="H417" s="562" t="s">
        <v>313</v>
      </c>
      <c r="I417" s="562" t="s">
        <v>2192</v>
      </c>
      <c r="J417" s="604"/>
      <c r="K417" s="562"/>
      <c r="L417" s="604"/>
      <c r="M417" s="603"/>
      <c r="N417" s="602"/>
      <c r="Z417" s="537" t="s">
        <v>348</v>
      </c>
    </row>
    <row r="418" spans="1:34" s="536" customFormat="1" x14ac:dyDescent="0.2">
      <c r="A418" s="605"/>
      <c r="B418" s="552"/>
      <c r="C418" s="1828" t="s">
        <v>318</v>
      </c>
      <c r="D418" s="1828"/>
      <c r="E418" s="1828"/>
      <c r="F418" s="608"/>
      <c r="G418" s="608"/>
      <c r="H418" s="608"/>
      <c r="I418" s="608"/>
      <c r="J418" s="607">
        <v>332.39</v>
      </c>
      <c r="K418" s="608"/>
      <c r="L418" s="607">
        <v>628.70000000000005</v>
      </c>
      <c r="M418" s="601"/>
      <c r="N418" s="606"/>
      <c r="AA418" s="537" t="s">
        <v>318</v>
      </c>
    </row>
    <row r="419" spans="1:34" s="536" customFormat="1" x14ac:dyDescent="0.2">
      <c r="A419" s="605"/>
      <c r="B419" s="552"/>
      <c r="C419" s="1822" t="s">
        <v>319</v>
      </c>
      <c r="D419" s="1822"/>
      <c r="E419" s="1822"/>
      <c r="F419" s="562"/>
      <c r="G419" s="562"/>
      <c r="H419" s="562"/>
      <c r="I419" s="562"/>
      <c r="J419" s="604"/>
      <c r="K419" s="562"/>
      <c r="L419" s="604">
        <v>429.35</v>
      </c>
      <c r="M419" s="603"/>
      <c r="N419" s="602"/>
      <c r="Z419" s="537" t="s">
        <v>319</v>
      </c>
    </row>
    <row r="420" spans="1:34" s="536" customFormat="1" ht="33.75" x14ac:dyDescent="0.2">
      <c r="A420" s="605"/>
      <c r="B420" s="552" t="s">
        <v>1631</v>
      </c>
      <c r="C420" s="1822" t="s">
        <v>1632</v>
      </c>
      <c r="D420" s="1822"/>
      <c r="E420" s="1822"/>
      <c r="F420" s="562" t="s">
        <v>322</v>
      </c>
      <c r="G420" s="562" t="s">
        <v>1633</v>
      </c>
      <c r="H420" s="562"/>
      <c r="I420" s="562" t="s">
        <v>1633</v>
      </c>
      <c r="J420" s="604"/>
      <c r="K420" s="562"/>
      <c r="L420" s="604">
        <v>416.47</v>
      </c>
      <c r="M420" s="603"/>
      <c r="N420" s="602"/>
      <c r="Z420" s="537" t="s">
        <v>1632</v>
      </c>
    </row>
    <row r="421" spans="1:34" s="536" customFormat="1" ht="33.75" x14ac:dyDescent="0.2">
      <c r="A421" s="605"/>
      <c r="B421" s="552" t="s">
        <v>1634</v>
      </c>
      <c r="C421" s="1822" t="s">
        <v>1635</v>
      </c>
      <c r="D421" s="1822"/>
      <c r="E421" s="1822"/>
      <c r="F421" s="562" t="s">
        <v>322</v>
      </c>
      <c r="G421" s="562" t="s">
        <v>786</v>
      </c>
      <c r="H421" s="562"/>
      <c r="I421" s="562" t="s">
        <v>786</v>
      </c>
      <c r="J421" s="604"/>
      <c r="K421" s="562"/>
      <c r="L421" s="604">
        <v>218.97</v>
      </c>
      <c r="M421" s="603"/>
      <c r="N421" s="602"/>
      <c r="Z421" s="537" t="s">
        <v>1635</v>
      </c>
    </row>
    <row r="422" spans="1:34" s="536" customFormat="1" x14ac:dyDescent="0.2">
      <c r="A422" s="569"/>
      <c r="B422" s="671"/>
      <c r="C422" s="1823" t="s">
        <v>327</v>
      </c>
      <c r="D422" s="1823"/>
      <c r="E422" s="1823"/>
      <c r="F422" s="573"/>
      <c r="G422" s="573"/>
      <c r="H422" s="573"/>
      <c r="I422" s="573"/>
      <c r="J422" s="572"/>
      <c r="K422" s="573"/>
      <c r="L422" s="572">
        <v>1264.1400000000001</v>
      </c>
      <c r="M422" s="601"/>
      <c r="N422" s="570"/>
      <c r="AB422" s="537" t="s">
        <v>327</v>
      </c>
    </row>
    <row r="423" spans="1:34" s="536" customFormat="1" ht="56.25" x14ac:dyDescent="0.2">
      <c r="A423" s="575" t="s">
        <v>770</v>
      </c>
      <c r="B423" s="670" t="s">
        <v>8710</v>
      </c>
      <c r="C423" s="1823" t="s">
        <v>8711</v>
      </c>
      <c r="D423" s="1823"/>
      <c r="E423" s="1823"/>
      <c r="F423" s="573" t="s">
        <v>483</v>
      </c>
      <c r="G423" s="573"/>
      <c r="H423" s="573"/>
      <c r="I423" s="573" t="s">
        <v>8750</v>
      </c>
      <c r="J423" s="572">
        <v>7713.64</v>
      </c>
      <c r="K423" s="573" t="s">
        <v>716</v>
      </c>
      <c r="L423" s="572">
        <v>222128.04</v>
      </c>
      <c r="M423" s="571">
        <v>5.6</v>
      </c>
      <c r="N423" s="570">
        <v>1243917</v>
      </c>
      <c r="W423" s="537" t="s">
        <v>8711</v>
      </c>
    </row>
    <row r="424" spans="1:34" s="536" customFormat="1" x14ac:dyDescent="0.2">
      <c r="A424" s="569"/>
      <c r="B424" s="671"/>
      <c r="C424" s="665" t="s">
        <v>1658</v>
      </c>
      <c r="D424" s="666"/>
      <c r="E424" s="666"/>
      <c r="F424" s="563"/>
      <c r="G424" s="563"/>
      <c r="H424" s="563"/>
      <c r="I424" s="563"/>
      <c r="J424" s="566"/>
      <c r="K424" s="563"/>
      <c r="L424" s="566"/>
      <c r="M424" s="565"/>
      <c r="N424" s="564"/>
    </row>
    <row r="425" spans="1:34" s="536" customFormat="1" x14ac:dyDescent="0.2">
      <c r="A425" s="676"/>
      <c r="B425" s="664"/>
      <c r="C425" s="1822" t="s">
        <v>8751</v>
      </c>
      <c r="D425" s="1822"/>
      <c r="E425" s="1822"/>
      <c r="F425" s="1822"/>
      <c r="G425" s="1822"/>
      <c r="H425" s="1822"/>
      <c r="I425" s="1822"/>
      <c r="J425" s="1822"/>
      <c r="K425" s="1822"/>
      <c r="L425" s="1822"/>
      <c r="M425" s="1822"/>
      <c r="N425" s="1827"/>
      <c r="AG425" s="537" t="s">
        <v>8751</v>
      </c>
    </row>
    <row r="426" spans="1:34" s="536" customFormat="1" x14ac:dyDescent="0.2">
      <c r="A426" s="676"/>
      <c r="B426" s="664"/>
      <c r="C426" s="1822" t="s">
        <v>8714</v>
      </c>
      <c r="D426" s="1822"/>
      <c r="E426" s="1822"/>
      <c r="F426" s="1822"/>
      <c r="G426" s="1822"/>
      <c r="H426" s="1822"/>
      <c r="I426" s="1822"/>
      <c r="J426" s="1822"/>
      <c r="K426" s="1822"/>
      <c r="L426" s="1822"/>
      <c r="M426" s="1822"/>
      <c r="N426" s="1827"/>
      <c r="AH426" s="537" t="s">
        <v>8714</v>
      </c>
    </row>
    <row r="427" spans="1:34" s="536" customFormat="1" ht="22.5" x14ac:dyDescent="0.2">
      <c r="A427" s="609"/>
      <c r="B427" s="552" t="s">
        <v>718</v>
      </c>
      <c r="C427" s="1822" t="s">
        <v>719</v>
      </c>
      <c r="D427" s="1822"/>
      <c r="E427" s="1822"/>
      <c r="F427" s="1822"/>
      <c r="G427" s="1822"/>
      <c r="H427" s="1822"/>
      <c r="I427" s="1822"/>
      <c r="J427" s="1822"/>
      <c r="K427" s="1822"/>
      <c r="L427" s="1822"/>
      <c r="M427" s="1822"/>
      <c r="N427" s="1827"/>
      <c r="X427" s="537" t="s">
        <v>719</v>
      </c>
    </row>
    <row r="428" spans="1:34" s="536" customFormat="1" ht="45" x14ac:dyDescent="0.2">
      <c r="A428" s="575" t="s">
        <v>771</v>
      </c>
      <c r="B428" s="670" t="s">
        <v>8752</v>
      </c>
      <c r="C428" s="1823" t="s">
        <v>8753</v>
      </c>
      <c r="D428" s="1823"/>
      <c r="E428" s="1823"/>
      <c r="F428" s="573" t="s">
        <v>617</v>
      </c>
      <c r="G428" s="573"/>
      <c r="H428" s="573"/>
      <c r="I428" s="573" t="s">
        <v>757</v>
      </c>
      <c r="J428" s="572"/>
      <c r="K428" s="573"/>
      <c r="L428" s="572"/>
      <c r="M428" s="571"/>
      <c r="N428" s="570"/>
      <c r="W428" s="537" t="s">
        <v>8753</v>
      </c>
    </row>
    <row r="429" spans="1:34" s="536" customFormat="1" ht="33.75" x14ac:dyDescent="0.2">
      <c r="A429" s="609"/>
      <c r="B429" s="552" t="s">
        <v>310</v>
      </c>
      <c r="C429" s="1822" t="s">
        <v>311</v>
      </c>
      <c r="D429" s="1822"/>
      <c r="E429" s="1822"/>
      <c r="F429" s="1822"/>
      <c r="G429" s="1822"/>
      <c r="H429" s="1822"/>
      <c r="I429" s="1822"/>
      <c r="J429" s="1822"/>
      <c r="K429" s="1822"/>
      <c r="L429" s="1822"/>
      <c r="M429" s="1822"/>
      <c r="N429" s="1827"/>
      <c r="X429" s="537" t="s">
        <v>311</v>
      </c>
    </row>
    <row r="430" spans="1:34" s="536" customFormat="1" x14ac:dyDescent="0.2">
      <c r="A430" s="605"/>
      <c r="B430" s="552" t="s">
        <v>185</v>
      </c>
      <c r="C430" s="1822" t="s">
        <v>312</v>
      </c>
      <c r="D430" s="1822"/>
      <c r="E430" s="1822"/>
      <c r="F430" s="562"/>
      <c r="G430" s="562"/>
      <c r="H430" s="562"/>
      <c r="I430" s="562"/>
      <c r="J430" s="604">
        <v>22.18</v>
      </c>
      <c r="K430" s="562" t="s">
        <v>313</v>
      </c>
      <c r="L430" s="604">
        <v>665.4</v>
      </c>
      <c r="M430" s="603"/>
      <c r="N430" s="602"/>
      <c r="Y430" s="537" t="s">
        <v>312</v>
      </c>
    </row>
    <row r="431" spans="1:34" s="536" customFormat="1" x14ac:dyDescent="0.2">
      <c r="A431" s="605"/>
      <c r="B431" s="552" t="s">
        <v>188</v>
      </c>
      <c r="C431" s="1822" t="s">
        <v>475</v>
      </c>
      <c r="D431" s="1822"/>
      <c r="E431" s="1822"/>
      <c r="F431" s="562"/>
      <c r="G431" s="562"/>
      <c r="H431" s="562"/>
      <c r="I431" s="562"/>
      <c r="J431" s="604">
        <v>4.28</v>
      </c>
      <c r="K431" s="562"/>
      <c r="L431" s="604">
        <v>102.72</v>
      </c>
      <c r="M431" s="603"/>
      <c r="N431" s="602"/>
      <c r="Y431" s="537" t="s">
        <v>475</v>
      </c>
    </row>
    <row r="432" spans="1:34" s="536" customFormat="1" x14ac:dyDescent="0.2">
      <c r="A432" s="605"/>
      <c r="B432" s="552"/>
      <c r="C432" s="1822" t="s">
        <v>314</v>
      </c>
      <c r="D432" s="1822"/>
      <c r="E432" s="1822"/>
      <c r="F432" s="562" t="s">
        <v>315</v>
      </c>
      <c r="G432" s="562" t="s">
        <v>8754</v>
      </c>
      <c r="H432" s="562" t="s">
        <v>313</v>
      </c>
      <c r="I432" s="562" t="s">
        <v>8755</v>
      </c>
      <c r="J432" s="604"/>
      <c r="K432" s="562"/>
      <c r="L432" s="604"/>
      <c r="M432" s="603"/>
      <c r="N432" s="602"/>
      <c r="Z432" s="537" t="s">
        <v>314</v>
      </c>
    </row>
    <row r="433" spans="1:33" s="536" customFormat="1" x14ac:dyDescent="0.2">
      <c r="A433" s="605"/>
      <c r="B433" s="552"/>
      <c r="C433" s="1828" t="s">
        <v>318</v>
      </c>
      <c r="D433" s="1828"/>
      <c r="E433" s="1828"/>
      <c r="F433" s="608"/>
      <c r="G433" s="608"/>
      <c r="H433" s="608"/>
      <c r="I433" s="608"/>
      <c r="J433" s="607">
        <v>26.46</v>
      </c>
      <c r="K433" s="608"/>
      <c r="L433" s="607">
        <v>768.12</v>
      </c>
      <c r="M433" s="601"/>
      <c r="N433" s="606"/>
      <c r="AA433" s="537" t="s">
        <v>318</v>
      </c>
    </row>
    <row r="434" spans="1:33" s="536" customFormat="1" x14ac:dyDescent="0.2">
      <c r="A434" s="605"/>
      <c r="B434" s="552"/>
      <c r="C434" s="1822" t="s">
        <v>319</v>
      </c>
      <c r="D434" s="1822"/>
      <c r="E434" s="1822"/>
      <c r="F434" s="562"/>
      <c r="G434" s="562"/>
      <c r="H434" s="562"/>
      <c r="I434" s="562"/>
      <c r="J434" s="604"/>
      <c r="K434" s="562"/>
      <c r="L434" s="604">
        <v>665.4</v>
      </c>
      <c r="M434" s="603"/>
      <c r="N434" s="602"/>
      <c r="Z434" s="537" t="s">
        <v>319</v>
      </c>
    </row>
    <row r="435" spans="1:33" s="536" customFormat="1" ht="33.75" x14ac:dyDescent="0.2">
      <c r="A435" s="605"/>
      <c r="B435" s="552" t="s">
        <v>1631</v>
      </c>
      <c r="C435" s="1822" t="s">
        <v>1632</v>
      </c>
      <c r="D435" s="1822"/>
      <c r="E435" s="1822"/>
      <c r="F435" s="562" t="s">
        <v>322</v>
      </c>
      <c r="G435" s="562" t="s">
        <v>1633</v>
      </c>
      <c r="H435" s="562"/>
      <c r="I435" s="562" t="s">
        <v>1633</v>
      </c>
      <c r="J435" s="604"/>
      <c r="K435" s="562"/>
      <c r="L435" s="604">
        <v>645.44000000000005</v>
      </c>
      <c r="M435" s="603"/>
      <c r="N435" s="602"/>
      <c r="Z435" s="537" t="s">
        <v>1632</v>
      </c>
    </row>
    <row r="436" spans="1:33" s="536" customFormat="1" ht="33.75" x14ac:dyDescent="0.2">
      <c r="A436" s="605"/>
      <c r="B436" s="552" t="s">
        <v>1634</v>
      </c>
      <c r="C436" s="1822" t="s">
        <v>1635</v>
      </c>
      <c r="D436" s="1822"/>
      <c r="E436" s="1822"/>
      <c r="F436" s="562" t="s">
        <v>322</v>
      </c>
      <c r="G436" s="562" t="s">
        <v>786</v>
      </c>
      <c r="H436" s="562"/>
      <c r="I436" s="562" t="s">
        <v>786</v>
      </c>
      <c r="J436" s="604"/>
      <c r="K436" s="562"/>
      <c r="L436" s="604">
        <v>339.35</v>
      </c>
      <c r="M436" s="603"/>
      <c r="N436" s="602"/>
      <c r="Z436" s="537" t="s">
        <v>1635</v>
      </c>
    </row>
    <row r="437" spans="1:33" s="536" customFormat="1" x14ac:dyDescent="0.2">
      <c r="A437" s="569"/>
      <c r="B437" s="671"/>
      <c r="C437" s="1823" t="s">
        <v>327</v>
      </c>
      <c r="D437" s="1823"/>
      <c r="E437" s="1823"/>
      <c r="F437" s="573"/>
      <c r="G437" s="573"/>
      <c r="H437" s="573"/>
      <c r="I437" s="573"/>
      <c r="J437" s="572"/>
      <c r="K437" s="573"/>
      <c r="L437" s="572">
        <v>1752.91</v>
      </c>
      <c r="M437" s="601"/>
      <c r="N437" s="570"/>
      <c r="AB437" s="537" t="s">
        <v>327</v>
      </c>
    </row>
    <row r="438" spans="1:33" s="536" customFormat="1" ht="45" x14ac:dyDescent="0.2">
      <c r="A438" s="575" t="s">
        <v>772</v>
      </c>
      <c r="B438" s="670" t="s">
        <v>8756</v>
      </c>
      <c r="C438" s="1823" t="s">
        <v>8757</v>
      </c>
      <c r="D438" s="1823"/>
      <c r="E438" s="1823"/>
      <c r="F438" s="573" t="s">
        <v>617</v>
      </c>
      <c r="G438" s="573"/>
      <c r="H438" s="573"/>
      <c r="I438" s="573" t="s">
        <v>757</v>
      </c>
      <c r="J438" s="572">
        <v>2440.9699999999998</v>
      </c>
      <c r="K438" s="573" t="s">
        <v>716</v>
      </c>
      <c r="L438" s="572">
        <v>10670.54</v>
      </c>
      <c r="M438" s="571">
        <v>5.6</v>
      </c>
      <c r="N438" s="570">
        <v>59755</v>
      </c>
      <c r="W438" s="537" t="s">
        <v>8757</v>
      </c>
    </row>
    <row r="439" spans="1:33" s="536" customFormat="1" x14ac:dyDescent="0.2">
      <c r="A439" s="569"/>
      <c r="B439" s="671"/>
      <c r="C439" s="665" t="s">
        <v>1658</v>
      </c>
      <c r="D439" s="666"/>
      <c r="E439" s="666"/>
      <c r="F439" s="563"/>
      <c r="G439" s="563"/>
      <c r="H439" s="563"/>
      <c r="I439" s="563"/>
      <c r="J439" s="566"/>
      <c r="K439" s="563"/>
      <c r="L439" s="566"/>
      <c r="M439" s="565"/>
      <c r="N439" s="564"/>
    </row>
    <row r="440" spans="1:33" s="536" customFormat="1" ht="22.5" x14ac:dyDescent="0.2">
      <c r="A440" s="609"/>
      <c r="B440" s="552" t="s">
        <v>718</v>
      </c>
      <c r="C440" s="1822" t="s">
        <v>719</v>
      </c>
      <c r="D440" s="1822"/>
      <c r="E440" s="1822"/>
      <c r="F440" s="1822"/>
      <c r="G440" s="1822"/>
      <c r="H440" s="1822"/>
      <c r="I440" s="1822"/>
      <c r="J440" s="1822"/>
      <c r="K440" s="1822"/>
      <c r="L440" s="1822"/>
      <c r="M440" s="1822"/>
      <c r="N440" s="1827"/>
      <c r="X440" s="537" t="s">
        <v>719</v>
      </c>
    </row>
    <row r="441" spans="1:33" s="536" customFormat="1" ht="22.5" x14ac:dyDescent="0.2">
      <c r="A441" s="575" t="s">
        <v>677</v>
      </c>
      <c r="B441" s="670" t="s">
        <v>8758</v>
      </c>
      <c r="C441" s="1823" t="s">
        <v>8759</v>
      </c>
      <c r="D441" s="1823"/>
      <c r="E441" s="1823"/>
      <c r="F441" s="573" t="s">
        <v>307</v>
      </c>
      <c r="G441" s="573"/>
      <c r="H441" s="573"/>
      <c r="I441" s="573" t="s">
        <v>185</v>
      </c>
      <c r="J441" s="572">
        <v>29</v>
      </c>
      <c r="K441" s="573"/>
      <c r="L441" s="572">
        <v>29</v>
      </c>
      <c r="M441" s="571"/>
      <c r="N441" s="570"/>
      <c r="W441" s="537" t="s">
        <v>8759</v>
      </c>
    </row>
    <row r="442" spans="1:33" s="536" customFormat="1" x14ac:dyDescent="0.2">
      <c r="A442" s="569"/>
      <c r="B442" s="671"/>
      <c r="C442" s="665" t="s">
        <v>1658</v>
      </c>
      <c r="D442" s="666"/>
      <c r="E442" s="666"/>
      <c r="F442" s="563"/>
      <c r="G442" s="563"/>
      <c r="H442" s="563"/>
      <c r="I442" s="563"/>
      <c r="J442" s="566"/>
      <c r="K442" s="563"/>
      <c r="L442" s="566"/>
      <c r="M442" s="565"/>
      <c r="N442" s="564"/>
    </row>
    <row r="443" spans="1:33" s="536" customFormat="1" x14ac:dyDescent="0.2">
      <c r="A443" s="676"/>
      <c r="B443" s="664"/>
      <c r="C443" s="1822" t="s">
        <v>2340</v>
      </c>
      <c r="D443" s="1822"/>
      <c r="E443" s="1822"/>
      <c r="F443" s="1822"/>
      <c r="G443" s="1822"/>
      <c r="H443" s="1822"/>
      <c r="I443" s="1822"/>
      <c r="J443" s="1822"/>
      <c r="K443" s="1822"/>
      <c r="L443" s="1822"/>
      <c r="M443" s="1822"/>
      <c r="N443" s="1827"/>
      <c r="AG443" s="537" t="s">
        <v>2340</v>
      </c>
    </row>
    <row r="444" spans="1:33" s="536" customFormat="1" ht="22.5" x14ac:dyDescent="0.2">
      <c r="A444" s="575" t="s">
        <v>326</v>
      </c>
      <c r="B444" s="670" t="s">
        <v>8760</v>
      </c>
      <c r="C444" s="1823" t="s">
        <v>8761</v>
      </c>
      <c r="D444" s="1823"/>
      <c r="E444" s="1823"/>
      <c r="F444" s="573" t="s">
        <v>307</v>
      </c>
      <c r="G444" s="573"/>
      <c r="H444" s="573"/>
      <c r="I444" s="573" t="s">
        <v>195</v>
      </c>
      <c r="J444" s="572">
        <v>5.73</v>
      </c>
      <c r="K444" s="573"/>
      <c r="L444" s="572">
        <v>63.03</v>
      </c>
      <c r="M444" s="571"/>
      <c r="N444" s="570"/>
      <c r="W444" s="537" t="s">
        <v>8761</v>
      </c>
    </row>
    <row r="445" spans="1:33" s="536" customFormat="1" x14ac:dyDescent="0.2">
      <c r="A445" s="569"/>
      <c r="B445" s="671"/>
      <c r="C445" s="665" t="s">
        <v>1658</v>
      </c>
      <c r="D445" s="666"/>
      <c r="E445" s="666"/>
      <c r="F445" s="563"/>
      <c r="G445" s="563"/>
      <c r="H445" s="563"/>
      <c r="I445" s="563"/>
      <c r="J445" s="566"/>
      <c r="K445" s="563"/>
      <c r="L445" s="566"/>
      <c r="M445" s="565"/>
      <c r="N445" s="564"/>
    </row>
    <row r="446" spans="1:33" s="536" customFormat="1" x14ac:dyDescent="0.2">
      <c r="A446" s="676"/>
      <c r="B446" s="664"/>
      <c r="C446" s="1822" t="s">
        <v>8762</v>
      </c>
      <c r="D446" s="1822"/>
      <c r="E446" s="1822"/>
      <c r="F446" s="1822"/>
      <c r="G446" s="1822"/>
      <c r="H446" s="1822"/>
      <c r="I446" s="1822"/>
      <c r="J446" s="1822"/>
      <c r="K446" s="1822"/>
      <c r="L446" s="1822"/>
      <c r="M446" s="1822"/>
      <c r="N446" s="1827"/>
      <c r="AG446" s="537" t="s">
        <v>8762</v>
      </c>
    </row>
    <row r="447" spans="1:33" s="536" customFormat="1" ht="33.75" x14ac:dyDescent="0.2">
      <c r="A447" s="575" t="s">
        <v>774</v>
      </c>
      <c r="B447" s="670" t="s">
        <v>1782</v>
      </c>
      <c r="C447" s="1823" t="s">
        <v>1783</v>
      </c>
      <c r="D447" s="1823"/>
      <c r="E447" s="1823"/>
      <c r="F447" s="573" t="s">
        <v>617</v>
      </c>
      <c r="G447" s="573"/>
      <c r="H447" s="573"/>
      <c r="I447" s="573" t="s">
        <v>200</v>
      </c>
      <c r="J447" s="572"/>
      <c r="K447" s="573"/>
      <c r="L447" s="572"/>
      <c r="M447" s="571"/>
      <c r="N447" s="570"/>
      <c r="W447" s="537" t="s">
        <v>1783</v>
      </c>
    </row>
    <row r="448" spans="1:33" s="536" customFormat="1" ht="33.75" x14ac:dyDescent="0.2">
      <c r="A448" s="609"/>
      <c r="B448" s="552" t="s">
        <v>310</v>
      </c>
      <c r="C448" s="1822" t="s">
        <v>311</v>
      </c>
      <c r="D448" s="1822"/>
      <c r="E448" s="1822"/>
      <c r="F448" s="1822"/>
      <c r="G448" s="1822"/>
      <c r="H448" s="1822"/>
      <c r="I448" s="1822"/>
      <c r="J448" s="1822"/>
      <c r="K448" s="1822"/>
      <c r="L448" s="1822"/>
      <c r="M448" s="1822"/>
      <c r="N448" s="1827"/>
      <c r="X448" s="537" t="s">
        <v>311</v>
      </c>
    </row>
    <row r="449" spans="1:30" s="536" customFormat="1" x14ac:dyDescent="0.2">
      <c r="A449" s="605"/>
      <c r="B449" s="552" t="s">
        <v>185</v>
      </c>
      <c r="C449" s="1822" t="s">
        <v>312</v>
      </c>
      <c r="D449" s="1822"/>
      <c r="E449" s="1822"/>
      <c r="F449" s="562"/>
      <c r="G449" s="562"/>
      <c r="H449" s="562"/>
      <c r="I449" s="562"/>
      <c r="J449" s="604">
        <v>3.57</v>
      </c>
      <c r="K449" s="562" t="s">
        <v>313</v>
      </c>
      <c r="L449" s="604">
        <v>71.400000000000006</v>
      </c>
      <c r="M449" s="603"/>
      <c r="N449" s="602"/>
      <c r="Y449" s="537" t="s">
        <v>312</v>
      </c>
    </row>
    <row r="450" spans="1:30" s="536" customFormat="1" x14ac:dyDescent="0.2">
      <c r="A450" s="605"/>
      <c r="B450" s="552" t="s">
        <v>188</v>
      </c>
      <c r="C450" s="1822" t="s">
        <v>475</v>
      </c>
      <c r="D450" s="1822"/>
      <c r="E450" s="1822"/>
      <c r="F450" s="562"/>
      <c r="G450" s="562"/>
      <c r="H450" s="562"/>
      <c r="I450" s="562"/>
      <c r="J450" s="604">
        <v>15.07</v>
      </c>
      <c r="K450" s="562"/>
      <c r="L450" s="604">
        <v>1.1200000000000001</v>
      </c>
      <c r="M450" s="603"/>
      <c r="N450" s="602"/>
      <c r="Y450" s="537" t="s">
        <v>475</v>
      </c>
    </row>
    <row r="451" spans="1:30" s="536" customFormat="1" x14ac:dyDescent="0.2">
      <c r="A451" s="605"/>
      <c r="B451" s="552"/>
      <c r="C451" s="1822" t="s">
        <v>314</v>
      </c>
      <c r="D451" s="1822"/>
      <c r="E451" s="1822"/>
      <c r="F451" s="562" t="s">
        <v>315</v>
      </c>
      <c r="G451" s="562" t="s">
        <v>1785</v>
      </c>
      <c r="H451" s="562" t="s">
        <v>313</v>
      </c>
      <c r="I451" s="562" t="s">
        <v>3689</v>
      </c>
      <c r="J451" s="604"/>
      <c r="K451" s="562"/>
      <c r="L451" s="604"/>
      <c r="M451" s="603"/>
      <c r="N451" s="602"/>
      <c r="Z451" s="537" t="s">
        <v>314</v>
      </c>
    </row>
    <row r="452" spans="1:30" s="536" customFormat="1" x14ac:dyDescent="0.2">
      <c r="A452" s="605"/>
      <c r="B452" s="552"/>
      <c r="C452" s="1828" t="s">
        <v>318</v>
      </c>
      <c r="D452" s="1828"/>
      <c r="E452" s="1828"/>
      <c r="F452" s="608"/>
      <c r="G452" s="608"/>
      <c r="H452" s="608"/>
      <c r="I452" s="608"/>
      <c r="J452" s="607">
        <v>3.64</v>
      </c>
      <c r="K452" s="608"/>
      <c r="L452" s="607">
        <v>72.52</v>
      </c>
      <c r="M452" s="601"/>
      <c r="N452" s="606"/>
      <c r="AA452" s="537" t="s">
        <v>318</v>
      </c>
    </row>
    <row r="453" spans="1:30" s="536" customFormat="1" x14ac:dyDescent="0.2">
      <c r="A453" s="605"/>
      <c r="B453" s="552"/>
      <c r="C453" s="1822" t="s">
        <v>319</v>
      </c>
      <c r="D453" s="1822"/>
      <c r="E453" s="1822"/>
      <c r="F453" s="562"/>
      <c r="G453" s="562"/>
      <c r="H453" s="562"/>
      <c r="I453" s="562"/>
      <c r="J453" s="604"/>
      <c r="K453" s="562"/>
      <c r="L453" s="604">
        <v>71.400000000000006</v>
      </c>
      <c r="M453" s="603"/>
      <c r="N453" s="602"/>
      <c r="Z453" s="537" t="s">
        <v>319</v>
      </c>
    </row>
    <row r="454" spans="1:30" s="536" customFormat="1" ht="33.75" x14ac:dyDescent="0.2">
      <c r="A454" s="605"/>
      <c r="B454" s="552" t="s">
        <v>1631</v>
      </c>
      <c r="C454" s="1822" t="s">
        <v>1632</v>
      </c>
      <c r="D454" s="1822"/>
      <c r="E454" s="1822"/>
      <c r="F454" s="562" t="s">
        <v>322</v>
      </c>
      <c r="G454" s="562" t="s">
        <v>1633</v>
      </c>
      <c r="H454" s="562"/>
      <c r="I454" s="562" t="s">
        <v>1633</v>
      </c>
      <c r="J454" s="604"/>
      <c r="K454" s="562"/>
      <c r="L454" s="604">
        <v>69.260000000000005</v>
      </c>
      <c r="M454" s="603"/>
      <c r="N454" s="602"/>
      <c r="Z454" s="537" t="s">
        <v>1632</v>
      </c>
    </row>
    <row r="455" spans="1:30" s="536" customFormat="1" ht="33.75" x14ac:dyDescent="0.2">
      <c r="A455" s="605"/>
      <c r="B455" s="552" t="s">
        <v>1634</v>
      </c>
      <c r="C455" s="1822" t="s">
        <v>1635</v>
      </c>
      <c r="D455" s="1822"/>
      <c r="E455" s="1822"/>
      <c r="F455" s="562" t="s">
        <v>322</v>
      </c>
      <c r="G455" s="562" t="s">
        <v>786</v>
      </c>
      <c r="H455" s="562"/>
      <c r="I455" s="562" t="s">
        <v>786</v>
      </c>
      <c r="J455" s="604"/>
      <c r="K455" s="562"/>
      <c r="L455" s="604">
        <v>36.409999999999997</v>
      </c>
      <c r="M455" s="603"/>
      <c r="N455" s="602"/>
      <c r="Z455" s="537" t="s">
        <v>1635</v>
      </c>
    </row>
    <row r="456" spans="1:30" s="536" customFormat="1" x14ac:dyDescent="0.2">
      <c r="A456" s="569"/>
      <c r="B456" s="671"/>
      <c r="C456" s="1823" t="s">
        <v>327</v>
      </c>
      <c r="D456" s="1823"/>
      <c r="E456" s="1823"/>
      <c r="F456" s="573"/>
      <c r="G456" s="573"/>
      <c r="H456" s="573"/>
      <c r="I456" s="573"/>
      <c r="J456" s="572"/>
      <c r="K456" s="573"/>
      <c r="L456" s="572">
        <v>178.19</v>
      </c>
      <c r="M456" s="601"/>
      <c r="N456" s="570"/>
      <c r="AB456" s="537" t="s">
        <v>327</v>
      </c>
    </row>
    <row r="457" spans="1:30" s="536" customFormat="1" x14ac:dyDescent="0.2">
      <c r="A457" s="575" t="s">
        <v>775</v>
      </c>
      <c r="B457" s="670" t="s">
        <v>5604</v>
      </c>
      <c r="C457" s="1823" t="s">
        <v>8763</v>
      </c>
      <c r="D457" s="1823"/>
      <c r="E457" s="1823"/>
      <c r="F457" s="573" t="s">
        <v>699</v>
      </c>
      <c r="G457" s="573"/>
      <c r="H457" s="573"/>
      <c r="I457" s="573" t="s">
        <v>186</v>
      </c>
      <c r="J457" s="572">
        <v>44.76</v>
      </c>
      <c r="K457" s="573"/>
      <c r="L457" s="572">
        <v>89.52</v>
      </c>
      <c r="M457" s="571"/>
      <c r="N457" s="570"/>
      <c r="W457" s="537" t="s">
        <v>8763</v>
      </c>
    </row>
    <row r="458" spans="1:30" s="536" customFormat="1" x14ac:dyDescent="0.2">
      <c r="A458" s="569"/>
      <c r="B458" s="671"/>
      <c r="C458" s="665" t="s">
        <v>1658</v>
      </c>
      <c r="D458" s="666"/>
      <c r="E458" s="666"/>
      <c r="F458" s="563"/>
      <c r="G458" s="563"/>
      <c r="H458" s="563"/>
      <c r="I458" s="563"/>
      <c r="J458" s="566"/>
      <c r="K458" s="563"/>
      <c r="L458" s="566"/>
      <c r="M458" s="565"/>
      <c r="N458" s="564"/>
    </row>
    <row r="459" spans="1:30" s="536" customFormat="1" ht="22.5" x14ac:dyDescent="0.2">
      <c r="A459" s="575" t="s">
        <v>776</v>
      </c>
      <c r="B459" s="670" t="s">
        <v>8764</v>
      </c>
      <c r="C459" s="1823" t="s">
        <v>8765</v>
      </c>
      <c r="D459" s="1823"/>
      <c r="E459" s="1823"/>
      <c r="F459" s="573" t="s">
        <v>617</v>
      </c>
      <c r="G459" s="573"/>
      <c r="H459" s="573"/>
      <c r="I459" s="573" t="s">
        <v>186</v>
      </c>
      <c r="J459" s="572">
        <v>357.6</v>
      </c>
      <c r="K459" s="573"/>
      <c r="L459" s="572">
        <v>715.2</v>
      </c>
      <c r="M459" s="571"/>
      <c r="N459" s="570"/>
      <c r="W459" s="537" t="s">
        <v>8765</v>
      </c>
    </row>
    <row r="460" spans="1:30" s="536" customFormat="1" x14ac:dyDescent="0.2">
      <c r="A460" s="569"/>
      <c r="B460" s="671"/>
      <c r="C460" s="665" t="s">
        <v>1658</v>
      </c>
      <c r="D460" s="666"/>
      <c r="E460" s="666"/>
      <c r="F460" s="563"/>
      <c r="G460" s="563"/>
      <c r="H460" s="563"/>
      <c r="I460" s="563"/>
      <c r="J460" s="566"/>
      <c r="K460" s="563"/>
      <c r="L460" s="566"/>
      <c r="M460" s="565"/>
      <c r="N460" s="564"/>
    </row>
    <row r="461" spans="1:30" s="536" customFormat="1" ht="1.5" customHeight="1" x14ac:dyDescent="0.2">
      <c r="A461" s="563"/>
      <c r="B461" s="671"/>
      <c r="C461" s="671"/>
      <c r="D461" s="671"/>
      <c r="E461" s="671"/>
      <c r="F461" s="563"/>
      <c r="G461" s="563"/>
      <c r="H461" s="563"/>
      <c r="I461" s="563"/>
      <c r="J461" s="546"/>
      <c r="K461" s="563"/>
      <c r="L461" s="546"/>
      <c r="M461" s="562"/>
      <c r="N461" s="546"/>
    </row>
    <row r="462" spans="1:30" s="536" customFormat="1" x14ac:dyDescent="0.2">
      <c r="A462" s="557"/>
      <c r="B462" s="556"/>
      <c r="C462" s="1823" t="s">
        <v>6660</v>
      </c>
      <c r="D462" s="1823"/>
      <c r="E462" s="1823"/>
      <c r="F462" s="1823"/>
      <c r="G462" s="1823"/>
      <c r="H462" s="1823"/>
      <c r="I462" s="1823"/>
      <c r="J462" s="1823"/>
      <c r="K462" s="1823"/>
      <c r="L462" s="555"/>
      <c r="M462" s="554"/>
      <c r="N462" s="553"/>
      <c r="AC462" s="537" t="s">
        <v>6660</v>
      </c>
    </row>
    <row r="463" spans="1:30" s="536" customFormat="1" x14ac:dyDescent="0.2">
      <c r="A463" s="548"/>
      <c r="B463" s="552"/>
      <c r="C463" s="1822" t="s">
        <v>403</v>
      </c>
      <c r="D463" s="1822"/>
      <c r="E463" s="1822"/>
      <c r="F463" s="1822"/>
      <c r="G463" s="1822"/>
      <c r="H463" s="1822"/>
      <c r="I463" s="1822"/>
      <c r="J463" s="1822"/>
      <c r="K463" s="1822"/>
      <c r="L463" s="551">
        <v>2238876.27</v>
      </c>
      <c r="M463" s="550"/>
      <c r="N463" s="549"/>
      <c r="AD463" s="537" t="s">
        <v>403</v>
      </c>
    </row>
    <row r="464" spans="1:30" s="536" customFormat="1" x14ac:dyDescent="0.2">
      <c r="A464" s="548"/>
      <c r="B464" s="552"/>
      <c r="C464" s="1822" t="s">
        <v>204</v>
      </c>
      <c r="D464" s="1822"/>
      <c r="E464" s="1822"/>
      <c r="F464" s="1822"/>
      <c r="G464" s="1822"/>
      <c r="H464" s="1822"/>
      <c r="I464" s="1822"/>
      <c r="J464" s="1822"/>
      <c r="K464" s="1822"/>
      <c r="L464" s="551"/>
      <c r="M464" s="550"/>
      <c r="N464" s="549"/>
      <c r="AD464" s="537" t="s">
        <v>204</v>
      </c>
    </row>
    <row r="465" spans="1:30" s="536" customFormat="1" x14ac:dyDescent="0.2">
      <c r="A465" s="548"/>
      <c r="B465" s="552"/>
      <c r="C465" s="1822" t="s">
        <v>404</v>
      </c>
      <c r="D465" s="1822"/>
      <c r="E465" s="1822"/>
      <c r="F465" s="1822"/>
      <c r="G465" s="1822"/>
      <c r="H465" s="1822"/>
      <c r="I465" s="1822"/>
      <c r="J465" s="1822"/>
      <c r="K465" s="1822"/>
      <c r="L465" s="551">
        <v>5180.4399999999996</v>
      </c>
      <c r="M465" s="550"/>
      <c r="N465" s="549"/>
      <c r="AD465" s="537" t="s">
        <v>404</v>
      </c>
    </row>
    <row r="466" spans="1:30" s="536" customFormat="1" x14ac:dyDescent="0.2">
      <c r="A466" s="548"/>
      <c r="B466" s="552"/>
      <c r="C466" s="1822" t="s">
        <v>405</v>
      </c>
      <c r="D466" s="1822"/>
      <c r="E466" s="1822"/>
      <c r="F466" s="1822"/>
      <c r="G466" s="1822"/>
      <c r="H466" s="1822"/>
      <c r="I466" s="1822"/>
      <c r="J466" s="1822"/>
      <c r="K466" s="1822"/>
      <c r="L466" s="551">
        <v>6602.73</v>
      </c>
      <c r="M466" s="550"/>
      <c r="N466" s="549"/>
      <c r="AD466" s="537" t="s">
        <v>405</v>
      </c>
    </row>
    <row r="467" spans="1:30" s="536" customFormat="1" x14ac:dyDescent="0.2">
      <c r="A467" s="548"/>
      <c r="B467" s="552"/>
      <c r="C467" s="1822" t="s">
        <v>406</v>
      </c>
      <c r="D467" s="1822"/>
      <c r="E467" s="1822"/>
      <c r="F467" s="1822"/>
      <c r="G467" s="1822"/>
      <c r="H467" s="1822"/>
      <c r="I467" s="1822"/>
      <c r="J467" s="1822"/>
      <c r="K467" s="1822"/>
      <c r="L467" s="551">
        <v>829.4</v>
      </c>
      <c r="M467" s="550"/>
      <c r="N467" s="549"/>
      <c r="AD467" s="537" t="s">
        <v>406</v>
      </c>
    </row>
    <row r="468" spans="1:30" s="536" customFormat="1" x14ac:dyDescent="0.2">
      <c r="A468" s="548"/>
      <c r="B468" s="552"/>
      <c r="C468" s="1822" t="s">
        <v>480</v>
      </c>
      <c r="D468" s="1822"/>
      <c r="E468" s="1822"/>
      <c r="F468" s="1822"/>
      <c r="G468" s="1822"/>
      <c r="H468" s="1822"/>
      <c r="I468" s="1822"/>
      <c r="J468" s="1822"/>
      <c r="K468" s="1822"/>
      <c r="L468" s="551">
        <v>2227093.1</v>
      </c>
      <c r="M468" s="550"/>
      <c r="N468" s="549"/>
      <c r="AD468" s="537" t="s">
        <v>480</v>
      </c>
    </row>
    <row r="469" spans="1:30" s="536" customFormat="1" x14ac:dyDescent="0.2">
      <c r="A469" s="548"/>
      <c r="B469" s="552" t="s">
        <v>185</v>
      </c>
      <c r="C469" s="1822" t="s">
        <v>407</v>
      </c>
      <c r="D469" s="1822"/>
      <c r="E469" s="1822"/>
      <c r="F469" s="1822"/>
      <c r="G469" s="1822"/>
      <c r="H469" s="1822"/>
      <c r="I469" s="1822"/>
      <c r="J469" s="1822"/>
      <c r="K469" s="1822"/>
      <c r="L469" s="551">
        <v>183.42</v>
      </c>
      <c r="M469" s="550"/>
      <c r="N469" s="549"/>
      <c r="AD469" s="537" t="s">
        <v>407</v>
      </c>
    </row>
    <row r="470" spans="1:30" s="536" customFormat="1" x14ac:dyDescent="0.2">
      <c r="A470" s="548"/>
      <c r="B470" s="552"/>
      <c r="C470" s="1822" t="s">
        <v>204</v>
      </c>
      <c r="D470" s="1822"/>
      <c r="E470" s="1822"/>
      <c r="F470" s="1822"/>
      <c r="G470" s="1822"/>
      <c r="H470" s="1822"/>
      <c r="I470" s="1822"/>
      <c r="J470" s="1822"/>
      <c r="K470" s="1822"/>
      <c r="L470" s="551"/>
      <c r="M470" s="550"/>
      <c r="N470" s="549"/>
      <c r="AD470" s="537" t="s">
        <v>204</v>
      </c>
    </row>
    <row r="471" spans="1:30" s="536" customFormat="1" x14ac:dyDescent="0.2">
      <c r="A471" s="548"/>
      <c r="B471" s="552"/>
      <c r="C471" s="1822" t="s">
        <v>546</v>
      </c>
      <c r="D471" s="1822"/>
      <c r="E471" s="1822"/>
      <c r="F471" s="1822"/>
      <c r="G471" s="1822"/>
      <c r="H471" s="1822"/>
      <c r="I471" s="1822"/>
      <c r="J471" s="1822"/>
      <c r="K471" s="1822"/>
      <c r="L471" s="551">
        <v>70.319999999999993</v>
      </c>
      <c r="M471" s="550"/>
      <c r="N471" s="549"/>
      <c r="AD471" s="537" t="s">
        <v>546</v>
      </c>
    </row>
    <row r="472" spans="1:30" s="536" customFormat="1" x14ac:dyDescent="0.2">
      <c r="A472" s="548"/>
      <c r="B472" s="552"/>
      <c r="C472" s="1822" t="s">
        <v>547</v>
      </c>
      <c r="D472" s="1822"/>
      <c r="E472" s="1822"/>
      <c r="F472" s="1822"/>
      <c r="G472" s="1822"/>
      <c r="H472" s="1822"/>
      <c r="I472" s="1822"/>
      <c r="J472" s="1822"/>
      <c r="K472" s="1822"/>
      <c r="L472" s="551">
        <v>3.4</v>
      </c>
      <c r="M472" s="550"/>
      <c r="N472" s="549"/>
      <c r="AD472" s="537" t="s">
        <v>547</v>
      </c>
    </row>
    <row r="473" spans="1:30" s="536" customFormat="1" x14ac:dyDescent="0.2">
      <c r="A473" s="548"/>
      <c r="B473" s="552"/>
      <c r="C473" s="1822" t="s">
        <v>443</v>
      </c>
      <c r="D473" s="1822"/>
      <c r="E473" s="1822"/>
      <c r="F473" s="1822"/>
      <c r="G473" s="1822"/>
      <c r="H473" s="1822"/>
      <c r="I473" s="1822"/>
      <c r="J473" s="1822"/>
      <c r="K473" s="1822"/>
      <c r="L473" s="551">
        <v>68.91</v>
      </c>
      <c r="M473" s="550"/>
      <c r="N473" s="549"/>
      <c r="AD473" s="537" t="s">
        <v>443</v>
      </c>
    </row>
    <row r="474" spans="1:30" s="536" customFormat="1" x14ac:dyDescent="0.2">
      <c r="A474" s="548"/>
      <c r="B474" s="552"/>
      <c r="C474" s="1822" t="s">
        <v>444</v>
      </c>
      <c r="D474" s="1822"/>
      <c r="E474" s="1822"/>
      <c r="F474" s="1822"/>
      <c r="G474" s="1822"/>
      <c r="H474" s="1822"/>
      <c r="I474" s="1822"/>
      <c r="J474" s="1822"/>
      <c r="K474" s="1822"/>
      <c r="L474" s="551">
        <v>40.79</v>
      </c>
      <c r="M474" s="550"/>
      <c r="N474" s="549"/>
      <c r="AD474" s="537" t="s">
        <v>444</v>
      </c>
    </row>
    <row r="475" spans="1:30" s="536" customFormat="1" x14ac:dyDescent="0.2">
      <c r="A475" s="548"/>
      <c r="B475" s="552" t="s">
        <v>185</v>
      </c>
      <c r="C475" s="1822" t="s">
        <v>753</v>
      </c>
      <c r="D475" s="1822"/>
      <c r="E475" s="1822"/>
      <c r="F475" s="1822"/>
      <c r="G475" s="1822"/>
      <c r="H475" s="1822"/>
      <c r="I475" s="1822"/>
      <c r="J475" s="1822"/>
      <c r="K475" s="1822"/>
      <c r="L475" s="551">
        <v>2247593.0299999998</v>
      </c>
      <c r="M475" s="550"/>
      <c r="N475" s="549"/>
      <c r="AD475" s="537" t="s">
        <v>753</v>
      </c>
    </row>
    <row r="476" spans="1:30" s="536" customFormat="1" x14ac:dyDescent="0.2">
      <c r="A476" s="548"/>
      <c r="B476" s="552"/>
      <c r="C476" s="1822" t="s">
        <v>204</v>
      </c>
      <c r="D476" s="1822"/>
      <c r="E476" s="1822"/>
      <c r="F476" s="1822"/>
      <c r="G476" s="1822"/>
      <c r="H476" s="1822"/>
      <c r="I476" s="1822"/>
      <c r="J476" s="1822"/>
      <c r="K476" s="1822"/>
      <c r="L476" s="551"/>
      <c r="M476" s="550"/>
      <c r="N476" s="549"/>
      <c r="AD476" s="537" t="s">
        <v>204</v>
      </c>
    </row>
    <row r="477" spans="1:30" s="536" customFormat="1" x14ac:dyDescent="0.2">
      <c r="A477" s="548"/>
      <c r="B477" s="552"/>
      <c r="C477" s="1822" t="s">
        <v>546</v>
      </c>
      <c r="D477" s="1822"/>
      <c r="E477" s="1822"/>
      <c r="F477" s="1822"/>
      <c r="G477" s="1822"/>
      <c r="H477" s="1822"/>
      <c r="I477" s="1822"/>
      <c r="J477" s="1822"/>
      <c r="K477" s="1822"/>
      <c r="L477" s="551">
        <v>5110.12</v>
      </c>
      <c r="M477" s="550"/>
      <c r="N477" s="549"/>
      <c r="AD477" s="537" t="s">
        <v>546</v>
      </c>
    </row>
    <row r="478" spans="1:30" s="536" customFormat="1" x14ac:dyDescent="0.2">
      <c r="A478" s="548"/>
      <c r="B478" s="552"/>
      <c r="C478" s="1822" t="s">
        <v>442</v>
      </c>
      <c r="D478" s="1822"/>
      <c r="E478" s="1822"/>
      <c r="F478" s="1822"/>
      <c r="G478" s="1822"/>
      <c r="H478" s="1822"/>
      <c r="I478" s="1822"/>
      <c r="J478" s="1822"/>
      <c r="K478" s="1822"/>
      <c r="L478" s="551">
        <v>6602.73</v>
      </c>
      <c r="M478" s="550"/>
      <c r="N478" s="549"/>
      <c r="AD478" s="537" t="s">
        <v>442</v>
      </c>
    </row>
    <row r="479" spans="1:30" s="536" customFormat="1" x14ac:dyDescent="0.2">
      <c r="A479" s="548"/>
      <c r="B479" s="552"/>
      <c r="C479" s="1822" t="s">
        <v>547</v>
      </c>
      <c r="D479" s="1822"/>
      <c r="E479" s="1822"/>
      <c r="F479" s="1822"/>
      <c r="G479" s="1822"/>
      <c r="H479" s="1822"/>
      <c r="I479" s="1822"/>
      <c r="J479" s="1822"/>
      <c r="K479" s="1822"/>
      <c r="L479" s="551">
        <v>2227089.7000000002</v>
      </c>
      <c r="M479" s="550"/>
      <c r="N479" s="549"/>
      <c r="AD479" s="537" t="s">
        <v>547</v>
      </c>
    </row>
    <row r="480" spans="1:30" s="536" customFormat="1" x14ac:dyDescent="0.2">
      <c r="A480" s="548"/>
      <c r="B480" s="552"/>
      <c r="C480" s="1822" t="s">
        <v>443</v>
      </c>
      <c r="D480" s="1822"/>
      <c r="E480" s="1822"/>
      <c r="F480" s="1822"/>
      <c r="G480" s="1822"/>
      <c r="H480" s="1822"/>
      <c r="I480" s="1822"/>
      <c r="J480" s="1822"/>
      <c r="K480" s="1822"/>
      <c r="L480" s="551">
        <v>5761.34</v>
      </c>
      <c r="M480" s="550"/>
      <c r="N480" s="549"/>
      <c r="AD480" s="537" t="s">
        <v>443</v>
      </c>
    </row>
    <row r="481" spans="1:33" s="536" customFormat="1" x14ac:dyDescent="0.2">
      <c r="A481" s="548"/>
      <c r="B481" s="552"/>
      <c r="C481" s="1822" t="s">
        <v>444</v>
      </c>
      <c r="D481" s="1822"/>
      <c r="E481" s="1822"/>
      <c r="F481" s="1822"/>
      <c r="G481" s="1822"/>
      <c r="H481" s="1822"/>
      <c r="I481" s="1822"/>
      <c r="J481" s="1822"/>
      <c r="K481" s="1822"/>
      <c r="L481" s="551">
        <v>3029.14</v>
      </c>
      <c r="M481" s="550"/>
      <c r="N481" s="549"/>
      <c r="AD481" s="537" t="s">
        <v>444</v>
      </c>
    </row>
    <row r="482" spans="1:33" s="536" customFormat="1" x14ac:dyDescent="0.2">
      <c r="A482" s="548"/>
      <c r="B482" s="552"/>
      <c r="C482" s="1822" t="s">
        <v>415</v>
      </c>
      <c r="D482" s="1822"/>
      <c r="E482" s="1822"/>
      <c r="F482" s="1822"/>
      <c r="G482" s="1822"/>
      <c r="H482" s="1822"/>
      <c r="I482" s="1822"/>
      <c r="J482" s="1822"/>
      <c r="K482" s="1822"/>
      <c r="L482" s="551">
        <v>6009.84</v>
      </c>
      <c r="M482" s="550"/>
      <c r="N482" s="549"/>
      <c r="AD482" s="537" t="s">
        <v>415</v>
      </c>
    </row>
    <row r="483" spans="1:33" s="536" customFormat="1" x14ac:dyDescent="0.2">
      <c r="A483" s="548"/>
      <c r="B483" s="552"/>
      <c r="C483" s="1822" t="s">
        <v>416</v>
      </c>
      <c r="D483" s="1822"/>
      <c r="E483" s="1822"/>
      <c r="F483" s="1822"/>
      <c r="G483" s="1822"/>
      <c r="H483" s="1822"/>
      <c r="I483" s="1822"/>
      <c r="J483" s="1822"/>
      <c r="K483" s="1822"/>
      <c r="L483" s="551">
        <v>5830.25</v>
      </c>
      <c r="M483" s="550"/>
      <c r="N483" s="549"/>
      <c r="AD483" s="537" t="s">
        <v>416</v>
      </c>
    </row>
    <row r="484" spans="1:33" s="536" customFormat="1" x14ac:dyDescent="0.2">
      <c r="A484" s="548"/>
      <c r="B484" s="552"/>
      <c r="C484" s="1822" t="s">
        <v>417</v>
      </c>
      <c r="D484" s="1822"/>
      <c r="E484" s="1822"/>
      <c r="F484" s="1822"/>
      <c r="G484" s="1822"/>
      <c r="H484" s="1822"/>
      <c r="I484" s="1822"/>
      <c r="J484" s="1822"/>
      <c r="K484" s="1822"/>
      <c r="L484" s="551">
        <v>3069.93</v>
      </c>
      <c r="M484" s="550"/>
      <c r="N484" s="549"/>
      <c r="AD484" s="537" t="s">
        <v>417</v>
      </c>
    </row>
    <row r="485" spans="1:33" s="536" customFormat="1" x14ac:dyDescent="0.2">
      <c r="A485" s="548"/>
      <c r="B485" s="546"/>
      <c r="C485" s="1819" t="s">
        <v>6661</v>
      </c>
      <c r="D485" s="1819"/>
      <c r="E485" s="1819"/>
      <c r="F485" s="1819"/>
      <c r="G485" s="1819"/>
      <c r="H485" s="1819"/>
      <c r="I485" s="1819"/>
      <c r="J485" s="1819"/>
      <c r="K485" s="1819"/>
      <c r="L485" s="544">
        <v>2247776.4500000002</v>
      </c>
      <c r="M485" s="543"/>
      <c r="N485" s="681"/>
      <c r="AE485" s="537" t="s">
        <v>6661</v>
      </c>
    </row>
    <row r="486" spans="1:33" s="536" customFormat="1" x14ac:dyDescent="0.2">
      <c r="A486" s="548"/>
      <c r="B486" s="552"/>
      <c r="C486" s="1822" t="s">
        <v>204</v>
      </c>
      <c r="D486" s="1822"/>
      <c r="E486" s="1822"/>
      <c r="F486" s="1822"/>
      <c r="G486" s="1822"/>
      <c r="H486" s="1822"/>
      <c r="I486" s="1822"/>
      <c r="J486" s="1822"/>
      <c r="K486" s="1822"/>
      <c r="L486" s="551"/>
      <c r="M486" s="550"/>
      <c r="N486" s="549"/>
      <c r="AD486" s="537" t="s">
        <v>204</v>
      </c>
    </row>
    <row r="487" spans="1:33" s="536" customFormat="1" x14ac:dyDescent="0.2">
      <c r="A487" s="548"/>
      <c r="B487" s="552"/>
      <c r="C487" s="1822" t="s">
        <v>8095</v>
      </c>
      <c r="D487" s="1822"/>
      <c r="E487" s="1822"/>
      <c r="F487" s="1822"/>
      <c r="G487" s="1822"/>
      <c r="H487" s="1822"/>
      <c r="I487" s="1822"/>
      <c r="J487" s="1822"/>
      <c r="K487" s="1822"/>
      <c r="L487" s="551">
        <v>2203289.2999999998</v>
      </c>
      <c r="M487" s="550"/>
      <c r="N487" s="549"/>
      <c r="AD487" s="537" t="s">
        <v>8095</v>
      </c>
    </row>
    <row r="488" spans="1:33" s="536" customFormat="1" ht="12" x14ac:dyDescent="0.2">
      <c r="A488" s="1824" t="s">
        <v>1614</v>
      </c>
      <c r="B488" s="1825"/>
      <c r="C488" s="1825"/>
      <c r="D488" s="1825"/>
      <c r="E488" s="1825"/>
      <c r="F488" s="1825"/>
      <c r="G488" s="1825"/>
      <c r="H488" s="1825"/>
      <c r="I488" s="1825"/>
      <c r="J488" s="1825"/>
      <c r="K488" s="1825"/>
      <c r="L488" s="1825"/>
      <c r="M488" s="1825"/>
      <c r="N488" s="1826"/>
      <c r="V488" s="537" t="s">
        <v>1614</v>
      </c>
    </row>
    <row r="489" spans="1:33" s="536" customFormat="1" ht="78.75" x14ac:dyDescent="0.2">
      <c r="A489" s="575" t="s">
        <v>931</v>
      </c>
      <c r="B489" s="670" t="s">
        <v>5638</v>
      </c>
      <c r="C489" s="1823" t="s">
        <v>3880</v>
      </c>
      <c r="D489" s="1823"/>
      <c r="E489" s="1823"/>
      <c r="F489" s="573" t="s">
        <v>201</v>
      </c>
      <c r="G489" s="573"/>
      <c r="H489" s="573"/>
      <c r="I489" s="573" t="s">
        <v>8766</v>
      </c>
      <c r="J489" s="572">
        <v>48.81</v>
      </c>
      <c r="K489" s="573"/>
      <c r="L489" s="572">
        <v>4618.7700000000004</v>
      </c>
      <c r="M489" s="571"/>
      <c r="N489" s="570"/>
      <c r="W489" s="537" t="s">
        <v>3880</v>
      </c>
    </row>
    <row r="490" spans="1:33" s="536" customFormat="1" x14ac:dyDescent="0.2">
      <c r="A490" s="569"/>
      <c r="B490" s="671"/>
      <c r="C490" s="665" t="s">
        <v>717</v>
      </c>
      <c r="D490" s="666"/>
      <c r="E490" s="666"/>
      <c r="F490" s="563"/>
      <c r="G490" s="563"/>
      <c r="H490" s="563"/>
      <c r="I490" s="563"/>
      <c r="J490" s="566"/>
      <c r="K490" s="563"/>
      <c r="L490" s="566"/>
      <c r="M490" s="565"/>
      <c r="N490" s="564"/>
    </row>
    <row r="491" spans="1:33" s="536" customFormat="1" x14ac:dyDescent="0.2">
      <c r="A491" s="676"/>
      <c r="B491" s="664"/>
      <c r="C491" s="1822" t="s">
        <v>8767</v>
      </c>
      <c r="D491" s="1822"/>
      <c r="E491" s="1822"/>
      <c r="F491" s="1822"/>
      <c r="G491" s="1822"/>
      <c r="H491" s="1822"/>
      <c r="I491" s="1822"/>
      <c r="J491" s="1822"/>
      <c r="K491" s="1822"/>
      <c r="L491" s="1822"/>
      <c r="M491" s="1822"/>
      <c r="N491" s="1827"/>
      <c r="AG491" s="537" t="s">
        <v>8767</v>
      </c>
    </row>
    <row r="492" spans="1:33" s="536" customFormat="1" ht="1.5" customHeight="1" x14ac:dyDescent="0.2">
      <c r="A492" s="563"/>
      <c r="B492" s="671"/>
      <c r="C492" s="671"/>
      <c r="D492" s="671"/>
      <c r="E492" s="671"/>
      <c r="F492" s="563"/>
      <c r="G492" s="563"/>
      <c r="H492" s="563"/>
      <c r="I492" s="563"/>
      <c r="J492" s="546"/>
      <c r="K492" s="563"/>
      <c r="L492" s="546"/>
      <c r="M492" s="562"/>
      <c r="N492" s="546"/>
    </row>
    <row r="493" spans="1:33" s="536" customFormat="1" ht="22.5" x14ac:dyDescent="0.2">
      <c r="A493" s="557"/>
      <c r="B493" s="556"/>
      <c r="C493" s="1823" t="s">
        <v>1620</v>
      </c>
      <c r="D493" s="1823"/>
      <c r="E493" s="1823"/>
      <c r="F493" s="1823"/>
      <c r="G493" s="1823"/>
      <c r="H493" s="1823"/>
      <c r="I493" s="1823"/>
      <c r="J493" s="1823"/>
      <c r="K493" s="1823"/>
      <c r="L493" s="555"/>
      <c r="M493" s="554"/>
      <c r="N493" s="553"/>
      <c r="AC493" s="537" t="s">
        <v>1620</v>
      </c>
    </row>
    <row r="494" spans="1:33" s="536" customFormat="1" x14ac:dyDescent="0.2">
      <c r="A494" s="548"/>
      <c r="B494" s="552"/>
      <c r="C494" s="1822" t="s">
        <v>403</v>
      </c>
      <c r="D494" s="1822"/>
      <c r="E494" s="1822"/>
      <c r="F494" s="1822"/>
      <c r="G494" s="1822"/>
      <c r="H494" s="1822"/>
      <c r="I494" s="1822"/>
      <c r="J494" s="1822"/>
      <c r="K494" s="1822"/>
      <c r="L494" s="551">
        <v>4618.7700000000004</v>
      </c>
      <c r="M494" s="550"/>
      <c r="N494" s="549"/>
      <c r="AD494" s="537" t="s">
        <v>403</v>
      </c>
    </row>
    <row r="495" spans="1:33" s="536" customFormat="1" x14ac:dyDescent="0.2">
      <c r="A495" s="548"/>
      <c r="B495" s="552"/>
      <c r="C495" s="1822" t="s">
        <v>204</v>
      </c>
      <c r="D495" s="1822"/>
      <c r="E495" s="1822"/>
      <c r="F495" s="1822"/>
      <c r="G495" s="1822"/>
      <c r="H495" s="1822"/>
      <c r="I495" s="1822"/>
      <c r="J495" s="1822"/>
      <c r="K495" s="1822"/>
      <c r="L495" s="551"/>
      <c r="M495" s="550"/>
      <c r="N495" s="549"/>
      <c r="AD495" s="537" t="s">
        <v>204</v>
      </c>
    </row>
    <row r="496" spans="1:33" s="536" customFormat="1" x14ac:dyDescent="0.2">
      <c r="A496" s="548"/>
      <c r="B496" s="552"/>
      <c r="C496" s="1822" t="s">
        <v>480</v>
      </c>
      <c r="D496" s="1822"/>
      <c r="E496" s="1822"/>
      <c r="F496" s="1822"/>
      <c r="G496" s="1822"/>
      <c r="H496" s="1822"/>
      <c r="I496" s="1822"/>
      <c r="J496" s="1822"/>
      <c r="K496" s="1822"/>
      <c r="L496" s="551">
        <v>4618.7700000000004</v>
      </c>
      <c r="M496" s="550"/>
      <c r="N496" s="549"/>
      <c r="AD496" s="537" t="s">
        <v>480</v>
      </c>
    </row>
    <row r="497" spans="1:36" s="536" customFormat="1" x14ac:dyDescent="0.2">
      <c r="A497" s="548"/>
      <c r="B497" s="552" t="s">
        <v>185</v>
      </c>
      <c r="C497" s="1822" t="s">
        <v>407</v>
      </c>
      <c r="D497" s="1822"/>
      <c r="E497" s="1822"/>
      <c r="F497" s="1822"/>
      <c r="G497" s="1822"/>
      <c r="H497" s="1822"/>
      <c r="I497" s="1822"/>
      <c r="J497" s="1822"/>
      <c r="K497" s="1822"/>
      <c r="L497" s="551">
        <v>4618.7700000000004</v>
      </c>
      <c r="M497" s="550"/>
      <c r="N497" s="549"/>
      <c r="AD497" s="537" t="s">
        <v>407</v>
      </c>
    </row>
    <row r="498" spans="1:36" s="536" customFormat="1" x14ac:dyDescent="0.2">
      <c r="A498" s="548"/>
      <c r="B498" s="552"/>
      <c r="C498" s="1822" t="s">
        <v>204</v>
      </c>
      <c r="D498" s="1822"/>
      <c r="E498" s="1822"/>
      <c r="F498" s="1822"/>
      <c r="G498" s="1822"/>
      <c r="H498" s="1822"/>
      <c r="I498" s="1822"/>
      <c r="J498" s="1822"/>
      <c r="K498" s="1822"/>
      <c r="L498" s="551"/>
      <c r="M498" s="550"/>
      <c r="N498" s="549"/>
      <c r="AD498" s="537" t="s">
        <v>204</v>
      </c>
    </row>
    <row r="499" spans="1:36" s="536" customFormat="1" x14ac:dyDescent="0.2">
      <c r="A499" s="548"/>
      <c r="B499" s="552"/>
      <c r="C499" s="1822" t="s">
        <v>547</v>
      </c>
      <c r="D499" s="1822"/>
      <c r="E499" s="1822"/>
      <c r="F499" s="1822"/>
      <c r="G499" s="1822"/>
      <c r="H499" s="1822"/>
      <c r="I499" s="1822"/>
      <c r="J499" s="1822"/>
      <c r="K499" s="1822"/>
      <c r="L499" s="551">
        <v>4618.7700000000004</v>
      </c>
      <c r="M499" s="550"/>
      <c r="N499" s="549"/>
      <c r="AD499" s="537" t="s">
        <v>547</v>
      </c>
    </row>
    <row r="500" spans="1:36" s="536" customFormat="1" ht="22.5" x14ac:dyDescent="0.2">
      <c r="A500" s="548"/>
      <c r="B500" s="546"/>
      <c r="C500" s="1819" t="s">
        <v>1621</v>
      </c>
      <c r="D500" s="1819"/>
      <c r="E500" s="1819"/>
      <c r="F500" s="1819"/>
      <c r="G500" s="1819"/>
      <c r="H500" s="1819"/>
      <c r="I500" s="1819"/>
      <c r="J500" s="1819"/>
      <c r="K500" s="1819"/>
      <c r="L500" s="544">
        <v>4618.7700000000004</v>
      </c>
      <c r="M500" s="543"/>
      <c r="N500" s="681"/>
      <c r="AE500" s="537" t="s">
        <v>1621</v>
      </c>
    </row>
    <row r="501" spans="1:36" s="536" customFormat="1" ht="2.25" customHeight="1" x14ac:dyDescent="0.2">
      <c r="B501" s="561"/>
      <c r="C501" s="561"/>
      <c r="D501" s="561"/>
      <c r="E501" s="561"/>
      <c r="F501" s="561"/>
      <c r="G501" s="561"/>
      <c r="H501" s="561"/>
      <c r="I501" s="561"/>
      <c r="J501" s="561"/>
      <c r="K501" s="561"/>
      <c r="L501" s="560"/>
      <c r="M501" s="559"/>
      <c r="N501" s="558"/>
    </row>
    <row r="502" spans="1:36" s="536" customFormat="1" x14ac:dyDescent="0.2">
      <c r="A502" s="557"/>
      <c r="B502" s="556"/>
      <c r="C502" s="1823" t="s">
        <v>205</v>
      </c>
      <c r="D502" s="1823"/>
      <c r="E502" s="1823"/>
      <c r="F502" s="1823"/>
      <c r="G502" s="1823"/>
      <c r="H502" s="1823"/>
      <c r="I502" s="1823"/>
      <c r="J502" s="1823"/>
      <c r="K502" s="1823"/>
      <c r="L502" s="555"/>
      <c r="M502" s="554"/>
      <c r="N502" s="553"/>
      <c r="AI502" s="537" t="s">
        <v>205</v>
      </c>
    </row>
    <row r="503" spans="1:36" s="536" customFormat="1" x14ac:dyDescent="0.2">
      <c r="A503" s="548"/>
      <c r="B503" s="552"/>
      <c r="C503" s="1822" t="s">
        <v>403</v>
      </c>
      <c r="D503" s="1822"/>
      <c r="E503" s="1822"/>
      <c r="F503" s="1822"/>
      <c r="G503" s="1822"/>
      <c r="H503" s="1822"/>
      <c r="I503" s="1822"/>
      <c r="J503" s="1822"/>
      <c r="K503" s="1822"/>
      <c r="L503" s="551">
        <v>2255445</v>
      </c>
      <c r="M503" s="550"/>
      <c r="N503" s="549"/>
      <c r="AJ503" s="537" t="s">
        <v>403</v>
      </c>
    </row>
    <row r="504" spans="1:36" s="536" customFormat="1" x14ac:dyDescent="0.2">
      <c r="A504" s="548"/>
      <c r="B504" s="552"/>
      <c r="C504" s="1822" t="s">
        <v>204</v>
      </c>
      <c r="D504" s="1822"/>
      <c r="E504" s="1822"/>
      <c r="F504" s="1822"/>
      <c r="G504" s="1822"/>
      <c r="H504" s="1822"/>
      <c r="I504" s="1822"/>
      <c r="J504" s="1822"/>
      <c r="K504" s="1822"/>
      <c r="L504" s="551"/>
      <c r="M504" s="550"/>
      <c r="N504" s="549"/>
      <c r="AJ504" s="537" t="s">
        <v>204</v>
      </c>
    </row>
    <row r="505" spans="1:36" s="536" customFormat="1" x14ac:dyDescent="0.2">
      <c r="A505" s="548"/>
      <c r="B505" s="552"/>
      <c r="C505" s="1822" t="s">
        <v>404</v>
      </c>
      <c r="D505" s="1822"/>
      <c r="E505" s="1822"/>
      <c r="F505" s="1822"/>
      <c r="G505" s="1822"/>
      <c r="H505" s="1822"/>
      <c r="I505" s="1822"/>
      <c r="J505" s="1822"/>
      <c r="K505" s="1822"/>
      <c r="L505" s="551">
        <v>7230.39</v>
      </c>
      <c r="M505" s="550"/>
      <c r="N505" s="549"/>
      <c r="AJ505" s="537" t="s">
        <v>404</v>
      </c>
    </row>
    <row r="506" spans="1:36" s="536" customFormat="1" x14ac:dyDescent="0.2">
      <c r="A506" s="548"/>
      <c r="B506" s="552"/>
      <c r="C506" s="1822" t="s">
        <v>405</v>
      </c>
      <c r="D506" s="1822"/>
      <c r="E506" s="1822"/>
      <c r="F506" s="1822"/>
      <c r="G506" s="1822"/>
      <c r="H506" s="1822"/>
      <c r="I506" s="1822"/>
      <c r="J506" s="1822"/>
      <c r="K506" s="1822"/>
      <c r="L506" s="551">
        <v>15098.95</v>
      </c>
      <c r="M506" s="550"/>
      <c r="N506" s="549"/>
      <c r="AJ506" s="537" t="s">
        <v>405</v>
      </c>
    </row>
    <row r="507" spans="1:36" s="536" customFormat="1" x14ac:dyDescent="0.2">
      <c r="A507" s="548"/>
      <c r="B507" s="552"/>
      <c r="C507" s="1822" t="s">
        <v>406</v>
      </c>
      <c r="D507" s="1822"/>
      <c r="E507" s="1822"/>
      <c r="F507" s="1822"/>
      <c r="G507" s="1822"/>
      <c r="H507" s="1822"/>
      <c r="I507" s="1822"/>
      <c r="J507" s="1822"/>
      <c r="K507" s="1822"/>
      <c r="L507" s="551">
        <v>1494.39</v>
      </c>
      <c r="M507" s="550"/>
      <c r="N507" s="549"/>
      <c r="AJ507" s="537" t="s">
        <v>406</v>
      </c>
    </row>
    <row r="508" spans="1:36" s="536" customFormat="1" x14ac:dyDescent="0.2">
      <c r="A508" s="548"/>
      <c r="B508" s="552"/>
      <c r="C508" s="1822" t="s">
        <v>480</v>
      </c>
      <c r="D508" s="1822"/>
      <c r="E508" s="1822"/>
      <c r="F508" s="1822"/>
      <c r="G508" s="1822"/>
      <c r="H508" s="1822"/>
      <c r="I508" s="1822"/>
      <c r="J508" s="1822"/>
      <c r="K508" s="1822"/>
      <c r="L508" s="551">
        <v>2233115.66</v>
      </c>
      <c r="M508" s="550"/>
      <c r="N508" s="549"/>
      <c r="AJ508" s="537" t="s">
        <v>480</v>
      </c>
    </row>
    <row r="509" spans="1:36" s="536" customFormat="1" x14ac:dyDescent="0.2">
      <c r="A509" s="548"/>
      <c r="B509" s="552"/>
      <c r="C509" s="1822" t="s">
        <v>407</v>
      </c>
      <c r="D509" s="1822"/>
      <c r="E509" s="1822"/>
      <c r="F509" s="1822"/>
      <c r="G509" s="1822"/>
      <c r="H509" s="1822"/>
      <c r="I509" s="1822"/>
      <c r="J509" s="1822"/>
      <c r="K509" s="1822"/>
      <c r="L509" s="551">
        <v>9242.48</v>
      </c>
      <c r="M509" s="550"/>
      <c r="N509" s="549">
        <v>51758</v>
      </c>
      <c r="AJ509" s="537" t="s">
        <v>407</v>
      </c>
    </row>
    <row r="510" spans="1:36" s="536" customFormat="1" x14ac:dyDescent="0.2">
      <c r="A510" s="548"/>
      <c r="B510" s="552" t="s">
        <v>185</v>
      </c>
      <c r="C510" s="1822" t="s">
        <v>408</v>
      </c>
      <c r="D510" s="1822"/>
      <c r="E510" s="1822"/>
      <c r="F510" s="1822"/>
      <c r="G510" s="1822"/>
      <c r="H510" s="1822"/>
      <c r="I510" s="1822"/>
      <c r="J510" s="1822"/>
      <c r="K510" s="1822"/>
      <c r="L510" s="551">
        <v>8831.39</v>
      </c>
      <c r="M510" s="550">
        <v>5.6</v>
      </c>
      <c r="N510" s="549">
        <v>49456</v>
      </c>
      <c r="AJ510" s="537" t="s">
        <v>408</v>
      </c>
    </row>
    <row r="511" spans="1:36" s="536" customFormat="1" x14ac:dyDescent="0.2">
      <c r="A511" s="548"/>
      <c r="B511" s="552"/>
      <c r="C511" s="1822" t="s">
        <v>409</v>
      </c>
      <c r="D511" s="1822"/>
      <c r="E511" s="1822"/>
      <c r="F511" s="1822"/>
      <c r="G511" s="1822"/>
      <c r="H511" s="1822"/>
      <c r="I511" s="1822"/>
      <c r="J511" s="1822"/>
      <c r="K511" s="1822"/>
      <c r="L511" s="551"/>
      <c r="M511" s="550"/>
      <c r="N511" s="549"/>
      <c r="AJ511" s="537" t="s">
        <v>409</v>
      </c>
    </row>
    <row r="512" spans="1:36" s="536" customFormat="1" x14ac:dyDescent="0.2">
      <c r="A512" s="548"/>
      <c r="B512" s="552"/>
      <c r="C512" s="1822" t="s">
        <v>410</v>
      </c>
      <c r="D512" s="1822"/>
      <c r="E512" s="1822"/>
      <c r="F512" s="1822"/>
      <c r="G512" s="1822"/>
      <c r="H512" s="1822"/>
      <c r="I512" s="1822"/>
      <c r="J512" s="1822"/>
      <c r="K512" s="1822"/>
      <c r="L512" s="551">
        <v>536.72</v>
      </c>
      <c r="M512" s="550"/>
      <c r="N512" s="549"/>
      <c r="AJ512" s="537" t="s">
        <v>410</v>
      </c>
    </row>
    <row r="513" spans="1:36" s="536" customFormat="1" x14ac:dyDescent="0.2">
      <c r="A513" s="548"/>
      <c r="B513" s="552"/>
      <c r="C513" s="1822" t="s">
        <v>411</v>
      </c>
      <c r="D513" s="1822"/>
      <c r="E513" s="1822"/>
      <c r="F513" s="1822"/>
      <c r="G513" s="1822"/>
      <c r="H513" s="1822"/>
      <c r="I513" s="1822"/>
      <c r="J513" s="1822"/>
      <c r="K513" s="1822"/>
      <c r="L513" s="551">
        <v>2536.19</v>
      </c>
      <c r="M513" s="550"/>
      <c r="N513" s="549"/>
      <c r="AJ513" s="537" t="s">
        <v>411</v>
      </c>
    </row>
    <row r="514" spans="1:36" s="536" customFormat="1" x14ac:dyDescent="0.2">
      <c r="A514" s="548"/>
      <c r="B514" s="552"/>
      <c r="C514" s="1822" t="s">
        <v>481</v>
      </c>
      <c r="D514" s="1822"/>
      <c r="E514" s="1822"/>
      <c r="F514" s="1822"/>
      <c r="G514" s="1822"/>
      <c r="H514" s="1822"/>
      <c r="I514" s="1822"/>
      <c r="J514" s="1822"/>
      <c r="K514" s="1822"/>
      <c r="L514" s="551">
        <v>4622.17</v>
      </c>
      <c r="M514" s="550"/>
      <c r="N514" s="549"/>
      <c r="AJ514" s="537" t="s">
        <v>481</v>
      </c>
    </row>
    <row r="515" spans="1:36" s="536" customFormat="1" x14ac:dyDescent="0.2">
      <c r="A515" s="548"/>
      <c r="B515" s="552"/>
      <c r="C515" s="1822" t="s">
        <v>412</v>
      </c>
      <c r="D515" s="1822"/>
      <c r="E515" s="1822"/>
      <c r="F515" s="1822"/>
      <c r="G515" s="1822"/>
      <c r="H515" s="1822"/>
      <c r="I515" s="1822"/>
      <c r="J515" s="1822"/>
      <c r="K515" s="1822"/>
      <c r="L515" s="551">
        <v>760.37</v>
      </c>
      <c r="M515" s="550"/>
      <c r="N515" s="549"/>
      <c r="AJ515" s="537" t="s">
        <v>412</v>
      </c>
    </row>
    <row r="516" spans="1:36" s="536" customFormat="1" x14ac:dyDescent="0.2">
      <c r="A516" s="548"/>
      <c r="B516" s="552"/>
      <c r="C516" s="1822" t="s">
        <v>413</v>
      </c>
      <c r="D516" s="1822"/>
      <c r="E516" s="1822"/>
      <c r="F516" s="1822"/>
      <c r="G516" s="1822"/>
      <c r="H516" s="1822"/>
      <c r="I516" s="1822"/>
      <c r="J516" s="1822"/>
      <c r="K516" s="1822"/>
      <c r="L516" s="551">
        <v>375.94</v>
      </c>
      <c r="M516" s="550"/>
      <c r="N516" s="549"/>
      <c r="AJ516" s="537" t="s">
        <v>413</v>
      </c>
    </row>
    <row r="517" spans="1:36" s="536" customFormat="1" x14ac:dyDescent="0.2">
      <c r="A517" s="548"/>
      <c r="B517" s="552" t="s">
        <v>185</v>
      </c>
      <c r="C517" s="1822" t="s">
        <v>414</v>
      </c>
      <c r="D517" s="1822"/>
      <c r="E517" s="1822"/>
      <c r="F517" s="1822"/>
      <c r="G517" s="1822"/>
      <c r="H517" s="1822"/>
      <c r="I517" s="1822"/>
      <c r="J517" s="1822"/>
      <c r="K517" s="1822"/>
      <c r="L517" s="551">
        <v>411.09</v>
      </c>
      <c r="M517" s="550">
        <v>5.6</v>
      </c>
      <c r="N517" s="549">
        <v>2302</v>
      </c>
      <c r="AJ517" s="537" t="s">
        <v>414</v>
      </c>
    </row>
    <row r="518" spans="1:36" s="536" customFormat="1" x14ac:dyDescent="0.2">
      <c r="A518" s="548"/>
      <c r="B518" s="552" t="s">
        <v>185</v>
      </c>
      <c r="C518" s="1822" t="s">
        <v>753</v>
      </c>
      <c r="D518" s="1822"/>
      <c r="E518" s="1822"/>
      <c r="F518" s="1822"/>
      <c r="G518" s="1822"/>
      <c r="H518" s="1822"/>
      <c r="I518" s="1822"/>
      <c r="J518" s="1822"/>
      <c r="K518" s="1822"/>
      <c r="L518" s="551">
        <v>2258886.84</v>
      </c>
      <c r="M518" s="550">
        <v>5.6</v>
      </c>
      <c r="N518" s="549">
        <v>12649766</v>
      </c>
      <c r="AJ518" s="537" t="s">
        <v>753</v>
      </c>
    </row>
    <row r="519" spans="1:36" s="536" customFormat="1" x14ac:dyDescent="0.2">
      <c r="A519" s="548"/>
      <c r="B519" s="552"/>
      <c r="C519" s="1822" t="s">
        <v>204</v>
      </c>
      <c r="D519" s="1822"/>
      <c r="E519" s="1822"/>
      <c r="F519" s="1822"/>
      <c r="G519" s="1822"/>
      <c r="H519" s="1822"/>
      <c r="I519" s="1822"/>
      <c r="J519" s="1822"/>
      <c r="K519" s="1822"/>
      <c r="L519" s="551"/>
      <c r="M519" s="550"/>
      <c r="N519" s="549"/>
      <c r="AJ519" s="537" t="s">
        <v>204</v>
      </c>
    </row>
    <row r="520" spans="1:36" s="536" customFormat="1" x14ac:dyDescent="0.2">
      <c r="A520" s="548"/>
      <c r="B520" s="552"/>
      <c r="C520" s="1822" t="s">
        <v>546</v>
      </c>
      <c r="D520" s="1822"/>
      <c r="E520" s="1822"/>
      <c r="F520" s="1822"/>
      <c r="G520" s="1822"/>
      <c r="H520" s="1822"/>
      <c r="I520" s="1822"/>
      <c r="J520" s="1822"/>
      <c r="K520" s="1822"/>
      <c r="L520" s="551">
        <v>6693.67</v>
      </c>
      <c r="M520" s="550"/>
      <c r="N520" s="549"/>
      <c r="AJ520" s="537" t="s">
        <v>546</v>
      </c>
    </row>
    <row r="521" spans="1:36" s="536" customFormat="1" x14ac:dyDescent="0.2">
      <c r="A521" s="548"/>
      <c r="B521" s="552"/>
      <c r="C521" s="1822" t="s">
        <v>442</v>
      </c>
      <c r="D521" s="1822"/>
      <c r="E521" s="1822"/>
      <c r="F521" s="1822"/>
      <c r="G521" s="1822"/>
      <c r="H521" s="1822"/>
      <c r="I521" s="1822"/>
      <c r="J521" s="1822"/>
      <c r="K521" s="1822"/>
      <c r="L521" s="551">
        <v>12151.67</v>
      </c>
      <c r="M521" s="550"/>
      <c r="N521" s="549"/>
      <c r="AJ521" s="537" t="s">
        <v>442</v>
      </c>
    </row>
    <row r="522" spans="1:36" s="536" customFormat="1" x14ac:dyDescent="0.2">
      <c r="A522" s="548"/>
      <c r="B522" s="552"/>
      <c r="C522" s="1822" t="s">
        <v>547</v>
      </c>
      <c r="D522" s="1822"/>
      <c r="E522" s="1822"/>
      <c r="F522" s="1822"/>
      <c r="G522" s="1822"/>
      <c r="H522" s="1822"/>
      <c r="I522" s="1822"/>
      <c r="J522" s="1822"/>
      <c r="K522" s="1822"/>
      <c r="L522" s="551">
        <v>2228493.4900000002</v>
      </c>
      <c r="M522" s="550"/>
      <c r="N522" s="549"/>
      <c r="AJ522" s="537" t="s">
        <v>547</v>
      </c>
    </row>
    <row r="523" spans="1:36" s="536" customFormat="1" x14ac:dyDescent="0.2">
      <c r="A523" s="548"/>
      <c r="B523" s="552"/>
      <c r="C523" s="1822" t="s">
        <v>443</v>
      </c>
      <c r="D523" s="1822"/>
      <c r="E523" s="1822"/>
      <c r="F523" s="1822"/>
      <c r="G523" s="1822"/>
      <c r="H523" s="1822"/>
      <c r="I523" s="1822"/>
      <c r="J523" s="1822"/>
      <c r="K523" s="1822"/>
      <c r="L523" s="551">
        <v>7560.58</v>
      </c>
      <c r="M523" s="550"/>
      <c r="N523" s="549"/>
      <c r="AJ523" s="537" t="s">
        <v>443</v>
      </c>
    </row>
    <row r="524" spans="1:36" s="536" customFormat="1" x14ac:dyDescent="0.2">
      <c r="A524" s="548"/>
      <c r="B524" s="552"/>
      <c r="C524" s="1822" t="s">
        <v>444</v>
      </c>
      <c r="D524" s="1822"/>
      <c r="E524" s="1822"/>
      <c r="F524" s="1822"/>
      <c r="G524" s="1822"/>
      <c r="H524" s="1822"/>
      <c r="I524" s="1822"/>
      <c r="J524" s="1822"/>
      <c r="K524" s="1822"/>
      <c r="L524" s="551">
        <v>3987.43</v>
      </c>
      <c r="M524" s="550"/>
      <c r="N524" s="549"/>
      <c r="AJ524" s="537" t="s">
        <v>444</v>
      </c>
    </row>
    <row r="525" spans="1:36" s="536" customFormat="1" x14ac:dyDescent="0.2">
      <c r="A525" s="548"/>
      <c r="B525" s="552" t="s">
        <v>186</v>
      </c>
      <c r="C525" s="1822" t="s">
        <v>754</v>
      </c>
      <c r="D525" s="1822"/>
      <c r="E525" s="1822"/>
      <c r="F525" s="1822"/>
      <c r="G525" s="1822"/>
      <c r="H525" s="1822"/>
      <c r="I525" s="1822"/>
      <c r="J525" s="1822"/>
      <c r="K525" s="1822"/>
      <c r="L525" s="551">
        <v>7760248.5800000001</v>
      </c>
      <c r="M525" s="550">
        <v>4.59</v>
      </c>
      <c r="N525" s="549">
        <v>35619541</v>
      </c>
      <c r="AJ525" s="537" t="s">
        <v>754</v>
      </c>
    </row>
    <row r="526" spans="1:36" s="536" customFormat="1" x14ac:dyDescent="0.2">
      <c r="A526" s="548"/>
      <c r="B526" s="552"/>
      <c r="C526" s="1822" t="s">
        <v>415</v>
      </c>
      <c r="D526" s="1822"/>
      <c r="E526" s="1822"/>
      <c r="F526" s="1822"/>
      <c r="G526" s="1822"/>
      <c r="H526" s="1822"/>
      <c r="I526" s="1822"/>
      <c r="J526" s="1822"/>
      <c r="K526" s="1822"/>
      <c r="L526" s="551">
        <v>8724.7800000000007</v>
      </c>
      <c r="M526" s="550"/>
      <c r="N526" s="549"/>
      <c r="AJ526" s="537" t="s">
        <v>415</v>
      </c>
    </row>
    <row r="527" spans="1:36" s="536" customFormat="1" x14ac:dyDescent="0.2">
      <c r="A527" s="548"/>
      <c r="B527" s="552"/>
      <c r="C527" s="1822" t="s">
        <v>416</v>
      </c>
      <c r="D527" s="1822"/>
      <c r="E527" s="1822"/>
      <c r="F527" s="1822"/>
      <c r="G527" s="1822"/>
      <c r="H527" s="1822"/>
      <c r="I527" s="1822"/>
      <c r="J527" s="1822"/>
      <c r="K527" s="1822"/>
      <c r="L527" s="551">
        <v>8320.9500000000007</v>
      </c>
      <c r="M527" s="550"/>
      <c r="N527" s="549"/>
      <c r="AJ527" s="537" t="s">
        <v>416</v>
      </c>
    </row>
    <row r="528" spans="1:36" s="536" customFormat="1" x14ac:dyDescent="0.2">
      <c r="A528" s="548"/>
      <c r="B528" s="552"/>
      <c r="C528" s="1822" t="s">
        <v>417</v>
      </c>
      <c r="D528" s="1822"/>
      <c r="E528" s="1822"/>
      <c r="F528" s="1822"/>
      <c r="G528" s="1822"/>
      <c r="H528" s="1822"/>
      <c r="I528" s="1822"/>
      <c r="J528" s="1822"/>
      <c r="K528" s="1822"/>
      <c r="L528" s="551">
        <v>4363.37</v>
      </c>
      <c r="M528" s="550"/>
      <c r="N528" s="549"/>
      <c r="AJ528" s="537" t="s">
        <v>417</v>
      </c>
    </row>
    <row r="529" spans="1:38" x14ac:dyDescent="0.2">
      <c r="A529" s="548"/>
      <c r="B529" s="546"/>
      <c r="C529" s="1819" t="s">
        <v>206</v>
      </c>
      <c r="D529" s="1819"/>
      <c r="E529" s="1819"/>
      <c r="F529" s="1819"/>
      <c r="G529" s="1819"/>
      <c r="H529" s="1819"/>
      <c r="I529" s="1819"/>
      <c r="J529" s="1819"/>
      <c r="K529" s="1819"/>
      <c r="L529" s="544">
        <v>10028377.9</v>
      </c>
      <c r="M529" s="543"/>
      <c r="N529" s="547">
        <v>48321065</v>
      </c>
      <c r="P529" s="536"/>
      <c r="Q529" s="536"/>
      <c r="R529" s="536"/>
      <c r="S529" s="536"/>
      <c r="T529" s="536"/>
      <c r="U529" s="536"/>
      <c r="V529" s="536"/>
      <c r="W529" s="536"/>
      <c r="X529" s="536"/>
      <c r="Y529" s="536"/>
      <c r="Z529" s="536"/>
      <c r="AA529" s="536"/>
      <c r="AB529" s="536"/>
      <c r="AC529" s="536"/>
      <c r="AD529" s="536"/>
      <c r="AE529" s="536"/>
      <c r="AF529" s="536"/>
      <c r="AG529" s="536"/>
      <c r="AH529" s="536"/>
      <c r="AI529" s="536"/>
      <c r="AJ529" s="536"/>
      <c r="AK529" s="537" t="s">
        <v>206</v>
      </c>
      <c r="AL529" s="536"/>
    </row>
    <row r="530" spans="1:38" x14ac:dyDescent="0.2">
      <c r="A530" s="548"/>
      <c r="B530" s="552"/>
      <c r="C530" s="1822" t="s">
        <v>204</v>
      </c>
      <c r="D530" s="1822"/>
      <c r="E530" s="1822"/>
      <c r="F530" s="1822"/>
      <c r="G530" s="1822"/>
      <c r="H530" s="1822"/>
      <c r="I530" s="1822"/>
      <c r="J530" s="1822"/>
      <c r="K530" s="1822"/>
      <c r="L530" s="551"/>
      <c r="M530" s="550"/>
      <c r="N530" s="549"/>
      <c r="P530" s="536"/>
      <c r="Q530" s="536"/>
      <c r="R530" s="536"/>
      <c r="S530" s="536"/>
      <c r="T530" s="536"/>
      <c r="U530" s="536"/>
      <c r="V530" s="536"/>
      <c r="W530" s="536"/>
      <c r="X530" s="536"/>
      <c r="Y530" s="536"/>
      <c r="Z530" s="536"/>
      <c r="AA530" s="536"/>
      <c r="AB530" s="536"/>
      <c r="AC530" s="536"/>
      <c r="AD530" s="536"/>
      <c r="AE530" s="536"/>
      <c r="AF530" s="536"/>
      <c r="AG530" s="536"/>
      <c r="AH530" s="536"/>
      <c r="AI530" s="536"/>
      <c r="AJ530" s="537" t="s">
        <v>204</v>
      </c>
      <c r="AK530" s="536"/>
      <c r="AL530" s="536"/>
    </row>
    <row r="531" spans="1:38" x14ac:dyDescent="0.2">
      <c r="A531" s="548"/>
      <c r="B531" s="552"/>
      <c r="C531" s="1822" t="s">
        <v>8095</v>
      </c>
      <c r="D531" s="1822"/>
      <c r="E531" s="1822"/>
      <c r="F531" s="1822"/>
      <c r="G531" s="1822"/>
      <c r="H531" s="1822"/>
      <c r="I531" s="1822"/>
      <c r="J531" s="1822"/>
      <c r="K531" s="1822"/>
      <c r="L531" s="551">
        <v>2203289.2999999998</v>
      </c>
      <c r="M531" s="550"/>
      <c r="N531" s="549">
        <v>12338420</v>
      </c>
      <c r="P531" s="536"/>
      <c r="Q531" s="536"/>
      <c r="R531" s="536"/>
      <c r="S531" s="536"/>
      <c r="T531" s="536"/>
      <c r="U531" s="536"/>
      <c r="V531" s="536"/>
      <c r="W531" s="536"/>
      <c r="X531" s="536"/>
      <c r="Y531" s="536"/>
      <c r="Z531" s="536"/>
      <c r="AA531" s="536"/>
      <c r="AB531" s="536"/>
      <c r="AC531" s="536"/>
      <c r="AD531" s="536"/>
      <c r="AE531" s="536"/>
      <c r="AF531" s="536"/>
      <c r="AG531" s="536"/>
      <c r="AH531" s="536"/>
      <c r="AI531" s="536"/>
      <c r="AJ531" s="537" t="s">
        <v>8095</v>
      </c>
      <c r="AK531" s="536"/>
      <c r="AL531" s="536"/>
    </row>
    <row r="532" spans="1:38" x14ac:dyDescent="0.2">
      <c r="A532" s="548"/>
      <c r="B532" s="552"/>
      <c r="C532" s="1822" t="s">
        <v>8097</v>
      </c>
      <c r="D532" s="1822"/>
      <c r="E532" s="1822"/>
      <c r="F532" s="1822"/>
      <c r="G532" s="1822"/>
      <c r="H532" s="1822"/>
      <c r="I532" s="1822"/>
      <c r="J532" s="1822"/>
      <c r="K532" s="1822"/>
      <c r="L532" s="551"/>
      <c r="M532" s="550"/>
      <c r="N532" s="549">
        <v>35619541</v>
      </c>
      <c r="P532" s="536"/>
      <c r="Q532" s="536"/>
      <c r="R532" s="536"/>
      <c r="S532" s="536"/>
      <c r="T532" s="536"/>
      <c r="U532" s="536"/>
      <c r="V532" s="536"/>
      <c r="W532" s="536"/>
      <c r="X532" s="536"/>
      <c r="Y532" s="536"/>
      <c r="Z532" s="536"/>
      <c r="AA532" s="536"/>
      <c r="AB532" s="536"/>
      <c r="AC532" s="536"/>
      <c r="AD532" s="536"/>
      <c r="AE532" s="536"/>
      <c r="AF532" s="536"/>
      <c r="AG532" s="536"/>
      <c r="AH532" s="536"/>
      <c r="AI532" s="536"/>
      <c r="AJ532" s="537" t="s">
        <v>8097</v>
      </c>
      <c r="AK532" s="536"/>
      <c r="AL532" s="536"/>
    </row>
    <row r="533" spans="1:38" ht="1.5" customHeight="1" x14ac:dyDescent="0.2">
      <c r="B533" s="546"/>
      <c r="C533" s="671"/>
      <c r="D533" s="671"/>
      <c r="E533" s="671"/>
      <c r="F533" s="671"/>
      <c r="G533" s="671"/>
      <c r="H533" s="671"/>
      <c r="I533" s="671"/>
      <c r="J533" s="671"/>
      <c r="K533" s="671"/>
      <c r="L533" s="544"/>
      <c r="M533" s="543"/>
      <c r="N533" s="542"/>
      <c r="P533" s="536"/>
      <c r="Q533" s="536"/>
      <c r="R533" s="536"/>
      <c r="S533" s="536"/>
      <c r="T533" s="536"/>
      <c r="U533" s="536"/>
      <c r="V533" s="536"/>
      <c r="W533" s="536"/>
      <c r="X533" s="536"/>
      <c r="Y533" s="536"/>
      <c r="Z533" s="536"/>
      <c r="AA533" s="536"/>
      <c r="AB533" s="536"/>
      <c r="AC533" s="536"/>
      <c r="AD533" s="536"/>
      <c r="AE533" s="536"/>
      <c r="AF533" s="536"/>
      <c r="AG533" s="536"/>
      <c r="AH533" s="536"/>
      <c r="AI533" s="536"/>
      <c r="AJ533" s="536"/>
      <c r="AK533" s="536"/>
      <c r="AL533" s="536"/>
    </row>
    <row r="534" spans="1:38" ht="53.25" customHeight="1" x14ac:dyDescent="0.2">
      <c r="A534" s="541"/>
      <c r="B534" s="541"/>
      <c r="C534" s="541"/>
      <c r="D534" s="541"/>
      <c r="E534" s="541"/>
      <c r="F534" s="541"/>
      <c r="G534" s="541"/>
      <c r="H534" s="541"/>
      <c r="I534" s="541"/>
      <c r="J534" s="541"/>
      <c r="K534" s="541"/>
      <c r="L534" s="541"/>
      <c r="M534" s="541"/>
      <c r="N534" s="541"/>
      <c r="P534" s="536"/>
      <c r="Q534" s="536"/>
      <c r="R534" s="536"/>
      <c r="S534" s="536"/>
      <c r="T534" s="536"/>
      <c r="U534" s="536"/>
      <c r="V534" s="536"/>
      <c r="W534" s="536"/>
      <c r="X534" s="536"/>
      <c r="Y534" s="536"/>
      <c r="Z534" s="536"/>
      <c r="AA534" s="536"/>
      <c r="AB534" s="536"/>
      <c r="AC534" s="536"/>
      <c r="AD534" s="536"/>
      <c r="AE534" s="536"/>
      <c r="AF534" s="536"/>
      <c r="AG534" s="536"/>
      <c r="AH534" s="536"/>
      <c r="AI534" s="536"/>
      <c r="AJ534" s="536"/>
      <c r="AK534" s="536"/>
      <c r="AL534" s="536"/>
    </row>
    <row r="535" spans="1:38" x14ac:dyDescent="0.2">
      <c r="B535" s="539" t="s">
        <v>149</v>
      </c>
      <c r="C535" s="1943" t="s">
        <v>207</v>
      </c>
      <c r="D535" s="1943"/>
      <c r="E535" s="1943"/>
      <c r="F535" s="1943"/>
      <c r="G535" s="1943"/>
      <c r="H535" s="1943"/>
      <c r="I535" s="1943"/>
      <c r="J535" s="1943"/>
      <c r="K535" s="1943"/>
      <c r="L535" s="1943"/>
    </row>
    <row r="536" spans="1:38" ht="13.5" customHeight="1" x14ac:dyDescent="0.2">
      <c r="B536" s="540"/>
      <c r="C536" s="1821" t="s">
        <v>150</v>
      </c>
      <c r="D536" s="1821"/>
      <c r="E536" s="1821"/>
      <c r="F536" s="1821"/>
      <c r="G536" s="1821"/>
      <c r="H536" s="1821"/>
      <c r="I536" s="1821"/>
      <c r="J536" s="1821"/>
      <c r="K536" s="1821"/>
      <c r="L536" s="1821"/>
    </row>
    <row r="537" spans="1:38" ht="12.75" customHeight="1" x14ac:dyDescent="0.2">
      <c r="B537" s="539" t="s">
        <v>151</v>
      </c>
      <c r="C537" s="1943" t="s">
        <v>208</v>
      </c>
      <c r="D537" s="1943"/>
      <c r="E537" s="1943"/>
      <c r="F537" s="1943"/>
      <c r="G537" s="1943"/>
      <c r="H537" s="1943"/>
      <c r="I537" s="1943"/>
      <c r="J537" s="1943"/>
      <c r="K537" s="1943"/>
      <c r="L537" s="1943"/>
    </row>
    <row r="538" spans="1:38" ht="13.5" customHeight="1" x14ac:dyDescent="0.2">
      <c r="C538" s="1821" t="s">
        <v>150</v>
      </c>
      <c r="D538" s="1821"/>
      <c r="E538" s="1821"/>
      <c r="F538" s="1821"/>
      <c r="G538" s="1821"/>
      <c r="H538" s="1821"/>
      <c r="I538" s="1821"/>
      <c r="J538" s="1821"/>
      <c r="K538" s="1821"/>
      <c r="L538" s="1821"/>
    </row>
    <row r="540" spans="1:38" x14ac:dyDescent="0.2">
      <c r="A540" s="1944"/>
      <c r="B540" s="1944"/>
      <c r="C540" s="1944"/>
      <c r="D540" s="1944"/>
      <c r="E540" s="1944"/>
      <c r="F540" s="1944"/>
      <c r="G540" s="1944"/>
      <c r="H540" s="1944"/>
      <c r="I540" s="1944"/>
      <c r="J540" s="1944"/>
      <c r="K540" s="1944"/>
      <c r="L540" s="1944"/>
      <c r="M540" s="1944"/>
      <c r="N540" s="1944"/>
      <c r="P540" s="536"/>
      <c r="Q540" s="536"/>
      <c r="R540" s="536"/>
      <c r="S540" s="536"/>
      <c r="T540" s="536"/>
      <c r="U540" s="536"/>
      <c r="V540" s="536"/>
      <c r="W540" s="536"/>
      <c r="X540" s="536"/>
      <c r="Y540" s="536"/>
      <c r="Z540" s="536"/>
      <c r="AA540" s="536"/>
      <c r="AB540" s="536"/>
      <c r="AC540" s="536"/>
      <c r="AD540" s="536"/>
      <c r="AE540" s="536"/>
      <c r="AF540" s="536"/>
      <c r="AG540" s="536"/>
      <c r="AH540" s="536"/>
      <c r="AI540" s="536"/>
      <c r="AJ540" s="536"/>
      <c r="AK540" s="536"/>
      <c r="AL540" s="537" t="s">
        <v>143</v>
      </c>
    </row>
    <row r="541" spans="1:38" x14ac:dyDescent="0.2">
      <c r="B541" s="538"/>
      <c r="D541" s="538"/>
      <c r="F541" s="538"/>
      <c r="P541" s="536"/>
      <c r="Q541" s="536"/>
      <c r="R541" s="536"/>
      <c r="S541" s="536"/>
      <c r="T541" s="536"/>
      <c r="U541" s="536"/>
      <c r="V541" s="536"/>
      <c r="W541" s="536"/>
      <c r="X541" s="536"/>
      <c r="Y541" s="536"/>
      <c r="Z541" s="536"/>
      <c r="AA541" s="536"/>
      <c r="AB541" s="536"/>
      <c r="AC541" s="536"/>
      <c r="AD541" s="536"/>
      <c r="AE541" s="536"/>
      <c r="AF541" s="536"/>
      <c r="AG541" s="536"/>
      <c r="AH541" s="536"/>
      <c r="AI541" s="536"/>
      <c r="AJ541" s="536"/>
      <c r="AK541" s="536"/>
      <c r="AL541" s="536"/>
    </row>
  </sheetData>
  <mergeCells count="505">
    <mergeCell ref="C537:L537"/>
    <mergeCell ref="C538:L538"/>
    <mergeCell ref="A540:N540"/>
    <mergeCell ref="C529:K529"/>
    <mergeCell ref="C530:K530"/>
    <mergeCell ref="C531:K531"/>
    <mergeCell ref="C532:K532"/>
    <mergeCell ref="C535:L535"/>
    <mergeCell ref="C536:L536"/>
    <mergeCell ref="C523:K523"/>
    <mergeCell ref="C524:K524"/>
    <mergeCell ref="C525:K525"/>
    <mergeCell ref="C526:K526"/>
    <mergeCell ref="C527:K527"/>
    <mergeCell ref="C528:K528"/>
    <mergeCell ref="C517:K517"/>
    <mergeCell ref="C518:K518"/>
    <mergeCell ref="C519:K519"/>
    <mergeCell ref="C520:K520"/>
    <mergeCell ref="C521:K521"/>
    <mergeCell ref="C522:K522"/>
    <mergeCell ref="C511:K511"/>
    <mergeCell ref="C512:K512"/>
    <mergeCell ref="C513:K513"/>
    <mergeCell ref="C514:K514"/>
    <mergeCell ref="C515:K515"/>
    <mergeCell ref="C516:K516"/>
    <mergeCell ref="C505:K505"/>
    <mergeCell ref="C506:K506"/>
    <mergeCell ref="C507:K507"/>
    <mergeCell ref="C508:K508"/>
    <mergeCell ref="C509:K509"/>
    <mergeCell ref="C510:K510"/>
    <mergeCell ref="C498:K498"/>
    <mergeCell ref="C499:K499"/>
    <mergeCell ref="C500:K500"/>
    <mergeCell ref="C502:K502"/>
    <mergeCell ref="C503:K503"/>
    <mergeCell ref="C504:K504"/>
    <mergeCell ref="C491:N491"/>
    <mergeCell ref="C493:K493"/>
    <mergeCell ref="C494:K494"/>
    <mergeCell ref="C495:K495"/>
    <mergeCell ref="C496:K496"/>
    <mergeCell ref="C497:K497"/>
    <mergeCell ref="C484:K484"/>
    <mergeCell ref="C485:K485"/>
    <mergeCell ref="C486:K486"/>
    <mergeCell ref="C487:K487"/>
    <mergeCell ref="A488:N488"/>
    <mergeCell ref="C489:E489"/>
    <mergeCell ref="C478:K478"/>
    <mergeCell ref="C479:K479"/>
    <mergeCell ref="C480:K480"/>
    <mergeCell ref="C481:K481"/>
    <mergeCell ref="C482:K482"/>
    <mergeCell ref="C483:K483"/>
    <mergeCell ref="C472:K472"/>
    <mergeCell ref="C473:K473"/>
    <mergeCell ref="C474:K474"/>
    <mergeCell ref="C475:K475"/>
    <mergeCell ref="C476:K476"/>
    <mergeCell ref="C477:K477"/>
    <mergeCell ref="C466:K466"/>
    <mergeCell ref="C467:K467"/>
    <mergeCell ref="C468:K468"/>
    <mergeCell ref="C469:K469"/>
    <mergeCell ref="C470:K470"/>
    <mergeCell ref="C471:K471"/>
    <mergeCell ref="C457:E457"/>
    <mergeCell ref="C459:E459"/>
    <mergeCell ref="C462:K462"/>
    <mergeCell ref="C463:K463"/>
    <mergeCell ref="C464:K464"/>
    <mergeCell ref="C465:K465"/>
    <mergeCell ref="C451:E451"/>
    <mergeCell ref="C452:E452"/>
    <mergeCell ref="C453:E453"/>
    <mergeCell ref="C454:E454"/>
    <mergeCell ref="C455:E455"/>
    <mergeCell ref="C456:E456"/>
    <mergeCell ref="C444:E444"/>
    <mergeCell ref="C446:N446"/>
    <mergeCell ref="C447:E447"/>
    <mergeCell ref="C448:N448"/>
    <mergeCell ref="C449:E449"/>
    <mergeCell ref="C450:E450"/>
    <mergeCell ref="C436:E436"/>
    <mergeCell ref="C437:E437"/>
    <mergeCell ref="C438:E438"/>
    <mergeCell ref="C440:N440"/>
    <mergeCell ref="C441:E441"/>
    <mergeCell ref="C443:N443"/>
    <mergeCell ref="C430:E430"/>
    <mergeCell ref="C431:E431"/>
    <mergeCell ref="C432:E432"/>
    <mergeCell ref="C433:E433"/>
    <mergeCell ref="C434:E434"/>
    <mergeCell ref="C435:E435"/>
    <mergeCell ref="C423:E423"/>
    <mergeCell ref="C425:N425"/>
    <mergeCell ref="C426:N426"/>
    <mergeCell ref="C427:N427"/>
    <mergeCell ref="C428:E428"/>
    <mergeCell ref="C429:N429"/>
    <mergeCell ref="C417:E417"/>
    <mergeCell ref="C418:E418"/>
    <mergeCell ref="C419:E419"/>
    <mergeCell ref="C420:E420"/>
    <mergeCell ref="C421:E421"/>
    <mergeCell ref="C422:E422"/>
    <mergeCell ref="C411:N411"/>
    <mergeCell ref="C412:E412"/>
    <mergeCell ref="C413:E413"/>
    <mergeCell ref="C414:E414"/>
    <mergeCell ref="C415:E415"/>
    <mergeCell ref="C416:E416"/>
    <mergeCell ref="C403:E403"/>
    <mergeCell ref="C405:N405"/>
    <mergeCell ref="C406:E406"/>
    <mergeCell ref="C408:N408"/>
    <mergeCell ref="C409:E409"/>
    <mergeCell ref="C410:N410"/>
    <mergeCell ref="C397:E397"/>
    <mergeCell ref="C398:E398"/>
    <mergeCell ref="C399:E399"/>
    <mergeCell ref="C400:E400"/>
    <mergeCell ref="C401:E401"/>
    <mergeCell ref="C402:E402"/>
    <mergeCell ref="C391:N391"/>
    <mergeCell ref="C392:E392"/>
    <mergeCell ref="C393:N393"/>
    <mergeCell ref="C394:N394"/>
    <mergeCell ref="C395:E395"/>
    <mergeCell ref="C396:E396"/>
    <mergeCell ref="C384:E384"/>
    <mergeCell ref="C385:E385"/>
    <mergeCell ref="C386:E386"/>
    <mergeCell ref="C387:E387"/>
    <mergeCell ref="C389:N389"/>
    <mergeCell ref="C390:N390"/>
    <mergeCell ref="C378:E378"/>
    <mergeCell ref="C379:E379"/>
    <mergeCell ref="C380:E380"/>
    <mergeCell ref="C381:E381"/>
    <mergeCell ref="C382:E382"/>
    <mergeCell ref="C383:E383"/>
    <mergeCell ref="C371:E371"/>
    <mergeCell ref="C373:E373"/>
    <mergeCell ref="C374:N374"/>
    <mergeCell ref="C375:N375"/>
    <mergeCell ref="C376:E376"/>
    <mergeCell ref="C377:E377"/>
    <mergeCell ref="C365:E365"/>
    <mergeCell ref="C366:E366"/>
    <mergeCell ref="C367:E367"/>
    <mergeCell ref="C368:E368"/>
    <mergeCell ref="C369:E369"/>
    <mergeCell ref="C370:E370"/>
    <mergeCell ref="C359:N359"/>
    <mergeCell ref="C360:E360"/>
    <mergeCell ref="C361:E361"/>
    <mergeCell ref="C362:E362"/>
    <mergeCell ref="C363:E363"/>
    <mergeCell ref="C364:E364"/>
    <mergeCell ref="C352:E352"/>
    <mergeCell ref="C353:E353"/>
    <mergeCell ref="C354:E354"/>
    <mergeCell ref="C356:N356"/>
    <mergeCell ref="C357:E357"/>
    <mergeCell ref="C358:N358"/>
    <mergeCell ref="C346:E346"/>
    <mergeCell ref="C347:E347"/>
    <mergeCell ref="C348:E348"/>
    <mergeCell ref="C349:E349"/>
    <mergeCell ref="C350:E350"/>
    <mergeCell ref="C351:E351"/>
    <mergeCell ref="C340:E340"/>
    <mergeCell ref="C341:N341"/>
    <mergeCell ref="C342:N342"/>
    <mergeCell ref="C343:E343"/>
    <mergeCell ref="C344:E344"/>
    <mergeCell ref="C345:E345"/>
    <mergeCell ref="C334:E334"/>
    <mergeCell ref="C335:E335"/>
    <mergeCell ref="C336:E336"/>
    <mergeCell ref="C337:E337"/>
    <mergeCell ref="C338:E338"/>
    <mergeCell ref="C339:E339"/>
    <mergeCell ref="C328:N328"/>
    <mergeCell ref="C329:E329"/>
    <mergeCell ref="C330:E330"/>
    <mergeCell ref="C331:E331"/>
    <mergeCell ref="C332:E332"/>
    <mergeCell ref="C333:E333"/>
    <mergeCell ref="C321:E321"/>
    <mergeCell ref="C323:N323"/>
    <mergeCell ref="C324:N324"/>
    <mergeCell ref="C325:N325"/>
    <mergeCell ref="C326:E326"/>
    <mergeCell ref="C327:N327"/>
    <mergeCell ref="C315:E315"/>
    <mergeCell ref="C316:E316"/>
    <mergeCell ref="C317:E317"/>
    <mergeCell ref="C318:E318"/>
    <mergeCell ref="C319:E319"/>
    <mergeCell ref="C320:E320"/>
    <mergeCell ref="C309:N309"/>
    <mergeCell ref="C310:E310"/>
    <mergeCell ref="C311:E311"/>
    <mergeCell ref="C312:E312"/>
    <mergeCell ref="C313:E313"/>
    <mergeCell ref="C314:E314"/>
    <mergeCell ref="C302:E302"/>
    <mergeCell ref="C303:E303"/>
    <mergeCell ref="C304:E304"/>
    <mergeCell ref="C306:N306"/>
    <mergeCell ref="C307:E307"/>
    <mergeCell ref="C308:N308"/>
    <mergeCell ref="C296:E296"/>
    <mergeCell ref="C297:E297"/>
    <mergeCell ref="C298:E298"/>
    <mergeCell ref="C299:E299"/>
    <mergeCell ref="C300:E300"/>
    <mergeCell ref="C301:E301"/>
    <mergeCell ref="C290:E290"/>
    <mergeCell ref="C291:N291"/>
    <mergeCell ref="C292:N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278:N278"/>
    <mergeCell ref="C279:E279"/>
    <mergeCell ref="C280:E280"/>
    <mergeCell ref="C281:E281"/>
    <mergeCell ref="C282:E282"/>
    <mergeCell ref="C283:E283"/>
    <mergeCell ref="C272:K272"/>
    <mergeCell ref="C273:K273"/>
    <mergeCell ref="C274:K274"/>
    <mergeCell ref="A275:N275"/>
    <mergeCell ref="C276:E276"/>
    <mergeCell ref="C277:N277"/>
    <mergeCell ref="C266:K266"/>
    <mergeCell ref="C267:K267"/>
    <mergeCell ref="C268:K268"/>
    <mergeCell ref="C269:K269"/>
    <mergeCell ref="C270:K270"/>
    <mergeCell ref="C271:K271"/>
    <mergeCell ref="C260:K260"/>
    <mergeCell ref="C261:K261"/>
    <mergeCell ref="C262:K262"/>
    <mergeCell ref="C263:K263"/>
    <mergeCell ref="C264:K264"/>
    <mergeCell ref="C265:K265"/>
    <mergeCell ref="C253:E253"/>
    <mergeCell ref="C254:E254"/>
    <mergeCell ref="C255:E255"/>
    <mergeCell ref="C257:K257"/>
    <mergeCell ref="C258:K258"/>
    <mergeCell ref="C259:K259"/>
    <mergeCell ref="C247:E247"/>
    <mergeCell ref="C248:E248"/>
    <mergeCell ref="C249:E249"/>
    <mergeCell ref="C250:E250"/>
    <mergeCell ref="C251:E251"/>
    <mergeCell ref="C252:E252"/>
    <mergeCell ref="C241:E241"/>
    <mergeCell ref="C242:E242"/>
    <mergeCell ref="C243:E243"/>
    <mergeCell ref="C244:N244"/>
    <mergeCell ref="C245:N245"/>
    <mergeCell ref="C246:E246"/>
    <mergeCell ref="C235:E235"/>
    <mergeCell ref="C236:E236"/>
    <mergeCell ref="C237:E237"/>
    <mergeCell ref="C238:E238"/>
    <mergeCell ref="C239:E239"/>
    <mergeCell ref="C240:E240"/>
    <mergeCell ref="C229:E229"/>
    <mergeCell ref="C230:E230"/>
    <mergeCell ref="C231:N231"/>
    <mergeCell ref="C232:E232"/>
    <mergeCell ref="C233:N233"/>
    <mergeCell ref="C234:N234"/>
    <mergeCell ref="C223:E223"/>
    <mergeCell ref="C224:E224"/>
    <mergeCell ref="C225:E225"/>
    <mergeCell ref="C226:E226"/>
    <mergeCell ref="C227:E227"/>
    <mergeCell ref="C228:E228"/>
    <mergeCell ref="C217:E217"/>
    <mergeCell ref="C218:E218"/>
    <mergeCell ref="C219:E219"/>
    <mergeCell ref="C220:E220"/>
    <mergeCell ref="C221:N221"/>
    <mergeCell ref="C222:N222"/>
    <mergeCell ref="C211:N211"/>
    <mergeCell ref="C212:E212"/>
    <mergeCell ref="C213:E213"/>
    <mergeCell ref="C214:E214"/>
    <mergeCell ref="C215:E215"/>
    <mergeCell ref="C216:E216"/>
    <mergeCell ref="C205:E205"/>
    <mergeCell ref="C206:E206"/>
    <mergeCell ref="C207:E207"/>
    <mergeCell ref="C208:E208"/>
    <mergeCell ref="C209:E209"/>
    <mergeCell ref="C210:N210"/>
    <mergeCell ref="C199:N199"/>
    <mergeCell ref="C200:N200"/>
    <mergeCell ref="C201:E201"/>
    <mergeCell ref="C202:E202"/>
    <mergeCell ref="C203:E203"/>
    <mergeCell ref="C204:E204"/>
    <mergeCell ref="C193:E193"/>
    <mergeCell ref="C194:E194"/>
    <mergeCell ref="C195:E195"/>
    <mergeCell ref="C196:E196"/>
    <mergeCell ref="A197:N197"/>
    <mergeCell ref="C198:E198"/>
    <mergeCell ref="C187:E187"/>
    <mergeCell ref="C188:E188"/>
    <mergeCell ref="C189:E189"/>
    <mergeCell ref="C190:E190"/>
    <mergeCell ref="C191:E191"/>
    <mergeCell ref="C192:E192"/>
    <mergeCell ref="C181:E181"/>
    <mergeCell ref="C182:E182"/>
    <mergeCell ref="C183:E183"/>
    <mergeCell ref="C184:E184"/>
    <mergeCell ref="C185:N185"/>
    <mergeCell ref="C186:N186"/>
    <mergeCell ref="C175:N175"/>
    <mergeCell ref="C176:E176"/>
    <mergeCell ref="C177:E177"/>
    <mergeCell ref="C178:E178"/>
    <mergeCell ref="C179:E179"/>
    <mergeCell ref="C180:E180"/>
    <mergeCell ref="C169:E169"/>
    <mergeCell ref="C170:E170"/>
    <mergeCell ref="C171:E171"/>
    <mergeCell ref="C172:N172"/>
    <mergeCell ref="C173:E173"/>
    <mergeCell ref="C174:N174"/>
    <mergeCell ref="C163:N163"/>
    <mergeCell ref="C164:E164"/>
    <mergeCell ref="C165:E165"/>
    <mergeCell ref="C166:E166"/>
    <mergeCell ref="C167:E167"/>
    <mergeCell ref="C168:E168"/>
    <mergeCell ref="C157:E157"/>
    <mergeCell ref="C158:E158"/>
    <mergeCell ref="C159:E159"/>
    <mergeCell ref="C160:E160"/>
    <mergeCell ref="C161:E161"/>
    <mergeCell ref="C162:N162"/>
    <mergeCell ref="C151:N151"/>
    <mergeCell ref="C152:N152"/>
    <mergeCell ref="C153:E153"/>
    <mergeCell ref="C154:E154"/>
    <mergeCell ref="C155:E155"/>
    <mergeCell ref="C156:E156"/>
    <mergeCell ref="C145:E145"/>
    <mergeCell ref="C146:E146"/>
    <mergeCell ref="C147:E147"/>
    <mergeCell ref="C148:E148"/>
    <mergeCell ref="C149:E149"/>
    <mergeCell ref="C150:E150"/>
    <mergeCell ref="C139:E139"/>
    <mergeCell ref="C140:N140"/>
    <mergeCell ref="C141:N141"/>
    <mergeCell ref="C142:E142"/>
    <mergeCell ref="C143:E143"/>
    <mergeCell ref="C144:E144"/>
    <mergeCell ref="C133:E133"/>
    <mergeCell ref="C134:E134"/>
    <mergeCell ref="C135:E135"/>
    <mergeCell ref="C136:E136"/>
    <mergeCell ref="C137:E137"/>
    <mergeCell ref="A138:N138"/>
    <mergeCell ref="C127:N127"/>
    <mergeCell ref="C128:E128"/>
    <mergeCell ref="C129:E129"/>
    <mergeCell ref="C130:E130"/>
    <mergeCell ref="C131:E131"/>
    <mergeCell ref="C132:E132"/>
    <mergeCell ref="C121:E121"/>
    <mergeCell ref="C122:E122"/>
    <mergeCell ref="C123:E123"/>
    <mergeCell ref="C124:E124"/>
    <mergeCell ref="C125:E125"/>
    <mergeCell ref="C126:N126"/>
    <mergeCell ref="C115:N115"/>
    <mergeCell ref="C116:N116"/>
    <mergeCell ref="C117:E117"/>
    <mergeCell ref="C118:E118"/>
    <mergeCell ref="C119:E119"/>
    <mergeCell ref="C120:E120"/>
    <mergeCell ref="C109:E109"/>
    <mergeCell ref="C110:E110"/>
    <mergeCell ref="C111:E111"/>
    <mergeCell ref="C112:E112"/>
    <mergeCell ref="C113:N113"/>
    <mergeCell ref="C114:E114"/>
    <mergeCell ref="C103:N103"/>
    <mergeCell ref="C104:N104"/>
    <mergeCell ref="C105:E105"/>
    <mergeCell ref="C106:E106"/>
    <mergeCell ref="C107:E107"/>
    <mergeCell ref="C108:E108"/>
    <mergeCell ref="C97:E97"/>
    <mergeCell ref="C98:E98"/>
    <mergeCell ref="C99:E99"/>
    <mergeCell ref="C100:E100"/>
    <mergeCell ref="C101:E101"/>
    <mergeCell ref="C102:E102"/>
    <mergeCell ref="C91:E91"/>
    <mergeCell ref="C92:N92"/>
    <mergeCell ref="C93:N93"/>
    <mergeCell ref="C94:E94"/>
    <mergeCell ref="C95:E95"/>
    <mergeCell ref="C96:E96"/>
    <mergeCell ref="C85:E85"/>
    <mergeCell ref="C86:E86"/>
    <mergeCell ref="C87:E87"/>
    <mergeCell ref="C88:E88"/>
    <mergeCell ref="C89:E89"/>
    <mergeCell ref="C90:E90"/>
    <mergeCell ref="A79:N79"/>
    <mergeCell ref="C80:E80"/>
    <mergeCell ref="C81:N81"/>
    <mergeCell ref="C82:N82"/>
    <mergeCell ref="C83:E83"/>
    <mergeCell ref="C84:E84"/>
    <mergeCell ref="C73:K73"/>
    <mergeCell ref="C74:K74"/>
    <mergeCell ref="C75:K75"/>
    <mergeCell ref="C76:K76"/>
    <mergeCell ref="C77:K77"/>
    <mergeCell ref="A78:N78"/>
    <mergeCell ref="C67:K67"/>
    <mergeCell ref="C68:K68"/>
    <mergeCell ref="C69:K69"/>
    <mergeCell ref="C70:K70"/>
    <mergeCell ref="C71:K71"/>
    <mergeCell ref="C72:K72"/>
    <mergeCell ref="C61:K61"/>
    <mergeCell ref="C62:K62"/>
    <mergeCell ref="C63:K63"/>
    <mergeCell ref="C64:K64"/>
    <mergeCell ref="C65:K65"/>
    <mergeCell ref="C66:K66"/>
    <mergeCell ref="C53:E53"/>
    <mergeCell ref="C55:N55"/>
    <mergeCell ref="C57:K57"/>
    <mergeCell ref="C58:K58"/>
    <mergeCell ref="C59:K59"/>
    <mergeCell ref="C60:K60"/>
    <mergeCell ref="C47:E47"/>
    <mergeCell ref="C48:E48"/>
    <mergeCell ref="C49:E49"/>
    <mergeCell ref="C50:E50"/>
    <mergeCell ref="C51:E51"/>
    <mergeCell ref="C52:E52"/>
    <mergeCell ref="C41:N41"/>
    <mergeCell ref="C42:E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540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/>
  <dimension ref="A1:AJ438"/>
  <sheetViews>
    <sheetView topLeftCell="A400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7.85546875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30" width="34.140625" style="537" hidden="1" customWidth="1"/>
    <col min="31" max="36" width="84.42578125" style="537" hidden="1" customWidth="1"/>
    <col min="37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/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143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3770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3771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3771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3772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5697.74</v>
      </c>
      <c r="D28" s="579" t="s">
        <v>8768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4987.76</v>
      </c>
      <c r="D30" s="579" t="s">
        <v>8769</v>
      </c>
      <c r="E30" s="665" t="s">
        <v>167</v>
      </c>
      <c r="G30" s="536" t="s">
        <v>170</v>
      </c>
      <c r="L30" s="580">
        <v>0</v>
      </c>
      <c r="M30" s="579" t="s">
        <v>8770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698.71</v>
      </c>
      <c r="D31" s="583" t="s">
        <v>8771</v>
      </c>
      <c r="E31" s="665" t="s">
        <v>167</v>
      </c>
      <c r="G31" s="536" t="s">
        <v>172</v>
      </c>
      <c r="L31" s="582"/>
      <c r="M31" s="582">
        <v>2550.9499999999998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11.28</v>
      </c>
      <c r="D32" s="583" t="s">
        <v>3773</v>
      </c>
      <c r="E32" s="665" t="s">
        <v>167</v>
      </c>
      <c r="G32" s="536" t="s">
        <v>174</v>
      </c>
      <c r="L32" s="582"/>
      <c r="M32" s="582">
        <v>351.47</v>
      </c>
      <c r="N32" s="581" t="s">
        <v>173</v>
      </c>
    </row>
    <row r="33" spans="1:28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8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8" s="536" customFormat="1" ht="12" x14ac:dyDescent="0.2">
      <c r="A39" s="1824" t="s">
        <v>976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976</v>
      </c>
    </row>
    <row r="40" spans="1:28" s="536" customFormat="1" ht="56.25" x14ac:dyDescent="0.2">
      <c r="A40" s="575" t="s">
        <v>185</v>
      </c>
      <c r="B40" s="670" t="s">
        <v>3774</v>
      </c>
      <c r="C40" s="1823" t="s">
        <v>3775</v>
      </c>
      <c r="D40" s="1823"/>
      <c r="E40" s="1823"/>
      <c r="F40" s="573" t="s">
        <v>455</v>
      </c>
      <c r="G40" s="573"/>
      <c r="H40" s="573"/>
      <c r="I40" s="573" t="s">
        <v>8772</v>
      </c>
      <c r="J40" s="572"/>
      <c r="K40" s="573"/>
      <c r="L40" s="572"/>
      <c r="M40" s="571"/>
      <c r="N40" s="570"/>
      <c r="V40" s="674"/>
      <c r="W40" s="675" t="s">
        <v>3775</v>
      </c>
    </row>
    <row r="41" spans="1:28" s="536" customFormat="1" ht="12" x14ac:dyDescent="0.2">
      <c r="A41" s="676"/>
      <c r="B41" s="664"/>
      <c r="C41" s="1822" t="s">
        <v>8773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8773</v>
      </c>
    </row>
    <row r="42" spans="1:28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Y42" s="537" t="s">
        <v>311</v>
      </c>
    </row>
    <row r="43" spans="1:28" s="536" customFormat="1" ht="12" x14ac:dyDescent="0.2">
      <c r="A43" s="605"/>
      <c r="B43" s="552" t="s">
        <v>186</v>
      </c>
      <c r="C43" s="1822" t="s">
        <v>344</v>
      </c>
      <c r="D43" s="1822"/>
      <c r="E43" s="1822"/>
      <c r="F43" s="562"/>
      <c r="G43" s="562"/>
      <c r="H43" s="562"/>
      <c r="I43" s="562"/>
      <c r="J43" s="604">
        <v>6166.95</v>
      </c>
      <c r="K43" s="562" t="s">
        <v>313</v>
      </c>
      <c r="L43" s="604">
        <v>2399.71</v>
      </c>
      <c r="M43" s="603"/>
      <c r="N43" s="602"/>
      <c r="V43" s="674"/>
      <c r="W43" s="675"/>
      <c r="Z43" s="537" t="s">
        <v>344</v>
      </c>
    </row>
    <row r="44" spans="1:28" s="536" customFormat="1" ht="12" x14ac:dyDescent="0.2">
      <c r="A44" s="605"/>
      <c r="B44" s="552" t="s">
        <v>187</v>
      </c>
      <c r="C44" s="1822" t="s">
        <v>345</v>
      </c>
      <c r="D44" s="1822"/>
      <c r="E44" s="1822"/>
      <c r="F44" s="562"/>
      <c r="G44" s="562"/>
      <c r="H44" s="562"/>
      <c r="I44" s="562"/>
      <c r="J44" s="604">
        <v>722.25</v>
      </c>
      <c r="K44" s="562" t="s">
        <v>313</v>
      </c>
      <c r="L44" s="604">
        <v>281.05</v>
      </c>
      <c r="M44" s="603"/>
      <c r="N44" s="602"/>
      <c r="V44" s="674"/>
      <c r="W44" s="675"/>
      <c r="Z44" s="537" t="s">
        <v>345</v>
      </c>
    </row>
    <row r="45" spans="1:28" s="536" customFormat="1" ht="22.5" x14ac:dyDescent="0.2">
      <c r="A45" s="605"/>
      <c r="B45" s="552"/>
      <c r="C45" s="1822" t="s">
        <v>348</v>
      </c>
      <c r="D45" s="1822"/>
      <c r="E45" s="1822"/>
      <c r="F45" s="562" t="s">
        <v>315</v>
      </c>
      <c r="G45" s="562" t="s">
        <v>3776</v>
      </c>
      <c r="H45" s="562" t="s">
        <v>313</v>
      </c>
      <c r="I45" s="562" t="s">
        <v>8774</v>
      </c>
      <c r="J45" s="604"/>
      <c r="K45" s="562"/>
      <c r="L45" s="604"/>
      <c r="M45" s="603"/>
      <c r="N45" s="602"/>
      <c r="V45" s="674"/>
      <c r="W45" s="675"/>
      <c r="AA45" s="537" t="s">
        <v>348</v>
      </c>
    </row>
    <row r="46" spans="1:28" s="536" customFormat="1" ht="12" x14ac:dyDescent="0.2">
      <c r="A46" s="605"/>
      <c r="B46" s="552"/>
      <c r="C46" s="1828" t="s">
        <v>318</v>
      </c>
      <c r="D46" s="1828"/>
      <c r="E46" s="1828"/>
      <c r="F46" s="608"/>
      <c r="G46" s="608"/>
      <c r="H46" s="608"/>
      <c r="I46" s="608"/>
      <c r="J46" s="607">
        <v>6166.95</v>
      </c>
      <c r="K46" s="608"/>
      <c r="L46" s="607">
        <v>2399.71</v>
      </c>
      <c r="M46" s="601"/>
      <c r="N46" s="606"/>
      <c r="V46" s="674"/>
      <c r="W46" s="675"/>
      <c r="AB46" s="537" t="s">
        <v>318</v>
      </c>
    </row>
    <row r="47" spans="1:28" s="536" customFormat="1" ht="12" x14ac:dyDescent="0.2">
      <c r="A47" s="605"/>
      <c r="B47" s="552"/>
      <c r="C47" s="1822" t="s">
        <v>319</v>
      </c>
      <c r="D47" s="1822"/>
      <c r="E47" s="1822"/>
      <c r="F47" s="562"/>
      <c r="G47" s="562"/>
      <c r="H47" s="562"/>
      <c r="I47" s="562"/>
      <c r="J47" s="604"/>
      <c r="K47" s="562"/>
      <c r="L47" s="604">
        <v>281.05</v>
      </c>
      <c r="M47" s="603"/>
      <c r="N47" s="602"/>
      <c r="V47" s="674"/>
      <c r="W47" s="675"/>
      <c r="AA47" s="537" t="s">
        <v>319</v>
      </c>
    </row>
    <row r="48" spans="1:28" s="536" customFormat="1" ht="33.75" x14ac:dyDescent="0.2">
      <c r="A48" s="605"/>
      <c r="B48" s="552" t="s">
        <v>460</v>
      </c>
      <c r="C48" s="1822" t="s">
        <v>461</v>
      </c>
      <c r="D48" s="1822"/>
      <c r="E48" s="1822"/>
      <c r="F48" s="562" t="s">
        <v>322</v>
      </c>
      <c r="G48" s="562" t="s">
        <v>462</v>
      </c>
      <c r="H48" s="562"/>
      <c r="I48" s="562" t="s">
        <v>462</v>
      </c>
      <c r="J48" s="604"/>
      <c r="K48" s="562"/>
      <c r="L48" s="604">
        <v>258.57</v>
      </c>
      <c r="M48" s="603"/>
      <c r="N48" s="602"/>
      <c r="V48" s="674"/>
      <c r="W48" s="675"/>
      <c r="AA48" s="537" t="s">
        <v>461</v>
      </c>
    </row>
    <row r="49" spans="1:29" s="536" customFormat="1" ht="33.75" x14ac:dyDescent="0.2">
      <c r="A49" s="605"/>
      <c r="B49" s="552" t="s">
        <v>463</v>
      </c>
      <c r="C49" s="1822" t="s">
        <v>464</v>
      </c>
      <c r="D49" s="1822"/>
      <c r="E49" s="1822"/>
      <c r="F49" s="562" t="s">
        <v>322</v>
      </c>
      <c r="G49" s="562" t="s">
        <v>465</v>
      </c>
      <c r="H49" s="562"/>
      <c r="I49" s="562" t="s">
        <v>465</v>
      </c>
      <c r="J49" s="604"/>
      <c r="K49" s="562"/>
      <c r="L49" s="604">
        <v>129.28</v>
      </c>
      <c r="M49" s="603"/>
      <c r="N49" s="602"/>
      <c r="V49" s="674"/>
      <c r="W49" s="675"/>
      <c r="AA49" s="537" t="s">
        <v>464</v>
      </c>
    </row>
    <row r="50" spans="1:29" s="536" customFormat="1" ht="12" x14ac:dyDescent="0.2">
      <c r="A50" s="569"/>
      <c r="B50" s="671"/>
      <c r="C50" s="1823" t="s">
        <v>327</v>
      </c>
      <c r="D50" s="1823"/>
      <c r="E50" s="1823"/>
      <c r="F50" s="573"/>
      <c r="G50" s="573"/>
      <c r="H50" s="573"/>
      <c r="I50" s="573"/>
      <c r="J50" s="572"/>
      <c r="K50" s="573"/>
      <c r="L50" s="572">
        <v>2787.56</v>
      </c>
      <c r="M50" s="601"/>
      <c r="N50" s="570"/>
      <c r="V50" s="674"/>
      <c r="W50" s="675"/>
      <c r="AC50" s="675" t="s">
        <v>327</v>
      </c>
    </row>
    <row r="51" spans="1:29" s="536" customFormat="1" ht="45" x14ac:dyDescent="0.2">
      <c r="A51" s="575" t="s">
        <v>186</v>
      </c>
      <c r="B51" s="670" t="s">
        <v>1511</v>
      </c>
      <c r="C51" s="1823" t="s">
        <v>1512</v>
      </c>
      <c r="D51" s="1823"/>
      <c r="E51" s="1823"/>
      <c r="F51" s="573" t="s">
        <v>455</v>
      </c>
      <c r="G51" s="573"/>
      <c r="H51" s="573"/>
      <c r="I51" s="573" t="s">
        <v>3534</v>
      </c>
      <c r="J51" s="572"/>
      <c r="K51" s="573"/>
      <c r="L51" s="572"/>
      <c r="M51" s="571"/>
      <c r="N51" s="570"/>
      <c r="V51" s="674"/>
      <c r="W51" s="675" t="s">
        <v>1512</v>
      </c>
      <c r="AC51" s="675"/>
    </row>
    <row r="52" spans="1:29" s="536" customFormat="1" ht="12" x14ac:dyDescent="0.2">
      <c r="A52" s="676"/>
      <c r="B52" s="664"/>
      <c r="C52" s="1822" t="s">
        <v>8775</v>
      </c>
      <c r="D52" s="1822"/>
      <c r="E52" s="1822"/>
      <c r="F52" s="1822"/>
      <c r="G52" s="1822"/>
      <c r="H52" s="1822"/>
      <c r="I52" s="1822"/>
      <c r="J52" s="1822"/>
      <c r="K52" s="1822"/>
      <c r="L52" s="1822"/>
      <c r="M52" s="1822"/>
      <c r="N52" s="1827"/>
      <c r="V52" s="674"/>
      <c r="W52" s="675"/>
      <c r="X52" s="537" t="s">
        <v>8775</v>
      </c>
      <c r="AC52" s="675"/>
    </row>
    <row r="53" spans="1:29" s="536" customFormat="1" ht="33.75" x14ac:dyDescent="0.2">
      <c r="A53" s="609"/>
      <c r="B53" s="552" t="s">
        <v>310</v>
      </c>
      <c r="C53" s="1822" t="s">
        <v>311</v>
      </c>
      <c r="D53" s="1822"/>
      <c r="E53" s="1822"/>
      <c r="F53" s="1822"/>
      <c r="G53" s="1822"/>
      <c r="H53" s="1822"/>
      <c r="I53" s="1822"/>
      <c r="J53" s="1822"/>
      <c r="K53" s="1822"/>
      <c r="L53" s="1822"/>
      <c r="M53" s="1822"/>
      <c r="N53" s="1827"/>
      <c r="V53" s="674"/>
      <c r="W53" s="675"/>
      <c r="Y53" s="537" t="s">
        <v>311</v>
      </c>
      <c r="AC53" s="675"/>
    </row>
    <row r="54" spans="1:29" s="536" customFormat="1" ht="12" x14ac:dyDescent="0.2">
      <c r="A54" s="605"/>
      <c r="B54" s="552" t="s">
        <v>186</v>
      </c>
      <c r="C54" s="1822" t="s">
        <v>344</v>
      </c>
      <c r="D54" s="1822"/>
      <c r="E54" s="1822"/>
      <c r="F54" s="562"/>
      <c r="G54" s="562"/>
      <c r="H54" s="562"/>
      <c r="I54" s="562"/>
      <c r="J54" s="604">
        <v>4898.9799999999996</v>
      </c>
      <c r="K54" s="562" t="s">
        <v>313</v>
      </c>
      <c r="L54" s="604">
        <v>2537.06</v>
      </c>
      <c r="M54" s="603"/>
      <c r="N54" s="602"/>
      <c r="V54" s="674"/>
      <c r="W54" s="675"/>
      <c r="Z54" s="537" t="s">
        <v>344</v>
      </c>
      <c r="AC54" s="675"/>
    </row>
    <row r="55" spans="1:29" s="536" customFormat="1" ht="12" x14ac:dyDescent="0.2">
      <c r="A55" s="605"/>
      <c r="B55" s="552" t="s">
        <v>187</v>
      </c>
      <c r="C55" s="1822" t="s">
        <v>345</v>
      </c>
      <c r="D55" s="1822"/>
      <c r="E55" s="1822"/>
      <c r="F55" s="562"/>
      <c r="G55" s="562"/>
      <c r="H55" s="562"/>
      <c r="I55" s="562"/>
      <c r="J55" s="604">
        <v>573.75</v>
      </c>
      <c r="K55" s="562" t="s">
        <v>313</v>
      </c>
      <c r="L55" s="604">
        <v>297.13</v>
      </c>
      <c r="M55" s="603"/>
      <c r="N55" s="602"/>
      <c r="V55" s="674"/>
      <c r="W55" s="675"/>
      <c r="Z55" s="537" t="s">
        <v>345</v>
      </c>
      <c r="AC55" s="675"/>
    </row>
    <row r="56" spans="1:29" s="536" customFormat="1" ht="22.5" x14ac:dyDescent="0.2">
      <c r="A56" s="605"/>
      <c r="B56" s="552"/>
      <c r="C56" s="1822" t="s">
        <v>348</v>
      </c>
      <c r="D56" s="1822"/>
      <c r="E56" s="1822"/>
      <c r="F56" s="562" t="s">
        <v>315</v>
      </c>
      <c r="G56" s="562" t="s">
        <v>1513</v>
      </c>
      <c r="H56" s="562" t="s">
        <v>313</v>
      </c>
      <c r="I56" s="562" t="s">
        <v>8776</v>
      </c>
      <c r="J56" s="604"/>
      <c r="K56" s="562"/>
      <c r="L56" s="604"/>
      <c r="M56" s="603"/>
      <c r="N56" s="602"/>
      <c r="V56" s="674"/>
      <c r="W56" s="675"/>
      <c r="AA56" s="537" t="s">
        <v>348</v>
      </c>
      <c r="AC56" s="675"/>
    </row>
    <row r="57" spans="1:29" s="536" customFormat="1" ht="12" x14ac:dyDescent="0.2">
      <c r="A57" s="605"/>
      <c r="B57" s="552"/>
      <c r="C57" s="1828" t="s">
        <v>318</v>
      </c>
      <c r="D57" s="1828"/>
      <c r="E57" s="1828"/>
      <c r="F57" s="608"/>
      <c r="G57" s="608"/>
      <c r="H57" s="608"/>
      <c r="I57" s="608"/>
      <c r="J57" s="607">
        <v>4898.9799999999996</v>
      </c>
      <c r="K57" s="608"/>
      <c r="L57" s="607">
        <v>2537.06</v>
      </c>
      <c r="M57" s="601"/>
      <c r="N57" s="606"/>
      <c r="V57" s="674"/>
      <c r="W57" s="675"/>
      <c r="AB57" s="537" t="s">
        <v>318</v>
      </c>
      <c r="AC57" s="675"/>
    </row>
    <row r="58" spans="1:29" s="536" customFormat="1" ht="12" x14ac:dyDescent="0.2">
      <c r="A58" s="605"/>
      <c r="B58" s="552"/>
      <c r="C58" s="1822" t="s">
        <v>319</v>
      </c>
      <c r="D58" s="1822"/>
      <c r="E58" s="1822"/>
      <c r="F58" s="562"/>
      <c r="G58" s="562"/>
      <c r="H58" s="562"/>
      <c r="I58" s="562"/>
      <c r="J58" s="604"/>
      <c r="K58" s="562"/>
      <c r="L58" s="604">
        <v>297.13</v>
      </c>
      <c r="M58" s="603"/>
      <c r="N58" s="602"/>
      <c r="V58" s="674"/>
      <c r="W58" s="675"/>
      <c r="AA58" s="537" t="s">
        <v>319</v>
      </c>
      <c r="AC58" s="675"/>
    </row>
    <row r="59" spans="1:29" s="536" customFormat="1" ht="33.75" x14ac:dyDescent="0.2">
      <c r="A59" s="605"/>
      <c r="B59" s="552" t="s">
        <v>460</v>
      </c>
      <c r="C59" s="1822" t="s">
        <v>461</v>
      </c>
      <c r="D59" s="1822"/>
      <c r="E59" s="1822"/>
      <c r="F59" s="562" t="s">
        <v>322</v>
      </c>
      <c r="G59" s="562" t="s">
        <v>462</v>
      </c>
      <c r="H59" s="562"/>
      <c r="I59" s="562" t="s">
        <v>462</v>
      </c>
      <c r="J59" s="604"/>
      <c r="K59" s="562"/>
      <c r="L59" s="604">
        <v>273.36</v>
      </c>
      <c r="M59" s="603"/>
      <c r="N59" s="602"/>
      <c r="V59" s="674"/>
      <c r="W59" s="675"/>
      <c r="AA59" s="537" t="s">
        <v>461</v>
      </c>
      <c r="AC59" s="675"/>
    </row>
    <row r="60" spans="1:29" s="536" customFormat="1" ht="33.75" x14ac:dyDescent="0.2">
      <c r="A60" s="605"/>
      <c r="B60" s="552" t="s">
        <v>463</v>
      </c>
      <c r="C60" s="1822" t="s">
        <v>464</v>
      </c>
      <c r="D60" s="1822"/>
      <c r="E60" s="1822"/>
      <c r="F60" s="562" t="s">
        <v>322</v>
      </c>
      <c r="G60" s="562" t="s">
        <v>465</v>
      </c>
      <c r="H60" s="562"/>
      <c r="I60" s="562" t="s">
        <v>465</v>
      </c>
      <c r="J60" s="604"/>
      <c r="K60" s="562"/>
      <c r="L60" s="604">
        <v>136.68</v>
      </c>
      <c r="M60" s="603"/>
      <c r="N60" s="602"/>
      <c r="V60" s="674"/>
      <c r="W60" s="675"/>
      <c r="AA60" s="537" t="s">
        <v>464</v>
      </c>
      <c r="AC60" s="675"/>
    </row>
    <row r="61" spans="1:29" s="536" customFormat="1" ht="12" x14ac:dyDescent="0.2">
      <c r="A61" s="569"/>
      <c r="B61" s="671"/>
      <c r="C61" s="1823" t="s">
        <v>327</v>
      </c>
      <c r="D61" s="1823"/>
      <c r="E61" s="1823"/>
      <c r="F61" s="573"/>
      <c r="G61" s="573"/>
      <c r="H61" s="573"/>
      <c r="I61" s="573"/>
      <c r="J61" s="572"/>
      <c r="K61" s="573"/>
      <c r="L61" s="572">
        <v>2947.1</v>
      </c>
      <c r="M61" s="601"/>
      <c r="N61" s="570"/>
      <c r="V61" s="674"/>
      <c r="W61" s="675"/>
      <c r="AC61" s="675" t="s">
        <v>327</v>
      </c>
    </row>
    <row r="62" spans="1:29" s="536" customFormat="1" ht="33.75" x14ac:dyDescent="0.2">
      <c r="A62" s="575" t="s">
        <v>187</v>
      </c>
      <c r="B62" s="670" t="s">
        <v>1514</v>
      </c>
      <c r="C62" s="1823" t="s">
        <v>1515</v>
      </c>
      <c r="D62" s="1823"/>
      <c r="E62" s="1823"/>
      <c r="F62" s="573" t="s">
        <v>509</v>
      </c>
      <c r="G62" s="573"/>
      <c r="H62" s="573"/>
      <c r="I62" s="573" t="s">
        <v>3777</v>
      </c>
      <c r="J62" s="572"/>
      <c r="K62" s="573"/>
      <c r="L62" s="572"/>
      <c r="M62" s="571"/>
      <c r="N62" s="570"/>
      <c r="V62" s="674"/>
      <c r="W62" s="675" t="s">
        <v>1515</v>
      </c>
      <c r="AC62" s="675"/>
    </row>
    <row r="63" spans="1:29" s="536" customFormat="1" ht="12" x14ac:dyDescent="0.2">
      <c r="A63" s="676"/>
      <c r="B63" s="664"/>
      <c r="C63" s="1822" t="s">
        <v>3778</v>
      </c>
      <c r="D63" s="1822"/>
      <c r="E63" s="1822"/>
      <c r="F63" s="1822"/>
      <c r="G63" s="1822"/>
      <c r="H63" s="1822"/>
      <c r="I63" s="1822"/>
      <c r="J63" s="1822"/>
      <c r="K63" s="1822"/>
      <c r="L63" s="1822"/>
      <c r="M63" s="1822"/>
      <c r="N63" s="1827"/>
      <c r="V63" s="674"/>
      <c r="W63" s="675"/>
      <c r="X63" s="537" t="s">
        <v>3778</v>
      </c>
      <c r="AC63" s="675"/>
    </row>
    <row r="64" spans="1:29" s="536" customFormat="1" ht="22.5" x14ac:dyDescent="0.2">
      <c r="A64" s="609"/>
      <c r="B64" s="552" t="s">
        <v>1518</v>
      </c>
      <c r="C64" s="1822" t="s">
        <v>1519</v>
      </c>
      <c r="D64" s="1822"/>
      <c r="E64" s="1822"/>
      <c r="F64" s="1822"/>
      <c r="G64" s="1822"/>
      <c r="H64" s="1822"/>
      <c r="I64" s="1822"/>
      <c r="J64" s="1822"/>
      <c r="K64" s="1822"/>
      <c r="L64" s="1822"/>
      <c r="M64" s="1822"/>
      <c r="N64" s="1827"/>
      <c r="V64" s="674"/>
      <c r="W64" s="675"/>
      <c r="Y64" s="537" t="s">
        <v>1519</v>
      </c>
      <c r="AC64" s="675"/>
    </row>
    <row r="65" spans="1:29" s="536" customFormat="1" ht="33.75" x14ac:dyDescent="0.2">
      <c r="A65" s="609"/>
      <c r="B65" s="552" t="s">
        <v>310</v>
      </c>
      <c r="C65" s="1822" t="s">
        <v>311</v>
      </c>
      <c r="D65" s="1822"/>
      <c r="E65" s="1822"/>
      <c r="F65" s="1822"/>
      <c r="G65" s="1822"/>
      <c r="H65" s="1822"/>
      <c r="I65" s="1822"/>
      <c r="J65" s="1822"/>
      <c r="K65" s="1822"/>
      <c r="L65" s="1822"/>
      <c r="M65" s="1822"/>
      <c r="N65" s="1827"/>
      <c r="V65" s="674"/>
      <c r="W65" s="675"/>
      <c r="Y65" s="537" t="s">
        <v>311</v>
      </c>
      <c r="AC65" s="675"/>
    </row>
    <row r="66" spans="1:29" s="536" customFormat="1" ht="12" x14ac:dyDescent="0.2">
      <c r="A66" s="605"/>
      <c r="B66" s="552" t="s">
        <v>185</v>
      </c>
      <c r="C66" s="1822" t="s">
        <v>312</v>
      </c>
      <c r="D66" s="1822"/>
      <c r="E66" s="1822"/>
      <c r="F66" s="562"/>
      <c r="G66" s="562"/>
      <c r="H66" s="562"/>
      <c r="I66" s="562"/>
      <c r="J66" s="604">
        <v>3036.68</v>
      </c>
      <c r="K66" s="562" t="s">
        <v>1520</v>
      </c>
      <c r="L66" s="604">
        <v>1022.15</v>
      </c>
      <c r="M66" s="603"/>
      <c r="N66" s="602"/>
      <c r="V66" s="674"/>
      <c r="W66" s="675"/>
      <c r="Z66" s="537" t="s">
        <v>312</v>
      </c>
      <c r="AC66" s="675"/>
    </row>
    <row r="67" spans="1:29" s="536" customFormat="1" ht="12" x14ac:dyDescent="0.2">
      <c r="A67" s="605"/>
      <c r="B67" s="552"/>
      <c r="C67" s="1822" t="s">
        <v>314</v>
      </c>
      <c r="D67" s="1822"/>
      <c r="E67" s="1822"/>
      <c r="F67" s="562" t="s">
        <v>315</v>
      </c>
      <c r="G67" s="562" t="s">
        <v>1521</v>
      </c>
      <c r="H67" s="562" t="s">
        <v>1520</v>
      </c>
      <c r="I67" s="562" t="s">
        <v>3779</v>
      </c>
      <c r="J67" s="604"/>
      <c r="K67" s="562"/>
      <c r="L67" s="604"/>
      <c r="M67" s="603"/>
      <c r="N67" s="602"/>
      <c r="V67" s="674"/>
      <c r="W67" s="675"/>
      <c r="AA67" s="537" t="s">
        <v>314</v>
      </c>
      <c r="AC67" s="675"/>
    </row>
    <row r="68" spans="1:29" s="536" customFormat="1" ht="12" x14ac:dyDescent="0.2">
      <c r="A68" s="605"/>
      <c r="B68" s="552"/>
      <c r="C68" s="1828" t="s">
        <v>318</v>
      </c>
      <c r="D68" s="1828"/>
      <c r="E68" s="1828"/>
      <c r="F68" s="608"/>
      <c r="G68" s="608"/>
      <c r="H68" s="608"/>
      <c r="I68" s="608"/>
      <c r="J68" s="607">
        <v>3036.68</v>
      </c>
      <c r="K68" s="608"/>
      <c r="L68" s="607">
        <v>1022.15</v>
      </c>
      <c r="M68" s="601"/>
      <c r="N68" s="606"/>
      <c r="V68" s="674"/>
      <c r="W68" s="675"/>
      <c r="AB68" s="537" t="s">
        <v>318</v>
      </c>
      <c r="AC68" s="675"/>
    </row>
    <row r="69" spans="1:29" s="536" customFormat="1" ht="12" x14ac:dyDescent="0.2">
      <c r="A69" s="605"/>
      <c r="B69" s="552"/>
      <c r="C69" s="1822" t="s">
        <v>319</v>
      </c>
      <c r="D69" s="1822"/>
      <c r="E69" s="1822"/>
      <c r="F69" s="562"/>
      <c r="G69" s="562"/>
      <c r="H69" s="562"/>
      <c r="I69" s="562"/>
      <c r="J69" s="604"/>
      <c r="K69" s="562"/>
      <c r="L69" s="604">
        <v>1022.15</v>
      </c>
      <c r="M69" s="603"/>
      <c r="N69" s="602"/>
      <c r="V69" s="674"/>
      <c r="W69" s="675"/>
      <c r="AA69" s="537" t="s">
        <v>319</v>
      </c>
      <c r="AC69" s="675"/>
    </row>
    <row r="70" spans="1:29" s="536" customFormat="1" ht="33.75" x14ac:dyDescent="0.2">
      <c r="A70" s="605"/>
      <c r="B70" s="552" t="s">
        <v>673</v>
      </c>
      <c r="C70" s="1822" t="s">
        <v>674</v>
      </c>
      <c r="D70" s="1822"/>
      <c r="E70" s="1822"/>
      <c r="F70" s="562" t="s">
        <v>322</v>
      </c>
      <c r="G70" s="562" t="s">
        <v>323</v>
      </c>
      <c r="H70" s="562"/>
      <c r="I70" s="562" t="s">
        <v>323</v>
      </c>
      <c r="J70" s="604"/>
      <c r="K70" s="562"/>
      <c r="L70" s="604">
        <v>909.71</v>
      </c>
      <c r="M70" s="603"/>
      <c r="N70" s="602"/>
      <c r="V70" s="674"/>
      <c r="W70" s="675"/>
      <c r="AA70" s="537" t="s">
        <v>674</v>
      </c>
      <c r="AC70" s="675"/>
    </row>
    <row r="71" spans="1:29" s="536" customFormat="1" ht="33.75" x14ac:dyDescent="0.2">
      <c r="A71" s="605"/>
      <c r="B71" s="552" t="s">
        <v>675</v>
      </c>
      <c r="C71" s="1822" t="s">
        <v>676</v>
      </c>
      <c r="D71" s="1822"/>
      <c r="E71" s="1822"/>
      <c r="F71" s="562" t="s">
        <v>322</v>
      </c>
      <c r="G71" s="562" t="s">
        <v>677</v>
      </c>
      <c r="H71" s="562"/>
      <c r="I71" s="562" t="s">
        <v>677</v>
      </c>
      <c r="J71" s="604"/>
      <c r="K71" s="562"/>
      <c r="L71" s="604">
        <v>408.86</v>
      </c>
      <c r="M71" s="603"/>
      <c r="N71" s="602"/>
      <c r="V71" s="674"/>
      <c r="W71" s="675"/>
      <c r="AA71" s="537" t="s">
        <v>676</v>
      </c>
      <c r="AC71" s="675"/>
    </row>
    <row r="72" spans="1:29" s="536" customFormat="1" ht="12" x14ac:dyDescent="0.2">
      <c r="A72" s="569"/>
      <c r="B72" s="671"/>
      <c r="C72" s="1823" t="s">
        <v>327</v>
      </c>
      <c r="D72" s="1823"/>
      <c r="E72" s="1823"/>
      <c r="F72" s="573"/>
      <c r="G72" s="573"/>
      <c r="H72" s="573"/>
      <c r="I72" s="573"/>
      <c r="J72" s="572"/>
      <c r="K72" s="573"/>
      <c r="L72" s="572">
        <v>2340.7199999999998</v>
      </c>
      <c r="M72" s="601"/>
      <c r="N72" s="570"/>
      <c r="V72" s="674"/>
      <c r="W72" s="675"/>
      <c r="AC72" s="675" t="s">
        <v>327</v>
      </c>
    </row>
    <row r="73" spans="1:29" s="536" customFormat="1" ht="45" x14ac:dyDescent="0.2">
      <c r="A73" s="575" t="s">
        <v>188</v>
      </c>
      <c r="B73" s="670" t="s">
        <v>1005</v>
      </c>
      <c r="C73" s="1823" t="s">
        <v>1006</v>
      </c>
      <c r="D73" s="1823"/>
      <c r="E73" s="1823"/>
      <c r="F73" s="573" t="s">
        <v>201</v>
      </c>
      <c r="G73" s="573"/>
      <c r="H73" s="573"/>
      <c r="I73" s="573" t="s">
        <v>8777</v>
      </c>
      <c r="J73" s="572">
        <v>2.91</v>
      </c>
      <c r="K73" s="573" t="s">
        <v>313</v>
      </c>
      <c r="L73" s="572">
        <v>2604.41</v>
      </c>
      <c r="M73" s="571"/>
      <c r="N73" s="570"/>
      <c r="V73" s="674"/>
      <c r="W73" s="675" t="s">
        <v>1006</v>
      </c>
      <c r="AC73" s="675"/>
    </row>
    <row r="74" spans="1:29" s="536" customFormat="1" ht="12" x14ac:dyDescent="0.2">
      <c r="A74" s="676"/>
      <c r="B74" s="664"/>
      <c r="C74" s="1822" t="s">
        <v>8778</v>
      </c>
      <c r="D74" s="1822"/>
      <c r="E74" s="1822"/>
      <c r="F74" s="1822"/>
      <c r="G74" s="1822"/>
      <c r="H74" s="1822"/>
      <c r="I74" s="1822"/>
      <c r="J74" s="1822"/>
      <c r="K74" s="1822"/>
      <c r="L74" s="1822"/>
      <c r="M74" s="1822"/>
      <c r="N74" s="1827"/>
      <c r="V74" s="674"/>
      <c r="W74" s="675"/>
      <c r="X74" s="537" t="s">
        <v>8778</v>
      </c>
      <c r="AC74" s="675"/>
    </row>
    <row r="75" spans="1:29" s="536" customFormat="1" ht="33.75" x14ac:dyDescent="0.2">
      <c r="A75" s="609"/>
      <c r="B75" s="552" t="s">
        <v>310</v>
      </c>
      <c r="C75" s="1822" t="s">
        <v>311</v>
      </c>
      <c r="D75" s="1822"/>
      <c r="E75" s="1822"/>
      <c r="F75" s="1822"/>
      <c r="G75" s="1822"/>
      <c r="H75" s="1822"/>
      <c r="I75" s="1822"/>
      <c r="J75" s="1822"/>
      <c r="K75" s="1822"/>
      <c r="L75" s="1822"/>
      <c r="M75" s="1822"/>
      <c r="N75" s="1827"/>
      <c r="V75" s="674"/>
      <c r="W75" s="675"/>
      <c r="Y75" s="537" t="s">
        <v>311</v>
      </c>
      <c r="AC75" s="675"/>
    </row>
    <row r="76" spans="1:29" s="536" customFormat="1" ht="22.5" x14ac:dyDescent="0.2">
      <c r="A76" s="575" t="s">
        <v>189</v>
      </c>
      <c r="B76" s="670" t="s">
        <v>3780</v>
      </c>
      <c r="C76" s="1823" t="s">
        <v>3781</v>
      </c>
      <c r="D76" s="1823"/>
      <c r="E76" s="1823"/>
      <c r="F76" s="573" t="s">
        <v>641</v>
      </c>
      <c r="G76" s="573"/>
      <c r="H76" s="573"/>
      <c r="I76" s="573" t="s">
        <v>3782</v>
      </c>
      <c r="J76" s="572"/>
      <c r="K76" s="573"/>
      <c r="L76" s="572"/>
      <c r="M76" s="571"/>
      <c r="N76" s="570"/>
      <c r="V76" s="674"/>
      <c r="W76" s="675" t="s">
        <v>3781</v>
      </c>
      <c r="AC76" s="675"/>
    </row>
    <row r="77" spans="1:29" s="536" customFormat="1" ht="12" x14ac:dyDescent="0.2">
      <c r="A77" s="676"/>
      <c r="B77" s="664"/>
      <c r="C77" s="1822" t="s">
        <v>3783</v>
      </c>
      <c r="D77" s="1822"/>
      <c r="E77" s="1822"/>
      <c r="F77" s="1822"/>
      <c r="G77" s="1822"/>
      <c r="H77" s="1822"/>
      <c r="I77" s="1822"/>
      <c r="J77" s="1822"/>
      <c r="K77" s="1822"/>
      <c r="L77" s="1822"/>
      <c r="M77" s="1822"/>
      <c r="N77" s="1827"/>
      <c r="V77" s="674"/>
      <c r="W77" s="675"/>
      <c r="X77" s="537" t="s">
        <v>3783</v>
      </c>
      <c r="AC77" s="675"/>
    </row>
    <row r="78" spans="1:29" s="536" customFormat="1" ht="33.75" x14ac:dyDescent="0.2">
      <c r="A78" s="609"/>
      <c r="B78" s="552" t="s">
        <v>310</v>
      </c>
      <c r="C78" s="1822" t="s">
        <v>311</v>
      </c>
      <c r="D78" s="1822"/>
      <c r="E78" s="1822"/>
      <c r="F78" s="1822"/>
      <c r="G78" s="1822"/>
      <c r="H78" s="1822"/>
      <c r="I78" s="1822"/>
      <c r="J78" s="1822"/>
      <c r="K78" s="1822"/>
      <c r="L78" s="1822"/>
      <c r="M78" s="1822"/>
      <c r="N78" s="1827"/>
      <c r="V78" s="674"/>
      <c r="W78" s="675"/>
      <c r="Y78" s="537" t="s">
        <v>311</v>
      </c>
      <c r="AC78" s="675"/>
    </row>
    <row r="79" spans="1:29" s="536" customFormat="1" ht="12" x14ac:dyDescent="0.2">
      <c r="A79" s="605"/>
      <c r="B79" s="552" t="s">
        <v>185</v>
      </c>
      <c r="C79" s="1822" t="s">
        <v>312</v>
      </c>
      <c r="D79" s="1822"/>
      <c r="E79" s="1822"/>
      <c r="F79" s="562"/>
      <c r="G79" s="562"/>
      <c r="H79" s="562"/>
      <c r="I79" s="562"/>
      <c r="J79" s="604">
        <v>6.19</v>
      </c>
      <c r="K79" s="562" t="s">
        <v>313</v>
      </c>
      <c r="L79" s="604">
        <v>95.17</v>
      </c>
      <c r="M79" s="603"/>
      <c r="N79" s="602"/>
      <c r="V79" s="674"/>
      <c r="W79" s="675"/>
      <c r="Z79" s="537" t="s">
        <v>312</v>
      </c>
      <c r="AC79" s="675"/>
    </row>
    <row r="80" spans="1:29" s="536" customFormat="1" ht="12" x14ac:dyDescent="0.2">
      <c r="A80" s="605"/>
      <c r="B80" s="552" t="s">
        <v>186</v>
      </c>
      <c r="C80" s="1822" t="s">
        <v>344</v>
      </c>
      <c r="D80" s="1822"/>
      <c r="E80" s="1822"/>
      <c r="F80" s="562"/>
      <c r="G80" s="562"/>
      <c r="H80" s="562"/>
      <c r="I80" s="562"/>
      <c r="J80" s="604">
        <v>8.1</v>
      </c>
      <c r="K80" s="562" t="s">
        <v>313</v>
      </c>
      <c r="L80" s="604">
        <v>124.54</v>
      </c>
      <c r="M80" s="603"/>
      <c r="N80" s="602"/>
      <c r="V80" s="674"/>
      <c r="W80" s="675"/>
      <c r="Z80" s="537" t="s">
        <v>344</v>
      </c>
      <c r="AC80" s="675"/>
    </row>
    <row r="81" spans="1:30" s="536" customFormat="1" ht="12" x14ac:dyDescent="0.2">
      <c r="A81" s="605"/>
      <c r="B81" s="552" t="s">
        <v>187</v>
      </c>
      <c r="C81" s="1822" t="s">
        <v>345</v>
      </c>
      <c r="D81" s="1822"/>
      <c r="E81" s="1822"/>
      <c r="F81" s="562"/>
      <c r="G81" s="562"/>
      <c r="H81" s="562"/>
      <c r="I81" s="562"/>
      <c r="J81" s="604">
        <v>0.81</v>
      </c>
      <c r="K81" s="562" t="s">
        <v>313</v>
      </c>
      <c r="L81" s="604">
        <v>12.45</v>
      </c>
      <c r="M81" s="603"/>
      <c r="N81" s="602"/>
      <c r="V81" s="674"/>
      <c r="W81" s="675"/>
      <c r="Z81" s="537" t="s">
        <v>345</v>
      </c>
      <c r="AC81" s="675"/>
    </row>
    <row r="82" spans="1:30" s="536" customFormat="1" ht="12" x14ac:dyDescent="0.2">
      <c r="A82" s="605"/>
      <c r="B82" s="552" t="s">
        <v>188</v>
      </c>
      <c r="C82" s="1822" t="s">
        <v>475</v>
      </c>
      <c r="D82" s="1822"/>
      <c r="E82" s="1822"/>
      <c r="F82" s="562"/>
      <c r="G82" s="562"/>
      <c r="H82" s="562"/>
      <c r="I82" s="562"/>
      <c r="J82" s="604">
        <v>0.37</v>
      </c>
      <c r="K82" s="562"/>
      <c r="L82" s="604">
        <v>4.55</v>
      </c>
      <c r="M82" s="603"/>
      <c r="N82" s="602"/>
      <c r="V82" s="674"/>
      <c r="W82" s="675"/>
      <c r="Z82" s="537" t="s">
        <v>475</v>
      </c>
      <c r="AC82" s="675"/>
    </row>
    <row r="83" spans="1:30" s="536" customFormat="1" ht="22.5" x14ac:dyDescent="0.2">
      <c r="A83" s="676"/>
      <c r="B83" s="677" t="s">
        <v>1090</v>
      </c>
      <c r="C83" s="1829" t="s">
        <v>1091</v>
      </c>
      <c r="D83" s="1829"/>
      <c r="E83" s="1829"/>
      <c r="F83" s="678" t="s">
        <v>641</v>
      </c>
      <c r="G83" s="678" t="s">
        <v>3784</v>
      </c>
      <c r="H83" s="678"/>
      <c r="I83" s="678" t="s">
        <v>3785</v>
      </c>
      <c r="J83" s="552"/>
      <c r="K83" s="562"/>
      <c r="L83" s="604"/>
      <c r="M83" s="562"/>
      <c r="N83" s="679"/>
      <c r="V83" s="674"/>
      <c r="W83" s="675"/>
      <c r="AC83" s="675"/>
      <c r="AD83" s="680" t="s">
        <v>1091</v>
      </c>
    </row>
    <row r="84" spans="1:30" s="536" customFormat="1" ht="12" x14ac:dyDescent="0.2">
      <c r="A84" s="605"/>
      <c r="B84" s="552"/>
      <c r="C84" s="1822" t="s">
        <v>314</v>
      </c>
      <c r="D84" s="1822"/>
      <c r="E84" s="1822"/>
      <c r="F84" s="562" t="s">
        <v>315</v>
      </c>
      <c r="G84" s="562" t="s">
        <v>1555</v>
      </c>
      <c r="H84" s="562" t="s">
        <v>313</v>
      </c>
      <c r="I84" s="562" t="s">
        <v>3786</v>
      </c>
      <c r="J84" s="604"/>
      <c r="K84" s="562"/>
      <c r="L84" s="604"/>
      <c r="M84" s="603"/>
      <c r="N84" s="602"/>
      <c r="V84" s="674"/>
      <c r="W84" s="675"/>
      <c r="AA84" s="537" t="s">
        <v>314</v>
      </c>
      <c r="AC84" s="675"/>
      <c r="AD84" s="680"/>
    </row>
    <row r="85" spans="1:30" s="536" customFormat="1" ht="12" x14ac:dyDescent="0.2">
      <c r="A85" s="605"/>
      <c r="B85" s="552"/>
      <c r="C85" s="1822" t="s">
        <v>348</v>
      </c>
      <c r="D85" s="1822"/>
      <c r="E85" s="1822"/>
      <c r="F85" s="562" t="s">
        <v>315</v>
      </c>
      <c r="G85" s="562" t="s">
        <v>3171</v>
      </c>
      <c r="H85" s="562" t="s">
        <v>313</v>
      </c>
      <c r="I85" s="562" t="s">
        <v>3787</v>
      </c>
      <c r="J85" s="604"/>
      <c r="K85" s="562"/>
      <c r="L85" s="604"/>
      <c r="M85" s="603"/>
      <c r="N85" s="602"/>
      <c r="V85" s="674"/>
      <c r="W85" s="675"/>
      <c r="AA85" s="537" t="s">
        <v>348</v>
      </c>
      <c r="AC85" s="675"/>
      <c r="AD85" s="680"/>
    </row>
    <row r="86" spans="1:30" s="536" customFormat="1" ht="12" x14ac:dyDescent="0.2">
      <c r="A86" s="605"/>
      <c r="B86" s="552"/>
      <c r="C86" s="1828" t="s">
        <v>318</v>
      </c>
      <c r="D86" s="1828"/>
      <c r="E86" s="1828"/>
      <c r="F86" s="608"/>
      <c r="G86" s="608"/>
      <c r="H86" s="608"/>
      <c r="I86" s="608"/>
      <c r="J86" s="607">
        <v>14.66</v>
      </c>
      <c r="K86" s="608"/>
      <c r="L86" s="607">
        <v>224.26</v>
      </c>
      <c r="M86" s="601"/>
      <c r="N86" s="606"/>
      <c r="V86" s="674"/>
      <c r="W86" s="675"/>
      <c r="AB86" s="537" t="s">
        <v>318</v>
      </c>
      <c r="AC86" s="675"/>
      <c r="AD86" s="680"/>
    </row>
    <row r="87" spans="1:30" s="536" customFormat="1" ht="12" x14ac:dyDescent="0.2">
      <c r="A87" s="605"/>
      <c r="B87" s="552"/>
      <c r="C87" s="1822" t="s">
        <v>319</v>
      </c>
      <c r="D87" s="1822"/>
      <c r="E87" s="1822"/>
      <c r="F87" s="562"/>
      <c r="G87" s="562"/>
      <c r="H87" s="562"/>
      <c r="I87" s="562"/>
      <c r="J87" s="604"/>
      <c r="K87" s="562"/>
      <c r="L87" s="604">
        <v>107.62</v>
      </c>
      <c r="M87" s="603"/>
      <c r="N87" s="602"/>
      <c r="V87" s="674"/>
      <c r="W87" s="675"/>
      <c r="AA87" s="537" t="s">
        <v>319</v>
      </c>
      <c r="AC87" s="675"/>
      <c r="AD87" s="680"/>
    </row>
    <row r="88" spans="1:30" s="536" customFormat="1" ht="33.75" x14ac:dyDescent="0.2">
      <c r="A88" s="605"/>
      <c r="B88" s="552" t="s">
        <v>2032</v>
      </c>
      <c r="C88" s="1822" t="s">
        <v>2033</v>
      </c>
      <c r="D88" s="1822"/>
      <c r="E88" s="1822"/>
      <c r="F88" s="562" t="s">
        <v>322</v>
      </c>
      <c r="G88" s="562" t="s">
        <v>2034</v>
      </c>
      <c r="H88" s="562"/>
      <c r="I88" s="562" t="s">
        <v>2034</v>
      </c>
      <c r="J88" s="604"/>
      <c r="K88" s="562"/>
      <c r="L88" s="604">
        <v>118.38</v>
      </c>
      <c r="M88" s="603"/>
      <c r="N88" s="602"/>
      <c r="V88" s="674"/>
      <c r="W88" s="675"/>
      <c r="AA88" s="537" t="s">
        <v>2033</v>
      </c>
      <c r="AC88" s="675"/>
      <c r="AD88" s="680"/>
    </row>
    <row r="89" spans="1:30" s="536" customFormat="1" ht="33.75" x14ac:dyDescent="0.2">
      <c r="A89" s="605"/>
      <c r="B89" s="552" t="s">
        <v>2035</v>
      </c>
      <c r="C89" s="1822" t="s">
        <v>2036</v>
      </c>
      <c r="D89" s="1822"/>
      <c r="E89" s="1822"/>
      <c r="F89" s="562" t="s">
        <v>322</v>
      </c>
      <c r="G89" s="562" t="s">
        <v>2037</v>
      </c>
      <c r="H89" s="562"/>
      <c r="I89" s="562" t="s">
        <v>2037</v>
      </c>
      <c r="J89" s="604"/>
      <c r="K89" s="562"/>
      <c r="L89" s="604">
        <v>74.260000000000005</v>
      </c>
      <c r="M89" s="603"/>
      <c r="N89" s="602"/>
      <c r="V89" s="674"/>
      <c r="W89" s="675"/>
      <c r="AA89" s="537" t="s">
        <v>2036</v>
      </c>
      <c r="AC89" s="675"/>
      <c r="AD89" s="680"/>
    </row>
    <row r="90" spans="1:30" s="536" customFormat="1" ht="12" x14ac:dyDescent="0.2">
      <c r="A90" s="569"/>
      <c r="B90" s="671"/>
      <c r="C90" s="1823" t="s">
        <v>327</v>
      </c>
      <c r="D90" s="1823"/>
      <c r="E90" s="1823"/>
      <c r="F90" s="573"/>
      <c r="G90" s="573"/>
      <c r="H90" s="573"/>
      <c r="I90" s="573"/>
      <c r="J90" s="572"/>
      <c r="K90" s="573"/>
      <c r="L90" s="572">
        <v>416.9</v>
      </c>
      <c r="M90" s="601"/>
      <c r="N90" s="570"/>
      <c r="V90" s="674"/>
      <c r="W90" s="675"/>
      <c r="AC90" s="675" t="s">
        <v>327</v>
      </c>
      <c r="AD90" s="680"/>
    </row>
    <row r="91" spans="1:30" s="536" customFormat="1" ht="33.75" x14ac:dyDescent="0.2">
      <c r="A91" s="575" t="s">
        <v>190</v>
      </c>
      <c r="B91" s="670" t="s">
        <v>1095</v>
      </c>
      <c r="C91" s="1823" t="s">
        <v>1096</v>
      </c>
      <c r="D91" s="1823"/>
      <c r="E91" s="1823"/>
      <c r="F91" s="573" t="s">
        <v>641</v>
      </c>
      <c r="G91" s="573"/>
      <c r="H91" s="573"/>
      <c r="I91" s="573" t="s">
        <v>3785</v>
      </c>
      <c r="J91" s="572">
        <v>55.26</v>
      </c>
      <c r="K91" s="573"/>
      <c r="L91" s="572">
        <v>747.67</v>
      </c>
      <c r="M91" s="571"/>
      <c r="N91" s="570"/>
      <c r="V91" s="674"/>
      <c r="W91" s="675" t="s">
        <v>1096</v>
      </c>
      <c r="AC91" s="675"/>
      <c r="AD91" s="680"/>
    </row>
    <row r="92" spans="1:30" s="536" customFormat="1" ht="12" x14ac:dyDescent="0.2">
      <c r="A92" s="569"/>
      <c r="B92" s="671"/>
      <c r="C92" s="665" t="s">
        <v>717</v>
      </c>
      <c r="D92" s="666"/>
      <c r="E92" s="666"/>
      <c r="F92" s="563"/>
      <c r="G92" s="563"/>
      <c r="H92" s="563"/>
      <c r="I92" s="563"/>
      <c r="J92" s="566"/>
      <c r="K92" s="563"/>
      <c r="L92" s="566"/>
      <c r="M92" s="565"/>
      <c r="N92" s="564"/>
      <c r="V92" s="674"/>
      <c r="W92" s="675"/>
      <c r="AC92" s="675"/>
      <c r="AD92" s="680"/>
    </row>
    <row r="93" spans="1:30" s="536" customFormat="1" ht="12" x14ac:dyDescent="0.2">
      <c r="A93" s="676"/>
      <c r="B93" s="664"/>
      <c r="C93" s="1822" t="s">
        <v>3788</v>
      </c>
      <c r="D93" s="1822"/>
      <c r="E93" s="1822"/>
      <c r="F93" s="1822"/>
      <c r="G93" s="1822"/>
      <c r="H93" s="1822"/>
      <c r="I93" s="1822"/>
      <c r="J93" s="1822"/>
      <c r="K93" s="1822"/>
      <c r="L93" s="1822"/>
      <c r="M93" s="1822"/>
      <c r="N93" s="1827"/>
      <c r="V93" s="674"/>
      <c r="W93" s="675"/>
      <c r="X93" s="537" t="s">
        <v>3788</v>
      </c>
      <c r="AC93" s="675"/>
      <c r="AD93" s="680"/>
    </row>
    <row r="94" spans="1:30" s="536" customFormat="1" ht="45" x14ac:dyDescent="0.2">
      <c r="A94" s="575" t="s">
        <v>191</v>
      </c>
      <c r="B94" s="670" t="s">
        <v>503</v>
      </c>
      <c r="C94" s="1823" t="s">
        <v>504</v>
      </c>
      <c r="D94" s="1823"/>
      <c r="E94" s="1823"/>
      <c r="F94" s="573" t="s">
        <v>455</v>
      </c>
      <c r="G94" s="573"/>
      <c r="H94" s="573"/>
      <c r="I94" s="573" t="s">
        <v>8779</v>
      </c>
      <c r="J94" s="572"/>
      <c r="K94" s="573"/>
      <c r="L94" s="572"/>
      <c r="M94" s="571"/>
      <c r="N94" s="570"/>
      <c r="V94" s="674"/>
      <c r="W94" s="675" t="s">
        <v>504</v>
      </c>
      <c r="AC94" s="675"/>
      <c r="AD94" s="680"/>
    </row>
    <row r="95" spans="1:30" s="536" customFormat="1" ht="12" x14ac:dyDescent="0.2">
      <c r="A95" s="676"/>
      <c r="B95" s="664"/>
      <c r="C95" s="1822" t="s">
        <v>8780</v>
      </c>
      <c r="D95" s="1822"/>
      <c r="E95" s="1822"/>
      <c r="F95" s="1822"/>
      <c r="G95" s="1822"/>
      <c r="H95" s="1822"/>
      <c r="I95" s="1822"/>
      <c r="J95" s="1822"/>
      <c r="K95" s="1822"/>
      <c r="L95" s="1822"/>
      <c r="M95" s="1822"/>
      <c r="N95" s="1827"/>
      <c r="V95" s="674"/>
      <c r="W95" s="675"/>
      <c r="X95" s="537" t="s">
        <v>8780</v>
      </c>
      <c r="AC95" s="675"/>
      <c r="AD95" s="680"/>
    </row>
    <row r="96" spans="1:30" s="536" customFormat="1" ht="33.75" x14ac:dyDescent="0.2">
      <c r="A96" s="609"/>
      <c r="B96" s="552" t="s">
        <v>310</v>
      </c>
      <c r="C96" s="1822" t="s">
        <v>311</v>
      </c>
      <c r="D96" s="1822"/>
      <c r="E96" s="1822"/>
      <c r="F96" s="1822"/>
      <c r="G96" s="1822"/>
      <c r="H96" s="1822"/>
      <c r="I96" s="1822"/>
      <c r="J96" s="1822"/>
      <c r="K96" s="1822"/>
      <c r="L96" s="1822"/>
      <c r="M96" s="1822"/>
      <c r="N96" s="1827"/>
      <c r="V96" s="674"/>
      <c r="W96" s="675"/>
      <c r="Y96" s="537" t="s">
        <v>311</v>
      </c>
      <c r="AC96" s="675"/>
      <c r="AD96" s="680"/>
    </row>
    <row r="97" spans="1:30" s="536" customFormat="1" ht="12" x14ac:dyDescent="0.2">
      <c r="A97" s="605"/>
      <c r="B97" s="552" t="s">
        <v>186</v>
      </c>
      <c r="C97" s="1822" t="s">
        <v>344</v>
      </c>
      <c r="D97" s="1822"/>
      <c r="E97" s="1822"/>
      <c r="F97" s="562"/>
      <c r="G97" s="562"/>
      <c r="H97" s="562"/>
      <c r="I97" s="562"/>
      <c r="J97" s="604">
        <v>3803.91</v>
      </c>
      <c r="K97" s="562" t="s">
        <v>313</v>
      </c>
      <c r="L97" s="604">
        <v>2076.9299999999998</v>
      </c>
      <c r="M97" s="603"/>
      <c r="N97" s="602"/>
      <c r="V97" s="674"/>
      <c r="W97" s="675"/>
      <c r="Z97" s="537" t="s">
        <v>344</v>
      </c>
      <c r="AC97" s="675"/>
      <c r="AD97" s="680"/>
    </row>
    <row r="98" spans="1:30" s="536" customFormat="1" ht="12" x14ac:dyDescent="0.2">
      <c r="A98" s="605"/>
      <c r="B98" s="552" t="s">
        <v>187</v>
      </c>
      <c r="C98" s="1822" t="s">
        <v>345</v>
      </c>
      <c r="D98" s="1822"/>
      <c r="E98" s="1822"/>
      <c r="F98" s="562"/>
      <c r="G98" s="562"/>
      <c r="H98" s="562"/>
      <c r="I98" s="562"/>
      <c r="J98" s="604">
        <v>445.5</v>
      </c>
      <c r="K98" s="562" t="s">
        <v>313</v>
      </c>
      <c r="L98" s="604">
        <v>243.24</v>
      </c>
      <c r="M98" s="603"/>
      <c r="N98" s="602"/>
      <c r="V98" s="674"/>
      <c r="W98" s="675"/>
      <c r="Z98" s="537" t="s">
        <v>345</v>
      </c>
      <c r="AC98" s="675"/>
      <c r="AD98" s="680"/>
    </row>
    <row r="99" spans="1:30" s="536" customFormat="1" ht="12" x14ac:dyDescent="0.2">
      <c r="A99" s="605"/>
      <c r="B99" s="552"/>
      <c r="C99" s="1822" t="s">
        <v>348</v>
      </c>
      <c r="D99" s="1822"/>
      <c r="E99" s="1822"/>
      <c r="F99" s="562" t="s">
        <v>315</v>
      </c>
      <c r="G99" s="562" t="s">
        <v>505</v>
      </c>
      <c r="H99" s="562" t="s">
        <v>313</v>
      </c>
      <c r="I99" s="562" t="s">
        <v>8781</v>
      </c>
      <c r="J99" s="604"/>
      <c r="K99" s="562"/>
      <c r="L99" s="604"/>
      <c r="M99" s="603"/>
      <c r="N99" s="602"/>
      <c r="V99" s="674"/>
      <c r="W99" s="675"/>
      <c r="AA99" s="537" t="s">
        <v>348</v>
      </c>
      <c r="AC99" s="675"/>
      <c r="AD99" s="680"/>
    </row>
    <row r="100" spans="1:30" s="536" customFormat="1" ht="12" x14ac:dyDescent="0.2">
      <c r="A100" s="605"/>
      <c r="B100" s="552"/>
      <c r="C100" s="1828" t="s">
        <v>318</v>
      </c>
      <c r="D100" s="1828"/>
      <c r="E100" s="1828"/>
      <c r="F100" s="608"/>
      <c r="G100" s="608"/>
      <c r="H100" s="608"/>
      <c r="I100" s="608"/>
      <c r="J100" s="607">
        <v>3803.91</v>
      </c>
      <c r="K100" s="608"/>
      <c r="L100" s="607">
        <v>2076.9299999999998</v>
      </c>
      <c r="M100" s="601"/>
      <c r="N100" s="606"/>
      <c r="V100" s="674"/>
      <c r="W100" s="675"/>
      <c r="AB100" s="537" t="s">
        <v>318</v>
      </c>
      <c r="AC100" s="675"/>
      <c r="AD100" s="680"/>
    </row>
    <row r="101" spans="1:30" s="536" customFormat="1" ht="12" x14ac:dyDescent="0.2">
      <c r="A101" s="605"/>
      <c r="B101" s="552"/>
      <c r="C101" s="1822" t="s">
        <v>319</v>
      </c>
      <c r="D101" s="1822"/>
      <c r="E101" s="1822"/>
      <c r="F101" s="562"/>
      <c r="G101" s="562"/>
      <c r="H101" s="562"/>
      <c r="I101" s="562"/>
      <c r="J101" s="604"/>
      <c r="K101" s="562"/>
      <c r="L101" s="604">
        <v>243.24</v>
      </c>
      <c r="M101" s="603"/>
      <c r="N101" s="602"/>
      <c r="V101" s="674"/>
      <c r="W101" s="675"/>
      <c r="AA101" s="537" t="s">
        <v>319</v>
      </c>
      <c r="AC101" s="675"/>
      <c r="AD101" s="680"/>
    </row>
    <row r="102" spans="1:30" s="536" customFormat="1" ht="33.75" x14ac:dyDescent="0.2">
      <c r="A102" s="605"/>
      <c r="B102" s="552" t="s">
        <v>460</v>
      </c>
      <c r="C102" s="1822" t="s">
        <v>461</v>
      </c>
      <c r="D102" s="1822"/>
      <c r="E102" s="1822"/>
      <c r="F102" s="562" t="s">
        <v>322</v>
      </c>
      <c r="G102" s="562" t="s">
        <v>462</v>
      </c>
      <c r="H102" s="562"/>
      <c r="I102" s="562" t="s">
        <v>462</v>
      </c>
      <c r="J102" s="604"/>
      <c r="K102" s="562"/>
      <c r="L102" s="604">
        <v>223.78</v>
      </c>
      <c r="M102" s="603"/>
      <c r="N102" s="602"/>
      <c r="V102" s="674"/>
      <c r="W102" s="675"/>
      <c r="AA102" s="537" t="s">
        <v>461</v>
      </c>
      <c r="AC102" s="675"/>
      <c r="AD102" s="680"/>
    </row>
    <row r="103" spans="1:30" s="536" customFormat="1" ht="33.75" x14ac:dyDescent="0.2">
      <c r="A103" s="605"/>
      <c r="B103" s="552" t="s">
        <v>463</v>
      </c>
      <c r="C103" s="1822" t="s">
        <v>464</v>
      </c>
      <c r="D103" s="1822"/>
      <c r="E103" s="1822"/>
      <c r="F103" s="562" t="s">
        <v>322</v>
      </c>
      <c r="G103" s="562" t="s">
        <v>465</v>
      </c>
      <c r="H103" s="562"/>
      <c r="I103" s="562" t="s">
        <v>465</v>
      </c>
      <c r="J103" s="604"/>
      <c r="K103" s="562"/>
      <c r="L103" s="604">
        <v>111.89</v>
      </c>
      <c r="M103" s="603"/>
      <c r="N103" s="602"/>
      <c r="V103" s="674"/>
      <c r="W103" s="675"/>
      <c r="AA103" s="537" t="s">
        <v>464</v>
      </c>
      <c r="AC103" s="675"/>
      <c r="AD103" s="680"/>
    </row>
    <row r="104" spans="1:30" s="536" customFormat="1" ht="12" x14ac:dyDescent="0.2">
      <c r="A104" s="569"/>
      <c r="B104" s="671"/>
      <c r="C104" s="1823" t="s">
        <v>327</v>
      </c>
      <c r="D104" s="1823"/>
      <c r="E104" s="1823"/>
      <c r="F104" s="573"/>
      <c r="G104" s="573"/>
      <c r="H104" s="573"/>
      <c r="I104" s="573"/>
      <c r="J104" s="572"/>
      <c r="K104" s="573"/>
      <c r="L104" s="572">
        <v>2412.6</v>
      </c>
      <c r="M104" s="601"/>
      <c r="N104" s="570"/>
      <c r="V104" s="674"/>
      <c r="W104" s="675"/>
      <c r="AC104" s="675" t="s">
        <v>327</v>
      </c>
      <c r="AD104" s="680"/>
    </row>
    <row r="105" spans="1:30" s="536" customFormat="1" ht="22.5" x14ac:dyDescent="0.2">
      <c r="A105" s="575" t="s">
        <v>192</v>
      </c>
      <c r="B105" s="670" t="s">
        <v>507</v>
      </c>
      <c r="C105" s="1823" t="s">
        <v>508</v>
      </c>
      <c r="D105" s="1823"/>
      <c r="E105" s="1823"/>
      <c r="F105" s="573" t="s">
        <v>509</v>
      </c>
      <c r="G105" s="573"/>
      <c r="H105" s="573"/>
      <c r="I105" s="573" t="s">
        <v>8782</v>
      </c>
      <c r="J105" s="572"/>
      <c r="K105" s="573"/>
      <c r="L105" s="572"/>
      <c r="M105" s="571"/>
      <c r="N105" s="570"/>
      <c r="V105" s="674"/>
      <c r="W105" s="675" t="s">
        <v>508</v>
      </c>
      <c r="AC105" s="675"/>
      <c r="AD105" s="680"/>
    </row>
    <row r="106" spans="1:30" s="536" customFormat="1" ht="12" x14ac:dyDescent="0.2">
      <c r="A106" s="676"/>
      <c r="B106" s="664"/>
      <c r="C106" s="1822" t="s">
        <v>8783</v>
      </c>
      <c r="D106" s="1822"/>
      <c r="E106" s="1822"/>
      <c r="F106" s="1822"/>
      <c r="G106" s="1822"/>
      <c r="H106" s="1822"/>
      <c r="I106" s="1822"/>
      <c r="J106" s="1822"/>
      <c r="K106" s="1822"/>
      <c r="L106" s="1822"/>
      <c r="M106" s="1822"/>
      <c r="N106" s="1827"/>
      <c r="V106" s="674"/>
      <c r="W106" s="675"/>
      <c r="X106" s="537" t="s">
        <v>8783</v>
      </c>
      <c r="AC106" s="675"/>
      <c r="AD106" s="680"/>
    </row>
    <row r="107" spans="1:30" s="536" customFormat="1" ht="33.75" x14ac:dyDescent="0.2">
      <c r="A107" s="609"/>
      <c r="B107" s="552" t="s">
        <v>310</v>
      </c>
      <c r="C107" s="1822" t="s">
        <v>311</v>
      </c>
      <c r="D107" s="1822"/>
      <c r="E107" s="1822"/>
      <c r="F107" s="1822"/>
      <c r="G107" s="1822"/>
      <c r="H107" s="1822"/>
      <c r="I107" s="1822"/>
      <c r="J107" s="1822"/>
      <c r="K107" s="1822"/>
      <c r="L107" s="1822"/>
      <c r="M107" s="1822"/>
      <c r="N107" s="1827"/>
      <c r="V107" s="674"/>
      <c r="W107" s="675"/>
      <c r="Y107" s="537" t="s">
        <v>311</v>
      </c>
      <c r="AC107" s="675"/>
      <c r="AD107" s="680"/>
    </row>
    <row r="108" spans="1:30" s="536" customFormat="1" ht="12" x14ac:dyDescent="0.2">
      <c r="A108" s="605"/>
      <c r="B108" s="552" t="s">
        <v>185</v>
      </c>
      <c r="C108" s="1822" t="s">
        <v>312</v>
      </c>
      <c r="D108" s="1822"/>
      <c r="E108" s="1822"/>
      <c r="F108" s="562"/>
      <c r="G108" s="562"/>
      <c r="H108" s="562"/>
      <c r="I108" s="562"/>
      <c r="J108" s="604">
        <v>127.61</v>
      </c>
      <c r="K108" s="562" t="s">
        <v>313</v>
      </c>
      <c r="L108" s="604">
        <v>696.75</v>
      </c>
      <c r="M108" s="603"/>
      <c r="N108" s="602"/>
      <c r="V108" s="674"/>
      <c r="W108" s="675"/>
      <c r="Z108" s="537" t="s">
        <v>312</v>
      </c>
      <c r="AC108" s="675"/>
      <c r="AD108" s="680"/>
    </row>
    <row r="109" spans="1:30" s="536" customFormat="1" ht="12" x14ac:dyDescent="0.2">
      <c r="A109" s="605"/>
      <c r="B109" s="552" t="s">
        <v>186</v>
      </c>
      <c r="C109" s="1822" t="s">
        <v>344</v>
      </c>
      <c r="D109" s="1822"/>
      <c r="E109" s="1822"/>
      <c r="F109" s="562"/>
      <c r="G109" s="562"/>
      <c r="H109" s="562"/>
      <c r="I109" s="562"/>
      <c r="J109" s="604">
        <v>288.58</v>
      </c>
      <c r="K109" s="562" t="s">
        <v>313</v>
      </c>
      <c r="L109" s="604">
        <v>1575.65</v>
      </c>
      <c r="M109" s="603"/>
      <c r="N109" s="602"/>
      <c r="V109" s="674"/>
      <c r="W109" s="675"/>
      <c r="Z109" s="537" t="s">
        <v>344</v>
      </c>
      <c r="AC109" s="675"/>
      <c r="AD109" s="680"/>
    </row>
    <row r="110" spans="1:30" s="536" customFormat="1" ht="12" x14ac:dyDescent="0.2">
      <c r="A110" s="605"/>
      <c r="B110" s="552" t="s">
        <v>187</v>
      </c>
      <c r="C110" s="1822" t="s">
        <v>345</v>
      </c>
      <c r="D110" s="1822"/>
      <c r="E110" s="1822"/>
      <c r="F110" s="562"/>
      <c r="G110" s="562"/>
      <c r="H110" s="562"/>
      <c r="I110" s="562"/>
      <c r="J110" s="604">
        <v>31.49</v>
      </c>
      <c r="K110" s="562" t="s">
        <v>313</v>
      </c>
      <c r="L110" s="604">
        <v>171.94</v>
      </c>
      <c r="M110" s="603"/>
      <c r="N110" s="602"/>
      <c r="V110" s="674"/>
      <c r="W110" s="675"/>
      <c r="Z110" s="537" t="s">
        <v>345</v>
      </c>
      <c r="AC110" s="675"/>
      <c r="AD110" s="680"/>
    </row>
    <row r="111" spans="1:30" s="536" customFormat="1" ht="12" x14ac:dyDescent="0.2">
      <c r="A111" s="605"/>
      <c r="B111" s="552"/>
      <c r="C111" s="1822" t="s">
        <v>314</v>
      </c>
      <c r="D111" s="1822"/>
      <c r="E111" s="1822"/>
      <c r="F111" s="562" t="s">
        <v>315</v>
      </c>
      <c r="G111" s="562" t="s">
        <v>512</v>
      </c>
      <c r="H111" s="562" t="s">
        <v>313</v>
      </c>
      <c r="I111" s="562" t="s">
        <v>8784</v>
      </c>
      <c r="J111" s="604"/>
      <c r="K111" s="562"/>
      <c r="L111" s="604"/>
      <c r="M111" s="603"/>
      <c r="N111" s="602"/>
      <c r="V111" s="674"/>
      <c r="W111" s="675"/>
      <c r="AA111" s="537" t="s">
        <v>314</v>
      </c>
      <c r="AC111" s="675"/>
      <c r="AD111" s="680"/>
    </row>
    <row r="112" spans="1:30" s="536" customFormat="1" ht="12" x14ac:dyDescent="0.2">
      <c r="A112" s="605"/>
      <c r="B112" s="552"/>
      <c r="C112" s="1822" t="s">
        <v>348</v>
      </c>
      <c r="D112" s="1822"/>
      <c r="E112" s="1822"/>
      <c r="F112" s="562" t="s">
        <v>315</v>
      </c>
      <c r="G112" s="562" t="s">
        <v>514</v>
      </c>
      <c r="H112" s="562" t="s">
        <v>313</v>
      </c>
      <c r="I112" s="562" t="s">
        <v>8785</v>
      </c>
      <c r="J112" s="604"/>
      <c r="K112" s="562"/>
      <c r="L112" s="604"/>
      <c r="M112" s="603"/>
      <c r="N112" s="602"/>
      <c r="V112" s="674"/>
      <c r="W112" s="675"/>
      <c r="AA112" s="537" t="s">
        <v>348</v>
      </c>
      <c r="AC112" s="675"/>
      <c r="AD112" s="680"/>
    </row>
    <row r="113" spans="1:32" s="536" customFormat="1" ht="12" x14ac:dyDescent="0.2">
      <c r="A113" s="605"/>
      <c r="B113" s="552"/>
      <c r="C113" s="1828" t="s">
        <v>318</v>
      </c>
      <c r="D113" s="1828"/>
      <c r="E113" s="1828"/>
      <c r="F113" s="608"/>
      <c r="G113" s="608"/>
      <c r="H113" s="608"/>
      <c r="I113" s="608"/>
      <c r="J113" s="607">
        <v>416.19</v>
      </c>
      <c r="K113" s="608"/>
      <c r="L113" s="607">
        <v>2272.4</v>
      </c>
      <c r="M113" s="601"/>
      <c r="N113" s="606"/>
      <c r="V113" s="674"/>
      <c r="W113" s="675"/>
      <c r="AB113" s="537" t="s">
        <v>318</v>
      </c>
      <c r="AC113" s="675"/>
      <c r="AD113" s="680"/>
    </row>
    <row r="114" spans="1:32" s="536" customFormat="1" ht="12" x14ac:dyDescent="0.2">
      <c r="A114" s="605"/>
      <c r="B114" s="552"/>
      <c r="C114" s="1822" t="s">
        <v>319</v>
      </c>
      <c r="D114" s="1822"/>
      <c r="E114" s="1822"/>
      <c r="F114" s="562"/>
      <c r="G114" s="562"/>
      <c r="H114" s="562"/>
      <c r="I114" s="562"/>
      <c r="J114" s="604"/>
      <c r="K114" s="562"/>
      <c r="L114" s="604">
        <v>868.69</v>
      </c>
      <c r="M114" s="603"/>
      <c r="N114" s="602"/>
      <c r="V114" s="674"/>
      <c r="W114" s="675"/>
      <c r="AA114" s="537" t="s">
        <v>319</v>
      </c>
      <c r="AC114" s="675"/>
      <c r="AD114" s="680"/>
    </row>
    <row r="115" spans="1:32" s="536" customFormat="1" ht="33.75" x14ac:dyDescent="0.2">
      <c r="A115" s="605"/>
      <c r="B115" s="552" t="s">
        <v>460</v>
      </c>
      <c r="C115" s="1822" t="s">
        <v>461</v>
      </c>
      <c r="D115" s="1822"/>
      <c r="E115" s="1822"/>
      <c r="F115" s="562" t="s">
        <v>322</v>
      </c>
      <c r="G115" s="562" t="s">
        <v>462</v>
      </c>
      <c r="H115" s="562"/>
      <c r="I115" s="562" t="s">
        <v>462</v>
      </c>
      <c r="J115" s="604"/>
      <c r="K115" s="562"/>
      <c r="L115" s="604">
        <v>799.19</v>
      </c>
      <c r="M115" s="603"/>
      <c r="N115" s="602"/>
      <c r="V115" s="674"/>
      <c r="W115" s="675"/>
      <c r="AA115" s="537" t="s">
        <v>461</v>
      </c>
      <c r="AC115" s="675"/>
      <c r="AD115" s="680"/>
    </row>
    <row r="116" spans="1:32" s="536" customFormat="1" ht="33.75" x14ac:dyDescent="0.2">
      <c r="A116" s="605"/>
      <c r="B116" s="552" t="s">
        <v>463</v>
      </c>
      <c r="C116" s="1822" t="s">
        <v>464</v>
      </c>
      <c r="D116" s="1822"/>
      <c r="E116" s="1822"/>
      <c r="F116" s="562" t="s">
        <v>322</v>
      </c>
      <c r="G116" s="562" t="s">
        <v>465</v>
      </c>
      <c r="H116" s="562"/>
      <c r="I116" s="562" t="s">
        <v>465</v>
      </c>
      <c r="J116" s="604"/>
      <c r="K116" s="562"/>
      <c r="L116" s="604">
        <v>399.6</v>
      </c>
      <c r="M116" s="603"/>
      <c r="N116" s="602"/>
      <c r="V116" s="674"/>
      <c r="W116" s="675"/>
      <c r="AA116" s="537" t="s">
        <v>464</v>
      </c>
      <c r="AC116" s="675"/>
      <c r="AD116" s="680"/>
    </row>
    <row r="117" spans="1:32" s="536" customFormat="1" ht="12" x14ac:dyDescent="0.2">
      <c r="A117" s="569"/>
      <c r="B117" s="671"/>
      <c r="C117" s="1823" t="s">
        <v>327</v>
      </c>
      <c r="D117" s="1823"/>
      <c r="E117" s="1823"/>
      <c r="F117" s="573"/>
      <c r="G117" s="573"/>
      <c r="H117" s="573"/>
      <c r="I117" s="573"/>
      <c r="J117" s="572"/>
      <c r="K117" s="573"/>
      <c r="L117" s="572">
        <v>3471.19</v>
      </c>
      <c r="M117" s="601"/>
      <c r="N117" s="570"/>
      <c r="V117" s="674"/>
      <c r="W117" s="675"/>
      <c r="AC117" s="675" t="s">
        <v>327</v>
      </c>
      <c r="AD117" s="680"/>
    </row>
    <row r="118" spans="1:32" s="536" customFormat="1" ht="1.5" customHeight="1" x14ac:dyDescent="0.2">
      <c r="A118" s="563"/>
      <c r="B118" s="671"/>
      <c r="C118" s="671"/>
      <c r="D118" s="671"/>
      <c r="E118" s="671"/>
      <c r="F118" s="563"/>
      <c r="G118" s="563"/>
      <c r="H118" s="563"/>
      <c r="I118" s="563"/>
      <c r="J118" s="546"/>
      <c r="K118" s="563"/>
      <c r="L118" s="546"/>
      <c r="M118" s="562"/>
      <c r="N118" s="546"/>
      <c r="V118" s="674"/>
      <c r="W118" s="675"/>
      <c r="AC118" s="675"/>
      <c r="AD118" s="680"/>
    </row>
    <row r="119" spans="1:32" s="536" customFormat="1" ht="12" x14ac:dyDescent="0.2">
      <c r="A119" s="557"/>
      <c r="B119" s="556"/>
      <c r="C119" s="1823" t="s">
        <v>1021</v>
      </c>
      <c r="D119" s="1823"/>
      <c r="E119" s="1823"/>
      <c r="F119" s="1823"/>
      <c r="G119" s="1823"/>
      <c r="H119" s="1823"/>
      <c r="I119" s="1823"/>
      <c r="J119" s="1823"/>
      <c r="K119" s="1823"/>
      <c r="L119" s="555"/>
      <c r="M119" s="554"/>
      <c r="N119" s="553"/>
      <c r="V119" s="674"/>
      <c r="W119" s="675"/>
      <c r="AC119" s="675"/>
      <c r="AD119" s="680"/>
      <c r="AE119" s="675" t="s">
        <v>1021</v>
      </c>
    </row>
    <row r="120" spans="1:32" s="536" customFormat="1" ht="12" x14ac:dyDescent="0.2">
      <c r="A120" s="548"/>
      <c r="B120" s="552"/>
      <c r="C120" s="1822" t="s">
        <v>403</v>
      </c>
      <c r="D120" s="1822"/>
      <c r="E120" s="1822"/>
      <c r="F120" s="1822"/>
      <c r="G120" s="1822"/>
      <c r="H120" s="1822"/>
      <c r="I120" s="1822"/>
      <c r="J120" s="1822"/>
      <c r="K120" s="1822"/>
      <c r="L120" s="551">
        <v>13884.59</v>
      </c>
      <c r="M120" s="550"/>
      <c r="N120" s="549"/>
      <c r="V120" s="674"/>
      <c r="W120" s="675"/>
      <c r="AC120" s="675"/>
      <c r="AD120" s="680"/>
      <c r="AE120" s="675"/>
      <c r="AF120" s="537" t="s">
        <v>403</v>
      </c>
    </row>
    <row r="121" spans="1:32" s="536" customFormat="1" ht="12" x14ac:dyDescent="0.2">
      <c r="A121" s="548"/>
      <c r="B121" s="552"/>
      <c r="C121" s="1822" t="s">
        <v>204</v>
      </c>
      <c r="D121" s="1822"/>
      <c r="E121" s="1822"/>
      <c r="F121" s="1822"/>
      <c r="G121" s="1822"/>
      <c r="H121" s="1822"/>
      <c r="I121" s="1822"/>
      <c r="J121" s="1822"/>
      <c r="K121" s="1822"/>
      <c r="L121" s="551"/>
      <c r="M121" s="550"/>
      <c r="N121" s="549"/>
      <c r="V121" s="674"/>
      <c r="W121" s="675"/>
      <c r="AC121" s="675"/>
      <c r="AD121" s="680"/>
      <c r="AE121" s="675"/>
      <c r="AF121" s="537" t="s">
        <v>204</v>
      </c>
    </row>
    <row r="122" spans="1:32" s="536" customFormat="1" ht="12" x14ac:dyDescent="0.2">
      <c r="A122" s="548"/>
      <c r="B122" s="552"/>
      <c r="C122" s="1822" t="s">
        <v>404</v>
      </c>
      <c r="D122" s="1822"/>
      <c r="E122" s="1822"/>
      <c r="F122" s="1822"/>
      <c r="G122" s="1822"/>
      <c r="H122" s="1822"/>
      <c r="I122" s="1822"/>
      <c r="J122" s="1822"/>
      <c r="K122" s="1822"/>
      <c r="L122" s="551">
        <v>1814.07</v>
      </c>
      <c r="M122" s="550"/>
      <c r="N122" s="549"/>
      <c r="V122" s="674"/>
      <c r="W122" s="675"/>
      <c r="AC122" s="675"/>
      <c r="AD122" s="680"/>
      <c r="AE122" s="675"/>
      <c r="AF122" s="537" t="s">
        <v>404</v>
      </c>
    </row>
    <row r="123" spans="1:32" s="536" customFormat="1" ht="12" x14ac:dyDescent="0.2">
      <c r="A123" s="548"/>
      <c r="B123" s="552"/>
      <c r="C123" s="1822" t="s">
        <v>405</v>
      </c>
      <c r="D123" s="1822"/>
      <c r="E123" s="1822"/>
      <c r="F123" s="1822"/>
      <c r="G123" s="1822"/>
      <c r="H123" s="1822"/>
      <c r="I123" s="1822"/>
      <c r="J123" s="1822"/>
      <c r="K123" s="1822"/>
      <c r="L123" s="551">
        <v>11318.3</v>
      </c>
      <c r="M123" s="550"/>
      <c r="N123" s="549"/>
      <c r="V123" s="674"/>
      <c r="W123" s="675"/>
      <c r="AC123" s="675"/>
      <c r="AD123" s="680"/>
      <c r="AE123" s="675"/>
      <c r="AF123" s="537" t="s">
        <v>405</v>
      </c>
    </row>
    <row r="124" spans="1:32" s="536" customFormat="1" ht="12" x14ac:dyDescent="0.2">
      <c r="A124" s="548"/>
      <c r="B124" s="552"/>
      <c r="C124" s="1822" t="s">
        <v>406</v>
      </c>
      <c r="D124" s="1822"/>
      <c r="E124" s="1822"/>
      <c r="F124" s="1822"/>
      <c r="G124" s="1822"/>
      <c r="H124" s="1822"/>
      <c r="I124" s="1822"/>
      <c r="J124" s="1822"/>
      <c r="K124" s="1822"/>
      <c r="L124" s="551">
        <v>1005.81</v>
      </c>
      <c r="M124" s="550"/>
      <c r="N124" s="549"/>
      <c r="V124" s="674"/>
      <c r="W124" s="675"/>
      <c r="AC124" s="675"/>
      <c r="AD124" s="680"/>
      <c r="AE124" s="675"/>
      <c r="AF124" s="537" t="s">
        <v>406</v>
      </c>
    </row>
    <row r="125" spans="1:32" s="536" customFormat="1" ht="12" x14ac:dyDescent="0.2">
      <c r="A125" s="548"/>
      <c r="B125" s="552"/>
      <c r="C125" s="1822" t="s">
        <v>480</v>
      </c>
      <c r="D125" s="1822"/>
      <c r="E125" s="1822"/>
      <c r="F125" s="1822"/>
      <c r="G125" s="1822"/>
      <c r="H125" s="1822"/>
      <c r="I125" s="1822"/>
      <c r="J125" s="1822"/>
      <c r="K125" s="1822"/>
      <c r="L125" s="551">
        <v>752.22</v>
      </c>
      <c r="M125" s="550"/>
      <c r="N125" s="549"/>
      <c r="V125" s="674"/>
      <c r="W125" s="675"/>
      <c r="AC125" s="675"/>
      <c r="AD125" s="680"/>
      <c r="AE125" s="675"/>
      <c r="AF125" s="537" t="s">
        <v>480</v>
      </c>
    </row>
    <row r="126" spans="1:32" s="536" customFormat="1" ht="12" x14ac:dyDescent="0.2">
      <c r="A126" s="548"/>
      <c r="B126" s="552"/>
      <c r="C126" s="1822" t="s">
        <v>407</v>
      </c>
      <c r="D126" s="1822"/>
      <c r="E126" s="1822"/>
      <c r="F126" s="1822"/>
      <c r="G126" s="1822"/>
      <c r="H126" s="1822"/>
      <c r="I126" s="1822"/>
      <c r="J126" s="1822"/>
      <c r="K126" s="1822"/>
      <c r="L126" s="551">
        <v>17728.150000000001</v>
      </c>
      <c r="M126" s="550"/>
      <c r="N126" s="549"/>
      <c r="V126" s="674"/>
      <c r="W126" s="675"/>
      <c r="AC126" s="675"/>
      <c r="AD126" s="680"/>
      <c r="AE126" s="675"/>
      <c r="AF126" s="537" t="s">
        <v>407</v>
      </c>
    </row>
    <row r="127" spans="1:32" s="536" customFormat="1" ht="12" x14ac:dyDescent="0.2">
      <c r="A127" s="548"/>
      <c r="B127" s="552"/>
      <c r="C127" s="1822" t="s">
        <v>408</v>
      </c>
      <c r="D127" s="1822"/>
      <c r="E127" s="1822"/>
      <c r="F127" s="1822"/>
      <c r="G127" s="1822"/>
      <c r="H127" s="1822"/>
      <c r="I127" s="1822"/>
      <c r="J127" s="1822"/>
      <c r="K127" s="1822"/>
      <c r="L127" s="551">
        <v>15123.74</v>
      </c>
      <c r="M127" s="550"/>
      <c r="N127" s="549"/>
      <c r="V127" s="674"/>
      <c r="W127" s="675"/>
      <c r="AC127" s="675"/>
      <c r="AD127" s="680"/>
      <c r="AE127" s="675"/>
      <c r="AF127" s="537" t="s">
        <v>408</v>
      </c>
    </row>
    <row r="128" spans="1:32" s="536" customFormat="1" ht="12" x14ac:dyDescent="0.2">
      <c r="A128" s="548"/>
      <c r="B128" s="552"/>
      <c r="C128" s="1822" t="s">
        <v>409</v>
      </c>
      <c r="D128" s="1822"/>
      <c r="E128" s="1822"/>
      <c r="F128" s="1822"/>
      <c r="G128" s="1822"/>
      <c r="H128" s="1822"/>
      <c r="I128" s="1822"/>
      <c r="J128" s="1822"/>
      <c r="K128" s="1822"/>
      <c r="L128" s="551"/>
      <c r="M128" s="550"/>
      <c r="N128" s="549"/>
      <c r="V128" s="674"/>
      <c r="W128" s="675"/>
      <c r="AC128" s="675"/>
      <c r="AD128" s="680"/>
      <c r="AE128" s="675"/>
      <c r="AF128" s="537" t="s">
        <v>409</v>
      </c>
    </row>
    <row r="129" spans="1:33" s="536" customFormat="1" ht="12" x14ac:dyDescent="0.2">
      <c r="A129" s="548"/>
      <c r="B129" s="552"/>
      <c r="C129" s="1822" t="s">
        <v>410</v>
      </c>
      <c r="D129" s="1822"/>
      <c r="E129" s="1822"/>
      <c r="F129" s="1822"/>
      <c r="G129" s="1822"/>
      <c r="H129" s="1822"/>
      <c r="I129" s="1822"/>
      <c r="J129" s="1822"/>
      <c r="K129" s="1822"/>
      <c r="L129" s="551">
        <v>1814.07</v>
      </c>
      <c r="M129" s="550"/>
      <c r="N129" s="549"/>
      <c r="V129" s="674"/>
      <c r="W129" s="675"/>
      <c r="AC129" s="675"/>
      <c r="AD129" s="680"/>
      <c r="AE129" s="675"/>
      <c r="AF129" s="537" t="s">
        <v>410</v>
      </c>
    </row>
    <row r="130" spans="1:33" s="536" customFormat="1" ht="12" x14ac:dyDescent="0.2">
      <c r="A130" s="548"/>
      <c r="B130" s="552"/>
      <c r="C130" s="1822" t="s">
        <v>411</v>
      </c>
      <c r="D130" s="1822"/>
      <c r="E130" s="1822"/>
      <c r="F130" s="1822"/>
      <c r="G130" s="1822"/>
      <c r="H130" s="1822"/>
      <c r="I130" s="1822"/>
      <c r="J130" s="1822"/>
      <c r="K130" s="1822"/>
      <c r="L130" s="551">
        <v>8713.89</v>
      </c>
      <c r="M130" s="550"/>
      <c r="N130" s="549"/>
      <c r="V130" s="674"/>
      <c r="W130" s="675"/>
      <c r="AC130" s="675"/>
      <c r="AD130" s="680"/>
      <c r="AE130" s="675"/>
      <c r="AF130" s="537" t="s">
        <v>411</v>
      </c>
    </row>
    <row r="131" spans="1:33" s="536" customFormat="1" ht="12" x14ac:dyDescent="0.2">
      <c r="A131" s="548"/>
      <c r="B131" s="552"/>
      <c r="C131" s="1822" t="s">
        <v>481</v>
      </c>
      <c r="D131" s="1822"/>
      <c r="E131" s="1822"/>
      <c r="F131" s="1822"/>
      <c r="G131" s="1822"/>
      <c r="H131" s="1822"/>
      <c r="I131" s="1822"/>
      <c r="J131" s="1822"/>
      <c r="K131" s="1822"/>
      <c r="L131" s="551">
        <v>752.22</v>
      </c>
      <c r="M131" s="550"/>
      <c r="N131" s="549"/>
      <c r="V131" s="674"/>
      <c r="W131" s="675"/>
      <c r="AC131" s="675"/>
      <c r="AD131" s="680"/>
      <c r="AE131" s="675"/>
      <c r="AF131" s="537" t="s">
        <v>481</v>
      </c>
    </row>
    <row r="132" spans="1:33" s="536" customFormat="1" ht="12" x14ac:dyDescent="0.2">
      <c r="A132" s="548"/>
      <c r="B132" s="552"/>
      <c r="C132" s="1822" t="s">
        <v>412</v>
      </c>
      <c r="D132" s="1822"/>
      <c r="E132" s="1822"/>
      <c r="F132" s="1822"/>
      <c r="G132" s="1822"/>
      <c r="H132" s="1822"/>
      <c r="I132" s="1822"/>
      <c r="J132" s="1822"/>
      <c r="K132" s="1822"/>
      <c r="L132" s="551">
        <v>2582.9899999999998</v>
      </c>
      <c r="M132" s="550"/>
      <c r="N132" s="549"/>
      <c r="V132" s="674"/>
      <c r="W132" s="675"/>
      <c r="AC132" s="675"/>
      <c r="AD132" s="680"/>
      <c r="AE132" s="675"/>
      <c r="AF132" s="537" t="s">
        <v>412</v>
      </c>
    </row>
    <row r="133" spans="1:33" s="536" customFormat="1" ht="12" x14ac:dyDescent="0.2">
      <c r="A133" s="548"/>
      <c r="B133" s="552"/>
      <c r="C133" s="1822" t="s">
        <v>413</v>
      </c>
      <c r="D133" s="1822"/>
      <c r="E133" s="1822"/>
      <c r="F133" s="1822"/>
      <c r="G133" s="1822"/>
      <c r="H133" s="1822"/>
      <c r="I133" s="1822"/>
      <c r="J133" s="1822"/>
      <c r="K133" s="1822"/>
      <c r="L133" s="551">
        <v>1260.57</v>
      </c>
      <c r="M133" s="550"/>
      <c r="N133" s="549"/>
      <c r="V133" s="674"/>
      <c r="W133" s="675"/>
      <c r="AC133" s="675"/>
      <c r="AD133" s="680"/>
      <c r="AE133" s="675"/>
      <c r="AF133" s="537" t="s">
        <v>413</v>
      </c>
    </row>
    <row r="134" spans="1:33" s="536" customFormat="1" ht="12" x14ac:dyDescent="0.2">
      <c r="A134" s="548"/>
      <c r="B134" s="552"/>
      <c r="C134" s="1822" t="s">
        <v>414</v>
      </c>
      <c r="D134" s="1822"/>
      <c r="E134" s="1822"/>
      <c r="F134" s="1822"/>
      <c r="G134" s="1822"/>
      <c r="H134" s="1822"/>
      <c r="I134" s="1822"/>
      <c r="J134" s="1822"/>
      <c r="K134" s="1822"/>
      <c r="L134" s="551">
        <v>2604.41</v>
      </c>
      <c r="M134" s="550"/>
      <c r="N134" s="549"/>
      <c r="V134" s="674"/>
      <c r="W134" s="675"/>
      <c r="AC134" s="675"/>
      <c r="AD134" s="680"/>
      <c r="AE134" s="675"/>
      <c r="AF134" s="537" t="s">
        <v>414</v>
      </c>
    </row>
    <row r="135" spans="1:33" s="536" customFormat="1" ht="12" x14ac:dyDescent="0.2">
      <c r="A135" s="548"/>
      <c r="B135" s="552"/>
      <c r="C135" s="1822" t="s">
        <v>415</v>
      </c>
      <c r="D135" s="1822"/>
      <c r="E135" s="1822"/>
      <c r="F135" s="1822"/>
      <c r="G135" s="1822"/>
      <c r="H135" s="1822"/>
      <c r="I135" s="1822"/>
      <c r="J135" s="1822"/>
      <c r="K135" s="1822"/>
      <c r="L135" s="551">
        <v>2819.88</v>
      </c>
      <c r="M135" s="550"/>
      <c r="N135" s="549"/>
      <c r="V135" s="674"/>
      <c r="W135" s="675"/>
      <c r="AC135" s="675"/>
      <c r="AD135" s="680"/>
      <c r="AE135" s="675"/>
      <c r="AF135" s="537" t="s">
        <v>415</v>
      </c>
    </row>
    <row r="136" spans="1:33" s="536" customFormat="1" ht="12" x14ac:dyDescent="0.2">
      <c r="A136" s="548"/>
      <c r="B136" s="552"/>
      <c r="C136" s="1822" t="s">
        <v>416</v>
      </c>
      <c r="D136" s="1822"/>
      <c r="E136" s="1822"/>
      <c r="F136" s="1822"/>
      <c r="G136" s="1822"/>
      <c r="H136" s="1822"/>
      <c r="I136" s="1822"/>
      <c r="J136" s="1822"/>
      <c r="K136" s="1822"/>
      <c r="L136" s="551">
        <v>2582.9899999999998</v>
      </c>
      <c r="M136" s="550"/>
      <c r="N136" s="549"/>
      <c r="V136" s="674"/>
      <c r="W136" s="675"/>
      <c r="AC136" s="675"/>
      <c r="AD136" s="680"/>
      <c r="AE136" s="675"/>
      <c r="AF136" s="537" t="s">
        <v>416</v>
      </c>
    </row>
    <row r="137" spans="1:33" s="536" customFormat="1" ht="12" x14ac:dyDescent="0.2">
      <c r="A137" s="548"/>
      <c r="B137" s="552"/>
      <c r="C137" s="1822" t="s">
        <v>417</v>
      </c>
      <c r="D137" s="1822"/>
      <c r="E137" s="1822"/>
      <c r="F137" s="1822"/>
      <c r="G137" s="1822"/>
      <c r="H137" s="1822"/>
      <c r="I137" s="1822"/>
      <c r="J137" s="1822"/>
      <c r="K137" s="1822"/>
      <c r="L137" s="551">
        <v>1260.57</v>
      </c>
      <c r="M137" s="550"/>
      <c r="N137" s="549"/>
      <c r="V137" s="674"/>
      <c r="W137" s="675"/>
      <c r="AC137" s="675"/>
      <c r="AD137" s="680"/>
      <c r="AE137" s="675"/>
      <c r="AF137" s="537" t="s">
        <v>417</v>
      </c>
    </row>
    <row r="138" spans="1:33" s="536" customFormat="1" ht="12" x14ac:dyDescent="0.2">
      <c r="A138" s="548"/>
      <c r="B138" s="546"/>
      <c r="C138" s="1819" t="s">
        <v>1022</v>
      </c>
      <c r="D138" s="1819"/>
      <c r="E138" s="1819"/>
      <c r="F138" s="1819"/>
      <c r="G138" s="1819"/>
      <c r="H138" s="1819"/>
      <c r="I138" s="1819"/>
      <c r="J138" s="1819"/>
      <c r="K138" s="1819"/>
      <c r="L138" s="544">
        <v>17728.150000000001</v>
      </c>
      <c r="M138" s="543"/>
      <c r="N138" s="681"/>
      <c r="V138" s="674"/>
      <c r="W138" s="675"/>
      <c r="AC138" s="675"/>
      <c r="AD138" s="680"/>
      <c r="AE138" s="675"/>
      <c r="AG138" s="675" t="s">
        <v>1022</v>
      </c>
    </row>
    <row r="139" spans="1:33" s="536" customFormat="1" ht="12" x14ac:dyDescent="0.2">
      <c r="A139" s="1824" t="s">
        <v>1647</v>
      </c>
      <c r="B139" s="1825"/>
      <c r="C139" s="1825"/>
      <c r="D139" s="1825"/>
      <c r="E139" s="1825"/>
      <c r="F139" s="1825"/>
      <c r="G139" s="1825"/>
      <c r="H139" s="1825"/>
      <c r="I139" s="1825"/>
      <c r="J139" s="1825"/>
      <c r="K139" s="1825"/>
      <c r="L139" s="1825"/>
      <c r="M139" s="1825"/>
      <c r="N139" s="1826"/>
      <c r="V139" s="674" t="s">
        <v>1647</v>
      </c>
      <c r="W139" s="675"/>
      <c r="AC139" s="675"/>
      <c r="AD139" s="680"/>
      <c r="AE139" s="675"/>
      <c r="AG139" s="675"/>
    </row>
    <row r="140" spans="1:33" s="536" customFormat="1" ht="22.5" x14ac:dyDescent="0.2">
      <c r="A140" s="575" t="s">
        <v>193</v>
      </c>
      <c r="B140" s="670" t="s">
        <v>3789</v>
      </c>
      <c r="C140" s="1823" t="s">
        <v>3790</v>
      </c>
      <c r="D140" s="1823"/>
      <c r="E140" s="1823"/>
      <c r="F140" s="573" t="s">
        <v>1537</v>
      </c>
      <c r="G140" s="573"/>
      <c r="H140" s="573"/>
      <c r="I140" s="573" t="s">
        <v>8786</v>
      </c>
      <c r="J140" s="572"/>
      <c r="K140" s="573"/>
      <c r="L140" s="572"/>
      <c r="M140" s="571"/>
      <c r="N140" s="570"/>
      <c r="V140" s="674"/>
      <c r="W140" s="675" t="s">
        <v>3790</v>
      </c>
      <c r="AC140" s="675"/>
      <c r="AD140" s="680"/>
      <c r="AE140" s="675"/>
      <c r="AG140" s="675"/>
    </row>
    <row r="141" spans="1:33" s="536" customFormat="1" ht="12" x14ac:dyDescent="0.2">
      <c r="A141" s="676"/>
      <c r="B141" s="664"/>
      <c r="C141" s="1822" t="s">
        <v>8787</v>
      </c>
      <c r="D141" s="1822"/>
      <c r="E141" s="1822"/>
      <c r="F141" s="1822"/>
      <c r="G141" s="1822"/>
      <c r="H141" s="1822"/>
      <c r="I141" s="1822"/>
      <c r="J141" s="1822"/>
      <c r="K141" s="1822"/>
      <c r="L141" s="1822"/>
      <c r="M141" s="1822"/>
      <c r="N141" s="1827"/>
      <c r="V141" s="674"/>
      <c r="W141" s="675"/>
      <c r="X141" s="537" t="s">
        <v>8787</v>
      </c>
      <c r="AC141" s="675"/>
      <c r="AD141" s="680"/>
      <c r="AE141" s="675"/>
      <c r="AG141" s="675"/>
    </row>
    <row r="142" spans="1:33" s="536" customFormat="1" ht="33.75" x14ac:dyDescent="0.2">
      <c r="A142" s="609"/>
      <c r="B142" s="552" t="s">
        <v>310</v>
      </c>
      <c r="C142" s="1822" t="s">
        <v>311</v>
      </c>
      <c r="D142" s="1822"/>
      <c r="E142" s="1822"/>
      <c r="F142" s="1822"/>
      <c r="G142" s="1822"/>
      <c r="H142" s="1822"/>
      <c r="I142" s="1822"/>
      <c r="J142" s="1822"/>
      <c r="K142" s="1822"/>
      <c r="L142" s="1822"/>
      <c r="M142" s="1822"/>
      <c r="N142" s="1827"/>
      <c r="V142" s="674"/>
      <c r="W142" s="675"/>
      <c r="Y142" s="537" t="s">
        <v>311</v>
      </c>
      <c r="AC142" s="675"/>
      <c r="AD142" s="680"/>
      <c r="AE142" s="675"/>
      <c r="AG142" s="675"/>
    </row>
    <row r="143" spans="1:33" s="536" customFormat="1" ht="12" x14ac:dyDescent="0.2">
      <c r="A143" s="605"/>
      <c r="B143" s="552" t="s">
        <v>185</v>
      </c>
      <c r="C143" s="1822" t="s">
        <v>312</v>
      </c>
      <c r="D143" s="1822"/>
      <c r="E143" s="1822"/>
      <c r="F143" s="562"/>
      <c r="G143" s="562"/>
      <c r="H143" s="562"/>
      <c r="I143" s="562"/>
      <c r="J143" s="604">
        <v>83.33</v>
      </c>
      <c r="K143" s="562" t="s">
        <v>313</v>
      </c>
      <c r="L143" s="604">
        <v>999.96</v>
      </c>
      <c r="M143" s="603"/>
      <c r="N143" s="602"/>
      <c r="V143" s="674"/>
      <c r="W143" s="675"/>
      <c r="Z143" s="537" t="s">
        <v>312</v>
      </c>
      <c r="AC143" s="675"/>
      <c r="AD143" s="680"/>
      <c r="AE143" s="675"/>
      <c r="AG143" s="675"/>
    </row>
    <row r="144" spans="1:33" s="536" customFormat="1" ht="12" x14ac:dyDescent="0.2">
      <c r="A144" s="605"/>
      <c r="B144" s="552" t="s">
        <v>186</v>
      </c>
      <c r="C144" s="1822" t="s">
        <v>344</v>
      </c>
      <c r="D144" s="1822"/>
      <c r="E144" s="1822"/>
      <c r="F144" s="562"/>
      <c r="G144" s="562"/>
      <c r="H144" s="562"/>
      <c r="I144" s="562"/>
      <c r="J144" s="604">
        <v>28.8</v>
      </c>
      <c r="K144" s="562" t="s">
        <v>313</v>
      </c>
      <c r="L144" s="604">
        <v>345.6</v>
      </c>
      <c r="M144" s="603"/>
      <c r="N144" s="602"/>
      <c r="V144" s="674"/>
      <c r="W144" s="675"/>
      <c r="Z144" s="537" t="s">
        <v>344</v>
      </c>
      <c r="AC144" s="675"/>
      <c r="AD144" s="680"/>
      <c r="AE144" s="675"/>
      <c r="AG144" s="675"/>
    </row>
    <row r="145" spans="1:33" s="536" customFormat="1" ht="12" x14ac:dyDescent="0.2">
      <c r="A145" s="605"/>
      <c r="B145" s="552" t="s">
        <v>187</v>
      </c>
      <c r="C145" s="1822" t="s">
        <v>345</v>
      </c>
      <c r="D145" s="1822"/>
      <c r="E145" s="1822"/>
      <c r="F145" s="562"/>
      <c r="G145" s="562"/>
      <c r="H145" s="562"/>
      <c r="I145" s="562"/>
      <c r="J145" s="604">
        <v>3.22</v>
      </c>
      <c r="K145" s="562" t="s">
        <v>313</v>
      </c>
      <c r="L145" s="604">
        <v>38.64</v>
      </c>
      <c r="M145" s="603"/>
      <c r="N145" s="602"/>
      <c r="V145" s="674"/>
      <c r="W145" s="675"/>
      <c r="Z145" s="537" t="s">
        <v>345</v>
      </c>
      <c r="AC145" s="675"/>
      <c r="AD145" s="680"/>
      <c r="AE145" s="675"/>
      <c r="AG145" s="675"/>
    </row>
    <row r="146" spans="1:33" s="536" customFormat="1" ht="22.5" x14ac:dyDescent="0.2">
      <c r="A146" s="676"/>
      <c r="B146" s="677" t="s">
        <v>1090</v>
      </c>
      <c r="C146" s="1829" t="s">
        <v>1091</v>
      </c>
      <c r="D146" s="1829"/>
      <c r="E146" s="1829"/>
      <c r="F146" s="678" t="s">
        <v>641</v>
      </c>
      <c r="G146" s="678" t="s">
        <v>195</v>
      </c>
      <c r="H146" s="678"/>
      <c r="I146" s="678" t="s">
        <v>8788</v>
      </c>
      <c r="J146" s="552"/>
      <c r="K146" s="562"/>
      <c r="L146" s="604"/>
      <c r="M146" s="562"/>
      <c r="N146" s="679"/>
      <c r="V146" s="674"/>
      <c r="W146" s="675"/>
      <c r="AC146" s="675"/>
      <c r="AD146" s="680" t="s">
        <v>1091</v>
      </c>
      <c r="AE146" s="675"/>
      <c r="AG146" s="675"/>
    </row>
    <row r="147" spans="1:33" s="536" customFormat="1" ht="12" x14ac:dyDescent="0.2">
      <c r="A147" s="605"/>
      <c r="B147" s="552"/>
      <c r="C147" s="1822" t="s">
        <v>314</v>
      </c>
      <c r="D147" s="1822"/>
      <c r="E147" s="1822"/>
      <c r="F147" s="562" t="s">
        <v>315</v>
      </c>
      <c r="G147" s="562" t="s">
        <v>2345</v>
      </c>
      <c r="H147" s="562" t="s">
        <v>313</v>
      </c>
      <c r="I147" s="562" t="s">
        <v>8789</v>
      </c>
      <c r="J147" s="604"/>
      <c r="K147" s="562"/>
      <c r="L147" s="604"/>
      <c r="M147" s="603"/>
      <c r="N147" s="602"/>
      <c r="V147" s="674"/>
      <c r="W147" s="675"/>
      <c r="AA147" s="537" t="s">
        <v>314</v>
      </c>
      <c r="AC147" s="675"/>
      <c r="AD147" s="680"/>
      <c r="AE147" s="675"/>
      <c r="AG147" s="675"/>
    </row>
    <row r="148" spans="1:33" s="536" customFormat="1" ht="12" x14ac:dyDescent="0.2">
      <c r="A148" s="605"/>
      <c r="B148" s="552"/>
      <c r="C148" s="1822" t="s">
        <v>348</v>
      </c>
      <c r="D148" s="1822"/>
      <c r="E148" s="1822"/>
      <c r="F148" s="562" t="s">
        <v>315</v>
      </c>
      <c r="G148" s="562" t="s">
        <v>2344</v>
      </c>
      <c r="H148" s="562" t="s">
        <v>313</v>
      </c>
      <c r="I148" s="562" t="s">
        <v>2325</v>
      </c>
      <c r="J148" s="604"/>
      <c r="K148" s="562"/>
      <c r="L148" s="604"/>
      <c r="M148" s="603"/>
      <c r="N148" s="602"/>
      <c r="V148" s="674"/>
      <c r="W148" s="675"/>
      <c r="AA148" s="537" t="s">
        <v>348</v>
      </c>
      <c r="AC148" s="675"/>
      <c r="AD148" s="680"/>
      <c r="AE148" s="675"/>
      <c r="AG148" s="675"/>
    </row>
    <row r="149" spans="1:33" s="536" customFormat="1" ht="12" x14ac:dyDescent="0.2">
      <c r="A149" s="605"/>
      <c r="B149" s="552"/>
      <c r="C149" s="1828" t="s">
        <v>318</v>
      </c>
      <c r="D149" s="1828"/>
      <c r="E149" s="1828"/>
      <c r="F149" s="608"/>
      <c r="G149" s="608"/>
      <c r="H149" s="608"/>
      <c r="I149" s="608"/>
      <c r="J149" s="607">
        <v>112.13</v>
      </c>
      <c r="K149" s="608"/>
      <c r="L149" s="607">
        <v>1345.56</v>
      </c>
      <c r="M149" s="601"/>
      <c r="N149" s="606"/>
      <c r="V149" s="674"/>
      <c r="W149" s="675"/>
      <c r="AB149" s="537" t="s">
        <v>318</v>
      </c>
      <c r="AC149" s="675"/>
      <c r="AD149" s="680"/>
      <c r="AE149" s="675"/>
      <c r="AG149" s="675"/>
    </row>
    <row r="150" spans="1:33" s="536" customFormat="1" ht="12" x14ac:dyDescent="0.2">
      <c r="A150" s="605"/>
      <c r="B150" s="552"/>
      <c r="C150" s="1822" t="s">
        <v>319</v>
      </c>
      <c r="D150" s="1822"/>
      <c r="E150" s="1822"/>
      <c r="F150" s="562"/>
      <c r="G150" s="562"/>
      <c r="H150" s="562"/>
      <c r="I150" s="562"/>
      <c r="J150" s="604"/>
      <c r="K150" s="562"/>
      <c r="L150" s="604">
        <v>1038.5999999999999</v>
      </c>
      <c r="M150" s="603"/>
      <c r="N150" s="602"/>
      <c r="V150" s="674"/>
      <c r="W150" s="675"/>
      <c r="AA150" s="537" t="s">
        <v>319</v>
      </c>
      <c r="AC150" s="675"/>
      <c r="AD150" s="680"/>
      <c r="AE150" s="675"/>
      <c r="AG150" s="675"/>
    </row>
    <row r="151" spans="1:33" s="536" customFormat="1" ht="33.75" x14ac:dyDescent="0.2">
      <c r="A151" s="605"/>
      <c r="B151" s="552" t="s">
        <v>533</v>
      </c>
      <c r="C151" s="1822" t="s">
        <v>534</v>
      </c>
      <c r="D151" s="1822"/>
      <c r="E151" s="1822"/>
      <c r="F151" s="562" t="s">
        <v>322</v>
      </c>
      <c r="G151" s="562" t="s">
        <v>535</v>
      </c>
      <c r="H151" s="562"/>
      <c r="I151" s="562" t="s">
        <v>535</v>
      </c>
      <c r="J151" s="604"/>
      <c r="K151" s="562"/>
      <c r="L151" s="604">
        <v>1215.1600000000001</v>
      </c>
      <c r="M151" s="603"/>
      <c r="N151" s="602"/>
      <c r="V151" s="674"/>
      <c r="W151" s="675"/>
      <c r="AA151" s="537" t="s">
        <v>534</v>
      </c>
      <c r="AC151" s="675"/>
      <c r="AD151" s="680"/>
      <c r="AE151" s="675"/>
      <c r="AG151" s="675"/>
    </row>
    <row r="152" spans="1:33" s="536" customFormat="1" ht="33.75" x14ac:dyDescent="0.2">
      <c r="A152" s="605"/>
      <c r="B152" s="552" t="s">
        <v>536</v>
      </c>
      <c r="C152" s="1822" t="s">
        <v>537</v>
      </c>
      <c r="D152" s="1822"/>
      <c r="E152" s="1822"/>
      <c r="F152" s="562" t="s">
        <v>322</v>
      </c>
      <c r="G152" s="562" t="s">
        <v>538</v>
      </c>
      <c r="H152" s="562"/>
      <c r="I152" s="562" t="s">
        <v>538</v>
      </c>
      <c r="J152" s="604"/>
      <c r="K152" s="562"/>
      <c r="L152" s="604">
        <v>768.56</v>
      </c>
      <c r="M152" s="603"/>
      <c r="N152" s="602"/>
      <c r="V152" s="674"/>
      <c r="W152" s="675"/>
      <c r="AA152" s="537" t="s">
        <v>537</v>
      </c>
      <c r="AC152" s="675"/>
      <c r="AD152" s="680"/>
      <c r="AE152" s="675"/>
      <c r="AG152" s="675"/>
    </row>
    <row r="153" spans="1:33" s="536" customFormat="1" ht="12" x14ac:dyDescent="0.2">
      <c r="A153" s="569"/>
      <c r="B153" s="671"/>
      <c r="C153" s="1823" t="s">
        <v>327</v>
      </c>
      <c r="D153" s="1823"/>
      <c r="E153" s="1823"/>
      <c r="F153" s="573"/>
      <c r="G153" s="573"/>
      <c r="H153" s="573"/>
      <c r="I153" s="573"/>
      <c r="J153" s="572"/>
      <c r="K153" s="573"/>
      <c r="L153" s="572">
        <v>3329.28</v>
      </c>
      <c r="M153" s="601"/>
      <c r="N153" s="570"/>
      <c r="V153" s="674"/>
      <c r="W153" s="675"/>
      <c r="AC153" s="675" t="s">
        <v>327</v>
      </c>
      <c r="AD153" s="680"/>
      <c r="AE153" s="675"/>
      <c r="AG153" s="675"/>
    </row>
    <row r="154" spans="1:33" s="536" customFormat="1" ht="33.75" x14ac:dyDescent="0.2">
      <c r="A154" s="575" t="s">
        <v>194</v>
      </c>
      <c r="B154" s="670" t="s">
        <v>1095</v>
      </c>
      <c r="C154" s="1823" t="s">
        <v>1096</v>
      </c>
      <c r="D154" s="1823"/>
      <c r="E154" s="1823"/>
      <c r="F154" s="573" t="s">
        <v>641</v>
      </c>
      <c r="G154" s="573"/>
      <c r="H154" s="573"/>
      <c r="I154" s="573" t="s">
        <v>8788</v>
      </c>
      <c r="J154" s="572">
        <v>55.26</v>
      </c>
      <c r="K154" s="573"/>
      <c r="L154" s="572">
        <v>5835.46</v>
      </c>
      <c r="M154" s="571"/>
      <c r="N154" s="570"/>
      <c r="V154" s="674"/>
      <c r="W154" s="675" t="s">
        <v>1096</v>
      </c>
      <c r="AC154" s="675"/>
      <c r="AD154" s="680"/>
      <c r="AE154" s="675"/>
      <c r="AG154" s="675"/>
    </row>
    <row r="155" spans="1:33" s="536" customFormat="1" ht="12" x14ac:dyDescent="0.2">
      <c r="A155" s="569"/>
      <c r="B155" s="671"/>
      <c r="C155" s="665" t="s">
        <v>717</v>
      </c>
      <c r="D155" s="666"/>
      <c r="E155" s="666"/>
      <c r="F155" s="563"/>
      <c r="G155" s="563"/>
      <c r="H155" s="563"/>
      <c r="I155" s="563"/>
      <c r="J155" s="566"/>
      <c r="K155" s="563"/>
      <c r="L155" s="566"/>
      <c r="M155" s="565"/>
      <c r="N155" s="564"/>
      <c r="V155" s="674"/>
      <c r="W155" s="675"/>
      <c r="AC155" s="675"/>
      <c r="AD155" s="680"/>
      <c r="AE155" s="675"/>
      <c r="AG155" s="675"/>
    </row>
    <row r="156" spans="1:33" s="536" customFormat="1" ht="12" x14ac:dyDescent="0.2">
      <c r="A156" s="676"/>
      <c r="B156" s="664"/>
      <c r="C156" s="1822" t="s">
        <v>8790</v>
      </c>
      <c r="D156" s="1822"/>
      <c r="E156" s="1822"/>
      <c r="F156" s="1822"/>
      <c r="G156" s="1822"/>
      <c r="H156" s="1822"/>
      <c r="I156" s="1822"/>
      <c r="J156" s="1822"/>
      <c r="K156" s="1822"/>
      <c r="L156" s="1822"/>
      <c r="M156" s="1822"/>
      <c r="N156" s="1827"/>
      <c r="V156" s="674"/>
      <c r="W156" s="675"/>
      <c r="X156" s="537" t="s">
        <v>8790</v>
      </c>
      <c r="AC156" s="675"/>
      <c r="AD156" s="680"/>
      <c r="AE156" s="675"/>
      <c r="AG156" s="675"/>
    </row>
    <row r="157" spans="1:33" s="536" customFormat="1" ht="22.5" x14ac:dyDescent="0.2">
      <c r="A157" s="575" t="s">
        <v>195</v>
      </c>
      <c r="B157" s="670" t="s">
        <v>3791</v>
      </c>
      <c r="C157" s="1823" t="s">
        <v>3792</v>
      </c>
      <c r="D157" s="1823"/>
      <c r="E157" s="1823"/>
      <c r="F157" s="573" t="s">
        <v>3793</v>
      </c>
      <c r="G157" s="573"/>
      <c r="H157" s="573"/>
      <c r="I157" s="573" t="s">
        <v>8791</v>
      </c>
      <c r="J157" s="572"/>
      <c r="K157" s="573"/>
      <c r="L157" s="572"/>
      <c r="M157" s="571"/>
      <c r="N157" s="570"/>
      <c r="V157" s="674"/>
      <c r="W157" s="675" t="s">
        <v>3792</v>
      </c>
      <c r="AC157" s="675"/>
      <c r="AD157" s="680"/>
      <c r="AE157" s="675"/>
      <c r="AG157" s="675"/>
    </row>
    <row r="158" spans="1:33" s="536" customFormat="1" ht="12" x14ac:dyDescent="0.2">
      <c r="A158" s="676"/>
      <c r="B158" s="664"/>
      <c r="C158" s="1822" t="s">
        <v>8792</v>
      </c>
      <c r="D158" s="1822"/>
      <c r="E158" s="1822"/>
      <c r="F158" s="1822"/>
      <c r="G158" s="1822"/>
      <c r="H158" s="1822"/>
      <c r="I158" s="1822"/>
      <c r="J158" s="1822"/>
      <c r="K158" s="1822"/>
      <c r="L158" s="1822"/>
      <c r="M158" s="1822"/>
      <c r="N158" s="1827"/>
      <c r="V158" s="674"/>
      <c r="W158" s="675"/>
      <c r="X158" s="537" t="s">
        <v>8792</v>
      </c>
      <c r="AC158" s="675"/>
      <c r="AD158" s="680"/>
      <c r="AE158" s="675"/>
      <c r="AG158" s="675"/>
    </row>
    <row r="159" spans="1:33" s="536" customFormat="1" ht="33.75" x14ac:dyDescent="0.2">
      <c r="A159" s="609"/>
      <c r="B159" s="552" t="s">
        <v>310</v>
      </c>
      <c r="C159" s="1822" t="s">
        <v>311</v>
      </c>
      <c r="D159" s="1822"/>
      <c r="E159" s="1822"/>
      <c r="F159" s="1822"/>
      <c r="G159" s="1822"/>
      <c r="H159" s="1822"/>
      <c r="I159" s="1822"/>
      <c r="J159" s="1822"/>
      <c r="K159" s="1822"/>
      <c r="L159" s="1822"/>
      <c r="M159" s="1822"/>
      <c r="N159" s="1827"/>
      <c r="V159" s="674"/>
      <c r="W159" s="675"/>
      <c r="Y159" s="537" t="s">
        <v>311</v>
      </c>
      <c r="AC159" s="675"/>
      <c r="AD159" s="680"/>
      <c r="AE159" s="675"/>
      <c r="AG159" s="675"/>
    </row>
    <row r="160" spans="1:33" s="536" customFormat="1" ht="12" x14ac:dyDescent="0.2">
      <c r="A160" s="605"/>
      <c r="B160" s="552" t="s">
        <v>185</v>
      </c>
      <c r="C160" s="1822" t="s">
        <v>312</v>
      </c>
      <c r="D160" s="1822"/>
      <c r="E160" s="1822"/>
      <c r="F160" s="562"/>
      <c r="G160" s="562"/>
      <c r="H160" s="562"/>
      <c r="I160" s="562"/>
      <c r="J160" s="604">
        <v>1125.18</v>
      </c>
      <c r="K160" s="562" t="s">
        <v>313</v>
      </c>
      <c r="L160" s="604">
        <v>5392.43</v>
      </c>
      <c r="M160" s="603"/>
      <c r="N160" s="602"/>
      <c r="V160" s="674"/>
      <c r="W160" s="675"/>
      <c r="Z160" s="537" t="s">
        <v>312</v>
      </c>
      <c r="AC160" s="675"/>
      <c r="AD160" s="680"/>
      <c r="AE160" s="675"/>
      <c r="AG160" s="675"/>
    </row>
    <row r="161" spans="1:33" s="536" customFormat="1" ht="12" x14ac:dyDescent="0.2">
      <c r="A161" s="605"/>
      <c r="B161" s="552" t="s">
        <v>188</v>
      </c>
      <c r="C161" s="1822" t="s">
        <v>475</v>
      </c>
      <c r="D161" s="1822"/>
      <c r="E161" s="1822"/>
      <c r="F161" s="562"/>
      <c r="G161" s="562"/>
      <c r="H161" s="562"/>
      <c r="I161" s="562"/>
      <c r="J161" s="604">
        <v>63068.02</v>
      </c>
      <c r="K161" s="562"/>
      <c r="L161" s="604">
        <v>260.79000000000002</v>
      </c>
      <c r="M161" s="603"/>
      <c r="N161" s="602"/>
      <c r="V161" s="674"/>
      <c r="W161" s="675"/>
      <c r="Z161" s="537" t="s">
        <v>475</v>
      </c>
      <c r="AC161" s="675"/>
      <c r="AD161" s="680"/>
      <c r="AE161" s="675"/>
      <c r="AG161" s="675"/>
    </row>
    <row r="162" spans="1:33" s="536" customFormat="1" ht="12" x14ac:dyDescent="0.2">
      <c r="A162" s="605"/>
      <c r="B162" s="552"/>
      <c r="C162" s="1822" t="s">
        <v>314</v>
      </c>
      <c r="D162" s="1822"/>
      <c r="E162" s="1822"/>
      <c r="F162" s="562" t="s">
        <v>315</v>
      </c>
      <c r="G162" s="562" t="s">
        <v>3794</v>
      </c>
      <c r="H162" s="562" t="s">
        <v>313</v>
      </c>
      <c r="I162" s="562" t="s">
        <v>8793</v>
      </c>
      <c r="J162" s="604"/>
      <c r="K162" s="562"/>
      <c r="L162" s="604"/>
      <c r="M162" s="603"/>
      <c r="N162" s="602"/>
      <c r="V162" s="674"/>
      <c r="W162" s="675"/>
      <c r="AA162" s="537" t="s">
        <v>314</v>
      </c>
      <c r="AC162" s="675"/>
      <c r="AD162" s="680"/>
      <c r="AE162" s="675"/>
      <c r="AG162" s="675"/>
    </row>
    <row r="163" spans="1:33" s="536" customFormat="1" ht="12" x14ac:dyDescent="0.2">
      <c r="A163" s="605"/>
      <c r="B163" s="552"/>
      <c r="C163" s="1828" t="s">
        <v>318</v>
      </c>
      <c r="D163" s="1828"/>
      <c r="E163" s="1828"/>
      <c r="F163" s="608"/>
      <c r="G163" s="608"/>
      <c r="H163" s="608"/>
      <c r="I163" s="608"/>
      <c r="J163" s="607">
        <v>1193.2</v>
      </c>
      <c r="K163" s="608"/>
      <c r="L163" s="607">
        <v>5653.22</v>
      </c>
      <c r="M163" s="601"/>
      <c r="N163" s="606"/>
      <c r="V163" s="674"/>
      <c r="W163" s="675"/>
      <c r="AB163" s="537" t="s">
        <v>318</v>
      </c>
      <c r="AC163" s="675"/>
      <c r="AD163" s="680"/>
      <c r="AE163" s="675"/>
      <c r="AG163" s="675"/>
    </row>
    <row r="164" spans="1:33" s="536" customFormat="1" ht="12" x14ac:dyDescent="0.2">
      <c r="A164" s="605"/>
      <c r="B164" s="552"/>
      <c r="C164" s="1822" t="s">
        <v>319</v>
      </c>
      <c r="D164" s="1822"/>
      <c r="E164" s="1822"/>
      <c r="F164" s="562"/>
      <c r="G164" s="562"/>
      <c r="H164" s="562"/>
      <c r="I164" s="562"/>
      <c r="J164" s="604"/>
      <c r="K164" s="562"/>
      <c r="L164" s="604">
        <v>5392.43</v>
      </c>
      <c r="M164" s="603"/>
      <c r="N164" s="602"/>
      <c r="V164" s="674"/>
      <c r="W164" s="675"/>
      <c r="AA164" s="537" t="s">
        <v>319</v>
      </c>
      <c r="AC164" s="675"/>
      <c r="AD164" s="680"/>
      <c r="AE164" s="675"/>
      <c r="AG164" s="675"/>
    </row>
    <row r="165" spans="1:33" s="536" customFormat="1" ht="33.75" x14ac:dyDescent="0.2">
      <c r="A165" s="605"/>
      <c r="B165" s="552" t="s">
        <v>741</v>
      </c>
      <c r="C165" s="1822" t="s">
        <v>742</v>
      </c>
      <c r="D165" s="1822"/>
      <c r="E165" s="1822"/>
      <c r="F165" s="562" t="s">
        <v>322</v>
      </c>
      <c r="G165" s="562" t="s">
        <v>743</v>
      </c>
      <c r="H165" s="562"/>
      <c r="I165" s="562" t="s">
        <v>743</v>
      </c>
      <c r="J165" s="604"/>
      <c r="K165" s="562"/>
      <c r="L165" s="604">
        <v>5284.58</v>
      </c>
      <c r="M165" s="603"/>
      <c r="N165" s="602"/>
      <c r="V165" s="674"/>
      <c r="W165" s="675"/>
      <c r="AA165" s="537" t="s">
        <v>742</v>
      </c>
      <c r="AC165" s="675"/>
      <c r="AD165" s="680"/>
      <c r="AE165" s="675"/>
      <c r="AG165" s="675"/>
    </row>
    <row r="166" spans="1:33" s="536" customFormat="1" ht="33.75" x14ac:dyDescent="0.2">
      <c r="A166" s="605"/>
      <c r="B166" s="552" t="s">
        <v>744</v>
      </c>
      <c r="C166" s="1822" t="s">
        <v>745</v>
      </c>
      <c r="D166" s="1822"/>
      <c r="E166" s="1822"/>
      <c r="F166" s="562" t="s">
        <v>322</v>
      </c>
      <c r="G166" s="562" t="s">
        <v>690</v>
      </c>
      <c r="H166" s="562"/>
      <c r="I166" s="562" t="s">
        <v>690</v>
      </c>
      <c r="J166" s="604"/>
      <c r="K166" s="562"/>
      <c r="L166" s="604">
        <v>3127.61</v>
      </c>
      <c r="M166" s="603"/>
      <c r="N166" s="602"/>
      <c r="V166" s="674"/>
      <c r="W166" s="675"/>
      <c r="AA166" s="537" t="s">
        <v>745</v>
      </c>
      <c r="AC166" s="675"/>
      <c r="AD166" s="680"/>
      <c r="AE166" s="675"/>
      <c r="AG166" s="675"/>
    </row>
    <row r="167" spans="1:33" s="536" customFormat="1" ht="12" x14ac:dyDescent="0.2">
      <c r="A167" s="569"/>
      <c r="B167" s="671"/>
      <c r="C167" s="1823" t="s">
        <v>327</v>
      </c>
      <c r="D167" s="1823"/>
      <c r="E167" s="1823"/>
      <c r="F167" s="573"/>
      <c r="G167" s="573"/>
      <c r="H167" s="573"/>
      <c r="I167" s="573"/>
      <c r="J167" s="572"/>
      <c r="K167" s="573"/>
      <c r="L167" s="572">
        <v>14065.41</v>
      </c>
      <c r="M167" s="601"/>
      <c r="N167" s="570"/>
      <c r="V167" s="674"/>
      <c r="W167" s="675"/>
      <c r="AC167" s="675" t="s">
        <v>327</v>
      </c>
      <c r="AD167" s="680"/>
      <c r="AE167" s="675"/>
      <c r="AG167" s="675"/>
    </row>
    <row r="168" spans="1:33" s="536" customFormat="1" ht="33.75" x14ac:dyDescent="0.2">
      <c r="A168" s="575" t="s">
        <v>196</v>
      </c>
      <c r="B168" s="670" t="s">
        <v>3795</v>
      </c>
      <c r="C168" s="1823" t="s">
        <v>3796</v>
      </c>
      <c r="D168" s="1823"/>
      <c r="E168" s="1823"/>
      <c r="F168" s="573" t="s">
        <v>483</v>
      </c>
      <c r="G168" s="573"/>
      <c r="H168" s="573"/>
      <c r="I168" s="573" t="s">
        <v>8794</v>
      </c>
      <c r="J168" s="572">
        <v>215.84</v>
      </c>
      <c r="K168" s="573" t="s">
        <v>716</v>
      </c>
      <c r="L168" s="572">
        <v>98012.14</v>
      </c>
      <c r="M168" s="571">
        <v>8.32</v>
      </c>
      <c r="N168" s="570">
        <v>815461</v>
      </c>
      <c r="V168" s="674"/>
      <c r="W168" s="675" t="s">
        <v>3796</v>
      </c>
      <c r="AC168" s="675"/>
      <c r="AD168" s="680"/>
      <c r="AE168" s="675"/>
      <c r="AG168" s="675"/>
    </row>
    <row r="169" spans="1:33" s="536" customFormat="1" ht="12" x14ac:dyDescent="0.2">
      <c r="A169" s="569"/>
      <c r="B169" s="671"/>
      <c r="C169" s="665" t="s">
        <v>717</v>
      </c>
      <c r="D169" s="666"/>
      <c r="E169" s="666"/>
      <c r="F169" s="563"/>
      <c r="G169" s="563"/>
      <c r="H169" s="563"/>
      <c r="I169" s="563"/>
      <c r="J169" s="566"/>
      <c r="K169" s="563"/>
      <c r="L169" s="566"/>
      <c r="M169" s="565"/>
      <c r="N169" s="564"/>
      <c r="V169" s="674"/>
      <c r="W169" s="675"/>
      <c r="AC169" s="675"/>
      <c r="AD169" s="680"/>
      <c r="AE169" s="675"/>
      <c r="AG169" s="675"/>
    </row>
    <row r="170" spans="1:33" s="536" customFormat="1" ht="22.5" x14ac:dyDescent="0.2">
      <c r="A170" s="609"/>
      <c r="B170" s="552" t="s">
        <v>718</v>
      </c>
      <c r="C170" s="1822" t="s">
        <v>719</v>
      </c>
      <c r="D170" s="1822"/>
      <c r="E170" s="1822"/>
      <c r="F170" s="1822"/>
      <c r="G170" s="1822"/>
      <c r="H170" s="1822"/>
      <c r="I170" s="1822"/>
      <c r="J170" s="1822"/>
      <c r="K170" s="1822"/>
      <c r="L170" s="1822"/>
      <c r="M170" s="1822"/>
      <c r="N170" s="1827"/>
      <c r="V170" s="674"/>
      <c r="W170" s="675"/>
      <c r="Y170" s="537" t="s">
        <v>719</v>
      </c>
      <c r="AC170" s="675"/>
      <c r="AD170" s="680"/>
      <c r="AE170" s="675"/>
      <c r="AG170" s="675"/>
    </row>
    <row r="171" spans="1:33" s="536" customFormat="1" ht="33.75" x14ac:dyDescent="0.2">
      <c r="A171" s="575" t="s">
        <v>197</v>
      </c>
      <c r="B171" s="670" t="s">
        <v>3797</v>
      </c>
      <c r="C171" s="1823" t="s">
        <v>3798</v>
      </c>
      <c r="D171" s="1823"/>
      <c r="E171" s="1823"/>
      <c r="F171" s="573" t="s">
        <v>483</v>
      </c>
      <c r="G171" s="573"/>
      <c r="H171" s="573"/>
      <c r="I171" s="573" t="s">
        <v>2411</v>
      </c>
      <c r="J171" s="572">
        <v>89.67</v>
      </c>
      <c r="K171" s="573" t="s">
        <v>716</v>
      </c>
      <c r="L171" s="572">
        <v>1429.09</v>
      </c>
      <c r="M171" s="571">
        <v>8.32</v>
      </c>
      <c r="N171" s="570">
        <v>11890</v>
      </c>
      <c r="V171" s="674"/>
      <c r="W171" s="675" t="s">
        <v>3798</v>
      </c>
      <c r="AC171" s="675"/>
      <c r="AD171" s="680"/>
      <c r="AE171" s="675"/>
      <c r="AG171" s="675"/>
    </row>
    <row r="172" spans="1:33" s="536" customFormat="1" ht="12" x14ac:dyDescent="0.2">
      <c r="A172" s="569"/>
      <c r="B172" s="671"/>
      <c r="C172" s="665" t="s">
        <v>717</v>
      </c>
      <c r="D172" s="666"/>
      <c r="E172" s="666"/>
      <c r="F172" s="563"/>
      <c r="G172" s="563"/>
      <c r="H172" s="563"/>
      <c r="I172" s="563"/>
      <c r="J172" s="566"/>
      <c r="K172" s="563"/>
      <c r="L172" s="566"/>
      <c r="M172" s="565"/>
      <c r="N172" s="564"/>
      <c r="V172" s="674"/>
      <c r="W172" s="675"/>
      <c r="AC172" s="675"/>
      <c r="AD172" s="680"/>
      <c r="AE172" s="675"/>
      <c r="AG172" s="675"/>
    </row>
    <row r="173" spans="1:33" s="536" customFormat="1" ht="22.5" x14ac:dyDescent="0.2">
      <c r="A173" s="609"/>
      <c r="B173" s="552" t="s">
        <v>718</v>
      </c>
      <c r="C173" s="1822" t="s">
        <v>719</v>
      </c>
      <c r="D173" s="1822"/>
      <c r="E173" s="1822"/>
      <c r="F173" s="1822"/>
      <c r="G173" s="1822"/>
      <c r="H173" s="1822"/>
      <c r="I173" s="1822"/>
      <c r="J173" s="1822"/>
      <c r="K173" s="1822"/>
      <c r="L173" s="1822"/>
      <c r="M173" s="1822"/>
      <c r="N173" s="1827"/>
      <c r="V173" s="674"/>
      <c r="W173" s="675"/>
      <c r="Y173" s="537" t="s">
        <v>719</v>
      </c>
      <c r="AC173" s="675"/>
      <c r="AD173" s="680"/>
      <c r="AE173" s="675"/>
      <c r="AG173" s="675"/>
    </row>
    <row r="174" spans="1:33" s="536" customFormat="1" ht="33.75" x14ac:dyDescent="0.2">
      <c r="A174" s="575" t="s">
        <v>198</v>
      </c>
      <c r="B174" s="670" t="s">
        <v>3799</v>
      </c>
      <c r="C174" s="1823" t="s">
        <v>3800</v>
      </c>
      <c r="D174" s="1823"/>
      <c r="E174" s="1823"/>
      <c r="F174" s="573" t="s">
        <v>628</v>
      </c>
      <c r="G174" s="573"/>
      <c r="H174" s="573"/>
      <c r="I174" s="573" t="s">
        <v>1079</v>
      </c>
      <c r="J174" s="572">
        <v>191.1</v>
      </c>
      <c r="K174" s="573" t="s">
        <v>716</v>
      </c>
      <c r="L174" s="572">
        <v>585.70000000000005</v>
      </c>
      <c r="M174" s="571">
        <v>8.32</v>
      </c>
      <c r="N174" s="570">
        <v>4873</v>
      </c>
      <c r="V174" s="674"/>
      <c r="W174" s="675" t="s">
        <v>3800</v>
      </c>
      <c r="AC174" s="675"/>
      <c r="AD174" s="680"/>
      <c r="AE174" s="675"/>
      <c r="AG174" s="675"/>
    </row>
    <row r="175" spans="1:33" s="536" customFormat="1" ht="12" x14ac:dyDescent="0.2">
      <c r="A175" s="569"/>
      <c r="B175" s="671"/>
      <c r="C175" s="665" t="s">
        <v>717</v>
      </c>
      <c r="D175" s="666"/>
      <c r="E175" s="666"/>
      <c r="F175" s="563"/>
      <c r="G175" s="563"/>
      <c r="H175" s="563"/>
      <c r="I175" s="563"/>
      <c r="J175" s="566"/>
      <c r="K175" s="563"/>
      <c r="L175" s="566"/>
      <c r="M175" s="565"/>
      <c r="N175" s="564"/>
      <c r="V175" s="674"/>
      <c r="W175" s="675"/>
      <c r="AC175" s="675"/>
      <c r="AD175" s="680"/>
      <c r="AE175" s="675"/>
      <c r="AG175" s="675"/>
    </row>
    <row r="176" spans="1:33" s="536" customFormat="1" ht="22.5" x14ac:dyDescent="0.2">
      <c r="A176" s="609"/>
      <c r="B176" s="552" t="s">
        <v>718</v>
      </c>
      <c r="C176" s="1822" t="s">
        <v>719</v>
      </c>
      <c r="D176" s="1822"/>
      <c r="E176" s="1822"/>
      <c r="F176" s="1822"/>
      <c r="G176" s="1822"/>
      <c r="H176" s="1822"/>
      <c r="I176" s="1822"/>
      <c r="J176" s="1822"/>
      <c r="K176" s="1822"/>
      <c r="L176" s="1822"/>
      <c r="M176" s="1822"/>
      <c r="N176" s="1827"/>
      <c r="V176" s="674"/>
      <c r="W176" s="675"/>
      <c r="Y176" s="537" t="s">
        <v>719</v>
      </c>
      <c r="AC176" s="675"/>
      <c r="AD176" s="680"/>
      <c r="AE176" s="675"/>
      <c r="AG176" s="675"/>
    </row>
    <row r="177" spans="1:33" s="536" customFormat="1" ht="33.75" x14ac:dyDescent="0.2">
      <c r="A177" s="575" t="s">
        <v>199</v>
      </c>
      <c r="B177" s="670" t="s">
        <v>3801</v>
      </c>
      <c r="C177" s="1823" t="s">
        <v>3802</v>
      </c>
      <c r="D177" s="1823"/>
      <c r="E177" s="1823"/>
      <c r="F177" s="573" t="s">
        <v>628</v>
      </c>
      <c r="G177" s="573"/>
      <c r="H177" s="573"/>
      <c r="I177" s="573" t="s">
        <v>2980</v>
      </c>
      <c r="J177" s="572">
        <v>300.51</v>
      </c>
      <c r="K177" s="573" t="s">
        <v>716</v>
      </c>
      <c r="L177" s="572">
        <v>3536.78</v>
      </c>
      <c r="M177" s="571">
        <v>8.32</v>
      </c>
      <c r="N177" s="570">
        <v>29426</v>
      </c>
      <c r="V177" s="674"/>
      <c r="W177" s="675" t="s">
        <v>3802</v>
      </c>
      <c r="AC177" s="675"/>
      <c r="AD177" s="680"/>
      <c r="AE177" s="675"/>
      <c r="AG177" s="675"/>
    </row>
    <row r="178" spans="1:33" s="536" customFormat="1" ht="12" x14ac:dyDescent="0.2">
      <c r="A178" s="569"/>
      <c r="B178" s="671"/>
      <c r="C178" s="665" t="s">
        <v>717</v>
      </c>
      <c r="D178" s="666"/>
      <c r="E178" s="666"/>
      <c r="F178" s="563"/>
      <c r="G178" s="563"/>
      <c r="H178" s="563"/>
      <c r="I178" s="563"/>
      <c r="J178" s="566"/>
      <c r="K178" s="563"/>
      <c r="L178" s="566"/>
      <c r="M178" s="565"/>
      <c r="N178" s="564"/>
      <c r="V178" s="674"/>
      <c r="W178" s="675"/>
      <c r="AC178" s="675"/>
      <c r="AD178" s="680"/>
      <c r="AE178" s="675"/>
      <c r="AG178" s="675"/>
    </row>
    <row r="179" spans="1:33" s="536" customFormat="1" ht="22.5" x14ac:dyDescent="0.2">
      <c r="A179" s="609"/>
      <c r="B179" s="552" t="s">
        <v>718</v>
      </c>
      <c r="C179" s="1822" t="s">
        <v>719</v>
      </c>
      <c r="D179" s="1822"/>
      <c r="E179" s="1822"/>
      <c r="F179" s="1822"/>
      <c r="G179" s="1822"/>
      <c r="H179" s="1822"/>
      <c r="I179" s="1822"/>
      <c r="J179" s="1822"/>
      <c r="K179" s="1822"/>
      <c r="L179" s="1822"/>
      <c r="M179" s="1822"/>
      <c r="N179" s="1827"/>
      <c r="V179" s="674"/>
      <c r="W179" s="675"/>
      <c r="Y179" s="537" t="s">
        <v>719</v>
      </c>
      <c r="AC179" s="675"/>
      <c r="AD179" s="680"/>
      <c r="AE179" s="675"/>
      <c r="AG179" s="675"/>
    </row>
    <row r="180" spans="1:33" s="536" customFormat="1" ht="33.75" x14ac:dyDescent="0.2">
      <c r="A180" s="575" t="s">
        <v>200</v>
      </c>
      <c r="B180" s="670" t="s">
        <v>3803</v>
      </c>
      <c r="C180" s="1823" t="s">
        <v>3804</v>
      </c>
      <c r="D180" s="1823"/>
      <c r="E180" s="1823"/>
      <c r="F180" s="573" t="s">
        <v>628</v>
      </c>
      <c r="G180" s="573"/>
      <c r="H180" s="573"/>
      <c r="I180" s="573" t="s">
        <v>3805</v>
      </c>
      <c r="J180" s="572">
        <v>95.15</v>
      </c>
      <c r="K180" s="573" t="s">
        <v>716</v>
      </c>
      <c r="L180" s="572">
        <v>2869.59</v>
      </c>
      <c r="M180" s="571">
        <v>8.32</v>
      </c>
      <c r="N180" s="570">
        <v>23875</v>
      </c>
      <c r="V180" s="674"/>
      <c r="W180" s="675" t="s">
        <v>3804</v>
      </c>
      <c r="AC180" s="675"/>
      <c r="AD180" s="680"/>
      <c r="AE180" s="675"/>
      <c r="AG180" s="675"/>
    </row>
    <row r="181" spans="1:33" s="536" customFormat="1" ht="12" x14ac:dyDescent="0.2">
      <c r="A181" s="569"/>
      <c r="B181" s="671"/>
      <c r="C181" s="665" t="s">
        <v>717</v>
      </c>
      <c r="D181" s="666"/>
      <c r="E181" s="666"/>
      <c r="F181" s="563"/>
      <c r="G181" s="563"/>
      <c r="H181" s="563"/>
      <c r="I181" s="563"/>
      <c r="J181" s="566"/>
      <c r="K181" s="563"/>
      <c r="L181" s="566"/>
      <c r="M181" s="565"/>
      <c r="N181" s="564"/>
      <c r="V181" s="674"/>
      <c r="W181" s="675"/>
      <c r="AC181" s="675"/>
      <c r="AD181" s="680"/>
      <c r="AE181" s="675"/>
      <c r="AG181" s="675"/>
    </row>
    <row r="182" spans="1:33" s="536" customFormat="1" ht="22.5" x14ac:dyDescent="0.2">
      <c r="A182" s="609"/>
      <c r="B182" s="552" t="s">
        <v>718</v>
      </c>
      <c r="C182" s="1822" t="s">
        <v>719</v>
      </c>
      <c r="D182" s="1822"/>
      <c r="E182" s="1822"/>
      <c r="F182" s="1822"/>
      <c r="G182" s="1822"/>
      <c r="H182" s="1822"/>
      <c r="I182" s="1822"/>
      <c r="J182" s="1822"/>
      <c r="K182" s="1822"/>
      <c r="L182" s="1822"/>
      <c r="M182" s="1822"/>
      <c r="N182" s="1827"/>
      <c r="V182" s="674"/>
      <c r="W182" s="675"/>
      <c r="Y182" s="537" t="s">
        <v>719</v>
      </c>
      <c r="AC182" s="675"/>
      <c r="AD182" s="680"/>
      <c r="AE182" s="675"/>
      <c r="AG182" s="675"/>
    </row>
    <row r="183" spans="1:33" s="536" customFormat="1" ht="45" x14ac:dyDescent="0.2">
      <c r="A183" s="575" t="s">
        <v>425</v>
      </c>
      <c r="B183" s="670" t="s">
        <v>3806</v>
      </c>
      <c r="C183" s="1823" t="s">
        <v>3807</v>
      </c>
      <c r="D183" s="1823"/>
      <c r="E183" s="1823"/>
      <c r="F183" s="573" t="s">
        <v>617</v>
      </c>
      <c r="G183" s="573"/>
      <c r="H183" s="573"/>
      <c r="I183" s="573" t="s">
        <v>326</v>
      </c>
      <c r="J183" s="572"/>
      <c r="K183" s="573"/>
      <c r="L183" s="572"/>
      <c r="M183" s="571"/>
      <c r="N183" s="570"/>
      <c r="V183" s="674"/>
      <c r="W183" s="675" t="s">
        <v>3807</v>
      </c>
      <c r="AC183" s="675"/>
      <c r="AD183" s="680"/>
      <c r="AE183" s="675"/>
      <c r="AG183" s="675"/>
    </row>
    <row r="184" spans="1:33" s="536" customFormat="1" ht="33.75" x14ac:dyDescent="0.2">
      <c r="A184" s="609"/>
      <c r="B184" s="552" t="s">
        <v>310</v>
      </c>
      <c r="C184" s="1822" t="s">
        <v>311</v>
      </c>
      <c r="D184" s="1822"/>
      <c r="E184" s="1822"/>
      <c r="F184" s="1822"/>
      <c r="G184" s="1822"/>
      <c r="H184" s="1822"/>
      <c r="I184" s="1822"/>
      <c r="J184" s="1822"/>
      <c r="K184" s="1822"/>
      <c r="L184" s="1822"/>
      <c r="M184" s="1822"/>
      <c r="N184" s="1827"/>
      <c r="V184" s="674"/>
      <c r="W184" s="675"/>
      <c r="Y184" s="537" t="s">
        <v>311</v>
      </c>
      <c r="AC184" s="675"/>
      <c r="AD184" s="680"/>
      <c r="AE184" s="675"/>
      <c r="AG184" s="675"/>
    </row>
    <row r="185" spans="1:33" s="536" customFormat="1" ht="12" x14ac:dyDescent="0.2">
      <c r="A185" s="605"/>
      <c r="B185" s="552" t="s">
        <v>185</v>
      </c>
      <c r="C185" s="1822" t="s">
        <v>312</v>
      </c>
      <c r="D185" s="1822"/>
      <c r="E185" s="1822"/>
      <c r="F185" s="562"/>
      <c r="G185" s="562"/>
      <c r="H185" s="562"/>
      <c r="I185" s="562"/>
      <c r="J185" s="604">
        <v>15.42</v>
      </c>
      <c r="K185" s="562" t="s">
        <v>313</v>
      </c>
      <c r="L185" s="604">
        <v>790.28</v>
      </c>
      <c r="M185" s="603"/>
      <c r="N185" s="602"/>
      <c r="V185" s="674"/>
      <c r="W185" s="675"/>
      <c r="Z185" s="537" t="s">
        <v>312</v>
      </c>
      <c r="AC185" s="675"/>
      <c r="AD185" s="680"/>
      <c r="AE185" s="675"/>
      <c r="AG185" s="675"/>
    </row>
    <row r="186" spans="1:33" s="536" customFormat="1" ht="12" x14ac:dyDescent="0.2">
      <c r="A186" s="605"/>
      <c r="B186" s="552" t="s">
        <v>186</v>
      </c>
      <c r="C186" s="1822" t="s">
        <v>344</v>
      </c>
      <c r="D186" s="1822"/>
      <c r="E186" s="1822"/>
      <c r="F186" s="562"/>
      <c r="G186" s="562"/>
      <c r="H186" s="562"/>
      <c r="I186" s="562"/>
      <c r="J186" s="604">
        <v>111.54</v>
      </c>
      <c r="K186" s="562" t="s">
        <v>313</v>
      </c>
      <c r="L186" s="604">
        <v>5716.43</v>
      </c>
      <c r="M186" s="603"/>
      <c r="N186" s="602"/>
      <c r="V186" s="674"/>
      <c r="W186" s="675"/>
      <c r="Z186" s="537" t="s">
        <v>344</v>
      </c>
      <c r="AC186" s="675"/>
      <c r="AD186" s="680"/>
      <c r="AE186" s="675"/>
      <c r="AG186" s="675"/>
    </row>
    <row r="187" spans="1:33" s="536" customFormat="1" ht="12" x14ac:dyDescent="0.2">
      <c r="A187" s="605"/>
      <c r="B187" s="552" t="s">
        <v>187</v>
      </c>
      <c r="C187" s="1822" t="s">
        <v>345</v>
      </c>
      <c r="D187" s="1822"/>
      <c r="E187" s="1822"/>
      <c r="F187" s="562"/>
      <c r="G187" s="562"/>
      <c r="H187" s="562"/>
      <c r="I187" s="562"/>
      <c r="J187" s="604">
        <v>13.49</v>
      </c>
      <c r="K187" s="562" t="s">
        <v>313</v>
      </c>
      <c r="L187" s="604">
        <v>691.36</v>
      </c>
      <c r="M187" s="603"/>
      <c r="N187" s="602"/>
      <c r="V187" s="674"/>
      <c r="W187" s="675"/>
      <c r="Z187" s="537" t="s">
        <v>345</v>
      </c>
      <c r="AC187" s="675"/>
      <c r="AD187" s="680"/>
      <c r="AE187" s="675"/>
      <c r="AG187" s="675"/>
    </row>
    <row r="188" spans="1:33" s="536" customFormat="1" ht="12" x14ac:dyDescent="0.2">
      <c r="A188" s="605"/>
      <c r="B188" s="552" t="s">
        <v>188</v>
      </c>
      <c r="C188" s="1822" t="s">
        <v>475</v>
      </c>
      <c r="D188" s="1822"/>
      <c r="E188" s="1822"/>
      <c r="F188" s="562"/>
      <c r="G188" s="562"/>
      <c r="H188" s="562"/>
      <c r="I188" s="562"/>
      <c r="J188" s="604">
        <v>0.05</v>
      </c>
      <c r="K188" s="562"/>
      <c r="L188" s="604">
        <v>2.0499999999999998</v>
      </c>
      <c r="M188" s="603"/>
      <c r="N188" s="602"/>
      <c r="V188" s="674"/>
      <c r="W188" s="675"/>
      <c r="Z188" s="537" t="s">
        <v>475</v>
      </c>
      <c r="AC188" s="675"/>
      <c r="AD188" s="680"/>
      <c r="AE188" s="675"/>
      <c r="AG188" s="675"/>
    </row>
    <row r="189" spans="1:33" s="536" customFormat="1" ht="12" x14ac:dyDescent="0.2">
      <c r="A189" s="676"/>
      <c r="B189" s="677" t="s">
        <v>1602</v>
      </c>
      <c r="C189" s="1829" t="s">
        <v>1603</v>
      </c>
      <c r="D189" s="1829"/>
      <c r="E189" s="1829"/>
      <c r="F189" s="678" t="s">
        <v>641</v>
      </c>
      <c r="G189" s="678" t="s">
        <v>525</v>
      </c>
      <c r="H189" s="678"/>
      <c r="I189" s="678" t="s">
        <v>525</v>
      </c>
      <c r="J189" s="552"/>
      <c r="K189" s="562"/>
      <c r="L189" s="604"/>
      <c r="M189" s="562"/>
      <c r="N189" s="679"/>
      <c r="V189" s="674"/>
      <c r="W189" s="675"/>
      <c r="AC189" s="675"/>
      <c r="AD189" s="680" t="s">
        <v>1603</v>
      </c>
      <c r="AE189" s="675"/>
      <c r="AG189" s="675"/>
    </row>
    <row r="190" spans="1:33" s="536" customFormat="1" ht="12" x14ac:dyDescent="0.2">
      <c r="A190" s="676"/>
      <c r="B190" s="677" t="s">
        <v>1604</v>
      </c>
      <c r="C190" s="1829" t="s">
        <v>1605</v>
      </c>
      <c r="D190" s="1829"/>
      <c r="E190" s="1829"/>
      <c r="F190" s="678" t="s">
        <v>638</v>
      </c>
      <c r="G190" s="678" t="s">
        <v>185</v>
      </c>
      <c r="H190" s="678"/>
      <c r="I190" s="678" t="s">
        <v>326</v>
      </c>
      <c r="J190" s="552"/>
      <c r="K190" s="562"/>
      <c r="L190" s="604"/>
      <c r="M190" s="562"/>
      <c r="N190" s="679"/>
      <c r="V190" s="674"/>
      <c r="W190" s="675"/>
      <c r="AC190" s="675"/>
      <c r="AD190" s="680" t="s">
        <v>1605</v>
      </c>
      <c r="AE190" s="675"/>
      <c r="AG190" s="675"/>
    </row>
    <row r="191" spans="1:33" s="536" customFormat="1" ht="12" x14ac:dyDescent="0.2">
      <c r="A191" s="605"/>
      <c r="B191" s="552"/>
      <c r="C191" s="1822" t="s">
        <v>314</v>
      </c>
      <c r="D191" s="1822"/>
      <c r="E191" s="1822"/>
      <c r="F191" s="562" t="s">
        <v>315</v>
      </c>
      <c r="G191" s="562" t="s">
        <v>3808</v>
      </c>
      <c r="H191" s="562" t="s">
        <v>313</v>
      </c>
      <c r="I191" s="562" t="s">
        <v>3809</v>
      </c>
      <c r="J191" s="604"/>
      <c r="K191" s="562"/>
      <c r="L191" s="604"/>
      <c r="M191" s="603"/>
      <c r="N191" s="602"/>
      <c r="V191" s="674"/>
      <c r="W191" s="675"/>
      <c r="AA191" s="537" t="s">
        <v>314</v>
      </c>
      <c r="AC191" s="675"/>
      <c r="AD191" s="680"/>
      <c r="AE191" s="675"/>
      <c r="AG191" s="675"/>
    </row>
    <row r="192" spans="1:33" s="536" customFormat="1" ht="12" x14ac:dyDescent="0.2">
      <c r="A192" s="605"/>
      <c r="B192" s="552"/>
      <c r="C192" s="1822" t="s">
        <v>348</v>
      </c>
      <c r="D192" s="1822"/>
      <c r="E192" s="1822"/>
      <c r="F192" s="562" t="s">
        <v>315</v>
      </c>
      <c r="G192" s="562" t="s">
        <v>3191</v>
      </c>
      <c r="H192" s="562" t="s">
        <v>313</v>
      </c>
      <c r="I192" s="562" t="s">
        <v>3810</v>
      </c>
      <c r="J192" s="604"/>
      <c r="K192" s="562"/>
      <c r="L192" s="604"/>
      <c r="M192" s="603"/>
      <c r="N192" s="602"/>
      <c r="V192" s="674"/>
      <c r="W192" s="675"/>
      <c r="AA192" s="537" t="s">
        <v>348</v>
      </c>
      <c r="AC192" s="675"/>
      <c r="AD192" s="680"/>
      <c r="AE192" s="675"/>
      <c r="AG192" s="675"/>
    </row>
    <row r="193" spans="1:33" s="536" customFormat="1" ht="12" x14ac:dyDescent="0.2">
      <c r="A193" s="605"/>
      <c r="B193" s="552"/>
      <c r="C193" s="1828" t="s">
        <v>318</v>
      </c>
      <c r="D193" s="1828"/>
      <c r="E193" s="1828"/>
      <c r="F193" s="608"/>
      <c r="G193" s="608"/>
      <c r="H193" s="608"/>
      <c r="I193" s="608"/>
      <c r="J193" s="607">
        <v>127.01</v>
      </c>
      <c r="K193" s="608"/>
      <c r="L193" s="607">
        <v>6508.76</v>
      </c>
      <c r="M193" s="601"/>
      <c r="N193" s="606"/>
      <c r="V193" s="674"/>
      <c r="W193" s="675"/>
      <c r="AB193" s="537" t="s">
        <v>318</v>
      </c>
      <c r="AC193" s="675"/>
      <c r="AD193" s="680"/>
      <c r="AE193" s="675"/>
      <c r="AG193" s="675"/>
    </row>
    <row r="194" spans="1:33" s="536" customFormat="1" ht="12" x14ac:dyDescent="0.2">
      <c r="A194" s="605"/>
      <c r="B194" s="552"/>
      <c r="C194" s="1822" t="s">
        <v>319</v>
      </c>
      <c r="D194" s="1822"/>
      <c r="E194" s="1822"/>
      <c r="F194" s="562"/>
      <c r="G194" s="562"/>
      <c r="H194" s="562"/>
      <c r="I194" s="562"/>
      <c r="J194" s="604"/>
      <c r="K194" s="562"/>
      <c r="L194" s="604">
        <v>1481.64</v>
      </c>
      <c r="M194" s="603"/>
      <c r="N194" s="602"/>
      <c r="V194" s="674"/>
      <c r="W194" s="675"/>
      <c r="AA194" s="537" t="s">
        <v>319</v>
      </c>
      <c r="AC194" s="675"/>
      <c r="AD194" s="680"/>
      <c r="AE194" s="675"/>
      <c r="AG194" s="675"/>
    </row>
    <row r="195" spans="1:33" s="536" customFormat="1" ht="33.75" x14ac:dyDescent="0.2">
      <c r="A195" s="605"/>
      <c r="B195" s="552" t="s">
        <v>533</v>
      </c>
      <c r="C195" s="1822" t="s">
        <v>534</v>
      </c>
      <c r="D195" s="1822"/>
      <c r="E195" s="1822"/>
      <c r="F195" s="562" t="s">
        <v>322</v>
      </c>
      <c r="G195" s="562" t="s">
        <v>535</v>
      </c>
      <c r="H195" s="562"/>
      <c r="I195" s="562" t="s">
        <v>535</v>
      </c>
      <c r="J195" s="604"/>
      <c r="K195" s="562"/>
      <c r="L195" s="604">
        <v>1733.52</v>
      </c>
      <c r="M195" s="603"/>
      <c r="N195" s="602"/>
      <c r="V195" s="674"/>
      <c r="W195" s="675"/>
      <c r="AA195" s="537" t="s">
        <v>534</v>
      </c>
      <c r="AC195" s="675"/>
      <c r="AD195" s="680"/>
      <c r="AE195" s="675"/>
      <c r="AG195" s="675"/>
    </row>
    <row r="196" spans="1:33" s="536" customFormat="1" ht="33.75" x14ac:dyDescent="0.2">
      <c r="A196" s="605"/>
      <c r="B196" s="552" t="s">
        <v>536</v>
      </c>
      <c r="C196" s="1822" t="s">
        <v>537</v>
      </c>
      <c r="D196" s="1822"/>
      <c r="E196" s="1822"/>
      <c r="F196" s="562" t="s">
        <v>322</v>
      </c>
      <c r="G196" s="562" t="s">
        <v>538</v>
      </c>
      <c r="H196" s="562"/>
      <c r="I196" s="562" t="s">
        <v>538</v>
      </c>
      <c r="J196" s="604"/>
      <c r="K196" s="562"/>
      <c r="L196" s="604">
        <v>1096.4100000000001</v>
      </c>
      <c r="M196" s="603"/>
      <c r="N196" s="602"/>
      <c r="V196" s="674"/>
      <c r="W196" s="675"/>
      <c r="AA196" s="537" t="s">
        <v>537</v>
      </c>
      <c r="AC196" s="675"/>
      <c r="AD196" s="680"/>
      <c r="AE196" s="675"/>
      <c r="AG196" s="675"/>
    </row>
    <row r="197" spans="1:33" s="536" customFormat="1" ht="12" x14ac:dyDescent="0.2">
      <c r="A197" s="569"/>
      <c r="B197" s="671"/>
      <c r="C197" s="1823" t="s">
        <v>327</v>
      </c>
      <c r="D197" s="1823"/>
      <c r="E197" s="1823"/>
      <c r="F197" s="573"/>
      <c r="G197" s="573"/>
      <c r="H197" s="573"/>
      <c r="I197" s="573"/>
      <c r="J197" s="572"/>
      <c r="K197" s="573"/>
      <c r="L197" s="572">
        <v>9338.69</v>
      </c>
      <c r="M197" s="601"/>
      <c r="N197" s="570"/>
      <c r="V197" s="674"/>
      <c r="W197" s="675"/>
      <c r="AC197" s="675" t="s">
        <v>327</v>
      </c>
      <c r="AD197" s="680"/>
      <c r="AE197" s="675"/>
      <c r="AG197" s="675"/>
    </row>
    <row r="198" spans="1:33" s="536" customFormat="1" ht="33.75" x14ac:dyDescent="0.2">
      <c r="A198" s="575" t="s">
        <v>430</v>
      </c>
      <c r="B198" s="670" t="s">
        <v>3811</v>
      </c>
      <c r="C198" s="1823" t="s">
        <v>3812</v>
      </c>
      <c r="D198" s="1823"/>
      <c r="E198" s="1823"/>
      <c r="F198" s="573" t="s">
        <v>628</v>
      </c>
      <c r="G198" s="573"/>
      <c r="H198" s="573"/>
      <c r="I198" s="573" t="s">
        <v>326</v>
      </c>
      <c r="J198" s="572">
        <v>47407.5</v>
      </c>
      <c r="K198" s="573" t="s">
        <v>716</v>
      </c>
      <c r="L198" s="572">
        <v>238291.11</v>
      </c>
      <c r="M198" s="571">
        <v>8.32</v>
      </c>
      <c r="N198" s="570">
        <v>1982582</v>
      </c>
      <c r="V198" s="674"/>
      <c r="W198" s="675" t="s">
        <v>3812</v>
      </c>
      <c r="AC198" s="675"/>
      <c r="AD198" s="680"/>
      <c r="AE198" s="675"/>
      <c r="AG198" s="675"/>
    </row>
    <row r="199" spans="1:33" s="536" customFormat="1" ht="12" x14ac:dyDescent="0.2">
      <c r="A199" s="569"/>
      <c r="B199" s="671"/>
      <c r="C199" s="665" t="s">
        <v>717</v>
      </c>
      <c r="D199" s="666"/>
      <c r="E199" s="666"/>
      <c r="F199" s="563"/>
      <c r="G199" s="563"/>
      <c r="H199" s="563"/>
      <c r="I199" s="563"/>
      <c r="J199" s="566"/>
      <c r="K199" s="563"/>
      <c r="L199" s="566"/>
      <c r="M199" s="565"/>
      <c r="N199" s="564"/>
      <c r="V199" s="674"/>
      <c r="W199" s="675"/>
      <c r="AC199" s="675"/>
      <c r="AD199" s="680"/>
      <c r="AE199" s="675"/>
      <c r="AG199" s="675"/>
    </row>
    <row r="200" spans="1:33" s="536" customFormat="1" ht="22.5" x14ac:dyDescent="0.2">
      <c r="A200" s="609"/>
      <c r="B200" s="552" t="s">
        <v>718</v>
      </c>
      <c r="C200" s="1822" t="s">
        <v>719</v>
      </c>
      <c r="D200" s="1822"/>
      <c r="E200" s="1822"/>
      <c r="F200" s="1822"/>
      <c r="G200" s="1822"/>
      <c r="H200" s="1822"/>
      <c r="I200" s="1822"/>
      <c r="J200" s="1822"/>
      <c r="K200" s="1822"/>
      <c r="L200" s="1822"/>
      <c r="M200" s="1822"/>
      <c r="N200" s="1827"/>
      <c r="V200" s="674"/>
      <c r="W200" s="675"/>
      <c r="Y200" s="537" t="s">
        <v>719</v>
      </c>
      <c r="AC200" s="675"/>
      <c r="AD200" s="680"/>
      <c r="AE200" s="675"/>
      <c r="AG200" s="675"/>
    </row>
    <row r="201" spans="1:33" s="536" customFormat="1" ht="33.75" x14ac:dyDescent="0.2">
      <c r="A201" s="575" t="s">
        <v>436</v>
      </c>
      <c r="B201" s="670" t="s">
        <v>3813</v>
      </c>
      <c r="C201" s="1823" t="s">
        <v>3814</v>
      </c>
      <c r="D201" s="1823"/>
      <c r="E201" s="1823"/>
      <c r="F201" s="573" t="s">
        <v>628</v>
      </c>
      <c r="G201" s="573"/>
      <c r="H201" s="573"/>
      <c r="I201" s="573" t="s">
        <v>3815</v>
      </c>
      <c r="J201" s="572">
        <v>838.95</v>
      </c>
      <c r="K201" s="573" t="s">
        <v>716</v>
      </c>
      <c r="L201" s="572">
        <v>16867.79</v>
      </c>
      <c r="M201" s="571">
        <v>8.32</v>
      </c>
      <c r="N201" s="570">
        <v>140340</v>
      </c>
      <c r="V201" s="674"/>
      <c r="W201" s="675" t="s">
        <v>3814</v>
      </c>
      <c r="AC201" s="675"/>
      <c r="AD201" s="680"/>
      <c r="AE201" s="675"/>
      <c r="AG201" s="675"/>
    </row>
    <row r="202" spans="1:33" s="536" customFormat="1" ht="12" x14ac:dyDescent="0.2">
      <c r="A202" s="569"/>
      <c r="B202" s="671"/>
      <c r="C202" s="665" t="s">
        <v>717</v>
      </c>
      <c r="D202" s="666"/>
      <c r="E202" s="666"/>
      <c r="F202" s="563"/>
      <c r="G202" s="563"/>
      <c r="H202" s="563"/>
      <c r="I202" s="563"/>
      <c r="J202" s="566"/>
      <c r="K202" s="563"/>
      <c r="L202" s="566"/>
      <c r="M202" s="565"/>
      <c r="N202" s="564"/>
      <c r="V202" s="674"/>
      <c r="W202" s="675"/>
      <c r="AC202" s="675"/>
      <c r="AD202" s="680"/>
      <c r="AE202" s="675"/>
      <c r="AG202" s="675"/>
    </row>
    <row r="203" spans="1:33" s="536" customFormat="1" ht="22.5" x14ac:dyDescent="0.2">
      <c r="A203" s="609"/>
      <c r="B203" s="552" t="s">
        <v>718</v>
      </c>
      <c r="C203" s="1822" t="s">
        <v>719</v>
      </c>
      <c r="D203" s="1822"/>
      <c r="E203" s="1822"/>
      <c r="F203" s="1822"/>
      <c r="G203" s="1822"/>
      <c r="H203" s="1822"/>
      <c r="I203" s="1822"/>
      <c r="J203" s="1822"/>
      <c r="K203" s="1822"/>
      <c r="L203" s="1822"/>
      <c r="M203" s="1822"/>
      <c r="N203" s="1827"/>
      <c r="V203" s="674"/>
      <c r="W203" s="675"/>
      <c r="Y203" s="537" t="s">
        <v>719</v>
      </c>
      <c r="AC203" s="675"/>
      <c r="AD203" s="680"/>
      <c r="AE203" s="675"/>
      <c r="AG203" s="675"/>
    </row>
    <row r="204" spans="1:33" s="536" customFormat="1" ht="33.75" x14ac:dyDescent="0.2">
      <c r="A204" s="575" t="s">
        <v>733</v>
      </c>
      <c r="B204" s="670" t="s">
        <v>3816</v>
      </c>
      <c r="C204" s="1823" t="s">
        <v>3817</v>
      </c>
      <c r="D204" s="1823"/>
      <c r="E204" s="1823"/>
      <c r="F204" s="573" t="s">
        <v>628</v>
      </c>
      <c r="G204" s="573"/>
      <c r="H204" s="573"/>
      <c r="I204" s="573" t="s">
        <v>3818</v>
      </c>
      <c r="J204" s="572">
        <v>87.84</v>
      </c>
      <c r="K204" s="573" t="s">
        <v>716</v>
      </c>
      <c r="L204" s="572">
        <v>3532.21</v>
      </c>
      <c r="M204" s="571">
        <v>8.32</v>
      </c>
      <c r="N204" s="570">
        <v>29388</v>
      </c>
      <c r="V204" s="674"/>
      <c r="W204" s="675" t="s">
        <v>3817</v>
      </c>
      <c r="AC204" s="675"/>
      <c r="AD204" s="680"/>
      <c r="AE204" s="675"/>
      <c r="AG204" s="675"/>
    </row>
    <row r="205" spans="1:33" s="536" customFormat="1" ht="12" x14ac:dyDescent="0.2">
      <c r="A205" s="569"/>
      <c r="B205" s="671"/>
      <c r="C205" s="665" t="s">
        <v>717</v>
      </c>
      <c r="D205" s="666"/>
      <c r="E205" s="666"/>
      <c r="F205" s="563"/>
      <c r="G205" s="563"/>
      <c r="H205" s="563"/>
      <c r="I205" s="563"/>
      <c r="J205" s="566"/>
      <c r="K205" s="563"/>
      <c r="L205" s="566"/>
      <c r="M205" s="565"/>
      <c r="N205" s="564"/>
      <c r="V205" s="674"/>
      <c r="W205" s="675"/>
      <c r="AC205" s="675"/>
      <c r="AD205" s="680"/>
      <c r="AE205" s="675"/>
      <c r="AG205" s="675"/>
    </row>
    <row r="206" spans="1:33" s="536" customFormat="1" ht="22.5" x14ac:dyDescent="0.2">
      <c r="A206" s="609"/>
      <c r="B206" s="552" t="s">
        <v>718</v>
      </c>
      <c r="C206" s="1822" t="s">
        <v>719</v>
      </c>
      <c r="D206" s="1822"/>
      <c r="E206" s="1822"/>
      <c r="F206" s="1822"/>
      <c r="G206" s="1822"/>
      <c r="H206" s="1822"/>
      <c r="I206" s="1822"/>
      <c r="J206" s="1822"/>
      <c r="K206" s="1822"/>
      <c r="L206" s="1822"/>
      <c r="M206" s="1822"/>
      <c r="N206" s="1827"/>
      <c r="V206" s="674"/>
      <c r="W206" s="675"/>
      <c r="Y206" s="537" t="s">
        <v>719</v>
      </c>
      <c r="AC206" s="675"/>
      <c r="AD206" s="680"/>
      <c r="AE206" s="675"/>
      <c r="AG206" s="675"/>
    </row>
    <row r="207" spans="1:33" s="536" customFormat="1" ht="33.75" x14ac:dyDescent="0.2">
      <c r="A207" s="575" t="s">
        <v>736</v>
      </c>
      <c r="B207" s="670" t="s">
        <v>3819</v>
      </c>
      <c r="C207" s="1823" t="s">
        <v>3820</v>
      </c>
      <c r="D207" s="1823"/>
      <c r="E207" s="1823"/>
      <c r="F207" s="573" t="s">
        <v>628</v>
      </c>
      <c r="G207" s="573"/>
      <c r="H207" s="573"/>
      <c r="I207" s="573" t="s">
        <v>326</v>
      </c>
      <c r="J207" s="572">
        <v>8052.66</v>
      </c>
      <c r="K207" s="573" t="s">
        <v>716</v>
      </c>
      <c r="L207" s="572">
        <v>40476.199999999997</v>
      </c>
      <c r="M207" s="571">
        <v>8.32</v>
      </c>
      <c r="N207" s="570">
        <v>336762</v>
      </c>
      <c r="V207" s="674"/>
      <c r="W207" s="675" t="s">
        <v>3820</v>
      </c>
      <c r="AC207" s="675"/>
      <c r="AD207" s="680"/>
      <c r="AE207" s="675"/>
      <c r="AG207" s="675"/>
    </row>
    <row r="208" spans="1:33" s="536" customFormat="1" ht="12" x14ac:dyDescent="0.2">
      <c r="A208" s="569"/>
      <c r="B208" s="671"/>
      <c r="C208" s="665" t="s">
        <v>717</v>
      </c>
      <c r="D208" s="666"/>
      <c r="E208" s="666"/>
      <c r="F208" s="563"/>
      <c r="G208" s="563"/>
      <c r="H208" s="563"/>
      <c r="I208" s="563"/>
      <c r="J208" s="566"/>
      <c r="K208" s="563"/>
      <c r="L208" s="566"/>
      <c r="M208" s="565"/>
      <c r="N208" s="564"/>
      <c r="V208" s="674"/>
      <c r="W208" s="675"/>
      <c r="AC208" s="675"/>
      <c r="AD208" s="680"/>
      <c r="AE208" s="675"/>
      <c r="AG208" s="675"/>
    </row>
    <row r="209" spans="1:33" s="536" customFormat="1" ht="22.5" x14ac:dyDescent="0.2">
      <c r="A209" s="609"/>
      <c r="B209" s="552" t="s">
        <v>718</v>
      </c>
      <c r="C209" s="1822" t="s">
        <v>719</v>
      </c>
      <c r="D209" s="1822"/>
      <c r="E209" s="1822"/>
      <c r="F209" s="1822"/>
      <c r="G209" s="1822"/>
      <c r="H209" s="1822"/>
      <c r="I209" s="1822"/>
      <c r="J209" s="1822"/>
      <c r="K209" s="1822"/>
      <c r="L209" s="1822"/>
      <c r="M209" s="1822"/>
      <c r="N209" s="1827"/>
      <c r="V209" s="674"/>
      <c r="W209" s="675"/>
      <c r="Y209" s="537" t="s">
        <v>719</v>
      </c>
      <c r="AC209" s="675"/>
      <c r="AD209" s="680"/>
      <c r="AE209" s="675"/>
      <c r="AG209" s="675"/>
    </row>
    <row r="210" spans="1:33" s="536" customFormat="1" ht="33.75" x14ac:dyDescent="0.2">
      <c r="A210" s="575" t="s">
        <v>1067</v>
      </c>
      <c r="B210" s="670" t="s">
        <v>3821</v>
      </c>
      <c r="C210" s="1823" t="s">
        <v>3822</v>
      </c>
      <c r="D210" s="1823"/>
      <c r="E210" s="1823"/>
      <c r="F210" s="573" t="s">
        <v>628</v>
      </c>
      <c r="G210" s="573"/>
      <c r="H210" s="573"/>
      <c r="I210" s="573" t="s">
        <v>326</v>
      </c>
      <c r="J210" s="572">
        <v>7320.6</v>
      </c>
      <c r="K210" s="573" t="s">
        <v>716</v>
      </c>
      <c r="L210" s="572">
        <v>36796.51</v>
      </c>
      <c r="M210" s="571">
        <v>8.32</v>
      </c>
      <c r="N210" s="570">
        <v>306147</v>
      </c>
      <c r="V210" s="674"/>
      <c r="W210" s="675" t="s">
        <v>3822</v>
      </c>
      <c r="AC210" s="675"/>
      <c r="AD210" s="680"/>
      <c r="AE210" s="675"/>
      <c r="AG210" s="675"/>
    </row>
    <row r="211" spans="1:33" s="536" customFormat="1" ht="12" x14ac:dyDescent="0.2">
      <c r="A211" s="569"/>
      <c r="B211" s="671"/>
      <c r="C211" s="665" t="s">
        <v>717</v>
      </c>
      <c r="D211" s="666"/>
      <c r="E211" s="666"/>
      <c r="F211" s="563"/>
      <c r="G211" s="563"/>
      <c r="H211" s="563"/>
      <c r="I211" s="563"/>
      <c r="J211" s="566"/>
      <c r="K211" s="563"/>
      <c r="L211" s="566"/>
      <c r="M211" s="565"/>
      <c r="N211" s="564"/>
      <c r="V211" s="674"/>
      <c r="W211" s="675"/>
      <c r="AC211" s="675"/>
      <c r="AD211" s="680"/>
      <c r="AE211" s="675"/>
      <c r="AG211" s="675"/>
    </row>
    <row r="212" spans="1:33" s="536" customFormat="1" ht="22.5" x14ac:dyDescent="0.2">
      <c r="A212" s="609"/>
      <c r="B212" s="552" t="s">
        <v>718</v>
      </c>
      <c r="C212" s="1822" t="s">
        <v>719</v>
      </c>
      <c r="D212" s="1822"/>
      <c r="E212" s="1822"/>
      <c r="F212" s="1822"/>
      <c r="G212" s="1822"/>
      <c r="H212" s="1822"/>
      <c r="I212" s="1822"/>
      <c r="J212" s="1822"/>
      <c r="K212" s="1822"/>
      <c r="L212" s="1822"/>
      <c r="M212" s="1822"/>
      <c r="N212" s="1827"/>
      <c r="V212" s="674"/>
      <c r="W212" s="675"/>
      <c r="Y212" s="537" t="s">
        <v>719</v>
      </c>
      <c r="AC212" s="675"/>
      <c r="AD212" s="680"/>
      <c r="AE212" s="675"/>
      <c r="AG212" s="675"/>
    </row>
    <row r="213" spans="1:33" s="536" customFormat="1" ht="33.75" x14ac:dyDescent="0.2">
      <c r="A213" s="575" t="s">
        <v>912</v>
      </c>
      <c r="B213" s="670" t="s">
        <v>3823</v>
      </c>
      <c r="C213" s="1823" t="s">
        <v>3824</v>
      </c>
      <c r="D213" s="1823"/>
      <c r="E213" s="1823"/>
      <c r="F213" s="573" t="s">
        <v>628</v>
      </c>
      <c r="G213" s="573"/>
      <c r="H213" s="573"/>
      <c r="I213" s="573" t="s">
        <v>326</v>
      </c>
      <c r="J213" s="572">
        <v>3150</v>
      </c>
      <c r="K213" s="573" t="s">
        <v>716</v>
      </c>
      <c r="L213" s="572">
        <v>15833.29</v>
      </c>
      <c r="M213" s="571">
        <v>8.32</v>
      </c>
      <c r="N213" s="570">
        <v>131733</v>
      </c>
      <c r="V213" s="674"/>
      <c r="W213" s="675" t="s">
        <v>3824</v>
      </c>
      <c r="AC213" s="675"/>
      <c r="AD213" s="680"/>
      <c r="AE213" s="675"/>
      <c r="AG213" s="675"/>
    </row>
    <row r="214" spans="1:33" s="536" customFormat="1" ht="12" x14ac:dyDescent="0.2">
      <c r="A214" s="569"/>
      <c r="B214" s="671"/>
      <c r="C214" s="665" t="s">
        <v>717</v>
      </c>
      <c r="D214" s="666"/>
      <c r="E214" s="666"/>
      <c r="F214" s="563"/>
      <c r="G214" s="563"/>
      <c r="H214" s="563"/>
      <c r="I214" s="563"/>
      <c r="J214" s="566"/>
      <c r="K214" s="563"/>
      <c r="L214" s="566"/>
      <c r="M214" s="565"/>
      <c r="N214" s="564"/>
      <c r="V214" s="674"/>
      <c r="W214" s="675"/>
      <c r="AC214" s="675"/>
      <c r="AD214" s="680"/>
      <c r="AE214" s="675"/>
      <c r="AG214" s="675"/>
    </row>
    <row r="215" spans="1:33" s="536" customFormat="1" ht="22.5" x14ac:dyDescent="0.2">
      <c r="A215" s="609"/>
      <c r="B215" s="552" t="s">
        <v>718</v>
      </c>
      <c r="C215" s="1822" t="s">
        <v>719</v>
      </c>
      <c r="D215" s="1822"/>
      <c r="E215" s="1822"/>
      <c r="F215" s="1822"/>
      <c r="G215" s="1822"/>
      <c r="H215" s="1822"/>
      <c r="I215" s="1822"/>
      <c r="J215" s="1822"/>
      <c r="K215" s="1822"/>
      <c r="L215" s="1822"/>
      <c r="M215" s="1822"/>
      <c r="N215" s="1827"/>
      <c r="V215" s="674"/>
      <c r="W215" s="675"/>
      <c r="Y215" s="537" t="s">
        <v>719</v>
      </c>
      <c r="AC215" s="675"/>
      <c r="AD215" s="680"/>
      <c r="AE215" s="675"/>
      <c r="AG215" s="675"/>
    </row>
    <row r="216" spans="1:33" s="536" customFormat="1" ht="33.75" x14ac:dyDescent="0.2">
      <c r="A216" s="575" t="s">
        <v>757</v>
      </c>
      <c r="B216" s="670" t="s">
        <v>3825</v>
      </c>
      <c r="C216" s="1823" t="s">
        <v>3826</v>
      </c>
      <c r="D216" s="1823"/>
      <c r="E216" s="1823"/>
      <c r="F216" s="573" t="s">
        <v>628</v>
      </c>
      <c r="G216" s="573"/>
      <c r="H216" s="573"/>
      <c r="I216" s="573" t="s">
        <v>3815</v>
      </c>
      <c r="J216" s="572">
        <v>359.68</v>
      </c>
      <c r="K216" s="573" t="s">
        <v>716</v>
      </c>
      <c r="L216" s="572">
        <v>7231.61</v>
      </c>
      <c r="M216" s="571">
        <v>8.32</v>
      </c>
      <c r="N216" s="570">
        <v>60167</v>
      </c>
      <c r="V216" s="674"/>
      <c r="W216" s="675" t="s">
        <v>3826</v>
      </c>
      <c r="AC216" s="675"/>
      <c r="AD216" s="680"/>
      <c r="AE216" s="675"/>
      <c r="AG216" s="675"/>
    </row>
    <row r="217" spans="1:33" s="536" customFormat="1" ht="12" x14ac:dyDescent="0.2">
      <c r="A217" s="569"/>
      <c r="B217" s="671"/>
      <c r="C217" s="665" t="s">
        <v>717</v>
      </c>
      <c r="D217" s="666"/>
      <c r="E217" s="666"/>
      <c r="F217" s="563"/>
      <c r="G217" s="563"/>
      <c r="H217" s="563"/>
      <c r="I217" s="563"/>
      <c r="J217" s="566"/>
      <c r="K217" s="563"/>
      <c r="L217" s="566"/>
      <c r="M217" s="565"/>
      <c r="N217" s="564"/>
      <c r="V217" s="674"/>
      <c r="W217" s="675"/>
      <c r="AC217" s="675"/>
      <c r="AD217" s="680"/>
      <c r="AE217" s="675"/>
      <c r="AG217" s="675"/>
    </row>
    <row r="218" spans="1:33" s="536" customFormat="1" ht="22.5" x14ac:dyDescent="0.2">
      <c r="A218" s="609"/>
      <c r="B218" s="552" t="s">
        <v>718</v>
      </c>
      <c r="C218" s="1822" t="s">
        <v>719</v>
      </c>
      <c r="D218" s="1822"/>
      <c r="E218" s="1822"/>
      <c r="F218" s="1822"/>
      <c r="G218" s="1822"/>
      <c r="H218" s="1822"/>
      <c r="I218" s="1822"/>
      <c r="J218" s="1822"/>
      <c r="K218" s="1822"/>
      <c r="L218" s="1822"/>
      <c r="M218" s="1822"/>
      <c r="N218" s="1827"/>
      <c r="V218" s="674"/>
      <c r="W218" s="675"/>
      <c r="Y218" s="537" t="s">
        <v>719</v>
      </c>
      <c r="AC218" s="675"/>
      <c r="AD218" s="680"/>
      <c r="AE218" s="675"/>
      <c r="AG218" s="675"/>
    </row>
    <row r="219" spans="1:33" s="536" customFormat="1" ht="33.75" x14ac:dyDescent="0.2">
      <c r="A219" s="575" t="s">
        <v>1079</v>
      </c>
      <c r="B219" s="670" t="s">
        <v>3827</v>
      </c>
      <c r="C219" s="1823" t="s">
        <v>3828</v>
      </c>
      <c r="D219" s="1823"/>
      <c r="E219" s="1823"/>
      <c r="F219" s="573" t="s">
        <v>519</v>
      </c>
      <c r="G219" s="573"/>
      <c r="H219" s="573"/>
      <c r="I219" s="573" t="s">
        <v>3829</v>
      </c>
      <c r="J219" s="572"/>
      <c r="K219" s="573"/>
      <c r="L219" s="572"/>
      <c r="M219" s="571"/>
      <c r="N219" s="570"/>
      <c r="V219" s="674"/>
      <c r="W219" s="675" t="s">
        <v>3828</v>
      </c>
      <c r="AC219" s="675"/>
      <c r="AD219" s="680"/>
      <c r="AE219" s="675"/>
      <c r="AG219" s="675"/>
    </row>
    <row r="220" spans="1:33" s="536" customFormat="1" ht="12" x14ac:dyDescent="0.2">
      <c r="A220" s="676"/>
      <c r="B220" s="664"/>
      <c r="C220" s="1822" t="s">
        <v>3830</v>
      </c>
      <c r="D220" s="1822"/>
      <c r="E220" s="1822"/>
      <c r="F220" s="1822"/>
      <c r="G220" s="1822"/>
      <c r="H220" s="1822"/>
      <c r="I220" s="1822"/>
      <c r="J220" s="1822"/>
      <c r="K220" s="1822"/>
      <c r="L220" s="1822"/>
      <c r="M220" s="1822"/>
      <c r="N220" s="1827"/>
      <c r="V220" s="674"/>
      <c r="W220" s="675"/>
      <c r="X220" s="537" t="s">
        <v>3830</v>
      </c>
      <c r="AC220" s="675"/>
      <c r="AD220" s="680"/>
      <c r="AE220" s="675"/>
      <c r="AG220" s="675"/>
    </row>
    <row r="221" spans="1:33" s="536" customFormat="1" ht="33.75" x14ac:dyDescent="0.2">
      <c r="A221" s="609"/>
      <c r="B221" s="552" t="s">
        <v>310</v>
      </c>
      <c r="C221" s="1822" t="s">
        <v>311</v>
      </c>
      <c r="D221" s="1822"/>
      <c r="E221" s="1822"/>
      <c r="F221" s="1822"/>
      <c r="G221" s="1822"/>
      <c r="H221" s="1822"/>
      <c r="I221" s="1822"/>
      <c r="J221" s="1822"/>
      <c r="K221" s="1822"/>
      <c r="L221" s="1822"/>
      <c r="M221" s="1822"/>
      <c r="N221" s="1827"/>
      <c r="V221" s="674"/>
      <c r="W221" s="675"/>
      <c r="Y221" s="537" t="s">
        <v>311</v>
      </c>
      <c r="AC221" s="675"/>
      <c r="AD221" s="680"/>
      <c r="AE221" s="675"/>
      <c r="AG221" s="675"/>
    </row>
    <row r="222" spans="1:33" s="536" customFormat="1" ht="12" x14ac:dyDescent="0.2">
      <c r="A222" s="605"/>
      <c r="B222" s="552" t="s">
        <v>185</v>
      </c>
      <c r="C222" s="1822" t="s">
        <v>312</v>
      </c>
      <c r="D222" s="1822"/>
      <c r="E222" s="1822"/>
      <c r="F222" s="562"/>
      <c r="G222" s="562"/>
      <c r="H222" s="562"/>
      <c r="I222" s="562"/>
      <c r="J222" s="604">
        <v>3891.6</v>
      </c>
      <c r="K222" s="562" t="s">
        <v>313</v>
      </c>
      <c r="L222" s="604">
        <v>1590.69</v>
      </c>
      <c r="M222" s="603"/>
      <c r="N222" s="602"/>
      <c r="V222" s="674"/>
      <c r="W222" s="675"/>
      <c r="Z222" s="537" t="s">
        <v>312</v>
      </c>
      <c r="AC222" s="675"/>
      <c r="AD222" s="680"/>
      <c r="AE222" s="675"/>
      <c r="AG222" s="675"/>
    </row>
    <row r="223" spans="1:33" s="536" customFormat="1" ht="12" x14ac:dyDescent="0.2">
      <c r="A223" s="605"/>
      <c r="B223" s="552" t="s">
        <v>186</v>
      </c>
      <c r="C223" s="1822" t="s">
        <v>344</v>
      </c>
      <c r="D223" s="1822"/>
      <c r="E223" s="1822"/>
      <c r="F223" s="562"/>
      <c r="G223" s="562"/>
      <c r="H223" s="562"/>
      <c r="I223" s="562"/>
      <c r="J223" s="604">
        <v>12813.74</v>
      </c>
      <c r="K223" s="562" t="s">
        <v>313</v>
      </c>
      <c r="L223" s="604">
        <v>5237.62</v>
      </c>
      <c r="M223" s="603"/>
      <c r="N223" s="602"/>
      <c r="V223" s="674"/>
      <c r="W223" s="675"/>
      <c r="Z223" s="537" t="s">
        <v>344</v>
      </c>
      <c r="AC223" s="675"/>
      <c r="AD223" s="680"/>
      <c r="AE223" s="675"/>
      <c r="AG223" s="675"/>
    </row>
    <row r="224" spans="1:33" s="536" customFormat="1" ht="12" x14ac:dyDescent="0.2">
      <c r="A224" s="605"/>
      <c r="B224" s="552" t="s">
        <v>187</v>
      </c>
      <c r="C224" s="1822" t="s">
        <v>345</v>
      </c>
      <c r="D224" s="1822"/>
      <c r="E224" s="1822"/>
      <c r="F224" s="562"/>
      <c r="G224" s="562"/>
      <c r="H224" s="562"/>
      <c r="I224" s="562"/>
      <c r="J224" s="604">
        <v>1431.7</v>
      </c>
      <c r="K224" s="562" t="s">
        <v>313</v>
      </c>
      <c r="L224" s="604">
        <v>585.21</v>
      </c>
      <c r="M224" s="603"/>
      <c r="N224" s="602"/>
      <c r="V224" s="674"/>
      <c r="W224" s="675"/>
      <c r="Z224" s="537" t="s">
        <v>345</v>
      </c>
      <c r="AC224" s="675"/>
      <c r="AD224" s="680"/>
      <c r="AE224" s="675"/>
      <c r="AG224" s="675"/>
    </row>
    <row r="225" spans="1:33" s="536" customFormat="1" ht="12" x14ac:dyDescent="0.2">
      <c r="A225" s="605"/>
      <c r="B225" s="552" t="s">
        <v>188</v>
      </c>
      <c r="C225" s="1822" t="s">
        <v>475</v>
      </c>
      <c r="D225" s="1822"/>
      <c r="E225" s="1822"/>
      <c r="F225" s="562"/>
      <c r="G225" s="562"/>
      <c r="H225" s="562"/>
      <c r="I225" s="562"/>
      <c r="J225" s="604">
        <v>2849.58</v>
      </c>
      <c r="K225" s="562"/>
      <c r="L225" s="604">
        <v>881.71</v>
      </c>
      <c r="M225" s="603"/>
      <c r="N225" s="602"/>
      <c r="V225" s="674"/>
      <c r="W225" s="675"/>
      <c r="Z225" s="537" t="s">
        <v>475</v>
      </c>
      <c r="AC225" s="675"/>
      <c r="AD225" s="680"/>
      <c r="AE225" s="675"/>
      <c r="AG225" s="675"/>
    </row>
    <row r="226" spans="1:33" s="536" customFormat="1" ht="12" x14ac:dyDescent="0.2">
      <c r="A226" s="676"/>
      <c r="B226" s="677" t="s">
        <v>526</v>
      </c>
      <c r="C226" s="1829" t="s">
        <v>527</v>
      </c>
      <c r="D226" s="1829"/>
      <c r="E226" s="1829"/>
      <c r="F226" s="678" t="s">
        <v>483</v>
      </c>
      <c r="G226" s="678" t="s">
        <v>528</v>
      </c>
      <c r="H226" s="678"/>
      <c r="I226" s="678" t="s">
        <v>3831</v>
      </c>
      <c r="J226" s="552"/>
      <c r="K226" s="562"/>
      <c r="L226" s="604"/>
      <c r="M226" s="562"/>
      <c r="N226" s="679"/>
      <c r="V226" s="674"/>
      <c r="W226" s="675"/>
      <c r="AC226" s="675"/>
      <c r="AD226" s="680" t="s">
        <v>527</v>
      </c>
      <c r="AE226" s="675"/>
      <c r="AG226" s="675"/>
    </row>
    <row r="227" spans="1:33" s="536" customFormat="1" ht="12" x14ac:dyDescent="0.2">
      <c r="A227" s="605"/>
      <c r="B227" s="552"/>
      <c r="C227" s="1822" t="s">
        <v>314</v>
      </c>
      <c r="D227" s="1822"/>
      <c r="E227" s="1822"/>
      <c r="F227" s="562" t="s">
        <v>315</v>
      </c>
      <c r="G227" s="562" t="s">
        <v>3832</v>
      </c>
      <c r="H227" s="562" t="s">
        <v>313</v>
      </c>
      <c r="I227" s="562" t="s">
        <v>3833</v>
      </c>
      <c r="J227" s="604"/>
      <c r="K227" s="562"/>
      <c r="L227" s="604"/>
      <c r="M227" s="603"/>
      <c r="N227" s="602"/>
      <c r="V227" s="674"/>
      <c r="W227" s="675"/>
      <c r="AA227" s="537" t="s">
        <v>314</v>
      </c>
      <c r="AC227" s="675"/>
      <c r="AD227" s="680"/>
      <c r="AE227" s="675"/>
      <c r="AG227" s="675"/>
    </row>
    <row r="228" spans="1:33" s="536" customFormat="1" ht="22.5" x14ac:dyDescent="0.2">
      <c r="A228" s="605"/>
      <c r="B228" s="552"/>
      <c r="C228" s="1822" t="s">
        <v>348</v>
      </c>
      <c r="D228" s="1822"/>
      <c r="E228" s="1822"/>
      <c r="F228" s="562" t="s">
        <v>315</v>
      </c>
      <c r="G228" s="562" t="s">
        <v>3834</v>
      </c>
      <c r="H228" s="562" t="s">
        <v>313</v>
      </c>
      <c r="I228" s="562" t="s">
        <v>3835</v>
      </c>
      <c r="J228" s="604"/>
      <c r="K228" s="562"/>
      <c r="L228" s="604"/>
      <c r="M228" s="603"/>
      <c r="N228" s="602"/>
      <c r="V228" s="674"/>
      <c r="W228" s="675"/>
      <c r="AA228" s="537" t="s">
        <v>348</v>
      </c>
      <c r="AC228" s="675"/>
      <c r="AD228" s="680"/>
      <c r="AE228" s="675"/>
      <c r="AG228" s="675"/>
    </row>
    <row r="229" spans="1:33" s="536" customFormat="1" ht="12" x14ac:dyDescent="0.2">
      <c r="A229" s="605"/>
      <c r="B229" s="552"/>
      <c r="C229" s="1828" t="s">
        <v>318</v>
      </c>
      <c r="D229" s="1828"/>
      <c r="E229" s="1828"/>
      <c r="F229" s="608"/>
      <c r="G229" s="608"/>
      <c r="H229" s="608"/>
      <c r="I229" s="608"/>
      <c r="J229" s="607">
        <v>19401.689999999999</v>
      </c>
      <c r="K229" s="608"/>
      <c r="L229" s="607">
        <v>7710.02</v>
      </c>
      <c r="M229" s="601"/>
      <c r="N229" s="606"/>
      <c r="V229" s="674"/>
      <c r="W229" s="675"/>
      <c r="AB229" s="537" t="s">
        <v>318</v>
      </c>
      <c r="AC229" s="675"/>
      <c r="AD229" s="680"/>
      <c r="AE229" s="675"/>
      <c r="AG229" s="675"/>
    </row>
    <row r="230" spans="1:33" s="536" customFormat="1" ht="12" x14ac:dyDescent="0.2">
      <c r="A230" s="605"/>
      <c r="B230" s="552"/>
      <c r="C230" s="1822" t="s">
        <v>319</v>
      </c>
      <c r="D230" s="1822"/>
      <c r="E230" s="1822"/>
      <c r="F230" s="562"/>
      <c r="G230" s="562"/>
      <c r="H230" s="562"/>
      <c r="I230" s="562"/>
      <c r="J230" s="604"/>
      <c r="K230" s="562"/>
      <c r="L230" s="604">
        <v>2175.9</v>
      </c>
      <c r="M230" s="603"/>
      <c r="N230" s="602"/>
      <c r="V230" s="674"/>
      <c r="W230" s="675"/>
      <c r="AA230" s="537" t="s">
        <v>319</v>
      </c>
      <c r="AC230" s="675"/>
      <c r="AD230" s="680"/>
      <c r="AE230" s="675"/>
      <c r="AG230" s="675"/>
    </row>
    <row r="231" spans="1:33" s="536" customFormat="1" ht="33.75" x14ac:dyDescent="0.2">
      <c r="A231" s="605"/>
      <c r="B231" s="552" t="s">
        <v>533</v>
      </c>
      <c r="C231" s="1822" t="s">
        <v>534</v>
      </c>
      <c r="D231" s="1822"/>
      <c r="E231" s="1822"/>
      <c r="F231" s="562" t="s">
        <v>322</v>
      </c>
      <c r="G231" s="562" t="s">
        <v>535</v>
      </c>
      <c r="H231" s="562"/>
      <c r="I231" s="562" t="s">
        <v>535</v>
      </c>
      <c r="J231" s="604"/>
      <c r="K231" s="562"/>
      <c r="L231" s="604">
        <v>2545.8000000000002</v>
      </c>
      <c r="M231" s="603"/>
      <c r="N231" s="602"/>
      <c r="V231" s="674"/>
      <c r="W231" s="675"/>
      <c r="AA231" s="537" t="s">
        <v>534</v>
      </c>
      <c r="AC231" s="675"/>
      <c r="AD231" s="680"/>
      <c r="AE231" s="675"/>
      <c r="AG231" s="675"/>
    </row>
    <row r="232" spans="1:33" s="536" customFormat="1" ht="33.75" x14ac:dyDescent="0.2">
      <c r="A232" s="605"/>
      <c r="B232" s="552" t="s">
        <v>536</v>
      </c>
      <c r="C232" s="1822" t="s">
        <v>537</v>
      </c>
      <c r="D232" s="1822"/>
      <c r="E232" s="1822"/>
      <c r="F232" s="562" t="s">
        <v>322</v>
      </c>
      <c r="G232" s="562" t="s">
        <v>538</v>
      </c>
      <c r="H232" s="562"/>
      <c r="I232" s="562" t="s">
        <v>538</v>
      </c>
      <c r="J232" s="604"/>
      <c r="K232" s="562"/>
      <c r="L232" s="604">
        <v>1610.17</v>
      </c>
      <c r="M232" s="603"/>
      <c r="N232" s="602"/>
      <c r="V232" s="674"/>
      <c r="W232" s="675"/>
      <c r="AA232" s="537" t="s">
        <v>537</v>
      </c>
      <c r="AC232" s="675"/>
      <c r="AD232" s="680"/>
      <c r="AE232" s="675"/>
      <c r="AG232" s="675"/>
    </row>
    <row r="233" spans="1:33" s="536" customFormat="1" ht="12" x14ac:dyDescent="0.2">
      <c r="A233" s="569"/>
      <c r="B233" s="671"/>
      <c r="C233" s="1823" t="s">
        <v>327</v>
      </c>
      <c r="D233" s="1823"/>
      <c r="E233" s="1823"/>
      <c r="F233" s="573"/>
      <c r="G233" s="573"/>
      <c r="H233" s="573"/>
      <c r="I233" s="573"/>
      <c r="J233" s="572"/>
      <c r="K233" s="573"/>
      <c r="L233" s="572">
        <v>11865.99</v>
      </c>
      <c r="M233" s="601"/>
      <c r="N233" s="570"/>
      <c r="V233" s="674"/>
      <c r="W233" s="675"/>
      <c r="AC233" s="675" t="s">
        <v>327</v>
      </c>
      <c r="AD233" s="680"/>
      <c r="AE233" s="675"/>
      <c r="AG233" s="675"/>
    </row>
    <row r="234" spans="1:33" s="536" customFormat="1" ht="45" x14ac:dyDescent="0.2">
      <c r="A234" s="575" t="s">
        <v>759</v>
      </c>
      <c r="B234" s="670" t="s">
        <v>3836</v>
      </c>
      <c r="C234" s="1823" t="s">
        <v>3837</v>
      </c>
      <c r="D234" s="1823"/>
      <c r="E234" s="1823"/>
      <c r="F234" s="573" t="s">
        <v>483</v>
      </c>
      <c r="G234" s="573"/>
      <c r="H234" s="573"/>
      <c r="I234" s="573" t="s">
        <v>3831</v>
      </c>
      <c r="J234" s="572">
        <v>169.91</v>
      </c>
      <c r="K234" s="573"/>
      <c r="L234" s="572">
        <v>55782.81</v>
      </c>
      <c r="M234" s="571"/>
      <c r="N234" s="570"/>
      <c r="V234" s="674"/>
      <c r="W234" s="675" t="s">
        <v>3837</v>
      </c>
      <c r="AC234" s="675"/>
      <c r="AD234" s="680"/>
      <c r="AE234" s="675"/>
      <c r="AG234" s="675"/>
    </row>
    <row r="235" spans="1:33" s="536" customFormat="1" ht="12" x14ac:dyDescent="0.2">
      <c r="A235" s="569"/>
      <c r="B235" s="671"/>
      <c r="C235" s="665" t="s">
        <v>717</v>
      </c>
      <c r="D235" s="666"/>
      <c r="E235" s="666"/>
      <c r="F235" s="563"/>
      <c r="G235" s="563"/>
      <c r="H235" s="563"/>
      <c r="I235" s="563"/>
      <c r="J235" s="566"/>
      <c r="K235" s="563"/>
      <c r="L235" s="566"/>
      <c r="M235" s="565"/>
      <c r="N235" s="564"/>
      <c r="V235" s="674"/>
      <c r="W235" s="675"/>
      <c r="AC235" s="675"/>
      <c r="AD235" s="680"/>
      <c r="AE235" s="675"/>
      <c r="AG235" s="675"/>
    </row>
    <row r="236" spans="1:33" s="536" customFormat="1" ht="33.75" x14ac:dyDescent="0.2">
      <c r="A236" s="575" t="s">
        <v>917</v>
      </c>
      <c r="B236" s="670" t="s">
        <v>3838</v>
      </c>
      <c r="C236" s="1823" t="s">
        <v>3839</v>
      </c>
      <c r="D236" s="1823"/>
      <c r="E236" s="1823"/>
      <c r="F236" s="573" t="s">
        <v>617</v>
      </c>
      <c r="G236" s="573"/>
      <c r="H236" s="573"/>
      <c r="I236" s="573" t="s">
        <v>185</v>
      </c>
      <c r="J236" s="572"/>
      <c r="K236" s="573"/>
      <c r="L236" s="572"/>
      <c r="M236" s="571"/>
      <c r="N236" s="570"/>
      <c r="V236" s="674"/>
      <c r="W236" s="675" t="s">
        <v>3839</v>
      </c>
      <c r="AC236" s="675"/>
      <c r="AD236" s="680"/>
      <c r="AE236" s="675"/>
      <c r="AG236" s="675"/>
    </row>
    <row r="237" spans="1:33" s="536" customFormat="1" ht="33.75" x14ac:dyDescent="0.2">
      <c r="A237" s="609"/>
      <c r="B237" s="552" t="s">
        <v>310</v>
      </c>
      <c r="C237" s="1822" t="s">
        <v>311</v>
      </c>
      <c r="D237" s="1822"/>
      <c r="E237" s="1822"/>
      <c r="F237" s="1822"/>
      <c r="G237" s="1822"/>
      <c r="H237" s="1822"/>
      <c r="I237" s="1822"/>
      <c r="J237" s="1822"/>
      <c r="K237" s="1822"/>
      <c r="L237" s="1822"/>
      <c r="M237" s="1822"/>
      <c r="N237" s="1827"/>
      <c r="V237" s="674"/>
      <c r="W237" s="675"/>
      <c r="Y237" s="537" t="s">
        <v>311</v>
      </c>
      <c r="AC237" s="675"/>
      <c r="AD237" s="680"/>
      <c r="AE237" s="675"/>
      <c r="AG237" s="675"/>
    </row>
    <row r="238" spans="1:33" s="536" customFormat="1" ht="12" x14ac:dyDescent="0.2">
      <c r="A238" s="605"/>
      <c r="B238" s="552" t="s">
        <v>185</v>
      </c>
      <c r="C238" s="1822" t="s">
        <v>312</v>
      </c>
      <c r="D238" s="1822"/>
      <c r="E238" s="1822"/>
      <c r="F238" s="562"/>
      <c r="G238" s="562"/>
      <c r="H238" s="562"/>
      <c r="I238" s="562"/>
      <c r="J238" s="604">
        <v>35.79</v>
      </c>
      <c r="K238" s="562" t="s">
        <v>313</v>
      </c>
      <c r="L238" s="604">
        <v>44.74</v>
      </c>
      <c r="M238" s="603"/>
      <c r="N238" s="602"/>
      <c r="V238" s="674"/>
      <c r="W238" s="675"/>
      <c r="Z238" s="537" t="s">
        <v>312</v>
      </c>
      <c r="AC238" s="675"/>
      <c r="AD238" s="680"/>
      <c r="AE238" s="675"/>
      <c r="AG238" s="675"/>
    </row>
    <row r="239" spans="1:33" s="536" customFormat="1" ht="12" x14ac:dyDescent="0.2">
      <c r="A239" s="605"/>
      <c r="B239" s="552" t="s">
        <v>186</v>
      </c>
      <c r="C239" s="1822" t="s">
        <v>344</v>
      </c>
      <c r="D239" s="1822"/>
      <c r="E239" s="1822"/>
      <c r="F239" s="562"/>
      <c r="G239" s="562"/>
      <c r="H239" s="562"/>
      <c r="I239" s="562"/>
      <c r="J239" s="604">
        <v>10.02</v>
      </c>
      <c r="K239" s="562" t="s">
        <v>313</v>
      </c>
      <c r="L239" s="604">
        <v>12.53</v>
      </c>
      <c r="M239" s="603"/>
      <c r="N239" s="602"/>
      <c r="V239" s="674"/>
      <c r="W239" s="675"/>
      <c r="Z239" s="537" t="s">
        <v>344</v>
      </c>
      <c r="AC239" s="675"/>
      <c r="AD239" s="680"/>
      <c r="AE239" s="675"/>
      <c r="AG239" s="675"/>
    </row>
    <row r="240" spans="1:33" s="536" customFormat="1" ht="12" x14ac:dyDescent="0.2">
      <c r="A240" s="605"/>
      <c r="B240" s="552" t="s">
        <v>188</v>
      </c>
      <c r="C240" s="1822" t="s">
        <v>475</v>
      </c>
      <c r="D240" s="1822"/>
      <c r="E240" s="1822"/>
      <c r="F240" s="562"/>
      <c r="G240" s="562"/>
      <c r="H240" s="562"/>
      <c r="I240" s="562"/>
      <c r="J240" s="604">
        <v>2.2799999999999998</v>
      </c>
      <c r="K240" s="562"/>
      <c r="L240" s="604">
        <v>2.2799999999999998</v>
      </c>
      <c r="M240" s="603"/>
      <c r="N240" s="602"/>
      <c r="V240" s="674"/>
      <c r="W240" s="675"/>
      <c r="Z240" s="537" t="s">
        <v>475</v>
      </c>
      <c r="AC240" s="675"/>
      <c r="AD240" s="680"/>
      <c r="AE240" s="675"/>
      <c r="AG240" s="675"/>
    </row>
    <row r="241" spans="1:33" s="536" customFormat="1" ht="12" x14ac:dyDescent="0.2">
      <c r="A241" s="605"/>
      <c r="B241" s="552"/>
      <c r="C241" s="1822" t="s">
        <v>314</v>
      </c>
      <c r="D241" s="1822"/>
      <c r="E241" s="1822"/>
      <c r="F241" s="562" t="s">
        <v>315</v>
      </c>
      <c r="G241" s="562" t="s">
        <v>3840</v>
      </c>
      <c r="H241" s="562" t="s">
        <v>313</v>
      </c>
      <c r="I241" s="562" t="s">
        <v>3841</v>
      </c>
      <c r="J241" s="604"/>
      <c r="K241" s="562"/>
      <c r="L241" s="604"/>
      <c r="M241" s="603"/>
      <c r="N241" s="602"/>
      <c r="V241" s="674"/>
      <c r="W241" s="675"/>
      <c r="AA241" s="537" t="s">
        <v>314</v>
      </c>
      <c r="AC241" s="675"/>
      <c r="AD241" s="680"/>
      <c r="AE241" s="675"/>
      <c r="AG241" s="675"/>
    </row>
    <row r="242" spans="1:33" s="536" customFormat="1" ht="12" x14ac:dyDescent="0.2">
      <c r="A242" s="605"/>
      <c r="B242" s="552"/>
      <c r="C242" s="1828" t="s">
        <v>318</v>
      </c>
      <c r="D242" s="1828"/>
      <c r="E242" s="1828"/>
      <c r="F242" s="608"/>
      <c r="G242" s="608"/>
      <c r="H242" s="608"/>
      <c r="I242" s="608"/>
      <c r="J242" s="607">
        <v>48.09</v>
      </c>
      <c r="K242" s="608"/>
      <c r="L242" s="607">
        <v>59.55</v>
      </c>
      <c r="M242" s="601"/>
      <c r="N242" s="606"/>
      <c r="V242" s="674"/>
      <c r="W242" s="675"/>
      <c r="AB242" s="537" t="s">
        <v>318</v>
      </c>
      <c r="AC242" s="675"/>
      <c r="AD242" s="680"/>
      <c r="AE242" s="675"/>
      <c r="AG242" s="675"/>
    </row>
    <row r="243" spans="1:33" s="536" customFormat="1" ht="12" x14ac:dyDescent="0.2">
      <c r="A243" s="605"/>
      <c r="B243" s="552"/>
      <c r="C243" s="1822" t="s">
        <v>319</v>
      </c>
      <c r="D243" s="1822"/>
      <c r="E243" s="1822"/>
      <c r="F243" s="562"/>
      <c r="G243" s="562"/>
      <c r="H243" s="562"/>
      <c r="I243" s="562"/>
      <c r="J243" s="604"/>
      <c r="K243" s="562"/>
      <c r="L243" s="604">
        <v>44.74</v>
      </c>
      <c r="M243" s="603"/>
      <c r="N243" s="602"/>
      <c r="V243" s="674"/>
      <c r="W243" s="675"/>
      <c r="AA243" s="537" t="s">
        <v>319</v>
      </c>
      <c r="AC243" s="675"/>
      <c r="AD243" s="680"/>
      <c r="AE243" s="675"/>
      <c r="AG243" s="675"/>
    </row>
    <row r="244" spans="1:33" s="536" customFormat="1" ht="33.75" x14ac:dyDescent="0.2">
      <c r="A244" s="605"/>
      <c r="B244" s="552" t="s">
        <v>884</v>
      </c>
      <c r="C244" s="1822" t="s">
        <v>885</v>
      </c>
      <c r="D244" s="1822"/>
      <c r="E244" s="1822"/>
      <c r="F244" s="562" t="s">
        <v>322</v>
      </c>
      <c r="G244" s="562" t="s">
        <v>886</v>
      </c>
      <c r="H244" s="562"/>
      <c r="I244" s="562" t="s">
        <v>886</v>
      </c>
      <c r="J244" s="604"/>
      <c r="K244" s="562"/>
      <c r="L244" s="604">
        <v>40.270000000000003</v>
      </c>
      <c r="M244" s="603"/>
      <c r="N244" s="602"/>
      <c r="V244" s="674"/>
      <c r="W244" s="675"/>
      <c r="AA244" s="537" t="s">
        <v>885</v>
      </c>
      <c r="AC244" s="675"/>
      <c r="AD244" s="680"/>
      <c r="AE244" s="675"/>
      <c r="AG244" s="675"/>
    </row>
    <row r="245" spans="1:33" s="536" customFormat="1" ht="33.75" x14ac:dyDescent="0.2">
      <c r="A245" s="605"/>
      <c r="B245" s="552" t="s">
        <v>887</v>
      </c>
      <c r="C245" s="1822" t="s">
        <v>888</v>
      </c>
      <c r="D245" s="1822"/>
      <c r="E245" s="1822"/>
      <c r="F245" s="562" t="s">
        <v>322</v>
      </c>
      <c r="G245" s="562" t="s">
        <v>465</v>
      </c>
      <c r="H245" s="562"/>
      <c r="I245" s="562" t="s">
        <v>465</v>
      </c>
      <c r="J245" s="604"/>
      <c r="K245" s="562"/>
      <c r="L245" s="604">
        <v>20.58</v>
      </c>
      <c r="M245" s="603"/>
      <c r="N245" s="602"/>
      <c r="V245" s="674"/>
      <c r="W245" s="675"/>
      <c r="AA245" s="537" t="s">
        <v>888</v>
      </c>
      <c r="AC245" s="675"/>
      <c r="AD245" s="680"/>
      <c r="AE245" s="675"/>
      <c r="AG245" s="675"/>
    </row>
    <row r="246" spans="1:33" s="536" customFormat="1" ht="12" x14ac:dyDescent="0.2">
      <c r="A246" s="569"/>
      <c r="B246" s="671"/>
      <c r="C246" s="1823" t="s">
        <v>327</v>
      </c>
      <c r="D246" s="1823"/>
      <c r="E246" s="1823"/>
      <c r="F246" s="573"/>
      <c r="G246" s="573"/>
      <c r="H246" s="573"/>
      <c r="I246" s="573"/>
      <c r="J246" s="572"/>
      <c r="K246" s="573"/>
      <c r="L246" s="572">
        <v>120.4</v>
      </c>
      <c r="M246" s="601"/>
      <c r="N246" s="570"/>
      <c r="V246" s="674"/>
      <c r="W246" s="675"/>
      <c r="AC246" s="675" t="s">
        <v>327</v>
      </c>
      <c r="AD246" s="680"/>
      <c r="AE246" s="675"/>
      <c r="AG246" s="675"/>
    </row>
    <row r="247" spans="1:33" s="536" customFormat="1" ht="33.75" x14ac:dyDescent="0.2">
      <c r="A247" s="575" t="s">
        <v>761</v>
      </c>
      <c r="B247" s="670" t="s">
        <v>3842</v>
      </c>
      <c r="C247" s="1823" t="s">
        <v>3843</v>
      </c>
      <c r="D247" s="1823"/>
      <c r="E247" s="1823"/>
      <c r="F247" s="573" t="s">
        <v>628</v>
      </c>
      <c r="G247" s="573"/>
      <c r="H247" s="573"/>
      <c r="I247" s="573" t="s">
        <v>185</v>
      </c>
      <c r="J247" s="572">
        <v>1270.71</v>
      </c>
      <c r="K247" s="573" t="s">
        <v>716</v>
      </c>
      <c r="L247" s="572">
        <v>155.77000000000001</v>
      </c>
      <c r="M247" s="571">
        <v>8.32</v>
      </c>
      <c r="N247" s="570">
        <v>1296</v>
      </c>
      <c r="V247" s="674"/>
      <c r="W247" s="675" t="s">
        <v>3843</v>
      </c>
      <c r="AC247" s="675"/>
      <c r="AD247" s="680"/>
      <c r="AE247" s="675"/>
      <c r="AG247" s="675"/>
    </row>
    <row r="248" spans="1:33" s="536" customFormat="1" ht="12" x14ac:dyDescent="0.2">
      <c r="A248" s="569"/>
      <c r="B248" s="671"/>
      <c r="C248" s="665" t="s">
        <v>1658</v>
      </c>
      <c r="D248" s="666"/>
      <c r="E248" s="666"/>
      <c r="F248" s="563"/>
      <c r="G248" s="563"/>
      <c r="H248" s="563"/>
      <c r="I248" s="563"/>
      <c r="J248" s="566"/>
      <c r="K248" s="563"/>
      <c r="L248" s="566"/>
      <c r="M248" s="565"/>
      <c r="N248" s="564"/>
      <c r="V248" s="674"/>
      <c r="W248" s="675"/>
      <c r="AC248" s="675"/>
      <c r="AD248" s="680"/>
      <c r="AE248" s="675"/>
      <c r="AG248" s="675"/>
    </row>
    <row r="249" spans="1:33" s="536" customFormat="1" ht="22.5" x14ac:dyDescent="0.2">
      <c r="A249" s="609"/>
      <c r="B249" s="552" t="s">
        <v>718</v>
      </c>
      <c r="C249" s="1822" t="s">
        <v>719</v>
      </c>
      <c r="D249" s="1822"/>
      <c r="E249" s="1822"/>
      <c r="F249" s="1822"/>
      <c r="G249" s="1822"/>
      <c r="H249" s="1822"/>
      <c r="I249" s="1822"/>
      <c r="J249" s="1822"/>
      <c r="K249" s="1822"/>
      <c r="L249" s="1822"/>
      <c r="M249" s="1822"/>
      <c r="N249" s="1827"/>
      <c r="V249" s="674"/>
      <c r="W249" s="675"/>
      <c r="Y249" s="537" t="s">
        <v>719</v>
      </c>
      <c r="AC249" s="675"/>
      <c r="AD249" s="680"/>
      <c r="AE249" s="675"/>
      <c r="AG249" s="675"/>
    </row>
    <row r="250" spans="1:33" s="536" customFormat="1" ht="33.75" x14ac:dyDescent="0.2">
      <c r="A250" s="575" t="s">
        <v>762</v>
      </c>
      <c r="B250" s="670" t="s">
        <v>3844</v>
      </c>
      <c r="C250" s="1823" t="s">
        <v>3845</v>
      </c>
      <c r="D250" s="1823"/>
      <c r="E250" s="1823"/>
      <c r="F250" s="573" t="s">
        <v>617</v>
      </c>
      <c r="G250" s="573"/>
      <c r="H250" s="573"/>
      <c r="I250" s="573" t="s">
        <v>186</v>
      </c>
      <c r="J250" s="572"/>
      <c r="K250" s="573"/>
      <c r="L250" s="572"/>
      <c r="M250" s="571"/>
      <c r="N250" s="570"/>
      <c r="V250" s="674"/>
      <c r="W250" s="675" t="s">
        <v>3845</v>
      </c>
      <c r="AC250" s="675"/>
      <c r="AD250" s="680"/>
      <c r="AE250" s="675"/>
      <c r="AG250" s="675"/>
    </row>
    <row r="251" spans="1:33" s="536" customFormat="1" ht="33.75" x14ac:dyDescent="0.2">
      <c r="A251" s="609"/>
      <c r="B251" s="552" t="s">
        <v>310</v>
      </c>
      <c r="C251" s="1822" t="s">
        <v>311</v>
      </c>
      <c r="D251" s="1822"/>
      <c r="E251" s="1822"/>
      <c r="F251" s="1822"/>
      <c r="G251" s="1822"/>
      <c r="H251" s="1822"/>
      <c r="I251" s="1822"/>
      <c r="J251" s="1822"/>
      <c r="K251" s="1822"/>
      <c r="L251" s="1822"/>
      <c r="M251" s="1822"/>
      <c r="N251" s="1827"/>
      <c r="V251" s="674"/>
      <c r="W251" s="675"/>
      <c r="Y251" s="537" t="s">
        <v>311</v>
      </c>
      <c r="AC251" s="675"/>
      <c r="AD251" s="680"/>
      <c r="AE251" s="675"/>
      <c r="AG251" s="675"/>
    </row>
    <row r="252" spans="1:33" s="536" customFormat="1" ht="12" x14ac:dyDescent="0.2">
      <c r="A252" s="605"/>
      <c r="B252" s="552" t="s">
        <v>185</v>
      </c>
      <c r="C252" s="1822" t="s">
        <v>312</v>
      </c>
      <c r="D252" s="1822"/>
      <c r="E252" s="1822"/>
      <c r="F252" s="562"/>
      <c r="G252" s="562"/>
      <c r="H252" s="562"/>
      <c r="I252" s="562"/>
      <c r="J252" s="604">
        <v>24.03</v>
      </c>
      <c r="K252" s="562" t="s">
        <v>313</v>
      </c>
      <c r="L252" s="604">
        <v>60.08</v>
      </c>
      <c r="M252" s="603"/>
      <c r="N252" s="602"/>
      <c r="V252" s="674"/>
      <c r="W252" s="675"/>
      <c r="Z252" s="537" t="s">
        <v>312</v>
      </c>
      <c r="AC252" s="675"/>
      <c r="AD252" s="680"/>
      <c r="AE252" s="675"/>
      <c r="AG252" s="675"/>
    </row>
    <row r="253" spans="1:33" s="536" customFormat="1" ht="12" x14ac:dyDescent="0.2">
      <c r="A253" s="605"/>
      <c r="B253" s="552" t="s">
        <v>186</v>
      </c>
      <c r="C253" s="1822" t="s">
        <v>344</v>
      </c>
      <c r="D253" s="1822"/>
      <c r="E253" s="1822"/>
      <c r="F253" s="562"/>
      <c r="G253" s="562"/>
      <c r="H253" s="562"/>
      <c r="I253" s="562"/>
      <c r="J253" s="604">
        <v>5.3</v>
      </c>
      <c r="K253" s="562" t="s">
        <v>313</v>
      </c>
      <c r="L253" s="604">
        <v>13.25</v>
      </c>
      <c r="M253" s="603"/>
      <c r="N253" s="602"/>
      <c r="V253" s="674"/>
      <c r="W253" s="675"/>
      <c r="Z253" s="537" t="s">
        <v>344</v>
      </c>
      <c r="AC253" s="675"/>
      <c r="AD253" s="680"/>
      <c r="AE253" s="675"/>
      <c r="AG253" s="675"/>
    </row>
    <row r="254" spans="1:33" s="536" customFormat="1" ht="12" x14ac:dyDescent="0.2">
      <c r="A254" s="605"/>
      <c r="B254" s="552" t="s">
        <v>188</v>
      </c>
      <c r="C254" s="1822" t="s">
        <v>475</v>
      </c>
      <c r="D254" s="1822"/>
      <c r="E254" s="1822"/>
      <c r="F254" s="562"/>
      <c r="G254" s="562"/>
      <c r="H254" s="562"/>
      <c r="I254" s="562"/>
      <c r="J254" s="604">
        <v>1.65</v>
      </c>
      <c r="K254" s="562"/>
      <c r="L254" s="604">
        <v>3.3</v>
      </c>
      <c r="M254" s="603"/>
      <c r="N254" s="602"/>
      <c r="V254" s="674"/>
      <c r="W254" s="675"/>
      <c r="Z254" s="537" t="s">
        <v>475</v>
      </c>
      <c r="AC254" s="675"/>
      <c r="AD254" s="680"/>
      <c r="AE254" s="675"/>
      <c r="AG254" s="675"/>
    </row>
    <row r="255" spans="1:33" s="536" customFormat="1" ht="12" x14ac:dyDescent="0.2">
      <c r="A255" s="605"/>
      <c r="B255" s="552"/>
      <c r="C255" s="1822" t="s">
        <v>314</v>
      </c>
      <c r="D255" s="1822"/>
      <c r="E255" s="1822"/>
      <c r="F255" s="562" t="s">
        <v>315</v>
      </c>
      <c r="G255" s="562" t="s">
        <v>3846</v>
      </c>
      <c r="H255" s="562" t="s">
        <v>313</v>
      </c>
      <c r="I255" s="562" t="s">
        <v>3172</v>
      </c>
      <c r="J255" s="604"/>
      <c r="K255" s="562"/>
      <c r="L255" s="604"/>
      <c r="M255" s="603"/>
      <c r="N255" s="602"/>
      <c r="V255" s="674"/>
      <c r="W255" s="675"/>
      <c r="AA255" s="537" t="s">
        <v>314</v>
      </c>
      <c r="AC255" s="675"/>
      <c r="AD255" s="680"/>
      <c r="AE255" s="675"/>
      <c r="AG255" s="675"/>
    </row>
    <row r="256" spans="1:33" s="536" customFormat="1" ht="12" x14ac:dyDescent="0.2">
      <c r="A256" s="605"/>
      <c r="B256" s="552"/>
      <c r="C256" s="1828" t="s">
        <v>318</v>
      </c>
      <c r="D256" s="1828"/>
      <c r="E256" s="1828"/>
      <c r="F256" s="608"/>
      <c r="G256" s="608"/>
      <c r="H256" s="608"/>
      <c r="I256" s="608"/>
      <c r="J256" s="607">
        <v>30.98</v>
      </c>
      <c r="K256" s="608"/>
      <c r="L256" s="607">
        <v>76.63</v>
      </c>
      <c r="M256" s="601"/>
      <c r="N256" s="606"/>
      <c r="V256" s="674"/>
      <c r="W256" s="675"/>
      <c r="AB256" s="537" t="s">
        <v>318</v>
      </c>
      <c r="AC256" s="675"/>
      <c r="AD256" s="680"/>
      <c r="AE256" s="675"/>
      <c r="AG256" s="675"/>
    </row>
    <row r="257" spans="1:33" s="536" customFormat="1" ht="12" x14ac:dyDescent="0.2">
      <c r="A257" s="605"/>
      <c r="B257" s="552"/>
      <c r="C257" s="1822" t="s">
        <v>319</v>
      </c>
      <c r="D257" s="1822"/>
      <c r="E257" s="1822"/>
      <c r="F257" s="562"/>
      <c r="G257" s="562"/>
      <c r="H257" s="562"/>
      <c r="I257" s="562"/>
      <c r="J257" s="604"/>
      <c r="K257" s="562"/>
      <c r="L257" s="604">
        <v>60.08</v>
      </c>
      <c r="M257" s="603"/>
      <c r="N257" s="602"/>
      <c r="V257" s="674"/>
      <c r="W257" s="675"/>
      <c r="AA257" s="537" t="s">
        <v>319</v>
      </c>
      <c r="AC257" s="675"/>
      <c r="AD257" s="680"/>
      <c r="AE257" s="675"/>
      <c r="AG257" s="675"/>
    </row>
    <row r="258" spans="1:33" s="536" customFormat="1" ht="33.75" x14ac:dyDescent="0.2">
      <c r="A258" s="605"/>
      <c r="B258" s="552" t="s">
        <v>884</v>
      </c>
      <c r="C258" s="1822" t="s">
        <v>885</v>
      </c>
      <c r="D258" s="1822"/>
      <c r="E258" s="1822"/>
      <c r="F258" s="562" t="s">
        <v>322</v>
      </c>
      <c r="G258" s="562" t="s">
        <v>886</v>
      </c>
      <c r="H258" s="562"/>
      <c r="I258" s="562" t="s">
        <v>886</v>
      </c>
      <c r="J258" s="604"/>
      <c r="K258" s="562"/>
      <c r="L258" s="604">
        <v>54.07</v>
      </c>
      <c r="M258" s="603"/>
      <c r="N258" s="602"/>
      <c r="V258" s="674"/>
      <c r="W258" s="675"/>
      <c r="AA258" s="537" t="s">
        <v>885</v>
      </c>
      <c r="AC258" s="675"/>
      <c r="AD258" s="680"/>
      <c r="AE258" s="675"/>
      <c r="AG258" s="675"/>
    </row>
    <row r="259" spans="1:33" s="536" customFormat="1" ht="33.75" x14ac:dyDescent="0.2">
      <c r="A259" s="605"/>
      <c r="B259" s="552" t="s">
        <v>887</v>
      </c>
      <c r="C259" s="1822" t="s">
        <v>888</v>
      </c>
      <c r="D259" s="1822"/>
      <c r="E259" s="1822"/>
      <c r="F259" s="562" t="s">
        <v>322</v>
      </c>
      <c r="G259" s="562" t="s">
        <v>465</v>
      </c>
      <c r="H259" s="562"/>
      <c r="I259" s="562" t="s">
        <v>465</v>
      </c>
      <c r="J259" s="604"/>
      <c r="K259" s="562"/>
      <c r="L259" s="604">
        <v>27.64</v>
      </c>
      <c r="M259" s="603"/>
      <c r="N259" s="602"/>
      <c r="V259" s="674"/>
      <c r="W259" s="675"/>
      <c r="AA259" s="537" t="s">
        <v>888</v>
      </c>
      <c r="AC259" s="675"/>
      <c r="AD259" s="680"/>
      <c r="AE259" s="675"/>
      <c r="AG259" s="675"/>
    </row>
    <row r="260" spans="1:33" s="536" customFormat="1" ht="12" x14ac:dyDescent="0.2">
      <c r="A260" s="569"/>
      <c r="B260" s="671"/>
      <c r="C260" s="1823" t="s">
        <v>327</v>
      </c>
      <c r="D260" s="1823"/>
      <c r="E260" s="1823"/>
      <c r="F260" s="573"/>
      <c r="G260" s="573"/>
      <c r="H260" s="573"/>
      <c r="I260" s="573"/>
      <c r="J260" s="572"/>
      <c r="K260" s="573"/>
      <c r="L260" s="572">
        <v>158.34</v>
      </c>
      <c r="M260" s="601"/>
      <c r="N260" s="570"/>
      <c r="V260" s="674"/>
      <c r="W260" s="675"/>
      <c r="AC260" s="675" t="s">
        <v>327</v>
      </c>
      <c r="AD260" s="680"/>
      <c r="AE260" s="675"/>
      <c r="AG260" s="675"/>
    </row>
    <row r="261" spans="1:33" s="536" customFormat="1" ht="33.75" x14ac:dyDescent="0.2">
      <c r="A261" s="575" t="s">
        <v>763</v>
      </c>
      <c r="B261" s="670" t="s">
        <v>3847</v>
      </c>
      <c r="C261" s="1823" t="s">
        <v>3848</v>
      </c>
      <c r="D261" s="1823"/>
      <c r="E261" s="1823"/>
      <c r="F261" s="573" t="s">
        <v>617</v>
      </c>
      <c r="G261" s="573"/>
      <c r="H261" s="573"/>
      <c r="I261" s="573" t="s">
        <v>185</v>
      </c>
      <c r="J261" s="572"/>
      <c r="K261" s="573"/>
      <c r="L261" s="572"/>
      <c r="M261" s="571"/>
      <c r="N261" s="570"/>
      <c r="V261" s="674"/>
      <c r="W261" s="675" t="s">
        <v>3848</v>
      </c>
      <c r="AC261" s="675"/>
      <c r="AD261" s="680"/>
      <c r="AE261" s="675"/>
      <c r="AG261" s="675"/>
    </row>
    <row r="262" spans="1:33" s="536" customFormat="1" ht="33.75" x14ac:dyDescent="0.2">
      <c r="A262" s="609"/>
      <c r="B262" s="552" t="s">
        <v>310</v>
      </c>
      <c r="C262" s="1822" t="s">
        <v>311</v>
      </c>
      <c r="D262" s="1822"/>
      <c r="E262" s="1822"/>
      <c r="F262" s="1822"/>
      <c r="G262" s="1822"/>
      <c r="H262" s="1822"/>
      <c r="I262" s="1822"/>
      <c r="J262" s="1822"/>
      <c r="K262" s="1822"/>
      <c r="L262" s="1822"/>
      <c r="M262" s="1822"/>
      <c r="N262" s="1827"/>
      <c r="V262" s="674"/>
      <c r="W262" s="675"/>
      <c r="Y262" s="537" t="s">
        <v>311</v>
      </c>
      <c r="AC262" s="675"/>
      <c r="AD262" s="680"/>
      <c r="AE262" s="675"/>
      <c r="AG262" s="675"/>
    </row>
    <row r="263" spans="1:33" s="536" customFormat="1" ht="12" x14ac:dyDescent="0.2">
      <c r="A263" s="605"/>
      <c r="B263" s="552" t="s">
        <v>185</v>
      </c>
      <c r="C263" s="1822" t="s">
        <v>312</v>
      </c>
      <c r="D263" s="1822"/>
      <c r="E263" s="1822"/>
      <c r="F263" s="562"/>
      <c r="G263" s="562"/>
      <c r="H263" s="562"/>
      <c r="I263" s="562"/>
      <c r="J263" s="604">
        <v>46.64</v>
      </c>
      <c r="K263" s="562" t="s">
        <v>313</v>
      </c>
      <c r="L263" s="604">
        <v>58.3</v>
      </c>
      <c r="M263" s="603"/>
      <c r="N263" s="602"/>
      <c r="V263" s="674"/>
      <c r="W263" s="675"/>
      <c r="Z263" s="537" t="s">
        <v>312</v>
      </c>
      <c r="AC263" s="675"/>
      <c r="AD263" s="680"/>
      <c r="AE263" s="675"/>
      <c r="AG263" s="675"/>
    </row>
    <row r="264" spans="1:33" s="536" customFormat="1" ht="12" x14ac:dyDescent="0.2">
      <c r="A264" s="605"/>
      <c r="B264" s="552" t="s">
        <v>186</v>
      </c>
      <c r="C264" s="1822" t="s">
        <v>344</v>
      </c>
      <c r="D264" s="1822"/>
      <c r="E264" s="1822"/>
      <c r="F264" s="562"/>
      <c r="G264" s="562"/>
      <c r="H264" s="562"/>
      <c r="I264" s="562"/>
      <c r="J264" s="604">
        <v>23.72</v>
      </c>
      <c r="K264" s="562" t="s">
        <v>313</v>
      </c>
      <c r="L264" s="604">
        <v>29.65</v>
      </c>
      <c r="M264" s="603"/>
      <c r="N264" s="602"/>
      <c r="V264" s="674"/>
      <c r="W264" s="675"/>
      <c r="Z264" s="537" t="s">
        <v>344</v>
      </c>
      <c r="AC264" s="675"/>
      <c r="AD264" s="680"/>
      <c r="AE264" s="675"/>
      <c r="AG264" s="675"/>
    </row>
    <row r="265" spans="1:33" s="536" customFormat="1" ht="12" x14ac:dyDescent="0.2">
      <c r="A265" s="605"/>
      <c r="B265" s="552" t="s">
        <v>188</v>
      </c>
      <c r="C265" s="1822" t="s">
        <v>475</v>
      </c>
      <c r="D265" s="1822"/>
      <c r="E265" s="1822"/>
      <c r="F265" s="562"/>
      <c r="G265" s="562"/>
      <c r="H265" s="562"/>
      <c r="I265" s="562"/>
      <c r="J265" s="604">
        <v>5.21</v>
      </c>
      <c r="K265" s="562"/>
      <c r="L265" s="604">
        <v>5.21</v>
      </c>
      <c r="M265" s="603"/>
      <c r="N265" s="602"/>
      <c r="V265" s="674"/>
      <c r="W265" s="675"/>
      <c r="Z265" s="537" t="s">
        <v>475</v>
      </c>
      <c r="AC265" s="675"/>
      <c r="AD265" s="680"/>
      <c r="AE265" s="675"/>
      <c r="AG265" s="675"/>
    </row>
    <row r="266" spans="1:33" s="536" customFormat="1" ht="12" x14ac:dyDescent="0.2">
      <c r="A266" s="605"/>
      <c r="B266" s="552"/>
      <c r="C266" s="1822" t="s">
        <v>314</v>
      </c>
      <c r="D266" s="1822"/>
      <c r="E266" s="1822"/>
      <c r="F266" s="562" t="s">
        <v>315</v>
      </c>
      <c r="G266" s="562" t="s">
        <v>3849</v>
      </c>
      <c r="H266" s="562" t="s">
        <v>313</v>
      </c>
      <c r="I266" s="562" t="s">
        <v>3850</v>
      </c>
      <c r="J266" s="604"/>
      <c r="K266" s="562"/>
      <c r="L266" s="604"/>
      <c r="M266" s="603"/>
      <c r="N266" s="602"/>
      <c r="V266" s="674"/>
      <c r="W266" s="675"/>
      <c r="AA266" s="537" t="s">
        <v>314</v>
      </c>
      <c r="AC266" s="675"/>
      <c r="AD266" s="680"/>
      <c r="AE266" s="675"/>
      <c r="AG266" s="675"/>
    </row>
    <row r="267" spans="1:33" s="536" customFormat="1" ht="12" x14ac:dyDescent="0.2">
      <c r="A267" s="605"/>
      <c r="B267" s="552"/>
      <c r="C267" s="1828" t="s">
        <v>318</v>
      </c>
      <c r="D267" s="1828"/>
      <c r="E267" s="1828"/>
      <c r="F267" s="608"/>
      <c r="G267" s="608"/>
      <c r="H267" s="608"/>
      <c r="I267" s="608"/>
      <c r="J267" s="607">
        <v>75.569999999999993</v>
      </c>
      <c r="K267" s="608"/>
      <c r="L267" s="607">
        <v>93.16</v>
      </c>
      <c r="M267" s="601"/>
      <c r="N267" s="606"/>
      <c r="V267" s="674"/>
      <c r="W267" s="675"/>
      <c r="AB267" s="537" t="s">
        <v>318</v>
      </c>
      <c r="AC267" s="675"/>
      <c r="AD267" s="680"/>
      <c r="AE267" s="675"/>
      <c r="AG267" s="675"/>
    </row>
    <row r="268" spans="1:33" s="536" customFormat="1" ht="12" x14ac:dyDescent="0.2">
      <c r="A268" s="605"/>
      <c r="B268" s="552"/>
      <c r="C268" s="1822" t="s">
        <v>319</v>
      </c>
      <c r="D268" s="1822"/>
      <c r="E268" s="1822"/>
      <c r="F268" s="562"/>
      <c r="G268" s="562"/>
      <c r="H268" s="562"/>
      <c r="I268" s="562"/>
      <c r="J268" s="604"/>
      <c r="K268" s="562"/>
      <c r="L268" s="604">
        <v>58.3</v>
      </c>
      <c r="M268" s="603"/>
      <c r="N268" s="602"/>
      <c r="V268" s="674"/>
      <c r="W268" s="675"/>
      <c r="AA268" s="537" t="s">
        <v>319</v>
      </c>
      <c r="AC268" s="675"/>
      <c r="AD268" s="680"/>
      <c r="AE268" s="675"/>
      <c r="AG268" s="675"/>
    </row>
    <row r="269" spans="1:33" s="536" customFormat="1" ht="33.75" x14ac:dyDescent="0.2">
      <c r="A269" s="605"/>
      <c r="B269" s="552" t="s">
        <v>884</v>
      </c>
      <c r="C269" s="1822" t="s">
        <v>885</v>
      </c>
      <c r="D269" s="1822"/>
      <c r="E269" s="1822"/>
      <c r="F269" s="562" t="s">
        <v>322</v>
      </c>
      <c r="G269" s="562" t="s">
        <v>886</v>
      </c>
      <c r="H269" s="562"/>
      <c r="I269" s="562" t="s">
        <v>886</v>
      </c>
      <c r="J269" s="604"/>
      <c r="K269" s="562"/>
      <c r="L269" s="604">
        <v>52.47</v>
      </c>
      <c r="M269" s="603"/>
      <c r="N269" s="602"/>
      <c r="V269" s="674"/>
      <c r="W269" s="675"/>
      <c r="AA269" s="537" t="s">
        <v>885</v>
      </c>
      <c r="AC269" s="675"/>
      <c r="AD269" s="680"/>
      <c r="AE269" s="675"/>
      <c r="AG269" s="675"/>
    </row>
    <row r="270" spans="1:33" s="536" customFormat="1" ht="33.75" x14ac:dyDescent="0.2">
      <c r="A270" s="605"/>
      <c r="B270" s="552" t="s">
        <v>887</v>
      </c>
      <c r="C270" s="1822" t="s">
        <v>888</v>
      </c>
      <c r="D270" s="1822"/>
      <c r="E270" s="1822"/>
      <c r="F270" s="562" t="s">
        <v>322</v>
      </c>
      <c r="G270" s="562" t="s">
        <v>465</v>
      </c>
      <c r="H270" s="562"/>
      <c r="I270" s="562" t="s">
        <v>465</v>
      </c>
      <c r="J270" s="604"/>
      <c r="K270" s="562"/>
      <c r="L270" s="604">
        <v>26.82</v>
      </c>
      <c r="M270" s="603"/>
      <c r="N270" s="602"/>
      <c r="V270" s="674"/>
      <c r="W270" s="675"/>
      <c r="AA270" s="537" t="s">
        <v>888</v>
      </c>
      <c r="AC270" s="675"/>
      <c r="AD270" s="680"/>
      <c r="AE270" s="675"/>
      <c r="AG270" s="675"/>
    </row>
    <row r="271" spans="1:33" s="536" customFormat="1" ht="12" x14ac:dyDescent="0.2">
      <c r="A271" s="569"/>
      <c r="B271" s="671"/>
      <c r="C271" s="1823" t="s">
        <v>327</v>
      </c>
      <c r="D271" s="1823"/>
      <c r="E271" s="1823"/>
      <c r="F271" s="573"/>
      <c r="G271" s="573"/>
      <c r="H271" s="573"/>
      <c r="I271" s="573"/>
      <c r="J271" s="572"/>
      <c r="K271" s="573"/>
      <c r="L271" s="572">
        <v>172.45</v>
      </c>
      <c r="M271" s="601"/>
      <c r="N271" s="570"/>
      <c r="V271" s="674"/>
      <c r="W271" s="675"/>
      <c r="AC271" s="675" t="s">
        <v>327</v>
      </c>
      <c r="AD271" s="680"/>
      <c r="AE271" s="675"/>
      <c r="AG271" s="675"/>
    </row>
    <row r="272" spans="1:33" s="536" customFormat="1" ht="33.75" x14ac:dyDescent="0.2">
      <c r="A272" s="575" t="s">
        <v>764</v>
      </c>
      <c r="B272" s="670" t="s">
        <v>3851</v>
      </c>
      <c r="C272" s="1823" t="s">
        <v>3852</v>
      </c>
      <c r="D272" s="1823"/>
      <c r="E272" s="1823"/>
      <c r="F272" s="573" t="s">
        <v>628</v>
      </c>
      <c r="G272" s="573"/>
      <c r="H272" s="573"/>
      <c r="I272" s="573" t="s">
        <v>185</v>
      </c>
      <c r="J272" s="572">
        <v>2709.34</v>
      </c>
      <c r="K272" s="573" t="s">
        <v>629</v>
      </c>
      <c r="L272" s="572">
        <v>597.39</v>
      </c>
      <c r="M272" s="571">
        <v>4.59</v>
      </c>
      <c r="N272" s="570">
        <v>2742</v>
      </c>
      <c r="V272" s="674"/>
      <c r="W272" s="675" t="s">
        <v>3852</v>
      </c>
      <c r="AC272" s="675"/>
      <c r="AD272" s="680"/>
      <c r="AE272" s="675"/>
      <c r="AG272" s="675"/>
    </row>
    <row r="273" spans="1:33" s="536" customFormat="1" ht="12" x14ac:dyDescent="0.2">
      <c r="A273" s="569"/>
      <c r="B273" s="671"/>
      <c r="C273" s="665" t="s">
        <v>630</v>
      </c>
      <c r="D273" s="666"/>
      <c r="E273" s="666"/>
      <c r="F273" s="563"/>
      <c r="G273" s="563"/>
      <c r="H273" s="563"/>
      <c r="I273" s="563"/>
      <c r="J273" s="566"/>
      <c r="K273" s="563"/>
      <c r="L273" s="566"/>
      <c r="M273" s="565"/>
      <c r="N273" s="564"/>
      <c r="V273" s="674"/>
      <c r="W273" s="675"/>
      <c r="AC273" s="675"/>
      <c r="AD273" s="680"/>
      <c r="AE273" s="675"/>
      <c r="AG273" s="675"/>
    </row>
    <row r="274" spans="1:33" s="536" customFormat="1" ht="22.5" x14ac:dyDescent="0.2">
      <c r="A274" s="609"/>
      <c r="B274" s="552" t="s">
        <v>1638</v>
      </c>
      <c r="C274" s="1822" t="s">
        <v>632</v>
      </c>
      <c r="D274" s="1822"/>
      <c r="E274" s="1822"/>
      <c r="F274" s="1822"/>
      <c r="G274" s="1822"/>
      <c r="H274" s="1822"/>
      <c r="I274" s="1822"/>
      <c r="J274" s="1822"/>
      <c r="K274" s="1822"/>
      <c r="L274" s="1822"/>
      <c r="M274" s="1822"/>
      <c r="N274" s="1827"/>
      <c r="V274" s="674"/>
      <c r="W274" s="675"/>
      <c r="Y274" s="537" t="s">
        <v>632</v>
      </c>
      <c r="AC274" s="675"/>
      <c r="AD274" s="680"/>
      <c r="AE274" s="675"/>
      <c r="AG274" s="675"/>
    </row>
    <row r="275" spans="1:33" s="536" customFormat="1" ht="33.75" x14ac:dyDescent="0.2">
      <c r="A275" s="575" t="s">
        <v>923</v>
      </c>
      <c r="B275" s="670" t="s">
        <v>3853</v>
      </c>
      <c r="C275" s="1823" t="s">
        <v>3854</v>
      </c>
      <c r="D275" s="1823"/>
      <c r="E275" s="1823"/>
      <c r="F275" s="573" t="s">
        <v>628</v>
      </c>
      <c r="G275" s="573"/>
      <c r="H275" s="573"/>
      <c r="I275" s="573" t="s">
        <v>186</v>
      </c>
      <c r="J275" s="572">
        <v>4216.76</v>
      </c>
      <c r="K275" s="573" t="s">
        <v>629</v>
      </c>
      <c r="L275" s="572">
        <v>1859.48</v>
      </c>
      <c r="M275" s="571">
        <v>4.59</v>
      </c>
      <c r="N275" s="570">
        <v>8535</v>
      </c>
      <c r="V275" s="674"/>
      <c r="W275" s="675" t="s">
        <v>3854</v>
      </c>
      <c r="AC275" s="675"/>
      <c r="AD275" s="680"/>
      <c r="AE275" s="675"/>
      <c r="AG275" s="675"/>
    </row>
    <row r="276" spans="1:33" s="536" customFormat="1" ht="12" x14ac:dyDescent="0.2">
      <c r="A276" s="569"/>
      <c r="B276" s="671"/>
      <c r="C276" s="665" t="s">
        <v>630</v>
      </c>
      <c r="D276" s="666"/>
      <c r="E276" s="666"/>
      <c r="F276" s="563"/>
      <c r="G276" s="563"/>
      <c r="H276" s="563"/>
      <c r="I276" s="563"/>
      <c r="J276" s="566"/>
      <c r="K276" s="563"/>
      <c r="L276" s="566"/>
      <c r="M276" s="565"/>
      <c r="N276" s="564"/>
      <c r="V276" s="674"/>
      <c r="W276" s="675"/>
      <c r="AC276" s="675"/>
      <c r="AD276" s="680"/>
      <c r="AE276" s="675"/>
      <c r="AG276" s="675"/>
    </row>
    <row r="277" spans="1:33" s="536" customFormat="1" ht="22.5" x14ac:dyDescent="0.2">
      <c r="A277" s="609"/>
      <c r="B277" s="552" t="s">
        <v>1638</v>
      </c>
      <c r="C277" s="1822" t="s">
        <v>632</v>
      </c>
      <c r="D277" s="1822"/>
      <c r="E277" s="1822"/>
      <c r="F277" s="1822"/>
      <c r="G277" s="1822"/>
      <c r="H277" s="1822"/>
      <c r="I277" s="1822"/>
      <c r="J277" s="1822"/>
      <c r="K277" s="1822"/>
      <c r="L277" s="1822"/>
      <c r="M277" s="1822"/>
      <c r="N277" s="1827"/>
      <c r="V277" s="674"/>
      <c r="W277" s="675"/>
      <c r="Y277" s="537" t="s">
        <v>632</v>
      </c>
      <c r="AC277" s="675"/>
      <c r="AD277" s="680"/>
      <c r="AE277" s="675"/>
      <c r="AG277" s="675"/>
    </row>
    <row r="278" spans="1:33" s="536" customFormat="1" ht="33.75" x14ac:dyDescent="0.2">
      <c r="A278" s="575" t="s">
        <v>505</v>
      </c>
      <c r="B278" s="670" t="s">
        <v>3855</v>
      </c>
      <c r="C278" s="1823" t="s">
        <v>3856</v>
      </c>
      <c r="D278" s="1823"/>
      <c r="E278" s="1823"/>
      <c r="F278" s="573" t="s">
        <v>3857</v>
      </c>
      <c r="G278" s="573"/>
      <c r="H278" s="573"/>
      <c r="I278" s="573" t="s">
        <v>792</v>
      </c>
      <c r="J278" s="572"/>
      <c r="K278" s="573"/>
      <c r="L278" s="572"/>
      <c r="M278" s="571"/>
      <c r="N278" s="570"/>
      <c r="V278" s="674"/>
      <c r="W278" s="675" t="s">
        <v>3856</v>
      </c>
      <c r="AC278" s="675"/>
      <c r="AD278" s="680"/>
      <c r="AE278" s="675"/>
      <c r="AG278" s="675"/>
    </row>
    <row r="279" spans="1:33" s="536" customFormat="1" ht="12" x14ac:dyDescent="0.2">
      <c r="A279" s="676"/>
      <c r="B279" s="664"/>
      <c r="C279" s="1822" t="s">
        <v>3858</v>
      </c>
      <c r="D279" s="1822"/>
      <c r="E279" s="1822"/>
      <c r="F279" s="1822"/>
      <c r="G279" s="1822"/>
      <c r="H279" s="1822"/>
      <c r="I279" s="1822"/>
      <c r="J279" s="1822"/>
      <c r="K279" s="1822"/>
      <c r="L279" s="1822"/>
      <c r="M279" s="1822"/>
      <c r="N279" s="1827"/>
      <c r="V279" s="674"/>
      <c r="W279" s="675"/>
      <c r="X279" s="537" t="s">
        <v>3858</v>
      </c>
      <c r="AC279" s="675"/>
      <c r="AD279" s="680"/>
      <c r="AE279" s="675"/>
      <c r="AG279" s="675"/>
    </row>
    <row r="280" spans="1:33" s="536" customFormat="1" ht="33.75" x14ac:dyDescent="0.2">
      <c r="A280" s="609"/>
      <c r="B280" s="552" t="s">
        <v>310</v>
      </c>
      <c r="C280" s="1822" t="s">
        <v>311</v>
      </c>
      <c r="D280" s="1822"/>
      <c r="E280" s="1822"/>
      <c r="F280" s="1822"/>
      <c r="G280" s="1822"/>
      <c r="H280" s="1822"/>
      <c r="I280" s="1822"/>
      <c r="J280" s="1822"/>
      <c r="K280" s="1822"/>
      <c r="L280" s="1822"/>
      <c r="M280" s="1822"/>
      <c r="N280" s="1827"/>
      <c r="V280" s="674"/>
      <c r="W280" s="675"/>
      <c r="Y280" s="537" t="s">
        <v>311</v>
      </c>
      <c r="AC280" s="675"/>
      <c r="AD280" s="680"/>
      <c r="AE280" s="675"/>
      <c r="AG280" s="675"/>
    </row>
    <row r="281" spans="1:33" s="536" customFormat="1" ht="12" x14ac:dyDescent="0.2">
      <c r="A281" s="605"/>
      <c r="B281" s="552" t="s">
        <v>185</v>
      </c>
      <c r="C281" s="1822" t="s">
        <v>312</v>
      </c>
      <c r="D281" s="1822"/>
      <c r="E281" s="1822"/>
      <c r="F281" s="562"/>
      <c r="G281" s="562"/>
      <c r="H281" s="562"/>
      <c r="I281" s="562"/>
      <c r="J281" s="604">
        <v>124.2</v>
      </c>
      <c r="K281" s="562" t="s">
        <v>313</v>
      </c>
      <c r="L281" s="604">
        <v>9159.75</v>
      </c>
      <c r="M281" s="603"/>
      <c r="N281" s="602"/>
      <c r="V281" s="674"/>
      <c r="W281" s="675"/>
      <c r="Z281" s="537" t="s">
        <v>312</v>
      </c>
      <c r="AC281" s="675"/>
      <c r="AD281" s="680"/>
      <c r="AE281" s="675"/>
      <c r="AG281" s="675"/>
    </row>
    <row r="282" spans="1:33" s="536" customFormat="1" ht="12" x14ac:dyDescent="0.2">
      <c r="A282" s="605"/>
      <c r="B282" s="552" t="s">
        <v>186</v>
      </c>
      <c r="C282" s="1822" t="s">
        <v>344</v>
      </c>
      <c r="D282" s="1822"/>
      <c r="E282" s="1822"/>
      <c r="F282" s="562"/>
      <c r="G282" s="562"/>
      <c r="H282" s="562"/>
      <c r="I282" s="562"/>
      <c r="J282" s="604">
        <v>223.94</v>
      </c>
      <c r="K282" s="562" t="s">
        <v>313</v>
      </c>
      <c r="L282" s="604">
        <v>16515.580000000002</v>
      </c>
      <c r="M282" s="603"/>
      <c r="N282" s="602"/>
      <c r="V282" s="674"/>
      <c r="W282" s="675"/>
      <c r="Z282" s="537" t="s">
        <v>344</v>
      </c>
      <c r="AC282" s="675"/>
      <c r="AD282" s="680"/>
      <c r="AE282" s="675"/>
      <c r="AG282" s="675"/>
    </row>
    <row r="283" spans="1:33" s="536" customFormat="1" ht="12" x14ac:dyDescent="0.2">
      <c r="A283" s="605"/>
      <c r="B283" s="552" t="s">
        <v>187</v>
      </c>
      <c r="C283" s="1822" t="s">
        <v>345</v>
      </c>
      <c r="D283" s="1822"/>
      <c r="E283" s="1822"/>
      <c r="F283" s="562"/>
      <c r="G283" s="562"/>
      <c r="H283" s="562"/>
      <c r="I283" s="562"/>
      <c r="J283" s="604">
        <v>23.43</v>
      </c>
      <c r="K283" s="562" t="s">
        <v>313</v>
      </c>
      <c r="L283" s="604">
        <v>1727.96</v>
      </c>
      <c r="M283" s="603"/>
      <c r="N283" s="602"/>
      <c r="V283" s="674"/>
      <c r="W283" s="675"/>
      <c r="Z283" s="537" t="s">
        <v>345</v>
      </c>
      <c r="AC283" s="675"/>
      <c r="AD283" s="680"/>
      <c r="AE283" s="675"/>
      <c r="AG283" s="675"/>
    </row>
    <row r="284" spans="1:33" s="536" customFormat="1" ht="12" x14ac:dyDescent="0.2">
      <c r="A284" s="605"/>
      <c r="B284" s="552" t="s">
        <v>188</v>
      </c>
      <c r="C284" s="1822" t="s">
        <v>475</v>
      </c>
      <c r="D284" s="1822"/>
      <c r="E284" s="1822"/>
      <c r="F284" s="562"/>
      <c r="G284" s="562"/>
      <c r="H284" s="562"/>
      <c r="I284" s="562"/>
      <c r="J284" s="604">
        <v>16.05</v>
      </c>
      <c r="K284" s="562"/>
      <c r="L284" s="604">
        <v>946.95</v>
      </c>
      <c r="M284" s="603"/>
      <c r="N284" s="602"/>
      <c r="V284" s="674"/>
      <c r="W284" s="675"/>
      <c r="Z284" s="537" t="s">
        <v>475</v>
      </c>
      <c r="AC284" s="675"/>
      <c r="AD284" s="680"/>
      <c r="AE284" s="675"/>
      <c r="AG284" s="675"/>
    </row>
    <row r="285" spans="1:33" s="536" customFormat="1" ht="12" x14ac:dyDescent="0.2">
      <c r="A285" s="605"/>
      <c r="B285" s="552"/>
      <c r="C285" s="1822" t="s">
        <v>314</v>
      </c>
      <c r="D285" s="1822"/>
      <c r="E285" s="1822"/>
      <c r="F285" s="562" t="s">
        <v>315</v>
      </c>
      <c r="G285" s="562" t="s">
        <v>196</v>
      </c>
      <c r="H285" s="562" t="s">
        <v>313</v>
      </c>
      <c r="I285" s="562" t="s">
        <v>3859</v>
      </c>
      <c r="J285" s="604"/>
      <c r="K285" s="562"/>
      <c r="L285" s="604"/>
      <c r="M285" s="603"/>
      <c r="N285" s="602"/>
      <c r="V285" s="674"/>
      <c r="W285" s="675"/>
      <c r="AA285" s="537" t="s">
        <v>314</v>
      </c>
      <c r="AC285" s="675"/>
      <c r="AD285" s="680"/>
      <c r="AE285" s="675"/>
      <c r="AG285" s="675"/>
    </row>
    <row r="286" spans="1:33" s="536" customFormat="1" ht="12" x14ac:dyDescent="0.2">
      <c r="A286" s="605"/>
      <c r="B286" s="552"/>
      <c r="C286" s="1822" t="s">
        <v>348</v>
      </c>
      <c r="D286" s="1822"/>
      <c r="E286" s="1822"/>
      <c r="F286" s="562" t="s">
        <v>315</v>
      </c>
      <c r="G286" s="562" t="s">
        <v>3860</v>
      </c>
      <c r="H286" s="562" t="s">
        <v>313</v>
      </c>
      <c r="I286" s="562" t="s">
        <v>3861</v>
      </c>
      <c r="J286" s="604"/>
      <c r="K286" s="562"/>
      <c r="L286" s="604"/>
      <c r="M286" s="603"/>
      <c r="N286" s="602"/>
      <c r="V286" s="674"/>
      <c r="W286" s="675"/>
      <c r="AA286" s="537" t="s">
        <v>348</v>
      </c>
      <c r="AC286" s="675"/>
      <c r="AD286" s="680"/>
      <c r="AE286" s="675"/>
      <c r="AG286" s="675"/>
    </row>
    <row r="287" spans="1:33" s="536" customFormat="1" ht="12" x14ac:dyDescent="0.2">
      <c r="A287" s="605"/>
      <c r="B287" s="552"/>
      <c r="C287" s="1828" t="s">
        <v>318</v>
      </c>
      <c r="D287" s="1828"/>
      <c r="E287" s="1828"/>
      <c r="F287" s="608"/>
      <c r="G287" s="608"/>
      <c r="H287" s="608"/>
      <c r="I287" s="608"/>
      <c r="J287" s="607">
        <v>364.19</v>
      </c>
      <c r="K287" s="608"/>
      <c r="L287" s="607">
        <v>26622.28</v>
      </c>
      <c r="M287" s="601"/>
      <c r="N287" s="606"/>
      <c r="V287" s="674"/>
      <c r="W287" s="675"/>
      <c r="AB287" s="537" t="s">
        <v>318</v>
      </c>
      <c r="AC287" s="675"/>
      <c r="AD287" s="680"/>
      <c r="AE287" s="675"/>
      <c r="AG287" s="675"/>
    </row>
    <row r="288" spans="1:33" s="536" customFormat="1" ht="12" x14ac:dyDescent="0.2">
      <c r="A288" s="605"/>
      <c r="B288" s="552"/>
      <c r="C288" s="1822" t="s">
        <v>319</v>
      </c>
      <c r="D288" s="1822"/>
      <c r="E288" s="1822"/>
      <c r="F288" s="562"/>
      <c r="G288" s="562"/>
      <c r="H288" s="562"/>
      <c r="I288" s="562"/>
      <c r="J288" s="604"/>
      <c r="K288" s="562"/>
      <c r="L288" s="604">
        <v>10887.71</v>
      </c>
      <c r="M288" s="603"/>
      <c r="N288" s="602"/>
      <c r="V288" s="674"/>
      <c r="W288" s="675"/>
      <c r="AA288" s="537" t="s">
        <v>319</v>
      </c>
      <c r="AC288" s="675"/>
      <c r="AD288" s="680"/>
      <c r="AE288" s="675"/>
      <c r="AG288" s="675"/>
    </row>
    <row r="289" spans="1:33" s="536" customFormat="1" ht="33.75" x14ac:dyDescent="0.2">
      <c r="A289" s="605"/>
      <c r="B289" s="552" t="s">
        <v>884</v>
      </c>
      <c r="C289" s="1822" t="s">
        <v>885</v>
      </c>
      <c r="D289" s="1822"/>
      <c r="E289" s="1822"/>
      <c r="F289" s="562" t="s">
        <v>322</v>
      </c>
      <c r="G289" s="562" t="s">
        <v>886</v>
      </c>
      <c r="H289" s="562"/>
      <c r="I289" s="562" t="s">
        <v>886</v>
      </c>
      <c r="J289" s="604"/>
      <c r="K289" s="562"/>
      <c r="L289" s="604">
        <v>9798.94</v>
      </c>
      <c r="M289" s="603"/>
      <c r="N289" s="602"/>
      <c r="V289" s="674"/>
      <c r="W289" s="675"/>
      <c r="AA289" s="537" t="s">
        <v>885</v>
      </c>
      <c r="AC289" s="675"/>
      <c r="AD289" s="680"/>
      <c r="AE289" s="675"/>
      <c r="AG289" s="675"/>
    </row>
    <row r="290" spans="1:33" s="536" customFormat="1" ht="33.75" x14ac:dyDescent="0.2">
      <c r="A290" s="605"/>
      <c r="B290" s="552" t="s">
        <v>887</v>
      </c>
      <c r="C290" s="1822" t="s">
        <v>888</v>
      </c>
      <c r="D290" s="1822"/>
      <c r="E290" s="1822"/>
      <c r="F290" s="562" t="s">
        <v>322</v>
      </c>
      <c r="G290" s="562" t="s">
        <v>465</v>
      </c>
      <c r="H290" s="562"/>
      <c r="I290" s="562" t="s">
        <v>465</v>
      </c>
      <c r="J290" s="604"/>
      <c r="K290" s="562"/>
      <c r="L290" s="604">
        <v>5008.3500000000004</v>
      </c>
      <c r="M290" s="603"/>
      <c r="N290" s="602"/>
      <c r="V290" s="674"/>
      <c r="W290" s="675"/>
      <c r="AA290" s="537" t="s">
        <v>888</v>
      </c>
      <c r="AC290" s="675"/>
      <c r="AD290" s="680"/>
      <c r="AE290" s="675"/>
      <c r="AG290" s="675"/>
    </row>
    <row r="291" spans="1:33" s="536" customFormat="1" ht="12" x14ac:dyDescent="0.2">
      <c r="A291" s="569"/>
      <c r="B291" s="671"/>
      <c r="C291" s="1823" t="s">
        <v>327</v>
      </c>
      <c r="D291" s="1823"/>
      <c r="E291" s="1823"/>
      <c r="F291" s="573"/>
      <c r="G291" s="573"/>
      <c r="H291" s="573"/>
      <c r="I291" s="573"/>
      <c r="J291" s="572"/>
      <c r="K291" s="573"/>
      <c r="L291" s="572">
        <v>41429.57</v>
      </c>
      <c r="M291" s="601"/>
      <c r="N291" s="570"/>
      <c r="V291" s="674"/>
      <c r="W291" s="675"/>
      <c r="AC291" s="675" t="s">
        <v>327</v>
      </c>
      <c r="AD291" s="680"/>
      <c r="AE291" s="675"/>
      <c r="AG291" s="675"/>
    </row>
    <row r="292" spans="1:33" s="536" customFormat="1" ht="33.75" x14ac:dyDescent="0.2">
      <c r="A292" s="575" t="s">
        <v>767</v>
      </c>
      <c r="B292" s="670" t="s">
        <v>3862</v>
      </c>
      <c r="C292" s="1823" t="s">
        <v>3863</v>
      </c>
      <c r="D292" s="1823"/>
      <c r="E292" s="1823"/>
      <c r="F292" s="573" t="s">
        <v>483</v>
      </c>
      <c r="G292" s="573"/>
      <c r="H292" s="573"/>
      <c r="I292" s="573" t="s">
        <v>3864</v>
      </c>
      <c r="J292" s="572">
        <v>26.24</v>
      </c>
      <c r="K292" s="573" t="s">
        <v>716</v>
      </c>
      <c r="L292" s="572">
        <v>18867.310000000001</v>
      </c>
      <c r="M292" s="571">
        <v>8.32</v>
      </c>
      <c r="N292" s="570">
        <v>156976</v>
      </c>
      <c r="V292" s="674"/>
      <c r="W292" s="675" t="s">
        <v>3863</v>
      </c>
      <c r="AC292" s="675"/>
      <c r="AD292" s="680"/>
      <c r="AE292" s="675"/>
      <c r="AG292" s="675"/>
    </row>
    <row r="293" spans="1:33" s="536" customFormat="1" ht="12" x14ac:dyDescent="0.2">
      <c r="A293" s="569"/>
      <c r="B293" s="671"/>
      <c r="C293" s="665" t="s">
        <v>1658</v>
      </c>
      <c r="D293" s="666"/>
      <c r="E293" s="666"/>
      <c r="F293" s="563"/>
      <c r="G293" s="563"/>
      <c r="H293" s="563"/>
      <c r="I293" s="563"/>
      <c r="J293" s="566"/>
      <c r="K293" s="563"/>
      <c r="L293" s="566"/>
      <c r="M293" s="565"/>
      <c r="N293" s="564"/>
      <c r="V293" s="674"/>
      <c r="W293" s="675"/>
      <c r="AC293" s="675"/>
      <c r="AD293" s="680"/>
      <c r="AE293" s="675"/>
      <c r="AG293" s="675"/>
    </row>
    <row r="294" spans="1:33" s="536" customFormat="1" ht="12" x14ac:dyDescent="0.2">
      <c r="A294" s="676"/>
      <c r="B294" s="664"/>
      <c r="C294" s="1822" t="s">
        <v>3865</v>
      </c>
      <c r="D294" s="1822"/>
      <c r="E294" s="1822"/>
      <c r="F294" s="1822"/>
      <c r="G294" s="1822"/>
      <c r="H294" s="1822"/>
      <c r="I294" s="1822"/>
      <c r="J294" s="1822"/>
      <c r="K294" s="1822"/>
      <c r="L294" s="1822"/>
      <c r="M294" s="1822"/>
      <c r="N294" s="1827"/>
      <c r="V294" s="674"/>
      <c r="W294" s="675"/>
      <c r="X294" s="537" t="s">
        <v>3865</v>
      </c>
      <c r="AC294" s="675"/>
      <c r="AD294" s="680"/>
      <c r="AE294" s="675"/>
      <c r="AG294" s="675"/>
    </row>
    <row r="295" spans="1:33" s="536" customFormat="1" ht="22.5" x14ac:dyDescent="0.2">
      <c r="A295" s="609"/>
      <c r="B295" s="552" t="s">
        <v>718</v>
      </c>
      <c r="C295" s="1822" t="s">
        <v>719</v>
      </c>
      <c r="D295" s="1822"/>
      <c r="E295" s="1822"/>
      <c r="F295" s="1822"/>
      <c r="G295" s="1822"/>
      <c r="H295" s="1822"/>
      <c r="I295" s="1822"/>
      <c r="J295" s="1822"/>
      <c r="K295" s="1822"/>
      <c r="L295" s="1822"/>
      <c r="M295" s="1822"/>
      <c r="N295" s="1827"/>
      <c r="V295" s="674"/>
      <c r="W295" s="675"/>
      <c r="Y295" s="537" t="s">
        <v>719</v>
      </c>
      <c r="AC295" s="675"/>
      <c r="AD295" s="680"/>
      <c r="AE295" s="675"/>
      <c r="AG295" s="675"/>
    </row>
    <row r="296" spans="1:33" s="536" customFormat="1" ht="33.75" x14ac:dyDescent="0.2">
      <c r="A296" s="575" t="s">
        <v>768</v>
      </c>
      <c r="B296" s="670" t="s">
        <v>3866</v>
      </c>
      <c r="C296" s="1823" t="s">
        <v>3867</v>
      </c>
      <c r="D296" s="1823"/>
      <c r="E296" s="1823"/>
      <c r="F296" s="573" t="s">
        <v>483</v>
      </c>
      <c r="G296" s="573"/>
      <c r="H296" s="573"/>
      <c r="I296" s="573" t="s">
        <v>3868</v>
      </c>
      <c r="J296" s="572">
        <v>37.83</v>
      </c>
      <c r="K296" s="573" t="s">
        <v>716</v>
      </c>
      <c r="L296" s="572">
        <v>709.62</v>
      </c>
      <c r="M296" s="571">
        <v>8.32</v>
      </c>
      <c r="N296" s="570">
        <v>5904</v>
      </c>
      <c r="V296" s="674"/>
      <c r="W296" s="675" t="s">
        <v>3867</v>
      </c>
      <c r="AC296" s="675"/>
      <c r="AD296" s="680"/>
      <c r="AE296" s="675"/>
      <c r="AG296" s="675"/>
    </row>
    <row r="297" spans="1:33" s="536" customFormat="1" ht="12" x14ac:dyDescent="0.2">
      <c r="A297" s="569"/>
      <c r="B297" s="671"/>
      <c r="C297" s="665" t="s">
        <v>1658</v>
      </c>
      <c r="D297" s="666"/>
      <c r="E297" s="666"/>
      <c r="F297" s="563"/>
      <c r="G297" s="563"/>
      <c r="H297" s="563"/>
      <c r="I297" s="563"/>
      <c r="J297" s="566"/>
      <c r="K297" s="563"/>
      <c r="L297" s="566"/>
      <c r="M297" s="565"/>
      <c r="N297" s="564"/>
      <c r="V297" s="674"/>
      <c r="W297" s="675"/>
      <c r="AC297" s="675"/>
      <c r="AD297" s="680"/>
      <c r="AE297" s="675"/>
      <c r="AG297" s="675"/>
    </row>
    <row r="298" spans="1:33" s="536" customFormat="1" ht="12" x14ac:dyDescent="0.2">
      <c r="A298" s="676"/>
      <c r="B298" s="664"/>
      <c r="C298" s="1822" t="s">
        <v>3869</v>
      </c>
      <c r="D298" s="1822"/>
      <c r="E298" s="1822"/>
      <c r="F298" s="1822"/>
      <c r="G298" s="1822"/>
      <c r="H298" s="1822"/>
      <c r="I298" s="1822"/>
      <c r="J298" s="1822"/>
      <c r="K298" s="1822"/>
      <c r="L298" s="1822"/>
      <c r="M298" s="1822"/>
      <c r="N298" s="1827"/>
      <c r="V298" s="674"/>
      <c r="W298" s="675"/>
      <c r="X298" s="537" t="s">
        <v>3869</v>
      </c>
      <c r="AC298" s="675"/>
      <c r="AD298" s="680"/>
      <c r="AE298" s="675"/>
      <c r="AG298" s="675"/>
    </row>
    <row r="299" spans="1:33" s="536" customFormat="1" ht="22.5" x14ac:dyDescent="0.2">
      <c r="A299" s="609"/>
      <c r="B299" s="552" t="s">
        <v>718</v>
      </c>
      <c r="C299" s="1822" t="s">
        <v>719</v>
      </c>
      <c r="D299" s="1822"/>
      <c r="E299" s="1822"/>
      <c r="F299" s="1822"/>
      <c r="G299" s="1822"/>
      <c r="H299" s="1822"/>
      <c r="I299" s="1822"/>
      <c r="J299" s="1822"/>
      <c r="K299" s="1822"/>
      <c r="L299" s="1822"/>
      <c r="M299" s="1822"/>
      <c r="N299" s="1827"/>
      <c r="V299" s="674"/>
      <c r="W299" s="675"/>
      <c r="Y299" s="537" t="s">
        <v>719</v>
      </c>
      <c r="AC299" s="675"/>
      <c r="AD299" s="680"/>
      <c r="AE299" s="675"/>
      <c r="AG299" s="675"/>
    </row>
    <row r="300" spans="1:33" s="536" customFormat="1" ht="33.75" x14ac:dyDescent="0.2">
      <c r="A300" s="575" t="s">
        <v>769</v>
      </c>
      <c r="B300" s="670" t="s">
        <v>3099</v>
      </c>
      <c r="C300" s="1823" t="s">
        <v>5502</v>
      </c>
      <c r="D300" s="1823"/>
      <c r="E300" s="1823"/>
      <c r="F300" s="573" t="s">
        <v>1110</v>
      </c>
      <c r="G300" s="573"/>
      <c r="H300" s="573"/>
      <c r="I300" s="573" t="s">
        <v>8795</v>
      </c>
      <c r="J300" s="572"/>
      <c r="K300" s="573"/>
      <c r="L300" s="572"/>
      <c r="M300" s="571"/>
      <c r="N300" s="570"/>
      <c r="V300" s="674"/>
      <c r="W300" s="675" t="s">
        <v>5502</v>
      </c>
      <c r="AC300" s="675"/>
      <c r="AD300" s="680"/>
      <c r="AE300" s="675"/>
      <c r="AG300" s="675"/>
    </row>
    <row r="301" spans="1:33" s="536" customFormat="1" ht="12" x14ac:dyDescent="0.2">
      <c r="A301" s="676"/>
      <c r="B301" s="664"/>
      <c r="C301" s="1822" t="s">
        <v>8796</v>
      </c>
      <c r="D301" s="1822"/>
      <c r="E301" s="1822"/>
      <c r="F301" s="1822"/>
      <c r="G301" s="1822"/>
      <c r="H301" s="1822"/>
      <c r="I301" s="1822"/>
      <c r="J301" s="1822"/>
      <c r="K301" s="1822"/>
      <c r="L301" s="1822"/>
      <c r="M301" s="1822"/>
      <c r="N301" s="1827"/>
      <c r="V301" s="674"/>
      <c r="W301" s="675"/>
      <c r="X301" s="537" t="s">
        <v>8796</v>
      </c>
      <c r="AC301" s="675"/>
      <c r="AD301" s="680"/>
      <c r="AE301" s="675"/>
      <c r="AG301" s="675"/>
    </row>
    <row r="302" spans="1:33" s="536" customFormat="1" ht="33.75" x14ac:dyDescent="0.2">
      <c r="A302" s="609"/>
      <c r="B302" s="552" t="s">
        <v>310</v>
      </c>
      <c r="C302" s="1822" t="s">
        <v>311</v>
      </c>
      <c r="D302" s="1822"/>
      <c r="E302" s="1822"/>
      <c r="F302" s="1822"/>
      <c r="G302" s="1822"/>
      <c r="H302" s="1822"/>
      <c r="I302" s="1822"/>
      <c r="J302" s="1822"/>
      <c r="K302" s="1822"/>
      <c r="L302" s="1822"/>
      <c r="M302" s="1822"/>
      <c r="N302" s="1827"/>
      <c r="V302" s="674"/>
      <c r="W302" s="675"/>
      <c r="Y302" s="537" t="s">
        <v>311</v>
      </c>
      <c r="AC302" s="675"/>
      <c r="AD302" s="680"/>
      <c r="AE302" s="675"/>
      <c r="AG302" s="675"/>
    </row>
    <row r="303" spans="1:33" s="536" customFormat="1" ht="12" x14ac:dyDescent="0.2">
      <c r="A303" s="605"/>
      <c r="B303" s="552" t="s">
        <v>185</v>
      </c>
      <c r="C303" s="1822" t="s">
        <v>312</v>
      </c>
      <c r="D303" s="1822"/>
      <c r="E303" s="1822"/>
      <c r="F303" s="562"/>
      <c r="G303" s="562"/>
      <c r="H303" s="562"/>
      <c r="I303" s="562"/>
      <c r="J303" s="604">
        <v>93.25</v>
      </c>
      <c r="K303" s="562" t="s">
        <v>313</v>
      </c>
      <c r="L303" s="604">
        <v>2704.25</v>
      </c>
      <c r="M303" s="603"/>
      <c r="N303" s="602"/>
      <c r="V303" s="674"/>
      <c r="W303" s="675"/>
      <c r="Z303" s="537" t="s">
        <v>312</v>
      </c>
      <c r="AC303" s="675"/>
      <c r="AD303" s="680"/>
      <c r="AE303" s="675"/>
      <c r="AG303" s="675"/>
    </row>
    <row r="304" spans="1:33" s="536" customFormat="1" ht="12" x14ac:dyDescent="0.2">
      <c r="A304" s="605"/>
      <c r="B304" s="552" t="s">
        <v>186</v>
      </c>
      <c r="C304" s="1822" t="s">
        <v>344</v>
      </c>
      <c r="D304" s="1822"/>
      <c r="E304" s="1822"/>
      <c r="F304" s="562"/>
      <c r="G304" s="562"/>
      <c r="H304" s="562"/>
      <c r="I304" s="562"/>
      <c r="J304" s="604">
        <v>46.25</v>
      </c>
      <c r="K304" s="562" t="s">
        <v>313</v>
      </c>
      <c r="L304" s="604">
        <v>1341.25</v>
      </c>
      <c r="M304" s="603"/>
      <c r="N304" s="602"/>
      <c r="V304" s="674"/>
      <c r="W304" s="675"/>
      <c r="Z304" s="537" t="s">
        <v>344</v>
      </c>
      <c r="AC304" s="675"/>
      <c r="AD304" s="680"/>
      <c r="AE304" s="675"/>
      <c r="AG304" s="675"/>
    </row>
    <row r="305" spans="1:33" s="536" customFormat="1" ht="12" x14ac:dyDescent="0.2">
      <c r="A305" s="605"/>
      <c r="B305" s="552" t="s">
        <v>187</v>
      </c>
      <c r="C305" s="1822" t="s">
        <v>345</v>
      </c>
      <c r="D305" s="1822"/>
      <c r="E305" s="1822"/>
      <c r="F305" s="562"/>
      <c r="G305" s="562"/>
      <c r="H305" s="562"/>
      <c r="I305" s="562"/>
      <c r="J305" s="604">
        <v>5.0199999999999996</v>
      </c>
      <c r="K305" s="562" t="s">
        <v>313</v>
      </c>
      <c r="L305" s="604">
        <v>145.58000000000001</v>
      </c>
      <c r="M305" s="603"/>
      <c r="N305" s="602"/>
      <c r="V305" s="674"/>
      <c r="W305" s="675"/>
      <c r="Z305" s="537" t="s">
        <v>345</v>
      </c>
      <c r="AC305" s="675"/>
      <c r="AD305" s="680"/>
      <c r="AE305" s="675"/>
      <c r="AG305" s="675"/>
    </row>
    <row r="306" spans="1:33" s="536" customFormat="1" ht="12" x14ac:dyDescent="0.2">
      <c r="A306" s="605"/>
      <c r="B306" s="552" t="s">
        <v>188</v>
      </c>
      <c r="C306" s="1822" t="s">
        <v>475</v>
      </c>
      <c r="D306" s="1822"/>
      <c r="E306" s="1822"/>
      <c r="F306" s="562"/>
      <c r="G306" s="562"/>
      <c r="H306" s="562"/>
      <c r="I306" s="562"/>
      <c r="J306" s="604">
        <v>37.03</v>
      </c>
      <c r="K306" s="562"/>
      <c r="L306" s="604">
        <v>859.1</v>
      </c>
      <c r="M306" s="603"/>
      <c r="N306" s="602"/>
      <c r="V306" s="674"/>
      <c r="W306" s="675"/>
      <c r="Z306" s="537" t="s">
        <v>475</v>
      </c>
      <c r="AC306" s="675"/>
      <c r="AD306" s="680"/>
      <c r="AE306" s="675"/>
      <c r="AG306" s="675"/>
    </row>
    <row r="307" spans="1:33" s="536" customFormat="1" ht="12" x14ac:dyDescent="0.2">
      <c r="A307" s="605"/>
      <c r="B307" s="552"/>
      <c r="C307" s="1822" t="s">
        <v>314</v>
      </c>
      <c r="D307" s="1822"/>
      <c r="E307" s="1822"/>
      <c r="F307" s="562" t="s">
        <v>315</v>
      </c>
      <c r="G307" s="562" t="s">
        <v>3101</v>
      </c>
      <c r="H307" s="562" t="s">
        <v>313</v>
      </c>
      <c r="I307" s="562" t="s">
        <v>8797</v>
      </c>
      <c r="J307" s="604"/>
      <c r="K307" s="562"/>
      <c r="L307" s="604"/>
      <c r="M307" s="603"/>
      <c r="N307" s="602"/>
      <c r="V307" s="674"/>
      <c r="W307" s="675"/>
      <c r="AA307" s="537" t="s">
        <v>314</v>
      </c>
      <c r="AC307" s="675"/>
      <c r="AD307" s="680"/>
      <c r="AE307" s="675"/>
      <c r="AG307" s="675"/>
    </row>
    <row r="308" spans="1:33" s="536" customFormat="1" ht="12" x14ac:dyDescent="0.2">
      <c r="A308" s="605"/>
      <c r="B308" s="552"/>
      <c r="C308" s="1822" t="s">
        <v>348</v>
      </c>
      <c r="D308" s="1822"/>
      <c r="E308" s="1822"/>
      <c r="F308" s="562" t="s">
        <v>315</v>
      </c>
      <c r="G308" s="562" t="s">
        <v>947</v>
      </c>
      <c r="H308" s="562" t="s">
        <v>313</v>
      </c>
      <c r="I308" s="562" t="s">
        <v>1274</v>
      </c>
      <c r="J308" s="604"/>
      <c r="K308" s="562"/>
      <c r="L308" s="604"/>
      <c r="M308" s="603"/>
      <c r="N308" s="602"/>
      <c r="V308" s="674"/>
      <c r="W308" s="675"/>
      <c r="AA308" s="537" t="s">
        <v>348</v>
      </c>
      <c r="AC308" s="675"/>
      <c r="AD308" s="680"/>
      <c r="AE308" s="675"/>
      <c r="AG308" s="675"/>
    </row>
    <row r="309" spans="1:33" s="536" customFormat="1" ht="12" x14ac:dyDescent="0.2">
      <c r="A309" s="605"/>
      <c r="B309" s="552"/>
      <c r="C309" s="1828" t="s">
        <v>318</v>
      </c>
      <c r="D309" s="1828"/>
      <c r="E309" s="1828"/>
      <c r="F309" s="608"/>
      <c r="G309" s="608"/>
      <c r="H309" s="608"/>
      <c r="I309" s="608"/>
      <c r="J309" s="607">
        <v>176.53</v>
      </c>
      <c r="K309" s="608"/>
      <c r="L309" s="607">
        <v>4904.6000000000004</v>
      </c>
      <c r="M309" s="601"/>
      <c r="N309" s="606"/>
      <c r="V309" s="674"/>
      <c r="W309" s="675"/>
      <c r="AB309" s="537" t="s">
        <v>318</v>
      </c>
      <c r="AC309" s="675"/>
      <c r="AD309" s="680"/>
      <c r="AE309" s="675"/>
      <c r="AG309" s="675"/>
    </row>
    <row r="310" spans="1:33" s="536" customFormat="1" ht="12" x14ac:dyDescent="0.2">
      <c r="A310" s="605"/>
      <c r="B310" s="552"/>
      <c r="C310" s="1822" t="s">
        <v>319</v>
      </c>
      <c r="D310" s="1822"/>
      <c r="E310" s="1822"/>
      <c r="F310" s="562"/>
      <c r="G310" s="562"/>
      <c r="H310" s="562"/>
      <c r="I310" s="562"/>
      <c r="J310" s="604"/>
      <c r="K310" s="562"/>
      <c r="L310" s="604">
        <v>2849.83</v>
      </c>
      <c r="M310" s="603"/>
      <c r="N310" s="602"/>
      <c r="V310" s="674"/>
      <c r="W310" s="675"/>
      <c r="AA310" s="537" t="s">
        <v>319</v>
      </c>
      <c r="AC310" s="675"/>
      <c r="AD310" s="680"/>
      <c r="AE310" s="675"/>
      <c r="AG310" s="675"/>
    </row>
    <row r="311" spans="1:33" s="536" customFormat="1" ht="33.75" x14ac:dyDescent="0.2">
      <c r="A311" s="605"/>
      <c r="B311" s="552" t="s">
        <v>1631</v>
      </c>
      <c r="C311" s="1822" t="s">
        <v>1632</v>
      </c>
      <c r="D311" s="1822"/>
      <c r="E311" s="1822"/>
      <c r="F311" s="562" t="s">
        <v>322</v>
      </c>
      <c r="G311" s="562" t="s">
        <v>1633</v>
      </c>
      <c r="H311" s="562"/>
      <c r="I311" s="562" t="s">
        <v>1633</v>
      </c>
      <c r="J311" s="604"/>
      <c r="K311" s="562"/>
      <c r="L311" s="604">
        <v>2764.34</v>
      </c>
      <c r="M311" s="603"/>
      <c r="N311" s="602"/>
      <c r="V311" s="674"/>
      <c r="W311" s="675"/>
      <c r="AA311" s="537" t="s">
        <v>1632</v>
      </c>
      <c r="AC311" s="675"/>
      <c r="AD311" s="680"/>
      <c r="AE311" s="675"/>
      <c r="AG311" s="675"/>
    </row>
    <row r="312" spans="1:33" s="536" customFormat="1" ht="33.75" x14ac:dyDescent="0.2">
      <c r="A312" s="605"/>
      <c r="B312" s="552" t="s">
        <v>1634</v>
      </c>
      <c r="C312" s="1822" t="s">
        <v>1635</v>
      </c>
      <c r="D312" s="1822"/>
      <c r="E312" s="1822"/>
      <c r="F312" s="562" t="s">
        <v>322</v>
      </c>
      <c r="G312" s="562" t="s">
        <v>786</v>
      </c>
      <c r="H312" s="562"/>
      <c r="I312" s="562" t="s">
        <v>786</v>
      </c>
      <c r="J312" s="604"/>
      <c r="K312" s="562"/>
      <c r="L312" s="604">
        <v>1453.41</v>
      </c>
      <c r="M312" s="603"/>
      <c r="N312" s="602"/>
      <c r="V312" s="674"/>
      <c r="W312" s="675"/>
      <c r="AA312" s="537" t="s">
        <v>1635</v>
      </c>
      <c r="AC312" s="675"/>
      <c r="AD312" s="680"/>
      <c r="AE312" s="675"/>
      <c r="AG312" s="675"/>
    </row>
    <row r="313" spans="1:33" s="536" customFormat="1" ht="12" x14ac:dyDescent="0.2">
      <c r="A313" s="569"/>
      <c r="B313" s="671"/>
      <c r="C313" s="1823" t="s">
        <v>327</v>
      </c>
      <c r="D313" s="1823"/>
      <c r="E313" s="1823"/>
      <c r="F313" s="573"/>
      <c r="G313" s="573"/>
      <c r="H313" s="573"/>
      <c r="I313" s="573"/>
      <c r="J313" s="572"/>
      <c r="K313" s="573"/>
      <c r="L313" s="572">
        <v>9122.35</v>
      </c>
      <c r="M313" s="601"/>
      <c r="N313" s="570"/>
      <c r="V313" s="674"/>
      <c r="W313" s="675"/>
      <c r="AC313" s="675" t="s">
        <v>327</v>
      </c>
      <c r="AD313" s="680"/>
      <c r="AE313" s="675"/>
      <c r="AG313" s="675"/>
    </row>
    <row r="314" spans="1:33" s="536" customFormat="1" ht="33.75" x14ac:dyDescent="0.2">
      <c r="A314" s="575" t="s">
        <v>770</v>
      </c>
      <c r="B314" s="670" t="s">
        <v>8240</v>
      </c>
      <c r="C314" s="1823" t="s">
        <v>8798</v>
      </c>
      <c r="D314" s="1823"/>
      <c r="E314" s="1823"/>
      <c r="F314" s="573" t="s">
        <v>483</v>
      </c>
      <c r="G314" s="573"/>
      <c r="H314" s="573"/>
      <c r="I314" s="573" t="s">
        <v>8799</v>
      </c>
      <c r="J314" s="572">
        <v>23.14</v>
      </c>
      <c r="K314" s="573" t="s">
        <v>716</v>
      </c>
      <c r="L314" s="572">
        <v>2025.48</v>
      </c>
      <c r="M314" s="571">
        <v>8.32</v>
      </c>
      <c r="N314" s="570">
        <v>16852</v>
      </c>
      <c r="V314" s="674"/>
      <c r="W314" s="675" t="s">
        <v>8798</v>
      </c>
      <c r="AC314" s="675"/>
      <c r="AD314" s="680"/>
      <c r="AE314" s="675"/>
      <c r="AG314" s="675"/>
    </row>
    <row r="315" spans="1:33" s="536" customFormat="1" ht="12" x14ac:dyDescent="0.2">
      <c r="A315" s="569"/>
      <c r="B315" s="671"/>
      <c r="C315" s="665" t="s">
        <v>1658</v>
      </c>
      <c r="D315" s="666"/>
      <c r="E315" s="666"/>
      <c r="F315" s="563"/>
      <c r="G315" s="563"/>
      <c r="H315" s="563"/>
      <c r="I315" s="563"/>
      <c r="J315" s="566"/>
      <c r="K315" s="563"/>
      <c r="L315" s="566"/>
      <c r="M315" s="565"/>
      <c r="N315" s="564"/>
      <c r="V315" s="674"/>
      <c r="W315" s="675"/>
      <c r="AC315" s="675"/>
      <c r="AD315" s="680"/>
      <c r="AE315" s="675"/>
      <c r="AG315" s="675"/>
    </row>
    <row r="316" spans="1:33" s="536" customFormat="1" ht="12" x14ac:dyDescent="0.2">
      <c r="A316" s="676"/>
      <c r="B316" s="664"/>
      <c r="C316" s="1822" t="s">
        <v>8800</v>
      </c>
      <c r="D316" s="1822"/>
      <c r="E316" s="1822"/>
      <c r="F316" s="1822"/>
      <c r="G316" s="1822"/>
      <c r="H316" s="1822"/>
      <c r="I316" s="1822"/>
      <c r="J316" s="1822"/>
      <c r="K316" s="1822"/>
      <c r="L316" s="1822"/>
      <c r="M316" s="1822"/>
      <c r="N316" s="1827"/>
      <c r="V316" s="674"/>
      <c r="W316" s="675"/>
      <c r="X316" s="537" t="s">
        <v>8800</v>
      </c>
      <c r="AC316" s="675"/>
      <c r="AD316" s="680"/>
      <c r="AE316" s="675"/>
      <c r="AG316" s="675"/>
    </row>
    <row r="317" spans="1:33" s="536" customFormat="1" ht="22.5" x14ac:dyDescent="0.2">
      <c r="A317" s="609"/>
      <c r="B317" s="552" t="s">
        <v>718</v>
      </c>
      <c r="C317" s="1822" t="s">
        <v>719</v>
      </c>
      <c r="D317" s="1822"/>
      <c r="E317" s="1822"/>
      <c r="F317" s="1822"/>
      <c r="G317" s="1822"/>
      <c r="H317" s="1822"/>
      <c r="I317" s="1822"/>
      <c r="J317" s="1822"/>
      <c r="K317" s="1822"/>
      <c r="L317" s="1822"/>
      <c r="M317" s="1822"/>
      <c r="N317" s="1827"/>
      <c r="V317" s="674"/>
      <c r="W317" s="675"/>
      <c r="Y317" s="537" t="s">
        <v>719</v>
      </c>
      <c r="AC317" s="675"/>
      <c r="AD317" s="680"/>
      <c r="AE317" s="675"/>
      <c r="AG317" s="675"/>
    </row>
    <row r="318" spans="1:33" s="536" customFormat="1" ht="33.75" x14ac:dyDescent="0.2">
      <c r="A318" s="575" t="s">
        <v>771</v>
      </c>
      <c r="B318" s="670" t="s">
        <v>8801</v>
      </c>
      <c r="C318" s="1823" t="s">
        <v>8802</v>
      </c>
      <c r="D318" s="1823"/>
      <c r="E318" s="1823"/>
      <c r="F318" s="573" t="s">
        <v>483</v>
      </c>
      <c r="G318" s="573"/>
      <c r="H318" s="573"/>
      <c r="I318" s="573" t="s">
        <v>8803</v>
      </c>
      <c r="J318" s="572">
        <v>91.14</v>
      </c>
      <c r="K318" s="573" t="s">
        <v>716</v>
      </c>
      <c r="L318" s="572">
        <v>8205.77</v>
      </c>
      <c r="M318" s="571">
        <v>8.32</v>
      </c>
      <c r="N318" s="570">
        <v>68272</v>
      </c>
      <c r="V318" s="674"/>
      <c r="W318" s="675" t="s">
        <v>8802</v>
      </c>
      <c r="AC318" s="675"/>
      <c r="AD318" s="680"/>
      <c r="AE318" s="675"/>
      <c r="AG318" s="675"/>
    </row>
    <row r="319" spans="1:33" s="536" customFormat="1" ht="12" x14ac:dyDescent="0.2">
      <c r="A319" s="569"/>
      <c r="B319" s="671"/>
      <c r="C319" s="665" t="s">
        <v>1658</v>
      </c>
      <c r="D319" s="666"/>
      <c r="E319" s="666"/>
      <c r="F319" s="563"/>
      <c r="G319" s="563"/>
      <c r="H319" s="563"/>
      <c r="I319" s="563"/>
      <c r="J319" s="566"/>
      <c r="K319" s="563"/>
      <c r="L319" s="566"/>
      <c r="M319" s="565"/>
      <c r="N319" s="564"/>
      <c r="V319" s="674"/>
      <c r="W319" s="675"/>
      <c r="AC319" s="675"/>
      <c r="AD319" s="680"/>
      <c r="AE319" s="675"/>
      <c r="AG319" s="675"/>
    </row>
    <row r="320" spans="1:33" s="536" customFormat="1" ht="12" x14ac:dyDescent="0.2">
      <c r="A320" s="676"/>
      <c r="B320" s="664"/>
      <c r="C320" s="1822" t="s">
        <v>8804</v>
      </c>
      <c r="D320" s="1822"/>
      <c r="E320" s="1822"/>
      <c r="F320" s="1822"/>
      <c r="G320" s="1822"/>
      <c r="H320" s="1822"/>
      <c r="I320" s="1822"/>
      <c r="J320" s="1822"/>
      <c r="K320" s="1822"/>
      <c r="L320" s="1822"/>
      <c r="M320" s="1822"/>
      <c r="N320" s="1827"/>
      <c r="V320" s="674"/>
      <c r="W320" s="675"/>
      <c r="X320" s="537" t="s">
        <v>8804</v>
      </c>
      <c r="AC320" s="675"/>
      <c r="AD320" s="680"/>
      <c r="AE320" s="675"/>
      <c r="AG320" s="675"/>
    </row>
    <row r="321" spans="1:33" s="536" customFormat="1" ht="22.5" x14ac:dyDescent="0.2">
      <c r="A321" s="609"/>
      <c r="B321" s="552" t="s">
        <v>718</v>
      </c>
      <c r="C321" s="1822" t="s">
        <v>719</v>
      </c>
      <c r="D321" s="1822"/>
      <c r="E321" s="1822"/>
      <c r="F321" s="1822"/>
      <c r="G321" s="1822"/>
      <c r="H321" s="1822"/>
      <c r="I321" s="1822"/>
      <c r="J321" s="1822"/>
      <c r="K321" s="1822"/>
      <c r="L321" s="1822"/>
      <c r="M321" s="1822"/>
      <c r="N321" s="1827"/>
      <c r="V321" s="674"/>
      <c r="W321" s="675"/>
      <c r="Y321" s="537" t="s">
        <v>719</v>
      </c>
      <c r="AC321" s="675"/>
      <c r="AD321" s="680"/>
      <c r="AE321" s="675"/>
      <c r="AG321" s="675"/>
    </row>
    <row r="322" spans="1:33" s="536" customFormat="1" ht="33.75" x14ac:dyDescent="0.2">
      <c r="A322" s="575" t="s">
        <v>772</v>
      </c>
      <c r="B322" s="670" t="s">
        <v>8535</v>
      </c>
      <c r="C322" s="1823" t="s">
        <v>8805</v>
      </c>
      <c r="D322" s="1823"/>
      <c r="E322" s="1823"/>
      <c r="F322" s="573" t="s">
        <v>483</v>
      </c>
      <c r="G322" s="573"/>
      <c r="H322" s="573"/>
      <c r="I322" s="573" t="s">
        <v>8806</v>
      </c>
      <c r="J322" s="572">
        <v>23.03</v>
      </c>
      <c r="K322" s="573" t="s">
        <v>716</v>
      </c>
      <c r="L322" s="572">
        <v>1151.92</v>
      </c>
      <c r="M322" s="571">
        <v>8.32</v>
      </c>
      <c r="N322" s="570">
        <v>9584</v>
      </c>
      <c r="V322" s="674"/>
      <c r="W322" s="675" t="s">
        <v>8805</v>
      </c>
      <c r="AC322" s="675"/>
      <c r="AD322" s="680"/>
      <c r="AE322" s="675"/>
      <c r="AG322" s="675"/>
    </row>
    <row r="323" spans="1:33" s="536" customFormat="1" ht="12" x14ac:dyDescent="0.2">
      <c r="A323" s="569"/>
      <c r="B323" s="671"/>
      <c r="C323" s="665" t="s">
        <v>1658</v>
      </c>
      <c r="D323" s="666"/>
      <c r="E323" s="666"/>
      <c r="F323" s="563"/>
      <c r="G323" s="563"/>
      <c r="H323" s="563"/>
      <c r="I323" s="563"/>
      <c r="J323" s="566"/>
      <c r="K323" s="563"/>
      <c r="L323" s="566"/>
      <c r="M323" s="565"/>
      <c r="N323" s="564"/>
      <c r="V323" s="674"/>
      <c r="W323" s="675"/>
      <c r="AC323" s="675"/>
      <c r="AD323" s="680"/>
      <c r="AE323" s="675"/>
      <c r="AG323" s="675"/>
    </row>
    <row r="324" spans="1:33" s="536" customFormat="1" ht="12" x14ac:dyDescent="0.2">
      <c r="A324" s="676"/>
      <c r="B324" s="664"/>
      <c r="C324" s="1822" t="s">
        <v>8807</v>
      </c>
      <c r="D324" s="1822"/>
      <c r="E324" s="1822"/>
      <c r="F324" s="1822"/>
      <c r="G324" s="1822"/>
      <c r="H324" s="1822"/>
      <c r="I324" s="1822"/>
      <c r="J324" s="1822"/>
      <c r="K324" s="1822"/>
      <c r="L324" s="1822"/>
      <c r="M324" s="1822"/>
      <c r="N324" s="1827"/>
      <c r="V324" s="674"/>
      <c r="W324" s="675"/>
      <c r="X324" s="537" t="s">
        <v>8807</v>
      </c>
      <c r="AC324" s="675"/>
      <c r="AD324" s="680"/>
      <c r="AE324" s="675"/>
      <c r="AG324" s="675"/>
    </row>
    <row r="325" spans="1:33" s="536" customFormat="1" ht="22.5" x14ac:dyDescent="0.2">
      <c r="A325" s="609"/>
      <c r="B325" s="552" t="s">
        <v>718</v>
      </c>
      <c r="C325" s="1822" t="s">
        <v>719</v>
      </c>
      <c r="D325" s="1822"/>
      <c r="E325" s="1822"/>
      <c r="F325" s="1822"/>
      <c r="G325" s="1822"/>
      <c r="H325" s="1822"/>
      <c r="I325" s="1822"/>
      <c r="J325" s="1822"/>
      <c r="K325" s="1822"/>
      <c r="L325" s="1822"/>
      <c r="M325" s="1822"/>
      <c r="N325" s="1827"/>
      <c r="V325" s="674"/>
      <c r="W325" s="675"/>
      <c r="Y325" s="537" t="s">
        <v>719</v>
      </c>
      <c r="AC325" s="675"/>
      <c r="AD325" s="680"/>
      <c r="AE325" s="675"/>
      <c r="AG325" s="675"/>
    </row>
    <row r="326" spans="1:33" s="536" customFormat="1" ht="22.5" x14ac:dyDescent="0.2">
      <c r="A326" s="575" t="s">
        <v>677</v>
      </c>
      <c r="B326" s="670" t="s">
        <v>8537</v>
      </c>
      <c r="C326" s="1823" t="s">
        <v>8538</v>
      </c>
      <c r="D326" s="1823"/>
      <c r="E326" s="1823"/>
      <c r="F326" s="573" t="s">
        <v>1687</v>
      </c>
      <c r="G326" s="573"/>
      <c r="H326" s="573"/>
      <c r="I326" s="573" t="s">
        <v>439</v>
      </c>
      <c r="J326" s="572">
        <v>3647.76</v>
      </c>
      <c r="K326" s="573"/>
      <c r="L326" s="572">
        <v>1860.36</v>
      </c>
      <c r="M326" s="571"/>
      <c r="N326" s="570"/>
      <c r="V326" s="674"/>
      <c r="W326" s="675" t="s">
        <v>8538</v>
      </c>
      <c r="AC326" s="675"/>
      <c r="AD326" s="680"/>
      <c r="AE326" s="675"/>
      <c r="AG326" s="675"/>
    </row>
    <row r="327" spans="1:33" s="536" customFormat="1" ht="12" x14ac:dyDescent="0.2">
      <c r="A327" s="569"/>
      <c r="B327" s="671"/>
      <c r="C327" s="665" t="s">
        <v>1658</v>
      </c>
      <c r="D327" s="666"/>
      <c r="E327" s="666"/>
      <c r="F327" s="563"/>
      <c r="G327" s="563"/>
      <c r="H327" s="563"/>
      <c r="I327" s="563"/>
      <c r="J327" s="566"/>
      <c r="K327" s="563"/>
      <c r="L327" s="566"/>
      <c r="M327" s="565"/>
      <c r="N327" s="564"/>
      <c r="V327" s="674"/>
      <c r="W327" s="675"/>
      <c r="AC327" s="675"/>
      <c r="AD327" s="680"/>
      <c r="AE327" s="675"/>
      <c r="AG327" s="675"/>
    </row>
    <row r="328" spans="1:33" s="536" customFormat="1" ht="12" x14ac:dyDescent="0.2">
      <c r="A328" s="676"/>
      <c r="B328" s="664"/>
      <c r="C328" s="1822" t="s">
        <v>8808</v>
      </c>
      <c r="D328" s="1822"/>
      <c r="E328" s="1822"/>
      <c r="F328" s="1822"/>
      <c r="G328" s="1822"/>
      <c r="H328" s="1822"/>
      <c r="I328" s="1822"/>
      <c r="J328" s="1822"/>
      <c r="K328" s="1822"/>
      <c r="L328" s="1822"/>
      <c r="M328" s="1822"/>
      <c r="N328" s="1827"/>
      <c r="V328" s="674"/>
      <c r="W328" s="675"/>
      <c r="X328" s="537" t="s">
        <v>8808</v>
      </c>
      <c r="AC328" s="675"/>
      <c r="AD328" s="680"/>
      <c r="AE328" s="675"/>
      <c r="AG328" s="675"/>
    </row>
    <row r="329" spans="1:33" s="536" customFormat="1" ht="45" x14ac:dyDescent="0.2">
      <c r="A329" s="575" t="s">
        <v>326</v>
      </c>
      <c r="B329" s="670" t="s">
        <v>3870</v>
      </c>
      <c r="C329" s="1823" t="s">
        <v>3871</v>
      </c>
      <c r="D329" s="1823"/>
      <c r="E329" s="1823"/>
      <c r="F329" s="573" t="s">
        <v>3872</v>
      </c>
      <c r="G329" s="573"/>
      <c r="H329" s="573"/>
      <c r="I329" s="573" t="s">
        <v>185</v>
      </c>
      <c r="J329" s="572"/>
      <c r="K329" s="573"/>
      <c r="L329" s="572"/>
      <c r="M329" s="571"/>
      <c r="N329" s="570"/>
      <c r="V329" s="674"/>
      <c r="W329" s="675" t="s">
        <v>3871</v>
      </c>
      <c r="AC329" s="675"/>
      <c r="AD329" s="680"/>
      <c r="AE329" s="675"/>
      <c r="AG329" s="675"/>
    </row>
    <row r="330" spans="1:33" s="536" customFormat="1" ht="33.75" x14ac:dyDescent="0.2">
      <c r="A330" s="609"/>
      <c r="B330" s="552" t="s">
        <v>310</v>
      </c>
      <c r="C330" s="1822" t="s">
        <v>311</v>
      </c>
      <c r="D330" s="1822"/>
      <c r="E330" s="1822"/>
      <c r="F330" s="1822"/>
      <c r="G330" s="1822"/>
      <c r="H330" s="1822"/>
      <c r="I330" s="1822"/>
      <c r="J330" s="1822"/>
      <c r="K330" s="1822"/>
      <c r="L330" s="1822"/>
      <c r="M330" s="1822"/>
      <c r="N330" s="1827"/>
      <c r="V330" s="674"/>
      <c r="W330" s="675"/>
      <c r="Y330" s="537" t="s">
        <v>311</v>
      </c>
      <c r="AC330" s="675"/>
      <c r="AD330" s="680"/>
      <c r="AE330" s="675"/>
      <c r="AG330" s="675"/>
    </row>
    <row r="331" spans="1:33" s="536" customFormat="1" ht="12" x14ac:dyDescent="0.2">
      <c r="A331" s="605"/>
      <c r="B331" s="552" t="s">
        <v>185</v>
      </c>
      <c r="C331" s="1822" t="s">
        <v>312</v>
      </c>
      <c r="D331" s="1822"/>
      <c r="E331" s="1822"/>
      <c r="F331" s="562"/>
      <c r="G331" s="562"/>
      <c r="H331" s="562"/>
      <c r="I331" s="562"/>
      <c r="J331" s="604">
        <v>28.58</v>
      </c>
      <c r="K331" s="562" t="s">
        <v>313</v>
      </c>
      <c r="L331" s="604">
        <v>35.729999999999997</v>
      </c>
      <c r="M331" s="603"/>
      <c r="N331" s="602"/>
      <c r="V331" s="674"/>
      <c r="W331" s="675"/>
      <c r="Z331" s="537" t="s">
        <v>312</v>
      </c>
      <c r="AC331" s="675"/>
      <c r="AD331" s="680"/>
      <c r="AE331" s="675"/>
      <c r="AG331" s="675"/>
    </row>
    <row r="332" spans="1:33" s="536" customFormat="1" ht="12" x14ac:dyDescent="0.2">
      <c r="A332" s="605"/>
      <c r="B332" s="552" t="s">
        <v>186</v>
      </c>
      <c r="C332" s="1822" t="s">
        <v>344</v>
      </c>
      <c r="D332" s="1822"/>
      <c r="E332" s="1822"/>
      <c r="F332" s="562"/>
      <c r="G332" s="562"/>
      <c r="H332" s="562"/>
      <c r="I332" s="562"/>
      <c r="J332" s="604">
        <v>2.44</v>
      </c>
      <c r="K332" s="562" t="s">
        <v>313</v>
      </c>
      <c r="L332" s="604">
        <v>3.05</v>
      </c>
      <c r="M332" s="603"/>
      <c r="N332" s="602"/>
      <c r="V332" s="674"/>
      <c r="W332" s="675"/>
      <c r="Z332" s="537" t="s">
        <v>344</v>
      </c>
      <c r="AC332" s="675"/>
      <c r="AD332" s="680"/>
      <c r="AE332" s="675"/>
      <c r="AG332" s="675"/>
    </row>
    <row r="333" spans="1:33" s="536" customFormat="1" ht="12" x14ac:dyDescent="0.2">
      <c r="A333" s="605"/>
      <c r="B333" s="552" t="s">
        <v>188</v>
      </c>
      <c r="C333" s="1822" t="s">
        <v>475</v>
      </c>
      <c r="D333" s="1822"/>
      <c r="E333" s="1822"/>
      <c r="F333" s="562"/>
      <c r="G333" s="562"/>
      <c r="H333" s="562"/>
      <c r="I333" s="562"/>
      <c r="J333" s="604">
        <v>0.56999999999999995</v>
      </c>
      <c r="K333" s="562"/>
      <c r="L333" s="604">
        <v>0.56999999999999995</v>
      </c>
      <c r="M333" s="603"/>
      <c r="N333" s="602"/>
      <c r="V333" s="674"/>
      <c r="W333" s="675"/>
      <c r="Z333" s="537" t="s">
        <v>475</v>
      </c>
      <c r="AC333" s="675"/>
      <c r="AD333" s="680"/>
      <c r="AE333" s="675"/>
      <c r="AG333" s="675"/>
    </row>
    <row r="334" spans="1:33" s="536" customFormat="1" ht="12" x14ac:dyDescent="0.2">
      <c r="A334" s="605"/>
      <c r="B334" s="552"/>
      <c r="C334" s="1822" t="s">
        <v>314</v>
      </c>
      <c r="D334" s="1822"/>
      <c r="E334" s="1822"/>
      <c r="F334" s="562" t="s">
        <v>315</v>
      </c>
      <c r="G334" s="562" t="s">
        <v>3873</v>
      </c>
      <c r="H334" s="562" t="s">
        <v>313</v>
      </c>
      <c r="I334" s="562" t="s">
        <v>3874</v>
      </c>
      <c r="J334" s="604"/>
      <c r="K334" s="562"/>
      <c r="L334" s="604"/>
      <c r="M334" s="603"/>
      <c r="N334" s="602"/>
      <c r="V334" s="674"/>
      <c r="W334" s="675"/>
      <c r="AA334" s="537" t="s">
        <v>314</v>
      </c>
      <c r="AC334" s="675"/>
      <c r="AD334" s="680"/>
      <c r="AE334" s="675"/>
      <c r="AG334" s="675"/>
    </row>
    <row r="335" spans="1:33" s="536" customFormat="1" ht="12" x14ac:dyDescent="0.2">
      <c r="A335" s="605"/>
      <c r="B335" s="552"/>
      <c r="C335" s="1828" t="s">
        <v>318</v>
      </c>
      <c r="D335" s="1828"/>
      <c r="E335" s="1828"/>
      <c r="F335" s="608"/>
      <c r="G335" s="608"/>
      <c r="H335" s="608"/>
      <c r="I335" s="608"/>
      <c r="J335" s="607">
        <v>31.59</v>
      </c>
      <c r="K335" s="608"/>
      <c r="L335" s="607">
        <v>39.35</v>
      </c>
      <c r="M335" s="601"/>
      <c r="N335" s="606"/>
      <c r="V335" s="674"/>
      <c r="W335" s="675"/>
      <c r="AB335" s="537" t="s">
        <v>318</v>
      </c>
      <c r="AC335" s="675"/>
      <c r="AD335" s="680"/>
      <c r="AE335" s="675"/>
      <c r="AG335" s="675"/>
    </row>
    <row r="336" spans="1:33" s="536" customFormat="1" ht="12" x14ac:dyDescent="0.2">
      <c r="A336" s="605"/>
      <c r="B336" s="552"/>
      <c r="C336" s="1822" t="s">
        <v>319</v>
      </c>
      <c r="D336" s="1822"/>
      <c r="E336" s="1822"/>
      <c r="F336" s="562"/>
      <c r="G336" s="562"/>
      <c r="H336" s="562"/>
      <c r="I336" s="562"/>
      <c r="J336" s="604"/>
      <c r="K336" s="562"/>
      <c r="L336" s="604">
        <v>35.729999999999997</v>
      </c>
      <c r="M336" s="603"/>
      <c r="N336" s="602"/>
      <c r="V336" s="674"/>
      <c r="W336" s="675"/>
      <c r="AA336" s="537" t="s">
        <v>319</v>
      </c>
      <c r="AC336" s="675"/>
      <c r="AD336" s="680"/>
      <c r="AE336" s="675"/>
      <c r="AG336" s="675"/>
    </row>
    <row r="337" spans="1:33" s="536" customFormat="1" ht="33.75" x14ac:dyDescent="0.2">
      <c r="A337" s="605"/>
      <c r="B337" s="552" t="s">
        <v>741</v>
      </c>
      <c r="C337" s="1822" t="s">
        <v>742</v>
      </c>
      <c r="D337" s="1822"/>
      <c r="E337" s="1822"/>
      <c r="F337" s="562" t="s">
        <v>322</v>
      </c>
      <c r="G337" s="562" t="s">
        <v>743</v>
      </c>
      <c r="H337" s="562"/>
      <c r="I337" s="562" t="s">
        <v>743</v>
      </c>
      <c r="J337" s="604"/>
      <c r="K337" s="562"/>
      <c r="L337" s="604">
        <v>35.020000000000003</v>
      </c>
      <c r="M337" s="603"/>
      <c r="N337" s="602"/>
      <c r="V337" s="674"/>
      <c r="W337" s="675"/>
      <c r="AA337" s="537" t="s">
        <v>742</v>
      </c>
      <c r="AC337" s="675"/>
      <c r="AD337" s="680"/>
      <c r="AE337" s="675"/>
      <c r="AG337" s="675"/>
    </row>
    <row r="338" spans="1:33" s="536" customFormat="1" ht="33.75" x14ac:dyDescent="0.2">
      <c r="A338" s="605"/>
      <c r="B338" s="552" t="s">
        <v>744</v>
      </c>
      <c r="C338" s="1822" t="s">
        <v>745</v>
      </c>
      <c r="D338" s="1822"/>
      <c r="E338" s="1822"/>
      <c r="F338" s="562" t="s">
        <v>322</v>
      </c>
      <c r="G338" s="562" t="s">
        <v>690</v>
      </c>
      <c r="H338" s="562"/>
      <c r="I338" s="562" t="s">
        <v>690</v>
      </c>
      <c r="J338" s="604"/>
      <c r="K338" s="562"/>
      <c r="L338" s="604">
        <v>20.72</v>
      </c>
      <c r="M338" s="603"/>
      <c r="N338" s="602"/>
      <c r="V338" s="674"/>
      <c r="W338" s="675"/>
      <c r="AA338" s="537" t="s">
        <v>745</v>
      </c>
      <c r="AC338" s="675"/>
      <c r="AD338" s="680"/>
      <c r="AE338" s="675"/>
      <c r="AG338" s="675"/>
    </row>
    <row r="339" spans="1:33" s="536" customFormat="1" ht="12" x14ac:dyDescent="0.2">
      <c r="A339" s="569"/>
      <c r="B339" s="671"/>
      <c r="C339" s="1823" t="s">
        <v>327</v>
      </c>
      <c r="D339" s="1823"/>
      <c r="E339" s="1823"/>
      <c r="F339" s="573"/>
      <c r="G339" s="573"/>
      <c r="H339" s="573"/>
      <c r="I339" s="573"/>
      <c r="J339" s="572"/>
      <c r="K339" s="573"/>
      <c r="L339" s="572">
        <v>95.09</v>
      </c>
      <c r="M339" s="601"/>
      <c r="N339" s="570"/>
      <c r="V339" s="674"/>
      <c r="W339" s="675"/>
      <c r="AC339" s="675" t="s">
        <v>327</v>
      </c>
      <c r="AD339" s="680"/>
      <c r="AE339" s="675"/>
      <c r="AG339" s="675"/>
    </row>
    <row r="340" spans="1:33" s="536" customFormat="1" ht="45" x14ac:dyDescent="0.2">
      <c r="A340" s="575" t="s">
        <v>774</v>
      </c>
      <c r="B340" s="670" t="s">
        <v>3875</v>
      </c>
      <c r="C340" s="1823" t="s">
        <v>3876</v>
      </c>
      <c r="D340" s="1823"/>
      <c r="E340" s="1823"/>
      <c r="F340" s="573" t="s">
        <v>3872</v>
      </c>
      <c r="G340" s="573"/>
      <c r="H340" s="573"/>
      <c r="I340" s="573" t="s">
        <v>1679</v>
      </c>
      <c r="J340" s="572"/>
      <c r="K340" s="573"/>
      <c r="L340" s="572"/>
      <c r="M340" s="571"/>
      <c r="N340" s="570"/>
      <c r="V340" s="674"/>
      <c r="W340" s="675" t="s">
        <v>3876</v>
      </c>
      <c r="AC340" s="675"/>
      <c r="AD340" s="680"/>
      <c r="AE340" s="675"/>
      <c r="AG340" s="675"/>
    </row>
    <row r="341" spans="1:33" s="536" customFormat="1" ht="12" x14ac:dyDescent="0.2">
      <c r="A341" s="676"/>
      <c r="B341" s="664"/>
      <c r="C341" s="1822" t="s">
        <v>3877</v>
      </c>
      <c r="D341" s="1822"/>
      <c r="E341" s="1822"/>
      <c r="F341" s="1822"/>
      <c r="G341" s="1822"/>
      <c r="H341" s="1822"/>
      <c r="I341" s="1822"/>
      <c r="J341" s="1822"/>
      <c r="K341" s="1822"/>
      <c r="L341" s="1822"/>
      <c r="M341" s="1822"/>
      <c r="N341" s="1827"/>
      <c r="V341" s="674"/>
      <c r="W341" s="675"/>
      <c r="X341" s="537" t="s">
        <v>3877</v>
      </c>
      <c r="AC341" s="675"/>
      <c r="AD341" s="680"/>
      <c r="AE341" s="675"/>
      <c r="AG341" s="675"/>
    </row>
    <row r="342" spans="1:33" s="536" customFormat="1" ht="33.75" x14ac:dyDescent="0.2">
      <c r="A342" s="609"/>
      <c r="B342" s="552" t="s">
        <v>310</v>
      </c>
      <c r="C342" s="1822" t="s">
        <v>311</v>
      </c>
      <c r="D342" s="1822"/>
      <c r="E342" s="1822"/>
      <c r="F342" s="1822"/>
      <c r="G342" s="1822"/>
      <c r="H342" s="1822"/>
      <c r="I342" s="1822"/>
      <c r="J342" s="1822"/>
      <c r="K342" s="1822"/>
      <c r="L342" s="1822"/>
      <c r="M342" s="1822"/>
      <c r="N342" s="1827"/>
      <c r="V342" s="674"/>
      <c r="W342" s="675"/>
      <c r="Y342" s="537" t="s">
        <v>311</v>
      </c>
      <c r="AC342" s="675"/>
      <c r="AD342" s="680"/>
      <c r="AE342" s="675"/>
      <c r="AG342" s="675"/>
    </row>
    <row r="343" spans="1:33" s="536" customFormat="1" ht="12" x14ac:dyDescent="0.2">
      <c r="A343" s="605"/>
      <c r="B343" s="552" t="s">
        <v>185</v>
      </c>
      <c r="C343" s="1822" t="s">
        <v>312</v>
      </c>
      <c r="D343" s="1822"/>
      <c r="E343" s="1822"/>
      <c r="F343" s="562"/>
      <c r="G343" s="562"/>
      <c r="H343" s="562"/>
      <c r="I343" s="562"/>
      <c r="J343" s="604">
        <v>38.380000000000003</v>
      </c>
      <c r="K343" s="562" t="s">
        <v>313</v>
      </c>
      <c r="L343" s="604">
        <v>2398.75</v>
      </c>
      <c r="M343" s="603"/>
      <c r="N343" s="602"/>
      <c r="V343" s="674"/>
      <c r="W343" s="675"/>
      <c r="Z343" s="537" t="s">
        <v>312</v>
      </c>
      <c r="AC343" s="675"/>
      <c r="AD343" s="680"/>
      <c r="AE343" s="675"/>
      <c r="AG343" s="675"/>
    </row>
    <row r="344" spans="1:33" s="536" customFormat="1" ht="12" x14ac:dyDescent="0.2">
      <c r="A344" s="605"/>
      <c r="B344" s="552" t="s">
        <v>186</v>
      </c>
      <c r="C344" s="1822" t="s">
        <v>344</v>
      </c>
      <c r="D344" s="1822"/>
      <c r="E344" s="1822"/>
      <c r="F344" s="562"/>
      <c r="G344" s="562"/>
      <c r="H344" s="562"/>
      <c r="I344" s="562"/>
      <c r="J344" s="604">
        <v>9.66</v>
      </c>
      <c r="K344" s="562" t="s">
        <v>313</v>
      </c>
      <c r="L344" s="604">
        <v>603.75</v>
      </c>
      <c r="M344" s="603"/>
      <c r="N344" s="602"/>
      <c r="V344" s="674"/>
      <c r="W344" s="675"/>
      <c r="Z344" s="537" t="s">
        <v>344</v>
      </c>
      <c r="AC344" s="675"/>
      <c r="AD344" s="680"/>
      <c r="AE344" s="675"/>
      <c r="AG344" s="675"/>
    </row>
    <row r="345" spans="1:33" s="536" customFormat="1" ht="12" x14ac:dyDescent="0.2">
      <c r="A345" s="605"/>
      <c r="B345" s="552" t="s">
        <v>188</v>
      </c>
      <c r="C345" s="1822" t="s">
        <v>475</v>
      </c>
      <c r="D345" s="1822"/>
      <c r="E345" s="1822"/>
      <c r="F345" s="562"/>
      <c r="G345" s="562"/>
      <c r="H345" s="562"/>
      <c r="I345" s="562"/>
      <c r="J345" s="604">
        <v>0.77</v>
      </c>
      <c r="K345" s="562"/>
      <c r="L345" s="604">
        <v>38.5</v>
      </c>
      <c r="M345" s="603"/>
      <c r="N345" s="602"/>
      <c r="V345" s="674"/>
      <c r="W345" s="675"/>
      <c r="Z345" s="537" t="s">
        <v>475</v>
      </c>
      <c r="AC345" s="675"/>
      <c r="AD345" s="680"/>
      <c r="AE345" s="675"/>
      <c r="AG345" s="675"/>
    </row>
    <row r="346" spans="1:33" s="536" customFormat="1" ht="12" x14ac:dyDescent="0.2">
      <c r="A346" s="605"/>
      <c r="B346" s="552"/>
      <c r="C346" s="1822" t="s">
        <v>314</v>
      </c>
      <c r="D346" s="1822"/>
      <c r="E346" s="1822"/>
      <c r="F346" s="562" t="s">
        <v>315</v>
      </c>
      <c r="G346" s="562" t="s">
        <v>3007</v>
      </c>
      <c r="H346" s="562" t="s">
        <v>313</v>
      </c>
      <c r="I346" s="562" t="s">
        <v>3878</v>
      </c>
      <c r="J346" s="604"/>
      <c r="K346" s="562"/>
      <c r="L346" s="604"/>
      <c r="M346" s="603"/>
      <c r="N346" s="602"/>
      <c r="V346" s="674"/>
      <c r="W346" s="675"/>
      <c r="AA346" s="537" t="s">
        <v>314</v>
      </c>
      <c r="AC346" s="675"/>
      <c r="AD346" s="680"/>
      <c r="AE346" s="675"/>
      <c r="AG346" s="675"/>
    </row>
    <row r="347" spans="1:33" s="536" customFormat="1" ht="12" x14ac:dyDescent="0.2">
      <c r="A347" s="605"/>
      <c r="B347" s="552"/>
      <c r="C347" s="1828" t="s">
        <v>318</v>
      </c>
      <c r="D347" s="1828"/>
      <c r="E347" s="1828"/>
      <c r="F347" s="608"/>
      <c r="G347" s="608"/>
      <c r="H347" s="608"/>
      <c r="I347" s="608"/>
      <c r="J347" s="607">
        <v>48.81</v>
      </c>
      <c r="K347" s="608"/>
      <c r="L347" s="607">
        <v>3041</v>
      </c>
      <c r="M347" s="601"/>
      <c r="N347" s="606"/>
      <c r="V347" s="674"/>
      <c r="W347" s="675"/>
      <c r="AB347" s="537" t="s">
        <v>318</v>
      </c>
      <c r="AC347" s="675"/>
      <c r="AD347" s="680"/>
      <c r="AE347" s="675"/>
      <c r="AG347" s="675"/>
    </row>
    <row r="348" spans="1:33" s="536" customFormat="1" ht="12" x14ac:dyDescent="0.2">
      <c r="A348" s="605"/>
      <c r="B348" s="552"/>
      <c r="C348" s="1822" t="s">
        <v>319</v>
      </c>
      <c r="D348" s="1822"/>
      <c r="E348" s="1822"/>
      <c r="F348" s="562"/>
      <c r="G348" s="562"/>
      <c r="H348" s="562"/>
      <c r="I348" s="562"/>
      <c r="J348" s="604"/>
      <c r="K348" s="562"/>
      <c r="L348" s="604">
        <v>2398.75</v>
      </c>
      <c r="M348" s="603"/>
      <c r="N348" s="602"/>
      <c r="V348" s="674"/>
      <c r="W348" s="675"/>
      <c r="AA348" s="537" t="s">
        <v>319</v>
      </c>
      <c r="AC348" s="675"/>
      <c r="AD348" s="680"/>
      <c r="AE348" s="675"/>
      <c r="AG348" s="675"/>
    </row>
    <row r="349" spans="1:33" s="536" customFormat="1" ht="33.75" x14ac:dyDescent="0.2">
      <c r="A349" s="605"/>
      <c r="B349" s="552" t="s">
        <v>741</v>
      </c>
      <c r="C349" s="1822" t="s">
        <v>742</v>
      </c>
      <c r="D349" s="1822"/>
      <c r="E349" s="1822"/>
      <c r="F349" s="562" t="s">
        <v>322</v>
      </c>
      <c r="G349" s="562" t="s">
        <v>743</v>
      </c>
      <c r="H349" s="562"/>
      <c r="I349" s="562" t="s">
        <v>743</v>
      </c>
      <c r="J349" s="604"/>
      <c r="K349" s="562"/>
      <c r="L349" s="604">
        <v>2350.7800000000002</v>
      </c>
      <c r="M349" s="603"/>
      <c r="N349" s="602"/>
      <c r="V349" s="674"/>
      <c r="W349" s="675"/>
      <c r="AA349" s="537" t="s">
        <v>742</v>
      </c>
      <c r="AC349" s="675"/>
      <c r="AD349" s="680"/>
      <c r="AE349" s="675"/>
      <c r="AG349" s="675"/>
    </row>
    <row r="350" spans="1:33" s="536" customFormat="1" ht="33.75" x14ac:dyDescent="0.2">
      <c r="A350" s="605"/>
      <c r="B350" s="552" t="s">
        <v>744</v>
      </c>
      <c r="C350" s="1822" t="s">
        <v>745</v>
      </c>
      <c r="D350" s="1822"/>
      <c r="E350" s="1822"/>
      <c r="F350" s="562" t="s">
        <v>322</v>
      </c>
      <c r="G350" s="562" t="s">
        <v>690</v>
      </c>
      <c r="H350" s="562"/>
      <c r="I350" s="562" t="s">
        <v>690</v>
      </c>
      <c r="J350" s="604"/>
      <c r="K350" s="562"/>
      <c r="L350" s="604">
        <v>1391.28</v>
      </c>
      <c r="M350" s="603"/>
      <c r="N350" s="602"/>
      <c r="V350" s="674"/>
      <c r="W350" s="675"/>
      <c r="AA350" s="537" t="s">
        <v>745</v>
      </c>
      <c r="AC350" s="675"/>
      <c r="AD350" s="680"/>
      <c r="AE350" s="675"/>
      <c r="AG350" s="675"/>
    </row>
    <row r="351" spans="1:33" s="536" customFormat="1" ht="12" x14ac:dyDescent="0.2">
      <c r="A351" s="569"/>
      <c r="B351" s="671"/>
      <c r="C351" s="1823" t="s">
        <v>327</v>
      </c>
      <c r="D351" s="1823"/>
      <c r="E351" s="1823"/>
      <c r="F351" s="573"/>
      <c r="G351" s="573"/>
      <c r="H351" s="573"/>
      <c r="I351" s="573"/>
      <c r="J351" s="572"/>
      <c r="K351" s="573"/>
      <c r="L351" s="572">
        <v>6783.06</v>
      </c>
      <c r="M351" s="601"/>
      <c r="N351" s="570"/>
      <c r="V351" s="674"/>
      <c r="W351" s="675"/>
      <c r="AC351" s="675" t="s">
        <v>327</v>
      </c>
      <c r="AD351" s="680"/>
      <c r="AE351" s="675"/>
      <c r="AG351" s="675"/>
    </row>
    <row r="352" spans="1:33" s="536" customFormat="1" ht="1.5" customHeight="1" x14ac:dyDescent="0.2">
      <c r="A352" s="563"/>
      <c r="B352" s="671"/>
      <c r="C352" s="671"/>
      <c r="D352" s="671"/>
      <c r="E352" s="671"/>
      <c r="F352" s="563"/>
      <c r="G352" s="563"/>
      <c r="H352" s="563"/>
      <c r="I352" s="563"/>
      <c r="J352" s="546"/>
      <c r="K352" s="563"/>
      <c r="L352" s="546"/>
      <c r="M352" s="562"/>
      <c r="N352" s="546"/>
      <c r="V352" s="674"/>
      <c r="W352" s="675"/>
      <c r="AC352" s="675"/>
      <c r="AD352" s="680"/>
      <c r="AE352" s="675"/>
      <c r="AG352" s="675"/>
    </row>
    <row r="353" spans="1:33" s="536" customFormat="1" ht="12" x14ac:dyDescent="0.2">
      <c r="A353" s="557"/>
      <c r="B353" s="556"/>
      <c r="C353" s="1823" t="s">
        <v>1802</v>
      </c>
      <c r="D353" s="1823"/>
      <c r="E353" s="1823"/>
      <c r="F353" s="1823"/>
      <c r="G353" s="1823"/>
      <c r="H353" s="1823"/>
      <c r="I353" s="1823"/>
      <c r="J353" s="1823"/>
      <c r="K353" s="1823"/>
      <c r="L353" s="555"/>
      <c r="M353" s="554"/>
      <c r="N353" s="553"/>
      <c r="V353" s="674"/>
      <c r="W353" s="675"/>
      <c r="AC353" s="675"/>
      <c r="AD353" s="680"/>
      <c r="AE353" s="675" t="s">
        <v>1802</v>
      </c>
      <c r="AG353" s="675"/>
    </row>
    <row r="354" spans="1:33" s="536" customFormat="1" ht="12" x14ac:dyDescent="0.2">
      <c r="A354" s="548"/>
      <c r="B354" s="552"/>
      <c r="C354" s="1822" t="s">
        <v>403</v>
      </c>
      <c r="D354" s="1822"/>
      <c r="E354" s="1822"/>
      <c r="F354" s="1822"/>
      <c r="G354" s="1822"/>
      <c r="H354" s="1822"/>
      <c r="I354" s="1822"/>
      <c r="J354" s="1822"/>
      <c r="K354" s="1822"/>
      <c r="L354" s="551">
        <v>616110.65</v>
      </c>
      <c r="M354" s="550"/>
      <c r="N354" s="549"/>
      <c r="V354" s="674"/>
      <c r="W354" s="675"/>
      <c r="AC354" s="675"/>
      <c r="AD354" s="680"/>
      <c r="AE354" s="675"/>
      <c r="AF354" s="537" t="s">
        <v>403</v>
      </c>
      <c r="AG354" s="675"/>
    </row>
    <row r="355" spans="1:33" s="536" customFormat="1" ht="12" x14ac:dyDescent="0.2">
      <c r="A355" s="548"/>
      <c r="B355" s="552"/>
      <c r="C355" s="1822" t="s">
        <v>204</v>
      </c>
      <c r="D355" s="1822"/>
      <c r="E355" s="1822"/>
      <c r="F355" s="1822"/>
      <c r="G355" s="1822"/>
      <c r="H355" s="1822"/>
      <c r="I355" s="1822"/>
      <c r="J355" s="1822"/>
      <c r="K355" s="1822"/>
      <c r="L355" s="551"/>
      <c r="M355" s="550"/>
      <c r="N355" s="549"/>
      <c r="V355" s="674"/>
      <c r="W355" s="675"/>
      <c r="AC355" s="675"/>
      <c r="AD355" s="680"/>
      <c r="AE355" s="675"/>
      <c r="AF355" s="537" t="s">
        <v>204</v>
      </c>
      <c r="AG355" s="675"/>
    </row>
    <row r="356" spans="1:33" s="536" customFormat="1" ht="12" x14ac:dyDescent="0.2">
      <c r="A356" s="548"/>
      <c r="B356" s="552"/>
      <c r="C356" s="1822" t="s">
        <v>404</v>
      </c>
      <c r="D356" s="1822"/>
      <c r="E356" s="1822"/>
      <c r="F356" s="1822"/>
      <c r="G356" s="1822"/>
      <c r="H356" s="1822"/>
      <c r="I356" s="1822"/>
      <c r="J356" s="1822"/>
      <c r="K356" s="1822"/>
      <c r="L356" s="551">
        <v>23234.959999999999</v>
      </c>
      <c r="M356" s="550"/>
      <c r="N356" s="549"/>
      <c r="V356" s="674"/>
      <c r="W356" s="675"/>
      <c r="AC356" s="675"/>
      <c r="AD356" s="680"/>
      <c r="AE356" s="675"/>
      <c r="AF356" s="537" t="s">
        <v>404</v>
      </c>
      <c r="AG356" s="675"/>
    </row>
    <row r="357" spans="1:33" s="536" customFormat="1" ht="12" x14ac:dyDescent="0.2">
      <c r="A357" s="548"/>
      <c r="B357" s="552"/>
      <c r="C357" s="1822" t="s">
        <v>405</v>
      </c>
      <c r="D357" s="1822"/>
      <c r="E357" s="1822"/>
      <c r="F357" s="1822"/>
      <c r="G357" s="1822"/>
      <c r="H357" s="1822"/>
      <c r="I357" s="1822"/>
      <c r="J357" s="1822"/>
      <c r="K357" s="1822"/>
      <c r="L357" s="551">
        <v>29818.71</v>
      </c>
      <c r="M357" s="550"/>
      <c r="N357" s="549"/>
      <c r="V357" s="674"/>
      <c r="W357" s="675"/>
      <c r="AC357" s="675"/>
      <c r="AD357" s="680"/>
      <c r="AE357" s="675"/>
      <c r="AF357" s="537" t="s">
        <v>405</v>
      </c>
      <c r="AG357" s="675"/>
    </row>
    <row r="358" spans="1:33" s="536" customFormat="1" ht="12" x14ac:dyDescent="0.2">
      <c r="A358" s="548"/>
      <c r="B358" s="552"/>
      <c r="C358" s="1822" t="s">
        <v>406</v>
      </c>
      <c r="D358" s="1822"/>
      <c r="E358" s="1822"/>
      <c r="F358" s="1822"/>
      <c r="G358" s="1822"/>
      <c r="H358" s="1822"/>
      <c r="I358" s="1822"/>
      <c r="J358" s="1822"/>
      <c r="K358" s="1822"/>
      <c r="L358" s="551">
        <v>3188.75</v>
      </c>
      <c r="M358" s="550"/>
      <c r="N358" s="549"/>
      <c r="V358" s="674"/>
      <c r="W358" s="675"/>
      <c r="AC358" s="675"/>
      <c r="AD358" s="680"/>
      <c r="AE358" s="675"/>
      <c r="AF358" s="537" t="s">
        <v>406</v>
      </c>
      <c r="AG358" s="675"/>
    </row>
    <row r="359" spans="1:33" s="536" customFormat="1" ht="12" x14ac:dyDescent="0.2">
      <c r="A359" s="548"/>
      <c r="B359" s="552"/>
      <c r="C359" s="1822" t="s">
        <v>480</v>
      </c>
      <c r="D359" s="1822"/>
      <c r="E359" s="1822"/>
      <c r="F359" s="1822"/>
      <c r="G359" s="1822"/>
      <c r="H359" s="1822"/>
      <c r="I359" s="1822"/>
      <c r="J359" s="1822"/>
      <c r="K359" s="1822"/>
      <c r="L359" s="551">
        <v>563056.98</v>
      </c>
      <c r="M359" s="550"/>
      <c r="N359" s="549"/>
      <c r="V359" s="674"/>
      <c r="W359" s="675"/>
      <c r="AC359" s="675"/>
      <c r="AD359" s="680"/>
      <c r="AE359" s="675"/>
      <c r="AF359" s="537" t="s">
        <v>480</v>
      </c>
      <c r="AG359" s="675"/>
    </row>
    <row r="360" spans="1:33" s="536" customFormat="1" ht="12" x14ac:dyDescent="0.2">
      <c r="A360" s="548"/>
      <c r="B360" s="552"/>
      <c r="C360" s="1822" t="s">
        <v>407</v>
      </c>
      <c r="D360" s="1822"/>
      <c r="E360" s="1822"/>
      <c r="F360" s="1822"/>
      <c r="G360" s="1822"/>
      <c r="H360" s="1822"/>
      <c r="I360" s="1822"/>
      <c r="J360" s="1822"/>
      <c r="K360" s="1822"/>
      <c r="L360" s="551">
        <v>572557.81000000006</v>
      </c>
      <c r="M360" s="550"/>
      <c r="N360" s="549"/>
      <c r="V360" s="674"/>
      <c r="W360" s="675"/>
      <c r="AC360" s="675"/>
      <c r="AD360" s="680"/>
      <c r="AE360" s="675"/>
      <c r="AF360" s="537" t="s">
        <v>407</v>
      </c>
      <c r="AG360" s="675"/>
    </row>
    <row r="361" spans="1:33" s="536" customFormat="1" ht="12" x14ac:dyDescent="0.2">
      <c r="A361" s="548"/>
      <c r="B361" s="552"/>
      <c r="C361" s="1822" t="s">
        <v>204</v>
      </c>
      <c r="D361" s="1822"/>
      <c r="E361" s="1822"/>
      <c r="F361" s="1822"/>
      <c r="G361" s="1822"/>
      <c r="H361" s="1822"/>
      <c r="I361" s="1822"/>
      <c r="J361" s="1822"/>
      <c r="K361" s="1822"/>
      <c r="L361" s="551"/>
      <c r="M361" s="550"/>
      <c r="N361" s="549"/>
      <c r="V361" s="674"/>
      <c r="W361" s="675"/>
      <c r="AC361" s="675"/>
      <c r="AD361" s="680"/>
      <c r="AE361" s="675"/>
      <c r="AF361" s="537" t="s">
        <v>204</v>
      </c>
      <c r="AG361" s="675"/>
    </row>
    <row r="362" spans="1:33" s="536" customFormat="1" ht="12" x14ac:dyDescent="0.2">
      <c r="A362" s="548"/>
      <c r="B362" s="552"/>
      <c r="C362" s="1822" t="s">
        <v>546</v>
      </c>
      <c r="D362" s="1822"/>
      <c r="E362" s="1822"/>
      <c r="F362" s="1822"/>
      <c r="G362" s="1822"/>
      <c r="H362" s="1822"/>
      <c r="I362" s="1822"/>
      <c r="J362" s="1822"/>
      <c r="K362" s="1822"/>
      <c r="L362" s="551">
        <v>11207.84</v>
      </c>
      <c r="M362" s="550"/>
      <c r="N362" s="549"/>
      <c r="V362" s="674"/>
      <c r="W362" s="675"/>
      <c r="AC362" s="675"/>
      <c r="AD362" s="680"/>
      <c r="AE362" s="675"/>
      <c r="AF362" s="537" t="s">
        <v>546</v>
      </c>
      <c r="AG362" s="675"/>
    </row>
    <row r="363" spans="1:33" s="536" customFormat="1" ht="12" x14ac:dyDescent="0.2">
      <c r="A363" s="548"/>
      <c r="B363" s="552"/>
      <c r="C363" s="1822" t="s">
        <v>442</v>
      </c>
      <c r="D363" s="1822"/>
      <c r="E363" s="1822"/>
      <c r="F363" s="1822"/>
      <c r="G363" s="1822"/>
      <c r="H363" s="1822"/>
      <c r="I363" s="1822"/>
      <c r="J363" s="1822"/>
      <c r="K363" s="1822"/>
      <c r="L363" s="551">
        <v>11906.45</v>
      </c>
      <c r="M363" s="550"/>
      <c r="N363" s="549"/>
      <c r="V363" s="674"/>
      <c r="W363" s="675"/>
      <c r="AC363" s="675"/>
      <c r="AD363" s="680"/>
      <c r="AE363" s="675"/>
      <c r="AF363" s="537" t="s">
        <v>442</v>
      </c>
      <c r="AG363" s="675"/>
    </row>
    <row r="364" spans="1:33" s="536" customFormat="1" ht="12" x14ac:dyDescent="0.2">
      <c r="A364" s="548"/>
      <c r="B364" s="552"/>
      <c r="C364" s="1822" t="s">
        <v>547</v>
      </c>
      <c r="D364" s="1822"/>
      <c r="E364" s="1822"/>
      <c r="F364" s="1822"/>
      <c r="G364" s="1822"/>
      <c r="H364" s="1822"/>
      <c r="I364" s="1822"/>
      <c r="J364" s="1822"/>
      <c r="K364" s="1822"/>
      <c r="L364" s="551">
        <v>528263.91</v>
      </c>
      <c r="M364" s="550"/>
      <c r="N364" s="549"/>
      <c r="V364" s="674"/>
      <c r="W364" s="675"/>
      <c r="AC364" s="675"/>
      <c r="AD364" s="680"/>
      <c r="AE364" s="675"/>
      <c r="AF364" s="537" t="s">
        <v>547</v>
      </c>
      <c r="AG364" s="675"/>
    </row>
    <row r="365" spans="1:33" s="536" customFormat="1" ht="12" x14ac:dyDescent="0.2">
      <c r="A365" s="548"/>
      <c r="B365" s="552"/>
      <c r="C365" s="1822" t="s">
        <v>443</v>
      </c>
      <c r="D365" s="1822"/>
      <c r="E365" s="1822"/>
      <c r="F365" s="1822"/>
      <c r="G365" s="1822"/>
      <c r="H365" s="1822"/>
      <c r="I365" s="1822"/>
      <c r="J365" s="1822"/>
      <c r="K365" s="1822"/>
      <c r="L365" s="551">
        <v>13164.86</v>
      </c>
      <c r="M365" s="550"/>
      <c r="N365" s="549"/>
      <c r="V365" s="674"/>
      <c r="W365" s="675"/>
      <c r="AC365" s="675"/>
      <c r="AD365" s="680"/>
      <c r="AE365" s="675"/>
      <c r="AF365" s="537" t="s">
        <v>443</v>
      </c>
      <c r="AG365" s="675"/>
    </row>
    <row r="366" spans="1:33" s="536" customFormat="1" ht="12" x14ac:dyDescent="0.2">
      <c r="A366" s="548"/>
      <c r="B366" s="552"/>
      <c r="C366" s="1822" t="s">
        <v>444</v>
      </c>
      <c r="D366" s="1822"/>
      <c r="E366" s="1822"/>
      <c r="F366" s="1822"/>
      <c r="G366" s="1822"/>
      <c r="H366" s="1822"/>
      <c r="I366" s="1822"/>
      <c r="J366" s="1822"/>
      <c r="K366" s="1822"/>
      <c r="L366" s="551">
        <v>8014.75</v>
      </c>
      <c r="M366" s="550"/>
      <c r="N366" s="549"/>
      <c r="V366" s="674"/>
      <c r="W366" s="675"/>
      <c r="AC366" s="675"/>
      <c r="AD366" s="680"/>
      <c r="AE366" s="675"/>
      <c r="AF366" s="537" t="s">
        <v>444</v>
      </c>
      <c r="AG366" s="675"/>
    </row>
    <row r="367" spans="1:33" s="536" customFormat="1" ht="12" x14ac:dyDescent="0.2">
      <c r="A367" s="548"/>
      <c r="B367" s="552"/>
      <c r="C367" s="1822" t="s">
        <v>753</v>
      </c>
      <c r="D367" s="1822"/>
      <c r="E367" s="1822"/>
      <c r="F367" s="1822"/>
      <c r="G367" s="1822"/>
      <c r="H367" s="1822"/>
      <c r="I367" s="1822"/>
      <c r="J367" s="1822"/>
      <c r="K367" s="1822"/>
      <c r="L367" s="551">
        <v>83979.34</v>
      </c>
      <c r="M367" s="550"/>
      <c r="N367" s="549"/>
      <c r="V367" s="674"/>
      <c r="W367" s="675"/>
      <c r="AC367" s="675"/>
      <c r="AD367" s="680"/>
      <c r="AE367" s="675"/>
      <c r="AF367" s="537" t="s">
        <v>753</v>
      </c>
      <c r="AG367" s="675"/>
    </row>
    <row r="368" spans="1:33" s="536" customFormat="1" ht="12" x14ac:dyDescent="0.2">
      <c r="A368" s="548"/>
      <c r="B368" s="552"/>
      <c r="C368" s="1822" t="s">
        <v>204</v>
      </c>
      <c r="D368" s="1822"/>
      <c r="E368" s="1822"/>
      <c r="F368" s="1822"/>
      <c r="G368" s="1822"/>
      <c r="H368" s="1822"/>
      <c r="I368" s="1822"/>
      <c r="J368" s="1822"/>
      <c r="K368" s="1822"/>
      <c r="L368" s="551"/>
      <c r="M368" s="550"/>
      <c r="N368" s="549"/>
      <c r="V368" s="674"/>
      <c r="W368" s="675"/>
      <c r="AC368" s="675"/>
      <c r="AD368" s="680"/>
      <c r="AE368" s="675"/>
      <c r="AF368" s="537" t="s">
        <v>204</v>
      </c>
      <c r="AG368" s="675"/>
    </row>
    <row r="369" spans="1:33" s="536" customFormat="1" ht="12" x14ac:dyDescent="0.2">
      <c r="A369" s="548"/>
      <c r="B369" s="552"/>
      <c r="C369" s="1822" t="s">
        <v>546</v>
      </c>
      <c r="D369" s="1822"/>
      <c r="E369" s="1822"/>
      <c r="F369" s="1822"/>
      <c r="G369" s="1822"/>
      <c r="H369" s="1822"/>
      <c r="I369" s="1822"/>
      <c r="J369" s="1822"/>
      <c r="K369" s="1822"/>
      <c r="L369" s="551">
        <v>12027.12</v>
      </c>
      <c r="M369" s="550"/>
      <c r="N369" s="549"/>
      <c r="V369" s="674"/>
      <c r="W369" s="675"/>
      <c r="AC369" s="675"/>
      <c r="AD369" s="680"/>
      <c r="AE369" s="675"/>
      <c r="AF369" s="537" t="s">
        <v>546</v>
      </c>
      <c r="AG369" s="675"/>
    </row>
    <row r="370" spans="1:33" s="536" customFormat="1" ht="12" x14ac:dyDescent="0.2">
      <c r="A370" s="548"/>
      <c r="B370" s="552"/>
      <c r="C370" s="1822" t="s">
        <v>442</v>
      </c>
      <c r="D370" s="1822"/>
      <c r="E370" s="1822"/>
      <c r="F370" s="1822"/>
      <c r="G370" s="1822"/>
      <c r="H370" s="1822"/>
      <c r="I370" s="1822"/>
      <c r="J370" s="1822"/>
      <c r="K370" s="1822"/>
      <c r="L370" s="551">
        <v>17912.259999999998</v>
      </c>
      <c r="M370" s="550"/>
      <c r="N370" s="549"/>
      <c r="V370" s="674"/>
      <c r="W370" s="675"/>
      <c r="AC370" s="675"/>
      <c r="AD370" s="680"/>
      <c r="AE370" s="675"/>
      <c r="AF370" s="537" t="s">
        <v>442</v>
      </c>
      <c r="AG370" s="675"/>
    </row>
    <row r="371" spans="1:33" s="536" customFormat="1" ht="12" x14ac:dyDescent="0.2">
      <c r="A371" s="548"/>
      <c r="B371" s="552"/>
      <c r="C371" s="1822" t="s">
        <v>547</v>
      </c>
      <c r="D371" s="1822"/>
      <c r="E371" s="1822"/>
      <c r="F371" s="1822"/>
      <c r="G371" s="1822"/>
      <c r="H371" s="1822"/>
      <c r="I371" s="1822"/>
      <c r="J371" s="1822"/>
      <c r="K371" s="1822"/>
      <c r="L371" s="551">
        <v>34793.07</v>
      </c>
      <c r="M371" s="550"/>
      <c r="N371" s="549"/>
      <c r="V371" s="674"/>
      <c r="W371" s="675"/>
      <c r="AC371" s="675"/>
      <c r="AD371" s="680"/>
      <c r="AE371" s="675"/>
      <c r="AF371" s="537" t="s">
        <v>547</v>
      </c>
      <c r="AG371" s="675"/>
    </row>
    <row r="372" spans="1:33" s="536" customFormat="1" ht="12" x14ac:dyDescent="0.2">
      <c r="A372" s="548"/>
      <c r="B372" s="552"/>
      <c r="C372" s="1822" t="s">
        <v>443</v>
      </c>
      <c r="D372" s="1822"/>
      <c r="E372" s="1822"/>
      <c r="F372" s="1822"/>
      <c r="G372" s="1822"/>
      <c r="H372" s="1822"/>
      <c r="I372" s="1822"/>
      <c r="J372" s="1822"/>
      <c r="K372" s="1822"/>
      <c r="L372" s="551">
        <v>12710.09</v>
      </c>
      <c r="M372" s="550"/>
      <c r="N372" s="549"/>
      <c r="V372" s="674"/>
      <c r="W372" s="675"/>
      <c r="AC372" s="675"/>
      <c r="AD372" s="680"/>
      <c r="AE372" s="675"/>
      <c r="AF372" s="537" t="s">
        <v>443</v>
      </c>
      <c r="AG372" s="675"/>
    </row>
    <row r="373" spans="1:33" s="536" customFormat="1" ht="12" x14ac:dyDescent="0.2">
      <c r="A373" s="548"/>
      <c r="B373" s="552"/>
      <c r="C373" s="1822" t="s">
        <v>444</v>
      </c>
      <c r="D373" s="1822"/>
      <c r="E373" s="1822"/>
      <c r="F373" s="1822"/>
      <c r="G373" s="1822"/>
      <c r="H373" s="1822"/>
      <c r="I373" s="1822"/>
      <c r="J373" s="1822"/>
      <c r="K373" s="1822"/>
      <c r="L373" s="551">
        <v>6536.8</v>
      </c>
      <c r="M373" s="550"/>
      <c r="N373" s="549"/>
      <c r="V373" s="674"/>
      <c r="W373" s="675"/>
      <c r="AC373" s="675"/>
      <c r="AD373" s="680"/>
      <c r="AE373" s="675"/>
      <c r="AF373" s="537" t="s">
        <v>444</v>
      </c>
      <c r="AG373" s="675"/>
    </row>
    <row r="374" spans="1:33" s="536" customFormat="1" ht="12" x14ac:dyDescent="0.2">
      <c r="A374" s="548"/>
      <c r="B374" s="552"/>
      <c r="C374" s="1822" t="s">
        <v>754</v>
      </c>
      <c r="D374" s="1822"/>
      <c r="E374" s="1822"/>
      <c r="F374" s="1822"/>
      <c r="G374" s="1822"/>
      <c r="H374" s="1822"/>
      <c r="I374" s="1822"/>
      <c r="J374" s="1822"/>
      <c r="K374" s="1822"/>
      <c r="L374" s="551">
        <v>2456.87</v>
      </c>
      <c r="M374" s="550"/>
      <c r="N374" s="549"/>
      <c r="V374" s="674"/>
      <c r="W374" s="675"/>
      <c r="AC374" s="675"/>
      <c r="AD374" s="680"/>
      <c r="AE374" s="675"/>
      <c r="AF374" s="537" t="s">
        <v>754</v>
      </c>
      <c r="AG374" s="675"/>
    </row>
    <row r="375" spans="1:33" s="536" customFormat="1" ht="12" x14ac:dyDescent="0.2">
      <c r="A375" s="548"/>
      <c r="B375" s="552"/>
      <c r="C375" s="1822" t="s">
        <v>415</v>
      </c>
      <c r="D375" s="1822"/>
      <c r="E375" s="1822"/>
      <c r="F375" s="1822"/>
      <c r="G375" s="1822"/>
      <c r="H375" s="1822"/>
      <c r="I375" s="1822"/>
      <c r="J375" s="1822"/>
      <c r="K375" s="1822"/>
      <c r="L375" s="551">
        <v>26423.71</v>
      </c>
      <c r="M375" s="550"/>
      <c r="N375" s="549"/>
      <c r="V375" s="674"/>
      <c r="W375" s="675"/>
      <c r="AC375" s="675"/>
      <c r="AD375" s="680"/>
      <c r="AE375" s="675"/>
      <c r="AF375" s="537" t="s">
        <v>415</v>
      </c>
      <c r="AG375" s="675"/>
    </row>
    <row r="376" spans="1:33" s="536" customFormat="1" ht="12" x14ac:dyDescent="0.2">
      <c r="A376" s="548"/>
      <c r="B376" s="552"/>
      <c r="C376" s="1822" t="s">
        <v>416</v>
      </c>
      <c r="D376" s="1822"/>
      <c r="E376" s="1822"/>
      <c r="F376" s="1822"/>
      <c r="G376" s="1822"/>
      <c r="H376" s="1822"/>
      <c r="I376" s="1822"/>
      <c r="J376" s="1822"/>
      <c r="K376" s="1822"/>
      <c r="L376" s="551">
        <v>25874.95</v>
      </c>
      <c r="M376" s="550"/>
      <c r="N376" s="549"/>
      <c r="V376" s="674"/>
      <c r="W376" s="675"/>
      <c r="AC376" s="675"/>
      <c r="AD376" s="680"/>
      <c r="AE376" s="675"/>
      <c r="AF376" s="537" t="s">
        <v>416</v>
      </c>
      <c r="AG376" s="675"/>
    </row>
    <row r="377" spans="1:33" s="536" customFormat="1" ht="12" x14ac:dyDescent="0.2">
      <c r="A377" s="548"/>
      <c r="B377" s="552"/>
      <c r="C377" s="1822" t="s">
        <v>417</v>
      </c>
      <c r="D377" s="1822"/>
      <c r="E377" s="1822"/>
      <c r="F377" s="1822"/>
      <c r="G377" s="1822"/>
      <c r="H377" s="1822"/>
      <c r="I377" s="1822"/>
      <c r="J377" s="1822"/>
      <c r="K377" s="1822"/>
      <c r="L377" s="551">
        <v>14551.55</v>
      </c>
      <c r="M377" s="550"/>
      <c r="N377" s="549"/>
      <c r="V377" s="674"/>
      <c r="W377" s="675"/>
      <c r="AC377" s="675"/>
      <c r="AD377" s="680"/>
      <c r="AE377" s="675"/>
      <c r="AF377" s="537" t="s">
        <v>417</v>
      </c>
      <c r="AG377" s="675"/>
    </row>
    <row r="378" spans="1:33" s="536" customFormat="1" ht="12" x14ac:dyDescent="0.2">
      <c r="A378" s="548"/>
      <c r="B378" s="546"/>
      <c r="C378" s="1819" t="s">
        <v>1803</v>
      </c>
      <c r="D378" s="1819"/>
      <c r="E378" s="1819"/>
      <c r="F378" s="1819"/>
      <c r="G378" s="1819"/>
      <c r="H378" s="1819"/>
      <c r="I378" s="1819"/>
      <c r="J378" s="1819"/>
      <c r="K378" s="1819"/>
      <c r="L378" s="544">
        <v>658994.02</v>
      </c>
      <c r="M378" s="543"/>
      <c r="N378" s="681"/>
      <c r="V378" s="674"/>
      <c r="W378" s="675"/>
      <c r="AC378" s="675"/>
      <c r="AD378" s="680"/>
      <c r="AE378" s="675"/>
      <c r="AG378" s="675" t="s">
        <v>1803</v>
      </c>
    </row>
    <row r="379" spans="1:33" s="536" customFormat="1" ht="12" x14ac:dyDescent="0.2">
      <c r="A379" s="548"/>
      <c r="B379" s="552"/>
      <c r="C379" s="1822" t="s">
        <v>204</v>
      </c>
      <c r="D379" s="1822"/>
      <c r="E379" s="1822"/>
      <c r="F379" s="1822"/>
      <c r="G379" s="1822"/>
      <c r="H379" s="1822"/>
      <c r="I379" s="1822"/>
      <c r="J379" s="1822"/>
      <c r="K379" s="1822"/>
      <c r="L379" s="551"/>
      <c r="M379" s="550"/>
      <c r="N379" s="549"/>
      <c r="V379" s="674"/>
      <c r="W379" s="675"/>
      <c r="AC379" s="675"/>
      <c r="AD379" s="680"/>
      <c r="AE379" s="675"/>
      <c r="AF379" s="537" t="s">
        <v>204</v>
      </c>
      <c r="AG379" s="675"/>
    </row>
    <row r="380" spans="1:33" s="536" customFormat="1" ht="12" x14ac:dyDescent="0.2">
      <c r="A380" s="548"/>
      <c r="B380" s="552"/>
      <c r="C380" s="1822" t="s">
        <v>8095</v>
      </c>
      <c r="D380" s="1822"/>
      <c r="E380" s="1822"/>
      <c r="F380" s="1822"/>
      <c r="G380" s="1822"/>
      <c r="H380" s="1822"/>
      <c r="I380" s="1822"/>
      <c r="J380" s="1822"/>
      <c r="K380" s="1822"/>
      <c r="L380" s="551">
        <v>496577.89</v>
      </c>
      <c r="M380" s="550"/>
      <c r="N380" s="549"/>
      <c r="V380" s="674"/>
      <c r="W380" s="675"/>
      <c r="AC380" s="675"/>
      <c r="AD380" s="680"/>
      <c r="AE380" s="675"/>
      <c r="AF380" s="537" t="s">
        <v>8095</v>
      </c>
      <c r="AG380" s="675"/>
    </row>
    <row r="381" spans="1:33" s="536" customFormat="1" ht="12" x14ac:dyDescent="0.2">
      <c r="A381" s="548"/>
      <c r="B381" s="552"/>
      <c r="C381" s="1822" t="s">
        <v>8097</v>
      </c>
      <c r="D381" s="1822"/>
      <c r="E381" s="1822"/>
      <c r="F381" s="1822"/>
      <c r="G381" s="1822"/>
      <c r="H381" s="1822"/>
      <c r="I381" s="1822"/>
      <c r="J381" s="1822"/>
      <c r="K381" s="1822"/>
      <c r="L381" s="551">
        <v>2456.87</v>
      </c>
      <c r="M381" s="550"/>
      <c r="N381" s="549"/>
      <c r="V381" s="674"/>
      <c r="W381" s="675"/>
      <c r="AC381" s="675"/>
      <c r="AD381" s="680"/>
      <c r="AE381" s="675"/>
      <c r="AF381" s="537" t="s">
        <v>8097</v>
      </c>
      <c r="AG381" s="675"/>
    </row>
    <row r="382" spans="1:33" s="536" customFormat="1" ht="12" x14ac:dyDescent="0.2">
      <c r="A382" s="1824" t="s">
        <v>1124</v>
      </c>
      <c r="B382" s="1825"/>
      <c r="C382" s="1825"/>
      <c r="D382" s="1825"/>
      <c r="E382" s="1825"/>
      <c r="F382" s="1825"/>
      <c r="G382" s="1825"/>
      <c r="H382" s="1825"/>
      <c r="I382" s="1825"/>
      <c r="J382" s="1825"/>
      <c r="K382" s="1825"/>
      <c r="L382" s="1825"/>
      <c r="M382" s="1825"/>
      <c r="N382" s="1826"/>
      <c r="V382" s="674" t="s">
        <v>1124</v>
      </c>
      <c r="W382" s="675"/>
      <c r="AC382" s="675"/>
      <c r="AD382" s="680"/>
      <c r="AE382" s="675"/>
      <c r="AG382" s="675"/>
    </row>
    <row r="383" spans="1:33" s="536" customFormat="1" ht="78.75" x14ac:dyDescent="0.2">
      <c r="A383" s="575" t="s">
        <v>775</v>
      </c>
      <c r="B383" s="670" t="s">
        <v>5638</v>
      </c>
      <c r="C383" s="1823" t="s">
        <v>3880</v>
      </c>
      <c r="D383" s="1823"/>
      <c r="E383" s="1823"/>
      <c r="F383" s="573" t="s">
        <v>201</v>
      </c>
      <c r="G383" s="573"/>
      <c r="H383" s="573"/>
      <c r="I383" s="573" t="s">
        <v>8809</v>
      </c>
      <c r="J383" s="572">
        <v>48.81</v>
      </c>
      <c r="K383" s="573"/>
      <c r="L383" s="572">
        <v>8722.1</v>
      </c>
      <c r="M383" s="571"/>
      <c r="N383" s="570"/>
      <c r="V383" s="674"/>
      <c r="W383" s="675" t="s">
        <v>3880</v>
      </c>
      <c r="AC383" s="675"/>
      <c r="AD383" s="680"/>
      <c r="AE383" s="675"/>
      <c r="AG383" s="675"/>
    </row>
    <row r="384" spans="1:33" s="536" customFormat="1" ht="12" x14ac:dyDescent="0.2">
      <c r="A384" s="569"/>
      <c r="B384" s="671"/>
      <c r="C384" s="665" t="s">
        <v>717</v>
      </c>
      <c r="D384" s="666"/>
      <c r="E384" s="666"/>
      <c r="F384" s="563"/>
      <c r="G384" s="563"/>
      <c r="H384" s="563"/>
      <c r="I384" s="563"/>
      <c r="J384" s="566"/>
      <c r="K384" s="563"/>
      <c r="L384" s="566"/>
      <c r="M384" s="565"/>
      <c r="N384" s="564"/>
      <c r="V384" s="674"/>
      <c r="W384" s="675"/>
      <c r="AC384" s="675"/>
      <c r="AD384" s="680"/>
      <c r="AE384" s="675"/>
      <c r="AG384" s="675"/>
    </row>
    <row r="385" spans="1:34" s="536" customFormat="1" ht="12" x14ac:dyDescent="0.2">
      <c r="A385" s="676"/>
      <c r="B385" s="664"/>
      <c r="C385" s="1822" t="s">
        <v>8810</v>
      </c>
      <c r="D385" s="1822"/>
      <c r="E385" s="1822"/>
      <c r="F385" s="1822"/>
      <c r="G385" s="1822"/>
      <c r="H385" s="1822"/>
      <c r="I385" s="1822"/>
      <c r="J385" s="1822"/>
      <c r="K385" s="1822"/>
      <c r="L385" s="1822"/>
      <c r="M385" s="1822"/>
      <c r="N385" s="1827"/>
      <c r="V385" s="674"/>
      <c r="W385" s="675"/>
      <c r="X385" s="537" t="s">
        <v>8810</v>
      </c>
      <c r="AC385" s="675"/>
      <c r="AD385" s="680"/>
      <c r="AE385" s="675"/>
      <c r="AG385" s="675"/>
    </row>
    <row r="386" spans="1:34" s="536" customFormat="1" ht="78.75" x14ac:dyDescent="0.2">
      <c r="A386" s="575" t="s">
        <v>776</v>
      </c>
      <c r="B386" s="670" t="s">
        <v>8811</v>
      </c>
      <c r="C386" s="1823" t="s">
        <v>3882</v>
      </c>
      <c r="D386" s="1823"/>
      <c r="E386" s="1823"/>
      <c r="F386" s="573" t="s">
        <v>201</v>
      </c>
      <c r="G386" s="573"/>
      <c r="H386" s="573"/>
      <c r="I386" s="573" t="s">
        <v>3883</v>
      </c>
      <c r="J386" s="572">
        <v>76.88</v>
      </c>
      <c r="K386" s="573"/>
      <c r="L386" s="572">
        <v>479.35</v>
      </c>
      <c r="M386" s="571"/>
      <c r="N386" s="570"/>
      <c r="V386" s="674"/>
      <c r="W386" s="675" t="s">
        <v>3882</v>
      </c>
      <c r="AC386" s="675"/>
      <c r="AD386" s="680"/>
      <c r="AE386" s="675"/>
      <c r="AG386" s="675"/>
    </row>
    <row r="387" spans="1:34" s="536" customFormat="1" ht="12" x14ac:dyDescent="0.2">
      <c r="A387" s="569"/>
      <c r="B387" s="671"/>
      <c r="C387" s="665" t="s">
        <v>717</v>
      </c>
      <c r="D387" s="666"/>
      <c r="E387" s="666"/>
      <c r="F387" s="563"/>
      <c r="G387" s="563"/>
      <c r="H387" s="563"/>
      <c r="I387" s="563"/>
      <c r="J387" s="566"/>
      <c r="K387" s="563"/>
      <c r="L387" s="566"/>
      <c r="M387" s="565"/>
      <c r="N387" s="564"/>
      <c r="V387" s="674"/>
      <c r="W387" s="675"/>
      <c r="AC387" s="675"/>
      <c r="AD387" s="680"/>
      <c r="AE387" s="675"/>
      <c r="AG387" s="675"/>
    </row>
    <row r="388" spans="1:34" s="536" customFormat="1" ht="67.5" x14ac:dyDescent="0.2">
      <c r="A388" s="575" t="s">
        <v>931</v>
      </c>
      <c r="B388" s="670" t="s">
        <v>5643</v>
      </c>
      <c r="C388" s="1823" t="s">
        <v>1804</v>
      </c>
      <c r="D388" s="1823"/>
      <c r="E388" s="1823"/>
      <c r="F388" s="573" t="s">
        <v>201</v>
      </c>
      <c r="G388" s="573"/>
      <c r="H388" s="573"/>
      <c r="I388" s="573" t="s">
        <v>695</v>
      </c>
      <c r="J388" s="572">
        <v>127.09</v>
      </c>
      <c r="K388" s="573"/>
      <c r="L388" s="572">
        <v>2.54</v>
      </c>
      <c r="M388" s="571"/>
      <c r="N388" s="570"/>
      <c r="V388" s="674"/>
      <c r="W388" s="675" t="s">
        <v>1804</v>
      </c>
      <c r="AC388" s="675"/>
      <c r="AD388" s="680"/>
      <c r="AE388" s="675"/>
      <c r="AG388" s="675"/>
    </row>
    <row r="389" spans="1:34" s="536" customFormat="1" ht="12" x14ac:dyDescent="0.2">
      <c r="A389" s="569"/>
      <c r="B389" s="671"/>
      <c r="C389" s="665" t="s">
        <v>717</v>
      </c>
      <c r="D389" s="666"/>
      <c r="E389" s="666"/>
      <c r="F389" s="563"/>
      <c r="G389" s="563"/>
      <c r="H389" s="563"/>
      <c r="I389" s="563"/>
      <c r="J389" s="566"/>
      <c r="K389" s="563"/>
      <c r="L389" s="566"/>
      <c r="M389" s="565"/>
      <c r="N389" s="564"/>
      <c r="V389" s="674"/>
      <c r="W389" s="675"/>
      <c r="AC389" s="675"/>
      <c r="AD389" s="680"/>
      <c r="AE389" s="675"/>
      <c r="AG389" s="675"/>
    </row>
    <row r="390" spans="1:34" s="536" customFormat="1" ht="1.5" customHeight="1" x14ac:dyDescent="0.2">
      <c r="A390" s="563"/>
      <c r="B390" s="671"/>
      <c r="C390" s="671"/>
      <c r="D390" s="671"/>
      <c r="E390" s="671"/>
      <c r="F390" s="563"/>
      <c r="G390" s="563"/>
      <c r="H390" s="563"/>
      <c r="I390" s="563"/>
      <c r="J390" s="546"/>
      <c r="K390" s="563"/>
      <c r="L390" s="546"/>
      <c r="M390" s="562"/>
      <c r="N390" s="546"/>
      <c r="V390" s="674"/>
      <c r="W390" s="675"/>
      <c r="AC390" s="675"/>
      <c r="AD390" s="680"/>
      <c r="AE390" s="675"/>
      <c r="AG390" s="675"/>
    </row>
    <row r="391" spans="1:34" s="536" customFormat="1" ht="22.5" x14ac:dyDescent="0.2">
      <c r="A391" s="557"/>
      <c r="B391" s="556"/>
      <c r="C391" s="1823" t="s">
        <v>1138</v>
      </c>
      <c r="D391" s="1823"/>
      <c r="E391" s="1823"/>
      <c r="F391" s="1823"/>
      <c r="G391" s="1823"/>
      <c r="H391" s="1823"/>
      <c r="I391" s="1823"/>
      <c r="J391" s="1823"/>
      <c r="K391" s="1823"/>
      <c r="L391" s="555"/>
      <c r="M391" s="554"/>
      <c r="N391" s="553"/>
      <c r="V391" s="674"/>
      <c r="W391" s="675"/>
      <c r="AC391" s="675"/>
      <c r="AD391" s="680"/>
      <c r="AE391" s="675" t="s">
        <v>1138</v>
      </c>
      <c r="AG391" s="675"/>
    </row>
    <row r="392" spans="1:34" s="536" customFormat="1" ht="12" x14ac:dyDescent="0.2">
      <c r="A392" s="548"/>
      <c r="B392" s="552"/>
      <c r="C392" s="1822" t="s">
        <v>403</v>
      </c>
      <c r="D392" s="1822"/>
      <c r="E392" s="1822"/>
      <c r="F392" s="1822"/>
      <c r="G392" s="1822"/>
      <c r="H392" s="1822"/>
      <c r="I392" s="1822"/>
      <c r="J392" s="1822"/>
      <c r="K392" s="1822"/>
      <c r="L392" s="551">
        <v>9203.99</v>
      </c>
      <c r="M392" s="550"/>
      <c r="N392" s="549"/>
      <c r="V392" s="674"/>
      <c r="W392" s="675"/>
      <c r="AC392" s="675"/>
      <c r="AD392" s="680"/>
      <c r="AE392" s="675"/>
      <c r="AF392" s="537" t="s">
        <v>403</v>
      </c>
      <c r="AG392" s="675"/>
    </row>
    <row r="393" spans="1:34" s="536" customFormat="1" ht="12" x14ac:dyDescent="0.2">
      <c r="A393" s="548"/>
      <c r="B393" s="552"/>
      <c r="C393" s="1822" t="s">
        <v>204</v>
      </c>
      <c r="D393" s="1822"/>
      <c r="E393" s="1822"/>
      <c r="F393" s="1822"/>
      <c r="G393" s="1822"/>
      <c r="H393" s="1822"/>
      <c r="I393" s="1822"/>
      <c r="J393" s="1822"/>
      <c r="K393" s="1822"/>
      <c r="L393" s="551"/>
      <c r="M393" s="550"/>
      <c r="N393" s="549"/>
      <c r="V393" s="674"/>
      <c r="W393" s="675"/>
      <c r="AC393" s="675"/>
      <c r="AD393" s="680"/>
      <c r="AE393" s="675"/>
      <c r="AF393" s="537" t="s">
        <v>204</v>
      </c>
      <c r="AG393" s="675"/>
    </row>
    <row r="394" spans="1:34" s="536" customFormat="1" ht="12" x14ac:dyDescent="0.2">
      <c r="A394" s="548"/>
      <c r="B394" s="552"/>
      <c r="C394" s="1822" t="s">
        <v>480</v>
      </c>
      <c r="D394" s="1822"/>
      <c r="E394" s="1822"/>
      <c r="F394" s="1822"/>
      <c r="G394" s="1822"/>
      <c r="H394" s="1822"/>
      <c r="I394" s="1822"/>
      <c r="J394" s="1822"/>
      <c r="K394" s="1822"/>
      <c r="L394" s="551">
        <v>9203.99</v>
      </c>
      <c r="M394" s="550"/>
      <c r="N394" s="549"/>
      <c r="V394" s="674"/>
      <c r="W394" s="675"/>
      <c r="AC394" s="675"/>
      <c r="AD394" s="680"/>
      <c r="AE394" s="675"/>
      <c r="AF394" s="537" t="s">
        <v>480</v>
      </c>
      <c r="AG394" s="675"/>
    </row>
    <row r="395" spans="1:34" s="536" customFormat="1" ht="12" x14ac:dyDescent="0.2">
      <c r="A395" s="548"/>
      <c r="B395" s="552"/>
      <c r="C395" s="1822" t="s">
        <v>407</v>
      </c>
      <c r="D395" s="1822"/>
      <c r="E395" s="1822"/>
      <c r="F395" s="1822"/>
      <c r="G395" s="1822"/>
      <c r="H395" s="1822"/>
      <c r="I395" s="1822"/>
      <c r="J395" s="1822"/>
      <c r="K395" s="1822"/>
      <c r="L395" s="551">
        <v>9203.99</v>
      </c>
      <c r="M395" s="550"/>
      <c r="N395" s="549"/>
      <c r="V395" s="674"/>
      <c r="W395" s="675"/>
      <c r="AC395" s="675"/>
      <c r="AD395" s="680"/>
      <c r="AE395" s="675"/>
      <c r="AF395" s="537" t="s">
        <v>407</v>
      </c>
      <c r="AG395" s="675"/>
    </row>
    <row r="396" spans="1:34" s="536" customFormat="1" ht="12" x14ac:dyDescent="0.2">
      <c r="A396" s="548"/>
      <c r="B396" s="552"/>
      <c r="C396" s="1822" t="s">
        <v>204</v>
      </c>
      <c r="D396" s="1822"/>
      <c r="E396" s="1822"/>
      <c r="F396" s="1822"/>
      <c r="G396" s="1822"/>
      <c r="H396" s="1822"/>
      <c r="I396" s="1822"/>
      <c r="J396" s="1822"/>
      <c r="K396" s="1822"/>
      <c r="L396" s="551"/>
      <c r="M396" s="550"/>
      <c r="N396" s="549"/>
      <c r="V396" s="674"/>
      <c r="W396" s="675"/>
      <c r="AC396" s="675"/>
      <c r="AD396" s="680"/>
      <c r="AE396" s="675"/>
      <c r="AF396" s="537" t="s">
        <v>204</v>
      </c>
      <c r="AG396" s="675"/>
    </row>
    <row r="397" spans="1:34" s="536" customFormat="1" ht="12" x14ac:dyDescent="0.2">
      <c r="A397" s="548"/>
      <c r="B397" s="552"/>
      <c r="C397" s="1822" t="s">
        <v>547</v>
      </c>
      <c r="D397" s="1822"/>
      <c r="E397" s="1822"/>
      <c r="F397" s="1822"/>
      <c r="G397" s="1822"/>
      <c r="H397" s="1822"/>
      <c r="I397" s="1822"/>
      <c r="J397" s="1822"/>
      <c r="K397" s="1822"/>
      <c r="L397" s="551">
        <v>9203.99</v>
      </c>
      <c r="M397" s="550"/>
      <c r="N397" s="549"/>
      <c r="V397" s="674"/>
      <c r="W397" s="675"/>
      <c r="AC397" s="675"/>
      <c r="AD397" s="680"/>
      <c r="AE397" s="675"/>
      <c r="AF397" s="537" t="s">
        <v>547</v>
      </c>
      <c r="AG397" s="675"/>
    </row>
    <row r="398" spans="1:34" s="536" customFormat="1" ht="22.5" x14ac:dyDescent="0.2">
      <c r="A398" s="548"/>
      <c r="B398" s="546"/>
      <c r="C398" s="1819" t="s">
        <v>1139</v>
      </c>
      <c r="D398" s="1819"/>
      <c r="E398" s="1819"/>
      <c r="F398" s="1819"/>
      <c r="G398" s="1819"/>
      <c r="H398" s="1819"/>
      <c r="I398" s="1819"/>
      <c r="J398" s="1819"/>
      <c r="K398" s="1819"/>
      <c r="L398" s="544">
        <v>9203.99</v>
      </c>
      <c r="M398" s="543"/>
      <c r="N398" s="681"/>
      <c r="V398" s="674"/>
      <c r="W398" s="675"/>
      <c r="AC398" s="675"/>
      <c r="AD398" s="680"/>
      <c r="AE398" s="675"/>
      <c r="AG398" s="675" t="s">
        <v>1139</v>
      </c>
    </row>
    <row r="399" spans="1:34" s="536" customFormat="1" ht="2.25" customHeight="1" x14ac:dyDescent="0.2">
      <c r="B399" s="561"/>
      <c r="C399" s="561"/>
      <c r="D399" s="561"/>
      <c r="E399" s="561"/>
      <c r="F399" s="561"/>
      <c r="G399" s="561"/>
      <c r="H399" s="561"/>
      <c r="I399" s="561"/>
      <c r="J399" s="561"/>
      <c r="K399" s="561"/>
      <c r="L399" s="560"/>
      <c r="M399" s="559"/>
      <c r="N399" s="558"/>
    </row>
    <row r="400" spans="1:34" s="536" customFormat="1" x14ac:dyDescent="0.2">
      <c r="A400" s="557"/>
      <c r="B400" s="556"/>
      <c r="C400" s="1823" t="s">
        <v>205</v>
      </c>
      <c r="D400" s="1823"/>
      <c r="E400" s="1823"/>
      <c r="F400" s="1823"/>
      <c r="G400" s="1823"/>
      <c r="H400" s="1823"/>
      <c r="I400" s="1823"/>
      <c r="J400" s="1823"/>
      <c r="K400" s="1823"/>
      <c r="L400" s="555"/>
      <c r="M400" s="554"/>
      <c r="N400" s="553"/>
      <c r="AH400" s="675" t="s">
        <v>205</v>
      </c>
    </row>
    <row r="401" spans="1:35" s="536" customFormat="1" x14ac:dyDescent="0.2">
      <c r="A401" s="548"/>
      <c r="B401" s="552"/>
      <c r="C401" s="1822" t="s">
        <v>403</v>
      </c>
      <c r="D401" s="1822"/>
      <c r="E401" s="1822"/>
      <c r="F401" s="1822"/>
      <c r="G401" s="1822"/>
      <c r="H401" s="1822"/>
      <c r="I401" s="1822"/>
      <c r="J401" s="1822"/>
      <c r="K401" s="1822"/>
      <c r="L401" s="551">
        <v>639199.23</v>
      </c>
      <c r="M401" s="550"/>
      <c r="N401" s="549"/>
      <c r="AH401" s="675"/>
      <c r="AI401" s="537" t="s">
        <v>403</v>
      </c>
    </row>
    <row r="402" spans="1:35" s="536" customFormat="1" x14ac:dyDescent="0.2">
      <c r="A402" s="548"/>
      <c r="B402" s="552"/>
      <c r="C402" s="1822" t="s">
        <v>204</v>
      </c>
      <c r="D402" s="1822"/>
      <c r="E402" s="1822"/>
      <c r="F402" s="1822"/>
      <c r="G402" s="1822"/>
      <c r="H402" s="1822"/>
      <c r="I402" s="1822"/>
      <c r="J402" s="1822"/>
      <c r="K402" s="1822"/>
      <c r="L402" s="551"/>
      <c r="M402" s="550"/>
      <c r="N402" s="549"/>
      <c r="AH402" s="675"/>
      <c r="AI402" s="537" t="s">
        <v>204</v>
      </c>
    </row>
    <row r="403" spans="1:35" s="536" customFormat="1" x14ac:dyDescent="0.2">
      <c r="A403" s="548"/>
      <c r="B403" s="552"/>
      <c r="C403" s="1822" t="s">
        <v>404</v>
      </c>
      <c r="D403" s="1822"/>
      <c r="E403" s="1822"/>
      <c r="F403" s="1822"/>
      <c r="G403" s="1822"/>
      <c r="H403" s="1822"/>
      <c r="I403" s="1822"/>
      <c r="J403" s="1822"/>
      <c r="K403" s="1822"/>
      <c r="L403" s="551">
        <v>25049.03</v>
      </c>
      <c r="M403" s="550"/>
      <c r="N403" s="549"/>
      <c r="AH403" s="675"/>
      <c r="AI403" s="537" t="s">
        <v>404</v>
      </c>
    </row>
    <row r="404" spans="1:35" s="536" customFormat="1" x14ac:dyDescent="0.2">
      <c r="A404" s="548"/>
      <c r="B404" s="552"/>
      <c r="C404" s="1822" t="s">
        <v>405</v>
      </c>
      <c r="D404" s="1822"/>
      <c r="E404" s="1822"/>
      <c r="F404" s="1822"/>
      <c r="G404" s="1822"/>
      <c r="H404" s="1822"/>
      <c r="I404" s="1822"/>
      <c r="J404" s="1822"/>
      <c r="K404" s="1822"/>
      <c r="L404" s="551">
        <v>41137.01</v>
      </c>
      <c r="M404" s="550"/>
      <c r="N404" s="549"/>
      <c r="AH404" s="675"/>
      <c r="AI404" s="537" t="s">
        <v>405</v>
      </c>
    </row>
    <row r="405" spans="1:35" s="536" customFormat="1" x14ac:dyDescent="0.2">
      <c r="A405" s="548"/>
      <c r="B405" s="552"/>
      <c r="C405" s="1822" t="s">
        <v>406</v>
      </c>
      <c r="D405" s="1822"/>
      <c r="E405" s="1822"/>
      <c r="F405" s="1822"/>
      <c r="G405" s="1822"/>
      <c r="H405" s="1822"/>
      <c r="I405" s="1822"/>
      <c r="J405" s="1822"/>
      <c r="K405" s="1822"/>
      <c r="L405" s="551">
        <v>4194.5600000000004</v>
      </c>
      <c r="M405" s="550"/>
      <c r="N405" s="549"/>
      <c r="AH405" s="675"/>
      <c r="AI405" s="537" t="s">
        <v>406</v>
      </c>
    </row>
    <row r="406" spans="1:35" s="536" customFormat="1" x14ac:dyDescent="0.2">
      <c r="A406" s="548"/>
      <c r="B406" s="552"/>
      <c r="C406" s="1822" t="s">
        <v>480</v>
      </c>
      <c r="D406" s="1822"/>
      <c r="E406" s="1822"/>
      <c r="F406" s="1822"/>
      <c r="G406" s="1822"/>
      <c r="H406" s="1822"/>
      <c r="I406" s="1822"/>
      <c r="J406" s="1822"/>
      <c r="K406" s="1822"/>
      <c r="L406" s="551">
        <v>573013.18999999994</v>
      </c>
      <c r="M406" s="550"/>
      <c r="N406" s="549"/>
      <c r="AH406" s="675"/>
      <c r="AI406" s="537" t="s">
        <v>480</v>
      </c>
    </row>
    <row r="407" spans="1:35" s="536" customFormat="1" x14ac:dyDescent="0.2">
      <c r="A407" s="548"/>
      <c r="B407" s="552"/>
      <c r="C407" s="1822" t="s">
        <v>407</v>
      </c>
      <c r="D407" s="1822"/>
      <c r="E407" s="1822"/>
      <c r="F407" s="1822"/>
      <c r="G407" s="1822"/>
      <c r="H407" s="1822"/>
      <c r="I407" s="1822"/>
      <c r="J407" s="1822"/>
      <c r="K407" s="1822"/>
      <c r="L407" s="551">
        <v>599489.94999999995</v>
      </c>
      <c r="M407" s="550"/>
      <c r="N407" s="549">
        <v>4987757</v>
      </c>
      <c r="AH407" s="675"/>
      <c r="AI407" s="537" t="s">
        <v>407</v>
      </c>
    </row>
    <row r="408" spans="1:35" s="536" customFormat="1" x14ac:dyDescent="0.2">
      <c r="A408" s="548"/>
      <c r="B408" s="552" t="s">
        <v>185</v>
      </c>
      <c r="C408" s="1822" t="s">
        <v>408</v>
      </c>
      <c r="D408" s="1822"/>
      <c r="E408" s="1822"/>
      <c r="F408" s="1822"/>
      <c r="G408" s="1822"/>
      <c r="H408" s="1822"/>
      <c r="I408" s="1822"/>
      <c r="J408" s="1822"/>
      <c r="K408" s="1822"/>
      <c r="L408" s="551">
        <v>596885.54</v>
      </c>
      <c r="M408" s="550">
        <v>8.32</v>
      </c>
      <c r="N408" s="549">
        <v>4966088</v>
      </c>
      <c r="AH408" s="675"/>
      <c r="AI408" s="537" t="s">
        <v>408</v>
      </c>
    </row>
    <row r="409" spans="1:35" s="536" customFormat="1" x14ac:dyDescent="0.2">
      <c r="A409" s="548"/>
      <c r="B409" s="552"/>
      <c r="C409" s="1822" t="s">
        <v>409</v>
      </c>
      <c r="D409" s="1822"/>
      <c r="E409" s="1822"/>
      <c r="F409" s="1822"/>
      <c r="G409" s="1822"/>
      <c r="H409" s="1822"/>
      <c r="I409" s="1822"/>
      <c r="J409" s="1822"/>
      <c r="K409" s="1822"/>
      <c r="L409" s="551"/>
      <c r="M409" s="550"/>
      <c r="N409" s="549"/>
      <c r="AH409" s="675"/>
      <c r="AI409" s="537" t="s">
        <v>409</v>
      </c>
    </row>
    <row r="410" spans="1:35" s="536" customFormat="1" x14ac:dyDescent="0.2">
      <c r="A410" s="548"/>
      <c r="B410" s="552"/>
      <c r="C410" s="1822" t="s">
        <v>410</v>
      </c>
      <c r="D410" s="1822"/>
      <c r="E410" s="1822"/>
      <c r="F410" s="1822"/>
      <c r="G410" s="1822"/>
      <c r="H410" s="1822"/>
      <c r="I410" s="1822"/>
      <c r="J410" s="1822"/>
      <c r="K410" s="1822"/>
      <c r="L410" s="551">
        <v>13021.91</v>
      </c>
      <c r="M410" s="550"/>
      <c r="N410" s="549"/>
      <c r="AH410" s="675"/>
      <c r="AI410" s="537" t="s">
        <v>410</v>
      </c>
    </row>
    <row r="411" spans="1:35" s="536" customFormat="1" x14ac:dyDescent="0.2">
      <c r="A411" s="548"/>
      <c r="B411" s="552"/>
      <c r="C411" s="1822" t="s">
        <v>411</v>
      </c>
      <c r="D411" s="1822"/>
      <c r="E411" s="1822"/>
      <c r="F411" s="1822"/>
      <c r="G411" s="1822"/>
      <c r="H411" s="1822"/>
      <c r="I411" s="1822"/>
      <c r="J411" s="1822"/>
      <c r="K411" s="1822"/>
      <c r="L411" s="551">
        <v>20620.34</v>
      </c>
      <c r="M411" s="550"/>
      <c r="N411" s="549"/>
      <c r="AH411" s="675"/>
      <c r="AI411" s="537" t="s">
        <v>411</v>
      </c>
    </row>
    <row r="412" spans="1:35" s="536" customFormat="1" x14ac:dyDescent="0.2">
      <c r="A412" s="548"/>
      <c r="B412" s="552"/>
      <c r="C412" s="1822" t="s">
        <v>481</v>
      </c>
      <c r="D412" s="1822"/>
      <c r="E412" s="1822"/>
      <c r="F412" s="1822"/>
      <c r="G412" s="1822"/>
      <c r="H412" s="1822"/>
      <c r="I412" s="1822"/>
      <c r="J412" s="1822"/>
      <c r="K412" s="1822"/>
      <c r="L412" s="551">
        <v>538220.12</v>
      </c>
      <c r="M412" s="550"/>
      <c r="N412" s="549"/>
      <c r="AH412" s="675"/>
      <c r="AI412" s="537" t="s">
        <v>481</v>
      </c>
    </row>
    <row r="413" spans="1:35" s="536" customFormat="1" x14ac:dyDescent="0.2">
      <c r="A413" s="548"/>
      <c r="B413" s="552"/>
      <c r="C413" s="1822" t="s">
        <v>412</v>
      </c>
      <c r="D413" s="1822"/>
      <c r="E413" s="1822"/>
      <c r="F413" s="1822"/>
      <c r="G413" s="1822"/>
      <c r="H413" s="1822"/>
      <c r="I413" s="1822"/>
      <c r="J413" s="1822"/>
      <c r="K413" s="1822"/>
      <c r="L413" s="551">
        <v>15747.85</v>
      </c>
      <c r="M413" s="550"/>
      <c r="N413" s="549"/>
      <c r="AH413" s="675"/>
      <c r="AI413" s="537" t="s">
        <v>412</v>
      </c>
    </row>
    <row r="414" spans="1:35" s="536" customFormat="1" x14ac:dyDescent="0.2">
      <c r="A414" s="548"/>
      <c r="B414" s="552"/>
      <c r="C414" s="1822" t="s">
        <v>413</v>
      </c>
      <c r="D414" s="1822"/>
      <c r="E414" s="1822"/>
      <c r="F414" s="1822"/>
      <c r="G414" s="1822"/>
      <c r="H414" s="1822"/>
      <c r="I414" s="1822"/>
      <c r="J414" s="1822"/>
      <c r="K414" s="1822"/>
      <c r="L414" s="551">
        <v>9275.32</v>
      </c>
      <c r="M414" s="550"/>
      <c r="N414" s="549"/>
      <c r="AH414" s="675"/>
      <c r="AI414" s="537" t="s">
        <v>413</v>
      </c>
    </row>
    <row r="415" spans="1:35" s="536" customFormat="1" x14ac:dyDescent="0.2">
      <c r="A415" s="548"/>
      <c r="B415" s="552" t="s">
        <v>185</v>
      </c>
      <c r="C415" s="1822" t="s">
        <v>414</v>
      </c>
      <c r="D415" s="1822"/>
      <c r="E415" s="1822"/>
      <c r="F415" s="1822"/>
      <c r="G415" s="1822"/>
      <c r="H415" s="1822"/>
      <c r="I415" s="1822"/>
      <c r="J415" s="1822"/>
      <c r="K415" s="1822"/>
      <c r="L415" s="551">
        <v>2604.41</v>
      </c>
      <c r="M415" s="550">
        <v>8.32</v>
      </c>
      <c r="N415" s="549">
        <v>21669</v>
      </c>
      <c r="AH415" s="675"/>
      <c r="AI415" s="537" t="s">
        <v>414</v>
      </c>
    </row>
    <row r="416" spans="1:35" s="536" customFormat="1" x14ac:dyDescent="0.2">
      <c r="A416" s="548"/>
      <c r="B416" s="552" t="s">
        <v>185</v>
      </c>
      <c r="C416" s="1822" t="s">
        <v>753</v>
      </c>
      <c r="D416" s="1822"/>
      <c r="E416" s="1822"/>
      <c r="F416" s="1822"/>
      <c r="G416" s="1822"/>
      <c r="H416" s="1822"/>
      <c r="I416" s="1822"/>
      <c r="J416" s="1822"/>
      <c r="K416" s="1822"/>
      <c r="L416" s="551">
        <v>83979.34</v>
      </c>
      <c r="M416" s="550">
        <v>8.32</v>
      </c>
      <c r="N416" s="549">
        <v>698708</v>
      </c>
      <c r="AH416" s="675"/>
      <c r="AI416" s="537" t="s">
        <v>753</v>
      </c>
    </row>
    <row r="417" spans="1:36" x14ac:dyDescent="0.2">
      <c r="A417" s="548"/>
      <c r="B417" s="552"/>
      <c r="C417" s="1822" t="s">
        <v>204</v>
      </c>
      <c r="D417" s="1822"/>
      <c r="E417" s="1822"/>
      <c r="F417" s="1822"/>
      <c r="G417" s="1822"/>
      <c r="H417" s="1822"/>
      <c r="I417" s="1822"/>
      <c r="J417" s="1822"/>
      <c r="K417" s="1822"/>
      <c r="L417" s="551"/>
      <c r="M417" s="550"/>
      <c r="N417" s="549"/>
      <c r="P417" s="536"/>
      <c r="Q417" s="536"/>
      <c r="R417" s="536"/>
      <c r="S417" s="536"/>
      <c r="T417" s="536"/>
      <c r="U417" s="536"/>
      <c r="V417" s="536"/>
      <c r="W417" s="536"/>
      <c r="X417" s="536"/>
      <c r="Y417" s="536"/>
      <c r="Z417" s="536"/>
      <c r="AA417" s="536"/>
      <c r="AB417" s="536"/>
      <c r="AC417" s="536"/>
      <c r="AD417" s="536"/>
      <c r="AE417" s="536"/>
      <c r="AF417" s="536"/>
      <c r="AG417" s="536"/>
      <c r="AH417" s="675"/>
      <c r="AI417" s="537" t="s">
        <v>204</v>
      </c>
      <c r="AJ417" s="536"/>
    </row>
    <row r="418" spans="1:36" x14ac:dyDescent="0.2">
      <c r="A418" s="548"/>
      <c r="B418" s="552"/>
      <c r="C418" s="1822" t="s">
        <v>546</v>
      </c>
      <c r="D418" s="1822"/>
      <c r="E418" s="1822"/>
      <c r="F418" s="1822"/>
      <c r="G418" s="1822"/>
      <c r="H418" s="1822"/>
      <c r="I418" s="1822"/>
      <c r="J418" s="1822"/>
      <c r="K418" s="1822"/>
      <c r="L418" s="551">
        <v>12027.12</v>
      </c>
      <c r="M418" s="550"/>
      <c r="N418" s="549"/>
      <c r="P418" s="536"/>
      <c r="Q418" s="536"/>
      <c r="R418" s="536"/>
      <c r="S418" s="536"/>
      <c r="T418" s="536"/>
      <c r="U418" s="536"/>
      <c r="V418" s="536"/>
      <c r="W418" s="536"/>
      <c r="X418" s="536"/>
      <c r="Y418" s="536"/>
      <c r="Z418" s="536"/>
      <c r="AA418" s="536"/>
      <c r="AB418" s="536"/>
      <c r="AC418" s="536"/>
      <c r="AD418" s="536"/>
      <c r="AE418" s="536"/>
      <c r="AF418" s="536"/>
      <c r="AG418" s="536"/>
      <c r="AH418" s="675"/>
      <c r="AI418" s="537" t="s">
        <v>546</v>
      </c>
      <c r="AJ418" s="536"/>
    </row>
    <row r="419" spans="1:36" x14ac:dyDescent="0.2">
      <c r="A419" s="548"/>
      <c r="B419" s="552"/>
      <c r="C419" s="1822" t="s">
        <v>442</v>
      </c>
      <c r="D419" s="1822"/>
      <c r="E419" s="1822"/>
      <c r="F419" s="1822"/>
      <c r="G419" s="1822"/>
      <c r="H419" s="1822"/>
      <c r="I419" s="1822"/>
      <c r="J419" s="1822"/>
      <c r="K419" s="1822"/>
      <c r="L419" s="551">
        <v>17912.259999999998</v>
      </c>
      <c r="M419" s="550"/>
      <c r="N419" s="549"/>
      <c r="P419" s="536"/>
      <c r="Q419" s="536"/>
      <c r="R419" s="536"/>
      <c r="S419" s="536"/>
      <c r="T419" s="536"/>
      <c r="U419" s="536"/>
      <c r="V419" s="536"/>
      <c r="W419" s="536"/>
      <c r="X419" s="536"/>
      <c r="Y419" s="536"/>
      <c r="Z419" s="536"/>
      <c r="AA419" s="536"/>
      <c r="AB419" s="536"/>
      <c r="AC419" s="536"/>
      <c r="AD419" s="536"/>
      <c r="AE419" s="536"/>
      <c r="AF419" s="536"/>
      <c r="AG419" s="536"/>
      <c r="AH419" s="675"/>
      <c r="AI419" s="537" t="s">
        <v>442</v>
      </c>
      <c r="AJ419" s="536"/>
    </row>
    <row r="420" spans="1:36" x14ac:dyDescent="0.2">
      <c r="A420" s="548"/>
      <c r="B420" s="552"/>
      <c r="C420" s="1822" t="s">
        <v>547</v>
      </c>
      <c r="D420" s="1822"/>
      <c r="E420" s="1822"/>
      <c r="F420" s="1822"/>
      <c r="G420" s="1822"/>
      <c r="H420" s="1822"/>
      <c r="I420" s="1822"/>
      <c r="J420" s="1822"/>
      <c r="K420" s="1822"/>
      <c r="L420" s="551">
        <v>34793.07</v>
      </c>
      <c r="M420" s="550"/>
      <c r="N420" s="549"/>
      <c r="P420" s="536"/>
      <c r="Q420" s="536"/>
      <c r="R420" s="536"/>
      <c r="S420" s="536"/>
      <c r="T420" s="536"/>
      <c r="U420" s="536"/>
      <c r="V420" s="536"/>
      <c r="W420" s="536"/>
      <c r="X420" s="536"/>
      <c r="Y420" s="536"/>
      <c r="Z420" s="536"/>
      <c r="AA420" s="536"/>
      <c r="AB420" s="536"/>
      <c r="AC420" s="536"/>
      <c r="AD420" s="536"/>
      <c r="AE420" s="536"/>
      <c r="AF420" s="536"/>
      <c r="AG420" s="536"/>
      <c r="AH420" s="675"/>
      <c r="AI420" s="537" t="s">
        <v>547</v>
      </c>
      <c r="AJ420" s="536"/>
    </row>
    <row r="421" spans="1:36" x14ac:dyDescent="0.2">
      <c r="A421" s="548"/>
      <c r="B421" s="552"/>
      <c r="C421" s="1822" t="s">
        <v>443</v>
      </c>
      <c r="D421" s="1822"/>
      <c r="E421" s="1822"/>
      <c r="F421" s="1822"/>
      <c r="G421" s="1822"/>
      <c r="H421" s="1822"/>
      <c r="I421" s="1822"/>
      <c r="J421" s="1822"/>
      <c r="K421" s="1822"/>
      <c r="L421" s="551">
        <v>12710.09</v>
      </c>
      <c r="M421" s="550"/>
      <c r="N421" s="549"/>
      <c r="P421" s="536"/>
      <c r="Q421" s="536"/>
      <c r="R421" s="536"/>
      <c r="S421" s="536"/>
      <c r="T421" s="536"/>
      <c r="U421" s="536"/>
      <c r="V421" s="536"/>
      <c r="W421" s="536"/>
      <c r="X421" s="536"/>
      <c r="Y421" s="536"/>
      <c r="Z421" s="536"/>
      <c r="AA421" s="536"/>
      <c r="AB421" s="536"/>
      <c r="AC421" s="536"/>
      <c r="AD421" s="536"/>
      <c r="AE421" s="536"/>
      <c r="AF421" s="536"/>
      <c r="AG421" s="536"/>
      <c r="AH421" s="675"/>
      <c r="AI421" s="537" t="s">
        <v>443</v>
      </c>
      <c r="AJ421" s="536"/>
    </row>
    <row r="422" spans="1:36" x14ac:dyDescent="0.2">
      <c r="A422" s="548"/>
      <c r="B422" s="552"/>
      <c r="C422" s="1822" t="s">
        <v>444</v>
      </c>
      <c r="D422" s="1822"/>
      <c r="E422" s="1822"/>
      <c r="F422" s="1822"/>
      <c r="G422" s="1822"/>
      <c r="H422" s="1822"/>
      <c r="I422" s="1822"/>
      <c r="J422" s="1822"/>
      <c r="K422" s="1822"/>
      <c r="L422" s="551">
        <v>6536.8</v>
      </c>
      <c r="M422" s="550"/>
      <c r="N422" s="549"/>
      <c r="P422" s="536"/>
      <c r="Q422" s="536"/>
      <c r="R422" s="536"/>
      <c r="S422" s="536"/>
      <c r="T422" s="536"/>
      <c r="U422" s="536"/>
      <c r="V422" s="536"/>
      <c r="W422" s="536"/>
      <c r="X422" s="536"/>
      <c r="Y422" s="536"/>
      <c r="Z422" s="536"/>
      <c r="AA422" s="536"/>
      <c r="AB422" s="536"/>
      <c r="AC422" s="536"/>
      <c r="AD422" s="536"/>
      <c r="AE422" s="536"/>
      <c r="AF422" s="536"/>
      <c r="AG422" s="536"/>
      <c r="AH422" s="675"/>
      <c r="AI422" s="537" t="s">
        <v>444</v>
      </c>
      <c r="AJ422" s="536"/>
    </row>
    <row r="423" spans="1:36" x14ac:dyDescent="0.2">
      <c r="A423" s="548"/>
      <c r="B423" s="552" t="s">
        <v>186</v>
      </c>
      <c r="C423" s="1822" t="s">
        <v>754</v>
      </c>
      <c r="D423" s="1822"/>
      <c r="E423" s="1822"/>
      <c r="F423" s="1822"/>
      <c r="G423" s="1822"/>
      <c r="H423" s="1822"/>
      <c r="I423" s="1822"/>
      <c r="J423" s="1822"/>
      <c r="K423" s="1822"/>
      <c r="L423" s="551">
        <v>2456.87</v>
      </c>
      <c r="M423" s="550">
        <v>4.59</v>
      </c>
      <c r="N423" s="549">
        <v>11277</v>
      </c>
      <c r="P423" s="536"/>
      <c r="Q423" s="536"/>
      <c r="R423" s="536"/>
      <c r="S423" s="536"/>
      <c r="T423" s="536"/>
      <c r="U423" s="536"/>
      <c r="V423" s="536"/>
      <c r="W423" s="536"/>
      <c r="X423" s="536"/>
      <c r="Y423" s="536"/>
      <c r="Z423" s="536"/>
      <c r="AA423" s="536"/>
      <c r="AB423" s="536"/>
      <c r="AC423" s="536"/>
      <c r="AD423" s="536"/>
      <c r="AE423" s="536"/>
      <c r="AF423" s="536"/>
      <c r="AG423" s="536"/>
      <c r="AH423" s="675"/>
      <c r="AI423" s="537" t="s">
        <v>754</v>
      </c>
      <c r="AJ423" s="536"/>
    </row>
    <row r="424" spans="1:36" x14ac:dyDescent="0.2">
      <c r="A424" s="548"/>
      <c r="B424" s="552"/>
      <c r="C424" s="1822" t="s">
        <v>415</v>
      </c>
      <c r="D424" s="1822"/>
      <c r="E424" s="1822"/>
      <c r="F424" s="1822"/>
      <c r="G424" s="1822"/>
      <c r="H424" s="1822"/>
      <c r="I424" s="1822"/>
      <c r="J424" s="1822"/>
      <c r="K424" s="1822"/>
      <c r="L424" s="551">
        <v>29243.59</v>
      </c>
      <c r="M424" s="550"/>
      <c r="N424" s="549"/>
      <c r="P424" s="536"/>
      <c r="Q424" s="536"/>
      <c r="R424" s="536"/>
      <c r="S424" s="536"/>
      <c r="T424" s="536"/>
      <c r="U424" s="536"/>
      <c r="V424" s="536"/>
      <c r="W424" s="536"/>
      <c r="X424" s="536"/>
      <c r="Y424" s="536"/>
      <c r="Z424" s="536"/>
      <c r="AA424" s="536"/>
      <c r="AB424" s="536"/>
      <c r="AC424" s="536"/>
      <c r="AD424" s="536"/>
      <c r="AE424" s="536"/>
      <c r="AF424" s="536"/>
      <c r="AG424" s="536"/>
      <c r="AH424" s="675"/>
      <c r="AI424" s="537" t="s">
        <v>415</v>
      </c>
      <c r="AJ424" s="536"/>
    </row>
    <row r="425" spans="1:36" x14ac:dyDescent="0.2">
      <c r="A425" s="548"/>
      <c r="B425" s="552"/>
      <c r="C425" s="1822" t="s">
        <v>416</v>
      </c>
      <c r="D425" s="1822"/>
      <c r="E425" s="1822"/>
      <c r="F425" s="1822"/>
      <c r="G425" s="1822"/>
      <c r="H425" s="1822"/>
      <c r="I425" s="1822"/>
      <c r="J425" s="1822"/>
      <c r="K425" s="1822"/>
      <c r="L425" s="551">
        <v>28457.94</v>
      </c>
      <c r="M425" s="550"/>
      <c r="N425" s="549"/>
      <c r="P425" s="536"/>
      <c r="Q425" s="536"/>
      <c r="R425" s="536"/>
      <c r="S425" s="536"/>
      <c r="T425" s="536"/>
      <c r="U425" s="536"/>
      <c r="V425" s="536"/>
      <c r="W425" s="536"/>
      <c r="X425" s="536"/>
      <c r="Y425" s="536"/>
      <c r="Z425" s="536"/>
      <c r="AA425" s="536"/>
      <c r="AB425" s="536"/>
      <c r="AC425" s="536"/>
      <c r="AD425" s="536"/>
      <c r="AE425" s="536"/>
      <c r="AF425" s="536"/>
      <c r="AG425" s="536"/>
      <c r="AH425" s="675"/>
      <c r="AI425" s="537" t="s">
        <v>416</v>
      </c>
      <c r="AJ425" s="536"/>
    </row>
    <row r="426" spans="1:36" x14ac:dyDescent="0.2">
      <c r="A426" s="548"/>
      <c r="B426" s="552"/>
      <c r="C426" s="1822" t="s">
        <v>417</v>
      </c>
      <c r="D426" s="1822"/>
      <c r="E426" s="1822"/>
      <c r="F426" s="1822"/>
      <c r="G426" s="1822"/>
      <c r="H426" s="1822"/>
      <c r="I426" s="1822"/>
      <c r="J426" s="1822"/>
      <c r="K426" s="1822"/>
      <c r="L426" s="551">
        <v>15812.12</v>
      </c>
      <c r="M426" s="550"/>
      <c r="N426" s="549"/>
      <c r="P426" s="536"/>
      <c r="Q426" s="536"/>
      <c r="R426" s="536"/>
      <c r="S426" s="536"/>
      <c r="T426" s="536"/>
      <c r="U426" s="536"/>
      <c r="V426" s="536"/>
      <c r="W426" s="536"/>
      <c r="X426" s="536"/>
      <c r="Y426" s="536"/>
      <c r="Z426" s="536"/>
      <c r="AA426" s="536"/>
      <c r="AB426" s="536"/>
      <c r="AC426" s="536"/>
      <c r="AD426" s="536"/>
      <c r="AE426" s="536"/>
      <c r="AF426" s="536"/>
      <c r="AG426" s="536"/>
      <c r="AH426" s="675"/>
      <c r="AI426" s="537" t="s">
        <v>417</v>
      </c>
      <c r="AJ426" s="536"/>
    </row>
    <row r="427" spans="1:36" x14ac:dyDescent="0.2">
      <c r="A427" s="548"/>
      <c r="B427" s="546"/>
      <c r="C427" s="1819" t="s">
        <v>206</v>
      </c>
      <c r="D427" s="1819"/>
      <c r="E427" s="1819"/>
      <c r="F427" s="1819"/>
      <c r="G427" s="1819"/>
      <c r="H427" s="1819"/>
      <c r="I427" s="1819"/>
      <c r="J427" s="1819"/>
      <c r="K427" s="1819"/>
      <c r="L427" s="544">
        <v>685926.16</v>
      </c>
      <c r="M427" s="543"/>
      <c r="N427" s="547">
        <v>5697742</v>
      </c>
      <c r="P427" s="536"/>
      <c r="Q427" s="536"/>
      <c r="R427" s="536"/>
      <c r="S427" s="536"/>
      <c r="T427" s="536"/>
      <c r="U427" s="536"/>
      <c r="V427" s="536"/>
      <c r="W427" s="536"/>
      <c r="X427" s="536"/>
      <c r="Y427" s="536"/>
      <c r="Z427" s="536"/>
      <c r="AA427" s="536"/>
      <c r="AB427" s="536"/>
      <c r="AC427" s="536"/>
      <c r="AD427" s="536"/>
      <c r="AE427" s="536"/>
      <c r="AF427" s="536"/>
      <c r="AG427" s="536"/>
      <c r="AH427" s="675"/>
      <c r="AI427" s="536"/>
      <c r="AJ427" s="675" t="s">
        <v>206</v>
      </c>
    </row>
    <row r="428" spans="1:36" x14ac:dyDescent="0.2">
      <c r="A428" s="548"/>
      <c r="B428" s="552"/>
      <c r="C428" s="1822" t="s">
        <v>204</v>
      </c>
      <c r="D428" s="1822"/>
      <c r="E428" s="1822"/>
      <c r="F428" s="1822"/>
      <c r="G428" s="1822"/>
      <c r="H428" s="1822"/>
      <c r="I428" s="1822"/>
      <c r="J428" s="1822"/>
      <c r="K428" s="1822"/>
      <c r="L428" s="551"/>
      <c r="M428" s="550"/>
      <c r="N428" s="549"/>
      <c r="P428" s="536"/>
      <c r="Q428" s="536"/>
      <c r="R428" s="536"/>
      <c r="S428" s="536"/>
      <c r="T428" s="536"/>
      <c r="U428" s="536"/>
      <c r="V428" s="536"/>
      <c r="W428" s="536"/>
      <c r="X428" s="536"/>
      <c r="Y428" s="536"/>
      <c r="Z428" s="536"/>
      <c r="AA428" s="536"/>
      <c r="AB428" s="536"/>
      <c r="AC428" s="536"/>
      <c r="AD428" s="536"/>
      <c r="AE428" s="536"/>
      <c r="AF428" s="536"/>
      <c r="AG428" s="536"/>
      <c r="AH428" s="675"/>
      <c r="AI428" s="537" t="s">
        <v>204</v>
      </c>
      <c r="AJ428" s="675"/>
    </row>
    <row r="429" spans="1:36" x14ac:dyDescent="0.2">
      <c r="A429" s="548"/>
      <c r="B429" s="552"/>
      <c r="C429" s="1822" t="s">
        <v>8095</v>
      </c>
      <c r="D429" s="1822"/>
      <c r="E429" s="1822"/>
      <c r="F429" s="1822"/>
      <c r="G429" s="1822"/>
      <c r="H429" s="1822"/>
      <c r="I429" s="1822"/>
      <c r="J429" s="1822"/>
      <c r="K429" s="1822"/>
      <c r="L429" s="551">
        <v>496577.89</v>
      </c>
      <c r="M429" s="550"/>
      <c r="N429" s="549">
        <v>4131528</v>
      </c>
      <c r="P429" s="536"/>
      <c r="Q429" s="536"/>
      <c r="R429" s="536"/>
      <c r="S429" s="536"/>
      <c r="T429" s="536"/>
      <c r="U429" s="536"/>
      <c r="V429" s="536"/>
      <c r="W429" s="536"/>
      <c r="X429" s="536"/>
      <c r="Y429" s="536"/>
      <c r="Z429" s="536"/>
      <c r="AA429" s="536"/>
      <c r="AB429" s="536"/>
      <c r="AC429" s="536"/>
      <c r="AD429" s="536"/>
      <c r="AE429" s="536"/>
      <c r="AF429" s="536"/>
      <c r="AG429" s="536"/>
      <c r="AH429" s="675"/>
      <c r="AI429" s="537" t="s">
        <v>8095</v>
      </c>
      <c r="AJ429" s="675"/>
    </row>
    <row r="430" spans="1:36" x14ac:dyDescent="0.2">
      <c r="A430" s="548"/>
      <c r="B430" s="552"/>
      <c r="C430" s="1822" t="s">
        <v>8097</v>
      </c>
      <c r="D430" s="1822"/>
      <c r="E430" s="1822"/>
      <c r="F430" s="1822"/>
      <c r="G430" s="1822"/>
      <c r="H430" s="1822"/>
      <c r="I430" s="1822"/>
      <c r="J430" s="1822"/>
      <c r="K430" s="1822"/>
      <c r="L430" s="551"/>
      <c r="M430" s="550"/>
      <c r="N430" s="549">
        <v>11277</v>
      </c>
      <c r="P430" s="536"/>
      <c r="Q430" s="536"/>
      <c r="R430" s="536"/>
      <c r="S430" s="536"/>
      <c r="T430" s="536"/>
      <c r="U430" s="536"/>
      <c r="V430" s="536"/>
      <c r="W430" s="536"/>
      <c r="X430" s="536"/>
      <c r="Y430" s="536"/>
      <c r="Z430" s="536"/>
      <c r="AA430" s="536"/>
      <c r="AB430" s="536"/>
      <c r="AC430" s="536"/>
      <c r="AD430" s="536"/>
      <c r="AE430" s="536"/>
      <c r="AF430" s="536"/>
      <c r="AG430" s="536"/>
      <c r="AH430" s="675"/>
      <c r="AI430" s="537" t="s">
        <v>8097</v>
      </c>
      <c r="AJ430" s="675"/>
    </row>
    <row r="431" spans="1:36" ht="1.5" customHeight="1" x14ac:dyDescent="0.2">
      <c r="B431" s="546"/>
      <c r="C431" s="671"/>
      <c r="D431" s="671"/>
      <c r="E431" s="671"/>
      <c r="F431" s="671"/>
      <c r="G431" s="671"/>
      <c r="H431" s="671"/>
      <c r="I431" s="671"/>
      <c r="J431" s="671"/>
      <c r="K431" s="671"/>
      <c r="L431" s="544"/>
      <c r="M431" s="543"/>
      <c r="N431" s="542"/>
      <c r="P431" s="536"/>
      <c r="Q431" s="536"/>
      <c r="R431" s="536"/>
      <c r="S431" s="536"/>
      <c r="T431" s="536"/>
      <c r="U431" s="536"/>
      <c r="V431" s="536"/>
      <c r="W431" s="536"/>
      <c r="X431" s="536"/>
      <c r="Y431" s="536"/>
      <c r="Z431" s="536"/>
      <c r="AA431" s="536"/>
      <c r="AB431" s="536"/>
      <c r="AC431" s="536"/>
      <c r="AD431" s="536"/>
      <c r="AE431" s="536"/>
      <c r="AF431" s="536"/>
      <c r="AG431" s="536"/>
      <c r="AH431" s="536"/>
      <c r="AI431" s="536"/>
      <c r="AJ431" s="536"/>
    </row>
    <row r="432" spans="1:36" ht="53.25" customHeight="1" x14ac:dyDescent="0.2">
      <c r="A432" s="541"/>
      <c r="B432" s="541"/>
      <c r="C432" s="541"/>
      <c r="D432" s="541"/>
      <c r="E432" s="541"/>
      <c r="F432" s="541"/>
      <c r="G432" s="541"/>
      <c r="H432" s="541"/>
      <c r="I432" s="541"/>
      <c r="J432" s="541"/>
      <c r="K432" s="541"/>
      <c r="L432" s="541"/>
      <c r="M432" s="541"/>
      <c r="N432" s="541"/>
      <c r="P432" s="536"/>
      <c r="Q432" s="536"/>
      <c r="R432" s="536"/>
      <c r="S432" s="536"/>
      <c r="T432" s="536"/>
      <c r="U432" s="536"/>
      <c r="V432" s="536"/>
      <c r="W432" s="536"/>
      <c r="X432" s="536"/>
      <c r="Y432" s="536"/>
      <c r="Z432" s="536"/>
      <c r="AA432" s="536"/>
      <c r="AB432" s="536"/>
      <c r="AC432" s="536"/>
      <c r="AD432" s="536"/>
      <c r="AE432" s="536"/>
      <c r="AF432" s="536"/>
      <c r="AG432" s="536"/>
      <c r="AH432" s="536"/>
      <c r="AI432" s="536"/>
      <c r="AJ432" s="536"/>
    </row>
    <row r="433" spans="2:36" x14ac:dyDescent="0.2">
      <c r="B433" s="539" t="s">
        <v>149</v>
      </c>
      <c r="C433" s="1943" t="s">
        <v>207</v>
      </c>
      <c r="D433" s="1943"/>
      <c r="E433" s="1943"/>
      <c r="F433" s="1943"/>
      <c r="G433" s="1943"/>
      <c r="H433" s="1943"/>
      <c r="I433" s="1943"/>
      <c r="J433" s="1943"/>
      <c r="K433" s="1943"/>
      <c r="L433" s="1943"/>
    </row>
    <row r="434" spans="2:36" ht="13.5" customHeight="1" x14ac:dyDescent="0.2">
      <c r="B434" s="540"/>
      <c r="C434" s="1821" t="s">
        <v>150</v>
      </c>
      <c r="D434" s="1821"/>
      <c r="E434" s="1821"/>
      <c r="F434" s="1821"/>
      <c r="G434" s="1821"/>
      <c r="H434" s="1821"/>
      <c r="I434" s="1821"/>
      <c r="J434" s="1821"/>
      <c r="K434" s="1821"/>
      <c r="L434" s="1821"/>
    </row>
    <row r="435" spans="2:36" ht="12.75" customHeight="1" x14ac:dyDescent="0.2">
      <c r="B435" s="539" t="s">
        <v>151</v>
      </c>
      <c r="C435" s="1943" t="s">
        <v>208</v>
      </c>
      <c r="D435" s="1943"/>
      <c r="E435" s="1943"/>
      <c r="F435" s="1943"/>
      <c r="G435" s="1943"/>
      <c r="H435" s="1943"/>
      <c r="I435" s="1943"/>
      <c r="J435" s="1943"/>
      <c r="K435" s="1943"/>
      <c r="L435" s="1943"/>
    </row>
    <row r="436" spans="2:36" ht="13.5" customHeight="1" x14ac:dyDescent="0.2">
      <c r="C436" s="1821" t="s">
        <v>150</v>
      </c>
      <c r="D436" s="1821"/>
      <c r="E436" s="1821"/>
      <c r="F436" s="1821"/>
      <c r="G436" s="1821"/>
      <c r="H436" s="1821"/>
      <c r="I436" s="1821"/>
      <c r="J436" s="1821"/>
      <c r="K436" s="1821"/>
      <c r="L436" s="1821"/>
    </row>
    <row r="438" spans="2:36" x14ac:dyDescent="0.2">
      <c r="B438" s="538"/>
      <c r="D438" s="538"/>
      <c r="F438" s="538"/>
      <c r="P438" s="536"/>
      <c r="Q438" s="536"/>
      <c r="R438" s="536"/>
      <c r="S438" s="536"/>
      <c r="T438" s="536"/>
      <c r="U438" s="536"/>
      <c r="V438" s="536"/>
      <c r="W438" s="536"/>
      <c r="X438" s="536"/>
      <c r="Y438" s="536"/>
      <c r="Z438" s="536"/>
      <c r="AA438" s="536"/>
      <c r="AB438" s="536"/>
      <c r="AC438" s="536"/>
      <c r="AD438" s="536"/>
      <c r="AE438" s="536"/>
      <c r="AF438" s="536"/>
      <c r="AG438" s="536"/>
      <c r="AH438" s="536"/>
      <c r="AI438" s="536"/>
      <c r="AJ438" s="536"/>
    </row>
  </sheetData>
  <mergeCells count="391">
    <mergeCell ref="C434:L434"/>
    <mergeCell ref="C435:L435"/>
    <mergeCell ref="C436:L436"/>
    <mergeCell ref="C426:K426"/>
    <mergeCell ref="C427:K427"/>
    <mergeCell ref="C428:K428"/>
    <mergeCell ref="C429:K429"/>
    <mergeCell ref="C430:K430"/>
    <mergeCell ref="C433:L433"/>
    <mergeCell ref="C420:K420"/>
    <mergeCell ref="C421:K421"/>
    <mergeCell ref="C422:K422"/>
    <mergeCell ref="C423:K423"/>
    <mergeCell ref="C424:K424"/>
    <mergeCell ref="C425:K425"/>
    <mergeCell ref="C414:K414"/>
    <mergeCell ref="C415:K415"/>
    <mergeCell ref="C416:K416"/>
    <mergeCell ref="C417:K417"/>
    <mergeCell ref="C418:K418"/>
    <mergeCell ref="C419:K419"/>
    <mergeCell ref="C408:K408"/>
    <mergeCell ref="C409:K409"/>
    <mergeCell ref="C410:K410"/>
    <mergeCell ref="C411:K411"/>
    <mergeCell ref="C412:K412"/>
    <mergeCell ref="C413:K413"/>
    <mergeCell ref="C402:K402"/>
    <mergeCell ref="C403:K403"/>
    <mergeCell ref="C404:K404"/>
    <mergeCell ref="C405:K405"/>
    <mergeCell ref="C406:K406"/>
    <mergeCell ref="C407:K407"/>
    <mergeCell ref="C395:K395"/>
    <mergeCell ref="C396:K396"/>
    <mergeCell ref="C397:K397"/>
    <mergeCell ref="C398:K398"/>
    <mergeCell ref="C400:K400"/>
    <mergeCell ref="C401:K401"/>
    <mergeCell ref="C386:E386"/>
    <mergeCell ref="C388:E388"/>
    <mergeCell ref="C391:K391"/>
    <mergeCell ref="C392:K392"/>
    <mergeCell ref="C393:K393"/>
    <mergeCell ref="C394:K394"/>
    <mergeCell ref="C379:K379"/>
    <mergeCell ref="C380:K380"/>
    <mergeCell ref="C381:K381"/>
    <mergeCell ref="A382:N382"/>
    <mergeCell ref="C383:E383"/>
    <mergeCell ref="C385:N385"/>
    <mergeCell ref="C373:K373"/>
    <mergeCell ref="C374:K374"/>
    <mergeCell ref="C375:K375"/>
    <mergeCell ref="C376:K376"/>
    <mergeCell ref="C377:K377"/>
    <mergeCell ref="C378:K378"/>
    <mergeCell ref="C367:K367"/>
    <mergeCell ref="C368:K368"/>
    <mergeCell ref="C369:K369"/>
    <mergeCell ref="C370:K370"/>
    <mergeCell ref="C371:K371"/>
    <mergeCell ref="C372:K372"/>
    <mergeCell ref="C361:K361"/>
    <mergeCell ref="C362:K362"/>
    <mergeCell ref="C363:K363"/>
    <mergeCell ref="C364:K364"/>
    <mergeCell ref="C365:K365"/>
    <mergeCell ref="C366:K366"/>
    <mergeCell ref="C355:K355"/>
    <mergeCell ref="C356:K356"/>
    <mergeCell ref="C357:K357"/>
    <mergeCell ref="C358:K358"/>
    <mergeCell ref="C359:K359"/>
    <mergeCell ref="C360:K360"/>
    <mergeCell ref="C348:E348"/>
    <mergeCell ref="C349:E349"/>
    <mergeCell ref="C350:E350"/>
    <mergeCell ref="C351:E351"/>
    <mergeCell ref="C353:K353"/>
    <mergeCell ref="C354:K354"/>
    <mergeCell ref="C342:N342"/>
    <mergeCell ref="C343:E343"/>
    <mergeCell ref="C344:E344"/>
    <mergeCell ref="C345:E345"/>
    <mergeCell ref="C346:E346"/>
    <mergeCell ref="C347:E347"/>
    <mergeCell ref="C336:E336"/>
    <mergeCell ref="C337:E337"/>
    <mergeCell ref="C338:E338"/>
    <mergeCell ref="C339:E339"/>
    <mergeCell ref="C340:E340"/>
    <mergeCell ref="C341:N341"/>
    <mergeCell ref="C330:N330"/>
    <mergeCell ref="C331:E331"/>
    <mergeCell ref="C332:E332"/>
    <mergeCell ref="C333:E333"/>
    <mergeCell ref="C334:E334"/>
    <mergeCell ref="C335:E335"/>
    <mergeCell ref="C322:E322"/>
    <mergeCell ref="C324:N324"/>
    <mergeCell ref="C325:N325"/>
    <mergeCell ref="C326:E326"/>
    <mergeCell ref="C328:N328"/>
    <mergeCell ref="C329:E329"/>
    <mergeCell ref="C314:E314"/>
    <mergeCell ref="C316:N316"/>
    <mergeCell ref="C317:N317"/>
    <mergeCell ref="C318:E318"/>
    <mergeCell ref="C320:N320"/>
    <mergeCell ref="C321:N321"/>
    <mergeCell ref="C308:E308"/>
    <mergeCell ref="C309:E309"/>
    <mergeCell ref="C310:E310"/>
    <mergeCell ref="C311:E311"/>
    <mergeCell ref="C312:E312"/>
    <mergeCell ref="C313:E313"/>
    <mergeCell ref="C302:N302"/>
    <mergeCell ref="C303:E303"/>
    <mergeCell ref="C304:E304"/>
    <mergeCell ref="C305:E305"/>
    <mergeCell ref="C306:E306"/>
    <mergeCell ref="C307:E307"/>
    <mergeCell ref="C295:N295"/>
    <mergeCell ref="C296:E296"/>
    <mergeCell ref="C298:N298"/>
    <mergeCell ref="C299:N299"/>
    <mergeCell ref="C300:E300"/>
    <mergeCell ref="C301:N301"/>
    <mergeCell ref="C288:E288"/>
    <mergeCell ref="C289:E289"/>
    <mergeCell ref="C290:E290"/>
    <mergeCell ref="C291:E291"/>
    <mergeCell ref="C292:E292"/>
    <mergeCell ref="C294:N294"/>
    <mergeCell ref="C282:E282"/>
    <mergeCell ref="C283:E283"/>
    <mergeCell ref="C284:E284"/>
    <mergeCell ref="C285:E285"/>
    <mergeCell ref="C286:E286"/>
    <mergeCell ref="C287:E287"/>
    <mergeCell ref="C275:E275"/>
    <mergeCell ref="C277:N277"/>
    <mergeCell ref="C278:E278"/>
    <mergeCell ref="C279:N279"/>
    <mergeCell ref="C280:N280"/>
    <mergeCell ref="C281:E281"/>
    <mergeCell ref="C268:E268"/>
    <mergeCell ref="C269:E269"/>
    <mergeCell ref="C270:E270"/>
    <mergeCell ref="C271:E271"/>
    <mergeCell ref="C272:E272"/>
    <mergeCell ref="C274:N274"/>
    <mergeCell ref="C262:N262"/>
    <mergeCell ref="C263:E263"/>
    <mergeCell ref="C264:E264"/>
    <mergeCell ref="C265:E265"/>
    <mergeCell ref="C266:E266"/>
    <mergeCell ref="C267:E267"/>
    <mergeCell ref="C256:E256"/>
    <mergeCell ref="C257:E257"/>
    <mergeCell ref="C258:E258"/>
    <mergeCell ref="C259:E259"/>
    <mergeCell ref="C260:E260"/>
    <mergeCell ref="C261:E261"/>
    <mergeCell ref="C250:E250"/>
    <mergeCell ref="C251:N251"/>
    <mergeCell ref="C252:E252"/>
    <mergeCell ref="C253:E253"/>
    <mergeCell ref="C254:E254"/>
    <mergeCell ref="C255:E255"/>
    <mergeCell ref="C243:E243"/>
    <mergeCell ref="C244:E244"/>
    <mergeCell ref="C245:E245"/>
    <mergeCell ref="C246:E246"/>
    <mergeCell ref="C247:E247"/>
    <mergeCell ref="C249:N249"/>
    <mergeCell ref="C237:N237"/>
    <mergeCell ref="C238:E238"/>
    <mergeCell ref="C239:E239"/>
    <mergeCell ref="C240:E240"/>
    <mergeCell ref="C241:E241"/>
    <mergeCell ref="C242:E242"/>
    <mergeCell ref="C230:E230"/>
    <mergeCell ref="C231:E231"/>
    <mergeCell ref="C232:E232"/>
    <mergeCell ref="C233:E233"/>
    <mergeCell ref="C234:E234"/>
    <mergeCell ref="C236:E236"/>
    <mergeCell ref="C224:E224"/>
    <mergeCell ref="C225:E225"/>
    <mergeCell ref="C226:E226"/>
    <mergeCell ref="C227:E227"/>
    <mergeCell ref="C228:E228"/>
    <mergeCell ref="C229:E229"/>
    <mergeCell ref="C218:N218"/>
    <mergeCell ref="C219:E219"/>
    <mergeCell ref="C220:N220"/>
    <mergeCell ref="C221:N221"/>
    <mergeCell ref="C222:E222"/>
    <mergeCell ref="C223:E223"/>
    <mergeCell ref="C209:N209"/>
    <mergeCell ref="C210:E210"/>
    <mergeCell ref="C212:N212"/>
    <mergeCell ref="C213:E213"/>
    <mergeCell ref="C215:N215"/>
    <mergeCell ref="C216:E216"/>
    <mergeCell ref="C200:N200"/>
    <mergeCell ref="C201:E201"/>
    <mergeCell ref="C203:N203"/>
    <mergeCell ref="C204:E204"/>
    <mergeCell ref="C206:N206"/>
    <mergeCell ref="C207:E207"/>
    <mergeCell ref="C193:E193"/>
    <mergeCell ref="C194:E194"/>
    <mergeCell ref="C195:E195"/>
    <mergeCell ref="C196:E196"/>
    <mergeCell ref="C197:E197"/>
    <mergeCell ref="C198:E198"/>
    <mergeCell ref="C187:E187"/>
    <mergeCell ref="C188:E188"/>
    <mergeCell ref="C189:E189"/>
    <mergeCell ref="C190:E190"/>
    <mergeCell ref="C191:E191"/>
    <mergeCell ref="C192:E192"/>
    <mergeCell ref="C180:E180"/>
    <mergeCell ref="C182:N182"/>
    <mergeCell ref="C183:E183"/>
    <mergeCell ref="C184:N184"/>
    <mergeCell ref="C185:E185"/>
    <mergeCell ref="C186:E186"/>
    <mergeCell ref="C171:E171"/>
    <mergeCell ref="C173:N173"/>
    <mergeCell ref="C174:E174"/>
    <mergeCell ref="C176:N176"/>
    <mergeCell ref="C177:E177"/>
    <mergeCell ref="C179:N179"/>
    <mergeCell ref="C164:E164"/>
    <mergeCell ref="C165:E165"/>
    <mergeCell ref="C166:E166"/>
    <mergeCell ref="C167:E167"/>
    <mergeCell ref="C168:E168"/>
    <mergeCell ref="C170:N170"/>
    <mergeCell ref="C158:N158"/>
    <mergeCell ref="C159:N159"/>
    <mergeCell ref="C160:E160"/>
    <mergeCell ref="C161:E161"/>
    <mergeCell ref="C162:E162"/>
    <mergeCell ref="C163:E163"/>
    <mergeCell ref="C151:E151"/>
    <mergeCell ref="C152:E152"/>
    <mergeCell ref="C153:E153"/>
    <mergeCell ref="C154:E154"/>
    <mergeCell ref="C156:N156"/>
    <mergeCell ref="C157:E157"/>
    <mergeCell ref="C145:E145"/>
    <mergeCell ref="C146:E146"/>
    <mergeCell ref="C147:E147"/>
    <mergeCell ref="C148:E148"/>
    <mergeCell ref="C149:E149"/>
    <mergeCell ref="C150:E150"/>
    <mergeCell ref="A139:N139"/>
    <mergeCell ref="C140:E140"/>
    <mergeCell ref="C141:N141"/>
    <mergeCell ref="C142:N142"/>
    <mergeCell ref="C143:E143"/>
    <mergeCell ref="C144:E144"/>
    <mergeCell ref="C133:K133"/>
    <mergeCell ref="C134:K134"/>
    <mergeCell ref="C135:K135"/>
    <mergeCell ref="C136:K136"/>
    <mergeCell ref="C137:K137"/>
    <mergeCell ref="C138:K138"/>
    <mergeCell ref="C127:K127"/>
    <mergeCell ref="C128:K128"/>
    <mergeCell ref="C129:K129"/>
    <mergeCell ref="C130:K130"/>
    <mergeCell ref="C131:K131"/>
    <mergeCell ref="C132:K132"/>
    <mergeCell ref="C121:K121"/>
    <mergeCell ref="C122:K122"/>
    <mergeCell ref="C123:K123"/>
    <mergeCell ref="C124:K124"/>
    <mergeCell ref="C125:K125"/>
    <mergeCell ref="C126:K126"/>
    <mergeCell ref="C114:E114"/>
    <mergeCell ref="C115:E115"/>
    <mergeCell ref="C116:E116"/>
    <mergeCell ref="C117:E117"/>
    <mergeCell ref="C119:K119"/>
    <mergeCell ref="C120:K120"/>
    <mergeCell ref="C108:E108"/>
    <mergeCell ref="C109:E109"/>
    <mergeCell ref="C110:E110"/>
    <mergeCell ref="C111:E111"/>
    <mergeCell ref="C112:E112"/>
    <mergeCell ref="C113:E113"/>
    <mergeCell ref="C102:E102"/>
    <mergeCell ref="C103:E103"/>
    <mergeCell ref="C104:E104"/>
    <mergeCell ref="C105:E105"/>
    <mergeCell ref="C106:N106"/>
    <mergeCell ref="C107:N107"/>
    <mergeCell ref="C96:N96"/>
    <mergeCell ref="C97:E97"/>
    <mergeCell ref="C98:E98"/>
    <mergeCell ref="C99:E99"/>
    <mergeCell ref="C100:E100"/>
    <mergeCell ref="C101:E101"/>
    <mergeCell ref="C89:E89"/>
    <mergeCell ref="C90:E90"/>
    <mergeCell ref="C91:E91"/>
    <mergeCell ref="C93:N93"/>
    <mergeCell ref="C94:E94"/>
    <mergeCell ref="C95:N95"/>
    <mergeCell ref="C83:E83"/>
    <mergeCell ref="C84:E84"/>
    <mergeCell ref="C85:E85"/>
    <mergeCell ref="C86:E86"/>
    <mergeCell ref="C87:E87"/>
    <mergeCell ref="C88:E88"/>
    <mergeCell ref="C77:N77"/>
    <mergeCell ref="C78:N78"/>
    <mergeCell ref="C79:E79"/>
    <mergeCell ref="C80:E80"/>
    <mergeCell ref="C81:E81"/>
    <mergeCell ref="C82:E82"/>
    <mergeCell ref="C71:E71"/>
    <mergeCell ref="C72:E72"/>
    <mergeCell ref="C73:E73"/>
    <mergeCell ref="C74:N74"/>
    <mergeCell ref="C75:N75"/>
    <mergeCell ref="C76:E76"/>
    <mergeCell ref="C65:N65"/>
    <mergeCell ref="C66:E66"/>
    <mergeCell ref="C67:E67"/>
    <mergeCell ref="C68:E68"/>
    <mergeCell ref="C69:E69"/>
    <mergeCell ref="C70:E70"/>
    <mergeCell ref="C59:E59"/>
    <mergeCell ref="C60:E60"/>
    <mergeCell ref="C61:E61"/>
    <mergeCell ref="C62:E62"/>
    <mergeCell ref="C63:N63"/>
    <mergeCell ref="C64:N64"/>
    <mergeCell ref="C53:N53"/>
    <mergeCell ref="C54:E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N52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437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6">
    <pageSetUpPr fitToPage="1"/>
  </sheetPr>
  <dimension ref="B1:I37"/>
  <sheetViews>
    <sheetView showGridLines="0" topLeftCell="B7" zoomScale="115" zoomScaleNormal="115" workbookViewId="0">
      <selection activeCell="E15" sqref="E15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20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 t="s">
        <v>3884</v>
      </c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663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3885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143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228.61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1173">
        <v>198.12</v>
      </c>
      <c r="F15" s="508"/>
      <c r="G15" s="509"/>
      <c r="H15" s="9" t="s">
        <v>641</v>
      </c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1174">
        <f>I30/E15</f>
        <v>1.1499999999999999</v>
      </c>
      <c r="F17" s="508"/>
      <c r="G17" s="509"/>
      <c r="H17" s="9" t="s">
        <v>279</v>
      </c>
      <c r="I17" s="9"/>
    </row>
    <row r="18" spans="2:9" x14ac:dyDescent="0.2">
      <c r="B18" s="6"/>
      <c r="C18" s="24" t="s">
        <v>484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x14ac:dyDescent="0.2">
      <c r="B26" s="511">
        <v>1</v>
      </c>
      <c r="C26" s="512" t="s">
        <v>3886</v>
      </c>
      <c r="D26" s="513" t="s">
        <v>604</v>
      </c>
      <c r="E26" s="514">
        <v>83.41</v>
      </c>
      <c r="F26" s="514"/>
      <c r="G26" s="514"/>
      <c r="H26" s="514"/>
      <c r="I26" s="514">
        <v>83.41</v>
      </c>
    </row>
    <row r="27" spans="2:9" x14ac:dyDescent="0.2">
      <c r="B27" s="511">
        <v>2</v>
      </c>
      <c r="C27" s="512" t="s">
        <v>3887</v>
      </c>
      <c r="D27" s="513" t="s">
        <v>1810</v>
      </c>
      <c r="E27" s="514">
        <v>34.6</v>
      </c>
      <c r="F27" s="514"/>
      <c r="G27" s="514"/>
      <c r="H27" s="514"/>
      <c r="I27" s="514">
        <v>34.6</v>
      </c>
    </row>
    <row r="28" spans="2:9" ht="25.5" x14ac:dyDescent="0.2">
      <c r="B28" s="511">
        <v>3</v>
      </c>
      <c r="C28" s="512" t="s">
        <v>3888</v>
      </c>
      <c r="D28" s="513" t="s">
        <v>609</v>
      </c>
      <c r="E28" s="514">
        <v>1.52</v>
      </c>
      <c r="F28" s="514">
        <v>36.5</v>
      </c>
      <c r="G28" s="514">
        <v>72.58</v>
      </c>
      <c r="H28" s="514"/>
      <c r="I28" s="514">
        <v>110.6</v>
      </c>
    </row>
    <row r="29" spans="2:9" x14ac:dyDescent="0.2">
      <c r="B29" s="511" t="s">
        <v>143</v>
      </c>
      <c r="C29" s="512" t="s">
        <v>143</v>
      </c>
      <c r="D29" s="513" t="s">
        <v>6725</v>
      </c>
      <c r="E29" s="514">
        <v>119.53</v>
      </c>
      <c r="F29" s="514">
        <v>36.5</v>
      </c>
      <c r="G29" s="514">
        <v>72.58</v>
      </c>
      <c r="H29" s="514"/>
      <c r="I29" s="514">
        <v>228.61</v>
      </c>
    </row>
    <row r="30" spans="2:9" x14ac:dyDescent="0.2">
      <c r="B30" s="511" t="s">
        <v>143</v>
      </c>
      <c r="C30" s="512" t="s">
        <v>143</v>
      </c>
      <c r="D30" s="515" t="s">
        <v>294</v>
      </c>
      <c r="E30" s="527">
        <v>119.53</v>
      </c>
      <c r="F30" s="527">
        <v>36.5</v>
      </c>
      <c r="G30" s="527">
        <v>72.58</v>
      </c>
      <c r="H30" s="527"/>
      <c r="I30" s="527">
        <v>228.61</v>
      </c>
    </row>
    <row r="31" spans="2:9" x14ac:dyDescent="0.2">
      <c r="B31" s="31"/>
      <c r="C31" s="32"/>
      <c r="D31" s="33"/>
      <c r="E31" s="34"/>
      <c r="F31" s="34"/>
      <c r="G31" s="34"/>
      <c r="H31" s="34"/>
      <c r="I31" s="34"/>
    </row>
    <row r="34" spans="2:9" ht="15" x14ac:dyDescent="0.2">
      <c r="B34" s="35" t="s">
        <v>149</v>
      </c>
      <c r="D34" s="516"/>
      <c r="E34" s="517"/>
      <c r="F34" s="516"/>
      <c r="G34" s="516" t="s">
        <v>296</v>
      </c>
      <c r="I34" s="518"/>
    </row>
    <row r="35" spans="2:9" ht="15" x14ac:dyDescent="0.2">
      <c r="C35" s="39"/>
      <c r="D35" s="1793" t="s">
        <v>150</v>
      </c>
      <c r="E35" s="1793"/>
      <c r="F35" s="1793"/>
      <c r="G35" s="1793"/>
      <c r="H35" s="1793"/>
      <c r="I35" s="1793"/>
    </row>
    <row r="36" spans="2:9" ht="15" x14ac:dyDescent="0.2">
      <c r="B36" s="35" t="s">
        <v>151</v>
      </c>
      <c r="D36" s="516"/>
      <c r="E36" s="517"/>
      <c r="F36" s="516"/>
      <c r="G36" s="516" t="s">
        <v>297</v>
      </c>
      <c r="H36" s="517"/>
      <c r="I36" s="518"/>
    </row>
    <row r="37" spans="2:9" x14ac:dyDescent="0.2">
      <c r="D37" s="1793" t="s">
        <v>150</v>
      </c>
      <c r="E37" s="1793"/>
      <c r="F37" s="1793"/>
      <c r="G37" s="1793"/>
      <c r="H37" s="1793"/>
      <c r="I37" s="1793"/>
    </row>
  </sheetData>
  <mergeCells count="18">
    <mergeCell ref="B25:I25"/>
    <mergeCell ref="D35:I35"/>
    <mergeCell ref="D37:I37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  <mergeCell ref="B11:I11"/>
    <mergeCell ref="C3:H3"/>
    <mergeCell ref="D4:G4"/>
    <mergeCell ref="C5:H5"/>
    <mergeCell ref="D6:G6"/>
    <mergeCell ref="D10:H10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C20"/>
  <sheetViews>
    <sheetView workbookViewId="0">
      <selection activeCell="C20" sqref="A1:C20"/>
    </sheetView>
  </sheetViews>
  <sheetFormatPr defaultRowHeight="15" x14ac:dyDescent="0.25"/>
  <cols>
    <col min="1" max="1" width="22" style="1552" customWidth="1"/>
    <col min="2" max="2" width="21.28515625" style="1552" customWidth="1"/>
    <col min="3" max="3" width="62.28515625" style="1552" customWidth="1"/>
    <col min="4" max="16384" width="9.140625" style="1552"/>
  </cols>
  <sheetData>
    <row r="1" spans="1:3" x14ac:dyDescent="0.25">
      <c r="A1" s="2413" t="s">
        <v>10362</v>
      </c>
      <c r="B1" s="2413"/>
      <c r="C1" s="2413"/>
    </row>
    <row r="2" spans="1:3" x14ac:dyDescent="0.25">
      <c r="A2" s="2413" t="s">
        <v>10363</v>
      </c>
      <c r="B2" s="2413"/>
      <c r="C2" s="2413"/>
    </row>
    <row r="3" spans="1:3" x14ac:dyDescent="0.25">
      <c r="A3" s="2414" t="s">
        <v>10318</v>
      </c>
      <c r="B3" s="2415"/>
      <c r="C3" s="2415"/>
    </row>
    <row r="4" spans="1:3" ht="38.25" customHeight="1" x14ac:dyDescent="0.25">
      <c r="A4" s="2416" t="str">
        <f>НМЦК!C3</f>
        <v>Всесезонный туристско-рекреационный комплекс «Эльбрус»,
Кабардино-Балкарская Республика. Открытая плоскостная парковка  на 800 машино-мест.</v>
      </c>
      <c r="B4" s="2417"/>
      <c r="C4" s="2417"/>
    </row>
    <row r="5" spans="1:3" ht="108" customHeight="1" x14ac:dyDescent="0.25">
      <c r="A5" s="2418" t="s">
        <v>10408</v>
      </c>
      <c r="B5" s="2418"/>
      <c r="C5" s="2418"/>
    </row>
    <row r="6" spans="1:3" ht="18" customHeight="1" x14ac:dyDescent="0.25">
      <c r="A6" s="2419" t="s">
        <v>10364</v>
      </c>
      <c r="B6" s="2419"/>
      <c r="C6" s="2419"/>
    </row>
    <row r="7" spans="1:3" ht="45" customHeight="1" x14ac:dyDescent="0.25">
      <c r="A7" s="2420" t="s">
        <v>10365</v>
      </c>
      <c r="B7" s="2420"/>
      <c r="C7" s="2420"/>
    </row>
    <row r="8" spans="1:3" x14ac:dyDescent="0.25">
      <c r="A8" s="2421" t="s">
        <v>10366</v>
      </c>
      <c r="B8" s="2421"/>
      <c r="C8" s="2421"/>
    </row>
    <row r="9" spans="1:3" ht="42.75" customHeight="1" x14ac:dyDescent="0.25">
      <c r="A9" s="2419" t="s">
        <v>10409</v>
      </c>
      <c r="B9" s="2419"/>
      <c r="C9" s="2419"/>
    </row>
    <row r="10" spans="1:3" ht="29.25" customHeight="1" x14ac:dyDescent="0.25">
      <c r="A10" s="2420" t="s">
        <v>10372</v>
      </c>
      <c r="B10" s="2420"/>
      <c r="C10" s="2420"/>
    </row>
    <row r="11" spans="1:3" x14ac:dyDescent="0.25">
      <c r="A11" s="2422" t="s">
        <v>10367</v>
      </c>
      <c r="B11" s="2422"/>
      <c r="C11" s="2422"/>
    </row>
    <row r="12" spans="1:3" ht="39" customHeight="1" x14ac:dyDescent="0.25">
      <c r="A12" s="2423" t="s">
        <v>10373</v>
      </c>
      <c r="B12" s="2423"/>
      <c r="C12" s="2423"/>
    </row>
    <row r="13" spans="1:3" ht="28.15" customHeight="1" x14ac:dyDescent="0.25">
      <c r="A13" s="2418" t="s">
        <v>10368</v>
      </c>
      <c r="B13" s="2418"/>
      <c r="C13" s="2418"/>
    </row>
    <row r="14" spans="1:3" x14ac:dyDescent="0.25">
      <c r="A14" s="2424" t="s">
        <v>10394</v>
      </c>
      <c r="B14" s="2425"/>
      <c r="C14" s="2425"/>
    </row>
    <row r="15" spans="1:3" x14ac:dyDescent="0.25">
      <c r="A15" s="2418" t="s">
        <v>10369</v>
      </c>
      <c r="B15" s="2418"/>
      <c r="C15" s="2418"/>
    </row>
    <row r="16" spans="1:3" x14ac:dyDescent="0.25">
      <c r="A16" s="2426"/>
      <c r="B16" s="2426"/>
      <c r="C16" s="2426"/>
    </row>
    <row r="17" spans="1:3" x14ac:dyDescent="0.25">
      <c r="A17" s="2427" t="s">
        <v>10370</v>
      </c>
      <c r="B17" s="2428"/>
      <c r="C17" s="2427"/>
    </row>
    <row r="18" spans="1:3" x14ac:dyDescent="0.25">
      <c r="A18" s="2422"/>
      <c r="B18" s="2422"/>
      <c r="C18" s="2422"/>
    </row>
    <row r="19" spans="1:3" x14ac:dyDescent="0.25">
      <c r="A19" s="2427"/>
      <c r="B19" s="2428">
        <f>НМЦ!E32</f>
        <v>483439657.56</v>
      </c>
      <c r="C19" s="2427" t="s">
        <v>10371</v>
      </c>
    </row>
    <row r="20" spans="1:3" x14ac:dyDescent="0.25">
      <c r="A20" s="2429"/>
      <c r="B20" s="2429"/>
      <c r="C20" s="2429"/>
    </row>
  </sheetData>
  <mergeCells count="15">
    <mergeCell ref="A13:C13"/>
    <mergeCell ref="A15:C15"/>
    <mergeCell ref="A18:C18"/>
    <mergeCell ref="A7:C7"/>
    <mergeCell ref="A8:C8"/>
    <mergeCell ref="A9:C9"/>
    <mergeCell ref="A10:C10"/>
    <mergeCell ref="A11:C11"/>
    <mergeCell ref="A12:C12"/>
    <mergeCell ref="A6:C6"/>
    <mergeCell ref="A1:C1"/>
    <mergeCell ref="A2:C2"/>
    <mergeCell ref="A3:C3"/>
    <mergeCell ref="A4:C4"/>
    <mergeCell ref="A5:C5"/>
  </mergeCells>
  <pageMargins left="0.7" right="0.7" top="0.75" bottom="0.75" header="0.3" footer="0.3"/>
  <pageSetup paperSize="9" scale="84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7">
    <pageSetUpPr fitToPage="1"/>
  </sheetPr>
  <dimension ref="B1:I36"/>
  <sheetViews>
    <sheetView showGridLines="0" topLeftCell="B10" zoomScale="115" zoomScaleNormal="115" workbookViewId="0">
      <selection activeCell="B26" sqref="B26:I28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20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 t="s">
        <v>3884</v>
      </c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663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3885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143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1631.35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1173">
        <v>198.12</v>
      </c>
      <c r="F15" s="508"/>
      <c r="G15" s="509"/>
      <c r="H15" s="691" t="s">
        <v>641</v>
      </c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1174">
        <f>I30/E15</f>
        <v>8.23</v>
      </c>
      <c r="F17" s="508"/>
      <c r="G17" s="509"/>
      <c r="H17" s="691" t="s">
        <v>279</v>
      </c>
      <c r="I17" s="9"/>
    </row>
    <row r="18" spans="2:9" x14ac:dyDescent="0.2">
      <c r="B18" s="6"/>
      <c r="C18" s="24" t="s">
        <v>487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x14ac:dyDescent="0.2">
      <c r="B26" s="511">
        <v>1</v>
      </c>
      <c r="C26" s="512" t="s">
        <v>3886</v>
      </c>
      <c r="D26" s="513" t="s">
        <v>604</v>
      </c>
      <c r="E26" s="514">
        <v>693.98</v>
      </c>
      <c r="F26" s="514"/>
      <c r="G26" s="514"/>
      <c r="H26" s="514"/>
      <c r="I26" s="514">
        <v>693.98</v>
      </c>
    </row>
    <row r="27" spans="2:9" x14ac:dyDescent="0.2">
      <c r="B27" s="511">
        <v>2</v>
      </c>
      <c r="C27" s="512" t="s">
        <v>3887</v>
      </c>
      <c r="D27" s="513" t="s">
        <v>1810</v>
      </c>
      <c r="E27" s="514">
        <v>287.89</v>
      </c>
      <c r="F27" s="514"/>
      <c r="G27" s="514"/>
      <c r="H27" s="514"/>
      <c r="I27" s="514">
        <v>287.89</v>
      </c>
    </row>
    <row r="28" spans="2:9" ht="25.5" x14ac:dyDescent="0.2">
      <c r="B28" s="511">
        <v>3</v>
      </c>
      <c r="C28" s="512" t="s">
        <v>3888</v>
      </c>
      <c r="D28" s="513" t="s">
        <v>609</v>
      </c>
      <c r="E28" s="514">
        <v>12.67</v>
      </c>
      <c r="F28" s="514">
        <v>303.69</v>
      </c>
      <c r="G28" s="514">
        <v>333.12</v>
      </c>
      <c r="H28" s="514"/>
      <c r="I28" s="514">
        <v>649.48</v>
      </c>
    </row>
    <row r="29" spans="2:9" x14ac:dyDescent="0.2">
      <c r="B29" s="511" t="s">
        <v>143</v>
      </c>
      <c r="C29" s="673" t="s">
        <v>143</v>
      </c>
      <c r="D29" s="515" t="s">
        <v>6725</v>
      </c>
      <c r="E29" s="527">
        <v>994.54</v>
      </c>
      <c r="F29" s="527">
        <v>303.69</v>
      </c>
      <c r="G29" s="527">
        <v>333.12</v>
      </c>
      <c r="H29" s="527"/>
      <c r="I29" s="527">
        <v>1631.35</v>
      </c>
    </row>
    <row r="30" spans="2:9" x14ac:dyDescent="0.2">
      <c r="B30" s="511" t="s">
        <v>143</v>
      </c>
      <c r="C30" s="512" t="s">
        <v>143</v>
      </c>
      <c r="D30" s="515" t="s">
        <v>294</v>
      </c>
      <c r="E30" s="527">
        <v>994.54</v>
      </c>
      <c r="F30" s="527">
        <v>303.69</v>
      </c>
      <c r="G30" s="527">
        <v>333.12</v>
      </c>
      <c r="H30" s="527"/>
      <c r="I30" s="527">
        <v>1631.35</v>
      </c>
    </row>
    <row r="31" spans="2:9" x14ac:dyDescent="0.2">
      <c r="B31" s="31"/>
      <c r="C31" s="32"/>
      <c r="D31" s="33"/>
      <c r="E31" s="34"/>
      <c r="F31" s="34"/>
      <c r="G31" s="34"/>
      <c r="H31" s="34"/>
      <c r="I31" s="34"/>
    </row>
    <row r="33" spans="2:9" ht="15" x14ac:dyDescent="0.2">
      <c r="B33" s="35" t="s">
        <v>149</v>
      </c>
      <c r="D33" s="516"/>
      <c r="E33" s="517"/>
      <c r="F33" s="516"/>
      <c r="G33" s="516" t="s">
        <v>296</v>
      </c>
      <c r="I33" s="518"/>
    </row>
    <row r="34" spans="2:9" ht="15" x14ac:dyDescent="0.2">
      <c r="C34" s="39"/>
      <c r="D34" s="1793" t="s">
        <v>150</v>
      </c>
      <c r="E34" s="1793"/>
      <c r="F34" s="1793"/>
      <c r="G34" s="1793"/>
      <c r="H34" s="1793"/>
      <c r="I34" s="1793"/>
    </row>
    <row r="35" spans="2:9" ht="15" x14ac:dyDescent="0.2">
      <c r="B35" s="35" t="s">
        <v>151</v>
      </c>
      <c r="D35" s="516"/>
      <c r="E35" s="517"/>
      <c r="F35" s="516"/>
      <c r="G35" s="516" t="s">
        <v>297</v>
      </c>
      <c r="H35" s="517"/>
      <c r="I35" s="518"/>
    </row>
    <row r="36" spans="2:9" x14ac:dyDescent="0.2">
      <c r="D36" s="1793" t="s">
        <v>150</v>
      </c>
      <c r="E36" s="1793"/>
      <c r="F36" s="1793"/>
      <c r="G36" s="1793"/>
      <c r="H36" s="1793"/>
      <c r="I36" s="1793"/>
    </row>
  </sheetData>
  <mergeCells count="18">
    <mergeCell ref="B25:I25"/>
    <mergeCell ref="D34:I34"/>
    <mergeCell ref="D36:I36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  <mergeCell ref="B11:I11"/>
    <mergeCell ref="C3:H3"/>
    <mergeCell ref="D4:G4"/>
    <mergeCell ref="C5:H5"/>
    <mergeCell ref="D6:G6"/>
    <mergeCell ref="D10:H10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/>
  <dimension ref="A1:AL395"/>
  <sheetViews>
    <sheetView topLeftCell="A358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29" width="34.140625" style="537" hidden="1" customWidth="1"/>
    <col min="30" max="30" width="110.140625" style="537" hidden="1" customWidth="1"/>
    <col min="31" max="31" width="34.140625" style="537" hidden="1" customWidth="1"/>
    <col min="32" max="32" width="138.42578125" style="537" hidden="1" customWidth="1"/>
    <col min="33" max="38" width="84.42578125" style="537" hidden="1" customWidth="1"/>
    <col min="39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274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274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3889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3889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3890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604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604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1143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693.97</v>
      </c>
      <c r="D28" s="579" t="s">
        <v>3891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693.97</v>
      </c>
      <c r="D30" s="579" t="s">
        <v>3891</v>
      </c>
      <c r="E30" s="665" t="s">
        <v>167</v>
      </c>
      <c r="G30" s="536" t="s">
        <v>170</v>
      </c>
      <c r="L30" s="580">
        <v>0</v>
      </c>
      <c r="M30" s="579" t="s">
        <v>3892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665" t="s">
        <v>167</v>
      </c>
      <c r="G31" s="536" t="s">
        <v>172</v>
      </c>
      <c r="L31" s="582"/>
      <c r="M31" s="582">
        <v>406.65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665" t="s">
        <v>167</v>
      </c>
      <c r="G32" s="536" t="s">
        <v>174</v>
      </c>
      <c r="L32" s="582"/>
      <c r="M32" s="582">
        <v>5.27</v>
      </c>
      <c r="N32" s="581" t="s">
        <v>173</v>
      </c>
    </row>
    <row r="33" spans="1:27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7" s="536" customFormat="1" ht="9.75" customHeight="1" x14ac:dyDescent="0.2">
      <c r="A34" s="578"/>
    </row>
    <row r="35" spans="1:27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7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7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7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7" s="536" customFormat="1" ht="12" x14ac:dyDescent="0.2">
      <c r="A39" s="1824" t="s">
        <v>3187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3187</v>
      </c>
    </row>
    <row r="40" spans="1:27" s="536" customFormat="1" ht="33.75" x14ac:dyDescent="0.2">
      <c r="A40" s="575" t="s">
        <v>185</v>
      </c>
      <c r="B40" s="670" t="s">
        <v>1147</v>
      </c>
      <c r="C40" s="1823" t="s">
        <v>1148</v>
      </c>
      <c r="D40" s="1823"/>
      <c r="E40" s="1823"/>
      <c r="F40" s="573" t="s">
        <v>862</v>
      </c>
      <c r="G40" s="573"/>
      <c r="H40" s="573"/>
      <c r="I40" s="573" t="s">
        <v>3893</v>
      </c>
      <c r="J40" s="572"/>
      <c r="K40" s="573"/>
      <c r="L40" s="572"/>
      <c r="M40" s="571"/>
      <c r="N40" s="570"/>
      <c r="V40" s="674"/>
      <c r="W40" s="675" t="s">
        <v>1148</v>
      </c>
    </row>
    <row r="41" spans="1:27" s="536" customFormat="1" ht="12" x14ac:dyDescent="0.2">
      <c r="A41" s="676"/>
      <c r="B41" s="664"/>
      <c r="C41" s="1822" t="s">
        <v>3894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3894</v>
      </c>
    </row>
    <row r="42" spans="1:27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Y42" s="537" t="s">
        <v>311</v>
      </c>
    </row>
    <row r="43" spans="1:27" s="536" customFormat="1" ht="12" x14ac:dyDescent="0.2">
      <c r="A43" s="605"/>
      <c r="B43" s="552" t="s">
        <v>185</v>
      </c>
      <c r="C43" s="1822" t="s">
        <v>312</v>
      </c>
      <c r="D43" s="1822"/>
      <c r="E43" s="1822"/>
      <c r="F43" s="562"/>
      <c r="G43" s="562"/>
      <c r="H43" s="562"/>
      <c r="I43" s="562"/>
      <c r="J43" s="604">
        <v>390.01</v>
      </c>
      <c r="K43" s="562" t="s">
        <v>313</v>
      </c>
      <c r="L43" s="604">
        <v>182.33</v>
      </c>
      <c r="M43" s="603"/>
      <c r="N43" s="602"/>
      <c r="V43" s="674"/>
      <c r="W43" s="675"/>
      <c r="Z43" s="537" t="s">
        <v>312</v>
      </c>
    </row>
    <row r="44" spans="1:27" s="536" customFormat="1" ht="12" x14ac:dyDescent="0.2">
      <c r="A44" s="605"/>
      <c r="B44" s="552" t="s">
        <v>186</v>
      </c>
      <c r="C44" s="1822" t="s">
        <v>344</v>
      </c>
      <c r="D44" s="1822"/>
      <c r="E44" s="1822"/>
      <c r="F44" s="562"/>
      <c r="G44" s="562"/>
      <c r="H44" s="562"/>
      <c r="I44" s="562"/>
      <c r="J44" s="604">
        <v>128.51</v>
      </c>
      <c r="K44" s="562" t="s">
        <v>313</v>
      </c>
      <c r="L44" s="604">
        <v>60.08</v>
      </c>
      <c r="M44" s="603"/>
      <c r="N44" s="602"/>
      <c r="V44" s="674"/>
      <c r="W44" s="675"/>
      <c r="Z44" s="537" t="s">
        <v>344</v>
      </c>
    </row>
    <row r="45" spans="1:27" s="536" customFormat="1" ht="12" x14ac:dyDescent="0.2">
      <c r="A45" s="605"/>
      <c r="B45" s="552" t="s">
        <v>187</v>
      </c>
      <c r="C45" s="1822" t="s">
        <v>345</v>
      </c>
      <c r="D45" s="1822"/>
      <c r="E45" s="1822"/>
      <c r="F45" s="562"/>
      <c r="G45" s="562"/>
      <c r="H45" s="562"/>
      <c r="I45" s="562"/>
      <c r="J45" s="604">
        <v>3.27</v>
      </c>
      <c r="K45" s="562" t="s">
        <v>313</v>
      </c>
      <c r="L45" s="604">
        <v>1.53</v>
      </c>
      <c r="M45" s="603"/>
      <c r="N45" s="602"/>
      <c r="V45" s="674"/>
      <c r="W45" s="675"/>
      <c r="Z45" s="537" t="s">
        <v>345</v>
      </c>
    </row>
    <row r="46" spans="1:27" s="536" customFormat="1" ht="12" x14ac:dyDescent="0.2">
      <c r="A46" s="605"/>
      <c r="B46" s="552" t="s">
        <v>188</v>
      </c>
      <c r="C46" s="1822" t="s">
        <v>475</v>
      </c>
      <c r="D46" s="1822"/>
      <c r="E46" s="1822"/>
      <c r="F46" s="562"/>
      <c r="G46" s="562"/>
      <c r="H46" s="562"/>
      <c r="I46" s="562"/>
      <c r="J46" s="604">
        <v>9704.6299999999992</v>
      </c>
      <c r="K46" s="562"/>
      <c r="L46" s="604">
        <v>1553.26</v>
      </c>
      <c r="M46" s="603"/>
      <c r="N46" s="602"/>
      <c r="V46" s="674"/>
      <c r="W46" s="675"/>
      <c r="Z46" s="537" t="s">
        <v>475</v>
      </c>
    </row>
    <row r="47" spans="1:27" s="536" customFormat="1" ht="12" x14ac:dyDescent="0.2">
      <c r="A47" s="605"/>
      <c r="B47" s="552"/>
      <c r="C47" s="1822" t="s">
        <v>314</v>
      </c>
      <c r="D47" s="1822"/>
      <c r="E47" s="1822"/>
      <c r="F47" s="562" t="s">
        <v>315</v>
      </c>
      <c r="G47" s="562" t="s">
        <v>1151</v>
      </c>
      <c r="H47" s="562" t="s">
        <v>313</v>
      </c>
      <c r="I47" s="562" t="s">
        <v>3895</v>
      </c>
      <c r="J47" s="604"/>
      <c r="K47" s="562"/>
      <c r="L47" s="604"/>
      <c r="M47" s="603"/>
      <c r="N47" s="602"/>
      <c r="V47" s="674"/>
      <c r="W47" s="675"/>
      <c r="AA47" s="537" t="s">
        <v>314</v>
      </c>
    </row>
    <row r="48" spans="1:27" s="536" customFormat="1" ht="12" x14ac:dyDescent="0.2">
      <c r="A48" s="605"/>
      <c r="B48" s="552"/>
      <c r="C48" s="1822" t="s">
        <v>348</v>
      </c>
      <c r="D48" s="1822"/>
      <c r="E48" s="1822"/>
      <c r="F48" s="562" t="s">
        <v>315</v>
      </c>
      <c r="G48" s="562" t="s">
        <v>1153</v>
      </c>
      <c r="H48" s="562" t="s">
        <v>313</v>
      </c>
      <c r="I48" s="562" t="s">
        <v>3896</v>
      </c>
      <c r="J48" s="604"/>
      <c r="K48" s="562"/>
      <c r="L48" s="604"/>
      <c r="M48" s="603"/>
      <c r="N48" s="602"/>
      <c r="V48" s="674"/>
      <c r="W48" s="675"/>
      <c r="AA48" s="537" t="s">
        <v>348</v>
      </c>
    </row>
    <row r="49" spans="1:29" s="536" customFormat="1" ht="12" x14ac:dyDescent="0.2">
      <c r="A49" s="605"/>
      <c r="B49" s="552"/>
      <c r="C49" s="1828" t="s">
        <v>318</v>
      </c>
      <c r="D49" s="1828"/>
      <c r="E49" s="1828"/>
      <c r="F49" s="608"/>
      <c r="G49" s="608"/>
      <c r="H49" s="608"/>
      <c r="I49" s="608"/>
      <c r="J49" s="607">
        <v>4671.63</v>
      </c>
      <c r="K49" s="608"/>
      <c r="L49" s="607">
        <v>1795.67</v>
      </c>
      <c r="M49" s="601"/>
      <c r="N49" s="606"/>
      <c r="V49" s="674"/>
      <c r="W49" s="675"/>
      <c r="AB49" s="537" t="s">
        <v>318</v>
      </c>
    </row>
    <row r="50" spans="1:29" s="536" customFormat="1" ht="12" x14ac:dyDescent="0.2">
      <c r="A50" s="605"/>
      <c r="B50" s="552"/>
      <c r="C50" s="1822" t="s">
        <v>319</v>
      </c>
      <c r="D50" s="1822"/>
      <c r="E50" s="1822"/>
      <c r="F50" s="562"/>
      <c r="G50" s="562"/>
      <c r="H50" s="562"/>
      <c r="I50" s="562"/>
      <c r="J50" s="604"/>
      <c r="K50" s="562"/>
      <c r="L50" s="604">
        <v>183.86</v>
      </c>
      <c r="M50" s="603"/>
      <c r="N50" s="602"/>
      <c r="V50" s="674"/>
      <c r="W50" s="675"/>
      <c r="AA50" s="537" t="s">
        <v>319</v>
      </c>
    </row>
    <row r="51" spans="1:29" s="536" customFormat="1" ht="33.75" x14ac:dyDescent="0.2">
      <c r="A51" s="605"/>
      <c r="B51" s="552" t="s">
        <v>1155</v>
      </c>
      <c r="C51" s="1822" t="s">
        <v>1156</v>
      </c>
      <c r="D51" s="1822"/>
      <c r="E51" s="1822"/>
      <c r="F51" s="562" t="s">
        <v>322</v>
      </c>
      <c r="G51" s="562" t="s">
        <v>1157</v>
      </c>
      <c r="H51" s="562"/>
      <c r="I51" s="562" t="s">
        <v>1157</v>
      </c>
      <c r="J51" s="604"/>
      <c r="K51" s="562"/>
      <c r="L51" s="604">
        <v>200.41</v>
      </c>
      <c r="M51" s="603"/>
      <c r="N51" s="602"/>
      <c r="V51" s="674"/>
      <c r="W51" s="675"/>
      <c r="AA51" s="537" t="s">
        <v>1156</v>
      </c>
    </row>
    <row r="52" spans="1:29" s="536" customFormat="1" ht="33.75" x14ac:dyDescent="0.2">
      <c r="A52" s="605"/>
      <c r="B52" s="552" t="s">
        <v>1158</v>
      </c>
      <c r="C52" s="1822" t="s">
        <v>1159</v>
      </c>
      <c r="D52" s="1822"/>
      <c r="E52" s="1822"/>
      <c r="F52" s="562" t="s">
        <v>322</v>
      </c>
      <c r="G52" s="562" t="s">
        <v>791</v>
      </c>
      <c r="H52" s="562"/>
      <c r="I52" s="562" t="s">
        <v>791</v>
      </c>
      <c r="J52" s="604"/>
      <c r="K52" s="562"/>
      <c r="L52" s="604">
        <v>104.8</v>
      </c>
      <c r="M52" s="603"/>
      <c r="N52" s="602"/>
      <c r="V52" s="674"/>
      <c r="W52" s="675"/>
      <c r="AA52" s="537" t="s">
        <v>1159</v>
      </c>
    </row>
    <row r="53" spans="1:29" s="536" customFormat="1" ht="12" x14ac:dyDescent="0.2">
      <c r="A53" s="569"/>
      <c r="B53" s="671"/>
      <c r="C53" s="1823" t="s">
        <v>327</v>
      </c>
      <c r="D53" s="1823"/>
      <c r="E53" s="1823"/>
      <c r="F53" s="573"/>
      <c r="G53" s="573"/>
      <c r="H53" s="573"/>
      <c r="I53" s="573"/>
      <c r="J53" s="572"/>
      <c r="K53" s="573"/>
      <c r="L53" s="572">
        <v>2100.88</v>
      </c>
      <c r="M53" s="601"/>
      <c r="N53" s="570"/>
      <c r="V53" s="674"/>
      <c r="W53" s="675"/>
      <c r="AC53" s="675" t="s">
        <v>327</v>
      </c>
    </row>
    <row r="54" spans="1:29" s="536" customFormat="1" ht="45" x14ac:dyDescent="0.2">
      <c r="A54" s="575" t="s">
        <v>186</v>
      </c>
      <c r="B54" s="670" t="s">
        <v>1848</v>
      </c>
      <c r="C54" s="1823" t="s">
        <v>1849</v>
      </c>
      <c r="D54" s="1823"/>
      <c r="E54" s="1823"/>
      <c r="F54" s="573" t="s">
        <v>865</v>
      </c>
      <c r="G54" s="573"/>
      <c r="H54" s="573"/>
      <c r="I54" s="573" t="s">
        <v>3897</v>
      </c>
      <c r="J54" s="572">
        <v>37.49</v>
      </c>
      <c r="K54" s="573"/>
      <c r="L54" s="572">
        <v>2275.27</v>
      </c>
      <c r="M54" s="571"/>
      <c r="N54" s="570"/>
      <c r="V54" s="674"/>
      <c r="W54" s="675" t="s">
        <v>1849</v>
      </c>
      <c r="AC54" s="675"/>
    </row>
    <row r="55" spans="1:29" s="536" customFormat="1" ht="12" x14ac:dyDescent="0.2">
      <c r="A55" s="569"/>
      <c r="B55" s="671"/>
      <c r="C55" s="665" t="s">
        <v>717</v>
      </c>
      <c r="D55" s="666"/>
      <c r="E55" s="666"/>
      <c r="F55" s="563"/>
      <c r="G55" s="563"/>
      <c r="H55" s="563"/>
      <c r="I55" s="563"/>
      <c r="J55" s="566"/>
      <c r="K55" s="563"/>
      <c r="L55" s="566"/>
      <c r="M55" s="565"/>
      <c r="N55" s="564"/>
      <c r="V55" s="674"/>
      <c r="W55" s="675"/>
      <c r="AC55" s="675"/>
    </row>
    <row r="56" spans="1:29" s="536" customFormat="1" ht="12" x14ac:dyDescent="0.2">
      <c r="A56" s="676"/>
      <c r="B56" s="664"/>
      <c r="C56" s="1822" t="s">
        <v>3898</v>
      </c>
      <c r="D56" s="1822"/>
      <c r="E56" s="1822"/>
      <c r="F56" s="1822"/>
      <c r="G56" s="1822"/>
      <c r="H56" s="1822"/>
      <c r="I56" s="1822"/>
      <c r="J56" s="1822"/>
      <c r="K56" s="1822"/>
      <c r="L56" s="1822"/>
      <c r="M56" s="1822"/>
      <c r="N56" s="1827"/>
      <c r="V56" s="674"/>
      <c r="W56" s="675"/>
      <c r="X56" s="537" t="s">
        <v>3898</v>
      </c>
      <c r="AC56" s="675"/>
    </row>
    <row r="57" spans="1:29" s="536" customFormat="1" ht="22.5" x14ac:dyDescent="0.2">
      <c r="A57" s="575" t="s">
        <v>187</v>
      </c>
      <c r="B57" s="670" t="s">
        <v>1164</v>
      </c>
      <c r="C57" s="1823" t="s">
        <v>1165</v>
      </c>
      <c r="D57" s="1823"/>
      <c r="E57" s="1823"/>
      <c r="F57" s="573" t="s">
        <v>862</v>
      </c>
      <c r="G57" s="573"/>
      <c r="H57" s="573"/>
      <c r="I57" s="573" t="s">
        <v>3893</v>
      </c>
      <c r="J57" s="572"/>
      <c r="K57" s="573"/>
      <c r="L57" s="572"/>
      <c r="M57" s="571"/>
      <c r="N57" s="570"/>
      <c r="V57" s="674"/>
      <c r="W57" s="675" t="s">
        <v>1165</v>
      </c>
      <c r="AC57" s="675"/>
    </row>
    <row r="58" spans="1:29" s="536" customFormat="1" ht="12" x14ac:dyDescent="0.2">
      <c r="A58" s="676"/>
      <c r="B58" s="664"/>
      <c r="C58" s="1822" t="s">
        <v>3894</v>
      </c>
      <c r="D58" s="1822"/>
      <c r="E58" s="1822"/>
      <c r="F58" s="1822"/>
      <c r="G58" s="1822"/>
      <c r="H58" s="1822"/>
      <c r="I58" s="1822"/>
      <c r="J58" s="1822"/>
      <c r="K58" s="1822"/>
      <c r="L58" s="1822"/>
      <c r="M58" s="1822"/>
      <c r="N58" s="1827"/>
      <c r="V58" s="674"/>
      <c r="W58" s="675"/>
      <c r="X58" s="537" t="s">
        <v>3894</v>
      </c>
      <c r="AC58" s="675"/>
    </row>
    <row r="59" spans="1:29" s="536" customFormat="1" ht="33.75" x14ac:dyDescent="0.2">
      <c r="A59" s="609"/>
      <c r="B59" s="552" t="s">
        <v>310</v>
      </c>
      <c r="C59" s="1822" t="s">
        <v>311</v>
      </c>
      <c r="D59" s="1822"/>
      <c r="E59" s="1822"/>
      <c r="F59" s="1822"/>
      <c r="G59" s="1822"/>
      <c r="H59" s="1822"/>
      <c r="I59" s="1822"/>
      <c r="J59" s="1822"/>
      <c r="K59" s="1822"/>
      <c r="L59" s="1822"/>
      <c r="M59" s="1822"/>
      <c r="N59" s="1827"/>
      <c r="V59" s="674"/>
      <c r="W59" s="675"/>
      <c r="Y59" s="537" t="s">
        <v>311</v>
      </c>
      <c r="AC59" s="675"/>
    </row>
    <row r="60" spans="1:29" s="536" customFormat="1" ht="12" x14ac:dyDescent="0.2">
      <c r="A60" s="605"/>
      <c r="B60" s="552" t="s">
        <v>185</v>
      </c>
      <c r="C60" s="1822" t="s">
        <v>312</v>
      </c>
      <c r="D60" s="1822"/>
      <c r="E60" s="1822"/>
      <c r="F60" s="562"/>
      <c r="G60" s="562"/>
      <c r="H60" s="562"/>
      <c r="I60" s="562"/>
      <c r="J60" s="604">
        <v>478.71</v>
      </c>
      <c r="K60" s="562" t="s">
        <v>313</v>
      </c>
      <c r="L60" s="604">
        <v>223.8</v>
      </c>
      <c r="M60" s="603"/>
      <c r="N60" s="602"/>
      <c r="V60" s="674"/>
      <c r="W60" s="675"/>
      <c r="Z60" s="537" t="s">
        <v>312</v>
      </c>
      <c r="AC60" s="675"/>
    </row>
    <row r="61" spans="1:29" s="536" customFormat="1" ht="12" x14ac:dyDescent="0.2">
      <c r="A61" s="605"/>
      <c r="B61" s="552" t="s">
        <v>186</v>
      </c>
      <c r="C61" s="1822" t="s">
        <v>344</v>
      </c>
      <c r="D61" s="1822"/>
      <c r="E61" s="1822"/>
      <c r="F61" s="562"/>
      <c r="G61" s="562"/>
      <c r="H61" s="562"/>
      <c r="I61" s="562"/>
      <c r="J61" s="604">
        <v>1.82</v>
      </c>
      <c r="K61" s="562" t="s">
        <v>313</v>
      </c>
      <c r="L61" s="604">
        <v>0.85</v>
      </c>
      <c r="M61" s="603"/>
      <c r="N61" s="602"/>
      <c r="V61" s="674"/>
      <c r="W61" s="675"/>
      <c r="Z61" s="537" t="s">
        <v>344</v>
      </c>
      <c r="AC61" s="675"/>
    </row>
    <row r="62" spans="1:29" s="536" customFormat="1" ht="12" x14ac:dyDescent="0.2">
      <c r="A62" s="605"/>
      <c r="B62" s="552" t="s">
        <v>187</v>
      </c>
      <c r="C62" s="1822" t="s">
        <v>345</v>
      </c>
      <c r="D62" s="1822"/>
      <c r="E62" s="1822"/>
      <c r="F62" s="562"/>
      <c r="G62" s="562"/>
      <c r="H62" s="562"/>
      <c r="I62" s="562"/>
      <c r="J62" s="604">
        <v>0.28999999999999998</v>
      </c>
      <c r="K62" s="562" t="s">
        <v>313</v>
      </c>
      <c r="L62" s="604">
        <v>0.14000000000000001</v>
      </c>
      <c r="M62" s="603"/>
      <c r="N62" s="602"/>
      <c r="V62" s="674"/>
      <c r="W62" s="675"/>
      <c r="Z62" s="537" t="s">
        <v>345</v>
      </c>
      <c r="AC62" s="675"/>
    </row>
    <row r="63" spans="1:29" s="536" customFormat="1" ht="12" x14ac:dyDescent="0.2">
      <c r="A63" s="605"/>
      <c r="B63" s="552" t="s">
        <v>188</v>
      </c>
      <c r="C63" s="1822" t="s">
        <v>475</v>
      </c>
      <c r="D63" s="1822"/>
      <c r="E63" s="1822"/>
      <c r="F63" s="562"/>
      <c r="G63" s="562"/>
      <c r="H63" s="562"/>
      <c r="I63" s="562"/>
      <c r="J63" s="604">
        <v>3877.59</v>
      </c>
      <c r="K63" s="562"/>
      <c r="L63" s="604">
        <v>918.18</v>
      </c>
      <c r="M63" s="603"/>
      <c r="N63" s="602"/>
      <c r="V63" s="674"/>
      <c r="W63" s="675"/>
      <c r="Z63" s="537" t="s">
        <v>475</v>
      </c>
      <c r="AC63" s="675"/>
    </row>
    <row r="64" spans="1:29" s="536" customFormat="1" ht="12" x14ac:dyDescent="0.2">
      <c r="A64" s="605"/>
      <c r="B64" s="552"/>
      <c r="C64" s="1822" t="s">
        <v>314</v>
      </c>
      <c r="D64" s="1822"/>
      <c r="E64" s="1822"/>
      <c r="F64" s="562" t="s">
        <v>315</v>
      </c>
      <c r="G64" s="562" t="s">
        <v>1167</v>
      </c>
      <c r="H64" s="562" t="s">
        <v>313</v>
      </c>
      <c r="I64" s="562" t="s">
        <v>3899</v>
      </c>
      <c r="J64" s="604"/>
      <c r="K64" s="562"/>
      <c r="L64" s="604"/>
      <c r="M64" s="603"/>
      <c r="N64" s="602"/>
      <c r="V64" s="674"/>
      <c r="W64" s="675"/>
      <c r="AA64" s="537" t="s">
        <v>314</v>
      </c>
      <c r="AC64" s="675"/>
    </row>
    <row r="65" spans="1:30" s="536" customFormat="1" ht="12" x14ac:dyDescent="0.2">
      <c r="A65" s="605"/>
      <c r="B65" s="552"/>
      <c r="C65" s="1822" t="s">
        <v>348</v>
      </c>
      <c r="D65" s="1822"/>
      <c r="E65" s="1822"/>
      <c r="F65" s="562" t="s">
        <v>315</v>
      </c>
      <c r="G65" s="562" t="s">
        <v>695</v>
      </c>
      <c r="H65" s="562" t="s">
        <v>313</v>
      </c>
      <c r="I65" s="562" t="s">
        <v>3900</v>
      </c>
      <c r="J65" s="604"/>
      <c r="K65" s="562"/>
      <c r="L65" s="604"/>
      <c r="M65" s="603"/>
      <c r="N65" s="602"/>
      <c r="V65" s="674"/>
      <c r="W65" s="675"/>
      <c r="AA65" s="537" t="s">
        <v>348</v>
      </c>
      <c r="AC65" s="675"/>
    </row>
    <row r="66" spans="1:30" s="536" customFormat="1" ht="12" x14ac:dyDescent="0.2">
      <c r="A66" s="605"/>
      <c r="B66" s="552"/>
      <c r="C66" s="1828" t="s">
        <v>318</v>
      </c>
      <c r="D66" s="1828"/>
      <c r="E66" s="1828"/>
      <c r="F66" s="608"/>
      <c r="G66" s="608"/>
      <c r="H66" s="608"/>
      <c r="I66" s="608"/>
      <c r="J66" s="607">
        <v>2935.57</v>
      </c>
      <c r="K66" s="608"/>
      <c r="L66" s="607">
        <v>1142.83</v>
      </c>
      <c r="M66" s="601"/>
      <c r="N66" s="606"/>
      <c r="V66" s="674"/>
      <c r="W66" s="675"/>
      <c r="AB66" s="537" t="s">
        <v>318</v>
      </c>
      <c r="AC66" s="675"/>
    </row>
    <row r="67" spans="1:30" s="536" customFormat="1" ht="12" x14ac:dyDescent="0.2">
      <c r="A67" s="605"/>
      <c r="B67" s="552"/>
      <c r="C67" s="1822" t="s">
        <v>319</v>
      </c>
      <c r="D67" s="1822"/>
      <c r="E67" s="1822"/>
      <c r="F67" s="562"/>
      <c r="G67" s="562"/>
      <c r="H67" s="562"/>
      <c r="I67" s="562"/>
      <c r="J67" s="604"/>
      <c r="K67" s="562"/>
      <c r="L67" s="604">
        <v>223.94</v>
      </c>
      <c r="M67" s="603"/>
      <c r="N67" s="602"/>
      <c r="V67" s="674"/>
      <c r="W67" s="675"/>
      <c r="AA67" s="537" t="s">
        <v>319</v>
      </c>
      <c r="AC67" s="675"/>
    </row>
    <row r="68" spans="1:30" s="536" customFormat="1" ht="33.75" x14ac:dyDescent="0.2">
      <c r="A68" s="605"/>
      <c r="B68" s="552" t="s">
        <v>1155</v>
      </c>
      <c r="C68" s="1822" t="s">
        <v>1156</v>
      </c>
      <c r="D68" s="1822"/>
      <c r="E68" s="1822"/>
      <c r="F68" s="562" t="s">
        <v>322</v>
      </c>
      <c r="G68" s="562" t="s">
        <v>1157</v>
      </c>
      <c r="H68" s="562"/>
      <c r="I68" s="562" t="s">
        <v>1157</v>
      </c>
      <c r="J68" s="604"/>
      <c r="K68" s="562"/>
      <c r="L68" s="604">
        <v>244.09</v>
      </c>
      <c r="M68" s="603"/>
      <c r="N68" s="602"/>
      <c r="V68" s="674"/>
      <c r="W68" s="675"/>
      <c r="AA68" s="537" t="s">
        <v>1156</v>
      </c>
      <c r="AC68" s="675"/>
    </row>
    <row r="69" spans="1:30" s="536" customFormat="1" ht="33.75" x14ac:dyDescent="0.2">
      <c r="A69" s="605"/>
      <c r="B69" s="552" t="s">
        <v>1158</v>
      </c>
      <c r="C69" s="1822" t="s">
        <v>1159</v>
      </c>
      <c r="D69" s="1822"/>
      <c r="E69" s="1822"/>
      <c r="F69" s="562" t="s">
        <v>322</v>
      </c>
      <c r="G69" s="562" t="s">
        <v>791</v>
      </c>
      <c r="H69" s="562"/>
      <c r="I69" s="562" t="s">
        <v>791</v>
      </c>
      <c r="J69" s="604"/>
      <c r="K69" s="562"/>
      <c r="L69" s="604">
        <v>127.65</v>
      </c>
      <c r="M69" s="603"/>
      <c r="N69" s="602"/>
      <c r="V69" s="674"/>
      <c r="W69" s="675"/>
      <c r="AA69" s="537" t="s">
        <v>1159</v>
      </c>
      <c r="AC69" s="675"/>
    </row>
    <row r="70" spans="1:30" s="536" customFormat="1" ht="12" x14ac:dyDescent="0.2">
      <c r="A70" s="569"/>
      <c r="B70" s="671"/>
      <c r="C70" s="1823" t="s">
        <v>327</v>
      </c>
      <c r="D70" s="1823"/>
      <c r="E70" s="1823"/>
      <c r="F70" s="573"/>
      <c r="G70" s="573"/>
      <c r="H70" s="573"/>
      <c r="I70" s="573"/>
      <c r="J70" s="572"/>
      <c r="K70" s="573"/>
      <c r="L70" s="572">
        <v>1514.57</v>
      </c>
      <c r="M70" s="601"/>
      <c r="N70" s="570"/>
      <c r="V70" s="674"/>
      <c r="W70" s="675"/>
      <c r="AC70" s="675" t="s">
        <v>327</v>
      </c>
    </row>
    <row r="71" spans="1:30" s="536" customFormat="1" ht="33.75" x14ac:dyDescent="0.2">
      <c r="A71" s="575" t="s">
        <v>188</v>
      </c>
      <c r="B71" s="670" t="s">
        <v>1170</v>
      </c>
      <c r="C71" s="1823" t="s">
        <v>1171</v>
      </c>
      <c r="D71" s="1823"/>
      <c r="E71" s="1823"/>
      <c r="F71" s="573" t="s">
        <v>865</v>
      </c>
      <c r="G71" s="573"/>
      <c r="H71" s="573"/>
      <c r="I71" s="573" t="s">
        <v>775</v>
      </c>
      <c r="J71" s="572">
        <v>82.25</v>
      </c>
      <c r="K71" s="573" t="s">
        <v>716</v>
      </c>
      <c r="L71" s="572">
        <v>433.53</v>
      </c>
      <c r="M71" s="571">
        <v>8.32</v>
      </c>
      <c r="N71" s="570">
        <v>3607</v>
      </c>
      <c r="V71" s="674"/>
      <c r="W71" s="675" t="s">
        <v>1171</v>
      </c>
      <c r="AC71" s="675"/>
    </row>
    <row r="72" spans="1:30" s="536" customFormat="1" ht="12" x14ac:dyDescent="0.2">
      <c r="A72" s="569"/>
      <c r="B72" s="671"/>
      <c r="C72" s="665" t="s">
        <v>1173</v>
      </c>
      <c r="D72" s="666"/>
      <c r="E72" s="666"/>
      <c r="F72" s="563"/>
      <c r="G72" s="563"/>
      <c r="H72" s="563"/>
      <c r="I72" s="563"/>
      <c r="J72" s="566"/>
      <c r="K72" s="563"/>
      <c r="L72" s="566"/>
      <c r="M72" s="565"/>
      <c r="N72" s="564"/>
      <c r="V72" s="674"/>
      <c r="W72" s="675"/>
      <c r="AC72" s="675"/>
    </row>
    <row r="73" spans="1:30" s="536" customFormat="1" ht="12" x14ac:dyDescent="0.2">
      <c r="A73" s="676"/>
      <c r="B73" s="664"/>
      <c r="C73" s="1822" t="s">
        <v>8096</v>
      </c>
      <c r="D73" s="1822"/>
      <c r="E73" s="1822"/>
      <c r="F73" s="1822"/>
      <c r="G73" s="1822"/>
      <c r="H73" s="1822"/>
      <c r="I73" s="1822"/>
      <c r="J73" s="1822"/>
      <c r="K73" s="1822"/>
      <c r="L73" s="1822"/>
      <c r="M73" s="1822"/>
      <c r="N73" s="1827"/>
      <c r="V73" s="674"/>
      <c r="W73" s="675"/>
      <c r="AC73" s="675"/>
      <c r="AD73" s="537" t="s">
        <v>8096</v>
      </c>
    </row>
    <row r="74" spans="1:30" s="536" customFormat="1" ht="22.5" x14ac:dyDescent="0.2">
      <c r="A74" s="609"/>
      <c r="B74" s="552" t="s">
        <v>718</v>
      </c>
      <c r="C74" s="1822" t="s">
        <v>719</v>
      </c>
      <c r="D74" s="1822"/>
      <c r="E74" s="1822"/>
      <c r="F74" s="1822"/>
      <c r="G74" s="1822"/>
      <c r="H74" s="1822"/>
      <c r="I74" s="1822"/>
      <c r="J74" s="1822"/>
      <c r="K74" s="1822"/>
      <c r="L74" s="1822"/>
      <c r="M74" s="1822"/>
      <c r="N74" s="1827"/>
      <c r="V74" s="674"/>
      <c r="W74" s="675"/>
      <c r="Y74" s="537" t="s">
        <v>719</v>
      </c>
      <c r="AC74" s="675"/>
    </row>
    <row r="75" spans="1:30" s="536" customFormat="1" ht="12" x14ac:dyDescent="0.2">
      <c r="A75" s="575" t="s">
        <v>189</v>
      </c>
      <c r="B75" s="670" t="s">
        <v>1175</v>
      </c>
      <c r="C75" s="1823" t="s">
        <v>1176</v>
      </c>
      <c r="D75" s="1823"/>
      <c r="E75" s="1823"/>
      <c r="F75" s="573" t="s">
        <v>1110</v>
      </c>
      <c r="G75" s="573"/>
      <c r="H75" s="573"/>
      <c r="I75" s="573" t="s">
        <v>646</v>
      </c>
      <c r="J75" s="572"/>
      <c r="K75" s="573"/>
      <c r="L75" s="572"/>
      <c r="M75" s="571"/>
      <c r="N75" s="570"/>
      <c r="V75" s="674"/>
      <c r="W75" s="675" t="s">
        <v>1176</v>
      </c>
      <c r="AC75" s="675"/>
    </row>
    <row r="76" spans="1:30" s="536" customFormat="1" ht="12" x14ac:dyDescent="0.2">
      <c r="A76" s="676"/>
      <c r="B76" s="664"/>
      <c r="C76" s="1822" t="s">
        <v>3901</v>
      </c>
      <c r="D76" s="1822"/>
      <c r="E76" s="1822"/>
      <c r="F76" s="1822"/>
      <c r="G76" s="1822"/>
      <c r="H76" s="1822"/>
      <c r="I76" s="1822"/>
      <c r="J76" s="1822"/>
      <c r="K76" s="1822"/>
      <c r="L76" s="1822"/>
      <c r="M76" s="1822"/>
      <c r="N76" s="1827"/>
      <c r="V76" s="674"/>
      <c r="W76" s="675"/>
      <c r="X76" s="537" t="s">
        <v>3901</v>
      </c>
      <c r="AC76" s="675"/>
    </row>
    <row r="77" spans="1:30" s="536" customFormat="1" ht="33.75" x14ac:dyDescent="0.2">
      <c r="A77" s="609"/>
      <c r="B77" s="552" t="s">
        <v>310</v>
      </c>
      <c r="C77" s="1822" t="s">
        <v>311</v>
      </c>
      <c r="D77" s="1822"/>
      <c r="E77" s="1822"/>
      <c r="F77" s="1822"/>
      <c r="G77" s="1822"/>
      <c r="H77" s="1822"/>
      <c r="I77" s="1822"/>
      <c r="J77" s="1822"/>
      <c r="K77" s="1822"/>
      <c r="L77" s="1822"/>
      <c r="M77" s="1822"/>
      <c r="N77" s="1827"/>
      <c r="V77" s="674"/>
      <c r="W77" s="675"/>
      <c r="Y77" s="537" t="s">
        <v>311</v>
      </c>
      <c r="AC77" s="675"/>
    </row>
    <row r="78" spans="1:30" s="536" customFormat="1" ht="12" x14ac:dyDescent="0.2">
      <c r="A78" s="605"/>
      <c r="B78" s="552" t="s">
        <v>185</v>
      </c>
      <c r="C78" s="1822" t="s">
        <v>312</v>
      </c>
      <c r="D78" s="1822"/>
      <c r="E78" s="1822"/>
      <c r="F78" s="562"/>
      <c r="G78" s="562"/>
      <c r="H78" s="562"/>
      <c r="I78" s="562"/>
      <c r="J78" s="604">
        <v>237.13</v>
      </c>
      <c r="K78" s="562" t="s">
        <v>313</v>
      </c>
      <c r="L78" s="604">
        <v>35.57</v>
      </c>
      <c r="M78" s="603"/>
      <c r="N78" s="602"/>
      <c r="V78" s="674"/>
      <c r="W78" s="675"/>
      <c r="Z78" s="537" t="s">
        <v>312</v>
      </c>
      <c r="AC78" s="675"/>
    </row>
    <row r="79" spans="1:30" s="536" customFormat="1" ht="12" x14ac:dyDescent="0.2">
      <c r="A79" s="605"/>
      <c r="B79" s="552" t="s">
        <v>186</v>
      </c>
      <c r="C79" s="1822" t="s">
        <v>344</v>
      </c>
      <c r="D79" s="1822"/>
      <c r="E79" s="1822"/>
      <c r="F79" s="562"/>
      <c r="G79" s="562"/>
      <c r="H79" s="562"/>
      <c r="I79" s="562"/>
      <c r="J79" s="604">
        <v>21.18</v>
      </c>
      <c r="K79" s="562" t="s">
        <v>313</v>
      </c>
      <c r="L79" s="604">
        <v>3.18</v>
      </c>
      <c r="M79" s="603"/>
      <c r="N79" s="602"/>
      <c r="V79" s="674"/>
      <c r="W79" s="675"/>
      <c r="Z79" s="537" t="s">
        <v>344</v>
      </c>
      <c r="AC79" s="675"/>
    </row>
    <row r="80" spans="1:30" s="536" customFormat="1" ht="12" x14ac:dyDescent="0.2">
      <c r="A80" s="605"/>
      <c r="B80" s="552" t="s">
        <v>187</v>
      </c>
      <c r="C80" s="1822" t="s">
        <v>345</v>
      </c>
      <c r="D80" s="1822"/>
      <c r="E80" s="1822"/>
      <c r="F80" s="562"/>
      <c r="G80" s="562"/>
      <c r="H80" s="562"/>
      <c r="I80" s="562"/>
      <c r="J80" s="604">
        <v>3.21</v>
      </c>
      <c r="K80" s="562" t="s">
        <v>313</v>
      </c>
      <c r="L80" s="604">
        <v>0.48</v>
      </c>
      <c r="M80" s="603"/>
      <c r="N80" s="602"/>
      <c r="V80" s="674"/>
      <c r="W80" s="675"/>
      <c r="Z80" s="537" t="s">
        <v>345</v>
      </c>
      <c r="AC80" s="675"/>
    </row>
    <row r="81" spans="1:29" s="536" customFormat="1" ht="12" x14ac:dyDescent="0.2">
      <c r="A81" s="605"/>
      <c r="B81" s="552" t="s">
        <v>188</v>
      </c>
      <c r="C81" s="1822" t="s">
        <v>475</v>
      </c>
      <c r="D81" s="1822"/>
      <c r="E81" s="1822"/>
      <c r="F81" s="562"/>
      <c r="G81" s="562"/>
      <c r="H81" s="562"/>
      <c r="I81" s="562"/>
      <c r="J81" s="604">
        <v>5089.63</v>
      </c>
      <c r="K81" s="562"/>
      <c r="L81" s="604">
        <v>5.46</v>
      </c>
      <c r="M81" s="603"/>
      <c r="N81" s="602"/>
      <c r="V81" s="674"/>
      <c r="W81" s="675"/>
      <c r="Z81" s="537" t="s">
        <v>475</v>
      </c>
      <c r="AC81" s="675"/>
    </row>
    <row r="82" spans="1:29" s="536" customFormat="1" ht="12" x14ac:dyDescent="0.2">
      <c r="A82" s="605"/>
      <c r="B82" s="552"/>
      <c r="C82" s="1822" t="s">
        <v>314</v>
      </c>
      <c r="D82" s="1822"/>
      <c r="E82" s="1822"/>
      <c r="F82" s="562" t="s">
        <v>315</v>
      </c>
      <c r="G82" s="562" t="s">
        <v>1179</v>
      </c>
      <c r="H82" s="562" t="s">
        <v>313</v>
      </c>
      <c r="I82" s="562" t="s">
        <v>3902</v>
      </c>
      <c r="J82" s="604"/>
      <c r="K82" s="562"/>
      <c r="L82" s="604"/>
      <c r="M82" s="603"/>
      <c r="N82" s="602"/>
      <c r="V82" s="674"/>
      <c r="W82" s="675"/>
      <c r="AA82" s="537" t="s">
        <v>314</v>
      </c>
      <c r="AC82" s="675"/>
    </row>
    <row r="83" spans="1:29" s="536" customFormat="1" ht="12" x14ac:dyDescent="0.2">
      <c r="A83" s="605"/>
      <c r="B83" s="552"/>
      <c r="C83" s="1822" t="s">
        <v>348</v>
      </c>
      <c r="D83" s="1822"/>
      <c r="E83" s="1822"/>
      <c r="F83" s="562" t="s">
        <v>315</v>
      </c>
      <c r="G83" s="562" t="s">
        <v>1181</v>
      </c>
      <c r="H83" s="562" t="s">
        <v>313</v>
      </c>
      <c r="I83" s="562" t="s">
        <v>3163</v>
      </c>
      <c r="J83" s="604"/>
      <c r="K83" s="562"/>
      <c r="L83" s="604"/>
      <c r="M83" s="603"/>
      <c r="N83" s="602"/>
      <c r="V83" s="674"/>
      <c r="W83" s="675"/>
      <c r="AA83" s="537" t="s">
        <v>348</v>
      </c>
      <c r="AC83" s="675"/>
    </row>
    <row r="84" spans="1:29" s="536" customFormat="1" ht="12" x14ac:dyDescent="0.2">
      <c r="A84" s="605"/>
      <c r="B84" s="552"/>
      <c r="C84" s="1828" t="s">
        <v>318</v>
      </c>
      <c r="D84" s="1828"/>
      <c r="E84" s="1828"/>
      <c r="F84" s="608"/>
      <c r="G84" s="608"/>
      <c r="H84" s="608"/>
      <c r="I84" s="608"/>
      <c r="J84" s="607">
        <v>303.83</v>
      </c>
      <c r="K84" s="608"/>
      <c r="L84" s="607">
        <v>44.21</v>
      </c>
      <c r="M84" s="601"/>
      <c r="N84" s="606"/>
      <c r="V84" s="674"/>
      <c r="W84" s="675"/>
      <c r="AB84" s="537" t="s">
        <v>318</v>
      </c>
      <c r="AC84" s="675"/>
    </row>
    <row r="85" spans="1:29" s="536" customFormat="1" ht="12" x14ac:dyDescent="0.2">
      <c r="A85" s="605"/>
      <c r="B85" s="552"/>
      <c r="C85" s="1822" t="s">
        <v>319</v>
      </c>
      <c r="D85" s="1822"/>
      <c r="E85" s="1822"/>
      <c r="F85" s="562"/>
      <c r="G85" s="562"/>
      <c r="H85" s="562"/>
      <c r="I85" s="562"/>
      <c r="J85" s="604"/>
      <c r="K85" s="562"/>
      <c r="L85" s="604">
        <v>36.049999999999997</v>
      </c>
      <c r="M85" s="603"/>
      <c r="N85" s="602"/>
      <c r="V85" s="674"/>
      <c r="W85" s="675"/>
      <c r="AA85" s="537" t="s">
        <v>319</v>
      </c>
      <c r="AC85" s="675"/>
    </row>
    <row r="86" spans="1:29" s="536" customFormat="1" ht="33.75" x14ac:dyDescent="0.2">
      <c r="A86" s="605"/>
      <c r="B86" s="552" t="s">
        <v>1155</v>
      </c>
      <c r="C86" s="1822" t="s">
        <v>1156</v>
      </c>
      <c r="D86" s="1822"/>
      <c r="E86" s="1822"/>
      <c r="F86" s="562" t="s">
        <v>322</v>
      </c>
      <c r="G86" s="562" t="s">
        <v>1157</v>
      </c>
      <c r="H86" s="562"/>
      <c r="I86" s="562" t="s">
        <v>1157</v>
      </c>
      <c r="J86" s="604"/>
      <c r="K86" s="562"/>
      <c r="L86" s="604">
        <v>39.29</v>
      </c>
      <c r="M86" s="603"/>
      <c r="N86" s="602"/>
      <c r="V86" s="674"/>
      <c r="W86" s="675"/>
      <c r="AA86" s="537" t="s">
        <v>1156</v>
      </c>
      <c r="AC86" s="675"/>
    </row>
    <row r="87" spans="1:29" s="536" customFormat="1" ht="33.75" x14ac:dyDescent="0.2">
      <c r="A87" s="605"/>
      <c r="B87" s="552" t="s">
        <v>1158</v>
      </c>
      <c r="C87" s="1822" t="s">
        <v>1159</v>
      </c>
      <c r="D87" s="1822"/>
      <c r="E87" s="1822"/>
      <c r="F87" s="562" t="s">
        <v>322</v>
      </c>
      <c r="G87" s="562" t="s">
        <v>791</v>
      </c>
      <c r="H87" s="562"/>
      <c r="I87" s="562" t="s">
        <v>791</v>
      </c>
      <c r="J87" s="604"/>
      <c r="K87" s="562"/>
      <c r="L87" s="604">
        <v>20.55</v>
      </c>
      <c r="M87" s="603"/>
      <c r="N87" s="602"/>
      <c r="V87" s="674"/>
      <c r="W87" s="675"/>
      <c r="AA87" s="537" t="s">
        <v>1159</v>
      </c>
      <c r="AC87" s="675"/>
    </row>
    <row r="88" spans="1:29" s="536" customFormat="1" ht="12" x14ac:dyDescent="0.2">
      <c r="A88" s="569"/>
      <c r="B88" s="671"/>
      <c r="C88" s="1823" t="s">
        <v>327</v>
      </c>
      <c r="D88" s="1823"/>
      <c r="E88" s="1823"/>
      <c r="F88" s="573"/>
      <c r="G88" s="573"/>
      <c r="H88" s="573"/>
      <c r="I88" s="573"/>
      <c r="J88" s="572"/>
      <c r="K88" s="573"/>
      <c r="L88" s="572">
        <v>104.05</v>
      </c>
      <c r="M88" s="601"/>
      <c r="N88" s="570"/>
      <c r="V88" s="674"/>
      <c r="W88" s="675"/>
      <c r="AC88" s="675" t="s">
        <v>327</v>
      </c>
    </row>
    <row r="89" spans="1:29" s="536" customFormat="1" ht="45" x14ac:dyDescent="0.2">
      <c r="A89" s="575" t="s">
        <v>190</v>
      </c>
      <c r="B89" s="670" t="s">
        <v>1183</v>
      </c>
      <c r="C89" s="1823" t="s">
        <v>1184</v>
      </c>
      <c r="D89" s="1823"/>
      <c r="E89" s="1823"/>
      <c r="F89" s="573" t="s">
        <v>617</v>
      </c>
      <c r="G89" s="573"/>
      <c r="H89" s="573"/>
      <c r="I89" s="573" t="s">
        <v>188</v>
      </c>
      <c r="J89" s="572">
        <v>271.07</v>
      </c>
      <c r="K89" s="573"/>
      <c r="L89" s="572">
        <v>1084.28</v>
      </c>
      <c r="M89" s="571"/>
      <c r="N89" s="570"/>
      <c r="V89" s="674"/>
      <c r="W89" s="675" t="s">
        <v>1184</v>
      </c>
      <c r="AC89" s="675"/>
    </row>
    <row r="90" spans="1:29" s="536" customFormat="1" ht="12" x14ac:dyDescent="0.2">
      <c r="A90" s="569"/>
      <c r="B90" s="671"/>
      <c r="C90" s="665" t="s">
        <v>717</v>
      </c>
      <c r="D90" s="666"/>
      <c r="E90" s="666"/>
      <c r="F90" s="563"/>
      <c r="G90" s="563"/>
      <c r="H90" s="563"/>
      <c r="I90" s="563"/>
      <c r="J90" s="566"/>
      <c r="K90" s="563"/>
      <c r="L90" s="566"/>
      <c r="M90" s="565"/>
      <c r="N90" s="564"/>
      <c r="V90" s="674"/>
      <c r="W90" s="675"/>
      <c r="AC90" s="675"/>
    </row>
    <row r="91" spans="1:29" s="536" customFormat="1" ht="33.75" x14ac:dyDescent="0.2">
      <c r="A91" s="575" t="s">
        <v>191</v>
      </c>
      <c r="B91" s="670" t="s">
        <v>1186</v>
      </c>
      <c r="C91" s="1823" t="s">
        <v>1905</v>
      </c>
      <c r="D91" s="1823"/>
      <c r="E91" s="1823"/>
      <c r="F91" s="573" t="s">
        <v>617</v>
      </c>
      <c r="G91" s="573"/>
      <c r="H91" s="573"/>
      <c r="I91" s="573" t="s">
        <v>187</v>
      </c>
      <c r="J91" s="572">
        <v>46.98</v>
      </c>
      <c r="K91" s="573"/>
      <c r="L91" s="572">
        <v>140.94</v>
      </c>
      <c r="M91" s="571"/>
      <c r="N91" s="570"/>
      <c r="V91" s="674"/>
      <c r="W91" s="675" t="s">
        <v>1905</v>
      </c>
      <c r="AC91" s="675"/>
    </row>
    <row r="92" spans="1:29" s="536" customFormat="1" ht="12" x14ac:dyDescent="0.2">
      <c r="A92" s="569"/>
      <c r="B92" s="671"/>
      <c r="C92" s="665" t="s">
        <v>717</v>
      </c>
      <c r="D92" s="666"/>
      <c r="E92" s="666"/>
      <c r="F92" s="563"/>
      <c r="G92" s="563"/>
      <c r="H92" s="563"/>
      <c r="I92" s="563"/>
      <c r="J92" s="566"/>
      <c r="K92" s="563"/>
      <c r="L92" s="566"/>
      <c r="M92" s="565"/>
      <c r="N92" s="564"/>
      <c r="V92" s="674"/>
      <c r="W92" s="675"/>
      <c r="AC92" s="675"/>
    </row>
    <row r="93" spans="1:29" s="536" customFormat="1" ht="33.75" x14ac:dyDescent="0.2">
      <c r="A93" s="575" t="s">
        <v>192</v>
      </c>
      <c r="B93" s="670" t="s">
        <v>1189</v>
      </c>
      <c r="C93" s="1823" t="s">
        <v>1190</v>
      </c>
      <c r="D93" s="1823"/>
      <c r="E93" s="1823"/>
      <c r="F93" s="573" t="s">
        <v>617</v>
      </c>
      <c r="G93" s="573"/>
      <c r="H93" s="573"/>
      <c r="I93" s="573" t="s">
        <v>186</v>
      </c>
      <c r="J93" s="572">
        <v>12.65</v>
      </c>
      <c r="K93" s="573"/>
      <c r="L93" s="572">
        <v>25.3</v>
      </c>
      <c r="M93" s="571"/>
      <c r="N93" s="570"/>
      <c r="V93" s="674"/>
      <c r="W93" s="675" t="s">
        <v>1190</v>
      </c>
      <c r="AC93" s="675"/>
    </row>
    <row r="94" spans="1:29" s="536" customFormat="1" ht="12" x14ac:dyDescent="0.2">
      <c r="A94" s="569"/>
      <c r="B94" s="671"/>
      <c r="C94" s="665" t="s">
        <v>717</v>
      </c>
      <c r="D94" s="666"/>
      <c r="E94" s="666"/>
      <c r="F94" s="563"/>
      <c r="G94" s="563"/>
      <c r="H94" s="563"/>
      <c r="I94" s="563"/>
      <c r="J94" s="566"/>
      <c r="K94" s="563"/>
      <c r="L94" s="566"/>
      <c r="M94" s="565"/>
      <c r="N94" s="564"/>
      <c r="V94" s="674"/>
      <c r="W94" s="675"/>
      <c r="AC94" s="675"/>
    </row>
    <row r="95" spans="1:29" s="536" customFormat="1" ht="33.75" x14ac:dyDescent="0.2">
      <c r="A95" s="575" t="s">
        <v>193</v>
      </c>
      <c r="B95" s="670" t="s">
        <v>3903</v>
      </c>
      <c r="C95" s="1823" t="s">
        <v>1193</v>
      </c>
      <c r="D95" s="1823"/>
      <c r="E95" s="1823"/>
      <c r="F95" s="573" t="s">
        <v>617</v>
      </c>
      <c r="G95" s="573"/>
      <c r="H95" s="573"/>
      <c r="I95" s="573" t="s">
        <v>1079</v>
      </c>
      <c r="J95" s="572">
        <v>180.25</v>
      </c>
      <c r="K95" s="573" t="s">
        <v>716</v>
      </c>
      <c r="L95" s="572">
        <v>552.4</v>
      </c>
      <c r="M95" s="571">
        <v>8.32</v>
      </c>
      <c r="N95" s="570">
        <v>4596</v>
      </c>
      <c r="V95" s="674"/>
      <c r="W95" s="675" t="s">
        <v>1193</v>
      </c>
      <c r="AC95" s="675"/>
    </row>
    <row r="96" spans="1:29" s="536" customFormat="1" ht="12" x14ac:dyDescent="0.2">
      <c r="A96" s="569"/>
      <c r="B96" s="671"/>
      <c r="C96" s="665" t="s">
        <v>1173</v>
      </c>
      <c r="D96" s="666"/>
      <c r="E96" s="666"/>
      <c r="F96" s="563"/>
      <c r="G96" s="563"/>
      <c r="H96" s="563"/>
      <c r="I96" s="563"/>
      <c r="J96" s="566"/>
      <c r="K96" s="563"/>
      <c r="L96" s="566"/>
      <c r="M96" s="565"/>
      <c r="N96" s="564"/>
      <c r="V96" s="674"/>
      <c r="W96" s="675"/>
      <c r="AC96" s="675"/>
    </row>
    <row r="97" spans="1:31" s="536" customFormat="1" ht="22.5" x14ac:dyDescent="0.2">
      <c r="A97" s="609"/>
      <c r="B97" s="552" t="s">
        <v>718</v>
      </c>
      <c r="C97" s="1822" t="s">
        <v>719</v>
      </c>
      <c r="D97" s="1822"/>
      <c r="E97" s="1822"/>
      <c r="F97" s="1822"/>
      <c r="G97" s="1822"/>
      <c r="H97" s="1822"/>
      <c r="I97" s="1822"/>
      <c r="J97" s="1822"/>
      <c r="K97" s="1822"/>
      <c r="L97" s="1822"/>
      <c r="M97" s="1822"/>
      <c r="N97" s="1827"/>
      <c r="V97" s="674"/>
      <c r="W97" s="675"/>
      <c r="Y97" s="537" t="s">
        <v>719</v>
      </c>
      <c r="AC97" s="675"/>
    </row>
    <row r="98" spans="1:31" s="536" customFormat="1" ht="33.75" x14ac:dyDescent="0.2">
      <c r="A98" s="575" t="s">
        <v>194</v>
      </c>
      <c r="B98" s="670" t="s">
        <v>1189</v>
      </c>
      <c r="C98" s="1823" t="s">
        <v>1190</v>
      </c>
      <c r="D98" s="1823"/>
      <c r="E98" s="1823"/>
      <c r="F98" s="573" t="s">
        <v>617</v>
      </c>
      <c r="G98" s="573"/>
      <c r="H98" s="573"/>
      <c r="I98" s="573" t="s">
        <v>186</v>
      </c>
      <c r="J98" s="572">
        <v>12.65</v>
      </c>
      <c r="K98" s="573"/>
      <c r="L98" s="572">
        <v>25.3</v>
      </c>
      <c r="M98" s="571"/>
      <c r="N98" s="570"/>
      <c r="V98" s="674"/>
      <c r="W98" s="675" t="s">
        <v>1190</v>
      </c>
      <c r="AC98" s="675"/>
    </row>
    <row r="99" spans="1:31" s="536" customFormat="1" ht="12" x14ac:dyDescent="0.2">
      <c r="A99" s="569"/>
      <c r="B99" s="671"/>
      <c r="C99" s="665" t="s">
        <v>717</v>
      </c>
      <c r="D99" s="666"/>
      <c r="E99" s="666"/>
      <c r="F99" s="563"/>
      <c r="G99" s="563"/>
      <c r="H99" s="563"/>
      <c r="I99" s="563"/>
      <c r="J99" s="566"/>
      <c r="K99" s="563"/>
      <c r="L99" s="566"/>
      <c r="M99" s="565"/>
      <c r="N99" s="564"/>
      <c r="V99" s="674"/>
      <c r="W99" s="675"/>
      <c r="AC99" s="675"/>
    </row>
    <row r="100" spans="1:31" s="536" customFormat="1" ht="22.5" x14ac:dyDescent="0.2">
      <c r="A100" s="575" t="s">
        <v>195</v>
      </c>
      <c r="B100" s="670" t="s">
        <v>1196</v>
      </c>
      <c r="C100" s="1823" t="s">
        <v>1197</v>
      </c>
      <c r="D100" s="1823"/>
      <c r="E100" s="1823"/>
      <c r="F100" s="573" t="s">
        <v>617</v>
      </c>
      <c r="G100" s="573"/>
      <c r="H100" s="573"/>
      <c r="I100" s="573" t="s">
        <v>186</v>
      </c>
      <c r="J100" s="572"/>
      <c r="K100" s="573"/>
      <c r="L100" s="572"/>
      <c r="M100" s="571"/>
      <c r="N100" s="570"/>
      <c r="V100" s="674"/>
      <c r="W100" s="675" t="s">
        <v>1197</v>
      </c>
      <c r="AC100" s="675"/>
    </row>
    <row r="101" spans="1:31" s="536" customFormat="1" ht="33.75" x14ac:dyDescent="0.2">
      <c r="A101" s="609"/>
      <c r="B101" s="552" t="s">
        <v>310</v>
      </c>
      <c r="C101" s="1822" t="s">
        <v>311</v>
      </c>
      <c r="D101" s="1822"/>
      <c r="E101" s="1822"/>
      <c r="F101" s="1822"/>
      <c r="G101" s="1822"/>
      <c r="H101" s="1822"/>
      <c r="I101" s="1822"/>
      <c r="J101" s="1822"/>
      <c r="K101" s="1822"/>
      <c r="L101" s="1822"/>
      <c r="M101" s="1822"/>
      <c r="N101" s="1827"/>
      <c r="V101" s="674"/>
      <c r="W101" s="675"/>
      <c r="Y101" s="537" t="s">
        <v>311</v>
      </c>
      <c r="AC101" s="675"/>
    </row>
    <row r="102" spans="1:31" s="536" customFormat="1" ht="12" x14ac:dyDescent="0.2">
      <c r="A102" s="605"/>
      <c r="B102" s="552" t="s">
        <v>185</v>
      </c>
      <c r="C102" s="1822" t="s">
        <v>312</v>
      </c>
      <c r="D102" s="1822"/>
      <c r="E102" s="1822"/>
      <c r="F102" s="562"/>
      <c r="G102" s="562"/>
      <c r="H102" s="562"/>
      <c r="I102" s="562"/>
      <c r="J102" s="604">
        <v>1.73</v>
      </c>
      <c r="K102" s="562" t="s">
        <v>313</v>
      </c>
      <c r="L102" s="604">
        <v>4.33</v>
      </c>
      <c r="M102" s="603"/>
      <c r="N102" s="602"/>
      <c r="V102" s="674"/>
      <c r="W102" s="675"/>
      <c r="Z102" s="537" t="s">
        <v>312</v>
      </c>
      <c r="AC102" s="675"/>
    </row>
    <row r="103" spans="1:31" s="536" customFormat="1" ht="12" x14ac:dyDescent="0.2">
      <c r="A103" s="676"/>
      <c r="B103" s="677" t="s">
        <v>1198</v>
      </c>
      <c r="C103" s="1829" t="s">
        <v>1199</v>
      </c>
      <c r="D103" s="1829"/>
      <c r="E103" s="1829"/>
      <c r="F103" s="678" t="s">
        <v>617</v>
      </c>
      <c r="G103" s="678" t="s">
        <v>185</v>
      </c>
      <c r="H103" s="678"/>
      <c r="I103" s="678" t="s">
        <v>186</v>
      </c>
      <c r="J103" s="552"/>
      <c r="K103" s="562"/>
      <c r="L103" s="604"/>
      <c r="M103" s="562"/>
      <c r="N103" s="679"/>
      <c r="V103" s="674"/>
      <c r="W103" s="675"/>
      <c r="AC103" s="675"/>
      <c r="AE103" s="680" t="s">
        <v>1199</v>
      </c>
    </row>
    <row r="104" spans="1:31" s="536" customFormat="1" ht="12" x14ac:dyDescent="0.2">
      <c r="A104" s="605"/>
      <c r="B104" s="552"/>
      <c r="C104" s="1822" t="s">
        <v>314</v>
      </c>
      <c r="D104" s="1822"/>
      <c r="E104" s="1822"/>
      <c r="F104" s="562" t="s">
        <v>315</v>
      </c>
      <c r="G104" s="562" t="s">
        <v>1200</v>
      </c>
      <c r="H104" s="562" t="s">
        <v>313</v>
      </c>
      <c r="I104" s="562" t="s">
        <v>647</v>
      </c>
      <c r="J104" s="604"/>
      <c r="K104" s="562"/>
      <c r="L104" s="604"/>
      <c r="M104" s="603"/>
      <c r="N104" s="602"/>
      <c r="V104" s="674"/>
      <c r="W104" s="675"/>
      <c r="AA104" s="537" t="s">
        <v>314</v>
      </c>
      <c r="AC104" s="675"/>
      <c r="AE104" s="680"/>
    </row>
    <row r="105" spans="1:31" s="536" customFormat="1" ht="12" x14ac:dyDescent="0.2">
      <c r="A105" s="605"/>
      <c r="B105" s="552"/>
      <c r="C105" s="1828" t="s">
        <v>318</v>
      </c>
      <c r="D105" s="1828"/>
      <c r="E105" s="1828"/>
      <c r="F105" s="608"/>
      <c r="G105" s="608"/>
      <c r="H105" s="608"/>
      <c r="I105" s="608"/>
      <c r="J105" s="607">
        <v>1.73</v>
      </c>
      <c r="K105" s="608"/>
      <c r="L105" s="607">
        <v>4.33</v>
      </c>
      <c r="M105" s="601"/>
      <c r="N105" s="606"/>
      <c r="V105" s="674"/>
      <c r="W105" s="675"/>
      <c r="AB105" s="537" t="s">
        <v>318</v>
      </c>
      <c r="AC105" s="675"/>
      <c r="AE105" s="680"/>
    </row>
    <row r="106" spans="1:31" s="536" customFormat="1" ht="12" x14ac:dyDescent="0.2">
      <c r="A106" s="605"/>
      <c r="B106" s="552"/>
      <c r="C106" s="1822" t="s">
        <v>319</v>
      </c>
      <c r="D106" s="1822"/>
      <c r="E106" s="1822"/>
      <c r="F106" s="562"/>
      <c r="G106" s="562"/>
      <c r="H106" s="562"/>
      <c r="I106" s="562"/>
      <c r="J106" s="604"/>
      <c r="K106" s="562"/>
      <c r="L106" s="604">
        <v>4.33</v>
      </c>
      <c r="M106" s="603"/>
      <c r="N106" s="602"/>
      <c r="V106" s="674"/>
      <c r="W106" s="675"/>
      <c r="AA106" s="537" t="s">
        <v>319</v>
      </c>
      <c r="AC106" s="675"/>
      <c r="AE106" s="680"/>
    </row>
    <row r="107" spans="1:31" s="536" customFormat="1" ht="33.75" x14ac:dyDescent="0.2">
      <c r="A107" s="605"/>
      <c r="B107" s="552" t="s">
        <v>1155</v>
      </c>
      <c r="C107" s="1822" t="s">
        <v>1156</v>
      </c>
      <c r="D107" s="1822"/>
      <c r="E107" s="1822"/>
      <c r="F107" s="562" t="s">
        <v>322</v>
      </c>
      <c r="G107" s="562" t="s">
        <v>1157</v>
      </c>
      <c r="H107" s="562"/>
      <c r="I107" s="562" t="s">
        <v>1157</v>
      </c>
      <c r="J107" s="604"/>
      <c r="K107" s="562"/>
      <c r="L107" s="604">
        <v>4.72</v>
      </c>
      <c r="M107" s="603"/>
      <c r="N107" s="602"/>
      <c r="V107" s="674"/>
      <c r="W107" s="675"/>
      <c r="AA107" s="537" t="s">
        <v>1156</v>
      </c>
      <c r="AC107" s="675"/>
      <c r="AE107" s="680"/>
    </row>
    <row r="108" spans="1:31" s="536" customFormat="1" ht="33.75" x14ac:dyDescent="0.2">
      <c r="A108" s="605"/>
      <c r="B108" s="552" t="s">
        <v>1158</v>
      </c>
      <c r="C108" s="1822" t="s">
        <v>1159</v>
      </c>
      <c r="D108" s="1822"/>
      <c r="E108" s="1822"/>
      <c r="F108" s="562" t="s">
        <v>322</v>
      </c>
      <c r="G108" s="562" t="s">
        <v>791</v>
      </c>
      <c r="H108" s="562"/>
      <c r="I108" s="562" t="s">
        <v>791</v>
      </c>
      <c r="J108" s="604"/>
      <c r="K108" s="562"/>
      <c r="L108" s="604">
        <v>2.4700000000000002</v>
      </c>
      <c r="M108" s="603"/>
      <c r="N108" s="602"/>
      <c r="V108" s="674"/>
      <c r="W108" s="675"/>
      <c r="AA108" s="537" t="s">
        <v>1159</v>
      </c>
      <c r="AC108" s="675"/>
      <c r="AE108" s="680"/>
    </row>
    <row r="109" spans="1:31" s="536" customFormat="1" ht="12" x14ac:dyDescent="0.2">
      <c r="A109" s="569"/>
      <c r="B109" s="671"/>
      <c r="C109" s="1823" t="s">
        <v>327</v>
      </c>
      <c r="D109" s="1823"/>
      <c r="E109" s="1823"/>
      <c r="F109" s="573"/>
      <c r="G109" s="573"/>
      <c r="H109" s="573"/>
      <c r="I109" s="573"/>
      <c r="J109" s="572"/>
      <c r="K109" s="573"/>
      <c r="L109" s="572">
        <v>11.52</v>
      </c>
      <c r="M109" s="601"/>
      <c r="N109" s="570"/>
      <c r="V109" s="674"/>
      <c r="W109" s="675"/>
      <c r="AC109" s="675" t="s">
        <v>327</v>
      </c>
      <c r="AE109" s="680"/>
    </row>
    <row r="110" spans="1:31" s="536" customFormat="1" ht="33.75" x14ac:dyDescent="0.2">
      <c r="A110" s="575" t="s">
        <v>196</v>
      </c>
      <c r="B110" s="670" t="s">
        <v>1202</v>
      </c>
      <c r="C110" s="1823" t="s">
        <v>1203</v>
      </c>
      <c r="D110" s="1823"/>
      <c r="E110" s="1823"/>
      <c r="F110" s="573" t="s">
        <v>617</v>
      </c>
      <c r="G110" s="573"/>
      <c r="H110" s="573"/>
      <c r="I110" s="573" t="s">
        <v>186</v>
      </c>
      <c r="J110" s="572">
        <v>249.4</v>
      </c>
      <c r="K110" s="573"/>
      <c r="L110" s="572">
        <v>498.8</v>
      </c>
      <c r="M110" s="571"/>
      <c r="N110" s="570"/>
      <c r="V110" s="674"/>
      <c r="W110" s="675" t="s">
        <v>1203</v>
      </c>
      <c r="AC110" s="675"/>
      <c r="AE110" s="680"/>
    </row>
    <row r="111" spans="1:31" s="536" customFormat="1" ht="12" x14ac:dyDescent="0.2">
      <c r="A111" s="569"/>
      <c r="B111" s="671"/>
      <c r="C111" s="665" t="s">
        <v>717</v>
      </c>
      <c r="D111" s="666"/>
      <c r="E111" s="666"/>
      <c r="F111" s="563"/>
      <c r="G111" s="563"/>
      <c r="H111" s="563"/>
      <c r="I111" s="563"/>
      <c r="J111" s="566"/>
      <c r="K111" s="563"/>
      <c r="L111" s="566"/>
      <c r="M111" s="565"/>
      <c r="N111" s="564"/>
      <c r="V111" s="674"/>
      <c r="W111" s="675"/>
      <c r="AC111" s="675"/>
      <c r="AE111" s="680"/>
    </row>
    <row r="112" spans="1:31" s="536" customFormat="1" ht="33.75" x14ac:dyDescent="0.2">
      <c r="A112" s="575" t="s">
        <v>197</v>
      </c>
      <c r="B112" s="670" t="s">
        <v>1204</v>
      </c>
      <c r="C112" s="1823" t="s">
        <v>1205</v>
      </c>
      <c r="D112" s="1823"/>
      <c r="E112" s="1823"/>
      <c r="F112" s="573" t="s">
        <v>483</v>
      </c>
      <c r="G112" s="573"/>
      <c r="H112" s="573"/>
      <c r="I112" s="573" t="s">
        <v>192</v>
      </c>
      <c r="J112" s="572"/>
      <c r="K112" s="573"/>
      <c r="L112" s="572"/>
      <c r="M112" s="571"/>
      <c r="N112" s="570"/>
      <c r="V112" s="674"/>
      <c r="W112" s="675" t="s">
        <v>1205</v>
      </c>
      <c r="AC112" s="675"/>
      <c r="AE112" s="680"/>
    </row>
    <row r="113" spans="1:31" s="536" customFormat="1" ht="12" x14ac:dyDescent="0.2">
      <c r="A113" s="676"/>
      <c r="B113" s="664"/>
      <c r="C113" s="1822" t="s">
        <v>1907</v>
      </c>
      <c r="D113" s="1822"/>
      <c r="E113" s="1822"/>
      <c r="F113" s="1822"/>
      <c r="G113" s="1822"/>
      <c r="H113" s="1822"/>
      <c r="I113" s="1822"/>
      <c r="J113" s="1822"/>
      <c r="K113" s="1822"/>
      <c r="L113" s="1822"/>
      <c r="M113" s="1822"/>
      <c r="N113" s="1827"/>
      <c r="V113" s="674"/>
      <c r="W113" s="675"/>
      <c r="X113" s="537" t="s">
        <v>1907</v>
      </c>
      <c r="AC113" s="675"/>
      <c r="AE113" s="680"/>
    </row>
    <row r="114" spans="1:31" s="536" customFormat="1" ht="33.75" x14ac:dyDescent="0.2">
      <c r="A114" s="609"/>
      <c r="B114" s="552" t="s">
        <v>310</v>
      </c>
      <c r="C114" s="1822" t="s">
        <v>311</v>
      </c>
      <c r="D114" s="1822"/>
      <c r="E114" s="1822"/>
      <c r="F114" s="1822"/>
      <c r="G114" s="1822"/>
      <c r="H114" s="1822"/>
      <c r="I114" s="1822"/>
      <c r="J114" s="1822"/>
      <c r="K114" s="1822"/>
      <c r="L114" s="1822"/>
      <c r="M114" s="1822"/>
      <c r="N114" s="1827"/>
      <c r="V114" s="674"/>
      <c r="W114" s="675"/>
      <c r="Y114" s="537" t="s">
        <v>311</v>
      </c>
      <c r="AC114" s="675"/>
      <c r="AE114" s="680"/>
    </row>
    <row r="115" spans="1:31" s="536" customFormat="1" ht="12" x14ac:dyDescent="0.2">
      <c r="A115" s="605"/>
      <c r="B115" s="552" t="s">
        <v>185</v>
      </c>
      <c r="C115" s="1822" t="s">
        <v>312</v>
      </c>
      <c r="D115" s="1822"/>
      <c r="E115" s="1822"/>
      <c r="F115" s="562"/>
      <c r="G115" s="562"/>
      <c r="H115" s="562"/>
      <c r="I115" s="562"/>
      <c r="J115" s="604">
        <v>1.1499999999999999</v>
      </c>
      <c r="K115" s="562" t="s">
        <v>313</v>
      </c>
      <c r="L115" s="604">
        <v>11.5</v>
      </c>
      <c r="M115" s="603"/>
      <c r="N115" s="602"/>
      <c r="V115" s="674"/>
      <c r="W115" s="675"/>
      <c r="Z115" s="537" t="s">
        <v>312</v>
      </c>
      <c r="AC115" s="675"/>
      <c r="AE115" s="680"/>
    </row>
    <row r="116" spans="1:31" s="536" customFormat="1" ht="12" x14ac:dyDescent="0.2">
      <c r="A116" s="605"/>
      <c r="B116" s="552" t="s">
        <v>188</v>
      </c>
      <c r="C116" s="1822" t="s">
        <v>475</v>
      </c>
      <c r="D116" s="1822"/>
      <c r="E116" s="1822"/>
      <c r="F116" s="562"/>
      <c r="G116" s="562"/>
      <c r="H116" s="562"/>
      <c r="I116" s="562"/>
      <c r="J116" s="604">
        <v>7.8</v>
      </c>
      <c r="K116" s="562"/>
      <c r="L116" s="604">
        <v>62.4</v>
      </c>
      <c r="M116" s="603"/>
      <c r="N116" s="602"/>
      <c r="V116" s="674"/>
      <c r="W116" s="675"/>
      <c r="Z116" s="537" t="s">
        <v>475</v>
      </c>
      <c r="AC116" s="675"/>
      <c r="AE116" s="680"/>
    </row>
    <row r="117" spans="1:31" s="536" customFormat="1" ht="12" x14ac:dyDescent="0.2">
      <c r="A117" s="676"/>
      <c r="B117" s="677" t="s">
        <v>1207</v>
      </c>
      <c r="C117" s="1829" t="s">
        <v>1208</v>
      </c>
      <c r="D117" s="1829"/>
      <c r="E117" s="1829"/>
      <c r="F117" s="678" t="s">
        <v>483</v>
      </c>
      <c r="G117" s="678" t="s">
        <v>185</v>
      </c>
      <c r="H117" s="678"/>
      <c r="I117" s="678" t="s">
        <v>192</v>
      </c>
      <c r="J117" s="552"/>
      <c r="K117" s="562"/>
      <c r="L117" s="604"/>
      <c r="M117" s="562"/>
      <c r="N117" s="679"/>
      <c r="V117" s="674"/>
      <c r="W117" s="675"/>
      <c r="AC117" s="675"/>
      <c r="AE117" s="680" t="s">
        <v>1208</v>
      </c>
    </row>
    <row r="118" spans="1:31" s="536" customFormat="1" ht="12" x14ac:dyDescent="0.2">
      <c r="A118" s="676"/>
      <c r="B118" s="677" t="s">
        <v>1198</v>
      </c>
      <c r="C118" s="1829" t="s">
        <v>1199</v>
      </c>
      <c r="D118" s="1829"/>
      <c r="E118" s="1829"/>
      <c r="F118" s="678" t="s">
        <v>617</v>
      </c>
      <c r="G118" s="678" t="s">
        <v>186</v>
      </c>
      <c r="H118" s="678"/>
      <c r="I118" s="678" t="s">
        <v>200</v>
      </c>
      <c r="J118" s="552"/>
      <c r="K118" s="562"/>
      <c r="L118" s="604"/>
      <c r="M118" s="562"/>
      <c r="N118" s="679"/>
      <c r="V118" s="674"/>
      <c r="W118" s="675"/>
      <c r="AC118" s="675"/>
      <c r="AE118" s="680" t="s">
        <v>1199</v>
      </c>
    </row>
    <row r="119" spans="1:31" s="536" customFormat="1" ht="12" x14ac:dyDescent="0.2">
      <c r="A119" s="605"/>
      <c r="B119" s="552"/>
      <c r="C119" s="1822" t="s">
        <v>314</v>
      </c>
      <c r="D119" s="1822"/>
      <c r="E119" s="1822"/>
      <c r="F119" s="562" t="s">
        <v>315</v>
      </c>
      <c r="G119" s="562" t="s">
        <v>646</v>
      </c>
      <c r="H119" s="562" t="s">
        <v>313</v>
      </c>
      <c r="I119" s="562" t="s">
        <v>1908</v>
      </c>
      <c r="J119" s="604"/>
      <c r="K119" s="562"/>
      <c r="L119" s="604"/>
      <c r="M119" s="603"/>
      <c r="N119" s="602"/>
      <c r="V119" s="674"/>
      <c r="W119" s="675"/>
      <c r="AA119" s="537" t="s">
        <v>314</v>
      </c>
      <c r="AC119" s="675"/>
      <c r="AE119" s="680"/>
    </row>
    <row r="120" spans="1:31" s="536" customFormat="1" ht="12" x14ac:dyDescent="0.2">
      <c r="A120" s="605"/>
      <c r="B120" s="552"/>
      <c r="C120" s="1828" t="s">
        <v>318</v>
      </c>
      <c r="D120" s="1828"/>
      <c r="E120" s="1828"/>
      <c r="F120" s="608"/>
      <c r="G120" s="608"/>
      <c r="H120" s="608"/>
      <c r="I120" s="608"/>
      <c r="J120" s="607">
        <v>8.9499999999999993</v>
      </c>
      <c r="K120" s="608"/>
      <c r="L120" s="607">
        <v>73.900000000000006</v>
      </c>
      <c r="M120" s="601"/>
      <c r="N120" s="606"/>
      <c r="V120" s="674"/>
      <c r="W120" s="675"/>
      <c r="AB120" s="537" t="s">
        <v>318</v>
      </c>
      <c r="AC120" s="675"/>
      <c r="AE120" s="680"/>
    </row>
    <row r="121" spans="1:31" s="536" customFormat="1" ht="12" x14ac:dyDescent="0.2">
      <c r="A121" s="605"/>
      <c r="B121" s="552"/>
      <c r="C121" s="1822" t="s">
        <v>319</v>
      </c>
      <c r="D121" s="1822"/>
      <c r="E121" s="1822"/>
      <c r="F121" s="562"/>
      <c r="G121" s="562"/>
      <c r="H121" s="562"/>
      <c r="I121" s="562"/>
      <c r="J121" s="604"/>
      <c r="K121" s="562"/>
      <c r="L121" s="604">
        <v>11.5</v>
      </c>
      <c r="M121" s="603"/>
      <c r="N121" s="602"/>
      <c r="V121" s="674"/>
      <c r="W121" s="675"/>
      <c r="AA121" s="537" t="s">
        <v>319</v>
      </c>
      <c r="AC121" s="675"/>
      <c r="AE121" s="680"/>
    </row>
    <row r="122" spans="1:31" s="536" customFormat="1" ht="33.75" x14ac:dyDescent="0.2">
      <c r="A122" s="605"/>
      <c r="B122" s="552" t="s">
        <v>1155</v>
      </c>
      <c r="C122" s="1822" t="s">
        <v>1156</v>
      </c>
      <c r="D122" s="1822"/>
      <c r="E122" s="1822"/>
      <c r="F122" s="562" t="s">
        <v>322</v>
      </c>
      <c r="G122" s="562" t="s">
        <v>1157</v>
      </c>
      <c r="H122" s="562"/>
      <c r="I122" s="562" t="s">
        <v>1157</v>
      </c>
      <c r="J122" s="604"/>
      <c r="K122" s="562"/>
      <c r="L122" s="604">
        <v>12.54</v>
      </c>
      <c r="M122" s="603"/>
      <c r="N122" s="602"/>
      <c r="V122" s="674"/>
      <c r="W122" s="675"/>
      <c r="AA122" s="537" t="s">
        <v>1156</v>
      </c>
      <c r="AC122" s="675"/>
      <c r="AE122" s="680"/>
    </row>
    <row r="123" spans="1:31" s="536" customFormat="1" ht="33.75" x14ac:dyDescent="0.2">
      <c r="A123" s="605"/>
      <c r="B123" s="552" t="s">
        <v>1158</v>
      </c>
      <c r="C123" s="1822" t="s">
        <v>1159</v>
      </c>
      <c r="D123" s="1822"/>
      <c r="E123" s="1822"/>
      <c r="F123" s="562" t="s">
        <v>322</v>
      </c>
      <c r="G123" s="562" t="s">
        <v>791</v>
      </c>
      <c r="H123" s="562"/>
      <c r="I123" s="562" t="s">
        <v>791</v>
      </c>
      <c r="J123" s="604"/>
      <c r="K123" s="562"/>
      <c r="L123" s="604">
        <v>6.56</v>
      </c>
      <c r="M123" s="603"/>
      <c r="N123" s="602"/>
      <c r="V123" s="674"/>
      <c r="W123" s="675"/>
      <c r="AA123" s="537" t="s">
        <v>1159</v>
      </c>
      <c r="AC123" s="675"/>
      <c r="AE123" s="680"/>
    </row>
    <row r="124" spans="1:31" s="536" customFormat="1" ht="12" x14ac:dyDescent="0.2">
      <c r="A124" s="569"/>
      <c r="B124" s="671"/>
      <c r="C124" s="1823" t="s">
        <v>327</v>
      </c>
      <c r="D124" s="1823"/>
      <c r="E124" s="1823"/>
      <c r="F124" s="573"/>
      <c r="G124" s="573"/>
      <c r="H124" s="573"/>
      <c r="I124" s="573"/>
      <c r="J124" s="572"/>
      <c r="K124" s="573"/>
      <c r="L124" s="572">
        <v>93</v>
      </c>
      <c r="M124" s="601"/>
      <c r="N124" s="570"/>
      <c r="V124" s="674"/>
      <c r="W124" s="675"/>
      <c r="AC124" s="675" t="s">
        <v>327</v>
      </c>
      <c r="AE124" s="680"/>
    </row>
    <row r="125" spans="1:31" s="536" customFormat="1" ht="33.75" x14ac:dyDescent="0.2">
      <c r="A125" s="575" t="s">
        <v>198</v>
      </c>
      <c r="B125" s="670" t="s">
        <v>1210</v>
      </c>
      <c r="C125" s="1823" t="s">
        <v>1211</v>
      </c>
      <c r="D125" s="1823"/>
      <c r="E125" s="1823"/>
      <c r="F125" s="573" t="s">
        <v>617</v>
      </c>
      <c r="G125" s="573"/>
      <c r="H125" s="573"/>
      <c r="I125" s="573" t="s">
        <v>186</v>
      </c>
      <c r="J125" s="572">
        <v>357.8</v>
      </c>
      <c r="K125" s="573"/>
      <c r="L125" s="572">
        <v>715.6</v>
      </c>
      <c r="M125" s="571"/>
      <c r="N125" s="570"/>
      <c r="V125" s="674"/>
      <c r="W125" s="675" t="s">
        <v>1211</v>
      </c>
      <c r="AC125" s="675"/>
      <c r="AE125" s="680"/>
    </row>
    <row r="126" spans="1:31" s="536" customFormat="1" ht="12" x14ac:dyDescent="0.2">
      <c r="A126" s="569"/>
      <c r="B126" s="671"/>
      <c r="C126" s="665" t="s">
        <v>717</v>
      </c>
      <c r="D126" s="666"/>
      <c r="E126" s="666"/>
      <c r="F126" s="563"/>
      <c r="G126" s="563"/>
      <c r="H126" s="563"/>
      <c r="I126" s="563"/>
      <c r="J126" s="566"/>
      <c r="K126" s="563"/>
      <c r="L126" s="566"/>
      <c r="M126" s="565"/>
      <c r="N126" s="564"/>
      <c r="V126" s="674"/>
      <c r="W126" s="675"/>
      <c r="AC126" s="675"/>
      <c r="AE126" s="680"/>
    </row>
    <row r="127" spans="1:31" s="536" customFormat="1" ht="33.75" x14ac:dyDescent="0.2">
      <c r="A127" s="575" t="s">
        <v>199</v>
      </c>
      <c r="B127" s="670" t="s">
        <v>1212</v>
      </c>
      <c r="C127" s="1823" t="s">
        <v>1213</v>
      </c>
      <c r="D127" s="1823"/>
      <c r="E127" s="1823"/>
      <c r="F127" s="573" t="s">
        <v>617</v>
      </c>
      <c r="G127" s="573"/>
      <c r="H127" s="573"/>
      <c r="I127" s="573" t="s">
        <v>186</v>
      </c>
      <c r="J127" s="572">
        <v>119.27</v>
      </c>
      <c r="K127" s="573"/>
      <c r="L127" s="572">
        <v>238.54</v>
      </c>
      <c r="M127" s="571"/>
      <c r="N127" s="570"/>
      <c r="V127" s="674"/>
      <c r="W127" s="675" t="s">
        <v>1213</v>
      </c>
      <c r="AC127" s="675"/>
      <c r="AE127" s="680"/>
    </row>
    <row r="128" spans="1:31" s="536" customFormat="1" ht="12" x14ac:dyDescent="0.2">
      <c r="A128" s="569"/>
      <c r="B128" s="671"/>
      <c r="C128" s="665" t="s">
        <v>717</v>
      </c>
      <c r="D128" s="666"/>
      <c r="E128" s="666"/>
      <c r="F128" s="563"/>
      <c r="G128" s="563"/>
      <c r="H128" s="563"/>
      <c r="I128" s="563"/>
      <c r="J128" s="566"/>
      <c r="K128" s="563"/>
      <c r="L128" s="566"/>
      <c r="M128" s="565"/>
      <c r="N128" s="564"/>
      <c r="V128" s="674"/>
      <c r="W128" s="675"/>
      <c r="AC128" s="675"/>
      <c r="AE128" s="680"/>
    </row>
    <row r="129" spans="1:32" s="536" customFormat="1" ht="22.5" x14ac:dyDescent="0.2">
      <c r="A129" s="575" t="s">
        <v>200</v>
      </c>
      <c r="B129" s="670" t="s">
        <v>1214</v>
      </c>
      <c r="C129" s="1823" t="s">
        <v>1215</v>
      </c>
      <c r="D129" s="1823"/>
      <c r="E129" s="1823"/>
      <c r="F129" s="573" t="s">
        <v>617</v>
      </c>
      <c r="G129" s="573"/>
      <c r="H129" s="573"/>
      <c r="I129" s="573" t="s">
        <v>190</v>
      </c>
      <c r="J129" s="572"/>
      <c r="K129" s="573"/>
      <c r="L129" s="572"/>
      <c r="M129" s="571"/>
      <c r="N129" s="570"/>
      <c r="V129" s="674"/>
      <c r="W129" s="675" t="s">
        <v>1215</v>
      </c>
      <c r="AC129" s="675"/>
      <c r="AE129" s="680"/>
    </row>
    <row r="130" spans="1:32" s="536" customFormat="1" ht="12" x14ac:dyDescent="0.2">
      <c r="A130" s="676"/>
      <c r="B130" s="664"/>
      <c r="C130" s="1822" t="s">
        <v>1909</v>
      </c>
      <c r="D130" s="1822"/>
      <c r="E130" s="1822"/>
      <c r="F130" s="1822"/>
      <c r="G130" s="1822"/>
      <c r="H130" s="1822"/>
      <c r="I130" s="1822"/>
      <c r="J130" s="1822"/>
      <c r="K130" s="1822"/>
      <c r="L130" s="1822"/>
      <c r="M130" s="1822"/>
      <c r="N130" s="1827"/>
      <c r="V130" s="674"/>
      <c r="W130" s="675"/>
      <c r="X130" s="537" t="s">
        <v>1909</v>
      </c>
      <c r="AC130" s="675"/>
      <c r="AE130" s="680"/>
    </row>
    <row r="131" spans="1:32" s="536" customFormat="1" ht="33.75" x14ac:dyDescent="0.2">
      <c r="A131" s="609"/>
      <c r="B131" s="552" t="s">
        <v>310</v>
      </c>
      <c r="C131" s="1822" t="s">
        <v>311</v>
      </c>
      <c r="D131" s="1822"/>
      <c r="E131" s="1822"/>
      <c r="F131" s="1822"/>
      <c r="G131" s="1822"/>
      <c r="H131" s="1822"/>
      <c r="I131" s="1822"/>
      <c r="J131" s="1822"/>
      <c r="K131" s="1822"/>
      <c r="L131" s="1822"/>
      <c r="M131" s="1822"/>
      <c r="N131" s="1827"/>
      <c r="V131" s="674"/>
      <c r="W131" s="675"/>
      <c r="Y131" s="537" t="s">
        <v>311</v>
      </c>
      <c r="AC131" s="675"/>
      <c r="AE131" s="680"/>
    </row>
    <row r="132" spans="1:32" s="536" customFormat="1" ht="12" x14ac:dyDescent="0.2">
      <c r="A132" s="605"/>
      <c r="B132" s="552" t="s">
        <v>185</v>
      </c>
      <c r="C132" s="1822" t="s">
        <v>312</v>
      </c>
      <c r="D132" s="1822"/>
      <c r="E132" s="1822"/>
      <c r="F132" s="562"/>
      <c r="G132" s="562"/>
      <c r="H132" s="562"/>
      <c r="I132" s="562"/>
      <c r="J132" s="604">
        <v>1.1499999999999999</v>
      </c>
      <c r="K132" s="562" t="s">
        <v>313</v>
      </c>
      <c r="L132" s="604">
        <v>8.6300000000000008</v>
      </c>
      <c r="M132" s="603"/>
      <c r="N132" s="602"/>
      <c r="V132" s="674"/>
      <c r="W132" s="675"/>
      <c r="Z132" s="537" t="s">
        <v>312</v>
      </c>
      <c r="AC132" s="675"/>
      <c r="AE132" s="680"/>
    </row>
    <row r="133" spans="1:32" s="536" customFormat="1" ht="12" x14ac:dyDescent="0.2">
      <c r="A133" s="676"/>
      <c r="B133" s="677" t="s">
        <v>1198</v>
      </c>
      <c r="C133" s="1829" t="s">
        <v>1199</v>
      </c>
      <c r="D133" s="1829"/>
      <c r="E133" s="1829"/>
      <c r="F133" s="678" t="s">
        <v>617</v>
      </c>
      <c r="G133" s="678" t="s">
        <v>185</v>
      </c>
      <c r="H133" s="678"/>
      <c r="I133" s="678" t="s">
        <v>190</v>
      </c>
      <c r="J133" s="552"/>
      <c r="K133" s="562"/>
      <c r="L133" s="604"/>
      <c r="M133" s="562"/>
      <c r="N133" s="679"/>
      <c r="V133" s="674"/>
      <c r="W133" s="675"/>
      <c r="AC133" s="675"/>
      <c r="AE133" s="680" t="s">
        <v>1199</v>
      </c>
    </row>
    <row r="134" spans="1:32" s="536" customFormat="1" ht="12" x14ac:dyDescent="0.2">
      <c r="A134" s="605"/>
      <c r="B134" s="552"/>
      <c r="C134" s="1822" t="s">
        <v>314</v>
      </c>
      <c r="D134" s="1822"/>
      <c r="E134" s="1822"/>
      <c r="F134" s="562" t="s">
        <v>315</v>
      </c>
      <c r="G134" s="562" t="s">
        <v>646</v>
      </c>
      <c r="H134" s="562" t="s">
        <v>313</v>
      </c>
      <c r="I134" s="562" t="s">
        <v>1533</v>
      </c>
      <c r="J134" s="604"/>
      <c r="K134" s="562"/>
      <c r="L134" s="604"/>
      <c r="M134" s="603"/>
      <c r="N134" s="602"/>
      <c r="V134" s="674"/>
      <c r="W134" s="675"/>
      <c r="AA134" s="537" t="s">
        <v>314</v>
      </c>
      <c r="AC134" s="675"/>
      <c r="AE134" s="680"/>
    </row>
    <row r="135" spans="1:32" s="536" customFormat="1" ht="12" x14ac:dyDescent="0.2">
      <c r="A135" s="605"/>
      <c r="B135" s="552"/>
      <c r="C135" s="1828" t="s">
        <v>318</v>
      </c>
      <c r="D135" s="1828"/>
      <c r="E135" s="1828"/>
      <c r="F135" s="608"/>
      <c r="G135" s="608"/>
      <c r="H135" s="608"/>
      <c r="I135" s="608"/>
      <c r="J135" s="607">
        <v>1.1499999999999999</v>
      </c>
      <c r="K135" s="608"/>
      <c r="L135" s="607">
        <v>8.6300000000000008</v>
      </c>
      <c r="M135" s="601"/>
      <c r="N135" s="606"/>
      <c r="V135" s="674"/>
      <c r="W135" s="675"/>
      <c r="AB135" s="537" t="s">
        <v>318</v>
      </c>
      <c r="AC135" s="675"/>
      <c r="AE135" s="680"/>
    </row>
    <row r="136" spans="1:32" s="536" customFormat="1" ht="12" x14ac:dyDescent="0.2">
      <c r="A136" s="605"/>
      <c r="B136" s="552"/>
      <c r="C136" s="1822" t="s">
        <v>319</v>
      </c>
      <c r="D136" s="1822"/>
      <c r="E136" s="1822"/>
      <c r="F136" s="562"/>
      <c r="G136" s="562"/>
      <c r="H136" s="562"/>
      <c r="I136" s="562"/>
      <c r="J136" s="604"/>
      <c r="K136" s="562"/>
      <c r="L136" s="604">
        <v>8.6300000000000008</v>
      </c>
      <c r="M136" s="603"/>
      <c r="N136" s="602"/>
      <c r="V136" s="674"/>
      <c r="W136" s="675"/>
      <c r="AA136" s="537" t="s">
        <v>319</v>
      </c>
      <c r="AC136" s="675"/>
      <c r="AE136" s="680"/>
    </row>
    <row r="137" spans="1:32" s="536" customFormat="1" ht="33.75" x14ac:dyDescent="0.2">
      <c r="A137" s="605"/>
      <c r="B137" s="552" t="s">
        <v>1155</v>
      </c>
      <c r="C137" s="1822" t="s">
        <v>1156</v>
      </c>
      <c r="D137" s="1822"/>
      <c r="E137" s="1822"/>
      <c r="F137" s="562" t="s">
        <v>322</v>
      </c>
      <c r="G137" s="562" t="s">
        <v>1157</v>
      </c>
      <c r="H137" s="562"/>
      <c r="I137" s="562" t="s">
        <v>1157</v>
      </c>
      <c r="J137" s="604"/>
      <c r="K137" s="562"/>
      <c r="L137" s="604">
        <v>9.41</v>
      </c>
      <c r="M137" s="603"/>
      <c r="N137" s="602"/>
      <c r="V137" s="674"/>
      <c r="W137" s="675"/>
      <c r="AA137" s="537" t="s">
        <v>1156</v>
      </c>
      <c r="AC137" s="675"/>
      <c r="AE137" s="680"/>
    </row>
    <row r="138" spans="1:32" s="536" customFormat="1" ht="33.75" x14ac:dyDescent="0.2">
      <c r="A138" s="605"/>
      <c r="B138" s="552" t="s">
        <v>1158</v>
      </c>
      <c r="C138" s="1822" t="s">
        <v>1159</v>
      </c>
      <c r="D138" s="1822"/>
      <c r="E138" s="1822"/>
      <c r="F138" s="562" t="s">
        <v>322</v>
      </c>
      <c r="G138" s="562" t="s">
        <v>791</v>
      </c>
      <c r="H138" s="562"/>
      <c r="I138" s="562" t="s">
        <v>791</v>
      </c>
      <c r="J138" s="604"/>
      <c r="K138" s="562"/>
      <c r="L138" s="604">
        <v>4.92</v>
      </c>
      <c r="M138" s="603"/>
      <c r="N138" s="602"/>
      <c r="V138" s="674"/>
      <c r="W138" s="675"/>
      <c r="AA138" s="537" t="s">
        <v>1159</v>
      </c>
      <c r="AC138" s="675"/>
      <c r="AE138" s="680"/>
    </row>
    <row r="139" spans="1:32" s="536" customFormat="1" ht="12" x14ac:dyDescent="0.2">
      <c r="A139" s="569"/>
      <c r="B139" s="671"/>
      <c r="C139" s="1823" t="s">
        <v>327</v>
      </c>
      <c r="D139" s="1823"/>
      <c r="E139" s="1823"/>
      <c r="F139" s="573"/>
      <c r="G139" s="573"/>
      <c r="H139" s="573"/>
      <c r="I139" s="573"/>
      <c r="J139" s="572"/>
      <c r="K139" s="573"/>
      <c r="L139" s="572">
        <v>22.96</v>
      </c>
      <c r="M139" s="601"/>
      <c r="N139" s="570"/>
      <c r="V139" s="674"/>
      <c r="W139" s="675"/>
      <c r="AC139" s="675" t="s">
        <v>327</v>
      </c>
      <c r="AE139" s="680"/>
    </row>
    <row r="140" spans="1:32" s="536" customFormat="1" ht="33.75" x14ac:dyDescent="0.2">
      <c r="A140" s="575" t="s">
        <v>425</v>
      </c>
      <c r="B140" s="670" t="s">
        <v>1218</v>
      </c>
      <c r="C140" s="1823" t="s">
        <v>1219</v>
      </c>
      <c r="D140" s="1823"/>
      <c r="E140" s="1823"/>
      <c r="F140" s="573" t="s">
        <v>617</v>
      </c>
      <c r="G140" s="573"/>
      <c r="H140" s="573"/>
      <c r="I140" s="573" t="s">
        <v>188</v>
      </c>
      <c r="J140" s="572">
        <v>83.12</v>
      </c>
      <c r="K140" s="573"/>
      <c r="L140" s="572">
        <v>332.48</v>
      </c>
      <c r="M140" s="571"/>
      <c r="N140" s="570"/>
      <c r="V140" s="674"/>
      <c r="W140" s="675" t="s">
        <v>1219</v>
      </c>
      <c r="AC140" s="675"/>
      <c r="AE140" s="680"/>
    </row>
    <row r="141" spans="1:32" s="536" customFormat="1" ht="12" x14ac:dyDescent="0.2">
      <c r="A141" s="569"/>
      <c r="B141" s="671"/>
      <c r="C141" s="665" t="s">
        <v>717</v>
      </c>
      <c r="D141" s="666"/>
      <c r="E141" s="666"/>
      <c r="F141" s="563"/>
      <c r="G141" s="563"/>
      <c r="H141" s="563"/>
      <c r="I141" s="563"/>
      <c r="J141" s="566"/>
      <c r="K141" s="563"/>
      <c r="L141" s="566"/>
      <c r="M141" s="565"/>
      <c r="N141" s="564"/>
      <c r="V141" s="674"/>
      <c r="W141" s="675"/>
      <c r="AC141" s="675"/>
      <c r="AE141" s="680"/>
    </row>
    <row r="142" spans="1:32" s="536" customFormat="1" ht="45" x14ac:dyDescent="0.2">
      <c r="A142" s="575" t="s">
        <v>430</v>
      </c>
      <c r="B142" s="670" t="s">
        <v>1221</v>
      </c>
      <c r="C142" s="1823" t="s">
        <v>1910</v>
      </c>
      <c r="D142" s="1823"/>
      <c r="E142" s="1823"/>
      <c r="F142" s="573" t="s">
        <v>617</v>
      </c>
      <c r="G142" s="573"/>
      <c r="H142" s="573"/>
      <c r="I142" s="573" t="s">
        <v>186</v>
      </c>
      <c r="J142" s="572">
        <v>83.12</v>
      </c>
      <c r="K142" s="573"/>
      <c r="L142" s="572">
        <v>166.24</v>
      </c>
      <c r="M142" s="571"/>
      <c r="N142" s="570"/>
      <c r="V142" s="674"/>
      <c r="W142" s="675" t="s">
        <v>1910</v>
      </c>
      <c r="AC142" s="675"/>
      <c r="AE142" s="680"/>
    </row>
    <row r="143" spans="1:32" s="536" customFormat="1" ht="12" x14ac:dyDescent="0.2">
      <c r="A143" s="569"/>
      <c r="B143" s="671"/>
      <c r="C143" s="665" t="s">
        <v>717</v>
      </c>
      <c r="D143" s="666"/>
      <c r="E143" s="666"/>
      <c r="F143" s="563"/>
      <c r="G143" s="563"/>
      <c r="H143" s="563"/>
      <c r="I143" s="563"/>
      <c r="J143" s="566"/>
      <c r="K143" s="563"/>
      <c r="L143" s="566"/>
      <c r="M143" s="565"/>
      <c r="N143" s="564"/>
      <c r="V143" s="674"/>
      <c r="W143" s="675"/>
      <c r="AC143" s="675"/>
      <c r="AE143" s="680"/>
    </row>
    <row r="144" spans="1:32" s="536" customFormat="1" ht="12" x14ac:dyDescent="0.2">
      <c r="A144" s="1830" t="s">
        <v>3200</v>
      </c>
      <c r="B144" s="1831"/>
      <c r="C144" s="1831"/>
      <c r="D144" s="1831"/>
      <c r="E144" s="1831"/>
      <c r="F144" s="1831"/>
      <c r="G144" s="1831"/>
      <c r="H144" s="1831"/>
      <c r="I144" s="1831"/>
      <c r="J144" s="1831"/>
      <c r="K144" s="1831"/>
      <c r="L144" s="1831"/>
      <c r="M144" s="1831"/>
      <c r="N144" s="1832"/>
      <c r="V144" s="674"/>
      <c r="W144" s="675"/>
      <c r="AC144" s="675"/>
      <c r="AE144" s="680"/>
      <c r="AF144" s="675" t="s">
        <v>3200</v>
      </c>
    </row>
    <row r="145" spans="1:32" s="536" customFormat="1" ht="22.5" x14ac:dyDescent="0.2">
      <c r="A145" s="575" t="s">
        <v>436</v>
      </c>
      <c r="B145" s="670" t="s">
        <v>1224</v>
      </c>
      <c r="C145" s="1823" t="s">
        <v>1225</v>
      </c>
      <c r="D145" s="1823"/>
      <c r="E145" s="1823"/>
      <c r="F145" s="573" t="s">
        <v>1110</v>
      </c>
      <c r="G145" s="573"/>
      <c r="H145" s="573"/>
      <c r="I145" s="573" t="s">
        <v>3904</v>
      </c>
      <c r="J145" s="572"/>
      <c r="K145" s="573"/>
      <c r="L145" s="572"/>
      <c r="M145" s="571"/>
      <c r="N145" s="570"/>
      <c r="V145" s="674"/>
      <c r="W145" s="675" t="s">
        <v>1225</v>
      </c>
      <c r="AC145" s="675"/>
      <c r="AE145" s="680"/>
      <c r="AF145" s="675"/>
    </row>
    <row r="146" spans="1:32" s="536" customFormat="1" ht="12" x14ac:dyDescent="0.2">
      <c r="A146" s="676"/>
      <c r="B146" s="664"/>
      <c r="C146" s="1822" t="s">
        <v>3905</v>
      </c>
      <c r="D146" s="1822"/>
      <c r="E146" s="1822"/>
      <c r="F146" s="1822"/>
      <c r="G146" s="1822"/>
      <c r="H146" s="1822"/>
      <c r="I146" s="1822"/>
      <c r="J146" s="1822"/>
      <c r="K146" s="1822"/>
      <c r="L146" s="1822"/>
      <c r="M146" s="1822"/>
      <c r="N146" s="1827"/>
      <c r="V146" s="674"/>
      <c r="W146" s="675"/>
      <c r="X146" s="537" t="s">
        <v>3905</v>
      </c>
      <c r="AC146" s="675"/>
      <c r="AE146" s="680"/>
      <c r="AF146" s="675"/>
    </row>
    <row r="147" spans="1:32" s="536" customFormat="1" ht="33.75" x14ac:dyDescent="0.2">
      <c r="A147" s="609"/>
      <c r="B147" s="552" t="s">
        <v>310</v>
      </c>
      <c r="C147" s="1822" t="s">
        <v>311</v>
      </c>
      <c r="D147" s="1822"/>
      <c r="E147" s="1822"/>
      <c r="F147" s="1822"/>
      <c r="G147" s="1822"/>
      <c r="H147" s="1822"/>
      <c r="I147" s="1822"/>
      <c r="J147" s="1822"/>
      <c r="K147" s="1822"/>
      <c r="L147" s="1822"/>
      <c r="M147" s="1822"/>
      <c r="N147" s="1827"/>
      <c r="V147" s="674"/>
      <c r="W147" s="675"/>
      <c r="Y147" s="537" t="s">
        <v>311</v>
      </c>
      <c r="AC147" s="675"/>
      <c r="AE147" s="680"/>
      <c r="AF147" s="675"/>
    </row>
    <row r="148" spans="1:32" s="536" customFormat="1" ht="12" x14ac:dyDescent="0.2">
      <c r="A148" s="605"/>
      <c r="B148" s="552" t="s">
        <v>185</v>
      </c>
      <c r="C148" s="1822" t="s">
        <v>312</v>
      </c>
      <c r="D148" s="1822"/>
      <c r="E148" s="1822"/>
      <c r="F148" s="562"/>
      <c r="G148" s="562"/>
      <c r="H148" s="562"/>
      <c r="I148" s="562"/>
      <c r="J148" s="604">
        <v>49.82</v>
      </c>
      <c r="K148" s="562" t="s">
        <v>313</v>
      </c>
      <c r="L148" s="604">
        <v>7.72</v>
      </c>
      <c r="M148" s="603"/>
      <c r="N148" s="602"/>
      <c r="V148" s="674"/>
      <c r="W148" s="675"/>
      <c r="Z148" s="537" t="s">
        <v>312</v>
      </c>
      <c r="AC148" s="675"/>
      <c r="AE148" s="680"/>
      <c r="AF148" s="675"/>
    </row>
    <row r="149" spans="1:32" s="536" customFormat="1" ht="12" x14ac:dyDescent="0.2">
      <c r="A149" s="605"/>
      <c r="B149" s="552" t="s">
        <v>186</v>
      </c>
      <c r="C149" s="1822" t="s">
        <v>344</v>
      </c>
      <c r="D149" s="1822"/>
      <c r="E149" s="1822"/>
      <c r="F149" s="562"/>
      <c r="G149" s="562"/>
      <c r="H149" s="562"/>
      <c r="I149" s="562"/>
      <c r="J149" s="604">
        <v>6.09</v>
      </c>
      <c r="K149" s="562" t="s">
        <v>313</v>
      </c>
      <c r="L149" s="604">
        <v>0.94</v>
      </c>
      <c r="M149" s="603"/>
      <c r="N149" s="602"/>
      <c r="V149" s="674"/>
      <c r="W149" s="675"/>
      <c r="Z149" s="537" t="s">
        <v>344</v>
      </c>
      <c r="AC149" s="675"/>
      <c r="AE149" s="680"/>
      <c r="AF149" s="675"/>
    </row>
    <row r="150" spans="1:32" s="536" customFormat="1" ht="12" x14ac:dyDescent="0.2">
      <c r="A150" s="605"/>
      <c r="B150" s="552" t="s">
        <v>187</v>
      </c>
      <c r="C150" s="1822" t="s">
        <v>345</v>
      </c>
      <c r="D150" s="1822"/>
      <c r="E150" s="1822"/>
      <c r="F150" s="562"/>
      <c r="G150" s="562"/>
      <c r="H150" s="562"/>
      <c r="I150" s="562"/>
      <c r="J150" s="604">
        <v>1.28</v>
      </c>
      <c r="K150" s="562" t="s">
        <v>313</v>
      </c>
      <c r="L150" s="604">
        <v>0.2</v>
      </c>
      <c r="M150" s="603"/>
      <c r="N150" s="602"/>
      <c r="V150" s="674"/>
      <c r="W150" s="675"/>
      <c r="Z150" s="537" t="s">
        <v>345</v>
      </c>
      <c r="AC150" s="675"/>
      <c r="AE150" s="680"/>
      <c r="AF150" s="675"/>
    </row>
    <row r="151" spans="1:32" s="536" customFormat="1" ht="12" x14ac:dyDescent="0.2">
      <c r="A151" s="676"/>
      <c r="B151" s="677" t="s">
        <v>1228</v>
      </c>
      <c r="C151" s="1829" t="s">
        <v>1229</v>
      </c>
      <c r="D151" s="1829"/>
      <c r="E151" s="1829"/>
      <c r="F151" s="678" t="s">
        <v>694</v>
      </c>
      <c r="G151" s="678" t="s">
        <v>525</v>
      </c>
      <c r="H151" s="678"/>
      <c r="I151" s="678" t="s">
        <v>525</v>
      </c>
      <c r="J151" s="552"/>
      <c r="K151" s="562"/>
      <c r="L151" s="604"/>
      <c r="M151" s="562"/>
      <c r="N151" s="679"/>
      <c r="V151" s="674"/>
      <c r="W151" s="675"/>
      <c r="AC151" s="675"/>
      <c r="AE151" s="680" t="s">
        <v>1229</v>
      </c>
      <c r="AF151" s="675"/>
    </row>
    <row r="152" spans="1:32" s="536" customFormat="1" ht="12" x14ac:dyDescent="0.2">
      <c r="A152" s="605"/>
      <c r="B152" s="552"/>
      <c r="C152" s="1822" t="s">
        <v>314</v>
      </c>
      <c r="D152" s="1822"/>
      <c r="E152" s="1822"/>
      <c r="F152" s="562" t="s">
        <v>315</v>
      </c>
      <c r="G152" s="562" t="s">
        <v>1230</v>
      </c>
      <c r="H152" s="562" t="s">
        <v>313</v>
      </c>
      <c r="I152" s="562" t="s">
        <v>3906</v>
      </c>
      <c r="J152" s="604"/>
      <c r="K152" s="562"/>
      <c r="L152" s="604"/>
      <c r="M152" s="603"/>
      <c r="N152" s="602"/>
      <c r="V152" s="674"/>
      <c r="W152" s="675"/>
      <c r="AA152" s="537" t="s">
        <v>314</v>
      </c>
      <c r="AC152" s="675"/>
      <c r="AE152" s="680"/>
      <c r="AF152" s="675"/>
    </row>
    <row r="153" spans="1:32" s="536" customFormat="1" ht="12" x14ac:dyDescent="0.2">
      <c r="A153" s="605"/>
      <c r="B153" s="552"/>
      <c r="C153" s="1822" t="s">
        <v>348</v>
      </c>
      <c r="D153" s="1822"/>
      <c r="E153" s="1822"/>
      <c r="F153" s="562" t="s">
        <v>315</v>
      </c>
      <c r="G153" s="562" t="s">
        <v>1232</v>
      </c>
      <c r="H153" s="562" t="s">
        <v>313</v>
      </c>
      <c r="I153" s="562" t="s">
        <v>3907</v>
      </c>
      <c r="J153" s="604"/>
      <c r="K153" s="562"/>
      <c r="L153" s="604"/>
      <c r="M153" s="603"/>
      <c r="N153" s="602"/>
      <c r="V153" s="674"/>
      <c r="W153" s="675"/>
      <c r="AA153" s="537" t="s">
        <v>348</v>
      </c>
      <c r="AC153" s="675"/>
      <c r="AE153" s="680"/>
      <c r="AF153" s="675"/>
    </row>
    <row r="154" spans="1:32" s="536" customFormat="1" ht="12" x14ac:dyDescent="0.2">
      <c r="A154" s="605"/>
      <c r="B154" s="552"/>
      <c r="C154" s="1828" t="s">
        <v>318</v>
      </c>
      <c r="D154" s="1828"/>
      <c r="E154" s="1828"/>
      <c r="F154" s="608"/>
      <c r="G154" s="608"/>
      <c r="H154" s="608"/>
      <c r="I154" s="608"/>
      <c r="J154" s="607">
        <v>55.91</v>
      </c>
      <c r="K154" s="608"/>
      <c r="L154" s="607">
        <v>8.66</v>
      </c>
      <c r="M154" s="601"/>
      <c r="N154" s="606"/>
      <c r="V154" s="674"/>
      <c r="W154" s="675"/>
      <c r="AB154" s="537" t="s">
        <v>318</v>
      </c>
      <c r="AC154" s="675"/>
      <c r="AE154" s="680"/>
      <c r="AF154" s="675"/>
    </row>
    <row r="155" spans="1:32" s="536" customFormat="1" ht="12" x14ac:dyDescent="0.2">
      <c r="A155" s="605"/>
      <c r="B155" s="552"/>
      <c r="C155" s="1822" t="s">
        <v>319</v>
      </c>
      <c r="D155" s="1822"/>
      <c r="E155" s="1822"/>
      <c r="F155" s="562"/>
      <c r="G155" s="562"/>
      <c r="H155" s="562"/>
      <c r="I155" s="562"/>
      <c r="J155" s="604"/>
      <c r="K155" s="562"/>
      <c r="L155" s="604">
        <v>7.92</v>
      </c>
      <c r="M155" s="603"/>
      <c r="N155" s="602"/>
      <c r="V155" s="674"/>
      <c r="W155" s="675"/>
      <c r="AA155" s="537" t="s">
        <v>319</v>
      </c>
      <c r="AC155" s="675"/>
      <c r="AE155" s="680"/>
      <c r="AF155" s="675"/>
    </row>
    <row r="156" spans="1:32" s="536" customFormat="1" ht="33.75" x14ac:dyDescent="0.2">
      <c r="A156" s="605"/>
      <c r="B156" s="552" t="s">
        <v>1155</v>
      </c>
      <c r="C156" s="1822" t="s">
        <v>1156</v>
      </c>
      <c r="D156" s="1822"/>
      <c r="E156" s="1822"/>
      <c r="F156" s="562" t="s">
        <v>322</v>
      </c>
      <c r="G156" s="562" t="s">
        <v>1157</v>
      </c>
      <c r="H156" s="562"/>
      <c r="I156" s="562" t="s">
        <v>1157</v>
      </c>
      <c r="J156" s="604"/>
      <c r="K156" s="562"/>
      <c r="L156" s="604">
        <v>8.6300000000000008</v>
      </c>
      <c r="M156" s="603"/>
      <c r="N156" s="602"/>
      <c r="V156" s="674"/>
      <c r="W156" s="675"/>
      <c r="AA156" s="537" t="s">
        <v>1156</v>
      </c>
      <c r="AC156" s="675"/>
      <c r="AE156" s="680"/>
      <c r="AF156" s="675"/>
    </row>
    <row r="157" spans="1:32" s="536" customFormat="1" ht="33.75" x14ac:dyDescent="0.2">
      <c r="A157" s="605"/>
      <c r="B157" s="552" t="s">
        <v>1158</v>
      </c>
      <c r="C157" s="1822" t="s">
        <v>1159</v>
      </c>
      <c r="D157" s="1822"/>
      <c r="E157" s="1822"/>
      <c r="F157" s="562" t="s">
        <v>322</v>
      </c>
      <c r="G157" s="562" t="s">
        <v>791</v>
      </c>
      <c r="H157" s="562"/>
      <c r="I157" s="562" t="s">
        <v>791</v>
      </c>
      <c r="J157" s="604"/>
      <c r="K157" s="562"/>
      <c r="L157" s="604">
        <v>4.51</v>
      </c>
      <c r="M157" s="603"/>
      <c r="N157" s="602"/>
      <c r="V157" s="674"/>
      <c r="W157" s="675"/>
      <c r="AA157" s="537" t="s">
        <v>1159</v>
      </c>
      <c r="AC157" s="675"/>
      <c r="AE157" s="680"/>
      <c r="AF157" s="675"/>
    </row>
    <row r="158" spans="1:32" s="536" customFormat="1" ht="12" x14ac:dyDescent="0.2">
      <c r="A158" s="569"/>
      <c r="B158" s="671"/>
      <c r="C158" s="1823" t="s">
        <v>327</v>
      </c>
      <c r="D158" s="1823"/>
      <c r="E158" s="1823"/>
      <c r="F158" s="573"/>
      <c r="G158" s="573"/>
      <c r="H158" s="573"/>
      <c r="I158" s="573"/>
      <c r="J158" s="572"/>
      <c r="K158" s="573"/>
      <c r="L158" s="572">
        <v>21.8</v>
      </c>
      <c r="M158" s="601"/>
      <c r="N158" s="570"/>
      <c r="V158" s="674"/>
      <c r="W158" s="675"/>
      <c r="AC158" s="675" t="s">
        <v>327</v>
      </c>
      <c r="AE158" s="680"/>
      <c r="AF158" s="675"/>
    </row>
    <row r="159" spans="1:32" s="536" customFormat="1" ht="33.75" x14ac:dyDescent="0.2">
      <c r="A159" s="575" t="s">
        <v>733</v>
      </c>
      <c r="B159" s="670" t="s">
        <v>1234</v>
      </c>
      <c r="C159" s="1823" t="s">
        <v>1235</v>
      </c>
      <c r="D159" s="1823"/>
      <c r="E159" s="1823"/>
      <c r="F159" s="573" t="s">
        <v>1236</v>
      </c>
      <c r="G159" s="573"/>
      <c r="H159" s="573"/>
      <c r="I159" s="573" t="s">
        <v>188</v>
      </c>
      <c r="J159" s="572">
        <v>1670.07</v>
      </c>
      <c r="K159" s="573" t="s">
        <v>716</v>
      </c>
      <c r="L159" s="572">
        <v>818.99</v>
      </c>
      <c r="M159" s="571">
        <v>8.32</v>
      </c>
      <c r="N159" s="570">
        <v>6814</v>
      </c>
      <c r="V159" s="674"/>
      <c r="W159" s="675" t="s">
        <v>1235</v>
      </c>
      <c r="AC159" s="675"/>
      <c r="AE159" s="680"/>
      <c r="AF159" s="675"/>
    </row>
    <row r="160" spans="1:32" s="536" customFormat="1" ht="12" x14ac:dyDescent="0.2">
      <c r="A160" s="569"/>
      <c r="B160" s="671"/>
      <c r="C160" s="665" t="s">
        <v>1173</v>
      </c>
      <c r="D160" s="666"/>
      <c r="E160" s="666"/>
      <c r="F160" s="563"/>
      <c r="G160" s="563"/>
      <c r="H160" s="563"/>
      <c r="I160" s="563"/>
      <c r="J160" s="566"/>
      <c r="K160" s="563"/>
      <c r="L160" s="566"/>
      <c r="M160" s="565"/>
      <c r="N160" s="564"/>
      <c r="V160" s="674"/>
      <c r="W160" s="675"/>
      <c r="AC160" s="675"/>
      <c r="AE160" s="680"/>
      <c r="AF160" s="675"/>
    </row>
    <row r="161" spans="1:34" s="536" customFormat="1" ht="12" x14ac:dyDescent="0.2">
      <c r="A161" s="676"/>
      <c r="B161" s="664"/>
      <c r="C161" s="1822" t="s">
        <v>3908</v>
      </c>
      <c r="D161" s="1822"/>
      <c r="E161" s="1822"/>
      <c r="F161" s="1822"/>
      <c r="G161" s="1822"/>
      <c r="H161" s="1822"/>
      <c r="I161" s="1822"/>
      <c r="J161" s="1822"/>
      <c r="K161" s="1822"/>
      <c r="L161" s="1822"/>
      <c r="M161" s="1822"/>
      <c r="N161" s="1827"/>
      <c r="V161" s="674"/>
      <c r="W161" s="675"/>
      <c r="X161" s="537" t="s">
        <v>3908</v>
      </c>
      <c r="AC161" s="675"/>
      <c r="AE161" s="680"/>
      <c r="AF161" s="675"/>
    </row>
    <row r="162" spans="1:34" s="536" customFormat="1" ht="22.5" x14ac:dyDescent="0.2">
      <c r="A162" s="609"/>
      <c r="B162" s="552" t="s">
        <v>718</v>
      </c>
      <c r="C162" s="1822" t="s">
        <v>719</v>
      </c>
      <c r="D162" s="1822"/>
      <c r="E162" s="1822"/>
      <c r="F162" s="1822"/>
      <c r="G162" s="1822"/>
      <c r="H162" s="1822"/>
      <c r="I162" s="1822"/>
      <c r="J162" s="1822"/>
      <c r="K162" s="1822"/>
      <c r="L162" s="1822"/>
      <c r="M162" s="1822"/>
      <c r="N162" s="1827"/>
      <c r="V162" s="674"/>
      <c r="W162" s="675"/>
      <c r="Y162" s="537" t="s">
        <v>719</v>
      </c>
      <c r="AC162" s="675"/>
      <c r="AE162" s="680"/>
      <c r="AF162" s="675"/>
    </row>
    <row r="163" spans="1:34" s="536" customFormat="1" ht="1.5" customHeight="1" x14ac:dyDescent="0.2">
      <c r="A163" s="563"/>
      <c r="B163" s="671"/>
      <c r="C163" s="671"/>
      <c r="D163" s="671"/>
      <c r="E163" s="671"/>
      <c r="F163" s="563"/>
      <c r="G163" s="563"/>
      <c r="H163" s="563"/>
      <c r="I163" s="563"/>
      <c r="J163" s="546"/>
      <c r="K163" s="563"/>
      <c r="L163" s="546"/>
      <c r="M163" s="562"/>
      <c r="N163" s="546"/>
      <c r="V163" s="674"/>
      <c r="W163" s="675"/>
      <c r="AC163" s="675"/>
      <c r="AE163" s="680"/>
      <c r="AF163" s="675"/>
    </row>
    <row r="164" spans="1:34" s="536" customFormat="1" ht="12" x14ac:dyDescent="0.2">
      <c r="A164" s="557"/>
      <c r="B164" s="556"/>
      <c r="C164" s="1823" t="s">
        <v>3206</v>
      </c>
      <c r="D164" s="1823"/>
      <c r="E164" s="1823"/>
      <c r="F164" s="1823"/>
      <c r="G164" s="1823"/>
      <c r="H164" s="1823"/>
      <c r="I164" s="1823"/>
      <c r="J164" s="1823"/>
      <c r="K164" s="1823"/>
      <c r="L164" s="555"/>
      <c r="M164" s="554"/>
      <c r="N164" s="553"/>
      <c r="V164" s="674"/>
      <c r="W164" s="675"/>
      <c r="AC164" s="675"/>
      <c r="AE164" s="680"/>
      <c r="AF164" s="675"/>
      <c r="AG164" s="675" t="s">
        <v>3206</v>
      </c>
    </row>
    <row r="165" spans="1:34" s="536" customFormat="1" ht="12" x14ac:dyDescent="0.2">
      <c r="A165" s="548"/>
      <c r="B165" s="552"/>
      <c r="C165" s="1822" t="s">
        <v>403</v>
      </c>
      <c r="D165" s="1822"/>
      <c r="E165" s="1822"/>
      <c r="F165" s="1822"/>
      <c r="G165" s="1822"/>
      <c r="H165" s="1822"/>
      <c r="I165" s="1822"/>
      <c r="J165" s="1822"/>
      <c r="K165" s="1822"/>
      <c r="L165" s="551">
        <v>10385.9</v>
      </c>
      <c r="M165" s="550"/>
      <c r="N165" s="549"/>
      <c r="V165" s="674"/>
      <c r="W165" s="675"/>
      <c r="AC165" s="675"/>
      <c r="AE165" s="680"/>
      <c r="AF165" s="675"/>
      <c r="AG165" s="675"/>
      <c r="AH165" s="537" t="s">
        <v>403</v>
      </c>
    </row>
    <row r="166" spans="1:34" s="536" customFormat="1" ht="12" x14ac:dyDescent="0.2">
      <c r="A166" s="548"/>
      <c r="B166" s="552"/>
      <c r="C166" s="1822" t="s">
        <v>204</v>
      </c>
      <c r="D166" s="1822"/>
      <c r="E166" s="1822"/>
      <c r="F166" s="1822"/>
      <c r="G166" s="1822"/>
      <c r="H166" s="1822"/>
      <c r="I166" s="1822"/>
      <c r="J166" s="1822"/>
      <c r="K166" s="1822"/>
      <c r="L166" s="551"/>
      <c r="M166" s="550"/>
      <c r="N166" s="549"/>
      <c r="V166" s="674"/>
      <c r="W166" s="675"/>
      <c r="AC166" s="675"/>
      <c r="AE166" s="680"/>
      <c r="AF166" s="675"/>
      <c r="AG166" s="675"/>
      <c r="AH166" s="537" t="s">
        <v>204</v>
      </c>
    </row>
    <row r="167" spans="1:34" s="536" customFormat="1" ht="12" x14ac:dyDescent="0.2">
      <c r="A167" s="548"/>
      <c r="B167" s="552"/>
      <c r="C167" s="1822" t="s">
        <v>404</v>
      </c>
      <c r="D167" s="1822"/>
      <c r="E167" s="1822"/>
      <c r="F167" s="1822"/>
      <c r="G167" s="1822"/>
      <c r="H167" s="1822"/>
      <c r="I167" s="1822"/>
      <c r="J167" s="1822"/>
      <c r="K167" s="1822"/>
      <c r="L167" s="551">
        <v>473.88</v>
      </c>
      <c r="M167" s="550"/>
      <c r="N167" s="549"/>
      <c r="V167" s="674"/>
      <c r="W167" s="675"/>
      <c r="AC167" s="675"/>
      <c r="AE167" s="680"/>
      <c r="AF167" s="675"/>
      <c r="AG167" s="675"/>
      <c r="AH167" s="537" t="s">
        <v>404</v>
      </c>
    </row>
    <row r="168" spans="1:34" s="536" customFormat="1" ht="12" x14ac:dyDescent="0.2">
      <c r="A168" s="548"/>
      <c r="B168" s="552"/>
      <c r="C168" s="1822" t="s">
        <v>405</v>
      </c>
      <c r="D168" s="1822"/>
      <c r="E168" s="1822"/>
      <c r="F168" s="1822"/>
      <c r="G168" s="1822"/>
      <c r="H168" s="1822"/>
      <c r="I168" s="1822"/>
      <c r="J168" s="1822"/>
      <c r="K168" s="1822"/>
      <c r="L168" s="551">
        <v>65.05</v>
      </c>
      <c r="M168" s="550"/>
      <c r="N168" s="549"/>
      <c r="V168" s="674"/>
      <c r="W168" s="675"/>
      <c r="AC168" s="675"/>
      <c r="AE168" s="680"/>
      <c r="AF168" s="675"/>
      <c r="AG168" s="675"/>
      <c r="AH168" s="537" t="s">
        <v>405</v>
      </c>
    </row>
    <row r="169" spans="1:34" s="536" customFormat="1" ht="12" x14ac:dyDescent="0.2">
      <c r="A169" s="548"/>
      <c r="B169" s="552"/>
      <c r="C169" s="1822" t="s">
        <v>406</v>
      </c>
      <c r="D169" s="1822"/>
      <c r="E169" s="1822"/>
      <c r="F169" s="1822"/>
      <c r="G169" s="1822"/>
      <c r="H169" s="1822"/>
      <c r="I169" s="1822"/>
      <c r="J169" s="1822"/>
      <c r="K169" s="1822"/>
      <c r="L169" s="551">
        <v>2.35</v>
      </c>
      <c r="M169" s="550"/>
      <c r="N169" s="549"/>
      <c r="V169" s="674"/>
      <c r="W169" s="675"/>
      <c r="AC169" s="675"/>
      <c r="AE169" s="680"/>
      <c r="AF169" s="675"/>
      <c r="AG169" s="675"/>
      <c r="AH169" s="537" t="s">
        <v>406</v>
      </c>
    </row>
    <row r="170" spans="1:34" s="536" customFormat="1" ht="12" x14ac:dyDescent="0.2">
      <c r="A170" s="548"/>
      <c r="B170" s="552"/>
      <c r="C170" s="1822" t="s">
        <v>480</v>
      </c>
      <c r="D170" s="1822"/>
      <c r="E170" s="1822"/>
      <c r="F170" s="1822"/>
      <c r="G170" s="1822"/>
      <c r="H170" s="1822"/>
      <c r="I170" s="1822"/>
      <c r="J170" s="1822"/>
      <c r="K170" s="1822"/>
      <c r="L170" s="551">
        <v>9846.9699999999993</v>
      </c>
      <c r="M170" s="550"/>
      <c r="N170" s="549"/>
      <c r="V170" s="674"/>
      <c r="W170" s="675"/>
      <c r="AC170" s="675"/>
      <c r="AE170" s="680"/>
      <c r="AF170" s="675"/>
      <c r="AG170" s="675"/>
      <c r="AH170" s="537" t="s">
        <v>480</v>
      </c>
    </row>
    <row r="171" spans="1:34" s="536" customFormat="1" ht="12" x14ac:dyDescent="0.2">
      <c r="A171" s="548"/>
      <c r="B171" s="552"/>
      <c r="C171" s="1822" t="s">
        <v>407</v>
      </c>
      <c r="D171" s="1822"/>
      <c r="E171" s="1822"/>
      <c r="F171" s="1822"/>
      <c r="G171" s="1822"/>
      <c r="H171" s="1822"/>
      <c r="I171" s="1822"/>
      <c r="J171" s="1822"/>
      <c r="K171" s="1822"/>
      <c r="L171" s="551">
        <v>11176.45</v>
      </c>
      <c r="M171" s="550"/>
      <c r="N171" s="549"/>
      <c r="V171" s="674"/>
      <c r="W171" s="675"/>
      <c r="AC171" s="675"/>
      <c r="AE171" s="680"/>
      <c r="AF171" s="675"/>
      <c r="AG171" s="675"/>
      <c r="AH171" s="537" t="s">
        <v>407</v>
      </c>
    </row>
    <row r="172" spans="1:34" s="536" customFormat="1" ht="12" x14ac:dyDescent="0.2">
      <c r="A172" s="548"/>
      <c r="B172" s="552"/>
      <c r="C172" s="1822" t="s">
        <v>204</v>
      </c>
      <c r="D172" s="1822"/>
      <c r="E172" s="1822"/>
      <c r="F172" s="1822"/>
      <c r="G172" s="1822"/>
      <c r="H172" s="1822"/>
      <c r="I172" s="1822"/>
      <c r="J172" s="1822"/>
      <c r="K172" s="1822"/>
      <c r="L172" s="551"/>
      <c r="M172" s="550"/>
      <c r="N172" s="549"/>
      <c r="V172" s="674"/>
      <c r="W172" s="675"/>
      <c r="AC172" s="675"/>
      <c r="AE172" s="680"/>
      <c r="AF172" s="675"/>
      <c r="AG172" s="675"/>
      <c r="AH172" s="537" t="s">
        <v>204</v>
      </c>
    </row>
    <row r="173" spans="1:34" s="536" customFormat="1" ht="12" x14ac:dyDescent="0.2">
      <c r="A173" s="548"/>
      <c r="B173" s="552"/>
      <c r="C173" s="1822" t="s">
        <v>546</v>
      </c>
      <c r="D173" s="1822"/>
      <c r="E173" s="1822"/>
      <c r="F173" s="1822"/>
      <c r="G173" s="1822"/>
      <c r="H173" s="1822"/>
      <c r="I173" s="1822"/>
      <c r="J173" s="1822"/>
      <c r="K173" s="1822"/>
      <c r="L173" s="551">
        <v>473.88</v>
      </c>
      <c r="M173" s="550"/>
      <c r="N173" s="549"/>
      <c r="V173" s="674"/>
      <c r="W173" s="675"/>
      <c r="AC173" s="675"/>
      <c r="AE173" s="680"/>
      <c r="AF173" s="675"/>
      <c r="AG173" s="675"/>
      <c r="AH173" s="537" t="s">
        <v>546</v>
      </c>
    </row>
    <row r="174" spans="1:34" s="536" customFormat="1" ht="12" x14ac:dyDescent="0.2">
      <c r="A174" s="548"/>
      <c r="B174" s="552"/>
      <c r="C174" s="1822" t="s">
        <v>442</v>
      </c>
      <c r="D174" s="1822"/>
      <c r="E174" s="1822"/>
      <c r="F174" s="1822"/>
      <c r="G174" s="1822"/>
      <c r="H174" s="1822"/>
      <c r="I174" s="1822"/>
      <c r="J174" s="1822"/>
      <c r="K174" s="1822"/>
      <c r="L174" s="551">
        <v>65.05</v>
      </c>
      <c r="M174" s="550"/>
      <c r="N174" s="549"/>
      <c r="V174" s="674"/>
      <c r="W174" s="675"/>
      <c r="AC174" s="675"/>
      <c r="AE174" s="680"/>
      <c r="AF174" s="675"/>
      <c r="AG174" s="675"/>
      <c r="AH174" s="537" t="s">
        <v>442</v>
      </c>
    </row>
    <row r="175" spans="1:34" s="536" customFormat="1" ht="12" x14ac:dyDescent="0.2">
      <c r="A175" s="548"/>
      <c r="B175" s="552"/>
      <c r="C175" s="1822" t="s">
        <v>547</v>
      </c>
      <c r="D175" s="1822"/>
      <c r="E175" s="1822"/>
      <c r="F175" s="1822"/>
      <c r="G175" s="1822"/>
      <c r="H175" s="1822"/>
      <c r="I175" s="1822"/>
      <c r="J175" s="1822"/>
      <c r="K175" s="1822"/>
      <c r="L175" s="551">
        <v>9846.9699999999993</v>
      </c>
      <c r="M175" s="550"/>
      <c r="N175" s="549"/>
      <c r="V175" s="674"/>
      <c r="W175" s="675"/>
      <c r="AC175" s="675"/>
      <c r="AE175" s="680"/>
      <c r="AF175" s="675"/>
      <c r="AG175" s="675"/>
      <c r="AH175" s="537" t="s">
        <v>547</v>
      </c>
    </row>
    <row r="176" spans="1:34" s="536" customFormat="1" ht="12" x14ac:dyDescent="0.2">
      <c r="A176" s="548"/>
      <c r="B176" s="552"/>
      <c r="C176" s="1822" t="s">
        <v>443</v>
      </c>
      <c r="D176" s="1822"/>
      <c r="E176" s="1822"/>
      <c r="F176" s="1822"/>
      <c r="G176" s="1822"/>
      <c r="H176" s="1822"/>
      <c r="I176" s="1822"/>
      <c r="J176" s="1822"/>
      <c r="K176" s="1822"/>
      <c r="L176" s="551">
        <v>519.09</v>
      </c>
      <c r="M176" s="550"/>
      <c r="N176" s="549"/>
      <c r="V176" s="674"/>
      <c r="W176" s="675"/>
      <c r="AC176" s="675"/>
      <c r="AE176" s="680"/>
      <c r="AF176" s="675"/>
      <c r="AG176" s="675"/>
      <c r="AH176" s="537" t="s">
        <v>443</v>
      </c>
    </row>
    <row r="177" spans="1:35" s="536" customFormat="1" ht="12" x14ac:dyDescent="0.2">
      <c r="A177" s="548"/>
      <c r="B177" s="552"/>
      <c r="C177" s="1822" t="s">
        <v>444</v>
      </c>
      <c r="D177" s="1822"/>
      <c r="E177" s="1822"/>
      <c r="F177" s="1822"/>
      <c r="G177" s="1822"/>
      <c r="H177" s="1822"/>
      <c r="I177" s="1822"/>
      <c r="J177" s="1822"/>
      <c r="K177" s="1822"/>
      <c r="L177" s="551">
        <v>271.45999999999998</v>
      </c>
      <c r="M177" s="550"/>
      <c r="N177" s="549"/>
      <c r="V177" s="674"/>
      <c r="W177" s="675"/>
      <c r="AC177" s="675"/>
      <c r="AE177" s="680"/>
      <c r="AF177" s="675"/>
      <c r="AG177" s="675"/>
      <c r="AH177" s="537" t="s">
        <v>444</v>
      </c>
    </row>
    <row r="178" spans="1:35" s="536" customFormat="1" ht="12" x14ac:dyDescent="0.2">
      <c r="A178" s="548"/>
      <c r="B178" s="552"/>
      <c r="C178" s="1822" t="s">
        <v>415</v>
      </c>
      <c r="D178" s="1822"/>
      <c r="E178" s="1822"/>
      <c r="F178" s="1822"/>
      <c r="G178" s="1822"/>
      <c r="H178" s="1822"/>
      <c r="I178" s="1822"/>
      <c r="J178" s="1822"/>
      <c r="K178" s="1822"/>
      <c r="L178" s="551">
        <v>476.23</v>
      </c>
      <c r="M178" s="550"/>
      <c r="N178" s="549"/>
      <c r="V178" s="674"/>
      <c r="W178" s="675"/>
      <c r="AC178" s="675"/>
      <c r="AE178" s="680"/>
      <c r="AF178" s="675"/>
      <c r="AG178" s="675"/>
      <c r="AH178" s="537" t="s">
        <v>415</v>
      </c>
    </row>
    <row r="179" spans="1:35" s="536" customFormat="1" ht="12" x14ac:dyDescent="0.2">
      <c r="A179" s="548"/>
      <c r="B179" s="552"/>
      <c r="C179" s="1822" t="s">
        <v>416</v>
      </c>
      <c r="D179" s="1822"/>
      <c r="E179" s="1822"/>
      <c r="F179" s="1822"/>
      <c r="G179" s="1822"/>
      <c r="H179" s="1822"/>
      <c r="I179" s="1822"/>
      <c r="J179" s="1822"/>
      <c r="K179" s="1822"/>
      <c r="L179" s="551">
        <v>519.09</v>
      </c>
      <c r="M179" s="550"/>
      <c r="N179" s="549"/>
      <c r="V179" s="674"/>
      <c r="W179" s="675"/>
      <c r="AC179" s="675"/>
      <c r="AE179" s="680"/>
      <c r="AF179" s="675"/>
      <c r="AG179" s="675"/>
      <c r="AH179" s="537" t="s">
        <v>416</v>
      </c>
    </row>
    <row r="180" spans="1:35" s="536" customFormat="1" ht="12" x14ac:dyDescent="0.2">
      <c r="A180" s="548"/>
      <c r="B180" s="552"/>
      <c r="C180" s="1822" t="s">
        <v>417</v>
      </c>
      <c r="D180" s="1822"/>
      <c r="E180" s="1822"/>
      <c r="F180" s="1822"/>
      <c r="G180" s="1822"/>
      <c r="H180" s="1822"/>
      <c r="I180" s="1822"/>
      <c r="J180" s="1822"/>
      <c r="K180" s="1822"/>
      <c r="L180" s="551">
        <v>271.45999999999998</v>
      </c>
      <c r="M180" s="550"/>
      <c r="N180" s="549"/>
      <c r="V180" s="674"/>
      <c r="W180" s="675"/>
      <c r="AC180" s="675"/>
      <c r="AE180" s="680"/>
      <c r="AF180" s="675"/>
      <c r="AG180" s="675"/>
      <c r="AH180" s="537" t="s">
        <v>417</v>
      </c>
    </row>
    <row r="181" spans="1:35" s="536" customFormat="1" ht="12" x14ac:dyDescent="0.2">
      <c r="A181" s="548"/>
      <c r="B181" s="546"/>
      <c r="C181" s="1819" t="s">
        <v>3207</v>
      </c>
      <c r="D181" s="1819"/>
      <c r="E181" s="1819"/>
      <c r="F181" s="1819"/>
      <c r="G181" s="1819"/>
      <c r="H181" s="1819"/>
      <c r="I181" s="1819"/>
      <c r="J181" s="1819"/>
      <c r="K181" s="1819"/>
      <c r="L181" s="544">
        <v>11176.45</v>
      </c>
      <c r="M181" s="543"/>
      <c r="N181" s="681"/>
      <c r="V181" s="674"/>
      <c r="W181" s="675"/>
      <c r="AC181" s="675"/>
      <c r="AE181" s="680"/>
      <c r="AF181" s="675"/>
      <c r="AG181" s="675"/>
      <c r="AI181" s="675" t="s">
        <v>3207</v>
      </c>
    </row>
    <row r="182" spans="1:35" s="536" customFormat="1" ht="12" x14ac:dyDescent="0.2">
      <c r="A182" s="548"/>
      <c r="B182" s="552"/>
      <c r="C182" s="1822" t="s">
        <v>204</v>
      </c>
      <c r="D182" s="1822"/>
      <c r="E182" s="1822"/>
      <c r="F182" s="1822"/>
      <c r="G182" s="1822"/>
      <c r="H182" s="1822"/>
      <c r="I182" s="1822"/>
      <c r="J182" s="1822"/>
      <c r="K182" s="1822"/>
      <c r="L182" s="551"/>
      <c r="M182" s="550"/>
      <c r="N182" s="549"/>
      <c r="V182" s="674"/>
      <c r="W182" s="675"/>
      <c r="AC182" s="675"/>
      <c r="AE182" s="680"/>
      <c r="AF182" s="675"/>
      <c r="AG182" s="675"/>
      <c r="AH182" s="537" t="s">
        <v>204</v>
      </c>
      <c r="AI182" s="675"/>
    </row>
    <row r="183" spans="1:35" s="536" customFormat="1" ht="12" x14ac:dyDescent="0.2">
      <c r="A183" s="548"/>
      <c r="B183" s="552"/>
      <c r="C183" s="1822" t="s">
        <v>8095</v>
      </c>
      <c r="D183" s="1822"/>
      <c r="E183" s="1822"/>
      <c r="F183" s="1822"/>
      <c r="G183" s="1822"/>
      <c r="H183" s="1822"/>
      <c r="I183" s="1822"/>
      <c r="J183" s="1822"/>
      <c r="K183" s="1822"/>
      <c r="L183" s="551">
        <v>1804.92</v>
      </c>
      <c r="M183" s="550"/>
      <c r="N183" s="549"/>
      <c r="V183" s="674"/>
      <c r="W183" s="675"/>
      <c r="AC183" s="675"/>
      <c r="AE183" s="680"/>
      <c r="AF183" s="675"/>
      <c r="AG183" s="675"/>
      <c r="AH183" s="537" t="s">
        <v>8095</v>
      </c>
      <c r="AI183" s="675"/>
    </row>
    <row r="184" spans="1:35" s="536" customFormat="1" ht="12" x14ac:dyDescent="0.2">
      <c r="A184" s="1824" t="s">
        <v>3208</v>
      </c>
      <c r="B184" s="1825"/>
      <c r="C184" s="1825"/>
      <c r="D184" s="1825"/>
      <c r="E184" s="1825"/>
      <c r="F184" s="1825"/>
      <c r="G184" s="1825"/>
      <c r="H184" s="1825"/>
      <c r="I184" s="1825"/>
      <c r="J184" s="1825"/>
      <c r="K184" s="1825"/>
      <c r="L184" s="1825"/>
      <c r="M184" s="1825"/>
      <c r="N184" s="1826"/>
      <c r="V184" s="674" t="s">
        <v>3208</v>
      </c>
      <c r="W184" s="675"/>
      <c r="AC184" s="675"/>
      <c r="AE184" s="680"/>
      <c r="AF184" s="675"/>
      <c r="AG184" s="675"/>
      <c r="AI184" s="675"/>
    </row>
    <row r="185" spans="1:35" s="536" customFormat="1" ht="22.5" x14ac:dyDescent="0.2">
      <c r="A185" s="575" t="s">
        <v>736</v>
      </c>
      <c r="B185" s="670" t="s">
        <v>1239</v>
      </c>
      <c r="C185" s="1823" t="s">
        <v>1240</v>
      </c>
      <c r="D185" s="1823"/>
      <c r="E185" s="1823"/>
      <c r="F185" s="573" t="s">
        <v>862</v>
      </c>
      <c r="G185" s="573"/>
      <c r="H185" s="573"/>
      <c r="I185" s="573" t="s">
        <v>3909</v>
      </c>
      <c r="J185" s="572"/>
      <c r="K185" s="573"/>
      <c r="L185" s="572"/>
      <c r="M185" s="571"/>
      <c r="N185" s="570"/>
      <c r="V185" s="674"/>
      <c r="W185" s="675" t="s">
        <v>1240</v>
      </c>
      <c r="AC185" s="675"/>
      <c r="AE185" s="680"/>
      <c r="AF185" s="675"/>
      <c r="AG185" s="675"/>
      <c r="AI185" s="675"/>
    </row>
    <row r="186" spans="1:35" s="536" customFormat="1" ht="12" x14ac:dyDescent="0.2">
      <c r="A186" s="676"/>
      <c r="B186" s="664"/>
      <c r="C186" s="1822" t="s">
        <v>3910</v>
      </c>
      <c r="D186" s="1822"/>
      <c r="E186" s="1822"/>
      <c r="F186" s="1822"/>
      <c r="G186" s="1822"/>
      <c r="H186" s="1822"/>
      <c r="I186" s="1822"/>
      <c r="J186" s="1822"/>
      <c r="K186" s="1822"/>
      <c r="L186" s="1822"/>
      <c r="M186" s="1822"/>
      <c r="N186" s="1827"/>
      <c r="V186" s="674"/>
      <c r="W186" s="675"/>
      <c r="X186" s="537" t="s">
        <v>3910</v>
      </c>
      <c r="AC186" s="675"/>
      <c r="AE186" s="680"/>
      <c r="AF186" s="675"/>
      <c r="AG186" s="675"/>
      <c r="AI186" s="675"/>
    </row>
    <row r="187" spans="1:35" s="536" customFormat="1" ht="33.75" x14ac:dyDescent="0.2">
      <c r="A187" s="609"/>
      <c r="B187" s="552" t="s">
        <v>310</v>
      </c>
      <c r="C187" s="1822" t="s">
        <v>311</v>
      </c>
      <c r="D187" s="1822"/>
      <c r="E187" s="1822"/>
      <c r="F187" s="1822"/>
      <c r="G187" s="1822"/>
      <c r="H187" s="1822"/>
      <c r="I187" s="1822"/>
      <c r="J187" s="1822"/>
      <c r="K187" s="1822"/>
      <c r="L187" s="1822"/>
      <c r="M187" s="1822"/>
      <c r="N187" s="1827"/>
      <c r="V187" s="674"/>
      <c r="W187" s="675"/>
      <c r="Y187" s="537" t="s">
        <v>311</v>
      </c>
      <c r="AC187" s="675"/>
      <c r="AE187" s="680"/>
      <c r="AF187" s="675"/>
      <c r="AG187" s="675"/>
      <c r="AI187" s="675"/>
    </row>
    <row r="188" spans="1:35" s="536" customFormat="1" ht="12" x14ac:dyDescent="0.2">
      <c r="A188" s="605"/>
      <c r="B188" s="552" t="s">
        <v>185</v>
      </c>
      <c r="C188" s="1822" t="s">
        <v>312</v>
      </c>
      <c r="D188" s="1822"/>
      <c r="E188" s="1822"/>
      <c r="F188" s="562"/>
      <c r="G188" s="562"/>
      <c r="H188" s="562"/>
      <c r="I188" s="562"/>
      <c r="J188" s="604">
        <v>282.66000000000003</v>
      </c>
      <c r="K188" s="562" t="s">
        <v>313</v>
      </c>
      <c r="L188" s="604">
        <v>122.67</v>
      </c>
      <c r="M188" s="603"/>
      <c r="N188" s="602"/>
      <c r="V188" s="674"/>
      <c r="W188" s="675"/>
      <c r="Z188" s="537" t="s">
        <v>312</v>
      </c>
      <c r="AC188" s="675"/>
      <c r="AE188" s="680"/>
      <c r="AF188" s="675"/>
      <c r="AG188" s="675"/>
      <c r="AI188" s="675"/>
    </row>
    <row r="189" spans="1:35" s="536" customFormat="1" ht="12" x14ac:dyDescent="0.2">
      <c r="A189" s="605"/>
      <c r="B189" s="552" t="s">
        <v>186</v>
      </c>
      <c r="C189" s="1822" t="s">
        <v>344</v>
      </c>
      <c r="D189" s="1822"/>
      <c r="E189" s="1822"/>
      <c r="F189" s="562"/>
      <c r="G189" s="562"/>
      <c r="H189" s="562"/>
      <c r="I189" s="562"/>
      <c r="J189" s="604">
        <v>43.61</v>
      </c>
      <c r="K189" s="562" t="s">
        <v>313</v>
      </c>
      <c r="L189" s="604">
        <v>18.93</v>
      </c>
      <c r="M189" s="603"/>
      <c r="N189" s="602"/>
      <c r="V189" s="674"/>
      <c r="W189" s="675"/>
      <c r="Z189" s="537" t="s">
        <v>344</v>
      </c>
      <c r="AC189" s="675"/>
      <c r="AE189" s="680"/>
      <c r="AF189" s="675"/>
      <c r="AG189" s="675"/>
      <c r="AI189" s="675"/>
    </row>
    <row r="190" spans="1:35" s="536" customFormat="1" ht="12" x14ac:dyDescent="0.2">
      <c r="A190" s="605"/>
      <c r="B190" s="552" t="s">
        <v>187</v>
      </c>
      <c r="C190" s="1822" t="s">
        <v>345</v>
      </c>
      <c r="D190" s="1822"/>
      <c r="E190" s="1822"/>
      <c r="F190" s="562"/>
      <c r="G190" s="562"/>
      <c r="H190" s="562"/>
      <c r="I190" s="562"/>
      <c r="J190" s="604">
        <v>17.149999999999999</v>
      </c>
      <c r="K190" s="562" t="s">
        <v>313</v>
      </c>
      <c r="L190" s="604">
        <v>7.44</v>
      </c>
      <c r="M190" s="603"/>
      <c r="N190" s="602"/>
      <c r="V190" s="674"/>
      <c r="W190" s="675"/>
      <c r="Z190" s="537" t="s">
        <v>345</v>
      </c>
      <c r="AC190" s="675"/>
      <c r="AE190" s="680"/>
      <c r="AF190" s="675"/>
      <c r="AG190" s="675"/>
      <c r="AI190" s="675"/>
    </row>
    <row r="191" spans="1:35" s="536" customFormat="1" ht="12" x14ac:dyDescent="0.2">
      <c r="A191" s="605"/>
      <c r="B191" s="552" t="s">
        <v>188</v>
      </c>
      <c r="C191" s="1822" t="s">
        <v>475</v>
      </c>
      <c r="D191" s="1822"/>
      <c r="E191" s="1822"/>
      <c r="F191" s="562"/>
      <c r="G191" s="562"/>
      <c r="H191" s="562"/>
      <c r="I191" s="562"/>
      <c r="J191" s="604">
        <v>8.5399999999999991</v>
      </c>
      <c r="K191" s="562"/>
      <c r="L191" s="604">
        <v>2.97</v>
      </c>
      <c r="M191" s="603"/>
      <c r="N191" s="602"/>
      <c r="V191" s="674"/>
      <c r="W191" s="675"/>
      <c r="Z191" s="537" t="s">
        <v>475</v>
      </c>
      <c r="AC191" s="675"/>
      <c r="AE191" s="680"/>
      <c r="AF191" s="675"/>
      <c r="AG191" s="675"/>
      <c r="AI191" s="675"/>
    </row>
    <row r="192" spans="1:35" s="536" customFormat="1" ht="22.5" x14ac:dyDescent="0.2">
      <c r="A192" s="676"/>
      <c r="B192" s="677" t="s">
        <v>1242</v>
      </c>
      <c r="C192" s="1829" t="s">
        <v>1243</v>
      </c>
      <c r="D192" s="1829"/>
      <c r="E192" s="1829"/>
      <c r="F192" s="678" t="s">
        <v>641</v>
      </c>
      <c r="G192" s="678" t="s">
        <v>1244</v>
      </c>
      <c r="H192" s="678"/>
      <c r="I192" s="678" t="s">
        <v>3911</v>
      </c>
      <c r="J192" s="552"/>
      <c r="K192" s="562"/>
      <c r="L192" s="604"/>
      <c r="M192" s="562"/>
      <c r="N192" s="679"/>
      <c r="V192" s="674"/>
      <c r="W192" s="675"/>
      <c r="AC192" s="675"/>
      <c r="AE192" s="680" t="s">
        <v>1243</v>
      </c>
      <c r="AF192" s="675"/>
      <c r="AG192" s="675"/>
      <c r="AI192" s="675"/>
    </row>
    <row r="193" spans="1:35" s="536" customFormat="1" ht="12" x14ac:dyDescent="0.2">
      <c r="A193" s="605"/>
      <c r="B193" s="552"/>
      <c r="C193" s="1822" t="s">
        <v>314</v>
      </c>
      <c r="D193" s="1822"/>
      <c r="E193" s="1822"/>
      <c r="F193" s="562" t="s">
        <v>315</v>
      </c>
      <c r="G193" s="562" t="s">
        <v>1246</v>
      </c>
      <c r="H193" s="562" t="s">
        <v>313</v>
      </c>
      <c r="I193" s="562" t="s">
        <v>3912</v>
      </c>
      <c r="J193" s="604"/>
      <c r="K193" s="562"/>
      <c r="L193" s="604"/>
      <c r="M193" s="603"/>
      <c r="N193" s="602"/>
      <c r="V193" s="674"/>
      <c r="W193" s="675"/>
      <c r="AA193" s="537" t="s">
        <v>314</v>
      </c>
      <c r="AC193" s="675"/>
      <c r="AE193" s="680"/>
      <c r="AF193" s="675"/>
      <c r="AG193" s="675"/>
      <c r="AI193" s="675"/>
    </row>
    <row r="194" spans="1:35" s="536" customFormat="1" ht="12" x14ac:dyDescent="0.2">
      <c r="A194" s="605"/>
      <c r="B194" s="552"/>
      <c r="C194" s="1822" t="s">
        <v>348</v>
      </c>
      <c r="D194" s="1822"/>
      <c r="E194" s="1822"/>
      <c r="F194" s="562" t="s">
        <v>315</v>
      </c>
      <c r="G194" s="562" t="s">
        <v>1248</v>
      </c>
      <c r="H194" s="562" t="s">
        <v>313</v>
      </c>
      <c r="I194" s="562" t="s">
        <v>3913</v>
      </c>
      <c r="J194" s="604"/>
      <c r="K194" s="562"/>
      <c r="L194" s="604"/>
      <c r="M194" s="603"/>
      <c r="N194" s="602"/>
      <c r="V194" s="674"/>
      <c r="W194" s="675"/>
      <c r="AA194" s="537" t="s">
        <v>348</v>
      </c>
      <c r="AC194" s="675"/>
      <c r="AE194" s="680"/>
      <c r="AF194" s="675"/>
      <c r="AG194" s="675"/>
      <c r="AI194" s="675"/>
    </row>
    <row r="195" spans="1:35" s="536" customFormat="1" ht="12" x14ac:dyDescent="0.2">
      <c r="A195" s="605"/>
      <c r="B195" s="552"/>
      <c r="C195" s="1828" t="s">
        <v>318</v>
      </c>
      <c r="D195" s="1828"/>
      <c r="E195" s="1828"/>
      <c r="F195" s="608"/>
      <c r="G195" s="608"/>
      <c r="H195" s="608"/>
      <c r="I195" s="608"/>
      <c r="J195" s="607">
        <v>334.81</v>
      </c>
      <c r="K195" s="608"/>
      <c r="L195" s="607">
        <v>144.57</v>
      </c>
      <c r="M195" s="601"/>
      <c r="N195" s="606"/>
      <c r="V195" s="674"/>
      <c r="W195" s="675"/>
      <c r="AB195" s="537" t="s">
        <v>318</v>
      </c>
      <c r="AC195" s="675"/>
      <c r="AE195" s="680"/>
      <c r="AF195" s="675"/>
      <c r="AG195" s="675"/>
      <c r="AI195" s="675"/>
    </row>
    <row r="196" spans="1:35" s="536" customFormat="1" ht="12" x14ac:dyDescent="0.2">
      <c r="A196" s="605"/>
      <c r="B196" s="552"/>
      <c r="C196" s="1822" t="s">
        <v>319</v>
      </c>
      <c r="D196" s="1822"/>
      <c r="E196" s="1822"/>
      <c r="F196" s="562"/>
      <c r="G196" s="562"/>
      <c r="H196" s="562"/>
      <c r="I196" s="562"/>
      <c r="J196" s="604"/>
      <c r="K196" s="562"/>
      <c r="L196" s="604">
        <v>130.11000000000001</v>
      </c>
      <c r="M196" s="603"/>
      <c r="N196" s="602"/>
      <c r="V196" s="674"/>
      <c r="W196" s="675"/>
      <c r="AA196" s="537" t="s">
        <v>319</v>
      </c>
      <c r="AC196" s="675"/>
      <c r="AE196" s="680"/>
      <c r="AF196" s="675"/>
      <c r="AG196" s="675"/>
      <c r="AI196" s="675"/>
    </row>
    <row r="197" spans="1:35" s="536" customFormat="1" ht="33.75" x14ac:dyDescent="0.2">
      <c r="A197" s="605"/>
      <c r="B197" s="552" t="s">
        <v>1250</v>
      </c>
      <c r="C197" s="1822" t="s">
        <v>1251</v>
      </c>
      <c r="D197" s="1822"/>
      <c r="E197" s="1822"/>
      <c r="F197" s="562" t="s">
        <v>322</v>
      </c>
      <c r="G197" s="562" t="s">
        <v>1252</v>
      </c>
      <c r="H197" s="562"/>
      <c r="I197" s="562" t="s">
        <v>1252</v>
      </c>
      <c r="J197" s="604"/>
      <c r="K197" s="562"/>
      <c r="L197" s="604">
        <v>145.72</v>
      </c>
      <c r="M197" s="603"/>
      <c r="N197" s="602"/>
      <c r="V197" s="674"/>
      <c r="W197" s="675"/>
      <c r="AA197" s="537" t="s">
        <v>1251</v>
      </c>
      <c r="AC197" s="675"/>
      <c r="AE197" s="680"/>
      <c r="AF197" s="675"/>
      <c r="AG197" s="675"/>
      <c r="AI197" s="675"/>
    </row>
    <row r="198" spans="1:35" s="536" customFormat="1" ht="33.75" x14ac:dyDescent="0.2">
      <c r="A198" s="605"/>
      <c r="B198" s="552" t="s">
        <v>1253</v>
      </c>
      <c r="C198" s="1822" t="s">
        <v>1254</v>
      </c>
      <c r="D198" s="1822"/>
      <c r="E198" s="1822"/>
      <c r="F198" s="562" t="s">
        <v>322</v>
      </c>
      <c r="G198" s="562" t="s">
        <v>796</v>
      </c>
      <c r="H198" s="562"/>
      <c r="I198" s="562" t="s">
        <v>796</v>
      </c>
      <c r="J198" s="604"/>
      <c r="K198" s="562"/>
      <c r="L198" s="604">
        <v>84.57</v>
      </c>
      <c r="M198" s="603"/>
      <c r="N198" s="602"/>
      <c r="V198" s="674"/>
      <c r="W198" s="675"/>
      <c r="AA198" s="537" t="s">
        <v>1254</v>
      </c>
      <c r="AC198" s="675"/>
      <c r="AE198" s="680"/>
      <c r="AF198" s="675"/>
      <c r="AG198" s="675"/>
      <c r="AI198" s="675"/>
    </row>
    <row r="199" spans="1:35" s="536" customFormat="1" ht="12" x14ac:dyDescent="0.2">
      <c r="A199" s="569"/>
      <c r="B199" s="671"/>
      <c r="C199" s="1823" t="s">
        <v>327</v>
      </c>
      <c r="D199" s="1823"/>
      <c r="E199" s="1823"/>
      <c r="F199" s="573"/>
      <c r="G199" s="573"/>
      <c r="H199" s="573"/>
      <c r="I199" s="573"/>
      <c r="J199" s="572"/>
      <c r="K199" s="573"/>
      <c r="L199" s="572">
        <v>374.86</v>
      </c>
      <c r="M199" s="601"/>
      <c r="N199" s="570"/>
      <c r="V199" s="674"/>
      <c r="W199" s="675"/>
      <c r="AC199" s="675" t="s">
        <v>327</v>
      </c>
      <c r="AE199" s="680"/>
      <c r="AF199" s="675"/>
      <c r="AG199" s="675"/>
      <c r="AI199" s="675"/>
    </row>
    <row r="200" spans="1:35" s="536" customFormat="1" ht="22.5" x14ac:dyDescent="0.2">
      <c r="A200" s="575" t="s">
        <v>1067</v>
      </c>
      <c r="B200" s="670" t="s">
        <v>1255</v>
      </c>
      <c r="C200" s="1823" t="s">
        <v>1256</v>
      </c>
      <c r="D200" s="1823"/>
      <c r="E200" s="1823"/>
      <c r="F200" s="573" t="s">
        <v>641</v>
      </c>
      <c r="G200" s="573"/>
      <c r="H200" s="573"/>
      <c r="I200" s="573" t="s">
        <v>3914</v>
      </c>
      <c r="J200" s="572">
        <v>600</v>
      </c>
      <c r="K200" s="573"/>
      <c r="L200" s="572">
        <v>424.8</v>
      </c>
      <c r="M200" s="571"/>
      <c r="N200" s="570"/>
      <c r="V200" s="674"/>
      <c r="W200" s="675" t="s">
        <v>1256</v>
      </c>
      <c r="AC200" s="675"/>
      <c r="AE200" s="680"/>
      <c r="AF200" s="675"/>
      <c r="AG200" s="675"/>
      <c r="AI200" s="675"/>
    </row>
    <row r="201" spans="1:35" s="536" customFormat="1" ht="12" x14ac:dyDescent="0.2">
      <c r="A201" s="569"/>
      <c r="B201" s="671"/>
      <c r="C201" s="665" t="s">
        <v>717</v>
      </c>
      <c r="D201" s="666"/>
      <c r="E201" s="666"/>
      <c r="F201" s="563"/>
      <c r="G201" s="563"/>
      <c r="H201" s="563"/>
      <c r="I201" s="563"/>
      <c r="J201" s="566"/>
      <c r="K201" s="563"/>
      <c r="L201" s="566"/>
      <c r="M201" s="565"/>
      <c r="N201" s="564"/>
      <c r="V201" s="674"/>
      <c r="W201" s="675"/>
      <c r="AC201" s="675"/>
      <c r="AE201" s="680"/>
      <c r="AF201" s="675"/>
      <c r="AG201" s="675"/>
      <c r="AI201" s="675"/>
    </row>
    <row r="202" spans="1:35" s="536" customFormat="1" ht="45" x14ac:dyDescent="0.2">
      <c r="A202" s="575" t="s">
        <v>912</v>
      </c>
      <c r="B202" s="670" t="s">
        <v>1259</v>
      </c>
      <c r="C202" s="1823" t="s">
        <v>1260</v>
      </c>
      <c r="D202" s="1823"/>
      <c r="E202" s="1823"/>
      <c r="F202" s="573" t="s">
        <v>862</v>
      </c>
      <c r="G202" s="573"/>
      <c r="H202" s="573"/>
      <c r="I202" s="573" t="s">
        <v>3909</v>
      </c>
      <c r="J202" s="572"/>
      <c r="K202" s="573"/>
      <c r="L202" s="572"/>
      <c r="M202" s="571"/>
      <c r="N202" s="570"/>
      <c r="V202" s="674"/>
      <c r="W202" s="675" t="s">
        <v>1260</v>
      </c>
      <c r="AC202" s="675"/>
      <c r="AE202" s="680"/>
      <c r="AF202" s="675"/>
      <c r="AG202" s="675"/>
      <c r="AI202" s="675"/>
    </row>
    <row r="203" spans="1:35" s="536" customFormat="1" ht="12" x14ac:dyDescent="0.2">
      <c r="A203" s="676"/>
      <c r="B203" s="664"/>
      <c r="C203" s="1822" t="s">
        <v>3910</v>
      </c>
      <c r="D203" s="1822"/>
      <c r="E203" s="1822"/>
      <c r="F203" s="1822"/>
      <c r="G203" s="1822"/>
      <c r="H203" s="1822"/>
      <c r="I203" s="1822"/>
      <c r="J203" s="1822"/>
      <c r="K203" s="1822"/>
      <c r="L203" s="1822"/>
      <c r="M203" s="1822"/>
      <c r="N203" s="1827"/>
      <c r="V203" s="674"/>
      <c r="W203" s="675"/>
      <c r="X203" s="537" t="s">
        <v>3910</v>
      </c>
      <c r="AC203" s="675"/>
      <c r="AE203" s="680"/>
      <c r="AF203" s="675"/>
      <c r="AG203" s="675"/>
      <c r="AI203" s="675"/>
    </row>
    <row r="204" spans="1:35" s="536" customFormat="1" ht="12" x14ac:dyDescent="0.2">
      <c r="A204" s="609"/>
      <c r="B204" s="552"/>
      <c r="C204" s="1822" t="s">
        <v>1261</v>
      </c>
      <c r="D204" s="1822"/>
      <c r="E204" s="1822"/>
      <c r="F204" s="1822"/>
      <c r="G204" s="1822"/>
      <c r="H204" s="1822"/>
      <c r="I204" s="1822"/>
      <c r="J204" s="1822"/>
      <c r="K204" s="1822"/>
      <c r="L204" s="1822"/>
      <c r="M204" s="1822"/>
      <c r="N204" s="1827"/>
      <c r="V204" s="674"/>
      <c r="W204" s="675"/>
      <c r="Y204" s="537" t="s">
        <v>1261</v>
      </c>
      <c r="AC204" s="675"/>
      <c r="AE204" s="680"/>
      <c r="AF204" s="675"/>
      <c r="AG204" s="675"/>
      <c r="AI204" s="675"/>
    </row>
    <row r="205" spans="1:35" s="536" customFormat="1" ht="33.75" x14ac:dyDescent="0.2">
      <c r="A205" s="609"/>
      <c r="B205" s="552" t="s">
        <v>310</v>
      </c>
      <c r="C205" s="1822" t="s">
        <v>311</v>
      </c>
      <c r="D205" s="1822"/>
      <c r="E205" s="1822"/>
      <c r="F205" s="1822"/>
      <c r="G205" s="1822"/>
      <c r="H205" s="1822"/>
      <c r="I205" s="1822"/>
      <c r="J205" s="1822"/>
      <c r="K205" s="1822"/>
      <c r="L205" s="1822"/>
      <c r="M205" s="1822"/>
      <c r="N205" s="1827"/>
      <c r="V205" s="674"/>
      <c r="W205" s="675"/>
      <c r="Y205" s="537" t="s">
        <v>311</v>
      </c>
      <c r="AC205" s="675"/>
      <c r="AE205" s="680"/>
      <c r="AF205" s="675"/>
      <c r="AG205" s="675"/>
      <c r="AI205" s="675"/>
    </row>
    <row r="206" spans="1:35" s="536" customFormat="1" ht="12" x14ac:dyDescent="0.2">
      <c r="A206" s="605"/>
      <c r="B206" s="552" t="s">
        <v>185</v>
      </c>
      <c r="C206" s="1822" t="s">
        <v>312</v>
      </c>
      <c r="D206" s="1822"/>
      <c r="E206" s="1822"/>
      <c r="F206" s="562"/>
      <c r="G206" s="562"/>
      <c r="H206" s="562"/>
      <c r="I206" s="562"/>
      <c r="J206" s="604">
        <v>3.49</v>
      </c>
      <c r="K206" s="562" t="s">
        <v>194</v>
      </c>
      <c r="L206" s="604">
        <v>12.12</v>
      </c>
      <c r="M206" s="603"/>
      <c r="N206" s="602"/>
      <c r="V206" s="674"/>
      <c r="W206" s="675"/>
      <c r="Z206" s="537" t="s">
        <v>312</v>
      </c>
      <c r="AC206" s="675"/>
      <c r="AE206" s="680"/>
      <c r="AF206" s="675"/>
      <c r="AG206" s="675"/>
      <c r="AI206" s="675"/>
    </row>
    <row r="207" spans="1:35" s="536" customFormat="1" ht="12" x14ac:dyDescent="0.2">
      <c r="A207" s="605"/>
      <c r="B207" s="552" t="s">
        <v>186</v>
      </c>
      <c r="C207" s="1822" t="s">
        <v>344</v>
      </c>
      <c r="D207" s="1822"/>
      <c r="E207" s="1822"/>
      <c r="F207" s="562"/>
      <c r="G207" s="562"/>
      <c r="H207" s="562"/>
      <c r="I207" s="562"/>
      <c r="J207" s="604">
        <v>7.56</v>
      </c>
      <c r="K207" s="562" t="s">
        <v>194</v>
      </c>
      <c r="L207" s="604">
        <v>26.25</v>
      </c>
      <c r="M207" s="603"/>
      <c r="N207" s="602"/>
      <c r="V207" s="674"/>
      <c r="W207" s="675"/>
      <c r="Z207" s="537" t="s">
        <v>344</v>
      </c>
      <c r="AC207" s="675"/>
      <c r="AE207" s="680"/>
      <c r="AF207" s="675"/>
      <c r="AG207" s="675"/>
      <c r="AI207" s="675"/>
    </row>
    <row r="208" spans="1:35" s="536" customFormat="1" ht="12" x14ac:dyDescent="0.2">
      <c r="A208" s="605"/>
      <c r="B208" s="552" t="s">
        <v>187</v>
      </c>
      <c r="C208" s="1822" t="s">
        <v>345</v>
      </c>
      <c r="D208" s="1822"/>
      <c r="E208" s="1822"/>
      <c r="F208" s="562"/>
      <c r="G208" s="562"/>
      <c r="H208" s="562"/>
      <c r="I208" s="562"/>
      <c r="J208" s="604">
        <v>2.84</v>
      </c>
      <c r="K208" s="562" t="s">
        <v>194</v>
      </c>
      <c r="L208" s="604">
        <v>9.86</v>
      </c>
      <c r="M208" s="603"/>
      <c r="N208" s="602"/>
      <c r="V208" s="674"/>
      <c r="W208" s="675"/>
      <c r="Z208" s="537" t="s">
        <v>345</v>
      </c>
      <c r="AC208" s="675"/>
      <c r="AE208" s="680"/>
      <c r="AF208" s="675"/>
      <c r="AG208" s="675"/>
      <c r="AI208" s="675"/>
    </row>
    <row r="209" spans="1:35" s="536" customFormat="1" ht="22.5" x14ac:dyDescent="0.2">
      <c r="A209" s="676"/>
      <c r="B209" s="677" t="s">
        <v>1242</v>
      </c>
      <c r="C209" s="1829" t="s">
        <v>1243</v>
      </c>
      <c r="D209" s="1829"/>
      <c r="E209" s="1829"/>
      <c r="F209" s="678" t="s">
        <v>641</v>
      </c>
      <c r="G209" s="678" t="s">
        <v>439</v>
      </c>
      <c r="H209" s="678" t="s">
        <v>192</v>
      </c>
      <c r="I209" s="678" t="s">
        <v>3915</v>
      </c>
      <c r="J209" s="552"/>
      <c r="K209" s="562"/>
      <c r="L209" s="604"/>
      <c r="M209" s="562"/>
      <c r="N209" s="679"/>
      <c r="V209" s="674"/>
      <c r="W209" s="675"/>
      <c r="AC209" s="675"/>
      <c r="AE209" s="680" t="s">
        <v>1243</v>
      </c>
      <c r="AF209" s="675"/>
      <c r="AG209" s="675"/>
      <c r="AI209" s="675"/>
    </row>
    <row r="210" spans="1:35" s="536" customFormat="1" ht="12" x14ac:dyDescent="0.2">
      <c r="A210" s="605"/>
      <c r="B210" s="552"/>
      <c r="C210" s="1822" t="s">
        <v>314</v>
      </c>
      <c r="D210" s="1822"/>
      <c r="E210" s="1822"/>
      <c r="F210" s="562" t="s">
        <v>315</v>
      </c>
      <c r="G210" s="562" t="s">
        <v>1263</v>
      </c>
      <c r="H210" s="562" t="s">
        <v>194</v>
      </c>
      <c r="I210" s="562" t="s">
        <v>3916</v>
      </c>
      <c r="J210" s="604"/>
      <c r="K210" s="562"/>
      <c r="L210" s="604"/>
      <c r="M210" s="603"/>
      <c r="N210" s="602"/>
      <c r="V210" s="674"/>
      <c r="W210" s="675"/>
      <c r="AA210" s="537" t="s">
        <v>314</v>
      </c>
      <c r="AC210" s="675"/>
      <c r="AE210" s="680"/>
      <c r="AF210" s="675"/>
      <c r="AG210" s="675"/>
      <c r="AI210" s="675"/>
    </row>
    <row r="211" spans="1:35" s="536" customFormat="1" ht="12" x14ac:dyDescent="0.2">
      <c r="A211" s="605"/>
      <c r="B211" s="552"/>
      <c r="C211" s="1822" t="s">
        <v>348</v>
      </c>
      <c r="D211" s="1822"/>
      <c r="E211" s="1822"/>
      <c r="F211" s="562" t="s">
        <v>315</v>
      </c>
      <c r="G211" s="562" t="s">
        <v>1265</v>
      </c>
      <c r="H211" s="562" t="s">
        <v>194</v>
      </c>
      <c r="I211" s="562" t="s">
        <v>3917</v>
      </c>
      <c r="J211" s="604"/>
      <c r="K211" s="562"/>
      <c r="L211" s="604"/>
      <c r="M211" s="603"/>
      <c r="N211" s="602"/>
      <c r="V211" s="674"/>
      <c r="W211" s="675"/>
      <c r="AA211" s="537" t="s">
        <v>348</v>
      </c>
      <c r="AC211" s="675"/>
      <c r="AE211" s="680"/>
      <c r="AF211" s="675"/>
      <c r="AG211" s="675"/>
      <c r="AI211" s="675"/>
    </row>
    <row r="212" spans="1:35" s="536" customFormat="1" ht="12" x14ac:dyDescent="0.2">
      <c r="A212" s="605"/>
      <c r="B212" s="552"/>
      <c r="C212" s="1828" t="s">
        <v>318</v>
      </c>
      <c r="D212" s="1828"/>
      <c r="E212" s="1828"/>
      <c r="F212" s="608"/>
      <c r="G212" s="608"/>
      <c r="H212" s="608"/>
      <c r="I212" s="608"/>
      <c r="J212" s="607">
        <v>11.05</v>
      </c>
      <c r="K212" s="608"/>
      <c r="L212" s="607">
        <v>38.369999999999997</v>
      </c>
      <c r="M212" s="601"/>
      <c r="N212" s="606"/>
      <c r="V212" s="674"/>
      <c r="W212" s="675"/>
      <c r="AB212" s="537" t="s">
        <v>318</v>
      </c>
      <c r="AC212" s="675"/>
      <c r="AE212" s="680"/>
      <c r="AF212" s="675"/>
      <c r="AG212" s="675"/>
      <c r="AI212" s="675"/>
    </row>
    <row r="213" spans="1:35" s="536" customFormat="1" ht="12" x14ac:dyDescent="0.2">
      <c r="A213" s="605"/>
      <c r="B213" s="552"/>
      <c r="C213" s="1822" t="s">
        <v>319</v>
      </c>
      <c r="D213" s="1822"/>
      <c r="E213" s="1822"/>
      <c r="F213" s="562"/>
      <c r="G213" s="562"/>
      <c r="H213" s="562"/>
      <c r="I213" s="562"/>
      <c r="J213" s="604"/>
      <c r="K213" s="562"/>
      <c r="L213" s="604">
        <v>21.98</v>
      </c>
      <c r="M213" s="603"/>
      <c r="N213" s="602"/>
      <c r="V213" s="674"/>
      <c r="W213" s="675"/>
      <c r="AA213" s="537" t="s">
        <v>319</v>
      </c>
      <c r="AC213" s="675"/>
      <c r="AE213" s="680"/>
      <c r="AF213" s="675"/>
      <c r="AG213" s="675"/>
      <c r="AI213" s="675"/>
    </row>
    <row r="214" spans="1:35" s="536" customFormat="1" ht="33.75" x14ac:dyDescent="0.2">
      <c r="A214" s="605"/>
      <c r="B214" s="552" t="s">
        <v>1250</v>
      </c>
      <c r="C214" s="1822" t="s">
        <v>1251</v>
      </c>
      <c r="D214" s="1822"/>
      <c r="E214" s="1822"/>
      <c r="F214" s="562" t="s">
        <v>322</v>
      </c>
      <c r="G214" s="562" t="s">
        <v>1252</v>
      </c>
      <c r="H214" s="562"/>
      <c r="I214" s="562" t="s">
        <v>1252</v>
      </c>
      <c r="J214" s="604"/>
      <c r="K214" s="562"/>
      <c r="L214" s="604">
        <v>24.62</v>
      </c>
      <c r="M214" s="603"/>
      <c r="N214" s="602"/>
      <c r="V214" s="674"/>
      <c r="W214" s="675"/>
      <c r="AA214" s="537" t="s">
        <v>1251</v>
      </c>
      <c r="AC214" s="675"/>
      <c r="AE214" s="680"/>
      <c r="AF214" s="675"/>
      <c r="AG214" s="675"/>
      <c r="AI214" s="675"/>
    </row>
    <row r="215" spans="1:35" s="536" customFormat="1" ht="33.75" x14ac:dyDescent="0.2">
      <c r="A215" s="605"/>
      <c r="B215" s="552" t="s">
        <v>1253</v>
      </c>
      <c r="C215" s="1822" t="s">
        <v>1254</v>
      </c>
      <c r="D215" s="1822"/>
      <c r="E215" s="1822"/>
      <c r="F215" s="562" t="s">
        <v>322</v>
      </c>
      <c r="G215" s="562" t="s">
        <v>796</v>
      </c>
      <c r="H215" s="562"/>
      <c r="I215" s="562" t="s">
        <v>796</v>
      </c>
      <c r="J215" s="604"/>
      <c r="K215" s="562"/>
      <c r="L215" s="604">
        <v>14.29</v>
      </c>
      <c r="M215" s="603"/>
      <c r="N215" s="602"/>
      <c r="V215" s="674"/>
      <c r="W215" s="675"/>
      <c r="AA215" s="537" t="s">
        <v>1254</v>
      </c>
      <c r="AC215" s="675"/>
      <c r="AE215" s="680"/>
      <c r="AF215" s="675"/>
      <c r="AG215" s="675"/>
      <c r="AI215" s="675"/>
    </row>
    <row r="216" spans="1:35" s="536" customFormat="1" ht="12" x14ac:dyDescent="0.2">
      <c r="A216" s="569"/>
      <c r="B216" s="671"/>
      <c r="C216" s="1823" t="s">
        <v>327</v>
      </c>
      <c r="D216" s="1823"/>
      <c r="E216" s="1823"/>
      <c r="F216" s="573"/>
      <c r="G216" s="573"/>
      <c r="H216" s="573"/>
      <c r="I216" s="573"/>
      <c r="J216" s="572"/>
      <c r="K216" s="573"/>
      <c r="L216" s="572">
        <v>77.28</v>
      </c>
      <c r="M216" s="601"/>
      <c r="N216" s="570"/>
      <c r="V216" s="674"/>
      <c r="W216" s="675"/>
      <c r="AC216" s="675" t="s">
        <v>327</v>
      </c>
      <c r="AE216" s="680"/>
      <c r="AF216" s="675"/>
      <c r="AG216" s="675"/>
      <c r="AI216" s="675"/>
    </row>
    <row r="217" spans="1:35" s="536" customFormat="1" ht="22.5" x14ac:dyDescent="0.2">
      <c r="A217" s="575" t="s">
        <v>757</v>
      </c>
      <c r="B217" s="670" t="s">
        <v>1255</v>
      </c>
      <c r="C217" s="1823" t="s">
        <v>1256</v>
      </c>
      <c r="D217" s="1823"/>
      <c r="E217" s="1823"/>
      <c r="F217" s="573" t="s">
        <v>641</v>
      </c>
      <c r="G217" s="573"/>
      <c r="H217" s="573"/>
      <c r="I217" s="573" t="s">
        <v>3918</v>
      </c>
      <c r="J217" s="572">
        <v>600</v>
      </c>
      <c r="K217" s="573"/>
      <c r="L217" s="572">
        <v>849.96</v>
      </c>
      <c r="M217" s="571"/>
      <c r="N217" s="570"/>
      <c r="V217" s="674"/>
      <c r="W217" s="675" t="s">
        <v>1256</v>
      </c>
      <c r="AC217" s="675"/>
      <c r="AE217" s="680"/>
      <c r="AF217" s="675"/>
      <c r="AG217" s="675"/>
      <c r="AI217" s="675"/>
    </row>
    <row r="218" spans="1:35" s="536" customFormat="1" ht="12" x14ac:dyDescent="0.2">
      <c r="A218" s="569"/>
      <c r="B218" s="671"/>
      <c r="C218" s="665" t="s">
        <v>717</v>
      </c>
      <c r="D218" s="666"/>
      <c r="E218" s="666"/>
      <c r="F218" s="563"/>
      <c r="G218" s="563"/>
      <c r="H218" s="563"/>
      <c r="I218" s="563"/>
      <c r="J218" s="566"/>
      <c r="K218" s="563"/>
      <c r="L218" s="566"/>
      <c r="M218" s="565"/>
      <c r="N218" s="564"/>
      <c r="V218" s="674"/>
      <c r="W218" s="675"/>
      <c r="AC218" s="675"/>
      <c r="AE218" s="680"/>
      <c r="AF218" s="675"/>
      <c r="AG218" s="675"/>
      <c r="AI218" s="675"/>
    </row>
    <row r="219" spans="1:35" s="536" customFormat="1" ht="22.5" x14ac:dyDescent="0.2">
      <c r="A219" s="575" t="s">
        <v>1079</v>
      </c>
      <c r="B219" s="670" t="s">
        <v>1268</v>
      </c>
      <c r="C219" s="1823" t="s">
        <v>1269</v>
      </c>
      <c r="D219" s="1823"/>
      <c r="E219" s="1823"/>
      <c r="F219" s="573" t="s">
        <v>694</v>
      </c>
      <c r="G219" s="573"/>
      <c r="H219" s="573"/>
      <c r="I219" s="573" t="s">
        <v>3919</v>
      </c>
      <c r="J219" s="572"/>
      <c r="K219" s="573"/>
      <c r="L219" s="572"/>
      <c r="M219" s="571"/>
      <c r="N219" s="570"/>
      <c r="V219" s="674"/>
      <c r="W219" s="675" t="s">
        <v>1269</v>
      </c>
      <c r="AC219" s="675"/>
      <c r="AE219" s="680"/>
      <c r="AF219" s="675"/>
      <c r="AG219" s="675"/>
      <c r="AI219" s="675"/>
    </row>
    <row r="220" spans="1:35" s="536" customFormat="1" ht="12" x14ac:dyDescent="0.2">
      <c r="A220" s="676"/>
      <c r="B220" s="664"/>
      <c r="C220" s="1822" t="s">
        <v>3920</v>
      </c>
      <c r="D220" s="1822"/>
      <c r="E220" s="1822"/>
      <c r="F220" s="1822"/>
      <c r="G220" s="1822"/>
      <c r="H220" s="1822"/>
      <c r="I220" s="1822"/>
      <c r="J220" s="1822"/>
      <c r="K220" s="1822"/>
      <c r="L220" s="1822"/>
      <c r="M220" s="1822"/>
      <c r="N220" s="1827"/>
      <c r="V220" s="674"/>
      <c r="W220" s="675"/>
      <c r="X220" s="537" t="s">
        <v>3920</v>
      </c>
      <c r="AC220" s="675"/>
      <c r="AE220" s="680"/>
      <c r="AF220" s="675"/>
      <c r="AG220" s="675"/>
      <c r="AI220" s="675"/>
    </row>
    <row r="221" spans="1:35" s="536" customFormat="1" ht="33.75" x14ac:dyDescent="0.2">
      <c r="A221" s="609"/>
      <c r="B221" s="552" t="s">
        <v>310</v>
      </c>
      <c r="C221" s="1822" t="s">
        <v>311</v>
      </c>
      <c r="D221" s="1822"/>
      <c r="E221" s="1822"/>
      <c r="F221" s="1822"/>
      <c r="G221" s="1822"/>
      <c r="H221" s="1822"/>
      <c r="I221" s="1822"/>
      <c r="J221" s="1822"/>
      <c r="K221" s="1822"/>
      <c r="L221" s="1822"/>
      <c r="M221" s="1822"/>
      <c r="N221" s="1827"/>
      <c r="V221" s="674"/>
      <c r="W221" s="675"/>
      <c r="Y221" s="537" t="s">
        <v>311</v>
      </c>
      <c r="AC221" s="675"/>
      <c r="AE221" s="680"/>
      <c r="AF221" s="675"/>
      <c r="AG221" s="675"/>
      <c r="AI221" s="675"/>
    </row>
    <row r="222" spans="1:35" s="536" customFormat="1" ht="12" x14ac:dyDescent="0.2">
      <c r="A222" s="605"/>
      <c r="B222" s="552" t="s">
        <v>185</v>
      </c>
      <c r="C222" s="1822" t="s">
        <v>312</v>
      </c>
      <c r="D222" s="1822"/>
      <c r="E222" s="1822"/>
      <c r="F222" s="562"/>
      <c r="G222" s="562"/>
      <c r="H222" s="562"/>
      <c r="I222" s="562"/>
      <c r="J222" s="604">
        <v>102.78</v>
      </c>
      <c r="K222" s="562" t="s">
        <v>313</v>
      </c>
      <c r="L222" s="604">
        <v>12.21</v>
      </c>
      <c r="M222" s="603"/>
      <c r="N222" s="602"/>
      <c r="V222" s="674"/>
      <c r="W222" s="675"/>
      <c r="Z222" s="537" t="s">
        <v>312</v>
      </c>
      <c r="AC222" s="675"/>
      <c r="AE222" s="680"/>
      <c r="AF222" s="675"/>
      <c r="AG222" s="675"/>
      <c r="AI222" s="675"/>
    </row>
    <row r="223" spans="1:35" s="536" customFormat="1" ht="12" x14ac:dyDescent="0.2">
      <c r="A223" s="605"/>
      <c r="B223" s="552" t="s">
        <v>186</v>
      </c>
      <c r="C223" s="1822" t="s">
        <v>344</v>
      </c>
      <c r="D223" s="1822"/>
      <c r="E223" s="1822"/>
      <c r="F223" s="562"/>
      <c r="G223" s="562"/>
      <c r="H223" s="562"/>
      <c r="I223" s="562"/>
      <c r="J223" s="604">
        <v>30.45</v>
      </c>
      <c r="K223" s="562" t="s">
        <v>313</v>
      </c>
      <c r="L223" s="604">
        <v>3.62</v>
      </c>
      <c r="M223" s="603"/>
      <c r="N223" s="602"/>
      <c r="V223" s="674"/>
      <c r="W223" s="675"/>
      <c r="Z223" s="537" t="s">
        <v>344</v>
      </c>
      <c r="AC223" s="675"/>
      <c r="AE223" s="680"/>
      <c r="AF223" s="675"/>
      <c r="AG223" s="675"/>
      <c r="AI223" s="675"/>
    </row>
    <row r="224" spans="1:35" s="536" customFormat="1" ht="12" x14ac:dyDescent="0.2">
      <c r="A224" s="605"/>
      <c r="B224" s="552" t="s">
        <v>187</v>
      </c>
      <c r="C224" s="1822" t="s">
        <v>345</v>
      </c>
      <c r="D224" s="1822"/>
      <c r="E224" s="1822"/>
      <c r="F224" s="562"/>
      <c r="G224" s="562"/>
      <c r="H224" s="562"/>
      <c r="I224" s="562"/>
      <c r="J224" s="604">
        <v>4.3499999999999996</v>
      </c>
      <c r="K224" s="562" t="s">
        <v>313</v>
      </c>
      <c r="L224" s="604">
        <v>0.52</v>
      </c>
      <c r="M224" s="603"/>
      <c r="N224" s="602"/>
      <c r="V224" s="674"/>
      <c r="W224" s="675"/>
      <c r="Z224" s="537" t="s">
        <v>345</v>
      </c>
      <c r="AC224" s="675"/>
      <c r="AE224" s="680"/>
      <c r="AF224" s="675"/>
      <c r="AG224" s="675"/>
      <c r="AI224" s="675"/>
    </row>
    <row r="225" spans="1:35" s="536" customFormat="1" ht="12" x14ac:dyDescent="0.2">
      <c r="A225" s="605"/>
      <c r="B225" s="552" t="s">
        <v>188</v>
      </c>
      <c r="C225" s="1822" t="s">
        <v>475</v>
      </c>
      <c r="D225" s="1822"/>
      <c r="E225" s="1822"/>
      <c r="F225" s="562"/>
      <c r="G225" s="562"/>
      <c r="H225" s="562"/>
      <c r="I225" s="562"/>
      <c r="J225" s="604">
        <v>285.60000000000002</v>
      </c>
      <c r="K225" s="562"/>
      <c r="L225" s="604">
        <v>27.13</v>
      </c>
      <c r="M225" s="603"/>
      <c r="N225" s="602"/>
      <c r="V225" s="674"/>
      <c r="W225" s="675"/>
      <c r="Z225" s="537" t="s">
        <v>475</v>
      </c>
      <c r="AC225" s="675"/>
      <c r="AE225" s="680"/>
      <c r="AF225" s="675"/>
      <c r="AG225" s="675"/>
      <c r="AI225" s="675"/>
    </row>
    <row r="226" spans="1:35" s="536" customFormat="1" ht="12" x14ac:dyDescent="0.2">
      <c r="A226" s="676"/>
      <c r="B226" s="677" t="s">
        <v>1272</v>
      </c>
      <c r="C226" s="1829" t="s">
        <v>1273</v>
      </c>
      <c r="D226" s="1829"/>
      <c r="E226" s="1829"/>
      <c r="F226" s="678" t="s">
        <v>694</v>
      </c>
      <c r="G226" s="678" t="s">
        <v>185</v>
      </c>
      <c r="H226" s="678"/>
      <c r="I226" s="678" t="s">
        <v>3919</v>
      </c>
      <c r="J226" s="552"/>
      <c r="K226" s="562"/>
      <c r="L226" s="604"/>
      <c r="M226" s="562"/>
      <c r="N226" s="679"/>
      <c r="V226" s="674"/>
      <c r="W226" s="675"/>
      <c r="AC226" s="675"/>
      <c r="AE226" s="680" t="s">
        <v>1273</v>
      </c>
      <c r="AF226" s="675"/>
      <c r="AG226" s="675"/>
      <c r="AI226" s="675"/>
    </row>
    <row r="227" spans="1:35" s="536" customFormat="1" ht="12" x14ac:dyDescent="0.2">
      <c r="A227" s="605"/>
      <c r="B227" s="552"/>
      <c r="C227" s="1822" t="s">
        <v>314</v>
      </c>
      <c r="D227" s="1822"/>
      <c r="E227" s="1822"/>
      <c r="F227" s="562" t="s">
        <v>315</v>
      </c>
      <c r="G227" s="562" t="s">
        <v>1274</v>
      </c>
      <c r="H227" s="562" t="s">
        <v>313</v>
      </c>
      <c r="I227" s="562" t="s">
        <v>3921</v>
      </c>
      <c r="J227" s="604"/>
      <c r="K227" s="562"/>
      <c r="L227" s="604"/>
      <c r="M227" s="603"/>
      <c r="N227" s="602"/>
      <c r="V227" s="674"/>
      <c r="W227" s="675"/>
      <c r="AA227" s="537" t="s">
        <v>314</v>
      </c>
      <c r="AC227" s="675"/>
      <c r="AE227" s="680"/>
      <c r="AF227" s="675"/>
      <c r="AG227" s="675"/>
      <c r="AI227" s="675"/>
    </row>
    <row r="228" spans="1:35" s="536" customFormat="1" ht="12" x14ac:dyDescent="0.2">
      <c r="A228" s="605"/>
      <c r="B228" s="552"/>
      <c r="C228" s="1822" t="s">
        <v>348</v>
      </c>
      <c r="D228" s="1822"/>
      <c r="E228" s="1822"/>
      <c r="F228" s="562" t="s">
        <v>315</v>
      </c>
      <c r="G228" s="562" t="s">
        <v>691</v>
      </c>
      <c r="H228" s="562" t="s">
        <v>313</v>
      </c>
      <c r="I228" s="562" t="s">
        <v>3922</v>
      </c>
      <c r="J228" s="604"/>
      <c r="K228" s="562"/>
      <c r="L228" s="604"/>
      <c r="M228" s="603"/>
      <c r="N228" s="602"/>
      <c r="V228" s="674"/>
      <c r="W228" s="675"/>
      <c r="AA228" s="537" t="s">
        <v>348</v>
      </c>
      <c r="AC228" s="675"/>
      <c r="AE228" s="680"/>
      <c r="AF228" s="675"/>
      <c r="AG228" s="675"/>
      <c r="AI228" s="675"/>
    </row>
    <row r="229" spans="1:35" s="536" customFormat="1" ht="12" x14ac:dyDescent="0.2">
      <c r="A229" s="605"/>
      <c r="B229" s="552"/>
      <c r="C229" s="1828" t="s">
        <v>318</v>
      </c>
      <c r="D229" s="1828"/>
      <c r="E229" s="1828"/>
      <c r="F229" s="608"/>
      <c r="G229" s="608"/>
      <c r="H229" s="608"/>
      <c r="I229" s="608"/>
      <c r="J229" s="607">
        <v>418.83</v>
      </c>
      <c r="K229" s="608"/>
      <c r="L229" s="607">
        <v>42.96</v>
      </c>
      <c r="M229" s="601"/>
      <c r="N229" s="606"/>
      <c r="V229" s="674"/>
      <c r="W229" s="675"/>
      <c r="AB229" s="537" t="s">
        <v>318</v>
      </c>
      <c r="AC229" s="675"/>
      <c r="AE229" s="680"/>
      <c r="AF229" s="675"/>
      <c r="AG229" s="675"/>
      <c r="AI229" s="675"/>
    </row>
    <row r="230" spans="1:35" s="536" customFormat="1" ht="12" x14ac:dyDescent="0.2">
      <c r="A230" s="605"/>
      <c r="B230" s="552"/>
      <c r="C230" s="1822" t="s">
        <v>319</v>
      </c>
      <c r="D230" s="1822"/>
      <c r="E230" s="1822"/>
      <c r="F230" s="562"/>
      <c r="G230" s="562"/>
      <c r="H230" s="562"/>
      <c r="I230" s="562"/>
      <c r="J230" s="604"/>
      <c r="K230" s="562"/>
      <c r="L230" s="604">
        <v>12.73</v>
      </c>
      <c r="M230" s="603"/>
      <c r="N230" s="602"/>
      <c r="V230" s="674"/>
      <c r="W230" s="675"/>
      <c r="AA230" s="537" t="s">
        <v>319</v>
      </c>
      <c r="AC230" s="675"/>
      <c r="AE230" s="680"/>
      <c r="AF230" s="675"/>
      <c r="AG230" s="675"/>
      <c r="AI230" s="675"/>
    </row>
    <row r="231" spans="1:35" s="536" customFormat="1" ht="33.75" x14ac:dyDescent="0.2">
      <c r="A231" s="605"/>
      <c r="B231" s="552" t="s">
        <v>686</v>
      </c>
      <c r="C231" s="1822" t="s">
        <v>687</v>
      </c>
      <c r="D231" s="1822"/>
      <c r="E231" s="1822"/>
      <c r="F231" s="562" t="s">
        <v>322</v>
      </c>
      <c r="G231" s="562" t="s">
        <v>680</v>
      </c>
      <c r="H231" s="562"/>
      <c r="I231" s="562" t="s">
        <v>680</v>
      </c>
      <c r="J231" s="604"/>
      <c r="K231" s="562"/>
      <c r="L231" s="604">
        <v>12.98</v>
      </c>
      <c r="M231" s="603"/>
      <c r="N231" s="602"/>
      <c r="V231" s="674"/>
      <c r="W231" s="675"/>
      <c r="AA231" s="537" t="s">
        <v>687</v>
      </c>
      <c r="AC231" s="675"/>
      <c r="AE231" s="680"/>
      <c r="AF231" s="675"/>
      <c r="AG231" s="675"/>
      <c r="AI231" s="675"/>
    </row>
    <row r="232" spans="1:35" s="536" customFormat="1" ht="33.75" x14ac:dyDescent="0.2">
      <c r="A232" s="605"/>
      <c r="B232" s="552" t="s">
        <v>688</v>
      </c>
      <c r="C232" s="1822" t="s">
        <v>689</v>
      </c>
      <c r="D232" s="1822"/>
      <c r="E232" s="1822"/>
      <c r="F232" s="562" t="s">
        <v>322</v>
      </c>
      <c r="G232" s="562" t="s">
        <v>690</v>
      </c>
      <c r="H232" s="562"/>
      <c r="I232" s="562" t="s">
        <v>690</v>
      </c>
      <c r="J232" s="604"/>
      <c r="K232" s="562"/>
      <c r="L232" s="604">
        <v>7.38</v>
      </c>
      <c r="M232" s="603"/>
      <c r="N232" s="602"/>
      <c r="V232" s="674"/>
      <c r="W232" s="675"/>
      <c r="AA232" s="537" t="s">
        <v>689</v>
      </c>
      <c r="AC232" s="675"/>
      <c r="AE232" s="680"/>
      <c r="AF232" s="675"/>
      <c r="AG232" s="675"/>
      <c r="AI232" s="675"/>
    </row>
    <row r="233" spans="1:35" s="536" customFormat="1" ht="12" x14ac:dyDescent="0.2">
      <c r="A233" s="569"/>
      <c r="B233" s="671"/>
      <c r="C233" s="1823" t="s">
        <v>327</v>
      </c>
      <c r="D233" s="1823"/>
      <c r="E233" s="1823"/>
      <c r="F233" s="573"/>
      <c r="G233" s="573"/>
      <c r="H233" s="573"/>
      <c r="I233" s="573"/>
      <c r="J233" s="572"/>
      <c r="K233" s="573"/>
      <c r="L233" s="572">
        <v>63.32</v>
      </c>
      <c r="M233" s="601"/>
      <c r="N233" s="570"/>
      <c r="V233" s="674"/>
      <c r="W233" s="675"/>
      <c r="AC233" s="675" t="s">
        <v>327</v>
      </c>
      <c r="AE233" s="680"/>
      <c r="AF233" s="675"/>
      <c r="AG233" s="675"/>
      <c r="AI233" s="675"/>
    </row>
    <row r="234" spans="1:35" s="536" customFormat="1" ht="45" x14ac:dyDescent="0.2">
      <c r="A234" s="575" t="s">
        <v>759</v>
      </c>
      <c r="B234" s="670" t="s">
        <v>1277</v>
      </c>
      <c r="C234" s="1823" t="s">
        <v>1278</v>
      </c>
      <c r="D234" s="1823"/>
      <c r="E234" s="1823"/>
      <c r="F234" s="573" t="s">
        <v>865</v>
      </c>
      <c r="G234" s="573"/>
      <c r="H234" s="573"/>
      <c r="I234" s="573" t="s">
        <v>3923</v>
      </c>
      <c r="J234" s="572">
        <v>23.76</v>
      </c>
      <c r="K234" s="573"/>
      <c r="L234" s="572">
        <v>824.95</v>
      </c>
      <c r="M234" s="571"/>
      <c r="N234" s="570"/>
      <c r="V234" s="674"/>
      <c r="W234" s="675" t="s">
        <v>1278</v>
      </c>
      <c r="AC234" s="675"/>
      <c r="AE234" s="680"/>
      <c r="AF234" s="675"/>
      <c r="AG234" s="675"/>
      <c r="AI234" s="675"/>
    </row>
    <row r="235" spans="1:35" s="536" customFormat="1" ht="12" x14ac:dyDescent="0.2">
      <c r="A235" s="569"/>
      <c r="B235" s="671"/>
      <c r="C235" s="665" t="s">
        <v>717</v>
      </c>
      <c r="D235" s="666"/>
      <c r="E235" s="666"/>
      <c r="F235" s="563"/>
      <c r="G235" s="563"/>
      <c r="H235" s="563"/>
      <c r="I235" s="563"/>
      <c r="J235" s="566"/>
      <c r="K235" s="563"/>
      <c r="L235" s="566"/>
      <c r="M235" s="565"/>
      <c r="N235" s="564"/>
      <c r="V235" s="674"/>
      <c r="W235" s="675"/>
      <c r="AC235" s="675"/>
      <c r="AE235" s="680"/>
      <c r="AF235" s="675"/>
      <c r="AG235" s="675"/>
      <c r="AI235" s="675"/>
    </row>
    <row r="236" spans="1:35" s="536" customFormat="1" ht="22.5" x14ac:dyDescent="0.2">
      <c r="A236" s="575" t="s">
        <v>917</v>
      </c>
      <c r="B236" s="670" t="s">
        <v>1279</v>
      </c>
      <c r="C236" s="1823" t="s">
        <v>1280</v>
      </c>
      <c r="D236" s="1823"/>
      <c r="E236" s="1823"/>
      <c r="F236" s="573" t="s">
        <v>862</v>
      </c>
      <c r="G236" s="573"/>
      <c r="H236" s="573"/>
      <c r="I236" s="573" t="s">
        <v>3909</v>
      </c>
      <c r="J236" s="572"/>
      <c r="K236" s="573"/>
      <c r="L236" s="572"/>
      <c r="M236" s="571"/>
      <c r="N236" s="570"/>
      <c r="V236" s="674"/>
      <c r="W236" s="675" t="s">
        <v>1280</v>
      </c>
      <c r="AC236" s="675"/>
      <c r="AE236" s="680"/>
      <c r="AF236" s="675"/>
      <c r="AG236" s="675"/>
      <c r="AI236" s="675"/>
    </row>
    <row r="237" spans="1:35" s="536" customFormat="1" ht="12" x14ac:dyDescent="0.2">
      <c r="A237" s="676"/>
      <c r="B237" s="664"/>
      <c r="C237" s="1822" t="s">
        <v>3910</v>
      </c>
      <c r="D237" s="1822"/>
      <c r="E237" s="1822"/>
      <c r="F237" s="1822"/>
      <c r="G237" s="1822"/>
      <c r="H237" s="1822"/>
      <c r="I237" s="1822"/>
      <c r="J237" s="1822"/>
      <c r="K237" s="1822"/>
      <c r="L237" s="1822"/>
      <c r="M237" s="1822"/>
      <c r="N237" s="1827"/>
      <c r="V237" s="674"/>
      <c r="W237" s="675"/>
      <c r="X237" s="537" t="s">
        <v>3910</v>
      </c>
      <c r="AC237" s="675"/>
      <c r="AE237" s="680"/>
      <c r="AF237" s="675"/>
      <c r="AG237" s="675"/>
      <c r="AI237" s="675"/>
    </row>
    <row r="238" spans="1:35" s="536" customFormat="1" ht="33.75" x14ac:dyDescent="0.2">
      <c r="A238" s="609"/>
      <c r="B238" s="552" t="s">
        <v>310</v>
      </c>
      <c r="C238" s="1822" t="s">
        <v>311</v>
      </c>
      <c r="D238" s="1822"/>
      <c r="E238" s="1822"/>
      <c r="F238" s="1822"/>
      <c r="G238" s="1822"/>
      <c r="H238" s="1822"/>
      <c r="I238" s="1822"/>
      <c r="J238" s="1822"/>
      <c r="K238" s="1822"/>
      <c r="L238" s="1822"/>
      <c r="M238" s="1822"/>
      <c r="N238" s="1827"/>
      <c r="V238" s="674"/>
      <c r="W238" s="675"/>
      <c r="Y238" s="537" t="s">
        <v>311</v>
      </c>
      <c r="AC238" s="675"/>
      <c r="AE238" s="680"/>
      <c r="AF238" s="675"/>
      <c r="AG238" s="675"/>
      <c r="AI238" s="675"/>
    </row>
    <row r="239" spans="1:35" s="536" customFormat="1" ht="12" x14ac:dyDescent="0.2">
      <c r="A239" s="605"/>
      <c r="B239" s="552" t="s">
        <v>185</v>
      </c>
      <c r="C239" s="1822" t="s">
        <v>312</v>
      </c>
      <c r="D239" s="1822"/>
      <c r="E239" s="1822"/>
      <c r="F239" s="562"/>
      <c r="G239" s="562"/>
      <c r="H239" s="562"/>
      <c r="I239" s="562"/>
      <c r="J239" s="604">
        <v>1408.29</v>
      </c>
      <c r="K239" s="562" t="s">
        <v>313</v>
      </c>
      <c r="L239" s="604">
        <v>611.20000000000005</v>
      </c>
      <c r="M239" s="603"/>
      <c r="N239" s="602"/>
      <c r="V239" s="674"/>
      <c r="W239" s="675"/>
      <c r="Z239" s="537" t="s">
        <v>312</v>
      </c>
      <c r="AC239" s="675"/>
      <c r="AE239" s="680"/>
      <c r="AF239" s="675"/>
      <c r="AG239" s="675"/>
      <c r="AI239" s="675"/>
    </row>
    <row r="240" spans="1:35" s="536" customFormat="1" ht="12" x14ac:dyDescent="0.2">
      <c r="A240" s="605"/>
      <c r="B240" s="552" t="s">
        <v>186</v>
      </c>
      <c r="C240" s="1822" t="s">
        <v>344</v>
      </c>
      <c r="D240" s="1822"/>
      <c r="E240" s="1822"/>
      <c r="F240" s="562"/>
      <c r="G240" s="562"/>
      <c r="H240" s="562"/>
      <c r="I240" s="562"/>
      <c r="J240" s="604">
        <v>219.94</v>
      </c>
      <c r="K240" s="562" t="s">
        <v>313</v>
      </c>
      <c r="L240" s="604">
        <v>95.45</v>
      </c>
      <c r="M240" s="603"/>
      <c r="N240" s="602"/>
      <c r="V240" s="674"/>
      <c r="W240" s="675"/>
      <c r="Z240" s="537" t="s">
        <v>344</v>
      </c>
      <c r="AC240" s="675"/>
      <c r="AE240" s="680"/>
      <c r="AF240" s="675"/>
      <c r="AG240" s="675"/>
      <c r="AI240" s="675"/>
    </row>
    <row r="241" spans="1:35" s="536" customFormat="1" ht="12" x14ac:dyDescent="0.2">
      <c r="A241" s="605"/>
      <c r="B241" s="552" t="s">
        <v>187</v>
      </c>
      <c r="C241" s="1822" t="s">
        <v>345</v>
      </c>
      <c r="D241" s="1822"/>
      <c r="E241" s="1822"/>
      <c r="F241" s="562"/>
      <c r="G241" s="562"/>
      <c r="H241" s="562"/>
      <c r="I241" s="562"/>
      <c r="J241" s="604">
        <v>27.02</v>
      </c>
      <c r="K241" s="562" t="s">
        <v>313</v>
      </c>
      <c r="L241" s="604">
        <v>11.73</v>
      </c>
      <c r="M241" s="603"/>
      <c r="N241" s="602"/>
      <c r="V241" s="674"/>
      <c r="W241" s="675"/>
      <c r="Z241" s="537" t="s">
        <v>345</v>
      </c>
      <c r="AC241" s="675"/>
      <c r="AE241" s="680"/>
      <c r="AF241" s="675"/>
      <c r="AG241" s="675"/>
      <c r="AI241" s="675"/>
    </row>
    <row r="242" spans="1:35" s="536" customFormat="1" ht="12" x14ac:dyDescent="0.2">
      <c r="A242" s="605"/>
      <c r="B242" s="552" t="s">
        <v>188</v>
      </c>
      <c r="C242" s="1822" t="s">
        <v>475</v>
      </c>
      <c r="D242" s="1822"/>
      <c r="E242" s="1822"/>
      <c r="F242" s="562"/>
      <c r="G242" s="562"/>
      <c r="H242" s="562"/>
      <c r="I242" s="562"/>
      <c r="J242" s="604">
        <v>132.55000000000001</v>
      </c>
      <c r="K242" s="562"/>
      <c r="L242" s="604">
        <v>46.02</v>
      </c>
      <c r="M242" s="603"/>
      <c r="N242" s="602"/>
      <c r="V242" s="674"/>
      <c r="W242" s="675"/>
      <c r="Z242" s="537" t="s">
        <v>475</v>
      </c>
      <c r="AC242" s="675"/>
      <c r="AE242" s="680"/>
      <c r="AF242" s="675"/>
      <c r="AG242" s="675"/>
      <c r="AI242" s="675"/>
    </row>
    <row r="243" spans="1:35" s="536" customFormat="1" ht="22.5" x14ac:dyDescent="0.2">
      <c r="A243" s="676"/>
      <c r="B243" s="677" t="s">
        <v>1281</v>
      </c>
      <c r="C243" s="1829" t="s">
        <v>1282</v>
      </c>
      <c r="D243" s="1829"/>
      <c r="E243" s="1829"/>
      <c r="F243" s="678" t="s">
        <v>641</v>
      </c>
      <c r="G243" s="678" t="s">
        <v>1244</v>
      </c>
      <c r="H243" s="678"/>
      <c r="I243" s="678" t="s">
        <v>3911</v>
      </c>
      <c r="J243" s="552"/>
      <c r="K243" s="562"/>
      <c r="L243" s="604"/>
      <c r="M243" s="562"/>
      <c r="N243" s="679"/>
      <c r="V243" s="674"/>
      <c r="W243" s="675"/>
      <c r="AC243" s="675"/>
      <c r="AE243" s="680" t="s">
        <v>1282</v>
      </c>
      <c r="AF243" s="675"/>
      <c r="AG243" s="675"/>
      <c r="AI243" s="675"/>
    </row>
    <row r="244" spans="1:35" s="536" customFormat="1" ht="12" x14ac:dyDescent="0.2">
      <c r="A244" s="605"/>
      <c r="B244" s="552"/>
      <c r="C244" s="1822" t="s">
        <v>314</v>
      </c>
      <c r="D244" s="1822"/>
      <c r="E244" s="1822"/>
      <c r="F244" s="562" t="s">
        <v>315</v>
      </c>
      <c r="G244" s="562" t="s">
        <v>1283</v>
      </c>
      <c r="H244" s="562" t="s">
        <v>313</v>
      </c>
      <c r="I244" s="562" t="s">
        <v>3924</v>
      </c>
      <c r="J244" s="604"/>
      <c r="K244" s="562"/>
      <c r="L244" s="604"/>
      <c r="M244" s="603"/>
      <c r="N244" s="602"/>
      <c r="V244" s="674"/>
      <c r="W244" s="675"/>
      <c r="AA244" s="537" t="s">
        <v>314</v>
      </c>
      <c r="AC244" s="675"/>
      <c r="AE244" s="680"/>
      <c r="AF244" s="675"/>
      <c r="AG244" s="675"/>
      <c r="AI244" s="675"/>
    </row>
    <row r="245" spans="1:35" s="536" customFormat="1" ht="12" x14ac:dyDescent="0.2">
      <c r="A245" s="605"/>
      <c r="B245" s="552"/>
      <c r="C245" s="1822" t="s">
        <v>348</v>
      </c>
      <c r="D245" s="1822"/>
      <c r="E245" s="1822"/>
      <c r="F245" s="562" t="s">
        <v>315</v>
      </c>
      <c r="G245" s="562" t="s">
        <v>1285</v>
      </c>
      <c r="H245" s="562" t="s">
        <v>313</v>
      </c>
      <c r="I245" s="562" t="s">
        <v>3925</v>
      </c>
      <c r="J245" s="604"/>
      <c r="K245" s="562"/>
      <c r="L245" s="604"/>
      <c r="M245" s="603"/>
      <c r="N245" s="602"/>
      <c r="V245" s="674"/>
      <c r="W245" s="675"/>
      <c r="AA245" s="537" t="s">
        <v>348</v>
      </c>
      <c r="AC245" s="675"/>
      <c r="AE245" s="680"/>
      <c r="AF245" s="675"/>
      <c r="AG245" s="675"/>
      <c r="AI245" s="675"/>
    </row>
    <row r="246" spans="1:35" s="536" customFormat="1" ht="12" x14ac:dyDescent="0.2">
      <c r="A246" s="605"/>
      <c r="B246" s="552"/>
      <c r="C246" s="1828" t="s">
        <v>318</v>
      </c>
      <c r="D246" s="1828"/>
      <c r="E246" s="1828"/>
      <c r="F246" s="608"/>
      <c r="G246" s="608"/>
      <c r="H246" s="608"/>
      <c r="I246" s="608"/>
      <c r="J246" s="607">
        <v>1760.78</v>
      </c>
      <c r="K246" s="608"/>
      <c r="L246" s="607">
        <v>752.67</v>
      </c>
      <c r="M246" s="601"/>
      <c r="N246" s="606"/>
      <c r="V246" s="674"/>
      <c r="W246" s="675"/>
      <c r="AB246" s="537" t="s">
        <v>318</v>
      </c>
      <c r="AC246" s="675"/>
      <c r="AE246" s="680"/>
      <c r="AF246" s="675"/>
      <c r="AG246" s="675"/>
      <c r="AI246" s="675"/>
    </row>
    <row r="247" spans="1:35" s="536" customFormat="1" ht="12" x14ac:dyDescent="0.2">
      <c r="A247" s="605"/>
      <c r="B247" s="552"/>
      <c r="C247" s="1822" t="s">
        <v>319</v>
      </c>
      <c r="D247" s="1822"/>
      <c r="E247" s="1822"/>
      <c r="F247" s="562"/>
      <c r="G247" s="562"/>
      <c r="H247" s="562"/>
      <c r="I247" s="562"/>
      <c r="J247" s="604"/>
      <c r="K247" s="562"/>
      <c r="L247" s="604">
        <v>622.92999999999995</v>
      </c>
      <c r="M247" s="603"/>
      <c r="N247" s="602"/>
      <c r="V247" s="674"/>
      <c r="W247" s="675"/>
      <c r="AA247" s="537" t="s">
        <v>319</v>
      </c>
      <c r="AC247" s="675"/>
      <c r="AE247" s="680"/>
      <c r="AF247" s="675"/>
      <c r="AG247" s="675"/>
      <c r="AI247" s="675"/>
    </row>
    <row r="248" spans="1:35" s="536" customFormat="1" ht="33.75" x14ac:dyDescent="0.2">
      <c r="A248" s="605"/>
      <c r="B248" s="552" t="s">
        <v>1250</v>
      </c>
      <c r="C248" s="1822" t="s">
        <v>1251</v>
      </c>
      <c r="D248" s="1822"/>
      <c r="E248" s="1822"/>
      <c r="F248" s="562" t="s">
        <v>322</v>
      </c>
      <c r="G248" s="562" t="s">
        <v>1252</v>
      </c>
      <c r="H248" s="562"/>
      <c r="I248" s="562" t="s">
        <v>1252</v>
      </c>
      <c r="J248" s="604"/>
      <c r="K248" s="562"/>
      <c r="L248" s="604">
        <v>697.68</v>
      </c>
      <c r="M248" s="603"/>
      <c r="N248" s="602"/>
      <c r="V248" s="674"/>
      <c r="W248" s="675"/>
      <c r="AA248" s="537" t="s">
        <v>1251</v>
      </c>
      <c r="AC248" s="675"/>
      <c r="AE248" s="680"/>
      <c r="AF248" s="675"/>
      <c r="AG248" s="675"/>
      <c r="AI248" s="675"/>
    </row>
    <row r="249" spans="1:35" s="536" customFormat="1" ht="33.75" x14ac:dyDescent="0.2">
      <c r="A249" s="605"/>
      <c r="B249" s="552" t="s">
        <v>1253</v>
      </c>
      <c r="C249" s="1822" t="s">
        <v>1254</v>
      </c>
      <c r="D249" s="1822"/>
      <c r="E249" s="1822"/>
      <c r="F249" s="562" t="s">
        <v>322</v>
      </c>
      <c r="G249" s="562" t="s">
        <v>796</v>
      </c>
      <c r="H249" s="562"/>
      <c r="I249" s="562" t="s">
        <v>796</v>
      </c>
      <c r="J249" s="604"/>
      <c r="K249" s="562"/>
      <c r="L249" s="604">
        <v>404.9</v>
      </c>
      <c r="M249" s="603"/>
      <c r="N249" s="602"/>
      <c r="V249" s="674"/>
      <c r="W249" s="675"/>
      <c r="AA249" s="537" t="s">
        <v>1254</v>
      </c>
      <c r="AC249" s="675"/>
      <c r="AE249" s="680"/>
      <c r="AF249" s="675"/>
      <c r="AG249" s="675"/>
      <c r="AI249" s="675"/>
    </row>
    <row r="250" spans="1:35" s="536" customFormat="1" ht="12" x14ac:dyDescent="0.2">
      <c r="A250" s="569"/>
      <c r="B250" s="671"/>
      <c r="C250" s="1823" t="s">
        <v>327</v>
      </c>
      <c r="D250" s="1823"/>
      <c r="E250" s="1823"/>
      <c r="F250" s="573"/>
      <c r="G250" s="573"/>
      <c r="H250" s="573"/>
      <c r="I250" s="573"/>
      <c r="J250" s="572"/>
      <c r="K250" s="573"/>
      <c r="L250" s="572">
        <v>1855.25</v>
      </c>
      <c r="M250" s="601"/>
      <c r="N250" s="570"/>
      <c r="V250" s="674"/>
      <c r="W250" s="675"/>
      <c r="AC250" s="675" t="s">
        <v>327</v>
      </c>
      <c r="AE250" s="680"/>
      <c r="AF250" s="675"/>
      <c r="AG250" s="675"/>
      <c r="AI250" s="675"/>
    </row>
    <row r="251" spans="1:35" s="536" customFormat="1" ht="45" x14ac:dyDescent="0.2">
      <c r="A251" s="575" t="s">
        <v>761</v>
      </c>
      <c r="B251" s="670" t="s">
        <v>1287</v>
      </c>
      <c r="C251" s="1823" t="s">
        <v>1288</v>
      </c>
      <c r="D251" s="1823"/>
      <c r="E251" s="1823"/>
      <c r="F251" s="573" t="s">
        <v>862</v>
      </c>
      <c r="G251" s="573"/>
      <c r="H251" s="573"/>
      <c r="I251" s="573" t="s">
        <v>3909</v>
      </c>
      <c r="J251" s="572"/>
      <c r="K251" s="573"/>
      <c r="L251" s="572"/>
      <c r="M251" s="571"/>
      <c r="N251" s="570"/>
      <c r="V251" s="674"/>
      <c r="W251" s="675" t="s">
        <v>1288</v>
      </c>
      <c r="AC251" s="675"/>
      <c r="AE251" s="680"/>
      <c r="AF251" s="675"/>
      <c r="AG251" s="675"/>
      <c r="AI251" s="675"/>
    </row>
    <row r="252" spans="1:35" s="536" customFormat="1" ht="12" x14ac:dyDescent="0.2">
      <c r="A252" s="676"/>
      <c r="B252" s="664"/>
      <c r="C252" s="1822" t="s">
        <v>3910</v>
      </c>
      <c r="D252" s="1822"/>
      <c r="E252" s="1822"/>
      <c r="F252" s="1822"/>
      <c r="G252" s="1822"/>
      <c r="H252" s="1822"/>
      <c r="I252" s="1822"/>
      <c r="J252" s="1822"/>
      <c r="K252" s="1822"/>
      <c r="L252" s="1822"/>
      <c r="M252" s="1822"/>
      <c r="N252" s="1827"/>
      <c r="V252" s="674"/>
      <c r="W252" s="675"/>
      <c r="X252" s="537" t="s">
        <v>3910</v>
      </c>
      <c r="AC252" s="675"/>
      <c r="AE252" s="680"/>
      <c r="AF252" s="675"/>
      <c r="AG252" s="675"/>
      <c r="AI252" s="675"/>
    </row>
    <row r="253" spans="1:35" s="536" customFormat="1" ht="12" x14ac:dyDescent="0.2">
      <c r="A253" s="609"/>
      <c r="B253" s="552"/>
      <c r="C253" s="1822" t="s">
        <v>1289</v>
      </c>
      <c r="D253" s="1822"/>
      <c r="E253" s="1822"/>
      <c r="F253" s="1822"/>
      <c r="G253" s="1822"/>
      <c r="H253" s="1822"/>
      <c r="I253" s="1822"/>
      <c r="J253" s="1822"/>
      <c r="K253" s="1822"/>
      <c r="L253" s="1822"/>
      <c r="M253" s="1822"/>
      <c r="N253" s="1827"/>
      <c r="V253" s="674"/>
      <c r="W253" s="675"/>
      <c r="Y253" s="537" t="s">
        <v>1289</v>
      </c>
      <c r="AC253" s="675"/>
      <c r="AE253" s="680"/>
      <c r="AF253" s="675"/>
      <c r="AG253" s="675"/>
      <c r="AI253" s="675"/>
    </row>
    <row r="254" spans="1:35" s="536" customFormat="1" ht="33.75" x14ac:dyDescent="0.2">
      <c r="A254" s="609"/>
      <c r="B254" s="552" t="s">
        <v>310</v>
      </c>
      <c r="C254" s="1822" t="s">
        <v>311</v>
      </c>
      <c r="D254" s="1822"/>
      <c r="E254" s="1822"/>
      <c r="F254" s="1822"/>
      <c r="G254" s="1822"/>
      <c r="H254" s="1822"/>
      <c r="I254" s="1822"/>
      <c r="J254" s="1822"/>
      <c r="K254" s="1822"/>
      <c r="L254" s="1822"/>
      <c r="M254" s="1822"/>
      <c r="N254" s="1827"/>
      <c r="V254" s="674"/>
      <c r="W254" s="675"/>
      <c r="Y254" s="537" t="s">
        <v>311</v>
      </c>
      <c r="AC254" s="675"/>
      <c r="AE254" s="680"/>
      <c r="AF254" s="675"/>
      <c r="AG254" s="675"/>
      <c r="AI254" s="675"/>
    </row>
    <row r="255" spans="1:35" s="536" customFormat="1" ht="12" x14ac:dyDescent="0.2">
      <c r="A255" s="605"/>
      <c r="B255" s="552" t="s">
        <v>185</v>
      </c>
      <c r="C255" s="1822" t="s">
        <v>312</v>
      </c>
      <c r="D255" s="1822"/>
      <c r="E255" s="1822"/>
      <c r="F255" s="562"/>
      <c r="G255" s="562"/>
      <c r="H255" s="562"/>
      <c r="I255" s="562"/>
      <c r="J255" s="604">
        <v>137.24</v>
      </c>
      <c r="K255" s="562" t="s">
        <v>189</v>
      </c>
      <c r="L255" s="604">
        <v>238.25</v>
      </c>
      <c r="M255" s="603"/>
      <c r="N255" s="602"/>
      <c r="V255" s="674"/>
      <c r="W255" s="675"/>
      <c r="Z255" s="537" t="s">
        <v>312</v>
      </c>
      <c r="AC255" s="675"/>
      <c r="AE255" s="680"/>
      <c r="AF255" s="675"/>
      <c r="AG255" s="675"/>
      <c r="AI255" s="675"/>
    </row>
    <row r="256" spans="1:35" s="536" customFormat="1" ht="12" x14ac:dyDescent="0.2">
      <c r="A256" s="605"/>
      <c r="B256" s="552" t="s">
        <v>186</v>
      </c>
      <c r="C256" s="1822" t="s">
        <v>344</v>
      </c>
      <c r="D256" s="1822"/>
      <c r="E256" s="1822"/>
      <c r="F256" s="562"/>
      <c r="G256" s="562"/>
      <c r="H256" s="562"/>
      <c r="I256" s="562"/>
      <c r="J256" s="604">
        <v>5.77</v>
      </c>
      <c r="K256" s="562" t="s">
        <v>189</v>
      </c>
      <c r="L256" s="604">
        <v>10.02</v>
      </c>
      <c r="M256" s="603"/>
      <c r="N256" s="602"/>
      <c r="V256" s="674"/>
      <c r="W256" s="675"/>
      <c r="Z256" s="537" t="s">
        <v>344</v>
      </c>
      <c r="AC256" s="675"/>
      <c r="AE256" s="680"/>
      <c r="AF256" s="675"/>
      <c r="AG256" s="675"/>
      <c r="AI256" s="675"/>
    </row>
    <row r="257" spans="1:35" s="536" customFormat="1" ht="12" x14ac:dyDescent="0.2">
      <c r="A257" s="605"/>
      <c r="B257" s="552" t="s">
        <v>187</v>
      </c>
      <c r="C257" s="1822" t="s">
        <v>345</v>
      </c>
      <c r="D257" s="1822"/>
      <c r="E257" s="1822"/>
      <c r="F257" s="562"/>
      <c r="G257" s="562"/>
      <c r="H257" s="562"/>
      <c r="I257" s="562"/>
      <c r="J257" s="604">
        <v>0.68</v>
      </c>
      <c r="K257" s="562" t="s">
        <v>189</v>
      </c>
      <c r="L257" s="604">
        <v>1.18</v>
      </c>
      <c r="M257" s="603"/>
      <c r="N257" s="602"/>
      <c r="V257" s="674"/>
      <c r="W257" s="675"/>
      <c r="Z257" s="537" t="s">
        <v>345</v>
      </c>
      <c r="AC257" s="675"/>
      <c r="AE257" s="680"/>
      <c r="AF257" s="675"/>
      <c r="AG257" s="675"/>
      <c r="AI257" s="675"/>
    </row>
    <row r="258" spans="1:35" s="536" customFormat="1" ht="22.5" x14ac:dyDescent="0.2">
      <c r="A258" s="676"/>
      <c r="B258" s="677" t="s">
        <v>1281</v>
      </c>
      <c r="C258" s="1829" t="s">
        <v>1282</v>
      </c>
      <c r="D258" s="1829"/>
      <c r="E258" s="1829"/>
      <c r="F258" s="678" t="s">
        <v>641</v>
      </c>
      <c r="G258" s="678" t="s">
        <v>439</v>
      </c>
      <c r="H258" s="678" t="s">
        <v>188</v>
      </c>
      <c r="I258" s="678" t="s">
        <v>3911</v>
      </c>
      <c r="J258" s="552"/>
      <c r="K258" s="562"/>
      <c r="L258" s="604"/>
      <c r="M258" s="562"/>
      <c r="N258" s="679"/>
      <c r="V258" s="674"/>
      <c r="W258" s="675"/>
      <c r="AC258" s="675"/>
      <c r="AE258" s="680" t="s">
        <v>1282</v>
      </c>
      <c r="AF258" s="675"/>
      <c r="AG258" s="675"/>
      <c r="AI258" s="675"/>
    </row>
    <row r="259" spans="1:35" s="536" customFormat="1" ht="12" x14ac:dyDescent="0.2">
      <c r="A259" s="605"/>
      <c r="B259" s="552"/>
      <c r="C259" s="1822" t="s">
        <v>314</v>
      </c>
      <c r="D259" s="1822"/>
      <c r="E259" s="1822"/>
      <c r="F259" s="562" t="s">
        <v>315</v>
      </c>
      <c r="G259" s="562" t="s">
        <v>1290</v>
      </c>
      <c r="H259" s="562" t="s">
        <v>189</v>
      </c>
      <c r="I259" s="562" t="s">
        <v>3926</v>
      </c>
      <c r="J259" s="604"/>
      <c r="K259" s="562"/>
      <c r="L259" s="604"/>
      <c r="M259" s="603"/>
      <c r="N259" s="602"/>
      <c r="V259" s="674"/>
      <c r="W259" s="675"/>
      <c r="AA259" s="537" t="s">
        <v>314</v>
      </c>
      <c r="AC259" s="675"/>
      <c r="AE259" s="680"/>
      <c r="AF259" s="675"/>
      <c r="AG259" s="675"/>
      <c r="AI259" s="675"/>
    </row>
    <row r="260" spans="1:35" s="536" customFormat="1" ht="12" x14ac:dyDescent="0.2">
      <c r="A260" s="605"/>
      <c r="B260" s="552"/>
      <c r="C260" s="1822" t="s">
        <v>348</v>
      </c>
      <c r="D260" s="1822"/>
      <c r="E260" s="1822"/>
      <c r="F260" s="562" t="s">
        <v>315</v>
      </c>
      <c r="G260" s="562" t="s">
        <v>856</v>
      </c>
      <c r="H260" s="562" t="s">
        <v>189</v>
      </c>
      <c r="I260" s="562" t="s">
        <v>3927</v>
      </c>
      <c r="J260" s="604"/>
      <c r="K260" s="562"/>
      <c r="L260" s="604"/>
      <c r="M260" s="603"/>
      <c r="N260" s="602"/>
      <c r="V260" s="674"/>
      <c r="W260" s="675"/>
      <c r="AA260" s="537" t="s">
        <v>348</v>
      </c>
      <c r="AC260" s="675"/>
      <c r="AE260" s="680"/>
      <c r="AF260" s="675"/>
      <c r="AG260" s="675"/>
      <c r="AI260" s="675"/>
    </row>
    <row r="261" spans="1:35" s="536" customFormat="1" ht="12" x14ac:dyDescent="0.2">
      <c r="A261" s="605"/>
      <c r="B261" s="552"/>
      <c r="C261" s="1828" t="s">
        <v>318</v>
      </c>
      <c r="D261" s="1828"/>
      <c r="E261" s="1828"/>
      <c r="F261" s="608"/>
      <c r="G261" s="608"/>
      <c r="H261" s="608"/>
      <c r="I261" s="608"/>
      <c r="J261" s="607">
        <v>143.01</v>
      </c>
      <c r="K261" s="608"/>
      <c r="L261" s="607">
        <v>248.27</v>
      </c>
      <c r="M261" s="601"/>
      <c r="N261" s="606"/>
      <c r="V261" s="674"/>
      <c r="W261" s="675"/>
      <c r="AB261" s="537" t="s">
        <v>318</v>
      </c>
      <c r="AC261" s="675"/>
      <c r="AE261" s="680"/>
      <c r="AF261" s="675"/>
      <c r="AG261" s="675"/>
      <c r="AI261" s="675"/>
    </row>
    <row r="262" spans="1:35" s="536" customFormat="1" ht="12" x14ac:dyDescent="0.2">
      <c r="A262" s="605"/>
      <c r="B262" s="552"/>
      <c r="C262" s="1822" t="s">
        <v>319</v>
      </c>
      <c r="D262" s="1822"/>
      <c r="E262" s="1822"/>
      <c r="F262" s="562"/>
      <c r="G262" s="562"/>
      <c r="H262" s="562"/>
      <c r="I262" s="562"/>
      <c r="J262" s="604"/>
      <c r="K262" s="562"/>
      <c r="L262" s="604">
        <v>239.43</v>
      </c>
      <c r="M262" s="603"/>
      <c r="N262" s="602"/>
      <c r="V262" s="674"/>
      <c r="W262" s="675"/>
      <c r="AA262" s="537" t="s">
        <v>319</v>
      </c>
      <c r="AC262" s="675"/>
      <c r="AE262" s="680"/>
      <c r="AF262" s="675"/>
      <c r="AG262" s="675"/>
      <c r="AI262" s="675"/>
    </row>
    <row r="263" spans="1:35" s="536" customFormat="1" ht="33.75" x14ac:dyDescent="0.2">
      <c r="A263" s="605"/>
      <c r="B263" s="552" t="s">
        <v>1250</v>
      </c>
      <c r="C263" s="1822" t="s">
        <v>1251</v>
      </c>
      <c r="D263" s="1822"/>
      <c r="E263" s="1822"/>
      <c r="F263" s="562" t="s">
        <v>322</v>
      </c>
      <c r="G263" s="562" t="s">
        <v>1252</v>
      </c>
      <c r="H263" s="562"/>
      <c r="I263" s="562" t="s">
        <v>1252</v>
      </c>
      <c r="J263" s="604"/>
      <c r="K263" s="562"/>
      <c r="L263" s="604">
        <v>268.16000000000003</v>
      </c>
      <c r="M263" s="603"/>
      <c r="N263" s="602"/>
      <c r="V263" s="674"/>
      <c r="W263" s="675"/>
      <c r="AA263" s="537" t="s">
        <v>1251</v>
      </c>
      <c r="AC263" s="675"/>
      <c r="AE263" s="680"/>
      <c r="AF263" s="675"/>
      <c r="AG263" s="675"/>
      <c r="AI263" s="675"/>
    </row>
    <row r="264" spans="1:35" s="536" customFormat="1" ht="33.75" x14ac:dyDescent="0.2">
      <c r="A264" s="605"/>
      <c r="B264" s="552" t="s">
        <v>1253</v>
      </c>
      <c r="C264" s="1822" t="s">
        <v>1254</v>
      </c>
      <c r="D264" s="1822"/>
      <c r="E264" s="1822"/>
      <c r="F264" s="562" t="s">
        <v>322</v>
      </c>
      <c r="G264" s="562" t="s">
        <v>796</v>
      </c>
      <c r="H264" s="562"/>
      <c r="I264" s="562" t="s">
        <v>796</v>
      </c>
      <c r="J264" s="604"/>
      <c r="K264" s="562"/>
      <c r="L264" s="604">
        <v>155.63</v>
      </c>
      <c r="M264" s="603"/>
      <c r="N264" s="602"/>
      <c r="V264" s="674"/>
      <c r="W264" s="675"/>
      <c r="AA264" s="537" t="s">
        <v>1254</v>
      </c>
      <c r="AC264" s="675"/>
      <c r="AE264" s="680"/>
      <c r="AF264" s="675"/>
      <c r="AG264" s="675"/>
      <c r="AI264" s="675"/>
    </row>
    <row r="265" spans="1:35" s="536" customFormat="1" ht="12" x14ac:dyDescent="0.2">
      <c r="A265" s="569"/>
      <c r="B265" s="671"/>
      <c r="C265" s="1823" t="s">
        <v>327</v>
      </c>
      <c r="D265" s="1823"/>
      <c r="E265" s="1823"/>
      <c r="F265" s="573"/>
      <c r="G265" s="573"/>
      <c r="H265" s="573"/>
      <c r="I265" s="573"/>
      <c r="J265" s="572"/>
      <c r="K265" s="573"/>
      <c r="L265" s="572">
        <v>672.06</v>
      </c>
      <c r="M265" s="601"/>
      <c r="N265" s="570"/>
      <c r="V265" s="674"/>
      <c r="W265" s="675"/>
      <c r="AC265" s="675" t="s">
        <v>327</v>
      </c>
      <c r="AE265" s="680"/>
      <c r="AF265" s="675"/>
      <c r="AG265" s="675"/>
      <c r="AI265" s="675"/>
    </row>
    <row r="266" spans="1:35" s="536" customFormat="1" ht="33.75" x14ac:dyDescent="0.2">
      <c r="A266" s="575" t="s">
        <v>762</v>
      </c>
      <c r="B266" s="670" t="s">
        <v>1293</v>
      </c>
      <c r="C266" s="1823" t="s">
        <v>2020</v>
      </c>
      <c r="D266" s="1823"/>
      <c r="E266" s="1823"/>
      <c r="F266" s="573" t="s">
        <v>641</v>
      </c>
      <c r="G266" s="573"/>
      <c r="H266" s="573"/>
      <c r="I266" s="573" t="s">
        <v>3928</v>
      </c>
      <c r="J266" s="572">
        <v>25323.38</v>
      </c>
      <c r="K266" s="573" t="s">
        <v>716</v>
      </c>
      <c r="L266" s="572">
        <v>4311.54</v>
      </c>
      <c r="M266" s="571">
        <v>8.32</v>
      </c>
      <c r="N266" s="570">
        <v>35872</v>
      </c>
      <c r="V266" s="674"/>
      <c r="W266" s="675" t="s">
        <v>2020</v>
      </c>
      <c r="AC266" s="675"/>
      <c r="AE266" s="680"/>
      <c r="AF266" s="675"/>
      <c r="AG266" s="675"/>
      <c r="AI266" s="675"/>
    </row>
    <row r="267" spans="1:35" s="536" customFormat="1" ht="12" x14ac:dyDescent="0.2">
      <c r="A267" s="569"/>
      <c r="B267" s="671"/>
      <c r="C267" s="665" t="s">
        <v>1173</v>
      </c>
      <c r="D267" s="666"/>
      <c r="E267" s="666"/>
      <c r="F267" s="563"/>
      <c r="G267" s="563"/>
      <c r="H267" s="563"/>
      <c r="I267" s="563"/>
      <c r="J267" s="566"/>
      <c r="K267" s="563"/>
      <c r="L267" s="566"/>
      <c r="M267" s="565"/>
      <c r="N267" s="564"/>
      <c r="V267" s="674"/>
      <c r="W267" s="675"/>
      <c r="AC267" s="675"/>
      <c r="AE267" s="680"/>
      <c r="AF267" s="675"/>
      <c r="AG267" s="675"/>
      <c r="AI267" s="675"/>
    </row>
    <row r="268" spans="1:35" s="536" customFormat="1" ht="12" x14ac:dyDescent="0.2">
      <c r="A268" s="676"/>
      <c r="B268" s="664"/>
      <c r="C268" s="1822" t="s">
        <v>3929</v>
      </c>
      <c r="D268" s="1822"/>
      <c r="E268" s="1822"/>
      <c r="F268" s="1822"/>
      <c r="G268" s="1822"/>
      <c r="H268" s="1822"/>
      <c r="I268" s="1822"/>
      <c r="J268" s="1822"/>
      <c r="K268" s="1822"/>
      <c r="L268" s="1822"/>
      <c r="M268" s="1822"/>
      <c r="N268" s="1827"/>
      <c r="V268" s="674"/>
      <c r="W268" s="675"/>
      <c r="X268" s="537" t="s">
        <v>3929</v>
      </c>
      <c r="AC268" s="675"/>
      <c r="AE268" s="680"/>
      <c r="AF268" s="675"/>
      <c r="AG268" s="675"/>
      <c r="AI268" s="675"/>
    </row>
    <row r="269" spans="1:35" s="536" customFormat="1" ht="22.5" x14ac:dyDescent="0.2">
      <c r="A269" s="609"/>
      <c r="B269" s="552" t="s">
        <v>718</v>
      </c>
      <c r="C269" s="1822" t="s">
        <v>719</v>
      </c>
      <c r="D269" s="1822"/>
      <c r="E269" s="1822"/>
      <c r="F269" s="1822"/>
      <c r="G269" s="1822"/>
      <c r="H269" s="1822"/>
      <c r="I269" s="1822"/>
      <c r="J269" s="1822"/>
      <c r="K269" s="1822"/>
      <c r="L269" s="1822"/>
      <c r="M269" s="1822"/>
      <c r="N269" s="1827"/>
      <c r="V269" s="674"/>
      <c r="W269" s="675"/>
      <c r="Y269" s="537" t="s">
        <v>719</v>
      </c>
      <c r="AC269" s="675"/>
      <c r="AE269" s="680"/>
      <c r="AF269" s="675"/>
      <c r="AG269" s="675"/>
      <c r="AI269" s="675"/>
    </row>
    <row r="270" spans="1:35" s="536" customFormat="1" ht="1.5" customHeight="1" x14ac:dyDescent="0.2">
      <c r="A270" s="563"/>
      <c r="B270" s="671"/>
      <c r="C270" s="671"/>
      <c r="D270" s="671"/>
      <c r="E270" s="671"/>
      <c r="F270" s="563"/>
      <c r="G270" s="563"/>
      <c r="H270" s="563"/>
      <c r="I270" s="563"/>
      <c r="J270" s="546"/>
      <c r="K270" s="563"/>
      <c r="L270" s="546"/>
      <c r="M270" s="562"/>
      <c r="N270" s="546"/>
      <c r="V270" s="674"/>
      <c r="W270" s="675"/>
      <c r="AC270" s="675"/>
      <c r="AE270" s="680"/>
      <c r="AF270" s="675"/>
      <c r="AG270" s="675"/>
      <c r="AI270" s="675"/>
    </row>
    <row r="271" spans="1:35" s="536" customFormat="1" ht="12" x14ac:dyDescent="0.2">
      <c r="A271" s="557"/>
      <c r="B271" s="556"/>
      <c r="C271" s="1823" t="s">
        <v>3253</v>
      </c>
      <c r="D271" s="1823"/>
      <c r="E271" s="1823"/>
      <c r="F271" s="1823"/>
      <c r="G271" s="1823"/>
      <c r="H271" s="1823"/>
      <c r="I271" s="1823"/>
      <c r="J271" s="1823"/>
      <c r="K271" s="1823"/>
      <c r="L271" s="555"/>
      <c r="M271" s="554"/>
      <c r="N271" s="553"/>
      <c r="V271" s="674"/>
      <c r="W271" s="675"/>
      <c r="AC271" s="675"/>
      <c r="AE271" s="680"/>
      <c r="AF271" s="675"/>
      <c r="AG271" s="675" t="s">
        <v>3253</v>
      </c>
      <c r="AI271" s="675"/>
    </row>
    <row r="272" spans="1:35" s="536" customFormat="1" ht="12" x14ac:dyDescent="0.2">
      <c r="A272" s="548"/>
      <c r="B272" s="552"/>
      <c r="C272" s="1822" t="s">
        <v>403</v>
      </c>
      <c r="D272" s="1822"/>
      <c r="E272" s="1822"/>
      <c r="F272" s="1822"/>
      <c r="G272" s="1822"/>
      <c r="H272" s="1822"/>
      <c r="I272" s="1822"/>
      <c r="J272" s="1822"/>
      <c r="K272" s="1822"/>
      <c r="L272" s="551">
        <v>7638.09</v>
      </c>
      <c r="M272" s="550"/>
      <c r="N272" s="549"/>
      <c r="V272" s="674"/>
      <c r="W272" s="675"/>
      <c r="AC272" s="675"/>
      <c r="AE272" s="680"/>
      <c r="AF272" s="675"/>
      <c r="AG272" s="675"/>
      <c r="AH272" s="537" t="s">
        <v>403</v>
      </c>
      <c r="AI272" s="675"/>
    </row>
    <row r="273" spans="1:35" s="536" customFormat="1" ht="12" x14ac:dyDescent="0.2">
      <c r="A273" s="548"/>
      <c r="B273" s="552"/>
      <c r="C273" s="1822" t="s">
        <v>204</v>
      </c>
      <c r="D273" s="1822"/>
      <c r="E273" s="1822"/>
      <c r="F273" s="1822"/>
      <c r="G273" s="1822"/>
      <c r="H273" s="1822"/>
      <c r="I273" s="1822"/>
      <c r="J273" s="1822"/>
      <c r="K273" s="1822"/>
      <c r="L273" s="551"/>
      <c r="M273" s="550"/>
      <c r="N273" s="549"/>
      <c r="V273" s="674"/>
      <c r="W273" s="675"/>
      <c r="AC273" s="675"/>
      <c r="AE273" s="680"/>
      <c r="AF273" s="675"/>
      <c r="AG273" s="675"/>
      <c r="AH273" s="537" t="s">
        <v>204</v>
      </c>
      <c r="AI273" s="675"/>
    </row>
    <row r="274" spans="1:35" s="536" customFormat="1" ht="12" x14ac:dyDescent="0.2">
      <c r="A274" s="548"/>
      <c r="B274" s="552"/>
      <c r="C274" s="1822" t="s">
        <v>404</v>
      </c>
      <c r="D274" s="1822"/>
      <c r="E274" s="1822"/>
      <c r="F274" s="1822"/>
      <c r="G274" s="1822"/>
      <c r="H274" s="1822"/>
      <c r="I274" s="1822"/>
      <c r="J274" s="1822"/>
      <c r="K274" s="1822"/>
      <c r="L274" s="551">
        <v>996.45</v>
      </c>
      <c r="M274" s="550"/>
      <c r="N274" s="549"/>
      <c r="V274" s="674"/>
      <c r="W274" s="675"/>
      <c r="AC274" s="675"/>
      <c r="AE274" s="680"/>
      <c r="AF274" s="675"/>
      <c r="AG274" s="675"/>
      <c r="AH274" s="537" t="s">
        <v>404</v>
      </c>
      <c r="AI274" s="675"/>
    </row>
    <row r="275" spans="1:35" s="536" customFormat="1" ht="12" x14ac:dyDescent="0.2">
      <c r="A275" s="548"/>
      <c r="B275" s="552"/>
      <c r="C275" s="1822" t="s">
        <v>405</v>
      </c>
      <c r="D275" s="1822"/>
      <c r="E275" s="1822"/>
      <c r="F275" s="1822"/>
      <c r="G275" s="1822"/>
      <c r="H275" s="1822"/>
      <c r="I275" s="1822"/>
      <c r="J275" s="1822"/>
      <c r="K275" s="1822"/>
      <c r="L275" s="551">
        <v>154.27000000000001</v>
      </c>
      <c r="M275" s="550"/>
      <c r="N275" s="549"/>
      <c r="V275" s="674"/>
      <c r="W275" s="675"/>
      <c r="AC275" s="675"/>
      <c r="AE275" s="680"/>
      <c r="AF275" s="675"/>
      <c r="AG275" s="675"/>
      <c r="AH275" s="537" t="s">
        <v>405</v>
      </c>
      <c r="AI275" s="675"/>
    </row>
    <row r="276" spans="1:35" s="536" customFormat="1" ht="12" x14ac:dyDescent="0.2">
      <c r="A276" s="548"/>
      <c r="B276" s="552"/>
      <c r="C276" s="1822" t="s">
        <v>406</v>
      </c>
      <c r="D276" s="1822"/>
      <c r="E276" s="1822"/>
      <c r="F276" s="1822"/>
      <c r="G276" s="1822"/>
      <c r="H276" s="1822"/>
      <c r="I276" s="1822"/>
      <c r="J276" s="1822"/>
      <c r="K276" s="1822"/>
      <c r="L276" s="551">
        <v>30.73</v>
      </c>
      <c r="M276" s="550"/>
      <c r="N276" s="549"/>
      <c r="V276" s="674"/>
      <c r="W276" s="675"/>
      <c r="AC276" s="675"/>
      <c r="AE276" s="680"/>
      <c r="AF276" s="675"/>
      <c r="AG276" s="675"/>
      <c r="AH276" s="537" t="s">
        <v>406</v>
      </c>
      <c r="AI276" s="675"/>
    </row>
    <row r="277" spans="1:35" s="536" customFormat="1" ht="12" x14ac:dyDescent="0.2">
      <c r="A277" s="548"/>
      <c r="B277" s="552"/>
      <c r="C277" s="1822" t="s">
        <v>480</v>
      </c>
      <c r="D277" s="1822"/>
      <c r="E277" s="1822"/>
      <c r="F277" s="1822"/>
      <c r="G277" s="1822"/>
      <c r="H277" s="1822"/>
      <c r="I277" s="1822"/>
      <c r="J277" s="1822"/>
      <c r="K277" s="1822"/>
      <c r="L277" s="551">
        <v>6487.37</v>
      </c>
      <c r="M277" s="550"/>
      <c r="N277" s="549"/>
      <c r="V277" s="674"/>
      <c r="W277" s="675"/>
      <c r="AC277" s="675"/>
      <c r="AE277" s="680"/>
      <c r="AF277" s="675"/>
      <c r="AG277" s="675"/>
      <c r="AH277" s="537" t="s">
        <v>480</v>
      </c>
      <c r="AI277" s="675"/>
    </row>
    <row r="278" spans="1:35" s="536" customFormat="1" ht="12" x14ac:dyDescent="0.2">
      <c r="A278" s="548"/>
      <c r="B278" s="552"/>
      <c r="C278" s="1822" t="s">
        <v>407</v>
      </c>
      <c r="D278" s="1822"/>
      <c r="E278" s="1822"/>
      <c r="F278" s="1822"/>
      <c r="G278" s="1822"/>
      <c r="H278" s="1822"/>
      <c r="I278" s="1822"/>
      <c r="J278" s="1822"/>
      <c r="K278" s="1822"/>
      <c r="L278" s="551">
        <v>9454.02</v>
      </c>
      <c r="M278" s="550"/>
      <c r="N278" s="549"/>
      <c r="V278" s="674"/>
      <c r="W278" s="675"/>
      <c r="AC278" s="675"/>
      <c r="AE278" s="680"/>
      <c r="AF278" s="675"/>
      <c r="AG278" s="675"/>
      <c r="AH278" s="537" t="s">
        <v>407</v>
      </c>
      <c r="AI278" s="675"/>
    </row>
    <row r="279" spans="1:35" s="536" customFormat="1" ht="12" x14ac:dyDescent="0.2">
      <c r="A279" s="548"/>
      <c r="B279" s="552"/>
      <c r="C279" s="1822" t="s">
        <v>204</v>
      </c>
      <c r="D279" s="1822"/>
      <c r="E279" s="1822"/>
      <c r="F279" s="1822"/>
      <c r="G279" s="1822"/>
      <c r="H279" s="1822"/>
      <c r="I279" s="1822"/>
      <c r="J279" s="1822"/>
      <c r="K279" s="1822"/>
      <c r="L279" s="551"/>
      <c r="M279" s="550"/>
      <c r="N279" s="549"/>
      <c r="V279" s="674"/>
      <c r="W279" s="675"/>
      <c r="AC279" s="675"/>
      <c r="AE279" s="680"/>
      <c r="AF279" s="675"/>
      <c r="AG279" s="675"/>
      <c r="AH279" s="537" t="s">
        <v>204</v>
      </c>
      <c r="AI279" s="675"/>
    </row>
    <row r="280" spans="1:35" s="536" customFormat="1" ht="12" x14ac:dyDescent="0.2">
      <c r="A280" s="548"/>
      <c r="B280" s="552"/>
      <c r="C280" s="1822" t="s">
        <v>546</v>
      </c>
      <c r="D280" s="1822"/>
      <c r="E280" s="1822"/>
      <c r="F280" s="1822"/>
      <c r="G280" s="1822"/>
      <c r="H280" s="1822"/>
      <c r="I280" s="1822"/>
      <c r="J280" s="1822"/>
      <c r="K280" s="1822"/>
      <c r="L280" s="551">
        <v>996.45</v>
      </c>
      <c r="M280" s="550"/>
      <c r="N280" s="549"/>
      <c r="V280" s="674"/>
      <c r="W280" s="675"/>
      <c r="AC280" s="675"/>
      <c r="AE280" s="680"/>
      <c r="AF280" s="675"/>
      <c r="AG280" s="675"/>
      <c r="AH280" s="537" t="s">
        <v>546</v>
      </c>
      <c r="AI280" s="675"/>
    </row>
    <row r="281" spans="1:35" s="536" customFormat="1" ht="12" x14ac:dyDescent="0.2">
      <c r="A281" s="548"/>
      <c r="B281" s="552"/>
      <c r="C281" s="1822" t="s">
        <v>442</v>
      </c>
      <c r="D281" s="1822"/>
      <c r="E281" s="1822"/>
      <c r="F281" s="1822"/>
      <c r="G281" s="1822"/>
      <c r="H281" s="1822"/>
      <c r="I281" s="1822"/>
      <c r="J281" s="1822"/>
      <c r="K281" s="1822"/>
      <c r="L281" s="551">
        <v>154.27000000000001</v>
      </c>
      <c r="M281" s="550"/>
      <c r="N281" s="549"/>
      <c r="V281" s="674"/>
      <c r="W281" s="675"/>
      <c r="AC281" s="675"/>
      <c r="AE281" s="680"/>
      <c r="AF281" s="675"/>
      <c r="AG281" s="675"/>
      <c r="AH281" s="537" t="s">
        <v>442</v>
      </c>
      <c r="AI281" s="675"/>
    </row>
    <row r="282" spans="1:35" s="536" customFormat="1" ht="12" x14ac:dyDescent="0.2">
      <c r="A282" s="548"/>
      <c r="B282" s="552"/>
      <c r="C282" s="1822" t="s">
        <v>547</v>
      </c>
      <c r="D282" s="1822"/>
      <c r="E282" s="1822"/>
      <c r="F282" s="1822"/>
      <c r="G282" s="1822"/>
      <c r="H282" s="1822"/>
      <c r="I282" s="1822"/>
      <c r="J282" s="1822"/>
      <c r="K282" s="1822"/>
      <c r="L282" s="551">
        <v>6487.37</v>
      </c>
      <c r="M282" s="550"/>
      <c r="N282" s="549"/>
      <c r="V282" s="674"/>
      <c r="W282" s="675"/>
      <c r="AC282" s="675"/>
      <c r="AE282" s="680"/>
      <c r="AF282" s="675"/>
      <c r="AG282" s="675"/>
      <c r="AH282" s="537" t="s">
        <v>547</v>
      </c>
      <c r="AI282" s="675"/>
    </row>
    <row r="283" spans="1:35" s="536" customFormat="1" ht="12" x14ac:dyDescent="0.2">
      <c r="A283" s="548"/>
      <c r="B283" s="552"/>
      <c r="C283" s="1822" t="s">
        <v>443</v>
      </c>
      <c r="D283" s="1822"/>
      <c r="E283" s="1822"/>
      <c r="F283" s="1822"/>
      <c r="G283" s="1822"/>
      <c r="H283" s="1822"/>
      <c r="I283" s="1822"/>
      <c r="J283" s="1822"/>
      <c r="K283" s="1822"/>
      <c r="L283" s="551">
        <v>1149.1600000000001</v>
      </c>
      <c r="M283" s="550"/>
      <c r="N283" s="549"/>
      <c r="V283" s="674"/>
      <c r="W283" s="675"/>
      <c r="AC283" s="675"/>
      <c r="AE283" s="680"/>
      <c r="AF283" s="675"/>
      <c r="AG283" s="675"/>
      <c r="AH283" s="537" t="s">
        <v>443</v>
      </c>
      <c r="AI283" s="675"/>
    </row>
    <row r="284" spans="1:35" s="536" customFormat="1" ht="12" x14ac:dyDescent="0.2">
      <c r="A284" s="548"/>
      <c r="B284" s="552"/>
      <c r="C284" s="1822" t="s">
        <v>444</v>
      </c>
      <c r="D284" s="1822"/>
      <c r="E284" s="1822"/>
      <c r="F284" s="1822"/>
      <c r="G284" s="1822"/>
      <c r="H284" s="1822"/>
      <c r="I284" s="1822"/>
      <c r="J284" s="1822"/>
      <c r="K284" s="1822"/>
      <c r="L284" s="551">
        <v>666.77</v>
      </c>
      <c r="M284" s="550"/>
      <c r="N284" s="549"/>
      <c r="V284" s="674"/>
      <c r="W284" s="675"/>
      <c r="AC284" s="675"/>
      <c r="AE284" s="680"/>
      <c r="AF284" s="675"/>
      <c r="AG284" s="675"/>
      <c r="AH284" s="537" t="s">
        <v>444</v>
      </c>
      <c r="AI284" s="675"/>
    </row>
    <row r="285" spans="1:35" s="536" customFormat="1" ht="12" x14ac:dyDescent="0.2">
      <c r="A285" s="548"/>
      <c r="B285" s="552"/>
      <c r="C285" s="1822" t="s">
        <v>415</v>
      </c>
      <c r="D285" s="1822"/>
      <c r="E285" s="1822"/>
      <c r="F285" s="1822"/>
      <c r="G285" s="1822"/>
      <c r="H285" s="1822"/>
      <c r="I285" s="1822"/>
      <c r="J285" s="1822"/>
      <c r="K285" s="1822"/>
      <c r="L285" s="551">
        <v>1027.18</v>
      </c>
      <c r="M285" s="550"/>
      <c r="N285" s="549"/>
      <c r="V285" s="674"/>
      <c r="W285" s="675"/>
      <c r="AC285" s="675"/>
      <c r="AE285" s="680"/>
      <c r="AF285" s="675"/>
      <c r="AG285" s="675"/>
      <c r="AH285" s="537" t="s">
        <v>415</v>
      </c>
      <c r="AI285" s="675"/>
    </row>
    <row r="286" spans="1:35" s="536" customFormat="1" ht="12" x14ac:dyDescent="0.2">
      <c r="A286" s="548"/>
      <c r="B286" s="552"/>
      <c r="C286" s="1822" t="s">
        <v>416</v>
      </c>
      <c r="D286" s="1822"/>
      <c r="E286" s="1822"/>
      <c r="F286" s="1822"/>
      <c r="G286" s="1822"/>
      <c r="H286" s="1822"/>
      <c r="I286" s="1822"/>
      <c r="J286" s="1822"/>
      <c r="K286" s="1822"/>
      <c r="L286" s="551">
        <v>1149.1600000000001</v>
      </c>
      <c r="M286" s="550"/>
      <c r="N286" s="549"/>
      <c r="V286" s="674"/>
      <c r="W286" s="675"/>
      <c r="AC286" s="675"/>
      <c r="AE286" s="680"/>
      <c r="AF286" s="675"/>
      <c r="AG286" s="675"/>
      <c r="AH286" s="537" t="s">
        <v>416</v>
      </c>
      <c r="AI286" s="675"/>
    </row>
    <row r="287" spans="1:35" s="536" customFormat="1" ht="12" x14ac:dyDescent="0.2">
      <c r="A287" s="548"/>
      <c r="B287" s="552"/>
      <c r="C287" s="1822" t="s">
        <v>417</v>
      </c>
      <c r="D287" s="1822"/>
      <c r="E287" s="1822"/>
      <c r="F287" s="1822"/>
      <c r="G287" s="1822"/>
      <c r="H287" s="1822"/>
      <c r="I287" s="1822"/>
      <c r="J287" s="1822"/>
      <c r="K287" s="1822"/>
      <c r="L287" s="551">
        <v>666.77</v>
      </c>
      <c r="M287" s="550"/>
      <c r="N287" s="549"/>
      <c r="V287" s="674"/>
      <c r="W287" s="675"/>
      <c r="AC287" s="675"/>
      <c r="AE287" s="680"/>
      <c r="AF287" s="675"/>
      <c r="AG287" s="675"/>
      <c r="AH287" s="537" t="s">
        <v>417</v>
      </c>
      <c r="AI287" s="675"/>
    </row>
    <row r="288" spans="1:35" s="536" customFormat="1" ht="12" x14ac:dyDescent="0.2">
      <c r="A288" s="548"/>
      <c r="B288" s="546"/>
      <c r="C288" s="1819" t="s">
        <v>3254</v>
      </c>
      <c r="D288" s="1819"/>
      <c r="E288" s="1819"/>
      <c r="F288" s="1819"/>
      <c r="G288" s="1819"/>
      <c r="H288" s="1819"/>
      <c r="I288" s="1819"/>
      <c r="J288" s="1819"/>
      <c r="K288" s="1819"/>
      <c r="L288" s="544">
        <v>9454.02</v>
      </c>
      <c r="M288" s="543"/>
      <c r="N288" s="681"/>
      <c r="V288" s="674"/>
      <c r="W288" s="675"/>
      <c r="AC288" s="675"/>
      <c r="AE288" s="680"/>
      <c r="AF288" s="675"/>
      <c r="AG288" s="675"/>
      <c r="AI288" s="675" t="s">
        <v>3254</v>
      </c>
    </row>
    <row r="289" spans="1:35" s="536" customFormat="1" ht="12" x14ac:dyDescent="0.2">
      <c r="A289" s="548"/>
      <c r="B289" s="552"/>
      <c r="C289" s="1822" t="s">
        <v>204</v>
      </c>
      <c r="D289" s="1822"/>
      <c r="E289" s="1822"/>
      <c r="F289" s="1822"/>
      <c r="G289" s="1822"/>
      <c r="H289" s="1822"/>
      <c r="I289" s="1822"/>
      <c r="J289" s="1822"/>
      <c r="K289" s="1822"/>
      <c r="L289" s="551"/>
      <c r="M289" s="550"/>
      <c r="N289" s="549"/>
      <c r="V289" s="674"/>
      <c r="W289" s="675"/>
      <c r="AC289" s="675"/>
      <c r="AE289" s="680"/>
      <c r="AF289" s="675"/>
      <c r="AG289" s="675"/>
      <c r="AH289" s="537" t="s">
        <v>204</v>
      </c>
      <c r="AI289" s="675"/>
    </row>
    <row r="290" spans="1:35" s="536" customFormat="1" ht="12" x14ac:dyDescent="0.2">
      <c r="A290" s="548"/>
      <c r="B290" s="552"/>
      <c r="C290" s="1822" t="s">
        <v>8095</v>
      </c>
      <c r="D290" s="1822"/>
      <c r="E290" s="1822"/>
      <c r="F290" s="1822"/>
      <c r="G290" s="1822"/>
      <c r="H290" s="1822"/>
      <c r="I290" s="1822"/>
      <c r="J290" s="1822"/>
      <c r="K290" s="1822"/>
      <c r="L290" s="551">
        <v>4311.54</v>
      </c>
      <c r="M290" s="550"/>
      <c r="N290" s="549"/>
      <c r="V290" s="674"/>
      <c r="W290" s="675"/>
      <c r="AC290" s="675"/>
      <c r="AE290" s="680"/>
      <c r="AF290" s="675"/>
      <c r="AG290" s="675"/>
      <c r="AH290" s="537" t="s">
        <v>8095</v>
      </c>
      <c r="AI290" s="675"/>
    </row>
    <row r="291" spans="1:35" s="536" customFormat="1" ht="12" x14ac:dyDescent="0.2">
      <c r="A291" s="1824" t="s">
        <v>3255</v>
      </c>
      <c r="B291" s="1825"/>
      <c r="C291" s="1825"/>
      <c r="D291" s="1825"/>
      <c r="E291" s="1825"/>
      <c r="F291" s="1825"/>
      <c r="G291" s="1825"/>
      <c r="H291" s="1825"/>
      <c r="I291" s="1825"/>
      <c r="J291" s="1825"/>
      <c r="K291" s="1825"/>
      <c r="L291" s="1825"/>
      <c r="M291" s="1825"/>
      <c r="N291" s="1826"/>
      <c r="V291" s="674" t="s">
        <v>3255</v>
      </c>
      <c r="W291" s="675"/>
      <c r="AC291" s="675"/>
      <c r="AE291" s="680"/>
      <c r="AF291" s="675"/>
      <c r="AG291" s="675"/>
      <c r="AI291" s="675"/>
    </row>
    <row r="292" spans="1:35" s="536" customFormat="1" ht="33.75" x14ac:dyDescent="0.2">
      <c r="A292" s="575" t="s">
        <v>763</v>
      </c>
      <c r="B292" s="670" t="s">
        <v>1297</v>
      </c>
      <c r="C292" s="1823" t="s">
        <v>1298</v>
      </c>
      <c r="D292" s="1823"/>
      <c r="E292" s="1823"/>
      <c r="F292" s="573" t="s">
        <v>862</v>
      </c>
      <c r="G292" s="573"/>
      <c r="H292" s="573"/>
      <c r="I292" s="573" t="s">
        <v>3378</v>
      </c>
      <c r="J292" s="572"/>
      <c r="K292" s="573"/>
      <c r="L292" s="572"/>
      <c r="M292" s="571"/>
      <c r="N292" s="570"/>
      <c r="V292" s="674"/>
      <c r="W292" s="675" t="s">
        <v>1298</v>
      </c>
      <c r="AC292" s="675"/>
      <c r="AE292" s="680"/>
      <c r="AF292" s="675"/>
      <c r="AG292" s="675"/>
      <c r="AI292" s="675"/>
    </row>
    <row r="293" spans="1:35" s="536" customFormat="1" ht="12" x14ac:dyDescent="0.2">
      <c r="A293" s="676"/>
      <c r="B293" s="664"/>
      <c r="C293" s="1822" t="s">
        <v>3930</v>
      </c>
      <c r="D293" s="1822"/>
      <c r="E293" s="1822"/>
      <c r="F293" s="1822"/>
      <c r="G293" s="1822"/>
      <c r="H293" s="1822"/>
      <c r="I293" s="1822"/>
      <c r="J293" s="1822"/>
      <c r="K293" s="1822"/>
      <c r="L293" s="1822"/>
      <c r="M293" s="1822"/>
      <c r="N293" s="1827"/>
      <c r="V293" s="674"/>
      <c r="W293" s="675"/>
      <c r="X293" s="537" t="s">
        <v>3930</v>
      </c>
      <c r="AC293" s="675"/>
      <c r="AE293" s="680"/>
      <c r="AF293" s="675"/>
      <c r="AG293" s="675"/>
      <c r="AI293" s="675"/>
    </row>
    <row r="294" spans="1:35" s="536" customFormat="1" ht="33.75" x14ac:dyDescent="0.2">
      <c r="A294" s="609"/>
      <c r="B294" s="552" t="s">
        <v>310</v>
      </c>
      <c r="C294" s="1822" t="s">
        <v>311</v>
      </c>
      <c r="D294" s="1822"/>
      <c r="E294" s="1822"/>
      <c r="F294" s="1822"/>
      <c r="G294" s="1822"/>
      <c r="H294" s="1822"/>
      <c r="I294" s="1822"/>
      <c r="J294" s="1822"/>
      <c r="K294" s="1822"/>
      <c r="L294" s="1822"/>
      <c r="M294" s="1822"/>
      <c r="N294" s="1827"/>
      <c r="V294" s="674"/>
      <c r="W294" s="675"/>
      <c r="Y294" s="537" t="s">
        <v>311</v>
      </c>
      <c r="AC294" s="675"/>
      <c r="AE294" s="680"/>
      <c r="AF294" s="675"/>
      <c r="AG294" s="675"/>
      <c r="AI294" s="675"/>
    </row>
    <row r="295" spans="1:35" s="536" customFormat="1" ht="12" x14ac:dyDescent="0.2">
      <c r="A295" s="605"/>
      <c r="B295" s="552" t="s">
        <v>185</v>
      </c>
      <c r="C295" s="1822" t="s">
        <v>312</v>
      </c>
      <c r="D295" s="1822"/>
      <c r="E295" s="1822"/>
      <c r="F295" s="562"/>
      <c r="G295" s="562"/>
      <c r="H295" s="562"/>
      <c r="I295" s="562"/>
      <c r="J295" s="604">
        <v>925.9</v>
      </c>
      <c r="K295" s="562" t="s">
        <v>313</v>
      </c>
      <c r="L295" s="604">
        <v>930.53</v>
      </c>
      <c r="M295" s="603"/>
      <c r="N295" s="602"/>
      <c r="V295" s="674"/>
      <c r="W295" s="675"/>
      <c r="Z295" s="537" t="s">
        <v>312</v>
      </c>
      <c r="AC295" s="675"/>
      <c r="AE295" s="680"/>
      <c r="AF295" s="675"/>
      <c r="AG295" s="675"/>
      <c r="AI295" s="675"/>
    </row>
    <row r="296" spans="1:35" s="536" customFormat="1" ht="12" x14ac:dyDescent="0.2">
      <c r="A296" s="605"/>
      <c r="B296" s="552" t="s">
        <v>186</v>
      </c>
      <c r="C296" s="1822" t="s">
        <v>344</v>
      </c>
      <c r="D296" s="1822"/>
      <c r="E296" s="1822"/>
      <c r="F296" s="562"/>
      <c r="G296" s="562"/>
      <c r="H296" s="562"/>
      <c r="I296" s="562"/>
      <c r="J296" s="604">
        <v>90.71</v>
      </c>
      <c r="K296" s="562" t="s">
        <v>313</v>
      </c>
      <c r="L296" s="604">
        <v>91.16</v>
      </c>
      <c r="M296" s="603"/>
      <c r="N296" s="602"/>
      <c r="V296" s="674"/>
      <c r="W296" s="675"/>
      <c r="Z296" s="537" t="s">
        <v>344</v>
      </c>
      <c r="AC296" s="675"/>
      <c r="AE296" s="680"/>
      <c r="AF296" s="675"/>
      <c r="AG296" s="675"/>
      <c r="AI296" s="675"/>
    </row>
    <row r="297" spans="1:35" s="536" customFormat="1" ht="12" x14ac:dyDescent="0.2">
      <c r="A297" s="605"/>
      <c r="B297" s="552" t="s">
        <v>187</v>
      </c>
      <c r="C297" s="1822" t="s">
        <v>345</v>
      </c>
      <c r="D297" s="1822"/>
      <c r="E297" s="1822"/>
      <c r="F297" s="562"/>
      <c r="G297" s="562"/>
      <c r="H297" s="562"/>
      <c r="I297" s="562"/>
      <c r="J297" s="604">
        <v>15.13</v>
      </c>
      <c r="K297" s="562" t="s">
        <v>313</v>
      </c>
      <c r="L297" s="604">
        <v>15.21</v>
      </c>
      <c r="M297" s="603"/>
      <c r="N297" s="602"/>
      <c r="V297" s="674"/>
      <c r="W297" s="675"/>
      <c r="Z297" s="537" t="s">
        <v>345</v>
      </c>
      <c r="AC297" s="675"/>
      <c r="AE297" s="680"/>
      <c r="AF297" s="675"/>
      <c r="AG297" s="675"/>
      <c r="AI297" s="675"/>
    </row>
    <row r="298" spans="1:35" s="536" customFormat="1" ht="12" x14ac:dyDescent="0.2">
      <c r="A298" s="605"/>
      <c r="B298" s="552" t="s">
        <v>188</v>
      </c>
      <c r="C298" s="1822" t="s">
        <v>475</v>
      </c>
      <c r="D298" s="1822"/>
      <c r="E298" s="1822"/>
      <c r="F298" s="562"/>
      <c r="G298" s="562"/>
      <c r="H298" s="562"/>
      <c r="I298" s="562"/>
      <c r="J298" s="604">
        <v>700.57</v>
      </c>
      <c r="K298" s="562"/>
      <c r="L298" s="604">
        <v>563.26</v>
      </c>
      <c r="M298" s="603"/>
      <c r="N298" s="602"/>
      <c r="V298" s="674"/>
      <c r="W298" s="675"/>
      <c r="Z298" s="537" t="s">
        <v>475</v>
      </c>
      <c r="AC298" s="675"/>
      <c r="AE298" s="680"/>
      <c r="AF298" s="675"/>
      <c r="AG298" s="675"/>
      <c r="AI298" s="675"/>
    </row>
    <row r="299" spans="1:35" s="536" customFormat="1" ht="22.5" x14ac:dyDescent="0.2">
      <c r="A299" s="676"/>
      <c r="B299" s="677" t="s">
        <v>1301</v>
      </c>
      <c r="C299" s="1829" t="s">
        <v>1302</v>
      </c>
      <c r="D299" s="1829"/>
      <c r="E299" s="1829"/>
      <c r="F299" s="678" t="s">
        <v>865</v>
      </c>
      <c r="G299" s="678" t="s">
        <v>680</v>
      </c>
      <c r="H299" s="678"/>
      <c r="I299" s="678" t="s">
        <v>3931</v>
      </c>
      <c r="J299" s="552"/>
      <c r="K299" s="562"/>
      <c r="L299" s="604"/>
      <c r="M299" s="562"/>
      <c r="N299" s="679"/>
      <c r="V299" s="674"/>
      <c r="W299" s="675"/>
      <c r="AC299" s="675"/>
      <c r="AE299" s="680" t="s">
        <v>1302</v>
      </c>
      <c r="AF299" s="675"/>
      <c r="AG299" s="675"/>
      <c r="AI299" s="675"/>
    </row>
    <row r="300" spans="1:35" s="536" customFormat="1" ht="12" x14ac:dyDescent="0.2">
      <c r="A300" s="605"/>
      <c r="B300" s="552"/>
      <c r="C300" s="1822" t="s">
        <v>314</v>
      </c>
      <c r="D300" s="1822"/>
      <c r="E300" s="1822"/>
      <c r="F300" s="562" t="s">
        <v>315</v>
      </c>
      <c r="G300" s="562" t="s">
        <v>1304</v>
      </c>
      <c r="H300" s="562" t="s">
        <v>313</v>
      </c>
      <c r="I300" s="562" t="s">
        <v>3932</v>
      </c>
      <c r="J300" s="604"/>
      <c r="K300" s="562"/>
      <c r="L300" s="604"/>
      <c r="M300" s="603"/>
      <c r="N300" s="602"/>
      <c r="V300" s="674"/>
      <c r="W300" s="675"/>
      <c r="AA300" s="537" t="s">
        <v>314</v>
      </c>
      <c r="AC300" s="675"/>
      <c r="AE300" s="680"/>
      <c r="AF300" s="675"/>
      <c r="AG300" s="675"/>
      <c r="AI300" s="675"/>
    </row>
    <row r="301" spans="1:35" s="536" customFormat="1" ht="12" x14ac:dyDescent="0.2">
      <c r="A301" s="605"/>
      <c r="B301" s="552"/>
      <c r="C301" s="1822" t="s">
        <v>348</v>
      </c>
      <c r="D301" s="1822"/>
      <c r="E301" s="1822"/>
      <c r="F301" s="562" t="s">
        <v>315</v>
      </c>
      <c r="G301" s="562" t="s">
        <v>1306</v>
      </c>
      <c r="H301" s="562" t="s">
        <v>313</v>
      </c>
      <c r="I301" s="562" t="s">
        <v>3933</v>
      </c>
      <c r="J301" s="604"/>
      <c r="K301" s="562"/>
      <c r="L301" s="604"/>
      <c r="M301" s="603"/>
      <c r="N301" s="602"/>
      <c r="V301" s="674"/>
      <c r="W301" s="675"/>
      <c r="AA301" s="537" t="s">
        <v>348</v>
      </c>
      <c r="AC301" s="675"/>
      <c r="AE301" s="680"/>
      <c r="AF301" s="675"/>
      <c r="AG301" s="675"/>
      <c r="AI301" s="675"/>
    </row>
    <row r="302" spans="1:35" s="536" customFormat="1" ht="12" x14ac:dyDescent="0.2">
      <c r="A302" s="605"/>
      <c r="B302" s="552"/>
      <c r="C302" s="1828" t="s">
        <v>318</v>
      </c>
      <c r="D302" s="1828"/>
      <c r="E302" s="1828"/>
      <c r="F302" s="608"/>
      <c r="G302" s="608"/>
      <c r="H302" s="608"/>
      <c r="I302" s="608"/>
      <c r="J302" s="607">
        <v>1717.18</v>
      </c>
      <c r="K302" s="608"/>
      <c r="L302" s="607">
        <v>1584.95</v>
      </c>
      <c r="M302" s="601"/>
      <c r="N302" s="606"/>
      <c r="V302" s="674"/>
      <c r="W302" s="675"/>
      <c r="AB302" s="537" t="s">
        <v>318</v>
      </c>
      <c r="AC302" s="675"/>
      <c r="AE302" s="680"/>
      <c r="AF302" s="675"/>
      <c r="AG302" s="675"/>
      <c r="AI302" s="675"/>
    </row>
    <row r="303" spans="1:35" s="536" customFormat="1" ht="12" x14ac:dyDescent="0.2">
      <c r="A303" s="605"/>
      <c r="B303" s="552"/>
      <c r="C303" s="1822" t="s">
        <v>319</v>
      </c>
      <c r="D303" s="1822"/>
      <c r="E303" s="1822"/>
      <c r="F303" s="562"/>
      <c r="G303" s="562"/>
      <c r="H303" s="562"/>
      <c r="I303" s="562"/>
      <c r="J303" s="604"/>
      <c r="K303" s="562"/>
      <c r="L303" s="604">
        <v>945.74</v>
      </c>
      <c r="M303" s="603"/>
      <c r="N303" s="602"/>
      <c r="V303" s="674"/>
      <c r="W303" s="675"/>
      <c r="AA303" s="537" t="s">
        <v>319</v>
      </c>
      <c r="AC303" s="675"/>
      <c r="AE303" s="680"/>
      <c r="AF303" s="675"/>
      <c r="AG303" s="675"/>
      <c r="AI303" s="675"/>
    </row>
    <row r="304" spans="1:35" s="536" customFormat="1" ht="33.75" x14ac:dyDescent="0.2">
      <c r="A304" s="605"/>
      <c r="B304" s="552" t="s">
        <v>1308</v>
      </c>
      <c r="C304" s="1822" t="s">
        <v>1309</v>
      </c>
      <c r="D304" s="1822"/>
      <c r="E304" s="1822"/>
      <c r="F304" s="562" t="s">
        <v>322</v>
      </c>
      <c r="G304" s="562" t="s">
        <v>844</v>
      </c>
      <c r="H304" s="562"/>
      <c r="I304" s="562" t="s">
        <v>844</v>
      </c>
      <c r="J304" s="604"/>
      <c r="K304" s="562"/>
      <c r="L304" s="604">
        <v>945.74</v>
      </c>
      <c r="M304" s="603"/>
      <c r="N304" s="602"/>
      <c r="V304" s="674"/>
      <c r="W304" s="675"/>
      <c r="AA304" s="537" t="s">
        <v>1309</v>
      </c>
      <c r="AC304" s="675"/>
      <c r="AE304" s="680"/>
      <c r="AF304" s="675"/>
      <c r="AG304" s="675"/>
      <c r="AI304" s="675"/>
    </row>
    <row r="305" spans="1:35" s="536" customFormat="1" ht="33.75" x14ac:dyDescent="0.2">
      <c r="A305" s="605"/>
      <c r="B305" s="552" t="s">
        <v>1310</v>
      </c>
      <c r="C305" s="1822" t="s">
        <v>1311</v>
      </c>
      <c r="D305" s="1822"/>
      <c r="E305" s="1822"/>
      <c r="F305" s="562" t="s">
        <v>322</v>
      </c>
      <c r="G305" s="562" t="s">
        <v>784</v>
      </c>
      <c r="H305" s="562"/>
      <c r="I305" s="562" t="s">
        <v>784</v>
      </c>
      <c r="J305" s="604"/>
      <c r="K305" s="562"/>
      <c r="L305" s="604">
        <v>463.41</v>
      </c>
      <c r="M305" s="603"/>
      <c r="N305" s="602"/>
      <c r="V305" s="674"/>
      <c r="W305" s="675"/>
      <c r="AA305" s="537" t="s">
        <v>1311</v>
      </c>
      <c r="AC305" s="675"/>
      <c r="AE305" s="680"/>
      <c r="AF305" s="675"/>
      <c r="AG305" s="675"/>
      <c r="AI305" s="675"/>
    </row>
    <row r="306" spans="1:35" s="536" customFormat="1" ht="12" x14ac:dyDescent="0.2">
      <c r="A306" s="569"/>
      <c r="B306" s="671"/>
      <c r="C306" s="1823" t="s">
        <v>327</v>
      </c>
      <c r="D306" s="1823"/>
      <c r="E306" s="1823"/>
      <c r="F306" s="573"/>
      <c r="G306" s="573"/>
      <c r="H306" s="573"/>
      <c r="I306" s="573"/>
      <c r="J306" s="572"/>
      <c r="K306" s="573"/>
      <c r="L306" s="572">
        <v>2994.1</v>
      </c>
      <c r="M306" s="601"/>
      <c r="N306" s="570"/>
      <c r="V306" s="674"/>
      <c r="W306" s="675"/>
      <c r="AC306" s="675" t="s">
        <v>327</v>
      </c>
      <c r="AE306" s="680"/>
      <c r="AF306" s="675"/>
      <c r="AG306" s="675"/>
      <c r="AI306" s="675"/>
    </row>
    <row r="307" spans="1:35" s="536" customFormat="1" ht="22.5" x14ac:dyDescent="0.2">
      <c r="A307" s="575" t="s">
        <v>922</v>
      </c>
      <c r="B307" s="670" t="s">
        <v>1312</v>
      </c>
      <c r="C307" s="1823" t="s">
        <v>1313</v>
      </c>
      <c r="D307" s="1823"/>
      <c r="E307" s="1823"/>
      <c r="F307" s="573" t="s">
        <v>865</v>
      </c>
      <c r="G307" s="573"/>
      <c r="H307" s="573"/>
      <c r="I307" s="573" t="s">
        <v>2385</v>
      </c>
      <c r="J307" s="572">
        <v>272</v>
      </c>
      <c r="K307" s="573"/>
      <c r="L307" s="572">
        <v>22304</v>
      </c>
      <c r="M307" s="571"/>
      <c r="N307" s="570"/>
      <c r="V307" s="674"/>
      <c r="W307" s="675" t="s">
        <v>1313</v>
      </c>
      <c r="AC307" s="675"/>
      <c r="AE307" s="680"/>
      <c r="AF307" s="675"/>
      <c r="AG307" s="675"/>
      <c r="AI307" s="675"/>
    </row>
    <row r="308" spans="1:35" s="536" customFormat="1" ht="12" x14ac:dyDescent="0.2">
      <c r="A308" s="569"/>
      <c r="B308" s="671"/>
      <c r="C308" s="665" t="s">
        <v>717</v>
      </c>
      <c r="D308" s="666"/>
      <c r="E308" s="666"/>
      <c r="F308" s="563"/>
      <c r="G308" s="563"/>
      <c r="H308" s="563"/>
      <c r="I308" s="563"/>
      <c r="J308" s="566"/>
      <c r="K308" s="563"/>
      <c r="L308" s="566"/>
      <c r="M308" s="565"/>
      <c r="N308" s="564"/>
      <c r="V308" s="674"/>
      <c r="W308" s="675"/>
      <c r="AC308" s="675"/>
      <c r="AE308" s="680"/>
      <c r="AF308" s="675"/>
      <c r="AG308" s="675"/>
      <c r="AI308" s="675"/>
    </row>
    <row r="309" spans="1:35" s="536" customFormat="1" ht="67.5" x14ac:dyDescent="0.2">
      <c r="A309" s="575" t="s">
        <v>765</v>
      </c>
      <c r="B309" s="670" t="s">
        <v>2002</v>
      </c>
      <c r="C309" s="1823" t="s">
        <v>2003</v>
      </c>
      <c r="D309" s="1823"/>
      <c r="E309" s="1823"/>
      <c r="F309" s="573" t="s">
        <v>694</v>
      </c>
      <c r="G309" s="573"/>
      <c r="H309" s="573"/>
      <c r="I309" s="573" t="s">
        <v>3934</v>
      </c>
      <c r="J309" s="572"/>
      <c r="K309" s="573"/>
      <c r="L309" s="572"/>
      <c r="M309" s="571"/>
      <c r="N309" s="570"/>
      <c r="V309" s="674"/>
      <c r="W309" s="675" t="s">
        <v>2003</v>
      </c>
      <c r="AC309" s="675"/>
      <c r="AE309" s="680"/>
      <c r="AF309" s="675"/>
      <c r="AG309" s="675"/>
      <c r="AI309" s="675"/>
    </row>
    <row r="310" spans="1:35" s="536" customFormat="1" ht="12" x14ac:dyDescent="0.2">
      <c r="A310" s="676"/>
      <c r="B310" s="664"/>
      <c r="C310" s="1822" t="s">
        <v>3935</v>
      </c>
      <c r="D310" s="1822"/>
      <c r="E310" s="1822"/>
      <c r="F310" s="1822"/>
      <c r="G310" s="1822"/>
      <c r="H310" s="1822"/>
      <c r="I310" s="1822"/>
      <c r="J310" s="1822"/>
      <c r="K310" s="1822"/>
      <c r="L310" s="1822"/>
      <c r="M310" s="1822"/>
      <c r="N310" s="1827"/>
      <c r="V310" s="674"/>
      <c r="W310" s="675"/>
      <c r="X310" s="537" t="s">
        <v>3935</v>
      </c>
      <c r="AC310" s="675"/>
      <c r="AE310" s="680"/>
      <c r="AF310" s="675"/>
      <c r="AG310" s="675"/>
      <c r="AI310" s="675"/>
    </row>
    <row r="311" spans="1:35" s="536" customFormat="1" ht="33.75" x14ac:dyDescent="0.2">
      <c r="A311" s="609"/>
      <c r="B311" s="552" t="s">
        <v>310</v>
      </c>
      <c r="C311" s="1822" t="s">
        <v>311</v>
      </c>
      <c r="D311" s="1822"/>
      <c r="E311" s="1822"/>
      <c r="F311" s="1822"/>
      <c r="G311" s="1822"/>
      <c r="H311" s="1822"/>
      <c r="I311" s="1822"/>
      <c r="J311" s="1822"/>
      <c r="K311" s="1822"/>
      <c r="L311" s="1822"/>
      <c r="M311" s="1822"/>
      <c r="N311" s="1827"/>
      <c r="V311" s="674"/>
      <c r="W311" s="675"/>
      <c r="Y311" s="537" t="s">
        <v>311</v>
      </c>
      <c r="AC311" s="675"/>
      <c r="AE311" s="680"/>
      <c r="AF311" s="675"/>
      <c r="AG311" s="675"/>
      <c r="AI311" s="675"/>
    </row>
    <row r="312" spans="1:35" s="536" customFormat="1" ht="12" x14ac:dyDescent="0.2">
      <c r="A312" s="605"/>
      <c r="B312" s="552" t="s">
        <v>185</v>
      </c>
      <c r="C312" s="1822" t="s">
        <v>312</v>
      </c>
      <c r="D312" s="1822"/>
      <c r="E312" s="1822"/>
      <c r="F312" s="562"/>
      <c r="G312" s="562"/>
      <c r="H312" s="562"/>
      <c r="I312" s="562"/>
      <c r="J312" s="604">
        <v>1799.85</v>
      </c>
      <c r="K312" s="562" t="s">
        <v>313</v>
      </c>
      <c r="L312" s="604">
        <v>1266.6400000000001</v>
      </c>
      <c r="M312" s="603"/>
      <c r="N312" s="602"/>
      <c r="V312" s="674"/>
      <c r="W312" s="675"/>
      <c r="Z312" s="537" t="s">
        <v>312</v>
      </c>
      <c r="AC312" s="675"/>
      <c r="AE312" s="680"/>
      <c r="AF312" s="675"/>
      <c r="AG312" s="675"/>
      <c r="AI312" s="675"/>
    </row>
    <row r="313" spans="1:35" s="536" customFormat="1" ht="12" x14ac:dyDescent="0.2">
      <c r="A313" s="605"/>
      <c r="B313" s="552" t="s">
        <v>186</v>
      </c>
      <c r="C313" s="1822" t="s">
        <v>344</v>
      </c>
      <c r="D313" s="1822"/>
      <c r="E313" s="1822"/>
      <c r="F313" s="562"/>
      <c r="G313" s="562"/>
      <c r="H313" s="562"/>
      <c r="I313" s="562"/>
      <c r="J313" s="604">
        <v>231.77</v>
      </c>
      <c r="K313" s="562" t="s">
        <v>313</v>
      </c>
      <c r="L313" s="604">
        <v>163.11000000000001</v>
      </c>
      <c r="M313" s="603"/>
      <c r="N313" s="602"/>
      <c r="V313" s="674"/>
      <c r="W313" s="675"/>
      <c r="Z313" s="537" t="s">
        <v>344</v>
      </c>
      <c r="AC313" s="675"/>
      <c r="AE313" s="680"/>
      <c r="AF313" s="675"/>
      <c r="AG313" s="675"/>
      <c r="AI313" s="675"/>
    </row>
    <row r="314" spans="1:35" s="536" customFormat="1" ht="12" x14ac:dyDescent="0.2">
      <c r="A314" s="605"/>
      <c r="B314" s="552" t="s">
        <v>187</v>
      </c>
      <c r="C314" s="1822" t="s">
        <v>345</v>
      </c>
      <c r="D314" s="1822"/>
      <c r="E314" s="1822"/>
      <c r="F314" s="562"/>
      <c r="G314" s="562"/>
      <c r="H314" s="562"/>
      <c r="I314" s="562"/>
      <c r="J314" s="604">
        <v>27.58</v>
      </c>
      <c r="K314" s="562" t="s">
        <v>313</v>
      </c>
      <c r="L314" s="604">
        <v>19.41</v>
      </c>
      <c r="M314" s="603"/>
      <c r="N314" s="602"/>
      <c r="V314" s="674"/>
      <c r="W314" s="675"/>
      <c r="Z314" s="537" t="s">
        <v>345</v>
      </c>
      <c r="AC314" s="675"/>
      <c r="AE314" s="680"/>
      <c r="AF314" s="675"/>
      <c r="AG314" s="675"/>
      <c r="AI314" s="675"/>
    </row>
    <row r="315" spans="1:35" s="536" customFormat="1" ht="12" x14ac:dyDescent="0.2">
      <c r="A315" s="676"/>
      <c r="B315" s="677" t="s">
        <v>2005</v>
      </c>
      <c r="C315" s="1829" t="s">
        <v>2006</v>
      </c>
      <c r="D315" s="1829"/>
      <c r="E315" s="1829"/>
      <c r="F315" s="678" t="s">
        <v>694</v>
      </c>
      <c r="G315" s="678" t="s">
        <v>525</v>
      </c>
      <c r="H315" s="678"/>
      <c r="I315" s="678" t="s">
        <v>525</v>
      </c>
      <c r="J315" s="552"/>
      <c r="K315" s="562"/>
      <c r="L315" s="604"/>
      <c r="M315" s="562"/>
      <c r="N315" s="679"/>
      <c r="V315" s="674"/>
      <c r="W315" s="675"/>
      <c r="AC315" s="675"/>
      <c r="AE315" s="680" t="s">
        <v>2006</v>
      </c>
      <c r="AF315" s="675"/>
      <c r="AG315" s="675"/>
      <c r="AI315" s="675"/>
    </row>
    <row r="316" spans="1:35" s="536" customFormat="1" ht="12" x14ac:dyDescent="0.2">
      <c r="A316" s="676"/>
      <c r="B316" s="677" t="s">
        <v>1228</v>
      </c>
      <c r="C316" s="1829" t="s">
        <v>1229</v>
      </c>
      <c r="D316" s="1829"/>
      <c r="E316" s="1829"/>
      <c r="F316" s="678" t="s">
        <v>694</v>
      </c>
      <c r="G316" s="678" t="s">
        <v>185</v>
      </c>
      <c r="H316" s="678"/>
      <c r="I316" s="678" t="s">
        <v>3934</v>
      </c>
      <c r="J316" s="552"/>
      <c r="K316" s="562"/>
      <c r="L316" s="604"/>
      <c r="M316" s="562"/>
      <c r="N316" s="679"/>
      <c r="V316" s="674"/>
      <c r="W316" s="675"/>
      <c r="AC316" s="675"/>
      <c r="AE316" s="680" t="s">
        <v>1229</v>
      </c>
      <c r="AF316" s="675"/>
      <c r="AG316" s="675"/>
      <c r="AI316" s="675"/>
    </row>
    <row r="317" spans="1:35" s="536" customFormat="1" ht="12" x14ac:dyDescent="0.2">
      <c r="A317" s="605"/>
      <c r="B317" s="552"/>
      <c r="C317" s="1822" t="s">
        <v>314</v>
      </c>
      <c r="D317" s="1822"/>
      <c r="E317" s="1822"/>
      <c r="F317" s="562" t="s">
        <v>315</v>
      </c>
      <c r="G317" s="562" t="s">
        <v>2007</v>
      </c>
      <c r="H317" s="562" t="s">
        <v>313</v>
      </c>
      <c r="I317" s="562" t="s">
        <v>3936</v>
      </c>
      <c r="J317" s="604"/>
      <c r="K317" s="562"/>
      <c r="L317" s="604"/>
      <c r="M317" s="603"/>
      <c r="N317" s="602"/>
      <c r="V317" s="674"/>
      <c r="W317" s="675"/>
      <c r="AA317" s="537" t="s">
        <v>314</v>
      </c>
      <c r="AC317" s="675"/>
      <c r="AE317" s="680"/>
      <c r="AF317" s="675"/>
      <c r="AG317" s="675"/>
      <c r="AI317" s="675"/>
    </row>
    <row r="318" spans="1:35" s="536" customFormat="1" ht="12" x14ac:dyDescent="0.2">
      <c r="A318" s="605"/>
      <c r="B318" s="552"/>
      <c r="C318" s="1822" t="s">
        <v>348</v>
      </c>
      <c r="D318" s="1822"/>
      <c r="E318" s="1822"/>
      <c r="F318" s="562" t="s">
        <v>315</v>
      </c>
      <c r="G318" s="562" t="s">
        <v>807</v>
      </c>
      <c r="H318" s="562" t="s">
        <v>313</v>
      </c>
      <c r="I318" s="562" t="s">
        <v>3937</v>
      </c>
      <c r="J318" s="604"/>
      <c r="K318" s="562"/>
      <c r="L318" s="604"/>
      <c r="M318" s="603"/>
      <c r="N318" s="602"/>
      <c r="V318" s="674"/>
      <c r="W318" s="675"/>
      <c r="AA318" s="537" t="s">
        <v>348</v>
      </c>
      <c r="AC318" s="675"/>
      <c r="AE318" s="680"/>
      <c r="AF318" s="675"/>
      <c r="AG318" s="675"/>
      <c r="AI318" s="675"/>
    </row>
    <row r="319" spans="1:35" s="536" customFormat="1" ht="12" x14ac:dyDescent="0.2">
      <c r="A319" s="605"/>
      <c r="B319" s="552"/>
      <c r="C319" s="1828" t="s">
        <v>318</v>
      </c>
      <c r="D319" s="1828"/>
      <c r="E319" s="1828"/>
      <c r="F319" s="608"/>
      <c r="G319" s="608"/>
      <c r="H319" s="608"/>
      <c r="I319" s="608"/>
      <c r="J319" s="607">
        <v>2031.62</v>
      </c>
      <c r="K319" s="608"/>
      <c r="L319" s="607">
        <v>1429.75</v>
      </c>
      <c r="M319" s="601"/>
      <c r="N319" s="606"/>
      <c r="V319" s="674"/>
      <c r="W319" s="675"/>
      <c r="AB319" s="537" t="s">
        <v>318</v>
      </c>
      <c r="AC319" s="675"/>
      <c r="AE319" s="680"/>
      <c r="AF319" s="675"/>
      <c r="AG319" s="675"/>
      <c r="AI319" s="675"/>
    </row>
    <row r="320" spans="1:35" s="536" customFormat="1" ht="12" x14ac:dyDescent="0.2">
      <c r="A320" s="605"/>
      <c r="B320" s="552"/>
      <c r="C320" s="1822" t="s">
        <v>319</v>
      </c>
      <c r="D320" s="1822"/>
      <c r="E320" s="1822"/>
      <c r="F320" s="562"/>
      <c r="G320" s="562"/>
      <c r="H320" s="562"/>
      <c r="I320" s="562"/>
      <c r="J320" s="604"/>
      <c r="K320" s="562"/>
      <c r="L320" s="604">
        <v>1286.05</v>
      </c>
      <c r="M320" s="603"/>
      <c r="N320" s="602"/>
      <c r="V320" s="674"/>
      <c r="W320" s="675"/>
      <c r="AA320" s="537" t="s">
        <v>319</v>
      </c>
      <c r="AC320" s="675"/>
      <c r="AE320" s="680"/>
      <c r="AF320" s="675"/>
      <c r="AG320" s="675"/>
      <c r="AI320" s="675"/>
    </row>
    <row r="321" spans="1:35" s="536" customFormat="1" ht="33.75" x14ac:dyDescent="0.2">
      <c r="A321" s="605"/>
      <c r="B321" s="552" t="s">
        <v>648</v>
      </c>
      <c r="C321" s="1822" t="s">
        <v>649</v>
      </c>
      <c r="D321" s="1822"/>
      <c r="E321" s="1822"/>
      <c r="F321" s="562" t="s">
        <v>322</v>
      </c>
      <c r="G321" s="562" t="s">
        <v>650</v>
      </c>
      <c r="H321" s="562"/>
      <c r="I321" s="562" t="s">
        <v>650</v>
      </c>
      <c r="J321" s="604"/>
      <c r="K321" s="562"/>
      <c r="L321" s="604">
        <v>1196.03</v>
      </c>
      <c r="M321" s="603"/>
      <c r="N321" s="602"/>
      <c r="V321" s="674"/>
      <c r="W321" s="675"/>
      <c r="AA321" s="537" t="s">
        <v>649</v>
      </c>
      <c r="AC321" s="675"/>
      <c r="AE321" s="680"/>
      <c r="AF321" s="675"/>
      <c r="AG321" s="675"/>
      <c r="AI321" s="675"/>
    </row>
    <row r="322" spans="1:35" s="536" customFormat="1" ht="33.75" x14ac:dyDescent="0.2">
      <c r="A322" s="605"/>
      <c r="B322" s="552" t="s">
        <v>651</v>
      </c>
      <c r="C322" s="1822" t="s">
        <v>652</v>
      </c>
      <c r="D322" s="1822"/>
      <c r="E322" s="1822"/>
      <c r="F322" s="562" t="s">
        <v>322</v>
      </c>
      <c r="G322" s="562" t="s">
        <v>653</v>
      </c>
      <c r="H322" s="562"/>
      <c r="I322" s="562" t="s">
        <v>653</v>
      </c>
      <c r="J322" s="604"/>
      <c r="K322" s="562"/>
      <c r="L322" s="604">
        <v>797.35</v>
      </c>
      <c r="M322" s="603"/>
      <c r="N322" s="602"/>
      <c r="V322" s="674"/>
      <c r="W322" s="675"/>
      <c r="AA322" s="537" t="s">
        <v>652</v>
      </c>
      <c r="AC322" s="675"/>
      <c r="AE322" s="680"/>
      <c r="AF322" s="675"/>
      <c r="AG322" s="675"/>
      <c r="AI322" s="675"/>
    </row>
    <row r="323" spans="1:35" s="536" customFormat="1" ht="12" x14ac:dyDescent="0.2">
      <c r="A323" s="569"/>
      <c r="B323" s="671"/>
      <c r="C323" s="1823" t="s">
        <v>327</v>
      </c>
      <c r="D323" s="1823"/>
      <c r="E323" s="1823"/>
      <c r="F323" s="573"/>
      <c r="G323" s="573"/>
      <c r="H323" s="573"/>
      <c r="I323" s="573"/>
      <c r="J323" s="572"/>
      <c r="K323" s="573"/>
      <c r="L323" s="572">
        <v>3423.13</v>
      </c>
      <c r="M323" s="601"/>
      <c r="N323" s="570"/>
      <c r="V323" s="674"/>
      <c r="W323" s="675"/>
      <c r="AC323" s="675" t="s">
        <v>327</v>
      </c>
      <c r="AE323" s="680"/>
      <c r="AF323" s="675"/>
      <c r="AG323" s="675"/>
      <c r="AI323" s="675"/>
    </row>
    <row r="324" spans="1:35" s="536" customFormat="1" ht="33.75" x14ac:dyDescent="0.2">
      <c r="A324" s="575" t="s">
        <v>505</v>
      </c>
      <c r="B324" s="670" t="s">
        <v>1326</v>
      </c>
      <c r="C324" s="1823" t="s">
        <v>1327</v>
      </c>
      <c r="D324" s="1823"/>
      <c r="E324" s="1823"/>
      <c r="F324" s="573" t="s">
        <v>617</v>
      </c>
      <c r="G324" s="573"/>
      <c r="H324" s="573"/>
      <c r="I324" s="573" t="s">
        <v>3938</v>
      </c>
      <c r="J324" s="572">
        <v>1306.3699999999999</v>
      </c>
      <c r="K324" s="573" t="s">
        <v>716</v>
      </c>
      <c r="L324" s="572">
        <v>32431.61</v>
      </c>
      <c r="M324" s="571">
        <v>8.32</v>
      </c>
      <c r="N324" s="570">
        <v>269831</v>
      </c>
      <c r="V324" s="674"/>
      <c r="W324" s="675" t="s">
        <v>1327</v>
      </c>
      <c r="AC324" s="675"/>
      <c r="AE324" s="680"/>
      <c r="AF324" s="675"/>
      <c r="AG324" s="675"/>
      <c r="AI324" s="675"/>
    </row>
    <row r="325" spans="1:35" s="536" customFormat="1" ht="12" x14ac:dyDescent="0.2">
      <c r="A325" s="569"/>
      <c r="B325" s="671"/>
      <c r="C325" s="665" t="s">
        <v>1173</v>
      </c>
      <c r="D325" s="666"/>
      <c r="E325" s="666"/>
      <c r="F325" s="563"/>
      <c r="G325" s="563"/>
      <c r="H325" s="563"/>
      <c r="I325" s="563"/>
      <c r="J325" s="566"/>
      <c r="K325" s="563"/>
      <c r="L325" s="566"/>
      <c r="M325" s="565"/>
      <c r="N325" s="564"/>
      <c r="V325" s="674"/>
      <c r="W325" s="675"/>
      <c r="AC325" s="675"/>
      <c r="AE325" s="680"/>
      <c r="AF325" s="675"/>
      <c r="AG325" s="675"/>
      <c r="AI325" s="675"/>
    </row>
    <row r="326" spans="1:35" s="536" customFormat="1" ht="12" x14ac:dyDescent="0.2">
      <c r="A326" s="676"/>
      <c r="B326" s="664"/>
      <c r="C326" s="1822" t="s">
        <v>3939</v>
      </c>
      <c r="D326" s="1822"/>
      <c r="E326" s="1822"/>
      <c r="F326" s="1822"/>
      <c r="G326" s="1822"/>
      <c r="H326" s="1822"/>
      <c r="I326" s="1822"/>
      <c r="J326" s="1822"/>
      <c r="K326" s="1822"/>
      <c r="L326" s="1822"/>
      <c r="M326" s="1822"/>
      <c r="N326" s="1827"/>
      <c r="V326" s="674"/>
      <c r="W326" s="675"/>
      <c r="X326" s="537" t="s">
        <v>3939</v>
      </c>
      <c r="AC326" s="675"/>
      <c r="AE326" s="680"/>
      <c r="AF326" s="675"/>
      <c r="AG326" s="675"/>
      <c r="AI326" s="675"/>
    </row>
    <row r="327" spans="1:35" s="536" customFormat="1" ht="22.5" x14ac:dyDescent="0.2">
      <c r="A327" s="609"/>
      <c r="B327" s="552" t="s">
        <v>718</v>
      </c>
      <c r="C327" s="1822" t="s">
        <v>719</v>
      </c>
      <c r="D327" s="1822"/>
      <c r="E327" s="1822"/>
      <c r="F327" s="1822"/>
      <c r="G327" s="1822"/>
      <c r="H327" s="1822"/>
      <c r="I327" s="1822"/>
      <c r="J327" s="1822"/>
      <c r="K327" s="1822"/>
      <c r="L327" s="1822"/>
      <c r="M327" s="1822"/>
      <c r="N327" s="1827"/>
      <c r="V327" s="674"/>
      <c r="W327" s="675"/>
      <c r="Y327" s="537" t="s">
        <v>719</v>
      </c>
      <c r="AC327" s="675"/>
      <c r="AE327" s="680"/>
      <c r="AF327" s="675"/>
      <c r="AG327" s="675"/>
      <c r="AI327" s="675"/>
    </row>
    <row r="328" spans="1:35" s="536" customFormat="1" ht="33.75" x14ac:dyDescent="0.2">
      <c r="A328" s="575" t="s">
        <v>767</v>
      </c>
      <c r="B328" s="670" t="s">
        <v>1330</v>
      </c>
      <c r="C328" s="1823" t="s">
        <v>1331</v>
      </c>
      <c r="D328" s="1823"/>
      <c r="E328" s="1823"/>
      <c r="F328" s="573" t="s">
        <v>483</v>
      </c>
      <c r="G328" s="573"/>
      <c r="H328" s="573"/>
      <c r="I328" s="573" t="s">
        <v>2034</v>
      </c>
      <c r="J328" s="572">
        <v>115.06</v>
      </c>
      <c r="K328" s="573" t="s">
        <v>716</v>
      </c>
      <c r="L328" s="572">
        <v>1551.68</v>
      </c>
      <c r="M328" s="571">
        <v>8.32</v>
      </c>
      <c r="N328" s="570">
        <v>12910</v>
      </c>
      <c r="V328" s="674"/>
      <c r="W328" s="675" t="s">
        <v>1331</v>
      </c>
      <c r="AC328" s="675"/>
      <c r="AE328" s="680"/>
      <c r="AF328" s="675"/>
      <c r="AG328" s="675"/>
      <c r="AI328" s="675"/>
    </row>
    <row r="329" spans="1:35" s="536" customFormat="1" ht="12" x14ac:dyDescent="0.2">
      <c r="A329" s="569"/>
      <c r="B329" s="671"/>
      <c r="C329" s="665" t="s">
        <v>1173</v>
      </c>
      <c r="D329" s="666"/>
      <c r="E329" s="666"/>
      <c r="F329" s="563"/>
      <c r="G329" s="563"/>
      <c r="H329" s="563"/>
      <c r="I329" s="563"/>
      <c r="J329" s="566"/>
      <c r="K329" s="563"/>
      <c r="L329" s="566"/>
      <c r="M329" s="565"/>
      <c r="N329" s="564"/>
      <c r="V329" s="674"/>
      <c r="W329" s="675"/>
      <c r="AC329" s="675"/>
      <c r="AE329" s="680"/>
      <c r="AF329" s="675"/>
      <c r="AG329" s="675"/>
      <c r="AI329" s="675"/>
    </row>
    <row r="330" spans="1:35" s="536" customFormat="1" ht="22.5" x14ac:dyDescent="0.2">
      <c r="A330" s="609"/>
      <c r="B330" s="552" t="s">
        <v>718</v>
      </c>
      <c r="C330" s="1822" t="s">
        <v>719</v>
      </c>
      <c r="D330" s="1822"/>
      <c r="E330" s="1822"/>
      <c r="F330" s="1822"/>
      <c r="G330" s="1822"/>
      <c r="H330" s="1822"/>
      <c r="I330" s="1822"/>
      <c r="J330" s="1822"/>
      <c r="K330" s="1822"/>
      <c r="L330" s="1822"/>
      <c r="M330" s="1822"/>
      <c r="N330" s="1827"/>
      <c r="V330" s="674"/>
      <c r="W330" s="675"/>
      <c r="Y330" s="537" t="s">
        <v>719</v>
      </c>
      <c r="AC330" s="675"/>
      <c r="AE330" s="680"/>
      <c r="AF330" s="675"/>
      <c r="AG330" s="675"/>
      <c r="AI330" s="675"/>
    </row>
    <row r="331" spans="1:35" s="536" customFormat="1" ht="1.5" customHeight="1" x14ac:dyDescent="0.2">
      <c r="A331" s="563"/>
      <c r="B331" s="671"/>
      <c r="C331" s="671"/>
      <c r="D331" s="671"/>
      <c r="E331" s="671"/>
      <c r="F331" s="563"/>
      <c r="G331" s="563"/>
      <c r="H331" s="563"/>
      <c r="I331" s="563"/>
      <c r="J331" s="546"/>
      <c r="K331" s="563"/>
      <c r="L331" s="546"/>
      <c r="M331" s="562"/>
      <c r="N331" s="546"/>
      <c r="V331" s="674"/>
      <c r="W331" s="675"/>
      <c r="AC331" s="675"/>
      <c r="AE331" s="680"/>
      <c r="AF331" s="675"/>
      <c r="AG331" s="675"/>
      <c r="AI331" s="675"/>
    </row>
    <row r="332" spans="1:35" s="536" customFormat="1" ht="12" x14ac:dyDescent="0.2">
      <c r="A332" s="557"/>
      <c r="B332" s="556"/>
      <c r="C332" s="1823" t="s">
        <v>3268</v>
      </c>
      <c r="D332" s="1823"/>
      <c r="E332" s="1823"/>
      <c r="F332" s="1823"/>
      <c r="G332" s="1823"/>
      <c r="H332" s="1823"/>
      <c r="I332" s="1823"/>
      <c r="J332" s="1823"/>
      <c r="K332" s="1823"/>
      <c r="L332" s="555"/>
      <c r="M332" s="554"/>
      <c r="N332" s="553"/>
      <c r="V332" s="674"/>
      <c r="W332" s="675"/>
      <c r="AC332" s="675"/>
      <c r="AE332" s="680"/>
      <c r="AF332" s="675"/>
      <c r="AG332" s="675" t="s">
        <v>3268</v>
      </c>
      <c r="AI332" s="675"/>
    </row>
    <row r="333" spans="1:35" s="536" customFormat="1" ht="12" x14ac:dyDescent="0.2">
      <c r="A333" s="548"/>
      <c r="B333" s="552"/>
      <c r="C333" s="1822" t="s">
        <v>403</v>
      </c>
      <c r="D333" s="1822"/>
      <c r="E333" s="1822"/>
      <c r="F333" s="1822"/>
      <c r="G333" s="1822"/>
      <c r="H333" s="1822"/>
      <c r="I333" s="1822"/>
      <c r="J333" s="1822"/>
      <c r="K333" s="1822"/>
      <c r="L333" s="551">
        <v>59301.99</v>
      </c>
      <c r="M333" s="550"/>
      <c r="N333" s="549"/>
      <c r="V333" s="674"/>
      <c r="W333" s="675"/>
      <c r="AC333" s="675"/>
      <c r="AE333" s="680"/>
      <c r="AF333" s="675"/>
      <c r="AG333" s="675"/>
      <c r="AH333" s="537" t="s">
        <v>403</v>
      </c>
      <c r="AI333" s="675"/>
    </row>
    <row r="334" spans="1:35" s="536" customFormat="1" ht="12" x14ac:dyDescent="0.2">
      <c r="A334" s="548"/>
      <c r="B334" s="552"/>
      <c r="C334" s="1822" t="s">
        <v>204</v>
      </c>
      <c r="D334" s="1822"/>
      <c r="E334" s="1822"/>
      <c r="F334" s="1822"/>
      <c r="G334" s="1822"/>
      <c r="H334" s="1822"/>
      <c r="I334" s="1822"/>
      <c r="J334" s="1822"/>
      <c r="K334" s="1822"/>
      <c r="L334" s="551"/>
      <c r="M334" s="550"/>
      <c r="N334" s="549"/>
      <c r="V334" s="674"/>
      <c r="W334" s="675"/>
      <c r="AC334" s="675"/>
      <c r="AE334" s="680"/>
      <c r="AF334" s="675"/>
      <c r="AG334" s="675"/>
      <c r="AH334" s="537" t="s">
        <v>204</v>
      </c>
      <c r="AI334" s="675"/>
    </row>
    <row r="335" spans="1:35" s="536" customFormat="1" ht="12" x14ac:dyDescent="0.2">
      <c r="A335" s="548"/>
      <c r="B335" s="552"/>
      <c r="C335" s="1822" t="s">
        <v>404</v>
      </c>
      <c r="D335" s="1822"/>
      <c r="E335" s="1822"/>
      <c r="F335" s="1822"/>
      <c r="G335" s="1822"/>
      <c r="H335" s="1822"/>
      <c r="I335" s="1822"/>
      <c r="J335" s="1822"/>
      <c r="K335" s="1822"/>
      <c r="L335" s="551">
        <v>2197.17</v>
      </c>
      <c r="M335" s="550"/>
      <c r="N335" s="549"/>
      <c r="V335" s="674"/>
      <c r="W335" s="675"/>
      <c r="AC335" s="675"/>
      <c r="AE335" s="680"/>
      <c r="AF335" s="675"/>
      <c r="AG335" s="675"/>
      <c r="AH335" s="537" t="s">
        <v>404</v>
      </c>
      <c r="AI335" s="675"/>
    </row>
    <row r="336" spans="1:35" s="536" customFormat="1" ht="12" x14ac:dyDescent="0.2">
      <c r="A336" s="548"/>
      <c r="B336" s="552"/>
      <c r="C336" s="1822" t="s">
        <v>405</v>
      </c>
      <c r="D336" s="1822"/>
      <c r="E336" s="1822"/>
      <c r="F336" s="1822"/>
      <c r="G336" s="1822"/>
      <c r="H336" s="1822"/>
      <c r="I336" s="1822"/>
      <c r="J336" s="1822"/>
      <c r="K336" s="1822"/>
      <c r="L336" s="551">
        <v>254.27</v>
      </c>
      <c r="M336" s="550"/>
      <c r="N336" s="549"/>
      <c r="V336" s="674"/>
      <c r="W336" s="675"/>
      <c r="AC336" s="675"/>
      <c r="AE336" s="680"/>
      <c r="AF336" s="675"/>
      <c r="AG336" s="675"/>
      <c r="AH336" s="537" t="s">
        <v>405</v>
      </c>
      <c r="AI336" s="675"/>
    </row>
    <row r="337" spans="1:35" s="536" customFormat="1" ht="12" x14ac:dyDescent="0.2">
      <c r="A337" s="548"/>
      <c r="B337" s="552"/>
      <c r="C337" s="1822" t="s">
        <v>406</v>
      </c>
      <c r="D337" s="1822"/>
      <c r="E337" s="1822"/>
      <c r="F337" s="1822"/>
      <c r="G337" s="1822"/>
      <c r="H337" s="1822"/>
      <c r="I337" s="1822"/>
      <c r="J337" s="1822"/>
      <c r="K337" s="1822"/>
      <c r="L337" s="551">
        <v>34.619999999999997</v>
      </c>
      <c r="M337" s="550"/>
      <c r="N337" s="549"/>
      <c r="V337" s="674"/>
      <c r="W337" s="675"/>
      <c r="AC337" s="675"/>
      <c r="AE337" s="680"/>
      <c r="AF337" s="675"/>
      <c r="AG337" s="675"/>
      <c r="AH337" s="537" t="s">
        <v>406</v>
      </c>
      <c r="AI337" s="675"/>
    </row>
    <row r="338" spans="1:35" s="536" customFormat="1" ht="12" x14ac:dyDescent="0.2">
      <c r="A338" s="548"/>
      <c r="B338" s="552"/>
      <c r="C338" s="1822" t="s">
        <v>480</v>
      </c>
      <c r="D338" s="1822"/>
      <c r="E338" s="1822"/>
      <c r="F338" s="1822"/>
      <c r="G338" s="1822"/>
      <c r="H338" s="1822"/>
      <c r="I338" s="1822"/>
      <c r="J338" s="1822"/>
      <c r="K338" s="1822"/>
      <c r="L338" s="551">
        <v>56850.55</v>
      </c>
      <c r="M338" s="550"/>
      <c r="N338" s="549"/>
      <c r="V338" s="674"/>
      <c r="W338" s="675"/>
      <c r="AC338" s="675"/>
      <c r="AE338" s="680"/>
      <c r="AF338" s="675"/>
      <c r="AG338" s="675"/>
      <c r="AH338" s="537" t="s">
        <v>480</v>
      </c>
      <c r="AI338" s="675"/>
    </row>
    <row r="339" spans="1:35" s="536" customFormat="1" ht="12" x14ac:dyDescent="0.2">
      <c r="A339" s="548"/>
      <c r="B339" s="552"/>
      <c r="C339" s="1822" t="s">
        <v>407</v>
      </c>
      <c r="D339" s="1822"/>
      <c r="E339" s="1822"/>
      <c r="F339" s="1822"/>
      <c r="G339" s="1822"/>
      <c r="H339" s="1822"/>
      <c r="I339" s="1822"/>
      <c r="J339" s="1822"/>
      <c r="K339" s="1822"/>
      <c r="L339" s="551">
        <v>62704.52</v>
      </c>
      <c r="M339" s="550"/>
      <c r="N339" s="549"/>
      <c r="V339" s="674"/>
      <c r="W339" s="675"/>
      <c r="AC339" s="675"/>
      <c r="AE339" s="680"/>
      <c r="AF339" s="675"/>
      <c r="AG339" s="675"/>
      <c r="AH339" s="537" t="s">
        <v>407</v>
      </c>
      <c r="AI339" s="675"/>
    </row>
    <row r="340" spans="1:35" s="536" customFormat="1" ht="12" x14ac:dyDescent="0.2">
      <c r="A340" s="548"/>
      <c r="B340" s="552"/>
      <c r="C340" s="1822" t="s">
        <v>204</v>
      </c>
      <c r="D340" s="1822"/>
      <c r="E340" s="1822"/>
      <c r="F340" s="1822"/>
      <c r="G340" s="1822"/>
      <c r="H340" s="1822"/>
      <c r="I340" s="1822"/>
      <c r="J340" s="1822"/>
      <c r="K340" s="1822"/>
      <c r="L340" s="551"/>
      <c r="M340" s="550"/>
      <c r="N340" s="549"/>
      <c r="V340" s="674"/>
      <c r="W340" s="675"/>
      <c r="AC340" s="675"/>
      <c r="AE340" s="680"/>
      <c r="AF340" s="675"/>
      <c r="AG340" s="675"/>
      <c r="AH340" s="537" t="s">
        <v>204</v>
      </c>
      <c r="AI340" s="675"/>
    </row>
    <row r="341" spans="1:35" s="536" customFormat="1" ht="12" x14ac:dyDescent="0.2">
      <c r="A341" s="548"/>
      <c r="B341" s="552"/>
      <c r="C341" s="1822" t="s">
        <v>546</v>
      </c>
      <c r="D341" s="1822"/>
      <c r="E341" s="1822"/>
      <c r="F341" s="1822"/>
      <c r="G341" s="1822"/>
      <c r="H341" s="1822"/>
      <c r="I341" s="1822"/>
      <c r="J341" s="1822"/>
      <c r="K341" s="1822"/>
      <c r="L341" s="551">
        <v>2197.17</v>
      </c>
      <c r="M341" s="550"/>
      <c r="N341" s="549"/>
      <c r="V341" s="674"/>
      <c r="W341" s="675"/>
      <c r="AC341" s="675"/>
      <c r="AE341" s="680"/>
      <c r="AF341" s="675"/>
      <c r="AG341" s="675"/>
      <c r="AH341" s="537" t="s">
        <v>546</v>
      </c>
      <c r="AI341" s="675"/>
    </row>
    <row r="342" spans="1:35" s="536" customFormat="1" ht="12" x14ac:dyDescent="0.2">
      <c r="A342" s="548"/>
      <c r="B342" s="552"/>
      <c r="C342" s="1822" t="s">
        <v>442</v>
      </c>
      <c r="D342" s="1822"/>
      <c r="E342" s="1822"/>
      <c r="F342" s="1822"/>
      <c r="G342" s="1822"/>
      <c r="H342" s="1822"/>
      <c r="I342" s="1822"/>
      <c r="J342" s="1822"/>
      <c r="K342" s="1822"/>
      <c r="L342" s="551">
        <v>254.27</v>
      </c>
      <c r="M342" s="550"/>
      <c r="N342" s="549"/>
      <c r="V342" s="674"/>
      <c r="W342" s="675"/>
      <c r="AC342" s="675"/>
      <c r="AE342" s="680"/>
      <c r="AF342" s="675"/>
      <c r="AG342" s="675"/>
      <c r="AH342" s="537" t="s">
        <v>442</v>
      </c>
      <c r="AI342" s="675"/>
    </row>
    <row r="343" spans="1:35" s="536" customFormat="1" ht="12" x14ac:dyDescent="0.2">
      <c r="A343" s="548"/>
      <c r="B343" s="552"/>
      <c r="C343" s="1822" t="s">
        <v>547</v>
      </c>
      <c r="D343" s="1822"/>
      <c r="E343" s="1822"/>
      <c r="F343" s="1822"/>
      <c r="G343" s="1822"/>
      <c r="H343" s="1822"/>
      <c r="I343" s="1822"/>
      <c r="J343" s="1822"/>
      <c r="K343" s="1822"/>
      <c r="L343" s="551">
        <v>56850.55</v>
      </c>
      <c r="M343" s="550"/>
      <c r="N343" s="549"/>
      <c r="V343" s="674"/>
      <c r="W343" s="675"/>
      <c r="AC343" s="675"/>
      <c r="AE343" s="680"/>
      <c r="AF343" s="675"/>
      <c r="AG343" s="675"/>
      <c r="AH343" s="537" t="s">
        <v>547</v>
      </c>
      <c r="AI343" s="675"/>
    </row>
    <row r="344" spans="1:35" s="536" customFormat="1" ht="12" x14ac:dyDescent="0.2">
      <c r="A344" s="548"/>
      <c r="B344" s="552"/>
      <c r="C344" s="1822" t="s">
        <v>443</v>
      </c>
      <c r="D344" s="1822"/>
      <c r="E344" s="1822"/>
      <c r="F344" s="1822"/>
      <c r="G344" s="1822"/>
      <c r="H344" s="1822"/>
      <c r="I344" s="1822"/>
      <c r="J344" s="1822"/>
      <c r="K344" s="1822"/>
      <c r="L344" s="551">
        <v>2141.77</v>
      </c>
      <c r="M344" s="550"/>
      <c r="N344" s="549"/>
      <c r="V344" s="674"/>
      <c r="W344" s="675"/>
      <c r="AC344" s="675"/>
      <c r="AE344" s="680"/>
      <c r="AF344" s="675"/>
      <c r="AG344" s="675"/>
      <c r="AH344" s="537" t="s">
        <v>443</v>
      </c>
      <c r="AI344" s="675"/>
    </row>
    <row r="345" spans="1:35" s="536" customFormat="1" ht="12" x14ac:dyDescent="0.2">
      <c r="A345" s="548"/>
      <c r="B345" s="552"/>
      <c r="C345" s="1822" t="s">
        <v>444</v>
      </c>
      <c r="D345" s="1822"/>
      <c r="E345" s="1822"/>
      <c r="F345" s="1822"/>
      <c r="G345" s="1822"/>
      <c r="H345" s="1822"/>
      <c r="I345" s="1822"/>
      <c r="J345" s="1822"/>
      <c r="K345" s="1822"/>
      <c r="L345" s="551">
        <v>1260.76</v>
      </c>
      <c r="M345" s="550"/>
      <c r="N345" s="549"/>
      <c r="V345" s="674"/>
      <c r="W345" s="675"/>
      <c r="AC345" s="675"/>
      <c r="AE345" s="680"/>
      <c r="AF345" s="675"/>
      <c r="AG345" s="675"/>
      <c r="AH345" s="537" t="s">
        <v>444</v>
      </c>
      <c r="AI345" s="675"/>
    </row>
    <row r="346" spans="1:35" s="536" customFormat="1" ht="12" x14ac:dyDescent="0.2">
      <c r="A346" s="548"/>
      <c r="B346" s="552"/>
      <c r="C346" s="1822" t="s">
        <v>415</v>
      </c>
      <c r="D346" s="1822"/>
      <c r="E346" s="1822"/>
      <c r="F346" s="1822"/>
      <c r="G346" s="1822"/>
      <c r="H346" s="1822"/>
      <c r="I346" s="1822"/>
      <c r="J346" s="1822"/>
      <c r="K346" s="1822"/>
      <c r="L346" s="551">
        <v>2231.79</v>
      </c>
      <c r="M346" s="550"/>
      <c r="N346" s="549"/>
      <c r="V346" s="674"/>
      <c r="W346" s="675"/>
      <c r="AC346" s="675"/>
      <c r="AE346" s="680"/>
      <c r="AF346" s="675"/>
      <c r="AG346" s="675"/>
      <c r="AH346" s="537" t="s">
        <v>415</v>
      </c>
      <c r="AI346" s="675"/>
    </row>
    <row r="347" spans="1:35" s="536" customFormat="1" ht="12" x14ac:dyDescent="0.2">
      <c r="A347" s="548"/>
      <c r="B347" s="552"/>
      <c r="C347" s="1822" t="s">
        <v>416</v>
      </c>
      <c r="D347" s="1822"/>
      <c r="E347" s="1822"/>
      <c r="F347" s="1822"/>
      <c r="G347" s="1822"/>
      <c r="H347" s="1822"/>
      <c r="I347" s="1822"/>
      <c r="J347" s="1822"/>
      <c r="K347" s="1822"/>
      <c r="L347" s="551">
        <v>2141.77</v>
      </c>
      <c r="M347" s="550"/>
      <c r="N347" s="549"/>
      <c r="V347" s="674"/>
      <c r="W347" s="675"/>
      <c r="AC347" s="675"/>
      <c r="AE347" s="680"/>
      <c r="AF347" s="675"/>
      <c r="AG347" s="675"/>
      <c r="AH347" s="537" t="s">
        <v>416</v>
      </c>
      <c r="AI347" s="675"/>
    </row>
    <row r="348" spans="1:35" s="536" customFormat="1" ht="12" x14ac:dyDescent="0.2">
      <c r="A348" s="548"/>
      <c r="B348" s="552"/>
      <c r="C348" s="1822" t="s">
        <v>417</v>
      </c>
      <c r="D348" s="1822"/>
      <c r="E348" s="1822"/>
      <c r="F348" s="1822"/>
      <c r="G348" s="1822"/>
      <c r="H348" s="1822"/>
      <c r="I348" s="1822"/>
      <c r="J348" s="1822"/>
      <c r="K348" s="1822"/>
      <c r="L348" s="551">
        <v>1260.76</v>
      </c>
      <c r="M348" s="550"/>
      <c r="N348" s="549"/>
      <c r="V348" s="674"/>
      <c r="W348" s="675"/>
      <c r="AC348" s="675"/>
      <c r="AE348" s="680"/>
      <c r="AF348" s="675"/>
      <c r="AG348" s="675"/>
      <c r="AH348" s="537" t="s">
        <v>417</v>
      </c>
      <c r="AI348" s="675"/>
    </row>
    <row r="349" spans="1:35" s="536" customFormat="1" ht="12" x14ac:dyDescent="0.2">
      <c r="A349" s="548"/>
      <c r="B349" s="546"/>
      <c r="C349" s="1819" t="s">
        <v>3269</v>
      </c>
      <c r="D349" s="1819"/>
      <c r="E349" s="1819"/>
      <c r="F349" s="1819"/>
      <c r="G349" s="1819"/>
      <c r="H349" s="1819"/>
      <c r="I349" s="1819"/>
      <c r="J349" s="1819"/>
      <c r="K349" s="1819"/>
      <c r="L349" s="544">
        <v>62704.52</v>
      </c>
      <c r="M349" s="543"/>
      <c r="N349" s="681"/>
      <c r="V349" s="674"/>
      <c r="W349" s="675"/>
      <c r="AC349" s="675"/>
      <c r="AE349" s="680"/>
      <c r="AF349" s="675"/>
      <c r="AG349" s="675"/>
      <c r="AI349" s="675" t="s">
        <v>3269</v>
      </c>
    </row>
    <row r="350" spans="1:35" s="536" customFormat="1" ht="12" x14ac:dyDescent="0.2">
      <c r="A350" s="548"/>
      <c r="B350" s="552"/>
      <c r="C350" s="1822" t="s">
        <v>204</v>
      </c>
      <c r="D350" s="1822"/>
      <c r="E350" s="1822"/>
      <c r="F350" s="1822"/>
      <c r="G350" s="1822"/>
      <c r="H350" s="1822"/>
      <c r="I350" s="1822"/>
      <c r="J350" s="1822"/>
      <c r="K350" s="1822"/>
      <c r="L350" s="551"/>
      <c r="M350" s="550"/>
      <c r="N350" s="549"/>
      <c r="V350" s="674"/>
      <c r="W350" s="675"/>
      <c r="AC350" s="675"/>
      <c r="AE350" s="680"/>
      <c r="AF350" s="675"/>
      <c r="AG350" s="675"/>
      <c r="AH350" s="537" t="s">
        <v>204</v>
      </c>
      <c r="AI350" s="675"/>
    </row>
    <row r="351" spans="1:35" s="536" customFormat="1" ht="12" x14ac:dyDescent="0.2">
      <c r="A351" s="548"/>
      <c r="B351" s="552"/>
      <c r="C351" s="1822" t="s">
        <v>8095</v>
      </c>
      <c r="D351" s="1822"/>
      <c r="E351" s="1822"/>
      <c r="F351" s="1822"/>
      <c r="G351" s="1822"/>
      <c r="H351" s="1822"/>
      <c r="I351" s="1822"/>
      <c r="J351" s="1822"/>
      <c r="K351" s="1822"/>
      <c r="L351" s="551">
        <v>33983.29</v>
      </c>
      <c r="M351" s="550"/>
      <c r="N351" s="549"/>
      <c r="V351" s="674"/>
      <c r="W351" s="675"/>
      <c r="AC351" s="675"/>
      <c r="AE351" s="680"/>
      <c r="AF351" s="675"/>
      <c r="AG351" s="675"/>
      <c r="AH351" s="537" t="s">
        <v>8095</v>
      </c>
      <c r="AI351" s="675"/>
    </row>
    <row r="352" spans="1:35" s="536" customFormat="1" ht="12" x14ac:dyDescent="0.2">
      <c r="A352" s="1824" t="s">
        <v>1614</v>
      </c>
      <c r="B352" s="1825"/>
      <c r="C352" s="1825"/>
      <c r="D352" s="1825"/>
      <c r="E352" s="1825"/>
      <c r="F352" s="1825"/>
      <c r="G352" s="1825"/>
      <c r="H352" s="1825"/>
      <c r="I352" s="1825"/>
      <c r="J352" s="1825"/>
      <c r="K352" s="1825"/>
      <c r="L352" s="1825"/>
      <c r="M352" s="1825"/>
      <c r="N352" s="1826"/>
      <c r="V352" s="674" t="s">
        <v>1614</v>
      </c>
      <c r="W352" s="675"/>
      <c r="AC352" s="675"/>
      <c r="AE352" s="680"/>
      <c r="AF352" s="675"/>
      <c r="AG352" s="675"/>
      <c r="AI352" s="675"/>
    </row>
    <row r="353" spans="1:36" s="536" customFormat="1" ht="78.75" x14ac:dyDescent="0.2">
      <c r="A353" s="575" t="s">
        <v>768</v>
      </c>
      <c r="B353" s="670" t="s">
        <v>1135</v>
      </c>
      <c r="C353" s="1823" t="s">
        <v>1337</v>
      </c>
      <c r="D353" s="1823"/>
      <c r="E353" s="1823"/>
      <c r="F353" s="573" t="s">
        <v>201</v>
      </c>
      <c r="G353" s="573"/>
      <c r="H353" s="573"/>
      <c r="I353" s="573" t="s">
        <v>3940</v>
      </c>
      <c r="J353" s="572">
        <v>76.88</v>
      </c>
      <c r="K353" s="573"/>
      <c r="L353" s="572">
        <v>22.06</v>
      </c>
      <c r="M353" s="571"/>
      <c r="N353" s="570"/>
      <c r="V353" s="674"/>
      <c r="W353" s="675" t="s">
        <v>1337</v>
      </c>
      <c r="AC353" s="675"/>
      <c r="AE353" s="680"/>
      <c r="AF353" s="675"/>
      <c r="AG353" s="675"/>
      <c r="AI353" s="675"/>
    </row>
    <row r="354" spans="1:36" s="536" customFormat="1" ht="12" x14ac:dyDescent="0.2">
      <c r="A354" s="569"/>
      <c r="B354" s="671"/>
      <c r="C354" s="665" t="s">
        <v>717</v>
      </c>
      <c r="D354" s="666"/>
      <c r="E354" s="666"/>
      <c r="F354" s="563"/>
      <c r="G354" s="563"/>
      <c r="H354" s="563"/>
      <c r="I354" s="563"/>
      <c r="J354" s="566"/>
      <c r="K354" s="563"/>
      <c r="L354" s="566"/>
      <c r="M354" s="565"/>
      <c r="N354" s="564"/>
      <c r="V354" s="674"/>
      <c r="W354" s="675"/>
      <c r="AC354" s="675"/>
      <c r="AE354" s="680"/>
      <c r="AF354" s="675"/>
      <c r="AG354" s="675"/>
      <c r="AI354" s="675"/>
    </row>
    <row r="355" spans="1:36" s="536" customFormat="1" ht="90" x14ac:dyDescent="0.2">
      <c r="A355" s="575" t="s">
        <v>769</v>
      </c>
      <c r="B355" s="670" t="s">
        <v>1338</v>
      </c>
      <c r="C355" s="1823" t="s">
        <v>3270</v>
      </c>
      <c r="D355" s="1823"/>
      <c r="E355" s="1823"/>
      <c r="F355" s="573" t="s">
        <v>201</v>
      </c>
      <c r="G355" s="573"/>
      <c r="H355" s="573"/>
      <c r="I355" s="573" t="s">
        <v>3941</v>
      </c>
      <c r="J355" s="572">
        <v>90.45</v>
      </c>
      <c r="K355" s="573"/>
      <c r="L355" s="572">
        <v>53</v>
      </c>
      <c r="M355" s="571"/>
      <c r="N355" s="570"/>
      <c r="V355" s="674"/>
      <c r="W355" s="675" t="s">
        <v>3270</v>
      </c>
      <c r="AC355" s="675"/>
      <c r="AE355" s="680"/>
      <c r="AF355" s="675"/>
      <c r="AG355" s="675"/>
      <c r="AI355" s="675"/>
    </row>
    <row r="356" spans="1:36" s="536" customFormat="1" ht="12" x14ac:dyDescent="0.2">
      <c r="A356" s="569"/>
      <c r="B356" s="671"/>
      <c r="C356" s="665" t="s">
        <v>717</v>
      </c>
      <c r="D356" s="666"/>
      <c r="E356" s="666"/>
      <c r="F356" s="563"/>
      <c r="G356" s="563"/>
      <c r="H356" s="563"/>
      <c r="I356" s="563"/>
      <c r="J356" s="566"/>
      <c r="K356" s="563"/>
      <c r="L356" s="566"/>
      <c r="M356" s="565"/>
      <c r="N356" s="564"/>
      <c r="V356" s="674"/>
      <c r="W356" s="675"/>
      <c r="AC356" s="675"/>
      <c r="AE356" s="680"/>
      <c r="AF356" s="675"/>
      <c r="AG356" s="675"/>
      <c r="AI356" s="675"/>
    </row>
    <row r="357" spans="1:36" s="536" customFormat="1" ht="12" x14ac:dyDescent="0.2">
      <c r="A357" s="676"/>
      <c r="B357" s="664"/>
      <c r="C357" s="1822" t="s">
        <v>3942</v>
      </c>
      <c r="D357" s="1822"/>
      <c r="E357" s="1822"/>
      <c r="F357" s="1822"/>
      <c r="G357" s="1822"/>
      <c r="H357" s="1822"/>
      <c r="I357" s="1822"/>
      <c r="J357" s="1822"/>
      <c r="K357" s="1822"/>
      <c r="L357" s="1822"/>
      <c r="M357" s="1822"/>
      <c r="N357" s="1827"/>
      <c r="V357" s="674"/>
      <c r="W357" s="675"/>
      <c r="X357" s="537" t="s">
        <v>3942</v>
      </c>
      <c r="AC357" s="675"/>
      <c r="AE357" s="680"/>
      <c r="AF357" s="675"/>
      <c r="AG357" s="675"/>
      <c r="AI357" s="675"/>
    </row>
    <row r="358" spans="1:36" s="536" customFormat="1" ht="1.5" customHeight="1" x14ac:dyDescent="0.2">
      <c r="A358" s="563"/>
      <c r="B358" s="671"/>
      <c r="C358" s="671"/>
      <c r="D358" s="671"/>
      <c r="E358" s="671"/>
      <c r="F358" s="563"/>
      <c r="G358" s="563"/>
      <c r="H358" s="563"/>
      <c r="I358" s="563"/>
      <c r="J358" s="546"/>
      <c r="K358" s="563"/>
      <c r="L358" s="546"/>
      <c r="M358" s="562"/>
      <c r="N358" s="546"/>
      <c r="V358" s="674"/>
      <c r="W358" s="675"/>
      <c r="AC358" s="675"/>
      <c r="AE358" s="680"/>
      <c r="AF358" s="675"/>
      <c r="AG358" s="675"/>
      <c r="AI358" s="675"/>
    </row>
    <row r="359" spans="1:36" s="536" customFormat="1" ht="22.5" x14ac:dyDescent="0.2">
      <c r="A359" s="557"/>
      <c r="B359" s="556"/>
      <c r="C359" s="1823" t="s">
        <v>1620</v>
      </c>
      <c r="D359" s="1823"/>
      <c r="E359" s="1823"/>
      <c r="F359" s="1823"/>
      <c r="G359" s="1823"/>
      <c r="H359" s="1823"/>
      <c r="I359" s="1823"/>
      <c r="J359" s="1823"/>
      <c r="K359" s="1823"/>
      <c r="L359" s="555"/>
      <c r="M359" s="554"/>
      <c r="N359" s="553"/>
      <c r="V359" s="674"/>
      <c r="W359" s="675"/>
      <c r="AC359" s="675"/>
      <c r="AE359" s="680"/>
      <c r="AF359" s="675"/>
      <c r="AG359" s="675" t="s">
        <v>1620</v>
      </c>
      <c r="AI359" s="675"/>
    </row>
    <row r="360" spans="1:36" s="536" customFormat="1" ht="12" x14ac:dyDescent="0.2">
      <c r="A360" s="548"/>
      <c r="B360" s="552"/>
      <c r="C360" s="1822" t="s">
        <v>403</v>
      </c>
      <c r="D360" s="1822"/>
      <c r="E360" s="1822"/>
      <c r="F360" s="1822"/>
      <c r="G360" s="1822"/>
      <c r="H360" s="1822"/>
      <c r="I360" s="1822"/>
      <c r="J360" s="1822"/>
      <c r="K360" s="1822"/>
      <c r="L360" s="551">
        <v>75.06</v>
      </c>
      <c r="M360" s="550"/>
      <c r="N360" s="549"/>
      <c r="V360" s="674"/>
      <c r="W360" s="675"/>
      <c r="AC360" s="675"/>
      <c r="AE360" s="680"/>
      <c r="AF360" s="675"/>
      <c r="AG360" s="675"/>
      <c r="AH360" s="537" t="s">
        <v>403</v>
      </c>
      <c r="AI360" s="675"/>
    </row>
    <row r="361" spans="1:36" s="536" customFormat="1" ht="12" x14ac:dyDescent="0.2">
      <c r="A361" s="548"/>
      <c r="B361" s="552"/>
      <c r="C361" s="1822" t="s">
        <v>204</v>
      </c>
      <c r="D361" s="1822"/>
      <c r="E361" s="1822"/>
      <c r="F361" s="1822"/>
      <c r="G361" s="1822"/>
      <c r="H361" s="1822"/>
      <c r="I361" s="1822"/>
      <c r="J361" s="1822"/>
      <c r="K361" s="1822"/>
      <c r="L361" s="551"/>
      <c r="M361" s="550"/>
      <c r="N361" s="549"/>
      <c r="V361" s="674"/>
      <c r="W361" s="675"/>
      <c r="AC361" s="675"/>
      <c r="AE361" s="680"/>
      <c r="AF361" s="675"/>
      <c r="AG361" s="675"/>
      <c r="AH361" s="537" t="s">
        <v>204</v>
      </c>
      <c r="AI361" s="675"/>
    </row>
    <row r="362" spans="1:36" s="536" customFormat="1" ht="12" x14ac:dyDescent="0.2">
      <c r="A362" s="548"/>
      <c r="B362" s="552"/>
      <c r="C362" s="1822" t="s">
        <v>480</v>
      </c>
      <c r="D362" s="1822"/>
      <c r="E362" s="1822"/>
      <c r="F362" s="1822"/>
      <c r="G362" s="1822"/>
      <c r="H362" s="1822"/>
      <c r="I362" s="1822"/>
      <c r="J362" s="1822"/>
      <c r="K362" s="1822"/>
      <c r="L362" s="551">
        <v>75.06</v>
      </c>
      <c r="M362" s="550"/>
      <c r="N362" s="549"/>
      <c r="V362" s="674"/>
      <c r="W362" s="675"/>
      <c r="AC362" s="675"/>
      <c r="AE362" s="680"/>
      <c r="AF362" s="675"/>
      <c r="AG362" s="675"/>
      <c r="AH362" s="537" t="s">
        <v>480</v>
      </c>
      <c r="AI362" s="675"/>
    </row>
    <row r="363" spans="1:36" s="536" customFormat="1" ht="12" x14ac:dyDescent="0.2">
      <c r="A363" s="548"/>
      <c r="B363" s="552"/>
      <c r="C363" s="1822" t="s">
        <v>407</v>
      </c>
      <c r="D363" s="1822"/>
      <c r="E363" s="1822"/>
      <c r="F363" s="1822"/>
      <c r="G363" s="1822"/>
      <c r="H363" s="1822"/>
      <c r="I363" s="1822"/>
      <c r="J363" s="1822"/>
      <c r="K363" s="1822"/>
      <c r="L363" s="551">
        <v>75.06</v>
      </c>
      <c r="M363" s="550"/>
      <c r="N363" s="549"/>
      <c r="V363" s="674"/>
      <c r="W363" s="675"/>
      <c r="AC363" s="675"/>
      <c r="AE363" s="680"/>
      <c r="AF363" s="675"/>
      <c r="AG363" s="675"/>
      <c r="AH363" s="537" t="s">
        <v>407</v>
      </c>
      <c r="AI363" s="675"/>
    </row>
    <row r="364" spans="1:36" s="536" customFormat="1" ht="12" x14ac:dyDescent="0.2">
      <c r="A364" s="548"/>
      <c r="B364" s="552"/>
      <c r="C364" s="1822" t="s">
        <v>204</v>
      </c>
      <c r="D364" s="1822"/>
      <c r="E364" s="1822"/>
      <c r="F364" s="1822"/>
      <c r="G364" s="1822"/>
      <c r="H364" s="1822"/>
      <c r="I364" s="1822"/>
      <c r="J364" s="1822"/>
      <c r="K364" s="1822"/>
      <c r="L364" s="551"/>
      <c r="M364" s="550"/>
      <c r="N364" s="549"/>
      <c r="V364" s="674"/>
      <c r="W364" s="675"/>
      <c r="AC364" s="675"/>
      <c r="AE364" s="680"/>
      <c r="AF364" s="675"/>
      <c r="AG364" s="675"/>
      <c r="AH364" s="537" t="s">
        <v>204</v>
      </c>
      <c r="AI364" s="675"/>
    </row>
    <row r="365" spans="1:36" s="536" customFormat="1" ht="12" x14ac:dyDescent="0.2">
      <c r="A365" s="548"/>
      <c r="B365" s="552"/>
      <c r="C365" s="1822" t="s">
        <v>547</v>
      </c>
      <c r="D365" s="1822"/>
      <c r="E365" s="1822"/>
      <c r="F365" s="1822"/>
      <c r="G365" s="1822"/>
      <c r="H365" s="1822"/>
      <c r="I365" s="1822"/>
      <c r="J365" s="1822"/>
      <c r="K365" s="1822"/>
      <c r="L365" s="551">
        <v>75.06</v>
      </c>
      <c r="M365" s="550"/>
      <c r="N365" s="549"/>
      <c r="V365" s="674"/>
      <c r="W365" s="675"/>
      <c r="AC365" s="675"/>
      <c r="AE365" s="680"/>
      <c r="AF365" s="675"/>
      <c r="AG365" s="675"/>
      <c r="AH365" s="537" t="s">
        <v>547</v>
      </c>
      <c r="AI365" s="675"/>
    </row>
    <row r="366" spans="1:36" s="536" customFormat="1" ht="22.5" x14ac:dyDescent="0.2">
      <c r="A366" s="548"/>
      <c r="B366" s="546"/>
      <c r="C366" s="1819" t="s">
        <v>1621</v>
      </c>
      <c r="D366" s="1819"/>
      <c r="E366" s="1819"/>
      <c r="F366" s="1819"/>
      <c r="G366" s="1819"/>
      <c r="H366" s="1819"/>
      <c r="I366" s="1819"/>
      <c r="J366" s="1819"/>
      <c r="K366" s="1819"/>
      <c r="L366" s="544">
        <v>75.06</v>
      </c>
      <c r="M366" s="543"/>
      <c r="N366" s="681"/>
      <c r="V366" s="674"/>
      <c r="W366" s="675"/>
      <c r="AC366" s="675"/>
      <c r="AE366" s="680"/>
      <c r="AF366" s="675"/>
      <c r="AG366" s="675"/>
      <c r="AI366" s="675" t="s">
        <v>1621</v>
      </c>
    </row>
    <row r="367" spans="1:36" s="536" customFormat="1" ht="2.25" customHeight="1" x14ac:dyDescent="0.2">
      <c r="B367" s="561"/>
      <c r="C367" s="561"/>
      <c r="D367" s="561"/>
      <c r="E367" s="561"/>
      <c r="F367" s="561"/>
      <c r="G367" s="561"/>
      <c r="H367" s="561"/>
      <c r="I367" s="561"/>
      <c r="J367" s="561"/>
      <c r="K367" s="561"/>
      <c r="L367" s="560"/>
      <c r="M367" s="559"/>
      <c r="N367" s="558"/>
    </row>
    <row r="368" spans="1:36" s="536" customFormat="1" x14ac:dyDescent="0.2">
      <c r="A368" s="557"/>
      <c r="B368" s="556"/>
      <c r="C368" s="1823" t="s">
        <v>205</v>
      </c>
      <c r="D368" s="1823"/>
      <c r="E368" s="1823"/>
      <c r="F368" s="1823"/>
      <c r="G368" s="1823"/>
      <c r="H368" s="1823"/>
      <c r="I368" s="1823"/>
      <c r="J368" s="1823"/>
      <c r="K368" s="1823"/>
      <c r="L368" s="555"/>
      <c r="M368" s="554"/>
      <c r="N368" s="553"/>
      <c r="AJ368" s="675" t="s">
        <v>205</v>
      </c>
    </row>
    <row r="369" spans="1:37" s="536" customFormat="1" x14ac:dyDescent="0.2">
      <c r="A369" s="548"/>
      <c r="B369" s="552"/>
      <c r="C369" s="1822" t="s">
        <v>403</v>
      </c>
      <c r="D369" s="1822"/>
      <c r="E369" s="1822"/>
      <c r="F369" s="1822"/>
      <c r="G369" s="1822"/>
      <c r="H369" s="1822"/>
      <c r="I369" s="1822"/>
      <c r="J369" s="1822"/>
      <c r="K369" s="1822"/>
      <c r="L369" s="551">
        <v>77401.039999999994</v>
      </c>
      <c r="M369" s="550"/>
      <c r="N369" s="549"/>
      <c r="AJ369" s="675"/>
      <c r="AK369" s="537" t="s">
        <v>403</v>
      </c>
    </row>
    <row r="370" spans="1:37" s="536" customFormat="1" x14ac:dyDescent="0.2">
      <c r="A370" s="548"/>
      <c r="B370" s="552"/>
      <c r="C370" s="1822" t="s">
        <v>204</v>
      </c>
      <c r="D370" s="1822"/>
      <c r="E370" s="1822"/>
      <c r="F370" s="1822"/>
      <c r="G370" s="1822"/>
      <c r="H370" s="1822"/>
      <c r="I370" s="1822"/>
      <c r="J370" s="1822"/>
      <c r="K370" s="1822"/>
      <c r="L370" s="551"/>
      <c r="M370" s="550"/>
      <c r="N370" s="549"/>
      <c r="AJ370" s="675"/>
      <c r="AK370" s="537" t="s">
        <v>204</v>
      </c>
    </row>
    <row r="371" spans="1:37" s="536" customFormat="1" x14ac:dyDescent="0.2">
      <c r="A371" s="548"/>
      <c r="B371" s="552"/>
      <c r="C371" s="1822" t="s">
        <v>404</v>
      </c>
      <c r="D371" s="1822"/>
      <c r="E371" s="1822"/>
      <c r="F371" s="1822"/>
      <c r="G371" s="1822"/>
      <c r="H371" s="1822"/>
      <c r="I371" s="1822"/>
      <c r="J371" s="1822"/>
      <c r="K371" s="1822"/>
      <c r="L371" s="551">
        <v>3667.5</v>
      </c>
      <c r="M371" s="550"/>
      <c r="N371" s="549"/>
      <c r="AJ371" s="675"/>
      <c r="AK371" s="537" t="s">
        <v>404</v>
      </c>
    </row>
    <row r="372" spans="1:37" s="536" customFormat="1" x14ac:dyDescent="0.2">
      <c r="A372" s="548"/>
      <c r="B372" s="552"/>
      <c r="C372" s="1822" t="s">
        <v>405</v>
      </c>
      <c r="D372" s="1822"/>
      <c r="E372" s="1822"/>
      <c r="F372" s="1822"/>
      <c r="G372" s="1822"/>
      <c r="H372" s="1822"/>
      <c r="I372" s="1822"/>
      <c r="J372" s="1822"/>
      <c r="K372" s="1822"/>
      <c r="L372" s="551">
        <v>473.59</v>
      </c>
      <c r="M372" s="550"/>
      <c r="N372" s="549"/>
      <c r="AJ372" s="675"/>
      <c r="AK372" s="537" t="s">
        <v>405</v>
      </c>
    </row>
    <row r="373" spans="1:37" s="536" customFormat="1" x14ac:dyDescent="0.2">
      <c r="A373" s="548"/>
      <c r="B373" s="552"/>
      <c r="C373" s="1822" t="s">
        <v>406</v>
      </c>
      <c r="D373" s="1822"/>
      <c r="E373" s="1822"/>
      <c r="F373" s="1822"/>
      <c r="G373" s="1822"/>
      <c r="H373" s="1822"/>
      <c r="I373" s="1822"/>
      <c r="J373" s="1822"/>
      <c r="K373" s="1822"/>
      <c r="L373" s="551">
        <v>67.7</v>
      </c>
      <c r="M373" s="550"/>
      <c r="N373" s="549"/>
      <c r="AJ373" s="675"/>
      <c r="AK373" s="537" t="s">
        <v>406</v>
      </c>
    </row>
    <row r="374" spans="1:37" s="536" customFormat="1" x14ac:dyDescent="0.2">
      <c r="A374" s="548"/>
      <c r="B374" s="552"/>
      <c r="C374" s="1822" t="s">
        <v>480</v>
      </c>
      <c r="D374" s="1822"/>
      <c r="E374" s="1822"/>
      <c r="F374" s="1822"/>
      <c r="G374" s="1822"/>
      <c r="H374" s="1822"/>
      <c r="I374" s="1822"/>
      <c r="J374" s="1822"/>
      <c r="K374" s="1822"/>
      <c r="L374" s="551">
        <v>73259.95</v>
      </c>
      <c r="M374" s="550"/>
      <c r="N374" s="549"/>
      <c r="AJ374" s="675"/>
      <c r="AK374" s="537" t="s">
        <v>480</v>
      </c>
    </row>
    <row r="375" spans="1:37" s="536" customFormat="1" x14ac:dyDescent="0.2">
      <c r="A375" s="548"/>
      <c r="B375" s="552" t="s">
        <v>185</v>
      </c>
      <c r="C375" s="1822" t="s">
        <v>407</v>
      </c>
      <c r="D375" s="1822"/>
      <c r="E375" s="1822"/>
      <c r="F375" s="1822"/>
      <c r="G375" s="1822"/>
      <c r="H375" s="1822"/>
      <c r="I375" s="1822"/>
      <c r="J375" s="1822"/>
      <c r="K375" s="1822"/>
      <c r="L375" s="551">
        <v>83410.05</v>
      </c>
      <c r="M375" s="550">
        <v>8.32</v>
      </c>
      <c r="N375" s="549">
        <v>693972</v>
      </c>
      <c r="AJ375" s="675"/>
      <c r="AK375" s="537" t="s">
        <v>407</v>
      </c>
    </row>
    <row r="376" spans="1:37" s="536" customFormat="1" x14ac:dyDescent="0.2">
      <c r="A376" s="548"/>
      <c r="B376" s="552"/>
      <c r="C376" s="1822" t="s">
        <v>204</v>
      </c>
      <c r="D376" s="1822"/>
      <c r="E376" s="1822"/>
      <c r="F376" s="1822"/>
      <c r="G376" s="1822"/>
      <c r="H376" s="1822"/>
      <c r="I376" s="1822"/>
      <c r="J376" s="1822"/>
      <c r="K376" s="1822"/>
      <c r="L376" s="551"/>
      <c r="M376" s="550"/>
      <c r="N376" s="549"/>
      <c r="AJ376" s="675"/>
      <c r="AK376" s="537" t="s">
        <v>204</v>
      </c>
    </row>
    <row r="377" spans="1:37" s="536" customFormat="1" x14ac:dyDescent="0.2">
      <c r="A377" s="548"/>
      <c r="B377" s="552"/>
      <c r="C377" s="1822" t="s">
        <v>546</v>
      </c>
      <c r="D377" s="1822"/>
      <c r="E377" s="1822"/>
      <c r="F377" s="1822"/>
      <c r="G377" s="1822"/>
      <c r="H377" s="1822"/>
      <c r="I377" s="1822"/>
      <c r="J377" s="1822"/>
      <c r="K377" s="1822"/>
      <c r="L377" s="551">
        <v>3667.5</v>
      </c>
      <c r="M377" s="550"/>
      <c r="N377" s="549"/>
      <c r="AJ377" s="675"/>
      <c r="AK377" s="537" t="s">
        <v>546</v>
      </c>
    </row>
    <row r="378" spans="1:37" s="536" customFormat="1" x14ac:dyDescent="0.2">
      <c r="A378" s="548"/>
      <c r="B378" s="552"/>
      <c r="C378" s="1822" t="s">
        <v>442</v>
      </c>
      <c r="D378" s="1822"/>
      <c r="E378" s="1822"/>
      <c r="F378" s="1822"/>
      <c r="G378" s="1822"/>
      <c r="H378" s="1822"/>
      <c r="I378" s="1822"/>
      <c r="J378" s="1822"/>
      <c r="K378" s="1822"/>
      <c r="L378" s="551">
        <v>473.59</v>
      </c>
      <c r="M378" s="550"/>
      <c r="N378" s="549"/>
      <c r="AJ378" s="675"/>
      <c r="AK378" s="537" t="s">
        <v>442</v>
      </c>
    </row>
    <row r="379" spans="1:37" s="536" customFormat="1" x14ac:dyDescent="0.2">
      <c r="A379" s="548"/>
      <c r="B379" s="552"/>
      <c r="C379" s="1822" t="s">
        <v>547</v>
      </c>
      <c r="D379" s="1822"/>
      <c r="E379" s="1822"/>
      <c r="F379" s="1822"/>
      <c r="G379" s="1822"/>
      <c r="H379" s="1822"/>
      <c r="I379" s="1822"/>
      <c r="J379" s="1822"/>
      <c r="K379" s="1822"/>
      <c r="L379" s="551">
        <v>73259.95</v>
      </c>
      <c r="M379" s="550"/>
      <c r="N379" s="549"/>
      <c r="AJ379" s="675"/>
      <c r="AK379" s="537" t="s">
        <v>547</v>
      </c>
    </row>
    <row r="380" spans="1:37" s="536" customFormat="1" x14ac:dyDescent="0.2">
      <c r="A380" s="548"/>
      <c r="B380" s="552"/>
      <c r="C380" s="1822" t="s">
        <v>443</v>
      </c>
      <c r="D380" s="1822"/>
      <c r="E380" s="1822"/>
      <c r="F380" s="1822"/>
      <c r="G380" s="1822"/>
      <c r="H380" s="1822"/>
      <c r="I380" s="1822"/>
      <c r="J380" s="1822"/>
      <c r="K380" s="1822"/>
      <c r="L380" s="551">
        <v>3810.02</v>
      </c>
      <c r="M380" s="550"/>
      <c r="N380" s="549"/>
      <c r="AJ380" s="675"/>
      <c r="AK380" s="537" t="s">
        <v>443</v>
      </c>
    </row>
    <row r="381" spans="1:37" s="536" customFormat="1" x14ac:dyDescent="0.2">
      <c r="A381" s="548"/>
      <c r="B381" s="552"/>
      <c r="C381" s="1822" t="s">
        <v>444</v>
      </c>
      <c r="D381" s="1822"/>
      <c r="E381" s="1822"/>
      <c r="F381" s="1822"/>
      <c r="G381" s="1822"/>
      <c r="H381" s="1822"/>
      <c r="I381" s="1822"/>
      <c r="J381" s="1822"/>
      <c r="K381" s="1822"/>
      <c r="L381" s="551">
        <v>2198.9899999999998</v>
      </c>
      <c r="M381" s="550"/>
      <c r="N381" s="549"/>
      <c r="AJ381" s="675"/>
      <c r="AK381" s="537" t="s">
        <v>444</v>
      </c>
    </row>
    <row r="382" spans="1:37" s="536" customFormat="1" x14ac:dyDescent="0.2">
      <c r="A382" s="548"/>
      <c r="B382" s="552"/>
      <c r="C382" s="1822" t="s">
        <v>415</v>
      </c>
      <c r="D382" s="1822"/>
      <c r="E382" s="1822"/>
      <c r="F382" s="1822"/>
      <c r="G382" s="1822"/>
      <c r="H382" s="1822"/>
      <c r="I382" s="1822"/>
      <c r="J382" s="1822"/>
      <c r="K382" s="1822"/>
      <c r="L382" s="551">
        <v>3735.2</v>
      </c>
      <c r="M382" s="550"/>
      <c r="N382" s="549"/>
      <c r="AJ382" s="675"/>
      <c r="AK382" s="537" t="s">
        <v>415</v>
      </c>
    </row>
    <row r="383" spans="1:37" s="536" customFormat="1" x14ac:dyDescent="0.2">
      <c r="A383" s="548"/>
      <c r="B383" s="552"/>
      <c r="C383" s="1822" t="s">
        <v>416</v>
      </c>
      <c r="D383" s="1822"/>
      <c r="E383" s="1822"/>
      <c r="F383" s="1822"/>
      <c r="G383" s="1822"/>
      <c r="H383" s="1822"/>
      <c r="I383" s="1822"/>
      <c r="J383" s="1822"/>
      <c r="K383" s="1822"/>
      <c r="L383" s="551">
        <v>3810.02</v>
      </c>
      <c r="M383" s="550"/>
      <c r="N383" s="549"/>
      <c r="AJ383" s="675"/>
      <c r="AK383" s="537" t="s">
        <v>416</v>
      </c>
    </row>
    <row r="384" spans="1:37" s="536" customFormat="1" x14ac:dyDescent="0.2">
      <c r="A384" s="548"/>
      <c r="B384" s="552"/>
      <c r="C384" s="1822" t="s">
        <v>417</v>
      </c>
      <c r="D384" s="1822"/>
      <c r="E384" s="1822"/>
      <c r="F384" s="1822"/>
      <c r="G384" s="1822"/>
      <c r="H384" s="1822"/>
      <c r="I384" s="1822"/>
      <c r="J384" s="1822"/>
      <c r="K384" s="1822"/>
      <c r="L384" s="551">
        <v>2198.9899999999998</v>
      </c>
      <c r="M384" s="550"/>
      <c r="N384" s="549"/>
      <c r="AJ384" s="675"/>
      <c r="AK384" s="537" t="s">
        <v>417</v>
      </c>
    </row>
    <row r="385" spans="1:38" x14ac:dyDescent="0.2">
      <c r="A385" s="548"/>
      <c r="B385" s="546"/>
      <c r="C385" s="1819" t="s">
        <v>206</v>
      </c>
      <c r="D385" s="1819"/>
      <c r="E385" s="1819"/>
      <c r="F385" s="1819"/>
      <c r="G385" s="1819"/>
      <c r="H385" s="1819"/>
      <c r="I385" s="1819"/>
      <c r="J385" s="1819"/>
      <c r="K385" s="1819"/>
      <c r="L385" s="544">
        <v>83410.05</v>
      </c>
      <c r="M385" s="543"/>
      <c r="N385" s="547">
        <v>693972</v>
      </c>
      <c r="P385" s="536"/>
      <c r="Q385" s="536"/>
      <c r="R385" s="536"/>
      <c r="S385" s="536"/>
      <c r="T385" s="536"/>
      <c r="U385" s="536"/>
      <c r="V385" s="536"/>
      <c r="W385" s="536"/>
      <c r="X385" s="536"/>
      <c r="Y385" s="536"/>
      <c r="Z385" s="536"/>
      <c r="AA385" s="536"/>
      <c r="AB385" s="536"/>
      <c r="AC385" s="536"/>
      <c r="AD385" s="536"/>
      <c r="AE385" s="536"/>
      <c r="AF385" s="536"/>
      <c r="AG385" s="536"/>
      <c r="AH385" s="536"/>
      <c r="AI385" s="536"/>
      <c r="AJ385" s="675"/>
      <c r="AK385" s="536"/>
      <c r="AL385" s="675" t="s">
        <v>206</v>
      </c>
    </row>
    <row r="386" spans="1:38" x14ac:dyDescent="0.2">
      <c r="A386" s="548"/>
      <c r="B386" s="552"/>
      <c r="C386" s="1822" t="s">
        <v>204</v>
      </c>
      <c r="D386" s="1822"/>
      <c r="E386" s="1822"/>
      <c r="F386" s="1822"/>
      <c r="G386" s="1822"/>
      <c r="H386" s="1822"/>
      <c r="I386" s="1822"/>
      <c r="J386" s="1822"/>
      <c r="K386" s="1822"/>
      <c r="L386" s="551"/>
      <c r="M386" s="550"/>
      <c r="N386" s="549"/>
      <c r="P386" s="536"/>
      <c r="Q386" s="536"/>
      <c r="R386" s="536"/>
      <c r="S386" s="536"/>
      <c r="T386" s="536"/>
      <c r="U386" s="536"/>
      <c r="V386" s="536"/>
      <c r="W386" s="536"/>
      <c r="X386" s="536"/>
      <c r="Y386" s="536"/>
      <c r="Z386" s="536"/>
      <c r="AA386" s="536"/>
      <c r="AB386" s="536"/>
      <c r="AC386" s="536"/>
      <c r="AD386" s="536"/>
      <c r="AE386" s="536"/>
      <c r="AF386" s="536"/>
      <c r="AG386" s="536"/>
      <c r="AH386" s="536"/>
      <c r="AI386" s="536"/>
      <c r="AJ386" s="675"/>
      <c r="AK386" s="537" t="s">
        <v>204</v>
      </c>
      <c r="AL386" s="675"/>
    </row>
    <row r="387" spans="1:38" x14ac:dyDescent="0.2">
      <c r="A387" s="548"/>
      <c r="B387" s="552"/>
      <c r="C387" s="1822" t="s">
        <v>8095</v>
      </c>
      <c r="D387" s="1822"/>
      <c r="E387" s="1822"/>
      <c r="F387" s="1822"/>
      <c r="G387" s="1822"/>
      <c r="H387" s="1822"/>
      <c r="I387" s="1822"/>
      <c r="J387" s="1822"/>
      <c r="K387" s="1822"/>
      <c r="L387" s="551">
        <v>40099.75</v>
      </c>
      <c r="M387" s="550"/>
      <c r="N387" s="549">
        <v>333630</v>
      </c>
      <c r="P387" s="536"/>
      <c r="Q387" s="536"/>
      <c r="R387" s="536"/>
      <c r="S387" s="536"/>
      <c r="T387" s="536"/>
      <c r="U387" s="536"/>
      <c r="V387" s="536"/>
      <c r="W387" s="536"/>
      <c r="X387" s="536"/>
      <c r="Y387" s="536"/>
      <c r="Z387" s="536"/>
      <c r="AA387" s="536"/>
      <c r="AB387" s="536"/>
      <c r="AC387" s="536"/>
      <c r="AD387" s="536"/>
      <c r="AE387" s="536"/>
      <c r="AF387" s="536"/>
      <c r="AG387" s="536"/>
      <c r="AH387" s="536"/>
      <c r="AI387" s="536"/>
      <c r="AJ387" s="675"/>
      <c r="AK387" s="537" t="s">
        <v>8095</v>
      </c>
      <c r="AL387" s="675"/>
    </row>
    <row r="388" spans="1:38" ht="1.5" customHeight="1" x14ac:dyDescent="0.2">
      <c r="B388" s="546"/>
      <c r="C388" s="671"/>
      <c r="D388" s="671"/>
      <c r="E388" s="671"/>
      <c r="F388" s="671"/>
      <c r="G388" s="671"/>
      <c r="H388" s="671"/>
      <c r="I388" s="671"/>
      <c r="J388" s="671"/>
      <c r="K388" s="671"/>
      <c r="L388" s="544"/>
      <c r="M388" s="543"/>
      <c r="N388" s="542"/>
      <c r="P388" s="536"/>
      <c r="Q388" s="536"/>
      <c r="R388" s="536"/>
      <c r="S388" s="536"/>
      <c r="T388" s="536"/>
      <c r="U388" s="536"/>
      <c r="V388" s="536"/>
      <c r="W388" s="536"/>
      <c r="X388" s="536"/>
      <c r="Y388" s="536"/>
      <c r="Z388" s="536"/>
      <c r="AA388" s="536"/>
      <c r="AB388" s="536"/>
      <c r="AC388" s="536"/>
      <c r="AD388" s="536"/>
      <c r="AE388" s="536"/>
      <c r="AF388" s="536"/>
      <c r="AG388" s="536"/>
      <c r="AH388" s="536"/>
      <c r="AI388" s="536"/>
      <c r="AJ388" s="536"/>
      <c r="AK388" s="536"/>
      <c r="AL388" s="536"/>
    </row>
    <row r="389" spans="1:38" ht="53.25" customHeight="1" x14ac:dyDescent="0.2">
      <c r="A389" s="541"/>
      <c r="B389" s="541"/>
      <c r="C389" s="541"/>
      <c r="D389" s="541"/>
      <c r="E389" s="541"/>
      <c r="F389" s="541"/>
      <c r="G389" s="541"/>
      <c r="H389" s="541"/>
      <c r="I389" s="541"/>
      <c r="J389" s="541"/>
      <c r="K389" s="541"/>
      <c r="L389" s="541"/>
      <c r="M389" s="541"/>
      <c r="N389" s="541"/>
      <c r="P389" s="536"/>
      <c r="Q389" s="536"/>
      <c r="R389" s="536"/>
      <c r="S389" s="536"/>
      <c r="T389" s="536"/>
      <c r="U389" s="536"/>
      <c r="V389" s="536"/>
      <c r="W389" s="536"/>
      <c r="X389" s="536"/>
      <c r="Y389" s="536"/>
      <c r="Z389" s="536"/>
      <c r="AA389" s="536"/>
      <c r="AB389" s="536"/>
      <c r="AC389" s="536"/>
      <c r="AD389" s="536"/>
      <c r="AE389" s="536"/>
      <c r="AF389" s="536"/>
      <c r="AG389" s="536"/>
      <c r="AH389" s="536"/>
      <c r="AI389" s="536"/>
      <c r="AJ389" s="536"/>
      <c r="AK389" s="536"/>
      <c r="AL389" s="536"/>
    </row>
    <row r="390" spans="1:38" x14ac:dyDescent="0.2">
      <c r="B390" s="539" t="s">
        <v>149</v>
      </c>
      <c r="C390" s="1820" t="s">
        <v>296</v>
      </c>
      <c r="D390" s="1820"/>
      <c r="E390" s="1820"/>
      <c r="F390" s="1820"/>
      <c r="G390" s="1820"/>
      <c r="H390" s="1820"/>
      <c r="I390" s="1820"/>
      <c r="J390" s="1820"/>
      <c r="K390" s="1820"/>
      <c r="L390" s="1820"/>
    </row>
    <row r="391" spans="1:38" ht="13.5" customHeight="1" x14ac:dyDescent="0.2">
      <c r="B391" s="540"/>
      <c r="C391" s="1821" t="s">
        <v>150</v>
      </c>
      <c r="D391" s="1821"/>
      <c r="E391" s="1821"/>
      <c r="F391" s="1821"/>
      <c r="G391" s="1821"/>
      <c r="H391" s="1821"/>
      <c r="I391" s="1821"/>
      <c r="J391" s="1821"/>
      <c r="K391" s="1821"/>
      <c r="L391" s="1821"/>
    </row>
    <row r="392" spans="1:38" ht="12.75" customHeight="1" x14ac:dyDescent="0.2">
      <c r="B392" s="539" t="s">
        <v>151</v>
      </c>
      <c r="C392" s="1820" t="s">
        <v>297</v>
      </c>
      <c r="D392" s="1820"/>
      <c r="E392" s="1820"/>
      <c r="F392" s="1820"/>
      <c r="G392" s="1820"/>
      <c r="H392" s="1820"/>
      <c r="I392" s="1820"/>
      <c r="J392" s="1820"/>
      <c r="K392" s="1820"/>
      <c r="L392" s="1820"/>
    </row>
    <row r="393" spans="1:38" ht="13.5" customHeight="1" x14ac:dyDescent="0.2">
      <c r="C393" s="1821" t="s">
        <v>150</v>
      </c>
      <c r="D393" s="1821"/>
      <c r="E393" s="1821"/>
      <c r="F393" s="1821"/>
      <c r="G393" s="1821"/>
      <c r="H393" s="1821"/>
      <c r="I393" s="1821"/>
      <c r="J393" s="1821"/>
      <c r="K393" s="1821"/>
      <c r="L393" s="1821"/>
    </row>
    <row r="395" spans="1:38" x14ac:dyDescent="0.2">
      <c r="B395" s="538"/>
      <c r="D395" s="538"/>
      <c r="F395" s="538"/>
      <c r="P395" s="536"/>
      <c r="Q395" s="536"/>
      <c r="R395" s="536"/>
      <c r="S395" s="536"/>
      <c r="T395" s="536"/>
      <c r="U395" s="536"/>
      <c r="V395" s="536"/>
      <c r="W395" s="536"/>
      <c r="X395" s="536"/>
      <c r="Y395" s="536"/>
      <c r="Z395" s="536"/>
      <c r="AA395" s="536"/>
      <c r="AB395" s="536"/>
      <c r="AC395" s="536"/>
      <c r="AD395" s="536"/>
      <c r="AE395" s="536"/>
      <c r="AF395" s="536"/>
      <c r="AG395" s="536"/>
      <c r="AH395" s="536"/>
      <c r="AI395" s="536"/>
      <c r="AJ395" s="536"/>
      <c r="AK395" s="536"/>
      <c r="AL395" s="536"/>
    </row>
  </sheetData>
  <mergeCells count="352">
    <mergeCell ref="C386:K386"/>
    <mergeCell ref="C387:K387"/>
    <mergeCell ref="C390:L390"/>
    <mergeCell ref="C391:L391"/>
    <mergeCell ref="C392:L392"/>
    <mergeCell ref="C393:L393"/>
    <mergeCell ref="C380:K380"/>
    <mergeCell ref="C381:K381"/>
    <mergeCell ref="C382:K382"/>
    <mergeCell ref="C383:K383"/>
    <mergeCell ref="C384:K384"/>
    <mergeCell ref="C385:K385"/>
    <mergeCell ref="C374:K374"/>
    <mergeCell ref="C375:K375"/>
    <mergeCell ref="C376:K376"/>
    <mergeCell ref="C377:K377"/>
    <mergeCell ref="C378:K378"/>
    <mergeCell ref="C379:K379"/>
    <mergeCell ref="C368:K368"/>
    <mergeCell ref="C369:K369"/>
    <mergeCell ref="C370:K370"/>
    <mergeCell ref="C371:K371"/>
    <mergeCell ref="C372:K372"/>
    <mergeCell ref="C373:K373"/>
    <mergeCell ref="C361:K361"/>
    <mergeCell ref="C362:K362"/>
    <mergeCell ref="C363:K363"/>
    <mergeCell ref="C364:K364"/>
    <mergeCell ref="C365:K365"/>
    <mergeCell ref="C366:K366"/>
    <mergeCell ref="A352:N352"/>
    <mergeCell ref="C353:E353"/>
    <mergeCell ref="C355:E355"/>
    <mergeCell ref="C357:N357"/>
    <mergeCell ref="C359:K359"/>
    <mergeCell ref="C360:K360"/>
    <mergeCell ref="C346:K346"/>
    <mergeCell ref="C347:K347"/>
    <mergeCell ref="C348:K348"/>
    <mergeCell ref="C349:K349"/>
    <mergeCell ref="C350:K350"/>
    <mergeCell ref="C351:K351"/>
    <mergeCell ref="C340:K340"/>
    <mergeCell ref="C341:K341"/>
    <mergeCell ref="C342:K342"/>
    <mergeCell ref="C343:K343"/>
    <mergeCell ref="C344:K344"/>
    <mergeCell ref="C345:K345"/>
    <mergeCell ref="C334:K334"/>
    <mergeCell ref="C335:K335"/>
    <mergeCell ref="C336:K336"/>
    <mergeCell ref="C337:K337"/>
    <mergeCell ref="C338:K338"/>
    <mergeCell ref="C339:K339"/>
    <mergeCell ref="C326:N326"/>
    <mergeCell ref="C327:N327"/>
    <mergeCell ref="C328:E328"/>
    <mergeCell ref="C330:N330"/>
    <mergeCell ref="C332:K332"/>
    <mergeCell ref="C333:K333"/>
    <mergeCell ref="C319:E319"/>
    <mergeCell ref="C320:E320"/>
    <mergeCell ref="C321:E321"/>
    <mergeCell ref="C322:E322"/>
    <mergeCell ref="C323:E323"/>
    <mergeCell ref="C324:E324"/>
    <mergeCell ref="C313:E313"/>
    <mergeCell ref="C314:E314"/>
    <mergeCell ref="C315:E315"/>
    <mergeCell ref="C316:E316"/>
    <mergeCell ref="C317:E317"/>
    <mergeCell ref="C318:E318"/>
    <mergeCell ref="C306:E306"/>
    <mergeCell ref="C307:E307"/>
    <mergeCell ref="C309:E309"/>
    <mergeCell ref="C310:N310"/>
    <mergeCell ref="C311:N311"/>
    <mergeCell ref="C312:E312"/>
    <mergeCell ref="C300:E300"/>
    <mergeCell ref="C301:E301"/>
    <mergeCell ref="C302:E302"/>
    <mergeCell ref="C303:E303"/>
    <mergeCell ref="C304:E304"/>
    <mergeCell ref="C305:E305"/>
    <mergeCell ref="C294:N294"/>
    <mergeCell ref="C295:E295"/>
    <mergeCell ref="C296:E296"/>
    <mergeCell ref="C297:E297"/>
    <mergeCell ref="C298:E298"/>
    <mergeCell ref="C299:E299"/>
    <mergeCell ref="C288:K288"/>
    <mergeCell ref="C289:K289"/>
    <mergeCell ref="C290:K290"/>
    <mergeCell ref="A291:N291"/>
    <mergeCell ref="C292:E292"/>
    <mergeCell ref="C293:N293"/>
    <mergeCell ref="C282:K282"/>
    <mergeCell ref="C283:K283"/>
    <mergeCell ref="C284:K284"/>
    <mergeCell ref="C285:K285"/>
    <mergeCell ref="C286:K286"/>
    <mergeCell ref="C287:K287"/>
    <mergeCell ref="C276:K276"/>
    <mergeCell ref="C277:K277"/>
    <mergeCell ref="C278:K278"/>
    <mergeCell ref="C279:K279"/>
    <mergeCell ref="C280:K280"/>
    <mergeCell ref="C281:K281"/>
    <mergeCell ref="C269:N269"/>
    <mergeCell ref="C271:K271"/>
    <mergeCell ref="C272:K272"/>
    <mergeCell ref="C273:K273"/>
    <mergeCell ref="C274:K274"/>
    <mergeCell ref="C275:K275"/>
    <mergeCell ref="C262:E262"/>
    <mergeCell ref="C263:E263"/>
    <mergeCell ref="C264:E264"/>
    <mergeCell ref="C265:E265"/>
    <mergeCell ref="C266:E266"/>
    <mergeCell ref="C268:N268"/>
    <mergeCell ref="C256:E256"/>
    <mergeCell ref="C257:E257"/>
    <mergeCell ref="C258:E258"/>
    <mergeCell ref="C259:E259"/>
    <mergeCell ref="C260:E260"/>
    <mergeCell ref="C261:E261"/>
    <mergeCell ref="C250:E250"/>
    <mergeCell ref="C251:E251"/>
    <mergeCell ref="C252:N252"/>
    <mergeCell ref="C253:N253"/>
    <mergeCell ref="C254:N254"/>
    <mergeCell ref="C255:E255"/>
    <mergeCell ref="C244:E244"/>
    <mergeCell ref="C245:E245"/>
    <mergeCell ref="C246:E246"/>
    <mergeCell ref="C247:E247"/>
    <mergeCell ref="C248:E248"/>
    <mergeCell ref="C249:E249"/>
    <mergeCell ref="C238:N238"/>
    <mergeCell ref="C239:E239"/>
    <mergeCell ref="C240:E240"/>
    <mergeCell ref="C241:E241"/>
    <mergeCell ref="C242:E242"/>
    <mergeCell ref="C243:E243"/>
    <mergeCell ref="C231:E231"/>
    <mergeCell ref="C232:E232"/>
    <mergeCell ref="C233:E233"/>
    <mergeCell ref="C234:E234"/>
    <mergeCell ref="C236:E236"/>
    <mergeCell ref="C237:N237"/>
    <mergeCell ref="C225:E225"/>
    <mergeCell ref="C226:E226"/>
    <mergeCell ref="C227:E227"/>
    <mergeCell ref="C228:E228"/>
    <mergeCell ref="C229:E229"/>
    <mergeCell ref="C230:E230"/>
    <mergeCell ref="C219:E219"/>
    <mergeCell ref="C220:N220"/>
    <mergeCell ref="C221:N221"/>
    <mergeCell ref="C222:E222"/>
    <mergeCell ref="C223:E223"/>
    <mergeCell ref="C224:E224"/>
    <mergeCell ref="C212:E212"/>
    <mergeCell ref="C213:E213"/>
    <mergeCell ref="C214:E214"/>
    <mergeCell ref="C215:E215"/>
    <mergeCell ref="C216:E216"/>
    <mergeCell ref="C217:E217"/>
    <mergeCell ref="C206:E206"/>
    <mergeCell ref="C207:E207"/>
    <mergeCell ref="C208:E208"/>
    <mergeCell ref="C209:E209"/>
    <mergeCell ref="C210:E210"/>
    <mergeCell ref="C211:E211"/>
    <mergeCell ref="C199:E199"/>
    <mergeCell ref="C200:E200"/>
    <mergeCell ref="C202:E202"/>
    <mergeCell ref="C203:N203"/>
    <mergeCell ref="C204:N204"/>
    <mergeCell ref="C205:N205"/>
    <mergeCell ref="C193:E193"/>
    <mergeCell ref="C194:E194"/>
    <mergeCell ref="C195:E195"/>
    <mergeCell ref="C196:E196"/>
    <mergeCell ref="C197:E197"/>
    <mergeCell ref="C198:E198"/>
    <mergeCell ref="C187:N187"/>
    <mergeCell ref="C188:E188"/>
    <mergeCell ref="C189:E189"/>
    <mergeCell ref="C190:E190"/>
    <mergeCell ref="C191:E191"/>
    <mergeCell ref="C192:E192"/>
    <mergeCell ref="C181:K181"/>
    <mergeCell ref="C182:K182"/>
    <mergeCell ref="C183:K183"/>
    <mergeCell ref="A184:N184"/>
    <mergeCell ref="C185:E185"/>
    <mergeCell ref="C186:N186"/>
    <mergeCell ref="C175:K175"/>
    <mergeCell ref="C176:K176"/>
    <mergeCell ref="C177:K177"/>
    <mergeCell ref="C178:K178"/>
    <mergeCell ref="C179:K179"/>
    <mergeCell ref="C180:K180"/>
    <mergeCell ref="C169:K169"/>
    <mergeCell ref="C170:K170"/>
    <mergeCell ref="C171:K171"/>
    <mergeCell ref="C172:K172"/>
    <mergeCell ref="C173:K173"/>
    <mergeCell ref="C174:K174"/>
    <mergeCell ref="C162:N162"/>
    <mergeCell ref="C164:K164"/>
    <mergeCell ref="C165:K165"/>
    <mergeCell ref="C166:K166"/>
    <mergeCell ref="C167:K167"/>
    <mergeCell ref="C168:K168"/>
    <mergeCell ref="C155:E155"/>
    <mergeCell ref="C156:E156"/>
    <mergeCell ref="C157:E157"/>
    <mergeCell ref="C158:E158"/>
    <mergeCell ref="C159:E159"/>
    <mergeCell ref="C161:N161"/>
    <mergeCell ref="C149:E149"/>
    <mergeCell ref="C150:E150"/>
    <mergeCell ref="C151:E151"/>
    <mergeCell ref="C152:E152"/>
    <mergeCell ref="C153:E153"/>
    <mergeCell ref="C154:E154"/>
    <mergeCell ref="C142:E142"/>
    <mergeCell ref="A144:N144"/>
    <mergeCell ref="C145:E145"/>
    <mergeCell ref="C146:N146"/>
    <mergeCell ref="C147:N147"/>
    <mergeCell ref="C148:E148"/>
    <mergeCell ref="C135:E135"/>
    <mergeCell ref="C136:E136"/>
    <mergeCell ref="C137:E137"/>
    <mergeCell ref="C138:E138"/>
    <mergeCell ref="C139:E139"/>
    <mergeCell ref="C140:E140"/>
    <mergeCell ref="C129:E129"/>
    <mergeCell ref="C130:N130"/>
    <mergeCell ref="C131:N131"/>
    <mergeCell ref="C132:E132"/>
    <mergeCell ref="C133:E133"/>
    <mergeCell ref="C134:E134"/>
    <mergeCell ref="C121:E121"/>
    <mergeCell ref="C122:E122"/>
    <mergeCell ref="C123:E123"/>
    <mergeCell ref="C124:E124"/>
    <mergeCell ref="C125:E125"/>
    <mergeCell ref="C127:E127"/>
    <mergeCell ref="C115:E115"/>
    <mergeCell ref="C116:E116"/>
    <mergeCell ref="C117:E117"/>
    <mergeCell ref="C118:E118"/>
    <mergeCell ref="C119:E119"/>
    <mergeCell ref="C120:E120"/>
    <mergeCell ref="C108:E108"/>
    <mergeCell ref="C109:E109"/>
    <mergeCell ref="C110:E110"/>
    <mergeCell ref="C112:E112"/>
    <mergeCell ref="C113:N113"/>
    <mergeCell ref="C114:N114"/>
    <mergeCell ref="C102:E102"/>
    <mergeCell ref="C103:E103"/>
    <mergeCell ref="C104:E104"/>
    <mergeCell ref="C105:E105"/>
    <mergeCell ref="C106:E106"/>
    <mergeCell ref="C107:E107"/>
    <mergeCell ref="C93:E93"/>
    <mergeCell ref="C95:E95"/>
    <mergeCell ref="C97:N97"/>
    <mergeCell ref="C98:E98"/>
    <mergeCell ref="C100:E100"/>
    <mergeCell ref="C101:N101"/>
    <mergeCell ref="C85:E85"/>
    <mergeCell ref="C86:E86"/>
    <mergeCell ref="C87:E87"/>
    <mergeCell ref="C88:E88"/>
    <mergeCell ref="C89:E89"/>
    <mergeCell ref="C91:E91"/>
    <mergeCell ref="C79:E79"/>
    <mergeCell ref="C80:E80"/>
    <mergeCell ref="C81:E81"/>
    <mergeCell ref="C82:E82"/>
    <mergeCell ref="C83:E83"/>
    <mergeCell ref="C84:E84"/>
    <mergeCell ref="C73:N73"/>
    <mergeCell ref="C74:N74"/>
    <mergeCell ref="C75:E75"/>
    <mergeCell ref="C76:N76"/>
    <mergeCell ref="C77:N77"/>
    <mergeCell ref="C78:E78"/>
    <mergeCell ref="C66:E66"/>
    <mergeCell ref="C67:E67"/>
    <mergeCell ref="C68:E68"/>
    <mergeCell ref="C69:E69"/>
    <mergeCell ref="C70:E70"/>
    <mergeCell ref="C71:E71"/>
    <mergeCell ref="C60:E60"/>
    <mergeCell ref="C61:E61"/>
    <mergeCell ref="C62:E62"/>
    <mergeCell ref="C63:E63"/>
    <mergeCell ref="C64:E64"/>
    <mergeCell ref="C65:E65"/>
    <mergeCell ref="C53:E53"/>
    <mergeCell ref="C54:E54"/>
    <mergeCell ref="C56:N56"/>
    <mergeCell ref="C57:E57"/>
    <mergeCell ref="C58:N58"/>
    <mergeCell ref="C59:N59"/>
    <mergeCell ref="C47:E47"/>
    <mergeCell ref="C48:E48"/>
    <mergeCell ref="C49:E49"/>
    <mergeCell ref="C50:E50"/>
    <mergeCell ref="C51:E51"/>
    <mergeCell ref="C52:E52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394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AL404"/>
  <sheetViews>
    <sheetView topLeftCell="A368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29" width="34.140625" style="537" hidden="1" customWidth="1"/>
    <col min="30" max="32" width="84.42578125" style="537" hidden="1" customWidth="1"/>
    <col min="33" max="33" width="34.140625" style="537" hidden="1" customWidth="1"/>
    <col min="34" max="34" width="110.140625" style="537" hidden="1" customWidth="1"/>
    <col min="35" max="37" width="84.42578125" style="537" hidden="1" customWidth="1"/>
    <col min="38" max="38" width="138.42578125" style="537" hidden="1" customWidth="1"/>
    <col min="39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159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3943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3943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3944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1810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1810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/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287.89</v>
      </c>
      <c r="D28" s="579" t="s">
        <v>3945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287.89</v>
      </c>
      <c r="D30" s="579" t="s">
        <v>3945</v>
      </c>
      <c r="E30" s="665" t="s">
        <v>167</v>
      </c>
      <c r="G30" s="536" t="s">
        <v>170</v>
      </c>
      <c r="L30" s="580">
        <v>0</v>
      </c>
      <c r="M30" s="579" t="s">
        <v>3159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665" t="s">
        <v>167</v>
      </c>
      <c r="G31" s="536" t="s">
        <v>172</v>
      </c>
      <c r="L31" s="582"/>
      <c r="M31" s="582">
        <v>83.07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665" t="s">
        <v>167</v>
      </c>
      <c r="G32" s="536" t="s">
        <v>174</v>
      </c>
      <c r="L32" s="582"/>
      <c r="M32" s="582">
        <v>12.76</v>
      </c>
      <c r="N32" s="581" t="s">
        <v>173</v>
      </c>
    </row>
    <row r="33" spans="1:28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8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8" s="536" customFormat="1" ht="12" x14ac:dyDescent="0.2">
      <c r="A39" s="1824" t="s">
        <v>976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537" t="s">
        <v>976</v>
      </c>
    </row>
    <row r="40" spans="1:28" s="536" customFormat="1" ht="56.25" x14ac:dyDescent="0.2">
      <c r="A40" s="575" t="s">
        <v>185</v>
      </c>
      <c r="B40" s="670" t="s">
        <v>1349</v>
      </c>
      <c r="C40" s="1823" t="s">
        <v>1350</v>
      </c>
      <c r="D40" s="1823"/>
      <c r="E40" s="1823"/>
      <c r="F40" s="573" t="s">
        <v>455</v>
      </c>
      <c r="G40" s="573"/>
      <c r="H40" s="573"/>
      <c r="I40" s="573" t="s">
        <v>3946</v>
      </c>
      <c r="J40" s="572"/>
      <c r="K40" s="573"/>
      <c r="L40" s="572"/>
      <c r="M40" s="571"/>
      <c r="N40" s="570"/>
      <c r="W40" s="537" t="s">
        <v>1350</v>
      </c>
    </row>
    <row r="41" spans="1:28" s="536" customFormat="1" x14ac:dyDescent="0.2">
      <c r="A41" s="676"/>
      <c r="B41" s="664"/>
      <c r="C41" s="1822" t="s">
        <v>3947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X41" s="537" t="s">
        <v>3947</v>
      </c>
    </row>
    <row r="42" spans="1:28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Y42" s="537" t="s">
        <v>311</v>
      </c>
    </row>
    <row r="43" spans="1:28" s="536" customFormat="1" x14ac:dyDescent="0.2">
      <c r="A43" s="605"/>
      <c r="B43" s="552" t="s">
        <v>186</v>
      </c>
      <c r="C43" s="1822" t="s">
        <v>344</v>
      </c>
      <c r="D43" s="1822"/>
      <c r="E43" s="1822"/>
      <c r="F43" s="562"/>
      <c r="G43" s="562"/>
      <c r="H43" s="562"/>
      <c r="I43" s="562"/>
      <c r="J43" s="604">
        <v>7550.19</v>
      </c>
      <c r="K43" s="562" t="s">
        <v>313</v>
      </c>
      <c r="L43" s="604">
        <v>149.78</v>
      </c>
      <c r="M43" s="603"/>
      <c r="N43" s="602"/>
      <c r="Z43" s="537" t="s">
        <v>344</v>
      </c>
    </row>
    <row r="44" spans="1:28" s="536" customFormat="1" x14ac:dyDescent="0.2">
      <c r="A44" s="605"/>
      <c r="B44" s="552" t="s">
        <v>187</v>
      </c>
      <c r="C44" s="1822" t="s">
        <v>345</v>
      </c>
      <c r="D44" s="1822"/>
      <c r="E44" s="1822"/>
      <c r="F44" s="562"/>
      <c r="G44" s="562"/>
      <c r="H44" s="562"/>
      <c r="I44" s="562"/>
      <c r="J44" s="604">
        <v>884.25</v>
      </c>
      <c r="K44" s="562" t="s">
        <v>313</v>
      </c>
      <c r="L44" s="604">
        <v>17.54</v>
      </c>
      <c r="M44" s="603"/>
      <c r="N44" s="602"/>
      <c r="Z44" s="537" t="s">
        <v>345</v>
      </c>
    </row>
    <row r="45" spans="1:28" s="536" customFormat="1" x14ac:dyDescent="0.2">
      <c r="A45" s="605"/>
      <c r="B45" s="552"/>
      <c r="C45" s="1822" t="s">
        <v>348</v>
      </c>
      <c r="D45" s="1822"/>
      <c r="E45" s="1822"/>
      <c r="F45" s="562" t="s">
        <v>315</v>
      </c>
      <c r="G45" s="562" t="s">
        <v>1353</v>
      </c>
      <c r="H45" s="562" t="s">
        <v>313</v>
      </c>
      <c r="I45" s="562" t="s">
        <v>3948</v>
      </c>
      <c r="J45" s="604"/>
      <c r="K45" s="562"/>
      <c r="L45" s="604"/>
      <c r="M45" s="603"/>
      <c r="N45" s="602"/>
      <c r="AA45" s="537" t="s">
        <v>348</v>
      </c>
    </row>
    <row r="46" spans="1:28" s="536" customFormat="1" x14ac:dyDescent="0.2">
      <c r="A46" s="605"/>
      <c r="B46" s="552"/>
      <c r="C46" s="1828" t="s">
        <v>318</v>
      </c>
      <c r="D46" s="1828"/>
      <c r="E46" s="1828"/>
      <c r="F46" s="608"/>
      <c r="G46" s="608"/>
      <c r="H46" s="608"/>
      <c r="I46" s="608"/>
      <c r="J46" s="607">
        <v>7550.19</v>
      </c>
      <c r="K46" s="608"/>
      <c r="L46" s="607">
        <v>149.78</v>
      </c>
      <c r="M46" s="601"/>
      <c r="N46" s="606"/>
      <c r="AB46" s="537" t="s">
        <v>318</v>
      </c>
    </row>
    <row r="47" spans="1:28" s="536" customFormat="1" x14ac:dyDescent="0.2">
      <c r="A47" s="605"/>
      <c r="B47" s="552"/>
      <c r="C47" s="1822" t="s">
        <v>319</v>
      </c>
      <c r="D47" s="1822"/>
      <c r="E47" s="1822"/>
      <c r="F47" s="562"/>
      <c r="G47" s="562"/>
      <c r="H47" s="562"/>
      <c r="I47" s="562"/>
      <c r="J47" s="604"/>
      <c r="K47" s="562"/>
      <c r="L47" s="604">
        <v>17.54</v>
      </c>
      <c r="M47" s="603"/>
      <c r="N47" s="602"/>
      <c r="AA47" s="537" t="s">
        <v>319</v>
      </c>
    </row>
    <row r="48" spans="1:28" s="536" customFormat="1" ht="33.75" x14ac:dyDescent="0.2">
      <c r="A48" s="605"/>
      <c r="B48" s="552" t="s">
        <v>460</v>
      </c>
      <c r="C48" s="1822" t="s">
        <v>461</v>
      </c>
      <c r="D48" s="1822"/>
      <c r="E48" s="1822"/>
      <c r="F48" s="562" t="s">
        <v>322</v>
      </c>
      <c r="G48" s="562" t="s">
        <v>462</v>
      </c>
      <c r="H48" s="562"/>
      <c r="I48" s="562" t="s">
        <v>462</v>
      </c>
      <c r="J48" s="604"/>
      <c r="K48" s="562"/>
      <c r="L48" s="604">
        <v>16.14</v>
      </c>
      <c r="M48" s="603"/>
      <c r="N48" s="602"/>
      <c r="AA48" s="537" t="s">
        <v>461</v>
      </c>
    </row>
    <row r="49" spans="1:29" s="536" customFormat="1" ht="33.75" x14ac:dyDescent="0.2">
      <c r="A49" s="605"/>
      <c r="B49" s="552" t="s">
        <v>463</v>
      </c>
      <c r="C49" s="1822" t="s">
        <v>464</v>
      </c>
      <c r="D49" s="1822"/>
      <c r="E49" s="1822"/>
      <c r="F49" s="562" t="s">
        <v>322</v>
      </c>
      <c r="G49" s="562" t="s">
        <v>465</v>
      </c>
      <c r="H49" s="562"/>
      <c r="I49" s="562" t="s">
        <v>465</v>
      </c>
      <c r="J49" s="604"/>
      <c r="K49" s="562"/>
      <c r="L49" s="604">
        <v>8.07</v>
      </c>
      <c r="M49" s="603"/>
      <c r="N49" s="602"/>
      <c r="AA49" s="537" t="s">
        <v>464</v>
      </c>
    </row>
    <row r="50" spans="1:29" s="536" customFormat="1" x14ac:dyDescent="0.2">
      <c r="A50" s="569"/>
      <c r="B50" s="671"/>
      <c r="C50" s="1823" t="s">
        <v>327</v>
      </c>
      <c r="D50" s="1823"/>
      <c r="E50" s="1823"/>
      <c r="F50" s="573"/>
      <c r="G50" s="573"/>
      <c r="H50" s="573"/>
      <c r="I50" s="573"/>
      <c r="J50" s="572"/>
      <c r="K50" s="573"/>
      <c r="L50" s="572">
        <v>173.99</v>
      </c>
      <c r="M50" s="601"/>
      <c r="N50" s="570"/>
      <c r="AC50" s="537" t="s">
        <v>327</v>
      </c>
    </row>
    <row r="51" spans="1:29" s="536" customFormat="1" ht="45" x14ac:dyDescent="0.2">
      <c r="A51" s="575" t="s">
        <v>186</v>
      </c>
      <c r="B51" s="670" t="s">
        <v>495</v>
      </c>
      <c r="C51" s="1823" t="s">
        <v>496</v>
      </c>
      <c r="D51" s="1823"/>
      <c r="E51" s="1823"/>
      <c r="F51" s="573" t="s">
        <v>455</v>
      </c>
      <c r="G51" s="573"/>
      <c r="H51" s="573"/>
      <c r="I51" s="573" t="s">
        <v>3949</v>
      </c>
      <c r="J51" s="572"/>
      <c r="K51" s="573"/>
      <c r="L51" s="572"/>
      <c r="M51" s="571"/>
      <c r="N51" s="570"/>
      <c r="W51" s="537" t="s">
        <v>496</v>
      </c>
    </row>
    <row r="52" spans="1:29" s="536" customFormat="1" x14ac:dyDescent="0.2">
      <c r="A52" s="676"/>
      <c r="B52" s="664"/>
      <c r="C52" s="1822" t="s">
        <v>3950</v>
      </c>
      <c r="D52" s="1822"/>
      <c r="E52" s="1822"/>
      <c r="F52" s="1822"/>
      <c r="G52" s="1822"/>
      <c r="H52" s="1822"/>
      <c r="I52" s="1822"/>
      <c r="J52" s="1822"/>
      <c r="K52" s="1822"/>
      <c r="L52" s="1822"/>
      <c r="M52" s="1822"/>
      <c r="N52" s="1827"/>
      <c r="X52" s="537" t="s">
        <v>3950</v>
      </c>
    </row>
    <row r="53" spans="1:29" s="536" customFormat="1" ht="33.75" x14ac:dyDescent="0.2">
      <c r="A53" s="609"/>
      <c r="B53" s="552" t="s">
        <v>310</v>
      </c>
      <c r="C53" s="1822" t="s">
        <v>311</v>
      </c>
      <c r="D53" s="1822"/>
      <c r="E53" s="1822"/>
      <c r="F53" s="1822"/>
      <c r="G53" s="1822"/>
      <c r="H53" s="1822"/>
      <c r="I53" s="1822"/>
      <c r="J53" s="1822"/>
      <c r="K53" s="1822"/>
      <c r="L53" s="1822"/>
      <c r="M53" s="1822"/>
      <c r="N53" s="1827"/>
      <c r="Y53" s="537" t="s">
        <v>311</v>
      </c>
    </row>
    <row r="54" spans="1:29" s="536" customFormat="1" x14ac:dyDescent="0.2">
      <c r="A54" s="605"/>
      <c r="B54" s="552" t="s">
        <v>186</v>
      </c>
      <c r="C54" s="1822" t="s">
        <v>344</v>
      </c>
      <c r="D54" s="1822"/>
      <c r="E54" s="1822"/>
      <c r="F54" s="562"/>
      <c r="G54" s="562"/>
      <c r="H54" s="562"/>
      <c r="I54" s="562"/>
      <c r="J54" s="604">
        <v>5532.96</v>
      </c>
      <c r="K54" s="562" t="s">
        <v>313</v>
      </c>
      <c r="L54" s="604">
        <v>4.5599999999999996</v>
      </c>
      <c r="M54" s="603"/>
      <c r="N54" s="602"/>
      <c r="Z54" s="537" t="s">
        <v>344</v>
      </c>
    </row>
    <row r="55" spans="1:29" s="536" customFormat="1" x14ac:dyDescent="0.2">
      <c r="A55" s="605"/>
      <c r="B55" s="552" t="s">
        <v>187</v>
      </c>
      <c r="C55" s="1822" t="s">
        <v>345</v>
      </c>
      <c r="D55" s="1822"/>
      <c r="E55" s="1822"/>
      <c r="F55" s="562"/>
      <c r="G55" s="562"/>
      <c r="H55" s="562"/>
      <c r="I55" s="562"/>
      <c r="J55" s="604">
        <v>648</v>
      </c>
      <c r="K55" s="562" t="s">
        <v>313</v>
      </c>
      <c r="L55" s="604">
        <v>0.53</v>
      </c>
      <c r="M55" s="603"/>
      <c r="N55" s="602"/>
      <c r="Z55" s="537" t="s">
        <v>345</v>
      </c>
    </row>
    <row r="56" spans="1:29" s="536" customFormat="1" x14ac:dyDescent="0.2">
      <c r="A56" s="605"/>
      <c r="B56" s="552"/>
      <c r="C56" s="1822" t="s">
        <v>348</v>
      </c>
      <c r="D56" s="1822"/>
      <c r="E56" s="1822"/>
      <c r="F56" s="562" t="s">
        <v>315</v>
      </c>
      <c r="G56" s="562" t="s">
        <v>501</v>
      </c>
      <c r="H56" s="562" t="s">
        <v>313</v>
      </c>
      <c r="I56" s="562" t="s">
        <v>3951</v>
      </c>
      <c r="J56" s="604"/>
      <c r="K56" s="562"/>
      <c r="L56" s="604"/>
      <c r="M56" s="603"/>
      <c r="N56" s="602"/>
      <c r="AA56" s="537" t="s">
        <v>348</v>
      </c>
    </row>
    <row r="57" spans="1:29" s="536" customFormat="1" x14ac:dyDescent="0.2">
      <c r="A57" s="605"/>
      <c r="B57" s="552"/>
      <c r="C57" s="1828" t="s">
        <v>318</v>
      </c>
      <c r="D57" s="1828"/>
      <c r="E57" s="1828"/>
      <c r="F57" s="608"/>
      <c r="G57" s="608"/>
      <c r="H57" s="608"/>
      <c r="I57" s="608"/>
      <c r="J57" s="607">
        <v>5532.96</v>
      </c>
      <c r="K57" s="608"/>
      <c r="L57" s="607">
        <v>4.5599999999999996</v>
      </c>
      <c r="M57" s="601"/>
      <c r="N57" s="606"/>
      <c r="AB57" s="537" t="s">
        <v>318</v>
      </c>
    </row>
    <row r="58" spans="1:29" s="536" customFormat="1" x14ac:dyDescent="0.2">
      <c r="A58" s="605"/>
      <c r="B58" s="552"/>
      <c r="C58" s="1822" t="s">
        <v>319</v>
      </c>
      <c r="D58" s="1822"/>
      <c r="E58" s="1822"/>
      <c r="F58" s="562"/>
      <c r="G58" s="562"/>
      <c r="H58" s="562"/>
      <c r="I58" s="562"/>
      <c r="J58" s="604"/>
      <c r="K58" s="562"/>
      <c r="L58" s="604">
        <v>0.53</v>
      </c>
      <c r="M58" s="603"/>
      <c r="N58" s="602"/>
      <c r="AA58" s="537" t="s">
        <v>319</v>
      </c>
    </row>
    <row r="59" spans="1:29" s="536" customFormat="1" ht="33.75" x14ac:dyDescent="0.2">
      <c r="A59" s="605"/>
      <c r="B59" s="552" t="s">
        <v>460</v>
      </c>
      <c r="C59" s="1822" t="s">
        <v>461</v>
      </c>
      <c r="D59" s="1822"/>
      <c r="E59" s="1822"/>
      <c r="F59" s="562" t="s">
        <v>322</v>
      </c>
      <c r="G59" s="562" t="s">
        <v>462</v>
      </c>
      <c r="H59" s="562"/>
      <c r="I59" s="562" t="s">
        <v>462</v>
      </c>
      <c r="J59" s="604"/>
      <c r="K59" s="562"/>
      <c r="L59" s="604">
        <v>0.49</v>
      </c>
      <c r="M59" s="603"/>
      <c r="N59" s="602"/>
      <c r="AA59" s="537" t="s">
        <v>461</v>
      </c>
    </row>
    <row r="60" spans="1:29" s="536" customFormat="1" ht="33.75" x14ac:dyDescent="0.2">
      <c r="A60" s="605"/>
      <c r="B60" s="552" t="s">
        <v>463</v>
      </c>
      <c r="C60" s="1822" t="s">
        <v>464</v>
      </c>
      <c r="D60" s="1822"/>
      <c r="E60" s="1822"/>
      <c r="F60" s="562" t="s">
        <v>322</v>
      </c>
      <c r="G60" s="562" t="s">
        <v>465</v>
      </c>
      <c r="H60" s="562"/>
      <c r="I60" s="562" t="s">
        <v>465</v>
      </c>
      <c r="J60" s="604"/>
      <c r="K60" s="562"/>
      <c r="L60" s="604">
        <v>0.24</v>
      </c>
      <c r="M60" s="603"/>
      <c r="N60" s="602"/>
      <c r="AA60" s="537" t="s">
        <v>464</v>
      </c>
    </row>
    <row r="61" spans="1:29" s="536" customFormat="1" x14ac:dyDescent="0.2">
      <c r="A61" s="569"/>
      <c r="B61" s="671"/>
      <c r="C61" s="1823" t="s">
        <v>327</v>
      </c>
      <c r="D61" s="1823"/>
      <c r="E61" s="1823"/>
      <c r="F61" s="573"/>
      <c r="G61" s="573"/>
      <c r="H61" s="573"/>
      <c r="I61" s="573"/>
      <c r="J61" s="572"/>
      <c r="K61" s="573"/>
      <c r="L61" s="572">
        <v>5.29</v>
      </c>
      <c r="M61" s="601"/>
      <c r="N61" s="570"/>
      <c r="AC61" s="537" t="s">
        <v>327</v>
      </c>
    </row>
    <row r="62" spans="1:29" s="536" customFormat="1" ht="56.25" x14ac:dyDescent="0.2">
      <c r="A62" s="575" t="s">
        <v>187</v>
      </c>
      <c r="B62" s="670" t="s">
        <v>1358</v>
      </c>
      <c r="C62" s="1823" t="s">
        <v>1359</v>
      </c>
      <c r="D62" s="1823"/>
      <c r="E62" s="1823"/>
      <c r="F62" s="573" t="s">
        <v>455</v>
      </c>
      <c r="G62" s="573"/>
      <c r="H62" s="573"/>
      <c r="I62" s="573" t="s">
        <v>3949</v>
      </c>
      <c r="J62" s="572"/>
      <c r="K62" s="573"/>
      <c r="L62" s="572"/>
      <c r="M62" s="571"/>
      <c r="N62" s="570"/>
      <c r="W62" s="537" t="s">
        <v>1359</v>
      </c>
    </row>
    <row r="63" spans="1:29" s="536" customFormat="1" x14ac:dyDescent="0.2">
      <c r="A63" s="676"/>
      <c r="B63" s="664"/>
      <c r="C63" s="1822" t="s">
        <v>3950</v>
      </c>
      <c r="D63" s="1822"/>
      <c r="E63" s="1822"/>
      <c r="F63" s="1822"/>
      <c r="G63" s="1822"/>
      <c r="H63" s="1822"/>
      <c r="I63" s="1822"/>
      <c r="J63" s="1822"/>
      <c r="K63" s="1822"/>
      <c r="L63" s="1822"/>
      <c r="M63" s="1822"/>
      <c r="N63" s="1827"/>
      <c r="X63" s="537" t="s">
        <v>3950</v>
      </c>
    </row>
    <row r="64" spans="1:29" s="536" customFormat="1" ht="33.75" x14ac:dyDescent="0.2">
      <c r="A64" s="609"/>
      <c r="B64" s="552" t="s">
        <v>310</v>
      </c>
      <c r="C64" s="1822" t="s">
        <v>311</v>
      </c>
      <c r="D64" s="1822"/>
      <c r="E64" s="1822"/>
      <c r="F64" s="1822"/>
      <c r="G64" s="1822"/>
      <c r="H64" s="1822"/>
      <c r="I64" s="1822"/>
      <c r="J64" s="1822"/>
      <c r="K64" s="1822"/>
      <c r="L64" s="1822"/>
      <c r="M64" s="1822"/>
      <c r="N64" s="1827"/>
      <c r="Y64" s="537" t="s">
        <v>311</v>
      </c>
    </row>
    <row r="65" spans="1:29" s="536" customFormat="1" x14ac:dyDescent="0.2">
      <c r="A65" s="605"/>
      <c r="B65" s="552" t="s">
        <v>186</v>
      </c>
      <c r="C65" s="1822" t="s">
        <v>344</v>
      </c>
      <c r="D65" s="1822"/>
      <c r="E65" s="1822"/>
      <c r="F65" s="562"/>
      <c r="G65" s="562"/>
      <c r="H65" s="562"/>
      <c r="I65" s="562"/>
      <c r="J65" s="604">
        <v>4264.99</v>
      </c>
      <c r="K65" s="562" t="s">
        <v>313</v>
      </c>
      <c r="L65" s="604">
        <v>3.52</v>
      </c>
      <c r="M65" s="603"/>
      <c r="N65" s="602"/>
      <c r="Z65" s="537" t="s">
        <v>344</v>
      </c>
    </row>
    <row r="66" spans="1:29" s="536" customFormat="1" x14ac:dyDescent="0.2">
      <c r="A66" s="605"/>
      <c r="B66" s="552" t="s">
        <v>187</v>
      </c>
      <c r="C66" s="1822" t="s">
        <v>345</v>
      </c>
      <c r="D66" s="1822"/>
      <c r="E66" s="1822"/>
      <c r="F66" s="562"/>
      <c r="G66" s="562"/>
      <c r="H66" s="562"/>
      <c r="I66" s="562"/>
      <c r="J66" s="604">
        <v>499.5</v>
      </c>
      <c r="K66" s="562" t="s">
        <v>313</v>
      </c>
      <c r="L66" s="604">
        <v>0.41</v>
      </c>
      <c r="M66" s="603"/>
      <c r="N66" s="602"/>
      <c r="Z66" s="537" t="s">
        <v>345</v>
      </c>
    </row>
    <row r="67" spans="1:29" s="536" customFormat="1" x14ac:dyDescent="0.2">
      <c r="A67" s="605"/>
      <c r="B67" s="552"/>
      <c r="C67" s="1822" t="s">
        <v>348</v>
      </c>
      <c r="D67" s="1822"/>
      <c r="E67" s="1822"/>
      <c r="F67" s="562" t="s">
        <v>315</v>
      </c>
      <c r="G67" s="562" t="s">
        <v>770</v>
      </c>
      <c r="H67" s="562" t="s">
        <v>313</v>
      </c>
      <c r="I67" s="562" t="s">
        <v>3952</v>
      </c>
      <c r="J67" s="604"/>
      <c r="K67" s="562"/>
      <c r="L67" s="604"/>
      <c r="M67" s="603"/>
      <c r="N67" s="602"/>
      <c r="AA67" s="537" t="s">
        <v>348</v>
      </c>
    </row>
    <row r="68" spans="1:29" s="536" customFormat="1" x14ac:dyDescent="0.2">
      <c r="A68" s="605"/>
      <c r="B68" s="552"/>
      <c r="C68" s="1828" t="s">
        <v>318</v>
      </c>
      <c r="D68" s="1828"/>
      <c r="E68" s="1828"/>
      <c r="F68" s="608"/>
      <c r="G68" s="608"/>
      <c r="H68" s="608"/>
      <c r="I68" s="608"/>
      <c r="J68" s="607">
        <v>4264.99</v>
      </c>
      <c r="K68" s="608"/>
      <c r="L68" s="607">
        <v>3.52</v>
      </c>
      <c r="M68" s="601"/>
      <c r="N68" s="606"/>
      <c r="AB68" s="537" t="s">
        <v>318</v>
      </c>
    </row>
    <row r="69" spans="1:29" s="536" customFormat="1" x14ac:dyDescent="0.2">
      <c r="A69" s="605"/>
      <c r="B69" s="552"/>
      <c r="C69" s="1822" t="s">
        <v>319</v>
      </c>
      <c r="D69" s="1822"/>
      <c r="E69" s="1822"/>
      <c r="F69" s="562"/>
      <c r="G69" s="562"/>
      <c r="H69" s="562"/>
      <c r="I69" s="562"/>
      <c r="J69" s="604"/>
      <c r="K69" s="562"/>
      <c r="L69" s="604">
        <v>0.41</v>
      </c>
      <c r="M69" s="603"/>
      <c r="N69" s="602"/>
      <c r="AA69" s="537" t="s">
        <v>319</v>
      </c>
    </row>
    <row r="70" spans="1:29" s="536" customFormat="1" ht="33.75" x14ac:dyDescent="0.2">
      <c r="A70" s="605"/>
      <c r="B70" s="552" t="s">
        <v>460</v>
      </c>
      <c r="C70" s="1822" t="s">
        <v>461</v>
      </c>
      <c r="D70" s="1822"/>
      <c r="E70" s="1822"/>
      <c r="F70" s="562" t="s">
        <v>322</v>
      </c>
      <c r="G70" s="562" t="s">
        <v>462</v>
      </c>
      <c r="H70" s="562"/>
      <c r="I70" s="562" t="s">
        <v>462</v>
      </c>
      <c r="J70" s="604"/>
      <c r="K70" s="562"/>
      <c r="L70" s="604">
        <v>0.38</v>
      </c>
      <c r="M70" s="603"/>
      <c r="N70" s="602"/>
      <c r="AA70" s="537" t="s">
        <v>461</v>
      </c>
    </row>
    <row r="71" spans="1:29" s="536" customFormat="1" ht="33.75" x14ac:dyDescent="0.2">
      <c r="A71" s="605"/>
      <c r="B71" s="552" t="s">
        <v>463</v>
      </c>
      <c r="C71" s="1822" t="s">
        <v>464</v>
      </c>
      <c r="D71" s="1822"/>
      <c r="E71" s="1822"/>
      <c r="F71" s="562" t="s">
        <v>322</v>
      </c>
      <c r="G71" s="562" t="s">
        <v>465</v>
      </c>
      <c r="H71" s="562"/>
      <c r="I71" s="562" t="s">
        <v>465</v>
      </c>
      <c r="J71" s="604"/>
      <c r="K71" s="562"/>
      <c r="L71" s="604">
        <v>0.19</v>
      </c>
      <c r="M71" s="603"/>
      <c r="N71" s="602"/>
      <c r="AA71" s="537" t="s">
        <v>464</v>
      </c>
    </row>
    <row r="72" spans="1:29" s="536" customFormat="1" x14ac:dyDescent="0.2">
      <c r="A72" s="569"/>
      <c r="B72" s="671"/>
      <c r="C72" s="1823" t="s">
        <v>327</v>
      </c>
      <c r="D72" s="1823"/>
      <c r="E72" s="1823"/>
      <c r="F72" s="573"/>
      <c r="G72" s="573"/>
      <c r="H72" s="573"/>
      <c r="I72" s="573"/>
      <c r="J72" s="572"/>
      <c r="K72" s="573"/>
      <c r="L72" s="572">
        <v>4.09</v>
      </c>
      <c r="M72" s="601"/>
      <c r="N72" s="570"/>
      <c r="AC72" s="537" t="s">
        <v>327</v>
      </c>
    </row>
    <row r="73" spans="1:29" s="536" customFormat="1" ht="22.5" x14ac:dyDescent="0.2">
      <c r="A73" s="575" t="s">
        <v>188</v>
      </c>
      <c r="B73" s="670" t="s">
        <v>507</v>
      </c>
      <c r="C73" s="1823" t="s">
        <v>508</v>
      </c>
      <c r="D73" s="1823"/>
      <c r="E73" s="1823"/>
      <c r="F73" s="573" t="s">
        <v>509</v>
      </c>
      <c r="G73" s="573"/>
      <c r="H73" s="573"/>
      <c r="I73" s="573" t="s">
        <v>3953</v>
      </c>
      <c r="J73" s="572"/>
      <c r="K73" s="573"/>
      <c r="L73" s="572"/>
      <c r="M73" s="571"/>
      <c r="N73" s="570"/>
      <c r="W73" s="537" t="s">
        <v>508</v>
      </c>
    </row>
    <row r="74" spans="1:29" s="536" customFormat="1" x14ac:dyDescent="0.2">
      <c r="A74" s="676"/>
      <c r="B74" s="664"/>
      <c r="C74" s="1822" t="s">
        <v>3954</v>
      </c>
      <c r="D74" s="1822"/>
      <c r="E74" s="1822"/>
      <c r="F74" s="1822"/>
      <c r="G74" s="1822"/>
      <c r="H74" s="1822"/>
      <c r="I74" s="1822"/>
      <c r="J74" s="1822"/>
      <c r="K74" s="1822"/>
      <c r="L74" s="1822"/>
      <c r="M74" s="1822"/>
      <c r="N74" s="1827"/>
      <c r="X74" s="537" t="s">
        <v>3954</v>
      </c>
    </row>
    <row r="75" spans="1:29" s="536" customFormat="1" ht="33.75" x14ac:dyDescent="0.2">
      <c r="A75" s="609"/>
      <c r="B75" s="552" t="s">
        <v>310</v>
      </c>
      <c r="C75" s="1822" t="s">
        <v>311</v>
      </c>
      <c r="D75" s="1822"/>
      <c r="E75" s="1822"/>
      <c r="F75" s="1822"/>
      <c r="G75" s="1822"/>
      <c r="H75" s="1822"/>
      <c r="I75" s="1822"/>
      <c r="J75" s="1822"/>
      <c r="K75" s="1822"/>
      <c r="L75" s="1822"/>
      <c r="M75" s="1822"/>
      <c r="N75" s="1827"/>
      <c r="Y75" s="537" t="s">
        <v>311</v>
      </c>
    </row>
    <row r="76" spans="1:29" s="536" customFormat="1" x14ac:dyDescent="0.2">
      <c r="A76" s="605"/>
      <c r="B76" s="552" t="s">
        <v>185</v>
      </c>
      <c r="C76" s="1822" t="s">
        <v>312</v>
      </c>
      <c r="D76" s="1822"/>
      <c r="E76" s="1822"/>
      <c r="F76" s="562"/>
      <c r="G76" s="562"/>
      <c r="H76" s="562"/>
      <c r="I76" s="562"/>
      <c r="J76" s="604">
        <v>127.61</v>
      </c>
      <c r="K76" s="562" t="s">
        <v>313</v>
      </c>
      <c r="L76" s="604">
        <v>1.05</v>
      </c>
      <c r="M76" s="603"/>
      <c r="N76" s="602"/>
      <c r="Z76" s="537" t="s">
        <v>312</v>
      </c>
    </row>
    <row r="77" spans="1:29" s="536" customFormat="1" x14ac:dyDescent="0.2">
      <c r="A77" s="605"/>
      <c r="B77" s="552" t="s">
        <v>186</v>
      </c>
      <c r="C77" s="1822" t="s">
        <v>344</v>
      </c>
      <c r="D77" s="1822"/>
      <c r="E77" s="1822"/>
      <c r="F77" s="562"/>
      <c r="G77" s="562"/>
      <c r="H77" s="562"/>
      <c r="I77" s="562"/>
      <c r="J77" s="604">
        <v>288.58</v>
      </c>
      <c r="K77" s="562" t="s">
        <v>313</v>
      </c>
      <c r="L77" s="604">
        <v>2.38</v>
      </c>
      <c r="M77" s="603"/>
      <c r="N77" s="602"/>
      <c r="Z77" s="537" t="s">
        <v>344</v>
      </c>
    </row>
    <row r="78" spans="1:29" s="536" customFormat="1" x14ac:dyDescent="0.2">
      <c r="A78" s="605"/>
      <c r="B78" s="552" t="s">
        <v>187</v>
      </c>
      <c r="C78" s="1822" t="s">
        <v>345</v>
      </c>
      <c r="D78" s="1822"/>
      <c r="E78" s="1822"/>
      <c r="F78" s="562"/>
      <c r="G78" s="562"/>
      <c r="H78" s="562"/>
      <c r="I78" s="562"/>
      <c r="J78" s="604">
        <v>31.49</v>
      </c>
      <c r="K78" s="562" t="s">
        <v>313</v>
      </c>
      <c r="L78" s="604">
        <v>0.26</v>
      </c>
      <c r="M78" s="603"/>
      <c r="N78" s="602"/>
      <c r="Z78" s="537" t="s">
        <v>345</v>
      </c>
    </row>
    <row r="79" spans="1:29" s="536" customFormat="1" x14ac:dyDescent="0.2">
      <c r="A79" s="605"/>
      <c r="B79" s="552"/>
      <c r="C79" s="1822" t="s">
        <v>314</v>
      </c>
      <c r="D79" s="1822"/>
      <c r="E79" s="1822"/>
      <c r="F79" s="562" t="s">
        <v>315</v>
      </c>
      <c r="G79" s="562" t="s">
        <v>512</v>
      </c>
      <c r="H79" s="562" t="s">
        <v>313</v>
      </c>
      <c r="I79" s="562" t="s">
        <v>3955</v>
      </c>
      <c r="J79" s="604"/>
      <c r="K79" s="562"/>
      <c r="L79" s="604"/>
      <c r="M79" s="603"/>
      <c r="N79" s="602"/>
      <c r="AA79" s="537" t="s">
        <v>314</v>
      </c>
    </row>
    <row r="80" spans="1:29" s="536" customFormat="1" x14ac:dyDescent="0.2">
      <c r="A80" s="605"/>
      <c r="B80" s="552"/>
      <c r="C80" s="1822" t="s">
        <v>348</v>
      </c>
      <c r="D80" s="1822"/>
      <c r="E80" s="1822"/>
      <c r="F80" s="562" t="s">
        <v>315</v>
      </c>
      <c r="G80" s="562" t="s">
        <v>514</v>
      </c>
      <c r="H80" s="562" t="s">
        <v>313</v>
      </c>
      <c r="I80" s="562" t="s">
        <v>3956</v>
      </c>
      <c r="J80" s="604"/>
      <c r="K80" s="562"/>
      <c r="L80" s="604"/>
      <c r="M80" s="603"/>
      <c r="N80" s="602"/>
      <c r="AA80" s="537" t="s">
        <v>348</v>
      </c>
    </row>
    <row r="81" spans="1:31" s="536" customFormat="1" x14ac:dyDescent="0.2">
      <c r="A81" s="605"/>
      <c r="B81" s="552"/>
      <c r="C81" s="1828" t="s">
        <v>318</v>
      </c>
      <c r="D81" s="1828"/>
      <c r="E81" s="1828"/>
      <c r="F81" s="608"/>
      <c r="G81" s="608"/>
      <c r="H81" s="608"/>
      <c r="I81" s="608"/>
      <c r="J81" s="607">
        <v>416.19</v>
      </c>
      <c r="K81" s="608"/>
      <c r="L81" s="607">
        <v>3.43</v>
      </c>
      <c r="M81" s="601"/>
      <c r="N81" s="606"/>
      <c r="AB81" s="537" t="s">
        <v>318</v>
      </c>
    </row>
    <row r="82" spans="1:31" s="536" customFormat="1" x14ac:dyDescent="0.2">
      <c r="A82" s="605"/>
      <c r="B82" s="552"/>
      <c r="C82" s="1822" t="s">
        <v>319</v>
      </c>
      <c r="D82" s="1822"/>
      <c r="E82" s="1822"/>
      <c r="F82" s="562"/>
      <c r="G82" s="562"/>
      <c r="H82" s="562"/>
      <c r="I82" s="562"/>
      <c r="J82" s="604"/>
      <c r="K82" s="562"/>
      <c r="L82" s="604">
        <v>1.31</v>
      </c>
      <c r="M82" s="603"/>
      <c r="N82" s="602"/>
      <c r="AA82" s="537" t="s">
        <v>319</v>
      </c>
    </row>
    <row r="83" spans="1:31" s="536" customFormat="1" ht="33.75" x14ac:dyDescent="0.2">
      <c r="A83" s="605"/>
      <c r="B83" s="552" t="s">
        <v>460</v>
      </c>
      <c r="C83" s="1822" t="s">
        <v>461</v>
      </c>
      <c r="D83" s="1822"/>
      <c r="E83" s="1822"/>
      <c r="F83" s="562" t="s">
        <v>322</v>
      </c>
      <c r="G83" s="562" t="s">
        <v>462</v>
      </c>
      <c r="H83" s="562"/>
      <c r="I83" s="562" t="s">
        <v>462</v>
      </c>
      <c r="J83" s="604"/>
      <c r="K83" s="562"/>
      <c r="L83" s="604">
        <v>1.21</v>
      </c>
      <c r="M83" s="603"/>
      <c r="N83" s="602"/>
      <c r="AA83" s="537" t="s">
        <v>461</v>
      </c>
    </row>
    <row r="84" spans="1:31" s="536" customFormat="1" ht="33.75" x14ac:dyDescent="0.2">
      <c r="A84" s="605"/>
      <c r="B84" s="552" t="s">
        <v>463</v>
      </c>
      <c r="C84" s="1822" t="s">
        <v>464</v>
      </c>
      <c r="D84" s="1822"/>
      <c r="E84" s="1822"/>
      <c r="F84" s="562" t="s">
        <v>322</v>
      </c>
      <c r="G84" s="562" t="s">
        <v>465</v>
      </c>
      <c r="H84" s="562"/>
      <c r="I84" s="562" t="s">
        <v>465</v>
      </c>
      <c r="J84" s="604"/>
      <c r="K84" s="562"/>
      <c r="L84" s="604">
        <v>0.6</v>
      </c>
      <c r="M84" s="603"/>
      <c r="N84" s="602"/>
      <c r="AA84" s="537" t="s">
        <v>464</v>
      </c>
    </row>
    <row r="85" spans="1:31" s="536" customFormat="1" x14ac:dyDescent="0.2">
      <c r="A85" s="569"/>
      <c r="B85" s="671"/>
      <c r="C85" s="1823" t="s">
        <v>327</v>
      </c>
      <c r="D85" s="1823"/>
      <c r="E85" s="1823"/>
      <c r="F85" s="573"/>
      <c r="G85" s="573"/>
      <c r="H85" s="573"/>
      <c r="I85" s="573"/>
      <c r="J85" s="572"/>
      <c r="K85" s="573"/>
      <c r="L85" s="572">
        <v>5.24</v>
      </c>
      <c r="M85" s="601"/>
      <c r="N85" s="570"/>
      <c r="AC85" s="537" t="s">
        <v>327</v>
      </c>
    </row>
    <row r="86" spans="1:31" s="536" customFormat="1" ht="45" x14ac:dyDescent="0.2">
      <c r="A86" s="575" t="s">
        <v>189</v>
      </c>
      <c r="B86" s="670" t="s">
        <v>1005</v>
      </c>
      <c r="C86" s="1823" t="s">
        <v>1006</v>
      </c>
      <c r="D86" s="1823"/>
      <c r="E86" s="1823"/>
      <c r="F86" s="573" t="s">
        <v>201</v>
      </c>
      <c r="G86" s="573"/>
      <c r="H86" s="573"/>
      <c r="I86" s="573" t="s">
        <v>3957</v>
      </c>
      <c r="J86" s="572">
        <v>2.91</v>
      </c>
      <c r="K86" s="573"/>
      <c r="L86" s="572">
        <v>106.22</v>
      </c>
      <c r="M86" s="571"/>
      <c r="N86" s="570"/>
      <c r="W86" s="537" t="s">
        <v>1006</v>
      </c>
    </row>
    <row r="87" spans="1:31" s="536" customFormat="1" x14ac:dyDescent="0.2">
      <c r="A87" s="676"/>
      <c r="B87" s="664"/>
      <c r="C87" s="1822" t="s">
        <v>3958</v>
      </c>
      <c r="D87" s="1822"/>
      <c r="E87" s="1822"/>
      <c r="F87" s="1822"/>
      <c r="G87" s="1822"/>
      <c r="H87" s="1822"/>
      <c r="I87" s="1822"/>
      <c r="J87" s="1822"/>
      <c r="K87" s="1822"/>
      <c r="L87" s="1822"/>
      <c r="M87" s="1822"/>
      <c r="N87" s="1827"/>
      <c r="X87" s="537" t="s">
        <v>3958</v>
      </c>
    </row>
    <row r="88" spans="1:31" s="536" customFormat="1" ht="1.5" customHeight="1" x14ac:dyDescent="0.2">
      <c r="A88" s="563"/>
      <c r="B88" s="671"/>
      <c r="C88" s="671"/>
      <c r="D88" s="671"/>
      <c r="E88" s="671"/>
      <c r="F88" s="563"/>
      <c r="G88" s="563"/>
      <c r="H88" s="563"/>
      <c r="I88" s="563"/>
      <c r="J88" s="546"/>
      <c r="K88" s="563"/>
      <c r="L88" s="546"/>
      <c r="M88" s="562"/>
      <c r="N88" s="546"/>
    </row>
    <row r="89" spans="1:31" s="536" customFormat="1" x14ac:dyDescent="0.2">
      <c r="A89" s="557"/>
      <c r="B89" s="556"/>
      <c r="C89" s="1823" t="s">
        <v>1021</v>
      </c>
      <c r="D89" s="1823"/>
      <c r="E89" s="1823"/>
      <c r="F89" s="1823"/>
      <c r="G89" s="1823"/>
      <c r="H89" s="1823"/>
      <c r="I89" s="1823"/>
      <c r="J89" s="1823"/>
      <c r="K89" s="1823"/>
      <c r="L89" s="555"/>
      <c r="M89" s="554"/>
      <c r="N89" s="553"/>
      <c r="AD89" s="537" t="s">
        <v>1021</v>
      </c>
    </row>
    <row r="90" spans="1:31" s="536" customFormat="1" x14ac:dyDescent="0.2">
      <c r="A90" s="548"/>
      <c r="B90" s="552"/>
      <c r="C90" s="1822" t="s">
        <v>403</v>
      </c>
      <c r="D90" s="1822"/>
      <c r="E90" s="1822"/>
      <c r="F90" s="1822"/>
      <c r="G90" s="1822"/>
      <c r="H90" s="1822"/>
      <c r="I90" s="1822"/>
      <c r="J90" s="1822"/>
      <c r="K90" s="1822"/>
      <c r="L90" s="551">
        <v>267.51</v>
      </c>
      <c r="M90" s="550"/>
      <c r="N90" s="549"/>
      <c r="AE90" s="537" t="s">
        <v>403</v>
      </c>
    </row>
    <row r="91" spans="1:31" s="536" customFormat="1" x14ac:dyDescent="0.2">
      <c r="A91" s="548"/>
      <c r="B91" s="552"/>
      <c r="C91" s="1822" t="s">
        <v>204</v>
      </c>
      <c r="D91" s="1822"/>
      <c r="E91" s="1822"/>
      <c r="F91" s="1822"/>
      <c r="G91" s="1822"/>
      <c r="H91" s="1822"/>
      <c r="I91" s="1822"/>
      <c r="J91" s="1822"/>
      <c r="K91" s="1822"/>
      <c r="L91" s="551"/>
      <c r="M91" s="550"/>
      <c r="N91" s="549"/>
      <c r="AE91" s="537" t="s">
        <v>204</v>
      </c>
    </row>
    <row r="92" spans="1:31" s="536" customFormat="1" x14ac:dyDescent="0.2">
      <c r="A92" s="548"/>
      <c r="B92" s="552"/>
      <c r="C92" s="1822" t="s">
        <v>404</v>
      </c>
      <c r="D92" s="1822"/>
      <c r="E92" s="1822"/>
      <c r="F92" s="1822"/>
      <c r="G92" s="1822"/>
      <c r="H92" s="1822"/>
      <c r="I92" s="1822"/>
      <c r="J92" s="1822"/>
      <c r="K92" s="1822"/>
      <c r="L92" s="551">
        <v>1.05</v>
      </c>
      <c r="M92" s="550"/>
      <c r="N92" s="549"/>
      <c r="AE92" s="537" t="s">
        <v>404</v>
      </c>
    </row>
    <row r="93" spans="1:31" s="536" customFormat="1" x14ac:dyDescent="0.2">
      <c r="A93" s="548"/>
      <c r="B93" s="552"/>
      <c r="C93" s="1822" t="s">
        <v>405</v>
      </c>
      <c r="D93" s="1822"/>
      <c r="E93" s="1822"/>
      <c r="F93" s="1822"/>
      <c r="G93" s="1822"/>
      <c r="H93" s="1822"/>
      <c r="I93" s="1822"/>
      <c r="J93" s="1822"/>
      <c r="K93" s="1822"/>
      <c r="L93" s="551">
        <v>266.45999999999998</v>
      </c>
      <c r="M93" s="550"/>
      <c r="N93" s="549"/>
      <c r="AE93" s="537" t="s">
        <v>405</v>
      </c>
    </row>
    <row r="94" spans="1:31" s="536" customFormat="1" x14ac:dyDescent="0.2">
      <c r="A94" s="548"/>
      <c r="B94" s="552"/>
      <c r="C94" s="1822" t="s">
        <v>406</v>
      </c>
      <c r="D94" s="1822"/>
      <c r="E94" s="1822"/>
      <c r="F94" s="1822"/>
      <c r="G94" s="1822"/>
      <c r="H94" s="1822"/>
      <c r="I94" s="1822"/>
      <c r="J94" s="1822"/>
      <c r="K94" s="1822"/>
      <c r="L94" s="551">
        <v>18.739999999999998</v>
      </c>
      <c r="M94" s="550"/>
      <c r="N94" s="549"/>
      <c r="AE94" s="537" t="s">
        <v>406</v>
      </c>
    </row>
    <row r="95" spans="1:31" s="536" customFormat="1" x14ac:dyDescent="0.2">
      <c r="A95" s="548"/>
      <c r="B95" s="552"/>
      <c r="C95" s="1822" t="s">
        <v>407</v>
      </c>
      <c r="D95" s="1822"/>
      <c r="E95" s="1822"/>
      <c r="F95" s="1822"/>
      <c r="G95" s="1822"/>
      <c r="H95" s="1822"/>
      <c r="I95" s="1822"/>
      <c r="J95" s="1822"/>
      <c r="K95" s="1822"/>
      <c r="L95" s="551">
        <v>294.83</v>
      </c>
      <c r="M95" s="550"/>
      <c r="N95" s="549"/>
      <c r="AE95" s="537" t="s">
        <v>407</v>
      </c>
    </row>
    <row r="96" spans="1:31" s="536" customFormat="1" x14ac:dyDescent="0.2">
      <c r="A96" s="548"/>
      <c r="B96" s="552" t="s">
        <v>185</v>
      </c>
      <c r="C96" s="1822" t="s">
        <v>408</v>
      </c>
      <c r="D96" s="1822"/>
      <c r="E96" s="1822"/>
      <c r="F96" s="1822"/>
      <c r="G96" s="1822"/>
      <c r="H96" s="1822"/>
      <c r="I96" s="1822"/>
      <c r="J96" s="1822"/>
      <c r="K96" s="1822"/>
      <c r="L96" s="551">
        <v>188.61</v>
      </c>
      <c r="M96" s="550"/>
      <c r="N96" s="549"/>
      <c r="AE96" s="537" t="s">
        <v>408</v>
      </c>
    </row>
    <row r="97" spans="1:32" s="536" customFormat="1" x14ac:dyDescent="0.2">
      <c r="A97" s="548"/>
      <c r="B97" s="552"/>
      <c r="C97" s="1822" t="s">
        <v>409</v>
      </c>
      <c r="D97" s="1822"/>
      <c r="E97" s="1822"/>
      <c r="F97" s="1822"/>
      <c r="G97" s="1822"/>
      <c r="H97" s="1822"/>
      <c r="I97" s="1822"/>
      <c r="J97" s="1822"/>
      <c r="K97" s="1822"/>
      <c r="L97" s="551"/>
      <c r="M97" s="550"/>
      <c r="N97" s="549"/>
      <c r="AE97" s="537" t="s">
        <v>409</v>
      </c>
    </row>
    <row r="98" spans="1:32" s="536" customFormat="1" x14ac:dyDescent="0.2">
      <c r="A98" s="548"/>
      <c r="B98" s="552"/>
      <c r="C98" s="1822" t="s">
        <v>410</v>
      </c>
      <c r="D98" s="1822"/>
      <c r="E98" s="1822"/>
      <c r="F98" s="1822"/>
      <c r="G98" s="1822"/>
      <c r="H98" s="1822"/>
      <c r="I98" s="1822"/>
      <c r="J98" s="1822"/>
      <c r="K98" s="1822"/>
      <c r="L98" s="551">
        <v>1.05</v>
      </c>
      <c r="M98" s="550"/>
      <c r="N98" s="549"/>
      <c r="AE98" s="537" t="s">
        <v>410</v>
      </c>
    </row>
    <row r="99" spans="1:32" s="536" customFormat="1" x14ac:dyDescent="0.2">
      <c r="A99" s="548"/>
      <c r="B99" s="552"/>
      <c r="C99" s="1822" t="s">
        <v>411</v>
      </c>
      <c r="D99" s="1822"/>
      <c r="E99" s="1822"/>
      <c r="F99" s="1822"/>
      <c r="G99" s="1822"/>
      <c r="H99" s="1822"/>
      <c r="I99" s="1822"/>
      <c r="J99" s="1822"/>
      <c r="K99" s="1822"/>
      <c r="L99" s="551">
        <v>160.24</v>
      </c>
      <c r="M99" s="550"/>
      <c r="N99" s="549"/>
      <c r="AE99" s="537" t="s">
        <v>411</v>
      </c>
    </row>
    <row r="100" spans="1:32" s="536" customFormat="1" x14ac:dyDescent="0.2">
      <c r="A100" s="548"/>
      <c r="B100" s="552"/>
      <c r="C100" s="1822" t="s">
        <v>412</v>
      </c>
      <c r="D100" s="1822"/>
      <c r="E100" s="1822"/>
      <c r="F100" s="1822"/>
      <c r="G100" s="1822"/>
      <c r="H100" s="1822"/>
      <c r="I100" s="1822"/>
      <c r="J100" s="1822"/>
      <c r="K100" s="1822"/>
      <c r="L100" s="551">
        <v>18.22</v>
      </c>
      <c r="M100" s="550"/>
      <c r="N100" s="549"/>
      <c r="AE100" s="537" t="s">
        <v>412</v>
      </c>
    </row>
    <row r="101" spans="1:32" s="536" customFormat="1" x14ac:dyDescent="0.2">
      <c r="A101" s="548"/>
      <c r="B101" s="552"/>
      <c r="C101" s="1822" t="s">
        <v>413</v>
      </c>
      <c r="D101" s="1822"/>
      <c r="E101" s="1822"/>
      <c r="F101" s="1822"/>
      <c r="G101" s="1822"/>
      <c r="H101" s="1822"/>
      <c r="I101" s="1822"/>
      <c r="J101" s="1822"/>
      <c r="K101" s="1822"/>
      <c r="L101" s="551">
        <v>9.1</v>
      </c>
      <c r="M101" s="550"/>
      <c r="N101" s="549"/>
      <c r="AE101" s="537" t="s">
        <v>413</v>
      </c>
    </row>
    <row r="102" spans="1:32" s="536" customFormat="1" x14ac:dyDescent="0.2">
      <c r="A102" s="548"/>
      <c r="B102" s="552" t="s">
        <v>185</v>
      </c>
      <c r="C102" s="1822" t="s">
        <v>414</v>
      </c>
      <c r="D102" s="1822"/>
      <c r="E102" s="1822"/>
      <c r="F102" s="1822"/>
      <c r="G102" s="1822"/>
      <c r="H102" s="1822"/>
      <c r="I102" s="1822"/>
      <c r="J102" s="1822"/>
      <c r="K102" s="1822"/>
      <c r="L102" s="551">
        <v>106.22</v>
      </c>
      <c r="M102" s="550"/>
      <c r="N102" s="549"/>
      <c r="AE102" s="537" t="s">
        <v>414</v>
      </c>
    </row>
    <row r="103" spans="1:32" s="536" customFormat="1" x14ac:dyDescent="0.2">
      <c r="A103" s="548"/>
      <c r="B103" s="552"/>
      <c r="C103" s="1822" t="s">
        <v>415</v>
      </c>
      <c r="D103" s="1822"/>
      <c r="E103" s="1822"/>
      <c r="F103" s="1822"/>
      <c r="G103" s="1822"/>
      <c r="H103" s="1822"/>
      <c r="I103" s="1822"/>
      <c r="J103" s="1822"/>
      <c r="K103" s="1822"/>
      <c r="L103" s="551">
        <v>19.79</v>
      </c>
      <c r="M103" s="550"/>
      <c r="N103" s="549"/>
      <c r="AE103" s="537" t="s">
        <v>415</v>
      </c>
    </row>
    <row r="104" spans="1:32" s="536" customFormat="1" x14ac:dyDescent="0.2">
      <c r="A104" s="548"/>
      <c r="B104" s="552"/>
      <c r="C104" s="1822" t="s">
        <v>416</v>
      </c>
      <c r="D104" s="1822"/>
      <c r="E104" s="1822"/>
      <c r="F104" s="1822"/>
      <c r="G104" s="1822"/>
      <c r="H104" s="1822"/>
      <c r="I104" s="1822"/>
      <c r="J104" s="1822"/>
      <c r="K104" s="1822"/>
      <c r="L104" s="551">
        <v>18.22</v>
      </c>
      <c r="M104" s="550"/>
      <c r="N104" s="549"/>
      <c r="AE104" s="537" t="s">
        <v>416</v>
      </c>
    </row>
    <row r="105" spans="1:32" s="536" customFormat="1" x14ac:dyDescent="0.2">
      <c r="A105" s="548"/>
      <c r="B105" s="552"/>
      <c r="C105" s="1822" t="s">
        <v>417</v>
      </c>
      <c r="D105" s="1822"/>
      <c r="E105" s="1822"/>
      <c r="F105" s="1822"/>
      <c r="G105" s="1822"/>
      <c r="H105" s="1822"/>
      <c r="I105" s="1822"/>
      <c r="J105" s="1822"/>
      <c r="K105" s="1822"/>
      <c r="L105" s="551">
        <v>9.1</v>
      </c>
      <c r="M105" s="550"/>
      <c r="N105" s="549"/>
      <c r="AE105" s="537" t="s">
        <v>417</v>
      </c>
    </row>
    <row r="106" spans="1:32" s="536" customFormat="1" x14ac:dyDescent="0.2">
      <c r="A106" s="548"/>
      <c r="B106" s="546"/>
      <c r="C106" s="1819" t="s">
        <v>1022</v>
      </c>
      <c r="D106" s="1819"/>
      <c r="E106" s="1819"/>
      <c r="F106" s="1819"/>
      <c r="G106" s="1819"/>
      <c r="H106" s="1819"/>
      <c r="I106" s="1819"/>
      <c r="J106" s="1819"/>
      <c r="K106" s="1819"/>
      <c r="L106" s="544">
        <v>294.83</v>
      </c>
      <c r="M106" s="543"/>
      <c r="N106" s="681"/>
      <c r="AF106" s="537" t="s">
        <v>1022</v>
      </c>
    </row>
    <row r="107" spans="1:32" s="536" customFormat="1" ht="12" x14ac:dyDescent="0.2">
      <c r="A107" s="1824" t="s">
        <v>3288</v>
      </c>
      <c r="B107" s="1825"/>
      <c r="C107" s="1825"/>
      <c r="D107" s="1825"/>
      <c r="E107" s="1825"/>
      <c r="F107" s="1825"/>
      <c r="G107" s="1825"/>
      <c r="H107" s="1825"/>
      <c r="I107" s="1825"/>
      <c r="J107" s="1825"/>
      <c r="K107" s="1825"/>
      <c r="L107" s="1825"/>
      <c r="M107" s="1825"/>
      <c r="N107" s="1826"/>
      <c r="V107" s="537" t="s">
        <v>3288</v>
      </c>
    </row>
    <row r="108" spans="1:32" s="536" customFormat="1" x14ac:dyDescent="0.2">
      <c r="A108" s="575" t="s">
        <v>190</v>
      </c>
      <c r="B108" s="670" t="s">
        <v>1368</v>
      </c>
      <c r="C108" s="1823" t="s">
        <v>1369</v>
      </c>
      <c r="D108" s="1823"/>
      <c r="E108" s="1823"/>
      <c r="F108" s="573" t="s">
        <v>509</v>
      </c>
      <c r="G108" s="573"/>
      <c r="H108" s="573"/>
      <c r="I108" s="573" t="s">
        <v>3959</v>
      </c>
      <c r="J108" s="572"/>
      <c r="K108" s="573"/>
      <c r="L108" s="572"/>
      <c r="M108" s="571"/>
      <c r="N108" s="570"/>
      <c r="W108" s="537" t="s">
        <v>1369</v>
      </c>
    </row>
    <row r="109" spans="1:32" s="536" customFormat="1" x14ac:dyDescent="0.2">
      <c r="A109" s="676"/>
      <c r="B109" s="664"/>
      <c r="C109" s="1822" t="s">
        <v>3960</v>
      </c>
      <c r="D109" s="1822"/>
      <c r="E109" s="1822"/>
      <c r="F109" s="1822"/>
      <c r="G109" s="1822"/>
      <c r="H109" s="1822"/>
      <c r="I109" s="1822"/>
      <c r="J109" s="1822"/>
      <c r="K109" s="1822"/>
      <c r="L109" s="1822"/>
      <c r="M109" s="1822"/>
      <c r="N109" s="1827"/>
      <c r="X109" s="537" t="s">
        <v>3960</v>
      </c>
    </row>
    <row r="110" spans="1:32" s="536" customFormat="1" ht="33.75" x14ac:dyDescent="0.2">
      <c r="A110" s="609"/>
      <c r="B110" s="552" t="s">
        <v>310</v>
      </c>
      <c r="C110" s="1822" t="s">
        <v>311</v>
      </c>
      <c r="D110" s="1822"/>
      <c r="E110" s="1822"/>
      <c r="F110" s="1822"/>
      <c r="G110" s="1822"/>
      <c r="H110" s="1822"/>
      <c r="I110" s="1822"/>
      <c r="J110" s="1822"/>
      <c r="K110" s="1822"/>
      <c r="L110" s="1822"/>
      <c r="M110" s="1822"/>
      <c r="N110" s="1827"/>
      <c r="Y110" s="537" t="s">
        <v>311</v>
      </c>
    </row>
    <row r="111" spans="1:32" s="536" customFormat="1" x14ac:dyDescent="0.2">
      <c r="A111" s="605"/>
      <c r="B111" s="552" t="s">
        <v>185</v>
      </c>
      <c r="C111" s="1822" t="s">
        <v>312</v>
      </c>
      <c r="D111" s="1822"/>
      <c r="E111" s="1822"/>
      <c r="F111" s="562"/>
      <c r="G111" s="562"/>
      <c r="H111" s="562"/>
      <c r="I111" s="562"/>
      <c r="J111" s="604">
        <v>1053</v>
      </c>
      <c r="K111" s="562" t="s">
        <v>313</v>
      </c>
      <c r="L111" s="604">
        <v>54.36</v>
      </c>
      <c r="M111" s="603"/>
      <c r="N111" s="602"/>
      <c r="Z111" s="537" t="s">
        <v>312</v>
      </c>
    </row>
    <row r="112" spans="1:32" s="536" customFormat="1" x14ac:dyDescent="0.2">
      <c r="A112" s="605"/>
      <c r="B112" s="552" t="s">
        <v>186</v>
      </c>
      <c r="C112" s="1822" t="s">
        <v>344</v>
      </c>
      <c r="D112" s="1822"/>
      <c r="E112" s="1822"/>
      <c r="F112" s="562"/>
      <c r="G112" s="562"/>
      <c r="H112" s="562"/>
      <c r="I112" s="562"/>
      <c r="J112" s="604">
        <v>1566.06</v>
      </c>
      <c r="K112" s="562" t="s">
        <v>313</v>
      </c>
      <c r="L112" s="604">
        <v>80.849999999999994</v>
      </c>
      <c r="M112" s="603"/>
      <c r="N112" s="602"/>
      <c r="Z112" s="537" t="s">
        <v>344</v>
      </c>
    </row>
    <row r="113" spans="1:33" s="536" customFormat="1" x14ac:dyDescent="0.2">
      <c r="A113" s="605"/>
      <c r="B113" s="552" t="s">
        <v>187</v>
      </c>
      <c r="C113" s="1822" t="s">
        <v>345</v>
      </c>
      <c r="D113" s="1822"/>
      <c r="E113" s="1822"/>
      <c r="F113" s="562"/>
      <c r="G113" s="562"/>
      <c r="H113" s="562"/>
      <c r="I113" s="562"/>
      <c r="J113" s="604">
        <v>244.39</v>
      </c>
      <c r="K113" s="562" t="s">
        <v>313</v>
      </c>
      <c r="L113" s="604">
        <v>12.62</v>
      </c>
      <c r="M113" s="603"/>
      <c r="N113" s="602"/>
      <c r="Z113" s="537" t="s">
        <v>345</v>
      </c>
    </row>
    <row r="114" spans="1:33" s="536" customFormat="1" x14ac:dyDescent="0.2">
      <c r="A114" s="605"/>
      <c r="B114" s="552" t="s">
        <v>188</v>
      </c>
      <c r="C114" s="1822" t="s">
        <v>475</v>
      </c>
      <c r="D114" s="1822"/>
      <c r="E114" s="1822"/>
      <c r="F114" s="562"/>
      <c r="G114" s="562"/>
      <c r="H114" s="562"/>
      <c r="I114" s="562"/>
      <c r="J114" s="604">
        <v>909.27</v>
      </c>
      <c r="K114" s="562"/>
      <c r="L114" s="604">
        <v>37.549999999999997</v>
      </c>
      <c r="M114" s="603"/>
      <c r="N114" s="602"/>
      <c r="Z114" s="537" t="s">
        <v>475</v>
      </c>
    </row>
    <row r="115" spans="1:33" s="536" customFormat="1" x14ac:dyDescent="0.2">
      <c r="A115" s="676"/>
      <c r="B115" s="677" t="s">
        <v>639</v>
      </c>
      <c r="C115" s="1829" t="s">
        <v>640</v>
      </c>
      <c r="D115" s="1829"/>
      <c r="E115" s="1829"/>
      <c r="F115" s="678" t="s">
        <v>641</v>
      </c>
      <c r="G115" s="678" t="s">
        <v>680</v>
      </c>
      <c r="H115" s="678"/>
      <c r="I115" s="678" t="s">
        <v>3961</v>
      </c>
      <c r="J115" s="552"/>
      <c r="K115" s="562"/>
      <c r="L115" s="604"/>
      <c r="M115" s="562"/>
      <c r="N115" s="679"/>
      <c r="AG115" s="537" t="s">
        <v>640</v>
      </c>
    </row>
    <row r="116" spans="1:33" s="536" customFormat="1" x14ac:dyDescent="0.2">
      <c r="A116" s="605"/>
      <c r="B116" s="552"/>
      <c r="C116" s="1822" t="s">
        <v>314</v>
      </c>
      <c r="D116" s="1822"/>
      <c r="E116" s="1822"/>
      <c r="F116" s="562" t="s">
        <v>315</v>
      </c>
      <c r="G116" s="562" t="s">
        <v>1373</v>
      </c>
      <c r="H116" s="562" t="s">
        <v>313</v>
      </c>
      <c r="I116" s="562" t="s">
        <v>3962</v>
      </c>
      <c r="J116" s="604"/>
      <c r="K116" s="562"/>
      <c r="L116" s="604"/>
      <c r="M116" s="603"/>
      <c r="N116" s="602"/>
      <c r="AA116" s="537" t="s">
        <v>314</v>
      </c>
    </row>
    <row r="117" spans="1:33" s="536" customFormat="1" x14ac:dyDescent="0.2">
      <c r="A117" s="605"/>
      <c r="B117" s="552"/>
      <c r="C117" s="1822" t="s">
        <v>348</v>
      </c>
      <c r="D117" s="1822"/>
      <c r="E117" s="1822"/>
      <c r="F117" s="562" t="s">
        <v>315</v>
      </c>
      <c r="G117" s="562" t="s">
        <v>1375</v>
      </c>
      <c r="H117" s="562" t="s">
        <v>313</v>
      </c>
      <c r="I117" s="562" t="s">
        <v>3963</v>
      </c>
      <c r="J117" s="604"/>
      <c r="K117" s="562"/>
      <c r="L117" s="604"/>
      <c r="M117" s="603"/>
      <c r="N117" s="602"/>
      <c r="AA117" s="537" t="s">
        <v>348</v>
      </c>
    </row>
    <row r="118" spans="1:33" s="536" customFormat="1" x14ac:dyDescent="0.2">
      <c r="A118" s="605"/>
      <c r="B118" s="552"/>
      <c r="C118" s="1828" t="s">
        <v>318</v>
      </c>
      <c r="D118" s="1828"/>
      <c r="E118" s="1828"/>
      <c r="F118" s="608"/>
      <c r="G118" s="608"/>
      <c r="H118" s="608"/>
      <c r="I118" s="608"/>
      <c r="J118" s="607">
        <v>3528.33</v>
      </c>
      <c r="K118" s="608"/>
      <c r="L118" s="607">
        <v>172.76</v>
      </c>
      <c r="M118" s="601"/>
      <c r="N118" s="606"/>
      <c r="AB118" s="537" t="s">
        <v>318</v>
      </c>
    </row>
    <row r="119" spans="1:33" s="536" customFormat="1" x14ac:dyDescent="0.2">
      <c r="A119" s="605"/>
      <c r="B119" s="552"/>
      <c r="C119" s="1822" t="s">
        <v>319</v>
      </c>
      <c r="D119" s="1822"/>
      <c r="E119" s="1822"/>
      <c r="F119" s="562"/>
      <c r="G119" s="562"/>
      <c r="H119" s="562"/>
      <c r="I119" s="562"/>
      <c r="J119" s="604"/>
      <c r="K119" s="562"/>
      <c r="L119" s="604">
        <v>66.98</v>
      </c>
      <c r="M119" s="603"/>
      <c r="N119" s="602"/>
      <c r="AA119" s="537" t="s">
        <v>319</v>
      </c>
    </row>
    <row r="120" spans="1:33" s="536" customFormat="1" ht="33.75" x14ac:dyDescent="0.2">
      <c r="A120" s="605"/>
      <c r="B120" s="552" t="s">
        <v>686</v>
      </c>
      <c r="C120" s="1822" t="s">
        <v>687</v>
      </c>
      <c r="D120" s="1822"/>
      <c r="E120" s="1822"/>
      <c r="F120" s="562" t="s">
        <v>322</v>
      </c>
      <c r="G120" s="562" t="s">
        <v>680</v>
      </c>
      <c r="H120" s="562"/>
      <c r="I120" s="562" t="s">
        <v>680</v>
      </c>
      <c r="J120" s="604"/>
      <c r="K120" s="562"/>
      <c r="L120" s="604">
        <v>68.319999999999993</v>
      </c>
      <c r="M120" s="603"/>
      <c r="N120" s="602"/>
      <c r="AA120" s="537" t="s">
        <v>687</v>
      </c>
    </row>
    <row r="121" spans="1:33" s="536" customFormat="1" ht="33.75" x14ac:dyDescent="0.2">
      <c r="A121" s="605"/>
      <c r="B121" s="552" t="s">
        <v>688</v>
      </c>
      <c r="C121" s="1822" t="s">
        <v>689</v>
      </c>
      <c r="D121" s="1822"/>
      <c r="E121" s="1822"/>
      <c r="F121" s="562" t="s">
        <v>322</v>
      </c>
      <c r="G121" s="562" t="s">
        <v>690</v>
      </c>
      <c r="H121" s="562"/>
      <c r="I121" s="562" t="s">
        <v>690</v>
      </c>
      <c r="J121" s="604"/>
      <c r="K121" s="562"/>
      <c r="L121" s="604">
        <v>38.85</v>
      </c>
      <c r="M121" s="603"/>
      <c r="N121" s="602"/>
      <c r="AA121" s="537" t="s">
        <v>689</v>
      </c>
    </row>
    <row r="122" spans="1:33" s="536" customFormat="1" x14ac:dyDescent="0.2">
      <c r="A122" s="569"/>
      <c r="B122" s="671"/>
      <c r="C122" s="1823" t="s">
        <v>327</v>
      </c>
      <c r="D122" s="1823"/>
      <c r="E122" s="1823"/>
      <c r="F122" s="573"/>
      <c r="G122" s="573"/>
      <c r="H122" s="573"/>
      <c r="I122" s="573"/>
      <c r="J122" s="572"/>
      <c r="K122" s="573"/>
      <c r="L122" s="572">
        <v>279.93</v>
      </c>
      <c r="M122" s="601"/>
      <c r="N122" s="570"/>
      <c r="AC122" s="537" t="s">
        <v>327</v>
      </c>
    </row>
    <row r="123" spans="1:33" s="536" customFormat="1" ht="22.5" x14ac:dyDescent="0.2">
      <c r="A123" s="575" t="s">
        <v>191</v>
      </c>
      <c r="B123" s="670" t="s">
        <v>1377</v>
      </c>
      <c r="C123" s="1823" t="s">
        <v>1378</v>
      </c>
      <c r="D123" s="1823"/>
      <c r="E123" s="1823"/>
      <c r="F123" s="573" t="s">
        <v>641</v>
      </c>
      <c r="G123" s="573"/>
      <c r="H123" s="573"/>
      <c r="I123" s="573" t="s">
        <v>3961</v>
      </c>
      <c r="J123" s="572">
        <v>560</v>
      </c>
      <c r="K123" s="573"/>
      <c r="L123" s="572">
        <v>2359.06</v>
      </c>
      <c r="M123" s="571"/>
      <c r="N123" s="570"/>
      <c r="W123" s="537" t="s">
        <v>1378</v>
      </c>
    </row>
    <row r="124" spans="1:33" s="536" customFormat="1" x14ac:dyDescent="0.2">
      <c r="A124" s="569"/>
      <c r="B124" s="671"/>
      <c r="C124" s="665" t="s">
        <v>717</v>
      </c>
      <c r="D124" s="666"/>
      <c r="E124" s="666"/>
      <c r="F124" s="563"/>
      <c r="G124" s="563"/>
      <c r="H124" s="563"/>
      <c r="I124" s="563"/>
      <c r="J124" s="566"/>
      <c r="K124" s="563"/>
      <c r="L124" s="566"/>
      <c r="M124" s="565"/>
      <c r="N124" s="564"/>
    </row>
    <row r="125" spans="1:33" s="536" customFormat="1" ht="22.5" x14ac:dyDescent="0.2">
      <c r="A125" s="575" t="s">
        <v>192</v>
      </c>
      <c r="B125" s="670" t="s">
        <v>1380</v>
      </c>
      <c r="C125" s="1823" t="s">
        <v>1381</v>
      </c>
      <c r="D125" s="1823"/>
      <c r="E125" s="1823"/>
      <c r="F125" s="573" t="s">
        <v>509</v>
      </c>
      <c r="G125" s="573"/>
      <c r="H125" s="573"/>
      <c r="I125" s="573" t="s">
        <v>3964</v>
      </c>
      <c r="J125" s="572"/>
      <c r="K125" s="573"/>
      <c r="L125" s="572"/>
      <c r="M125" s="571"/>
      <c r="N125" s="570"/>
      <c r="W125" s="537" t="s">
        <v>1381</v>
      </c>
    </row>
    <row r="126" spans="1:33" s="536" customFormat="1" x14ac:dyDescent="0.2">
      <c r="A126" s="676"/>
      <c r="B126" s="664"/>
      <c r="C126" s="1822" t="s">
        <v>3965</v>
      </c>
      <c r="D126" s="1822"/>
      <c r="E126" s="1822"/>
      <c r="F126" s="1822"/>
      <c r="G126" s="1822"/>
      <c r="H126" s="1822"/>
      <c r="I126" s="1822"/>
      <c r="J126" s="1822"/>
      <c r="K126" s="1822"/>
      <c r="L126" s="1822"/>
      <c r="M126" s="1822"/>
      <c r="N126" s="1827"/>
      <c r="X126" s="537" t="s">
        <v>3965</v>
      </c>
    </row>
    <row r="127" spans="1:33" s="536" customFormat="1" ht="33.75" x14ac:dyDescent="0.2">
      <c r="A127" s="609"/>
      <c r="B127" s="552" t="s">
        <v>310</v>
      </c>
      <c r="C127" s="1822" t="s">
        <v>311</v>
      </c>
      <c r="D127" s="1822"/>
      <c r="E127" s="1822"/>
      <c r="F127" s="1822"/>
      <c r="G127" s="1822"/>
      <c r="H127" s="1822"/>
      <c r="I127" s="1822"/>
      <c r="J127" s="1822"/>
      <c r="K127" s="1822"/>
      <c r="L127" s="1822"/>
      <c r="M127" s="1822"/>
      <c r="N127" s="1827"/>
      <c r="Y127" s="537" t="s">
        <v>311</v>
      </c>
    </row>
    <row r="128" spans="1:33" s="536" customFormat="1" x14ac:dyDescent="0.2">
      <c r="A128" s="605"/>
      <c r="B128" s="552" t="s">
        <v>185</v>
      </c>
      <c r="C128" s="1822" t="s">
        <v>312</v>
      </c>
      <c r="D128" s="1822"/>
      <c r="E128" s="1822"/>
      <c r="F128" s="562"/>
      <c r="G128" s="562"/>
      <c r="H128" s="562"/>
      <c r="I128" s="562"/>
      <c r="J128" s="604">
        <v>1526.87</v>
      </c>
      <c r="K128" s="562" t="s">
        <v>313</v>
      </c>
      <c r="L128" s="604">
        <v>145.63</v>
      </c>
      <c r="M128" s="603"/>
      <c r="N128" s="602"/>
      <c r="Z128" s="537" t="s">
        <v>312</v>
      </c>
    </row>
    <row r="129" spans="1:33" s="536" customFormat="1" x14ac:dyDescent="0.2">
      <c r="A129" s="605"/>
      <c r="B129" s="552" t="s">
        <v>186</v>
      </c>
      <c r="C129" s="1822" t="s">
        <v>344</v>
      </c>
      <c r="D129" s="1822"/>
      <c r="E129" s="1822"/>
      <c r="F129" s="562"/>
      <c r="G129" s="562"/>
      <c r="H129" s="562"/>
      <c r="I129" s="562"/>
      <c r="J129" s="604">
        <v>2518.58</v>
      </c>
      <c r="K129" s="562" t="s">
        <v>313</v>
      </c>
      <c r="L129" s="604">
        <v>240.21</v>
      </c>
      <c r="M129" s="603"/>
      <c r="N129" s="602"/>
      <c r="Z129" s="537" t="s">
        <v>344</v>
      </c>
    </row>
    <row r="130" spans="1:33" s="536" customFormat="1" x14ac:dyDescent="0.2">
      <c r="A130" s="605"/>
      <c r="B130" s="552" t="s">
        <v>187</v>
      </c>
      <c r="C130" s="1822" t="s">
        <v>345</v>
      </c>
      <c r="D130" s="1822"/>
      <c r="E130" s="1822"/>
      <c r="F130" s="562"/>
      <c r="G130" s="562"/>
      <c r="H130" s="562"/>
      <c r="I130" s="562"/>
      <c r="J130" s="604">
        <v>382.14</v>
      </c>
      <c r="K130" s="562" t="s">
        <v>313</v>
      </c>
      <c r="L130" s="604">
        <v>36.450000000000003</v>
      </c>
      <c r="M130" s="603"/>
      <c r="N130" s="602"/>
      <c r="Z130" s="537" t="s">
        <v>345</v>
      </c>
    </row>
    <row r="131" spans="1:33" s="536" customFormat="1" x14ac:dyDescent="0.2">
      <c r="A131" s="605"/>
      <c r="B131" s="552" t="s">
        <v>188</v>
      </c>
      <c r="C131" s="1822" t="s">
        <v>475</v>
      </c>
      <c r="D131" s="1822"/>
      <c r="E131" s="1822"/>
      <c r="F131" s="562"/>
      <c r="G131" s="562"/>
      <c r="H131" s="562"/>
      <c r="I131" s="562"/>
      <c r="J131" s="604">
        <v>488.42</v>
      </c>
      <c r="K131" s="562"/>
      <c r="L131" s="604">
        <v>37.270000000000003</v>
      </c>
      <c r="M131" s="603"/>
      <c r="N131" s="602"/>
      <c r="Z131" s="537" t="s">
        <v>475</v>
      </c>
    </row>
    <row r="132" spans="1:33" s="536" customFormat="1" x14ac:dyDescent="0.2">
      <c r="A132" s="676"/>
      <c r="B132" s="677" t="s">
        <v>639</v>
      </c>
      <c r="C132" s="1829" t="s">
        <v>640</v>
      </c>
      <c r="D132" s="1829"/>
      <c r="E132" s="1829"/>
      <c r="F132" s="678" t="s">
        <v>641</v>
      </c>
      <c r="G132" s="678" t="s">
        <v>1384</v>
      </c>
      <c r="H132" s="678"/>
      <c r="I132" s="678" t="s">
        <v>3966</v>
      </c>
      <c r="J132" s="552"/>
      <c r="K132" s="562"/>
      <c r="L132" s="604"/>
      <c r="M132" s="562"/>
      <c r="N132" s="679"/>
      <c r="AG132" s="537" t="s">
        <v>640</v>
      </c>
    </row>
    <row r="133" spans="1:33" s="536" customFormat="1" x14ac:dyDescent="0.2">
      <c r="A133" s="676"/>
      <c r="B133" s="677" t="s">
        <v>1272</v>
      </c>
      <c r="C133" s="1829" t="s">
        <v>1273</v>
      </c>
      <c r="D133" s="1829"/>
      <c r="E133" s="1829"/>
      <c r="F133" s="678" t="s">
        <v>694</v>
      </c>
      <c r="G133" s="678" t="s">
        <v>1386</v>
      </c>
      <c r="H133" s="678"/>
      <c r="I133" s="678" t="s">
        <v>3967</v>
      </c>
      <c r="J133" s="552"/>
      <c r="K133" s="562"/>
      <c r="L133" s="604"/>
      <c r="M133" s="562"/>
      <c r="N133" s="679"/>
      <c r="AG133" s="537" t="s">
        <v>1273</v>
      </c>
    </row>
    <row r="134" spans="1:33" s="536" customFormat="1" x14ac:dyDescent="0.2">
      <c r="A134" s="605"/>
      <c r="B134" s="552"/>
      <c r="C134" s="1822" t="s">
        <v>314</v>
      </c>
      <c r="D134" s="1822"/>
      <c r="E134" s="1822"/>
      <c r="F134" s="562" t="s">
        <v>315</v>
      </c>
      <c r="G134" s="562" t="s">
        <v>1388</v>
      </c>
      <c r="H134" s="562" t="s">
        <v>313</v>
      </c>
      <c r="I134" s="562" t="s">
        <v>3968</v>
      </c>
      <c r="J134" s="604"/>
      <c r="K134" s="562"/>
      <c r="L134" s="604"/>
      <c r="M134" s="603"/>
      <c r="N134" s="602"/>
      <c r="AA134" s="537" t="s">
        <v>314</v>
      </c>
    </row>
    <row r="135" spans="1:33" s="536" customFormat="1" x14ac:dyDescent="0.2">
      <c r="A135" s="605"/>
      <c r="B135" s="552"/>
      <c r="C135" s="1822" t="s">
        <v>348</v>
      </c>
      <c r="D135" s="1822"/>
      <c r="E135" s="1822"/>
      <c r="F135" s="562" t="s">
        <v>315</v>
      </c>
      <c r="G135" s="562" t="s">
        <v>1390</v>
      </c>
      <c r="H135" s="562" t="s">
        <v>313</v>
      </c>
      <c r="I135" s="562" t="s">
        <v>3969</v>
      </c>
      <c r="J135" s="604"/>
      <c r="K135" s="562"/>
      <c r="L135" s="604"/>
      <c r="M135" s="603"/>
      <c r="N135" s="602"/>
      <c r="AA135" s="537" t="s">
        <v>348</v>
      </c>
    </row>
    <row r="136" spans="1:33" s="536" customFormat="1" x14ac:dyDescent="0.2">
      <c r="A136" s="605"/>
      <c r="B136" s="552"/>
      <c r="C136" s="1828" t="s">
        <v>318</v>
      </c>
      <c r="D136" s="1828"/>
      <c r="E136" s="1828"/>
      <c r="F136" s="608"/>
      <c r="G136" s="608"/>
      <c r="H136" s="608"/>
      <c r="I136" s="608"/>
      <c r="J136" s="607">
        <v>4533.87</v>
      </c>
      <c r="K136" s="608"/>
      <c r="L136" s="607">
        <v>423.11</v>
      </c>
      <c r="M136" s="601"/>
      <c r="N136" s="606"/>
      <c r="AB136" s="537" t="s">
        <v>318</v>
      </c>
    </row>
    <row r="137" spans="1:33" s="536" customFormat="1" x14ac:dyDescent="0.2">
      <c r="A137" s="605"/>
      <c r="B137" s="552"/>
      <c r="C137" s="1822" t="s">
        <v>319</v>
      </c>
      <c r="D137" s="1822"/>
      <c r="E137" s="1822"/>
      <c r="F137" s="562"/>
      <c r="G137" s="562"/>
      <c r="H137" s="562"/>
      <c r="I137" s="562"/>
      <c r="J137" s="604"/>
      <c r="K137" s="562"/>
      <c r="L137" s="604">
        <v>182.08</v>
      </c>
      <c r="M137" s="603"/>
      <c r="N137" s="602"/>
      <c r="AA137" s="537" t="s">
        <v>319</v>
      </c>
    </row>
    <row r="138" spans="1:33" s="536" customFormat="1" ht="33.75" x14ac:dyDescent="0.2">
      <c r="A138" s="605"/>
      <c r="B138" s="552" t="s">
        <v>686</v>
      </c>
      <c r="C138" s="1822" t="s">
        <v>687</v>
      </c>
      <c r="D138" s="1822"/>
      <c r="E138" s="1822"/>
      <c r="F138" s="562" t="s">
        <v>322</v>
      </c>
      <c r="G138" s="562" t="s">
        <v>680</v>
      </c>
      <c r="H138" s="562"/>
      <c r="I138" s="562" t="s">
        <v>680</v>
      </c>
      <c r="J138" s="604"/>
      <c r="K138" s="562"/>
      <c r="L138" s="604">
        <v>185.72</v>
      </c>
      <c r="M138" s="603"/>
      <c r="N138" s="602"/>
      <c r="AA138" s="537" t="s">
        <v>687</v>
      </c>
    </row>
    <row r="139" spans="1:33" s="536" customFormat="1" ht="33.75" x14ac:dyDescent="0.2">
      <c r="A139" s="605"/>
      <c r="B139" s="552" t="s">
        <v>688</v>
      </c>
      <c r="C139" s="1822" t="s">
        <v>689</v>
      </c>
      <c r="D139" s="1822"/>
      <c r="E139" s="1822"/>
      <c r="F139" s="562" t="s">
        <v>322</v>
      </c>
      <c r="G139" s="562" t="s">
        <v>690</v>
      </c>
      <c r="H139" s="562"/>
      <c r="I139" s="562" t="s">
        <v>690</v>
      </c>
      <c r="J139" s="604"/>
      <c r="K139" s="562"/>
      <c r="L139" s="604">
        <v>105.61</v>
      </c>
      <c r="M139" s="603"/>
      <c r="N139" s="602"/>
      <c r="AA139" s="537" t="s">
        <v>689</v>
      </c>
    </row>
    <row r="140" spans="1:33" s="536" customFormat="1" x14ac:dyDescent="0.2">
      <c r="A140" s="569"/>
      <c r="B140" s="671"/>
      <c r="C140" s="1823" t="s">
        <v>327</v>
      </c>
      <c r="D140" s="1823"/>
      <c r="E140" s="1823"/>
      <c r="F140" s="573"/>
      <c r="G140" s="573"/>
      <c r="H140" s="573"/>
      <c r="I140" s="573"/>
      <c r="J140" s="572"/>
      <c r="K140" s="573"/>
      <c r="L140" s="572">
        <v>714.44</v>
      </c>
      <c r="M140" s="601"/>
      <c r="N140" s="570"/>
      <c r="AC140" s="537" t="s">
        <v>327</v>
      </c>
    </row>
    <row r="141" spans="1:33" s="536" customFormat="1" ht="22.5" x14ac:dyDescent="0.2">
      <c r="A141" s="575" t="s">
        <v>193</v>
      </c>
      <c r="B141" s="670" t="s">
        <v>1392</v>
      </c>
      <c r="C141" s="1823" t="s">
        <v>1393</v>
      </c>
      <c r="D141" s="1823"/>
      <c r="E141" s="1823"/>
      <c r="F141" s="573" t="s">
        <v>641</v>
      </c>
      <c r="G141" s="573"/>
      <c r="H141" s="573"/>
      <c r="I141" s="573" t="s">
        <v>3970</v>
      </c>
      <c r="J141" s="572">
        <v>725.69</v>
      </c>
      <c r="K141" s="573"/>
      <c r="L141" s="572">
        <v>5620.11</v>
      </c>
      <c r="M141" s="571"/>
      <c r="N141" s="570"/>
      <c r="W141" s="537" t="s">
        <v>1393</v>
      </c>
    </row>
    <row r="142" spans="1:33" s="536" customFormat="1" x14ac:dyDescent="0.2">
      <c r="A142" s="569"/>
      <c r="B142" s="671"/>
      <c r="C142" s="665" t="s">
        <v>717</v>
      </c>
      <c r="D142" s="666"/>
      <c r="E142" s="666"/>
      <c r="F142" s="563"/>
      <c r="G142" s="563"/>
      <c r="H142" s="563"/>
      <c r="I142" s="563"/>
      <c r="J142" s="566"/>
      <c r="K142" s="563"/>
      <c r="L142" s="566"/>
      <c r="M142" s="565"/>
      <c r="N142" s="564"/>
    </row>
    <row r="143" spans="1:33" s="536" customFormat="1" ht="33.75" x14ac:dyDescent="0.2">
      <c r="A143" s="575" t="s">
        <v>194</v>
      </c>
      <c r="B143" s="670" t="s">
        <v>657</v>
      </c>
      <c r="C143" s="1823" t="s">
        <v>1396</v>
      </c>
      <c r="D143" s="1823"/>
      <c r="E143" s="1823"/>
      <c r="F143" s="573" t="s">
        <v>641</v>
      </c>
      <c r="G143" s="573"/>
      <c r="H143" s="573"/>
      <c r="I143" s="573" t="s">
        <v>3971</v>
      </c>
      <c r="J143" s="572">
        <v>9.69</v>
      </c>
      <c r="K143" s="573"/>
      <c r="L143" s="572">
        <v>73.930000000000007</v>
      </c>
      <c r="M143" s="571"/>
      <c r="N143" s="570"/>
      <c r="W143" s="537" t="s">
        <v>1396</v>
      </c>
    </row>
    <row r="144" spans="1:33" s="536" customFormat="1" x14ac:dyDescent="0.2">
      <c r="A144" s="569"/>
      <c r="B144" s="671"/>
      <c r="C144" s="665" t="s">
        <v>717</v>
      </c>
      <c r="D144" s="666"/>
      <c r="E144" s="666"/>
      <c r="F144" s="563"/>
      <c r="G144" s="563"/>
      <c r="H144" s="563"/>
      <c r="I144" s="563"/>
      <c r="J144" s="566"/>
      <c r="K144" s="563"/>
      <c r="L144" s="566"/>
      <c r="M144" s="565"/>
      <c r="N144" s="564"/>
    </row>
    <row r="145" spans="1:34" s="536" customFormat="1" x14ac:dyDescent="0.2">
      <c r="A145" s="676"/>
      <c r="B145" s="664"/>
      <c r="C145" s="1822" t="s">
        <v>1399</v>
      </c>
      <c r="D145" s="1822"/>
      <c r="E145" s="1822"/>
      <c r="F145" s="1822"/>
      <c r="G145" s="1822"/>
      <c r="H145" s="1822"/>
      <c r="I145" s="1822"/>
      <c r="J145" s="1822"/>
      <c r="K145" s="1822"/>
      <c r="L145" s="1822"/>
      <c r="M145" s="1822"/>
      <c r="N145" s="1827"/>
      <c r="AH145" s="537" t="s">
        <v>1399</v>
      </c>
    </row>
    <row r="146" spans="1:34" s="536" customFormat="1" ht="22.5" x14ac:dyDescent="0.2">
      <c r="A146" s="575" t="s">
        <v>195</v>
      </c>
      <c r="B146" s="670" t="s">
        <v>1400</v>
      </c>
      <c r="C146" s="1823" t="s">
        <v>1401</v>
      </c>
      <c r="D146" s="1823"/>
      <c r="E146" s="1823"/>
      <c r="F146" s="573" t="s">
        <v>694</v>
      </c>
      <c r="G146" s="573"/>
      <c r="H146" s="573"/>
      <c r="I146" s="573" t="s">
        <v>3972</v>
      </c>
      <c r="J146" s="572">
        <v>5584.58</v>
      </c>
      <c r="K146" s="573"/>
      <c r="L146" s="572">
        <v>4679.32</v>
      </c>
      <c r="M146" s="571"/>
      <c r="N146" s="570"/>
      <c r="W146" s="537" t="s">
        <v>1401</v>
      </c>
    </row>
    <row r="147" spans="1:34" s="536" customFormat="1" x14ac:dyDescent="0.2">
      <c r="A147" s="569"/>
      <c r="B147" s="671"/>
      <c r="C147" s="665" t="s">
        <v>717</v>
      </c>
      <c r="D147" s="666"/>
      <c r="E147" s="666"/>
      <c r="F147" s="563"/>
      <c r="G147" s="563"/>
      <c r="H147" s="563"/>
      <c r="I147" s="563"/>
      <c r="J147" s="566"/>
      <c r="K147" s="563"/>
      <c r="L147" s="566"/>
      <c r="M147" s="565"/>
      <c r="N147" s="564"/>
    </row>
    <row r="148" spans="1:34" s="536" customFormat="1" x14ac:dyDescent="0.2">
      <c r="A148" s="676"/>
      <c r="B148" s="664"/>
      <c r="C148" s="1822" t="s">
        <v>3973</v>
      </c>
      <c r="D148" s="1822"/>
      <c r="E148" s="1822"/>
      <c r="F148" s="1822"/>
      <c r="G148" s="1822"/>
      <c r="H148" s="1822"/>
      <c r="I148" s="1822"/>
      <c r="J148" s="1822"/>
      <c r="K148" s="1822"/>
      <c r="L148" s="1822"/>
      <c r="M148" s="1822"/>
      <c r="N148" s="1827"/>
      <c r="X148" s="537" t="s">
        <v>3973</v>
      </c>
    </row>
    <row r="149" spans="1:34" s="536" customFormat="1" ht="22.5" x14ac:dyDescent="0.2">
      <c r="A149" s="575" t="s">
        <v>196</v>
      </c>
      <c r="B149" s="670" t="s">
        <v>1404</v>
      </c>
      <c r="C149" s="1823" t="s">
        <v>1405</v>
      </c>
      <c r="D149" s="1823"/>
      <c r="E149" s="1823"/>
      <c r="F149" s="573" t="s">
        <v>694</v>
      </c>
      <c r="G149" s="573"/>
      <c r="H149" s="573"/>
      <c r="I149" s="573" t="s">
        <v>3974</v>
      </c>
      <c r="J149" s="572"/>
      <c r="K149" s="573"/>
      <c r="L149" s="572"/>
      <c r="M149" s="571"/>
      <c r="N149" s="570"/>
      <c r="W149" s="537" t="s">
        <v>1405</v>
      </c>
    </row>
    <row r="150" spans="1:34" s="536" customFormat="1" x14ac:dyDescent="0.2">
      <c r="A150" s="676"/>
      <c r="B150" s="664"/>
      <c r="C150" s="1822" t="s">
        <v>3975</v>
      </c>
      <c r="D150" s="1822"/>
      <c r="E150" s="1822"/>
      <c r="F150" s="1822"/>
      <c r="G150" s="1822"/>
      <c r="H150" s="1822"/>
      <c r="I150" s="1822"/>
      <c r="J150" s="1822"/>
      <c r="K150" s="1822"/>
      <c r="L150" s="1822"/>
      <c r="M150" s="1822"/>
      <c r="N150" s="1827"/>
      <c r="X150" s="537" t="s">
        <v>3975</v>
      </c>
    </row>
    <row r="151" spans="1:34" s="536" customFormat="1" ht="33.75" x14ac:dyDescent="0.2">
      <c r="A151" s="609"/>
      <c r="B151" s="552" t="s">
        <v>310</v>
      </c>
      <c r="C151" s="1822" t="s">
        <v>311</v>
      </c>
      <c r="D151" s="1822"/>
      <c r="E151" s="1822"/>
      <c r="F151" s="1822"/>
      <c r="G151" s="1822"/>
      <c r="H151" s="1822"/>
      <c r="I151" s="1822"/>
      <c r="J151" s="1822"/>
      <c r="K151" s="1822"/>
      <c r="L151" s="1822"/>
      <c r="M151" s="1822"/>
      <c r="N151" s="1827"/>
      <c r="Y151" s="537" t="s">
        <v>311</v>
      </c>
    </row>
    <row r="152" spans="1:34" s="536" customFormat="1" x14ac:dyDescent="0.2">
      <c r="A152" s="605"/>
      <c r="B152" s="552" t="s">
        <v>185</v>
      </c>
      <c r="C152" s="1822" t="s">
        <v>312</v>
      </c>
      <c r="D152" s="1822"/>
      <c r="E152" s="1822"/>
      <c r="F152" s="562"/>
      <c r="G152" s="562"/>
      <c r="H152" s="562"/>
      <c r="I152" s="562"/>
      <c r="J152" s="604">
        <v>526.05999999999995</v>
      </c>
      <c r="K152" s="562" t="s">
        <v>313</v>
      </c>
      <c r="L152" s="604">
        <v>36.56</v>
      </c>
      <c r="M152" s="603"/>
      <c r="N152" s="602"/>
      <c r="Z152" s="537" t="s">
        <v>312</v>
      </c>
    </row>
    <row r="153" spans="1:34" s="536" customFormat="1" x14ac:dyDescent="0.2">
      <c r="A153" s="605"/>
      <c r="B153" s="552" t="s">
        <v>186</v>
      </c>
      <c r="C153" s="1822" t="s">
        <v>344</v>
      </c>
      <c r="D153" s="1822"/>
      <c r="E153" s="1822"/>
      <c r="F153" s="562"/>
      <c r="G153" s="562"/>
      <c r="H153" s="562"/>
      <c r="I153" s="562"/>
      <c r="J153" s="604">
        <v>28.64</v>
      </c>
      <c r="K153" s="562" t="s">
        <v>313</v>
      </c>
      <c r="L153" s="604">
        <v>1.99</v>
      </c>
      <c r="M153" s="603"/>
      <c r="N153" s="602"/>
      <c r="Z153" s="537" t="s">
        <v>344</v>
      </c>
    </row>
    <row r="154" spans="1:34" s="536" customFormat="1" x14ac:dyDescent="0.2">
      <c r="A154" s="605"/>
      <c r="B154" s="552" t="s">
        <v>187</v>
      </c>
      <c r="C154" s="1822" t="s">
        <v>345</v>
      </c>
      <c r="D154" s="1822"/>
      <c r="E154" s="1822"/>
      <c r="F154" s="562"/>
      <c r="G154" s="562"/>
      <c r="H154" s="562"/>
      <c r="I154" s="562"/>
      <c r="J154" s="604">
        <v>4.09</v>
      </c>
      <c r="K154" s="562" t="s">
        <v>313</v>
      </c>
      <c r="L154" s="604">
        <v>0.28000000000000003</v>
      </c>
      <c r="M154" s="603"/>
      <c r="N154" s="602"/>
      <c r="Z154" s="537" t="s">
        <v>345</v>
      </c>
    </row>
    <row r="155" spans="1:34" s="536" customFormat="1" x14ac:dyDescent="0.2">
      <c r="A155" s="676"/>
      <c r="B155" s="677" t="s">
        <v>1408</v>
      </c>
      <c r="C155" s="1829" t="s">
        <v>1409</v>
      </c>
      <c r="D155" s="1829"/>
      <c r="E155" s="1829"/>
      <c r="F155" s="678" t="s">
        <v>694</v>
      </c>
      <c r="G155" s="678" t="s">
        <v>185</v>
      </c>
      <c r="H155" s="678"/>
      <c r="I155" s="678" t="s">
        <v>3974</v>
      </c>
      <c r="J155" s="552"/>
      <c r="K155" s="562"/>
      <c r="L155" s="604"/>
      <c r="M155" s="562"/>
      <c r="N155" s="679"/>
      <c r="AG155" s="537" t="s">
        <v>1409</v>
      </c>
    </row>
    <row r="156" spans="1:34" s="536" customFormat="1" x14ac:dyDescent="0.2">
      <c r="A156" s="605"/>
      <c r="B156" s="552"/>
      <c r="C156" s="1822" t="s">
        <v>314</v>
      </c>
      <c r="D156" s="1822"/>
      <c r="E156" s="1822"/>
      <c r="F156" s="562" t="s">
        <v>315</v>
      </c>
      <c r="G156" s="562" t="s">
        <v>690</v>
      </c>
      <c r="H156" s="562" t="s">
        <v>313</v>
      </c>
      <c r="I156" s="562" t="s">
        <v>3976</v>
      </c>
      <c r="J156" s="604"/>
      <c r="K156" s="562"/>
      <c r="L156" s="604"/>
      <c r="M156" s="603"/>
      <c r="N156" s="602"/>
      <c r="AA156" s="537" t="s">
        <v>314</v>
      </c>
    </row>
    <row r="157" spans="1:34" s="536" customFormat="1" x14ac:dyDescent="0.2">
      <c r="A157" s="605"/>
      <c r="B157" s="552"/>
      <c r="C157" s="1822" t="s">
        <v>348</v>
      </c>
      <c r="D157" s="1822"/>
      <c r="E157" s="1822"/>
      <c r="F157" s="562" t="s">
        <v>315</v>
      </c>
      <c r="G157" s="562" t="s">
        <v>1411</v>
      </c>
      <c r="H157" s="562" t="s">
        <v>313</v>
      </c>
      <c r="I157" s="562" t="s">
        <v>3977</v>
      </c>
      <c r="J157" s="604"/>
      <c r="K157" s="562"/>
      <c r="L157" s="604"/>
      <c r="M157" s="603"/>
      <c r="N157" s="602"/>
      <c r="AA157" s="537" t="s">
        <v>348</v>
      </c>
    </row>
    <row r="158" spans="1:34" s="536" customFormat="1" x14ac:dyDescent="0.2">
      <c r="A158" s="605"/>
      <c r="B158" s="552"/>
      <c r="C158" s="1828" t="s">
        <v>318</v>
      </c>
      <c r="D158" s="1828"/>
      <c r="E158" s="1828"/>
      <c r="F158" s="608"/>
      <c r="G158" s="608"/>
      <c r="H158" s="608"/>
      <c r="I158" s="608"/>
      <c r="J158" s="607">
        <v>554.70000000000005</v>
      </c>
      <c r="K158" s="608"/>
      <c r="L158" s="607">
        <v>38.549999999999997</v>
      </c>
      <c r="M158" s="601"/>
      <c r="N158" s="606"/>
      <c r="AB158" s="537" t="s">
        <v>318</v>
      </c>
    </row>
    <row r="159" spans="1:34" s="536" customFormat="1" x14ac:dyDescent="0.2">
      <c r="A159" s="605"/>
      <c r="B159" s="552"/>
      <c r="C159" s="1822" t="s">
        <v>319</v>
      </c>
      <c r="D159" s="1822"/>
      <c r="E159" s="1822"/>
      <c r="F159" s="562"/>
      <c r="G159" s="562"/>
      <c r="H159" s="562"/>
      <c r="I159" s="562"/>
      <c r="J159" s="604"/>
      <c r="K159" s="562"/>
      <c r="L159" s="604">
        <v>36.840000000000003</v>
      </c>
      <c r="M159" s="603"/>
      <c r="N159" s="602"/>
      <c r="AA159" s="537" t="s">
        <v>319</v>
      </c>
    </row>
    <row r="160" spans="1:34" s="536" customFormat="1" ht="33.75" x14ac:dyDescent="0.2">
      <c r="A160" s="605"/>
      <c r="B160" s="552" t="s">
        <v>686</v>
      </c>
      <c r="C160" s="1822" t="s">
        <v>687</v>
      </c>
      <c r="D160" s="1822"/>
      <c r="E160" s="1822"/>
      <c r="F160" s="562" t="s">
        <v>322</v>
      </c>
      <c r="G160" s="562" t="s">
        <v>680</v>
      </c>
      <c r="H160" s="562"/>
      <c r="I160" s="562" t="s">
        <v>680</v>
      </c>
      <c r="J160" s="604"/>
      <c r="K160" s="562"/>
      <c r="L160" s="604">
        <v>37.58</v>
      </c>
      <c r="M160" s="603"/>
      <c r="N160" s="602"/>
      <c r="AA160" s="537" t="s">
        <v>687</v>
      </c>
    </row>
    <row r="161" spans="1:33" s="536" customFormat="1" ht="33.75" x14ac:dyDescent="0.2">
      <c r="A161" s="605"/>
      <c r="B161" s="552" t="s">
        <v>688</v>
      </c>
      <c r="C161" s="1822" t="s">
        <v>689</v>
      </c>
      <c r="D161" s="1822"/>
      <c r="E161" s="1822"/>
      <c r="F161" s="562" t="s">
        <v>322</v>
      </c>
      <c r="G161" s="562" t="s">
        <v>690</v>
      </c>
      <c r="H161" s="562"/>
      <c r="I161" s="562" t="s">
        <v>690</v>
      </c>
      <c r="J161" s="604"/>
      <c r="K161" s="562"/>
      <c r="L161" s="604">
        <v>21.37</v>
      </c>
      <c r="M161" s="603"/>
      <c r="N161" s="602"/>
      <c r="AA161" s="537" t="s">
        <v>689</v>
      </c>
    </row>
    <row r="162" spans="1:33" s="536" customFormat="1" x14ac:dyDescent="0.2">
      <c r="A162" s="569"/>
      <c r="B162" s="671"/>
      <c r="C162" s="1823" t="s">
        <v>327</v>
      </c>
      <c r="D162" s="1823"/>
      <c r="E162" s="1823"/>
      <c r="F162" s="573"/>
      <c r="G162" s="573"/>
      <c r="H162" s="573"/>
      <c r="I162" s="573"/>
      <c r="J162" s="572"/>
      <c r="K162" s="573"/>
      <c r="L162" s="572">
        <v>97.5</v>
      </c>
      <c r="M162" s="601"/>
      <c r="N162" s="570"/>
      <c r="AC162" s="537" t="s">
        <v>327</v>
      </c>
    </row>
    <row r="163" spans="1:33" s="536" customFormat="1" ht="67.5" x14ac:dyDescent="0.2">
      <c r="A163" s="575" t="s">
        <v>197</v>
      </c>
      <c r="B163" s="670" t="s">
        <v>1413</v>
      </c>
      <c r="C163" s="1823" t="s">
        <v>1414</v>
      </c>
      <c r="D163" s="1823"/>
      <c r="E163" s="1823"/>
      <c r="F163" s="573" t="s">
        <v>694</v>
      </c>
      <c r="G163" s="573"/>
      <c r="H163" s="573"/>
      <c r="I163" s="573" t="s">
        <v>3974</v>
      </c>
      <c r="J163" s="572">
        <v>6800</v>
      </c>
      <c r="K163" s="573"/>
      <c r="L163" s="572">
        <v>378.08</v>
      </c>
      <c r="M163" s="571"/>
      <c r="N163" s="570"/>
      <c r="W163" s="537" t="s">
        <v>1414</v>
      </c>
    </row>
    <row r="164" spans="1:33" s="536" customFormat="1" x14ac:dyDescent="0.2">
      <c r="A164" s="569"/>
      <c r="B164" s="671"/>
      <c r="C164" s="665" t="s">
        <v>717</v>
      </c>
      <c r="D164" s="666"/>
      <c r="E164" s="666"/>
      <c r="F164" s="563"/>
      <c r="G164" s="563"/>
      <c r="H164" s="563"/>
      <c r="I164" s="563"/>
      <c r="J164" s="566"/>
      <c r="K164" s="563"/>
      <c r="L164" s="566"/>
      <c r="M164" s="565"/>
      <c r="N164" s="564"/>
    </row>
    <row r="165" spans="1:33" s="536" customFormat="1" ht="33.75" x14ac:dyDescent="0.2">
      <c r="A165" s="575" t="s">
        <v>198</v>
      </c>
      <c r="B165" s="670" t="s">
        <v>1416</v>
      </c>
      <c r="C165" s="1823" t="s">
        <v>1417</v>
      </c>
      <c r="D165" s="1823"/>
      <c r="E165" s="1823"/>
      <c r="F165" s="573" t="s">
        <v>862</v>
      </c>
      <c r="G165" s="573"/>
      <c r="H165" s="573"/>
      <c r="I165" s="573" t="s">
        <v>3978</v>
      </c>
      <c r="J165" s="572"/>
      <c r="K165" s="573"/>
      <c r="L165" s="572"/>
      <c r="M165" s="571"/>
      <c r="N165" s="570"/>
      <c r="W165" s="537" t="s">
        <v>1417</v>
      </c>
    </row>
    <row r="166" spans="1:33" s="536" customFormat="1" x14ac:dyDescent="0.2">
      <c r="A166" s="676"/>
      <c r="B166" s="664"/>
      <c r="C166" s="1822" t="s">
        <v>3979</v>
      </c>
      <c r="D166" s="1822"/>
      <c r="E166" s="1822"/>
      <c r="F166" s="1822"/>
      <c r="G166" s="1822"/>
      <c r="H166" s="1822"/>
      <c r="I166" s="1822"/>
      <c r="J166" s="1822"/>
      <c r="K166" s="1822"/>
      <c r="L166" s="1822"/>
      <c r="M166" s="1822"/>
      <c r="N166" s="1827"/>
      <c r="X166" s="537" t="s">
        <v>3979</v>
      </c>
    </row>
    <row r="167" spans="1:33" s="536" customFormat="1" ht="33.75" x14ac:dyDescent="0.2">
      <c r="A167" s="609"/>
      <c r="B167" s="552" t="s">
        <v>310</v>
      </c>
      <c r="C167" s="1822" t="s">
        <v>311</v>
      </c>
      <c r="D167" s="1822"/>
      <c r="E167" s="1822"/>
      <c r="F167" s="1822"/>
      <c r="G167" s="1822"/>
      <c r="H167" s="1822"/>
      <c r="I167" s="1822"/>
      <c r="J167" s="1822"/>
      <c r="K167" s="1822"/>
      <c r="L167" s="1822"/>
      <c r="M167" s="1822"/>
      <c r="N167" s="1827"/>
      <c r="Y167" s="537" t="s">
        <v>311</v>
      </c>
    </row>
    <row r="168" spans="1:33" s="536" customFormat="1" x14ac:dyDescent="0.2">
      <c r="A168" s="605"/>
      <c r="B168" s="552" t="s">
        <v>185</v>
      </c>
      <c r="C168" s="1822" t="s">
        <v>312</v>
      </c>
      <c r="D168" s="1822"/>
      <c r="E168" s="1822"/>
      <c r="F168" s="562"/>
      <c r="G168" s="562"/>
      <c r="H168" s="562"/>
      <c r="I168" s="562"/>
      <c r="J168" s="604">
        <v>170.01</v>
      </c>
      <c r="K168" s="562" t="s">
        <v>313</v>
      </c>
      <c r="L168" s="604">
        <v>94.4</v>
      </c>
      <c r="M168" s="603"/>
      <c r="N168" s="602"/>
      <c r="Z168" s="537" t="s">
        <v>312</v>
      </c>
    </row>
    <row r="169" spans="1:33" s="536" customFormat="1" x14ac:dyDescent="0.2">
      <c r="A169" s="605"/>
      <c r="B169" s="552" t="s">
        <v>186</v>
      </c>
      <c r="C169" s="1822" t="s">
        <v>344</v>
      </c>
      <c r="D169" s="1822"/>
      <c r="E169" s="1822"/>
      <c r="F169" s="562"/>
      <c r="G169" s="562"/>
      <c r="H169" s="562"/>
      <c r="I169" s="562"/>
      <c r="J169" s="604">
        <v>38.6</v>
      </c>
      <c r="K169" s="562" t="s">
        <v>313</v>
      </c>
      <c r="L169" s="604">
        <v>21.43</v>
      </c>
      <c r="M169" s="603"/>
      <c r="N169" s="602"/>
      <c r="Z169" s="537" t="s">
        <v>344</v>
      </c>
    </row>
    <row r="170" spans="1:33" s="536" customFormat="1" x14ac:dyDescent="0.2">
      <c r="A170" s="605"/>
      <c r="B170" s="552" t="s">
        <v>187</v>
      </c>
      <c r="C170" s="1822" t="s">
        <v>345</v>
      </c>
      <c r="D170" s="1822"/>
      <c r="E170" s="1822"/>
      <c r="F170" s="562"/>
      <c r="G170" s="562"/>
      <c r="H170" s="562"/>
      <c r="I170" s="562"/>
      <c r="J170" s="604">
        <v>9.2899999999999991</v>
      </c>
      <c r="K170" s="562" t="s">
        <v>313</v>
      </c>
      <c r="L170" s="604">
        <v>5.16</v>
      </c>
      <c r="M170" s="603"/>
      <c r="N170" s="602"/>
      <c r="Z170" s="537" t="s">
        <v>345</v>
      </c>
    </row>
    <row r="171" spans="1:33" s="536" customFormat="1" x14ac:dyDescent="0.2">
      <c r="A171" s="605"/>
      <c r="B171" s="552" t="s">
        <v>188</v>
      </c>
      <c r="C171" s="1822" t="s">
        <v>475</v>
      </c>
      <c r="D171" s="1822"/>
      <c r="E171" s="1822"/>
      <c r="F171" s="562"/>
      <c r="G171" s="562"/>
      <c r="H171" s="562"/>
      <c r="I171" s="562"/>
      <c r="J171" s="604">
        <v>0.91</v>
      </c>
      <c r="K171" s="562"/>
      <c r="L171" s="604">
        <v>0.4</v>
      </c>
      <c r="M171" s="603"/>
      <c r="N171" s="602"/>
      <c r="Z171" s="537" t="s">
        <v>475</v>
      </c>
    </row>
    <row r="172" spans="1:33" s="536" customFormat="1" x14ac:dyDescent="0.2">
      <c r="A172" s="676"/>
      <c r="B172" s="677" t="s">
        <v>1420</v>
      </c>
      <c r="C172" s="1829" t="s">
        <v>1421</v>
      </c>
      <c r="D172" s="1829"/>
      <c r="E172" s="1829"/>
      <c r="F172" s="678" t="s">
        <v>694</v>
      </c>
      <c r="G172" s="678" t="s">
        <v>1422</v>
      </c>
      <c r="H172" s="678"/>
      <c r="I172" s="678" t="s">
        <v>3980</v>
      </c>
      <c r="J172" s="552"/>
      <c r="K172" s="562"/>
      <c r="L172" s="604"/>
      <c r="M172" s="562"/>
      <c r="N172" s="679"/>
      <c r="AG172" s="537" t="s">
        <v>1421</v>
      </c>
    </row>
    <row r="173" spans="1:33" s="536" customFormat="1" x14ac:dyDescent="0.2">
      <c r="A173" s="605"/>
      <c r="B173" s="552"/>
      <c r="C173" s="1822" t="s">
        <v>314</v>
      </c>
      <c r="D173" s="1822"/>
      <c r="E173" s="1822"/>
      <c r="F173" s="562" t="s">
        <v>315</v>
      </c>
      <c r="G173" s="562" t="s">
        <v>1424</v>
      </c>
      <c r="H173" s="562" t="s">
        <v>313</v>
      </c>
      <c r="I173" s="562" t="s">
        <v>3981</v>
      </c>
      <c r="J173" s="604"/>
      <c r="K173" s="562"/>
      <c r="L173" s="604"/>
      <c r="M173" s="603"/>
      <c r="N173" s="602"/>
      <c r="AA173" s="537" t="s">
        <v>314</v>
      </c>
    </row>
    <row r="174" spans="1:33" s="536" customFormat="1" x14ac:dyDescent="0.2">
      <c r="A174" s="605"/>
      <c r="B174" s="552"/>
      <c r="C174" s="1822" t="s">
        <v>348</v>
      </c>
      <c r="D174" s="1822"/>
      <c r="E174" s="1822"/>
      <c r="F174" s="562" t="s">
        <v>315</v>
      </c>
      <c r="G174" s="562" t="s">
        <v>524</v>
      </c>
      <c r="H174" s="562" t="s">
        <v>313</v>
      </c>
      <c r="I174" s="562" t="s">
        <v>3982</v>
      </c>
      <c r="J174" s="604"/>
      <c r="K174" s="562"/>
      <c r="L174" s="604"/>
      <c r="M174" s="603"/>
      <c r="N174" s="602"/>
      <c r="AA174" s="537" t="s">
        <v>348</v>
      </c>
    </row>
    <row r="175" spans="1:33" s="536" customFormat="1" x14ac:dyDescent="0.2">
      <c r="A175" s="605"/>
      <c r="B175" s="552"/>
      <c r="C175" s="1828" t="s">
        <v>318</v>
      </c>
      <c r="D175" s="1828"/>
      <c r="E175" s="1828"/>
      <c r="F175" s="608"/>
      <c r="G175" s="608"/>
      <c r="H175" s="608"/>
      <c r="I175" s="608"/>
      <c r="J175" s="607">
        <v>209.52</v>
      </c>
      <c r="K175" s="608"/>
      <c r="L175" s="607">
        <v>116.23</v>
      </c>
      <c r="M175" s="601"/>
      <c r="N175" s="606"/>
      <c r="AB175" s="537" t="s">
        <v>318</v>
      </c>
    </row>
    <row r="176" spans="1:33" s="536" customFormat="1" x14ac:dyDescent="0.2">
      <c r="A176" s="605"/>
      <c r="B176" s="552"/>
      <c r="C176" s="1822" t="s">
        <v>319</v>
      </c>
      <c r="D176" s="1822"/>
      <c r="E176" s="1822"/>
      <c r="F176" s="562"/>
      <c r="G176" s="562"/>
      <c r="H176" s="562"/>
      <c r="I176" s="562"/>
      <c r="J176" s="604"/>
      <c r="K176" s="562"/>
      <c r="L176" s="604">
        <v>99.56</v>
      </c>
      <c r="M176" s="603"/>
      <c r="N176" s="602"/>
      <c r="AA176" s="537" t="s">
        <v>319</v>
      </c>
    </row>
    <row r="177" spans="1:33" s="536" customFormat="1" ht="33.75" x14ac:dyDescent="0.2">
      <c r="A177" s="605"/>
      <c r="B177" s="552" t="s">
        <v>1250</v>
      </c>
      <c r="C177" s="1822" t="s">
        <v>1251</v>
      </c>
      <c r="D177" s="1822"/>
      <c r="E177" s="1822"/>
      <c r="F177" s="562" t="s">
        <v>322</v>
      </c>
      <c r="G177" s="562" t="s">
        <v>1252</v>
      </c>
      <c r="H177" s="562"/>
      <c r="I177" s="562" t="s">
        <v>1252</v>
      </c>
      <c r="J177" s="604"/>
      <c r="K177" s="562"/>
      <c r="L177" s="604">
        <v>111.51</v>
      </c>
      <c r="M177" s="603"/>
      <c r="N177" s="602"/>
      <c r="AA177" s="537" t="s">
        <v>1251</v>
      </c>
    </row>
    <row r="178" spans="1:33" s="536" customFormat="1" ht="33.75" x14ac:dyDescent="0.2">
      <c r="A178" s="605"/>
      <c r="B178" s="552" t="s">
        <v>1253</v>
      </c>
      <c r="C178" s="1822" t="s">
        <v>1254</v>
      </c>
      <c r="D178" s="1822"/>
      <c r="E178" s="1822"/>
      <c r="F178" s="562" t="s">
        <v>322</v>
      </c>
      <c r="G178" s="562" t="s">
        <v>796</v>
      </c>
      <c r="H178" s="562"/>
      <c r="I178" s="562" t="s">
        <v>796</v>
      </c>
      <c r="J178" s="604"/>
      <c r="K178" s="562"/>
      <c r="L178" s="604">
        <v>64.709999999999994</v>
      </c>
      <c r="M178" s="603"/>
      <c r="N178" s="602"/>
      <c r="AA178" s="537" t="s">
        <v>1254</v>
      </c>
    </row>
    <row r="179" spans="1:33" s="536" customFormat="1" x14ac:dyDescent="0.2">
      <c r="A179" s="569"/>
      <c r="B179" s="671"/>
      <c r="C179" s="1823" t="s">
        <v>327</v>
      </c>
      <c r="D179" s="1823"/>
      <c r="E179" s="1823"/>
      <c r="F179" s="573"/>
      <c r="G179" s="573"/>
      <c r="H179" s="573"/>
      <c r="I179" s="573"/>
      <c r="J179" s="572"/>
      <c r="K179" s="573"/>
      <c r="L179" s="572">
        <v>292.45</v>
      </c>
      <c r="M179" s="601"/>
      <c r="N179" s="570"/>
      <c r="AC179" s="537" t="s">
        <v>327</v>
      </c>
    </row>
    <row r="180" spans="1:33" s="536" customFormat="1" ht="33.75" x14ac:dyDescent="0.2">
      <c r="A180" s="575" t="s">
        <v>199</v>
      </c>
      <c r="B180" s="670" t="s">
        <v>2126</v>
      </c>
      <c r="C180" s="1823" t="s">
        <v>2127</v>
      </c>
      <c r="D180" s="1823"/>
      <c r="E180" s="1823"/>
      <c r="F180" s="573" t="s">
        <v>862</v>
      </c>
      <c r="G180" s="573"/>
      <c r="H180" s="573"/>
      <c r="I180" s="573" t="s">
        <v>3978</v>
      </c>
      <c r="J180" s="572"/>
      <c r="K180" s="573"/>
      <c r="L180" s="572"/>
      <c r="M180" s="571"/>
      <c r="N180" s="570"/>
      <c r="W180" s="537" t="s">
        <v>2127</v>
      </c>
    </row>
    <row r="181" spans="1:33" s="536" customFormat="1" x14ac:dyDescent="0.2">
      <c r="A181" s="676"/>
      <c r="B181" s="664"/>
      <c r="C181" s="1822" t="s">
        <v>3979</v>
      </c>
      <c r="D181" s="1822"/>
      <c r="E181" s="1822"/>
      <c r="F181" s="1822"/>
      <c r="G181" s="1822"/>
      <c r="H181" s="1822"/>
      <c r="I181" s="1822"/>
      <c r="J181" s="1822"/>
      <c r="K181" s="1822"/>
      <c r="L181" s="1822"/>
      <c r="M181" s="1822"/>
      <c r="N181" s="1827"/>
      <c r="X181" s="537" t="s">
        <v>3979</v>
      </c>
    </row>
    <row r="182" spans="1:33" s="536" customFormat="1" ht="33.75" x14ac:dyDescent="0.2">
      <c r="A182" s="609"/>
      <c r="B182" s="552" t="s">
        <v>310</v>
      </c>
      <c r="C182" s="1822" t="s">
        <v>311</v>
      </c>
      <c r="D182" s="1822"/>
      <c r="E182" s="1822"/>
      <c r="F182" s="1822"/>
      <c r="G182" s="1822"/>
      <c r="H182" s="1822"/>
      <c r="I182" s="1822"/>
      <c r="J182" s="1822"/>
      <c r="K182" s="1822"/>
      <c r="L182" s="1822"/>
      <c r="M182" s="1822"/>
      <c r="N182" s="1827"/>
      <c r="Y182" s="537" t="s">
        <v>311</v>
      </c>
    </row>
    <row r="183" spans="1:33" s="536" customFormat="1" x14ac:dyDescent="0.2">
      <c r="A183" s="605"/>
      <c r="B183" s="552" t="s">
        <v>185</v>
      </c>
      <c r="C183" s="1822" t="s">
        <v>312</v>
      </c>
      <c r="D183" s="1822"/>
      <c r="E183" s="1822"/>
      <c r="F183" s="562"/>
      <c r="G183" s="562"/>
      <c r="H183" s="562"/>
      <c r="I183" s="562"/>
      <c r="J183" s="604">
        <v>53.82</v>
      </c>
      <c r="K183" s="562" t="s">
        <v>313</v>
      </c>
      <c r="L183" s="604">
        <v>29.88</v>
      </c>
      <c r="M183" s="603"/>
      <c r="N183" s="602"/>
      <c r="Z183" s="537" t="s">
        <v>312</v>
      </c>
    </row>
    <row r="184" spans="1:33" s="536" customFormat="1" x14ac:dyDescent="0.2">
      <c r="A184" s="605"/>
      <c r="B184" s="552" t="s">
        <v>186</v>
      </c>
      <c r="C184" s="1822" t="s">
        <v>344</v>
      </c>
      <c r="D184" s="1822"/>
      <c r="E184" s="1822"/>
      <c r="F184" s="562"/>
      <c r="G184" s="562"/>
      <c r="H184" s="562"/>
      <c r="I184" s="562"/>
      <c r="J184" s="604">
        <v>19.149999999999999</v>
      </c>
      <c r="K184" s="562" t="s">
        <v>313</v>
      </c>
      <c r="L184" s="604">
        <v>10.63</v>
      </c>
      <c r="M184" s="603"/>
      <c r="N184" s="602"/>
      <c r="Z184" s="537" t="s">
        <v>344</v>
      </c>
    </row>
    <row r="185" spans="1:33" s="536" customFormat="1" x14ac:dyDescent="0.2">
      <c r="A185" s="605"/>
      <c r="B185" s="552" t="s">
        <v>187</v>
      </c>
      <c r="C185" s="1822" t="s">
        <v>345</v>
      </c>
      <c r="D185" s="1822"/>
      <c r="E185" s="1822"/>
      <c r="F185" s="562"/>
      <c r="G185" s="562"/>
      <c r="H185" s="562"/>
      <c r="I185" s="562"/>
      <c r="J185" s="604">
        <v>4.58</v>
      </c>
      <c r="K185" s="562" t="s">
        <v>313</v>
      </c>
      <c r="L185" s="604">
        <v>2.54</v>
      </c>
      <c r="M185" s="603"/>
      <c r="N185" s="602"/>
      <c r="Z185" s="537" t="s">
        <v>345</v>
      </c>
    </row>
    <row r="186" spans="1:33" s="536" customFormat="1" x14ac:dyDescent="0.2">
      <c r="A186" s="605"/>
      <c r="B186" s="552" t="s">
        <v>188</v>
      </c>
      <c r="C186" s="1822" t="s">
        <v>475</v>
      </c>
      <c r="D186" s="1822"/>
      <c r="E186" s="1822"/>
      <c r="F186" s="562"/>
      <c r="G186" s="562"/>
      <c r="H186" s="562"/>
      <c r="I186" s="562"/>
      <c r="J186" s="604">
        <v>0.55000000000000004</v>
      </c>
      <c r="K186" s="562"/>
      <c r="L186" s="604">
        <v>0.24</v>
      </c>
      <c r="M186" s="603"/>
      <c r="N186" s="602"/>
      <c r="Z186" s="537" t="s">
        <v>475</v>
      </c>
    </row>
    <row r="187" spans="1:33" s="536" customFormat="1" x14ac:dyDescent="0.2">
      <c r="A187" s="676"/>
      <c r="B187" s="677" t="s">
        <v>1420</v>
      </c>
      <c r="C187" s="1829" t="s">
        <v>1421</v>
      </c>
      <c r="D187" s="1829"/>
      <c r="E187" s="1829"/>
      <c r="F187" s="678" t="s">
        <v>694</v>
      </c>
      <c r="G187" s="678" t="s">
        <v>646</v>
      </c>
      <c r="H187" s="678"/>
      <c r="I187" s="678" t="s">
        <v>3983</v>
      </c>
      <c r="J187" s="552"/>
      <c r="K187" s="562"/>
      <c r="L187" s="604"/>
      <c r="M187" s="562"/>
      <c r="N187" s="679"/>
      <c r="AG187" s="537" t="s">
        <v>1421</v>
      </c>
    </row>
    <row r="188" spans="1:33" s="536" customFormat="1" x14ac:dyDescent="0.2">
      <c r="A188" s="605"/>
      <c r="B188" s="552"/>
      <c r="C188" s="1822" t="s">
        <v>314</v>
      </c>
      <c r="D188" s="1822"/>
      <c r="E188" s="1822"/>
      <c r="F188" s="562" t="s">
        <v>315</v>
      </c>
      <c r="G188" s="562" t="s">
        <v>2129</v>
      </c>
      <c r="H188" s="562" t="s">
        <v>313</v>
      </c>
      <c r="I188" s="562" t="s">
        <v>3984</v>
      </c>
      <c r="J188" s="604"/>
      <c r="K188" s="562"/>
      <c r="L188" s="604"/>
      <c r="M188" s="603"/>
      <c r="N188" s="602"/>
      <c r="AA188" s="537" t="s">
        <v>314</v>
      </c>
    </row>
    <row r="189" spans="1:33" s="536" customFormat="1" x14ac:dyDescent="0.2">
      <c r="A189" s="605"/>
      <c r="B189" s="552"/>
      <c r="C189" s="1822" t="s">
        <v>348</v>
      </c>
      <c r="D189" s="1822"/>
      <c r="E189" s="1822"/>
      <c r="F189" s="562" t="s">
        <v>315</v>
      </c>
      <c r="G189" s="562" t="s">
        <v>2131</v>
      </c>
      <c r="H189" s="562" t="s">
        <v>313</v>
      </c>
      <c r="I189" s="562" t="s">
        <v>3985</v>
      </c>
      <c r="J189" s="604"/>
      <c r="K189" s="562"/>
      <c r="L189" s="604"/>
      <c r="M189" s="603"/>
      <c r="N189" s="602"/>
      <c r="AA189" s="537" t="s">
        <v>348</v>
      </c>
    </row>
    <row r="190" spans="1:33" s="536" customFormat="1" x14ac:dyDescent="0.2">
      <c r="A190" s="605"/>
      <c r="B190" s="552"/>
      <c r="C190" s="1828" t="s">
        <v>318</v>
      </c>
      <c r="D190" s="1828"/>
      <c r="E190" s="1828"/>
      <c r="F190" s="608"/>
      <c r="G190" s="608"/>
      <c r="H190" s="608"/>
      <c r="I190" s="608"/>
      <c r="J190" s="607">
        <v>73.52</v>
      </c>
      <c r="K190" s="608"/>
      <c r="L190" s="607">
        <v>40.75</v>
      </c>
      <c r="M190" s="601"/>
      <c r="N190" s="606"/>
      <c r="AB190" s="537" t="s">
        <v>318</v>
      </c>
    </row>
    <row r="191" spans="1:33" s="536" customFormat="1" x14ac:dyDescent="0.2">
      <c r="A191" s="605"/>
      <c r="B191" s="552"/>
      <c r="C191" s="1822" t="s">
        <v>319</v>
      </c>
      <c r="D191" s="1822"/>
      <c r="E191" s="1822"/>
      <c r="F191" s="562"/>
      <c r="G191" s="562"/>
      <c r="H191" s="562"/>
      <c r="I191" s="562"/>
      <c r="J191" s="604"/>
      <c r="K191" s="562"/>
      <c r="L191" s="604">
        <v>32.42</v>
      </c>
      <c r="M191" s="603"/>
      <c r="N191" s="602"/>
      <c r="AA191" s="537" t="s">
        <v>319</v>
      </c>
    </row>
    <row r="192" spans="1:33" s="536" customFormat="1" ht="33.75" x14ac:dyDescent="0.2">
      <c r="A192" s="605"/>
      <c r="B192" s="552" t="s">
        <v>1250</v>
      </c>
      <c r="C192" s="1822" t="s">
        <v>1251</v>
      </c>
      <c r="D192" s="1822"/>
      <c r="E192" s="1822"/>
      <c r="F192" s="562" t="s">
        <v>322</v>
      </c>
      <c r="G192" s="562" t="s">
        <v>1252</v>
      </c>
      <c r="H192" s="562"/>
      <c r="I192" s="562" t="s">
        <v>1252</v>
      </c>
      <c r="J192" s="604"/>
      <c r="K192" s="562"/>
      <c r="L192" s="604">
        <v>36.31</v>
      </c>
      <c r="M192" s="603"/>
      <c r="N192" s="602"/>
      <c r="AA192" s="537" t="s">
        <v>1251</v>
      </c>
    </row>
    <row r="193" spans="1:31" s="536" customFormat="1" ht="33.75" x14ac:dyDescent="0.2">
      <c r="A193" s="605"/>
      <c r="B193" s="552" t="s">
        <v>1253</v>
      </c>
      <c r="C193" s="1822" t="s">
        <v>1254</v>
      </c>
      <c r="D193" s="1822"/>
      <c r="E193" s="1822"/>
      <c r="F193" s="562" t="s">
        <v>322</v>
      </c>
      <c r="G193" s="562" t="s">
        <v>796</v>
      </c>
      <c r="H193" s="562"/>
      <c r="I193" s="562" t="s">
        <v>796</v>
      </c>
      <c r="J193" s="604"/>
      <c r="K193" s="562"/>
      <c r="L193" s="604">
        <v>21.07</v>
      </c>
      <c r="M193" s="603"/>
      <c r="N193" s="602"/>
      <c r="AA193" s="537" t="s">
        <v>1254</v>
      </c>
    </row>
    <row r="194" spans="1:31" s="536" customFormat="1" x14ac:dyDescent="0.2">
      <c r="A194" s="569"/>
      <c r="B194" s="671"/>
      <c r="C194" s="1823" t="s">
        <v>327</v>
      </c>
      <c r="D194" s="1823"/>
      <c r="E194" s="1823"/>
      <c r="F194" s="573"/>
      <c r="G194" s="573"/>
      <c r="H194" s="573"/>
      <c r="I194" s="573"/>
      <c r="J194" s="572"/>
      <c r="K194" s="573"/>
      <c r="L194" s="572">
        <v>98.13</v>
      </c>
      <c r="M194" s="601"/>
      <c r="N194" s="570"/>
      <c r="AC194" s="537" t="s">
        <v>327</v>
      </c>
    </row>
    <row r="195" spans="1:31" s="536" customFormat="1" ht="22.5" x14ac:dyDescent="0.2">
      <c r="A195" s="575" t="s">
        <v>200</v>
      </c>
      <c r="B195" s="670" t="s">
        <v>1427</v>
      </c>
      <c r="C195" s="1823" t="s">
        <v>1428</v>
      </c>
      <c r="D195" s="1823"/>
      <c r="E195" s="1823"/>
      <c r="F195" s="573" t="s">
        <v>699</v>
      </c>
      <c r="G195" s="573"/>
      <c r="H195" s="573"/>
      <c r="I195" s="573" t="s">
        <v>3986</v>
      </c>
      <c r="J195" s="572">
        <v>9.15</v>
      </c>
      <c r="K195" s="573"/>
      <c r="L195" s="572">
        <v>650.30999999999995</v>
      </c>
      <c r="M195" s="571"/>
      <c r="N195" s="570"/>
      <c r="W195" s="537" t="s">
        <v>1428</v>
      </c>
    </row>
    <row r="196" spans="1:31" s="536" customFormat="1" x14ac:dyDescent="0.2">
      <c r="A196" s="569"/>
      <c r="B196" s="671"/>
      <c r="C196" s="665" t="s">
        <v>717</v>
      </c>
      <c r="D196" s="666"/>
      <c r="E196" s="666"/>
      <c r="F196" s="563"/>
      <c r="G196" s="563"/>
      <c r="H196" s="563"/>
      <c r="I196" s="563"/>
      <c r="J196" s="566"/>
      <c r="K196" s="563"/>
      <c r="L196" s="566"/>
      <c r="M196" s="565"/>
      <c r="N196" s="564"/>
    </row>
    <row r="197" spans="1:31" s="536" customFormat="1" x14ac:dyDescent="0.2">
      <c r="A197" s="676"/>
      <c r="B197" s="664"/>
      <c r="C197" s="1822" t="s">
        <v>3987</v>
      </c>
      <c r="D197" s="1822"/>
      <c r="E197" s="1822"/>
      <c r="F197" s="1822"/>
      <c r="G197" s="1822"/>
      <c r="H197" s="1822"/>
      <c r="I197" s="1822"/>
      <c r="J197" s="1822"/>
      <c r="K197" s="1822"/>
      <c r="L197" s="1822"/>
      <c r="M197" s="1822"/>
      <c r="N197" s="1827"/>
      <c r="X197" s="537" t="s">
        <v>3987</v>
      </c>
    </row>
    <row r="198" spans="1:31" s="536" customFormat="1" ht="1.5" customHeight="1" x14ac:dyDescent="0.2">
      <c r="A198" s="563"/>
      <c r="B198" s="671"/>
      <c r="C198" s="671"/>
      <c r="D198" s="671"/>
      <c r="E198" s="671"/>
      <c r="F198" s="563"/>
      <c r="G198" s="563"/>
      <c r="H198" s="563"/>
      <c r="I198" s="563"/>
      <c r="J198" s="546"/>
      <c r="K198" s="563"/>
      <c r="L198" s="546"/>
      <c r="M198" s="562"/>
      <c r="N198" s="546"/>
    </row>
    <row r="199" spans="1:31" s="536" customFormat="1" x14ac:dyDescent="0.2">
      <c r="A199" s="557"/>
      <c r="B199" s="556"/>
      <c r="C199" s="1823" t="s">
        <v>3327</v>
      </c>
      <c r="D199" s="1823"/>
      <c r="E199" s="1823"/>
      <c r="F199" s="1823"/>
      <c r="G199" s="1823"/>
      <c r="H199" s="1823"/>
      <c r="I199" s="1823"/>
      <c r="J199" s="1823"/>
      <c r="K199" s="1823"/>
      <c r="L199" s="555"/>
      <c r="M199" s="554"/>
      <c r="N199" s="553"/>
      <c r="AD199" s="537" t="s">
        <v>3327</v>
      </c>
    </row>
    <row r="200" spans="1:31" s="536" customFormat="1" x14ac:dyDescent="0.2">
      <c r="A200" s="548"/>
      <c r="B200" s="552"/>
      <c r="C200" s="1822" t="s">
        <v>403</v>
      </c>
      <c r="D200" s="1822"/>
      <c r="E200" s="1822"/>
      <c r="F200" s="1822"/>
      <c r="G200" s="1822"/>
      <c r="H200" s="1822"/>
      <c r="I200" s="1822"/>
      <c r="J200" s="1822"/>
      <c r="K200" s="1822"/>
      <c r="L200" s="551">
        <v>14552.21</v>
      </c>
      <c r="M200" s="550"/>
      <c r="N200" s="549"/>
      <c r="AE200" s="537" t="s">
        <v>403</v>
      </c>
    </row>
    <row r="201" spans="1:31" s="536" customFormat="1" x14ac:dyDescent="0.2">
      <c r="A201" s="548"/>
      <c r="B201" s="552"/>
      <c r="C201" s="1822" t="s">
        <v>204</v>
      </c>
      <c r="D201" s="1822"/>
      <c r="E201" s="1822"/>
      <c r="F201" s="1822"/>
      <c r="G201" s="1822"/>
      <c r="H201" s="1822"/>
      <c r="I201" s="1822"/>
      <c r="J201" s="1822"/>
      <c r="K201" s="1822"/>
      <c r="L201" s="551"/>
      <c r="M201" s="550"/>
      <c r="N201" s="549"/>
      <c r="AE201" s="537" t="s">
        <v>204</v>
      </c>
    </row>
    <row r="202" spans="1:31" s="536" customFormat="1" x14ac:dyDescent="0.2">
      <c r="A202" s="548"/>
      <c r="B202" s="552"/>
      <c r="C202" s="1822" t="s">
        <v>404</v>
      </c>
      <c r="D202" s="1822"/>
      <c r="E202" s="1822"/>
      <c r="F202" s="1822"/>
      <c r="G202" s="1822"/>
      <c r="H202" s="1822"/>
      <c r="I202" s="1822"/>
      <c r="J202" s="1822"/>
      <c r="K202" s="1822"/>
      <c r="L202" s="551">
        <v>360.83</v>
      </c>
      <c r="M202" s="550"/>
      <c r="N202" s="549"/>
      <c r="AE202" s="537" t="s">
        <v>404</v>
      </c>
    </row>
    <row r="203" spans="1:31" s="536" customFormat="1" x14ac:dyDescent="0.2">
      <c r="A203" s="548"/>
      <c r="B203" s="552"/>
      <c r="C203" s="1822" t="s">
        <v>405</v>
      </c>
      <c r="D203" s="1822"/>
      <c r="E203" s="1822"/>
      <c r="F203" s="1822"/>
      <c r="G203" s="1822"/>
      <c r="H203" s="1822"/>
      <c r="I203" s="1822"/>
      <c r="J203" s="1822"/>
      <c r="K203" s="1822"/>
      <c r="L203" s="551">
        <v>355.11</v>
      </c>
      <c r="M203" s="550"/>
      <c r="N203" s="549"/>
      <c r="AE203" s="537" t="s">
        <v>405</v>
      </c>
    </row>
    <row r="204" spans="1:31" s="536" customFormat="1" x14ac:dyDescent="0.2">
      <c r="A204" s="548"/>
      <c r="B204" s="552"/>
      <c r="C204" s="1822" t="s">
        <v>406</v>
      </c>
      <c r="D204" s="1822"/>
      <c r="E204" s="1822"/>
      <c r="F204" s="1822"/>
      <c r="G204" s="1822"/>
      <c r="H204" s="1822"/>
      <c r="I204" s="1822"/>
      <c r="J204" s="1822"/>
      <c r="K204" s="1822"/>
      <c r="L204" s="551">
        <v>57.05</v>
      </c>
      <c r="M204" s="550"/>
      <c r="N204" s="549"/>
      <c r="AE204" s="537" t="s">
        <v>406</v>
      </c>
    </row>
    <row r="205" spans="1:31" s="536" customFormat="1" x14ac:dyDescent="0.2">
      <c r="A205" s="548"/>
      <c r="B205" s="552"/>
      <c r="C205" s="1822" t="s">
        <v>480</v>
      </c>
      <c r="D205" s="1822"/>
      <c r="E205" s="1822"/>
      <c r="F205" s="1822"/>
      <c r="G205" s="1822"/>
      <c r="H205" s="1822"/>
      <c r="I205" s="1822"/>
      <c r="J205" s="1822"/>
      <c r="K205" s="1822"/>
      <c r="L205" s="551">
        <v>13836.27</v>
      </c>
      <c r="M205" s="550"/>
      <c r="N205" s="549"/>
      <c r="AE205" s="537" t="s">
        <v>480</v>
      </c>
    </row>
    <row r="206" spans="1:31" s="536" customFormat="1" x14ac:dyDescent="0.2">
      <c r="A206" s="548"/>
      <c r="B206" s="552" t="s">
        <v>185</v>
      </c>
      <c r="C206" s="1822" t="s">
        <v>407</v>
      </c>
      <c r="D206" s="1822"/>
      <c r="E206" s="1822"/>
      <c r="F206" s="1822"/>
      <c r="G206" s="1822"/>
      <c r="H206" s="1822"/>
      <c r="I206" s="1822"/>
      <c r="J206" s="1822"/>
      <c r="K206" s="1822"/>
      <c r="L206" s="551">
        <v>15243.26</v>
      </c>
      <c r="M206" s="550"/>
      <c r="N206" s="549"/>
      <c r="AE206" s="537" t="s">
        <v>407</v>
      </c>
    </row>
    <row r="207" spans="1:31" s="536" customFormat="1" x14ac:dyDescent="0.2">
      <c r="A207" s="548"/>
      <c r="B207" s="552"/>
      <c r="C207" s="1822" t="s">
        <v>204</v>
      </c>
      <c r="D207" s="1822"/>
      <c r="E207" s="1822"/>
      <c r="F207" s="1822"/>
      <c r="G207" s="1822"/>
      <c r="H207" s="1822"/>
      <c r="I207" s="1822"/>
      <c r="J207" s="1822"/>
      <c r="K207" s="1822"/>
      <c r="L207" s="551"/>
      <c r="M207" s="550"/>
      <c r="N207" s="549"/>
      <c r="AE207" s="537" t="s">
        <v>204</v>
      </c>
    </row>
    <row r="208" spans="1:31" s="536" customFormat="1" x14ac:dyDescent="0.2">
      <c r="A208" s="548"/>
      <c r="B208" s="552"/>
      <c r="C208" s="1822" t="s">
        <v>546</v>
      </c>
      <c r="D208" s="1822"/>
      <c r="E208" s="1822"/>
      <c r="F208" s="1822"/>
      <c r="G208" s="1822"/>
      <c r="H208" s="1822"/>
      <c r="I208" s="1822"/>
      <c r="J208" s="1822"/>
      <c r="K208" s="1822"/>
      <c r="L208" s="551">
        <v>360.83</v>
      </c>
      <c r="M208" s="550"/>
      <c r="N208" s="549"/>
      <c r="AE208" s="537" t="s">
        <v>546</v>
      </c>
    </row>
    <row r="209" spans="1:32" s="536" customFormat="1" x14ac:dyDescent="0.2">
      <c r="A209" s="548"/>
      <c r="B209" s="552"/>
      <c r="C209" s="1822" t="s">
        <v>442</v>
      </c>
      <c r="D209" s="1822"/>
      <c r="E209" s="1822"/>
      <c r="F209" s="1822"/>
      <c r="G209" s="1822"/>
      <c r="H209" s="1822"/>
      <c r="I209" s="1822"/>
      <c r="J209" s="1822"/>
      <c r="K209" s="1822"/>
      <c r="L209" s="551">
        <v>355.11</v>
      </c>
      <c r="M209" s="550"/>
      <c r="N209" s="549"/>
      <c r="AE209" s="537" t="s">
        <v>442</v>
      </c>
    </row>
    <row r="210" spans="1:32" s="536" customFormat="1" x14ac:dyDescent="0.2">
      <c r="A210" s="548"/>
      <c r="B210" s="552"/>
      <c r="C210" s="1822" t="s">
        <v>547</v>
      </c>
      <c r="D210" s="1822"/>
      <c r="E210" s="1822"/>
      <c r="F210" s="1822"/>
      <c r="G210" s="1822"/>
      <c r="H210" s="1822"/>
      <c r="I210" s="1822"/>
      <c r="J210" s="1822"/>
      <c r="K210" s="1822"/>
      <c r="L210" s="551">
        <v>13836.27</v>
      </c>
      <c r="M210" s="550"/>
      <c r="N210" s="549"/>
      <c r="AE210" s="537" t="s">
        <v>547</v>
      </c>
    </row>
    <row r="211" spans="1:32" s="536" customFormat="1" x14ac:dyDescent="0.2">
      <c r="A211" s="548"/>
      <c r="B211" s="552"/>
      <c r="C211" s="1822" t="s">
        <v>443</v>
      </c>
      <c r="D211" s="1822"/>
      <c r="E211" s="1822"/>
      <c r="F211" s="1822"/>
      <c r="G211" s="1822"/>
      <c r="H211" s="1822"/>
      <c r="I211" s="1822"/>
      <c r="J211" s="1822"/>
      <c r="K211" s="1822"/>
      <c r="L211" s="551">
        <v>439.44</v>
      </c>
      <c r="M211" s="550"/>
      <c r="N211" s="549"/>
      <c r="AE211" s="537" t="s">
        <v>443</v>
      </c>
    </row>
    <row r="212" spans="1:32" s="536" customFormat="1" x14ac:dyDescent="0.2">
      <c r="A212" s="548"/>
      <c r="B212" s="552"/>
      <c r="C212" s="1822" t="s">
        <v>444</v>
      </c>
      <c r="D212" s="1822"/>
      <c r="E212" s="1822"/>
      <c r="F212" s="1822"/>
      <c r="G212" s="1822"/>
      <c r="H212" s="1822"/>
      <c r="I212" s="1822"/>
      <c r="J212" s="1822"/>
      <c r="K212" s="1822"/>
      <c r="L212" s="551">
        <v>251.61</v>
      </c>
      <c r="M212" s="550"/>
      <c r="N212" s="549"/>
      <c r="AE212" s="537" t="s">
        <v>444</v>
      </c>
    </row>
    <row r="213" spans="1:32" s="536" customFormat="1" x14ac:dyDescent="0.2">
      <c r="A213" s="548"/>
      <c r="B213" s="552"/>
      <c r="C213" s="1822" t="s">
        <v>415</v>
      </c>
      <c r="D213" s="1822"/>
      <c r="E213" s="1822"/>
      <c r="F213" s="1822"/>
      <c r="G213" s="1822"/>
      <c r="H213" s="1822"/>
      <c r="I213" s="1822"/>
      <c r="J213" s="1822"/>
      <c r="K213" s="1822"/>
      <c r="L213" s="551">
        <v>417.88</v>
      </c>
      <c r="M213" s="550"/>
      <c r="N213" s="549"/>
      <c r="AE213" s="537" t="s">
        <v>415</v>
      </c>
    </row>
    <row r="214" spans="1:32" s="536" customFormat="1" x14ac:dyDescent="0.2">
      <c r="A214" s="548"/>
      <c r="B214" s="552"/>
      <c r="C214" s="1822" t="s">
        <v>416</v>
      </c>
      <c r="D214" s="1822"/>
      <c r="E214" s="1822"/>
      <c r="F214" s="1822"/>
      <c r="G214" s="1822"/>
      <c r="H214" s="1822"/>
      <c r="I214" s="1822"/>
      <c r="J214" s="1822"/>
      <c r="K214" s="1822"/>
      <c r="L214" s="551">
        <v>439.44</v>
      </c>
      <c r="M214" s="550"/>
      <c r="N214" s="549"/>
      <c r="AE214" s="537" t="s">
        <v>416</v>
      </c>
    </row>
    <row r="215" spans="1:32" s="536" customFormat="1" x14ac:dyDescent="0.2">
      <c r="A215" s="548"/>
      <c r="B215" s="552"/>
      <c r="C215" s="1822" t="s">
        <v>417</v>
      </c>
      <c r="D215" s="1822"/>
      <c r="E215" s="1822"/>
      <c r="F215" s="1822"/>
      <c r="G215" s="1822"/>
      <c r="H215" s="1822"/>
      <c r="I215" s="1822"/>
      <c r="J215" s="1822"/>
      <c r="K215" s="1822"/>
      <c r="L215" s="551">
        <v>251.61</v>
      </c>
      <c r="M215" s="550"/>
      <c r="N215" s="549"/>
      <c r="AE215" s="537" t="s">
        <v>417</v>
      </c>
    </row>
    <row r="216" spans="1:32" s="536" customFormat="1" x14ac:dyDescent="0.2">
      <c r="A216" s="548"/>
      <c r="B216" s="546"/>
      <c r="C216" s="1819" t="s">
        <v>3328</v>
      </c>
      <c r="D216" s="1819"/>
      <c r="E216" s="1819"/>
      <c r="F216" s="1819"/>
      <c r="G216" s="1819"/>
      <c r="H216" s="1819"/>
      <c r="I216" s="1819"/>
      <c r="J216" s="1819"/>
      <c r="K216" s="1819"/>
      <c r="L216" s="544">
        <v>15243.26</v>
      </c>
      <c r="M216" s="543"/>
      <c r="N216" s="681"/>
      <c r="AF216" s="537" t="s">
        <v>3328</v>
      </c>
    </row>
    <row r="217" spans="1:32" s="536" customFormat="1" ht="12" x14ac:dyDescent="0.2">
      <c r="A217" s="1824" t="s">
        <v>2137</v>
      </c>
      <c r="B217" s="1825"/>
      <c r="C217" s="1825"/>
      <c r="D217" s="1825"/>
      <c r="E217" s="1825"/>
      <c r="F217" s="1825"/>
      <c r="G217" s="1825"/>
      <c r="H217" s="1825"/>
      <c r="I217" s="1825"/>
      <c r="J217" s="1825"/>
      <c r="K217" s="1825"/>
      <c r="L217" s="1825"/>
      <c r="M217" s="1825"/>
      <c r="N217" s="1826"/>
      <c r="V217" s="537" t="s">
        <v>2137</v>
      </c>
    </row>
    <row r="218" spans="1:32" s="536" customFormat="1" ht="22.5" x14ac:dyDescent="0.2">
      <c r="A218" s="575" t="s">
        <v>425</v>
      </c>
      <c r="B218" s="670" t="s">
        <v>2145</v>
      </c>
      <c r="C218" s="1823" t="s">
        <v>2146</v>
      </c>
      <c r="D218" s="1823"/>
      <c r="E218" s="1823"/>
      <c r="F218" s="573" t="s">
        <v>694</v>
      </c>
      <c r="G218" s="573"/>
      <c r="H218" s="573"/>
      <c r="I218" s="573" t="s">
        <v>3988</v>
      </c>
      <c r="J218" s="572"/>
      <c r="K218" s="573"/>
      <c r="L218" s="572"/>
      <c r="M218" s="571"/>
      <c r="N218" s="570"/>
      <c r="W218" s="537" t="s">
        <v>2146</v>
      </c>
    </row>
    <row r="219" spans="1:32" s="536" customFormat="1" x14ac:dyDescent="0.2">
      <c r="A219" s="676"/>
      <c r="B219" s="664"/>
      <c r="C219" s="1822" t="s">
        <v>3989</v>
      </c>
      <c r="D219" s="1822"/>
      <c r="E219" s="1822"/>
      <c r="F219" s="1822"/>
      <c r="G219" s="1822"/>
      <c r="H219" s="1822"/>
      <c r="I219" s="1822"/>
      <c r="J219" s="1822"/>
      <c r="K219" s="1822"/>
      <c r="L219" s="1822"/>
      <c r="M219" s="1822"/>
      <c r="N219" s="1827"/>
      <c r="X219" s="537" t="s">
        <v>3989</v>
      </c>
    </row>
    <row r="220" spans="1:32" s="536" customFormat="1" ht="33.75" x14ac:dyDescent="0.2">
      <c r="A220" s="609"/>
      <c r="B220" s="552" t="s">
        <v>3990</v>
      </c>
      <c r="C220" s="1822" t="s">
        <v>3991</v>
      </c>
      <c r="D220" s="1822"/>
      <c r="E220" s="1822"/>
      <c r="F220" s="1822"/>
      <c r="G220" s="1822"/>
      <c r="H220" s="1822"/>
      <c r="I220" s="1822"/>
      <c r="J220" s="1822"/>
      <c r="K220" s="1822"/>
      <c r="L220" s="1822"/>
      <c r="M220" s="1822"/>
      <c r="N220" s="1827"/>
      <c r="Y220" s="537" t="s">
        <v>3991</v>
      </c>
    </row>
    <row r="221" spans="1:32" s="536" customFormat="1" ht="33.75" x14ac:dyDescent="0.2">
      <c r="A221" s="609"/>
      <c r="B221" s="552" t="s">
        <v>310</v>
      </c>
      <c r="C221" s="1822" t="s">
        <v>311</v>
      </c>
      <c r="D221" s="1822"/>
      <c r="E221" s="1822"/>
      <c r="F221" s="1822"/>
      <c r="G221" s="1822"/>
      <c r="H221" s="1822"/>
      <c r="I221" s="1822"/>
      <c r="J221" s="1822"/>
      <c r="K221" s="1822"/>
      <c r="L221" s="1822"/>
      <c r="M221" s="1822"/>
      <c r="N221" s="1827"/>
      <c r="Y221" s="537" t="s">
        <v>311</v>
      </c>
    </row>
    <row r="222" spans="1:32" s="536" customFormat="1" x14ac:dyDescent="0.2">
      <c r="A222" s="605"/>
      <c r="B222" s="552" t="s">
        <v>185</v>
      </c>
      <c r="C222" s="1822" t="s">
        <v>312</v>
      </c>
      <c r="D222" s="1822"/>
      <c r="E222" s="1822"/>
      <c r="F222" s="562"/>
      <c r="G222" s="562"/>
      <c r="H222" s="562"/>
      <c r="I222" s="562"/>
      <c r="J222" s="604">
        <v>51.85</v>
      </c>
      <c r="K222" s="562" t="s">
        <v>3992</v>
      </c>
      <c r="L222" s="604">
        <v>82.99</v>
      </c>
      <c r="M222" s="603"/>
      <c r="N222" s="602"/>
      <c r="Z222" s="537" t="s">
        <v>312</v>
      </c>
    </row>
    <row r="223" spans="1:32" s="536" customFormat="1" x14ac:dyDescent="0.2">
      <c r="A223" s="605"/>
      <c r="B223" s="552" t="s">
        <v>186</v>
      </c>
      <c r="C223" s="1822" t="s">
        <v>344</v>
      </c>
      <c r="D223" s="1822"/>
      <c r="E223" s="1822"/>
      <c r="F223" s="562"/>
      <c r="G223" s="562"/>
      <c r="H223" s="562"/>
      <c r="I223" s="562"/>
      <c r="J223" s="604">
        <v>266.39</v>
      </c>
      <c r="K223" s="562" t="s">
        <v>3992</v>
      </c>
      <c r="L223" s="604">
        <v>426.4</v>
      </c>
      <c r="M223" s="603"/>
      <c r="N223" s="602"/>
      <c r="Z223" s="537" t="s">
        <v>344</v>
      </c>
    </row>
    <row r="224" spans="1:32" s="536" customFormat="1" x14ac:dyDescent="0.2">
      <c r="A224" s="605"/>
      <c r="B224" s="552" t="s">
        <v>187</v>
      </c>
      <c r="C224" s="1822" t="s">
        <v>345</v>
      </c>
      <c r="D224" s="1822"/>
      <c r="E224" s="1822"/>
      <c r="F224" s="562"/>
      <c r="G224" s="562"/>
      <c r="H224" s="562"/>
      <c r="I224" s="562"/>
      <c r="J224" s="604">
        <v>32.21</v>
      </c>
      <c r="K224" s="562" t="s">
        <v>3992</v>
      </c>
      <c r="L224" s="604">
        <v>51.56</v>
      </c>
      <c r="M224" s="603"/>
      <c r="N224" s="602"/>
      <c r="Z224" s="537" t="s">
        <v>345</v>
      </c>
    </row>
    <row r="225" spans="1:33" s="536" customFormat="1" x14ac:dyDescent="0.2">
      <c r="A225" s="605"/>
      <c r="B225" s="552" t="s">
        <v>188</v>
      </c>
      <c r="C225" s="1822" t="s">
        <v>475</v>
      </c>
      <c r="D225" s="1822"/>
      <c r="E225" s="1822"/>
      <c r="F225" s="562"/>
      <c r="G225" s="562"/>
      <c r="H225" s="562"/>
      <c r="I225" s="562"/>
      <c r="J225" s="604">
        <v>121.33</v>
      </c>
      <c r="K225" s="562" t="s">
        <v>2826</v>
      </c>
      <c r="L225" s="604">
        <v>155.37</v>
      </c>
      <c r="M225" s="603"/>
      <c r="N225" s="602"/>
      <c r="Z225" s="537" t="s">
        <v>475</v>
      </c>
    </row>
    <row r="226" spans="1:33" s="536" customFormat="1" x14ac:dyDescent="0.2">
      <c r="A226" s="676"/>
      <c r="B226" s="677" t="s">
        <v>1436</v>
      </c>
      <c r="C226" s="1829" t="s">
        <v>1229</v>
      </c>
      <c r="D226" s="1829"/>
      <c r="E226" s="1829"/>
      <c r="F226" s="678" t="s">
        <v>694</v>
      </c>
      <c r="G226" s="678" t="s">
        <v>185</v>
      </c>
      <c r="H226" s="678" t="s">
        <v>2826</v>
      </c>
      <c r="I226" s="678" t="s">
        <v>3993</v>
      </c>
      <c r="J226" s="552"/>
      <c r="K226" s="562"/>
      <c r="L226" s="604"/>
      <c r="M226" s="562"/>
      <c r="N226" s="679"/>
      <c r="AG226" s="537" t="s">
        <v>1229</v>
      </c>
    </row>
    <row r="227" spans="1:33" s="536" customFormat="1" x14ac:dyDescent="0.2">
      <c r="A227" s="605"/>
      <c r="B227" s="552"/>
      <c r="C227" s="1822" t="s">
        <v>314</v>
      </c>
      <c r="D227" s="1822"/>
      <c r="E227" s="1822"/>
      <c r="F227" s="562" t="s">
        <v>315</v>
      </c>
      <c r="G227" s="562" t="s">
        <v>2147</v>
      </c>
      <c r="H227" s="562" t="s">
        <v>3992</v>
      </c>
      <c r="I227" s="562" t="s">
        <v>3994</v>
      </c>
      <c r="J227" s="604"/>
      <c r="K227" s="562"/>
      <c r="L227" s="604"/>
      <c r="M227" s="603"/>
      <c r="N227" s="602"/>
      <c r="AA227" s="537" t="s">
        <v>314</v>
      </c>
    </row>
    <row r="228" spans="1:33" s="536" customFormat="1" x14ac:dyDescent="0.2">
      <c r="A228" s="605"/>
      <c r="B228" s="552"/>
      <c r="C228" s="1822" t="s">
        <v>348</v>
      </c>
      <c r="D228" s="1822"/>
      <c r="E228" s="1822"/>
      <c r="F228" s="562" t="s">
        <v>315</v>
      </c>
      <c r="G228" s="562" t="s">
        <v>2148</v>
      </c>
      <c r="H228" s="562" t="s">
        <v>3992</v>
      </c>
      <c r="I228" s="562" t="s">
        <v>3995</v>
      </c>
      <c r="J228" s="604"/>
      <c r="K228" s="562"/>
      <c r="L228" s="604"/>
      <c r="M228" s="603"/>
      <c r="N228" s="602"/>
      <c r="AA228" s="537" t="s">
        <v>348</v>
      </c>
    </row>
    <row r="229" spans="1:33" s="536" customFormat="1" x14ac:dyDescent="0.2">
      <c r="A229" s="605"/>
      <c r="B229" s="552"/>
      <c r="C229" s="1828" t="s">
        <v>318</v>
      </c>
      <c r="D229" s="1828"/>
      <c r="E229" s="1828"/>
      <c r="F229" s="608"/>
      <c r="G229" s="608"/>
      <c r="H229" s="608"/>
      <c r="I229" s="608"/>
      <c r="J229" s="607">
        <v>439.57</v>
      </c>
      <c r="K229" s="608"/>
      <c r="L229" s="607">
        <v>664.76</v>
      </c>
      <c r="M229" s="601"/>
      <c r="N229" s="606"/>
      <c r="AB229" s="537" t="s">
        <v>318</v>
      </c>
    </row>
    <row r="230" spans="1:33" s="536" customFormat="1" x14ac:dyDescent="0.2">
      <c r="A230" s="605"/>
      <c r="B230" s="552"/>
      <c r="C230" s="1822" t="s">
        <v>319</v>
      </c>
      <c r="D230" s="1822"/>
      <c r="E230" s="1822"/>
      <c r="F230" s="562"/>
      <c r="G230" s="562"/>
      <c r="H230" s="562"/>
      <c r="I230" s="562"/>
      <c r="J230" s="604"/>
      <c r="K230" s="562"/>
      <c r="L230" s="604">
        <v>134.55000000000001</v>
      </c>
      <c r="M230" s="603"/>
      <c r="N230" s="602"/>
      <c r="AA230" s="537" t="s">
        <v>319</v>
      </c>
    </row>
    <row r="231" spans="1:33" s="536" customFormat="1" ht="33.75" x14ac:dyDescent="0.2">
      <c r="A231" s="605"/>
      <c r="B231" s="552" t="s">
        <v>648</v>
      </c>
      <c r="C231" s="1822" t="s">
        <v>649</v>
      </c>
      <c r="D231" s="1822"/>
      <c r="E231" s="1822"/>
      <c r="F231" s="562" t="s">
        <v>322</v>
      </c>
      <c r="G231" s="562" t="s">
        <v>650</v>
      </c>
      <c r="H231" s="562"/>
      <c r="I231" s="562" t="s">
        <v>650</v>
      </c>
      <c r="J231" s="604"/>
      <c r="K231" s="562"/>
      <c r="L231" s="604">
        <v>125.13</v>
      </c>
      <c r="M231" s="603"/>
      <c r="N231" s="602"/>
      <c r="AA231" s="537" t="s">
        <v>649</v>
      </c>
    </row>
    <row r="232" spans="1:33" s="536" customFormat="1" ht="33.75" x14ac:dyDescent="0.2">
      <c r="A232" s="605"/>
      <c r="B232" s="552" t="s">
        <v>651</v>
      </c>
      <c r="C232" s="1822" t="s">
        <v>652</v>
      </c>
      <c r="D232" s="1822"/>
      <c r="E232" s="1822"/>
      <c r="F232" s="562" t="s">
        <v>322</v>
      </c>
      <c r="G232" s="562" t="s">
        <v>653</v>
      </c>
      <c r="H232" s="562"/>
      <c r="I232" s="562" t="s">
        <v>653</v>
      </c>
      <c r="J232" s="604"/>
      <c r="K232" s="562"/>
      <c r="L232" s="604">
        <v>83.42</v>
      </c>
      <c r="M232" s="603"/>
      <c r="N232" s="602"/>
      <c r="AA232" s="537" t="s">
        <v>652</v>
      </c>
    </row>
    <row r="233" spans="1:33" s="536" customFormat="1" x14ac:dyDescent="0.2">
      <c r="A233" s="569"/>
      <c r="B233" s="671"/>
      <c r="C233" s="1823" t="s">
        <v>327</v>
      </c>
      <c r="D233" s="1823"/>
      <c r="E233" s="1823"/>
      <c r="F233" s="573"/>
      <c r="G233" s="573"/>
      <c r="H233" s="573"/>
      <c r="I233" s="573"/>
      <c r="J233" s="572"/>
      <c r="K233" s="573"/>
      <c r="L233" s="572">
        <v>873.31</v>
      </c>
      <c r="M233" s="601"/>
      <c r="N233" s="570"/>
      <c r="AC233" s="537" t="s">
        <v>327</v>
      </c>
    </row>
    <row r="234" spans="1:33" s="536" customFormat="1" ht="33.75" x14ac:dyDescent="0.2">
      <c r="A234" s="575" t="s">
        <v>430</v>
      </c>
      <c r="B234" s="670" t="s">
        <v>3996</v>
      </c>
      <c r="C234" s="1823" t="s">
        <v>3997</v>
      </c>
      <c r="D234" s="1823"/>
      <c r="E234" s="1823"/>
      <c r="F234" s="573" t="s">
        <v>694</v>
      </c>
      <c r="G234" s="573"/>
      <c r="H234" s="573"/>
      <c r="I234" s="573" t="s">
        <v>3988</v>
      </c>
      <c r="J234" s="572">
        <v>7360.55</v>
      </c>
      <c r="K234" s="573"/>
      <c r="L234" s="572">
        <v>8647.17</v>
      </c>
      <c r="M234" s="571"/>
      <c r="N234" s="570"/>
      <c r="W234" s="537" t="s">
        <v>3997</v>
      </c>
    </row>
    <row r="235" spans="1:33" s="536" customFormat="1" x14ac:dyDescent="0.2">
      <c r="A235" s="569"/>
      <c r="B235" s="671"/>
      <c r="C235" s="665" t="s">
        <v>717</v>
      </c>
      <c r="D235" s="666"/>
      <c r="E235" s="666"/>
      <c r="F235" s="563"/>
      <c r="G235" s="563"/>
      <c r="H235" s="563"/>
      <c r="I235" s="563"/>
      <c r="J235" s="566"/>
      <c r="K235" s="563"/>
      <c r="L235" s="566"/>
      <c r="M235" s="565"/>
      <c r="N235" s="564"/>
    </row>
    <row r="236" spans="1:33" s="536" customFormat="1" ht="45" x14ac:dyDescent="0.2">
      <c r="A236" s="575" t="s">
        <v>436</v>
      </c>
      <c r="B236" s="670" t="s">
        <v>1444</v>
      </c>
      <c r="C236" s="1823" t="s">
        <v>3335</v>
      </c>
      <c r="D236" s="1823"/>
      <c r="E236" s="1823"/>
      <c r="F236" s="573" t="s">
        <v>694</v>
      </c>
      <c r="G236" s="573"/>
      <c r="H236" s="573"/>
      <c r="I236" s="573" t="s">
        <v>3998</v>
      </c>
      <c r="J236" s="572"/>
      <c r="K236" s="573"/>
      <c r="L236" s="572"/>
      <c r="M236" s="571"/>
      <c r="N236" s="570"/>
      <c r="W236" s="537" t="s">
        <v>3335</v>
      </c>
    </row>
    <row r="237" spans="1:33" s="536" customFormat="1" x14ac:dyDescent="0.2">
      <c r="A237" s="676"/>
      <c r="B237" s="664"/>
      <c r="C237" s="1822" t="s">
        <v>3999</v>
      </c>
      <c r="D237" s="1822"/>
      <c r="E237" s="1822"/>
      <c r="F237" s="1822"/>
      <c r="G237" s="1822"/>
      <c r="H237" s="1822"/>
      <c r="I237" s="1822"/>
      <c r="J237" s="1822"/>
      <c r="K237" s="1822"/>
      <c r="L237" s="1822"/>
      <c r="M237" s="1822"/>
      <c r="N237" s="1827"/>
      <c r="X237" s="537" t="s">
        <v>3999</v>
      </c>
    </row>
    <row r="238" spans="1:33" s="536" customFormat="1" ht="33.75" x14ac:dyDescent="0.2">
      <c r="A238" s="609"/>
      <c r="B238" s="552" t="s">
        <v>3990</v>
      </c>
      <c r="C238" s="1822" t="s">
        <v>4000</v>
      </c>
      <c r="D238" s="1822"/>
      <c r="E238" s="1822"/>
      <c r="F238" s="1822"/>
      <c r="G238" s="1822"/>
      <c r="H238" s="1822"/>
      <c r="I238" s="1822"/>
      <c r="J238" s="1822"/>
      <c r="K238" s="1822"/>
      <c r="L238" s="1822"/>
      <c r="M238" s="1822"/>
      <c r="N238" s="1827"/>
      <c r="Y238" s="537" t="s">
        <v>4000</v>
      </c>
    </row>
    <row r="239" spans="1:33" s="536" customFormat="1" ht="33.75" x14ac:dyDescent="0.2">
      <c r="A239" s="609"/>
      <c r="B239" s="552" t="s">
        <v>310</v>
      </c>
      <c r="C239" s="1822" t="s">
        <v>311</v>
      </c>
      <c r="D239" s="1822"/>
      <c r="E239" s="1822"/>
      <c r="F239" s="1822"/>
      <c r="G239" s="1822"/>
      <c r="H239" s="1822"/>
      <c r="I239" s="1822"/>
      <c r="J239" s="1822"/>
      <c r="K239" s="1822"/>
      <c r="L239" s="1822"/>
      <c r="M239" s="1822"/>
      <c r="N239" s="1827"/>
      <c r="Y239" s="537" t="s">
        <v>311</v>
      </c>
    </row>
    <row r="240" spans="1:33" s="536" customFormat="1" x14ac:dyDescent="0.2">
      <c r="A240" s="605"/>
      <c r="B240" s="552" t="s">
        <v>185</v>
      </c>
      <c r="C240" s="1822" t="s">
        <v>312</v>
      </c>
      <c r="D240" s="1822"/>
      <c r="E240" s="1822"/>
      <c r="F240" s="562"/>
      <c r="G240" s="562"/>
      <c r="H240" s="562"/>
      <c r="I240" s="562"/>
      <c r="J240" s="604">
        <v>159.28</v>
      </c>
      <c r="K240" s="562" t="s">
        <v>4001</v>
      </c>
      <c r="L240" s="604">
        <v>102.93</v>
      </c>
      <c r="M240" s="603"/>
      <c r="N240" s="602"/>
      <c r="Z240" s="537" t="s">
        <v>312</v>
      </c>
    </row>
    <row r="241" spans="1:33" s="536" customFormat="1" x14ac:dyDescent="0.2">
      <c r="A241" s="605"/>
      <c r="B241" s="552" t="s">
        <v>186</v>
      </c>
      <c r="C241" s="1822" t="s">
        <v>344</v>
      </c>
      <c r="D241" s="1822"/>
      <c r="E241" s="1822"/>
      <c r="F241" s="562"/>
      <c r="G241" s="562"/>
      <c r="H241" s="562"/>
      <c r="I241" s="562"/>
      <c r="J241" s="604">
        <v>467.67</v>
      </c>
      <c r="K241" s="562" t="s">
        <v>4001</v>
      </c>
      <c r="L241" s="604">
        <v>302.22000000000003</v>
      </c>
      <c r="M241" s="603"/>
      <c r="N241" s="602"/>
      <c r="Z241" s="537" t="s">
        <v>344</v>
      </c>
    </row>
    <row r="242" spans="1:33" s="536" customFormat="1" x14ac:dyDescent="0.2">
      <c r="A242" s="605"/>
      <c r="B242" s="552" t="s">
        <v>187</v>
      </c>
      <c r="C242" s="1822" t="s">
        <v>345</v>
      </c>
      <c r="D242" s="1822"/>
      <c r="E242" s="1822"/>
      <c r="F242" s="562"/>
      <c r="G242" s="562"/>
      <c r="H242" s="562"/>
      <c r="I242" s="562"/>
      <c r="J242" s="604">
        <v>42.84</v>
      </c>
      <c r="K242" s="562" t="s">
        <v>4001</v>
      </c>
      <c r="L242" s="604">
        <v>27.68</v>
      </c>
      <c r="M242" s="603"/>
      <c r="N242" s="602"/>
      <c r="Z242" s="537" t="s">
        <v>345</v>
      </c>
    </row>
    <row r="243" spans="1:33" s="536" customFormat="1" x14ac:dyDescent="0.2">
      <c r="A243" s="605"/>
      <c r="B243" s="552" t="s">
        <v>188</v>
      </c>
      <c r="C243" s="1822" t="s">
        <v>475</v>
      </c>
      <c r="D243" s="1822"/>
      <c r="E243" s="1822"/>
      <c r="F243" s="562"/>
      <c r="G243" s="562"/>
      <c r="H243" s="562"/>
      <c r="I243" s="562"/>
      <c r="J243" s="604">
        <v>106.34</v>
      </c>
      <c r="K243" s="562" t="s">
        <v>4002</v>
      </c>
      <c r="L243" s="604">
        <v>54.98</v>
      </c>
      <c r="M243" s="603"/>
      <c r="N243" s="602"/>
      <c r="Z243" s="537" t="s">
        <v>475</v>
      </c>
    </row>
    <row r="244" spans="1:33" s="536" customFormat="1" x14ac:dyDescent="0.2">
      <c r="A244" s="676"/>
      <c r="B244" s="677" t="s">
        <v>1436</v>
      </c>
      <c r="C244" s="1829" t="s">
        <v>1229</v>
      </c>
      <c r="D244" s="1829"/>
      <c r="E244" s="1829"/>
      <c r="F244" s="678" t="s">
        <v>694</v>
      </c>
      <c r="G244" s="678" t="s">
        <v>185</v>
      </c>
      <c r="H244" s="678" t="s">
        <v>4002</v>
      </c>
      <c r="I244" s="678" t="s">
        <v>4003</v>
      </c>
      <c r="J244" s="552"/>
      <c r="K244" s="562"/>
      <c r="L244" s="604"/>
      <c r="M244" s="562"/>
      <c r="N244" s="679"/>
      <c r="AG244" s="537" t="s">
        <v>1229</v>
      </c>
    </row>
    <row r="245" spans="1:33" s="536" customFormat="1" ht="22.5" x14ac:dyDescent="0.2">
      <c r="A245" s="605"/>
      <c r="B245" s="552"/>
      <c r="C245" s="1822" t="s">
        <v>314</v>
      </c>
      <c r="D245" s="1822"/>
      <c r="E245" s="1822"/>
      <c r="F245" s="562" t="s">
        <v>315</v>
      </c>
      <c r="G245" s="562" t="s">
        <v>1448</v>
      </c>
      <c r="H245" s="562" t="s">
        <v>4001</v>
      </c>
      <c r="I245" s="562" t="s">
        <v>4004</v>
      </c>
      <c r="J245" s="604"/>
      <c r="K245" s="562"/>
      <c r="L245" s="604"/>
      <c r="M245" s="603"/>
      <c r="N245" s="602"/>
      <c r="AA245" s="537" t="s">
        <v>314</v>
      </c>
    </row>
    <row r="246" spans="1:33" s="536" customFormat="1" x14ac:dyDescent="0.2">
      <c r="A246" s="605"/>
      <c r="B246" s="552"/>
      <c r="C246" s="1822" t="s">
        <v>348</v>
      </c>
      <c r="D246" s="1822"/>
      <c r="E246" s="1822"/>
      <c r="F246" s="562" t="s">
        <v>315</v>
      </c>
      <c r="G246" s="562" t="s">
        <v>1450</v>
      </c>
      <c r="H246" s="562" t="s">
        <v>4001</v>
      </c>
      <c r="I246" s="562" t="s">
        <v>4005</v>
      </c>
      <c r="J246" s="604"/>
      <c r="K246" s="562"/>
      <c r="L246" s="604"/>
      <c r="M246" s="603"/>
      <c r="N246" s="602"/>
      <c r="AA246" s="537" t="s">
        <v>348</v>
      </c>
    </row>
    <row r="247" spans="1:33" s="536" customFormat="1" x14ac:dyDescent="0.2">
      <c r="A247" s="605"/>
      <c r="B247" s="552"/>
      <c r="C247" s="1828" t="s">
        <v>318</v>
      </c>
      <c r="D247" s="1828"/>
      <c r="E247" s="1828"/>
      <c r="F247" s="608"/>
      <c r="G247" s="608"/>
      <c r="H247" s="608"/>
      <c r="I247" s="608"/>
      <c r="J247" s="607">
        <v>733.29</v>
      </c>
      <c r="K247" s="608"/>
      <c r="L247" s="607">
        <v>460.13</v>
      </c>
      <c r="M247" s="601"/>
      <c r="N247" s="606"/>
      <c r="AB247" s="537" t="s">
        <v>318</v>
      </c>
    </row>
    <row r="248" spans="1:33" s="536" customFormat="1" x14ac:dyDescent="0.2">
      <c r="A248" s="605"/>
      <c r="B248" s="552"/>
      <c r="C248" s="1822" t="s">
        <v>319</v>
      </c>
      <c r="D248" s="1822"/>
      <c r="E248" s="1822"/>
      <c r="F248" s="562"/>
      <c r="G248" s="562"/>
      <c r="H248" s="562"/>
      <c r="I248" s="562"/>
      <c r="J248" s="604"/>
      <c r="K248" s="562"/>
      <c r="L248" s="604">
        <v>130.61000000000001</v>
      </c>
      <c r="M248" s="603"/>
      <c r="N248" s="602"/>
      <c r="AA248" s="537" t="s">
        <v>319</v>
      </c>
    </row>
    <row r="249" spans="1:33" s="536" customFormat="1" ht="33.75" x14ac:dyDescent="0.2">
      <c r="A249" s="605"/>
      <c r="B249" s="552" t="s">
        <v>648</v>
      </c>
      <c r="C249" s="1822" t="s">
        <v>649</v>
      </c>
      <c r="D249" s="1822"/>
      <c r="E249" s="1822"/>
      <c r="F249" s="562" t="s">
        <v>322</v>
      </c>
      <c r="G249" s="562" t="s">
        <v>650</v>
      </c>
      <c r="H249" s="562"/>
      <c r="I249" s="562" t="s">
        <v>650</v>
      </c>
      <c r="J249" s="604"/>
      <c r="K249" s="562"/>
      <c r="L249" s="604">
        <v>121.47</v>
      </c>
      <c r="M249" s="603"/>
      <c r="N249" s="602"/>
      <c r="AA249" s="537" t="s">
        <v>649</v>
      </c>
    </row>
    <row r="250" spans="1:33" s="536" customFormat="1" ht="33.75" x14ac:dyDescent="0.2">
      <c r="A250" s="605"/>
      <c r="B250" s="552" t="s">
        <v>651</v>
      </c>
      <c r="C250" s="1822" t="s">
        <v>652</v>
      </c>
      <c r="D250" s="1822"/>
      <c r="E250" s="1822"/>
      <c r="F250" s="562" t="s">
        <v>322</v>
      </c>
      <c r="G250" s="562" t="s">
        <v>653</v>
      </c>
      <c r="H250" s="562"/>
      <c r="I250" s="562" t="s">
        <v>653</v>
      </c>
      <c r="J250" s="604"/>
      <c r="K250" s="562"/>
      <c r="L250" s="604">
        <v>80.98</v>
      </c>
      <c r="M250" s="603"/>
      <c r="N250" s="602"/>
      <c r="AA250" s="537" t="s">
        <v>652</v>
      </c>
    </row>
    <row r="251" spans="1:33" s="536" customFormat="1" x14ac:dyDescent="0.2">
      <c r="A251" s="569"/>
      <c r="B251" s="671"/>
      <c r="C251" s="1823" t="s">
        <v>327</v>
      </c>
      <c r="D251" s="1823"/>
      <c r="E251" s="1823"/>
      <c r="F251" s="573"/>
      <c r="G251" s="573"/>
      <c r="H251" s="573"/>
      <c r="I251" s="573"/>
      <c r="J251" s="572"/>
      <c r="K251" s="573"/>
      <c r="L251" s="572">
        <v>662.58</v>
      </c>
      <c r="M251" s="601"/>
      <c r="N251" s="570"/>
      <c r="AC251" s="537" t="s">
        <v>327</v>
      </c>
    </row>
    <row r="252" spans="1:33" s="536" customFormat="1" ht="33.75" x14ac:dyDescent="0.2">
      <c r="A252" s="575" t="s">
        <v>733</v>
      </c>
      <c r="B252" s="670" t="s">
        <v>3996</v>
      </c>
      <c r="C252" s="1823" t="s">
        <v>3997</v>
      </c>
      <c r="D252" s="1823"/>
      <c r="E252" s="1823"/>
      <c r="F252" s="573" t="s">
        <v>694</v>
      </c>
      <c r="G252" s="573"/>
      <c r="H252" s="573"/>
      <c r="I252" s="573" t="s">
        <v>3998</v>
      </c>
      <c r="J252" s="572">
        <v>7360.55</v>
      </c>
      <c r="K252" s="573"/>
      <c r="L252" s="572">
        <v>3367.45</v>
      </c>
      <c r="M252" s="571"/>
      <c r="N252" s="570"/>
      <c r="W252" s="537" t="s">
        <v>3997</v>
      </c>
    </row>
    <row r="253" spans="1:33" s="536" customFormat="1" x14ac:dyDescent="0.2">
      <c r="A253" s="569"/>
      <c r="B253" s="671"/>
      <c r="C253" s="665" t="s">
        <v>717</v>
      </c>
      <c r="D253" s="666"/>
      <c r="E253" s="666"/>
      <c r="F253" s="563"/>
      <c r="G253" s="563"/>
      <c r="H253" s="563"/>
      <c r="I253" s="563"/>
      <c r="J253" s="566"/>
      <c r="K253" s="563"/>
      <c r="L253" s="566"/>
      <c r="M253" s="565"/>
      <c r="N253" s="564"/>
    </row>
    <row r="254" spans="1:33" s="536" customFormat="1" ht="45" x14ac:dyDescent="0.2">
      <c r="A254" s="575" t="s">
        <v>736</v>
      </c>
      <c r="B254" s="670" t="s">
        <v>1454</v>
      </c>
      <c r="C254" s="1823" t="s">
        <v>1455</v>
      </c>
      <c r="D254" s="1823"/>
      <c r="E254" s="1823"/>
      <c r="F254" s="573" t="s">
        <v>694</v>
      </c>
      <c r="G254" s="573"/>
      <c r="H254" s="573"/>
      <c r="I254" s="573" t="s">
        <v>4006</v>
      </c>
      <c r="J254" s="572"/>
      <c r="K254" s="573"/>
      <c r="L254" s="572"/>
      <c r="M254" s="571"/>
      <c r="N254" s="570"/>
      <c r="W254" s="537" t="s">
        <v>1455</v>
      </c>
    </row>
    <row r="255" spans="1:33" s="536" customFormat="1" x14ac:dyDescent="0.2">
      <c r="A255" s="676"/>
      <c r="B255" s="664"/>
      <c r="C255" s="1822" t="s">
        <v>4007</v>
      </c>
      <c r="D255" s="1822"/>
      <c r="E255" s="1822"/>
      <c r="F255" s="1822"/>
      <c r="G255" s="1822"/>
      <c r="H255" s="1822"/>
      <c r="I255" s="1822"/>
      <c r="J255" s="1822"/>
      <c r="K255" s="1822"/>
      <c r="L255" s="1822"/>
      <c r="M255" s="1822"/>
      <c r="N255" s="1827"/>
      <c r="X255" s="537" t="s">
        <v>4007</v>
      </c>
    </row>
    <row r="256" spans="1:33" s="536" customFormat="1" ht="33.75" x14ac:dyDescent="0.2">
      <c r="A256" s="609"/>
      <c r="B256" s="552" t="s">
        <v>3990</v>
      </c>
      <c r="C256" s="1822" t="s">
        <v>4008</v>
      </c>
      <c r="D256" s="1822"/>
      <c r="E256" s="1822"/>
      <c r="F256" s="1822"/>
      <c r="G256" s="1822"/>
      <c r="H256" s="1822"/>
      <c r="I256" s="1822"/>
      <c r="J256" s="1822"/>
      <c r="K256" s="1822"/>
      <c r="L256" s="1822"/>
      <c r="M256" s="1822"/>
      <c r="N256" s="1827"/>
      <c r="Y256" s="537" t="s">
        <v>4008</v>
      </c>
    </row>
    <row r="257" spans="1:33" s="536" customFormat="1" ht="33.75" x14ac:dyDescent="0.2">
      <c r="A257" s="609"/>
      <c r="B257" s="552" t="s">
        <v>310</v>
      </c>
      <c r="C257" s="1822" t="s">
        <v>311</v>
      </c>
      <c r="D257" s="1822"/>
      <c r="E257" s="1822"/>
      <c r="F257" s="1822"/>
      <c r="G257" s="1822"/>
      <c r="H257" s="1822"/>
      <c r="I257" s="1822"/>
      <c r="J257" s="1822"/>
      <c r="K257" s="1822"/>
      <c r="L257" s="1822"/>
      <c r="M257" s="1822"/>
      <c r="N257" s="1827"/>
      <c r="Y257" s="537" t="s">
        <v>311</v>
      </c>
    </row>
    <row r="258" spans="1:33" s="536" customFormat="1" x14ac:dyDescent="0.2">
      <c r="A258" s="605"/>
      <c r="B258" s="552" t="s">
        <v>185</v>
      </c>
      <c r="C258" s="1822" t="s">
        <v>312</v>
      </c>
      <c r="D258" s="1822"/>
      <c r="E258" s="1822"/>
      <c r="F258" s="562"/>
      <c r="G258" s="562"/>
      <c r="H258" s="562"/>
      <c r="I258" s="562"/>
      <c r="J258" s="604">
        <v>345.67</v>
      </c>
      <c r="K258" s="562" t="s">
        <v>4009</v>
      </c>
      <c r="L258" s="604">
        <v>111.46</v>
      </c>
      <c r="M258" s="603"/>
      <c r="N258" s="602"/>
      <c r="Z258" s="537" t="s">
        <v>312</v>
      </c>
    </row>
    <row r="259" spans="1:33" s="536" customFormat="1" x14ac:dyDescent="0.2">
      <c r="A259" s="605"/>
      <c r="B259" s="552" t="s">
        <v>186</v>
      </c>
      <c r="C259" s="1822" t="s">
        <v>344</v>
      </c>
      <c r="D259" s="1822"/>
      <c r="E259" s="1822"/>
      <c r="F259" s="562"/>
      <c r="G259" s="562"/>
      <c r="H259" s="562"/>
      <c r="I259" s="562"/>
      <c r="J259" s="604">
        <v>473.47</v>
      </c>
      <c r="K259" s="562" t="s">
        <v>4009</v>
      </c>
      <c r="L259" s="604">
        <v>152.66</v>
      </c>
      <c r="M259" s="603"/>
      <c r="N259" s="602"/>
      <c r="Z259" s="537" t="s">
        <v>344</v>
      </c>
    </row>
    <row r="260" spans="1:33" s="536" customFormat="1" x14ac:dyDescent="0.2">
      <c r="A260" s="605"/>
      <c r="B260" s="552" t="s">
        <v>187</v>
      </c>
      <c r="C260" s="1822" t="s">
        <v>345</v>
      </c>
      <c r="D260" s="1822"/>
      <c r="E260" s="1822"/>
      <c r="F260" s="562"/>
      <c r="G260" s="562"/>
      <c r="H260" s="562"/>
      <c r="I260" s="562"/>
      <c r="J260" s="604">
        <v>53.96</v>
      </c>
      <c r="K260" s="562" t="s">
        <v>4009</v>
      </c>
      <c r="L260" s="604">
        <v>17.399999999999999</v>
      </c>
      <c r="M260" s="603"/>
      <c r="N260" s="602"/>
      <c r="Z260" s="537" t="s">
        <v>345</v>
      </c>
    </row>
    <row r="261" spans="1:33" s="536" customFormat="1" x14ac:dyDescent="0.2">
      <c r="A261" s="605"/>
      <c r="B261" s="552" t="s">
        <v>188</v>
      </c>
      <c r="C261" s="1822" t="s">
        <v>475</v>
      </c>
      <c r="D261" s="1822"/>
      <c r="E261" s="1822"/>
      <c r="F261" s="562"/>
      <c r="G261" s="562"/>
      <c r="H261" s="562"/>
      <c r="I261" s="562"/>
      <c r="J261" s="604">
        <v>232.33</v>
      </c>
      <c r="K261" s="562" t="s">
        <v>3784</v>
      </c>
      <c r="L261" s="604">
        <v>59.93</v>
      </c>
      <c r="M261" s="603"/>
      <c r="N261" s="602"/>
      <c r="Z261" s="537" t="s">
        <v>475</v>
      </c>
    </row>
    <row r="262" spans="1:33" s="536" customFormat="1" x14ac:dyDescent="0.2">
      <c r="A262" s="676"/>
      <c r="B262" s="677" t="s">
        <v>1436</v>
      </c>
      <c r="C262" s="1829" t="s">
        <v>1229</v>
      </c>
      <c r="D262" s="1829"/>
      <c r="E262" s="1829"/>
      <c r="F262" s="678" t="s">
        <v>694</v>
      </c>
      <c r="G262" s="678" t="s">
        <v>185</v>
      </c>
      <c r="H262" s="678" t="s">
        <v>3784</v>
      </c>
      <c r="I262" s="678" t="s">
        <v>4010</v>
      </c>
      <c r="J262" s="552"/>
      <c r="K262" s="562"/>
      <c r="L262" s="604"/>
      <c r="M262" s="562"/>
      <c r="N262" s="679"/>
      <c r="AG262" s="537" t="s">
        <v>1229</v>
      </c>
    </row>
    <row r="263" spans="1:33" s="536" customFormat="1" ht="22.5" x14ac:dyDescent="0.2">
      <c r="A263" s="605"/>
      <c r="B263" s="552"/>
      <c r="C263" s="1822" t="s">
        <v>314</v>
      </c>
      <c r="D263" s="1822"/>
      <c r="E263" s="1822"/>
      <c r="F263" s="562" t="s">
        <v>315</v>
      </c>
      <c r="G263" s="562" t="s">
        <v>1458</v>
      </c>
      <c r="H263" s="562" t="s">
        <v>4009</v>
      </c>
      <c r="I263" s="562" t="s">
        <v>4011</v>
      </c>
      <c r="J263" s="604"/>
      <c r="K263" s="562"/>
      <c r="L263" s="604"/>
      <c r="M263" s="603"/>
      <c r="N263" s="602"/>
      <c r="AA263" s="537" t="s">
        <v>314</v>
      </c>
    </row>
    <row r="264" spans="1:33" s="536" customFormat="1" x14ac:dyDescent="0.2">
      <c r="A264" s="605"/>
      <c r="B264" s="552"/>
      <c r="C264" s="1822" t="s">
        <v>348</v>
      </c>
      <c r="D264" s="1822"/>
      <c r="E264" s="1822"/>
      <c r="F264" s="562" t="s">
        <v>315</v>
      </c>
      <c r="G264" s="562" t="s">
        <v>1460</v>
      </c>
      <c r="H264" s="562" t="s">
        <v>4009</v>
      </c>
      <c r="I264" s="562" t="s">
        <v>4012</v>
      </c>
      <c r="J264" s="604"/>
      <c r="K264" s="562"/>
      <c r="L264" s="604"/>
      <c r="M264" s="603"/>
      <c r="N264" s="602"/>
      <c r="AA264" s="537" t="s">
        <v>348</v>
      </c>
    </row>
    <row r="265" spans="1:33" s="536" customFormat="1" x14ac:dyDescent="0.2">
      <c r="A265" s="605"/>
      <c r="B265" s="552"/>
      <c r="C265" s="1828" t="s">
        <v>318</v>
      </c>
      <c r="D265" s="1828"/>
      <c r="E265" s="1828"/>
      <c r="F265" s="608"/>
      <c r="G265" s="608"/>
      <c r="H265" s="608"/>
      <c r="I265" s="608"/>
      <c r="J265" s="607">
        <v>1051.47</v>
      </c>
      <c r="K265" s="608"/>
      <c r="L265" s="607">
        <v>324.05</v>
      </c>
      <c r="M265" s="601"/>
      <c r="N265" s="606"/>
      <c r="AB265" s="537" t="s">
        <v>318</v>
      </c>
    </row>
    <row r="266" spans="1:33" s="536" customFormat="1" x14ac:dyDescent="0.2">
      <c r="A266" s="605"/>
      <c r="B266" s="552"/>
      <c r="C266" s="1822" t="s">
        <v>319</v>
      </c>
      <c r="D266" s="1822"/>
      <c r="E266" s="1822"/>
      <c r="F266" s="562"/>
      <c r="G266" s="562"/>
      <c r="H266" s="562"/>
      <c r="I266" s="562"/>
      <c r="J266" s="604"/>
      <c r="K266" s="562"/>
      <c r="L266" s="604">
        <v>128.86000000000001</v>
      </c>
      <c r="M266" s="603"/>
      <c r="N266" s="602"/>
      <c r="AA266" s="537" t="s">
        <v>319</v>
      </c>
    </row>
    <row r="267" spans="1:33" s="536" customFormat="1" ht="33.75" x14ac:dyDescent="0.2">
      <c r="A267" s="605"/>
      <c r="B267" s="552" t="s">
        <v>648</v>
      </c>
      <c r="C267" s="1822" t="s">
        <v>649</v>
      </c>
      <c r="D267" s="1822"/>
      <c r="E267" s="1822"/>
      <c r="F267" s="562" t="s">
        <v>322</v>
      </c>
      <c r="G267" s="562" t="s">
        <v>650</v>
      </c>
      <c r="H267" s="562"/>
      <c r="I267" s="562" t="s">
        <v>650</v>
      </c>
      <c r="J267" s="604"/>
      <c r="K267" s="562"/>
      <c r="L267" s="604">
        <v>119.84</v>
      </c>
      <c r="M267" s="603"/>
      <c r="N267" s="602"/>
      <c r="AA267" s="537" t="s">
        <v>649</v>
      </c>
    </row>
    <row r="268" spans="1:33" s="536" customFormat="1" ht="33.75" x14ac:dyDescent="0.2">
      <c r="A268" s="605"/>
      <c r="B268" s="552" t="s">
        <v>651</v>
      </c>
      <c r="C268" s="1822" t="s">
        <v>652</v>
      </c>
      <c r="D268" s="1822"/>
      <c r="E268" s="1822"/>
      <c r="F268" s="562" t="s">
        <v>322</v>
      </c>
      <c r="G268" s="562" t="s">
        <v>653</v>
      </c>
      <c r="H268" s="562"/>
      <c r="I268" s="562" t="s">
        <v>653</v>
      </c>
      <c r="J268" s="604"/>
      <c r="K268" s="562"/>
      <c r="L268" s="604">
        <v>79.89</v>
      </c>
      <c r="M268" s="603"/>
      <c r="N268" s="602"/>
      <c r="AA268" s="537" t="s">
        <v>652</v>
      </c>
    </row>
    <row r="269" spans="1:33" s="536" customFormat="1" x14ac:dyDescent="0.2">
      <c r="A269" s="569"/>
      <c r="B269" s="671"/>
      <c r="C269" s="1823" t="s">
        <v>327</v>
      </c>
      <c r="D269" s="1823"/>
      <c r="E269" s="1823"/>
      <c r="F269" s="573"/>
      <c r="G269" s="573"/>
      <c r="H269" s="573"/>
      <c r="I269" s="573"/>
      <c r="J269" s="572"/>
      <c r="K269" s="573"/>
      <c r="L269" s="572">
        <v>523.78</v>
      </c>
      <c r="M269" s="601"/>
      <c r="N269" s="570"/>
      <c r="AC269" s="537" t="s">
        <v>327</v>
      </c>
    </row>
    <row r="270" spans="1:33" s="536" customFormat="1" ht="22.5" x14ac:dyDescent="0.2">
      <c r="A270" s="575" t="s">
        <v>1067</v>
      </c>
      <c r="B270" s="670" t="s">
        <v>4013</v>
      </c>
      <c r="C270" s="1823" t="s">
        <v>4014</v>
      </c>
      <c r="D270" s="1823"/>
      <c r="E270" s="1823"/>
      <c r="F270" s="573" t="s">
        <v>694</v>
      </c>
      <c r="G270" s="573"/>
      <c r="H270" s="573"/>
      <c r="I270" s="573" t="s">
        <v>4006</v>
      </c>
      <c r="J270" s="572">
        <v>10508</v>
      </c>
      <c r="K270" s="573"/>
      <c r="L270" s="572">
        <v>2464.13</v>
      </c>
      <c r="M270" s="571"/>
      <c r="N270" s="570"/>
      <c r="W270" s="537" t="s">
        <v>4014</v>
      </c>
    </row>
    <row r="271" spans="1:33" s="536" customFormat="1" x14ac:dyDescent="0.2">
      <c r="A271" s="569"/>
      <c r="B271" s="671"/>
      <c r="C271" s="665" t="s">
        <v>717</v>
      </c>
      <c r="D271" s="666"/>
      <c r="E271" s="666"/>
      <c r="F271" s="563"/>
      <c r="G271" s="563"/>
      <c r="H271" s="563"/>
      <c r="I271" s="563"/>
      <c r="J271" s="566"/>
      <c r="K271" s="563"/>
      <c r="L271" s="566"/>
      <c r="M271" s="565"/>
      <c r="N271" s="564"/>
    </row>
    <row r="272" spans="1:33" s="536" customFormat="1" ht="22.5" x14ac:dyDescent="0.2">
      <c r="A272" s="575" t="s">
        <v>912</v>
      </c>
      <c r="B272" s="670" t="s">
        <v>1475</v>
      </c>
      <c r="C272" s="1823" t="s">
        <v>1476</v>
      </c>
      <c r="D272" s="1823"/>
      <c r="E272" s="1823"/>
      <c r="F272" s="573" t="s">
        <v>862</v>
      </c>
      <c r="G272" s="573"/>
      <c r="H272" s="573"/>
      <c r="I272" s="573" t="s">
        <v>4015</v>
      </c>
      <c r="J272" s="572"/>
      <c r="K272" s="573"/>
      <c r="L272" s="572"/>
      <c r="M272" s="571"/>
      <c r="N272" s="570"/>
      <c r="W272" s="537" t="s">
        <v>1476</v>
      </c>
    </row>
    <row r="273" spans="1:29" s="536" customFormat="1" x14ac:dyDescent="0.2">
      <c r="A273" s="676"/>
      <c r="B273" s="664"/>
      <c r="C273" s="1822" t="s">
        <v>4016</v>
      </c>
      <c r="D273" s="1822"/>
      <c r="E273" s="1822"/>
      <c r="F273" s="1822"/>
      <c r="G273" s="1822"/>
      <c r="H273" s="1822"/>
      <c r="I273" s="1822"/>
      <c r="J273" s="1822"/>
      <c r="K273" s="1822"/>
      <c r="L273" s="1822"/>
      <c r="M273" s="1822"/>
      <c r="N273" s="1827"/>
      <c r="X273" s="537" t="s">
        <v>4016</v>
      </c>
    </row>
    <row r="274" spans="1:29" s="536" customFormat="1" ht="33.75" x14ac:dyDescent="0.2">
      <c r="A274" s="609"/>
      <c r="B274" s="552" t="s">
        <v>310</v>
      </c>
      <c r="C274" s="1822" t="s">
        <v>311</v>
      </c>
      <c r="D274" s="1822"/>
      <c r="E274" s="1822"/>
      <c r="F274" s="1822"/>
      <c r="G274" s="1822"/>
      <c r="H274" s="1822"/>
      <c r="I274" s="1822"/>
      <c r="J274" s="1822"/>
      <c r="K274" s="1822"/>
      <c r="L274" s="1822"/>
      <c r="M274" s="1822"/>
      <c r="N274" s="1827"/>
      <c r="Y274" s="537" t="s">
        <v>311</v>
      </c>
    </row>
    <row r="275" spans="1:29" s="536" customFormat="1" x14ac:dyDescent="0.2">
      <c r="A275" s="605"/>
      <c r="B275" s="552" t="s">
        <v>185</v>
      </c>
      <c r="C275" s="1822" t="s">
        <v>312</v>
      </c>
      <c r="D275" s="1822"/>
      <c r="E275" s="1822"/>
      <c r="F275" s="562"/>
      <c r="G275" s="562"/>
      <c r="H275" s="562"/>
      <c r="I275" s="562"/>
      <c r="J275" s="604">
        <v>40.020000000000003</v>
      </c>
      <c r="K275" s="562" t="s">
        <v>313</v>
      </c>
      <c r="L275" s="604">
        <v>26.03</v>
      </c>
      <c r="M275" s="603"/>
      <c r="N275" s="602"/>
      <c r="Z275" s="537" t="s">
        <v>312</v>
      </c>
    </row>
    <row r="276" spans="1:29" s="536" customFormat="1" x14ac:dyDescent="0.2">
      <c r="A276" s="605"/>
      <c r="B276" s="552" t="s">
        <v>186</v>
      </c>
      <c r="C276" s="1822" t="s">
        <v>344</v>
      </c>
      <c r="D276" s="1822"/>
      <c r="E276" s="1822"/>
      <c r="F276" s="562"/>
      <c r="G276" s="562"/>
      <c r="H276" s="562"/>
      <c r="I276" s="562"/>
      <c r="J276" s="604">
        <v>15.9</v>
      </c>
      <c r="K276" s="562" t="s">
        <v>313</v>
      </c>
      <c r="L276" s="604">
        <v>10.34</v>
      </c>
      <c r="M276" s="603"/>
      <c r="N276" s="602"/>
      <c r="Z276" s="537" t="s">
        <v>344</v>
      </c>
    </row>
    <row r="277" spans="1:29" s="536" customFormat="1" x14ac:dyDescent="0.2">
      <c r="A277" s="605"/>
      <c r="B277" s="552" t="s">
        <v>187</v>
      </c>
      <c r="C277" s="1822" t="s">
        <v>345</v>
      </c>
      <c r="D277" s="1822"/>
      <c r="E277" s="1822"/>
      <c r="F277" s="562"/>
      <c r="G277" s="562"/>
      <c r="H277" s="562"/>
      <c r="I277" s="562"/>
      <c r="J277" s="604">
        <v>0.22</v>
      </c>
      <c r="K277" s="562" t="s">
        <v>313</v>
      </c>
      <c r="L277" s="604">
        <v>0.14000000000000001</v>
      </c>
      <c r="M277" s="603"/>
      <c r="N277" s="602"/>
      <c r="Z277" s="537" t="s">
        <v>345</v>
      </c>
    </row>
    <row r="278" spans="1:29" s="536" customFormat="1" x14ac:dyDescent="0.2">
      <c r="A278" s="605"/>
      <c r="B278" s="552" t="s">
        <v>188</v>
      </c>
      <c r="C278" s="1822" t="s">
        <v>475</v>
      </c>
      <c r="D278" s="1822"/>
      <c r="E278" s="1822"/>
      <c r="F278" s="562"/>
      <c r="G278" s="562"/>
      <c r="H278" s="562"/>
      <c r="I278" s="562"/>
      <c r="J278" s="604">
        <v>1308.99</v>
      </c>
      <c r="K278" s="562"/>
      <c r="L278" s="604">
        <v>681.2</v>
      </c>
      <c r="M278" s="603"/>
      <c r="N278" s="602"/>
      <c r="Z278" s="537" t="s">
        <v>475</v>
      </c>
    </row>
    <row r="279" spans="1:29" s="536" customFormat="1" x14ac:dyDescent="0.2">
      <c r="A279" s="605"/>
      <c r="B279" s="552"/>
      <c r="C279" s="1822" t="s">
        <v>314</v>
      </c>
      <c r="D279" s="1822"/>
      <c r="E279" s="1822"/>
      <c r="F279" s="562" t="s">
        <v>315</v>
      </c>
      <c r="G279" s="562" t="s">
        <v>1479</v>
      </c>
      <c r="H279" s="562" t="s">
        <v>313</v>
      </c>
      <c r="I279" s="562" t="s">
        <v>4017</v>
      </c>
      <c r="J279" s="604"/>
      <c r="K279" s="562"/>
      <c r="L279" s="604"/>
      <c r="M279" s="603"/>
      <c r="N279" s="602"/>
      <c r="AA279" s="537" t="s">
        <v>314</v>
      </c>
    </row>
    <row r="280" spans="1:29" s="536" customFormat="1" x14ac:dyDescent="0.2">
      <c r="A280" s="605"/>
      <c r="B280" s="552"/>
      <c r="C280" s="1822" t="s">
        <v>348</v>
      </c>
      <c r="D280" s="1822"/>
      <c r="E280" s="1822"/>
      <c r="F280" s="562" t="s">
        <v>315</v>
      </c>
      <c r="G280" s="562" t="s">
        <v>695</v>
      </c>
      <c r="H280" s="562" t="s">
        <v>313</v>
      </c>
      <c r="I280" s="562" t="s">
        <v>4018</v>
      </c>
      <c r="J280" s="604"/>
      <c r="K280" s="562"/>
      <c r="L280" s="604"/>
      <c r="M280" s="603"/>
      <c r="N280" s="602"/>
      <c r="AA280" s="537" t="s">
        <v>348</v>
      </c>
    </row>
    <row r="281" spans="1:29" s="536" customFormat="1" x14ac:dyDescent="0.2">
      <c r="A281" s="605"/>
      <c r="B281" s="552"/>
      <c r="C281" s="1828" t="s">
        <v>318</v>
      </c>
      <c r="D281" s="1828"/>
      <c r="E281" s="1828"/>
      <c r="F281" s="608"/>
      <c r="G281" s="608"/>
      <c r="H281" s="608"/>
      <c r="I281" s="608"/>
      <c r="J281" s="607">
        <v>1364.91</v>
      </c>
      <c r="K281" s="608"/>
      <c r="L281" s="607">
        <v>717.57</v>
      </c>
      <c r="M281" s="601"/>
      <c r="N281" s="606"/>
      <c r="AB281" s="537" t="s">
        <v>318</v>
      </c>
    </row>
    <row r="282" spans="1:29" s="536" customFormat="1" x14ac:dyDescent="0.2">
      <c r="A282" s="605"/>
      <c r="B282" s="552"/>
      <c r="C282" s="1822" t="s">
        <v>319</v>
      </c>
      <c r="D282" s="1822"/>
      <c r="E282" s="1822"/>
      <c r="F282" s="562"/>
      <c r="G282" s="562"/>
      <c r="H282" s="562"/>
      <c r="I282" s="562"/>
      <c r="J282" s="604"/>
      <c r="K282" s="562"/>
      <c r="L282" s="604">
        <v>26.17</v>
      </c>
      <c r="M282" s="603"/>
      <c r="N282" s="602"/>
      <c r="AA282" s="537" t="s">
        <v>319</v>
      </c>
    </row>
    <row r="283" spans="1:29" s="536" customFormat="1" ht="33.75" x14ac:dyDescent="0.2">
      <c r="A283" s="605"/>
      <c r="B283" s="552" t="s">
        <v>1482</v>
      </c>
      <c r="C283" s="1822" t="s">
        <v>1483</v>
      </c>
      <c r="D283" s="1822"/>
      <c r="E283" s="1822"/>
      <c r="F283" s="562" t="s">
        <v>322</v>
      </c>
      <c r="G283" s="562" t="s">
        <v>1484</v>
      </c>
      <c r="H283" s="562"/>
      <c r="I283" s="562" t="s">
        <v>1484</v>
      </c>
      <c r="J283" s="604"/>
      <c r="K283" s="562"/>
      <c r="L283" s="604">
        <v>24.6</v>
      </c>
      <c r="M283" s="603"/>
      <c r="N283" s="602"/>
      <c r="AA283" s="537" t="s">
        <v>1483</v>
      </c>
    </row>
    <row r="284" spans="1:29" s="536" customFormat="1" ht="33.75" x14ac:dyDescent="0.2">
      <c r="A284" s="605"/>
      <c r="B284" s="552" t="s">
        <v>1485</v>
      </c>
      <c r="C284" s="1822" t="s">
        <v>1486</v>
      </c>
      <c r="D284" s="1822"/>
      <c r="E284" s="1822"/>
      <c r="F284" s="562" t="s">
        <v>322</v>
      </c>
      <c r="G284" s="562" t="s">
        <v>786</v>
      </c>
      <c r="H284" s="562"/>
      <c r="I284" s="562" t="s">
        <v>786</v>
      </c>
      <c r="J284" s="604"/>
      <c r="K284" s="562"/>
      <c r="L284" s="604">
        <v>13.35</v>
      </c>
      <c r="M284" s="603"/>
      <c r="N284" s="602"/>
      <c r="AA284" s="537" t="s">
        <v>1486</v>
      </c>
    </row>
    <row r="285" spans="1:29" s="536" customFormat="1" x14ac:dyDescent="0.2">
      <c r="A285" s="569"/>
      <c r="B285" s="671"/>
      <c r="C285" s="1823" t="s">
        <v>327</v>
      </c>
      <c r="D285" s="1823"/>
      <c r="E285" s="1823"/>
      <c r="F285" s="573"/>
      <c r="G285" s="573"/>
      <c r="H285" s="573"/>
      <c r="I285" s="573"/>
      <c r="J285" s="572"/>
      <c r="K285" s="573"/>
      <c r="L285" s="572">
        <v>755.52</v>
      </c>
      <c r="M285" s="601"/>
      <c r="N285" s="570"/>
      <c r="AC285" s="537" t="s">
        <v>327</v>
      </c>
    </row>
    <row r="286" spans="1:29" s="536" customFormat="1" ht="22.5" x14ac:dyDescent="0.2">
      <c r="A286" s="575" t="s">
        <v>757</v>
      </c>
      <c r="B286" s="670" t="s">
        <v>1487</v>
      </c>
      <c r="C286" s="1823" t="s">
        <v>1488</v>
      </c>
      <c r="D286" s="1823"/>
      <c r="E286" s="1823"/>
      <c r="F286" s="573" t="s">
        <v>862</v>
      </c>
      <c r="G286" s="573"/>
      <c r="H286" s="573"/>
      <c r="I286" s="573" t="s">
        <v>2790</v>
      </c>
      <c r="J286" s="572"/>
      <c r="K286" s="573"/>
      <c r="L286" s="572"/>
      <c r="M286" s="571"/>
      <c r="N286" s="570"/>
      <c r="W286" s="537" t="s">
        <v>1488</v>
      </c>
    </row>
    <row r="287" spans="1:29" s="536" customFormat="1" x14ac:dyDescent="0.2">
      <c r="A287" s="676"/>
      <c r="B287" s="664"/>
      <c r="C287" s="1822" t="s">
        <v>4016</v>
      </c>
      <c r="D287" s="1822"/>
      <c r="E287" s="1822"/>
      <c r="F287" s="1822"/>
      <c r="G287" s="1822"/>
      <c r="H287" s="1822"/>
      <c r="I287" s="1822"/>
      <c r="J287" s="1822"/>
      <c r="K287" s="1822"/>
      <c r="L287" s="1822"/>
      <c r="M287" s="1822"/>
      <c r="N287" s="1827"/>
      <c r="X287" s="537" t="s">
        <v>4016</v>
      </c>
    </row>
    <row r="288" spans="1:29" s="536" customFormat="1" ht="33.75" x14ac:dyDescent="0.2">
      <c r="A288" s="609"/>
      <c r="B288" s="552" t="s">
        <v>310</v>
      </c>
      <c r="C288" s="1822" t="s">
        <v>311</v>
      </c>
      <c r="D288" s="1822"/>
      <c r="E288" s="1822"/>
      <c r="F288" s="1822"/>
      <c r="G288" s="1822"/>
      <c r="H288" s="1822"/>
      <c r="I288" s="1822"/>
      <c r="J288" s="1822"/>
      <c r="K288" s="1822"/>
      <c r="L288" s="1822"/>
      <c r="M288" s="1822"/>
      <c r="N288" s="1827"/>
      <c r="Y288" s="537" t="s">
        <v>311</v>
      </c>
    </row>
    <row r="289" spans="1:30" s="536" customFormat="1" x14ac:dyDescent="0.2">
      <c r="A289" s="605"/>
      <c r="B289" s="552" t="s">
        <v>185</v>
      </c>
      <c r="C289" s="1822" t="s">
        <v>312</v>
      </c>
      <c r="D289" s="1822"/>
      <c r="E289" s="1822"/>
      <c r="F289" s="562"/>
      <c r="G289" s="562"/>
      <c r="H289" s="562"/>
      <c r="I289" s="562"/>
      <c r="J289" s="604">
        <v>19.32</v>
      </c>
      <c r="K289" s="562" t="s">
        <v>313</v>
      </c>
      <c r="L289" s="604">
        <v>12.56</v>
      </c>
      <c r="M289" s="603"/>
      <c r="N289" s="602"/>
      <c r="Z289" s="537" t="s">
        <v>312</v>
      </c>
    </row>
    <row r="290" spans="1:30" s="536" customFormat="1" x14ac:dyDescent="0.2">
      <c r="A290" s="605"/>
      <c r="B290" s="552" t="s">
        <v>186</v>
      </c>
      <c r="C290" s="1822" t="s">
        <v>344</v>
      </c>
      <c r="D290" s="1822"/>
      <c r="E290" s="1822"/>
      <c r="F290" s="562"/>
      <c r="G290" s="562"/>
      <c r="H290" s="562"/>
      <c r="I290" s="562"/>
      <c r="J290" s="604">
        <v>6.01</v>
      </c>
      <c r="K290" s="562" t="s">
        <v>313</v>
      </c>
      <c r="L290" s="604">
        <v>3.91</v>
      </c>
      <c r="M290" s="603"/>
      <c r="N290" s="602"/>
      <c r="Z290" s="537" t="s">
        <v>344</v>
      </c>
    </row>
    <row r="291" spans="1:30" s="536" customFormat="1" x14ac:dyDescent="0.2">
      <c r="A291" s="605"/>
      <c r="B291" s="552" t="s">
        <v>187</v>
      </c>
      <c r="C291" s="1822" t="s">
        <v>345</v>
      </c>
      <c r="D291" s="1822"/>
      <c r="E291" s="1822"/>
      <c r="F291" s="562"/>
      <c r="G291" s="562"/>
      <c r="H291" s="562"/>
      <c r="I291" s="562"/>
      <c r="J291" s="604">
        <v>0.22</v>
      </c>
      <c r="K291" s="562" t="s">
        <v>313</v>
      </c>
      <c r="L291" s="604">
        <v>0.14000000000000001</v>
      </c>
      <c r="M291" s="603"/>
      <c r="N291" s="602"/>
      <c r="Z291" s="537" t="s">
        <v>345</v>
      </c>
    </row>
    <row r="292" spans="1:30" s="536" customFormat="1" x14ac:dyDescent="0.2">
      <c r="A292" s="605"/>
      <c r="B292" s="552" t="s">
        <v>188</v>
      </c>
      <c r="C292" s="1822" t="s">
        <v>475</v>
      </c>
      <c r="D292" s="1822"/>
      <c r="E292" s="1822"/>
      <c r="F292" s="562"/>
      <c r="G292" s="562"/>
      <c r="H292" s="562"/>
      <c r="I292" s="562"/>
      <c r="J292" s="604">
        <v>138.16</v>
      </c>
      <c r="K292" s="562"/>
      <c r="L292" s="604">
        <v>4.8600000000000003</v>
      </c>
      <c r="M292" s="603"/>
      <c r="N292" s="602"/>
      <c r="Z292" s="537" t="s">
        <v>475</v>
      </c>
    </row>
    <row r="293" spans="1:30" s="536" customFormat="1" x14ac:dyDescent="0.2">
      <c r="A293" s="605"/>
      <c r="B293" s="552"/>
      <c r="C293" s="1822" t="s">
        <v>314</v>
      </c>
      <c r="D293" s="1822"/>
      <c r="E293" s="1822"/>
      <c r="F293" s="562" t="s">
        <v>315</v>
      </c>
      <c r="G293" s="562" t="s">
        <v>1489</v>
      </c>
      <c r="H293" s="562" t="s">
        <v>313</v>
      </c>
      <c r="I293" s="562" t="s">
        <v>4019</v>
      </c>
      <c r="J293" s="604"/>
      <c r="K293" s="562"/>
      <c r="L293" s="604"/>
      <c r="M293" s="603"/>
      <c r="N293" s="602"/>
      <c r="AA293" s="537" t="s">
        <v>314</v>
      </c>
    </row>
    <row r="294" spans="1:30" s="536" customFormat="1" x14ac:dyDescent="0.2">
      <c r="A294" s="605"/>
      <c r="B294" s="552"/>
      <c r="C294" s="1822" t="s">
        <v>348</v>
      </c>
      <c r="D294" s="1822"/>
      <c r="E294" s="1822"/>
      <c r="F294" s="562" t="s">
        <v>315</v>
      </c>
      <c r="G294" s="562" t="s">
        <v>695</v>
      </c>
      <c r="H294" s="562" t="s">
        <v>313</v>
      </c>
      <c r="I294" s="562" t="s">
        <v>4020</v>
      </c>
      <c r="J294" s="604"/>
      <c r="K294" s="562"/>
      <c r="L294" s="604"/>
      <c r="M294" s="603"/>
      <c r="N294" s="602"/>
      <c r="AA294" s="537" t="s">
        <v>348</v>
      </c>
    </row>
    <row r="295" spans="1:30" s="536" customFormat="1" x14ac:dyDescent="0.2">
      <c r="A295" s="605"/>
      <c r="B295" s="552"/>
      <c r="C295" s="1828" t="s">
        <v>318</v>
      </c>
      <c r="D295" s="1828"/>
      <c r="E295" s="1828"/>
      <c r="F295" s="608"/>
      <c r="G295" s="608"/>
      <c r="H295" s="608"/>
      <c r="I295" s="608"/>
      <c r="J295" s="607">
        <v>34.67</v>
      </c>
      <c r="K295" s="608"/>
      <c r="L295" s="607">
        <v>21.33</v>
      </c>
      <c r="M295" s="601"/>
      <c r="N295" s="606"/>
      <c r="AB295" s="537" t="s">
        <v>318</v>
      </c>
    </row>
    <row r="296" spans="1:30" s="536" customFormat="1" x14ac:dyDescent="0.2">
      <c r="A296" s="605"/>
      <c r="B296" s="552"/>
      <c r="C296" s="1822" t="s">
        <v>319</v>
      </c>
      <c r="D296" s="1822"/>
      <c r="E296" s="1822"/>
      <c r="F296" s="562"/>
      <c r="G296" s="562"/>
      <c r="H296" s="562"/>
      <c r="I296" s="562"/>
      <c r="J296" s="604"/>
      <c r="K296" s="562"/>
      <c r="L296" s="604">
        <v>12.7</v>
      </c>
      <c r="M296" s="603"/>
      <c r="N296" s="602"/>
      <c r="AA296" s="537" t="s">
        <v>319</v>
      </c>
    </row>
    <row r="297" spans="1:30" s="536" customFormat="1" ht="33.75" x14ac:dyDescent="0.2">
      <c r="A297" s="605"/>
      <c r="B297" s="552" t="s">
        <v>1482</v>
      </c>
      <c r="C297" s="1822" t="s">
        <v>1483</v>
      </c>
      <c r="D297" s="1822"/>
      <c r="E297" s="1822"/>
      <c r="F297" s="562" t="s">
        <v>322</v>
      </c>
      <c r="G297" s="562" t="s">
        <v>1484</v>
      </c>
      <c r="H297" s="562"/>
      <c r="I297" s="562" t="s">
        <v>1484</v>
      </c>
      <c r="J297" s="604"/>
      <c r="K297" s="562"/>
      <c r="L297" s="604">
        <v>11.94</v>
      </c>
      <c r="M297" s="603"/>
      <c r="N297" s="602"/>
      <c r="AA297" s="537" t="s">
        <v>1483</v>
      </c>
    </row>
    <row r="298" spans="1:30" s="536" customFormat="1" ht="33.75" x14ac:dyDescent="0.2">
      <c r="A298" s="605"/>
      <c r="B298" s="552" t="s">
        <v>1485</v>
      </c>
      <c r="C298" s="1822" t="s">
        <v>1486</v>
      </c>
      <c r="D298" s="1822"/>
      <c r="E298" s="1822"/>
      <c r="F298" s="562" t="s">
        <v>322</v>
      </c>
      <c r="G298" s="562" t="s">
        <v>786</v>
      </c>
      <c r="H298" s="562"/>
      <c r="I298" s="562" t="s">
        <v>786</v>
      </c>
      <c r="J298" s="604"/>
      <c r="K298" s="562"/>
      <c r="L298" s="604">
        <v>6.48</v>
      </c>
      <c r="M298" s="603"/>
      <c r="N298" s="602"/>
      <c r="AA298" s="537" t="s">
        <v>1486</v>
      </c>
    </row>
    <row r="299" spans="1:30" s="536" customFormat="1" x14ac:dyDescent="0.2">
      <c r="A299" s="569"/>
      <c r="B299" s="671"/>
      <c r="C299" s="1823" t="s">
        <v>327</v>
      </c>
      <c r="D299" s="1823"/>
      <c r="E299" s="1823"/>
      <c r="F299" s="573"/>
      <c r="G299" s="573"/>
      <c r="H299" s="573"/>
      <c r="I299" s="573"/>
      <c r="J299" s="572"/>
      <c r="K299" s="573"/>
      <c r="L299" s="572">
        <v>39.75</v>
      </c>
      <c r="M299" s="601"/>
      <c r="N299" s="570"/>
      <c r="AC299" s="537" t="s">
        <v>327</v>
      </c>
    </row>
    <row r="300" spans="1:30" s="536" customFormat="1" ht="22.5" x14ac:dyDescent="0.2">
      <c r="A300" s="575" t="s">
        <v>1079</v>
      </c>
      <c r="B300" s="670" t="s">
        <v>1491</v>
      </c>
      <c r="C300" s="1823" t="s">
        <v>1492</v>
      </c>
      <c r="D300" s="1823"/>
      <c r="E300" s="1823"/>
      <c r="F300" s="573" t="s">
        <v>699</v>
      </c>
      <c r="G300" s="573"/>
      <c r="H300" s="573"/>
      <c r="I300" s="573" t="s">
        <v>4021</v>
      </c>
      <c r="J300" s="572">
        <v>34.950000000000003</v>
      </c>
      <c r="K300" s="573"/>
      <c r="L300" s="572">
        <v>363.76</v>
      </c>
      <c r="M300" s="571"/>
      <c r="N300" s="570"/>
      <c r="W300" s="537" t="s">
        <v>1492</v>
      </c>
    </row>
    <row r="301" spans="1:30" s="536" customFormat="1" x14ac:dyDescent="0.2">
      <c r="A301" s="569"/>
      <c r="B301" s="671"/>
      <c r="C301" s="665" t="s">
        <v>717</v>
      </c>
      <c r="D301" s="666"/>
      <c r="E301" s="666"/>
      <c r="F301" s="563"/>
      <c r="G301" s="563"/>
      <c r="H301" s="563"/>
      <c r="I301" s="563"/>
      <c r="J301" s="566"/>
      <c r="K301" s="563"/>
      <c r="L301" s="566"/>
      <c r="M301" s="565"/>
      <c r="N301" s="564"/>
    </row>
    <row r="302" spans="1:30" s="536" customFormat="1" x14ac:dyDescent="0.2">
      <c r="A302" s="676"/>
      <c r="B302" s="664"/>
      <c r="C302" s="1822" t="s">
        <v>4022</v>
      </c>
      <c r="D302" s="1822"/>
      <c r="E302" s="1822"/>
      <c r="F302" s="1822"/>
      <c r="G302" s="1822"/>
      <c r="H302" s="1822"/>
      <c r="I302" s="1822"/>
      <c r="J302" s="1822"/>
      <c r="K302" s="1822"/>
      <c r="L302" s="1822"/>
      <c r="M302" s="1822"/>
      <c r="N302" s="1827"/>
      <c r="X302" s="537" t="s">
        <v>4022</v>
      </c>
    </row>
    <row r="303" spans="1:30" s="536" customFormat="1" ht="1.5" customHeight="1" x14ac:dyDescent="0.2">
      <c r="A303" s="563"/>
      <c r="B303" s="671"/>
      <c r="C303" s="671"/>
      <c r="D303" s="671"/>
      <c r="E303" s="671"/>
      <c r="F303" s="563"/>
      <c r="G303" s="563"/>
      <c r="H303" s="563"/>
      <c r="I303" s="563"/>
      <c r="J303" s="546"/>
      <c r="K303" s="563"/>
      <c r="L303" s="546"/>
      <c r="M303" s="562"/>
      <c r="N303" s="546"/>
    </row>
    <row r="304" spans="1:30" s="536" customFormat="1" x14ac:dyDescent="0.2">
      <c r="A304" s="557"/>
      <c r="B304" s="556"/>
      <c r="C304" s="1823" t="s">
        <v>2164</v>
      </c>
      <c r="D304" s="1823"/>
      <c r="E304" s="1823"/>
      <c r="F304" s="1823"/>
      <c r="G304" s="1823"/>
      <c r="H304" s="1823"/>
      <c r="I304" s="1823"/>
      <c r="J304" s="1823"/>
      <c r="K304" s="1823"/>
      <c r="L304" s="555"/>
      <c r="M304" s="554"/>
      <c r="N304" s="553"/>
      <c r="AD304" s="537" t="s">
        <v>2164</v>
      </c>
    </row>
    <row r="305" spans="1:31" s="536" customFormat="1" x14ac:dyDescent="0.2">
      <c r="A305" s="548"/>
      <c r="B305" s="552"/>
      <c r="C305" s="1822" t="s">
        <v>403</v>
      </c>
      <c r="D305" s="1822"/>
      <c r="E305" s="1822"/>
      <c r="F305" s="1822"/>
      <c r="G305" s="1822"/>
      <c r="H305" s="1822"/>
      <c r="I305" s="1822"/>
      <c r="J305" s="1822"/>
      <c r="K305" s="1822"/>
      <c r="L305" s="551">
        <v>17030.349999999999</v>
      </c>
      <c r="M305" s="550"/>
      <c r="N305" s="549"/>
      <c r="AE305" s="537" t="s">
        <v>403</v>
      </c>
    </row>
    <row r="306" spans="1:31" s="536" customFormat="1" x14ac:dyDescent="0.2">
      <c r="A306" s="548"/>
      <c r="B306" s="552"/>
      <c r="C306" s="1822" t="s">
        <v>204</v>
      </c>
      <c r="D306" s="1822"/>
      <c r="E306" s="1822"/>
      <c r="F306" s="1822"/>
      <c r="G306" s="1822"/>
      <c r="H306" s="1822"/>
      <c r="I306" s="1822"/>
      <c r="J306" s="1822"/>
      <c r="K306" s="1822"/>
      <c r="L306" s="551"/>
      <c r="M306" s="550"/>
      <c r="N306" s="549"/>
      <c r="AE306" s="537" t="s">
        <v>204</v>
      </c>
    </row>
    <row r="307" spans="1:31" s="536" customFormat="1" x14ac:dyDescent="0.2">
      <c r="A307" s="548"/>
      <c r="B307" s="552"/>
      <c r="C307" s="1822" t="s">
        <v>404</v>
      </c>
      <c r="D307" s="1822"/>
      <c r="E307" s="1822"/>
      <c r="F307" s="1822"/>
      <c r="G307" s="1822"/>
      <c r="H307" s="1822"/>
      <c r="I307" s="1822"/>
      <c r="J307" s="1822"/>
      <c r="K307" s="1822"/>
      <c r="L307" s="551">
        <v>335.97</v>
      </c>
      <c r="M307" s="550"/>
      <c r="N307" s="549"/>
      <c r="AE307" s="537" t="s">
        <v>404</v>
      </c>
    </row>
    <row r="308" spans="1:31" s="536" customFormat="1" x14ac:dyDescent="0.2">
      <c r="A308" s="548"/>
      <c r="B308" s="552"/>
      <c r="C308" s="1822" t="s">
        <v>405</v>
      </c>
      <c r="D308" s="1822"/>
      <c r="E308" s="1822"/>
      <c r="F308" s="1822"/>
      <c r="G308" s="1822"/>
      <c r="H308" s="1822"/>
      <c r="I308" s="1822"/>
      <c r="J308" s="1822"/>
      <c r="K308" s="1822"/>
      <c r="L308" s="551">
        <v>895.53</v>
      </c>
      <c r="M308" s="550"/>
      <c r="N308" s="549"/>
      <c r="AE308" s="537" t="s">
        <v>405</v>
      </c>
    </row>
    <row r="309" spans="1:31" s="536" customFormat="1" x14ac:dyDescent="0.2">
      <c r="A309" s="548"/>
      <c r="B309" s="552"/>
      <c r="C309" s="1822" t="s">
        <v>406</v>
      </c>
      <c r="D309" s="1822"/>
      <c r="E309" s="1822"/>
      <c r="F309" s="1822"/>
      <c r="G309" s="1822"/>
      <c r="H309" s="1822"/>
      <c r="I309" s="1822"/>
      <c r="J309" s="1822"/>
      <c r="K309" s="1822"/>
      <c r="L309" s="551">
        <v>96.92</v>
      </c>
      <c r="M309" s="550"/>
      <c r="N309" s="549"/>
      <c r="AE309" s="537" t="s">
        <v>406</v>
      </c>
    </row>
    <row r="310" spans="1:31" s="536" customFormat="1" x14ac:dyDescent="0.2">
      <c r="A310" s="548"/>
      <c r="B310" s="552"/>
      <c r="C310" s="1822" t="s">
        <v>480</v>
      </c>
      <c r="D310" s="1822"/>
      <c r="E310" s="1822"/>
      <c r="F310" s="1822"/>
      <c r="G310" s="1822"/>
      <c r="H310" s="1822"/>
      <c r="I310" s="1822"/>
      <c r="J310" s="1822"/>
      <c r="K310" s="1822"/>
      <c r="L310" s="551">
        <v>15798.85</v>
      </c>
      <c r="M310" s="550"/>
      <c r="N310" s="549"/>
      <c r="AE310" s="537" t="s">
        <v>480</v>
      </c>
    </row>
    <row r="311" spans="1:31" s="536" customFormat="1" x14ac:dyDescent="0.2">
      <c r="A311" s="548"/>
      <c r="B311" s="552" t="s">
        <v>185</v>
      </c>
      <c r="C311" s="1822" t="s">
        <v>407</v>
      </c>
      <c r="D311" s="1822"/>
      <c r="E311" s="1822"/>
      <c r="F311" s="1822"/>
      <c r="G311" s="1822"/>
      <c r="H311" s="1822"/>
      <c r="I311" s="1822"/>
      <c r="J311" s="1822"/>
      <c r="K311" s="1822"/>
      <c r="L311" s="551">
        <v>17697.45</v>
      </c>
      <c r="M311" s="550"/>
      <c r="N311" s="549"/>
      <c r="AE311" s="537" t="s">
        <v>407</v>
      </c>
    </row>
    <row r="312" spans="1:31" s="536" customFormat="1" x14ac:dyDescent="0.2">
      <c r="A312" s="548"/>
      <c r="B312" s="552"/>
      <c r="C312" s="1822" t="s">
        <v>204</v>
      </c>
      <c r="D312" s="1822"/>
      <c r="E312" s="1822"/>
      <c r="F312" s="1822"/>
      <c r="G312" s="1822"/>
      <c r="H312" s="1822"/>
      <c r="I312" s="1822"/>
      <c r="J312" s="1822"/>
      <c r="K312" s="1822"/>
      <c r="L312" s="551"/>
      <c r="M312" s="550"/>
      <c r="N312" s="549"/>
      <c r="AE312" s="537" t="s">
        <v>204</v>
      </c>
    </row>
    <row r="313" spans="1:31" s="536" customFormat="1" x14ac:dyDescent="0.2">
      <c r="A313" s="548"/>
      <c r="B313" s="552"/>
      <c r="C313" s="1822" t="s">
        <v>546</v>
      </c>
      <c r="D313" s="1822"/>
      <c r="E313" s="1822"/>
      <c r="F313" s="1822"/>
      <c r="G313" s="1822"/>
      <c r="H313" s="1822"/>
      <c r="I313" s="1822"/>
      <c r="J313" s="1822"/>
      <c r="K313" s="1822"/>
      <c r="L313" s="551">
        <v>335.97</v>
      </c>
      <c r="M313" s="550"/>
      <c r="N313" s="549"/>
      <c r="AE313" s="537" t="s">
        <v>546</v>
      </c>
    </row>
    <row r="314" spans="1:31" s="536" customFormat="1" x14ac:dyDescent="0.2">
      <c r="A314" s="548"/>
      <c r="B314" s="552"/>
      <c r="C314" s="1822" t="s">
        <v>442</v>
      </c>
      <c r="D314" s="1822"/>
      <c r="E314" s="1822"/>
      <c r="F314" s="1822"/>
      <c r="G314" s="1822"/>
      <c r="H314" s="1822"/>
      <c r="I314" s="1822"/>
      <c r="J314" s="1822"/>
      <c r="K314" s="1822"/>
      <c r="L314" s="551">
        <v>895.53</v>
      </c>
      <c r="M314" s="550"/>
      <c r="N314" s="549"/>
      <c r="AE314" s="537" t="s">
        <v>442</v>
      </c>
    </row>
    <row r="315" spans="1:31" s="536" customFormat="1" x14ac:dyDescent="0.2">
      <c r="A315" s="548"/>
      <c r="B315" s="552"/>
      <c r="C315" s="1822" t="s">
        <v>547</v>
      </c>
      <c r="D315" s="1822"/>
      <c r="E315" s="1822"/>
      <c r="F315" s="1822"/>
      <c r="G315" s="1822"/>
      <c r="H315" s="1822"/>
      <c r="I315" s="1822"/>
      <c r="J315" s="1822"/>
      <c r="K315" s="1822"/>
      <c r="L315" s="551">
        <v>15798.85</v>
      </c>
      <c r="M315" s="550"/>
      <c r="N315" s="549"/>
      <c r="AE315" s="537" t="s">
        <v>547</v>
      </c>
    </row>
    <row r="316" spans="1:31" s="536" customFormat="1" x14ac:dyDescent="0.2">
      <c r="A316" s="548"/>
      <c r="B316" s="552"/>
      <c r="C316" s="1822" t="s">
        <v>443</v>
      </c>
      <c r="D316" s="1822"/>
      <c r="E316" s="1822"/>
      <c r="F316" s="1822"/>
      <c r="G316" s="1822"/>
      <c r="H316" s="1822"/>
      <c r="I316" s="1822"/>
      <c r="J316" s="1822"/>
      <c r="K316" s="1822"/>
      <c r="L316" s="551">
        <v>402.98</v>
      </c>
      <c r="M316" s="550"/>
      <c r="N316" s="549"/>
      <c r="AE316" s="537" t="s">
        <v>443</v>
      </c>
    </row>
    <row r="317" spans="1:31" s="536" customFormat="1" x14ac:dyDescent="0.2">
      <c r="A317" s="548"/>
      <c r="B317" s="552"/>
      <c r="C317" s="1822" t="s">
        <v>444</v>
      </c>
      <c r="D317" s="1822"/>
      <c r="E317" s="1822"/>
      <c r="F317" s="1822"/>
      <c r="G317" s="1822"/>
      <c r="H317" s="1822"/>
      <c r="I317" s="1822"/>
      <c r="J317" s="1822"/>
      <c r="K317" s="1822"/>
      <c r="L317" s="551">
        <v>264.12</v>
      </c>
      <c r="M317" s="550"/>
      <c r="N317" s="549"/>
      <c r="AE317" s="537" t="s">
        <v>444</v>
      </c>
    </row>
    <row r="318" spans="1:31" s="536" customFormat="1" x14ac:dyDescent="0.2">
      <c r="A318" s="548"/>
      <c r="B318" s="552"/>
      <c r="C318" s="1822" t="s">
        <v>415</v>
      </c>
      <c r="D318" s="1822"/>
      <c r="E318" s="1822"/>
      <c r="F318" s="1822"/>
      <c r="G318" s="1822"/>
      <c r="H318" s="1822"/>
      <c r="I318" s="1822"/>
      <c r="J318" s="1822"/>
      <c r="K318" s="1822"/>
      <c r="L318" s="551">
        <v>432.89</v>
      </c>
      <c r="M318" s="550"/>
      <c r="N318" s="549"/>
      <c r="AE318" s="537" t="s">
        <v>415</v>
      </c>
    </row>
    <row r="319" spans="1:31" s="536" customFormat="1" x14ac:dyDescent="0.2">
      <c r="A319" s="548"/>
      <c r="B319" s="552"/>
      <c r="C319" s="1822" t="s">
        <v>416</v>
      </c>
      <c r="D319" s="1822"/>
      <c r="E319" s="1822"/>
      <c r="F319" s="1822"/>
      <c r="G319" s="1822"/>
      <c r="H319" s="1822"/>
      <c r="I319" s="1822"/>
      <c r="J319" s="1822"/>
      <c r="K319" s="1822"/>
      <c r="L319" s="551">
        <v>402.98</v>
      </c>
      <c r="M319" s="550"/>
      <c r="N319" s="549"/>
      <c r="AE319" s="537" t="s">
        <v>416</v>
      </c>
    </row>
    <row r="320" spans="1:31" s="536" customFormat="1" x14ac:dyDescent="0.2">
      <c r="A320" s="548"/>
      <c r="B320" s="552"/>
      <c r="C320" s="1822" t="s">
        <v>417</v>
      </c>
      <c r="D320" s="1822"/>
      <c r="E320" s="1822"/>
      <c r="F320" s="1822"/>
      <c r="G320" s="1822"/>
      <c r="H320" s="1822"/>
      <c r="I320" s="1822"/>
      <c r="J320" s="1822"/>
      <c r="K320" s="1822"/>
      <c r="L320" s="551">
        <v>264.12</v>
      </c>
      <c r="M320" s="550"/>
      <c r="N320" s="549"/>
      <c r="AE320" s="537" t="s">
        <v>417</v>
      </c>
    </row>
    <row r="321" spans="1:32" s="536" customFormat="1" x14ac:dyDescent="0.2">
      <c r="A321" s="548"/>
      <c r="B321" s="546"/>
      <c r="C321" s="1819" t="s">
        <v>2165</v>
      </c>
      <c r="D321" s="1819"/>
      <c r="E321" s="1819"/>
      <c r="F321" s="1819"/>
      <c r="G321" s="1819"/>
      <c r="H321" s="1819"/>
      <c r="I321" s="1819"/>
      <c r="J321" s="1819"/>
      <c r="K321" s="1819"/>
      <c r="L321" s="544">
        <v>17697.45</v>
      </c>
      <c r="M321" s="543"/>
      <c r="N321" s="681"/>
      <c r="AF321" s="537" t="s">
        <v>2165</v>
      </c>
    </row>
    <row r="322" spans="1:32" s="536" customFormat="1" ht="12" x14ac:dyDescent="0.2">
      <c r="A322" s="1824" t="s">
        <v>4023</v>
      </c>
      <c r="B322" s="1825"/>
      <c r="C322" s="1825"/>
      <c r="D322" s="1825"/>
      <c r="E322" s="1825"/>
      <c r="F322" s="1825"/>
      <c r="G322" s="1825"/>
      <c r="H322" s="1825"/>
      <c r="I322" s="1825"/>
      <c r="J322" s="1825"/>
      <c r="K322" s="1825"/>
      <c r="L322" s="1825"/>
      <c r="M322" s="1825"/>
      <c r="N322" s="1826"/>
      <c r="V322" s="537" t="s">
        <v>4023</v>
      </c>
    </row>
    <row r="323" spans="1:32" s="536" customFormat="1" x14ac:dyDescent="0.2">
      <c r="A323" s="575" t="s">
        <v>759</v>
      </c>
      <c r="B323" s="670" t="s">
        <v>2167</v>
      </c>
      <c r="C323" s="1823" t="s">
        <v>2168</v>
      </c>
      <c r="D323" s="1823"/>
      <c r="E323" s="1823"/>
      <c r="F323" s="573" t="s">
        <v>641</v>
      </c>
      <c r="G323" s="573"/>
      <c r="H323" s="573"/>
      <c r="I323" s="573" t="s">
        <v>1692</v>
      </c>
      <c r="J323" s="572"/>
      <c r="K323" s="573"/>
      <c r="L323" s="572"/>
      <c r="M323" s="571"/>
      <c r="N323" s="570"/>
      <c r="W323" s="537" t="s">
        <v>2168</v>
      </c>
    </row>
    <row r="324" spans="1:32" s="536" customFormat="1" ht="33.75" x14ac:dyDescent="0.2">
      <c r="A324" s="609"/>
      <c r="B324" s="552" t="s">
        <v>310</v>
      </c>
      <c r="C324" s="1822" t="s">
        <v>311</v>
      </c>
      <c r="D324" s="1822"/>
      <c r="E324" s="1822"/>
      <c r="F324" s="1822"/>
      <c r="G324" s="1822"/>
      <c r="H324" s="1822"/>
      <c r="I324" s="1822"/>
      <c r="J324" s="1822"/>
      <c r="K324" s="1822"/>
      <c r="L324" s="1822"/>
      <c r="M324" s="1822"/>
      <c r="N324" s="1827"/>
      <c r="Y324" s="537" t="s">
        <v>311</v>
      </c>
    </row>
    <row r="325" spans="1:32" s="536" customFormat="1" x14ac:dyDescent="0.2">
      <c r="A325" s="605"/>
      <c r="B325" s="552" t="s">
        <v>185</v>
      </c>
      <c r="C325" s="1822" t="s">
        <v>312</v>
      </c>
      <c r="D325" s="1822"/>
      <c r="E325" s="1822"/>
      <c r="F325" s="562"/>
      <c r="G325" s="562"/>
      <c r="H325" s="562"/>
      <c r="I325" s="562"/>
      <c r="J325" s="604">
        <v>100.65</v>
      </c>
      <c r="K325" s="562" t="s">
        <v>313</v>
      </c>
      <c r="L325" s="604">
        <v>62.91</v>
      </c>
      <c r="M325" s="603"/>
      <c r="N325" s="602"/>
      <c r="Z325" s="537" t="s">
        <v>312</v>
      </c>
    </row>
    <row r="326" spans="1:32" s="536" customFormat="1" x14ac:dyDescent="0.2">
      <c r="A326" s="605"/>
      <c r="B326" s="552" t="s">
        <v>186</v>
      </c>
      <c r="C326" s="1822" t="s">
        <v>344</v>
      </c>
      <c r="D326" s="1822"/>
      <c r="E326" s="1822"/>
      <c r="F326" s="562"/>
      <c r="G326" s="562"/>
      <c r="H326" s="562"/>
      <c r="I326" s="562"/>
      <c r="J326" s="604">
        <v>29.3</v>
      </c>
      <c r="K326" s="562" t="s">
        <v>313</v>
      </c>
      <c r="L326" s="604">
        <v>18.309999999999999</v>
      </c>
      <c r="M326" s="603"/>
      <c r="N326" s="602"/>
      <c r="Z326" s="537" t="s">
        <v>344</v>
      </c>
    </row>
    <row r="327" spans="1:32" s="536" customFormat="1" x14ac:dyDescent="0.2">
      <c r="A327" s="605"/>
      <c r="B327" s="552" t="s">
        <v>187</v>
      </c>
      <c r="C327" s="1822" t="s">
        <v>345</v>
      </c>
      <c r="D327" s="1822"/>
      <c r="E327" s="1822"/>
      <c r="F327" s="562"/>
      <c r="G327" s="562"/>
      <c r="H327" s="562"/>
      <c r="I327" s="562"/>
      <c r="J327" s="604">
        <v>4.21</v>
      </c>
      <c r="K327" s="562" t="s">
        <v>313</v>
      </c>
      <c r="L327" s="604">
        <v>2.63</v>
      </c>
      <c r="M327" s="603"/>
      <c r="N327" s="602"/>
      <c r="Z327" s="537" t="s">
        <v>345</v>
      </c>
    </row>
    <row r="328" spans="1:32" s="536" customFormat="1" x14ac:dyDescent="0.2">
      <c r="A328" s="605"/>
      <c r="B328" s="552" t="s">
        <v>188</v>
      </c>
      <c r="C328" s="1822" t="s">
        <v>475</v>
      </c>
      <c r="D328" s="1822"/>
      <c r="E328" s="1822"/>
      <c r="F328" s="562"/>
      <c r="G328" s="562"/>
      <c r="H328" s="562"/>
      <c r="I328" s="562"/>
      <c r="J328" s="604">
        <v>160.86000000000001</v>
      </c>
      <c r="K328" s="562"/>
      <c r="L328" s="604">
        <v>80.430000000000007</v>
      </c>
      <c r="M328" s="603"/>
      <c r="N328" s="602"/>
      <c r="Z328" s="537" t="s">
        <v>475</v>
      </c>
    </row>
    <row r="329" spans="1:32" s="536" customFormat="1" x14ac:dyDescent="0.2">
      <c r="A329" s="605"/>
      <c r="B329" s="552"/>
      <c r="C329" s="1822" t="s">
        <v>314</v>
      </c>
      <c r="D329" s="1822"/>
      <c r="E329" s="1822"/>
      <c r="F329" s="562" t="s">
        <v>315</v>
      </c>
      <c r="G329" s="562" t="s">
        <v>2170</v>
      </c>
      <c r="H329" s="562" t="s">
        <v>313</v>
      </c>
      <c r="I329" s="562" t="s">
        <v>4024</v>
      </c>
      <c r="J329" s="604"/>
      <c r="K329" s="562"/>
      <c r="L329" s="604"/>
      <c r="M329" s="603"/>
      <c r="N329" s="602"/>
      <c r="AA329" s="537" t="s">
        <v>314</v>
      </c>
    </row>
    <row r="330" spans="1:32" s="536" customFormat="1" x14ac:dyDescent="0.2">
      <c r="A330" s="605"/>
      <c r="B330" s="552"/>
      <c r="C330" s="1822" t="s">
        <v>348</v>
      </c>
      <c r="D330" s="1822"/>
      <c r="E330" s="1822"/>
      <c r="F330" s="562" t="s">
        <v>315</v>
      </c>
      <c r="G330" s="562" t="s">
        <v>2172</v>
      </c>
      <c r="H330" s="562" t="s">
        <v>313</v>
      </c>
      <c r="I330" s="562" t="s">
        <v>4025</v>
      </c>
      <c r="J330" s="604"/>
      <c r="K330" s="562"/>
      <c r="L330" s="604"/>
      <c r="M330" s="603"/>
      <c r="N330" s="602"/>
      <c r="AA330" s="537" t="s">
        <v>348</v>
      </c>
    </row>
    <row r="331" spans="1:32" s="536" customFormat="1" x14ac:dyDescent="0.2">
      <c r="A331" s="605"/>
      <c r="B331" s="552"/>
      <c r="C331" s="1828" t="s">
        <v>318</v>
      </c>
      <c r="D331" s="1828"/>
      <c r="E331" s="1828"/>
      <c r="F331" s="608"/>
      <c r="G331" s="608"/>
      <c r="H331" s="608"/>
      <c r="I331" s="608"/>
      <c r="J331" s="607">
        <v>290.81</v>
      </c>
      <c r="K331" s="608"/>
      <c r="L331" s="607">
        <v>161.65</v>
      </c>
      <c r="M331" s="601"/>
      <c r="N331" s="606"/>
      <c r="AB331" s="537" t="s">
        <v>318</v>
      </c>
    </row>
    <row r="332" spans="1:32" s="536" customFormat="1" x14ac:dyDescent="0.2">
      <c r="A332" s="605"/>
      <c r="B332" s="552"/>
      <c r="C332" s="1822" t="s">
        <v>319</v>
      </c>
      <c r="D332" s="1822"/>
      <c r="E332" s="1822"/>
      <c r="F332" s="562"/>
      <c r="G332" s="562"/>
      <c r="H332" s="562"/>
      <c r="I332" s="562"/>
      <c r="J332" s="604"/>
      <c r="K332" s="562"/>
      <c r="L332" s="604">
        <v>65.540000000000006</v>
      </c>
      <c r="M332" s="603"/>
      <c r="N332" s="602"/>
      <c r="AA332" s="537" t="s">
        <v>319</v>
      </c>
    </row>
    <row r="333" spans="1:32" s="536" customFormat="1" ht="33.75" x14ac:dyDescent="0.2">
      <c r="A333" s="605"/>
      <c r="B333" s="552" t="s">
        <v>849</v>
      </c>
      <c r="C333" s="1822" t="s">
        <v>850</v>
      </c>
      <c r="D333" s="1822"/>
      <c r="E333" s="1822"/>
      <c r="F333" s="562" t="s">
        <v>322</v>
      </c>
      <c r="G333" s="562" t="s">
        <v>851</v>
      </c>
      <c r="H333" s="562"/>
      <c r="I333" s="562" t="s">
        <v>851</v>
      </c>
      <c r="J333" s="604"/>
      <c r="K333" s="562"/>
      <c r="L333" s="604">
        <v>70.78</v>
      </c>
      <c r="M333" s="603"/>
      <c r="N333" s="602"/>
      <c r="AA333" s="537" t="s">
        <v>850</v>
      </c>
    </row>
    <row r="334" spans="1:32" s="536" customFormat="1" ht="33.75" x14ac:dyDescent="0.2">
      <c r="A334" s="605"/>
      <c r="B334" s="552" t="s">
        <v>852</v>
      </c>
      <c r="C334" s="1822" t="s">
        <v>853</v>
      </c>
      <c r="D334" s="1822"/>
      <c r="E334" s="1822"/>
      <c r="F334" s="562" t="s">
        <v>322</v>
      </c>
      <c r="G334" s="562" t="s">
        <v>789</v>
      </c>
      <c r="H334" s="562"/>
      <c r="I334" s="562" t="s">
        <v>789</v>
      </c>
      <c r="J334" s="604"/>
      <c r="K334" s="562"/>
      <c r="L334" s="604">
        <v>36.049999999999997</v>
      </c>
      <c r="M334" s="603"/>
      <c r="N334" s="602"/>
      <c r="AA334" s="537" t="s">
        <v>853</v>
      </c>
    </row>
    <row r="335" spans="1:32" s="536" customFormat="1" x14ac:dyDescent="0.2">
      <c r="A335" s="569"/>
      <c r="B335" s="671"/>
      <c r="C335" s="1823" t="s">
        <v>327</v>
      </c>
      <c r="D335" s="1823"/>
      <c r="E335" s="1823"/>
      <c r="F335" s="573"/>
      <c r="G335" s="573"/>
      <c r="H335" s="573"/>
      <c r="I335" s="573"/>
      <c r="J335" s="572"/>
      <c r="K335" s="573"/>
      <c r="L335" s="572">
        <v>268.48</v>
      </c>
      <c r="M335" s="601"/>
      <c r="N335" s="570"/>
      <c r="AC335" s="537" t="s">
        <v>327</v>
      </c>
    </row>
    <row r="336" spans="1:32" s="536" customFormat="1" ht="33.75" x14ac:dyDescent="0.2">
      <c r="A336" s="575" t="s">
        <v>917</v>
      </c>
      <c r="B336" s="670" t="s">
        <v>2174</v>
      </c>
      <c r="C336" s="1823" t="s">
        <v>2175</v>
      </c>
      <c r="D336" s="1823"/>
      <c r="E336" s="1823"/>
      <c r="F336" s="573" t="s">
        <v>641</v>
      </c>
      <c r="G336" s="573"/>
      <c r="H336" s="573"/>
      <c r="I336" s="573" t="s">
        <v>1692</v>
      </c>
      <c r="J336" s="572">
        <v>1697.21</v>
      </c>
      <c r="K336" s="573"/>
      <c r="L336" s="572">
        <v>848.61</v>
      </c>
      <c r="M336" s="571"/>
      <c r="N336" s="570"/>
      <c r="W336" s="537" t="s">
        <v>2175</v>
      </c>
    </row>
    <row r="337" spans="1:31" s="536" customFormat="1" x14ac:dyDescent="0.2">
      <c r="A337" s="569"/>
      <c r="B337" s="671"/>
      <c r="C337" s="665" t="s">
        <v>717</v>
      </c>
      <c r="D337" s="666"/>
      <c r="E337" s="666"/>
      <c r="F337" s="563"/>
      <c r="G337" s="563"/>
      <c r="H337" s="563"/>
      <c r="I337" s="563"/>
      <c r="J337" s="566"/>
      <c r="K337" s="563"/>
      <c r="L337" s="566"/>
      <c r="M337" s="565"/>
      <c r="N337" s="564"/>
    </row>
    <row r="338" spans="1:31" s="536" customFormat="1" ht="1.5" customHeight="1" x14ac:dyDescent="0.2">
      <c r="A338" s="563"/>
      <c r="B338" s="671"/>
      <c r="C338" s="671"/>
      <c r="D338" s="671"/>
      <c r="E338" s="671"/>
      <c r="F338" s="563"/>
      <c r="G338" s="563"/>
      <c r="H338" s="563"/>
      <c r="I338" s="563"/>
      <c r="J338" s="546"/>
      <c r="K338" s="563"/>
      <c r="L338" s="546"/>
      <c r="M338" s="562"/>
      <c r="N338" s="546"/>
    </row>
    <row r="339" spans="1:31" s="536" customFormat="1" x14ac:dyDescent="0.2">
      <c r="A339" s="557"/>
      <c r="B339" s="556"/>
      <c r="C339" s="1823" t="s">
        <v>4026</v>
      </c>
      <c r="D339" s="1823"/>
      <c r="E339" s="1823"/>
      <c r="F339" s="1823"/>
      <c r="G339" s="1823"/>
      <c r="H339" s="1823"/>
      <c r="I339" s="1823"/>
      <c r="J339" s="1823"/>
      <c r="K339" s="1823"/>
      <c r="L339" s="555"/>
      <c r="M339" s="554"/>
      <c r="N339" s="553"/>
      <c r="AD339" s="537" t="s">
        <v>4026</v>
      </c>
    </row>
    <row r="340" spans="1:31" s="536" customFormat="1" x14ac:dyDescent="0.2">
      <c r="A340" s="548"/>
      <c r="B340" s="552"/>
      <c r="C340" s="1822" t="s">
        <v>403</v>
      </c>
      <c r="D340" s="1822"/>
      <c r="E340" s="1822"/>
      <c r="F340" s="1822"/>
      <c r="G340" s="1822"/>
      <c r="H340" s="1822"/>
      <c r="I340" s="1822"/>
      <c r="J340" s="1822"/>
      <c r="K340" s="1822"/>
      <c r="L340" s="551">
        <v>1010.26</v>
      </c>
      <c r="M340" s="550"/>
      <c r="N340" s="549"/>
      <c r="AE340" s="537" t="s">
        <v>403</v>
      </c>
    </row>
    <row r="341" spans="1:31" s="536" customFormat="1" x14ac:dyDescent="0.2">
      <c r="A341" s="548"/>
      <c r="B341" s="552"/>
      <c r="C341" s="1822" t="s">
        <v>204</v>
      </c>
      <c r="D341" s="1822"/>
      <c r="E341" s="1822"/>
      <c r="F341" s="1822"/>
      <c r="G341" s="1822"/>
      <c r="H341" s="1822"/>
      <c r="I341" s="1822"/>
      <c r="J341" s="1822"/>
      <c r="K341" s="1822"/>
      <c r="L341" s="551"/>
      <c r="M341" s="550"/>
      <c r="N341" s="549"/>
      <c r="AE341" s="537" t="s">
        <v>204</v>
      </c>
    </row>
    <row r="342" spans="1:31" s="536" customFormat="1" x14ac:dyDescent="0.2">
      <c r="A342" s="548"/>
      <c r="B342" s="552"/>
      <c r="C342" s="1822" t="s">
        <v>404</v>
      </c>
      <c r="D342" s="1822"/>
      <c r="E342" s="1822"/>
      <c r="F342" s="1822"/>
      <c r="G342" s="1822"/>
      <c r="H342" s="1822"/>
      <c r="I342" s="1822"/>
      <c r="J342" s="1822"/>
      <c r="K342" s="1822"/>
      <c r="L342" s="551">
        <v>62.91</v>
      </c>
      <c r="M342" s="550"/>
      <c r="N342" s="549"/>
      <c r="AE342" s="537" t="s">
        <v>404</v>
      </c>
    </row>
    <row r="343" spans="1:31" s="536" customFormat="1" x14ac:dyDescent="0.2">
      <c r="A343" s="548"/>
      <c r="B343" s="552"/>
      <c r="C343" s="1822" t="s">
        <v>405</v>
      </c>
      <c r="D343" s="1822"/>
      <c r="E343" s="1822"/>
      <c r="F343" s="1822"/>
      <c r="G343" s="1822"/>
      <c r="H343" s="1822"/>
      <c r="I343" s="1822"/>
      <c r="J343" s="1822"/>
      <c r="K343" s="1822"/>
      <c r="L343" s="551">
        <v>18.309999999999999</v>
      </c>
      <c r="M343" s="550"/>
      <c r="N343" s="549"/>
      <c r="AE343" s="537" t="s">
        <v>405</v>
      </c>
    </row>
    <row r="344" spans="1:31" s="536" customFormat="1" x14ac:dyDescent="0.2">
      <c r="A344" s="548"/>
      <c r="B344" s="552"/>
      <c r="C344" s="1822" t="s">
        <v>406</v>
      </c>
      <c r="D344" s="1822"/>
      <c r="E344" s="1822"/>
      <c r="F344" s="1822"/>
      <c r="G344" s="1822"/>
      <c r="H344" s="1822"/>
      <c r="I344" s="1822"/>
      <c r="J344" s="1822"/>
      <c r="K344" s="1822"/>
      <c r="L344" s="551">
        <v>2.63</v>
      </c>
      <c r="M344" s="550"/>
      <c r="N344" s="549"/>
      <c r="AE344" s="537" t="s">
        <v>406</v>
      </c>
    </row>
    <row r="345" spans="1:31" s="536" customFormat="1" x14ac:dyDescent="0.2">
      <c r="A345" s="548"/>
      <c r="B345" s="552"/>
      <c r="C345" s="1822" t="s">
        <v>480</v>
      </c>
      <c r="D345" s="1822"/>
      <c r="E345" s="1822"/>
      <c r="F345" s="1822"/>
      <c r="G345" s="1822"/>
      <c r="H345" s="1822"/>
      <c r="I345" s="1822"/>
      <c r="J345" s="1822"/>
      <c r="K345" s="1822"/>
      <c r="L345" s="551">
        <v>929.04</v>
      </c>
      <c r="M345" s="550"/>
      <c r="N345" s="549"/>
      <c r="AE345" s="537" t="s">
        <v>480</v>
      </c>
    </row>
    <row r="346" spans="1:31" s="536" customFormat="1" x14ac:dyDescent="0.2">
      <c r="A346" s="548"/>
      <c r="B346" s="552" t="s">
        <v>185</v>
      </c>
      <c r="C346" s="1822" t="s">
        <v>407</v>
      </c>
      <c r="D346" s="1822"/>
      <c r="E346" s="1822"/>
      <c r="F346" s="1822"/>
      <c r="G346" s="1822"/>
      <c r="H346" s="1822"/>
      <c r="I346" s="1822"/>
      <c r="J346" s="1822"/>
      <c r="K346" s="1822"/>
      <c r="L346" s="551">
        <v>1117.0899999999999</v>
      </c>
      <c r="M346" s="550"/>
      <c r="N346" s="549"/>
      <c r="AE346" s="537" t="s">
        <v>407</v>
      </c>
    </row>
    <row r="347" spans="1:31" s="536" customFormat="1" x14ac:dyDescent="0.2">
      <c r="A347" s="548"/>
      <c r="B347" s="552"/>
      <c r="C347" s="1822" t="s">
        <v>204</v>
      </c>
      <c r="D347" s="1822"/>
      <c r="E347" s="1822"/>
      <c r="F347" s="1822"/>
      <c r="G347" s="1822"/>
      <c r="H347" s="1822"/>
      <c r="I347" s="1822"/>
      <c r="J347" s="1822"/>
      <c r="K347" s="1822"/>
      <c r="L347" s="551"/>
      <c r="M347" s="550"/>
      <c r="N347" s="549"/>
      <c r="AE347" s="537" t="s">
        <v>204</v>
      </c>
    </row>
    <row r="348" spans="1:31" s="536" customFormat="1" x14ac:dyDescent="0.2">
      <c r="A348" s="548"/>
      <c r="B348" s="552"/>
      <c r="C348" s="1822" t="s">
        <v>546</v>
      </c>
      <c r="D348" s="1822"/>
      <c r="E348" s="1822"/>
      <c r="F348" s="1822"/>
      <c r="G348" s="1822"/>
      <c r="H348" s="1822"/>
      <c r="I348" s="1822"/>
      <c r="J348" s="1822"/>
      <c r="K348" s="1822"/>
      <c r="L348" s="551">
        <v>62.91</v>
      </c>
      <c r="M348" s="550"/>
      <c r="N348" s="549"/>
      <c r="AE348" s="537" t="s">
        <v>546</v>
      </c>
    </row>
    <row r="349" spans="1:31" s="536" customFormat="1" x14ac:dyDescent="0.2">
      <c r="A349" s="548"/>
      <c r="B349" s="552"/>
      <c r="C349" s="1822" t="s">
        <v>442</v>
      </c>
      <c r="D349" s="1822"/>
      <c r="E349" s="1822"/>
      <c r="F349" s="1822"/>
      <c r="G349" s="1822"/>
      <c r="H349" s="1822"/>
      <c r="I349" s="1822"/>
      <c r="J349" s="1822"/>
      <c r="K349" s="1822"/>
      <c r="L349" s="551">
        <v>18.309999999999999</v>
      </c>
      <c r="M349" s="550"/>
      <c r="N349" s="549"/>
      <c r="AE349" s="537" t="s">
        <v>442</v>
      </c>
    </row>
    <row r="350" spans="1:31" s="536" customFormat="1" x14ac:dyDescent="0.2">
      <c r="A350" s="548"/>
      <c r="B350" s="552"/>
      <c r="C350" s="1822" t="s">
        <v>547</v>
      </c>
      <c r="D350" s="1822"/>
      <c r="E350" s="1822"/>
      <c r="F350" s="1822"/>
      <c r="G350" s="1822"/>
      <c r="H350" s="1822"/>
      <c r="I350" s="1822"/>
      <c r="J350" s="1822"/>
      <c r="K350" s="1822"/>
      <c r="L350" s="551">
        <v>929.04</v>
      </c>
      <c r="M350" s="550"/>
      <c r="N350" s="549"/>
      <c r="AE350" s="537" t="s">
        <v>547</v>
      </c>
    </row>
    <row r="351" spans="1:31" s="536" customFormat="1" x14ac:dyDescent="0.2">
      <c r="A351" s="548"/>
      <c r="B351" s="552"/>
      <c r="C351" s="1822" t="s">
        <v>443</v>
      </c>
      <c r="D351" s="1822"/>
      <c r="E351" s="1822"/>
      <c r="F351" s="1822"/>
      <c r="G351" s="1822"/>
      <c r="H351" s="1822"/>
      <c r="I351" s="1822"/>
      <c r="J351" s="1822"/>
      <c r="K351" s="1822"/>
      <c r="L351" s="551">
        <v>70.78</v>
      </c>
      <c r="M351" s="550"/>
      <c r="N351" s="549"/>
      <c r="AE351" s="537" t="s">
        <v>443</v>
      </c>
    </row>
    <row r="352" spans="1:31" s="536" customFormat="1" x14ac:dyDescent="0.2">
      <c r="A352" s="548"/>
      <c r="B352" s="552"/>
      <c r="C352" s="1822" t="s">
        <v>444</v>
      </c>
      <c r="D352" s="1822"/>
      <c r="E352" s="1822"/>
      <c r="F352" s="1822"/>
      <c r="G352" s="1822"/>
      <c r="H352" s="1822"/>
      <c r="I352" s="1822"/>
      <c r="J352" s="1822"/>
      <c r="K352" s="1822"/>
      <c r="L352" s="551">
        <v>36.049999999999997</v>
      </c>
      <c r="M352" s="550"/>
      <c r="N352" s="549"/>
      <c r="AE352" s="537" t="s">
        <v>444</v>
      </c>
    </row>
    <row r="353" spans="1:32" s="536" customFormat="1" x14ac:dyDescent="0.2">
      <c r="A353" s="548"/>
      <c r="B353" s="552"/>
      <c r="C353" s="1822" t="s">
        <v>415</v>
      </c>
      <c r="D353" s="1822"/>
      <c r="E353" s="1822"/>
      <c r="F353" s="1822"/>
      <c r="G353" s="1822"/>
      <c r="H353" s="1822"/>
      <c r="I353" s="1822"/>
      <c r="J353" s="1822"/>
      <c r="K353" s="1822"/>
      <c r="L353" s="551">
        <v>65.540000000000006</v>
      </c>
      <c r="M353" s="550"/>
      <c r="N353" s="549"/>
      <c r="AE353" s="537" t="s">
        <v>415</v>
      </c>
    </row>
    <row r="354" spans="1:32" s="536" customFormat="1" x14ac:dyDescent="0.2">
      <c r="A354" s="548"/>
      <c r="B354" s="552"/>
      <c r="C354" s="1822" t="s">
        <v>416</v>
      </c>
      <c r="D354" s="1822"/>
      <c r="E354" s="1822"/>
      <c r="F354" s="1822"/>
      <c r="G354" s="1822"/>
      <c r="H354" s="1822"/>
      <c r="I354" s="1822"/>
      <c r="J354" s="1822"/>
      <c r="K354" s="1822"/>
      <c r="L354" s="551">
        <v>70.78</v>
      </c>
      <c r="M354" s="550"/>
      <c r="N354" s="549"/>
      <c r="AE354" s="537" t="s">
        <v>416</v>
      </c>
    </row>
    <row r="355" spans="1:32" s="536" customFormat="1" x14ac:dyDescent="0.2">
      <c r="A355" s="548"/>
      <c r="B355" s="552"/>
      <c r="C355" s="1822" t="s">
        <v>417</v>
      </c>
      <c r="D355" s="1822"/>
      <c r="E355" s="1822"/>
      <c r="F355" s="1822"/>
      <c r="G355" s="1822"/>
      <c r="H355" s="1822"/>
      <c r="I355" s="1822"/>
      <c r="J355" s="1822"/>
      <c r="K355" s="1822"/>
      <c r="L355" s="551">
        <v>36.049999999999997</v>
      </c>
      <c r="M355" s="550"/>
      <c r="N355" s="549"/>
      <c r="AE355" s="537" t="s">
        <v>417</v>
      </c>
    </row>
    <row r="356" spans="1:32" s="536" customFormat="1" x14ac:dyDescent="0.2">
      <c r="A356" s="548"/>
      <c r="B356" s="546"/>
      <c r="C356" s="1819" t="s">
        <v>4027</v>
      </c>
      <c r="D356" s="1819"/>
      <c r="E356" s="1819"/>
      <c r="F356" s="1819"/>
      <c r="G356" s="1819"/>
      <c r="H356" s="1819"/>
      <c r="I356" s="1819"/>
      <c r="J356" s="1819"/>
      <c r="K356" s="1819"/>
      <c r="L356" s="544">
        <v>1117.0899999999999</v>
      </c>
      <c r="M356" s="543"/>
      <c r="N356" s="681"/>
      <c r="AF356" s="537" t="s">
        <v>4027</v>
      </c>
    </row>
    <row r="357" spans="1:32" s="536" customFormat="1" ht="12" x14ac:dyDescent="0.2">
      <c r="A357" s="1824" t="s">
        <v>2178</v>
      </c>
      <c r="B357" s="1825"/>
      <c r="C357" s="1825"/>
      <c r="D357" s="1825"/>
      <c r="E357" s="1825"/>
      <c r="F357" s="1825"/>
      <c r="G357" s="1825"/>
      <c r="H357" s="1825"/>
      <c r="I357" s="1825"/>
      <c r="J357" s="1825"/>
      <c r="K357" s="1825"/>
      <c r="L357" s="1825"/>
      <c r="M357" s="1825"/>
      <c r="N357" s="1826"/>
      <c r="V357" s="537" t="s">
        <v>2178</v>
      </c>
    </row>
    <row r="358" spans="1:32" s="536" customFormat="1" ht="78.75" x14ac:dyDescent="0.2">
      <c r="A358" s="575" t="s">
        <v>761</v>
      </c>
      <c r="B358" s="670" t="s">
        <v>1497</v>
      </c>
      <c r="C358" s="1823" t="s">
        <v>1498</v>
      </c>
      <c r="D358" s="1823"/>
      <c r="E358" s="1823"/>
      <c r="F358" s="573" t="s">
        <v>201</v>
      </c>
      <c r="G358" s="573"/>
      <c r="H358" s="573"/>
      <c r="I358" s="573" t="s">
        <v>4028</v>
      </c>
      <c r="J358" s="572">
        <v>76.88</v>
      </c>
      <c r="K358" s="573"/>
      <c r="L358" s="572">
        <v>212.34</v>
      </c>
      <c r="M358" s="571"/>
      <c r="N358" s="570"/>
      <c r="W358" s="537" t="s">
        <v>1498</v>
      </c>
    </row>
    <row r="359" spans="1:32" s="536" customFormat="1" x14ac:dyDescent="0.2">
      <c r="A359" s="569"/>
      <c r="B359" s="671"/>
      <c r="C359" s="665" t="s">
        <v>717</v>
      </c>
      <c r="D359" s="666"/>
      <c r="E359" s="666"/>
      <c r="F359" s="563"/>
      <c r="G359" s="563"/>
      <c r="H359" s="563"/>
      <c r="I359" s="563"/>
      <c r="J359" s="566"/>
      <c r="K359" s="563"/>
      <c r="L359" s="566"/>
      <c r="M359" s="565"/>
      <c r="N359" s="564"/>
    </row>
    <row r="360" spans="1:32" s="536" customFormat="1" x14ac:dyDescent="0.2">
      <c r="A360" s="676"/>
      <c r="B360" s="664"/>
      <c r="C360" s="1822" t="s">
        <v>4029</v>
      </c>
      <c r="D360" s="1822"/>
      <c r="E360" s="1822"/>
      <c r="F360" s="1822"/>
      <c r="G360" s="1822"/>
      <c r="H360" s="1822"/>
      <c r="I360" s="1822"/>
      <c r="J360" s="1822"/>
      <c r="K360" s="1822"/>
      <c r="L360" s="1822"/>
      <c r="M360" s="1822"/>
      <c r="N360" s="1827"/>
      <c r="X360" s="537" t="s">
        <v>4029</v>
      </c>
    </row>
    <row r="361" spans="1:32" s="536" customFormat="1" ht="67.5" x14ac:dyDescent="0.2">
      <c r="A361" s="575" t="s">
        <v>762</v>
      </c>
      <c r="B361" s="670" t="s">
        <v>1338</v>
      </c>
      <c r="C361" s="1823" t="s">
        <v>4030</v>
      </c>
      <c r="D361" s="1823"/>
      <c r="E361" s="1823"/>
      <c r="F361" s="573" t="s">
        <v>201</v>
      </c>
      <c r="G361" s="573"/>
      <c r="H361" s="573"/>
      <c r="I361" s="573" t="s">
        <v>4031</v>
      </c>
      <c r="J361" s="572">
        <v>90.45</v>
      </c>
      <c r="K361" s="573"/>
      <c r="L361" s="572">
        <v>35.64</v>
      </c>
      <c r="M361" s="571"/>
      <c r="N361" s="570"/>
      <c r="W361" s="537" t="s">
        <v>4030</v>
      </c>
    </row>
    <row r="362" spans="1:32" s="536" customFormat="1" x14ac:dyDescent="0.2">
      <c r="A362" s="569"/>
      <c r="B362" s="671"/>
      <c r="C362" s="665" t="s">
        <v>717</v>
      </c>
      <c r="D362" s="666"/>
      <c r="E362" s="666"/>
      <c r="F362" s="563"/>
      <c r="G362" s="563"/>
      <c r="H362" s="563"/>
      <c r="I362" s="563"/>
      <c r="J362" s="566"/>
      <c r="K362" s="563"/>
      <c r="L362" s="566"/>
      <c r="M362" s="565"/>
      <c r="N362" s="564"/>
    </row>
    <row r="363" spans="1:32" s="536" customFormat="1" x14ac:dyDescent="0.2">
      <c r="A363" s="676"/>
      <c r="B363" s="664"/>
      <c r="C363" s="1822" t="s">
        <v>4032</v>
      </c>
      <c r="D363" s="1822"/>
      <c r="E363" s="1822"/>
      <c r="F363" s="1822"/>
      <c r="G363" s="1822"/>
      <c r="H363" s="1822"/>
      <c r="I363" s="1822"/>
      <c r="J363" s="1822"/>
      <c r="K363" s="1822"/>
      <c r="L363" s="1822"/>
      <c r="M363" s="1822"/>
      <c r="N363" s="1827"/>
      <c r="X363" s="537" t="s">
        <v>4032</v>
      </c>
    </row>
    <row r="364" spans="1:32" s="536" customFormat="1" ht="67.5" x14ac:dyDescent="0.2">
      <c r="A364" s="575" t="s">
        <v>763</v>
      </c>
      <c r="B364" s="670" t="s">
        <v>1503</v>
      </c>
      <c r="C364" s="1823" t="s">
        <v>1504</v>
      </c>
      <c r="D364" s="1823"/>
      <c r="E364" s="1823"/>
      <c r="F364" s="573" t="s">
        <v>201</v>
      </c>
      <c r="G364" s="573"/>
      <c r="H364" s="573"/>
      <c r="I364" s="573" t="s">
        <v>809</v>
      </c>
      <c r="J364" s="572">
        <v>127.09</v>
      </c>
      <c r="K364" s="573"/>
      <c r="L364" s="572">
        <v>1.27</v>
      </c>
      <c r="M364" s="571"/>
      <c r="N364" s="570"/>
      <c r="W364" s="537" t="s">
        <v>1504</v>
      </c>
    </row>
    <row r="365" spans="1:32" s="536" customFormat="1" x14ac:dyDescent="0.2">
      <c r="A365" s="569"/>
      <c r="B365" s="671"/>
      <c r="C365" s="665" t="s">
        <v>717</v>
      </c>
      <c r="D365" s="666"/>
      <c r="E365" s="666"/>
      <c r="F365" s="563"/>
      <c r="G365" s="563"/>
      <c r="H365" s="563"/>
      <c r="I365" s="563"/>
      <c r="J365" s="566"/>
      <c r="K365" s="563"/>
      <c r="L365" s="566"/>
      <c r="M365" s="565"/>
      <c r="N365" s="564"/>
    </row>
    <row r="366" spans="1:32" s="536" customFormat="1" ht="1.5" customHeight="1" x14ac:dyDescent="0.2">
      <c r="A366" s="563"/>
      <c r="B366" s="671"/>
      <c r="C366" s="671"/>
      <c r="D366" s="671"/>
      <c r="E366" s="671"/>
      <c r="F366" s="563"/>
      <c r="G366" s="563"/>
      <c r="H366" s="563"/>
      <c r="I366" s="563"/>
      <c r="J366" s="546"/>
      <c r="K366" s="563"/>
      <c r="L366" s="546"/>
      <c r="M366" s="562"/>
      <c r="N366" s="546"/>
    </row>
    <row r="367" spans="1:32" s="536" customFormat="1" ht="22.5" x14ac:dyDescent="0.2">
      <c r="A367" s="557"/>
      <c r="B367" s="556"/>
      <c r="C367" s="1823" t="s">
        <v>2185</v>
      </c>
      <c r="D367" s="1823"/>
      <c r="E367" s="1823"/>
      <c r="F367" s="1823"/>
      <c r="G367" s="1823"/>
      <c r="H367" s="1823"/>
      <c r="I367" s="1823"/>
      <c r="J367" s="1823"/>
      <c r="K367" s="1823"/>
      <c r="L367" s="555"/>
      <c r="M367" s="554"/>
      <c r="N367" s="553"/>
      <c r="AD367" s="537" t="s">
        <v>2185</v>
      </c>
    </row>
    <row r="368" spans="1:32" s="536" customFormat="1" x14ac:dyDescent="0.2">
      <c r="A368" s="548"/>
      <c r="B368" s="552"/>
      <c r="C368" s="1822" t="s">
        <v>403</v>
      </c>
      <c r="D368" s="1822"/>
      <c r="E368" s="1822"/>
      <c r="F368" s="1822"/>
      <c r="G368" s="1822"/>
      <c r="H368" s="1822"/>
      <c r="I368" s="1822"/>
      <c r="J368" s="1822"/>
      <c r="K368" s="1822"/>
      <c r="L368" s="551">
        <v>249.25</v>
      </c>
      <c r="M368" s="550"/>
      <c r="N368" s="549"/>
      <c r="AE368" s="537" t="s">
        <v>403</v>
      </c>
    </row>
    <row r="369" spans="1:36" s="536" customFormat="1" x14ac:dyDescent="0.2">
      <c r="A369" s="548"/>
      <c r="B369" s="552"/>
      <c r="C369" s="1822" t="s">
        <v>204</v>
      </c>
      <c r="D369" s="1822"/>
      <c r="E369" s="1822"/>
      <c r="F369" s="1822"/>
      <c r="G369" s="1822"/>
      <c r="H369" s="1822"/>
      <c r="I369" s="1822"/>
      <c r="J369" s="1822"/>
      <c r="K369" s="1822"/>
      <c r="L369" s="551"/>
      <c r="M369" s="550"/>
      <c r="N369" s="549"/>
      <c r="AE369" s="537" t="s">
        <v>204</v>
      </c>
    </row>
    <row r="370" spans="1:36" s="536" customFormat="1" x14ac:dyDescent="0.2">
      <c r="A370" s="548"/>
      <c r="B370" s="552"/>
      <c r="C370" s="1822" t="s">
        <v>480</v>
      </c>
      <c r="D370" s="1822"/>
      <c r="E370" s="1822"/>
      <c r="F370" s="1822"/>
      <c r="G370" s="1822"/>
      <c r="H370" s="1822"/>
      <c r="I370" s="1822"/>
      <c r="J370" s="1822"/>
      <c r="K370" s="1822"/>
      <c r="L370" s="551">
        <v>249.25</v>
      </c>
      <c r="M370" s="550"/>
      <c r="N370" s="549"/>
      <c r="AE370" s="537" t="s">
        <v>480</v>
      </c>
    </row>
    <row r="371" spans="1:36" s="536" customFormat="1" x14ac:dyDescent="0.2">
      <c r="A371" s="548"/>
      <c r="B371" s="552" t="s">
        <v>185</v>
      </c>
      <c r="C371" s="1822" t="s">
        <v>407</v>
      </c>
      <c r="D371" s="1822"/>
      <c r="E371" s="1822"/>
      <c r="F371" s="1822"/>
      <c r="G371" s="1822"/>
      <c r="H371" s="1822"/>
      <c r="I371" s="1822"/>
      <c r="J371" s="1822"/>
      <c r="K371" s="1822"/>
      <c r="L371" s="551">
        <v>249.25</v>
      </c>
      <c r="M371" s="550"/>
      <c r="N371" s="549"/>
      <c r="AE371" s="537" t="s">
        <v>407</v>
      </c>
    </row>
    <row r="372" spans="1:36" s="536" customFormat="1" x14ac:dyDescent="0.2">
      <c r="A372" s="548"/>
      <c r="B372" s="552"/>
      <c r="C372" s="1822" t="s">
        <v>204</v>
      </c>
      <c r="D372" s="1822"/>
      <c r="E372" s="1822"/>
      <c r="F372" s="1822"/>
      <c r="G372" s="1822"/>
      <c r="H372" s="1822"/>
      <c r="I372" s="1822"/>
      <c r="J372" s="1822"/>
      <c r="K372" s="1822"/>
      <c r="L372" s="551"/>
      <c r="M372" s="550"/>
      <c r="N372" s="549"/>
      <c r="AE372" s="537" t="s">
        <v>204</v>
      </c>
    </row>
    <row r="373" spans="1:36" s="536" customFormat="1" x14ac:dyDescent="0.2">
      <c r="A373" s="548"/>
      <c r="B373" s="552"/>
      <c r="C373" s="1822" t="s">
        <v>547</v>
      </c>
      <c r="D373" s="1822"/>
      <c r="E373" s="1822"/>
      <c r="F373" s="1822"/>
      <c r="G373" s="1822"/>
      <c r="H373" s="1822"/>
      <c r="I373" s="1822"/>
      <c r="J373" s="1822"/>
      <c r="K373" s="1822"/>
      <c r="L373" s="551">
        <v>249.25</v>
      </c>
      <c r="M373" s="550"/>
      <c r="N373" s="549"/>
      <c r="AE373" s="537" t="s">
        <v>547</v>
      </c>
    </row>
    <row r="374" spans="1:36" s="536" customFormat="1" ht="22.5" x14ac:dyDescent="0.2">
      <c r="A374" s="548"/>
      <c r="B374" s="546"/>
      <c r="C374" s="1819" t="s">
        <v>2186</v>
      </c>
      <c r="D374" s="1819"/>
      <c r="E374" s="1819"/>
      <c r="F374" s="1819"/>
      <c r="G374" s="1819"/>
      <c r="H374" s="1819"/>
      <c r="I374" s="1819"/>
      <c r="J374" s="1819"/>
      <c r="K374" s="1819"/>
      <c r="L374" s="544">
        <v>249.25</v>
      </c>
      <c r="M374" s="543"/>
      <c r="N374" s="681"/>
      <c r="AF374" s="537" t="s">
        <v>2186</v>
      </c>
    </row>
    <row r="375" spans="1:36" s="536" customFormat="1" ht="2.25" customHeight="1" x14ac:dyDescent="0.2">
      <c r="B375" s="561"/>
      <c r="C375" s="561"/>
      <c r="D375" s="561"/>
      <c r="E375" s="561"/>
      <c r="F375" s="561"/>
      <c r="G375" s="561"/>
      <c r="H375" s="561"/>
      <c r="I375" s="561"/>
      <c r="J375" s="561"/>
      <c r="K375" s="561"/>
      <c r="L375" s="560"/>
      <c r="M375" s="559"/>
      <c r="N375" s="558"/>
    </row>
    <row r="376" spans="1:36" s="536" customFormat="1" x14ac:dyDescent="0.2">
      <c r="A376" s="557"/>
      <c r="B376" s="556"/>
      <c r="C376" s="1823" t="s">
        <v>205</v>
      </c>
      <c r="D376" s="1823"/>
      <c r="E376" s="1823"/>
      <c r="F376" s="1823"/>
      <c r="G376" s="1823"/>
      <c r="H376" s="1823"/>
      <c r="I376" s="1823"/>
      <c r="J376" s="1823"/>
      <c r="K376" s="1823"/>
      <c r="L376" s="555"/>
      <c r="M376" s="554"/>
      <c r="N376" s="553"/>
      <c r="AI376" s="537" t="s">
        <v>205</v>
      </c>
    </row>
    <row r="377" spans="1:36" s="536" customFormat="1" x14ac:dyDescent="0.2">
      <c r="A377" s="548"/>
      <c r="B377" s="552"/>
      <c r="C377" s="1822" t="s">
        <v>403</v>
      </c>
      <c r="D377" s="1822"/>
      <c r="E377" s="1822"/>
      <c r="F377" s="1822"/>
      <c r="G377" s="1822"/>
      <c r="H377" s="1822"/>
      <c r="I377" s="1822"/>
      <c r="J377" s="1822"/>
      <c r="K377" s="1822"/>
      <c r="L377" s="551">
        <v>33109.58</v>
      </c>
      <c r="M377" s="550"/>
      <c r="N377" s="549"/>
      <c r="AJ377" s="537" t="s">
        <v>403</v>
      </c>
    </row>
    <row r="378" spans="1:36" s="536" customFormat="1" x14ac:dyDescent="0.2">
      <c r="A378" s="548"/>
      <c r="B378" s="552"/>
      <c r="C378" s="1822" t="s">
        <v>204</v>
      </c>
      <c r="D378" s="1822"/>
      <c r="E378" s="1822"/>
      <c r="F378" s="1822"/>
      <c r="G378" s="1822"/>
      <c r="H378" s="1822"/>
      <c r="I378" s="1822"/>
      <c r="J378" s="1822"/>
      <c r="K378" s="1822"/>
      <c r="L378" s="551"/>
      <c r="M378" s="550"/>
      <c r="N378" s="549"/>
      <c r="AJ378" s="537" t="s">
        <v>204</v>
      </c>
    </row>
    <row r="379" spans="1:36" s="536" customFormat="1" x14ac:dyDescent="0.2">
      <c r="A379" s="548"/>
      <c r="B379" s="552"/>
      <c r="C379" s="1822" t="s">
        <v>404</v>
      </c>
      <c r="D379" s="1822"/>
      <c r="E379" s="1822"/>
      <c r="F379" s="1822"/>
      <c r="G379" s="1822"/>
      <c r="H379" s="1822"/>
      <c r="I379" s="1822"/>
      <c r="J379" s="1822"/>
      <c r="K379" s="1822"/>
      <c r="L379" s="551">
        <v>760.76</v>
      </c>
      <c r="M379" s="550"/>
      <c r="N379" s="549"/>
      <c r="AJ379" s="537" t="s">
        <v>404</v>
      </c>
    </row>
    <row r="380" spans="1:36" s="536" customFormat="1" x14ac:dyDescent="0.2">
      <c r="A380" s="548"/>
      <c r="B380" s="552"/>
      <c r="C380" s="1822" t="s">
        <v>405</v>
      </c>
      <c r="D380" s="1822"/>
      <c r="E380" s="1822"/>
      <c r="F380" s="1822"/>
      <c r="G380" s="1822"/>
      <c r="H380" s="1822"/>
      <c r="I380" s="1822"/>
      <c r="J380" s="1822"/>
      <c r="K380" s="1822"/>
      <c r="L380" s="551">
        <v>1535.41</v>
      </c>
      <c r="M380" s="550"/>
      <c r="N380" s="549"/>
      <c r="AJ380" s="537" t="s">
        <v>405</v>
      </c>
    </row>
    <row r="381" spans="1:36" s="536" customFormat="1" x14ac:dyDescent="0.2">
      <c r="A381" s="548"/>
      <c r="B381" s="552"/>
      <c r="C381" s="1822" t="s">
        <v>406</v>
      </c>
      <c r="D381" s="1822"/>
      <c r="E381" s="1822"/>
      <c r="F381" s="1822"/>
      <c r="G381" s="1822"/>
      <c r="H381" s="1822"/>
      <c r="I381" s="1822"/>
      <c r="J381" s="1822"/>
      <c r="K381" s="1822"/>
      <c r="L381" s="551">
        <v>175.34</v>
      </c>
      <c r="M381" s="550"/>
      <c r="N381" s="549"/>
      <c r="AJ381" s="537" t="s">
        <v>406</v>
      </c>
    </row>
    <row r="382" spans="1:36" s="536" customFormat="1" x14ac:dyDescent="0.2">
      <c r="A382" s="548"/>
      <c r="B382" s="552"/>
      <c r="C382" s="1822" t="s">
        <v>480</v>
      </c>
      <c r="D382" s="1822"/>
      <c r="E382" s="1822"/>
      <c r="F382" s="1822"/>
      <c r="G382" s="1822"/>
      <c r="H382" s="1822"/>
      <c r="I382" s="1822"/>
      <c r="J382" s="1822"/>
      <c r="K382" s="1822"/>
      <c r="L382" s="551">
        <v>30813.41</v>
      </c>
      <c r="M382" s="550"/>
      <c r="N382" s="549"/>
      <c r="AJ382" s="537" t="s">
        <v>480</v>
      </c>
    </row>
    <row r="383" spans="1:36" s="536" customFormat="1" x14ac:dyDescent="0.2">
      <c r="A383" s="548"/>
      <c r="B383" s="552"/>
      <c r="C383" s="1822" t="s">
        <v>407</v>
      </c>
      <c r="D383" s="1822"/>
      <c r="E383" s="1822"/>
      <c r="F383" s="1822"/>
      <c r="G383" s="1822"/>
      <c r="H383" s="1822"/>
      <c r="I383" s="1822"/>
      <c r="J383" s="1822"/>
      <c r="K383" s="1822"/>
      <c r="L383" s="551">
        <v>34601.879999999997</v>
      </c>
      <c r="M383" s="550"/>
      <c r="N383" s="549">
        <v>287888</v>
      </c>
      <c r="AJ383" s="537" t="s">
        <v>407</v>
      </c>
    </row>
    <row r="384" spans="1:36" s="536" customFormat="1" x14ac:dyDescent="0.2">
      <c r="A384" s="548"/>
      <c r="B384" s="552" t="s">
        <v>185</v>
      </c>
      <c r="C384" s="1822" t="s">
        <v>408</v>
      </c>
      <c r="D384" s="1822"/>
      <c r="E384" s="1822"/>
      <c r="F384" s="1822"/>
      <c r="G384" s="1822"/>
      <c r="H384" s="1822"/>
      <c r="I384" s="1822"/>
      <c r="J384" s="1822"/>
      <c r="K384" s="1822"/>
      <c r="L384" s="551">
        <v>34495.660000000003</v>
      </c>
      <c r="M384" s="550">
        <v>8.32</v>
      </c>
      <c r="N384" s="549">
        <v>287004</v>
      </c>
      <c r="AJ384" s="537" t="s">
        <v>408</v>
      </c>
    </row>
    <row r="385" spans="1:38" x14ac:dyDescent="0.2">
      <c r="A385" s="548"/>
      <c r="B385" s="552"/>
      <c r="C385" s="1822" t="s">
        <v>409</v>
      </c>
      <c r="D385" s="1822"/>
      <c r="E385" s="1822"/>
      <c r="F385" s="1822"/>
      <c r="G385" s="1822"/>
      <c r="H385" s="1822"/>
      <c r="I385" s="1822"/>
      <c r="J385" s="1822"/>
      <c r="K385" s="1822"/>
      <c r="L385" s="551"/>
      <c r="M385" s="550"/>
      <c r="N385" s="549"/>
      <c r="P385" s="536"/>
      <c r="Q385" s="536"/>
      <c r="R385" s="536"/>
      <c r="S385" s="536"/>
      <c r="T385" s="536"/>
      <c r="U385" s="536"/>
      <c r="V385" s="536"/>
      <c r="W385" s="536"/>
      <c r="X385" s="536"/>
      <c r="Y385" s="536"/>
      <c r="Z385" s="536"/>
      <c r="AA385" s="536"/>
      <c r="AB385" s="536"/>
      <c r="AC385" s="536"/>
      <c r="AD385" s="536"/>
      <c r="AE385" s="536"/>
      <c r="AF385" s="536"/>
      <c r="AG385" s="536"/>
      <c r="AH385" s="536"/>
      <c r="AI385" s="536"/>
      <c r="AJ385" s="537" t="s">
        <v>409</v>
      </c>
      <c r="AK385" s="536"/>
      <c r="AL385" s="536"/>
    </row>
    <row r="386" spans="1:38" x14ac:dyDescent="0.2">
      <c r="A386" s="548"/>
      <c r="B386" s="552"/>
      <c r="C386" s="1822" t="s">
        <v>410</v>
      </c>
      <c r="D386" s="1822"/>
      <c r="E386" s="1822"/>
      <c r="F386" s="1822"/>
      <c r="G386" s="1822"/>
      <c r="H386" s="1822"/>
      <c r="I386" s="1822"/>
      <c r="J386" s="1822"/>
      <c r="K386" s="1822"/>
      <c r="L386" s="551">
        <v>760.76</v>
      </c>
      <c r="M386" s="550"/>
      <c r="N386" s="549"/>
      <c r="P386" s="536"/>
      <c r="Q386" s="536"/>
      <c r="R386" s="536"/>
      <c r="S386" s="536"/>
      <c r="T386" s="536"/>
      <c r="U386" s="536"/>
      <c r="V386" s="536"/>
      <c r="W386" s="536"/>
      <c r="X386" s="536"/>
      <c r="Y386" s="536"/>
      <c r="Z386" s="536"/>
      <c r="AA386" s="536"/>
      <c r="AB386" s="536"/>
      <c r="AC386" s="536"/>
      <c r="AD386" s="536"/>
      <c r="AE386" s="536"/>
      <c r="AF386" s="536"/>
      <c r="AG386" s="536"/>
      <c r="AH386" s="536"/>
      <c r="AI386" s="536"/>
      <c r="AJ386" s="537" t="s">
        <v>410</v>
      </c>
      <c r="AK386" s="536"/>
      <c r="AL386" s="536"/>
    </row>
    <row r="387" spans="1:38" x14ac:dyDescent="0.2">
      <c r="A387" s="548"/>
      <c r="B387" s="552"/>
      <c r="C387" s="1822" t="s">
        <v>411</v>
      </c>
      <c r="D387" s="1822"/>
      <c r="E387" s="1822"/>
      <c r="F387" s="1822"/>
      <c r="G387" s="1822"/>
      <c r="H387" s="1822"/>
      <c r="I387" s="1822"/>
      <c r="J387" s="1822"/>
      <c r="K387" s="1822"/>
      <c r="L387" s="551">
        <v>1429.19</v>
      </c>
      <c r="M387" s="550"/>
      <c r="N387" s="549"/>
      <c r="P387" s="536"/>
      <c r="Q387" s="536"/>
      <c r="R387" s="536"/>
      <c r="S387" s="536"/>
      <c r="T387" s="536"/>
      <c r="U387" s="536"/>
      <c r="V387" s="536"/>
      <c r="W387" s="536"/>
      <c r="X387" s="536"/>
      <c r="Y387" s="536"/>
      <c r="Z387" s="536"/>
      <c r="AA387" s="536"/>
      <c r="AB387" s="536"/>
      <c r="AC387" s="536"/>
      <c r="AD387" s="536"/>
      <c r="AE387" s="536"/>
      <c r="AF387" s="536"/>
      <c r="AG387" s="536"/>
      <c r="AH387" s="536"/>
      <c r="AI387" s="536"/>
      <c r="AJ387" s="537" t="s">
        <v>411</v>
      </c>
      <c r="AK387" s="536"/>
      <c r="AL387" s="536"/>
    </row>
    <row r="388" spans="1:38" x14ac:dyDescent="0.2">
      <c r="A388" s="548"/>
      <c r="B388" s="552"/>
      <c r="C388" s="1822" t="s">
        <v>481</v>
      </c>
      <c r="D388" s="1822"/>
      <c r="E388" s="1822"/>
      <c r="F388" s="1822"/>
      <c r="G388" s="1822"/>
      <c r="H388" s="1822"/>
      <c r="I388" s="1822"/>
      <c r="J388" s="1822"/>
      <c r="K388" s="1822"/>
      <c r="L388" s="551">
        <v>30813.41</v>
      </c>
      <c r="M388" s="550"/>
      <c r="N388" s="549"/>
      <c r="P388" s="536"/>
      <c r="Q388" s="536"/>
      <c r="R388" s="536"/>
      <c r="S388" s="536"/>
      <c r="T388" s="536"/>
      <c r="U388" s="536"/>
      <c r="V388" s="536"/>
      <c r="W388" s="536"/>
      <c r="X388" s="536"/>
      <c r="Y388" s="536"/>
      <c r="Z388" s="536"/>
      <c r="AA388" s="536"/>
      <c r="AB388" s="536"/>
      <c r="AC388" s="536"/>
      <c r="AD388" s="536"/>
      <c r="AE388" s="536"/>
      <c r="AF388" s="536"/>
      <c r="AG388" s="536"/>
      <c r="AH388" s="536"/>
      <c r="AI388" s="536"/>
      <c r="AJ388" s="537" t="s">
        <v>481</v>
      </c>
      <c r="AK388" s="536"/>
      <c r="AL388" s="536"/>
    </row>
    <row r="389" spans="1:38" x14ac:dyDescent="0.2">
      <c r="A389" s="548"/>
      <c r="B389" s="552"/>
      <c r="C389" s="1822" t="s">
        <v>412</v>
      </c>
      <c r="D389" s="1822"/>
      <c r="E389" s="1822"/>
      <c r="F389" s="1822"/>
      <c r="G389" s="1822"/>
      <c r="H389" s="1822"/>
      <c r="I389" s="1822"/>
      <c r="J389" s="1822"/>
      <c r="K389" s="1822"/>
      <c r="L389" s="551">
        <v>931.42</v>
      </c>
      <c r="M389" s="550"/>
      <c r="N389" s="549"/>
      <c r="P389" s="536"/>
      <c r="Q389" s="536"/>
      <c r="R389" s="536"/>
      <c r="S389" s="536"/>
      <c r="T389" s="536"/>
      <c r="U389" s="536"/>
      <c r="V389" s="536"/>
      <c r="W389" s="536"/>
      <c r="X389" s="536"/>
      <c r="Y389" s="536"/>
      <c r="Z389" s="536"/>
      <c r="AA389" s="536"/>
      <c r="AB389" s="536"/>
      <c r="AC389" s="536"/>
      <c r="AD389" s="536"/>
      <c r="AE389" s="536"/>
      <c r="AF389" s="536"/>
      <c r="AG389" s="536"/>
      <c r="AH389" s="536"/>
      <c r="AI389" s="536"/>
      <c r="AJ389" s="537" t="s">
        <v>412</v>
      </c>
      <c r="AK389" s="536"/>
      <c r="AL389" s="536"/>
    </row>
    <row r="390" spans="1:38" x14ac:dyDescent="0.2">
      <c r="A390" s="548"/>
      <c r="B390" s="552"/>
      <c r="C390" s="1822" t="s">
        <v>413</v>
      </c>
      <c r="D390" s="1822"/>
      <c r="E390" s="1822"/>
      <c r="F390" s="1822"/>
      <c r="G390" s="1822"/>
      <c r="H390" s="1822"/>
      <c r="I390" s="1822"/>
      <c r="J390" s="1822"/>
      <c r="K390" s="1822"/>
      <c r="L390" s="551">
        <v>560.88</v>
      </c>
      <c r="M390" s="550"/>
      <c r="N390" s="549"/>
      <c r="P390" s="536"/>
      <c r="Q390" s="536"/>
      <c r="R390" s="536"/>
      <c r="S390" s="536"/>
      <c r="T390" s="536"/>
      <c r="U390" s="536"/>
      <c r="V390" s="536"/>
      <c r="W390" s="536"/>
      <c r="X390" s="536"/>
      <c r="Y390" s="536"/>
      <c r="Z390" s="536"/>
      <c r="AA390" s="536"/>
      <c r="AB390" s="536"/>
      <c r="AC390" s="536"/>
      <c r="AD390" s="536"/>
      <c r="AE390" s="536"/>
      <c r="AF390" s="536"/>
      <c r="AG390" s="536"/>
      <c r="AH390" s="536"/>
      <c r="AI390" s="536"/>
      <c r="AJ390" s="537" t="s">
        <v>413</v>
      </c>
      <c r="AK390" s="536"/>
      <c r="AL390" s="536"/>
    </row>
    <row r="391" spans="1:38" x14ac:dyDescent="0.2">
      <c r="A391" s="548"/>
      <c r="B391" s="552" t="s">
        <v>185</v>
      </c>
      <c r="C391" s="1822" t="s">
        <v>414</v>
      </c>
      <c r="D391" s="1822"/>
      <c r="E391" s="1822"/>
      <c r="F391" s="1822"/>
      <c r="G391" s="1822"/>
      <c r="H391" s="1822"/>
      <c r="I391" s="1822"/>
      <c r="J391" s="1822"/>
      <c r="K391" s="1822"/>
      <c r="L391" s="551">
        <v>106.22</v>
      </c>
      <c r="M391" s="550">
        <v>8.32</v>
      </c>
      <c r="N391" s="549">
        <v>884</v>
      </c>
      <c r="P391" s="536"/>
      <c r="Q391" s="536"/>
      <c r="R391" s="536"/>
      <c r="S391" s="536"/>
      <c r="T391" s="536"/>
      <c r="U391" s="536"/>
      <c r="V391" s="536"/>
      <c r="W391" s="536"/>
      <c r="X391" s="536"/>
      <c r="Y391" s="536"/>
      <c r="Z391" s="536"/>
      <c r="AA391" s="536"/>
      <c r="AB391" s="536"/>
      <c r="AC391" s="536"/>
      <c r="AD391" s="536"/>
      <c r="AE391" s="536"/>
      <c r="AF391" s="536"/>
      <c r="AG391" s="536"/>
      <c r="AH391" s="536"/>
      <c r="AI391" s="536"/>
      <c r="AJ391" s="537" t="s">
        <v>414</v>
      </c>
      <c r="AK391" s="536"/>
      <c r="AL391" s="536"/>
    </row>
    <row r="392" spans="1:38" x14ac:dyDescent="0.2">
      <c r="A392" s="548"/>
      <c r="B392" s="552"/>
      <c r="C392" s="1822" t="s">
        <v>415</v>
      </c>
      <c r="D392" s="1822"/>
      <c r="E392" s="1822"/>
      <c r="F392" s="1822"/>
      <c r="G392" s="1822"/>
      <c r="H392" s="1822"/>
      <c r="I392" s="1822"/>
      <c r="J392" s="1822"/>
      <c r="K392" s="1822"/>
      <c r="L392" s="551">
        <v>936.1</v>
      </c>
      <c r="M392" s="550"/>
      <c r="N392" s="549"/>
      <c r="P392" s="536"/>
      <c r="Q392" s="536"/>
      <c r="R392" s="536"/>
      <c r="S392" s="536"/>
      <c r="T392" s="536"/>
      <c r="U392" s="536"/>
      <c r="V392" s="536"/>
      <c r="W392" s="536"/>
      <c r="X392" s="536"/>
      <c r="Y392" s="536"/>
      <c r="Z392" s="536"/>
      <c r="AA392" s="536"/>
      <c r="AB392" s="536"/>
      <c r="AC392" s="536"/>
      <c r="AD392" s="536"/>
      <c r="AE392" s="536"/>
      <c r="AF392" s="536"/>
      <c r="AG392" s="536"/>
      <c r="AH392" s="536"/>
      <c r="AI392" s="536"/>
      <c r="AJ392" s="537" t="s">
        <v>415</v>
      </c>
      <c r="AK392" s="536"/>
      <c r="AL392" s="536"/>
    </row>
    <row r="393" spans="1:38" x14ac:dyDescent="0.2">
      <c r="A393" s="548"/>
      <c r="B393" s="552"/>
      <c r="C393" s="1822" t="s">
        <v>416</v>
      </c>
      <c r="D393" s="1822"/>
      <c r="E393" s="1822"/>
      <c r="F393" s="1822"/>
      <c r="G393" s="1822"/>
      <c r="H393" s="1822"/>
      <c r="I393" s="1822"/>
      <c r="J393" s="1822"/>
      <c r="K393" s="1822"/>
      <c r="L393" s="551">
        <v>931.42</v>
      </c>
      <c r="M393" s="550"/>
      <c r="N393" s="549"/>
      <c r="P393" s="536"/>
      <c r="Q393" s="536"/>
      <c r="R393" s="536"/>
      <c r="S393" s="536"/>
      <c r="T393" s="536"/>
      <c r="U393" s="536"/>
      <c r="V393" s="536"/>
      <c r="W393" s="536"/>
      <c r="X393" s="536"/>
      <c r="Y393" s="536"/>
      <c r="Z393" s="536"/>
      <c r="AA393" s="536"/>
      <c r="AB393" s="536"/>
      <c r="AC393" s="536"/>
      <c r="AD393" s="536"/>
      <c r="AE393" s="536"/>
      <c r="AF393" s="536"/>
      <c r="AG393" s="536"/>
      <c r="AH393" s="536"/>
      <c r="AI393" s="536"/>
      <c r="AJ393" s="537" t="s">
        <v>416</v>
      </c>
      <c r="AK393" s="536"/>
      <c r="AL393" s="536"/>
    </row>
    <row r="394" spans="1:38" x14ac:dyDescent="0.2">
      <c r="A394" s="548"/>
      <c r="B394" s="552"/>
      <c r="C394" s="1822" t="s">
        <v>417</v>
      </c>
      <c r="D394" s="1822"/>
      <c r="E394" s="1822"/>
      <c r="F394" s="1822"/>
      <c r="G394" s="1822"/>
      <c r="H394" s="1822"/>
      <c r="I394" s="1822"/>
      <c r="J394" s="1822"/>
      <c r="K394" s="1822"/>
      <c r="L394" s="551">
        <v>560.88</v>
      </c>
      <c r="M394" s="550"/>
      <c r="N394" s="549"/>
      <c r="P394" s="536"/>
      <c r="Q394" s="536"/>
      <c r="R394" s="536"/>
      <c r="S394" s="536"/>
      <c r="T394" s="536"/>
      <c r="U394" s="536"/>
      <c r="V394" s="536"/>
      <c r="W394" s="536"/>
      <c r="X394" s="536"/>
      <c r="Y394" s="536"/>
      <c r="Z394" s="536"/>
      <c r="AA394" s="536"/>
      <c r="AB394" s="536"/>
      <c r="AC394" s="536"/>
      <c r="AD394" s="536"/>
      <c r="AE394" s="536"/>
      <c r="AF394" s="536"/>
      <c r="AG394" s="536"/>
      <c r="AH394" s="536"/>
      <c r="AI394" s="536"/>
      <c r="AJ394" s="537" t="s">
        <v>417</v>
      </c>
      <c r="AK394" s="536"/>
      <c r="AL394" s="536"/>
    </row>
    <row r="395" spans="1:38" x14ac:dyDescent="0.2">
      <c r="A395" s="548"/>
      <c r="B395" s="546"/>
      <c r="C395" s="1819" t="s">
        <v>206</v>
      </c>
      <c r="D395" s="1819"/>
      <c r="E395" s="1819"/>
      <c r="F395" s="1819"/>
      <c r="G395" s="1819"/>
      <c r="H395" s="1819"/>
      <c r="I395" s="1819"/>
      <c r="J395" s="1819"/>
      <c r="K395" s="1819"/>
      <c r="L395" s="544">
        <v>34601.879999999997</v>
      </c>
      <c r="M395" s="543"/>
      <c r="N395" s="547">
        <v>287888</v>
      </c>
      <c r="P395" s="536"/>
      <c r="Q395" s="536"/>
      <c r="R395" s="536"/>
      <c r="S395" s="536"/>
      <c r="T395" s="536"/>
      <c r="U395" s="536"/>
      <c r="V395" s="536"/>
      <c r="W395" s="536"/>
      <c r="X395" s="536"/>
      <c r="Y395" s="536"/>
      <c r="Z395" s="536"/>
      <c r="AA395" s="536"/>
      <c r="AB395" s="536"/>
      <c r="AC395" s="536"/>
      <c r="AD395" s="536"/>
      <c r="AE395" s="536"/>
      <c r="AF395" s="536"/>
      <c r="AG395" s="536"/>
      <c r="AH395" s="536"/>
      <c r="AI395" s="536"/>
      <c r="AJ395" s="536"/>
      <c r="AK395" s="537" t="s">
        <v>206</v>
      </c>
      <c r="AL395" s="536"/>
    </row>
    <row r="396" spans="1:38" ht="1.5" customHeight="1" x14ac:dyDescent="0.2">
      <c r="B396" s="546"/>
      <c r="C396" s="671"/>
      <c r="D396" s="671"/>
      <c r="E396" s="671"/>
      <c r="F396" s="671"/>
      <c r="G396" s="671"/>
      <c r="H396" s="671"/>
      <c r="I396" s="671"/>
      <c r="J396" s="671"/>
      <c r="K396" s="671"/>
      <c r="L396" s="544"/>
      <c r="M396" s="543"/>
      <c r="N396" s="542"/>
      <c r="P396" s="536"/>
      <c r="Q396" s="536"/>
      <c r="R396" s="536"/>
      <c r="S396" s="536"/>
      <c r="T396" s="536"/>
      <c r="U396" s="536"/>
      <c r="V396" s="536"/>
      <c r="W396" s="536"/>
      <c r="X396" s="536"/>
      <c r="Y396" s="536"/>
      <c r="Z396" s="536"/>
      <c r="AA396" s="536"/>
      <c r="AB396" s="536"/>
      <c r="AC396" s="536"/>
      <c r="AD396" s="536"/>
      <c r="AE396" s="536"/>
      <c r="AF396" s="536"/>
      <c r="AG396" s="536"/>
      <c r="AH396" s="536"/>
      <c r="AI396" s="536"/>
      <c r="AJ396" s="536"/>
      <c r="AK396" s="536"/>
      <c r="AL396" s="536"/>
    </row>
    <row r="397" spans="1:38" ht="53.25" customHeight="1" x14ac:dyDescent="0.2">
      <c r="A397" s="541"/>
      <c r="B397" s="541"/>
      <c r="C397" s="541"/>
      <c r="D397" s="541"/>
      <c r="E397" s="541"/>
      <c r="F397" s="541"/>
      <c r="G397" s="541"/>
      <c r="H397" s="541"/>
      <c r="I397" s="541"/>
      <c r="J397" s="541"/>
      <c r="K397" s="541"/>
      <c r="L397" s="541"/>
      <c r="M397" s="541"/>
      <c r="N397" s="541"/>
      <c r="P397" s="536"/>
      <c r="Q397" s="536"/>
      <c r="R397" s="536"/>
      <c r="S397" s="536"/>
      <c r="T397" s="536"/>
      <c r="U397" s="536"/>
      <c r="V397" s="536"/>
      <c r="W397" s="536"/>
      <c r="X397" s="536"/>
      <c r="Y397" s="536"/>
      <c r="Z397" s="536"/>
      <c r="AA397" s="536"/>
      <c r="AB397" s="536"/>
      <c r="AC397" s="536"/>
      <c r="AD397" s="536"/>
      <c r="AE397" s="536"/>
      <c r="AF397" s="536"/>
      <c r="AG397" s="536"/>
      <c r="AH397" s="536"/>
      <c r="AI397" s="536"/>
      <c r="AJ397" s="536"/>
      <c r="AK397" s="536"/>
      <c r="AL397" s="536"/>
    </row>
    <row r="398" spans="1:38" x14ac:dyDescent="0.2">
      <c r="B398" s="539" t="s">
        <v>149</v>
      </c>
      <c r="C398" s="1943"/>
      <c r="D398" s="1943"/>
      <c r="E398" s="1943"/>
      <c r="F398" s="1943"/>
      <c r="G398" s="1943"/>
      <c r="H398" s="1943"/>
      <c r="I398" s="1943"/>
      <c r="J398" s="1943"/>
      <c r="K398" s="1943"/>
      <c r="L398" s="1943"/>
    </row>
    <row r="399" spans="1:38" ht="13.5" customHeight="1" x14ac:dyDescent="0.2">
      <c r="B399" s="540"/>
      <c r="C399" s="1821" t="s">
        <v>150</v>
      </c>
      <c r="D399" s="1821"/>
      <c r="E399" s="1821"/>
      <c r="F399" s="1821"/>
      <c r="G399" s="1821"/>
      <c r="H399" s="1821"/>
      <c r="I399" s="1821"/>
      <c r="J399" s="1821"/>
      <c r="K399" s="1821"/>
      <c r="L399" s="1821"/>
    </row>
    <row r="400" spans="1:38" ht="12.75" customHeight="1" x14ac:dyDescent="0.2">
      <c r="B400" s="539" t="s">
        <v>151</v>
      </c>
      <c r="C400" s="1943"/>
      <c r="D400" s="1943"/>
      <c r="E400" s="1943"/>
      <c r="F400" s="1943"/>
      <c r="G400" s="1943"/>
      <c r="H400" s="1943"/>
      <c r="I400" s="1943"/>
      <c r="J400" s="1943"/>
      <c r="K400" s="1943"/>
      <c r="L400" s="1943"/>
    </row>
    <row r="401" spans="1:38" ht="13.5" customHeight="1" x14ac:dyDescent="0.2">
      <c r="C401" s="1821" t="s">
        <v>150</v>
      </c>
      <c r="D401" s="1821"/>
      <c r="E401" s="1821"/>
      <c r="F401" s="1821"/>
      <c r="G401" s="1821"/>
      <c r="H401" s="1821"/>
      <c r="I401" s="1821"/>
      <c r="J401" s="1821"/>
      <c r="K401" s="1821"/>
      <c r="L401" s="1821"/>
    </row>
    <row r="403" spans="1:38" x14ac:dyDescent="0.2">
      <c r="A403" s="1944"/>
      <c r="B403" s="1944"/>
      <c r="C403" s="1944"/>
      <c r="D403" s="1944"/>
      <c r="E403" s="1944"/>
      <c r="F403" s="1944"/>
      <c r="G403" s="1944"/>
      <c r="H403" s="1944"/>
      <c r="I403" s="1944"/>
      <c r="J403" s="1944"/>
      <c r="K403" s="1944"/>
      <c r="L403" s="1944"/>
      <c r="M403" s="1944"/>
      <c r="N403" s="1944"/>
      <c r="P403" s="536"/>
      <c r="Q403" s="536"/>
      <c r="R403" s="536"/>
      <c r="S403" s="536"/>
      <c r="T403" s="536"/>
      <c r="U403" s="536"/>
      <c r="V403" s="536"/>
      <c r="W403" s="536"/>
      <c r="X403" s="536"/>
      <c r="Y403" s="536"/>
      <c r="Z403" s="536"/>
      <c r="AA403" s="536"/>
      <c r="AB403" s="536"/>
      <c r="AC403" s="536"/>
      <c r="AD403" s="536"/>
      <c r="AE403" s="536"/>
      <c r="AF403" s="536"/>
      <c r="AG403" s="536"/>
      <c r="AH403" s="536"/>
      <c r="AI403" s="536"/>
      <c r="AJ403" s="536"/>
      <c r="AK403" s="536"/>
      <c r="AL403" s="537" t="s">
        <v>143</v>
      </c>
    </row>
    <row r="404" spans="1:38" x14ac:dyDescent="0.2">
      <c r="B404" s="538"/>
      <c r="D404" s="538"/>
      <c r="F404" s="538"/>
      <c r="P404" s="536"/>
      <c r="Q404" s="536"/>
      <c r="R404" s="536"/>
      <c r="S404" s="536"/>
      <c r="T404" s="536"/>
      <c r="U404" s="536"/>
      <c r="V404" s="536"/>
      <c r="W404" s="536"/>
      <c r="X404" s="536"/>
      <c r="Y404" s="536"/>
      <c r="Z404" s="536"/>
      <c r="AA404" s="536"/>
      <c r="AB404" s="536"/>
      <c r="AC404" s="536"/>
      <c r="AD404" s="536"/>
      <c r="AE404" s="536"/>
      <c r="AF404" s="536"/>
      <c r="AG404" s="536"/>
      <c r="AH404" s="536"/>
      <c r="AI404" s="536"/>
      <c r="AJ404" s="536"/>
      <c r="AK404" s="536"/>
      <c r="AL404" s="536"/>
    </row>
  </sheetData>
  <mergeCells count="368">
    <mergeCell ref="C399:L399"/>
    <mergeCell ref="C400:L400"/>
    <mergeCell ref="C401:L401"/>
    <mergeCell ref="A403:N403"/>
    <mergeCell ref="C391:K391"/>
    <mergeCell ref="C392:K392"/>
    <mergeCell ref="C393:K393"/>
    <mergeCell ref="C394:K394"/>
    <mergeCell ref="C395:K395"/>
    <mergeCell ref="C398:L398"/>
    <mergeCell ref="C385:K385"/>
    <mergeCell ref="C386:K386"/>
    <mergeCell ref="C387:K387"/>
    <mergeCell ref="C388:K388"/>
    <mergeCell ref="C389:K389"/>
    <mergeCell ref="C390:K390"/>
    <mergeCell ref="C379:K379"/>
    <mergeCell ref="C380:K380"/>
    <mergeCell ref="C381:K381"/>
    <mergeCell ref="C382:K382"/>
    <mergeCell ref="C383:K383"/>
    <mergeCell ref="C384:K384"/>
    <mergeCell ref="C372:K372"/>
    <mergeCell ref="C373:K373"/>
    <mergeCell ref="C374:K374"/>
    <mergeCell ref="C376:K376"/>
    <mergeCell ref="C377:K377"/>
    <mergeCell ref="C378:K378"/>
    <mergeCell ref="C364:E364"/>
    <mergeCell ref="C367:K367"/>
    <mergeCell ref="C368:K368"/>
    <mergeCell ref="C369:K369"/>
    <mergeCell ref="C370:K370"/>
    <mergeCell ref="C371:K371"/>
    <mergeCell ref="C356:K356"/>
    <mergeCell ref="A357:N357"/>
    <mergeCell ref="C358:E358"/>
    <mergeCell ref="C360:N360"/>
    <mergeCell ref="C361:E361"/>
    <mergeCell ref="C363:N363"/>
    <mergeCell ref="C350:K350"/>
    <mergeCell ref="C351:K351"/>
    <mergeCell ref="C352:K352"/>
    <mergeCell ref="C353:K353"/>
    <mergeCell ref="C354:K354"/>
    <mergeCell ref="C355:K355"/>
    <mergeCell ref="C344:K344"/>
    <mergeCell ref="C345:K345"/>
    <mergeCell ref="C346:K346"/>
    <mergeCell ref="C347:K347"/>
    <mergeCell ref="C348:K348"/>
    <mergeCell ref="C349:K349"/>
    <mergeCell ref="C336:E336"/>
    <mergeCell ref="C339:K339"/>
    <mergeCell ref="C340:K340"/>
    <mergeCell ref="C341:K341"/>
    <mergeCell ref="C342:K342"/>
    <mergeCell ref="C343:K343"/>
    <mergeCell ref="C330:E330"/>
    <mergeCell ref="C331:E331"/>
    <mergeCell ref="C332:E332"/>
    <mergeCell ref="C333:E333"/>
    <mergeCell ref="C334:E334"/>
    <mergeCell ref="C335:E335"/>
    <mergeCell ref="C324:N324"/>
    <mergeCell ref="C325:E325"/>
    <mergeCell ref="C326:E326"/>
    <mergeCell ref="C327:E327"/>
    <mergeCell ref="C328:E328"/>
    <mergeCell ref="C329:E329"/>
    <mergeCell ref="C318:K318"/>
    <mergeCell ref="C319:K319"/>
    <mergeCell ref="C320:K320"/>
    <mergeCell ref="C321:K321"/>
    <mergeCell ref="A322:N322"/>
    <mergeCell ref="C323:E323"/>
    <mergeCell ref="C312:K312"/>
    <mergeCell ref="C313:K313"/>
    <mergeCell ref="C314:K314"/>
    <mergeCell ref="C315:K315"/>
    <mergeCell ref="C316:K316"/>
    <mergeCell ref="C317:K317"/>
    <mergeCell ref="C306:K306"/>
    <mergeCell ref="C307:K307"/>
    <mergeCell ref="C308:K308"/>
    <mergeCell ref="C309:K309"/>
    <mergeCell ref="C310:K310"/>
    <mergeCell ref="C311:K311"/>
    <mergeCell ref="C298:E298"/>
    <mergeCell ref="C299:E299"/>
    <mergeCell ref="C300:E300"/>
    <mergeCell ref="C302:N302"/>
    <mergeCell ref="C304:K304"/>
    <mergeCell ref="C305:K305"/>
    <mergeCell ref="C292:E292"/>
    <mergeCell ref="C293:E293"/>
    <mergeCell ref="C294:E294"/>
    <mergeCell ref="C295:E295"/>
    <mergeCell ref="C296:E296"/>
    <mergeCell ref="C297:E297"/>
    <mergeCell ref="C286:E286"/>
    <mergeCell ref="C287:N287"/>
    <mergeCell ref="C288:N288"/>
    <mergeCell ref="C289:E289"/>
    <mergeCell ref="C290:E290"/>
    <mergeCell ref="C291:E291"/>
    <mergeCell ref="C280:E280"/>
    <mergeCell ref="C281:E281"/>
    <mergeCell ref="C282:E282"/>
    <mergeCell ref="C283:E283"/>
    <mergeCell ref="C284:E284"/>
    <mergeCell ref="C285:E285"/>
    <mergeCell ref="C274:N274"/>
    <mergeCell ref="C275:E275"/>
    <mergeCell ref="C276:E276"/>
    <mergeCell ref="C277:E277"/>
    <mergeCell ref="C278:E278"/>
    <mergeCell ref="C279:E279"/>
    <mergeCell ref="C267:E267"/>
    <mergeCell ref="C268:E268"/>
    <mergeCell ref="C269:E269"/>
    <mergeCell ref="C270:E270"/>
    <mergeCell ref="C272:E272"/>
    <mergeCell ref="C273:N273"/>
    <mergeCell ref="C261:E261"/>
    <mergeCell ref="C262:E262"/>
    <mergeCell ref="C263:E263"/>
    <mergeCell ref="C264:E264"/>
    <mergeCell ref="C265:E265"/>
    <mergeCell ref="C266:E266"/>
    <mergeCell ref="C255:N255"/>
    <mergeCell ref="C256:N256"/>
    <mergeCell ref="C257:N257"/>
    <mergeCell ref="C258:E258"/>
    <mergeCell ref="C259:E259"/>
    <mergeCell ref="C260:E260"/>
    <mergeCell ref="C248:E248"/>
    <mergeCell ref="C249:E249"/>
    <mergeCell ref="C250:E250"/>
    <mergeCell ref="C251:E251"/>
    <mergeCell ref="C252:E252"/>
    <mergeCell ref="C254:E254"/>
    <mergeCell ref="C242:E242"/>
    <mergeCell ref="C243:E243"/>
    <mergeCell ref="C244:E244"/>
    <mergeCell ref="C245:E245"/>
    <mergeCell ref="C246:E246"/>
    <mergeCell ref="C247:E247"/>
    <mergeCell ref="C236:E236"/>
    <mergeCell ref="C237:N237"/>
    <mergeCell ref="C238:N238"/>
    <mergeCell ref="C239:N239"/>
    <mergeCell ref="C240:E240"/>
    <mergeCell ref="C241:E241"/>
    <mergeCell ref="C229:E229"/>
    <mergeCell ref="C230:E230"/>
    <mergeCell ref="C231:E231"/>
    <mergeCell ref="C232:E232"/>
    <mergeCell ref="C233:E233"/>
    <mergeCell ref="C234:E234"/>
    <mergeCell ref="C223:E223"/>
    <mergeCell ref="C224:E224"/>
    <mergeCell ref="C225:E225"/>
    <mergeCell ref="C226:E226"/>
    <mergeCell ref="C227:E227"/>
    <mergeCell ref="C228:E228"/>
    <mergeCell ref="A217:N217"/>
    <mergeCell ref="C218:E218"/>
    <mergeCell ref="C219:N219"/>
    <mergeCell ref="C220:N220"/>
    <mergeCell ref="C221:N221"/>
    <mergeCell ref="C222:E222"/>
    <mergeCell ref="C211:K211"/>
    <mergeCell ref="C212:K212"/>
    <mergeCell ref="C213:K213"/>
    <mergeCell ref="C214:K214"/>
    <mergeCell ref="C215:K215"/>
    <mergeCell ref="C216:K216"/>
    <mergeCell ref="C205:K205"/>
    <mergeCell ref="C206:K206"/>
    <mergeCell ref="C207:K207"/>
    <mergeCell ref="C208:K208"/>
    <mergeCell ref="C209:K209"/>
    <mergeCell ref="C210:K210"/>
    <mergeCell ref="C199:K199"/>
    <mergeCell ref="C200:K200"/>
    <mergeCell ref="C201:K201"/>
    <mergeCell ref="C202:K202"/>
    <mergeCell ref="C203:K203"/>
    <mergeCell ref="C204:K204"/>
    <mergeCell ref="C191:E191"/>
    <mergeCell ref="C192:E192"/>
    <mergeCell ref="C193:E193"/>
    <mergeCell ref="C194:E194"/>
    <mergeCell ref="C195:E195"/>
    <mergeCell ref="C197:N197"/>
    <mergeCell ref="C185:E185"/>
    <mergeCell ref="C186:E186"/>
    <mergeCell ref="C187:E187"/>
    <mergeCell ref="C188:E188"/>
    <mergeCell ref="C189:E189"/>
    <mergeCell ref="C190:E190"/>
    <mergeCell ref="C179:E179"/>
    <mergeCell ref="C180:E180"/>
    <mergeCell ref="C181:N181"/>
    <mergeCell ref="C182:N182"/>
    <mergeCell ref="C183:E183"/>
    <mergeCell ref="C184:E184"/>
    <mergeCell ref="C173:E173"/>
    <mergeCell ref="C174:E174"/>
    <mergeCell ref="C175:E175"/>
    <mergeCell ref="C176:E176"/>
    <mergeCell ref="C177:E177"/>
    <mergeCell ref="C178:E178"/>
    <mergeCell ref="C167:N167"/>
    <mergeCell ref="C168:E168"/>
    <mergeCell ref="C169:E169"/>
    <mergeCell ref="C170:E170"/>
    <mergeCell ref="C171:E171"/>
    <mergeCell ref="C172:E172"/>
    <mergeCell ref="C160:E160"/>
    <mergeCell ref="C161:E161"/>
    <mergeCell ref="C162:E162"/>
    <mergeCell ref="C163:E163"/>
    <mergeCell ref="C165:E165"/>
    <mergeCell ref="C166:N166"/>
    <mergeCell ref="C154:E154"/>
    <mergeCell ref="C155:E155"/>
    <mergeCell ref="C156:E156"/>
    <mergeCell ref="C157:E157"/>
    <mergeCell ref="C158:E158"/>
    <mergeCell ref="C159:E159"/>
    <mergeCell ref="C148:N148"/>
    <mergeCell ref="C149:E149"/>
    <mergeCell ref="C150:N150"/>
    <mergeCell ref="C151:N151"/>
    <mergeCell ref="C152:E152"/>
    <mergeCell ref="C153:E153"/>
    <mergeCell ref="C139:E139"/>
    <mergeCell ref="C140:E140"/>
    <mergeCell ref="C141:E141"/>
    <mergeCell ref="C143:E143"/>
    <mergeCell ref="C145:N145"/>
    <mergeCell ref="C146:E146"/>
    <mergeCell ref="C133:E133"/>
    <mergeCell ref="C134:E134"/>
    <mergeCell ref="C135:E135"/>
    <mergeCell ref="C136:E136"/>
    <mergeCell ref="C137:E137"/>
    <mergeCell ref="C138:E138"/>
    <mergeCell ref="C127:N127"/>
    <mergeCell ref="C128:E128"/>
    <mergeCell ref="C129:E129"/>
    <mergeCell ref="C130:E130"/>
    <mergeCell ref="C131:E131"/>
    <mergeCell ref="C132:E132"/>
    <mergeCell ref="C120:E120"/>
    <mergeCell ref="C121:E121"/>
    <mergeCell ref="C122:E122"/>
    <mergeCell ref="C123:E123"/>
    <mergeCell ref="C125:E125"/>
    <mergeCell ref="C126:N126"/>
    <mergeCell ref="C114:E114"/>
    <mergeCell ref="C115:E115"/>
    <mergeCell ref="C116:E116"/>
    <mergeCell ref="C117:E117"/>
    <mergeCell ref="C118:E118"/>
    <mergeCell ref="C119:E119"/>
    <mergeCell ref="C108:E108"/>
    <mergeCell ref="C109:N109"/>
    <mergeCell ref="C110:N110"/>
    <mergeCell ref="C111:E111"/>
    <mergeCell ref="C112:E112"/>
    <mergeCell ref="C113:E113"/>
    <mergeCell ref="C102:K102"/>
    <mergeCell ref="C103:K103"/>
    <mergeCell ref="C104:K104"/>
    <mergeCell ref="C105:K105"/>
    <mergeCell ref="C106:K106"/>
    <mergeCell ref="A107:N107"/>
    <mergeCell ref="C96:K96"/>
    <mergeCell ref="C97:K97"/>
    <mergeCell ref="C98:K98"/>
    <mergeCell ref="C99:K99"/>
    <mergeCell ref="C100:K100"/>
    <mergeCell ref="C101:K101"/>
    <mergeCell ref="C90:K90"/>
    <mergeCell ref="C91:K91"/>
    <mergeCell ref="C92:K92"/>
    <mergeCell ref="C93:K93"/>
    <mergeCell ref="C94:K94"/>
    <mergeCell ref="C95:K95"/>
    <mergeCell ref="C83:E83"/>
    <mergeCell ref="C84:E84"/>
    <mergeCell ref="C85:E85"/>
    <mergeCell ref="C86:E86"/>
    <mergeCell ref="C87:N87"/>
    <mergeCell ref="C89:K89"/>
    <mergeCell ref="C77:E77"/>
    <mergeCell ref="C78:E78"/>
    <mergeCell ref="C79:E79"/>
    <mergeCell ref="C80:E80"/>
    <mergeCell ref="C81:E81"/>
    <mergeCell ref="C82:E82"/>
    <mergeCell ref="C71:E71"/>
    <mergeCell ref="C72:E72"/>
    <mergeCell ref="C73:E73"/>
    <mergeCell ref="C74:N74"/>
    <mergeCell ref="C75:N75"/>
    <mergeCell ref="C76:E76"/>
    <mergeCell ref="C65:E65"/>
    <mergeCell ref="C66:E66"/>
    <mergeCell ref="C67:E67"/>
    <mergeCell ref="C68:E68"/>
    <mergeCell ref="C69:E69"/>
    <mergeCell ref="C70:E70"/>
    <mergeCell ref="C59:E59"/>
    <mergeCell ref="C60:E60"/>
    <mergeCell ref="C61:E61"/>
    <mergeCell ref="C62:E62"/>
    <mergeCell ref="C63:N63"/>
    <mergeCell ref="C64:N64"/>
    <mergeCell ref="C53:N53"/>
    <mergeCell ref="C54:E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N52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40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J537"/>
  <sheetViews>
    <sheetView topLeftCell="A500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4" width="110.140625" style="537" hidden="1" customWidth="1"/>
    <col min="25" max="28" width="34.140625" style="537" hidden="1" customWidth="1"/>
    <col min="29" max="29" width="110.140625" style="537" hidden="1" customWidth="1"/>
    <col min="30" max="32" width="84.42578125" style="537" hidden="1" customWidth="1"/>
    <col min="33" max="33" width="138.42578125" style="537" hidden="1" customWidth="1"/>
    <col min="34" max="36" width="84.42578125" style="537" hidden="1" customWidth="1"/>
    <col min="37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4033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4033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4034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609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609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1623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649.48</v>
      </c>
      <c r="D28" s="579" t="s">
        <v>8812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12.67</v>
      </c>
      <c r="D30" s="579" t="s">
        <v>4035</v>
      </c>
      <c r="E30" s="665" t="s">
        <v>167</v>
      </c>
      <c r="G30" s="536" t="s">
        <v>170</v>
      </c>
      <c r="L30" s="580">
        <v>0</v>
      </c>
      <c r="M30" s="579" t="s">
        <v>4036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303.69</v>
      </c>
      <c r="D31" s="583" t="s">
        <v>8813</v>
      </c>
      <c r="E31" s="665" t="s">
        <v>167</v>
      </c>
      <c r="G31" s="536" t="s">
        <v>172</v>
      </c>
      <c r="L31" s="582"/>
      <c r="M31" s="582">
        <v>171.57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333.12</v>
      </c>
      <c r="D32" s="583" t="s">
        <v>8814</v>
      </c>
      <c r="E32" s="665" t="s">
        <v>167</v>
      </c>
      <c r="G32" s="536" t="s">
        <v>174</v>
      </c>
      <c r="L32" s="582"/>
      <c r="M32" s="582">
        <v>13.77</v>
      </c>
      <c r="N32" s="581" t="s">
        <v>173</v>
      </c>
    </row>
    <row r="33" spans="1:27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7" s="536" customFormat="1" ht="9.75" customHeight="1" x14ac:dyDescent="0.2">
      <c r="A34" s="578"/>
    </row>
    <row r="35" spans="1:27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7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7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7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7" s="536" customFormat="1" ht="12" x14ac:dyDescent="0.2">
      <c r="A39" s="1824" t="s">
        <v>1625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1625</v>
      </c>
    </row>
    <row r="40" spans="1:27" s="536" customFormat="1" ht="33.75" x14ac:dyDescent="0.2">
      <c r="A40" s="575" t="s">
        <v>185</v>
      </c>
      <c r="B40" s="670" t="s">
        <v>1626</v>
      </c>
      <c r="C40" s="1823" t="s">
        <v>1627</v>
      </c>
      <c r="D40" s="1823"/>
      <c r="E40" s="1823"/>
      <c r="F40" s="573" t="s">
        <v>617</v>
      </c>
      <c r="G40" s="573"/>
      <c r="H40" s="573"/>
      <c r="I40" s="573" t="s">
        <v>185</v>
      </c>
      <c r="J40" s="572"/>
      <c r="K40" s="573"/>
      <c r="L40" s="572"/>
      <c r="M40" s="571"/>
      <c r="N40" s="570"/>
      <c r="V40" s="674"/>
      <c r="W40" s="675" t="s">
        <v>1627</v>
      </c>
    </row>
    <row r="41" spans="1:27" s="536" customFormat="1" ht="33.75" x14ac:dyDescent="0.2">
      <c r="A41" s="609"/>
      <c r="B41" s="552" t="s">
        <v>310</v>
      </c>
      <c r="C41" s="1822" t="s">
        <v>311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311</v>
      </c>
    </row>
    <row r="42" spans="1:27" s="536" customFormat="1" ht="12" x14ac:dyDescent="0.2">
      <c r="A42" s="605"/>
      <c r="B42" s="552" t="s">
        <v>185</v>
      </c>
      <c r="C42" s="1822" t="s">
        <v>312</v>
      </c>
      <c r="D42" s="1822"/>
      <c r="E42" s="1822"/>
      <c r="F42" s="562"/>
      <c r="G42" s="562"/>
      <c r="H42" s="562"/>
      <c r="I42" s="562"/>
      <c r="J42" s="604">
        <v>20.440000000000001</v>
      </c>
      <c r="K42" s="562" t="s">
        <v>313</v>
      </c>
      <c r="L42" s="604">
        <v>25.55</v>
      </c>
      <c r="M42" s="603"/>
      <c r="N42" s="602"/>
      <c r="V42" s="674"/>
      <c r="W42" s="675"/>
      <c r="Y42" s="537" t="s">
        <v>312</v>
      </c>
    </row>
    <row r="43" spans="1:27" s="536" customFormat="1" ht="12" x14ac:dyDescent="0.2">
      <c r="A43" s="605"/>
      <c r="B43" s="552" t="s">
        <v>186</v>
      </c>
      <c r="C43" s="1822" t="s">
        <v>344</v>
      </c>
      <c r="D43" s="1822"/>
      <c r="E43" s="1822"/>
      <c r="F43" s="562"/>
      <c r="G43" s="562"/>
      <c r="H43" s="562"/>
      <c r="I43" s="562"/>
      <c r="J43" s="604">
        <v>33.47</v>
      </c>
      <c r="K43" s="562" t="s">
        <v>313</v>
      </c>
      <c r="L43" s="604">
        <v>41.84</v>
      </c>
      <c r="M43" s="603"/>
      <c r="N43" s="602"/>
      <c r="V43" s="674"/>
      <c r="W43" s="675"/>
      <c r="Y43" s="537" t="s">
        <v>344</v>
      </c>
    </row>
    <row r="44" spans="1:27" s="536" customFormat="1" ht="12" x14ac:dyDescent="0.2">
      <c r="A44" s="605"/>
      <c r="B44" s="552" t="s">
        <v>187</v>
      </c>
      <c r="C44" s="1822" t="s">
        <v>345</v>
      </c>
      <c r="D44" s="1822"/>
      <c r="E44" s="1822"/>
      <c r="F44" s="562"/>
      <c r="G44" s="562"/>
      <c r="H44" s="562"/>
      <c r="I44" s="562"/>
      <c r="J44" s="604">
        <v>3.42</v>
      </c>
      <c r="K44" s="562" t="s">
        <v>313</v>
      </c>
      <c r="L44" s="604">
        <v>4.28</v>
      </c>
      <c r="M44" s="603"/>
      <c r="N44" s="602"/>
      <c r="V44" s="674"/>
      <c r="W44" s="675"/>
      <c r="Y44" s="537" t="s">
        <v>345</v>
      </c>
    </row>
    <row r="45" spans="1:27" s="536" customFormat="1" ht="12" x14ac:dyDescent="0.2">
      <c r="A45" s="605"/>
      <c r="B45" s="552" t="s">
        <v>188</v>
      </c>
      <c r="C45" s="1822" t="s">
        <v>475</v>
      </c>
      <c r="D45" s="1822"/>
      <c r="E45" s="1822"/>
      <c r="F45" s="562"/>
      <c r="G45" s="562"/>
      <c r="H45" s="562"/>
      <c r="I45" s="562"/>
      <c r="J45" s="604">
        <v>2.94</v>
      </c>
      <c r="K45" s="562"/>
      <c r="L45" s="604">
        <v>2.94</v>
      </c>
      <c r="M45" s="603"/>
      <c r="N45" s="602"/>
      <c r="V45" s="674"/>
      <c r="W45" s="675"/>
      <c r="Y45" s="537" t="s">
        <v>475</v>
      </c>
    </row>
    <row r="46" spans="1:27" s="536" customFormat="1" ht="12" x14ac:dyDescent="0.2">
      <c r="A46" s="605"/>
      <c r="B46" s="552"/>
      <c r="C46" s="1822" t="s">
        <v>314</v>
      </c>
      <c r="D46" s="1822"/>
      <c r="E46" s="1822"/>
      <c r="F46" s="562" t="s">
        <v>315</v>
      </c>
      <c r="G46" s="562" t="s">
        <v>807</v>
      </c>
      <c r="H46" s="562" t="s">
        <v>313</v>
      </c>
      <c r="I46" s="562" t="s">
        <v>808</v>
      </c>
      <c r="J46" s="604"/>
      <c r="K46" s="562"/>
      <c r="L46" s="604"/>
      <c r="M46" s="603"/>
      <c r="N46" s="602"/>
      <c r="V46" s="674"/>
      <c r="W46" s="675"/>
      <c r="Z46" s="537" t="s">
        <v>314</v>
      </c>
    </row>
    <row r="47" spans="1:27" s="536" customFormat="1" ht="12" x14ac:dyDescent="0.2">
      <c r="A47" s="605"/>
      <c r="B47" s="552"/>
      <c r="C47" s="1822" t="s">
        <v>348</v>
      </c>
      <c r="D47" s="1822"/>
      <c r="E47" s="1822"/>
      <c r="F47" s="562" t="s">
        <v>315</v>
      </c>
      <c r="G47" s="562" t="s">
        <v>1629</v>
      </c>
      <c r="H47" s="562" t="s">
        <v>313</v>
      </c>
      <c r="I47" s="562" t="s">
        <v>3130</v>
      </c>
      <c r="J47" s="604"/>
      <c r="K47" s="562"/>
      <c r="L47" s="604"/>
      <c r="M47" s="603"/>
      <c r="N47" s="602"/>
      <c r="V47" s="674"/>
      <c r="W47" s="675"/>
      <c r="Z47" s="537" t="s">
        <v>348</v>
      </c>
    </row>
    <row r="48" spans="1:27" s="536" customFormat="1" ht="12" x14ac:dyDescent="0.2">
      <c r="A48" s="605"/>
      <c r="B48" s="552"/>
      <c r="C48" s="1828" t="s">
        <v>318</v>
      </c>
      <c r="D48" s="1828"/>
      <c r="E48" s="1828"/>
      <c r="F48" s="608"/>
      <c r="G48" s="608"/>
      <c r="H48" s="608"/>
      <c r="I48" s="608"/>
      <c r="J48" s="607">
        <v>56.85</v>
      </c>
      <c r="K48" s="608"/>
      <c r="L48" s="607">
        <v>70.33</v>
      </c>
      <c r="M48" s="601"/>
      <c r="N48" s="606"/>
      <c r="V48" s="674"/>
      <c r="W48" s="675"/>
      <c r="AA48" s="537" t="s">
        <v>318</v>
      </c>
    </row>
    <row r="49" spans="1:29" s="536" customFormat="1" ht="12" x14ac:dyDescent="0.2">
      <c r="A49" s="605"/>
      <c r="B49" s="552"/>
      <c r="C49" s="1822" t="s">
        <v>319</v>
      </c>
      <c r="D49" s="1822"/>
      <c r="E49" s="1822"/>
      <c r="F49" s="562"/>
      <c r="G49" s="562"/>
      <c r="H49" s="562"/>
      <c r="I49" s="562"/>
      <c r="J49" s="604"/>
      <c r="K49" s="562"/>
      <c r="L49" s="604">
        <v>29.83</v>
      </c>
      <c r="M49" s="603"/>
      <c r="N49" s="602"/>
      <c r="V49" s="674"/>
      <c r="W49" s="675"/>
      <c r="Z49" s="537" t="s">
        <v>319</v>
      </c>
    </row>
    <row r="50" spans="1:29" s="536" customFormat="1" ht="33.75" x14ac:dyDescent="0.2">
      <c r="A50" s="605"/>
      <c r="B50" s="552" t="s">
        <v>1631</v>
      </c>
      <c r="C50" s="1822" t="s">
        <v>1632</v>
      </c>
      <c r="D50" s="1822"/>
      <c r="E50" s="1822"/>
      <c r="F50" s="562" t="s">
        <v>322</v>
      </c>
      <c r="G50" s="562" t="s">
        <v>1633</v>
      </c>
      <c r="H50" s="562"/>
      <c r="I50" s="562" t="s">
        <v>1633</v>
      </c>
      <c r="J50" s="604"/>
      <c r="K50" s="562"/>
      <c r="L50" s="604">
        <v>28.94</v>
      </c>
      <c r="M50" s="603"/>
      <c r="N50" s="602"/>
      <c r="V50" s="674"/>
      <c r="W50" s="675"/>
      <c r="Z50" s="537" t="s">
        <v>1632</v>
      </c>
    </row>
    <row r="51" spans="1:29" s="536" customFormat="1" ht="33.75" x14ac:dyDescent="0.2">
      <c r="A51" s="605"/>
      <c r="B51" s="552" t="s">
        <v>1634</v>
      </c>
      <c r="C51" s="1822" t="s">
        <v>1635</v>
      </c>
      <c r="D51" s="1822"/>
      <c r="E51" s="1822"/>
      <c r="F51" s="562" t="s">
        <v>322</v>
      </c>
      <c r="G51" s="562" t="s">
        <v>786</v>
      </c>
      <c r="H51" s="562"/>
      <c r="I51" s="562" t="s">
        <v>786</v>
      </c>
      <c r="J51" s="604"/>
      <c r="K51" s="562"/>
      <c r="L51" s="604">
        <v>15.21</v>
      </c>
      <c r="M51" s="603"/>
      <c r="N51" s="602"/>
      <c r="V51" s="674"/>
      <c r="W51" s="675"/>
      <c r="Z51" s="537" t="s">
        <v>1635</v>
      </c>
    </row>
    <row r="52" spans="1:29" s="536" customFormat="1" ht="12" x14ac:dyDescent="0.2">
      <c r="A52" s="569"/>
      <c r="B52" s="671"/>
      <c r="C52" s="1823" t="s">
        <v>327</v>
      </c>
      <c r="D52" s="1823"/>
      <c r="E52" s="1823"/>
      <c r="F52" s="573"/>
      <c r="G52" s="573"/>
      <c r="H52" s="573"/>
      <c r="I52" s="573"/>
      <c r="J52" s="572"/>
      <c r="K52" s="573"/>
      <c r="L52" s="572">
        <v>114.48</v>
      </c>
      <c r="M52" s="601"/>
      <c r="N52" s="570"/>
      <c r="V52" s="674"/>
      <c r="W52" s="675"/>
      <c r="AB52" s="675" t="s">
        <v>327</v>
      </c>
    </row>
    <row r="53" spans="1:29" s="536" customFormat="1" ht="236.25" x14ac:dyDescent="0.2">
      <c r="A53" s="575" t="s">
        <v>625</v>
      </c>
      <c r="B53" s="670" t="s">
        <v>4037</v>
      </c>
      <c r="C53" s="1823" t="s">
        <v>4038</v>
      </c>
      <c r="D53" s="1823"/>
      <c r="E53" s="1823"/>
      <c r="F53" s="573" t="s">
        <v>617</v>
      </c>
      <c r="G53" s="573"/>
      <c r="H53" s="573"/>
      <c r="I53" s="573" t="s">
        <v>185</v>
      </c>
      <c r="J53" s="572">
        <v>325296.13</v>
      </c>
      <c r="K53" s="573" t="s">
        <v>629</v>
      </c>
      <c r="L53" s="572">
        <v>71721.13</v>
      </c>
      <c r="M53" s="571">
        <v>4.59</v>
      </c>
      <c r="N53" s="570">
        <v>329200</v>
      </c>
      <c r="V53" s="674"/>
      <c r="W53" s="675" t="s">
        <v>4038</v>
      </c>
      <c r="AB53" s="675"/>
    </row>
    <row r="54" spans="1:29" s="536" customFormat="1" ht="12" x14ac:dyDescent="0.2">
      <c r="A54" s="569"/>
      <c r="B54" s="671"/>
      <c r="C54" s="665" t="s">
        <v>630</v>
      </c>
      <c r="D54" s="666"/>
      <c r="E54" s="666"/>
      <c r="F54" s="563"/>
      <c r="G54" s="563"/>
      <c r="H54" s="563"/>
      <c r="I54" s="563"/>
      <c r="J54" s="566"/>
      <c r="K54" s="563"/>
      <c r="L54" s="566"/>
      <c r="M54" s="565"/>
      <c r="N54" s="564"/>
      <c r="V54" s="674"/>
      <c r="W54" s="675"/>
      <c r="AB54" s="675"/>
    </row>
    <row r="55" spans="1:29" s="536" customFormat="1" ht="22.5" x14ac:dyDescent="0.2">
      <c r="A55" s="609"/>
      <c r="B55" s="552" t="s">
        <v>1638</v>
      </c>
      <c r="C55" s="1822" t="s">
        <v>632</v>
      </c>
      <c r="D55" s="1822"/>
      <c r="E55" s="1822"/>
      <c r="F55" s="1822"/>
      <c r="G55" s="1822"/>
      <c r="H55" s="1822"/>
      <c r="I55" s="1822"/>
      <c r="J55" s="1822"/>
      <c r="K55" s="1822"/>
      <c r="L55" s="1822"/>
      <c r="M55" s="1822"/>
      <c r="N55" s="1827"/>
      <c r="V55" s="674"/>
      <c r="W55" s="675"/>
      <c r="X55" s="537" t="s">
        <v>632</v>
      </c>
      <c r="AB55" s="675"/>
    </row>
    <row r="56" spans="1:29" s="536" customFormat="1" ht="33.75" x14ac:dyDescent="0.2">
      <c r="A56" s="575" t="s">
        <v>187</v>
      </c>
      <c r="B56" s="670" t="s">
        <v>1639</v>
      </c>
      <c r="C56" s="1823" t="s">
        <v>1640</v>
      </c>
      <c r="D56" s="1823"/>
      <c r="E56" s="1823"/>
      <c r="F56" s="573" t="s">
        <v>307</v>
      </c>
      <c r="G56" s="573"/>
      <c r="H56" s="573"/>
      <c r="I56" s="573" t="s">
        <v>3362</v>
      </c>
      <c r="J56" s="572"/>
      <c r="K56" s="573"/>
      <c r="L56" s="572"/>
      <c r="M56" s="571"/>
      <c r="N56" s="570"/>
      <c r="V56" s="674"/>
      <c r="W56" s="675" t="s">
        <v>1640</v>
      </c>
      <c r="AB56" s="675"/>
    </row>
    <row r="57" spans="1:29" s="536" customFormat="1" ht="12" x14ac:dyDescent="0.2">
      <c r="A57" s="676"/>
      <c r="B57" s="664"/>
      <c r="C57" s="1822" t="s">
        <v>3363</v>
      </c>
      <c r="D57" s="1822"/>
      <c r="E57" s="1822"/>
      <c r="F57" s="1822"/>
      <c r="G57" s="1822"/>
      <c r="H57" s="1822"/>
      <c r="I57" s="1822"/>
      <c r="J57" s="1822"/>
      <c r="K57" s="1822"/>
      <c r="L57" s="1822"/>
      <c r="M57" s="1822"/>
      <c r="N57" s="1827"/>
      <c r="V57" s="674"/>
      <c r="W57" s="675"/>
      <c r="AB57" s="675"/>
      <c r="AC57" s="537" t="s">
        <v>3363</v>
      </c>
    </row>
    <row r="58" spans="1:29" s="536" customFormat="1" ht="33.75" x14ac:dyDescent="0.2">
      <c r="A58" s="609"/>
      <c r="B58" s="552" t="s">
        <v>310</v>
      </c>
      <c r="C58" s="1822" t="s">
        <v>311</v>
      </c>
      <c r="D58" s="1822"/>
      <c r="E58" s="1822"/>
      <c r="F58" s="1822"/>
      <c r="G58" s="1822"/>
      <c r="H58" s="1822"/>
      <c r="I58" s="1822"/>
      <c r="J58" s="1822"/>
      <c r="K58" s="1822"/>
      <c r="L58" s="1822"/>
      <c r="M58" s="1822"/>
      <c r="N58" s="1827"/>
      <c r="V58" s="674"/>
      <c r="W58" s="675"/>
      <c r="X58" s="537" t="s">
        <v>311</v>
      </c>
      <c r="AB58" s="675"/>
    </row>
    <row r="59" spans="1:29" s="536" customFormat="1" ht="12" x14ac:dyDescent="0.2">
      <c r="A59" s="605"/>
      <c r="B59" s="552" t="s">
        <v>185</v>
      </c>
      <c r="C59" s="1822" t="s">
        <v>312</v>
      </c>
      <c r="D59" s="1822"/>
      <c r="E59" s="1822"/>
      <c r="F59" s="562"/>
      <c r="G59" s="562"/>
      <c r="H59" s="562"/>
      <c r="I59" s="562"/>
      <c r="J59" s="604">
        <v>153.26</v>
      </c>
      <c r="K59" s="562" t="s">
        <v>313</v>
      </c>
      <c r="L59" s="604">
        <v>44.06</v>
      </c>
      <c r="M59" s="603"/>
      <c r="N59" s="602"/>
      <c r="V59" s="674"/>
      <c r="W59" s="675"/>
      <c r="Y59" s="537" t="s">
        <v>312</v>
      </c>
      <c r="AB59" s="675"/>
    </row>
    <row r="60" spans="1:29" s="536" customFormat="1" ht="12" x14ac:dyDescent="0.2">
      <c r="A60" s="605"/>
      <c r="B60" s="552" t="s">
        <v>186</v>
      </c>
      <c r="C60" s="1822" t="s">
        <v>344</v>
      </c>
      <c r="D60" s="1822"/>
      <c r="E60" s="1822"/>
      <c r="F60" s="562"/>
      <c r="G60" s="562"/>
      <c r="H60" s="562"/>
      <c r="I60" s="562"/>
      <c r="J60" s="604">
        <v>1.81</v>
      </c>
      <c r="K60" s="562" t="s">
        <v>313</v>
      </c>
      <c r="L60" s="604">
        <v>0.52</v>
      </c>
      <c r="M60" s="603"/>
      <c r="N60" s="602"/>
      <c r="V60" s="674"/>
      <c r="W60" s="675"/>
      <c r="Y60" s="537" t="s">
        <v>344</v>
      </c>
      <c r="AB60" s="675"/>
    </row>
    <row r="61" spans="1:29" s="536" customFormat="1" ht="12" x14ac:dyDescent="0.2">
      <c r="A61" s="605"/>
      <c r="B61" s="552" t="s">
        <v>187</v>
      </c>
      <c r="C61" s="1822" t="s">
        <v>345</v>
      </c>
      <c r="D61" s="1822"/>
      <c r="E61" s="1822"/>
      <c r="F61" s="562"/>
      <c r="G61" s="562"/>
      <c r="H61" s="562"/>
      <c r="I61" s="562"/>
      <c r="J61" s="604">
        <v>0.26</v>
      </c>
      <c r="K61" s="562" t="s">
        <v>313</v>
      </c>
      <c r="L61" s="604">
        <v>7.0000000000000007E-2</v>
      </c>
      <c r="M61" s="603"/>
      <c r="N61" s="602"/>
      <c r="V61" s="674"/>
      <c r="W61" s="675"/>
      <c r="Y61" s="537" t="s">
        <v>345</v>
      </c>
      <c r="AB61" s="675"/>
    </row>
    <row r="62" spans="1:29" s="536" customFormat="1" ht="12" x14ac:dyDescent="0.2">
      <c r="A62" s="605"/>
      <c r="B62" s="552" t="s">
        <v>188</v>
      </c>
      <c r="C62" s="1822" t="s">
        <v>475</v>
      </c>
      <c r="D62" s="1822"/>
      <c r="E62" s="1822"/>
      <c r="F62" s="562"/>
      <c r="G62" s="562"/>
      <c r="H62" s="562"/>
      <c r="I62" s="562"/>
      <c r="J62" s="604">
        <v>98.83</v>
      </c>
      <c r="K62" s="562"/>
      <c r="L62" s="604">
        <v>22.73</v>
      </c>
      <c r="M62" s="603"/>
      <c r="N62" s="602"/>
      <c r="V62" s="674"/>
      <c r="W62" s="675"/>
      <c r="Y62" s="537" t="s">
        <v>475</v>
      </c>
      <c r="AB62" s="675"/>
    </row>
    <row r="63" spans="1:29" s="536" customFormat="1" ht="12" x14ac:dyDescent="0.2">
      <c r="A63" s="605"/>
      <c r="B63" s="552"/>
      <c r="C63" s="1822" t="s">
        <v>314</v>
      </c>
      <c r="D63" s="1822"/>
      <c r="E63" s="1822"/>
      <c r="F63" s="562" t="s">
        <v>315</v>
      </c>
      <c r="G63" s="562" t="s">
        <v>1628</v>
      </c>
      <c r="H63" s="562" t="s">
        <v>313</v>
      </c>
      <c r="I63" s="562" t="s">
        <v>3364</v>
      </c>
      <c r="J63" s="604"/>
      <c r="K63" s="562"/>
      <c r="L63" s="604"/>
      <c r="M63" s="603"/>
      <c r="N63" s="602"/>
      <c r="V63" s="674"/>
      <c r="W63" s="675"/>
      <c r="Z63" s="537" t="s">
        <v>314</v>
      </c>
      <c r="AB63" s="675"/>
    </row>
    <row r="64" spans="1:29" s="536" customFormat="1" ht="12" x14ac:dyDescent="0.2">
      <c r="A64" s="605"/>
      <c r="B64" s="552"/>
      <c r="C64" s="1822" t="s">
        <v>348</v>
      </c>
      <c r="D64" s="1822"/>
      <c r="E64" s="1822"/>
      <c r="F64" s="562" t="s">
        <v>315</v>
      </c>
      <c r="G64" s="562" t="s">
        <v>695</v>
      </c>
      <c r="H64" s="562" t="s">
        <v>313</v>
      </c>
      <c r="I64" s="562" t="s">
        <v>3365</v>
      </c>
      <c r="J64" s="604"/>
      <c r="K64" s="562"/>
      <c r="L64" s="604"/>
      <c r="M64" s="603"/>
      <c r="N64" s="602"/>
      <c r="V64" s="674"/>
      <c r="W64" s="675"/>
      <c r="Z64" s="537" t="s">
        <v>348</v>
      </c>
      <c r="AB64" s="675"/>
    </row>
    <row r="65" spans="1:31" s="536" customFormat="1" ht="12" x14ac:dyDescent="0.2">
      <c r="A65" s="605"/>
      <c r="B65" s="552"/>
      <c r="C65" s="1828" t="s">
        <v>318</v>
      </c>
      <c r="D65" s="1828"/>
      <c r="E65" s="1828"/>
      <c r="F65" s="608"/>
      <c r="G65" s="608"/>
      <c r="H65" s="608"/>
      <c r="I65" s="608"/>
      <c r="J65" s="607">
        <v>253.9</v>
      </c>
      <c r="K65" s="608"/>
      <c r="L65" s="607">
        <v>67.31</v>
      </c>
      <c r="M65" s="601"/>
      <c r="N65" s="606"/>
      <c r="V65" s="674"/>
      <c r="W65" s="675"/>
      <c r="AA65" s="537" t="s">
        <v>318</v>
      </c>
      <c r="AB65" s="675"/>
    </row>
    <row r="66" spans="1:31" s="536" customFormat="1" ht="12" x14ac:dyDescent="0.2">
      <c r="A66" s="605"/>
      <c r="B66" s="552"/>
      <c r="C66" s="1822" t="s">
        <v>319</v>
      </c>
      <c r="D66" s="1822"/>
      <c r="E66" s="1822"/>
      <c r="F66" s="562"/>
      <c r="G66" s="562"/>
      <c r="H66" s="562"/>
      <c r="I66" s="562"/>
      <c r="J66" s="604"/>
      <c r="K66" s="562"/>
      <c r="L66" s="604">
        <v>44.13</v>
      </c>
      <c r="M66" s="603"/>
      <c r="N66" s="602"/>
      <c r="V66" s="674"/>
      <c r="W66" s="675"/>
      <c r="Z66" s="537" t="s">
        <v>319</v>
      </c>
      <c r="AB66" s="675"/>
    </row>
    <row r="67" spans="1:31" s="536" customFormat="1" ht="33.75" x14ac:dyDescent="0.2">
      <c r="A67" s="605"/>
      <c r="B67" s="552" t="s">
        <v>1631</v>
      </c>
      <c r="C67" s="1822" t="s">
        <v>1632</v>
      </c>
      <c r="D67" s="1822"/>
      <c r="E67" s="1822"/>
      <c r="F67" s="562" t="s">
        <v>322</v>
      </c>
      <c r="G67" s="562" t="s">
        <v>1633</v>
      </c>
      <c r="H67" s="562"/>
      <c r="I67" s="562" t="s">
        <v>1633</v>
      </c>
      <c r="J67" s="604"/>
      <c r="K67" s="562"/>
      <c r="L67" s="604">
        <v>42.81</v>
      </c>
      <c r="M67" s="603"/>
      <c r="N67" s="602"/>
      <c r="V67" s="674"/>
      <c r="W67" s="675"/>
      <c r="Z67" s="537" t="s">
        <v>1632</v>
      </c>
      <c r="AB67" s="675"/>
    </row>
    <row r="68" spans="1:31" s="536" customFormat="1" ht="33.75" x14ac:dyDescent="0.2">
      <c r="A68" s="605"/>
      <c r="B68" s="552" t="s">
        <v>1634</v>
      </c>
      <c r="C68" s="1822" t="s">
        <v>1635</v>
      </c>
      <c r="D68" s="1822"/>
      <c r="E68" s="1822"/>
      <c r="F68" s="562" t="s">
        <v>322</v>
      </c>
      <c r="G68" s="562" t="s">
        <v>786</v>
      </c>
      <c r="H68" s="562"/>
      <c r="I68" s="562" t="s">
        <v>786</v>
      </c>
      <c r="J68" s="604"/>
      <c r="K68" s="562"/>
      <c r="L68" s="604">
        <v>22.51</v>
      </c>
      <c r="M68" s="603"/>
      <c r="N68" s="602"/>
      <c r="V68" s="674"/>
      <c r="W68" s="675"/>
      <c r="Z68" s="537" t="s">
        <v>1635</v>
      </c>
      <c r="AB68" s="675"/>
    </row>
    <row r="69" spans="1:31" s="536" customFormat="1" ht="12" x14ac:dyDescent="0.2">
      <c r="A69" s="569"/>
      <c r="B69" s="671"/>
      <c r="C69" s="1823" t="s">
        <v>327</v>
      </c>
      <c r="D69" s="1823"/>
      <c r="E69" s="1823"/>
      <c r="F69" s="573"/>
      <c r="G69" s="573"/>
      <c r="H69" s="573"/>
      <c r="I69" s="573"/>
      <c r="J69" s="572"/>
      <c r="K69" s="573"/>
      <c r="L69" s="572">
        <v>132.63</v>
      </c>
      <c r="M69" s="601"/>
      <c r="N69" s="570"/>
      <c r="V69" s="674"/>
      <c r="W69" s="675"/>
      <c r="AB69" s="675" t="s">
        <v>327</v>
      </c>
    </row>
    <row r="70" spans="1:31" s="536" customFormat="1" ht="1.5" customHeight="1" x14ac:dyDescent="0.2">
      <c r="A70" s="563"/>
      <c r="B70" s="671"/>
      <c r="C70" s="671"/>
      <c r="D70" s="671"/>
      <c r="E70" s="671"/>
      <c r="F70" s="563"/>
      <c r="G70" s="563"/>
      <c r="H70" s="563"/>
      <c r="I70" s="563"/>
      <c r="J70" s="546"/>
      <c r="K70" s="563"/>
      <c r="L70" s="546"/>
      <c r="M70" s="562"/>
      <c r="N70" s="546"/>
      <c r="V70" s="674"/>
      <c r="W70" s="675"/>
      <c r="AB70" s="675"/>
    </row>
    <row r="71" spans="1:31" s="536" customFormat="1" ht="12" x14ac:dyDescent="0.2">
      <c r="A71" s="557"/>
      <c r="B71" s="556"/>
      <c r="C71" s="1823" t="s">
        <v>1645</v>
      </c>
      <c r="D71" s="1823"/>
      <c r="E71" s="1823"/>
      <c r="F71" s="1823"/>
      <c r="G71" s="1823"/>
      <c r="H71" s="1823"/>
      <c r="I71" s="1823"/>
      <c r="J71" s="1823"/>
      <c r="K71" s="1823"/>
      <c r="L71" s="555"/>
      <c r="M71" s="554"/>
      <c r="N71" s="553"/>
      <c r="V71" s="674"/>
      <c r="W71" s="675"/>
      <c r="AB71" s="675"/>
      <c r="AD71" s="675" t="s">
        <v>1645</v>
      </c>
    </row>
    <row r="72" spans="1:31" s="536" customFormat="1" ht="12" x14ac:dyDescent="0.2">
      <c r="A72" s="548"/>
      <c r="B72" s="552"/>
      <c r="C72" s="1822" t="s">
        <v>403</v>
      </c>
      <c r="D72" s="1822"/>
      <c r="E72" s="1822"/>
      <c r="F72" s="1822"/>
      <c r="G72" s="1822"/>
      <c r="H72" s="1822"/>
      <c r="I72" s="1822"/>
      <c r="J72" s="1822"/>
      <c r="K72" s="1822"/>
      <c r="L72" s="551">
        <v>137.63999999999999</v>
      </c>
      <c r="M72" s="550"/>
      <c r="N72" s="549"/>
      <c r="V72" s="674"/>
      <c r="W72" s="675"/>
      <c r="AB72" s="675"/>
      <c r="AD72" s="675"/>
      <c r="AE72" s="537" t="s">
        <v>403</v>
      </c>
    </row>
    <row r="73" spans="1:31" s="536" customFormat="1" ht="12" x14ac:dyDescent="0.2">
      <c r="A73" s="548"/>
      <c r="B73" s="552"/>
      <c r="C73" s="1822" t="s">
        <v>204</v>
      </c>
      <c r="D73" s="1822"/>
      <c r="E73" s="1822"/>
      <c r="F73" s="1822"/>
      <c r="G73" s="1822"/>
      <c r="H73" s="1822"/>
      <c r="I73" s="1822"/>
      <c r="J73" s="1822"/>
      <c r="K73" s="1822"/>
      <c r="L73" s="551"/>
      <c r="M73" s="550"/>
      <c r="N73" s="549"/>
      <c r="V73" s="674"/>
      <c r="W73" s="675"/>
      <c r="AB73" s="675"/>
      <c r="AD73" s="675"/>
      <c r="AE73" s="537" t="s">
        <v>204</v>
      </c>
    </row>
    <row r="74" spans="1:31" s="536" customFormat="1" ht="12" x14ac:dyDescent="0.2">
      <c r="A74" s="548"/>
      <c r="B74" s="552"/>
      <c r="C74" s="1822" t="s">
        <v>404</v>
      </c>
      <c r="D74" s="1822"/>
      <c r="E74" s="1822"/>
      <c r="F74" s="1822"/>
      <c r="G74" s="1822"/>
      <c r="H74" s="1822"/>
      <c r="I74" s="1822"/>
      <c r="J74" s="1822"/>
      <c r="K74" s="1822"/>
      <c r="L74" s="551">
        <v>69.61</v>
      </c>
      <c r="M74" s="550"/>
      <c r="N74" s="549"/>
      <c r="V74" s="674"/>
      <c r="W74" s="675"/>
      <c r="AB74" s="675"/>
      <c r="AD74" s="675"/>
      <c r="AE74" s="537" t="s">
        <v>404</v>
      </c>
    </row>
    <row r="75" spans="1:31" s="536" customFormat="1" ht="12" x14ac:dyDescent="0.2">
      <c r="A75" s="548"/>
      <c r="B75" s="552"/>
      <c r="C75" s="1822" t="s">
        <v>405</v>
      </c>
      <c r="D75" s="1822"/>
      <c r="E75" s="1822"/>
      <c r="F75" s="1822"/>
      <c r="G75" s="1822"/>
      <c r="H75" s="1822"/>
      <c r="I75" s="1822"/>
      <c r="J75" s="1822"/>
      <c r="K75" s="1822"/>
      <c r="L75" s="551">
        <v>42.36</v>
      </c>
      <c r="M75" s="550"/>
      <c r="N75" s="549"/>
      <c r="V75" s="674"/>
      <c r="W75" s="675"/>
      <c r="AB75" s="675"/>
      <c r="AD75" s="675"/>
      <c r="AE75" s="537" t="s">
        <v>405</v>
      </c>
    </row>
    <row r="76" spans="1:31" s="536" customFormat="1" ht="12" x14ac:dyDescent="0.2">
      <c r="A76" s="548"/>
      <c r="B76" s="552"/>
      <c r="C76" s="1822" t="s">
        <v>406</v>
      </c>
      <c r="D76" s="1822"/>
      <c r="E76" s="1822"/>
      <c r="F76" s="1822"/>
      <c r="G76" s="1822"/>
      <c r="H76" s="1822"/>
      <c r="I76" s="1822"/>
      <c r="J76" s="1822"/>
      <c r="K76" s="1822"/>
      <c r="L76" s="551">
        <v>4.3499999999999996</v>
      </c>
      <c r="M76" s="550"/>
      <c r="N76" s="549"/>
      <c r="V76" s="674"/>
      <c r="W76" s="675"/>
      <c r="AB76" s="675"/>
      <c r="AD76" s="675"/>
      <c r="AE76" s="537" t="s">
        <v>406</v>
      </c>
    </row>
    <row r="77" spans="1:31" s="536" customFormat="1" ht="12" x14ac:dyDescent="0.2">
      <c r="A77" s="548"/>
      <c r="B77" s="552"/>
      <c r="C77" s="1822" t="s">
        <v>480</v>
      </c>
      <c r="D77" s="1822"/>
      <c r="E77" s="1822"/>
      <c r="F77" s="1822"/>
      <c r="G77" s="1822"/>
      <c r="H77" s="1822"/>
      <c r="I77" s="1822"/>
      <c r="J77" s="1822"/>
      <c r="K77" s="1822"/>
      <c r="L77" s="551">
        <v>25.67</v>
      </c>
      <c r="M77" s="550"/>
      <c r="N77" s="549"/>
      <c r="V77" s="674"/>
      <c r="W77" s="675"/>
      <c r="AB77" s="675"/>
      <c r="AD77" s="675"/>
      <c r="AE77" s="537" t="s">
        <v>480</v>
      </c>
    </row>
    <row r="78" spans="1:31" s="536" customFormat="1" ht="12" x14ac:dyDescent="0.2">
      <c r="A78" s="548"/>
      <c r="B78" s="552"/>
      <c r="C78" s="1822" t="s">
        <v>753</v>
      </c>
      <c r="D78" s="1822"/>
      <c r="E78" s="1822"/>
      <c r="F78" s="1822"/>
      <c r="G78" s="1822"/>
      <c r="H78" s="1822"/>
      <c r="I78" s="1822"/>
      <c r="J78" s="1822"/>
      <c r="K78" s="1822"/>
      <c r="L78" s="551">
        <v>247.11</v>
      </c>
      <c r="M78" s="550"/>
      <c r="N78" s="549"/>
      <c r="V78" s="674"/>
      <c r="W78" s="675"/>
      <c r="AB78" s="675"/>
      <c r="AD78" s="675"/>
      <c r="AE78" s="537" t="s">
        <v>753</v>
      </c>
    </row>
    <row r="79" spans="1:31" s="536" customFormat="1" ht="12" x14ac:dyDescent="0.2">
      <c r="A79" s="548"/>
      <c r="B79" s="552"/>
      <c r="C79" s="1822" t="s">
        <v>204</v>
      </c>
      <c r="D79" s="1822"/>
      <c r="E79" s="1822"/>
      <c r="F79" s="1822"/>
      <c r="G79" s="1822"/>
      <c r="H79" s="1822"/>
      <c r="I79" s="1822"/>
      <c r="J79" s="1822"/>
      <c r="K79" s="1822"/>
      <c r="L79" s="551"/>
      <c r="M79" s="550"/>
      <c r="N79" s="549"/>
      <c r="V79" s="674"/>
      <c r="W79" s="675"/>
      <c r="AB79" s="675"/>
      <c r="AD79" s="675"/>
      <c r="AE79" s="537" t="s">
        <v>204</v>
      </c>
    </row>
    <row r="80" spans="1:31" s="536" customFormat="1" ht="12" x14ac:dyDescent="0.2">
      <c r="A80" s="548"/>
      <c r="B80" s="552"/>
      <c r="C80" s="1822" t="s">
        <v>546</v>
      </c>
      <c r="D80" s="1822"/>
      <c r="E80" s="1822"/>
      <c r="F80" s="1822"/>
      <c r="G80" s="1822"/>
      <c r="H80" s="1822"/>
      <c r="I80" s="1822"/>
      <c r="J80" s="1822"/>
      <c r="K80" s="1822"/>
      <c r="L80" s="551">
        <v>69.61</v>
      </c>
      <c r="M80" s="550"/>
      <c r="N80" s="549"/>
      <c r="V80" s="674"/>
      <c r="W80" s="675"/>
      <c r="AB80" s="675"/>
      <c r="AD80" s="675"/>
      <c r="AE80" s="537" t="s">
        <v>546</v>
      </c>
    </row>
    <row r="81" spans="1:33" s="536" customFormat="1" ht="12" x14ac:dyDescent="0.2">
      <c r="A81" s="548"/>
      <c r="B81" s="552"/>
      <c r="C81" s="1822" t="s">
        <v>442</v>
      </c>
      <c r="D81" s="1822"/>
      <c r="E81" s="1822"/>
      <c r="F81" s="1822"/>
      <c r="G81" s="1822"/>
      <c r="H81" s="1822"/>
      <c r="I81" s="1822"/>
      <c r="J81" s="1822"/>
      <c r="K81" s="1822"/>
      <c r="L81" s="551">
        <v>42.36</v>
      </c>
      <c r="M81" s="550"/>
      <c r="N81" s="549"/>
      <c r="V81" s="674"/>
      <c r="W81" s="675"/>
      <c r="AB81" s="675"/>
      <c r="AD81" s="675"/>
      <c r="AE81" s="537" t="s">
        <v>442</v>
      </c>
    </row>
    <row r="82" spans="1:33" s="536" customFormat="1" ht="12" x14ac:dyDescent="0.2">
      <c r="A82" s="548"/>
      <c r="B82" s="552"/>
      <c r="C82" s="1822" t="s">
        <v>547</v>
      </c>
      <c r="D82" s="1822"/>
      <c r="E82" s="1822"/>
      <c r="F82" s="1822"/>
      <c r="G82" s="1822"/>
      <c r="H82" s="1822"/>
      <c r="I82" s="1822"/>
      <c r="J82" s="1822"/>
      <c r="K82" s="1822"/>
      <c r="L82" s="551">
        <v>25.67</v>
      </c>
      <c r="M82" s="550"/>
      <c r="N82" s="549"/>
      <c r="V82" s="674"/>
      <c r="W82" s="675"/>
      <c r="AB82" s="675"/>
      <c r="AD82" s="675"/>
      <c r="AE82" s="537" t="s">
        <v>547</v>
      </c>
    </row>
    <row r="83" spans="1:33" s="536" customFormat="1" ht="12" x14ac:dyDescent="0.2">
      <c r="A83" s="548"/>
      <c r="B83" s="552"/>
      <c r="C83" s="1822" t="s">
        <v>443</v>
      </c>
      <c r="D83" s="1822"/>
      <c r="E83" s="1822"/>
      <c r="F83" s="1822"/>
      <c r="G83" s="1822"/>
      <c r="H83" s="1822"/>
      <c r="I83" s="1822"/>
      <c r="J83" s="1822"/>
      <c r="K83" s="1822"/>
      <c r="L83" s="551">
        <v>71.75</v>
      </c>
      <c r="M83" s="550"/>
      <c r="N83" s="549"/>
      <c r="V83" s="674"/>
      <c r="W83" s="675"/>
      <c r="AB83" s="675"/>
      <c r="AD83" s="675"/>
      <c r="AE83" s="537" t="s">
        <v>443</v>
      </c>
    </row>
    <row r="84" spans="1:33" s="536" customFormat="1" ht="12" x14ac:dyDescent="0.2">
      <c r="A84" s="548"/>
      <c r="B84" s="552"/>
      <c r="C84" s="1822" t="s">
        <v>444</v>
      </c>
      <c r="D84" s="1822"/>
      <c r="E84" s="1822"/>
      <c r="F84" s="1822"/>
      <c r="G84" s="1822"/>
      <c r="H84" s="1822"/>
      <c r="I84" s="1822"/>
      <c r="J84" s="1822"/>
      <c r="K84" s="1822"/>
      <c r="L84" s="551">
        <v>37.72</v>
      </c>
      <c r="M84" s="550"/>
      <c r="N84" s="549"/>
      <c r="V84" s="674"/>
      <c r="W84" s="675"/>
      <c r="AB84" s="675"/>
      <c r="AD84" s="675"/>
      <c r="AE84" s="537" t="s">
        <v>444</v>
      </c>
    </row>
    <row r="85" spans="1:33" s="536" customFormat="1" ht="12" x14ac:dyDescent="0.2">
      <c r="A85" s="548"/>
      <c r="B85" s="552"/>
      <c r="C85" s="1822" t="s">
        <v>754</v>
      </c>
      <c r="D85" s="1822"/>
      <c r="E85" s="1822"/>
      <c r="F85" s="1822"/>
      <c r="G85" s="1822"/>
      <c r="H85" s="1822"/>
      <c r="I85" s="1822"/>
      <c r="J85" s="1822"/>
      <c r="K85" s="1822"/>
      <c r="L85" s="551">
        <v>71721.13</v>
      </c>
      <c r="M85" s="550"/>
      <c r="N85" s="549"/>
      <c r="V85" s="674"/>
      <c r="W85" s="675"/>
      <c r="AB85" s="675"/>
      <c r="AD85" s="675"/>
      <c r="AE85" s="537" t="s">
        <v>754</v>
      </c>
    </row>
    <row r="86" spans="1:33" s="536" customFormat="1" ht="12" x14ac:dyDescent="0.2">
      <c r="A86" s="548"/>
      <c r="B86" s="552"/>
      <c r="C86" s="1822" t="s">
        <v>415</v>
      </c>
      <c r="D86" s="1822"/>
      <c r="E86" s="1822"/>
      <c r="F86" s="1822"/>
      <c r="G86" s="1822"/>
      <c r="H86" s="1822"/>
      <c r="I86" s="1822"/>
      <c r="J86" s="1822"/>
      <c r="K86" s="1822"/>
      <c r="L86" s="551">
        <v>73.959999999999994</v>
      </c>
      <c r="M86" s="550"/>
      <c r="N86" s="549"/>
      <c r="V86" s="674"/>
      <c r="W86" s="675"/>
      <c r="AB86" s="675"/>
      <c r="AD86" s="675"/>
      <c r="AE86" s="537" t="s">
        <v>415</v>
      </c>
    </row>
    <row r="87" spans="1:33" s="536" customFormat="1" ht="12" x14ac:dyDescent="0.2">
      <c r="A87" s="548"/>
      <c r="B87" s="552"/>
      <c r="C87" s="1822" t="s">
        <v>416</v>
      </c>
      <c r="D87" s="1822"/>
      <c r="E87" s="1822"/>
      <c r="F87" s="1822"/>
      <c r="G87" s="1822"/>
      <c r="H87" s="1822"/>
      <c r="I87" s="1822"/>
      <c r="J87" s="1822"/>
      <c r="K87" s="1822"/>
      <c r="L87" s="551">
        <v>71.75</v>
      </c>
      <c r="M87" s="550"/>
      <c r="N87" s="549"/>
      <c r="V87" s="674"/>
      <c r="W87" s="675"/>
      <c r="AB87" s="675"/>
      <c r="AD87" s="675"/>
      <c r="AE87" s="537" t="s">
        <v>416</v>
      </c>
    </row>
    <row r="88" spans="1:33" s="536" customFormat="1" ht="12" x14ac:dyDescent="0.2">
      <c r="A88" s="548"/>
      <c r="B88" s="552"/>
      <c r="C88" s="1822" t="s">
        <v>417</v>
      </c>
      <c r="D88" s="1822"/>
      <c r="E88" s="1822"/>
      <c r="F88" s="1822"/>
      <c r="G88" s="1822"/>
      <c r="H88" s="1822"/>
      <c r="I88" s="1822"/>
      <c r="J88" s="1822"/>
      <c r="K88" s="1822"/>
      <c r="L88" s="551">
        <v>37.72</v>
      </c>
      <c r="M88" s="550"/>
      <c r="N88" s="549"/>
      <c r="V88" s="674"/>
      <c r="W88" s="675"/>
      <c r="AB88" s="675"/>
      <c r="AD88" s="675"/>
      <c r="AE88" s="537" t="s">
        <v>417</v>
      </c>
    </row>
    <row r="89" spans="1:33" s="536" customFormat="1" ht="12" x14ac:dyDescent="0.2">
      <c r="A89" s="548"/>
      <c r="B89" s="546"/>
      <c r="C89" s="1819" t="s">
        <v>1646</v>
      </c>
      <c r="D89" s="1819"/>
      <c r="E89" s="1819"/>
      <c r="F89" s="1819"/>
      <c r="G89" s="1819"/>
      <c r="H89" s="1819"/>
      <c r="I89" s="1819"/>
      <c r="J89" s="1819"/>
      <c r="K89" s="1819"/>
      <c r="L89" s="544">
        <v>71968.240000000005</v>
      </c>
      <c r="M89" s="543"/>
      <c r="N89" s="681"/>
      <c r="V89" s="674"/>
      <c r="W89" s="675"/>
      <c r="AB89" s="675"/>
      <c r="AD89" s="675"/>
      <c r="AF89" s="675" t="s">
        <v>1646</v>
      </c>
    </row>
    <row r="90" spans="1:33" s="536" customFormat="1" ht="12" x14ac:dyDescent="0.2">
      <c r="A90" s="548"/>
      <c r="B90" s="552"/>
      <c r="C90" s="1822" t="s">
        <v>204</v>
      </c>
      <c r="D90" s="1822"/>
      <c r="E90" s="1822"/>
      <c r="F90" s="1822"/>
      <c r="G90" s="1822"/>
      <c r="H90" s="1822"/>
      <c r="I90" s="1822"/>
      <c r="J90" s="1822"/>
      <c r="K90" s="1822"/>
      <c r="L90" s="551"/>
      <c r="M90" s="550"/>
      <c r="N90" s="549"/>
      <c r="V90" s="674"/>
      <c r="W90" s="675"/>
      <c r="AB90" s="675"/>
      <c r="AD90" s="675"/>
      <c r="AE90" s="537" t="s">
        <v>204</v>
      </c>
      <c r="AF90" s="675"/>
    </row>
    <row r="91" spans="1:33" s="536" customFormat="1" ht="12" x14ac:dyDescent="0.2">
      <c r="A91" s="548"/>
      <c r="B91" s="552"/>
      <c r="C91" s="1822" t="s">
        <v>8097</v>
      </c>
      <c r="D91" s="1822"/>
      <c r="E91" s="1822"/>
      <c r="F91" s="1822"/>
      <c r="G91" s="1822"/>
      <c r="H91" s="1822"/>
      <c r="I91" s="1822"/>
      <c r="J91" s="1822"/>
      <c r="K91" s="1822"/>
      <c r="L91" s="551">
        <v>71721.13</v>
      </c>
      <c r="M91" s="550"/>
      <c r="N91" s="549"/>
      <c r="V91" s="674"/>
      <c r="W91" s="675"/>
      <c r="AB91" s="675"/>
      <c r="AD91" s="675"/>
      <c r="AE91" s="537" t="s">
        <v>8097</v>
      </c>
      <c r="AF91" s="675"/>
    </row>
    <row r="92" spans="1:33" s="536" customFormat="1" ht="12" x14ac:dyDescent="0.2">
      <c r="A92" s="1824" t="s">
        <v>1647</v>
      </c>
      <c r="B92" s="1825"/>
      <c r="C92" s="1825"/>
      <c r="D92" s="1825"/>
      <c r="E92" s="1825"/>
      <c r="F92" s="1825"/>
      <c r="G92" s="1825"/>
      <c r="H92" s="1825"/>
      <c r="I92" s="1825"/>
      <c r="J92" s="1825"/>
      <c r="K92" s="1825"/>
      <c r="L92" s="1825"/>
      <c r="M92" s="1825"/>
      <c r="N92" s="1826"/>
      <c r="V92" s="674" t="s">
        <v>1647</v>
      </c>
      <c r="W92" s="675"/>
      <c r="AB92" s="675"/>
      <c r="AD92" s="675"/>
      <c r="AF92" s="675"/>
    </row>
    <row r="93" spans="1:33" s="536" customFormat="1" ht="12" x14ac:dyDescent="0.2">
      <c r="A93" s="1830" t="s">
        <v>1648</v>
      </c>
      <c r="B93" s="1831"/>
      <c r="C93" s="1831"/>
      <c r="D93" s="1831"/>
      <c r="E93" s="1831"/>
      <c r="F93" s="1831"/>
      <c r="G93" s="1831"/>
      <c r="H93" s="1831"/>
      <c r="I93" s="1831"/>
      <c r="J93" s="1831"/>
      <c r="K93" s="1831"/>
      <c r="L93" s="1831"/>
      <c r="M93" s="1831"/>
      <c r="N93" s="1832"/>
      <c r="V93" s="674"/>
      <c r="W93" s="675"/>
      <c r="AB93" s="675"/>
      <c r="AD93" s="675"/>
      <c r="AF93" s="675"/>
      <c r="AG93" s="675" t="s">
        <v>1648</v>
      </c>
    </row>
    <row r="94" spans="1:33" s="536" customFormat="1" ht="56.25" x14ac:dyDescent="0.2">
      <c r="A94" s="575" t="s">
        <v>188</v>
      </c>
      <c r="B94" s="670" t="s">
        <v>1649</v>
      </c>
      <c r="C94" s="1823" t="s">
        <v>1650</v>
      </c>
      <c r="D94" s="1823"/>
      <c r="E94" s="1823"/>
      <c r="F94" s="573" t="s">
        <v>307</v>
      </c>
      <c r="G94" s="573"/>
      <c r="H94" s="573"/>
      <c r="I94" s="573" t="s">
        <v>1292</v>
      </c>
      <c r="J94" s="572"/>
      <c r="K94" s="573"/>
      <c r="L94" s="572"/>
      <c r="M94" s="571"/>
      <c r="N94" s="570"/>
      <c r="V94" s="674"/>
      <c r="W94" s="675" t="s">
        <v>1650</v>
      </c>
      <c r="AB94" s="675"/>
      <c r="AD94" s="675"/>
      <c r="AF94" s="675"/>
      <c r="AG94" s="675"/>
    </row>
    <row r="95" spans="1:33" s="536" customFormat="1" ht="12" x14ac:dyDescent="0.2">
      <c r="A95" s="676"/>
      <c r="B95" s="664"/>
      <c r="C95" s="1822" t="s">
        <v>3074</v>
      </c>
      <c r="D95" s="1822"/>
      <c r="E95" s="1822"/>
      <c r="F95" s="1822"/>
      <c r="G95" s="1822"/>
      <c r="H95" s="1822"/>
      <c r="I95" s="1822"/>
      <c r="J95" s="1822"/>
      <c r="K95" s="1822"/>
      <c r="L95" s="1822"/>
      <c r="M95" s="1822"/>
      <c r="N95" s="1827"/>
      <c r="V95" s="674"/>
      <c r="W95" s="675"/>
      <c r="AB95" s="675"/>
      <c r="AC95" s="537" t="s">
        <v>3074</v>
      </c>
      <c r="AD95" s="675"/>
      <c r="AF95" s="675"/>
      <c r="AG95" s="675"/>
    </row>
    <row r="96" spans="1:33" s="536" customFormat="1" ht="33.75" x14ac:dyDescent="0.2">
      <c r="A96" s="609"/>
      <c r="B96" s="552" t="s">
        <v>310</v>
      </c>
      <c r="C96" s="1822" t="s">
        <v>311</v>
      </c>
      <c r="D96" s="1822"/>
      <c r="E96" s="1822"/>
      <c r="F96" s="1822"/>
      <c r="G96" s="1822"/>
      <c r="H96" s="1822"/>
      <c r="I96" s="1822"/>
      <c r="J96" s="1822"/>
      <c r="K96" s="1822"/>
      <c r="L96" s="1822"/>
      <c r="M96" s="1822"/>
      <c r="N96" s="1827"/>
      <c r="V96" s="674"/>
      <c r="W96" s="675"/>
      <c r="X96" s="537" t="s">
        <v>311</v>
      </c>
      <c r="AB96" s="675"/>
      <c r="AD96" s="675"/>
      <c r="AF96" s="675"/>
      <c r="AG96" s="675"/>
    </row>
    <row r="97" spans="1:33" s="536" customFormat="1" ht="12" x14ac:dyDescent="0.2">
      <c r="A97" s="605"/>
      <c r="B97" s="552" t="s">
        <v>185</v>
      </c>
      <c r="C97" s="1822" t="s">
        <v>312</v>
      </c>
      <c r="D97" s="1822"/>
      <c r="E97" s="1822"/>
      <c r="F97" s="562"/>
      <c r="G97" s="562"/>
      <c r="H97" s="562"/>
      <c r="I97" s="562"/>
      <c r="J97" s="604">
        <v>700.75</v>
      </c>
      <c r="K97" s="562" t="s">
        <v>313</v>
      </c>
      <c r="L97" s="604">
        <v>26.28</v>
      </c>
      <c r="M97" s="603"/>
      <c r="N97" s="602"/>
      <c r="V97" s="674"/>
      <c r="W97" s="675"/>
      <c r="Y97" s="537" t="s">
        <v>312</v>
      </c>
      <c r="AB97" s="675"/>
      <c r="AD97" s="675"/>
      <c r="AF97" s="675"/>
      <c r="AG97" s="675"/>
    </row>
    <row r="98" spans="1:33" s="536" customFormat="1" ht="12" x14ac:dyDescent="0.2">
      <c r="A98" s="605"/>
      <c r="B98" s="552" t="s">
        <v>186</v>
      </c>
      <c r="C98" s="1822" t="s">
        <v>344</v>
      </c>
      <c r="D98" s="1822"/>
      <c r="E98" s="1822"/>
      <c r="F98" s="562"/>
      <c r="G98" s="562"/>
      <c r="H98" s="562"/>
      <c r="I98" s="562"/>
      <c r="J98" s="604">
        <v>158.72</v>
      </c>
      <c r="K98" s="562" t="s">
        <v>313</v>
      </c>
      <c r="L98" s="604">
        <v>5.95</v>
      </c>
      <c r="M98" s="603"/>
      <c r="N98" s="602"/>
      <c r="V98" s="674"/>
      <c r="W98" s="675"/>
      <c r="Y98" s="537" t="s">
        <v>344</v>
      </c>
      <c r="AB98" s="675"/>
      <c r="AD98" s="675"/>
      <c r="AF98" s="675"/>
      <c r="AG98" s="675"/>
    </row>
    <row r="99" spans="1:33" s="536" customFormat="1" ht="12" x14ac:dyDescent="0.2">
      <c r="A99" s="605"/>
      <c r="B99" s="552" t="s">
        <v>187</v>
      </c>
      <c r="C99" s="1822" t="s">
        <v>345</v>
      </c>
      <c r="D99" s="1822"/>
      <c r="E99" s="1822"/>
      <c r="F99" s="562"/>
      <c r="G99" s="562"/>
      <c r="H99" s="562"/>
      <c r="I99" s="562"/>
      <c r="J99" s="604">
        <v>21.97</v>
      </c>
      <c r="K99" s="562" t="s">
        <v>313</v>
      </c>
      <c r="L99" s="604">
        <v>0.82</v>
      </c>
      <c r="M99" s="603"/>
      <c r="N99" s="602"/>
      <c r="V99" s="674"/>
      <c r="W99" s="675"/>
      <c r="Y99" s="537" t="s">
        <v>345</v>
      </c>
      <c r="AB99" s="675"/>
      <c r="AD99" s="675"/>
      <c r="AF99" s="675"/>
      <c r="AG99" s="675"/>
    </row>
    <row r="100" spans="1:33" s="536" customFormat="1" ht="12" x14ac:dyDescent="0.2">
      <c r="A100" s="605"/>
      <c r="B100" s="552" t="s">
        <v>188</v>
      </c>
      <c r="C100" s="1822" t="s">
        <v>475</v>
      </c>
      <c r="D100" s="1822"/>
      <c r="E100" s="1822"/>
      <c r="F100" s="562"/>
      <c r="G100" s="562"/>
      <c r="H100" s="562"/>
      <c r="I100" s="562"/>
      <c r="J100" s="604">
        <v>514.36</v>
      </c>
      <c r="K100" s="562"/>
      <c r="L100" s="604">
        <v>15.43</v>
      </c>
      <c r="M100" s="603"/>
      <c r="N100" s="602"/>
      <c r="V100" s="674"/>
      <c r="W100" s="675"/>
      <c r="Y100" s="537" t="s">
        <v>475</v>
      </c>
      <c r="AB100" s="675"/>
      <c r="AD100" s="675"/>
      <c r="AF100" s="675"/>
      <c r="AG100" s="675"/>
    </row>
    <row r="101" spans="1:33" s="536" customFormat="1" ht="12" x14ac:dyDescent="0.2">
      <c r="A101" s="605"/>
      <c r="B101" s="552"/>
      <c r="C101" s="1822" t="s">
        <v>314</v>
      </c>
      <c r="D101" s="1822"/>
      <c r="E101" s="1822"/>
      <c r="F101" s="562" t="s">
        <v>315</v>
      </c>
      <c r="G101" s="562" t="s">
        <v>1652</v>
      </c>
      <c r="H101" s="562" t="s">
        <v>313</v>
      </c>
      <c r="I101" s="562" t="s">
        <v>4039</v>
      </c>
      <c r="J101" s="604"/>
      <c r="K101" s="562"/>
      <c r="L101" s="604"/>
      <c r="M101" s="603"/>
      <c r="N101" s="602"/>
      <c r="V101" s="674"/>
      <c r="W101" s="675"/>
      <c r="Z101" s="537" t="s">
        <v>314</v>
      </c>
      <c r="AB101" s="675"/>
      <c r="AD101" s="675"/>
      <c r="AF101" s="675"/>
      <c r="AG101" s="675"/>
    </row>
    <row r="102" spans="1:33" s="536" customFormat="1" ht="12" x14ac:dyDescent="0.2">
      <c r="A102" s="605"/>
      <c r="B102" s="552"/>
      <c r="C102" s="1822" t="s">
        <v>348</v>
      </c>
      <c r="D102" s="1822"/>
      <c r="E102" s="1822"/>
      <c r="F102" s="562" t="s">
        <v>315</v>
      </c>
      <c r="G102" s="562" t="s">
        <v>1654</v>
      </c>
      <c r="H102" s="562" t="s">
        <v>313</v>
      </c>
      <c r="I102" s="562" t="s">
        <v>2779</v>
      </c>
      <c r="J102" s="604"/>
      <c r="K102" s="562"/>
      <c r="L102" s="604"/>
      <c r="M102" s="603"/>
      <c r="N102" s="602"/>
      <c r="V102" s="674"/>
      <c r="W102" s="675"/>
      <c r="Z102" s="537" t="s">
        <v>348</v>
      </c>
      <c r="AB102" s="675"/>
      <c r="AD102" s="675"/>
      <c r="AF102" s="675"/>
      <c r="AG102" s="675"/>
    </row>
    <row r="103" spans="1:33" s="536" customFormat="1" ht="12" x14ac:dyDescent="0.2">
      <c r="A103" s="605"/>
      <c r="B103" s="552"/>
      <c r="C103" s="1828" t="s">
        <v>318</v>
      </c>
      <c r="D103" s="1828"/>
      <c r="E103" s="1828"/>
      <c r="F103" s="608"/>
      <c r="G103" s="608"/>
      <c r="H103" s="608"/>
      <c r="I103" s="608"/>
      <c r="J103" s="607">
        <v>1373.83</v>
      </c>
      <c r="K103" s="608"/>
      <c r="L103" s="607">
        <v>47.66</v>
      </c>
      <c r="M103" s="601"/>
      <c r="N103" s="606"/>
      <c r="V103" s="674"/>
      <c r="W103" s="675"/>
      <c r="AA103" s="537" t="s">
        <v>318</v>
      </c>
      <c r="AB103" s="675"/>
      <c r="AD103" s="675"/>
      <c r="AF103" s="675"/>
      <c r="AG103" s="675"/>
    </row>
    <row r="104" spans="1:33" s="536" customFormat="1" ht="12" x14ac:dyDescent="0.2">
      <c r="A104" s="605"/>
      <c r="B104" s="552"/>
      <c r="C104" s="1822" t="s">
        <v>319</v>
      </c>
      <c r="D104" s="1822"/>
      <c r="E104" s="1822"/>
      <c r="F104" s="562"/>
      <c r="G104" s="562"/>
      <c r="H104" s="562"/>
      <c r="I104" s="562"/>
      <c r="J104" s="604"/>
      <c r="K104" s="562"/>
      <c r="L104" s="604">
        <v>27.1</v>
      </c>
      <c r="M104" s="603"/>
      <c r="N104" s="602"/>
      <c r="V104" s="674"/>
      <c r="W104" s="675"/>
      <c r="Z104" s="537" t="s">
        <v>319</v>
      </c>
      <c r="AB104" s="675"/>
      <c r="AD104" s="675"/>
      <c r="AF104" s="675"/>
      <c r="AG104" s="675"/>
    </row>
    <row r="105" spans="1:33" s="536" customFormat="1" ht="33.75" x14ac:dyDescent="0.2">
      <c r="A105" s="605"/>
      <c r="B105" s="552" t="s">
        <v>1631</v>
      </c>
      <c r="C105" s="1822" t="s">
        <v>1632</v>
      </c>
      <c r="D105" s="1822"/>
      <c r="E105" s="1822"/>
      <c r="F105" s="562" t="s">
        <v>322</v>
      </c>
      <c r="G105" s="562" t="s">
        <v>1633</v>
      </c>
      <c r="H105" s="562"/>
      <c r="I105" s="562" t="s">
        <v>1633</v>
      </c>
      <c r="J105" s="604"/>
      <c r="K105" s="562"/>
      <c r="L105" s="604">
        <v>26.29</v>
      </c>
      <c r="M105" s="603"/>
      <c r="N105" s="602"/>
      <c r="V105" s="674"/>
      <c r="W105" s="675"/>
      <c r="Z105" s="537" t="s">
        <v>1632</v>
      </c>
      <c r="AB105" s="675"/>
      <c r="AD105" s="675"/>
      <c r="AF105" s="675"/>
      <c r="AG105" s="675"/>
    </row>
    <row r="106" spans="1:33" s="536" customFormat="1" ht="33.75" x14ac:dyDescent="0.2">
      <c r="A106" s="605"/>
      <c r="B106" s="552" t="s">
        <v>1634</v>
      </c>
      <c r="C106" s="1822" t="s">
        <v>1635</v>
      </c>
      <c r="D106" s="1822"/>
      <c r="E106" s="1822"/>
      <c r="F106" s="562" t="s">
        <v>322</v>
      </c>
      <c r="G106" s="562" t="s">
        <v>786</v>
      </c>
      <c r="H106" s="562"/>
      <c r="I106" s="562" t="s">
        <v>786</v>
      </c>
      <c r="J106" s="604"/>
      <c r="K106" s="562"/>
      <c r="L106" s="604">
        <v>13.82</v>
      </c>
      <c r="M106" s="603"/>
      <c r="N106" s="602"/>
      <c r="V106" s="674"/>
      <c r="W106" s="675"/>
      <c r="Z106" s="537" t="s">
        <v>1635</v>
      </c>
      <c r="AB106" s="675"/>
      <c r="AD106" s="675"/>
      <c r="AF106" s="675"/>
      <c r="AG106" s="675"/>
    </row>
    <row r="107" spans="1:33" s="536" customFormat="1" ht="12" x14ac:dyDescent="0.2">
      <c r="A107" s="569"/>
      <c r="B107" s="671"/>
      <c r="C107" s="1823" t="s">
        <v>327</v>
      </c>
      <c r="D107" s="1823"/>
      <c r="E107" s="1823"/>
      <c r="F107" s="573"/>
      <c r="G107" s="573"/>
      <c r="H107" s="573"/>
      <c r="I107" s="573"/>
      <c r="J107" s="572"/>
      <c r="K107" s="573"/>
      <c r="L107" s="572">
        <v>87.77</v>
      </c>
      <c r="M107" s="601"/>
      <c r="N107" s="570"/>
      <c r="V107" s="674"/>
      <c r="W107" s="675"/>
      <c r="AB107" s="675" t="s">
        <v>327</v>
      </c>
      <c r="AD107" s="675"/>
      <c r="AF107" s="675"/>
      <c r="AG107" s="675"/>
    </row>
    <row r="108" spans="1:33" s="536" customFormat="1" ht="33.75" x14ac:dyDescent="0.2">
      <c r="A108" s="575" t="s">
        <v>189</v>
      </c>
      <c r="B108" s="670" t="s">
        <v>4040</v>
      </c>
      <c r="C108" s="1823" t="s">
        <v>1657</v>
      </c>
      <c r="D108" s="1823"/>
      <c r="E108" s="1823"/>
      <c r="F108" s="573" t="s">
        <v>628</v>
      </c>
      <c r="G108" s="573"/>
      <c r="H108" s="573"/>
      <c r="I108" s="573" t="s">
        <v>187</v>
      </c>
      <c r="J108" s="572">
        <v>4286.97</v>
      </c>
      <c r="K108" s="573" t="s">
        <v>716</v>
      </c>
      <c r="L108" s="572">
        <v>1576.68</v>
      </c>
      <c r="M108" s="571">
        <v>8.32</v>
      </c>
      <c r="N108" s="570">
        <v>13118</v>
      </c>
      <c r="V108" s="674"/>
      <c r="W108" s="675" t="s">
        <v>1657</v>
      </c>
      <c r="AB108" s="675"/>
      <c r="AD108" s="675"/>
      <c r="AF108" s="675"/>
      <c r="AG108" s="675"/>
    </row>
    <row r="109" spans="1:33" s="536" customFormat="1" ht="12" x14ac:dyDescent="0.2">
      <c r="A109" s="569"/>
      <c r="B109" s="671"/>
      <c r="C109" s="665" t="s">
        <v>1658</v>
      </c>
      <c r="D109" s="666"/>
      <c r="E109" s="666"/>
      <c r="F109" s="563"/>
      <c r="G109" s="563"/>
      <c r="H109" s="563"/>
      <c r="I109" s="563"/>
      <c r="J109" s="566"/>
      <c r="K109" s="563"/>
      <c r="L109" s="566"/>
      <c r="M109" s="565"/>
      <c r="N109" s="564"/>
      <c r="V109" s="674"/>
      <c r="W109" s="675"/>
      <c r="AB109" s="675"/>
      <c r="AD109" s="675"/>
      <c r="AF109" s="675"/>
      <c r="AG109" s="675"/>
    </row>
    <row r="110" spans="1:33" s="536" customFormat="1" ht="22.5" x14ac:dyDescent="0.2">
      <c r="A110" s="609"/>
      <c r="B110" s="552" t="s">
        <v>718</v>
      </c>
      <c r="C110" s="1822" t="s">
        <v>719</v>
      </c>
      <c r="D110" s="1822"/>
      <c r="E110" s="1822"/>
      <c r="F110" s="1822"/>
      <c r="G110" s="1822"/>
      <c r="H110" s="1822"/>
      <c r="I110" s="1822"/>
      <c r="J110" s="1822"/>
      <c r="K110" s="1822"/>
      <c r="L110" s="1822"/>
      <c r="M110" s="1822"/>
      <c r="N110" s="1827"/>
      <c r="V110" s="674"/>
      <c r="W110" s="675"/>
      <c r="X110" s="537" t="s">
        <v>719</v>
      </c>
      <c r="AB110" s="675"/>
      <c r="AD110" s="675"/>
      <c r="AF110" s="675"/>
      <c r="AG110" s="675"/>
    </row>
    <row r="111" spans="1:33" s="536" customFormat="1" ht="12" x14ac:dyDescent="0.2">
      <c r="A111" s="1830" t="s">
        <v>1659</v>
      </c>
      <c r="B111" s="1831"/>
      <c r="C111" s="1831"/>
      <c r="D111" s="1831"/>
      <c r="E111" s="1831"/>
      <c r="F111" s="1831"/>
      <c r="G111" s="1831"/>
      <c r="H111" s="1831"/>
      <c r="I111" s="1831"/>
      <c r="J111" s="1831"/>
      <c r="K111" s="1831"/>
      <c r="L111" s="1831"/>
      <c r="M111" s="1831"/>
      <c r="N111" s="1832"/>
      <c r="V111" s="674"/>
      <c r="W111" s="675"/>
      <c r="AB111" s="675"/>
      <c r="AD111" s="675"/>
      <c r="AF111" s="675"/>
      <c r="AG111" s="675" t="s">
        <v>1659</v>
      </c>
    </row>
    <row r="112" spans="1:33" s="536" customFormat="1" ht="22.5" x14ac:dyDescent="0.2">
      <c r="A112" s="575" t="s">
        <v>190</v>
      </c>
      <c r="B112" s="670" t="s">
        <v>1660</v>
      </c>
      <c r="C112" s="1823" t="s">
        <v>1661</v>
      </c>
      <c r="D112" s="1823"/>
      <c r="E112" s="1823"/>
      <c r="F112" s="573" t="s">
        <v>307</v>
      </c>
      <c r="G112" s="573"/>
      <c r="H112" s="573"/>
      <c r="I112" s="573" t="s">
        <v>809</v>
      </c>
      <c r="J112" s="572"/>
      <c r="K112" s="573"/>
      <c r="L112" s="572"/>
      <c r="M112" s="571"/>
      <c r="N112" s="570"/>
      <c r="V112" s="674"/>
      <c r="W112" s="675" t="s">
        <v>1661</v>
      </c>
      <c r="AB112" s="675"/>
      <c r="AD112" s="675"/>
      <c r="AF112" s="675"/>
      <c r="AG112" s="675"/>
    </row>
    <row r="113" spans="1:33" s="536" customFormat="1" ht="12" x14ac:dyDescent="0.2">
      <c r="A113" s="676"/>
      <c r="B113" s="664"/>
      <c r="C113" s="1822" t="s">
        <v>843</v>
      </c>
      <c r="D113" s="1822"/>
      <c r="E113" s="1822"/>
      <c r="F113" s="1822"/>
      <c r="G113" s="1822"/>
      <c r="H113" s="1822"/>
      <c r="I113" s="1822"/>
      <c r="J113" s="1822"/>
      <c r="K113" s="1822"/>
      <c r="L113" s="1822"/>
      <c r="M113" s="1822"/>
      <c r="N113" s="1827"/>
      <c r="V113" s="674"/>
      <c r="W113" s="675"/>
      <c r="AB113" s="675"/>
      <c r="AC113" s="537" t="s">
        <v>843</v>
      </c>
      <c r="AD113" s="675"/>
      <c r="AF113" s="675"/>
      <c r="AG113" s="675"/>
    </row>
    <row r="114" spans="1:33" s="536" customFormat="1" ht="33.75" x14ac:dyDescent="0.2">
      <c r="A114" s="609"/>
      <c r="B114" s="552" t="s">
        <v>310</v>
      </c>
      <c r="C114" s="1822" t="s">
        <v>311</v>
      </c>
      <c r="D114" s="1822"/>
      <c r="E114" s="1822"/>
      <c r="F114" s="1822"/>
      <c r="G114" s="1822"/>
      <c r="H114" s="1822"/>
      <c r="I114" s="1822"/>
      <c r="J114" s="1822"/>
      <c r="K114" s="1822"/>
      <c r="L114" s="1822"/>
      <c r="M114" s="1822"/>
      <c r="N114" s="1827"/>
      <c r="V114" s="674"/>
      <c r="W114" s="675"/>
      <c r="X114" s="537" t="s">
        <v>311</v>
      </c>
      <c r="AB114" s="675"/>
      <c r="AD114" s="675"/>
      <c r="AF114" s="675"/>
      <c r="AG114" s="675"/>
    </row>
    <row r="115" spans="1:33" s="536" customFormat="1" ht="12" x14ac:dyDescent="0.2">
      <c r="A115" s="605"/>
      <c r="B115" s="552" t="s">
        <v>185</v>
      </c>
      <c r="C115" s="1822" t="s">
        <v>312</v>
      </c>
      <c r="D115" s="1822"/>
      <c r="E115" s="1822"/>
      <c r="F115" s="562"/>
      <c r="G115" s="562"/>
      <c r="H115" s="562"/>
      <c r="I115" s="562"/>
      <c r="J115" s="604">
        <v>603.14</v>
      </c>
      <c r="K115" s="562" t="s">
        <v>313</v>
      </c>
      <c r="L115" s="604">
        <v>7.54</v>
      </c>
      <c r="M115" s="603"/>
      <c r="N115" s="602"/>
      <c r="V115" s="674"/>
      <c r="W115" s="675"/>
      <c r="Y115" s="537" t="s">
        <v>312</v>
      </c>
      <c r="AB115" s="675"/>
      <c r="AD115" s="675"/>
      <c r="AF115" s="675"/>
      <c r="AG115" s="675"/>
    </row>
    <row r="116" spans="1:33" s="536" customFormat="1" ht="12" x14ac:dyDescent="0.2">
      <c r="A116" s="605"/>
      <c r="B116" s="552" t="s">
        <v>186</v>
      </c>
      <c r="C116" s="1822" t="s">
        <v>344</v>
      </c>
      <c r="D116" s="1822"/>
      <c r="E116" s="1822"/>
      <c r="F116" s="562"/>
      <c r="G116" s="562"/>
      <c r="H116" s="562"/>
      <c r="I116" s="562"/>
      <c r="J116" s="604">
        <v>34.92</v>
      </c>
      <c r="K116" s="562" t="s">
        <v>313</v>
      </c>
      <c r="L116" s="604">
        <v>0.44</v>
      </c>
      <c r="M116" s="603"/>
      <c r="N116" s="602"/>
      <c r="V116" s="674"/>
      <c r="W116" s="675"/>
      <c r="Y116" s="537" t="s">
        <v>344</v>
      </c>
      <c r="AB116" s="675"/>
      <c r="AD116" s="675"/>
      <c r="AF116" s="675"/>
      <c r="AG116" s="675"/>
    </row>
    <row r="117" spans="1:33" s="536" customFormat="1" ht="12" x14ac:dyDescent="0.2">
      <c r="A117" s="605"/>
      <c r="B117" s="552" t="s">
        <v>187</v>
      </c>
      <c r="C117" s="1822" t="s">
        <v>345</v>
      </c>
      <c r="D117" s="1822"/>
      <c r="E117" s="1822"/>
      <c r="F117" s="562"/>
      <c r="G117" s="562"/>
      <c r="H117" s="562"/>
      <c r="I117" s="562"/>
      <c r="J117" s="604">
        <v>1.51</v>
      </c>
      <c r="K117" s="562" t="s">
        <v>313</v>
      </c>
      <c r="L117" s="604">
        <v>0.02</v>
      </c>
      <c r="M117" s="603"/>
      <c r="N117" s="602"/>
      <c r="V117" s="674"/>
      <c r="W117" s="675"/>
      <c r="Y117" s="537" t="s">
        <v>345</v>
      </c>
      <c r="AB117" s="675"/>
      <c r="AD117" s="675"/>
      <c r="AF117" s="675"/>
      <c r="AG117" s="675"/>
    </row>
    <row r="118" spans="1:33" s="536" customFormat="1" ht="12" x14ac:dyDescent="0.2">
      <c r="A118" s="605"/>
      <c r="B118" s="552" t="s">
        <v>188</v>
      </c>
      <c r="C118" s="1822" t="s">
        <v>475</v>
      </c>
      <c r="D118" s="1822"/>
      <c r="E118" s="1822"/>
      <c r="F118" s="562"/>
      <c r="G118" s="562"/>
      <c r="H118" s="562"/>
      <c r="I118" s="562"/>
      <c r="J118" s="604">
        <v>135.44</v>
      </c>
      <c r="K118" s="562"/>
      <c r="L118" s="604">
        <v>1.35</v>
      </c>
      <c r="M118" s="603"/>
      <c r="N118" s="602"/>
      <c r="V118" s="674"/>
      <c r="W118" s="675"/>
      <c r="Y118" s="537" t="s">
        <v>475</v>
      </c>
      <c r="AB118" s="675"/>
      <c r="AD118" s="675"/>
      <c r="AF118" s="675"/>
      <c r="AG118" s="675"/>
    </row>
    <row r="119" spans="1:33" s="536" customFormat="1" ht="12" x14ac:dyDescent="0.2">
      <c r="A119" s="605"/>
      <c r="B119" s="552"/>
      <c r="C119" s="1822" t="s">
        <v>314</v>
      </c>
      <c r="D119" s="1822"/>
      <c r="E119" s="1822"/>
      <c r="F119" s="562" t="s">
        <v>315</v>
      </c>
      <c r="G119" s="562" t="s">
        <v>1662</v>
      </c>
      <c r="H119" s="562" t="s">
        <v>313</v>
      </c>
      <c r="I119" s="562" t="s">
        <v>2541</v>
      </c>
      <c r="J119" s="604"/>
      <c r="K119" s="562"/>
      <c r="L119" s="604"/>
      <c r="M119" s="603"/>
      <c r="N119" s="602"/>
      <c r="V119" s="674"/>
      <c r="W119" s="675"/>
      <c r="Z119" s="537" t="s">
        <v>314</v>
      </c>
      <c r="AB119" s="675"/>
      <c r="AD119" s="675"/>
      <c r="AF119" s="675"/>
      <c r="AG119" s="675"/>
    </row>
    <row r="120" spans="1:33" s="536" customFormat="1" ht="12" x14ac:dyDescent="0.2">
      <c r="A120" s="605"/>
      <c r="B120" s="552"/>
      <c r="C120" s="1822" t="s">
        <v>348</v>
      </c>
      <c r="D120" s="1822"/>
      <c r="E120" s="1822"/>
      <c r="F120" s="562" t="s">
        <v>315</v>
      </c>
      <c r="G120" s="562" t="s">
        <v>646</v>
      </c>
      <c r="H120" s="562" t="s">
        <v>313</v>
      </c>
      <c r="I120" s="562" t="s">
        <v>2487</v>
      </c>
      <c r="J120" s="604"/>
      <c r="K120" s="562"/>
      <c r="L120" s="604"/>
      <c r="M120" s="603"/>
      <c r="N120" s="602"/>
      <c r="V120" s="674"/>
      <c r="W120" s="675"/>
      <c r="Z120" s="537" t="s">
        <v>348</v>
      </c>
      <c r="AB120" s="675"/>
      <c r="AD120" s="675"/>
      <c r="AF120" s="675"/>
      <c r="AG120" s="675"/>
    </row>
    <row r="121" spans="1:33" s="536" customFormat="1" ht="12" x14ac:dyDescent="0.2">
      <c r="A121" s="605"/>
      <c r="B121" s="552"/>
      <c r="C121" s="1828" t="s">
        <v>318</v>
      </c>
      <c r="D121" s="1828"/>
      <c r="E121" s="1828"/>
      <c r="F121" s="608"/>
      <c r="G121" s="608"/>
      <c r="H121" s="608"/>
      <c r="I121" s="608"/>
      <c r="J121" s="607">
        <v>773.5</v>
      </c>
      <c r="K121" s="608"/>
      <c r="L121" s="607">
        <v>9.33</v>
      </c>
      <c r="M121" s="601"/>
      <c r="N121" s="606"/>
      <c r="V121" s="674"/>
      <c r="W121" s="675"/>
      <c r="AA121" s="537" t="s">
        <v>318</v>
      </c>
      <c r="AB121" s="675"/>
      <c r="AD121" s="675"/>
      <c r="AF121" s="675"/>
      <c r="AG121" s="675"/>
    </row>
    <row r="122" spans="1:33" s="536" customFormat="1" ht="12" x14ac:dyDescent="0.2">
      <c r="A122" s="605"/>
      <c r="B122" s="552"/>
      <c r="C122" s="1822" t="s">
        <v>319</v>
      </c>
      <c r="D122" s="1822"/>
      <c r="E122" s="1822"/>
      <c r="F122" s="562"/>
      <c r="G122" s="562"/>
      <c r="H122" s="562"/>
      <c r="I122" s="562"/>
      <c r="J122" s="604"/>
      <c r="K122" s="562"/>
      <c r="L122" s="604">
        <v>7.56</v>
      </c>
      <c r="M122" s="603"/>
      <c r="N122" s="602"/>
      <c r="V122" s="674"/>
      <c r="W122" s="675"/>
      <c r="Z122" s="537" t="s">
        <v>319</v>
      </c>
      <c r="AB122" s="675"/>
      <c r="AD122" s="675"/>
      <c r="AF122" s="675"/>
      <c r="AG122" s="675"/>
    </row>
    <row r="123" spans="1:33" s="536" customFormat="1" ht="33.75" x14ac:dyDescent="0.2">
      <c r="A123" s="605"/>
      <c r="B123" s="552" t="s">
        <v>1631</v>
      </c>
      <c r="C123" s="1822" t="s">
        <v>1632</v>
      </c>
      <c r="D123" s="1822"/>
      <c r="E123" s="1822"/>
      <c r="F123" s="562" t="s">
        <v>322</v>
      </c>
      <c r="G123" s="562" t="s">
        <v>1633</v>
      </c>
      <c r="H123" s="562"/>
      <c r="I123" s="562" t="s">
        <v>1633</v>
      </c>
      <c r="J123" s="604"/>
      <c r="K123" s="562"/>
      <c r="L123" s="604">
        <v>7.33</v>
      </c>
      <c r="M123" s="603"/>
      <c r="N123" s="602"/>
      <c r="V123" s="674"/>
      <c r="W123" s="675"/>
      <c r="Z123" s="537" t="s">
        <v>1632</v>
      </c>
      <c r="AB123" s="675"/>
      <c r="AD123" s="675"/>
      <c r="AF123" s="675"/>
      <c r="AG123" s="675"/>
    </row>
    <row r="124" spans="1:33" s="536" customFormat="1" ht="33.75" x14ac:dyDescent="0.2">
      <c r="A124" s="605"/>
      <c r="B124" s="552" t="s">
        <v>1634</v>
      </c>
      <c r="C124" s="1822" t="s">
        <v>1635</v>
      </c>
      <c r="D124" s="1822"/>
      <c r="E124" s="1822"/>
      <c r="F124" s="562" t="s">
        <v>322</v>
      </c>
      <c r="G124" s="562" t="s">
        <v>786</v>
      </c>
      <c r="H124" s="562"/>
      <c r="I124" s="562" t="s">
        <v>786</v>
      </c>
      <c r="J124" s="604"/>
      <c r="K124" s="562"/>
      <c r="L124" s="604">
        <v>3.86</v>
      </c>
      <c r="M124" s="603"/>
      <c r="N124" s="602"/>
      <c r="V124" s="674"/>
      <c r="W124" s="675"/>
      <c r="Z124" s="537" t="s">
        <v>1635</v>
      </c>
      <c r="AB124" s="675"/>
      <c r="AD124" s="675"/>
      <c r="AF124" s="675"/>
      <c r="AG124" s="675"/>
    </row>
    <row r="125" spans="1:33" s="536" customFormat="1" ht="12" x14ac:dyDescent="0.2">
      <c r="A125" s="569"/>
      <c r="B125" s="671"/>
      <c r="C125" s="1823" t="s">
        <v>327</v>
      </c>
      <c r="D125" s="1823"/>
      <c r="E125" s="1823"/>
      <c r="F125" s="573"/>
      <c r="G125" s="573"/>
      <c r="H125" s="573"/>
      <c r="I125" s="573"/>
      <c r="J125" s="572"/>
      <c r="K125" s="573"/>
      <c r="L125" s="572">
        <v>20.52</v>
      </c>
      <c r="M125" s="601"/>
      <c r="N125" s="570"/>
      <c r="V125" s="674"/>
      <c r="W125" s="675"/>
      <c r="AB125" s="675" t="s">
        <v>327</v>
      </c>
      <c r="AD125" s="675"/>
      <c r="AF125" s="675"/>
      <c r="AG125" s="675"/>
    </row>
    <row r="126" spans="1:33" s="536" customFormat="1" ht="33.75" x14ac:dyDescent="0.2">
      <c r="A126" s="575" t="s">
        <v>191</v>
      </c>
      <c r="B126" s="670" t="s">
        <v>2251</v>
      </c>
      <c r="C126" s="1823" t="s">
        <v>2252</v>
      </c>
      <c r="D126" s="1823"/>
      <c r="E126" s="1823"/>
      <c r="F126" s="573" t="s">
        <v>628</v>
      </c>
      <c r="G126" s="573"/>
      <c r="H126" s="573"/>
      <c r="I126" s="573" t="s">
        <v>185</v>
      </c>
      <c r="J126" s="572">
        <v>175.06</v>
      </c>
      <c r="K126" s="573" t="s">
        <v>716</v>
      </c>
      <c r="L126" s="572">
        <v>21.51</v>
      </c>
      <c r="M126" s="571">
        <v>8.32</v>
      </c>
      <c r="N126" s="570">
        <v>179</v>
      </c>
      <c r="V126" s="674"/>
      <c r="W126" s="675" t="s">
        <v>2252</v>
      </c>
      <c r="AB126" s="675"/>
      <c r="AD126" s="675"/>
      <c r="AF126" s="675"/>
      <c r="AG126" s="675"/>
    </row>
    <row r="127" spans="1:33" s="536" customFormat="1" ht="12" x14ac:dyDescent="0.2">
      <c r="A127" s="569"/>
      <c r="B127" s="671"/>
      <c r="C127" s="665" t="s">
        <v>1658</v>
      </c>
      <c r="D127" s="666"/>
      <c r="E127" s="666"/>
      <c r="F127" s="563"/>
      <c r="G127" s="563"/>
      <c r="H127" s="563"/>
      <c r="I127" s="563"/>
      <c r="J127" s="566"/>
      <c r="K127" s="563"/>
      <c r="L127" s="566"/>
      <c r="M127" s="565"/>
      <c r="N127" s="564"/>
      <c r="V127" s="674"/>
      <c r="W127" s="675"/>
      <c r="AB127" s="675"/>
      <c r="AD127" s="675"/>
      <c r="AF127" s="675"/>
      <c r="AG127" s="675"/>
    </row>
    <row r="128" spans="1:33" s="536" customFormat="1" ht="22.5" x14ac:dyDescent="0.2">
      <c r="A128" s="609"/>
      <c r="B128" s="552" t="s">
        <v>718</v>
      </c>
      <c r="C128" s="1822" t="s">
        <v>719</v>
      </c>
      <c r="D128" s="1822"/>
      <c r="E128" s="1822"/>
      <c r="F128" s="1822"/>
      <c r="G128" s="1822"/>
      <c r="H128" s="1822"/>
      <c r="I128" s="1822"/>
      <c r="J128" s="1822"/>
      <c r="K128" s="1822"/>
      <c r="L128" s="1822"/>
      <c r="M128" s="1822"/>
      <c r="N128" s="1827"/>
      <c r="V128" s="674"/>
      <c r="W128" s="675"/>
      <c r="X128" s="537" t="s">
        <v>719</v>
      </c>
      <c r="AB128" s="675"/>
      <c r="AD128" s="675"/>
      <c r="AF128" s="675"/>
      <c r="AG128" s="675"/>
    </row>
    <row r="129" spans="1:33" s="536" customFormat="1" ht="12" x14ac:dyDescent="0.2">
      <c r="A129" s="1830" t="s">
        <v>1667</v>
      </c>
      <c r="B129" s="1831"/>
      <c r="C129" s="1831"/>
      <c r="D129" s="1831"/>
      <c r="E129" s="1831"/>
      <c r="F129" s="1831"/>
      <c r="G129" s="1831"/>
      <c r="H129" s="1831"/>
      <c r="I129" s="1831"/>
      <c r="J129" s="1831"/>
      <c r="K129" s="1831"/>
      <c r="L129" s="1831"/>
      <c r="M129" s="1831"/>
      <c r="N129" s="1832"/>
      <c r="V129" s="674"/>
      <c r="W129" s="675"/>
      <c r="AB129" s="675"/>
      <c r="AD129" s="675"/>
      <c r="AF129" s="675"/>
      <c r="AG129" s="675" t="s">
        <v>1667</v>
      </c>
    </row>
    <row r="130" spans="1:33" s="536" customFormat="1" ht="45" x14ac:dyDescent="0.2">
      <c r="A130" s="575" t="s">
        <v>192</v>
      </c>
      <c r="B130" s="670" t="s">
        <v>1668</v>
      </c>
      <c r="C130" s="1823" t="s">
        <v>1669</v>
      </c>
      <c r="D130" s="1823"/>
      <c r="E130" s="1823"/>
      <c r="F130" s="573" t="s">
        <v>1110</v>
      </c>
      <c r="G130" s="573"/>
      <c r="H130" s="573"/>
      <c r="I130" s="573" t="s">
        <v>890</v>
      </c>
      <c r="J130" s="572"/>
      <c r="K130" s="573"/>
      <c r="L130" s="572"/>
      <c r="M130" s="571"/>
      <c r="N130" s="570"/>
      <c r="V130" s="674"/>
      <c r="W130" s="675" t="s">
        <v>1669</v>
      </c>
      <c r="AB130" s="675"/>
      <c r="AD130" s="675"/>
      <c r="AF130" s="675"/>
      <c r="AG130" s="675"/>
    </row>
    <row r="131" spans="1:33" s="536" customFormat="1" ht="12" x14ac:dyDescent="0.2">
      <c r="A131" s="676"/>
      <c r="B131" s="664"/>
      <c r="C131" s="1822" t="s">
        <v>2333</v>
      </c>
      <c r="D131" s="1822"/>
      <c r="E131" s="1822"/>
      <c r="F131" s="1822"/>
      <c r="G131" s="1822"/>
      <c r="H131" s="1822"/>
      <c r="I131" s="1822"/>
      <c r="J131" s="1822"/>
      <c r="K131" s="1822"/>
      <c r="L131" s="1822"/>
      <c r="M131" s="1822"/>
      <c r="N131" s="1827"/>
      <c r="V131" s="674"/>
      <c r="W131" s="675"/>
      <c r="AB131" s="675"/>
      <c r="AC131" s="537" t="s">
        <v>2333</v>
      </c>
      <c r="AD131" s="675"/>
      <c r="AF131" s="675"/>
      <c r="AG131" s="675"/>
    </row>
    <row r="132" spans="1:33" s="536" customFormat="1" ht="33.75" x14ac:dyDescent="0.2">
      <c r="A132" s="609"/>
      <c r="B132" s="552" t="s">
        <v>310</v>
      </c>
      <c r="C132" s="1822" t="s">
        <v>311</v>
      </c>
      <c r="D132" s="1822"/>
      <c r="E132" s="1822"/>
      <c r="F132" s="1822"/>
      <c r="G132" s="1822"/>
      <c r="H132" s="1822"/>
      <c r="I132" s="1822"/>
      <c r="J132" s="1822"/>
      <c r="K132" s="1822"/>
      <c r="L132" s="1822"/>
      <c r="M132" s="1822"/>
      <c r="N132" s="1827"/>
      <c r="V132" s="674"/>
      <c r="W132" s="675"/>
      <c r="X132" s="537" t="s">
        <v>311</v>
      </c>
      <c r="AB132" s="675"/>
      <c r="AD132" s="675"/>
      <c r="AF132" s="675"/>
      <c r="AG132" s="675"/>
    </row>
    <row r="133" spans="1:33" s="536" customFormat="1" ht="12" x14ac:dyDescent="0.2">
      <c r="A133" s="605"/>
      <c r="B133" s="552" t="s">
        <v>185</v>
      </c>
      <c r="C133" s="1822" t="s">
        <v>312</v>
      </c>
      <c r="D133" s="1822"/>
      <c r="E133" s="1822"/>
      <c r="F133" s="562"/>
      <c r="G133" s="562"/>
      <c r="H133" s="562"/>
      <c r="I133" s="562"/>
      <c r="J133" s="604">
        <v>139.54</v>
      </c>
      <c r="K133" s="562" t="s">
        <v>313</v>
      </c>
      <c r="L133" s="604">
        <v>34.89</v>
      </c>
      <c r="M133" s="603"/>
      <c r="N133" s="602"/>
      <c r="V133" s="674"/>
      <c r="W133" s="675"/>
      <c r="Y133" s="537" t="s">
        <v>312</v>
      </c>
      <c r="AB133" s="675"/>
      <c r="AD133" s="675"/>
      <c r="AF133" s="675"/>
      <c r="AG133" s="675"/>
    </row>
    <row r="134" spans="1:33" s="536" customFormat="1" ht="12" x14ac:dyDescent="0.2">
      <c r="A134" s="605"/>
      <c r="B134" s="552" t="s">
        <v>188</v>
      </c>
      <c r="C134" s="1822" t="s">
        <v>475</v>
      </c>
      <c r="D134" s="1822"/>
      <c r="E134" s="1822"/>
      <c r="F134" s="562"/>
      <c r="G134" s="562"/>
      <c r="H134" s="562"/>
      <c r="I134" s="562"/>
      <c r="J134" s="604">
        <v>16.79</v>
      </c>
      <c r="K134" s="562"/>
      <c r="L134" s="604">
        <v>3.36</v>
      </c>
      <c r="M134" s="603"/>
      <c r="N134" s="602"/>
      <c r="V134" s="674"/>
      <c r="W134" s="675"/>
      <c r="Y134" s="537" t="s">
        <v>475</v>
      </c>
      <c r="AB134" s="675"/>
      <c r="AD134" s="675"/>
      <c r="AF134" s="675"/>
      <c r="AG134" s="675"/>
    </row>
    <row r="135" spans="1:33" s="536" customFormat="1" ht="12" x14ac:dyDescent="0.2">
      <c r="A135" s="605"/>
      <c r="B135" s="552"/>
      <c r="C135" s="1822" t="s">
        <v>314</v>
      </c>
      <c r="D135" s="1822"/>
      <c r="E135" s="1822"/>
      <c r="F135" s="562" t="s">
        <v>315</v>
      </c>
      <c r="G135" s="562" t="s">
        <v>1671</v>
      </c>
      <c r="H135" s="562" t="s">
        <v>313</v>
      </c>
      <c r="I135" s="562" t="s">
        <v>422</v>
      </c>
      <c r="J135" s="604"/>
      <c r="K135" s="562"/>
      <c r="L135" s="604"/>
      <c r="M135" s="603"/>
      <c r="N135" s="602"/>
      <c r="V135" s="674"/>
      <c r="W135" s="675"/>
      <c r="Z135" s="537" t="s">
        <v>314</v>
      </c>
      <c r="AB135" s="675"/>
      <c r="AD135" s="675"/>
      <c r="AF135" s="675"/>
      <c r="AG135" s="675"/>
    </row>
    <row r="136" spans="1:33" s="536" customFormat="1" ht="12" x14ac:dyDescent="0.2">
      <c r="A136" s="605"/>
      <c r="B136" s="552"/>
      <c r="C136" s="1828" t="s">
        <v>318</v>
      </c>
      <c r="D136" s="1828"/>
      <c r="E136" s="1828"/>
      <c r="F136" s="608"/>
      <c r="G136" s="608"/>
      <c r="H136" s="608"/>
      <c r="I136" s="608"/>
      <c r="J136" s="607">
        <v>156.33000000000001</v>
      </c>
      <c r="K136" s="608"/>
      <c r="L136" s="607">
        <v>38.25</v>
      </c>
      <c r="M136" s="601"/>
      <c r="N136" s="606"/>
      <c r="V136" s="674"/>
      <c r="W136" s="675"/>
      <c r="AA136" s="537" t="s">
        <v>318</v>
      </c>
      <c r="AB136" s="675"/>
      <c r="AD136" s="675"/>
      <c r="AF136" s="675"/>
      <c r="AG136" s="675"/>
    </row>
    <row r="137" spans="1:33" s="536" customFormat="1" ht="12" x14ac:dyDescent="0.2">
      <c r="A137" s="605"/>
      <c r="B137" s="552"/>
      <c r="C137" s="1822" t="s">
        <v>319</v>
      </c>
      <c r="D137" s="1822"/>
      <c r="E137" s="1822"/>
      <c r="F137" s="562"/>
      <c r="G137" s="562"/>
      <c r="H137" s="562"/>
      <c r="I137" s="562"/>
      <c r="J137" s="604"/>
      <c r="K137" s="562"/>
      <c r="L137" s="604">
        <v>34.89</v>
      </c>
      <c r="M137" s="603"/>
      <c r="N137" s="602"/>
      <c r="V137" s="674"/>
      <c r="W137" s="675"/>
      <c r="Z137" s="537" t="s">
        <v>319</v>
      </c>
      <c r="AB137" s="675"/>
      <c r="AD137" s="675"/>
      <c r="AF137" s="675"/>
      <c r="AG137" s="675"/>
    </row>
    <row r="138" spans="1:33" s="536" customFormat="1" ht="33.75" x14ac:dyDescent="0.2">
      <c r="A138" s="605"/>
      <c r="B138" s="552" t="s">
        <v>1631</v>
      </c>
      <c r="C138" s="1822" t="s">
        <v>1632</v>
      </c>
      <c r="D138" s="1822"/>
      <c r="E138" s="1822"/>
      <c r="F138" s="562" t="s">
        <v>322</v>
      </c>
      <c r="G138" s="562" t="s">
        <v>1633</v>
      </c>
      <c r="H138" s="562"/>
      <c r="I138" s="562" t="s">
        <v>1633</v>
      </c>
      <c r="J138" s="604"/>
      <c r="K138" s="562"/>
      <c r="L138" s="604">
        <v>33.840000000000003</v>
      </c>
      <c r="M138" s="603"/>
      <c r="N138" s="602"/>
      <c r="V138" s="674"/>
      <c r="W138" s="675"/>
      <c r="Z138" s="537" t="s">
        <v>1632</v>
      </c>
      <c r="AB138" s="675"/>
      <c r="AD138" s="675"/>
      <c r="AF138" s="675"/>
      <c r="AG138" s="675"/>
    </row>
    <row r="139" spans="1:33" s="536" customFormat="1" ht="33.75" x14ac:dyDescent="0.2">
      <c r="A139" s="605"/>
      <c r="B139" s="552" t="s">
        <v>1634</v>
      </c>
      <c r="C139" s="1822" t="s">
        <v>1635</v>
      </c>
      <c r="D139" s="1822"/>
      <c r="E139" s="1822"/>
      <c r="F139" s="562" t="s">
        <v>322</v>
      </c>
      <c r="G139" s="562" t="s">
        <v>786</v>
      </c>
      <c r="H139" s="562"/>
      <c r="I139" s="562" t="s">
        <v>786</v>
      </c>
      <c r="J139" s="604"/>
      <c r="K139" s="562"/>
      <c r="L139" s="604">
        <v>17.79</v>
      </c>
      <c r="M139" s="603"/>
      <c r="N139" s="602"/>
      <c r="V139" s="674"/>
      <c r="W139" s="675"/>
      <c r="Z139" s="537" t="s">
        <v>1635</v>
      </c>
      <c r="AB139" s="675"/>
      <c r="AD139" s="675"/>
      <c r="AF139" s="675"/>
      <c r="AG139" s="675"/>
    </row>
    <row r="140" spans="1:33" s="536" customFormat="1" ht="12" x14ac:dyDescent="0.2">
      <c r="A140" s="569"/>
      <c r="B140" s="671"/>
      <c r="C140" s="1823" t="s">
        <v>327</v>
      </c>
      <c r="D140" s="1823"/>
      <c r="E140" s="1823"/>
      <c r="F140" s="573"/>
      <c r="G140" s="573"/>
      <c r="H140" s="573"/>
      <c r="I140" s="573"/>
      <c r="J140" s="572"/>
      <c r="K140" s="573"/>
      <c r="L140" s="572">
        <v>89.88</v>
      </c>
      <c r="M140" s="601"/>
      <c r="N140" s="570"/>
      <c r="V140" s="674"/>
      <c r="W140" s="675"/>
      <c r="AB140" s="675" t="s">
        <v>327</v>
      </c>
      <c r="AD140" s="675"/>
      <c r="AF140" s="675"/>
      <c r="AG140" s="675"/>
    </row>
    <row r="141" spans="1:33" s="536" customFormat="1" ht="33.75" x14ac:dyDescent="0.2">
      <c r="A141" s="575" t="s">
        <v>193</v>
      </c>
      <c r="B141" s="670" t="s">
        <v>1673</v>
      </c>
      <c r="C141" s="1823" t="s">
        <v>1674</v>
      </c>
      <c r="D141" s="1823"/>
      <c r="E141" s="1823"/>
      <c r="F141" s="573" t="s">
        <v>483</v>
      </c>
      <c r="G141" s="573"/>
      <c r="H141" s="573"/>
      <c r="I141" s="573" t="s">
        <v>2336</v>
      </c>
      <c r="J141" s="572">
        <v>113.74</v>
      </c>
      <c r="K141" s="573" t="s">
        <v>716</v>
      </c>
      <c r="L141" s="572">
        <v>284.5</v>
      </c>
      <c r="M141" s="571">
        <v>8.32</v>
      </c>
      <c r="N141" s="570">
        <v>2367</v>
      </c>
      <c r="V141" s="674"/>
      <c r="W141" s="675" t="s">
        <v>1674</v>
      </c>
      <c r="AB141" s="675"/>
      <c r="AD141" s="675"/>
      <c r="AF141" s="675"/>
      <c r="AG141" s="675"/>
    </row>
    <row r="142" spans="1:33" s="536" customFormat="1" ht="12" x14ac:dyDescent="0.2">
      <c r="A142" s="569"/>
      <c r="B142" s="671"/>
      <c r="C142" s="665" t="s">
        <v>1658</v>
      </c>
      <c r="D142" s="666"/>
      <c r="E142" s="666"/>
      <c r="F142" s="563"/>
      <c r="G142" s="563"/>
      <c r="H142" s="563"/>
      <c r="I142" s="563"/>
      <c r="J142" s="566"/>
      <c r="K142" s="563"/>
      <c r="L142" s="566"/>
      <c r="M142" s="565"/>
      <c r="N142" s="564"/>
      <c r="V142" s="674"/>
      <c r="W142" s="675"/>
      <c r="AB142" s="675"/>
      <c r="AD142" s="675"/>
      <c r="AF142" s="675"/>
      <c r="AG142" s="675"/>
    </row>
    <row r="143" spans="1:33" s="536" customFormat="1" ht="12" x14ac:dyDescent="0.2">
      <c r="A143" s="676"/>
      <c r="B143" s="664"/>
      <c r="C143" s="1822" t="s">
        <v>2337</v>
      </c>
      <c r="D143" s="1822"/>
      <c r="E143" s="1822"/>
      <c r="F143" s="1822"/>
      <c r="G143" s="1822"/>
      <c r="H143" s="1822"/>
      <c r="I143" s="1822"/>
      <c r="J143" s="1822"/>
      <c r="K143" s="1822"/>
      <c r="L143" s="1822"/>
      <c r="M143" s="1822"/>
      <c r="N143" s="1827"/>
      <c r="V143" s="674"/>
      <c r="W143" s="675"/>
      <c r="AB143" s="675"/>
      <c r="AC143" s="537" t="s">
        <v>2337</v>
      </c>
      <c r="AD143" s="675"/>
      <c r="AF143" s="675"/>
      <c r="AG143" s="675"/>
    </row>
    <row r="144" spans="1:33" s="536" customFormat="1" ht="22.5" x14ac:dyDescent="0.2">
      <c r="A144" s="609"/>
      <c r="B144" s="552" t="s">
        <v>718</v>
      </c>
      <c r="C144" s="1822" t="s">
        <v>719</v>
      </c>
      <c r="D144" s="1822"/>
      <c r="E144" s="1822"/>
      <c r="F144" s="1822"/>
      <c r="G144" s="1822"/>
      <c r="H144" s="1822"/>
      <c r="I144" s="1822"/>
      <c r="J144" s="1822"/>
      <c r="K144" s="1822"/>
      <c r="L144" s="1822"/>
      <c r="M144" s="1822"/>
      <c r="N144" s="1827"/>
      <c r="V144" s="674"/>
      <c r="W144" s="675"/>
      <c r="X144" s="537" t="s">
        <v>719</v>
      </c>
      <c r="AB144" s="675"/>
      <c r="AD144" s="675"/>
      <c r="AF144" s="675"/>
      <c r="AG144" s="675"/>
    </row>
    <row r="145" spans="1:33" s="536" customFormat="1" ht="33.75" x14ac:dyDescent="0.2">
      <c r="A145" s="575" t="s">
        <v>194</v>
      </c>
      <c r="B145" s="670" t="s">
        <v>1677</v>
      </c>
      <c r="C145" s="1823" t="s">
        <v>1678</v>
      </c>
      <c r="D145" s="1823"/>
      <c r="E145" s="1823"/>
      <c r="F145" s="573" t="s">
        <v>617</v>
      </c>
      <c r="G145" s="573"/>
      <c r="H145" s="573"/>
      <c r="I145" s="573" t="s">
        <v>677</v>
      </c>
      <c r="J145" s="572">
        <v>161</v>
      </c>
      <c r="K145" s="573" t="s">
        <v>716</v>
      </c>
      <c r="L145" s="572">
        <v>789.54</v>
      </c>
      <c r="M145" s="571">
        <v>8.32</v>
      </c>
      <c r="N145" s="570">
        <v>6569</v>
      </c>
      <c r="V145" s="674"/>
      <c r="W145" s="675" t="s">
        <v>1678</v>
      </c>
      <c r="AB145" s="675"/>
      <c r="AD145" s="675"/>
      <c r="AF145" s="675"/>
      <c r="AG145" s="675"/>
    </row>
    <row r="146" spans="1:33" s="536" customFormat="1" ht="12" x14ac:dyDescent="0.2">
      <c r="A146" s="569"/>
      <c r="B146" s="671"/>
      <c r="C146" s="665" t="s">
        <v>1658</v>
      </c>
      <c r="D146" s="666"/>
      <c r="E146" s="666"/>
      <c r="F146" s="563"/>
      <c r="G146" s="563"/>
      <c r="H146" s="563"/>
      <c r="I146" s="563"/>
      <c r="J146" s="566"/>
      <c r="K146" s="563"/>
      <c r="L146" s="566"/>
      <c r="M146" s="565"/>
      <c r="N146" s="564"/>
      <c r="V146" s="674"/>
      <c r="W146" s="675"/>
      <c r="AB146" s="675"/>
      <c r="AD146" s="675"/>
      <c r="AF146" s="675"/>
      <c r="AG146" s="675"/>
    </row>
    <row r="147" spans="1:33" s="536" customFormat="1" ht="22.5" x14ac:dyDescent="0.2">
      <c r="A147" s="609"/>
      <c r="B147" s="552" t="s">
        <v>718</v>
      </c>
      <c r="C147" s="1822" t="s">
        <v>719</v>
      </c>
      <c r="D147" s="1822"/>
      <c r="E147" s="1822"/>
      <c r="F147" s="1822"/>
      <c r="G147" s="1822"/>
      <c r="H147" s="1822"/>
      <c r="I147" s="1822"/>
      <c r="J147" s="1822"/>
      <c r="K147" s="1822"/>
      <c r="L147" s="1822"/>
      <c r="M147" s="1822"/>
      <c r="N147" s="1827"/>
      <c r="V147" s="674"/>
      <c r="W147" s="675"/>
      <c r="X147" s="537" t="s">
        <v>719</v>
      </c>
      <c r="AB147" s="675"/>
      <c r="AD147" s="675"/>
      <c r="AF147" s="675"/>
      <c r="AG147" s="675"/>
    </row>
    <row r="148" spans="1:33" s="536" customFormat="1" ht="56.25" x14ac:dyDescent="0.2">
      <c r="A148" s="575" t="s">
        <v>195</v>
      </c>
      <c r="B148" s="670" t="s">
        <v>1680</v>
      </c>
      <c r="C148" s="1823" t="s">
        <v>1681</v>
      </c>
      <c r="D148" s="1823"/>
      <c r="E148" s="1823"/>
      <c r="F148" s="573" t="s">
        <v>1110</v>
      </c>
      <c r="G148" s="573"/>
      <c r="H148" s="573"/>
      <c r="I148" s="573" t="s">
        <v>890</v>
      </c>
      <c r="J148" s="572"/>
      <c r="K148" s="573"/>
      <c r="L148" s="572"/>
      <c r="M148" s="571"/>
      <c r="N148" s="570"/>
      <c r="V148" s="674"/>
      <c r="W148" s="675" t="s">
        <v>1681</v>
      </c>
      <c r="AB148" s="675"/>
      <c r="AD148" s="675"/>
      <c r="AF148" s="675"/>
      <c r="AG148" s="675"/>
    </row>
    <row r="149" spans="1:33" s="536" customFormat="1" ht="12" x14ac:dyDescent="0.2">
      <c r="A149" s="676"/>
      <c r="B149" s="664"/>
      <c r="C149" s="1822" t="s">
        <v>2333</v>
      </c>
      <c r="D149" s="1822"/>
      <c r="E149" s="1822"/>
      <c r="F149" s="1822"/>
      <c r="G149" s="1822"/>
      <c r="H149" s="1822"/>
      <c r="I149" s="1822"/>
      <c r="J149" s="1822"/>
      <c r="K149" s="1822"/>
      <c r="L149" s="1822"/>
      <c r="M149" s="1822"/>
      <c r="N149" s="1827"/>
      <c r="V149" s="674"/>
      <c r="W149" s="675"/>
      <c r="AB149" s="675"/>
      <c r="AC149" s="537" t="s">
        <v>2333</v>
      </c>
      <c r="AD149" s="675"/>
      <c r="AF149" s="675"/>
      <c r="AG149" s="675"/>
    </row>
    <row r="150" spans="1:33" s="536" customFormat="1" ht="33.75" x14ac:dyDescent="0.2">
      <c r="A150" s="609"/>
      <c r="B150" s="552" t="s">
        <v>310</v>
      </c>
      <c r="C150" s="1822" t="s">
        <v>311</v>
      </c>
      <c r="D150" s="1822"/>
      <c r="E150" s="1822"/>
      <c r="F150" s="1822"/>
      <c r="G150" s="1822"/>
      <c r="H150" s="1822"/>
      <c r="I150" s="1822"/>
      <c r="J150" s="1822"/>
      <c r="K150" s="1822"/>
      <c r="L150" s="1822"/>
      <c r="M150" s="1822"/>
      <c r="N150" s="1827"/>
      <c r="V150" s="674"/>
      <c r="W150" s="675"/>
      <c r="X150" s="537" t="s">
        <v>311</v>
      </c>
      <c r="AB150" s="675"/>
      <c r="AD150" s="675"/>
      <c r="AF150" s="675"/>
      <c r="AG150" s="675"/>
    </row>
    <row r="151" spans="1:33" s="536" customFormat="1" ht="12" x14ac:dyDescent="0.2">
      <c r="A151" s="605"/>
      <c r="B151" s="552" t="s">
        <v>185</v>
      </c>
      <c r="C151" s="1822" t="s">
        <v>312</v>
      </c>
      <c r="D151" s="1822"/>
      <c r="E151" s="1822"/>
      <c r="F151" s="562"/>
      <c r="G151" s="562"/>
      <c r="H151" s="562"/>
      <c r="I151" s="562"/>
      <c r="J151" s="604">
        <v>50.67</v>
      </c>
      <c r="K151" s="562" t="s">
        <v>313</v>
      </c>
      <c r="L151" s="604">
        <v>12.67</v>
      </c>
      <c r="M151" s="603"/>
      <c r="N151" s="602"/>
      <c r="V151" s="674"/>
      <c r="W151" s="675"/>
      <c r="Y151" s="537" t="s">
        <v>312</v>
      </c>
      <c r="AB151" s="675"/>
      <c r="AD151" s="675"/>
      <c r="AF151" s="675"/>
      <c r="AG151" s="675"/>
    </row>
    <row r="152" spans="1:33" s="536" customFormat="1" ht="12" x14ac:dyDescent="0.2">
      <c r="A152" s="605"/>
      <c r="B152" s="552" t="s">
        <v>186</v>
      </c>
      <c r="C152" s="1822" t="s">
        <v>344</v>
      </c>
      <c r="D152" s="1822"/>
      <c r="E152" s="1822"/>
      <c r="F152" s="562"/>
      <c r="G152" s="562"/>
      <c r="H152" s="562"/>
      <c r="I152" s="562"/>
      <c r="J152" s="604">
        <v>3.62</v>
      </c>
      <c r="K152" s="562" t="s">
        <v>313</v>
      </c>
      <c r="L152" s="604">
        <v>0.91</v>
      </c>
      <c r="M152" s="603"/>
      <c r="N152" s="602"/>
      <c r="V152" s="674"/>
      <c r="W152" s="675"/>
      <c r="Y152" s="537" t="s">
        <v>344</v>
      </c>
      <c r="AB152" s="675"/>
      <c r="AD152" s="675"/>
      <c r="AF152" s="675"/>
      <c r="AG152" s="675"/>
    </row>
    <row r="153" spans="1:33" s="536" customFormat="1" ht="12" x14ac:dyDescent="0.2">
      <c r="A153" s="605"/>
      <c r="B153" s="552" t="s">
        <v>187</v>
      </c>
      <c r="C153" s="1822" t="s">
        <v>345</v>
      </c>
      <c r="D153" s="1822"/>
      <c r="E153" s="1822"/>
      <c r="F153" s="562"/>
      <c r="G153" s="562"/>
      <c r="H153" s="562"/>
      <c r="I153" s="562"/>
      <c r="J153" s="604">
        <v>0.5</v>
      </c>
      <c r="K153" s="562" t="s">
        <v>313</v>
      </c>
      <c r="L153" s="604">
        <v>0.13</v>
      </c>
      <c r="M153" s="603"/>
      <c r="N153" s="602"/>
      <c r="V153" s="674"/>
      <c r="W153" s="675"/>
      <c r="Y153" s="537" t="s">
        <v>345</v>
      </c>
      <c r="AB153" s="675"/>
      <c r="AD153" s="675"/>
      <c r="AF153" s="675"/>
      <c r="AG153" s="675"/>
    </row>
    <row r="154" spans="1:33" s="536" customFormat="1" ht="12" x14ac:dyDescent="0.2">
      <c r="A154" s="605"/>
      <c r="B154" s="552" t="s">
        <v>188</v>
      </c>
      <c r="C154" s="1822" t="s">
        <v>475</v>
      </c>
      <c r="D154" s="1822"/>
      <c r="E154" s="1822"/>
      <c r="F154" s="562"/>
      <c r="G154" s="562"/>
      <c r="H154" s="562"/>
      <c r="I154" s="562"/>
      <c r="J154" s="604">
        <v>14.48</v>
      </c>
      <c r="K154" s="562"/>
      <c r="L154" s="604">
        <v>2.9</v>
      </c>
      <c r="M154" s="603"/>
      <c r="N154" s="602"/>
      <c r="V154" s="674"/>
      <c r="W154" s="675"/>
      <c r="Y154" s="537" t="s">
        <v>475</v>
      </c>
      <c r="AB154" s="675"/>
      <c r="AD154" s="675"/>
      <c r="AF154" s="675"/>
      <c r="AG154" s="675"/>
    </row>
    <row r="155" spans="1:33" s="536" customFormat="1" ht="12" x14ac:dyDescent="0.2">
      <c r="A155" s="605"/>
      <c r="B155" s="552"/>
      <c r="C155" s="1822" t="s">
        <v>314</v>
      </c>
      <c r="D155" s="1822"/>
      <c r="E155" s="1822"/>
      <c r="F155" s="562" t="s">
        <v>315</v>
      </c>
      <c r="G155" s="562" t="s">
        <v>1682</v>
      </c>
      <c r="H155" s="562" t="s">
        <v>313</v>
      </c>
      <c r="I155" s="562" t="s">
        <v>2334</v>
      </c>
      <c r="J155" s="604"/>
      <c r="K155" s="562"/>
      <c r="L155" s="604"/>
      <c r="M155" s="603"/>
      <c r="N155" s="602"/>
      <c r="V155" s="674"/>
      <c r="W155" s="675"/>
      <c r="Z155" s="537" t="s">
        <v>314</v>
      </c>
      <c r="AB155" s="675"/>
      <c r="AD155" s="675"/>
      <c r="AF155" s="675"/>
      <c r="AG155" s="675"/>
    </row>
    <row r="156" spans="1:33" s="536" customFormat="1" ht="12" x14ac:dyDescent="0.2">
      <c r="A156" s="605"/>
      <c r="B156" s="552"/>
      <c r="C156" s="1822" t="s">
        <v>348</v>
      </c>
      <c r="D156" s="1822"/>
      <c r="E156" s="1822"/>
      <c r="F156" s="562" t="s">
        <v>315</v>
      </c>
      <c r="G156" s="562" t="s">
        <v>728</v>
      </c>
      <c r="H156" s="562" t="s">
        <v>313</v>
      </c>
      <c r="I156" s="562" t="s">
        <v>809</v>
      </c>
      <c r="J156" s="604"/>
      <c r="K156" s="562"/>
      <c r="L156" s="604"/>
      <c r="M156" s="603"/>
      <c r="N156" s="602"/>
      <c r="V156" s="674"/>
      <c r="W156" s="675"/>
      <c r="Z156" s="537" t="s">
        <v>348</v>
      </c>
      <c r="AB156" s="675"/>
      <c r="AD156" s="675"/>
      <c r="AF156" s="675"/>
      <c r="AG156" s="675"/>
    </row>
    <row r="157" spans="1:33" s="536" customFormat="1" ht="12" x14ac:dyDescent="0.2">
      <c r="A157" s="605"/>
      <c r="B157" s="552"/>
      <c r="C157" s="1828" t="s">
        <v>318</v>
      </c>
      <c r="D157" s="1828"/>
      <c r="E157" s="1828"/>
      <c r="F157" s="608"/>
      <c r="G157" s="608"/>
      <c r="H157" s="608"/>
      <c r="I157" s="608"/>
      <c r="J157" s="607">
        <v>68.77</v>
      </c>
      <c r="K157" s="608"/>
      <c r="L157" s="607">
        <v>16.48</v>
      </c>
      <c r="M157" s="601"/>
      <c r="N157" s="606"/>
      <c r="V157" s="674"/>
      <c r="W157" s="675"/>
      <c r="AA157" s="537" t="s">
        <v>318</v>
      </c>
      <c r="AB157" s="675"/>
      <c r="AD157" s="675"/>
      <c r="AF157" s="675"/>
      <c r="AG157" s="675"/>
    </row>
    <row r="158" spans="1:33" s="536" customFormat="1" ht="12" x14ac:dyDescent="0.2">
      <c r="A158" s="605"/>
      <c r="B158" s="552"/>
      <c r="C158" s="1822" t="s">
        <v>319</v>
      </c>
      <c r="D158" s="1822"/>
      <c r="E158" s="1822"/>
      <c r="F158" s="562"/>
      <c r="G158" s="562"/>
      <c r="H158" s="562"/>
      <c r="I158" s="562"/>
      <c r="J158" s="604"/>
      <c r="K158" s="562"/>
      <c r="L158" s="604">
        <v>12.8</v>
      </c>
      <c r="M158" s="603"/>
      <c r="N158" s="602"/>
      <c r="V158" s="674"/>
      <c r="W158" s="675"/>
      <c r="Z158" s="537" t="s">
        <v>319</v>
      </c>
      <c r="AB158" s="675"/>
      <c r="AD158" s="675"/>
      <c r="AF158" s="675"/>
      <c r="AG158" s="675"/>
    </row>
    <row r="159" spans="1:33" s="536" customFormat="1" ht="33.75" x14ac:dyDescent="0.2">
      <c r="A159" s="605"/>
      <c r="B159" s="552" t="s">
        <v>1631</v>
      </c>
      <c r="C159" s="1822" t="s">
        <v>1632</v>
      </c>
      <c r="D159" s="1822"/>
      <c r="E159" s="1822"/>
      <c r="F159" s="562" t="s">
        <v>322</v>
      </c>
      <c r="G159" s="562" t="s">
        <v>1633</v>
      </c>
      <c r="H159" s="562"/>
      <c r="I159" s="562" t="s">
        <v>1633</v>
      </c>
      <c r="J159" s="604"/>
      <c r="K159" s="562"/>
      <c r="L159" s="604">
        <v>12.42</v>
      </c>
      <c r="M159" s="603"/>
      <c r="N159" s="602"/>
      <c r="V159" s="674"/>
      <c r="W159" s="675"/>
      <c r="Z159" s="537" t="s">
        <v>1632</v>
      </c>
      <c r="AB159" s="675"/>
      <c r="AD159" s="675"/>
      <c r="AF159" s="675"/>
      <c r="AG159" s="675"/>
    </row>
    <row r="160" spans="1:33" s="536" customFormat="1" ht="33.75" x14ac:dyDescent="0.2">
      <c r="A160" s="605"/>
      <c r="B160" s="552" t="s">
        <v>1634</v>
      </c>
      <c r="C160" s="1822" t="s">
        <v>1635</v>
      </c>
      <c r="D160" s="1822"/>
      <c r="E160" s="1822"/>
      <c r="F160" s="562" t="s">
        <v>322</v>
      </c>
      <c r="G160" s="562" t="s">
        <v>786</v>
      </c>
      <c r="H160" s="562"/>
      <c r="I160" s="562" t="s">
        <v>786</v>
      </c>
      <c r="J160" s="604"/>
      <c r="K160" s="562"/>
      <c r="L160" s="604">
        <v>6.53</v>
      </c>
      <c r="M160" s="603"/>
      <c r="N160" s="602"/>
      <c r="V160" s="674"/>
      <c r="W160" s="675"/>
      <c r="Z160" s="537" t="s">
        <v>1635</v>
      </c>
      <c r="AB160" s="675"/>
      <c r="AD160" s="675"/>
      <c r="AF160" s="675"/>
      <c r="AG160" s="675"/>
    </row>
    <row r="161" spans="1:33" s="536" customFormat="1" ht="12" x14ac:dyDescent="0.2">
      <c r="A161" s="569"/>
      <c r="B161" s="671"/>
      <c r="C161" s="1823" t="s">
        <v>327</v>
      </c>
      <c r="D161" s="1823"/>
      <c r="E161" s="1823"/>
      <c r="F161" s="573"/>
      <c r="G161" s="573"/>
      <c r="H161" s="573"/>
      <c r="I161" s="573"/>
      <c r="J161" s="572"/>
      <c r="K161" s="573"/>
      <c r="L161" s="572">
        <v>35.43</v>
      </c>
      <c r="M161" s="601"/>
      <c r="N161" s="570"/>
      <c r="V161" s="674"/>
      <c r="W161" s="675"/>
      <c r="AB161" s="675" t="s">
        <v>327</v>
      </c>
      <c r="AD161" s="675"/>
      <c r="AF161" s="675"/>
      <c r="AG161" s="675"/>
    </row>
    <row r="162" spans="1:33" s="536" customFormat="1" ht="22.5" x14ac:dyDescent="0.2">
      <c r="A162" s="575" t="s">
        <v>196</v>
      </c>
      <c r="B162" s="670" t="s">
        <v>1685</v>
      </c>
      <c r="C162" s="1823" t="s">
        <v>1686</v>
      </c>
      <c r="D162" s="1823"/>
      <c r="E162" s="1823"/>
      <c r="F162" s="573" t="s">
        <v>1687</v>
      </c>
      <c r="G162" s="573"/>
      <c r="H162" s="573"/>
      <c r="I162" s="573" t="s">
        <v>2379</v>
      </c>
      <c r="J162" s="572">
        <v>4832.12</v>
      </c>
      <c r="K162" s="573"/>
      <c r="L162" s="572">
        <v>98.58</v>
      </c>
      <c r="M162" s="571"/>
      <c r="N162" s="570"/>
      <c r="V162" s="674"/>
      <c r="W162" s="675" t="s">
        <v>1686</v>
      </c>
      <c r="AB162" s="675"/>
      <c r="AD162" s="675"/>
      <c r="AF162" s="675"/>
      <c r="AG162" s="675"/>
    </row>
    <row r="163" spans="1:33" s="536" customFormat="1" ht="12" x14ac:dyDescent="0.2">
      <c r="A163" s="569"/>
      <c r="B163" s="671"/>
      <c r="C163" s="665" t="s">
        <v>1658</v>
      </c>
      <c r="D163" s="666"/>
      <c r="E163" s="666"/>
      <c r="F163" s="563"/>
      <c r="G163" s="563"/>
      <c r="H163" s="563"/>
      <c r="I163" s="563"/>
      <c r="J163" s="566"/>
      <c r="K163" s="563"/>
      <c r="L163" s="566"/>
      <c r="M163" s="565"/>
      <c r="N163" s="564"/>
      <c r="V163" s="674"/>
      <c r="W163" s="675"/>
      <c r="AB163" s="675"/>
      <c r="AD163" s="675"/>
      <c r="AF163" s="675"/>
      <c r="AG163" s="675"/>
    </row>
    <row r="164" spans="1:33" s="536" customFormat="1" ht="12" x14ac:dyDescent="0.2">
      <c r="A164" s="676"/>
      <c r="B164" s="664"/>
      <c r="C164" s="1822" t="s">
        <v>2380</v>
      </c>
      <c r="D164" s="1822"/>
      <c r="E164" s="1822"/>
      <c r="F164" s="1822"/>
      <c r="G164" s="1822"/>
      <c r="H164" s="1822"/>
      <c r="I164" s="1822"/>
      <c r="J164" s="1822"/>
      <c r="K164" s="1822"/>
      <c r="L164" s="1822"/>
      <c r="M164" s="1822"/>
      <c r="N164" s="1827"/>
      <c r="V164" s="674"/>
      <c r="W164" s="675"/>
      <c r="AB164" s="675"/>
      <c r="AC164" s="537" t="s">
        <v>2380</v>
      </c>
      <c r="AD164" s="675"/>
      <c r="AF164" s="675"/>
      <c r="AG164" s="675"/>
    </row>
    <row r="165" spans="1:33" s="536" customFormat="1" ht="12" x14ac:dyDescent="0.2">
      <c r="A165" s="575" t="s">
        <v>197</v>
      </c>
      <c r="B165" s="670" t="s">
        <v>1690</v>
      </c>
      <c r="C165" s="1823" t="s">
        <v>1691</v>
      </c>
      <c r="D165" s="1823"/>
      <c r="E165" s="1823"/>
      <c r="F165" s="573" t="s">
        <v>617</v>
      </c>
      <c r="G165" s="573"/>
      <c r="H165" s="573"/>
      <c r="I165" s="573" t="s">
        <v>185</v>
      </c>
      <c r="J165" s="572"/>
      <c r="K165" s="573"/>
      <c r="L165" s="572"/>
      <c r="M165" s="571"/>
      <c r="N165" s="570"/>
      <c r="V165" s="674"/>
      <c r="W165" s="675" t="s">
        <v>1691</v>
      </c>
      <c r="AB165" s="675"/>
      <c r="AD165" s="675"/>
      <c r="AF165" s="675"/>
      <c r="AG165" s="675"/>
    </row>
    <row r="166" spans="1:33" s="536" customFormat="1" ht="33.75" x14ac:dyDescent="0.2">
      <c r="A166" s="609"/>
      <c r="B166" s="552" t="s">
        <v>310</v>
      </c>
      <c r="C166" s="1822" t="s">
        <v>311</v>
      </c>
      <c r="D166" s="1822"/>
      <c r="E166" s="1822"/>
      <c r="F166" s="1822"/>
      <c r="G166" s="1822"/>
      <c r="H166" s="1822"/>
      <c r="I166" s="1822"/>
      <c r="J166" s="1822"/>
      <c r="K166" s="1822"/>
      <c r="L166" s="1822"/>
      <c r="M166" s="1822"/>
      <c r="N166" s="1827"/>
      <c r="V166" s="674"/>
      <c r="W166" s="675"/>
      <c r="X166" s="537" t="s">
        <v>311</v>
      </c>
      <c r="AB166" s="675"/>
      <c r="AD166" s="675"/>
      <c r="AF166" s="675"/>
      <c r="AG166" s="675"/>
    </row>
    <row r="167" spans="1:33" s="536" customFormat="1" ht="12" x14ac:dyDescent="0.2">
      <c r="A167" s="605"/>
      <c r="B167" s="552" t="s">
        <v>185</v>
      </c>
      <c r="C167" s="1822" t="s">
        <v>312</v>
      </c>
      <c r="D167" s="1822"/>
      <c r="E167" s="1822"/>
      <c r="F167" s="562"/>
      <c r="G167" s="562"/>
      <c r="H167" s="562"/>
      <c r="I167" s="562"/>
      <c r="J167" s="604">
        <v>4.88</v>
      </c>
      <c r="K167" s="562" t="s">
        <v>313</v>
      </c>
      <c r="L167" s="604">
        <v>6.1</v>
      </c>
      <c r="M167" s="603"/>
      <c r="N167" s="602"/>
      <c r="V167" s="674"/>
      <c r="W167" s="675"/>
      <c r="Y167" s="537" t="s">
        <v>312</v>
      </c>
      <c r="AB167" s="675"/>
      <c r="AD167" s="675"/>
      <c r="AF167" s="675"/>
      <c r="AG167" s="675"/>
    </row>
    <row r="168" spans="1:33" s="536" customFormat="1" ht="12" x14ac:dyDescent="0.2">
      <c r="A168" s="605"/>
      <c r="B168" s="552" t="s">
        <v>188</v>
      </c>
      <c r="C168" s="1822" t="s">
        <v>475</v>
      </c>
      <c r="D168" s="1822"/>
      <c r="E168" s="1822"/>
      <c r="F168" s="562"/>
      <c r="G168" s="562"/>
      <c r="H168" s="562"/>
      <c r="I168" s="562"/>
      <c r="J168" s="604">
        <v>0.41</v>
      </c>
      <c r="K168" s="562"/>
      <c r="L168" s="604">
        <v>0.41</v>
      </c>
      <c r="M168" s="603"/>
      <c r="N168" s="602"/>
      <c r="V168" s="674"/>
      <c r="W168" s="675"/>
      <c r="Y168" s="537" t="s">
        <v>475</v>
      </c>
      <c r="AB168" s="675"/>
      <c r="AD168" s="675"/>
      <c r="AF168" s="675"/>
      <c r="AG168" s="675"/>
    </row>
    <row r="169" spans="1:33" s="536" customFormat="1" ht="12" x14ac:dyDescent="0.2">
      <c r="A169" s="605"/>
      <c r="B169" s="552"/>
      <c r="C169" s="1822" t="s">
        <v>314</v>
      </c>
      <c r="D169" s="1822"/>
      <c r="E169" s="1822"/>
      <c r="F169" s="562" t="s">
        <v>315</v>
      </c>
      <c r="G169" s="562" t="s">
        <v>1692</v>
      </c>
      <c r="H169" s="562" t="s">
        <v>313</v>
      </c>
      <c r="I169" s="562" t="s">
        <v>2500</v>
      </c>
      <c r="J169" s="604"/>
      <c r="K169" s="562"/>
      <c r="L169" s="604"/>
      <c r="M169" s="603"/>
      <c r="N169" s="602"/>
      <c r="V169" s="674"/>
      <c r="W169" s="675"/>
      <c r="Z169" s="537" t="s">
        <v>314</v>
      </c>
      <c r="AB169" s="675"/>
      <c r="AD169" s="675"/>
      <c r="AF169" s="675"/>
      <c r="AG169" s="675"/>
    </row>
    <row r="170" spans="1:33" s="536" customFormat="1" ht="12" x14ac:dyDescent="0.2">
      <c r="A170" s="605"/>
      <c r="B170" s="552"/>
      <c r="C170" s="1828" t="s">
        <v>318</v>
      </c>
      <c r="D170" s="1828"/>
      <c r="E170" s="1828"/>
      <c r="F170" s="608"/>
      <c r="G170" s="608"/>
      <c r="H170" s="608"/>
      <c r="I170" s="608"/>
      <c r="J170" s="607">
        <v>5.29</v>
      </c>
      <c r="K170" s="608"/>
      <c r="L170" s="607">
        <v>6.51</v>
      </c>
      <c r="M170" s="601"/>
      <c r="N170" s="606"/>
      <c r="V170" s="674"/>
      <c r="W170" s="675"/>
      <c r="AA170" s="537" t="s">
        <v>318</v>
      </c>
      <c r="AB170" s="675"/>
      <c r="AD170" s="675"/>
      <c r="AF170" s="675"/>
      <c r="AG170" s="675"/>
    </row>
    <row r="171" spans="1:33" s="536" customFormat="1" ht="12" x14ac:dyDescent="0.2">
      <c r="A171" s="605"/>
      <c r="B171" s="552"/>
      <c r="C171" s="1822" t="s">
        <v>319</v>
      </c>
      <c r="D171" s="1822"/>
      <c r="E171" s="1822"/>
      <c r="F171" s="562"/>
      <c r="G171" s="562"/>
      <c r="H171" s="562"/>
      <c r="I171" s="562"/>
      <c r="J171" s="604"/>
      <c r="K171" s="562"/>
      <c r="L171" s="604">
        <v>6.1</v>
      </c>
      <c r="M171" s="603"/>
      <c r="N171" s="602"/>
      <c r="V171" s="674"/>
      <c r="W171" s="675"/>
      <c r="Z171" s="537" t="s">
        <v>319</v>
      </c>
      <c r="AB171" s="675"/>
      <c r="AD171" s="675"/>
      <c r="AF171" s="675"/>
      <c r="AG171" s="675"/>
    </row>
    <row r="172" spans="1:33" s="536" customFormat="1" ht="33.75" x14ac:dyDescent="0.2">
      <c r="A172" s="605"/>
      <c r="B172" s="552" t="s">
        <v>884</v>
      </c>
      <c r="C172" s="1822" t="s">
        <v>885</v>
      </c>
      <c r="D172" s="1822"/>
      <c r="E172" s="1822"/>
      <c r="F172" s="562" t="s">
        <v>322</v>
      </c>
      <c r="G172" s="562" t="s">
        <v>886</v>
      </c>
      <c r="H172" s="562"/>
      <c r="I172" s="562" t="s">
        <v>886</v>
      </c>
      <c r="J172" s="604"/>
      <c r="K172" s="562"/>
      <c r="L172" s="604">
        <v>5.49</v>
      </c>
      <c r="M172" s="603"/>
      <c r="N172" s="602"/>
      <c r="V172" s="674"/>
      <c r="W172" s="675"/>
      <c r="Z172" s="537" t="s">
        <v>885</v>
      </c>
      <c r="AB172" s="675"/>
      <c r="AD172" s="675"/>
      <c r="AF172" s="675"/>
      <c r="AG172" s="675"/>
    </row>
    <row r="173" spans="1:33" s="536" customFormat="1" ht="33.75" x14ac:dyDescent="0.2">
      <c r="A173" s="605"/>
      <c r="B173" s="552" t="s">
        <v>887</v>
      </c>
      <c r="C173" s="1822" t="s">
        <v>888</v>
      </c>
      <c r="D173" s="1822"/>
      <c r="E173" s="1822"/>
      <c r="F173" s="562" t="s">
        <v>322</v>
      </c>
      <c r="G173" s="562" t="s">
        <v>465</v>
      </c>
      <c r="H173" s="562"/>
      <c r="I173" s="562" t="s">
        <v>465</v>
      </c>
      <c r="J173" s="604"/>
      <c r="K173" s="562"/>
      <c r="L173" s="604">
        <v>2.81</v>
      </c>
      <c r="M173" s="603"/>
      <c r="N173" s="602"/>
      <c r="V173" s="674"/>
      <c r="W173" s="675"/>
      <c r="Z173" s="537" t="s">
        <v>888</v>
      </c>
      <c r="AB173" s="675"/>
      <c r="AD173" s="675"/>
      <c r="AF173" s="675"/>
      <c r="AG173" s="675"/>
    </row>
    <row r="174" spans="1:33" s="536" customFormat="1" ht="12" x14ac:dyDescent="0.2">
      <c r="A174" s="569"/>
      <c r="B174" s="671"/>
      <c r="C174" s="1823" t="s">
        <v>327</v>
      </c>
      <c r="D174" s="1823"/>
      <c r="E174" s="1823"/>
      <c r="F174" s="573"/>
      <c r="G174" s="573"/>
      <c r="H174" s="573"/>
      <c r="I174" s="573"/>
      <c r="J174" s="572"/>
      <c r="K174" s="573"/>
      <c r="L174" s="572">
        <v>14.81</v>
      </c>
      <c r="M174" s="601"/>
      <c r="N174" s="570"/>
      <c r="V174" s="674"/>
      <c r="W174" s="675"/>
      <c r="AB174" s="675" t="s">
        <v>327</v>
      </c>
      <c r="AD174" s="675"/>
      <c r="AF174" s="675"/>
      <c r="AG174" s="675"/>
    </row>
    <row r="175" spans="1:33" s="536" customFormat="1" ht="56.25" x14ac:dyDescent="0.2">
      <c r="A175" s="575" t="s">
        <v>198</v>
      </c>
      <c r="B175" s="670" t="s">
        <v>1693</v>
      </c>
      <c r="C175" s="1823" t="s">
        <v>1694</v>
      </c>
      <c r="D175" s="1823"/>
      <c r="E175" s="1823"/>
      <c r="F175" s="573" t="s">
        <v>617</v>
      </c>
      <c r="G175" s="573"/>
      <c r="H175" s="573"/>
      <c r="I175" s="573" t="s">
        <v>185</v>
      </c>
      <c r="J175" s="572">
        <v>81.98</v>
      </c>
      <c r="K175" s="573" t="s">
        <v>716</v>
      </c>
      <c r="L175" s="572">
        <v>10.1</v>
      </c>
      <c r="M175" s="571">
        <v>8.32</v>
      </c>
      <c r="N175" s="570">
        <v>84</v>
      </c>
      <c r="V175" s="674"/>
      <c r="W175" s="675" t="s">
        <v>1694</v>
      </c>
      <c r="AB175" s="675"/>
      <c r="AD175" s="675"/>
      <c r="AF175" s="675"/>
      <c r="AG175" s="675"/>
    </row>
    <row r="176" spans="1:33" s="536" customFormat="1" ht="12" x14ac:dyDescent="0.2">
      <c r="A176" s="569"/>
      <c r="B176" s="671"/>
      <c r="C176" s="665" t="s">
        <v>1658</v>
      </c>
      <c r="D176" s="666"/>
      <c r="E176" s="666"/>
      <c r="F176" s="563"/>
      <c r="G176" s="563"/>
      <c r="H176" s="563"/>
      <c r="I176" s="563"/>
      <c r="J176" s="566"/>
      <c r="K176" s="563"/>
      <c r="L176" s="566"/>
      <c r="M176" s="565"/>
      <c r="N176" s="564"/>
      <c r="V176" s="674"/>
      <c r="W176" s="675"/>
      <c r="AB176" s="675"/>
      <c r="AD176" s="675"/>
      <c r="AF176" s="675"/>
      <c r="AG176" s="675"/>
    </row>
    <row r="177" spans="1:33" s="536" customFormat="1" ht="22.5" x14ac:dyDescent="0.2">
      <c r="A177" s="609"/>
      <c r="B177" s="552" t="s">
        <v>718</v>
      </c>
      <c r="C177" s="1822" t="s">
        <v>719</v>
      </c>
      <c r="D177" s="1822"/>
      <c r="E177" s="1822"/>
      <c r="F177" s="1822"/>
      <c r="G177" s="1822"/>
      <c r="H177" s="1822"/>
      <c r="I177" s="1822"/>
      <c r="J177" s="1822"/>
      <c r="K177" s="1822"/>
      <c r="L177" s="1822"/>
      <c r="M177" s="1822"/>
      <c r="N177" s="1827"/>
      <c r="V177" s="674"/>
      <c r="W177" s="675"/>
      <c r="X177" s="537" t="s">
        <v>719</v>
      </c>
      <c r="AB177" s="675"/>
      <c r="AD177" s="675"/>
      <c r="AF177" s="675"/>
      <c r="AG177" s="675"/>
    </row>
    <row r="178" spans="1:33" s="536" customFormat="1" ht="22.5" x14ac:dyDescent="0.2">
      <c r="A178" s="575" t="s">
        <v>199</v>
      </c>
      <c r="B178" s="670" t="s">
        <v>1695</v>
      </c>
      <c r="C178" s="1823" t="s">
        <v>1696</v>
      </c>
      <c r="D178" s="1823"/>
      <c r="E178" s="1823"/>
      <c r="F178" s="573" t="s">
        <v>307</v>
      </c>
      <c r="G178" s="573"/>
      <c r="H178" s="573"/>
      <c r="I178" s="573" t="s">
        <v>695</v>
      </c>
      <c r="J178" s="572">
        <v>118</v>
      </c>
      <c r="K178" s="573"/>
      <c r="L178" s="572">
        <v>2.36</v>
      </c>
      <c r="M178" s="571"/>
      <c r="N178" s="570"/>
      <c r="V178" s="674"/>
      <c r="W178" s="675" t="s">
        <v>1696</v>
      </c>
      <c r="AB178" s="675"/>
      <c r="AD178" s="675"/>
      <c r="AF178" s="675"/>
      <c r="AG178" s="675"/>
    </row>
    <row r="179" spans="1:33" s="536" customFormat="1" ht="12" x14ac:dyDescent="0.2">
      <c r="A179" s="569"/>
      <c r="B179" s="671"/>
      <c r="C179" s="665" t="s">
        <v>1658</v>
      </c>
      <c r="D179" s="666"/>
      <c r="E179" s="666"/>
      <c r="F179" s="563"/>
      <c r="G179" s="563"/>
      <c r="H179" s="563"/>
      <c r="I179" s="563"/>
      <c r="J179" s="566"/>
      <c r="K179" s="563"/>
      <c r="L179" s="566"/>
      <c r="M179" s="565"/>
      <c r="N179" s="564"/>
      <c r="V179" s="674"/>
      <c r="W179" s="675"/>
      <c r="AB179" s="675"/>
      <c r="AD179" s="675"/>
      <c r="AF179" s="675"/>
      <c r="AG179" s="675"/>
    </row>
    <row r="180" spans="1:33" s="536" customFormat="1" ht="12" x14ac:dyDescent="0.2">
      <c r="A180" s="676"/>
      <c r="B180" s="664"/>
      <c r="C180" s="1822" t="s">
        <v>1597</v>
      </c>
      <c r="D180" s="1822"/>
      <c r="E180" s="1822"/>
      <c r="F180" s="1822"/>
      <c r="G180" s="1822"/>
      <c r="H180" s="1822"/>
      <c r="I180" s="1822"/>
      <c r="J180" s="1822"/>
      <c r="K180" s="1822"/>
      <c r="L180" s="1822"/>
      <c r="M180" s="1822"/>
      <c r="N180" s="1827"/>
      <c r="V180" s="674"/>
      <c r="W180" s="675"/>
      <c r="AB180" s="675"/>
      <c r="AC180" s="537" t="s">
        <v>1597</v>
      </c>
      <c r="AD180" s="675"/>
      <c r="AF180" s="675"/>
      <c r="AG180" s="675"/>
    </row>
    <row r="181" spans="1:33" s="536" customFormat="1" ht="12" x14ac:dyDescent="0.2">
      <c r="A181" s="1830" t="s">
        <v>1698</v>
      </c>
      <c r="B181" s="1831"/>
      <c r="C181" s="1831"/>
      <c r="D181" s="1831"/>
      <c r="E181" s="1831"/>
      <c r="F181" s="1831"/>
      <c r="G181" s="1831"/>
      <c r="H181" s="1831"/>
      <c r="I181" s="1831"/>
      <c r="J181" s="1831"/>
      <c r="K181" s="1831"/>
      <c r="L181" s="1831"/>
      <c r="M181" s="1831"/>
      <c r="N181" s="1832"/>
      <c r="V181" s="674"/>
      <c r="W181" s="675"/>
      <c r="AB181" s="675"/>
      <c r="AD181" s="675"/>
      <c r="AF181" s="675"/>
      <c r="AG181" s="675" t="s">
        <v>1698</v>
      </c>
    </row>
    <row r="182" spans="1:33" s="536" customFormat="1" ht="33.75" x14ac:dyDescent="0.2">
      <c r="A182" s="575" t="s">
        <v>200</v>
      </c>
      <c r="B182" s="670" t="s">
        <v>1699</v>
      </c>
      <c r="C182" s="1823" t="s">
        <v>1700</v>
      </c>
      <c r="D182" s="1823"/>
      <c r="E182" s="1823"/>
      <c r="F182" s="573" t="s">
        <v>1110</v>
      </c>
      <c r="G182" s="573"/>
      <c r="H182" s="573"/>
      <c r="I182" s="573" t="s">
        <v>2148</v>
      </c>
      <c r="J182" s="572"/>
      <c r="K182" s="573"/>
      <c r="L182" s="572"/>
      <c r="M182" s="571"/>
      <c r="N182" s="570"/>
      <c r="V182" s="674"/>
      <c r="W182" s="675" t="s">
        <v>1700</v>
      </c>
      <c r="AB182" s="675"/>
      <c r="AD182" s="675"/>
      <c r="AF182" s="675"/>
      <c r="AG182" s="675"/>
    </row>
    <row r="183" spans="1:33" s="536" customFormat="1" ht="12" x14ac:dyDescent="0.2">
      <c r="A183" s="676"/>
      <c r="B183" s="664"/>
      <c r="C183" s="1822" t="s">
        <v>4041</v>
      </c>
      <c r="D183" s="1822"/>
      <c r="E183" s="1822"/>
      <c r="F183" s="1822"/>
      <c r="G183" s="1822"/>
      <c r="H183" s="1822"/>
      <c r="I183" s="1822"/>
      <c r="J183" s="1822"/>
      <c r="K183" s="1822"/>
      <c r="L183" s="1822"/>
      <c r="M183" s="1822"/>
      <c r="N183" s="1827"/>
      <c r="V183" s="674"/>
      <c r="W183" s="675"/>
      <c r="AB183" s="675"/>
      <c r="AC183" s="537" t="s">
        <v>4041</v>
      </c>
      <c r="AD183" s="675"/>
      <c r="AF183" s="675"/>
      <c r="AG183" s="675"/>
    </row>
    <row r="184" spans="1:33" s="536" customFormat="1" ht="33.75" x14ac:dyDescent="0.2">
      <c r="A184" s="609"/>
      <c r="B184" s="552" t="s">
        <v>310</v>
      </c>
      <c r="C184" s="1822" t="s">
        <v>311</v>
      </c>
      <c r="D184" s="1822"/>
      <c r="E184" s="1822"/>
      <c r="F184" s="1822"/>
      <c r="G184" s="1822"/>
      <c r="H184" s="1822"/>
      <c r="I184" s="1822"/>
      <c r="J184" s="1822"/>
      <c r="K184" s="1822"/>
      <c r="L184" s="1822"/>
      <c r="M184" s="1822"/>
      <c r="N184" s="1827"/>
      <c r="V184" s="674"/>
      <c r="W184" s="675"/>
      <c r="X184" s="537" t="s">
        <v>311</v>
      </c>
      <c r="AB184" s="675"/>
      <c r="AD184" s="675"/>
      <c r="AF184" s="675"/>
      <c r="AG184" s="675"/>
    </row>
    <row r="185" spans="1:33" s="536" customFormat="1" ht="12" x14ac:dyDescent="0.2">
      <c r="A185" s="605"/>
      <c r="B185" s="552" t="s">
        <v>185</v>
      </c>
      <c r="C185" s="1822" t="s">
        <v>312</v>
      </c>
      <c r="D185" s="1822"/>
      <c r="E185" s="1822"/>
      <c r="F185" s="562"/>
      <c r="G185" s="562"/>
      <c r="H185" s="562"/>
      <c r="I185" s="562"/>
      <c r="J185" s="604">
        <v>110.54</v>
      </c>
      <c r="K185" s="562" t="s">
        <v>313</v>
      </c>
      <c r="L185" s="604">
        <v>316.42</v>
      </c>
      <c r="M185" s="603"/>
      <c r="N185" s="602"/>
      <c r="V185" s="674"/>
      <c r="W185" s="675"/>
      <c r="Y185" s="537" t="s">
        <v>312</v>
      </c>
      <c r="AB185" s="675"/>
      <c r="AD185" s="675"/>
      <c r="AF185" s="675"/>
      <c r="AG185" s="675"/>
    </row>
    <row r="186" spans="1:33" s="536" customFormat="1" ht="12" x14ac:dyDescent="0.2">
      <c r="A186" s="605"/>
      <c r="B186" s="552" t="s">
        <v>186</v>
      </c>
      <c r="C186" s="1822" t="s">
        <v>344</v>
      </c>
      <c r="D186" s="1822"/>
      <c r="E186" s="1822"/>
      <c r="F186" s="562"/>
      <c r="G186" s="562"/>
      <c r="H186" s="562"/>
      <c r="I186" s="562"/>
      <c r="J186" s="604">
        <v>577.26</v>
      </c>
      <c r="K186" s="562" t="s">
        <v>313</v>
      </c>
      <c r="L186" s="604">
        <v>1652.41</v>
      </c>
      <c r="M186" s="603"/>
      <c r="N186" s="602"/>
      <c r="V186" s="674"/>
      <c r="W186" s="675"/>
      <c r="Y186" s="537" t="s">
        <v>344</v>
      </c>
      <c r="AB186" s="675"/>
      <c r="AD186" s="675"/>
      <c r="AF186" s="675"/>
      <c r="AG186" s="675"/>
    </row>
    <row r="187" spans="1:33" s="536" customFormat="1" ht="12" x14ac:dyDescent="0.2">
      <c r="A187" s="605"/>
      <c r="B187" s="552" t="s">
        <v>187</v>
      </c>
      <c r="C187" s="1822" t="s">
        <v>345</v>
      </c>
      <c r="D187" s="1822"/>
      <c r="E187" s="1822"/>
      <c r="F187" s="562"/>
      <c r="G187" s="562"/>
      <c r="H187" s="562"/>
      <c r="I187" s="562"/>
      <c r="J187" s="604">
        <v>55.11</v>
      </c>
      <c r="K187" s="562" t="s">
        <v>313</v>
      </c>
      <c r="L187" s="604">
        <v>157.75</v>
      </c>
      <c r="M187" s="603"/>
      <c r="N187" s="602"/>
      <c r="V187" s="674"/>
      <c r="W187" s="675"/>
      <c r="Y187" s="537" t="s">
        <v>345</v>
      </c>
      <c r="AB187" s="675"/>
      <c r="AD187" s="675"/>
      <c r="AF187" s="675"/>
      <c r="AG187" s="675"/>
    </row>
    <row r="188" spans="1:33" s="536" customFormat="1" ht="12" x14ac:dyDescent="0.2">
      <c r="A188" s="605"/>
      <c r="B188" s="552" t="s">
        <v>188</v>
      </c>
      <c r="C188" s="1822" t="s">
        <v>475</v>
      </c>
      <c r="D188" s="1822"/>
      <c r="E188" s="1822"/>
      <c r="F188" s="562"/>
      <c r="G188" s="562"/>
      <c r="H188" s="562"/>
      <c r="I188" s="562"/>
      <c r="J188" s="604">
        <v>60.47</v>
      </c>
      <c r="K188" s="562"/>
      <c r="L188" s="604">
        <v>138.47999999999999</v>
      </c>
      <c r="M188" s="603"/>
      <c r="N188" s="602"/>
      <c r="V188" s="674"/>
      <c r="W188" s="675"/>
      <c r="Y188" s="537" t="s">
        <v>475</v>
      </c>
      <c r="AB188" s="675"/>
      <c r="AD188" s="675"/>
      <c r="AF188" s="675"/>
      <c r="AG188" s="675"/>
    </row>
    <row r="189" spans="1:33" s="536" customFormat="1" ht="12" x14ac:dyDescent="0.2">
      <c r="A189" s="605"/>
      <c r="B189" s="552"/>
      <c r="C189" s="1822" t="s">
        <v>314</v>
      </c>
      <c r="D189" s="1822"/>
      <c r="E189" s="1822"/>
      <c r="F189" s="562" t="s">
        <v>315</v>
      </c>
      <c r="G189" s="562" t="s">
        <v>1703</v>
      </c>
      <c r="H189" s="562" t="s">
        <v>313</v>
      </c>
      <c r="I189" s="562" t="s">
        <v>4042</v>
      </c>
      <c r="J189" s="604"/>
      <c r="K189" s="562"/>
      <c r="L189" s="604"/>
      <c r="M189" s="603"/>
      <c r="N189" s="602"/>
      <c r="V189" s="674"/>
      <c r="W189" s="675"/>
      <c r="Z189" s="537" t="s">
        <v>314</v>
      </c>
      <c r="AB189" s="675"/>
      <c r="AD189" s="675"/>
      <c r="AF189" s="675"/>
      <c r="AG189" s="675"/>
    </row>
    <row r="190" spans="1:33" s="536" customFormat="1" ht="12" x14ac:dyDescent="0.2">
      <c r="A190" s="605"/>
      <c r="B190" s="552"/>
      <c r="C190" s="1822" t="s">
        <v>348</v>
      </c>
      <c r="D190" s="1822"/>
      <c r="E190" s="1822"/>
      <c r="F190" s="562" t="s">
        <v>315</v>
      </c>
      <c r="G190" s="562" t="s">
        <v>1705</v>
      </c>
      <c r="H190" s="562" t="s">
        <v>313</v>
      </c>
      <c r="I190" s="562" t="s">
        <v>4043</v>
      </c>
      <c r="J190" s="604"/>
      <c r="K190" s="562"/>
      <c r="L190" s="604"/>
      <c r="M190" s="603"/>
      <c r="N190" s="602"/>
      <c r="V190" s="674"/>
      <c r="W190" s="675"/>
      <c r="Z190" s="537" t="s">
        <v>348</v>
      </c>
      <c r="AB190" s="675"/>
      <c r="AD190" s="675"/>
      <c r="AF190" s="675"/>
      <c r="AG190" s="675"/>
    </row>
    <row r="191" spans="1:33" s="536" customFormat="1" ht="12" x14ac:dyDescent="0.2">
      <c r="A191" s="605"/>
      <c r="B191" s="552"/>
      <c r="C191" s="1828" t="s">
        <v>318</v>
      </c>
      <c r="D191" s="1828"/>
      <c r="E191" s="1828"/>
      <c r="F191" s="608"/>
      <c r="G191" s="608"/>
      <c r="H191" s="608"/>
      <c r="I191" s="608"/>
      <c r="J191" s="607">
        <v>748.27</v>
      </c>
      <c r="K191" s="608"/>
      <c r="L191" s="607">
        <v>2107.31</v>
      </c>
      <c r="M191" s="601"/>
      <c r="N191" s="606"/>
      <c r="V191" s="674"/>
      <c r="W191" s="675"/>
      <c r="AA191" s="537" t="s">
        <v>318</v>
      </c>
      <c r="AB191" s="675"/>
      <c r="AD191" s="675"/>
      <c r="AF191" s="675"/>
      <c r="AG191" s="675"/>
    </row>
    <row r="192" spans="1:33" s="536" customFormat="1" ht="12" x14ac:dyDescent="0.2">
      <c r="A192" s="605"/>
      <c r="B192" s="552"/>
      <c r="C192" s="1822" t="s">
        <v>319</v>
      </c>
      <c r="D192" s="1822"/>
      <c r="E192" s="1822"/>
      <c r="F192" s="562"/>
      <c r="G192" s="562"/>
      <c r="H192" s="562"/>
      <c r="I192" s="562"/>
      <c r="J192" s="604"/>
      <c r="K192" s="562"/>
      <c r="L192" s="604">
        <v>474.17</v>
      </c>
      <c r="M192" s="603"/>
      <c r="N192" s="602"/>
      <c r="V192" s="674"/>
      <c r="W192" s="675"/>
      <c r="Z192" s="537" t="s">
        <v>319</v>
      </c>
      <c r="AB192" s="675"/>
      <c r="AD192" s="675"/>
      <c r="AF192" s="675"/>
      <c r="AG192" s="675"/>
    </row>
    <row r="193" spans="1:33" s="536" customFormat="1" ht="33.75" x14ac:dyDescent="0.2">
      <c r="A193" s="605"/>
      <c r="B193" s="552" t="s">
        <v>1631</v>
      </c>
      <c r="C193" s="1822" t="s">
        <v>1632</v>
      </c>
      <c r="D193" s="1822"/>
      <c r="E193" s="1822"/>
      <c r="F193" s="562" t="s">
        <v>322</v>
      </c>
      <c r="G193" s="562" t="s">
        <v>1633</v>
      </c>
      <c r="H193" s="562"/>
      <c r="I193" s="562" t="s">
        <v>1633</v>
      </c>
      <c r="J193" s="604"/>
      <c r="K193" s="562"/>
      <c r="L193" s="604">
        <v>459.94</v>
      </c>
      <c r="M193" s="603"/>
      <c r="N193" s="602"/>
      <c r="V193" s="674"/>
      <c r="W193" s="675"/>
      <c r="Z193" s="537" t="s">
        <v>1632</v>
      </c>
      <c r="AB193" s="675"/>
      <c r="AD193" s="675"/>
      <c r="AF193" s="675"/>
      <c r="AG193" s="675"/>
    </row>
    <row r="194" spans="1:33" s="536" customFormat="1" ht="33.75" x14ac:dyDescent="0.2">
      <c r="A194" s="605"/>
      <c r="B194" s="552" t="s">
        <v>1634</v>
      </c>
      <c r="C194" s="1822" t="s">
        <v>1635</v>
      </c>
      <c r="D194" s="1822"/>
      <c r="E194" s="1822"/>
      <c r="F194" s="562" t="s">
        <v>322</v>
      </c>
      <c r="G194" s="562" t="s">
        <v>786</v>
      </c>
      <c r="H194" s="562"/>
      <c r="I194" s="562" t="s">
        <v>786</v>
      </c>
      <c r="J194" s="604"/>
      <c r="K194" s="562"/>
      <c r="L194" s="604">
        <v>241.83</v>
      </c>
      <c r="M194" s="603"/>
      <c r="N194" s="602"/>
      <c r="V194" s="674"/>
      <c r="W194" s="675"/>
      <c r="Z194" s="537" t="s">
        <v>1635</v>
      </c>
      <c r="AB194" s="675"/>
      <c r="AD194" s="675"/>
      <c r="AF194" s="675"/>
      <c r="AG194" s="675"/>
    </row>
    <row r="195" spans="1:33" s="536" customFormat="1" ht="12" x14ac:dyDescent="0.2">
      <c r="A195" s="569"/>
      <c r="B195" s="671"/>
      <c r="C195" s="1823" t="s">
        <v>327</v>
      </c>
      <c r="D195" s="1823"/>
      <c r="E195" s="1823"/>
      <c r="F195" s="573"/>
      <c r="G195" s="573"/>
      <c r="H195" s="573"/>
      <c r="I195" s="573"/>
      <c r="J195" s="572"/>
      <c r="K195" s="573"/>
      <c r="L195" s="572">
        <v>2809.08</v>
      </c>
      <c r="M195" s="601"/>
      <c r="N195" s="570"/>
      <c r="V195" s="674"/>
      <c r="W195" s="675"/>
      <c r="AB195" s="675" t="s">
        <v>327</v>
      </c>
      <c r="AD195" s="675"/>
      <c r="AF195" s="675"/>
      <c r="AG195" s="675"/>
    </row>
    <row r="196" spans="1:33" s="536" customFormat="1" ht="45" x14ac:dyDescent="0.2">
      <c r="A196" s="575" t="s">
        <v>425</v>
      </c>
      <c r="B196" s="670" t="s">
        <v>1707</v>
      </c>
      <c r="C196" s="1823" t="s">
        <v>4044</v>
      </c>
      <c r="D196" s="1823"/>
      <c r="E196" s="1823"/>
      <c r="F196" s="573" t="s">
        <v>483</v>
      </c>
      <c r="G196" s="573"/>
      <c r="H196" s="573"/>
      <c r="I196" s="573" t="s">
        <v>4045</v>
      </c>
      <c r="J196" s="572">
        <v>679.03</v>
      </c>
      <c r="K196" s="573" t="s">
        <v>716</v>
      </c>
      <c r="L196" s="572">
        <v>19444.71</v>
      </c>
      <c r="M196" s="571">
        <v>8.32</v>
      </c>
      <c r="N196" s="570">
        <v>161780</v>
      </c>
      <c r="V196" s="674"/>
      <c r="W196" s="675" t="s">
        <v>4044</v>
      </c>
      <c r="AB196" s="675"/>
      <c r="AD196" s="675"/>
      <c r="AF196" s="675"/>
      <c r="AG196" s="675"/>
    </row>
    <row r="197" spans="1:33" s="536" customFormat="1" ht="12" x14ac:dyDescent="0.2">
      <c r="A197" s="569"/>
      <c r="B197" s="671"/>
      <c r="C197" s="665" t="s">
        <v>1658</v>
      </c>
      <c r="D197" s="666"/>
      <c r="E197" s="666"/>
      <c r="F197" s="563"/>
      <c r="G197" s="563"/>
      <c r="H197" s="563"/>
      <c r="I197" s="563"/>
      <c r="J197" s="566"/>
      <c r="K197" s="563"/>
      <c r="L197" s="566"/>
      <c r="M197" s="565"/>
      <c r="N197" s="564"/>
      <c r="V197" s="674"/>
      <c r="W197" s="675"/>
      <c r="AB197" s="675"/>
      <c r="AD197" s="675"/>
      <c r="AF197" s="675"/>
      <c r="AG197" s="675"/>
    </row>
    <row r="198" spans="1:33" s="536" customFormat="1" ht="12" x14ac:dyDescent="0.2">
      <c r="A198" s="676"/>
      <c r="B198" s="664"/>
      <c r="C198" s="1822" t="s">
        <v>4046</v>
      </c>
      <c r="D198" s="1822"/>
      <c r="E198" s="1822"/>
      <c r="F198" s="1822"/>
      <c r="G198" s="1822"/>
      <c r="H198" s="1822"/>
      <c r="I198" s="1822"/>
      <c r="J198" s="1822"/>
      <c r="K198" s="1822"/>
      <c r="L198" s="1822"/>
      <c r="M198" s="1822"/>
      <c r="N198" s="1827"/>
      <c r="V198" s="674"/>
      <c r="W198" s="675"/>
      <c r="AB198" s="675"/>
      <c r="AC198" s="537" t="s">
        <v>4046</v>
      </c>
      <c r="AD198" s="675"/>
      <c r="AF198" s="675"/>
      <c r="AG198" s="675"/>
    </row>
    <row r="199" spans="1:33" s="536" customFormat="1" ht="22.5" x14ac:dyDescent="0.2">
      <c r="A199" s="609"/>
      <c r="B199" s="552" t="s">
        <v>718</v>
      </c>
      <c r="C199" s="1822" t="s">
        <v>719</v>
      </c>
      <c r="D199" s="1822"/>
      <c r="E199" s="1822"/>
      <c r="F199" s="1822"/>
      <c r="G199" s="1822"/>
      <c r="H199" s="1822"/>
      <c r="I199" s="1822"/>
      <c r="J199" s="1822"/>
      <c r="K199" s="1822"/>
      <c r="L199" s="1822"/>
      <c r="M199" s="1822"/>
      <c r="N199" s="1827"/>
      <c r="V199" s="674"/>
      <c r="W199" s="675"/>
      <c r="X199" s="537" t="s">
        <v>719</v>
      </c>
      <c r="AB199" s="675"/>
      <c r="AD199" s="675"/>
      <c r="AF199" s="675"/>
      <c r="AG199" s="675"/>
    </row>
    <row r="200" spans="1:33" s="536" customFormat="1" ht="33.75" x14ac:dyDescent="0.2">
      <c r="A200" s="575" t="s">
        <v>430</v>
      </c>
      <c r="B200" s="670" t="s">
        <v>1711</v>
      </c>
      <c r="C200" s="1823" t="s">
        <v>1712</v>
      </c>
      <c r="D200" s="1823"/>
      <c r="E200" s="1823"/>
      <c r="F200" s="573" t="s">
        <v>617</v>
      </c>
      <c r="G200" s="573"/>
      <c r="H200" s="573"/>
      <c r="I200" s="573" t="s">
        <v>196</v>
      </c>
      <c r="J200" s="572">
        <v>379.81</v>
      </c>
      <c r="K200" s="573" t="s">
        <v>716</v>
      </c>
      <c r="L200" s="572">
        <v>558.77</v>
      </c>
      <c r="M200" s="571">
        <v>8.32</v>
      </c>
      <c r="N200" s="570">
        <v>4649</v>
      </c>
      <c r="V200" s="674"/>
      <c r="W200" s="675" t="s">
        <v>1712</v>
      </c>
      <c r="AB200" s="675"/>
      <c r="AD200" s="675"/>
      <c r="AF200" s="675"/>
      <c r="AG200" s="675"/>
    </row>
    <row r="201" spans="1:33" s="536" customFormat="1" ht="12" x14ac:dyDescent="0.2">
      <c r="A201" s="569"/>
      <c r="B201" s="671"/>
      <c r="C201" s="665" t="s">
        <v>1658</v>
      </c>
      <c r="D201" s="666"/>
      <c r="E201" s="666"/>
      <c r="F201" s="563"/>
      <c r="G201" s="563"/>
      <c r="H201" s="563"/>
      <c r="I201" s="563"/>
      <c r="J201" s="566"/>
      <c r="K201" s="563"/>
      <c r="L201" s="566"/>
      <c r="M201" s="565"/>
      <c r="N201" s="564"/>
      <c r="V201" s="674"/>
      <c r="W201" s="675"/>
      <c r="AB201" s="675"/>
      <c r="AD201" s="675"/>
      <c r="AF201" s="675"/>
      <c r="AG201" s="675"/>
    </row>
    <row r="202" spans="1:33" s="536" customFormat="1" ht="22.5" x14ac:dyDescent="0.2">
      <c r="A202" s="609"/>
      <c r="B202" s="552" t="s">
        <v>718</v>
      </c>
      <c r="C202" s="1822" t="s">
        <v>719</v>
      </c>
      <c r="D202" s="1822"/>
      <c r="E202" s="1822"/>
      <c r="F202" s="1822"/>
      <c r="G202" s="1822"/>
      <c r="H202" s="1822"/>
      <c r="I202" s="1822"/>
      <c r="J202" s="1822"/>
      <c r="K202" s="1822"/>
      <c r="L202" s="1822"/>
      <c r="M202" s="1822"/>
      <c r="N202" s="1827"/>
      <c r="V202" s="674"/>
      <c r="W202" s="675"/>
      <c r="X202" s="537" t="s">
        <v>719</v>
      </c>
      <c r="AB202" s="675"/>
      <c r="AD202" s="675"/>
      <c r="AF202" s="675"/>
      <c r="AG202" s="675"/>
    </row>
    <row r="203" spans="1:33" s="536" customFormat="1" ht="33.75" x14ac:dyDescent="0.2">
      <c r="A203" s="575" t="s">
        <v>436</v>
      </c>
      <c r="B203" s="670" t="s">
        <v>2332</v>
      </c>
      <c r="C203" s="1823" t="s">
        <v>1714</v>
      </c>
      <c r="D203" s="1823"/>
      <c r="E203" s="1823"/>
      <c r="F203" s="573" t="s">
        <v>617</v>
      </c>
      <c r="G203" s="573"/>
      <c r="H203" s="573"/>
      <c r="I203" s="573" t="s">
        <v>193</v>
      </c>
      <c r="J203" s="572">
        <v>650.20000000000005</v>
      </c>
      <c r="K203" s="573" t="s">
        <v>716</v>
      </c>
      <c r="L203" s="572">
        <v>717.43</v>
      </c>
      <c r="M203" s="571">
        <v>8.32</v>
      </c>
      <c r="N203" s="570">
        <v>5969</v>
      </c>
      <c r="V203" s="674"/>
      <c r="W203" s="675" t="s">
        <v>1714</v>
      </c>
      <c r="AB203" s="675"/>
      <c r="AD203" s="675"/>
      <c r="AF203" s="675"/>
      <c r="AG203" s="675"/>
    </row>
    <row r="204" spans="1:33" s="536" customFormat="1" ht="12" x14ac:dyDescent="0.2">
      <c r="A204" s="569"/>
      <c r="B204" s="671"/>
      <c r="C204" s="665" t="s">
        <v>1658</v>
      </c>
      <c r="D204" s="666"/>
      <c r="E204" s="666"/>
      <c r="F204" s="563"/>
      <c r="G204" s="563"/>
      <c r="H204" s="563"/>
      <c r="I204" s="563"/>
      <c r="J204" s="566"/>
      <c r="K204" s="563"/>
      <c r="L204" s="566"/>
      <c r="M204" s="565"/>
      <c r="N204" s="564"/>
      <c r="V204" s="674"/>
      <c r="W204" s="675"/>
      <c r="AB204" s="675"/>
      <c r="AD204" s="675"/>
      <c r="AF204" s="675"/>
      <c r="AG204" s="675"/>
    </row>
    <row r="205" spans="1:33" s="536" customFormat="1" ht="22.5" x14ac:dyDescent="0.2">
      <c r="A205" s="609"/>
      <c r="B205" s="552" t="s">
        <v>718</v>
      </c>
      <c r="C205" s="1822" t="s">
        <v>719</v>
      </c>
      <c r="D205" s="1822"/>
      <c r="E205" s="1822"/>
      <c r="F205" s="1822"/>
      <c r="G205" s="1822"/>
      <c r="H205" s="1822"/>
      <c r="I205" s="1822"/>
      <c r="J205" s="1822"/>
      <c r="K205" s="1822"/>
      <c r="L205" s="1822"/>
      <c r="M205" s="1822"/>
      <c r="N205" s="1827"/>
      <c r="V205" s="674"/>
      <c r="W205" s="675"/>
      <c r="X205" s="537" t="s">
        <v>719</v>
      </c>
      <c r="AB205" s="675"/>
      <c r="AD205" s="675"/>
      <c r="AF205" s="675"/>
      <c r="AG205" s="675"/>
    </row>
    <row r="206" spans="1:33" s="536" customFormat="1" ht="56.25" x14ac:dyDescent="0.2">
      <c r="A206" s="575" t="s">
        <v>733</v>
      </c>
      <c r="B206" s="670" t="s">
        <v>1680</v>
      </c>
      <c r="C206" s="1823" t="s">
        <v>1681</v>
      </c>
      <c r="D206" s="1823"/>
      <c r="E206" s="1823"/>
      <c r="F206" s="573" t="s">
        <v>1110</v>
      </c>
      <c r="G206" s="573"/>
      <c r="H206" s="573"/>
      <c r="I206" s="573" t="s">
        <v>890</v>
      </c>
      <c r="J206" s="572"/>
      <c r="K206" s="573"/>
      <c r="L206" s="572"/>
      <c r="M206" s="571"/>
      <c r="N206" s="570"/>
      <c r="V206" s="674"/>
      <c r="W206" s="675" t="s">
        <v>1681</v>
      </c>
      <c r="AB206" s="675"/>
      <c r="AD206" s="675"/>
      <c r="AF206" s="675"/>
      <c r="AG206" s="675"/>
    </row>
    <row r="207" spans="1:33" s="536" customFormat="1" ht="12" x14ac:dyDescent="0.2">
      <c r="A207" s="676"/>
      <c r="B207" s="664"/>
      <c r="C207" s="1822" t="s">
        <v>2333</v>
      </c>
      <c r="D207" s="1822"/>
      <c r="E207" s="1822"/>
      <c r="F207" s="1822"/>
      <c r="G207" s="1822"/>
      <c r="H207" s="1822"/>
      <c r="I207" s="1822"/>
      <c r="J207" s="1822"/>
      <c r="K207" s="1822"/>
      <c r="L207" s="1822"/>
      <c r="M207" s="1822"/>
      <c r="N207" s="1827"/>
      <c r="V207" s="674"/>
      <c r="W207" s="675"/>
      <c r="AB207" s="675"/>
      <c r="AC207" s="537" t="s">
        <v>2333</v>
      </c>
      <c r="AD207" s="675"/>
      <c r="AF207" s="675"/>
      <c r="AG207" s="675"/>
    </row>
    <row r="208" spans="1:33" s="536" customFormat="1" ht="33.75" x14ac:dyDescent="0.2">
      <c r="A208" s="609"/>
      <c r="B208" s="552" t="s">
        <v>310</v>
      </c>
      <c r="C208" s="1822" t="s">
        <v>311</v>
      </c>
      <c r="D208" s="1822"/>
      <c r="E208" s="1822"/>
      <c r="F208" s="1822"/>
      <c r="G208" s="1822"/>
      <c r="H208" s="1822"/>
      <c r="I208" s="1822"/>
      <c r="J208" s="1822"/>
      <c r="K208" s="1822"/>
      <c r="L208" s="1822"/>
      <c r="M208" s="1822"/>
      <c r="N208" s="1827"/>
      <c r="V208" s="674"/>
      <c r="W208" s="675"/>
      <c r="X208" s="537" t="s">
        <v>311</v>
      </c>
      <c r="AB208" s="675"/>
      <c r="AD208" s="675"/>
      <c r="AF208" s="675"/>
      <c r="AG208" s="675"/>
    </row>
    <row r="209" spans="1:33" s="536" customFormat="1" ht="12" x14ac:dyDescent="0.2">
      <c r="A209" s="605"/>
      <c r="B209" s="552" t="s">
        <v>185</v>
      </c>
      <c r="C209" s="1822" t="s">
        <v>312</v>
      </c>
      <c r="D209" s="1822"/>
      <c r="E209" s="1822"/>
      <c r="F209" s="562"/>
      <c r="G209" s="562"/>
      <c r="H209" s="562"/>
      <c r="I209" s="562"/>
      <c r="J209" s="604">
        <v>50.67</v>
      </c>
      <c r="K209" s="562" t="s">
        <v>313</v>
      </c>
      <c r="L209" s="604">
        <v>12.67</v>
      </c>
      <c r="M209" s="603"/>
      <c r="N209" s="602"/>
      <c r="V209" s="674"/>
      <c r="W209" s="675"/>
      <c r="Y209" s="537" t="s">
        <v>312</v>
      </c>
      <c r="AB209" s="675"/>
      <c r="AD209" s="675"/>
      <c r="AF209" s="675"/>
      <c r="AG209" s="675"/>
    </row>
    <row r="210" spans="1:33" s="536" customFormat="1" ht="12" x14ac:dyDescent="0.2">
      <c r="A210" s="605"/>
      <c r="B210" s="552" t="s">
        <v>186</v>
      </c>
      <c r="C210" s="1822" t="s">
        <v>344</v>
      </c>
      <c r="D210" s="1822"/>
      <c r="E210" s="1822"/>
      <c r="F210" s="562"/>
      <c r="G210" s="562"/>
      <c r="H210" s="562"/>
      <c r="I210" s="562"/>
      <c r="J210" s="604">
        <v>3.62</v>
      </c>
      <c r="K210" s="562" t="s">
        <v>313</v>
      </c>
      <c r="L210" s="604">
        <v>0.91</v>
      </c>
      <c r="M210" s="603"/>
      <c r="N210" s="602"/>
      <c r="V210" s="674"/>
      <c r="W210" s="675"/>
      <c r="Y210" s="537" t="s">
        <v>344</v>
      </c>
      <c r="AB210" s="675"/>
      <c r="AD210" s="675"/>
      <c r="AF210" s="675"/>
      <c r="AG210" s="675"/>
    </row>
    <row r="211" spans="1:33" s="536" customFormat="1" ht="12" x14ac:dyDescent="0.2">
      <c r="A211" s="605"/>
      <c r="B211" s="552" t="s">
        <v>187</v>
      </c>
      <c r="C211" s="1822" t="s">
        <v>345</v>
      </c>
      <c r="D211" s="1822"/>
      <c r="E211" s="1822"/>
      <c r="F211" s="562"/>
      <c r="G211" s="562"/>
      <c r="H211" s="562"/>
      <c r="I211" s="562"/>
      <c r="J211" s="604">
        <v>0.5</v>
      </c>
      <c r="K211" s="562" t="s">
        <v>313</v>
      </c>
      <c r="L211" s="604">
        <v>0.13</v>
      </c>
      <c r="M211" s="603"/>
      <c r="N211" s="602"/>
      <c r="V211" s="674"/>
      <c r="W211" s="675"/>
      <c r="Y211" s="537" t="s">
        <v>345</v>
      </c>
      <c r="AB211" s="675"/>
      <c r="AD211" s="675"/>
      <c r="AF211" s="675"/>
      <c r="AG211" s="675"/>
    </row>
    <row r="212" spans="1:33" s="536" customFormat="1" ht="12" x14ac:dyDescent="0.2">
      <c r="A212" s="605"/>
      <c r="B212" s="552" t="s">
        <v>188</v>
      </c>
      <c r="C212" s="1822" t="s">
        <v>475</v>
      </c>
      <c r="D212" s="1822"/>
      <c r="E212" s="1822"/>
      <c r="F212" s="562"/>
      <c r="G212" s="562"/>
      <c r="H212" s="562"/>
      <c r="I212" s="562"/>
      <c r="J212" s="604">
        <v>14.48</v>
      </c>
      <c r="K212" s="562"/>
      <c r="L212" s="604">
        <v>2.9</v>
      </c>
      <c r="M212" s="603"/>
      <c r="N212" s="602"/>
      <c r="V212" s="674"/>
      <c r="W212" s="675"/>
      <c r="Y212" s="537" t="s">
        <v>475</v>
      </c>
      <c r="AB212" s="675"/>
      <c r="AD212" s="675"/>
      <c r="AF212" s="675"/>
      <c r="AG212" s="675"/>
    </row>
    <row r="213" spans="1:33" s="536" customFormat="1" ht="12" x14ac:dyDescent="0.2">
      <c r="A213" s="605"/>
      <c r="B213" s="552"/>
      <c r="C213" s="1822" t="s">
        <v>314</v>
      </c>
      <c r="D213" s="1822"/>
      <c r="E213" s="1822"/>
      <c r="F213" s="562" t="s">
        <v>315</v>
      </c>
      <c r="G213" s="562" t="s">
        <v>1682</v>
      </c>
      <c r="H213" s="562" t="s">
        <v>313</v>
      </c>
      <c r="I213" s="562" t="s">
        <v>2334</v>
      </c>
      <c r="J213" s="604"/>
      <c r="K213" s="562"/>
      <c r="L213" s="604"/>
      <c r="M213" s="603"/>
      <c r="N213" s="602"/>
      <c r="V213" s="674"/>
      <c r="W213" s="675"/>
      <c r="Z213" s="537" t="s">
        <v>314</v>
      </c>
      <c r="AB213" s="675"/>
      <c r="AD213" s="675"/>
      <c r="AF213" s="675"/>
      <c r="AG213" s="675"/>
    </row>
    <row r="214" spans="1:33" s="536" customFormat="1" ht="12" x14ac:dyDescent="0.2">
      <c r="A214" s="605"/>
      <c r="B214" s="552"/>
      <c r="C214" s="1822" t="s">
        <v>348</v>
      </c>
      <c r="D214" s="1822"/>
      <c r="E214" s="1822"/>
      <c r="F214" s="562" t="s">
        <v>315</v>
      </c>
      <c r="G214" s="562" t="s">
        <v>728</v>
      </c>
      <c r="H214" s="562" t="s">
        <v>313</v>
      </c>
      <c r="I214" s="562" t="s">
        <v>809</v>
      </c>
      <c r="J214" s="604"/>
      <c r="K214" s="562"/>
      <c r="L214" s="604"/>
      <c r="M214" s="603"/>
      <c r="N214" s="602"/>
      <c r="V214" s="674"/>
      <c r="W214" s="675"/>
      <c r="Z214" s="537" t="s">
        <v>348</v>
      </c>
      <c r="AB214" s="675"/>
      <c r="AD214" s="675"/>
      <c r="AF214" s="675"/>
      <c r="AG214" s="675"/>
    </row>
    <row r="215" spans="1:33" s="536" customFormat="1" ht="12" x14ac:dyDescent="0.2">
      <c r="A215" s="605"/>
      <c r="B215" s="552"/>
      <c r="C215" s="1828" t="s">
        <v>318</v>
      </c>
      <c r="D215" s="1828"/>
      <c r="E215" s="1828"/>
      <c r="F215" s="608"/>
      <c r="G215" s="608"/>
      <c r="H215" s="608"/>
      <c r="I215" s="608"/>
      <c r="J215" s="607">
        <v>68.77</v>
      </c>
      <c r="K215" s="608"/>
      <c r="L215" s="607">
        <v>16.48</v>
      </c>
      <c r="M215" s="601"/>
      <c r="N215" s="606"/>
      <c r="V215" s="674"/>
      <c r="W215" s="675"/>
      <c r="AA215" s="537" t="s">
        <v>318</v>
      </c>
      <c r="AB215" s="675"/>
      <c r="AD215" s="675"/>
      <c r="AF215" s="675"/>
      <c r="AG215" s="675"/>
    </row>
    <row r="216" spans="1:33" s="536" customFormat="1" ht="12" x14ac:dyDescent="0.2">
      <c r="A216" s="605"/>
      <c r="B216" s="552"/>
      <c r="C216" s="1822" t="s">
        <v>319</v>
      </c>
      <c r="D216" s="1822"/>
      <c r="E216" s="1822"/>
      <c r="F216" s="562"/>
      <c r="G216" s="562"/>
      <c r="H216" s="562"/>
      <c r="I216" s="562"/>
      <c r="J216" s="604"/>
      <c r="K216" s="562"/>
      <c r="L216" s="604">
        <v>12.8</v>
      </c>
      <c r="M216" s="603"/>
      <c r="N216" s="602"/>
      <c r="V216" s="674"/>
      <c r="W216" s="675"/>
      <c r="Z216" s="537" t="s">
        <v>319</v>
      </c>
      <c r="AB216" s="675"/>
      <c r="AD216" s="675"/>
      <c r="AF216" s="675"/>
      <c r="AG216" s="675"/>
    </row>
    <row r="217" spans="1:33" s="536" customFormat="1" ht="33.75" x14ac:dyDescent="0.2">
      <c r="A217" s="605"/>
      <c r="B217" s="552" t="s">
        <v>1631</v>
      </c>
      <c r="C217" s="1822" t="s">
        <v>1632</v>
      </c>
      <c r="D217" s="1822"/>
      <c r="E217" s="1822"/>
      <c r="F217" s="562" t="s">
        <v>322</v>
      </c>
      <c r="G217" s="562" t="s">
        <v>1633</v>
      </c>
      <c r="H217" s="562"/>
      <c r="I217" s="562" t="s">
        <v>1633</v>
      </c>
      <c r="J217" s="604"/>
      <c r="K217" s="562"/>
      <c r="L217" s="604">
        <v>12.42</v>
      </c>
      <c r="M217" s="603"/>
      <c r="N217" s="602"/>
      <c r="V217" s="674"/>
      <c r="W217" s="675"/>
      <c r="Z217" s="537" t="s">
        <v>1632</v>
      </c>
      <c r="AB217" s="675"/>
      <c r="AD217" s="675"/>
      <c r="AF217" s="675"/>
      <c r="AG217" s="675"/>
    </row>
    <row r="218" spans="1:33" s="536" customFormat="1" ht="33.75" x14ac:dyDescent="0.2">
      <c r="A218" s="605"/>
      <c r="B218" s="552" t="s">
        <v>1634</v>
      </c>
      <c r="C218" s="1822" t="s">
        <v>1635</v>
      </c>
      <c r="D218" s="1822"/>
      <c r="E218" s="1822"/>
      <c r="F218" s="562" t="s">
        <v>322</v>
      </c>
      <c r="G218" s="562" t="s">
        <v>786</v>
      </c>
      <c r="H218" s="562"/>
      <c r="I218" s="562" t="s">
        <v>786</v>
      </c>
      <c r="J218" s="604"/>
      <c r="K218" s="562"/>
      <c r="L218" s="604">
        <v>6.53</v>
      </c>
      <c r="M218" s="603"/>
      <c r="N218" s="602"/>
      <c r="V218" s="674"/>
      <c r="W218" s="675"/>
      <c r="Z218" s="537" t="s">
        <v>1635</v>
      </c>
      <c r="AB218" s="675"/>
      <c r="AD218" s="675"/>
      <c r="AF218" s="675"/>
      <c r="AG218" s="675"/>
    </row>
    <row r="219" spans="1:33" s="536" customFormat="1" ht="12" x14ac:dyDescent="0.2">
      <c r="A219" s="569"/>
      <c r="B219" s="671"/>
      <c r="C219" s="1823" t="s">
        <v>327</v>
      </c>
      <c r="D219" s="1823"/>
      <c r="E219" s="1823"/>
      <c r="F219" s="573"/>
      <c r="G219" s="573"/>
      <c r="H219" s="573"/>
      <c r="I219" s="573"/>
      <c r="J219" s="572"/>
      <c r="K219" s="573"/>
      <c r="L219" s="572">
        <v>35.43</v>
      </c>
      <c r="M219" s="601"/>
      <c r="N219" s="570"/>
      <c r="V219" s="674"/>
      <c r="W219" s="675"/>
      <c r="AB219" s="675" t="s">
        <v>327</v>
      </c>
      <c r="AD219" s="675"/>
      <c r="AF219" s="675"/>
      <c r="AG219" s="675"/>
    </row>
    <row r="220" spans="1:33" s="536" customFormat="1" ht="33.75" x14ac:dyDescent="0.2">
      <c r="A220" s="575" t="s">
        <v>736</v>
      </c>
      <c r="B220" s="670" t="s">
        <v>2335</v>
      </c>
      <c r="C220" s="1823" t="s">
        <v>1720</v>
      </c>
      <c r="D220" s="1823"/>
      <c r="E220" s="1823"/>
      <c r="F220" s="573" t="s">
        <v>483</v>
      </c>
      <c r="G220" s="573"/>
      <c r="H220" s="573"/>
      <c r="I220" s="573" t="s">
        <v>2336</v>
      </c>
      <c r="J220" s="572">
        <v>253.2</v>
      </c>
      <c r="K220" s="573" t="s">
        <v>716</v>
      </c>
      <c r="L220" s="572">
        <v>633.29</v>
      </c>
      <c r="M220" s="571">
        <v>8.32</v>
      </c>
      <c r="N220" s="570">
        <v>5269</v>
      </c>
      <c r="V220" s="674"/>
      <c r="W220" s="675" t="s">
        <v>1720</v>
      </c>
      <c r="AB220" s="675"/>
      <c r="AD220" s="675"/>
      <c r="AF220" s="675"/>
      <c r="AG220" s="675"/>
    </row>
    <row r="221" spans="1:33" s="536" customFormat="1" ht="12" x14ac:dyDescent="0.2">
      <c r="A221" s="569"/>
      <c r="B221" s="671"/>
      <c r="C221" s="665" t="s">
        <v>1658</v>
      </c>
      <c r="D221" s="666"/>
      <c r="E221" s="666"/>
      <c r="F221" s="563"/>
      <c r="G221" s="563"/>
      <c r="H221" s="563"/>
      <c r="I221" s="563"/>
      <c r="J221" s="566"/>
      <c r="K221" s="563"/>
      <c r="L221" s="566"/>
      <c r="M221" s="565"/>
      <c r="N221" s="564"/>
      <c r="V221" s="674"/>
      <c r="W221" s="675"/>
      <c r="AB221" s="675"/>
      <c r="AD221" s="675"/>
      <c r="AF221" s="675"/>
      <c r="AG221" s="675"/>
    </row>
    <row r="222" spans="1:33" s="536" customFormat="1" ht="12" x14ac:dyDescent="0.2">
      <c r="A222" s="676"/>
      <c r="B222" s="664"/>
      <c r="C222" s="1822" t="s">
        <v>2337</v>
      </c>
      <c r="D222" s="1822"/>
      <c r="E222" s="1822"/>
      <c r="F222" s="1822"/>
      <c r="G222" s="1822"/>
      <c r="H222" s="1822"/>
      <c r="I222" s="1822"/>
      <c r="J222" s="1822"/>
      <c r="K222" s="1822"/>
      <c r="L222" s="1822"/>
      <c r="M222" s="1822"/>
      <c r="N222" s="1827"/>
      <c r="V222" s="674"/>
      <c r="W222" s="675"/>
      <c r="AB222" s="675"/>
      <c r="AC222" s="537" t="s">
        <v>2337</v>
      </c>
      <c r="AD222" s="675"/>
      <c r="AF222" s="675"/>
      <c r="AG222" s="675"/>
    </row>
    <row r="223" spans="1:33" s="536" customFormat="1" ht="22.5" x14ac:dyDescent="0.2">
      <c r="A223" s="609"/>
      <c r="B223" s="552" t="s">
        <v>718</v>
      </c>
      <c r="C223" s="1822" t="s">
        <v>719</v>
      </c>
      <c r="D223" s="1822"/>
      <c r="E223" s="1822"/>
      <c r="F223" s="1822"/>
      <c r="G223" s="1822"/>
      <c r="H223" s="1822"/>
      <c r="I223" s="1822"/>
      <c r="J223" s="1822"/>
      <c r="K223" s="1822"/>
      <c r="L223" s="1822"/>
      <c r="M223" s="1822"/>
      <c r="N223" s="1827"/>
      <c r="V223" s="674"/>
      <c r="W223" s="675"/>
      <c r="X223" s="537" t="s">
        <v>719</v>
      </c>
      <c r="AB223" s="675"/>
      <c r="AD223" s="675"/>
      <c r="AF223" s="675"/>
      <c r="AG223" s="675"/>
    </row>
    <row r="224" spans="1:33" s="536" customFormat="1" ht="45" x14ac:dyDescent="0.2">
      <c r="A224" s="575" t="s">
        <v>1067</v>
      </c>
      <c r="B224" s="670" t="s">
        <v>1668</v>
      </c>
      <c r="C224" s="1823" t="s">
        <v>1669</v>
      </c>
      <c r="D224" s="1823"/>
      <c r="E224" s="1823"/>
      <c r="F224" s="573" t="s">
        <v>1110</v>
      </c>
      <c r="G224" s="573"/>
      <c r="H224" s="573"/>
      <c r="I224" s="573" t="s">
        <v>890</v>
      </c>
      <c r="J224" s="572"/>
      <c r="K224" s="573"/>
      <c r="L224" s="572"/>
      <c r="M224" s="571"/>
      <c r="N224" s="570"/>
      <c r="V224" s="674"/>
      <c r="W224" s="675" t="s">
        <v>1669</v>
      </c>
      <c r="AB224" s="675"/>
      <c r="AD224" s="675"/>
      <c r="AF224" s="675"/>
      <c r="AG224" s="675"/>
    </row>
    <row r="225" spans="1:33" s="536" customFormat="1" ht="12" x14ac:dyDescent="0.2">
      <c r="A225" s="676"/>
      <c r="B225" s="664"/>
      <c r="C225" s="1822" t="s">
        <v>2333</v>
      </c>
      <c r="D225" s="1822"/>
      <c r="E225" s="1822"/>
      <c r="F225" s="1822"/>
      <c r="G225" s="1822"/>
      <c r="H225" s="1822"/>
      <c r="I225" s="1822"/>
      <c r="J225" s="1822"/>
      <c r="K225" s="1822"/>
      <c r="L225" s="1822"/>
      <c r="M225" s="1822"/>
      <c r="N225" s="1827"/>
      <c r="V225" s="674"/>
      <c r="W225" s="675"/>
      <c r="AB225" s="675"/>
      <c r="AC225" s="537" t="s">
        <v>2333</v>
      </c>
      <c r="AD225" s="675"/>
      <c r="AF225" s="675"/>
      <c r="AG225" s="675"/>
    </row>
    <row r="226" spans="1:33" s="536" customFormat="1" ht="33.75" x14ac:dyDescent="0.2">
      <c r="A226" s="609"/>
      <c r="B226" s="552" t="s">
        <v>310</v>
      </c>
      <c r="C226" s="1822" t="s">
        <v>311</v>
      </c>
      <c r="D226" s="1822"/>
      <c r="E226" s="1822"/>
      <c r="F226" s="1822"/>
      <c r="G226" s="1822"/>
      <c r="H226" s="1822"/>
      <c r="I226" s="1822"/>
      <c r="J226" s="1822"/>
      <c r="K226" s="1822"/>
      <c r="L226" s="1822"/>
      <c r="M226" s="1822"/>
      <c r="N226" s="1827"/>
      <c r="V226" s="674"/>
      <c r="W226" s="675"/>
      <c r="X226" s="537" t="s">
        <v>311</v>
      </c>
      <c r="AB226" s="675"/>
      <c r="AD226" s="675"/>
      <c r="AF226" s="675"/>
      <c r="AG226" s="675"/>
    </row>
    <row r="227" spans="1:33" s="536" customFormat="1" ht="12" x14ac:dyDescent="0.2">
      <c r="A227" s="605"/>
      <c r="B227" s="552" t="s">
        <v>185</v>
      </c>
      <c r="C227" s="1822" t="s">
        <v>312</v>
      </c>
      <c r="D227" s="1822"/>
      <c r="E227" s="1822"/>
      <c r="F227" s="562"/>
      <c r="G227" s="562"/>
      <c r="H227" s="562"/>
      <c r="I227" s="562"/>
      <c r="J227" s="604">
        <v>139.54</v>
      </c>
      <c r="K227" s="562" t="s">
        <v>313</v>
      </c>
      <c r="L227" s="604">
        <v>34.89</v>
      </c>
      <c r="M227" s="603"/>
      <c r="N227" s="602"/>
      <c r="V227" s="674"/>
      <c r="W227" s="675"/>
      <c r="Y227" s="537" t="s">
        <v>312</v>
      </c>
      <c r="AB227" s="675"/>
      <c r="AD227" s="675"/>
      <c r="AF227" s="675"/>
      <c r="AG227" s="675"/>
    </row>
    <row r="228" spans="1:33" s="536" customFormat="1" ht="12" x14ac:dyDescent="0.2">
      <c r="A228" s="605"/>
      <c r="B228" s="552" t="s">
        <v>188</v>
      </c>
      <c r="C228" s="1822" t="s">
        <v>475</v>
      </c>
      <c r="D228" s="1822"/>
      <c r="E228" s="1822"/>
      <c r="F228" s="562"/>
      <c r="G228" s="562"/>
      <c r="H228" s="562"/>
      <c r="I228" s="562"/>
      <c r="J228" s="604">
        <v>16.79</v>
      </c>
      <c r="K228" s="562"/>
      <c r="L228" s="604">
        <v>3.36</v>
      </c>
      <c r="M228" s="603"/>
      <c r="N228" s="602"/>
      <c r="V228" s="674"/>
      <c r="W228" s="675"/>
      <c r="Y228" s="537" t="s">
        <v>475</v>
      </c>
      <c r="AB228" s="675"/>
      <c r="AD228" s="675"/>
      <c r="AF228" s="675"/>
      <c r="AG228" s="675"/>
    </row>
    <row r="229" spans="1:33" s="536" customFormat="1" ht="12" x14ac:dyDescent="0.2">
      <c r="A229" s="605"/>
      <c r="B229" s="552"/>
      <c r="C229" s="1822" t="s">
        <v>314</v>
      </c>
      <c r="D229" s="1822"/>
      <c r="E229" s="1822"/>
      <c r="F229" s="562" t="s">
        <v>315</v>
      </c>
      <c r="G229" s="562" t="s">
        <v>1671</v>
      </c>
      <c r="H229" s="562" t="s">
        <v>313</v>
      </c>
      <c r="I229" s="562" t="s">
        <v>422</v>
      </c>
      <c r="J229" s="604"/>
      <c r="K229" s="562"/>
      <c r="L229" s="604"/>
      <c r="M229" s="603"/>
      <c r="N229" s="602"/>
      <c r="V229" s="674"/>
      <c r="W229" s="675"/>
      <c r="Z229" s="537" t="s">
        <v>314</v>
      </c>
      <c r="AB229" s="675"/>
      <c r="AD229" s="675"/>
      <c r="AF229" s="675"/>
      <c r="AG229" s="675"/>
    </row>
    <row r="230" spans="1:33" s="536" customFormat="1" ht="12" x14ac:dyDescent="0.2">
      <c r="A230" s="605"/>
      <c r="B230" s="552"/>
      <c r="C230" s="1828" t="s">
        <v>318</v>
      </c>
      <c r="D230" s="1828"/>
      <c r="E230" s="1828"/>
      <c r="F230" s="608"/>
      <c r="G230" s="608"/>
      <c r="H230" s="608"/>
      <c r="I230" s="608"/>
      <c r="J230" s="607">
        <v>156.33000000000001</v>
      </c>
      <c r="K230" s="608"/>
      <c r="L230" s="607">
        <v>38.25</v>
      </c>
      <c r="M230" s="601"/>
      <c r="N230" s="606"/>
      <c r="V230" s="674"/>
      <c r="W230" s="675"/>
      <c r="AA230" s="537" t="s">
        <v>318</v>
      </c>
      <c r="AB230" s="675"/>
      <c r="AD230" s="675"/>
      <c r="AF230" s="675"/>
      <c r="AG230" s="675"/>
    </row>
    <row r="231" spans="1:33" s="536" customFormat="1" ht="12" x14ac:dyDescent="0.2">
      <c r="A231" s="605"/>
      <c r="B231" s="552"/>
      <c r="C231" s="1822" t="s">
        <v>319</v>
      </c>
      <c r="D231" s="1822"/>
      <c r="E231" s="1822"/>
      <c r="F231" s="562"/>
      <c r="G231" s="562"/>
      <c r="H231" s="562"/>
      <c r="I231" s="562"/>
      <c r="J231" s="604"/>
      <c r="K231" s="562"/>
      <c r="L231" s="604">
        <v>34.89</v>
      </c>
      <c r="M231" s="603"/>
      <c r="N231" s="602"/>
      <c r="V231" s="674"/>
      <c r="W231" s="675"/>
      <c r="Z231" s="537" t="s">
        <v>319</v>
      </c>
      <c r="AB231" s="675"/>
      <c r="AD231" s="675"/>
      <c r="AF231" s="675"/>
      <c r="AG231" s="675"/>
    </row>
    <row r="232" spans="1:33" s="536" customFormat="1" ht="33.75" x14ac:dyDescent="0.2">
      <c r="A232" s="605"/>
      <c r="B232" s="552" t="s">
        <v>1631</v>
      </c>
      <c r="C232" s="1822" t="s">
        <v>1632</v>
      </c>
      <c r="D232" s="1822"/>
      <c r="E232" s="1822"/>
      <c r="F232" s="562" t="s">
        <v>322</v>
      </c>
      <c r="G232" s="562" t="s">
        <v>1633</v>
      </c>
      <c r="H232" s="562"/>
      <c r="I232" s="562" t="s">
        <v>1633</v>
      </c>
      <c r="J232" s="604"/>
      <c r="K232" s="562"/>
      <c r="L232" s="604">
        <v>33.840000000000003</v>
      </c>
      <c r="M232" s="603"/>
      <c r="N232" s="602"/>
      <c r="V232" s="674"/>
      <c r="W232" s="675"/>
      <c r="Z232" s="537" t="s">
        <v>1632</v>
      </c>
      <c r="AB232" s="675"/>
      <c r="AD232" s="675"/>
      <c r="AF232" s="675"/>
      <c r="AG232" s="675"/>
    </row>
    <row r="233" spans="1:33" s="536" customFormat="1" ht="33.75" x14ac:dyDescent="0.2">
      <c r="A233" s="605"/>
      <c r="B233" s="552" t="s">
        <v>1634</v>
      </c>
      <c r="C233" s="1822" t="s">
        <v>1635</v>
      </c>
      <c r="D233" s="1822"/>
      <c r="E233" s="1822"/>
      <c r="F233" s="562" t="s">
        <v>322</v>
      </c>
      <c r="G233" s="562" t="s">
        <v>786</v>
      </c>
      <c r="H233" s="562"/>
      <c r="I233" s="562" t="s">
        <v>786</v>
      </c>
      <c r="J233" s="604"/>
      <c r="K233" s="562"/>
      <c r="L233" s="604">
        <v>17.79</v>
      </c>
      <c r="M233" s="603"/>
      <c r="N233" s="602"/>
      <c r="V233" s="674"/>
      <c r="W233" s="675"/>
      <c r="Z233" s="537" t="s">
        <v>1635</v>
      </c>
      <c r="AB233" s="675"/>
      <c r="AD233" s="675"/>
      <c r="AF233" s="675"/>
      <c r="AG233" s="675"/>
    </row>
    <row r="234" spans="1:33" s="536" customFormat="1" ht="12" x14ac:dyDescent="0.2">
      <c r="A234" s="569"/>
      <c r="B234" s="671"/>
      <c r="C234" s="1823" t="s">
        <v>327</v>
      </c>
      <c r="D234" s="1823"/>
      <c r="E234" s="1823"/>
      <c r="F234" s="573"/>
      <c r="G234" s="573"/>
      <c r="H234" s="573"/>
      <c r="I234" s="573"/>
      <c r="J234" s="572"/>
      <c r="K234" s="573"/>
      <c r="L234" s="572">
        <v>89.88</v>
      </c>
      <c r="M234" s="601"/>
      <c r="N234" s="570"/>
      <c r="V234" s="674"/>
      <c r="W234" s="675"/>
      <c r="AB234" s="675" t="s">
        <v>327</v>
      </c>
      <c r="AD234" s="675"/>
      <c r="AF234" s="675"/>
      <c r="AG234" s="675"/>
    </row>
    <row r="235" spans="1:33" s="536" customFormat="1" ht="45" x14ac:dyDescent="0.2">
      <c r="A235" s="575" t="s">
        <v>912</v>
      </c>
      <c r="B235" s="670" t="s">
        <v>1724</v>
      </c>
      <c r="C235" s="1823" t="s">
        <v>1725</v>
      </c>
      <c r="D235" s="1823"/>
      <c r="E235" s="1823"/>
      <c r="F235" s="573" t="s">
        <v>483</v>
      </c>
      <c r="G235" s="573"/>
      <c r="H235" s="573"/>
      <c r="I235" s="573" t="s">
        <v>2336</v>
      </c>
      <c r="J235" s="572">
        <v>3</v>
      </c>
      <c r="K235" s="573"/>
      <c r="L235" s="572">
        <v>61.2</v>
      </c>
      <c r="M235" s="571"/>
      <c r="N235" s="570"/>
      <c r="V235" s="674"/>
      <c r="W235" s="675" t="s">
        <v>1725</v>
      </c>
      <c r="AB235" s="675"/>
      <c r="AD235" s="675"/>
      <c r="AF235" s="675"/>
      <c r="AG235" s="675"/>
    </row>
    <row r="236" spans="1:33" s="536" customFormat="1" ht="12" x14ac:dyDescent="0.2">
      <c r="A236" s="569"/>
      <c r="B236" s="671"/>
      <c r="C236" s="665" t="s">
        <v>1658</v>
      </c>
      <c r="D236" s="666"/>
      <c r="E236" s="666"/>
      <c r="F236" s="563"/>
      <c r="G236" s="563"/>
      <c r="H236" s="563"/>
      <c r="I236" s="563"/>
      <c r="J236" s="566"/>
      <c r="K236" s="563"/>
      <c r="L236" s="566"/>
      <c r="M236" s="565"/>
      <c r="N236" s="564"/>
      <c r="V236" s="674"/>
      <c r="W236" s="675"/>
      <c r="AB236" s="675"/>
      <c r="AD236" s="675"/>
      <c r="AF236" s="675"/>
      <c r="AG236" s="675"/>
    </row>
    <row r="237" spans="1:33" s="536" customFormat="1" ht="12" x14ac:dyDescent="0.2">
      <c r="A237" s="676"/>
      <c r="B237" s="664"/>
      <c r="C237" s="1822" t="s">
        <v>2337</v>
      </c>
      <c r="D237" s="1822"/>
      <c r="E237" s="1822"/>
      <c r="F237" s="1822"/>
      <c r="G237" s="1822"/>
      <c r="H237" s="1822"/>
      <c r="I237" s="1822"/>
      <c r="J237" s="1822"/>
      <c r="K237" s="1822"/>
      <c r="L237" s="1822"/>
      <c r="M237" s="1822"/>
      <c r="N237" s="1827"/>
      <c r="V237" s="674"/>
      <c r="W237" s="675"/>
      <c r="AB237" s="675"/>
      <c r="AC237" s="537" t="s">
        <v>2337</v>
      </c>
      <c r="AD237" s="675"/>
      <c r="AF237" s="675"/>
      <c r="AG237" s="675"/>
    </row>
    <row r="238" spans="1:33" s="536" customFormat="1" ht="12" x14ac:dyDescent="0.2">
      <c r="A238" s="575" t="s">
        <v>757</v>
      </c>
      <c r="B238" s="670" t="s">
        <v>1690</v>
      </c>
      <c r="C238" s="1823" t="s">
        <v>1691</v>
      </c>
      <c r="D238" s="1823"/>
      <c r="E238" s="1823"/>
      <c r="F238" s="573" t="s">
        <v>617</v>
      </c>
      <c r="G238" s="573"/>
      <c r="H238" s="573"/>
      <c r="I238" s="573" t="s">
        <v>188</v>
      </c>
      <c r="J238" s="572"/>
      <c r="K238" s="573"/>
      <c r="L238" s="572"/>
      <c r="M238" s="571"/>
      <c r="N238" s="570"/>
      <c r="V238" s="674"/>
      <c r="W238" s="675" t="s">
        <v>1691</v>
      </c>
      <c r="AB238" s="675"/>
      <c r="AD238" s="675"/>
      <c r="AF238" s="675"/>
      <c r="AG238" s="675"/>
    </row>
    <row r="239" spans="1:33" s="536" customFormat="1" ht="33.75" x14ac:dyDescent="0.2">
      <c r="A239" s="609"/>
      <c r="B239" s="552" t="s">
        <v>310</v>
      </c>
      <c r="C239" s="1822" t="s">
        <v>311</v>
      </c>
      <c r="D239" s="1822"/>
      <c r="E239" s="1822"/>
      <c r="F239" s="1822"/>
      <c r="G239" s="1822"/>
      <c r="H239" s="1822"/>
      <c r="I239" s="1822"/>
      <c r="J239" s="1822"/>
      <c r="K239" s="1822"/>
      <c r="L239" s="1822"/>
      <c r="M239" s="1822"/>
      <c r="N239" s="1827"/>
      <c r="V239" s="674"/>
      <c r="W239" s="675"/>
      <c r="X239" s="537" t="s">
        <v>311</v>
      </c>
      <c r="AB239" s="675"/>
      <c r="AD239" s="675"/>
      <c r="AF239" s="675"/>
      <c r="AG239" s="675"/>
    </row>
    <row r="240" spans="1:33" s="536" customFormat="1" ht="12" x14ac:dyDescent="0.2">
      <c r="A240" s="605"/>
      <c r="B240" s="552" t="s">
        <v>185</v>
      </c>
      <c r="C240" s="1822" t="s">
        <v>312</v>
      </c>
      <c r="D240" s="1822"/>
      <c r="E240" s="1822"/>
      <c r="F240" s="562"/>
      <c r="G240" s="562"/>
      <c r="H240" s="562"/>
      <c r="I240" s="562"/>
      <c r="J240" s="604">
        <v>4.88</v>
      </c>
      <c r="K240" s="562" t="s">
        <v>313</v>
      </c>
      <c r="L240" s="604">
        <v>24.4</v>
      </c>
      <c r="M240" s="603"/>
      <c r="N240" s="602"/>
      <c r="V240" s="674"/>
      <c r="W240" s="675"/>
      <c r="Y240" s="537" t="s">
        <v>312</v>
      </c>
      <c r="AB240" s="675"/>
      <c r="AD240" s="675"/>
      <c r="AF240" s="675"/>
      <c r="AG240" s="675"/>
    </row>
    <row r="241" spans="1:33" s="536" customFormat="1" ht="12" x14ac:dyDescent="0.2">
      <c r="A241" s="605"/>
      <c r="B241" s="552" t="s">
        <v>188</v>
      </c>
      <c r="C241" s="1822" t="s">
        <v>475</v>
      </c>
      <c r="D241" s="1822"/>
      <c r="E241" s="1822"/>
      <c r="F241" s="562"/>
      <c r="G241" s="562"/>
      <c r="H241" s="562"/>
      <c r="I241" s="562"/>
      <c r="J241" s="604">
        <v>0.41</v>
      </c>
      <c r="K241" s="562"/>
      <c r="L241" s="604">
        <v>1.64</v>
      </c>
      <c r="M241" s="603"/>
      <c r="N241" s="602"/>
      <c r="V241" s="674"/>
      <c r="W241" s="675"/>
      <c r="Y241" s="537" t="s">
        <v>475</v>
      </c>
      <c r="AB241" s="675"/>
      <c r="AD241" s="675"/>
      <c r="AF241" s="675"/>
      <c r="AG241" s="675"/>
    </row>
    <row r="242" spans="1:33" s="536" customFormat="1" ht="12" x14ac:dyDescent="0.2">
      <c r="A242" s="605"/>
      <c r="B242" s="552"/>
      <c r="C242" s="1822" t="s">
        <v>314</v>
      </c>
      <c r="D242" s="1822"/>
      <c r="E242" s="1822"/>
      <c r="F242" s="562" t="s">
        <v>315</v>
      </c>
      <c r="G242" s="562" t="s">
        <v>1692</v>
      </c>
      <c r="H242" s="562" t="s">
        <v>313</v>
      </c>
      <c r="I242" s="562" t="s">
        <v>722</v>
      </c>
      <c r="J242" s="604"/>
      <c r="K242" s="562"/>
      <c r="L242" s="604"/>
      <c r="M242" s="603"/>
      <c r="N242" s="602"/>
      <c r="V242" s="674"/>
      <c r="W242" s="675"/>
      <c r="Z242" s="537" t="s">
        <v>314</v>
      </c>
      <c r="AB242" s="675"/>
      <c r="AD242" s="675"/>
      <c r="AF242" s="675"/>
      <c r="AG242" s="675"/>
    </row>
    <row r="243" spans="1:33" s="536" customFormat="1" ht="12" x14ac:dyDescent="0.2">
      <c r="A243" s="605"/>
      <c r="B243" s="552"/>
      <c r="C243" s="1828" t="s">
        <v>318</v>
      </c>
      <c r="D243" s="1828"/>
      <c r="E243" s="1828"/>
      <c r="F243" s="608"/>
      <c r="G243" s="608"/>
      <c r="H243" s="608"/>
      <c r="I243" s="608"/>
      <c r="J243" s="607">
        <v>5.29</v>
      </c>
      <c r="K243" s="608"/>
      <c r="L243" s="607">
        <v>26.04</v>
      </c>
      <c r="M243" s="601"/>
      <c r="N243" s="606"/>
      <c r="V243" s="674"/>
      <c r="W243" s="675"/>
      <c r="AA243" s="537" t="s">
        <v>318</v>
      </c>
      <c r="AB243" s="675"/>
      <c r="AD243" s="675"/>
      <c r="AF243" s="675"/>
      <c r="AG243" s="675"/>
    </row>
    <row r="244" spans="1:33" s="536" customFormat="1" ht="12" x14ac:dyDescent="0.2">
      <c r="A244" s="605"/>
      <c r="B244" s="552"/>
      <c r="C244" s="1822" t="s">
        <v>319</v>
      </c>
      <c r="D244" s="1822"/>
      <c r="E244" s="1822"/>
      <c r="F244" s="562"/>
      <c r="G244" s="562"/>
      <c r="H244" s="562"/>
      <c r="I244" s="562"/>
      <c r="J244" s="604"/>
      <c r="K244" s="562"/>
      <c r="L244" s="604">
        <v>24.4</v>
      </c>
      <c r="M244" s="603"/>
      <c r="N244" s="602"/>
      <c r="V244" s="674"/>
      <c r="W244" s="675"/>
      <c r="Z244" s="537" t="s">
        <v>319</v>
      </c>
      <c r="AB244" s="675"/>
      <c r="AD244" s="675"/>
      <c r="AF244" s="675"/>
      <c r="AG244" s="675"/>
    </row>
    <row r="245" spans="1:33" s="536" customFormat="1" ht="33.75" x14ac:dyDescent="0.2">
      <c r="A245" s="605"/>
      <c r="B245" s="552" t="s">
        <v>884</v>
      </c>
      <c r="C245" s="1822" t="s">
        <v>885</v>
      </c>
      <c r="D245" s="1822"/>
      <c r="E245" s="1822"/>
      <c r="F245" s="562" t="s">
        <v>322</v>
      </c>
      <c r="G245" s="562" t="s">
        <v>886</v>
      </c>
      <c r="H245" s="562"/>
      <c r="I245" s="562" t="s">
        <v>886</v>
      </c>
      <c r="J245" s="604"/>
      <c r="K245" s="562"/>
      <c r="L245" s="604">
        <v>21.96</v>
      </c>
      <c r="M245" s="603"/>
      <c r="N245" s="602"/>
      <c r="V245" s="674"/>
      <c r="W245" s="675"/>
      <c r="Z245" s="537" t="s">
        <v>885</v>
      </c>
      <c r="AB245" s="675"/>
      <c r="AD245" s="675"/>
      <c r="AF245" s="675"/>
      <c r="AG245" s="675"/>
    </row>
    <row r="246" spans="1:33" s="536" customFormat="1" ht="33.75" x14ac:dyDescent="0.2">
      <c r="A246" s="605"/>
      <c r="B246" s="552" t="s">
        <v>887</v>
      </c>
      <c r="C246" s="1822" t="s">
        <v>888</v>
      </c>
      <c r="D246" s="1822"/>
      <c r="E246" s="1822"/>
      <c r="F246" s="562" t="s">
        <v>322</v>
      </c>
      <c r="G246" s="562" t="s">
        <v>465</v>
      </c>
      <c r="H246" s="562"/>
      <c r="I246" s="562" t="s">
        <v>465</v>
      </c>
      <c r="J246" s="604"/>
      <c r="K246" s="562"/>
      <c r="L246" s="604">
        <v>11.22</v>
      </c>
      <c r="M246" s="603"/>
      <c r="N246" s="602"/>
      <c r="V246" s="674"/>
      <c r="W246" s="675"/>
      <c r="Z246" s="537" t="s">
        <v>888</v>
      </c>
      <c r="AB246" s="675"/>
      <c r="AD246" s="675"/>
      <c r="AF246" s="675"/>
      <c r="AG246" s="675"/>
    </row>
    <row r="247" spans="1:33" s="536" customFormat="1" ht="12" x14ac:dyDescent="0.2">
      <c r="A247" s="569"/>
      <c r="B247" s="671"/>
      <c r="C247" s="1823" t="s">
        <v>327</v>
      </c>
      <c r="D247" s="1823"/>
      <c r="E247" s="1823"/>
      <c r="F247" s="573"/>
      <c r="G247" s="573"/>
      <c r="H247" s="573"/>
      <c r="I247" s="573"/>
      <c r="J247" s="572"/>
      <c r="K247" s="573"/>
      <c r="L247" s="572">
        <v>59.22</v>
      </c>
      <c r="M247" s="601"/>
      <c r="N247" s="570"/>
      <c r="V247" s="674"/>
      <c r="W247" s="675"/>
      <c r="AB247" s="675" t="s">
        <v>327</v>
      </c>
      <c r="AD247" s="675"/>
      <c r="AF247" s="675"/>
      <c r="AG247" s="675"/>
    </row>
    <row r="248" spans="1:33" s="536" customFormat="1" ht="33.75" x14ac:dyDescent="0.2">
      <c r="A248" s="575" t="s">
        <v>1079</v>
      </c>
      <c r="B248" s="670" t="s">
        <v>2338</v>
      </c>
      <c r="C248" s="1823" t="s">
        <v>1728</v>
      </c>
      <c r="D248" s="1823"/>
      <c r="E248" s="1823"/>
      <c r="F248" s="573" t="s">
        <v>617</v>
      </c>
      <c r="G248" s="573"/>
      <c r="H248" s="573"/>
      <c r="I248" s="573" t="s">
        <v>188</v>
      </c>
      <c r="J248" s="572">
        <v>902.71</v>
      </c>
      <c r="K248" s="573" t="s">
        <v>716</v>
      </c>
      <c r="L248" s="572">
        <v>442.67</v>
      </c>
      <c r="M248" s="571">
        <v>8.32</v>
      </c>
      <c r="N248" s="570">
        <v>3683</v>
      </c>
      <c r="V248" s="674"/>
      <c r="W248" s="675" t="s">
        <v>1728</v>
      </c>
      <c r="AB248" s="675"/>
      <c r="AD248" s="675"/>
      <c r="AF248" s="675"/>
      <c r="AG248" s="675"/>
    </row>
    <row r="249" spans="1:33" s="536" customFormat="1" ht="12" x14ac:dyDescent="0.2">
      <c r="A249" s="569"/>
      <c r="B249" s="671"/>
      <c r="C249" s="665" t="s">
        <v>1658</v>
      </c>
      <c r="D249" s="666"/>
      <c r="E249" s="666"/>
      <c r="F249" s="563"/>
      <c r="G249" s="563"/>
      <c r="H249" s="563"/>
      <c r="I249" s="563"/>
      <c r="J249" s="566"/>
      <c r="K249" s="563"/>
      <c r="L249" s="566"/>
      <c r="M249" s="565"/>
      <c r="N249" s="564"/>
      <c r="V249" s="674"/>
      <c r="W249" s="675"/>
      <c r="AB249" s="675"/>
      <c r="AD249" s="675"/>
      <c r="AF249" s="675"/>
      <c r="AG249" s="675"/>
    </row>
    <row r="250" spans="1:33" s="536" customFormat="1" ht="22.5" x14ac:dyDescent="0.2">
      <c r="A250" s="609"/>
      <c r="B250" s="552" t="s">
        <v>718</v>
      </c>
      <c r="C250" s="1822" t="s">
        <v>719</v>
      </c>
      <c r="D250" s="1822"/>
      <c r="E250" s="1822"/>
      <c r="F250" s="1822"/>
      <c r="G250" s="1822"/>
      <c r="H250" s="1822"/>
      <c r="I250" s="1822"/>
      <c r="J250" s="1822"/>
      <c r="K250" s="1822"/>
      <c r="L250" s="1822"/>
      <c r="M250" s="1822"/>
      <c r="N250" s="1827"/>
      <c r="V250" s="674"/>
      <c r="W250" s="675"/>
      <c r="X250" s="537" t="s">
        <v>719</v>
      </c>
      <c r="AB250" s="675"/>
      <c r="AD250" s="675"/>
      <c r="AF250" s="675"/>
      <c r="AG250" s="675"/>
    </row>
    <row r="251" spans="1:33" s="536" customFormat="1" ht="33.75" x14ac:dyDescent="0.2">
      <c r="A251" s="575" t="s">
        <v>759</v>
      </c>
      <c r="B251" s="670" t="s">
        <v>1729</v>
      </c>
      <c r="C251" s="1823" t="s">
        <v>1730</v>
      </c>
      <c r="D251" s="1823"/>
      <c r="E251" s="1823"/>
      <c r="F251" s="573" t="s">
        <v>617</v>
      </c>
      <c r="G251" s="573"/>
      <c r="H251" s="573"/>
      <c r="I251" s="573" t="s">
        <v>193</v>
      </c>
      <c r="J251" s="572">
        <v>17.22</v>
      </c>
      <c r="K251" s="573" t="s">
        <v>716</v>
      </c>
      <c r="L251" s="572">
        <v>18.989999999999998</v>
      </c>
      <c r="M251" s="571">
        <v>8.32</v>
      </c>
      <c r="N251" s="570">
        <v>158</v>
      </c>
      <c r="V251" s="674"/>
      <c r="W251" s="675" t="s">
        <v>1730</v>
      </c>
      <c r="AB251" s="675"/>
      <c r="AD251" s="675"/>
      <c r="AF251" s="675"/>
      <c r="AG251" s="675"/>
    </row>
    <row r="252" spans="1:33" s="536" customFormat="1" ht="12" x14ac:dyDescent="0.2">
      <c r="A252" s="569"/>
      <c r="B252" s="671"/>
      <c r="C252" s="665" t="s">
        <v>1658</v>
      </c>
      <c r="D252" s="666"/>
      <c r="E252" s="666"/>
      <c r="F252" s="563"/>
      <c r="G252" s="563"/>
      <c r="H252" s="563"/>
      <c r="I252" s="563"/>
      <c r="J252" s="566"/>
      <c r="K252" s="563"/>
      <c r="L252" s="566"/>
      <c r="M252" s="565"/>
      <c r="N252" s="564"/>
      <c r="V252" s="674"/>
      <c r="W252" s="675"/>
      <c r="AB252" s="675"/>
      <c r="AD252" s="675"/>
      <c r="AF252" s="675"/>
      <c r="AG252" s="675"/>
    </row>
    <row r="253" spans="1:33" s="536" customFormat="1" ht="22.5" x14ac:dyDescent="0.2">
      <c r="A253" s="609"/>
      <c r="B253" s="552" t="s">
        <v>718</v>
      </c>
      <c r="C253" s="1822" t="s">
        <v>719</v>
      </c>
      <c r="D253" s="1822"/>
      <c r="E253" s="1822"/>
      <c r="F253" s="1822"/>
      <c r="G253" s="1822"/>
      <c r="H253" s="1822"/>
      <c r="I253" s="1822"/>
      <c r="J253" s="1822"/>
      <c r="K253" s="1822"/>
      <c r="L253" s="1822"/>
      <c r="M253" s="1822"/>
      <c r="N253" s="1827"/>
      <c r="V253" s="674"/>
      <c r="W253" s="675"/>
      <c r="X253" s="537" t="s">
        <v>719</v>
      </c>
      <c r="AB253" s="675"/>
      <c r="AD253" s="675"/>
      <c r="AF253" s="675"/>
      <c r="AG253" s="675"/>
    </row>
    <row r="254" spans="1:33" s="536" customFormat="1" ht="33.75" x14ac:dyDescent="0.2">
      <c r="A254" s="575" t="s">
        <v>917</v>
      </c>
      <c r="B254" s="670" t="s">
        <v>1731</v>
      </c>
      <c r="C254" s="1823" t="s">
        <v>1732</v>
      </c>
      <c r="D254" s="1823"/>
      <c r="E254" s="1823"/>
      <c r="F254" s="573" t="s">
        <v>617</v>
      </c>
      <c r="G254" s="573"/>
      <c r="H254" s="573"/>
      <c r="I254" s="573" t="s">
        <v>193</v>
      </c>
      <c r="J254" s="572">
        <v>7.81</v>
      </c>
      <c r="K254" s="573" t="s">
        <v>716</v>
      </c>
      <c r="L254" s="572">
        <v>8.65</v>
      </c>
      <c r="M254" s="571">
        <v>8.32</v>
      </c>
      <c r="N254" s="570">
        <v>72</v>
      </c>
      <c r="V254" s="674"/>
      <c r="W254" s="675" t="s">
        <v>1732</v>
      </c>
      <c r="AB254" s="675"/>
      <c r="AD254" s="675"/>
      <c r="AF254" s="675"/>
      <c r="AG254" s="675"/>
    </row>
    <row r="255" spans="1:33" s="536" customFormat="1" ht="12" x14ac:dyDescent="0.2">
      <c r="A255" s="569"/>
      <c r="B255" s="671"/>
      <c r="C255" s="665" t="s">
        <v>1658</v>
      </c>
      <c r="D255" s="666"/>
      <c r="E255" s="666"/>
      <c r="F255" s="563"/>
      <c r="G255" s="563"/>
      <c r="H255" s="563"/>
      <c r="I255" s="563"/>
      <c r="J255" s="566"/>
      <c r="K255" s="563"/>
      <c r="L255" s="566"/>
      <c r="M255" s="565"/>
      <c r="N255" s="564"/>
      <c r="V255" s="674"/>
      <c r="W255" s="675"/>
      <c r="AB255" s="675"/>
      <c r="AD255" s="675"/>
      <c r="AF255" s="675"/>
      <c r="AG255" s="675"/>
    </row>
    <row r="256" spans="1:33" s="536" customFormat="1" ht="22.5" x14ac:dyDescent="0.2">
      <c r="A256" s="609"/>
      <c r="B256" s="552" t="s">
        <v>718</v>
      </c>
      <c r="C256" s="1822" t="s">
        <v>719</v>
      </c>
      <c r="D256" s="1822"/>
      <c r="E256" s="1822"/>
      <c r="F256" s="1822"/>
      <c r="G256" s="1822"/>
      <c r="H256" s="1822"/>
      <c r="I256" s="1822"/>
      <c r="J256" s="1822"/>
      <c r="K256" s="1822"/>
      <c r="L256" s="1822"/>
      <c r="M256" s="1822"/>
      <c r="N256" s="1827"/>
      <c r="V256" s="674"/>
      <c r="W256" s="675"/>
      <c r="X256" s="537" t="s">
        <v>719</v>
      </c>
      <c r="AB256" s="675"/>
      <c r="AD256" s="675"/>
      <c r="AF256" s="675"/>
      <c r="AG256" s="675"/>
    </row>
    <row r="257" spans="1:33" s="536" customFormat="1" ht="22.5" x14ac:dyDescent="0.2">
      <c r="A257" s="575" t="s">
        <v>761</v>
      </c>
      <c r="B257" s="670" t="s">
        <v>1733</v>
      </c>
      <c r="C257" s="1823" t="s">
        <v>1734</v>
      </c>
      <c r="D257" s="1823"/>
      <c r="E257" s="1823"/>
      <c r="F257" s="573" t="s">
        <v>307</v>
      </c>
      <c r="G257" s="573"/>
      <c r="H257" s="573"/>
      <c r="I257" s="573" t="s">
        <v>728</v>
      </c>
      <c r="J257" s="572">
        <v>125</v>
      </c>
      <c r="K257" s="573"/>
      <c r="L257" s="572">
        <v>5</v>
      </c>
      <c r="M257" s="571"/>
      <c r="N257" s="570"/>
      <c r="V257" s="674"/>
      <c r="W257" s="675" t="s">
        <v>1734</v>
      </c>
      <c r="AB257" s="675"/>
      <c r="AD257" s="675"/>
      <c r="AF257" s="675"/>
      <c r="AG257" s="675"/>
    </row>
    <row r="258" spans="1:33" s="536" customFormat="1" ht="12" x14ac:dyDescent="0.2">
      <c r="A258" s="569"/>
      <c r="B258" s="671"/>
      <c r="C258" s="665" t="s">
        <v>1658</v>
      </c>
      <c r="D258" s="666"/>
      <c r="E258" s="666"/>
      <c r="F258" s="563"/>
      <c r="G258" s="563"/>
      <c r="H258" s="563"/>
      <c r="I258" s="563"/>
      <c r="J258" s="566"/>
      <c r="K258" s="563"/>
      <c r="L258" s="566"/>
      <c r="M258" s="565"/>
      <c r="N258" s="564"/>
      <c r="V258" s="674"/>
      <c r="W258" s="675"/>
      <c r="AB258" s="675"/>
      <c r="AD258" s="675"/>
      <c r="AF258" s="675"/>
      <c r="AG258" s="675"/>
    </row>
    <row r="259" spans="1:33" s="536" customFormat="1" ht="12" x14ac:dyDescent="0.2">
      <c r="A259" s="676"/>
      <c r="B259" s="664"/>
      <c r="C259" s="1822" t="s">
        <v>2263</v>
      </c>
      <c r="D259" s="1822"/>
      <c r="E259" s="1822"/>
      <c r="F259" s="1822"/>
      <c r="G259" s="1822"/>
      <c r="H259" s="1822"/>
      <c r="I259" s="1822"/>
      <c r="J259" s="1822"/>
      <c r="K259" s="1822"/>
      <c r="L259" s="1822"/>
      <c r="M259" s="1822"/>
      <c r="N259" s="1827"/>
      <c r="V259" s="674"/>
      <c r="W259" s="675"/>
      <c r="AB259" s="675"/>
      <c r="AC259" s="537" t="s">
        <v>2263</v>
      </c>
      <c r="AD259" s="675"/>
      <c r="AF259" s="675"/>
      <c r="AG259" s="675"/>
    </row>
    <row r="260" spans="1:33" s="536" customFormat="1" ht="22.5" x14ac:dyDescent="0.2">
      <c r="A260" s="575" t="s">
        <v>762</v>
      </c>
      <c r="B260" s="670" t="s">
        <v>1736</v>
      </c>
      <c r="C260" s="1823" t="s">
        <v>1737</v>
      </c>
      <c r="D260" s="1823"/>
      <c r="E260" s="1823"/>
      <c r="F260" s="573" t="s">
        <v>307</v>
      </c>
      <c r="G260" s="573"/>
      <c r="H260" s="573"/>
      <c r="I260" s="573" t="s">
        <v>809</v>
      </c>
      <c r="J260" s="572">
        <v>20</v>
      </c>
      <c r="K260" s="573"/>
      <c r="L260" s="572">
        <v>0.2</v>
      </c>
      <c r="M260" s="571"/>
      <c r="N260" s="570"/>
      <c r="V260" s="674"/>
      <c r="W260" s="675" t="s">
        <v>1737</v>
      </c>
      <c r="AB260" s="675"/>
      <c r="AD260" s="675"/>
      <c r="AF260" s="675"/>
      <c r="AG260" s="675"/>
    </row>
    <row r="261" spans="1:33" s="536" customFormat="1" ht="12" x14ac:dyDescent="0.2">
      <c r="A261" s="569"/>
      <c r="B261" s="671"/>
      <c r="C261" s="665" t="s">
        <v>1658</v>
      </c>
      <c r="D261" s="666"/>
      <c r="E261" s="666"/>
      <c r="F261" s="563"/>
      <c r="G261" s="563"/>
      <c r="H261" s="563"/>
      <c r="I261" s="563"/>
      <c r="J261" s="566"/>
      <c r="K261" s="563"/>
      <c r="L261" s="566"/>
      <c r="M261" s="565"/>
      <c r="N261" s="564"/>
      <c r="V261" s="674"/>
      <c r="W261" s="675"/>
      <c r="AB261" s="675"/>
      <c r="AD261" s="675"/>
      <c r="AF261" s="675"/>
      <c r="AG261" s="675"/>
    </row>
    <row r="262" spans="1:33" s="536" customFormat="1" ht="12" x14ac:dyDescent="0.2">
      <c r="A262" s="676"/>
      <c r="B262" s="664"/>
      <c r="C262" s="1822" t="s">
        <v>843</v>
      </c>
      <c r="D262" s="1822"/>
      <c r="E262" s="1822"/>
      <c r="F262" s="1822"/>
      <c r="G262" s="1822"/>
      <c r="H262" s="1822"/>
      <c r="I262" s="1822"/>
      <c r="J262" s="1822"/>
      <c r="K262" s="1822"/>
      <c r="L262" s="1822"/>
      <c r="M262" s="1822"/>
      <c r="N262" s="1827"/>
      <c r="V262" s="674"/>
      <c r="W262" s="675"/>
      <c r="AB262" s="675"/>
      <c r="AC262" s="537" t="s">
        <v>843</v>
      </c>
      <c r="AD262" s="675"/>
      <c r="AF262" s="675"/>
      <c r="AG262" s="675"/>
    </row>
    <row r="263" spans="1:33" s="536" customFormat="1" ht="22.5" x14ac:dyDescent="0.2">
      <c r="A263" s="575" t="s">
        <v>763</v>
      </c>
      <c r="B263" s="670" t="s">
        <v>1738</v>
      </c>
      <c r="C263" s="1823" t="s">
        <v>1739</v>
      </c>
      <c r="D263" s="1823"/>
      <c r="E263" s="1823"/>
      <c r="F263" s="573" t="s">
        <v>307</v>
      </c>
      <c r="G263" s="573"/>
      <c r="H263" s="573"/>
      <c r="I263" s="573" t="s">
        <v>185</v>
      </c>
      <c r="J263" s="572">
        <v>14.46</v>
      </c>
      <c r="K263" s="573"/>
      <c r="L263" s="572">
        <v>14.46</v>
      </c>
      <c r="M263" s="571"/>
      <c r="N263" s="570"/>
      <c r="V263" s="674"/>
      <c r="W263" s="675" t="s">
        <v>1739</v>
      </c>
      <c r="AB263" s="675"/>
      <c r="AD263" s="675"/>
      <c r="AF263" s="675"/>
      <c r="AG263" s="675"/>
    </row>
    <row r="264" spans="1:33" s="536" customFormat="1" ht="12" x14ac:dyDescent="0.2">
      <c r="A264" s="569"/>
      <c r="B264" s="671"/>
      <c r="C264" s="665" t="s">
        <v>1658</v>
      </c>
      <c r="D264" s="666"/>
      <c r="E264" s="666"/>
      <c r="F264" s="563"/>
      <c r="G264" s="563"/>
      <c r="H264" s="563"/>
      <c r="I264" s="563"/>
      <c r="J264" s="566"/>
      <c r="K264" s="563"/>
      <c r="L264" s="566"/>
      <c r="M264" s="565"/>
      <c r="N264" s="564"/>
      <c r="V264" s="674"/>
      <c r="W264" s="675"/>
      <c r="AB264" s="675"/>
      <c r="AD264" s="675"/>
      <c r="AF264" s="675"/>
      <c r="AG264" s="675"/>
    </row>
    <row r="265" spans="1:33" s="536" customFormat="1" ht="12" x14ac:dyDescent="0.2">
      <c r="A265" s="676"/>
      <c r="B265" s="664"/>
      <c r="C265" s="1822" t="s">
        <v>2340</v>
      </c>
      <c r="D265" s="1822"/>
      <c r="E265" s="1822"/>
      <c r="F265" s="1822"/>
      <c r="G265" s="1822"/>
      <c r="H265" s="1822"/>
      <c r="I265" s="1822"/>
      <c r="J265" s="1822"/>
      <c r="K265" s="1822"/>
      <c r="L265" s="1822"/>
      <c r="M265" s="1822"/>
      <c r="N265" s="1827"/>
      <c r="V265" s="674"/>
      <c r="W265" s="675"/>
      <c r="AB265" s="675"/>
      <c r="AC265" s="537" t="s">
        <v>2340</v>
      </c>
      <c r="AD265" s="675"/>
      <c r="AF265" s="675"/>
      <c r="AG265" s="675"/>
    </row>
    <row r="266" spans="1:33" s="536" customFormat="1" ht="33.75" x14ac:dyDescent="0.2">
      <c r="A266" s="575" t="s">
        <v>922</v>
      </c>
      <c r="B266" s="670" t="s">
        <v>1741</v>
      </c>
      <c r="C266" s="1823" t="s">
        <v>1742</v>
      </c>
      <c r="D266" s="1823"/>
      <c r="E266" s="1823"/>
      <c r="F266" s="573" t="s">
        <v>617</v>
      </c>
      <c r="G266" s="573"/>
      <c r="H266" s="573"/>
      <c r="I266" s="573" t="s">
        <v>787</v>
      </c>
      <c r="J266" s="572">
        <v>45.33</v>
      </c>
      <c r="K266" s="573" t="s">
        <v>716</v>
      </c>
      <c r="L266" s="572">
        <v>288.94</v>
      </c>
      <c r="M266" s="571">
        <v>8.32</v>
      </c>
      <c r="N266" s="570">
        <v>2404</v>
      </c>
      <c r="V266" s="674"/>
      <c r="W266" s="675" t="s">
        <v>1742</v>
      </c>
      <c r="AB266" s="675"/>
      <c r="AD266" s="675"/>
      <c r="AF266" s="675"/>
      <c r="AG266" s="675"/>
    </row>
    <row r="267" spans="1:33" s="536" customFormat="1" ht="12" x14ac:dyDescent="0.2">
      <c r="A267" s="569"/>
      <c r="B267" s="671"/>
      <c r="C267" s="665" t="s">
        <v>1658</v>
      </c>
      <c r="D267" s="666"/>
      <c r="E267" s="666"/>
      <c r="F267" s="563"/>
      <c r="G267" s="563"/>
      <c r="H267" s="563"/>
      <c r="I267" s="563"/>
      <c r="J267" s="566"/>
      <c r="K267" s="563"/>
      <c r="L267" s="566"/>
      <c r="M267" s="565"/>
      <c r="N267" s="564"/>
      <c r="V267" s="674"/>
      <c r="W267" s="675"/>
      <c r="AB267" s="675"/>
      <c r="AD267" s="675"/>
      <c r="AF267" s="675"/>
      <c r="AG267" s="675"/>
    </row>
    <row r="268" spans="1:33" s="536" customFormat="1" ht="22.5" x14ac:dyDescent="0.2">
      <c r="A268" s="609"/>
      <c r="B268" s="552" t="s">
        <v>718</v>
      </c>
      <c r="C268" s="1822" t="s">
        <v>719</v>
      </c>
      <c r="D268" s="1822"/>
      <c r="E268" s="1822"/>
      <c r="F268" s="1822"/>
      <c r="G268" s="1822"/>
      <c r="H268" s="1822"/>
      <c r="I268" s="1822"/>
      <c r="J268" s="1822"/>
      <c r="K268" s="1822"/>
      <c r="L268" s="1822"/>
      <c r="M268" s="1822"/>
      <c r="N268" s="1827"/>
      <c r="V268" s="674"/>
      <c r="W268" s="675"/>
      <c r="X268" s="537" t="s">
        <v>719</v>
      </c>
      <c r="AB268" s="675"/>
      <c r="AD268" s="675"/>
      <c r="AF268" s="675"/>
      <c r="AG268" s="675"/>
    </row>
    <row r="269" spans="1:33" s="536" customFormat="1" ht="33.75" x14ac:dyDescent="0.2">
      <c r="A269" s="575" t="s">
        <v>765</v>
      </c>
      <c r="B269" s="670" t="s">
        <v>1744</v>
      </c>
      <c r="C269" s="1823" t="s">
        <v>1745</v>
      </c>
      <c r="D269" s="1823"/>
      <c r="E269" s="1823"/>
      <c r="F269" s="573" t="s">
        <v>617</v>
      </c>
      <c r="G269" s="573"/>
      <c r="H269" s="573"/>
      <c r="I269" s="573" t="s">
        <v>198</v>
      </c>
      <c r="J269" s="572">
        <v>42.2</v>
      </c>
      <c r="K269" s="573" t="s">
        <v>716</v>
      </c>
      <c r="L269" s="572">
        <v>72.48</v>
      </c>
      <c r="M269" s="571">
        <v>8.32</v>
      </c>
      <c r="N269" s="570">
        <v>603</v>
      </c>
      <c r="V269" s="674"/>
      <c r="W269" s="675" t="s">
        <v>1745</v>
      </c>
      <c r="AB269" s="675"/>
      <c r="AD269" s="675"/>
      <c r="AF269" s="675"/>
      <c r="AG269" s="675"/>
    </row>
    <row r="270" spans="1:33" s="536" customFormat="1" ht="12" x14ac:dyDescent="0.2">
      <c r="A270" s="569"/>
      <c r="B270" s="671"/>
      <c r="C270" s="665" t="s">
        <v>1658</v>
      </c>
      <c r="D270" s="666"/>
      <c r="E270" s="666"/>
      <c r="F270" s="563"/>
      <c r="G270" s="563"/>
      <c r="H270" s="563"/>
      <c r="I270" s="563"/>
      <c r="J270" s="566"/>
      <c r="K270" s="563"/>
      <c r="L270" s="566"/>
      <c r="M270" s="565"/>
      <c r="N270" s="564"/>
      <c r="V270" s="674"/>
      <c r="W270" s="675"/>
      <c r="AB270" s="675"/>
      <c r="AD270" s="675"/>
      <c r="AF270" s="675"/>
      <c r="AG270" s="675"/>
    </row>
    <row r="271" spans="1:33" s="536" customFormat="1" ht="22.5" x14ac:dyDescent="0.2">
      <c r="A271" s="609"/>
      <c r="B271" s="552" t="s">
        <v>718</v>
      </c>
      <c r="C271" s="1822" t="s">
        <v>719</v>
      </c>
      <c r="D271" s="1822"/>
      <c r="E271" s="1822"/>
      <c r="F271" s="1822"/>
      <c r="G271" s="1822"/>
      <c r="H271" s="1822"/>
      <c r="I271" s="1822"/>
      <c r="J271" s="1822"/>
      <c r="K271" s="1822"/>
      <c r="L271" s="1822"/>
      <c r="M271" s="1822"/>
      <c r="N271" s="1827"/>
      <c r="V271" s="674"/>
      <c r="W271" s="675"/>
      <c r="X271" s="537" t="s">
        <v>719</v>
      </c>
      <c r="AB271" s="675"/>
      <c r="AD271" s="675"/>
      <c r="AF271" s="675"/>
      <c r="AG271" s="675"/>
    </row>
    <row r="272" spans="1:33" s="536" customFormat="1" ht="33.75" x14ac:dyDescent="0.2">
      <c r="A272" s="575" t="s">
        <v>505</v>
      </c>
      <c r="B272" s="670" t="s">
        <v>1747</v>
      </c>
      <c r="C272" s="1823" t="s">
        <v>1748</v>
      </c>
      <c r="D272" s="1823"/>
      <c r="E272" s="1823"/>
      <c r="F272" s="573" t="s">
        <v>483</v>
      </c>
      <c r="G272" s="573"/>
      <c r="H272" s="573"/>
      <c r="I272" s="573" t="s">
        <v>733</v>
      </c>
      <c r="J272" s="572">
        <v>31.26</v>
      </c>
      <c r="K272" s="573" t="s">
        <v>716</v>
      </c>
      <c r="L272" s="572">
        <v>76.680000000000007</v>
      </c>
      <c r="M272" s="571">
        <v>8.32</v>
      </c>
      <c r="N272" s="570">
        <v>638</v>
      </c>
      <c r="V272" s="674"/>
      <c r="W272" s="675" t="s">
        <v>1748</v>
      </c>
      <c r="AB272" s="675"/>
      <c r="AD272" s="675"/>
      <c r="AF272" s="675"/>
      <c r="AG272" s="675"/>
    </row>
    <row r="273" spans="1:33" s="536" customFormat="1" ht="12" x14ac:dyDescent="0.2">
      <c r="A273" s="569"/>
      <c r="B273" s="671"/>
      <c r="C273" s="665" t="s">
        <v>1658</v>
      </c>
      <c r="D273" s="666"/>
      <c r="E273" s="666"/>
      <c r="F273" s="563"/>
      <c r="G273" s="563"/>
      <c r="H273" s="563"/>
      <c r="I273" s="563"/>
      <c r="J273" s="566"/>
      <c r="K273" s="563"/>
      <c r="L273" s="566"/>
      <c r="M273" s="565"/>
      <c r="N273" s="564"/>
      <c r="V273" s="674"/>
      <c r="W273" s="675"/>
      <c r="AB273" s="675"/>
      <c r="AD273" s="675"/>
      <c r="AF273" s="675"/>
      <c r="AG273" s="675"/>
    </row>
    <row r="274" spans="1:33" s="536" customFormat="1" ht="22.5" x14ac:dyDescent="0.2">
      <c r="A274" s="609"/>
      <c r="B274" s="552" t="s">
        <v>718</v>
      </c>
      <c r="C274" s="1822" t="s">
        <v>719</v>
      </c>
      <c r="D274" s="1822"/>
      <c r="E274" s="1822"/>
      <c r="F274" s="1822"/>
      <c r="G274" s="1822"/>
      <c r="H274" s="1822"/>
      <c r="I274" s="1822"/>
      <c r="J274" s="1822"/>
      <c r="K274" s="1822"/>
      <c r="L274" s="1822"/>
      <c r="M274" s="1822"/>
      <c r="N274" s="1827"/>
      <c r="V274" s="674"/>
      <c r="W274" s="675"/>
      <c r="X274" s="537" t="s">
        <v>719</v>
      </c>
      <c r="AB274" s="675"/>
      <c r="AD274" s="675"/>
      <c r="AF274" s="675"/>
      <c r="AG274" s="675"/>
    </row>
    <row r="275" spans="1:33" s="536" customFormat="1" ht="33.75" x14ac:dyDescent="0.2">
      <c r="A275" s="575" t="s">
        <v>767</v>
      </c>
      <c r="B275" s="670" t="s">
        <v>1749</v>
      </c>
      <c r="C275" s="1823" t="s">
        <v>1750</v>
      </c>
      <c r="D275" s="1823"/>
      <c r="E275" s="1823"/>
      <c r="F275" s="573" t="s">
        <v>617</v>
      </c>
      <c r="G275" s="573"/>
      <c r="H275" s="573"/>
      <c r="I275" s="573" t="s">
        <v>186</v>
      </c>
      <c r="J275" s="572">
        <v>147.62</v>
      </c>
      <c r="K275" s="573" t="s">
        <v>716</v>
      </c>
      <c r="L275" s="572">
        <v>36.18</v>
      </c>
      <c r="M275" s="571">
        <v>8.32</v>
      </c>
      <c r="N275" s="570">
        <v>301</v>
      </c>
      <c r="V275" s="674"/>
      <c r="W275" s="675" t="s">
        <v>1750</v>
      </c>
      <c r="AB275" s="675"/>
      <c r="AD275" s="675"/>
      <c r="AF275" s="675"/>
      <c r="AG275" s="675"/>
    </row>
    <row r="276" spans="1:33" s="536" customFormat="1" ht="12" x14ac:dyDescent="0.2">
      <c r="A276" s="569"/>
      <c r="B276" s="671"/>
      <c r="C276" s="665" t="s">
        <v>1658</v>
      </c>
      <c r="D276" s="666"/>
      <c r="E276" s="666"/>
      <c r="F276" s="563"/>
      <c r="G276" s="563"/>
      <c r="H276" s="563"/>
      <c r="I276" s="563"/>
      <c r="J276" s="566"/>
      <c r="K276" s="563"/>
      <c r="L276" s="566"/>
      <c r="M276" s="565"/>
      <c r="N276" s="564"/>
      <c r="V276" s="674"/>
      <c r="W276" s="675"/>
      <c r="AB276" s="675"/>
      <c r="AD276" s="675"/>
      <c r="AF276" s="675"/>
      <c r="AG276" s="675"/>
    </row>
    <row r="277" spans="1:33" s="536" customFormat="1" ht="22.5" x14ac:dyDescent="0.2">
      <c r="A277" s="609"/>
      <c r="B277" s="552" t="s">
        <v>718</v>
      </c>
      <c r="C277" s="1822" t="s">
        <v>719</v>
      </c>
      <c r="D277" s="1822"/>
      <c r="E277" s="1822"/>
      <c r="F277" s="1822"/>
      <c r="G277" s="1822"/>
      <c r="H277" s="1822"/>
      <c r="I277" s="1822"/>
      <c r="J277" s="1822"/>
      <c r="K277" s="1822"/>
      <c r="L277" s="1822"/>
      <c r="M277" s="1822"/>
      <c r="N277" s="1827"/>
      <c r="V277" s="674"/>
      <c r="W277" s="675"/>
      <c r="X277" s="537" t="s">
        <v>719</v>
      </c>
      <c r="AB277" s="675"/>
      <c r="AD277" s="675"/>
      <c r="AF277" s="675"/>
      <c r="AG277" s="675"/>
    </row>
    <row r="278" spans="1:33" s="536" customFormat="1" ht="12" x14ac:dyDescent="0.2">
      <c r="A278" s="575" t="s">
        <v>768</v>
      </c>
      <c r="B278" s="670" t="s">
        <v>2341</v>
      </c>
      <c r="C278" s="1823" t="s">
        <v>2342</v>
      </c>
      <c r="D278" s="1823"/>
      <c r="E278" s="1823"/>
      <c r="F278" s="573" t="s">
        <v>617</v>
      </c>
      <c r="G278" s="573"/>
      <c r="H278" s="573"/>
      <c r="I278" s="573" t="s">
        <v>185</v>
      </c>
      <c r="J278" s="572"/>
      <c r="K278" s="573"/>
      <c r="L278" s="572"/>
      <c r="M278" s="571"/>
      <c r="N278" s="570"/>
      <c r="V278" s="674"/>
      <c r="W278" s="675" t="s">
        <v>2342</v>
      </c>
      <c r="AB278" s="675"/>
      <c r="AD278" s="675"/>
      <c r="AF278" s="675"/>
      <c r="AG278" s="675"/>
    </row>
    <row r="279" spans="1:33" s="536" customFormat="1" ht="33.75" x14ac:dyDescent="0.2">
      <c r="A279" s="609"/>
      <c r="B279" s="552" t="s">
        <v>310</v>
      </c>
      <c r="C279" s="1822" t="s">
        <v>311</v>
      </c>
      <c r="D279" s="1822"/>
      <c r="E279" s="1822"/>
      <c r="F279" s="1822"/>
      <c r="G279" s="1822"/>
      <c r="H279" s="1822"/>
      <c r="I279" s="1822"/>
      <c r="J279" s="1822"/>
      <c r="K279" s="1822"/>
      <c r="L279" s="1822"/>
      <c r="M279" s="1822"/>
      <c r="N279" s="1827"/>
      <c r="V279" s="674"/>
      <c r="W279" s="675"/>
      <c r="X279" s="537" t="s">
        <v>311</v>
      </c>
      <c r="AB279" s="675"/>
      <c r="AD279" s="675"/>
      <c r="AF279" s="675"/>
      <c r="AG279" s="675"/>
    </row>
    <row r="280" spans="1:33" s="536" customFormat="1" ht="12" x14ac:dyDescent="0.2">
      <c r="A280" s="605"/>
      <c r="B280" s="552" t="s">
        <v>185</v>
      </c>
      <c r="C280" s="1822" t="s">
        <v>312</v>
      </c>
      <c r="D280" s="1822"/>
      <c r="E280" s="1822"/>
      <c r="F280" s="562"/>
      <c r="G280" s="562"/>
      <c r="H280" s="562"/>
      <c r="I280" s="562"/>
      <c r="J280" s="604">
        <v>18.73</v>
      </c>
      <c r="K280" s="562" t="s">
        <v>313</v>
      </c>
      <c r="L280" s="604">
        <v>23.41</v>
      </c>
      <c r="M280" s="603"/>
      <c r="N280" s="602"/>
      <c r="V280" s="674"/>
      <c r="W280" s="675"/>
      <c r="Y280" s="537" t="s">
        <v>312</v>
      </c>
      <c r="AB280" s="675"/>
      <c r="AD280" s="675"/>
      <c r="AF280" s="675"/>
      <c r="AG280" s="675"/>
    </row>
    <row r="281" spans="1:33" s="536" customFormat="1" ht="12" x14ac:dyDescent="0.2">
      <c r="A281" s="605"/>
      <c r="B281" s="552" t="s">
        <v>186</v>
      </c>
      <c r="C281" s="1822" t="s">
        <v>344</v>
      </c>
      <c r="D281" s="1822"/>
      <c r="E281" s="1822"/>
      <c r="F281" s="562"/>
      <c r="G281" s="562"/>
      <c r="H281" s="562"/>
      <c r="I281" s="562"/>
      <c r="J281" s="604">
        <v>44.62</v>
      </c>
      <c r="K281" s="562" t="s">
        <v>313</v>
      </c>
      <c r="L281" s="604">
        <v>55.78</v>
      </c>
      <c r="M281" s="603"/>
      <c r="N281" s="602"/>
      <c r="V281" s="674"/>
      <c r="W281" s="675"/>
      <c r="Y281" s="537" t="s">
        <v>344</v>
      </c>
      <c r="AB281" s="675"/>
      <c r="AD281" s="675"/>
      <c r="AF281" s="675"/>
      <c r="AG281" s="675"/>
    </row>
    <row r="282" spans="1:33" s="536" customFormat="1" ht="12" x14ac:dyDescent="0.2">
      <c r="A282" s="605"/>
      <c r="B282" s="552" t="s">
        <v>187</v>
      </c>
      <c r="C282" s="1822" t="s">
        <v>345</v>
      </c>
      <c r="D282" s="1822"/>
      <c r="E282" s="1822"/>
      <c r="F282" s="562"/>
      <c r="G282" s="562"/>
      <c r="H282" s="562"/>
      <c r="I282" s="562"/>
      <c r="J282" s="604">
        <v>4.3099999999999996</v>
      </c>
      <c r="K282" s="562" t="s">
        <v>313</v>
      </c>
      <c r="L282" s="604">
        <v>5.39</v>
      </c>
      <c r="M282" s="603"/>
      <c r="N282" s="602"/>
      <c r="V282" s="674"/>
      <c r="W282" s="675"/>
      <c r="Y282" s="537" t="s">
        <v>345</v>
      </c>
      <c r="AB282" s="675"/>
      <c r="AD282" s="675"/>
      <c r="AF282" s="675"/>
      <c r="AG282" s="675"/>
    </row>
    <row r="283" spans="1:33" s="536" customFormat="1" ht="12" x14ac:dyDescent="0.2">
      <c r="A283" s="605"/>
      <c r="B283" s="552" t="s">
        <v>188</v>
      </c>
      <c r="C283" s="1822" t="s">
        <v>475</v>
      </c>
      <c r="D283" s="1822"/>
      <c r="E283" s="1822"/>
      <c r="F283" s="562"/>
      <c r="G283" s="562"/>
      <c r="H283" s="562"/>
      <c r="I283" s="562"/>
      <c r="J283" s="604">
        <v>0.37</v>
      </c>
      <c r="K283" s="562"/>
      <c r="L283" s="604">
        <v>0.37</v>
      </c>
      <c r="M283" s="603"/>
      <c r="N283" s="602"/>
      <c r="V283" s="674"/>
      <c r="W283" s="675"/>
      <c r="Y283" s="537" t="s">
        <v>475</v>
      </c>
      <c r="AB283" s="675"/>
      <c r="AD283" s="675"/>
      <c r="AF283" s="675"/>
      <c r="AG283" s="675"/>
    </row>
    <row r="284" spans="1:33" s="536" customFormat="1" ht="12" x14ac:dyDescent="0.2">
      <c r="A284" s="605"/>
      <c r="B284" s="552"/>
      <c r="C284" s="1822" t="s">
        <v>314</v>
      </c>
      <c r="D284" s="1822"/>
      <c r="E284" s="1822"/>
      <c r="F284" s="562" t="s">
        <v>315</v>
      </c>
      <c r="G284" s="562" t="s">
        <v>1244</v>
      </c>
      <c r="H284" s="562" t="s">
        <v>313</v>
      </c>
      <c r="I284" s="562" t="s">
        <v>2343</v>
      </c>
      <c r="J284" s="604"/>
      <c r="K284" s="562"/>
      <c r="L284" s="604"/>
      <c r="M284" s="603"/>
      <c r="N284" s="602"/>
      <c r="V284" s="674"/>
      <c r="W284" s="675"/>
      <c r="Z284" s="537" t="s">
        <v>314</v>
      </c>
      <c r="AB284" s="675"/>
      <c r="AD284" s="675"/>
      <c r="AF284" s="675"/>
      <c r="AG284" s="675"/>
    </row>
    <row r="285" spans="1:33" s="536" customFormat="1" ht="12" x14ac:dyDescent="0.2">
      <c r="A285" s="605"/>
      <c r="B285" s="552"/>
      <c r="C285" s="1822" t="s">
        <v>348</v>
      </c>
      <c r="D285" s="1822"/>
      <c r="E285" s="1822"/>
      <c r="F285" s="562" t="s">
        <v>315</v>
      </c>
      <c r="G285" s="562" t="s">
        <v>2344</v>
      </c>
      <c r="H285" s="562" t="s">
        <v>313</v>
      </c>
      <c r="I285" s="562" t="s">
        <v>947</v>
      </c>
      <c r="J285" s="604"/>
      <c r="K285" s="562"/>
      <c r="L285" s="604"/>
      <c r="M285" s="603"/>
      <c r="N285" s="602"/>
      <c r="V285" s="674"/>
      <c r="W285" s="675"/>
      <c r="Z285" s="537" t="s">
        <v>348</v>
      </c>
      <c r="AB285" s="675"/>
      <c r="AD285" s="675"/>
      <c r="AF285" s="675"/>
      <c r="AG285" s="675"/>
    </row>
    <row r="286" spans="1:33" s="536" customFormat="1" ht="12" x14ac:dyDescent="0.2">
      <c r="A286" s="605"/>
      <c r="B286" s="552"/>
      <c r="C286" s="1828" t="s">
        <v>318</v>
      </c>
      <c r="D286" s="1828"/>
      <c r="E286" s="1828"/>
      <c r="F286" s="608"/>
      <c r="G286" s="608"/>
      <c r="H286" s="608"/>
      <c r="I286" s="608"/>
      <c r="J286" s="607">
        <v>63.72</v>
      </c>
      <c r="K286" s="608"/>
      <c r="L286" s="607">
        <v>79.56</v>
      </c>
      <c r="M286" s="601"/>
      <c r="N286" s="606"/>
      <c r="V286" s="674"/>
      <c r="W286" s="675"/>
      <c r="AA286" s="537" t="s">
        <v>318</v>
      </c>
      <c r="AB286" s="675"/>
      <c r="AD286" s="675"/>
      <c r="AF286" s="675"/>
      <c r="AG286" s="675"/>
    </row>
    <row r="287" spans="1:33" s="536" customFormat="1" ht="12" x14ac:dyDescent="0.2">
      <c r="A287" s="605"/>
      <c r="B287" s="552"/>
      <c r="C287" s="1822" t="s">
        <v>319</v>
      </c>
      <c r="D287" s="1822"/>
      <c r="E287" s="1822"/>
      <c r="F287" s="562"/>
      <c r="G287" s="562"/>
      <c r="H287" s="562"/>
      <c r="I287" s="562"/>
      <c r="J287" s="604"/>
      <c r="K287" s="562"/>
      <c r="L287" s="604">
        <v>28.8</v>
      </c>
      <c r="M287" s="603"/>
      <c r="N287" s="602"/>
      <c r="V287" s="674"/>
      <c r="W287" s="675"/>
      <c r="Z287" s="537" t="s">
        <v>319</v>
      </c>
      <c r="AB287" s="675"/>
      <c r="AD287" s="675"/>
      <c r="AF287" s="675"/>
      <c r="AG287" s="675"/>
    </row>
    <row r="288" spans="1:33" s="536" customFormat="1" ht="33.75" x14ac:dyDescent="0.2">
      <c r="A288" s="605"/>
      <c r="B288" s="552" t="s">
        <v>1631</v>
      </c>
      <c r="C288" s="1822" t="s">
        <v>1632</v>
      </c>
      <c r="D288" s="1822"/>
      <c r="E288" s="1822"/>
      <c r="F288" s="562" t="s">
        <v>322</v>
      </c>
      <c r="G288" s="562" t="s">
        <v>1633</v>
      </c>
      <c r="H288" s="562"/>
      <c r="I288" s="562" t="s">
        <v>1633</v>
      </c>
      <c r="J288" s="604"/>
      <c r="K288" s="562"/>
      <c r="L288" s="604">
        <v>27.94</v>
      </c>
      <c r="M288" s="603"/>
      <c r="N288" s="602"/>
      <c r="V288" s="674"/>
      <c r="W288" s="675"/>
      <c r="Z288" s="537" t="s">
        <v>1632</v>
      </c>
      <c r="AB288" s="675"/>
      <c r="AD288" s="675"/>
      <c r="AF288" s="675"/>
      <c r="AG288" s="675"/>
    </row>
    <row r="289" spans="1:33" s="536" customFormat="1" ht="33.75" x14ac:dyDescent="0.2">
      <c r="A289" s="605"/>
      <c r="B289" s="552" t="s">
        <v>1634</v>
      </c>
      <c r="C289" s="1822" t="s">
        <v>1635</v>
      </c>
      <c r="D289" s="1822"/>
      <c r="E289" s="1822"/>
      <c r="F289" s="562" t="s">
        <v>322</v>
      </c>
      <c r="G289" s="562" t="s">
        <v>786</v>
      </c>
      <c r="H289" s="562"/>
      <c r="I289" s="562" t="s">
        <v>786</v>
      </c>
      <c r="J289" s="604"/>
      <c r="K289" s="562"/>
      <c r="L289" s="604">
        <v>14.69</v>
      </c>
      <c r="M289" s="603"/>
      <c r="N289" s="602"/>
      <c r="V289" s="674"/>
      <c r="W289" s="675"/>
      <c r="Z289" s="537" t="s">
        <v>1635</v>
      </c>
      <c r="AB289" s="675"/>
      <c r="AD289" s="675"/>
      <c r="AF289" s="675"/>
      <c r="AG289" s="675"/>
    </row>
    <row r="290" spans="1:33" s="536" customFormat="1" ht="12" x14ac:dyDescent="0.2">
      <c r="A290" s="569"/>
      <c r="B290" s="671"/>
      <c r="C290" s="1823" t="s">
        <v>327</v>
      </c>
      <c r="D290" s="1823"/>
      <c r="E290" s="1823"/>
      <c r="F290" s="573"/>
      <c r="G290" s="573"/>
      <c r="H290" s="573"/>
      <c r="I290" s="573"/>
      <c r="J290" s="572"/>
      <c r="K290" s="573"/>
      <c r="L290" s="572">
        <v>122.19</v>
      </c>
      <c r="M290" s="601"/>
      <c r="N290" s="570"/>
      <c r="V290" s="674"/>
      <c r="W290" s="675"/>
      <c r="AB290" s="675" t="s">
        <v>327</v>
      </c>
      <c r="AD290" s="675"/>
      <c r="AF290" s="675"/>
      <c r="AG290" s="675"/>
    </row>
    <row r="291" spans="1:33" s="536" customFormat="1" ht="33.75" x14ac:dyDescent="0.2">
      <c r="A291" s="575" t="s">
        <v>769</v>
      </c>
      <c r="B291" s="670" t="s">
        <v>1756</v>
      </c>
      <c r="C291" s="1823" t="s">
        <v>1757</v>
      </c>
      <c r="D291" s="1823"/>
      <c r="E291" s="1823"/>
      <c r="F291" s="573" t="s">
        <v>483</v>
      </c>
      <c r="G291" s="573"/>
      <c r="H291" s="573"/>
      <c r="I291" s="573" t="s">
        <v>2345</v>
      </c>
      <c r="J291" s="572">
        <v>117.22</v>
      </c>
      <c r="K291" s="573" t="s">
        <v>716</v>
      </c>
      <c r="L291" s="572">
        <v>146.63</v>
      </c>
      <c r="M291" s="571">
        <v>8.32</v>
      </c>
      <c r="N291" s="570">
        <v>1220</v>
      </c>
      <c r="V291" s="674"/>
      <c r="W291" s="675" t="s">
        <v>1757</v>
      </c>
      <c r="AB291" s="675"/>
      <c r="AD291" s="675"/>
      <c r="AF291" s="675"/>
      <c r="AG291" s="675"/>
    </row>
    <row r="292" spans="1:33" s="536" customFormat="1" ht="12" x14ac:dyDescent="0.2">
      <c r="A292" s="569"/>
      <c r="B292" s="671"/>
      <c r="C292" s="665" t="s">
        <v>1658</v>
      </c>
      <c r="D292" s="666"/>
      <c r="E292" s="666"/>
      <c r="F292" s="563"/>
      <c r="G292" s="563"/>
      <c r="H292" s="563"/>
      <c r="I292" s="563"/>
      <c r="J292" s="566"/>
      <c r="K292" s="563"/>
      <c r="L292" s="566"/>
      <c r="M292" s="565"/>
      <c r="N292" s="564"/>
      <c r="V292" s="674"/>
      <c r="W292" s="675"/>
      <c r="AB292" s="675"/>
      <c r="AD292" s="675"/>
      <c r="AF292" s="675"/>
      <c r="AG292" s="675"/>
    </row>
    <row r="293" spans="1:33" s="536" customFormat="1" ht="12" x14ac:dyDescent="0.2">
      <c r="A293" s="676"/>
      <c r="B293" s="664"/>
      <c r="C293" s="1822" t="s">
        <v>2346</v>
      </c>
      <c r="D293" s="1822"/>
      <c r="E293" s="1822"/>
      <c r="F293" s="1822"/>
      <c r="G293" s="1822"/>
      <c r="H293" s="1822"/>
      <c r="I293" s="1822"/>
      <c r="J293" s="1822"/>
      <c r="K293" s="1822"/>
      <c r="L293" s="1822"/>
      <c r="M293" s="1822"/>
      <c r="N293" s="1827"/>
      <c r="V293" s="674"/>
      <c r="W293" s="675"/>
      <c r="AB293" s="675"/>
      <c r="AC293" s="537" t="s">
        <v>2346</v>
      </c>
      <c r="AD293" s="675"/>
      <c r="AF293" s="675"/>
      <c r="AG293" s="675"/>
    </row>
    <row r="294" spans="1:33" s="536" customFormat="1" ht="22.5" x14ac:dyDescent="0.2">
      <c r="A294" s="609"/>
      <c r="B294" s="552" t="s">
        <v>718</v>
      </c>
      <c r="C294" s="1822" t="s">
        <v>719</v>
      </c>
      <c r="D294" s="1822"/>
      <c r="E294" s="1822"/>
      <c r="F294" s="1822"/>
      <c r="G294" s="1822"/>
      <c r="H294" s="1822"/>
      <c r="I294" s="1822"/>
      <c r="J294" s="1822"/>
      <c r="K294" s="1822"/>
      <c r="L294" s="1822"/>
      <c r="M294" s="1822"/>
      <c r="N294" s="1827"/>
      <c r="V294" s="674"/>
      <c r="W294" s="675"/>
      <c r="X294" s="537" t="s">
        <v>719</v>
      </c>
      <c r="AB294" s="675"/>
      <c r="AD294" s="675"/>
      <c r="AF294" s="675"/>
      <c r="AG294" s="675"/>
    </row>
    <row r="295" spans="1:33" s="536" customFormat="1" ht="33.75" x14ac:dyDescent="0.2">
      <c r="A295" s="575" t="s">
        <v>770</v>
      </c>
      <c r="B295" s="670" t="s">
        <v>1760</v>
      </c>
      <c r="C295" s="1823" t="s">
        <v>1761</v>
      </c>
      <c r="D295" s="1823"/>
      <c r="E295" s="1823"/>
      <c r="F295" s="573" t="s">
        <v>617</v>
      </c>
      <c r="G295" s="573"/>
      <c r="H295" s="573"/>
      <c r="I295" s="573" t="s">
        <v>186</v>
      </c>
      <c r="J295" s="572">
        <v>232.88</v>
      </c>
      <c r="K295" s="573" t="s">
        <v>716</v>
      </c>
      <c r="L295" s="572">
        <v>57.09</v>
      </c>
      <c r="M295" s="571">
        <v>8.32</v>
      </c>
      <c r="N295" s="570">
        <v>475</v>
      </c>
      <c r="V295" s="674"/>
      <c r="W295" s="675" t="s">
        <v>1761</v>
      </c>
      <c r="AB295" s="675"/>
      <c r="AD295" s="675"/>
      <c r="AF295" s="675"/>
      <c r="AG295" s="675"/>
    </row>
    <row r="296" spans="1:33" s="536" customFormat="1" ht="12" x14ac:dyDescent="0.2">
      <c r="A296" s="569"/>
      <c r="B296" s="671"/>
      <c r="C296" s="665" t="s">
        <v>1658</v>
      </c>
      <c r="D296" s="666"/>
      <c r="E296" s="666"/>
      <c r="F296" s="563"/>
      <c r="G296" s="563"/>
      <c r="H296" s="563"/>
      <c r="I296" s="563"/>
      <c r="J296" s="566"/>
      <c r="K296" s="563"/>
      <c r="L296" s="566"/>
      <c r="M296" s="565"/>
      <c r="N296" s="564"/>
      <c r="V296" s="674"/>
      <c r="W296" s="675"/>
      <c r="AB296" s="675"/>
      <c r="AD296" s="675"/>
      <c r="AF296" s="675"/>
      <c r="AG296" s="675"/>
    </row>
    <row r="297" spans="1:33" s="536" customFormat="1" ht="22.5" x14ac:dyDescent="0.2">
      <c r="A297" s="609"/>
      <c r="B297" s="552" t="s">
        <v>718</v>
      </c>
      <c r="C297" s="1822" t="s">
        <v>719</v>
      </c>
      <c r="D297" s="1822"/>
      <c r="E297" s="1822"/>
      <c r="F297" s="1822"/>
      <c r="G297" s="1822"/>
      <c r="H297" s="1822"/>
      <c r="I297" s="1822"/>
      <c r="J297" s="1822"/>
      <c r="K297" s="1822"/>
      <c r="L297" s="1822"/>
      <c r="M297" s="1822"/>
      <c r="N297" s="1827"/>
      <c r="V297" s="674"/>
      <c r="W297" s="675"/>
      <c r="X297" s="537" t="s">
        <v>719</v>
      </c>
      <c r="AB297" s="675"/>
      <c r="AD297" s="675"/>
      <c r="AF297" s="675"/>
      <c r="AG297" s="675"/>
    </row>
    <row r="298" spans="1:33" s="536" customFormat="1" ht="33.75" x14ac:dyDescent="0.2">
      <c r="A298" s="575" t="s">
        <v>771</v>
      </c>
      <c r="B298" s="670" t="s">
        <v>1762</v>
      </c>
      <c r="C298" s="1823" t="s">
        <v>1763</v>
      </c>
      <c r="D298" s="1823"/>
      <c r="E298" s="1823"/>
      <c r="F298" s="573" t="s">
        <v>617</v>
      </c>
      <c r="G298" s="573"/>
      <c r="H298" s="573"/>
      <c r="I298" s="573" t="s">
        <v>186</v>
      </c>
      <c r="J298" s="572">
        <v>232.88</v>
      </c>
      <c r="K298" s="573" t="s">
        <v>716</v>
      </c>
      <c r="L298" s="572">
        <v>57.09</v>
      </c>
      <c r="M298" s="571">
        <v>8.32</v>
      </c>
      <c r="N298" s="570">
        <v>475</v>
      </c>
      <c r="V298" s="674"/>
      <c r="W298" s="675" t="s">
        <v>1763</v>
      </c>
      <c r="AB298" s="675"/>
      <c r="AD298" s="675"/>
      <c r="AF298" s="675"/>
      <c r="AG298" s="675"/>
    </row>
    <row r="299" spans="1:33" s="536" customFormat="1" ht="12" x14ac:dyDescent="0.2">
      <c r="A299" s="569"/>
      <c r="B299" s="671"/>
      <c r="C299" s="665" t="s">
        <v>1658</v>
      </c>
      <c r="D299" s="666"/>
      <c r="E299" s="666"/>
      <c r="F299" s="563"/>
      <c r="G299" s="563"/>
      <c r="H299" s="563"/>
      <c r="I299" s="563"/>
      <c r="J299" s="566"/>
      <c r="K299" s="563"/>
      <c r="L299" s="566"/>
      <c r="M299" s="565"/>
      <c r="N299" s="564"/>
      <c r="V299" s="674"/>
      <c r="W299" s="675"/>
      <c r="AB299" s="675"/>
      <c r="AD299" s="675"/>
      <c r="AF299" s="675"/>
      <c r="AG299" s="675"/>
    </row>
    <row r="300" spans="1:33" s="536" customFormat="1" ht="22.5" x14ac:dyDescent="0.2">
      <c r="A300" s="609"/>
      <c r="B300" s="552" t="s">
        <v>718</v>
      </c>
      <c r="C300" s="1822" t="s">
        <v>719</v>
      </c>
      <c r="D300" s="1822"/>
      <c r="E300" s="1822"/>
      <c r="F300" s="1822"/>
      <c r="G300" s="1822"/>
      <c r="H300" s="1822"/>
      <c r="I300" s="1822"/>
      <c r="J300" s="1822"/>
      <c r="K300" s="1822"/>
      <c r="L300" s="1822"/>
      <c r="M300" s="1822"/>
      <c r="N300" s="1827"/>
      <c r="V300" s="674"/>
      <c r="W300" s="675"/>
      <c r="X300" s="537" t="s">
        <v>719</v>
      </c>
      <c r="AB300" s="675"/>
      <c r="AD300" s="675"/>
      <c r="AF300" s="675"/>
      <c r="AG300" s="675"/>
    </row>
    <row r="301" spans="1:33" s="536" customFormat="1" ht="33.75" x14ac:dyDescent="0.2">
      <c r="A301" s="575" t="s">
        <v>772</v>
      </c>
      <c r="B301" s="670" t="s">
        <v>1764</v>
      </c>
      <c r="C301" s="1823" t="s">
        <v>1765</v>
      </c>
      <c r="D301" s="1823"/>
      <c r="E301" s="1823"/>
      <c r="F301" s="573" t="s">
        <v>617</v>
      </c>
      <c r="G301" s="573"/>
      <c r="H301" s="573"/>
      <c r="I301" s="573" t="s">
        <v>559</v>
      </c>
      <c r="J301" s="572">
        <v>184.43</v>
      </c>
      <c r="K301" s="573" t="s">
        <v>716</v>
      </c>
      <c r="L301" s="572">
        <v>2147.96</v>
      </c>
      <c r="M301" s="571">
        <v>8.32</v>
      </c>
      <c r="N301" s="570">
        <v>17871</v>
      </c>
      <c r="V301" s="674"/>
      <c r="W301" s="675" t="s">
        <v>1765</v>
      </c>
      <c r="AB301" s="675"/>
      <c r="AD301" s="675"/>
      <c r="AF301" s="675"/>
      <c r="AG301" s="675"/>
    </row>
    <row r="302" spans="1:33" s="536" customFormat="1" ht="12" x14ac:dyDescent="0.2">
      <c r="A302" s="569"/>
      <c r="B302" s="671"/>
      <c r="C302" s="665" t="s">
        <v>1658</v>
      </c>
      <c r="D302" s="666"/>
      <c r="E302" s="666"/>
      <c r="F302" s="563"/>
      <c r="G302" s="563"/>
      <c r="H302" s="563"/>
      <c r="I302" s="563"/>
      <c r="J302" s="566"/>
      <c r="K302" s="563"/>
      <c r="L302" s="566"/>
      <c r="M302" s="565"/>
      <c r="N302" s="564"/>
      <c r="V302" s="674"/>
      <c r="W302" s="675"/>
      <c r="AB302" s="675"/>
      <c r="AD302" s="675"/>
      <c r="AF302" s="675"/>
      <c r="AG302" s="675"/>
    </row>
    <row r="303" spans="1:33" s="536" customFormat="1" ht="22.5" x14ac:dyDescent="0.2">
      <c r="A303" s="609"/>
      <c r="B303" s="552" t="s">
        <v>718</v>
      </c>
      <c r="C303" s="1822" t="s">
        <v>719</v>
      </c>
      <c r="D303" s="1822"/>
      <c r="E303" s="1822"/>
      <c r="F303" s="1822"/>
      <c r="G303" s="1822"/>
      <c r="H303" s="1822"/>
      <c r="I303" s="1822"/>
      <c r="J303" s="1822"/>
      <c r="K303" s="1822"/>
      <c r="L303" s="1822"/>
      <c r="M303" s="1822"/>
      <c r="N303" s="1827"/>
      <c r="V303" s="674"/>
      <c r="W303" s="675"/>
      <c r="X303" s="537" t="s">
        <v>719</v>
      </c>
      <c r="AB303" s="675"/>
      <c r="AD303" s="675"/>
      <c r="AF303" s="675"/>
      <c r="AG303" s="675"/>
    </row>
    <row r="304" spans="1:33" s="536" customFormat="1" ht="33.75" x14ac:dyDescent="0.2">
      <c r="A304" s="575" t="s">
        <v>677</v>
      </c>
      <c r="B304" s="670" t="s">
        <v>1767</v>
      </c>
      <c r="C304" s="1823" t="s">
        <v>1768</v>
      </c>
      <c r="D304" s="1823"/>
      <c r="E304" s="1823"/>
      <c r="F304" s="573" t="s">
        <v>617</v>
      </c>
      <c r="G304" s="573"/>
      <c r="H304" s="573"/>
      <c r="I304" s="573" t="s">
        <v>4047</v>
      </c>
      <c r="J304" s="572">
        <v>26.57</v>
      </c>
      <c r="K304" s="573" t="s">
        <v>716</v>
      </c>
      <c r="L304" s="572">
        <v>651.44000000000005</v>
      </c>
      <c r="M304" s="571">
        <v>8.32</v>
      </c>
      <c r="N304" s="570">
        <v>5420</v>
      </c>
      <c r="V304" s="674"/>
      <c r="W304" s="675" t="s">
        <v>1768</v>
      </c>
      <c r="AB304" s="675"/>
      <c r="AD304" s="675"/>
      <c r="AF304" s="675"/>
      <c r="AG304" s="675"/>
    </row>
    <row r="305" spans="1:33" s="536" customFormat="1" ht="12" x14ac:dyDescent="0.2">
      <c r="A305" s="569"/>
      <c r="B305" s="671"/>
      <c r="C305" s="665" t="s">
        <v>1658</v>
      </c>
      <c r="D305" s="666"/>
      <c r="E305" s="666"/>
      <c r="F305" s="563"/>
      <c r="G305" s="563"/>
      <c r="H305" s="563"/>
      <c r="I305" s="563"/>
      <c r="J305" s="566"/>
      <c r="K305" s="563"/>
      <c r="L305" s="566"/>
      <c r="M305" s="565"/>
      <c r="N305" s="564"/>
      <c r="V305" s="674"/>
      <c r="W305" s="675"/>
      <c r="AB305" s="675"/>
      <c r="AD305" s="675"/>
      <c r="AF305" s="675"/>
      <c r="AG305" s="675"/>
    </row>
    <row r="306" spans="1:33" s="536" customFormat="1" ht="22.5" x14ac:dyDescent="0.2">
      <c r="A306" s="609"/>
      <c r="B306" s="552" t="s">
        <v>718</v>
      </c>
      <c r="C306" s="1822" t="s">
        <v>719</v>
      </c>
      <c r="D306" s="1822"/>
      <c r="E306" s="1822"/>
      <c r="F306" s="1822"/>
      <c r="G306" s="1822"/>
      <c r="H306" s="1822"/>
      <c r="I306" s="1822"/>
      <c r="J306" s="1822"/>
      <c r="K306" s="1822"/>
      <c r="L306" s="1822"/>
      <c r="M306" s="1822"/>
      <c r="N306" s="1827"/>
      <c r="V306" s="674"/>
      <c r="W306" s="675"/>
      <c r="X306" s="537" t="s">
        <v>719</v>
      </c>
      <c r="AB306" s="675"/>
      <c r="AD306" s="675"/>
      <c r="AF306" s="675"/>
      <c r="AG306" s="675"/>
    </row>
    <row r="307" spans="1:33" s="536" customFormat="1" ht="33.75" x14ac:dyDescent="0.2">
      <c r="A307" s="575" t="s">
        <v>326</v>
      </c>
      <c r="B307" s="670" t="s">
        <v>1770</v>
      </c>
      <c r="C307" s="1823" t="s">
        <v>1771</v>
      </c>
      <c r="D307" s="1823"/>
      <c r="E307" s="1823"/>
      <c r="F307" s="573" t="s">
        <v>617</v>
      </c>
      <c r="G307" s="573"/>
      <c r="H307" s="573"/>
      <c r="I307" s="573" t="s">
        <v>897</v>
      </c>
      <c r="J307" s="572">
        <v>21.88</v>
      </c>
      <c r="K307" s="573" t="s">
        <v>716</v>
      </c>
      <c r="L307" s="572">
        <v>193.15</v>
      </c>
      <c r="M307" s="571">
        <v>8.32</v>
      </c>
      <c r="N307" s="570">
        <v>1607</v>
      </c>
      <c r="V307" s="674"/>
      <c r="W307" s="675" t="s">
        <v>1771</v>
      </c>
      <c r="AB307" s="675"/>
      <c r="AD307" s="675"/>
      <c r="AF307" s="675"/>
      <c r="AG307" s="675"/>
    </row>
    <row r="308" spans="1:33" s="536" customFormat="1" ht="12" x14ac:dyDescent="0.2">
      <c r="A308" s="569"/>
      <c r="B308" s="671"/>
      <c r="C308" s="665" t="s">
        <v>1658</v>
      </c>
      <c r="D308" s="666"/>
      <c r="E308" s="666"/>
      <c r="F308" s="563"/>
      <c r="G308" s="563"/>
      <c r="H308" s="563"/>
      <c r="I308" s="563"/>
      <c r="J308" s="566"/>
      <c r="K308" s="563"/>
      <c r="L308" s="566"/>
      <c r="M308" s="565"/>
      <c r="N308" s="564"/>
      <c r="V308" s="674"/>
      <c r="W308" s="675"/>
      <c r="AB308" s="675"/>
      <c r="AD308" s="675"/>
      <c r="AF308" s="675"/>
      <c r="AG308" s="675"/>
    </row>
    <row r="309" spans="1:33" s="536" customFormat="1" ht="22.5" x14ac:dyDescent="0.2">
      <c r="A309" s="609"/>
      <c r="B309" s="552" t="s">
        <v>718</v>
      </c>
      <c r="C309" s="1822" t="s">
        <v>719</v>
      </c>
      <c r="D309" s="1822"/>
      <c r="E309" s="1822"/>
      <c r="F309" s="1822"/>
      <c r="G309" s="1822"/>
      <c r="H309" s="1822"/>
      <c r="I309" s="1822"/>
      <c r="J309" s="1822"/>
      <c r="K309" s="1822"/>
      <c r="L309" s="1822"/>
      <c r="M309" s="1822"/>
      <c r="N309" s="1827"/>
      <c r="V309" s="674"/>
      <c r="W309" s="675"/>
      <c r="X309" s="537" t="s">
        <v>719</v>
      </c>
      <c r="AB309" s="675"/>
      <c r="AD309" s="675"/>
      <c r="AF309" s="675"/>
      <c r="AG309" s="675"/>
    </row>
    <row r="310" spans="1:33" s="536" customFormat="1" ht="33.75" x14ac:dyDescent="0.2">
      <c r="A310" s="575" t="s">
        <v>774</v>
      </c>
      <c r="B310" s="670" t="s">
        <v>1773</v>
      </c>
      <c r="C310" s="1823" t="s">
        <v>1774</v>
      </c>
      <c r="D310" s="1823"/>
      <c r="E310" s="1823"/>
      <c r="F310" s="573" t="s">
        <v>617</v>
      </c>
      <c r="G310" s="573"/>
      <c r="H310" s="573"/>
      <c r="I310" s="573" t="s">
        <v>3579</v>
      </c>
      <c r="J310" s="572">
        <v>10.94</v>
      </c>
      <c r="K310" s="573" t="s">
        <v>716</v>
      </c>
      <c r="L310" s="572">
        <v>670.55</v>
      </c>
      <c r="M310" s="571">
        <v>8.32</v>
      </c>
      <c r="N310" s="570">
        <v>5579</v>
      </c>
      <c r="V310" s="674"/>
      <c r="W310" s="675" t="s">
        <v>1774</v>
      </c>
      <c r="AB310" s="675"/>
      <c r="AD310" s="675"/>
      <c r="AF310" s="675"/>
      <c r="AG310" s="675"/>
    </row>
    <row r="311" spans="1:33" s="536" customFormat="1" ht="12" x14ac:dyDescent="0.2">
      <c r="A311" s="569"/>
      <c r="B311" s="671"/>
      <c r="C311" s="665" t="s">
        <v>1658</v>
      </c>
      <c r="D311" s="666"/>
      <c r="E311" s="666"/>
      <c r="F311" s="563"/>
      <c r="G311" s="563"/>
      <c r="H311" s="563"/>
      <c r="I311" s="563"/>
      <c r="J311" s="566"/>
      <c r="K311" s="563"/>
      <c r="L311" s="566"/>
      <c r="M311" s="565"/>
      <c r="N311" s="564"/>
      <c r="V311" s="674"/>
      <c r="W311" s="675"/>
      <c r="AB311" s="675"/>
      <c r="AD311" s="675"/>
      <c r="AF311" s="675"/>
      <c r="AG311" s="675"/>
    </row>
    <row r="312" spans="1:33" s="536" customFormat="1" ht="22.5" x14ac:dyDescent="0.2">
      <c r="A312" s="609"/>
      <c r="B312" s="552" t="s">
        <v>718</v>
      </c>
      <c r="C312" s="1822" t="s">
        <v>719</v>
      </c>
      <c r="D312" s="1822"/>
      <c r="E312" s="1822"/>
      <c r="F312" s="1822"/>
      <c r="G312" s="1822"/>
      <c r="H312" s="1822"/>
      <c r="I312" s="1822"/>
      <c r="J312" s="1822"/>
      <c r="K312" s="1822"/>
      <c r="L312" s="1822"/>
      <c r="M312" s="1822"/>
      <c r="N312" s="1827"/>
      <c r="V312" s="674"/>
      <c r="W312" s="675"/>
      <c r="X312" s="537" t="s">
        <v>719</v>
      </c>
      <c r="AB312" s="675"/>
      <c r="AD312" s="675"/>
      <c r="AF312" s="675"/>
      <c r="AG312" s="675"/>
    </row>
    <row r="313" spans="1:33" s="536" customFormat="1" ht="22.5" x14ac:dyDescent="0.2">
      <c r="A313" s="575" t="s">
        <v>775</v>
      </c>
      <c r="B313" s="670" t="s">
        <v>1776</v>
      </c>
      <c r="C313" s="1823" t="s">
        <v>1777</v>
      </c>
      <c r="D313" s="1823"/>
      <c r="E313" s="1823"/>
      <c r="F313" s="573" t="s">
        <v>617</v>
      </c>
      <c r="G313" s="573"/>
      <c r="H313" s="573"/>
      <c r="I313" s="573" t="s">
        <v>185</v>
      </c>
      <c r="J313" s="572"/>
      <c r="K313" s="573"/>
      <c r="L313" s="572"/>
      <c r="M313" s="571"/>
      <c r="N313" s="570"/>
      <c r="V313" s="674"/>
      <c r="W313" s="675" t="s">
        <v>1777</v>
      </c>
      <c r="AB313" s="675"/>
      <c r="AD313" s="675"/>
      <c r="AF313" s="675"/>
      <c r="AG313" s="675"/>
    </row>
    <row r="314" spans="1:33" s="536" customFormat="1" ht="33.75" x14ac:dyDescent="0.2">
      <c r="A314" s="609"/>
      <c r="B314" s="552" t="s">
        <v>310</v>
      </c>
      <c r="C314" s="1822" t="s">
        <v>311</v>
      </c>
      <c r="D314" s="1822"/>
      <c r="E314" s="1822"/>
      <c r="F314" s="1822"/>
      <c r="G314" s="1822"/>
      <c r="H314" s="1822"/>
      <c r="I314" s="1822"/>
      <c r="J314" s="1822"/>
      <c r="K314" s="1822"/>
      <c r="L314" s="1822"/>
      <c r="M314" s="1822"/>
      <c r="N314" s="1827"/>
      <c r="V314" s="674"/>
      <c r="W314" s="675"/>
      <c r="X314" s="537" t="s">
        <v>311</v>
      </c>
      <c r="AB314" s="675"/>
      <c r="AD314" s="675"/>
      <c r="AF314" s="675"/>
      <c r="AG314" s="675"/>
    </row>
    <row r="315" spans="1:33" s="536" customFormat="1" ht="12" x14ac:dyDescent="0.2">
      <c r="A315" s="605"/>
      <c r="B315" s="552" t="s">
        <v>185</v>
      </c>
      <c r="C315" s="1822" t="s">
        <v>312</v>
      </c>
      <c r="D315" s="1822"/>
      <c r="E315" s="1822"/>
      <c r="F315" s="562"/>
      <c r="G315" s="562"/>
      <c r="H315" s="562"/>
      <c r="I315" s="562"/>
      <c r="J315" s="604">
        <v>5.35</v>
      </c>
      <c r="K315" s="562" t="s">
        <v>313</v>
      </c>
      <c r="L315" s="604">
        <v>6.69</v>
      </c>
      <c r="M315" s="603"/>
      <c r="N315" s="602"/>
      <c r="V315" s="674"/>
      <c r="W315" s="675"/>
      <c r="Y315" s="537" t="s">
        <v>312</v>
      </c>
      <c r="AB315" s="675"/>
      <c r="AD315" s="675"/>
      <c r="AF315" s="675"/>
      <c r="AG315" s="675"/>
    </row>
    <row r="316" spans="1:33" s="536" customFormat="1" ht="12" x14ac:dyDescent="0.2">
      <c r="A316" s="605"/>
      <c r="B316" s="552" t="s">
        <v>188</v>
      </c>
      <c r="C316" s="1822" t="s">
        <v>475</v>
      </c>
      <c r="D316" s="1822"/>
      <c r="E316" s="1822"/>
      <c r="F316" s="562"/>
      <c r="G316" s="562"/>
      <c r="H316" s="562"/>
      <c r="I316" s="562"/>
      <c r="J316" s="604">
        <v>0.94</v>
      </c>
      <c r="K316" s="562"/>
      <c r="L316" s="604">
        <v>0.94</v>
      </c>
      <c r="M316" s="603"/>
      <c r="N316" s="602"/>
      <c r="V316" s="674"/>
      <c r="W316" s="675"/>
      <c r="Y316" s="537" t="s">
        <v>475</v>
      </c>
      <c r="AB316" s="675"/>
      <c r="AD316" s="675"/>
      <c r="AF316" s="675"/>
      <c r="AG316" s="675"/>
    </row>
    <row r="317" spans="1:33" s="536" customFormat="1" ht="12" x14ac:dyDescent="0.2">
      <c r="A317" s="605"/>
      <c r="B317" s="552"/>
      <c r="C317" s="1822" t="s">
        <v>314</v>
      </c>
      <c r="D317" s="1822"/>
      <c r="E317" s="1822"/>
      <c r="F317" s="562" t="s">
        <v>315</v>
      </c>
      <c r="G317" s="562" t="s">
        <v>1778</v>
      </c>
      <c r="H317" s="562" t="s">
        <v>313</v>
      </c>
      <c r="I317" s="562" t="s">
        <v>2351</v>
      </c>
      <c r="J317" s="604"/>
      <c r="K317" s="562"/>
      <c r="L317" s="604"/>
      <c r="M317" s="603"/>
      <c r="N317" s="602"/>
      <c r="V317" s="674"/>
      <c r="W317" s="675"/>
      <c r="Z317" s="537" t="s">
        <v>314</v>
      </c>
      <c r="AB317" s="675"/>
      <c r="AD317" s="675"/>
      <c r="AF317" s="675"/>
      <c r="AG317" s="675"/>
    </row>
    <row r="318" spans="1:33" s="536" customFormat="1" ht="12" x14ac:dyDescent="0.2">
      <c r="A318" s="605"/>
      <c r="B318" s="552"/>
      <c r="C318" s="1828" t="s">
        <v>318</v>
      </c>
      <c r="D318" s="1828"/>
      <c r="E318" s="1828"/>
      <c r="F318" s="608"/>
      <c r="G318" s="608"/>
      <c r="H318" s="608"/>
      <c r="I318" s="608"/>
      <c r="J318" s="607">
        <v>6.29</v>
      </c>
      <c r="K318" s="608"/>
      <c r="L318" s="607">
        <v>7.63</v>
      </c>
      <c r="M318" s="601"/>
      <c r="N318" s="606"/>
      <c r="V318" s="674"/>
      <c r="W318" s="675"/>
      <c r="AA318" s="537" t="s">
        <v>318</v>
      </c>
      <c r="AB318" s="675"/>
      <c r="AD318" s="675"/>
      <c r="AF318" s="675"/>
      <c r="AG318" s="675"/>
    </row>
    <row r="319" spans="1:33" s="536" customFormat="1" ht="12" x14ac:dyDescent="0.2">
      <c r="A319" s="605"/>
      <c r="B319" s="552"/>
      <c r="C319" s="1822" t="s">
        <v>319</v>
      </c>
      <c r="D319" s="1822"/>
      <c r="E319" s="1822"/>
      <c r="F319" s="562"/>
      <c r="G319" s="562"/>
      <c r="H319" s="562"/>
      <c r="I319" s="562"/>
      <c r="J319" s="604"/>
      <c r="K319" s="562"/>
      <c r="L319" s="604">
        <v>6.69</v>
      </c>
      <c r="M319" s="603"/>
      <c r="N319" s="602"/>
      <c r="V319" s="674"/>
      <c r="W319" s="675"/>
      <c r="Z319" s="537" t="s">
        <v>319</v>
      </c>
      <c r="AB319" s="675"/>
      <c r="AD319" s="675"/>
      <c r="AF319" s="675"/>
      <c r="AG319" s="675"/>
    </row>
    <row r="320" spans="1:33" s="536" customFormat="1" ht="33.75" x14ac:dyDescent="0.2">
      <c r="A320" s="605"/>
      <c r="B320" s="552" t="s">
        <v>1631</v>
      </c>
      <c r="C320" s="1822" t="s">
        <v>1632</v>
      </c>
      <c r="D320" s="1822"/>
      <c r="E320" s="1822"/>
      <c r="F320" s="562" t="s">
        <v>322</v>
      </c>
      <c r="G320" s="562" t="s">
        <v>1633</v>
      </c>
      <c r="H320" s="562"/>
      <c r="I320" s="562" t="s">
        <v>1633</v>
      </c>
      <c r="J320" s="604"/>
      <c r="K320" s="562"/>
      <c r="L320" s="604">
        <v>6.49</v>
      </c>
      <c r="M320" s="603"/>
      <c r="N320" s="602"/>
      <c r="V320" s="674"/>
      <c r="W320" s="675"/>
      <c r="Z320" s="537" t="s">
        <v>1632</v>
      </c>
      <c r="AB320" s="675"/>
      <c r="AD320" s="675"/>
      <c r="AF320" s="675"/>
      <c r="AG320" s="675"/>
    </row>
    <row r="321" spans="1:33" s="536" customFormat="1" ht="33.75" x14ac:dyDescent="0.2">
      <c r="A321" s="605"/>
      <c r="B321" s="552" t="s">
        <v>1634</v>
      </c>
      <c r="C321" s="1822" t="s">
        <v>1635</v>
      </c>
      <c r="D321" s="1822"/>
      <c r="E321" s="1822"/>
      <c r="F321" s="562" t="s">
        <v>322</v>
      </c>
      <c r="G321" s="562" t="s">
        <v>786</v>
      </c>
      <c r="H321" s="562"/>
      <c r="I321" s="562" t="s">
        <v>786</v>
      </c>
      <c r="J321" s="604"/>
      <c r="K321" s="562"/>
      <c r="L321" s="604">
        <v>3.41</v>
      </c>
      <c r="M321" s="603"/>
      <c r="N321" s="602"/>
      <c r="V321" s="674"/>
      <c r="W321" s="675"/>
      <c r="Z321" s="537" t="s">
        <v>1635</v>
      </c>
      <c r="AB321" s="675"/>
      <c r="AD321" s="675"/>
      <c r="AF321" s="675"/>
      <c r="AG321" s="675"/>
    </row>
    <row r="322" spans="1:33" s="536" customFormat="1" ht="12" x14ac:dyDescent="0.2">
      <c r="A322" s="569"/>
      <c r="B322" s="671"/>
      <c r="C322" s="1823" t="s">
        <v>327</v>
      </c>
      <c r="D322" s="1823"/>
      <c r="E322" s="1823"/>
      <c r="F322" s="573"/>
      <c r="G322" s="573"/>
      <c r="H322" s="573"/>
      <c r="I322" s="573"/>
      <c r="J322" s="572"/>
      <c r="K322" s="573"/>
      <c r="L322" s="572">
        <v>17.53</v>
      </c>
      <c r="M322" s="601"/>
      <c r="N322" s="570"/>
      <c r="V322" s="674"/>
      <c r="W322" s="675"/>
      <c r="AB322" s="675" t="s">
        <v>327</v>
      </c>
      <c r="AD322" s="675"/>
      <c r="AF322" s="675"/>
      <c r="AG322" s="675"/>
    </row>
    <row r="323" spans="1:33" s="536" customFormat="1" ht="33.75" x14ac:dyDescent="0.2">
      <c r="A323" s="575" t="s">
        <v>776</v>
      </c>
      <c r="B323" s="670" t="s">
        <v>1780</v>
      </c>
      <c r="C323" s="1823" t="s">
        <v>1781</v>
      </c>
      <c r="D323" s="1823"/>
      <c r="E323" s="1823"/>
      <c r="F323" s="573" t="s">
        <v>483</v>
      </c>
      <c r="G323" s="573"/>
      <c r="H323" s="573"/>
      <c r="I323" s="573" t="s">
        <v>185</v>
      </c>
      <c r="J323" s="572">
        <v>211</v>
      </c>
      <c r="K323" s="573" t="s">
        <v>716</v>
      </c>
      <c r="L323" s="572">
        <v>25.84</v>
      </c>
      <c r="M323" s="571">
        <v>8.32</v>
      </c>
      <c r="N323" s="570">
        <v>215</v>
      </c>
      <c r="V323" s="674"/>
      <c r="W323" s="675" t="s">
        <v>1781</v>
      </c>
      <c r="AB323" s="675"/>
      <c r="AD323" s="675"/>
      <c r="AF323" s="675"/>
      <c r="AG323" s="675"/>
    </row>
    <row r="324" spans="1:33" s="536" customFormat="1" ht="12" x14ac:dyDescent="0.2">
      <c r="A324" s="569"/>
      <c r="B324" s="671"/>
      <c r="C324" s="665" t="s">
        <v>1658</v>
      </c>
      <c r="D324" s="666"/>
      <c r="E324" s="666"/>
      <c r="F324" s="563"/>
      <c r="G324" s="563"/>
      <c r="H324" s="563"/>
      <c r="I324" s="563"/>
      <c r="J324" s="566"/>
      <c r="K324" s="563"/>
      <c r="L324" s="566"/>
      <c r="M324" s="565"/>
      <c r="N324" s="564"/>
      <c r="V324" s="674"/>
      <c r="W324" s="675"/>
      <c r="AB324" s="675"/>
      <c r="AD324" s="675"/>
      <c r="AF324" s="675"/>
      <c r="AG324" s="675"/>
    </row>
    <row r="325" spans="1:33" s="536" customFormat="1" ht="22.5" x14ac:dyDescent="0.2">
      <c r="A325" s="609"/>
      <c r="B325" s="552" t="s">
        <v>718</v>
      </c>
      <c r="C325" s="1822" t="s">
        <v>719</v>
      </c>
      <c r="D325" s="1822"/>
      <c r="E325" s="1822"/>
      <c r="F325" s="1822"/>
      <c r="G325" s="1822"/>
      <c r="H325" s="1822"/>
      <c r="I325" s="1822"/>
      <c r="J325" s="1822"/>
      <c r="K325" s="1822"/>
      <c r="L325" s="1822"/>
      <c r="M325" s="1822"/>
      <c r="N325" s="1827"/>
      <c r="V325" s="674"/>
      <c r="W325" s="675"/>
      <c r="X325" s="537" t="s">
        <v>719</v>
      </c>
      <c r="AB325" s="675"/>
      <c r="AD325" s="675"/>
      <c r="AF325" s="675"/>
      <c r="AG325" s="675"/>
    </row>
    <row r="326" spans="1:33" s="536" customFormat="1" ht="33.75" x14ac:dyDescent="0.2">
      <c r="A326" s="575" t="s">
        <v>931</v>
      </c>
      <c r="B326" s="670" t="s">
        <v>1782</v>
      </c>
      <c r="C326" s="1823" t="s">
        <v>1783</v>
      </c>
      <c r="D326" s="1823"/>
      <c r="E326" s="1823"/>
      <c r="F326" s="573" t="s">
        <v>617</v>
      </c>
      <c r="G326" s="573"/>
      <c r="H326" s="573"/>
      <c r="I326" s="573" t="s">
        <v>197</v>
      </c>
      <c r="J326" s="572"/>
      <c r="K326" s="573"/>
      <c r="L326" s="572"/>
      <c r="M326" s="571"/>
      <c r="N326" s="570"/>
      <c r="V326" s="674"/>
      <c r="W326" s="675" t="s">
        <v>1783</v>
      </c>
      <c r="AB326" s="675"/>
      <c r="AD326" s="675"/>
      <c r="AF326" s="675"/>
      <c r="AG326" s="675"/>
    </row>
    <row r="327" spans="1:33" s="536" customFormat="1" ht="33.75" x14ac:dyDescent="0.2">
      <c r="A327" s="609"/>
      <c r="B327" s="552" t="s">
        <v>310</v>
      </c>
      <c r="C327" s="1822" t="s">
        <v>311</v>
      </c>
      <c r="D327" s="1822"/>
      <c r="E327" s="1822"/>
      <c r="F327" s="1822"/>
      <c r="G327" s="1822"/>
      <c r="H327" s="1822"/>
      <c r="I327" s="1822"/>
      <c r="J327" s="1822"/>
      <c r="K327" s="1822"/>
      <c r="L327" s="1822"/>
      <c r="M327" s="1822"/>
      <c r="N327" s="1827"/>
      <c r="V327" s="674"/>
      <c r="W327" s="675"/>
      <c r="X327" s="537" t="s">
        <v>311</v>
      </c>
      <c r="AB327" s="675"/>
      <c r="AD327" s="675"/>
      <c r="AF327" s="675"/>
      <c r="AG327" s="675"/>
    </row>
    <row r="328" spans="1:33" s="536" customFormat="1" ht="12" x14ac:dyDescent="0.2">
      <c r="A328" s="605"/>
      <c r="B328" s="552" t="s">
        <v>185</v>
      </c>
      <c r="C328" s="1822" t="s">
        <v>312</v>
      </c>
      <c r="D328" s="1822"/>
      <c r="E328" s="1822"/>
      <c r="F328" s="562"/>
      <c r="G328" s="562"/>
      <c r="H328" s="562"/>
      <c r="I328" s="562"/>
      <c r="J328" s="604">
        <v>3.57</v>
      </c>
      <c r="K328" s="562" t="s">
        <v>313</v>
      </c>
      <c r="L328" s="604">
        <v>58.01</v>
      </c>
      <c r="M328" s="603"/>
      <c r="N328" s="602"/>
      <c r="V328" s="674"/>
      <c r="W328" s="675"/>
      <c r="Y328" s="537" t="s">
        <v>312</v>
      </c>
      <c r="AB328" s="675"/>
      <c r="AD328" s="675"/>
      <c r="AF328" s="675"/>
      <c r="AG328" s="675"/>
    </row>
    <row r="329" spans="1:33" s="536" customFormat="1" ht="12" x14ac:dyDescent="0.2">
      <c r="A329" s="605"/>
      <c r="B329" s="552" t="s">
        <v>188</v>
      </c>
      <c r="C329" s="1822" t="s">
        <v>475</v>
      </c>
      <c r="D329" s="1822"/>
      <c r="E329" s="1822"/>
      <c r="F329" s="562"/>
      <c r="G329" s="562"/>
      <c r="H329" s="562"/>
      <c r="I329" s="562"/>
      <c r="J329" s="604">
        <v>15.07</v>
      </c>
      <c r="K329" s="562"/>
      <c r="L329" s="604">
        <v>0</v>
      </c>
      <c r="M329" s="603"/>
      <c r="N329" s="602"/>
      <c r="V329" s="674"/>
      <c r="W329" s="675"/>
      <c r="Y329" s="537" t="s">
        <v>475</v>
      </c>
      <c r="AB329" s="675"/>
      <c r="AD329" s="675"/>
      <c r="AF329" s="675"/>
      <c r="AG329" s="675"/>
    </row>
    <row r="330" spans="1:33" s="536" customFormat="1" ht="12" x14ac:dyDescent="0.2">
      <c r="A330" s="605"/>
      <c r="B330" s="552"/>
      <c r="C330" s="1822" t="s">
        <v>314</v>
      </c>
      <c r="D330" s="1822"/>
      <c r="E330" s="1822"/>
      <c r="F330" s="562" t="s">
        <v>315</v>
      </c>
      <c r="G330" s="562" t="s">
        <v>1785</v>
      </c>
      <c r="H330" s="562" t="s">
        <v>313</v>
      </c>
      <c r="I330" s="562" t="s">
        <v>2353</v>
      </c>
      <c r="J330" s="604"/>
      <c r="K330" s="562"/>
      <c r="L330" s="604"/>
      <c r="M330" s="603"/>
      <c r="N330" s="602"/>
      <c r="V330" s="674"/>
      <c r="W330" s="675"/>
      <c r="Z330" s="537" t="s">
        <v>314</v>
      </c>
      <c r="AB330" s="675"/>
      <c r="AD330" s="675"/>
      <c r="AF330" s="675"/>
      <c r="AG330" s="675"/>
    </row>
    <row r="331" spans="1:33" s="536" customFormat="1" ht="12" x14ac:dyDescent="0.2">
      <c r="A331" s="605"/>
      <c r="B331" s="552"/>
      <c r="C331" s="1828" t="s">
        <v>318</v>
      </c>
      <c r="D331" s="1828"/>
      <c r="E331" s="1828"/>
      <c r="F331" s="608"/>
      <c r="G331" s="608"/>
      <c r="H331" s="608"/>
      <c r="I331" s="608"/>
      <c r="J331" s="607">
        <v>3.57</v>
      </c>
      <c r="K331" s="608"/>
      <c r="L331" s="607">
        <v>58.01</v>
      </c>
      <c r="M331" s="601"/>
      <c r="N331" s="606"/>
      <c r="V331" s="674"/>
      <c r="W331" s="675"/>
      <c r="AA331" s="537" t="s">
        <v>318</v>
      </c>
      <c r="AB331" s="675"/>
      <c r="AD331" s="675"/>
      <c r="AF331" s="675"/>
      <c r="AG331" s="675"/>
    </row>
    <row r="332" spans="1:33" s="536" customFormat="1" ht="12" x14ac:dyDescent="0.2">
      <c r="A332" s="605"/>
      <c r="B332" s="552"/>
      <c r="C332" s="1822" t="s">
        <v>319</v>
      </c>
      <c r="D332" s="1822"/>
      <c r="E332" s="1822"/>
      <c r="F332" s="562"/>
      <c r="G332" s="562"/>
      <c r="H332" s="562"/>
      <c r="I332" s="562"/>
      <c r="J332" s="604"/>
      <c r="K332" s="562"/>
      <c r="L332" s="604">
        <v>58.01</v>
      </c>
      <c r="M332" s="603"/>
      <c r="N332" s="602"/>
      <c r="V332" s="674"/>
      <c r="W332" s="675"/>
      <c r="Z332" s="537" t="s">
        <v>319</v>
      </c>
      <c r="AB332" s="675"/>
      <c r="AD332" s="675"/>
      <c r="AF332" s="675"/>
      <c r="AG332" s="675"/>
    </row>
    <row r="333" spans="1:33" s="536" customFormat="1" ht="33.75" x14ac:dyDescent="0.2">
      <c r="A333" s="605"/>
      <c r="B333" s="552" t="s">
        <v>1631</v>
      </c>
      <c r="C333" s="1822" t="s">
        <v>1632</v>
      </c>
      <c r="D333" s="1822"/>
      <c r="E333" s="1822"/>
      <c r="F333" s="562" t="s">
        <v>322</v>
      </c>
      <c r="G333" s="562" t="s">
        <v>1633</v>
      </c>
      <c r="H333" s="562"/>
      <c r="I333" s="562" t="s">
        <v>1633</v>
      </c>
      <c r="J333" s="604"/>
      <c r="K333" s="562"/>
      <c r="L333" s="604">
        <v>56.27</v>
      </c>
      <c r="M333" s="603"/>
      <c r="N333" s="602"/>
      <c r="V333" s="674"/>
      <c r="W333" s="675"/>
      <c r="Z333" s="537" t="s">
        <v>1632</v>
      </c>
      <c r="AB333" s="675"/>
      <c r="AD333" s="675"/>
      <c r="AF333" s="675"/>
      <c r="AG333" s="675"/>
    </row>
    <row r="334" spans="1:33" s="536" customFormat="1" ht="33.75" x14ac:dyDescent="0.2">
      <c r="A334" s="605"/>
      <c r="B334" s="552" t="s">
        <v>1634</v>
      </c>
      <c r="C334" s="1822" t="s">
        <v>1635</v>
      </c>
      <c r="D334" s="1822"/>
      <c r="E334" s="1822"/>
      <c r="F334" s="562" t="s">
        <v>322</v>
      </c>
      <c r="G334" s="562" t="s">
        <v>786</v>
      </c>
      <c r="H334" s="562"/>
      <c r="I334" s="562" t="s">
        <v>786</v>
      </c>
      <c r="J334" s="604"/>
      <c r="K334" s="562"/>
      <c r="L334" s="604">
        <v>29.59</v>
      </c>
      <c r="M334" s="603"/>
      <c r="N334" s="602"/>
      <c r="V334" s="674"/>
      <c r="W334" s="675"/>
      <c r="Z334" s="537" t="s">
        <v>1635</v>
      </c>
      <c r="AB334" s="675"/>
      <c r="AD334" s="675"/>
      <c r="AF334" s="675"/>
      <c r="AG334" s="675"/>
    </row>
    <row r="335" spans="1:33" s="536" customFormat="1" ht="12" x14ac:dyDescent="0.2">
      <c r="A335" s="569"/>
      <c r="B335" s="671"/>
      <c r="C335" s="1823" t="s">
        <v>327</v>
      </c>
      <c r="D335" s="1823"/>
      <c r="E335" s="1823"/>
      <c r="F335" s="573"/>
      <c r="G335" s="573"/>
      <c r="H335" s="573"/>
      <c r="I335" s="573"/>
      <c r="J335" s="572"/>
      <c r="K335" s="573"/>
      <c r="L335" s="572">
        <v>143.87</v>
      </c>
      <c r="M335" s="601"/>
      <c r="N335" s="570"/>
      <c r="V335" s="674"/>
      <c r="W335" s="675"/>
      <c r="AB335" s="675" t="s">
        <v>327</v>
      </c>
      <c r="AD335" s="675"/>
      <c r="AF335" s="675"/>
      <c r="AG335" s="675"/>
    </row>
    <row r="336" spans="1:33" s="536" customFormat="1" ht="33.75" x14ac:dyDescent="0.2">
      <c r="A336" s="575" t="s">
        <v>465</v>
      </c>
      <c r="B336" s="670" t="s">
        <v>1787</v>
      </c>
      <c r="C336" s="1823" t="s">
        <v>1788</v>
      </c>
      <c r="D336" s="1823"/>
      <c r="E336" s="1823"/>
      <c r="F336" s="573" t="s">
        <v>617</v>
      </c>
      <c r="G336" s="573"/>
      <c r="H336" s="573"/>
      <c r="I336" s="573" t="s">
        <v>188</v>
      </c>
      <c r="J336" s="572">
        <v>1266.02</v>
      </c>
      <c r="K336" s="573" t="s">
        <v>716</v>
      </c>
      <c r="L336" s="572">
        <v>620.79</v>
      </c>
      <c r="M336" s="571">
        <v>8.32</v>
      </c>
      <c r="N336" s="570">
        <v>5165</v>
      </c>
      <c r="V336" s="674"/>
      <c r="W336" s="675" t="s">
        <v>1788</v>
      </c>
      <c r="AB336" s="675"/>
      <c r="AD336" s="675"/>
      <c r="AF336" s="675"/>
      <c r="AG336" s="675"/>
    </row>
    <row r="337" spans="1:33" s="536" customFormat="1" ht="12" x14ac:dyDescent="0.2">
      <c r="A337" s="569"/>
      <c r="B337" s="671"/>
      <c r="C337" s="665" t="s">
        <v>1658</v>
      </c>
      <c r="D337" s="666"/>
      <c r="E337" s="666"/>
      <c r="F337" s="563"/>
      <c r="G337" s="563"/>
      <c r="H337" s="563"/>
      <c r="I337" s="563"/>
      <c r="J337" s="566"/>
      <c r="K337" s="563"/>
      <c r="L337" s="566"/>
      <c r="M337" s="565"/>
      <c r="N337" s="564"/>
      <c r="V337" s="674"/>
      <c r="W337" s="675"/>
      <c r="AB337" s="675"/>
      <c r="AD337" s="675"/>
      <c r="AF337" s="675"/>
      <c r="AG337" s="675"/>
    </row>
    <row r="338" spans="1:33" s="536" customFormat="1" ht="22.5" x14ac:dyDescent="0.2">
      <c r="A338" s="609"/>
      <c r="B338" s="552" t="s">
        <v>718</v>
      </c>
      <c r="C338" s="1822" t="s">
        <v>719</v>
      </c>
      <c r="D338" s="1822"/>
      <c r="E338" s="1822"/>
      <c r="F338" s="1822"/>
      <c r="G338" s="1822"/>
      <c r="H338" s="1822"/>
      <c r="I338" s="1822"/>
      <c r="J338" s="1822"/>
      <c r="K338" s="1822"/>
      <c r="L338" s="1822"/>
      <c r="M338" s="1822"/>
      <c r="N338" s="1827"/>
      <c r="V338" s="674"/>
      <c r="W338" s="675"/>
      <c r="X338" s="537" t="s">
        <v>719</v>
      </c>
      <c r="AB338" s="675"/>
      <c r="AD338" s="675"/>
      <c r="AF338" s="675"/>
      <c r="AG338" s="675"/>
    </row>
    <row r="339" spans="1:33" s="536" customFormat="1" ht="33.75" x14ac:dyDescent="0.2">
      <c r="A339" s="575" t="s">
        <v>782</v>
      </c>
      <c r="B339" s="670" t="s">
        <v>1789</v>
      </c>
      <c r="C339" s="1823" t="s">
        <v>1790</v>
      </c>
      <c r="D339" s="1823"/>
      <c r="E339" s="1823"/>
      <c r="F339" s="573" t="s">
        <v>617</v>
      </c>
      <c r="G339" s="573"/>
      <c r="H339" s="573"/>
      <c r="I339" s="573" t="s">
        <v>185</v>
      </c>
      <c r="J339" s="572"/>
      <c r="K339" s="573"/>
      <c r="L339" s="572"/>
      <c r="M339" s="571"/>
      <c r="N339" s="570"/>
      <c r="V339" s="674"/>
      <c r="W339" s="675" t="s">
        <v>1790</v>
      </c>
      <c r="AB339" s="675"/>
      <c r="AD339" s="675"/>
      <c r="AF339" s="675"/>
      <c r="AG339" s="675"/>
    </row>
    <row r="340" spans="1:33" s="536" customFormat="1" ht="12" x14ac:dyDescent="0.2">
      <c r="A340" s="605"/>
      <c r="B340" s="552" t="s">
        <v>185</v>
      </c>
      <c r="C340" s="1822" t="s">
        <v>312</v>
      </c>
      <c r="D340" s="1822"/>
      <c r="E340" s="1822"/>
      <c r="F340" s="562"/>
      <c r="G340" s="562"/>
      <c r="H340" s="562"/>
      <c r="I340" s="562"/>
      <c r="J340" s="604">
        <v>10.220000000000001</v>
      </c>
      <c r="K340" s="562"/>
      <c r="L340" s="604">
        <v>10.220000000000001</v>
      </c>
      <c r="M340" s="603"/>
      <c r="N340" s="602"/>
      <c r="V340" s="674"/>
      <c r="W340" s="675"/>
      <c r="Y340" s="537" t="s">
        <v>312</v>
      </c>
      <c r="AB340" s="675"/>
      <c r="AD340" s="675"/>
      <c r="AF340" s="675"/>
      <c r="AG340" s="675"/>
    </row>
    <row r="341" spans="1:33" s="536" customFormat="1" ht="12" x14ac:dyDescent="0.2">
      <c r="A341" s="605"/>
      <c r="B341" s="552" t="s">
        <v>188</v>
      </c>
      <c r="C341" s="1822" t="s">
        <v>475</v>
      </c>
      <c r="D341" s="1822"/>
      <c r="E341" s="1822"/>
      <c r="F341" s="562"/>
      <c r="G341" s="562"/>
      <c r="H341" s="562"/>
      <c r="I341" s="562"/>
      <c r="J341" s="604">
        <v>1.31</v>
      </c>
      <c r="K341" s="562"/>
      <c r="L341" s="604">
        <v>1.31</v>
      </c>
      <c r="M341" s="603"/>
      <c r="N341" s="602"/>
      <c r="V341" s="674"/>
      <c r="W341" s="675"/>
      <c r="Y341" s="537" t="s">
        <v>475</v>
      </c>
      <c r="AB341" s="675"/>
      <c r="AD341" s="675"/>
      <c r="AF341" s="675"/>
      <c r="AG341" s="675"/>
    </row>
    <row r="342" spans="1:33" s="536" customFormat="1" ht="12" x14ac:dyDescent="0.2">
      <c r="A342" s="605"/>
      <c r="B342" s="552"/>
      <c r="C342" s="1822" t="s">
        <v>314</v>
      </c>
      <c r="D342" s="1822"/>
      <c r="E342" s="1822"/>
      <c r="F342" s="562" t="s">
        <v>315</v>
      </c>
      <c r="G342" s="562" t="s">
        <v>702</v>
      </c>
      <c r="H342" s="562"/>
      <c r="I342" s="562" t="s">
        <v>702</v>
      </c>
      <c r="J342" s="604"/>
      <c r="K342" s="562"/>
      <c r="L342" s="604"/>
      <c r="M342" s="603"/>
      <c r="N342" s="602"/>
      <c r="V342" s="674"/>
      <c r="W342" s="675"/>
      <c r="Z342" s="537" t="s">
        <v>314</v>
      </c>
      <c r="AB342" s="675"/>
      <c r="AD342" s="675"/>
      <c r="AF342" s="675"/>
      <c r="AG342" s="675"/>
    </row>
    <row r="343" spans="1:33" s="536" customFormat="1" ht="12" x14ac:dyDescent="0.2">
      <c r="A343" s="605"/>
      <c r="B343" s="552"/>
      <c r="C343" s="1828" t="s">
        <v>318</v>
      </c>
      <c r="D343" s="1828"/>
      <c r="E343" s="1828"/>
      <c r="F343" s="608"/>
      <c r="G343" s="608"/>
      <c r="H343" s="608"/>
      <c r="I343" s="608"/>
      <c r="J343" s="607">
        <v>11.53</v>
      </c>
      <c r="K343" s="608"/>
      <c r="L343" s="607">
        <v>11.53</v>
      </c>
      <c r="M343" s="601"/>
      <c r="N343" s="606"/>
      <c r="V343" s="674"/>
      <c r="W343" s="675"/>
      <c r="AA343" s="537" t="s">
        <v>318</v>
      </c>
      <c r="AB343" s="675"/>
      <c r="AD343" s="675"/>
      <c r="AF343" s="675"/>
      <c r="AG343" s="675"/>
    </row>
    <row r="344" spans="1:33" s="536" customFormat="1" ht="12" x14ac:dyDescent="0.2">
      <c r="A344" s="605"/>
      <c r="B344" s="552"/>
      <c r="C344" s="1822" t="s">
        <v>319</v>
      </c>
      <c r="D344" s="1822"/>
      <c r="E344" s="1822"/>
      <c r="F344" s="562"/>
      <c r="G344" s="562"/>
      <c r="H344" s="562"/>
      <c r="I344" s="562"/>
      <c r="J344" s="604"/>
      <c r="K344" s="562"/>
      <c r="L344" s="604">
        <v>10.220000000000001</v>
      </c>
      <c r="M344" s="603"/>
      <c r="N344" s="602"/>
      <c r="V344" s="674"/>
      <c r="W344" s="675"/>
      <c r="Z344" s="537" t="s">
        <v>319</v>
      </c>
      <c r="AB344" s="675"/>
      <c r="AD344" s="675"/>
      <c r="AF344" s="675"/>
      <c r="AG344" s="675"/>
    </row>
    <row r="345" spans="1:33" s="536" customFormat="1" ht="33.75" x14ac:dyDescent="0.2">
      <c r="A345" s="605"/>
      <c r="B345" s="552" t="s">
        <v>948</v>
      </c>
      <c r="C345" s="1822" t="s">
        <v>949</v>
      </c>
      <c r="D345" s="1822"/>
      <c r="E345" s="1822"/>
      <c r="F345" s="562" t="s">
        <v>322</v>
      </c>
      <c r="G345" s="562" t="s">
        <v>886</v>
      </c>
      <c r="H345" s="562"/>
      <c r="I345" s="562" t="s">
        <v>886</v>
      </c>
      <c r="J345" s="604"/>
      <c r="K345" s="562"/>
      <c r="L345" s="604">
        <v>9.1999999999999993</v>
      </c>
      <c r="M345" s="603"/>
      <c r="N345" s="602"/>
      <c r="V345" s="674"/>
      <c r="W345" s="675"/>
      <c r="Z345" s="537" t="s">
        <v>949</v>
      </c>
      <c r="AB345" s="675"/>
      <c r="AD345" s="675"/>
      <c r="AF345" s="675"/>
      <c r="AG345" s="675"/>
    </row>
    <row r="346" spans="1:33" s="536" customFormat="1" ht="33.75" x14ac:dyDescent="0.2">
      <c r="A346" s="605"/>
      <c r="B346" s="552" t="s">
        <v>950</v>
      </c>
      <c r="C346" s="1822" t="s">
        <v>951</v>
      </c>
      <c r="D346" s="1822"/>
      <c r="E346" s="1822"/>
      <c r="F346" s="562" t="s">
        <v>322</v>
      </c>
      <c r="G346" s="562" t="s">
        <v>465</v>
      </c>
      <c r="H346" s="562"/>
      <c r="I346" s="562" t="s">
        <v>465</v>
      </c>
      <c r="J346" s="604"/>
      <c r="K346" s="562"/>
      <c r="L346" s="604">
        <v>4.7</v>
      </c>
      <c r="M346" s="603"/>
      <c r="N346" s="602"/>
      <c r="V346" s="674"/>
      <c r="W346" s="675"/>
      <c r="Z346" s="537" t="s">
        <v>951</v>
      </c>
      <c r="AB346" s="675"/>
      <c r="AD346" s="675"/>
      <c r="AF346" s="675"/>
      <c r="AG346" s="675"/>
    </row>
    <row r="347" spans="1:33" s="536" customFormat="1" ht="12" x14ac:dyDescent="0.2">
      <c r="A347" s="569"/>
      <c r="B347" s="671"/>
      <c r="C347" s="1823" t="s">
        <v>327</v>
      </c>
      <c r="D347" s="1823"/>
      <c r="E347" s="1823"/>
      <c r="F347" s="573"/>
      <c r="G347" s="573"/>
      <c r="H347" s="573"/>
      <c r="I347" s="573"/>
      <c r="J347" s="572"/>
      <c r="K347" s="573"/>
      <c r="L347" s="572">
        <v>25.43</v>
      </c>
      <c r="M347" s="601"/>
      <c r="N347" s="570"/>
      <c r="V347" s="674"/>
      <c r="W347" s="675"/>
      <c r="AB347" s="675" t="s">
        <v>327</v>
      </c>
      <c r="AD347" s="675"/>
      <c r="AF347" s="675"/>
      <c r="AG347" s="675"/>
    </row>
    <row r="348" spans="1:33" s="536" customFormat="1" ht="33.75" x14ac:dyDescent="0.2">
      <c r="A348" s="575" t="s">
        <v>783</v>
      </c>
      <c r="B348" s="670" t="s">
        <v>1792</v>
      </c>
      <c r="C348" s="1823" t="s">
        <v>1793</v>
      </c>
      <c r="D348" s="1823"/>
      <c r="E348" s="1823"/>
      <c r="F348" s="573" t="s">
        <v>617</v>
      </c>
      <c r="G348" s="573"/>
      <c r="H348" s="573"/>
      <c r="I348" s="573" t="s">
        <v>185</v>
      </c>
      <c r="J348" s="572">
        <v>3876.2</v>
      </c>
      <c r="K348" s="573" t="s">
        <v>629</v>
      </c>
      <c r="L348" s="572">
        <v>854.68</v>
      </c>
      <c r="M348" s="571">
        <v>4.59</v>
      </c>
      <c r="N348" s="570">
        <v>3923</v>
      </c>
      <c r="V348" s="674"/>
      <c r="W348" s="675" t="s">
        <v>1793</v>
      </c>
      <c r="AB348" s="675"/>
      <c r="AD348" s="675"/>
      <c r="AF348" s="675"/>
      <c r="AG348" s="675"/>
    </row>
    <row r="349" spans="1:33" s="536" customFormat="1" ht="12" x14ac:dyDescent="0.2">
      <c r="A349" s="569"/>
      <c r="B349" s="671"/>
      <c r="C349" s="665" t="s">
        <v>630</v>
      </c>
      <c r="D349" s="666"/>
      <c r="E349" s="666"/>
      <c r="F349" s="563"/>
      <c r="G349" s="563"/>
      <c r="H349" s="563"/>
      <c r="I349" s="563"/>
      <c r="J349" s="566"/>
      <c r="K349" s="563"/>
      <c r="L349" s="566"/>
      <c r="M349" s="565"/>
      <c r="N349" s="564"/>
      <c r="V349" s="674"/>
      <c r="W349" s="675"/>
      <c r="AB349" s="675"/>
      <c r="AD349" s="675"/>
      <c r="AF349" s="675"/>
      <c r="AG349" s="675"/>
    </row>
    <row r="350" spans="1:33" s="536" customFormat="1" ht="22.5" x14ac:dyDescent="0.2">
      <c r="A350" s="609"/>
      <c r="B350" s="552" t="s">
        <v>1638</v>
      </c>
      <c r="C350" s="1822" t="s">
        <v>632</v>
      </c>
      <c r="D350" s="1822"/>
      <c r="E350" s="1822"/>
      <c r="F350" s="1822"/>
      <c r="G350" s="1822"/>
      <c r="H350" s="1822"/>
      <c r="I350" s="1822"/>
      <c r="J350" s="1822"/>
      <c r="K350" s="1822"/>
      <c r="L350" s="1822"/>
      <c r="M350" s="1822"/>
      <c r="N350" s="1827"/>
      <c r="V350" s="674"/>
      <c r="W350" s="675"/>
      <c r="X350" s="537" t="s">
        <v>632</v>
      </c>
      <c r="AB350" s="675"/>
      <c r="AD350" s="675"/>
      <c r="AF350" s="675"/>
      <c r="AG350" s="675"/>
    </row>
    <row r="351" spans="1:33" s="536" customFormat="1" ht="12" x14ac:dyDescent="0.2">
      <c r="A351" s="1830" t="s">
        <v>2354</v>
      </c>
      <c r="B351" s="1831"/>
      <c r="C351" s="1831"/>
      <c r="D351" s="1831"/>
      <c r="E351" s="1831"/>
      <c r="F351" s="1831"/>
      <c r="G351" s="1831"/>
      <c r="H351" s="1831"/>
      <c r="I351" s="1831"/>
      <c r="J351" s="1831"/>
      <c r="K351" s="1831"/>
      <c r="L351" s="1831"/>
      <c r="M351" s="1831"/>
      <c r="N351" s="1832"/>
      <c r="V351" s="674"/>
      <c r="W351" s="675"/>
      <c r="AB351" s="675"/>
      <c r="AD351" s="675"/>
      <c r="AF351" s="675"/>
      <c r="AG351" s="675" t="s">
        <v>2354</v>
      </c>
    </row>
    <row r="352" spans="1:33" s="536" customFormat="1" ht="45" x14ac:dyDescent="0.2">
      <c r="A352" s="575" t="s">
        <v>784</v>
      </c>
      <c r="B352" s="670" t="s">
        <v>1794</v>
      </c>
      <c r="C352" s="1823" t="s">
        <v>1795</v>
      </c>
      <c r="D352" s="1823"/>
      <c r="E352" s="1823"/>
      <c r="F352" s="573" t="s">
        <v>1110</v>
      </c>
      <c r="G352" s="573"/>
      <c r="H352" s="573"/>
      <c r="I352" s="573" t="s">
        <v>695</v>
      </c>
      <c r="J352" s="572"/>
      <c r="K352" s="573"/>
      <c r="L352" s="572"/>
      <c r="M352" s="571"/>
      <c r="N352" s="570"/>
      <c r="V352" s="674"/>
      <c r="W352" s="675" t="s">
        <v>1795</v>
      </c>
      <c r="AB352" s="675"/>
      <c r="AD352" s="675"/>
      <c r="AF352" s="675"/>
      <c r="AG352" s="675"/>
    </row>
    <row r="353" spans="1:33" s="536" customFormat="1" ht="12" x14ac:dyDescent="0.2">
      <c r="A353" s="676"/>
      <c r="B353" s="664"/>
      <c r="C353" s="1822" t="s">
        <v>1597</v>
      </c>
      <c r="D353" s="1822"/>
      <c r="E353" s="1822"/>
      <c r="F353" s="1822"/>
      <c r="G353" s="1822"/>
      <c r="H353" s="1822"/>
      <c r="I353" s="1822"/>
      <c r="J353" s="1822"/>
      <c r="K353" s="1822"/>
      <c r="L353" s="1822"/>
      <c r="M353" s="1822"/>
      <c r="N353" s="1827"/>
      <c r="V353" s="674"/>
      <c r="W353" s="675"/>
      <c r="AB353" s="675"/>
      <c r="AC353" s="537" t="s">
        <v>1597</v>
      </c>
      <c r="AD353" s="675"/>
      <c r="AF353" s="675"/>
      <c r="AG353" s="675"/>
    </row>
    <row r="354" spans="1:33" s="536" customFormat="1" ht="33.75" x14ac:dyDescent="0.2">
      <c r="A354" s="609"/>
      <c r="B354" s="552" t="s">
        <v>310</v>
      </c>
      <c r="C354" s="1822" t="s">
        <v>311</v>
      </c>
      <c r="D354" s="1822"/>
      <c r="E354" s="1822"/>
      <c r="F354" s="1822"/>
      <c r="G354" s="1822"/>
      <c r="H354" s="1822"/>
      <c r="I354" s="1822"/>
      <c r="J354" s="1822"/>
      <c r="K354" s="1822"/>
      <c r="L354" s="1822"/>
      <c r="M354" s="1822"/>
      <c r="N354" s="1827"/>
      <c r="V354" s="674"/>
      <c r="W354" s="675"/>
      <c r="X354" s="537" t="s">
        <v>311</v>
      </c>
      <c r="AB354" s="675"/>
      <c r="AD354" s="675"/>
      <c r="AF354" s="675"/>
      <c r="AG354" s="675"/>
    </row>
    <row r="355" spans="1:33" s="536" customFormat="1" ht="12" x14ac:dyDescent="0.2">
      <c r="A355" s="605"/>
      <c r="B355" s="552" t="s">
        <v>185</v>
      </c>
      <c r="C355" s="1822" t="s">
        <v>312</v>
      </c>
      <c r="D355" s="1822"/>
      <c r="E355" s="1822"/>
      <c r="F355" s="562"/>
      <c r="G355" s="562"/>
      <c r="H355" s="562"/>
      <c r="I355" s="562"/>
      <c r="J355" s="604">
        <v>302.3</v>
      </c>
      <c r="K355" s="562" t="s">
        <v>313</v>
      </c>
      <c r="L355" s="604">
        <v>7.56</v>
      </c>
      <c r="M355" s="603"/>
      <c r="N355" s="602"/>
      <c r="V355" s="674"/>
      <c r="W355" s="675"/>
      <c r="Y355" s="537" t="s">
        <v>312</v>
      </c>
      <c r="AB355" s="675"/>
      <c r="AD355" s="675"/>
      <c r="AF355" s="675"/>
      <c r="AG355" s="675"/>
    </row>
    <row r="356" spans="1:33" s="536" customFormat="1" ht="12" x14ac:dyDescent="0.2">
      <c r="A356" s="605"/>
      <c r="B356" s="552" t="s">
        <v>186</v>
      </c>
      <c r="C356" s="1822" t="s">
        <v>344</v>
      </c>
      <c r="D356" s="1822"/>
      <c r="E356" s="1822"/>
      <c r="F356" s="562"/>
      <c r="G356" s="562"/>
      <c r="H356" s="562"/>
      <c r="I356" s="562"/>
      <c r="J356" s="604">
        <v>5.43</v>
      </c>
      <c r="K356" s="562" t="s">
        <v>313</v>
      </c>
      <c r="L356" s="604">
        <v>0.14000000000000001</v>
      </c>
      <c r="M356" s="603"/>
      <c r="N356" s="602"/>
      <c r="V356" s="674"/>
      <c r="W356" s="675"/>
      <c r="Y356" s="537" t="s">
        <v>344</v>
      </c>
      <c r="AB356" s="675"/>
      <c r="AD356" s="675"/>
      <c r="AF356" s="675"/>
      <c r="AG356" s="675"/>
    </row>
    <row r="357" spans="1:33" s="536" customFormat="1" ht="12" x14ac:dyDescent="0.2">
      <c r="A357" s="605"/>
      <c r="B357" s="552" t="s">
        <v>187</v>
      </c>
      <c r="C357" s="1822" t="s">
        <v>345</v>
      </c>
      <c r="D357" s="1822"/>
      <c r="E357" s="1822"/>
      <c r="F357" s="562"/>
      <c r="G357" s="562"/>
      <c r="H357" s="562"/>
      <c r="I357" s="562"/>
      <c r="J357" s="604">
        <v>0.76</v>
      </c>
      <c r="K357" s="562" t="s">
        <v>313</v>
      </c>
      <c r="L357" s="604">
        <v>0.02</v>
      </c>
      <c r="M357" s="603"/>
      <c r="N357" s="602"/>
      <c r="V357" s="674"/>
      <c r="W357" s="675"/>
      <c r="Y357" s="537" t="s">
        <v>345</v>
      </c>
      <c r="AB357" s="675"/>
      <c r="AD357" s="675"/>
      <c r="AF357" s="675"/>
      <c r="AG357" s="675"/>
    </row>
    <row r="358" spans="1:33" s="536" customFormat="1" ht="12" x14ac:dyDescent="0.2">
      <c r="A358" s="605"/>
      <c r="B358" s="552" t="s">
        <v>188</v>
      </c>
      <c r="C358" s="1822" t="s">
        <v>475</v>
      </c>
      <c r="D358" s="1822"/>
      <c r="E358" s="1822"/>
      <c r="F358" s="562"/>
      <c r="G358" s="562"/>
      <c r="H358" s="562"/>
      <c r="I358" s="562"/>
      <c r="J358" s="604">
        <v>185.57</v>
      </c>
      <c r="K358" s="562"/>
      <c r="L358" s="604">
        <v>3.71</v>
      </c>
      <c r="M358" s="603"/>
      <c r="N358" s="602"/>
      <c r="V358" s="674"/>
      <c r="W358" s="675"/>
      <c r="Y358" s="537" t="s">
        <v>475</v>
      </c>
      <c r="AB358" s="675"/>
      <c r="AD358" s="675"/>
      <c r="AF358" s="675"/>
      <c r="AG358" s="675"/>
    </row>
    <row r="359" spans="1:33" s="536" customFormat="1" ht="12" x14ac:dyDescent="0.2">
      <c r="A359" s="605"/>
      <c r="B359" s="552"/>
      <c r="C359" s="1822" t="s">
        <v>314</v>
      </c>
      <c r="D359" s="1822"/>
      <c r="E359" s="1822"/>
      <c r="F359" s="562" t="s">
        <v>315</v>
      </c>
      <c r="G359" s="562" t="s">
        <v>1796</v>
      </c>
      <c r="H359" s="562" t="s">
        <v>313</v>
      </c>
      <c r="I359" s="562" t="s">
        <v>3378</v>
      </c>
      <c r="J359" s="604"/>
      <c r="K359" s="562"/>
      <c r="L359" s="604"/>
      <c r="M359" s="603"/>
      <c r="N359" s="602"/>
      <c r="V359" s="674"/>
      <c r="W359" s="675"/>
      <c r="Z359" s="537" t="s">
        <v>314</v>
      </c>
      <c r="AB359" s="675"/>
      <c r="AD359" s="675"/>
      <c r="AF359" s="675"/>
      <c r="AG359" s="675"/>
    </row>
    <row r="360" spans="1:33" s="536" customFormat="1" ht="12" x14ac:dyDescent="0.2">
      <c r="A360" s="605"/>
      <c r="B360" s="552"/>
      <c r="C360" s="1822" t="s">
        <v>348</v>
      </c>
      <c r="D360" s="1822"/>
      <c r="E360" s="1822"/>
      <c r="F360" s="562" t="s">
        <v>315</v>
      </c>
      <c r="G360" s="562" t="s">
        <v>1554</v>
      </c>
      <c r="H360" s="562" t="s">
        <v>313</v>
      </c>
      <c r="I360" s="562" t="s">
        <v>2487</v>
      </c>
      <c r="J360" s="604"/>
      <c r="K360" s="562"/>
      <c r="L360" s="604"/>
      <c r="M360" s="603"/>
      <c r="N360" s="602"/>
      <c r="V360" s="674"/>
      <c r="W360" s="675"/>
      <c r="Z360" s="537" t="s">
        <v>348</v>
      </c>
      <c r="AB360" s="675"/>
      <c r="AD360" s="675"/>
      <c r="AF360" s="675"/>
      <c r="AG360" s="675"/>
    </row>
    <row r="361" spans="1:33" s="536" customFormat="1" ht="12" x14ac:dyDescent="0.2">
      <c r="A361" s="605"/>
      <c r="B361" s="552"/>
      <c r="C361" s="1828" t="s">
        <v>318</v>
      </c>
      <c r="D361" s="1828"/>
      <c r="E361" s="1828"/>
      <c r="F361" s="608"/>
      <c r="G361" s="608"/>
      <c r="H361" s="608"/>
      <c r="I361" s="608"/>
      <c r="J361" s="607">
        <v>493.3</v>
      </c>
      <c r="K361" s="608"/>
      <c r="L361" s="607">
        <v>11.41</v>
      </c>
      <c r="M361" s="601"/>
      <c r="N361" s="606"/>
      <c r="V361" s="674"/>
      <c r="W361" s="675"/>
      <c r="AA361" s="537" t="s">
        <v>318</v>
      </c>
      <c r="AB361" s="675"/>
      <c r="AD361" s="675"/>
      <c r="AF361" s="675"/>
      <c r="AG361" s="675"/>
    </row>
    <row r="362" spans="1:33" s="536" customFormat="1" ht="12" x14ac:dyDescent="0.2">
      <c r="A362" s="605"/>
      <c r="B362" s="552"/>
      <c r="C362" s="1822" t="s">
        <v>319</v>
      </c>
      <c r="D362" s="1822"/>
      <c r="E362" s="1822"/>
      <c r="F362" s="562"/>
      <c r="G362" s="562"/>
      <c r="H362" s="562"/>
      <c r="I362" s="562"/>
      <c r="J362" s="604"/>
      <c r="K362" s="562"/>
      <c r="L362" s="604">
        <v>7.58</v>
      </c>
      <c r="M362" s="603"/>
      <c r="N362" s="602"/>
      <c r="V362" s="674"/>
      <c r="W362" s="675"/>
      <c r="Z362" s="537" t="s">
        <v>319</v>
      </c>
      <c r="AB362" s="675"/>
      <c r="AD362" s="675"/>
      <c r="AF362" s="675"/>
      <c r="AG362" s="675"/>
    </row>
    <row r="363" spans="1:33" s="536" customFormat="1" ht="33.75" x14ac:dyDescent="0.2">
      <c r="A363" s="605"/>
      <c r="B363" s="552" t="s">
        <v>1631</v>
      </c>
      <c r="C363" s="1822" t="s">
        <v>1632</v>
      </c>
      <c r="D363" s="1822"/>
      <c r="E363" s="1822"/>
      <c r="F363" s="562" t="s">
        <v>322</v>
      </c>
      <c r="G363" s="562" t="s">
        <v>1633</v>
      </c>
      <c r="H363" s="562"/>
      <c r="I363" s="562" t="s">
        <v>1633</v>
      </c>
      <c r="J363" s="604"/>
      <c r="K363" s="562"/>
      <c r="L363" s="604">
        <v>7.35</v>
      </c>
      <c r="M363" s="603"/>
      <c r="N363" s="602"/>
      <c r="V363" s="674"/>
      <c r="W363" s="675"/>
      <c r="Z363" s="537" t="s">
        <v>1632</v>
      </c>
      <c r="AB363" s="675"/>
      <c r="AD363" s="675"/>
      <c r="AF363" s="675"/>
      <c r="AG363" s="675"/>
    </row>
    <row r="364" spans="1:33" s="536" customFormat="1" ht="33.75" x14ac:dyDescent="0.2">
      <c r="A364" s="605"/>
      <c r="B364" s="552" t="s">
        <v>1634</v>
      </c>
      <c r="C364" s="1822" t="s">
        <v>1635</v>
      </c>
      <c r="D364" s="1822"/>
      <c r="E364" s="1822"/>
      <c r="F364" s="562" t="s">
        <v>322</v>
      </c>
      <c r="G364" s="562" t="s">
        <v>786</v>
      </c>
      <c r="H364" s="562"/>
      <c r="I364" s="562" t="s">
        <v>786</v>
      </c>
      <c r="J364" s="604"/>
      <c r="K364" s="562"/>
      <c r="L364" s="604">
        <v>3.87</v>
      </c>
      <c r="M364" s="603"/>
      <c r="N364" s="602"/>
      <c r="V364" s="674"/>
      <c r="W364" s="675"/>
      <c r="Z364" s="537" t="s">
        <v>1635</v>
      </c>
      <c r="AB364" s="675"/>
      <c r="AD364" s="675"/>
      <c r="AF364" s="675"/>
      <c r="AG364" s="675"/>
    </row>
    <row r="365" spans="1:33" s="536" customFormat="1" ht="12" x14ac:dyDescent="0.2">
      <c r="A365" s="569"/>
      <c r="B365" s="671"/>
      <c r="C365" s="1823" t="s">
        <v>327</v>
      </c>
      <c r="D365" s="1823"/>
      <c r="E365" s="1823"/>
      <c r="F365" s="573"/>
      <c r="G365" s="573"/>
      <c r="H365" s="573"/>
      <c r="I365" s="573"/>
      <c r="J365" s="572"/>
      <c r="K365" s="573"/>
      <c r="L365" s="572">
        <v>22.63</v>
      </c>
      <c r="M365" s="601"/>
      <c r="N365" s="570"/>
      <c r="V365" s="674"/>
      <c r="W365" s="675"/>
      <c r="AB365" s="675" t="s">
        <v>327</v>
      </c>
      <c r="AD365" s="675"/>
      <c r="AF365" s="675"/>
      <c r="AG365" s="675"/>
    </row>
    <row r="366" spans="1:33" s="536" customFormat="1" ht="33.75" x14ac:dyDescent="0.2">
      <c r="A366" s="575" t="s">
        <v>1679</v>
      </c>
      <c r="B366" s="670" t="s">
        <v>1798</v>
      </c>
      <c r="C366" s="1823" t="s">
        <v>4048</v>
      </c>
      <c r="D366" s="1823"/>
      <c r="E366" s="1823"/>
      <c r="F366" s="573" t="s">
        <v>1687</v>
      </c>
      <c r="G366" s="573"/>
      <c r="H366" s="573"/>
      <c r="I366" s="573" t="s">
        <v>3380</v>
      </c>
      <c r="J366" s="572">
        <v>4999.13</v>
      </c>
      <c r="K366" s="573"/>
      <c r="L366" s="572">
        <v>10.199999999999999</v>
      </c>
      <c r="M366" s="571"/>
      <c r="N366" s="570"/>
      <c r="V366" s="674"/>
      <c r="W366" s="675" t="s">
        <v>4048</v>
      </c>
      <c r="AB366" s="675"/>
      <c r="AD366" s="675"/>
      <c r="AF366" s="675"/>
      <c r="AG366" s="675"/>
    </row>
    <row r="367" spans="1:33" s="536" customFormat="1" ht="12" x14ac:dyDescent="0.2">
      <c r="A367" s="569"/>
      <c r="B367" s="671"/>
      <c r="C367" s="665" t="s">
        <v>1658</v>
      </c>
      <c r="D367" s="666"/>
      <c r="E367" s="666"/>
      <c r="F367" s="563"/>
      <c r="G367" s="563"/>
      <c r="H367" s="563"/>
      <c r="I367" s="563"/>
      <c r="J367" s="566"/>
      <c r="K367" s="563"/>
      <c r="L367" s="566"/>
      <c r="M367" s="565"/>
      <c r="N367" s="564"/>
      <c r="V367" s="674"/>
      <c r="W367" s="675"/>
      <c r="AB367" s="675"/>
      <c r="AD367" s="675"/>
      <c r="AF367" s="675"/>
      <c r="AG367" s="675"/>
    </row>
    <row r="368" spans="1:33" s="536" customFormat="1" ht="12" x14ac:dyDescent="0.2">
      <c r="A368" s="676"/>
      <c r="B368" s="664"/>
      <c r="C368" s="1822" t="s">
        <v>3381</v>
      </c>
      <c r="D368" s="1822"/>
      <c r="E368" s="1822"/>
      <c r="F368" s="1822"/>
      <c r="G368" s="1822"/>
      <c r="H368" s="1822"/>
      <c r="I368" s="1822"/>
      <c r="J368" s="1822"/>
      <c r="K368" s="1822"/>
      <c r="L368" s="1822"/>
      <c r="M368" s="1822"/>
      <c r="N368" s="1827"/>
      <c r="V368" s="674"/>
      <c r="W368" s="675"/>
      <c r="AB368" s="675"/>
      <c r="AC368" s="537" t="s">
        <v>3381</v>
      </c>
      <c r="AD368" s="675"/>
      <c r="AF368" s="675"/>
      <c r="AG368" s="675"/>
    </row>
    <row r="369" spans="1:33" s="536" customFormat="1" ht="22.5" x14ac:dyDescent="0.2">
      <c r="A369" s="575" t="s">
        <v>786</v>
      </c>
      <c r="B369" s="670" t="s">
        <v>2381</v>
      </c>
      <c r="C369" s="1823" t="s">
        <v>2382</v>
      </c>
      <c r="D369" s="1823"/>
      <c r="E369" s="1823"/>
      <c r="F369" s="573" t="s">
        <v>1110</v>
      </c>
      <c r="G369" s="573"/>
      <c r="H369" s="573"/>
      <c r="I369" s="573" t="s">
        <v>647</v>
      </c>
      <c r="J369" s="572"/>
      <c r="K369" s="573"/>
      <c r="L369" s="572"/>
      <c r="M369" s="571"/>
      <c r="N369" s="570"/>
      <c r="V369" s="674"/>
      <c r="W369" s="675" t="s">
        <v>2382</v>
      </c>
      <c r="AB369" s="675"/>
      <c r="AD369" s="675"/>
      <c r="AF369" s="675"/>
      <c r="AG369" s="675"/>
    </row>
    <row r="370" spans="1:33" s="536" customFormat="1" ht="12" x14ac:dyDescent="0.2">
      <c r="A370" s="676"/>
      <c r="B370" s="664"/>
      <c r="C370" s="1822" t="s">
        <v>4049</v>
      </c>
      <c r="D370" s="1822"/>
      <c r="E370" s="1822"/>
      <c r="F370" s="1822"/>
      <c r="G370" s="1822"/>
      <c r="H370" s="1822"/>
      <c r="I370" s="1822"/>
      <c r="J370" s="1822"/>
      <c r="K370" s="1822"/>
      <c r="L370" s="1822"/>
      <c r="M370" s="1822"/>
      <c r="N370" s="1827"/>
      <c r="V370" s="674"/>
      <c r="W370" s="675"/>
      <c r="AB370" s="675"/>
      <c r="AC370" s="537" t="s">
        <v>4049</v>
      </c>
      <c r="AD370" s="675"/>
      <c r="AF370" s="675"/>
      <c r="AG370" s="675"/>
    </row>
    <row r="371" spans="1:33" s="536" customFormat="1" ht="33.75" x14ac:dyDescent="0.2">
      <c r="A371" s="609"/>
      <c r="B371" s="552" t="s">
        <v>310</v>
      </c>
      <c r="C371" s="1822" t="s">
        <v>311</v>
      </c>
      <c r="D371" s="1822"/>
      <c r="E371" s="1822"/>
      <c r="F371" s="1822"/>
      <c r="G371" s="1822"/>
      <c r="H371" s="1822"/>
      <c r="I371" s="1822"/>
      <c r="J371" s="1822"/>
      <c r="K371" s="1822"/>
      <c r="L371" s="1822"/>
      <c r="M371" s="1822"/>
      <c r="N371" s="1827"/>
      <c r="V371" s="674"/>
      <c r="W371" s="675"/>
      <c r="X371" s="537" t="s">
        <v>311</v>
      </c>
      <c r="AB371" s="675"/>
      <c r="AD371" s="675"/>
      <c r="AF371" s="675"/>
      <c r="AG371" s="675"/>
    </row>
    <row r="372" spans="1:33" s="536" customFormat="1" ht="12" x14ac:dyDescent="0.2">
      <c r="A372" s="605"/>
      <c r="B372" s="552" t="s">
        <v>185</v>
      </c>
      <c r="C372" s="1822" t="s">
        <v>312</v>
      </c>
      <c r="D372" s="1822"/>
      <c r="E372" s="1822"/>
      <c r="F372" s="562"/>
      <c r="G372" s="562"/>
      <c r="H372" s="562"/>
      <c r="I372" s="562"/>
      <c r="J372" s="604">
        <v>135.36000000000001</v>
      </c>
      <c r="K372" s="562" t="s">
        <v>313</v>
      </c>
      <c r="L372" s="604">
        <v>76.14</v>
      </c>
      <c r="M372" s="603"/>
      <c r="N372" s="602"/>
      <c r="V372" s="674"/>
      <c r="W372" s="675"/>
      <c r="Y372" s="537" t="s">
        <v>312</v>
      </c>
      <c r="AB372" s="675"/>
      <c r="AD372" s="675"/>
      <c r="AF372" s="675"/>
      <c r="AG372" s="675"/>
    </row>
    <row r="373" spans="1:33" s="536" customFormat="1" ht="12" x14ac:dyDescent="0.2">
      <c r="A373" s="605"/>
      <c r="B373" s="552" t="s">
        <v>186</v>
      </c>
      <c r="C373" s="1822" t="s">
        <v>344</v>
      </c>
      <c r="D373" s="1822"/>
      <c r="E373" s="1822"/>
      <c r="F373" s="562"/>
      <c r="G373" s="562"/>
      <c r="H373" s="562"/>
      <c r="I373" s="562"/>
      <c r="J373" s="604">
        <v>58.09</v>
      </c>
      <c r="K373" s="562" t="s">
        <v>313</v>
      </c>
      <c r="L373" s="604">
        <v>32.68</v>
      </c>
      <c r="M373" s="603"/>
      <c r="N373" s="602"/>
      <c r="V373" s="674"/>
      <c r="W373" s="675"/>
      <c r="Y373" s="537" t="s">
        <v>344</v>
      </c>
      <c r="AB373" s="675"/>
      <c r="AD373" s="675"/>
      <c r="AF373" s="675"/>
      <c r="AG373" s="675"/>
    </row>
    <row r="374" spans="1:33" s="536" customFormat="1" ht="12" x14ac:dyDescent="0.2">
      <c r="A374" s="605"/>
      <c r="B374" s="552" t="s">
        <v>187</v>
      </c>
      <c r="C374" s="1822" t="s">
        <v>345</v>
      </c>
      <c r="D374" s="1822"/>
      <c r="E374" s="1822"/>
      <c r="F374" s="562"/>
      <c r="G374" s="562"/>
      <c r="H374" s="562"/>
      <c r="I374" s="562"/>
      <c r="J374" s="604">
        <v>5.0199999999999996</v>
      </c>
      <c r="K374" s="562" t="s">
        <v>313</v>
      </c>
      <c r="L374" s="604">
        <v>2.82</v>
      </c>
      <c r="M374" s="603"/>
      <c r="N374" s="602"/>
      <c r="V374" s="674"/>
      <c r="W374" s="675"/>
      <c r="Y374" s="537" t="s">
        <v>345</v>
      </c>
      <c r="AB374" s="675"/>
      <c r="AD374" s="675"/>
      <c r="AF374" s="675"/>
      <c r="AG374" s="675"/>
    </row>
    <row r="375" spans="1:33" s="536" customFormat="1" ht="12" x14ac:dyDescent="0.2">
      <c r="A375" s="605"/>
      <c r="B375" s="552" t="s">
        <v>188</v>
      </c>
      <c r="C375" s="1822" t="s">
        <v>475</v>
      </c>
      <c r="D375" s="1822"/>
      <c r="E375" s="1822"/>
      <c r="F375" s="562"/>
      <c r="G375" s="562"/>
      <c r="H375" s="562"/>
      <c r="I375" s="562"/>
      <c r="J375" s="604">
        <v>894.6</v>
      </c>
      <c r="K375" s="562"/>
      <c r="L375" s="604">
        <v>5.5</v>
      </c>
      <c r="M375" s="603"/>
      <c r="N375" s="602"/>
      <c r="V375" s="674"/>
      <c r="W375" s="675"/>
      <c r="Y375" s="537" t="s">
        <v>475</v>
      </c>
      <c r="AB375" s="675"/>
      <c r="AD375" s="675"/>
      <c r="AF375" s="675"/>
      <c r="AG375" s="675"/>
    </row>
    <row r="376" spans="1:33" s="536" customFormat="1" ht="12" x14ac:dyDescent="0.2">
      <c r="A376" s="605"/>
      <c r="B376" s="552"/>
      <c r="C376" s="1822" t="s">
        <v>314</v>
      </c>
      <c r="D376" s="1822"/>
      <c r="E376" s="1822"/>
      <c r="F376" s="562" t="s">
        <v>315</v>
      </c>
      <c r="G376" s="562" t="s">
        <v>1028</v>
      </c>
      <c r="H376" s="562" t="s">
        <v>313</v>
      </c>
      <c r="I376" s="562" t="s">
        <v>1386</v>
      </c>
      <c r="J376" s="604"/>
      <c r="K376" s="562"/>
      <c r="L376" s="604"/>
      <c r="M376" s="603"/>
      <c r="N376" s="602"/>
      <c r="V376" s="674"/>
      <c r="W376" s="675"/>
      <c r="Z376" s="537" t="s">
        <v>314</v>
      </c>
      <c r="AB376" s="675"/>
      <c r="AD376" s="675"/>
      <c r="AF376" s="675"/>
      <c r="AG376" s="675"/>
    </row>
    <row r="377" spans="1:33" s="536" customFormat="1" ht="12" x14ac:dyDescent="0.2">
      <c r="A377" s="605"/>
      <c r="B377" s="552"/>
      <c r="C377" s="1822" t="s">
        <v>348</v>
      </c>
      <c r="D377" s="1822"/>
      <c r="E377" s="1822"/>
      <c r="F377" s="562" t="s">
        <v>315</v>
      </c>
      <c r="G377" s="562" t="s">
        <v>947</v>
      </c>
      <c r="H377" s="562" t="s">
        <v>313</v>
      </c>
      <c r="I377" s="562" t="s">
        <v>3081</v>
      </c>
      <c r="J377" s="604"/>
      <c r="K377" s="562"/>
      <c r="L377" s="604"/>
      <c r="M377" s="603"/>
      <c r="N377" s="602"/>
      <c r="V377" s="674"/>
      <c r="W377" s="675"/>
      <c r="Z377" s="537" t="s">
        <v>348</v>
      </c>
      <c r="AB377" s="675"/>
      <c r="AD377" s="675"/>
      <c r="AF377" s="675"/>
      <c r="AG377" s="675"/>
    </row>
    <row r="378" spans="1:33" s="536" customFormat="1" ht="12" x14ac:dyDescent="0.2">
      <c r="A378" s="605"/>
      <c r="B378" s="552"/>
      <c r="C378" s="1828" t="s">
        <v>318</v>
      </c>
      <c r="D378" s="1828"/>
      <c r="E378" s="1828"/>
      <c r="F378" s="608"/>
      <c r="G378" s="608"/>
      <c r="H378" s="608"/>
      <c r="I378" s="608"/>
      <c r="J378" s="607">
        <v>205.67</v>
      </c>
      <c r="K378" s="608"/>
      <c r="L378" s="607">
        <v>114.32</v>
      </c>
      <c r="M378" s="601"/>
      <c r="N378" s="606"/>
      <c r="V378" s="674"/>
      <c r="W378" s="675"/>
      <c r="AA378" s="537" t="s">
        <v>318</v>
      </c>
      <c r="AB378" s="675"/>
      <c r="AD378" s="675"/>
      <c r="AF378" s="675"/>
      <c r="AG378" s="675"/>
    </row>
    <row r="379" spans="1:33" s="536" customFormat="1" ht="12" x14ac:dyDescent="0.2">
      <c r="A379" s="605"/>
      <c r="B379" s="552"/>
      <c r="C379" s="1822" t="s">
        <v>319</v>
      </c>
      <c r="D379" s="1822"/>
      <c r="E379" s="1822"/>
      <c r="F379" s="562"/>
      <c r="G379" s="562"/>
      <c r="H379" s="562"/>
      <c r="I379" s="562"/>
      <c r="J379" s="604"/>
      <c r="K379" s="562"/>
      <c r="L379" s="604">
        <v>78.959999999999994</v>
      </c>
      <c r="M379" s="603"/>
      <c r="N379" s="602"/>
      <c r="V379" s="674"/>
      <c r="W379" s="675"/>
      <c r="Z379" s="537" t="s">
        <v>319</v>
      </c>
      <c r="AB379" s="675"/>
      <c r="AD379" s="675"/>
      <c r="AF379" s="675"/>
      <c r="AG379" s="675"/>
    </row>
    <row r="380" spans="1:33" s="536" customFormat="1" ht="33.75" x14ac:dyDescent="0.2">
      <c r="A380" s="605"/>
      <c r="B380" s="552" t="s">
        <v>1631</v>
      </c>
      <c r="C380" s="1822" t="s">
        <v>1632</v>
      </c>
      <c r="D380" s="1822"/>
      <c r="E380" s="1822"/>
      <c r="F380" s="562" t="s">
        <v>322</v>
      </c>
      <c r="G380" s="562" t="s">
        <v>1633</v>
      </c>
      <c r="H380" s="562"/>
      <c r="I380" s="562" t="s">
        <v>1633</v>
      </c>
      <c r="J380" s="604"/>
      <c r="K380" s="562"/>
      <c r="L380" s="604">
        <v>76.59</v>
      </c>
      <c r="M380" s="603"/>
      <c r="N380" s="602"/>
      <c r="V380" s="674"/>
      <c r="W380" s="675"/>
      <c r="Z380" s="537" t="s">
        <v>1632</v>
      </c>
      <c r="AB380" s="675"/>
      <c r="AD380" s="675"/>
      <c r="AF380" s="675"/>
      <c r="AG380" s="675"/>
    </row>
    <row r="381" spans="1:33" s="536" customFormat="1" ht="33.75" x14ac:dyDescent="0.2">
      <c r="A381" s="605"/>
      <c r="B381" s="552" t="s">
        <v>1634</v>
      </c>
      <c r="C381" s="1822" t="s">
        <v>1635</v>
      </c>
      <c r="D381" s="1822"/>
      <c r="E381" s="1822"/>
      <c r="F381" s="562" t="s">
        <v>322</v>
      </c>
      <c r="G381" s="562" t="s">
        <v>786</v>
      </c>
      <c r="H381" s="562"/>
      <c r="I381" s="562" t="s">
        <v>786</v>
      </c>
      <c r="J381" s="604"/>
      <c r="K381" s="562"/>
      <c r="L381" s="604">
        <v>40.270000000000003</v>
      </c>
      <c r="M381" s="603"/>
      <c r="N381" s="602"/>
      <c r="V381" s="674"/>
      <c r="W381" s="675"/>
      <c r="Z381" s="537" t="s">
        <v>1635</v>
      </c>
      <c r="AB381" s="675"/>
      <c r="AD381" s="675"/>
      <c r="AF381" s="675"/>
      <c r="AG381" s="675"/>
    </row>
    <row r="382" spans="1:33" s="536" customFormat="1" ht="12" x14ac:dyDescent="0.2">
      <c r="A382" s="569"/>
      <c r="B382" s="671"/>
      <c r="C382" s="1823" t="s">
        <v>327</v>
      </c>
      <c r="D382" s="1823"/>
      <c r="E382" s="1823"/>
      <c r="F382" s="573"/>
      <c r="G382" s="573"/>
      <c r="H382" s="573"/>
      <c r="I382" s="573"/>
      <c r="J382" s="572"/>
      <c r="K382" s="573"/>
      <c r="L382" s="572">
        <v>231.18</v>
      </c>
      <c r="M382" s="601"/>
      <c r="N382" s="570"/>
      <c r="V382" s="674"/>
      <c r="W382" s="675"/>
      <c r="AB382" s="675" t="s">
        <v>327</v>
      </c>
      <c r="AD382" s="675"/>
      <c r="AF382" s="675"/>
      <c r="AG382" s="675"/>
    </row>
    <row r="383" spans="1:33" s="536" customFormat="1" ht="33.75" x14ac:dyDescent="0.2">
      <c r="A383" s="575" t="s">
        <v>787</v>
      </c>
      <c r="B383" s="670" t="s">
        <v>2386</v>
      </c>
      <c r="C383" s="1823" t="s">
        <v>2387</v>
      </c>
      <c r="D383" s="1823"/>
      <c r="E383" s="1823"/>
      <c r="F383" s="573" t="s">
        <v>483</v>
      </c>
      <c r="G383" s="573"/>
      <c r="H383" s="573"/>
      <c r="I383" s="573" t="s">
        <v>931</v>
      </c>
      <c r="J383" s="572">
        <v>112</v>
      </c>
      <c r="K383" s="573" t="s">
        <v>716</v>
      </c>
      <c r="L383" s="572">
        <v>617.91</v>
      </c>
      <c r="M383" s="571">
        <v>8.32</v>
      </c>
      <c r="N383" s="570">
        <v>5141</v>
      </c>
      <c r="V383" s="674"/>
      <c r="W383" s="675" t="s">
        <v>2387</v>
      </c>
      <c r="AB383" s="675"/>
      <c r="AD383" s="675"/>
      <c r="AF383" s="675"/>
      <c r="AG383" s="675"/>
    </row>
    <row r="384" spans="1:33" s="536" customFormat="1" ht="12" x14ac:dyDescent="0.2">
      <c r="A384" s="569"/>
      <c r="B384" s="671"/>
      <c r="C384" s="665" t="s">
        <v>1658</v>
      </c>
      <c r="D384" s="666"/>
      <c r="E384" s="666"/>
      <c r="F384" s="563"/>
      <c r="G384" s="563"/>
      <c r="H384" s="563"/>
      <c r="I384" s="563"/>
      <c r="J384" s="566"/>
      <c r="K384" s="563"/>
      <c r="L384" s="566"/>
      <c r="M384" s="565"/>
      <c r="N384" s="564"/>
      <c r="V384" s="674"/>
      <c r="W384" s="675"/>
      <c r="AB384" s="675"/>
      <c r="AD384" s="675"/>
      <c r="AF384" s="675"/>
      <c r="AG384" s="675"/>
    </row>
    <row r="385" spans="1:33" s="536" customFormat="1" ht="22.5" x14ac:dyDescent="0.2">
      <c r="A385" s="609"/>
      <c r="B385" s="552" t="s">
        <v>2388</v>
      </c>
      <c r="C385" s="1822" t="s">
        <v>719</v>
      </c>
      <c r="D385" s="1822"/>
      <c r="E385" s="1822"/>
      <c r="F385" s="1822"/>
      <c r="G385" s="1822"/>
      <c r="H385" s="1822"/>
      <c r="I385" s="1822"/>
      <c r="J385" s="1822"/>
      <c r="K385" s="1822"/>
      <c r="L385" s="1822"/>
      <c r="M385" s="1822"/>
      <c r="N385" s="1827"/>
      <c r="V385" s="674"/>
      <c r="W385" s="675"/>
      <c r="X385" s="537" t="s">
        <v>719</v>
      </c>
      <c r="AB385" s="675"/>
      <c r="AD385" s="675"/>
      <c r="AF385" s="675"/>
      <c r="AG385" s="675"/>
    </row>
    <row r="386" spans="1:33" s="536" customFormat="1" ht="22.5" x14ac:dyDescent="0.2">
      <c r="A386" s="575" t="s">
        <v>624</v>
      </c>
      <c r="B386" s="670" t="s">
        <v>2399</v>
      </c>
      <c r="C386" s="1823" t="s">
        <v>2400</v>
      </c>
      <c r="D386" s="1823"/>
      <c r="E386" s="1823"/>
      <c r="F386" s="573" t="s">
        <v>889</v>
      </c>
      <c r="G386" s="573"/>
      <c r="H386" s="573"/>
      <c r="I386" s="573" t="s">
        <v>947</v>
      </c>
      <c r="J386" s="572"/>
      <c r="K386" s="573"/>
      <c r="L386" s="572"/>
      <c r="M386" s="571"/>
      <c r="N386" s="570"/>
      <c r="V386" s="674"/>
      <c r="W386" s="675" t="s">
        <v>2400</v>
      </c>
      <c r="AB386" s="675"/>
      <c r="AD386" s="675"/>
      <c r="AF386" s="675"/>
      <c r="AG386" s="675"/>
    </row>
    <row r="387" spans="1:33" s="536" customFormat="1" ht="12" x14ac:dyDescent="0.2">
      <c r="A387" s="676"/>
      <c r="B387" s="664"/>
      <c r="C387" s="1822" t="s">
        <v>2362</v>
      </c>
      <c r="D387" s="1822"/>
      <c r="E387" s="1822"/>
      <c r="F387" s="1822"/>
      <c r="G387" s="1822"/>
      <c r="H387" s="1822"/>
      <c r="I387" s="1822"/>
      <c r="J387" s="1822"/>
      <c r="K387" s="1822"/>
      <c r="L387" s="1822"/>
      <c r="M387" s="1822"/>
      <c r="N387" s="1827"/>
      <c r="V387" s="674"/>
      <c r="W387" s="675"/>
      <c r="AB387" s="675"/>
      <c r="AC387" s="537" t="s">
        <v>2362</v>
      </c>
      <c r="AD387" s="675"/>
      <c r="AF387" s="675"/>
      <c r="AG387" s="675"/>
    </row>
    <row r="388" spans="1:33" s="536" customFormat="1" ht="33.75" x14ac:dyDescent="0.2">
      <c r="A388" s="609"/>
      <c r="B388" s="552" t="s">
        <v>310</v>
      </c>
      <c r="C388" s="1822" t="s">
        <v>311</v>
      </c>
      <c r="D388" s="1822"/>
      <c r="E388" s="1822"/>
      <c r="F388" s="1822"/>
      <c r="G388" s="1822"/>
      <c r="H388" s="1822"/>
      <c r="I388" s="1822"/>
      <c r="J388" s="1822"/>
      <c r="K388" s="1822"/>
      <c r="L388" s="1822"/>
      <c r="M388" s="1822"/>
      <c r="N388" s="1827"/>
      <c r="V388" s="674"/>
      <c r="W388" s="675"/>
      <c r="X388" s="537" t="s">
        <v>311</v>
      </c>
      <c r="AB388" s="675"/>
      <c r="AD388" s="675"/>
      <c r="AF388" s="675"/>
      <c r="AG388" s="675"/>
    </row>
    <row r="389" spans="1:33" s="536" customFormat="1" ht="12" x14ac:dyDescent="0.2">
      <c r="A389" s="605"/>
      <c r="B389" s="552" t="s">
        <v>185</v>
      </c>
      <c r="C389" s="1822" t="s">
        <v>312</v>
      </c>
      <c r="D389" s="1822"/>
      <c r="E389" s="1822"/>
      <c r="F389" s="562"/>
      <c r="G389" s="562"/>
      <c r="H389" s="562"/>
      <c r="I389" s="562"/>
      <c r="J389" s="604">
        <v>96.82</v>
      </c>
      <c r="K389" s="562" t="s">
        <v>313</v>
      </c>
      <c r="L389" s="604">
        <v>48.41</v>
      </c>
      <c r="M389" s="603"/>
      <c r="N389" s="602"/>
      <c r="V389" s="674"/>
      <c r="W389" s="675"/>
      <c r="Y389" s="537" t="s">
        <v>312</v>
      </c>
      <c r="AB389" s="675"/>
      <c r="AD389" s="675"/>
      <c r="AF389" s="675"/>
      <c r="AG389" s="675"/>
    </row>
    <row r="390" spans="1:33" s="536" customFormat="1" ht="12" x14ac:dyDescent="0.2">
      <c r="A390" s="605"/>
      <c r="B390" s="552" t="s">
        <v>186</v>
      </c>
      <c r="C390" s="1822" t="s">
        <v>344</v>
      </c>
      <c r="D390" s="1822"/>
      <c r="E390" s="1822"/>
      <c r="F390" s="562"/>
      <c r="G390" s="562"/>
      <c r="H390" s="562"/>
      <c r="I390" s="562"/>
      <c r="J390" s="604">
        <v>61.13</v>
      </c>
      <c r="K390" s="562" t="s">
        <v>313</v>
      </c>
      <c r="L390" s="604">
        <v>30.57</v>
      </c>
      <c r="M390" s="603"/>
      <c r="N390" s="602"/>
      <c r="V390" s="674"/>
      <c r="W390" s="675"/>
      <c r="Y390" s="537" t="s">
        <v>344</v>
      </c>
      <c r="AB390" s="675"/>
      <c r="AD390" s="675"/>
      <c r="AF390" s="675"/>
      <c r="AG390" s="675"/>
    </row>
    <row r="391" spans="1:33" s="536" customFormat="1" ht="12" x14ac:dyDescent="0.2">
      <c r="A391" s="605"/>
      <c r="B391" s="552" t="s">
        <v>187</v>
      </c>
      <c r="C391" s="1822" t="s">
        <v>345</v>
      </c>
      <c r="D391" s="1822"/>
      <c r="E391" s="1822"/>
      <c r="F391" s="562"/>
      <c r="G391" s="562"/>
      <c r="H391" s="562"/>
      <c r="I391" s="562"/>
      <c r="J391" s="604">
        <v>6.78</v>
      </c>
      <c r="K391" s="562" t="s">
        <v>313</v>
      </c>
      <c r="L391" s="604">
        <v>3.39</v>
      </c>
      <c r="M391" s="603"/>
      <c r="N391" s="602"/>
      <c r="V391" s="674"/>
      <c r="W391" s="675"/>
      <c r="Y391" s="537" t="s">
        <v>345</v>
      </c>
      <c r="AB391" s="675"/>
      <c r="AD391" s="675"/>
      <c r="AF391" s="675"/>
      <c r="AG391" s="675"/>
    </row>
    <row r="392" spans="1:33" s="536" customFormat="1" ht="12" x14ac:dyDescent="0.2">
      <c r="A392" s="605"/>
      <c r="B392" s="552" t="s">
        <v>188</v>
      </c>
      <c r="C392" s="1822" t="s">
        <v>475</v>
      </c>
      <c r="D392" s="1822"/>
      <c r="E392" s="1822"/>
      <c r="F392" s="562"/>
      <c r="G392" s="562"/>
      <c r="H392" s="562"/>
      <c r="I392" s="562"/>
      <c r="J392" s="604">
        <v>581.9</v>
      </c>
      <c r="K392" s="562"/>
      <c r="L392" s="604">
        <v>3.82</v>
      </c>
      <c r="M392" s="603"/>
      <c r="N392" s="602"/>
      <c r="V392" s="674"/>
      <c r="W392" s="675"/>
      <c r="Y392" s="537" t="s">
        <v>475</v>
      </c>
      <c r="AB392" s="675"/>
      <c r="AD392" s="675"/>
      <c r="AF392" s="675"/>
      <c r="AG392" s="675"/>
    </row>
    <row r="393" spans="1:33" s="536" customFormat="1" ht="12" x14ac:dyDescent="0.2">
      <c r="A393" s="605"/>
      <c r="B393" s="552"/>
      <c r="C393" s="1822" t="s">
        <v>314</v>
      </c>
      <c r="D393" s="1822"/>
      <c r="E393" s="1822"/>
      <c r="F393" s="562" t="s">
        <v>315</v>
      </c>
      <c r="G393" s="562" t="s">
        <v>618</v>
      </c>
      <c r="H393" s="562" t="s">
        <v>313</v>
      </c>
      <c r="I393" s="562" t="s">
        <v>2191</v>
      </c>
      <c r="J393" s="604"/>
      <c r="K393" s="562"/>
      <c r="L393" s="604"/>
      <c r="M393" s="603"/>
      <c r="N393" s="602"/>
      <c r="V393" s="674"/>
      <c r="W393" s="675"/>
      <c r="Z393" s="537" t="s">
        <v>314</v>
      </c>
      <c r="AB393" s="675"/>
      <c r="AD393" s="675"/>
      <c r="AF393" s="675"/>
      <c r="AG393" s="675"/>
    </row>
    <row r="394" spans="1:33" s="536" customFormat="1" ht="12" x14ac:dyDescent="0.2">
      <c r="A394" s="605"/>
      <c r="B394" s="552"/>
      <c r="C394" s="1822" t="s">
        <v>348</v>
      </c>
      <c r="D394" s="1822"/>
      <c r="E394" s="1822"/>
      <c r="F394" s="562" t="s">
        <v>315</v>
      </c>
      <c r="G394" s="562" t="s">
        <v>866</v>
      </c>
      <c r="H394" s="562" t="s">
        <v>313</v>
      </c>
      <c r="I394" s="562" t="s">
        <v>1846</v>
      </c>
      <c r="J394" s="604"/>
      <c r="K394" s="562"/>
      <c r="L394" s="604"/>
      <c r="M394" s="603"/>
      <c r="N394" s="602"/>
      <c r="V394" s="674"/>
      <c r="W394" s="675"/>
      <c r="Z394" s="537" t="s">
        <v>348</v>
      </c>
      <c r="AB394" s="675"/>
      <c r="AD394" s="675"/>
      <c r="AF394" s="675"/>
      <c r="AG394" s="675"/>
    </row>
    <row r="395" spans="1:33" s="536" customFormat="1" ht="12" x14ac:dyDescent="0.2">
      <c r="A395" s="605"/>
      <c r="B395" s="552"/>
      <c r="C395" s="1828" t="s">
        <v>318</v>
      </c>
      <c r="D395" s="1828"/>
      <c r="E395" s="1828"/>
      <c r="F395" s="608"/>
      <c r="G395" s="608"/>
      <c r="H395" s="608"/>
      <c r="I395" s="608"/>
      <c r="J395" s="607">
        <v>167.5</v>
      </c>
      <c r="K395" s="608"/>
      <c r="L395" s="607">
        <v>82.8</v>
      </c>
      <c r="M395" s="601"/>
      <c r="N395" s="606"/>
      <c r="V395" s="674"/>
      <c r="W395" s="675"/>
      <c r="AA395" s="537" t="s">
        <v>318</v>
      </c>
      <c r="AB395" s="675"/>
      <c r="AD395" s="675"/>
      <c r="AF395" s="675"/>
      <c r="AG395" s="675"/>
    </row>
    <row r="396" spans="1:33" s="536" customFormat="1" ht="12" x14ac:dyDescent="0.2">
      <c r="A396" s="605"/>
      <c r="B396" s="552"/>
      <c r="C396" s="1822" t="s">
        <v>319</v>
      </c>
      <c r="D396" s="1822"/>
      <c r="E396" s="1822"/>
      <c r="F396" s="562"/>
      <c r="G396" s="562"/>
      <c r="H396" s="562"/>
      <c r="I396" s="562"/>
      <c r="J396" s="604"/>
      <c r="K396" s="562"/>
      <c r="L396" s="604">
        <v>51.8</v>
      </c>
      <c r="M396" s="603"/>
      <c r="N396" s="602"/>
      <c r="V396" s="674"/>
      <c r="W396" s="675"/>
      <c r="Z396" s="537" t="s">
        <v>319</v>
      </c>
      <c r="AB396" s="675"/>
      <c r="AD396" s="675"/>
      <c r="AF396" s="675"/>
      <c r="AG396" s="675"/>
    </row>
    <row r="397" spans="1:33" s="536" customFormat="1" ht="33.75" x14ac:dyDescent="0.2">
      <c r="A397" s="605"/>
      <c r="B397" s="552" t="s">
        <v>1631</v>
      </c>
      <c r="C397" s="1822" t="s">
        <v>1632</v>
      </c>
      <c r="D397" s="1822"/>
      <c r="E397" s="1822"/>
      <c r="F397" s="562" t="s">
        <v>322</v>
      </c>
      <c r="G397" s="562" t="s">
        <v>1633</v>
      </c>
      <c r="H397" s="562"/>
      <c r="I397" s="562" t="s">
        <v>1633</v>
      </c>
      <c r="J397" s="604"/>
      <c r="K397" s="562"/>
      <c r="L397" s="604">
        <v>50.25</v>
      </c>
      <c r="M397" s="603"/>
      <c r="N397" s="602"/>
      <c r="V397" s="674"/>
      <c r="W397" s="675"/>
      <c r="Z397" s="537" t="s">
        <v>1632</v>
      </c>
      <c r="AB397" s="675"/>
      <c r="AD397" s="675"/>
      <c r="AF397" s="675"/>
      <c r="AG397" s="675"/>
    </row>
    <row r="398" spans="1:33" s="536" customFormat="1" ht="33.75" x14ac:dyDescent="0.2">
      <c r="A398" s="605"/>
      <c r="B398" s="552" t="s">
        <v>1634</v>
      </c>
      <c r="C398" s="1822" t="s">
        <v>1635</v>
      </c>
      <c r="D398" s="1822"/>
      <c r="E398" s="1822"/>
      <c r="F398" s="562" t="s">
        <v>322</v>
      </c>
      <c r="G398" s="562" t="s">
        <v>786</v>
      </c>
      <c r="H398" s="562"/>
      <c r="I398" s="562" t="s">
        <v>786</v>
      </c>
      <c r="J398" s="604"/>
      <c r="K398" s="562"/>
      <c r="L398" s="604">
        <v>26.42</v>
      </c>
      <c r="M398" s="603"/>
      <c r="N398" s="602"/>
      <c r="V398" s="674"/>
      <c r="W398" s="675"/>
      <c r="Z398" s="537" t="s">
        <v>1635</v>
      </c>
      <c r="AB398" s="675"/>
      <c r="AD398" s="675"/>
      <c r="AF398" s="675"/>
      <c r="AG398" s="675"/>
    </row>
    <row r="399" spans="1:33" s="536" customFormat="1" ht="12" x14ac:dyDescent="0.2">
      <c r="A399" s="569"/>
      <c r="B399" s="671"/>
      <c r="C399" s="1823" t="s">
        <v>327</v>
      </c>
      <c r="D399" s="1823"/>
      <c r="E399" s="1823"/>
      <c r="F399" s="573"/>
      <c r="G399" s="573"/>
      <c r="H399" s="573"/>
      <c r="I399" s="573"/>
      <c r="J399" s="572"/>
      <c r="K399" s="573"/>
      <c r="L399" s="572">
        <v>159.47</v>
      </c>
      <c r="M399" s="601"/>
      <c r="N399" s="570"/>
      <c r="V399" s="674"/>
      <c r="W399" s="675"/>
      <c r="AB399" s="675" t="s">
        <v>327</v>
      </c>
      <c r="AD399" s="675"/>
      <c r="AF399" s="675"/>
      <c r="AG399" s="675"/>
    </row>
    <row r="400" spans="1:33" s="536" customFormat="1" ht="33.75" x14ac:dyDescent="0.2">
      <c r="A400" s="575" t="s">
        <v>1784</v>
      </c>
      <c r="B400" s="670" t="s">
        <v>2401</v>
      </c>
      <c r="C400" s="1823" t="s">
        <v>2402</v>
      </c>
      <c r="D400" s="1823"/>
      <c r="E400" s="1823"/>
      <c r="F400" s="573" t="s">
        <v>617</v>
      </c>
      <c r="G400" s="573"/>
      <c r="H400" s="573"/>
      <c r="I400" s="573" t="s">
        <v>188</v>
      </c>
      <c r="J400" s="572">
        <v>744.63</v>
      </c>
      <c r="K400" s="573" t="s">
        <v>716</v>
      </c>
      <c r="L400" s="572">
        <v>365.14</v>
      </c>
      <c r="M400" s="571">
        <v>8.32</v>
      </c>
      <c r="N400" s="570">
        <v>3038</v>
      </c>
      <c r="V400" s="674"/>
      <c r="W400" s="675" t="s">
        <v>2402</v>
      </c>
      <c r="AB400" s="675"/>
      <c r="AD400" s="675"/>
      <c r="AF400" s="675"/>
      <c r="AG400" s="675"/>
    </row>
    <row r="401" spans="1:33" s="536" customFormat="1" ht="12" x14ac:dyDescent="0.2">
      <c r="A401" s="569"/>
      <c r="B401" s="671"/>
      <c r="C401" s="665" t="s">
        <v>1658</v>
      </c>
      <c r="D401" s="666"/>
      <c r="E401" s="666"/>
      <c r="F401" s="563"/>
      <c r="G401" s="563"/>
      <c r="H401" s="563"/>
      <c r="I401" s="563"/>
      <c r="J401" s="566"/>
      <c r="K401" s="563"/>
      <c r="L401" s="566"/>
      <c r="M401" s="565"/>
      <c r="N401" s="564"/>
      <c r="V401" s="674"/>
      <c r="W401" s="675"/>
      <c r="AB401" s="675"/>
      <c r="AD401" s="675"/>
      <c r="AF401" s="675"/>
      <c r="AG401" s="675"/>
    </row>
    <row r="402" spans="1:33" s="536" customFormat="1" ht="22.5" x14ac:dyDescent="0.2">
      <c r="A402" s="609"/>
      <c r="B402" s="552" t="s">
        <v>2388</v>
      </c>
      <c r="C402" s="1822" t="s">
        <v>719</v>
      </c>
      <c r="D402" s="1822"/>
      <c r="E402" s="1822"/>
      <c r="F402" s="1822"/>
      <c r="G402" s="1822"/>
      <c r="H402" s="1822"/>
      <c r="I402" s="1822"/>
      <c r="J402" s="1822"/>
      <c r="K402" s="1822"/>
      <c r="L402" s="1822"/>
      <c r="M402" s="1822"/>
      <c r="N402" s="1827"/>
      <c r="V402" s="674"/>
      <c r="W402" s="675"/>
      <c r="X402" s="537" t="s">
        <v>719</v>
      </c>
      <c r="AB402" s="675"/>
      <c r="AD402" s="675"/>
      <c r="AF402" s="675"/>
      <c r="AG402" s="675"/>
    </row>
    <row r="403" spans="1:33" s="536" customFormat="1" ht="33.75" x14ac:dyDescent="0.2">
      <c r="A403" s="575" t="s">
        <v>789</v>
      </c>
      <c r="B403" s="670" t="s">
        <v>2404</v>
      </c>
      <c r="C403" s="1823" t="s">
        <v>2405</v>
      </c>
      <c r="D403" s="1823"/>
      <c r="E403" s="1823"/>
      <c r="F403" s="573" t="s">
        <v>1110</v>
      </c>
      <c r="G403" s="573"/>
      <c r="H403" s="573"/>
      <c r="I403" s="573" t="s">
        <v>1755</v>
      </c>
      <c r="J403" s="572"/>
      <c r="K403" s="573"/>
      <c r="L403" s="572"/>
      <c r="M403" s="571"/>
      <c r="N403" s="570"/>
      <c r="V403" s="674"/>
      <c r="W403" s="675" t="s">
        <v>2405</v>
      </c>
      <c r="AB403" s="675"/>
      <c r="AD403" s="675"/>
      <c r="AF403" s="675"/>
      <c r="AG403" s="675"/>
    </row>
    <row r="404" spans="1:33" s="536" customFormat="1" ht="12" x14ac:dyDescent="0.2">
      <c r="A404" s="676"/>
      <c r="B404" s="664"/>
      <c r="C404" s="1822" t="s">
        <v>3580</v>
      </c>
      <c r="D404" s="1822"/>
      <c r="E404" s="1822"/>
      <c r="F404" s="1822"/>
      <c r="G404" s="1822"/>
      <c r="H404" s="1822"/>
      <c r="I404" s="1822"/>
      <c r="J404" s="1822"/>
      <c r="K404" s="1822"/>
      <c r="L404" s="1822"/>
      <c r="M404" s="1822"/>
      <c r="N404" s="1827"/>
      <c r="V404" s="674"/>
      <c r="W404" s="675"/>
      <c r="AB404" s="675"/>
      <c r="AC404" s="537" t="s">
        <v>3580</v>
      </c>
      <c r="AD404" s="675"/>
      <c r="AF404" s="675"/>
      <c r="AG404" s="675"/>
    </row>
    <row r="405" spans="1:33" s="536" customFormat="1" ht="33.75" x14ac:dyDescent="0.2">
      <c r="A405" s="609"/>
      <c r="B405" s="552" t="s">
        <v>310</v>
      </c>
      <c r="C405" s="1822" t="s">
        <v>311</v>
      </c>
      <c r="D405" s="1822"/>
      <c r="E405" s="1822"/>
      <c r="F405" s="1822"/>
      <c r="G405" s="1822"/>
      <c r="H405" s="1822"/>
      <c r="I405" s="1822"/>
      <c r="J405" s="1822"/>
      <c r="K405" s="1822"/>
      <c r="L405" s="1822"/>
      <c r="M405" s="1822"/>
      <c r="N405" s="1827"/>
      <c r="V405" s="674"/>
      <c r="W405" s="675"/>
      <c r="X405" s="537" t="s">
        <v>311</v>
      </c>
      <c r="AB405" s="675"/>
      <c r="AD405" s="675"/>
      <c r="AF405" s="675"/>
      <c r="AG405" s="675"/>
    </row>
    <row r="406" spans="1:33" s="536" customFormat="1" ht="12" x14ac:dyDescent="0.2">
      <c r="A406" s="605"/>
      <c r="B406" s="552" t="s">
        <v>185</v>
      </c>
      <c r="C406" s="1822" t="s">
        <v>312</v>
      </c>
      <c r="D406" s="1822"/>
      <c r="E406" s="1822"/>
      <c r="F406" s="562"/>
      <c r="G406" s="562"/>
      <c r="H406" s="562"/>
      <c r="I406" s="562"/>
      <c r="J406" s="604">
        <v>164.5</v>
      </c>
      <c r="K406" s="562" t="s">
        <v>313</v>
      </c>
      <c r="L406" s="604">
        <v>113.09</v>
      </c>
      <c r="M406" s="603"/>
      <c r="N406" s="602"/>
      <c r="V406" s="674"/>
      <c r="W406" s="675"/>
      <c r="Y406" s="537" t="s">
        <v>312</v>
      </c>
      <c r="AB406" s="675"/>
      <c r="AD406" s="675"/>
      <c r="AF406" s="675"/>
      <c r="AG406" s="675"/>
    </row>
    <row r="407" spans="1:33" s="536" customFormat="1" ht="12" x14ac:dyDescent="0.2">
      <c r="A407" s="605"/>
      <c r="B407" s="552" t="s">
        <v>186</v>
      </c>
      <c r="C407" s="1822" t="s">
        <v>344</v>
      </c>
      <c r="D407" s="1822"/>
      <c r="E407" s="1822"/>
      <c r="F407" s="562"/>
      <c r="G407" s="562"/>
      <c r="H407" s="562"/>
      <c r="I407" s="562"/>
      <c r="J407" s="604">
        <v>41.6</v>
      </c>
      <c r="K407" s="562" t="s">
        <v>313</v>
      </c>
      <c r="L407" s="604">
        <v>28.6</v>
      </c>
      <c r="M407" s="603"/>
      <c r="N407" s="602"/>
      <c r="V407" s="674"/>
      <c r="W407" s="675"/>
      <c r="Y407" s="537" t="s">
        <v>344</v>
      </c>
      <c r="AB407" s="675"/>
      <c r="AD407" s="675"/>
      <c r="AF407" s="675"/>
      <c r="AG407" s="675"/>
    </row>
    <row r="408" spans="1:33" s="536" customFormat="1" ht="12" x14ac:dyDescent="0.2">
      <c r="A408" s="605"/>
      <c r="B408" s="552" t="s">
        <v>187</v>
      </c>
      <c r="C408" s="1822" t="s">
        <v>345</v>
      </c>
      <c r="D408" s="1822"/>
      <c r="E408" s="1822"/>
      <c r="F408" s="562"/>
      <c r="G408" s="562"/>
      <c r="H408" s="562"/>
      <c r="I408" s="562"/>
      <c r="J408" s="604">
        <v>2.5099999999999998</v>
      </c>
      <c r="K408" s="562" t="s">
        <v>313</v>
      </c>
      <c r="L408" s="604">
        <v>1.73</v>
      </c>
      <c r="M408" s="603"/>
      <c r="N408" s="602"/>
      <c r="V408" s="674"/>
      <c r="W408" s="675"/>
      <c r="Y408" s="537" t="s">
        <v>345</v>
      </c>
      <c r="AB408" s="675"/>
      <c r="AD408" s="675"/>
      <c r="AF408" s="675"/>
      <c r="AG408" s="675"/>
    </row>
    <row r="409" spans="1:33" s="536" customFormat="1" ht="12" x14ac:dyDescent="0.2">
      <c r="A409" s="605"/>
      <c r="B409" s="552" t="s">
        <v>188</v>
      </c>
      <c r="C409" s="1822" t="s">
        <v>475</v>
      </c>
      <c r="D409" s="1822"/>
      <c r="E409" s="1822"/>
      <c r="F409" s="562"/>
      <c r="G409" s="562"/>
      <c r="H409" s="562"/>
      <c r="I409" s="562"/>
      <c r="J409" s="604">
        <v>512.80999999999995</v>
      </c>
      <c r="K409" s="562"/>
      <c r="L409" s="604">
        <v>7.04</v>
      </c>
      <c r="M409" s="603"/>
      <c r="N409" s="602"/>
      <c r="V409" s="674"/>
      <c r="W409" s="675"/>
      <c r="Y409" s="537" t="s">
        <v>475</v>
      </c>
      <c r="AB409" s="675"/>
      <c r="AD409" s="675"/>
      <c r="AF409" s="675"/>
      <c r="AG409" s="675"/>
    </row>
    <row r="410" spans="1:33" s="536" customFormat="1" ht="12" x14ac:dyDescent="0.2">
      <c r="A410" s="605"/>
      <c r="B410" s="552"/>
      <c r="C410" s="1822" t="s">
        <v>314</v>
      </c>
      <c r="D410" s="1822"/>
      <c r="E410" s="1822"/>
      <c r="F410" s="562" t="s">
        <v>315</v>
      </c>
      <c r="G410" s="562" t="s">
        <v>2406</v>
      </c>
      <c r="H410" s="562" t="s">
        <v>313</v>
      </c>
      <c r="I410" s="562" t="s">
        <v>4050</v>
      </c>
      <c r="J410" s="604"/>
      <c r="K410" s="562"/>
      <c r="L410" s="604"/>
      <c r="M410" s="603"/>
      <c r="N410" s="602"/>
      <c r="V410" s="674"/>
      <c r="W410" s="675"/>
      <c r="Z410" s="537" t="s">
        <v>314</v>
      </c>
      <c r="AB410" s="675"/>
      <c r="AD410" s="675"/>
      <c r="AF410" s="675"/>
      <c r="AG410" s="675"/>
    </row>
    <row r="411" spans="1:33" s="536" customFormat="1" ht="12" x14ac:dyDescent="0.2">
      <c r="A411" s="605"/>
      <c r="B411" s="552"/>
      <c r="C411" s="1822" t="s">
        <v>348</v>
      </c>
      <c r="D411" s="1822"/>
      <c r="E411" s="1822"/>
      <c r="F411" s="562" t="s">
        <v>315</v>
      </c>
      <c r="G411" s="562" t="s">
        <v>890</v>
      </c>
      <c r="H411" s="562" t="s">
        <v>313</v>
      </c>
      <c r="I411" s="562" t="s">
        <v>4051</v>
      </c>
      <c r="J411" s="604"/>
      <c r="K411" s="562"/>
      <c r="L411" s="604"/>
      <c r="M411" s="603"/>
      <c r="N411" s="602"/>
      <c r="V411" s="674"/>
      <c r="W411" s="675"/>
      <c r="Z411" s="537" t="s">
        <v>348</v>
      </c>
      <c r="AB411" s="675"/>
      <c r="AD411" s="675"/>
      <c r="AF411" s="675"/>
      <c r="AG411" s="675"/>
    </row>
    <row r="412" spans="1:33" s="536" customFormat="1" ht="12" x14ac:dyDescent="0.2">
      <c r="A412" s="605"/>
      <c r="B412" s="552"/>
      <c r="C412" s="1828" t="s">
        <v>318</v>
      </c>
      <c r="D412" s="1828"/>
      <c r="E412" s="1828"/>
      <c r="F412" s="608"/>
      <c r="G412" s="608"/>
      <c r="H412" s="608"/>
      <c r="I412" s="608"/>
      <c r="J412" s="607">
        <v>218.9</v>
      </c>
      <c r="K412" s="608"/>
      <c r="L412" s="607">
        <v>148.72999999999999</v>
      </c>
      <c r="M412" s="601"/>
      <c r="N412" s="606"/>
      <c r="V412" s="674"/>
      <c r="W412" s="675"/>
      <c r="AA412" s="537" t="s">
        <v>318</v>
      </c>
      <c r="AB412" s="675"/>
      <c r="AD412" s="675"/>
      <c r="AF412" s="675"/>
      <c r="AG412" s="675"/>
    </row>
    <row r="413" spans="1:33" s="536" customFormat="1" ht="12" x14ac:dyDescent="0.2">
      <c r="A413" s="605"/>
      <c r="B413" s="552"/>
      <c r="C413" s="1822" t="s">
        <v>319</v>
      </c>
      <c r="D413" s="1822"/>
      <c r="E413" s="1822"/>
      <c r="F413" s="562"/>
      <c r="G413" s="562"/>
      <c r="H413" s="562"/>
      <c r="I413" s="562"/>
      <c r="J413" s="604"/>
      <c r="K413" s="562"/>
      <c r="L413" s="604">
        <v>114.82</v>
      </c>
      <c r="M413" s="603"/>
      <c r="N413" s="602"/>
      <c r="V413" s="674"/>
      <c r="W413" s="675"/>
      <c r="Z413" s="537" t="s">
        <v>319</v>
      </c>
      <c r="AB413" s="675"/>
      <c r="AD413" s="675"/>
      <c r="AF413" s="675"/>
      <c r="AG413" s="675"/>
    </row>
    <row r="414" spans="1:33" s="536" customFormat="1" ht="33.75" x14ac:dyDescent="0.2">
      <c r="A414" s="605"/>
      <c r="B414" s="552" t="s">
        <v>1631</v>
      </c>
      <c r="C414" s="1822" t="s">
        <v>1632</v>
      </c>
      <c r="D414" s="1822"/>
      <c r="E414" s="1822"/>
      <c r="F414" s="562" t="s">
        <v>322</v>
      </c>
      <c r="G414" s="562" t="s">
        <v>1633</v>
      </c>
      <c r="H414" s="562"/>
      <c r="I414" s="562" t="s">
        <v>1633</v>
      </c>
      <c r="J414" s="604"/>
      <c r="K414" s="562"/>
      <c r="L414" s="604">
        <v>111.38</v>
      </c>
      <c r="M414" s="603"/>
      <c r="N414" s="602"/>
      <c r="V414" s="674"/>
      <c r="W414" s="675"/>
      <c r="Z414" s="537" t="s">
        <v>1632</v>
      </c>
      <c r="AB414" s="675"/>
      <c r="AD414" s="675"/>
      <c r="AF414" s="675"/>
      <c r="AG414" s="675"/>
    </row>
    <row r="415" spans="1:33" s="536" customFormat="1" ht="33.75" x14ac:dyDescent="0.2">
      <c r="A415" s="605"/>
      <c r="B415" s="552" t="s">
        <v>1634</v>
      </c>
      <c r="C415" s="1822" t="s">
        <v>1635</v>
      </c>
      <c r="D415" s="1822"/>
      <c r="E415" s="1822"/>
      <c r="F415" s="562" t="s">
        <v>322</v>
      </c>
      <c r="G415" s="562" t="s">
        <v>786</v>
      </c>
      <c r="H415" s="562"/>
      <c r="I415" s="562" t="s">
        <v>786</v>
      </c>
      <c r="J415" s="604"/>
      <c r="K415" s="562"/>
      <c r="L415" s="604">
        <v>58.56</v>
      </c>
      <c r="M415" s="603"/>
      <c r="N415" s="602"/>
      <c r="V415" s="674"/>
      <c r="W415" s="675"/>
      <c r="Z415" s="537" t="s">
        <v>1635</v>
      </c>
      <c r="AB415" s="675"/>
      <c r="AD415" s="675"/>
      <c r="AF415" s="675"/>
      <c r="AG415" s="675"/>
    </row>
    <row r="416" spans="1:33" s="536" customFormat="1" ht="12" x14ac:dyDescent="0.2">
      <c r="A416" s="569"/>
      <c r="B416" s="671"/>
      <c r="C416" s="1823" t="s">
        <v>327</v>
      </c>
      <c r="D416" s="1823"/>
      <c r="E416" s="1823"/>
      <c r="F416" s="573"/>
      <c r="G416" s="573"/>
      <c r="H416" s="573"/>
      <c r="I416" s="573"/>
      <c r="J416" s="572"/>
      <c r="K416" s="573"/>
      <c r="L416" s="572">
        <v>318.67</v>
      </c>
      <c r="M416" s="601"/>
      <c r="N416" s="570"/>
      <c r="V416" s="674"/>
      <c r="W416" s="675"/>
      <c r="AB416" s="675" t="s">
        <v>327</v>
      </c>
      <c r="AD416" s="675"/>
      <c r="AF416" s="675"/>
      <c r="AG416" s="675"/>
    </row>
    <row r="417" spans="1:33" s="536" customFormat="1" ht="33.75" x14ac:dyDescent="0.2">
      <c r="A417" s="575" t="s">
        <v>2339</v>
      </c>
      <c r="B417" s="670" t="s">
        <v>2409</v>
      </c>
      <c r="C417" s="1823" t="s">
        <v>2410</v>
      </c>
      <c r="D417" s="1823"/>
      <c r="E417" s="1823"/>
      <c r="F417" s="573" t="s">
        <v>483</v>
      </c>
      <c r="G417" s="573"/>
      <c r="H417" s="573"/>
      <c r="I417" s="573" t="s">
        <v>789</v>
      </c>
      <c r="J417" s="572">
        <v>60.38</v>
      </c>
      <c r="K417" s="573" t="s">
        <v>716</v>
      </c>
      <c r="L417" s="572">
        <v>407.09</v>
      </c>
      <c r="M417" s="571">
        <v>8.32</v>
      </c>
      <c r="N417" s="570">
        <v>3387</v>
      </c>
      <c r="V417" s="674"/>
      <c r="W417" s="675" t="s">
        <v>2410</v>
      </c>
      <c r="AB417" s="675"/>
      <c r="AD417" s="675"/>
      <c r="AF417" s="675"/>
      <c r="AG417" s="675"/>
    </row>
    <row r="418" spans="1:33" s="536" customFormat="1" ht="12" x14ac:dyDescent="0.2">
      <c r="A418" s="569"/>
      <c r="B418" s="671"/>
      <c r="C418" s="665" t="s">
        <v>1658</v>
      </c>
      <c r="D418" s="666"/>
      <c r="E418" s="666"/>
      <c r="F418" s="563"/>
      <c r="G418" s="563"/>
      <c r="H418" s="563"/>
      <c r="I418" s="563"/>
      <c r="J418" s="566"/>
      <c r="K418" s="563"/>
      <c r="L418" s="566"/>
      <c r="M418" s="565"/>
      <c r="N418" s="564"/>
      <c r="V418" s="674"/>
      <c r="W418" s="675"/>
      <c r="AB418" s="675"/>
      <c r="AD418" s="675"/>
      <c r="AF418" s="675"/>
      <c r="AG418" s="675"/>
    </row>
    <row r="419" spans="1:33" s="536" customFormat="1" ht="22.5" x14ac:dyDescent="0.2">
      <c r="A419" s="609"/>
      <c r="B419" s="552" t="s">
        <v>2388</v>
      </c>
      <c r="C419" s="1822" t="s">
        <v>719</v>
      </c>
      <c r="D419" s="1822"/>
      <c r="E419" s="1822"/>
      <c r="F419" s="1822"/>
      <c r="G419" s="1822"/>
      <c r="H419" s="1822"/>
      <c r="I419" s="1822"/>
      <c r="J419" s="1822"/>
      <c r="K419" s="1822"/>
      <c r="L419" s="1822"/>
      <c r="M419" s="1822"/>
      <c r="N419" s="1827"/>
      <c r="V419" s="674"/>
      <c r="W419" s="675"/>
      <c r="X419" s="537" t="s">
        <v>719</v>
      </c>
      <c r="AB419" s="675"/>
      <c r="AD419" s="675"/>
      <c r="AF419" s="675"/>
      <c r="AG419" s="675"/>
    </row>
    <row r="420" spans="1:33" s="536" customFormat="1" ht="33.75" x14ac:dyDescent="0.2">
      <c r="A420" s="575" t="s">
        <v>791</v>
      </c>
      <c r="B420" s="670" t="s">
        <v>2412</v>
      </c>
      <c r="C420" s="1823" t="s">
        <v>2413</v>
      </c>
      <c r="D420" s="1823"/>
      <c r="E420" s="1823"/>
      <c r="F420" s="573" t="s">
        <v>617</v>
      </c>
      <c r="G420" s="573"/>
      <c r="H420" s="573"/>
      <c r="I420" s="573" t="s">
        <v>192</v>
      </c>
      <c r="J420" s="572">
        <v>110.69</v>
      </c>
      <c r="K420" s="573" t="s">
        <v>716</v>
      </c>
      <c r="L420" s="572">
        <v>108.53</v>
      </c>
      <c r="M420" s="571">
        <v>8.32</v>
      </c>
      <c r="N420" s="570">
        <v>903</v>
      </c>
      <c r="V420" s="674"/>
      <c r="W420" s="675" t="s">
        <v>2413</v>
      </c>
      <c r="AB420" s="675"/>
      <c r="AD420" s="675"/>
      <c r="AF420" s="675"/>
      <c r="AG420" s="675"/>
    </row>
    <row r="421" spans="1:33" s="536" customFormat="1" ht="12" x14ac:dyDescent="0.2">
      <c r="A421" s="569"/>
      <c r="B421" s="671"/>
      <c r="C421" s="665" t="s">
        <v>1658</v>
      </c>
      <c r="D421" s="666"/>
      <c r="E421" s="666"/>
      <c r="F421" s="563"/>
      <c r="G421" s="563"/>
      <c r="H421" s="563"/>
      <c r="I421" s="563"/>
      <c r="J421" s="566"/>
      <c r="K421" s="563"/>
      <c r="L421" s="566"/>
      <c r="M421" s="565"/>
      <c r="N421" s="564"/>
      <c r="V421" s="674"/>
      <c r="W421" s="675"/>
      <c r="AB421" s="675"/>
      <c r="AD421" s="675"/>
      <c r="AF421" s="675"/>
      <c r="AG421" s="675"/>
    </row>
    <row r="422" spans="1:33" s="536" customFormat="1" ht="22.5" x14ac:dyDescent="0.2">
      <c r="A422" s="609"/>
      <c r="B422" s="552" t="s">
        <v>2388</v>
      </c>
      <c r="C422" s="1822" t="s">
        <v>719</v>
      </c>
      <c r="D422" s="1822"/>
      <c r="E422" s="1822"/>
      <c r="F422" s="1822"/>
      <c r="G422" s="1822"/>
      <c r="H422" s="1822"/>
      <c r="I422" s="1822"/>
      <c r="J422" s="1822"/>
      <c r="K422" s="1822"/>
      <c r="L422" s="1822"/>
      <c r="M422" s="1822"/>
      <c r="N422" s="1827"/>
      <c r="V422" s="674"/>
      <c r="W422" s="675"/>
      <c r="X422" s="537" t="s">
        <v>719</v>
      </c>
      <c r="AB422" s="675"/>
      <c r="AD422" s="675"/>
      <c r="AF422" s="675"/>
      <c r="AG422" s="675"/>
    </row>
    <row r="423" spans="1:33" s="536" customFormat="1" ht="33.75" x14ac:dyDescent="0.2">
      <c r="A423" s="575" t="s">
        <v>690</v>
      </c>
      <c r="B423" s="670" t="s">
        <v>2414</v>
      </c>
      <c r="C423" s="1823" t="s">
        <v>2415</v>
      </c>
      <c r="D423" s="1823"/>
      <c r="E423" s="1823"/>
      <c r="F423" s="573" t="s">
        <v>617</v>
      </c>
      <c r="G423" s="573"/>
      <c r="H423" s="573"/>
      <c r="I423" s="573" t="s">
        <v>1679</v>
      </c>
      <c r="J423" s="572">
        <v>118.72</v>
      </c>
      <c r="K423" s="573" t="s">
        <v>716</v>
      </c>
      <c r="L423" s="572">
        <v>727.76</v>
      </c>
      <c r="M423" s="571">
        <v>8.32</v>
      </c>
      <c r="N423" s="570">
        <v>6055</v>
      </c>
      <c r="V423" s="674"/>
      <c r="W423" s="675" t="s">
        <v>2415</v>
      </c>
      <c r="AB423" s="675"/>
      <c r="AD423" s="675"/>
      <c r="AF423" s="675"/>
      <c r="AG423" s="675"/>
    </row>
    <row r="424" spans="1:33" s="536" customFormat="1" ht="12" x14ac:dyDescent="0.2">
      <c r="A424" s="569"/>
      <c r="B424" s="671"/>
      <c r="C424" s="665" t="s">
        <v>1658</v>
      </c>
      <c r="D424" s="666"/>
      <c r="E424" s="666"/>
      <c r="F424" s="563"/>
      <c r="G424" s="563"/>
      <c r="H424" s="563"/>
      <c r="I424" s="563"/>
      <c r="J424" s="566"/>
      <c r="K424" s="563"/>
      <c r="L424" s="566"/>
      <c r="M424" s="565"/>
      <c r="N424" s="564"/>
      <c r="V424" s="674"/>
      <c r="W424" s="675"/>
      <c r="AB424" s="675"/>
      <c r="AD424" s="675"/>
      <c r="AF424" s="675"/>
      <c r="AG424" s="675"/>
    </row>
    <row r="425" spans="1:33" s="536" customFormat="1" ht="22.5" x14ac:dyDescent="0.2">
      <c r="A425" s="609"/>
      <c r="B425" s="552" t="s">
        <v>2388</v>
      </c>
      <c r="C425" s="1822" t="s">
        <v>719</v>
      </c>
      <c r="D425" s="1822"/>
      <c r="E425" s="1822"/>
      <c r="F425" s="1822"/>
      <c r="G425" s="1822"/>
      <c r="H425" s="1822"/>
      <c r="I425" s="1822"/>
      <c r="J425" s="1822"/>
      <c r="K425" s="1822"/>
      <c r="L425" s="1822"/>
      <c r="M425" s="1822"/>
      <c r="N425" s="1827"/>
      <c r="V425" s="674"/>
      <c r="W425" s="675"/>
      <c r="X425" s="537" t="s">
        <v>719</v>
      </c>
      <c r="AB425" s="675"/>
      <c r="AD425" s="675"/>
      <c r="AF425" s="675"/>
      <c r="AG425" s="675"/>
    </row>
    <row r="426" spans="1:33" s="536" customFormat="1" ht="12" x14ac:dyDescent="0.2">
      <c r="A426" s="1830" t="s">
        <v>2417</v>
      </c>
      <c r="B426" s="1831"/>
      <c r="C426" s="1831"/>
      <c r="D426" s="1831"/>
      <c r="E426" s="1831"/>
      <c r="F426" s="1831"/>
      <c r="G426" s="1831"/>
      <c r="H426" s="1831"/>
      <c r="I426" s="1831"/>
      <c r="J426" s="1831"/>
      <c r="K426" s="1831"/>
      <c r="L426" s="1831"/>
      <c r="M426" s="1831"/>
      <c r="N426" s="1832"/>
      <c r="V426" s="674"/>
      <c r="W426" s="675"/>
      <c r="AB426" s="675"/>
      <c r="AD426" s="675"/>
      <c r="AF426" s="675"/>
      <c r="AG426" s="675" t="s">
        <v>2417</v>
      </c>
    </row>
    <row r="427" spans="1:33" s="536" customFormat="1" ht="33.75" x14ac:dyDescent="0.2">
      <c r="A427" s="575" t="s">
        <v>792</v>
      </c>
      <c r="B427" s="670" t="s">
        <v>1514</v>
      </c>
      <c r="C427" s="1823" t="s">
        <v>1515</v>
      </c>
      <c r="D427" s="1823"/>
      <c r="E427" s="1823"/>
      <c r="F427" s="573" t="s">
        <v>509</v>
      </c>
      <c r="G427" s="573"/>
      <c r="H427" s="573"/>
      <c r="I427" s="573" t="s">
        <v>4052</v>
      </c>
      <c r="J427" s="572"/>
      <c r="K427" s="573"/>
      <c r="L427" s="572"/>
      <c r="M427" s="571"/>
      <c r="N427" s="570"/>
      <c r="V427" s="674"/>
      <c r="W427" s="675" t="s">
        <v>1515</v>
      </c>
      <c r="AB427" s="675"/>
      <c r="AD427" s="675"/>
      <c r="AF427" s="675"/>
      <c r="AG427" s="675"/>
    </row>
    <row r="428" spans="1:33" s="536" customFormat="1" ht="12" x14ac:dyDescent="0.2">
      <c r="A428" s="676"/>
      <c r="B428" s="664"/>
      <c r="C428" s="1822" t="s">
        <v>4053</v>
      </c>
      <c r="D428" s="1822"/>
      <c r="E428" s="1822"/>
      <c r="F428" s="1822"/>
      <c r="G428" s="1822"/>
      <c r="H428" s="1822"/>
      <c r="I428" s="1822"/>
      <c r="J428" s="1822"/>
      <c r="K428" s="1822"/>
      <c r="L428" s="1822"/>
      <c r="M428" s="1822"/>
      <c r="N428" s="1827"/>
      <c r="V428" s="674"/>
      <c r="W428" s="675"/>
      <c r="AB428" s="675"/>
      <c r="AC428" s="537" t="s">
        <v>4053</v>
      </c>
      <c r="AD428" s="675"/>
      <c r="AF428" s="675"/>
      <c r="AG428" s="675"/>
    </row>
    <row r="429" spans="1:33" s="536" customFormat="1" ht="33.75" x14ac:dyDescent="0.2">
      <c r="A429" s="609"/>
      <c r="B429" s="552" t="s">
        <v>310</v>
      </c>
      <c r="C429" s="1822" t="s">
        <v>311</v>
      </c>
      <c r="D429" s="1822"/>
      <c r="E429" s="1822"/>
      <c r="F429" s="1822"/>
      <c r="G429" s="1822"/>
      <c r="H429" s="1822"/>
      <c r="I429" s="1822"/>
      <c r="J429" s="1822"/>
      <c r="K429" s="1822"/>
      <c r="L429" s="1822"/>
      <c r="M429" s="1822"/>
      <c r="N429" s="1827"/>
      <c r="V429" s="674"/>
      <c r="W429" s="675"/>
      <c r="X429" s="537" t="s">
        <v>311</v>
      </c>
      <c r="AB429" s="675"/>
      <c r="AD429" s="675"/>
      <c r="AF429" s="675"/>
      <c r="AG429" s="675"/>
    </row>
    <row r="430" spans="1:33" s="536" customFormat="1" ht="12" x14ac:dyDescent="0.2">
      <c r="A430" s="605"/>
      <c r="B430" s="552" t="s">
        <v>185</v>
      </c>
      <c r="C430" s="1822" t="s">
        <v>312</v>
      </c>
      <c r="D430" s="1822"/>
      <c r="E430" s="1822"/>
      <c r="F430" s="562"/>
      <c r="G430" s="562"/>
      <c r="H430" s="562"/>
      <c r="I430" s="562"/>
      <c r="J430" s="604">
        <v>3036.68</v>
      </c>
      <c r="K430" s="562" t="s">
        <v>313</v>
      </c>
      <c r="L430" s="604">
        <v>478.28</v>
      </c>
      <c r="M430" s="603"/>
      <c r="N430" s="602"/>
      <c r="V430" s="674"/>
      <c r="W430" s="675"/>
      <c r="Y430" s="537" t="s">
        <v>312</v>
      </c>
      <c r="AB430" s="675"/>
      <c r="AD430" s="675"/>
      <c r="AF430" s="675"/>
      <c r="AG430" s="675"/>
    </row>
    <row r="431" spans="1:33" s="536" customFormat="1" ht="12" x14ac:dyDescent="0.2">
      <c r="A431" s="605"/>
      <c r="B431" s="552"/>
      <c r="C431" s="1822" t="s">
        <v>314</v>
      </c>
      <c r="D431" s="1822"/>
      <c r="E431" s="1822"/>
      <c r="F431" s="562" t="s">
        <v>315</v>
      </c>
      <c r="G431" s="562" t="s">
        <v>1521</v>
      </c>
      <c r="H431" s="562" t="s">
        <v>313</v>
      </c>
      <c r="I431" s="562" t="s">
        <v>4054</v>
      </c>
      <c r="J431" s="604"/>
      <c r="K431" s="562"/>
      <c r="L431" s="604"/>
      <c r="M431" s="603"/>
      <c r="N431" s="602"/>
      <c r="V431" s="674"/>
      <c r="W431" s="675"/>
      <c r="Z431" s="537" t="s">
        <v>314</v>
      </c>
      <c r="AB431" s="675"/>
      <c r="AD431" s="675"/>
      <c r="AF431" s="675"/>
      <c r="AG431" s="675"/>
    </row>
    <row r="432" spans="1:33" s="536" customFormat="1" ht="12" x14ac:dyDescent="0.2">
      <c r="A432" s="605"/>
      <c r="B432" s="552"/>
      <c r="C432" s="1828" t="s">
        <v>318</v>
      </c>
      <c r="D432" s="1828"/>
      <c r="E432" s="1828"/>
      <c r="F432" s="608"/>
      <c r="G432" s="608"/>
      <c r="H432" s="608"/>
      <c r="I432" s="608"/>
      <c r="J432" s="607">
        <v>3036.68</v>
      </c>
      <c r="K432" s="608"/>
      <c r="L432" s="607">
        <v>478.28</v>
      </c>
      <c r="M432" s="601"/>
      <c r="N432" s="606"/>
      <c r="V432" s="674"/>
      <c r="W432" s="675"/>
      <c r="AA432" s="537" t="s">
        <v>318</v>
      </c>
      <c r="AB432" s="675"/>
      <c r="AD432" s="675"/>
      <c r="AF432" s="675"/>
      <c r="AG432" s="675"/>
    </row>
    <row r="433" spans="1:33" s="536" customFormat="1" ht="12" x14ac:dyDescent="0.2">
      <c r="A433" s="605"/>
      <c r="B433" s="552"/>
      <c r="C433" s="1822" t="s">
        <v>319</v>
      </c>
      <c r="D433" s="1822"/>
      <c r="E433" s="1822"/>
      <c r="F433" s="562"/>
      <c r="G433" s="562"/>
      <c r="H433" s="562"/>
      <c r="I433" s="562"/>
      <c r="J433" s="604"/>
      <c r="K433" s="562"/>
      <c r="L433" s="604">
        <v>478.28</v>
      </c>
      <c r="M433" s="603"/>
      <c r="N433" s="602"/>
      <c r="V433" s="674"/>
      <c r="W433" s="675"/>
      <c r="Z433" s="537" t="s">
        <v>319</v>
      </c>
      <c r="AB433" s="675"/>
      <c r="AD433" s="675"/>
      <c r="AF433" s="675"/>
      <c r="AG433" s="675"/>
    </row>
    <row r="434" spans="1:33" s="536" customFormat="1" ht="33.75" x14ac:dyDescent="0.2">
      <c r="A434" s="605"/>
      <c r="B434" s="552" t="s">
        <v>673</v>
      </c>
      <c r="C434" s="1822" t="s">
        <v>674</v>
      </c>
      <c r="D434" s="1822"/>
      <c r="E434" s="1822"/>
      <c r="F434" s="562" t="s">
        <v>322</v>
      </c>
      <c r="G434" s="562" t="s">
        <v>323</v>
      </c>
      <c r="H434" s="562"/>
      <c r="I434" s="562" t="s">
        <v>323</v>
      </c>
      <c r="J434" s="604"/>
      <c r="K434" s="562"/>
      <c r="L434" s="604">
        <v>425.67</v>
      </c>
      <c r="M434" s="603"/>
      <c r="N434" s="602"/>
      <c r="V434" s="674"/>
      <c r="W434" s="675"/>
      <c r="Z434" s="537" t="s">
        <v>674</v>
      </c>
      <c r="AB434" s="675"/>
      <c r="AD434" s="675"/>
      <c r="AF434" s="675"/>
      <c r="AG434" s="675"/>
    </row>
    <row r="435" spans="1:33" s="536" customFormat="1" ht="33.75" x14ac:dyDescent="0.2">
      <c r="A435" s="605"/>
      <c r="B435" s="552" t="s">
        <v>675</v>
      </c>
      <c r="C435" s="1822" t="s">
        <v>676</v>
      </c>
      <c r="D435" s="1822"/>
      <c r="E435" s="1822"/>
      <c r="F435" s="562" t="s">
        <v>322</v>
      </c>
      <c r="G435" s="562" t="s">
        <v>677</v>
      </c>
      <c r="H435" s="562"/>
      <c r="I435" s="562" t="s">
        <v>677</v>
      </c>
      <c r="J435" s="604"/>
      <c r="K435" s="562"/>
      <c r="L435" s="604">
        <v>191.31</v>
      </c>
      <c r="M435" s="603"/>
      <c r="N435" s="602"/>
      <c r="V435" s="674"/>
      <c r="W435" s="675"/>
      <c r="Z435" s="537" t="s">
        <v>676</v>
      </c>
      <c r="AB435" s="675"/>
      <c r="AD435" s="675"/>
      <c r="AF435" s="675"/>
      <c r="AG435" s="675"/>
    </row>
    <row r="436" spans="1:33" s="536" customFormat="1" ht="12" x14ac:dyDescent="0.2">
      <c r="A436" s="569"/>
      <c r="B436" s="671"/>
      <c r="C436" s="1823" t="s">
        <v>327</v>
      </c>
      <c r="D436" s="1823"/>
      <c r="E436" s="1823"/>
      <c r="F436" s="573"/>
      <c r="G436" s="573"/>
      <c r="H436" s="573"/>
      <c r="I436" s="573"/>
      <c r="J436" s="572"/>
      <c r="K436" s="573"/>
      <c r="L436" s="572">
        <v>1095.26</v>
      </c>
      <c r="M436" s="601"/>
      <c r="N436" s="570"/>
      <c r="V436" s="674"/>
      <c r="W436" s="675"/>
      <c r="AB436" s="675" t="s">
        <v>327</v>
      </c>
      <c r="AD436" s="675"/>
      <c r="AF436" s="675"/>
      <c r="AG436" s="675"/>
    </row>
    <row r="437" spans="1:33" s="536" customFormat="1" ht="22.5" x14ac:dyDescent="0.2">
      <c r="A437" s="575" t="s">
        <v>713</v>
      </c>
      <c r="B437" s="670" t="s">
        <v>2422</v>
      </c>
      <c r="C437" s="1823" t="s">
        <v>2423</v>
      </c>
      <c r="D437" s="1823"/>
      <c r="E437" s="1823"/>
      <c r="F437" s="573" t="s">
        <v>509</v>
      </c>
      <c r="G437" s="573"/>
      <c r="H437" s="573"/>
      <c r="I437" s="573" t="s">
        <v>4052</v>
      </c>
      <c r="J437" s="572"/>
      <c r="K437" s="573"/>
      <c r="L437" s="572"/>
      <c r="M437" s="571"/>
      <c r="N437" s="570"/>
      <c r="V437" s="674"/>
      <c r="W437" s="675" t="s">
        <v>2423</v>
      </c>
      <c r="AB437" s="675"/>
      <c r="AD437" s="675"/>
      <c r="AF437" s="675"/>
      <c r="AG437" s="675"/>
    </row>
    <row r="438" spans="1:33" s="536" customFormat="1" ht="12" x14ac:dyDescent="0.2">
      <c r="A438" s="676"/>
      <c r="B438" s="664"/>
      <c r="C438" s="1822" t="s">
        <v>4053</v>
      </c>
      <c r="D438" s="1822"/>
      <c r="E438" s="1822"/>
      <c r="F438" s="1822"/>
      <c r="G438" s="1822"/>
      <c r="H438" s="1822"/>
      <c r="I438" s="1822"/>
      <c r="J438" s="1822"/>
      <c r="K438" s="1822"/>
      <c r="L438" s="1822"/>
      <c r="M438" s="1822"/>
      <c r="N438" s="1827"/>
      <c r="V438" s="674"/>
      <c r="W438" s="675"/>
      <c r="AB438" s="675"/>
      <c r="AC438" s="537" t="s">
        <v>4053</v>
      </c>
      <c r="AD438" s="675"/>
      <c r="AF438" s="675"/>
      <c r="AG438" s="675"/>
    </row>
    <row r="439" spans="1:33" s="536" customFormat="1" ht="33.75" x14ac:dyDescent="0.2">
      <c r="A439" s="609"/>
      <c r="B439" s="552" t="s">
        <v>310</v>
      </c>
      <c r="C439" s="1822" t="s">
        <v>311</v>
      </c>
      <c r="D439" s="1822"/>
      <c r="E439" s="1822"/>
      <c r="F439" s="1822"/>
      <c r="G439" s="1822"/>
      <c r="H439" s="1822"/>
      <c r="I439" s="1822"/>
      <c r="J439" s="1822"/>
      <c r="K439" s="1822"/>
      <c r="L439" s="1822"/>
      <c r="M439" s="1822"/>
      <c r="N439" s="1827"/>
      <c r="V439" s="674"/>
      <c r="W439" s="675"/>
      <c r="X439" s="537" t="s">
        <v>311</v>
      </c>
      <c r="AB439" s="675"/>
      <c r="AD439" s="675"/>
      <c r="AF439" s="675"/>
      <c r="AG439" s="675"/>
    </row>
    <row r="440" spans="1:33" s="536" customFormat="1" ht="12" x14ac:dyDescent="0.2">
      <c r="A440" s="605"/>
      <c r="B440" s="552" t="s">
        <v>185</v>
      </c>
      <c r="C440" s="1822" t="s">
        <v>312</v>
      </c>
      <c r="D440" s="1822"/>
      <c r="E440" s="1822"/>
      <c r="F440" s="562"/>
      <c r="G440" s="562"/>
      <c r="H440" s="562"/>
      <c r="I440" s="562"/>
      <c r="J440" s="604">
        <v>907.5</v>
      </c>
      <c r="K440" s="562" t="s">
        <v>313</v>
      </c>
      <c r="L440" s="604">
        <v>142.93</v>
      </c>
      <c r="M440" s="603"/>
      <c r="N440" s="602"/>
      <c r="V440" s="674"/>
      <c r="W440" s="675"/>
      <c r="Y440" s="537" t="s">
        <v>312</v>
      </c>
      <c r="AB440" s="675"/>
      <c r="AD440" s="675"/>
      <c r="AF440" s="675"/>
      <c r="AG440" s="675"/>
    </row>
    <row r="441" spans="1:33" s="536" customFormat="1" ht="12" x14ac:dyDescent="0.2">
      <c r="A441" s="605"/>
      <c r="B441" s="552"/>
      <c r="C441" s="1822" t="s">
        <v>314</v>
      </c>
      <c r="D441" s="1822"/>
      <c r="E441" s="1822"/>
      <c r="F441" s="562" t="s">
        <v>315</v>
      </c>
      <c r="G441" s="562" t="s">
        <v>894</v>
      </c>
      <c r="H441" s="562" t="s">
        <v>313</v>
      </c>
      <c r="I441" s="562" t="s">
        <v>4055</v>
      </c>
      <c r="J441" s="604"/>
      <c r="K441" s="562"/>
      <c r="L441" s="604"/>
      <c r="M441" s="603"/>
      <c r="N441" s="602"/>
      <c r="V441" s="674"/>
      <c r="W441" s="675"/>
      <c r="Z441" s="537" t="s">
        <v>314</v>
      </c>
      <c r="AB441" s="675"/>
      <c r="AD441" s="675"/>
      <c r="AF441" s="675"/>
      <c r="AG441" s="675"/>
    </row>
    <row r="442" spans="1:33" s="536" customFormat="1" ht="12" x14ac:dyDescent="0.2">
      <c r="A442" s="605"/>
      <c r="B442" s="552"/>
      <c r="C442" s="1828" t="s">
        <v>318</v>
      </c>
      <c r="D442" s="1828"/>
      <c r="E442" s="1828"/>
      <c r="F442" s="608"/>
      <c r="G442" s="608"/>
      <c r="H442" s="608"/>
      <c r="I442" s="608"/>
      <c r="J442" s="607">
        <v>907.5</v>
      </c>
      <c r="K442" s="608"/>
      <c r="L442" s="607">
        <v>142.93</v>
      </c>
      <c r="M442" s="601"/>
      <c r="N442" s="606"/>
      <c r="V442" s="674"/>
      <c r="W442" s="675"/>
      <c r="AA442" s="537" t="s">
        <v>318</v>
      </c>
      <c r="AB442" s="675"/>
      <c r="AD442" s="675"/>
      <c r="AF442" s="675"/>
      <c r="AG442" s="675"/>
    </row>
    <row r="443" spans="1:33" s="536" customFormat="1" ht="12" x14ac:dyDescent="0.2">
      <c r="A443" s="605"/>
      <c r="B443" s="552"/>
      <c r="C443" s="1822" t="s">
        <v>319</v>
      </c>
      <c r="D443" s="1822"/>
      <c r="E443" s="1822"/>
      <c r="F443" s="562"/>
      <c r="G443" s="562"/>
      <c r="H443" s="562"/>
      <c r="I443" s="562"/>
      <c r="J443" s="604"/>
      <c r="K443" s="562"/>
      <c r="L443" s="604">
        <v>142.93</v>
      </c>
      <c r="M443" s="603"/>
      <c r="N443" s="602"/>
      <c r="V443" s="674"/>
      <c r="W443" s="675"/>
      <c r="Z443" s="537" t="s">
        <v>319</v>
      </c>
      <c r="AB443" s="675"/>
      <c r="AD443" s="675"/>
      <c r="AF443" s="675"/>
      <c r="AG443" s="675"/>
    </row>
    <row r="444" spans="1:33" s="536" customFormat="1" ht="33.75" x14ac:dyDescent="0.2">
      <c r="A444" s="605"/>
      <c r="B444" s="552" t="s">
        <v>673</v>
      </c>
      <c r="C444" s="1822" t="s">
        <v>674</v>
      </c>
      <c r="D444" s="1822"/>
      <c r="E444" s="1822"/>
      <c r="F444" s="562" t="s">
        <v>322</v>
      </c>
      <c r="G444" s="562" t="s">
        <v>323</v>
      </c>
      <c r="H444" s="562"/>
      <c r="I444" s="562" t="s">
        <v>323</v>
      </c>
      <c r="J444" s="604"/>
      <c r="K444" s="562"/>
      <c r="L444" s="604">
        <v>127.21</v>
      </c>
      <c r="M444" s="603"/>
      <c r="N444" s="602"/>
      <c r="V444" s="674"/>
      <c r="W444" s="675"/>
      <c r="Z444" s="537" t="s">
        <v>674</v>
      </c>
      <c r="AB444" s="675"/>
      <c r="AD444" s="675"/>
      <c r="AF444" s="675"/>
      <c r="AG444" s="675"/>
    </row>
    <row r="445" spans="1:33" s="536" customFormat="1" ht="33.75" x14ac:dyDescent="0.2">
      <c r="A445" s="605"/>
      <c r="B445" s="552" t="s">
        <v>675</v>
      </c>
      <c r="C445" s="1822" t="s">
        <v>676</v>
      </c>
      <c r="D445" s="1822"/>
      <c r="E445" s="1822"/>
      <c r="F445" s="562" t="s">
        <v>322</v>
      </c>
      <c r="G445" s="562" t="s">
        <v>677</v>
      </c>
      <c r="H445" s="562"/>
      <c r="I445" s="562" t="s">
        <v>677</v>
      </c>
      <c r="J445" s="604"/>
      <c r="K445" s="562"/>
      <c r="L445" s="604">
        <v>57.17</v>
      </c>
      <c r="M445" s="603"/>
      <c r="N445" s="602"/>
      <c r="V445" s="674"/>
      <c r="W445" s="675"/>
      <c r="Z445" s="537" t="s">
        <v>676</v>
      </c>
      <c r="AB445" s="675"/>
      <c r="AD445" s="675"/>
      <c r="AF445" s="675"/>
      <c r="AG445" s="675"/>
    </row>
    <row r="446" spans="1:33" s="536" customFormat="1" ht="12" x14ac:dyDescent="0.2">
      <c r="A446" s="569"/>
      <c r="B446" s="671"/>
      <c r="C446" s="1823" t="s">
        <v>327</v>
      </c>
      <c r="D446" s="1823"/>
      <c r="E446" s="1823"/>
      <c r="F446" s="573"/>
      <c r="G446" s="573"/>
      <c r="H446" s="573"/>
      <c r="I446" s="573"/>
      <c r="J446" s="572"/>
      <c r="K446" s="573"/>
      <c r="L446" s="572">
        <v>327.31</v>
      </c>
      <c r="M446" s="601"/>
      <c r="N446" s="570"/>
      <c r="V446" s="674"/>
      <c r="W446" s="675"/>
      <c r="AB446" s="675" t="s">
        <v>327</v>
      </c>
      <c r="AD446" s="675"/>
      <c r="AF446" s="675"/>
      <c r="AG446" s="675"/>
    </row>
    <row r="447" spans="1:33" s="536" customFormat="1" ht="22.5" x14ac:dyDescent="0.2">
      <c r="A447" s="575" t="s">
        <v>793</v>
      </c>
      <c r="B447" s="670" t="s">
        <v>507</v>
      </c>
      <c r="C447" s="1823" t="s">
        <v>508</v>
      </c>
      <c r="D447" s="1823"/>
      <c r="E447" s="1823"/>
      <c r="F447" s="573" t="s">
        <v>509</v>
      </c>
      <c r="G447" s="573"/>
      <c r="H447" s="573"/>
      <c r="I447" s="573" t="s">
        <v>4052</v>
      </c>
      <c r="J447" s="572"/>
      <c r="K447" s="573"/>
      <c r="L447" s="572"/>
      <c r="M447" s="571"/>
      <c r="N447" s="570"/>
      <c r="V447" s="674"/>
      <c r="W447" s="675" t="s">
        <v>508</v>
      </c>
      <c r="AB447" s="675"/>
      <c r="AD447" s="675"/>
      <c r="AF447" s="675"/>
      <c r="AG447" s="675"/>
    </row>
    <row r="448" spans="1:33" s="536" customFormat="1" ht="12" x14ac:dyDescent="0.2">
      <c r="A448" s="676"/>
      <c r="B448" s="664"/>
      <c r="C448" s="1822" t="s">
        <v>4056</v>
      </c>
      <c r="D448" s="1822"/>
      <c r="E448" s="1822"/>
      <c r="F448" s="1822"/>
      <c r="G448" s="1822"/>
      <c r="H448" s="1822"/>
      <c r="I448" s="1822"/>
      <c r="J448" s="1822"/>
      <c r="K448" s="1822"/>
      <c r="L448" s="1822"/>
      <c r="M448" s="1822"/>
      <c r="N448" s="1827"/>
      <c r="V448" s="674"/>
      <c r="W448" s="675"/>
      <c r="AB448" s="675"/>
      <c r="AC448" s="537" t="s">
        <v>4056</v>
      </c>
      <c r="AD448" s="675"/>
      <c r="AF448" s="675"/>
      <c r="AG448" s="675"/>
    </row>
    <row r="449" spans="1:33" s="536" customFormat="1" ht="33.75" x14ac:dyDescent="0.2">
      <c r="A449" s="609"/>
      <c r="B449" s="552" t="s">
        <v>310</v>
      </c>
      <c r="C449" s="1822" t="s">
        <v>311</v>
      </c>
      <c r="D449" s="1822"/>
      <c r="E449" s="1822"/>
      <c r="F449" s="1822"/>
      <c r="G449" s="1822"/>
      <c r="H449" s="1822"/>
      <c r="I449" s="1822"/>
      <c r="J449" s="1822"/>
      <c r="K449" s="1822"/>
      <c r="L449" s="1822"/>
      <c r="M449" s="1822"/>
      <c r="N449" s="1827"/>
      <c r="V449" s="674"/>
      <c r="W449" s="675"/>
      <c r="X449" s="537" t="s">
        <v>311</v>
      </c>
      <c r="AB449" s="675"/>
      <c r="AD449" s="675"/>
      <c r="AF449" s="675"/>
      <c r="AG449" s="675"/>
    </row>
    <row r="450" spans="1:33" s="536" customFormat="1" ht="12" x14ac:dyDescent="0.2">
      <c r="A450" s="605"/>
      <c r="B450" s="552" t="s">
        <v>185</v>
      </c>
      <c r="C450" s="1822" t="s">
        <v>312</v>
      </c>
      <c r="D450" s="1822"/>
      <c r="E450" s="1822"/>
      <c r="F450" s="562"/>
      <c r="G450" s="562"/>
      <c r="H450" s="562"/>
      <c r="I450" s="562"/>
      <c r="J450" s="604">
        <v>127.61</v>
      </c>
      <c r="K450" s="562" t="s">
        <v>313</v>
      </c>
      <c r="L450" s="604">
        <v>20.100000000000001</v>
      </c>
      <c r="M450" s="603"/>
      <c r="N450" s="602"/>
      <c r="V450" s="674"/>
      <c r="W450" s="675"/>
      <c r="Y450" s="537" t="s">
        <v>312</v>
      </c>
      <c r="AB450" s="675"/>
      <c r="AD450" s="675"/>
      <c r="AF450" s="675"/>
      <c r="AG450" s="675"/>
    </row>
    <row r="451" spans="1:33" s="536" customFormat="1" ht="12" x14ac:dyDescent="0.2">
      <c r="A451" s="605"/>
      <c r="B451" s="552" t="s">
        <v>186</v>
      </c>
      <c r="C451" s="1822" t="s">
        <v>344</v>
      </c>
      <c r="D451" s="1822"/>
      <c r="E451" s="1822"/>
      <c r="F451" s="562"/>
      <c r="G451" s="562"/>
      <c r="H451" s="562"/>
      <c r="I451" s="562"/>
      <c r="J451" s="604">
        <v>288.58</v>
      </c>
      <c r="K451" s="562" t="s">
        <v>313</v>
      </c>
      <c r="L451" s="604">
        <v>45.45</v>
      </c>
      <c r="M451" s="603"/>
      <c r="N451" s="602"/>
      <c r="V451" s="674"/>
      <c r="W451" s="675"/>
      <c r="Y451" s="537" t="s">
        <v>344</v>
      </c>
      <c r="AB451" s="675"/>
      <c r="AD451" s="675"/>
      <c r="AF451" s="675"/>
      <c r="AG451" s="675"/>
    </row>
    <row r="452" spans="1:33" s="536" customFormat="1" ht="12" x14ac:dyDescent="0.2">
      <c r="A452" s="605"/>
      <c r="B452" s="552" t="s">
        <v>187</v>
      </c>
      <c r="C452" s="1822" t="s">
        <v>345</v>
      </c>
      <c r="D452" s="1822"/>
      <c r="E452" s="1822"/>
      <c r="F452" s="562"/>
      <c r="G452" s="562"/>
      <c r="H452" s="562"/>
      <c r="I452" s="562"/>
      <c r="J452" s="604">
        <v>31.49</v>
      </c>
      <c r="K452" s="562" t="s">
        <v>313</v>
      </c>
      <c r="L452" s="604">
        <v>4.96</v>
      </c>
      <c r="M452" s="603"/>
      <c r="N452" s="602"/>
      <c r="V452" s="674"/>
      <c r="W452" s="675"/>
      <c r="Y452" s="537" t="s">
        <v>345</v>
      </c>
      <c r="AB452" s="675"/>
      <c r="AD452" s="675"/>
      <c r="AF452" s="675"/>
      <c r="AG452" s="675"/>
    </row>
    <row r="453" spans="1:33" s="536" customFormat="1" ht="12" x14ac:dyDescent="0.2">
      <c r="A453" s="605"/>
      <c r="B453" s="552"/>
      <c r="C453" s="1822" t="s">
        <v>314</v>
      </c>
      <c r="D453" s="1822"/>
      <c r="E453" s="1822"/>
      <c r="F453" s="562" t="s">
        <v>315</v>
      </c>
      <c r="G453" s="562" t="s">
        <v>512</v>
      </c>
      <c r="H453" s="562" t="s">
        <v>313</v>
      </c>
      <c r="I453" s="562" t="s">
        <v>4057</v>
      </c>
      <c r="J453" s="604"/>
      <c r="K453" s="562"/>
      <c r="L453" s="604"/>
      <c r="M453" s="603"/>
      <c r="N453" s="602"/>
      <c r="V453" s="674"/>
      <c r="W453" s="675"/>
      <c r="Z453" s="537" t="s">
        <v>314</v>
      </c>
      <c r="AB453" s="675"/>
      <c r="AD453" s="675"/>
      <c r="AF453" s="675"/>
      <c r="AG453" s="675"/>
    </row>
    <row r="454" spans="1:33" s="536" customFormat="1" ht="12" x14ac:dyDescent="0.2">
      <c r="A454" s="605"/>
      <c r="B454" s="552"/>
      <c r="C454" s="1822" t="s">
        <v>348</v>
      </c>
      <c r="D454" s="1822"/>
      <c r="E454" s="1822"/>
      <c r="F454" s="562" t="s">
        <v>315</v>
      </c>
      <c r="G454" s="562" t="s">
        <v>514</v>
      </c>
      <c r="H454" s="562" t="s">
        <v>313</v>
      </c>
      <c r="I454" s="562" t="s">
        <v>4058</v>
      </c>
      <c r="J454" s="604"/>
      <c r="K454" s="562"/>
      <c r="L454" s="604"/>
      <c r="M454" s="603"/>
      <c r="N454" s="602"/>
      <c r="V454" s="674"/>
      <c r="W454" s="675"/>
      <c r="Z454" s="537" t="s">
        <v>348</v>
      </c>
      <c r="AB454" s="675"/>
      <c r="AD454" s="675"/>
      <c r="AF454" s="675"/>
      <c r="AG454" s="675"/>
    </row>
    <row r="455" spans="1:33" s="536" customFormat="1" ht="12" x14ac:dyDescent="0.2">
      <c r="A455" s="605"/>
      <c r="B455" s="552"/>
      <c r="C455" s="1828" t="s">
        <v>318</v>
      </c>
      <c r="D455" s="1828"/>
      <c r="E455" s="1828"/>
      <c r="F455" s="608"/>
      <c r="G455" s="608"/>
      <c r="H455" s="608"/>
      <c r="I455" s="608"/>
      <c r="J455" s="607">
        <v>416.19</v>
      </c>
      <c r="K455" s="608"/>
      <c r="L455" s="607">
        <v>65.55</v>
      </c>
      <c r="M455" s="601"/>
      <c r="N455" s="606"/>
      <c r="V455" s="674"/>
      <c r="W455" s="675"/>
      <c r="AA455" s="537" t="s">
        <v>318</v>
      </c>
      <c r="AB455" s="675"/>
      <c r="AD455" s="675"/>
      <c r="AF455" s="675"/>
      <c r="AG455" s="675"/>
    </row>
    <row r="456" spans="1:33" s="536" customFormat="1" ht="12" x14ac:dyDescent="0.2">
      <c r="A456" s="605"/>
      <c r="B456" s="552"/>
      <c r="C456" s="1822" t="s">
        <v>319</v>
      </c>
      <c r="D456" s="1822"/>
      <c r="E456" s="1822"/>
      <c r="F456" s="562"/>
      <c r="G456" s="562"/>
      <c r="H456" s="562"/>
      <c r="I456" s="562"/>
      <c r="J456" s="604"/>
      <c r="K456" s="562"/>
      <c r="L456" s="604">
        <v>25.06</v>
      </c>
      <c r="M456" s="603"/>
      <c r="N456" s="602"/>
      <c r="V456" s="674"/>
      <c r="W456" s="675"/>
      <c r="Z456" s="537" t="s">
        <v>319</v>
      </c>
      <c r="AB456" s="675"/>
      <c r="AD456" s="675"/>
      <c r="AF456" s="675"/>
      <c r="AG456" s="675"/>
    </row>
    <row r="457" spans="1:33" s="536" customFormat="1" ht="33.75" x14ac:dyDescent="0.2">
      <c r="A457" s="605"/>
      <c r="B457" s="552" t="s">
        <v>460</v>
      </c>
      <c r="C457" s="1822" t="s">
        <v>461</v>
      </c>
      <c r="D457" s="1822"/>
      <c r="E457" s="1822"/>
      <c r="F457" s="562" t="s">
        <v>322</v>
      </c>
      <c r="G457" s="562" t="s">
        <v>462</v>
      </c>
      <c r="H457" s="562"/>
      <c r="I457" s="562" t="s">
        <v>462</v>
      </c>
      <c r="J457" s="604"/>
      <c r="K457" s="562"/>
      <c r="L457" s="604">
        <v>23.06</v>
      </c>
      <c r="M457" s="603"/>
      <c r="N457" s="602"/>
      <c r="V457" s="674"/>
      <c r="W457" s="675"/>
      <c r="Z457" s="537" t="s">
        <v>461</v>
      </c>
      <c r="AB457" s="675"/>
      <c r="AD457" s="675"/>
      <c r="AF457" s="675"/>
      <c r="AG457" s="675"/>
    </row>
    <row r="458" spans="1:33" s="536" customFormat="1" ht="33.75" x14ac:dyDescent="0.2">
      <c r="A458" s="605"/>
      <c r="B458" s="552" t="s">
        <v>463</v>
      </c>
      <c r="C458" s="1822" t="s">
        <v>464</v>
      </c>
      <c r="D458" s="1822"/>
      <c r="E458" s="1822"/>
      <c r="F458" s="562" t="s">
        <v>322</v>
      </c>
      <c r="G458" s="562" t="s">
        <v>465</v>
      </c>
      <c r="H458" s="562"/>
      <c r="I458" s="562" t="s">
        <v>465</v>
      </c>
      <c r="J458" s="604"/>
      <c r="K458" s="562"/>
      <c r="L458" s="604">
        <v>11.53</v>
      </c>
      <c r="M458" s="603"/>
      <c r="N458" s="602"/>
      <c r="V458" s="674"/>
      <c r="W458" s="675"/>
      <c r="Z458" s="537" t="s">
        <v>464</v>
      </c>
      <c r="AB458" s="675"/>
      <c r="AD458" s="675"/>
      <c r="AF458" s="675"/>
      <c r="AG458" s="675"/>
    </row>
    <row r="459" spans="1:33" s="536" customFormat="1" ht="12" x14ac:dyDescent="0.2">
      <c r="A459" s="569"/>
      <c r="B459" s="671"/>
      <c r="C459" s="1823" t="s">
        <v>327</v>
      </c>
      <c r="D459" s="1823"/>
      <c r="E459" s="1823"/>
      <c r="F459" s="573"/>
      <c r="G459" s="573"/>
      <c r="H459" s="573"/>
      <c r="I459" s="573"/>
      <c r="J459" s="572"/>
      <c r="K459" s="573"/>
      <c r="L459" s="572">
        <v>100.14</v>
      </c>
      <c r="M459" s="601"/>
      <c r="N459" s="570"/>
      <c r="V459" s="674"/>
      <c r="W459" s="675"/>
      <c r="AB459" s="675" t="s">
        <v>327</v>
      </c>
      <c r="AD459" s="675"/>
      <c r="AF459" s="675"/>
      <c r="AG459" s="675"/>
    </row>
    <row r="460" spans="1:33" s="536" customFormat="1" ht="1.5" customHeight="1" x14ac:dyDescent="0.2">
      <c r="A460" s="563"/>
      <c r="B460" s="671"/>
      <c r="C460" s="671"/>
      <c r="D460" s="671"/>
      <c r="E460" s="671"/>
      <c r="F460" s="563"/>
      <c r="G460" s="563"/>
      <c r="H460" s="563"/>
      <c r="I460" s="563"/>
      <c r="J460" s="546"/>
      <c r="K460" s="563"/>
      <c r="L460" s="546"/>
      <c r="M460" s="562"/>
      <c r="N460" s="546"/>
      <c r="V460" s="674"/>
      <c r="W460" s="675"/>
      <c r="AB460" s="675"/>
      <c r="AD460" s="675"/>
      <c r="AF460" s="675"/>
      <c r="AG460" s="675"/>
    </row>
    <row r="461" spans="1:33" s="536" customFormat="1" ht="12" x14ac:dyDescent="0.2">
      <c r="A461" s="557"/>
      <c r="B461" s="556"/>
      <c r="C461" s="1823" t="s">
        <v>1802</v>
      </c>
      <c r="D461" s="1823"/>
      <c r="E461" s="1823"/>
      <c r="F461" s="1823"/>
      <c r="G461" s="1823"/>
      <c r="H461" s="1823"/>
      <c r="I461" s="1823"/>
      <c r="J461" s="1823"/>
      <c r="K461" s="1823"/>
      <c r="L461" s="555"/>
      <c r="M461" s="554"/>
      <c r="N461" s="553"/>
      <c r="V461" s="674"/>
      <c r="W461" s="675"/>
      <c r="AB461" s="675"/>
      <c r="AD461" s="675" t="s">
        <v>1802</v>
      </c>
      <c r="AF461" s="675"/>
      <c r="AG461" s="675"/>
    </row>
    <row r="462" spans="1:33" s="536" customFormat="1" ht="12" x14ac:dyDescent="0.2">
      <c r="A462" s="548"/>
      <c r="B462" s="552"/>
      <c r="C462" s="1822" t="s">
        <v>403</v>
      </c>
      <c r="D462" s="1822"/>
      <c r="E462" s="1822"/>
      <c r="F462" s="1822"/>
      <c r="G462" s="1822"/>
      <c r="H462" s="1822"/>
      <c r="I462" s="1822"/>
      <c r="J462" s="1822"/>
      <c r="K462" s="1822"/>
      <c r="L462" s="551">
        <v>35477.15</v>
      </c>
      <c r="M462" s="550"/>
      <c r="N462" s="549"/>
      <c r="V462" s="674"/>
      <c r="W462" s="675"/>
      <c r="AB462" s="675"/>
      <c r="AD462" s="675"/>
      <c r="AE462" s="537" t="s">
        <v>403</v>
      </c>
      <c r="AF462" s="675"/>
      <c r="AG462" s="675"/>
    </row>
    <row r="463" spans="1:33" s="536" customFormat="1" ht="12" x14ac:dyDescent="0.2">
      <c r="A463" s="548"/>
      <c r="B463" s="552"/>
      <c r="C463" s="1822" t="s">
        <v>204</v>
      </c>
      <c r="D463" s="1822"/>
      <c r="E463" s="1822"/>
      <c r="F463" s="1822"/>
      <c r="G463" s="1822"/>
      <c r="H463" s="1822"/>
      <c r="I463" s="1822"/>
      <c r="J463" s="1822"/>
      <c r="K463" s="1822"/>
      <c r="L463" s="551"/>
      <c r="M463" s="550"/>
      <c r="N463" s="549"/>
      <c r="V463" s="674"/>
      <c r="W463" s="675"/>
      <c r="AB463" s="675"/>
      <c r="AD463" s="675"/>
      <c r="AE463" s="537" t="s">
        <v>204</v>
      </c>
      <c r="AF463" s="675"/>
      <c r="AG463" s="675"/>
    </row>
    <row r="464" spans="1:33" s="536" customFormat="1" ht="12" x14ac:dyDescent="0.2">
      <c r="A464" s="548"/>
      <c r="B464" s="552"/>
      <c r="C464" s="1822" t="s">
        <v>404</v>
      </c>
      <c r="D464" s="1822"/>
      <c r="E464" s="1822"/>
      <c r="F464" s="1822"/>
      <c r="G464" s="1822"/>
      <c r="H464" s="1822"/>
      <c r="I464" s="1822"/>
      <c r="J464" s="1822"/>
      <c r="K464" s="1822"/>
      <c r="L464" s="551">
        <v>1460.7</v>
      </c>
      <c r="M464" s="550"/>
      <c r="N464" s="549"/>
      <c r="V464" s="674"/>
      <c r="W464" s="675"/>
      <c r="AB464" s="675"/>
      <c r="AD464" s="675"/>
      <c r="AE464" s="537" t="s">
        <v>404</v>
      </c>
      <c r="AF464" s="675"/>
      <c r="AG464" s="675"/>
    </row>
    <row r="465" spans="1:33" s="536" customFormat="1" ht="12" x14ac:dyDescent="0.2">
      <c r="A465" s="548"/>
      <c r="B465" s="552"/>
      <c r="C465" s="1822" t="s">
        <v>405</v>
      </c>
      <c r="D465" s="1822"/>
      <c r="E465" s="1822"/>
      <c r="F465" s="1822"/>
      <c r="G465" s="1822"/>
      <c r="H465" s="1822"/>
      <c r="I465" s="1822"/>
      <c r="J465" s="1822"/>
      <c r="K465" s="1822"/>
      <c r="L465" s="551">
        <v>1853.84</v>
      </c>
      <c r="M465" s="550"/>
      <c r="N465" s="549"/>
      <c r="V465" s="674"/>
      <c r="W465" s="675"/>
      <c r="AB465" s="675"/>
      <c r="AD465" s="675"/>
      <c r="AE465" s="537" t="s">
        <v>405</v>
      </c>
      <c r="AF465" s="675"/>
      <c r="AG465" s="675"/>
    </row>
    <row r="466" spans="1:33" s="536" customFormat="1" ht="12" x14ac:dyDescent="0.2">
      <c r="A466" s="548"/>
      <c r="B466" s="552"/>
      <c r="C466" s="1822" t="s">
        <v>406</v>
      </c>
      <c r="D466" s="1822"/>
      <c r="E466" s="1822"/>
      <c r="F466" s="1822"/>
      <c r="G466" s="1822"/>
      <c r="H466" s="1822"/>
      <c r="I466" s="1822"/>
      <c r="J466" s="1822"/>
      <c r="K466" s="1822"/>
      <c r="L466" s="551">
        <v>177.16</v>
      </c>
      <c r="M466" s="550"/>
      <c r="N466" s="549"/>
      <c r="V466" s="674"/>
      <c r="W466" s="675"/>
      <c r="AB466" s="675"/>
      <c r="AD466" s="675"/>
      <c r="AE466" s="537" t="s">
        <v>406</v>
      </c>
      <c r="AF466" s="675"/>
      <c r="AG466" s="675"/>
    </row>
    <row r="467" spans="1:33" s="536" customFormat="1" ht="12" x14ac:dyDescent="0.2">
      <c r="A467" s="548"/>
      <c r="B467" s="552"/>
      <c r="C467" s="1822" t="s">
        <v>480</v>
      </c>
      <c r="D467" s="1822"/>
      <c r="E467" s="1822"/>
      <c r="F467" s="1822"/>
      <c r="G467" s="1822"/>
      <c r="H467" s="1822"/>
      <c r="I467" s="1822"/>
      <c r="J467" s="1822"/>
      <c r="K467" s="1822"/>
      <c r="L467" s="551">
        <v>32162.61</v>
      </c>
      <c r="M467" s="550"/>
      <c r="N467" s="549"/>
      <c r="V467" s="674"/>
      <c r="W467" s="675"/>
      <c r="AB467" s="675"/>
      <c r="AD467" s="675"/>
      <c r="AE467" s="537" t="s">
        <v>480</v>
      </c>
      <c r="AF467" s="675"/>
      <c r="AG467" s="675"/>
    </row>
    <row r="468" spans="1:33" s="536" customFormat="1" ht="12" x14ac:dyDescent="0.2">
      <c r="A468" s="548"/>
      <c r="B468" s="552"/>
      <c r="C468" s="1822" t="s">
        <v>407</v>
      </c>
      <c r="D468" s="1822"/>
      <c r="E468" s="1822"/>
      <c r="F468" s="1822"/>
      <c r="G468" s="1822"/>
      <c r="H468" s="1822"/>
      <c r="I468" s="1822"/>
      <c r="J468" s="1822"/>
      <c r="K468" s="1822"/>
      <c r="L468" s="551">
        <v>1522.71</v>
      </c>
      <c r="M468" s="550"/>
      <c r="N468" s="549"/>
      <c r="V468" s="674"/>
      <c r="W468" s="675"/>
      <c r="AB468" s="675"/>
      <c r="AD468" s="675"/>
      <c r="AE468" s="537" t="s">
        <v>407</v>
      </c>
      <c r="AF468" s="675"/>
      <c r="AG468" s="675"/>
    </row>
    <row r="469" spans="1:33" s="536" customFormat="1" ht="12" x14ac:dyDescent="0.2">
      <c r="A469" s="548"/>
      <c r="B469" s="552"/>
      <c r="C469" s="1822" t="s">
        <v>204</v>
      </c>
      <c r="D469" s="1822"/>
      <c r="E469" s="1822"/>
      <c r="F469" s="1822"/>
      <c r="G469" s="1822"/>
      <c r="H469" s="1822"/>
      <c r="I469" s="1822"/>
      <c r="J469" s="1822"/>
      <c r="K469" s="1822"/>
      <c r="L469" s="551"/>
      <c r="M469" s="550"/>
      <c r="N469" s="549"/>
      <c r="V469" s="674"/>
      <c r="W469" s="675"/>
      <c r="AB469" s="675"/>
      <c r="AD469" s="675"/>
      <c r="AE469" s="537" t="s">
        <v>204</v>
      </c>
      <c r="AF469" s="675"/>
      <c r="AG469" s="675"/>
    </row>
    <row r="470" spans="1:33" s="536" customFormat="1" ht="12" x14ac:dyDescent="0.2">
      <c r="A470" s="548"/>
      <c r="B470" s="552"/>
      <c r="C470" s="1822" t="s">
        <v>546</v>
      </c>
      <c r="D470" s="1822"/>
      <c r="E470" s="1822"/>
      <c r="F470" s="1822"/>
      <c r="G470" s="1822"/>
      <c r="H470" s="1822"/>
      <c r="I470" s="1822"/>
      <c r="J470" s="1822"/>
      <c r="K470" s="1822"/>
      <c r="L470" s="551">
        <v>641.30999999999995</v>
      </c>
      <c r="M470" s="550"/>
      <c r="N470" s="549"/>
      <c r="V470" s="674"/>
      <c r="W470" s="675"/>
      <c r="AB470" s="675"/>
      <c r="AD470" s="675"/>
      <c r="AE470" s="537" t="s">
        <v>546</v>
      </c>
      <c r="AF470" s="675"/>
      <c r="AG470" s="675"/>
    </row>
    <row r="471" spans="1:33" s="536" customFormat="1" ht="12" x14ac:dyDescent="0.2">
      <c r="A471" s="548"/>
      <c r="B471" s="552"/>
      <c r="C471" s="1822" t="s">
        <v>442</v>
      </c>
      <c r="D471" s="1822"/>
      <c r="E471" s="1822"/>
      <c r="F471" s="1822"/>
      <c r="G471" s="1822"/>
      <c r="H471" s="1822"/>
      <c r="I471" s="1822"/>
      <c r="J471" s="1822"/>
      <c r="K471" s="1822"/>
      <c r="L471" s="551">
        <v>45.45</v>
      </c>
      <c r="M471" s="550"/>
      <c r="N471" s="549"/>
      <c r="V471" s="674"/>
      <c r="W471" s="675"/>
      <c r="AB471" s="675"/>
      <c r="AD471" s="675"/>
      <c r="AE471" s="537" t="s">
        <v>442</v>
      </c>
      <c r="AF471" s="675"/>
      <c r="AG471" s="675"/>
    </row>
    <row r="472" spans="1:33" s="536" customFormat="1" ht="12" x14ac:dyDescent="0.2">
      <c r="A472" s="548"/>
      <c r="B472" s="552"/>
      <c r="C472" s="1822" t="s">
        <v>443</v>
      </c>
      <c r="D472" s="1822"/>
      <c r="E472" s="1822"/>
      <c r="F472" s="1822"/>
      <c r="G472" s="1822"/>
      <c r="H472" s="1822"/>
      <c r="I472" s="1822"/>
      <c r="J472" s="1822"/>
      <c r="K472" s="1822"/>
      <c r="L472" s="551">
        <v>575.94000000000005</v>
      </c>
      <c r="M472" s="550"/>
      <c r="N472" s="549"/>
      <c r="V472" s="674"/>
      <c r="W472" s="675"/>
      <c r="AB472" s="675"/>
      <c r="AD472" s="675"/>
      <c r="AE472" s="537" t="s">
        <v>443</v>
      </c>
      <c r="AF472" s="675"/>
      <c r="AG472" s="675"/>
    </row>
    <row r="473" spans="1:33" s="536" customFormat="1" ht="12" x14ac:dyDescent="0.2">
      <c r="A473" s="548"/>
      <c r="B473" s="552"/>
      <c r="C473" s="1822" t="s">
        <v>444</v>
      </c>
      <c r="D473" s="1822"/>
      <c r="E473" s="1822"/>
      <c r="F473" s="1822"/>
      <c r="G473" s="1822"/>
      <c r="H473" s="1822"/>
      <c r="I473" s="1822"/>
      <c r="J473" s="1822"/>
      <c r="K473" s="1822"/>
      <c r="L473" s="551">
        <v>260.01</v>
      </c>
      <c r="M473" s="550"/>
      <c r="N473" s="549"/>
      <c r="V473" s="674"/>
      <c r="W473" s="675"/>
      <c r="AB473" s="675"/>
      <c r="AD473" s="675"/>
      <c r="AE473" s="537" t="s">
        <v>444</v>
      </c>
      <c r="AF473" s="675"/>
      <c r="AG473" s="675"/>
    </row>
    <row r="474" spans="1:33" s="536" customFormat="1" ht="12" x14ac:dyDescent="0.2">
      <c r="A474" s="548"/>
      <c r="B474" s="552"/>
      <c r="C474" s="1822" t="s">
        <v>753</v>
      </c>
      <c r="D474" s="1822"/>
      <c r="E474" s="1822"/>
      <c r="F474" s="1822"/>
      <c r="G474" s="1822"/>
      <c r="H474" s="1822"/>
      <c r="I474" s="1822"/>
      <c r="J474" s="1822"/>
      <c r="K474" s="1822"/>
      <c r="L474" s="551">
        <v>36253.08</v>
      </c>
      <c r="M474" s="550"/>
      <c r="N474" s="549"/>
      <c r="V474" s="674"/>
      <c r="W474" s="675"/>
      <c r="AB474" s="675"/>
      <c r="AD474" s="675"/>
      <c r="AE474" s="537" t="s">
        <v>753</v>
      </c>
      <c r="AF474" s="675"/>
      <c r="AG474" s="675"/>
    </row>
    <row r="475" spans="1:33" s="536" customFormat="1" ht="12" x14ac:dyDescent="0.2">
      <c r="A475" s="548"/>
      <c r="B475" s="552"/>
      <c r="C475" s="1822" t="s">
        <v>204</v>
      </c>
      <c r="D475" s="1822"/>
      <c r="E475" s="1822"/>
      <c r="F475" s="1822"/>
      <c r="G475" s="1822"/>
      <c r="H475" s="1822"/>
      <c r="I475" s="1822"/>
      <c r="J475" s="1822"/>
      <c r="K475" s="1822"/>
      <c r="L475" s="551"/>
      <c r="M475" s="550"/>
      <c r="N475" s="549"/>
      <c r="V475" s="674"/>
      <c r="W475" s="675"/>
      <c r="AB475" s="675"/>
      <c r="AD475" s="675"/>
      <c r="AE475" s="537" t="s">
        <v>204</v>
      </c>
      <c r="AF475" s="675"/>
      <c r="AG475" s="675"/>
    </row>
    <row r="476" spans="1:33" s="536" customFormat="1" ht="12" x14ac:dyDescent="0.2">
      <c r="A476" s="548"/>
      <c r="B476" s="552"/>
      <c r="C476" s="1822" t="s">
        <v>546</v>
      </c>
      <c r="D476" s="1822"/>
      <c r="E476" s="1822"/>
      <c r="F476" s="1822"/>
      <c r="G476" s="1822"/>
      <c r="H476" s="1822"/>
      <c r="I476" s="1822"/>
      <c r="J476" s="1822"/>
      <c r="K476" s="1822"/>
      <c r="L476" s="551">
        <v>819.39</v>
      </c>
      <c r="M476" s="550"/>
      <c r="N476" s="549"/>
      <c r="V476" s="674"/>
      <c r="W476" s="675"/>
      <c r="AB476" s="675"/>
      <c r="AD476" s="675"/>
      <c r="AE476" s="537" t="s">
        <v>546</v>
      </c>
      <c r="AF476" s="675"/>
      <c r="AG476" s="675"/>
    </row>
    <row r="477" spans="1:33" s="536" customFormat="1" ht="12" x14ac:dyDescent="0.2">
      <c r="A477" s="548"/>
      <c r="B477" s="552"/>
      <c r="C477" s="1822" t="s">
        <v>442</v>
      </c>
      <c r="D477" s="1822"/>
      <c r="E477" s="1822"/>
      <c r="F477" s="1822"/>
      <c r="G477" s="1822"/>
      <c r="H477" s="1822"/>
      <c r="I477" s="1822"/>
      <c r="J477" s="1822"/>
      <c r="K477" s="1822"/>
      <c r="L477" s="551">
        <v>1808.39</v>
      </c>
      <c r="M477" s="550"/>
      <c r="N477" s="549"/>
      <c r="V477" s="674"/>
      <c r="W477" s="675"/>
      <c r="AB477" s="675"/>
      <c r="AD477" s="675"/>
      <c r="AE477" s="537" t="s">
        <v>442</v>
      </c>
      <c r="AF477" s="675"/>
      <c r="AG477" s="675"/>
    </row>
    <row r="478" spans="1:33" s="536" customFormat="1" ht="12" x14ac:dyDescent="0.2">
      <c r="A478" s="548"/>
      <c r="B478" s="552"/>
      <c r="C478" s="1822" t="s">
        <v>547</v>
      </c>
      <c r="D478" s="1822"/>
      <c r="E478" s="1822"/>
      <c r="F478" s="1822"/>
      <c r="G478" s="1822"/>
      <c r="H478" s="1822"/>
      <c r="I478" s="1822"/>
      <c r="J478" s="1822"/>
      <c r="K478" s="1822"/>
      <c r="L478" s="551">
        <v>32162.61</v>
      </c>
      <c r="M478" s="550"/>
      <c r="N478" s="549"/>
      <c r="V478" s="674"/>
      <c r="W478" s="675"/>
      <c r="AB478" s="675"/>
      <c r="AD478" s="675"/>
      <c r="AE478" s="537" t="s">
        <v>547</v>
      </c>
      <c r="AF478" s="675"/>
      <c r="AG478" s="675"/>
    </row>
    <row r="479" spans="1:33" s="536" customFormat="1" ht="12" x14ac:dyDescent="0.2">
      <c r="A479" s="548"/>
      <c r="B479" s="552"/>
      <c r="C479" s="1822" t="s">
        <v>443</v>
      </c>
      <c r="D479" s="1822"/>
      <c r="E479" s="1822"/>
      <c r="F479" s="1822"/>
      <c r="G479" s="1822"/>
      <c r="H479" s="1822"/>
      <c r="I479" s="1822"/>
      <c r="J479" s="1822"/>
      <c r="K479" s="1822"/>
      <c r="L479" s="551">
        <v>959</v>
      </c>
      <c r="M479" s="550"/>
      <c r="N479" s="549"/>
      <c r="V479" s="674"/>
      <c r="W479" s="675"/>
      <c r="AB479" s="675"/>
      <c r="AD479" s="675"/>
      <c r="AE479" s="537" t="s">
        <v>443</v>
      </c>
      <c r="AF479" s="675"/>
      <c r="AG479" s="675"/>
    </row>
    <row r="480" spans="1:33" s="536" customFormat="1" ht="12" x14ac:dyDescent="0.2">
      <c r="A480" s="548"/>
      <c r="B480" s="552"/>
      <c r="C480" s="1822" t="s">
        <v>444</v>
      </c>
      <c r="D480" s="1822"/>
      <c r="E480" s="1822"/>
      <c r="F480" s="1822"/>
      <c r="G480" s="1822"/>
      <c r="H480" s="1822"/>
      <c r="I480" s="1822"/>
      <c r="J480" s="1822"/>
      <c r="K480" s="1822"/>
      <c r="L480" s="551">
        <v>503.69</v>
      </c>
      <c r="M480" s="550"/>
      <c r="N480" s="549"/>
      <c r="V480" s="674"/>
      <c r="W480" s="675"/>
      <c r="AB480" s="675"/>
      <c r="AD480" s="675"/>
      <c r="AE480" s="537" t="s">
        <v>444</v>
      </c>
      <c r="AF480" s="675"/>
      <c r="AG480" s="675"/>
    </row>
    <row r="481" spans="1:33" s="536" customFormat="1" ht="12" x14ac:dyDescent="0.2">
      <c r="A481" s="548"/>
      <c r="B481" s="552"/>
      <c r="C481" s="1822" t="s">
        <v>754</v>
      </c>
      <c r="D481" s="1822"/>
      <c r="E481" s="1822"/>
      <c r="F481" s="1822"/>
      <c r="G481" s="1822"/>
      <c r="H481" s="1822"/>
      <c r="I481" s="1822"/>
      <c r="J481" s="1822"/>
      <c r="K481" s="1822"/>
      <c r="L481" s="551">
        <v>854.68</v>
      </c>
      <c r="M481" s="550"/>
      <c r="N481" s="549"/>
      <c r="V481" s="674"/>
      <c r="W481" s="675"/>
      <c r="AB481" s="675"/>
      <c r="AD481" s="675"/>
      <c r="AE481" s="537" t="s">
        <v>754</v>
      </c>
      <c r="AF481" s="675"/>
      <c r="AG481" s="675"/>
    </row>
    <row r="482" spans="1:33" s="536" customFormat="1" ht="12" x14ac:dyDescent="0.2">
      <c r="A482" s="548"/>
      <c r="B482" s="552"/>
      <c r="C482" s="1822" t="s">
        <v>415</v>
      </c>
      <c r="D482" s="1822"/>
      <c r="E482" s="1822"/>
      <c r="F482" s="1822"/>
      <c r="G482" s="1822"/>
      <c r="H482" s="1822"/>
      <c r="I482" s="1822"/>
      <c r="J482" s="1822"/>
      <c r="K482" s="1822"/>
      <c r="L482" s="551">
        <v>1637.86</v>
      </c>
      <c r="M482" s="550"/>
      <c r="N482" s="549"/>
      <c r="V482" s="674"/>
      <c r="W482" s="675"/>
      <c r="AB482" s="675"/>
      <c r="AD482" s="675"/>
      <c r="AE482" s="537" t="s">
        <v>415</v>
      </c>
      <c r="AF482" s="675"/>
      <c r="AG482" s="675"/>
    </row>
    <row r="483" spans="1:33" s="536" customFormat="1" ht="12" x14ac:dyDescent="0.2">
      <c r="A483" s="548"/>
      <c r="B483" s="552"/>
      <c r="C483" s="1822" t="s">
        <v>416</v>
      </c>
      <c r="D483" s="1822"/>
      <c r="E483" s="1822"/>
      <c r="F483" s="1822"/>
      <c r="G483" s="1822"/>
      <c r="H483" s="1822"/>
      <c r="I483" s="1822"/>
      <c r="J483" s="1822"/>
      <c r="K483" s="1822"/>
      <c r="L483" s="551">
        <v>1534.94</v>
      </c>
      <c r="M483" s="550"/>
      <c r="N483" s="549"/>
      <c r="V483" s="674"/>
      <c r="W483" s="675"/>
      <c r="AB483" s="675"/>
      <c r="AD483" s="675"/>
      <c r="AE483" s="537" t="s">
        <v>416</v>
      </c>
      <c r="AF483" s="675"/>
      <c r="AG483" s="675"/>
    </row>
    <row r="484" spans="1:33" s="536" customFormat="1" ht="12" x14ac:dyDescent="0.2">
      <c r="A484" s="548"/>
      <c r="B484" s="552"/>
      <c r="C484" s="1822" t="s">
        <v>417</v>
      </c>
      <c r="D484" s="1822"/>
      <c r="E484" s="1822"/>
      <c r="F484" s="1822"/>
      <c r="G484" s="1822"/>
      <c r="H484" s="1822"/>
      <c r="I484" s="1822"/>
      <c r="J484" s="1822"/>
      <c r="K484" s="1822"/>
      <c r="L484" s="551">
        <v>763.7</v>
      </c>
      <c r="M484" s="550"/>
      <c r="N484" s="549"/>
      <c r="V484" s="674"/>
      <c r="W484" s="675"/>
      <c r="AB484" s="675"/>
      <c r="AD484" s="675"/>
      <c r="AE484" s="537" t="s">
        <v>417</v>
      </c>
      <c r="AF484" s="675"/>
      <c r="AG484" s="675"/>
    </row>
    <row r="485" spans="1:33" s="536" customFormat="1" ht="12" x14ac:dyDescent="0.2">
      <c r="A485" s="548"/>
      <c r="B485" s="546"/>
      <c r="C485" s="1819" t="s">
        <v>1803</v>
      </c>
      <c r="D485" s="1819"/>
      <c r="E485" s="1819"/>
      <c r="F485" s="1819"/>
      <c r="G485" s="1819"/>
      <c r="H485" s="1819"/>
      <c r="I485" s="1819"/>
      <c r="J485" s="1819"/>
      <c r="K485" s="1819"/>
      <c r="L485" s="544">
        <v>38630.47</v>
      </c>
      <c r="M485" s="543"/>
      <c r="N485" s="681"/>
      <c r="V485" s="674"/>
      <c r="W485" s="675"/>
      <c r="AB485" s="675"/>
      <c r="AD485" s="675"/>
      <c r="AF485" s="675" t="s">
        <v>1803</v>
      </c>
      <c r="AG485" s="675"/>
    </row>
    <row r="486" spans="1:33" s="536" customFormat="1" ht="12" x14ac:dyDescent="0.2">
      <c r="A486" s="548"/>
      <c r="B486" s="552"/>
      <c r="C486" s="1822" t="s">
        <v>204</v>
      </c>
      <c r="D486" s="1822"/>
      <c r="E486" s="1822"/>
      <c r="F486" s="1822"/>
      <c r="G486" s="1822"/>
      <c r="H486" s="1822"/>
      <c r="I486" s="1822"/>
      <c r="J486" s="1822"/>
      <c r="K486" s="1822"/>
      <c r="L486" s="551"/>
      <c r="M486" s="550"/>
      <c r="N486" s="549"/>
      <c r="V486" s="674"/>
      <c r="W486" s="675"/>
      <c r="AB486" s="675"/>
      <c r="AD486" s="675"/>
      <c r="AE486" s="537" t="s">
        <v>204</v>
      </c>
      <c r="AF486" s="675"/>
      <c r="AG486" s="675"/>
    </row>
    <row r="487" spans="1:33" s="536" customFormat="1" ht="12" x14ac:dyDescent="0.2">
      <c r="A487" s="548"/>
      <c r="B487" s="552"/>
      <c r="C487" s="1822" t="s">
        <v>8095</v>
      </c>
      <c r="D487" s="1822"/>
      <c r="E487" s="1822"/>
      <c r="F487" s="1822"/>
      <c r="G487" s="1822"/>
      <c r="H487" s="1822"/>
      <c r="I487" s="1822"/>
      <c r="J487" s="1822"/>
      <c r="K487" s="1822"/>
      <c r="L487" s="551">
        <v>31756.58</v>
      </c>
      <c r="M487" s="550"/>
      <c r="N487" s="549"/>
      <c r="V487" s="674"/>
      <c r="W487" s="675"/>
      <c r="AB487" s="675"/>
      <c r="AD487" s="675"/>
      <c r="AE487" s="537" t="s">
        <v>8095</v>
      </c>
      <c r="AF487" s="675"/>
      <c r="AG487" s="675"/>
    </row>
    <row r="488" spans="1:33" s="536" customFormat="1" ht="12" x14ac:dyDescent="0.2">
      <c r="A488" s="548"/>
      <c r="B488" s="552"/>
      <c r="C488" s="1822" t="s">
        <v>8097</v>
      </c>
      <c r="D488" s="1822"/>
      <c r="E488" s="1822"/>
      <c r="F488" s="1822"/>
      <c r="G488" s="1822"/>
      <c r="H488" s="1822"/>
      <c r="I488" s="1822"/>
      <c r="J488" s="1822"/>
      <c r="K488" s="1822"/>
      <c r="L488" s="551">
        <v>854.68</v>
      </c>
      <c r="M488" s="550"/>
      <c r="N488" s="549"/>
      <c r="V488" s="674"/>
      <c r="W488" s="675"/>
      <c r="AB488" s="675"/>
      <c r="AD488" s="675"/>
      <c r="AE488" s="537" t="s">
        <v>8097</v>
      </c>
      <c r="AF488" s="675"/>
      <c r="AG488" s="675"/>
    </row>
    <row r="489" spans="1:33" s="536" customFormat="1" ht="12" x14ac:dyDescent="0.2">
      <c r="A489" s="1824" t="s">
        <v>1124</v>
      </c>
      <c r="B489" s="1825"/>
      <c r="C489" s="1825"/>
      <c r="D489" s="1825"/>
      <c r="E489" s="1825"/>
      <c r="F489" s="1825"/>
      <c r="G489" s="1825"/>
      <c r="H489" s="1825"/>
      <c r="I489" s="1825"/>
      <c r="J489" s="1825"/>
      <c r="K489" s="1825"/>
      <c r="L489" s="1825"/>
      <c r="M489" s="1825"/>
      <c r="N489" s="1826"/>
      <c r="V489" s="674" t="s">
        <v>1124</v>
      </c>
      <c r="W489" s="675"/>
      <c r="AB489" s="675"/>
      <c r="AD489" s="675"/>
      <c r="AF489" s="675"/>
      <c r="AG489" s="675"/>
    </row>
    <row r="490" spans="1:33" s="536" customFormat="1" ht="67.5" x14ac:dyDescent="0.2">
      <c r="A490" s="575" t="s">
        <v>653</v>
      </c>
      <c r="B490" s="670" t="s">
        <v>1503</v>
      </c>
      <c r="C490" s="1823" t="s">
        <v>1804</v>
      </c>
      <c r="D490" s="1823"/>
      <c r="E490" s="1823"/>
      <c r="F490" s="573" t="s">
        <v>201</v>
      </c>
      <c r="G490" s="573"/>
      <c r="H490" s="573"/>
      <c r="I490" s="573" t="s">
        <v>2471</v>
      </c>
      <c r="J490" s="572">
        <v>127.09</v>
      </c>
      <c r="K490" s="573"/>
      <c r="L490" s="572">
        <v>0.51</v>
      </c>
      <c r="M490" s="571"/>
      <c r="N490" s="570"/>
      <c r="V490" s="674"/>
      <c r="W490" s="675" t="s">
        <v>1804</v>
      </c>
      <c r="AB490" s="675"/>
      <c r="AD490" s="675"/>
      <c r="AF490" s="675"/>
      <c r="AG490" s="675"/>
    </row>
    <row r="491" spans="1:33" s="536" customFormat="1" ht="12" x14ac:dyDescent="0.2">
      <c r="A491" s="569"/>
      <c r="B491" s="671"/>
      <c r="C491" s="665" t="s">
        <v>1658</v>
      </c>
      <c r="D491" s="666"/>
      <c r="E491" s="666"/>
      <c r="F491" s="563"/>
      <c r="G491" s="563"/>
      <c r="H491" s="563"/>
      <c r="I491" s="563"/>
      <c r="J491" s="566"/>
      <c r="K491" s="563"/>
      <c r="L491" s="566"/>
      <c r="M491" s="565"/>
      <c r="N491" s="564"/>
      <c r="V491" s="674"/>
      <c r="W491" s="675"/>
      <c r="AB491" s="675"/>
      <c r="AD491" s="675"/>
      <c r="AF491" s="675"/>
      <c r="AG491" s="675"/>
    </row>
    <row r="492" spans="1:33" s="536" customFormat="1" ht="1.5" customHeight="1" x14ac:dyDescent="0.2">
      <c r="A492" s="563"/>
      <c r="B492" s="671"/>
      <c r="C492" s="671"/>
      <c r="D492" s="671"/>
      <c r="E492" s="671"/>
      <c r="F492" s="563"/>
      <c r="G492" s="563"/>
      <c r="H492" s="563"/>
      <c r="I492" s="563"/>
      <c r="J492" s="546"/>
      <c r="K492" s="563"/>
      <c r="L492" s="546"/>
      <c r="M492" s="562"/>
      <c r="N492" s="546"/>
      <c r="V492" s="674"/>
      <c r="W492" s="675"/>
      <c r="AB492" s="675"/>
      <c r="AD492" s="675"/>
      <c r="AF492" s="675"/>
      <c r="AG492" s="675"/>
    </row>
    <row r="493" spans="1:33" s="536" customFormat="1" ht="22.5" x14ac:dyDescent="0.2">
      <c r="A493" s="557"/>
      <c r="B493" s="556"/>
      <c r="C493" s="1823" t="s">
        <v>1138</v>
      </c>
      <c r="D493" s="1823"/>
      <c r="E493" s="1823"/>
      <c r="F493" s="1823"/>
      <c r="G493" s="1823"/>
      <c r="H493" s="1823"/>
      <c r="I493" s="1823"/>
      <c r="J493" s="1823"/>
      <c r="K493" s="1823"/>
      <c r="L493" s="555"/>
      <c r="M493" s="554"/>
      <c r="N493" s="553"/>
      <c r="V493" s="674"/>
      <c r="W493" s="675"/>
      <c r="AB493" s="675"/>
      <c r="AD493" s="675" t="s">
        <v>1138</v>
      </c>
      <c r="AF493" s="675"/>
      <c r="AG493" s="675"/>
    </row>
    <row r="494" spans="1:33" s="536" customFormat="1" ht="12" x14ac:dyDescent="0.2">
      <c r="A494" s="548"/>
      <c r="B494" s="552"/>
      <c r="C494" s="1822" t="s">
        <v>403</v>
      </c>
      <c r="D494" s="1822"/>
      <c r="E494" s="1822"/>
      <c r="F494" s="1822"/>
      <c r="G494" s="1822"/>
      <c r="H494" s="1822"/>
      <c r="I494" s="1822"/>
      <c r="J494" s="1822"/>
      <c r="K494" s="1822"/>
      <c r="L494" s="551">
        <v>0.51</v>
      </c>
      <c r="M494" s="550"/>
      <c r="N494" s="549"/>
      <c r="V494" s="674"/>
      <c r="W494" s="675"/>
      <c r="AB494" s="675"/>
      <c r="AD494" s="675"/>
      <c r="AE494" s="537" t="s">
        <v>403</v>
      </c>
      <c r="AF494" s="675"/>
      <c r="AG494" s="675"/>
    </row>
    <row r="495" spans="1:33" s="536" customFormat="1" ht="12" x14ac:dyDescent="0.2">
      <c r="A495" s="548"/>
      <c r="B495" s="552"/>
      <c r="C495" s="1822" t="s">
        <v>204</v>
      </c>
      <c r="D495" s="1822"/>
      <c r="E495" s="1822"/>
      <c r="F495" s="1822"/>
      <c r="G495" s="1822"/>
      <c r="H495" s="1822"/>
      <c r="I495" s="1822"/>
      <c r="J495" s="1822"/>
      <c r="K495" s="1822"/>
      <c r="L495" s="551"/>
      <c r="M495" s="550"/>
      <c r="N495" s="549"/>
      <c r="V495" s="674"/>
      <c r="W495" s="675"/>
      <c r="AB495" s="675"/>
      <c r="AD495" s="675"/>
      <c r="AE495" s="537" t="s">
        <v>204</v>
      </c>
      <c r="AF495" s="675"/>
      <c r="AG495" s="675"/>
    </row>
    <row r="496" spans="1:33" s="536" customFormat="1" ht="12" x14ac:dyDescent="0.2">
      <c r="A496" s="548"/>
      <c r="B496" s="552"/>
      <c r="C496" s="1822" t="s">
        <v>480</v>
      </c>
      <c r="D496" s="1822"/>
      <c r="E496" s="1822"/>
      <c r="F496" s="1822"/>
      <c r="G496" s="1822"/>
      <c r="H496" s="1822"/>
      <c r="I496" s="1822"/>
      <c r="J496" s="1822"/>
      <c r="K496" s="1822"/>
      <c r="L496" s="551">
        <v>0.51</v>
      </c>
      <c r="M496" s="550"/>
      <c r="N496" s="549"/>
      <c r="V496" s="674"/>
      <c r="W496" s="675"/>
      <c r="AB496" s="675"/>
      <c r="AD496" s="675"/>
      <c r="AE496" s="537" t="s">
        <v>480</v>
      </c>
      <c r="AF496" s="675"/>
      <c r="AG496" s="675"/>
    </row>
    <row r="497" spans="1:35" s="536" customFormat="1" ht="12" x14ac:dyDescent="0.2">
      <c r="A497" s="548"/>
      <c r="B497" s="552"/>
      <c r="C497" s="1822" t="s">
        <v>753</v>
      </c>
      <c r="D497" s="1822"/>
      <c r="E497" s="1822"/>
      <c r="F497" s="1822"/>
      <c r="G497" s="1822"/>
      <c r="H497" s="1822"/>
      <c r="I497" s="1822"/>
      <c r="J497" s="1822"/>
      <c r="K497" s="1822"/>
      <c r="L497" s="551">
        <v>0.51</v>
      </c>
      <c r="M497" s="550"/>
      <c r="N497" s="549"/>
      <c r="V497" s="674"/>
      <c r="W497" s="675"/>
      <c r="AB497" s="675"/>
      <c r="AD497" s="675"/>
      <c r="AE497" s="537" t="s">
        <v>753</v>
      </c>
      <c r="AF497" s="675"/>
      <c r="AG497" s="675"/>
    </row>
    <row r="498" spans="1:35" s="536" customFormat="1" ht="12" x14ac:dyDescent="0.2">
      <c r="A498" s="548"/>
      <c r="B498" s="552"/>
      <c r="C498" s="1822" t="s">
        <v>204</v>
      </c>
      <c r="D498" s="1822"/>
      <c r="E498" s="1822"/>
      <c r="F498" s="1822"/>
      <c r="G498" s="1822"/>
      <c r="H498" s="1822"/>
      <c r="I498" s="1822"/>
      <c r="J498" s="1822"/>
      <c r="K498" s="1822"/>
      <c r="L498" s="551"/>
      <c r="M498" s="550"/>
      <c r="N498" s="549"/>
      <c r="V498" s="674"/>
      <c r="W498" s="675"/>
      <c r="AB498" s="675"/>
      <c r="AD498" s="675"/>
      <c r="AE498" s="537" t="s">
        <v>204</v>
      </c>
      <c r="AF498" s="675"/>
      <c r="AG498" s="675"/>
    </row>
    <row r="499" spans="1:35" s="536" customFormat="1" ht="12" x14ac:dyDescent="0.2">
      <c r="A499" s="548"/>
      <c r="B499" s="552"/>
      <c r="C499" s="1822" t="s">
        <v>547</v>
      </c>
      <c r="D499" s="1822"/>
      <c r="E499" s="1822"/>
      <c r="F499" s="1822"/>
      <c r="G499" s="1822"/>
      <c r="H499" s="1822"/>
      <c r="I499" s="1822"/>
      <c r="J499" s="1822"/>
      <c r="K499" s="1822"/>
      <c r="L499" s="551">
        <v>0.51</v>
      </c>
      <c r="M499" s="550"/>
      <c r="N499" s="549"/>
      <c r="V499" s="674"/>
      <c r="W499" s="675"/>
      <c r="AB499" s="675"/>
      <c r="AD499" s="675"/>
      <c r="AE499" s="537" t="s">
        <v>547</v>
      </c>
      <c r="AF499" s="675"/>
      <c r="AG499" s="675"/>
    </row>
    <row r="500" spans="1:35" s="536" customFormat="1" ht="22.5" x14ac:dyDescent="0.2">
      <c r="A500" s="548"/>
      <c r="B500" s="546"/>
      <c r="C500" s="1819" t="s">
        <v>1139</v>
      </c>
      <c r="D500" s="1819"/>
      <c r="E500" s="1819"/>
      <c r="F500" s="1819"/>
      <c r="G500" s="1819"/>
      <c r="H500" s="1819"/>
      <c r="I500" s="1819"/>
      <c r="J500" s="1819"/>
      <c r="K500" s="1819"/>
      <c r="L500" s="544">
        <v>0.51</v>
      </c>
      <c r="M500" s="543"/>
      <c r="N500" s="681"/>
      <c r="V500" s="674"/>
      <c r="W500" s="675"/>
      <c r="AB500" s="675"/>
      <c r="AD500" s="675"/>
      <c r="AF500" s="675" t="s">
        <v>1139</v>
      </c>
      <c r="AG500" s="675"/>
    </row>
    <row r="501" spans="1:35" s="536" customFormat="1" ht="2.25" customHeight="1" x14ac:dyDescent="0.2">
      <c r="B501" s="561"/>
      <c r="C501" s="561"/>
      <c r="D501" s="561"/>
      <c r="E501" s="561"/>
      <c r="F501" s="561"/>
      <c r="G501" s="561"/>
      <c r="H501" s="561"/>
      <c r="I501" s="561"/>
      <c r="J501" s="561"/>
      <c r="K501" s="561"/>
      <c r="L501" s="560"/>
      <c r="M501" s="559"/>
      <c r="N501" s="558"/>
    </row>
    <row r="502" spans="1:35" s="536" customFormat="1" x14ac:dyDescent="0.2">
      <c r="A502" s="557"/>
      <c r="B502" s="556"/>
      <c r="C502" s="1823" t="s">
        <v>205</v>
      </c>
      <c r="D502" s="1823"/>
      <c r="E502" s="1823"/>
      <c r="F502" s="1823"/>
      <c r="G502" s="1823"/>
      <c r="H502" s="1823"/>
      <c r="I502" s="1823"/>
      <c r="J502" s="1823"/>
      <c r="K502" s="1823"/>
      <c r="L502" s="555"/>
      <c r="M502" s="554"/>
      <c r="N502" s="553"/>
      <c r="AH502" s="675" t="s">
        <v>205</v>
      </c>
    </row>
    <row r="503" spans="1:35" s="536" customFormat="1" x14ac:dyDescent="0.2">
      <c r="A503" s="548"/>
      <c r="B503" s="552"/>
      <c r="C503" s="1822" t="s">
        <v>403</v>
      </c>
      <c r="D503" s="1822"/>
      <c r="E503" s="1822"/>
      <c r="F503" s="1822"/>
      <c r="G503" s="1822"/>
      <c r="H503" s="1822"/>
      <c r="I503" s="1822"/>
      <c r="J503" s="1822"/>
      <c r="K503" s="1822"/>
      <c r="L503" s="551">
        <v>35615.300000000003</v>
      </c>
      <c r="M503" s="550"/>
      <c r="N503" s="549"/>
      <c r="AH503" s="675"/>
      <c r="AI503" s="537" t="s">
        <v>403</v>
      </c>
    </row>
    <row r="504" spans="1:35" s="536" customFormat="1" x14ac:dyDescent="0.2">
      <c r="A504" s="548"/>
      <c r="B504" s="552"/>
      <c r="C504" s="1822" t="s">
        <v>204</v>
      </c>
      <c r="D504" s="1822"/>
      <c r="E504" s="1822"/>
      <c r="F504" s="1822"/>
      <c r="G504" s="1822"/>
      <c r="H504" s="1822"/>
      <c r="I504" s="1822"/>
      <c r="J504" s="1822"/>
      <c r="K504" s="1822"/>
      <c r="L504" s="551"/>
      <c r="M504" s="550"/>
      <c r="N504" s="549"/>
      <c r="AH504" s="675"/>
      <c r="AI504" s="537" t="s">
        <v>204</v>
      </c>
    </row>
    <row r="505" spans="1:35" s="536" customFormat="1" x14ac:dyDescent="0.2">
      <c r="A505" s="548"/>
      <c r="B505" s="552"/>
      <c r="C505" s="1822" t="s">
        <v>404</v>
      </c>
      <c r="D505" s="1822"/>
      <c r="E505" s="1822"/>
      <c r="F505" s="1822"/>
      <c r="G505" s="1822"/>
      <c r="H505" s="1822"/>
      <c r="I505" s="1822"/>
      <c r="J505" s="1822"/>
      <c r="K505" s="1822"/>
      <c r="L505" s="551">
        <v>1530.31</v>
      </c>
      <c r="M505" s="550"/>
      <c r="N505" s="549"/>
      <c r="AH505" s="675"/>
      <c r="AI505" s="537" t="s">
        <v>404</v>
      </c>
    </row>
    <row r="506" spans="1:35" s="536" customFormat="1" x14ac:dyDescent="0.2">
      <c r="A506" s="548"/>
      <c r="B506" s="552"/>
      <c r="C506" s="1822" t="s">
        <v>405</v>
      </c>
      <c r="D506" s="1822"/>
      <c r="E506" s="1822"/>
      <c r="F506" s="1822"/>
      <c r="G506" s="1822"/>
      <c r="H506" s="1822"/>
      <c r="I506" s="1822"/>
      <c r="J506" s="1822"/>
      <c r="K506" s="1822"/>
      <c r="L506" s="551">
        <v>1896.2</v>
      </c>
      <c r="M506" s="550"/>
      <c r="N506" s="549"/>
      <c r="AH506" s="675"/>
      <c r="AI506" s="537" t="s">
        <v>405</v>
      </c>
    </row>
    <row r="507" spans="1:35" s="536" customFormat="1" x14ac:dyDescent="0.2">
      <c r="A507" s="548"/>
      <c r="B507" s="552"/>
      <c r="C507" s="1822" t="s">
        <v>406</v>
      </c>
      <c r="D507" s="1822"/>
      <c r="E507" s="1822"/>
      <c r="F507" s="1822"/>
      <c r="G507" s="1822"/>
      <c r="H507" s="1822"/>
      <c r="I507" s="1822"/>
      <c r="J507" s="1822"/>
      <c r="K507" s="1822"/>
      <c r="L507" s="551">
        <v>181.51</v>
      </c>
      <c r="M507" s="550"/>
      <c r="N507" s="549"/>
      <c r="AH507" s="675"/>
      <c r="AI507" s="537" t="s">
        <v>406</v>
      </c>
    </row>
    <row r="508" spans="1:35" s="536" customFormat="1" x14ac:dyDescent="0.2">
      <c r="A508" s="548"/>
      <c r="B508" s="552"/>
      <c r="C508" s="1822" t="s">
        <v>480</v>
      </c>
      <c r="D508" s="1822"/>
      <c r="E508" s="1822"/>
      <c r="F508" s="1822"/>
      <c r="G508" s="1822"/>
      <c r="H508" s="1822"/>
      <c r="I508" s="1822"/>
      <c r="J508" s="1822"/>
      <c r="K508" s="1822"/>
      <c r="L508" s="551">
        <v>32188.79</v>
      </c>
      <c r="M508" s="550"/>
      <c r="N508" s="549"/>
      <c r="AH508" s="675"/>
      <c r="AI508" s="537" t="s">
        <v>480</v>
      </c>
    </row>
    <row r="509" spans="1:35" s="536" customFormat="1" x14ac:dyDescent="0.2">
      <c r="A509" s="548"/>
      <c r="B509" s="552" t="s">
        <v>185</v>
      </c>
      <c r="C509" s="1822" t="s">
        <v>407</v>
      </c>
      <c r="D509" s="1822"/>
      <c r="E509" s="1822"/>
      <c r="F509" s="1822"/>
      <c r="G509" s="1822"/>
      <c r="H509" s="1822"/>
      <c r="I509" s="1822"/>
      <c r="J509" s="1822"/>
      <c r="K509" s="1822"/>
      <c r="L509" s="551">
        <v>1522.71</v>
      </c>
      <c r="M509" s="550">
        <v>8.32</v>
      </c>
      <c r="N509" s="549">
        <v>12669</v>
      </c>
      <c r="AH509" s="675"/>
      <c r="AI509" s="537" t="s">
        <v>407</v>
      </c>
    </row>
    <row r="510" spans="1:35" s="536" customFormat="1" x14ac:dyDescent="0.2">
      <c r="A510" s="548"/>
      <c r="B510" s="552"/>
      <c r="C510" s="1822" t="s">
        <v>204</v>
      </c>
      <c r="D510" s="1822"/>
      <c r="E510" s="1822"/>
      <c r="F510" s="1822"/>
      <c r="G510" s="1822"/>
      <c r="H510" s="1822"/>
      <c r="I510" s="1822"/>
      <c r="J510" s="1822"/>
      <c r="K510" s="1822"/>
      <c r="L510" s="551"/>
      <c r="M510" s="550"/>
      <c r="N510" s="549"/>
      <c r="AH510" s="675"/>
      <c r="AI510" s="537" t="s">
        <v>204</v>
      </c>
    </row>
    <row r="511" spans="1:35" s="536" customFormat="1" x14ac:dyDescent="0.2">
      <c r="A511" s="548"/>
      <c r="B511" s="552"/>
      <c r="C511" s="1822" t="s">
        <v>546</v>
      </c>
      <c r="D511" s="1822"/>
      <c r="E511" s="1822"/>
      <c r="F511" s="1822"/>
      <c r="G511" s="1822"/>
      <c r="H511" s="1822"/>
      <c r="I511" s="1822"/>
      <c r="J511" s="1822"/>
      <c r="K511" s="1822"/>
      <c r="L511" s="551">
        <v>641.30999999999995</v>
      </c>
      <c r="M511" s="550"/>
      <c r="N511" s="549"/>
      <c r="AH511" s="675"/>
      <c r="AI511" s="537" t="s">
        <v>546</v>
      </c>
    </row>
    <row r="512" spans="1:35" s="536" customFormat="1" x14ac:dyDescent="0.2">
      <c r="A512" s="548"/>
      <c r="B512" s="552"/>
      <c r="C512" s="1822" t="s">
        <v>442</v>
      </c>
      <c r="D512" s="1822"/>
      <c r="E512" s="1822"/>
      <c r="F512" s="1822"/>
      <c r="G512" s="1822"/>
      <c r="H512" s="1822"/>
      <c r="I512" s="1822"/>
      <c r="J512" s="1822"/>
      <c r="K512" s="1822"/>
      <c r="L512" s="551">
        <v>45.45</v>
      </c>
      <c r="M512" s="550"/>
      <c r="N512" s="549"/>
      <c r="AH512" s="675"/>
      <c r="AI512" s="537" t="s">
        <v>442</v>
      </c>
    </row>
    <row r="513" spans="1:36" x14ac:dyDescent="0.2">
      <c r="A513" s="548"/>
      <c r="B513" s="552"/>
      <c r="C513" s="1822" t="s">
        <v>443</v>
      </c>
      <c r="D513" s="1822"/>
      <c r="E513" s="1822"/>
      <c r="F513" s="1822"/>
      <c r="G513" s="1822"/>
      <c r="H513" s="1822"/>
      <c r="I513" s="1822"/>
      <c r="J513" s="1822"/>
      <c r="K513" s="1822"/>
      <c r="L513" s="551">
        <v>575.94000000000005</v>
      </c>
      <c r="M513" s="550"/>
      <c r="N513" s="549"/>
      <c r="P513" s="536"/>
      <c r="Q513" s="536"/>
      <c r="R513" s="536"/>
      <c r="S513" s="536"/>
      <c r="T513" s="536"/>
      <c r="U513" s="536"/>
      <c r="V513" s="536"/>
      <c r="W513" s="536"/>
      <c r="X513" s="536"/>
      <c r="Y513" s="536"/>
      <c r="Z513" s="536"/>
      <c r="AA513" s="536"/>
      <c r="AB513" s="536"/>
      <c r="AC513" s="536"/>
      <c r="AD513" s="536"/>
      <c r="AE513" s="536"/>
      <c r="AF513" s="536"/>
      <c r="AG513" s="536"/>
      <c r="AH513" s="675"/>
      <c r="AI513" s="537" t="s">
        <v>443</v>
      </c>
      <c r="AJ513" s="536"/>
    </row>
    <row r="514" spans="1:36" x14ac:dyDescent="0.2">
      <c r="A514" s="548"/>
      <c r="B514" s="552"/>
      <c r="C514" s="1822" t="s">
        <v>444</v>
      </c>
      <c r="D514" s="1822"/>
      <c r="E514" s="1822"/>
      <c r="F514" s="1822"/>
      <c r="G514" s="1822"/>
      <c r="H514" s="1822"/>
      <c r="I514" s="1822"/>
      <c r="J514" s="1822"/>
      <c r="K514" s="1822"/>
      <c r="L514" s="551">
        <v>260.01</v>
      </c>
      <c r="M514" s="550"/>
      <c r="N514" s="549"/>
      <c r="P514" s="536"/>
      <c r="Q514" s="536"/>
      <c r="R514" s="536"/>
      <c r="S514" s="536"/>
      <c r="T514" s="536"/>
      <c r="U514" s="536"/>
      <c r="V514" s="536"/>
      <c r="W514" s="536"/>
      <c r="X514" s="536"/>
      <c r="Y514" s="536"/>
      <c r="Z514" s="536"/>
      <c r="AA514" s="536"/>
      <c r="AB514" s="536"/>
      <c r="AC514" s="536"/>
      <c r="AD514" s="536"/>
      <c r="AE514" s="536"/>
      <c r="AF514" s="536"/>
      <c r="AG514" s="536"/>
      <c r="AH514" s="675"/>
      <c r="AI514" s="537" t="s">
        <v>444</v>
      </c>
      <c r="AJ514" s="536"/>
    </row>
    <row r="515" spans="1:36" x14ac:dyDescent="0.2">
      <c r="A515" s="548"/>
      <c r="B515" s="552" t="s">
        <v>185</v>
      </c>
      <c r="C515" s="1822" t="s">
        <v>753</v>
      </c>
      <c r="D515" s="1822"/>
      <c r="E515" s="1822"/>
      <c r="F515" s="1822"/>
      <c r="G515" s="1822"/>
      <c r="H515" s="1822"/>
      <c r="I515" s="1822"/>
      <c r="J515" s="1822"/>
      <c r="K515" s="1822"/>
      <c r="L515" s="551">
        <v>36500.699999999997</v>
      </c>
      <c r="M515" s="550">
        <v>8.32</v>
      </c>
      <c r="N515" s="549">
        <v>303686</v>
      </c>
      <c r="P515" s="536"/>
      <c r="Q515" s="536"/>
      <c r="R515" s="536"/>
      <c r="S515" s="536"/>
      <c r="T515" s="536"/>
      <c r="U515" s="536"/>
      <c r="V515" s="536"/>
      <c r="W515" s="536"/>
      <c r="X515" s="536"/>
      <c r="Y515" s="536"/>
      <c r="Z515" s="536"/>
      <c r="AA515" s="536"/>
      <c r="AB515" s="536"/>
      <c r="AC515" s="536"/>
      <c r="AD515" s="536"/>
      <c r="AE515" s="536"/>
      <c r="AF515" s="536"/>
      <c r="AG515" s="536"/>
      <c r="AH515" s="675"/>
      <c r="AI515" s="537" t="s">
        <v>753</v>
      </c>
      <c r="AJ515" s="536"/>
    </row>
    <row r="516" spans="1:36" x14ac:dyDescent="0.2">
      <c r="A516" s="548"/>
      <c r="B516" s="552"/>
      <c r="C516" s="1822" t="s">
        <v>204</v>
      </c>
      <c r="D516" s="1822"/>
      <c r="E516" s="1822"/>
      <c r="F516" s="1822"/>
      <c r="G516" s="1822"/>
      <c r="H516" s="1822"/>
      <c r="I516" s="1822"/>
      <c r="J516" s="1822"/>
      <c r="K516" s="1822"/>
      <c r="L516" s="551"/>
      <c r="M516" s="550"/>
      <c r="N516" s="549"/>
      <c r="P516" s="536"/>
      <c r="Q516" s="536"/>
      <c r="R516" s="536"/>
      <c r="S516" s="536"/>
      <c r="T516" s="536"/>
      <c r="U516" s="536"/>
      <c r="V516" s="536"/>
      <c r="W516" s="536"/>
      <c r="X516" s="536"/>
      <c r="Y516" s="536"/>
      <c r="Z516" s="536"/>
      <c r="AA516" s="536"/>
      <c r="AB516" s="536"/>
      <c r="AC516" s="536"/>
      <c r="AD516" s="536"/>
      <c r="AE516" s="536"/>
      <c r="AF516" s="536"/>
      <c r="AG516" s="536"/>
      <c r="AH516" s="675"/>
      <c r="AI516" s="537" t="s">
        <v>204</v>
      </c>
      <c r="AJ516" s="536"/>
    </row>
    <row r="517" spans="1:36" x14ac:dyDescent="0.2">
      <c r="A517" s="548"/>
      <c r="B517" s="552"/>
      <c r="C517" s="1822" t="s">
        <v>546</v>
      </c>
      <c r="D517" s="1822"/>
      <c r="E517" s="1822"/>
      <c r="F517" s="1822"/>
      <c r="G517" s="1822"/>
      <c r="H517" s="1822"/>
      <c r="I517" s="1822"/>
      <c r="J517" s="1822"/>
      <c r="K517" s="1822"/>
      <c r="L517" s="551">
        <v>889</v>
      </c>
      <c r="M517" s="550"/>
      <c r="N517" s="549"/>
      <c r="P517" s="536"/>
      <c r="Q517" s="536"/>
      <c r="R517" s="536"/>
      <c r="S517" s="536"/>
      <c r="T517" s="536"/>
      <c r="U517" s="536"/>
      <c r="V517" s="536"/>
      <c r="W517" s="536"/>
      <c r="X517" s="536"/>
      <c r="Y517" s="536"/>
      <c r="Z517" s="536"/>
      <c r="AA517" s="536"/>
      <c r="AB517" s="536"/>
      <c r="AC517" s="536"/>
      <c r="AD517" s="536"/>
      <c r="AE517" s="536"/>
      <c r="AF517" s="536"/>
      <c r="AG517" s="536"/>
      <c r="AH517" s="675"/>
      <c r="AI517" s="537" t="s">
        <v>546</v>
      </c>
      <c r="AJ517" s="536"/>
    </row>
    <row r="518" spans="1:36" x14ac:dyDescent="0.2">
      <c r="A518" s="548"/>
      <c r="B518" s="552"/>
      <c r="C518" s="1822" t="s">
        <v>442</v>
      </c>
      <c r="D518" s="1822"/>
      <c r="E518" s="1822"/>
      <c r="F518" s="1822"/>
      <c r="G518" s="1822"/>
      <c r="H518" s="1822"/>
      <c r="I518" s="1822"/>
      <c r="J518" s="1822"/>
      <c r="K518" s="1822"/>
      <c r="L518" s="551">
        <v>1850.75</v>
      </c>
      <c r="M518" s="550"/>
      <c r="N518" s="549"/>
      <c r="P518" s="536"/>
      <c r="Q518" s="536"/>
      <c r="R518" s="536"/>
      <c r="S518" s="536"/>
      <c r="T518" s="536"/>
      <c r="U518" s="536"/>
      <c r="V518" s="536"/>
      <c r="W518" s="536"/>
      <c r="X518" s="536"/>
      <c r="Y518" s="536"/>
      <c r="Z518" s="536"/>
      <c r="AA518" s="536"/>
      <c r="AB518" s="536"/>
      <c r="AC518" s="536"/>
      <c r="AD518" s="536"/>
      <c r="AE518" s="536"/>
      <c r="AF518" s="536"/>
      <c r="AG518" s="536"/>
      <c r="AH518" s="675"/>
      <c r="AI518" s="537" t="s">
        <v>442</v>
      </c>
      <c r="AJ518" s="536"/>
    </row>
    <row r="519" spans="1:36" x14ac:dyDescent="0.2">
      <c r="A519" s="548"/>
      <c r="B519" s="552"/>
      <c r="C519" s="1822" t="s">
        <v>547</v>
      </c>
      <c r="D519" s="1822"/>
      <c r="E519" s="1822"/>
      <c r="F519" s="1822"/>
      <c r="G519" s="1822"/>
      <c r="H519" s="1822"/>
      <c r="I519" s="1822"/>
      <c r="J519" s="1822"/>
      <c r="K519" s="1822"/>
      <c r="L519" s="551">
        <v>32188.79</v>
      </c>
      <c r="M519" s="550"/>
      <c r="N519" s="549"/>
      <c r="P519" s="536"/>
      <c r="Q519" s="536"/>
      <c r="R519" s="536"/>
      <c r="S519" s="536"/>
      <c r="T519" s="536"/>
      <c r="U519" s="536"/>
      <c r="V519" s="536"/>
      <c r="W519" s="536"/>
      <c r="X519" s="536"/>
      <c r="Y519" s="536"/>
      <c r="Z519" s="536"/>
      <c r="AA519" s="536"/>
      <c r="AB519" s="536"/>
      <c r="AC519" s="536"/>
      <c r="AD519" s="536"/>
      <c r="AE519" s="536"/>
      <c r="AF519" s="536"/>
      <c r="AG519" s="536"/>
      <c r="AH519" s="675"/>
      <c r="AI519" s="537" t="s">
        <v>547</v>
      </c>
      <c r="AJ519" s="536"/>
    </row>
    <row r="520" spans="1:36" x14ac:dyDescent="0.2">
      <c r="A520" s="548"/>
      <c r="B520" s="552"/>
      <c r="C520" s="1822" t="s">
        <v>443</v>
      </c>
      <c r="D520" s="1822"/>
      <c r="E520" s="1822"/>
      <c r="F520" s="1822"/>
      <c r="G520" s="1822"/>
      <c r="H520" s="1822"/>
      <c r="I520" s="1822"/>
      <c r="J520" s="1822"/>
      <c r="K520" s="1822"/>
      <c r="L520" s="551">
        <v>1030.75</v>
      </c>
      <c r="M520" s="550"/>
      <c r="N520" s="549"/>
      <c r="P520" s="536"/>
      <c r="Q520" s="536"/>
      <c r="R520" s="536"/>
      <c r="S520" s="536"/>
      <c r="T520" s="536"/>
      <c r="U520" s="536"/>
      <c r="V520" s="536"/>
      <c r="W520" s="536"/>
      <c r="X520" s="536"/>
      <c r="Y520" s="536"/>
      <c r="Z520" s="536"/>
      <c r="AA520" s="536"/>
      <c r="AB520" s="536"/>
      <c r="AC520" s="536"/>
      <c r="AD520" s="536"/>
      <c r="AE520" s="536"/>
      <c r="AF520" s="536"/>
      <c r="AG520" s="536"/>
      <c r="AH520" s="675"/>
      <c r="AI520" s="537" t="s">
        <v>443</v>
      </c>
      <c r="AJ520" s="536"/>
    </row>
    <row r="521" spans="1:36" x14ac:dyDescent="0.2">
      <c r="A521" s="548"/>
      <c r="B521" s="552"/>
      <c r="C521" s="1822" t="s">
        <v>444</v>
      </c>
      <c r="D521" s="1822"/>
      <c r="E521" s="1822"/>
      <c r="F521" s="1822"/>
      <c r="G521" s="1822"/>
      <c r="H521" s="1822"/>
      <c r="I521" s="1822"/>
      <c r="J521" s="1822"/>
      <c r="K521" s="1822"/>
      <c r="L521" s="551">
        <v>541.41</v>
      </c>
      <c r="M521" s="550"/>
      <c r="N521" s="549"/>
      <c r="P521" s="536"/>
      <c r="Q521" s="536"/>
      <c r="R521" s="536"/>
      <c r="S521" s="536"/>
      <c r="T521" s="536"/>
      <c r="U521" s="536"/>
      <c r="V521" s="536"/>
      <c r="W521" s="536"/>
      <c r="X521" s="536"/>
      <c r="Y521" s="536"/>
      <c r="Z521" s="536"/>
      <c r="AA521" s="536"/>
      <c r="AB521" s="536"/>
      <c r="AC521" s="536"/>
      <c r="AD521" s="536"/>
      <c r="AE521" s="536"/>
      <c r="AF521" s="536"/>
      <c r="AG521" s="536"/>
      <c r="AH521" s="675"/>
      <c r="AI521" s="537" t="s">
        <v>444</v>
      </c>
      <c r="AJ521" s="536"/>
    </row>
    <row r="522" spans="1:36" x14ac:dyDescent="0.2">
      <c r="A522" s="548"/>
      <c r="B522" s="552" t="s">
        <v>186</v>
      </c>
      <c r="C522" s="1822" t="s">
        <v>754</v>
      </c>
      <c r="D522" s="1822"/>
      <c r="E522" s="1822"/>
      <c r="F522" s="1822"/>
      <c r="G522" s="1822"/>
      <c r="H522" s="1822"/>
      <c r="I522" s="1822"/>
      <c r="J522" s="1822"/>
      <c r="K522" s="1822"/>
      <c r="L522" s="551">
        <v>72575.81</v>
      </c>
      <c r="M522" s="550">
        <v>4.59</v>
      </c>
      <c r="N522" s="549">
        <v>333123</v>
      </c>
      <c r="P522" s="536"/>
      <c r="Q522" s="536"/>
      <c r="R522" s="536"/>
      <c r="S522" s="536"/>
      <c r="T522" s="536"/>
      <c r="U522" s="536"/>
      <c r="V522" s="536"/>
      <c r="W522" s="536"/>
      <c r="X522" s="536"/>
      <c r="Y522" s="536"/>
      <c r="Z522" s="536"/>
      <c r="AA522" s="536"/>
      <c r="AB522" s="536"/>
      <c r="AC522" s="536"/>
      <c r="AD522" s="536"/>
      <c r="AE522" s="536"/>
      <c r="AF522" s="536"/>
      <c r="AG522" s="536"/>
      <c r="AH522" s="675"/>
      <c r="AI522" s="537" t="s">
        <v>754</v>
      </c>
      <c r="AJ522" s="536"/>
    </row>
    <row r="523" spans="1:36" x14ac:dyDescent="0.2">
      <c r="A523" s="548"/>
      <c r="B523" s="552"/>
      <c r="C523" s="1822" t="s">
        <v>415</v>
      </c>
      <c r="D523" s="1822"/>
      <c r="E523" s="1822"/>
      <c r="F523" s="1822"/>
      <c r="G523" s="1822"/>
      <c r="H523" s="1822"/>
      <c r="I523" s="1822"/>
      <c r="J523" s="1822"/>
      <c r="K523" s="1822"/>
      <c r="L523" s="551">
        <v>1711.82</v>
      </c>
      <c r="M523" s="550"/>
      <c r="N523" s="549"/>
      <c r="P523" s="536"/>
      <c r="Q523" s="536"/>
      <c r="R523" s="536"/>
      <c r="S523" s="536"/>
      <c r="T523" s="536"/>
      <c r="U523" s="536"/>
      <c r="V523" s="536"/>
      <c r="W523" s="536"/>
      <c r="X523" s="536"/>
      <c r="Y523" s="536"/>
      <c r="Z523" s="536"/>
      <c r="AA523" s="536"/>
      <c r="AB523" s="536"/>
      <c r="AC523" s="536"/>
      <c r="AD523" s="536"/>
      <c r="AE523" s="536"/>
      <c r="AF523" s="536"/>
      <c r="AG523" s="536"/>
      <c r="AH523" s="675"/>
      <c r="AI523" s="537" t="s">
        <v>415</v>
      </c>
      <c r="AJ523" s="536"/>
    </row>
    <row r="524" spans="1:36" x14ac:dyDescent="0.2">
      <c r="A524" s="548"/>
      <c r="B524" s="552"/>
      <c r="C524" s="1822" t="s">
        <v>416</v>
      </c>
      <c r="D524" s="1822"/>
      <c r="E524" s="1822"/>
      <c r="F524" s="1822"/>
      <c r="G524" s="1822"/>
      <c r="H524" s="1822"/>
      <c r="I524" s="1822"/>
      <c r="J524" s="1822"/>
      <c r="K524" s="1822"/>
      <c r="L524" s="551">
        <v>1606.69</v>
      </c>
      <c r="M524" s="550"/>
      <c r="N524" s="549"/>
      <c r="P524" s="536"/>
      <c r="Q524" s="536"/>
      <c r="R524" s="536"/>
      <c r="S524" s="536"/>
      <c r="T524" s="536"/>
      <c r="U524" s="536"/>
      <c r="V524" s="536"/>
      <c r="W524" s="536"/>
      <c r="X524" s="536"/>
      <c r="Y524" s="536"/>
      <c r="Z524" s="536"/>
      <c r="AA524" s="536"/>
      <c r="AB524" s="536"/>
      <c r="AC524" s="536"/>
      <c r="AD524" s="536"/>
      <c r="AE524" s="536"/>
      <c r="AF524" s="536"/>
      <c r="AG524" s="536"/>
      <c r="AH524" s="675"/>
      <c r="AI524" s="537" t="s">
        <v>416</v>
      </c>
      <c r="AJ524" s="536"/>
    </row>
    <row r="525" spans="1:36" x14ac:dyDescent="0.2">
      <c r="A525" s="548"/>
      <c r="B525" s="552"/>
      <c r="C525" s="1822" t="s">
        <v>417</v>
      </c>
      <c r="D525" s="1822"/>
      <c r="E525" s="1822"/>
      <c r="F525" s="1822"/>
      <c r="G525" s="1822"/>
      <c r="H525" s="1822"/>
      <c r="I525" s="1822"/>
      <c r="J525" s="1822"/>
      <c r="K525" s="1822"/>
      <c r="L525" s="551">
        <v>801.42</v>
      </c>
      <c r="M525" s="550"/>
      <c r="N525" s="549"/>
      <c r="P525" s="536"/>
      <c r="Q525" s="536"/>
      <c r="R525" s="536"/>
      <c r="S525" s="536"/>
      <c r="T525" s="536"/>
      <c r="U525" s="536"/>
      <c r="V525" s="536"/>
      <c r="W525" s="536"/>
      <c r="X525" s="536"/>
      <c r="Y525" s="536"/>
      <c r="Z525" s="536"/>
      <c r="AA525" s="536"/>
      <c r="AB525" s="536"/>
      <c r="AC525" s="536"/>
      <c r="AD525" s="536"/>
      <c r="AE525" s="536"/>
      <c r="AF525" s="536"/>
      <c r="AG525" s="536"/>
      <c r="AH525" s="675"/>
      <c r="AI525" s="537" t="s">
        <v>417</v>
      </c>
      <c r="AJ525" s="536"/>
    </row>
    <row r="526" spans="1:36" x14ac:dyDescent="0.2">
      <c r="A526" s="548"/>
      <c r="B526" s="546"/>
      <c r="C526" s="1819" t="s">
        <v>206</v>
      </c>
      <c r="D526" s="1819"/>
      <c r="E526" s="1819"/>
      <c r="F526" s="1819"/>
      <c r="G526" s="1819"/>
      <c r="H526" s="1819"/>
      <c r="I526" s="1819"/>
      <c r="J526" s="1819"/>
      <c r="K526" s="1819"/>
      <c r="L526" s="544">
        <v>110599.22</v>
      </c>
      <c r="M526" s="543"/>
      <c r="N526" s="547">
        <v>649478</v>
      </c>
      <c r="P526" s="536"/>
      <c r="Q526" s="536"/>
      <c r="R526" s="536"/>
      <c r="S526" s="536"/>
      <c r="T526" s="536"/>
      <c r="U526" s="536"/>
      <c r="V526" s="536"/>
      <c r="W526" s="536"/>
      <c r="X526" s="536"/>
      <c r="Y526" s="536"/>
      <c r="Z526" s="536"/>
      <c r="AA526" s="536"/>
      <c r="AB526" s="536"/>
      <c r="AC526" s="536"/>
      <c r="AD526" s="536"/>
      <c r="AE526" s="536"/>
      <c r="AF526" s="536"/>
      <c r="AG526" s="536"/>
      <c r="AH526" s="675"/>
      <c r="AI526" s="536"/>
      <c r="AJ526" s="675" t="s">
        <v>206</v>
      </c>
    </row>
    <row r="527" spans="1:36" x14ac:dyDescent="0.2">
      <c r="A527" s="548"/>
      <c r="B527" s="552"/>
      <c r="C527" s="1822" t="s">
        <v>204</v>
      </c>
      <c r="D527" s="1822"/>
      <c r="E527" s="1822"/>
      <c r="F527" s="1822"/>
      <c r="G527" s="1822"/>
      <c r="H527" s="1822"/>
      <c r="I527" s="1822"/>
      <c r="J527" s="1822"/>
      <c r="K527" s="1822"/>
      <c r="L527" s="551"/>
      <c r="M527" s="550"/>
      <c r="N527" s="549"/>
      <c r="P527" s="536"/>
      <c r="Q527" s="536"/>
      <c r="R527" s="536"/>
      <c r="S527" s="536"/>
      <c r="T527" s="536"/>
      <c r="U527" s="536"/>
      <c r="V527" s="536"/>
      <c r="W527" s="536"/>
      <c r="X527" s="536"/>
      <c r="Y527" s="536"/>
      <c r="Z527" s="536"/>
      <c r="AA527" s="536"/>
      <c r="AB527" s="536"/>
      <c r="AC527" s="536"/>
      <c r="AD527" s="536"/>
      <c r="AE527" s="536"/>
      <c r="AF527" s="536"/>
      <c r="AG527" s="536"/>
      <c r="AH527" s="675"/>
      <c r="AI527" s="537" t="s">
        <v>204</v>
      </c>
      <c r="AJ527" s="675"/>
    </row>
    <row r="528" spans="1:36" x14ac:dyDescent="0.2">
      <c r="A528" s="548"/>
      <c r="B528" s="552"/>
      <c r="C528" s="1822" t="s">
        <v>8095</v>
      </c>
      <c r="D528" s="1822"/>
      <c r="E528" s="1822"/>
      <c r="F528" s="1822"/>
      <c r="G528" s="1822"/>
      <c r="H528" s="1822"/>
      <c r="I528" s="1822"/>
      <c r="J528" s="1822"/>
      <c r="K528" s="1822"/>
      <c r="L528" s="551">
        <v>31756.58</v>
      </c>
      <c r="M528" s="550"/>
      <c r="N528" s="549">
        <v>264215</v>
      </c>
      <c r="P528" s="536"/>
      <c r="Q528" s="536"/>
      <c r="R528" s="536"/>
      <c r="S528" s="536"/>
      <c r="T528" s="536"/>
      <c r="U528" s="536"/>
      <c r="V528" s="536"/>
      <c r="W528" s="536"/>
      <c r="X528" s="536"/>
      <c r="Y528" s="536"/>
      <c r="Z528" s="536"/>
      <c r="AA528" s="536"/>
      <c r="AB528" s="536"/>
      <c r="AC528" s="536"/>
      <c r="AD528" s="536"/>
      <c r="AE528" s="536"/>
      <c r="AF528" s="536"/>
      <c r="AG528" s="536"/>
      <c r="AH528" s="675"/>
      <c r="AI528" s="537" t="s">
        <v>8095</v>
      </c>
      <c r="AJ528" s="675"/>
    </row>
    <row r="529" spans="1:36" x14ac:dyDescent="0.2">
      <c r="A529" s="548"/>
      <c r="B529" s="552"/>
      <c r="C529" s="1822" t="s">
        <v>8097</v>
      </c>
      <c r="D529" s="1822"/>
      <c r="E529" s="1822"/>
      <c r="F529" s="1822"/>
      <c r="G529" s="1822"/>
      <c r="H529" s="1822"/>
      <c r="I529" s="1822"/>
      <c r="J529" s="1822"/>
      <c r="K529" s="1822"/>
      <c r="L529" s="551"/>
      <c r="M529" s="550"/>
      <c r="N529" s="549">
        <v>333123</v>
      </c>
      <c r="P529" s="536"/>
      <c r="Q529" s="536"/>
      <c r="R529" s="536"/>
      <c r="S529" s="536"/>
      <c r="T529" s="536"/>
      <c r="U529" s="536"/>
      <c r="V529" s="536"/>
      <c r="W529" s="536"/>
      <c r="X529" s="536"/>
      <c r="Y529" s="536"/>
      <c r="Z529" s="536"/>
      <c r="AA529" s="536"/>
      <c r="AB529" s="536"/>
      <c r="AC529" s="536"/>
      <c r="AD529" s="536"/>
      <c r="AE529" s="536"/>
      <c r="AF529" s="536"/>
      <c r="AG529" s="536"/>
      <c r="AH529" s="675"/>
      <c r="AI529" s="537" t="s">
        <v>8097</v>
      </c>
      <c r="AJ529" s="675"/>
    </row>
    <row r="530" spans="1:36" ht="1.5" customHeight="1" x14ac:dyDescent="0.2">
      <c r="B530" s="546"/>
      <c r="C530" s="671"/>
      <c r="D530" s="671"/>
      <c r="E530" s="671"/>
      <c r="F530" s="671"/>
      <c r="G530" s="671"/>
      <c r="H530" s="671"/>
      <c r="I530" s="671"/>
      <c r="J530" s="671"/>
      <c r="K530" s="671"/>
      <c r="L530" s="544"/>
      <c r="M530" s="543"/>
      <c r="N530" s="542"/>
      <c r="P530" s="536"/>
      <c r="Q530" s="536"/>
      <c r="R530" s="536"/>
      <c r="S530" s="536"/>
      <c r="T530" s="536"/>
      <c r="U530" s="536"/>
      <c r="V530" s="536"/>
      <c r="W530" s="536"/>
      <c r="X530" s="536"/>
      <c r="Y530" s="536"/>
      <c r="Z530" s="536"/>
      <c r="AA530" s="536"/>
      <c r="AB530" s="536"/>
      <c r="AC530" s="536"/>
      <c r="AD530" s="536"/>
      <c r="AE530" s="536"/>
      <c r="AF530" s="536"/>
      <c r="AG530" s="536"/>
      <c r="AH530" s="536"/>
      <c r="AI530" s="536"/>
      <c r="AJ530" s="536"/>
    </row>
    <row r="531" spans="1:36" ht="53.25" customHeight="1" x14ac:dyDescent="0.2">
      <c r="A531" s="541"/>
      <c r="B531" s="541"/>
      <c r="C531" s="541"/>
      <c r="D531" s="541"/>
      <c r="E531" s="541"/>
      <c r="F531" s="541"/>
      <c r="G531" s="541"/>
      <c r="H531" s="541"/>
      <c r="I531" s="541"/>
      <c r="J531" s="541"/>
      <c r="K531" s="541"/>
      <c r="L531" s="541"/>
      <c r="M531" s="541"/>
      <c r="N531" s="541"/>
      <c r="P531" s="536"/>
      <c r="Q531" s="536"/>
      <c r="R531" s="536"/>
      <c r="S531" s="536"/>
      <c r="T531" s="536"/>
      <c r="U531" s="536"/>
      <c r="V531" s="536"/>
      <c r="W531" s="536"/>
      <c r="X531" s="536"/>
      <c r="Y531" s="536"/>
      <c r="Z531" s="536"/>
      <c r="AA531" s="536"/>
      <c r="AB531" s="536"/>
      <c r="AC531" s="536"/>
      <c r="AD531" s="536"/>
      <c r="AE531" s="536"/>
      <c r="AF531" s="536"/>
      <c r="AG531" s="536"/>
      <c r="AH531" s="536"/>
      <c r="AI531" s="536"/>
      <c r="AJ531" s="536"/>
    </row>
    <row r="532" spans="1:36" x14ac:dyDescent="0.2">
      <c r="B532" s="539" t="s">
        <v>149</v>
      </c>
      <c r="C532" s="1943" t="s">
        <v>207</v>
      </c>
      <c r="D532" s="1943"/>
      <c r="E532" s="1943"/>
      <c r="F532" s="1943"/>
      <c r="G532" s="1943"/>
      <c r="H532" s="1943"/>
      <c r="I532" s="1943"/>
      <c r="J532" s="1943"/>
      <c r="K532" s="1943"/>
      <c r="L532" s="1943"/>
    </row>
    <row r="533" spans="1:36" ht="13.5" customHeight="1" x14ac:dyDescent="0.2">
      <c r="B533" s="540"/>
      <c r="C533" s="1821" t="s">
        <v>150</v>
      </c>
      <c r="D533" s="1821"/>
      <c r="E533" s="1821"/>
      <c r="F533" s="1821"/>
      <c r="G533" s="1821"/>
      <c r="H533" s="1821"/>
      <c r="I533" s="1821"/>
      <c r="J533" s="1821"/>
      <c r="K533" s="1821"/>
      <c r="L533" s="1821"/>
    </row>
    <row r="534" spans="1:36" ht="12.75" customHeight="1" x14ac:dyDescent="0.2">
      <c r="B534" s="539" t="s">
        <v>151</v>
      </c>
      <c r="C534" s="1943" t="s">
        <v>208</v>
      </c>
      <c r="D534" s="1943"/>
      <c r="E534" s="1943"/>
      <c r="F534" s="1943"/>
      <c r="G534" s="1943"/>
      <c r="H534" s="1943"/>
      <c r="I534" s="1943"/>
      <c r="J534" s="1943"/>
      <c r="K534" s="1943"/>
      <c r="L534" s="1943"/>
    </row>
    <row r="535" spans="1:36" ht="13.5" customHeight="1" x14ac:dyDescent="0.2">
      <c r="C535" s="1821" t="s">
        <v>150</v>
      </c>
      <c r="D535" s="1821"/>
      <c r="E535" s="1821"/>
      <c r="F535" s="1821"/>
      <c r="G535" s="1821"/>
      <c r="H535" s="1821"/>
      <c r="I535" s="1821"/>
      <c r="J535" s="1821"/>
      <c r="K535" s="1821"/>
      <c r="L535" s="1821"/>
    </row>
    <row r="537" spans="1:36" x14ac:dyDescent="0.2">
      <c r="B537" s="538"/>
      <c r="D537" s="538"/>
      <c r="F537" s="538"/>
      <c r="P537" s="536"/>
      <c r="Q537" s="536"/>
      <c r="R537" s="536"/>
      <c r="S537" s="536"/>
      <c r="T537" s="536"/>
      <c r="U537" s="536"/>
      <c r="V537" s="536"/>
      <c r="W537" s="536"/>
      <c r="X537" s="536"/>
      <c r="Y537" s="536"/>
      <c r="Z537" s="536"/>
      <c r="AA537" s="536"/>
      <c r="AB537" s="536"/>
      <c r="AC537" s="536"/>
      <c r="AD537" s="536"/>
      <c r="AE537" s="536"/>
      <c r="AF537" s="536"/>
      <c r="AG537" s="536"/>
      <c r="AH537" s="536"/>
      <c r="AI537" s="536"/>
      <c r="AJ537" s="536"/>
    </row>
  </sheetData>
  <mergeCells count="477">
    <mergeCell ref="C529:K529"/>
    <mergeCell ref="C532:L532"/>
    <mergeCell ref="C533:L533"/>
    <mergeCell ref="C534:L534"/>
    <mergeCell ref="C535:L535"/>
    <mergeCell ref="C523:K523"/>
    <mergeCell ref="C524:K524"/>
    <mergeCell ref="C525:K525"/>
    <mergeCell ref="C526:K526"/>
    <mergeCell ref="C527:K527"/>
    <mergeCell ref="C528:K528"/>
    <mergeCell ref="C517:K517"/>
    <mergeCell ref="C518:K518"/>
    <mergeCell ref="C519:K519"/>
    <mergeCell ref="C520:K520"/>
    <mergeCell ref="C521:K521"/>
    <mergeCell ref="C522:K522"/>
    <mergeCell ref="C511:K511"/>
    <mergeCell ref="C512:K512"/>
    <mergeCell ref="C513:K513"/>
    <mergeCell ref="C514:K514"/>
    <mergeCell ref="C515:K515"/>
    <mergeCell ref="C516:K516"/>
    <mergeCell ref="C505:K505"/>
    <mergeCell ref="C506:K506"/>
    <mergeCell ref="C507:K507"/>
    <mergeCell ref="C508:K508"/>
    <mergeCell ref="C509:K509"/>
    <mergeCell ref="C510:K510"/>
    <mergeCell ref="C498:K498"/>
    <mergeCell ref="C499:K499"/>
    <mergeCell ref="C500:K500"/>
    <mergeCell ref="C502:K502"/>
    <mergeCell ref="C503:K503"/>
    <mergeCell ref="C504:K504"/>
    <mergeCell ref="C490:E490"/>
    <mergeCell ref="C493:K493"/>
    <mergeCell ref="C494:K494"/>
    <mergeCell ref="C495:K495"/>
    <mergeCell ref="C496:K496"/>
    <mergeCell ref="C497:K497"/>
    <mergeCell ref="C484:K484"/>
    <mergeCell ref="C485:K485"/>
    <mergeCell ref="C486:K486"/>
    <mergeCell ref="C487:K487"/>
    <mergeCell ref="C488:K488"/>
    <mergeCell ref="A489:N489"/>
    <mergeCell ref="C478:K478"/>
    <mergeCell ref="C479:K479"/>
    <mergeCell ref="C480:K480"/>
    <mergeCell ref="C481:K481"/>
    <mergeCell ref="C482:K482"/>
    <mergeCell ref="C483:K483"/>
    <mergeCell ref="C472:K472"/>
    <mergeCell ref="C473:K473"/>
    <mergeCell ref="C474:K474"/>
    <mergeCell ref="C475:K475"/>
    <mergeCell ref="C476:K476"/>
    <mergeCell ref="C477:K477"/>
    <mergeCell ref="C466:K466"/>
    <mergeCell ref="C467:K467"/>
    <mergeCell ref="C468:K468"/>
    <mergeCell ref="C469:K469"/>
    <mergeCell ref="C470:K470"/>
    <mergeCell ref="C471:K471"/>
    <mergeCell ref="C459:E459"/>
    <mergeCell ref="C461:K461"/>
    <mergeCell ref="C462:K462"/>
    <mergeCell ref="C463:K463"/>
    <mergeCell ref="C464:K464"/>
    <mergeCell ref="C465:K465"/>
    <mergeCell ref="C453:E453"/>
    <mergeCell ref="C454:E454"/>
    <mergeCell ref="C455:E455"/>
    <mergeCell ref="C456:E456"/>
    <mergeCell ref="C457:E457"/>
    <mergeCell ref="C458:E458"/>
    <mergeCell ref="C447:E447"/>
    <mergeCell ref="C448:N448"/>
    <mergeCell ref="C449:N449"/>
    <mergeCell ref="C450:E450"/>
    <mergeCell ref="C451:E451"/>
    <mergeCell ref="C452:E452"/>
    <mergeCell ref="C441:E441"/>
    <mergeCell ref="C442:E442"/>
    <mergeCell ref="C443:E443"/>
    <mergeCell ref="C444:E444"/>
    <mergeCell ref="C445:E445"/>
    <mergeCell ref="C446:E446"/>
    <mergeCell ref="C435:E435"/>
    <mergeCell ref="C436:E436"/>
    <mergeCell ref="C437:E437"/>
    <mergeCell ref="C438:N438"/>
    <mergeCell ref="C439:N439"/>
    <mergeCell ref="C440:E440"/>
    <mergeCell ref="C429:N429"/>
    <mergeCell ref="C430:E430"/>
    <mergeCell ref="C431:E431"/>
    <mergeCell ref="C432:E432"/>
    <mergeCell ref="C433:E433"/>
    <mergeCell ref="C434:E434"/>
    <mergeCell ref="C422:N422"/>
    <mergeCell ref="C423:E423"/>
    <mergeCell ref="C425:N425"/>
    <mergeCell ref="A426:N426"/>
    <mergeCell ref="C427:E427"/>
    <mergeCell ref="C428:N428"/>
    <mergeCell ref="C414:E414"/>
    <mergeCell ref="C415:E415"/>
    <mergeCell ref="C416:E416"/>
    <mergeCell ref="C417:E417"/>
    <mergeCell ref="C419:N419"/>
    <mergeCell ref="C420:E420"/>
    <mergeCell ref="C408:E408"/>
    <mergeCell ref="C409:E409"/>
    <mergeCell ref="C410:E410"/>
    <mergeCell ref="C411:E411"/>
    <mergeCell ref="C412:E412"/>
    <mergeCell ref="C413:E413"/>
    <mergeCell ref="C402:N402"/>
    <mergeCell ref="C403:E403"/>
    <mergeCell ref="C404:N404"/>
    <mergeCell ref="C405:N405"/>
    <mergeCell ref="C406:E406"/>
    <mergeCell ref="C407:E407"/>
    <mergeCell ref="C395:E395"/>
    <mergeCell ref="C396:E396"/>
    <mergeCell ref="C397:E397"/>
    <mergeCell ref="C398:E398"/>
    <mergeCell ref="C399:E399"/>
    <mergeCell ref="C400:E400"/>
    <mergeCell ref="C389:E389"/>
    <mergeCell ref="C390:E390"/>
    <mergeCell ref="C391:E391"/>
    <mergeCell ref="C392:E392"/>
    <mergeCell ref="C393:E393"/>
    <mergeCell ref="C394:E394"/>
    <mergeCell ref="C382:E382"/>
    <mergeCell ref="C383:E383"/>
    <mergeCell ref="C385:N385"/>
    <mergeCell ref="C386:E386"/>
    <mergeCell ref="C387:N387"/>
    <mergeCell ref="C388:N388"/>
    <mergeCell ref="C376:E376"/>
    <mergeCell ref="C377:E377"/>
    <mergeCell ref="C378:E378"/>
    <mergeCell ref="C379:E379"/>
    <mergeCell ref="C380:E380"/>
    <mergeCell ref="C381:E381"/>
    <mergeCell ref="C370:N370"/>
    <mergeCell ref="C371:N371"/>
    <mergeCell ref="C372:E372"/>
    <mergeCell ref="C373:E373"/>
    <mergeCell ref="C374:E374"/>
    <mergeCell ref="C375:E375"/>
    <mergeCell ref="C363:E363"/>
    <mergeCell ref="C364:E364"/>
    <mergeCell ref="C365:E365"/>
    <mergeCell ref="C366:E366"/>
    <mergeCell ref="C368:N368"/>
    <mergeCell ref="C369:E369"/>
    <mergeCell ref="C357:E357"/>
    <mergeCell ref="C358:E358"/>
    <mergeCell ref="C359:E359"/>
    <mergeCell ref="C360:E360"/>
    <mergeCell ref="C361:E361"/>
    <mergeCell ref="C362:E362"/>
    <mergeCell ref="A351:N351"/>
    <mergeCell ref="C352:E352"/>
    <mergeCell ref="C353:N353"/>
    <mergeCell ref="C354:N354"/>
    <mergeCell ref="C355:E355"/>
    <mergeCell ref="C356:E356"/>
    <mergeCell ref="C344:E344"/>
    <mergeCell ref="C345:E345"/>
    <mergeCell ref="C346:E346"/>
    <mergeCell ref="C347:E347"/>
    <mergeCell ref="C348:E348"/>
    <mergeCell ref="C350:N350"/>
    <mergeCell ref="C338:N338"/>
    <mergeCell ref="C339:E339"/>
    <mergeCell ref="C340:E340"/>
    <mergeCell ref="C341:E341"/>
    <mergeCell ref="C342:E342"/>
    <mergeCell ref="C343:E343"/>
    <mergeCell ref="C331:E331"/>
    <mergeCell ref="C332:E332"/>
    <mergeCell ref="C333:E333"/>
    <mergeCell ref="C334:E334"/>
    <mergeCell ref="C335:E335"/>
    <mergeCell ref="C336:E336"/>
    <mergeCell ref="C325:N325"/>
    <mergeCell ref="C326:E326"/>
    <mergeCell ref="C327:N327"/>
    <mergeCell ref="C328:E328"/>
    <mergeCell ref="C329:E329"/>
    <mergeCell ref="C330:E330"/>
    <mergeCell ref="C318:E318"/>
    <mergeCell ref="C319:E319"/>
    <mergeCell ref="C320:E320"/>
    <mergeCell ref="C321:E321"/>
    <mergeCell ref="C322:E322"/>
    <mergeCell ref="C323:E323"/>
    <mergeCell ref="C312:N312"/>
    <mergeCell ref="C313:E313"/>
    <mergeCell ref="C314:N314"/>
    <mergeCell ref="C315:E315"/>
    <mergeCell ref="C316:E316"/>
    <mergeCell ref="C317:E317"/>
    <mergeCell ref="C303:N303"/>
    <mergeCell ref="C304:E304"/>
    <mergeCell ref="C306:N306"/>
    <mergeCell ref="C307:E307"/>
    <mergeCell ref="C309:N309"/>
    <mergeCell ref="C310:E310"/>
    <mergeCell ref="C294:N294"/>
    <mergeCell ref="C295:E295"/>
    <mergeCell ref="C297:N297"/>
    <mergeCell ref="C298:E298"/>
    <mergeCell ref="C300:N300"/>
    <mergeCell ref="C301:E301"/>
    <mergeCell ref="C287:E287"/>
    <mergeCell ref="C288:E288"/>
    <mergeCell ref="C289:E289"/>
    <mergeCell ref="C290:E290"/>
    <mergeCell ref="C291:E291"/>
    <mergeCell ref="C293:N293"/>
    <mergeCell ref="C281:E281"/>
    <mergeCell ref="C282:E282"/>
    <mergeCell ref="C283:E283"/>
    <mergeCell ref="C284:E284"/>
    <mergeCell ref="C285:E285"/>
    <mergeCell ref="C286:E286"/>
    <mergeCell ref="C274:N274"/>
    <mergeCell ref="C275:E275"/>
    <mergeCell ref="C277:N277"/>
    <mergeCell ref="C278:E278"/>
    <mergeCell ref="C279:N279"/>
    <mergeCell ref="C280:E280"/>
    <mergeCell ref="C265:N265"/>
    <mergeCell ref="C266:E266"/>
    <mergeCell ref="C268:N268"/>
    <mergeCell ref="C269:E269"/>
    <mergeCell ref="C271:N271"/>
    <mergeCell ref="C272:E272"/>
    <mergeCell ref="C256:N256"/>
    <mergeCell ref="C257:E257"/>
    <mergeCell ref="C259:N259"/>
    <mergeCell ref="C260:E260"/>
    <mergeCell ref="C262:N262"/>
    <mergeCell ref="C263:E263"/>
    <mergeCell ref="C247:E247"/>
    <mergeCell ref="C248:E248"/>
    <mergeCell ref="C250:N250"/>
    <mergeCell ref="C251:E251"/>
    <mergeCell ref="C253:N253"/>
    <mergeCell ref="C254:E254"/>
    <mergeCell ref="C241:E241"/>
    <mergeCell ref="C242:E242"/>
    <mergeCell ref="C243:E243"/>
    <mergeCell ref="C244:E244"/>
    <mergeCell ref="C245:E245"/>
    <mergeCell ref="C246:E246"/>
    <mergeCell ref="C234:E234"/>
    <mergeCell ref="C235:E235"/>
    <mergeCell ref="C237:N237"/>
    <mergeCell ref="C238:E238"/>
    <mergeCell ref="C239:N239"/>
    <mergeCell ref="C240:E240"/>
    <mergeCell ref="C228:E228"/>
    <mergeCell ref="C229:E229"/>
    <mergeCell ref="C230:E230"/>
    <mergeCell ref="C231:E231"/>
    <mergeCell ref="C232:E232"/>
    <mergeCell ref="C233:E233"/>
    <mergeCell ref="C222:N222"/>
    <mergeCell ref="C223:N223"/>
    <mergeCell ref="C224:E224"/>
    <mergeCell ref="C225:N225"/>
    <mergeCell ref="C226:N226"/>
    <mergeCell ref="C227:E227"/>
    <mergeCell ref="C215:E215"/>
    <mergeCell ref="C216:E216"/>
    <mergeCell ref="C217:E217"/>
    <mergeCell ref="C218:E218"/>
    <mergeCell ref="C219:E219"/>
    <mergeCell ref="C220:E220"/>
    <mergeCell ref="C209:E209"/>
    <mergeCell ref="C210:E210"/>
    <mergeCell ref="C211:E211"/>
    <mergeCell ref="C212:E212"/>
    <mergeCell ref="C213:E213"/>
    <mergeCell ref="C214:E214"/>
    <mergeCell ref="C202:N202"/>
    <mergeCell ref="C203:E203"/>
    <mergeCell ref="C205:N205"/>
    <mergeCell ref="C206:E206"/>
    <mergeCell ref="C207:N207"/>
    <mergeCell ref="C208:N208"/>
    <mergeCell ref="C194:E194"/>
    <mergeCell ref="C195:E195"/>
    <mergeCell ref="C196:E196"/>
    <mergeCell ref="C198:N198"/>
    <mergeCell ref="C199:N199"/>
    <mergeCell ref="C200:E200"/>
    <mergeCell ref="C188:E188"/>
    <mergeCell ref="C189:E189"/>
    <mergeCell ref="C190:E190"/>
    <mergeCell ref="C191:E191"/>
    <mergeCell ref="C192:E192"/>
    <mergeCell ref="C193:E193"/>
    <mergeCell ref="C182:E182"/>
    <mergeCell ref="C183:N183"/>
    <mergeCell ref="C184:N184"/>
    <mergeCell ref="C185:E185"/>
    <mergeCell ref="C186:E186"/>
    <mergeCell ref="C187:E187"/>
    <mergeCell ref="C174:E174"/>
    <mergeCell ref="C175:E175"/>
    <mergeCell ref="C177:N177"/>
    <mergeCell ref="C178:E178"/>
    <mergeCell ref="C180:N180"/>
    <mergeCell ref="A181:N181"/>
    <mergeCell ref="C168:E168"/>
    <mergeCell ref="C169:E169"/>
    <mergeCell ref="C170:E170"/>
    <mergeCell ref="C171:E171"/>
    <mergeCell ref="C172:E172"/>
    <mergeCell ref="C173:E173"/>
    <mergeCell ref="C161:E161"/>
    <mergeCell ref="C162:E162"/>
    <mergeCell ref="C164:N164"/>
    <mergeCell ref="C165:E165"/>
    <mergeCell ref="C166:N166"/>
    <mergeCell ref="C167:E167"/>
    <mergeCell ref="C155:E155"/>
    <mergeCell ref="C156:E156"/>
    <mergeCell ref="C157:E157"/>
    <mergeCell ref="C158:E158"/>
    <mergeCell ref="C159:E159"/>
    <mergeCell ref="C160:E160"/>
    <mergeCell ref="C149:N149"/>
    <mergeCell ref="C150:N150"/>
    <mergeCell ref="C151:E151"/>
    <mergeCell ref="C152:E152"/>
    <mergeCell ref="C153:E153"/>
    <mergeCell ref="C154:E154"/>
    <mergeCell ref="C141:E141"/>
    <mergeCell ref="C143:N143"/>
    <mergeCell ref="C144:N144"/>
    <mergeCell ref="C145:E145"/>
    <mergeCell ref="C147:N147"/>
    <mergeCell ref="C148:E148"/>
    <mergeCell ref="C135:E135"/>
    <mergeCell ref="C136:E136"/>
    <mergeCell ref="C137:E137"/>
    <mergeCell ref="C138:E138"/>
    <mergeCell ref="C139:E139"/>
    <mergeCell ref="C140:E140"/>
    <mergeCell ref="A129:N129"/>
    <mergeCell ref="C130:E130"/>
    <mergeCell ref="C131:N131"/>
    <mergeCell ref="C132:N132"/>
    <mergeCell ref="C133:E133"/>
    <mergeCell ref="C134:E134"/>
    <mergeCell ref="C122:E122"/>
    <mergeCell ref="C123:E123"/>
    <mergeCell ref="C124:E124"/>
    <mergeCell ref="C125:E125"/>
    <mergeCell ref="C126:E126"/>
    <mergeCell ref="C128:N128"/>
    <mergeCell ref="C116:E116"/>
    <mergeCell ref="C117:E117"/>
    <mergeCell ref="C118:E118"/>
    <mergeCell ref="C119:E119"/>
    <mergeCell ref="C120:E120"/>
    <mergeCell ref="C121:E121"/>
    <mergeCell ref="C110:N110"/>
    <mergeCell ref="A111:N111"/>
    <mergeCell ref="C112:E112"/>
    <mergeCell ref="C113:N113"/>
    <mergeCell ref="C114:N114"/>
    <mergeCell ref="C115:E115"/>
    <mergeCell ref="C103:E103"/>
    <mergeCell ref="C104:E104"/>
    <mergeCell ref="C105:E105"/>
    <mergeCell ref="C106:E106"/>
    <mergeCell ref="C107:E107"/>
    <mergeCell ref="C108:E108"/>
    <mergeCell ref="C97:E97"/>
    <mergeCell ref="C98:E98"/>
    <mergeCell ref="C99:E99"/>
    <mergeCell ref="C100:E100"/>
    <mergeCell ref="C101:E101"/>
    <mergeCell ref="C102:E102"/>
    <mergeCell ref="C91:K91"/>
    <mergeCell ref="A92:N92"/>
    <mergeCell ref="A93:N93"/>
    <mergeCell ref="C94:E94"/>
    <mergeCell ref="C95:N95"/>
    <mergeCell ref="C96:N96"/>
    <mergeCell ref="C85:K85"/>
    <mergeCell ref="C86:K86"/>
    <mergeCell ref="C87:K87"/>
    <mergeCell ref="C88:K88"/>
    <mergeCell ref="C89:K89"/>
    <mergeCell ref="C90:K90"/>
    <mergeCell ref="C79:K79"/>
    <mergeCell ref="C80:K80"/>
    <mergeCell ref="C81:K81"/>
    <mergeCell ref="C82:K82"/>
    <mergeCell ref="C83:K83"/>
    <mergeCell ref="C84:K84"/>
    <mergeCell ref="C73:K73"/>
    <mergeCell ref="C74:K74"/>
    <mergeCell ref="C75:K75"/>
    <mergeCell ref="C76:K76"/>
    <mergeCell ref="C77:K77"/>
    <mergeCell ref="C78:K78"/>
    <mergeCell ref="C66:E66"/>
    <mergeCell ref="C67:E67"/>
    <mergeCell ref="C68:E68"/>
    <mergeCell ref="C69:E69"/>
    <mergeCell ref="C71:K71"/>
    <mergeCell ref="C72:K72"/>
    <mergeCell ref="C60:E60"/>
    <mergeCell ref="C61:E61"/>
    <mergeCell ref="C62:E62"/>
    <mergeCell ref="C63:E63"/>
    <mergeCell ref="C64:E64"/>
    <mergeCell ref="C65:E65"/>
    <mergeCell ref="C53:E53"/>
    <mergeCell ref="C55:N55"/>
    <mergeCell ref="C56:E56"/>
    <mergeCell ref="C57:N57"/>
    <mergeCell ref="C58:N58"/>
    <mergeCell ref="C59:E59"/>
    <mergeCell ref="C47:E47"/>
    <mergeCell ref="C48:E48"/>
    <mergeCell ref="C49:E49"/>
    <mergeCell ref="C50:E50"/>
    <mergeCell ref="C51:E51"/>
    <mergeCell ref="C52:E52"/>
    <mergeCell ref="C41:N41"/>
    <mergeCell ref="C42:E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536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K1251"/>
  <sheetViews>
    <sheetView topLeftCell="A1216" zoomScale="115" zoomScaleNormal="115" workbookViewId="0">
      <selection activeCell="D1251" sqref="D1251"/>
    </sheetView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12.855468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29" width="34.140625" style="537" hidden="1" customWidth="1"/>
    <col min="30" max="30" width="138.42578125" style="537" hidden="1" customWidth="1"/>
    <col min="31" max="33" width="84.42578125" style="537" hidden="1" customWidth="1"/>
    <col min="34" max="34" width="34.140625" style="537" hidden="1" customWidth="1"/>
    <col min="35" max="37" width="84.42578125" style="537" hidden="1" customWidth="1"/>
    <col min="38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274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274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/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143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4059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4060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4060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4061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29649.71</v>
      </c>
      <c r="D28" s="579" t="s">
        <v>8815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29649.71</v>
      </c>
      <c r="D30" s="579" t="s">
        <v>8815</v>
      </c>
      <c r="E30" s="665" t="s">
        <v>167</v>
      </c>
      <c r="G30" s="536" t="s">
        <v>170</v>
      </c>
      <c r="L30" s="580">
        <v>0</v>
      </c>
      <c r="M30" s="579" t="s">
        <v>8816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665" t="s">
        <v>167</v>
      </c>
      <c r="G31" s="536" t="s">
        <v>172</v>
      </c>
      <c r="L31" s="582"/>
      <c r="M31" s="582">
        <v>5704.99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665" t="s">
        <v>167</v>
      </c>
      <c r="G32" s="536" t="s">
        <v>174</v>
      </c>
      <c r="L32" s="582"/>
      <c r="M32" s="582">
        <v>2363.35</v>
      </c>
      <c r="N32" s="581" t="s">
        <v>173</v>
      </c>
    </row>
    <row r="33" spans="1:28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8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8" s="536" customFormat="1" ht="12" x14ac:dyDescent="0.2">
      <c r="A39" s="1824" t="s">
        <v>976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976</v>
      </c>
    </row>
    <row r="40" spans="1:28" s="536" customFormat="1" ht="67.5" x14ac:dyDescent="0.2">
      <c r="A40" s="575" t="s">
        <v>185</v>
      </c>
      <c r="B40" s="670" t="s">
        <v>4062</v>
      </c>
      <c r="C40" s="1823" t="s">
        <v>8817</v>
      </c>
      <c r="D40" s="1823"/>
      <c r="E40" s="1823"/>
      <c r="F40" s="573" t="s">
        <v>455</v>
      </c>
      <c r="G40" s="573"/>
      <c r="H40" s="573"/>
      <c r="I40" s="573" t="s">
        <v>8818</v>
      </c>
      <c r="J40" s="572"/>
      <c r="K40" s="573"/>
      <c r="L40" s="572"/>
      <c r="M40" s="571"/>
      <c r="N40" s="570"/>
      <c r="V40" s="674"/>
      <c r="W40" s="675" t="s">
        <v>8817</v>
      </c>
    </row>
    <row r="41" spans="1:28" s="536" customFormat="1" ht="12" x14ac:dyDescent="0.2">
      <c r="A41" s="676"/>
      <c r="B41" s="664"/>
      <c r="C41" s="1822" t="s">
        <v>8819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8819</v>
      </c>
    </row>
    <row r="42" spans="1:28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Y42" s="537" t="s">
        <v>311</v>
      </c>
    </row>
    <row r="43" spans="1:28" s="536" customFormat="1" ht="12" x14ac:dyDescent="0.2">
      <c r="A43" s="605"/>
      <c r="B43" s="552" t="s">
        <v>186</v>
      </c>
      <c r="C43" s="1822" t="s">
        <v>344</v>
      </c>
      <c r="D43" s="1822"/>
      <c r="E43" s="1822"/>
      <c r="F43" s="562"/>
      <c r="G43" s="562"/>
      <c r="H43" s="562"/>
      <c r="I43" s="562"/>
      <c r="J43" s="604">
        <v>5161.8</v>
      </c>
      <c r="K43" s="562" t="s">
        <v>313</v>
      </c>
      <c r="L43" s="604">
        <v>31719.26</v>
      </c>
      <c r="M43" s="603"/>
      <c r="N43" s="602"/>
      <c r="V43" s="674"/>
      <c r="W43" s="675"/>
      <c r="Z43" s="537" t="s">
        <v>344</v>
      </c>
    </row>
    <row r="44" spans="1:28" s="536" customFormat="1" ht="12" x14ac:dyDescent="0.2">
      <c r="A44" s="605"/>
      <c r="B44" s="552" t="s">
        <v>187</v>
      </c>
      <c r="C44" s="1822" t="s">
        <v>345</v>
      </c>
      <c r="D44" s="1822"/>
      <c r="E44" s="1822"/>
      <c r="F44" s="562"/>
      <c r="G44" s="562"/>
      <c r="H44" s="562"/>
      <c r="I44" s="562"/>
      <c r="J44" s="604">
        <v>567</v>
      </c>
      <c r="K44" s="562" t="s">
        <v>313</v>
      </c>
      <c r="L44" s="604">
        <v>3484.22</v>
      </c>
      <c r="M44" s="603"/>
      <c r="N44" s="602"/>
      <c r="V44" s="674"/>
      <c r="W44" s="675"/>
      <c r="Z44" s="537" t="s">
        <v>345</v>
      </c>
    </row>
    <row r="45" spans="1:28" s="536" customFormat="1" ht="12" x14ac:dyDescent="0.2">
      <c r="A45" s="605"/>
      <c r="B45" s="552"/>
      <c r="C45" s="1822" t="s">
        <v>348</v>
      </c>
      <c r="D45" s="1822"/>
      <c r="E45" s="1822"/>
      <c r="F45" s="562" t="s">
        <v>315</v>
      </c>
      <c r="G45" s="562" t="s">
        <v>774</v>
      </c>
      <c r="H45" s="562" t="s">
        <v>313</v>
      </c>
      <c r="I45" s="562" t="s">
        <v>8820</v>
      </c>
      <c r="J45" s="604"/>
      <c r="K45" s="562"/>
      <c r="L45" s="604"/>
      <c r="M45" s="603"/>
      <c r="N45" s="602"/>
      <c r="V45" s="674"/>
      <c r="W45" s="675"/>
      <c r="AA45" s="537" t="s">
        <v>348</v>
      </c>
    </row>
    <row r="46" spans="1:28" s="536" customFormat="1" ht="12" x14ac:dyDescent="0.2">
      <c r="A46" s="605"/>
      <c r="B46" s="552"/>
      <c r="C46" s="1828" t="s">
        <v>318</v>
      </c>
      <c r="D46" s="1828"/>
      <c r="E46" s="1828"/>
      <c r="F46" s="608"/>
      <c r="G46" s="608"/>
      <c r="H46" s="608"/>
      <c r="I46" s="608"/>
      <c r="J46" s="607">
        <v>5161.8</v>
      </c>
      <c r="K46" s="608"/>
      <c r="L46" s="607">
        <v>31719.26</v>
      </c>
      <c r="M46" s="601"/>
      <c r="N46" s="606"/>
      <c r="V46" s="674"/>
      <c r="W46" s="675"/>
      <c r="AB46" s="537" t="s">
        <v>318</v>
      </c>
    </row>
    <row r="47" spans="1:28" s="536" customFormat="1" ht="12" x14ac:dyDescent="0.2">
      <c r="A47" s="605"/>
      <c r="B47" s="552"/>
      <c r="C47" s="1822" t="s">
        <v>319</v>
      </c>
      <c r="D47" s="1822"/>
      <c r="E47" s="1822"/>
      <c r="F47" s="562"/>
      <c r="G47" s="562"/>
      <c r="H47" s="562"/>
      <c r="I47" s="562"/>
      <c r="J47" s="604"/>
      <c r="K47" s="562"/>
      <c r="L47" s="604">
        <v>3484.22</v>
      </c>
      <c r="M47" s="603"/>
      <c r="N47" s="602"/>
      <c r="V47" s="674"/>
      <c r="W47" s="675"/>
      <c r="AA47" s="537" t="s">
        <v>319</v>
      </c>
    </row>
    <row r="48" spans="1:28" s="536" customFormat="1" ht="33.75" x14ac:dyDescent="0.2">
      <c r="A48" s="605"/>
      <c r="B48" s="552" t="s">
        <v>460</v>
      </c>
      <c r="C48" s="1822" t="s">
        <v>461</v>
      </c>
      <c r="D48" s="1822"/>
      <c r="E48" s="1822"/>
      <c r="F48" s="562" t="s">
        <v>322</v>
      </c>
      <c r="G48" s="562" t="s">
        <v>462</v>
      </c>
      <c r="H48" s="562"/>
      <c r="I48" s="562" t="s">
        <v>462</v>
      </c>
      <c r="J48" s="604"/>
      <c r="K48" s="562"/>
      <c r="L48" s="604">
        <v>3205.48</v>
      </c>
      <c r="M48" s="603"/>
      <c r="N48" s="602"/>
      <c r="V48" s="674"/>
      <c r="W48" s="675"/>
      <c r="AA48" s="537" t="s">
        <v>461</v>
      </c>
    </row>
    <row r="49" spans="1:29" s="536" customFormat="1" ht="33.75" x14ac:dyDescent="0.2">
      <c r="A49" s="605"/>
      <c r="B49" s="552" t="s">
        <v>463</v>
      </c>
      <c r="C49" s="1822" t="s">
        <v>464</v>
      </c>
      <c r="D49" s="1822"/>
      <c r="E49" s="1822"/>
      <c r="F49" s="562" t="s">
        <v>322</v>
      </c>
      <c r="G49" s="562" t="s">
        <v>465</v>
      </c>
      <c r="H49" s="562"/>
      <c r="I49" s="562" t="s">
        <v>465</v>
      </c>
      <c r="J49" s="604"/>
      <c r="K49" s="562"/>
      <c r="L49" s="604">
        <v>1602.74</v>
      </c>
      <c r="M49" s="603"/>
      <c r="N49" s="602"/>
      <c r="V49" s="674"/>
      <c r="W49" s="675"/>
      <c r="AA49" s="537" t="s">
        <v>464</v>
      </c>
    </row>
    <row r="50" spans="1:29" s="536" customFormat="1" ht="12" x14ac:dyDescent="0.2">
      <c r="A50" s="569"/>
      <c r="B50" s="671"/>
      <c r="C50" s="1823" t="s">
        <v>327</v>
      </c>
      <c r="D50" s="1823"/>
      <c r="E50" s="1823"/>
      <c r="F50" s="573"/>
      <c r="G50" s="573"/>
      <c r="H50" s="573"/>
      <c r="I50" s="573"/>
      <c r="J50" s="572"/>
      <c r="K50" s="573"/>
      <c r="L50" s="572">
        <v>36527.480000000003</v>
      </c>
      <c r="M50" s="601"/>
      <c r="N50" s="570"/>
      <c r="V50" s="674"/>
      <c r="W50" s="675"/>
      <c r="AC50" s="675" t="s">
        <v>327</v>
      </c>
    </row>
    <row r="51" spans="1:29" s="536" customFormat="1" ht="45" x14ac:dyDescent="0.2">
      <c r="A51" s="575" t="s">
        <v>186</v>
      </c>
      <c r="B51" s="670" t="s">
        <v>978</v>
      </c>
      <c r="C51" s="1823" t="s">
        <v>8821</v>
      </c>
      <c r="D51" s="1823"/>
      <c r="E51" s="1823"/>
      <c r="F51" s="573" t="s">
        <v>455</v>
      </c>
      <c r="G51" s="573"/>
      <c r="H51" s="573"/>
      <c r="I51" s="573" t="s">
        <v>6824</v>
      </c>
      <c r="J51" s="572"/>
      <c r="K51" s="573"/>
      <c r="L51" s="572"/>
      <c r="M51" s="571"/>
      <c r="N51" s="570"/>
      <c r="V51" s="674"/>
      <c r="W51" s="675" t="s">
        <v>8821</v>
      </c>
      <c r="AC51" s="675"/>
    </row>
    <row r="52" spans="1:29" s="536" customFormat="1" ht="12" x14ac:dyDescent="0.2">
      <c r="A52" s="676"/>
      <c r="B52" s="664"/>
      <c r="C52" s="1822" t="s">
        <v>6825</v>
      </c>
      <c r="D52" s="1822"/>
      <c r="E52" s="1822"/>
      <c r="F52" s="1822"/>
      <c r="G52" s="1822"/>
      <c r="H52" s="1822"/>
      <c r="I52" s="1822"/>
      <c r="J52" s="1822"/>
      <c r="K52" s="1822"/>
      <c r="L52" s="1822"/>
      <c r="M52" s="1822"/>
      <c r="N52" s="1827"/>
      <c r="V52" s="674"/>
      <c r="W52" s="675"/>
      <c r="X52" s="537" t="s">
        <v>6825</v>
      </c>
      <c r="AC52" s="675"/>
    </row>
    <row r="53" spans="1:29" s="536" customFormat="1" ht="33.75" x14ac:dyDescent="0.2">
      <c r="A53" s="609"/>
      <c r="B53" s="552" t="s">
        <v>310</v>
      </c>
      <c r="C53" s="1822" t="s">
        <v>311</v>
      </c>
      <c r="D53" s="1822"/>
      <c r="E53" s="1822"/>
      <c r="F53" s="1822"/>
      <c r="G53" s="1822"/>
      <c r="H53" s="1822"/>
      <c r="I53" s="1822"/>
      <c r="J53" s="1822"/>
      <c r="K53" s="1822"/>
      <c r="L53" s="1822"/>
      <c r="M53" s="1822"/>
      <c r="N53" s="1827"/>
      <c r="V53" s="674"/>
      <c r="W53" s="675"/>
      <c r="Y53" s="537" t="s">
        <v>311</v>
      </c>
      <c r="AC53" s="675"/>
    </row>
    <row r="54" spans="1:29" s="536" customFormat="1" ht="12" x14ac:dyDescent="0.2">
      <c r="A54" s="605"/>
      <c r="B54" s="552" t="s">
        <v>186</v>
      </c>
      <c r="C54" s="1822" t="s">
        <v>344</v>
      </c>
      <c r="D54" s="1822"/>
      <c r="E54" s="1822"/>
      <c r="F54" s="562"/>
      <c r="G54" s="562"/>
      <c r="H54" s="562"/>
      <c r="I54" s="562"/>
      <c r="J54" s="604">
        <v>1874.03</v>
      </c>
      <c r="K54" s="562" t="s">
        <v>313</v>
      </c>
      <c r="L54" s="604">
        <v>855.03</v>
      </c>
      <c r="M54" s="603"/>
      <c r="N54" s="602"/>
      <c r="V54" s="674"/>
      <c r="W54" s="675"/>
      <c r="Z54" s="537" t="s">
        <v>344</v>
      </c>
      <c r="AC54" s="675"/>
    </row>
    <row r="55" spans="1:29" s="536" customFormat="1" ht="12" x14ac:dyDescent="0.2">
      <c r="A55" s="605"/>
      <c r="B55" s="552" t="s">
        <v>187</v>
      </c>
      <c r="C55" s="1822" t="s">
        <v>345</v>
      </c>
      <c r="D55" s="1822"/>
      <c r="E55" s="1822"/>
      <c r="F55" s="562"/>
      <c r="G55" s="562"/>
      <c r="H55" s="562"/>
      <c r="I55" s="562"/>
      <c r="J55" s="604">
        <v>110.88</v>
      </c>
      <c r="K55" s="562" t="s">
        <v>313</v>
      </c>
      <c r="L55" s="604">
        <v>50.59</v>
      </c>
      <c r="M55" s="603"/>
      <c r="N55" s="602"/>
      <c r="V55" s="674"/>
      <c r="W55" s="675"/>
      <c r="Z55" s="537" t="s">
        <v>345</v>
      </c>
      <c r="AC55" s="675"/>
    </row>
    <row r="56" spans="1:29" s="536" customFormat="1" ht="12" x14ac:dyDescent="0.2">
      <c r="A56" s="605"/>
      <c r="B56" s="552"/>
      <c r="C56" s="1822" t="s">
        <v>348</v>
      </c>
      <c r="D56" s="1822"/>
      <c r="E56" s="1822"/>
      <c r="F56" s="562" t="s">
        <v>315</v>
      </c>
      <c r="G56" s="562" t="s">
        <v>982</v>
      </c>
      <c r="H56" s="562" t="s">
        <v>313</v>
      </c>
      <c r="I56" s="562" t="s">
        <v>6826</v>
      </c>
      <c r="J56" s="604"/>
      <c r="K56" s="562"/>
      <c r="L56" s="604"/>
      <c r="M56" s="603"/>
      <c r="N56" s="602"/>
      <c r="V56" s="674"/>
      <c r="W56" s="675"/>
      <c r="AA56" s="537" t="s">
        <v>348</v>
      </c>
      <c r="AC56" s="675"/>
    </row>
    <row r="57" spans="1:29" s="536" customFormat="1" ht="12" x14ac:dyDescent="0.2">
      <c r="A57" s="605"/>
      <c r="B57" s="552"/>
      <c r="C57" s="1828" t="s">
        <v>318</v>
      </c>
      <c r="D57" s="1828"/>
      <c r="E57" s="1828"/>
      <c r="F57" s="608"/>
      <c r="G57" s="608"/>
      <c r="H57" s="608"/>
      <c r="I57" s="608"/>
      <c r="J57" s="607">
        <v>1874.03</v>
      </c>
      <c r="K57" s="608"/>
      <c r="L57" s="607">
        <v>855.03</v>
      </c>
      <c r="M57" s="601"/>
      <c r="N57" s="606"/>
      <c r="V57" s="674"/>
      <c r="W57" s="675"/>
      <c r="AB57" s="537" t="s">
        <v>318</v>
      </c>
      <c r="AC57" s="675"/>
    </row>
    <row r="58" spans="1:29" s="536" customFormat="1" ht="12" x14ac:dyDescent="0.2">
      <c r="A58" s="605"/>
      <c r="B58" s="552"/>
      <c r="C58" s="1822" t="s">
        <v>319</v>
      </c>
      <c r="D58" s="1822"/>
      <c r="E58" s="1822"/>
      <c r="F58" s="562"/>
      <c r="G58" s="562"/>
      <c r="H58" s="562"/>
      <c r="I58" s="562"/>
      <c r="J58" s="604"/>
      <c r="K58" s="562"/>
      <c r="L58" s="604">
        <v>50.59</v>
      </c>
      <c r="M58" s="603"/>
      <c r="N58" s="602"/>
      <c r="V58" s="674"/>
      <c r="W58" s="675"/>
      <c r="AA58" s="537" t="s">
        <v>319</v>
      </c>
      <c r="AC58" s="675"/>
    </row>
    <row r="59" spans="1:29" s="536" customFormat="1" ht="33.75" x14ac:dyDescent="0.2">
      <c r="A59" s="605"/>
      <c r="B59" s="552" t="s">
        <v>460</v>
      </c>
      <c r="C59" s="1822" t="s">
        <v>461</v>
      </c>
      <c r="D59" s="1822"/>
      <c r="E59" s="1822"/>
      <c r="F59" s="562" t="s">
        <v>322</v>
      </c>
      <c r="G59" s="562" t="s">
        <v>462</v>
      </c>
      <c r="H59" s="562"/>
      <c r="I59" s="562" t="s">
        <v>462</v>
      </c>
      <c r="J59" s="604"/>
      <c r="K59" s="562"/>
      <c r="L59" s="604">
        <v>46.54</v>
      </c>
      <c r="M59" s="603"/>
      <c r="N59" s="602"/>
      <c r="V59" s="674"/>
      <c r="W59" s="675"/>
      <c r="AA59" s="537" t="s">
        <v>461</v>
      </c>
      <c r="AC59" s="675"/>
    </row>
    <row r="60" spans="1:29" s="536" customFormat="1" ht="33.75" x14ac:dyDescent="0.2">
      <c r="A60" s="605"/>
      <c r="B60" s="552" t="s">
        <v>463</v>
      </c>
      <c r="C60" s="1822" t="s">
        <v>464</v>
      </c>
      <c r="D60" s="1822"/>
      <c r="E60" s="1822"/>
      <c r="F60" s="562" t="s">
        <v>322</v>
      </c>
      <c r="G60" s="562" t="s">
        <v>465</v>
      </c>
      <c r="H60" s="562"/>
      <c r="I60" s="562" t="s">
        <v>465</v>
      </c>
      <c r="J60" s="604"/>
      <c r="K60" s="562"/>
      <c r="L60" s="604">
        <v>23.27</v>
      </c>
      <c r="M60" s="603"/>
      <c r="N60" s="602"/>
      <c r="V60" s="674"/>
      <c r="W60" s="675"/>
      <c r="AA60" s="537" t="s">
        <v>464</v>
      </c>
      <c r="AC60" s="675"/>
    </row>
    <row r="61" spans="1:29" s="536" customFormat="1" ht="12" x14ac:dyDescent="0.2">
      <c r="A61" s="569"/>
      <c r="B61" s="671"/>
      <c r="C61" s="1823" t="s">
        <v>327</v>
      </c>
      <c r="D61" s="1823"/>
      <c r="E61" s="1823"/>
      <c r="F61" s="573"/>
      <c r="G61" s="573"/>
      <c r="H61" s="573"/>
      <c r="I61" s="573"/>
      <c r="J61" s="572"/>
      <c r="K61" s="573"/>
      <c r="L61" s="572">
        <v>924.84</v>
      </c>
      <c r="M61" s="601"/>
      <c r="N61" s="570"/>
      <c r="V61" s="674"/>
      <c r="W61" s="675"/>
      <c r="AC61" s="675" t="s">
        <v>327</v>
      </c>
    </row>
    <row r="62" spans="1:29" s="536" customFormat="1" ht="45" x14ac:dyDescent="0.2">
      <c r="A62" s="575" t="s">
        <v>187</v>
      </c>
      <c r="B62" s="670" t="s">
        <v>6827</v>
      </c>
      <c r="C62" s="1823" t="s">
        <v>6828</v>
      </c>
      <c r="D62" s="1823"/>
      <c r="E62" s="1823"/>
      <c r="F62" s="573" t="s">
        <v>455</v>
      </c>
      <c r="G62" s="573"/>
      <c r="H62" s="573"/>
      <c r="I62" s="573" t="s">
        <v>6824</v>
      </c>
      <c r="J62" s="572"/>
      <c r="K62" s="573"/>
      <c r="L62" s="572"/>
      <c r="M62" s="571"/>
      <c r="N62" s="570"/>
      <c r="V62" s="674"/>
      <c r="W62" s="675" t="s">
        <v>6828</v>
      </c>
      <c r="AC62" s="675"/>
    </row>
    <row r="63" spans="1:29" s="536" customFormat="1" ht="12" x14ac:dyDescent="0.2">
      <c r="A63" s="676"/>
      <c r="B63" s="664"/>
      <c r="C63" s="1822" t="s">
        <v>6825</v>
      </c>
      <c r="D63" s="1822"/>
      <c r="E63" s="1822"/>
      <c r="F63" s="1822"/>
      <c r="G63" s="1822"/>
      <c r="H63" s="1822"/>
      <c r="I63" s="1822"/>
      <c r="J63" s="1822"/>
      <c r="K63" s="1822"/>
      <c r="L63" s="1822"/>
      <c r="M63" s="1822"/>
      <c r="N63" s="1827"/>
      <c r="V63" s="674"/>
      <c r="W63" s="675"/>
      <c r="X63" s="537" t="s">
        <v>6825</v>
      </c>
      <c r="AC63" s="675"/>
    </row>
    <row r="64" spans="1:29" s="536" customFormat="1" ht="12" x14ac:dyDescent="0.2">
      <c r="A64" s="609"/>
      <c r="B64" s="552"/>
      <c r="C64" s="1822" t="s">
        <v>4744</v>
      </c>
      <c r="D64" s="1822"/>
      <c r="E64" s="1822"/>
      <c r="F64" s="1822"/>
      <c r="G64" s="1822"/>
      <c r="H64" s="1822"/>
      <c r="I64" s="1822"/>
      <c r="J64" s="1822"/>
      <c r="K64" s="1822"/>
      <c r="L64" s="1822"/>
      <c r="M64" s="1822"/>
      <c r="N64" s="1827"/>
      <c r="V64" s="674"/>
      <c r="W64" s="675"/>
      <c r="Y64" s="537" t="s">
        <v>4744</v>
      </c>
      <c r="AC64" s="675"/>
    </row>
    <row r="65" spans="1:29" s="536" customFormat="1" ht="33.75" x14ac:dyDescent="0.2">
      <c r="A65" s="609"/>
      <c r="B65" s="552" t="s">
        <v>310</v>
      </c>
      <c r="C65" s="1822" t="s">
        <v>311</v>
      </c>
      <c r="D65" s="1822"/>
      <c r="E65" s="1822"/>
      <c r="F65" s="1822"/>
      <c r="G65" s="1822"/>
      <c r="H65" s="1822"/>
      <c r="I65" s="1822"/>
      <c r="J65" s="1822"/>
      <c r="K65" s="1822"/>
      <c r="L65" s="1822"/>
      <c r="M65" s="1822"/>
      <c r="N65" s="1827"/>
      <c r="V65" s="674"/>
      <c r="W65" s="675"/>
      <c r="Y65" s="537" t="s">
        <v>311</v>
      </c>
      <c r="AC65" s="675"/>
    </row>
    <row r="66" spans="1:29" s="536" customFormat="1" ht="12" x14ac:dyDescent="0.2">
      <c r="A66" s="605"/>
      <c r="B66" s="552" t="s">
        <v>186</v>
      </c>
      <c r="C66" s="1822" t="s">
        <v>344</v>
      </c>
      <c r="D66" s="1822"/>
      <c r="E66" s="1822"/>
      <c r="F66" s="562"/>
      <c r="G66" s="562"/>
      <c r="H66" s="562"/>
      <c r="I66" s="562"/>
      <c r="J66" s="604">
        <v>1302.08</v>
      </c>
      <c r="K66" s="562" t="s">
        <v>722</v>
      </c>
      <c r="L66" s="604">
        <v>1188.1500000000001</v>
      </c>
      <c r="M66" s="603"/>
      <c r="N66" s="602"/>
      <c r="V66" s="674"/>
      <c r="W66" s="675"/>
      <c r="Z66" s="537" t="s">
        <v>344</v>
      </c>
      <c r="AC66" s="675"/>
    </row>
    <row r="67" spans="1:29" s="536" customFormat="1" ht="12" x14ac:dyDescent="0.2">
      <c r="A67" s="605"/>
      <c r="B67" s="552" t="s">
        <v>187</v>
      </c>
      <c r="C67" s="1822" t="s">
        <v>345</v>
      </c>
      <c r="D67" s="1822"/>
      <c r="E67" s="1822"/>
      <c r="F67" s="562"/>
      <c r="G67" s="562"/>
      <c r="H67" s="562"/>
      <c r="I67" s="562"/>
      <c r="J67" s="604">
        <v>77.040000000000006</v>
      </c>
      <c r="K67" s="562" t="s">
        <v>722</v>
      </c>
      <c r="L67" s="604">
        <v>70.3</v>
      </c>
      <c r="M67" s="603"/>
      <c r="N67" s="602"/>
      <c r="V67" s="674"/>
      <c r="W67" s="675"/>
      <c r="Z67" s="537" t="s">
        <v>345</v>
      </c>
      <c r="AC67" s="675"/>
    </row>
    <row r="68" spans="1:29" s="536" customFormat="1" ht="12" x14ac:dyDescent="0.2">
      <c r="A68" s="605"/>
      <c r="B68" s="552"/>
      <c r="C68" s="1822" t="s">
        <v>348</v>
      </c>
      <c r="D68" s="1822"/>
      <c r="E68" s="1822"/>
      <c r="F68" s="562" t="s">
        <v>315</v>
      </c>
      <c r="G68" s="562" t="s">
        <v>6829</v>
      </c>
      <c r="H68" s="562" t="s">
        <v>722</v>
      </c>
      <c r="I68" s="562" t="s">
        <v>6830</v>
      </c>
      <c r="J68" s="604"/>
      <c r="K68" s="562"/>
      <c r="L68" s="604"/>
      <c r="M68" s="603"/>
      <c r="N68" s="602"/>
      <c r="V68" s="674"/>
      <c r="W68" s="675"/>
      <c r="AA68" s="537" t="s">
        <v>348</v>
      </c>
      <c r="AC68" s="675"/>
    </row>
    <row r="69" spans="1:29" s="536" customFormat="1" ht="12" x14ac:dyDescent="0.2">
      <c r="A69" s="605"/>
      <c r="B69" s="552"/>
      <c r="C69" s="1828" t="s">
        <v>318</v>
      </c>
      <c r="D69" s="1828"/>
      <c r="E69" s="1828"/>
      <c r="F69" s="608"/>
      <c r="G69" s="608"/>
      <c r="H69" s="608"/>
      <c r="I69" s="608"/>
      <c r="J69" s="607">
        <v>1302.08</v>
      </c>
      <c r="K69" s="608"/>
      <c r="L69" s="607">
        <v>1188.1500000000001</v>
      </c>
      <c r="M69" s="601"/>
      <c r="N69" s="606"/>
      <c r="V69" s="674"/>
      <c r="W69" s="675"/>
      <c r="AB69" s="537" t="s">
        <v>318</v>
      </c>
      <c r="AC69" s="675"/>
    </row>
    <row r="70" spans="1:29" s="536" customFormat="1" ht="12" x14ac:dyDescent="0.2">
      <c r="A70" s="605"/>
      <c r="B70" s="552"/>
      <c r="C70" s="1822" t="s">
        <v>319</v>
      </c>
      <c r="D70" s="1822"/>
      <c r="E70" s="1822"/>
      <c r="F70" s="562"/>
      <c r="G70" s="562"/>
      <c r="H70" s="562"/>
      <c r="I70" s="562"/>
      <c r="J70" s="604"/>
      <c r="K70" s="562"/>
      <c r="L70" s="604">
        <v>70.3</v>
      </c>
      <c r="M70" s="603"/>
      <c r="N70" s="602"/>
      <c r="V70" s="674"/>
      <c r="W70" s="675"/>
      <c r="AA70" s="537" t="s">
        <v>319</v>
      </c>
      <c r="AC70" s="675"/>
    </row>
    <row r="71" spans="1:29" s="536" customFormat="1" ht="33.75" x14ac:dyDescent="0.2">
      <c r="A71" s="605"/>
      <c r="B71" s="552" t="s">
        <v>460</v>
      </c>
      <c r="C71" s="1822" t="s">
        <v>461</v>
      </c>
      <c r="D71" s="1822"/>
      <c r="E71" s="1822"/>
      <c r="F71" s="562" t="s">
        <v>322</v>
      </c>
      <c r="G71" s="562" t="s">
        <v>462</v>
      </c>
      <c r="H71" s="562"/>
      <c r="I71" s="562" t="s">
        <v>462</v>
      </c>
      <c r="J71" s="604"/>
      <c r="K71" s="562"/>
      <c r="L71" s="604">
        <v>64.680000000000007</v>
      </c>
      <c r="M71" s="603"/>
      <c r="N71" s="602"/>
      <c r="V71" s="674"/>
      <c r="W71" s="675"/>
      <c r="AA71" s="537" t="s">
        <v>461</v>
      </c>
      <c r="AC71" s="675"/>
    </row>
    <row r="72" spans="1:29" s="536" customFormat="1" ht="33.75" x14ac:dyDescent="0.2">
      <c r="A72" s="605"/>
      <c r="B72" s="552" t="s">
        <v>463</v>
      </c>
      <c r="C72" s="1822" t="s">
        <v>464</v>
      </c>
      <c r="D72" s="1822"/>
      <c r="E72" s="1822"/>
      <c r="F72" s="562" t="s">
        <v>322</v>
      </c>
      <c r="G72" s="562" t="s">
        <v>465</v>
      </c>
      <c r="H72" s="562"/>
      <c r="I72" s="562" t="s">
        <v>465</v>
      </c>
      <c r="J72" s="604"/>
      <c r="K72" s="562"/>
      <c r="L72" s="604">
        <v>32.340000000000003</v>
      </c>
      <c r="M72" s="603"/>
      <c r="N72" s="602"/>
      <c r="V72" s="674"/>
      <c r="W72" s="675"/>
      <c r="AA72" s="537" t="s">
        <v>464</v>
      </c>
      <c r="AC72" s="675"/>
    </row>
    <row r="73" spans="1:29" s="536" customFormat="1" ht="12" x14ac:dyDescent="0.2">
      <c r="A73" s="569"/>
      <c r="B73" s="671"/>
      <c r="C73" s="1823" t="s">
        <v>327</v>
      </c>
      <c r="D73" s="1823"/>
      <c r="E73" s="1823"/>
      <c r="F73" s="573"/>
      <c r="G73" s="573"/>
      <c r="H73" s="573"/>
      <c r="I73" s="573"/>
      <c r="J73" s="572"/>
      <c r="K73" s="573"/>
      <c r="L73" s="572">
        <v>1285.17</v>
      </c>
      <c r="M73" s="601"/>
      <c r="N73" s="570"/>
      <c r="V73" s="674"/>
      <c r="W73" s="675"/>
      <c r="AC73" s="675" t="s">
        <v>327</v>
      </c>
    </row>
    <row r="74" spans="1:29" s="536" customFormat="1" ht="56.25" x14ac:dyDescent="0.2">
      <c r="A74" s="575" t="s">
        <v>188</v>
      </c>
      <c r="B74" s="670" t="s">
        <v>4062</v>
      </c>
      <c r="C74" s="1823" t="s">
        <v>4063</v>
      </c>
      <c r="D74" s="1823"/>
      <c r="E74" s="1823"/>
      <c r="F74" s="573" t="s">
        <v>455</v>
      </c>
      <c r="G74" s="573"/>
      <c r="H74" s="573"/>
      <c r="I74" s="573" t="s">
        <v>6831</v>
      </c>
      <c r="J74" s="572"/>
      <c r="K74" s="573"/>
      <c r="L74" s="572"/>
      <c r="M74" s="571"/>
      <c r="N74" s="570"/>
      <c r="V74" s="674"/>
      <c r="W74" s="675" t="s">
        <v>4063</v>
      </c>
      <c r="AC74" s="675"/>
    </row>
    <row r="75" spans="1:29" s="536" customFormat="1" ht="12" x14ac:dyDescent="0.2">
      <c r="A75" s="676"/>
      <c r="B75" s="664"/>
      <c r="C75" s="1822" t="s">
        <v>6832</v>
      </c>
      <c r="D75" s="1822"/>
      <c r="E75" s="1822"/>
      <c r="F75" s="1822"/>
      <c r="G75" s="1822"/>
      <c r="H75" s="1822"/>
      <c r="I75" s="1822"/>
      <c r="J75" s="1822"/>
      <c r="K75" s="1822"/>
      <c r="L75" s="1822"/>
      <c r="M75" s="1822"/>
      <c r="N75" s="1827"/>
      <c r="V75" s="674"/>
      <c r="W75" s="675"/>
      <c r="X75" s="537" t="s">
        <v>6832</v>
      </c>
      <c r="AC75" s="675"/>
    </row>
    <row r="76" spans="1:29" s="536" customFormat="1" ht="33.75" x14ac:dyDescent="0.2">
      <c r="A76" s="609"/>
      <c r="B76" s="552" t="s">
        <v>310</v>
      </c>
      <c r="C76" s="1822" t="s">
        <v>311</v>
      </c>
      <c r="D76" s="1822"/>
      <c r="E76" s="1822"/>
      <c r="F76" s="1822"/>
      <c r="G76" s="1822"/>
      <c r="H76" s="1822"/>
      <c r="I76" s="1822"/>
      <c r="J76" s="1822"/>
      <c r="K76" s="1822"/>
      <c r="L76" s="1822"/>
      <c r="M76" s="1822"/>
      <c r="N76" s="1827"/>
      <c r="V76" s="674"/>
      <c r="W76" s="675"/>
      <c r="Y76" s="537" t="s">
        <v>311</v>
      </c>
      <c r="AC76" s="675"/>
    </row>
    <row r="77" spans="1:29" s="536" customFormat="1" ht="12" x14ac:dyDescent="0.2">
      <c r="A77" s="605"/>
      <c r="B77" s="552" t="s">
        <v>186</v>
      </c>
      <c r="C77" s="1822" t="s">
        <v>344</v>
      </c>
      <c r="D77" s="1822"/>
      <c r="E77" s="1822"/>
      <c r="F77" s="562"/>
      <c r="G77" s="562"/>
      <c r="H77" s="562"/>
      <c r="I77" s="562"/>
      <c r="J77" s="604">
        <v>5161.8</v>
      </c>
      <c r="K77" s="562" t="s">
        <v>313</v>
      </c>
      <c r="L77" s="604">
        <v>2290.5500000000002</v>
      </c>
      <c r="M77" s="603"/>
      <c r="N77" s="602"/>
      <c r="V77" s="674"/>
      <c r="W77" s="675"/>
      <c r="Z77" s="537" t="s">
        <v>344</v>
      </c>
      <c r="AC77" s="675"/>
    </row>
    <row r="78" spans="1:29" s="536" customFormat="1" ht="12" x14ac:dyDescent="0.2">
      <c r="A78" s="605"/>
      <c r="B78" s="552" t="s">
        <v>187</v>
      </c>
      <c r="C78" s="1822" t="s">
        <v>345</v>
      </c>
      <c r="D78" s="1822"/>
      <c r="E78" s="1822"/>
      <c r="F78" s="562"/>
      <c r="G78" s="562"/>
      <c r="H78" s="562"/>
      <c r="I78" s="562"/>
      <c r="J78" s="604">
        <v>567</v>
      </c>
      <c r="K78" s="562" t="s">
        <v>313</v>
      </c>
      <c r="L78" s="604">
        <v>251.61</v>
      </c>
      <c r="M78" s="603"/>
      <c r="N78" s="602"/>
      <c r="V78" s="674"/>
      <c r="W78" s="675"/>
      <c r="Z78" s="537" t="s">
        <v>345</v>
      </c>
      <c r="AC78" s="675"/>
    </row>
    <row r="79" spans="1:29" s="536" customFormat="1" ht="12" x14ac:dyDescent="0.2">
      <c r="A79" s="605"/>
      <c r="B79" s="552"/>
      <c r="C79" s="1822" t="s">
        <v>348</v>
      </c>
      <c r="D79" s="1822"/>
      <c r="E79" s="1822"/>
      <c r="F79" s="562" t="s">
        <v>315</v>
      </c>
      <c r="G79" s="562" t="s">
        <v>774</v>
      </c>
      <c r="H79" s="562" t="s">
        <v>313</v>
      </c>
      <c r="I79" s="562" t="s">
        <v>6833</v>
      </c>
      <c r="J79" s="604"/>
      <c r="K79" s="562"/>
      <c r="L79" s="604"/>
      <c r="M79" s="603"/>
      <c r="N79" s="602"/>
      <c r="V79" s="674"/>
      <c r="W79" s="675"/>
      <c r="AA79" s="537" t="s">
        <v>348</v>
      </c>
      <c r="AC79" s="675"/>
    </row>
    <row r="80" spans="1:29" s="536" customFormat="1" ht="12" x14ac:dyDescent="0.2">
      <c r="A80" s="605"/>
      <c r="B80" s="552"/>
      <c r="C80" s="1828" t="s">
        <v>318</v>
      </c>
      <c r="D80" s="1828"/>
      <c r="E80" s="1828"/>
      <c r="F80" s="608"/>
      <c r="G80" s="608"/>
      <c r="H80" s="608"/>
      <c r="I80" s="608"/>
      <c r="J80" s="607">
        <v>5161.8</v>
      </c>
      <c r="K80" s="608"/>
      <c r="L80" s="607">
        <v>2290.5500000000002</v>
      </c>
      <c r="M80" s="601"/>
      <c r="N80" s="606"/>
      <c r="V80" s="674"/>
      <c r="W80" s="675"/>
      <c r="AB80" s="537" t="s">
        <v>318</v>
      </c>
      <c r="AC80" s="675"/>
    </row>
    <row r="81" spans="1:29" s="536" customFormat="1" ht="12" x14ac:dyDescent="0.2">
      <c r="A81" s="605"/>
      <c r="B81" s="552"/>
      <c r="C81" s="1822" t="s">
        <v>319</v>
      </c>
      <c r="D81" s="1822"/>
      <c r="E81" s="1822"/>
      <c r="F81" s="562"/>
      <c r="G81" s="562"/>
      <c r="H81" s="562"/>
      <c r="I81" s="562"/>
      <c r="J81" s="604"/>
      <c r="K81" s="562"/>
      <c r="L81" s="604">
        <v>251.61</v>
      </c>
      <c r="M81" s="603"/>
      <c r="N81" s="602"/>
      <c r="V81" s="674"/>
      <c r="W81" s="675"/>
      <c r="AA81" s="537" t="s">
        <v>319</v>
      </c>
      <c r="AC81" s="675"/>
    </row>
    <row r="82" spans="1:29" s="536" customFormat="1" ht="33.75" x14ac:dyDescent="0.2">
      <c r="A82" s="605"/>
      <c r="B82" s="552" t="s">
        <v>460</v>
      </c>
      <c r="C82" s="1822" t="s">
        <v>461</v>
      </c>
      <c r="D82" s="1822"/>
      <c r="E82" s="1822"/>
      <c r="F82" s="562" t="s">
        <v>322</v>
      </c>
      <c r="G82" s="562" t="s">
        <v>462</v>
      </c>
      <c r="H82" s="562"/>
      <c r="I82" s="562" t="s">
        <v>462</v>
      </c>
      <c r="J82" s="604"/>
      <c r="K82" s="562"/>
      <c r="L82" s="604">
        <v>231.48</v>
      </c>
      <c r="M82" s="603"/>
      <c r="N82" s="602"/>
      <c r="V82" s="674"/>
      <c r="W82" s="675"/>
      <c r="AA82" s="537" t="s">
        <v>461</v>
      </c>
      <c r="AC82" s="675"/>
    </row>
    <row r="83" spans="1:29" s="536" customFormat="1" ht="33.75" x14ac:dyDescent="0.2">
      <c r="A83" s="605"/>
      <c r="B83" s="552" t="s">
        <v>463</v>
      </c>
      <c r="C83" s="1822" t="s">
        <v>464</v>
      </c>
      <c r="D83" s="1822"/>
      <c r="E83" s="1822"/>
      <c r="F83" s="562" t="s">
        <v>322</v>
      </c>
      <c r="G83" s="562" t="s">
        <v>465</v>
      </c>
      <c r="H83" s="562"/>
      <c r="I83" s="562" t="s">
        <v>465</v>
      </c>
      <c r="J83" s="604"/>
      <c r="K83" s="562"/>
      <c r="L83" s="604">
        <v>115.74</v>
      </c>
      <c r="M83" s="603"/>
      <c r="N83" s="602"/>
      <c r="V83" s="674"/>
      <c r="W83" s="675"/>
      <c r="AA83" s="537" t="s">
        <v>464</v>
      </c>
      <c r="AC83" s="675"/>
    </row>
    <row r="84" spans="1:29" s="536" customFormat="1" ht="12" x14ac:dyDescent="0.2">
      <c r="A84" s="569"/>
      <c r="B84" s="671"/>
      <c r="C84" s="1823" t="s">
        <v>327</v>
      </c>
      <c r="D84" s="1823"/>
      <c r="E84" s="1823"/>
      <c r="F84" s="573"/>
      <c r="G84" s="573"/>
      <c r="H84" s="573"/>
      <c r="I84" s="573"/>
      <c r="J84" s="572"/>
      <c r="K84" s="573"/>
      <c r="L84" s="572">
        <v>2637.77</v>
      </c>
      <c r="M84" s="601"/>
      <c r="N84" s="570"/>
      <c r="V84" s="674"/>
      <c r="W84" s="675"/>
      <c r="AC84" s="675" t="s">
        <v>327</v>
      </c>
    </row>
    <row r="85" spans="1:29" s="536" customFormat="1" ht="45" x14ac:dyDescent="0.2">
      <c r="A85" s="575" t="s">
        <v>189</v>
      </c>
      <c r="B85" s="670" t="s">
        <v>1005</v>
      </c>
      <c r="C85" s="1823" t="s">
        <v>1006</v>
      </c>
      <c r="D85" s="1823"/>
      <c r="E85" s="1823"/>
      <c r="F85" s="573" t="s">
        <v>201</v>
      </c>
      <c r="G85" s="573"/>
      <c r="H85" s="573"/>
      <c r="I85" s="573" t="s">
        <v>8822</v>
      </c>
      <c r="J85" s="572">
        <v>2.91</v>
      </c>
      <c r="K85" s="573"/>
      <c r="L85" s="572">
        <v>35278.800000000003</v>
      </c>
      <c r="M85" s="571"/>
      <c r="N85" s="570"/>
      <c r="V85" s="674"/>
      <c r="W85" s="675" t="s">
        <v>1006</v>
      </c>
      <c r="AC85" s="675"/>
    </row>
    <row r="86" spans="1:29" s="536" customFormat="1" ht="12" x14ac:dyDescent="0.2">
      <c r="A86" s="676"/>
      <c r="B86" s="664"/>
      <c r="C86" s="1822" t="s">
        <v>8823</v>
      </c>
      <c r="D86" s="1822"/>
      <c r="E86" s="1822"/>
      <c r="F86" s="1822"/>
      <c r="G86" s="1822"/>
      <c r="H86" s="1822"/>
      <c r="I86" s="1822"/>
      <c r="J86" s="1822"/>
      <c r="K86" s="1822"/>
      <c r="L86" s="1822"/>
      <c r="M86" s="1822"/>
      <c r="N86" s="1827"/>
      <c r="V86" s="674"/>
      <c r="W86" s="675"/>
      <c r="X86" s="537" t="s">
        <v>8823</v>
      </c>
      <c r="AC86" s="675"/>
    </row>
    <row r="87" spans="1:29" s="536" customFormat="1" ht="45" x14ac:dyDescent="0.2">
      <c r="A87" s="575" t="s">
        <v>190</v>
      </c>
      <c r="B87" s="670" t="s">
        <v>4064</v>
      </c>
      <c r="C87" s="1823" t="s">
        <v>4065</v>
      </c>
      <c r="D87" s="1823"/>
      <c r="E87" s="1823"/>
      <c r="F87" s="573" t="s">
        <v>455</v>
      </c>
      <c r="G87" s="573"/>
      <c r="H87" s="573"/>
      <c r="I87" s="573" t="s">
        <v>8818</v>
      </c>
      <c r="J87" s="572"/>
      <c r="K87" s="573"/>
      <c r="L87" s="572"/>
      <c r="M87" s="571"/>
      <c r="N87" s="570"/>
      <c r="V87" s="674"/>
      <c r="W87" s="675" t="s">
        <v>4065</v>
      </c>
      <c r="AC87" s="675"/>
    </row>
    <row r="88" spans="1:29" s="536" customFormat="1" ht="12" x14ac:dyDescent="0.2">
      <c r="A88" s="676"/>
      <c r="B88" s="664"/>
      <c r="C88" s="1822" t="s">
        <v>8819</v>
      </c>
      <c r="D88" s="1822"/>
      <c r="E88" s="1822"/>
      <c r="F88" s="1822"/>
      <c r="G88" s="1822"/>
      <c r="H88" s="1822"/>
      <c r="I88" s="1822"/>
      <c r="J88" s="1822"/>
      <c r="K88" s="1822"/>
      <c r="L88" s="1822"/>
      <c r="M88" s="1822"/>
      <c r="N88" s="1827"/>
      <c r="V88" s="674"/>
      <c r="W88" s="675"/>
      <c r="X88" s="537" t="s">
        <v>8819</v>
      </c>
      <c r="AC88" s="675"/>
    </row>
    <row r="89" spans="1:29" s="536" customFormat="1" ht="33.75" x14ac:dyDescent="0.2">
      <c r="A89" s="609"/>
      <c r="B89" s="552" t="s">
        <v>310</v>
      </c>
      <c r="C89" s="1822" t="s">
        <v>311</v>
      </c>
      <c r="D89" s="1822"/>
      <c r="E89" s="1822"/>
      <c r="F89" s="1822"/>
      <c r="G89" s="1822"/>
      <c r="H89" s="1822"/>
      <c r="I89" s="1822"/>
      <c r="J89" s="1822"/>
      <c r="K89" s="1822"/>
      <c r="L89" s="1822"/>
      <c r="M89" s="1822"/>
      <c r="N89" s="1827"/>
      <c r="V89" s="674"/>
      <c r="W89" s="675"/>
      <c r="Y89" s="537" t="s">
        <v>311</v>
      </c>
      <c r="AC89" s="675"/>
    </row>
    <row r="90" spans="1:29" s="536" customFormat="1" ht="12" x14ac:dyDescent="0.2">
      <c r="A90" s="605"/>
      <c r="B90" s="552" t="s">
        <v>186</v>
      </c>
      <c r="C90" s="1822" t="s">
        <v>344</v>
      </c>
      <c r="D90" s="1822"/>
      <c r="E90" s="1822"/>
      <c r="F90" s="562"/>
      <c r="G90" s="562"/>
      <c r="H90" s="562"/>
      <c r="I90" s="562"/>
      <c r="J90" s="604">
        <v>881.62</v>
      </c>
      <c r="K90" s="562" t="s">
        <v>313</v>
      </c>
      <c r="L90" s="604">
        <v>5417.55</v>
      </c>
      <c r="M90" s="603"/>
      <c r="N90" s="602"/>
      <c r="V90" s="674"/>
      <c r="W90" s="675"/>
      <c r="Z90" s="537" t="s">
        <v>344</v>
      </c>
      <c r="AC90" s="675"/>
    </row>
    <row r="91" spans="1:29" s="536" customFormat="1" ht="12" x14ac:dyDescent="0.2">
      <c r="A91" s="605"/>
      <c r="B91" s="552" t="s">
        <v>187</v>
      </c>
      <c r="C91" s="1822" t="s">
        <v>345</v>
      </c>
      <c r="D91" s="1822"/>
      <c r="E91" s="1822"/>
      <c r="F91" s="562"/>
      <c r="G91" s="562"/>
      <c r="H91" s="562"/>
      <c r="I91" s="562"/>
      <c r="J91" s="604">
        <v>143.87</v>
      </c>
      <c r="K91" s="562" t="s">
        <v>313</v>
      </c>
      <c r="L91" s="604">
        <v>884.08</v>
      </c>
      <c r="M91" s="603"/>
      <c r="N91" s="602"/>
      <c r="V91" s="674"/>
      <c r="W91" s="675"/>
      <c r="Z91" s="537" t="s">
        <v>345</v>
      </c>
      <c r="AC91" s="675"/>
    </row>
    <row r="92" spans="1:29" s="536" customFormat="1" ht="12" x14ac:dyDescent="0.2">
      <c r="A92" s="605"/>
      <c r="B92" s="552"/>
      <c r="C92" s="1822" t="s">
        <v>348</v>
      </c>
      <c r="D92" s="1822"/>
      <c r="E92" s="1822"/>
      <c r="F92" s="562" t="s">
        <v>315</v>
      </c>
      <c r="G92" s="562" t="s">
        <v>4066</v>
      </c>
      <c r="H92" s="562" t="s">
        <v>313</v>
      </c>
      <c r="I92" s="562" t="s">
        <v>8824</v>
      </c>
      <c r="J92" s="604"/>
      <c r="K92" s="562"/>
      <c r="L92" s="604"/>
      <c r="M92" s="603"/>
      <c r="N92" s="602"/>
      <c r="V92" s="674"/>
      <c r="W92" s="675"/>
      <c r="AA92" s="537" t="s">
        <v>348</v>
      </c>
      <c r="AC92" s="675"/>
    </row>
    <row r="93" spans="1:29" s="536" customFormat="1" ht="12" x14ac:dyDescent="0.2">
      <c r="A93" s="605"/>
      <c r="B93" s="552"/>
      <c r="C93" s="1828" t="s">
        <v>318</v>
      </c>
      <c r="D93" s="1828"/>
      <c r="E93" s="1828"/>
      <c r="F93" s="608"/>
      <c r="G93" s="608"/>
      <c r="H93" s="608"/>
      <c r="I93" s="608"/>
      <c r="J93" s="607">
        <v>881.62</v>
      </c>
      <c r="K93" s="608"/>
      <c r="L93" s="607">
        <v>5417.55</v>
      </c>
      <c r="M93" s="601"/>
      <c r="N93" s="606"/>
      <c r="V93" s="674"/>
      <c r="W93" s="675"/>
      <c r="AB93" s="537" t="s">
        <v>318</v>
      </c>
      <c r="AC93" s="675"/>
    </row>
    <row r="94" spans="1:29" s="536" customFormat="1" ht="12" x14ac:dyDescent="0.2">
      <c r="A94" s="605"/>
      <c r="B94" s="552"/>
      <c r="C94" s="1822" t="s">
        <v>319</v>
      </c>
      <c r="D94" s="1822"/>
      <c r="E94" s="1822"/>
      <c r="F94" s="562"/>
      <c r="G94" s="562"/>
      <c r="H94" s="562"/>
      <c r="I94" s="562"/>
      <c r="J94" s="604"/>
      <c r="K94" s="562"/>
      <c r="L94" s="604">
        <v>884.08</v>
      </c>
      <c r="M94" s="603"/>
      <c r="N94" s="602"/>
      <c r="V94" s="674"/>
      <c r="W94" s="675"/>
      <c r="AA94" s="537" t="s">
        <v>319</v>
      </c>
      <c r="AC94" s="675"/>
    </row>
    <row r="95" spans="1:29" s="536" customFormat="1" ht="33.75" x14ac:dyDescent="0.2">
      <c r="A95" s="605"/>
      <c r="B95" s="552" t="s">
        <v>460</v>
      </c>
      <c r="C95" s="1822" t="s">
        <v>461</v>
      </c>
      <c r="D95" s="1822"/>
      <c r="E95" s="1822"/>
      <c r="F95" s="562" t="s">
        <v>322</v>
      </c>
      <c r="G95" s="562" t="s">
        <v>462</v>
      </c>
      <c r="H95" s="562"/>
      <c r="I95" s="562" t="s">
        <v>462</v>
      </c>
      <c r="J95" s="604"/>
      <c r="K95" s="562"/>
      <c r="L95" s="604">
        <v>813.35</v>
      </c>
      <c r="M95" s="603"/>
      <c r="N95" s="602"/>
      <c r="V95" s="674"/>
      <c r="W95" s="675"/>
      <c r="AA95" s="537" t="s">
        <v>461</v>
      </c>
      <c r="AC95" s="675"/>
    </row>
    <row r="96" spans="1:29" s="536" customFormat="1" ht="33.75" x14ac:dyDescent="0.2">
      <c r="A96" s="605"/>
      <c r="B96" s="552" t="s">
        <v>463</v>
      </c>
      <c r="C96" s="1822" t="s">
        <v>464</v>
      </c>
      <c r="D96" s="1822"/>
      <c r="E96" s="1822"/>
      <c r="F96" s="562" t="s">
        <v>322</v>
      </c>
      <c r="G96" s="562" t="s">
        <v>465</v>
      </c>
      <c r="H96" s="562"/>
      <c r="I96" s="562" t="s">
        <v>465</v>
      </c>
      <c r="J96" s="604"/>
      <c r="K96" s="562"/>
      <c r="L96" s="604">
        <v>406.68</v>
      </c>
      <c r="M96" s="603"/>
      <c r="N96" s="602"/>
      <c r="V96" s="674"/>
      <c r="W96" s="675"/>
      <c r="AA96" s="537" t="s">
        <v>464</v>
      </c>
      <c r="AC96" s="675"/>
    </row>
    <row r="97" spans="1:29" s="536" customFormat="1" ht="12" x14ac:dyDescent="0.2">
      <c r="A97" s="569"/>
      <c r="B97" s="671"/>
      <c r="C97" s="1823" t="s">
        <v>327</v>
      </c>
      <c r="D97" s="1823"/>
      <c r="E97" s="1823"/>
      <c r="F97" s="573"/>
      <c r="G97" s="573"/>
      <c r="H97" s="573"/>
      <c r="I97" s="573"/>
      <c r="J97" s="572"/>
      <c r="K97" s="573"/>
      <c r="L97" s="572">
        <v>6637.58</v>
      </c>
      <c r="M97" s="601"/>
      <c r="N97" s="570"/>
      <c r="V97" s="674"/>
      <c r="W97" s="675"/>
      <c r="AC97" s="675" t="s">
        <v>327</v>
      </c>
    </row>
    <row r="98" spans="1:29" s="536" customFormat="1" ht="33.75" x14ac:dyDescent="0.2">
      <c r="A98" s="575" t="s">
        <v>191</v>
      </c>
      <c r="B98" s="670" t="s">
        <v>4067</v>
      </c>
      <c r="C98" s="1823" t="s">
        <v>4068</v>
      </c>
      <c r="D98" s="1823"/>
      <c r="E98" s="1823"/>
      <c r="F98" s="573" t="s">
        <v>455</v>
      </c>
      <c r="G98" s="573"/>
      <c r="H98" s="573"/>
      <c r="I98" s="573" t="s">
        <v>8818</v>
      </c>
      <c r="J98" s="572"/>
      <c r="K98" s="573"/>
      <c r="L98" s="572"/>
      <c r="M98" s="571"/>
      <c r="N98" s="570"/>
      <c r="V98" s="674"/>
      <c r="W98" s="675" t="s">
        <v>4068</v>
      </c>
      <c r="AC98" s="675"/>
    </row>
    <row r="99" spans="1:29" s="536" customFormat="1" ht="12" x14ac:dyDescent="0.2">
      <c r="A99" s="676"/>
      <c r="B99" s="664"/>
      <c r="C99" s="1822" t="s">
        <v>8819</v>
      </c>
      <c r="D99" s="1822"/>
      <c r="E99" s="1822"/>
      <c r="F99" s="1822"/>
      <c r="G99" s="1822"/>
      <c r="H99" s="1822"/>
      <c r="I99" s="1822"/>
      <c r="J99" s="1822"/>
      <c r="K99" s="1822"/>
      <c r="L99" s="1822"/>
      <c r="M99" s="1822"/>
      <c r="N99" s="1827"/>
      <c r="V99" s="674"/>
      <c r="W99" s="675"/>
      <c r="X99" s="537" t="s">
        <v>8819</v>
      </c>
      <c r="AC99" s="675"/>
    </row>
    <row r="100" spans="1:29" s="536" customFormat="1" ht="12" x14ac:dyDescent="0.2">
      <c r="A100" s="609"/>
      <c r="B100" s="552"/>
      <c r="C100" s="1822" t="s">
        <v>4069</v>
      </c>
      <c r="D100" s="1822"/>
      <c r="E100" s="1822"/>
      <c r="F100" s="1822"/>
      <c r="G100" s="1822"/>
      <c r="H100" s="1822"/>
      <c r="I100" s="1822"/>
      <c r="J100" s="1822"/>
      <c r="K100" s="1822"/>
      <c r="L100" s="1822"/>
      <c r="M100" s="1822"/>
      <c r="N100" s="1827"/>
      <c r="V100" s="674"/>
      <c r="W100" s="675"/>
      <c r="Y100" s="537" t="s">
        <v>4069</v>
      </c>
      <c r="AC100" s="675"/>
    </row>
    <row r="101" spans="1:29" s="536" customFormat="1" ht="33.75" x14ac:dyDescent="0.2">
      <c r="A101" s="609"/>
      <c r="B101" s="552" t="s">
        <v>310</v>
      </c>
      <c r="C101" s="1822" t="s">
        <v>311</v>
      </c>
      <c r="D101" s="1822"/>
      <c r="E101" s="1822"/>
      <c r="F101" s="1822"/>
      <c r="G101" s="1822"/>
      <c r="H101" s="1822"/>
      <c r="I101" s="1822"/>
      <c r="J101" s="1822"/>
      <c r="K101" s="1822"/>
      <c r="L101" s="1822"/>
      <c r="M101" s="1822"/>
      <c r="N101" s="1827"/>
      <c r="V101" s="674"/>
      <c r="W101" s="675"/>
      <c r="Y101" s="537" t="s">
        <v>311</v>
      </c>
      <c r="AC101" s="675"/>
    </row>
    <row r="102" spans="1:29" s="536" customFormat="1" ht="12" x14ac:dyDescent="0.2">
      <c r="A102" s="605"/>
      <c r="B102" s="552" t="s">
        <v>186</v>
      </c>
      <c r="C102" s="1822" t="s">
        <v>344</v>
      </c>
      <c r="D102" s="1822"/>
      <c r="E102" s="1822"/>
      <c r="F102" s="562"/>
      <c r="G102" s="562"/>
      <c r="H102" s="562"/>
      <c r="I102" s="562"/>
      <c r="J102" s="604">
        <v>124.13</v>
      </c>
      <c r="K102" s="562" t="s">
        <v>997</v>
      </c>
      <c r="L102" s="604">
        <v>5339.45</v>
      </c>
      <c r="M102" s="603"/>
      <c r="N102" s="602"/>
      <c r="V102" s="674"/>
      <c r="W102" s="675"/>
      <c r="Z102" s="537" t="s">
        <v>344</v>
      </c>
      <c r="AC102" s="675"/>
    </row>
    <row r="103" spans="1:29" s="536" customFormat="1" ht="12" x14ac:dyDescent="0.2">
      <c r="A103" s="605"/>
      <c r="B103" s="552" t="s">
        <v>187</v>
      </c>
      <c r="C103" s="1822" t="s">
        <v>345</v>
      </c>
      <c r="D103" s="1822"/>
      <c r="E103" s="1822"/>
      <c r="F103" s="562"/>
      <c r="G103" s="562"/>
      <c r="H103" s="562"/>
      <c r="I103" s="562"/>
      <c r="J103" s="604">
        <v>14.54</v>
      </c>
      <c r="K103" s="562" t="s">
        <v>997</v>
      </c>
      <c r="L103" s="604">
        <v>625.44000000000005</v>
      </c>
      <c r="M103" s="603"/>
      <c r="N103" s="602"/>
      <c r="V103" s="674"/>
      <c r="W103" s="675"/>
      <c r="Z103" s="537" t="s">
        <v>345</v>
      </c>
      <c r="AC103" s="675"/>
    </row>
    <row r="104" spans="1:29" s="536" customFormat="1" ht="12" x14ac:dyDescent="0.2">
      <c r="A104" s="605"/>
      <c r="B104" s="552"/>
      <c r="C104" s="1822" t="s">
        <v>348</v>
      </c>
      <c r="D104" s="1822"/>
      <c r="E104" s="1822"/>
      <c r="F104" s="562" t="s">
        <v>315</v>
      </c>
      <c r="G104" s="562" t="s">
        <v>4070</v>
      </c>
      <c r="H104" s="562" t="s">
        <v>997</v>
      </c>
      <c r="I104" s="562" t="s">
        <v>8825</v>
      </c>
      <c r="J104" s="604"/>
      <c r="K104" s="562"/>
      <c r="L104" s="604"/>
      <c r="M104" s="603"/>
      <c r="N104" s="602"/>
      <c r="V104" s="674"/>
      <c r="W104" s="675"/>
      <c r="AA104" s="537" t="s">
        <v>348</v>
      </c>
      <c r="AC104" s="675"/>
    </row>
    <row r="105" spans="1:29" s="536" customFormat="1" ht="12" x14ac:dyDescent="0.2">
      <c r="A105" s="605"/>
      <c r="B105" s="552"/>
      <c r="C105" s="1828" t="s">
        <v>318</v>
      </c>
      <c r="D105" s="1828"/>
      <c r="E105" s="1828"/>
      <c r="F105" s="608"/>
      <c r="G105" s="608"/>
      <c r="H105" s="608"/>
      <c r="I105" s="608"/>
      <c r="J105" s="607">
        <v>124.13</v>
      </c>
      <c r="K105" s="608"/>
      <c r="L105" s="607">
        <v>5339.45</v>
      </c>
      <c r="M105" s="601"/>
      <c r="N105" s="606"/>
      <c r="V105" s="674"/>
      <c r="W105" s="675"/>
      <c r="AB105" s="537" t="s">
        <v>318</v>
      </c>
      <c r="AC105" s="675"/>
    </row>
    <row r="106" spans="1:29" s="536" customFormat="1" ht="12" x14ac:dyDescent="0.2">
      <c r="A106" s="605"/>
      <c r="B106" s="552"/>
      <c r="C106" s="1822" t="s">
        <v>319</v>
      </c>
      <c r="D106" s="1822"/>
      <c r="E106" s="1822"/>
      <c r="F106" s="562"/>
      <c r="G106" s="562"/>
      <c r="H106" s="562"/>
      <c r="I106" s="562"/>
      <c r="J106" s="604"/>
      <c r="K106" s="562"/>
      <c r="L106" s="604">
        <v>625.44000000000005</v>
      </c>
      <c r="M106" s="603"/>
      <c r="N106" s="602"/>
      <c r="V106" s="674"/>
      <c r="W106" s="675"/>
      <c r="AA106" s="537" t="s">
        <v>319</v>
      </c>
      <c r="AC106" s="675"/>
    </row>
    <row r="107" spans="1:29" s="536" customFormat="1" ht="33.75" x14ac:dyDescent="0.2">
      <c r="A107" s="605"/>
      <c r="B107" s="552" t="s">
        <v>460</v>
      </c>
      <c r="C107" s="1822" t="s">
        <v>461</v>
      </c>
      <c r="D107" s="1822"/>
      <c r="E107" s="1822"/>
      <c r="F107" s="562" t="s">
        <v>322</v>
      </c>
      <c r="G107" s="562" t="s">
        <v>462</v>
      </c>
      <c r="H107" s="562"/>
      <c r="I107" s="562" t="s">
        <v>462</v>
      </c>
      <c r="J107" s="604"/>
      <c r="K107" s="562"/>
      <c r="L107" s="604">
        <v>575.4</v>
      </c>
      <c r="M107" s="603"/>
      <c r="N107" s="602"/>
      <c r="V107" s="674"/>
      <c r="W107" s="675"/>
      <c r="AA107" s="537" t="s">
        <v>461</v>
      </c>
      <c r="AC107" s="675"/>
    </row>
    <row r="108" spans="1:29" s="536" customFormat="1" ht="33.75" x14ac:dyDescent="0.2">
      <c r="A108" s="605"/>
      <c r="B108" s="552" t="s">
        <v>463</v>
      </c>
      <c r="C108" s="1822" t="s">
        <v>464</v>
      </c>
      <c r="D108" s="1822"/>
      <c r="E108" s="1822"/>
      <c r="F108" s="562" t="s">
        <v>322</v>
      </c>
      <c r="G108" s="562" t="s">
        <v>465</v>
      </c>
      <c r="H108" s="562"/>
      <c r="I108" s="562" t="s">
        <v>465</v>
      </c>
      <c r="J108" s="604"/>
      <c r="K108" s="562"/>
      <c r="L108" s="604">
        <v>287.7</v>
      </c>
      <c r="M108" s="603"/>
      <c r="N108" s="602"/>
      <c r="V108" s="674"/>
      <c r="W108" s="675"/>
      <c r="AA108" s="537" t="s">
        <v>464</v>
      </c>
      <c r="AC108" s="675"/>
    </row>
    <row r="109" spans="1:29" s="536" customFormat="1" ht="12" x14ac:dyDescent="0.2">
      <c r="A109" s="569"/>
      <c r="B109" s="671"/>
      <c r="C109" s="1823" t="s">
        <v>327</v>
      </c>
      <c r="D109" s="1823"/>
      <c r="E109" s="1823"/>
      <c r="F109" s="573"/>
      <c r="G109" s="573"/>
      <c r="H109" s="573"/>
      <c r="I109" s="573"/>
      <c r="J109" s="572"/>
      <c r="K109" s="573"/>
      <c r="L109" s="572">
        <v>6202.55</v>
      </c>
      <c r="M109" s="601"/>
      <c r="N109" s="570"/>
      <c r="V109" s="674"/>
      <c r="W109" s="675"/>
      <c r="AC109" s="675" t="s">
        <v>327</v>
      </c>
    </row>
    <row r="110" spans="1:29" s="536" customFormat="1" ht="33.75" x14ac:dyDescent="0.2">
      <c r="A110" s="575" t="s">
        <v>192</v>
      </c>
      <c r="B110" s="670" t="s">
        <v>4071</v>
      </c>
      <c r="C110" s="1823" t="s">
        <v>8826</v>
      </c>
      <c r="D110" s="1823"/>
      <c r="E110" s="1823"/>
      <c r="F110" s="573" t="s">
        <v>1034</v>
      </c>
      <c r="G110" s="573"/>
      <c r="H110" s="573"/>
      <c r="I110" s="573" t="s">
        <v>6834</v>
      </c>
      <c r="J110" s="572"/>
      <c r="K110" s="573"/>
      <c r="L110" s="572"/>
      <c r="M110" s="571"/>
      <c r="N110" s="570"/>
      <c r="V110" s="674"/>
      <c r="W110" s="675" t="s">
        <v>8826</v>
      </c>
      <c r="AC110" s="675"/>
    </row>
    <row r="111" spans="1:29" s="536" customFormat="1" ht="12" x14ac:dyDescent="0.2">
      <c r="A111" s="676"/>
      <c r="B111" s="664"/>
      <c r="C111" s="1822" t="s">
        <v>6835</v>
      </c>
      <c r="D111" s="1822"/>
      <c r="E111" s="1822"/>
      <c r="F111" s="1822"/>
      <c r="G111" s="1822"/>
      <c r="H111" s="1822"/>
      <c r="I111" s="1822"/>
      <c r="J111" s="1822"/>
      <c r="K111" s="1822"/>
      <c r="L111" s="1822"/>
      <c r="M111" s="1822"/>
      <c r="N111" s="1827"/>
      <c r="V111" s="674"/>
      <c r="W111" s="675"/>
      <c r="X111" s="537" t="s">
        <v>6835</v>
      </c>
      <c r="AC111" s="675"/>
    </row>
    <row r="112" spans="1:29" s="536" customFormat="1" ht="33.75" x14ac:dyDescent="0.2">
      <c r="A112" s="609"/>
      <c r="B112" s="552" t="s">
        <v>310</v>
      </c>
      <c r="C112" s="1822" t="s">
        <v>311</v>
      </c>
      <c r="D112" s="1822"/>
      <c r="E112" s="1822"/>
      <c r="F112" s="1822"/>
      <c r="G112" s="1822"/>
      <c r="H112" s="1822"/>
      <c r="I112" s="1822"/>
      <c r="J112" s="1822"/>
      <c r="K112" s="1822"/>
      <c r="L112" s="1822"/>
      <c r="M112" s="1822"/>
      <c r="N112" s="1827"/>
      <c r="V112" s="674"/>
      <c r="W112" s="675"/>
      <c r="Y112" s="537" t="s">
        <v>311</v>
      </c>
      <c r="AC112" s="675"/>
    </row>
    <row r="113" spans="1:29" s="536" customFormat="1" ht="12" x14ac:dyDescent="0.2">
      <c r="A113" s="605"/>
      <c r="B113" s="552" t="s">
        <v>185</v>
      </c>
      <c r="C113" s="1822" t="s">
        <v>312</v>
      </c>
      <c r="D113" s="1822"/>
      <c r="E113" s="1822"/>
      <c r="F113" s="562"/>
      <c r="G113" s="562"/>
      <c r="H113" s="562"/>
      <c r="I113" s="562"/>
      <c r="J113" s="604">
        <v>272.64</v>
      </c>
      <c r="K113" s="562" t="s">
        <v>313</v>
      </c>
      <c r="L113" s="604">
        <v>5156.3</v>
      </c>
      <c r="M113" s="603"/>
      <c r="N113" s="602"/>
      <c r="V113" s="674"/>
      <c r="W113" s="675"/>
      <c r="Z113" s="537" t="s">
        <v>312</v>
      </c>
      <c r="AC113" s="675"/>
    </row>
    <row r="114" spans="1:29" s="536" customFormat="1" ht="12" x14ac:dyDescent="0.2">
      <c r="A114" s="605"/>
      <c r="B114" s="552" t="s">
        <v>186</v>
      </c>
      <c r="C114" s="1822" t="s">
        <v>344</v>
      </c>
      <c r="D114" s="1822"/>
      <c r="E114" s="1822"/>
      <c r="F114" s="562"/>
      <c r="G114" s="562"/>
      <c r="H114" s="562"/>
      <c r="I114" s="562"/>
      <c r="J114" s="604">
        <v>351.55</v>
      </c>
      <c r="K114" s="562" t="s">
        <v>313</v>
      </c>
      <c r="L114" s="604">
        <v>6648.69</v>
      </c>
      <c r="M114" s="603"/>
      <c r="N114" s="602"/>
      <c r="V114" s="674"/>
      <c r="W114" s="675"/>
      <c r="Z114" s="537" t="s">
        <v>344</v>
      </c>
      <c r="AC114" s="675"/>
    </row>
    <row r="115" spans="1:29" s="536" customFormat="1" ht="12" x14ac:dyDescent="0.2">
      <c r="A115" s="605"/>
      <c r="B115" s="552" t="s">
        <v>187</v>
      </c>
      <c r="C115" s="1822" t="s">
        <v>345</v>
      </c>
      <c r="D115" s="1822"/>
      <c r="E115" s="1822"/>
      <c r="F115" s="562"/>
      <c r="G115" s="562"/>
      <c r="H115" s="562"/>
      <c r="I115" s="562"/>
      <c r="J115" s="604">
        <v>41.45</v>
      </c>
      <c r="K115" s="562" t="s">
        <v>313</v>
      </c>
      <c r="L115" s="604">
        <v>783.92</v>
      </c>
      <c r="M115" s="603"/>
      <c r="N115" s="602"/>
      <c r="V115" s="674"/>
      <c r="W115" s="675"/>
      <c r="Z115" s="537" t="s">
        <v>345</v>
      </c>
      <c r="AC115" s="675"/>
    </row>
    <row r="116" spans="1:29" s="536" customFormat="1" ht="12" x14ac:dyDescent="0.2">
      <c r="A116" s="605"/>
      <c r="B116" s="552"/>
      <c r="C116" s="1822" t="s">
        <v>314</v>
      </c>
      <c r="D116" s="1822"/>
      <c r="E116" s="1822"/>
      <c r="F116" s="562" t="s">
        <v>315</v>
      </c>
      <c r="G116" s="562" t="s">
        <v>4072</v>
      </c>
      <c r="H116" s="562" t="s">
        <v>313</v>
      </c>
      <c r="I116" s="562" t="s">
        <v>6836</v>
      </c>
      <c r="J116" s="604"/>
      <c r="K116" s="562"/>
      <c r="L116" s="604"/>
      <c r="M116" s="603"/>
      <c r="N116" s="602"/>
      <c r="V116" s="674"/>
      <c r="W116" s="675"/>
      <c r="AA116" s="537" t="s">
        <v>314</v>
      </c>
      <c r="AC116" s="675"/>
    </row>
    <row r="117" spans="1:29" s="536" customFormat="1" ht="12" x14ac:dyDescent="0.2">
      <c r="A117" s="605"/>
      <c r="B117" s="552"/>
      <c r="C117" s="1822" t="s">
        <v>348</v>
      </c>
      <c r="D117" s="1822"/>
      <c r="E117" s="1822"/>
      <c r="F117" s="562" t="s">
        <v>315</v>
      </c>
      <c r="G117" s="562" t="s">
        <v>1099</v>
      </c>
      <c r="H117" s="562" t="s">
        <v>313</v>
      </c>
      <c r="I117" s="562" t="s">
        <v>6837</v>
      </c>
      <c r="J117" s="604"/>
      <c r="K117" s="562"/>
      <c r="L117" s="604"/>
      <c r="M117" s="603"/>
      <c r="N117" s="602"/>
      <c r="V117" s="674"/>
      <c r="W117" s="675"/>
      <c r="AA117" s="537" t="s">
        <v>348</v>
      </c>
      <c r="AC117" s="675"/>
    </row>
    <row r="118" spans="1:29" s="536" customFormat="1" ht="12" x14ac:dyDescent="0.2">
      <c r="A118" s="605"/>
      <c r="B118" s="552"/>
      <c r="C118" s="1828" t="s">
        <v>318</v>
      </c>
      <c r="D118" s="1828"/>
      <c r="E118" s="1828"/>
      <c r="F118" s="608"/>
      <c r="G118" s="608"/>
      <c r="H118" s="608"/>
      <c r="I118" s="608"/>
      <c r="J118" s="607">
        <v>624.19000000000005</v>
      </c>
      <c r="K118" s="608"/>
      <c r="L118" s="607">
        <v>11804.99</v>
      </c>
      <c r="M118" s="601"/>
      <c r="N118" s="606"/>
      <c r="V118" s="674"/>
      <c r="W118" s="675"/>
      <c r="AB118" s="537" t="s">
        <v>318</v>
      </c>
      <c r="AC118" s="675"/>
    </row>
    <row r="119" spans="1:29" s="536" customFormat="1" ht="12" x14ac:dyDescent="0.2">
      <c r="A119" s="605"/>
      <c r="B119" s="552"/>
      <c r="C119" s="1822" t="s">
        <v>319</v>
      </c>
      <c r="D119" s="1822"/>
      <c r="E119" s="1822"/>
      <c r="F119" s="562"/>
      <c r="G119" s="562"/>
      <c r="H119" s="562"/>
      <c r="I119" s="562"/>
      <c r="J119" s="604"/>
      <c r="K119" s="562"/>
      <c r="L119" s="604">
        <v>5940.22</v>
      </c>
      <c r="M119" s="603"/>
      <c r="N119" s="602"/>
      <c r="V119" s="674"/>
      <c r="W119" s="675"/>
      <c r="AA119" s="537" t="s">
        <v>319</v>
      </c>
      <c r="AC119" s="675"/>
    </row>
    <row r="120" spans="1:29" s="536" customFormat="1" ht="33.75" x14ac:dyDescent="0.2">
      <c r="A120" s="605"/>
      <c r="B120" s="552" t="s">
        <v>320</v>
      </c>
      <c r="C120" s="1822" t="s">
        <v>321</v>
      </c>
      <c r="D120" s="1822"/>
      <c r="E120" s="1822"/>
      <c r="F120" s="562" t="s">
        <v>322</v>
      </c>
      <c r="G120" s="562" t="s">
        <v>323</v>
      </c>
      <c r="H120" s="562"/>
      <c r="I120" s="562" t="s">
        <v>323</v>
      </c>
      <c r="J120" s="604"/>
      <c r="K120" s="562"/>
      <c r="L120" s="604">
        <v>5286.8</v>
      </c>
      <c r="M120" s="603"/>
      <c r="N120" s="602"/>
      <c r="V120" s="674"/>
      <c r="W120" s="675"/>
      <c r="AA120" s="537" t="s">
        <v>321</v>
      </c>
      <c r="AC120" s="675"/>
    </row>
    <row r="121" spans="1:29" s="536" customFormat="1" ht="33.75" x14ac:dyDescent="0.2">
      <c r="A121" s="605"/>
      <c r="B121" s="552" t="s">
        <v>324</v>
      </c>
      <c r="C121" s="1822" t="s">
        <v>325</v>
      </c>
      <c r="D121" s="1822"/>
      <c r="E121" s="1822"/>
      <c r="F121" s="562" t="s">
        <v>322</v>
      </c>
      <c r="G121" s="562" t="s">
        <v>326</v>
      </c>
      <c r="H121" s="562"/>
      <c r="I121" s="562" t="s">
        <v>326</v>
      </c>
      <c r="J121" s="604"/>
      <c r="K121" s="562"/>
      <c r="L121" s="604">
        <v>2435.4899999999998</v>
      </c>
      <c r="M121" s="603"/>
      <c r="N121" s="602"/>
      <c r="V121" s="674"/>
      <c r="W121" s="675"/>
      <c r="AA121" s="537" t="s">
        <v>325</v>
      </c>
      <c r="AC121" s="675"/>
    </row>
    <row r="122" spans="1:29" s="536" customFormat="1" ht="12" x14ac:dyDescent="0.2">
      <c r="A122" s="569"/>
      <c r="B122" s="671"/>
      <c r="C122" s="1823" t="s">
        <v>327</v>
      </c>
      <c r="D122" s="1823"/>
      <c r="E122" s="1823"/>
      <c r="F122" s="573"/>
      <c r="G122" s="573"/>
      <c r="H122" s="573"/>
      <c r="I122" s="573"/>
      <c r="J122" s="572"/>
      <c r="K122" s="573"/>
      <c r="L122" s="572">
        <v>19527.28</v>
      </c>
      <c r="M122" s="601"/>
      <c r="N122" s="570"/>
      <c r="V122" s="674"/>
      <c r="W122" s="675"/>
      <c r="AC122" s="675" t="s">
        <v>327</v>
      </c>
    </row>
    <row r="123" spans="1:29" s="536" customFormat="1" ht="33.75" x14ac:dyDescent="0.2">
      <c r="A123" s="575" t="s">
        <v>193</v>
      </c>
      <c r="B123" s="670" t="s">
        <v>1523</v>
      </c>
      <c r="C123" s="1823" t="s">
        <v>8827</v>
      </c>
      <c r="D123" s="1823"/>
      <c r="E123" s="1823"/>
      <c r="F123" s="573" t="s">
        <v>1034</v>
      </c>
      <c r="G123" s="573"/>
      <c r="H123" s="573"/>
      <c r="I123" s="573" t="s">
        <v>6838</v>
      </c>
      <c r="J123" s="572"/>
      <c r="K123" s="573"/>
      <c r="L123" s="572"/>
      <c r="M123" s="571"/>
      <c r="N123" s="570"/>
      <c r="V123" s="674"/>
      <c r="W123" s="675" t="s">
        <v>8827</v>
      </c>
      <c r="AC123" s="675"/>
    </row>
    <row r="124" spans="1:29" s="536" customFormat="1" ht="12" x14ac:dyDescent="0.2">
      <c r="A124" s="676"/>
      <c r="B124" s="664"/>
      <c r="C124" s="1822" t="s">
        <v>6839</v>
      </c>
      <c r="D124" s="1822"/>
      <c r="E124" s="1822"/>
      <c r="F124" s="1822"/>
      <c r="G124" s="1822"/>
      <c r="H124" s="1822"/>
      <c r="I124" s="1822"/>
      <c r="J124" s="1822"/>
      <c r="K124" s="1822"/>
      <c r="L124" s="1822"/>
      <c r="M124" s="1822"/>
      <c r="N124" s="1827"/>
      <c r="V124" s="674"/>
      <c r="W124" s="675"/>
      <c r="X124" s="537" t="s">
        <v>6839</v>
      </c>
      <c r="AC124" s="675"/>
    </row>
    <row r="125" spans="1:29" s="536" customFormat="1" ht="33.75" x14ac:dyDescent="0.2">
      <c r="A125" s="609"/>
      <c r="B125" s="552" t="s">
        <v>310</v>
      </c>
      <c r="C125" s="1822" t="s">
        <v>311</v>
      </c>
      <c r="D125" s="1822"/>
      <c r="E125" s="1822"/>
      <c r="F125" s="1822"/>
      <c r="G125" s="1822"/>
      <c r="H125" s="1822"/>
      <c r="I125" s="1822"/>
      <c r="J125" s="1822"/>
      <c r="K125" s="1822"/>
      <c r="L125" s="1822"/>
      <c r="M125" s="1822"/>
      <c r="N125" s="1827"/>
      <c r="V125" s="674"/>
      <c r="W125" s="675"/>
      <c r="Y125" s="537" t="s">
        <v>311</v>
      </c>
      <c r="AC125" s="675"/>
    </row>
    <row r="126" spans="1:29" s="536" customFormat="1" ht="12" x14ac:dyDescent="0.2">
      <c r="A126" s="605"/>
      <c r="B126" s="552" t="s">
        <v>185</v>
      </c>
      <c r="C126" s="1822" t="s">
        <v>312</v>
      </c>
      <c r="D126" s="1822"/>
      <c r="E126" s="1822"/>
      <c r="F126" s="562"/>
      <c r="G126" s="562"/>
      <c r="H126" s="562"/>
      <c r="I126" s="562"/>
      <c r="J126" s="604">
        <v>814.08</v>
      </c>
      <c r="K126" s="562" t="s">
        <v>313</v>
      </c>
      <c r="L126" s="604">
        <v>2802.47</v>
      </c>
      <c r="M126" s="603"/>
      <c r="N126" s="602"/>
      <c r="V126" s="674"/>
      <c r="W126" s="675"/>
      <c r="Z126" s="537" t="s">
        <v>312</v>
      </c>
      <c r="AC126" s="675"/>
    </row>
    <row r="127" spans="1:29" s="536" customFormat="1" ht="12" x14ac:dyDescent="0.2">
      <c r="A127" s="605"/>
      <c r="B127" s="552" t="s">
        <v>186</v>
      </c>
      <c r="C127" s="1822" t="s">
        <v>344</v>
      </c>
      <c r="D127" s="1822"/>
      <c r="E127" s="1822"/>
      <c r="F127" s="562"/>
      <c r="G127" s="562"/>
      <c r="H127" s="562"/>
      <c r="I127" s="562"/>
      <c r="J127" s="604">
        <v>406.45</v>
      </c>
      <c r="K127" s="562" t="s">
        <v>313</v>
      </c>
      <c r="L127" s="604">
        <v>1399.2</v>
      </c>
      <c r="M127" s="603"/>
      <c r="N127" s="602"/>
      <c r="V127" s="674"/>
      <c r="W127" s="675"/>
      <c r="Z127" s="537" t="s">
        <v>344</v>
      </c>
      <c r="AC127" s="675"/>
    </row>
    <row r="128" spans="1:29" s="536" customFormat="1" ht="12" x14ac:dyDescent="0.2">
      <c r="A128" s="605"/>
      <c r="B128" s="552" t="s">
        <v>187</v>
      </c>
      <c r="C128" s="1822" t="s">
        <v>345</v>
      </c>
      <c r="D128" s="1822"/>
      <c r="E128" s="1822"/>
      <c r="F128" s="562"/>
      <c r="G128" s="562"/>
      <c r="H128" s="562"/>
      <c r="I128" s="562"/>
      <c r="J128" s="604">
        <v>49.15</v>
      </c>
      <c r="K128" s="562" t="s">
        <v>313</v>
      </c>
      <c r="L128" s="604">
        <v>169.2</v>
      </c>
      <c r="M128" s="603"/>
      <c r="N128" s="602"/>
      <c r="V128" s="674"/>
      <c r="W128" s="675"/>
      <c r="Z128" s="537" t="s">
        <v>345</v>
      </c>
      <c r="AC128" s="675"/>
    </row>
    <row r="129" spans="1:30" s="536" customFormat="1" ht="12" x14ac:dyDescent="0.2">
      <c r="A129" s="605"/>
      <c r="B129" s="552"/>
      <c r="C129" s="1822" t="s">
        <v>314</v>
      </c>
      <c r="D129" s="1822"/>
      <c r="E129" s="1822"/>
      <c r="F129" s="562" t="s">
        <v>315</v>
      </c>
      <c r="G129" s="562" t="s">
        <v>1527</v>
      </c>
      <c r="H129" s="562" t="s">
        <v>313</v>
      </c>
      <c r="I129" s="562" t="s">
        <v>6840</v>
      </c>
      <c r="J129" s="604"/>
      <c r="K129" s="562"/>
      <c r="L129" s="604"/>
      <c r="M129" s="603"/>
      <c r="N129" s="602"/>
      <c r="V129" s="674"/>
      <c r="W129" s="675"/>
      <c r="AA129" s="537" t="s">
        <v>314</v>
      </c>
      <c r="AC129" s="675"/>
    </row>
    <row r="130" spans="1:30" s="536" customFormat="1" ht="12" x14ac:dyDescent="0.2">
      <c r="A130" s="605"/>
      <c r="B130" s="552"/>
      <c r="C130" s="1822" t="s">
        <v>348</v>
      </c>
      <c r="D130" s="1822"/>
      <c r="E130" s="1822"/>
      <c r="F130" s="562" t="s">
        <v>315</v>
      </c>
      <c r="G130" s="562" t="s">
        <v>1529</v>
      </c>
      <c r="H130" s="562" t="s">
        <v>313</v>
      </c>
      <c r="I130" s="562" t="s">
        <v>6841</v>
      </c>
      <c r="J130" s="604"/>
      <c r="K130" s="562"/>
      <c r="L130" s="604"/>
      <c r="M130" s="603"/>
      <c r="N130" s="602"/>
      <c r="V130" s="674"/>
      <c r="W130" s="675"/>
      <c r="AA130" s="537" t="s">
        <v>348</v>
      </c>
      <c r="AC130" s="675"/>
    </row>
    <row r="131" spans="1:30" s="536" customFormat="1" ht="12" x14ac:dyDescent="0.2">
      <c r="A131" s="605"/>
      <c r="B131" s="552"/>
      <c r="C131" s="1828" t="s">
        <v>318</v>
      </c>
      <c r="D131" s="1828"/>
      <c r="E131" s="1828"/>
      <c r="F131" s="608"/>
      <c r="G131" s="608"/>
      <c r="H131" s="608"/>
      <c r="I131" s="608"/>
      <c r="J131" s="607">
        <v>1220.53</v>
      </c>
      <c r="K131" s="608"/>
      <c r="L131" s="607">
        <v>4201.67</v>
      </c>
      <c r="M131" s="601"/>
      <c r="N131" s="606"/>
      <c r="V131" s="674"/>
      <c r="W131" s="675"/>
      <c r="AB131" s="537" t="s">
        <v>318</v>
      </c>
      <c r="AC131" s="675"/>
    </row>
    <row r="132" spans="1:30" s="536" customFormat="1" ht="12" x14ac:dyDescent="0.2">
      <c r="A132" s="605"/>
      <c r="B132" s="552"/>
      <c r="C132" s="1822" t="s">
        <v>319</v>
      </c>
      <c r="D132" s="1822"/>
      <c r="E132" s="1822"/>
      <c r="F132" s="562"/>
      <c r="G132" s="562"/>
      <c r="H132" s="562"/>
      <c r="I132" s="562"/>
      <c r="J132" s="604"/>
      <c r="K132" s="562"/>
      <c r="L132" s="604">
        <v>2971.67</v>
      </c>
      <c r="M132" s="603"/>
      <c r="N132" s="602"/>
      <c r="V132" s="674"/>
      <c r="W132" s="675"/>
      <c r="AA132" s="537" t="s">
        <v>319</v>
      </c>
      <c r="AC132" s="675"/>
    </row>
    <row r="133" spans="1:30" s="536" customFormat="1" ht="33.75" x14ac:dyDescent="0.2">
      <c r="A133" s="605"/>
      <c r="B133" s="552" t="s">
        <v>320</v>
      </c>
      <c r="C133" s="1822" t="s">
        <v>321</v>
      </c>
      <c r="D133" s="1822"/>
      <c r="E133" s="1822"/>
      <c r="F133" s="562" t="s">
        <v>322</v>
      </c>
      <c r="G133" s="562" t="s">
        <v>323</v>
      </c>
      <c r="H133" s="562"/>
      <c r="I133" s="562" t="s">
        <v>323</v>
      </c>
      <c r="J133" s="604"/>
      <c r="K133" s="562"/>
      <c r="L133" s="604">
        <v>2644.79</v>
      </c>
      <c r="M133" s="603"/>
      <c r="N133" s="602"/>
      <c r="V133" s="674"/>
      <c r="W133" s="675"/>
      <c r="AA133" s="537" t="s">
        <v>321</v>
      </c>
      <c r="AC133" s="675"/>
    </row>
    <row r="134" spans="1:30" s="536" customFormat="1" ht="33.75" x14ac:dyDescent="0.2">
      <c r="A134" s="605"/>
      <c r="B134" s="552" t="s">
        <v>324</v>
      </c>
      <c r="C134" s="1822" t="s">
        <v>325</v>
      </c>
      <c r="D134" s="1822"/>
      <c r="E134" s="1822"/>
      <c r="F134" s="562" t="s">
        <v>322</v>
      </c>
      <c r="G134" s="562" t="s">
        <v>326</v>
      </c>
      <c r="H134" s="562"/>
      <c r="I134" s="562" t="s">
        <v>326</v>
      </c>
      <c r="J134" s="604"/>
      <c r="K134" s="562"/>
      <c r="L134" s="604">
        <v>1218.3800000000001</v>
      </c>
      <c r="M134" s="603"/>
      <c r="N134" s="602"/>
      <c r="V134" s="674"/>
      <c r="W134" s="675"/>
      <c r="AA134" s="537" t="s">
        <v>325</v>
      </c>
      <c r="AC134" s="675"/>
    </row>
    <row r="135" spans="1:30" s="536" customFormat="1" ht="12" x14ac:dyDescent="0.2">
      <c r="A135" s="569"/>
      <c r="B135" s="671"/>
      <c r="C135" s="1823" t="s">
        <v>327</v>
      </c>
      <c r="D135" s="1823"/>
      <c r="E135" s="1823"/>
      <c r="F135" s="573"/>
      <c r="G135" s="573"/>
      <c r="H135" s="573"/>
      <c r="I135" s="573"/>
      <c r="J135" s="572"/>
      <c r="K135" s="573"/>
      <c r="L135" s="572">
        <v>8064.84</v>
      </c>
      <c r="M135" s="601"/>
      <c r="N135" s="570"/>
      <c r="V135" s="674"/>
      <c r="W135" s="675"/>
      <c r="AC135" s="675" t="s">
        <v>327</v>
      </c>
    </row>
    <row r="136" spans="1:30" s="536" customFormat="1" ht="12" x14ac:dyDescent="0.2">
      <c r="A136" s="1830" t="s">
        <v>4073</v>
      </c>
      <c r="B136" s="1831"/>
      <c r="C136" s="1831"/>
      <c r="D136" s="1831"/>
      <c r="E136" s="1831"/>
      <c r="F136" s="1831"/>
      <c r="G136" s="1831"/>
      <c r="H136" s="1831"/>
      <c r="I136" s="1831"/>
      <c r="J136" s="1831"/>
      <c r="K136" s="1831"/>
      <c r="L136" s="1831"/>
      <c r="M136" s="1831"/>
      <c r="N136" s="1832"/>
      <c r="V136" s="674"/>
      <c r="W136" s="675"/>
      <c r="AC136" s="675"/>
      <c r="AD136" s="675" t="s">
        <v>4073</v>
      </c>
    </row>
    <row r="137" spans="1:30" s="536" customFormat="1" ht="33.75" x14ac:dyDescent="0.2">
      <c r="A137" s="575" t="s">
        <v>194</v>
      </c>
      <c r="B137" s="670" t="s">
        <v>4071</v>
      </c>
      <c r="C137" s="1823" t="s">
        <v>8828</v>
      </c>
      <c r="D137" s="1823"/>
      <c r="E137" s="1823"/>
      <c r="F137" s="573" t="s">
        <v>1034</v>
      </c>
      <c r="G137" s="573"/>
      <c r="H137" s="573"/>
      <c r="I137" s="573" t="s">
        <v>8829</v>
      </c>
      <c r="J137" s="572"/>
      <c r="K137" s="573"/>
      <c r="L137" s="572"/>
      <c r="M137" s="571"/>
      <c r="N137" s="570"/>
      <c r="V137" s="674"/>
      <c r="W137" s="675" t="s">
        <v>8828</v>
      </c>
      <c r="AC137" s="675"/>
      <c r="AD137" s="675"/>
    </row>
    <row r="138" spans="1:30" s="536" customFormat="1" ht="12" x14ac:dyDescent="0.2">
      <c r="A138" s="676"/>
      <c r="B138" s="664"/>
      <c r="C138" s="1822" t="s">
        <v>8830</v>
      </c>
      <c r="D138" s="1822"/>
      <c r="E138" s="1822"/>
      <c r="F138" s="1822"/>
      <c r="G138" s="1822"/>
      <c r="H138" s="1822"/>
      <c r="I138" s="1822"/>
      <c r="J138" s="1822"/>
      <c r="K138" s="1822"/>
      <c r="L138" s="1822"/>
      <c r="M138" s="1822"/>
      <c r="N138" s="1827"/>
      <c r="V138" s="674"/>
      <c r="W138" s="675"/>
      <c r="X138" s="537" t="s">
        <v>8830</v>
      </c>
      <c r="AC138" s="675"/>
      <c r="AD138" s="675"/>
    </row>
    <row r="139" spans="1:30" s="536" customFormat="1" ht="33.75" x14ac:dyDescent="0.2">
      <c r="A139" s="609"/>
      <c r="B139" s="552" t="s">
        <v>310</v>
      </c>
      <c r="C139" s="1822" t="s">
        <v>311</v>
      </c>
      <c r="D139" s="1822"/>
      <c r="E139" s="1822"/>
      <c r="F139" s="1822"/>
      <c r="G139" s="1822"/>
      <c r="H139" s="1822"/>
      <c r="I139" s="1822"/>
      <c r="J139" s="1822"/>
      <c r="K139" s="1822"/>
      <c r="L139" s="1822"/>
      <c r="M139" s="1822"/>
      <c r="N139" s="1827"/>
      <c r="V139" s="674"/>
      <c r="W139" s="675"/>
      <c r="Y139" s="537" t="s">
        <v>311</v>
      </c>
      <c r="AC139" s="675"/>
      <c r="AD139" s="675"/>
    </row>
    <row r="140" spans="1:30" s="536" customFormat="1" ht="12" x14ac:dyDescent="0.2">
      <c r="A140" s="605"/>
      <c r="B140" s="552" t="s">
        <v>185</v>
      </c>
      <c r="C140" s="1822" t="s">
        <v>312</v>
      </c>
      <c r="D140" s="1822"/>
      <c r="E140" s="1822"/>
      <c r="F140" s="562"/>
      <c r="G140" s="562"/>
      <c r="H140" s="562"/>
      <c r="I140" s="562"/>
      <c r="J140" s="604">
        <v>272.64</v>
      </c>
      <c r="K140" s="562" t="s">
        <v>313</v>
      </c>
      <c r="L140" s="604">
        <v>90.31</v>
      </c>
      <c r="M140" s="603"/>
      <c r="N140" s="602"/>
      <c r="V140" s="674"/>
      <c r="W140" s="675"/>
      <c r="Z140" s="537" t="s">
        <v>312</v>
      </c>
      <c r="AC140" s="675"/>
      <c r="AD140" s="675"/>
    </row>
    <row r="141" spans="1:30" s="536" customFormat="1" ht="12" x14ac:dyDescent="0.2">
      <c r="A141" s="605"/>
      <c r="B141" s="552" t="s">
        <v>186</v>
      </c>
      <c r="C141" s="1822" t="s">
        <v>344</v>
      </c>
      <c r="D141" s="1822"/>
      <c r="E141" s="1822"/>
      <c r="F141" s="562"/>
      <c r="G141" s="562"/>
      <c r="H141" s="562"/>
      <c r="I141" s="562"/>
      <c r="J141" s="604">
        <v>351.55</v>
      </c>
      <c r="K141" s="562" t="s">
        <v>313</v>
      </c>
      <c r="L141" s="604">
        <v>116.45</v>
      </c>
      <c r="M141" s="603"/>
      <c r="N141" s="602"/>
      <c r="V141" s="674"/>
      <c r="W141" s="675"/>
      <c r="Z141" s="537" t="s">
        <v>344</v>
      </c>
      <c r="AC141" s="675"/>
      <c r="AD141" s="675"/>
    </row>
    <row r="142" spans="1:30" s="536" customFormat="1" ht="12" x14ac:dyDescent="0.2">
      <c r="A142" s="605"/>
      <c r="B142" s="552" t="s">
        <v>187</v>
      </c>
      <c r="C142" s="1822" t="s">
        <v>345</v>
      </c>
      <c r="D142" s="1822"/>
      <c r="E142" s="1822"/>
      <c r="F142" s="562"/>
      <c r="G142" s="562"/>
      <c r="H142" s="562"/>
      <c r="I142" s="562"/>
      <c r="J142" s="604">
        <v>41.45</v>
      </c>
      <c r="K142" s="562" t="s">
        <v>313</v>
      </c>
      <c r="L142" s="604">
        <v>13.73</v>
      </c>
      <c r="M142" s="603"/>
      <c r="N142" s="602"/>
      <c r="V142" s="674"/>
      <c r="W142" s="675"/>
      <c r="Z142" s="537" t="s">
        <v>345</v>
      </c>
      <c r="AC142" s="675"/>
      <c r="AD142" s="675"/>
    </row>
    <row r="143" spans="1:30" s="536" customFormat="1" ht="12" x14ac:dyDescent="0.2">
      <c r="A143" s="605"/>
      <c r="B143" s="552"/>
      <c r="C143" s="1822" t="s">
        <v>314</v>
      </c>
      <c r="D143" s="1822"/>
      <c r="E143" s="1822"/>
      <c r="F143" s="562" t="s">
        <v>315</v>
      </c>
      <c r="G143" s="562" t="s">
        <v>4072</v>
      </c>
      <c r="H143" s="562" t="s">
        <v>313</v>
      </c>
      <c r="I143" s="562" t="s">
        <v>8831</v>
      </c>
      <c r="J143" s="604"/>
      <c r="K143" s="562"/>
      <c r="L143" s="604"/>
      <c r="M143" s="603"/>
      <c r="N143" s="602"/>
      <c r="V143" s="674"/>
      <c r="W143" s="675"/>
      <c r="AA143" s="537" t="s">
        <v>314</v>
      </c>
      <c r="AC143" s="675"/>
      <c r="AD143" s="675"/>
    </row>
    <row r="144" spans="1:30" s="536" customFormat="1" ht="12" x14ac:dyDescent="0.2">
      <c r="A144" s="605"/>
      <c r="B144" s="552"/>
      <c r="C144" s="1822" t="s">
        <v>348</v>
      </c>
      <c r="D144" s="1822"/>
      <c r="E144" s="1822"/>
      <c r="F144" s="562" t="s">
        <v>315</v>
      </c>
      <c r="G144" s="562" t="s">
        <v>1099</v>
      </c>
      <c r="H144" s="562" t="s">
        <v>313</v>
      </c>
      <c r="I144" s="562" t="s">
        <v>8832</v>
      </c>
      <c r="J144" s="604"/>
      <c r="K144" s="562"/>
      <c r="L144" s="604"/>
      <c r="M144" s="603"/>
      <c r="N144" s="602"/>
      <c r="V144" s="674"/>
      <c r="W144" s="675"/>
      <c r="AA144" s="537" t="s">
        <v>348</v>
      </c>
      <c r="AC144" s="675"/>
      <c r="AD144" s="675"/>
    </row>
    <row r="145" spans="1:32" s="536" customFormat="1" ht="12" x14ac:dyDescent="0.2">
      <c r="A145" s="605"/>
      <c r="B145" s="552"/>
      <c r="C145" s="1828" t="s">
        <v>318</v>
      </c>
      <c r="D145" s="1828"/>
      <c r="E145" s="1828"/>
      <c r="F145" s="608"/>
      <c r="G145" s="608"/>
      <c r="H145" s="608"/>
      <c r="I145" s="608"/>
      <c r="J145" s="607">
        <v>624.19000000000005</v>
      </c>
      <c r="K145" s="608"/>
      <c r="L145" s="607">
        <v>206.76</v>
      </c>
      <c r="M145" s="601"/>
      <c r="N145" s="606"/>
      <c r="V145" s="674"/>
      <c r="W145" s="675"/>
      <c r="AB145" s="537" t="s">
        <v>318</v>
      </c>
      <c r="AC145" s="675"/>
      <c r="AD145" s="675"/>
    </row>
    <row r="146" spans="1:32" s="536" customFormat="1" ht="12" x14ac:dyDescent="0.2">
      <c r="A146" s="605"/>
      <c r="B146" s="552"/>
      <c r="C146" s="1822" t="s">
        <v>319</v>
      </c>
      <c r="D146" s="1822"/>
      <c r="E146" s="1822"/>
      <c r="F146" s="562"/>
      <c r="G146" s="562"/>
      <c r="H146" s="562"/>
      <c r="I146" s="562"/>
      <c r="J146" s="604"/>
      <c r="K146" s="562"/>
      <c r="L146" s="604">
        <v>104.04</v>
      </c>
      <c r="M146" s="603"/>
      <c r="N146" s="602"/>
      <c r="V146" s="674"/>
      <c r="W146" s="675"/>
      <c r="AA146" s="537" t="s">
        <v>319</v>
      </c>
      <c r="AC146" s="675"/>
      <c r="AD146" s="675"/>
    </row>
    <row r="147" spans="1:32" s="536" customFormat="1" ht="33.75" x14ac:dyDescent="0.2">
      <c r="A147" s="605"/>
      <c r="B147" s="552" t="s">
        <v>320</v>
      </c>
      <c r="C147" s="1822" t="s">
        <v>321</v>
      </c>
      <c r="D147" s="1822"/>
      <c r="E147" s="1822"/>
      <c r="F147" s="562" t="s">
        <v>322</v>
      </c>
      <c r="G147" s="562" t="s">
        <v>323</v>
      </c>
      <c r="H147" s="562"/>
      <c r="I147" s="562" t="s">
        <v>323</v>
      </c>
      <c r="J147" s="604"/>
      <c r="K147" s="562"/>
      <c r="L147" s="604">
        <v>92.6</v>
      </c>
      <c r="M147" s="603"/>
      <c r="N147" s="602"/>
      <c r="V147" s="674"/>
      <c r="W147" s="675"/>
      <c r="AA147" s="537" t="s">
        <v>321</v>
      </c>
      <c r="AC147" s="675"/>
      <c r="AD147" s="675"/>
    </row>
    <row r="148" spans="1:32" s="536" customFormat="1" ht="33.75" x14ac:dyDescent="0.2">
      <c r="A148" s="605"/>
      <c r="B148" s="552" t="s">
        <v>324</v>
      </c>
      <c r="C148" s="1822" t="s">
        <v>325</v>
      </c>
      <c r="D148" s="1822"/>
      <c r="E148" s="1822"/>
      <c r="F148" s="562" t="s">
        <v>322</v>
      </c>
      <c r="G148" s="562" t="s">
        <v>326</v>
      </c>
      <c r="H148" s="562"/>
      <c r="I148" s="562" t="s">
        <v>326</v>
      </c>
      <c r="J148" s="604"/>
      <c r="K148" s="562"/>
      <c r="L148" s="604">
        <v>42.66</v>
      </c>
      <c r="M148" s="603"/>
      <c r="N148" s="602"/>
      <c r="V148" s="674"/>
      <c r="W148" s="675"/>
      <c r="AA148" s="537" t="s">
        <v>325</v>
      </c>
      <c r="AC148" s="675"/>
      <c r="AD148" s="675"/>
    </row>
    <row r="149" spans="1:32" s="536" customFormat="1" ht="12" x14ac:dyDescent="0.2">
      <c r="A149" s="569"/>
      <c r="B149" s="671"/>
      <c r="C149" s="1823" t="s">
        <v>327</v>
      </c>
      <c r="D149" s="1823"/>
      <c r="E149" s="1823"/>
      <c r="F149" s="573"/>
      <c r="G149" s="573"/>
      <c r="H149" s="573"/>
      <c r="I149" s="573"/>
      <c r="J149" s="572"/>
      <c r="K149" s="573"/>
      <c r="L149" s="572">
        <v>342.02</v>
      </c>
      <c r="M149" s="601"/>
      <c r="N149" s="570"/>
      <c r="V149" s="674"/>
      <c r="W149" s="675"/>
      <c r="AC149" s="675" t="s">
        <v>327</v>
      </c>
      <c r="AD149" s="675"/>
    </row>
    <row r="150" spans="1:32" s="536" customFormat="1" ht="1.5" customHeight="1" x14ac:dyDescent="0.2">
      <c r="A150" s="563"/>
      <c r="B150" s="671"/>
      <c r="C150" s="671"/>
      <c r="D150" s="671"/>
      <c r="E150" s="671"/>
      <c r="F150" s="563"/>
      <c r="G150" s="563"/>
      <c r="H150" s="563"/>
      <c r="I150" s="563"/>
      <c r="J150" s="546"/>
      <c r="K150" s="563"/>
      <c r="L150" s="546"/>
      <c r="M150" s="562"/>
      <c r="N150" s="546"/>
      <c r="V150" s="674"/>
      <c r="W150" s="675"/>
      <c r="AC150" s="675"/>
      <c r="AD150" s="675"/>
    </row>
    <row r="151" spans="1:32" s="536" customFormat="1" ht="12" x14ac:dyDescent="0.2">
      <c r="A151" s="557"/>
      <c r="B151" s="556"/>
      <c r="C151" s="1823" t="s">
        <v>1021</v>
      </c>
      <c r="D151" s="1823"/>
      <c r="E151" s="1823"/>
      <c r="F151" s="1823"/>
      <c r="G151" s="1823"/>
      <c r="H151" s="1823"/>
      <c r="I151" s="1823"/>
      <c r="J151" s="1823"/>
      <c r="K151" s="1823"/>
      <c r="L151" s="555"/>
      <c r="M151" s="554"/>
      <c r="N151" s="553"/>
      <c r="V151" s="674"/>
      <c r="W151" s="675"/>
      <c r="AC151" s="675"/>
      <c r="AD151" s="675"/>
      <c r="AE151" s="675" t="s">
        <v>1021</v>
      </c>
    </row>
    <row r="152" spans="1:32" s="536" customFormat="1" ht="12" x14ac:dyDescent="0.2">
      <c r="A152" s="548"/>
      <c r="B152" s="552"/>
      <c r="C152" s="1822" t="s">
        <v>403</v>
      </c>
      <c r="D152" s="1822"/>
      <c r="E152" s="1822"/>
      <c r="F152" s="1822"/>
      <c r="G152" s="1822"/>
      <c r="H152" s="1822"/>
      <c r="I152" s="1822"/>
      <c r="J152" s="1822"/>
      <c r="K152" s="1822"/>
      <c r="L152" s="551">
        <v>98302.21</v>
      </c>
      <c r="M152" s="550"/>
      <c r="N152" s="549"/>
      <c r="V152" s="674"/>
      <c r="W152" s="675"/>
      <c r="AC152" s="675"/>
      <c r="AD152" s="675"/>
      <c r="AE152" s="675"/>
      <c r="AF152" s="537" t="s">
        <v>403</v>
      </c>
    </row>
    <row r="153" spans="1:32" s="536" customFormat="1" ht="12" x14ac:dyDescent="0.2">
      <c r="A153" s="548"/>
      <c r="B153" s="552"/>
      <c r="C153" s="1822" t="s">
        <v>204</v>
      </c>
      <c r="D153" s="1822"/>
      <c r="E153" s="1822"/>
      <c r="F153" s="1822"/>
      <c r="G153" s="1822"/>
      <c r="H153" s="1822"/>
      <c r="I153" s="1822"/>
      <c r="J153" s="1822"/>
      <c r="K153" s="1822"/>
      <c r="L153" s="551"/>
      <c r="M153" s="550"/>
      <c r="N153" s="549"/>
      <c r="V153" s="674"/>
      <c r="W153" s="675"/>
      <c r="AC153" s="675"/>
      <c r="AD153" s="675"/>
      <c r="AE153" s="675"/>
      <c r="AF153" s="537" t="s">
        <v>204</v>
      </c>
    </row>
    <row r="154" spans="1:32" s="536" customFormat="1" ht="12" x14ac:dyDescent="0.2">
      <c r="A154" s="548"/>
      <c r="B154" s="552"/>
      <c r="C154" s="1822" t="s">
        <v>404</v>
      </c>
      <c r="D154" s="1822"/>
      <c r="E154" s="1822"/>
      <c r="F154" s="1822"/>
      <c r="G154" s="1822"/>
      <c r="H154" s="1822"/>
      <c r="I154" s="1822"/>
      <c r="J154" s="1822"/>
      <c r="K154" s="1822"/>
      <c r="L154" s="551">
        <v>8049.08</v>
      </c>
      <c r="M154" s="550"/>
      <c r="N154" s="549"/>
      <c r="V154" s="674"/>
      <c r="W154" s="675"/>
      <c r="AC154" s="675"/>
      <c r="AD154" s="675"/>
      <c r="AE154" s="675"/>
      <c r="AF154" s="537" t="s">
        <v>404</v>
      </c>
    </row>
    <row r="155" spans="1:32" s="536" customFormat="1" ht="12" x14ac:dyDescent="0.2">
      <c r="A155" s="548"/>
      <c r="B155" s="552"/>
      <c r="C155" s="1822" t="s">
        <v>405</v>
      </c>
      <c r="D155" s="1822"/>
      <c r="E155" s="1822"/>
      <c r="F155" s="1822"/>
      <c r="G155" s="1822"/>
      <c r="H155" s="1822"/>
      <c r="I155" s="1822"/>
      <c r="J155" s="1822"/>
      <c r="K155" s="1822"/>
      <c r="L155" s="551">
        <v>90253.13</v>
      </c>
      <c r="M155" s="550"/>
      <c r="N155" s="549"/>
      <c r="V155" s="674"/>
      <c r="W155" s="675"/>
      <c r="AC155" s="675"/>
      <c r="AD155" s="675"/>
      <c r="AE155" s="675"/>
      <c r="AF155" s="537" t="s">
        <v>405</v>
      </c>
    </row>
    <row r="156" spans="1:32" s="536" customFormat="1" ht="12" x14ac:dyDescent="0.2">
      <c r="A156" s="548"/>
      <c r="B156" s="552"/>
      <c r="C156" s="1822" t="s">
        <v>406</v>
      </c>
      <c r="D156" s="1822"/>
      <c r="E156" s="1822"/>
      <c r="F156" s="1822"/>
      <c r="G156" s="1822"/>
      <c r="H156" s="1822"/>
      <c r="I156" s="1822"/>
      <c r="J156" s="1822"/>
      <c r="K156" s="1822"/>
      <c r="L156" s="551">
        <v>6333.09</v>
      </c>
      <c r="M156" s="550"/>
      <c r="N156" s="549"/>
      <c r="V156" s="674"/>
      <c r="W156" s="675"/>
      <c r="AC156" s="675"/>
      <c r="AD156" s="675"/>
      <c r="AE156" s="675"/>
      <c r="AF156" s="537" t="s">
        <v>406</v>
      </c>
    </row>
    <row r="157" spans="1:32" s="536" customFormat="1" ht="12" x14ac:dyDescent="0.2">
      <c r="A157" s="548"/>
      <c r="B157" s="552"/>
      <c r="C157" s="1822" t="s">
        <v>407</v>
      </c>
      <c r="D157" s="1822"/>
      <c r="E157" s="1822"/>
      <c r="F157" s="1822"/>
      <c r="G157" s="1822"/>
      <c r="H157" s="1822"/>
      <c r="I157" s="1822"/>
      <c r="J157" s="1822"/>
      <c r="K157" s="1822"/>
      <c r="L157" s="551">
        <v>117428.33</v>
      </c>
      <c r="M157" s="550"/>
      <c r="N157" s="549"/>
      <c r="V157" s="674"/>
      <c r="W157" s="675"/>
      <c r="AC157" s="675"/>
      <c r="AD157" s="675"/>
      <c r="AE157" s="675"/>
      <c r="AF157" s="537" t="s">
        <v>407</v>
      </c>
    </row>
    <row r="158" spans="1:32" s="536" customFormat="1" ht="12" x14ac:dyDescent="0.2">
      <c r="A158" s="548"/>
      <c r="B158" s="552"/>
      <c r="C158" s="1822" t="s">
        <v>408</v>
      </c>
      <c r="D158" s="1822"/>
      <c r="E158" s="1822"/>
      <c r="F158" s="1822"/>
      <c r="G158" s="1822"/>
      <c r="H158" s="1822"/>
      <c r="I158" s="1822"/>
      <c r="J158" s="1822"/>
      <c r="K158" s="1822"/>
      <c r="L158" s="551">
        <v>82149.53</v>
      </c>
      <c r="M158" s="550"/>
      <c r="N158" s="549"/>
      <c r="V158" s="674"/>
      <c r="W158" s="675"/>
      <c r="AC158" s="675"/>
      <c r="AD158" s="675"/>
      <c r="AE158" s="675"/>
      <c r="AF158" s="537" t="s">
        <v>408</v>
      </c>
    </row>
    <row r="159" spans="1:32" s="536" customFormat="1" ht="12" x14ac:dyDescent="0.2">
      <c r="A159" s="548"/>
      <c r="B159" s="552"/>
      <c r="C159" s="1822" t="s">
        <v>409</v>
      </c>
      <c r="D159" s="1822"/>
      <c r="E159" s="1822"/>
      <c r="F159" s="1822"/>
      <c r="G159" s="1822"/>
      <c r="H159" s="1822"/>
      <c r="I159" s="1822"/>
      <c r="J159" s="1822"/>
      <c r="K159" s="1822"/>
      <c r="L159" s="551"/>
      <c r="M159" s="550"/>
      <c r="N159" s="549"/>
      <c r="V159" s="674"/>
      <c r="W159" s="675"/>
      <c r="AC159" s="675"/>
      <c r="AD159" s="675"/>
      <c r="AE159" s="675"/>
      <c r="AF159" s="537" t="s">
        <v>409</v>
      </c>
    </row>
    <row r="160" spans="1:32" s="536" customFormat="1" ht="12" x14ac:dyDescent="0.2">
      <c r="A160" s="548"/>
      <c r="B160" s="552"/>
      <c r="C160" s="1822" t="s">
        <v>410</v>
      </c>
      <c r="D160" s="1822"/>
      <c r="E160" s="1822"/>
      <c r="F160" s="1822"/>
      <c r="G160" s="1822"/>
      <c r="H160" s="1822"/>
      <c r="I160" s="1822"/>
      <c r="J160" s="1822"/>
      <c r="K160" s="1822"/>
      <c r="L160" s="551">
        <v>8049.08</v>
      </c>
      <c r="M160" s="550"/>
      <c r="N160" s="549"/>
      <c r="V160" s="674"/>
      <c r="W160" s="675"/>
      <c r="AC160" s="675"/>
      <c r="AD160" s="675"/>
      <c r="AE160" s="675"/>
      <c r="AF160" s="537" t="s">
        <v>410</v>
      </c>
    </row>
    <row r="161" spans="1:34" s="536" customFormat="1" ht="12" x14ac:dyDescent="0.2">
      <c r="A161" s="548"/>
      <c r="B161" s="552"/>
      <c r="C161" s="1822" t="s">
        <v>411</v>
      </c>
      <c r="D161" s="1822"/>
      <c r="E161" s="1822"/>
      <c r="F161" s="1822"/>
      <c r="G161" s="1822"/>
      <c r="H161" s="1822"/>
      <c r="I161" s="1822"/>
      <c r="J161" s="1822"/>
      <c r="K161" s="1822"/>
      <c r="L161" s="551">
        <v>54974.33</v>
      </c>
      <c r="M161" s="550"/>
      <c r="N161" s="549"/>
      <c r="V161" s="674"/>
      <c r="W161" s="675"/>
      <c r="AC161" s="675"/>
      <c r="AD161" s="675"/>
      <c r="AE161" s="675"/>
      <c r="AF161" s="537" t="s">
        <v>411</v>
      </c>
    </row>
    <row r="162" spans="1:34" s="536" customFormat="1" ht="12" x14ac:dyDescent="0.2">
      <c r="A162" s="548"/>
      <c r="B162" s="552"/>
      <c r="C162" s="1822" t="s">
        <v>412</v>
      </c>
      <c r="D162" s="1822"/>
      <c r="E162" s="1822"/>
      <c r="F162" s="1822"/>
      <c r="G162" s="1822"/>
      <c r="H162" s="1822"/>
      <c r="I162" s="1822"/>
      <c r="J162" s="1822"/>
      <c r="K162" s="1822"/>
      <c r="L162" s="551">
        <v>12961.12</v>
      </c>
      <c r="M162" s="550"/>
      <c r="N162" s="549"/>
      <c r="V162" s="674"/>
      <c r="W162" s="675"/>
      <c r="AC162" s="675"/>
      <c r="AD162" s="675"/>
      <c r="AE162" s="675"/>
      <c r="AF162" s="537" t="s">
        <v>412</v>
      </c>
    </row>
    <row r="163" spans="1:34" s="536" customFormat="1" ht="12" x14ac:dyDescent="0.2">
      <c r="A163" s="548"/>
      <c r="B163" s="552"/>
      <c r="C163" s="1822" t="s">
        <v>413</v>
      </c>
      <c r="D163" s="1822"/>
      <c r="E163" s="1822"/>
      <c r="F163" s="1822"/>
      <c r="G163" s="1822"/>
      <c r="H163" s="1822"/>
      <c r="I163" s="1822"/>
      <c r="J163" s="1822"/>
      <c r="K163" s="1822"/>
      <c r="L163" s="551">
        <v>6165</v>
      </c>
      <c r="M163" s="550"/>
      <c r="N163" s="549"/>
      <c r="V163" s="674"/>
      <c r="W163" s="675"/>
      <c r="AC163" s="675"/>
      <c r="AD163" s="675"/>
      <c r="AE163" s="675"/>
      <c r="AF163" s="537" t="s">
        <v>413</v>
      </c>
    </row>
    <row r="164" spans="1:34" s="536" customFormat="1" ht="12" x14ac:dyDescent="0.2">
      <c r="A164" s="548"/>
      <c r="B164" s="552"/>
      <c r="C164" s="1822" t="s">
        <v>414</v>
      </c>
      <c r="D164" s="1822"/>
      <c r="E164" s="1822"/>
      <c r="F164" s="1822"/>
      <c r="G164" s="1822"/>
      <c r="H164" s="1822"/>
      <c r="I164" s="1822"/>
      <c r="J164" s="1822"/>
      <c r="K164" s="1822"/>
      <c r="L164" s="551">
        <v>35278.800000000003</v>
      </c>
      <c r="M164" s="550"/>
      <c r="N164" s="549"/>
      <c r="V164" s="674"/>
      <c r="W164" s="675"/>
      <c r="AC164" s="675"/>
      <c r="AD164" s="675"/>
      <c r="AE164" s="675"/>
      <c r="AF164" s="537" t="s">
        <v>414</v>
      </c>
    </row>
    <row r="165" spans="1:34" s="536" customFormat="1" ht="12" x14ac:dyDescent="0.2">
      <c r="A165" s="548"/>
      <c r="B165" s="552"/>
      <c r="C165" s="1822" t="s">
        <v>415</v>
      </c>
      <c r="D165" s="1822"/>
      <c r="E165" s="1822"/>
      <c r="F165" s="1822"/>
      <c r="G165" s="1822"/>
      <c r="H165" s="1822"/>
      <c r="I165" s="1822"/>
      <c r="J165" s="1822"/>
      <c r="K165" s="1822"/>
      <c r="L165" s="551">
        <v>14382.17</v>
      </c>
      <c r="M165" s="550"/>
      <c r="N165" s="549"/>
      <c r="V165" s="674"/>
      <c r="W165" s="675"/>
      <c r="AC165" s="675"/>
      <c r="AD165" s="675"/>
      <c r="AE165" s="675"/>
      <c r="AF165" s="537" t="s">
        <v>415</v>
      </c>
    </row>
    <row r="166" spans="1:34" s="536" customFormat="1" ht="12" x14ac:dyDescent="0.2">
      <c r="A166" s="548"/>
      <c r="B166" s="552"/>
      <c r="C166" s="1822" t="s">
        <v>416</v>
      </c>
      <c r="D166" s="1822"/>
      <c r="E166" s="1822"/>
      <c r="F166" s="1822"/>
      <c r="G166" s="1822"/>
      <c r="H166" s="1822"/>
      <c r="I166" s="1822"/>
      <c r="J166" s="1822"/>
      <c r="K166" s="1822"/>
      <c r="L166" s="551">
        <v>12961.12</v>
      </c>
      <c r="M166" s="550"/>
      <c r="N166" s="549"/>
      <c r="V166" s="674"/>
      <c r="W166" s="675"/>
      <c r="AC166" s="675"/>
      <c r="AD166" s="675"/>
      <c r="AE166" s="675"/>
      <c r="AF166" s="537" t="s">
        <v>416</v>
      </c>
    </row>
    <row r="167" spans="1:34" s="536" customFormat="1" ht="12" x14ac:dyDescent="0.2">
      <c r="A167" s="548"/>
      <c r="B167" s="552"/>
      <c r="C167" s="1822" t="s">
        <v>417</v>
      </c>
      <c r="D167" s="1822"/>
      <c r="E167" s="1822"/>
      <c r="F167" s="1822"/>
      <c r="G167" s="1822"/>
      <c r="H167" s="1822"/>
      <c r="I167" s="1822"/>
      <c r="J167" s="1822"/>
      <c r="K167" s="1822"/>
      <c r="L167" s="551">
        <v>6165</v>
      </c>
      <c r="M167" s="550"/>
      <c r="N167" s="549"/>
      <c r="V167" s="674"/>
      <c r="W167" s="675"/>
      <c r="AC167" s="675"/>
      <c r="AD167" s="675"/>
      <c r="AE167" s="675"/>
      <c r="AF167" s="537" t="s">
        <v>417</v>
      </c>
    </row>
    <row r="168" spans="1:34" s="536" customFormat="1" ht="12" x14ac:dyDescent="0.2">
      <c r="A168" s="548"/>
      <c r="B168" s="546"/>
      <c r="C168" s="1819" t="s">
        <v>1022</v>
      </c>
      <c r="D168" s="1819"/>
      <c r="E168" s="1819"/>
      <c r="F168" s="1819"/>
      <c r="G168" s="1819"/>
      <c r="H168" s="1819"/>
      <c r="I168" s="1819"/>
      <c r="J168" s="1819"/>
      <c r="K168" s="1819"/>
      <c r="L168" s="544">
        <v>117428.33</v>
      </c>
      <c r="M168" s="543"/>
      <c r="N168" s="681"/>
      <c r="V168" s="674"/>
      <c r="W168" s="675"/>
      <c r="AC168" s="675"/>
      <c r="AD168" s="675"/>
      <c r="AE168" s="675"/>
      <c r="AG168" s="675" t="s">
        <v>1022</v>
      </c>
    </row>
    <row r="169" spans="1:34" s="536" customFormat="1" ht="12" x14ac:dyDescent="0.2">
      <c r="A169" s="1824" t="s">
        <v>4074</v>
      </c>
      <c r="B169" s="1825"/>
      <c r="C169" s="1825"/>
      <c r="D169" s="1825"/>
      <c r="E169" s="1825"/>
      <c r="F169" s="1825"/>
      <c r="G169" s="1825"/>
      <c r="H169" s="1825"/>
      <c r="I169" s="1825"/>
      <c r="J169" s="1825"/>
      <c r="K169" s="1825"/>
      <c r="L169" s="1825"/>
      <c r="M169" s="1825"/>
      <c r="N169" s="1826"/>
      <c r="V169" s="674" t="s">
        <v>4074</v>
      </c>
      <c r="W169" s="675"/>
      <c r="AC169" s="675"/>
      <c r="AD169" s="675"/>
      <c r="AE169" s="675"/>
      <c r="AG169" s="675"/>
    </row>
    <row r="170" spans="1:34" s="536" customFormat="1" ht="45" x14ac:dyDescent="0.2">
      <c r="A170" s="575" t="s">
        <v>195</v>
      </c>
      <c r="B170" s="670" t="s">
        <v>4075</v>
      </c>
      <c r="C170" s="1823" t="s">
        <v>8833</v>
      </c>
      <c r="D170" s="1823"/>
      <c r="E170" s="1823"/>
      <c r="F170" s="573" t="s">
        <v>862</v>
      </c>
      <c r="G170" s="573"/>
      <c r="H170" s="573"/>
      <c r="I170" s="573" t="s">
        <v>6842</v>
      </c>
      <c r="J170" s="572"/>
      <c r="K170" s="573"/>
      <c r="L170" s="572"/>
      <c r="M170" s="571"/>
      <c r="N170" s="570"/>
      <c r="V170" s="674"/>
      <c r="W170" s="675" t="s">
        <v>8833</v>
      </c>
      <c r="AC170" s="675"/>
      <c r="AD170" s="675"/>
      <c r="AE170" s="675"/>
      <c r="AG170" s="675"/>
    </row>
    <row r="171" spans="1:34" s="536" customFormat="1" ht="12" x14ac:dyDescent="0.2">
      <c r="A171" s="676"/>
      <c r="B171" s="664"/>
      <c r="C171" s="1822" t="s">
        <v>6843</v>
      </c>
      <c r="D171" s="1822"/>
      <c r="E171" s="1822"/>
      <c r="F171" s="1822"/>
      <c r="G171" s="1822"/>
      <c r="H171" s="1822"/>
      <c r="I171" s="1822"/>
      <c r="J171" s="1822"/>
      <c r="K171" s="1822"/>
      <c r="L171" s="1822"/>
      <c r="M171" s="1822"/>
      <c r="N171" s="1827"/>
      <c r="V171" s="674"/>
      <c r="W171" s="675"/>
      <c r="X171" s="537" t="s">
        <v>6843</v>
      </c>
      <c r="AC171" s="675"/>
      <c r="AD171" s="675"/>
      <c r="AE171" s="675"/>
      <c r="AG171" s="675"/>
    </row>
    <row r="172" spans="1:34" s="536" customFormat="1" ht="33.75" x14ac:dyDescent="0.2">
      <c r="A172" s="609"/>
      <c r="B172" s="552" t="s">
        <v>310</v>
      </c>
      <c r="C172" s="1822" t="s">
        <v>311</v>
      </c>
      <c r="D172" s="1822"/>
      <c r="E172" s="1822"/>
      <c r="F172" s="1822"/>
      <c r="G172" s="1822"/>
      <c r="H172" s="1822"/>
      <c r="I172" s="1822"/>
      <c r="J172" s="1822"/>
      <c r="K172" s="1822"/>
      <c r="L172" s="1822"/>
      <c r="M172" s="1822"/>
      <c r="N172" s="1827"/>
      <c r="V172" s="674"/>
      <c r="W172" s="675"/>
      <c r="Y172" s="537" t="s">
        <v>311</v>
      </c>
      <c r="AC172" s="675"/>
      <c r="AD172" s="675"/>
      <c r="AE172" s="675"/>
      <c r="AG172" s="675"/>
    </row>
    <row r="173" spans="1:34" s="536" customFormat="1" ht="12" x14ac:dyDescent="0.2">
      <c r="A173" s="605"/>
      <c r="B173" s="552" t="s">
        <v>186</v>
      </c>
      <c r="C173" s="1822" t="s">
        <v>344</v>
      </c>
      <c r="D173" s="1822"/>
      <c r="E173" s="1822"/>
      <c r="F173" s="562"/>
      <c r="G173" s="562"/>
      <c r="H173" s="562"/>
      <c r="I173" s="562"/>
      <c r="J173" s="604">
        <v>255.18</v>
      </c>
      <c r="K173" s="562" t="s">
        <v>313</v>
      </c>
      <c r="L173" s="604">
        <v>12663.31</v>
      </c>
      <c r="M173" s="603"/>
      <c r="N173" s="602"/>
      <c r="V173" s="674"/>
      <c r="W173" s="675"/>
      <c r="Z173" s="537" t="s">
        <v>344</v>
      </c>
      <c r="AC173" s="675"/>
      <c r="AD173" s="675"/>
      <c r="AE173" s="675"/>
      <c r="AG173" s="675"/>
    </row>
    <row r="174" spans="1:34" s="536" customFormat="1" ht="12" x14ac:dyDescent="0.2">
      <c r="A174" s="605"/>
      <c r="B174" s="552" t="s">
        <v>187</v>
      </c>
      <c r="C174" s="1822" t="s">
        <v>345</v>
      </c>
      <c r="D174" s="1822"/>
      <c r="E174" s="1822"/>
      <c r="F174" s="562"/>
      <c r="G174" s="562"/>
      <c r="H174" s="562"/>
      <c r="I174" s="562"/>
      <c r="J174" s="604">
        <v>29.05</v>
      </c>
      <c r="K174" s="562" t="s">
        <v>313</v>
      </c>
      <c r="L174" s="604">
        <v>1441.61</v>
      </c>
      <c r="M174" s="603"/>
      <c r="N174" s="602"/>
      <c r="V174" s="674"/>
      <c r="W174" s="675"/>
      <c r="Z174" s="537" t="s">
        <v>345</v>
      </c>
      <c r="AC174" s="675"/>
      <c r="AD174" s="675"/>
      <c r="AE174" s="675"/>
      <c r="AG174" s="675"/>
    </row>
    <row r="175" spans="1:34" s="536" customFormat="1" ht="12" x14ac:dyDescent="0.2">
      <c r="A175" s="605"/>
      <c r="B175" s="552" t="s">
        <v>188</v>
      </c>
      <c r="C175" s="1822" t="s">
        <v>475</v>
      </c>
      <c r="D175" s="1822"/>
      <c r="E175" s="1822"/>
      <c r="F175" s="562"/>
      <c r="G175" s="562"/>
      <c r="H175" s="562"/>
      <c r="I175" s="562"/>
      <c r="J175" s="604">
        <v>5.03</v>
      </c>
      <c r="K175" s="562"/>
      <c r="L175" s="604">
        <v>199.69</v>
      </c>
      <c r="M175" s="603"/>
      <c r="N175" s="602"/>
      <c r="V175" s="674"/>
      <c r="W175" s="675"/>
      <c r="Z175" s="537" t="s">
        <v>475</v>
      </c>
      <c r="AC175" s="675"/>
      <c r="AD175" s="675"/>
      <c r="AE175" s="675"/>
      <c r="AG175" s="675"/>
    </row>
    <row r="176" spans="1:34" s="536" customFormat="1" ht="12" x14ac:dyDescent="0.2">
      <c r="A176" s="676"/>
      <c r="B176" s="677" t="s">
        <v>4077</v>
      </c>
      <c r="C176" s="1829" t="s">
        <v>4078</v>
      </c>
      <c r="D176" s="1829"/>
      <c r="E176" s="1829"/>
      <c r="F176" s="678" t="s">
        <v>699</v>
      </c>
      <c r="G176" s="678" t="s">
        <v>1217</v>
      </c>
      <c r="H176" s="678"/>
      <c r="I176" s="678" t="s">
        <v>6844</v>
      </c>
      <c r="J176" s="552"/>
      <c r="K176" s="562"/>
      <c r="L176" s="604"/>
      <c r="M176" s="562"/>
      <c r="N176" s="679"/>
      <c r="V176" s="674"/>
      <c r="W176" s="675"/>
      <c r="AC176" s="675"/>
      <c r="AD176" s="675"/>
      <c r="AE176" s="675"/>
      <c r="AG176" s="675"/>
      <c r="AH176" s="680" t="s">
        <v>4078</v>
      </c>
    </row>
    <row r="177" spans="1:34" s="536" customFormat="1" ht="12" x14ac:dyDescent="0.2">
      <c r="A177" s="605"/>
      <c r="B177" s="552"/>
      <c r="C177" s="1822" t="s">
        <v>348</v>
      </c>
      <c r="D177" s="1822"/>
      <c r="E177" s="1822"/>
      <c r="F177" s="562" t="s">
        <v>315</v>
      </c>
      <c r="G177" s="562" t="s">
        <v>4079</v>
      </c>
      <c r="H177" s="562" t="s">
        <v>313</v>
      </c>
      <c r="I177" s="562" t="s">
        <v>6844</v>
      </c>
      <c r="J177" s="604"/>
      <c r="K177" s="562"/>
      <c r="L177" s="604"/>
      <c r="M177" s="603"/>
      <c r="N177" s="602"/>
      <c r="V177" s="674"/>
      <c r="W177" s="675"/>
      <c r="AA177" s="537" t="s">
        <v>348</v>
      </c>
      <c r="AC177" s="675"/>
      <c r="AD177" s="675"/>
      <c r="AE177" s="675"/>
      <c r="AG177" s="675"/>
      <c r="AH177" s="680"/>
    </row>
    <row r="178" spans="1:34" s="536" customFormat="1" ht="12" x14ac:dyDescent="0.2">
      <c r="A178" s="605"/>
      <c r="B178" s="552"/>
      <c r="C178" s="1828" t="s">
        <v>318</v>
      </c>
      <c r="D178" s="1828"/>
      <c r="E178" s="1828"/>
      <c r="F178" s="608"/>
      <c r="G178" s="608"/>
      <c r="H178" s="608"/>
      <c r="I178" s="608"/>
      <c r="J178" s="607">
        <v>260.20999999999998</v>
      </c>
      <c r="K178" s="608"/>
      <c r="L178" s="607">
        <v>12863</v>
      </c>
      <c r="M178" s="601"/>
      <c r="N178" s="606"/>
      <c r="V178" s="674"/>
      <c r="W178" s="675"/>
      <c r="AB178" s="537" t="s">
        <v>318</v>
      </c>
      <c r="AC178" s="675"/>
      <c r="AD178" s="675"/>
      <c r="AE178" s="675"/>
      <c r="AG178" s="675"/>
      <c r="AH178" s="680"/>
    </row>
    <row r="179" spans="1:34" s="536" customFormat="1" ht="12" x14ac:dyDescent="0.2">
      <c r="A179" s="605"/>
      <c r="B179" s="552"/>
      <c r="C179" s="1822" t="s">
        <v>319</v>
      </c>
      <c r="D179" s="1822"/>
      <c r="E179" s="1822"/>
      <c r="F179" s="562"/>
      <c r="G179" s="562"/>
      <c r="H179" s="562"/>
      <c r="I179" s="562"/>
      <c r="J179" s="604"/>
      <c r="K179" s="562"/>
      <c r="L179" s="604">
        <v>1441.61</v>
      </c>
      <c r="M179" s="603"/>
      <c r="N179" s="602"/>
      <c r="V179" s="674"/>
      <c r="W179" s="675"/>
      <c r="AA179" s="537" t="s">
        <v>319</v>
      </c>
      <c r="AC179" s="675"/>
      <c r="AD179" s="675"/>
      <c r="AE179" s="675"/>
      <c r="AG179" s="675"/>
      <c r="AH179" s="680"/>
    </row>
    <row r="180" spans="1:34" s="536" customFormat="1" ht="33.75" x14ac:dyDescent="0.2">
      <c r="A180" s="605"/>
      <c r="B180" s="552" t="s">
        <v>320</v>
      </c>
      <c r="C180" s="1822" t="s">
        <v>321</v>
      </c>
      <c r="D180" s="1822"/>
      <c r="E180" s="1822"/>
      <c r="F180" s="562" t="s">
        <v>322</v>
      </c>
      <c r="G180" s="562" t="s">
        <v>323</v>
      </c>
      <c r="H180" s="562"/>
      <c r="I180" s="562" t="s">
        <v>323</v>
      </c>
      <c r="J180" s="604"/>
      <c r="K180" s="562"/>
      <c r="L180" s="604">
        <v>1283.03</v>
      </c>
      <c r="M180" s="603"/>
      <c r="N180" s="602"/>
      <c r="V180" s="674"/>
      <c r="W180" s="675"/>
      <c r="AA180" s="537" t="s">
        <v>321</v>
      </c>
      <c r="AC180" s="675"/>
      <c r="AD180" s="675"/>
      <c r="AE180" s="675"/>
      <c r="AG180" s="675"/>
      <c r="AH180" s="680"/>
    </row>
    <row r="181" spans="1:34" s="536" customFormat="1" ht="33.75" x14ac:dyDescent="0.2">
      <c r="A181" s="605"/>
      <c r="B181" s="552" t="s">
        <v>324</v>
      </c>
      <c r="C181" s="1822" t="s">
        <v>325</v>
      </c>
      <c r="D181" s="1822"/>
      <c r="E181" s="1822"/>
      <c r="F181" s="562" t="s">
        <v>322</v>
      </c>
      <c r="G181" s="562" t="s">
        <v>326</v>
      </c>
      <c r="H181" s="562"/>
      <c r="I181" s="562" t="s">
        <v>326</v>
      </c>
      <c r="J181" s="604"/>
      <c r="K181" s="562"/>
      <c r="L181" s="604">
        <v>591.05999999999995</v>
      </c>
      <c r="M181" s="603"/>
      <c r="N181" s="602"/>
      <c r="V181" s="674"/>
      <c r="W181" s="675"/>
      <c r="AA181" s="537" t="s">
        <v>325</v>
      </c>
      <c r="AC181" s="675"/>
      <c r="AD181" s="675"/>
      <c r="AE181" s="675"/>
      <c r="AG181" s="675"/>
      <c r="AH181" s="680"/>
    </row>
    <row r="182" spans="1:34" s="536" customFormat="1" ht="12" x14ac:dyDescent="0.2">
      <c r="A182" s="569"/>
      <c r="B182" s="671"/>
      <c r="C182" s="1823" t="s">
        <v>327</v>
      </c>
      <c r="D182" s="1823"/>
      <c r="E182" s="1823"/>
      <c r="F182" s="573"/>
      <c r="G182" s="573"/>
      <c r="H182" s="573"/>
      <c r="I182" s="573"/>
      <c r="J182" s="572"/>
      <c r="K182" s="573"/>
      <c r="L182" s="572">
        <v>14737.09</v>
      </c>
      <c r="M182" s="601"/>
      <c r="N182" s="570"/>
      <c r="V182" s="674"/>
      <c r="W182" s="675"/>
      <c r="AC182" s="675" t="s">
        <v>327</v>
      </c>
      <c r="AD182" s="675"/>
      <c r="AE182" s="675"/>
      <c r="AG182" s="675"/>
      <c r="AH182" s="680"/>
    </row>
    <row r="183" spans="1:34" s="536" customFormat="1" ht="12" x14ac:dyDescent="0.2">
      <c r="A183" s="575" t="s">
        <v>196</v>
      </c>
      <c r="B183" s="670" t="s">
        <v>4080</v>
      </c>
      <c r="C183" s="1823" t="s">
        <v>4081</v>
      </c>
      <c r="D183" s="1823"/>
      <c r="E183" s="1823"/>
      <c r="F183" s="573" t="s">
        <v>699</v>
      </c>
      <c r="G183" s="573"/>
      <c r="H183" s="573"/>
      <c r="I183" s="573" t="s">
        <v>6844</v>
      </c>
      <c r="J183" s="572">
        <v>77.59</v>
      </c>
      <c r="K183" s="573"/>
      <c r="L183" s="572">
        <v>8316.8700000000008</v>
      </c>
      <c r="M183" s="571"/>
      <c r="N183" s="570"/>
      <c r="V183" s="674"/>
      <c r="W183" s="675" t="s">
        <v>4081</v>
      </c>
      <c r="AC183" s="675"/>
      <c r="AD183" s="675"/>
      <c r="AE183" s="675"/>
      <c r="AG183" s="675"/>
      <c r="AH183" s="680"/>
    </row>
    <row r="184" spans="1:34" s="536" customFormat="1" ht="12" x14ac:dyDescent="0.2">
      <c r="A184" s="569"/>
      <c r="B184" s="671"/>
      <c r="C184" s="665" t="s">
        <v>4082</v>
      </c>
      <c r="D184" s="666"/>
      <c r="E184" s="666"/>
      <c r="F184" s="563"/>
      <c r="G184" s="563"/>
      <c r="H184" s="563"/>
      <c r="I184" s="563"/>
      <c r="J184" s="566"/>
      <c r="K184" s="563"/>
      <c r="L184" s="566"/>
      <c r="M184" s="565"/>
      <c r="N184" s="564"/>
      <c r="V184" s="674"/>
      <c r="W184" s="675"/>
      <c r="AC184" s="675"/>
      <c r="AD184" s="675"/>
      <c r="AE184" s="675"/>
      <c r="AG184" s="675"/>
      <c r="AH184" s="680"/>
    </row>
    <row r="185" spans="1:34" s="536" customFormat="1" ht="45" x14ac:dyDescent="0.2">
      <c r="A185" s="575" t="s">
        <v>197</v>
      </c>
      <c r="B185" s="670" t="s">
        <v>1009</v>
      </c>
      <c r="C185" s="1823" t="s">
        <v>4083</v>
      </c>
      <c r="D185" s="1823"/>
      <c r="E185" s="1823"/>
      <c r="F185" s="573" t="s">
        <v>201</v>
      </c>
      <c r="G185" s="573"/>
      <c r="H185" s="573"/>
      <c r="I185" s="573" t="s">
        <v>6845</v>
      </c>
      <c r="J185" s="572">
        <v>3.96</v>
      </c>
      <c r="K185" s="573"/>
      <c r="L185" s="572">
        <v>3304.22</v>
      </c>
      <c r="M185" s="571"/>
      <c r="N185" s="570"/>
      <c r="V185" s="674"/>
      <c r="W185" s="675" t="s">
        <v>4083</v>
      </c>
      <c r="AC185" s="675"/>
      <c r="AD185" s="675"/>
      <c r="AE185" s="675"/>
      <c r="AG185" s="675"/>
      <c r="AH185" s="680"/>
    </row>
    <row r="186" spans="1:34" s="536" customFormat="1" ht="12" x14ac:dyDescent="0.2">
      <c r="A186" s="569"/>
      <c r="B186" s="671"/>
      <c r="C186" s="665" t="s">
        <v>542</v>
      </c>
      <c r="D186" s="666"/>
      <c r="E186" s="666"/>
      <c r="F186" s="563"/>
      <c r="G186" s="563"/>
      <c r="H186" s="563"/>
      <c r="I186" s="563"/>
      <c r="J186" s="566"/>
      <c r="K186" s="563"/>
      <c r="L186" s="566"/>
      <c r="M186" s="565"/>
      <c r="N186" s="564"/>
      <c r="V186" s="674"/>
      <c r="W186" s="675"/>
      <c r="AC186" s="675"/>
      <c r="AD186" s="675"/>
      <c r="AE186" s="675"/>
      <c r="AG186" s="675"/>
      <c r="AH186" s="680"/>
    </row>
    <row r="187" spans="1:34" s="536" customFormat="1" ht="12" x14ac:dyDescent="0.2">
      <c r="A187" s="676"/>
      <c r="B187" s="664"/>
      <c r="C187" s="1822" t="s">
        <v>6846</v>
      </c>
      <c r="D187" s="1822"/>
      <c r="E187" s="1822"/>
      <c r="F187" s="1822"/>
      <c r="G187" s="1822"/>
      <c r="H187" s="1822"/>
      <c r="I187" s="1822"/>
      <c r="J187" s="1822"/>
      <c r="K187" s="1822"/>
      <c r="L187" s="1822"/>
      <c r="M187" s="1822"/>
      <c r="N187" s="1827"/>
      <c r="V187" s="674"/>
      <c r="W187" s="675"/>
      <c r="X187" s="537" t="s">
        <v>6846</v>
      </c>
      <c r="AC187" s="675"/>
      <c r="AD187" s="675"/>
      <c r="AE187" s="675"/>
      <c r="AG187" s="675"/>
      <c r="AH187" s="680"/>
    </row>
    <row r="188" spans="1:34" s="536" customFormat="1" ht="45" x14ac:dyDescent="0.2">
      <c r="A188" s="575" t="s">
        <v>198</v>
      </c>
      <c r="B188" s="670" t="s">
        <v>469</v>
      </c>
      <c r="C188" s="1823" t="s">
        <v>470</v>
      </c>
      <c r="D188" s="1823"/>
      <c r="E188" s="1823"/>
      <c r="F188" s="573" t="s">
        <v>201</v>
      </c>
      <c r="G188" s="573"/>
      <c r="H188" s="573"/>
      <c r="I188" s="573" t="s">
        <v>6845</v>
      </c>
      <c r="J188" s="572">
        <v>12.6</v>
      </c>
      <c r="K188" s="573"/>
      <c r="L188" s="572">
        <v>10513.44</v>
      </c>
      <c r="M188" s="571"/>
      <c r="N188" s="570"/>
      <c r="V188" s="674"/>
      <c r="W188" s="675" t="s">
        <v>470</v>
      </c>
      <c r="AC188" s="675"/>
      <c r="AD188" s="675"/>
      <c r="AE188" s="675"/>
      <c r="AG188" s="675"/>
      <c r="AH188" s="680"/>
    </row>
    <row r="189" spans="1:34" s="536" customFormat="1" ht="12" x14ac:dyDescent="0.2">
      <c r="A189" s="676"/>
      <c r="B189" s="664"/>
      <c r="C189" s="1822" t="s">
        <v>6846</v>
      </c>
      <c r="D189" s="1822"/>
      <c r="E189" s="1822"/>
      <c r="F189" s="1822"/>
      <c r="G189" s="1822"/>
      <c r="H189" s="1822"/>
      <c r="I189" s="1822"/>
      <c r="J189" s="1822"/>
      <c r="K189" s="1822"/>
      <c r="L189" s="1822"/>
      <c r="M189" s="1822"/>
      <c r="N189" s="1827"/>
      <c r="V189" s="674"/>
      <c r="W189" s="675"/>
      <c r="X189" s="537" t="s">
        <v>6846</v>
      </c>
      <c r="AC189" s="675"/>
      <c r="AD189" s="675"/>
      <c r="AE189" s="675"/>
      <c r="AG189" s="675"/>
      <c r="AH189" s="680"/>
    </row>
    <row r="190" spans="1:34" s="536" customFormat="1" ht="12" x14ac:dyDescent="0.2">
      <c r="A190" s="1830" t="s">
        <v>8834</v>
      </c>
      <c r="B190" s="1831"/>
      <c r="C190" s="1831"/>
      <c r="D190" s="1831"/>
      <c r="E190" s="1831"/>
      <c r="F190" s="1831"/>
      <c r="G190" s="1831"/>
      <c r="H190" s="1831"/>
      <c r="I190" s="1831"/>
      <c r="J190" s="1831"/>
      <c r="K190" s="1831"/>
      <c r="L190" s="1831"/>
      <c r="M190" s="1831"/>
      <c r="N190" s="1832"/>
      <c r="V190" s="674"/>
      <c r="W190" s="675"/>
      <c r="AC190" s="675"/>
      <c r="AD190" s="675" t="s">
        <v>8834</v>
      </c>
      <c r="AE190" s="675"/>
      <c r="AG190" s="675"/>
      <c r="AH190" s="680"/>
    </row>
    <row r="191" spans="1:34" s="536" customFormat="1" ht="33.75" x14ac:dyDescent="0.2">
      <c r="A191" s="575" t="s">
        <v>199</v>
      </c>
      <c r="B191" s="670" t="s">
        <v>4084</v>
      </c>
      <c r="C191" s="1823" t="s">
        <v>4085</v>
      </c>
      <c r="D191" s="1823"/>
      <c r="E191" s="1823"/>
      <c r="F191" s="573" t="s">
        <v>862</v>
      </c>
      <c r="G191" s="573"/>
      <c r="H191" s="573"/>
      <c r="I191" s="573" t="s">
        <v>4086</v>
      </c>
      <c r="J191" s="572"/>
      <c r="K191" s="573"/>
      <c r="L191" s="572"/>
      <c r="M191" s="571"/>
      <c r="N191" s="570"/>
      <c r="V191" s="674"/>
      <c r="W191" s="675" t="s">
        <v>4085</v>
      </c>
      <c r="AC191" s="675"/>
      <c r="AD191" s="675"/>
      <c r="AE191" s="675"/>
      <c r="AG191" s="675"/>
      <c r="AH191" s="680"/>
    </row>
    <row r="192" spans="1:34" s="536" customFormat="1" ht="12" x14ac:dyDescent="0.2">
      <c r="A192" s="676"/>
      <c r="B192" s="664"/>
      <c r="C192" s="1822" t="s">
        <v>4087</v>
      </c>
      <c r="D192" s="1822"/>
      <c r="E192" s="1822"/>
      <c r="F192" s="1822"/>
      <c r="G192" s="1822"/>
      <c r="H192" s="1822"/>
      <c r="I192" s="1822"/>
      <c r="J192" s="1822"/>
      <c r="K192" s="1822"/>
      <c r="L192" s="1822"/>
      <c r="M192" s="1822"/>
      <c r="N192" s="1827"/>
      <c r="V192" s="674"/>
      <c r="W192" s="675"/>
      <c r="X192" s="537" t="s">
        <v>4087</v>
      </c>
      <c r="AC192" s="675"/>
      <c r="AD192" s="675"/>
      <c r="AE192" s="675"/>
      <c r="AG192" s="675"/>
      <c r="AH192" s="680"/>
    </row>
    <row r="193" spans="1:34" s="536" customFormat="1" ht="33.75" x14ac:dyDescent="0.2">
      <c r="A193" s="609"/>
      <c r="B193" s="552" t="s">
        <v>310</v>
      </c>
      <c r="C193" s="1822" t="s">
        <v>311</v>
      </c>
      <c r="D193" s="1822"/>
      <c r="E193" s="1822"/>
      <c r="F193" s="1822"/>
      <c r="G193" s="1822"/>
      <c r="H193" s="1822"/>
      <c r="I193" s="1822"/>
      <c r="J193" s="1822"/>
      <c r="K193" s="1822"/>
      <c r="L193" s="1822"/>
      <c r="M193" s="1822"/>
      <c r="N193" s="1827"/>
      <c r="V193" s="674"/>
      <c r="W193" s="675"/>
      <c r="Y193" s="537" t="s">
        <v>311</v>
      </c>
      <c r="AC193" s="675"/>
      <c r="AD193" s="675"/>
      <c r="AE193" s="675"/>
      <c r="AG193" s="675"/>
      <c r="AH193" s="680"/>
    </row>
    <row r="194" spans="1:34" s="536" customFormat="1" ht="12" x14ac:dyDescent="0.2">
      <c r="A194" s="605"/>
      <c r="B194" s="552" t="s">
        <v>185</v>
      </c>
      <c r="C194" s="1822" t="s">
        <v>312</v>
      </c>
      <c r="D194" s="1822"/>
      <c r="E194" s="1822"/>
      <c r="F194" s="562"/>
      <c r="G194" s="562"/>
      <c r="H194" s="562"/>
      <c r="I194" s="562"/>
      <c r="J194" s="604">
        <v>978.44</v>
      </c>
      <c r="K194" s="562" t="s">
        <v>313</v>
      </c>
      <c r="L194" s="604">
        <v>11129.76</v>
      </c>
      <c r="M194" s="603"/>
      <c r="N194" s="602"/>
      <c r="V194" s="674"/>
      <c r="W194" s="675"/>
      <c r="Z194" s="537" t="s">
        <v>312</v>
      </c>
      <c r="AC194" s="675"/>
      <c r="AD194" s="675"/>
      <c r="AE194" s="675"/>
      <c r="AG194" s="675"/>
      <c r="AH194" s="680"/>
    </row>
    <row r="195" spans="1:34" s="536" customFormat="1" ht="12" x14ac:dyDescent="0.2">
      <c r="A195" s="605"/>
      <c r="B195" s="552" t="s">
        <v>186</v>
      </c>
      <c r="C195" s="1822" t="s">
        <v>344</v>
      </c>
      <c r="D195" s="1822"/>
      <c r="E195" s="1822"/>
      <c r="F195" s="562"/>
      <c r="G195" s="562"/>
      <c r="H195" s="562"/>
      <c r="I195" s="562"/>
      <c r="J195" s="604">
        <v>357.23</v>
      </c>
      <c r="K195" s="562" t="s">
        <v>313</v>
      </c>
      <c r="L195" s="604">
        <v>4063.49</v>
      </c>
      <c r="M195" s="603"/>
      <c r="N195" s="602"/>
      <c r="V195" s="674"/>
      <c r="W195" s="675"/>
      <c r="Z195" s="537" t="s">
        <v>344</v>
      </c>
      <c r="AC195" s="675"/>
      <c r="AD195" s="675"/>
      <c r="AE195" s="675"/>
      <c r="AG195" s="675"/>
      <c r="AH195" s="680"/>
    </row>
    <row r="196" spans="1:34" s="536" customFormat="1" ht="12" x14ac:dyDescent="0.2">
      <c r="A196" s="605"/>
      <c r="B196" s="552" t="s">
        <v>187</v>
      </c>
      <c r="C196" s="1822" t="s">
        <v>345</v>
      </c>
      <c r="D196" s="1822"/>
      <c r="E196" s="1822"/>
      <c r="F196" s="562"/>
      <c r="G196" s="562"/>
      <c r="H196" s="562"/>
      <c r="I196" s="562"/>
      <c r="J196" s="604">
        <v>34.79</v>
      </c>
      <c r="K196" s="562" t="s">
        <v>313</v>
      </c>
      <c r="L196" s="604">
        <v>395.74</v>
      </c>
      <c r="M196" s="603"/>
      <c r="N196" s="602"/>
      <c r="V196" s="674"/>
      <c r="W196" s="675"/>
      <c r="Z196" s="537" t="s">
        <v>345</v>
      </c>
      <c r="AC196" s="675"/>
      <c r="AD196" s="675"/>
      <c r="AE196" s="675"/>
      <c r="AG196" s="675"/>
      <c r="AH196" s="680"/>
    </row>
    <row r="197" spans="1:34" s="536" customFormat="1" ht="12" x14ac:dyDescent="0.2">
      <c r="A197" s="605"/>
      <c r="B197" s="552" t="s">
        <v>188</v>
      </c>
      <c r="C197" s="1822" t="s">
        <v>475</v>
      </c>
      <c r="D197" s="1822"/>
      <c r="E197" s="1822"/>
      <c r="F197" s="562"/>
      <c r="G197" s="562"/>
      <c r="H197" s="562"/>
      <c r="I197" s="562"/>
      <c r="J197" s="604">
        <v>6865.85</v>
      </c>
      <c r="K197" s="562"/>
      <c r="L197" s="604">
        <v>62479.24</v>
      </c>
      <c r="M197" s="603"/>
      <c r="N197" s="602"/>
      <c r="V197" s="674"/>
      <c r="W197" s="675"/>
      <c r="Z197" s="537" t="s">
        <v>475</v>
      </c>
      <c r="AC197" s="675"/>
      <c r="AD197" s="675"/>
      <c r="AE197" s="675"/>
      <c r="AG197" s="675"/>
      <c r="AH197" s="680"/>
    </row>
    <row r="198" spans="1:34" s="536" customFormat="1" ht="12" x14ac:dyDescent="0.2">
      <c r="A198" s="676"/>
      <c r="B198" s="677" t="s">
        <v>1563</v>
      </c>
      <c r="C198" s="1829" t="s">
        <v>4088</v>
      </c>
      <c r="D198" s="1829"/>
      <c r="E198" s="1829"/>
      <c r="F198" s="678" t="s">
        <v>641</v>
      </c>
      <c r="G198" s="678" t="s">
        <v>4089</v>
      </c>
      <c r="H198" s="678"/>
      <c r="I198" s="678" t="s">
        <v>4090</v>
      </c>
      <c r="J198" s="552"/>
      <c r="K198" s="562"/>
      <c r="L198" s="604"/>
      <c r="M198" s="562"/>
      <c r="N198" s="679"/>
      <c r="V198" s="674"/>
      <c r="W198" s="675"/>
      <c r="AC198" s="675"/>
      <c r="AD198" s="675"/>
      <c r="AE198" s="675"/>
      <c r="AG198" s="675"/>
      <c r="AH198" s="680" t="s">
        <v>4088</v>
      </c>
    </row>
    <row r="199" spans="1:34" s="536" customFormat="1" ht="12" x14ac:dyDescent="0.2">
      <c r="A199" s="605"/>
      <c r="B199" s="552"/>
      <c r="C199" s="1822" t="s">
        <v>314</v>
      </c>
      <c r="D199" s="1822"/>
      <c r="E199" s="1822"/>
      <c r="F199" s="562" t="s">
        <v>315</v>
      </c>
      <c r="G199" s="562" t="s">
        <v>1539</v>
      </c>
      <c r="H199" s="562" t="s">
        <v>313</v>
      </c>
      <c r="I199" s="562" t="s">
        <v>4091</v>
      </c>
      <c r="J199" s="604"/>
      <c r="K199" s="562"/>
      <c r="L199" s="604"/>
      <c r="M199" s="603"/>
      <c r="N199" s="602"/>
      <c r="V199" s="674"/>
      <c r="W199" s="675"/>
      <c r="AA199" s="537" t="s">
        <v>314</v>
      </c>
      <c r="AC199" s="675"/>
      <c r="AD199" s="675"/>
      <c r="AE199" s="675"/>
      <c r="AG199" s="675"/>
      <c r="AH199" s="680"/>
    </row>
    <row r="200" spans="1:34" s="536" customFormat="1" ht="12" x14ac:dyDescent="0.2">
      <c r="A200" s="605"/>
      <c r="B200" s="552"/>
      <c r="C200" s="1822" t="s">
        <v>348</v>
      </c>
      <c r="D200" s="1822"/>
      <c r="E200" s="1822"/>
      <c r="F200" s="562" t="s">
        <v>315</v>
      </c>
      <c r="G200" s="562" t="s">
        <v>1099</v>
      </c>
      <c r="H200" s="562" t="s">
        <v>313</v>
      </c>
      <c r="I200" s="562" t="s">
        <v>4092</v>
      </c>
      <c r="J200" s="604"/>
      <c r="K200" s="562"/>
      <c r="L200" s="604"/>
      <c r="M200" s="603"/>
      <c r="N200" s="602"/>
      <c r="V200" s="674"/>
      <c r="W200" s="675"/>
      <c r="AA200" s="537" t="s">
        <v>348</v>
      </c>
      <c r="AC200" s="675"/>
      <c r="AD200" s="675"/>
      <c r="AE200" s="675"/>
      <c r="AG200" s="675"/>
      <c r="AH200" s="680"/>
    </row>
    <row r="201" spans="1:34" s="536" customFormat="1" ht="12" x14ac:dyDescent="0.2">
      <c r="A201" s="605"/>
      <c r="B201" s="552"/>
      <c r="C201" s="1828" t="s">
        <v>318</v>
      </c>
      <c r="D201" s="1828"/>
      <c r="E201" s="1828"/>
      <c r="F201" s="608"/>
      <c r="G201" s="608"/>
      <c r="H201" s="608"/>
      <c r="I201" s="608"/>
      <c r="J201" s="607">
        <v>8201.52</v>
      </c>
      <c r="K201" s="608"/>
      <c r="L201" s="607">
        <v>77672.490000000005</v>
      </c>
      <c r="M201" s="601"/>
      <c r="N201" s="606"/>
      <c r="V201" s="674"/>
      <c r="W201" s="675"/>
      <c r="AB201" s="537" t="s">
        <v>318</v>
      </c>
      <c r="AC201" s="675"/>
      <c r="AD201" s="675"/>
      <c r="AE201" s="675"/>
      <c r="AG201" s="675"/>
      <c r="AH201" s="680"/>
    </row>
    <row r="202" spans="1:34" s="536" customFormat="1" ht="12" x14ac:dyDescent="0.2">
      <c r="A202" s="605"/>
      <c r="B202" s="552"/>
      <c r="C202" s="1822" t="s">
        <v>319</v>
      </c>
      <c r="D202" s="1822"/>
      <c r="E202" s="1822"/>
      <c r="F202" s="562"/>
      <c r="G202" s="562"/>
      <c r="H202" s="562"/>
      <c r="I202" s="562"/>
      <c r="J202" s="604"/>
      <c r="K202" s="562"/>
      <c r="L202" s="604">
        <v>11525.5</v>
      </c>
      <c r="M202" s="603"/>
      <c r="N202" s="602"/>
      <c r="V202" s="674"/>
      <c r="W202" s="675"/>
      <c r="AA202" s="537" t="s">
        <v>319</v>
      </c>
      <c r="AC202" s="675"/>
      <c r="AD202" s="675"/>
      <c r="AE202" s="675"/>
      <c r="AG202" s="675"/>
      <c r="AH202" s="680"/>
    </row>
    <row r="203" spans="1:34" s="536" customFormat="1" ht="33.75" x14ac:dyDescent="0.2">
      <c r="A203" s="605"/>
      <c r="B203" s="552" t="s">
        <v>320</v>
      </c>
      <c r="C203" s="1822" t="s">
        <v>321</v>
      </c>
      <c r="D203" s="1822"/>
      <c r="E203" s="1822"/>
      <c r="F203" s="562" t="s">
        <v>322</v>
      </c>
      <c r="G203" s="562" t="s">
        <v>323</v>
      </c>
      <c r="H203" s="562"/>
      <c r="I203" s="562" t="s">
        <v>323</v>
      </c>
      <c r="J203" s="604"/>
      <c r="K203" s="562"/>
      <c r="L203" s="604">
        <v>10257.700000000001</v>
      </c>
      <c r="M203" s="603"/>
      <c r="N203" s="602"/>
      <c r="V203" s="674"/>
      <c r="W203" s="675"/>
      <c r="AA203" s="537" t="s">
        <v>321</v>
      </c>
      <c r="AC203" s="675"/>
      <c r="AD203" s="675"/>
      <c r="AE203" s="675"/>
      <c r="AG203" s="675"/>
      <c r="AH203" s="680"/>
    </row>
    <row r="204" spans="1:34" s="536" customFormat="1" ht="33.75" x14ac:dyDescent="0.2">
      <c r="A204" s="605"/>
      <c r="B204" s="552" t="s">
        <v>324</v>
      </c>
      <c r="C204" s="1822" t="s">
        <v>325</v>
      </c>
      <c r="D204" s="1822"/>
      <c r="E204" s="1822"/>
      <c r="F204" s="562" t="s">
        <v>322</v>
      </c>
      <c r="G204" s="562" t="s">
        <v>326</v>
      </c>
      <c r="H204" s="562"/>
      <c r="I204" s="562" t="s">
        <v>326</v>
      </c>
      <c r="J204" s="604"/>
      <c r="K204" s="562"/>
      <c r="L204" s="604">
        <v>4725.46</v>
      </c>
      <c r="M204" s="603"/>
      <c r="N204" s="602"/>
      <c r="V204" s="674"/>
      <c r="W204" s="675"/>
      <c r="AA204" s="537" t="s">
        <v>325</v>
      </c>
      <c r="AC204" s="675"/>
      <c r="AD204" s="675"/>
      <c r="AE204" s="675"/>
      <c r="AG204" s="675"/>
      <c r="AH204" s="680"/>
    </row>
    <row r="205" spans="1:34" s="536" customFormat="1" ht="12" x14ac:dyDescent="0.2">
      <c r="A205" s="569"/>
      <c r="B205" s="671"/>
      <c r="C205" s="1823" t="s">
        <v>327</v>
      </c>
      <c r="D205" s="1823"/>
      <c r="E205" s="1823"/>
      <c r="F205" s="573"/>
      <c r="G205" s="573"/>
      <c r="H205" s="573"/>
      <c r="I205" s="573"/>
      <c r="J205" s="572"/>
      <c r="K205" s="573"/>
      <c r="L205" s="572">
        <v>92655.65</v>
      </c>
      <c r="M205" s="601"/>
      <c r="N205" s="570"/>
      <c r="V205" s="674"/>
      <c r="W205" s="675"/>
      <c r="AC205" s="675" t="s">
        <v>327</v>
      </c>
      <c r="AD205" s="675"/>
      <c r="AE205" s="675"/>
      <c r="AG205" s="675"/>
      <c r="AH205" s="680"/>
    </row>
    <row r="206" spans="1:34" s="536" customFormat="1" ht="22.5" x14ac:dyDescent="0.2">
      <c r="A206" s="575" t="s">
        <v>200</v>
      </c>
      <c r="B206" s="670" t="s">
        <v>4093</v>
      </c>
      <c r="C206" s="1823" t="s">
        <v>4094</v>
      </c>
      <c r="D206" s="1823"/>
      <c r="E206" s="1823"/>
      <c r="F206" s="573" t="s">
        <v>641</v>
      </c>
      <c r="G206" s="573"/>
      <c r="H206" s="573"/>
      <c r="I206" s="573" t="s">
        <v>4090</v>
      </c>
      <c r="J206" s="572">
        <v>118.6</v>
      </c>
      <c r="K206" s="573"/>
      <c r="L206" s="572">
        <v>11548.08</v>
      </c>
      <c r="M206" s="571"/>
      <c r="N206" s="570"/>
      <c r="V206" s="674"/>
      <c r="W206" s="675" t="s">
        <v>4094</v>
      </c>
      <c r="AC206" s="675"/>
      <c r="AD206" s="675"/>
      <c r="AE206" s="675"/>
      <c r="AG206" s="675"/>
      <c r="AH206" s="680"/>
    </row>
    <row r="207" spans="1:34" s="536" customFormat="1" ht="12" x14ac:dyDescent="0.2">
      <c r="A207" s="569"/>
      <c r="B207" s="671"/>
      <c r="C207" s="665" t="s">
        <v>717</v>
      </c>
      <c r="D207" s="666"/>
      <c r="E207" s="666"/>
      <c r="F207" s="563"/>
      <c r="G207" s="563"/>
      <c r="H207" s="563"/>
      <c r="I207" s="563"/>
      <c r="J207" s="566"/>
      <c r="K207" s="563"/>
      <c r="L207" s="566"/>
      <c r="M207" s="565"/>
      <c r="N207" s="564"/>
      <c r="V207" s="674"/>
      <c r="W207" s="675"/>
      <c r="AC207" s="675"/>
      <c r="AD207" s="675"/>
      <c r="AE207" s="675"/>
      <c r="AG207" s="675"/>
      <c r="AH207" s="680"/>
    </row>
    <row r="208" spans="1:34" s="536" customFormat="1" ht="45" x14ac:dyDescent="0.2">
      <c r="A208" s="575" t="s">
        <v>425</v>
      </c>
      <c r="B208" s="670" t="s">
        <v>4095</v>
      </c>
      <c r="C208" s="1823" t="s">
        <v>4096</v>
      </c>
      <c r="D208" s="1823"/>
      <c r="E208" s="1823"/>
      <c r="F208" s="573" t="s">
        <v>862</v>
      </c>
      <c r="G208" s="573"/>
      <c r="H208" s="573"/>
      <c r="I208" s="573" t="s">
        <v>4097</v>
      </c>
      <c r="J208" s="572"/>
      <c r="K208" s="573"/>
      <c r="L208" s="572"/>
      <c r="M208" s="571"/>
      <c r="N208" s="570"/>
      <c r="V208" s="674"/>
      <c r="W208" s="675" t="s">
        <v>4096</v>
      </c>
      <c r="AC208" s="675"/>
      <c r="AD208" s="675"/>
      <c r="AE208" s="675"/>
      <c r="AG208" s="675"/>
      <c r="AH208" s="680"/>
    </row>
    <row r="209" spans="1:34" s="536" customFormat="1" ht="12" x14ac:dyDescent="0.2">
      <c r="A209" s="676"/>
      <c r="B209" s="664"/>
      <c r="C209" s="1822" t="s">
        <v>4098</v>
      </c>
      <c r="D209" s="1822"/>
      <c r="E209" s="1822"/>
      <c r="F209" s="1822"/>
      <c r="G209" s="1822"/>
      <c r="H209" s="1822"/>
      <c r="I209" s="1822"/>
      <c r="J209" s="1822"/>
      <c r="K209" s="1822"/>
      <c r="L209" s="1822"/>
      <c r="M209" s="1822"/>
      <c r="N209" s="1827"/>
      <c r="V209" s="674"/>
      <c r="W209" s="675"/>
      <c r="X209" s="537" t="s">
        <v>4098</v>
      </c>
      <c r="AC209" s="675"/>
      <c r="AD209" s="675"/>
      <c r="AE209" s="675"/>
      <c r="AG209" s="675"/>
      <c r="AH209" s="680"/>
    </row>
    <row r="210" spans="1:34" s="536" customFormat="1" ht="12" x14ac:dyDescent="0.2">
      <c r="A210" s="609"/>
      <c r="B210" s="552"/>
      <c r="C210" s="1822" t="s">
        <v>4099</v>
      </c>
      <c r="D210" s="1822"/>
      <c r="E210" s="1822"/>
      <c r="F210" s="1822"/>
      <c r="G210" s="1822"/>
      <c r="H210" s="1822"/>
      <c r="I210" s="1822"/>
      <c r="J210" s="1822"/>
      <c r="K210" s="1822"/>
      <c r="L210" s="1822"/>
      <c r="M210" s="1822"/>
      <c r="N210" s="1827"/>
      <c r="V210" s="674"/>
      <c r="W210" s="675"/>
      <c r="Y210" s="537" t="s">
        <v>4099</v>
      </c>
      <c r="AC210" s="675"/>
      <c r="AD210" s="675"/>
      <c r="AE210" s="675"/>
      <c r="AG210" s="675"/>
      <c r="AH210" s="680"/>
    </row>
    <row r="211" spans="1:34" s="536" customFormat="1" ht="33.75" x14ac:dyDescent="0.2">
      <c r="A211" s="609"/>
      <c r="B211" s="552" t="s">
        <v>310</v>
      </c>
      <c r="C211" s="1822" t="s">
        <v>311</v>
      </c>
      <c r="D211" s="1822"/>
      <c r="E211" s="1822"/>
      <c r="F211" s="1822"/>
      <c r="G211" s="1822"/>
      <c r="H211" s="1822"/>
      <c r="I211" s="1822"/>
      <c r="J211" s="1822"/>
      <c r="K211" s="1822"/>
      <c r="L211" s="1822"/>
      <c r="M211" s="1822"/>
      <c r="N211" s="1827"/>
      <c r="V211" s="674"/>
      <c r="W211" s="675"/>
      <c r="Y211" s="537" t="s">
        <v>311</v>
      </c>
      <c r="AC211" s="675"/>
      <c r="AD211" s="675"/>
      <c r="AE211" s="675"/>
      <c r="AG211" s="675"/>
      <c r="AH211" s="680"/>
    </row>
    <row r="212" spans="1:34" s="536" customFormat="1" ht="12" x14ac:dyDescent="0.2">
      <c r="A212" s="605"/>
      <c r="B212" s="552" t="s">
        <v>185</v>
      </c>
      <c r="C212" s="1822" t="s">
        <v>312</v>
      </c>
      <c r="D212" s="1822"/>
      <c r="E212" s="1822"/>
      <c r="F212" s="562"/>
      <c r="G212" s="562"/>
      <c r="H212" s="562"/>
      <c r="I212" s="562"/>
      <c r="J212" s="604">
        <v>61.11</v>
      </c>
      <c r="K212" s="562" t="s">
        <v>722</v>
      </c>
      <c r="L212" s="604">
        <v>-1390.25</v>
      </c>
      <c r="M212" s="603"/>
      <c r="N212" s="602"/>
      <c r="V212" s="674"/>
      <c r="W212" s="675"/>
      <c r="Z212" s="537" t="s">
        <v>312</v>
      </c>
      <c r="AC212" s="675"/>
      <c r="AD212" s="675"/>
      <c r="AE212" s="675"/>
      <c r="AG212" s="675"/>
      <c r="AH212" s="680"/>
    </row>
    <row r="213" spans="1:34" s="536" customFormat="1" ht="12" x14ac:dyDescent="0.2">
      <c r="A213" s="605"/>
      <c r="B213" s="552" t="s">
        <v>186</v>
      </c>
      <c r="C213" s="1822" t="s">
        <v>344</v>
      </c>
      <c r="D213" s="1822"/>
      <c r="E213" s="1822"/>
      <c r="F213" s="562"/>
      <c r="G213" s="562"/>
      <c r="H213" s="562"/>
      <c r="I213" s="562"/>
      <c r="J213" s="604">
        <v>1.31</v>
      </c>
      <c r="K213" s="562" t="s">
        <v>722</v>
      </c>
      <c r="L213" s="604">
        <v>-29.8</v>
      </c>
      <c r="M213" s="603"/>
      <c r="N213" s="602"/>
      <c r="V213" s="674"/>
      <c r="W213" s="675"/>
      <c r="Z213" s="537" t="s">
        <v>344</v>
      </c>
      <c r="AC213" s="675"/>
      <c r="AD213" s="675"/>
      <c r="AE213" s="675"/>
      <c r="AG213" s="675"/>
      <c r="AH213" s="680"/>
    </row>
    <row r="214" spans="1:34" s="536" customFormat="1" ht="12" x14ac:dyDescent="0.2">
      <c r="A214" s="605"/>
      <c r="B214" s="552" t="s">
        <v>187</v>
      </c>
      <c r="C214" s="1822" t="s">
        <v>345</v>
      </c>
      <c r="D214" s="1822"/>
      <c r="E214" s="1822"/>
      <c r="F214" s="562"/>
      <c r="G214" s="562"/>
      <c r="H214" s="562"/>
      <c r="I214" s="562"/>
      <c r="J214" s="604">
        <v>0.23</v>
      </c>
      <c r="K214" s="562" t="s">
        <v>722</v>
      </c>
      <c r="L214" s="604">
        <v>-5.23</v>
      </c>
      <c r="M214" s="603"/>
      <c r="N214" s="602"/>
      <c r="V214" s="674"/>
      <c r="W214" s="675"/>
      <c r="Z214" s="537" t="s">
        <v>345</v>
      </c>
      <c r="AC214" s="675"/>
      <c r="AD214" s="675"/>
      <c r="AE214" s="675"/>
      <c r="AG214" s="675"/>
      <c r="AH214" s="680"/>
    </row>
    <row r="215" spans="1:34" s="536" customFormat="1" ht="12" x14ac:dyDescent="0.2">
      <c r="A215" s="605"/>
      <c r="B215" s="552" t="s">
        <v>188</v>
      </c>
      <c r="C215" s="1822" t="s">
        <v>475</v>
      </c>
      <c r="D215" s="1822"/>
      <c r="E215" s="1822"/>
      <c r="F215" s="562"/>
      <c r="G215" s="562"/>
      <c r="H215" s="562"/>
      <c r="I215" s="562"/>
      <c r="J215" s="604">
        <v>661.16</v>
      </c>
      <c r="K215" s="562" t="s">
        <v>186</v>
      </c>
      <c r="L215" s="604">
        <v>-12033.11</v>
      </c>
      <c r="M215" s="603"/>
      <c r="N215" s="602"/>
      <c r="V215" s="674"/>
      <c r="W215" s="675"/>
      <c r="Z215" s="537" t="s">
        <v>475</v>
      </c>
      <c r="AC215" s="675"/>
      <c r="AD215" s="675"/>
      <c r="AE215" s="675"/>
      <c r="AG215" s="675"/>
      <c r="AH215" s="680"/>
    </row>
    <row r="216" spans="1:34" s="536" customFormat="1" ht="12" x14ac:dyDescent="0.2">
      <c r="A216" s="605"/>
      <c r="B216" s="552"/>
      <c r="C216" s="1822" t="s">
        <v>314</v>
      </c>
      <c r="D216" s="1822"/>
      <c r="E216" s="1822"/>
      <c r="F216" s="562" t="s">
        <v>315</v>
      </c>
      <c r="G216" s="562" t="s">
        <v>4100</v>
      </c>
      <c r="H216" s="562" t="s">
        <v>722</v>
      </c>
      <c r="I216" s="562" t="s">
        <v>4101</v>
      </c>
      <c r="J216" s="604"/>
      <c r="K216" s="562"/>
      <c r="L216" s="604"/>
      <c r="M216" s="603"/>
      <c r="N216" s="602"/>
      <c r="V216" s="674"/>
      <c r="W216" s="675"/>
      <c r="AA216" s="537" t="s">
        <v>314</v>
      </c>
      <c r="AC216" s="675"/>
      <c r="AD216" s="675"/>
      <c r="AE216" s="675"/>
      <c r="AG216" s="675"/>
      <c r="AH216" s="680"/>
    </row>
    <row r="217" spans="1:34" s="536" customFormat="1" ht="12" x14ac:dyDescent="0.2">
      <c r="A217" s="605"/>
      <c r="B217" s="552"/>
      <c r="C217" s="1822" t="s">
        <v>348</v>
      </c>
      <c r="D217" s="1822"/>
      <c r="E217" s="1822"/>
      <c r="F217" s="562" t="s">
        <v>315</v>
      </c>
      <c r="G217" s="562" t="s">
        <v>695</v>
      </c>
      <c r="H217" s="562" t="s">
        <v>722</v>
      </c>
      <c r="I217" s="562" t="s">
        <v>4102</v>
      </c>
      <c r="J217" s="604"/>
      <c r="K217" s="562"/>
      <c r="L217" s="604"/>
      <c r="M217" s="603"/>
      <c r="N217" s="602"/>
      <c r="V217" s="674"/>
      <c r="W217" s="675"/>
      <c r="AA217" s="537" t="s">
        <v>348</v>
      </c>
      <c r="AC217" s="675"/>
      <c r="AD217" s="675"/>
      <c r="AE217" s="675"/>
      <c r="AG217" s="675"/>
      <c r="AH217" s="680"/>
    </row>
    <row r="218" spans="1:34" s="536" customFormat="1" ht="12" x14ac:dyDescent="0.2">
      <c r="A218" s="605"/>
      <c r="B218" s="552"/>
      <c r="C218" s="1828" t="s">
        <v>318</v>
      </c>
      <c r="D218" s="1828"/>
      <c r="E218" s="1828"/>
      <c r="F218" s="608"/>
      <c r="G218" s="608"/>
      <c r="H218" s="608"/>
      <c r="I218" s="608"/>
      <c r="J218" s="607">
        <v>723.58</v>
      </c>
      <c r="K218" s="608"/>
      <c r="L218" s="607">
        <v>-13453.16</v>
      </c>
      <c r="M218" s="601"/>
      <c r="N218" s="606"/>
      <c r="V218" s="674"/>
      <c r="W218" s="675"/>
      <c r="AB218" s="537" t="s">
        <v>318</v>
      </c>
      <c r="AC218" s="675"/>
      <c r="AD218" s="675"/>
      <c r="AE218" s="675"/>
      <c r="AG218" s="675"/>
      <c r="AH218" s="680"/>
    </row>
    <row r="219" spans="1:34" s="536" customFormat="1" ht="12" x14ac:dyDescent="0.2">
      <c r="A219" s="605"/>
      <c r="B219" s="552"/>
      <c r="C219" s="1822" t="s">
        <v>319</v>
      </c>
      <c r="D219" s="1822"/>
      <c r="E219" s="1822"/>
      <c r="F219" s="562"/>
      <c r="G219" s="562"/>
      <c r="H219" s="562"/>
      <c r="I219" s="562"/>
      <c r="J219" s="604"/>
      <c r="K219" s="562"/>
      <c r="L219" s="604">
        <v>-1395.48</v>
      </c>
      <c r="M219" s="603"/>
      <c r="N219" s="602"/>
      <c r="V219" s="674"/>
      <c r="W219" s="675"/>
      <c r="AA219" s="537" t="s">
        <v>319</v>
      </c>
      <c r="AC219" s="675"/>
      <c r="AD219" s="675"/>
      <c r="AE219" s="675"/>
      <c r="AG219" s="675"/>
      <c r="AH219" s="680"/>
    </row>
    <row r="220" spans="1:34" s="536" customFormat="1" ht="33.75" x14ac:dyDescent="0.2">
      <c r="A220" s="605"/>
      <c r="B220" s="552" t="s">
        <v>320</v>
      </c>
      <c r="C220" s="1822" t="s">
        <v>321</v>
      </c>
      <c r="D220" s="1822"/>
      <c r="E220" s="1822"/>
      <c r="F220" s="562" t="s">
        <v>322</v>
      </c>
      <c r="G220" s="562" t="s">
        <v>323</v>
      </c>
      <c r="H220" s="562"/>
      <c r="I220" s="562" t="s">
        <v>323</v>
      </c>
      <c r="J220" s="604"/>
      <c r="K220" s="562"/>
      <c r="L220" s="604">
        <v>-1241.98</v>
      </c>
      <c r="M220" s="603"/>
      <c r="N220" s="602"/>
      <c r="V220" s="674"/>
      <c r="W220" s="675"/>
      <c r="AA220" s="537" t="s">
        <v>321</v>
      </c>
      <c r="AC220" s="675"/>
      <c r="AD220" s="675"/>
      <c r="AE220" s="675"/>
      <c r="AG220" s="675"/>
      <c r="AH220" s="680"/>
    </row>
    <row r="221" spans="1:34" s="536" customFormat="1" ht="33.75" x14ac:dyDescent="0.2">
      <c r="A221" s="605"/>
      <c r="B221" s="552" t="s">
        <v>324</v>
      </c>
      <c r="C221" s="1822" t="s">
        <v>325</v>
      </c>
      <c r="D221" s="1822"/>
      <c r="E221" s="1822"/>
      <c r="F221" s="562" t="s">
        <v>322</v>
      </c>
      <c r="G221" s="562" t="s">
        <v>326</v>
      </c>
      <c r="H221" s="562"/>
      <c r="I221" s="562" t="s">
        <v>326</v>
      </c>
      <c r="J221" s="604"/>
      <c r="K221" s="562"/>
      <c r="L221" s="604">
        <v>-572.15</v>
      </c>
      <c r="M221" s="603"/>
      <c r="N221" s="602"/>
      <c r="V221" s="674"/>
      <c r="W221" s="675"/>
      <c r="AA221" s="537" t="s">
        <v>325</v>
      </c>
      <c r="AC221" s="675"/>
      <c r="AD221" s="675"/>
      <c r="AE221" s="675"/>
      <c r="AG221" s="675"/>
      <c r="AH221" s="680"/>
    </row>
    <row r="222" spans="1:34" s="536" customFormat="1" ht="12" x14ac:dyDescent="0.2">
      <c r="A222" s="569"/>
      <c r="B222" s="671"/>
      <c r="C222" s="1823" t="s">
        <v>327</v>
      </c>
      <c r="D222" s="1823"/>
      <c r="E222" s="1823"/>
      <c r="F222" s="573"/>
      <c r="G222" s="573"/>
      <c r="H222" s="573"/>
      <c r="I222" s="573"/>
      <c r="J222" s="572"/>
      <c r="K222" s="573"/>
      <c r="L222" s="572">
        <v>-15267.29</v>
      </c>
      <c r="M222" s="601"/>
      <c r="N222" s="570"/>
      <c r="V222" s="674"/>
      <c r="W222" s="675"/>
      <c r="AC222" s="675" t="s">
        <v>327</v>
      </c>
      <c r="AD222" s="675"/>
      <c r="AE222" s="675"/>
      <c r="AG222" s="675"/>
      <c r="AH222" s="680"/>
    </row>
    <row r="223" spans="1:34" s="536" customFormat="1" ht="22.5" x14ac:dyDescent="0.2">
      <c r="A223" s="575" t="s">
        <v>430</v>
      </c>
      <c r="B223" s="670" t="s">
        <v>1268</v>
      </c>
      <c r="C223" s="1823" t="s">
        <v>4103</v>
      </c>
      <c r="D223" s="1823"/>
      <c r="E223" s="1823"/>
      <c r="F223" s="573" t="s">
        <v>694</v>
      </c>
      <c r="G223" s="573"/>
      <c r="H223" s="573"/>
      <c r="I223" s="573" t="s">
        <v>4104</v>
      </c>
      <c r="J223" s="572"/>
      <c r="K223" s="573"/>
      <c r="L223" s="572"/>
      <c r="M223" s="571"/>
      <c r="N223" s="570"/>
      <c r="V223" s="674"/>
      <c r="W223" s="675" t="s">
        <v>4103</v>
      </c>
      <c r="AC223" s="675"/>
      <c r="AD223" s="675"/>
      <c r="AE223" s="675"/>
      <c r="AG223" s="675"/>
      <c r="AH223" s="680"/>
    </row>
    <row r="224" spans="1:34" s="536" customFormat="1" ht="12" x14ac:dyDescent="0.2">
      <c r="A224" s="676"/>
      <c r="B224" s="664"/>
      <c r="C224" s="1822" t="s">
        <v>4105</v>
      </c>
      <c r="D224" s="1822"/>
      <c r="E224" s="1822"/>
      <c r="F224" s="1822"/>
      <c r="G224" s="1822"/>
      <c r="H224" s="1822"/>
      <c r="I224" s="1822"/>
      <c r="J224" s="1822"/>
      <c r="K224" s="1822"/>
      <c r="L224" s="1822"/>
      <c r="M224" s="1822"/>
      <c r="N224" s="1827"/>
      <c r="V224" s="674"/>
      <c r="W224" s="675"/>
      <c r="X224" s="537" t="s">
        <v>4105</v>
      </c>
      <c r="AC224" s="675"/>
      <c r="AD224" s="675"/>
      <c r="AE224" s="675"/>
      <c r="AG224" s="675"/>
      <c r="AH224" s="680"/>
    </row>
    <row r="225" spans="1:34" s="536" customFormat="1" ht="33.75" x14ac:dyDescent="0.2">
      <c r="A225" s="609"/>
      <c r="B225" s="552" t="s">
        <v>310</v>
      </c>
      <c r="C225" s="1822" t="s">
        <v>311</v>
      </c>
      <c r="D225" s="1822"/>
      <c r="E225" s="1822"/>
      <c r="F225" s="1822"/>
      <c r="G225" s="1822"/>
      <c r="H225" s="1822"/>
      <c r="I225" s="1822"/>
      <c r="J225" s="1822"/>
      <c r="K225" s="1822"/>
      <c r="L225" s="1822"/>
      <c r="M225" s="1822"/>
      <c r="N225" s="1827"/>
      <c r="V225" s="674"/>
      <c r="W225" s="675"/>
      <c r="Y225" s="537" t="s">
        <v>311</v>
      </c>
      <c r="AC225" s="675"/>
      <c r="AD225" s="675"/>
      <c r="AE225" s="675"/>
      <c r="AG225" s="675"/>
      <c r="AH225" s="680"/>
    </row>
    <row r="226" spans="1:34" s="536" customFormat="1" ht="12" x14ac:dyDescent="0.2">
      <c r="A226" s="605"/>
      <c r="B226" s="552" t="s">
        <v>185</v>
      </c>
      <c r="C226" s="1822" t="s">
        <v>312</v>
      </c>
      <c r="D226" s="1822"/>
      <c r="E226" s="1822"/>
      <c r="F226" s="562"/>
      <c r="G226" s="562"/>
      <c r="H226" s="562"/>
      <c r="I226" s="562"/>
      <c r="J226" s="604">
        <v>102.78</v>
      </c>
      <c r="K226" s="562" t="s">
        <v>313</v>
      </c>
      <c r="L226" s="604">
        <v>257.20999999999998</v>
      </c>
      <c r="M226" s="603"/>
      <c r="N226" s="602"/>
      <c r="V226" s="674"/>
      <c r="W226" s="675"/>
      <c r="Z226" s="537" t="s">
        <v>312</v>
      </c>
      <c r="AC226" s="675"/>
      <c r="AD226" s="675"/>
      <c r="AE226" s="675"/>
      <c r="AG226" s="675"/>
      <c r="AH226" s="680"/>
    </row>
    <row r="227" spans="1:34" s="536" customFormat="1" ht="12" x14ac:dyDescent="0.2">
      <c r="A227" s="605"/>
      <c r="B227" s="552" t="s">
        <v>186</v>
      </c>
      <c r="C227" s="1822" t="s">
        <v>344</v>
      </c>
      <c r="D227" s="1822"/>
      <c r="E227" s="1822"/>
      <c r="F227" s="562"/>
      <c r="G227" s="562"/>
      <c r="H227" s="562"/>
      <c r="I227" s="562"/>
      <c r="J227" s="604">
        <v>30.45</v>
      </c>
      <c r="K227" s="562" t="s">
        <v>313</v>
      </c>
      <c r="L227" s="604">
        <v>76.2</v>
      </c>
      <c r="M227" s="603"/>
      <c r="N227" s="602"/>
      <c r="V227" s="674"/>
      <c r="W227" s="675"/>
      <c r="Z227" s="537" t="s">
        <v>344</v>
      </c>
      <c r="AC227" s="675"/>
      <c r="AD227" s="675"/>
      <c r="AE227" s="675"/>
      <c r="AG227" s="675"/>
      <c r="AH227" s="680"/>
    </row>
    <row r="228" spans="1:34" s="536" customFormat="1" ht="12" x14ac:dyDescent="0.2">
      <c r="A228" s="605"/>
      <c r="B228" s="552" t="s">
        <v>187</v>
      </c>
      <c r="C228" s="1822" t="s">
        <v>345</v>
      </c>
      <c r="D228" s="1822"/>
      <c r="E228" s="1822"/>
      <c r="F228" s="562"/>
      <c r="G228" s="562"/>
      <c r="H228" s="562"/>
      <c r="I228" s="562"/>
      <c r="J228" s="604">
        <v>4.3499999999999996</v>
      </c>
      <c r="K228" s="562" t="s">
        <v>313</v>
      </c>
      <c r="L228" s="604">
        <v>10.89</v>
      </c>
      <c r="M228" s="603"/>
      <c r="N228" s="602"/>
      <c r="V228" s="674"/>
      <c r="W228" s="675"/>
      <c r="Z228" s="537" t="s">
        <v>345</v>
      </c>
      <c r="AC228" s="675"/>
      <c r="AD228" s="675"/>
      <c r="AE228" s="675"/>
      <c r="AG228" s="675"/>
      <c r="AH228" s="680"/>
    </row>
    <row r="229" spans="1:34" s="536" customFormat="1" ht="12" x14ac:dyDescent="0.2">
      <c r="A229" s="605"/>
      <c r="B229" s="552" t="s">
        <v>188</v>
      </c>
      <c r="C229" s="1822" t="s">
        <v>475</v>
      </c>
      <c r="D229" s="1822"/>
      <c r="E229" s="1822"/>
      <c r="F229" s="562"/>
      <c r="G229" s="562"/>
      <c r="H229" s="562"/>
      <c r="I229" s="562"/>
      <c r="J229" s="604">
        <v>285.60000000000002</v>
      </c>
      <c r="K229" s="562"/>
      <c r="L229" s="604">
        <v>571.77</v>
      </c>
      <c r="M229" s="603"/>
      <c r="N229" s="602"/>
      <c r="V229" s="674"/>
      <c r="W229" s="675"/>
      <c r="Z229" s="537" t="s">
        <v>475</v>
      </c>
      <c r="AC229" s="675"/>
      <c r="AD229" s="675"/>
      <c r="AE229" s="675"/>
      <c r="AG229" s="675"/>
      <c r="AH229" s="680"/>
    </row>
    <row r="230" spans="1:34" s="536" customFormat="1" ht="12" x14ac:dyDescent="0.2">
      <c r="A230" s="676"/>
      <c r="B230" s="677" t="s">
        <v>1272</v>
      </c>
      <c r="C230" s="1829" t="s">
        <v>1273</v>
      </c>
      <c r="D230" s="1829"/>
      <c r="E230" s="1829"/>
      <c r="F230" s="678" t="s">
        <v>694</v>
      </c>
      <c r="G230" s="678" t="s">
        <v>185</v>
      </c>
      <c r="H230" s="678"/>
      <c r="I230" s="678" t="s">
        <v>4104</v>
      </c>
      <c r="J230" s="552"/>
      <c r="K230" s="562"/>
      <c r="L230" s="604"/>
      <c r="M230" s="562"/>
      <c r="N230" s="679"/>
      <c r="V230" s="674"/>
      <c r="W230" s="675"/>
      <c r="AC230" s="675"/>
      <c r="AD230" s="675"/>
      <c r="AE230" s="675"/>
      <c r="AG230" s="675"/>
      <c r="AH230" s="680" t="s">
        <v>1273</v>
      </c>
    </row>
    <row r="231" spans="1:34" s="536" customFormat="1" ht="12" x14ac:dyDescent="0.2">
      <c r="A231" s="605"/>
      <c r="B231" s="552"/>
      <c r="C231" s="1822" t="s">
        <v>314</v>
      </c>
      <c r="D231" s="1822"/>
      <c r="E231" s="1822"/>
      <c r="F231" s="562" t="s">
        <v>315</v>
      </c>
      <c r="G231" s="562" t="s">
        <v>1274</v>
      </c>
      <c r="H231" s="562" t="s">
        <v>313</v>
      </c>
      <c r="I231" s="562" t="s">
        <v>4106</v>
      </c>
      <c r="J231" s="604"/>
      <c r="K231" s="562"/>
      <c r="L231" s="604"/>
      <c r="M231" s="603"/>
      <c r="N231" s="602"/>
      <c r="V231" s="674"/>
      <c r="W231" s="675"/>
      <c r="AA231" s="537" t="s">
        <v>314</v>
      </c>
      <c r="AC231" s="675"/>
      <c r="AD231" s="675"/>
      <c r="AE231" s="675"/>
      <c r="AG231" s="675"/>
      <c r="AH231" s="680"/>
    </row>
    <row r="232" spans="1:34" s="536" customFormat="1" ht="12" x14ac:dyDescent="0.2">
      <c r="A232" s="605"/>
      <c r="B232" s="552"/>
      <c r="C232" s="1822" t="s">
        <v>348</v>
      </c>
      <c r="D232" s="1822"/>
      <c r="E232" s="1822"/>
      <c r="F232" s="562" t="s">
        <v>315</v>
      </c>
      <c r="G232" s="562" t="s">
        <v>691</v>
      </c>
      <c r="H232" s="562" t="s">
        <v>313</v>
      </c>
      <c r="I232" s="562" t="s">
        <v>4107</v>
      </c>
      <c r="J232" s="604"/>
      <c r="K232" s="562"/>
      <c r="L232" s="604"/>
      <c r="M232" s="603"/>
      <c r="N232" s="602"/>
      <c r="V232" s="674"/>
      <c r="W232" s="675"/>
      <c r="AA232" s="537" t="s">
        <v>348</v>
      </c>
      <c r="AC232" s="675"/>
      <c r="AD232" s="675"/>
      <c r="AE232" s="675"/>
      <c r="AG232" s="675"/>
      <c r="AH232" s="680"/>
    </row>
    <row r="233" spans="1:34" s="536" customFormat="1" ht="12" x14ac:dyDescent="0.2">
      <c r="A233" s="605"/>
      <c r="B233" s="552"/>
      <c r="C233" s="1828" t="s">
        <v>318</v>
      </c>
      <c r="D233" s="1828"/>
      <c r="E233" s="1828"/>
      <c r="F233" s="608"/>
      <c r="G233" s="608"/>
      <c r="H233" s="608"/>
      <c r="I233" s="608"/>
      <c r="J233" s="607">
        <v>418.83</v>
      </c>
      <c r="K233" s="608"/>
      <c r="L233" s="607">
        <v>905.18</v>
      </c>
      <c r="M233" s="601"/>
      <c r="N233" s="606"/>
      <c r="V233" s="674"/>
      <c r="W233" s="675"/>
      <c r="AB233" s="537" t="s">
        <v>318</v>
      </c>
      <c r="AC233" s="675"/>
      <c r="AD233" s="675"/>
      <c r="AE233" s="675"/>
      <c r="AG233" s="675"/>
      <c r="AH233" s="680"/>
    </row>
    <row r="234" spans="1:34" s="536" customFormat="1" ht="12" x14ac:dyDescent="0.2">
      <c r="A234" s="605"/>
      <c r="B234" s="552"/>
      <c r="C234" s="1822" t="s">
        <v>319</v>
      </c>
      <c r="D234" s="1822"/>
      <c r="E234" s="1822"/>
      <c r="F234" s="562"/>
      <c r="G234" s="562"/>
      <c r="H234" s="562"/>
      <c r="I234" s="562"/>
      <c r="J234" s="604"/>
      <c r="K234" s="562"/>
      <c r="L234" s="604">
        <v>268.10000000000002</v>
      </c>
      <c r="M234" s="603"/>
      <c r="N234" s="602"/>
      <c r="V234" s="674"/>
      <c r="W234" s="675"/>
      <c r="AA234" s="537" t="s">
        <v>319</v>
      </c>
      <c r="AC234" s="675"/>
      <c r="AD234" s="675"/>
      <c r="AE234" s="675"/>
      <c r="AG234" s="675"/>
      <c r="AH234" s="680"/>
    </row>
    <row r="235" spans="1:34" s="536" customFormat="1" ht="33.75" x14ac:dyDescent="0.2">
      <c r="A235" s="605"/>
      <c r="B235" s="552" t="s">
        <v>686</v>
      </c>
      <c r="C235" s="1822" t="s">
        <v>687</v>
      </c>
      <c r="D235" s="1822"/>
      <c r="E235" s="1822"/>
      <c r="F235" s="562" t="s">
        <v>322</v>
      </c>
      <c r="G235" s="562" t="s">
        <v>680</v>
      </c>
      <c r="H235" s="562"/>
      <c r="I235" s="562" t="s">
        <v>680</v>
      </c>
      <c r="J235" s="604"/>
      <c r="K235" s="562"/>
      <c r="L235" s="604">
        <v>273.45999999999998</v>
      </c>
      <c r="M235" s="603"/>
      <c r="N235" s="602"/>
      <c r="V235" s="674"/>
      <c r="W235" s="675"/>
      <c r="AA235" s="537" t="s">
        <v>687</v>
      </c>
      <c r="AC235" s="675"/>
      <c r="AD235" s="675"/>
      <c r="AE235" s="675"/>
      <c r="AG235" s="675"/>
      <c r="AH235" s="680"/>
    </row>
    <row r="236" spans="1:34" s="536" customFormat="1" ht="33.75" x14ac:dyDescent="0.2">
      <c r="A236" s="605"/>
      <c r="B236" s="552" t="s">
        <v>688</v>
      </c>
      <c r="C236" s="1822" t="s">
        <v>689</v>
      </c>
      <c r="D236" s="1822"/>
      <c r="E236" s="1822"/>
      <c r="F236" s="562" t="s">
        <v>322</v>
      </c>
      <c r="G236" s="562" t="s">
        <v>690</v>
      </c>
      <c r="H236" s="562"/>
      <c r="I236" s="562" t="s">
        <v>690</v>
      </c>
      <c r="J236" s="604"/>
      <c r="K236" s="562"/>
      <c r="L236" s="604">
        <v>155.5</v>
      </c>
      <c r="M236" s="603"/>
      <c r="N236" s="602"/>
      <c r="V236" s="674"/>
      <c r="W236" s="675"/>
      <c r="AA236" s="537" t="s">
        <v>689</v>
      </c>
      <c r="AC236" s="675"/>
      <c r="AD236" s="675"/>
      <c r="AE236" s="675"/>
      <c r="AG236" s="675"/>
      <c r="AH236" s="680"/>
    </row>
    <row r="237" spans="1:34" s="536" customFormat="1" ht="12" x14ac:dyDescent="0.2">
      <c r="A237" s="569"/>
      <c r="B237" s="671"/>
      <c r="C237" s="1823" t="s">
        <v>327</v>
      </c>
      <c r="D237" s="1823"/>
      <c r="E237" s="1823"/>
      <c r="F237" s="573"/>
      <c r="G237" s="573"/>
      <c r="H237" s="573"/>
      <c r="I237" s="573"/>
      <c r="J237" s="572"/>
      <c r="K237" s="573"/>
      <c r="L237" s="572">
        <v>1334.14</v>
      </c>
      <c r="M237" s="601"/>
      <c r="N237" s="570"/>
      <c r="V237" s="674"/>
      <c r="W237" s="675"/>
      <c r="AC237" s="675" t="s">
        <v>327</v>
      </c>
      <c r="AD237" s="675"/>
      <c r="AE237" s="675"/>
      <c r="AG237" s="675"/>
      <c r="AH237" s="680"/>
    </row>
    <row r="238" spans="1:34" s="536" customFormat="1" ht="22.5" x14ac:dyDescent="0.2">
      <c r="A238" s="575" t="s">
        <v>436</v>
      </c>
      <c r="B238" s="670" t="s">
        <v>4108</v>
      </c>
      <c r="C238" s="1823" t="s">
        <v>4109</v>
      </c>
      <c r="D238" s="1823"/>
      <c r="E238" s="1823"/>
      <c r="F238" s="573" t="s">
        <v>694</v>
      </c>
      <c r="G238" s="573"/>
      <c r="H238" s="573"/>
      <c r="I238" s="573" t="s">
        <v>4104</v>
      </c>
      <c r="J238" s="572">
        <v>6726.18</v>
      </c>
      <c r="K238" s="573"/>
      <c r="L238" s="572">
        <v>13465.81</v>
      </c>
      <c r="M238" s="571"/>
      <c r="N238" s="570"/>
      <c r="V238" s="674"/>
      <c r="W238" s="675" t="s">
        <v>4109</v>
      </c>
      <c r="AC238" s="675"/>
      <c r="AD238" s="675"/>
      <c r="AE238" s="675"/>
      <c r="AG238" s="675"/>
      <c r="AH238" s="680"/>
    </row>
    <row r="239" spans="1:34" s="536" customFormat="1" ht="12" x14ac:dyDescent="0.2">
      <c r="A239" s="569"/>
      <c r="B239" s="671"/>
      <c r="C239" s="665" t="s">
        <v>717</v>
      </c>
      <c r="D239" s="666"/>
      <c r="E239" s="666"/>
      <c r="F239" s="563"/>
      <c r="G239" s="563"/>
      <c r="H239" s="563"/>
      <c r="I239" s="563"/>
      <c r="J239" s="566"/>
      <c r="K239" s="563"/>
      <c r="L239" s="566"/>
      <c r="M239" s="565"/>
      <c r="N239" s="564"/>
      <c r="V239" s="674"/>
      <c r="W239" s="675"/>
      <c r="AC239" s="675"/>
      <c r="AD239" s="675"/>
      <c r="AE239" s="675"/>
      <c r="AG239" s="675"/>
      <c r="AH239" s="680"/>
    </row>
    <row r="240" spans="1:34" s="536" customFormat="1" ht="12" x14ac:dyDescent="0.2">
      <c r="A240" s="575" t="s">
        <v>733</v>
      </c>
      <c r="B240" s="670" t="s">
        <v>4110</v>
      </c>
      <c r="C240" s="1823" t="s">
        <v>4111</v>
      </c>
      <c r="D240" s="1823"/>
      <c r="E240" s="1823"/>
      <c r="F240" s="573" t="s">
        <v>1034</v>
      </c>
      <c r="G240" s="573"/>
      <c r="H240" s="573"/>
      <c r="I240" s="573" t="s">
        <v>8835</v>
      </c>
      <c r="J240" s="572"/>
      <c r="K240" s="573"/>
      <c r="L240" s="572"/>
      <c r="M240" s="571"/>
      <c r="N240" s="570"/>
      <c r="V240" s="674"/>
      <c r="W240" s="675" t="s">
        <v>4111</v>
      </c>
      <c r="AC240" s="675"/>
      <c r="AD240" s="675"/>
      <c r="AE240" s="675"/>
      <c r="AG240" s="675"/>
      <c r="AH240" s="680"/>
    </row>
    <row r="241" spans="1:34" s="536" customFormat="1" ht="12" x14ac:dyDescent="0.2">
      <c r="A241" s="676"/>
      <c r="B241" s="664"/>
      <c r="C241" s="1822" t="s">
        <v>8836</v>
      </c>
      <c r="D241" s="1822"/>
      <c r="E241" s="1822"/>
      <c r="F241" s="1822"/>
      <c r="G241" s="1822"/>
      <c r="H241" s="1822"/>
      <c r="I241" s="1822"/>
      <c r="J241" s="1822"/>
      <c r="K241" s="1822"/>
      <c r="L241" s="1822"/>
      <c r="M241" s="1822"/>
      <c r="N241" s="1827"/>
      <c r="V241" s="674"/>
      <c r="W241" s="675"/>
      <c r="X241" s="537" t="s">
        <v>8836</v>
      </c>
      <c r="AC241" s="675"/>
      <c r="AD241" s="675"/>
      <c r="AE241" s="675"/>
      <c r="AG241" s="675"/>
      <c r="AH241" s="680"/>
    </row>
    <row r="242" spans="1:34" s="536" customFormat="1" ht="33.75" x14ac:dyDescent="0.2">
      <c r="A242" s="609"/>
      <c r="B242" s="552" t="s">
        <v>310</v>
      </c>
      <c r="C242" s="1822" t="s">
        <v>311</v>
      </c>
      <c r="D242" s="1822"/>
      <c r="E242" s="1822"/>
      <c r="F242" s="1822"/>
      <c r="G242" s="1822"/>
      <c r="H242" s="1822"/>
      <c r="I242" s="1822"/>
      <c r="J242" s="1822"/>
      <c r="K242" s="1822"/>
      <c r="L242" s="1822"/>
      <c r="M242" s="1822"/>
      <c r="N242" s="1827"/>
      <c r="V242" s="674"/>
      <c r="W242" s="675"/>
      <c r="Y242" s="537" t="s">
        <v>311</v>
      </c>
      <c r="AC242" s="675"/>
      <c r="AD242" s="675"/>
      <c r="AE242" s="675"/>
      <c r="AG242" s="675"/>
      <c r="AH242" s="680"/>
    </row>
    <row r="243" spans="1:34" s="536" customFormat="1" ht="12" x14ac:dyDescent="0.2">
      <c r="A243" s="605"/>
      <c r="B243" s="552" t="s">
        <v>185</v>
      </c>
      <c r="C243" s="1822" t="s">
        <v>312</v>
      </c>
      <c r="D243" s="1822"/>
      <c r="E243" s="1822"/>
      <c r="F243" s="562"/>
      <c r="G243" s="562"/>
      <c r="H243" s="562"/>
      <c r="I243" s="562"/>
      <c r="J243" s="604">
        <v>34.61</v>
      </c>
      <c r="K243" s="562" t="s">
        <v>313</v>
      </c>
      <c r="L243" s="604">
        <v>13.12</v>
      </c>
      <c r="M243" s="603"/>
      <c r="N243" s="602"/>
      <c r="V243" s="674"/>
      <c r="W243" s="675"/>
      <c r="Z243" s="537" t="s">
        <v>312</v>
      </c>
      <c r="AC243" s="675"/>
      <c r="AD243" s="675"/>
      <c r="AE243" s="675"/>
      <c r="AG243" s="675"/>
      <c r="AH243" s="680"/>
    </row>
    <row r="244" spans="1:34" s="536" customFormat="1" ht="12" x14ac:dyDescent="0.2">
      <c r="A244" s="605"/>
      <c r="B244" s="552" t="s">
        <v>186</v>
      </c>
      <c r="C244" s="1822" t="s">
        <v>344</v>
      </c>
      <c r="D244" s="1822"/>
      <c r="E244" s="1822"/>
      <c r="F244" s="562"/>
      <c r="G244" s="562"/>
      <c r="H244" s="562"/>
      <c r="I244" s="562"/>
      <c r="J244" s="604">
        <v>16.32</v>
      </c>
      <c r="K244" s="562" t="s">
        <v>313</v>
      </c>
      <c r="L244" s="604">
        <v>6.19</v>
      </c>
      <c r="M244" s="603"/>
      <c r="N244" s="602"/>
      <c r="V244" s="674"/>
      <c r="W244" s="675"/>
      <c r="Z244" s="537" t="s">
        <v>344</v>
      </c>
      <c r="AC244" s="675"/>
      <c r="AD244" s="675"/>
      <c r="AE244" s="675"/>
      <c r="AG244" s="675"/>
      <c r="AH244" s="680"/>
    </row>
    <row r="245" spans="1:34" s="536" customFormat="1" ht="12" x14ac:dyDescent="0.2">
      <c r="A245" s="605"/>
      <c r="B245" s="552" t="s">
        <v>187</v>
      </c>
      <c r="C245" s="1822" t="s">
        <v>345</v>
      </c>
      <c r="D245" s="1822"/>
      <c r="E245" s="1822"/>
      <c r="F245" s="562"/>
      <c r="G245" s="562"/>
      <c r="H245" s="562"/>
      <c r="I245" s="562"/>
      <c r="J245" s="604">
        <v>1.62</v>
      </c>
      <c r="K245" s="562" t="s">
        <v>313</v>
      </c>
      <c r="L245" s="604">
        <v>0.61</v>
      </c>
      <c r="M245" s="603"/>
      <c r="N245" s="602"/>
      <c r="V245" s="674"/>
      <c r="W245" s="675"/>
      <c r="Z245" s="537" t="s">
        <v>345</v>
      </c>
      <c r="AC245" s="675"/>
      <c r="AD245" s="675"/>
      <c r="AE245" s="675"/>
      <c r="AG245" s="675"/>
      <c r="AH245" s="680"/>
    </row>
    <row r="246" spans="1:34" s="536" customFormat="1" ht="12" x14ac:dyDescent="0.2">
      <c r="A246" s="605"/>
      <c r="B246" s="552" t="s">
        <v>188</v>
      </c>
      <c r="C246" s="1822" t="s">
        <v>475</v>
      </c>
      <c r="D246" s="1822"/>
      <c r="E246" s="1822"/>
      <c r="F246" s="562"/>
      <c r="G246" s="562"/>
      <c r="H246" s="562"/>
      <c r="I246" s="562"/>
      <c r="J246" s="604">
        <v>271.86</v>
      </c>
      <c r="K246" s="562"/>
      <c r="L246" s="604">
        <v>1.03</v>
      </c>
      <c r="M246" s="603"/>
      <c r="N246" s="602"/>
      <c r="V246" s="674"/>
      <c r="W246" s="675"/>
      <c r="Z246" s="537" t="s">
        <v>475</v>
      </c>
      <c r="AC246" s="675"/>
      <c r="AD246" s="675"/>
      <c r="AE246" s="675"/>
      <c r="AG246" s="675"/>
      <c r="AH246" s="680"/>
    </row>
    <row r="247" spans="1:34" s="536" customFormat="1" ht="12" x14ac:dyDescent="0.2">
      <c r="A247" s="605"/>
      <c r="B247" s="552"/>
      <c r="C247" s="1822" t="s">
        <v>314</v>
      </c>
      <c r="D247" s="1822"/>
      <c r="E247" s="1822"/>
      <c r="F247" s="562" t="s">
        <v>315</v>
      </c>
      <c r="G247" s="562" t="s">
        <v>847</v>
      </c>
      <c r="H247" s="562" t="s">
        <v>313</v>
      </c>
      <c r="I247" s="562" t="s">
        <v>8837</v>
      </c>
      <c r="J247" s="604"/>
      <c r="K247" s="562"/>
      <c r="L247" s="604"/>
      <c r="M247" s="603"/>
      <c r="N247" s="602"/>
      <c r="V247" s="674"/>
      <c r="W247" s="675"/>
      <c r="AA247" s="537" t="s">
        <v>314</v>
      </c>
      <c r="AC247" s="675"/>
      <c r="AD247" s="675"/>
      <c r="AE247" s="675"/>
      <c r="AG247" s="675"/>
      <c r="AH247" s="680"/>
    </row>
    <row r="248" spans="1:34" s="536" customFormat="1" ht="12" x14ac:dyDescent="0.2">
      <c r="A248" s="605"/>
      <c r="B248" s="552"/>
      <c r="C248" s="1822" t="s">
        <v>348</v>
      </c>
      <c r="D248" s="1822"/>
      <c r="E248" s="1822"/>
      <c r="F248" s="562" t="s">
        <v>315</v>
      </c>
      <c r="G248" s="562" t="s">
        <v>1552</v>
      </c>
      <c r="H248" s="562" t="s">
        <v>313</v>
      </c>
      <c r="I248" s="562" t="s">
        <v>8838</v>
      </c>
      <c r="J248" s="604"/>
      <c r="K248" s="562"/>
      <c r="L248" s="604"/>
      <c r="M248" s="603"/>
      <c r="N248" s="602"/>
      <c r="V248" s="674"/>
      <c r="W248" s="675"/>
      <c r="AA248" s="537" t="s">
        <v>348</v>
      </c>
      <c r="AC248" s="675"/>
      <c r="AD248" s="675"/>
      <c r="AE248" s="675"/>
      <c r="AG248" s="675"/>
      <c r="AH248" s="680"/>
    </row>
    <row r="249" spans="1:34" s="536" customFormat="1" ht="12" x14ac:dyDescent="0.2">
      <c r="A249" s="605"/>
      <c r="B249" s="552"/>
      <c r="C249" s="1828" t="s">
        <v>318</v>
      </c>
      <c r="D249" s="1828"/>
      <c r="E249" s="1828"/>
      <c r="F249" s="608"/>
      <c r="G249" s="608"/>
      <c r="H249" s="608"/>
      <c r="I249" s="608"/>
      <c r="J249" s="607">
        <v>54.31</v>
      </c>
      <c r="K249" s="608"/>
      <c r="L249" s="607">
        <v>20.34</v>
      </c>
      <c r="M249" s="601"/>
      <c r="N249" s="606"/>
      <c r="V249" s="674"/>
      <c r="W249" s="675"/>
      <c r="AB249" s="537" t="s">
        <v>318</v>
      </c>
      <c r="AC249" s="675"/>
      <c r="AD249" s="675"/>
      <c r="AE249" s="675"/>
      <c r="AG249" s="675"/>
      <c r="AH249" s="680"/>
    </row>
    <row r="250" spans="1:34" s="536" customFormat="1" ht="12" x14ac:dyDescent="0.2">
      <c r="A250" s="605"/>
      <c r="B250" s="552"/>
      <c r="C250" s="1822" t="s">
        <v>319</v>
      </c>
      <c r="D250" s="1822"/>
      <c r="E250" s="1822"/>
      <c r="F250" s="562"/>
      <c r="G250" s="562"/>
      <c r="H250" s="562"/>
      <c r="I250" s="562"/>
      <c r="J250" s="604"/>
      <c r="K250" s="562"/>
      <c r="L250" s="604">
        <v>13.73</v>
      </c>
      <c r="M250" s="603"/>
      <c r="N250" s="602"/>
      <c r="V250" s="674"/>
      <c r="W250" s="675"/>
      <c r="AA250" s="537" t="s">
        <v>319</v>
      </c>
      <c r="AC250" s="675"/>
      <c r="AD250" s="675"/>
      <c r="AE250" s="675"/>
      <c r="AG250" s="675"/>
      <c r="AH250" s="680"/>
    </row>
    <row r="251" spans="1:34" s="536" customFormat="1" ht="33.75" x14ac:dyDescent="0.2">
      <c r="A251" s="605"/>
      <c r="B251" s="552" t="s">
        <v>554</v>
      </c>
      <c r="C251" s="1822" t="s">
        <v>555</v>
      </c>
      <c r="D251" s="1822"/>
      <c r="E251" s="1822"/>
      <c r="F251" s="562" t="s">
        <v>322</v>
      </c>
      <c r="G251" s="562" t="s">
        <v>556</v>
      </c>
      <c r="H251" s="562"/>
      <c r="I251" s="562" t="s">
        <v>556</v>
      </c>
      <c r="J251" s="604"/>
      <c r="K251" s="562"/>
      <c r="L251" s="604">
        <v>17.3</v>
      </c>
      <c r="M251" s="603"/>
      <c r="N251" s="602"/>
      <c r="V251" s="674"/>
      <c r="W251" s="675"/>
      <c r="AA251" s="537" t="s">
        <v>555</v>
      </c>
      <c r="AC251" s="675"/>
      <c r="AD251" s="675"/>
      <c r="AE251" s="675"/>
      <c r="AG251" s="675"/>
      <c r="AH251" s="680"/>
    </row>
    <row r="252" spans="1:34" s="536" customFormat="1" ht="33.75" x14ac:dyDescent="0.2">
      <c r="A252" s="605"/>
      <c r="B252" s="552" t="s">
        <v>557</v>
      </c>
      <c r="C252" s="1822" t="s">
        <v>558</v>
      </c>
      <c r="D252" s="1822"/>
      <c r="E252" s="1822"/>
      <c r="F252" s="562" t="s">
        <v>322</v>
      </c>
      <c r="G252" s="562" t="s">
        <v>559</v>
      </c>
      <c r="H252" s="562"/>
      <c r="I252" s="562" t="s">
        <v>559</v>
      </c>
      <c r="J252" s="604"/>
      <c r="K252" s="562"/>
      <c r="L252" s="604">
        <v>13.04</v>
      </c>
      <c r="M252" s="603"/>
      <c r="N252" s="602"/>
      <c r="V252" s="674"/>
      <c r="W252" s="675"/>
      <c r="AA252" s="537" t="s">
        <v>558</v>
      </c>
      <c r="AC252" s="675"/>
      <c r="AD252" s="675"/>
      <c r="AE252" s="675"/>
      <c r="AG252" s="675"/>
      <c r="AH252" s="680"/>
    </row>
    <row r="253" spans="1:34" s="536" customFormat="1" ht="12" x14ac:dyDescent="0.2">
      <c r="A253" s="569"/>
      <c r="B253" s="671"/>
      <c r="C253" s="1823" t="s">
        <v>327</v>
      </c>
      <c r="D253" s="1823"/>
      <c r="E253" s="1823"/>
      <c r="F253" s="573"/>
      <c r="G253" s="573"/>
      <c r="H253" s="573"/>
      <c r="I253" s="573"/>
      <c r="J253" s="572"/>
      <c r="K253" s="573"/>
      <c r="L253" s="572">
        <v>50.68</v>
      </c>
      <c r="M253" s="601"/>
      <c r="N253" s="570"/>
      <c r="V253" s="674"/>
      <c r="W253" s="675"/>
      <c r="AC253" s="675" t="s">
        <v>327</v>
      </c>
      <c r="AD253" s="675"/>
      <c r="AE253" s="675"/>
      <c r="AG253" s="675"/>
      <c r="AH253" s="680"/>
    </row>
    <row r="254" spans="1:34" s="536" customFormat="1" ht="33.75" x14ac:dyDescent="0.2">
      <c r="A254" s="575" t="s">
        <v>736</v>
      </c>
      <c r="B254" s="670" t="s">
        <v>8839</v>
      </c>
      <c r="C254" s="1823" t="s">
        <v>8840</v>
      </c>
      <c r="D254" s="1823"/>
      <c r="E254" s="1823"/>
      <c r="F254" s="573" t="s">
        <v>641</v>
      </c>
      <c r="G254" s="573"/>
      <c r="H254" s="573"/>
      <c r="I254" s="573" t="s">
        <v>4086</v>
      </c>
      <c r="J254" s="572">
        <v>1611.84</v>
      </c>
      <c r="K254" s="573"/>
      <c r="L254" s="572">
        <v>14667.74</v>
      </c>
      <c r="M254" s="571"/>
      <c r="N254" s="570"/>
      <c r="V254" s="674"/>
      <c r="W254" s="675" t="s">
        <v>8840</v>
      </c>
      <c r="AC254" s="675"/>
      <c r="AD254" s="675"/>
      <c r="AE254" s="675"/>
      <c r="AG254" s="675"/>
      <c r="AH254" s="680"/>
    </row>
    <row r="255" spans="1:34" s="536" customFormat="1" ht="12" x14ac:dyDescent="0.2">
      <c r="A255" s="569"/>
      <c r="B255" s="671"/>
      <c r="C255" s="665" t="s">
        <v>717</v>
      </c>
      <c r="D255" s="666"/>
      <c r="E255" s="666"/>
      <c r="F255" s="563"/>
      <c r="G255" s="563"/>
      <c r="H255" s="563"/>
      <c r="I255" s="563"/>
      <c r="J255" s="566"/>
      <c r="K255" s="563"/>
      <c r="L255" s="566"/>
      <c r="M255" s="565"/>
      <c r="N255" s="564"/>
      <c r="V255" s="674"/>
      <c r="W255" s="675"/>
      <c r="AC255" s="675"/>
      <c r="AD255" s="675"/>
      <c r="AE255" s="675"/>
      <c r="AG255" s="675"/>
      <c r="AH255" s="680"/>
    </row>
    <row r="256" spans="1:34" s="536" customFormat="1" ht="12" x14ac:dyDescent="0.2">
      <c r="A256" s="1830" t="s">
        <v>4112</v>
      </c>
      <c r="B256" s="1831"/>
      <c r="C256" s="1831"/>
      <c r="D256" s="1831"/>
      <c r="E256" s="1831"/>
      <c r="F256" s="1831"/>
      <c r="G256" s="1831"/>
      <c r="H256" s="1831"/>
      <c r="I256" s="1831"/>
      <c r="J256" s="1831"/>
      <c r="K256" s="1831"/>
      <c r="L256" s="1831"/>
      <c r="M256" s="1831"/>
      <c r="N256" s="1832"/>
      <c r="V256" s="674"/>
      <c r="W256" s="675"/>
      <c r="AC256" s="675"/>
      <c r="AD256" s="675" t="s">
        <v>4112</v>
      </c>
      <c r="AE256" s="675"/>
      <c r="AG256" s="675"/>
      <c r="AH256" s="680"/>
    </row>
    <row r="257" spans="1:34" s="536" customFormat="1" ht="12" x14ac:dyDescent="0.2">
      <c r="A257" s="575" t="s">
        <v>1067</v>
      </c>
      <c r="B257" s="670" t="s">
        <v>1368</v>
      </c>
      <c r="C257" s="1823" t="s">
        <v>1369</v>
      </c>
      <c r="D257" s="1823"/>
      <c r="E257" s="1823"/>
      <c r="F257" s="573" t="s">
        <v>509</v>
      </c>
      <c r="G257" s="573"/>
      <c r="H257" s="573"/>
      <c r="I257" s="573" t="s">
        <v>4113</v>
      </c>
      <c r="J257" s="572"/>
      <c r="K257" s="573"/>
      <c r="L257" s="572"/>
      <c r="M257" s="571"/>
      <c r="N257" s="570"/>
      <c r="V257" s="674"/>
      <c r="W257" s="675" t="s">
        <v>1369</v>
      </c>
      <c r="AC257" s="675"/>
      <c r="AD257" s="675"/>
      <c r="AE257" s="675"/>
      <c r="AG257" s="675"/>
      <c r="AH257" s="680"/>
    </row>
    <row r="258" spans="1:34" s="536" customFormat="1" ht="12" x14ac:dyDescent="0.2">
      <c r="A258" s="676"/>
      <c r="B258" s="664"/>
      <c r="C258" s="1822" t="s">
        <v>4114</v>
      </c>
      <c r="D258" s="1822"/>
      <c r="E258" s="1822"/>
      <c r="F258" s="1822"/>
      <c r="G258" s="1822"/>
      <c r="H258" s="1822"/>
      <c r="I258" s="1822"/>
      <c r="J258" s="1822"/>
      <c r="K258" s="1822"/>
      <c r="L258" s="1822"/>
      <c r="M258" s="1822"/>
      <c r="N258" s="1827"/>
      <c r="V258" s="674"/>
      <c r="W258" s="675"/>
      <c r="X258" s="537" t="s">
        <v>4114</v>
      </c>
      <c r="AC258" s="675"/>
      <c r="AD258" s="675"/>
      <c r="AE258" s="675"/>
      <c r="AG258" s="675"/>
      <c r="AH258" s="680"/>
    </row>
    <row r="259" spans="1:34" s="536" customFormat="1" ht="33.75" x14ac:dyDescent="0.2">
      <c r="A259" s="609"/>
      <c r="B259" s="552" t="s">
        <v>310</v>
      </c>
      <c r="C259" s="1822" t="s">
        <v>311</v>
      </c>
      <c r="D259" s="1822"/>
      <c r="E259" s="1822"/>
      <c r="F259" s="1822"/>
      <c r="G259" s="1822"/>
      <c r="H259" s="1822"/>
      <c r="I259" s="1822"/>
      <c r="J259" s="1822"/>
      <c r="K259" s="1822"/>
      <c r="L259" s="1822"/>
      <c r="M259" s="1822"/>
      <c r="N259" s="1827"/>
      <c r="V259" s="674"/>
      <c r="W259" s="675"/>
      <c r="Y259" s="537" t="s">
        <v>311</v>
      </c>
      <c r="AC259" s="675"/>
      <c r="AD259" s="675"/>
      <c r="AE259" s="675"/>
      <c r="AG259" s="675"/>
      <c r="AH259" s="680"/>
    </row>
    <row r="260" spans="1:34" s="536" customFormat="1" ht="12" x14ac:dyDescent="0.2">
      <c r="A260" s="605"/>
      <c r="B260" s="552" t="s">
        <v>185</v>
      </c>
      <c r="C260" s="1822" t="s">
        <v>312</v>
      </c>
      <c r="D260" s="1822"/>
      <c r="E260" s="1822"/>
      <c r="F260" s="562"/>
      <c r="G260" s="562"/>
      <c r="H260" s="562"/>
      <c r="I260" s="562"/>
      <c r="J260" s="604">
        <v>1053</v>
      </c>
      <c r="K260" s="562" t="s">
        <v>313</v>
      </c>
      <c r="L260" s="604">
        <v>33.96</v>
      </c>
      <c r="M260" s="603"/>
      <c r="N260" s="602"/>
      <c r="V260" s="674"/>
      <c r="W260" s="675"/>
      <c r="Z260" s="537" t="s">
        <v>312</v>
      </c>
      <c r="AC260" s="675"/>
      <c r="AD260" s="675"/>
      <c r="AE260" s="675"/>
      <c r="AG260" s="675"/>
      <c r="AH260" s="680"/>
    </row>
    <row r="261" spans="1:34" s="536" customFormat="1" ht="12" x14ac:dyDescent="0.2">
      <c r="A261" s="605"/>
      <c r="B261" s="552" t="s">
        <v>186</v>
      </c>
      <c r="C261" s="1822" t="s">
        <v>344</v>
      </c>
      <c r="D261" s="1822"/>
      <c r="E261" s="1822"/>
      <c r="F261" s="562"/>
      <c r="G261" s="562"/>
      <c r="H261" s="562"/>
      <c r="I261" s="562"/>
      <c r="J261" s="604">
        <v>1566.06</v>
      </c>
      <c r="K261" s="562" t="s">
        <v>313</v>
      </c>
      <c r="L261" s="604">
        <v>50.51</v>
      </c>
      <c r="M261" s="603"/>
      <c r="N261" s="602"/>
      <c r="V261" s="674"/>
      <c r="W261" s="675"/>
      <c r="Z261" s="537" t="s">
        <v>344</v>
      </c>
      <c r="AC261" s="675"/>
      <c r="AD261" s="675"/>
      <c r="AE261" s="675"/>
      <c r="AG261" s="675"/>
      <c r="AH261" s="680"/>
    </row>
    <row r="262" spans="1:34" s="536" customFormat="1" ht="12" x14ac:dyDescent="0.2">
      <c r="A262" s="605"/>
      <c r="B262" s="552" t="s">
        <v>187</v>
      </c>
      <c r="C262" s="1822" t="s">
        <v>345</v>
      </c>
      <c r="D262" s="1822"/>
      <c r="E262" s="1822"/>
      <c r="F262" s="562"/>
      <c r="G262" s="562"/>
      <c r="H262" s="562"/>
      <c r="I262" s="562"/>
      <c r="J262" s="604">
        <v>244.39</v>
      </c>
      <c r="K262" s="562" t="s">
        <v>313</v>
      </c>
      <c r="L262" s="604">
        <v>7.88</v>
      </c>
      <c r="M262" s="603"/>
      <c r="N262" s="602"/>
      <c r="V262" s="674"/>
      <c r="W262" s="675"/>
      <c r="Z262" s="537" t="s">
        <v>345</v>
      </c>
      <c r="AC262" s="675"/>
      <c r="AD262" s="675"/>
      <c r="AE262" s="675"/>
      <c r="AG262" s="675"/>
      <c r="AH262" s="680"/>
    </row>
    <row r="263" spans="1:34" s="536" customFormat="1" ht="12" x14ac:dyDescent="0.2">
      <c r="A263" s="605"/>
      <c r="B263" s="552" t="s">
        <v>188</v>
      </c>
      <c r="C263" s="1822" t="s">
        <v>475</v>
      </c>
      <c r="D263" s="1822"/>
      <c r="E263" s="1822"/>
      <c r="F263" s="562"/>
      <c r="G263" s="562"/>
      <c r="H263" s="562"/>
      <c r="I263" s="562"/>
      <c r="J263" s="604">
        <v>909.27</v>
      </c>
      <c r="K263" s="562"/>
      <c r="L263" s="604">
        <v>23.46</v>
      </c>
      <c r="M263" s="603"/>
      <c r="N263" s="602"/>
      <c r="V263" s="674"/>
      <c r="W263" s="675"/>
      <c r="Z263" s="537" t="s">
        <v>475</v>
      </c>
      <c r="AC263" s="675"/>
      <c r="AD263" s="675"/>
      <c r="AE263" s="675"/>
      <c r="AG263" s="675"/>
      <c r="AH263" s="680"/>
    </row>
    <row r="264" spans="1:34" s="536" customFormat="1" ht="12" x14ac:dyDescent="0.2">
      <c r="A264" s="676"/>
      <c r="B264" s="677" t="s">
        <v>639</v>
      </c>
      <c r="C264" s="1829" t="s">
        <v>640</v>
      </c>
      <c r="D264" s="1829"/>
      <c r="E264" s="1829"/>
      <c r="F264" s="678" t="s">
        <v>641</v>
      </c>
      <c r="G264" s="678" t="s">
        <v>680</v>
      </c>
      <c r="H264" s="678"/>
      <c r="I264" s="678" t="s">
        <v>4115</v>
      </c>
      <c r="J264" s="552"/>
      <c r="K264" s="562"/>
      <c r="L264" s="604"/>
      <c r="M264" s="562"/>
      <c r="N264" s="679"/>
      <c r="V264" s="674"/>
      <c r="W264" s="675"/>
      <c r="AC264" s="675"/>
      <c r="AD264" s="675"/>
      <c r="AE264" s="675"/>
      <c r="AG264" s="675"/>
      <c r="AH264" s="680" t="s">
        <v>640</v>
      </c>
    </row>
    <row r="265" spans="1:34" s="536" customFormat="1" ht="12" x14ac:dyDescent="0.2">
      <c r="A265" s="605"/>
      <c r="B265" s="552"/>
      <c r="C265" s="1822" t="s">
        <v>314</v>
      </c>
      <c r="D265" s="1822"/>
      <c r="E265" s="1822"/>
      <c r="F265" s="562" t="s">
        <v>315</v>
      </c>
      <c r="G265" s="562" t="s">
        <v>1373</v>
      </c>
      <c r="H265" s="562" t="s">
        <v>313</v>
      </c>
      <c r="I265" s="562" t="s">
        <v>4116</v>
      </c>
      <c r="J265" s="604"/>
      <c r="K265" s="562"/>
      <c r="L265" s="604"/>
      <c r="M265" s="603"/>
      <c r="N265" s="602"/>
      <c r="V265" s="674"/>
      <c r="W265" s="675"/>
      <c r="AA265" s="537" t="s">
        <v>314</v>
      </c>
      <c r="AC265" s="675"/>
      <c r="AD265" s="675"/>
      <c r="AE265" s="675"/>
      <c r="AG265" s="675"/>
      <c r="AH265" s="680"/>
    </row>
    <row r="266" spans="1:34" s="536" customFormat="1" ht="12" x14ac:dyDescent="0.2">
      <c r="A266" s="605"/>
      <c r="B266" s="552"/>
      <c r="C266" s="1822" t="s">
        <v>348</v>
      </c>
      <c r="D266" s="1822"/>
      <c r="E266" s="1822"/>
      <c r="F266" s="562" t="s">
        <v>315</v>
      </c>
      <c r="G266" s="562" t="s">
        <v>1375</v>
      </c>
      <c r="H266" s="562" t="s">
        <v>313</v>
      </c>
      <c r="I266" s="562" t="s">
        <v>4117</v>
      </c>
      <c r="J266" s="604"/>
      <c r="K266" s="562"/>
      <c r="L266" s="604"/>
      <c r="M266" s="603"/>
      <c r="N266" s="602"/>
      <c r="V266" s="674"/>
      <c r="W266" s="675"/>
      <c r="AA266" s="537" t="s">
        <v>348</v>
      </c>
      <c r="AC266" s="675"/>
      <c r="AD266" s="675"/>
      <c r="AE266" s="675"/>
      <c r="AG266" s="675"/>
      <c r="AH266" s="680"/>
    </row>
    <row r="267" spans="1:34" s="536" customFormat="1" ht="12" x14ac:dyDescent="0.2">
      <c r="A267" s="605"/>
      <c r="B267" s="552"/>
      <c r="C267" s="1828" t="s">
        <v>318</v>
      </c>
      <c r="D267" s="1828"/>
      <c r="E267" s="1828"/>
      <c r="F267" s="608"/>
      <c r="G267" s="608"/>
      <c r="H267" s="608"/>
      <c r="I267" s="608"/>
      <c r="J267" s="607">
        <v>3528.33</v>
      </c>
      <c r="K267" s="608"/>
      <c r="L267" s="607">
        <v>107.93</v>
      </c>
      <c r="M267" s="601"/>
      <c r="N267" s="606"/>
      <c r="V267" s="674"/>
      <c r="W267" s="675"/>
      <c r="AB267" s="537" t="s">
        <v>318</v>
      </c>
      <c r="AC267" s="675"/>
      <c r="AD267" s="675"/>
      <c r="AE267" s="675"/>
      <c r="AG267" s="675"/>
      <c r="AH267" s="680"/>
    </row>
    <row r="268" spans="1:34" s="536" customFormat="1" ht="12" x14ac:dyDescent="0.2">
      <c r="A268" s="605"/>
      <c r="B268" s="552"/>
      <c r="C268" s="1822" t="s">
        <v>319</v>
      </c>
      <c r="D268" s="1822"/>
      <c r="E268" s="1822"/>
      <c r="F268" s="562"/>
      <c r="G268" s="562"/>
      <c r="H268" s="562"/>
      <c r="I268" s="562"/>
      <c r="J268" s="604"/>
      <c r="K268" s="562"/>
      <c r="L268" s="604">
        <v>41.84</v>
      </c>
      <c r="M268" s="603"/>
      <c r="N268" s="602"/>
      <c r="V268" s="674"/>
      <c r="W268" s="675"/>
      <c r="AA268" s="537" t="s">
        <v>319</v>
      </c>
      <c r="AC268" s="675"/>
      <c r="AD268" s="675"/>
      <c r="AE268" s="675"/>
      <c r="AG268" s="675"/>
      <c r="AH268" s="680"/>
    </row>
    <row r="269" spans="1:34" s="536" customFormat="1" ht="33.75" x14ac:dyDescent="0.2">
      <c r="A269" s="605"/>
      <c r="B269" s="552" t="s">
        <v>686</v>
      </c>
      <c r="C269" s="1822" t="s">
        <v>687</v>
      </c>
      <c r="D269" s="1822"/>
      <c r="E269" s="1822"/>
      <c r="F269" s="562" t="s">
        <v>322</v>
      </c>
      <c r="G269" s="562" t="s">
        <v>680</v>
      </c>
      <c r="H269" s="562"/>
      <c r="I269" s="562" t="s">
        <v>680</v>
      </c>
      <c r="J269" s="604"/>
      <c r="K269" s="562"/>
      <c r="L269" s="604">
        <v>42.68</v>
      </c>
      <c r="M269" s="603"/>
      <c r="N269" s="602"/>
      <c r="V269" s="674"/>
      <c r="W269" s="675"/>
      <c r="AA269" s="537" t="s">
        <v>687</v>
      </c>
      <c r="AC269" s="675"/>
      <c r="AD269" s="675"/>
      <c r="AE269" s="675"/>
      <c r="AG269" s="675"/>
      <c r="AH269" s="680"/>
    </row>
    <row r="270" spans="1:34" s="536" customFormat="1" ht="33.75" x14ac:dyDescent="0.2">
      <c r="A270" s="605"/>
      <c r="B270" s="552" t="s">
        <v>688</v>
      </c>
      <c r="C270" s="1822" t="s">
        <v>689</v>
      </c>
      <c r="D270" s="1822"/>
      <c r="E270" s="1822"/>
      <c r="F270" s="562" t="s">
        <v>322</v>
      </c>
      <c r="G270" s="562" t="s">
        <v>690</v>
      </c>
      <c r="H270" s="562"/>
      <c r="I270" s="562" t="s">
        <v>690</v>
      </c>
      <c r="J270" s="604"/>
      <c r="K270" s="562"/>
      <c r="L270" s="604">
        <v>24.27</v>
      </c>
      <c r="M270" s="603"/>
      <c r="N270" s="602"/>
      <c r="V270" s="674"/>
      <c r="W270" s="675"/>
      <c r="AA270" s="537" t="s">
        <v>689</v>
      </c>
      <c r="AC270" s="675"/>
      <c r="AD270" s="675"/>
      <c r="AE270" s="675"/>
      <c r="AG270" s="675"/>
      <c r="AH270" s="680"/>
    </row>
    <row r="271" spans="1:34" s="536" customFormat="1" ht="12" x14ac:dyDescent="0.2">
      <c r="A271" s="569"/>
      <c r="B271" s="671"/>
      <c r="C271" s="1823" t="s">
        <v>327</v>
      </c>
      <c r="D271" s="1823"/>
      <c r="E271" s="1823"/>
      <c r="F271" s="573"/>
      <c r="G271" s="573"/>
      <c r="H271" s="573"/>
      <c r="I271" s="573"/>
      <c r="J271" s="572"/>
      <c r="K271" s="573"/>
      <c r="L271" s="572">
        <v>174.88</v>
      </c>
      <c r="M271" s="601"/>
      <c r="N271" s="570"/>
      <c r="V271" s="674"/>
      <c r="W271" s="675"/>
      <c r="AC271" s="675" t="s">
        <v>327</v>
      </c>
      <c r="AD271" s="675"/>
      <c r="AE271" s="675"/>
      <c r="AG271" s="675"/>
      <c r="AH271" s="680"/>
    </row>
    <row r="272" spans="1:34" s="536" customFormat="1" ht="22.5" x14ac:dyDescent="0.2">
      <c r="A272" s="575" t="s">
        <v>912</v>
      </c>
      <c r="B272" s="670" t="s">
        <v>4118</v>
      </c>
      <c r="C272" s="1823" t="s">
        <v>4119</v>
      </c>
      <c r="D272" s="1823"/>
      <c r="E272" s="1823"/>
      <c r="F272" s="573" t="s">
        <v>641</v>
      </c>
      <c r="G272" s="573"/>
      <c r="H272" s="573"/>
      <c r="I272" s="573" t="s">
        <v>4115</v>
      </c>
      <c r="J272" s="572">
        <v>665</v>
      </c>
      <c r="K272" s="573"/>
      <c r="L272" s="572">
        <v>1750.01</v>
      </c>
      <c r="M272" s="571"/>
      <c r="N272" s="570"/>
      <c r="V272" s="674"/>
      <c r="W272" s="675" t="s">
        <v>4119</v>
      </c>
      <c r="AC272" s="675"/>
      <c r="AD272" s="675"/>
      <c r="AE272" s="675"/>
      <c r="AG272" s="675"/>
      <c r="AH272" s="680"/>
    </row>
    <row r="273" spans="1:34" s="536" customFormat="1" ht="12" x14ac:dyDescent="0.2">
      <c r="A273" s="569"/>
      <c r="B273" s="671"/>
      <c r="C273" s="665" t="s">
        <v>717</v>
      </c>
      <c r="D273" s="666"/>
      <c r="E273" s="666"/>
      <c r="F273" s="563"/>
      <c r="G273" s="563"/>
      <c r="H273" s="563"/>
      <c r="I273" s="563"/>
      <c r="J273" s="566"/>
      <c r="K273" s="563"/>
      <c r="L273" s="566"/>
      <c r="M273" s="565"/>
      <c r="N273" s="564"/>
      <c r="V273" s="674"/>
      <c r="W273" s="675"/>
      <c r="AC273" s="675"/>
      <c r="AD273" s="675"/>
      <c r="AE273" s="675"/>
      <c r="AG273" s="675"/>
      <c r="AH273" s="680"/>
    </row>
    <row r="274" spans="1:34" s="536" customFormat="1" ht="22.5" x14ac:dyDescent="0.2">
      <c r="A274" s="575" t="s">
        <v>757</v>
      </c>
      <c r="B274" s="670" t="s">
        <v>4120</v>
      </c>
      <c r="C274" s="1823" t="s">
        <v>4121</v>
      </c>
      <c r="D274" s="1823"/>
      <c r="E274" s="1823"/>
      <c r="F274" s="573" t="s">
        <v>1110</v>
      </c>
      <c r="G274" s="573"/>
      <c r="H274" s="573"/>
      <c r="I274" s="573" t="s">
        <v>1552</v>
      </c>
      <c r="J274" s="572"/>
      <c r="K274" s="573"/>
      <c r="L274" s="572"/>
      <c r="M274" s="571"/>
      <c r="N274" s="570"/>
      <c r="V274" s="674"/>
      <c r="W274" s="675" t="s">
        <v>4121</v>
      </c>
      <c r="AC274" s="675"/>
      <c r="AD274" s="675"/>
      <c r="AE274" s="675"/>
      <c r="AG274" s="675"/>
      <c r="AH274" s="680"/>
    </row>
    <row r="275" spans="1:34" s="536" customFormat="1" ht="12" x14ac:dyDescent="0.2">
      <c r="A275" s="676"/>
      <c r="B275" s="664"/>
      <c r="C275" s="1822" t="s">
        <v>4122</v>
      </c>
      <c r="D275" s="1822"/>
      <c r="E275" s="1822"/>
      <c r="F275" s="1822"/>
      <c r="G275" s="1822"/>
      <c r="H275" s="1822"/>
      <c r="I275" s="1822"/>
      <c r="J275" s="1822"/>
      <c r="K275" s="1822"/>
      <c r="L275" s="1822"/>
      <c r="M275" s="1822"/>
      <c r="N275" s="1827"/>
      <c r="V275" s="674"/>
      <c r="W275" s="675"/>
      <c r="X275" s="537" t="s">
        <v>4122</v>
      </c>
      <c r="AC275" s="675"/>
      <c r="AD275" s="675"/>
      <c r="AE275" s="675"/>
      <c r="AG275" s="675"/>
      <c r="AH275" s="680"/>
    </row>
    <row r="276" spans="1:34" s="536" customFormat="1" ht="33.75" x14ac:dyDescent="0.2">
      <c r="A276" s="609"/>
      <c r="B276" s="552" t="s">
        <v>310</v>
      </c>
      <c r="C276" s="1822" t="s">
        <v>311</v>
      </c>
      <c r="D276" s="1822"/>
      <c r="E276" s="1822"/>
      <c r="F276" s="1822"/>
      <c r="G276" s="1822"/>
      <c r="H276" s="1822"/>
      <c r="I276" s="1822"/>
      <c r="J276" s="1822"/>
      <c r="K276" s="1822"/>
      <c r="L276" s="1822"/>
      <c r="M276" s="1822"/>
      <c r="N276" s="1827"/>
      <c r="V276" s="674"/>
      <c r="W276" s="675"/>
      <c r="Y276" s="537" t="s">
        <v>311</v>
      </c>
      <c r="AC276" s="675"/>
      <c r="AD276" s="675"/>
      <c r="AE276" s="675"/>
      <c r="AG276" s="675"/>
      <c r="AH276" s="680"/>
    </row>
    <row r="277" spans="1:34" s="536" customFormat="1" ht="12" x14ac:dyDescent="0.2">
      <c r="A277" s="605"/>
      <c r="B277" s="552" t="s">
        <v>185</v>
      </c>
      <c r="C277" s="1822" t="s">
        <v>312</v>
      </c>
      <c r="D277" s="1822"/>
      <c r="E277" s="1822"/>
      <c r="F277" s="562"/>
      <c r="G277" s="562"/>
      <c r="H277" s="562"/>
      <c r="I277" s="562"/>
      <c r="J277" s="604">
        <v>1868.07</v>
      </c>
      <c r="K277" s="562" t="s">
        <v>313</v>
      </c>
      <c r="L277" s="604">
        <v>303.56</v>
      </c>
      <c r="M277" s="603"/>
      <c r="N277" s="602"/>
      <c r="V277" s="674"/>
      <c r="W277" s="675"/>
      <c r="Z277" s="537" t="s">
        <v>312</v>
      </c>
      <c r="AC277" s="675"/>
      <c r="AD277" s="675"/>
      <c r="AE277" s="675"/>
      <c r="AG277" s="675"/>
      <c r="AH277" s="680"/>
    </row>
    <row r="278" spans="1:34" s="536" customFormat="1" ht="12" x14ac:dyDescent="0.2">
      <c r="A278" s="605"/>
      <c r="B278" s="552" t="s">
        <v>186</v>
      </c>
      <c r="C278" s="1822" t="s">
        <v>344</v>
      </c>
      <c r="D278" s="1822"/>
      <c r="E278" s="1822"/>
      <c r="F278" s="562"/>
      <c r="G278" s="562"/>
      <c r="H278" s="562"/>
      <c r="I278" s="562"/>
      <c r="J278" s="604">
        <v>4553.83</v>
      </c>
      <c r="K278" s="562" t="s">
        <v>313</v>
      </c>
      <c r="L278" s="604">
        <v>740</v>
      </c>
      <c r="M278" s="603"/>
      <c r="N278" s="602"/>
      <c r="V278" s="674"/>
      <c r="W278" s="675"/>
      <c r="Z278" s="537" t="s">
        <v>344</v>
      </c>
      <c r="AC278" s="675"/>
      <c r="AD278" s="675"/>
      <c r="AE278" s="675"/>
      <c r="AG278" s="675"/>
      <c r="AH278" s="680"/>
    </row>
    <row r="279" spans="1:34" s="536" customFormat="1" ht="12" x14ac:dyDescent="0.2">
      <c r="A279" s="605"/>
      <c r="B279" s="552" t="s">
        <v>187</v>
      </c>
      <c r="C279" s="1822" t="s">
        <v>345</v>
      </c>
      <c r="D279" s="1822"/>
      <c r="E279" s="1822"/>
      <c r="F279" s="562"/>
      <c r="G279" s="562"/>
      <c r="H279" s="562"/>
      <c r="I279" s="562"/>
      <c r="J279" s="604">
        <v>634.5</v>
      </c>
      <c r="K279" s="562" t="s">
        <v>313</v>
      </c>
      <c r="L279" s="604">
        <v>103.11</v>
      </c>
      <c r="M279" s="603"/>
      <c r="N279" s="602"/>
      <c r="V279" s="674"/>
      <c r="W279" s="675"/>
      <c r="Z279" s="537" t="s">
        <v>345</v>
      </c>
      <c r="AC279" s="675"/>
      <c r="AD279" s="675"/>
      <c r="AE279" s="675"/>
      <c r="AG279" s="675"/>
      <c r="AH279" s="680"/>
    </row>
    <row r="280" spans="1:34" s="536" customFormat="1" ht="12" x14ac:dyDescent="0.2">
      <c r="A280" s="605"/>
      <c r="B280" s="552" t="s">
        <v>188</v>
      </c>
      <c r="C280" s="1822" t="s">
        <v>475</v>
      </c>
      <c r="D280" s="1822"/>
      <c r="E280" s="1822"/>
      <c r="F280" s="562"/>
      <c r="G280" s="562"/>
      <c r="H280" s="562"/>
      <c r="I280" s="562"/>
      <c r="J280" s="604">
        <v>1091.2</v>
      </c>
      <c r="K280" s="562"/>
      <c r="L280" s="604">
        <v>141.86000000000001</v>
      </c>
      <c r="M280" s="603"/>
      <c r="N280" s="602"/>
      <c r="V280" s="674"/>
      <c r="W280" s="675"/>
      <c r="Z280" s="537" t="s">
        <v>475</v>
      </c>
      <c r="AC280" s="675"/>
      <c r="AD280" s="675"/>
      <c r="AE280" s="675"/>
      <c r="AG280" s="675"/>
      <c r="AH280" s="680"/>
    </row>
    <row r="281" spans="1:34" s="536" customFormat="1" ht="12" x14ac:dyDescent="0.2">
      <c r="A281" s="676"/>
      <c r="B281" s="677" t="s">
        <v>1563</v>
      </c>
      <c r="C281" s="1829" t="s">
        <v>4088</v>
      </c>
      <c r="D281" s="1829"/>
      <c r="E281" s="1829"/>
      <c r="F281" s="678" t="s">
        <v>641</v>
      </c>
      <c r="G281" s="678" t="s">
        <v>187</v>
      </c>
      <c r="H281" s="678"/>
      <c r="I281" s="678" t="s">
        <v>4123</v>
      </c>
      <c r="J281" s="552"/>
      <c r="K281" s="562"/>
      <c r="L281" s="604"/>
      <c r="M281" s="562"/>
      <c r="N281" s="679"/>
      <c r="V281" s="674"/>
      <c r="W281" s="675"/>
      <c r="AC281" s="675"/>
      <c r="AD281" s="675"/>
      <c r="AE281" s="675"/>
      <c r="AG281" s="675"/>
      <c r="AH281" s="680" t="s">
        <v>4088</v>
      </c>
    </row>
    <row r="282" spans="1:34" s="536" customFormat="1" ht="22.5" x14ac:dyDescent="0.2">
      <c r="A282" s="676"/>
      <c r="B282" s="677" t="s">
        <v>1090</v>
      </c>
      <c r="C282" s="1829" t="s">
        <v>1091</v>
      </c>
      <c r="D282" s="1829"/>
      <c r="E282" s="1829"/>
      <c r="F282" s="678" t="s">
        <v>641</v>
      </c>
      <c r="G282" s="678" t="s">
        <v>191</v>
      </c>
      <c r="H282" s="678"/>
      <c r="I282" s="678" t="s">
        <v>2198</v>
      </c>
      <c r="J282" s="552"/>
      <c r="K282" s="562"/>
      <c r="L282" s="604"/>
      <c r="M282" s="562"/>
      <c r="N282" s="679"/>
      <c r="V282" s="674"/>
      <c r="W282" s="675"/>
      <c r="AC282" s="675"/>
      <c r="AD282" s="675"/>
      <c r="AE282" s="675"/>
      <c r="AG282" s="675"/>
      <c r="AH282" s="680" t="s">
        <v>1091</v>
      </c>
    </row>
    <row r="283" spans="1:34" s="536" customFormat="1" ht="12" x14ac:dyDescent="0.2">
      <c r="A283" s="676"/>
      <c r="B283" s="677" t="s">
        <v>4124</v>
      </c>
      <c r="C283" s="1829" t="s">
        <v>4125</v>
      </c>
      <c r="D283" s="1829"/>
      <c r="E283" s="1829"/>
      <c r="F283" s="678" t="s">
        <v>641</v>
      </c>
      <c r="G283" s="678" t="s">
        <v>369</v>
      </c>
      <c r="H283" s="678"/>
      <c r="I283" s="678" t="s">
        <v>4126</v>
      </c>
      <c r="J283" s="552"/>
      <c r="K283" s="562"/>
      <c r="L283" s="604"/>
      <c r="M283" s="562"/>
      <c r="N283" s="679"/>
      <c r="V283" s="674"/>
      <c r="W283" s="675"/>
      <c r="AC283" s="675"/>
      <c r="AD283" s="675"/>
      <c r="AE283" s="675"/>
      <c r="AG283" s="675"/>
      <c r="AH283" s="680" t="s">
        <v>4125</v>
      </c>
    </row>
    <row r="284" spans="1:34" s="536" customFormat="1" ht="12" x14ac:dyDescent="0.2">
      <c r="A284" s="605"/>
      <c r="B284" s="552"/>
      <c r="C284" s="1822" t="s">
        <v>314</v>
      </c>
      <c r="D284" s="1822"/>
      <c r="E284" s="1822"/>
      <c r="F284" s="562" t="s">
        <v>315</v>
      </c>
      <c r="G284" s="562" t="s">
        <v>4127</v>
      </c>
      <c r="H284" s="562" t="s">
        <v>313</v>
      </c>
      <c r="I284" s="562" t="s">
        <v>4128</v>
      </c>
      <c r="J284" s="604"/>
      <c r="K284" s="562"/>
      <c r="L284" s="604"/>
      <c r="M284" s="603"/>
      <c r="N284" s="602"/>
      <c r="V284" s="674"/>
      <c r="W284" s="675"/>
      <c r="AA284" s="537" t="s">
        <v>314</v>
      </c>
      <c r="AC284" s="675"/>
      <c r="AD284" s="675"/>
      <c r="AE284" s="675"/>
      <c r="AG284" s="675"/>
      <c r="AH284" s="680"/>
    </row>
    <row r="285" spans="1:34" s="536" customFormat="1" ht="12" x14ac:dyDescent="0.2">
      <c r="A285" s="605"/>
      <c r="B285" s="552"/>
      <c r="C285" s="1822" t="s">
        <v>348</v>
      </c>
      <c r="D285" s="1822"/>
      <c r="E285" s="1822"/>
      <c r="F285" s="562" t="s">
        <v>315</v>
      </c>
      <c r="G285" s="562" t="s">
        <v>782</v>
      </c>
      <c r="H285" s="562" t="s">
        <v>313</v>
      </c>
      <c r="I285" s="562" t="s">
        <v>4129</v>
      </c>
      <c r="J285" s="604"/>
      <c r="K285" s="562"/>
      <c r="L285" s="604"/>
      <c r="M285" s="603"/>
      <c r="N285" s="602"/>
      <c r="V285" s="674"/>
      <c r="W285" s="675"/>
      <c r="AA285" s="537" t="s">
        <v>348</v>
      </c>
      <c r="AC285" s="675"/>
      <c r="AD285" s="675"/>
      <c r="AE285" s="675"/>
      <c r="AG285" s="675"/>
      <c r="AH285" s="680"/>
    </row>
    <row r="286" spans="1:34" s="536" customFormat="1" ht="12" x14ac:dyDescent="0.2">
      <c r="A286" s="605"/>
      <c r="B286" s="552"/>
      <c r="C286" s="1828" t="s">
        <v>318</v>
      </c>
      <c r="D286" s="1828"/>
      <c r="E286" s="1828"/>
      <c r="F286" s="608"/>
      <c r="G286" s="608"/>
      <c r="H286" s="608"/>
      <c r="I286" s="608"/>
      <c r="J286" s="607">
        <v>7513.1</v>
      </c>
      <c r="K286" s="608"/>
      <c r="L286" s="607">
        <v>1185.42</v>
      </c>
      <c r="M286" s="601"/>
      <c r="N286" s="606"/>
      <c r="V286" s="674"/>
      <c r="W286" s="675"/>
      <c r="AB286" s="537" t="s">
        <v>318</v>
      </c>
      <c r="AC286" s="675"/>
      <c r="AD286" s="675"/>
      <c r="AE286" s="675"/>
      <c r="AG286" s="675"/>
      <c r="AH286" s="680"/>
    </row>
    <row r="287" spans="1:34" s="536" customFormat="1" ht="12" x14ac:dyDescent="0.2">
      <c r="A287" s="605"/>
      <c r="B287" s="552"/>
      <c r="C287" s="1822" t="s">
        <v>319</v>
      </c>
      <c r="D287" s="1822"/>
      <c r="E287" s="1822"/>
      <c r="F287" s="562"/>
      <c r="G287" s="562"/>
      <c r="H287" s="562"/>
      <c r="I287" s="562"/>
      <c r="J287" s="604"/>
      <c r="K287" s="562"/>
      <c r="L287" s="604">
        <v>406.67</v>
      </c>
      <c r="M287" s="603"/>
      <c r="N287" s="602"/>
      <c r="V287" s="674"/>
      <c r="W287" s="675"/>
      <c r="AA287" s="537" t="s">
        <v>319</v>
      </c>
      <c r="AC287" s="675"/>
      <c r="AD287" s="675"/>
      <c r="AE287" s="675"/>
      <c r="AG287" s="675"/>
      <c r="AH287" s="680"/>
    </row>
    <row r="288" spans="1:34" s="536" customFormat="1" ht="33.75" x14ac:dyDescent="0.2">
      <c r="A288" s="605"/>
      <c r="B288" s="552" t="s">
        <v>320</v>
      </c>
      <c r="C288" s="1822" t="s">
        <v>321</v>
      </c>
      <c r="D288" s="1822"/>
      <c r="E288" s="1822"/>
      <c r="F288" s="562" t="s">
        <v>322</v>
      </c>
      <c r="G288" s="562" t="s">
        <v>323</v>
      </c>
      <c r="H288" s="562"/>
      <c r="I288" s="562" t="s">
        <v>323</v>
      </c>
      <c r="J288" s="604"/>
      <c r="K288" s="562"/>
      <c r="L288" s="604">
        <v>361.94</v>
      </c>
      <c r="M288" s="603"/>
      <c r="N288" s="602"/>
      <c r="V288" s="674"/>
      <c r="W288" s="675"/>
      <c r="AA288" s="537" t="s">
        <v>321</v>
      </c>
      <c r="AC288" s="675"/>
      <c r="AD288" s="675"/>
      <c r="AE288" s="675"/>
      <c r="AG288" s="675"/>
      <c r="AH288" s="680"/>
    </row>
    <row r="289" spans="1:34" s="536" customFormat="1" ht="33.75" x14ac:dyDescent="0.2">
      <c r="A289" s="605"/>
      <c r="B289" s="552" t="s">
        <v>324</v>
      </c>
      <c r="C289" s="1822" t="s">
        <v>325</v>
      </c>
      <c r="D289" s="1822"/>
      <c r="E289" s="1822"/>
      <c r="F289" s="562" t="s">
        <v>322</v>
      </c>
      <c r="G289" s="562" t="s">
        <v>326</v>
      </c>
      <c r="H289" s="562"/>
      <c r="I289" s="562" t="s">
        <v>326</v>
      </c>
      <c r="J289" s="604"/>
      <c r="K289" s="562"/>
      <c r="L289" s="604">
        <v>166.73</v>
      </c>
      <c r="M289" s="603"/>
      <c r="N289" s="602"/>
      <c r="V289" s="674"/>
      <c r="W289" s="675"/>
      <c r="AA289" s="537" t="s">
        <v>325</v>
      </c>
      <c r="AC289" s="675"/>
      <c r="AD289" s="675"/>
      <c r="AE289" s="675"/>
      <c r="AG289" s="675"/>
      <c r="AH289" s="680"/>
    </row>
    <row r="290" spans="1:34" s="536" customFormat="1" ht="12" x14ac:dyDescent="0.2">
      <c r="A290" s="569"/>
      <c r="B290" s="671"/>
      <c r="C290" s="1823" t="s">
        <v>327</v>
      </c>
      <c r="D290" s="1823"/>
      <c r="E290" s="1823"/>
      <c r="F290" s="573"/>
      <c r="G290" s="573"/>
      <c r="H290" s="573"/>
      <c r="I290" s="573"/>
      <c r="J290" s="572"/>
      <c r="K290" s="573"/>
      <c r="L290" s="572">
        <v>1714.09</v>
      </c>
      <c r="M290" s="601"/>
      <c r="N290" s="570"/>
      <c r="V290" s="674"/>
      <c r="W290" s="675"/>
      <c r="AC290" s="675" t="s">
        <v>327</v>
      </c>
      <c r="AD290" s="675"/>
      <c r="AE290" s="675"/>
      <c r="AG290" s="675"/>
      <c r="AH290" s="680"/>
    </row>
    <row r="291" spans="1:34" s="536" customFormat="1" ht="22.5" x14ac:dyDescent="0.2">
      <c r="A291" s="575" t="s">
        <v>1079</v>
      </c>
      <c r="B291" s="670" t="s">
        <v>4130</v>
      </c>
      <c r="C291" s="1823" t="s">
        <v>4131</v>
      </c>
      <c r="D291" s="1823"/>
      <c r="E291" s="1823"/>
      <c r="F291" s="573" t="s">
        <v>641</v>
      </c>
      <c r="G291" s="573"/>
      <c r="H291" s="573"/>
      <c r="I291" s="573" t="s">
        <v>2047</v>
      </c>
      <c r="J291" s="572">
        <v>118.6</v>
      </c>
      <c r="K291" s="573"/>
      <c r="L291" s="572">
        <v>112.67</v>
      </c>
      <c r="M291" s="571"/>
      <c r="N291" s="570"/>
      <c r="V291" s="674"/>
      <c r="W291" s="675" t="s">
        <v>4131</v>
      </c>
      <c r="AC291" s="675"/>
      <c r="AD291" s="675"/>
      <c r="AE291" s="675"/>
      <c r="AG291" s="675"/>
      <c r="AH291" s="680"/>
    </row>
    <row r="292" spans="1:34" s="536" customFormat="1" ht="12" x14ac:dyDescent="0.2">
      <c r="A292" s="569"/>
      <c r="B292" s="671"/>
      <c r="C292" s="665" t="s">
        <v>717</v>
      </c>
      <c r="D292" s="666"/>
      <c r="E292" s="666"/>
      <c r="F292" s="563"/>
      <c r="G292" s="563"/>
      <c r="H292" s="563"/>
      <c r="I292" s="563"/>
      <c r="J292" s="566"/>
      <c r="K292" s="563"/>
      <c r="L292" s="566"/>
      <c r="M292" s="565"/>
      <c r="N292" s="564"/>
      <c r="V292" s="674"/>
      <c r="W292" s="675"/>
      <c r="AC292" s="675"/>
      <c r="AD292" s="675"/>
      <c r="AE292" s="675"/>
      <c r="AG292" s="675"/>
      <c r="AH292" s="680"/>
    </row>
    <row r="293" spans="1:34" s="536" customFormat="1" ht="33.75" x14ac:dyDescent="0.2">
      <c r="A293" s="575" t="s">
        <v>759</v>
      </c>
      <c r="B293" s="670" t="s">
        <v>4132</v>
      </c>
      <c r="C293" s="1823" t="s">
        <v>4133</v>
      </c>
      <c r="D293" s="1823"/>
      <c r="E293" s="1823"/>
      <c r="F293" s="573" t="s">
        <v>617</v>
      </c>
      <c r="G293" s="573"/>
      <c r="H293" s="573"/>
      <c r="I293" s="573" t="s">
        <v>197</v>
      </c>
      <c r="J293" s="572">
        <v>3784.38</v>
      </c>
      <c r="K293" s="573" t="s">
        <v>716</v>
      </c>
      <c r="L293" s="572">
        <v>6187.55</v>
      </c>
      <c r="M293" s="571">
        <v>8.11</v>
      </c>
      <c r="N293" s="570">
        <v>50181</v>
      </c>
      <c r="V293" s="674"/>
      <c r="W293" s="675" t="s">
        <v>4133</v>
      </c>
      <c r="AC293" s="675"/>
      <c r="AD293" s="675"/>
      <c r="AE293" s="675"/>
      <c r="AG293" s="675"/>
      <c r="AH293" s="680"/>
    </row>
    <row r="294" spans="1:34" s="536" customFormat="1" ht="12" x14ac:dyDescent="0.2">
      <c r="A294" s="569"/>
      <c r="B294" s="671"/>
      <c r="C294" s="665" t="s">
        <v>1173</v>
      </c>
      <c r="D294" s="666"/>
      <c r="E294" s="666"/>
      <c r="F294" s="563"/>
      <c r="G294" s="563"/>
      <c r="H294" s="563"/>
      <c r="I294" s="563"/>
      <c r="J294" s="566"/>
      <c r="K294" s="563"/>
      <c r="L294" s="566"/>
      <c r="M294" s="565"/>
      <c r="N294" s="564"/>
      <c r="V294" s="674"/>
      <c r="W294" s="675"/>
      <c r="AC294" s="675"/>
      <c r="AD294" s="675"/>
      <c r="AE294" s="675"/>
      <c r="AG294" s="675"/>
      <c r="AH294" s="680"/>
    </row>
    <row r="295" spans="1:34" s="536" customFormat="1" ht="22.5" x14ac:dyDescent="0.2">
      <c r="A295" s="609"/>
      <c r="B295" s="552" t="s">
        <v>718</v>
      </c>
      <c r="C295" s="1822" t="s">
        <v>719</v>
      </c>
      <c r="D295" s="1822"/>
      <c r="E295" s="1822"/>
      <c r="F295" s="1822"/>
      <c r="G295" s="1822"/>
      <c r="H295" s="1822"/>
      <c r="I295" s="1822"/>
      <c r="J295" s="1822"/>
      <c r="K295" s="1822"/>
      <c r="L295" s="1822"/>
      <c r="M295" s="1822"/>
      <c r="N295" s="1827"/>
      <c r="V295" s="674"/>
      <c r="W295" s="675"/>
      <c r="Y295" s="537" t="s">
        <v>719</v>
      </c>
      <c r="AC295" s="675"/>
      <c r="AD295" s="675"/>
      <c r="AE295" s="675"/>
      <c r="AG295" s="675"/>
      <c r="AH295" s="680"/>
    </row>
    <row r="296" spans="1:34" s="536" customFormat="1" ht="1.5" customHeight="1" x14ac:dyDescent="0.2">
      <c r="A296" s="563"/>
      <c r="B296" s="671"/>
      <c r="C296" s="671"/>
      <c r="D296" s="671"/>
      <c r="E296" s="671"/>
      <c r="F296" s="563"/>
      <c r="G296" s="563"/>
      <c r="H296" s="563"/>
      <c r="I296" s="563"/>
      <c r="J296" s="546"/>
      <c r="K296" s="563"/>
      <c r="L296" s="546"/>
      <c r="M296" s="562"/>
      <c r="N296" s="546"/>
      <c r="V296" s="674"/>
      <c r="W296" s="675"/>
      <c r="AC296" s="675"/>
      <c r="AD296" s="675"/>
      <c r="AE296" s="675"/>
      <c r="AG296" s="675"/>
      <c r="AH296" s="680"/>
    </row>
    <row r="297" spans="1:34" s="536" customFormat="1" ht="12" x14ac:dyDescent="0.2">
      <c r="A297" s="557"/>
      <c r="B297" s="556"/>
      <c r="C297" s="1823" t="s">
        <v>4134</v>
      </c>
      <c r="D297" s="1823"/>
      <c r="E297" s="1823"/>
      <c r="F297" s="1823"/>
      <c r="G297" s="1823"/>
      <c r="H297" s="1823"/>
      <c r="I297" s="1823"/>
      <c r="J297" s="1823"/>
      <c r="K297" s="1823"/>
      <c r="L297" s="555"/>
      <c r="M297" s="554"/>
      <c r="N297" s="553"/>
      <c r="V297" s="674"/>
      <c r="W297" s="675"/>
      <c r="AC297" s="675"/>
      <c r="AD297" s="675"/>
      <c r="AE297" s="675" t="s">
        <v>4134</v>
      </c>
      <c r="AG297" s="675"/>
      <c r="AH297" s="680"/>
    </row>
    <row r="298" spans="1:34" s="536" customFormat="1" ht="12" x14ac:dyDescent="0.2">
      <c r="A298" s="548"/>
      <c r="B298" s="552"/>
      <c r="C298" s="1822" t="s">
        <v>403</v>
      </c>
      <c r="D298" s="1822"/>
      <c r="E298" s="1822"/>
      <c r="F298" s="1822"/>
      <c r="G298" s="1822"/>
      <c r="H298" s="1822"/>
      <c r="I298" s="1822"/>
      <c r="J298" s="1822"/>
      <c r="K298" s="1822"/>
      <c r="L298" s="551">
        <v>149167.59</v>
      </c>
      <c r="M298" s="550"/>
      <c r="N298" s="549"/>
      <c r="V298" s="674"/>
      <c r="W298" s="675"/>
      <c r="AC298" s="675"/>
      <c r="AD298" s="675"/>
      <c r="AE298" s="675"/>
      <c r="AF298" s="537" t="s">
        <v>403</v>
      </c>
      <c r="AG298" s="675"/>
      <c r="AH298" s="680"/>
    </row>
    <row r="299" spans="1:34" s="536" customFormat="1" ht="12" x14ac:dyDescent="0.2">
      <c r="A299" s="548"/>
      <c r="B299" s="552"/>
      <c r="C299" s="1822" t="s">
        <v>204</v>
      </c>
      <c r="D299" s="1822"/>
      <c r="E299" s="1822"/>
      <c r="F299" s="1822"/>
      <c r="G299" s="1822"/>
      <c r="H299" s="1822"/>
      <c r="I299" s="1822"/>
      <c r="J299" s="1822"/>
      <c r="K299" s="1822"/>
      <c r="L299" s="551"/>
      <c r="M299" s="550"/>
      <c r="N299" s="549"/>
      <c r="V299" s="674"/>
      <c r="W299" s="675"/>
      <c r="AC299" s="675"/>
      <c r="AD299" s="675"/>
      <c r="AE299" s="675"/>
      <c r="AF299" s="537" t="s">
        <v>204</v>
      </c>
      <c r="AG299" s="675"/>
      <c r="AH299" s="680"/>
    </row>
    <row r="300" spans="1:34" s="536" customFormat="1" ht="12" x14ac:dyDescent="0.2">
      <c r="A300" s="548"/>
      <c r="B300" s="552"/>
      <c r="C300" s="1822" t="s">
        <v>404</v>
      </c>
      <c r="D300" s="1822"/>
      <c r="E300" s="1822"/>
      <c r="F300" s="1822"/>
      <c r="G300" s="1822"/>
      <c r="H300" s="1822"/>
      <c r="I300" s="1822"/>
      <c r="J300" s="1822"/>
      <c r="K300" s="1822"/>
      <c r="L300" s="551">
        <v>10347.36</v>
      </c>
      <c r="M300" s="550"/>
      <c r="N300" s="549"/>
      <c r="V300" s="674"/>
      <c r="W300" s="675"/>
      <c r="AC300" s="675"/>
      <c r="AD300" s="675"/>
      <c r="AE300" s="675"/>
      <c r="AF300" s="537" t="s">
        <v>404</v>
      </c>
      <c r="AG300" s="675"/>
      <c r="AH300" s="680"/>
    </row>
    <row r="301" spans="1:34" s="536" customFormat="1" ht="12" x14ac:dyDescent="0.2">
      <c r="A301" s="548"/>
      <c r="B301" s="552"/>
      <c r="C301" s="1822" t="s">
        <v>405</v>
      </c>
      <c r="D301" s="1822"/>
      <c r="E301" s="1822"/>
      <c r="F301" s="1822"/>
      <c r="G301" s="1822"/>
      <c r="H301" s="1822"/>
      <c r="I301" s="1822"/>
      <c r="J301" s="1822"/>
      <c r="K301" s="1822"/>
      <c r="L301" s="551">
        <v>28083.34</v>
      </c>
      <c r="M301" s="550"/>
      <c r="N301" s="549"/>
      <c r="V301" s="674"/>
      <c r="W301" s="675"/>
      <c r="AC301" s="675"/>
      <c r="AD301" s="675"/>
      <c r="AE301" s="675"/>
      <c r="AF301" s="537" t="s">
        <v>405</v>
      </c>
      <c r="AG301" s="675"/>
      <c r="AH301" s="680"/>
    </row>
    <row r="302" spans="1:34" s="536" customFormat="1" ht="12" x14ac:dyDescent="0.2">
      <c r="A302" s="548"/>
      <c r="B302" s="552"/>
      <c r="C302" s="1822" t="s">
        <v>406</v>
      </c>
      <c r="D302" s="1822"/>
      <c r="E302" s="1822"/>
      <c r="F302" s="1822"/>
      <c r="G302" s="1822"/>
      <c r="H302" s="1822"/>
      <c r="I302" s="1822"/>
      <c r="J302" s="1822"/>
      <c r="K302" s="1822"/>
      <c r="L302" s="551">
        <v>1954.61</v>
      </c>
      <c r="M302" s="550"/>
      <c r="N302" s="549"/>
      <c r="V302" s="674"/>
      <c r="W302" s="675"/>
      <c r="AC302" s="675"/>
      <c r="AD302" s="675"/>
      <c r="AE302" s="675"/>
      <c r="AF302" s="537" t="s">
        <v>406</v>
      </c>
      <c r="AG302" s="675"/>
      <c r="AH302" s="680"/>
    </row>
    <row r="303" spans="1:34" s="536" customFormat="1" ht="12" x14ac:dyDescent="0.2">
      <c r="A303" s="548"/>
      <c r="B303" s="552"/>
      <c r="C303" s="1822" t="s">
        <v>480</v>
      </c>
      <c r="D303" s="1822"/>
      <c r="E303" s="1822"/>
      <c r="F303" s="1822"/>
      <c r="G303" s="1822"/>
      <c r="H303" s="1822"/>
      <c r="I303" s="1822"/>
      <c r="J303" s="1822"/>
      <c r="K303" s="1822"/>
      <c r="L303" s="551">
        <v>110736.89</v>
      </c>
      <c r="M303" s="550"/>
      <c r="N303" s="549"/>
      <c r="V303" s="674"/>
      <c r="W303" s="675"/>
      <c r="AC303" s="675"/>
      <c r="AD303" s="675"/>
      <c r="AE303" s="675"/>
      <c r="AF303" s="537" t="s">
        <v>480</v>
      </c>
      <c r="AG303" s="675"/>
      <c r="AH303" s="680"/>
    </row>
    <row r="304" spans="1:34" s="536" customFormat="1" ht="12" x14ac:dyDescent="0.2">
      <c r="A304" s="548"/>
      <c r="B304" s="552"/>
      <c r="C304" s="1822" t="s">
        <v>407</v>
      </c>
      <c r="D304" s="1822"/>
      <c r="E304" s="1822"/>
      <c r="F304" s="1822"/>
      <c r="G304" s="1822"/>
      <c r="H304" s="1822"/>
      <c r="I304" s="1822"/>
      <c r="J304" s="1822"/>
      <c r="K304" s="1822"/>
      <c r="L304" s="551">
        <v>165265.63</v>
      </c>
      <c r="M304" s="550"/>
      <c r="N304" s="549"/>
      <c r="V304" s="674"/>
      <c r="W304" s="675"/>
      <c r="AC304" s="675"/>
      <c r="AD304" s="675"/>
      <c r="AE304" s="675"/>
      <c r="AF304" s="537" t="s">
        <v>407</v>
      </c>
      <c r="AG304" s="675"/>
      <c r="AH304" s="680"/>
    </row>
    <row r="305" spans="1:34" s="536" customFormat="1" ht="12" x14ac:dyDescent="0.2">
      <c r="A305" s="548"/>
      <c r="B305" s="552"/>
      <c r="C305" s="1822" t="s">
        <v>408</v>
      </c>
      <c r="D305" s="1822"/>
      <c r="E305" s="1822"/>
      <c r="F305" s="1822"/>
      <c r="G305" s="1822"/>
      <c r="H305" s="1822"/>
      <c r="I305" s="1822"/>
      <c r="J305" s="1822"/>
      <c r="K305" s="1822"/>
      <c r="L305" s="551">
        <v>154752.19</v>
      </c>
      <c r="M305" s="550"/>
      <c r="N305" s="549"/>
      <c r="V305" s="674"/>
      <c r="W305" s="675"/>
      <c r="AC305" s="675"/>
      <c r="AD305" s="675"/>
      <c r="AE305" s="675"/>
      <c r="AF305" s="537" t="s">
        <v>408</v>
      </c>
      <c r="AG305" s="675"/>
      <c r="AH305" s="680"/>
    </row>
    <row r="306" spans="1:34" s="536" customFormat="1" ht="12" x14ac:dyDescent="0.2">
      <c r="A306" s="548"/>
      <c r="B306" s="552"/>
      <c r="C306" s="1822" t="s">
        <v>409</v>
      </c>
      <c r="D306" s="1822"/>
      <c r="E306" s="1822"/>
      <c r="F306" s="1822"/>
      <c r="G306" s="1822"/>
      <c r="H306" s="1822"/>
      <c r="I306" s="1822"/>
      <c r="J306" s="1822"/>
      <c r="K306" s="1822"/>
      <c r="L306" s="551"/>
      <c r="M306" s="550"/>
      <c r="N306" s="549"/>
      <c r="V306" s="674"/>
      <c r="W306" s="675"/>
      <c r="AC306" s="675"/>
      <c r="AD306" s="675"/>
      <c r="AE306" s="675"/>
      <c r="AF306" s="537" t="s">
        <v>409</v>
      </c>
      <c r="AG306" s="675"/>
      <c r="AH306" s="680"/>
    </row>
    <row r="307" spans="1:34" s="536" customFormat="1" ht="12" x14ac:dyDescent="0.2">
      <c r="A307" s="548"/>
      <c r="B307" s="552"/>
      <c r="C307" s="1822" t="s">
        <v>410</v>
      </c>
      <c r="D307" s="1822"/>
      <c r="E307" s="1822"/>
      <c r="F307" s="1822"/>
      <c r="G307" s="1822"/>
      <c r="H307" s="1822"/>
      <c r="I307" s="1822"/>
      <c r="J307" s="1822"/>
      <c r="K307" s="1822"/>
      <c r="L307" s="551">
        <v>10347.36</v>
      </c>
      <c r="M307" s="550"/>
      <c r="N307" s="549"/>
      <c r="V307" s="674"/>
      <c r="W307" s="675"/>
      <c r="AC307" s="675"/>
      <c r="AD307" s="675"/>
      <c r="AE307" s="675"/>
      <c r="AF307" s="537" t="s">
        <v>410</v>
      </c>
      <c r="AG307" s="675"/>
      <c r="AH307" s="680"/>
    </row>
    <row r="308" spans="1:34" s="536" customFormat="1" ht="12" x14ac:dyDescent="0.2">
      <c r="A308" s="548"/>
      <c r="B308" s="552"/>
      <c r="C308" s="1822" t="s">
        <v>411</v>
      </c>
      <c r="D308" s="1822"/>
      <c r="E308" s="1822"/>
      <c r="F308" s="1822"/>
      <c r="G308" s="1822"/>
      <c r="H308" s="1822"/>
      <c r="I308" s="1822"/>
      <c r="J308" s="1822"/>
      <c r="K308" s="1822"/>
      <c r="L308" s="551">
        <v>17569.900000000001</v>
      </c>
      <c r="M308" s="550"/>
      <c r="N308" s="549"/>
      <c r="V308" s="674"/>
      <c r="W308" s="675"/>
      <c r="AC308" s="675"/>
      <c r="AD308" s="675"/>
      <c r="AE308" s="675"/>
      <c r="AF308" s="537" t="s">
        <v>411</v>
      </c>
      <c r="AG308" s="675"/>
      <c r="AH308" s="680"/>
    </row>
    <row r="309" spans="1:34" s="536" customFormat="1" ht="12" x14ac:dyDescent="0.2">
      <c r="A309" s="548"/>
      <c r="B309" s="552"/>
      <c r="C309" s="1822" t="s">
        <v>481</v>
      </c>
      <c r="D309" s="1822"/>
      <c r="E309" s="1822"/>
      <c r="F309" s="1822"/>
      <c r="G309" s="1822"/>
      <c r="H309" s="1822"/>
      <c r="I309" s="1822"/>
      <c r="J309" s="1822"/>
      <c r="K309" s="1822"/>
      <c r="L309" s="551">
        <v>110736.89</v>
      </c>
      <c r="M309" s="550"/>
      <c r="N309" s="549"/>
      <c r="V309" s="674"/>
      <c r="W309" s="675"/>
      <c r="AC309" s="675"/>
      <c r="AD309" s="675"/>
      <c r="AE309" s="675"/>
      <c r="AF309" s="537" t="s">
        <v>481</v>
      </c>
      <c r="AG309" s="675"/>
      <c r="AH309" s="680"/>
    </row>
    <row r="310" spans="1:34" s="536" customFormat="1" ht="12" x14ac:dyDescent="0.2">
      <c r="A310" s="548"/>
      <c r="B310" s="552"/>
      <c r="C310" s="1822" t="s">
        <v>412</v>
      </c>
      <c r="D310" s="1822"/>
      <c r="E310" s="1822"/>
      <c r="F310" s="1822"/>
      <c r="G310" s="1822"/>
      <c r="H310" s="1822"/>
      <c r="I310" s="1822"/>
      <c r="J310" s="1822"/>
      <c r="K310" s="1822"/>
      <c r="L310" s="551">
        <v>10994.13</v>
      </c>
      <c r="M310" s="550"/>
      <c r="N310" s="549"/>
      <c r="V310" s="674"/>
      <c r="W310" s="675"/>
      <c r="AC310" s="675"/>
      <c r="AD310" s="675"/>
      <c r="AE310" s="675"/>
      <c r="AF310" s="537" t="s">
        <v>412</v>
      </c>
      <c r="AG310" s="675"/>
      <c r="AH310" s="680"/>
    </row>
    <row r="311" spans="1:34" s="536" customFormat="1" ht="12" x14ac:dyDescent="0.2">
      <c r="A311" s="548"/>
      <c r="B311" s="552"/>
      <c r="C311" s="1822" t="s">
        <v>413</v>
      </c>
      <c r="D311" s="1822"/>
      <c r="E311" s="1822"/>
      <c r="F311" s="1822"/>
      <c r="G311" s="1822"/>
      <c r="H311" s="1822"/>
      <c r="I311" s="1822"/>
      <c r="J311" s="1822"/>
      <c r="K311" s="1822"/>
      <c r="L311" s="551">
        <v>5103.91</v>
      </c>
      <c r="M311" s="550"/>
      <c r="N311" s="549"/>
      <c r="V311" s="674"/>
      <c r="W311" s="675"/>
      <c r="AC311" s="675"/>
      <c r="AD311" s="675"/>
      <c r="AE311" s="675"/>
      <c r="AF311" s="537" t="s">
        <v>413</v>
      </c>
      <c r="AG311" s="675"/>
      <c r="AH311" s="680"/>
    </row>
    <row r="312" spans="1:34" s="536" customFormat="1" ht="12" x14ac:dyDescent="0.2">
      <c r="A312" s="548"/>
      <c r="B312" s="552"/>
      <c r="C312" s="1822" t="s">
        <v>414</v>
      </c>
      <c r="D312" s="1822"/>
      <c r="E312" s="1822"/>
      <c r="F312" s="1822"/>
      <c r="G312" s="1822"/>
      <c r="H312" s="1822"/>
      <c r="I312" s="1822"/>
      <c r="J312" s="1822"/>
      <c r="K312" s="1822"/>
      <c r="L312" s="551">
        <v>10513.44</v>
      </c>
      <c r="M312" s="550"/>
      <c r="N312" s="549"/>
      <c r="V312" s="674"/>
      <c r="W312" s="675"/>
      <c r="AC312" s="675"/>
      <c r="AD312" s="675"/>
      <c r="AE312" s="675"/>
      <c r="AF312" s="537" t="s">
        <v>414</v>
      </c>
      <c r="AG312" s="675"/>
      <c r="AH312" s="680"/>
    </row>
    <row r="313" spans="1:34" s="536" customFormat="1" ht="12" x14ac:dyDescent="0.2">
      <c r="A313" s="548"/>
      <c r="B313" s="552"/>
      <c r="C313" s="1822" t="s">
        <v>415</v>
      </c>
      <c r="D313" s="1822"/>
      <c r="E313" s="1822"/>
      <c r="F313" s="1822"/>
      <c r="G313" s="1822"/>
      <c r="H313" s="1822"/>
      <c r="I313" s="1822"/>
      <c r="J313" s="1822"/>
      <c r="K313" s="1822"/>
      <c r="L313" s="551">
        <v>12301.97</v>
      </c>
      <c r="M313" s="550"/>
      <c r="N313" s="549"/>
      <c r="V313" s="674"/>
      <c r="W313" s="675"/>
      <c r="AC313" s="675"/>
      <c r="AD313" s="675"/>
      <c r="AE313" s="675"/>
      <c r="AF313" s="537" t="s">
        <v>415</v>
      </c>
      <c r="AG313" s="675"/>
      <c r="AH313" s="680"/>
    </row>
    <row r="314" spans="1:34" s="536" customFormat="1" ht="12" x14ac:dyDescent="0.2">
      <c r="A314" s="548"/>
      <c r="B314" s="552"/>
      <c r="C314" s="1822" t="s">
        <v>416</v>
      </c>
      <c r="D314" s="1822"/>
      <c r="E314" s="1822"/>
      <c r="F314" s="1822"/>
      <c r="G314" s="1822"/>
      <c r="H314" s="1822"/>
      <c r="I314" s="1822"/>
      <c r="J314" s="1822"/>
      <c r="K314" s="1822"/>
      <c r="L314" s="551">
        <v>10994.13</v>
      </c>
      <c r="M314" s="550"/>
      <c r="N314" s="549"/>
      <c r="V314" s="674"/>
      <c r="W314" s="675"/>
      <c r="AC314" s="675"/>
      <c r="AD314" s="675"/>
      <c r="AE314" s="675"/>
      <c r="AF314" s="537" t="s">
        <v>416</v>
      </c>
      <c r="AG314" s="675"/>
      <c r="AH314" s="680"/>
    </row>
    <row r="315" spans="1:34" s="536" customFormat="1" ht="12" x14ac:dyDescent="0.2">
      <c r="A315" s="548"/>
      <c r="B315" s="552"/>
      <c r="C315" s="1822" t="s">
        <v>417</v>
      </c>
      <c r="D315" s="1822"/>
      <c r="E315" s="1822"/>
      <c r="F315" s="1822"/>
      <c r="G315" s="1822"/>
      <c r="H315" s="1822"/>
      <c r="I315" s="1822"/>
      <c r="J315" s="1822"/>
      <c r="K315" s="1822"/>
      <c r="L315" s="551">
        <v>5103.91</v>
      </c>
      <c r="M315" s="550"/>
      <c r="N315" s="549"/>
      <c r="V315" s="674"/>
      <c r="W315" s="675"/>
      <c r="AC315" s="675"/>
      <c r="AD315" s="675"/>
      <c r="AE315" s="675"/>
      <c r="AF315" s="537" t="s">
        <v>417</v>
      </c>
      <c r="AG315" s="675"/>
      <c r="AH315" s="680"/>
    </row>
    <row r="316" spans="1:34" s="536" customFormat="1" ht="12" x14ac:dyDescent="0.2">
      <c r="A316" s="548"/>
      <c r="B316" s="546"/>
      <c r="C316" s="1819" t="s">
        <v>4135</v>
      </c>
      <c r="D316" s="1819"/>
      <c r="E316" s="1819"/>
      <c r="F316" s="1819"/>
      <c r="G316" s="1819"/>
      <c r="H316" s="1819"/>
      <c r="I316" s="1819"/>
      <c r="J316" s="1819"/>
      <c r="K316" s="1819"/>
      <c r="L316" s="544">
        <v>165265.63</v>
      </c>
      <c r="M316" s="543"/>
      <c r="N316" s="681"/>
      <c r="V316" s="674"/>
      <c r="W316" s="675"/>
      <c r="AC316" s="675"/>
      <c r="AD316" s="675"/>
      <c r="AE316" s="675"/>
      <c r="AG316" s="675" t="s">
        <v>4135</v>
      </c>
      <c r="AH316" s="680"/>
    </row>
    <row r="317" spans="1:34" s="536" customFormat="1" ht="12" x14ac:dyDescent="0.2">
      <c r="A317" s="548"/>
      <c r="B317" s="552"/>
      <c r="C317" s="1822" t="s">
        <v>204</v>
      </c>
      <c r="D317" s="1822"/>
      <c r="E317" s="1822"/>
      <c r="F317" s="1822"/>
      <c r="G317" s="1822"/>
      <c r="H317" s="1822"/>
      <c r="I317" s="1822"/>
      <c r="J317" s="1822"/>
      <c r="K317" s="1822"/>
      <c r="L317" s="551"/>
      <c r="M317" s="550"/>
      <c r="N317" s="549"/>
      <c r="V317" s="674"/>
      <c r="W317" s="675"/>
      <c r="AC317" s="675"/>
      <c r="AD317" s="675"/>
      <c r="AE317" s="675"/>
      <c r="AF317" s="537" t="s">
        <v>204</v>
      </c>
      <c r="AG317" s="675"/>
      <c r="AH317" s="680"/>
    </row>
    <row r="318" spans="1:34" s="536" customFormat="1" ht="12" x14ac:dyDescent="0.2">
      <c r="A318" s="548"/>
      <c r="B318" s="552"/>
      <c r="C318" s="1822" t="s">
        <v>8095</v>
      </c>
      <c r="D318" s="1822"/>
      <c r="E318" s="1822"/>
      <c r="F318" s="1822"/>
      <c r="G318" s="1822"/>
      <c r="H318" s="1822"/>
      <c r="I318" s="1822"/>
      <c r="J318" s="1822"/>
      <c r="K318" s="1822"/>
      <c r="L318" s="551">
        <v>6187.55</v>
      </c>
      <c r="M318" s="550"/>
      <c r="N318" s="549"/>
      <c r="V318" s="674"/>
      <c r="W318" s="675"/>
      <c r="AC318" s="675"/>
      <c r="AD318" s="675"/>
      <c r="AE318" s="675"/>
      <c r="AF318" s="537" t="s">
        <v>8095</v>
      </c>
      <c r="AG318" s="675"/>
      <c r="AH318" s="680"/>
    </row>
    <row r="319" spans="1:34" s="536" customFormat="1" ht="12" x14ac:dyDescent="0.2">
      <c r="A319" s="1824" t="s">
        <v>6847</v>
      </c>
      <c r="B319" s="1825"/>
      <c r="C319" s="1825"/>
      <c r="D319" s="1825"/>
      <c r="E319" s="1825"/>
      <c r="F319" s="1825"/>
      <c r="G319" s="1825"/>
      <c r="H319" s="1825"/>
      <c r="I319" s="1825"/>
      <c r="J319" s="1825"/>
      <c r="K319" s="1825"/>
      <c r="L319" s="1825"/>
      <c r="M319" s="1825"/>
      <c r="N319" s="1826"/>
      <c r="V319" s="674" t="s">
        <v>6847</v>
      </c>
      <c r="W319" s="675"/>
      <c r="AC319" s="675"/>
      <c r="AD319" s="675"/>
      <c r="AE319" s="675"/>
      <c r="AG319" s="675"/>
      <c r="AH319" s="680"/>
    </row>
    <row r="320" spans="1:34" s="536" customFormat="1" ht="45" x14ac:dyDescent="0.2">
      <c r="A320" s="575" t="s">
        <v>917</v>
      </c>
      <c r="B320" s="670" t="s">
        <v>1024</v>
      </c>
      <c r="C320" s="1823" t="s">
        <v>8841</v>
      </c>
      <c r="D320" s="1823"/>
      <c r="E320" s="1823"/>
      <c r="F320" s="573" t="s">
        <v>509</v>
      </c>
      <c r="G320" s="573"/>
      <c r="H320" s="573"/>
      <c r="I320" s="573" t="s">
        <v>4136</v>
      </c>
      <c r="J320" s="572"/>
      <c r="K320" s="573"/>
      <c r="L320" s="572"/>
      <c r="M320" s="571"/>
      <c r="N320" s="570"/>
      <c r="V320" s="674"/>
      <c r="W320" s="675" t="s">
        <v>8841</v>
      </c>
      <c r="AC320" s="675"/>
      <c r="AD320" s="675"/>
      <c r="AE320" s="675"/>
      <c r="AG320" s="675"/>
      <c r="AH320" s="680"/>
    </row>
    <row r="321" spans="1:34" s="536" customFormat="1" ht="12" x14ac:dyDescent="0.2">
      <c r="A321" s="676"/>
      <c r="B321" s="664"/>
      <c r="C321" s="1822" t="s">
        <v>4137</v>
      </c>
      <c r="D321" s="1822"/>
      <c r="E321" s="1822"/>
      <c r="F321" s="1822"/>
      <c r="G321" s="1822"/>
      <c r="H321" s="1822"/>
      <c r="I321" s="1822"/>
      <c r="J321" s="1822"/>
      <c r="K321" s="1822"/>
      <c r="L321" s="1822"/>
      <c r="M321" s="1822"/>
      <c r="N321" s="1827"/>
      <c r="V321" s="674"/>
      <c r="W321" s="675"/>
      <c r="X321" s="537" t="s">
        <v>4137</v>
      </c>
      <c r="AC321" s="675"/>
      <c r="AD321" s="675"/>
      <c r="AE321" s="675"/>
      <c r="AG321" s="675"/>
      <c r="AH321" s="680"/>
    </row>
    <row r="322" spans="1:34" s="536" customFormat="1" ht="33.75" x14ac:dyDescent="0.2">
      <c r="A322" s="609"/>
      <c r="B322" s="552" t="s">
        <v>310</v>
      </c>
      <c r="C322" s="1822" t="s">
        <v>311</v>
      </c>
      <c r="D322" s="1822"/>
      <c r="E322" s="1822"/>
      <c r="F322" s="1822"/>
      <c r="G322" s="1822"/>
      <c r="H322" s="1822"/>
      <c r="I322" s="1822"/>
      <c r="J322" s="1822"/>
      <c r="K322" s="1822"/>
      <c r="L322" s="1822"/>
      <c r="M322" s="1822"/>
      <c r="N322" s="1827"/>
      <c r="V322" s="674"/>
      <c r="W322" s="675"/>
      <c r="Y322" s="537" t="s">
        <v>311</v>
      </c>
      <c r="AC322" s="675"/>
      <c r="AD322" s="675"/>
      <c r="AE322" s="675"/>
      <c r="AG322" s="675"/>
      <c r="AH322" s="680"/>
    </row>
    <row r="323" spans="1:34" s="536" customFormat="1" ht="12" x14ac:dyDescent="0.2">
      <c r="A323" s="605"/>
      <c r="B323" s="552" t="s">
        <v>185</v>
      </c>
      <c r="C323" s="1822" t="s">
        <v>312</v>
      </c>
      <c r="D323" s="1822"/>
      <c r="E323" s="1822"/>
      <c r="F323" s="562"/>
      <c r="G323" s="562"/>
      <c r="H323" s="562"/>
      <c r="I323" s="562"/>
      <c r="J323" s="604">
        <v>115.49</v>
      </c>
      <c r="K323" s="562" t="s">
        <v>313</v>
      </c>
      <c r="L323" s="604">
        <v>2189.98</v>
      </c>
      <c r="M323" s="603"/>
      <c r="N323" s="602"/>
      <c r="V323" s="674"/>
      <c r="W323" s="675"/>
      <c r="Z323" s="537" t="s">
        <v>312</v>
      </c>
      <c r="AC323" s="675"/>
      <c r="AD323" s="675"/>
      <c r="AE323" s="675"/>
      <c r="AG323" s="675"/>
      <c r="AH323" s="680"/>
    </row>
    <row r="324" spans="1:34" s="536" customFormat="1" ht="12" x14ac:dyDescent="0.2">
      <c r="A324" s="605"/>
      <c r="B324" s="552" t="s">
        <v>186</v>
      </c>
      <c r="C324" s="1822" t="s">
        <v>344</v>
      </c>
      <c r="D324" s="1822"/>
      <c r="E324" s="1822"/>
      <c r="F324" s="562"/>
      <c r="G324" s="562"/>
      <c r="H324" s="562"/>
      <c r="I324" s="562"/>
      <c r="J324" s="604">
        <v>3357.76</v>
      </c>
      <c r="K324" s="562" t="s">
        <v>313</v>
      </c>
      <c r="L324" s="604">
        <v>63671.519999999997</v>
      </c>
      <c r="M324" s="603"/>
      <c r="N324" s="602"/>
      <c r="V324" s="674"/>
      <c r="W324" s="675"/>
      <c r="Z324" s="537" t="s">
        <v>344</v>
      </c>
      <c r="AC324" s="675"/>
      <c r="AD324" s="675"/>
      <c r="AE324" s="675"/>
      <c r="AG324" s="675"/>
      <c r="AH324" s="680"/>
    </row>
    <row r="325" spans="1:34" s="536" customFormat="1" ht="12" x14ac:dyDescent="0.2">
      <c r="A325" s="605"/>
      <c r="B325" s="552" t="s">
        <v>187</v>
      </c>
      <c r="C325" s="1822" t="s">
        <v>345</v>
      </c>
      <c r="D325" s="1822"/>
      <c r="E325" s="1822"/>
      <c r="F325" s="562"/>
      <c r="G325" s="562"/>
      <c r="H325" s="562"/>
      <c r="I325" s="562"/>
      <c r="J325" s="604">
        <v>181.59</v>
      </c>
      <c r="K325" s="562" t="s">
        <v>313</v>
      </c>
      <c r="L325" s="604">
        <v>3443.4</v>
      </c>
      <c r="M325" s="603"/>
      <c r="N325" s="602"/>
      <c r="V325" s="674"/>
      <c r="W325" s="675"/>
      <c r="Z325" s="537" t="s">
        <v>345</v>
      </c>
      <c r="AC325" s="675"/>
      <c r="AD325" s="675"/>
      <c r="AE325" s="675"/>
      <c r="AG325" s="675"/>
      <c r="AH325" s="680"/>
    </row>
    <row r="326" spans="1:34" s="536" customFormat="1" ht="12" x14ac:dyDescent="0.2">
      <c r="A326" s="605"/>
      <c r="B326" s="552" t="s">
        <v>188</v>
      </c>
      <c r="C326" s="1822" t="s">
        <v>475</v>
      </c>
      <c r="D326" s="1822"/>
      <c r="E326" s="1822"/>
      <c r="F326" s="562"/>
      <c r="G326" s="562"/>
      <c r="H326" s="562"/>
      <c r="I326" s="562"/>
      <c r="J326" s="604">
        <v>17.079999999999998</v>
      </c>
      <c r="K326" s="562"/>
      <c r="L326" s="604">
        <v>259.10000000000002</v>
      </c>
      <c r="M326" s="603"/>
      <c r="N326" s="602"/>
      <c r="V326" s="674"/>
      <c r="W326" s="675"/>
      <c r="Z326" s="537" t="s">
        <v>475</v>
      </c>
      <c r="AC326" s="675"/>
      <c r="AD326" s="675"/>
      <c r="AE326" s="675"/>
      <c r="AG326" s="675"/>
      <c r="AH326" s="680"/>
    </row>
    <row r="327" spans="1:34" s="536" customFormat="1" ht="12" x14ac:dyDescent="0.2">
      <c r="A327" s="676"/>
      <c r="B327" s="677" t="s">
        <v>1026</v>
      </c>
      <c r="C327" s="1829" t="s">
        <v>1027</v>
      </c>
      <c r="D327" s="1829"/>
      <c r="E327" s="1829"/>
      <c r="F327" s="678" t="s">
        <v>641</v>
      </c>
      <c r="G327" s="678" t="s">
        <v>525</v>
      </c>
      <c r="H327" s="678"/>
      <c r="I327" s="678" t="s">
        <v>525</v>
      </c>
      <c r="J327" s="552"/>
      <c r="K327" s="562"/>
      <c r="L327" s="604"/>
      <c r="M327" s="562"/>
      <c r="N327" s="679"/>
      <c r="V327" s="674"/>
      <c r="W327" s="675"/>
      <c r="AC327" s="675"/>
      <c r="AD327" s="675"/>
      <c r="AE327" s="675"/>
      <c r="AG327" s="675"/>
      <c r="AH327" s="680" t="s">
        <v>1027</v>
      </c>
    </row>
    <row r="328" spans="1:34" s="536" customFormat="1" ht="12" x14ac:dyDescent="0.2">
      <c r="A328" s="605"/>
      <c r="B328" s="552"/>
      <c r="C328" s="1822" t="s">
        <v>314</v>
      </c>
      <c r="D328" s="1822"/>
      <c r="E328" s="1822"/>
      <c r="F328" s="562" t="s">
        <v>315</v>
      </c>
      <c r="G328" s="562" t="s">
        <v>1028</v>
      </c>
      <c r="H328" s="562" t="s">
        <v>313</v>
      </c>
      <c r="I328" s="562" t="s">
        <v>4138</v>
      </c>
      <c r="J328" s="604"/>
      <c r="K328" s="562"/>
      <c r="L328" s="604"/>
      <c r="M328" s="603"/>
      <c r="N328" s="602"/>
      <c r="V328" s="674"/>
      <c r="W328" s="675"/>
      <c r="AA328" s="537" t="s">
        <v>314</v>
      </c>
      <c r="AC328" s="675"/>
      <c r="AD328" s="675"/>
      <c r="AE328" s="675"/>
      <c r="AG328" s="675"/>
      <c r="AH328" s="680"/>
    </row>
    <row r="329" spans="1:34" s="536" customFormat="1" ht="22.5" x14ac:dyDescent="0.2">
      <c r="A329" s="605"/>
      <c r="B329" s="552"/>
      <c r="C329" s="1822" t="s">
        <v>348</v>
      </c>
      <c r="D329" s="1822"/>
      <c r="E329" s="1822"/>
      <c r="F329" s="562" t="s">
        <v>315</v>
      </c>
      <c r="G329" s="562" t="s">
        <v>1029</v>
      </c>
      <c r="H329" s="562" t="s">
        <v>313</v>
      </c>
      <c r="I329" s="562" t="s">
        <v>4139</v>
      </c>
      <c r="J329" s="604"/>
      <c r="K329" s="562"/>
      <c r="L329" s="604"/>
      <c r="M329" s="603"/>
      <c r="N329" s="602"/>
      <c r="V329" s="674"/>
      <c r="W329" s="675"/>
      <c r="AA329" s="537" t="s">
        <v>348</v>
      </c>
      <c r="AC329" s="675"/>
      <c r="AD329" s="675"/>
      <c r="AE329" s="675"/>
      <c r="AG329" s="675"/>
      <c r="AH329" s="680"/>
    </row>
    <row r="330" spans="1:34" s="536" customFormat="1" ht="12" x14ac:dyDescent="0.2">
      <c r="A330" s="605"/>
      <c r="B330" s="552"/>
      <c r="C330" s="1828" t="s">
        <v>318</v>
      </c>
      <c r="D330" s="1828"/>
      <c r="E330" s="1828"/>
      <c r="F330" s="608"/>
      <c r="G330" s="608"/>
      <c r="H330" s="608"/>
      <c r="I330" s="608"/>
      <c r="J330" s="607">
        <v>3490.33</v>
      </c>
      <c r="K330" s="608"/>
      <c r="L330" s="607">
        <v>66120.600000000006</v>
      </c>
      <c r="M330" s="601"/>
      <c r="N330" s="606"/>
      <c r="V330" s="674"/>
      <c r="W330" s="675"/>
      <c r="AB330" s="537" t="s">
        <v>318</v>
      </c>
      <c r="AC330" s="675"/>
      <c r="AD330" s="675"/>
      <c r="AE330" s="675"/>
      <c r="AG330" s="675"/>
      <c r="AH330" s="680"/>
    </row>
    <row r="331" spans="1:34" s="536" customFormat="1" ht="12" x14ac:dyDescent="0.2">
      <c r="A331" s="605"/>
      <c r="B331" s="552"/>
      <c r="C331" s="1822" t="s">
        <v>319</v>
      </c>
      <c r="D331" s="1822"/>
      <c r="E331" s="1822"/>
      <c r="F331" s="562"/>
      <c r="G331" s="562"/>
      <c r="H331" s="562"/>
      <c r="I331" s="562"/>
      <c r="J331" s="604"/>
      <c r="K331" s="562"/>
      <c r="L331" s="604">
        <v>5633.38</v>
      </c>
      <c r="M331" s="603"/>
      <c r="N331" s="602"/>
      <c r="V331" s="674"/>
      <c r="W331" s="675"/>
      <c r="AA331" s="537" t="s">
        <v>319</v>
      </c>
      <c r="AC331" s="675"/>
      <c r="AD331" s="675"/>
      <c r="AE331" s="675"/>
      <c r="AG331" s="675"/>
      <c r="AH331" s="680"/>
    </row>
    <row r="332" spans="1:34" s="536" customFormat="1" ht="33.75" x14ac:dyDescent="0.2">
      <c r="A332" s="605"/>
      <c r="B332" s="552" t="s">
        <v>554</v>
      </c>
      <c r="C332" s="1822" t="s">
        <v>555</v>
      </c>
      <c r="D332" s="1822"/>
      <c r="E332" s="1822"/>
      <c r="F332" s="562" t="s">
        <v>322</v>
      </c>
      <c r="G332" s="562" t="s">
        <v>556</v>
      </c>
      <c r="H332" s="562"/>
      <c r="I332" s="562" t="s">
        <v>556</v>
      </c>
      <c r="J332" s="604"/>
      <c r="K332" s="562"/>
      <c r="L332" s="604">
        <v>7098.06</v>
      </c>
      <c r="M332" s="603"/>
      <c r="N332" s="602"/>
      <c r="V332" s="674"/>
      <c r="W332" s="675"/>
      <c r="AA332" s="537" t="s">
        <v>555</v>
      </c>
      <c r="AC332" s="675"/>
      <c r="AD332" s="675"/>
      <c r="AE332" s="675"/>
      <c r="AG332" s="675"/>
      <c r="AH332" s="680"/>
    </row>
    <row r="333" spans="1:34" s="536" customFormat="1" ht="33.75" x14ac:dyDescent="0.2">
      <c r="A333" s="605"/>
      <c r="B333" s="552" t="s">
        <v>557</v>
      </c>
      <c r="C333" s="1822" t="s">
        <v>558</v>
      </c>
      <c r="D333" s="1822"/>
      <c r="E333" s="1822"/>
      <c r="F333" s="562" t="s">
        <v>322</v>
      </c>
      <c r="G333" s="562" t="s">
        <v>559</v>
      </c>
      <c r="H333" s="562"/>
      <c r="I333" s="562" t="s">
        <v>559</v>
      </c>
      <c r="J333" s="604"/>
      <c r="K333" s="562"/>
      <c r="L333" s="604">
        <v>5351.71</v>
      </c>
      <c r="M333" s="603"/>
      <c r="N333" s="602"/>
      <c r="V333" s="674"/>
      <c r="W333" s="675"/>
      <c r="AA333" s="537" t="s">
        <v>558</v>
      </c>
      <c r="AC333" s="675"/>
      <c r="AD333" s="675"/>
      <c r="AE333" s="675"/>
      <c r="AG333" s="675"/>
      <c r="AH333" s="680"/>
    </row>
    <row r="334" spans="1:34" s="536" customFormat="1" ht="12" x14ac:dyDescent="0.2">
      <c r="A334" s="569"/>
      <c r="B334" s="671"/>
      <c r="C334" s="1823" t="s">
        <v>327</v>
      </c>
      <c r="D334" s="1823"/>
      <c r="E334" s="1823"/>
      <c r="F334" s="573"/>
      <c r="G334" s="573"/>
      <c r="H334" s="573"/>
      <c r="I334" s="573"/>
      <c r="J334" s="572"/>
      <c r="K334" s="573"/>
      <c r="L334" s="572">
        <v>78570.37</v>
      </c>
      <c r="M334" s="601"/>
      <c r="N334" s="570"/>
      <c r="V334" s="674"/>
      <c r="W334" s="675"/>
      <c r="AC334" s="675" t="s">
        <v>327</v>
      </c>
      <c r="AD334" s="675"/>
      <c r="AE334" s="675"/>
      <c r="AG334" s="675"/>
      <c r="AH334" s="680"/>
    </row>
    <row r="335" spans="1:34" s="536" customFormat="1" ht="12" x14ac:dyDescent="0.2">
      <c r="A335" s="575" t="s">
        <v>761</v>
      </c>
      <c r="B335" s="670" t="s">
        <v>1030</v>
      </c>
      <c r="C335" s="1823" t="s">
        <v>1031</v>
      </c>
      <c r="D335" s="1823"/>
      <c r="E335" s="1823"/>
      <c r="F335" s="573" t="s">
        <v>641</v>
      </c>
      <c r="G335" s="573"/>
      <c r="H335" s="573"/>
      <c r="I335" s="573" t="s">
        <v>4140</v>
      </c>
      <c r="J335" s="572">
        <v>60</v>
      </c>
      <c r="K335" s="573"/>
      <c r="L335" s="572">
        <v>111044.4</v>
      </c>
      <c r="M335" s="571"/>
      <c r="N335" s="570"/>
      <c r="V335" s="674"/>
      <c r="W335" s="675" t="s">
        <v>1031</v>
      </c>
      <c r="AC335" s="675"/>
      <c r="AD335" s="675"/>
      <c r="AE335" s="675"/>
      <c r="AG335" s="675"/>
      <c r="AH335" s="680"/>
    </row>
    <row r="336" spans="1:34" s="536" customFormat="1" ht="12" x14ac:dyDescent="0.2">
      <c r="A336" s="569"/>
      <c r="B336" s="671"/>
      <c r="C336" s="665" t="s">
        <v>717</v>
      </c>
      <c r="D336" s="666"/>
      <c r="E336" s="666"/>
      <c r="F336" s="563"/>
      <c r="G336" s="563"/>
      <c r="H336" s="563"/>
      <c r="I336" s="563"/>
      <c r="J336" s="566"/>
      <c r="K336" s="563"/>
      <c r="L336" s="566"/>
      <c r="M336" s="565"/>
      <c r="N336" s="564"/>
      <c r="V336" s="674"/>
      <c r="W336" s="675"/>
      <c r="AC336" s="675"/>
      <c r="AD336" s="675"/>
      <c r="AE336" s="675"/>
      <c r="AG336" s="675"/>
      <c r="AH336" s="680"/>
    </row>
    <row r="337" spans="1:34" s="536" customFormat="1" ht="12" x14ac:dyDescent="0.2">
      <c r="A337" s="676"/>
      <c r="B337" s="664"/>
      <c r="C337" s="1822" t="s">
        <v>4141</v>
      </c>
      <c r="D337" s="1822"/>
      <c r="E337" s="1822"/>
      <c r="F337" s="1822"/>
      <c r="G337" s="1822"/>
      <c r="H337" s="1822"/>
      <c r="I337" s="1822"/>
      <c r="J337" s="1822"/>
      <c r="K337" s="1822"/>
      <c r="L337" s="1822"/>
      <c r="M337" s="1822"/>
      <c r="N337" s="1827"/>
      <c r="V337" s="674"/>
      <c r="W337" s="675"/>
      <c r="X337" s="537" t="s">
        <v>4141</v>
      </c>
      <c r="AC337" s="675"/>
      <c r="AD337" s="675"/>
      <c r="AE337" s="675"/>
      <c r="AG337" s="675"/>
      <c r="AH337" s="680"/>
    </row>
    <row r="338" spans="1:34" s="536" customFormat="1" ht="56.25" x14ac:dyDescent="0.2">
      <c r="A338" s="575" t="s">
        <v>762</v>
      </c>
      <c r="B338" s="670" t="s">
        <v>1032</v>
      </c>
      <c r="C338" s="1823" t="s">
        <v>1033</v>
      </c>
      <c r="D338" s="1823"/>
      <c r="E338" s="1823"/>
      <c r="F338" s="573" t="s">
        <v>1034</v>
      </c>
      <c r="G338" s="573"/>
      <c r="H338" s="573"/>
      <c r="I338" s="573" t="s">
        <v>4142</v>
      </c>
      <c r="J338" s="572"/>
      <c r="K338" s="573"/>
      <c r="L338" s="572"/>
      <c r="M338" s="571"/>
      <c r="N338" s="570"/>
      <c r="V338" s="674"/>
      <c r="W338" s="675" t="s">
        <v>1033</v>
      </c>
      <c r="AC338" s="675"/>
      <c r="AD338" s="675"/>
      <c r="AE338" s="675"/>
      <c r="AG338" s="675"/>
      <c r="AH338" s="680"/>
    </row>
    <row r="339" spans="1:34" s="536" customFormat="1" ht="12" x14ac:dyDescent="0.2">
      <c r="A339" s="676"/>
      <c r="B339" s="664"/>
      <c r="C339" s="1822" t="s">
        <v>4143</v>
      </c>
      <c r="D339" s="1822"/>
      <c r="E339" s="1822"/>
      <c r="F339" s="1822"/>
      <c r="G339" s="1822"/>
      <c r="H339" s="1822"/>
      <c r="I339" s="1822"/>
      <c r="J339" s="1822"/>
      <c r="K339" s="1822"/>
      <c r="L339" s="1822"/>
      <c r="M339" s="1822"/>
      <c r="N339" s="1827"/>
      <c r="V339" s="674"/>
      <c r="W339" s="675"/>
      <c r="X339" s="537" t="s">
        <v>4143</v>
      </c>
      <c r="AC339" s="675"/>
      <c r="AD339" s="675"/>
      <c r="AE339" s="675"/>
      <c r="AG339" s="675"/>
      <c r="AH339" s="680"/>
    </row>
    <row r="340" spans="1:34" s="536" customFormat="1" ht="33.75" x14ac:dyDescent="0.2">
      <c r="A340" s="609"/>
      <c r="B340" s="552" t="s">
        <v>310</v>
      </c>
      <c r="C340" s="1822" t="s">
        <v>311</v>
      </c>
      <c r="D340" s="1822"/>
      <c r="E340" s="1822"/>
      <c r="F340" s="1822"/>
      <c r="G340" s="1822"/>
      <c r="H340" s="1822"/>
      <c r="I340" s="1822"/>
      <c r="J340" s="1822"/>
      <c r="K340" s="1822"/>
      <c r="L340" s="1822"/>
      <c r="M340" s="1822"/>
      <c r="N340" s="1827"/>
      <c r="V340" s="674"/>
      <c r="W340" s="675"/>
      <c r="Y340" s="537" t="s">
        <v>311</v>
      </c>
      <c r="AC340" s="675"/>
      <c r="AD340" s="675"/>
      <c r="AE340" s="675"/>
      <c r="AG340" s="675"/>
      <c r="AH340" s="680"/>
    </row>
    <row r="341" spans="1:34" s="536" customFormat="1" ht="12" x14ac:dyDescent="0.2">
      <c r="A341" s="605"/>
      <c r="B341" s="552" t="s">
        <v>185</v>
      </c>
      <c r="C341" s="1822" t="s">
        <v>312</v>
      </c>
      <c r="D341" s="1822"/>
      <c r="E341" s="1822"/>
      <c r="F341" s="562"/>
      <c r="G341" s="562"/>
      <c r="H341" s="562"/>
      <c r="I341" s="562"/>
      <c r="J341" s="604">
        <v>253.43</v>
      </c>
      <c r="K341" s="562" t="s">
        <v>313</v>
      </c>
      <c r="L341" s="604">
        <v>2909.15</v>
      </c>
      <c r="M341" s="603"/>
      <c r="N341" s="602"/>
      <c r="V341" s="674"/>
      <c r="W341" s="675"/>
      <c r="Z341" s="537" t="s">
        <v>312</v>
      </c>
      <c r="AC341" s="675"/>
      <c r="AD341" s="675"/>
      <c r="AE341" s="675"/>
      <c r="AG341" s="675"/>
      <c r="AH341" s="680"/>
    </row>
    <row r="342" spans="1:34" s="536" customFormat="1" ht="12" x14ac:dyDescent="0.2">
      <c r="A342" s="605"/>
      <c r="B342" s="552" t="s">
        <v>186</v>
      </c>
      <c r="C342" s="1822" t="s">
        <v>344</v>
      </c>
      <c r="D342" s="1822"/>
      <c r="E342" s="1822"/>
      <c r="F342" s="562"/>
      <c r="G342" s="562"/>
      <c r="H342" s="562"/>
      <c r="I342" s="562"/>
      <c r="J342" s="604">
        <v>4745.3</v>
      </c>
      <c r="K342" s="562" t="s">
        <v>313</v>
      </c>
      <c r="L342" s="604">
        <v>54471.89</v>
      </c>
      <c r="M342" s="603"/>
      <c r="N342" s="602"/>
      <c r="V342" s="674"/>
      <c r="W342" s="675"/>
      <c r="Z342" s="537" t="s">
        <v>344</v>
      </c>
      <c r="AC342" s="675"/>
      <c r="AD342" s="675"/>
      <c r="AE342" s="675"/>
      <c r="AG342" s="675"/>
      <c r="AH342" s="680"/>
    </row>
    <row r="343" spans="1:34" s="536" customFormat="1" ht="12" x14ac:dyDescent="0.2">
      <c r="A343" s="605"/>
      <c r="B343" s="552" t="s">
        <v>187</v>
      </c>
      <c r="C343" s="1822" t="s">
        <v>345</v>
      </c>
      <c r="D343" s="1822"/>
      <c r="E343" s="1822"/>
      <c r="F343" s="562"/>
      <c r="G343" s="562"/>
      <c r="H343" s="562"/>
      <c r="I343" s="562"/>
      <c r="J343" s="604">
        <v>263.3</v>
      </c>
      <c r="K343" s="562" t="s">
        <v>313</v>
      </c>
      <c r="L343" s="604">
        <v>3022.45</v>
      </c>
      <c r="M343" s="603"/>
      <c r="N343" s="602"/>
      <c r="V343" s="674"/>
      <c r="W343" s="675"/>
      <c r="Z343" s="537" t="s">
        <v>345</v>
      </c>
      <c r="AC343" s="675"/>
      <c r="AD343" s="675"/>
      <c r="AE343" s="675"/>
      <c r="AG343" s="675"/>
      <c r="AH343" s="680"/>
    </row>
    <row r="344" spans="1:34" s="536" customFormat="1" ht="12" x14ac:dyDescent="0.2">
      <c r="A344" s="605"/>
      <c r="B344" s="552" t="s">
        <v>188</v>
      </c>
      <c r="C344" s="1822" t="s">
        <v>475</v>
      </c>
      <c r="D344" s="1822"/>
      <c r="E344" s="1822"/>
      <c r="F344" s="562"/>
      <c r="G344" s="562"/>
      <c r="H344" s="562"/>
      <c r="I344" s="562"/>
      <c r="J344" s="604">
        <v>61</v>
      </c>
      <c r="K344" s="562"/>
      <c r="L344" s="604">
        <v>560.17999999999995</v>
      </c>
      <c r="M344" s="603"/>
      <c r="N344" s="602"/>
      <c r="V344" s="674"/>
      <c r="W344" s="675"/>
      <c r="Z344" s="537" t="s">
        <v>475</v>
      </c>
      <c r="AC344" s="675"/>
      <c r="AD344" s="675"/>
      <c r="AE344" s="675"/>
      <c r="AG344" s="675"/>
      <c r="AH344" s="680"/>
    </row>
    <row r="345" spans="1:34" s="536" customFormat="1" ht="22.5" x14ac:dyDescent="0.2">
      <c r="A345" s="676"/>
      <c r="B345" s="677" t="s">
        <v>1026</v>
      </c>
      <c r="C345" s="1829" t="s">
        <v>1035</v>
      </c>
      <c r="D345" s="1829"/>
      <c r="E345" s="1829"/>
      <c r="F345" s="678" t="s">
        <v>641</v>
      </c>
      <c r="G345" s="678" t="s">
        <v>525</v>
      </c>
      <c r="H345" s="678"/>
      <c r="I345" s="678" t="s">
        <v>525</v>
      </c>
      <c r="J345" s="552"/>
      <c r="K345" s="562"/>
      <c r="L345" s="604"/>
      <c r="M345" s="562"/>
      <c r="N345" s="679"/>
      <c r="V345" s="674"/>
      <c r="W345" s="675"/>
      <c r="AC345" s="675"/>
      <c r="AD345" s="675"/>
      <c r="AE345" s="675"/>
      <c r="AG345" s="675"/>
      <c r="AH345" s="680" t="s">
        <v>1035</v>
      </c>
    </row>
    <row r="346" spans="1:34" s="536" customFormat="1" ht="22.5" x14ac:dyDescent="0.2">
      <c r="A346" s="605"/>
      <c r="B346" s="552"/>
      <c r="C346" s="1822" t="s">
        <v>314</v>
      </c>
      <c r="D346" s="1822"/>
      <c r="E346" s="1822"/>
      <c r="F346" s="562" t="s">
        <v>315</v>
      </c>
      <c r="G346" s="562" t="s">
        <v>1036</v>
      </c>
      <c r="H346" s="562" t="s">
        <v>313</v>
      </c>
      <c r="I346" s="562" t="s">
        <v>4144</v>
      </c>
      <c r="J346" s="604"/>
      <c r="K346" s="562"/>
      <c r="L346" s="604"/>
      <c r="M346" s="603"/>
      <c r="N346" s="602"/>
      <c r="V346" s="674"/>
      <c r="W346" s="675"/>
      <c r="AA346" s="537" t="s">
        <v>314</v>
      </c>
      <c r="AC346" s="675"/>
      <c r="AD346" s="675"/>
      <c r="AE346" s="675"/>
      <c r="AG346" s="675"/>
      <c r="AH346" s="680"/>
    </row>
    <row r="347" spans="1:34" s="536" customFormat="1" ht="22.5" x14ac:dyDescent="0.2">
      <c r="A347" s="605"/>
      <c r="B347" s="552"/>
      <c r="C347" s="1822" t="s">
        <v>348</v>
      </c>
      <c r="D347" s="1822"/>
      <c r="E347" s="1822"/>
      <c r="F347" s="562" t="s">
        <v>315</v>
      </c>
      <c r="G347" s="562" t="s">
        <v>1037</v>
      </c>
      <c r="H347" s="562" t="s">
        <v>313</v>
      </c>
      <c r="I347" s="562" t="s">
        <v>4145</v>
      </c>
      <c r="J347" s="604"/>
      <c r="K347" s="562"/>
      <c r="L347" s="604"/>
      <c r="M347" s="603"/>
      <c r="N347" s="602"/>
      <c r="V347" s="674"/>
      <c r="W347" s="675"/>
      <c r="AA347" s="537" t="s">
        <v>348</v>
      </c>
      <c r="AC347" s="675"/>
      <c r="AD347" s="675"/>
      <c r="AE347" s="675"/>
      <c r="AG347" s="675"/>
      <c r="AH347" s="680"/>
    </row>
    <row r="348" spans="1:34" s="536" customFormat="1" ht="12" x14ac:dyDescent="0.2">
      <c r="A348" s="605"/>
      <c r="B348" s="552"/>
      <c r="C348" s="1828" t="s">
        <v>318</v>
      </c>
      <c r="D348" s="1828"/>
      <c r="E348" s="1828"/>
      <c r="F348" s="608"/>
      <c r="G348" s="608"/>
      <c r="H348" s="608"/>
      <c r="I348" s="608"/>
      <c r="J348" s="607">
        <v>5059.7299999999996</v>
      </c>
      <c r="K348" s="608"/>
      <c r="L348" s="607">
        <v>57941.22</v>
      </c>
      <c r="M348" s="601"/>
      <c r="N348" s="606"/>
      <c r="V348" s="674"/>
      <c r="W348" s="675"/>
      <c r="AB348" s="537" t="s">
        <v>318</v>
      </c>
      <c r="AC348" s="675"/>
      <c r="AD348" s="675"/>
      <c r="AE348" s="675"/>
      <c r="AG348" s="675"/>
      <c r="AH348" s="680"/>
    </row>
    <row r="349" spans="1:34" s="536" customFormat="1" ht="12" x14ac:dyDescent="0.2">
      <c r="A349" s="605"/>
      <c r="B349" s="552"/>
      <c r="C349" s="1822" t="s">
        <v>319</v>
      </c>
      <c r="D349" s="1822"/>
      <c r="E349" s="1822"/>
      <c r="F349" s="562"/>
      <c r="G349" s="562"/>
      <c r="H349" s="562"/>
      <c r="I349" s="562"/>
      <c r="J349" s="604"/>
      <c r="K349" s="562"/>
      <c r="L349" s="604">
        <v>5931.6</v>
      </c>
      <c r="M349" s="603"/>
      <c r="N349" s="602"/>
      <c r="V349" s="674"/>
      <c r="W349" s="675"/>
      <c r="AA349" s="537" t="s">
        <v>319</v>
      </c>
      <c r="AC349" s="675"/>
      <c r="AD349" s="675"/>
      <c r="AE349" s="675"/>
      <c r="AG349" s="675"/>
      <c r="AH349" s="680"/>
    </row>
    <row r="350" spans="1:34" s="536" customFormat="1" ht="33.75" x14ac:dyDescent="0.2">
      <c r="A350" s="605"/>
      <c r="B350" s="552" t="s">
        <v>554</v>
      </c>
      <c r="C350" s="1822" t="s">
        <v>555</v>
      </c>
      <c r="D350" s="1822"/>
      <c r="E350" s="1822"/>
      <c r="F350" s="562" t="s">
        <v>322</v>
      </c>
      <c r="G350" s="562" t="s">
        <v>556</v>
      </c>
      <c r="H350" s="562"/>
      <c r="I350" s="562" t="s">
        <v>556</v>
      </c>
      <c r="J350" s="604"/>
      <c r="K350" s="562"/>
      <c r="L350" s="604">
        <v>7473.82</v>
      </c>
      <c r="M350" s="603"/>
      <c r="N350" s="602"/>
      <c r="V350" s="674"/>
      <c r="W350" s="675"/>
      <c r="AA350" s="537" t="s">
        <v>555</v>
      </c>
      <c r="AC350" s="675"/>
      <c r="AD350" s="675"/>
      <c r="AE350" s="675"/>
      <c r="AG350" s="675"/>
      <c r="AH350" s="680"/>
    </row>
    <row r="351" spans="1:34" s="536" customFormat="1" ht="33.75" x14ac:dyDescent="0.2">
      <c r="A351" s="605"/>
      <c r="B351" s="552" t="s">
        <v>557</v>
      </c>
      <c r="C351" s="1822" t="s">
        <v>558</v>
      </c>
      <c r="D351" s="1822"/>
      <c r="E351" s="1822"/>
      <c r="F351" s="562" t="s">
        <v>322</v>
      </c>
      <c r="G351" s="562" t="s">
        <v>559</v>
      </c>
      <c r="H351" s="562"/>
      <c r="I351" s="562" t="s">
        <v>559</v>
      </c>
      <c r="J351" s="604"/>
      <c r="K351" s="562"/>
      <c r="L351" s="604">
        <v>5635.02</v>
      </c>
      <c r="M351" s="603"/>
      <c r="N351" s="602"/>
      <c r="V351" s="674"/>
      <c r="W351" s="675"/>
      <c r="AA351" s="537" t="s">
        <v>558</v>
      </c>
      <c r="AC351" s="675"/>
      <c r="AD351" s="675"/>
      <c r="AE351" s="675"/>
      <c r="AG351" s="675"/>
      <c r="AH351" s="680"/>
    </row>
    <row r="352" spans="1:34" s="536" customFormat="1" ht="12" x14ac:dyDescent="0.2">
      <c r="A352" s="569"/>
      <c r="B352" s="671"/>
      <c r="C352" s="1823" t="s">
        <v>327</v>
      </c>
      <c r="D352" s="1823"/>
      <c r="E352" s="1823"/>
      <c r="F352" s="573"/>
      <c r="G352" s="573"/>
      <c r="H352" s="573"/>
      <c r="I352" s="573"/>
      <c r="J352" s="572"/>
      <c r="K352" s="573"/>
      <c r="L352" s="572">
        <v>71050.06</v>
      </c>
      <c r="M352" s="601"/>
      <c r="N352" s="570"/>
      <c r="V352" s="674"/>
      <c r="W352" s="675"/>
      <c r="AC352" s="675" t="s">
        <v>327</v>
      </c>
      <c r="AD352" s="675"/>
      <c r="AE352" s="675"/>
      <c r="AG352" s="675"/>
      <c r="AH352" s="680"/>
    </row>
    <row r="353" spans="1:34" s="536" customFormat="1" ht="45" x14ac:dyDescent="0.2">
      <c r="A353" s="575" t="s">
        <v>763</v>
      </c>
      <c r="B353" s="670" t="s">
        <v>1038</v>
      </c>
      <c r="C353" s="1823" t="s">
        <v>1039</v>
      </c>
      <c r="D353" s="1823"/>
      <c r="E353" s="1823"/>
      <c r="F353" s="573" t="s">
        <v>1034</v>
      </c>
      <c r="G353" s="573"/>
      <c r="H353" s="573"/>
      <c r="I353" s="573" t="s">
        <v>4142</v>
      </c>
      <c r="J353" s="572"/>
      <c r="K353" s="573"/>
      <c r="L353" s="572"/>
      <c r="M353" s="571"/>
      <c r="N353" s="570"/>
      <c r="V353" s="674"/>
      <c r="W353" s="675" t="s">
        <v>1039</v>
      </c>
      <c r="AC353" s="675"/>
      <c r="AD353" s="675"/>
      <c r="AE353" s="675"/>
      <c r="AG353" s="675"/>
      <c r="AH353" s="680"/>
    </row>
    <row r="354" spans="1:34" s="536" customFormat="1" ht="12" x14ac:dyDescent="0.2">
      <c r="A354" s="676"/>
      <c r="B354" s="664"/>
      <c r="C354" s="1822" t="s">
        <v>4143</v>
      </c>
      <c r="D354" s="1822"/>
      <c r="E354" s="1822"/>
      <c r="F354" s="1822"/>
      <c r="G354" s="1822"/>
      <c r="H354" s="1822"/>
      <c r="I354" s="1822"/>
      <c r="J354" s="1822"/>
      <c r="K354" s="1822"/>
      <c r="L354" s="1822"/>
      <c r="M354" s="1822"/>
      <c r="N354" s="1827"/>
      <c r="V354" s="674"/>
      <c r="W354" s="675"/>
      <c r="X354" s="537" t="s">
        <v>4143</v>
      </c>
      <c r="AC354" s="675"/>
      <c r="AD354" s="675"/>
      <c r="AE354" s="675"/>
      <c r="AG354" s="675"/>
      <c r="AH354" s="680"/>
    </row>
    <row r="355" spans="1:34" s="536" customFormat="1" ht="12" x14ac:dyDescent="0.2">
      <c r="A355" s="609"/>
      <c r="B355" s="552"/>
      <c r="C355" s="1822" t="s">
        <v>4146</v>
      </c>
      <c r="D355" s="1822"/>
      <c r="E355" s="1822"/>
      <c r="F355" s="1822"/>
      <c r="G355" s="1822"/>
      <c r="H355" s="1822"/>
      <c r="I355" s="1822"/>
      <c r="J355" s="1822"/>
      <c r="K355" s="1822"/>
      <c r="L355" s="1822"/>
      <c r="M355" s="1822"/>
      <c r="N355" s="1827"/>
      <c r="V355" s="674"/>
      <c r="W355" s="675"/>
      <c r="Y355" s="537" t="s">
        <v>4146</v>
      </c>
      <c r="AC355" s="675"/>
      <c r="AD355" s="675"/>
      <c r="AE355" s="675"/>
      <c r="AG355" s="675"/>
      <c r="AH355" s="680"/>
    </row>
    <row r="356" spans="1:34" s="536" customFormat="1" ht="33.75" x14ac:dyDescent="0.2">
      <c r="A356" s="609"/>
      <c r="B356" s="552" t="s">
        <v>310</v>
      </c>
      <c r="C356" s="1822" t="s">
        <v>311</v>
      </c>
      <c r="D356" s="1822"/>
      <c r="E356" s="1822"/>
      <c r="F356" s="1822"/>
      <c r="G356" s="1822"/>
      <c r="H356" s="1822"/>
      <c r="I356" s="1822"/>
      <c r="J356" s="1822"/>
      <c r="K356" s="1822"/>
      <c r="L356" s="1822"/>
      <c r="M356" s="1822"/>
      <c r="N356" s="1827"/>
      <c r="V356" s="674"/>
      <c r="W356" s="675"/>
      <c r="Y356" s="537" t="s">
        <v>311</v>
      </c>
      <c r="AC356" s="675"/>
      <c r="AD356" s="675"/>
      <c r="AE356" s="675"/>
      <c r="AG356" s="675"/>
      <c r="AH356" s="680"/>
    </row>
    <row r="357" spans="1:34" s="536" customFormat="1" ht="12" x14ac:dyDescent="0.2">
      <c r="A357" s="605"/>
      <c r="B357" s="552" t="s">
        <v>186</v>
      </c>
      <c r="C357" s="1822" t="s">
        <v>344</v>
      </c>
      <c r="D357" s="1822"/>
      <c r="E357" s="1822"/>
      <c r="F357" s="562"/>
      <c r="G357" s="562"/>
      <c r="H357" s="562"/>
      <c r="I357" s="562"/>
      <c r="J357" s="604">
        <v>119.54</v>
      </c>
      <c r="K357" s="562" t="s">
        <v>1041</v>
      </c>
      <c r="L357" s="604">
        <v>20583.22</v>
      </c>
      <c r="M357" s="603"/>
      <c r="N357" s="602"/>
      <c r="V357" s="674"/>
      <c r="W357" s="675"/>
      <c r="Z357" s="537" t="s">
        <v>344</v>
      </c>
      <c r="AC357" s="675"/>
      <c r="AD357" s="675"/>
      <c r="AE357" s="675"/>
      <c r="AG357" s="675"/>
      <c r="AH357" s="680"/>
    </row>
    <row r="358" spans="1:34" s="536" customFormat="1" ht="12" x14ac:dyDescent="0.2">
      <c r="A358" s="605"/>
      <c r="B358" s="552" t="s">
        <v>187</v>
      </c>
      <c r="C358" s="1822" t="s">
        <v>345</v>
      </c>
      <c r="D358" s="1822"/>
      <c r="E358" s="1822"/>
      <c r="F358" s="562"/>
      <c r="G358" s="562"/>
      <c r="H358" s="562"/>
      <c r="I358" s="562"/>
      <c r="J358" s="604">
        <v>5.78</v>
      </c>
      <c r="K358" s="562" t="s">
        <v>1041</v>
      </c>
      <c r="L358" s="604">
        <v>995.24</v>
      </c>
      <c r="M358" s="603"/>
      <c r="N358" s="602"/>
      <c r="V358" s="674"/>
      <c r="W358" s="675"/>
      <c r="Z358" s="537" t="s">
        <v>345</v>
      </c>
      <c r="AC358" s="675"/>
      <c r="AD358" s="675"/>
      <c r="AE358" s="675"/>
      <c r="AG358" s="675"/>
      <c r="AH358" s="680"/>
    </row>
    <row r="359" spans="1:34" s="536" customFormat="1" ht="22.5" x14ac:dyDescent="0.2">
      <c r="A359" s="676"/>
      <c r="B359" s="677" t="s">
        <v>1026</v>
      </c>
      <c r="C359" s="1829" t="s">
        <v>1035</v>
      </c>
      <c r="D359" s="1829"/>
      <c r="E359" s="1829"/>
      <c r="F359" s="678" t="s">
        <v>641</v>
      </c>
      <c r="G359" s="678" t="s">
        <v>525</v>
      </c>
      <c r="H359" s="678" t="s">
        <v>199</v>
      </c>
      <c r="I359" s="678" t="s">
        <v>525</v>
      </c>
      <c r="J359" s="552"/>
      <c r="K359" s="562"/>
      <c r="L359" s="604"/>
      <c r="M359" s="562"/>
      <c r="N359" s="679"/>
      <c r="V359" s="674"/>
      <c r="W359" s="675"/>
      <c r="AC359" s="675"/>
      <c r="AD359" s="675"/>
      <c r="AE359" s="675"/>
      <c r="AG359" s="675"/>
      <c r="AH359" s="680" t="s">
        <v>1035</v>
      </c>
    </row>
    <row r="360" spans="1:34" s="536" customFormat="1" ht="22.5" x14ac:dyDescent="0.2">
      <c r="A360" s="605"/>
      <c r="B360" s="552"/>
      <c r="C360" s="1822" t="s">
        <v>348</v>
      </c>
      <c r="D360" s="1822"/>
      <c r="E360" s="1822"/>
      <c r="F360" s="562" t="s">
        <v>315</v>
      </c>
      <c r="G360" s="562" t="s">
        <v>1042</v>
      </c>
      <c r="H360" s="562" t="s">
        <v>1041</v>
      </c>
      <c r="I360" s="562" t="s">
        <v>4147</v>
      </c>
      <c r="J360" s="604"/>
      <c r="K360" s="562"/>
      <c r="L360" s="604"/>
      <c r="M360" s="603"/>
      <c r="N360" s="602"/>
      <c r="V360" s="674"/>
      <c r="W360" s="675"/>
      <c r="AA360" s="537" t="s">
        <v>348</v>
      </c>
      <c r="AC360" s="675"/>
      <c r="AD360" s="675"/>
      <c r="AE360" s="675"/>
      <c r="AG360" s="675"/>
      <c r="AH360" s="680"/>
    </row>
    <row r="361" spans="1:34" s="536" customFormat="1" ht="12" x14ac:dyDescent="0.2">
      <c r="A361" s="605"/>
      <c r="B361" s="552"/>
      <c r="C361" s="1828" t="s">
        <v>318</v>
      </c>
      <c r="D361" s="1828"/>
      <c r="E361" s="1828"/>
      <c r="F361" s="608"/>
      <c r="G361" s="608"/>
      <c r="H361" s="608"/>
      <c r="I361" s="608"/>
      <c r="J361" s="607">
        <v>119.54</v>
      </c>
      <c r="K361" s="608"/>
      <c r="L361" s="607">
        <v>20583.22</v>
      </c>
      <c r="M361" s="601"/>
      <c r="N361" s="606"/>
      <c r="V361" s="674"/>
      <c r="W361" s="675"/>
      <c r="AB361" s="537" t="s">
        <v>318</v>
      </c>
      <c r="AC361" s="675"/>
      <c r="AD361" s="675"/>
      <c r="AE361" s="675"/>
      <c r="AG361" s="675"/>
      <c r="AH361" s="680"/>
    </row>
    <row r="362" spans="1:34" s="536" customFormat="1" ht="12" x14ac:dyDescent="0.2">
      <c r="A362" s="605"/>
      <c r="B362" s="552"/>
      <c r="C362" s="1822" t="s">
        <v>319</v>
      </c>
      <c r="D362" s="1822"/>
      <c r="E362" s="1822"/>
      <c r="F362" s="562"/>
      <c r="G362" s="562"/>
      <c r="H362" s="562"/>
      <c r="I362" s="562"/>
      <c r="J362" s="604"/>
      <c r="K362" s="562"/>
      <c r="L362" s="604">
        <v>995.24</v>
      </c>
      <c r="M362" s="603"/>
      <c r="N362" s="602"/>
      <c r="V362" s="674"/>
      <c r="W362" s="675"/>
      <c r="AA362" s="537" t="s">
        <v>319</v>
      </c>
      <c r="AC362" s="675"/>
      <c r="AD362" s="675"/>
      <c r="AE362" s="675"/>
      <c r="AG362" s="675"/>
      <c r="AH362" s="680"/>
    </row>
    <row r="363" spans="1:34" s="536" customFormat="1" ht="33.75" x14ac:dyDescent="0.2">
      <c r="A363" s="605"/>
      <c r="B363" s="552" t="s">
        <v>554</v>
      </c>
      <c r="C363" s="1822" t="s">
        <v>555</v>
      </c>
      <c r="D363" s="1822"/>
      <c r="E363" s="1822"/>
      <c r="F363" s="562" t="s">
        <v>322</v>
      </c>
      <c r="G363" s="562" t="s">
        <v>556</v>
      </c>
      <c r="H363" s="562"/>
      <c r="I363" s="562" t="s">
        <v>556</v>
      </c>
      <c r="J363" s="604"/>
      <c r="K363" s="562"/>
      <c r="L363" s="604">
        <v>1254</v>
      </c>
      <c r="M363" s="603"/>
      <c r="N363" s="602"/>
      <c r="V363" s="674"/>
      <c r="W363" s="675"/>
      <c r="AA363" s="537" t="s">
        <v>555</v>
      </c>
      <c r="AC363" s="675"/>
      <c r="AD363" s="675"/>
      <c r="AE363" s="675"/>
      <c r="AG363" s="675"/>
      <c r="AH363" s="680"/>
    </row>
    <row r="364" spans="1:34" s="536" customFormat="1" ht="33.75" x14ac:dyDescent="0.2">
      <c r="A364" s="605"/>
      <c r="B364" s="552" t="s">
        <v>557</v>
      </c>
      <c r="C364" s="1822" t="s">
        <v>558</v>
      </c>
      <c r="D364" s="1822"/>
      <c r="E364" s="1822"/>
      <c r="F364" s="562" t="s">
        <v>322</v>
      </c>
      <c r="G364" s="562" t="s">
        <v>559</v>
      </c>
      <c r="H364" s="562"/>
      <c r="I364" s="562" t="s">
        <v>559</v>
      </c>
      <c r="J364" s="604"/>
      <c r="K364" s="562"/>
      <c r="L364" s="604">
        <v>945.48</v>
      </c>
      <c r="M364" s="603"/>
      <c r="N364" s="602"/>
      <c r="V364" s="674"/>
      <c r="W364" s="675"/>
      <c r="AA364" s="537" t="s">
        <v>558</v>
      </c>
      <c r="AC364" s="675"/>
      <c r="AD364" s="675"/>
      <c r="AE364" s="675"/>
      <c r="AG364" s="675"/>
      <c r="AH364" s="680"/>
    </row>
    <row r="365" spans="1:34" s="536" customFormat="1" ht="12" x14ac:dyDescent="0.2">
      <c r="A365" s="569"/>
      <c r="B365" s="671"/>
      <c r="C365" s="1823" t="s">
        <v>327</v>
      </c>
      <c r="D365" s="1823"/>
      <c r="E365" s="1823"/>
      <c r="F365" s="573"/>
      <c r="G365" s="573"/>
      <c r="H365" s="573"/>
      <c r="I365" s="573"/>
      <c r="J365" s="572"/>
      <c r="K365" s="573"/>
      <c r="L365" s="572">
        <v>22782.7</v>
      </c>
      <c r="M365" s="601"/>
      <c r="N365" s="570"/>
      <c r="V365" s="674"/>
      <c r="W365" s="675"/>
      <c r="AC365" s="675" t="s">
        <v>327</v>
      </c>
      <c r="AD365" s="675"/>
      <c r="AE365" s="675"/>
      <c r="AG365" s="675"/>
      <c r="AH365" s="680"/>
    </row>
    <row r="366" spans="1:34" s="536" customFormat="1" ht="45" x14ac:dyDescent="0.2">
      <c r="A366" s="575" t="s">
        <v>922</v>
      </c>
      <c r="B366" s="670" t="s">
        <v>1043</v>
      </c>
      <c r="C366" s="1823" t="s">
        <v>1044</v>
      </c>
      <c r="D366" s="1823"/>
      <c r="E366" s="1823"/>
      <c r="F366" s="573" t="s">
        <v>641</v>
      </c>
      <c r="G366" s="573"/>
      <c r="H366" s="573"/>
      <c r="I366" s="573" t="s">
        <v>4148</v>
      </c>
      <c r="J366" s="572">
        <v>168.78</v>
      </c>
      <c r="K366" s="573"/>
      <c r="L366" s="572">
        <v>511487.79</v>
      </c>
      <c r="M366" s="571"/>
      <c r="N366" s="570"/>
      <c r="V366" s="674"/>
      <c r="W366" s="675" t="s">
        <v>1044</v>
      </c>
      <c r="AC366" s="675"/>
      <c r="AD366" s="675"/>
      <c r="AE366" s="675"/>
      <c r="AG366" s="675"/>
      <c r="AH366" s="680"/>
    </row>
    <row r="367" spans="1:34" s="536" customFormat="1" ht="12" x14ac:dyDescent="0.2">
      <c r="A367" s="569"/>
      <c r="B367" s="671"/>
      <c r="C367" s="665" t="s">
        <v>717</v>
      </c>
      <c r="D367" s="666"/>
      <c r="E367" s="666"/>
      <c r="F367" s="563"/>
      <c r="G367" s="563"/>
      <c r="H367" s="563"/>
      <c r="I367" s="563"/>
      <c r="J367" s="566"/>
      <c r="K367" s="563"/>
      <c r="L367" s="566"/>
      <c r="M367" s="565"/>
      <c r="N367" s="564"/>
      <c r="V367" s="674"/>
      <c r="W367" s="675"/>
      <c r="AC367" s="675"/>
      <c r="AD367" s="675"/>
      <c r="AE367" s="675"/>
      <c r="AG367" s="675"/>
      <c r="AH367" s="680"/>
    </row>
    <row r="368" spans="1:34" s="536" customFormat="1" ht="12" x14ac:dyDescent="0.2">
      <c r="A368" s="676"/>
      <c r="B368" s="664"/>
      <c r="C368" s="1822" t="s">
        <v>4149</v>
      </c>
      <c r="D368" s="1822"/>
      <c r="E368" s="1822"/>
      <c r="F368" s="1822"/>
      <c r="G368" s="1822"/>
      <c r="H368" s="1822"/>
      <c r="I368" s="1822"/>
      <c r="J368" s="1822"/>
      <c r="K368" s="1822"/>
      <c r="L368" s="1822"/>
      <c r="M368" s="1822"/>
      <c r="N368" s="1827"/>
      <c r="V368" s="674"/>
      <c r="W368" s="675"/>
      <c r="X368" s="537" t="s">
        <v>4149</v>
      </c>
      <c r="AC368" s="675"/>
      <c r="AD368" s="675"/>
      <c r="AE368" s="675"/>
      <c r="AG368" s="675"/>
      <c r="AH368" s="680"/>
    </row>
    <row r="369" spans="1:34" s="536" customFormat="1" ht="67.5" x14ac:dyDescent="0.2">
      <c r="A369" s="575" t="s">
        <v>765</v>
      </c>
      <c r="B369" s="670" t="s">
        <v>1045</v>
      </c>
      <c r="C369" s="1823" t="s">
        <v>4150</v>
      </c>
      <c r="D369" s="1823"/>
      <c r="E369" s="1823"/>
      <c r="F369" s="573" t="s">
        <v>1034</v>
      </c>
      <c r="G369" s="573"/>
      <c r="H369" s="573"/>
      <c r="I369" s="573" t="s">
        <v>4151</v>
      </c>
      <c r="J369" s="572"/>
      <c r="K369" s="573"/>
      <c r="L369" s="572"/>
      <c r="M369" s="571"/>
      <c r="N369" s="570"/>
      <c r="V369" s="674"/>
      <c r="W369" s="675" t="s">
        <v>4150</v>
      </c>
      <c r="AC369" s="675"/>
      <c r="AD369" s="675"/>
      <c r="AE369" s="675"/>
      <c r="AG369" s="675"/>
      <c r="AH369" s="680"/>
    </row>
    <row r="370" spans="1:34" s="536" customFormat="1" ht="12" x14ac:dyDescent="0.2">
      <c r="A370" s="676"/>
      <c r="B370" s="664"/>
      <c r="C370" s="1822" t="s">
        <v>4152</v>
      </c>
      <c r="D370" s="1822"/>
      <c r="E370" s="1822"/>
      <c r="F370" s="1822"/>
      <c r="G370" s="1822"/>
      <c r="H370" s="1822"/>
      <c r="I370" s="1822"/>
      <c r="J370" s="1822"/>
      <c r="K370" s="1822"/>
      <c r="L370" s="1822"/>
      <c r="M370" s="1822"/>
      <c r="N370" s="1827"/>
      <c r="V370" s="674"/>
      <c r="W370" s="675"/>
      <c r="X370" s="537" t="s">
        <v>4152</v>
      </c>
      <c r="AC370" s="675"/>
      <c r="AD370" s="675"/>
      <c r="AE370" s="675"/>
      <c r="AG370" s="675"/>
      <c r="AH370" s="680"/>
    </row>
    <row r="371" spans="1:34" s="536" customFormat="1" ht="33.75" x14ac:dyDescent="0.2">
      <c r="A371" s="609"/>
      <c r="B371" s="552" t="s">
        <v>310</v>
      </c>
      <c r="C371" s="1822" t="s">
        <v>311</v>
      </c>
      <c r="D371" s="1822"/>
      <c r="E371" s="1822"/>
      <c r="F371" s="1822"/>
      <c r="G371" s="1822"/>
      <c r="H371" s="1822"/>
      <c r="I371" s="1822"/>
      <c r="J371" s="1822"/>
      <c r="K371" s="1822"/>
      <c r="L371" s="1822"/>
      <c r="M371" s="1822"/>
      <c r="N371" s="1827"/>
      <c r="V371" s="674"/>
      <c r="W371" s="675"/>
      <c r="Y371" s="537" t="s">
        <v>311</v>
      </c>
      <c r="AC371" s="675"/>
      <c r="AD371" s="675"/>
      <c r="AE371" s="675"/>
      <c r="AG371" s="675"/>
      <c r="AH371" s="680"/>
    </row>
    <row r="372" spans="1:34" s="536" customFormat="1" ht="12" x14ac:dyDescent="0.2">
      <c r="A372" s="605"/>
      <c r="B372" s="552" t="s">
        <v>185</v>
      </c>
      <c r="C372" s="1822" t="s">
        <v>312</v>
      </c>
      <c r="D372" s="1822"/>
      <c r="E372" s="1822"/>
      <c r="F372" s="562"/>
      <c r="G372" s="562"/>
      <c r="H372" s="562"/>
      <c r="I372" s="562"/>
      <c r="J372" s="604">
        <v>269.61</v>
      </c>
      <c r="K372" s="562" t="s">
        <v>313</v>
      </c>
      <c r="L372" s="604">
        <v>2226.3000000000002</v>
      </c>
      <c r="M372" s="603"/>
      <c r="N372" s="602"/>
      <c r="V372" s="674"/>
      <c r="W372" s="675"/>
      <c r="Z372" s="537" t="s">
        <v>312</v>
      </c>
      <c r="AC372" s="675"/>
      <c r="AD372" s="675"/>
      <c r="AE372" s="675"/>
      <c r="AG372" s="675"/>
      <c r="AH372" s="680"/>
    </row>
    <row r="373" spans="1:34" s="536" customFormat="1" ht="12" x14ac:dyDescent="0.2">
      <c r="A373" s="605"/>
      <c r="B373" s="552" t="s">
        <v>186</v>
      </c>
      <c r="C373" s="1822" t="s">
        <v>344</v>
      </c>
      <c r="D373" s="1822"/>
      <c r="E373" s="1822"/>
      <c r="F373" s="562"/>
      <c r="G373" s="562"/>
      <c r="H373" s="562"/>
      <c r="I373" s="562"/>
      <c r="J373" s="604">
        <v>7442.38</v>
      </c>
      <c r="K373" s="562" t="s">
        <v>313</v>
      </c>
      <c r="L373" s="604">
        <v>61455.45</v>
      </c>
      <c r="M373" s="603"/>
      <c r="N373" s="602"/>
      <c r="V373" s="674"/>
      <c r="W373" s="675"/>
      <c r="Z373" s="537" t="s">
        <v>344</v>
      </c>
      <c r="AC373" s="675"/>
      <c r="AD373" s="675"/>
      <c r="AE373" s="675"/>
      <c r="AG373" s="675"/>
      <c r="AH373" s="680"/>
    </row>
    <row r="374" spans="1:34" s="536" customFormat="1" ht="12" x14ac:dyDescent="0.2">
      <c r="A374" s="605"/>
      <c r="B374" s="552" t="s">
        <v>187</v>
      </c>
      <c r="C374" s="1822" t="s">
        <v>345</v>
      </c>
      <c r="D374" s="1822"/>
      <c r="E374" s="1822"/>
      <c r="F374" s="562"/>
      <c r="G374" s="562"/>
      <c r="H374" s="562"/>
      <c r="I374" s="562"/>
      <c r="J374" s="604">
        <v>429.14</v>
      </c>
      <c r="K374" s="562" t="s">
        <v>313</v>
      </c>
      <c r="L374" s="604">
        <v>3543.62</v>
      </c>
      <c r="M374" s="603"/>
      <c r="N374" s="602"/>
      <c r="V374" s="674"/>
      <c r="W374" s="675"/>
      <c r="Z374" s="537" t="s">
        <v>345</v>
      </c>
      <c r="AC374" s="675"/>
      <c r="AD374" s="675"/>
      <c r="AE374" s="675"/>
      <c r="AG374" s="675"/>
      <c r="AH374" s="680"/>
    </row>
    <row r="375" spans="1:34" s="536" customFormat="1" ht="12" x14ac:dyDescent="0.2">
      <c r="A375" s="605"/>
      <c r="B375" s="552" t="s">
        <v>188</v>
      </c>
      <c r="C375" s="1822" t="s">
        <v>475</v>
      </c>
      <c r="D375" s="1822"/>
      <c r="E375" s="1822"/>
      <c r="F375" s="562"/>
      <c r="G375" s="562"/>
      <c r="H375" s="562"/>
      <c r="I375" s="562"/>
      <c r="J375" s="604">
        <v>22322.55</v>
      </c>
      <c r="K375" s="562"/>
      <c r="L375" s="604">
        <v>147462.76999999999</v>
      </c>
      <c r="M375" s="603"/>
      <c r="N375" s="602"/>
      <c r="V375" s="674"/>
      <c r="W375" s="675"/>
      <c r="Z375" s="537" t="s">
        <v>475</v>
      </c>
      <c r="AC375" s="675"/>
      <c r="AD375" s="675"/>
      <c r="AE375" s="675"/>
      <c r="AG375" s="675"/>
      <c r="AH375" s="680"/>
    </row>
    <row r="376" spans="1:34" s="536" customFormat="1" ht="12" x14ac:dyDescent="0.2">
      <c r="A376" s="605"/>
      <c r="B376" s="552"/>
      <c r="C376" s="1822" t="s">
        <v>314</v>
      </c>
      <c r="D376" s="1822"/>
      <c r="E376" s="1822"/>
      <c r="F376" s="562" t="s">
        <v>315</v>
      </c>
      <c r="G376" s="562" t="s">
        <v>505</v>
      </c>
      <c r="H376" s="562" t="s">
        <v>313</v>
      </c>
      <c r="I376" s="562" t="s">
        <v>4153</v>
      </c>
      <c r="J376" s="604"/>
      <c r="K376" s="562"/>
      <c r="L376" s="604"/>
      <c r="M376" s="603"/>
      <c r="N376" s="602"/>
      <c r="V376" s="674"/>
      <c r="W376" s="675"/>
      <c r="AA376" s="537" t="s">
        <v>314</v>
      </c>
      <c r="AC376" s="675"/>
      <c r="AD376" s="675"/>
      <c r="AE376" s="675"/>
      <c r="AG376" s="675"/>
      <c r="AH376" s="680"/>
    </row>
    <row r="377" spans="1:34" s="536" customFormat="1" ht="22.5" x14ac:dyDescent="0.2">
      <c r="A377" s="605"/>
      <c r="B377" s="552"/>
      <c r="C377" s="1822" t="s">
        <v>348</v>
      </c>
      <c r="D377" s="1822"/>
      <c r="E377" s="1822"/>
      <c r="F377" s="562" t="s">
        <v>315</v>
      </c>
      <c r="G377" s="562" t="s">
        <v>1047</v>
      </c>
      <c r="H377" s="562" t="s">
        <v>313</v>
      </c>
      <c r="I377" s="562" t="s">
        <v>4154</v>
      </c>
      <c r="J377" s="604"/>
      <c r="K377" s="562"/>
      <c r="L377" s="604"/>
      <c r="M377" s="603"/>
      <c r="N377" s="602"/>
      <c r="V377" s="674"/>
      <c r="W377" s="675"/>
      <c r="AA377" s="537" t="s">
        <v>348</v>
      </c>
      <c r="AC377" s="675"/>
      <c r="AD377" s="675"/>
      <c r="AE377" s="675"/>
      <c r="AG377" s="675"/>
      <c r="AH377" s="680"/>
    </row>
    <row r="378" spans="1:34" s="536" customFormat="1" ht="12" x14ac:dyDescent="0.2">
      <c r="A378" s="605"/>
      <c r="B378" s="552"/>
      <c r="C378" s="1828" t="s">
        <v>318</v>
      </c>
      <c r="D378" s="1828"/>
      <c r="E378" s="1828"/>
      <c r="F378" s="608"/>
      <c r="G378" s="608"/>
      <c r="H378" s="608"/>
      <c r="I378" s="608"/>
      <c r="J378" s="607">
        <v>30034.54</v>
      </c>
      <c r="K378" s="608"/>
      <c r="L378" s="607">
        <v>211144.52</v>
      </c>
      <c r="M378" s="601"/>
      <c r="N378" s="606"/>
      <c r="V378" s="674"/>
      <c r="W378" s="675"/>
      <c r="AB378" s="537" t="s">
        <v>318</v>
      </c>
      <c r="AC378" s="675"/>
      <c r="AD378" s="675"/>
      <c r="AE378" s="675"/>
      <c r="AG378" s="675"/>
      <c r="AH378" s="680"/>
    </row>
    <row r="379" spans="1:34" s="536" customFormat="1" ht="12" x14ac:dyDescent="0.2">
      <c r="A379" s="605"/>
      <c r="B379" s="552"/>
      <c r="C379" s="1822" t="s">
        <v>319</v>
      </c>
      <c r="D379" s="1822"/>
      <c r="E379" s="1822"/>
      <c r="F379" s="562"/>
      <c r="G379" s="562"/>
      <c r="H379" s="562"/>
      <c r="I379" s="562"/>
      <c r="J379" s="604"/>
      <c r="K379" s="562"/>
      <c r="L379" s="604">
        <v>5769.92</v>
      </c>
      <c r="M379" s="603"/>
      <c r="N379" s="602"/>
      <c r="V379" s="674"/>
      <c r="W379" s="675"/>
      <c r="AA379" s="537" t="s">
        <v>319</v>
      </c>
      <c r="AC379" s="675"/>
      <c r="AD379" s="675"/>
      <c r="AE379" s="675"/>
      <c r="AG379" s="675"/>
      <c r="AH379" s="680"/>
    </row>
    <row r="380" spans="1:34" s="536" customFormat="1" ht="33.75" x14ac:dyDescent="0.2">
      <c r="A380" s="605"/>
      <c r="B380" s="552" t="s">
        <v>554</v>
      </c>
      <c r="C380" s="1822" t="s">
        <v>555</v>
      </c>
      <c r="D380" s="1822"/>
      <c r="E380" s="1822"/>
      <c r="F380" s="562" t="s">
        <v>322</v>
      </c>
      <c r="G380" s="562" t="s">
        <v>556</v>
      </c>
      <c r="H380" s="562"/>
      <c r="I380" s="562" t="s">
        <v>556</v>
      </c>
      <c r="J380" s="604"/>
      <c r="K380" s="562"/>
      <c r="L380" s="604">
        <v>7270.1</v>
      </c>
      <c r="M380" s="603"/>
      <c r="N380" s="602"/>
      <c r="V380" s="674"/>
      <c r="W380" s="675"/>
      <c r="AA380" s="537" t="s">
        <v>555</v>
      </c>
      <c r="AC380" s="675"/>
      <c r="AD380" s="675"/>
      <c r="AE380" s="675"/>
      <c r="AG380" s="675"/>
      <c r="AH380" s="680"/>
    </row>
    <row r="381" spans="1:34" s="536" customFormat="1" ht="33.75" x14ac:dyDescent="0.2">
      <c r="A381" s="605"/>
      <c r="B381" s="552" t="s">
        <v>557</v>
      </c>
      <c r="C381" s="1822" t="s">
        <v>558</v>
      </c>
      <c r="D381" s="1822"/>
      <c r="E381" s="1822"/>
      <c r="F381" s="562" t="s">
        <v>322</v>
      </c>
      <c r="G381" s="562" t="s">
        <v>559</v>
      </c>
      <c r="H381" s="562"/>
      <c r="I381" s="562" t="s">
        <v>559</v>
      </c>
      <c r="J381" s="604"/>
      <c r="K381" s="562"/>
      <c r="L381" s="604">
        <v>5481.42</v>
      </c>
      <c r="M381" s="603"/>
      <c r="N381" s="602"/>
      <c r="V381" s="674"/>
      <c r="W381" s="675"/>
      <c r="AA381" s="537" t="s">
        <v>558</v>
      </c>
      <c r="AC381" s="675"/>
      <c r="AD381" s="675"/>
      <c r="AE381" s="675"/>
      <c r="AG381" s="675"/>
      <c r="AH381" s="680"/>
    </row>
    <row r="382" spans="1:34" s="536" customFormat="1" ht="12" x14ac:dyDescent="0.2">
      <c r="A382" s="569"/>
      <c r="B382" s="671"/>
      <c r="C382" s="1823" t="s">
        <v>327</v>
      </c>
      <c r="D382" s="1823"/>
      <c r="E382" s="1823"/>
      <c r="F382" s="573"/>
      <c r="G382" s="573"/>
      <c r="H382" s="573"/>
      <c r="I382" s="573"/>
      <c r="J382" s="572"/>
      <c r="K382" s="573"/>
      <c r="L382" s="572">
        <v>223896.04</v>
      </c>
      <c r="M382" s="601"/>
      <c r="N382" s="570"/>
      <c r="V382" s="674"/>
      <c r="W382" s="675"/>
      <c r="AC382" s="675" t="s">
        <v>327</v>
      </c>
      <c r="AD382" s="675"/>
      <c r="AE382" s="675"/>
      <c r="AG382" s="675"/>
      <c r="AH382" s="680"/>
    </row>
    <row r="383" spans="1:34" s="536" customFormat="1" ht="45" x14ac:dyDescent="0.2">
      <c r="A383" s="575" t="s">
        <v>505</v>
      </c>
      <c r="B383" s="670" t="s">
        <v>1048</v>
      </c>
      <c r="C383" s="1823" t="s">
        <v>4155</v>
      </c>
      <c r="D383" s="1823"/>
      <c r="E383" s="1823"/>
      <c r="F383" s="573" t="s">
        <v>1034</v>
      </c>
      <c r="G383" s="573"/>
      <c r="H383" s="573"/>
      <c r="I383" s="573" t="s">
        <v>4151</v>
      </c>
      <c r="J383" s="572"/>
      <c r="K383" s="573"/>
      <c r="L383" s="572"/>
      <c r="M383" s="571"/>
      <c r="N383" s="570"/>
      <c r="V383" s="674"/>
      <c r="W383" s="675" t="s">
        <v>4155</v>
      </c>
      <c r="AC383" s="675"/>
      <c r="AD383" s="675"/>
      <c r="AE383" s="675"/>
      <c r="AG383" s="675"/>
      <c r="AH383" s="680"/>
    </row>
    <row r="384" spans="1:34" s="536" customFormat="1" ht="12" x14ac:dyDescent="0.2">
      <c r="A384" s="676"/>
      <c r="B384" s="664"/>
      <c r="C384" s="1822" t="s">
        <v>4152</v>
      </c>
      <c r="D384" s="1822"/>
      <c r="E384" s="1822"/>
      <c r="F384" s="1822"/>
      <c r="G384" s="1822"/>
      <c r="H384" s="1822"/>
      <c r="I384" s="1822"/>
      <c r="J384" s="1822"/>
      <c r="K384" s="1822"/>
      <c r="L384" s="1822"/>
      <c r="M384" s="1822"/>
      <c r="N384" s="1827"/>
      <c r="V384" s="674"/>
      <c r="W384" s="675"/>
      <c r="X384" s="537" t="s">
        <v>4152</v>
      </c>
      <c r="AC384" s="675"/>
      <c r="AD384" s="675"/>
      <c r="AE384" s="675"/>
      <c r="AG384" s="675"/>
      <c r="AH384" s="680"/>
    </row>
    <row r="385" spans="1:34" s="536" customFormat="1" ht="12" x14ac:dyDescent="0.2">
      <c r="A385" s="609"/>
      <c r="B385" s="552"/>
      <c r="C385" s="1822" t="s">
        <v>1050</v>
      </c>
      <c r="D385" s="1822"/>
      <c r="E385" s="1822"/>
      <c r="F385" s="1822"/>
      <c r="G385" s="1822"/>
      <c r="H385" s="1822"/>
      <c r="I385" s="1822"/>
      <c r="J385" s="1822"/>
      <c r="K385" s="1822"/>
      <c r="L385" s="1822"/>
      <c r="M385" s="1822"/>
      <c r="N385" s="1827"/>
      <c r="V385" s="674"/>
      <c r="W385" s="675"/>
      <c r="Y385" s="537" t="s">
        <v>1050</v>
      </c>
      <c r="AC385" s="675"/>
      <c r="AD385" s="675"/>
      <c r="AE385" s="675"/>
      <c r="AG385" s="675"/>
      <c r="AH385" s="680"/>
    </row>
    <row r="386" spans="1:34" s="536" customFormat="1" ht="33.75" x14ac:dyDescent="0.2">
      <c r="A386" s="609"/>
      <c r="B386" s="552" t="s">
        <v>310</v>
      </c>
      <c r="C386" s="1822" t="s">
        <v>311</v>
      </c>
      <c r="D386" s="1822"/>
      <c r="E386" s="1822"/>
      <c r="F386" s="1822"/>
      <c r="G386" s="1822"/>
      <c r="H386" s="1822"/>
      <c r="I386" s="1822"/>
      <c r="J386" s="1822"/>
      <c r="K386" s="1822"/>
      <c r="L386" s="1822"/>
      <c r="M386" s="1822"/>
      <c r="N386" s="1827"/>
      <c r="V386" s="674"/>
      <c r="W386" s="675"/>
      <c r="Y386" s="537" t="s">
        <v>311</v>
      </c>
      <c r="AC386" s="675"/>
      <c r="AD386" s="675"/>
      <c r="AE386" s="675"/>
      <c r="AG386" s="675"/>
      <c r="AH386" s="680"/>
    </row>
    <row r="387" spans="1:34" s="536" customFormat="1" ht="12" x14ac:dyDescent="0.2">
      <c r="A387" s="605"/>
      <c r="B387" s="552" t="s">
        <v>186</v>
      </c>
      <c r="C387" s="1822" t="s">
        <v>344</v>
      </c>
      <c r="D387" s="1822"/>
      <c r="E387" s="1822"/>
      <c r="F387" s="562"/>
      <c r="G387" s="562"/>
      <c r="H387" s="562"/>
      <c r="I387" s="562"/>
      <c r="J387" s="604">
        <v>468.89</v>
      </c>
      <c r="K387" s="562" t="s">
        <v>1051</v>
      </c>
      <c r="L387" s="604">
        <v>11615.58</v>
      </c>
      <c r="M387" s="603"/>
      <c r="N387" s="602"/>
      <c r="V387" s="674"/>
      <c r="W387" s="675"/>
      <c r="Z387" s="537" t="s">
        <v>344</v>
      </c>
      <c r="AC387" s="675"/>
      <c r="AD387" s="675"/>
      <c r="AE387" s="675"/>
      <c r="AG387" s="675"/>
      <c r="AH387" s="680"/>
    </row>
    <row r="388" spans="1:34" s="536" customFormat="1" ht="12" x14ac:dyDescent="0.2">
      <c r="A388" s="605"/>
      <c r="B388" s="552" t="s">
        <v>187</v>
      </c>
      <c r="C388" s="1822" t="s">
        <v>345</v>
      </c>
      <c r="D388" s="1822"/>
      <c r="E388" s="1822"/>
      <c r="F388" s="562"/>
      <c r="G388" s="562"/>
      <c r="H388" s="562"/>
      <c r="I388" s="562"/>
      <c r="J388" s="604">
        <v>27.84</v>
      </c>
      <c r="K388" s="562" t="s">
        <v>1051</v>
      </c>
      <c r="L388" s="604">
        <v>689.67</v>
      </c>
      <c r="M388" s="603"/>
      <c r="N388" s="602"/>
      <c r="V388" s="674"/>
      <c r="W388" s="675"/>
      <c r="Z388" s="537" t="s">
        <v>345</v>
      </c>
      <c r="AC388" s="675"/>
      <c r="AD388" s="675"/>
      <c r="AE388" s="675"/>
      <c r="AG388" s="675"/>
      <c r="AH388" s="680"/>
    </row>
    <row r="389" spans="1:34" s="536" customFormat="1" ht="12" x14ac:dyDescent="0.2">
      <c r="A389" s="605"/>
      <c r="B389" s="552" t="s">
        <v>188</v>
      </c>
      <c r="C389" s="1822" t="s">
        <v>475</v>
      </c>
      <c r="D389" s="1822"/>
      <c r="E389" s="1822"/>
      <c r="F389" s="562"/>
      <c r="G389" s="562"/>
      <c r="H389" s="562"/>
      <c r="I389" s="562"/>
      <c r="J389" s="604">
        <v>1297.8</v>
      </c>
      <c r="K389" s="562" t="s">
        <v>187</v>
      </c>
      <c r="L389" s="604">
        <v>25719.8</v>
      </c>
      <c r="M389" s="603"/>
      <c r="N389" s="602"/>
      <c r="V389" s="674"/>
      <c r="W389" s="675"/>
      <c r="Z389" s="537" t="s">
        <v>475</v>
      </c>
      <c r="AC389" s="675"/>
      <c r="AD389" s="675"/>
      <c r="AE389" s="675"/>
      <c r="AG389" s="675"/>
      <c r="AH389" s="680"/>
    </row>
    <row r="390" spans="1:34" s="536" customFormat="1" ht="12" x14ac:dyDescent="0.2">
      <c r="A390" s="605"/>
      <c r="B390" s="552"/>
      <c r="C390" s="1822" t="s">
        <v>348</v>
      </c>
      <c r="D390" s="1822"/>
      <c r="E390" s="1822"/>
      <c r="F390" s="562" t="s">
        <v>315</v>
      </c>
      <c r="G390" s="562" t="s">
        <v>1052</v>
      </c>
      <c r="H390" s="562" t="s">
        <v>1051</v>
      </c>
      <c r="I390" s="562" t="s">
        <v>4156</v>
      </c>
      <c r="J390" s="604"/>
      <c r="K390" s="562"/>
      <c r="L390" s="604"/>
      <c r="M390" s="603"/>
      <c r="N390" s="602"/>
      <c r="V390" s="674"/>
      <c r="W390" s="675"/>
      <c r="AA390" s="537" t="s">
        <v>348</v>
      </c>
      <c r="AC390" s="675"/>
      <c r="AD390" s="675"/>
      <c r="AE390" s="675"/>
      <c r="AG390" s="675"/>
      <c r="AH390" s="680"/>
    </row>
    <row r="391" spans="1:34" s="536" customFormat="1" ht="12" x14ac:dyDescent="0.2">
      <c r="A391" s="605"/>
      <c r="B391" s="552"/>
      <c r="C391" s="1828" t="s">
        <v>318</v>
      </c>
      <c r="D391" s="1828"/>
      <c r="E391" s="1828"/>
      <c r="F391" s="608"/>
      <c r="G391" s="608"/>
      <c r="H391" s="608"/>
      <c r="I391" s="608"/>
      <c r="J391" s="607">
        <v>1766.69</v>
      </c>
      <c r="K391" s="608"/>
      <c r="L391" s="607">
        <v>37335.379999999997</v>
      </c>
      <c r="M391" s="601"/>
      <c r="N391" s="606"/>
      <c r="V391" s="674"/>
      <c r="W391" s="675"/>
      <c r="AB391" s="537" t="s">
        <v>318</v>
      </c>
      <c r="AC391" s="675"/>
      <c r="AD391" s="675"/>
      <c r="AE391" s="675"/>
      <c r="AG391" s="675"/>
      <c r="AH391" s="680"/>
    </row>
    <row r="392" spans="1:34" s="536" customFormat="1" ht="12" x14ac:dyDescent="0.2">
      <c r="A392" s="605"/>
      <c r="B392" s="552"/>
      <c r="C392" s="1822" t="s">
        <v>319</v>
      </c>
      <c r="D392" s="1822"/>
      <c r="E392" s="1822"/>
      <c r="F392" s="562"/>
      <c r="G392" s="562"/>
      <c r="H392" s="562"/>
      <c r="I392" s="562"/>
      <c r="J392" s="604"/>
      <c r="K392" s="562"/>
      <c r="L392" s="604">
        <v>689.67</v>
      </c>
      <c r="M392" s="603"/>
      <c r="N392" s="602"/>
      <c r="V392" s="674"/>
      <c r="W392" s="675"/>
      <c r="AA392" s="537" t="s">
        <v>319</v>
      </c>
      <c r="AC392" s="675"/>
      <c r="AD392" s="675"/>
      <c r="AE392" s="675"/>
      <c r="AG392" s="675"/>
      <c r="AH392" s="680"/>
    </row>
    <row r="393" spans="1:34" s="536" customFormat="1" ht="33.75" x14ac:dyDescent="0.2">
      <c r="A393" s="605"/>
      <c r="B393" s="552" t="s">
        <v>554</v>
      </c>
      <c r="C393" s="1822" t="s">
        <v>555</v>
      </c>
      <c r="D393" s="1822"/>
      <c r="E393" s="1822"/>
      <c r="F393" s="562" t="s">
        <v>322</v>
      </c>
      <c r="G393" s="562" t="s">
        <v>556</v>
      </c>
      <c r="H393" s="562"/>
      <c r="I393" s="562" t="s">
        <v>556</v>
      </c>
      <c r="J393" s="604"/>
      <c r="K393" s="562"/>
      <c r="L393" s="604">
        <v>868.98</v>
      </c>
      <c r="M393" s="603"/>
      <c r="N393" s="602"/>
      <c r="V393" s="674"/>
      <c r="W393" s="675"/>
      <c r="AA393" s="537" t="s">
        <v>555</v>
      </c>
      <c r="AC393" s="675"/>
      <c r="AD393" s="675"/>
      <c r="AE393" s="675"/>
      <c r="AG393" s="675"/>
      <c r="AH393" s="680"/>
    </row>
    <row r="394" spans="1:34" s="536" customFormat="1" ht="33.75" x14ac:dyDescent="0.2">
      <c r="A394" s="605"/>
      <c r="B394" s="552" t="s">
        <v>557</v>
      </c>
      <c r="C394" s="1822" t="s">
        <v>558</v>
      </c>
      <c r="D394" s="1822"/>
      <c r="E394" s="1822"/>
      <c r="F394" s="562" t="s">
        <v>322</v>
      </c>
      <c r="G394" s="562" t="s">
        <v>559</v>
      </c>
      <c r="H394" s="562"/>
      <c r="I394" s="562" t="s">
        <v>559</v>
      </c>
      <c r="J394" s="604"/>
      <c r="K394" s="562"/>
      <c r="L394" s="604">
        <v>655.19000000000005</v>
      </c>
      <c r="M394" s="603"/>
      <c r="N394" s="602"/>
      <c r="V394" s="674"/>
      <c r="W394" s="675"/>
      <c r="AA394" s="537" t="s">
        <v>558</v>
      </c>
      <c r="AC394" s="675"/>
      <c r="AD394" s="675"/>
      <c r="AE394" s="675"/>
      <c r="AG394" s="675"/>
      <c r="AH394" s="680"/>
    </row>
    <row r="395" spans="1:34" s="536" customFormat="1" ht="12" x14ac:dyDescent="0.2">
      <c r="A395" s="569"/>
      <c r="B395" s="671"/>
      <c r="C395" s="1823" t="s">
        <v>327</v>
      </c>
      <c r="D395" s="1823"/>
      <c r="E395" s="1823"/>
      <c r="F395" s="573"/>
      <c r="G395" s="573"/>
      <c r="H395" s="573"/>
      <c r="I395" s="573"/>
      <c r="J395" s="572"/>
      <c r="K395" s="573"/>
      <c r="L395" s="572">
        <v>38859.550000000003</v>
      </c>
      <c r="M395" s="601"/>
      <c r="N395" s="570"/>
      <c r="V395" s="674"/>
      <c r="W395" s="675"/>
      <c r="AC395" s="675" t="s">
        <v>327</v>
      </c>
      <c r="AD395" s="675"/>
      <c r="AE395" s="675"/>
      <c r="AG395" s="675"/>
      <c r="AH395" s="680"/>
    </row>
    <row r="396" spans="1:34" s="536" customFormat="1" ht="12" x14ac:dyDescent="0.2">
      <c r="A396" s="575" t="s">
        <v>767</v>
      </c>
      <c r="B396" s="670" t="s">
        <v>1053</v>
      </c>
      <c r="C396" s="1823" t="s">
        <v>1054</v>
      </c>
      <c r="D396" s="1823"/>
      <c r="E396" s="1823"/>
      <c r="F396" s="573" t="s">
        <v>694</v>
      </c>
      <c r="G396" s="573"/>
      <c r="H396" s="573"/>
      <c r="I396" s="573" t="s">
        <v>4157</v>
      </c>
      <c r="J396" s="572"/>
      <c r="K396" s="573"/>
      <c r="L396" s="572"/>
      <c r="M396" s="571"/>
      <c r="N396" s="570"/>
      <c r="V396" s="674"/>
      <c r="W396" s="675" t="s">
        <v>1054</v>
      </c>
      <c r="AC396" s="675"/>
      <c r="AD396" s="675"/>
      <c r="AE396" s="675"/>
      <c r="AG396" s="675"/>
      <c r="AH396" s="680"/>
    </row>
    <row r="397" spans="1:34" s="536" customFormat="1" ht="33.75" x14ac:dyDescent="0.2">
      <c r="A397" s="609"/>
      <c r="B397" s="552" t="s">
        <v>310</v>
      </c>
      <c r="C397" s="1822" t="s">
        <v>311</v>
      </c>
      <c r="D397" s="1822"/>
      <c r="E397" s="1822"/>
      <c r="F397" s="1822"/>
      <c r="G397" s="1822"/>
      <c r="H397" s="1822"/>
      <c r="I397" s="1822"/>
      <c r="J397" s="1822"/>
      <c r="K397" s="1822"/>
      <c r="L397" s="1822"/>
      <c r="M397" s="1822"/>
      <c r="N397" s="1827"/>
      <c r="V397" s="674"/>
      <c r="W397" s="675"/>
      <c r="Y397" s="537" t="s">
        <v>311</v>
      </c>
      <c r="AC397" s="675"/>
      <c r="AD397" s="675"/>
      <c r="AE397" s="675"/>
      <c r="AG397" s="675"/>
      <c r="AH397" s="680"/>
    </row>
    <row r="398" spans="1:34" s="536" customFormat="1" ht="12" x14ac:dyDescent="0.2">
      <c r="A398" s="605"/>
      <c r="B398" s="552" t="s">
        <v>186</v>
      </c>
      <c r="C398" s="1822" t="s">
        <v>344</v>
      </c>
      <c r="D398" s="1822"/>
      <c r="E398" s="1822"/>
      <c r="F398" s="562"/>
      <c r="G398" s="562"/>
      <c r="H398" s="562"/>
      <c r="I398" s="562"/>
      <c r="J398" s="604">
        <v>39.1</v>
      </c>
      <c r="K398" s="562" t="s">
        <v>313</v>
      </c>
      <c r="L398" s="604">
        <v>225.8</v>
      </c>
      <c r="M398" s="603"/>
      <c r="N398" s="602"/>
      <c r="V398" s="674"/>
      <c r="W398" s="675"/>
      <c r="Z398" s="537" t="s">
        <v>344</v>
      </c>
      <c r="AC398" s="675"/>
      <c r="AD398" s="675"/>
      <c r="AE398" s="675"/>
      <c r="AG398" s="675"/>
      <c r="AH398" s="680"/>
    </row>
    <row r="399" spans="1:34" s="536" customFormat="1" ht="12" x14ac:dyDescent="0.2">
      <c r="A399" s="605"/>
      <c r="B399" s="552" t="s">
        <v>187</v>
      </c>
      <c r="C399" s="1822" t="s">
        <v>345</v>
      </c>
      <c r="D399" s="1822"/>
      <c r="E399" s="1822"/>
      <c r="F399" s="562"/>
      <c r="G399" s="562"/>
      <c r="H399" s="562"/>
      <c r="I399" s="562"/>
      <c r="J399" s="604">
        <v>7.15</v>
      </c>
      <c r="K399" s="562" t="s">
        <v>313</v>
      </c>
      <c r="L399" s="604">
        <v>41.29</v>
      </c>
      <c r="M399" s="603"/>
      <c r="N399" s="602"/>
      <c r="V399" s="674"/>
      <c r="W399" s="675"/>
      <c r="Z399" s="537" t="s">
        <v>345</v>
      </c>
      <c r="AC399" s="675"/>
      <c r="AD399" s="675"/>
      <c r="AE399" s="675"/>
      <c r="AG399" s="675"/>
      <c r="AH399" s="680"/>
    </row>
    <row r="400" spans="1:34" s="536" customFormat="1" ht="12" x14ac:dyDescent="0.2">
      <c r="A400" s="676"/>
      <c r="B400" s="677" t="s">
        <v>1055</v>
      </c>
      <c r="C400" s="1829" t="s">
        <v>1056</v>
      </c>
      <c r="D400" s="1829"/>
      <c r="E400" s="1829"/>
      <c r="F400" s="678" t="s">
        <v>694</v>
      </c>
      <c r="G400" s="678" t="s">
        <v>702</v>
      </c>
      <c r="H400" s="678"/>
      <c r="I400" s="678" t="s">
        <v>4158</v>
      </c>
      <c r="J400" s="552"/>
      <c r="K400" s="562"/>
      <c r="L400" s="604"/>
      <c r="M400" s="562"/>
      <c r="N400" s="679"/>
      <c r="V400" s="674"/>
      <c r="W400" s="675"/>
      <c r="AC400" s="675"/>
      <c r="AD400" s="675"/>
      <c r="AE400" s="675"/>
      <c r="AG400" s="675"/>
      <c r="AH400" s="680" t="s">
        <v>1056</v>
      </c>
    </row>
    <row r="401" spans="1:34" s="536" customFormat="1" ht="12" x14ac:dyDescent="0.2">
      <c r="A401" s="605"/>
      <c r="B401" s="552"/>
      <c r="C401" s="1822" t="s">
        <v>348</v>
      </c>
      <c r="D401" s="1822"/>
      <c r="E401" s="1822"/>
      <c r="F401" s="562" t="s">
        <v>315</v>
      </c>
      <c r="G401" s="562" t="s">
        <v>1057</v>
      </c>
      <c r="H401" s="562" t="s">
        <v>313</v>
      </c>
      <c r="I401" s="562" t="s">
        <v>4159</v>
      </c>
      <c r="J401" s="604"/>
      <c r="K401" s="562"/>
      <c r="L401" s="604"/>
      <c r="M401" s="603"/>
      <c r="N401" s="602"/>
      <c r="V401" s="674"/>
      <c r="W401" s="675"/>
      <c r="AA401" s="537" t="s">
        <v>348</v>
      </c>
      <c r="AC401" s="675"/>
      <c r="AD401" s="675"/>
      <c r="AE401" s="675"/>
      <c r="AG401" s="675"/>
      <c r="AH401" s="680"/>
    </row>
    <row r="402" spans="1:34" s="536" customFormat="1" ht="12" x14ac:dyDescent="0.2">
      <c r="A402" s="605"/>
      <c r="B402" s="552"/>
      <c r="C402" s="1828" t="s">
        <v>318</v>
      </c>
      <c r="D402" s="1828"/>
      <c r="E402" s="1828"/>
      <c r="F402" s="608"/>
      <c r="G402" s="608"/>
      <c r="H402" s="608"/>
      <c r="I402" s="608"/>
      <c r="J402" s="607">
        <v>39.1</v>
      </c>
      <c r="K402" s="608"/>
      <c r="L402" s="607">
        <v>225.8</v>
      </c>
      <c r="M402" s="601"/>
      <c r="N402" s="606"/>
      <c r="V402" s="674"/>
      <c r="W402" s="675"/>
      <c r="AB402" s="537" t="s">
        <v>318</v>
      </c>
      <c r="AC402" s="675"/>
      <c r="AD402" s="675"/>
      <c r="AE402" s="675"/>
      <c r="AG402" s="675"/>
      <c r="AH402" s="680"/>
    </row>
    <row r="403" spans="1:34" s="536" customFormat="1" ht="12" x14ac:dyDescent="0.2">
      <c r="A403" s="605"/>
      <c r="B403" s="552"/>
      <c r="C403" s="1822" t="s">
        <v>319</v>
      </c>
      <c r="D403" s="1822"/>
      <c r="E403" s="1822"/>
      <c r="F403" s="562"/>
      <c r="G403" s="562"/>
      <c r="H403" s="562"/>
      <c r="I403" s="562"/>
      <c r="J403" s="604"/>
      <c r="K403" s="562"/>
      <c r="L403" s="604">
        <v>41.29</v>
      </c>
      <c r="M403" s="603"/>
      <c r="N403" s="602"/>
      <c r="V403" s="674"/>
      <c r="W403" s="675"/>
      <c r="AA403" s="537" t="s">
        <v>319</v>
      </c>
      <c r="AC403" s="675"/>
      <c r="AD403" s="675"/>
      <c r="AE403" s="675"/>
      <c r="AG403" s="675"/>
      <c r="AH403" s="680"/>
    </row>
    <row r="404" spans="1:34" s="536" customFormat="1" ht="33.75" x14ac:dyDescent="0.2">
      <c r="A404" s="605"/>
      <c r="B404" s="552" t="s">
        <v>554</v>
      </c>
      <c r="C404" s="1822" t="s">
        <v>555</v>
      </c>
      <c r="D404" s="1822"/>
      <c r="E404" s="1822"/>
      <c r="F404" s="562" t="s">
        <v>322</v>
      </c>
      <c r="G404" s="562" t="s">
        <v>556</v>
      </c>
      <c r="H404" s="562"/>
      <c r="I404" s="562" t="s">
        <v>556</v>
      </c>
      <c r="J404" s="604"/>
      <c r="K404" s="562"/>
      <c r="L404" s="604">
        <v>52.03</v>
      </c>
      <c r="M404" s="603"/>
      <c r="N404" s="602"/>
      <c r="V404" s="674"/>
      <c r="W404" s="675"/>
      <c r="AA404" s="537" t="s">
        <v>555</v>
      </c>
      <c r="AC404" s="675"/>
      <c r="AD404" s="675"/>
      <c r="AE404" s="675"/>
      <c r="AG404" s="675"/>
      <c r="AH404" s="680"/>
    </row>
    <row r="405" spans="1:34" s="536" customFormat="1" ht="33.75" x14ac:dyDescent="0.2">
      <c r="A405" s="605"/>
      <c r="B405" s="552" t="s">
        <v>557</v>
      </c>
      <c r="C405" s="1822" t="s">
        <v>558</v>
      </c>
      <c r="D405" s="1822"/>
      <c r="E405" s="1822"/>
      <c r="F405" s="562" t="s">
        <v>322</v>
      </c>
      <c r="G405" s="562" t="s">
        <v>559</v>
      </c>
      <c r="H405" s="562"/>
      <c r="I405" s="562" t="s">
        <v>559</v>
      </c>
      <c r="J405" s="604"/>
      <c r="K405" s="562"/>
      <c r="L405" s="604">
        <v>39.229999999999997</v>
      </c>
      <c r="M405" s="603"/>
      <c r="N405" s="602"/>
      <c r="V405" s="674"/>
      <c r="W405" s="675"/>
      <c r="AA405" s="537" t="s">
        <v>558</v>
      </c>
      <c r="AC405" s="675"/>
      <c r="AD405" s="675"/>
      <c r="AE405" s="675"/>
      <c r="AG405" s="675"/>
      <c r="AH405" s="680"/>
    </row>
    <row r="406" spans="1:34" s="536" customFormat="1" ht="12" x14ac:dyDescent="0.2">
      <c r="A406" s="569"/>
      <c r="B406" s="671"/>
      <c r="C406" s="1823" t="s">
        <v>327</v>
      </c>
      <c r="D406" s="1823"/>
      <c r="E406" s="1823"/>
      <c r="F406" s="573"/>
      <c r="G406" s="573"/>
      <c r="H406" s="573"/>
      <c r="I406" s="573"/>
      <c r="J406" s="572"/>
      <c r="K406" s="573"/>
      <c r="L406" s="572">
        <v>317.06</v>
      </c>
      <c r="M406" s="601"/>
      <c r="N406" s="570"/>
      <c r="V406" s="674"/>
      <c r="W406" s="675"/>
      <c r="AC406" s="675" t="s">
        <v>327</v>
      </c>
      <c r="AD406" s="675"/>
      <c r="AE406" s="675"/>
      <c r="AG406" s="675"/>
      <c r="AH406" s="680"/>
    </row>
    <row r="407" spans="1:34" s="536" customFormat="1" ht="12" x14ac:dyDescent="0.2">
      <c r="A407" s="575" t="s">
        <v>768</v>
      </c>
      <c r="B407" s="670" t="s">
        <v>1059</v>
      </c>
      <c r="C407" s="1823" t="s">
        <v>1060</v>
      </c>
      <c r="D407" s="1823"/>
      <c r="E407" s="1823"/>
      <c r="F407" s="573" t="s">
        <v>694</v>
      </c>
      <c r="G407" s="573"/>
      <c r="H407" s="573"/>
      <c r="I407" s="573" t="s">
        <v>4158</v>
      </c>
      <c r="J407" s="572">
        <v>2723.2</v>
      </c>
      <c r="K407" s="573"/>
      <c r="L407" s="572">
        <v>12958.62</v>
      </c>
      <c r="M407" s="571"/>
      <c r="N407" s="570"/>
      <c r="V407" s="674"/>
      <c r="W407" s="675" t="s">
        <v>1060</v>
      </c>
      <c r="AC407" s="675"/>
      <c r="AD407" s="675"/>
      <c r="AE407" s="675"/>
      <c r="AG407" s="675"/>
      <c r="AH407" s="680"/>
    </row>
    <row r="408" spans="1:34" s="536" customFormat="1" ht="12" x14ac:dyDescent="0.2">
      <c r="A408" s="569"/>
      <c r="B408" s="671"/>
      <c r="C408" s="665" t="s">
        <v>717</v>
      </c>
      <c r="D408" s="666"/>
      <c r="E408" s="666"/>
      <c r="F408" s="563"/>
      <c r="G408" s="563"/>
      <c r="H408" s="563"/>
      <c r="I408" s="563"/>
      <c r="J408" s="566"/>
      <c r="K408" s="563"/>
      <c r="L408" s="566"/>
      <c r="M408" s="565"/>
      <c r="N408" s="564"/>
      <c r="V408" s="674"/>
      <c r="W408" s="675"/>
      <c r="AC408" s="675"/>
      <c r="AD408" s="675"/>
      <c r="AE408" s="675"/>
      <c r="AG408" s="675"/>
      <c r="AH408" s="680"/>
    </row>
    <row r="409" spans="1:34" s="536" customFormat="1" ht="45" x14ac:dyDescent="0.2">
      <c r="A409" s="575" t="s">
        <v>769</v>
      </c>
      <c r="B409" s="670" t="s">
        <v>1061</v>
      </c>
      <c r="C409" s="1823" t="s">
        <v>1062</v>
      </c>
      <c r="D409" s="1823"/>
      <c r="E409" s="1823"/>
      <c r="F409" s="573" t="s">
        <v>1034</v>
      </c>
      <c r="G409" s="573"/>
      <c r="H409" s="573"/>
      <c r="I409" s="573" t="s">
        <v>4160</v>
      </c>
      <c r="J409" s="572"/>
      <c r="K409" s="573"/>
      <c r="L409" s="572"/>
      <c r="M409" s="571"/>
      <c r="N409" s="570"/>
      <c r="V409" s="674"/>
      <c r="W409" s="675" t="s">
        <v>1062</v>
      </c>
      <c r="AC409" s="675"/>
      <c r="AD409" s="675"/>
      <c r="AE409" s="675"/>
      <c r="AG409" s="675"/>
      <c r="AH409" s="680"/>
    </row>
    <row r="410" spans="1:34" s="536" customFormat="1" ht="12" x14ac:dyDescent="0.2">
      <c r="A410" s="676"/>
      <c r="B410" s="664"/>
      <c r="C410" s="1822" t="s">
        <v>4161</v>
      </c>
      <c r="D410" s="1822"/>
      <c r="E410" s="1822"/>
      <c r="F410" s="1822"/>
      <c r="G410" s="1822"/>
      <c r="H410" s="1822"/>
      <c r="I410" s="1822"/>
      <c r="J410" s="1822"/>
      <c r="K410" s="1822"/>
      <c r="L410" s="1822"/>
      <c r="M410" s="1822"/>
      <c r="N410" s="1827"/>
      <c r="V410" s="674"/>
      <c r="W410" s="675"/>
      <c r="X410" s="537" t="s">
        <v>4161</v>
      </c>
      <c r="AC410" s="675"/>
      <c r="AD410" s="675"/>
      <c r="AE410" s="675"/>
      <c r="AG410" s="675"/>
      <c r="AH410" s="680"/>
    </row>
    <row r="411" spans="1:34" s="536" customFormat="1" ht="33.75" x14ac:dyDescent="0.2">
      <c r="A411" s="609"/>
      <c r="B411" s="552" t="s">
        <v>310</v>
      </c>
      <c r="C411" s="1822" t="s">
        <v>311</v>
      </c>
      <c r="D411" s="1822"/>
      <c r="E411" s="1822"/>
      <c r="F411" s="1822"/>
      <c r="G411" s="1822"/>
      <c r="H411" s="1822"/>
      <c r="I411" s="1822"/>
      <c r="J411" s="1822"/>
      <c r="K411" s="1822"/>
      <c r="L411" s="1822"/>
      <c r="M411" s="1822"/>
      <c r="N411" s="1827"/>
      <c r="V411" s="674"/>
      <c r="W411" s="675"/>
      <c r="Y411" s="537" t="s">
        <v>311</v>
      </c>
      <c r="AC411" s="675"/>
      <c r="AD411" s="675"/>
      <c r="AE411" s="675"/>
      <c r="AG411" s="675"/>
      <c r="AH411" s="680"/>
    </row>
    <row r="412" spans="1:34" s="536" customFormat="1" ht="12" x14ac:dyDescent="0.2">
      <c r="A412" s="605"/>
      <c r="B412" s="552" t="s">
        <v>185</v>
      </c>
      <c r="C412" s="1822" t="s">
        <v>312</v>
      </c>
      <c r="D412" s="1822"/>
      <c r="E412" s="1822"/>
      <c r="F412" s="562"/>
      <c r="G412" s="562"/>
      <c r="H412" s="562"/>
      <c r="I412" s="562"/>
      <c r="J412" s="604">
        <v>182.32</v>
      </c>
      <c r="K412" s="562" t="s">
        <v>313</v>
      </c>
      <c r="L412" s="604">
        <v>1368.54</v>
      </c>
      <c r="M412" s="603"/>
      <c r="N412" s="602"/>
      <c r="V412" s="674"/>
      <c r="W412" s="675"/>
      <c r="Z412" s="537" t="s">
        <v>312</v>
      </c>
      <c r="AC412" s="675"/>
      <c r="AD412" s="675"/>
      <c r="AE412" s="675"/>
      <c r="AG412" s="675"/>
      <c r="AH412" s="680"/>
    </row>
    <row r="413" spans="1:34" s="536" customFormat="1" ht="12" x14ac:dyDescent="0.2">
      <c r="A413" s="605"/>
      <c r="B413" s="552" t="s">
        <v>186</v>
      </c>
      <c r="C413" s="1822" t="s">
        <v>344</v>
      </c>
      <c r="D413" s="1822"/>
      <c r="E413" s="1822"/>
      <c r="F413" s="562"/>
      <c r="G413" s="562"/>
      <c r="H413" s="562"/>
      <c r="I413" s="562"/>
      <c r="J413" s="604">
        <v>7479.03</v>
      </c>
      <c r="K413" s="562" t="s">
        <v>313</v>
      </c>
      <c r="L413" s="604">
        <v>56139.47</v>
      </c>
      <c r="M413" s="603"/>
      <c r="N413" s="602"/>
      <c r="V413" s="674"/>
      <c r="W413" s="675"/>
      <c r="Z413" s="537" t="s">
        <v>344</v>
      </c>
      <c r="AC413" s="675"/>
      <c r="AD413" s="675"/>
      <c r="AE413" s="675"/>
      <c r="AG413" s="675"/>
      <c r="AH413" s="680"/>
    </row>
    <row r="414" spans="1:34" s="536" customFormat="1" ht="12" x14ac:dyDescent="0.2">
      <c r="A414" s="605"/>
      <c r="B414" s="552" t="s">
        <v>187</v>
      </c>
      <c r="C414" s="1822" t="s">
        <v>345</v>
      </c>
      <c r="D414" s="1822"/>
      <c r="E414" s="1822"/>
      <c r="F414" s="562"/>
      <c r="G414" s="562"/>
      <c r="H414" s="562"/>
      <c r="I414" s="562"/>
      <c r="J414" s="604">
        <v>234.46</v>
      </c>
      <c r="K414" s="562" t="s">
        <v>313</v>
      </c>
      <c r="L414" s="604">
        <v>1759.92</v>
      </c>
      <c r="M414" s="603"/>
      <c r="N414" s="602"/>
      <c r="V414" s="674"/>
      <c r="W414" s="675"/>
      <c r="Z414" s="537" t="s">
        <v>345</v>
      </c>
      <c r="AC414" s="675"/>
      <c r="AD414" s="675"/>
      <c r="AE414" s="675"/>
      <c r="AG414" s="675"/>
      <c r="AH414" s="680"/>
    </row>
    <row r="415" spans="1:34" s="536" customFormat="1" ht="12" x14ac:dyDescent="0.2">
      <c r="A415" s="605"/>
      <c r="B415" s="552" t="s">
        <v>188</v>
      </c>
      <c r="C415" s="1822" t="s">
        <v>475</v>
      </c>
      <c r="D415" s="1822"/>
      <c r="E415" s="1822"/>
      <c r="F415" s="562"/>
      <c r="G415" s="562"/>
      <c r="H415" s="562"/>
      <c r="I415" s="562"/>
      <c r="J415" s="604">
        <v>874.78</v>
      </c>
      <c r="K415" s="562"/>
      <c r="L415" s="604">
        <v>5253.05</v>
      </c>
      <c r="M415" s="603"/>
      <c r="N415" s="602"/>
      <c r="V415" s="674"/>
      <c r="W415" s="675"/>
      <c r="Z415" s="537" t="s">
        <v>475</v>
      </c>
      <c r="AC415" s="675"/>
      <c r="AD415" s="675"/>
      <c r="AE415" s="675"/>
      <c r="AG415" s="675"/>
      <c r="AH415" s="680"/>
    </row>
    <row r="416" spans="1:34" s="536" customFormat="1" ht="12" x14ac:dyDescent="0.2">
      <c r="A416" s="676"/>
      <c r="B416" s="677" t="s">
        <v>1063</v>
      </c>
      <c r="C416" s="1829" t="s">
        <v>1064</v>
      </c>
      <c r="D416" s="1829"/>
      <c r="E416" s="1829"/>
      <c r="F416" s="678" t="s">
        <v>694</v>
      </c>
      <c r="G416" s="678" t="s">
        <v>525</v>
      </c>
      <c r="H416" s="678"/>
      <c r="I416" s="678" t="s">
        <v>525</v>
      </c>
      <c r="J416" s="552"/>
      <c r="K416" s="562"/>
      <c r="L416" s="604"/>
      <c r="M416" s="562"/>
      <c r="N416" s="679"/>
      <c r="V416" s="674"/>
      <c r="W416" s="675"/>
      <c r="AC416" s="675"/>
      <c r="AD416" s="675"/>
      <c r="AE416" s="675"/>
      <c r="AG416" s="675"/>
      <c r="AH416" s="680" t="s">
        <v>1064</v>
      </c>
    </row>
    <row r="417" spans="1:34" s="536" customFormat="1" ht="22.5" x14ac:dyDescent="0.2">
      <c r="A417" s="605"/>
      <c r="B417" s="552"/>
      <c r="C417" s="1822" t="s">
        <v>314</v>
      </c>
      <c r="D417" s="1822"/>
      <c r="E417" s="1822"/>
      <c r="F417" s="562" t="s">
        <v>315</v>
      </c>
      <c r="G417" s="562" t="s">
        <v>1065</v>
      </c>
      <c r="H417" s="562" t="s">
        <v>313</v>
      </c>
      <c r="I417" s="562" t="s">
        <v>4162</v>
      </c>
      <c r="J417" s="604"/>
      <c r="K417" s="562"/>
      <c r="L417" s="604"/>
      <c r="M417" s="603"/>
      <c r="N417" s="602"/>
      <c r="V417" s="674"/>
      <c r="W417" s="675"/>
      <c r="AA417" s="537" t="s">
        <v>314</v>
      </c>
      <c r="AC417" s="675"/>
      <c r="AD417" s="675"/>
      <c r="AE417" s="675"/>
      <c r="AG417" s="675"/>
      <c r="AH417" s="680"/>
    </row>
    <row r="418" spans="1:34" s="536" customFormat="1" ht="22.5" x14ac:dyDescent="0.2">
      <c r="A418" s="605"/>
      <c r="B418" s="552"/>
      <c r="C418" s="1822" t="s">
        <v>348</v>
      </c>
      <c r="D418" s="1822"/>
      <c r="E418" s="1822"/>
      <c r="F418" s="562" t="s">
        <v>315</v>
      </c>
      <c r="G418" s="562" t="s">
        <v>1066</v>
      </c>
      <c r="H418" s="562" t="s">
        <v>313</v>
      </c>
      <c r="I418" s="562" t="s">
        <v>4163</v>
      </c>
      <c r="J418" s="604"/>
      <c r="K418" s="562"/>
      <c r="L418" s="604"/>
      <c r="M418" s="603"/>
      <c r="N418" s="602"/>
      <c r="V418" s="674"/>
      <c r="W418" s="675"/>
      <c r="AA418" s="537" t="s">
        <v>348</v>
      </c>
      <c r="AC418" s="675"/>
      <c r="AD418" s="675"/>
      <c r="AE418" s="675"/>
      <c r="AG418" s="675"/>
      <c r="AH418" s="680"/>
    </row>
    <row r="419" spans="1:34" s="536" customFormat="1" ht="12" x14ac:dyDescent="0.2">
      <c r="A419" s="605"/>
      <c r="B419" s="552"/>
      <c r="C419" s="1828" t="s">
        <v>318</v>
      </c>
      <c r="D419" s="1828"/>
      <c r="E419" s="1828"/>
      <c r="F419" s="608"/>
      <c r="G419" s="608"/>
      <c r="H419" s="608"/>
      <c r="I419" s="608"/>
      <c r="J419" s="607">
        <v>8536.1299999999992</v>
      </c>
      <c r="K419" s="608"/>
      <c r="L419" s="607">
        <v>62761.06</v>
      </c>
      <c r="M419" s="601"/>
      <c r="N419" s="606"/>
      <c r="V419" s="674"/>
      <c r="W419" s="675"/>
      <c r="AB419" s="537" t="s">
        <v>318</v>
      </c>
      <c r="AC419" s="675"/>
      <c r="AD419" s="675"/>
      <c r="AE419" s="675"/>
      <c r="AG419" s="675"/>
      <c r="AH419" s="680"/>
    </row>
    <row r="420" spans="1:34" s="536" customFormat="1" ht="12" x14ac:dyDescent="0.2">
      <c r="A420" s="605"/>
      <c r="B420" s="552"/>
      <c r="C420" s="1822" t="s">
        <v>319</v>
      </c>
      <c r="D420" s="1822"/>
      <c r="E420" s="1822"/>
      <c r="F420" s="562"/>
      <c r="G420" s="562"/>
      <c r="H420" s="562"/>
      <c r="I420" s="562"/>
      <c r="J420" s="604"/>
      <c r="K420" s="562"/>
      <c r="L420" s="604">
        <v>3128.46</v>
      </c>
      <c r="M420" s="603"/>
      <c r="N420" s="602"/>
      <c r="V420" s="674"/>
      <c r="W420" s="675"/>
      <c r="AA420" s="537" t="s">
        <v>319</v>
      </c>
      <c r="AC420" s="675"/>
      <c r="AD420" s="675"/>
      <c r="AE420" s="675"/>
      <c r="AG420" s="675"/>
      <c r="AH420" s="680"/>
    </row>
    <row r="421" spans="1:34" s="536" customFormat="1" ht="33.75" x14ac:dyDescent="0.2">
      <c r="A421" s="605"/>
      <c r="B421" s="552" t="s">
        <v>554</v>
      </c>
      <c r="C421" s="1822" t="s">
        <v>555</v>
      </c>
      <c r="D421" s="1822"/>
      <c r="E421" s="1822"/>
      <c r="F421" s="562" t="s">
        <v>322</v>
      </c>
      <c r="G421" s="562" t="s">
        <v>556</v>
      </c>
      <c r="H421" s="562"/>
      <c r="I421" s="562" t="s">
        <v>556</v>
      </c>
      <c r="J421" s="604"/>
      <c r="K421" s="562"/>
      <c r="L421" s="604">
        <v>3941.86</v>
      </c>
      <c r="M421" s="603"/>
      <c r="N421" s="602"/>
      <c r="V421" s="674"/>
      <c r="W421" s="675"/>
      <c r="AA421" s="537" t="s">
        <v>555</v>
      </c>
      <c r="AC421" s="675"/>
      <c r="AD421" s="675"/>
      <c r="AE421" s="675"/>
      <c r="AG421" s="675"/>
      <c r="AH421" s="680"/>
    </row>
    <row r="422" spans="1:34" s="536" customFormat="1" ht="33.75" x14ac:dyDescent="0.2">
      <c r="A422" s="605"/>
      <c r="B422" s="552" t="s">
        <v>557</v>
      </c>
      <c r="C422" s="1822" t="s">
        <v>558</v>
      </c>
      <c r="D422" s="1822"/>
      <c r="E422" s="1822"/>
      <c r="F422" s="562" t="s">
        <v>322</v>
      </c>
      <c r="G422" s="562" t="s">
        <v>559</v>
      </c>
      <c r="H422" s="562"/>
      <c r="I422" s="562" t="s">
        <v>559</v>
      </c>
      <c r="J422" s="604"/>
      <c r="K422" s="562"/>
      <c r="L422" s="604">
        <v>2972.04</v>
      </c>
      <c r="M422" s="603"/>
      <c r="N422" s="602"/>
      <c r="V422" s="674"/>
      <c r="W422" s="675"/>
      <c r="AA422" s="537" t="s">
        <v>558</v>
      </c>
      <c r="AC422" s="675"/>
      <c r="AD422" s="675"/>
      <c r="AE422" s="675"/>
      <c r="AG422" s="675"/>
      <c r="AH422" s="680"/>
    </row>
    <row r="423" spans="1:34" s="536" customFormat="1" ht="12" x14ac:dyDescent="0.2">
      <c r="A423" s="569"/>
      <c r="B423" s="671"/>
      <c r="C423" s="1823" t="s">
        <v>327</v>
      </c>
      <c r="D423" s="1823"/>
      <c r="E423" s="1823"/>
      <c r="F423" s="573"/>
      <c r="G423" s="573"/>
      <c r="H423" s="573"/>
      <c r="I423" s="573"/>
      <c r="J423" s="572"/>
      <c r="K423" s="573"/>
      <c r="L423" s="572">
        <v>69674.960000000006</v>
      </c>
      <c r="M423" s="601"/>
      <c r="N423" s="570"/>
      <c r="V423" s="674"/>
      <c r="W423" s="675"/>
      <c r="AC423" s="675" t="s">
        <v>327</v>
      </c>
      <c r="AD423" s="675"/>
      <c r="AE423" s="675"/>
      <c r="AG423" s="675"/>
      <c r="AH423" s="680"/>
    </row>
    <row r="424" spans="1:34" s="536" customFormat="1" ht="33.75" x14ac:dyDescent="0.2">
      <c r="A424" s="575" t="s">
        <v>770</v>
      </c>
      <c r="B424" s="670" t="s">
        <v>1068</v>
      </c>
      <c r="C424" s="1823" t="s">
        <v>1069</v>
      </c>
      <c r="D424" s="1823"/>
      <c r="E424" s="1823"/>
      <c r="F424" s="573" t="s">
        <v>1034</v>
      </c>
      <c r="G424" s="573"/>
      <c r="H424" s="573"/>
      <c r="I424" s="573" t="s">
        <v>4160</v>
      </c>
      <c r="J424" s="572"/>
      <c r="K424" s="573"/>
      <c r="L424" s="572"/>
      <c r="M424" s="571"/>
      <c r="N424" s="570"/>
      <c r="V424" s="674"/>
      <c r="W424" s="675" t="s">
        <v>1069</v>
      </c>
      <c r="AC424" s="675"/>
      <c r="AD424" s="675"/>
      <c r="AE424" s="675"/>
      <c r="AG424" s="675"/>
      <c r="AH424" s="680"/>
    </row>
    <row r="425" spans="1:34" s="536" customFormat="1" ht="12" x14ac:dyDescent="0.2">
      <c r="A425" s="676"/>
      <c r="B425" s="664"/>
      <c r="C425" s="1822" t="s">
        <v>4161</v>
      </c>
      <c r="D425" s="1822"/>
      <c r="E425" s="1822"/>
      <c r="F425" s="1822"/>
      <c r="G425" s="1822"/>
      <c r="H425" s="1822"/>
      <c r="I425" s="1822"/>
      <c r="J425" s="1822"/>
      <c r="K425" s="1822"/>
      <c r="L425" s="1822"/>
      <c r="M425" s="1822"/>
      <c r="N425" s="1827"/>
      <c r="V425" s="674"/>
      <c r="W425" s="675"/>
      <c r="X425" s="537" t="s">
        <v>4161</v>
      </c>
      <c r="AC425" s="675"/>
      <c r="AD425" s="675"/>
      <c r="AE425" s="675"/>
      <c r="AG425" s="675"/>
      <c r="AH425" s="680"/>
    </row>
    <row r="426" spans="1:34" s="536" customFormat="1" ht="12" x14ac:dyDescent="0.2">
      <c r="A426" s="609"/>
      <c r="B426" s="552"/>
      <c r="C426" s="1822" t="s">
        <v>1070</v>
      </c>
      <c r="D426" s="1822"/>
      <c r="E426" s="1822"/>
      <c r="F426" s="1822"/>
      <c r="G426" s="1822"/>
      <c r="H426" s="1822"/>
      <c r="I426" s="1822"/>
      <c r="J426" s="1822"/>
      <c r="K426" s="1822"/>
      <c r="L426" s="1822"/>
      <c r="M426" s="1822"/>
      <c r="N426" s="1827"/>
      <c r="V426" s="674"/>
      <c r="W426" s="675"/>
      <c r="Y426" s="537" t="s">
        <v>1070</v>
      </c>
      <c r="AC426" s="675"/>
      <c r="AD426" s="675"/>
      <c r="AE426" s="675"/>
      <c r="AG426" s="675"/>
      <c r="AH426" s="680"/>
    </row>
    <row r="427" spans="1:34" s="536" customFormat="1" ht="33.75" x14ac:dyDescent="0.2">
      <c r="A427" s="609"/>
      <c r="B427" s="552" t="s">
        <v>310</v>
      </c>
      <c r="C427" s="1822" t="s">
        <v>311</v>
      </c>
      <c r="D427" s="1822"/>
      <c r="E427" s="1822"/>
      <c r="F427" s="1822"/>
      <c r="G427" s="1822"/>
      <c r="H427" s="1822"/>
      <c r="I427" s="1822"/>
      <c r="J427" s="1822"/>
      <c r="K427" s="1822"/>
      <c r="L427" s="1822"/>
      <c r="M427" s="1822"/>
      <c r="N427" s="1827"/>
      <c r="V427" s="674"/>
      <c r="W427" s="675"/>
      <c r="Y427" s="537" t="s">
        <v>311</v>
      </c>
      <c r="AC427" s="675"/>
      <c r="AD427" s="675"/>
      <c r="AE427" s="675"/>
      <c r="AG427" s="675"/>
      <c r="AH427" s="680"/>
    </row>
    <row r="428" spans="1:34" s="536" customFormat="1" ht="12" x14ac:dyDescent="0.2">
      <c r="A428" s="605"/>
      <c r="B428" s="552" t="s">
        <v>185</v>
      </c>
      <c r="C428" s="1822" t="s">
        <v>312</v>
      </c>
      <c r="D428" s="1822"/>
      <c r="E428" s="1822"/>
      <c r="F428" s="562"/>
      <c r="G428" s="562"/>
      <c r="H428" s="562"/>
      <c r="I428" s="562"/>
      <c r="J428" s="604">
        <v>3.29</v>
      </c>
      <c r="K428" s="562" t="s">
        <v>1071</v>
      </c>
      <c r="L428" s="604">
        <v>148.16999999999999</v>
      </c>
      <c r="M428" s="603"/>
      <c r="N428" s="602"/>
      <c r="V428" s="674"/>
      <c r="W428" s="675"/>
      <c r="Z428" s="537" t="s">
        <v>312</v>
      </c>
      <c r="AC428" s="675"/>
      <c r="AD428" s="675"/>
      <c r="AE428" s="675"/>
      <c r="AG428" s="675"/>
      <c r="AH428" s="680"/>
    </row>
    <row r="429" spans="1:34" s="536" customFormat="1" ht="12" x14ac:dyDescent="0.2">
      <c r="A429" s="605"/>
      <c r="B429" s="552" t="s">
        <v>186</v>
      </c>
      <c r="C429" s="1822" t="s">
        <v>344</v>
      </c>
      <c r="D429" s="1822"/>
      <c r="E429" s="1822"/>
      <c r="F429" s="562"/>
      <c r="G429" s="562"/>
      <c r="H429" s="562"/>
      <c r="I429" s="562"/>
      <c r="J429" s="604">
        <v>254.89</v>
      </c>
      <c r="K429" s="562" t="s">
        <v>1071</v>
      </c>
      <c r="L429" s="604">
        <v>11479.61</v>
      </c>
      <c r="M429" s="603"/>
      <c r="N429" s="602"/>
      <c r="V429" s="674"/>
      <c r="W429" s="675"/>
      <c r="Z429" s="537" t="s">
        <v>344</v>
      </c>
      <c r="AC429" s="675"/>
      <c r="AD429" s="675"/>
      <c r="AE429" s="675"/>
      <c r="AG429" s="675"/>
      <c r="AH429" s="680"/>
    </row>
    <row r="430" spans="1:34" s="536" customFormat="1" ht="12" x14ac:dyDescent="0.2">
      <c r="A430" s="605"/>
      <c r="B430" s="552" t="s">
        <v>187</v>
      </c>
      <c r="C430" s="1822" t="s">
        <v>345</v>
      </c>
      <c r="D430" s="1822"/>
      <c r="E430" s="1822"/>
      <c r="F430" s="562"/>
      <c r="G430" s="562"/>
      <c r="H430" s="562"/>
      <c r="I430" s="562"/>
      <c r="J430" s="604">
        <v>5.95</v>
      </c>
      <c r="K430" s="562" t="s">
        <v>1071</v>
      </c>
      <c r="L430" s="604">
        <v>267.97000000000003</v>
      </c>
      <c r="M430" s="603"/>
      <c r="N430" s="602"/>
      <c r="V430" s="674"/>
      <c r="W430" s="675"/>
      <c r="Z430" s="537" t="s">
        <v>345</v>
      </c>
      <c r="AC430" s="675"/>
      <c r="AD430" s="675"/>
      <c r="AE430" s="675"/>
      <c r="AG430" s="675"/>
      <c r="AH430" s="680"/>
    </row>
    <row r="431" spans="1:34" s="536" customFormat="1" ht="12" x14ac:dyDescent="0.2">
      <c r="A431" s="605"/>
      <c r="B431" s="552" t="s">
        <v>188</v>
      </c>
      <c r="C431" s="1822" t="s">
        <v>475</v>
      </c>
      <c r="D431" s="1822"/>
      <c r="E431" s="1822"/>
      <c r="F431" s="562"/>
      <c r="G431" s="562"/>
      <c r="H431" s="562"/>
      <c r="I431" s="562"/>
      <c r="J431" s="604">
        <v>2.94</v>
      </c>
      <c r="K431" s="562" t="s">
        <v>190</v>
      </c>
      <c r="L431" s="604">
        <v>105.93</v>
      </c>
      <c r="M431" s="603"/>
      <c r="N431" s="602"/>
      <c r="V431" s="674"/>
      <c r="W431" s="675"/>
      <c r="Z431" s="537" t="s">
        <v>475</v>
      </c>
      <c r="AC431" s="675"/>
      <c r="AD431" s="675"/>
      <c r="AE431" s="675"/>
      <c r="AG431" s="675"/>
      <c r="AH431" s="680"/>
    </row>
    <row r="432" spans="1:34" s="536" customFormat="1" ht="12" x14ac:dyDescent="0.2">
      <c r="A432" s="676"/>
      <c r="B432" s="677" t="s">
        <v>1063</v>
      </c>
      <c r="C432" s="1829" t="s">
        <v>1064</v>
      </c>
      <c r="D432" s="1829"/>
      <c r="E432" s="1829"/>
      <c r="F432" s="678" t="s">
        <v>694</v>
      </c>
      <c r="G432" s="678" t="s">
        <v>525</v>
      </c>
      <c r="H432" s="678" t="s">
        <v>190</v>
      </c>
      <c r="I432" s="678" t="s">
        <v>525</v>
      </c>
      <c r="J432" s="552"/>
      <c r="K432" s="562"/>
      <c r="L432" s="604"/>
      <c r="M432" s="562"/>
      <c r="N432" s="679"/>
      <c r="V432" s="674"/>
      <c r="W432" s="675"/>
      <c r="AC432" s="675"/>
      <c r="AD432" s="675"/>
      <c r="AE432" s="675"/>
      <c r="AG432" s="675"/>
      <c r="AH432" s="680" t="s">
        <v>1064</v>
      </c>
    </row>
    <row r="433" spans="1:34" s="536" customFormat="1" ht="12" x14ac:dyDescent="0.2">
      <c r="A433" s="605"/>
      <c r="B433" s="552"/>
      <c r="C433" s="1822" t="s">
        <v>314</v>
      </c>
      <c r="D433" s="1822"/>
      <c r="E433" s="1822"/>
      <c r="F433" s="562" t="s">
        <v>315</v>
      </c>
      <c r="G433" s="562" t="s">
        <v>691</v>
      </c>
      <c r="H433" s="562" t="s">
        <v>1071</v>
      </c>
      <c r="I433" s="562" t="s">
        <v>4164</v>
      </c>
      <c r="J433" s="604"/>
      <c r="K433" s="562"/>
      <c r="L433" s="604"/>
      <c r="M433" s="603"/>
      <c r="N433" s="602"/>
      <c r="V433" s="674"/>
      <c r="W433" s="675"/>
      <c r="AA433" s="537" t="s">
        <v>314</v>
      </c>
      <c r="AC433" s="675"/>
      <c r="AD433" s="675"/>
      <c r="AE433" s="675"/>
      <c r="AG433" s="675"/>
      <c r="AH433" s="680"/>
    </row>
    <row r="434" spans="1:34" s="536" customFormat="1" ht="12" x14ac:dyDescent="0.2">
      <c r="A434" s="605"/>
      <c r="B434" s="552"/>
      <c r="C434" s="1822" t="s">
        <v>348</v>
      </c>
      <c r="D434" s="1822"/>
      <c r="E434" s="1822"/>
      <c r="F434" s="562" t="s">
        <v>315</v>
      </c>
      <c r="G434" s="562" t="s">
        <v>1072</v>
      </c>
      <c r="H434" s="562" t="s">
        <v>1071</v>
      </c>
      <c r="I434" s="562" t="s">
        <v>4165</v>
      </c>
      <c r="J434" s="604"/>
      <c r="K434" s="562"/>
      <c r="L434" s="604"/>
      <c r="M434" s="603"/>
      <c r="N434" s="602"/>
      <c r="V434" s="674"/>
      <c r="W434" s="675"/>
      <c r="AA434" s="537" t="s">
        <v>348</v>
      </c>
      <c r="AC434" s="675"/>
      <c r="AD434" s="675"/>
      <c r="AE434" s="675"/>
      <c r="AG434" s="675"/>
      <c r="AH434" s="680"/>
    </row>
    <row r="435" spans="1:34" s="536" customFormat="1" ht="12" x14ac:dyDescent="0.2">
      <c r="A435" s="605"/>
      <c r="B435" s="552"/>
      <c r="C435" s="1828" t="s">
        <v>318</v>
      </c>
      <c r="D435" s="1828"/>
      <c r="E435" s="1828"/>
      <c r="F435" s="608"/>
      <c r="G435" s="608"/>
      <c r="H435" s="608"/>
      <c r="I435" s="608"/>
      <c r="J435" s="607">
        <v>261.12</v>
      </c>
      <c r="K435" s="608"/>
      <c r="L435" s="607">
        <v>11733.71</v>
      </c>
      <c r="M435" s="601"/>
      <c r="N435" s="606"/>
      <c r="V435" s="674"/>
      <c r="W435" s="675"/>
      <c r="AB435" s="537" t="s">
        <v>318</v>
      </c>
      <c r="AC435" s="675"/>
      <c r="AD435" s="675"/>
      <c r="AE435" s="675"/>
      <c r="AG435" s="675"/>
      <c r="AH435" s="680"/>
    </row>
    <row r="436" spans="1:34" s="536" customFormat="1" ht="12" x14ac:dyDescent="0.2">
      <c r="A436" s="605"/>
      <c r="B436" s="552"/>
      <c r="C436" s="1822" t="s">
        <v>319</v>
      </c>
      <c r="D436" s="1822"/>
      <c r="E436" s="1822"/>
      <c r="F436" s="562"/>
      <c r="G436" s="562"/>
      <c r="H436" s="562"/>
      <c r="I436" s="562"/>
      <c r="J436" s="604"/>
      <c r="K436" s="562"/>
      <c r="L436" s="604">
        <v>416.14</v>
      </c>
      <c r="M436" s="603"/>
      <c r="N436" s="602"/>
      <c r="V436" s="674"/>
      <c r="W436" s="675"/>
      <c r="AA436" s="537" t="s">
        <v>319</v>
      </c>
      <c r="AC436" s="675"/>
      <c r="AD436" s="675"/>
      <c r="AE436" s="675"/>
      <c r="AG436" s="675"/>
      <c r="AH436" s="680"/>
    </row>
    <row r="437" spans="1:34" s="536" customFormat="1" ht="33.75" x14ac:dyDescent="0.2">
      <c r="A437" s="605"/>
      <c r="B437" s="552" t="s">
        <v>554</v>
      </c>
      <c r="C437" s="1822" t="s">
        <v>555</v>
      </c>
      <c r="D437" s="1822"/>
      <c r="E437" s="1822"/>
      <c r="F437" s="562" t="s">
        <v>322</v>
      </c>
      <c r="G437" s="562" t="s">
        <v>556</v>
      </c>
      <c r="H437" s="562"/>
      <c r="I437" s="562" t="s">
        <v>556</v>
      </c>
      <c r="J437" s="604"/>
      <c r="K437" s="562"/>
      <c r="L437" s="604">
        <v>524.34</v>
      </c>
      <c r="M437" s="603"/>
      <c r="N437" s="602"/>
      <c r="V437" s="674"/>
      <c r="W437" s="675"/>
      <c r="AA437" s="537" t="s">
        <v>555</v>
      </c>
      <c r="AC437" s="675"/>
      <c r="AD437" s="675"/>
      <c r="AE437" s="675"/>
      <c r="AG437" s="675"/>
      <c r="AH437" s="680"/>
    </row>
    <row r="438" spans="1:34" s="536" customFormat="1" ht="33.75" x14ac:dyDescent="0.2">
      <c r="A438" s="605"/>
      <c r="B438" s="552" t="s">
        <v>557</v>
      </c>
      <c r="C438" s="1822" t="s">
        <v>558</v>
      </c>
      <c r="D438" s="1822"/>
      <c r="E438" s="1822"/>
      <c r="F438" s="562" t="s">
        <v>322</v>
      </c>
      <c r="G438" s="562" t="s">
        <v>559</v>
      </c>
      <c r="H438" s="562"/>
      <c r="I438" s="562" t="s">
        <v>559</v>
      </c>
      <c r="J438" s="604"/>
      <c r="K438" s="562"/>
      <c r="L438" s="604">
        <v>395.33</v>
      </c>
      <c r="M438" s="603"/>
      <c r="N438" s="602"/>
      <c r="V438" s="674"/>
      <c r="W438" s="675"/>
      <c r="AA438" s="537" t="s">
        <v>558</v>
      </c>
      <c r="AC438" s="675"/>
      <c r="AD438" s="675"/>
      <c r="AE438" s="675"/>
      <c r="AG438" s="675"/>
      <c r="AH438" s="680"/>
    </row>
    <row r="439" spans="1:34" s="536" customFormat="1" ht="12" x14ac:dyDescent="0.2">
      <c r="A439" s="569"/>
      <c r="B439" s="671"/>
      <c r="C439" s="1823" t="s">
        <v>327</v>
      </c>
      <c r="D439" s="1823"/>
      <c r="E439" s="1823"/>
      <c r="F439" s="573"/>
      <c r="G439" s="573"/>
      <c r="H439" s="573"/>
      <c r="I439" s="573"/>
      <c r="J439" s="572"/>
      <c r="K439" s="573"/>
      <c r="L439" s="572">
        <v>12653.38</v>
      </c>
      <c r="M439" s="601"/>
      <c r="N439" s="570"/>
      <c r="V439" s="674"/>
      <c r="W439" s="675"/>
      <c r="AC439" s="675" t="s">
        <v>327</v>
      </c>
      <c r="AD439" s="675"/>
      <c r="AE439" s="675"/>
      <c r="AG439" s="675"/>
      <c r="AH439" s="680"/>
    </row>
    <row r="440" spans="1:34" s="536" customFormat="1" ht="22.5" x14ac:dyDescent="0.2">
      <c r="A440" s="575" t="s">
        <v>771</v>
      </c>
      <c r="B440" s="670" t="s">
        <v>4166</v>
      </c>
      <c r="C440" s="1823" t="s">
        <v>4167</v>
      </c>
      <c r="D440" s="1823"/>
      <c r="E440" s="1823"/>
      <c r="F440" s="573" t="s">
        <v>694</v>
      </c>
      <c r="G440" s="573"/>
      <c r="H440" s="573"/>
      <c r="I440" s="573" t="s">
        <v>4168</v>
      </c>
      <c r="J440" s="572">
        <v>451.06</v>
      </c>
      <c r="K440" s="573"/>
      <c r="L440" s="572">
        <v>439066.31</v>
      </c>
      <c r="M440" s="571"/>
      <c r="N440" s="570"/>
      <c r="V440" s="674"/>
      <c r="W440" s="675" t="s">
        <v>4167</v>
      </c>
      <c r="AC440" s="675"/>
      <c r="AD440" s="675"/>
      <c r="AE440" s="675"/>
      <c r="AG440" s="675"/>
      <c r="AH440" s="680"/>
    </row>
    <row r="441" spans="1:34" s="536" customFormat="1" ht="12" x14ac:dyDescent="0.2">
      <c r="A441" s="569"/>
      <c r="B441" s="671"/>
      <c r="C441" s="665" t="s">
        <v>717</v>
      </c>
      <c r="D441" s="666"/>
      <c r="E441" s="666"/>
      <c r="F441" s="563"/>
      <c r="G441" s="563"/>
      <c r="H441" s="563"/>
      <c r="I441" s="563"/>
      <c r="J441" s="566"/>
      <c r="K441" s="563"/>
      <c r="L441" s="566"/>
      <c r="M441" s="565"/>
      <c r="N441" s="564"/>
      <c r="V441" s="674"/>
      <c r="W441" s="675"/>
      <c r="AC441" s="675"/>
      <c r="AD441" s="675"/>
      <c r="AE441" s="675"/>
      <c r="AG441" s="675"/>
      <c r="AH441" s="680"/>
    </row>
    <row r="442" spans="1:34" s="536" customFormat="1" ht="12" x14ac:dyDescent="0.2">
      <c r="A442" s="575" t="s">
        <v>772</v>
      </c>
      <c r="B442" s="670" t="s">
        <v>1053</v>
      </c>
      <c r="C442" s="1823" t="s">
        <v>1054</v>
      </c>
      <c r="D442" s="1823"/>
      <c r="E442" s="1823"/>
      <c r="F442" s="573" t="s">
        <v>694</v>
      </c>
      <c r="G442" s="573"/>
      <c r="H442" s="573"/>
      <c r="I442" s="573" t="s">
        <v>3086</v>
      </c>
      <c r="J442" s="572"/>
      <c r="K442" s="573"/>
      <c r="L442" s="572"/>
      <c r="M442" s="571"/>
      <c r="N442" s="570"/>
      <c r="V442" s="674"/>
      <c r="W442" s="675" t="s">
        <v>1054</v>
      </c>
      <c r="AC442" s="675"/>
      <c r="AD442" s="675"/>
      <c r="AE442" s="675"/>
      <c r="AG442" s="675"/>
      <c r="AH442" s="680"/>
    </row>
    <row r="443" spans="1:34" s="536" customFormat="1" ht="33.75" x14ac:dyDescent="0.2">
      <c r="A443" s="609"/>
      <c r="B443" s="552" t="s">
        <v>310</v>
      </c>
      <c r="C443" s="1822" t="s">
        <v>311</v>
      </c>
      <c r="D443" s="1822"/>
      <c r="E443" s="1822"/>
      <c r="F443" s="1822"/>
      <c r="G443" s="1822"/>
      <c r="H443" s="1822"/>
      <c r="I443" s="1822"/>
      <c r="J443" s="1822"/>
      <c r="K443" s="1822"/>
      <c r="L443" s="1822"/>
      <c r="M443" s="1822"/>
      <c r="N443" s="1827"/>
      <c r="V443" s="674"/>
      <c r="W443" s="675"/>
      <c r="Y443" s="537" t="s">
        <v>311</v>
      </c>
      <c r="AC443" s="675"/>
      <c r="AD443" s="675"/>
      <c r="AE443" s="675"/>
      <c r="AG443" s="675"/>
      <c r="AH443" s="680"/>
    </row>
    <row r="444" spans="1:34" s="536" customFormat="1" ht="12" x14ac:dyDescent="0.2">
      <c r="A444" s="605"/>
      <c r="B444" s="552" t="s">
        <v>186</v>
      </c>
      <c r="C444" s="1822" t="s">
        <v>344</v>
      </c>
      <c r="D444" s="1822"/>
      <c r="E444" s="1822"/>
      <c r="F444" s="562"/>
      <c r="G444" s="562"/>
      <c r="H444" s="562"/>
      <c r="I444" s="562"/>
      <c r="J444" s="604">
        <v>39.1</v>
      </c>
      <c r="K444" s="562" t="s">
        <v>313</v>
      </c>
      <c r="L444" s="604">
        <v>87.98</v>
      </c>
      <c r="M444" s="603"/>
      <c r="N444" s="602"/>
      <c r="V444" s="674"/>
      <c r="W444" s="675"/>
      <c r="Z444" s="537" t="s">
        <v>344</v>
      </c>
      <c r="AC444" s="675"/>
      <c r="AD444" s="675"/>
      <c r="AE444" s="675"/>
      <c r="AG444" s="675"/>
      <c r="AH444" s="680"/>
    </row>
    <row r="445" spans="1:34" s="536" customFormat="1" ht="12" x14ac:dyDescent="0.2">
      <c r="A445" s="605"/>
      <c r="B445" s="552" t="s">
        <v>187</v>
      </c>
      <c r="C445" s="1822" t="s">
        <v>345</v>
      </c>
      <c r="D445" s="1822"/>
      <c r="E445" s="1822"/>
      <c r="F445" s="562"/>
      <c r="G445" s="562"/>
      <c r="H445" s="562"/>
      <c r="I445" s="562"/>
      <c r="J445" s="604">
        <v>7.15</v>
      </c>
      <c r="K445" s="562" t="s">
        <v>313</v>
      </c>
      <c r="L445" s="604">
        <v>16.09</v>
      </c>
      <c r="M445" s="603"/>
      <c r="N445" s="602"/>
      <c r="V445" s="674"/>
      <c r="W445" s="675"/>
      <c r="Z445" s="537" t="s">
        <v>345</v>
      </c>
      <c r="AC445" s="675"/>
      <c r="AD445" s="675"/>
      <c r="AE445" s="675"/>
      <c r="AG445" s="675"/>
      <c r="AH445" s="680"/>
    </row>
    <row r="446" spans="1:34" s="536" customFormat="1" ht="12" x14ac:dyDescent="0.2">
      <c r="A446" s="676"/>
      <c r="B446" s="677" t="s">
        <v>1055</v>
      </c>
      <c r="C446" s="1829" t="s">
        <v>1056</v>
      </c>
      <c r="D446" s="1829"/>
      <c r="E446" s="1829"/>
      <c r="F446" s="678" t="s">
        <v>694</v>
      </c>
      <c r="G446" s="678" t="s">
        <v>702</v>
      </c>
      <c r="H446" s="678"/>
      <c r="I446" s="678" t="s">
        <v>4169</v>
      </c>
      <c r="J446" s="552"/>
      <c r="K446" s="562"/>
      <c r="L446" s="604"/>
      <c r="M446" s="562"/>
      <c r="N446" s="679"/>
      <c r="V446" s="674"/>
      <c r="W446" s="675"/>
      <c r="AC446" s="675"/>
      <c r="AD446" s="675"/>
      <c r="AE446" s="675"/>
      <c r="AG446" s="675"/>
      <c r="AH446" s="680" t="s">
        <v>1056</v>
      </c>
    </row>
    <row r="447" spans="1:34" s="536" customFormat="1" ht="12" x14ac:dyDescent="0.2">
      <c r="A447" s="605"/>
      <c r="B447" s="552"/>
      <c r="C447" s="1822" t="s">
        <v>348</v>
      </c>
      <c r="D447" s="1822"/>
      <c r="E447" s="1822"/>
      <c r="F447" s="562" t="s">
        <v>315</v>
      </c>
      <c r="G447" s="562" t="s">
        <v>1057</v>
      </c>
      <c r="H447" s="562" t="s">
        <v>313</v>
      </c>
      <c r="I447" s="562" t="s">
        <v>4170</v>
      </c>
      <c r="J447" s="604"/>
      <c r="K447" s="562"/>
      <c r="L447" s="604"/>
      <c r="M447" s="603"/>
      <c r="N447" s="602"/>
      <c r="V447" s="674"/>
      <c r="W447" s="675"/>
      <c r="AA447" s="537" t="s">
        <v>348</v>
      </c>
      <c r="AC447" s="675"/>
      <c r="AD447" s="675"/>
      <c r="AE447" s="675"/>
      <c r="AG447" s="675"/>
      <c r="AH447" s="680"/>
    </row>
    <row r="448" spans="1:34" s="536" customFormat="1" ht="12" x14ac:dyDescent="0.2">
      <c r="A448" s="605"/>
      <c r="B448" s="552"/>
      <c r="C448" s="1828" t="s">
        <v>318</v>
      </c>
      <c r="D448" s="1828"/>
      <c r="E448" s="1828"/>
      <c r="F448" s="608"/>
      <c r="G448" s="608"/>
      <c r="H448" s="608"/>
      <c r="I448" s="608"/>
      <c r="J448" s="607">
        <v>39.1</v>
      </c>
      <c r="K448" s="608"/>
      <c r="L448" s="607">
        <v>87.98</v>
      </c>
      <c r="M448" s="601"/>
      <c r="N448" s="606"/>
      <c r="V448" s="674"/>
      <c r="W448" s="675"/>
      <c r="AB448" s="537" t="s">
        <v>318</v>
      </c>
      <c r="AC448" s="675"/>
      <c r="AD448" s="675"/>
      <c r="AE448" s="675"/>
      <c r="AG448" s="675"/>
      <c r="AH448" s="680"/>
    </row>
    <row r="449" spans="1:34" s="536" customFormat="1" ht="12" x14ac:dyDescent="0.2">
      <c r="A449" s="605"/>
      <c r="B449" s="552"/>
      <c r="C449" s="1822" t="s">
        <v>319</v>
      </c>
      <c r="D449" s="1822"/>
      <c r="E449" s="1822"/>
      <c r="F449" s="562"/>
      <c r="G449" s="562"/>
      <c r="H449" s="562"/>
      <c r="I449" s="562"/>
      <c r="J449" s="604"/>
      <c r="K449" s="562"/>
      <c r="L449" s="604">
        <v>16.09</v>
      </c>
      <c r="M449" s="603"/>
      <c r="N449" s="602"/>
      <c r="V449" s="674"/>
      <c r="W449" s="675"/>
      <c r="AA449" s="537" t="s">
        <v>319</v>
      </c>
      <c r="AC449" s="675"/>
      <c r="AD449" s="675"/>
      <c r="AE449" s="675"/>
      <c r="AG449" s="675"/>
      <c r="AH449" s="680"/>
    </row>
    <row r="450" spans="1:34" s="536" customFormat="1" ht="33.75" x14ac:dyDescent="0.2">
      <c r="A450" s="605"/>
      <c r="B450" s="552" t="s">
        <v>554</v>
      </c>
      <c r="C450" s="1822" t="s">
        <v>555</v>
      </c>
      <c r="D450" s="1822"/>
      <c r="E450" s="1822"/>
      <c r="F450" s="562" t="s">
        <v>322</v>
      </c>
      <c r="G450" s="562" t="s">
        <v>556</v>
      </c>
      <c r="H450" s="562"/>
      <c r="I450" s="562" t="s">
        <v>556</v>
      </c>
      <c r="J450" s="604"/>
      <c r="K450" s="562"/>
      <c r="L450" s="604">
        <v>20.27</v>
      </c>
      <c r="M450" s="603"/>
      <c r="N450" s="602"/>
      <c r="V450" s="674"/>
      <c r="W450" s="675"/>
      <c r="AA450" s="537" t="s">
        <v>555</v>
      </c>
      <c r="AC450" s="675"/>
      <c r="AD450" s="675"/>
      <c r="AE450" s="675"/>
      <c r="AG450" s="675"/>
      <c r="AH450" s="680"/>
    </row>
    <row r="451" spans="1:34" s="536" customFormat="1" ht="33.75" x14ac:dyDescent="0.2">
      <c r="A451" s="605"/>
      <c r="B451" s="552" t="s">
        <v>557</v>
      </c>
      <c r="C451" s="1822" t="s">
        <v>558</v>
      </c>
      <c r="D451" s="1822"/>
      <c r="E451" s="1822"/>
      <c r="F451" s="562" t="s">
        <v>322</v>
      </c>
      <c r="G451" s="562" t="s">
        <v>559</v>
      </c>
      <c r="H451" s="562"/>
      <c r="I451" s="562" t="s">
        <v>559</v>
      </c>
      <c r="J451" s="604"/>
      <c r="K451" s="562"/>
      <c r="L451" s="604">
        <v>15.29</v>
      </c>
      <c r="M451" s="603"/>
      <c r="N451" s="602"/>
      <c r="V451" s="674"/>
      <c r="W451" s="675"/>
      <c r="AA451" s="537" t="s">
        <v>558</v>
      </c>
      <c r="AC451" s="675"/>
      <c r="AD451" s="675"/>
      <c r="AE451" s="675"/>
      <c r="AG451" s="675"/>
      <c r="AH451" s="680"/>
    </row>
    <row r="452" spans="1:34" s="536" customFormat="1" ht="12" x14ac:dyDescent="0.2">
      <c r="A452" s="569"/>
      <c r="B452" s="671"/>
      <c r="C452" s="1823" t="s">
        <v>327</v>
      </c>
      <c r="D452" s="1823"/>
      <c r="E452" s="1823"/>
      <c r="F452" s="573"/>
      <c r="G452" s="573"/>
      <c r="H452" s="573"/>
      <c r="I452" s="573"/>
      <c r="J452" s="572"/>
      <c r="K452" s="573"/>
      <c r="L452" s="572">
        <v>123.54</v>
      </c>
      <c r="M452" s="601"/>
      <c r="N452" s="570"/>
      <c r="V452" s="674"/>
      <c r="W452" s="675"/>
      <c r="AC452" s="675" t="s">
        <v>327</v>
      </c>
      <c r="AD452" s="675"/>
      <c r="AE452" s="675"/>
      <c r="AG452" s="675"/>
      <c r="AH452" s="680"/>
    </row>
    <row r="453" spans="1:34" s="536" customFormat="1" ht="12" x14ac:dyDescent="0.2">
      <c r="A453" s="575" t="s">
        <v>677</v>
      </c>
      <c r="B453" s="670" t="s">
        <v>1059</v>
      </c>
      <c r="C453" s="1823" t="s">
        <v>1060</v>
      </c>
      <c r="D453" s="1823"/>
      <c r="E453" s="1823"/>
      <c r="F453" s="573" t="s">
        <v>694</v>
      </c>
      <c r="G453" s="573"/>
      <c r="H453" s="573"/>
      <c r="I453" s="573" t="s">
        <v>4169</v>
      </c>
      <c r="J453" s="572">
        <v>2723.2</v>
      </c>
      <c r="K453" s="573"/>
      <c r="L453" s="572">
        <v>5048.8100000000004</v>
      </c>
      <c r="M453" s="571"/>
      <c r="N453" s="570"/>
      <c r="V453" s="674"/>
      <c r="W453" s="675" t="s">
        <v>1060</v>
      </c>
      <c r="AC453" s="675"/>
      <c r="AD453" s="675"/>
      <c r="AE453" s="675"/>
      <c r="AG453" s="675"/>
      <c r="AH453" s="680"/>
    </row>
    <row r="454" spans="1:34" s="536" customFormat="1" ht="12" x14ac:dyDescent="0.2">
      <c r="A454" s="569"/>
      <c r="B454" s="671"/>
      <c r="C454" s="665" t="s">
        <v>717</v>
      </c>
      <c r="D454" s="666"/>
      <c r="E454" s="666"/>
      <c r="F454" s="563"/>
      <c r="G454" s="563"/>
      <c r="H454" s="563"/>
      <c r="I454" s="563"/>
      <c r="J454" s="566"/>
      <c r="K454" s="563"/>
      <c r="L454" s="566"/>
      <c r="M454" s="565"/>
      <c r="N454" s="564"/>
      <c r="V454" s="674"/>
      <c r="W454" s="675"/>
      <c r="AC454" s="675"/>
      <c r="AD454" s="675"/>
      <c r="AE454" s="675"/>
      <c r="AG454" s="675"/>
      <c r="AH454" s="680"/>
    </row>
    <row r="455" spans="1:34" s="536" customFormat="1" ht="45" x14ac:dyDescent="0.2">
      <c r="A455" s="575" t="s">
        <v>326</v>
      </c>
      <c r="B455" s="670" t="s">
        <v>1061</v>
      </c>
      <c r="C455" s="1823" t="s">
        <v>1062</v>
      </c>
      <c r="D455" s="1823"/>
      <c r="E455" s="1823"/>
      <c r="F455" s="573" t="s">
        <v>1034</v>
      </c>
      <c r="G455" s="573"/>
      <c r="H455" s="573"/>
      <c r="I455" s="573" t="s">
        <v>4160</v>
      </c>
      <c r="J455" s="572"/>
      <c r="K455" s="573"/>
      <c r="L455" s="572"/>
      <c r="M455" s="571"/>
      <c r="N455" s="570"/>
      <c r="V455" s="674"/>
      <c r="W455" s="675" t="s">
        <v>1062</v>
      </c>
      <c r="AC455" s="675"/>
      <c r="AD455" s="675"/>
      <c r="AE455" s="675"/>
      <c r="AG455" s="675"/>
      <c r="AH455" s="680"/>
    </row>
    <row r="456" spans="1:34" s="536" customFormat="1" ht="12" x14ac:dyDescent="0.2">
      <c r="A456" s="676"/>
      <c r="B456" s="664"/>
      <c r="C456" s="1822" t="s">
        <v>4161</v>
      </c>
      <c r="D456" s="1822"/>
      <c r="E456" s="1822"/>
      <c r="F456" s="1822"/>
      <c r="G456" s="1822"/>
      <c r="H456" s="1822"/>
      <c r="I456" s="1822"/>
      <c r="J456" s="1822"/>
      <c r="K456" s="1822"/>
      <c r="L456" s="1822"/>
      <c r="M456" s="1822"/>
      <c r="N456" s="1827"/>
      <c r="V456" s="674"/>
      <c r="W456" s="675"/>
      <c r="X456" s="537" t="s">
        <v>4161</v>
      </c>
      <c r="AC456" s="675"/>
      <c r="AD456" s="675"/>
      <c r="AE456" s="675"/>
      <c r="AG456" s="675"/>
      <c r="AH456" s="680"/>
    </row>
    <row r="457" spans="1:34" s="536" customFormat="1" ht="33.75" x14ac:dyDescent="0.2">
      <c r="A457" s="609"/>
      <c r="B457" s="552" t="s">
        <v>310</v>
      </c>
      <c r="C457" s="1822" t="s">
        <v>311</v>
      </c>
      <c r="D457" s="1822"/>
      <c r="E457" s="1822"/>
      <c r="F457" s="1822"/>
      <c r="G457" s="1822"/>
      <c r="H457" s="1822"/>
      <c r="I457" s="1822"/>
      <c r="J457" s="1822"/>
      <c r="K457" s="1822"/>
      <c r="L457" s="1822"/>
      <c r="M457" s="1822"/>
      <c r="N457" s="1827"/>
      <c r="V457" s="674"/>
      <c r="W457" s="675"/>
      <c r="Y457" s="537" t="s">
        <v>311</v>
      </c>
      <c r="AC457" s="675"/>
      <c r="AD457" s="675"/>
      <c r="AE457" s="675"/>
      <c r="AG457" s="675"/>
      <c r="AH457" s="680"/>
    </row>
    <row r="458" spans="1:34" s="536" customFormat="1" ht="12" x14ac:dyDescent="0.2">
      <c r="A458" s="605"/>
      <c r="B458" s="552" t="s">
        <v>185</v>
      </c>
      <c r="C458" s="1822" t="s">
        <v>312</v>
      </c>
      <c r="D458" s="1822"/>
      <c r="E458" s="1822"/>
      <c r="F458" s="562"/>
      <c r="G458" s="562"/>
      <c r="H458" s="562"/>
      <c r="I458" s="562"/>
      <c r="J458" s="604">
        <v>182.32</v>
      </c>
      <c r="K458" s="562" t="s">
        <v>313</v>
      </c>
      <c r="L458" s="604">
        <v>1368.54</v>
      </c>
      <c r="M458" s="603"/>
      <c r="N458" s="602"/>
      <c r="V458" s="674"/>
      <c r="W458" s="675"/>
      <c r="Z458" s="537" t="s">
        <v>312</v>
      </c>
      <c r="AC458" s="675"/>
      <c r="AD458" s="675"/>
      <c r="AE458" s="675"/>
      <c r="AG458" s="675"/>
      <c r="AH458" s="680"/>
    </row>
    <row r="459" spans="1:34" s="536" customFormat="1" ht="12" x14ac:dyDescent="0.2">
      <c r="A459" s="605"/>
      <c r="B459" s="552" t="s">
        <v>186</v>
      </c>
      <c r="C459" s="1822" t="s">
        <v>344</v>
      </c>
      <c r="D459" s="1822"/>
      <c r="E459" s="1822"/>
      <c r="F459" s="562"/>
      <c r="G459" s="562"/>
      <c r="H459" s="562"/>
      <c r="I459" s="562"/>
      <c r="J459" s="604">
        <v>7479.03</v>
      </c>
      <c r="K459" s="562" t="s">
        <v>313</v>
      </c>
      <c r="L459" s="604">
        <v>56139.47</v>
      </c>
      <c r="M459" s="603"/>
      <c r="N459" s="602"/>
      <c r="V459" s="674"/>
      <c r="W459" s="675"/>
      <c r="Z459" s="537" t="s">
        <v>344</v>
      </c>
      <c r="AC459" s="675"/>
      <c r="AD459" s="675"/>
      <c r="AE459" s="675"/>
      <c r="AG459" s="675"/>
      <c r="AH459" s="680"/>
    </row>
    <row r="460" spans="1:34" s="536" customFormat="1" ht="12" x14ac:dyDescent="0.2">
      <c r="A460" s="605"/>
      <c r="B460" s="552" t="s">
        <v>187</v>
      </c>
      <c r="C460" s="1822" t="s">
        <v>345</v>
      </c>
      <c r="D460" s="1822"/>
      <c r="E460" s="1822"/>
      <c r="F460" s="562"/>
      <c r="G460" s="562"/>
      <c r="H460" s="562"/>
      <c r="I460" s="562"/>
      <c r="J460" s="604">
        <v>234.46</v>
      </c>
      <c r="K460" s="562" t="s">
        <v>313</v>
      </c>
      <c r="L460" s="604">
        <v>1759.92</v>
      </c>
      <c r="M460" s="603"/>
      <c r="N460" s="602"/>
      <c r="V460" s="674"/>
      <c r="W460" s="675"/>
      <c r="Z460" s="537" t="s">
        <v>345</v>
      </c>
      <c r="AC460" s="675"/>
      <c r="AD460" s="675"/>
      <c r="AE460" s="675"/>
      <c r="AG460" s="675"/>
      <c r="AH460" s="680"/>
    </row>
    <row r="461" spans="1:34" s="536" customFormat="1" ht="12" x14ac:dyDescent="0.2">
      <c r="A461" s="605"/>
      <c r="B461" s="552" t="s">
        <v>188</v>
      </c>
      <c r="C461" s="1822" t="s">
        <v>475</v>
      </c>
      <c r="D461" s="1822"/>
      <c r="E461" s="1822"/>
      <c r="F461" s="562"/>
      <c r="G461" s="562"/>
      <c r="H461" s="562"/>
      <c r="I461" s="562"/>
      <c r="J461" s="604">
        <v>874.78</v>
      </c>
      <c r="K461" s="562"/>
      <c r="L461" s="604">
        <v>5253.05</v>
      </c>
      <c r="M461" s="603"/>
      <c r="N461" s="602"/>
      <c r="V461" s="674"/>
      <c r="W461" s="675"/>
      <c r="Z461" s="537" t="s">
        <v>475</v>
      </c>
      <c r="AC461" s="675"/>
      <c r="AD461" s="675"/>
      <c r="AE461" s="675"/>
      <c r="AG461" s="675"/>
      <c r="AH461" s="680"/>
    </row>
    <row r="462" spans="1:34" s="536" customFormat="1" ht="12" x14ac:dyDescent="0.2">
      <c r="A462" s="676"/>
      <c r="B462" s="677" t="s">
        <v>1063</v>
      </c>
      <c r="C462" s="1829" t="s">
        <v>1064</v>
      </c>
      <c r="D462" s="1829"/>
      <c r="E462" s="1829"/>
      <c r="F462" s="678" t="s">
        <v>694</v>
      </c>
      <c r="G462" s="678" t="s">
        <v>525</v>
      </c>
      <c r="H462" s="678"/>
      <c r="I462" s="678" t="s">
        <v>525</v>
      </c>
      <c r="J462" s="552"/>
      <c r="K462" s="562"/>
      <c r="L462" s="604"/>
      <c r="M462" s="562"/>
      <c r="N462" s="679"/>
      <c r="V462" s="674"/>
      <c r="W462" s="675"/>
      <c r="AC462" s="675"/>
      <c r="AD462" s="675"/>
      <c r="AE462" s="675"/>
      <c r="AG462" s="675"/>
      <c r="AH462" s="680" t="s">
        <v>1064</v>
      </c>
    </row>
    <row r="463" spans="1:34" s="536" customFormat="1" ht="22.5" x14ac:dyDescent="0.2">
      <c r="A463" s="605"/>
      <c r="B463" s="552"/>
      <c r="C463" s="1822" t="s">
        <v>314</v>
      </c>
      <c r="D463" s="1822"/>
      <c r="E463" s="1822"/>
      <c r="F463" s="562" t="s">
        <v>315</v>
      </c>
      <c r="G463" s="562" t="s">
        <v>1065</v>
      </c>
      <c r="H463" s="562" t="s">
        <v>313</v>
      </c>
      <c r="I463" s="562" t="s">
        <v>4162</v>
      </c>
      <c r="J463" s="604"/>
      <c r="K463" s="562"/>
      <c r="L463" s="604"/>
      <c r="M463" s="603"/>
      <c r="N463" s="602"/>
      <c r="V463" s="674"/>
      <c r="W463" s="675"/>
      <c r="AA463" s="537" t="s">
        <v>314</v>
      </c>
      <c r="AC463" s="675"/>
      <c r="AD463" s="675"/>
      <c r="AE463" s="675"/>
      <c r="AG463" s="675"/>
      <c r="AH463" s="680"/>
    </row>
    <row r="464" spans="1:34" s="536" customFormat="1" ht="22.5" x14ac:dyDescent="0.2">
      <c r="A464" s="605"/>
      <c r="B464" s="552"/>
      <c r="C464" s="1822" t="s">
        <v>348</v>
      </c>
      <c r="D464" s="1822"/>
      <c r="E464" s="1822"/>
      <c r="F464" s="562" t="s">
        <v>315</v>
      </c>
      <c r="G464" s="562" t="s">
        <v>1066</v>
      </c>
      <c r="H464" s="562" t="s">
        <v>313</v>
      </c>
      <c r="I464" s="562" t="s">
        <v>4163</v>
      </c>
      <c r="J464" s="604"/>
      <c r="K464" s="562"/>
      <c r="L464" s="604"/>
      <c r="M464" s="603"/>
      <c r="N464" s="602"/>
      <c r="V464" s="674"/>
      <c r="W464" s="675"/>
      <c r="AA464" s="537" t="s">
        <v>348</v>
      </c>
      <c r="AC464" s="675"/>
      <c r="AD464" s="675"/>
      <c r="AE464" s="675"/>
      <c r="AG464" s="675"/>
      <c r="AH464" s="680"/>
    </row>
    <row r="465" spans="1:34" s="536" customFormat="1" ht="12" x14ac:dyDescent="0.2">
      <c r="A465" s="605"/>
      <c r="B465" s="552"/>
      <c r="C465" s="1828" t="s">
        <v>318</v>
      </c>
      <c r="D465" s="1828"/>
      <c r="E465" s="1828"/>
      <c r="F465" s="608"/>
      <c r="G465" s="608"/>
      <c r="H465" s="608"/>
      <c r="I465" s="608"/>
      <c r="J465" s="607">
        <v>8536.1299999999992</v>
      </c>
      <c r="K465" s="608"/>
      <c r="L465" s="607">
        <v>62761.06</v>
      </c>
      <c r="M465" s="601"/>
      <c r="N465" s="606"/>
      <c r="V465" s="674"/>
      <c r="W465" s="675"/>
      <c r="AB465" s="537" t="s">
        <v>318</v>
      </c>
      <c r="AC465" s="675"/>
      <c r="AD465" s="675"/>
      <c r="AE465" s="675"/>
      <c r="AG465" s="675"/>
      <c r="AH465" s="680"/>
    </row>
    <row r="466" spans="1:34" s="536" customFormat="1" ht="12" x14ac:dyDescent="0.2">
      <c r="A466" s="605"/>
      <c r="B466" s="552"/>
      <c r="C466" s="1822" t="s">
        <v>319</v>
      </c>
      <c r="D466" s="1822"/>
      <c r="E466" s="1822"/>
      <c r="F466" s="562"/>
      <c r="G466" s="562"/>
      <c r="H466" s="562"/>
      <c r="I466" s="562"/>
      <c r="J466" s="604"/>
      <c r="K466" s="562"/>
      <c r="L466" s="604">
        <v>3128.46</v>
      </c>
      <c r="M466" s="603"/>
      <c r="N466" s="602"/>
      <c r="V466" s="674"/>
      <c r="W466" s="675"/>
      <c r="AA466" s="537" t="s">
        <v>319</v>
      </c>
      <c r="AC466" s="675"/>
      <c r="AD466" s="675"/>
      <c r="AE466" s="675"/>
      <c r="AG466" s="675"/>
      <c r="AH466" s="680"/>
    </row>
    <row r="467" spans="1:34" s="536" customFormat="1" ht="33.75" x14ac:dyDescent="0.2">
      <c r="A467" s="605"/>
      <c r="B467" s="552" t="s">
        <v>554</v>
      </c>
      <c r="C467" s="1822" t="s">
        <v>555</v>
      </c>
      <c r="D467" s="1822"/>
      <c r="E467" s="1822"/>
      <c r="F467" s="562" t="s">
        <v>322</v>
      </c>
      <c r="G467" s="562" t="s">
        <v>556</v>
      </c>
      <c r="H467" s="562"/>
      <c r="I467" s="562" t="s">
        <v>556</v>
      </c>
      <c r="J467" s="604"/>
      <c r="K467" s="562"/>
      <c r="L467" s="604">
        <v>3941.86</v>
      </c>
      <c r="M467" s="603"/>
      <c r="N467" s="602"/>
      <c r="V467" s="674"/>
      <c r="W467" s="675"/>
      <c r="AA467" s="537" t="s">
        <v>555</v>
      </c>
      <c r="AC467" s="675"/>
      <c r="AD467" s="675"/>
      <c r="AE467" s="675"/>
      <c r="AG467" s="675"/>
      <c r="AH467" s="680"/>
    </row>
    <row r="468" spans="1:34" s="536" customFormat="1" ht="33.75" x14ac:dyDescent="0.2">
      <c r="A468" s="605"/>
      <c r="B468" s="552" t="s">
        <v>557</v>
      </c>
      <c r="C468" s="1822" t="s">
        <v>558</v>
      </c>
      <c r="D468" s="1822"/>
      <c r="E468" s="1822"/>
      <c r="F468" s="562" t="s">
        <v>322</v>
      </c>
      <c r="G468" s="562" t="s">
        <v>559</v>
      </c>
      <c r="H468" s="562"/>
      <c r="I468" s="562" t="s">
        <v>559</v>
      </c>
      <c r="J468" s="604"/>
      <c r="K468" s="562"/>
      <c r="L468" s="604">
        <v>2972.04</v>
      </c>
      <c r="M468" s="603"/>
      <c r="N468" s="602"/>
      <c r="V468" s="674"/>
      <c r="W468" s="675"/>
      <c r="AA468" s="537" t="s">
        <v>558</v>
      </c>
      <c r="AC468" s="675"/>
      <c r="AD468" s="675"/>
      <c r="AE468" s="675"/>
      <c r="AG468" s="675"/>
      <c r="AH468" s="680"/>
    </row>
    <row r="469" spans="1:34" s="536" customFormat="1" ht="12" x14ac:dyDescent="0.2">
      <c r="A469" s="569"/>
      <c r="B469" s="671"/>
      <c r="C469" s="1823" t="s">
        <v>327</v>
      </c>
      <c r="D469" s="1823"/>
      <c r="E469" s="1823"/>
      <c r="F469" s="573"/>
      <c r="G469" s="573"/>
      <c r="H469" s="573"/>
      <c r="I469" s="573"/>
      <c r="J469" s="572"/>
      <c r="K469" s="573"/>
      <c r="L469" s="572">
        <v>69674.960000000006</v>
      </c>
      <c r="M469" s="601"/>
      <c r="N469" s="570"/>
      <c r="V469" s="674"/>
      <c r="W469" s="675"/>
      <c r="AC469" s="675" t="s">
        <v>327</v>
      </c>
      <c r="AD469" s="675"/>
      <c r="AE469" s="675"/>
      <c r="AG469" s="675"/>
      <c r="AH469" s="680"/>
    </row>
    <row r="470" spans="1:34" s="536" customFormat="1" ht="33.75" x14ac:dyDescent="0.2">
      <c r="A470" s="575" t="s">
        <v>774</v>
      </c>
      <c r="B470" s="670" t="s">
        <v>1068</v>
      </c>
      <c r="C470" s="1823" t="s">
        <v>1080</v>
      </c>
      <c r="D470" s="1823"/>
      <c r="E470" s="1823"/>
      <c r="F470" s="573" t="s">
        <v>1034</v>
      </c>
      <c r="G470" s="573"/>
      <c r="H470" s="573"/>
      <c r="I470" s="573" t="s">
        <v>4160</v>
      </c>
      <c r="J470" s="572"/>
      <c r="K470" s="573"/>
      <c r="L470" s="572"/>
      <c r="M470" s="571"/>
      <c r="N470" s="570"/>
      <c r="V470" s="674"/>
      <c r="W470" s="675" t="s">
        <v>1080</v>
      </c>
      <c r="AC470" s="675"/>
      <c r="AD470" s="675"/>
      <c r="AE470" s="675"/>
      <c r="AG470" s="675"/>
      <c r="AH470" s="680"/>
    </row>
    <row r="471" spans="1:34" s="536" customFormat="1" ht="12" x14ac:dyDescent="0.2">
      <c r="A471" s="676"/>
      <c r="B471" s="664"/>
      <c r="C471" s="1822" t="s">
        <v>4161</v>
      </c>
      <c r="D471" s="1822"/>
      <c r="E471" s="1822"/>
      <c r="F471" s="1822"/>
      <c r="G471" s="1822"/>
      <c r="H471" s="1822"/>
      <c r="I471" s="1822"/>
      <c r="J471" s="1822"/>
      <c r="K471" s="1822"/>
      <c r="L471" s="1822"/>
      <c r="M471" s="1822"/>
      <c r="N471" s="1827"/>
      <c r="V471" s="674"/>
      <c r="W471" s="675"/>
      <c r="X471" s="537" t="s">
        <v>4161</v>
      </c>
      <c r="AC471" s="675"/>
      <c r="AD471" s="675"/>
      <c r="AE471" s="675"/>
      <c r="AG471" s="675"/>
      <c r="AH471" s="680"/>
    </row>
    <row r="472" spans="1:34" s="536" customFormat="1" ht="12" x14ac:dyDescent="0.2">
      <c r="A472" s="609"/>
      <c r="B472" s="552"/>
      <c r="C472" s="1822" t="s">
        <v>1081</v>
      </c>
      <c r="D472" s="1822"/>
      <c r="E472" s="1822"/>
      <c r="F472" s="1822"/>
      <c r="G472" s="1822"/>
      <c r="H472" s="1822"/>
      <c r="I472" s="1822"/>
      <c r="J472" s="1822"/>
      <c r="K472" s="1822"/>
      <c r="L472" s="1822"/>
      <c r="M472" s="1822"/>
      <c r="N472" s="1827"/>
      <c r="V472" s="674"/>
      <c r="W472" s="675"/>
      <c r="Y472" s="537" t="s">
        <v>1081</v>
      </c>
      <c r="AC472" s="675"/>
      <c r="AD472" s="675"/>
      <c r="AE472" s="675"/>
      <c r="AG472" s="675"/>
      <c r="AH472" s="680"/>
    </row>
    <row r="473" spans="1:34" s="536" customFormat="1" ht="33.75" x14ac:dyDescent="0.2">
      <c r="A473" s="609"/>
      <c r="B473" s="552" t="s">
        <v>310</v>
      </c>
      <c r="C473" s="1822" t="s">
        <v>311</v>
      </c>
      <c r="D473" s="1822"/>
      <c r="E473" s="1822"/>
      <c r="F473" s="1822"/>
      <c r="G473" s="1822"/>
      <c r="H473" s="1822"/>
      <c r="I473" s="1822"/>
      <c r="J473" s="1822"/>
      <c r="K473" s="1822"/>
      <c r="L473" s="1822"/>
      <c r="M473" s="1822"/>
      <c r="N473" s="1827"/>
      <c r="V473" s="674"/>
      <c r="W473" s="675"/>
      <c r="Y473" s="537" t="s">
        <v>311</v>
      </c>
      <c r="AC473" s="675"/>
      <c r="AD473" s="675"/>
      <c r="AE473" s="675"/>
      <c r="AG473" s="675"/>
      <c r="AH473" s="680"/>
    </row>
    <row r="474" spans="1:34" s="536" customFormat="1" ht="12" x14ac:dyDescent="0.2">
      <c r="A474" s="605"/>
      <c r="B474" s="552" t="s">
        <v>185</v>
      </c>
      <c r="C474" s="1822" t="s">
        <v>312</v>
      </c>
      <c r="D474" s="1822"/>
      <c r="E474" s="1822"/>
      <c r="F474" s="562"/>
      <c r="G474" s="562"/>
      <c r="H474" s="562"/>
      <c r="I474" s="562"/>
      <c r="J474" s="604">
        <v>3.29</v>
      </c>
      <c r="K474" s="562" t="s">
        <v>189</v>
      </c>
      <c r="L474" s="604">
        <v>98.78</v>
      </c>
      <c r="M474" s="603"/>
      <c r="N474" s="602"/>
      <c r="V474" s="674"/>
      <c r="W474" s="675"/>
      <c r="Z474" s="537" t="s">
        <v>312</v>
      </c>
      <c r="AC474" s="675"/>
      <c r="AD474" s="675"/>
      <c r="AE474" s="675"/>
      <c r="AG474" s="675"/>
      <c r="AH474" s="680"/>
    </row>
    <row r="475" spans="1:34" s="536" customFormat="1" ht="12" x14ac:dyDescent="0.2">
      <c r="A475" s="605"/>
      <c r="B475" s="552" t="s">
        <v>186</v>
      </c>
      <c r="C475" s="1822" t="s">
        <v>344</v>
      </c>
      <c r="D475" s="1822"/>
      <c r="E475" s="1822"/>
      <c r="F475" s="562"/>
      <c r="G475" s="562"/>
      <c r="H475" s="562"/>
      <c r="I475" s="562"/>
      <c r="J475" s="604">
        <v>254.89</v>
      </c>
      <c r="K475" s="562" t="s">
        <v>189</v>
      </c>
      <c r="L475" s="604">
        <v>7653.07</v>
      </c>
      <c r="M475" s="603"/>
      <c r="N475" s="602"/>
      <c r="V475" s="674"/>
      <c r="W475" s="675"/>
      <c r="Z475" s="537" t="s">
        <v>344</v>
      </c>
      <c r="AC475" s="675"/>
      <c r="AD475" s="675"/>
      <c r="AE475" s="675"/>
      <c r="AG475" s="675"/>
      <c r="AH475" s="680"/>
    </row>
    <row r="476" spans="1:34" s="536" customFormat="1" ht="12" x14ac:dyDescent="0.2">
      <c r="A476" s="605"/>
      <c r="B476" s="552" t="s">
        <v>187</v>
      </c>
      <c r="C476" s="1822" t="s">
        <v>345</v>
      </c>
      <c r="D476" s="1822"/>
      <c r="E476" s="1822"/>
      <c r="F476" s="562"/>
      <c r="G476" s="562"/>
      <c r="H476" s="562"/>
      <c r="I476" s="562"/>
      <c r="J476" s="604">
        <v>5.95</v>
      </c>
      <c r="K476" s="562" t="s">
        <v>189</v>
      </c>
      <c r="L476" s="604">
        <v>178.65</v>
      </c>
      <c r="M476" s="603"/>
      <c r="N476" s="602"/>
      <c r="V476" s="674"/>
      <c r="W476" s="675"/>
      <c r="Z476" s="537" t="s">
        <v>345</v>
      </c>
      <c r="AC476" s="675"/>
      <c r="AD476" s="675"/>
      <c r="AE476" s="675"/>
      <c r="AG476" s="675"/>
      <c r="AH476" s="680"/>
    </row>
    <row r="477" spans="1:34" s="536" customFormat="1" ht="12" x14ac:dyDescent="0.2">
      <c r="A477" s="605"/>
      <c r="B477" s="552" t="s">
        <v>188</v>
      </c>
      <c r="C477" s="1822" t="s">
        <v>475</v>
      </c>
      <c r="D477" s="1822"/>
      <c r="E477" s="1822"/>
      <c r="F477" s="562"/>
      <c r="G477" s="562"/>
      <c r="H477" s="562"/>
      <c r="I477" s="562"/>
      <c r="J477" s="604">
        <v>2.94</v>
      </c>
      <c r="K477" s="562" t="s">
        <v>188</v>
      </c>
      <c r="L477" s="604">
        <v>70.62</v>
      </c>
      <c r="M477" s="603"/>
      <c r="N477" s="602"/>
      <c r="V477" s="674"/>
      <c r="W477" s="675"/>
      <c r="Z477" s="537" t="s">
        <v>475</v>
      </c>
      <c r="AC477" s="675"/>
      <c r="AD477" s="675"/>
      <c r="AE477" s="675"/>
      <c r="AG477" s="675"/>
      <c r="AH477" s="680"/>
    </row>
    <row r="478" spans="1:34" s="536" customFormat="1" ht="12" x14ac:dyDescent="0.2">
      <c r="A478" s="676"/>
      <c r="B478" s="677" t="s">
        <v>1063</v>
      </c>
      <c r="C478" s="1829" t="s">
        <v>1064</v>
      </c>
      <c r="D478" s="1829"/>
      <c r="E478" s="1829"/>
      <c r="F478" s="678" t="s">
        <v>694</v>
      </c>
      <c r="G478" s="678" t="s">
        <v>525</v>
      </c>
      <c r="H478" s="678" t="s">
        <v>188</v>
      </c>
      <c r="I478" s="678" t="s">
        <v>525</v>
      </c>
      <c r="J478" s="552"/>
      <c r="K478" s="562"/>
      <c r="L478" s="604"/>
      <c r="M478" s="562"/>
      <c r="N478" s="679"/>
      <c r="V478" s="674"/>
      <c r="W478" s="675"/>
      <c r="AC478" s="675"/>
      <c r="AD478" s="675"/>
      <c r="AE478" s="675"/>
      <c r="AG478" s="675"/>
      <c r="AH478" s="680" t="s">
        <v>1064</v>
      </c>
    </row>
    <row r="479" spans="1:34" s="536" customFormat="1" ht="12" x14ac:dyDescent="0.2">
      <c r="A479" s="605"/>
      <c r="B479" s="552"/>
      <c r="C479" s="1822" t="s">
        <v>314</v>
      </c>
      <c r="D479" s="1822"/>
      <c r="E479" s="1822"/>
      <c r="F479" s="562" t="s">
        <v>315</v>
      </c>
      <c r="G479" s="562" t="s">
        <v>691</v>
      </c>
      <c r="H479" s="562" t="s">
        <v>189</v>
      </c>
      <c r="I479" s="562" t="s">
        <v>4171</v>
      </c>
      <c r="J479" s="604"/>
      <c r="K479" s="562"/>
      <c r="L479" s="604"/>
      <c r="M479" s="603"/>
      <c r="N479" s="602"/>
      <c r="V479" s="674"/>
      <c r="W479" s="675"/>
      <c r="AA479" s="537" t="s">
        <v>314</v>
      </c>
      <c r="AC479" s="675"/>
      <c r="AD479" s="675"/>
      <c r="AE479" s="675"/>
      <c r="AG479" s="675"/>
      <c r="AH479" s="680"/>
    </row>
    <row r="480" spans="1:34" s="536" customFormat="1" ht="12" x14ac:dyDescent="0.2">
      <c r="A480" s="605"/>
      <c r="B480" s="552"/>
      <c r="C480" s="1822" t="s">
        <v>348</v>
      </c>
      <c r="D480" s="1822"/>
      <c r="E480" s="1822"/>
      <c r="F480" s="562" t="s">
        <v>315</v>
      </c>
      <c r="G480" s="562" t="s">
        <v>1072</v>
      </c>
      <c r="H480" s="562" t="s">
        <v>189</v>
      </c>
      <c r="I480" s="562" t="s">
        <v>4172</v>
      </c>
      <c r="J480" s="604"/>
      <c r="K480" s="562"/>
      <c r="L480" s="604"/>
      <c r="M480" s="603"/>
      <c r="N480" s="602"/>
      <c r="V480" s="674"/>
      <c r="W480" s="675"/>
      <c r="AA480" s="537" t="s">
        <v>348</v>
      </c>
      <c r="AC480" s="675"/>
      <c r="AD480" s="675"/>
      <c r="AE480" s="675"/>
      <c r="AG480" s="675"/>
      <c r="AH480" s="680"/>
    </row>
    <row r="481" spans="1:34" s="536" customFormat="1" ht="12" x14ac:dyDescent="0.2">
      <c r="A481" s="605"/>
      <c r="B481" s="552"/>
      <c r="C481" s="1828" t="s">
        <v>318</v>
      </c>
      <c r="D481" s="1828"/>
      <c r="E481" s="1828"/>
      <c r="F481" s="608"/>
      <c r="G481" s="608"/>
      <c r="H481" s="608"/>
      <c r="I481" s="608"/>
      <c r="J481" s="607">
        <v>261.12</v>
      </c>
      <c r="K481" s="608"/>
      <c r="L481" s="607">
        <v>7822.47</v>
      </c>
      <c r="M481" s="601"/>
      <c r="N481" s="606"/>
      <c r="V481" s="674"/>
      <c r="W481" s="675"/>
      <c r="AB481" s="537" t="s">
        <v>318</v>
      </c>
      <c r="AC481" s="675"/>
      <c r="AD481" s="675"/>
      <c r="AE481" s="675"/>
      <c r="AG481" s="675"/>
      <c r="AH481" s="680"/>
    </row>
    <row r="482" spans="1:34" s="536" customFormat="1" ht="12" x14ac:dyDescent="0.2">
      <c r="A482" s="605"/>
      <c r="B482" s="552"/>
      <c r="C482" s="1822" t="s">
        <v>319</v>
      </c>
      <c r="D482" s="1822"/>
      <c r="E482" s="1822"/>
      <c r="F482" s="562"/>
      <c r="G482" s="562"/>
      <c r="H482" s="562"/>
      <c r="I482" s="562"/>
      <c r="J482" s="604"/>
      <c r="K482" s="562"/>
      <c r="L482" s="604">
        <v>277.43</v>
      </c>
      <c r="M482" s="603"/>
      <c r="N482" s="602"/>
      <c r="V482" s="674"/>
      <c r="W482" s="675"/>
      <c r="AA482" s="537" t="s">
        <v>319</v>
      </c>
      <c r="AC482" s="675"/>
      <c r="AD482" s="675"/>
      <c r="AE482" s="675"/>
      <c r="AG482" s="675"/>
      <c r="AH482" s="680"/>
    </row>
    <row r="483" spans="1:34" s="536" customFormat="1" ht="33.75" x14ac:dyDescent="0.2">
      <c r="A483" s="605"/>
      <c r="B483" s="552" t="s">
        <v>554</v>
      </c>
      <c r="C483" s="1822" t="s">
        <v>555</v>
      </c>
      <c r="D483" s="1822"/>
      <c r="E483" s="1822"/>
      <c r="F483" s="562" t="s">
        <v>322</v>
      </c>
      <c r="G483" s="562" t="s">
        <v>556</v>
      </c>
      <c r="H483" s="562"/>
      <c r="I483" s="562" t="s">
        <v>556</v>
      </c>
      <c r="J483" s="604"/>
      <c r="K483" s="562"/>
      <c r="L483" s="604">
        <v>349.56</v>
      </c>
      <c r="M483" s="603"/>
      <c r="N483" s="602"/>
      <c r="V483" s="674"/>
      <c r="W483" s="675"/>
      <c r="AA483" s="537" t="s">
        <v>555</v>
      </c>
      <c r="AC483" s="675"/>
      <c r="AD483" s="675"/>
      <c r="AE483" s="675"/>
      <c r="AG483" s="675"/>
      <c r="AH483" s="680"/>
    </row>
    <row r="484" spans="1:34" s="536" customFormat="1" ht="33.75" x14ac:dyDescent="0.2">
      <c r="A484" s="605"/>
      <c r="B484" s="552" t="s">
        <v>557</v>
      </c>
      <c r="C484" s="1822" t="s">
        <v>558</v>
      </c>
      <c r="D484" s="1822"/>
      <c r="E484" s="1822"/>
      <c r="F484" s="562" t="s">
        <v>322</v>
      </c>
      <c r="G484" s="562" t="s">
        <v>559</v>
      </c>
      <c r="H484" s="562"/>
      <c r="I484" s="562" t="s">
        <v>559</v>
      </c>
      <c r="J484" s="604"/>
      <c r="K484" s="562"/>
      <c r="L484" s="604">
        <v>263.56</v>
      </c>
      <c r="M484" s="603"/>
      <c r="N484" s="602"/>
      <c r="V484" s="674"/>
      <c r="W484" s="675"/>
      <c r="AA484" s="537" t="s">
        <v>558</v>
      </c>
      <c r="AC484" s="675"/>
      <c r="AD484" s="675"/>
      <c r="AE484" s="675"/>
      <c r="AG484" s="675"/>
      <c r="AH484" s="680"/>
    </row>
    <row r="485" spans="1:34" s="536" customFormat="1" ht="12" x14ac:dyDescent="0.2">
      <c r="A485" s="569"/>
      <c r="B485" s="671"/>
      <c r="C485" s="1823" t="s">
        <v>327</v>
      </c>
      <c r="D485" s="1823"/>
      <c r="E485" s="1823"/>
      <c r="F485" s="573"/>
      <c r="G485" s="573"/>
      <c r="H485" s="573"/>
      <c r="I485" s="573"/>
      <c r="J485" s="572"/>
      <c r="K485" s="573"/>
      <c r="L485" s="572">
        <v>8435.59</v>
      </c>
      <c r="M485" s="601"/>
      <c r="N485" s="570"/>
      <c r="V485" s="674"/>
      <c r="W485" s="675"/>
      <c r="AC485" s="675" t="s">
        <v>327</v>
      </c>
      <c r="AD485" s="675"/>
      <c r="AE485" s="675"/>
      <c r="AG485" s="675"/>
      <c r="AH485" s="680"/>
    </row>
    <row r="486" spans="1:34" s="536" customFormat="1" ht="22.5" x14ac:dyDescent="0.2">
      <c r="A486" s="575" t="s">
        <v>775</v>
      </c>
      <c r="B486" s="670" t="s">
        <v>1082</v>
      </c>
      <c r="C486" s="1823" t="s">
        <v>1083</v>
      </c>
      <c r="D486" s="1823"/>
      <c r="E486" s="1823"/>
      <c r="F486" s="573" t="s">
        <v>694</v>
      </c>
      <c r="G486" s="573"/>
      <c r="H486" s="573"/>
      <c r="I486" s="573" t="s">
        <v>4173</v>
      </c>
      <c r="J486" s="572">
        <v>503.58</v>
      </c>
      <c r="K486" s="573"/>
      <c r="L486" s="572">
        <v>365296.93</v>
      </c>
      <c r="M486" s="571"/>
      <c r="N486" s="570"/>
      <c r="V486" s="674"/>
      <c r="W486" s="675" t="s">
        <v>1083</v>
      </c>
      <c r="AC486" s="675"/>
      <c r="AD486" s="675"/>
      <c r="AE486" s="675"/>
      <c r="AG486" s="675"/>
      <c r="AH486" s="680"/>
    </row>
    <row r="487" spans="1:34" s="536" customFormat="1" ht="12" x14ac:dyDescent="0.2">
      <c r="A487" s="569"/>
      <c r="B487" s="671"/>
      <c r="C487" s="665" t="s">
        <v>717</v>
      </c>
      <c r="D487" s="666"/>
      <c r="E487" s="666"/>
      <c r="F487" s="563"/>
      <c r="G487" s="563"/>
      <c r="H487" s="563"/>
      <c r="I487" s="563"/>
      <c r="J487" s="566"/>
      <c r="K487" s="563"/>
      <c r="L487" s="566"/>
      <c r="M487" s="565"/>
      <c r="N487" s="564"/>
      <c r="V487" s="674"/>
      <c r="W487" s="675"/>
      <c r="AC487" s="675"/>
      <c r="AD487" s="675"/>
      <c r="AE487" s="675"/>
      <c r="AG487" s="675"/>
      <c r="AH487" s="680"/>
    </row>
    <row r="488" spans="1:34" s="536" customFormat="1" ht="45" x14ac:dyDescent="0.2">
      <c r="A488" s="575" t="s">
        <v>776</v>
      </c>
      <c r="B488" s="670" t="s">
        <v>1024</v>
      </c>
      <c r="C488" s="1823" t="s">
        <v>4174</v>
      </c>
      <c r="D488" s="1823"/>
      <c r="E488" s="1823"/>
      <c r="F488" s="573" t="s">
        <v>509</v>
      </c>
      <c r="G488" s="573"/>
      <c r="H488" s="573"/>
      <c r="I488" s="573" t="s">
        <v>4086</v>
      </c>
      <c r="J488" s="572"/>
      <c r="K488" s="573"/>
      <c r="L488" s="572"/>
      <c r="M488" s="571"/>
      <c r="N488" s="570"/>
      <c r="V488" s="674"/>
      <c r="W488" s="675" t="s">
        <v>4174</v>
      </c>
      <c r="AC488" s="675"/>
      <c r="AD488" s="675"/>
      <c r="AE488" s="675"/>
      <c r="AG488" s="675"/>
      <c r="AH488" s="680"/>
    </row>
    <row r="489" spans="1:34" s="536" customFormat="1" ht="12" x14ac:dyDescent="0.2">
      <c r="A489" s="676"/>
      <c r="B489" s="664"/>
      <c r="C489" s="1822" t="s">
        <v>4087</v>
      </c>
      <c r="D489" s="1822"/>
      <c r="E489" s="1822"/>
      <c r="F489" s="1822"/>
      <c r="G489" s="1822"/>
      <c r="H489" s="1822"/>
      <c r="I489" s="1822"/>
      <c r="J489" s="1822"/>
      <c r="K489" s="1822"/>
      <c r="L489" s="1822"/>
      <c r="M489" s="1822"/>
      <c r="N489" s="1827"/>
      <c r="V489" s="674"/>
      <c r="W489" s="675"/>
      <c r="X489" s="537" t="s">
        <v>4087</v>
      </c>
      <c r="AC489" s="675"/>
      <c r="AD489" s="675"/>
      <c r="AE489" s="675"/>
      <c r="AG489" s="675"/>
      <c r="AH489" s="680"/>
    </row>
    <row r="490" spans="1:34" s="536" customFormat="1" ht="33.75" x14ac:dyDescent="0.2">
      <c r="A490" s="609"/>
      <c r="B490" s="552" t="s">
        <v>310</v>
      </c>
      <c r="C490" s="1822" t="s">
        <v>311</v>
      </c>
      <c r="D490" s="1822"/>
      <c r="E490" s="1822"/>
      <c r="F490" s="1822"/>
      <c r="G490" s="1822"/>
      <c r="H490" s="1822"/>
      <c r="I490" s="1822"/>
      <c r="J490" s="1822"/>
      <c r="K490" s="1822"/>
      <c r="L490" s="1822"/>
      <c r="M490" s="1822"/>
      <c r="N490" s="1827"/>
      <c r="V490" s="674"/>
      <c r="W490" s="675"/>
      <c r="Y490" s="537" t="s">
        <v>311</v>
      </c>
      <c r="AC490" s="675"/>
      <c r="AD490" s="675"/>
      <c r="AE490" s="675"/>
      <c r="AG490" s="675"/>
      <c r="AH490" s="680"/>
    </row>
    <row r="491" spans="1:34" s="536" customFormat="1" ht="12" x14ac:dyDescent="0.2">
      <c r="A491" s="605"/>
      <c r="B491" s="552" t="s">
        <v>185</v>
      </c>
      <c r="C491" s="1822" t="s">
        <v>312</v>
      </c>
      <c r="D491" s="1822"/>
      <c r="E491" s="1822"/>
      <c r="F491" s="562"/>
      <c r="G491" s="562"/>
      <c r="H491" s="562"/>
      <c r="I491" s="562"/>
      <c r="J491" s="604">
        <v>115.49</v>
      </c>
      <c r="K491" s="562" t="s">
        <v>313</v>
      </c>
      <c r="L491" s="604">
        <v>1313.7</v>
      </c>
      <c r="M491" s="603"/>
      <c r="N491" s="602"/>
      <c r="V491" s="674"/>
      <c r="W491" s="675"/>
      <c r="Z491" s="537" t="s">
        <v>312</v>
      </c>
      <c r="AC491" s="675"/>
      <c r="AD491" s="675"/>
      <c r="AE491" s="675"/>
      <c r="AG491" s="675"/>
      <c r="AH491" s="680"/>
    </row>
    <row r="492" spans="1:34" s="536" customFormat="1" ht="12" x14ac:dyDescent="0.2">
      <c r="A492" s="605"/>
      <c r="B492" s="552" t="s">
        <v>186</v>
      </c>
      <c r="C492" s="1822" t="s">
        <v>344</v>
      </c>
      <c r="D492" s="1822"/>
      <c r="E492" s="1822"/>
      <c r="F492" s="562"/>
      <c r="G492" s="562"/>
      <c r="H492" s="562"/>
      <c r="I492" s="562"/>
      <c r="J492" s="604">
        <v>3357.76</v>
      </c>
      <c r="K492" s="562" t="s">
        <v>313</v>
      </c>
      <c r="L492" s="604">
        <v>38194.519999999997</v>
      </c>
      <c r="M492" s="603"/>
      <c r="N492" s="602"/>
      <c r="V492" s="674"/>
      <c r="W492" s="675"/>
      <c r="Z492" s="537" t="s">
        <v>344</v>
      </c>
      <c r="AC492" s="675"/>
      <c r="AD492" s="675"/>
      <c r="AE492" s="675"/>
      <c r="AG492" s="675"/>
      <c r="AH492" s="680"/>
    </row>
    <row r="493" spans="1:34" s="536" customFormat="1" ht="12" x14ac:dyDescent="0.2">
      <c r="A493" s="605"/>
      <c r="B493" s="552" t="s">
        <v>187</v>
      </c>
      <c r="C493" s="1822" t="s">
        <v>345</v>
      </c>
      <c r="D493" s="1822"/>
      <c r="E493" s="1822"/>
      <c r="F493" s="562"/>
      <c r="G493" s="562"/>
      <c r="H493" s="562"/>
      <c r="I493" s="562"/>
      <c r="J493" s="604">
        <v>181.59</v>
      </c>
      <c r="K493" s="562" t="s">
        <v>313</v>
      </c>
      <c r="L493" s="604">
        <v>2065.59</v>
      </c>
      <c r="M493" s="603"/>
      <c r="N493" s="602"/>
      <c r="V493" s="674"/>
      <c r="W493" s="675"/>
      <c r="Z493" s="537" t="s">
        <v>345</v>
      </c>
      <c r="AC493" s="675"/>
      <c r="AD493" s="675"/>
      <c r="AE493" s="675"/>
      <c r="AG493" s="675"/>
      <c r="AH493" s="680"/>
    </row>
    <row r="494" spans="1:34" s="536" customFormat="1" ht="12" x14ac:dyDescent="0.2">
      <c r="A494" s="605"/>
      <c r="B494" s="552" t="s">
        <v>188</v>
      </c>
      <c r="C494" s="1822" t="s">
        <v>475</v>
      </c>
      <c r="D494" s="1822"/>
      <c r="E494" s="1822"/>
      <c r="F494" s="562"/>
      <c r="G494" s="562"/>
      <c r="H494" s="562"/>
      <c r="I494" s="562"/>
      <c r="J494" s="604">
        <v>17.079999999999998</v>
      </c>
      <c r="K494" s="562"/>
      <c r="L494" s="604">
        <v>155.43</v>
      </c>
      <c r="M494" s="603"/>
      <c r="N494" s="602"/>
      <c r="V494" s="674"/>
      <c r="W494" s="675"/>
      <c r="Z494" s="537" t="s">
        <v>475</v>
      </c>
      <c r="AC494" s="675"/>
      <c r="AD494" s="675"/>
      <c r="AE494" s="675"/>
      <c r="AG494" s="675"/>
      <c r="AH494" s="680"/>
    </row>
    <row r="495" spans="1:34" s="536" customFormat="1" ht="12" x14ac:dyDescent="0.2">
      <c r="A495" s="676"/>
      <c r="B495" s="677" t="s">
        <v>1026</v>
      </c>
      <c r="C495" s="1829" t="s">
        <v>1027</v>
      </c>
      <c r="D495" s="1829"/>
      <c r="E495" s="1829"/>
      <c r="F495" s="678" t="s">
        <v>641</v>
      </c>
      <c r="G495" s="678" t="s">
        <v>525</v>
      </c>
      <c r="H495" s="678"/>
      <c r="I495" s="678" t="s">
        <v>525</v>
      </c>
      <c r="J495" s="552"/>
      <c r="K495" s="562"/>
      <c r="L495" s="604"/>
      <c r="M495" s="562"/>
      <c r="N495" s="679"/>
      <c r="V495" s="674"/>
      <c r="W495" s="675"/>
      <c r="AC495" s="675"/>
      <c r="AD495" s="675"/>
      <c r="AE495" s="675"/>
      <c r="AG495" s="675"/>
      <c r="AH495" s="680" t="s">
        <v>1027</v>
      </c>
    </row>
    <row r="496" spans="1:34" s="536" customFormat="1" ht="12" x14ac:dyDescent="0.2">
      <c r="A496" s="605"/>
      <c r="B496" s="552"/>
      <c r="C496" s="1822" t="s">
        <v>314</v>
      </c>
      <c r="D496" s="1822"/>
      <c r="E496" s="1822"/>
      <c r="F496" s="562" t="s">
        <v>315</v>
      </c>
      <c r="G496" s="562" t="s">
        <v>1028</v>
      </c>
      <c r="H496" s="562" t="s">
        <v>313</v>
      </c>
      <c r="I496" s="562" t="s">
        <v>4175</v>
      </c>
      <c r="J496" s="604"/>
      <c r="K496" s="562"/>
      <c r="L496" s="604"/>
      <c r="M496" s="603"/>
      <c r="N496" s="602"/>
      <c r="V496" s="674"/>
      <c r="W496" s="675"/>
      <c r="AA496" s="537" t="s">
        <v>314</v>
      </c>
      <c r="AC496" s="675"/>
      <c r="AD496" s="675"/>
      <c r="AE496" s="675"/>
      <c r="AG496" s="675"/>
      <c r="AH496" s="680"/>
    </row>
    <row r="497" spans="1:34" s="536" customFormat="1" ht="12" x14ac:dyDescent="0.2">
      <c r="A497" s="605"/>
      <c r="B497" s="552"/>
      <c r="C497" s="1822" t="s">
        <v>348</v>
      </c>
      <c r="D497" s="1822"/>
      <c r="E497" s="1822"/>
      <c r="F497" s="562" t="s">
        <v>315</v>
      </c>
      <c r="G497" s="562" t="s">
        <v>1029</v>
      </c>
      <c r="H497" s="562" t="s">
        <v>313</v>
      </c>
      <c r="I497" s="562" t="s">
        <v>4176</v>
      </c>
      <c r="J497" s="604"/>
      <c r="K497" s="562"/>
      <c r="L497" s="604"/>
      <c r="M497" s="603"/>
      <c r="N497" s="602"/>
      <c r="V497" s="674"/>
      <c r="W497" s="675"/>
      <c r="AA497" s="537" t="s">
        <v>348</v>
      </c>
      <c r="AC497" s="675"/>
      <c r="AD497" s="675"/>
      <c r="AE497" s="675"/>
      <c r="AG497" s="675"/>
      <c r="AH497" s="680"/>
    </row>
    <row r="498" spans="1:34" s="536" customFormat="1" ht="12" x14ac:dyDescent="0.2">
      <c r="A498" s="605"/>
      <c r="B498" s="552"/>
      <c r="C498" s="1828" t="s">
        <v>318</v>
      </c>
      <c r="D498" s="1828"/>
      <c r="E498" s="1828"/>
      <c r="F498" s="608"/>
      <c r="G498" s="608"/>
      <c r="H498" s="608"/>
      <c r="I498" s="608"/>
      <c r="J498" s="607">
        <v>3490.33</v>
      </c>
      <c r="K498" s="608"/>
      <c r="L498" s="607">
        <v>39663.65</v>
      </c>
      <c r="M498" s="601"/>
      <c r="N498" s="606"/>
      <c r="V498" s="674"/>
      <c r="W498" s="675"/>
      <c r="AB498" s="537" t="s">
        <v>318</v>
      </c>
      <c r="AC498" s="675"/>
      <c r="AD498" s="675"/>
      <c r="AE498" s="675"/>
      <c r="AG498" s="675"/>
      <c r="AH498" s="680"/>
    </row>
    <row r="499" spans="1:34" s="536" customFormat="1" ht="12" x14ac:dyDescent="0.2">
      <c r="A499" s="605"/>
      <c r="B499" s="552"/>
      <c r="C499" s="1822" t="s">
        <v>319</v>
      </c>
      <c r="D499" s="1822"/>
      <c r="E499" s="1822"/>
      <c r="F499" s="562"/>
      <c r="G499" s="562"/>
      <c r="H499" s="562"/>
      <c r="I499" s="562"/>
      <c r="J499" s="604"/>
      <c r="K499" s="562"/>
      <c r="L499" s="604">
        <v>3379.29</v>
      </c>
      <c r="M499" s="603"/>
      <c r="N499" s="602"/>
      <c r="V499" s="674"/>
      <c r="W499" s="675"/>
      <c r="AA499" s="537" t="s">
        <v>319</v>
      </c>
      <c r="AC499" s="675"/>
      <c r="AD499" s="675"/>
      <c r="AE499" s="675"/>
      <c r="AG499" s="675"/>
      <c r="AH499" s="680"/>
    </row>
    <row r="500" spans="1:34" s="536" customFormat="1" ht="33.75" x14ac:dyDescent="0.2">
      <c r="A500" s="605"/>
      <c r="B500" s="552" t="s">
        <v>554</v>
      </c>
      <c r="C500" s="1822" t="s">
        <v>555</v>
      </c>
      <c r="D500" s="1822"/>
      <c r="E500" s="1822"/>
      <c r="F500" s="562" t="s">
        <v>322</v>
      </c>
      <c r="G500" s="562" t="s">
        <v>556</v>
      </c>
      <c r="H500" s="562"/>
      <c r="I500" s="562" t="s">
        <v>556</v>
      </c>
      <c r="J500" s="604"/>
      <c r="K500" s="562"/>
      <c r="L500" s="604">
        <v>4257.91</v>
      </c>
      <c r="M500" s="603"/>
      <c r="N500" s="602"/>
      <c r="V500" s="674"/>
      <c r="W500" s="675"/>
      <c r="AA500" s="537" t="s">
        <v>555</v>
      </c>
      <c r="AC500" s="675"/>
      <c r="AD500" s="675"/>
      <c r="AE500" s="675"/>
      <c r="AG500" s="675"/>
      <c r="AH500" s="680"/>
    </row>
    <row r="501" spans="1:34" s="536" customFormat="1" ht="33.75" x14ac:dyDescent="0.2">
      <c r="A501" s="605"/>
      <c r="B501" s="552" t="s">
        <v>557</v>
      </c>
      <c r="C501" s="1822" t="s">
        <v>558</v>
      </c>
      <c r="D501" s="1822"/>
      <c r="E501" s="1822"/>
      <c r="F501" s="562" t="s">
        <v>322</v>
      </c>
      <c r="G501" s="562" t="s">
        <v>559</v>
      </c>
      <c r="H501" s="562"/>
      <c r="I501" s="562" t="s">
        <v>559</v>
      </c>
      <c r="J501" s="604"/>
      <c r="K501" s="562"/>
      <c r="L501" s="604">
        <v>3210.33</v>
      </c>
      <c r="M501" s="603"/>
      <c r="N501" s="602"/>
      <c r="V501" s="674"/>
      <c r="W501" s="675"/>
      <c r="AA501" s="537" t="s">
        <v>558</v>
      </c>
      <c r="AC501" s="675"/>
      <c r="AD501" s="675"/>
      <c r="AE501" s="675"/>
      <c r="AG501" s="675"/>
      <c r="AH501" s="680"/>
    </row>
    <row r="502" spans="1:34" s="536" customFormat="1" ht="12" x14ac:dyDescent="0.2">
      <c r="A502" s="569"/>
      <c r="B502" s="671"/>
      <c r="C502" s="1823" t="s">
        <v>327</v>
      </c>
      <c r="D502" s="1823"/>
      <c r="E502" s="1823"/>
      <c r="F502" s="573"/>
      <c r="G502" s="573"/>
      <c r="H502" s="573"/>
      <c r="I502" s="573"/>
      <c r="J502" s="572"/>
      <c r="K502" s="573"/>
      <c r="L502" s="572">
        <v>47131.89</v>
      </c>
      <c r="M502" s="601"/>
      <c r="N502" s="570"/>
      <c r="V502" s="674"/>
      <c r="W502" s="675"/>
      <c r="AC502" s="675" t="s">
        <v>327</v>
      </c>
      <c r="AD502" s="675"/>
      <c r="AE502" s="675"/>
      <c r="AG502" s="675"/>
      <c r="AH502" s="680"/>
    </row>
    <row r="503" spans="1:34" s="536" customFormat="1" ht="12" x14ac:dyDescent="0.2">
      <c r="A503" s="575" t="s">
        <v>931</v>
      </c>
      <c r="B503" s="670" t="s">
        <v>1030</v>
      </c>
      <c r="C503" s="1823" t="s">
        <v>1031</v>
      </c>
      <c r="D503" s="1823"/>
      <c r="E503" s="1823"/>
      <c r="F503" s="573" t="s">
        <v>641</v>
      </c>
      <c r="G503" s="573"/>
      <c r="H503" s="573"/>
      <c r="I503" s="573" t="s">
        <v>4177</v>
      </c>
      <c r="J503" s="572">
        <v>60</v>
      </c>
      <c r="K503" s="573"/>
      <c r="L503" s="572">
        <v>66612</v>
      </c>
      <c r="M503" s="571"/>
      <c r="N503" s="570"/>
      <c r="V503" s="674"/>
      <c r="W503" s="675" t="s">
        <v>1031</v>
      </c>
      <c r="AC503" s="675"/>
      <c r="AD503" s="675"/>
      <c r="AE503" s="675"/>
      <c r="AG503" s="675"/>
      <c r="AH503" s="680"/>
    </row>
    <row r="504" spans="1:34" s="536" customFormat="1" ht="12" x14ac:dyDescent="0.2">
      <c r="A504" s="569"/>
      <c r="B504" s="671"/>
      <c r="C504" s="665" t="s">
        <v>717</v>
      </c>
      <c r="D504" s="666"/>
      <c r="E504" s="666"/>
      <c r="F504" s="563"/>
      <c r="G504" s="563"/>
      <c r="H504" s="563"/>
      <c r="I504" s="563"/>
      <c r="J504" s="566"/>
      <c r="K504" s="563"/>
      <c r="L504" s="566"/>
      <c r="M504" s="565"/>
      <c r="N504" s="564"/>
      <c r="V504" s="674"/>
      <c r="W504" s="675"/>
      <c r="AC504" s="675"/>
      <c r="AD504" s="675"/>
      <c r="AE504" s="675"/>
      <c r="AG504" s="675"/>
      <c r="AH504" s="680"/>
    </row>
    <row r="505" spans="1:34" s="536" customFormat="1" ht="12" x14ac:dyDescent="0.2">
      <c r="A505" s="676"/>
      <c r="B505" s="664"/>
      <c r="C505" s="1822" t="s">
        <v>4178</v>
      </c>
      <c r="D505" s="1822"/>
      <c r="E505" s="1822"/>
      <c r="F505" s="1822"/>
      <c r="G505" s="1822"/>
      <c r="H505" s="1822"/>
      <c r="I505" s="1822"/>
      <c r="J505" s="1822"/>
      <c r="K505" s="1822"/>
      <c r="L505" s="1822"/>
      <c r="M505" s="1822"/>
      <c r="N505" s="1827"/>
      <c r="V505" s="674"/>
      <c r="W505" s="675"/>
      <c r="X505" s="537" t="s">
        <v>4178</v>
      </c>
      <c r="AC505" s="675"/>
      <c r="AD505" s="675"/>
      <c r="AE505" s="675"/>
      <c r="AG505" s="675"/>
      <c r="AH505" s="680"/>
    </row>
    <row r="506" spans="1:34" s="536" customFormat="1" ht="12" x14ac:dyDescent="0.2">
      <c r="A506" s="1830" t="s">
        <v>6848</v>
      </c>
      <c r="B506" s="1831"/>
      <c r="C506" s="1831"/>
      <c r="D506" s="1831"/>
      <c r="E506" s="1831"/>
      <c r="F506" s="1831"/>
      <c r="G506" s="1831"/>
      <c r="H506" s="1831"/>
      <c r="I506" s="1831"/>
      <c r="J506" s="1831"/>
      <c r="K506" s="1831"/>
      <c r="L506" s="1831"/>
      <c r="M506" s="1831"/>
      <c r="N506" s="1832"/>
      <c r="V506" s="674"/>
      <c r="W506" s="675"/>
      <c r="AC506" s="675"/>
      <c r="AD506" s="675" t="s">
        <v>6848</v>
      </c>
      <c r="AE506" s="675"/>
      <c r="AG506" s="675"/>
      <c r="AH506" s="680"/>
    </row>
    <row r="507" spans="1:34" s="536" customFormat="1" ht="45" x14ac:dyDescent="0.2">
      <c r="A507" s="575" t="s">
        <v>465</v>
      </c>
      <c r="B507" s="670" t="s">
        <v>1024</v>
      </c>
      <c r="C507" s="1823" t="s">
        <v>8842</v>
      </c>
      <c r="D507" s="1823"/>
      <c r="E507" s="1823"/>
      <c r="F507" s="573" t="s">
        <v>509</v>
      </c>
      <c r="G507" s="573"/>
      <c r="H507" s="573"/>
      <c r="I507" s="573" t="s">
        <v>914</v>
      </c>
      <c r="J507" s="572"/>
      <c r="K507" s="573"/>
      <c r="L507" s="572"/>
      <c r="M507" s="571"/>
      <c r="N507" s="570"/>
      <c r="V507" s="674"/>
      <c r="W507" s="675" t="s">
        <v>8842</v>
      </c>
      <c r="AC507" s="675"/>
      <c r="AD507" s="675"/>
      <c r="AE507" s="675"/>
      <c r="AG507" s="675"/>
      <c r="AH507" s="680"/>
    </row>
    <row r="508" spans="1:34" s="536" customFormat="1" ht="12" x14ac:dyDescent="0.2">
      <c r="A508" s="676"/>
      <c r="B508" s="664"/>
      <c r="C508" s="1822" t="s">
        <v>6849</v>
      </c>
      <c r="D508" s="1822"/>
      <c r="E508" s="1822"/>
      <c r="F508" s="1822"/>
      <c r="G508" s="1822"/>
      <c r="H508" s="1822"/>
      <c r="I508" s="1822"/>
      <c r="J508" s="1822"/>
      <c r="K508" s="1822"/>
      <c r="L508" s="1822"/>
      <c r="M508" s="1822"/>
      <c r="N508" s="1827"/>
      <c r="V508" s="674"/>
      <c r="W508" s="675"/>
      <c r="X508" s="537" t="s">
        <v>6849</v>
      </c>
      <c r="AC508" s="675"/>
      <c r="AD508" s="675"/>
      <c r="AE508" s="675"/>
      <c r="AG508" s="675"/>
      <c r="AH508" s="680"/>
    </row>
    <row r="509" spans="1:34" s="536" customFormat="1" ht="33.75" x14ac:dyDescent="0.2">
      <c r="A509" s="609"/>
      <c r="B509" s="552" t="s">
        <v>310</v>
      </c>
      <c r="C509" s="1822" t="s">
        <v>311</v>
      </c>
      <c r="D509" s="1822"/>
      <c r="E509" s="1822"/>
      <c r="F509" s="1822"/>
      <c r="G509" s="1822"/>
      <c r="H509" s="1822"/>
      <c r="I509" s="1822"/>
      <c r="J509" s="1822"/>
      <c r="K509" s="1822"/>
      <c r="L509" s="1822"/>
      <c r="M509" s="1822"/>
      <c r="N509" s="1827"/>
      <c r="V509" s="674"/>
      <c r="W509" s="675"/>
      <c r="Y509" s="537" t="s">
        <v>311</v>
      </c>
      <c r="AC509" s="675"/>
      <c r="AD509" s="675"/>
      <c r="AE509" s="675"/>
      <c r="AG509" s="675"/>
      <c r="AH509" s="680"/>
    </row>
    <row r="510" spans="1:34" s="536" customFormat="1" ht="12" x14ac:dyDescent="0.2">
      <c r="A510" s="605"/>
      <c r="B510" s="552" t="s">
        <v>185</v>
      </c>
      <c r="C510" s="1822" t="s">
        <v>312</v>
      </c>
      <c r="D510" s="1822"/>
      <c r="E510" s="1822"/>
      <c r="F510" s="562"/>
      <c r="G510" s="562"/>
      <c r="H510" s="562"/>
      <c r="I510" s="562"/>
      <c r="J510" s="604">
        <v>115.49</v>
      </c>
      <c r="K510" s="562" t="s">
        <v>313</v>
      </c>
      <c r="L510" s="604">
        <v>151.58000000000001</v>
      </c>
      <c r="M510" s="603"/>
      <c r="N510" s="602"/>
      <c r="V510" s="674"/>
      <c r="W510" s="675"/>
      <c r="Z510" s="537" t="s">
        <v>312</v>
      </c>
      <c r="AC510" s="675"/>
      <c r="AD510" s="675"/>
      <c r="AE510" s="675"/>
      <c r="AG510" s="675"/>
      <c r="AH510" s="680"/>
    </row>
    <row r="511" spans="1:34" s="536" customFormat="1" ht="12" x14ac:dyDescent="0.2">
      <c r="A511" s="605"/>
      <c r="B511" s="552" t="s">
        <v>186</v>
      </c>
      <c r="C511" s="1822" t="s">
        <v>344</v>
      </c>
      <c r="D511" s="1822"/>
      <c r="E511" s="1822"/>
      <c r="F511" s="562"/>
      <c r="G511" s="562"/>
      <c r="H511" s="562"/>
      <c r="I511" s="562"/>
      <c r="J511" s="604">
        <v>3357.76</v>
      </c>
      <c r="K511" s="562" t="s">
        <v>313</v>
      </c>
      <c r="L511" s="604">
        <v>4407.0600000000004</v>
      </c>
      <c r="M511" s="603"/>
      <c r="N511" s="602"/>
      <c r="V511" s="674"/>
      <c r="W511" s="675"/>
      <c r="Z511" s="537" t="s">
        <v>344</v>
      </c>
      <c r="AC511" s="675"/>
      <c r="AD511" s="675"/>
      <c r="AE511" s="675"/>
      <c r="AG511" s="675"/>
      <c r="AH511" s="680"/>
    </row>
    <row r="512" spans="1:34" s="536" customFormat="1" ht="12" x14ac:dyDescent="0.2">
      <c r="A512" s="605"/>
      <c r="B512" s="552" t="s">
        <v>187</v>
      </c>
      <c r="C512" s="1822" t="s">
        <v>345</v>
      </c>
      <c r="D512" s="1822"/>
      <c r="E512" s="1822"/>
      <c r="F512" s="562"/>
      <c r="G512" s="562"/>
      <c r="H512" s="562"/>
      <c r="I512" s="562"/>
      <c r="J512" s="604">
        <v>181.59</v>
      </c>
      <c r="K512" s="562" t="s">
        <v>313</v>
      </c>
      <c r="L512" s="604">
        <v>238.34</v>
      </c>
      <c r="M512" s="603"/>
      <c r="N512" s="602"/>
      <c r="V512" s="674"/>
      <c r="W512" s="675"/>
      <c r="Z512" s="537" t="s">
        <v>345</v>
      </c>
      <c r="AC512" s="675"/>
      <c r="AD512" s="675"/>
      <c r="AE512" s="675"/>
      <c r="AG512" s="675"/>
      <c r="AH512" s="680"/>
    </row>
    <row r="513" spans="1:34" s="536" customFormat="1" ht="12" x14ac:dyDescent="0.2">
      <c r="A513" s="605"/>
      <c r="B513" s="552" t="s">
        <v>188</v>
      </c>
      <c r="C513" s="1822" t="s">
        <v>475</v>
      </c>
      <c r="D513" s="1822"/>
      <c r="E513" s="1822"/>
      <c r="F513" s="562"/>
      <c r="G513" s="562"/>
      <c r="H513" s="562"/>
      <c r="I513" s="562"/>
      <c r="J513" s="604">
        <v>17.079999999999998</v>
      </c>
      <c r="K513" s="562"/>
      <c r="L513" s="604">
        <v>17.93</v>
      </c>
      <c r="M513" s="603"/>
      <c r="N513" s="602"/>
      <c r="V513" s="674"/>
      <c r="W513" s="675"/>
      <c r="Z513" s="537" t="s">
        <v>475</v>
      </c>
      <c r="AC513" s="675"/>
      <c r="AD513" s="675"/>
      <c r="AE513" s="675"/>
      <c r="AG513" s="675"/>
      <c r="AH513" s="680"/>
    </row>
    <row r="514" spans="1:34" s="536" customFormat="1" ht="12" x14ac:dyDescent="0.2">
      <c r="A514" s="676"/>
      <c r="B514" s="677" t="s">
        <v>1026</v>
      </c>
      <c r="C514" s="1829" t="s">
        <v>1027</v>
      </c>
      <c r="D514" s="1829"/>
      <c r="E514" s="1829"/>
      <c r="F514" s="678" t="s">
        <v>641</v>
      </c>
      <c r="G514" s="678" t="s">
        <v>525</v>
      </c>
      <c r="H514" s="678"/>
      <c r="I514" s="678" t="s">
        <v>525</v>
      </c>
      <c r="J514" s="552"/>
      <c r="K514" s="562"/>
      <c r="L514" s="604"/>
      <c r="M514" s="562"/>
      <c r="N514" s="679"/>
      <c r="V514" s="674"/>
      <c r="W514" s="675"/>
      <c r="AC514" s="675"/>
      <c r="AD514" s="675"/>
      <c r="AE514" s="675"/>
      <c r="AG514" s="675"/>
      <c r="AH514" s="680" t="s">
        <v>1027</v>
      </c>
    </row>
    <row r="515" spans="1:34" s="536" customFormat="1" ht="12" x14ac:dyDescent="0.2">
      <c r="A515" s="605"/>
      <c r="B515" s="552"/>
      <c r="C515" s="1822" t="s">
        <v>314</v>
      </c>
      <c r="D515" s="1822"/>
      <c r="E515" s="1822"/>
      <c r="F515" s="562" t="s">
        <v>315</v>
      </c>
      <c r="G515" s="562" t="s">
        <v>1028</v>
      </c>
      <c r="H515" s="562" t="s">
        <v>313</v>
      </c>
      <c r="I515" s="562" t="s">
        <v>6850</v>
      </c>
      <c r="J515" s="604"/>
      <c r="K515" s="562"/>
      <c r="L515" s="604"/>
      <c r="M515" s="603"/>
      <c r="N515" s="602"/>
      <c r="V515" s="674"/>
      <c r="W515" s="675"/>
      <c r="AA515" s="537" t="s">
        <v>314</v>
      </c>
      <c r="AC515" s="675"/>
      <c r="AD515" s="675"/>
      <c r="AE515" s="675"/>
      <c r="AG515" s="675"/>
      <c r="AH515" s="680"/>
    </row>
    <row r="516" spans="1:34" s="536" customFormat="1" ht="12" x14ac:dyDescent="0.2">
      <c r="A516" s="605"/>
      <c r="B516" s="552"/>
      <c r="C516" s="1822" t="s">
        <v>348</v>
      </c>
      <c r="D516" s="1822"/>
      <c r="E516" s="1822"/>
      <c r="F516" s="562" t="s">
        <v>315</v>
      </c>
      <c r="G516" s="562" t="s">
        <v>1029</v>
      </c>
      <c r="H516" s="562" t="s">
        <v>313</v>
      </c>
      <c r="I516" s="562" t="s">
        <v>6851</v>
      </c>
      <c r="J516" s="604"/>
      <c r="K516" s="562"/>
      <c r="L516" s="604"/>
      <c r="M516" s="603"/>
      <c r="N516" s="602"/>
      <c r="V516" s="674"/>
      <c r="W516" s="675"/>
      <c r="AA516" s="537" t="s">
        <v>348</v>
      </c>
      <c r="AC516" s="675"/>
      <c r="AD516" s="675"/>
      <c r="AE516" s="675"/>
      <c r="AG516" s="675"/>
      <c r="AH516" s="680"/>
    </row>
    <row r="517" spans="1:34" s="536" customFormat="1" ht="12" x14ac:dyDescent="0.2">
      <c r="A517" s="605"/>
      <c r="B517" s="552"/>
      <c r="C517" s="1828" t="s">
        <v>318</v>
      </c>
      <c r="D517" s="1828"/>
      <c r="E517" s="1828"/>
      <c r="F517" s="608"/>
      <c r="G517" s="608"/>
      <c r="H517" s="608"/>
      <c r="I517" s="608"/>
      <c r="J517" s="607">
        <v>3490.33</v>
      </c>
      <c r="K517" s="608"/>
      <c r="L517" s="607">
        <v>4576.57</v>
      </c>
      <c r="M517" s="601"/>
      <c r="N517" s="606"/>
      <c r="V517" s="674"/>
      <c r="W517" s="675"/>
      <c r="AB517" s="537" t="s">
        <v>318</v>
      </c>
      <c r="AC517" s="675"/>
      <c r="AD517" s="675"/>
      <c r="AE517" s="675"/>
      <c r="AG517" s="675"/>
      <c r="AH517" s="680"/>
    </row>
    <row r="518" spans="1:34" s="536" customFormat="1" ht="12" x14ac:dyDescent="0.2">
      <c r="A518" s="605"/>
      <c r="B518" s="552"/>
      <c r="C518" s="1822" t="s">
        <v>319</v>
      </c>
      <c r="D518" s="1822"/>
      <c r="E518" s="1822"/>
      <c r="F518" s="562"/>
      <c r="G518" s="562"/>
      <c r="H518" s="562"/>
      <c r="I518" s="562"/>
      <c r="J518" s="604"/>
      <c r="K518" s="562"/>
      <c r="L518" s="604">
        <v>389.92</v>
      </c>
      <c r="M518" s="603"/>
      <c r="N518" s="602"/>
      <c r="V518" s="674"/>
      <c r="W518" s="675"/>
      <c r="AA518" s="537" t="s">
        <v>319</v>
      </c>
      <c r="AC518" s="675"/>
      <c r="AD518" s="675"/>
      <c r="AE518" s="675"/>
      <c r="AG518" s="675"/>
      <c r="AH518" s="680"/>
    </row>
    <row r="519" spans="1:34" s="536" customFormat="1" ht="33.75" x14ac:dyDescent="0.2">
      <c r="A519" s="605"/>
      <c r="B519" s="552" t="s">
        <v>554</v>
      </c>
      <c r="C519" s="1822" t="s">
        <v>555</v>
      </c>
      <c r="D519" s="1822"/>
      <c r="E519" s="1822"/>
      <c r="F519" s="562" t="s">
        <v>322</v>
      </c>
      <c r="G519" s="562" t="s">
        <v>556</v>
      </c>
      <c r="H519" s="562"/>
      <c r="I519" s="562" t="s">
        <v>556</v>
      </c>
      <c r="J519" s="604"/>
      <c r="K519" s="562"/>
      <c r="L519" s="604">
        <v>491.3</v>
      </c>
      <c r="M519" s="603"/>
      <c r="N519" s="602"/>
      <c r="V519" s="674"/>
      <c r="W519" s="675"/>
      <c r="AA519" s="537" t="s">
        <v>555</v>
      </c>
      <c r="AC519" s="675"/>
      <c r="AD519" s="675"/>
      <c r="AE519" s="675"/>
      <c r="AG519" s="675"/>
      <c r="AH519" s="680"/>
    </row>
    <row r="520" spans="1:34" s="536" customFormat="1" ht="33.75" x14ac:dyDescent="0.2">
      <c r="A520" s="605"/>
      <c r="B520" s="552" t="s">
        <v>557</v>
      </c>
      <c r="C520" s="1822" t="s">
        <v>558</v>
      </c>
      <c r="D520" s="1822"/>
      <c r="E520" s="1822"/>
      <c r="F520" s="562" t="s">
        <v>322</v>
      </c>
      <c r="G520" s="562" t="s">
        <v>559</v>
      </c>
      <c r="H520" s="562"/>
      <c r="I520" s="562" t="s">
        <v>559</v>
      </c>
      <c r="J520" s="604"/>
      <c r="K520" s="562"/>
      <c r="L520" s="604">
        <v>370.42</v>
      </c>
      <c r="M520" s="603"/>
      <c r="N520" s="602"/>
      <c r="V520" s="674"/>
      <c r="W520" s="675"/>
      <c r="AA520" s="537" t="s">
        <v>558</v>
      </c>
      <c r="AC520" s="675"/>
      <c r="AD520" s="675"/>
      <c r="AE520" s="675"/>
      <c r="AG520" s="675"/>
      <c r="AH520" s="680"/>
    </row>
    <row r="521" spans="1:34" s="536" customFormat="1" ht="12" x14ac:dyDescent="0.2">
      <c r="A521" s="569"/>
      <c r="B521" s="671"/>
      <c r="C521" s="1823" t="s">
        <v>327</v>
      </c>
      <c r="D521" s="1823"/>
      <c r="E521" s="1823"/>
      <c r="F521" s="573"/>
      <c r="G521" s="573"/>
      <c r="H521" s="573"/>
      <c r="I521" s="573"/>
      <c r="J521" s="572"/>
      <c r="K521" s="573"/>
      <c r="L521" s="572">
        <v>5438.29</v>
      </c>
      <c r="M521" s="601"/>
      <c r="N521" s="570"/>
      <c r="V521" s="674"/>
      <c r="W521" s="675"/>
      <c r="AC521" s="675" t="s">
        <v>327</v>
      </c>
      <c r="AD521" s="675"/>
      <c r="AE521" s="675"/>
      <c r="AG521" s="675"/>
      <c r="AH521" s="680"/>
    </row>
    <row r="522" spans="1:34" s="536" customFormat="1" ht="12" x14ac:dyDescent="0.2">
      <c r="A522" s="575" t="s">
        <v>782</v>
      </c>
      <c r="B522" s="670" t="s">
        <v>1030</v>
      </c>
      <c r="C522" s="1823" t="s">
        <v>1031</v>
      </c>
      <c r="D522" s="1823"/>
      <c r="E522" s="1823"/>
      <c r="F522" s="573" t="s">
        <v>641</v>
      </c>
      <c r="G522" s="573"/>
      <c r="H522" s="573"/>
      <c r="I522" s="573" t="s">
        <v>6852</v>
      </c>
      <c r="J522" s="572">
        <v>60</v>
      </c>
      <c r="K522" s="573"/>
      <c r="L522" s="572">
        <v>7686</v>
      </c>
      <c r="M522" s="571"/>
      <c r="N522" s="570"/>
      <c r="V522" s="674"/>
      <c r="W522" s="675" t="s">
        <v>1031</v>
      </c>
      <c r="AC522" s="675"/>
      <c r="AD522" s="675"/>
      <c r="AE522" s="675"/>
      <c r="AG522" s="675"/>
      <c r="AH522" s="680"/>
    </row>
    <row r="523" spans="1:34" s="536" customFormat="1" ht="12" x14ac:dyDescent="0.2">
      <c r="A523" s="569"/>
      <c r="B523" s="671"/>
      <c r="C523" s="665" t="s">
        <v>717</v>
      </c>
      <c r="D523" s="666"/>
      <c r="E523" s="666"/>
      <c r="F523" s="563"/>
      <c r="G523" s="563"/>
      <c r="H523" s="563"/>
      <c r="I523" s="563"/>
      <c r="J523" s="566"/>
      <c r="K523" s="563"/>
      <c r="L523" s="566"/>
      <c r="M523" s="565"/>
      <c r="N523" s="564"/>
      <c r="V523" s="674"/>
      <c r="W523" s="675"/>
      <c r="AC523" s="675"/>
      <c r="AD523" s="675"/>
      <c r="AE523" s="675"/>
      <c r="AG523" s="675"/>
      <c r="AH523" s="680"/>
    </row>
    <row r="524" spans="1:34" s="536" customFormat="1" ht="12" x14ac:dyDescent="0.2">
      <c r="A524" s="676"/>
      <c r="B524" s="664"/>
      <c r="C524" s="1822" t="s">
        <v>6853</v>
      </c>
      <c r="D524" s="1822"/>
      <c r="E524" s="1822"/>
      <c r="F524" s="1822"/>
      <c r="G524" s="1822"/>
      <c r="H524" s="1822"/>
      <c r="I524" s="1822"/>
      <c r="J524" s="1822"/>
      <c r="K524" s="1822"/>
      <c r="L524" s="1822"/>
      <c r="M524" s="1822"/>
      <c r="N524" s="1827"/>
      <c r="V524" s="674"/>
      <c r="W524" s="675"/>
      <c r="X524" s="537" t="s">
        <v>6853</v>
      </c>
      <c r="AC524" s="675"/>
      <c r="AD524" s="675"/>
      <c r="AE524" s="675"/>
      <c r="AG524" s="675"/>
      <c r="AH524" s="680"/>
    </row>
    <row r="525" spans="1:34" s="536" customFormat="1" ht="56.25" x14ac:dyDescent="0.2">
      <c r="A525" s="575" t="s">
        <v>501</v>
      </c>
      <c r="B525" s="670" t="s">
        <v>1032</v>
      </c>
      <c r="C525" s="1823" t="s">
        <v>1033</v>
      </c>
      <c r="D525" s="1823"/>
      <c r="E525" s="1823"/>
      <c r="F525" s="573" t="s">
        <v>1034</v>
      </c>
      <c r="G525" s="573"/>
      <c r="H525" s="573"/>
      <c r="I525" s="573" t="s">
        <v>6854</v>
      </c>
      <c r="J525" s="572"/>
      <c r="K525" s="573"/>
      <c r="L525" s="572"/>
      <c r="M525" s="571"/>
      <c r="N525" s="570"/>
      <c r="V525" s="674"/>
      <c r="W525" s="675" t="s">
        <v>1033</v>
      </c>
      <c r="AC525" s="675"/>
      <c r="AD525" s="675"/>
      <c r="AE525" s="675"/>
      <c r="AG525" s="675"/>
      <c r="AH525" s="680"/>
    </row>
    <row r="526" spans="1:34" s="536" customFormat="1" ht="12" x14ac:dyDescent="0.2">
      <c r="A526" s="676"/>
      <c r="B526" s="664"/>
      <c r="C526" s="1822" t="s">
        <v>6855</v>
      </c>
      <c r="D526" s="1822"/>
      <c r="E526" s="1822"/>
      <c r="F526" s="1822"/>
      <c r="G526" s="1822"/>
      <c r="H526" s="1822"/>
      <c r="I526" s="1822"/>
      <c r="J526" s="1822"/>
      <c r="K526" s="1822"/>
      <c r="L526" s="1822"/>
      <c r="M526" s="1822"/>
      <c r="N526" s="1827"/>
      <c r="V526" s="674"/>
      <c r="W526" s="675"/>
      <c r="X526" s="537" t="s">
        <v>6855</v>
      </c>
      <c r="AC526" s="675"/>
      <c r="AD526" s="675"/>
      <c r="AE526" s="675"/>
      <c r="AG526" s="675"/>
      <c r="AH526" s="680"/>
    </row>
    <row r="527" spans="1:34" s="536" customFormat="1" ht="33.75" x14ac:dyDescent="0.2">
      <c r="A527" s="609"/>
      <c r="B527" s="552" t="s">
        <v>310</v>
      </c>
      <c r="C527" s="1822" t="s">
        <v>311</v>
      </c>
      <c r="D527" s="1822"/>
      <c r="E527" s="1822"/>
      <c r="F527" s="1822"/>
      <c r="G527" s="1822"/>
      <c r="H527" s="1822"/>
      <c r="I527" s="1822"/>
      <c r="J527" s="1822"/>
      <c r="K527" s="1822"/>
      <c r="L527" s="1822"/>
      <c r="M527" s="1822"/>
      <c r="N527" s="1827"/>
      <c r="V527" s="674"/>
      <c r="W527" s="675"/>
      <c r="Y527" s="537" t="s">
        <v>311</v>
      </c>
      <c r="AC527" s="675"/>
      <c r="AD527" s="675"/>
      <c r="AE527" s="675"/>
      <c r="AG527" s="675"/>
      <c r="AH527" s="680"/>
    </row>
    <row r="528" spans="1:34" s="536" customFormat="1" ht="12" x14ac:dyDescent="0.2">
      <c r="A528" s="605"/>
      <c r="B528" s="552" t="s">
        <v>185</v>
      </c>
      <c r="C528" s="1822" t="s">
        <v>312</v>
      </c>
      <c r="D528" s="1822"/>
      <c r="E528" s="1822"/>
      <c r="F528" s="562"/>
      <c r="G528" s="562"/>
      <c r="H528" s="562"/>
      <c r="I528" s="562"/>
      <c r="J528" s="604">
        <v>253.43</v>
      </c>
      <c r="K528" s="562" t="s">
        <v>313</v>
      </c>
      <c r="L528" s="604">
        <v>200.62</v>
      </c>
      <c r="M528" s="603"/>
      <c r="N528" s="602"/>
      <c r="V528" s="674"/>
      <c r="W528" s="675"/>
      <c r="Z528" s="537" t="s">
        <v>312</v>
      </c>
      <c r="AC528" s="675"/>
      <c r="AD528" s="675"/>
      <c r="AE528" s="675"/>
      <c r="AG528" s="675"/>
      <c r="AH528" s="680"/>
    </row>
    <row r="529" spans="1:34" s="536" customFormat="1" ht="12" x14ac:dyDescent="0.2">
      <c r="A529" s="605"/>
      <c r="B529" s="552" t="s">
        <v>186</v>
      </c>
      <c r="C529" s="1822" t="s">
        <v>344</v>
      </c>
      <c r="D529" s="1822"/>
      <c r="E529" s="1822"/>
      <c r="F529" s="562"/>
      <c r="G529" s="562"/>
      <c r="H529" s="562"/>
      <c r="I529" s="562"/>
      <c r="J529" s="604">
        <v>4745.3</v>
      </c>
      <c r="K529" s="562" t="s">
        <v>313</v>
      </c>
      <c r="L529" s="604">
        <v>3756.5</v>
      </c>
      <c r="M529" s="603"/>
      <c r="N529" s="602"/>
      <c r="V529" s="674"/>
      <c r="W529" s="675"/>
      <c r="Z529" s="537" t="s">
        <v>344</v>
      </c>
      <c r="AC529" s="675"/>
      <c r="AD529" s="675"/>
      <c r="AE529" s="675"/>
      <c r="AG529" s="675"/>
      <c r="AH529" s="680"/>
    </row>
    <row r="530" spans="1:34" s="536" customFormat="1" ht="12" x14ac:dyDescent="0.2">
      <c r="A530" s="605"/>
      <c r="B530" s="552" t="s">
        <v>187</v>
      </c>
      <c r="C530" s="1822" t="s">
        <v>345</v>
      </c>
      <c r="D530" s="1822"/>
      <c r="E530" s="1822"/>
      <c r="F530" s="562"/>
      <c r="G530" s="562"/>
      <c r="H530" s="562"/>
      <c r="I530" s="562"/>
      <c r="J530" s="604">
        <v>263.3</v>
      </c>
      <c r="K530" s="562" t="s">
        <v>313</v>
      </c>
      <c r="L530" s="604">
        <v>208.43</v>
      </c>
      <c r="M530" s="603"/>
      <c r="N530" s="602"/>
      <c r="V530" s="674"/>
      <c r="W530" s="675"/>
      <c r="Z530" s="537" t="s">
        <v>345</v>
      </c>
      <c r="AC530" s="675"/>
      <c r="AD530" s="675"/>
      <c r="AE530" s="675"/>
      <c r="AG530" s="675"/>
      <c r="AH530" s="680"/>
    </row>
    <row r="531" spans="1:34" s="536" customFormat="1" ht="12" x14ac:dyDescent="0.2">
      <c r="A531" s="605"/>
      <c r="B531" s="552" t="s">
        <v>188</v>
      </c>
      <c r="C531" s="1822" t="s">
        <v>475</v>
      </c>
      <c r="D531" s="1822"/>
      <c r="E531" s="1822"/>
      <c r="F531" s="562"/>
      <c r="G531" s="562"/>
      <c r="H531" s="562"/>
      <c r="I531" s="562"/>
      <c r="J531" s="604">
        <v>61</v>
      </c>
      <c r="K531" s="562"/>
      <c r="L531" s="604">
        <v>38.630000000000003</v>
      </c>
      <c r="M531" s="603"/>
      <c r="N531" s="602"/>
      <c r="V531" s="674"/>
      <c r="W531" s="675"/>
      <c r="Z531" s="537" t="s">
        <v>475</v>
      </c>
      <c r="AC531" s="675"/>
      <c r="AD531" s="675"/>
      <c r="AE531" s="675"/>
      <c r="AG531" s="675"/>
      <c r="AH531" s="680"/>
    </row>
    <row r="532" spans="1:34" s="536" customFormat="1" ht="22.5" x14ac:dyDescent="0.2">
      <c r="A532" s="676"/>
      <c r="B532" s="677" t="s">
        <v>1026</v>
      </c>
      <c r="C532" s="1829" t="s">
        <v>1035</v>
      </c>
      <c r="D532" s="1829"/>
      <c r="E532" s="1829"/>
      <c r="F532" s="678" t="s">
        <v>641</v>
      </c>
      <c r="G532" s="678" t="s">
        <v>525</v>
      </c>
      <c r="H532" s="678"/>
      <c r="I532" s="678" t="s">
        <v>525</v>
      </c>
      <c r="J532" s="552"/>
      <c r="K532" s="562"/>
      <c r="L532" s="604"/>
      <c r="M532" s="562"/>
      <c r="N532" s="679"/>
      <c r="V532" s="674"/>
      <c r="W532" s="675"/>
      <c r="AC532" s="675"/>
      <c r="AD532" s="675"/>
      <c r="AE532" s="675"/>
      <c r="AG532" s="675"/>
      <c r="AH532" s="680" t="s">
        <v>1035</v>
      </c>
    </row>
    <row r="533" spans="1:34" s="536" customFormat="1" ht="22.5" x14ac:dyDescent="0.2">
      <c r="A533" s="605"/>
      <c r="B533" s="552"/>
      <c r="C533" s="1822" t="s">
        <v>314</v>
      </c>
      <c r="D533" s="1822"/>
      <c r="E533" s="1822"/>
      <c r="F533" s="562" t="s">
        <v>315</v>
      </c>
      <c r="G533" s="562" t="s">
        <v>1036</v>
      </c>
      <c r="H533" s="562" t="s">
        <v>313</v>
      </c>
      <c r="I533" s="562" t="s">
        <v>6856</v>
      </c>
      <c r="J533" s="604"/>
      <c r="K533" s="562"/>
      <c r="L533" s="604"/>
      <c r="M533" s="603"/>
      <c r="N533" s="602"/>
      <c r="V533" s="674"/>
      <c r="W533" s="675"/>
      <c r="AA533" s="537" t="s">
        <v>314</v>
      </c>
      <c r="AC533" s="675"/>
      <c r="AD533" s="675"/>
      <c r="AE533" s="675"/>
      <c r="AG533" s="675"/>
      <c r="AH533" s="680"/>
    </row>
    <row r="534" spans="1:34" s="536" customFormat="1" ht="22.5" x14ac:dyDescent="0.2">
      <c r="A534" s="605"/>
      <c r="B534" s="552"/>
      <c r="C534" s="1822" t="s">
        <v>348</v>
      </c>
      <c r="D534" s="1822"/>
      <c r="E534" s="1822"/>
      <c r="F534" s="562" t="s">
        <v>315</v>
      </c>
      <c r="G534" s="562" t="s">
        <v>1037</v>
      </c>
      <c r="H534" s="562" t="s">
        <v>313</v>
      </c>
      <c r="I534" s="562" t="s">
        <v>6857</v>
      </c>
      <c r="J534" s="604"/>
      <c r="K534" s="562"/>
      <c r="L534" s="604"/>
      <c r="M534" s="603"/>
      <c r="N534" s="602"/>
      <c r="V534" s="674"/>
      <c r="W534" s="675"/>
      <c r="AA534" s="537" t="s">
        <v>348</v>
      </c>
      <c r="AC534" s="675"/>
      <c r="AD534" s="675"/>
      <c r="AE534" s="675"/>
      <c r="AG534" s="675"/>
      <c r="AH534" s="680"/>
    </row>
    <row r="535" spans="1:34" s="536" customFormat="1" ht="12" x14ac:dyDescent="0.2">
      <c r="A535" s="605"/>
      <c r="B535" s="552"/>
      <c r="C535" s="1828" t="s">
        <v>318</v>
      </c>
      <c r="D535" s="1828"/>
      <c r="E535" s="1828"/>
      <c r="F535" s="608"/>
      <c r="G535" s="608"/>
      <c r="H535" s="608"/>
      <c r="I535" s="608"/>
      <c r="J535" s="607">
        <v>5059.7299999999996</v>
      </c>
      <c r="K535" s="608"/>
      <c r="L535" s="607">
        <v>3995.75</v>
      </c>
      <c r="M535" s="601"/>
      <c r="N535" s="606"/>
      <c r="V535" s="674"/>
      <c r="W535" s="675"/>
      <c r="AB535" s="537" t="s">
        <v>318</v>
      </c>
      <c r="AC535" s="675"/>
      <c r="AD535" s="675"/>
      <c r="AE535" s="675"/>
      <c r="AG535" s="675"/>
      <c r="AH535" s="680"/>
    </row>
    <row r="536" spans="1:34" s="536" customFormat="1" ht="12" x14ac:dyDescent="0.2">
      <c r="A536" s="605"/>
      <c r="B536" s="552"/>
      <c r="C536" s="1822" t="s">
        <v>319</v>
      </c>
      <c r="D536" s="1822"/>
      <c r="E536" s="1822"/>
      <c r="F536" s="562"/>
      <c r="G536" s="562"/>
      <c r="H536" s="562"/>
      <c r="I536" s="562"/>
      <c r="J536" s="604"/>
      <c r="K536" s="562"/>
      <c r="L536" s="604">
        <v>409.05</v>
      </c>
      <c r="M536" s="603"/>
      <c r="N536" s="602"/>
      <c r="V536" s="674"/>
      <c r="W536" s="675"/>
      <c r="AA536" s="537" t="s">
        <v>319</v>
      </c>
      <c r="AC536" s="675"/>
      <c r="AD536" s="675"/>
      <c r="AE536" s="675"/>
      <c r="AG536" s="675"/>
      <c r="AH536" s="680"/>
    </row>
    <row r="537" spans="1:34" s="536" customFormat="1" ht="33.75" x14ac:dyDescent="0.2">
      <c r="A537" s="605"/>
      <c r="B537" s="552" t="s">
        <v>554</v>
      </c>
      <c r="C537" s="1822" t="s">
        <v>555</v>
      </c>
      <c r="D537" s="1822"/>
      <c r="E537" s="1822"/>
      <c r="F537" s="562" t="s">
        <v>322</v>
      </c>
      <c r="G537" s="562" t="s">
        <v>556</v>
      </c>
      <c r="H537" s="562"/>
      <c r="I537" s="562" t="s">
        <v>556</v>
      </c>
      <c r="J537" s="604"/>
      <c r="K537" s="562"/>
      <c r="L537" s="604">
        <v>515.4</v>
      </c>
      <c r="M537" s="603"/>
      <c r="N537" s="602"/>
      <c r="V537" s="674"/>
      <c r="W537" s="675"/>
      <c r="AA537" s="537" t="s">
        <v>555</v>
      </c>
      <c r="AC537" s="675"/>
      <c r="AD537" s="675"/>
      <c r="AE537" s="675"/>
      <c r="AG537" s="675"/>
      <c r="AH537" s="680"/>
    </row>
    <row r="538" spans="1:34" s="536" customFormat="1" ht="33.75" x14ac:dyDescent="0.2">
      <c r="A538" s="605"/>
      <c r="B538" s="552" t="s">
        <v>557</v>
      </c>
      <c r="C538" s="1822" t="s">
        <v>558</v>
      </c>
      <c r="D538" s="1822"/>
      <c r="E538" s="1822"/>
      <c r="F538" s="562" t="s">
        <v>322</v>
      </c>
      <c r="G538" s="562" t="s">
        <v>559</v>
      </c>
      <c r="H538" s="562"/>
      <c r="I538" s="562" t="s">
        <v>559</v>
      </c>
      <c r="J538" s="604"/>
      <c r="K538" s="562"/>
      <c r="L538" s="604">
        <v>388.6</v>
      </c>
      <c r="M538" s="603"/>
      <c r="N538" s="602"/>
      <c r="V538" s="674"/>
      <c r="W538" s="675"/>
      <c r="AA538" s="537" t="s">
        <v>558</v>
      </c>
      <c r="AC538" s="675"/>
      <c r="AD538" s="675"/>
      <c r="AE538" s="675"/>
      <c r="AG538" s="675"/>
      <c r="AH538" s="680"/>
    </row>
    <row r="539" spans="1:34" s="536" customFormat="1" ht="12" x14ac:dyDescent="0.2">
      <c r="A539" s="569"/>
      <c r="B539" s="671"/>
      <c r="C539" s="1823" t="s">
        <v>327</v>
      </c>
      <c r="D539" s="1823"/>
      <c r="E539" s="1823"/>
      <c r="F539" s="573"/>
      <c r="G539" s="573"/>
      <c r="H539" s="573"/>
      <c r="I539" s="573"/>
      <c r="J539" s="572"/>
      <c r="K539" s="573"/>
      <c r="L539" s="572">
        <v>4899.75</v>
      </c>
      <c r="M539" s="601"/>
      <c r="N539" s="570"/>
      <c r="V539" s="674"/>
      <c r="W539" s="675"/>
      <c r="AC539" s="675" t="s">
        <v>327</v>
      </c>
      <c r="AD539" s="675"/>
      <c r="AE539" s="675"/>
      <c r="AG539" s="675"/>
      <c r="AH539" s="680"/>
    </row>
    <row r="540" spans="1:34" s="536" customFormat="1" ht="45" x14ac:dyDescent="0.2">
      <c r="A540" s="575" t="s">
        <v>784</v>
      </c>
      <c r="B540" s="670" t="s">
        <v>1038</v>
      </c>
      <c r="C540" s="1823" t="s">
        <v>1039</v>
      </c>
      <c r="D540" s="1823"/>
      <c r="E540" s="1823"/>
      <c r="F540" s="573" t="s">
        <v>1034</v>
      </c>
      <c r="G540" s="573"/>
      <c r="H540" s="573"/>
      <c r="I540" s="573" t="s">
        <v>6854</v>
      </c>
      <c r="J540" s="572"/>
      <c r="K540" s="573"/>
      <c r="L540" s="572"/>
      <c r="M540" s="571"/>
      <c r="N540" s="570"/>
      <c r="V540" s="674"/>
      <c r="W540" s="675" t="s">
        <v>1039</v>
      </c>
      <c r="AC540" s="675"/>
      <c r="AD540" s="675"/>
      <c r="AE540" s="675"/>
      <c r="AG540" s="675"/>
      <c r="AH540" s="680"/>
    </row>
    <row r="541" spans="1:34" s="536" customFormat="1" ht="12" x14ac:dyDescent="0.2">
      <c r="A541" s="676"/>
      <c r="B541" s="664"/>
      <c r="C541" s="1822" t="s">
        <v>6855</v>
      </c>
      <c r="D541" s="1822"/>
      <c r="E541" s="1822"/>
      <c r="F541" s="1822"/>
      <c r="G541" s="1822"/>
      <c r="H541" s="1822"/>
      <c r="I541" s="1822"/>
      <c r="J541" s="1822"/>
      <c r="K541" s="1822"/>
      <c r="L541" s="1822"/>
      <c r="M541" s="1822"/>
      <c r="N541" s="1827"/>
      <c r="V541" s="674"/>
      <c r="W541" s="675"/>
      <c r="X541" s="537" t="s">
        <v>6855</v>
      </c>
      <c r="AC541" s="675"/>
      <c r="AD541" s="675"/>
      <c r="AE541" s="675"/>
      <c r="AG541" s="675"/>
      <c r="AH541" s="680"/>
    </row>
    <row r="542" spans="1:34" s="536" customFormat="1" ht="12" x14ac:dyDescent="0.2">
      <c r="A542" s="609"/>
      <c r="B542" s="552"/>
      <c r="C542" s="1822" t="s">
        <v>4146</v>
      </c>
      <c r="D542" s="1822"/>
      <c r="E542" s="1822"/>
      <c r="F542" s="1822"/>
      <c r="G542" s="1822"/>
      <c r="H542" s="1822"/>
      <c r="I542" s="1822"/>
      <c r="J542" s="1822"/>
      <c r="K542" s="1822"/>
      <c r="L542" s="1822"/>
      <c r="M542" s="1822"/>
      <c r="N542" s="1827"/>
      <c r="V542" s="674"/>
      <c r="W542" s="675"/>
      <c r="Y542" s="537" t="s">
        <v>4146</v>
      </c>
      <c r="AC542" s="675"/>
      <c r="AD542" s="675"/>
      <c r="AE542" s="675"/>
      <c r="AG542" s="675"/>
      <c r="AH542" s="680"/>
    </row>
    <row r="543" spans="1:34" s="536" customFormat="1" ht="33.75" x14ac:dyDescent="0.2">
      <c r="A543" s="609"/>
      <c r="B543" s="552" t="s">
        <v>310</v>
      </c>
      <c r="C543" s="1822" t="s">
        <v>311</v>
      </c>
      <c r="D543" s="1822"/>
      <c r="E543" s="1822"/>
      <c r="F543" s="1822"/>
      <c r="G543" s="1822"/>
      <c r="H543" s="1822"/>
      <c r="I543" s="1822"/>
      <c r="J543" s="1822"/>
      <c r="K543" s="1822"/>
      <c r="L543" s="1822"/>
      <c r="M543" s="1822"/>
      <c r="N543" s="1827"/>
      <c r="V543" s="674"/>
      <c r="W543" s="675"/>
      <c r="Y543" s="537" t="s">
        <v>311</v>
      </c>
      <c r="AC543" s="675"/>
      <c r="AD543" s="675"/>
      <c r="AE543" s="675"/>
      <c r="AG543" s="675"/>
      <c r="AH543" s="680"/>
    </row>
    <row r="544" spans="1:34" s="536" customFormat="1" ht="12" x14ac:dyDescent="0.2">
      <c r="A544" s="605"/>
      <c r="B544" s="552" t="s">
        <v>186</v>
      </c>
      <c r="C544" s="1822" t="s">
        <v>344</v>
      </c>
      <c r="D544" s="1822"/>
      <c r="E544" s="1822"/>
      <c r="F544" s="562"/>
      <c r="G544" s="562"/>
      <c r="H544" s="562"/>
      <c r="I544" s="562"/>
      <c r="J544" s="604">
        <v>119.54</v>
      </c>
      <c r="K544" s="562" t="s">
        <v>1041</v>
      </c>
      <c r="L544" s="604">
        <v>1419.46</v>
      </c>
      <c r="M544" s="603"/>
      <c r="N544" s="602"/>
      <c r="V544" s="674"/>
      <c r="W544" s="675"/>
      <c r="Z544" s="537" t="s">
        <v>344</v>
      </c>
      <c r="AC544" s="675"/>
      <c r="AD544" s="675"/>
      <c r="AE544" s="675"/>
      <c r="AG544" s="675"/>
      <c r="AH544" s="680"/>
    </row>
    <row r="545" spans="1:34" s="536" customFormat="1" ht="12" x14ac:dyDescent="0.2">
      <c r="A545" s="605"/>
      <c r="B545" s="552" t="s">
        <v>187</v>
      </c>
      <c r="C545" s="1822" t="s">
        <v>345</v>
      </c>
      <c r="D545" s="1822"/>
      <c r="E545" s="1822"/>
      <c r="F545" s="562"/>
      <c r="G545" s="562"/>
      <c r="H545" s="562"/>
      <c r="I545" s="562"/>
      <c r="J545" s="604">
        <v>5.78</v>
      </c>
      <c r="K545" s="562" t="s">
        <v>1041</v>
      </c>
      <c r="L545" s="604">
        <v>68.63</v>
      </c>
      <c r="M545" s="603"/>
      <c r="N545" s="602"/>
      <c r="V545" s="674"/>
      <c r="W545" s="675"/>
      <c r="Z545" s="537" t="s">
        <v>345</v>
      </c>
      <c r="AC545" s="675"/>
      <c r="AD545" s="675"/>
      <c r="AE545" s="675"/>
      <c r="AG545" s="675"/>
      <c r="AH545" s="680"/>
    </row>
    <row r="546" spans="1:34" s="536" customFormat="1" ht="22.5" x14ac:dyDescent="0.2">
      <c r="A546" s="676"/>
      <c r="B546" s="677" t="s">
        <v>1026</v>
      </c>
      <c r="C546" s="1829" t="s">
        <v>1035</v>
      </c>
      <c r="D546" s="1829"/>
      <c r="E546" s="1829"/>
      <c r="F546" s="678" t="s">
        <v>641</v>
      </c>
      <c r="G546" s="678" t="s">
        <v>525</v>
      </c>
      <c r="H546" s="678" t="s">
        <v>199</v>
      </c>
      <c r="I546" s="678" t="s">
        <v>525</v>
      </c>
      <c r="J546" s="552"/>
      <c r="K546" s="562"/>
      <c r="L546" s="604"/>
      <c r="M546" s="562"/>
      <c r="N546" s="679"/>
      <c r="V546" s="674"/>
      <c r="W546" s="675"/>
      <c r="AC546" s="675"/>
      <c r="AD546" s="675"/>
      <c r="AE546" s="675"/>
      <c r="AG546" s="675"/>
      <c r="AH546" s="680" t="s">
        <v>1035</v>
      </c>
    </row>
    <row r="547" spans="1:34" s="536" customFormat="1" ht="12" x14ac:dyDescent="0.2">
      <c r="A547" s="605"/>
      <c r="B547" s="552"/>
      <c r="C547" s="1822" t="s">
        <v>348</v>
      </c>
      <c r="D547" s="1822"/>
      <c r="E547" s="1822"/>
      <c r="F547" s="562" t="s">
        <v>315</v>
      </c>
      <c r="G547" s="562" t="s">
        <v>1042</v>
      </c>
      <c r="H547" s="562" t="s">
        <v>1041</v>
      </c>
      <c r="I547" s="562" t="s">
        <v>6858</v>
      </c>
      <c r="J547" s="604"/>
      <c r="K547" s="562"/>
      <c r="L547" s="604"/>
      <c r="M547" s="603"/>
      <c r="N547" s="602"/>
      <c r="V547" s="674"/>
      <c r="W547" s="675"/>
      <c r="AA547" s="537" t="s">
        <v>348</v>
      </c>
      <c r="AC547" s="675"/>
      <c r="AD547" s="675"/>
      <c r="AE547" s="675"/>
      <c r="AG547" s="675"/>
      <c r="AH547" s="680"/>
    </row>
    <row r="548" spans="1:34" s="536" customFormat="1" ht="12" x14ac:dyDescent="0.2">
      <c r="A548" s="605"/>
      <c r="B548" s="552"/>
      <c r="C548" s="1828" t="s">
        <v>318</v>
      </c>
      <c r="D548" s="1828"/>
      <c r="E548" s="1828"/>
      <c r="F548" s="608"/>
      <c r="G548" s="608"/>
      <c r="H548" s="608"/>
      <c r="I548" s="608"/>
      <c r="J548" s="607">
        <v>119.54</v>
      </c>
      <c r="K548" s="608"/>
      <c r="L548" s="607">
        <v>1419.46</v>
      </c>
      <c r="M548" s="601"/>
      <c r="N548" s="606"/>
      <c r="V548" s="674"/>
      <c r="W548" s="675"/>
      <c r="AB548" s="537" t="s">
        <v>318</v>
      </c>
      <c r="AC548" s="675"/>
      <c r="AD548" s="675"/>
      <c r="AE548" s="675"/>
      <c r="AG548" s="675"/>
      <c r="AH548" s="680"/>
    </row>
    <row r="549" spans="1:34" s="536" customFormat="1" ht="12" x14ac:dyDescent="0.2">
      <c r="A549" s="605"/>
      <c r="B549" s="552"/>
      <c r="C549" s="1822" t="s">
        <v>319</v>
      </c>
      <c r="D549" s="1822"/>
      <c r="E549" s="1822"/>
      <c r="F549" s="562"/>
      <c r="G549" s="562"/>
      <c r="H549" s="562"/>
      <c r="I549" s="562"/>
      <c r="J549" s="604"/>
      <c r="K549" s="562"/>
      <c r="L549" s="604">
        <v>68.63</v>
      </c>
      <c r="M549" s="603"/>
      <c r="N549" s="602"/>
      <c r="V549" s="674"/>
      <c r="W549" s="675"/>
      <c r="AA549" s="537" t="s">
        <v>319</v>
      </c>
      <c r="AC549" s="675"/>
      <c r="AD549" s="675"/>
      <c r="AE549" s="675"/>
      <c r="AG549" s="675"/>
      <c r="AH549" s="680"/>
    </row>
    <row r="550" spans="1:34" s="536" customFormat="1" ht="33.75" x14ac:dyDescent="0.2">
      <c r="A550" s="605"/>
      <c r="B550" s="552" t="s">
        <v>554</v>
      </c>
      <c r="C550" s="1822" t="s">
        <v>555</v>
      </c>
      <c r="D550" s="1822"/>
      <c r="E550" s="1822"/>
      <c r="F550" s="562" t="s">
        <v>322</v>
      </c>
      <c r="G550" s="562" t="s">
        <v>556</v>
      </c>
      <c r="H550" s="562"/>
      <c r="I550" s="562" t="s">
        <v>556</v>
      </c>
      <c r="J550" s="604"/>
      <c r="K550" s="562"/>
      <c r="L550" s="604">
        <v>86.47</v>
      </c>
      <c r="M550" s="603"/>
      <c r="N550" s="602"/>
      <c r="V550" s="674"/>
      <c r="W550" s="675"/>
      <c r="AA550" s="537" t="s">
        <v>555</v>
      </c>
      <c r="AC550" s="675"/>
      <c r="AD550" s="675"/>
      <c r="AE550" s="675"/>
      <c r="AG550" s="675"/>
      <c r="AH550" s="680"/>
    </row>
    <row r="551" spans="1:34" s="536" customFormat="1" ht="33.75" x14ac:dyDescent="0.2">
      <c r="A551" s="605"/>
      <c r="B551" s="552" t="s">
        <v>557</v>
      </c>
      <c r="C551" s="1822" t="s">
        <v>558</v>
      </c>
      <c r="D551" s="1822"/>
      <c r="E551" s="1822"/>
      <c r="F551" s="562" t="s">
        <v>322</v>
      </c>
      <c r="G551" s="562" t="s">
        <v>559</v>
      </c>
      <c r="H551" s="562"/>
      <c r="I551" s="562" t="s">
        <v>559</v>
      </c>
      <c r="J551" s="604"/>
      <c r="K551" s="562"/>
      <c r="L551" s="604">
        <v>65.2</v>
      </c>
      <c r="M551" s="603"/>
      <c r="N551" s="602"/>
      <c r="V551" s="674"/>
      <c r="W551" s="675"/>
      <c r="AA551" s="537" t="s">
        <v>558</v>
      </c>
      <c r="AC551" s="675"/>
      <c r="AD551" s="675"/>
      <c r="AE551" s="675"/>
      <c r="AG551" s="675"/>
      <c r="AH551" s="680"/>
    </row>
    <row r="552" spans="1:34" s="536" customFormat="1" ht="12" x14ac:dyDescent="0.2">
      <c r="A552" s="569"/>
      <c r="B552" s="671"/>
      <c r="C552" s="1823" t="s">
        <v>327</v>
      </c>
      <c r="D552" s="1823"/>
      <c r="E552" s="1823"/>
      <c r="F552" s="573"/>
      <c r="G552" s="573"/>
      <c r="H552" s="573"/>
      <c r="I552" s="573"/>
      <c r="J552" s="572"/>
      <c r="K552" s="573"/>
      <c r="L552" s="572">
        <v>1571.13</v>
      </c>
      <c r="M552" s="601"/>
      <c r="N552" s="570"/>
      <c r="V552" s="674"/>
      <c r="W552" s="675"/>
      <c r="AC552" s="675" t="s">
        <v>327</v>
      </c>
      <c r="AD552" s="675"/>
      <c r="AE552" s="675"/>
      <c r="AG552" s="675"/>
      <c r="AH552" s="680"/>
    </row>
    <row r="553" spans="1:34" s="536" customFormat="1" ht="45" x14ac:dyDescent="0.2">
      <c r="A553" s="575" t="s">
        <v>1679</v>
      </c>
      <c r="B553" s="670" t="s">
        <v>1043</v>
      </c>
      <c r="C553" s="1823" t="s">
        <v>1044</v>
      </c>
      <c r="D553" s="1823"/>
      <c r="E553" s="1823"/>
      <c r="F553" s="573" t="s">
        <v>641</v>
      </c>
      <c r="G553" s="573"/>
      <c r="H553" s="573"/>
      <c r="I553" s="573" t="s">
        <v>6859</v>
      </c>
      <c r="J553" s="572">
        <v>168.78</v>
      </c>
      <c r="K553" s="573"/>
      <c r="L553" s="572">
        <v>35275.019999999997</v>
      </c>
      <c r="M553" s="571"/>
      <c r="N553" s="570"/>
      <c r="V553" s="674"/>
      <c r="W553" s="675" t="s">
        <v>1044</v>
      </c>
      <c r="AC553" s="675"/>
      <c r="AD553" s="675"/>
      <c r="AE553" s="675"/>
      <c r="AG553" s="675"/>
      <c r="AH553" s="680"/>
    </row>
    <row r="554" spans="1:34" s="536" customFormat="1" ht="12" x14ac:dyDescent="0.2">
      <c r="A554" s="569"/>
      <c r="B554" s="671"/>
      <c r="C554" s="665" t="s">
        <v>717</v>
      </c>
      <c r="D554" s="666"/>
      <c r="E554" s="666"/>
      <c r="F554" s="563"/>
      <c r="G554" s="563"/>
      <c r="H554" s="563"/>
      <c r="I554" s="563"/>
      <c r="J554" s="566"/>
      <c r="K554" s="563"/>
      <c r="L554" s="566"/>
      <c r="M554" s="565"/>
      <c r="N554" s="564"/>
      <c r="V554" s="674"/>
      <c r="W554" s="675"/>
      <c r="AC554" s="675"/>
      <c r="AD554" s="675"/>
      <c r="AE554" s="675"/>
      <c r="AG554" s="675"/>
      <c r="AH554" s="680"/>
    </row>
    <row r="555" spans="1:34" s="536" customFormat="1" ht="12" x14ac:dyDescent="0.2">
      <c r="A555" s="676"/>
      <c r="B555" s="664"/>
      <c r="C555" s="1822" t="s">
        <v>6860</v>
      </c>
      <c r="D555" s="1822"/>
      <c r="E555" s="1822"/>
      <c r="F555" s="1822"/>
      <c r="G555" s="1822"/>
      <c r="H555" s="1822"/>
      <c r="I555" s="1822"/>
      <c r="J555" s="1822"/>
      <c r="K555" s="1822"/>
      <c r="L555" s="1822"/>
      <c r="M555" s="1822"/>
      <c r="N555" s="1827"/>
      <c r="V555" s="674"/>
      <c r="W555" s="675"/>
      <c r="X555" s="537" t="s">
        <v>6860</v>
      </c>
      <c r="AC555" s="675"/>
      <c r="AD555" s="675"/>
      <c r="AE555" s="675"/>
      <c r="AG555" s="675"/>
      <c r="AH555" s="680"/>
    </row>
    <row r="556" spans="1:34" s="536" customFormat="1" ht="67.5" x14ac:dyDescent="0.2">
      <c r="A556" s="575" t="s">
        <v>786</v>
      </c>
      <c r="B556" s="670" t="s">
        <v>1045</v>
      </c>
      <c r="C556" s="1823" t="s">
        <v>4150</v>
      </c>
      <c r="D556" s="1823"/>
      <c r="E556" s="1823"/>
      <c r="F556" s="573" t="s">
        <v>1034</v>
      </c>
      <c r="G556" s="573"/>
      <c r="H556" s="573"/>
      <c r="I556" s="573" t="s">
        <v>6861</v>
      </c>
      <c r="J556" s="572"/>
      <c r="K556" s="573"/>
      <c r="L556" s="572"/>
      <c r="M556" s="571"/>
      <c r="N556" s="570"/>
      <c r="V556" s="674"/>
      <c r="W556" s="675" t="s">
        <v>4150</v>
      </c>
      <c r="AC556" s="675"/>
      <c r="AD556" s="675"/>
      <c r="AE556" s="675"/>
      <c r="AG556" s="675"/>
      <c r="AH556" s="680"/>
    </row>
    <row r="557" spans="1:34" s="536" customFormat="1" ht="12" x14ac:dyDescent="0.2">
      <c r="A557" s="676"/>
      <c r="B557" s="664"/>
      <c r="C557" s="1822" t="s">
        <v>6862</v>
      </c>
      <c r="D557" s="1822"/>
      <c r="E557" s="1822"/>
      <c r="F557" s="1822"/>
      <c r="G557" s="1822"/>
      <c r="H557" s="1822"/>
      <c r="I557" s="1822"/>
      <c r="J557" s="1822"/>
      <c r="K557" s="1822"/>
      <c r="L557" s="1822"/>
      <c r="M557" s="1822"/>
      <c r="N557" s="1827"/>
      <c r="V557" s="674"/>
      <c r="W557" s="675"/>
      <c r="X557" s="537" t="s">
        <v>6862</v>
      </c>
      <c r="AC557" s="675"/>
      <c r="AD557" s="675"/>
      <c r="AE557" s="675"/>
      <c r="AG557" s="675"/>
      <c r="AH557" s="680"/>
    </row>
    <row r="558" spans="1:34" s="536" customFormat="1" ht="33.75" x14ac:dyDescent="0.2">
      <c r="A558" s="609"/>
      <c r="B558" s="552" t="s">
        <v>310</v>
      </c>
      <c r="C558" s="1822" t="s">
        <v>311</v>
      </c>
      <c r="D558" s="1822"/>
      <c r="E558" s="1822"/>
      <c r="F558" s="1822"/>
      <c r="G558" s="1822"/>
      <c r="H558" s="1822"/>
      <c r="I558" s="1822"/>
      <c r="J558" s="1822"/>
      <c r="K558" s="1822"/>
      <c r="L558" s="1822"/>
      <c r="M558" s="1822"/>
      <c r="N558" s="1827"/>
      <c r="V558" s="674"/>
      <c r="W558" s="675"/>
      <c r="Y558" s="537" t="s">
        <v>311</v>
      </c>
      <c r="AC558" s="675"/>
      <c r="AD558" s="675"/>
      <c r="AE558" s="675"/>
      <c r="AG558" s="675"/>
      <c r="AH558" s="680"/>
    </row>
    <row r="559" spans="1:34" s="536" customFormat="1" ht="12" x14ac:dyDescent="0.2">
      <c r="A559" s="605"/>
      <c r="B559" s="552" t="s">
        <v>185</v>
      </c>
      <c r="C559" s="1822" t="s">
        <v>312</v>
      </c>
      <c r="D559" s="1822"/>
      <c r="E559" s="1822"/>
      <c r="F559" s="562"/>
      <c r="G559" s="562"/>
      <c r="H559" s="562"/>
      <c r="I559" s="562"/>
      <c r="J559" s="604">
        <v>269.61</v>
      </c>
      <c r="K559" s="562" t="s">
        <v>313</v>
      </c>
      <c r="L559" s="604">
        <v>153.68</v>
      </c>
      <c r="M559" s="603"/>
      <c r="N559" s="602"/>
      <c r="V559" s="674"/>
      <c r="W559" s="675"/>
      <c r="Z559" s="537" t="s">
        <v>312</v>
      </c>
      <c r="AC559" s="675"/>
      <c r="AD559" s="675"/>
      <c r="AE559" s="675"/>
      <c r="AG559" s="675"/>
      <c r="AH559" s="680"/>
    </row>
    <row r="560" spans="1:34" s="536" customFormat="1" ht="12" x14ac:dyDescent="0.2">
      <c r="A560" s="605"/>
      <c r="B560" s="552" t="s">
        <v>186</v>
      </c>
      <c r="C560" s="1822" t="s">
        <v>344</v>
      </c>
      <c r="D560" s="1822"/>
      <c r="E560" s="1822"/>
      <c r="F560" s="562"/>
      <c r="G560" s="562"/>
      <c r="H560" s="562"/>
      <c r="I560" s="562"/>
      <c r="J560" s="604">
        <v>7442.38</v>
      </c>
      <c r="K560" s="562" t="s">
        <v>313</v>
      </c>
      <c r="L560" s="604">
        <v>4242.16</v>
      </c>
      <c r="M560" s="603"/>
      <c r="N560" s="602"/>
      <c r="V560" s="674"/>
      <c r="W560" s="675"/>
      <c r="Z560" s="537" t="s">
        <v>344</v>
      </c>
      <c r="AC560" s="675"/>
      <c r="AD560" s="675"/>
      <c r="AE560" s="675"/>
      <c r="AG560" s="675"/>
      <c r="AH560" s="680"/>
    </row>
    <row r="561" spans="1:34" s="536" customFormat="1" ht="12" x14ac:dyDescent="0.2">
      <c r="A561" s="605"/>
      <c r="B561" s="552" t="s">
        <v>187</v>
      </c>
      <c r="C561" s="1822" t="s">
        <v>345</v>
      </c>
      <c r="D561" s="1822"/>
      <c r="E561" s="1822"/>
      <c r="F561" s="562"/>
      <c r="G561" s="562"/>
      <c r="H561" s="562"/>
      <c r="I561" s="562"/>
      <c r="J561" s="604">
        <v>429.14</v>
      </c>
      <c r="K561" s="562" t="s">
        <v>313</v>
      </c>
      <c r="L561" s="604">
        <v>244.61</v>
      </c>
      <c r="M561" s="603"/>
      <c r="N561" s="602"/>
      <c r="V561" s="674"/>
      <c r="W561" s="675"/>
      <c r="Z561" s="537" t="s">
        <v>345</v>
      </c>
      <c r="AC561" s="675"/>
      <c r="AD561" s="675"/>
      <c r="AE561" s="675"/>
      <c r="AG561" s="675"/>
      <c r="AH561" s="680"/>
    </row>
    <row r="562" spans="1:34" s="536" customFormat="1" ht="12" x14ac:dyDescent="0.2">
      <c r="A562" s="605"/>
      <c r="B562" s="552" t="s">
        <v>188</v>
      </c>
      <c r="C562" s="1822" t="s">
        <v>475</v>
      </c>
      <c r="D562" s="1822"/>
      <c r="E562" s="1822"/>
      <c r="F562" s="562"/>
      <c r="G562" s="562"/>
      <c r="H562" s="562"/>
      <c r="I562" s="562"/>
      <c r="J562" s="604">
        <v>22322.55</v>
      </c>
      <c r="K562" s="562"/>
      <c r="L562" s="604">
        <v>10179.08</v>
      </c>
      <c r="M562" s="603"/>
      <c r="N562" s="602"/>
      <c r="V562" s="674"/>
      <c r="W562" s="675"/>
      <c r="Z562" s="537" t="s">
        <v>475</v>
      </c>
      <c r="AC562" s="675"/>
      <c r="AD562" s="675"/>
      <c r="AE562" s="675"/>
      <c r="AG562" s="675"/>
      <c r="AH562" s="680"/>
    </row>
    <row r="563" spans="1:34" s="536" customFormat="1" ht="12" x14ac:dyDescent="0.2">
      <c r="A563" s="605"/>
      <c r="B563" s="552"/>
      <c r="C563" s="1822" t="s">
        <v>314</v>
      </c>
      <c r="D563" s="1822"/>
      <c r="E563" s="1822"/>
      <c r="F563" s="562" t="s">
        <v>315</v>
      </c>
      <c r="G563" s="562" t="s">
        <v>505</v>
      </c>
      <c r="H563" s="562" t="s">
        <v>313</v>
      </c>
      <c r="I563" s="562" t="s">
        <v>4511</v>
      </c>
      <c r="J563" s="604"/>
      <c r="K563" s="562"/>
      <c r="L563" s="604"/>
      <c r="M563" s="603"/>
      <c r="N563" s="602"/>
      <c r="V563" s="674"/>
      <c r="W563" s="675"/>
      <c r="AA563" s="537" t="s">
        <v>314</v>
      </c>
      <c r="AC563" s="675"/>
      <c r="AD563" s="675"/>
      <c r="AE563" s="675"/>
      <c r="AG563" s="675"/>
      <c r="AH563" s="680"/>
    </row>
    <row r="564" spans="1:34" s="536" customFormat="1" ht="12" x14ac:dyDescent="0.2">
      <c r="A564" s="605"/>
      <c r="B564" s="552"/>
      <c r="C564" s="1822" t="s">
        <v>348</v>
      </c>
      <c r="D564" s="1822"/>
      <c r="E564" s="1822"/>
      <c r="F564" s="562" t="s">
        <v>315</v>
      </c>
      <c r="G564" s="562" t="s">
        <v>1047</v>
      </c>
      <c r="H564" s="562" t="s">
        <v>313</v>
      </c>
      <c r="I564" s="562" t="s">
        <v>6863</v>
      </c>
      <c r="J564" s="604"/>
      <c r="K564" s="562"/>
      <c r="L564" s="604"/>
      <c r="M564" s="603"/>
      <c r="N564" s="602"/>
      <c r="V564" s="674"/>
      <c r="W564" s="675"/>
      <c r="AA564" s="537" t="s">
        <v>348</v>
      </c>
      <c r="AC564" s="675"/>
      <c r="AD564" s="675"/>
      <c r="AE564" s="675"/>
      <c r="AG564" s="675"/>
      <c r="AH564" s="680"/>
    </row>
    <row r="565" spans="1:34" s="536" customFormat="1" ht="12" x14ac:dyDescent="0.2">
      <c r="A565" s="605"/>
      <c r="B565" s="552"/>
      <c r="C565" s="1828" t="s">
        <v>318</v>
      </c>
      <c r="D565" s="1828"/>
      <c r="E565" s="1828"/>
      <c r="F565" s="608"/>
      <c r="G565" s="608"/>
      <c r="H565" s="608"/>
      <c r="I565" s="608"/>
      <c r="J565" s="607">
        <v>30034.54</v>
      </c>
      <c r="K565" s="608"/>
      <c r="L565" s="607">
        <v>14574.92</v>
      </c>
      <c r="M565" s="601"/>
      <c r="N565" s="606"/>
      <c r="V565" s="674"/>
      <c r="W565" s="675"/>
      <c r="AB565" s="537" t="s">
        <v>318</v>
      </c>
      <c r="AC565" s="675"/>
      <c r="AD565" s="675"/>
      <c r="AE565" s="675"/>
      <c r="AG565" s="675"/>
      <c r="AH565" s="680"/>
    </row>
    <row r="566" spans="1:34" s="536" customFormat="1" ht="12" x14ac:dyDescent="0.2">
      <c r="A566" s="605"/>
      <c r="B566" s="552"/>
      <c r="C566" s="1822" t="s">
        <v>319</v>
      </c>
      <c r="D566" s="1822"/>
      <c r="E566" s="1822"/>
      <c r="F566" s="562"/>
      <c r="G566" s="562"/>
      <c r="H566" s="562"/>
      <c r="I566" s="562"/>
      <c r="J566" s="604"/>
      <c r="K566" s="562"/>
      <c r="L566" s="604">
        <v>398.29</v>
      </c>
      <c r="M566" s="603"/>
      <c r="N566" s="602"/>
      <c r="V566" s="674"/>
      <c r="W566" s="675"/>
      <c r="AA566" s="537" t="s">
        <v>319</v>
      </c>
      <c r="AC566" s="675"/>
      <c r="AD566" s="675"/>
      <c r="AE566" s="675"/>
      <c r="AG566" s="675"/>
      <c r="AH566" s="680"/>
    </row>
    <row r="567" spans="1:34" s="536" customFormat="1" ht="33.75" x14ac:dyDescent="0.2">
      <c r="A567" s="605"/>
      <c r="B567" s="552" t="s">
        <v>554</v>
      </c>
      <c r="C567" s="1822" t="s">
        <v>555</v>
      </c>
      <c r="D567" s="1822"/>
      <c r="E567" s="1822"/>
      <c r="F567" s="562" t="s">
        <v>322</v>
      </c>
      <c r="G567" s="562" t="s">
        <v>556</v>
      </c>
      <c r="H567" s="562"/>
      <c r="I567" s="562" t="s">
        <v>556</v>
      </c>
      <c r="J567" s="604"/>
      <c r="K567" s="562"/>
      <c r="L567" s="604">
        <v>501.85</v>
      </c>
      <c r="M567" s="603"/>
      <c r="N567" s="602"/>
      <c r="V567" s="674"/>
      <c r="W567" s="675"/>
      <c r="AA567" s="537" t="s">
        <v>555</v>
      </c>
      <c r="AC567" s="675"/>
      <c r="AD567" s="675"/>
      <c r="AE567" s="675"/>
      <c r="AG567" s="675"/>
      <c r="AH567" s="680"/>
    </row>
    <row r="568" spans="1:34" s="536" customFormat="1" ht="33.75" x14ac:dyDescent="0.2">
      <c r="A568" s="605"/>
      <c r="B568" s="552" t="s">
        <v>557</v>
      </c>
      <c r="C568" s="1822" t="s">
        <v>558</v>
      </c>
      <c r="D568" s="1822"/>
      <c r="E568" s="1822"/>
      <c r="F568" s="562" t="s">
        <v>322</v>
      </c>
      <c r="G568" s="562" t="s">
        <v>559</v>
      </c>
      <c r="H568" s="562"/>
      <c r="I568" s="562" t="s">
        <v>559</v>
      </c>
      <c r="J568" s="604"/>
      <c r="K568" s="562"/>
      <c r="L568" s="604">
        <v>378.38</v>
      </c>
      <c r="M568" s="603"/>
      <c r="N568" s="602"/>
      <c r="V568" s="674"/>
      <c r="W568" s="675"/>
      <c r="AA568" s="537" t="s">
        <v>558</v>
      </c>
      <c r="AC568" s="675"/>
      <c r="AD568" s="675"/>
      <c r="AE568" s="675"/>
      <c r="AG568" s="675"/>
      <c r="AH568" s="680"/>
    </row>
    <row r="569" spans="1:34" s="536" customFormat="1" ht="12" x14ac:dyDescent="0.2">
      <c r="A569" s="569"/>
      <c r="B569" s="671"/>
      <c r="C569" s="1823" t="s">
        <v>327</v>
      </c>
      <c r="D569" s="1823"/>
      <c r="E569" s="1823"/>
      <c r="F569" s="573"/>
      <c r="G569" s="573"/>
      <c r="H569" s="573"/>
      <c r="I569" s="573"/>
      <c r="J569" s="572"/>
      <c r="K569" s="573"/>
      <c r="L569" s="572">
        <v>15455.15</v>
      </c>
      <c r="M569" s="601"/>
      <c r="N569" s="570"/>
      <c r="V569" s="674"/>
      <c r="W569" s="675"/>
      <c r="AC569" s="675" t="s">
        <v>327</v>
      </c>
      <c r="AD569" s="675"/>
      <c r="AE569" s="675"/>
      <c r="AG569" s="675"/>
      <c r="AH569" s="680"/>
    </row>
    <row r="570" spans="1:34" s="536" customFormat="1" ht="45" x14ac:dyDescent="0.2">
      <c r="A570" s="575" t="s">
        <v>787</v>
      </c>
      <c r="B570" s="670" t="s">
        <v>1048</v>
      </c>
      <c r="C570" s="1823" t="s">
        <v>4155</v>
      </c>
      <c r="D570" s="1823"/>
      <c r="E570" s="1823"/>
      <c r="F570" s="573" t="s">
        <v>1034</v>
      </c>
      <c r="G570" s="573"/>
      <c r="H570" s="573"/>
      <c r="I570" s="573" t="s">
        <v>6861</v>
      </c>
      <c r="J570" s="572"/>
      <c r="K570" s="573"/>
      <c r="L570" s="572"/>
      <c r="M570" s="571"/>
      <c r="N570" s="570"/>
      <c r="V570" s="674"/>
      <c r="W570" s="675" t="s">
        <v>4155</v>
      </c>
      <c r="AC570" s="675"/>
      <c r="AD570" s="675"/>
      <c r="AE570" s="675"/>
      <c r="AG570" s="675"/>
      <c r="AH570" s="680"/>
    </row>
    <row r="571" spans="1:34" s="536" customFormat="1" ht="12" x14ac:dyDescent="0.2">
      <c r="A571" s="676"/>
      <c r="B571" s="664"/>
      <c r="C571" s="1822" t="s">
        <v>6862</v>
      </c>
      <c r="D571" s="1822"/>
      <c r="E571" s="1822"/>
      <c r="F571" s="1822"/>
      <c r="G571" s="1822"/>
      <c r="H571" s="1822"/>
      <c r="I571" s="1822"/>
      <c r="J571" s="1822"/>
      <c r="K571" s="1822"/>
      <c r="L571" s="1822"/>
      <c r="M571" s="1822"/>
      <c r="N571" s="1827"/>
      <c r="V571" s="674"/>
      <c r="W571" s="675"/>
      <c r="X571" s="537" t="s">
        <v>6862</v>
      </c>
      <c r="AC571" s="675"/>
      <c r="AD571" s="675"/>
      <c r="AE571" s="675"/>
      <c r="AG571" s="675"/>
      <c r="AH571" s="680"/>
    </row>
    <row r="572" spans="1:34" s="536" customFormat="1" ht="12" x14ac:dyDescent="0.2">
      <c r="A572" s="609"/>
      <c r="B572" s="552"/>
      <c r="C572" s="1822" t="s">
        <v>1050</v>
      </c>
      <c r="D572" s="1822"/>
      <c r="E572" s="1822"/>
      <c r="F572" s="1822"/>
      <c r="G572" s="1822"/>
      <c r="H572" s="1822"/>
      <c r="I572" s="1822"/>
      <c r="J572" s="1822"/>
      <c r="K572" s="1822"/>
      <c r="L572" s="1822"/>
      <c r="M572" s="1822"/>
      <c r="N572" s="1827"/>
      <c r="V572" s="674"/>
      <c r="W572" s="675"/>
      <c r="Y572" s="537" t="s">
        <v>1050</v>
      </c>
      <c r="AC572" s="675"/>
      <c r="AD572" s="675"/>
      <c r="AE572" s="675"/>
      <c r="AG572" s="675"/>
      <c r="AH572" s="680"/>
    </row>
    <row r="573" spans="1:34" s="536" customFormat="1" ht="33.75" x14ac:dyDescent="0.2">
      <c r="A573" s="609"/>
      <c r="B573" s="552" t="s">
        <v>310</v>
      </c>
      <c r="C573" s="1822" t="s">
        <v>311</v>
      </c>
      <c r="D573" s="1822"/>
      <c r="E573" s="1822"/>
      <c r="F573" s="1822"/>
      <c r="G573" s="1822"/>
      <c r="H573" s="1822"/>
      <c r="I573" s="1822"/>
      <c r="J573" s="1822"/>
      <c r="K573" s="1822"/>
      <c r="L573" s="1822"/>
      <c r="M573" s="1822"/>
      <c r="N573" s="1827"/>
      <c r="V573" s="674"/>
      <c r="W573" s="675"/>
      <c r="Y573" s="537" t="s">
        <v>311</v>
      </c>
      <c r="AC573" s="675"/>
      <c r="AD573" s="675"/>
      <c r="AE573" s="675"/>
      <c r="AG573" s="675"/>
      <c r="AH573" s="680"/>
    </row>
    <row r="574" spans="1:34" s="536" customFormat="1" ht="12" x14ac:dyDescent="0.2">
      <c r="A574" s="605"/>
      <c r="B574" s="552" t="s">
        <v>186</v>
      </c>
      <c r="C574" s="1822" t="s">
        <v>344</v>
      </c>
      <c r="D574" s="1822"/>
      <c r="E574" s="1822"/>
      <c r="F574" s="562"/>
      <c r="G574" s="562"/>
      <c r="H574" s="562"/>
      <c r="I574" s="562"/>
      <c r="J574" s="604">
        <v>468.89</v>
      </c>
      <c r="K574" s="562" t="s">
        <v>1051</v>
      </c>
      <c r="L574" s="604">
        <v>801.8</v>
      </c>
      <c r="M574" s="603"/>
      <c r="N574" s="602"/>
      <c r="V574" s="674"/>
      <c r="W574" s="675"/>
      <c r="Z574" s="537" t="s">
        <v>344</v>
      </c>
      <c r="AC574" s="675"/>
      <c r="AD574" s="675"/>
      <c r="AE574" s="675"/>
      <c r="AG574" s="675"/>
      <c r="AH574" s="680"/>
    </row>
    <row r="575" spans="1:34" s="536" customFormat="1" ht="12" x14ac:dyDescent="0.2">
      <c r="A575" s="605"/>
      <c r="B575" s="552" t="s">
        <v>187</v>
      </c>
      <c r="C575" s="1822" t="s">
        <v>345</v>
      </c>
      <c r="D575" s="1822"/>
      <c r="E575" s="1822"/>
      <c r="F575" s="562"/>
      <c r="G575" s="562"/>
      <c r="H575" s="562"/>
      <c r="I575" s="562"/>
      <c r="J575" s="604">
        <v>27.84</v>
      </c>
      <c r="K575" s="562" t="s">
        <v>1051</v>
      </c>
      <c r="L575" s="604">
        <v>47.61</v>
      </c>
      <c r="M575" s="603"/>
      <c r="N575" s="602"/>
      <c r="V575" s="674"/>
      <c r="W575" s="675"/>
      <c r="Z575" s="537" t="s">
        <v>345</v>
      </c>
      <c r="AC575" s="675"/>
      <c r="AD575" s="675"/>
      <c r="AE575" s="675"/>
      <c r="AG575" s="675"/>
      <c r="AH575" s="680"/>
    </row>
    <row r="576" spans="1:34" s="536" customFormat="1" ht="12" x14ac:dyDescent="0.2">
      <c r="A576" s="605"/>
      <c r="B576" s="552" t="s">
        <v>188</v>
      </c>
      <c r="C576" s="1822" t="s">
        <v>475</v>
      </c>
      <c r="D576" s="1822"/>
      <c r="E576" s="1822"/>
      <c r="F576" s="562"/>
      <c r="G576" s="562"/>
      <c r="H576" s="562"/>
      <c r="I576" s="562"/>
      <c r="J576" s="604">
        <v>1297.8</v>
      </c>
      <c r="K576" s="562" t="s">
        <v>187</v>
      </c>
      <c r="L576" s="604">
        <v>1775.39</v>
      </c>
      <c r="M576" s="603"/>
      <c r="N576" s="602"/>
      <c r="V576" s="674"/>
      <c r="W576" s="675"/>
      <c r="Z576" s="537" t="s">
        <v>475</v>
      </c>
      <c r="AC576" s="675"/>
      <c r="AD576" s="675"/>
      <c r="AE576" s="675"/>
      <c r="AG576" s="675"/>
      <c r="AH576" s="680"/>
    </row>
    <row r="577" spans="1:34" s="536" customFormat="1" ht="12" x14ac:dyDescent="0.2">
      <c r="A577" s="605"/>
      <c r="B577" s="552"/>
      <c r="C577" s="1822" t="s">
        <v>348</v>
      </c>
      <c r="D577" s="1822"/>
      <c r="E577" s="1822"/>
      <c r="F577" s="562" t="s">
        <v>315</v>
      </c>
      <c r="G577" s="562" t="s">
        <v>1052</v>
      </c>
      <c r="H577" s="562" t="s">
        <v>1051</v>
      </c>
      <c r="I577" s="562" t="s">
        <v>6864</v>
      </c>
      <c r="J577" s="604"/>
      <c r="K577" s="562"/>
      <c r="L577" s="604"/>
      <c r="M577" s="603"/>
      <c r="N577" s="602"/>
      <c r="V577" s="674"/>
      <c r="W577" s="675"/>
      <c r="AA577" s="537" t="s">
        <v>348</v>
      </c>
      <c r="AC577" s="675"/>
      <c r="AD577" s="675"/>
      <c r="AE577" s="675"/>
      <c r="AG577" s="675"/>
      <c r="AH577" s="680"/>
    </row>
    <row r="578" spans="1:34" s="536" customFormat="1" ht="12" x14ac:dyDescent="0.2">
      <c r="A578" s="605"/>
      <c r="B578" s="552"/>
      <c r="C578" s="1828" t="s">
        <v>318</v>
      </c>
      <c r="D578" s="1828"/>
      <c r="E578" s="1828"/>
      <c r="F578" s="608"/>
      <c r="G578" s="608"/>
      <c r="H578" s="608"/>
      <c r="I578" s="608"/>
      <c r="J578" s="607">
        <v>1766.69</v>
      </c>
      <c r="K578" s="608"/>
      <c r="L578" s="607">
        <v>2577.19</v>
      </c>
      <c r="M578" s="601"/>
      <c r="N578" s="606"/>
      <c r="V578" s="674"/>
      <c r="W578" s="675"/>
      <c r="AB578" s="537" t="s">
        <v>318</v>
      </c>
      <c r="AC578" s="675"/>
      <c r="AD578" s="675"/>
      <c r="AE578" s="675"/>
      <c r="AG578" s="675"/>
      <c r="AH578" s="680"/>
    </row>
    <row r="579" spans="1:34" s="536" customFormat="1" ht="12" x14ac:dyDescent="0.2">
      <c r="A579" s="605"/>
      <c r="B579" s="552"/>
      <c r="C579" s="1822" t="s">
        <v>319</v>
      </c>
      <c r="D579" s="1822"/>
      <c r="E579" s="1822"/>
      <c r="F579" s="562"/>
      <c r="G579" s="562"/>
      <c r="H579" s="562"/>
      <c r="I579" s="562"/>
      <c r="J579" s="604"/>
      <c r="K579" s="562"/>
      <c r="L579" s="604">
        <v>47.61</v>
      </c>
      <c r="M579" s="603"/>
      <c r="N579" s="602"/>
      <c r="V579" s="674"/>
      <c r="W579" s="675"/>
      <c r="AA579" s="537" t="s">
        <v>319</v>
      </c>
      <c r="AC579" s="675"/>
      <c r="AD579" s="675"/>
      <c r="AE579" s="675"/>
      <c r="AG579" s="675"/>
      <c r="AH579" s="680"/>
    </row>
    <row r="580" spans="1:34" s="536" customFormat="1" ht="33.75" x14ac:dyDescent="0.2">
      <c r="A580" s="605"/>
      <c r="B580" s="552" t="s">
        <v>554</v>
      </c>
      <c r="C580" s="1822" t="s">
        <v>555</v>
      </c>
      <c r="D580" s="1822"/>
      <c r="E580" s="1822"/>
      <c r="F580" s="562" t="s">
        <v>322</v>
      </c>
      <c r="G580" s="562" t="s">
        <v>556</v>
      </c>
      <c r="H580" s="562"/>
      <c r="I580" s="562" t="s">
        <v>556</v>
      </c>
      <c r="J580" s="604"/>
      <c r="K580" s="562"/>
      <c r="L580" s="604">
        <v>59.99</v>
      </c>
      <c r="M580" s="603"/>
      <c r="N580" s="602"/>
      <c r="V580" s="674"/>
      <c r="W580" s="675"/>
      <c r="AA580" s="537" t="s">
        <v>555</v>
      </c>
      <c r="AC580" s="675"/>
      <c r="AD580" s="675"/>
      <c r="AE580" s="675"/>
      <c r="AG580" s="675"/>
      <c r="AH580" s="680"/>
    </row>
    <row r="581" spans="1:34" s="536" customFormat="1" ht="33.75" x14ac:dyDescent="0.2">
      <c r="A581" s="605"/>
      <c r="B581" s="552" t="s">
        <v>557</v>
      </c>
      <c r="C581" s="1822" t="s">
        <v>558</v>
      </c>
      <c r="D581" s="1822"/>
      <c r="E581" s="1822"/>
      <c r="F581" s="562" t="s">
        <v>322</v>
      </c>
      <c r="G581" s="562" t="s">
        <v>559</v>
      </c>
      <c r="H581" s="562"/>
      <c r="I581" s="562" t="s">
        <v>559</v>
      </c>
      <c r="J581" s="604"/>
      <c r="K581" s="562"/>
      <c r="L581" s="604">
        <v>45.23</v>
      </c>
      <c r="M581" s="603"/>
      <c r="N581" s="602"/>
      <c r="V581" s="674"/>
      <c r="W581" s="675"/>
      <c r="AA581" s="537" t="s">
        <v>558</v>
      </c>
      <c r="AC581" s="675"/>
      <c r="AD581" s="675"/>
      <c r="AE581" s="675"/>
      <c r="AG581" s="675"/>
      <c r="AH581" s="680"/>
    </row>
    <row r="582" spans="1:34" s="536" customFormat="1" ht="12" x14ac:dyDescent="0.2">
      <c r="A582" s="569"/>
      <c r="B582" s="671"/>
      <c r="C582" s="1823" t="s">
        <v>327</v>
      </c>
      <c r="D582" s="1823"/>
      <c r="E582" s="1823"/>
      <c r="F582" s="573"/>
      <c r="G582" s="573"/>
      <c r="H582" s="573"/>
      <c r="I582" s="573"/>
      <c r="J582" s="572"/>
      <c r="K582" s="573"/>
      <c r="L582" s="572">
        <v>2682.41</v>
      </c>
      <c r="M582" s="601"/>
      <c r="N582" s="570"/>
      <c r="V582" s="674"/>
      <c r="W582" s="675"/>
      <c r="AC582" s="675" t="s">
        <v>327</v>
      </c>
      <c r="AD582" s="675"/>
      <c r="AE582" s="675"/>
      <c r="AG582" s="675"/>
      <c r="AH582" s="680"/>
    </row>
    <row r="583" spans="1:34" s="536" customFormat="1" ht="12" x14ac:dyDescent="0.2">
      <c r="A583" s="575" t="s">
        <v>624</v>
      </c>
      <c r="B583" s="670" t="s">
        <v>1053</v>
      </c>
      <c r="C583" s="1823" t="s">
        <v>1054</v>
      </c>
      <c r="D583" s="1823"/>
      <c r="E583" s="1823"/>
      <c r="F583" s="573" t="s">
        <v>694</v>
      </c>
      <c r="G583" s="573"/>
      <c r="H583" s="573"/>
      <c r="I583" s="573" t="s">
        <v>6865</v>
      </c>
      <c r="J583" s="572"/>
      <c r="K583" s="573"/>
      <c r="L583" s="572"/>
      <c r="M583" s="571"/>
      <c r="N583" s="570"/>
      <c r="V583" s="674"/>
      <c r="W583" s="675" t="s">
        <v>1054</v>
      </c>
      <c r="AC583" s="675"/>
      <c r="AD583" s="675"/>
      <c r="AE583" s="675"/>
      <c r="AG583" s="675"/>
      <c r="AH583" s="680"/>
    </row>
    <row r="584" spans="1:34" s="536" customFormat="1" ht="33.75" x14ac:dyDescent="0.2">
      <c r="A584" s="609"/>
      <c r="B584" s="552" t="s">
        <v>310</v>
      </c>
      <c r="C584" s="1822" t="s">
        <v>311</v>
      </c>
      <c r="D584" s="1822"/>
      <c r="E584" s="1822"/>
      <c r="F584" s="1822"/>
      <c r="G584" s="1822"/>
      <c r="H584" s="1822"/>
      <c r="I584" s="1822"/>
      <c r="J584" s="1822"/>
      <c r="K584" s="1822"/>
      <c r="L584" s="1822"/>
      <c r="M584" s="1822"/>
      <c r="N584" s="1827"/>
      <c r="V584" s="674"/>
      <c r="W584" s="675"/>
      <c r="Y584" s="537" t="s">
        <v>311</v>
      </c>
      <c r="AC584" s="675"/>
      <c r="AD584" s="675"/>
      <c r="AE584" s="675"/>
      <c r="AG584" s="675"/>
      <c r="AH584" s="680"/>
    </row>
    <row r="585" spans="1:34" s="536" customFormat="1" ht="12" x14ac:dyDescent="0.2">
      <c r="A585" s="605"/>
      <c r="B585" s="552" t="s">
        <v>186</v>
      </c>
      <c r="C585" s="1822" t="s">
        <v>344</v>
      </c>
      <c r="D585" s="1822"/>
      <c r="E585" s="1822"/>
      <c r="F585" s="562"/>
      <c r="G585" s="562"/>
      <c r="H585" s="562"/>
      <c r="I585" s="562"/>
      <c r="J585" s="604">
        <v>39.1</v>
      </c>
      <c r="K585" s="562" t="s">
        <v>313</v>
      </c>
      <c r="L585" s="604">
        <v>14.17</v>
      </c>
      <c r="M585" s="603"/>
      <c r="N585" s="602"/>
      <c r="V585" s="674"/>
      <c r="W585" s="675"/>
      <c r="Z585" s="537" t="s">
        <v>344</v>
      </c>
      <c r="AC585" s="675"/>
      <c r="AD585" s="675"/>
      <c r="AE585" s="675"/>
      <c r="AG585" s="675"/>
      <c r="AH585" s="680"/>
    </row>
    <row r="586" spans="1:34" s="536" customFormat="1" ht="12" x14ac:dyDescent="0.2">
      <c r="A586" s="605"/>
      <c r="B586" s="552" t="s">
        <v>187</v>
      </c>
      <c r="C586" s="1822" t="s">
        <v>345</v>
      </c>
      <c r="D586" s="1822"/>
      <c r="E586" s="1822"/>
      <c r="F586" s="562"/>
      <c r="G586" s="562"/>
      <c r="H586" s="562"/>
      <c r="I586" s="562"/>
      <c r="J586" s="604">
        <v>7.15</v>
      </c>
      <c r="K586" s="562" t="s">
        <v>313</v>
      </c>
      <c r="L586" s="604">
        <v>2.59</v>
      </c>
      <c r="M586" s="603"/>
      <c r="N586" s="602"/>
      <c r="V586" s="674"/>
      <c r="W586" s="675"/>
      <c r="Z586" s="537" t="s">
        <v>345</v>
      </c>
      <c r="AC586" s="675"/>
      <c r="AD586" s="675"/>
      <c r="AE586" s="675"/>
      <c r="AG586" s="675"/>
      <c r="AH586" s="680"/>
    </row>
    <row r="587" spans="1:34" s="536" customFormat="1" ht="12" x14ac:dyDescent="0.2">
      <c r="A587" s="676"/>
      <c r="B587" s="677" t="s">
        <v>1055</v>
      </c>
      <c r="C587" s="1829" t="s">
        <v>1056</v>
      </c>
      <c r="D587" s="1829"/>
      <c r="E587" s="1829"/>
      <c r="F587" s="678" t="s">
        <v>694</v>
      </c>
      <c r="G587" s="678" t="s">
        <v>702</v>
      </c>
      <c r="H587" s="678"/>
      <c r="I587" s="678" t="s">
        <v>6866</v>
      </c>
      <c r="J587" s="552"/>
      <c r="K587" s="562"/>
      <c r="L587" s="604"/>
      <c r="M587" s="562"/>
      <c r="N587" s="679"/>
      <c r="V587" s="674"/>
      <c r="W587" s="675"/>
      <c r="AC587" s="675"/>
      <c r="AD587" s="675"/>
      <c r="AE587" s="675"/>
      <c r="AG587" s="675"/>
      <c r="AH587" s="680" t="s">
        <v>1056</v>
      </c>
    </row>
    <row r="588" spans="1:34" s="536" customFormat="1" ht="12" x14ac:dyDescent="0.2">
      <c r="A588" s="605"/>
      <c r="B588" s="552"/>
      <c r="C588" s="1822" t="s">
        <v>348</v>
      </c>
      <c r="D588" s="1822"/>
      <c r="E588" s="1822"/>
      <c r="F588" s="562" t="s">
        <v>315</v>
      </c>
      <c r="G588" s="562" t="s">
        <v>1057</v>
      </c>
      <c r="H588" s="562" t="s">
        <v>313</v>
      </c>
      <c r="I588" s="562" t="s">
        <v>6867</v>
      </c>
      <c r="J588" s="604"/>
      <c r="K588" s="562"/>
      <c r="L588" s="604"/>
      <c r="M588" s="603"/>
      <c r="N588" s="602"/>
      <c r="V588" s="674"/>
      <c r="W588" s="675"/>
      <c r="AA588" s="537" t="s">
        <v>348</v>
      </c>
      <c r="AC588" s="675"/>
      <c r="AD588" s="675"/>
      <c r="AE588" s="675"/>
      <c r="AG588" s="675"/>
      <c r="AH588" s="680"/>
    </row>
    <row r="589" spans="1:34" s="536" customFormat="1" ht="12" x14ac:dyDescent="0.2">
      <c r="A589" s="605"/>
      <c r="B589" s="552"/>
      <c r="C589" s="1828" t="s">
        <v>318</v>
      </c>
      <c r="D589" s="1828"/>
      <c r="E589" s="1828"/>
      <c r="F589" s="608"/>
      <c r="G589" s="608"/>
      <c r="H589" s="608"/>
      <c r="I589" s="608"/>
      <c r="J589" s="607">
        <v>39.1</v>
      </c>
      <c r="K589" s="608"/>
      <c r="L589" s="607">
        <v>14.17</v>
      </c>
      <c r="M589" s="601"/>
      <c r="N589" s="606"/>
      <c r="V589" s="674"/>
      <c r="W589" s="675"/>
      <c r="AB589" s="537" t="s">
        <v>318</v>
      </c>
      <c r="AC589" s="675"/>
      <c r="AD589" s="675"/>
      <c r="AE589" s="675"/>
      <c r="AG589" s="675"/>
      <c r="AH589" s="680"/>
    </row>
    <row r="590" spans="1:34" s="536" customFormat="1" ht="12" x14ac:dyDescent="0.2">
      <c r="A590" s="605"/>
      <c r="B590" s="552"/>
      <c r="C590" s="1822" t="s">
        <v>319</v>
      </c>
      <c r="D590" s="1822"/>
      <c r="E590" s="1822"/>
      <c r="F590" s="562"/>
      <c r="G590" s="562"/>
      <c r="H590" s="562"/>
      <c r="I590" s="562"/>
      <c r="J590" s="604"/>
      <c r="K590" s="562"/>
      <c r="L590" s="604">
        <v>2.59</v>
      </c>
      <c r="M590" s="603"/>
      <c r="N590" s="602"/>
      <c r="V590" s="674"/>
      <c r="W590" s="675"/>
      <c r="AA590" s="537" t="s">
        <v>319</v>
      </c>
      <c r="AC590" s="675"/>
      <c r="AD590" s="675"/>
      <c r="AE590" s="675"/>
      <c r="AG590" s="675"/>
      <c r="AH590" s="680"/>
    </row>
    <row r="591" spans="1:34" s="536" customFormat="1" ht="33.75" x14ac:dyDescent="0.2">
      <c r="A591" s="605"/>
      <c r="B591" s="552" t="s">
        <v>554</v>
      </c>
      <c r="C591" s="1822" t="s">
        <v>555</v>
      </c>
      <c r="D591" s="1822"/>
      <c r="E591" s="1822"/>
      <c r="F591" s="562" t="s">
        <v>322</v>
      </c>
      <c r="G591" s="562" t="s">
        <v>556</v>
      </c>
      <c r="H591" s="562"/>
      <c r="I591" s="562" t="s">
        <v>556</v>
      </c>
      <c r="J591" s="604"/>
      <c r="K591" s="562"/>
      <c r="L591" s="604">
        <v>3.26</v>
      </c>
      <c r="M591" s="603"/>
      <c r="N591" s="602"/>
      <c r="V591" s="674"/>
      <c r="W591" s="675"/>
      <c r="AA591" s="537" t="s">
        <v>555</v>
      </c>
      <c r="AC591" s="675"/>
      <c r="AD591" s="675"/>
      <c r="AE591" s="675"/>
      <c r="AG591" s="675"/>
      <c r="AH591" s="680"/>
    </row>
    <row r="592" spans="1:34" s="536" customFormat="1" ht="33.75" x14ac:dyDescent="0.2">
      <c r="A592" s="605"/>
      <c r="B592" s="552" t="s">
        <v>557</v>
      </c>
      <c r="C592" s="1822" t="s">
        <v>558</v>
      </c>
      <c r="D592" s="1822"/>
      <c r="E592" s="1822"/>
      <c r="F592" s="562" t="s">
        <v>322</v>
      </c>
      <c r="G592" s="562" t="s">
        <v>559</v>
      </c>
      <c r="H592" s="562"/>
      <c r="I592" s="562" t="s">
        <v>559</v>
      </c>
      <c r="J592" s="604"/>
      <c r="K592" s="562"/>
      <c r="L592" s="604">
        <v>2.46</v>
      </c>
      <c r="M592" s="603"/>
      <c r="N592" s="602"/>
      <c r="V592" s="674"/>
      <c r="W592" s="675"/>
      <c r="AA592" s="537" t="s">
        <v>558</v>
      </c>
      <c r="AC592" s="675"/>
      <c r="AD592" s="675"/>
      <c r="AE592" s="675"/>
      <c r="AG592" s="675"/>
      <c r="AH592" s="680"/>
    </row>
    <row r="593" spans="1:34" s="536" customFormat="1" ht="12" x14ac:dyDescent="0.2">
      <c r="A593" s="569"/>
      <c r="B593" s="671"/>
      <c r="C593" s="1823" t="s">
        <v>327</v>
      </c>
      <c r="D593" s="1823"/>
      <c r="E593" s="1823"/>
      <c r="F593" s="573"/>
      <c r="G593" s="573"/>
      <c r="H593" s="573"/>
      <c r="I593" s="573"/>
      <c r="J593" s="572"/>
      <c r="K593" s="573"/>
      <c r="L593" s="572">
        <v>19.89</v>
      </c>
      <c r="M593" s="601"/>
      <c r="N593" s="570"/>
      <c r="V593" s="674"/>
      <c r="W593" s="675"/>
      <c r="AC593" s="675" t="s">
        <v>327</v>
      </c>
      <c r="AD593" s="675"/>
      <c r="AE593" s="675"/>
      <c r="AG593" s="675"/>
      <c r="AH593" s="680"/>
    </row>
    <row r="594" spans="1:34" s="536" customFormat="1" ht="12" x14ac:dyDescent="0.2">
      <c r="A594" s="575" t="s">
        <v>1784</v>
      </c>
      <c r="B594" s="670" t="s">
        <v>1059</v>
      </c>
      <c r="C594" s="1823" t="s">
        <v>1060</v>
      </c>
      <c r="D594" s="1823"/>
      <c r="E594" s="1823"/>
      <c r="F594" s="573" t="s">
        <v>694</v>
      </c>
      <c r="G594" s="573"/>
      <c r="H594" s="573"/>
      <c r="I594" s="573" t="s">
        <v>6866</v>
      </c>
      <c r="J594" s="572">
        <v>2723.2</v>
      </c>
      <c r="K594" s="573"/>
      <c r="L594" s="572">
        <v>813.42</v>
      </c>
      <c r="M594" s="571"/>
      <c r="N594" s="570"/>
      <c r="V594" s="674"/>
      <c r="W594" s="675" t="s">
        <v>1060</v>
      </c>
      <c r="AC594" s="675"/>
      <c r="AD594" s="675"/>
      <c r="AE594" s="675"/>
      <c r="AG594" s="675"/>
      <c r="AH594" s="680"/>
    </row>
    <row r="595" spans="1:34" s="536" customFormat="1" ht="12" x14ac:dyDescent="0.2">
      <c r="A595" s="569"/>
      <c r="B595" s="671"/>
      <c r="C595" s="665" t="s">
        <v>717</v>
      </c>
      <c r="D595" s="666"/>
      <c r="E595" s="666"/>
      <c r="F595" s="563"/>
      <c r="G595" s="563"/>
      <c r="H595" s="563"/>
      <c r="I595" s="563"/>
      <c r="J595" s="566"/>
      <c r="K595" s="563"/>
      <c r="L595" s="566"/>
      <c r="M595" s="565"/>
      <c r="N595" s="564"/>
      <c r="V595" s="674"/>
      <c r="W595" s="675"/>
      <c r="AC595" s="675"/>
      <c r="AD595" s="675"/>
      <c r="AE595" s="675"/>
      <c r="AG595" s="675"/>
      <c r="AH595" s="680"/>
    </row>
    <row r="596" spans="1:34" s="536" customFormat="1" ht="45" x14ac:dyDescent="0.2">
      <c r="A596" s="575" t="s">
        <v>789</v>
      </c>
      <c r="B596" s="670" t="s">
        <v>1061</v>
      </c>
      <c r="C596" s="1823" t="s">
        <v>1062</v>
      </c>
      <c r="D596" s="1823"/>
      <c r="E596" s="1823"/>
      <c r="F596" s="573" t="s">
        <v>1034</v>
      </c>
      <c r="G596" s="573"/>
      <c r="H596" s="573"/>
      <c r="I596" s="573" t="s">
        <v>6868</v>
      </c>
      <c r="J596" s="572"/>
      <c r="K596" s="573"/>
      <c r="L596" s="572"/>
      <c r="M596" s="571"/>
      <c r="N596" s="570"/>
      <c r="V596" s="674"/>
      <c r="W596" s="675" t="s">
        <v>1062</v>
      </c>
      <c r="AC596" s="675"/>
      <c r="AD596" s="675"/>
      <c r="AE596" s="675"/>
      <c r="AG596" s="675"/>
      <c r="AH596" s="680"/>
    </row>
    <row r="597" spans="1:34" s="536" customFormat="1" ht="12" x14ac:dyDescent="0.2">
      <c r="A597" s="676"/>
      <c r="B597" s="664"/>
      <c r="C597" s="1822" t="s">
        <v>6869</v>
      </c>
      <c r="D597" s="1822"/>
      <c r="E597" s="1822"/>
      <c r="F597" s="1822"/>
      <c r="G597" s="1822"/>
      <c r="H597" s="1822"/>
      <c r="I597" s="1822"/>
      <c r="J597" s="1822"/>
      <c r="K597" s="1822"/>
      <c r="L597" s="1822"/>
      <c r="M597" s="1822"/>
      <c r="N597" s="1827"/>
      <c r="V597" s="674"/>
      <c r="W597" s="675"/>
      <c r="X597" s="537" t="s">
        <v>6869</v>
      </c>
      <c r="AC597" s="675"/>
      <c r="AD597" s="675"/>
      <c r="AE597" s="675"/>
      <c r="AG597" s="675"/>
      <c r="AH597" s="680"/>
    </row>
    <row r="598" spans="1:34" s="536" customFormat="1" ht="33.75" x14ac:dyDescent="0.2">
      <c r="A598" s="609"/>
      <c r="B598" s="552" t="s">
        <v>310</v>
      </c>
      <c r="C598" s="1822" t="s">
        <v>311</v>
      </c>
      <c r="D598" s="1822"/>
      <c r="E598" s="1822"/>
      <c r="F598" s="1822"/>
      <c r="G598" s="1822"/>
      <c r="H598" s="1822"/>
      <c r="I598" s="1822"/>
      <c r="J598" s="1822"/>
      <c r="K598" s="1822"/>
      <c r="L598" s="1822"/>
      <c r="M598" s="1822"/>
      <c r="N598" s="1827"/>
      <c r="V598" s="674"/>
      <c r="W598" s="675"/>
      <c r="Y598" s="537" t="s">
        <v>311</v>
      </c>
      <c r="AC598" s="675"/>
      <c r="AD598" s="675"/>
      <c r="AE598" s="675"/>
      <c r="AG598" s="675"/>
      <c r="AH598" s="680"/>
    </row>
    <row r="599" spans="1:34" s="536" customFormat="1" ht="12" x14ac:dyDescent="0.2">
      <c r="A599" s="605"/>
      <c r="B599" s="552" t="s">
        <v>185</v>
      </c>
      <c r="C599" s="1822" t="s">
        <v>312</v>
      </c>
      <c r="D599" s="1822"/>
      <c r="E599" s="1822"/>
      <c r="F599" s="562"/>
      <c r="G599" s="562"/>
      <c r="H599" s="562"/>
      <c r="I599" s="562"/>
      <c r="J599" s="604">
        <v>182.32</v>
      </c>
      <c r="K599" s="562" t="s">
        <v>313</v>
      </c>
      <c r="L599" s="604">
        <v>94.58</v>
      </c>
      <c r="M599" s="603"/>
      <c r="N599" s="602"/>
      <c r="V599" s="674"/>
      <c r="W599" s="675"/>
      <c r="Z599" s="537" t="s">
        <v>312</v>
      </c>
      <c r="AC599" s="675"/>
      <c r="AD599" s="675"/>
      <c r="AE599" s="675"/>
      <c r="AG599" s="675"/>
      <c r="AH599" s="680"/>
    </row>
    <row r="600" spans="1:34" s="536" customFormat="1" ht="12" x14ac:dyDescent="0.2">
      <c r="A600" s="605"/>
      <c r="B600" s="552" t="s">
        <v>186</v>
      </c>
      <c r="C600" s="1822" t="s">
        <v>344</v>
      </c>
      <c r="D600" s="1822"/>
      <c r="E600" s="1822"/>
      <c r="F600" s="562"/>
      <c r="G600" s="562"/>
      <c r="H600" s="562"/>
      <c r="I600" s="562"/>
      <c r="J600" s="604">
        <v>7479.03</v>
      </c>
      <c r="K600" s="562" t="s">
        <v>313</v>
      </c>
      <c r="L600" s="604">
        <v>3879.75</v>
      </c>
      <c r="M600" s="603"/>
      <c r="N600" s="602"/>
      <c r="V600" s="674"/>
      <c r="W600" s="675"/>
      <c r="Z600" s="537" t="s">
        <v>344</v>
      </c>
      <c r="AC600" s="675"/>
      <c r="AD600" s="675"/>
      <c r="AE600" s="675"/>
      <c r="AG600" s="675"/>
      <c r="AH600" s="680"/>
    </row>
    <row r="601" spans="1:34" s="536" customFormat="1" ht="12" x14ac:dyDescent="0.2">
      <c r="A601" s="605"/>
      <c r="B601" s="552" t="s">
        <v>187</v>
      </c>
      <c r="C601" s="1822" t="s">
        <v>345</v>
      </c>
      <c r="D601" s="1822"/>
      <c r="E601" s="1822"/>
      <c r="F601" s="562"/>
      <c r="G601" s="562"/>
      <c r="H601" s="562"/>
      <c r="I601" s="562"/>
      <c r="J601" s="604">
        <v>234.46</v>
      </c>
      <c r="K601" s="562" t="s">
        <v>313</v>
      </c>
      <c r="L601" s="604">
        <v>121.63</v>
      </c>
      <c r="M601" s="603"/>
      <c r="N601" s="602"/>
      <c r="V601" s="674"/>
      <c r="W601" s="675"/>
      <c r="Z601" s="537" t="s">
        <v>345</v>
      </c>
      <c r="AC601" s="675"/>
      <c r="AD601" s="675"/>
      <c r="AE601" s="675"/>
      <c r="AG601" s="675"/>
      <c r="AH601" s="680"/>
    </row>
    <row r="602" spans="1:34" s="536" customFormat="1" ht="12" x14ac:dyDescent="0.2">
      <c r="A602" s="605"/>
      <c r="B602" s="552" t="s">
        <v>188</v>
      </c>
      <c r="C602" s="1822" t="s">
        <v>475</v>
      </c>
      <c r="D602" s="1822"/>
      <c r="E602" s="1822"/>
      <c r="F602" s="562"/>
      <c r="G602" s="562"/>
      <c r="H602" s="562"/>
      <c r="I602" s="562"/>
      <c r="J602" s="604">
        <v>874.78</v>
      </c>
      <c r="K602" s="562"/>
      <c r="L602" s="604">
        <v>363.03</v>
      </c>
      <c r="M602" s="603"/>
      <c r="N602" s="602"/>
      <c r="V602" s="674"/>
      <c r="W602" s="675"/>
      <c r="Z602" s="537" t="s">
        <v>475</v>
      </c>
      <c r="AC602" s="675"/>
      <c r="AD602" s="675"/>
      <c r="AE602" s="675"/>
      <c r="AG602" s="675"/>
      <c r="AH602" s="680"/>
    </row>
    <row r="603" spans="1:34" s="536" customFormat="1" ht="12" x14ac:dyDescent="0.2">
      <c r="A603" s="676"/>
      <c r="B603" s="677" t="s">
        <v>1063</v>
      </c>
      <c r="C603" s="1829" t="s">
        <v>1064</v>
      </c>
      <c r="D603" s="1829"/>
      <c r="E603" s="1829"/>
      <c r="F603" s="678" t="s">
        <v>694</v>
      </c>
      <c r="G603" s="678" t="s">
        <v>525</v>
      </c>
      <c r="H603" s="678"/>
      <c r="I603" s="678" t="s">
        <v>525</v>
      </c>
      <c r="J603" s="552"/>
      <c r="K603" s="562"/>
      <c r="L603" s="604"/>
      <c r="M603" s="562"/>
      <c r="N603" s="679"/>
      <c r="V603" s="674"/>
      <c r="W603" s="675"/>
      <c r="AC603" s="675"/>
      <c r="AD603" s="675"/>
      <c r="AE603" s="675"/>
      <c r="AG603" s="675"/>
      <c r="AH603" s="680" t="s">
        <v>1064</v>
      </c>
    </row>
    <row r="604" spans="1:34" s="536" customFormat="1" ht="12" x14ac:dyDescent="0.2">
      <c r="A604" s="605"/>
      <c r="B604" s="552"/>
      <c r="C604" s="1822" t="s">
        <v>314</v>
      </c>
      <c r="D604" s="1822"/>
      <c r="E604" s="1822"/>
      <c r="F604" s="562" t="s">
        <v>315</v>
      </c>
      <c r="G604" s="562" t="s">
        <v>1065</v>
      </c>
      <c r="H604" s="562" t="s">
        <v>313</v>
      </c>
      <c r="I604" s="562" t="s">
        <v>6870</v>
      </c>
      <c r="J604" s="604"/>
      <c r="K604" s="562"/>
      <c r="L604" s="604"/>
      <c r="M604" s="603"/>
      <c r="N604" s="602"/>
      <c r="V604" s="674"/>
      <c r="W604" s="675"/>
      <c r="AA604" s="537" t="s">
        <v>314</v>
      </c>
      <c r="AC604" s="675"/>
      <c r="AD604" s="675"/>
      <c r="AE604" s="675"/>
      <c r="AG604" s="675"/>
      <c r="AH604" s="680"/>
    </row>
    <row r="605" spans="1:34" s="536" customFormat="1" ht="12" x14ac:dyDescent="0.2">
      <c r="A605" s="605"/>
      <c r="B605" s="552"/>
      <c r="C605" s="1822" t="s">
        <v>348</v>
      </c>
      <c r="D605" s="1822"/>
      <c r="E605" s="1822"/>
      <c r="F605" s="562" t="s">
        <v>315</v>
      </c>
      <c r="G605" s="562" t="s">
        <v>1066</v>
      </c>
      <c r="H605" s="562" t="s">
        <v>313</v>
      </c>
      <c r="I605" s="562" t="s">
        <v>6871</v>
      </c>
      <c r="J605" s="604"/>
      <c r="K605" s="562"/>
      <c r="L605" s="604"/>
      <c r="M605" s="603"/>
      <c r="N605" s="602"/>
      <c r="V605" s="674"/>
      <c r="W605" s="675"/>
      <c r="AA605" s="537" t="s">
        <v>348</v>
      </c>
      <c r="AC605" s="675"/>
      <c r="AD605" s="675"/>
      <c r="AE605" s="675"/>
      <c r="AG605" s="675"/>
      <c r="AH605" s="680"/>
    </row>
    <row r="606" spans="1:34" s="536" customFormat="1" ht="12" x14ac:dyDescent="0.2">
      <c r="A606" s="605"/>
      <c r="B606" s="552"/>
      <c r="C606" s="1828" t="s">
        <v>318</v>
      </c>
      <c r="D606" s="1828"/>
      <c r="E606" s="1828"/>
      <c r="F606" s="608"/>
      <c r="G606" s="608"/>
      <c r="H606" s="608"/>
      <c r="I606" s="608"/>
      <c r="J606" s="607">
        <v>8536.1299999999992</v>
      </c>
      <c r="K606" s="608"/>
      <c r="L606" s="607">
        <v>4337.3599999999997</v>
      </c>
      <c r="M606" s="601"/>
      <c r="N606" s="606"/>
      <c r="V606" s="674"/>
      <c r="W606" s="675"/>
      <c r="AB606" s="537" t="s">
        <v>318</v>
      </c>
      <c r="AC606" s="675"/>
      <c r="AD606" s="675"/>
      <c r="AE606" s="675"/>
      <c r="AG606" s="675"/>
      <c r="AH606" s="680"/>
    </row>
    <row r="607" spans="1:34" s="536" customFormat="1" ht="12" x14ac:dyDescent="0.2">
      <c r="A607" s="605"/>
      <c r="B607" s="552"/>
      <c r="C607" s="1822" t="s">
        <v>319</v>
      </c>
      <c r="D607" s="1822"/>
      <c r="E607" s="1822"/>
      <c r="F607" s="562"/>
      <c r="G607" s="562"/>
      <c r="H607" s="562"/>
      <c r="I607" s="562"/>
      <c r="J607" s="604"/>
      <c r="K607" s="562"/>
      <c r="L607" s="604">
        <v>216.21</v>
      </c>
      <c r="M607" s="603"/>
      <c r="N607" s="602"/>
      <c r="V607" s="674"/>
      <c r="W607" s="675"/>
      <c r="AA607" s="537" t="s">
        <v>319</v>
      </c>
      <c r="AC607" s="675"/>
      <c r="AD607" s="675"/>
      <c r="AE607" s="675"/>
      <c r="AG607" s="675"/>
      <c r="AH607" s="680"/>
    </row>
    <row r="608" spans="1:34" s="536" customFormat="1" ht="33.75" x14ac:dyDescent="0.2">
      <c r="A608" s="605"/>
      <c r="B608" s="552" t="s">
        <v>554</v>
      </c>
      <c r="C608" s="1822" t="s">
        <v>555</v>
      </c>
      <c r="D608" s="1822"/>
      <c r="E608" s="1822"/>
      <c r="F608" s="562" t="s">
        <v>322</v>
      </c>
      <c r="G608" s="562" t="s">
        <v>556</v>
      </c>
      <c r="H608" s="562"/>
      <c r="I608" s="562" t="s">
        <v>556</v>
      </c>
      <c r="J608" s="604"/>
      <c r="K608" s="562"/>
      <c r="L608" s="604">
        <v>272.42</v>
      </c>
      <c r="M608" s="603"/>
      <c r="N608" s="602"/>
      <c r="V608" s="674"/>
      <c r="W608" s="675"/>
      <c r="AA608" s="537" t="s">
        <v>555</v>
      </c>
      <c r="AC608" s="675"/>
      <c r="AD608" s="675"/>
      <c r="AE608" s="675"/>
      <c r="AG608" s="675"/>
      <c r="AH608" s="680"/>
    </row>
    <row r="609" spans="1:34" s="536" customFormat="1" ht="33.75" x14ac:dyDescent="0.2">
      <c r="A609" s="605"/>
      <c r="B609" s="552" t="s">
        <v>557</v>
      </c>
      <c r="C609" s="1822" t="s">
        <v>558</v>
      </c>
      <c r="D609" s="1822"/>
      <c r="E609" s="1822"/>
      <c r="F609" s="562" t="s">
        <v>322</v>
      </c>
      <c r="G609" s="562" t="s">
        <v>559</v>
      </c>
      <c r="H609" s="562"/>
      <c r="I609" s="562" t="s">
        <v>559</v>
      </c>
      <c r="J609" s="604"/>
      <c r="K609" s="562"/>
      <c r="L609" s="604">
        <v>205.4</v>
      </c>
      <c r="M609" s="603"/>
      <c r="N609" s="602"/>
      <c r="V609" s="674"/>
      <c r="W609" s="675"/>
      <c r="AA609" s="537" t="s">
        <v>558</v>
      </c>
      <c r="AC609" s="675"/>
      <c r="AD609" s="675"/>
      <c r="AE609" s="675"/>
      <c r="AG609" s="675"/>
      <c r="AH609" s="680"/>
    </row>
    <row r="610" spans="1:34" s="536" customFormat="1" ht="12" x14ac:dyDescent="0.2">
      <c r="A610" s="569"/>
      <c r="B610" s="671"/>
      <c r="C610" s="1823" t="s">
        <v>327</v>
      </c>
      <c r="D610" s="1823"/>
      <c r="E610" s="1823"/>
      <c r="F610" s="573"/>
      <c r="G610" s="573"/>
      <c r="H610" s="573"/>
      <c r="I610" s="573"/>
      <c r="J610" s="572"/>
      <c r="K610" s="573"/>
      <c r="L610" s="572">
        <v>4815.18</v>
      </c>
      <c r="M610" s="601"/>
      <c r="N610" s="570"/>
      <c r="V610" s="674"/>
      <c r="W610" s="675"/>
      <c r="AC610" s="675" t="s">
        <v>327</v>
      </c>
      <c r="AD610" s="675"/>
      <c r="AE610" s="675"/>
      <c r="AG610" s="675"/>
      <c r="AH610" s="680"/>
    </row>
    <row r="611" spans="1:34" s="536" customFormat="1" ht="33.75" x14ac:dyDescent="0.2">
      <c r="A611" s="575" t="s">
        <v>2339</v>
      </c>
      <c r="B611" s="670" t="s">
        <v>1068</v>
      </c>
      <c r="C611" s="1823" t="s">
        <v>1069</v>
      </c>
      <c r="D611" s="1823"/>
      <c r="E611" s="1823"/>
      <c r="F611" s="573" t="s">
        <v>1034</v>
      </c>
      <c r="G611" s="573"/>
      <c r="H611" s="573"/>
      <c r="I611" s="573" t="s">
        <v>6868</v>
      </c>
      <c r="J611" s="572"/>
      <c r="K611" s="573"/>
      <c r="L611" s="572"/>
      <c r="M611" s="571"/>
      <c r="N611" s="570"/>
      <c r="V611" s="674"/>
      <c r="W611" s="675" t="s">
        <v>1069</v>
      </c>
      <c r="AC611" s="675"/>
      <c r="AD611" s="675"/>
      <c r="AE611" s="675"/>
      <c r="AG611" s="675"/>
      <c r="AH611" s="680"/>
    </row>
    <row r="612" spans="1:34" s="536" customFormat="1" ht="12" x14ac:dyDescent="0.2">
      <c r="A612" s="676"/>
      <c r="B612" s="664"/>
      <c r="C612" s="1822" t="s">
        <v>6869</v>
      </c>
      <c r="D612" s="1822"/>
      <c r="E612" s="1822"/>
      <c r="F612" s="1822"/>
      <c r="G612" s="1822"/>
      <c r="H612" s="1822"/>
      <c r="I612" s="1822"/>
      <c r="J612" s="1822"/>
      <c r="K612" s="1822"/>
      <c r="L612" s="1822"/>
      <c r="M612" s="1822"/>
      <c r="N612" s="1827"/>
      <c r="V612" s="674"/>
      <c r="W612" s="675"/>
      <c r="X612" s="537" t="s">
        <v>6869</v>
      </c>
      <c r="AC612" s="675"/>
      <c r="AD612" s="675"/>
      <c r="AE612" s="675"/>
      <c r="AG612" s="675"/>
      <c r="AH612" s="680"/>
    </row>
    <row r="613" spans="1:34" s="536" customFormat="1" ht="12" x14ac:dyDescent="0.2">
      <c r="A613" s="609"/>
      <c r="B613" s="552"/>
      <c r="C613" s="1822" t="s">
        <v>1070</v>
      </c>
      <c r="D613" s="1822"/>
      <c r="E613" s="1822"/>
      <c r="F613" s="1822"/>
      <c r="G613" s="1822"/>
      <c r="H613" s="1822"/>
      <c r="I613" s="1822"/>
      <c r="J613" s="1822"/>
      <c r="K613" s="1822"/>
      <c r="L613" s="1822"/>
      <c r="M613" s="1822"/>
      <c r="N613" s="1827"/>
      <c r="V613" s="674"/>
      <c r="W613" s="675"/>
      <c r="Y613" s="537" t="s">
        <v>1070</v>
      </c>
      <c r="AC613" s="675"/>
      <c r="AD613" s="675"/>
      <c r="AE613" s="675"/>
      <c r="AG613" s="675"/>
      <c r="AH613" s="680"/>
    </row>
    <row r="614" spans="1:34" s="536" customFormat="1" ht="33.75" x14ac:dyDescent="0.2">
      <c r="A614" s="609"/>
      <c r="B614" s="552" t="s">
        <v>310</v>
      </c>
      <c r="C614" s="1822" t="s">
        <v>311</v>
      </c>
      <c r="D614" s="1822"/>
      <c r="E614" s="1822"/>
      <c r="F614" s="1822"/>
      <c r="G614" s="1822"/>
      <c r="H614" s="1822"/>
      <c r="I614" s="1822"/>
      <c r="J614" s="1822"/>
      <c r="K614" s="1822"/>
      <c r="L614" s="1822"/>
      <c r="M614" s="1822"/>
      <c r="N614" s="1827"/>
      <c r="V614" s="674"/>
      <c r="W614" s="675"/>
      <c r="Y614" s="537" t="s">
        <v>311</v>
      </c>
      <c r="AC614" s="675"/>
      <c r="AD614" s="675"/>
      <c r="AE614" s="675"/>
      <c r="AG614" s="675"/>
      <c r="AH614" s="680"/>
    </row>
    <row r="615" spans="1:34" s="536" customFormat="1" ht="12" x14ac:dyDescent="0.2">
      <c r="A615" s="605"/>
      <c r="B615" s="552" t="s">
        <v>185</v>
      </c>
      <c r="C615" s="1822" t="s">
        <v>312</v>
      </c>
      <c r="D615" s="1822"/>
      <c r="E615" s="1822"/>
      <c r="F615" s="562"/>
      <c r="G615" s="562"/>
      <c r="H615" s="562"/>
      <c r="I615" s="562"/>
      <c r="J615" s="604">
        <v>3.29</v>
      </c>
      <c r="K615" s="562" t="s">
        <v>1071</v>
      </c>
      <c r="L615" s="604">
        <v>10.24</v>
      </c>
      <c r="M615" s="603"/>
      <c r="N615" s="602"/>
      <c r="V615" s="674"/>
      <c r="W615" s="675"/>
      <c r="Z615" s="537" t="s">
        <v>312</v>
      </c>
      <c r="AC615" s="675"/>
      <c r="AD615" s="675"/>
      <c r="AE615" s="675"/>
      <c r="AG615" s="675"/>
      <c r="AH615" s="680"/>
    </row>
    <row r="616" spans="1:34" s="536" customFormat="1" ht="12" x14ac:dyDescent="0.2">
      <c r="A616" s="605"/>
      <c r="B616" s="552" t="s">
        <v>186</v>
      </c>
      <c r="C616" s="1822" t="s">
        <v>344</v>
      </c>
      <c r="D616" s="1822"/>
      <c r="E616" s="1822"/>
      <c r="F616" s="562"/>
      <c r="G616" s="562"/>
      <c r="H616" s="562"/>
      <c r="I616" s="562"/>
      <c r="J616" s="604">
        <v>254.89</v>
      </c>
      <c r="K616" s="562" t="s">
        <v>1071</v>
      </c>
      <c r="L616" s="604">
        <v>793.35</v>
      </c>
      <c r="M616" s="603"/>
      <c r="N616" s="602"/>
      <c r="V616" s="674"/>
      <c r="W616" s="675"/>
      <c r="Z616" s="537" t="s">
        <v>344</v>
      </c>
      <c r="AC616" s="675"/>
      <c r="AD616" s="675"/>
      <c r="AE616" s="675"/>
      <c r="AG616" s="675"/>
      <c r="AH616" s="680"/>
    </row>
    <row r="617" spans="1:34" s="536" customFormat="1" ht="12" x14ac:dyDescent="0.2">
      <c r="A617" s="605"/>
      <c r="B617" s="552" t="s">
        <v>187</v>
      </c>
      <c r="C617" s="1822" t="s">
        <v>345</v>
      </c>
      <c r="D617" s="1822"/>
      <c r="E617" s="1822"/>
      <c r="F617" s="562"/>
      <c r="G617" s="562"/>
      <c r="H617" s="562"/>
      <c r="I617" s="562"/>
      <c r="J617" s="604">
        <v>5.95</v>
      </c>
      <c r="K617" s="562" t="s">
        <v>1071</v>
      </c>
      <c r="L617" s="604">
        <v>18.52</v>
      </c>
      <c r="M617" s="603"/>
      <c r="N617" s="602"/>
      <c r="V617" s="674"/>
      <c r="W617" s="675"/>
      <c r="Z617" s="537" t="s">
        <v>345</v>
      </c>
      <c r="AC617" s="675"/>
      <c r="AD617" s="675"/>
      <c r="AE617" s="675"/>
      <c r="AG617" s="675"/>
      <c r="AH617" s="680"/>
    </row>
    <row r="618" spans="1:34" s="536" customFormat="1" ht="12" x14ac:dyDescent="0.2">
      <c r="A618" s="605"/>
      <c r="B618" s="552" t="s">
        <v>188</v>
      </c>
      <c r="C618" s="1822" t="s">
        <v>475</v>
      </c>
      <c r="D618" s="1822"/>
      <c r="E618" s="1822"/>
      <c r="F618" s="562"/>
      <c r="G618" s="562"/>
      <c r="H618" s="562"/>
      <c r="I618" s="562"/>
      <c r="J618" s="604">
        <v>2.94</v>
      </c>
      <c r="K618" s="562" t="s">
        <v>190</v>
      </c>
      <c r="L618" s="604">
        <v>7.32</v>
      </c>
      <c r="M618" s="603"/>
      <c r="N618" s="602"/>
      <c r="V618" s="674"/>
      <c r="W618" s="675"/>
      <c r="Z618" s="537" t="s">
        <v>475</v>
      </c>
      <c r="AC618" s="675"/>
      <c r="AD618" s="675"/>
      <c r="AE618" s="675"/>
      <c r="AG618" s="675"/>
      <c r="AH618" s="680"/>
    </row>
    <row r="619" spans="1:34" s="536" customFormat="1" ht="12" x14ac:dyDescent="0.2">
      <c r="A619" s="676"/>
      <c r="B619" s="677" t="s">
        <v>1063</v>
      </c>
      <c r="C619" s="1829" t="s">
        <v>1064</v>
      </c>
      <c r="D619" s="1829"/>
      <c r="E619" s="1829"/>
      <c r="F619" s="678" t="s">
        <v>694</v>
      </c>
      <c r="G619" s="678" t="s">
        <v>525</v>
      </c>
      <c r="H619" s="678" t="s">
        <v>190</v>
      </c>
      <c r="I619" s="678" t="s">
        <v>525</v>
      </c>
      <c r="J619" s="552"/>
      <c r="K619" s="562"/>
      <c r="L619" s="604"/>
      <c r="M619" s="562"/>
      <c r="N619" s="679"/>
      <c r="V619" s="674"/>
      <c r="W619" s="675"/>
      <c r="AC619" s="675"/>
      <c r="AD619" s="675"/>
      <c r="AE619" s="675"/>
      <c r="AG619" s="675"/>
      <c r="AH619" s="680" t="s">
        <v>1064</v>
      </c>
    </row>
    <row r="620" spans="1:34" s="536" customFormat="1" ht="12" x14ac:dyDescent="0.2">
      <c r="A620" s="605"/>
      <c r="B620" s="552"/>
      <c r="C620" s="1822" t="s">
        <v>314</v>
      </c>
      <c r="D620" s="1822"/>
      <c r="E620" s="1822"/>
      <c r="F620" s="562" t="s">
        <v>315</v>
      </c>
      <c r="G620" s="562" t="s">
        <v>691</v>
      </c>
      <c r="H620" s="562" t="s">
        <v>1071</v>
      </c>
      <c r="I620" s="562" t="s">
        <v>6872</v>
      </c>
      <c r="J620" s="604"/>
      <c r="K620" s="562"/>
      <c r="L620" s="604"/>
      <c r="M620" s="603"/>
      <c r="N620" s="602"/>
      <c r="V620" s="674"/>
      <c r="W620" s="675"/>
      <c r="AA620" s="537" t="s">
        <v>314</v>
      </c>
      <c r="AC620" s="675"/>
      <c r="AD620" s="675"/>
      <c r="AE620" s="675"/>
      <c r="AG620" s="675"/>
      <c r="AH620" s="680"/>
    </row>
    <row r="621" spans="1:34" s="536" customFormat="1" ht="12" x14ac:dyDescent="0.2">
      <c r="A621" s="605"/>
      <c r="B621" s="552"/>
      <c r="C621" s="1822" t="s">
        <v>348</v>
      </c>
      <c r="D621" s="1822"/>
      <c r="E621" s="1822"/>
      <c r="F621" s="562" t="s">
        <v>315</v>
      </c>
      <c r="G621" s="562" t="s">
        <v>1072</v>
      </c>
      <c r="H621" s="562" t="s">
        <v>1071</v>
      </c>
      <c r="I621" s="562" t="s">
        <v>6873</v>
      </c>
      <c r="J621" s="604"/>
      <c r="K621" s="562"/>
      <c r="L621" s="604"/>
      <c r="M621" s="603"/>
      <c r="N621" s="602"/>
      <c r="V621" s="674"/>
      <c r="W621" s="675"/>
      <c r="AA621" s="537" t="s">
        <v>348</v>
      </c>
      <c r="AC621" s="675"/>
      <c r="AD621" s="675"/>
      <c r="AE621" s="675"/>
      <c r="AG621" s="675"/>
      <c r="AH621" s="680"/>
    </row>
    <row r="622" spans="1:34" s="536" customFormat="1" ht="12" x14ac:dyDescent="0.2">
      <c r="A622" s="605"/>
      <c r="B622" s="552"/>
      <c r="C622" s="1828" t="s">
        <v>318</v>
      </c>
      <c r="D622" s="1828"/>
      <c r="E622" s="1828"/>
      <c r="F622" s="608"/>
      <c r="G622" s="608"/>
      <c r="H622" s="608"/>
      <c r="I622" s="608"/>
      <c r="J622" s="607">
        <v>261.12</v>
      </c>
      <c r="K622" s="608"/>
      <c r="L622" s="607">
        <v>810.91</v>
      </c>
      <c r="M622" s="601"/>
      <c r="N622" s="606"/>
      <c r="V622" s="674"/>
      <c r="W622" s="675"/>
      <c r="AB622" s="537" t="s">
        <v>318</v>
      </c>
      <c r="AC622" s="675"/>
      <c r="AD622" s="675"/>
      <c r="AE622" s="675"/>
      <c r="AG622" s="675"/>
      <c r="AH622" s="680"/>
    </row>
    <row r="623" spans="1:34" s="536" customFormat="1" ht="12" x14ac:dyDescent="0.2">
      <c r="A623" s="605"/>
      <c r="B623" s="552"/>
      <c r="C623" s="1822" t="s">
        <v>319</v>
      </c>
      <c r="D623" s="1822"/>
      <c r="E623" s="1822"/>
      <c r="F623" s="562"/>
      <c r="G623" s="562"/>
      <c r="H623" s="562"/>
      <c r="I623" s="562"/>
      <c r="J623" s="604"/>
      <c r="K623" s="562"/>
      <c r="L623" s="604">
        <v>28.76</v>
      </c>
      <c r="M623" s="603"/>
      <c r="N623" s="602"/>
      <c r="V623" s="674"/>
      <c r="W623" s="675"/>
      <c r="AA623" s="537" t="s">
        <v>319</v>
      </c>
      <c r="AC623" s="675"/>
      <c r="AD623" s="675"/>
      <c r="AE623" s="675"/>
      <c r="AG623" s="675"/>
      <c r="AH623" s="680"/>
    </row>
    <row r="624" spans="1:34" s="536" customFormat="1" ht="33.75" x14ac:dyDescent="0.2">
      <c r="A624" s="605"/>
      <c r="B624" s="552" t="s">
        <v>554</v>
      </c>
      <c r="C624" s="1822" t="s">
        <v>555</v>
      </c>
      <c r="D624" s="1822"/>
      <c r="E624" s="1822"/>
      <c r="F624" s="562" t="s">
        <v>322</v>
      </c>
      <c r="G624" s="562" t="s">
        <v>556</v>
      </c>
      <c r="H624" s="562"/>
      <c r="I624" s="562" t="s">
        <v>556</v>
      </c>
      <c r="J624" s="604"/>
      <c r="K624" s="562"/>
      <c r="L624" s="604">
        <v>36.24</v>
      </c>
      <c r="M624" s="603"/>
      <c r="N624" s="602"/>
      <c r="V624" s="674"/>
      <c r="W624" s="675"/>
      <c r="AA624" s="537" t="s">
        <v>555</v>
      </c>
      <c r="AC624" s="675"/>
      <c r="AD624" s="675"/>
      <c r="AE624" s="675"/>
      <c r="AG624" s="675"/>
      <c r="AH624" s="680"/>
    </row>
    <row r="625" spans="1:34" s="536" customFormat="1" ht="33.75" x14ac:dyDescent="0.2">
      <c r="A625" s="605"/>
      <c r="B625" s="552" t="s">
        <v>557</v>
      </c>
      <c r="C625" s="1822" t="s">
        <v>558</v>
      </c>
      <c r="D625" s="1822"/>
      <c r="E625" s="1822"/>
      <c r="F625" s="562" t="s">
        <v>322</v>
      </c>
      <c r="G625" s="562" t="s">
        <v>559</v>
      </c>
      <c r="H625" s="562"/>
      <c r="I625" s="562" t="s">
        <v>559</v>
      </c>
      <c r="J625" s="604"/>
      <c r="K625" s="562"/>
      <c r="L625" s="604">
        <v>27.32</v>
      </c>
      <c r="M625" s="603"/>
      <c r="N625" s="602"/>
      <c r="V625" s="674"/>
      <c r="W625" s="675"/>
      <c r="AA625" s="537" t="s">
        <v>558</v>
      </c>
      <c r="AC625" s="675"/>
      <c r="AD625" s="675"/>
      <c r="AE625" s="675"/>
      <c r="AG625" s="675"/>
      <c r="AH625" s="680"/>
    </row>
    <row r="626" spans="1:34" s="536" customFormat="1" ht="12" x14ac:dyDescent="0.2">
      <c r="A626" s="569"/>
      <c r="B626" s="671"/>
      <c r="C626" s="1823" t="s">
        <v>327</v>
      </c>
      <c r="D626" s="1823"/>
      <c r="E626" s="1823"/>
      <c r="F626" s="573"/>
      <c r="G626" s="573"/>
      <c r="H626" s="573"/>
      <c r="I626" s="573"/>
      <c r="J626" s="572"/>
      <c r="K626" s="573"/>
      <c r="L626" s="572">
        <v>874.47</v>
      </c>
      <c r="M626" s="601"/>
      <c r="N626" s="570"/>
      <c r="V626" s="674"/>
      <c r="W626" s="675"/>
      <c r="AC626" s="675" t="s">
        <v>327</v>
      </c>
      <c r="AD626" s="675"/>
      <c r="AE626" s="675"/>
      <c r="AG626" s="675"/>
      <c r="AH626" s="680"/>
    </row>
    <row r="627" spans="1:34" s="536" customFormat="1" ht="22.5" x14ac:dyDescent="0.2">
      <c r="A627" s="575" t="s">
        <v>791</v>
      </c>
      <c r="B627" s="670" t="s">
        <v>4166</v>
      </c>
      <c r="C627" s="1823" t="s">
        <v>4167</v>
      </c>
      <c r="D627" s="1823"/>
      <c r="E627" s="1823"/>
      <c r="F627" s="573" t="s">
        <v>694</v>
      </c>
      <c r="G627" s="573"/>
      <c r="H627" s="573"/>
      <c r="I627" s="573" t="s">
        <v>6874</v>
      </c>
      <c r="J627" s="572">
        <v>451.06</v>
      </c>
      <c r="K627" s="573"/>
      <c r="L627" s="572">
        <v>30342.81</v>
      </c>
      <c r="M627" s="571"/>
      <c r="N627" s="570"/>
      <c r="V627" s="674"/>
      <c r="W627" s="675" t="s">
        <v>4167</v>
      </c>
      <c r="AC627" s="675"/>
      <c r="AD627" s="675"/>
      <c r="AE627" s="675"/>
      <c r="AG627" s="675"/>
      <c r="AH627" s="680"/>
    </row>
    <row r="628" spans="1:34" s="536" customFormat="1" ht="12" x14ac:dyDescent="0.2">
      <c r="A628" s="569"/>
      <c r="B628" s="671"/>
      <c r="C628" s="665" t="s">
        <v>717</v>
      </c>
      <c r="D628" s="666"/>
      <c r="E628" s="666"/>
      <c r="F628" s="563"/>
      <c r="G628" s="563"/>
      <c r="H628" s="563"/>
      <c r="I628" s="563"/>
      <c r="J628" s="566"/>
      <c r="K628" s="563"/>
      <c r="L628" s="566"/>
      <c r="M628" s="565"/>
      <c r="N628" s="564"/>
      <c r="V628" s="674"/>
      <c r="W628" s="675"/>
      <c r="AC628" s="675"/>
      <c r="AD628" s="675"/>
      <c r="AE628" s="675"/>
      <c r="AG628" s="675"/>
      <c r="AH628" s="680"/>
    </row>
    <row r="629" spans="1:34" s="536" customFormat="1" ht="12" x14ac:dyDescent="0.2">
      <c r="A629" s="575" t="s">
        <v>690</v>
      </c>
      <c r="B629" s="670" t="s">
        <v>1053</v>
      </c>
      <c r="C629" s="1823" t="s">
        <v>1054</v>
      </c>
      <c r="D629" s="1823"/>
      <c r="E629" s="1823"/>
      <c r="F629" s="573" t="s">
        <v>694</v>
      </c>
      <c r="G629" s="573"/>
      <c r="H629" s="573"/>
      <c r="I629" s="573" t="s">
        <v>646</v>
      </c>
      <c r="J629" s="572"/>
      <c r="K629" s="573"/>
      <c r="L629" s="572"/>
      <c r="M629" s="571"/>
      <c r="N629" s="570"/>
      <c r="V629" s="674"/>
      <c r="W629" s="675" t="s">
        <v>1054</v>
      </c>
      <c r="AC629" s="675"/>
      <c r="AD629" s="675"/>
      <c r="AE629" s="675"/>
      <c r="AG629" s="675"/>
      <c r="AH629" s="680"/>
    </row>
    <row r="630" spans="1:34" s="536" customFormat="1" ht="33.75" x14ac:dyDescent="0.2">
      <c r="A630" s="609"/>
      <c r="B630" s="552" t="s">
        <v>310</v>
      </c>
      <c r="C630" s="1822" t="s">
        <v>311</v>
      </c>
      <c r="D630" s="1822"/>
      <c r="E630" s="1822"/>
      <c r="F630" s="1822"/>
      <c r="G630" s="1822"/>
      <c r="H630" s="1822"/>
      <c r="I630" s="1822"/>
      <c r="J630" s="1822"/>
      <c r="K630" s="1822"/>
      <c r="L630" s="1822"/>
      <c r="M630" s="1822"/>
      <c r="N630" s="1827"/>
      <c r="V630" s="674"/>
      <c r="W630" s="675"/>
      <c r="Y630" s="537" t="s">
        <v>311</v>
      </c>
      <c r="AC630" s="675"/>
      <c r="AD630" s="675"/>
      <c r="AE630" s="675"/>
      <c r="AG630" s="675"/>
      <c r="AH630" s="680"/>
    </row>
    <row r="631" spans="1:34" s="536" customFormat="1" ht="12" x14ac:dyDescent="0.2">
      <c r="A631" s="605"/>
      <c r="B631" s="552" t="s">
        <v>186</v>
      </c>
      <c r="C631" s="1822" t="s">
        <v>344</v>
      </c>
      <c r="D631" s="1822"/>
      <c r="E631" s="1822"/>
      <c r="F631" s="562"/>
      <c r="G631" s="562"/>
      <c r="H631" s="562"/>
      <c r="I631" s="562"/>
      <c r="J631" s="604">
        <v>39.1</v>
      </c>
      <c r="K631" s="562" t="s">
        <v>313</v>
      </c>
      <c r="L631" s="604">
        <v>5.87</v>
      </c>
      <c r="M631" s="603"/>
      <c r="N631" s="602"/>
      <c r="V631" s="674"/>
      <c r="W631" s="675"/>
      <c r="Z631" s="537" t="s">
        <v>344</v>
      </c>
      <c r="AC631" s="675"/>
      <c r="AD631" s="675"/>
      <c r="AE631" s="675"/>
      <c r="AG631" s="675"/>
      <c r="AH631" s="680"/>
    </row>
    <row r="632" spans="1:34" s="536" customFormat="1" ht="12" x14ac:dyDescent="0.2">
      <c r="A632" s="605"/>
      <c r="B632" s="552" t="s">
        <v>187</v>
      </c>
      <c r="C632" s="1822" t="s">
        <v>345</v>
      </c>
      <c r="D632" s="1822"/>
      <c r="E632" s="1822"/>
      <c r="F632" s="562"/>
      <c r="G632" s="562"/>
      <c r="H632" s="562"/>
      <c r="I632" s="562"/>
      <c r="J632" s="604">
        <v>7.15</v>
      </c>
      <c r="K632" s="562" t="s">
        <v>313</v>
      </c>
      <c r="L632" s="604">
        <v>1.07</v>
      </c>
      <c r="M632" s="603"/>
      <c r="N632" s="602"/>
      <c r="V632" s="674"/>
      <c r="W632" s="675"/>
      <c r="Z632" s="537" t="s">
        <v>345</v>
      </c>
      <c r="AC632" s="675"/>
      <c r="AD632" s="675"/>
      <c r="AE632" s="675"/>
      <c r="AG632" s="675"/>
      <c r="AH632" s="680"/>
    </row>
    <row r="633" spans="1:34" s="536" customFormat="1" ht="12" x14ac:dyDescent="0.2">
      <c r="A633" s="676"/>
      <c r="B633" s="677" t="s">
        <v>1055</v>
      </c>
      <c r="C633" s="1829" t="s">
        <v>1056</v>
      </c>
      <c r="D633" s="1829"/>
      <c r="E633" s="1829"/>
      <c r="F633" s="678" t="s">
        <v>694</v>
      </c>
      <c r="G633" s="678" t="s">
        <v>702</v>
      </c>
      <c r="H633" s="678"/>
      <c r="I633" s="678" t="s">
        <v>6875</v>
      </c>
      <c r="J633" s="552"/>
      <c r="K633" s="562"/>
      <c r="L633" s="604"/>
      <c r="M633" s="562"/>
      <c r="N633" s="679"/>
      <c r="V633" s="674"/>
      <c r="W633" s="675"/>
      <c r="AC633" s="675"/>
      <c r="AD633" s="675"/>
      <c r="AE633" s="675"/>
      <c r="AG633" s="675"/>
      <c r="AH633" s="680" t="s">
        <v>1056</v>
      </c>
    </row>
    <row r="634" spans="1:34" s="536" customFormat="1" ht="12" x14ac:dyDescent="0.2">
      <c r="A634" s="605"/>
      <c r="B634" s="552"/>
      <c r="C634" s="1822" t="s">
        <v>348</v>
      </c>
      <c r="D634" s="1822"/>
      <c r="E634" s="1822"/>
      <c r="F634" s="562" t="s">
        <v>315</v>
      </c>
      <c r="G634" s="562" t="s">
        <v>1057</v>
      </c>
      <c r="H634" s="562" t="s">
        <v>313</v>
      </c>
      <c r="I634" s="562" t="s">
        <v>5651</v>
      </c>
      <c r="J634" s="604"/>
      <c r="K634" s="562"/>
      <c r="L634" s="604"/>
      <c r="M634" s="603"/>
      <c r="N634" s="602"/>
      <c r="V634" s="674"/>
      <c r="W634" s="675"/>
      <c r="AA634" s="537" t="s">
        <v>348</v>
      </c>
      <c r="AC634" s="675"/>
      <c r="AD634" s="675"/>
      <c r="AE634" s="675"/>
      <c r="AG634" s="675"/>
      <c r="AH634" s="680"/>
    </row>
    <row r="635" spans="1:34" s="536" customFormat="1" ht="12" x14ac:dyDescent="0.2">
      <c r="A635" s="605"/>
      <c r="B635" s="552"/>
      <c r="C635" s="1828" t="s">
        <v>318</v>
      </c>
      <c r="D635" s="1828"/>
      <c r="E635" s="1828"/>
      <c r="F635" s="608"/>
      <c r="G635" s="608"/>
      <c r="H635" s="608"/>
      <c r="I635" s="608"/>
      <c r="J635" s="607">
        <v>39.1</v>
      </c>
      <c r="K635" s="608"/>
      <c r="L635" s="607">
        <v>5.87</v>
      </c>
      <c r="M635" s="601"/>
      <c r="N635" s="606"/>
      <c r="V635" s="674"/>
      <c r="W635" s="675"/>
      <c r="AB635" s="537" t="s">
        <v>318</v>
      </c>
      <c r="AC635" s="675"/>
      <c r="AD635" s="675"/>
      <c r="AE635" s="675"/>
      <c r="AG635" s="675"/>
      <c r="AH635" s="680"/>
    </row>
    <row r="636" spans="1:34" s="536" customFormat="1" ht="12" x14ac:dyDescent="0.2">
      <c r="A636" s="605"/>
      <c r="B636" s="552"/>
      <c r="C636" s="1822" t="s">
        <v>319</v>
      </c>
      <c r="D636" s="1822"/>
      <c r="E636" s="1822"/>
      <c r="F636" s="562"/>
      <c r="G636" s="562"/>
      <c r="H636" s="562"/>
      <c r="I636" s="562"/>
      <c r="J636" s="604"/>
      <c r="K636" s="562"/>
      <c r="L636" s="604">
        <v>1.07</v>
      </c>
      <c r="M636" s="603"/>
      <c r="N636" s="602"/>
      <c r="V636" s="674"/>
      <c r="W636" s="675"/>
      <c r="AA636" s="537" t="s">
        <v>319</v>
      </c>
      <c r="AC636" s="675"/>
      <c r="AD636" s="675"/>
      <c r="AE636" s="675"/>
      <c r="AG636" s="675"/>
      <c r="AH636" s="680"/>
    </row>
    <row r="637" spans="1:34" s="536" customFormat="1" ht="33.75" x14ac:dyDescent="0.2">
      <c r="A637" s="605"/>
      <c r="B637" s="552" t="s">
        <v>554</v>
      </c>
      <c r="C637" s="1822" t="s">
        <v>555</v>
      </c>
      <c r="D637" s="1822"/>
      <c r="E637" s="1822"/>
      <c r="F637" s="562" t="s">
        <v>322</v>
      </c>
      <c r="G637" s="562" t="s">
        <v>556</v>
      </c>
      <c r="H637" s="562"/>
      <c r="I637" s="562" t="s">
        <v>556</v>
      </c>
      <c r="J637" s="604"/>
      <c r="K637" s="562"/>
      <c r="L637" s="604">
        <v>1.35</v>
      </c>
      <c r="M637" s="603"/>
      <c r="N637" s="602"/>
      <c r="V637" s="674"/>
      <c r="W637" s="675"/>
      <c r="AA637" s="537" t="s">
        <v>555</v>
      </c>
      <c r="AC637" s="675"/>
      <c r="AD637" s="675"/>
      <c r="AE637" s="675"/>
      <c r="AG637" s="675"/>
      <c r="AH637" s="680"/>
    </row>
    <row r="638" spans="1:34" s="536" customFormat="1" ht="33.75" x14ac:dyDescent="0.2">
      <c r="A638" s="605"/>
      <c r="B638" s="552" t="s">
        <v>557</v>
      </c>
      <c r="C638" s="1822" t="s">
        <v>558</v>
      </c>
      <c r="D638" s="1822"/>
      <c r="E638" s="1822"/>
      <c r="F638" s="562" t="s">
        <v>322</v>
      </c>
      <c r="G638" s="562" t="s">
        <v>559</v>
      </c>
      <c r="H638" s="562"/>
      <c r="I638" s="562" t="s">
        <v>559</v>
      </c>
      <c r="J638" s="604"/>
      <c r="K638" s="562"/>
      <c r="L638" s="604">
        <v>1.02</v>
      </c>
      <c r="M638" s="603"/>
      <c r="N638" s="602"/>
      <c r="V638" s="674"/>
      <c r="W638" s="675"/>
      <c r="AA638" s="537" t="s">
        <v>558</v>
      </c>
      <c r="AC638" s="675"/>
      <c r="AD638" s="675"/>
      <c r="AE638" s="675"/>
      <c r="AG638" s="675"/>
      <c r="AH638" s="680"/>
    </row>
    <row r="639" spans="1:34" s="536" customFormat="1" ht="12" x14ac:dyDescent="0.2">
      <c r="A639" s="569"/>
      <c r="B639" s="671"/>
      <c r="C639" s="1823" t="s">
        <v>327</v>
      </c>
      <c r="D639" s="1823"/>
      <c r="E639" s="1823"/>
      <c r="F639" s="573"/>
      <c r="G639" s="573"/>
      <c r="H639" s="573"/>
      <c r="I639" s="573"/>
      <c r="J639" s="572"/>
      <c r="K639" s="573"/>
      <c r="L639" s="572">
        <v>8.24</v>
      </c>
      <c r="M639" s="601"/>
      <c r="N639" s="570"/>
      <c r="V639" s="674"/>
      <c r="W639" s="675"/>
      <c r="AC639" s="675" t="s">
        <v>327</v>
      </c>
      <c r="AD639" s="675"/>
      <c r="AE639" s="675"/>
      <c r="AG639" s="675"/>
      <c r="AH639" s="680"/>
    </row>
    <row r="640" spans="1:34" s="536" customFormat="1" ht="12" x14ac:dyDescent="0.2">
      <c r="A640" s="575" t="s">
        <v>792</v>
      </c>
      <c r="B640" s="670" t="s">
        <v>1059</v>
      </c>
      <c r="C640" s="1823" t="s">
        <v>1060</v>
      </c>
      <c r="D640" s="1823"/>
      <c r="E640" s="1823"/>
      <c r="F640" s="573" t="s">
        <v>694</v>
      </c>
      <c r="G640" s="573"/>
      <c r="H640" s="573"/>
      <c r="I640" s="573" t="s">
        <v>6875</v>
      </c>
      <c r="J640" s="572">
        <v>2723.2</v>
      </c>
      <c r="K640" s="573"/>
      <c r="L640" s="572">
        <v>336.59</v>
      </c>
      <c r="M640" s="571"/>
      <c r="N640" s="570"/>
      <c r="V640" s="674"/>
      <c r="W640" s="675" t="s">
        <v>1060</v>
      </c>
      <c r="AC640" s="675"/>
      <c r="AD640" s="675"/>
      <c r="AE640" s="675"/>
      <c r="AG640" s="675"/>
      <c r="AH640" s="680"/>
    </row>
    <row r="641" spans="1:34" s="536" customFormat="1" ht="12" x14ac:dyDescent="0.2">
      <c r="A641" s="569"/>
      <c r="B641" s="671"/>
      <c r="C641" s="665" t="s">
        <v>717</v>
      </c>
      <c r="D641" s="666"/>
      <c r="E641" s="666"/>
      <c r="F641" s="563"/>
      <c r="G641" s="563"/>
      <c r="H641" s="563"/>
      <c r="I641" s="563"/>
      <c r="J641" s="566"/>
      <c r="K641" s="563"/>
      <c r="L641" s="566"/>
      <c r="M641" s="565"/>
      <c r="N641" s="564"/>
      <c r="V641" s="674"/>
      <c r="W641" s="675"/>
      <c r="AC641" s="675"/>
      <c r="AD641" s="675"/>
      <c r="AE641" s="675"/>
      <c r="AG641" s="675"/>
      <c r="AH641" s="680"/>
    </row>
    <row r="642" spans="1:34" s="536" customFormat="1" ht="45" x14ac:dyDescent="0.2">
      <c r="A642" s="575" t="s">
        <v>713</v>
      </c>
      <c r="B642" s="670" t="s">
        <v>1061</v>
      </c>
      <c r="C642" s="1823" t="s">
        <v>1062</v>
      </c>
      <c r="D642" s="1823"/>
      <c r="E642" s="1823"/>
      <c r="F642" s="573" t="s">
        <v>1034</v>
      </c>
      <c r="G642" s="573"/>
      <c r="H642" s="573"/>
      <c r="I642" s="573" t="s">
        <v>6868</v>
      </c>
      <c r="J642" s="572"/>
      <c r="K642" s="573"/>
      <c r="L642" s="572"/>
      <c r="M642" s="571"/>
      <c r="N642" s="570"/>
      <c r="V642" s="674"/>
      <c r="W642" s="675" t="s">
        <v>1062</v>
      </c>
      <c r="AC642" s="675"/>
      <c r="AD642" s="675"/>
      <c r="AE642" s="675"/>
      <c r="AG642" s="675"/>
      <c r="AH642" s="680"/>
    </row>
    <row r="643" spans="1:34" s="536" customFormat="1" ht="12" x14ac:dyDescent="0.2">
      <c r="A643" s="676"/>
      <c r="B643" s="664"/>
      <c r="C643" s="1822" t="s">
        <v>6869</v>
      </c>
      <c r="D643" s="1822"/>
      <c r="E643" s="1822"/>
      <c r="F643" s="1822"/>
      <c r="G643" s="1822"/>
      <c r="H643" s="1822"/>
      <c r="I643" s="1822"/>
      <c r="J643" s="1822"/>
      <c r="K643" s="1822"/>
      <c r="L643" s="1822"/>
      <c r="M643" s="1822"/>
      <c r="N643" s="1827"/>
      <c r="V643" s="674"/>
      <c r="W643" s="675"/>
      <c r="X643" s="537" t="s">
        <v>6869</v>
      </c>
      <c r="AC643" s="675"/>
      <c r="AD643" s="675"/>
      <c r="AE643" s="675"/>
      <c r="AG643" s="675"/>
      <c r="AH643" s="680"/>
    </row>
    <row r="644" spans="1:34" s="536" customFormat="1" ht="33.75" x14ac:dyDescent="0.2">
      <c r="A644" s="609"/>
      <c r="B644" s="552" t="s">
        <v>310</v>
      </c>
      <c r="C644" s="1822" t="s">
        <v>311</v>
      </c>
      <c r="D644" s="1822"/>
      <c r="E644" s="1822"/>
      <c r="F644" s="1822"/>
      <c r="G644" s="1822"/>
      <c r="H644" s="1822"/>
      <c r="I644" s="1822"/>
      <c r="J644" s="1822"/>
      <c r="K644" s="1822"/>
      <c r="L644" s="1822"/>
      <c r="M644" s="1822"/>
      <c r="N644" s="1827"/>
      <c r="V644" s="674"/>
      <c r="W644" s="675"/>
      <c r="Y644" s="537" t="s">
        <v>311</v>
      </c>
      <c r="AC644" s="675"/>
      <c r="AD644" s="675"/>
      <c r="AE644" s="675"/>
      <c r="AG644" s="675"/>
      <c r="AH644" s="680"/>
    </row>
    <row r="645" spans="1:34" s="536" customFormat="1" ht="12" x14ac:dyDescent="0.2">
      <c r="A645" s="605"/>
      <c r="B645" s="552" t="s">
        <v>185</v>
      </c>
      <c r="C645" s="1822" t="s">
        <v>312</v>
      </c>
      <c r="D645" s="1822"/>
      <c r="E645" s="1822"/>
      <c r="F645" s="562"/>
      <c r="G645" s="562"/>
      <c r="H645" s="562"/>
      <c r="I645" s="562"/>
      <c r="J645" s="604">
        <v>182.32</v>
      </c>
      <c r="K645" s="562" t="s">
        <v>313</v>
      </c>
      <c r="L645" s="604">
        <v>94.58</v>
      </c>
      <c r="M645" s="603"/>
      <c r="N645" s="602"/>
      <c r="V645" s="674"/>
      <c r="W645" s="675"/>
      <c r="Z645" s="537" t="s">
        <v>312</v>
      </c>
      <c r="AC645" s="675"/>
      <c r="AD645" s="675"/>
      <c r="AE645" s="675"/>
      <c r="AG645" s="675"/>
      <c r="AH645" s="680"/>
    </row>
    <row r="646" spans="1:34" s="536" customFormat="1" ht="12" x14ac:dyDescent="0.2">
      <c r="A646" s="605"/>
      <c r="B646" s="552" t="s">
        <v>186</v>
      </c>
      <c r="C646" s="1822" t="s">
        <v>344</v>
      </c>
      <c r="D646" s="1822"/>
      <c r="E646" s="1822"/>
      <c r="F646" s="562"/>
      <c r="G646" s="562"/>
      <c r="H646" s="562"/>
      <c r="I646" s="562"/>
      <c r="J646" s="604">
        <v>7479.03</v>
      </c>
      <c r="K646" s="562" t="s">
        <v>313</v>
      </c>
      <c r="L646" s="604">
        <v>3879.75</v>
      </c>
      <c r="M646" s="603"/>
      <c r="N646" s="602"/>
      <c r="V646" s="674"/>
      <c r="W646" s="675"/>
      <c r="Z646" s="537" t="s">
        <v>344</v>
      </c>
      <c r="AC646" s="675"/>
      <c r="AD646" s="675"/>
      <c r="AE646" s="675"/>
      <c r="AG646" s="675"/>
      <c r="AH646" s="680"/>
    </row>
    <row r="647" spans="1:34" s="536" customFormat="1" ht="12" x14ac:dyDescent="0.2">
      <c r="A647" s="605"/>
      <c r="B647" s="552" t="s">
        <v>187</v>
      </c>
      <c r="C647" s="1822" t="s">
        <v>345</v>
      </c>
      <c r="D647" s="1822"/>
      <c r="E647" s="1822"/>
      <c r="F647" s="562"/>
      <c r="G647" s="562"/>
      <c r="H647" s="562"/>
      <c r="I647" s="562"/>
      <c r="J647" s="604">
        <v>234.46</v>
      </c>
      <c r="K647" s="562" t="s">
        <v>313</v>
      </c>
      <c r="L647" s="604">
        <v>121.63</v>
      </c>
      <c r="M647" s="603"/>
      <c r="N647" s="602"/>
      <c r="V647" s="674"/>
      <c r="W647" s="675"/>
      <c r="Z647" s="537" t="s">
        <v>345</v>
      </c>
      <c r="AC647" s="675"/>
      <c r="AD647" s="675"/>
      <c r="AE647" s="675"/>
      <c r="AG647" s="675"/>
      <c r="AH647" s="680"/>
    </row>
    <row r="648" spans="1:34" s="536" customFormat="1" ht="12" x14ac:dyDescent="0.2">
      <c r="A648" s="605"/>
      <c r="B648" s="552" t="s">
        <v>188</v>
      </c>
      <c r="C648" s="1822" t="s">
        <v>475</v>
      </c>
      <c r="D648" s="1822"/>
      <c r="E648" s="1822"/>
      <c r="F648" s="562"/>
      <c r="G648" s="562"/>
      <c r="H648" s="562"/>
      <c r="I648" s="562"/>
      <c r="J648" s="604">
        <v>874.78</v>
      </c>
      <c r="K648" s="562"/>
      <c r="L648" s="604">
        <v>363.03</v>
      </c>
      <c r="M648" s="603"/>
      <c r="N648" s="602"/>
      <c r="V648" s="674"/>
      <c r="W648" s="675"/>
      <c r="Z648" s="537" t="s">
        <v>475</v>
      </c>
      <c r="AC648" s="675"/>
      <c r="AD648" s="675"/>
      <c r="AE648" s="675"/>
      <c r="AG648" s="675"/>
      <c r="AH648" s="680"/>
    </row>
    <row r="649" spans="1:34" s="536" customFormat="1" ht="12" x14ac:dyDescent="0.2">
      <c r="A649" s="676"/>
      <c r="B649" s="677" t="s">
        <v>1063</v>
      </c>
      <c r="C649" s="1829" t="s">
        <v>1064</v>
      </c>
      <c r="D649" s="1829"/>
      <c r="E649" s="1829"/>
      <c r="F649" s="678" t="s">
        <v>694</v>
      </c>
      <c r="G649" s="678" t="s">
        <v>525</v>
      </c>
      <c r="H649" s="678"/>
      <c r="I649" s="678" t="s">
        <v>525</v>
      </c>
      <c r="J649" s="552"/>
      <c r="K649" s="562"/>
      <c r="L649" s="604"/>
      <c r="M649" s="562"/>
      <c r="N649" s="679"/>
      <c r="V649" s="674"/>
      <c r="W649" s="675"/>
      <c r="AC649" s="675"/>
      <c r="AD649" s="675"/>
      <c r="AE649" s="675"/>
      <c r="AG649" s="675"/>
      <c r="AH649" s="680" t="s">
        <v>1064</v>
      </c>
    </row>
    <row r="650" spans="1:34" s="536" customFormat="1" ht="12" x14ac:dyDescent="0.2">
      <c r="A650" s="605"/>
      <c r="B650" s="552"/>
      <c r="C650" s="1822" t="s">
        <v>314</v>
      </c>
      <c r="D650" s="1822"/>
      <c r="E650" s="1822"/>
      <c r="F650" s="562" t="s">
        <v>315</v>
      </c>
      <c r="G650" s="562" t="s">
        <v>1065</v>
      </c>
      <c r="H650" s="562" t="s">
        <v>313</v>
      </c>
      <c r="I650" s="562" t="s">
        <v>6870</v>
      </c>
      <c r="J650" s="604"/>
      <c r="K650" s="562"/>
      <c r="L650" s="604"/>
      <c r="M650" s="603"/>
      <c r="N650" s="602"/>
      <c r="V650" s="674"/>
      <c r="W650" s="675"/>
      <c r="AA650" s="537" t="s">
        <v>314</v>
      </c>
      <c r="AC650" s="675"/>
      <c r="AD650" s="675"/>
      <c r="AE650" s="675"/>
      <c r="AG650" s="675"/>
      <c r="AH650" s="680"/>
    </row>
    <row r="651" spans="1:34" s="536" customFormat="1" ht="12" x14ac:dyDescent="0.2">
      <c r="A651" s="605"/>
      <c r="B651" s="552"/>
      <c r="C651" s="1822" t="s">
        <v>348</v>
      </c>
      <c r="D651" s="1822"/>
      <c r="E651" s="1822"/>
      <c r="F651" s="562" t="s">
        <v>315</v>
      </c>
      <c r="G651" s="562" t="s">
        <v>1066</v>
      </c>
      <c r="H651" s="562" t="s">
        <v>313</v>
      </c>
      <c r="I651" s="562" t="s">
        <v>6871</v>
      </c>
      <c r="J651" s="604"/>
      <c r="K651" s="562"/>
      <c r="L651" s="604"/>
      <c r="M651" s="603"/>
      <c r="N651" s="602"/>
      <c r="V651" s="674"/>
      <c r="W651" s="675"/>
      <c r="AA651" s="537" t="s">
        <v>348</v>
      </c>
      <c r="AC651" s="675"/>
      <c r="AD651" s="675"/>
      <c r="AE651" s="675"/>
      <c r="AG651" s="675"/>
      <c r="AH651" s="680"/>
    </row>
    <row r="652" spans="1:34" s="536" customFormat="1" ht="12" x14ac:dyDescent="0.2">
      <c r="A652" s="605"/>
      <c r="B652" s="552"/>
      <c r="C652" s="1828" t="s">
        <v>318</v>
      </c>
      <c r="D652" s="1828"/>
      <c r="E652" s="1828"/>
      <c r="F652" s="608"/>
      <c r="G652" s="608"/>
      <c r="H652" s="608"/>
      <c r="I652" s="608"/>
      <c r="J652" s="607">
        <v>8536.1299999999992</v>
      </c>
      <c r="K652" s="608"/>
      <c r="L652" s="607">
        <v>4337.3599999999997</v>
      </c>
      <c r="M652" s="601"/>
      <c r="N652" s="606"/>
      <c r="V652" s="674"/>
      <c r="W652" s="675"/>
      <c r="AB652" s="537" t="s">
        <v>318</v>
      </c>
      <c r="AC652" s="675"/>
      <c r="AD652" s="675"/>
      <c r="AE652" s="675"/>
      <c r="AG652" s="675"/>
      <c r="AH652" s="680"/>
    </row>
    <row r="653" spans="1:34" s="536" customFormat="1" ht="12" x14ac:dyDescent="0.2">
      <c r="A653" s="605"/>
      <c r="B653" s="552"/>
      <c r="C653" s="1822" t="s">
        <v>319</v>
      </c>
      <c r="D653" s="1822"/>
      <c r="E653" s="1822"/>
      <c r="F653" s="562"/>
      <c r="G653" s="562"/>
      <c r="H653" s="562"/>
      <c r="I653" s="562"/>
      <c r="J653" s="604"/>
      <c r="K653" s="562"/>
      <c r="L653" s="604">
        <v>216.21</v>
      </c>
      <c r="M653" s="603"/>
      <c r="N653" s="602"/>
      <c r="V653" s="674"/>
      <c r="W653" s="675"/>
      <c r="AA653" s="537" t="s">
        <v>319</v>
      </c>
      <c r="AC653" s="675"/>
      <c r="AD653" s="675"/>
      <c r="AE653" s="675"/>
      <c r="AG653" s="675"/>
      <c r="AH653" s="680"/>
    </row>
    <row r="654" spans="1:34" s="536" customFormat="1" ht="33.75" x14ac:dyDescent="0.2">
      <c r="A654" s="605"/>
      <c r="B654" s="552" t="s">
        <v>554</v>
      </c>
      <c r="C654" s="1822" t="s">
        <v>555</v>
      </c>
      <c r="D654" s="1822"/>
      <c r="E654" s="1822"/>
      <c r="F654" s="562" t="s">
        <v>322</v>
      </c>
      <c r="G654" s="562" t="s">
        <v>556</v>
      </c>
      <c r="H654" s="562"/>
      <c r="I654" s="562" t="s">
        <v>556</v>
      </c>
      <c r="J654" s="604"/>
      <c r="K654" s="562"/>
      <c r="L654" s="604">
        <v>272.42</v>
      </c>
      <c r="M654" s="603"/>
      <c r="N654" s="602"/>
      <c r="V654" s="674"/>
      <c r="W654" s="675"/>
      <c r="AA654" s="537" t="s">
        <v>555</v>
      </c>
      <c r="AC654" s="675"/>
      <c r="AD654" s="675"/>
      <c r="AE654" s="675"/>
      <c r="AG654" s="675"/>
      <c r="AH654" s="680"/>
    </row>
    <row r="655" spans="1:34" s="536" customFormat="1" ht="33.75" x14ac:dyDescent="0.2">
      <c r="A655" s="605"/>
      <c r="B655" s="552" t="s">
        <v>557</v>
      </c>
      <c r="C655" s="1822" t="s">
        <v>558</v>
      </c>
      <c r="D655" s="1822"/>
      <c r="E655" s="1822"/>
      <c r="F655" s="562" t="s">
        <v>322</v>
      </c>
      <c r="G655" s="562" t="s">
        <v>559</v>
      </c>
      <c r="H655" s="562"/>
      <c r="I655" s="562" t="s">
        <v>559</v>
      </c>
      <c r="J655" s="604"/>
      <c r="K655" s="562"/>
      <c r="L655" s="604">
        <v>205.4</v>
      </c>
      <c r="M655" s="603"/>
      <c r="N655" s="602"/>
      <c r="V655" s="674"/>
      <c r="W655" s="675"/>
      <c r="AA655" s="537" t="s">
        <v>558</v>
      </c>
      <c r="AC655" s="675"/>
      <c r="AD655" s="675"/>
      <c r="AE655" s="675"/>
      <c r="AG655" s="675"/>
      <c r="AH655" s="680"/>
    </row>
    <row r="656" spans="1:34" s="536" customFormat="1" ht="12" x14ac:dyDescent="0.2">
      <c r="A656" s="569"/>
      <c r="B656" s="671"/>
      <c r="C656" s="1823" t="s">
        <v>327</v>
      </c>
      <c r="D656" s="1823"/>
      <c r="E656" s="1823"/>
      <c r="F656" s="573"/>
      <c r="G656" s="573"/>
      <c r="H656" s="573"/>
      <c r="I656" s="573"/>
      <c r="J656" s="572"/>
      <c r="K656" s="573"/>
      <c r="L656" s="572">
        <v>4815.18</v>
      </c>
      <c r="M656" s="601"/>
      <c r="N656" s="570"/>
      <c r="V656" s="674"/>
      <c r="W656" s="675"/>
      <c r="AC656" s="675" t="s">
        <v>327</v>
      </c>
      <c r="AD656" s="675"/>
      <c r="AE656" s="675"/>
      <c r="AG656" s="675"/>
      <c r="AH656" s="680"/>
    </row>
    <row r="657" spans="1:34" s="536" customFormat="1" ht="33.75" x14ac:dyDescent="0.2">
      <c r="A657" s="575" t="s">
        <v>793</v>
      </c>
      <c r="B657" s="670" t="s">
        <v>1068</v>
      </c>
      <c r="C657" s="1823" t="s">
        <v>1080</v>
      </c>
      <c r="D657" s="1823"/>
      <c r="E657" s="1823"/>
      <c r="F657" s="573" t="s">
        <v>1034</v>
      </c>
      <c r="G657" s="573"/>
      <c r="H657" s="573"/>
      <c r="I657" s="573" t="s">
        <v>6868</v>
      </c>
      <c r="J657" s="572"/>
      <c r="K657" s="573"/>
      <c r="L657" s="572"/>
      <c r="M657" s="571"/>
      <c r="N657" s="570"/>
      <c r="V657" s="674"/>
      <c r="W657" s="675" t="s">
        <v>1080</v>
      </c>
      <c r="AC657" s="675"/>
      <c r="AD657" s="675"/>
      <c r="AE657" s="675"/>
      <c r="AG657" s="675"/>
      <c r="AH657" s="680"/>
    </row>
    <row r="658" spans="1:34" s="536" customFormat="1" ht="12" x14ac:dyDescent="0.2">
      <c r="A658" s="676"/>
      <c r="B658" s="664"/>
      <c r="C658" s="1822" t="s">
        <v>6869</v>
      </c>
      <c r="D658" s="1822"/>
      <c r="E658" s="1822"/>
      <c r="F658" s="1822"/>
      <c r="G658" s="1822"/>
      <c r="H658" s="1822"/>
      <c r="I658" s="1822"/>
      <c r="J658" s="1822"/>
      <c r="K658" s="1822"/>
      <c r="L658" s="1822"/>
      <c r="M658" s="1822"/>
      <c r="N658" s="1827"/>
      <c r="V658" s="674"/>
      <c r="W658" s="675"/>
      <c r="X658" s="537" t="s">
        <v>6869</v>
      </c>
      <c r="AC658" s="675"/>
      <c r="AD658" s="675"/>
      <c r="AE658" s="675"/>
      <c r="AG658" s="675"/>
      <c r="AH658" s="680"/>
    </row>
    <row r="659" spans="1:34" s="536" customFormat="1" ht="12" x14ac:dyDescent="0.2">
      <c r="A659" s="609"/>
      <c r="B659" s="552"/>
      <c r="C659" s="1822" t="s">
        <v>1081</v>
      </c>
      <c r="D659" s="1822"/>
      <c r="E659" s="1822"/>
      <c r="F659" s="1822"/>
      <c r="G659" s="1822"/>
      <c r="H659" s="1822"/>
      <c r="I659" s="1822"/>
      <c r="J659" s="1822"/>
      <c r="K659" s="1822"/>
      <c r="L659" s="1822"/>
      <c r="M659" s="1822"/>
      <c r="N659" s="1827"/>
      <c r="V659" s="674"/>
      <c r="W659" s="675"/>
      <c r="Y659" s="537" t="s">
        <v>1081</v>
      </c>
      <c r="AC659" s="675"/>
      <c r="AD659" s="675"/>
      <c r="AE659" s="675"/>
      <c r="AG659" s="675"/>
      <c r="AH659" s="680"/>
    </row>
    <row r="660" spans="1:34" s="536" customFormat="1" ht="33.75" x14ac:dyDescent="0.2">
      <c r="A660" s="609"/>
      <c r="B660" s="552" t="s">
        <v>310</v>
      </c>
      <c r="C660" s="1822" t="s">
        <v>311</v>
      </c>
      <c r="D660" s="1822"/>
      <c r="E660" s="1822"/>
      <c r="F660" s="1822"/>
      <c r="G660" s="1822"/>
      <c r="H660" s="1822"/>
      <c r="I660" s="1822"/>
      <c r="J660" s="1822"/>
      <c r="K660" s="1822"/>
      <c r="L660" s="1822"/>
      <c r="M660" s="1822"/>
      <c r="N660" s="1827"/>
      <c r="V660" s="674"/>
      <c r="W660" s="675"/>
      <c r="Y660" s="537" t="s">
        <v>311</v>
      </c>
      <c r="AC660" s="675"/>
      <c r="AD660" s="675"/>
      <c r="AE660" s="675"/>
      <c r="AG660" s="675"/>
      <c r="AH660" s="680"/>
    </row>
    <row r="661" spans="1:34" s="536" customFormat="1" ht="12" x14ac:dyDescent="0.2">
      <c r="A661" s="605"/>
      <c r="B661" s="552" t="s">
        <v>185</v>
      </c>
      <c r="C661" s="1822" t="s">
        <v>312</v>
      </c>
      <c r="D661" s="1822"/>
      <c r="E661" s="1822"/>
      <c r="F661" s="562"/>
      <c r="G661" s="562"/>
      <c r="H661" s="562"/>
      <c r="I661" s="562"/>
      <c r="J661" s="604">
        <v>3.29</v>
      </c>
      <c r="K661" s="562" t="s">
        <v>189</v>
      </c>
      <c r="L661" s="604">
        <v>6.83</v>
      </c>
      <c r="M661" s="603"/>
      <c r="N661" s="602"/>
      <c r="V661" s="674"/>
      <c r="W661" s="675"/>
      <c r="Z661" s="537" t="s">
        <v>312</v>
      </c>
      <c r="AC661" s="675"/>
      <c r="AD661" s="675"/>
      <c r="AE661" s="675"/>
      <c r="AG661" s="675"/>
      <c r="AH661" s="680"/>
    </row>
    <row r="662" spans="1:34" s="536" customFormat="1" ht="12" x14ac:dyDescent="0.2">
      <c r="A662" s="605"/>
      <c r="B662" s="552" t="s">
        <v>186</v>
      </c>
      <c r="C662" s="1822" t="s">
        <v>344</v>
      </c>
      <c r="D662" s="1822"/>
      <c r="E662" s="1822"/>
      <c r="F662" s="562"/>
      <c r="G662" s="562"/>
      <c r="H662" s="562"/>
      <c r="I662" s="562"/>
      <c r="J662" s="604">
        <v>254.89</v>
      </c>
      <c r="K662" s="562" t="s">
        <v>189</v>
      </c>
      <c r="L662" s="604">
        <v>528.9</v>
      </c>
      <c r="M662" s="603"/>
      <c r="N662" s="602"/>
      <c r="V662" s="674"/>
      <c r="W662" s="675"/>
      <c r="Z662" s="537" t="s">
        <v>344</v>
      </c>
      <c r="AC662" s="675"/>
      <c r="AD662" s="675"/>
      <c r="AE662" s="675"/>
      <c r="AG662" s="675"/>
      <c r="AH662" s="680"/>
    </row>
    <row r="663" spans="1:34" s="536" customFormat="1" ht="12" x14ac:dyDescent="0.2">
      <c r="A663" s="605"/>
      <c r="B663" s="552" t="s">
        <v>187</v>
      </c>
      <c r="C663" s="1822" t="s">
        <v>345</v>
      </c>
      <c r="D663" s="1822"/>
      <c r="E663" s="1822"/>
      <c r="F663" s="562"/>
      <c r="G663" s="562"/>
      <c r="H663" s="562"/>
      <c r="I663" s="562"/>
      <c r="J663" s="604">
        <v>5.95</v>
      </c>
      <c r="K663" s="562" t="s">
        <v>189</v>
      </c>
      <c r="L663" s="604">
        <v>12.35</v>
      </c>
      <c r="M663" s="603"/>
      <c r="N663" s="602"/>
      <c r="V663" s="674"/>
      <c r="W663" s="675"/>
      <c r="Z663" s="537" t="s">
        <v>345</v>
      </c>
      <c r="AC663" s="675"/>
      <c r="AD663" s="675"/>
      <c r="AE663" s="675"/>
      <c r="AG663" s="675"/>
      <c r="AH663" s="680"/>
    </row>
    <row r="664" spans="1:34" s="536" customFormat="1" ht="12" x14ac:dyDescent="0.2">
      <c r="A664" s="605"/>
      <c r="B664" s="552" t="s">
        <v>188</v>
      </c>
      <c r="C664" s="1822" t="s">
        <v>475</v>
      </c>
      <c r="D664" s="1822"/>
      <c r="E664" s="1822"/>
      <c r="F664" s="562"/>
      <c r="G664" s="562"/>
      <c r="H664" s="562"/>
      <c r="I664" s="562"/>
      <c r="J664" s="604">
        <v>2.94</v>
      </c>
      <c r="K664" s="562" t="s">
        <v>188</v>
      </c>
      <c r="L664" s="604">
        <v>4.88</v>
      </c>
      <c r="M664" s="603"/>
      <c r="N664" s="602"/>
      <c r="V664" s="674"/>
      <c r="W664" s="675"/>
      <c r="Z664" s="537" t="s">
        <v>475</v>
      </c>
      <c r="AC664" s="675"/>
      <c r="AD664" s="675"/>
      <c r="AE664" s="675"/>
      <c r="AG664" s="675"/>
      <c r="AH664" s="680"/>
    </row>
    <row r="665" spans="1:34" s="536" customFormat="1" ht="12" x14ac:dyDescent="0.2">
      <c r="A665" s="676"/>
      <c r="B665" s="677" t="s">
        <v>1063</v>
      </c>
      <c r="C665" s="1829" t="s">
        <v>1064</v>
      </c>
      <c r="D665" s="1829"/>
      <c r="E665" s="1829"/>
      <c r="F665" s="678" t="s">
        <v>694</v>
      </c>
      <c r="G665" s="678" t="s">
        <v>525</v>
      </c>
      <c r="H665" s="678" t="s">
        <v>188</v>
      </c>
      <c r="I665" s="678" t="s">
        <v>525</v>
      </c>
      <c r="J665" s="552"/>
      <c r="K665" s="562"/>
      <c r="L665" s="604"/>
      <c r="M665" s="562"/>
      <c r="N665" s="679"/>
      <c r="V665" s="674"/>
      <c r="W665" s="675"/>
      <c r="AC665" s="675"/>
      <c r="AD665" s="675"/>
      <c r="AE665" s="675"/>
      <c r="AG665" s="675"/>
      <c r="AH665" s="680" t="s">
        <v>1064</v>
      </c>
    </row>
    <row r="666" spans="1:34" s="536" customFormat="1" ht="12" x14ac:dyDescent="0.2">
      <c r="A666" s="605"/>
      <c r="B666" s="552"/>
      <c r="C666" s="1822" t="s">
        <v>314</v>
      </c>
      <c r="D666" s="1822"/>
      <c r="E666" s="1822"/>
      <c r="F666" s="562" t="s">
        <v>315</v>
      </c>
      <c r="G666" s="562" t="s">
        <v>691</v>
      </c>
      <c r="H666" s="562" t="s">
        <v>189</v>
      </c>
      <c r="I666" s="562" t="s">
        <v>6876</v>
      </c>
      <c r="J666" s="604"/>
      <c r="K666" s="562"/>
      <c r="L666" s="604"/>
      <c r="M666" s="603"/>
      <c r="N666" s="602"/>
      <c r="V666" s="674"/>
      <c r="W666" s="675"/>
      <c r="AA666" s="537" t="s">
        <v>314</v>
      </c>
      <c r="AC666" s="675"/>
      <c r="AD666" s="675"/>
      <c r="AE666" s="675"/>
      <c r="AG666" s="675"/>
      <c r="AH666" s="680"/>
    </row>
    <row r="667" spans="1:34" s="536" customFormat="1" ht="12" x14ac:dyDescent="0.2">
      <c r="A667" s="605"/>
      <c r="B667" s="552"/>
      <c r="C667" s="1822" t="s">
        <v>348</v>
      </c>
      <c r="D667" s="1822"/>
      <c r="E667" s="1822"/>
      <c r="F667" s="562" t="s">
        <v>315</v>
      </c>
      <c r="G667" s="562" t="s">
        <v>1072</v>
      </c>
      <c r="H667" s="562" t="s">
        <v>189</v>
      </c>
      <c r="I667" s="562" t="s">
        <v>6877</v>
      </c>
      <c r="J667" s="604"/>
      <c r="K667" s="562"/>
      <c r="L667" s="604"/>
      <c r="M667" s="603"/>
      <c r="N667" s="602"/>
      <c r="V667" s="674"/>
      <c r="W667" s="675"/>
      <c r="AA667" s="537" t="s">
        <v>348</v>
      </c>
      <c r="AC667" s="675"/>
      <c r="AD667" s="675"/>
      <c r="AE667" s="675"/>
      <c r="AG667" s="675"/>
      <c r="AH667" s="680"/>
    </row>
    <row r="668" spans="1:34" s="536" customFormat="1" ht="12" x14ac:dyDescent="0.2">
      <c r="A668" s="605"/>
      <c r="B668" s="552"/>
      <c r="C668" s="1828" t="s">
        <v>318</v>
      </c>
      <c r="D668" s="1828"/>
      <c r="E668" s="1828"/>
      <c r="F668" s="608"/>
      <c r="G668" s="608"/>
      <c r="H668" s="608"/>
      <c r="I668" s="608"/>
      <c r="J668" s="607">
        <v>261.12</v>
      </c>
      <c r="K668" s="608"/>
      <c r="L668" s="607">
        <v>540.61</v>
      </c>
      <c r="M668" s="601"/>
      <c r="N668" s="606"/>
      <c r="V668" s="674"/>
      <c r="W668" s="675"/>
      <c r="AB668" s="537" t="s">
        <v>318</v>
      </c>
      <c r="AC668" s="675"/>
      <c r="AD668" s="675"/>
      <c r="AE668" s="675"/>
      <c r="AG668" s="675"/>
      <c r="AH668" s="680"/>
    </row>
    <row r="669" spans="1:34" s="536" customFormat="1" ht="12" x14ac:dyDescent="0.2">
      <c r="A669" s="605"/>
      <c r="B669" s="552"/>
      <c r="C669" s="1822" t="s">
        <v>319</v>
      </c>
      <c r="D669" s="1822"/>
      <c r="E669" s="1822"/>
      <c r="F669" s="562"/>
      <c r="G669" s="562"/>
      <c r="H669" s="562"/>
      <c r="I669" s="562"/>
      <c r="J669" s="604"/>
      <c r="K669" s="562"/>
      <c r="L669" s="604">
        <v>19.18</v>
      </c>
      <c r="M669" s="603"/>
      <c r="N669" s="602"/>
      <c r="V669" s="674"/>
      <c r="W669" s="675"/>
      <c r="AA669" s="537" t="s">
        <v>319</v>
      </c>
      <c r="AC669" s="675"/>
      <c r="AD669" s="675"/>
      <c r="AE669" s="675"/>
      <c r="AG669" s="675"/>
      <c r="AH669" s="680"/>
    </row>
    <row r="670" spans="1:34" s="536" customFormat="1" ht="33.75" x14ac:dyDescent="0.2">
      <c r="A670" s="605"/>
      <c r="B670" s="552" t="s">
        <v>554</v>
      </c>
      <c r="C670" s="1822" t="s">
        <v>555</v>
      </c>
      <c r="D670" s="1822"/>
      <c r="E670" s="1822"/>
      <c r="F670" s="562" t="s">
        <v>322</v>
      </c>
      <c r="G670" s="562" t="s">
        <v>556</v>
      </c>
      <c r="H670" s="562"/>
      <c r="I670" s="562" t="s">
        <v>556</v>
      </c>
      <c r="J670" s="604"/>
      <c r="K670" s="562"/>
      <c r="L670" s="604">
        <v>24.17</v>
      </c>
      <c r="M670" s="603"/>
      <c r="N670" s="602"/>
      <c r="V670" s="674"/>
      <c r="W670" s="675"/>
      <c r="AA670" s="537" t="s">
        <v>555</v>
      </c>
      <c r="AC670" s="675"/>
      <c r="AD670" s="675"/>
      <c r="AE670" s="675"/>
      <c r="AG670" s="675"/>
      <c r="AH670" s="680"/>
    </row>
    <row r="671" spans="1:34" s="536" customFormat="1" ht="33.75" x14ac:dyDescent="0.2">
      <c r="A671" s="605"/>
      <c r="B671" s="552" t="s">
        <v>557</v>
      </c>
      <c r="C671" s="1822" t="s">
        <v>558</v>
      </c>
      <c r="D671" s="1822"/>
      <c r="E671" s="1822"/>
      <c r="F671" s="562" t="s">
        <v>322</v>
      </c>
      <c r="G671" s="562" t="s">
        <v>559</v>
      </c>
      <c r="H671" s="562"/>
      <c r="I671" s="562" t="s">
        <v>559</v>
      </c>
      <c r="J671" s="604"/>
      <c r="K671" s="562"/>
      <c r="L671" s="604">
        <v>18.22</v>
      </c>
      <c r="M671" s="603"/>
      <c r="N671" s="602"/>
      <c r="V671" s="674"/>
      <c r="W671" s="675"/>
      <c r="AA671" s="537" t="s">
        <v>558</v>
      </c>
      <c r="AC671" s="675"/>
      <c r="AD671" s="675"/>
      <c r="AE671" s="675"/>
      <c r="AG671" s="675"/>
      <c r="AH671" s="680"/>
    </row>
    <row r="672" spans="1:34" s="536" customFormat="1" ht="12" x14ac:dyDescent="0.2">
      <c r="A672" s="569"/>
      <c r="B672" s="671"/>
      <c r="C672" s="1823" t="s">
        <v>327</v>
      </c>
      <c r="D672" s="1823"/>
      <c r="E672" s="1823"/>
      <c r="F672" s="573"/>
      <c r="G672" s="573"/>
      <c r="H672" s="573"/>
      <c r="I672" s="573"/>
      <c r="J672" s="572"/>
      <c r="K672" s="573"/>
      <c r="L672" s="572">
        <v>583</v>
      </c>
      <c r="M672" s="601"/>
      <c r="N672" s="570"/>
      <c r="V672" s="674"/>
      <c r="W672" s="675"/>
      <c r="AC672" s="675" t="s">
        <v>327</v>
      </c>
      <c r="AD672" s="675"/>
      <c r="AE672" s="675"/>
      <c r="AG672" s="675"/>
      <c r="AH672" s="680"/>
    </row>
    <row r="673" spans="1:34" s="536" customFormat="1" ht="22.5" x14ac:dyDescent="0.2">
      <c r="A673" s="575" t="s">
        <v>653</v>
      </c>
      <c r="B673" s="670" t="s">
        <v>1082</v>
      </c>
      <c r="C673" s="1823" t="s">
        <v>1083</v>
      </c>
      <c r="D673" s="1823"/>
      <c r="E673" s="1823"/>
      <c r="F673" s="573" t="s">
        <v>694</v>
      </c>
      <c r="G673" s="573"/>
      <c r="H673" s="573"/>
      <c r="I673" s="573" t="s">
        <v>6878</v>
      </c>
      <c r="J673" s="572">
        <v>503.58</v>
      </c>
      <c r="K673" s="573"/>
      <c r="L673" s="572">
        <v>25244.47</v>
      </c>
      <c r="M673" s="571"/>
      <c r="N673" s="570"/>
      <c r="V673" s="674"/>
      <c r="W673" s="675" t="s">
        <v>1083</v>
      </c>
      <c r="AC673" s="675"/>
      <c r="AD673" s="675"/>
      <c r="AE673" s="675"/>
      <c r="AG673" s="675"/>
      <c r="AH673" s="680"/>
    </row>
    <row r="674" spans="1:34" s="536" customFormat="1" ht="12" x14ac:dyDescent="0.2">
      <c r="A674" s="569"/>
      <c r="B674" s="671"/>
      <c r="C674" s="665" t="s">
        <v>717</v>
      </c>
      <c r="D674" s="666"/>
      <c r="E674" s="666"/>
      <c r="F674" s="563"/>
      <c r="G674" s="563"/>
      <c r="H674" s="563"/>
      <c r="I674" s="563"/>
      <c r="J674" s="566"/>
      <c r="K674" s="563"/>
      <c r="L674" s="566"/>
      <c r="M674" s="565"/>
      <c r="N674" s="564"/>
      <c r="V674" s="674"/>
      <c r="W674" s="675"/>
      <c r="AC674" s="675"/>
      <c r="AD674" s="675"/>
      <c r="AE674" s="675"/>
      <c r="AG674" s="675"/>
      <c r="AH674" s="680"/>
    </row>
    <row r="675" spans="1:34" s="536" customFormat="1" ht="45" x14ac:dyDescent="0.2">
      <c r="A675" s="575" t="s">
        <v>794</v>
      </c>
      <c r="B675" s="670" t="s">
        <v>1024</v>
      </c>
      <c r="C675" s="1823" t="s">
        <v>4174</v>
      </c>
      <c r="D675" s="1823"/>
      <c r="E675" s="1823"/>
      <c r="F675" s="573" t="s">
        <v>509</v>
      </c>
      <c r="G675" s="573"/>
      <c r="H675" s="573"/>
      <c r="I675" s="573" t="s">
        <v>6879</v>
      </c>
      <c r="J675" s="572"/>
      <c r="K675" s="573"/>
      <c r="L675" s="572"/>
      <c r="M675" s="571"/>
      <c r="N675" s="570"/>
      <c r="V675" s="674"/>
      <c r="W675" s="675" t="s">
        <v>4174</v>
      </c>
      <c r="AC675" s="675"/>
      <c r="AD675" s="675"/>
      <c r="AE675" s="675"/>
      <c r="AG675" s="675"/>
      <c r="AH675" s="680"/>
    </row>
    <row r="676" spans="1:34" s="536" customFormat="1" ht="12" x14ac:dyDescent="0.2">
      <c r="A676" s="676"/>
      <c r="B676" s="664"/>
      <c r="C676" s="1822" t="s">
        <v>6880</v>
      </c>
      <c r="D676" s="1822"/>
      <c r="E676" s="1822"/>
      <c r="F676" s="1822"/>
      <c r="G676" s="1822"/>
      <c r="H676" s="1822"/>
      <c r="I676" s="1822"/>
      <c r="J676" s="1822"/>
      <c r="K676" s="1822"/>
      <c r="L676" s="1822"/>
      <c r="M676" s="1822"/>
      <c r="N676" s="1827"/>
      <c r="V676" s="674"/>
      <c r="W676" s="675"/>
      <c r="X676" s="537" t="s">
        <v>6880</v>
      </c>
      <c r="AC676" s="675"/>
      <c r="AD676" s="675"/>
      <c r="AE676" s="675"/>
      <c r="AG676" s="675"/>
      <c r="AH676" s="680"/>
    </row>
    <row r="677" spans="1:34" s="536" customFormat="1" ht="33.75" x14ac:dyDescent="0.2">
      <c r="A677" s="609"/>
      <c r="B677" s="552" t="s">
        <v>310</v>
      </c>
      <c r="C677" s="1822" t="s">
        <v>311</v>
      </c>
      <c r="D677" s="1822"/>
      <c r="E677" s="1822"/>
      <c r="F677" s="1822"/>
      <c r="G677" s="1822"/>
      <c r="H677" s="1822"/>
      <c r="I677" s="1822"/>
      <c r="J677" s="1822"/>
      <c r="K677" s="1822"/>
      <c r="L677" s="1822"/>
      <c r="M677" s="1822"/>
      <c r="N677" s="1827"/>
      <c r="V677" s="674"/>
      <c r="W677" s="675"/>
      <c r="Y677" s="537" t="s">
        <v>311</v>
      </c>
      <c r="AC677" s="675"/>
      <c r="AD677" s="675"/>
      <c r="AE677" s="675"/>
      <c r="AG677" s="675"/>
      <c r="AH677" s="680"/>
    </row>
    <row r="678" spans="1:34" s="536" customFormat="1" ht="12" x14ac:dyDescent="0.2">
      <c r="A678" s="605"/>
      <c r="B678" s="552" t="s">
        <v>185</v>
      </c>
      <c r="C678" s="1822" t="s">
        <v>312</v>
      </c>
      <c r="D678" s="1822"/>
      <c r="E678" s="1822"/>
      <c r="F678" s="562"/>
      <c r="G678" s="562"/>
      <c r="H678" s="562"/>
      <c r="I678" s="562"/>
      <c r="J678" s="604">
        <v>115.49</v>
      </c>
      <c r="K678" s="562" t="s">
        <v>313</v>
      </c>
      <c r="L678" s="604">
        <v>90.95</v>
      </c>
      <c r="M678" s="603"/>
      <c r="N678" s="602"/>
      <c r="V678" s="674"/>
      <c r="W678" s="675"/>
      <c r="Z678" s="537" t="s">
        <v>312</v>
      </c>
      <c r="AC678" s="675"/>
      <c r="AD678" s="675"/>
      <c r="AE678" s="675"/>
      <c r="AG678" s="675"/>
      <c r="AH678" s="680"/>
    </row>
    <row r="679" spans="1:34" s="536" customFormat="1" ht="12" x14ac:dyDescent="0.2">
      <c r="A679" s="605"/>
      <c r="B679" s="552" t="s">
        <v>186</v>
      </c>
      <c r="C679" s="1822" t="s">
        <v>344</v>
      </c>
      <c r="D679" s="1822"/>
      <c r="E679" s="1822"/>
      <c r="F679" s="562"/>
      <c r="G679" s="562"/>
      <c r="H679" s="562"/>
      <c r="I679" s="562"/>
      <c r="J679" s="604">
        <v>3357.76</v>
      </c>
      <c r="K679" s="562" t="s">
        <v>313</v>
      </c>
      <c r="L679" s="604">
        <v>2644.24</v>
      </c>
      <c r="M679" s="603"/>
      <c r="N679" s="602"/>
      <c r="V679" s="674"/>
      <c r="W679" s="675"/>
      <c r="Z679" s="537" t="s">
        <v>344</v>
      </c>
      <c r="AC679" s="675"/>
      <c r="AD679" s="675"/>
      <c r="AE679" s="675"/>
      <c r="AG679" s="675"/>
      <c r="AH679" s="680"/>
    </row>
    <row r="680" spans="1:34" s="536" customFormat="1" ht="12" x14ac:dyDescent="0.2">
      <c r="A680" s="605"/>
      <c r="B680" s="552" t="s">
        <v>187</v>
      </c>
      <c r="C680" s="1822" t="s">
        <v>345</v>
      </c>
      <c r="D680" s="1822"/>
      <c r="E680" s="1822"/>
      <c r="F680" s="562"/>
      <c r="G680" s="562"/>
      <c r="H680" s="562"/>
      <c r="I680" s="562"/>
      <c r="J680" s="604">
        <v>181.59</v>
      </c>
      <c r="K680" s="562" t="s">
        <v>313</v>
      </c>
      <c r="L680" s="604">
        <v>143</v>
      </c>
      <c r="M680" s="603"/>
      <c r="N680" s="602"/>
      <c r="V680" s="674"/>
      <c r="W680" s="675"/>
      <c r="Z680" s="537" t="s">
        <v>345</v>
      </c>
      <c r="AC680" s="675"/>
      <c r="AD680" s="675"/>
      <c r="AE680" s="675"/>
      <c r="AG680" s="675"/>
      <c r="AH680" s="680"/>
    </row>
    <row r="681" spans="1:34" s="536" customFormat="1" ht="12" x14ac:dyDescent="0.2">
      <c r="A681" s="605"/>
      <c r="B681" s="552" t="s">
        <v>188</v>
      </c>
      <c r="C681" s="1822" t="s">
        <v>475</v>
      </c>
      <c r="D681" s="1822"/>
      <c r="E681" s="1822"/>
      <c r="F681" s="562"/>
      <c r="G681" s="562"/>
      <c r="H681" s="562"/>
      <c r="I681" s="562"/>
      <c r="J681" s="604">
        <v>17.079999999999998</v>
      </c>
      <c r="K681" s="562"/>
      <c r="L681" s="604">
        <v>10.76</v>
      </c>
      <c r="M681" s="603"/>
      <c r="N681" s="602"/>
      <c r="V681" s="674"/>
      <c r="W681" s="675"/>
      <c r="Z681" s="537" t="s">
        <v>475</v>
      </c>
      <c r="AC681" s="675"/>
      <c r="AD681" s="675"/>
      <c r="AE681" s="675"/>
      <c r="AG681" s="675"/>
      <c r="AH681" s="680"/>
    </row>
    <row r="682" spans="1:34" s="536" customFormat="1" ht="12" x14ac:dyDescent="0.2">
      <c r="A682" s="676"/>
      <c r="B682" s="677" t="s">
        <v>1026</v>
      </c>
      <c r="C682" s="1829" t="s">
        <v>1027</v>
      </c>
      <c r="D682" s="1829"/>
      <c r="E682" s="1829"/>
      <c r="F682" s="678" t="s">
        <v>641</v>
      </c>
      <c r="G682" s="678" t="s">
        <v>525</v>
      </c>
      <c r="H682" s="678"/>
      <c r="I682" s="678" t="s">
        <v>525</v>
      </c>
      <c r="J682" s="552"/>
      <c r="K682" s="562"/>
      <c r="L682" s="604"/>
      <c r="M682" s="562"/>
      <c r="N682" s="679"/>
      <c r="V682" s="674"/>
      <c r="W682" s="675"/>
      <c r="AC682" s="675"/>
      <c r="AD682" s="675"/>
      <c r="AE682" s="675"/>
      <c r="AG682" s="675"/>
      <c r="AH682" s="680" t="s">
        <v>1027</v>
      </c>
    </row>
    <row r="683" spans="1:34" s="536" customFormat="1" ht="12" x14ac:dyDescent="0.2">
      <c r="A683" s="605"/>
      <c r="B683" s="552"/>
      <c r="C683" s="1822" t="s">
        <v>314</v>
      </c>
      <c r="D683" s="1822"/>
      <c r="E683" s="1822"/>
      <c r="F683" s="562" t="s">
        <v>315</v>
      </c>
      <c r="G683" s="562" t="s">
        <v>1028</v>
      </c>
      <c r="H683" s="562" t="s">
        <v>313</v>
      </c>
      <c r="I683" s="562" t="s">
        <v>6881</v>
      </c>
      <c r="J683" s="604"/>
      <c r="K683" s="562"/>
      <c r="L683" s="604"/>
      <c r="M683" s="603"/>
      <c r="N683" s="602"/>
      <c r="V683" s="674"/>
      <c r="W683" s="675"/>
      <c r="AA683" s="537" t="s">
        <v>314</v>
      </c>
      <c r="AC683" s="675"/>
      <c r="AD683" s="675"/>
      <c r="AE683" s="675"/>
      <c r="AG683" s="675"/>
      <c r="AH683" s="680"/>
    </row>
    <row r="684" spans="1:34" s="536" customFormat="1" ht="12" x14ac:dyDescent="0.2">
      <c r="A684" s="605"/>
      <c r="B684" s="552"/>
      <c r="C684" s="1822" t="s">
        <v>348</v>
      </c>
      <c r="D684" s="1822"/>
      <c r="E684" s="1822"/>
      <c r="F684" s="562" t="s">
        <v>315</v>
      </c>
      <c r="G684" s="562" t="s">
        <v>1029</v>
      </c>
      <c r="H684" s="562" t="s">
        <v>313</v>
      </c>
      <c r="I684" s="562" t="s">
        <v>6882</v>
      </c>
      <c r="J684" s="604"/>
      <c r="K684" s="562"/>
      <c r="L684" s="604"/>
      <c r="M684" s="603"/>
      <c r="N684" s="602"/>
      <c r="V684" s="674"/>
      <c r="W684" s="675"/>
      <c r="AA684" s="537" t="s">
        <v>348</v>
      </c>
      <c r="AC684" s="675"/>
      <c r="AD684" s="675"/>
      <c r="AE684" s="675"/>
      <c r="AG684" s="675"/>
      <c r="AH684" s="680"/>
    </row>
    <row r="685" spans="1:34" s="536" customFormat="1" ht="12" x14ac:dyDescent="0.2">
      <c r="A685" s="605"/>
      <c r="B685" s="552"/>
      <c r="C685" s="1828" t="s">
        <v>318</v>
      </c>
      <c r="D685" s="1828"/>
      <c r="E685" s="1828"/>
      <c r="F685" s="608"/>
      <c r="G685" s="608"/>
      <c r="H685" s="608"/>
      <c r="I685" s="608"/>
      <c r="J685" s="607">
        <v>3490.33</v>
      </c>
      <c r="K685" s="608"/>
      <c r="L685" s="607">
        <v>2745.95</v>
      </c>
      <c r="M685" s="601"/>
      <c r="N685" s="606"/>
      <c r="V685" s="674"/>
      <c r="W685" s="675"/>
      <c r="AB685" s="537" t="s">
        <v>318</v>
      </c>
      <c r="AC685" s="675"/>
      <c r="AD685" s="675"/>
      <c r="AE685" s="675"/>
      <c r="AG685" s="675"/>
      <c r="AH685" s="680"/>
    </row>
    <row r="686" spans="1:34" s="536" customFormat="1" ht="12" x14ac:dyDescent="0.2">
      <c r="A686" s="605"/>
      <c r="B686" s="552"/>
      <c r="C686" s="1822" t="s">
        <v>319</v>
      </c>
      <c r="D686" s="1822"/>
      <c r="E686" s="1822"/>
      <c r="F686" s="562"/>
      <c r="G686" s="562"/>
      <c r="H686" s="562"/>
      <c r="I686" s="562"/>
      <c r="J686" s="604"/>
      <c r="K686" s="562"/>
      <c r="L686" s="604">
        <v>233.95</v>
      </c>
      <c r="M686" s="603"/>
      <c r="N686" s="602"/>
      <c r="V686" s="674"/>
      <c r="W686" s="675"/>
      <c r="AA686" s="537" t="s">
        <v>319</v>
      </c>
      <c r="AC686" s="675"/>
      <c r="AD686" s="675"/>
      <c r="AE686" s="675"/>
      <c r="AG686" s="675"/>
      <c r="AH686" s="680"/>
    </row>
    <row r="687" spans="1:34" s="536" customFormat="1" ht="33.75" x14ac:dyDescent="0.2">
      <c r="A687" s="605"/>
      <c r="B687" s="552" t="s">
        <v>554</v>
      </c>
      <c r="C687" s="1822" t="s">
        <v>555</v>
      </c>
      <c r="D687" s="1822"/>
      <c r="E687" s="1822"/>
      <c r="F687" s="562" t="s">
        <v>322</v>
      </c>
      <c r="G687" s="562" t="s">
        <v>556</v>
      </c>
      <c r="H687" s="562"/>
      <c r="I687" s="562" t="s">
        <v>556</v>
      </c>
      <c r="J687" s="604"/>
      <c r="K687" s="562"/>
      <c r="L687" s="604">
        <v>294.77999999999997</v>
      </c>
      <c r="M687" s="603"/>
      <c r="N687" s="602"/>
      <c r="V687" s="674"/>
      <c r="W687" s="675"/>
      <c r="AA687" s="537" t="s">
        <v>555</v>
      </c>
      <c r="AC687" s="675"/>
      <c r="AD687" s="675"/>
      <c r="AE687" s="675"/>
      <c r="AG687" s="675"/>
      <c r="AH687" s="680"/>
    </row>
    <row r="688" spans="1:34" s="536" customFormat="1" ht="33.75" x14ac:dyDescent="0.2">
      <c r="A688" s="605"/>
      <c r="B688" s="552" t="s">
        <v>557</v>
      </c>
      <c r="C688" s="1822" t="s">
        <v>558</v>
      </c>
      <c r="D688" s="1822"/>
      <c r="E688" s="1822"/>
      <c r="F688" s="562" t="s">
        <v>322</v>
      </c>
      <c r="G688" s="562" t="s">
        <v>559</v>
      </c>
      <c r="H688" s="562"/>
      <c r="I688" s="562" t="s">
        <v>559</v>
      </c>
      <c r="J688" s="604"/>
      <c r="K688" s="562"/>
      <c r="L688" s="604">
        <v>222.25</v>
      </c>
      <c r="M688" s="603"/>
      <c r="N688" s="602"/>
      <c r="V688" s="674"/>
      <c r="W688" s="675"/>
      <c r="AA688" s="537" t="s">
        <v>558</v>
      </c>
      <c r="AC688" s="675"/>
      <c r="AD688" s="675"/>
      <c r="AE688" s="675"/>
      <c r="AG688" s="675"/>
      <c r="AH688" s="680"/>
    </row>
    <row r="689" spans="1:34" s="536" customFormat="1" ht="12" x14ac:dyDescent="0.2">
      <c r="A689" s="569"/>
      <c r="B689" s="671"/>
      <c r="C689" s="1823" t="s">
        <v>327</v>
      </c>
      <c r="D689" s="1823"/>
      <c r="E689" s="1823"/>
      <c r="F689" s="573"/>
      <c r="G689" s="573"/>
      <c r="H689" s="573"/>
      <c r="I689" s="573"/>
      <c r="J689" s="572"/>
      <c r="K689" s="573"/>
      <c r="L689" s="572">
        <v>3262.98</v>
      </c>
      <c r="M689" s="601"/>
      <c r="N689" s="570"/>
      <c r="V689" s="674"/>
      <c r="W689" s="675"/>
      <c r="AC689" s="675" t="s">
        <v>327</v>
      </c>
      <c r="AD689" s="675"/>
      <c r="AE689" s="675"/>
      <c r="AG689" s="675"/>
      <c r="AH689" s="680"/>
    </row>
    <row r="690" spans="1:34" s="536" customFormat="1" ht="12" x14ac:dyDescent="0.2">
      <c r="A690" s="575" t="s">
        <v>2347</v>
      </c>
      <c r="B690" s="670" t="s">
        <v>1030</v>
      </c>
      <c r="C690" s="1823" t="s">
        <v>1031</v>
      </c>
      <c r="D690" s="1823"/>
      <c r="E690" s="1823"/>
      <c r="F690" s="573" t="s">
        <v>641</v>
      </c>
      <c r="G690" s="573"/>
      <c r="H690" s="573"/>
      <c r="I690" s="573" t="s">
        <v>6883</v>
      </c>
      <c r="J690" s="572">
        <v>60</v>
      </c>
      <c r="K690" s="573"/>
      <c r="L690" s="572">
        <v>4611.6000000000004</v>
      </c>
      <c r="M690" s="571"/>
      <c r="N690" s="570"/>
      <c r="V690" s="674"/>
      <c r="W690" s="675" t="s">
        <v>1031</v>
      </c>
      <c r="AC690" s="675"/>
      <c r="AD690" s="675"/>
      <c r="AE690" s="675"/>
      <c r="AG690" s="675"/>
      <c r="AH690" s="680"/>
    </row>
    <row r="691" spans="1:34" s="536" customFormat="1" ht="12" x14ac:dyDescent="0.2">
      <c r="A691" s="569"/>
      <c r="B691" s="671"/>
      <c r="C691" s="665" t="s">
        <v>717</v>
      </c>
      <c r="D691" s="666"/>
      <c r="E691" s="666"/>
      <c r="F691" s="563"/>
      <c r="G691" s="563"/>
      <c r="H691" s="563"/>
      <c r="I691" s="563"/>
      <c r="J691" s="566"/>
      <c r="K691" s="563"/>
      <c r="L691" s="566"/>
      <c r="M691" s="565"/>
      <c r="N691" s="564"/>
      <c r="V691" s="674"/>
      <c r="W691" s="675"/>
      <c r="AC691" s="675"/>
      <c r="AD691" s="675"/>
      <c r="AE691" s="675"/>
      <c r="AG691" s="675"/>
      <c r="AH691" s="680"/>
    </row>
    <row r="692" spans="1:34" s="536" customFormat="1" ht="12" x14ac:dyDescent="0.2">
      <c r="A692" s="676"/>
      <c r="B692" s="664"/>
      <c r="C692" s="1822" t="s">
        <v>6884</v>
      </c>
      <c r="D692" s="1822"/>
      <c r="E692" s="1822"/>
      <c r="F692" s="1822"/>
      <c r="G692" s="1822"/>
      <c r="H692" s="1822"/>
      <c r="I692" s="1822"/>
      <c r="J692" s="1822"/>
      <c r="K692" s="1822"/>
      <c r="L692" s="1822"/>
      <c r="M692" s="1822"/>
      <c r="N692" s="1827"/>
      <c r="V692" s="674"/>
      <c r="W692" s="675"/>
      <c r="X692" s="537" t="s">
        <v>6884</v>
      </c>
      <c r="AC692" s="675"/>
      <c r="AD692" s="675"/>
      <c r="AE692" s="675"/>
      <c r="AG692" s="675"/>
      <c r="AH692" s="680"/>
    </row>
    <row r="693" spans="1:34" s="536" customFormat="1" ht="12" x14ac:dyDescent="0.2">
      <c r="A693" s="1830" t="s">
        <v>6885</v>
      </c>
      <c r="B693" s="1831"/>
      <c r="C693" s="1831"/>
      <c r="D693" s="1831"/>
      <c r="E693" s="1831"/>
      <c r="F693" s="1831"/>
      <c r="G693" s="1831"/>
      <c r="H693" s="1831"/>
      <c r="I693" s="1831"/>
      <c r="J693" s="1831"/>
      <c r="K693" s="1831"/>
      <c r="L693" s="1831"/>
      <c r="M693" s="1831"/>
      <c r="N693" s="1832"/>
      <c r="V693" s="674"/>
      <c r="W693" s="675"/>
      <c r="AC693" s="675"/>
      <c r="AD693" s="675" t="s">
        <v>6885</v>
      </c>
      <c r="AE693" s="675"/>
      <c r="AG693" s="675"/>
      <c r="AH693" s="680"/>
    </row>
    <row r="694" spans="1:34" s="536" customFormat="1" ht="33.75" x14ac:dyDescent="0.2">
      <c r="A694" s="575" t="s">
        <v>796</v>
      </c>
      <c r="B694" s="670" t="s">
        <v>1024</v>
      </c>
      <c r="C694" s="1823" t="s">
        <v>1025</v>
      </c>
      <c r="D694" s="1823"/>
      <c r="E694" s="1823"/>
      <c r="F694" s="573" t="s">
        <v>509</v>
      </c>
      <c r="G694" s="573"/>
      <c r="H694" s="573"/>
      <c r="I694" s="573" t="s">
        <v>4705</v>
      </c>
      <c r="J694" s="572"/>
      <c r="K694" s="573"/>
      <c r="L694" s="572"/>
      <c r="M694" s="571"/>
      <c r="N694" s="570"/>
      <c r="V694" s="674"/>
      <c r="W694" s="675" t="s">
        <v>1025</v>
      </c>
      <c r="AC694" s="675"/>
      <c r="AD694" s="675"/>
      <c r="AE694" s="675"/>
      <c r="AG694" s="675"/>
      <c r="AH694" s="680"/>
    </row>
    <row r="695" spans="1:34" s="536" customFormat="1" ht="12" x14ac:dyDescent="0.2">
      <c r="A695" s="676"/>
      <c r="B695" s="664"/>
      <c r="C695" s="1822" t="s">
        <v>6886</v>
      </c>
      <c r="D695" s="1822"/>
      <c r="E695" s="1822"/>
      <c r="F695" s="1822"/>
      <c r="G695" s="1822"/>
      <c r="H695" s="1822"/>
      <c r="I695" s="1822"/>
      <c r="J695" s="1822"/>
      <c r="K695" s="1822"/>
      <c r="L695" s="1822"/>
      <c r="M695" s="1822"/>
      <c r="N695" s="1827"/>
      <c r="V695" s="674"/>
      <c r="W695" s="675"/>
      <c r="X695" s="537" t="s">
        <v>6886</v>
      </c>
      <c r="AC695" s="675"/>
      <c r="AD695" s="675"/>
      <c r="AE695" s="675"/>
      <c r="AG695" s="675"/>
      <c r="AH695" s="680"/>
    </row>
    <row r="696" spans="1:34" s="536" customFormat="1" ht="33.75" x14ac:dyDescent="0.2">
      <c r="A696" s="609"/>
      <c r="B696" s="552" t="s">
        <v>310</v>
      </c>
      <c r="C696" s="1822" t="s">
        <v>311</v>
      </c>
      <c r="D696" s="1822"/>
      <c r="E696" s="1822"/>
      <c r="F696" s="1822"/>
      <c r="G696" s="1822"/>
      <c r="H696" s="1822"/>
      <c r="I696" s="1822"/>
      <c r="J696" s="1822"/>
      <c r="K696" s="1822"/>
      <c r="L696" s="1822"/>
      <c r="M696" s="1822"/>
      <c r="N696" s="1827"/>
      <c r="V696" s="674"/>
      <c r="W696" s="675"/>
      <c r="Y696" s="537" t="s">
        <v>311</v>
      </c>
      <c r="AC696" s="675"/>
      <c r="AD696" s="675"/>
      <c r="AE696" s="675"/>
      <c r="AG696" s="675"/>
      <c r="AH696" s="680"/>
    </row>
    <row r="697" spans="1:34" s="536" customFormat="1" ht="12" x14ac:dyDescent="0.2">
      <c r="A697" s="605"/>
      <c r="B697" s="552" t="s">
        <v>185</v>
      </c>
      <c r="C697" s="1822" t="s">
        <v>312</v>
      </c>
      <c r="D697" s="1822"/>
      <c r="E697" s="1822"/>
      <c r="F697" s="562"/>
      <c r="G697" s="562"/>
      <c r="H697" s="562"/>
      <c r="I697" s="562"/>
      <c r="J697" s="604">
        <v>115.49</v>
      </c>
      <c r="K697" s="562" t="s">
        <v>313</v>
      </c>
      <c r="L697" s="604">
        <v>150.13999999999999</v>
      </c>
      <c r="M697" s="603"/>
      <c r="N697" s="602"/>
      <c r="V697" s="674"/>
      <c r="W697" s="675"/>
      <c r="Z697" s="537" t="s">
        <v>312</v>
      </c>
      <c r="AC697" s="675"/>
      <c r="AD697" s="675"/>
      <c r="AE697" s="675"/>
      <c r="AG697" s="675"/>
      <c r="AH697" s="680"/>
    </row>
    <row r="698" spans="1:34" s="536" customFormat="1" ht="12" x14ac:dyDescent="0.2">
      <c r="A698" s="605"/>
      <c r="B698" s="552" t="s">
        <v>186</v>
      </c>
      <c r="C698" s="1822" t="s">
        <v>344</v>
      </c>
      <c r="D698" s="1822"/>
      <c r="E698" s="1822"/>
      <c r="F698" s="562"/>
      <c r="G698" s="562"/>
      <c r="H698" s="562"/>
      <c r="I698" s="562"/>
      <c r="J698" s="604">
        <v>3357.76</v>
      </c>
      <c r="K698" s="562" t="s">
        <v>313</v>
      </c>
      <c r="L698" s="604">
        <v>4365.09</v>
      </c>
      <c r="M698" s="603"/>
      <c r="N698" s="602"/>
      <c r="V698" s="674"/>
      <c r="W698" s="675"/>
      <c r="Z698" s="537" t="s">
        <v>344</v>
      </c>
      <c r="AC698" s="675"/>
      <c r="AD698" s="675"/>
      <c r="AE698" s="675"/>
      <c r="AG698" s="675"/>
      <c r="AH698" s="680"/>
    </row>
    <row r="699" spans="1:34" s="536" customFormat="1" ht="12" x14ac:dyDescent="0.2">
      <c r="A699" s="605"/>
      <c r="B699" s="552" t="s">
        <v>187</v>
      </c>
      <c r="C699" s="1822" t="s">
        <v>345</v>
      </c>
      <c r="D699" s="1822"/>
      <c r="E699" s="1822"/>
      <c r="F699" s="562"/>
      <c r="G699" s="562"/>
      <c r="H699" s="562"/>
      <c r="I699" s="562"/>
      <c r="J699" s="604">
        <v>181.59</v>
      </c>
      <c r="K699" s="562" t="s">
        <v>313</v>
      </c>
      <c r="L699" s="604">
        <v>236.07</v>
      </c>
      <c r="M699" s="603"/>
      <c r="N699" s="602"/>
      <c r="V699" s="674"/>
      <c r="W699" s="675"/>
      <c r="Z699" s="537" t="s">
        <v>345</v>
      </c>
      <c r="AC699" s="675"/>
      <c r="AD699" s="675"/>
      <c r="AE699" s="675"/>
      <c r="AG699" s="675"/>
      <c r="AH699" s="680"/>
    </row>
    <row r="700" spans="1:34" s="536" customFormat="1" ht="12" x14ac:dyDescent="0.2">
      <c r="A700" s="605"/>
      <c r="B700" s="552" t="s">
        <v>188</v>
      </c>
      <c r="C700" s="1822" t="s">
        <v>475</v>
      </c>
      <c r="D700" s="1822"/>
      <c r="E700" s="1822"/>
      <c r="F700" s="562"/>
      <c r="G700" s="562"/>
      <c r="H700" s="562"/>
      <c r="I700" s="562"/>
      <c r="J700" s="604">
        <v>17.079999999999998</v>
      </c>
      <c r="K700" s="562"/>
      <c r="L700" s="604">
        <v>17.760000000000002</v>
      </c>
      <c r="M700" s="603"/>
      <c r="N700" s="602"/>
      <c r="V700" s="674"/>
      <c r="W700" s="675"/>
      <c r="Z700" s="537" t="s">
        <v>475</v>
      </c>
      <c r="AC700" s="675"/>
      <c r="AD700" s="675"/>
      <c r="AE700" s="675"/>
      <c r="AG700" s="675"/>
      <c r="AH700" s="680"/>
    </row>
    <row r="701" spans="1:34" s="536" customFormat="1" ht="12" x14ac:dyDescent="0.2">
      <c r="A701" s="676"/>
      <c r="B701" s="677" t="s">
        <v>1026</v>
      </c>
      <c r="C701" s="1829" t="s">
        <v>1027</v>
      </c>
      <c r="D701" s="1829"/>
      <c r="E701" s="1829"/>
      <c r="F701" s="678" t="s">
        <v>641</v>
      </c>
      <c r="G701" s="678" t="s">
        <v>525</v>
      </c>
      <c r="H701" s="678"/>
      <c r="I701" s="678" t="s">
        <v>525</v>
      </c>
      <c r="J701" s="552"/>
      <c r="K701" s="562"/>
      <c r="L701" s="604"/>
      <c r="M701" s="562"/>
      <c r="N701" s="679"/>
      <c r="V701" s="674"/>
      <c r="W701" s="675"/>
      <c r="AC701" s="675"/>
      <c r="AD701" s="675"/>
      <c r="AE701" s="675"/>
      <c r="AG701" s="675"/>
      <c r="AH701" s="680" t="s">
        <v>1027</v>
      </c>
    </row>
    <row r="702" spans="1:34" s="536" customFormat="1" ht="12" x14ac:dyDescent="0.2">
      <c r="A702" s="605"/>
      <c r="B702" s="552"/>
      <c r="C702" s="1822" t="s">
        <v>314</v>
      </c>
      <c r="D702" s="1822"/>
      <c r="E702" s="1822"/>
      <c r="F702" s="562" t="s">
        <v>315</v>
      </c>
      <c r="G702" s="562" t="s">
        <v>1028</v>
      </c>
      <c r="H702" s="562" t="s">
        <v>313</v>
      </c>
      <c r="I702" s="562" t="s">
        <v>6887</v>
      </c>
      <c r="J702" s="604"/>
      <c r="K702" s="562"/>
      <c r="L702" s="604"/>
      <c r="M702" s="603"/>
      <c r="N702" s="602"/>
      <c r="V702" s="674"/>
      <c r="W702" s="675"/>
      <c r="AA702" s="537" t="s">
        <v>314</v>
      </c>
      <c r="AC702" s="675"/>
      <c r="AD702" s="675"/>
      <c r="AE702" s="675"/>
      <c r="AG702" s="675"/>
      <c r="AH702" s="680"/>
    </row>
    <row r="703" spans="1:34" s="536" customFormat="1" ht="12" x14ac:dyDescent="0.2">
      <c r="A703" s="605"/>
      <c r="B703" s="552"/>
      <c r="C703" s="1822" t="s">
        <v>348</v>
      </c>
      <c r="D703" s="1822"/>
      <c r="E703" s="1822"/>
      <c r="F703" s="562" t="s">
        <v>315</v>
      </c>
      <c r="G703" s="562" t="s">
        <v>1029</v>
      </c>
      <c r="H703" s="562" t="s">
        <v>313</v>
      </c>
      <c r="I703" s="562" t="s">
        <v>6888</v>
      </c>
      <c r="J703" s="604"/>
      <c r="K703" s="562"/>
      <c r="L703" s="604"/>
      <c r="M703" s="603"/>
      <c r="N703" s="602"/>
      <c r="V703" s="674"/>
      <c r="W703" s="675"/>
      <c r="AA703" s="537" t="s">
        <v>348</v>
      </c>
      <c r="AC703" s="675"/>
      <c r="AD703" s="675"/>
      <c r="AE703" s="675"/>
      <c r="AG703" s="675"/>
      <c r="AH703" s="680"/>
    </row>
    <row r="704" spans="1:34" s="536" customFormat="1" ht="12" x14ac:dyDescent="0.2">
      <c r="A704" s="605"/>
      <c r="B704" s="552"/>
      <c r="C704" s="1828" t="s">
        <v>318</v>
      </c>
      <c r="D704" s="1828"/>
      <c r="E704" s="1828"/>
      <c r="F704" s="608"/>
      <c r="G704" s="608"/>
      <c r="H704" s="608"/>
      <c r="I704" s="608"/>
      <c r="J704" s="607">
        <v>3490.33</v>
      </c>
      <c r="K704" s="608"/>
      <c r="L704" s="607">
        <v>4532.99</v>
      </c>
      <c r="M704" s="601"/>
      <c r="N704" s="606"/>
      <c r="V704" s="674"/>
      <c r="W704" s="675"/>
      <c r="AB704" s="537" t="s">
        <v>318</v>
      </c>
      <c r="AC704" s="675"/>
      <c r="AD704" s="675"/>
      <c r="AE704" s="675"/>
      <c r="AG704" s="675"/>
      <c r="AH704" s="680"/>
    </row>
    <row r="705" spans="1:34" s="536" customFormat="1" ht="12" x14ac:dyDescent="0.2">
      <c r="A705" s="605"/>
      <c r="B705" s="552"/>
      <c r="C705" s="1822" t="s">
        <v>319</v>
      </c>
      <c r="D705" s="1822"/>
      <c r="E705" s="1822"/>
      <c r="F705" s="562"/>
      <c r="G705" s="562"/>
      <c r="H705" s="562"/>
      <c r="I705" s="562"/>
      <c r="J705" s="604"/>
      <c r="K705" s="562"/>
      <c r="L705" s="604">
        <v>386.21</v>
      </c>
      <c r="M705" s="603"/>
      <c r="N705" s="602"/>
      <c r="V705" s="674"/>
      <c r="W705" s="675"/>
      <c r="AA705" s="537" t="s">
        <v>319</v>
      </c>
      <c r="AC705" s="675"/>
      <c r="AD705" s="675"/>
      <c r="AE705" s="675"/>
      <c r="AG705" s="675"/>
      <c r="AH705" s="680"/>
    </row>
    <row r="706" spans="1:34" s="536" customFormat="1" ht="33.75" x14ac:dyDescent="0.2">
      <c r="A706" s="605"/>
      <c r="B706" s="552" t="s">
        <v>554</v>
      </c>
      <c r="C706" s="1822" t="s">
        <v>555</v>
      </c>
      <c r="D706" s="1822"/>
      <c r="E706" s="1822"/>
      <c r="F706" s="562" t="s">
        <v>322</v>
      </c>
      <c r="G706" s="562" t="s">
        <v>556</v>
      </c>
      <c r="H706" s="562"/>
      <c r="I706" s="562" t="s">
        <v>556</v>
      </c>
      <c r="J706" s="604"/>
      <c r="K706" s="562"/>
      <c r="L706" s="604">
        <v>486.62</v>
      </c>
      <c r="M706" s="603"/>
      <c r="N706" s="602"/>
      <c r="V706" s="674"/>
      <c r="W706" s="675"/>
      <c r="AA706" s="537" t="s">
        <v>555</v>
      </c>
      <c r="AC706" s="675"/>
      <c r="AD706" s="675"/>
      <c r="AE706" s="675"/>
      <c r="AG706" s="675"/>
      <c r="AH706" s="680"/>
    </row>
    <row r="707" spans="1:34" s="536" customFormat="1" ht="33.75" x14ac:dyDescent="0.2">
      <c r="A707" s="605"/>
      <c r="B707" s="552" t="s">
        <v>557</v>
      </c>
      <c r="C707" s="1822" t="s">
        <v>558</v>
      </c>
      <c r="D707" s="1822"/>
      <c r="E707" s="1822"/>
      <c r="F707" s="562" t="s">
        <v>322</v>
      </c>
      <c r="G707" s="562" t="s">
        <v>559</v>
      </c>
      <c r="H707" s="562"/>
      <c r="I707" s="562" t="s">
        <v>559</v>
      </c>
      <c r="J707" s="604"/>
      <c r="K707" s="562"/>
      <c r="L707" s="604">
        <v>366.9</v>
      </c>
      <c r="M707" s="603"/>
      <c r="N707" s="602"/>
      <c r="V707" s="674"/>
      <c r="W707" s="675"/>
      <c r="AA707" s="537" t="s">
        <v>558</v>
      </c>
      <c r="AC707" s="675"/>
      <c r="AD707" s="675"/>
      <c r="AE707" s="675"/>
      <c r="AG707" s="675"/>
      <c r="AH707" s="680"/>
    </row>
    <row r="708" spans="1:34" s="536" customFormat="1" ht="12" x14ac:dyDescent="0.2">
      <c r="A708" s="569"/>
      <c r="B708" s="671"/>
      <c r="C708" s="1823" t="s">
        <v>327</v>
      </c>
      <c r="D708" s="1823"/>
      <c r="E708" s="1823"/>
      <c r="F708" s="573"/>
      <c r="G708" s="573"/>
      <c r="H708" s="573"/>
      <c r="I708" s="573"/>
      <c r="J708" s="572"/>
      <c r="K708" s="573"/>
      <c r="L708" s="572">
        <v>5386.51</v>
      </c>
      <c r="M708" s="601"/>
      <c r="N708" s="570"/>
      <c r="V708" s="674"/>
      <c r="W708" s="675"/>
      <c r="AC708" s="675" t="s">
        <v>327</v>
      </c>
      <c r="AD708" s="675"/>
      <c r="AE708" s="675"/>
      <c r="AG708" s="675"/>
      <c r="AH708" s="680"/>
    </row>
    <row r="709" spans="1:34" s="536" customFormat="1" ht="12" x14ac:dyDescent="0.2">
      <c r="A709" s="575" t="s">
        <v>797</v>
      </c>
      <c r="B709" s="670" t="s">
        <v>1030</v>
      </c>
      <c r="C709" s="1823" t="s">
        <v>1031</v>
      </c>
      <c r="D709" s="1823"/>
      <c r="E709" s="1823"/>
      <c r="F709" s="573" t="s">
        <v>641</v>
      </c>
      <c r="G709" s="573"/>
      <c r="H709" s="573"/>
      <c r="I709" s="573" t="s">
        <v>6889</v>
      </c>
      <c r="J709" s="572">
        <v>60</v>
      </c>
      <c r="K709" s="573"/>
      <c r="L709" s="572">
        <v>7612.8</v>
      </c>
      <c r="M709" s="571"/>
      <c r="N709" s="570"/>
      <c r="V709" s="674"/>
      <c r="W709" s="675" t="s">
        <v>1031</v>
      </c>
      <c r="AC709" s="675"/>
      <c r="AD709" s="675"/>
      <c r="AE709" s="675"/>
      <c r="AG709" s="675"/>
      <c r="AH709" s="680"/>
    </row>
    <row r="710" spans="1:34" s="536" customFormat="1" ht="12" x14ac:dyDescent="0.2">
      <c r="A710" s="569"/>
      <c r="B710" s="671"/>
      <c r="C710" s="665" t="s">
        <v>717</v>
      </c>
      <c r="D710" s="666"/>
      <c r="E710" s="666"/>
      <c r="F710" s="563"/>
      <c r="G710" s="563"/>
      <c r="H710" s="563"/>
      <c r="I710" s="563"/>
      <c r="J710" s="566"/>
      <c r="K710" s="563"/>
      <c r="L710" s="566"/>
      <c r="M710" s="565"/>
      <c r="N710" s="564"/>
      <c r="V710" s="674"/>
      <c r="W710" s="675"/>
      <c r="AC710" s="675"/>
      <c r="AD710" s="675"/>
      <c r="AE710" s="675"/>
      <c r="AG710" s="675"/>
      <c r="AH710" s="680"/>
    </row>
    <row r="711" spans="1:34" s="536" customFormat="1" ht="12" x14ac:dyDescent="0.2">
      <c r="A711" s="676"/>
      <c r="B711" s="664"/>
      <c r="C711" s="1822" t="s">
        <v>6890</v>
      </c>
      <c r="D711" s="1822"/>
      <c r="E711" s="1822"/>
      <c r="F711" s="1822"/>
      <c r="G711" s="1822"/>
      <c r="H711" s="1822"/>
      <c r="I711" s="1822"/>
      <c r="J711" s="1822"/>
      <c r="K711" s="1822"/>
      <c r="L711" s="1822"/>
      <c r="M711" s="1822"/>
      <c r="N711" s="1827"/>
      <c r="V711" s="674"/>
      <c r="W711" s="675"/>
      <c r="X711" s="537" t="s">
        <v>6890</v>
      </c>
      <c r="AC711" s="675"/>
      <c r="AD711" s="675"/>
      <c r="AE711" s="675"/>
      <c r="AG711" s="675"/>
      <c r="AH711" s="680"/>
    </row>
    <row r="712" spans="1:34" s="536" customFormat="1" ht="56.25" x14ac:dyDescent="0.2">
      <c r="A712" s="575" t="s">
        <v>798</v>
      </c>
      <c r="B712" s="670" t="s">
        <v>1032</v>
      </c>
      <c r="C712" s="1823" t="s">
        <v>1033</v>
      </c>
      <c r="D712" s="1823"/>
      <c r="E712" s="1823"/>
      <c r="F712" s="573" t="s">
        <v>1034</v>
      </c>
      <c r="G712" s="573"/>
      <c r="H712" s="573"/>
      <c r="I712" s="573" t="s">
        <v>6891</v>
      </c>
      <c r="J712" s="572"/>
      <c r="K712" s="573"/>
      <c r="L712" s="572"/>
      <c r="M712" s="571"/>
      <c r="N712" s="570"/>
      <c r="V712" s="674"/>
      <c r="W712" s="675" t="s">
        <v>1033</v>
      </c>
      <c r="AC712" s="675"/>
      <c r="AD712" s="675"/>
      <c r="AE712" s="675"/>
      <c r="AG712" s="675"/>
      <c r="AH712" s="680"/>
    </row>
    <row r="713" spans="1:34" s="536" customFormat="1" ht="12" x14ac:dyDescent="0.2">
      <c r="A713" s="676"/>
      <c r="B713" s="664"/>
      <c r="C713" s="1822" t="s">
        <v>6892</v>
      </c>
      <c r="D713" s="1822"/>
      <c r="E713" s="1822"/>
      <c r="F713" s="1822"/>
      <c r="G713" s="1822"/>
      <c r="H713" s="1822"/>
      <c r="I713" s="1822"/>
      <c r="J713" s="1822"/>
      <c r="K713" s="1822"/>
      <c r="L713" s="1822"/>
      <c r="M713" s="1822"/>
      <c r="N713" s="1827"/>
      <c r="V713" s="674"/>
      <c r="W713" s="675"/>
      <c r="X713" s="537" t="s">
        <v>6892</v>
      </c>
      <c r="AC713" s="675"/>
      <c r="AD713" s="675"/>
      <c r="AE713" s="675"/>
      <c r="AG713" s="675"/>
      <c r="AH713" s="680"/>
    </row>
    <row r="714" spans="1:34" s="536" customFormat="1" ht="33.75" x14ac:dyDescent="0.2">
      <c r="A714" s="609"/>
      <c r="B714" s="552" t="s">
        <v>310</v>
      </c>
      <c r="C714" s="1822" t="s">
        <v>311</v>
      </c>
      <c r="D714" s="1822"/>
      <c r="E714" s="1822"/>
      <c r="F714" s="1822"/>
      <c r="G714" s="1822"/>
      <c r="H714" s="1822"/>
      <c r="I714" s="1822"/>
      <c r="J714" s="1822"/>
      <c r="K714" s="1822"/>
      <c r="L714" s="1822"/>
      <c r="M714" s="1822"/>
      <c r="N714" s="1827"/>
      <c r="V714" s="674"/>
      <c r="W714" s="675"/>
      <c r="Y714" s="537" t="s">
        <v>311</v>
      </c>
      <c r="AC714" s="675"/>
      <c r="AD714" s="675"/>
      <c r="AE714" s="675"/>
      <c r="AG714" s="675"/>
      <c r="AH714" s="680"/>
    </row>
    <row r="715" spans="1:34" s="536" customFormat="1" ht="12" x14ac:dyDescent="0.2">
      <c r="A715" s="605"/>
      <c r="B715" s="552" t="s">
        <v>185</v>
      </c>
      <c r="C715" s="1822" t="s">
        <v>312</v>
      </c>
      <c r="D715" s="1822"/>
      <c r="E715" s="1822"/>
      <c r="F715" s="562"/>
      <c r="G715" s="562"/>
      <c r="H715" s="562"/>
      <c r="I715" s="562"/>
      <c r="J715" s="604">
        <v>253.43</v>
      </c>
      <c r="K715" s="562" t="s">
        <v>313</v>
      </c>
      <c r="L715" s="604">
        <v>198.53</v>
      </c>
      <c r="M715" s="603"/>
      <c r="N715" s="602"/>
      <c r="V715" s="674"/>
      <c r="W715" s="675"/>
      <c r="Z715" s="537" t="s">
        <v>312</v>
      </c>
      <c r="AC715" s="675"/>
      <c r="AD715" s="675"/>
      <c r="AE715" s="675"/>
      <c r="AG715" s="675"/>
      <c r="AH715" s="680"/>
    </row>
    <row r="716" spans="1:34" s="536" customFormat="1" ht="12" x14ac:dyDescent="0.2">
      <c r="A716" s="605"/>
      <c r="B716" s="552" t="s">
        <v>186</v>
      </c>
      <c r="C716" s="1822" t="s">
        <v>344</v>
      </c>
      <c r="D716" s="1822"/>
      <c r="E716" s="1822"/>
      <c r="F716" s="562"/>
      <c r="G716" s="562"/>
      <c r="H716" s="562"/>
      <c r="I716" s="562"/>
      <c r="J716" s="604">
        <v>4745.3</v>
      </c>
      <c r="K716" s="562" t="s">
        <v>313</v>
      </c>
      <c r="L716" s="604">
        <v>3717.35</v>
      </c>
      <c r="M716" s="603"/>
      <c r="N716" s="602"/>
      <c r="V716" s="674"/>
      <c r="W716" s="675"/>
      <c r="Z716" s="537" t="s">
        <v>344</v>
      </c>
      <c r="AC716" s="675"/>
      <c r="AD716" s="675"/>
      <c r="AE716" s="675"/>
      <c r="AG716" s="675"/>
      <c r="AH716" s="680"/>
    </row>
    <row r="717" spans="1:34" s="536" customFormat="1" ht="12" x14ac:dyDescent="0.2">
      <c r="A717" s="605"/>
      <c r="B717" s="552" t="s">
        <v>187</v>
      </c>
      <c r="C717" s="1822" t="s">
        <v>345</v>
      </c>
      <c r="D717" s="1822"/>
      <c r="E717" s="1822"/>
      <c r="F717" s="562"/>
      <c r="G717" s="562"/>
      <c r="H717" s="562"/>
      <c r="I717" s="562"/>
      <c r="J717" s="604">
        <v>263.3</v>
      </c>
      <c r="K717" s="562" t="s">
        <v>313</v>
      </c>
      <c r="L717" s="604">
        <v>206.26</v>
      </c>
      <c r="M717" s="603"/>
      <c r="N717" s="602"/>
      <c r="V717" s="674"/>
      <c r="W717" s="675"/>
      <c r="Z717" s="537" t="s">
        <v>345</v>
      </c>
      <c r="AC717" s="675"/>
      <c r="AD717" s="675"/>
      <c r="AE717" s="675"/>
      <c r="AG717" s="675"/>
      <c r="AH717" s="680"/>
    </row>
    <row r="718" spans="1:34" s="536" customFormat="1" ht="12" x14ac:dyDescent="0.2">
      <c r="A718" s="605"/>
      <c r="B718" s="552" t="s">
        <v>188</v>
      </c>
      <c r="C718" s="1822" t="s">
        <v>475</v>
      </c>
      <c r="D718" s="1822"/>
      <c r="E718" s="1822"/>
      <c r="F718" s="562"/>
      <c r="G718" s="562"/>
      <c r="H718" s="562"/>
      <c r="I718" s="562"/>
      <c r="J718" s="604">
        <v>61</v>
      </c>
      <c r="K718" s="562"/>
      <c r="L718" s="604">
        <v>38.229999999999997</v>
      </c>
      <c r="M718" s="603"/>
      <c r="N718" s="602"/>
      <c r="V718" s="674"/>
      <c r="W718" s="675"/>
      <c r="Z718" s="537" t="s">
        <v>475</v>
      </c>
      <c r="AC718" s="675"/>
      <c r="AD718" s="675"/>
      <c r="AE718" s="675"/>
      <c r="AG718" s="675"/>
      <c r="AH718" s="680"/>
    </row>
    <row r="719" spans="1:34" s="536" customFormat="1" ht="22.5" x14ac:dyDescent="0.2">
      <c r="A719" s="676"/>
      <c r="B719" s="677" t="s">
        <v>1026</v>
      </c>
      <c r="C719" s="1829" t="s">
        <v>1035</v>
      </c>
      <c r="D719" s="1829"/>
      <c r="E719" s="1829"/>
      <c r="F719" s="678" t="s">
        <v>641</v>
      </c>
      <c r="G719" s="678" t="s">
        <v>525</v>
      </c>
      <c r="H719" s="678"/>
      <c r="I719" s="678" t="s">
        <v>525</v>
      </c>
      <c r="J719" s="552"/>
      <c r="K719" s="562"/>
      <c r="L719" s="604"/>
      <c r="M719" s="562"/>
      <c r="N719" s="679"/>
      <c r="V719" s="674"/>
      <c r="W719" s="675"/>
      <c r="AC719" s="675"/>
      <c r="AD719" s="675"/>
      <c r="AE719" s="675"/>
      <c r="AG719" s="675"/>
      <c r="AH719" s="680" t="s">
        <v>1035</v>
      </c>
    </row>
    <row r="720" spans="1:34" s="536" customFormat="1" ht="22.5" x14ac:dyDescent="0.2">
      <c r="A720" s="605"/>
      <c r="B720" s="552"/>
      <c r="C720" s="1822" t="s">
        <v>314</v>
      </c>
      <c r="D720" s="1822"/>
      <c r="E720" s="1822"/>
      <c r="F720" s="562" t="s">
        <v>315</v>
      </c>
      <c r="G720" s="562" t="s">
        <v>1036</v>
      </c>
      <c r="H720" s="562" t="s">
        <v>313</v>
      </c>
      <c r="I720" s="562" t="s">
        <v>6893</v>
      </c>
      <c r="J720" s="604"/>
      <c r="K720" s="562"/>
      <c r="L720" s="604"/>
      <c r="M720" s="603"/>
      <c r="N720" s="602"/>
      <c r="V720" s="674"/>
      <c r="W720" s="675"/>
      <c r="AA720" s="537" t="s">
        <v>314</v>
      </c>
      <c r="AC720" s="675"/>
      <c r="AD720" s="675"/>
      <c r="AE720" s="675"/>
      <c r="AG720" s="675"/>
      <c r="AH720" s="680"/>
    </row>
    <row r="721" spans="1:34" s="536" customFormat="1" ht="22.5" x14ac:dyDescent="0.2">
      <c r="A721" s="605"/>
      <c r="B721" s="552"/>
      <c r="C721" s="1822" t="s">
        <v>348</v>
      </c>
      <c r="D721" s="1822"/>
      <c r="E721" s="1822"/>
      <c r="F721" s="562" t="s">
        <v>315</v>
      </c>
      <c r="G721" s="562" t="s">
        <v>1037</v>
      </c>
      <c r="H721" s="562" t="s">
        <v>313</v>
      </c>
      <c r="I721" s="562" t="s">
        <v>6894</v>
      </c>
      <c r="J721" s="604"/>
      <c r="K721" s="562"/>
      <c r="L721" s="604"/>
      <c r="M721" s="603"/>
      <c r="N721" s="602"/>
      <c r="V721" s="674"/>
      <c r="W721" s="675"/>
      <c r="AA721" s="537" t="s">
        <v>348</v>
      </c>
      <c r="AC721" s="675"/>
      <c r="AD721" s="675"/>
      <c r="AE721" s="675"/>
      <c r="AG721" s="675"/>
      <c r="AH721" s="680"/>
    </row>
    <row r="722" spans="1:34" s="536" customFormat="1" ht="12" x14ac:dyDescent="0.2">
      <c r="A722" s="605"/>
      <c r="B722" s="552"/>
      <c r="C722" s="1828" t="s">
        <v>318</v>
      </c>
      <c r="D722" s="1828"/>
      <c r="E722" s="1828"/>
      <c r="F722" s="608"/>
      <c r="G722" s="608"/>
      <c r="H722" s="608"/>
      <c r="I722" s="608"/>
      <c r="J722" s="607">
        <v>5059.7299999999996</v>
      </c>
      <c r="K722" s="608"/>
      <c r="L722" s="607">
        <v>3954.11</v>
      </c>
      <c r="M722" s="601"/>
      <c r="N722" s="606"/>
      <c r="V722" s="674"/>
      <c r="W722" s="675"/>
      <c r="AB722" s="537" t="s">
        <v>318</v>
      </c>
      <c r="AC722" s="675"/>
      <c r="AD722" s="675"/>
      <c r="AE722" s="675"/>
      <c r="AG722" s="675"/>
      <c r="AH722" s="680"/>
    </row>
    <row r="723" spans="1:34" s="536" customFormat="1" ht="12" x14ac:dyDescent="0.2">
      <c r="A723" s="605"/>
      <c r="B723" s="552"/>
      <c r="C723" s="1822" t="s">
        <v>319</v>
      </c>
      <c r="D723" s="1822"/>
      <c r="E723" s="1822"/>
      <c r="F723" s="562"/>
      <c r="G723" s="562"/>
      <c r="H723" s="562"/>
      <c r="I723" s="562"/>
      <c r="J723" s="604"/>
      <c r="K723" s="562"/>
      <c r="L723" s="604">
        <v>404.79</v>
      </c>
      <c r="M723" s="603"/>
      <c r="N723" s="602"/>
      <c r="V723" s="674"/>
      <c r="W723" s="675"/>
      <c r="AA723" s="537" t="s">
        <v>319</v>
      </c>
      <c r="AC723" s="675"/>
      <c r="AD723" s="675"/>
      <c r="AE723" s="675"/>
      <c r="AG723" s="675"/>
      <c r="AH723" s="680"/>
    </row>
    <row r="724" spans="1:34" s="536" customFormat="1" ht="33.75" x14ac:dyDescent="0.2">
      <c r="A724" s="605"/>
      <c r="B724" s="552" t="s">
        <v>554</v>
      </c>
      <c r="C724" s="1822" t="s">
        <v>555</v>
      </c>
      <c r="D724" s="1822"/>
      <c r="E724" s="1822"/>
      <c r="F724" s="562" t="s">
        <v>322</v>
      </c>
      <c r="G724" s="562" t="s">
        <v>556</v>
      </c>
      <c r="H724" s="562"/>
      <c r="I724" s="562" t="s">
        <v>556</v>
      </c>
      <c r="J724" s="604"/>
      <c r="K724" s="562"/>
      <c r="L724" s="604">
        <v>510.04</v>
      </c>
      <c r="M724" s="603"/>
      <c r="N724" s="602"/>
      <c r="V724" s="674"/>
      <c r="W724" s="675"/>
      <c r="AA724" s="537" t="s">
        <v>555</v>
      </c>
      <c r="AC724" s="675"/>
      <c r="AD724" s="675"/>
      <c r="AE724" s="675"/>
      <c r="AG724" s="675"/>
      <c r="AH724" s="680"/>
    </row>
    <row r="725" spans="1:34" s="536" customFormat="1" ht="33.75" x14ac:dyDescent="0.2">
      <c r="A725" s="605"/>
      <c r="B725" s="552" t="s">
        <v>557</v>
      </c>
      <c r="C725" s="1822" t="s">
        <v>558</v>
      </c>
      <c r="D725" s="1822"/>
      <c r="E725" s="1822"/>
      <c r="F725" s="562" t="s">
        <v>322</v>
      </c>
      <c r="G725" s="562" t="s">
        <v>559</v>
      </c>
      <c r="H725" s="562"/>
      <c r="I725" s="562" t="s">
        <v>559</v>
      </c>
      <c r="J725" s="604"/>
      <c r="K725" s="562"/>
      <c r="L725" s="604">
        <v>384.55</v>
      </c>
      <c r="M725" s="603"/>
      <c r="N725" s="602"/>
      <c r="V725" s="674"/>
      <c r="W725" s="675"/>
      <c r="AA725" s="537" t="s">
        <v>558</v>
      </c>
      <c r="AC725" s="675"/>
      <c r="AD725" s="675"/>
      <c r="AE725" s="675"/>
      <c r="AG725" s="675"/>
      <c r="AH725" s="680"/>
    </row>
    <row r="726" spans="1:34" s="536" customFormat="1" ht="12" x14ac:dyDescent="0.2">
      <c r="A726" s="569"/>
      <c r="B726" s="671"/>
      <c r="C726" s="1823" t="s">
        <v>327</v>
      </c>
      <c r="D726" s="1823"/>
      <c r="E726" s="1823"/>
      <c r="F726" s="573"/>
      <c r="G726" s="573"/>
      <c r="H726" s="573"/>
      <c r="I726" s="573"/>
      <c r="J726" s="572"/>
      <c r="K726" s="573"/>
      <c r="L726" s="572">
        <v>4848.7</v>
      </c>
      <c r="M726" s="601"/>
      <c r="N726" s="570"/>
      <c r="V726" s="674"/>
      <c r="W726" s="675"/>
      <c r="AC726" s="675" t="s">
        <v>327</v>
      </c>
      <c r="AD726" s="675"/>
      <c r="AE726" s="675"/>
      <c r="AG726" s="675"/>
      <c r="AH726" s="680"/>
    </row>
    <row r="727" spans="1:34" s="536" customFormat="1" ht="45" x14ac:dyDescent="0.2">
      <c r="A727" s="575" t="s">
        <v>2349</v>
      </c>
      <c r="B727" s="670" t="s">
        <v>1038</v>
      </c>
      <c r="C727" s="1823" t="s">
        <v>1039</v>
      </c>
      <c r="D727" s="1823"/>
      <c r="E727" s="1823"/>
      <c r="F727" s="573" t="s">
        <v>1034</v>
      </c>
      <c r="G727" s="573"/>
      <c r="H727" s="573"/>
      <c r="I727" s="573" t="s">
        <v>6891</v>
      </c>
      <c r="J727" s="572"/>
      <c r="K727" s="573"/>
      <c r="L727" s="572"/>
      <c r="M727" s="571"/>
      <c r="N727" s="570"/>
      <c r="V727" s="674"/>
      <c r="W727" s="675" t="s">
        <v>1039</v>
      </c>
      <c r="AC727" s="675"/>
      <c r="AD727" s="675"/>
      <c r="AE727" s="675"/>
      <c r="AG727" s="675"/>
      <c r="AH727" s="680"/>
    </row>
    <row r="728" spans="1:34" s="536" customFormat="1" ht="12" x14ac:dyDescent="0.2">
      <c r="A728" s="676"/>
      <c r="B728" s="664"/>
      <c r="C728" s="1822" t="s">
        <v>6892</v>
      </c>
      <c r="D728" s="1822"/>
      <c r="E728" s="1822"/>
      <c r="F728" s="1822"/>
      <c r="G728" s="1822"/>
      <c r="H728" s="1822"/>
      <c r="I728" s="1822"/>
      <c r="J728" s="1822"/>
      <c r="K728" s="1822"/>
      <c r="L728" s="1822"/>
      <c r="M728" s="1822"/>
      <c r="N728" s="1827"/>
      <c r="V728" s="674"/>
      <c r="W728" s="675"/>
      <c r="X728" s="537" t="s">
        <v>6892</v>
      </c>
      <c r="AC728" s="675"/>
      <c r="AD728" s="675"/>
      <c r="AE728" s="675"/>
      <c r="AG728" s="675"/>
      <c r="AH728" s="680"/>
    </row>
    <row r="729" spans="1:34" s="536" customFormat="1" ht="12" x14ac:dyDescent="0.2">
      <c r="A729" s="609"/>
      <c r="B729" s="552"/>
      <c r="C729" s="1822" t="s">
        <v>4146</v>
      </c>
      <c r="D729" s="1822"/>
      <c r="E729" s="1822"/>
      <c r="F729" s="1822"/>
      <c r="G729" s="1822"/>
      <c r="H729" s="1822"/>
      <c r="I729" s="1822"/>
      <c r="J729" s="1822"/>
      <c r="K729" s="1822"/>
      <c r="L729" s="1822"/>
      <c r="M729" s="1822"/>
      <c r="N729" s="1827"/>
      <c r="V729" s="674"/>
      <c r="W729" s="675"/>
      <c r="Y729" s="537" t="s">
        <v>4146</v>
      </c>
      <c r="AC729" s="675"/>
      <c r="AD729" s="675"/>
      <c r="AE729" s="675"/>
      <c r="AG729" s="675"/>
      <c r="AH729" s="680"/>
    </row>
    <row r="730" spans="1:34" s="536" customFormat="1" ht="33.75" x14ac:dyDescent="0.2">
      <c r="A730" s="609"/>
      <c r="B730" s="552" t="s">
        <v>310</v>
      </c>
      <c r="C730" s="1822" t="s">
        <v>311</v>
      </c>
      <c r="D730" s="1822"/>
      <c r="E730" s="1822"/>
      <c r="F730" s="1822"/>
      <c r="G730" s="1822"/>
      <c r="H730" s="1822"/>
      <c r="I730" s="1822"/>
      <c r="J730" s="1822"/>
      <c r="K730" s="1822"/>
      <c r="L730" s="1822"/>
      <c r="M730" s="1822"/>
      <c r="N730" s="1827"/>
      <c r="V730" s="674"/>
      <c r="W730" s="675"/>
      <c r="Y730" s="537" t="s">
        <v>311</v>
      </c>
      <c r="AC730" s="675"/>
      <c r="AD730" s="675"/>
      <c r="AE730" s="675"/>
      <c r="AG730" s="675"/>
      <c r="AH730" s="680"/>
    </row>
    <row r="731" spans="1:34" s="536" customFormat="1" ht="12" x14ac:dyDescent="0.2">
      <c r="A731" s="605"/>
      <c r="B731" s="552" t="s">
        <v>186</v>
      </c>
      <c r="C731" s="1822" t="s">
        <v>344</v>
      </c>
      <c r="D731" s="1822"/>
      <c r="E731" s="1822"/>
      <c r="F731" s="562"/>
      <c r="G731" s="562"/>
      <c r="H731" s="562"/>
      <c r="I731" s="562"/>
      <c r="J731" s="604">
        <v>119.54</v>
      </c>
      <c r="K731" s="562" t="s">
        <v>1041</v>
      </c>
      <c r="L731" s="604">
        <v>1404.67</v>
      </c>
      <c r="M731" s="603"/>
      <c r="N731" s="602"/>
      <c r="V731" s="674"/>
      <c r="W731" s="675"/>
      <c r="Z731" s="537" t="s">
        <v>344</v>
      </c>
      <c r="AC731" s="675"/>
      <c r="AD731" s="675"/>
      <c r="AE731" s="675"/>
      <c r="AG731" s="675"/>
      <c r="AH731" s="680"/>
    </row>
    <row r="732" spans="1:34" s="536" customFormat="1" ht="12" x14ac:dyDescent="0.2">
      <c r="A732" s="605"/>
      <c r="B732" s="552" t="s">
        <v>187</v>
      </c>
      <c r="C732" s="1822" t="s">
        <v>345</v>
      </c>
      <c r="D732" s="1822"/>
      <c r="E732" s="1822"/>
      <c r="F732" s="562"/>
      <c r="G732" s="562"/>
      <c r="H732" s="562"/>
      <c r="I732" s="562"/>
      <c r="J732" s="604">
        <v>5.78</v>
      </c>
      <c r="K732" s="562" t="s">
        <v>1041</v>
      </c>
      <c r="L732" s="604">
        <v>67.92</v>
      </c>
      <c r="M732" s="603"/>
      <c r="N732" s="602"/>
      <c r="V732" s="674"/>
      <c r="W732" s="675"/>
      <c r="Z732" s="537" t="s">
        <v>345</v>
      </c>
      <c r="AC732" s="675"/>
      <c r="AD732" s="675"/>
      <c r="AE732" s="675"/>
      <c r="AG732" s="675"/>
      <c r="AH732" s="680"/>
    </row>
    <row r="733" spans="1:34" s="536" customFormat="1" ht="22.5" x14ac:dyDescent="0.2">
      <c r="A733" s="676"/>
      <c r="B733" s="677" t="s">
        <v>1026</v>
      </c>
      <c r="C733" s="1829" t="s">
        <v>1035</v>
      </c>
      <c r="D733" s="1829"/>
      <c r="E733" s="1829"/>
      <c r="F733" s="678" t="s">
        <v>641</v>
      </c>
      <c r="G733" s="678" t="s">
        <v>525</v>
      </c>
      <c r="H733" s="678" t="s">
        <v>199</v>
      </c>
      <c r="I733" s="678" t="s">
        <v>525</v>
      </c>
      <c r="J733" s="552"/>
      <c r="K733" s="562"/>
      <c r="L733" s="604"/>
      <c r="M733" s="562"/>
      <c r="N733" s="679"/>
      <c r="V733" s="674"/>
      <c r="W733" s="675"/>
      <c r="AC733" s="675"/>
      <c r="AD733" s="675"/>
      <c r="AE733" s="675"/>
      <c r="AG733" s="675"/>
      <c r="AH733" s="680" t="s">
        <v>1035</v>
      </c>
    </row>
    <row r="734" spans="1:34" s="536" customFormat="1" ht="12" x14ac:dyDescent="0.2">
      <c r="A734" s="605"/>
      <c r="B734" s="552"/>
      <c r="C734" s="1822" t="s">
        <v>348</v>
      </c>
      <c r="D734" s="1822"/>
      <c r="E734" s="1822"/>
      <c r="F734" s="562" t="s">
        <v>315</v>
      </c>
      <c r="G734" s="562" t="s">
        <v>1042</v>
      </c>
      <c r="H734" s="562" t="s">
        <v>1041</v>
      </c>
      <c r="I734" s="562" t="s">
        <v>6895</v>
      </c>
      <c r="J734" s="604"/>
      <c r="K734" s="562"/>
      <c r="L734" s="604"/>
      <c r="M734" s="603"/>
      <c r="N734" s="602"/>
      <c r="V734" s="674"/>
      <c r="W734" s="675"/>
      <c r="AA734" s="537" t="s">
        <v>348</v>
      </c>
      <c r="AC734" s="675"/>
      <c r="AD734" s="675"/>
      <c r="AE734" s="675"/>
      <c r="AG734" s="675"/>
      <c r="AH734" s="680"/>
    </row>
    <row r="735" spans="1:34" s="536" customFormat="1" ht="12" x14ac:dyDescent="0.2">
      <c r="A735" s="605"/>
      <c r="B735" s="552"/>
      <c r="C735" s="1828" t="s">
        <v>318</v>
      </c>
      <c r="D735" s="1828"/>
      <c r="E735" s="1828"/>
      <c r="F735" s="608"/>
      <c r="G735" s="608"/>
      <c r="H735" s="608"/>
      <c r="I735" s="608"/>
      <c r="J735" s="607">
        <v>119.54</v>
      </c>
      <c r="K735" s="608"/>
      <c r="L735" s="607">
        <v>1404.67</v>
      </c>
      <c r="M735" s="601"/>
      <c r="N735" s="606"/>
      <c r="V735" s="674"/>
      <c r="W735" s="675"/>
      <c r="AB735" s="537" t="s">
        <v>318</v>
      </c>
      <c r="AC735" s="675"/>
      <c r="AD735" s="675"/>
      <c r="AE735" s="675"/>
      <c r="AG735" s="675"/>
      <c r="AH735" s="680"/>
    </row>
    <row r="736" spans="1:34" s="536" customFormat="1" ht="12" x14ac:dyDescent="0.2">
      <c r="A736" s="605"/>
      <c r="B736" s="552"/>
      <c r="C736" s="1822" t="s">
        <v>319</v>
      </c>
      <c r="D736" s="1822"/>
      <c r="E736" s="1822"/>
      <c r="F736" s="562"/>
      <c r="G736" s="562"/>
      <c r="H736" s="562"/>
      <c r="I736" s="562"/>
      <c r="J736" s="604"/>
      <c r="K736" s="562"/>
      <c r="L736" s="604">
        <v>67.92</v>
      </c>
      <c r="M736" s="603"/>
      <c r="N736" s="602"/>
      <c r="V736" s="674"/>
      <c r="W736" s="675"/>
      <c r="AA736" s="537" t="s">
        <v>319</v>
      </c>
      <c r="AC736" s="675"/>
      <c r="AD736" s="675"/>
      <c r="AE736" s="675"/>
      <c r="AG736" s="675"/>
      <c r="AH736" s="680"/>
    </row>
    <row r="737" spans="1:34" s="536" customFormat="1" ht="33.75" x14ac:dyDescent="0.2">
      <c r="A737" s="605"/>
      <c r="B737" s="552" t="s">
        <v>554</v>
      </c>
      <c r="C737" s="1822" t="s">
        <v>555</v>
      </c>
      <c r="D737" s="1822"/>
      <c r="E737" s="1822"/>
      <c r="F737" s="562" t="s">
        <v>322</v>
      </c>
      <c r="G737" s="562" t="s">
        <v>556</v>
      </c>
      <c r="H737" s="562"/>
      <c r="I737" s="562" t="s">
        <v>556</v>
      </c>
      <c r="J737" s="604"/>
      <c r="K737" s="562"/>
      <c r="L737" s="604">
        <v>85.58</v>
      </c>
      <c r="M737" s="603"/>
      <c r="N737" s="602"/>
      <c r="V737" s="674"/>
      <c r="W737" s="675"/>
      <c r="AA737" s="537" t="s">
        <v>555</v>
      </c>
      <c r="AC737" s="675"/>
      <c r="AD737" s="675"/>
      <c r="AE737" s="675"/>
      <c r="AG737" s="675"/>
      <c r="AH737" s="680"/>
    </row>
    <row r="738" spans="1:34" s="536" customFormat="1" ht="33.75" x14ac:dyDescent="0.2">
      <c r="A738" s="605"/>
      <c r="B738" s="552" t="s">
        <v>557</v>
      </c>
      <c r="C738" s="1822" t="s">
        <v>558</v>
      </c>
      <c r="D738" s="1822"/>
      <c r="E738" s="1822"/>
      <c r="F738" s="562" t="s">
        <v>322</v>
      </c>
      <c r="G738" s="562" t="s">
        <v>559</v>
      </c>
      <c r="H738" s="562"/>
      <c r="I738" s="562" t="s">
        <v>559</v>
      </c>
      <c r="J738" s="604"/>
      <c r="K738" s="562"/>
      <c r="L738" s="604">
        <v>64.52</v>
      </c>
      <c r="M738" s="603"/>
      <c r="N738" s="602"/>
      <c r="V738" s="674"/>
      <c r="W738" s="675"/>
      <c r="AA738" s="537" t="s">
        <v>558</v>
      </c>
      <c r="AC738" s="675"/>
      <c r="AD738" s="675"/>
      <c r="AE738" s="675"/>
      <c r="AG738" s="675"/>
      <c r="AH738" s="680"/>
    </row>
    <row r="739" spans="1:34" s="536" customFormat="1" ht="12" x14ac:dyDescent="0.2">
      <c r="A739" s="569"/>
      <c r="B739" s="671"/>
      <c r="C739" s="1823" t="s">
        <v>327</v>
      </c>
      <c r="D739" s="1823"/>
      <c r="E739" s="1823"/>
      <c r="F739" s="573"/>
      <c r="G739" s="573"/>
      <c r="H739" s="573"/>
      <c r="I739" s="573"/>
      <c r="J739" s="572"/>
      <c r="K739" s="573"/>
      <c r="L739" s="572">
        <v>1554.77</v>
      </c>
      <c r="M739" s="601"/>
      <c r="N739" s="570"/>
      <c r="V739" s="674"/>
      <c r="W739" s="675"/>
      <c r="AC739" s="675" t="s">
        <v>327</v>
      </c>
      <c r="AD739" s="675"/>
      <c r="AE739" s="675"/>
      <c r="AG739" s="675"/>
      <c r="AH739" s="680"/>
    </row>
    <row r="740" spans="1:34" s="536" customFormat="1" ht="45" x14ac:dyDescent="0.2">
      <c r="A740" s="575" t="s">
        <v>2037</v>
      </c>
      <c r="B740" s="670" t="s">
        <v>1043</v>
      </c>
      <c r="C740" s="1823" t="s">
        <v>1044</v>
      </c>
      <c r="D740" s="1823"/>
      <c r="E740" s="1823"/>
      <c r="F740" s="573" t="s">
        <v>641</v>
      </c>
      <c r="G740" s="573"/>
      <c r="H740" s="573"/>
      <c r="I740" s="573" t="s">
        <v>6896</v>
      </c>
      <c r="J740" s="572">
        <v>168.78</v>
      </c>
      <c r="K740" s="573"/>
      <c r="L740" s="572">
        <v>34903.699999999997</v>
      </c>
      <c r="M740" s="571"/>
      <c r="N740" s="570"/>
      <c r="V740" s="674"/>
      <c r="W740" s="675" t="s">
        <v>1044</v>
      </c>
      <c r="AC740" s="675"/>
      <c r="AD740" s="675"/>
      <c r="AE740" s="675"/>
      <c r="AG740" s="675"/>
      <c r="AH740" s="680"/>
    </row>
    <row r="741" spans="1:34" s="536" customFormat="1" ht="12" x14ac:dyDescent="0.2">
      <c r="A741" s="569"/>
      <c r="B741" s="671"/>
      <c r="C741" s="665" t="s">
        <v>717</v>
      </c>
      <c r="D741" s="666"/>
      <c r="E741" s="666"/>
      <c r="F741" s="563"/>
      <c r="G741" s="563"/>
      <c r="H741" s="563"/>
      <c r="I741" s="563"/>
      <c r="J741" s="566"/>
      <c r="K741" s="563"/>
      <c r="L741" s="566"/>
      <c r="M741" s="565"/>
      <c r="N741" s="564"/>
      <c r="V741" s="674"/>
      <c r="W741" s="675"/>
      <c r="AC741" s="675"/>
      <c r="AD741" s="675"/>
      <c r="AE741" s="675"/>
      <c r="AG741" s="675"/>
      <c r="AH741" s="680"/>
    </row>
    <row r="742" spans="1:34" s="536" customFormat="1" ht="12" x14ac:dyDescent="0.2">
      <c r="A742" s="676"/>
      <c r="B742" s="664"/>
      <c r="C742" s="1822" t="s">
        <v>6897</v>
      </c>
      <c r="D742" s="1822"/>
      <c r="E742" s="1822"/>
      <c r="F742" s="1822"/>
      <c r="G742" s="1822"/>
      <c r="H742" s="1822"/>
      <c r="I742" s="1822"/>
      <c r="J742" s="1822"/>
      <c r="K742" s="1822"/>
      <c r="L742" s="1822"/>
      <c r="M742" s="1822"/>
      <c r="N742" s="1827"/>
      <c r="V742" s="674"/>
      <c r="W742" s="675"/>
      <c r="X742" s="537" t="s">
        <v>6897</v>
      </c>
      <c r="AC742" s="675"/>
      <c r="AD742" s="675"/>
      <c r="AE742" s="675"/>
      <c r="AG742" s="675"/>
      <c r="AH742" s="680"/>
    </row>
    <row r="743" spans="1:34" s="536" customFormat="1" ht="67.5" x14ac:dyDescent="0.2">
      <c r="A743" s="575" t="s">
        <v>804</v>
      </c>
      <c r="B743" s="670" t="s">
        <v>1045</v>
      </c>
      <c r="C743" s="1823" t="s">
        <v>4150</v>
      </c>
      <c r="D743" s="1823"/>
      <c r="E743" s="1823"/>
      <c r="F743" s="573" t="s">
        <v>1034</v>
      </c>
      <c r="G743" s="573"/>
      <c r="H743" s="573"/>
      <c r="I743" s="573" t="s">
        <v>6898</v>
      </c>
      <c r="J743" s="572"/>
      <c r="K743" s="573"/>
      <c r="L743" s="572"/>
      <c r="M743" s="571"/>
      <c r="N743" s="570"/>
      <c r="V743" s="674"/>
      <c r="W743" s="675" t="s">
        <v>4150</v>
      </c>
      <c r="AC743" s="675"/>
      <c r="AD743" s="675"/>
      <c r="AE743" s="675"/>
      <c r="AG743" s="675"/>
      <c r="AH743" s="680"/>
    </row>
    <row r="744" spans="1:34" s="536" customFormat="1" ht="12" x14ac:dyDescent="0.2">
      <c r="A744" s="676"/>
      <c r="B744" s="664"/>
      <c r="C744" s="1822" t="s">
        <v>6899</v>
      </c>
      <c r="D744" s="1822"/>
      <c r="E744" s="1822"/>
      <c r="F744" s="1822"/>
      <c r="G744" s="1822"/>
      <c r="H744" s="1822"/>
      <c r="I744" s="1822"/>
      <c r="J744" s="1822"/>
      <c r="K744" s="1822"/>
      <c r="L744" s="1822"/>
      <c r="M744" s="1822"/>
      <c r="N744" s="1827"/>
      <c r="V744" s="674"/>
      <c r="W744" s="675"/>
      <c r="X744" s="537" t="s">
        <v>6899</v>
      </c>
      <c r="AC744" s="675"/>
      <c r="AD744" s="675"/>
      <c r="AE744" s="675"/>
      <c r="AG744" s="675"/>
      <c r="AH744" s="680"/>
    </row>
    <row r="745" spans="1:34" s="536" customFormat="1" ht="33.75" x14ac:dyDescent="0.2">
      <c r="A745" s="609"/>
      <c r="B745" s="552" t="s">
        <v>310</v>
      </c>
      <c r="C745" s="1822" t="s">
        <v>311</v>
      </c>
      <c r="D745" s="1822"/>
      <c r="E745" s="1822"/>
      <c r="F745" s="1822"/>
      <c r="G745" s="1822"/>
      <c r="H745" s="1822"/>
      <c r="I745" s="1822"/>
      <c r="J745" s="1822"/>
      <c r="K745" s="1822"/>
      <c r="L745" s="1822"/>
      <c r="M745" s="1822"/>
      <c r="N745" s="1827"/>
      <c r="V745" s="674"/>
      <c r="W745" s="675"/>
      <c r="Y745" s="537" t="s">
        <v>311</v>
      </c>
      <c r="AC745" s="675"/>
      <c r="AD745" s="675"/>
      <c r="AE745" s="675"/>
      <c r="AG745" s="675"/>
      <c r="AH745" s="680"/>
    </row>
    <row r="746" spans="1:34" s="536" customFormat="1" ht="12" x14ac:dyDescent="0.2">
      <c r="A746" s="605"/>
      <c r="B746" s="552" t="s">
        <v>185</v>
      </c>
      <c r="C746" s="1822" t="s">
        <v>312</v>
      </c>
      <c r="D746" s="1822"/>
      <c r="E746" s="1822"/>
      <c r="F746" s="562"/>
      <c r="G746" s="562"/>
      <c r="H746" s="562"/>
      <c r="I746" s="562"/>
      <c r="J746" s="604">
        <v>269.61</v>
      </c>
      <c r="K746" s="562" t="s">
        <v>313</v>
      </c>
      <c r="L746" s="604">
        <v>151.99</v>
      </c>
      <c r="M746" s="603"/>
      <c r="N746" s="602"/>
      <c r="V746" s="674"/>
      <c r="W746" s="675"/>
      <c r="Z746" s="537" t="s">
        <v>312</v>
      </c>
      <c r="AC746" s="675"/>
      <c r="AD746" s="675"/>
      <c r="AE746" s="675"/>
      <c r="AG746" s="675"/>
      <c r="AH746" s="680"/>
    </row>
    <row r="747" spans="1:34" s="536" customFormat="1" ht="12" x14ac:dyDescent="0.2">
      <c r="A747" s="605"/>
      <c r="B747" s="552" t="s">
        <v>186</v>
      </c>
      <c r="C747" s="1822" t="s">
        <v>344</v>
      </c>
      <c r="D747" s="1822"/>
      <c r="E747" s="1822"/>
      <c r="F747" s="562"/>
      <c r="G747" s="562"/>
      <c r="H747" s="562"/>
      <c r="I747" s="562"/>
      <c r="J747" s="604">
        <v>7442.38</v>
      </c>
      <c r="K747" s="562" t="s">
        <v>313</v>
      </c>
      <c r="L747" s="604">
        <v>4195.6400000000003</v>
      </c>
      <c r="M747" s="603"/>
      <c r="N747" s="602"/>
      <c r="V747" s="674"/>
      <c r="W747" s="675"/>
      <c r="Z747" s="537" t="s">
        <v>344</v>
      </c>
      <c r="AC747" s="675"/>
      <c r="AD747" s="675"/>
      <c r="AE747" s="675"/>
      <c r="AG747" s="675"/>
      <c r="AH747" s="680"/>
    </row>
    <row r="748" spans="1:34" s="536" customFormat="1" ht="12" x14ac:dyDescent="0.2">
      <c r="A748" s="605"/>
      <c r="B748" s="552" t="s">
        <v>187</v>
      </c>
      <c r="C748" s="1822" t="s">
        <v>345</v>
      </c>
      <c r="D748" s="1822"/>
      <c r="E748" s="1822"/>
      <c r="F748" s="562"/>
      <c r="G748" s="562"/>
      <c r="H748" s="562"/>
      <c r="I748" s="562"/>
      <c r="J748" s="604">
        <v>429.14</v>
      </c>
      <c r="K748" s="562" t="s">
        <v>313</v>
      </c>
      <c r="L748" s="604">
        <v>241.93</v>
      </c>
      <c r="M748" s="603"/>
      <c r="N748" s="602"/>
      <c r="V748" s="674"/>
      <c r="W748" s="675"/>
      <c r="Z748" s="537" t="s">
        <v>345</v>
      </c>
      <c r="AC748" s="675"/>
      <c r="AD748" s="675"/>
      <c r="AE748" s="675"/>
      <c r="AG748" s="675"/>
      <c r="AH748" s="680"/>
    </row>
    <row r="749" spans="1:34" s="536" customFormat="1" ht="12" x14ac:dyDescent="0.2">
      <c r="A749" s="605"/>
      <c r="B749" s="552" t="s">
        <v>188</v>
      </c>
      <c r="C749" s="1822" t="s">
        <v>475</v>
      </c>
      <c r="D749" s="1822"/>
      <c r="E749" s="1822"/>
      <c r="F749" s="562"/>
      <c r="G749" s="562"/>
      <c r="H749" s="562"/>
      <c r="I749" s="562"/>
      <c r="J749" s="604">
        <v>22322.55</v>
      </c>
      <c r="K749" s="562"/>
      <c r="L749" s="604">
        <v>10067.469999999999</v>
      </c>
      <c r="M749" s="603"/>
      <c r="N749" s="602"/>
      <c r="V749" s="674"/>
      <c r="W749" s="675"/>
      <c r="Z749" s="537" t="s">
        <v>475</v>
      </c>
      <c r="AC749" s="675"/>
      <c r="AD749" s="675"/>
      <c r="AE749" s="675"/>
      <c r="AG749" s="675"/>
      <c r="AH749" s="680"/>
    </row>
    <row r="750" spans="1:34" s="536" customFormat="1" ht="12" x14ac:dyDescent="0.2">
      <c r="A750" s="605"/>
      <c r="B750" s="552"/>
      <c r="C750" s="1822" t="s">
        <v>314</v>
      </c>
      <c r="D750" s="1822"/>
      <c r="E750" s="1822"/>
      <c r="F750" s="562" t="s">
        <v>315</v>
      </c>
      <c r="G750" s="562" t="s">
        <v>505</v>
      </c>
      <c r="H750" s="562" t="s">
        <v>313</v>
      </c>
      <c r="I750" s="562" t="s">
        <v>6900</v>
      </c>
      <c r="J750" s="604"/>
      <c r="K750" s="562"/>
      <c r="L750" s="604"/>
      <c r="M750" s="603"/>
      <c r="N750" s="602"/>
      <c r="V750" s="674"/>
      <c r="W750" s="675"/>
      <c r="AA750" s="537" t="s">
        <v>314</v>
      </c>
      <c r="AC750" s="675"/>
      <c r="AD750" s="675"/>
      <c r="AE750" s="675"/>
      <c r="AG750" s="675"/>
      <c r="AH750" s="680"/>
    </row>
    <row r="751" spans="1:34" s="536" customFormat="1" ht="22.5" x14ac:dyDescent="0.2">
      <c r="A751" s="605"/>
      <c r="B751" s="552"/>
      <c r="C751" s="1822" t="s">
        <v>348</v>
      </c>
      <c r="D751" s="1822"/>
      <c r="E751" s="1822"/>
      <c r="F751" s="562" t="s">
        <v>315</v>
      </c>
      <c r="G751" s="562" t="s">
        <v>1047</v>
      </c>
      <c r="H751" s="562" t="s">
        <v>313</v>
      </c>
      <c r="I751" s="562" t="s">
        <v>6901</v>
      </c>
      <c r="J751" s="604"/>
      <c r="K751" s="562"/>
      <c r="L751" s="604"/>
      <c r="M751" s="603"/>
      <c r="N751" s="602"/>
      <c r="V751" s="674"/>
      <c r="W751" s="675"/>
      <c r="AA751" s="537" t="s">
        <v>348</v>
      </c>
      <c r="AC751" s="675"/>
      <c r="AD751" s="675"/>
      <c r="AE751" s="675"/>
      <c r="AG751" s="675"/>
      <c r="AH751" s="680"/>
    </row>
    <row r="752" spans="1:34" s="536" customFormat="1" ht="12" x14ac:dyDescent="0.2">
      <c r="A752" s="605"/>
      <c r="B752" s="552"/>
      <c r="C752" s="1828" t="s">
        <v>318</v>
      </c>
      <c r="D752" s="1828"/>
      <c r="E752" s="1828"/>
      <c r="F752" s="608"/>
      <c r="G752" s="608"/>
      <c r="H752" s="608"/>
      <c r="I752" s="608"/>
      <c r="J752" s="607">
        <v>30034.54</v>
      </c>
      <c r="K752" s="608"/>
      <c r="L752" s="607">
        <v>14415.1</v>
      </c>
      <c r="M752" s="601"/>
      <c r="N752" s="606"/>
      <c r="V752" s="674"/>
      <c r="W752" s="675"/>
      <c r="AB752" s="537" t="s">
        <v>318</v>
      </c>
      <c r="AC752" s="675"/>
      <c r="AD752" s="675"/>
      <c r="AE752" s="675"/>
      <c r="AG752" s="675"/>
      <c r="AH752" s="680"/>
    </row>
    <row r="753" spans="1:34" s="536" customFormat="1" ht="12" x14ac:dyDescent="0.2">
      <c r="A753" s="605"/>
      <c r="B753" s="552"/>
      <c r="C753" s="1822" t="s">
        <v>319</v>
      </c>
      <c r="D753" s="1822"/>
      <c r="E753" s="1822"/>
      <c r="F753" s="562"/>
      <c r="G753" s="562"/>
      <c r="H753" s="562"/>
      <c r="I753" s="562"/>
      <c r="J753" s="604"/>
      <c r="K753" s="562"/>
      <c r="L753" s="604">
        <v>393.92</v>
      </c>
      <c r="M753" s="603"/>
      <c r="N753" s="602"/>
      <c r="V753" s="674"/>
      <c r="W753" s="675"/>
      <c r="AA753" s="537" t="s">
        <v>319</v>
      </c>
      <c r="AC753" s="675"/>
      <c r="AD753" s="675"/>
      <c r="AE753" s="675"/>
      <c r="AG753" s="675"/>
      <c r="AH753" s="680"/>
    </row>
    <row r="754" spans="1:34" s="536" customFormat="1" ht="33.75" x14ac:dyDescent="0.2">
      <c r="A754" s="605"/>
      <c r="B754" s="552" t="s">
        <v>554</v>
      </c>
      <c r="C754" s="1822" t="s">
        <v>555</v>
      </c>
      <c r="D754" s="1822"/>
      <c r="E754" s="1822"/>
      <c r="F754" s="562" t="s">
        <v>322</v>
      </c>
      <c r="G754" s="562" t="s">
        <v>556</v>
      </c>
      <c r="H754" s="562"/>
      <c r="I754" s="562" t="s">
        <v>556</v>
      </c>
      <c r="J754" s="604"/>
      <c r="K754" s="562"/>
      <c r="L754" s="604">
        <v>496.34</v>
      </c>
      <c r="M754" s="603"/>
      <c r="N754" s="602"/>
      <c r="V754" s="674"/>
      <c r="W754" s="675"/>
      <c r="AA754" s="537" t="s">
        <v>555</v>
      </c>
      <c r="AC754" s="675"/>
      <c r="AD754" s="675"/>
      <c r="AE754" s="675"/>
      <c r="AG754" s="675"/>
      <c r="AH754" s="680"/>
    </row>
    <row r="755" spans="1:34" s="536" customFormat="1" ht="33.75" x14ac:dyDescent="0.2">
      <c r="A755" s="605"/>
      <c r="B755" s="552" t="s">
        <v>557</v>
      </c>
      <c r="C755" s="1822" t="s">
        <v>558</v>
      </c>
      <c r="D755" s="1822"/>
      <c r="E755" s="1822"/>
      <c r="F755" s="562" t="s">
        <v>322</v>
      </c>
      <c r="G755" s="562" t="s">
        <v>559</v>
      </c>
      <c r="H755" s="562"/>
      <c r="I755" s="562" t="s">
        <v>559</v>
      </c>
      <c r="J755" s="604"/>
      <c r="K755" s="562"/>
      <c r="L755" s="604">
        <v>374.22</v>
      </c>
      <c r="M755" s="603"/>
      <c r="N755" s="602"/>
      <c r="V755" s="674"/>
      <c r="W755" s="675"/>
      <c r="AA755" s="537" t="s">
        <v>558</v>
      </c>
      <c r="AC755" s="675"/>
      <c r="AD755" s="675"/>
      <c r="AE755" s="675"/>
      <c r="AG755" s="675"/>
      <c r="AH755" s="680"/>
    </row>
    <row r="756" spans="1:34" s="536" customFormat="1" ht="12" x14ac:dyDescent="0.2">
      <c r="A756" s="569"/>
      <c r="B756" s="671"/>
      <c r="C756" s="1823" t="s">
        <v>327</v>
      </c>
      <c r="D756" s="1823"/>
      <c r="E756" s="1823"/>
      <c r="F756" s="573"/>
      <c r="G756" s="573"/>
      <c r="H756" s="573"/>
      <c r="I756" s="573"/>
      <c r="J756" s="572"/>
      <c r="K756" s="573"/>
      <c r="L756" s="572">
        <v>15285.66</v>
      </c>
      <c r="M756" s="601"/>
      <c r="N756" s="570"/>
      <c r="V756" s="674"/>
      <c r="W756" s="675"/>
      <c r="AC756" s="675" t="s">
        <v>327</v>
      </c>
      <c r="AD756" s="675"/>
      <c r="AE756" s="675"/>
      <c r="AG756" s="675"/>
      <c r="AH756" s="680"/>
    </row>
    <row r="757" spans="1:34" s="536" customFormat="1" ht="45" x14ac:dyDescent="0.2">
      <c r="A757" s="575" t="s">
        <v>2352</v>
      </c>
      <c r="B757" s="670" t="s">
        <v>1048</v>
      </c>
      <c r="C757" s="1823" t="s">
        <v>4155</v>
      </c>
      <c r="D757" s="1823"/>
      <c r="E757" s="1823"/>
      <c r="F757" s="573" t="s">
        <v>1034</v>
      </c>
      <c r="G757" s="573"/>
      <c r="H757" s="573"/>
      <c r="I757" s="573" t="s">
        <v>6898</v>
      </c>
      <c r="J757" s="572"/>
      <c r="K757" s="573"/>
      <c r="L757" s="572"/>
      <c r="M757" s="571"/>
      <c r="N757" s="570"/>
      <c r="V757" s="674"/>
      <c r="W757" s="675" t="s">
        <v>4155</v>
      </c>
      <c r="AC757" s="675"/>
      <c r="AD757" s="675"/>
      <c r="AE757" s="675"/>
      <c r="AG757" s="675"/>
      <c r="AH757" s="680"/>
    </row>
    <row r="758" spans="1:34" s="536" customFormat="1" ht="12" x14ac:dyDescent="0.2">
      <c r="A758" s="676"/>
      <c r="B758" s="664"/>
      <c r="C758" s="1822" t="s">
        <v>6899</v>
      </c>
      <c r="D758" s="1822"/>
      <c r="E758" s="1822"/>
      <c r="F758" s="1822"/>
      <c r="G758" s="1822"/>
      <c r="H758" s="1822"/>
      <c r="I758" s="1822"/>
      <c r="J758" s="1822"/>
      <c r="K758" s="1822"/>
      <c r="L758" s="1822"/>
      <c r="M758" s="1822"/>
      <c r="N758" s="1827"/>
      <c r="V758" s="674"/>
      <c r="W758" s="675"/>
      <c r="X758" s="537" t="s">
        <v>6899</v>
      </c>
      <c r="AC758" s="675"/>
      <c r="AD758" s="675"/>
      <c r="AE758" s="675"/>
      <c r="AG758" s="675"/>
      <c r="AH758" s="680"/>
    </row>
    <row r="759" spans="1:34" s="536" customFormat="1" ht="12" x14ac:dyDescent="0.2">
      <c r="A759" s="609"/>
      <c r="B759" s="552"/>
      <c r="C759" s="1822" t="s">
        <v>1050</v>
      </c>
      <c r="D759" s="1822"/>
      <c r="E759" s="1822"/>
      <c r="F759" s="1822"/>
      <c r="G759" s="1822"/>
      <c r="H759" s="1822"/>
      <c r="I759" s="1822"/>
      <c r="J759" s="1822"/>
      <c r="K759" s="1822"/>
      <c r="L759" s="1822"/>
      <c r="M759" s="1822"/>
      <c r="N759" s="1827"/>
      <c r="V759" s="674"/>
      <c r="W759" s="675"/>
      <c r="Y759" s="537" t="s">
        <v>1050</v>
      </c>
      <c r="AC759" s="675"/>
      <c r="AD759" s="675"/>
      <c r="AE759" s="675"/>
      <c r="AG759" s="675"/>
      <c r="AH759" s="680"/>
    </row>
    <row r="760" spans="1:34" s="536" customFormat="1" ht="33.75" x14ac:dyDescent="0.2">
      <c r="A760" s="609"/>
      <c r="B760" s="552" t="s">
        <v>310</v>
      </c>
      <c r="C760" s="1822" t="s">
        <v>311</v>
      </c>
      <c r="D760" s="1822"/>
      <c r="E760" s="1822"/>
      <c r="F760" s="1822"/>
      <c r="G760" s="1822"/>
      <c r="H760" s="1822"/>
      <c r="I760" s="1822"/>
      <c r="J760" s="1822"/>
      <c r="K760" s="1822"/>
      <c r="L760" s="1822"/>
      <c r="M760" s="1822"/>
      <c r="N760" s="1827"/>
      <c r="V760" s="674"/>
      <c r="W760" s="675"/>
      <c r="Y760" s="537" t="s">
        <v>311</v>
      </c>
      <c r="AC760" s="675"/>
      <c r="AD760" s="675"/>
      <c r="AE760" s="675"/>
      <c r="AG760" s="675"/>
      <c r="AH760" s="680"/>
    </row>
    <row r="761" spans="1:34" s="536" customFormat="1" ht="12" x14ac:dyDescent="0.2">
      <c r="A761" s="605"/>
      <c r="B761" s="552" t="s">
        <v>186</v>
      </c>
      <c r="C761" s="1822" t="s">
        <v>344</v>
      </c>
      <c r="D761" s="1822"/>
      <c r="E761" s="1822"/>
      <c r="F761" s="562"/>
      <c r="G761" s="562"/>
      <c r="H761" s="562"/>
      <c r="I761" s="562"/>
      <c r="J761" s="604">
        <v>468.89</v>
      </c>
      <c r="K761" s="562" t="s">
        <v>1051</v>
      </c>
      <c r="L761" s="604">
        <v>793.01</v>
      </c>
      <c r="M761" s="603"/>
      <c r="N761" s="602"/>
      <c r="V761" s="674"/>
      <c r="W761" s="675"/>
      <c r="Z761" s="537" t="s">
        <v>344</v>
      </c>
      <c r="AC761" s="675"/>
      <c r="AD761" s="675"/>
      <c r="AE761" s="675"/>
      <c r="AG761" s="675"/>
      <c r="AH761" s="680"/>
    </row>
    <row r="762" spans="1:34" s="536" customFormat="1" ht="12" x14ac:dyDescent="0.2">
      <c r="A762" s="605"/>
      <c r="B762" s="552" t="s">
        <v>187</v>
      </c>
      <c r="C762" s="1822" t="s">
        <v>345</v>
      </c>
      <c r="D762" s="1822"/>
      <c r="E762" s="1822"/>
      <c r="F762" s="562"/>
      <c r="G762" s="562"/>
      <c r="H762" s="562"/>
      <c r="I762" s="562"/>
      <c r="J762" s="604">
        <v>27.84</v>
      </c>
      <c r="K762" s="562" t="s">
        <v>1051</v>
      </c>
      <c r="L762" s="604">
        <v>47.08</v>
      </c>
      <c r="M762" s="603"/>
      <c r="N762" s="602"/>
      <c r="V762" s="674"/>
      <c r="W762" s="675"/>
      <c r="Z762" s="537" t="s">
        <v>345</v>
      </c>
      <c r="AC762" s="675"/>
      <c r="AD762" s="675"/>
      <c r="AE762" s="675"/>
      <c r="AG762" s="675"/>
      <c r="AH762" s="680"/>
    </row>
    <row r="763" spans="1:34" s="536" customFormat="1" ht="12" x14ac:dyDescent="0.2">
      <c r="A763" s="605"/>
      <c r="B763" s="552" t="s">
        <v>188</v>
      </c>
      <c r="C763" s="1822" t="s">
        <v>475</v>
      </c>
      <c r="D763" s="1822"/>
      <c r="E763" s="1822"/>
      <c r="F763" s="562"/>
      <c r="G763" s="562"/>
      <c r="H763" s="562"/>
      <c r="I763" s="562"/>
      <c r="J763" s="604">
        <v>1297.8</v>
      </c>
      <c r="K763" s="562" t="s">
        <v>187</v>
      </c>
      <c r="L763" s="604">
        <v>1755.92</v>
      </c>
      <c r="M763" s="603"/>
      <c r="N763" s="602"/>
      <c r="V763" s="674"/>
      <c r="W763" s="675"/>
      <c r="Z763" s="537" t="s">
        <v>475</v>
      </c>
      <c r="AC763" s="675"/>
      <c r="AD763" s="675"/>
      <c r="AE763" s="675"/>
      <c r="AG763" s="675"/>
      <c r="AH763" s="680"/>
    </row>
    <row r="764" spans="1:34" s="536" customFormat="1" ht="12" x14ac:dyDescent="0.2">
      <c r="A764" s="605"/>
      <c r="B764" s="552"/>
      <c r="C764" s="1822" t="s">
        <v>348</v>
      </c>
      <c r="D764" s="1822"/>
      <c r="E764" s="1822"/>
      <c r="F764" s="562" t="s">
        <v>315</v>
      </c>
      <c r="G764" s="562" t="s">
        <v>1052</v>
      </c>
      <c r="H764" s="562" t="s">
        <v>1051</v>
      </c>
      <c r="I764" s="562" t="s">
        <v>6902</v>
      </c>
      <c r="J764" s="604"/>
      <c r="K764" s="562"/>
      <c r="L764" s="604"/>
      <c r="M764" s="603"/>
      <c r="N764" s="602"/>
      <c r="V764" s="674"/>
      <c r="W764" s="675"/>
      <c r="AA764" s="537" t="s">
        <v>348</v>
      </c>
      <c r="AC764" s="675"/>
      <c r="AD764" s="675"/>
      <c r="AE764" s="675"/>
      <c r="AG764" s="675"/>
      <c r="AH764" s="680"/>
    </row>
    <row r="765" spans="1:34" s="536" customFormat="1" ht="12" x14ac:dyDescent="0.2">
      <c r="A765" s="605"/>
      <c r="B765" s="552"/>
      <c r="C765" s="1828" t="s">
        <v>318</v>
      </c>
      <c r="D765" s="1828"/>
      <c r="E765" s="1828"/>
      <c r="F765" s="608"/>
      <c r="G765" s="608"/>
      <c r="H765" s="608"/>
      <c r="I765" s="608"/>
      <c r="J765" s="607">
        <v>1766.69</v>
      </c>
      <c r="K765" s="608"/>
      <c r="L765" s="607">
        <v>2548.9299999999998</v>
      </c>
      <c r="M765" s="601"/>
      <c r="N765" s="606"/>
      <c r="V765" s="674"/>
      <c r="W765" s="675"/>
      <c r="AB765" s="537" t="s">
        <v>318</v>
      </c>
      <c r="AC765" s="675"/>
      <c r="AD765" s="675"/>
      <c r="AE765" s="675"/>
      <c r="AG765" s="675"/>
      <c r="AH765" s="680"/>
    </row>
    <row r="766" spans="1:34" s="536" customFormat="1" ht="12" x14ac:dyDescent="0.2">
      <c r="A766" s="605"/>
      <c r="B766" s="552"/>
      <c r="C766" s="1822" t="s">
        <v>319</v>
      </c>
      <c r="D766" s="1822"/>
      <c r="E766" s="1822"/>
      <c r="F766" s="562"/>
      <c r="G766" s="562"/>
      <c r="H766" s="562"/>
      <c r="I766" s="562"/>
      <c r="J766" s="604"/>
      <c r="K766" s="562"/>
      <c r="L766" s="604">
        <v>47.08</v>
      </c>
      <c r="M766" s="603"/>
      <c r="N766" s="602"/>
      <c r="V766" s="674"/>
      <c r="W766" s="675"/>
      <c r="AA766" s="537" t="s">
        <v>319</v>
      </c>
      <c r="AC766" s="675"/>
      <c r="AD766" s="675"/>
      <c r="AE766" s="675"/>
      <c r="AG766" s="675"/>
      <c r="AH766" s="680"/>
    </row>
    <row r="767" spans="1:34" s="536" customFormat="1" ht="33.75" x14ac:dyDescent="0.2">
      <c r="A767" s="605"/>
      <c r="B767" s="552" t="s">
        <v>554</v>
      </c>
      <c r="C767" s="1822" t="s">
        <v>555</v>
      </c>
      <c r="D767" s="1822"/>
      <c r="E767" s="1822"/>
      <c r="F767" s="562" t="s">
        <v>322</v>
      </c>
      <c r="G767" s="562" t="s">
        <v>556</v>
      </c>
      <c r="H767" s="562"/>
      <c r="I767" s="562" t="s">
        <v>556</v>
      </c>
      <c r="J767" s="604"/>
      <c r="K767" s="562"/>
      <c r="L767" s="604">
        <v>59.32</v>
      </c>
      <c r="M767" s="603"/>
      <c r="N767" s="602"/>
      <c r="V767" s="674"/>
      <c r="W767" s="675"/>
      <c r="AA767" s="537" t="s">
        <v>555</v>
      </c>
      <c r="AC767" s="675"/>
      <c r="AD767" s="675"/>
      <c r="AE767" s="675"/>
      <c r="AG767" s="675"/>
      <c r="AH767" s="680"/>
    </row>
    <row r="768" spans="1:34" s="536" customFormat="1" ht="33.75" x14ac:dyDescent="0.2">
      <c r="A768" s="605"/>
      <c r="B768" s="552" t="s">
        <v>557</v>
      </c>
      <c r="C768" s="1822" t="s">
        <v>558</v>
      </c>
      <c r="D768" s="1822"/>
      <c r="E768" s="1822"/>
      <c r="F768" s="562" t="s">
        <v>322</v>
      </c>
      <c r="G768" s="562" t="s">
        <v>559</v>
      </c>
      <c r="H768" s="562"/>
      <c r="I768" s="562" t="s">
        <v>559</v>
      </c>
      <c r="J768" s="604"/>
      <c r="K768" s="562"/>
      <c r="L768" s="604">
        <v>44.73</v>
      </c>
      <c r="M768" s="603"/>
      <c r="N768" s="602"/>
      <c r="V768" s="674"/>
      <c r="W768" s="675"/>
      <c r="AA768" s="537" t="s">
        <v>558</v>
      </c>
      <c r="AC768" s="675"/>
      <c r="AD768" s="675"/>
      <c r="AE768" s="675"/>
      <c r="AG768" s="675"/>
      <c r="AH768" s="680"/>
    </row>
    <row r="769" spans="1:34" s="536" customFormat="1" ht="12" x14ac:dyDescent="0.2">
      <c r="A769" s="569"/>
      <c r="B769" s="671"/>
      <c r="C769" s="1823" t="s">
        <v>327</v>
      </c>
      <c r="D769" s="1823"/>
      <c r="E769" s="1823"/>
      <c r="F769" s="573"/>
      <c r="G769" s="573"/>
      <c r="H769" s="573"/>
      <c r="I769" s="573"/>
      <c r="J769" s="572"/>
      <c r="K769" s="573"/>
      <c r="L769" s="572">
        <v>2652.98</v>
      </c>
      <c r="M769" s="601"/>
      <c r="N769" s="570"/>
      <c r="V769" s="674"/>
      <c r="W769" s="675"/>
      <c r="AC769" s="675" t="s">
        <v>327</v>
      </c>
      <c r="AD769" s="675"/>
      <c r="AE769" s="675"/>
      <c r="AG769" s="675"/>
      <c r="AH769" s="680"/>
    </row>
    <row r="770" spans="1:34" s="536" customFormat="1" ht="12" x14ac:dyDescent="0.2">
      <c r="A770" s="575" t="s">
        <v>897</v>
      </c>
      <c r="B770" s="670" t="s">
        <v>1053</v>
      </c>
      <c r="C770" s="1823" t="s">
        <v>1054</v>
      </c>
      <c r="D770" s="1823"/>
      <c r="E770" s="1823"/>
      <c r="F770" s="573" t="s">
        <v>694</v>
      </c>
      <c r="G770" s="573"/>
      <c r="H770" s="573"/>
      <c r="I770" s="573" t="s">
        <v>6865</v>
      </c>
      <c r="J770" s="572"/>
      <c r="K770" s="573"/>
      <c r="L770" s="572"/>
      <c r="M770" s="571"/>
      <c r="N770" s="570"/>
      <c r="V770" s="674"/>
      <c r="W770" s="675" t="s">
        <v>1054</v>
      </c>
      <c r="AC770" s="675"/>
      <c r="AD770" s="675"/>
      <c r="AE770" s="675"/>
      <c r="AG770" s="675"/>
      <c r="AH770" s="680"/>
    </row>
    <row r="771" spans="1:34" s="536" customFormat="1" ht="33.75" x14ac:dyDescent="0.2">
      <c r="A771" s="609"/>
      <c r="B771" s="552" t="s">
        <v>310</v>
      </c>
      <c r="C771" s="1822" t="s">
        <v>311</v>
      </c>
      <c r="D771" s="1822"/>
      <c r="E771" s="1822"/>
      <c r="F771" s="1822"/>
      <c r="G771" s="1822"/>
      <c r="H771" s="1822"/>
      <c r="I771" s="1822"/>
      <c r="J771" s="1822"/>
      <c r="K771" s="1822"/>
      <c r="L771" s="1822"/>
      <c r="M771" s="1822"/>
      <c r="N771" s="1827"/>
      <c r="V771" s="674"/>
      <c r="W771" s="675"/>
      <c r="Y771" s="537" t="s">
        <v>311</v>
      </c>
      <c r="AC771" s="675"/>
      <c r="AD771" s="675"/>
      <c r="AE771" s="675"/>
      <c r="AG771" s="675"/>
      <c r="AH771" s="680"/>
    </row>
    <row r="772" spans="1:34" s="536" customFormat="1" ht="12" x14ac:dyDescent="0.2">
      <c r="A772" s="605"/>
      <c r="B772" s="552" t="s">
        <v>186</v>
      </c>
      <c r="C772" s="1822" t="s">
        <v>344</v>
      </c>
      <c r="D772" s="1822"/>
      <c r="E772" s="1822"/>
      <c r="F772" s="562"/>
      <c r="G772" s="562"/>
      <c r="H772" s="562"/>
      <c r="I772" s="562"/>
      <c r="J772" s="604">
        <v>39.1</v>
      </c>
      <c r="K772" s="562" t="s">
        <v>313</v>
      </c>
      <c r="L772" s="604">
        <v>14.17</v>
      </c>
      <c r="M772" s="603"/>
      <c r="N772" s="602"/>
      <c r="V772" s="674"/>
      <c r="W772" s="675"/>
      <c r="Z772" s="537" t="s">
        <v>344</v>
      </c>
      <c r="AC772" s="675"/>
      <c r="AD772" s="675"/>
      <c r="AE772" s="675"/>
      <c r="AG772" s="675"/>
      <c r="AH772" s="680"/>
    </row>
    <row r="773" spans="1:34" s="536" customFormat="1" ht="12" x14ac:dyDescent="0.2">
      <c r="A773" s="605"/>
      <c r="B773" s="552" t="s">
        <v>187</v>
      </c>
      <c r="C773" s="1822" t="s">
        <v>345</v>
      </c>
      <c r="D773" s="1822"/>
      <c r="E773" s="1822"/>
      <c r="F773" s="562"/>
      <c r="G773" s="562"/>
      <c r="H773" s="562"/>
      <c r="I773" s="562"/>
      <c r="J773" s="604">
        <v>7.15</v>
      </c>
      <c r="K773" s="562" t="s">
        <v>313</v>
      </c>
      <c r="L773" s="604">
        <v>2.59</v>
      </c>
      <c r="M773" s="603"/>
      <c r="N773" s="602"/>
      <c r="V773" s="674"/>
      <c r="W773" s="675"/>
      <c r="Z773" s="537" t="s">
        <v>345</v>
      </c>
      <c r="AC773" s="675"/>
      <c r="AD773" s="675"/>
      <c r="AE773" s="675"/>
      <c r="AG773" s="675"/>
      <c r="AH773" s="680"/>
    </row>
    <row r="774" spans="1:34" s="536" customFormat="1" ht="12" x14ac:dyDescent="0.2">
      <c r="A774" s="676"/>
      <c r="B774" s="677" t="s">
        <v>1055</v>
      </c>
      <c r="C774" s="1829" t="s">
        <v>1056</v>
      </c>
      <c r="D774" s="1829"/>
      <c r="E774" s="1829"/>
      <c r="F774" s="678" t="s">
        <v>694</v>
      </c>
      <c r="G774" s="678" t="s">
        <v>702</v>
      </c>
      <c r="H774" s="678"/>
      <c r="I774" s="678" t="s">
        <v>6866</v>
      </c>
      <c r="J774" s="552"/>
      <c r="K774" s="562"/>
      <c r="L774" s="604"/>
      <c r="M774" s="562"/>
      <c r="N774" s="679"/>
      <c r="V774" s="674"/>
      <c r="W774" s="675"/>
      <c r="AC774" s="675"/>
      <c r="AD774" s="675"/>
      <c r="AE774" s="675"/>
      <c r="AG774" s="675"/>
      <c r="AH774" s="680" t="s">
        <v>1056</v>
      </c>
    </row>
    <row r="775" spans="1:34" s="536" customFormat="1" ht="12" x14ac:dyDescent="0.2">
      <c r="A775" s="605"/>
      <c r="B775" s="552"/>
      <c r="C775" s="1822" t="s">
        <v>348</v>
      </c>
      <c r="D775" s="1822"/>
      <c r="E775" s="1822"/>
      <c r="F775" s="562" t="s">
        <v>315</v>
      </c>
      <c r="G775" s="562" t="s">
        <v>1057</v>
      </c>
      <c r="H775" s="562" t="s">
        <v>313</v>
      </c>
      <c r="I775" s="562" t="s">
        <v>6867</v>
      </c>
      <c r="J775" s="604"/>
      <c r="K775" s="562"/>
      <c r="L775" s="604"/>
      <c r="M775" s="603"/>
      <c r="N775" s="602"/>
      <c r="V775" s="674"/>
      <c r="W775" s="675"/>
      <c r="AA775" s="537" t="s">
        <v>348</v>
      </c>
      <c r="AC775" s="675"/>
      <c r="AD775" s="675"/>
      <c r="AE775" s="675"/>
      <c r="AG775" s="675"/>
      <c r="AH775" s="680"/>
    </row>
    <row r="776" spans="1:34" s="536" customFormat="1" ht="12" x14ac:dyDescent="0.2">
      <c r="A776" s="605"/>
      <c r="B776" s="552"/>
      <c r="C776" s="1828" t="s">
        <v>318</v>
      </c>
      <c r="D776" s="1828"/>
      <c r="E776" s="1828"/>
      <c r="F776" s="608"/>
      <c r="G776" s="608"/>
      <c r="H776" s="608"/>
      <c r="I776" s="608"/>
      <c r="J776" s="607">
        <v>39.1</v>
      </c>
      <c r="K776" s="608"/>
      <c r="L776" s="607">
        <v>14.17</v>
      </c>
      <c r="M776" s="601"/>
      <c r="N776" s="606"/>
      <c r="V776" s="674"/>
      <c r="W776" s="675"/>
      <c r="AB776" s="537" t="s">
        <v>318</v>
      </c>
      <c r="AC776" s="675"/>
      <c r="AD776" s="675"/>
      <c r="AE776" s="675"/>
      <c r="AG776" s="675"/>
      <c r="AH776" s="680"/>
    </row>
    <row r="777" spans="1:34" s="536" customFormat="1" ht="12" x14ac:dyDescent="0.2">
      <c r="A777" s="605"/>
      <c r="B777" s="552"/>
      <c r="C777" s="1822" t="s">
        <v>319</v>
      </c>
      <c r="D777" s="1822"/>
      <c r="E777" s="1822"/>
      <c r="F777" s="562"/>
      <c r="G777" s="562"/>
      <c r="H777" s="562"/>
      <c r="I777" s="562"/>
      <c r="J777" s="604"/>
      <c r="K777" s="562"/>
      <c r="L777" s="604">
        <v>2.59</v>
      </c>
      <c r="M777" s="603"/>
      <c r="N777" s="602"/>
      <c r="V777" s="674"/>
      <c r="W777" s="675"/>
      <c r="AA777" s="537" t="s">
        <v>319</v>
      </c>
      <c r="AC777" s="675"/>
      <c r="AD777" s="675"/>
      <c r="AE777" s="675"/>
      <c r="AG777" s="675"/>
      <c r="AH777" s="680"/>
    </row>
    <row r="778" spans="1:34" s="536" customFormat="1" ht="33.75" x14ac:dyDescent="0.2">
      <c r="A778" s="605"/>
      <c r="B778" s="552" t="s">
        <v>554</v>
      </c>
      <c r="C778" s="1822" t="s">
        <v>555</v>
      </c>
      <c r="D778" s="1822"/>
      <c r="E778" s="1822"/>
      <c r="F778" s="562" t="s">
        <v>322</v>
      </c>
      <c r="G778" s="562" t="s">
        <v>556</v>
      </c>
      <c r="H778" s="562"/>
      <c r="I778" s="562" t="s">
        <v>556</v>
      </c>
      <c r="J778" s="604"/>
      <c r="K778" s="562"/>
      <c r="L778" s="604">
        <v>3.26</v>
      </c>
      <c r="M778" s="603"/>
      <c r="N778" s="602"/>
      <c r="V778" s="674"/>
      <c r="W778" s="675"/>
      <c r="AA778" s="537" t="s">
        <v>555</v>
      </c>
      <c r="AC778" s="675"/>
      <c r="AD778" s="675"/>
      <c r="AE778" s="675"/>
      <c r="AG778" s="675"/>
      <c r="AH778" s="680"/>
    </row>
    <row r="779" spans="1:34" s="536" customFormat="1" ht="33.75" x14ac:dyDescent="0.2">
      <c r="A779" s="605"/>
      <c r="B779" s="552" t="s">
        <v>557</v>
      </c>
      <c r="C779" s="1822" t="s">
        <v>558</v>
      </c>
      <c r="D779" s="1822"/>
      <c r="E779" s="1822"/>
      <c r="F779" s="562" t="s">
        <v>322</v>
      </c>
      <c r="G779" s="562" t="s">
        <v>559</v>
      </c>
      <c r="H779" s="562"/>
      <c r="I779" s="562" t="s">
        <v>559</v>
      </c>
      <c r="J779" s="604"/>
      <c r="K779" s="562"/>
      <c r="L779" s="604">
        <v>2.46</v>
      </c>
      <c r="M779" s="603"/>
      <c r="N779" s="602"/>
      <c r="V779" s="674"/>
      <c r="W779" s="675"/>
      <c r="AA779" s="537" t="s">
        <v>558</v>
      </c>
      <c r="AC779" s="675"/>
      <c r="AD779" s="675"/>
      <c r="AE779" s="675"/>
      <c r="AG779" s="675"/>
      <c r="AH779" s="680"/>
    </row>
    <row r="780" spans="1:34" s="536" customFormat="1" ht="12" x14ac:dyDescent="0.2">
      <c r="A780" s="569"/>
      <c r="B780" s="671"/>
      <c r="C780" s="1823" t="s">
        <v>327</v>
      </c>
      <c r="D780" s="1823"/>
      <c r="E780" s="1823"/>
      <c r="F780" s="573"/>
      <c r="G780" s="573"/>
      <c r="H780" s="573"/>
      <c r="I780" s="573"/>
      <c r="J780" s="572"/>
      <c r="K780" s="573"/>
      <c r="L780" s="572">
        <v>19.89</v>
      </c>
      <c r="M780" s="601"/>
      <c r="N780" s="570"/>
      <c r="V780" s="674"/>
      <c r="W780" s="675"/>
      <c r="AC780" s="675" t="s">
        <v>327</v>
      </c>
      <c r="AD780" s="675"/>
      <c r="AE780" s="675"/>
      <c r="AG780" s="675"/>
      <c r="AH780" s="680"/>
    </row>
    <row r="781" spans="1:34" s="536" customFormat="1" ht="12" x14ac:dyDescent="0.2">
      <c r="A781" s="575" t="s">
        <v>817</v>
      </c>
      <c r="B781" s="670" t="s">
        <v>1059</v>
      </c>
      <c r="C781" s="1823" t="s">
        <v>1060</v>
      </c>
      <c r="D781" s="1823"/>
      <c r="E781" s="1823"/>
      <c r="F781" s="573" t="s">
        <v>694</v>
      </c>
      <c r="G781" s="573"/>
      <c r="H781" s="573"/>
      <c r="I781" s="573" t="s">
        <v>6866</v>
      </c>
      <c r="J781" s="572">
        <v>2723.2</v>
      </c>
      <c r="K781" s="573"/>
      <c r="L781" s="572">
        <v>813.42</v>
      </c>
      <c r="M781" s="571"/>
      <c r="N781" s="570"/>
      <c r="V781" s="674"/>
      <c r="W781" s="675" t="s">
        <v>1060</v>
      </c>
      <c r="AC781" s="675"/>
      <c r="AD781" s="675"/>
      <c r="AE781" s="675"/>
      <c r="AG781" s="675"/>
      <c r="AH781" s="680"/>
    </row>
    <row r="782" spans="1:34" s="536" customFormat="1" ht="12" x14ac:dyDescent="0.2">
      <c r="A782" s="569"/>
      <c r="B782" s="671"/>
      <c r="C782" s="665" t="s">
        <v>717</v>
      </c>
      <c r="D782" s="666"/>
      <c r="E782" s="666"/>
      <c r="F782" s="563"/>
      <c r="G782" s="563"/>
      <c r="H782" s="563"/>
      <c r="I782" s="563"/>
      <c r="J782" s="566"/>
      <c r="K782" s="563"/>
      <c r="L782" s="566"/>
      <c r="M782" s="565"/>
      <c r="N782" s="564"/>
      <c r="V782" s="674"/>
      <c r="W782" s="675"/>
      <c r="AC782" s="675"/>
      <c r="AD782" s="675"/>
      <c r="AE782" s="675"/>
      <c r="AG782" s="675"/>
      <c r="AH782" s="680"/>
    </row>
    <row r="783" spans="1:34" s="536" customFormat="1" ht="45" x14ac:dyDescent="0.2">
      <c r="A783" s="575" t="s">
        <v>538</v>
      </c>
      <c r="B783" s="670" t="s">
        <v>1061</v>
      </c>
      <c r="C783" s="1823" t="s">
        <v>1062</v>
      </c>
      <c r="D783" s="1823"/>
      <c r="E783" s="1823"/>
      <c r="F783" s="573" t="s">
        <v>1034</v>
      </c>
      <c r="G783" s="573"/>
      <c r="H783" s="573"/>
      <c r="I783" s="573" t="s">
        <v>2225</v>
      </c>
      <c r="J783" s="572"/>
      <c r="K783" s="573"/>
      <c r="L783" s="572"/>
      <c r="M783" s="571"/>
      <c r="N783" s="570"/>
      <c r="V783" s="674"/>
      <c r="W783" s="675" t="s">
        <v>1062</v>
      </c>
      <c r="AC783" s="675"/>
      <c r="AD783" s="675"/>
      <c r="AE783" s="675"/>
      <c r="AG783" s="675"/>
      <c r="AH783" s="680"/>
    </row>
    <row r="784" spans="1:34" s="536" customFormat="1" ht="12" x14ac:dyDescent="0.2">
      <c r="A784" s="676"/>
      <c r="B784" s="664"/>
      <c r="C784" s="1822" t="s">
        <v>6903</v>
      </c>
      <c r="D784" s="1822"/>
      <c r="E784" s="1822"/>
      <c r="F784" s="1822"/>
      <c r="G784" s="1822"/>
      <c r="H784" s="1822"/>
      <c r="I784" s="1822"/>
      <c r="J784" s="1822"/>
      <c r="K784" s="1822"/>
      <c r="L784" s="1822"/>
      <c r="M784" s="1822"/>
      <c r="N784" s="1827"/>
      <c r="V784" s="674"/>
      <c r="W784" s="675"/>
      <c r="X784" s="537" t="s">
        <v>6903</v>
      </c>
      <c r="AC784" s="675"/>
      <c r="AD784" s="675"/>
      <c r="AE784" s="675"/>
      <c r="AG784" s="675"/>
      <c r="AH784" s="680"/>
    </row>
    <row r="785" spans="1:34" s="536" customFormat="1" ht="33.75" x14ac:dyDescent="0.2">
      <c r="A785" s="609"/>
      <c r="B785" s="552" t="s">
        <v>310</v>
      </c>
      <c r="C785" s="1822" t="s">
        <v>311</v>
      </c>
      <c r="D785" s="1822"/>
      <c r="E785" s="1822"/>
      <c r="F785" s="1822"/>
      <c r="G785" s="1822"/>
      <c r="H785" s="1822"/>
      <c r="I785" s="1822"/>
      <c r="J785" s="1822"/>
      <c r="K785" s="1822"/>
      <c r="L785" s="1822"/>
      <c r="M785" s="1822"/>
      <c r="N785" s="1827"/>
      <c r="V785" s="674"/>
      <c r="W785" s="675"/>
      <c r="Y785" s="537" t="s">
        <v>311</v>
      </c>
      <c r="AC785" s="675"/>
      <c r="AD785" s="675"/>
      <c r="AE785" s="675"/>
      <c r="AG785" s="675"/>
      <c r="AH785" s="680"/>
    </row>
    <row r="786" spans="1:34" s="536" customFormat="1" ht="12" x14ac:dyDescent="0.2">
      <c r="A786" s="605"/>
      <c r="B786" s="552" t="s">
        <v>185</v>
      </c>
      <c r="C786" s="1822" t="s">
        <v>312</v>
      </c>
      <c r="D786" s="1822"/>
      <c r="E786" s="1822"/>
      <c r="F786" s="562"/>
      <c r="G786" s="562"/>
      <c r="H786" s="562"/>
      <c r="I786" s="562"/>
      <c r="J786" s="604">
        <v>182.32</v>
      </c>
      <c r="K786" s="562" t="s">
        <v>313</v>
      </c>
      <c r="L786" s="604">
        <v>93.44</v>
      </c>
      <c r="M786" s="603"/>
      <c r="N786" s="602"/>
      <c r="V786" s="674"/>
      <c r="W786" s="675"/>
      <c r="Z786" s="537" t="s">
        <v>312</v>
      </c>
      <c r="AC786" s="675"/>
      <c r="AD786" s="675"/>
      <c r="AE786" s="675"/>
      <c r="AG786" s="675"/>
      <c r="AH786" s="680"/>
    </row>
    <row r="787" spans="1:34" s="536" customFormat="1" ht="12" x14ac:dyDescent="0.2">
      <c r="A787" s="605"/>
      <c r="B787" s="552" t="s">
        <v>186</v>
      </c>
      <c r="C787" s="1822" t="s">
        <v>344</v>
      </c>
      <c r="D787" s="1822"/>
      <c r="E787" s="1822"/>
      <c r="F787" s="562"/>
      <c r="G787" s="562"/>
      <c r="H787" s="562"/>
      <c r="I787" s="562"/>
      <c r="J787" s="604">
        <v>7479.03</v>
      </c>
      <c r="K787" s="562" t="s">
        <v>313</v>
      </c>
      <c r="L787" s="604">
        <v>3833</v>
      </c>
      <c r="M787" s="603"/>
      <c r="N787" s="602"/>
      <c r="V787" s="674"/>
      <c r="W787" s="675"/>
      <c r="Z787" s="537" t="s">
        <v>344</v>
      </c>
      <c r="AC787" s="675"/>
      <c r="AD787" s="675"/>
      <c r="AE787" s="675"/>
      <c r="AG787" s="675"/>
      <c r="AH787" s="680"/>
    </row>
    <row r="788" spans="1:34" s="536" customFormat="1" ht="12" x14ac:dyDescent="0.2">
      <c r="A788" s="605"/>
      <c r="B788" s="552" t="s">
        <v>187</v>
      </c>
      <c r="C788" s="1822" t="s">
        <v>345</v>
      </c>
      <c r="D788" s="1822"/>
      <c r="E788" s="1822"/>
      <c r="F788" s="562"/>
      <c r="G788" s="562"/>
      <c r="H788" s="562"/>
      <c r="I788" s="562"/>
      <c r="J788" s="604">
        <v>234.46</v>
      </c>
      <c r="K788" s="562" t="s">
        <v>313</v>
      </c>
      <c r="L788" s="604">
        <v>120.16</v>
      </c>
      <c r="M788" s="603"/>
      <c r="N788" s="602"/>
      <c r="V788" s="674"/>
      <c r="W788" s="675"/>
      <c r="Z788" s="537" t="s">
        <v>345</v>
      </c>
      <c r="AC788" s="675"/>
      <c r="AD788" s="675"/>
      <c r="AE788" s="675"/>
      <c r="AG788" s="675"/>
      <c r="AH788" s="680"/>
    </row>
    <row r="789" spans="1:34" s="536" customFormat="1" ht="12" x14ac:dyDescent="0.2">
      <c r="A789" s="605"/>
      <c r="B789" s="552" t="s">
        <v>188</v>
      </c>
      <c r="C789" s="1822" t="s">
        <v>475</v>
      </c>
      <c r="D789" s="1822"/>
      <c r="E789" s="1822"/>
      <c r="F789" s="562"/>
      <c r="G789" s="562"/>
      <c r="H789" s="562"/>
      <c r="I789" s="562"/>
      <c r="J789" s="604">
        <v>874.78</v>
      </c>
      <c r="K789" s="562"/>
      <c r="L789" s="604">
        <v>358.66</v>
      </c>
      <c r="M789" s="603"/>
      <c r="N789" s="602"/>
      <c r="V789" s="674"/>
      <c r="W789" s="675"/>
      <c r="Z789" s="537" t="s">
        <v>475</v>
      </c>
      <c r="AC789" s="675"/>
      <c r="AD789" s="675"/>
      <c r="AE789" s="675"/>
      <c r="AG789" s="675"/>
      <c r="AH789" s="680"/>
    </row>
    <row r="790" spans="1:34" s="536" customFormat="1" ht="12" x14ac:dyDescent="0.2">
      <c r="A790" s="676"/>
      <c r="B790" s="677" t="s">
        <v>1063</v>
      </c>
      <c r="C790" s="1829" t="s">
        <v>1064</v>
      </c>
      <c r="D790" s="1829"/>
      <c r="E790" s="1829"/>
      <c r="F790" s="678" t="s">
        <v>694</v>
      </c>
      <c r="G790" s="678" t="s">
        <v>525</v>
      </c>
      <c r="H790" s="678"/>
      <c r="I790" s="678" t="s">
        <v>525</v>
      </c>
      <c r="J790" s="552"/>
      <c r="K790" s="562"/>
      <c r="L790" s="604"/>
      <c r="M790" s="562"/>
      <c r="N790" s="679"/>
      <c r="V790" s="674"/>
      <c r="W790" s="675"/>
      <c r="AC790" s="675"/>
      <c r="AD790" s="675"/>
      <c r="AE790" s="675"/>
      <c r="AG790" s="675"/>
      <c r="AH790" s="680" t="s">
        <v>1064</v>
      </c>
    </row>
    <row r="791" spans="1:34" s="536" customFormat="1" ht="12" x14ac:dyDescent="0.2">
      <c r="A791" s="605"/>
      <c r="B791" s="552"/>
      <c r="C791" s="1822" t="s">
        <v>314</v>
      </c>
      <c r="D791" s="1822"/>
      <c r="E791" s="1822"/>
      <c r="F791" s="562" t="s">
        <v>315</v>
      </c>
      <c r="G791" s="562" t="s">
        <v>1065</v>
      </c>
      <c r="H791" s="562" t="s">
        <v>313</v>
      </c>
      <c r="I791" s="562" t="s">
        <v>6904</v>
      </c>
      <c r="J791" s="604"/>
      <c r="K791" s="562"/>
      <c r="L791" s="604"/>
      <c r="M791" s="603"/>
      <c r="N791" s="602"/>
      <c r="V791" s="674"/>
      <c r="W791" s="675"/>
      <c r="AA791" s="537" t="s">
        <v>314</v>
      </c>
      <c r="AC791" s="675"/>
      <c r="AD791" s="675"/>
      <c r="AE791" s="675"/>
      <c r="AG791" s="675"/>
      <c r="AH791" s="680"/>
    </row>
    <row r="792" spans="1:34" s="536" customFormat="1" ht="12" x14ac:dyDescent="0.2">
      <c r="A792" s="605"/>
      <c r="B792" s="552"/>
      <c r="C792" s="1822" t="s">
        <v>348</v>
      </c>
      <c r="D792" s="1822"/>
      <c r="E792" s="1822"/>
      <c r="F792" s="562" t="s">
        <v>315</v>
      </c>
      <c r="G792" s="562" t="s">
        <v>1066</v>
      </c>
      <c r="H792" s="562" t="s">
        <v>313</v>
      </c>
      <c r="I792" s="562" t="s">
        <v>6905</v>
      </c>
      <c r="J792" s="604"/>
      <c r="K792" s="562"/>
      <c r="L792" s="604"/>
      <c r="M792" s="603"/>
      <c r="N792" s="602"/>
      <c r="V792" s="674"/>
      <c r="W792" s="675"/>
      <c r="AA792" s="537" t="s">
        <v>348</v>
      </c>
      <c r="AC792" s="675"/>
      <c r="AD792" s="675"/>
      <c r="AE792" s="675"/>
      <c r="AG792" s="675"/>
      <c r="AH792" s="680"/>
    </row>
    <row r="793" spans="1:34" s="536" customFormat="1" ht="12" x14ac:dyDescent="0.2">
      <c r="A793" s="605"/>
      <c r="B793" s="552"/>
      <c r="C793" s="1828" t="s">
        <v>318</v>
      </c>
      <c r="D793" s="1828"/>
      <c r="E793" s="1828"/>
      <c r="F793" s="608"/>
      <c r="G793" s="608"/>
      <c r="H793" s="608"/>
      <c r="I793" s="608"/>
      <c r="J793" s="607">
        <v>8536.1299999999992</v>
      </c>
      <c r="K793" s="608"/>
      <c r="L793" s="607">
        <v>4285.1000000000004</v>
      </c>
      <c r="M793" s="601"/>
      <c r="N793" s="606"/>
      <c r="V793" s="674"/>
      <c r="W793" s="675"/>
      <c r="AB793" s="537" t="s">
        <v>318</v>
      </c>
      <c r="AC793" s="675"/>
      <c r="AD793" s="675"/>
      <c r="AE793" s="675"/>
      <c r="AG793" s="675"/>
      <c r="AH793" s="680"/>
    </row>
    <row r="794" spans="1:34" s="536" customFormat="1" ht="12" x14ac:dyDescent="0.2">
      <c r="A794" s="605"/>
      <c r="B794" s="552"/>
      <c r="C794" s="1822" t="s">
        <v>319</v>
      </c>
      <c r="D794" s="1822"/>
      <c r="E794" s="1822"/>
      <c r="F794" s="562"/>
      <c r="G794" s="562"/>
      <c r="H794" s="562"/>
      <c r="I794" s="562"/>
      <c r="J794" s="604"/>
      <c r="K794" s="562"/>
      <c r="L794" s="604">
        <v>213.6</v>
      </c>
      <c r="M794" s="603"/>
      <c r="N794" s="602"/>
      <c r="V794" s="674"/>
      <c r="W794" s="675"/>
      <c r="AA794" s="537" t="s">
        <v>319</v>
      </c>
      <c r="AC794" s="675"/>
      <c r="AD794" s="675"/>
      <c r="AE794" s="675"/>
      <c r="AG794" s="675"/>
      <c r="AH794" s="680"/>
    </row>
    <row r="795" spans="1:34" s="536" customFormat="1" ht="33.75" x14ac:dyDescent="0.2">
      <c r="A795" s="605"/>
      <c r="B795" s="552" t="s">
        <v>554</v>
      </c>
      <c r="C795" s="1822" t="s">
        <v>555</v>
      </c>
      <c r="D795" s="1822"/>
      <c r="E795" s="1822"/>
      <c r="F795" s="562" t="s">
        <v>322</v>
      </c>
      <c r="G795" s="562" t="s">
        <v>556</v>
      </c>
      <c r="H795" s="562"/>
      <c r="I795" s="562" t="s">
        <v>556</v>
      </c>
      <c r="J795" s="604"/>
      <c r="K795" s="562"/>
      <c r="L795" s="604">
        <v>269.14</v>
      </c>
      <c r="M795" s="603"/>
      <c r="N795" s="602"/>
      <c r="V795" s="674"/>
      <c r="W795" s="675"/>
      <c r="AA795" s="537" t="s">
        <v>555</v>
      </c>
      <c r="AC795" s="675"/>
      <c r="AD795" s="675"/>
      <c r="AE795" s="675"/>
      <c r="AG795" s="675"/>
      <c r="AH795" s="680"/>
    </row>
    <row r="796" spans="1:34" s="536" customFormat="1" ht="33.75" x14ac:dyDescent="0.2">
      <c r="A796" s="605"/>
      <c r="B796" s="552" t="s">
        <v>557</v>
      </c>
      <c r="C796" s="1822" t="s">
        <v>558</v>
      </c>
      <c r="D796" s="1822"/>
      <c r="E796" s="1822"/>
      <c r="F796" s="562" t="s">
        <v>322</v>
      </c>
      <c r="G796" s="562" t="s">
        <v>559</v>
      </c>
      <c r="H796" s="562"/>
      <c r="I796" s="562" t="s">
        <v>559</v>
      </c>
      <c r="J796" s="604"/>
      <c r="K796" s="562"/>
      <c r="L796" s="604">
        <v>202.92</v>
      </c>
      <c r="M796" s="603"/>
      <c r="N796" s="602"/>
      <c r="V796" s="674"/>
      <c r="W796" s="675"/>
      <c r="AA796" s="537" t="s">
        <v>558</v>
      </c>
      <c r="AC796" s="675"/>
      <c r="AD796" s="675"/>
      <c r="AE796" s="675"/>
      <c r="AG796" s="675"/>
      <c r="AH796" s="680"/>
    </row>
    <row r="797" spans="1:34" s="536" customFormat="1" ht="12" x14ac:dyDescent="0.2">
      <c r="A797" s="569"/>
      <c r="B797" s="671"/>
      <c r="C797" s="1823" t="s">
        <v>327</v>
      </c>
      <c r="D797" s="1823"/>
      <c r="E797" s="1823"/>
      <c r="F797" s="573"/>
      <c r="G797" s="573"/>
      <c r="H797" s="573"/>
      <c r="I797" s="573"/>
      <c r="J797" s="572"/>
      <c r="K797" s="573"/>
      <c r="L797" s="572">
        <v>4757.16</v>
      </c>
      <c r="M797" s="601"/>
      <c r="N797" s="570"/>
      <c r="V797" s="674"/>
      <c r="W797" s="675"/>
      <c r="AC797" s="675" t="s">
        <v>327</v>
      </c>
      <c r="AD797" s="675"/>
      <c r="AE797" s="675"/>
      <c r="AG797" s="675"/>
      <c r="AH797" s="680"/>
    </row>
    <row r="798" spans="1:34" s="536" customFormat="1" ht="33.75" x14ac:dyDescent="0.2">
      <c r="A798" s="575" t="s">
        <v>966</v>
      </c>
      <c r="B798" s="670" t="s">
        <v>1068</v>
      </c>
      <c r="C798" s="1823" t="s">
        <v>1069</v>
      </c>
      <c r="D798" s="1823"/>
      <c r="E798" s="1823"/>
      <c r="F798" s="573" t="s">
        <v>1034</v>
      </c>
      <c r="G798" s="573"/>
      <c r="H798" s="573"/>
      <c r="I798" s="573" t="s">
        <v>2225</v>
      </c>
      <c r="J798" s="572"/>
      <c r="K798" s="573"/>
      <c r="L798" s="572"/>
      <c r="M798" s="571"/>
      <c r="N798" s="570"/>
      <c r="V798" s="674"/>
      <c r="W798" s="675" t="s">
        <v>1069</v>
      </c>
      <c r="AC798" s="675"/>
      <c r="AD798" s="675"/>
      <c r="AE798" s="675"/>
      <c r="AG798" s="675"/>
      <c r="AH798" s="680"/>
    </row>
    <row r="799" spans="1:34" s="536" customFormat="1" ht="12" x14ac:dyDescent="0.2">
      <c r="A799" s="676"/>
      <c r="B799" s="664"/>
      <c r="C799" s="1822" t="s">
        <v>6903</v>
      </c>
      <c r="D799" s="1822"/>
      <c r="E799" s="1822"/>
      <c r="F799" s="1822"/>
      <c r="G799" s="1822"/>
      <c r="H799" s="1822"/>
      <c r="I799" s="1822"/>
      <c r="J799" s="1822"/>
      <c r="K799" s="1822"/>
      <c r="L799" s="1822"/>
      <c r="M799" s="1822"/>
      <c r="N799" s="1827"/>
      <c r="V799" s="674"/>
      <c r="W799" s="675"/>
      <c r="X799" s="537" t="s">
        <v>6903</v>
      </c>
      <c r="AC799" s="675"/>
      <c r="AD799" s="675"/>
      <c r="AE799" s="675"/>
      <c r="AG799" s="675"/>
      <c r="AH799" s="680"/>
    </row>
    <row r="800" spans="1:34" s="536" customFormat="1" ht="12" x14ac:dyDescent="0.2">
      <c r="A800" s="609"/>
      <c r="B800" s="552"/>
      <c r="C800" s="1822" t="s">
        <v>1070</v>
      </c>
      <c r="D800" s="1822"/>
      <c r="E800" s="1822"/>
      <c r="F800" s="1822"/>
      <c r="G800" s="1822"/>
      <c r="H800" s="1822"/>
      <c r="I800" s="1822"/>
      <c r="J800" s="1822"/>
      <c r="K800" s="1822"/>
      <c r="L800" s="1822"/>
      <c r="M800" s="1822"/>
      <c r="N800" s="1827"/>
      <c r="V800" s="674"/>
      <c r="W800" s="675"/>
      <c r="Y800" s="537" t="s">
        <v>1070</v>
      </c>
      <c r="AC800" s="675"/>
      <c r="AD800" s="675"/>
      <c r="AE800" s="675"/>
      <c r="AG800" s="675"/>
      <c r="AH800" s="680"/>
    </row>
    <row r="801" spans="1:34" s="536" customFormat="1" ht="33.75" x14ac:dyDescent="0.2">
      <c r="A801" s="609"/>
      <c r="B801" s="552" t="s">
        <v>310</v>
      </c>
      <c r="C801" s="1822" t="s">
        <v>311</v>
      </c>
      <c r="D801" s="1822"/>
      <c r="E801" s="1822"/>
      <c r="F801" s="1822"/>
      <c r="G801" s="1822"/>
      <c r="H801" s="1822"/>
      <c r="I801" s="1822"/>
      <c r="J801" s="1822"/>
      <c r="K801" s="1822"/>
      <c r="L801" s="1822"/>
      <c r="M801" s="1822"/>
      <c r="N801" s="1827"/>
      <c r="V801" s="674"/>
      <c r="W801" s="675"/>
      <c r="Y801" s="537" t="s">
        <v>311</v>
      </c>
      <c r="AC801" s="675"/>
      <c r="AD801" s="675"/>
      <c r="AE801" s="675"/>
      <c r="AG801" s="675"/>
      <c r="AH801" s="680"/>
    </row>
    <row r="802" spans="1:34" s="536" customFormat="1" ht="12" x14ac:dyDescent="0.2">
      <c r="A802" s="605"/>
      <c r="B802" s="552" t="s">
        <v>185</v>
      </c>
      <c r="C802" s="1822" t="s">
        <v>312</v>
      </c>
      <c r="D802" s="1822"/>
      <c r="E802" s="1822"/>
      <c r="F802" s="562"/>
      <c r="G802" s="562"/>
      <c r="H802" s="562"/>
      <c r="I802" s="562"/>
      <c r="J802" s="604">
        <v>3.29</v>
      </c>
      <c r="K802" s="562" t="s">
        <v>1071</v>
      </c>
      <c r="L802" s="604">
        <v>10.119999999999999</v>
      </c>
      <c r="M802" s="603"/>
      <c r="N802" s="602"/>
      <c r="V802" s="674"/>
      <c r="W802" s="675"/>
      <c r="Z802" s="537" t="s">
        <v>312</v>
      </c>
      <c r="AC802" s="675"/>
      <c r="AD802" s="675"/>
      <c r="AE802" s="675"/>
      <c r="AG802" s="675"/>
      <c r="AH802" s="680"/>
    </row>
    <row r="803" spans="1:34" s="536" customFormat="1" ht="12" x14ac:dyDescent="0.2">
      <c r="A803" s="605"/>
      <c r="B803" s="552" t="s">
        <v>186</v>
      </c>
      <c r="C803" s="1822" t="s">
        <v>344</v>
      </c>
      <c r="D803" s="1822"/>
      <c r="E803" s="1822"/>
      <c r="F803" s="562"/>
      <c r="G803" s="562"/>
      <c r="H803" s="562"/>
      <c r="I803" s="562"/>
      <c r="J803" s="604">
        <v>254.89</v>
      </c>
      <c r="K803" s="562" t="s">
        <v>1071</v>
      </c>
      <c r="L803" s="604">
        <v>783.79</v>
      </c>
      <c r="M803" s="603"/>
      <c r="N803" s="602"/>
      <c r="V803" s="674"/>
      <c r="W803" s="675"/>
      <c r="Z803" s="537" t="s">
        <v>344</v>
      </c>
      <c r="AC803" s="675"/>
      <c r="AD803" s="675"/>
      <c r="AE803" s="675"/>
      <c r="AG803" s="675"/>
      <c r="AH803" s="680"/>
    </row>
    <row r="804" spans="1:34" s="536" customFormat="1" ht="12" x14ac:dyDescent="0.2">
      <c r="A804" s="605"/>
      <c r="B804" s="552" t="s">
        <v>187</v>
      </c>
      <c r="C804" s="1822" t="s">
        <v>345</v>
      </c>
      <c r="D804" s="1822"/>
      <c r="E804" s="1822"/>
      <c r="F804" s="562"/>
      <c r="G804" s="562"/>
      <c r="H804" s="562"/>
      <c r="I804" s="562"/>
      <c r="J804" s="604">
        <v>5.95</v>
      </c>
      <c r="K804" s="562" t="s">
        <v>1071</v>
      </c>
      <c r="L804" s="604">
        <v>18.3</v>
      </c>
      <c r="M804" s="603"/>
      <c r="N804" s="602"/>
      <c r="V804" s="674"/>
      <c r="W804" s="675"/>
      <c r="Z804" s="537" t="s">
        <v>345</v>
      </c>
      <c r="AC804" s="675"/>
      <c r="AD804" s="675"/>
      <c r="AE804" s="675"/>
      <c r="AG804" s="675"/>
      <c r="AH804" s="680"/>
    </row>
    <row r="805" spans="1:34" s="536" customFormat="1" ht="12" x14ac:dyDescent="0.2">
      <c r="A805" s="605"/>
      <c r="B805" s="552" t="s">
        <v>188</v>
      </c>
      <c r="C805" s="1822" t="s">
        <v>475</v>
      </c>
      <c r="D805" s="1822"/>
      <c r="E805" s="1822"/>
      <c r="F805" s="562"/>
      <c r="G805" s="562"/>
      <c r="H805" s="562"/>
      <c r="I805" s="562"/>
      <c r="J805" s="604">
        <v>2.94</v>
      </c>
      <c r="K805" s="562" t="s">
        <v>190</v>
      </c>
      <c r="L805" s="604">
        <v>7.23</v>
      </c>
      <c r="M805" s="603"/>
      <c r="N805" s="602"/>
      <c r="V805" s="674"/>
      <c r="W805" s="675"/>
      <c r="Z805" s="537" t="s">
        <v>475</v>
      </c>
      <c r="AC805" s="675"/>
      <c r="AD805" s="675"/>
      <c r="AE805" s="675"/>
      <c r="AG805" s="675"/>
      <c r="AH805" s="680"/>
    </row>
    <row r="806" spans="1:34" s="536" customFormat="1" ht="12" x14ac:dyDescent="0.2">
      <c r="A806" s="676"/>
      <c r="B806" s="677" t="s">
        <v>1063</v>
      </c>
      <c r="C806" s="1829" t="s">
        <v>1064</v>
      </c>
      <c r="D806" s="1829"/>
      <c r="E806" s="1829"/>
      <c r="F806" s="678" t="s">
        <v>694</v>
      </c>
      <c r="G806" s="678" t="s">
        <v>525</v>
      </c>
      <c r="H806" s="678" t="s">
        <v>190</v>
      </c>
      <c r="I806" s="678" t="s">
        <v>525</v>
      </c>
      <c r="J806" s="552"/>
      <c r="K806" s="562"/>
      <c r="L806" s="604"/>
      <c r="M806" s="562"/>
      <c r="N806" s="679"/>
      <c r="V806" s="674"/>
      <c r="W806" s="675"/>
      <c r="AC806" s="675"/>
      <c r="AD806" s="675"/>
      <c r="AE806" s="675"/>
      <c r="AG806" s="675"/>
      <c r="AH806" s="680" t="s">
        <v>1064</v>
      </c>
    </row>
    <row r="807" spans="1:34" s="536" customFormat="1" ht="12" x14ac:dyDescent="0.2">
      <c r="A807" s="605"/>
      <c r="B807" s="552"/>
      <c r="C807" s="1822" t="s">
        <v>314</v>
      </c>
      <c r="D807" s="1822"/>
      <c r="E807" s="1822"/>
      <c r="F807" s="562" t="s">
        <v>315</v>
      </c>
      <c r="G807" s="562" t="s">
        <v>691</v>
      </c>
      <c r="H807" s="562" t="s">
        <v>1071</v>
      </c>
      <c r="I807" s="562" t="s">
        <v>3787</v>
      </c>
      <c r="J807" s="604"/>
      <c r="K807" s="562"/>
      <c r="L807" s="604"/>
      <c r="M807" s="603"/>
      <c r="N807" s="602"/>
      <c r="V807" s="674"/>
      <c r="W807" s="675"/>
      <c r="AA807" s="537" t="s">
        <v>314</v>
      </c>
      <c r="AC807" s="675"/>
      <c r="AD807" s="675"/>
      <c r="AE807" s="675"/>
      <c r="AG807" s="675"/>
      <c r="AH807" s="680"/>
    </row>
    <row r="808" spans="1:34" s="536" customFormat="1" ht="12" x14ac:dyDescent="0.2">
      <c r="A808" s="605"/>
      <c r="B808" s="552"/>
      <c r="C808" s="1822" t="s">
        <v>348</v>
      </c>
      <c r="D808" s="1822"/>
      <c r="E808" s="1822"/>
      <c r="F808" s="562" t="s">
        <v>315</v>
      </c>
      <c r="G808" s="562" t="s">
        <v>1072</v>
      </c>
      <c r="H808" s="562" t="s">
        <v>1071</v>
      </c>
      <c r="I808" s="562" t="s">
        <v>6906</v>
      </c>
      <c r="J808" s="604"/>
      <c r="K808" s="562"/>
      <c r="L808" s="604"/>
      <c r="M808" s="603"/>
      <c r="N808" s="602"/>
      <c r="V808" s="674"/>
      <c r="W808" s="675"/>
      <c r="AA808" s="537" t="s">
        <v>348</v>
      </c>
      <c r="AC808" s="675"/>
      <c r="AD808" s="675"/>
      <c r="AE808" s="675"/>
      <c r="AG808" s="675"/>
      <c r="AH808" s="680"/>
    </row>
    <row r="809" spans="1:34" s="536" customFormat="1" ht="12" x14ac:dyDescent="0.2">
      <c r="A809" s="605"/>
      <c r="B809" s="552"/>
      <c r="C809" s="1828" t="s">
        <v>318</v>
      </c>
      <c r="D809" s="1828"/>
      <c r="E809" s="1828"/>
      <c r="F809" s="608"/>
      <c r="G809" s="608"/>
      <c r="H809" s="608"/>
      <c r="I809" s="608"/>
      <c r="J809" s="607">
        <v>261.12</v>
      </c>
      <c r="K809" s="608"/>
      <c r="L809" s="607">
        <v>801.14</v>
      </c>
      <c r="M809" s="601"/>
      <c r="N809" s="606"/>
      <c r="V809" s="674"/>
      <c r="W809" s="675"/>
      <c r="AB809" s="537" t="s">
        <v>318</v>
      </c>
      <c r="AC809" s="675"/>
      <c r="AD809" s="675"/>
      <c r="AE809" s="675"/>
      <c r="AG809" s="675"/>
      <c r="AH809" s="680"/>
    </row>
    <row r="810" spans="1:34" s="536" customFormat="1" ht="12" x14ac:dyDescent="0.2">
      <c r="A810" s="605"/>
      <c r="B810" s="552"/>
      <c r="C810" s="1822" t="s">
        <v>319</v>
      </c>
      <c r="D810" s="1822"/>
      <c r="E810" s="1822"/>
      <c r="F810" s="562"/>
      <c r="G810" s="562"/>
      <c r="H810" s="562"/>
      <c r="I810" s="562"/>
      <c r="J810" s="604"/>
      <c r="K810" s="562"/>
      <c r="L810" s="604">
        <v>28.42</v>
      </c>
      <c r="M810" s="603"/>
      <c r="N810" s="602"/>
      <c r="V810" s="674"/>
      <c r="W810" s="675"/>
      <c r="AA810" s="537" t="s">
        <v>319</v>
      </c>
      <c r="AC810" s="675"/>
      <c r="AD810" s="675"/>
      <c r="AE810" s="675"/>
      <c r="AG810" s="675"/>
      <c r="AH810" s="680"/>
    </row>
    <row r="811" spans="1:34" s="536" customFormat="1" ht="33.75" x14ac:dyDescent="0.2">
      <c r="A811" s="605"/>
      <c r="B811" s="552" t="s">
        <v>554</v>
      </c>
      <c r="C811" s="1822" t="s">
        <v>555</v>
      </c>
      <c r="D811" s="1822"/>
      <c r="E811" s="1822"/>
      <c r="F811" s="562" t="s">
        <v>322</v>
      </c>
      <c r="G811" s="562" t="s">
        <v>556</v>
      </c>
      <c r="H811" s="562"/>
      <c r="I811" s="562" t="s">
        <v>556</v>
      </c>
      <c r="J811" s="604"/>
      <c r="K811" s="562"/>
      <c r="L811" s="604">
        <v>35.81</v>
      </c>
      <c r="M811" s="603"/>
      <c r="N811" s="602"/>
      <c r="V811" s="674"/>
      <c r="W811" s="675"/>
      <c r="AA811" s="537" t="s">
        <v>555</v>
      </c>
      <c r="AC811" s="675"/>
      <c r="AD811" s="675"/>
      <c r="AE811" s="675"/>
      <c r="AG811" s="675"/>
      <c r="AH811" s="680"/>
    </row>
    <row r="812" spans="1:34" s="536" customFormat="1" ht="33.75" x14ac:dyDescent="0.2">
      <c r="A812" s="605"/>
      <c r="B812" s="552" t="s">
        <v>557</v>
      </c>
      <c r="C812" s="1822" t="s">
        <v>558</v>
      </c>
      <c r="D812" s="1822"/>
      <c r="E812" s="1822"/>
      <c r="F812" s="562" t="s">
        <v>322</v>
      </c>
      <c r="G812" s="562" t="s">
        <v>559</v>
      </c>
      <c r="H812" s="562"/>
      <c r="I812" s="562" t="s">
        <v>559</v>
      </c>
      <c r="J812" s="604"/>
      <c r="K812" s="562"/>
      <c r="L812" s="604">
        <v>27</v>
      </c>
      <c r="M812" s="603"/>
      <c r="N812" s="602"/>
      <c r="V812" s="674"/>
      <c r="W812" s="675"/>
      <c r="AA812" s="537" t="s">
        <v>558</v>
      </c>
      <c r="AC812" s="675"/>
      <c r="AD812" s="675"/>
      <c r="AE812" s="675"/>
      <c r="AG812" s="675"/>
      <c r="AH812" s="680"/>
    </row>
    <row r="813" spans="1:34" s="536" customFormat="1" ht="12" x14ac:dyDescent="0.2">
      <c r="A813" s="569"/>
      <c r="B813" s="671"/>
      <c r="C813" s="1823" t="s">
        <v>327</v>
      </c>
      <c r="D813" s="1823"/>
      <c r="E813" s="1823"/>
      <c r="F813" s="573"/>
      <c r="G813" s="573"/>
      <c r="H813" s="573"/>
      <c r="I813" s="573"/>
      <c r="J813" s="572"/>
      <c r="K813" s="573"/>
      <c r="L813" s="572">
        <v>863.95</v>
      </c>
      <c r="M813" s="601"/>
      <c r="N813" s="570"/>
      <c r="V813" s="674"/>
      <c r="W813" s="675"/>
      <c r="AC813" s="675" t="s">
        <v>327</v>
      </c>
      <c r="AD813" s="675"/>
      <c r="AE813" s="675"/>
      <c r="AG813" s="675"/>
      <c r="AH813" s="680"/>
    </row>
    <row r="814" spans="1:34" s="536" customFormat="1" ht="22.5" x14ac:dyDescent="0.2">
      <c r="A814" s="575" t="s">
        <v>2359</v>
      </c>
      <c r="B814" s="670" t="s">
        <v>4166</v>
      </c>
      <c r="C814" s="1823" t="s">
        <v>4167</v>
      </c>
      <c r="D814" s="1823"/>
      <c r="E814" s="1823"/>
      <c r="F814" s="573" t="s">
        <v>694</v>
      </c>
      <c r="G814" s="573"/>
      <c r="H814" s="573"/>
      <c r="I814" s="573" t="s">
        <v>6907</v>
      </c>
      <c r="J814" s="572">
        <v>451.06</v>
      </c>
      <c r="K814" s="573"/>
      <c r="L814" s="572">
        <v>29977.45</v>
      </c>
      <c r="M814" s="571"/>
      <c r="N814" s="570"/>
      <c r="V814" s="674"/>
      <c r="W814" s="675" t="s">
        <v>4167</v>
      </c>
      <c r="AC814" s="675"/>
      <c r="AD814" s="675"/>
      <c r="AE814" s="675"/>
      <c r="AG814" s="675"/>
      <c r="AH814" s="680"/>
    </row>
    <row r="815" spans="1:34" s="536" customFormat="1" ht="12" x14ac:dyDescent="0.2">
      <c r="A815" s="569"/>
      <c r="B815" s="671"/>
      <c r="C815" s="665" t="s">
        <v>717</v>
      </c>
      <c r="D815" s="666"/>
      <c r="E815" s="666"/>
      <c r="F815" s="563"/>
      <c r="G815" s="563"/>
      <c r="H815" s="563"/>
      <c r="I815" s="563"/>
      <c r="J815" s="566"/>
      <c r="K815" s="563"/>
      <c r="L815" s="566"/>
      <c r="M815" s="565"/>
      <c r="N815" s="564"/>
      <c r="V815" s="674"/>
      <c r="W815" s="675"/>
      <c r="AC815" s="675"/>
      <c r="AD815" s="675"/>
      <c r="AE815" s="675"/>
      <c r="AG815" s="675"/>
      <c r="AH815" s="680"/>
    </row>
    <row r="816" spans="1:34" s="536" customFormat="1" ht="12" x14ac:dyDescent="0.2">
      <c r="A816" s="575" t="s">
        <v>2363</v>
      </c>
      <c r="B816" s="670" t="s">
        <v>1053</v>
      </c>
      <c r="C816" s="1823" t="s">
        <v>1054</v>
      </c>
      <c r="D816" s="1823"/>
      <c r="E816" s="1823"/>
      <c r="F816" s="573" t="s">
        <v>694</v>
      </c>
      <c r="G816" s="573"/>
      <c r="H816" s="573"/>
      <c r="I816" s="573" t="s">
        <v>646</v>
      </c>
      <c r="J816" s="572"/>
      <c r="K816" s="573"/>
      <c r="L816" s="572"/>
      <c r="M816" s="571"/>
      <c r="N816" s="570"/>
      <c r="V816" s="674"/>
      <c r="W816" s="675" t="s">
        <v>1054</v>
      </c>
      <c r="AC816" s="675"/>
      <c r="AD816" s="675"/>
      <c r="AE816" s="675"/>
      <c r="AG816" s="675"/>
      <c r="AH816" s="680"/>
    </row>
    <row r="817" spans="1:34" s="536" customFormat="1" ht="33.75" x14ac:dyDescent="0.2">
      <c r="A817" s="609"/>
      <c r="B817" s="552" t="s">
        <v>310</v>
      </c>
      <c r="C817" s="1822" t="s">
        <v>311</v>
      </c>
      <c r="D817" s="1822"/>
      <c r="E817" s="1822"/>
      <c r="F817" s="1822"/>
      <c r="G817" s="1822"/>
      <c r="H817" s="1822"/>
      <c r="I817" s="1822"/>
      <c r="J817" s="1822"/>
      <c r="K817" s="1822"/>
      <c r="L817" s="1822"/>
      <c r="M817" s="1822"/>
      <c r="N817" s="1827"/>
      <c r="V817" s="674"/>
      <c r="W817" s="675"/>
      <c r="Y817" s="537" t="s">
        <v>311</v>
      </c>
      <c r="AC817" s="675"/>
      <c r="AD817" s="675"/>
      <c r="AE817" s="675"/>
      <c r="AG817" s="675"/>
      <c r="AH817" s="680"/>
    </row>
    <row r="818" spans="1:34" s="536" customFormat="1" ht="12" x14ac:dyDescent="0.2">
      <c r="A818" s="605"/>
      <c r="B818" s="552" t="s">
        <v>186</v>
      </c>
      <c r="C818" s="1822" t="s">
        <v>344</v>
      </c>
      <c r="D818" s="1822"/>
      <c r="E818" s="1822"/>
      <c r="F818" s="562"/>
      <c r="G818" s="562"/>
      <c r="H818" s="562"/>
      <c r="I818" s="562"/>
      <c r="J818" s="604">
        <v>39.1</v>
      </c>
      <c r="K818" s="562" t="s">
        <v>313</v>
      </c>
      <c r="L818" s="604">
        <v>5.87</v>
      </c>
      <c r="M818" s="603"/>
      <c r="N818" s="602"/>
      <c r="V818" s="674"/>
      <c r="W818" s="675"/>
      <c r="Z818" s="537" t="s">
        <v>344</v>
      </c>
      <c r="AC818" s="675"/>
      <c r="AD818" s="675"/>
      <c r="AE818" s="675"/>
      <c r="AG818" s="675"/>
      <c r="AH818" s="680"/>
    </row>
    <row r="819" spans="1:34" s="536" customFormat="1" ht="12" x14ac:dyDescent="0.2">
      <c r="A819" s="605"/>
      <c r="B819" s="552" t="s">
        <v>187</v>
      </c>
      <c r="C819" s="1822" t="s">
        <v>345</v>
      </c>
      <c r="D819" s="1822"/>
      <c r="E819" s="1822"/>
      <c r="F819" s="562"/>
      <c r="G819" s="562"/>
      <c r="H819" s="562"/>
      <c r="I819" s="562"/>
      <c r="J819" s="604">
        <v>7.15</v>
      </c>
      <c r="K819" s="562" t="s">
        <v>313</v>
      </c>
      <c r="L819" s="604">
        <v>1.07</v>
      </c>
      <c r="M819" s="603"/>
      <c r="N819" s="602"/>
      <c r="V819" s="674"/>
      <c r="W819" s="675"/>
      <c r="Z819" s="537" t="s">
        <v>345</v>
      </c>
      <c r="AC819" s="675"/>
      <c r="AD819" s="675"/>
      <c r="AE819" s="675"/>
      <c r="AG819" s="675"/>
      <c r="AH819" s="680"/>
    </row>
    <row r="820" spans="1:34" s="536" customFormat="1" ht="12" x14ac:dyDescent="0.2">
      <c r="A820" s="676"/>
      <c r="B820" s="677" t="s">
        <v>1055</v>
      </c>
      <c r="C820" s="1829" t="s">
        <v>1056</v>
      </c>
      <c r="D820" s="1829"/>
      <c r="E820" s="1829"/>
      <c r="F820" s="678" t="s">
        <v>694</v>
      </c>
      <c r="G820" s="678" t="s">
        <v>702</v>
      </c>
      <c r="H820" s="678"/>
      <c r="I820" s="678" t="s">
        <v>6875</v>
      </c>
      <c r="J820" s="552"/>
      <c r="K820" s="562"/>
      <c r="L820" s="604"/>
      <c r="M820" s="562"/>
      <c r="N820" s="679"/>
      <c r="V820" s="674"/>
      <c r="W820" s="675"/>
      <c r="AC820" s="675"/>
      <c r="AD820" s="675"/>
      <c r="AE820" s="675"/>
      <c r="AG820" s="675"/>
      <c r="AH820" s="680" t="s">
        <v>1056</v>
      </c>
    </row>
    <row r="821" spans="1:34" s="536" customFormat="1" ht="12" x14ac:dyDescent="0.2">
      <c r="A821" s="605"/>
      <c r="B821" s="552"/>
      <c r="C821" s="1822" t="s">
        <v>348</v>
      </c>
      <c r="D821" s="1822"/>
      <c r="E821" s="1822"/>
      <c r="F821" s="562" t="s">
        <v>315</v>
      </c>
      <c r="G821" s="562" t="s">
        <v>1057</v>
      </c>
      <c r="H821" s="562" t="s">
        <v>313</v>
      </c>
      <c r="I821" s="562" t="s">
        <v>5651</v>
      </c>
      <c r="J821" s="604"/>
      <c r="K821" s="562"/>
      <c r="L821" s="604"/>
      <c r="M821" s="603"/>
      <c r="N821" s="602"/>
      <c r="V821" s="674"/>
      <c r="W821" s="675"/>
      <c r="AA821" s="537" t="s">
        <v>348</v>
      </c>
      <c r="AC821" s="675"/>
      <c r="AD821" s="675"/>
      <c r="AE821" s="675"/>
      <c r="AG821" s="675"/>
      <c r="AH821" s="680"/>
    </row>
    <row r="822" spans="1:34" s="536" customFormat="1" ht="12" x14ac:dyDescent="0.2">
      <c r="A822" s="605"/>
      <c r="B822" s="552"/>
      <c r="C822" s="1828" t="s">
        <v>318</v>
      </c>
      <c r="D822" s="1828"/>
      <c r="E822" s="1828"/>
      <c r="F822" s="608"/>
      <c r="G822" s="608"/>
      <c r="H822" s="608"/>
      <c r="I822" s="608"/>
      <c r="J822" s="607">
        <v>39.1</v>
      </c>
      <c r="K822" s="608"/>
      <c r="L822" s="607">
        <v>5.87</v>
      </c>
      <c r="M822" s="601"/>
      <c r="N822" s="606"/>
      <c r="V822" s="674"/>
      <c r="W822" s="675"/>
      <c r="AB822" s="537" t="s">
        <v>318</v>
      </c>
      <c r="AC822" s="675"/>
      <c r="AD822" s="675"/>
      <c r="AE822" s="675"/>
      <c r="AG822" s="675"/>
      <c r="AH822" s="680"/>
    </row>
    <row r="823" spans="1:34" s="536" customFormat="1" ht="12" x14ac:dyDescent="0.2">
      <c r="A823" s="605"/>
      <c r="B823" s="552"/>
      <c r="C823" s="1822" t="s">
        <v>319</v>
      </c>
      <c r="D823" s="1822"/>
      <c r="E823" s="1822"/>
      <c r="F823" s="562"/>
      <c r="G823" s="562"/>
      <c r="H823" s="562"/>
      <c r="I823" s="562"/>
      <c r="J823" s="604"/>
      <c r="K823" s="562"/>
      <c r="L823" s="604">
        <v>1.07</v>
      </c>
      <c r="M823" s="603"/>
      <c r="N823" s="602"/>
      <c r="V823" s="674"/>
      <c r="W823" s="675"/>
      <c r="AA823" s="537" t="s">
        <v>319</v>
      </c>
      <c r="AC823" s="675"/>
      <c r="AD823" s="675"/>
      <c r="AE823" s="675"/>
      <c r="AG823" s="675"/>
      <c r="AH823" s="680"/>
    </row>
    <row r="824" spans="1:34" s="536" customFormat="1" ht="33.75" x14ac:dyDescent="0.2">
      <c r="A824" s="605"/>
      <c r="B824" s="552" t="s">
        <v>554</v>
      </c>
      <c r="C824" s="1822" t="s">
        <v>555</v>
      </c>
      <c r="D824" s="1822"/>
      <c r="E824" s="1822"/>
      <c r="F824" s="562" t="s">
        <v>322</v>
      </c>
      <c r="G824" s="562" t="s">
        <v>556</v>
      </c>
      <c r="H824" s="562"/>
      <c r="I824" s="562" t="s">
        <v>556</v>
      </c>
      <c r="J824" s="604"/>
      <c r="K824" s="562"/>
      <c r="L824" s="604">
        <v>1.35</v>
      </c>
      <c r="M824" s="603"/>
      <c r="N824" s="602"/>
      <c r="V824" s="674"/>
      <c r="W824" s="675"/>
      <c r="AA824" s="537" t="s">
        <v>555</v>
      </c>
      <c r="AC824" s="675"/>
      <c r="AD824" s="675"/>
      <c r="AE824" s="675"/>
      <c r="AG824" s="675"/>
      <c r="AH824" s="680"/>
    </row>
    <row r="825" spans="1:34" s="536" customFormat="1" ht="33.75" x14ac:dyDescent="0.2">
      <c r="A825" s="605"/>
      <c r="B825" s="552" t="s">
        <v>557</v>
      </c>
      <c r="C825" s="1822" t="s">
        <v>558</v>
      </c>
      <c r="D825" s="1822"/>
      <c r="E825" s="1822"/>
      <c r="F825" s="562" t="s">
        <v>322</v>
      </c>
      <c r="G825" s="562" t="s">
        <v>559</v>
      </c>
      <c r="H825" s="562"/>
      <c r="I825" s="562" t="s">
        <v>559</v>
      </c>
      <c r="J825" s="604"/>
      <c r="K825" s="562"/>
      <c r="L825" s="604">
        <v>1.02</v>
      </c>
      <c r="M825" s="603"/>
      <c r="N825" s="602"/>
      <c r="V825" s="674"/>
      <c r="W825" s="675"/>
      <c r="AA825" s="537" t="s">
        <v>558</v>
      </c>
      <c r="AC825" s="675"/>
      <c r="AD825" s="675"/>
      <c r="AE825" s="675"/>
      <c r="AG825" s="675"/>
      <c r="AH825" s="680"/>
    </row>
    <row r="826" spans="1:34" s="536" customFormat="1" ht="12" x14ac:dyDescent="0.2">
      <c r="A826" s="569"/>
      <c r="B826" s="671"/>
      <c r="C826" s="1823" t="s">
        <v>327</v>
      </c>
      <c r="D826" s="1823"/>
      <c r="E826" s="1823"/>
      <c r="F826" s="573"/>
      <c r="G826" s="573"/>
      <c r="H826" s="573"/>
      <c r="I826" s="573"/>
      <c r="J826" s="572"/>
      <c r="K826" s="573"/>
      <c r="L826" s="572">
        <v>8.24</v>
      </c>
      <c r="M826" s="601"/>
      <c r="N826" s="570"/>
      <c r="V826" s="674"/>
      <c r="W826" s="675"/>
      <c r="AC826" s="675" t="s">
        <v>327</v>
      </c>
      <c r="AD826" s="675"/>
      <c r="AE826" s="675"/>
      <c r="AG826" s="675"/>
      <c r="AH826" s="680"/>
    </row>
    <row r="827" spans="1:34" s="536" customFormat="1" ht="12" x14ac:dyDescent="0.2">
      <c r="A827" s="575" t="s">
        <v>2368</v>
      </c>
      <c r="B827" s="670" t="s">
        <v>1059</v>
      </c>
      <c r="C827" s="1823" t="s">
        <v>1060</v>
      </c>
      <c r="D827" s="1823"/>
      <c r="E827" s="1823"/>
      <c r="F827" s="573" t="s">
        <v>694</v>
      </c>
      <c r="G827" s="573"/>
      <c r="H827" s="573"/>
      <c r="I827" s="573" t="s">
        <v>6875</v>
      </c>
      <c r="J827" s="572">
        <v>2723.2</v>
      </c>
      <c r="K827" s="573"/>
      <c r="L827" s="572">
        <v>336.59</v>
      </c>
      <c r="M827" s="571"/>
      <c r="N827" s="570"/>
      <c r="V827" s="674"/>
      <c r="W827" s="675" t="s">
        <v>1060</v>
      </c>
      <c r="AC827" s="675"/>
      <c r="AD827" s="675"/>
      <c r="AE827" s="675"/>
      <c r="AG827" s="675"/>
      <c r="AH827" s="680"/>
    </row>
    <row r="828" spans="1:34" s="536" customFormat="1" ht="12" x14ac:dyDescent="0.2">
      <c r="A828" s="569"/>
      <c r="B828" s="671"/>
      <c r="C828" s="665" t="s">
        <v>717</v>
      </c>
      <c r="D828" s="666"/>
      <c r="E828" s="666"/>
      <c r="F828" s="563"/>
      <c r="G828" s="563"/>
      <c r="H828" s="563"/>
      <c r="I828" s="563"/>
      <c r="J828" s="566"/>
      <c r="K828" s="563"/>
      <c r="L828" s="566"/>
      <c r="M828" s="565"/>
      <c r="N828" s="564"/>
      <c r="V828" s="674"/>
      <c r="W828" s="675"/>
      <c r="AC828" s="675"/>
      <c r="AD828" s="675"/>
      <c r="AE828" s="675"/>
      <c r="AG828" s="675"/>
      <c r="AH828" s="680"/>
    </row>
    <row r="829" spans="1:34" s="536" customFormat="1" ht="45" x14ac:dyDescent="0.2">
      <c r="A829" s="575" t="s">
        <v>2373</v>
      </c>
      <c r="B829" s="670" t="s">
        <v>1061</v>
      </c>
      <c r="C829" s="1823" t="s">
        <v>1062</v>
      </c>
      <c r="D829" s="1823"/>
      <c r="E829" s="1823"/>
      <c r="F829" s="573" t="s">
        <v>1034</v>
      </c>
      <c r="G829" s="573"/>
      <c r="H829" s="573"/>
      <c r="I829" s="573" t="s">
        <v>2225</v>
      </c>
      <c r="J829" s="572"/>
      <c r="K829" s="573"/>
      <c r="L829" s="572"/>
      <c r="M829" s="571"/>
      <c r="N829" s="570"/>
      <c r="V829" s="674"/>
      <c r="W829" s="675" t="s">
        <v>1062</v>
      </c>
      <c r="AC829" s="675"/>
      <c r="AD829" s="675"/>
      <c r="AE829" s="675"/>
      <c r="AG829" s="675"/>
      <c r="AH829" s="680"/>
    </row>
    <row r="830" spans="1:34" s="536" customFormat="1" ht="12" x14ac:dyDescent="0.2">
      <c r="A830" s="676"/>
      <c r="B830" s="664"/>
      <c r="C830" s="1822" t="s">
        <v>6903</v>
      </c>
      <c r="D830" s="1822"/>
      <c r="E830" s="1822"/>
      <c r="F830" s="1822"/>
      <c r="G830" s="1822"/>
      <c r="H830" s="1822"/>
      <c r="I830" s="1822"/>
      <c r="J830" s="1822"/>
      <c r="K830" s="1822"/>
      <c r="L830" s="1822"/>
      <c r="M830" s="1822"/>
      <c r="N830" s="1827"/>
      <c r="V830" s="674"/>
      <c r="W830" s="675"/>
      <c r="X830" s="537" t="s">
        <v>6903</v>
      </c>
      <c r="AC830" s="675"/>
      <c r="AD830" s="675"/>
      <c r="AE830" s="675"/>
      <c r="AG830" s="675"/>
      <c r="AH830" s="680"/>
    </row>
    <row r="831" spans="1:34" s="536" customFormat="1" ht="33.75" x14ac:dyDescent="0.2">
      <c r="A831" s="609"/>
      <c r="B831" s="552" t="s">
        <v>310</v>
      </c>
      <c r="C831" s="1822" t="s">
        <v>311</v>
      </c>
      <c r="D831" s="1822"/>
      <c r="E831" s="1822"/>
      <c r="F831" s="1822"/>
      <c r="G831" s="1822"/>
      <c r="H831" s="1822"/>
      <c r="I831" s="1822"/>
      <c r="J831" s="1822"/>
      <c r="K831" s="1822"/>
      <c r="L831" s="1822"/>
      <c r="M831" s="1822"/>
      <c r="N831" s="1827"/>
      <c r="V831" s="674"/>
      <c r="W831" s="675"/>
      <c r="Y831" s="537" t="s">
        <v>311</v>
      </c>
      <c r="AC831" s="675"/>
      <c r="AD831" s="675"/>
      <c r="AE831" s="675"/>
      <c r="AG831" s="675"/>
      <c r="AH831" s="680"/>
    </row>
    <row r="832" spans="1:34" s="536" customFormat="1" ht="12" x14ac:dyDescent="0.2">
      <c r="A832" s="605"/>
      <c r="B832" s="552" t="s">
        <v>185</v>
      </c>
      <c r="C832" s="1822" t="s">
        <v>312</v>
      </c>
      <c r="D832" s="1822"/>
      <c r="E832" s="1822"/>
      <c r="F832" s="562"/>
      <c r="G832" s="562"/>
      <c r="H832" s="562"/>
      <c r="I832" s="562"/>
      <c r="J832" s="604">
        <v>182.32</v>
      </c>
      <c r="K832" s="562" t="s">
        <v>313</v>
      </c>
      <c r="L832" s="604">
        <v>93.44</v>
      </c>
      <c r="M832" s="603"/>
      <c r="N832" s="602"/>
      <c r="V832" s="674"/>
      <c r="W832" s="675"/>
      <c r="Z832" s="537" t="s">
        <v>312</v>
      </c>
      <c r="AC832" s="675"/>
      <c r="AD832" s="675"/>
      <c r="AE832" s="675"/>
      <c r="AG832" s="675"/>
      <c r="AH832" s="680"/>
    </row>
    <row r="833" spans="1:34" s="536" customFormat="1" ht="12" x14ac:dyDescent="0.2">
      <c r="A833" s="605"/>
      <c r="B833" s="552" t="s">
        <v>186</v>
      </c>
      <c r="C833" s="1822" t="s">
        <v>344</v>
      </c>
      <c r="D833" s="1822"/>
      <c r="E833" s="1822"/>
      <c r="F833" s="562"/>
      <c r="G833" s="562"/>
      <c r="H833" s="562"/>
      <c r="I833" s="562"/>
      <c r="J833" s="604">
        <v>7479.03</v>
      </c>
      <c r="K833" s="562" t="s">
        <v>313</v>
      </c>
      <c r="L833" s="604">
        <v>3833</v>
      </c>
      <c r="M833" s="603"/>
      <c r="N833" s="602"/>
      <c r="V833" s="674"/>
      <c r="W833" s="675"/>
      <c r="Z833" s="537" t="s">
        <v>344</v>
      </c>
      <c r="AC833" s="675"/>
      <c r="AD833" s="675"/>
      <c r="AE833" s="675"/>
      <c r="AG833" s="675"/>
      <c r="AH833" s="680"/>
    </row>
    <row r="834" spans="1:34" s="536" customFormat="1" ht="12" x14ac:dyDescent="0.2">
      <c r="A834" s="605"/>
      <c r="B834" s="552" t="s">
        <v>187</v>
      </c>
      <c r="C834" s="1822" t="s">
        <v>345</v>
      </c>
      <c r="D834" s="1822"/>
      <c r="E834" s="1822"/>
      <c r="F834" s="562"/>
      <c r="G834" s="562"/>
      <c r="H834" s="562"/>
      <c r="I834" s="562"/>
      <c r="J834" s="604">
        <v>234.46</v>
      </c>
      <c r="K834" s="562" t="s">
        <v>313</v>
      </c>
      <c r="L834" s="604">
        <v>120.16</v>
      </c>
      <c r="M834" s="603"/>
      <c r="N834" s="602"/>
      <c r="V834" s="674"/>
      <c r="W834" s="675"/>
      <c r="Z834" s="537" t="s">
        <v>345</v>
      </c>
      <c r="AC834" s="675"/>
      <c r="AD834" s="675"/>
      <c r="AE834" s="675"/>
      <c r="AG834" s="675"/>
      <c r="AH834" s="680"/>
    </row>
    <row r="835" spans="1:34" s="536" customFormat="1" ht="12" x14ac:dyDescent="0.2">
      <c r="A835" s="605"/>
      <c r="B835" s="552" t="s">
        <v>188</v>
      </c>
      <c r="C835" s="1822" t="s">
        <v>475</v>
      </c>
      <c r="D835" s="1822"/>
      <c r="E835" s="1822"/>
      <c r="F835" s="562"/>
      <c r="G835" s="562"/>
      <c r="H835" s="562"/>
      <c r="I835" s="562"/>
      <c r="J835" s="604">
        <v>874.78</v>
      </c>
      <c r="K835" s="562"/>
      <c r="L835" s="604">
        <v>358.66</v>
      </c>
      <c r="M835" s="603"/>
      <c r="N835" s="602"/>
      <c r="V835" s="674"/>
      <c r="W835" s="675"/>
      <c r="Z835" s="537" t="s">
        <v>475</v>
      </c>
      <c r="AC835" s="675"/>
      <c r="AD835" s="675"/>
      <c r="AE835" s="675"/>
      <c r="AG835" s="675"/>
      <c r="AH835" s="680"/>
    </row>
    <row r="836" spans="1:34" s="536" customFormat="1" ht="12" x14ac:dyDescent="0.2">
      <c r="A836" s="676"/>
      <c r="B836" s="677" t="s">
        <v>1063</v>
      </c>
      <c r="C836" s="1829" t="s">
        <v>1064</v>
      </c>
      <c r="D836" s="1829"/>
      <c r="E836" s="1829"/>
      <c r="F836" s="678" t="s">
        <v>694</v>
      </c>
      <c r="G836" s="678" t="s">
        <v>525</v>
      </c>
      <c r="H836" s="678"/>
      <c r="I836" s="678" t="s">
        <v>525</v>
      </c>
      <c r="J836" s="552"/>
      <c r="K836" s="562"/>
      <c r="L836" s="604"/>
      <c r="M836" s="562"/>
      <c r="N836" s="679"/>
      <c r="V836" s="674"/>
      <c r="W836" s="675"/>
      <c r="AC836" s="675"/>
      <c r="AD836" s="675"/>
      <c r="AE836" s="675"/>
      <c r="AG836" s="675"/>
      <c r="AH836" s="680" t="s">
        <v>1064</v>
      </c>
    </row>
    <row r="837" spans="1:34" s="536" customFormat="1" ht="12" x14ac:dyDescent="0.2">
      <c r="A837" s="605"/>
      <c r="B837" s="552"/>
      <c r="C837" s="1822" t="s">
        <v>314</v>
      </c>
      <c r="D837" s="1822"/>
      <c r="E837" s="1822"/>
      <c r="F837" s="562" t="s">
        <v>315</v>
      </c>
      <c r="G837" s="562" t="s">
        <v>1065</v>
      </c>
      <c r="H837" s="562" t="s">
        <v>313</v>
      </c>
      <c r="I837" s="562" t="s">
        <v>6904</v>
      </c>
      <c r="J837" s="604"/>
      <c r="K837" s="562"/>
      <c r="L837" s="604"/>
      <c r="M837" s="603"/>
      <c r="N837" s="602"/>
      <c r="V837" s="674"/>
      <c r="W837" s="675"/>
      <c r="AA837" s="537" t="s">
        <v>314</v>
      </c>
      <c r="AC837" s="675"/>
      <c r="AD837" s="675"/>
      <c r="AE837" s="675"/>
      <c r="AG837" s="675"/>
      <c r="AH837" s="680"/>
    </row>
    <row r="838" spans="1:34" s="536" customFormat="1" ht="12" x14ac:dyDescent="0.2">
      <c r="A838" s="605"/>
      <c r="B838" s="552"/>
      <c r="C838" s="1822" t="s">
        <v>348</v>
      </c>
      <c r="D838" s="1822"/>
      <c r="E838" s="1822"/>
      <c r="F838" s="562" t="s">
        <v>315</v>
      </c>
      <c r="G838" s="562" t="s">
        <v>1066</v>
      </c>
      <c r="H838" s="562" t="s">
        <v>313</v>
      </c>
      <c r="I838" s="562" t="s">
        <v>6905</v>
      </c>
      <c r="J838" s="604"/>
      <c r="K838" s="562"/>
      <c r="L838" s="604"/>
      <c r="M838" s="603"/>
      <c r="N838" s="602"/>
      <c r="V838" s="674"/>
      <c r="W838" s="675"/>
      <c r="AA838" s="537" t="s">
        <v>348</v>
      </c>
      <c r="AC838" s="675"/>
      <c r="AD838" s="675"/>
      <c r="AE838" s="675"/>
      <c r="AG838" s="675"/>
      <c r="AH838" s="680"/>
    </row>
    <row r="839" spans="1:34" s="536" customFormat="1" ht="12" x14ac:dyDescent="0.2">
      <c r="A839" s="605"/>
      <c r="B839" s="552"/>
      <c r="C839" s="1828" t="s">
        <v>318</v>
      </c>
      <c r="D839" s="1828"/>
      <c r="E839" s="1828"/>
      <c r="F839" s="608"/>
      <c r="G839" s="608"/>
      <c r="H839" s="608"/>
      <c r="I839" s="608"/>
      <c r="J839" s="607">
        <v>8536.1299999999992</v>
      </c>
      <c r="K839" s="608"/>
      <c r="L839" s="607">
        <v>4285.1000000000004</v>
      </c>
      <c r="M839" s="601"/>
      <c r="N839" s="606"/>
      <c r="V839" s="674"/>
      <c r="W839" s="675"/>
      <c r="AB839" s="537" t="s">
        <v>318</v>
      </c>
      <c r="AC839" s="675"/>
      <c r="AD839" s="675"/>
      <c r="AE839" s="675"/>
      <c r="AG839" s="675"/>
      <c r="AH839" s="680"/>
    </row>
    <row r="840" spans="1:34" s="536" customFormat="1" ht="12" x14ac:dyDescent="0.2">
      <c r="A840" s="605"/>
      <c r="B840" s="552"/>
      <c r="C840" s="1822" t="s">
        <v>319</v>
      </c>
      <c r="D840" s="1822"/>
      <c r="E840" s="1822"/>
      <c r="F840" s="562"/>
      <c r="G840" s="562"/>
      <c r="H840" s="562"/>
      <c r="I840" s="562"/>
      <c r="J840" s="604"/>
      <c r="K840" s="562"/>
      <c r="L840" s="604">
        <v>213.6</v>
      </c>
      <c r="M840" s="603"/>
      <c r="N840" s="602"/>
      <c r="V840" s="674"/>
      <c r="W840" s="675"/>
      <c r="AA840" s="537" t="s">
        <v>319</v>
      </c>
      <c r="AC840" s="675"/>
      <c r="AD840" s="675"/>
      <c r="AE840" s="675"/>
      <c r="AG840" s="675"/>
      <c r="AH840" s="680"/>
    </row>
    <row r="841" spans="1:34" s="536" customFormat="1" ht="33.75" x14ac:dyDescent="0.2">
      <c r="A841" s="605"/>
      <c r="B841" s="552" t="s">
        <v>554</v>
      </c>
      <c r="C841" s="1822" t="s">
        <v>555</v>
      </c>
      <c r="D841" s="1822"/>
      <c r="E841" s="1822"/>
      <c r="F841" s="562" t="s">
        <v>322</v>
      </c>
      <c r="G841" s="562" t="s">
        <v>556</v>
      </c>
      <c r="H841" s="562"/>
      <c r="I841" s="562" t="s">
        <v>556</v>
      </c>
      <c r="J841" s="604"/>
      <c r="K841" s="562"/>
      <c r="L841" s="604">
        <v>269.14</v>
      </c>
      <c r="M841" s="603"/>
      <c r="N841" s="602"/>
      <c r="V841" s="674"/>
      <c r="W841" s="675"/>
      <c r="AA841" s="537" t="s">
        <v>555</v>
      </c>
      <c r="AC841" s="675"/>
      <c r="AD841" s="675"/>
      <c r="AE841" s="675"/>
      <c r="AG841" s="675"/>
      <c r="AH841" s="680"/>
    </row>
    <row r="842" spans="1:34" s="536" customFormat="1" ht="33.75" x14ac:dyDescent="0.2">
      <c r="A842" s="605"/>
      <c r="B842" s="552" t="s">
        <v>557</v>
      </c>
      <c r="C842" s="1822" t="s">
        <v>558</v>
      </c>
      <c r="D842" s="1822"/>
      <c r="E842" s="1822"/>
      <c r="F842" s="562" t="s">
        <v>322</v>
      </c>
      <c r="G842" s="562" t="s">
        <v>559</v>
      </c>
      <c r="H842" s="562"/>
      <c r="I842" s="562" t="s">
        <v>559</v>
      </c>
      <c r="J842" s="604"/>
      <c r="K842" s="562"/>
      <c r="L842" s="604">
        <v>202.92</v>
      </c>
      <c r="M842" s="603"/>
      <c r="N842" s="602"/>
      <c r="V842" s="674"/>
      <c r="W842" s="675"/>
      <c r="AA842" s="537" t="s">
        <v>558</v>
      </c>
      <c r="AC842" s="675"/>
      <c r="AD842" s="675"/>
      <c r="AE842" s="675"/>
      <c r="AG842" s="675"/>
      <c r="AH842" s="680"/>
    </row>
    <row r="843" spans="1:34" s="536" customFormat="1" ht="12" x14ac:dyDescent="0.2">
      <c r="A843" s="569"/>
      <c r="B843" s="671"/>
      <c r="C843" s="1823" t="s">
        <v>327</v>
      </c>
      <c r="D843" s="1823"/>
      <c r="E843" s="1823"/>
      <c r="F843" s="573"/>
      <c r="G843" s="573"/>
      <c r="H843" s="573"/>
      <c r="I843" s="573"/>
      <c r="J843" s="572"/>
      <c r="K843" s="573"/>
      <c r="L843" s="572">
        <v>4757.16</v>
      </c>
      <c r="M843" s="601"/>
      <c r="N843" s="570"/>
      <c r="V843" s="674"/>
      <c r="W843" s="675"/>
      <c r="AC843" s="675" t="s">
        <v>327</v>
      </c>
      <c r="AD843" s="675"/>
      <c r="AE843" s="675"/>
      <c r="AG843" s="675"/>
      <c r="AH843" s="680"/>
    </row>
    <row r="844" spans="1:34" s="536" customFormat="1" ht="33.75" x14ac:dyDescent="0.2">
      <c r="A844" s="575" t="s">
        <v>1540</v>
      </c>
      <c r="B844" s="670" t="s">
        <v>1068</v>
      </c>
      <c r="C844" s="1823" t="s">
        <v>1080</v>
      </c>
      <c r="D844" s="1823"/>
      <c r="E844" s="1823"/>
      <c r="F844" s="573" t="s">
        <v>1034</v>
      </c>
      <c r="G844" s="573"/>
      <c r="H844" s="573"/>
      <c r="I844" s="573" t="s">
        <v>2225</v>
      </c>
      <c r="J844" s="572"/>
      <c r="K844" s="573"/>
      <c r="L844" s="572"/>
      <c r="M844" s="571"/>
      <c r="N844" s="570"/>
      <c r="V844" s="674"/>
      <c r="W844" s="675" t="s">
        <v>1080</v>
      </c>
      <c r="AC844" s="675"/>
      <c r="AD844" s="675"/>
      <c r="AE844" s="675"/>
      <c r="AG844" s="675"/>
      <c r="AH844" s="680"/>
    </row>
    <row r="845" spans="1:34" s="536" customFormat="1" ht="12" x14ac:dyDescent="0.2">
      <c r="A845" s="676"/>
      <c r="B845" s="664"/>
      <c r="C845" s="1822" t="s">
        <v>6903</v>
      </c>
      <c r="D845" s="1822"/>
      <c r="E845" s="1822"/>
      <c r="F845" s="1822"/>
      <c r="G845" s="1822"/>
      <c r="H845" s="1822"/>
      <c r="I845" s="1822"/>
      <c r="J845" s="1822"/>
      <c r="K845" s="1822"/>
      <c r="L845" s="1822"/>
      <c r="M845" s="1822"/>
      <c r="N845" s="1827"/>
      <c r="V845" s="674"/>
      <c r="W845" s="675"/>
      <c r="X845" s="537" t="s">
        <v>6903</v>
      </c>
      <c r="AC845" s="675"/>
      <c r="AD845" s="675"/>
      <c r="AE845" s="675"/>
      <c r="AG845" s="675"/>
      <c r="AH845" s="680"/>
    </row>
    <row r="846" spans="1:34" s="536" customFormat="1" ht="12" x14ac:dyDescent="0.2">
      <c r="A846" s="609"/>
      <c r="B846" s="552"/>
      <c r="C846" s="1822" t="s">
        <v>1081</v>
      </c>
      <c r="D846" s="1822"/>
      <c r="E846" s="1822"/>
      <c r="F846" s="1822"/>
      <c r="G846" s="1822"/>
      <c r="H846" s="1822"/>
      <c r="I846" s="1822"/>
      <c r="J846" s="1822"/>
      <c r="K846" s="1822"/>
      <c r="L846" s="1822"/>
      <c r="M846" s="1822"/>
      <c r="N846" s="1827"/>
      <c r="V846" s="674"/>
      <c r="W846" s="675"/>
      <c r="Y846" s="537" t="s">
        <v>1081</v>
      </c>
      <c r="AC846" s="675"/>
      <c r="AD846" s="675"/>
      <c r="AE846" s="675"/>
      <c r="AG846" s="675"/>
      <c r="AH846" s="680"/>
    </row>
    <row r="847" spans="1:34" s="536" customFormat="1" ht="33.75" x14ac:dyDescent="0.2">
      <c r="A847" s="609"/>
      <c r="B847" s="552" t="s">
        <v>310</v>
      </c>
      <c r="C847" s="1822" t="s">
        <v>311</v>
      </c>
      <c r="D847" s="1822"/>
      <c r="E847" s="1822"/>
      <c r="F847" s="1822"/>
      <c r="G847" s="1822"/>
      <c r="H847" s="1822"/>
      <c r="I847" s="1822"/>
      <c r="J847" s="1822"/>
      <c r="K847" s="1822"/>
      <c r="L847" s="1822"/>
      <c r="M847" s="1822"/>
      <c r="N847" s="1827"/>
      <c r="V847" s="674"/>
      <c r="W847" s="675"/>
      <c r="Y847" s="537" t="s">
        <v>311</v>
      </c>
      <c r="AC847" s="675"/>
      <c r="AD847" s="675"/>
      <c r="AE847" s="675"/>
      <c r="AG847" s="675"/>
      <c r="AH847" s="680"/>
    </row>
    <row r="848" spans="1:34" s="536" customFormat="1" ht="12" x14ac:dyDescent="0.2">
      <c r="A848" s="605"/>
      <c r="B848" s="552" t="s">
        <v>185</v>
      </c>
      <c r="C848" s="1822" t="s">
        <v>312</v>
      </c>
      <c r="D848" s="1822"/>
      <c r="E848" s="1822"/>
      <c r="F848" s="562"/>
      <c r="G848" s="562"/>
      <c r="H848" s="562"/>
      <c r="I848" s="562"/>
      <c r="J848" s="604">
        <v>3.29</v>
      </c>
      <c r="K848" s="562" t="s">
        <v>189</v>
      </c>
      <c r="L848" s="604">
        <v>6.74</v>
      </c>
      <c r="M848" s="603"/>
      <c r="N848" s="602"/>
      <c r="V848" s="674"/>
      <c r="W848" s="675"/>
      <c r="Z848" s="537" t="s">
        <v>312</v>
      </c>
      <c r="AC848" s="675"/>
      <c r="AD848" s="675"/>
      <c r="AE848" s="675"/>
      <c r="AG848" s="675"/>
      <c r="AH848" s="680"/>
    </row>
    <row r="849" spans="1:34" s="536" customFormat="1" ht="12" x14ac:dyDescent="0.2">
      <c r="A849" s="605"/>
      <c r="B849" s="552" t="s">
        <v>186</v>
      </c>
      <c r="C849" s="1822" t="s">
        <v>344</v>
      </c>
      <c r="D849" s="1822"/>
      <c r="E849" s="1822"/>
      <c r="F849" s="562"/>
      <c r="G849" s="562"/>
      <c r="H849" s="562"/>
      <c r="I849" s="562"/>
      <c r="J849" s="604">
        <v>254.89</v>
      </c>
      <c r="K849" s="562" t="s">
        <v>189</v>
      </c>
      <c r="L849" s="604">
        <v>522.52</v>
      </c>
      <c r="M849" s="603"/>
      <c r="N849" s="602"/>
      <c r="V849" s="674"/>
      <c r="W849" s="675"/>
      <c r="Z849" s="537" t="s">
        <v>344</v>
      </c>
      <c r="AC849" s="675"/>
      <c r="AD849" s="675"/>
      <c r="AE849" s="675"/>
      <c r="AG849" s="675"/>
      <c r="AH849" s="680"/>
    </row>
    <row r="850" spans="1:34" s="536" customFormat="1" ht="12" x14ac:dyDescent="0.2">
      <c r="A850" s="605"/>
      <c r="B850" s="552" t="s">
        <v>187</v>
      </c>
      <c r="C850" s="1822" t="s">
        <v>345</v>
      </c>
      <c r="D850" s="1822"/>
      <c r="E850" s="1822"/>
      <c r="F850" s="562"/>
      <c r="G850" s="562"/>
      <c r="H850" s="562"/>
      <c r="I850" s="562"/>
      <c r="J850" s="604">
        <v>5.95</v>
      </c>
      <c r="K850" s="562" t="s">
        <v>189</v>
      </c>
      <c r="L850" s="604">
        <v>12.2</v>
      </c>
      <c r="M850" s="603"/>
      <c r="N850" s="602"/>
      <c r="V850" s="674"/>
      <c r="W850" s="675"/>
      <c r="Z850" s="537" t="s">
        <v>345</v>
      </c>
      <c r="AC850" s="675"/>
      <c r="AD850" s="675"/>
      <c r="AE850" s="675"/>
      <c r="AG850" s="675"/>
      <c r="AH850" s="680"/>
    </row>
    <row r="851" spans="1:34" s="536" customFormat="1" ht="12" x14ac:dyDescent="0.2">
      <c r="A851" s="605"/>
      <c r="B851" s="552" t="s">
        <v>188</v>
      </c>
      <c r="C851" s="1822" t="s">
        <v>475</v>
      </c>
      <c r="D851" s="1822"/>
      <c r="E851" s="1822"/>
      <c r="F851" s="562"/>
      <c r="G851" s="562"/>
      <c r="H851" s="562"/>
      <c r="I851" s="562"/>
      <c r="J851" s="604">
        <v>2.94</v>
      </c>
      <c r="K851" s="562" t="s">
        <v>188</v>
      </c>
      <c r="L851" s="604">
        <v>4.82</v>
      </c>
      <c r="M851" s="603"/>
      <c r="N851" s="602"/>
      <c r="V851" s="674"/>
      <c r="W851" s="675"/>
      <c r="Z851" s="537" t="s">
        <v>475</v>
      </c>
      <c r="AC851" s="675"/>
      <c r="AD851" s="675"/>
      <c r="AE851" s="675"/>
      <c r="AG851" s="675"/>
      <c r="AH851" s="680"/>
    </row>
    <row r="852" spans="1:34" s="536" customFormat="1" ht="12" x14ac:dyDescent="0.2">
      <c r="A852" s="676"/>
      <c r="B852" s="677" t="s">
        <v>1063</v>
      </c>
      <c r="C852" s="1829" t="s">
        <v>1064</v>
      </c>
      <c r="D852" s="1829"/>
      <c r="E852" s="1829"/>
      <c r="F852" s="678" t="s">
        <v>694</v>
      </c>
      <c r="G852" s="678" t="s">
        <v>525</v>
      </c>
      <c r="H852" s="678" t="s">
        <v>188</v>
      </c>
      <c r="I852" s="678" t="s">
        <v>525</v>
      </c>
      <c r="J852" s="552"/>
      <c r="K852" s="562"/>
      <c r="L852" s="604"/>
      <c r="M852" s="562"/>
      <c r="N852" s="679"/>
      <c r="V852" s="674"/>
      <c r="W852" s="675"/>
      <c r="AC852" s="675"/>
      <c r="AD852" s="675"/>
      <c r="AE852" s="675"/>
      <c r="AG852" s="675"/>
      <c r="AH852" s="680" t="s">
        <v>1064</v>
      </c>
    </row>
    <row r="853" spans="1:34" s="536" customFormat="1" ht="12" x14ac:dyDescent="0.2">
      <c r="A853" s="605"/>
      <c r="B853" s="552"/>
      <c r="C853" s="1822" t="s">
        <v>314</v>
      </c>
      <c r="D853" s="1822"/>
      <c r="E853" s="1822"/>
      <c r="F853" s="562" t="s">
        <v>315</v>
      </c>
      <c r="G853" s="562" t="s">
        <v>691</v>
      </c>
      <c r="H853" s="562" t="s">
        <v>189</v>
      </c>
      <c r="I853" s="562" t="s">
        <v>6908</v>
      </c>
      <c r="J853" s="604"/>
      <c r="K853" s="562"/>
      <c r="L853" s="604"/>
      <c r="M853" s="603"/>
      <c r="N853" s="602"/>
      <c r="V853" s="674"/>
      <c r="W853" s="675"/>
      <c r="AA853" s="537" t="s">
        <v>314</v>
      </c>
      <c r="AC853" s="675"/>
      <c r="AD853" s="675"/>
      <c r="AE853" s="675"/>
      <c r="AG853" s="675"/>
      <c r="AH853" s="680"/>
    </row>
    <row r="854" spans="1:34" s="536" customFormat="1" ht="12" x14ac:dyDescent="0.2">
      <c r="A854" s="605"/>
      <c r="B854" s="552"/>
      <c r="C854" s="1822" t="s">
        <v>348</v>
      </c>
      <c r="D854" s="1822"/>
      <c r="E854" s="1822"/>
      <c r="F854" s="562" t="s">
        <v>315</v>
      </c>
      <c r="G854" s="562" t="s">
        <v>1072</v>
      </c>
      <c r="H854" s="562" t="s">
        <v>189</v>
      </c>
      <c r="I854" s="562" t="s">
        <v>6909</v>
      </c>
      <c r="J854" s="604"/>
      <c r="K854" s="562"/>
      <c r="L854" s="604"/>
      <c r="M854" s="603"/>
      <c r="N854" s="602"/>
      <c r="V854" s="674"/>
      <c r="W854" s="675"/>
      <c r="AA854" s="537" t="s">
        <v>348</v>
      </c>
      <c r="AC854" s="675"/>
      <c r="AD854" s="675"/>
      <c r="AE854" s="675"/>
      <c r="AG854" s="675"/>
      <c r="AH854" s="680"/>
    </row>
    <row r="855" spans="1:34" s="536" customFormat="1" ht="12" x14ac:dyDescent="0.2">
      <c r="A855" s="605"/>
      <c r="B855" s="552"/>
      <c r="C855" s="1828" t="s">
        <v>318</v>
      </c>
      <c r="D855" s="1828"/>
      <c r="E855" s="1828"/>
      <c r="F855" s="608"/>
      <c r="G855" s="608"/>
      <c r="H855" s="608"/>
      <c r="I855" s="608"/>
      <c r="J855" s="607">
        <v>261.12</v>
      </c>
      <c r="K855" s="608"/>
      <c r="L855" s="607">
        <v>534.08000000000004</v>
      </c>
      <c r="M855" s="601"/>
      <c r="N855" s="606"/>
      <c r="V855" s="674"/>
      <c r="W855" s="675"/>
      <c r="AB855" s="537" t="s">
        <v>318</v>
      </c>
      <c r="AC855" s="675"/>
      <c r="AD855" s="675"/>
      <c r="AE855" s="675"/>
      <c r="AG855" s="675"/>
      <c r="AH855" s="680"/>
    </row>
    <row r="856" spans="1:34" s="536" customFormat="1" ht="12" x14ac:dyDescent="0.2">
      <c r="A856" s="605"/>
      <c r="B856" s="552"/>
      <c r="C856" s="1822" t="s">
        <v>319</v>
      </c>
      <c r="D856" s="1822"/>
      <c r="E856" s="1822"/>
      <c r="F856" s="562"/>
      <c r="G856" s="562"/>
      <c r="H856" s="562"/>
      <c r="I856" s="562"/>
      <c r="J856" s="604"/>
      <c r="K856" s="562"/>
      <c r="L856" s="604">
        <v>18.940000000000001</v>
      </c>
      <c r="M856" s="603"/>
      <c r="N856" s="602"/>
      <c r="V856" s="674"/>
      <c r="W856" s="675"/>
      <c r="AA856" s="537" t="s">
        <v>319</v>
      </c>
      <c r="AC856" s="675"/>
      <c r="AD856" s="675"/>
      <c r="AE856" s="675"/>
      <c r="AG856" s="675"/>
      <c r="AH856" s="680"/>
    </row>
    <row r="857" spans="1:34" s="536" customFormat="1" ht="33.75" x14ac:dyDescent="0.2">
      <c r="A857" s="605"/>
      <c r="B857" s="552" t="s">
        <v>554</v>
      </c>
      <c r="C857" s="1822" t="s">
        <v>555</v>
      </c>
      <c r="D857" s="1822"/>
      <c r="E857" s="1822"/>
      <c r="F857" s="562" t="s">
        <v>322</v>
      </c>
      <c r="G857" s="562" t="s">
        <v>556</v>
      </c>
      <c r="H857" s="562"/>
      <c r="I857" s="562" t="s">
        <v>556</v>
      </c>
      <c r="J857" s="604"/>
      <c r="K857" s="562"/>
      <c r="L857" s="604">
        <v>23.86</v>
      </c>
      <c r="M857" s="603"/>
      <c r="N857" s="602"/>
      <c r="V857" s="674"/>
      <c r="W857" s="675"/>
      <c r="AA857" s="537" t="s">
        <v>555</v>
      </c>
      <c r="AC857" s="675"/>
      <c r="AD857" s="675"/>
      <c r="AE857" s="675"/>
      <c r="AG857" s="675"/>
      <c r="AH857" s="680"/>
    </row>
    <row r="858" spans="1:34" s="536" customFormat="1" ht="33.75" x14ac:dyDescent="0.2">
      <c r="A858" s="605"/>
      <c r="B858" s="552" t="s">
        <v>557</v>
      </c>
      <c r="C858" s="1822" t="s">
        <v>558</v>
      </c>
      <c r="D858" s="1822"/>
      <c r="E858" s="1822"/>
      <c r="F858" s="562" t="s">
        <v>322</v>
      </c>
      <c r="G858" s="562" t="s">
        <v>559</v>
      </c>
      <c r="H858" s="562"/>
      <c r="I858" s="562" t="s">
        <v>559</v>
      </c>
      <c r="J858" s="604"/>
      <c r="K858" s="562"/>
      <c r="L858" s="604">
        <v>17.989999999999998</v>
      </c>
      <c r="M858" s="603"/>
      <c r="N858" s="602"/>
      <c r="V858" s="674"/>
      <c r="W858" s="675"/>
      <c r="AA858" s="537" t="s">
        <v>558</v>
      </c>
      <c r="AC858" s="675"/>
      <c r="AD858" s="675"/>
      <c r="AE858" s="675"/>
      <c r="AG858" s="675"/>
      <c r="AH858" s="680"/>
    </row>
    <row r="859" spans="1:34" s="536" customFormat="1" ht="12" x14ac:dyDescent="0.2">
      <c r="A859" s="569"/>
      <c r="B859" s="671"/>
      <c r="C859" s="1823" t="s">
        <v>327</v>
      </c>
      <c r="D859" s="1823"/>
      <c r="E859" s="1823"/>
      <c r="F859" s="573"/>
      <c r="G859" s="573"/>
      <c r="H859" s="573"/>
      <c r="I859" s="573"/>
      <c r="J859" s="572"/>
      <c r="K859" s="573"/>
      <c r="L859" s="572">
        <v>575.92999999999995</v>
      </c>
      <c r="M859" s="601"/>
      <c r="N859" s="570"/>
      <c r="V859" s="674"/>
      <c r="W859" s="675"/>
      <c r="AC859" s="675" t="s">
        <v>327</v>
      </c>
      <c r="AD859" s="675"/>
      <c r="AE859" s="675"/>
      <c r="AG859" s="675"/>
      <c r="AH859" s="680"/>
    </row>
    <row r="860" spans="1:34" s="536" customFormat="1" ht="22.5" x14ac:dyDescent="0.2">
      <c r="A860" s="575" t="s">
        <v>968</v>
      </c>
      <c r="B860" s="670" t="s">
        <v>1082</v>
      </c>
      <c r="C860" s="1823" t="s">
        <v>1083</v>
      </c>
      <c r="D860" s="1823"/>
      <c r="E860" s="1823"/>
      <c r="F860" s="573" t="s">
        <v>694</v>
      </c>
      <c r="G860" s="573"/>
      <c r="H860" s="573"/>
      <c r="I860" s="573" t="s">
        <v>6910</v>
      </c>
      <c r="J860" s="572">
        <v>503.58</v>
      </c>
      <c r="K860" s="573"/>
      <c r="L860" s="572">
        <v>24942.32</v>
      </c>
      <c r="M860" s="571"/>
      <c r="N860" s="570"/>
      <c r="V860" s="674"/>
      <c r="W860" s="675" t="s">
        <v>1083</v>
      </c>
      <c r="AC860" s="675"/>
      <c r="AD860" s="675"/>
      <c r="AE860" s="675"/>
      <c r="AG860" s="675"/>
      <c r="AH860" s="680"/>
    </row>
    <row r="861" spans="1:34" s="536" customFormat="1" ht="12" x14ac:dyDescent="0.2">
      <c r="A861" s="569"/>
      <c r="B861" s="671"/>
      <c r="C861" s="665" t="s">
        <v>717</v>
      </c>
      <c r="D861" s="666"/>
      <c r="E861" s="666"/>
      <c r="F861" s="563"/>
      <c r="G861" s="563"/>
      <c r="H861" s="563"/>
      <c r="I861" s="563"/>
      <c r="J861" s="566"/>
      <c r="K861" s="563"/>
      <c r="L861" s="566"/>
      <c r="M861" s="565"/>
      <c r="N861" s="564"/>
      <c r="V861" s="674"/>
      <c r="W861" s="675"/>
      <c r="AC861" s="675"/>
      <c r="AD861" s="675"/>
      <c r="AE861" s="675"/>
      <c r="AG861" s="675"/>
      <c r="AH861" s="680"/>
    </row>
    <row r="862" spans="1:34" s="536" customFormat="1" ht="45" x14ac:dyDescent="0.2">
      <c r="A862" s="575" t="s">
        <v>2385</v>
      </c>
      <c r="B862" s="670" t="s">
        <v>1024</v>
      </c>
      <c r="C862" s="1823" t="s">
        <v>4174</v>
      </c>
      <c r="D862" s="1823"/>
      <c r="E862" s="1823"/>
      <c r="F862" s="573" t="s">
        <v>509</v>
      </c>
      <c r="G862" s="573"/>
      <c r="H862" s="573"/>
      <c r="I862" s="573" t="s">
        <v>6911</v>
      </c>
      <c r="J862" s="572"/>
      <c r="K862" s="573"/>
      <c r="L862" s="572"/>
      <c r="M862" s="571"/>
      <c r="N862" s="570"/>
      <c r="V862" s="674"/>
      <c r="W862" s="675" t="s">
        <v>4174</v>
      </c>
      <c r="AC862" s="675"/>
      <c r="AD862" s="675"/>
      <c r="AE862" s="675"/>
      <c r="AG862" s="675"/>
      <c r="AH862" s="680"/>
    </row>
    <row r="863" spans="1:34" s="536" customFormat="1" ht="12" x14ac:dyDescent="0.2">
      <c r="A863" s="676"/>
      <c r="B863" s="664"/>
      <c r="C863" s="1822" t="s">
        <v>6912</v>
      </c>
      <c r="D863" s="1822"/>
      <c r="E863" s="1822"/>
      <c r="F863" s="1822"/>
      <c r="G863" s="1822"/>
      <c r="H863" s="1822"/>
      <c r="I863" s="1822"/>
      <c r="J863" s="1822"/>
      <c r="K863" s="1822"/>
      <c r="L863" s="1822"/>
      <c r="M863" s="1822"/>
      <c r="N863" s="1827"/>
      <c r="V863" s="674"/>
      <c r="W863" s="675"/>
      <c r="X863" s="537" t="s">
        <v>6912</v>
      </c>
      <c r="AC863" s="675"/>
      <c r="AD863" s="675"/>
      <c r="AE863" s="675"/>
      <c r="AG863" s="675"/>
      <c r="AH863" s="680"/>
    </row>
    <row r="864" spans="1:34" s="536" customFormat="1" ht="33.75" x14ac:dyDescent="0.2">
      <c r="A864" s="609"/>
      <c r="B864" s="552" t="s">
        <v>310</v>
      </c>
      <c r="C864" s="1822" t="s">
        <v>311</v>
      </c>
      <c r="D864" s="1822"/>
      <c r="E864" s="1822"/>
      <c r="F864" s="1822"/>
      <c r="G864" s="1822"/>
      <c r="H864" s="1822"/>
      <c r="I864" s="1822"/>
      <c r="J864" s="1822"/>
      <c r="K864" s="1822"/>
      <c r="L864" s="1822"/>
      <c r="M864" s="1822"/>
      <c r="N864" s="1827"/>
      <c r="V864" s="674"/>
      <c r="W864" s="675"/>
      <c r="Y864" s="537" t="s">
        <v>311</v>
      </c>
      <c r="AC864" s="675"/>
      <c r="AD864" s="675"/>
      <c r="AE864" s="675"/>
      <c r="AG864" s="675"/>
      <c r="AH864" s="680"/>
    </row>
    <row r="865" spans="1:34" s="536" customFormat="1" ht="12" x14ac:dyDescent="0.2">
      <c r="A865" s="605"/>
      <c r="B865" s="552" t="s">
        <v>185</v>
      </c>
      <c r="C865" s="1822" t="s">
        <v>312</v>
      </c>
      <c r="D865" s="1822"/>
      <c r="E865" s="1822"/>
      <c r="F865" s="562"/>
      <c r="G865" s="562"/>
      <c r="H865" s="562"/>
      <c r="I865" s="562"/>
      <c r="J865" s="604">
        <v>115.49</v>
      </c>
      <c r="K865" s="562" t="s">
        <v>313</v>
      </c>
      <c r="L865" s="604">
        <v>89.5</v>
      </c>
      <c r="M865" s="603"/>
      <c r="N865" s="602"/>
      <c r="V865" s="674"/>
      <c r="W865" s="675"/>
      <c r="Z865" s="537" t="s">
        <v>312</v>
      </c>
      <c r="AC865" s="675"/>
      <c r="AD865" s="675"/>
      <c r="AE865" s="675"/>
      <c r="AG865" s="675"/>
      <c r="AH865" s="680"/>
    </row>
    <row r="866" spans="1:34" s="536" customFormat="1" ht="12" x14ac:dyDescent="0.2">
      <c r="A866" s="605"/>
      <c r="B866" s="552" t="s">
        <v>186</v>
      </c>
      <c r="C866" s="1822" t="s">
        <v>344</v>
      </c>
      <c r="D866" s="1822"/>
      <c r="E866" s="1822"/>
      <c r="F866" s="562"/>
      <c r="G866" s="562"/>
      <c r="H866" s="562"/>
      <c r="I866" s="562"/>
      <c r="J866" s="604">
        <v>3357.76</v>
      </c>
      <c r="K866" s="562" t="s">
        <v>313</v>
      </c>
      <c r="L866" s="604">
        <v>2602.2600000000002</v>
      </c>
      <c r="M866" s="603"/>
      <c r="N866" s="602"/>
      <c r="V866" s="674"/>
      <c r="W866" s="675"/>
      <c r="Z866" s="537" t="s">
        <v>344</v>
      </c>
      <c r="AC866" s="675"/>
      <c r="AD866" s="675"/>
      <c r="AE866" s="675"/>
      <c r="AG866" s="675"/>
      <c r="AH866" s="680"/>
    </row>
    <row r="867" spans="1:34" s="536" customFormat="1" ht="12" x14ac:dyDescent="0.2">
      <c r="A867" s="605"/>
      <c r="B867" s="552" t="s">
        <v>187</v>
      </c>
      <c r="C867" s="1822" t="s">
        <v>345</v>
      </c>
      <c r="D867" s="1822"/>
      <c r="E867" s="1822"/>
      <c r="F867" s="562"/>
      <c r="G867" s="562"/>
      <c r="H867" s="562"/>
      <c r="I867" s="562"/>
      <c r="J867" s="604">
        <v>181.59</v>
      </c>
      <c r="K867" s="562" t="s">
        <v>313</v>
      </c>
      <c r="L867" s="604">
        <v>140.72999999999999</v>
      </c>
      <c r="M867" s="603"/>
      <c r="N867" s="602"/>
      <c r="V867" s="674"/>
      <c r="W867" s="675"/>
      <c r="Z867" s="537" t="s">
        <v>345</v>
      </c>
      <c r="AC867" s="675"/>
      <c r="AD867" s="675"/>
      <c r="AE867" s="675"/>
      <c r="AG867" s="675"/>
      <c r="AH867" s="680"/>
    </row>
    <row r="868" spans="1:34" s="536" customFormat="1" ht="12" x14ac:dyDescent="0.2">
      <c r="A868" s="605"/>
      <c r="B868" s="552" t="s">
        <v>188</v>
      </c>
      <c r="C868" s="1822" t="s">
        <v>475</v>
      </c>
      <c r="D868" s="1822"/>
      <c r="E868" s="1822"/>
      <c r="F868" s="562"/>
      <c r="G868" s="562"/>
      <c r="H868" s="562"/>
      <c r="I868" s="562"/>
      <c r="J868" s="604">
        <v>17.079999999999998</v>
      </c>
      <c r="K868" s="562"/>
      <c r="L868" s="604">
        <v>10.59</v>
      </c>
      <c r="M868" s="603"/>
      <c r="N868" s="602"/>
      <c r="V868" s="674"/>
      <c r="W868" s="675"/>
      <c r="Z868" s="537" t="s">
        <v>475</v>
      </c>
      <c r="AC868" s="675"/>
      <c r="AD868" s="675"/>
      <c r="AE868" s="675"/>
      <c r="AG868" s="675"/>
      <c r="AH868" s="680"/>
    </row>
    <row r="869" spans="1:34" s="536" customFormat="1" ht="12" x14ac:dyDescent="0.2">
      <c r="A869" s="676"/>
      <c r="B869" s="677" t="s">
        <v>1026</v>
      </c>
      <c r="C869" s="1829" t="s">
        <v>1027</v>
      </c>
      <c r="D869" s="1829"/>
      <c r="E869" s="1829"/>
      <c r="F869" s="678" t="s">
        <v>641</v>
      </c>
      <c r="G869" s="678" t="s">
        <v>525</v>
      </c>
      <c r="H869" s="678"/>
      <c r="I869" s="678" t="s">
        <v>525</v>
      </c>
      <c r="J869" s="552"/>
      <c r="K869" s="562"/>
      <c r="L869" s="604"/>
      <c r="M869" s="562"/>
      <c r="N869" s="679"/>
      <c r="V869" s="674"/>
      <c r="W869" s="675"/>
      <c r="AC869" s="675"/>
      <c r="AD869" s="675"/>
      <c r="AE869" s="675"/>
      <c r="AG869" s="675"/>
      <c r="AH869" s="680" t="s">
        <v>1027</v>
      </c>
    </row>
    <row r="870" spans="1:34" s="536" customFormat="1" ht="12" x14ac:dyDescent="0.2">
      <c r="A870" s="605"/>
      <c r="B870" s="552"/>
      <c r="C870" s="1822" t="s">
        <v>314</v>
      </c>
      <c r="D870" s="1822"/>
      <c r="E870" s="1822"/>
      <c r="F870" s="562" t="s">
        <v>315</v>
      </c>
      <c r="G870" s="562" t="s">
        <v>1028</v>
      </c>
      <c r="H870" s="562" t="s">
        <v>313</v>
      </c>
      <c r="I870" s="562" t="s">
        <v>6913</v>
      </c>
      <c r="J870" s="604"/>
      <c r="K870" s="562"/>
      <c r="L870" s="604"/>
      <c r="M870" s="603"/>
      <c r="N870" s="602"/>
      <c r="V870" s="674"/>
      <c r="W870" s="675"/>
      <c r="AA870" s="537" t="s">
        <v>314</v>
      </c>
      <c r="AC870" s="675"/>
      <c r="AD870" s="675"/>
      <c r="AE870" s="675"/>
      <c r="AG870" s="675"/>
      <c r="AH870" s="680"/>
    </row>
    <row r="871" spans="1:34" s="536" customFormat="1" ht="12" x14ac:dyDescent="0.2">
      <c r="A871" s="605"/>
      <c r="B871" s="552"/>
      <c r="C871" s="1822" t="s">
        <v>348</v>
      </c>
      <c r="D871" s="1822"/>
      <c r="E871" s="1822"/>
      <c r="F871" s="562" t="s">
        <v>315</v>
      </c>
      <c r="G871" s="562" t="s">
        <v>1029</v>
      </c>
      <c r="H871" s="562" t="s">
        <v>313</v>
      </c>
      <c r="I871" s="562" t="s">
        <v>6914</v>
      </c>
      <c r="J871" s="604"/>
      <c r="K871" s="562"/>
      <c r="L871" s="604"/>
      <c r="M871" s="603"/>
      <c r="N871" s="602"/>
      <c r="V871" s="674"/>
      <c r="W871" s="675"/>
      <c r="AA871" s="537" t="s">
        <v>348</v>
      </c>
      <c r="AC871" s="675"/>
      <c r="AD871" s="675"/>
      <c r="AE871" s="675"/>
      <c r="AG871" s="675"/>
      <c r="AH871" s="680"/>
    </row>
    <row r="872" spans="1:34" s="536" customFormat="1" ht="12" x14ac:dyDescent="0.2">
      <c r="A872" s="605"/>
      <c r="B872" s="552"/>
      <c r="C872" s="1828" t="s">
        <v>318</v>
      </c>
      <c r="D872" s="1828"/>
      <c r="E872" s="1828"/>
      <c r="F872" s="608"/>
      <c r="G872" s="608"/>
      <c r="H872" s="608"/>
      <c r="I872" s="608"/>
      <c r="J872" s="607">
        <v>3490.33</v>
      </c>
      <c r="K872" s="608"/>
      <c r="L872" s="607">
        <v>2702.35</v>
      </c>
      <c r="M872" s="601"/>
      <c r="N872" s="606"/>
      <c r="V872" s="674"/>
      <c r="W872" s="675"/>
      <c r="AB872" s="537" t="s">
        <v>318</v>
      </c>
      <c r="AC872" s="675"/>
      <c r="AD872" s="675"/>
      <c r="AE872" s="675"/>
      <c r="AG872" s="675"/>
      <c r="AH872" s="680"/>
    </row>
    <row r="873" spans="1:34" s="536" customFormat="1" ht="12" x14ac:dyDescent="0.2">
      <c r="A873" s="605"/>
      <c r="B873" s="552"/>
      <c r="C873" s="1822" t="s">
        <v>319</v>
      </c>
      <c r="D873" s="1822"/>
      <c r="E873" s="1822"/>
      <c r="F873" s="562"/>
      <c r="G873" s="562"/>
      <c r="H873" s="562"/>
      <c r="I873" s="562"/>
      <c r="J873" s="604"/>
      <c r="K873" s="562"/>
      <c r="L873" s="604">
        <v>230.23</v>
      </c>
      <c r="M873" s="603"/>
      <c r="N873" s="602"/>
      <c r="V873" s="674"/>
      <c r="W873" s="675"/>
      <c r="AA873" s="537" t="s">
        <v>319</v>
      </c>
      <c r="AC873" s="675"/>
      <c r="AD873" s="675"/>
      <c r="AE873" s="675"/>
      <c r="AG873" s="675"/>
      <c r="AH873" s="680"/>
    </row>
    <row r="874" spans="1:34" s="536" customFormat="1" ht="33.75" x14ac:dyDescent="0.2">
      <c r="A874" s="605"/>
      <c r="B874" s="552" t="s">
        <v>554</v>
      </c>
      <c r="C874" s="1822" t="s">
        <v>555</v>
      </c>
      <c r="D874" s="1822"/>
      <c r="E874" s="1822"/>
      <c r="F874" s="562" t="s">
        <v>322</v>
      </c>
      <c r="G874" s="562" t="s">
        <v>556</v>
      </c>
      <c r="H874" s="562"/>
      <c r="I874" s="562" t="s">
        <v>556</v>
      </c>
      <c r="J874" s="604"/>
      <c r="K874" s="562"/>
      <c r="L874" s="604">
        <v>290.08999999999997</v>
      </c>
      <c r="M874" s="603"/>
      <c r="N874" s="602"/>
      <c r="V874" s="674"/>
      <c r="W874" s="675"/>
      <c r="AA874" s="537" t="s">
        <v>555</v>
      </c>
      <c r="AC874" s="675"/>
      <c r="AD874" s="675"/>
      <c r="AE874" s="675"/>
      <c r="AG874" s="675"/>
      <c r="AH874" s="680"/>
    </row>
    <row r="875" spans="1:34" s="536" customFormat="1" ht="33.75" x14ac:dyDescent="0.2">
      <c r="A875" s="605"/>
      <c r="B875" s="552" t="s">
        <v>557</v>
      </c>
      <c r="C875" s="1822" t="s">
        <v>558</v>
      </c>
      <c r="D875" s="1822"/>
      <c r="E875" s="1822"/>
      <c r="F875" s="562" t="s">
        <v>322</v>
      </c>
      <c r="G875" s="562" t="s">
        <v>559</v>
      </c>
      <c r="H875" s="562"/>
      <c r="I875" s="562" t="s">
        <v>559</v>
      </c>
      <c r="J875" s="604"/>
      <c r="K875" s="562"/>
      <c r="L875" s="604">
        <v>218.72</v>
      </c>
      <c r="M875" s="603"/>
      <c r="N875" s="602"/>
      <c r="V875" s="674"/>
      <c r="W875" s="675"/>
      <c r="AA875" s="537" t="s">
        <v>558</v>
      </c>
      <c r="AC875" s="675"/>
      <c r="AD875" s="675"/>
      <c r="AE875" s="675"/>
      <c r="AG875" s="675"/>
      <c r="AH875" s="680"/>
    </row>
    <row r="876" spans="1:34" s="536" customFormat="1" ht="12" x14ac:dyDescent="0.2">
      <c r="A876" s="569"/>
      <c r="B876" s="671"/>
      <c r="C876" s="1823" t="s">
        <v>327</v>
      </c>
      <c r="D876" s="1823"/>
      <c r="E876" s="1823"/>
      <c r="F876" s="573"/>
      <c r="G876" s="573"/>
      <c r="H876" s="573"/>
      <c r="I876" s="573"/>
      <c r="J876" s="572"/>
      <c r="K876" s="573"/>
      <c r="L876" s="572">
        <v>3211.16</v>
      </c>
      <c r="M876" s="601"/>
      <c r="N876" s="570"/>
      <c r="V876" s="674"/>
      <c r="W876" s="675"/>
      <c r="AC876" s="675" t="s">
        <v>327</v>
      </c>
      <c r="AD876" s="675"/>
      <c r="AE876" s="675"/>
      <c r="AG876" s="675"/>
      <c r="AH876" s="680"/>
    </row>
    <row r="877" spans="1:34" s="536" customFormat="1" ht="12" x14ac:dyDescent="0.2">
      <c r="A877" s="575" t="s">
        <v>2389</v>
      </c>
      <c r="B877" s="670" t="s">
        <v>1030</v>
      </c>
      <c r="C877" s="1823" t="s">
        <v>1031</v>
      </c>
      <c r="D877" s="1823"/>
      <c r="E877" s="1823"/>
      <c r="F877" s="573" t="s">
        <v>641</v>
      </c>
      <c r="G877" s="573"/>
      <c r="H877" s="573"/>
      <c r="I877" s="573" t="s">
        <v>6915</v>
      </c>
      <c r="J877" s="572">
        <v>60</v>
      </c>
      <c r="K877" s="573"/>
      <c r="L877" s="572">
        <v>4538.3999999999996</v>
      </c>
      <c r="M877" s="571"/>
      <c r="N877" s="570"/>
      <c r="V877" s="674"/>
      <c r="W877" s="675" t="s">
        <v>1031</v>
      </c>
      <c r="AC877" s="675"/>
      <c r="AD877" s="675"/>
      <c r="AE877" s="675"/>
      <c r="AG877" s="675"/>
      <c r="AH877" s="680"/>
    </row>
    <row r="878" spans="1:34" s="536" customFormat="1" ht="12" x14ac:dyDescent="0.2">
      <c r="A878" s="569"/>
      <c r="B878" s="671"/>
      <c r="C878" s="665" t="s">
        <v>717</v>
      </c>
      <c r="D878" s="666"/>
      <c r="E878" s="666"/>
      <c r="F878" s="563"/>
      <c r="G878" s="563"/>
      <c r="H878" s="563"/>
      <c r="I878" s="563"/>
      <c r="J878" s="566"/>
      <c r="K878" s="563"/>
      <c r="L878" s="566"/>
      <c r="M878" s="565"/>
      <c r="N878" s="564"/>
      <c r="V878" s="674"/>
      <c r="W878" s="675"/>
      <c r="AC878" s="675"/>
      <c r="AD878" s="675"/>
      <c r="AE878" s="675"/>
      <c r="AG878" s="675"/>
      <c r="AH878" s="680"/>
    </row>
    <row r="879" spans="1:34" s="536" customFormat="1" ht="12" x14ac:dyDescent="0.2">
      <c r="A879" s="676"/>
      <c r="B879" s="664"/>
      <c r="C879" s="1822" t="s">
        <v>6916</v>
      </c>
      <c r="D879" s="1822"/>
      <c r="E879" s="1822"/>
      <c r="F879" s="1822"/>
      <c r="G879" s="1822"/>
      <c r="H879" s="1822"/>
      <c r="I879" s="1822"/>
      <c r="J879" s="1822"/>
      <c r="K879" s="1822"/>
      <c r="L879" s="1822"/>
      <c r="M879" s="1822"/>
      <c r="N879" s="1827"/>
      <c r="V879" s="674"/>
      <c r="W879" s="675"/>
      <c r="X879" s="537" t="s">
        <v>6916</v>
      </c>
      <c r="AC879" s="675"/>
      <c r="AD879" s="675"/>
      <c r="AE879" s="675"/>
      <c r="AG879" s="675"/>
      <c r="AH879" s="680"/>
    </row>
    <row r="880" spans="1:34" s="536" customFormat="1" ht="1.5" customHeight="1" x14ac:dyDescent="0.2">
      <c r="A880" s="563"/>
      <c r="B880" s="671"/>
      <c r="C880" s="671"/>
      <c r="D880" s="671"/>
      <c r="E880" s="671"/>
      <c r="F880" s="563"/>
      <c r="G880" s="563"/>
      <c r="H880" s="563"/>
      <c r="I880" s="563"/>
      <c r="J880" s="546"/>
      <c r="K880" s="563"/>
      <c r="L880" s="546"/>
      <c r="M880" s="562"/>
      <c r="N880" s="546"/>
      <c r="V880" s="674"/>
      <c r="W880" s="675"/>
      <c r="AC880" s="675"/>
      <c r="AD880" s="675"/>
      <c r="AE880" s="675"/>
      <c r="AG880" s="675"/>
      <c r="AH880" s="680"/>
    </row>
    <row r="881" spans="1:34" s="536" customFormat="1" ht="12" x14ac:dyDescent="0.2">
      <c r="A881" s="557"/>
      <c r="B881" s="556"/>
      <c r="C881" s="1823" t="s">
        <v>6917</v>
      </c>
      <c r="D881" s="1823"/>
      <c r="E881" s="1823"/>
      <c r="F881" s="1823"/>
      <c r="G881" s="1823"/>
      <c r="H881" s="1823"/>
      <c r="I881" s="1823"/>
      <c r="J881" s="1823"/>
      <c r="K881" s="1823"/>
      <c r="L881" s="555"/>
      <c r="M881" s="554"/>
      <c r="N881" s="553"/>
      <c r="V881" s="674"/>
      <c r="W881" s="675"/>
      <c r="AC881" s="675"/>
      <c r="AD881" s="675"/>
      <c r="AE881" s="675" t="s">
        <v>6917</v>
      </c>
      <c r="AG881" s="675"/>
      <c r="AH881" s="680"/>
    </row>
    <row r="882" spans="1:34" s="536" customFormat="1" ht="12" x14ac:dyDescent="0.2">
      <c r="A882" s="548"/>
      <c r="B882" s="552"/>
      <c r="C882" s="1822" t="s">
        <v>403</v>
      </c>
      <c r="D882" s="1822"/>
      <c r="E882" s="1822"/>
      <c r="F882" s="1822"/>
      <c r="G882" s="1822"/>
      <c r="H882" s="1822"/>
      <c r="I882" s="1822"/>
      <c r="J882" s="1822"/>
      <c r="K882" s="1822"/>
      <c r="L882" s="551">
        <v>2376549.85</v>
      </c>
      <c r="M882" s="550"/>
      <c r="N882" s="549"/>
      <c r="V882" s="674"/>
      <c r="W882" s="675"/>
      <c r="AC882" s="675"/>
      <c r="AD882" s="675"/>
      <c r="AE882" s="675"/>
      <c r="AF882" s="537" t="s">
        <v>403</v>
      </c>
      <c r="AG882" s="675"/>
      <c r="AH882" s="680"/>
    </row>
    <row r="883" spans="1:34" s="536" customFormat="1" ht="12" x14ac:dyDescent="0.2">
      <c r="A883" s="548"/>
      <c r="B883" s="552"/>
      <c r="C883" s="1822" t="s">
        <v>204</v>
      </c>
      <c r="D883" s="1822"/>
      <c r="E883" s="1822"/>
      <c r="F883" s="1822"/>
      <c r="G883" s="1822"/>
      <c r="H883" s="1822"/>
      <c r="I883" s="1822"/>
      <c r="J883" s="1822"/>
      <c r="K883" s="1822"/>
      <c r="L883" s="551"/>
      <c r="M883" s="550"/>
      <c r="N883" s="549"/>
      <c r="V883" s="674"/>
      <c r="W883" s="675"/>
      <c r="AC883" s="675"/>
      <c r="AD883" s="675"/>
      <c r="AE883" s="675"/>
      <c r="AF883" s="537" t="s">
        <v>204</v>
      </c>
      <c r="AG883" s="675"/>
      <c r="AH883" s="680"/>
    </row>
    <row r="884" spans="1:34" s="536" customFormat="1" ht="12" x14ac:dyDescent="0.2">
      <c r="A884" s="548"/>
      <c r="B884" s="552"/>
      <c r="C884" s="1822" t="s">
        <v>404</v>
      </c>
      <c r="D884" s="1822"/>
      <c r="E884" s="1822"/>
      <c r="F884" s="1822"/>
      <c r="G884" s="1822"/>
      <c r="H884" s="1822"/>
      <c r="I884" s="1822"/>
      <c r="J884" s="1822"/>
      <c r="K884" s="1822"/>
      <c r="L884" s="551">
        <v>13220.12</v>
      </c>
      <c r="M884" s="550"/>
      <c r="N884" s="549"/>
      <c r="V884" s="674"/>
      <c r="W884" s="675"/>
      <c r="AC884" s="675"/>
      <c r="AD884" s="675"/>
      <c r="AE884" s="675"/>
      <c r="AF884" s="537" t="s">
        <v>404</v>
      </c>
      <c r="AG884" s="675"/>
      <c r="AH884" s="680"/>
    </row>
    <row r="885" spans="1:34" s="536" customFormat="1" ht="12" x14ac:dyDescent="0.2">
      <c r="A885" s="548"/>
      <c r="B885" s="552"/>
      <c r="C885" s="1822" t="s">
        <v>405</v>
      </c>
      <c r="D885" s="1822"/>
      <c r="E885" s="1822"/>
      <c r="F885" s="1822"/>
      <c r="G885" s="1822"/>
      <c r="H885" s="1822"/>
      <c r="I885" s="1822"/>
      <c r="J885" s="1822"/>
      <c r="K885" s="1822"/>
      <c r="L885" s="551">
        <v>434160.96</v>
      </c>
      <c r="M885" s="550"/>
      <c r="N885" s="549"/>
      <c r="V885" s="674"/>
      <c r="W885" s="675"/>
      <c r="AC885" s="675"/>
      <c r="AD885" s="675"/>
      <c r="AE885" s="675"/>
      <c r="AF885" s="537" t="s">
        <v>405</v>
      </c>
      <c r="AG885" s="675"/>
      <c r="AH885" s="680"/>
    </row>
    <row r="886" spans="1:34" s="536" customFormat="1" ht="12" x14ac:dyDescent="0.2">
      <c r="A886" s="548"/>
      <c r="B886" s="552"/>
      <c r="C886" s="1822" t="s">
        <v>406</v>
      </c>
      <c r="D886" s="1822"/>
      <c r="E886" s="1822"/>
      <c r="F886" s="1822"/>
      <c r="G886" s="1822"/>
      <c r="H886" s="1822"/>
      <c r="I886" s="1822"/>
      <c r="J886" s="1822"/>
      <c r="K886" s="1822"/>
      <c r="L886" s="551">
        <v>20226.689999999999</v>
      </c>
      <c r="M886" s="550"/>
      <c r="N886" s="549"/>
      <c r="V886" s="674"/>
      <c r="W886" s="675"/>
      <c r="AC886" s="675"/>
      <c r="AD886" s="675"/>
      <c r="AE886" s="675"/>
      <c r="AF886" s="537" t="s">
        <v>406</v>
      </c>
      <c r="AG886" s="675"/>
      <c r="AH886" s="680"/>
    </row>
    <row r="887" spans="1:34" s="536" customFormat="1" ht="12" x14ac:dyDescent="0.2">
      <c r="A887" s="548"/>
      <c r="B887" s="552"/>
      <c r="C887" s="1822" t="s">
        <v>480</v>
      </c>
      <c r="D887" s="1822"/>
      <c r="E887" s="1822"/>
      <c r="F887" s="1822"/>
      <c r="G887" s="1822"/>
      <c r="H887" s="1822"/>
      <c r="I887" s="1822"/>
      <c r="J887" s="1822"/>
      <c r="K887" s="1822"/>
      <c r="L887" s="551">
        <v>1929168.77</v>
      </c>
      <c r="M887" s="550"/>
      <c r="N887" s="549"/>
      <c r="V887" s="674"/>
      <c r="W887" s="675"/>
      <c r="AC887" s="675"/>
      <c r="AD887" s="675"/>
      <c r="AE887" s="675"/>
      <c r="AF887" s="537" t="s">
        <v>480</v>
      </c>
      <c r="AG887" s="675"/>
      <c r="AH887" s="680"/>
    </row>
    <row r="888" spans="1:34" s="536" customFormat="1" ht="12" x14ac:dyDescent="0.2">
      <c r="A888" s="548"/>
      <c r="B888" s="552"/>
      <c r="C888" s="1822" t="s">
        <v>407</v>
      </c>
      <c r="D888" s="1822"/>
      <c r="E888" s="1822"/>
      <c r="F888" s="1822"/>
      <c r="G888" s="1822"/>
      <c r="H888" s="1822"/>
      <c r="I888" s="1822"/>
      <c r="J888" s="1822"/>
      <c r="K888" s="1822"/>
      <c r="L888" s="551">
        <v>2450467.33</v>
      </c>
      <c r="M888" s="550"/>
      <c r="N888" s="549"/>
      <c r="V888" s="674"/>
      <c r="W888" s="675"/>
      <c r="AC888" s="675"/>
      <c r="AD888" s="675"/>
      <c r="AE888" s="675"/>
      <c r="AF888" s="537" t="s">
        <v>407</v>
      </c>
      <c r="AG888" s="675"/>
      <c r="AH888" s="680"/>
    </row>
    <row r="889" spans="1:34" s="536" customFormat="1" ht="12" x14ac:dyDescent="0.2">
      <c r="A889" s="548"/>
      <c r="B889" s="552"/>
      <c r="C889" s="1822" t="s">
        <v>204</v>
      </c>
      <c r="D889" s="1822"/>
      <c r="E889" s="1822"/>
      <c r="F889" s="1822"/>
      <c r="G889" s="1822"/>
      <c r="H889" s="1822"/>
      <c r="I889" s="1822"/>
      <c r="J889" s="1822"/>
      <c r="K889" s="1822"/>
      <c r="L889" s="551"/>
      <c r="M889" s="550"/>
      <c r="N889" s="549"/>
      <c r="V889" s="674"/>
      <c r="W889" s="675"/>
      <c r="AC889" s="675"/>
      <c r="AD889" s="675"/>
      <c r="AE889" s="675"/>
      <c r="AF889" s="537" t="s">
        <v>204</v>
      </c>
      <c r="AG889" s="675"/>
      <c r="AH889" s="680"/>
    </row>
    <row r="890" spans="1:34" s="536" customFormat="1" ht="12" x14ac:dyDescent="0.2">
      <c r="A890" s="548"/>
      <c r="B890" s="552"/>
      <c r="C890" s="1822" t="s">
        <v>546</v>
      </c>
      <c r="D890" s="1822"/>
      <c r="E890" s="1822"/>
      <c r="F890" s="1822"/>
      <c r="G890" s="1822"/>
      <c r="H890" s="1822"/>
      <c r="I890" s="1822"/>
      <c r="J890" s="1822"/>
      <c r="K890" s="1822"/>
      <c r="L890" s="551">
        <v>13220.12</v>
      </c>
      <c r="M890" s="550"/>
      <c r="N890" s="549"/>
      <c r="V890" s="674"/>
      <c r="W890" s="675"/>
      <c r="AC890" s="675"/>
      <c r="AD890" s="675"/>
      <c r="AE890" s="675"/>
      <c r="AF890" s="537" t="s">
        <v>546</v>
      </c>
      <c r="AG890" s="675"/>
      <c r="AH890" s="680"/>
    </row>
    <row r="891" spans="1:34" s="536" customFormat="1" ht="12" x14ac:dyDescent="0.2">
      <c r="A891" s="548"/>
      <c r="B891" s="552"/>
      <c r="C891" s="1822" t="s">
        <v>442</v>
      </c>
      <c r="D891" s="1822"/>
      <c r="E891" s="1822"/>
      <c r="F891" s="1822"/>
      <c r="G891" s="1822"/>
      <c r="H891" s="1822"/>
      <c r="I891" s="1822"/>
      <c r="J891" s="1822"/>
      <c r="K891" s="1822"/>
      <c r="L891" s="551">
        <v>434160.96</v>
      </c>
      <c r="M891" s="550"/>
      <c r="N891" s="549"/>
      <c r="V891" s="674"/>
      <c r="W891" s="675"/>
      <c r="AC891" s="675"/>
      <c r="AD891" s="675"/>
      <c r="AE891" s="675"/>
      <c r="AF891" s="537" t="s">
        <v>442</v>
      </c>
      <c r="AG891" s="675"/>
      <c r="AH891" s="680"/>
    </row>
    <row r="892" spans="1:34" s="536" customFormat="1" ht="12" x14ac:dyDescent="0.2">
      <c r="A892" s="548"/>
      <c r="B892" s="552"/>
      <c r="C892" s="1822" t="s">
        <v>547</v>
      </c>
      <c r="D892" s="1822"/>
      <c r="E892" s="1822"/>
      <c r="F892" s="1822"/>
      <c r="G892" s="1822"/>
      <c r="H892" s="1822"/>
      <c r="I892" s="1822"/>
      <c r="J892" s="1822"/>
      <c r="K892" s="1822"/>
      <c r="L892" s="551">
        <v>1929168.77</v>
      </c>
      <c r="M892" s="550"/>
      <c r="N892" s="549"/>
      <c r="V892" s="674"/>
      <c r="W892" s="675"/>
      <c r="AC892" s="675"/>
      <c r="AD892" s="675"/>
      <c r="AE892" s="675"/>
      <c r="AF892" s="537" t="s">
        <v>547</v>
      </c>
      <c r="AG892" s="675"/>
      <c r="AH892" s="680"/>
    </row>
    <row r="893" spans="1:34" s="536" customFormat="1" ht="12" x14ac:dyDescent="0.2">
      <c r="A893" s="548"/>
      <c r="B893" s="552"/>
      <c r="C893" s="1822" t="s">
        <v>443</v>
      </c>
      <c r="D893" s="1822"/>
      <c r="E893" s="1822"/>
      <c r="F893" s="1822"/>
      <c r="G893" s="1822"/>
      <c r="H893" s="1822"/>
      <c r="I893" s="1822"/>
      <c r="J893" s="1822"/>
      <c r="K893" s="1822"/>
      <c r="L893" s="551">
        <v>42142.99</v>
      </c>
      <c r="M893" s="550"/>
      <c r="N893" s="549"/>
      <c r="V893" s="674"/>
      <c r="W893" s="675"/>
      <c r="AC893" s="675"/>
      <c r="AD893" s="675"/>
      <c r="AE893" s="675"/>
      <c r="AF893" s="537" t="s">
        <v>443</v>
      </c>
      <c r="AG893" s="675"/>
      <c r="AH893" s="680"/>
    </row>
    <row r="894" spans="1:34" s="536" customFormat="1" ht="12" x14ac:dyDescent="0.2">
      <c r="A894" s="548"/>
      <c r="B894" s="552"/>
      <c r="C894" s="1822" t="s">
        <v>444</v>
      </c>
      <c r="D894" s="1822"/>
      <c r="E894" s="1822"/>
      <c r="F894" s="1822"/>
      <c r="G894" s="1822"/>
      <c r="H894" s="1822"/>
      <c r="I894" s="1822"/>
      <c r="J894" s="1822"/>
      <c r="K894" s="1822"/>
      <c r="L894" s="551">
        <v>31774.49</v>
      </c>
      <c r="M894" s="550"/>
      <c r="N894" s="549"/>
      <c r="V894" s="674"/>
      <c r="W894" s="675"/>
      <c r="AC894" s="675"/>
      <c r="AD894" s="675"/>
      <c r="AE894" s="675"/>
      <c r="AF894" s="537" t="s">
        <v>444</v>
      </c>
      <c r="AG894" s="675"/>
      <c r="AH894" s="680"/>
    </row>
    <row r="895" spans="1:34" s="536" customFormat="1" ht="12" x14ac:dyDescent="0.2">
      <c r="A895" s="548"/>
      <c r="B895" s="552"/>
      <c r="C895" s="1822" t="s">
        <v>415</v>
      </c>
      <c r="D895" s="1822"/>
      <c r="E895" s="1822"/>
      <c r="F895" s="1822"/>
      <c r="G895" s="1822"/>
      <c r="H895" s="1822"/>
      <c r="I895" s="1822"/>
      <c r="J895" s="1822"/>
      <c r="K895" s="1822"/>
      <c r="L895" s="551">
        <v>33446.81</v>
      </c>
      <c r="M895" s="550"/>
      <c r="N895" s="549"/>
      <c r="V895" s="674"/>
      <c r="W895" s="675"/>
      <c r="AC895" s="675"/>
      <c r="AD895" s="675"/>
      <c r="AE895" s="675"/>
      <c r="AF895" s="537" t="s">
        <v>415</v>
      </c>
      <c r="AG895" s="675"/>
      <c r="AH895" s="680"/>
    </row>
    <row r="896" spans="1:34" s="536" customFormat="1" ht="12" x14ac:dyDescent="0.2">
      <c r="A896" s="548"/>
      <c r="B896" s="552"/>
      <c r="C896" s="1822" t="s">
        <v>416</v>
      </c>
      <c r="D896" s="1822"/>
      <c r="E896" s="1822"/>
      <c r="F896" s="1822"/>
      <c r="G896" s="1822"/>
      <c r="H896" s="1822"/>
      <c r="I896" s="1822"/>
      <c r="J896" s="1822"/>
      <c r="K896" s="1822"/>
      <c r="L896" s="551">
        <v>42142.99</v>
      </c>
      <c r="M896" s="550"/>
      <c r="N896" s="549"/>
      <c r="V896" s="674"/>
      <c r="W896" s="675"/>
      <c r="AC896" s="675"/>
      <c r="AD896" s="675"/>
      <c r="AE896" s="675"/>
      <c r="AF896" s="537" t="s">
        <v>416</v>
      </c>
      <c r="AG896" s="675"/>
      <c r="AH896" s="680"/>
    </row>
    <row r="897" spans="1:34" s="536" customFormat="1" ht="12" x14ac:dyDescent="0.2">
      <c r="A897" s="548"/>
      <c r="B897" s="552"/>
      <c r="C897" s="1822" t="s">
        <v>417</v>
      </c>
      <c r="D897" s="1822"/>
      <c r="E897" s="1822"/>
      <c r="F897" s="1822"/>
      <c r="G897" s="1822"/>
      <c r="H897" s="1822"/>
      <c r="I897" s="1822"/>
      <c r="J897" s="1822"/>
      <c r="K897" s="1822"/>
      <c r="L897" s="551">
        <v>31774.49</v>
      </c>
      <c r="M897" s="550"/>
      <c r="N897" s="549"/>
      <c r="V897" s="674"/>
      <c r="W897" s="675"/>
      <c r="AC897" s="675"/>
      <c r="AD897" s="675"/>
      <c r="AE897" s="675"/>
      <c r="AF897" s="537" t="s">
        <v>417</v>
      </c>
      <c r="AG897" s="675"/>
      <c r="AH897" s="680"/>
    </row>
    <row r="898" spans="1:34" s="536" customFormat="1" ht="12" x14ac:dyDescent="0.2">
      <c r="A898" s="548"/>
      <c r="B898" s="546"/>
      <c r="C898" s="1819" t="s">
        <v>6918</v>
      </c>
      <c r="D898" s="1819"/>
      <c r="E898" s="1819"/>
      <c r="F898" s="1819"/>
      <c r="G898" s="1819"/>
      <c r="H898" s="1819"/>
      <c r="I898" s="1819"/>
      <c r="J898" s="1819"/>
      <c r="K898" s="1819"/>
      <c r="L898" s="544">
        <v>2450467.33</v>
      </c>
      <c r="M898" s="543"/>
      <c r="N898" s="681"/>
      <c r="V898" s="674"/>
      <c r="W898" s="675"/>
      <c r="AC898" s="675"/>
      <c r="AD898" s="675"/>
      <c r="AE898" s="675"/>
      <c r="AG898" s="675" t="s">
        <v>6918</v>
      </c>
      <c r="AH898" s="680"/>
    </row>
    <row r="899" spans="1:34" s="536" customFormat="1" ht="12" x14ac:dyDescent="0.2">
      <c r="A899" s="1824" t="s">
        <v>4179</v>
      </c>
      <c r="B899" s="1825"/>
      <c r="C899" s="1825"/>
      <c r="D899" s="1825"/>
      <c r="E899" s="1825"/>
      <c r="F899" s="1825"/>
      <c r="G899" s="1825"/>
      <c r="H899" s="1825"/>
      <c r="I899" s="1825"/>
      <c r="J899" s="1825"/>
      <c r="K899" s="1825"/>
      <c r="L899" s="1825"/>
      <c r="M899" s="1825"/>
      <c r="N899" s="1826"/>
      <c r="V899" s="674" t="s">
        <v>4179</v>
      </c>
      <c r="W899" s="675"/>
      <c r="AC899" s="675"/>
      <c r="AD899" s="675"/>
      <c r="AE899" s="675"/>
      <c r="AG899" s="675"/>
      <c r="AH899" s="680"/>
    </row>
    <row r="900" spans="1:34" s="536" customFormat="1" ht="22.5" x14ac:dyDescent="0.2">
      <c r="A900" s="575" t="s">
        <v>1746</v>
      </c>
      <c r="B900" s="670" t="s">
        <v>4180</v>
      </c>
      <c r="C900" s="1823" t="s">
        <v>4181</v>
      </c>
      <c r="D900" s="1823"/>
      <c r="E900" s="1823"/>
      <c r="F900" s="573" t="s">
        <v>862</v>
      </c>
      <c r="G900" s="573"/>
      <c r="H900" s="573"/>
      <c r="I900" s="573" t="s">
        <v>4182</v>
      </c>
      <c r="J900" s="572"/>
      <c r="K900" s="573"/>
      <c r="L900" s="572"/>
      <c r="M900" s="571"/>
      <c r="N900" s="570"/>
      <c r="V900" s="674"/>
      <c r="W900" s="675" t="s">
        <v>4181</v>
      </c>
      <c r="AC900" s="675"/>
      <c r="AD900" s="675"/>
      <c r="AE900" s="675"/>
      <c r="AG900" s="675"/>
      <c r="AH900" s="680"/>
    </row>
    <row r="901" spans="1:34" s="536" customFormat="1" ht="12" x14ac:dyDescent="0.2">
      <c r="A901" s="676"/>
      <c r="B901" s="664"/>
      <c r="C901" s="1822" t="s">
        <v>4183</v>
      </c>
      <c r="D901" s="1822"/>
      <c r="E901" s="1822"/>
      <c r="F901" s="1822"/>
      <c r="G901" s="1822"/>
      <c r="H901" s="1822"/>
      <c r="I901" s="1822"/>
      <c r="J901" s="1822"/>
      <c r="K901" s="1822"/>
      <c r="L901" s="1822"/>
      <c r="M901" s="1822"/>
      <c r="N901" s="1827"/>
      <c r="V901" s="674"/>
      <c r="W901" s="675"/>
      <c r="X901" s="537" t="s">
        <v>4183</v>
      </c>
      <c r="AC901" s="675"/>
      <c r="AD901" s="675"/>
      <c r="AE901" s="675"/>
      <c r="AG901" s="675"/>
      <c r="AH901" s="680"/>
    </row>
    <row r="902" spans="1:34" s="536" customFormat="1" ht="12" x14ac:dyDescent="0.2">
      <c r="A902" s="605"/>
      <c r="B902" s="552" t="s">
        <v>185</v>
      </c>
      <c r="C902" s="1822" t="s">
        <v>312</v>
      </c>
      <c r="D902" s="1822"/>
      <c r="E902" s="1822"/>
      <c r="F902" s="562"/>
      <c r="G902" s="562"/>
      <c r="H902" s="562"/>
      <c r="I902" s="562"/>
      <c r="J902" s="604">
        <v>346.41</v>
      </c>
      <c r="K902" s="562"/>
      <c r="L902" s="604">
        <v>2016.11</v>
      </c>
      <c r="M902" s="603"/>
      <c r="N902" s="602"/>
      <c r="V902" s="674"/>
      <c r="W902" s="675"/>
      <c r="Z902" s="537" t="s">
        <v>312</v>
      </c>
      <c r="AC902" s="675"/>
      <c r="AD902" s="675"/>
      <c r="AE902" s="675"/>
      <c r="AG902" s="675"/>
      <c r="AH902" s="680"/>
    </row>
    <row r="903" spans="1:34" s="536" customFormat="1" ht="12" x14ac:dyDescent="0.2">
      <c r="A903" s="605"/>
      <c r="B903" s="552" t="s">
        <v>186</v>
      </c>
      <c r="C903" s="1822" t="s">
        <v>344</v>
      </c>
      <c r="D903" s="1822"/>
      <c r="E903" s="1822"/>
      <c r="F903" s="562"/>
      <c r="G903" s="562"/>
      <c r="H903" s="562"/>
      <c r="I903" s="562"/>
      <c r="J903" s="604">
        <v>360.17</v>
      </c>
      <c r="K903" s="562"/>
      <c r="L903" s="604">
        <v>2096.19</v>
      </c>
      <c r="M903" s="603"/>
      <c r="N903" s="602"/>
      <c r="V903" s="674"/>
      <c r="W903" s="675"/>
      <c r="Z903" s="537" t="s">
        <v>344</v>
      </c>
      <c r="AC903" s="675"/>
      <c r="AD903" s="675"/>
      <c r="AE903" s="675"/>
      <c r="AG903" s="675"/>
      <c r="AH903" s="680"/>
    </row>
    <row r="904" spans="1:34" s="536" customFormat="1" ht="12" x14ac:dyDescent="0.2">
      <c r="A904" s="605"/>
      <c r="B904" s="552" t="s">
        <v>187</v>
      </c>
      <c r="C904" s="1822" t="s">
        <v>345</v>
      </c>
      <c r="D904" s="1822"/>
      <c r="E904" s="1822"/>
      <c r="F904" s="562"/>
      <c r="G904" s="562"/>
      <c r="H904" s="562"/>
      <c r="I904" s="562"/>
      <c r="J904" s="604">
        <v>11.14</v>
      </c>
      <c r="K904" s="562"/>
      <c r="L904" s="604">
        <v>64.83</v>
      </c>
      <c r="M904" s="603"/>
      <c r="N904" s="602"/>
      <c r="V904" s="674"/>
      <c r="W904" s="675"/>
      <c r="Z904" s="537" t="s">
        <v>345</v>
      </c>
      <c r="AC904" s="675"/>
      <c r="AD904" s="675"/>
      <c r="AE904" s="675"/>
      <c r="AG904" s="675"/>
      <c r="AH904" s="680"/>
    </row>
    <row r="905" spans="1:34" s="536" customFormat="1" ht="12" x14ac:dyDescent="0.2">
      <c r="A905" s="605"/>
      <c r="B905" s="552" t="s">
        <v>188</v>
      </c>
      <c r="C905" s="1822" t="s">
        <v>475</v>
      </c>
      <c r="D905" s="1822"/>
      <c r="E905" s="1822"/>
      <c r="F905" s="562"/>
      <c r="G905" s="562"/>
      <c r="H905" s="562"/>
      <c r="I905" s="562"/>
      <c r="J905" s="604">
        <v>3</v>
      </c>
      <c r="K905" s="562"/>
      <c r="L905" s="604">
        <v>17.46</v>
      </c>
      <c r="M905" s="603"/>
      <c r="N905" s="602"/>
      <c r="V905" s="674"/>
      <c r="W905" s="675"/>
      <c r="Z905" s="537" t="s">
        <v>475</v>
      </c>
      <c r="AC905" s="675"/>
      <c r="AD905" s="675"/>
      <c r="AE905" s="675"/>
      <c r="AG905" s="675"/>
      <c r="AH905" s="680"/>
    </row>
    <row r="906" spans="1:34" s="536" customFormat="1" ht="12" x14ac:dyDescent="0.2">
      <c r="A906" s="676"/>
      <c r="B906" s="677" t="s">
        <v>4184</v>
      </c>
      <c r="C906" s="1829" t="s">
        <v>4185</v>
      </c>
      <c r="D906" s="1829"/>
      <c r="E906" s="1829"/>
      <c r="F906" s="678" t="s">
        <v>694</v>
      </c>
      <c r="G906" s="678" t="s">
        <v>525</v>
      </c>
      <c r="H906" s="678"/>
      <c r="I906" s="678" t="s">
        <v>525</v>
      </c>
      <c r="J906" s="552"/>
      <c r="K906" s="562"/>
      <c r="L906" s="604"/>
      <c r="M906" s="562"/>
      <c r="N906" s="679"/>
      <c r="V906" s="674"/>
      <c r="W906" s="675"/>
      <c r="AC906" s="675"/>
      <c r="AD906" s="675"/>
      <c r="AE906" s="675"/>
      <c r="AG906" s="675"/>
      <c r="AH906" s="680" t="s">
        <v>4185</v>
      </c>
    </row>
    <row r="907" spans="1:34" s="536" customFormat="1" ht="12" x14ac:dyDescent="0.2">
      <c r="A907" s="676"/>
      <c r="B907" s="677" t="s">
        <v>4186</v>
      </c>
      <c r="C907" s="1829" t="s">
        <v>4187</v>
      </c>
      <c r="D907" s="1829"/>
      <c r="E907" s="1829"/>
      <c r="F907" s="678" t="s">
        <v>865</v>
      </c>
      <c r="G907" s="678" t="s">
        <v>844</v>
      </c>
      <c r="H907" s="678"/>
      <c r="I907" s="678" t="s">
        <v>4188</v>
      </c>
      <c r="J907" s="552"/>
      <c r="K907" s="562"/>
      <c r="L907" s="604"/>
      <c r="M907" s="562"/>
      <c r="N907" s="679"/>
      <c r="V907" s="674"/>
      <c r="W907" s="675"/>
      <c r="AC907" s="675"/>
      <c r="AD907" s="675"/>
      <c r="AE907" s="675"/>
      <c r="AG907" s="675"/>
      <c r="AH907" s="680" t="s">
        <v>4187</v>
      </c>
    </row>
    <row r="908" spans="1:34" s="536" customFormat="1" ht="12" x14ac:dyDescent="0.2">
      <c r="A908" s="605"/>
      <c r="B908" s="552"/>
      <c r="C908" s="1822" t="s">
        <v>314</v>
      </c>
      <c r="D908" s="1822"/>
      <c r="E908" s="1822"/>
      <c r="F908" s="562" t="s">
        <v>315</v>
      </c>
      <c r="G908" s="562" t="s">
        <v>4189</v>
      </c>
      <c r="H908" s="562"/>
      <c r="I908" s="562" t="s">
        <v>4190</v>
      </c>
      <c r="J908" s="604"/>
      <c r="K908" s="562"/>
      <c r="L908" s="604"/>
      <c r="M908" s="603"/>
      <c r="N908" s="602"/>
      <c r="V908" s="674"/>
      <c r="W908" s="675"/>
      <c r="AA908" s="537" t="s">
        <v>314</v>
      </c>
      <c r="AC908" s="675"/>
      <c r="AD908" s="675"/>
      <c r="AE908" s="675"/>
      <c r="AG908" s="675"/>
      <c r="AH908" s="680"/>
    </row>
    <row r="909" spans="1:34" s="536" customFormat="1" ht="12" x14ac:dyDescent="0.2">
      <c r="A909" s="605"/>
      <c r="B909" s="552"/>
      <c r="C909" s="1822" t="s">
        <v>348</v>
      </c>
      <c r="D909" s="1822"/>
      <c r="E909" s="1822"/>
      <c r="F909" s="562" t="s">
        <v>315</v>
      </c>
      <c r="G909" s="562" t="s">
        <v>1533</v>
      </c>
      <c r="H909" s="562"/>
      <c r="I909" s="562" t="s">
        <v>4191</v>
      </c>
      <c r="J909" s="604"/>
      <c r="K909" s="562"/>
      <c r="L909" s="604"/>
      <c r="M909" s="603"/>
      <c r="N909" s="602"/>
      <c r="V909" s="674"/>
      <c r="W909" s="675"/>
      <c r="AA909" s="537" t="s">
        <v>348</v>
      </c>
      <c r="AC909" s="675"/>
      <c r="AD909" s="675"/>
      <c r="AE909" s="675"/>
      <c r="AG909" s="675"/>
      <c r="AH909" s="680"/>
    </row>
    <row r="910" spans="1:34" s="536" customFormat="1" ht="12" x14ac:dyDescent="0.2">
      <c r="A910" s="605"/>
      <c r="B910" s="552"/>
      <c r="C910" s="1828" t="s">
        <v>318</v>
      </c>
      <c r="D910" s="1828"/>
      <c r="E910" s="1828"/>
      <c r="F910" s="608"/>
      <c r="G910" s="608"/>
      <c r="H910" s="608"/>
      <c r="I910" s="608"/>
      <c r="J910" s="607">
        <v>709.58</v>
      </c>
      <c r="K910" s="608"/>
      <c r="L910" s="607">
        <v>4129.76</v>
      </c>
      <c r="M910" s="601"/>
      <c r="N910" s="606"/>
      <c r="V910" s="674"/>
      <c r="W910" s="675"/>
      <c r="AB910" s="537" t="s">
        <v>318</v>
      </c>
      <c r="AC910" s="675"/>
      <c r="AD910" s="675"/>
      <c r="AE910" s="675"/>
      <c r="AG910" s="675"/>
      <c r="AH910" s="680"/>
    </row>
    <row r="911" spans="1:34" s="536" customFormat="1" ht="12" x14ac:dyDescent="0.2">
      <c r="A911" s="605"/>
      <c r="B911" s="552"/>
      <c r="C911" s="1822" t="s">
        <v>319</v>
      </c>
      <c r="D911" s="1822"/>
      <c r="E911" s="1822"/>
      <c r="F911" s="562"/>
      <c r="G911" s="562"/>
      <c r="H911" s="562"/>
      <c r="I911" s="562"/>
      <c r="J911" s="604"/>
      <c r="K911" s="562"/>
      <c r="L911" s="604">
        <v>2080.94</v>
      </c>
      <c r="M911" s="603"/>
      <c r="N911" s="602"/>
      <c r="V911" s="674"/>
      <c r="W911" s="675"/>
      <c r="AA911" s="537" t="s">
        <v>319</v>
      </c>
      <c r="AC911" s="675"/>
      <c r="AD911" s="675"/>
      <c r="AE911" s="675"/>
      <c r="AG911" s="675"/>
      <c r="AH911" s="680"/>
    </row>
    <row r="912" spans="1:34" s="536" customFormat="1" ht="33.75" x14ac:dyDescent="0.2">
      <c r="A912" s="605"/>
      <c r="B912" s="552" t="s">
        <v>4192</v>
      </c>
      <c r="C912" s="1822" t="s">
        <v>4193</v>
      </c>
      <c r="D912" s="1822"/>
      <c r="E912" s="1822"/>
      <c r="F912" s="562" t="s">
        <v>322</v>
      </c>
      <c r="G912" s="562" t="s">
        <v>3034</v>
      </c>
      <c r="H912" s="562"/>
      <c r="I912" s="562" t="s">
        <v>3034</v>
      </c>
      <c r="J912" s="604"/>
      <c r="K912" s="562"/>
      <c r="L912" s="604">
        <v>2351.46</v>
      </c>
      <c r="M912" s="603"/>
      <c r="N912" s="602"/>
      <c r="V912" s="674"/>
      <c r="W912" s="675"/>
      <c r="AA912" s="537" t="s">
        <v>4193</v>
      </c>
      <c r="AC912" s="675"/>
      <c r="AD912" s="675"/>
      <c r="AE912" s="675"/>
      <c r="AG912" s="675"/>
      <c r="AH912" s="680"/>
    </row>
    <row r="913" spans="1:34" s="536" customFormat="1" ht="33.75" x14ac:dyDescent="0.2">
      <c r="A913" s="605"/>
      <c r="B913" s="552" t="s">
        <v>4194</v>
      </c>
      <c r="C913" s="1822" t="s">
        <v>4195</v>
      </c>
      <c r="D913" s="1822"/>
      <c r="E913" s="1822"/>
      <c r="F913" s="562" t="s">
        <v>322</v>
      </c>
      <c r="G913" s="562" t="s">
        <v>2363</v>
      </c>
      <c r="H913" s="562"/>
      <c r="I913" s="562" t="s">
        <v>2363</v>
      </c>
      <c r="J913" s="604"/>
      <c r="K913" s="562"/>
      <c r="L913" s="604">
        <v>1602.32</v>
      </c>
      <c r="M913" s="603"/>
      <c r="N913" s="602"/>
      <c r="V913" s="674"/>
      <c r="W913" s="675"/>
      <c r="AA913" s="537" t="s">
        <v>4195</v>
      </c>
      <c r="AC913" s="675"/>
      <c r="AD913" s="675"/>
      <c r="AE913" s="675"/>
      <c r="AG913" s="675"/>
      <c r="AH913" s="680"/>
    </row>
    <row r="914" spans="1:34" s="536" customFormat="1" ht="12" x14ac:dyDescent="0.2">
      <c r="A914" s="569"/>
      <c r="B914" s="671"/>
      <c r="C914" s="1823" t="s">
        <v>327</v>
      </c>
      <c r="D914" s="1823"/>
      <c r="E914" s="1823"/>
      <c r="F914" s="573"/>
      <c r="G914" s="573"/>
      <c r="H914" s="573"/>
      <c r="I914" s="573"/>
      <c r="J914" s="572"/>
      <c r="K914" s="573"/>
      <c r="L914" s="572">
        <v>8083.54</v>
      </c>
      <c r="M914" s="601"/>
      <c r="N914" s="570"/>
      <c r="V914" s="674"/>
      <c r="W914" s="675"/>
      <c r="AC914" s="675" t="s">
        <v>327</v>
      </c>
      <c r="AD914" s="675"/>
      <c r="AE914" s="675"/>
      <c r="AG914" s="675"/>
      <c r="AH914" s="680"/>
    </row>
    <row r="915" spans="1:34" s="536" customFormat="1" ht="22.5" x14ac:dyDescent="0.2">
      <c r="A915" s="575" t="s">
        <v>2398</v>
      </c>
      <c r="B915" s="670" t="s">
        <v>4196</v>
      </c>
      <c r="C915" s="1823" t="s">
        <v>4197</v>
      </c>
      <c r="D915" s="1823"/>
      <c r="E915" s="1823"/>
      <c r="F915" s="573" t="s">
        <v>694</v>
      </c>
      <c r="G915" s="573"/>
      <c r="H915" s="573"/>
      <c r="I915" s="573" t="s">
        <v>4198</v>
      </c>
      <c r="J915" s="572">
        <v>568.28</v>
      </c>
      <c r="K915" s="573"/>
      <c r="L915" s="572">
        <v>47295.67</v>
      </c>
      <c r="M915" s="571"/>
      <c r="N915" s="570"/>
      <c r="V915" s="674"/>
      <c r="W915" s="675" t="s">
        <v>4197</v>
      </c>
      <c r="AC915" s="675"/>
      <c r="AD915" s="675"/>
      <c r="AE915" s="675"/>
      <c r="AG915" s="675"/>
      <c r="AH915" s="680"/>
    </row>
    <row r="916" spans="1:34" s="536" customFormat="1" ht="12" x14ac:dyDescent="0.2">
      <c r="A916" s="569"/>
      <c r="B916" s="671"/>
      <c r="C916" s="665" t="s">
        <v>717</v>
      </c>
      <c r="D916" s="666"/>
      <c r="E916" s="666"/>
      <c r="F916" s="563"/>
      <c r="G916" s="563"/>
      <c r="H916" s="563"/>
      <c r="I916" s="563"/>
      <c r="J916" s="566"/>
      <c r="K916" s="563"/>
      <c r="L916" s="566"/>
      <c r="M916" s="565"/>
      <c r="N916" s="564"/>
      <c r="V916" s="674"/>
      <c r="W916" s="675"/>
      <c r="AC916" s="675"/>
      <c r="AD916" s="675"/>
      <c r="AE916" s="675"/>
      <c r="AG916" s="675"/>
      <c r="AH916" s="680"/>
    </row>
    <row r="917" spans="1:34" s="536" customFormat="1" ht="12" x14ac:dyDescent="0.2">
      <c r="A917" s="676"/>
      <c r="B917" s="664"/>
      <c r="C917" s="1822" t="s">
        <v>4199</v>
      </c>
      <c r="D917" s="1822"/>
      <c r="E917" s="1822"/>
      <c r="F917" s="1822"/>
      <c r="G917" s="1822"/>
      <c r="H917" s="1822"/>
      <c r="I917" s="1822"/>
      <c r="J917" s="1822"/>
      <c r="K917" s="1822"/>
      <c r="L917" s="1822"/>
      <c r="M917" s="1822"/>
      <c r="N917" s="1827"/>
      <c r="V917" s="674"/>
      <c r="W917" s="675"/>
      <c r="X917" s="537" t="s">
        <v>4199</v>
      </c>
      <c r="AC917" s="675"/>
      <c r="AD917" s="675"/>
      <c r="AE917" s="675"/>
      <c r="AG917" s="675"/>
      <c r="AH917" s="680"/>
    </row>
    <row r="918" spans="1:34" s="536" customFormat="1" ht="22.5" x14ac:dyDescent="0.2">
      <c r="A918" s="575" t="s">
        <v>969</v>
      </c>
      <c r="B918" s="670" t="s">
        <v>4200</v>
      </c>
      <c r="C918" s="1823" t="s">
        <v>4201</v>
      </c>
      <c r="D918" s="1823"/>
      <c r="E918" s="1823"/>
      <c r="F918" s="573" t="s">
        <v>865</v>
      </c>
      <c r="G918" s="573"/>
      <c r="H918" s="573"/>
      <c r="I918" s="573" t="s">
        <v>4188</v>
      </c>
      <c r="J918" s="572">
        <v>157.65</v>
      </c>
      <c r="K918" s="573"/>
      <c r="L918" s="572">
        <v>91752.3</v>
      </c>
      <c r="M918" s="571"/>
      <c r="N918" s="570"/>
      <c r="V918" s="674"/>
      <c r="W918" s="675" t="s">
        <v>4201</v>
      </c>
      <c r="AC918" s="675"/>
      <c r="AD918" s="675"/>
      <c r="AE918" s="675"/>
      <c r="AG918" s="675"/>
      <c r="AH918" s="680"/>
    </row>
    <row r="919" spans="1:34" s="536" customFormat="1" ht="12" x14ac:dyDescent="0.2">
      <c r="A919" s="569"/>
      <c r="B919" s="671"/>
      <c r="C919" s="665" t="s">
        <v>717</v>
      </c>
      <c r="D919" s="666"/>
      <c r="E919" s="666"/>
      <c r="F919" s="563"/>
      <c r="G919" s="563"/>
      <c r="H919" s="563"/>
      <c r="I919" s="563"/>
      <c r="J919" s="566"/>
      <c r="K919" s="563"/>
      <c r="L919" s="566"/>
      <c r="M919" s="565"/>
      <c r="N919" s="564"/>
      <c r="V919" s="674"/>
      <c r="W919" s="675"/>
      <c r="AC919" s="675"/>
      <c r="AD919" s="675"/>
      <c r="AE919" s="675"/>
      <c r="AG919" s="675"/>
      <c r="AH919" s="680"/>
    </row>
    <row r="920" spans="1:34" s="536" customFormat="1" ht="33.75" x14ac:dyDescent="0.2">
      <c r="A920" s="575" t="s">
        <v>2403</v>
      </c>
      <c r="B920" s="670" t="s">
        <v>4202</v>
      </c>
      <c r="C920" s="1823" t="s">
        <v>4203</v>
      </c>
      <c r="D920" s="1823"/>
      <c r="E920" s="1823"/>
      <c r="F920" s="573" t="s">
        <v>509</v>
      </c>
      <c r="G920" s="573"/>
      <c r="H920" s="573"/>
      <c r="I920" s="573" t="s">
        <v>4204</v>
      </c>
      <c r="J920" s="572"/>
      <c r="K920" s="573"/>
      <c r="L920" s="572"/>
      <c r="M920" s="571"/>
      <c r="N920" s="570"/>
      <c r="V920" s="674"/>
      <c r="W920" s="675" t="s">
        <v>4203</v>
      </c>
      <c r="AC920" s="675"/>
      <c r="AD920" s="675"/>
      <c r="AE920" s="675"/>
      <c r="AG920" s="675"/>
      <c r="AH920" s="680"/>
    </row>
    <row r="921" spans="1:34" s="536" customFormat="1" ht="12" x14ac:dyDescent="0.2">
      <c r="A921" s="676"/>
      <c r="B921" s="664"/>
      <c r="C921" s="1822" t="s">
        <v>4205</v>
      </c>
      <c r="D921" s="1822"/>
      <c r="E921" s="1822"/>
      <c r="F921" s="1822"/>
      <c r="G921" s="1822"/>
      <c r="H921" s="1822"/>
      <c r="I921" s="1822"/>
      <c r="J921" s="1822"/>
      <c r="K921" s="1822"/>
      <c r="L921" s="1822"/>
      <c r="M921" s="1822"/>
      <c r="N921" s="1827"/>
      <c r="V921" s="674"/>
      <c r="W921" s="675"/>
      <c r="X921" s="537" t="s">
        <v>4205</v>
      </c>
      <c r="AC921" s="675"/>
      <c r="AD921" s="675"/>
      <c r="AE921" s="675"/>
      <c r="AG921" s="675"/>
      <c r="AH921" s="680"/>
    </row>
    <row r="922" spans="1:34" s="536" customFormat="1" ht="33.75" x14ac:dyDescent="0.2">
      <c r="A922" s="609"/>
      <c r="B922" s="552" t="s">
        <v>310</v>
      </c>
      <c r="C922" s="1822" t="s">
        <v>311</v>
      </c>
      <c r="D922" s="1822"/>
      <c r="E922" s="1822"/>
      <c r="F922" s="1822"/>
      <c r="G922" s="1822"/>
      <c r="H922" s="1822"/>
      <c r="I922" s="1822"/>
      <c r="J922" s="1822"/>
      <c r="K922" s="1822"/>
      <c r="L922" s="1822"/>
      <c r="M922" s="1822"/>
      <c r="N922" s="1827"/>
      <c r="V922" s="674"/>
      <c r="W922" s="675"/>
      <c r="Y922" s="537" t="s">
        <v>311</v>
      </c>
      <c r="AC922" s="675"/>
      <c r="AD922" s="675"/>
      <c r="AE922" s="675"/>
      <c r="AG922" s="675"/>
      <c r="AH922" s="680"/>
    </row>
    <row r="923" spans="1:34" s="536" customFormat="1" ht="12" x14ac:dyDescent="0.2">
      <c r="A923" s="605"/>
      <c r="B923" s="552" t="s">
        <v>185</v>
      </c>
      <c r="C923" s="1822" t="s">
        <v>312</v>
      </c>
      <c r="D923" s="1822"/>
      <c r="E923" s="1822"/>
      <c r="F923" s="562"/>
      <c r="G923" s="562"/>
      <c r="H923" s="562"/>
      <c r="I923" s="562"/>
      <c r="J923" s="604">
        <v>173.23</v>
      </c>
      <c r="K923" s="562" t="s">
        <v>313</v>
      </c>
      <c r="L923" s="604">
        <v>234.29</v>
      </c>
      <c r="M923" s="603"/>
      <c r="N923" s="602"/>
      <c r="V923" s="674"/>
      <c r="W923" s="675"/>
      <c r="Z923" s="537" t="s">
        <v>312</v>
      </c>
      <c r="AC923" s="675"/>
      <c r="AD923" s="675"/>
      <c r="AE923" s="675"/>
      <c r="AG923" s="675"/>
      <c r="AH923" s="680"/>
    </row>
    <row r="924" spans="1:34" s="536" customFormat="1" ht="12" x14ac:dyDescent="0.2">
      <c r="A924" s="605"/>
      <c r="B924" s="552" t="s">
        <v>186</v>
      </c>
      <c r="C924" s="1822" t="s">
        <v>344</v>
      </c>
      <c r="D924" s="1822"/>
      <c r="E924" s="1822"/>
      <c r="F924" s="562"/>
      <c r="G924" s="562"/>
      <c r="H924" s="562"/>
      <c r="I924" s="562"/>
      <c r="J924" s="604">
        <v>5268.76</v>
      </c>
      <c r="K924" s="562" t="s">
        <v>313</v>
      </c>
      <c r="L924" s="604">
        <v>7126</v>
      </c>
      <c r="M924" s="603"/>
      <c r="N924" s="602"/>
      <c r="V924" s="674"/>
      <c r="W924" s="675"/>
      <c r="Z924" s="537" t="s">
        <v>344</v>
      </c>
      <c r="AC924" s="675"/>
      <c r="AD924" s="675"/>
      <c r="AE924" s="675"/>
      <c r="AG924" s="675"/>
      <c r="AH924" s="680"/>
    </row>
    <row r="925" spans="1:34" s="536" customFormat="1" ht="12" x14ac:dyDescent="0.2">
      <c r="A925" s="605"/>
      <c r="B925" s="552" t="s">
        <v>187</v>
      </c>
      <c r="C925" s="1822" t="s">
        <v>345</v>
      </c>
      <c r="D925" s="1822"/>
      <c r="E925" s="1822"/>
      <c r="F925" s="562"/>
      <c r="G925" s="562"/>
      <c r="H925" s="562"/>
      <c r="I925" s="562"/>
      <c r="J925" s="604">
        <v>267.67</v>
      </c>
      <c r="K925" s="562" t="s">
        <v>313</v>
      </c>
      <c r="L925" s="604">
        <v>362.02</v>
      </c>
      <c r="M925" s="603"/>
      <c r="N925" s="602"/>
      <c r="V925" s="674"/>
      <c r="W925" s="675"/>
      <c r="Z925" s="537" t="s">
        <v>345</v>
      </c>
      <c r="AC925" s="675"/>
      <c r="AD925" s="675"/>
      <c r="AE925" s="675"/>
      <c r="AG925" s="675"/>
      <c r="AH925" s="680"/>
    </row>
    <row r="926" spans="1:34" s="536" customFormat="1" ht="12" x14ac:dyDescent="0.2">
      <c r="A926" s="605"/>
      <c r="B926" s="552" t="s">
        <v>188</v>
      </c>
      <c r="C926" s="1822" t="s">
        <v>475</v>
      </c>
      <c r="D926" s="1822"/>
      <c r="E926" s="1822"/>
      <c r="F926" s="562"/>
      <c r="G926" s="562"/>
      <c r="H926" s="562"/>
      <c r="I926" s="562"/>
      <c r="J926" s="604">
        <v>17.079999999999998</v>
      </c>
      <c r="K926" s="562"/>
      <c r="L926" s="604">
        <v>18.48</v>
      </c>
      <c r="M926" s="603"/>
      <c r="N926" s="602"/>
      <c r="V926" s="674"/>
      <c r="W926" s="675"/>
      <c r="Z926" s="537" t="s">
        <v>475</v>
      </c>
      <c r="AC926" s="675"/>
      <c r="AD926" s="675"/>
      <c r="AE926" s="675"/>
      <c r="AG926" s="675"/>
      <c r="AH926" s="680"/>
    </row>
    <row r="927" spans="1:34" s="536" customFormat="1" ht="12" x14ac:dyDescent="0.2">
      <c r="A927" s="676"/>
      <c r="B927" s="677" t="s">
        <v>1563</v>
      </c>
      <c r="C927" s="1829" t="s">
        <v>4206</v>
      </c>
      <c r="D927" s="1829"/>
      <c r="E927" s="1829"/>
      <c r="F927" s="678" t="s">
        <v>641</v>
      </c>
      <c r="G927" s="678" t="s">
        <v>525</v>
      </c>
      <c r="H927" s="678"/>
      <c r="I927" s="678" t="s">
        <v>525</v>
      </c>
      <c r="J927" s="552"/>
      <c r="K927" s="562"/>
      <c r="L927" s="604"/>
      <c r="M927" s="562"/>
      <c r="N927" s="679"/>
      <c r="V927" s="674"/>
      <c r="W927" s="675"/>
      <c r="AC927" s="675"/>
      <c r="AD927" s="675"/>
      <c r="AE927" s="675"/>
      <c r="AG927" s="675"/>
      <c r="AH927" s="680" t="s">
        <v>4206</v>
      </c>
    </row>
    <row r="928" spans="1:34" s="536" customFormat="1" ht="12" x14ac:dyDescent="0.2">
      <c r="A928" s="605"/>
      <c r="B928" s="552"/>
      <c r="C928" s="1822" t="s">
        <v>314</v>
      </c>
      <c r="D928" s="1822"/>
      <c r="E928" s="1822"/>
      <c r="F928" s="562" t="s">
        <v>315</v>
      </c>
      <c r="G928" s="562" t="s">
        <v>373</v>
      </c>
      <c r="H928" s="562" t="s">
        <v>313</v>
      </c>
      <c r="I928" s="562" t="s">
        <v>4207</v>
      </c>
      <c r="J928" s="604"/>
      <c r="K928" s="562"/>
      <c r="L928" s="604"/>
      <c r="M928" s="603"/>
      <c r="N928" s="602"/>
      <c r="V928" s="674"/>
      <c r="W928" s="675"/>
      <c r="AA928" s="537" t="s">
        <v>314</v>
      </c>
      <c r="AC928" s="675"/>
      <c r="AD928" s="675"/>
      <c r="AE928" s="675"/>
      <c r="AG928" s="675"/>
      <c r="AH928" s="680"/>
    </row>
    <row r="929" spans="1:34" s="536" customFormat="1" ht="12" x14ac:dyDescent="0.2">
      <c r="A929" s="605"/>
      <c r="B929" s="552"/>
      <c r="C929" s="1822" t="s">
        <v>348</v>
      </c>
      <c r="D929" s="1822"/>
      <c r="E929" s="1822"/>
      <c r="F929" s="562" t="s">
        <v>315</v>
      </c>
      <c r="G929" s="562" t="s">
        <v>4208</v>
      </c>
      <c r="H929" s="562" t="s">
        <v>313</v>
      </c>
      <c r="I929" s="562" t="s">
        <v>4209</v>
      </c>
      <c r="J929" s="604"/>
      <c r="K929" s="562"/>
      <c r="L929" s="604"/>
      <c r="M929" s="603"/>
      <c r="N929" s="602"/>
      <c r="V929" s="674"/>
      <c r="W929" s="675"/>
      <c r="AA929" s="537" t="s">
        <v>348</v>
      </c>
      <c r="AC929" s="675"/>
      <c r="AD929" s="675"/>
      <c r="AE929" s="675"/>
      <c r="AG929" s="675"/>
      <c r="AH929" s="680"/>
    </row>
    <row r="930" spans="1:34" s="536" customFormat="1" ht="12" x14ac:dyDescent="0.2">
      <c r="A930" s="605"/>
      <c r="B930" s="552"/>
      <c r="C930" s="1828" t="s">
        <v>318</v>
      </c>
      <c r="D930" s="1828"/>
      <c r="E930" s="1828"/>
      <c r="F930" s="608"/>
      <c r="G930" s="608"/>
      <c r="H930" s="608"/>
      <c r="I930" s="608"/>
      <c r="J930" s="607">
        <v>5459.07</v>
      </c>
      <c r="K930" s="608"/>
      <c r="L930" s="607">
        <v>7378.77</v>
      </c>
      <c r="M930" s="601"/>
      <c r="N930" s="606"/>
      <c r="V930" s="674"/>
      <c r="W930" s="675"/>
      <c r="AB930" s="537" t="s">
        <v>318</v>
      </c>
      <c r="AC930" s="675"/>
      <c r="AD930" s="675"/>
      <c r="AE930" s="675"/>
      <c r="AG930" s="675"/>
      <c r="AH930" s="680"/>
    </row>
    <row r="931" spans="1:34" s="536" customFormat="1" ht="12" x14ac:dyDescent="0.2">
      <c r="A931" s="605"/>
      <c r="B931" s="552"/>
      <c r="C931" s="1822" t="s">
        <v>319</v>
      </c>
      <c r="D931" s="1822"/>
      <c r="E931" s="1822"/>
      <c r="F931" s="562"/>
      <c r="G931" s="562"/>
      <c r="H931" s="562"/>
      <c r="I931" s="562"/>
      <c r="J931" s="604"/>
      <c r="K931" s="562"/>
      <c r="L931" s="604">
        <v>596.30999999999995</v>
      </c>
      <c r="M931" s="603"/>
      <c r="N931" s="602"/>
      <c r="V931" s="674"/>
      <c r="W931" s="675"/>
      <c r="AA931" s="537" t="s">
        <v>319</v>
      </c>
      <c r="AC931" s="675"/>
      <c r="AD931" s="675"/>
      <c r="AE931" s="675"/>
      <c r="AG931" s="675"/>
      <c r="AH931" s="680"/>
    </row>
    <row r="932" spans="1:34" s="536" customFormat="1" ht="33.75" x14ac:dyDescent="0.2">
      <c r="A932" s="605"/>
      <c r="B932" s="552" t="s">
        <v>554</v>
      </c>
      <c r="C932" s="1822" t="s">
        <v>555</v>
      </c>
      <c r="D932" s="1822"/>
      <c r="E932" s="1822"/>
      <c r="F932" s="562" t="s">
        <v>322</v>
      </c>
      <c r="G932" s="562" t="s">
        <v>556</v>
      </c>
      <c r="H932" s="562"/>
      <c r="I932" s="562" t="s">
        <v>556</v>
      </c>
      <c r="J932" s="604"/>
      <c r="K932" s="562"/>
      <c r="L932" s="604">
        <v>751.35</v>
      </c>
      <c r="M932" s="603"/>
      <c r="N932" s="602"/>
      <c r="V932" s="674"/>
      <c r="W932" s="675"/>
      <c r="AA932" s="537" t="s">
        <v>555</v>
      </c>
      <c r="AC932" s="675"/>
      <c r="AD932" s="675"/>
      <c r="AE932" s="675"/>
      <c r="AG932" s="675"/>
      <c r="AH932" s="680"/>
    </row>
    <row r="933" spans="1:34" s="536" customFormat="1" ht="33.75" x14ac:dyDescent="0.2">
      <c r="A933" s="605"/>
      <c r="B933" s="552" t="s">
        <v>557</v>
      </c>
      <c r="C933" s="1822" t="s">
        <v>558</v>
      </c>
      <c r="D933" s="1822"/>
      <c r="E933" s="1822"/>
      <c r="F933" s="562" t="s">
        <v>322</v>
      </c>
      <c r="G933" s="562" t="s">
        <v>559</v>
      </c>
      <c r="H933" s="562"/>
      <c r="I933" s="562" t="s">
        <v>559</v>
      </c>
      <c r="J933" s="604"/>
      <c r="K933" s="562"/>
      <c r="L933" s="604">
        <v>566.49</v>
      </c>
      <c r="M933" s="603"/>
      <c r="N933" s="602"/>
      <c r="V933" s="674"/>
      <c r="W933" s="675"/>
      <c r="AA933" s="537" t="s">
        <v>558</v>
      </c>
      <c r="AC933" s="675"/>
      <c r="AD933" s="675"/>
      <c r="AE933" s="675"/>
      <c r="AG933" s="675"/>
      <c r="AH933" s="680"/>
    </row>
    <row r="934" spans="1:34" s="536" customFormat="1" ht="12" x14ac:dyDescent="0.2">
      <c r="A934" s="569"/>
      <c r="B934" s="671"/>
      <c r="C934" s="1823" t="s">
        <v>327</v>
      </c>
      <c r="D934" s="1823"/>
      <c r="E934" s="1823"/>
      <c r="F934" s="573"/>
      <c r="G934" s="573"/>
      <c r="H934" s="573"/>
      <c r="I934" s="573"/>
      <c r="J934" s="572"/>
      <c r="K934" s="573"/>
      <c r="L934" s="572">
        <v>8696.61</v>
      </c>
      <c r="M934" s="601"/>
      <c r="N934" s="570"/>
      <c r="V934" s="674"/>
      <c r="W934" s="675"/>
      <c r="AC934" s="675" t="s">
        <v>327</v>
      </c>
      <c r="AD934" s="675"/>
      <c r="AE934" s="675"/>
      <c r="AG934" s="675"/>
      <c r="AH934" s="680"/>
    </row>
    <row r="935" spans="1:34" s="536" customFormat="1" ht="22.5" x14ac:dyDescent="0.2">
      <c r="A935" s="575" t="s">
        <v>2408</v>
      </c>
      <c r="B935" s="670" t="s">
        <v>1541</v>
      </c>
      <c r="C935" s="1823" t="s">
        <v>1542</v>
      </c>
      <c r="D935" s="1823"/>
      <c r="E935" s="1823"/>
      <c r="F935" s="573" t="s">
        <v>641</v>
      </c>
      <c r="G935" s="573"/>
      <c r="H935" s="573"/>
      <c r="I935" s="573" t="s">
        <v>4210</v>
      </c>
      <c r="J935" s="572">
        <v>155.94</v>
      </c>
      <c r="K935" s="573"/>
      <c r="L935" s="572">
        <v>11435.39</v>
      </c>
      <c r="M935" s="571"/>
      <c r="N935" s="570"/>
      <c r="V935" s="674"/>
      <c r="W935" s="675" t="s">
        <v>1542</v>
      </c>
      <c r="AC935" s="675"/>
      <c r="AD935" s="675"/>
      <c r="AE935" s="675"/>
      <c r="AG935" s="675"/>
      <c r="AH935" s="680"/>
    </row>
    <row r="936" spans="1:34" s="536" customFormat="1" ht="12" x14ac:dyDescent="0.2">
      <c r="A936" s="569"/>
      <c r="B936" s="671"/>
      <c r="C936" s="665" t="s">
        <v>717</v>
      </c>
      <c r="D936" s="666"/>
      <c r="E936" s="666"/>
      <c r="F936" s="563"/>
      <c r="G936" s="563"/>
      <c r="H936" s="563"/>
      <c r="I936" s="563"/>
      <c r="J936" s="566"/>
      <c r="K936" s="563"/>
      <c r="L936" s="566"/>
      <c r="M936" s="565"/>
      <c r="N936" s="564"/>
      <c r="V936" s="674"/>
      <c r="W936" s="675"/>
      <c r="AC936" s="675"/>
      <c r="AD936" s="675"/>
      <c r="AE936" s="675"/>
      <c r="AG936" s="675"/>
      <c r="AH936" s="680"/>
    </row>
    <row r="937" spans="1:34" s="536" customFormat="1" ht="12" x14ac:dyDescent="0.2">
      <c r="A937" s="676"/>
      <c r="B937" s="664"/>
      <c r="C937" s="1822" t="s">
        <v>4211</v>
      </c>
      <c r="D937" s="1822"/>
      <c r="E937" s="1822"/>
      <c r="F937" s="1822"/>
      <c r="G937" s="1822"/>
      <c r="H937" s="1822"/>
      <c r="I937" s="1822"/>
      <c r="J937" s="1822"/>
      <c r="K937" s="1822"/>
      <c r="L937" s="1822"/>
      <c r="M937" s="1822"/>
      <c r="N937" s="1827"/>
      <c r="V937" s="674"/>
      <c r="W937" s="675"/>
      <c r="X937" s="537" t="s">
        <v>4211</v>
      </c>
      <c r="AC937" s="675"/>
      <c r="AD937" s="675"/>
      <c r="AE937" s="675"/>
      <c r="AG937" s="675"/>
      <c r="AH937" s="680"/>
    </row>
    <row r="938" spans="1:34" s="536" customFormat="1" ht="22.5" x14ac:dyDescent="0.2">
      <c r="A938" s="575" t="s">
        <v>323</v>
      </c>
      <c r="B938" s="670" t="s">
        <v>1108</v>
      </c>
      <c r="C938" s="1823" t="s">
        <v>1109</v>
      </c>
      <c r="D938" s="1823"/>
      <c r="E938" s="1823"/>
      <c r="F938" s="573" t="s">
        <v>1110</v>
      </c>
      <c r="G938" s="573"/>
      <c r="H938" s="573"/>
      <c r="I938" s="573" t="s">
        <v>4212</v>
      </c>
      <c r="J938" s="572"/>
      <c r="K938" s="573"/>
      <c r="L938" s="572"/>
      <c r="M938" s="571"/>
      <c r="N938" s="570"/>
      <c r="V938" s="674"/>
      <c r="W938" s="675" t="s">
        <v>1109</v>
      </c>
      <c r="AC938" s="675"/>
      <c r="AD938" s="675"/>
      <c r="AE938" s="675"/>
      <c r="AG938" s="675"/>
      <c r="AH938" s="680"/>
    </row>
    <row r="939" spans="1:34" s="536" customFormat="1" ht="12" x14ac:dyDescent="0.2">
      <c r="A939" s="676"/>
      <c r="B939" s="664"/>
      <c r="C939" s="1822" t="s">
        <v>4213</v>
      </c>
      <c r="D939" s="1822"/>
      <c r="E939" s="1822"/>
      <c r="F939" s="1822"/>
      <c r="G939" s="1822"/>
      <c r="H939" s="1822"/>
      <c r="I939" s="1822"/>
      <c r="J939" s="1822"/>
      <c r="K939" s="1822"/>
      <c r="L939" s="1822"/>
      <c r="M939" s="1822"/>
      <c r="N939" s="1827"/>
      <c r="V939" s="674"/>
      <c r="W939" s="675"/>
      <c r="X939" s="537" t="s">
        <v>4213</v>
      </c>
      <c r="AC939" s="675"/>
      <c r="AD939" s="675"/>
      <c r="AE939" s="675"/>
      <c r="AG939" s="675"/>
      <c r="AH939" s="680"/>
    </row>
    <row r="940" spans="1:34" s="536" customFormat="1" ht="33.75" x14ac:dyDescent="0.2">
      <c r="A940" s="609"/>
      <c r="B940" s="552" t="s">
        <v>310</v>
      </c>
      <c r="C940" s="1822" t="s">
        <v>311</v>
      </c>
      <c r="D940" s="1822"/>
      <c r="E940" s="1822"/>
      <c r="F940" s="1822"/>
      <c r="G940" s="1822"/>
      <c r="H940" s="1822"/>
      <c r="I940" s="1822"/>
      <c r="J940" s="1822"/>
      <c r="K940" s="1822"/>
      <c r="L940" s="1822"/>
      <c r="M940" s="1822"/>
      <c r="N940" s="1827"/>
      <c r="V940" s="674"/>
      <c r="W940" s="675"/>
      <c r="Y940" s="537" t="s">
        <v>311</v>
      </c>
      <c r="AC940" s="675"/>
      <c r="AD940" s="675"/>
      <c r="AE940" s="675"/>
      <c r="AG940" s="675"/>
      <c r="AH940" s="680"/>
    </row>
    <row r="941" spans="1:34" s="536" customFormat="1" ht="12" x14ac:dyDescent="0.2">
      <c r="A941" s="605"/>
      <c r="B941" s="552" t="s">
        <v>185</v>
      </c>
      <c r="C941" s="1822" t="s">
        <v>312</v>
      </c>
      <c r="D941" s="1822"/>
      <c r="E941" s="1822"/>
      <c r="F941" s="562"/>
      <c r="G941" s="562"/>
      <c r="H941" s="562"/>
      <c r="I941" s="562"/>
      <c r="J941" s="604">
        <v>590.51</v>
      </c>
      <c r="K941" s="562" t="s">
        <v>313</v>
      </c>
      <c r="L941" s="604">
        <v>6813.01</v>
      </c>
      <c r="M941" s="603"/>
      <c r="N941" s="602"/>
      <c r="V941" s="674"/>
      <c r="W941" s="675"/>
      <c r="Z941" s="537" t="s">
        <v>312</v>
      </c>
      <c r="AC941" s="675"/>
      <c r="AD941" s="675"/>
      <c r="AE941" s="675"/>
      <c r="AG941" s="675"/>
      <c r="AH941" s="680"/>
    </row>
    <row r="942" spans="1:34" s="536" customFormat="1" ht="12" x14ac:dyDescent="0.2">
      <c r="A942" s="605"/>
      <c r="B942" s="552" t="s">
        <v>186</v>
      </c>
      <c r="C942" s="1822" t="s">
        <v>344</v>
      </c>
      <c r="D942" s="1822"/>
      <c r="E942" s="1822"/>
      <c r="F942" s="562"/>
      <c r="G942" s="562"/>
      <c r="H942" s="562"/>
      <c r="I942" s="562"/>
      <c r="J942" s="604">
        <v>73.02</v>
      </c>
      <c r="K942" s="562" t="s">
        <v>313</v>
      </c>
      <c r="L942" s="604">
        <v>842.47</v>
      </c>
      <c r="M942" s="603"/>
      <c r="N942" s="602"/>
      <c r="V942" s="674"/>
      <c r="W942" s="675"/>
      <c r="Z942" s="537" t="s">
        <v>344</v>
      </c>
      <c r="AC942" s="675"/>
      <c r="AD942" s="675"/>
      <c r="AE942" s="675"/>
      <c r="AG942" s="675"/>
      <c r="AH942" s="680"/>
    </row>
    <row r="943" spans="1:34" s="536" customFormat="1" ht="12" x14ac:dyDescent="0.2">
      <c r="A943" s="605"/>
      <c r="B943" s="552" t="s">
        <v>187</v>
      </c>
      <c r="C943" s="1822" t="s">
        <v>345</v>
      </c>
      <c r="D943" s="1822"/>
      <c r="E943" s="1822"/>
      <c r="F943" s="562"/>
      <c r="G943" s="562"/>
      <c r="H943" s="562"/>
      <c r="I943" s="562"/>
      <c r="J943" s="604">
        <v>8.6999999999999993</v>
      </c>
      <c r="K943" s="562" t="s">
        <v>313</v>
      </c>
      <c r="L943" s="604">
        <v>100.38</v>
      </c>
      <c r="M943" s="603"/>
      <c r="N943" s="602"/>
      <c r="V943" s="674"/>
      <c r="W943" s="675"/>
      <c r="Z943" s="537" t="s">
        <v>345</v>
      </c>
      <c r="AC943" s="675"/>
      <c r="AD943" s="675"/>
      <c r="AE943" s="675"/>
      <c r="AG943" s="675"/>
      <c r="AH943" s="680"/>
    </row>
    <row r="944" spans="1:34" s="536" customFormat="1" ht="12" x14ac:dyDescent="0.2">
      <c r="A944" s="605"/>
      <c r="B944" s="552" t="s">
        <v>188</v>
      </c>
      <c r="C944" s="1822" t="s">
        <v>475</v>
      </c>
      <c r="D944" s="1822"/>
      <c r="E944" s="1822"/>
      <c r="F944" s="562"/>
      <c r="G944" s="562"/>
      <c r="H944" s="562"/>
      <c r="I944" s="562"/>
      <c r="J944" s="604">
        <v>3690.05</v>
      </c>
      <c r="K944" s="562"/>
      <c r="L944" s="604">
        <v>1779.27</v>
      </c>
      <c r="M944" s="603"/>
      <c r="N944" s="602"/>
      <c r="V944" s="674"/>
      <c r="W944" s="675"/>
      <c r="Z944" s="537" t="s">
        <v>475</v>
      </c>
      <c r="AC944" s="675"/>
      <c r="AD944" s="675"/>
      <c r="AE944" s="675"/>
      <c r="AG944" s="675"/>
      <c r="AH944" s="680"/>
    </row>
    <row r="945" spans="1:34" s="536" customFormat="1" ht="12" x14ac:dyDescent="0.2">
      <c r="A945" s="676"/>
      <c r="B945" s="677" t="s">
        <v>1113</v>
      </c>
      <c r="C945" s="1829" t="s">
        <v>1114</v>
      </c>
      <c r="D945" s="1829"/>
      <c r="E945" s="1829"/>
      <c r="F945" s="678" t="s">
        <v>483</v>
      </c>
      <c r="G945" s="678" t="s">
        <v>844</v>
      </c>
      <c r="H945" s="678"/>
      <c r="I945" s="678" t="s">
        <v>4214</v>
      </c>
      <c r="J945" s="552"/>
      <c r="K945" s="562"/>
      <c r="L945" s="604"/>
      <c r="M945" s="562"/>
      <c r="N945" s="679"/>
      <c r="V945" s="674"/>
      <c r="W945" s="675"/>
      <c r="AC945" s="675"/>
      <c r="AD945" s="675"/>
      <c r="AE945" s="675"/>
      <c r="AG945" s="675"/>
      <c r="AH945" s="680" t="s">
        <v>1114</v>
      </c>
    </row>
    <row r="946" spans="1:34" s="536" customFormat="1" ht="12" x14ac:dyDescent="0.2">
      <c r="A946" s="605"/>
      <c r="B946" s="552"/>
      <c r="C946" s="1822" t="s">
        <v>314</v>
      </c>
      <c r="D946" s="1822"/>
      <c r="E946" s="1822"/>
      <c r="F946" s="562" t="s">
        <v>315</v>
      </c>
      <c r="G946" s="562" t="s">
        <v>1116</v>
      </c>
      <c r="H946" s="562" t="s">
        <v>313</v>
      </c>
      <c r="I946" s="562" t="s">
        <v>4215</v>
      </c>
      <c r="J946" s="604"/>
      <c r="K946" s="562"/>
      <c r="L946" s="604"/>
      <c r="M946" s="603"/>
      <c r="N946" s="602"/>
      <c r="V946" s="674"/>
      <c r="W946" s="675"/>
      <c r="AA946" s="537" t="s">
        <v>314</v>
      </c>
      <c r="AC946" s="675"/>
      <c r="AD946" s="675"/>
      <c r="AE946" s="675"/>
      <c r="AG946" s="675"/>
      <c r="AH946" s="680"/>
    </row>
    <row r="947" spans="1:34" s="536" customFormat="1" ht="12" x14ac:dyDescent="0.2">
      <c r="A947" s="605"/>
      <c r="B947" s="552"/>
      <c r="C947" s="1822" t="s">
        <v>348</v>
      </c>
      <c r="D947" s="1822"/>
      <c r="E947" s="1822"/>
      <c r="F947" s="562" t="s">
        <v>315</v>
      </c>
      <c r="G947" s="562" t="s">
        <v>1118</v>
      </c>
      <c r="H947" s="562" t="s">
        <v>313</v>
      </c>
      <c r="I947" s="562" t="s">
        <v>4216</v>
      </c>
      <c r="J947" s="604"/>
      <c r="K947" s="562"/>
      <c r="L947" s="604"/>
      <c r="M947" s="603"/>
      <c r="N947" s="602"/>
      <c r="V947" s="674"/>
      <c r="W947" s="675"/>
      <c r="AA947" s="537" t="s">
        <v>348</v>
      </c>
      <c r="AC947" s="675"/>
      <c r="AD947" s="675"/>
      <c r="AE947" s="675"/>
      <c r="AG947" s="675"/>
      <c r="AH947" s="680"/>
    </row>
    <row r="948" spans="1:34" s="536" customFormat="1" ht="12" x14ac:dyDescent="0.2">
      <c r="A948" s="605"/>
      <c r="B948" s="552"/>
      <c r="C948" s="1828" t="s">
        <v>318</v>
      </c>
      <c r="D948" s="1828"/>
      <c r="E948" s="1828"/>
      <c r="F948" s="608"/>
      <c r="G948" s="608"/>
      <c r="H948" s="608"/>
      <c r="I948" s="608"/>
      <c r="J948" s="607">
        <v>856.3</v>
      </c>
      <c r="K948" s="608"/>
      <c r="L948" s="607">
        <v>9434.75</v>
      </c>
      <c r="M948" s="601"/>
      <c r="N948" s="606"/>
      <c r="V948" s="674"/>
      <c r="W948" s="675"/>
      <c r="AB948" s="537" t="s">
        <v>318</v>
      </c>
      <c r="AC948" s="675"/>
      <c r="AD948" s="675"/>
      <c r="AE948" s="675"/>
      <c r="AG948" s="675"/>
      <c r="AH948" s="680"/>
    </row>
    <row r="949" spans="1:34" s="536" customFormat="1" ht="12" x14ac:dyDescent="0.2">
      <c r="A949" s="605"/>
      <c r="B949" s="552"/>
      <c r="C949" s="1822" t="s">
        <v>319</v>
      </c>
      <c r="D949" s="1822"/>
      <c r="E949" s="1822"/>
      <c r="F949" s="562"/>
      <c r="G949" s="562"/>
      <c r="H949" s="562"/>
      <c r="I949" s="562"/>
      <c r="J949" s="604"/>
      <c r="K949" s="562"/>
      <c r="L949" s="604">
        <v>6913.39</v>
      </c>
      <c r="M949" s="603"/>
      <c r="N949" s="602"/>
      <c r="V949" s="674"/>
      <c r="W949" s="675"/>
      <c r="AA949" s="537" t="s">
        <v>319</v>
      </c>
      <c r="AC949" s="675"/>
      <c r="AD949" s="675"/>
      <c r="AE949" s="675"/>
      <c r="AG949" s="675"/>
      <c r="AH949" s="680"/>
    </row>
    <row r="950" spans="1:34" s="536" customFormat="1" ht="33.75" x14ac:dyDescent="0.2">
      <c r="A950" s="605"/>
      <c r="B950" s="552" t="s">
        <v>554</v>
      </c>
      <c r="C950" s="1822" t="s">
        <v>555</v>
      </c>
      <c r="D950" s="1822"/>
      <c r="E950" s="1822"/>
      <c r="F950" s="562" t="s">
        <v>322</v>
      </c>
      <c r="G950" s="562" t="s">
        <v>556</v>
      </c>
      <c r="H950" s="562"/>
      <c r="I950" s="562" t="s">
        <v>556</v>
      </c>
      <c r="J950" s="604"/>
      <c r="K950" s="562"/>
      <c r="L950" s="604">
        <v>8710.8700000000008</v>
      </c>
      <c r="M950" s="603"/>
      <c r="N950" s="602"/>
      <c r="V950" s="674"/>
      <c r="W950" s="675"/>
      <c r="AA950" s="537" t="s">
        <v>555</v>
      </c>
      <c r="AC950" s="675"/>
      <c r="AD950" s="675"/>
      <c r="AE950" s="675"/>
      <c r="AG950" s="675"/>
      <c r="AH950" s="680"/>
    </row>
    <row r="951" spans="1:34" s="536" customFormat="1" ht="33.75" x14ac:dyDescent="0.2">
      <c r="A951" s="605"/>
      <c r="B951" s="552" t="s">
        <v>557</v>
      </c>
      <c r="C951" s="1822" t="s">
        <v>558</v>
      </c>
      <c r="D951" s="1822"/>
      <c r="E951" s="1822"/>
      <c r="F951" s="562" t="s">
        <v>322</v>
      </c>
      <c r="G951" s="562" t="s">
        <v>559</v>
      </c>
      <c r="H951" s="562"/>
      <c r="I951" s="562" t="s">
        <v>559</v>
      </c>
      <c r="J951" s="604"/>
      <c r="K951" s="562"/>
      <c r="L951" s="604">
        <v>6567.72</v>
      </c>
      <c r="M951" s="603"/>
      <c r="N951" s="602"/>
      <c r="V951" s="674"/>
      <c r="W951" s="675"/>
      <c r="AA951" s="537" t="s">
        <v>558</v>
      </c>
      <c r="AC951" s="675"/>
      <c r="AD951" s="675"/>
      <c r="AE951" s="675"/>
      <c r="AG951" s="675"/>
      <c r="AH951" s="680"/>
    </row>
    <row r="952" spans="1:34" s="536" customFormat="1" ht="12" x14ac:dyDescent="0.2">
      <c r="A952" s="569"/>
      <c r="B952" s="671"/>
      <c r="C952" s="1823" t="s">
        <v>327</v>
      </c>
      <c r="D952" s="1823"/>
      <c r="E952" s="1823"/>
      <c r="F952" s="573"/>
      <c r="G952" s="573"/>
      <c r="H952" s="573"/>
      <c r="I952" s="573"/>
      <c r="J952" s="572"/>
      <c r="K952" s="573"/>
      <c r="L952" s="572">
        <v>24713.34</v>
      </c>
      <c r="M952" s="601"/>
      <c r="N952" s="570"/>
      <c r="V952" s="674"/>
      <c r="W952" s="675"/>
      <c r="AC952" s="675" t="s">
        <v>327</v>
      </c>
      <c r="AD952" s="675"/>
      <c r="AE952" s="675"/>
      <c r="AG952" s="675"/>
      <c r="AH952" s="680"/>
    </row>
    <row r="953" spans="1:34" s="536" customFormat="1" ht="22.5" x14ac:dyDescent="0.2">
      <c r="A953" s="575" t="s">
        <v>886</v>
      </c>
      <c r="B953" s="670" t="s">
        <v>4118</v>
      </c>
      <c r="C953" s="1823" t="s">
        <v>4119</v>
      </c>
      <c r="D953" s="1823"/>
      <c r="E953" s="1823"/>
      <c r="F953" s="573" t="s">
        <v>641</v>
      </c>
      <c r="G953" s="573"/>
      <c r="H953" s="573"/>
      <c r="I953" s="573" t="s">
        <v>501</v>
      </c>
      <c r="J953" s="572">
        <v>665</v>
      </c>
      <c r="K953" s="573"/>
      <c r="L953" s="572">
        <v>31920</v>
      </c>
      <c r="M953" s="571"/>
      <c r="N953" s="570"/>
      <c r="V953" s="674"/>
      <c r="W953" s="675" t="s">
        <v>4119</v>
      </c>
      <c r="AC953" s="675"/>
      <c r="AD953" s="675"/>
      <c r="AE953" s="675"/>
      <c r="AG953" s="675"/>
      <c r="AH953" s="680"/>
    </row>
    <row r="954" spans="1:34" s="536" customFormat="1" ht="12" x14ac:dyDescent="0.2">
      <c r="A954" s="569"/>
      <c r="B954" s="671"/>
      <c r="C954" s="665" t="s">
        <v>717</v>
      </c>
      <c r="D954" s="666"/>
      <c r="E954" s="666"/>
      <c r="F954" s="563"/>
      <c r="G954" s="563"/>
      <c r="H954" s="563"/>
      <c r="I954" s="563"/>
      <c r="J954" s="566"/>
      <c r="K954" s="563"/>
      <c r="L954" s="566"/>
      <c r="M954" s="565"/>
      <c r="N954" s="564"/>
      <c r="V954" s="674"/>
      <c r="W954" s="675"/>
      <c r="AC954" s="675"/>
      <c r="AD954" s="675"/>
      <c r="AE954" s="675"/>
      <c r="AG954" s="675"/>
      <c r="AH954" s="680"/>
    </row>
    <row r="955" spans="1:34" s="536" customFormat="1" ht="22.5" x14ac:dyDescent="0.2">
      <c r="A955" s="575" t="s">
        <v>2418</v>
      </c>
      <c r="B955" s="670" t="s">
        <v>4217</v>
      </c>
      <c r="C955" s="1823" t="s">
        <v>4218</v>
      </c>
      <c r="D955" s="1823"/>
      <c r="E955" s="1823"/>
      <c r="F955" s="573" t="s">
        <v>617</v>
      </c>
      <c r="G955" s="573"/>
      <c r="H955" s="573"/>
      <c r="I955" s="573" t="s">
        <v>4214</v>
      </c>
      <c r="J955" s="572">
        <v>76.34</v>
      </c>
      <c r="K955" s="573"/>
      <c r="L955" s="572">
        <v>70461.820000000007</v>
      </c>
      <c r="M955" s="571"/>
      <c r="N955" s="570"/>
      <c r="V955" s="674"/>
      <c r="W955" s="675" t="s">
        <v>4218</v>
      </c>
      <c r="AC955" s="675"/>
      <c r="AD955" s="675"/>
      <c r="AE955" s="675"/>
      <c r="AG955" s="675"/>
      <c r="AH955" s="680"/>
    </row>
    <row r="956" spans="1:34" s="536" customFormat="1" ht="12" x14ac:dyDescent="0.2">
      <c r="A956" s="569"/>
      <c r="B956" s="671"/>
      <c r="C956" s="665" t="s">
        <v>717</v>
      </c>
      <c r="D956" s="666"/>
      <c r="E956" s="666"/>
      <c r="F956" s="563"/>
      <c r="G956" s="563"/>
      <c r="H956" s="563"/>
      <c r="I956" s="563"/>
      <c r="J956" s="566"/>
      <c r="K956" s="563"/>
      <c r="L956" s="566"/>
      <c r="M956" s="565"/>
      <c r="N956" s="564"/>
      <c r="V956" s="674"/>
      <c r="W956" s="675"/>
      <c r="AC956" s="675"/>
      <c r="AD956" s="675"/>
      <c r="AE956" s="675"/>
      <c r="AG956" s="675"/>
      <c r="AH956" s="680"/>
    </row>
    <row r="957" spans="1:34" s="536" customFormat="1" ht="22.5" x14ac:dyDescent="0.2">
      <c r="A957" s="575" t="s">
        <v>462</v>
      </c>
      <c r="B957" s="670" t="s">
        <v>1108</v>
      </c>
      <c r="C957" s="1823" t="s">
        <v>1109</v>
      </c>
      <c r="D957" s="1823"/>
      <c r="E957" s="1823"/>
      <c r="F957" s="573" t="s">
        <v>1110</v>
      </c>
      <c r="G957" s="573"/>
      <c r="H957" s="573"/>
      <c r="I957" s="573" t="s">
        <v>4219</v>
      </c>
      <c r="J957" s="572"/>
      <c r="K957" s="573"/>
      <c r="L957" s="572"/>
      <c r="M957" s="571"/>
      <c r="N957" s="570"/>
      <c r="V957" s="674"/>
      <c r="W957" s="675" t="s">
        <v>1109</v>
      </c>
      <c r="AC957" s="675"/>
      <c r="AD957" s="675"/>
      <c r="AE957" s="675"/>
      <c r="AG957" s="675"/>
      <c r="AH957" s="680"/>
    </row>
    <row r="958" spans="1:34" s="536" customFormat="1" ht="12" x14ac:dyDescent="0.2">
      <c r="A958" s="676"/>
      <c r="B958" s="664"/>
      <c r="C958" s="1822" t="s">
        <v>4220</v>
      </c>
      <c r="D958" s="1822"/>
      <c r="E958" s="1822"/>
      <c r="F958" s="1822"/>
      <c r="G958" s="1822"/>
      <c r="H958" s="1822"/>
      <c r="I958" s="1822"/>
      <c r="J958" s="1822"/>
      <c r="K958" s="1822"/>
      <c r="L958" s="1822"/>
      <c r="M958" s="1822"/>
      <c r="N958" s="1827"/>
      <c r="V958" s="674"/>
      <c r="W958" s="675"/>
      <c r="X958" s="537" t="s">
        <v>4220</v>
      </c>
      <c r="AC958" s="675"/>
      <c r="AD958" s="675"/>
      <c r="AE958" s="675"/>
      <c r="AG958" s="675"/>
      <c r="AH958" s="680"/>
    </row>
    <row r="959" spans="1:34" s="536" customFormat="1" ht="33.75" x14ac:dyDescent="0.2">
      <c r="A959" s="609"/>
      <c r="B959" s="552" t="s">
        <v>310</v>
      </c>
      <c r="C959" s="1822" t="s">
        <v>311</v>
      </c>
      <c r="D959" s="1822"/>
      <c r="E959" s="1822"/>
      <c r="F959" s="1822"/>
      <c r="G959" s="1822"/>
      <c r="H959" s="1822"/>
      <c r="I959" s="1822"/>
      <c r="J959" s="1822"/>
      <c r="K959" s="1822"/>
      <c r="L959" s="1822"/>
      <c r="M959" s="1822"/>
      <c r="N959" s="1827"/>
      <c r="V959" s="674"/>
      <c r="W959" s="675"/>
      <c r="Y959" s="537" t="s">
        <v>311</v>
      </c>
      <c r="AC959" s="675"/>
      <c r="AD959" s="675"/>
      <c r="AE959" s="675"/>
      <c r="AG959" s="675"/>
      <c r="AH959" s="680"/>
    </row>
    <row r="960" spans="1:34" s="536" customFormat="1" ht="12" x14ac:dyDescent="0.2">
      <c r="A960" s="605"/>
      <c r="B960" s="552" t="s">
        <v>185</v>
      </c>
      <c r="C960" s="1822" t="s">
        <v>312</v>
      </c>
      <c r="D960" s="1822"/>
      <c r="E960" s="1822"/>
      <c r="F960" s="562"/>
      <c r="G960" s="562"/>
      <c r="H960" s="562"/>
      <c r="I960" s="562"/>
      <c r="J960" s="604">
        <v>590.51</v>
      </c>
      <c r="K960" s="562" t="s">
        <v>313</v>
      </c>
      <c r="L960" s="604">
        <v>2103.69</v>
      </c>
      <c r="M960" s="603"/>
      <c r="N960" s="602"/>
      <c r="V960" s="674"/>
      <c r="W960" s="675"/>
      <c r="Z960" s="537" t="s">
        <v>312</v>
      </c>
      <c r="AC960" s="675"/>
      <c r="AD960" s="675"/>
      <c r="AE960" s="675"/>
      <c r="AG960" s="675"/>
      <c r="AH960" s="680"/>
    </row>
    <row r="961" spans="1:34" s="536" customFormat="1" ht="12" x14ac:dyDescent="0.2">
      <c r="A961" s="605"/>
      <c r="B961" s="552" t="s">
        <v>186</v>
      </c>
      <c r="C961" s="1822" t="s">
        <v>344</v>
      </c>
      <c r="D961" s="1822"/>
      <c r="E961" s="1822"/>
      <c r="F961" s="562"/>
      <c r="G961" s="562"/>
      <c r="H961" s="562"/>
      <c r="I961" s="562"/>
      <c r="J961" s="604">
        <v>73.02</v>
      </c>
      <c r="K961" s="562" t="s">
        <v>313</v>
      </c>
      <c r="L961" s="604">
        <v>260.13</v>
      </c>
      <c r="M961" s="603"/>
      <c r="N961" s="602"/>
      <c r="V961" s="674"/>
      <c r="W961" s="675"/>
      <c r="Z961" s="537" t="s">
        <v>344</v>
      </c>
      <c r="AC961" s="675"/>
      <c r="AD961" s="675"/>
      <c r="AE961" s="675"/>
      <c r="AG961" s="675"/>
      <c r="AH961" s="680"/>
    </row>
    <row r="962" spans="1:34" s="536" customFormat="1" ht="12" x14ac:dyDescent="0.2">
      <c r="A962" s="605"/>
      <c r="B962" s="552" t="s">
        <v>187</v>
      </c>
      <c r="C962" s="1822" t="s">
        <v>345</v>
      </c>
      <c r="D962" s="1822"/>
      <c r="E962" s="1822"/>
      <c r="F962" s="562"/>
      <c r="G962" s="562"/>
      <c r="H962" s="562"/>
      <c r="I962" s="562"/>
      <c r="J962" s="604">
        <v>8.6999999999999993</v>
      </c>
      <c r="K962" s="562" t="s">
        <v>313</v>
      </c>
      <c r="L962" s="604">
        <v>30.99</v>
      </c>
      <c r="M962" s="603"/>
      <c r="N962" s="602"/>
      <c r="V962" s="674"/>
      <c r="W962" s="675"/>
      <c r="Z962" s="537" t="s">
        <v>345</v>
      </c>
      <c r="AC962" s="675"/>
      <c r="AD962" s="675"/>
      <c r="AE962" s="675"/>
      <c r="AG962" s="675"/>
      <c r="AH962" s="680"/>
    </row>
    <row r="963" spans="1:34" s="536" customFormat="1" ht="12" x14ac:dyDescent="0.2">
      <c r="A963" s="605"/>
      <c r="B963" s="552" t="s">
        <v>188</v>
      </c>
      <c r="C963" s="1822" t="s">
        <v>475</v>
      </c>
      <c r="D963" s="1822"/>
      <c r="E963" s="1822"/>
      <c r="F963" s="562"/>
      <c r="G963" s="562"/>
      <c r="H963" s="562"/>
      <c r="I963" s="562"/>
      <c r="J963" s="604">
        <v>3690.05</v>
      </c>
      <c r="K963" s="562"/>
      <c r="L963" s="604">
        <v>460.5</v>
      </c>
      <c r="M963" s="603"/>
      <c r="N963" s="602"/>
      <c r="V963" s="674"/>
      <c r="W963" s="675"/>
      <c r="Z963" s="537" t="s">
        <v>475</v>
      </c>
      <c r="AC963" s="675"/>
      <c r="AD963" s="675"/>
      <c r="AE963" s="675"/>
      <c r="AG963" s="675"/>
      <c r="AH963" s="680"/>
    </row>
    <row r="964" spans="1:34" s="536" customFormat="1" ht="12" x14ac:dyDescent="0.2">
      <c r="A964" s="676"/>
      <c r="B964" s="677" t="s">
        <v>1113</v>
      </c>
      <c r="C964" s="1829" t="s">
        <v>1114</v>
      </c>
      <c r="D964" s="1829"/>
      <c r="E964" s="1829"/>
      <c r="F964" s="678" t="s">
        <v>483</v>
      </c>
      <c r="G964" s="678" t="s">
        <v>844</v>
      </c>
      <c r="H964" s="678"/>
      <c r="I964" s="678" t="s">
        <v>4221</v>
      </c>
      <c r="J964" s="552"/>
      <c r="K964" s="562"/>
      <c r="L964" s="604"/>
      <c r="M964" s="562"/>
      <c r="N964" s="679"/>
      <c r="V964" s="674"/>
      <c r="W964" s="675"/>
      <c r="AC964" s="675"/>
      <c r="AD964" s="675"/>
      <c r="AE964" s="675"/>
      <c r="AG964" s="675"/>
      <c r="AH964" s="680" t="s">
        <v>1114</v>
      </c>
    </row>
    <row r="965" spans="1:34" s="536" customFormat="1" ht="12" x14ac:dyDescent="0.2">
      <c r="A965" s="605"/>
      <c r="B965" s="552"/>
      <c r="C965" s="1822" t="s">
        <v>314</v>
      </c>
      <c r="D965" s="1822"/>
      <c r="E965" s="1822"/>
      <c r="F965" s="562" t="s">
        <v>315</v>
      </c>
      <c r="G965" s="562" t="s">
        <v>1116</v>
      </c>
      <c r="H965" s="562" t="s">
        <v>313</v>
      </c>
      <c r="I965" s="562" t="s">
        <v>4222</v>
      </c>
      <c r="J965" s="604"/>
      <c r="K965" s="562"/>
      <c r="L965" s="604"/>
      <c r="M965" s="603"/>
      <c r="N965" s="602"/>
      <c r="V965" s="674"/>
      <c r="W965" s="675"/>
      <c r="AA965" s="537" t="s">
        <v>314</v>
      </c>
      <c r="AC965" s="675"/>
      <c r="AD965" s="675"/>
      <c r="AE965" s="675"/>
      <c r="AG965" s="675"/>
      <c r="AH965" s="680"/>
    </row>
    <row r="966" spans="1:34" s="536" customFormat="1" ht="12" x14ac:dyDescent="0.2">
      <c r="A966" s="605"/>
      <c r="B966" s="552"/>
      <c r="C966" s="1822" t="s">
        <v>348</v>
      </c>
      <c r="D966" s="1822"/>
      <c r="E966" s="1822"/>
      <c r="F966" s="562" t="s">
        <v>315</v>
      </c>
      <c r="G966" s="562" t="s">
        <v>1118</v>
      </c>
      <c r="H966" s="562" t="s">
        <v>313</v>
      </c>
      <c r="I966" s="562" t="s">
        <v>4223</v>
      </c>
      <c r="J966" s="604"/>
      <c r="K966" s="562"/>
      <c r="L966" s="604"/>
      <c r="M966" s="603"/>
      <c r="N966" s="602"/>
      <c r="V966" s="674"/>
      <c r="W966" s="675"/>
      <c r="AA966" s="537" t="s">
        <v>348</v>
      </c>
      <c r="AC966" s="675"/>
      <c r="AD966" s="675"/>
      <c r="AE966" s="675"/>
      <c r="AG966" s="675"/>
      <c r="AH966" s="680"/>
    </row>
    <row r="967" spans="1:34" s="536" customFormat="1" ht="12" x14ac:dyDescent="0.2">
      <c r="A967" s="605"/>
      <c r="B967" s="552"/>
      <c r="C967" s="1828" t="s">
        <v>318</v>
      </c>
      <c r="D967" s="1828"/>
      <c r="E967" s="1828"/>
      <c r="F967" s="608"/>
      <c r="G967" s="608"/>
      <c r="H967" s="608"/>
      <c r="I967" s="608"/>
      <c r="J967" s="607">
        <v>825.11</v>
      </c>
      <c r="K967" s="608"/>
      <c r="L967" s="607">
        <v>2824.32</v>
      </c>
      <c r="M967" s="601"/>
      <c r="N967" s="606"/>
      <c r="V967" s="674"/>
      <c r="W967" s="675"/>
      <c r="AB967" s="537" t="s">
        <v>318</v>
      </c>
      <c r="AC967" s="675"/>
      <c r="AD967" s="675"/>
      <c r="AE967" s="675"/>
      <c r="AG967" s="675"/>
      <c r="AH967" s="680"/>
    </row>
    <row r="968" spans="1:34" s="536" customFormat="1" ht="12" x14ac:dyDescent="0.2">
      <c r="A968" s="605"/>
      <c r="B968" s="552"/>
      <c r="C968" s="1822" t="s">
        <v>319</v>
      </c>
      <c r="D968" s="1822"/>
      <c r="E968" s="1822"/>
      <c r="F968" s="562"/>
      <c r="G968" s="562"/>
      <c r="H968" s="562"/>
      <c r="I968" s="562"/>
      <c r="J968" s="604"/>
      <c r="K968" s="562"/>
      <c r="L968" s="604">
        <v>2134.6799999999998</v>
      </c>
      <c r="M968" s="603"/>
      <c r="N968" s="602"/>
      <c r="V968" s="674"/>
      <c r="W968" s="675"/>
      <c r="AA968" s="537" t="s">
        <v>319</v>
      </c>
      <c r="AC968" s="675"/>
      <c r="AD968" s="675"/>
      <c r="AE968" s="675"/>
      <c r="AG968" s="675"/>
      <c r="AH968" s="680"/>
    </row>
    <row r="969" spans="1:34" s="536" customFormat="1" ht="33.75" x14ac:dyDescent="0.2">
      <c r="A969" s="605"/>
      <c r="B969" s="552" t="s">
        <v>554</v>
      </c>
      <c r="C969" s="1822" t="s">
        <v>555</v>
      </c>
      <c r="D969" s="1822"/>
      <c r="E969" s="1822"/>
      <c r="F969" s="562" t="s">
        <v>322</v>
      </c>
      <c r="G969" s="562" t="s">
        <v>556</v>
      </c>
      <c r="H969" s="562"/>
      <c r="I969" s="562" t="s">
        <v>556</v>
      </c>
      <c r="J969" s="604"/>
      <c r="K969" s="562"/>
      <c r="L969" s="604">
        <v>2689.7</v>
      </c>
      <c r="M969" s="603"/>
      <c r="N969" s="602"/>
      <c r="V969" s="674"/>
      <c r="W969" s="675"/>
      <c r="AA969" s="537" t="s">
        <v>555</v>
      </c>
      <c r="AC969" s="675"/>
      <c r="AD969" s="675"/>
      <c r="AE969" s="675"/>
      <c r="AG969" s="675"/>
      <c r="AH969" s="680"/>
    </row>
    <row r="970" spans="1:34" s="536" customFormat="1" ht="33.75" x14ac:dyDescent="0.2">
      <c r="A970" s="605"/>
      <c r="B970" s="552" t="s">
        <v>557</v>
      </c>
      <c r="C970" s="1822" t="s">
        <v>558</v>
      </c>
      <c r="D970" s="1822"/>
      <c r="E970" s="1822"/>
      <c r="F970" s="562" t="s">
        <v>322</v>
      </c>
      <c r="G970" s="562" t="s">
        <v>559</v>
      </c>
      <c r="H970" s="562"/>
      <c r="I970" s="562" t="s">
        <v>559</v>
      </c>
      <c r="J970" s="604"/>
      <c r="K970" s="562"/>
      <c r="L970" s="604">
        <v>2027.95</v>
      </c>
      <c r="M970" s="603"/>
      <c r="N970" s="602"/>
      <c r="V970" s="674"/>
      <c r="W970" s="675"/>
      <c r="AA970" s="537" t="s">
        <v>558</v>
      </c>
      <c r="AC970" s="675"/>
      <c r="AD970" s="675"/>
      <c r="AE970" s="675"/>
      <c r="AG970" s="675"/>
      <c r="AH970" s="680"/>
    </row>
    <row r="971" spans="1:34" s="536" customFormat="1" ht="12" x14ac:dyDescent="0.2">
      <c r="A971" s="569"/>
      <c r="B971" s="671"/>
      <c r="C971" s="1823" t="s">
        <v>327</v>
      </c>
      <c r="D971" s="1823"/>
      <c r="E971" s="1823"/>
      <c r="F971" s="573"/>
      <c r="G971" s="573"/>
      <c r="H971" s="573"/>
      <c r="I971" s="573"/>
      <c r="J971" s="572"/>
      <c r="K971" s="573"/>
      <c r="L971" s="572">
        <v>7541.97</v>
      </c>
      <c r="M971" s="601"/>
      <c r="N971" s="570"/>
      <c r="V971" s="674"/>
      <c r="W971" s="675"/>
      <c r="AC971" s="675" t="s">
        <v>327</v>
      </c>
      <c r="AD971" s="675"/>
      <c r="AE971" s="675"/>
      <c r="AG971" s="675"/>
      <c r="AH971" s="680"/>
    </row>
    <row r="972" spans="1:34" s="536" customFormat="1" ht="45" x14ac:dyDescent="0.2">
      <c r="A972" s="575" t="s">
        <v>650</v>
      </c>
      <c r="B972" s="670" t="s">
        <v>4224</v>
      </c>
      <c r="C972" s="1823" t="s">
        <v>4119</v>
      </c>
      <c r="D972" s="1823"/>
      <c r="E972" s="1823"/>
      <c r="F972" s="573" t="s">
        <v>641</v>
      </c>
      <c r="G972" s="573"/>
      <c r="H972" s="573"/>
      <c r="I972" s="573" t="s">
        <v>4225</v>
      </c>
      <c r="J972" s="572">
        <v>665</v>
      </c>
      <c r="K972" s="573"/>
      <c r="L972" s="572">
        <v>2607.86</v>
      </c>
      <c r="M972" s="571"/>
      <c r="N972" s="570"/>
      <c r="V972" s="674"/>
      <c r="W972" s="675" t="s">
        <v>4119</v>
      </c>
      <c r="AC972" s="675"/>
      <c r="AD972" s="675"/>
      <c r="AE972" s="675"/>
      <c r="AG972" s="675"/>
      <c r="AH972" s="680"/>
    </row>
    <row r="973" spans="1:34" s="536" customFormat="1" ht="12" x14ac:dyDescent="0.2">
      <c r="A973" s="569"/>
      <c r="B973" s="671"/>
      <c r="C973" s="665" t="s">
        <v>717</v>
      </c>
      <c r="D973" s="666"/>
      <c r="E973" s="666"/>
      <c r="F973" s="563"/>
      <c r="G973" s="563"/>
      <c r="H973" s="563"/>
      <c r="I973" s="563"/>
      <c r="J973" s="566"/>
      <c r="K973" s="563"/>
      <c r="L973" s="566"/>
      <c r="M973" s="565"/>
      <c r="N973" s="564"/>
      <c r="V973" s="674"/>
      <c r="W973" s="675"/>
      <c r="AC973" s="675"/>
      <c r="AD973" s="675"/>
      <c r="AE973" s="675"/>
      <c r="AG973" s="675"/>
      <c r="AH973" s="680"/>
    </row>
    <row r="974" spans="1:34" s="536" customFormat="1" ht="12" x14ac:dyDescent="0.2">
      <c r="A974" s="676"/>
      <c r="B974" s="664"/>
      <c r="C974" s="1822" t="s">
        <v>4226</v>
      </c>
      <c r="D974" s="1822"/>
      <c r="E974" s="1822"/>
      <c r="F974" s="1822"/>
      <c r="G974" s="1822"/>
      <c r="H974" s="1822"/>
      <c r="I974" s="1822"/>
      <c r="J974" s="1822"/>
      <c r="K974" s="1822"/>
      <c r="L974" s="1822"/>
      <c r="M974" s="1822"/>
      <c r="N974" s="1827"/>
      <c r="V974" s="674"/>
      <c r="W974" s="675"/>
      <c r="X974" s="537" t="s">
        <v>4226</v>
      </c>
      <c r="AC974" s="675"/>
      <c r="AD974" s="675"/>
      <c r="AE974" s="675"/>
      <c r="AG974" s="675"/>
      <c r="AH974" s="680"/>
    </row>
    <row r="975" spans="1:34" s="536" customFormat="1" ht="45" x14ac:dyDescent="0.2">
      <c r="A975" s="575" t="s">
        <v>1484</v>
      </c>
      <c r="B975" s="670" t="s">
        <v>4227</v>
      </c>
      <c r="C975" s="1823" t="s">
        <v>4228</v>
      </c>
      <c r="D975" s="1823"/>
      <c r="E975" s="1823"/>
      <c r="F975" s="573" t="s">
        <v>641</v>
      </c>
      <c r="G975" s="573"/>
      <c r="H975" s="573"/>
      <c r="I975" s="573" t="s">
        <v>4229</v>
      </c>
      <c r="J975" s="572">
        <v>519.79999999999995</v>
      </c>
      <c r="K975" s="573"/>
      <c r="L975" s="572">
        <v>29.33</v>
      </c>
      <c r="M975" s="571"/>
      <c r="N975" s="570"/>
      <c r="V975" s="674"/>
      <c r="W975" s="675" t="s">
        <v>4228</v>
      </c>
      <c r="AC975" s="675"/>
      <c r="AD975" s="675"/>
      <c r="AE975" s="675"/>
      <c r="AG975" s="675"/>
      <c r="AH975" s="680"/>
    </row>
    <row r="976" spans="1:34" s="536" customFormat="1" ht="12" x14ac:dyDescent="0.2">
      <c r="A976" s="569"/>
      <c r="B976" s="671"/>
      <c r="C976" s="665" t="s">
        <v>717</v>
      </c>
      <c r="D976" s="666"/>
      <c r="E976" s="666"/>
      <c r="F976" s="563"/>
      <c r="G976" s="563"/>
      <c r="H976" s="563"/>
      <c r="I976" s="563"/>
      <c r="J976" s="566"/>
      <c r="K976" s="563"/>
      <c r="L976" s="566"/>
      <c r="M976" s="565"/>
      <c r="N976" s="564"/>
      <c r="V976" s="674"/>
      <c r="W976" s="675"/>
      <c r="AC976" s="675"/>
      <c r="AD976" s="675"/>
      <c r="AE976" s="675"/>
      <c r="AG976" s="675"/>
      <c r="AH976" s="680"/>
    </row>
    <row r="977" spans="1:34" s="536" customFormat="1" ht="12" x14ac:dyDescent="0.2">
      <c r="A977" s="676"/>
      <c r="B977" s="664"/>
      <c r="C977" s="1822" t="s">
        <v>4230</v>
      </c>
      <c r="D977" s="1822"/>
      <c r="E977" s="1822"/>
      <c r="F977" s="1822"/>
      <c r="G977" s="1822"/>
      <c r="H977" s="1822"/>
      <c r="I977" s="1822"/>
      <c r="J977" s="1822"/>
      <c r="K977" s="1822"/>
      <c r="L977" s="1822"/>
      <c r="M977" s="1822"/>
      <c r="N977" s="1827"/>
      <c r="V977" s="674"/>
      <c r="W977" s="675"/>
      <c r="X977" s="537" t="s">
        <v>4230</v>
      </c>
      <c r="AC977" s="675"/>
      <c r="AD977" s="675"/>
      <c r="AE977" s="675"/>
      <c r="AG977" s="675"/>
      <c r="AH977" s="680"/>
    </row>
    <row r="978" spans="1:34" s="536" customFormat="1" ht="22.5" x14ac:dyDescent="0.2">
      <c r="A978" s="575" t="s">
        <v>559</v>
      </c>
      <c r="B978" s="670" t="s">
        <v>4231</v>
      </c>
      <c r="C978" s="1823" t="s">
        <v>4232</v>
      </c>
      <c r="D978" s="1823"/>
      <c r="E978" s="1823"/>
      <c r="F978" s="573" t="s">
        <v>617</v>
      </c>
      <c r="G978" s="573"/>
      <c r="H978" s="573"/>
      <c r="I978" s="573" t="s">
        <v>4221</v>
      </c>
      <c r="J978" s="572">
        <v>22.36</v>
      </c>
      <c r="K978" s="573"/>
      <c r="L978" s="572">
        <v>6372.6</v>
      </c>
      <c r="M978" s="571"/>
      <c r="N978" s="570"/>
      <c r="V978" s="674"/>
      <c r="W978" s="675" t="s">
        <v>4232</v>
      </c>
      <c r="AC978" s="675"/>
      <c r="AD978" s="675"/>
      <c r="AE978" s="675"/>
      <c r="AG978" s="675"/>
      <c r="AH978" s="680"/>
    </row>
    <row r="979" spans="1:34" s="536" customFormat="1" ht="12" x14ac:dyDescent="0.2">
      <c r="A979" s="569"/>
      <c r="B979" s="671"/>
      <c r="C979" s="665" t="s">
        <v>717</v>
      </c>
      <c r="D979" s="666"/>
      <c r="E979" s="666"/>
      <c r="F979" s="563"/>
      <c r="G979" s="563"/>
      <c r="H979" s="563"/>
      <c r="I979" s="563"/>
      <c r="J979" s="566"/>
      <c r="K979" s="563"/>
      <c r="L979" s="566"/>
      <c r="M979" s="565"/>
      <c r="N979" s="564"/>
      <c r="V979" s="674"/>
      <c r="W979" s="675"/>
      <c r="AC979" s="675"/>
      <c r="AD979" s="675"/>
      <c r="AE979" s="675"/>
      <c r="AG979" s="675"/>
      <c r="AH979" s="680"/>
    </row>
    <row r="980" spans="1:34" s="536" customFormat="1" ht="1.5" customHeight="1" x14ac:dyDescent="0.2">
      <c r="A980" s="563"/>
      <c r="B980" s="671"/>
      <c r="C980" s="671"/>
      <c r="D980" s="671"/>
      <c r="E980" s="671"/>
      <c r="F980" s="563"/>
      <c r="G980" s="563"/>
      <c r="H980" s="563"/>
      <c r="I980" s="563"/>
      <c r="J980" s="546"/>
      <c r="K980" s="563"/>
      <c r="L980" s="546"/>
      <c r="M980" s="562"/>
      <c r="N980" s="546"/>
      <c r="V980" s="674"/>
      <c r="W980" s="675"/>
      <c r="AC980" s="675"/>
      <c r="AD980" s="675"/>
      <c r="AE980" s="675"/>
      <c r="AG980" s="675"/>
      <c r="AH980" s="680"/>
    </row>
    <row r="981" spans="1:34" s="536" customFormat="1" ht="12" x14ac:dyDescent="0.2">
      <c r="A981" s="557"/>
      <c r="B981" s="556"/>
      <c r="C981" s="1823" t="s">
        <v>4233</v>
      </c>
      <c r="D981" s="1823"/>
      <c r="E981" s="1823"/>
      <c r="F981" s="1823"/>
      <c r="G981" s="1823"/>
      <c r="H981" s="1823"/>
      <c r="I981" s="1823"/>
      <c r="J981" s="1823"/>
      <c r="K981" s="1823"/>
      <c r="L981" s="555"/>
      <c r="M981" s="554"/>
      <c r="N981" s="553"/>
      <c r="V981" s="674"/>
      <c r="W981" s="675"/>
      <c r="AC981" s="675"/>
      <c r="AD981" s="675"/>
      <c r="AE981" s="675" t="s">
        <v>4233</v>
      </c>
      <c r="AG981" s="675"/>
      <c r="AH981" s="680"/>
    </row>
    <row r="982" spans="1:34" s="536" customFormat="1" ht="12" x14ac:dyDescent="0.2">
      <c r="A982" s="548"/>
      <c r="B982" s="552"/>
      <c r="C982" s="1822" t="s">
        <v>403</v>
      </c>
      <c r="D982" s="1822"/>
      <c r="E982" s="1822"/>
      <c r="F982" s="1822"/>
      <c r="G982" s="1822"/>
      <c r="H982" s="1822"/>
      <c r="I982" s="1822"/>
      <c r="J982" s="1822"/>
      <c r="K982" s="1822"/>
      <c r="L982" s="551">
        <v>285642.57</v>
      </c>
      <c r="M982" s="550"/>
      <c r="N982" s="549"/>
      <c r="V982" s="674"/>
      <c r="W982" s="675"/>
      <c r="AC982" s="675"/>
      <c r="AD982" s="675"/>
      <c r="AE982" s="675"/>
      <c r="AF982" s="537" t="s">
        <v>403</v>
      </c>
      <c r="AG982" s="675"/>
      <c r="AH982" s="680"/>
    </row>
    <row r="983" spans="1:34" s="536" customFormat="1" ht="12" x14ac:dyDescent="0.2">
      <c r="A983" s="548"/>
      <c r="B983" s="552"/>
      <c r="C983" s="1822" t="s">
        <v>204</v>
      </c>
      <c r="D983" s="1822"/>
      <c r="E983" s="1822"/>
      <c r="F983" s="1822"/>
      <c r="G983" s="1822"/>
      <c r="H983" s="1822"/>
      <c r="I983" s="1822"/>
      <c r="J983" s="1822"/>
      <c r="K983" s="1822"/>
      <c r="L983" s="551"/>
      <c r="M983" s="550"/>
      <c r="N983" s="549"/>
      <c r="V983" s="674"/>
      <c r="W983" s="675"/>
      <c r="AC983" s="675"/>
      <c r="AD983" s="675"/>
      <c r="AE983" s="675"/>
      <c r="AF983" s="537" t="s">
        <v>204</v>
      </c>
      <c r="AG983" s="675"/>
      <c r="AH983" s="680"/>
    </row>
    <row r="984" spans="1:34" s="536" customFormat="1" ht="12" x14ac:dyDescent="0.2">
      <c r="A984" s="548"/>
      <c r="B984" s="552"/>
      <c r="C984" s="1822" t="s">
        <v>404</v>
      </c>
      <c r="D984" s="1822"/>
      <c r="E984" s="1822"/>
      <c r="F984" s="1822"/>
      <c r="G984" s="1822"/>
      <c r="H984" s="1822"/>
      <c r="I984" s="1822"/>
      <c r="J984" s="1822"/>
      <c r="K984" s="1822"/>
      <c r="L984" s="551">
        <v>11167.1</v>
      </c>
      <c r="M984" s="550"/>
      <c r="N984" s="549"/>
      <c r="V984" s="674"/>
      <c r="W984" s="675"/>
      <c r="AC984" s="675"/>
      <c r="AD984" s="675"/>
      <c r="AE984" s="675"/>
      <c r="AF984" s="537" t="s">
        <v>404</v>
      </c>
      <c r="AG984" s="675"/>
      <c r="AH984" s="680"/>
    </row>
    <row r="985" spans="1:34" s="536" customFormat="1" ht="12" x14ac:dyDescent="0.2">
      <c r="A985" s="548"/>
      <c r="B985" s="552"/>
      <c r="C985" s="1822" t="s">
        <v>405</v>
      </c>
      <c r="D985" s="1822"/>
      <c r="E985" s="1822"/>
      <c r="F985" s="1822"/>
      <c r="G985" s="1822"/>
      <c r="H985" s="1822"/>
      <c r="I985" s="1822"/>
      <c r="J985" s="1822"/>
      <c r="K985" s="1822"/>
      <c r="L985" s="551">
        <v>10324.790000000001</v>
      </c>
      <c r="M985" s="550"/>
      <c r="N985" s="549"/>
      <c r="V985" s="674"/>
      <c r="W985" s="675"/>
      <c r="AC985" s="675"/>
      <c r="AD985" s="675"/>
      <c r="AE985" s="675"/>
      <c r="AF985" s="537" t="s">
        <v>405</v>
      </c>
      <c r="AG985" s="675"/>
      <c r="AH985" s="680"/>
    </row>
    <row r="986" spans="1:34" s="536" customFormat="1" ht="12" x14ac:dyDescent="0.2">
      <c r="A986" s="548"/>
      <c r="B986" s="552"/>
      <c r="C986" s="1822" t="s">
        <v>406</v>
      </c>
      <c r="D986" s="1822"/>
      <c r="E986" s="1822"/>
      <c r="F986" s="1822"/>
      <c r="G986" s="1822"/>
      <c r="H986" s="1822"/>
      <c r="I986" s="1822"/>
      <c r="J986" s="1822"/>
      <c r="K986" s="1822"/>
      <c r="L986" s="551">
        <v>558.22</v>
      </c>
      <c r="M986" s="550"/>
      <c r="N986" s="549"/>
      <c r="V986" s="674"/>
      <c r="W986" s="675"/>
      <c r="AC986" s="675"/>
      <c r="AD986" s="675"/>
      <c r="AE986" s="675"/>
      <c r="AF986" s="537" t="s">
        <v>406</v>
      </c>
      <c r="AG986" s="675"/>
      <c r="AH986" s="680"/>
    </row>
    <row r="987" spans="1:34" s="536" customFormat="1" ht="12" x14ac:dyDescent="0.2">
      <c r="A987" s="548"/>
      <c r="B987" s="552"/>
      <c r="C987" s="1822" t="s">
        <v>480</v>
      </c>
      <c r="D987" s="1822"/>
      <c r="E987" s="1822"/>
      <c r="F987" s="1822"/>
      <c r="G987" s="1822"/>
      <c r="H987" s="1822"/>
      <c r="I987" s="1822"/>
      <c r="J987" s="1822"/>
      <c r="K987" s="1822"/>
      <c r="L987" s="551">
        <v>264150.68</v>
      </c>
      <c r="M987" s="550"/>
      <c r="N987" s="549"/>
      <c r="V987" s="674"/>
      <c r="W987" s="675"/>
      <c r="AC987" s="675"/>
      <c r="AD987" s="675"/>
      <c r="AE987" s="675"/>
      <c r="AF987" s="537" t="s">
        <v>480</v>
      </c>
      <c r="AG987" s="675"/>
      <c r="AH987" s="680"/>
    </row>
    <row r="988" spans="1:34" s="536" customFormat="1" ht="12" x14ac:dyDescent="0.2">
      <c r="A988" s="548"/>
      <c r="B988" s="552"/>
      <c r="C988" s="1822" t="s">
        <v>407</v>
      </c>
      <c r="D988" s="1822"/>
      <c r="E988" s="1822"/>
      <c r="F988" s="1822"/>
      <c r="G988" s="1822"/>
      <c r="H988" s="1822"/>
      <c r="I988" s="1822"/>
      <c r="J988" s="1822"/>
      <c r="K988" s="1822"/>
      <c r="L988" s="551">
        <v>310910.43</v>
      </c>
      <c r="M988" s="550"/>
      <c r="N988" s="549"/>
      <c r="V988" s="674"/>
      <c r="W988" s="675"/>
      <c r="AC988" s="675"/>
      <c r="AD988" s="675"/>
      <c r="AE988" s="675"/>
      <c r="AF988" s="537" t="s">
        <v>407</v>
      </c>
      <c r="AG988" s="675"/>
      <c r="AH988" s="680"/>
    </row>
    <row r="989" spans="1:34" s="536" customFormat="1" ht="12" x14ac:dyDescent="0.2">
      <c r="A989" s="548"/>
      <c r="B989" s="552"/>
      <c r="C989" s="1822" t="s">
        <v>204</v>
      </c>
      <c r="D989" s="1822"/>
      <c r="E989" s="1822"/>
      <c r="F989" s="1822"/>
      <c r="G989" s="1822"/>
      <c r="H989" s="1822"/>
      <c r="I989" s="1822"/>
      <c r="J989" s="1822"/>
      <c r="K989" s="1822"/>
      <c r="L989" s="551"/>
      <c r="M989" s="550"/>
      <c r="N989" s="549"/>
      <c r="V989" s="674"/>
      <c r="W989" s="675"/>
      <c r="AC989" s="675"/>
      <c r="AD989" s="675"/>
      <c r="AE989" s="675"/>
      <c r="AF989" s="537" t="s">
        <v>204</v>
      </c>
      <c r="AG989" s="675"/>
      <c r="AH989" s="680"/>
    </row>
    <row r="990" spans="1:34" s="536" customFormat="1" ht="12" x14ac:dyDescent="0.2">
      <c r="A990" s="548"/>
      <c r="B990" s="552"/>
      <c r="C990" s="1822" t="s">
        <v>546</v>
      </c>
      <c r="D990" s="1822"/>
      <c r="E990" s="1822"/>
      <c r="F990" s="1822"/>
      <c r="G990" s="1822"/>
      <c r="H990" s="1822"/>
      <c r="I990" s="1822"/>
      <c r="J990" s="1822"/>
      <c r="K990" s="1822"/>
      <c r="L990" s="551">
        <v>11167.1</v>
      </c>
      <c r="M990" s="550"/>
      <c r="N990" s="549"/>
      <c r="V990" s="674"/>
      <c r="W990" s="675"/>
      <c r="AC990" s="675"/>
      <c r="AD990" s="675"/>
      <c r="AE990" s="675"/>
      <c r="AF990" s="537" t="s">
        <v>546</v>
      </c>
      <c r="AG990" s="675"/>
      <c r="AH990" s="680"/>
    </row>
    <row r="991" spans="1:34" s="536" customFormat="1" ht="12" x14ac:dyDescent="0.2">
      <c r="A991" s="548"/>
      <c r="B991" s="552"/>
      <c r="C991" s="1822" t="s">
        <v>442</v>
      </c>
      <c r="D991" s="1822"/>
      <c r="E991" s="1822"/>
      <c r="F991" s="1822"/>
      <c r="G991" s="1822"/>
      <c r="H991" s="1822"/>
      <c r="I991" s="1822"/>
      <c r="J991" s="1822"/>
      <c r="K991" s="1822"/>
      <c r="L991" s="551">
        <v>10324.790000000001</v>
      </c>
      <c r="M991" s="550"/>
      <c r="N991" s="549"/>
      <c r="V991" s="674"/>
      <c r="W991" s="675"/>
      <c r="AC991" s="675"/>
      <c r="AD991" s="675"/>
      <c r="AE991" s="675"/>
      <c r="AF991" s="537" t="s">
        <v>442</v>
      </c>
      <c r="AG991" s="675"/>
      <c r="AH991" s="680"/>
    </row>
    <row r="992" spans="1:34" s="536" customFormat="1" ht="12" x14ac:dyDescent="0.2">
      <c r="A992" s="548"/>
      <c r="B992" s="552"/>
      <c r="C992" s="1822" t="s">
        <v>547</v>
      </c>
      <c r="D992" s="1822"/>
      <c r="E992" s="1822"/>
      <c r="F992" s="1822"/>
      <c r="G992" s="1822"/>
      <c r="H992" s="1822"/>
      <c r="I992" s="1822"/>
      <c r="J992" s="1822"/>
      <c r="K992" s="1822"/>
      <c r="L992" s="551">
        <v>264150.68</v>
      </c>
      <c r="M992" s="550"/>
      <c r="N992" s="549"/>
      <c r="V992" s="674"/>
      <c r="W992" s="675"/>
      <c r="AC992" s="675"/>
      <c r="AD992" s="675"/>
      <c r="AE992" s="675"/>
      <c r="AF992" s="537" t="s">
        <v>547</v>
      </c>
      <c r="AG992" s="675"/>
      <c r="AH992" s="680"/>
    </row>
    <row r="993" spans="1:34" s="536" customFormat="1" ht="12" x14ac:dyDescent="0.2">
      <c r="A993" s="548"/>
      <c r="B993" s="552"/>
      <c r="C993" s="1822" t="s">
        <v>443</v>
      </c>
      <c r="D993" s="1822"/>
      <c r="E993" s="1822"/>
      <c r="F993" s="1822"/>
      <c r="G993" s="1822"/>
      <c r="H993" s="1822"/>
      <c r="I993" s="1822"/>
      <c r="J993" s="1822"/>
      <c r="K993" s="1822"/>
      <c r="L993" s="551">
        <v>14503.38</v>
      </c>
      <c r="M993" s="550"/>
      <c r="N993" s="549"/>
      <c r="V993" s="674"/>
      <c r="W993" s="675"/>
      <c r="AC993" s="675"/>
      <c r="AD993" s="675"/>
      <c r="AE993" s="675"/>
      <c r="AF993" s="537" t="s">
        <v>443</v>
      </c>
      <c r="AG993" s="675"/>
      <c r="AH993" s="680"/>
    </row>
    <row r="994" spans="1:34" s="536" customFormat="1" ht="12" x14ac:dyDescent="0.2">
      <c r="A994" s="548"/>
      <c r="B994" s="552"/>
      <c r="C994" s="1822" t="s">
        <v>444</v>
      </c>
      <c r="D994" s="1822"/>
      <c r="E994" s="1822"/>
      <c r="F994" s="1822"/>
      <c r="G994" s="1822"/>
      <c r="H994" s="1822"/>
      <c r="I994" s="1822"/>
      <c r="J994" s="1822"/>
      <c r="K994" s="1822"/>
      <c r="L994" s="551">
        <v>10764.48</v>
      </c>
      <c r="M994" s="550"/>
      <c r="N994" s="549"/>
      <c r="V994" s="674"/>
      <c r="W994" s="675"/>
      <c r="AC994" s="675"/>
      <c r="AD994" s="675"/>
      <c r="AE994" s="675"/>
      <c r="AF994" s="537" t="s">
        <v>444</v>
      </c>
      <c r="AG994" s="675"/>
      <c r="AH994" s="680"/>
    </row>
    <row r="995" spans="1:34" s="536" customFormat="1" ht="12" x14ac:dyDescent="0.2">
      <c r="A995" s="548"/>
      <c r="B995" s="552"/>
      <c r="C995" s="1822" t="s">
        <v>415</v>
      </c>
      <c r="D995" s="1822"/>
      <c r="E995" s="1822"/>
      <c r="F995" s="1822"/>
      <c r="G995" s="1822"/>
      <c r="H995" s="1822"/>
      <c r="I995" s="1822"/>
      <c r="J995" s="1822"/>
      <c r="K995" s="1822"/>
      <c r="L995" s="551">
        <v>11725.32</v>
      </c>
      <c r="M995" s="550"/>
      <c r="N995" s="549"/>
      <c r="V995" s="674"/>
      <c r="W995" s="675"/>
      <c r="AC995" s="675"/>
      <c r="AD995" s="675"/>
      <c r="AE995" s="675"/>
      <c r="AF995" s="537" t="s">
        <v>415</v>
      </c>
      <c r="AG995" s="675"/>
      <c r="AH995" s="680"/>
    </row>
    <row r="996" spans="1:34" s="536" customFormat="1" ht="12" x14ac:dyDescent="0.2">
      <c r="A996" s="548"/>
      <c r="B996" s="552"/>
      <c r="C996" s="1822" t="s">
        <v>416</v>
      </c>
      <c r="D996" s="1822"/>
      <c r="E996" s="1822"/>
      <c r="F996" s="1822"/>
      <c r="G996" s="1822"/>
      <c r="H996" s="1822"/>
      <c r="I996" s="1822"/>
      <c r="J996" s="1822"/>
      <c r="K996" s="1822"/>
      <c r="L996" s="551">
        <v>14503.38</v>
      </c>
      <c r="M996" s="550"/>
      <c r="N996" s="549"/>
      <c r="V996" s="674"/>
      <c r="W996" s="675"/>
      <c r="AC996" s="675"/>
      <c r="AD996" s="675"/>
      <c r="AE996" s="675"/>
      <c r="AF996" s="537" t="s">
        <v>416</v>
      </c>
      <c r="AG996" s="675"/>
      <c r="AH996" s="680"/>
    </row>
    <row r="997" spans="1:34" s="536" customFormat="1" ht="12" x14ac:dyDescent="0.2">
      <c r="A997" s="548"/>
      <c r="B997" s="552"/>
      <c r="C997" s="1822" t="s">
        <v>417</v>
      </c>
      <c r="D997" s="1822"/>
      <c r="E997" s="1822"/>
      <c r="F997" s="1822"/>
      <c r="G997" s="1822"/>
      <c r="H997" s="1822"/>
      <c r="I997" s="1822"/>
      <c r="J997" s="1822"/>
      <c r="K997" s="1822"/>
      <c r="L997" s="551">
        <v>10764.48</v>
      </c>
      <c r="M997" s="550"/>
      <c r="N997" s="549"/>
      <c r="V997" s="674"/>
      <c r="W997" s="675"/>
      <c r="AC997" s="675"/>
      <c r="AD997" s="675"/>
      <c r="AE997" s="675"/>
      <c r="AF997" s="537" t="s">
        <v>417</v>
      </c>
      <c r="AG997" s="675"/>
      <c r="AH997" s="680"/>
    </row>
    <row r="998" spans="1:34" s="536" customFormat="1" ht="12" x14ac:dyDescent="0.2">
      <c r="A998" s="548"/>
      <c r="B998" s="546"/>
      <c r="C998" s="1819" t="s">
        <v>4234</v>
      </c>
      <c r="D998" s="1819"/>
      <c r="E998" s="1819"/>
      <c r="F998" s="1819"/>
      <c r="G998" s="1819"/>
      <c r="H998" s="1819"/>
      <c r="I998" s="1819"/>
      <c r="J998" s="1819"/>
      <c r="K998" s="1819"/>
      <c r="L998" s="544">
        <v>310910.43</v>
      </c>
      <c r="M998" s="543"/>
      <c r="N998" s="681"/>
      <c r="V998" s="674"/>
      <c r="W998" s="675"/>
      <c r="AC998" s="675"/>
      <c r="AD998" s="675"/>
      <c r="AE998" s="675"/>
      <c r="AG998" s="675" t="s">
        <v>4234</v>
      </c>
      <c r="AH998" s="680"/>
    </row>
    <row r="999" spans="1:34" s="536" customFormat="1" ht="12" x14ac:dyDescent="0.2">
      <c r="A999" s="1824" t="s">
        <v>4235</v>
      </c>
      <c r="B999" s="1825"/>
      <c r="C999" s="1825"/>
      <c r="D999" s="1825"/>
      <c r="E999" s="1825"/>
      <c r="F999" s="1825"/>
      <c r="G999" s="1825"/>
      <c r="H999" s="1825"/>
      <c r="I999" s="1825"/>
      <c r="J999" s="1825"/>
      <c r="K999" s="1825"/>
      <c r="L999" s="1825"/>
      <c r="M999" s="1825"/>
      <c r="N999" s="1826"/>
      <c r="V999" s="674" t="s">
        <v>4235</v>
      </c>
      <c r="W999" s="675"/>
      <c r="AC999" s="675"/>
      <c r="AD999" s="675"/>
      <c r="AE999" s="675"/>
      <c r="AG999" s="675"/>
      <c r="AH999" s="680"/>
    </row>
    <row r="1000" spans="1:34" s="536" customFormat="1" ht="22.5" x14ac:dyDescent="0.2">
      <c r="A1000" s="575" t="s">
        <v>2980</v>
      </c>
      <c r="B1000" s="670" t="s">
        <v>4236</v>
      </c>
      <c r="C1000" s="1823" t="s">
        <v>4237</v>
      </c>
      <c r="D1000" s="1823"/>
      <c r="E1000" s="1823"/>
      <c r="F1000" s="573" t="s">
        <v>307</v>
      </c>
      <c r="G1000" s="573"/>
      <c r="H1000" s="573"/>
      <c r="I1000" s="573" t="s">
        <v>4002</v>
      </c>
      <c r="J1000" s="572"/>
      <c r="K1000" s="573"/>
      <c r="L1000" s="572"/>
      <c r="M1000" s="571"/>
      <c r="N1000" s="570"/>
      <c r="V1000" s="674"/>
      <c r="W1000" s="675" t="s">
        <v>4237</v>
      </c>
      <c r="AC1000" s="675"/>
      <c r="AD1000" s="675"/>
      <c r="AE1000" s="675"/>
      <c r="AG1000" s="675"/>
      <c r="AH1000" s="680"/>
    </row>
    <row r="1001" spans="1:34" s="536" customFormat="1" ht="12" x14ac:dyDescent="0.2">
      <c r="A1001" s="676"/>
      <c r="B1001" s="664"/>
      <c r="C1001" s="1822" t="s">
        <v>6919</v>
      </c>
      <c r="D1001" s="1822"/>
      <c r="E1001" s="1822"/>
      <c r="F1001" s="1822"/>
      <c r="G1001" s="1822"/>
      <c r="H1001" s="1822"/>
      <c r="I1001" s="1822"/>
      <c r="J1001" s="1822"/>
      <c r="K1001" s="1822"/>
      <c r="L1001" s="1822"/>
      <c r="M1001" s="1822"/>
      <c r="N1001" s="1827"/>
      <c r="V1001" s="674"/>
      <c r="W1001" s="675"/>
      <c r="X1001" s="537" t="s">
        <v>6919</v>
      </c>
      <c r="AC1001" s="675"/>
      <c r="AD1001" s="675"/>
      <c r="AE1001" s="675"/>
      <c r="AG1001" s="675"/>
      <c r="AH1001" s="680"/>
    </row>
    <row r="1002" spans="1:34" s="536" customFormat="1" ht="33.75" x14ac:dyDescent="0.2">
      <c r="A1002" s="609"/>
      <c r="B1002" s="552" t="s">
        <v>310</v>
      </c>
      <c r="C1002" s="1822" t="s">
        <v>311</v>
      </c>
      <c r="D1002" s="1822"/>
      <c r="E1002" s="1822"/>
      <c r="F1002" s="1822"/>
      <c r="G1002" s="1822"/>
      <c r="H1002" s="1822"/>
      <c r="I1002" s="1822"/>
      <c r="J1002" s="1822"/>
      <c r="K1002" s="1822"/>
      <c r="L1002" s="1822"/>
      <c r="M1002" s="1822"/>
      <c r="N1002" s="1827"/>
      <c r="V1002" s="674"/>
      <c r="W1002" s="675"/>
      <c r="Y1002" s="537" t="s">
        <v>311</v>
      </c>
      <c r="AC1002" s="675"/>
      <c r="AD1002" s="675"/>
      <c r="AE1002" s="675"/>
      <c r="AG1002" s="675"/>
      <c r="AH1002" s="680"/>
    </row>
    <row r="1003" spans="1:34" s="536" customFormat="1" ht="12" x14ac:dyDescent="0.2">
      <c r="A1003" s="605"/>
      <c r="B1003" s="552" t="s">
        <v>185</v>
      </c>
      <c r="C1003" s="1822" t="s">
        <v>312</v>
      </c>
      <c r="D1003" s="1822"/>
      <c r="E1003" s="1822"/>
      <c r="F1003" s="562"/>
      <c r="G1003" s="562"/>
      <c r="H1003" s="562"/>
      <c r="I1003" s="562"/>
      <c r="J1003" s="604">
        <v>91.82</v>
      </c>
      <c r="K1003" s="562" t="s">
        <v>313</v>
      </c>
      <c r="L1003" s="604">
        <v>129.69999999999999</v>
      </c>
      <c r="M1003" s="603"/>
      <c r="N1003" s="602"/>
      <c r="V1003" s="674"/>
      <c r="W1003" s="675"/>
      <c r="Z1003" s="537" t="s">
        <v>312</v>
      </c>
      <c r="AC1003" s="675"/>
      <c r="AD1003" s="675"/>
      <c r="AE1003" s="675"/>
      <c r="AG1003" s="675"/>
      <c r="AH1003" s="680"/>
    </row>
    <row r="1004" spans="1:34" s="536" customFormat="1" ht="12" x14ac:dyDescent="0.2">
      <c r="A1004" s="605"/>
      <c r="B1004" s="552" t="s">
        <v>186</v>
      </c>
      <c r="C1004" s="1822" t="s">
        <v>344</v>
      </c>
      <c r="D1004" s="1822"/>
      <c r="E1004" s="1822"/>
      <c r="F1004" s="562"/>
      <c r="G1004" s="562"/>
      <c r="H1004" s="562"/>
      <c r="I1004" s="562"/>
      <c r="J1004" s="604">
        <v>111.29</v>
      </c>
      <c r="K1004" s="562" t="s">
        <v>313</v>
      </c>
      <c r="L1004" s="604">
        <v>157.19999999999999</v>
      </c>
      <c r="M1004" s="603"/>
      <c r="N1004" s="602"/>
      <c r="V1004" s="674"/>
      <c r="W1004" s="675"/>
      <c r="Z1004" s="537" t="s">
        <v>344</v>
      </c>
      <c r="AC1004" s="675"/>
      <c r="AD1004" s="675"/>
      <c r="AE1004" s="675"/>
      <c r="AG1004" s="675"/>
      <c r="AH1004" s="680"/>
    </row>
    <row r="1005" spans="1:34" s="536" customFormat="1" ht="12" x14ac:dyDescent="0.2">
      <c r="A1005" s="605"/>
      <c r="B1005" s="552" t="s">
        <v>187</v>
      </c>
      <c r="C1005" s="1822" t="s">
        <v>345</v>
      </c>
      <c r="D1005" s="1822"/>
      <c r="E1005" s="1822"/>
      <c r="F1005" s="562"/>
      <c r="G1005" s="562"/>
      <c r="H1005" s="562"/>
      <c r="I1005" s="562"/>
      <c r="J1005" s="604">
        <v>10.9</v>
      </c>
      <c r="K1005" s="562" t="s">
        <v>313</v>
      </c>
      <c r="L1005" s="604">
        <v>15.4</v>
      </c>
      <c r="M1005" s="603"/>
      <c r="N1005" s="602"/>
      <c r="V1005" s="674"/>
      <c r="W1005" s="675"/>
      <c r="Z1005" s="537" t="s">
        <v>345</v>
      </c>
      <c r="AC1005" s="675"/>
      <c r="AD1005" s="675"/>
      <c r="AE1005" s="675"/>
      <c r="AG1005" s="675"/>
      <c r="AH1005" s="680"/>
    </row>
    <row r="1006" spans="1:34" s="536" customFormat="1" ht="12" x14ac:dyDescent="0.2">
      <c r="A1006" s="605"/>
      <c r="B1006" s="552" t="s">
        <v>188</v>
      </c>
      <c r="C1006" s="1822" t="s">
        <v>475</v>
      </c>
      <c r="D1006" s="1822"/>
      <c r="E1006" s="1822"/>
      <c r="F1006" s="562"/>
      <c r="G1006" s="562"/>
      <c r="H1006" s="562"/>
      <c r="I1006" s="562"/>
      <c r="J1006" s="604">
        <v>4306</v>
      </c>
      <c r="K1006" s="562"/>
      <c r="L1006" s="604">
        <v>4865.78</v>
      </c>
      <c r="M1006" s="603"/>
      <c r="N1006" s="602"/>
      <c r="V1006" s="674"/>
      <c r="W1006" s="675"/>
      <c r="Z1006" s="537" t="s">
        <v>475</v>
      </c>
      <c r="AC1006" s="675"/>
      <c r="AD1006" s="675"/>
      <c r="AE1006" s="675"/>
      <c r="AG1006" s="675"/>
      <c r="AH1006" s="680"/>
    </row>
    <row r="1007" spans="1:34" s="536" customFormat="1" ht="12" x14ac:dyDescent="0.2">
      <c r="A1007" s="605"/>
      <c r="B1007" s="552"/>
      <c r="C1007" s="1822" t="s">
        <v>314</v>
      </c>
      <c r="D1007" s="1822"/>
      <c r="E1007" s="1822"/>
      <c r="F1007" s="562" t="s">
        <v>315</v>
      </c>
      <c r="G1007" s="562" t="s">
        <v>4238</v>
      </c>
      <c r="H1007" s="562" t="s">
        <v>313</v>
      </c>
      <c r="I1007" s="562" t="s">
        <v>6920</v>
      </c>
      <c r="J1007" s="604"/>
      <c r="K1007" s="562"/>
      <c r="L1007" s="604"/>
      <c r="M1007" s="603"/>
      <c r="N1007" s="602"/>
      <c r="V1007" s="674"/>
      <c r="W1007" s="675"/>
      <c r="AA1007" s="537" t="s">
        <v>314</v>
      </c>
      <c r="AC1007" s="675"/>
      <c r="AD1007" s="675"/>
      <c r="AE1007" s="675"/>
      <c r="AG1007" s="675"/>
      <c r="AH1007" s="680"/>
    </row>
    <row r="1008" spans="1:34" s="536" customFormat="1" ht="12" x14ac:dyDescent="0.2">
      <c r="A1008" s="605"/>
      <c r="B1008" s="552"/>
      <c r="C1008" s="1822" t="s">
        <v>348</v>
      </c>
      <c r="D1008" s="1822"/>
      <c r="E1008" s="1822"/>
      <c r="F1008" s="562" t="s">
        <v>315</v>
      </c>
      <c r="G1008" s="562" t="s">
        <v>4239</v>
      </c>
      <c r="H1008" s="562" t="s">
        <v>313</v>
      </c>
      <c r="I1008" s="562" t="s">
        <v>6921</v>
      </c>
      <c r="J1008" s="604"/>
      <c r="K1008" s="562"/>
      <c r="L1008" s="604"/>
      <c r="M1008" s="603"/>
      <c r="N1008" s="602"/>
      <c r="V1008" s="674"/>
      <c r="W1008" s="675"/>
      <c r="AA1008" s="537" t="s">
        <v>348</v>
      </c>
      <c r="AC1008" s="675"/>
      <c r="AD1008" s="675"/>
      <c r="AE1008" s="675"/>
      <c r="AG1008" s="675"/>
      <c r="AH1008" s="680"/>
    </row>
    <row r="1009" spans="1:34" s="536" customFormat="1" ht="12" x14ac:dyDescent="0.2">
      <c r="A1009" s="605"/>
      <c r="B1009" s="552"/>
      <c r="C1009" s="1828" t="s">
        <v>318</v>
      </c>
      <c r="D1009" s="1828"/>
      <c r="E1009" s="1828"/>
      <c r="F1009" s="608"/>
      <c r="G1009" s="608"/>
      <c r="H1009" s="608"/>
      <c r="I1009" s="608"/>
      <c r="J1009" s="607">
        <v>4509.1099999999997</v>
      </c>
      <c r="K1009" s="608"/>
      <c r="L1009" s="607">
        <v>5152.68</v>
      </c>
      <c r="M1009" s="601"/>
      <c r="N1009" s="606"/>
      <c r="V1009" s="674"/>
      <c r="W1009" s="675"/>
      <c r="AB1009" s="537" t="s">
        <v>318</v>
      </c>
      <c r="AC1009" s="675"/>
      <c r="AD1009" s="675"/>
      <c r="AE1009" s="675"/>
      <c r="AG1009" s="675"/>
      <c r="AH1009" s="680"/>
    </row>
    <row r="1010" spans="1:34" s="536" customFormat="1" ht="12" x14ac:dyDescent="0.2">
      <c r="A1010" s="605"/>
      <c r="B1010" s="552"/>
      <c r="C1010" s="1822" t="s">
        <v>319</v>
      </c>
      <c r="D1010" s="1822"/>
      <c r="E1010" s="1822"/>
      <c r="F1010" s="562"/>
      <c r="G1010" s="562"/>
      <c r="H1010" s="562"/>
      <c r="I1010" s="562"/>
      <c r="J1010" s="604"/>
      <c r="K1010" s="562"/>
      <c r="L1010" s="604">
        <v>145.1</v>
      </c>
      <c r="M1010" s="603"/>
      <c r="N1010" s="602"/>
      <c r="V1010" s="674"/>
      <c r="W1010" s="675"/>
      <c r="AA1010" s="537" t="s">
        <v>319</v>
      </c>
      <c r="AC1010" s="675"/>
      <c r="AD1010" s="675"/>
      <c r="AE1010" s="675"/>
      <c r="AG1010" s="675"/>
      <c r="AH1010" s="680"/>
    </row>
    <row r="1011" spans="1:34" s="536" customFormat="1" ht="33.75" x14ac:dyDescent="0.2">
      <c r="A1011" s="605"/>
      <c r="B1011" s="552" t="s">
        <v>554</v>
      </c>
      <c r="C1011" s="1822" t="s">
        <v>555</v>
      </c>
      <c r="D1011" s="1822"/>
      <c r="E1011" s="1822"/>
      <c r="F1011" s="562" t="s">
        <v>322</v>
      </c>
      <c r="G1011" s="562" t="s">
        <v>556</v>
      </c>
      <c r="H1011" s="562"/>
      <c r="I1011" s="562" t="s">
        <v>556</v>
      </c>
      <c r="J1011" s="604"/>
      <c r="K1011" s="562"/>
      <c r="L1011" s="604">
        <v>182.83</v>
      </c>
      <c r="M1011" s="603"/>
      <c r="N1011" s="602"/>
      <c r="V1011" s="674"/>
      <c r="W1011" s="675"/>
      <c r="AA1011" s="537" t="s">
        <v>555</v>
      </c>
      <c r="AC1011" s="675"/>
      <c r="AD1011" s="675"/>
      <c r="AE1011" s="675"/>
      <c r="AG1011" s="675"/>
      <c r="AH1011" s="680"/>
    </row>
    <row r="1012" spans="1:34" s="536" customFormat="1" ht="33.75" x14ac:dyDescent="0.2">
      <c r="A1012" s="605"/>
      <c r="B1012" s="552" t="s">
        <v>557</v>
      </c>
      <c r="C1012" s="1822" t="s">
        <v>558</v>
      </c>
      <c r="D1012" s="1822"/>
      <c r="E1012" s="1822"/>
      <c r="F1012" s="562" t="s">
        <v>322</v>
      </c>
      <c r="G1012" s="562" t="s">
        <v>559</v>
      </c>
      <c r="H1012" s="562"/>
      <c r="I1012" s="562" t="s">
        <v>559</v>
      </c>
      <c r="J1012" s="604"/>
      <c r="K1012" s="562"/>
      <c r="L1012" s="604">
        <v>137.85</v>
      </c>
      <c r="M1012" s="603"/>
      <c r="N1012" s="602"/>
      <c r="V1012" s="674"/>
      <c r="W1012" s="675"/>
      <c r="AA1012" s="537" t="s">
        <v>558</v>
      </c>
      <c r="AC1012" s="675"/>
      <c r="AD1012" s="675"/>
      <c r="AE1012" s="675"/>
      <c r="AG1012" s="675"/>
      <c r="AH1012" s="680"/>
    </row>
    <row r="1013" spans="1:34" s="536" customFormat="1" ht="12" x14ac:dyDescent="0.2">
      <c r="A1013" s="569"/>
      <c r="B1013" s="671"/>
      <c r="C1013" s="1823" t="s">
        <v>327</v>
      </c>
      <c r="D1013" s="1823"/>
      <c r="E1013" s="1823"/>
      <c r="F1013" s="573"/>
      <c r="G1013" s="573"/>
      <c r="H1013" s="573"/>
      <c r="I1013" s="573"/>
      <c r="J1013" s="572"/>
      <c r="K1013" s="573"/>
      <c r="L1013" s="572">
        <v>5473.36</v>
      </c>
      <c r="M1013" s="601"/>
      <c r="N1013" s="570"/>
      <c r="V1013" s="674"/>
      <c r="W1013" s="675"/>
      <c r="AC1013" s="675" t="s">
        <v>327</v>
      </c>
      <c r="AD1013" s="675"/>
      <c r="AE1013" s="675"/>
      <c r="AG1013" s="675"/>
      <c r="AH1013" s="680"/>
    </row>
    <row r="1014" spans="1:34" s="536" customFormat="1" ht="45" x14ac:dyDescent="0.2">
      <c r="A1014" s="575" t="s">
        <v>1633</v>
      </c>
      <c r="B1014" s="670" t="s">
        <v>4240</v>
      </c>
      <c r="C1014" s="1823" t="s">
        <v>4241</v>
      </c>
      <c r="D1014" s="1823"/>
      <c r="E1014" s="1823"/>
      <c r="F1014" s="573" t="s">
        <v>1110</v>
      </c>
      <c r="G1014" s="573"/>
      <c r="H1014" s="573"/>
      <c r="I1014" s="573" t="s">
        <v>4242</v>
      </c>
      <c r="J1014" s="572"/>
      <c r="K1014" s="573"/>
      <c r="L1014" s="572"/>
      <c r="M1014" s="571"/>
      <c r="N1014" s="570"/>
      <c r="V1014" s="674"/>
      <c r="W1014" s="675" t="s">
        <v>4241</v>
      </c>
      <c r="AC1014" s="675"/>
      <c r="AD1014" s="675"/>
      <c r="AE1014" s="675"/>
      <c r="AG1014" s="675"/>
      <c r="AH1014" s="680"/>
    </row>
    <row r="1015" spans="1:34" s="536" customFormat="1" ht="12" x14ac:dyDescent="0.2">
      <c r="A1015" s="676"/>
      <c r="B1015" s="664"/>
      <c r="C1015" s="1822" t="s">
        <v>4243</v>
      </c>
      <c r="D1015" s="1822"/>
      <c r="E1015" s="1822"/>
      <c r="F1015" s="1822"/>
      <c r="G1015" s="1822"/>
      <c r="H1015" s="1822"/>
      <c r="I1015" s="1822"/>
      <c r="J1015" s="1822"/>
      <c r="K1015" s="1822"/>
      <c r="L1015" s="1822"/>
      <c r="M1015" s="1822"/>
      <c r="N1015" s="1827"/>
      <c r="V1015" s="674"/>
      <c r="W1015" s="675"/>
      <c r="X1015" s="537" t="s">
        <v>4243</v>
      </c>
      <c r="AC1015" s="675"/>
      <c r="AD1015" s="675"/>
      <c r="AE1015" s="675"/>
      <c r="AG1015" s="675"/>
      <c r="AH1015" s="680"/>
    </row>
    <row r="1016" spans="1:34" s="536" customFormat="1" ht="33.75" x14ac:dyDescent="0.2">
      <c r="A1016" s="609"/>
      <c r="B1016" s="552" t="s">
        <v>310</v>
      </c>
      <c r="C1016" s="1822" t="s">
        <v>311</v>
      </c>
      <c r="D1016" s="1822"/>
      <c r="E1016" s="1822"/>
      <c r="F1016" s="1822"/>
      <c r="G1016" s="1822"/>
      <c r="H1016" s="1822"/>
      <c r="I1016" s="1822"/>
      <c r="J1016" s="1822"/>
      <c r="K1016" s="1822"/>
      <c r="L1016" s="1822"/>
      <c r="M1016" s="1822"/>
      <c r="N1016" s="1827"/>
      <c r="V1016" s="674"/>
      <c r="W1016" s="675"/>
      <c r="Y1016" s="537" t="s">
        <v>311</v>
      </c>
      <c r="AC1016" s="675"/>
      <c r="AD1016" s="675"/>
      <c r="AE1016" s="675"/>
      <c r="AG1016" s="675"/>
      <c r="AH1016" s="680"/>
    </row>
    <row r="1017" spans="1:34" s="536" customFormat="1" ht="12" x14ac:dyDescent="0.2">
      <c r="A1017" s="605"/>
      <c r="B1017" s="552" t="s">
        <v>185</v>
      </c>
      <c r="C1017" s="1822" t="s">
        <v>312</v>
      </c>
      <c r="D1017" s="1822"/>
      <c r="E1017" s="1822"/>
      <c r="F1017" s="562"/>
      <c r="G1017" s="562"/>
      <c r="H1017" s="562"/>
      <c r="I1017" s="562"/>
      <c r="J1017" s="604">
        <v>292.02999999999997</v>
      </c>
      <c r="K1017" s="562" t="s">
        <v>313</v>
      </c>
      <c r="L1017" s="604">
        <v>2292.44</v>
      </c>
      <c r="M1017" s="603"/>
      <c r="N1017" s="602"/>
      <c r="V1017" s="674"/>
      <c r="W1017" s="675"/>
      <c r="Z1017" s="537" t="s">
        <v>312</v>
      </c>
      <c r="AC1017" s="675"/>
      <c r="AD1017" s="675"/>
      <c r="AE1017" s="675"/>
      <c r="AG1017" s="675"/>
      <c r="AH1017" s="680"/>
    </row>
    <row r="1018" spans="1:34" s="536" customFormat="1" ht="12" x14ac:dyDescent="0.2">
      <c r="A1018" s="605"/>
      <c r="B1018" s="552" t="s">
        <v>186</v>
      </c>
      <c r="C1018" s="1822" t="s">
        <v>344</v>
      </c>
      <c r="D1018" s="1822"/>
      <c r="E1018" s="1822"/>
      <c r="F1018" s="562"/>
      <c r="G1018" s="562"/>
      <c r="H1018" s="562"/>
      <c r="I1018" s="562"/>
      <c r="J1018" s="604">
        <v>561.11</v>
      </c>
      <c r="K1018" s="562" t="s">
        <v>313</v>
      </c>
      <c r="L1018" s="604">
        <v>4404.71</v>
      </c>
      <c r="M1018" s="603"/>
      <c r="N1018" s="602"/>
      <c r="V1018" s="674"/>
      <c r="W1018" s="675"/>
      <c r="Z1018" s="537" t="s">
        <v>344</v>
      </c>
      <c r="AC1018" s="675"/>
      <c r="AD1018" s="675"/>
      <c r="AE1018" s="675"/>
      <c r="AG1018" s="675"/>
      <c r="AH1018" s="680"/>
    </row>
    <row r="1019" spans="1:34" s="536" customFormat="1" ht="12" x14ac:dyDescent="0.2">
      <c r="A1019" s="605"/>
      <c r="B1019" s="552" t="s">
        <v>187</v>
      </c>
      <c r="C1019" s="1822" t="s">
        <v>345</v>
      </c>
      <c r="D1019" s="1822"/>
      <c r="E1019" s="1822"/>
      <c r="F1019" s="562"/>
      <c r="G1019" s="562"/>
      <c r="H1019" s="562"/>
      <c r="I1019" s="562"/>
      <c r="J1019" s="604">
        <v>16.36</v>
      </c>
      <c r="K1019" s="562" t="s">
        <v>313</v>
      </c>
      <c r="L1019" s="604">
        <v>128.43</v>
      </c>
      <c r="M1019" s="603"/>
      <c r="N1019" s="602"/>
      <c r="V1019" s="674"/>
      <c r="W1019" s="675"/>
      <c r="Z1019" s="537" t="s">
        <v>345</v>
      </c>
      <c r="AC1019" s="675"/>
      <c r="AD1019" s="675"/>
      <c r="AE1019" s="675"/>
      <c r="AG1019" s="675"/>
      <c r="AH1019" s="680"/>
    </row>
    <row r="1020" spans="1:34" s="536" customFormat="1" ht="12" x14ac:dyDescent="0.2">
      <c r="A1020" s="676"/>
      <c r="B1020" s="677" t="s">
        <v>4244</v>
      </c>
      <c r="C1020" s="1829" t="s">
        <v>4245</v>
      </c>
      <c r="D1020" s="1829"/>
      <c r="E1020" s="1829"/>
      <c r="F1020" s="678" t="s">
        <v>694</v>
      </c>
      <c r="G1020" s="678" t="s">
        <v>4246</v>
      </c>
      <c r="H1020" s="678"/>
      <c r="I1020" s="678" t="s">
        <v>4247</v>
      </c>
      <c r="J1020" s="552"/>
      <c r="K1020" s="562"/>
      <c r="L1020" s="604"/>
      <c r="M1020" s="562"/>
      <c r="N1020" s="679"/>
      <c r="V1020" s="674"/>
      <c r="W1020" s="675"/>
      <c r="AC1020" s="675"/>
      <c r="AD1020" s="675"/>
      <c r="AE1020" s="675"/>
      <c r="AG1020" s="675"/>
      <c r="AH1020" s="680" t="s">
        <v>4245</v>
      </c>
    </row>
    <row r="1021" spans="1:34" s="536" customFormat="1" ht="12" x14ac:dyDescent="0.2">
      <c r="A1021" s="605"/>
      <c r="B1021" s="552"/>
      <c r="C1021" s="1822" t="s">
        <v>314</v>
      </c>
      <c r="D1021" s="1822"/>
      <c r="E1021" s="1822"/>
      <c r="F1021" s="562" t="s">
        <v>315</v>
      </c>
      <c r="G1021" s="562" t="s">
        <v>4248</v>
      </c>
      <c r="H1021" s="562" t="s">
        <v>313</v>
      </c>
      <c r="I1021" s="562" t="s">
        <v>4249</v>
      </c>
      <c r="J1021" s="604"/>
      <c r="K1021" s="562"/>
      <c r="L1021" s="604"/>
      <c r="M1021" s="603"/>
      <c r="N1021" s="602"/>
      <c r="V1021" s="674"/>
      <c r="W1021" s="675"/>
      <c r="AA1021" s="537" t="s">
        <v>314</v>
      </c>
      <c r="AC1021" s="675"/>
      <c r="AD1021" s="675"/>
      <c r="AE1021" s="675"/>
      <c r="AG1021" s="675"/>
      <c r="AH1021" s="680"/>
    </row>
    <row r="1022" spans="1:34" s="536" customFormat="1" ht="12" x14ac:dyDescent="0.2">
      <c r="A1022" s="605"/>
      <c r="B1022" s="552"/>
      <c r="C1022" s="1822" t="s">
        <v>348</v>
      </c>
      <c r="D1022" s="1822"/>
      <c r="E1022" s="1822"/>
      <c r="F1022" s="562" t="s">
        <v>315</v>
      </c>
      <c r="G1022" s="562" t="s">
        <v>4250</v>
      </c>
      <c r="H1022" s="562" t="s">
        <v>313</v>
      </c>
      <c r="I1022" s="562" t="s">
        <v>4251</v>
      </c>
      <c r="J1022" s="604"/>
      <c r="K1022" s="562"/>
      <c r="L1022" s="604"/>
      <c r="M1022" s="603"/>
      <c r="N1022" s="602"/>
      <c r="V1022" s="674"/>
      <c r="W1022" s="675"/>
      <c r="AA1022" s="537" t="s">
        <v>348</v>
      </c>
      <c r="AC1022" s="675"/>
      <c r="AD1022" s="675"/>
      <c r="AE1022" s="675"/>
      <c r="AG1022" s="675"/>
      <c r="AH1022" s="680"/>
    </row>
    <row r="1023" spans="1:34" s="536" customFormat="1" ht="12" x14ac:dyDescent="0.2">
      <c r="A1023" s="605"/>
      <c r="B1023" s="552"/>
      <c r="C1023" s="1828" t="s">
        <v>318</v>
      </c>
      <c r="D1023" s="1828"/>
      <c r="E1023" s="1828"/>
      <c r="F1023" s="608"/>
      <c r="G1023" s="608"/>
      <c r="H1023" s="608"/>
      <c r="I1023" s="608"/>
      <c r="J1023" s="607">
        <v>853.14</v>
      </c>
      <c r="K1023" s="608"/>
      <c r="L1023" s="607">
        <v>6697.15</v>
      </c>
      <c r="M1023" s="601"/>
      <c r="N1023" s="606"/>
      <c r="V1023" s="674"/>
      <c r="W1023" s="675"/>
      <c r="AB1023" s="537" t="s">
        <v>318</v>
      </c>
      <c r="AC1023" s="675"/>
      <c r="AD1023" s="675"/>
      <c r="AE1023" s="675"/>
      <c r="AG1023" s="675"/>
      <c r="AH1023" s="680"/>
    </row>
    <row r="1024" spans="1:34" s="536" customFormat="1" ht="12" x14ac:dyDescent="0.2">
      <c r="A1024" s="605"/>
      <c r="B1024" s="552"/>
      <c r="C1024" s="1822" t="s">
        <v>319</v>
      </c>
      <c r="D1024" s="1822"/>
      <c r="E1024" s="1822"/>
      <c r="F1024" s="562"/>
      <c r="G1024" s="562"/>
      <c r="H1024" s="562"/>
      <c r="I1024" s="562"/>
      <c r="J1024" s="604"/>
      <c r="K1024" s="562"/>
      <c r="L1024" s="604">
        <v>2420.87</v>
      </c>
      <c r="M1024" s="603"/>
      <c r="N1024" s="602"/>
      <c r="V1024" s="674"/>
      <c r="W1024" s="675"/>
      <c r="AA1024" s="537" t="s">
        <v>319</v>
      </c>
      <c r="AC1024" s="675"/>
      <c r="AD1024" s="675"/>
      <c r="AE1024" s="675"/>
      <c r="AG1024" s="675"/>
      <c r="AH1024" s="680"/>
    </row>
    <row r="1025" spans="1:34" s="536" customFormat="1" ht="33.75" x14ac:dyDescent="0.2">
      <c r="A1025" s="605"/>
      <c r="B1025" s="552" t="s">
        <v>554</v>
      </c>
      <c r="C1025" s="1822" t="s">
        <v>555</v>
      </c>
      <c r="D1025" s="1822"/>
      <c r="E1025" s="1822"/>
      <c r="F1025" s="562" t="s">
        <v>322</v>
      </c>
      <c r="G1025" s="562" t="s">
        <v>556</v>
      </c>
      <c r="H1025" s="562"/>
      <c r="I1025" s="562" t="s">
        <v>556</v>
      </c>
      <c r="J1025" s="604"/>
      <c r="K1025" s="562"/>
      <c r="L1025" s="604">
        <v>3050.3</v>
      </c>
      <c r="M1025" s="603"/>
      <c r="N1025" s="602"/>
      <c r="V1025" s="674"/>
      <c r="W1025" s="675"/>
      <c r="AA1025" s="537" t="s">
        <v>555</v>
      </c>
      <c r="AC1025" s="675"/>
      <c r="AD1025" s="675"/>
      <c r="AE1025" s="675"/>
      <c r="AG1025" s="675"/>
      <c r="AH1025" s="680"/>
    </row>
    <row r="1026" spans="1:34" s="536" customFormat="1" ht="33.75" x14ac:dyDescent="0.2">
      <c r="A1026" s="605"/>
      <c r="B1026" s="552" t="s">
        <v>557</v>
      </c>
      <c r="C1026" s="1822" t="s">
        <v>558</v>
      </c>
      <c r="D1026" s="1822"/>
      <c r="E1026" s="1822"/>
      <c r="F1026" s="562" t="s">
        <v>322</v>
      </c>
      <c r="G1026" s="562" t="s">
        <v>559</v>
      </c>
      <c r="H1026" s="562"/>
      <c r="I1026" s="562" t="s">
        <v>559</v>
      </c>
      <c r="J1026" s="604"/>
      <c r="K1026" s="562"/>
      <c r="L1026" s="604">
        <v>2299.83</v>
      </c>
      <c r="M1026" s="603"/>
      <c r="N1026" s="602"/>
      <c r="V1026" s="674"/>
      <c r="W1026" s="675"/>
      <c r="AA1026" s="537" t="s">
        <v>558</v>
      </c>
      <c r="AC1026" s="675"/>
      <c r="AD1026" s="675"/>
      <c r="AE1026" s="675"/>
      <c r="AG1026" s="675"/>
      <c r="AH1026" s="680"/>
    </row>
    <row r="1027" spans="1:34" s="536" customFormat="1" ht="12" x14ac:dyDescent="0.2">
      <c r="A1027" s="569"/>
      <c r="B1027" s="671"/>
      <c r="C1027" s="1823" t="s">
        <v>327</v>
      </c>
      <c r="D1027" s="1823"/>
      <c r="E1027" s="1823"/>
      <c r="F1027" s="573"/>
      <c r="G1027" s="573"/>
      <c r="H1027" s="573"/>
      <c r="I1027" s="573"/>
      <c r="J1027" s="572"/>
      <c r="K1027" s="573"/>
      <c r="L1027" s="572">
        <v>12047.28</v>
      </c>
      <c r="M1027" s="601"/>
      <c r="N1027" s="570"/>
      <c r="V1027" s="674"/>
      <c r="W1027" s="675"/>
      <c r="AC1027" s="675" t="s">
        <v>327</v>
      </c>
      <c r="AD1027" s="675"/>
      <c r="AE1027" s="675"/>
      <c r="AG1027" s="675"/>
      <c r="AH1027" s="680"/>
    </row>
    <row r="1028" spans="1:34" s="536" customFormat="1" ht="33.75" x14ac:dyDescent="0.2">
      <c r="A1028" s="575" t="s">
        <v>743</v>
      </c>
      <c r="B1028" s="670" t="s">
        <v>4252</v>
      </c>
      <c r="C1028" s="1823" t="s">
        <v>4253</v>
      </c>
      <c r="D1028" s="1823"/>
      <c r="E1028" s="1823"/>
      <c r="F1028" s="573" t="s">
        <v>1687</v>
      </c>
      <c r="G1028" s="573"/>
      <c r="H1028" s="573"/>
      <c r="I1028" s="573" t="s">
        <v>4254</v>
      </c>
      <c r="J1028" s="572">
        <v>380046.06</v>
      </c>
      <c r="K1028" s="573"/>
      <c r="L1028" s="572">
        <v>238668.93</v>
      </c>
      <c r="M1028" s="571"/>
      <c r="N1028" s="570"/>
      <c r="V1028" s="674"/>
      <c r="W1028" s="675" t="s">
        <v>4253</v>
      </c>
      <c r="AC1028" s="675"/>
      <c r="AD1028" s="675"/>
      <c r="AE1028" s="675"/>
      <c r="AG1028" s="675"/>
      <c r="AH1028" s="680"/>
    </row>
    <row r="1029" spans="1:34" s="536" customFormat="1" ht="12" x14ac:dyDescent="0.2">
      <c r="A1029" s="569"/>
      <c r="B1029" s="671"/>
      <c r="C1029" s="665" t="s">
        <v>717</v>
      </c>
      <c r="D1029" s="666"/>
      <c r="E1029" s="666"/>
      <c r="F1029" s="563"/>
      <c r="G1029" s="563"/>
      <c r="H1029" s="563"/>
      <c r="I1029" s="563"/>
      <c r="J1029" s="566"/>
      <c r="K1029" s="563"/>
      <c r="L1029" s="566"/>
      <c r="M1029" s="565"/>
      <c r="N1029" s="564"/>
      <c r="V1029" s="674"/>
      <c r="W1029" s="675"/>
      <c r="AC1029" s="675"/>
      <c r="AD1029" s="675"/>
      <c r="AE1029" s="675"/>
      <c r="AG1029" s="675"/>
      <c r="AH1029" s="680"/>
    </row>
    <row r="1030" spans="1:34" s="536" customFormat="1" ht="12" x14ac:dyDescent="0.2">
      <c r="A1030" s="676"/>
      <c r="B1030" s="664"/>
      <c r="C1030" s="1822" t="s">
        <v>4255</v>
      </c>
      <c r="D1030" s="1822"/>
      <c r="E1030" s="1822"/>
      <c r="F1030" s="1822"/>
      <c r="G1030" s="1822"/>
      <c r="H1030" s="1822"/>
      <c r="I1030" s="1822"/>
      <c r="J1030" s="1822"/>
      <c r="K1030" s="1822"/>
      <c r="L1030" s="1822"/>
      <c r="M1030" s="1822"/>
      <c r="N1030" s="1827"/>
      <c r="V1030" s="674"/>
      <c r="W1030" s="675"/>
      <c r="X1030" s="537" t="s">
        <v>4255</v>
      </c>
      <c r="AC1030" s="675"/>
      <c r="AD1030" s="675"/>
      <c r="AE1030" s="675"/>
      <c r="AG1030" s="675"/>
      <c r="AH1030" s="680"/>
    </row>
    <row r="1031" spans="1:34" s="536" customFormat="1" ht="45" x14ac:dyDescent="0.2">
      <c r="A1031" s="575" t="s">
        <v>2984</v>
      </c>
      <c r="B1031" s="670" t="s">
        <v>4256</v>
      </c>
      <c r="C1031" s="1823" t="s">
        <v>4257</v>
      </c>
      <c r="D1031" s="1823"/>
      <c r="E1031" s="1823"/>
      <c r="F1031" s="573" t="s">
        <v>4258</v>
      </c>
      <c r="G1031" s="573"/>
      <c r="H1031" s="573"/>
      <c r="I1031" s="573" t="s">
        <v>6922</v>
      </c>
      <c r="J1031" s="572"/>
      <c r="K1031" s="573"/>
      <c r="L1031" s="572"/>
      <c r="M1031" s="571"/>
      <c r="N1031" s="570"/>
      <c r="V1031" s="674"/>
      <c r="W1031" s="675" t="s">
        <v>4257</v>
      </c>
      <c r="AC1031" s="675"/>
      <c r="AD1031" s="675"/>
      <c r="AE1031" s="675"/>
      <c r="AG1031" s="675"/>
      <c r="AH1031" s="680"/>
    </row>
    <row r="1032" spans="1:34" s="536" customFormat="1" ht="12" x14ac:dyDescent="0.2">
      <c r="A1032" s="676"/>
      <c r="B1032" s="664"/>
      <c r="C1032" s="1822" t="s">
        <v>6923</v>
      </c>
      <c r="D1032" s="1822"/>
      <c r="E1032" s="1822"/>
      <c r="F1032" s="1822"/>
      <c r="G1032" s="1822"/>
      <c r="H1032" s="1822"/>
      <c r="I1032" s="1822"/>
      <c r="J1032" s="1822"/>
      <c r="K1032" s="1822"/>
      <c r="L1032" s="1822"/>
      <c r="M1032" s="1822"/>
      <c r="N1032" s="1827"/>
      <c r="V1032" s="674"/>
      <c r="W1032" s="675"/>
      <c r="X1032" s="537" t="s">
        <v>6923</v>
      </c>
      <c r="AC1032" s="675"/>
      <c r="AD1032" s="675"/>
      <c r="AE1032" s="675"/>
      <c r="AG1032" s="675"/>
      <c r="AH1032" s="680"/>
    </row>
    <row r="1033" spans="1:34" s="536" customFormat="1" ht="33.75" x14ac:dyDescent="0.2">
      <c r="A1033" s="609"/>
      <c r="B1033" s="552" t="s">
        <v>310</v>
      </c>
      <c r="C1033" s="1822" t="s">
        <v>311</v>
      </c>
      <c r="D1033" s="1822"/>
      <c r="E1033" s="1822"/>
      <c r="F1033" s="1822"/>
      <c r="G1033" s="1822"/>
      <c r="H1033" s="1822"/>
      <c r="I1033" s="1822"/>
      <c r="J1033" s="1822"/>
      <c r="K1033" s="1822"/>
      <c r="L1033" s="1822"/>
      <c r="M1033" s="1822"/>
      <c r="N1033" s="1827"/>
      <c r="V1033" s="674"/>
      <c r="W1033" s="675"/>
      <c r="Y1033" s="537" t="s">
        <v>311</v>
      </c>
      <c r="AC1033" s="675"/>
      <c r="AD1033" s="675"/>
      <c r="AE1033" s="675"/>
      <c r="AG1033" s="675"/>
      <c r="AH1033" s="680"/>
    </row>
    <row r="1034" spans="1:34" s="536" customFormat="1" ht="12" x14ac:dyDescent="0.2">
      <c r="A1034" s="605"/>
      <c r="B1034" s="552" t="s">
        <v>185</v>
      </c>
      <c r="C1034" s="1822" t="s">
        <v>312</v>
      </c>
      <c r="D1034" s="1822"/>
      <c r="E1034" s="1822"/>
      <c r="F1034" s="562"/>
      <c r="G1034" s="562"/>
      <c r="H1034" s="562"/>
      <c r="I1034" s="562"/>
      <c r="J1034" s="604">
        <v>3446.35</v>
      </c>
      <c r="K1034" s="562" t="s">
        <v>313</v>
      </c>
      <c r="L1034" s="604">
        <v>1359.15</v>
      </c>
      <c r="M1034" s="603"/>
      <c r="N1034" s="602"/>
      <c r="V1034" s="674"/>
      <c r="W1034" s="675"/>
      <c r="Z1034" s="537" t="s">
        <v>312</v>
      </c>
      <c r="AC1034" s="675"/>
      <c r="AD1034" s="675"/>
      <c r="AE1034" s="675"/>
      <c r="AG1034" s="675"/>
      <c r="AH1034" s="680"/>
    </row>
    <row r="1035" spans="1:34" s="536" customFormat="1" ht="12" x14ac:dyDescent="0.2">
      <c r="A1035" s="605"/>
      <c r="B1035" s="552" t="s">
        <v>186</v>
      </c>
      <c r="C1035" s="1822" t="s">
        <v>344</v>
      </c>
      <c r="D1035" s="1822"/>
      <c r="E1035" s="1822"/>
      <c r="F1035" s="562"/>
      <c r="G1035" s="562"/>
      <c r="H1035" s="562"/>
      <c r="I1035" s="562"/>
      <c r="J1035" s="604">
        <v>5099.18</v>
      </c>
      <c r="K1035" s="562" t="s">
        <v>313</v>
      </c>
      <c r="L1035" s="604">
        <v>2010.99</v>
      </c>
      <c r="M1035" s="603"/>
      <c r="N1035" s="602"/>
      <c r="V1035" s="674"/>
      <c r="W1035" s="675"/>
      <c r="Z1035" s="537" t="s">
        <v>344</v>
      </c>
      <c r="AC1035" s="675"/>
      <c r="AD1035" s="675"/>
      <c r="AE1035" s="675"/>
      <c r="AG1035" s="675"/>
      <c r="AH1035" s="680"/>
    </row>
    <row r="1036" spans="1:34" s="536" customFormat="1" ht="12" x14ac:dyDescent="0.2">
      <c r="A1036" s="605"/>
      <c r="B1036" s="552" t="s">
        <v>187</v>
      </c>
      <c r="C1036" s="1822" t="s">
        <v>345</v>
      </c>
      <c r="D1036" s="1822"/>
      <c r="E1036" s="1822"/>
      <c r="F1036" s="562"/>
      <c r="G1036" s="562"/>
      <c r="H1036" s="562"/>
      <c r="I1036" s="562"/>
      <c r="J1036" s="604">
        <v>557.65</v>
      </c>
      <c r="K1036" s="562" t="s">
        <v>313</v>
      </c>
      <c r="L1036" s="604">
        <v>219.92</v>
      </c>
      <c r="M1036" s="603"/>
      <c r="N1036" s="602"/>
      <c r="V1036" s="674"/>
      <c r="W1036" s="675"/>
      <c r="Z1036" s="537" t="s">
        <v>345</v>
      </c>
      <c r="AC1036" s="675"/>
      <c r="AD1036" s="675"/>
      <c r="AE1036" s="675"/>
      <c r="AG1036" s="675"/>
      <c r="AH1036" s="680"/>
    </row>
    <row r="1037" spans="1:34" s="536" customFormat="1" ht="12" x14ac:dyDescent="0.2">
      <c r="A1037" s="605"/>
      <c r="B1037" s="552" t="s">
        <v>188</v>
      </c>
      <c r="C1037" s="1822" t="s">
        <v>475</v>
      </c>
      <c r="D1037" s="1822"/>
      <c r="E1037" s="1822"/>
      <c r="F1037" s="562"/>
      <c r="G1037" s="562"/>
      <c r="H1037" s="562"/>
      <c r="I1037" s="562"/>
      <c r="J1037" s="604">
        <v>4988.99</v>
      </c>
      <c r="K1037" s="562"/>
      <c r="L1037" s="604">
        <v>1272.1400000000001</v>
      </c>
      <c r="M1037" s="603"/>
      <c r="N1037" s="602"/>
      <c r="V1037" s="674"/>
      <c r="W1037" s="675"/>
      <c r="Z1037" s="537" t="s">
        <v>475</v>
      </c>
      <c r="AC1037" s="675"/>
      <c r="AD1037" s="675"/>
      <c r="AE1037" s="675"/>
      <c r="AG1037" s="675"/>
      <c r="AH1037" s="680"/>
    </row>
    <row r="1038" spans="1:34" s="536" customFormat="1" ht="12" x14ac:dyDescent="0.2">
      <c r="A1038" s="676"/>
      <c r="B1038" s="677" t="s">
        <v>4259</v>
      </c>
      <c r="C1038" s="1829" t="s">
        <v>4260</v>
      </c>
      <c r="D1038" s="1829"/>
      <c r="E1038" s="1829"/>
      <c r="F1038" s="678" t="s">
        <v>617</v>
      </c>
      <c r="G1038" s="678" t="s">
        <v>525</v>
      </c>
      <c r="H1038" s="678"/>
      <c r="I1038" s="678" t="s">
        <v>525</v>
      </c>
      <c r="J1038" s="552"/>
      <c r="K1038" s="562"/>
      <c r="L1038" s="604"/>
      <c r="M1038" s="562"/>
      <c r="N1038" s="679"/>
      <c r="V1038" s="674"/>
      <c r="W1038" s="675"/>
      <c r="AC1038" s="675"/>
      <c r="AD1038" s="675"/>
      <c r="AE1038" s="675"/>
      <c r="AG1038" s="675"/>
      <c r="AH1038" s="680" t="s">
        <v>4260</v>
      </c>
    </row>
    <row r="1039" spans="1:34" s="536" customFormat="1" ht="12" x14ac:dyDescent="0.2">
      <c r="A1039" s="676"/>
      <c r="B1039" s="677" t="s">
        <v>4261</v>
      </c>
      <c r="C1039" s="1829" t="s">
        <v>4262</v>
      </c>
      <c r="D1039" s="1829"/>
      <c r="E1039" s="1829"/>
      <c r="F1039" s="678" t="s">
        <v>694</v>
      </c>
      <c r="G1039" s="678" t="s">
        <v>185</v>
      </c>
      <c r="H1039" s="678"/>
      <c r="I1039" s="678" t="s">
        <v>6922</v>
      </c>
      <c r="J1039" s="552"/>
      <c r="K1039" s="562"/>
      <c r="L1039" s="604"/>
      <c r="M1039" s="562"/>
      <c r="N1039" s="679"/>
      <c r="V1039" s="674"/>
      <c r="W1039" s="675"/>
      <c r="AC1039" s="675"/>
      <c r="AD1039" s="675"/>
      <c r="AE1039" s="675"/>
      <c r="AG1039" s="675"/>
      <c r="AH1039" s="680" t="s">
        <v>4262</v>
      </c>
    </row>
    <row r="1040" spans="1:34" s="536" customFormat="1" ht="12" x14ac:dyDescent="0.2">
      <c r="A1040" s="676"/>
      <c r="B1040" s="677" t="s">
        <v>4263</v>
      </c>
      <c r="C1040" s="1829" t="s">
        <v>4264</v>
      </c>
      <c r="D1040" s="1829"/>
      <c r="E1040" s="1829"/>
      <c r="F1040" s="678" t="s">
        <v>641</v>
      </c>
      <c r="G1040" s="678" t="s">
        <v>525</v>
      </c>
      <c r="H1040" s="678"/>
      <c r="I1040" s="678" t="s">
        <v>525</v>
      </c>
      <c r="J1040" s="552"/>
      <c r="K1040" s="562"/>
      <c r="L1040" s="604"/>
      <c r="M1040" s="562"/>
      <c r="N1040" s="679"/>
      <c r="V1040" s="674"/>
      <c r="W1040" s="675"/>
      <c r="AC1040" s="675"/>
      <c r="AD1040" s="675"/>
      <c r="AE1040" s="675"/>
      <c r="AG1040" s="675"/>
      <c r="AH1040" s="680" t="s">
        <v>4264</v>
      </c>
    </row>
    <row r="1041" spans="1:34" s="536" customFormat="1" ht="22.5" x14ac:dyDescent="0.2">
      <c r="A1041" s="605"/>
      <c r="B1041" s="552"/>
      <c r="C1041" s="1822" t="s">
        <v>314</v>
      </c>
      <c r="D1041" s="1822"/>
      <c r="E1041" s="1822"/>
      <c r="F1041" s="562" t="s">
        <v>315</v>
      </c>
      <c r="G1041" s="562" t="s">
        <v>4265</v>
      </c>
      <c r="H1041" s="562" t="s">
        <v>313</v>
      </c>
      <c r="I1041" s="562" t="s">
        <v>6924</v>
      </c>
      <c r="J1041" s="604"/>
      <c r="K1041" s="562"/>
      <c r="L1041" s="604"/>
      <c r="M1041" s="603"/>
      <c r="N1041" s="602"/>
      <c r="V1041" s="674"/>
      <c r="W1041" s="675"/>
      <c r="AA1041" s="537" t="s">
        <v>314</v>
      </c>
      <c r="AC1041" s="675"/>
      <c r="AD1041" s="675"/>
      <c r="AE1041" s="675"/>
      <c r="AG1041" s="675"/>
      <c r="AH1041" s="680"/>
    </row>
    <row r="1042" spans="1:34" s="536" customFormat="1" ht="22.5" x14ac:dyDescent="0.2">
      <c r="A1042" s="605"/>
      <c r="B1042" s="552"/>
      <c r="C1042" s="1822" t="s">
        <v>348</v>
      </c>
      <c r="D1042" s="1822"/>
      <c r="E1042" s="1822"/>
      <c r="F1042" s="562" t="s">
        <v>315</v>
      </c>
      <c r="G1042" s="562" t="s">
        <v>4266</v>
      </c>
      <c r="H1042" s="562" t="s">
        <v>313</v>
      </c>
      <c r="I1042" s="562" t="s">
        <v>6925</v>
      </c>
      <c r="J1042" s="604"/>
      <c r="K1042" s="562"/>
      <c r="L1042" s="604"/>
      <c r="M1042" s="603"/>
      <c r="N1042" s="602"/>
      <c r="V1042" s="674"/>
      <c r="W1042" s="675"/>
      <c r="AA1042" s="537" t="s">
        <v>348</v>
      </c>
      <c r="AC1042" s="675"/>
      <c r="AD1042" s="675"/>
      <c r="AE1042" s="675"/>
      <c r="AG1042" s="675"/>
      <c r="AH1042" s="680"/>
    </row>
    <row r="1043" spans="1:34" s="536" customFormat="1" ht="12" x14ac:dyDescent="0.2">
      <c r="A1043" s="605"/>
      <c r="B1043" s="552"/>
      <c r="C1043" s="1828" t="s">
        <v>318</v>
      </c>
      <c r="D1043" s="1828"/>
      <c r="E1043" s="1828"/>
      <c r="F1043" s="608"/>
      <c r="G1043" s="608"/>
      <c r="H1043" s="608"/>
      <c r="I1043" s="608"/>
      <c r="J1043" s="607">
        <v>12577.68</v>
      </c>
      <c r="K1043" s="608"/>
      <c r="L1043" s="607">
        <v>4642.28</v>
      </c>
      <c r="M1043" s="601"/>
      <c r="N1043" s="606"/>
      <c r="V1043" s="674"/>
      <c r="W1043" s="675"/>
      <c r="AB1043" s="537" t="s">
        <v>318</v>
      </c>
      <c r="AC1043" s="675"/>
      <c r="AD1043" s="675"/>
      <c r="AE1043" s="675"/>
      <c r="AG1043" s="675"/>
      <c r="AH1043" s="680"/>
    </row>
    <row r="1044" spans="1:34" s="536" customFormat="1" ht="12" x14ac:dyDescent="0.2">
      <c r="A1044" s="605"/>
      <c r="B1044" s="552"/>
      <c r="C1044" s="1822" t="s">
        <v>319</v>
      </c>
      <c r="D1044" s="1822"/>
      <c r="E1044" s="1822"/>
      <c r="F1044" s="562"/>
      <c r="G1044" s="562"/>
      <c r="H1044" s="562"/>
      <c r="I1044" s="562"/>
      <c r="J1044" s="604"/>
      <c r="K1044" s="562"/>
      <c r="L1044" s="604">
        <v>1579.07</v>
      </c>
      <c r="M1044" s="603"/>
      <c r="N1044" s="602"/>
      <c r="V1044" s="674"/>
      <c r="W1044" s="675"/>
      <c r="AA1044" s="537" t="s">
        <v>319</v>
      </c>
      <c r="AC1044" s="675"/>
      <c r="AD1044" s="675"/>
      <c r="AE1044" s="675"/>
      <c r="AG1044" s="675"/>
      <c r="AH1044" s="680"/>
    </row>
    <row r="1045" spans="1:34" s="536" customFormat="1" ht="33.75" x14ac:dyDescent="0.2">
      <c r="A1045" s="605"/>
      <c r="B1045" s="552" t="s">
        <v>554</v>
      </c>
      <c r="C1045" s="1822" t="s">
        <v>555</v>
      </c>
      <c r="D1045" s="1822"/>
      <c r="E1045" s="1822"/>
      <c r="F1045" s="562" t="s">
        <v>322</v>
      </c>
      <c r="G1045" s="562" t="s">
        <v>556</v>
      </c>
      <c r="H1045" s="562"/>
      <c r="I1045" s="562" t="s">
        <v>556</v>
      </c>
      <c r="J1045" s="604"/>
      <c r="K1045" s="562"/>
      <c r="L1045" s="604">
        <v>1989.63</v>
      </c>
      <c r="M1045" s="603"/>
      <c r="N1045" s="602"/>
      <c r="V1045" s="674"/>
      <c r="W1045" s="675"/>
      <c r="AA1045" s="537" t="s">
        <v>555</v>
      </c>
      <c r="AC1045" s="675"/>
      <c r="AD1045" s="675"/>
      <c r="AE1045" s="675"/>
      <c r="AG1045" s="675"/>
      <c r="AH1045" s="680"/>
    </row>
    <row r="1046" spans="1:34" s="536" customFormat="1" ht="33.75" x14ac:dyDescent="0.2">
      <c r="A1046" s="605"/>
      <c r="B1046" s="552" t="s">
        <v>557</v>
      </c>
      <c r="C1046" s="1822" t="s">
        <v>558</v>
      </c>
      <c r="D1046" s="1822"/>
      <c r="E1046" s="1822"/>
      <c r="F1046" s="562" t="s">
        <v>322</v>
      </c>
      <c r="G1046" s="562" t="s">
        <v>559</v>
      </c>
      <c r="H1046" s="562"/>
      <c r="I1046" s="562" t="s">
        <v>559</v>
      </c>
      <c r="J1046" s="604"/>
      <c r="K1046" s="562"/>
      <c r="L1046" s="604">
        <v>1500.12</v>
      </c>
      <c r="M1046" s="603"/>
      <c r="N1046" s="602"/>
      <c r="V1046" s="674"/>
      <c r="W1046" s="675"/>
      <c r="AA1046" s="537" t="s">
        <v>558</v>
      </c>
      <c r="AC1046" s="675"/>
      <c r="AD1046" s="675"/>
      <c r="AE1046" s="675"/>
      <c r="AG1046" s="675"/>
      <c r="AH1046" s="680"/>
    </row>
    <row r="1047" spans="1:34" s="536" customFormat="1" ht="12" x14ac:dyDescent="0.2">
      <c r="A1047" s="569"/>
      <c r="B1047" s="671"/>
      <c r="C1047" s="1823" t="s">
        <v>327</v>
      </c>
      <c r="D1047" s="1823"/>
      <c r="E1047" s="1823"/>
      <c r="F1047" s="573"/>
      <c r="G1047" s="573"/>
      <c r="H1047" s="573"/>
      <c r="I1047" s="573"/>
      <c r="J1047" s="572"/>
      <c r="K1047" s="573"/>
      <c r="L1047" s="572">
        <v>8132.03</v>
      </c>
      <c r="M1047" s="601"/>
      <c r="N1047" s="570"/>
      <c r="V1047" s="674"/>
      <c r="W1047" s="675"/>
      <c r="AC1047" s="675" t="s">
        <v>327</v>
      </c>
      <c r="AD1047" s="675"/>
      <c r="AE1047" s="675"/>
      <c r="AG1047" s="675"/>
      <c r="AH1047" s="680"/>
    </row>
    <row r="1048" spans="1:34" s="536" customFormat="1" ht="22.5" x14ac:dyDescent="0.2">
      <c r="A1048" s="575" t="s">
        <v>844</v>
      </c>
      <c r="B1048" s="670" t="s">
        <v>4267</v>
      </c>
      <c r="C1048" s="1823" t="s">
        <v>4268</v>
      </c>
      <c r="D1048" s="1823"/>
      <c r="E1048" s="1823"/>
      <c r="F1048" s="573" t="s">
        <v>641</v>
      </c>
      <c r="G1048" s="573"/>
      <c r="H1048" s="573"/>
      <c r="I1048" s="573" t="s">
        <v>6926</v>
      </c>
      <c r="J1048" s="572">
        <v>98.6</v>
      </c>
      <c r="K1048" s="573"/>
      <c r="L1048" s="572">
        <v>562.41</v>
      </c>
      <c r="M1048" s="571"/>
      <c r="N1048" s="570"/>
      <c r="V1048" s="674"/>
      <c r="W1048" s="675" t="s">
        <v>4268</v>
      </c>
      <c r="AC1048" s="675"/>
      <c r="AD1048" s="675"/>
      <c r="AE1048" s="675"/>
      <c r="AG1048" s="675"/>
      <c r="AH1048" s="680"/>
    </row>
    <row r="1049" spans="1:34" s="536" customFormat="1" ht="12" x14ac:dyDescent="0.2">
      <c r="A1049" s="569"/>
      <c r="B1049" s="671"/>
      <c r="C1049" s="665" t="s">
        <v>717</v>
      </c>
      <c r="D1049" s="666"/>
      <c r="E1049" s="666"/>
      <c r="F1049" s="563"/>
      <c r="G1049" s="563"/>
      <c r="H1049" s="563"/>
      <c r="I1049" s="563"/>
      <c r="J1049" s="566"/>
      <c r="K1049" s="563"/>
      <c r="L1049" s="566"/>
      <c r="M1049" s="565"/>
      <c r="N1049" s="564"/>
      <c r="V1049" s="674"/>
      <c r="W1049" s="675"/>
      <c r="AC1049" s="675"/>
      <c r="AD1049" s="675"/>
      <c r="AE1049" s="675"/>
      <c r="AG1049" s="675"/>
      <c r="AH1049" s="680"/>
    </row>
    <row r="1050" spans="1:34" s="536" customFormat="1" ht="12" x14ac:dyDescent="0.2">
      <c r="A1050" s="676"/>
      <c r="B1050" s="664"/>
      <c r="C1050" s="1822" t="s">
        <v>6927</v>
      </c>
      <c r="D1050" s="1822"/>
      <c r="E1050" s="1822"/>
      <c r="F1050" s="1822"/>
      <c r="G1050" s="1822"/>
      <c r="H1050" s="1822"/>
      <c r="I1050" s="1822"/>
      <c r="J1050" s="1822"/>
      <c r="K1050" s="1822"/>
      <c r="L1050" s="1822"/>
      <c r="M1050" s="1822"/>
      <c r="N1050" s="1827"/>
      <c r="V1050" s="674"/>
      <c r="W1050" s="675"/>
      <c r="X1050" s="537" t="s">
        <v>6927</v>
      </c>
      <c r="AC1050" s="675"/>
      <c r="AD1050" s="675"/>
      <c r="AE1050" s="675"/>
      <c r="AG1050" s="675"/>
      <c r="AH1050" s="680"/>
    </row>
    <row r="1051" spans="1:34" s="536" customFormat="1" ht="12" x14ac:dyDescent="0.2">
      <c r="A1051" s="575" t="s">
        <v>4636</v>
      </c>
      <c r="B1051" s="670" t="s">
        <v>4269</v>
      </c>
      <c r="C1051" s="1823" t="s">
        <v>4270</v>
      </c>
      <c r="D1051" s="1823"/>
      <c r="E1051" s="1823"/>
      <c r="F1051" s="573" t="s">
        <v>641</v>
      </c>
      <c r="G1051" s="573"/>
      <c r="H1051" s="573"/>
      <c r="I1051" s="573" t="s">
        <v>191</v>
      </c>
      <c r="J1051" s="572">
        <v>682</v>
      </c>
      <c r="K1051" s="573"/>
      <c r="L1051" s="572">
        <v>4774</v>
      </c>
      <c r="M1051" s="571"/>
      <c r="N1051" s="570"/>
      <c r="V1051" s="674"/>
      <c r="W1051" s="675" t="s">
        <v>4270</v>
      </c>
      <c r="AC1051" s="675"/>
      <c r="AD1051" s="675"/>
      <c r="AE1051" s="675"/>
      <c r="AG1051" s="675"/>
      <c r="AH1051" s="680"/>
    </row>
    <row r="1052" spans="1:34" s="536" customFormat="1" ht="12" x14ac:dyDescent="0.2">
      <c r="A1052" s="569"/>
      <c r="B1052" s="671"/>
      <c r="C1052" s="665" t="s">
        <v>717</v>
      </c>
      <c r="D1052" s="666"/>
      <c r="E1052" s="666"/>
      <c r="F1052" s="563"/>
      <c r="G1052" s="563"/>
      <c r="H1052" s="563"/>
      <c r="I1052" s="563"/>
      <c r="J1052" s="566"/>
      <c r="K1052" s="563"/>
      <c r="L1052" s="566"/>
      <c r="M1052" s="565"/>
      <c r="N1052" s="564"/>
      <c r="V1052" s="674"/>
      <c r="W1052" s="675"/>
      <c r="AC1052" s="675"/>
      <c r="AD1052" s="675"/>
      <c r="AE1052" s="675"/>
      <c r="AG1052" s="675"/>
      <c r="AH1052" s="680"/>
    </row>
    <row r="1053" spans="1:34" s="536" customFormat="1" ht="33.75" x14ac:dyDescent="0.2">
      <c r="A1053" s="575" t="s">
        <v>680</v>
      </c>
      <c r="B1053" s="670" t="s">
        <v>6928</v>
      </c>
      <c r="C1053" s="1823" t="s">
        <v>6929</v>
      </c>
      <c r="D1053" s="1823"/>
      <c r="E1053" s="1823"/>
      <c r="F1053" s="573" t="s">
        <v>617</v>
      </c>
      <c r="G1053" s="573"/>
      <c r="H1053" s="573"/>
      <c r="I1053" s="573" t="s">
        <v>197</v>
      </c>
      <c r="J1053" s="572">
        <v>211.83</v>
      </c>
      <c r="K1053" s="573"/>
      <c r="L1053" s="572">
        <v>2753.79</v>
      </c>
      <c r="M1053" s="571"/>
      <c r="N1053" s="570"/>
      <c r="V1053" s="674"/>
      <c r="W1053" s="675" t="s">
        <v>6929</v>
      </c>
      <c r="AC1053" s="675"/>
      <c r="AD1053" s="675"/>
      <c r="AE1053" s="675"/>
      <c r="AG1053" s="675"/>
      <c r="AH1053" s="680"/>
    </row>
    <row r="1054" spans="1:34" s="536" customFormat="1" ht="12" x14ac:dyDescent="0.2">
      <c r="A1054" s="569"/>
      <c r="B1054" s="671"/>
      <c r="C1054" s="665" t="s">
        <v>717</v>
      </c>
      <c r="D1054" s="666"/>
      <c r="E1054" s="666"/>
      <c r="F1054" s="563"/>
      <c r="G1054" s="563"/>
      <c r="H1054" s="563"/>
      <c r="I1054" s="563"/>
      <c r="J1054" s="566"/>
      <c r="K1054" s="563"/>
      <c r="L1054" s="566"/>
      <c r="M1054" s="565"/>
      <c r="N1054" s="564"/>
      <c r="V1054" s="674"/>
      <c r="W1054" s="675"/>
      <c r="AC1054" s="675"/>
      <c r="AD1054" s="675"/>
      <c r="AE1054" s="675"/>
      <c r="AG1054" s="675"/>
      <c r="AH1054" s="680"/>
    </row>
    <row r="1055" spans="1:34" s="536" customFormat="1" ht="33.75" x14ac:dyDescent="0.2">
      <c r="A1055" s="575" t="s">
        <v>710</v>
      </c>
      <c r="B1055" s="670" t="s">
        <v>6930</v>
      </c>
      <c r="C1055" s="1823" t="s">
        <v>6931</v>
      </c>
      <c r="D1055" s="1823"/>
      <c r="E1055" s="1823"/>
      <c r="F1055" s="573" t="s">
        <v>617</v>
      </c>
      <c r="G1055" s="573"/>
      <c r="H1055" s="573"/>
      <c r="I1055" s="573" t="s">
        <v>191</v>
      </c>
      <c r="J1055" s="572">
        <v>285.57</v>
      </c>
      <c r="K1055" s="573"/>
      <c r="L1055" s="572">
        <v>1998.99</v>
      </c>
      <c r="M1055" s="571"/>
      <c r="N1055" s="570"/>
      <c r="V1055" s="674"/>
      <c r="W1055" s="675" t="s">
        <v>6931</v>
      </c>
      <c r="AC1055" s="675"/>
      <c r="AD1055" s="675"/>
      <c r="AE1055" s="675"/>
      <c r="AG1055" s="675"/>
      <c r="AH1055" s="680"/>
    </row>
    <row r="1056" spans="1:34" s="536" customFormat="1" ht="12" x14ac:dyDescent="0.2">
      <c r="A1056" s="569"/>
      <c r="B1056" s="671"/>
      <c r="C1056" s="665" t="s">
        <v>717</v>
      </c>
      <c r="D1056" s="666"/>
      <c r="E1056" s="666"/>
      <c r="F1056" s="563"/>
      <c r="G1056" s="563"/>
      <c r="H1056" s="563"/>
      <c r="I1056" s="563"/>
      <c r="J1056" s="566"/>
      <c r="K1056" s="563"/>
      <c r="L1056" s="566"/>
      <c r="M1056" s="565"/>
      <c r="N1056" s="564"/>
      <c r="V1056" s="674"/>
      <c r="W1056" s="675"/>
      <c r="AC1056" s="675"/>
      <c r="AD1056" s="675"/>
      <c r="AE1056" s="675"/>
      <c r="AG1056" s="675"/>
      <c r="AH1056" s="680"/>
    </row>
    <row r="1057" spans="1:34" s="536" customFormat="1" ht="56.25" x14ac:dyDescent="0.2">
      <c r="A1057" s="575" t="s">
        <v>6932</v>
      </c>
      <c r="B1057" s="670" t="s">
        <v>4271</v>
      </c>
      <c r="C1057" s="1823" t="s">
        <v>4272</v>
      </c>
      <c r="D1057" s="1823"/>
      <c r="E1057" s="1823"/>
      <c r="F1057" s="573" t="s">
        <v>617</v>
      </c>
      <c r="G1057" s="573"/>
      <c r="H1057" s="573"/>
      <c r="I1057" s="573" t="s">
        <v>191</v>
      </c>
      <c r="J1057" s="572">
        <v>155.5</v>
      </c>
      <c r="K1057" s="573"/>
      <c r="L1057" s="572">
        <v>1088.5</v>
      </c>
      <c r="M1057" s="571"/>
      <c r="N1057" s="570"/>
      <c r="V1057" s="674"/>
      <c r="W1057" s="675" t="s">
        <v>4272</v>
      </c>
      <c r="AC1057" s="675"/>
      <c r="AD1057" s="675"/>
      <c r="AE1057" s="675"/>
      <c r="AG1057" s="675"/>
      <c r="AH1057" s="680"/>
    </row>
    <row r="1058" spans="1:34" s="536" customFormat="1" ht="12" x14ac:dyDescent="0.2">
      <c r="A1058" s="569"/>
      <c r="B1058" s="671"/>
      <c r="C1058" s="665" t="s">
        <v>717</v>
      </c>
      <c r="D1058" s="666"/>
      <c r="E1058" s="666"/>
      <c r="F1058" s="563"/>
      <c r="G1058" s="563"/>
      <c r="H1058" s="563"/>
      <c r="I1058" s="563"/>
      <c r="J1058" s="566"/>
      <c r="K1058" s="563"/>
      <c r="L1058" s="566"/>
      <c r="M1058" s="565"/>
      <c r="N1058" s="564"/>
      <c r="V1058" s="674"/>
      <c r="W1058" s="675"/>
      <c r="AC1058" s="675"/>
      <c r="AD1058" s="675"/>
      <c r="AE1058" s="675"/>
      <c r="AG1058" s="675"/>
      <c r="AH1058" s="680"/>
    </row>
    <row r="1059" spans="1:34" s="536" customFormat="1" ht="45" x14ac:dyDescent="0.2">
      <c r="A1059" s="575" t="s">
        <v>2416</v>
      </c>
      <c r="B1059" s="670" t="s">
        <v>4273</v>
      </c>
      <c r="C1059" s="1823" t="s">
        <v>4274</v>
      </c>
      <c r="D1059" s="1823"/>
      <c r="E1059" s="1823"/>
      <c r="F1059" s="573" t="s">
        <v>617</v>
      </c>
      <c r="G1059" s="573"/>
      <c r="H1059" s="573"/>
      <c r="I1059" s="573" t="s">
        <v>194</v>
      </c>
      <c r="J1059" s="572">
        <v>183.59</v>
      </c>
      <c r="K1059" s="573"/>
      <c r="L1059" s="572">
        <v>1835.9</v>
      </c>
      <c r="M1059" s="571"/>
      <c r="N1059" s="570"/>
      <c r="V1059" s="674"/>
      <c r="W1059" s="675" t="s">
        <v>4274</v>
      </c>
      <c r="AC1059" s="675"/>
      <c r="AD1059" s="675"/>
      <c r="AE1059" s="675"/>
      <c r="AG1059" s="675"/>
      <c r="AH1059" s="680"/>
    </row>
    <row r="1060" spans="1:34" s="536" customFormat="1" ht="12" x14ac:dyDescent="0.2">
      <c r="A1060" s="569"/>
      <c r="B1060" s="671"/>
      <c r="C1060" s="665" t="s">
        <v>717</v>
      </c>
      <c r="D1060" s="666"/>
      <c r="E1060" s="666"/>
      <c r="F1060" s="563"/>
      <c r="G1060" s="563"/>
      <c r="H1060" s="563"/>
      <c r="I1060" s="563"/>
      <c r="J1060" s="566"/>
      <c r="K1060" s="563"/>
      <c r="L1060" s="566"/>
      <c r="M1060" s="565"/>
      <c r="N1060" s="564"/>
      <c r="V1060" s="674"/>
      <c r="W1060" s="675"/>
      <c r="AC1060" s="675"/>
      <c r="AD1060" s="675"/>
      <c r="AE1060" s="675"/>
      <c r="AG1060" s="675"/>
      <c r="AH1060" s="680"/>
    </row>
    <row r="1061" spans="1:34" s="536" customFormat="1" ht="56.25" x14ac:dyDescent="0.2">
      <c r="A1061" s="575" t="s">
        <v>1527</v>
      </c>
      <c r="B1061" s="670" t="s">
        <v>6933</v>
      </c>
      <c r="C1061" s="1823" t="s">
        <v>6934</v>
      </c>
      <c r="D1061" s="1823"/>
      <c r="E1061" s="1823"/>
      <c r="F1061" s="573" t="s">
        <v>617</v>
      </c>
      <c r="G1061" s="573"/>
      <c r="H1061" s="573"/>
      <c r="I1061" s="573" t="s">
        <v>191</v>
      </c>
      <c r="J1061" s="572">
        <v>300.55</v>
      </c>
      <c r="K1061" s="573"/>
      <c r="L1061" s="572">
        <v>2103.85</v>
      </c>
      <c r="M1061" s="571"/>
      <c r="N1061" s="570"/>
      <c r="V1061" s="674"/>
      <c r="W1061" s="675" t="s">
        <v>6934</v>
      </c>
      <c r="AC1061" s="675"/>
      <c r="AD1061" s="675"/>
      <c r="AE1061" s="675"/>
      <c r="AG1061" s="675"/>
      <c r="AH1061" s="680"/>
    </row>
    <row r="1062" spans="1:34" s="536" customFormat="1" ht="12" x14ac:dyDescent="0.2">
      <c r="A1062" s="569"/>
      <c r="B1062" s="671"/>
      <c r="C1062" s="665" t="s">
        <v>717</v>
      </c>
      <c r="D1062" s="666"/>
      <c r="E1062" s="666"/>
      <c r="F1062" s="563"/>
      <c r="G1062" s="563"/>
      <c r="H1062" s="563"/>
      <c r="I1062" s="563"/>
      <c r="J1062" s="566"/>
      <c r="K1062" s="563"/>
      <c r="L1062" s="566"/>
      <c r="M1062" s="565"/>
      <c r="N1062" s="564"/>
      <c r="V1062" s="674"/>
      <c r="W1062" s="675"/>
      <c r="AC1062" s="675"/>
      <c r="AD1062" s="675"/>
      <c r="AE1062" s="675"/>
      <c r="AG1062" s="675"/>
      <c r="AH1062" s="680"/>
    </row>
    <row r="1063" spans="1:34" s="536" customFormat="1" ht="45" x14ac:dyDescent="0.2">
      <c r="A1063" s="575" t="s">
        <v>3018</v>
      </c>
      <c r="B1063" s="670" t="s">
        <v>6935</v>
      </c>
      <c r="C1063" s="1823" t="s">
        <v>6936</v>
      </c>
      <c r="D1063" s="1823"/>
      <c r="E1063" s="1823"/>
      <c r="F1063" s="573" t="s">
        <v>617</v>
      </c>
      <c r="G1063" s="573"/>
      <c r="H1063" s="573"/>
      <c r="I1063" s="573" t="s">
        <v>185</v>
      </c>
      <c r="J1063" s="572">
        <v>317.82</v>
      </c>
      <c r="K1063" s="573"/>
      <c r="L1063" s="572">
        <v>317.82</v>
      </c>
      <c r="M1063" s="571"/>
      <c r="N1063" s="570"/>
      <c r="V1063" s="674"/>
      <c r="W1063" s="675" t="s">
        <v>6936</v>
      </c>
      <c r="AC1063" s="675"/>
      <c r="AD1063" s="675"/>
      <c r="AE1063" s="675"/>
      <c r="AG1063" s="675"/>
      <c r="AH1063" s="680"/>
    </row>
    <row r="1064" spans="1:34" s="536" customFormat="1" ht="12" x14ac:dyDescent="0.2">
      <c r="A1064" s="569"/>
      <c r="B1064" s="671"/>
      <c r="C1064" s="665" t="s">
        <v>717</v>
      </c>
      <c r="D1064" s="666"/>
      <c r="E1064" s="666"/>
      <c r="F1064" s="563"/>
      <c r="G1064" s="563"/>
      <c r="H1064" s="563"/>
      <c r="I1064" s="563"/>
      <c r="J1064" s="566"/>
      <c r="K1064" s="563"/>
      <c r="L1064" s="566"/>
      <c r="M1064" s="565"/>
      <c r="N1064" s="564"/>
      <c r="V1064" s="674"/>
      <c r="W1064" s="675"/>
      <c r="AC1064" s="675"/>
      <c r="AD1064" s="675"/>
      <c r="AE1064" s="675"/>
      <c r="AG1064" s="675"/>
      <c r="AH1064" s="680"/>
    </row>
    <row r="1065" spans="1:34" s="536" customFormat="1" ht="67.5" x14ac:dyDescent="0.2">
      <c r="A1065" s="575" t="s">
        <v>851</v>
      </c>
      <c r="B1065" s="670" t="s">
        <v>6937</v>
      </c>
      <c r="C1065" s="1823" t="s">
        <v>6938</v>
      </c>
      <c r="D1065" s="1823"/>
      <c r="E1065" s="1823"/>
      <c r="F1065" s="573" t="s">
        <v>617</v>
      </c>
      <c r="G1065" s="573"/>
      <c r="H1065" s="573"/>
      <c r="I1065" s="573" t="s">
        <v>189</v>
      </c>
      <c r="J1065" s="572">
        <v>171.84</v>
      </c>
      <c r="K1065" s="573"/>
      <c r="L1065" s="572">
        <v>859.2</v>
      </c>
      <c r="M1065" s="571"/>
      <c r="N1065" s="570"/>
      <c r="V1065" s="674"/>
      <c r="W1065" s="675" t="s">
        <v>6938</v>
      </c>
      <c r="AC1065" s="675"/>
      <c r="AD1065" s="675"/>
      <c r="AE1065" s="675"/>
      <c r="AG1065" s="675"/>
      <c r="AH1065" s="680"/>
    </row>
    <row r="1066" spans="1:34" s="536" customFormat="1" ht="12" x14ac:dyDescent="0.2">
      <c r="A1066" s="569"/>
      <c r="B1066" s="671"/>
      <c r="C1066" s="665" t="s">
        <v>717</v>
      </c>
      <c r="D1066" s="666"/>
      <c r="E1066" s="666"/>
      <c r="F1066" s="563"/>
      <c r="G1066" s="563"/>
      <c r="H1066" s="563"/>
      <c r="I1066" s="563"/>
      <c r="J1066" s="566"/>
      <c r="K1066" s="563"/>
      <c r="L1066" s="566"/>
      <c r="M1066" s="565"/>
      <c r="N1066" s="564"/>
      <c r="V1066" s="674"/>
      <c r="W1066" s="675"/>
      <c r="AC1066" s="675"/>
      <c r="AD1066" s="675"/>
      <c r="AE1066" s="675"/>
      <c r="AG1066" s="675"/>
      <c r="AH1066" s="680"/>
    </row>
    <row r="1067" spans="1:34" s="536" customFormat="1" ht="12" x14ac:dyDescent="0.2">
      <c r="A1067" s="1830" t="s">
        <v>4275</v>
      </c>
      <c r="B1067" s="1831"/>
      <c r="C1067" s="1831"/>
      <c r="D1067" s="1831"/>
      <c r="E1067" s="1831"/>
      <c r="F1067" s="1831"/>
      <c r="G1067" s="1831"/>
      <c r="H1067" s="1831"/>
      <c r="I1067" s="1831"/>
      <c r="J1067" s="1831"/>
      <c r="K1067" s="1831"/>
      <c r="L1067" s="1831"/>
      <c r="M1067" s="1831"/>
      <c r="N1067" s="1832"/>
      <c r="V1067" s="674"/>
      <c r="W1067" s="675"/>
      <c r="AC1067" s="675"/>
      <c r="AD1067" s="675" t="s">
        <v>4275</v>
      </c>
      <c r="AE1067" s="675"/>
      <c r="AG1067" s="675"/>
      <c r="AH1067" s="680"/>
    </row>
    <row r="1068" spans="1:34" s="536" customFormat="1" ht="22.5" x14ac:dyDescent="0.2">
      <c r="A1068" s="575" t="s">
        <v>1157</v>
      </c>
      <c r="B1068" s="670" t="s">
        <v>4276</v>
      </c>
      <c r="C1068" s="1823" t="s">
        <v>4277</v>
      </c>
      <c r="D1068" s="1823"/>
      <c r="E1068" s="1823"/>
      <c r="F1068" s="573" t="s">
        <v>519</v>
      </c>
      <c r="G1068" s="573"/>
      <c r="H1068" s="573"/>
      <c r="I1068" s="573" t="s">
        <v>6939</v>
      </c>
      <c r="J1068" s="572"/>
      <c r="K1068" s="573"/>
      <c r="L1068" s="572"/>
      <c r="M1068" s="571"/>
      <c r="N1068" s="570"/>
      <c r="V1068" s="674"/>
      <c r="W1068" s="675" t="s">
        <v>4277</v>
      </c>
      <c r="AC1068" s="675"/>
      <c r="AD1068" s="675"/>
      <c r="AE1068" s="675"/>
      <c r="AG1068" s="675"/>
      <c r="AH1068" s="680"/>
    </row>
    <row r="1069" spans="1:34" s="536" customFormat="1" ht="12" x14ac:dyDescent="0.2">
      <c r="A1069" s="676"/>
      <c r="B1069" s="664"/>
      <c r="C1069" s="1822" t="s">
        <v>6940</v>
      </c>
      <c r="D1069" s="1822"/>
      <c r="E1069" s="1822"/>
      <c r="F1069" s="1822"/>
      <c r="G1069" s="1822"/>
      <c r="H1069" s="1822"/>
      <c r="I1069" s="1822"/>
      <c r="J1069" s="1822"/>
      <c r="K1069" s="1822"/>
      <c r="L1069" s="1822"/>
      <c r="M1069" s="1822"/>
      <c r="N1069" s="1827"/>
      <c r="V1069" s="674"/>
      <c r="W1069" s="675"/>
      <c r="X1069" s="537" t="s">
        <v>6940</v>
      </c>
      <c r="AC1069" s="675"/>
      <c r="AD1069" s="675"/>
      <c r="AE1069" s="675"/>
      <c r="AG1069" s="675"/>
      <c r="AH1069" s="680"/>
    </row>
    <row r="1070" spans="1:34" s="536" customFormat="1" ht="33.75" x14ac:dyDescent="0.2">
      <c r="A1070" s="609"/>
      <c r="B1070" s="552" t="s">
        <v>310</v>
      </c>
      <c r="C1070" s="1822" t="s">
        <v>311</v>
      </c>
      <c r="D1070" s="1822"/>
      <c r="E1070" s="1822"/>
      <c r="F1070" s="1822"/>
      <c r="G1070" s="1822"/>
      <c r="H1070" s="1822"/>
      <c r="I1070" s="1822"/>
      <c r="J1070" s="1822"/>
      <c r="K1070" s="1822"/>
      <c r="L1070" s="1822"/>
      <c r="M1070" s="1822"/>
      <c r="N1070" s="1827"/>
      <c r="V1070" s="674"/>
      <c r="W1070" s="675"/>
      <c r="Y1070" s="537" t="s">
        <v>311</v>
      </c>
      <c r="AC1070" s="675"/>
      <c r="AD1070" s="675"/>
      <c r="AE1070" s="675"/>
      <c r="AG1070" s="675"/>
      <c r="AH1070" s="680"/>
    </row>
    <row r="1071" spans="1:34" s="536" customFormat="1" ht="12" x14ac:dyDescent="0.2">
      <c r="A1071" s="605"/>
      <c r="B1071" s="552" t="s">
        <v>185</v>
      </c>
      <c r="C1071" s="1822" t="s">
        <v>312</v>
      </c>
      <c r="D1071" s="1822"/>
      <c r="E1071" s="1822"/>
      <c r="F1071" s="562"/>
      <c r="G1071" s="562"/>
      <c r="H1071" s="562"/>
      <c r="I1071" s="562"/>
      <c r="J1071" s="604">
        <v>28.11</v>
      </c>
      <c r="K1071" s="562" t="s">
        <v>313</v>
      </c>
      <c r="L1071" s="604">
        <v>10.44</v>
      </c>
      <c r="M1071" s="603"/>
      <c r="N1071" s="602"/>
      <c r="V1071" s="674"/>
      <c r="W1071" s="675"/>
      <c r="Z1071" s="537" t="s">
        <v>312</v>
      </c>
      <c r="AC1071" s="675"/>
      <c r="AD1071" s="675"/>
      <c r="AE1071" s="675"/>
      <c r="AG1071" s="675"/>
      <c r="AH1071" s="680"/>
    </row>
    <row r="1072" spans="1:34" s="536" customFormat="1" ht="12" x14ac:dyDescent="0.2">
      <c r="A1072" s="605"/>
      <c r="B1072" s="552" t="s">
        <v>186</v>
      </c>
      <c r="C1072" s="1822" t="s">
        <v>344</v>
      </c>
      <c r="D1072" s="1822"/>
      <c r="E1072" s="1822"/>
      <c r="F1072" s="562"/>
      <c r="G1072" s="562"/>
      <c r="H1072" s="562"/>
      <c r="I1072" s="562"/>
      <c r="J1072" s="604">
        <v>177.58</v>
      </c>
      <c r="K1072" s="562" t="s">
        <v>313</v>
      </c>
      <c r="L1072" s="604">
        <v>65.930000000000007</v>
      </c>
      <c r="M1072" s="603"/>
      <c r="N1072" s="602"/>
      <c r="V1072" s="674"/>
      <c r="W1072" s="675"/>
      <c r="Z1072" s="537" t="s">
        <v>344</v>
      </c>
      <c r="AC1072" s="675"/>
      <c r="AD1072" s="675"/>
      <c r="AE1072" s="675"/>
      <c r="AG1072" s="675"/>
      <c r="AH1072" s="680"/>
    </row>
    <row r="1073" spans="1:34" s="536" customFormat="1" ht="12" x14ac:dyDescent="0.2">
      <c r="A1073" s="605"/>
      <c r="B1073" s="552" t="s">
        <v>187</v>
      </c>
      <c r="C1073" s="1822" t="s">
        <v>345</v>
      </c>
      <c r="D1073" s="1822"/>
      <c r="E1073" s="1822"/>
      <c r="F1073" s="562"/>
      <c r="G1073" s="562"/>
      <c r="H1073" s="562"/>
      <c r="I1073" s="562"/>
      <c r="J1073" s="604">
        <v>25.59</v>
      </c>
      <c r="K1073" s="562" t="s">
        <v>313</v>
      </c>
      <c r="L1073" s="604">
        <v>9.5</v>
      </c>
      <c r="M1073" s="603"/>
      <c r="N1073" s="602"/>
      <c r="V1073" s="674"/>
      <c r="W1073" s="675"/>
      <c r="Z1073" s="537" t="s">
        <v>345</v>
      </c>
      <c r="AC1073" s="675"/>
      <c r="AD1073" s="675"/>
      <c r="AE1073" s="675"/>
      <c r="AG1073" s="675"/>
      <c r="AH1073" s="680"/>
    </row>
    <row r="1074" spans="1:34" s="536" customFormat="1" ht="12" x14ac:dyDescent="0.2">
      <c r="A1074" s="605"/>
      <c r="B1074" s="552" t="s">
        <v>188</v>
      </c>
      <c r="C1074" s="1822" t="s">
        <v>475</v>
      </c>
      <c r="D1074" s="1822"/>
      <c r="E1074" s="1822"/>
      <c r="F1074" s="562"/>
      <c r="G1074" s="562"/>
      <c r="H1074" s="562"/>
      <c r="I1074" s="562"/>
      <c r="J1074" s="604">
        <v>32.520000000000003</v>
      </c>
      <c r="K1074" s="562"/>
      <c r="L1074" s="604">
        <v>9.66</v>
      </c>
      <c r="M1074" s="603"/>
      <c r="N1074" s="602"/>
      <c r="V1074" s="674"/>
      <c r="W1074" s="675"/>
      <c r="Z1074" s="537" t="s">
        <v>475</v>
      </c>
      <c r="AC1074" s="675"/>
      <c r="AD1074" s="675"/>
      <c r="AE1074" s="675"/>
      <c r="AG1074" s="675"/>
      <c r="AH1074" s="680"/>
    </row>
    <row r="1075" spans="1:34" s="536" customFormat="1" ht="12" x14ac:dyDescent="0.2">
      <c r="A1075" s="676"/>
      <c r="B1075" s="677" t="s">
        <v>4278</v>
      </c>
      <c r="C1075" s="1829" t="s">
        <v>4279</v>
      </c>
      <c r="D1075" s="1829"/>
      <c r="E1075" s="1829"/>
      <c r="F1075" s="678" t="s">
        <v>699</v>
      </c>
      <c r="G1075" s="678" t="s">
        <v>774</v>
      </c>
      <c r="H1075" s="678"/>
      <c r="I1075" s="678" t="s">
        <v>6941</v>
      </c>
      <c r="J1075" s="552"/>
      <c r="K1075" s="562"/>
      <c r="L1075" s="604"/>
      <c r="M1075" s="562"/>
      <c r="N1075" s="679"/>
      <c r="V1075" s="674"/>
      <c r="W1075" s="675"/>
      <c r="AC1075" s="675"/>
      <c r="AD1075" s="675"/>
      <c r="AE1075" s="675"/>
      <c r="AG1075" s="675"/>
      <c r="AH1075" s="680" t="s">
        <v>4279</v>
      </c>
    </row>
    <row r="1076" spans="1:34" s="536" customFormat="1" ht="12" x14ac:dyDescent="0.2">
      <c r="A1076" s="605"/>
      <c r="B1076" s="552"/>
      <c r="C1076" s="1822" t="s">
        <v>314</v>
      </c>
      <c r="D1076" s="1822"/>
      <c r="E1076" s="1822"/>
      <c r="F1076" s="562" t="s">
        <v>315</v>
      </c>
      <c r="G1076" s="562" t="s">
        <v>4280</v>
      </c>
      <c r="H1076" s="562" t="s">
        <v>313</v>
      </c>
      <c r="I1076" s="562" t="s">
        <v>6942</v>
      </c>
      <c r="J1076" s="604"/>
      <c r="K1076" s="562"/>
      <c r="L1076" s="604"/>
      <c r="M1076" s="603"/>
      <c r="N1076" s="602"/>
      <c r="V1076" s="674"/>
      <c r="W1076" s="675"/>
      <c r="AA1076" s="537" t="s">
        <v>314</v>
      </c>
      <c r="AC1076" s="675"/>
      <c r="AD1076" s="675"/>
      <c r="AE1076" s="675"/>
      <c r="AG1076" s="675"/>
      <c r="AH1076" s="680"/>
    </row>
    <row r="1077" spans="1:34" s="536" customFormat="1" ht="12" x14ac:dyDescent="0.2">
      <c r="A1077" s="605"/>
      <c r="B1077" s="552"/>
      <c r="C1077" s="1822" t="s">
        <v>348</v>
      </c>
      <c r="D1077" s="1822"/>
      <c r="E1077" s="1822"/>
      <c r="F1077" s="562" t="s">
        <v>315</v>
      </c>
      <c r="G1077" s="562" t="s">
        <v>1244</v>
      </c>
      <c r="H1077" s="562" t="s">
        <v>313</v>
      </c>
      <c r="I1077" s="562" t="s">
        <v>6943</v>
      </c>
      <c r="J1077" s="604"/>
      <c r="K1077" s="562"/>
      <c r="L1077" s="604"/>
      <c r="M1077" s="603"/>
      <c r="N1077" s="602"/>
      <c r="V1077" s="674"/>
      <c r="W1077" s="675"/>
      <c r="AA1077" s="537" t="s">
        <v>348</v>
      </c>
      <c r="AC1077" s="675"/>
      <c r="AD1077" s="675"/>
      <c r="AE1077" s="675"/>
      <c r="AG1077" s="675"/>
      <c r="AH1077" s="680"/>
    </row>
    <row r="1078" spans="1:34" s="536" customFormat="1" ht="12" x14ac:dyDescent="0.2">
      <c r="A1078" s="605"/>
      <c r="B1078" s="552"/>
      <c r="C1078" s="1828" t="s">
        <v>318</v>
      </c>
      <c r="D1078" s="1828"/>
      <c r="E1078" s="1828"/>
      <c r="F1078" s="608"/>
      <c r="G1078" s="608"/>
      <c r="H1078" s="608"/>
      <c r="I1078" s="608"/>
      <c r="J1078" s="607">
        <v>238.21</v>
      </c>
      <c r="K1078" s="608"/>
      <c r="L1078" s="607">
        <v>86.03</v>
      </c>
      <c r="M1078" s="601"/>
      <c r="N1078" s="606"/>
      <c r="V1078" s="674"/>
      <c r="W1078" s="675"/>
      <c r="AB1078" s="537" t="s">
        <v>318</v>
      </c>
      <c r="AC1078" s="675"/>
      <c r="AD1078" s="675"/>
      <c r="AE1078" s="675"/>
      <c r="AG1078" s="675"/>
      <c r="AH1078" s="680"/>
    </row>
    <row r="1079" spans="1:34" s="536" customFormat="1" ht="12" x14ac:dyDescent="0.2">
      <c r="A1079" s="605"/>
      <c r="B1079" s="552"/>
      <c r="C1079" s="1822" t="s">
        <v>319</v>
      </c>
      <c r="D1079" s="1822"/>
      <c r="E1079" s="1822"/>
      <c r="F1079" s="562"/>
      <c r="G1079" s="562"/>
      <c r="H1079" s="562"/>
      <c r="I1079" s="562"/>
      <c r="J1079" s="604"/>
      <c r="K1079" s="562"/>
      <c r="L1079" s="604">
        <v>19.940000000000001</v>
      </c>
      <c r="M1079" s="603"/>
      <c r="N1079" s="602"/>
      <c r="V1079" s="674"/>
      <c r="W1079" s="675"/>
      <c r="AA1079" s="537" t="s">
        <v>319</v>
      </c>
      <c r="AC1079" s="675"/>
      <c r="AD1079" s="675"/>
      <c r="AE1079" s="675"/>
      <c r="AG1079" s="675"/>
      <c r="AH1079" s="680"/>
    </row>
    <row r="1080" spans="1:34" s="536" customFormat="1" ht="33.75" x14ac:dyDescent="0.2">
      <c r="A1080" s="605"/>
      <c r="B1080" s="552" t="s">
        <v>554</v>
      </c>
      <c r="C1080" s="1822" t="s">
        <v>555</v>
      </c>
      <c r="D1080" s="1822"/>
      <c r="E1080" s="1822"/>
      <c r="F1080" s="562" t="s">
        <v>322</v>
      </c>
      <c r="G1080" s="562" t="s">
        <v>556</v>
      </c>
      <c r="H1080" s="562"/>
      <c r="I1080" s="562" t="s">
        <v>556</v>
      </c>
      <c r="J1080" s="604"/>
      <c r="K1080" s="562"/>
      <c r="L1080" s="604">
        <v>25.12</v>
      </c>
      <c r="M1080" s="603"/>
      <c r="N1080" s="602"/>
      <c r="V1080" s="674"/>
      <c r="W1080" s="675"/>
      <c r="AA1080" s="537" t="s">
        <v>555</v>
      </c>
      <c r="AC1080" s="675"/>
      <c r="AD1080" s="675"/>
      <c r="AE1080" s="675"/>
      <c r="AG1080" s="675"/>
      <c r="AH1080" s="680"/>
    </row>
    <row r="1081" spans="1:34" s="536" customFormat="1" ht="33.75" x14ac:dyDescent="0.2">
      <c r="A1081" s="605"/>
      <c r="B1081" s="552" t="s">
        <v>557</v>
      </c>
      <c r="C1081" s="1822" t="s">
        <v>558</v>
      </c>
      <c r="D1081" s="1822"/>
      <c r="E1081" s="1822"/>
      <c r="F1081" s="562" t="s">
        <v>322</v>
      </c>
      <c r="G1081" s="562" t="s">
        <v>559</v>
      </c>
      <c r="H1081" s="562"/>
      <c r="I1081" s="562" t="s">
        <v>559</v>
      </c>
      <c r="J1081" s="604"/>
      <c r="K1081" s="562"/>
      <c r="L1081" s="604">
        <v>18.940000000000001</v>
      </c>
      <c r="M1081" s="603"/>
      <c r="N1081" s="602"/>
      <c r="V1081" s="674"/>
      <c r="W1081" s="675"/>
      <c r="AA1081" s="537" t="s">
        <v>558</v>
      </c>
      <c r="AC1081" s="675"/>
      <c r="AD1081" s="675"/>
      <c r="AE1081" s="675"/>
      <c r="AG1081" s="675"/>
      <c r="AH1081" s="680"/>
    </row>
    <row r="1082" spans="1:34" s="536" customFormat="1" ht="12" x14ac:dyDescent="0.2">
      <c r="A1082" s="569"/>
      <c r="B1082" s="671"/>
      <c r="C1082" s="1823" t="s">
        <v>327</v>
      </c>
      <c r="D1082" s="1823"/>
      <c r="E1082" s="1823"/>
      <c r="F1082" s="573"/>
      <c r="G1082" s="573"/>
      <c r="H1082" s="573"/>
      <c r="I1082" s="573"/>
      <c r="J1082" s="572"/>
      <c r="K1082" s="573"/>
      <c r="L1082" s="572">
        <v>130.09</v>
      </c>
      <c r="M1082" s="601"/>
      <c r="N1082" s="570"/>
      <c r="V1082" s="674"/>
      <c r="W1082" s="675"/>
      <c r="AC1082" s="675" t="s">
        <v>327</v>
      </c>
      <c r="AD1082" s="675"/>
      <c r="AE1082" s="675"/>
      <c r="AG1082" s="675"/>
      <c r="AH1082" s="680"/>
    </row>
    <row r="1083" spans="1:34" s="536" customFormat="1" ht="56.25" x14ac:dyDescent="0.2">
      <c r="A1083" s="575" t="s">
        <v>2034</v>
      </c>
      <c r="B1083" s="670" t="s">
        <v>4281</v>
      </c>
      <c r="C1083" s="1823" t="s">
        <v>4282</v>
      </c>
      <c r="D1083" s="1823"/>
      <c r="E1083" s="1823"/>
      <c r="F1083" s="573" t="s">
        <v>699</v>
      </c>
      <c r="G1083" s="573"/>
      <c r="H1083" s="573"/>
      <c r="I1083" s="573" t="s">
        <v>6941</v>
      </c>
      <c r="J1083" s="572">
        <v>27</v>
      </c>
      <c r="K1083" s="573"/>
      <c r="L1083" s="572">
        <v>336.8</v>
      </c>
      <c r="M1083" s="571"/>
      <c r="N1083" s="570"/>
      <c r="V1083" s="674"/>
      <c r="W1083" s="675" t="s">
        <v>4282</v>
      </c>
      <c r="AC1083" s="675"/>
      <c r="AD1083" s="675"/>
      <c r="AE1083" s="675"/>
      <c r="AG1083" s="675"/>
      <c r="AH1083" s="680"/>
    </row>
    <row r="1084" spans="1:34" s="536" customFormat="1" ht="12" x14ac:dyDescent="0.2">
      <c r="A1084" s="569"/>
      <c r="B1084" s="671"/>
      <c r="C1084" s="665" t="s">
        <v>717</v>
      </c>
      <c r="D1084" s="666"/>
      <c r="E1084" s="666"/>
      <c r="F1084" s="563"/>
      <c r="G1084" s="563"/>
      <c r="H1084" s="563"/>
      <c r="I1084" s="563"/>
      <c r="J1084" s="566"/>
      <c r="K1084" s="563"/>
      <c r="L1084" s="566"/>
      <c r="M1084" s="565"/>
      <c r="N1084" s="564"/>
      <c r="V1084" s="674"/>
      <c r="W1084" s="675"/>
      <c r="AC1084" s="675"/>
      <c r="AD1084" s="675"/>
      <c r="AE1084" s="675"/>
      <c r="AG1084" s="675"/>
      <c r="AH1084" s="680"/>
    </row>
    <row r="1085" spans="1:34" s="536" customFormat="1" ht="33.75" x14ac:dyDescent="0.2">
      <c r="A1085" s="575" t="s">
        <v>3027</v>
      </c>
      <c r="B1085" s="670" t="s">
        <v>4283</v>
      </c>
      <c r="C1085" s="1823" t="s">
        <v>6944</v>
      </c>
      <c r="D1085" s="1823"/>
      <c r="E1085" s="1823"/>
      <c r="F1085" s="573" t="s">
        <v>519</v>
      </c>
      <c r="G1085" s="573"/>
      <c r="H1085" s="573"/>
      <c r="I1085" s="573" t="s">
        <v>6945</v>
      </c>
      <c r="J1085" s="572"/>
      <c r="K1085" s="573"/>
      <c r="L1085" s="572"/>
      <c r="M1085" s="571"/>
      <c r="N1085" s="570"/>
      <c r="V1085" s="674"/>
      <c r="W1085" s="675" t="s">
        <v>6944</v>
      </c>
      <c r="AC1085" s="675"/>
      <c r="AD1085" s="675"/>
      <c r="AE1085" s="675"/>
      <c r="AG1085" s="675"/>
      <c r="AH1085" s="680"/>
    </row>
    <row r="1086" spans="1:34" s="536" customFormat="1" ht="12" x14ac:dyDescent="0.2">
      <c r="A1086" s="676"/>
      <c r="B1086" s="664"/>
      <c r="C1086" s="1822" t="s">
        <v>6946</v>
      </c>
      <c r="D1086" s="1822"/>
      <c r="E1086" s="1822"/>
      <c r="F1086" s="1822"/>
      <c r="G1086" s="1822"/>
      <c r="H1086" s="1822"/>
      <c r="I1086" s="1822"/>
      <c r="J1086" s="1822"/>
      <c r="K1086" s="1822"/>
      <c r="L1086" s="1822"/>
      <c r="M1086" s="1822"/>
      <c r="N1086" s="1827"/>
      <c r="V1086" s="674"/>
      <c r="W1086" s="675"/>
      <c r="X1086" s="537" t="s">
        <v>6946</v>
      </c>
      <c r="AC1086" s="675"/>
      <c r="AD1086" s="675"/>
      <c r="AE1086" s="675"/>
      <c r="AG1086" s="675"/>
      <c r="AH1086" s="680"/>
    </row>
    <row r="1087" spans="1:34" s="536" customFormat="1" ht="33.75" x14ac:dyDescent="0.2">
      <c r="A1087" s="609"/>
      <c r="B1087" s="552" t="s">
        <v>310</v>
      </c>
      <c r="C1087" s="1822" t="s">
        <v>311</v>
      </c>
      <c r="D1087" s="1822"/>
      <c r="E1087" s="1822"/>
      <c r="F1087" s="1822"/>
      <c r="G1087" s="1822"/>
      <c r="H1087" s="1822"/>
      <c r="I1087" s="1822"/>
      <c r="J1087" s="1822"/>
      <c r="K1087" s="1822"/>
      <c r="L1087" s="1822"/>
      <c r="M1087" s="1822"/>
      <c r="N1087" s="1827"/>
      <c r="V1087" s="674"/>
      <c r="W1087" s="675"/>
      <c r="Y1087" s="537" t="s">
        <v>311</v>
      </c>
      <c r="AC1087" s="675"/>
      <c r="AD1087" s="675"/>
      <c r="AE1087" s="675"/>
      <c r="AG1087" s="675"/>
      <c r="AH1087" s="680"/>
    </row>
    <row r="1088" spans="1:34" s="536" customFormat="1" ht="12" x14ac:dyDescent="0.2">
      <c r="A1088" s="605"/>
      <c r="B1088" s="552" t="s">
        <v>185</v>
      </c>
      <c r="C1088" s="1822" t="s">
        <v>312</v>
      </c>
      <c r="D1088" s="1822"/>
      <c r="E1088" s="1822"/>
      <c r="F1088" s="562"/>
      <c r="G1088" s="562"/>
      <c r="H1088" s="562"/>
      <c r="I1088" s="562"/>
      <c r="J1088" s="604">
        <v>28.11</v>
      </c>
      <c r="K1088" s="562" t="s">
        <v>313</v>
      </c>
      <c r="L1088" s="604">
        <v>62.3</v>
      </c>
      <c r="M1088" s="603"/>
      <c r="N1088" s="602"/>
      <c r="V1088" s="674"/>
      <c r="W1088" s="675"/>
      <c r="Z1088" s="537" t="s">
        <v>312</v>
      </c>
      <c r="AC1088" s="675"/>
      <c r="AD1088" s="675"/>
      <c r="AE1088" s="675"/>
      <c r="AG1088" s="675"/>
      <c r="AH1088" s="680"/>
    </row>
    <row r="1089" spans="1:34" s="536" customFormat="1" ht="12" x14ac:dyDescent="0.2">
      <c r="A1089" s="605"/>
      <c r="B1089" s="552" t="s">
        <v>186</v>
      </c>
      <c r="C1089" s="1822" t="s">
        <v>344</v>
      </c>
      <c r="D1089" s="1822"/>
      <c r="E1089" s="1822"/>
      <c r="F1089" s="562"/>
      <c r="G1089" s="562"/>
      <c r="H1089" s="562"/>
      <c r="I1089" s="562"/>
      <c r="J1089" s="604">
        <v>177.58</v>
      </c>
      <c r="K1089" s="562" t="s">
        <v>313</v>
      </c>
      <c r="L1089" s="604">
        <v>393.56</v>
      </c>
      <c r="M1089" s="603"/>
      <c r="N1089" s="602"/>
      <c r="V1089" s="674"/>
      <c r="W1089" s="675"/>
      <c r="Z1089" s="537" t="s">
        <v>344</v>
      </c>
      <c r="AC1089" s="675"/>
      <c r="AD1089" s="675"/>
      <c r="AE1089" s="675"/>
      <c r="AG1089" s="675"/>
      <c r="AH1089" s="680"/>
    </row>
    <row r="1090" spans="1:34" s="536" customFormat="1" ht="12" x14ac:dyDescent="0.2">
      <c r="A1090" s="605"/>
      <c r="B1090" s="552" t="s">
        <v>187</v>
      </c>
      <c r="C1090" s="1822" t="s">
        <v>345</v>
      </c>
      <c r="D1090" s="1822"/>
      <c r="E1090" s="1822"/>
      <c r="F1090" s="562"/>
      <c r="G1090" s="562"/>
      <c r="H1090" s="562"/>
      <c r="I1090" s="562"/>
      <c r="J1090" s="604">
        <v>25.59</v>
      </c>
      <c r="K1090" s="562" t="s">
        <v>313</v>
      </c>
      <c r="L1090" s="604">
        <v>56.71</v>
      </c>
      <c r="M1090" s="603"/>
      <c r="N1090" s="602"/>
      <c r="V1090" s="674"/>
      <c r="W1090" s="675"/>
      <c r="Z1090" s="537" t="s">
        <v>345</v>
      </c>
      <c r="AC1090" s="675"/>
      <c r="AD1090" s="675"/>
      <c r="AE1090" s="675"/>
      <c r="AG1090" s="675"/>
      <c r="AH1090" s="680"/>
    </row>
    <row r="1091" spans="1:34" s="536" customFormat="1" ht="12" x14ac:dyDescent="0.2">
      <c r="A1091" s="605"/>
      <c r="B1091" s="552" t="s">
        <v>188</v>
      </c>
      <c r="C1091" s="1822" t="s">
        <v>475</v>
      </c>
      <c r="D1091" s="1822"/>
      <c r="E1091" s="1822"/>
      <c r="F1091" s="562"/>
      <c r="G1091" s="562"/>
      <c r="H1091" s="562"/>
      <c r="I1091" s="562"/>
      <c r="J1091" s="604">
        <v>32.520000000000003</v>
      </c>
      <c r="K1091" s="562"/>
      <c r="L1091" s="604">
        <v>57.66</v>
      </c>
      <c r="M1091" s="603"/>
      <c r="N1091" s="602"/>
      <c r="V1091" s="674"/>
      <c r="W1091" s="675"/>
      <c r="Z1091" s="537" t="s">
        <v>475</v>
      </c>
      <c r="AC1091" s="675"/>
      <c r="AD1091" s="675"/>
      <c r="AE1091" s="675"/>
      <c r="AG1091" s="675"/>
      <c r="AH1091" s="680"/>
    </row>
    <row r="1092" spans="1:34" s="536" customFormat="1" ht="12" x14ac:dyDescent="0.2">
      <c r="A1092" s="676"/>
      <c r="B1092" s="677" t="s">
        <v>4278</v>
      </c>
      <c r="C1092" s="1829" t="s">
        <v>4279</v>
      </c>
      <c r="D1092" s="1829"/>
      <c r="E1092" s="1829"/>
      <c r="F1092" s="678" t="s">
        <v>699</v>
      </c>
      <c r="G1092" s="678" t="s">
        <v>1746</v>
      </c>
      <c r="H1092" s="678"/>
      <c r="I1092" s="678" t="s">
        <v>6947</v>
      </c>
      <c r="J1092" s="552"/>
      <c r="K1092" s="562"/>
      <c r="L1092" s="604"/>
      <c r="M1092" s="562"/>
      <c r="N1092" s="679"/>
      <c r="V1092" s="674"/>
      <c r="W1092" s="675"/>
      <c r="AC1092" s="675"/>
      <c r="AD1092" s="675"/>
      <c r="AE1092" s="675"/>
      <c r="AG1092" s="675"/>
      <c r="AH1092" s="680" t="s">
        <v>4279</v>
      </c>
    </row>
    <row r="1093" spans="1:34" s="536" customFormat="1" ht="12" x14ac:dyDescent="0.2">
      <c r="A1093" s="605"/>
      <c r="B1093" s="552"/>
      <c r="C1093" s="1822" t="s">
        <v>314</v>
      </c>
      <c r="D1093" s="1822"/>
      <c r="E1093" s="1822"/>
      <c r="F1093" s="562" t="s">
        <v>315</v>
      </c>
      <c r="G1093" s="562" t="s">
        <v>4280</v>
      </c>
      <c r="H1093" s="562" t="s">
        <v>313</v>
      </c>
      <c r="I1093" s="562" t="s">
        <v>6948</v>
      </c>
      <c r="J1093" s="604"/>
      <c r="K1093" s="562"/>
      <c r="L1093" s="604"/>
      <c r="M1093" s="603"/>
      <c r="N1093" s="602"/>
      <c r="V1093" s="674"/>
      <c r="W1093" s="675"/>
      <c r="AA1093" s="537" t="s">
        <v>314</v>
      </c>
      <c r="AC1093" s="675"/>
      <c r="AD1093" s="675"/>
      <c r="AE1093" s="675"/>
      <c r="AG1093" s="675"/>
      <c r="AH1093" s="680"/>
    </row>
    <row r="1094" spans="1:34" s="536" customFormat="1" ht="12" x14ac:dyDescent="0.2">
      <c r="A1094" s="605"/>
      <c r="B1094" s="552"/>
      <c r="C1094" s="1822" t="s">
        <v>348</v>
      </c>
      <c r="D1094" s="1822"/>
      <c r="E1094" s="1822"/>
      <c r="F1094" s="562" t="s">
        <v>315</v>
      </c>
      <c r="G1094" s="562" t="s">
        <v>1244</v>
      </c>
      <c r="H1094" s="562" t="s">
        <v>313</v>
      </c>
      <c r="I1094" s="562" t="s">
        <v>6949</v>
      </c>
      <c r="J1094" s="604"/>
      <c r="K1094" s="562"/>
      <c r="L1094" s="604"/>
      <c r="M1094" s="603"/>
      <c r="N1094" s="602"/>
      <c r="V1094" s="674"/>
      <c r="W1094" s="675"/>
      <c r="AA1094" s="537" t="s">
        <v>348</v>
      </c>
      <c r="AC1094" s="675"/>
      <c r="AD1094" s="675"/>
      <c r="AE1094" s="675"/>
      <c r="AG1094" s="675"/>
      <c r="AH1094" s="680"/>
    </row>
    <row r="1095" spans="1:34" s="536" customFormat="1" ht="12" x14ac:dyDescent="0.2">
      <c r="A1095" s="605"/>
      <c r="B1095" s="552"/>
      <c r="C1095" s="1828" t="s">
        <v>318</v>
      </c>
      <c r="D1095" s="1828"/>
      <c r="E1095" s="1828"/>
      <c r="F1095" s="608"/>
      <c r="G1095" s="608"/>
      <c r="H1095" s="608"/>
      <c r="I1095" s="608"/>
      <c r="J1095" s="607">
        <v>238.21</v>
      </c>
      <c r="K1095" s="608"/>
      <c r="L1095" s="607">
        <v>513.52</v>
      </c>
      <c r="M1095" s="601"/>
      <c r="N1095" s="606"/>
      <c r="V1095" s="674"/>
      <c r="W1095" s="675"/>
      <c r="AB1095" s="537" t="s">
        <v>318</v>
      </c>
      <c r="AC1095" s="675"/>
      <c r="AD1095" s="675"/>
      <c r="AE1095" s="675"/>
      <c r="AG1095" s="675"/>
      <c r="AH1095" s="680"/>
    </row>
    <row r="1096" spans="1:34" s="536" customFormat="1" ht="12" x14ac:dyDescent="0.2">
      <c r="A1096" s="605"/>
      <c r="B1096" s="552"/>
      <c r="C1096" s="1822" t="s">
        <v>319</v>
      </c>
      <c r="D1096" s="1822"/>
      <c r="E1096" s="1822"/>
      <c r="F1096" s="562"/>
      <c r="G1096" s="562"/>
      <c r="H1096" s="562"/>
      <c r="I1096" s="562"/>
      <c r="J1096" s="604"/>
      <c r="K1096" s="562"/>
      <c r="L1096" s="604">
        <v>119.01</v>
      </c>
      <c r="M1096" s="603"/>
      <c r="N1096" s="602"/>
      <c r="V1096" s="674"/>
      <c r="W1096" s="675"/>
      <c r="AA1096" s="537" t="s">
        <v>319</v>
      </c>
      <c r="AC1096" s="675"/>
      <c r="AD1096" s="675"/>
      <c r="AE1096" s="675"/>
      <c r="AG1096" s="675"/>
      <c r="AH1096" s="680"/>
    </row>
    <row r="1097" spans="1:34" s="536" customFormat="1" ht="33.75" x14ac:dyDescent="0.2">
      <c r="A1097" s="605"/>
      <c r="B1097" s="552" t="s">
        <v>554</v>
      </c>
      <c r="C1097" s="1822" t="s">
        <v>555</v>
      </c>
      <c r="D1097" s="1822"/>
      <c r="E1097" s="1822"/>
      <c r="F1097" s="562" t="s">
        <v>322</v>
      </c>
      <c r="G1097" s="562" t="s">
        <v>556</v>
      </c>
      <c r="H1097" s="562"/>
      <c r="I1097" s="562" t="s">
        <v>556</v>
      </c>
      <c r="J1097" s="604"/>
      <c r="K1097" s="562"/>
      <c r="L1097" s="604">
        <v>149.94999999999999</v>
      </c>
      <c r="M1097" s="603"/>
      <c r="N1097" s="602"/>
      <c r="V1097" s="674"/>
      <c r="W1097" s="675"/>
      <c r="AA1097" s="537" t="s">
        <v>555</v>
      </c>
      <c r="AC1097" s="675"/>
      <c r="AD1097" s="675"/>
      <c r="AE1097" s="675"/>
      <c r="AG1097" s="675"/>
      <c r="AH1097" s="680"/>
    </row>
    <row r="1098" spans="1:34" s="536" customFormat="1" ht="33.75" x14ac:dyDescent="0.2">
      <c r="A1098" s="605"/>
      <c r="B1098" s="552" t="s">
        <v>557</v>
      </c>
      <c r="C1098" s="1822" t="s">
        <v>558</v>
      </c>
      <c r="D1098" s="1822"/>
      <c r="E1098" s="1822"/>
      <c r="F1098" s="562" t="s">
        <v>322</v>
      </c>
      <c r="G1098" s="562" t="s">
        <v>559</v>
      </c>
      <c r="H1098" s="562"/>
      <c r="I1098" s="562" t="s">
        <v>559</v>
      </c>
      <c r="J1098" s="604"/>
      <c r="K1098" s="562"/>
      <c r="L1098" s="604">
        <v>113.06</v>
      </c>
      <c r="M1098" s="603"/>
      <c r="N1098" s="602"/>
      <c r="V1098" s="674"/>
      <c r="W1098" s="675"/>
      <c r="AA1098" s="537" t="s">
        <v>558</v>
      </c>
      <c r="AC1098" s="675"/>
      <c r="AD1098" s="675"/>
      <c r="AE1098" s="675"/>
      <c r="AG1098" s="675"/>
      <c r="AH1098" s="680"/>
    </row>
    <row r="1099" spans="1:34" s="536" customFormat="1" ht="12" x14ac:dyDescent="0.2">
      <c r="A1099" s="569"/>
      <c r="B1099" s="671"/>
      <c r="C1099" s="1823" t="s">
        <v>327</v>
      </c>
      <c r="D1099" s="1823"/>
      <c r="E1099" s="1823"/>
      <c r="F1099" s="573"/>
      <c r="G1099" s="573"/>
      <c r="H1099" s="573"/>
      <c r="I1099" s="573"/>
      <c r="J1099" s="572"/>
      <c r="K1099" s="573"/>
      <c r="L1099" s="572">
        <v>776.53</v>
      </c>
      <c r="M1099" s="601"/>
      <c r="N1099" s="570"/>
      <c r="V1099" s="674"/>
      <c r="W1099" s="675"/>
      <c r="AC1099" s="675" t="s">
        <v>327</v>
      </c>
      <c r="AD1099" s="675"/>
      <c r="AE1099" s="675"/>
      <c r="AG1099" s="675"/>
      <c r="AH1099" s="680"/>
    </row>
    <row r="1100" spans="1:34" s="536" customFormat="1" ht="56.25" x14ac:dyDescent="0.2">
      <c r="A1100" s="575" t="s">
        <v>1252</v>
      </c>
      <c r="B1100" s="670" t="s">
        <v>4281</v>
      </c>
      <c r="C1100" s="1823" t="s">
        <v>4282</v>
      </c>
      <c r="D1100" s="1823"/>
      <c r="E1100" s="1823"/>
      <c r="F1100" s="573" t="s">
        <v>699</v>
      </c>
      <c r="G1100" s="573"/>
      <c r="H1100" s="573"/>
      <c r="I1100" s="573" t="s">
        <v>6950</v>
      </c>
      <c r="J1100" s="572">
        <v>27</v>
      </c>
      <c r="K1100" s="573"/>
      <c r="L1100" s="572">
        <v>4020.3</v>
      </c>
      <c r="M1100" s="571"/>
      <c r="N1100" s="570"/>
      <c r="V1100" s="674"/>
      <c r="W1100" s="675" t="s">
        <v>4282</v>
      </c>
      <c r="AC1100" s="675"/>
      <c r="AD1100" s="675"/>
      <c r="AE1100" s="675"/>
      <c r="AG1100" s="675"/>
      <c r="AH1100" s="680"/>
    </row>
    <row r="1101" spans="1:34" s="536" customFormat="1" ht="12" x14ac:dyDescent="0.2">
      <c r="A1101" s="569"/>
      <c r="B1101" s="671"/>
      <c r="C1101" s="665" t="s">
        <v>717</v>
      </c>
      <c r="D1101" s="666"/>
      <c r="E1101" s="666"/>
      <c r="F1101" s="563"/>
      <c r="G1101" s="563"/>
      <c r="H1101" s="563"/>
      <c r="I1101" s="563"/>
      <c r="J1101" s="566"/>
      <c r="K1101" s="563"/>
      <c r="L1101" s="566"/>
      <c r="M1101" s="565"/>
      <c r="N1101" s="564"/>
      <c r="V1101" s="674"/>
      <c r="W1101" s="675"/>
      <c r="AC1101" s="675"/>
      <c r="AD1101" s="675"/>
      <c r="AE1101" s="675"/>
      <c r="AG1101" s="675"/>
      <c r="AH1101" s="680"/>
    </row>
    <row r="1102" spans="1:34" s="536" customFormat="1" ht="45" x14ac:dyDescent="0.2">
      <c r="A1102" s="575" t="s">
        <v>3034</v>
      </c>
      <c r="B1102" s="670" t="s">
        <v>4284</v>
      </c>
      <c r="C1102" s="1823" t="s">
        <v>6951</v>
      </c>
      <c r="D1102" s="1823"/>
      <c r="E1102" s="1823"/>
      <c r="F1102" s="573" t="s">
        <v>519</v>
      </c>
      <c r="G1102" s="573"/>
      <c r="H1102" s="573"/>
      <c r="I1102" s="573" t="s">
        <v>6952</v>
      </c>
      <c r="J1102" s="572"/>
      <c r="K1102" s="573"/>
      <c r="L1102" s="572"/>
      <c r="M1102" s="571"/>
      <c r="N1102" s="570"/>
      <c r="V1102" s="674"/>
      <c r="W1102" s="675" t="s">
        <v>6951</v>
      </c>
      <c r="AC1102" s="675"/>
      <c r="AD1102" s="675"/>
      <c r="AE1102" s="675"/>
      <c r="AG1102" s="675"/>
      <c r="AH1102" s="680"/>
    </row>
    <row r="1103" spans="1:34" s="536" customFormat="1" ht="12" x14ac:dyDescent="0.2">
      <c r="A1103" s="676"/>
      <c r="B1103" s="664"/>
      <c r="C1103" s="1822" t="s">
        <v>6953</v>
      </c>
      <c r="D1103" s="1822"/>
      <c r="E1103" s="1822"/>
      <c r="F1103" s="1822"/>
      <c r="G1103" s="1822"/>
      <c r="H1103" s="1822"/>
      <c r="I1103" s="1822"/>
      <c r="J1103" s="1822"/>
      <c r="K1103" s="1822"/>
      <c r="L1103" s="1822"/>
      <c r="M1103" s="1822"/>
      <c r="N1103" s="1827"/>
      <c r="V1103" s="674"/>
      <c r="W1103" s="675"/>
      <c r="X1103" s="537" t="s">
        <v>6953</v>
      </c>
      <c r="AC1103" s="675"/>
      <c r="AD1103" s="675"/>
      <c r="AE1103" s="675"/>
      <c r="AG1103" s="675"/>
      <c r="AH1103" s="680"/>
    </row>
    <row r="1104" spans="1:34" s="536" customFormat="1" ht="33.75" x14ac:dyDescent="0.2">
      <c r="A1104" s="609"/>
      <c r="B1104" s="552" t="s">
        <v>310</v>
      </c>
      <c r="C1104" s="1822" t="s">
        <v>311</v>
      </c>
      <c r="D1104" s="1822"/>
      <c r="E1104" s="1822"/>
      <c r="F1104" s="1822"/>
      <c r="G1104" s="1822"/>
      <c r="H1104" s="1822"/>
      <c r="I1104" s="1822"/>
      <c r="J1104" s="1822"/>
      <c r="K1104" s="1822"/>
      <c r="L1104" s="1822"/>
      <c r="M1104" s="1822"/>
      <c r="N1104" s="1827"/>
      <c r="V1104" s="674"/>
      <c r="W1104" s="675"/>
      <c r="Y1104" s="537" t="s">
        <v>311</v>
      </c>
      <c r="AC1104" s="675"/>
      <c r="AD1104" s="675"/>
      <c r="AE1104" s="675"/>
      <c r="AG1104" s="675"/>
      <c r="AH1104" s="680"/>
    </row>
    <row r="1105" spans="1:34" s="536" customFormat="1" ht="12" x14ac:dyDescent="0.2">
      <c r="A1105" s="605"/>
      <c r="B1105" s="552" t="s">
        <v>185</v>
      </c>
      <c r="C1105" s="1822" t="s">
        <v>312</v>
      </c>
      <c r="D1105" s="1822"/>
      <c r="E1105" s="1822"/>
      <c r="F1105" s="562"/>
      <c r="G1105" s="562"/>
      <c r="H1105" s="562"/>
      <c r="I1105" s="562"/>
      <c r="J1105" s="604">
        <v>28.11</v>
      </c>
      <c r="K1105" s="562" t="s">
        <v>313</v>
      </c>
      <c r="L1105" s="604">
        <v>28.78</v>
      </c>
      <c r="M1105" s="603"/>
      <c r="N1105" s="602"/>
      <c r="V1105" s="674"/>
      <c r="W1105" s="675"/>
      <c r="Z1105" s="537" t="s">
        <v>312</v>
      </c>
      <c r="AC1105" s="675"/>
      <c r="AD1105" s="675"/>
      <c r="AE1105" s="675"/>
      <c r="AG1105" s="675"/>
      <c r="AH1105" s="680"/>
    </row>
    <row r="1106" spans="1:34" s="536" customFormat="1" ht="12" x14ac:dyDescent="0.2">
      <c r="A1106" s="605"/>
      <c r="B1106" s="552" t="s">
        <v>186</v>
      </c>
      <c r="C1106" s="1822" t="s">
        <v>344</v>
      </c>
      <c r="D1106" s="1822"/>
      <c r="E1106" s="1822"/>
      <c r="F1106" s="562"/>
      <c r="G1106" s="562"/>
      <c r="H1106" s="562"/>
      <c r="I1106" s="562"/>
      <c r="J1106" s="604">
        <v>177.58</v>
      </c>
      <c r="K1106" s="562" t="s">
        <v>313</v>
      </c>
      <c r="L1106" s="604">
        <v>181.8</v>
      </c>
      <c r="M1106" s="603"/>
      <c r="N1106" s="602"/>
      <c r="V1106" s="674"/>
      <c r="W1106" s="675"/>
      <c r="Z1106" s="537" t="s">
        <v>344</v>
      </c>
      <c r="AC1106" s="675"/>
      <c r="AD1106" s="675"/>
      <c r="AE1106" s="675"/>
      <c r="AG1106" s="675"/>
      <c r="AH1106" s="680"/>
    </row>
    <row r="1107" spans="1:34" s="536" customFormat="1" ht="12" x14ac:dyDescent="0.2">
      <c r="A1107" s="605"/>
      <c r="B1107" s="552" t="s">
        <v>187</v>
      </c>
      <c r="C1107" s="1822" t="s">
        <v>345</v>
      </c>
      <c r="D1107" s="1822"/>
      <c r="E1107" s="1822"/>
      <c r="F1107" s="562"/>
      <c r="G1107" s="562"/>
      <c r="H1107" s="562"/>
      <c r="I1107" s="562"/>
      <c r="J1107" s="604">
        <v>25.59</v>
      </c>
      <c r="K1107" s="562" t="s">
        <v>313</v>
      </c>
      <c r="L1107" s="604">
        <v>26.2</v>
      </c>
      <c r="M1107" s="603"/>
      <c r="N1107" s="602"/>
      <c r="V1107" s="674"/>
      <c r="W1107" s="675"/>
      <c r="Z1107" s="537" t="s">
        <v>345</v>
      </c>
      <c r="AC1107" s="675"/>
      <c r="AD1107" s="675"/>
      <c r="AE1107" s="675"/>
      <c r="AG1107" s="675"/>
      <c r="AH1107" s="680"/>
    </row>
    <row r="1108" spans="1:34" s="536" customFormat="1" ht="12" x14ac:dyDescent="0.2">
      <c r="A1108" s="605"/>
      <c r="B1108" s="552" t="s">
        <v>188</v>
      </c>
      <c r="C1108" s="1822" t="s">
        <v>475</v>
      </c>
      <c r="D1108" s="1822"/>
      <c r="E1108" s="1822"/>
      <c r="F1108" s="562"/>
      <c r="G1108" s="562"/>
      <c r="H1108" s="562"/>
      <c r="I1108" s="562"/>
      <c r="J1108" s="604">
        <v>32.520000000000003</v>
      </c>
      <c r="K1108" s="562"/>
      <c r="L1108" s="604">
        <v>26.63</v>
      </c>
      <c r="M1108" s="603"/>
      <c r="N1108" s="602"/>
      <c r="V1108" s="674"/>
      <c r="W1108" s="675"/>
      <c r="Z1108" s="537" t="s">
        <v>475</v>
      </c>
      <c r="AC1108" s="675"/>
      <c r="AD1108" s="675"/>
      <c r="AE1108" s="675"/>
      <c r="AG1108" s="675"/>
      <c r="AH1108" s="680"/>
    </row>
    <row r="1109" spans="1:34" s="536" customFormat="1" ht="12" x14ac:dyDescent="0.2">
      <c r="A1109" s="676"/>
      <c r="B1109" s="677" t="s">
        <v>4278</v>
      </c>
      <c r="C1109" s="1829" t="s">
        <v>4279</v>
      </c>
      <c r="D1109" s="1829"/>
      <c r="E1109" s="1829"/>
      <c r="F1109" s="678" t="s">
        <v>699</v>
      </c>
      <c r="G1109" s="678" t="s">
        <v>4285</v>
      </c>
      <c r="H1109" s="678"/>
      <c r="I1109" s="678" t="s">
        <v>6954</v>
      </c>
      <c r="J1109" s="552"/>
      <c r="K1109" s="562"/>
      <c r="L1109" s="604"/>
      <c r="M1109" s="562"/>
      <c r="N1109" s="679"/>
      <c r="V1109" s="674"/>
      <c r="W1109" s="675"/>
      <c r="AC1109" s="675"/>
      <c r="AD1109" s="675"/>
      <c r="AE1109" s="675"/>
      <c r="AG1109" s="675"/>
      <c r="AH1109" s="680" t="s">
        <v>4279</v>
      </c>
    </row>
    <row r="1110" spans="1:34" s="536" customFormat="1" ht="12" x14ac:dyDescent="0.2">
      <c r="A1110" s="605"/>
      <c r="B1110" s="552"/>
      <c r="C1110" s="1822" t="s">
        <v>314</v>
      </c>
      <c r="D1110" s="1822"/>
      <c r="E1110" s="1822"/>
      <c r="F1110" s="562" t="s">
        <v>315</v>
      </c>
      <c r="G1110" s="562" t="s">
        <v>4280</v>
      </c>
      <c r="H1110" s="562" t="s">
        <v>313</v>
      </c>
      <c r="I1110" s="562" t="s">
        <v>6955</v>
      </c>
      <c r="J1110" s="604"/>
      <c r="K1110" s="562"/>
      <c r="L1110" s="604"/>
      <c r="M1110" s="603"/>
      <c r="N1110" s="602"/>
      <c r="V1110" s="674"/>
      <c r="W1110" s="675"/>
      <c r="AA1110" s="537" t="s">
        <v>314</v>
      </c>
      <c r="AC1110" s="675"/>
      <c r="AD1110" s="675"/>
      <c r="AE1110" s="675"/>
      <c r="AG1110" s="675"/>
      <c r="AH1110" s="680"/>
    </row>
    <row r="1111" spans="1:34" s="536" customFormat="1" ht="12" x14ac:dyDescent="0.2">
      <c r="A1111" s="605"/>
      <c r="B1111" s="552"/>
      <c r="C1111" s="1822" t="s">
        <v>348</v>
      </c>
      <c r="D1111" s="1822"/>
      <c r="E1111" s="1822"/>
      <c r="F1111" s="562" t="s">
        <v>315</v>
      </c>
      <c r="G1111" s="562" t="s">
        <v>1244</v>
      </c>
      <c r="H1111" s="562" t="s">
        <v>313</v>
      </c>
      <c r="I1111" s="562" t="s">
        <v>6956</v>
      </c>
      <c r="J1111" s="604"/>
      <c r="K1111" s="562"/>
      <c r="L1111" s="604"/>
      <c r="M1111" s="603"/>
      <c r="N1111" s="602"/>
      <c r="V1111" s="674"/>
      <c r="W1111" s="675"/>
      <c r="AA1111" s="537" t="s">
        <v>348</v>
      </c>
      <c r="AC1111" s="675"/>
      <c r="AD1111" s="675"/>
      <c r="AE1111" s="675"/>
      <c r="AG1111" s="675"/>
      <c r="AH1111" s="680"/>
    </row>
    <row r="1112" spans="1:34" s="536" customFormat="1" ht="12" x14ac:dyDescent="0.2">
      <c r="A1112" s="605"/>
      <c r="B1112" s="552"/>
      <c r="C1112" s="1828" t="s">
        <v>318</v>
      </c>
      <c r="D1112" s="1828"/>
      <c r="E1112" s="1828"/>
      <c r="F1112" s="608"/>
      <c r="G1112" s="608"/>
      <c r="H1112" s="608"/>
      <c r="I1112" s="608"/>
      <c r="J1112" s="607">
        <v>238.21</v>
      </c>
      <c r="K1112" s="608"/>
      <c r="L1112" s="607">
        <v>237.21</v>
      </c>
      <c r="M1112" s="601"/>
      <c r="N1112" s="606"/>
      <c r="V1112" s="674"/>
      <c r="W1112" s="675"/>
      <c r="AB1112" s="537" t="s">
        <v>318</v>
      </c>
      <c r="AC1112" s="675"/>
      <c r="AD1112" s="675"/>
      <c r="AE1112" s="675"/>
      <c r="AG1112" s="675"/>
      <c r="AH1112" s="680"/>
    </row>
    <row r="1113" spans="1:34" s="536" customFormat="1" ht="12" x14ac:dyDescent="0.2">
      <c r="A1113" s="605"/>
      <c r="B1113" s="552"/>
      <c r="C1113" s="1822" t="s">
        <v>319</v>
      </c>
      <c r="D1113" s="1822"/>
      <c r="E1113" s="1822"/>
      <c r="F1113" s="562"/>
      <c r="G1113" s="562"/>
      <c r="H1113" s="562"/>
      <c r="I1113" s="562"/>
      <c r="J1113" s="604"/>
      <c r="K1113" s="562"/>
      <c r="L1113" s="604">
        <v>54.98</v>
      </c>
      <c r="M1113" s="603"/>
      <c r="N1113" s="602"/>
      <c r="V1113" s="674"/>
      <c r="W1113" s="675"/>
      <c r="AA1113" s="537" t="s">
        <v>319</v>
      </c>
      <c r="AC1113" s="675"/>
      <c r="AD1113" s="675"/>
      <c r="AE1113" s="675"/>
      <c r="AG1113" s="675"/>
      <c r="AH1113" s="680"/>
    </row>
    <row r="1114" spans="1:34" s="536" customFormat="1" ht="33.75" x14ac:dyDescent="0.2">
      <c r="A1114" s="605"/>
      <c r="B1114" s="552" t="s">
        <v>554</v>
      </c>
      <c r="C1114" s="1822" t="s">
        <v>555</v>
      </c>
      <c r="D1114" s="1822"/>
      <c r="E1114" s="1822"/>
      <c r="F1114" s="562" t="s">
        <v>322</v>
      </c>
      <c r="G1114" s="562" t="s">
        <v>556</v>
      </c>
      <c r="H1114" s="562"/>
      <c r="I1114" s="562" t="s">
        <v>556</v>
      </c>
      <c r="J1114" s="604"/>
      <c r="K1114" s="562"/>
      <c r="L1114" s="604">
        <v>69.27</v>
      </c>
      <c r="M1114" s="603"/>
      <c r="N1114" s="602"/>
      <c r="V1114" s="674"/>
      <c r="W1114" s="675"/>
      <c r="AA1114" s="537" t="s">
        <v>555</v>
      </c>
      <c r="AC1114" s="675"/>
      <c r="AD1114" s="675"/>
      <c r="AE1114" s="675"/>
      <c r="AG1114" s="675"/>
      <c r="AH1114" s="680"/>
    </row>
    <row r="1115" spans="1:34" s="536" customFormat="1" ht="33.75" x14ac:dyDescent="0.2">
      <c r="A1115" s="605"/>
      <c r="B1115" s="552" t="s">
        <v>557</v>
      </c>
      <c r="C1115" s="1822" t="s">
        <v>558</v>
      </c>
      <c r="D1115" s="1822"/>
      <c r="E1115" s="1822"/>
      <c r="F1115" s="562" t="s">
        <v>322</v>
      </c>
      <c r="G1115" s="562" t="s">
        <v>559</v>
      </c>
      <c r="H1115" s="562"/>
      <c r="I1115" s="562" t="s">
        <v>559</v>
      </c>
      <c r="J1115" s="604"/>
      <c r="K1115" s="562"/>
      <c r="L1115" s="604">
        <v>52.23</v>
      </c>
      <c r="M1115" s="603"/>
      <c r="N1115" s="602"/>
      <c r="V1115" s="674"/>
      <c r="W1115" s="675"/>
      <c r="AA1115" s="537" t="s">
        <v>558</v>
      </c>
      <c r="AC1115" s="675"/>
      <c r="AD1115" s="675"/>
      <c r="AE1115" s="675"/>
      <c r="AG1115" s="675"/>
      <c r="AH1115" s="680"/>
    </row>
    <row r="1116" spans="1:34" s="536" customFormat="1" ht="12" x14ac:dyDescent="0.2">
      <c r="A1116" s="569"/>
      <c r="B1116" s="671"/>
      <c r="C1116" s="1823" t="s">
        <v>327</v>
      </c>
      <c r="D1116" s="1823"/>
      <c r="E1116" s="1823"/>
      <c r="F1116" s="573"/>
      <c r="G1116" s="573"/>
      <c r="H1116" s="573"/>
      <c r="I1116" s="573"/>
      <c r="J1116" s="572"/>
      <c r="K1116" s="573"/>
      <c r="L1116" s="572">
        <v>358.71</v>
      </c>
      <c r="M1116" s="601"/>
      <c r="N1116" s="570"/>
      <c r="V1116" s="674"/>
      <c r="W1116" s="675"/>
      <c r="AC1116" s="675" t="s">
        <v>327</v>
      </c>
      <c r="AD1116" s="675"/>
      <c r="AE1116" s="675"/>
      <c r="AG1116" s="675"/>
      <c r="AH1116" s="680"/>
    </row>
    <row r="1117" spans="1:34" s="536" customFormat="1" ht="56.25" x14ac:dyDescent="0.2">
      <c r="A1117" s="575" t="s">
        <v>3035</v>
      </c>
      <c r="B1117" s="670" t="s">
        <v>4281</v>
      </c>
      <c r="C1117" s="1823" t="s">
        <v>4282</v>
      </c>
      <c r="D1117" s="1823"/>
      <c r="E1117" s="1823"/>
      <c r="F1117" s="573" t="s">
        <v>699</v>
      </c>
      <c r="G1117" s="573"/>
      <c r="H1117" s="573"/>
      <c r="I1117" s="573" t="s">
        <v>6957</v>
      </c>
      <c r="J1117" s="572">
        <v>27</v>
      </c>
      <c r="K1117" s="573"/>
      <c r="L1117" s="572">
        <v>232.2</v>
      </c>
      <c r="M1117" s="571"/>
      <c r="N1117" s="570"/>
      <c r="V1117" s="674"/>
      <c r="W1117" s="675" t="s">
        <v>4282</v>
      </c>
      <c r="AC1117" s="675"/>
      <c r="AD1117" s="675"/>
      <c r="AE1117" s="675"/>
      <c r="AG1117" s="675"/>
      <c r="AH1117" s="680"/>
    </row>
    <row r="1118" spans="1:34" s="536" customFormat="1" ht="12" x14ac:dyDescent="0.2">
      <c r="A1118" s="569"/>
      <c r="B1118" s="671"/>
      <c r="C1118" s="665" t="s">
        <v>717</v>
      </c>
      <c r="D1118" s="666"/>
      <c r="E1118" s="666"/>
      <c r="F1118" s="563"/>
      <c r="G1118" s="563"/>
      <c r="H1118" s="563"/>
      <c r="I1118" s="563"/>
      <c r="J1118" s="566"/>
      <c r="K1118" s="563"/>
      <c r="L1118" s="566"/>
      <c r="M1118" s="565"/>
      <c r="N1118" s="564"/>
      <c r="V1118" s="674"/>
      <c r="W1118" s="675"/>
      <c r="AC1118" s="675"/>
      <c r="AD1118" s="675"/>
      <c r="AE1118" s="675"/>
      <c r="AG1118" s="675"/>
      <c r="AH1118" s="680"/>
    </row>
    <row r="1119" spans="1:34" s="536" customFormat="1" ht="56.25" x14ac:dyDescent="0.2">
      <c r="A1119" s="575" t="s">
        <v>3036</v>
      </c>
      <c r="B1119" s="670" t="s">
        <v>4286</v>
      </c>
      <c r="C1119" s="1823" t="s">
        <v>6958</v>
      </c>
      <c r="D1119" s="1823"/>
      <c r="E1119" s="1823"/>
      <c r="F1119" s="573" t="s">
        <v>2983</v>
      </c>
      <c r="G1119" s="573"/>
      <c r="H1119" s="573"/>
      <c r="I1119" s="573" t="s">
        <v>6959</v>
      </c>
      <c r="J1119" s="572"/>
      <c r="K1119" s="573"/>
      <c r="L1119" s="572"/>
      <c r="M1119" s="571"/>
      <c r="N1119" s="570"/>
      <c r="V1119" s="674"/>
      <c r="W1119" s="675" t="s">
        <v>6958</v>
      </c>
      <c r="AC1119" s="675"/>
      <c r="AD1119" s="675"/>
      <c r="AE1119" s="675"/>
      <c r="AG1119" s="675"/>
      <c r="AH1119" s="680"/>
    </row>
    <row r="1120" spans="1:34" s="536" customFormat="1" ht="12" x14ac:dyDescent="0.2">
      <c r="A1120" s="676"/>
      <c r="B1120" s="664"/>
      <c r="C1120" s="1822" t="s">
        <v>6960</v>
      </c>
      <c r="D1120" s="1822"/>
      <c r="E1120" s="1822"/>
      <c r="F1120" s="1822"/>
      <c r="G1120" s="1822"/>
      <c r="H1120" s="1822"/>
      <c r="I1120" s="1822"/>
      <c r="J1120" s="1822"/>
      <c r="K1120" s="1822"/>
      <c r="L1120" s="1822"/>
      <c r="M1120" s="1822"/>
      <c r="N1120" s="1827"/>
      <c r="V1120" s="674"/>
      <c r="W1120" s="675"/>
      <c r="X1120" s="537" t="s">
        <v>6960</v>
      </c>
      <c r="AC1120" s="675"/>
      <c r="AD1120" s="675"/>
      <c r="AE1120" s="675"/>
      <c r="AG1120" s="675"/>
      <c r="AH1120" s="680"/>
    </row>
    <row r="1121" spans="1:34" s="536" customFormat="1" ht="33.75" x14ac:dyDescent="0.2">
      <c r="A1121" s="609"/>
      <c r="B1121" s="552" t="s">
        <v>310</v>
      </c>
      <c r="C1121" s="1822" t="s">
        <v>311</v>
      </c>
      <c r="D1121" s="1822"/>
      <c r="E1121" s="1822"/>
      <c r="F1121" s="1822"/>
      <c r="G1121" s="1822"/>
      <c r="H1121" s="1822"/>
      <c r="I1121" s="1822"/>
      <c r="J1121" s="1822"/>
      <c r="K1121" s="1822"/>
      <c r="L1121" s="1822"/>
      <c r="M1121" s="1822"/>
      <c r="N1121" s="1827"/>
      <c r="V1121" s="674"/>
      <c r="W1121" s="675"/>
      <c r="Y1121" s="537" t="s">
        <v>311</v>
      </c>
      <c r="AC1121" s="675"/>
      <c r="AD1121" s="675"/>
      <c r="AE1121" s="675"/>
      <c r="AG1121" s="675"/>
      <c r="AH1121" s="680"/>
    </row>
    <row r="1122" spans="1:34" s="536" customFormat="1" ht="12" x14ac:dyDescent="0.2">
      <c r="A1122" s="605"/>
      <c r="B1122" s="552" t="s">
        <v>185</v>
      </c>
      <c r="C1122" s="1822" t="s">
        <v>312</v>
      </c>
      <c r="D1122" s="1822"/>
      <c r="E1122" s="1822"/>
      <c r="F1122" s="562"/>
      <c r="G1122" s="562"/>
      <c r="H1122" s="562"/>
      <c r="I1122" s="562"/>
      <c r="J1122" s="604">
        <v>44.4</v>
      </c>
      <c r="K1122" s="562" t="s">
        <v>313</v>
      </c>
      <c r="L1122" s="604">
        <v>15.98</v>
      </c>
      <c r="M1122" s="603"/>
      <c r="N1122" s="602"/>
      <c r="V1122" s="674"/>
      <c r="W1122" s="675"/>
      <c r="Z1122" s="537" t="s">
        <v>312</v>
      </c>
      <c r="AC1122" s="675"/>
      <c r="AD1122" s="675"/>
      <c r="AE1122" s="675"/>
      <c r="AG1122" s="675"/>
      <c r="AH1122" s="680"/>
    </row>
    <row r="1123" spans="1:34" s="536" customFormat="1" ht="12" x14ac:dyDescent="0.2">
      <c r="A1123" s="605"/>
      <c r="B1123" s="552" t="s">
        <v>186</v>
      </c>
      <c r="C1123" s="1822" t="s">
        <v>344</v>
      </c>
      <c r="D1123" s="1822"/>
      <c r="E1123" s="1822"/>
      <c r="F1123" s="562"/>
      <c r="G1123" s="562"/>
      <c r="H1123" s="562"/>
      <c r="I1123" s="562"/>
      <c r="J1123" s="604">
        <v>149</v>
      </c>
      <c r="K1123" s="562" t="s">
        <v>313</v>
      </c>
      <c r="L1123" s="604">
        <v>53.64</v>
      </c>
      <c r="M1123" s="603"/>
      <c r="N1123" s="602"/>
      <c r="V1123" s="674"/>
      <c r="W1123" s="675"/>
      <c r="Z1123" s="537" t="s">
        <v>344</v>
      </c>
      <c r="AC1123" s="675"/>
      <c r="AD1123" s="675"/>
      <c r="AE1123" s="675"/>
      <c r="AG1123" s="675"/>
      <c r="AH1123" s="680"/>
    </row>
    <row r="1124" spans="1:34" s="536" customFormat="1" ht="12" x14ac:dyDescent="0.2">
      <c r="A1124" s="605"/>
      <c r="B1124" s="552" t="s">
        <v>187</v>
      </c>
      <c r="C1124" s="1822" t="s">
        <v>345</v>
      </c>
      <c r="D1124" s="1822"/>
      <c r="E1124" s="1822"/>
      <c r="F1124" s="562"/>
      <c r="G1124" s="562"/>
      <c r="H1124" s="562"/>
      <c r="I1124" s="562"/>
      <c r="J1124" s="604">
        <v>31.51</v>
      </c>
      <c r="K1124" s="562" t="s">
        <v>313</v>
      </c>
      <c r="L1124" s="604">
        <v>11.34</v>
      </c>
      <c r="M1124" s="603"/>
      <c r="N1124" s="602"/>
      <c r="V1124" s="674"/>
      <c r="W1124" s="675"/>
      <c r="Z1124" s="537" t="s">
        <v>345</v>
      </c>
      <c r="AC1124" s="675"/>
      <c r="AD1124" s="675"/>
      <c r="AE1124" s="675"/>
      <c r="AG1124" s="675"/>
      <c r="AH1124" s="680"/>
    </row>
    <row r="1125" spans="1:34" s="536" customFormat="1" ht="12" x14ac:dyDescent="0.2">
      <c r="A1125" s="605"/>
      <c r="B1125" s="552" t="s">
        <v>188</v>
      </c>
      <c r="C1125" s="1822" t="s">
        <v>475</v>
      </c>
      <c r="D1125" s="1822"/>
      <c r="E1125" s="1822"/>
      <c r="F1125" s="562"/>
      <c r="G1125" s="562"/>
      <c r="H1125" s="562"/>
      <c r="I1125" s="562"/>
      <c r="J1125" s="604">
        <v>4.03</v>
      </c>
      <c r="K1125" s="562"/>
      <c r="L1125" s="604">
        <v>1.1599999999999999</v>
      </c>
      <c r="M1125" s="603"/>
      <c r="N1125" s="602"/>
      <c r="V1125" s="674"/>
      <c r="W1125" s="675"/>
      <c r="Z1125" s="537" t="s">
        <v>475</v>
      </c>
      <c r="AC1125" s="675"/>
      <c r="AD1125" s="675"/>
      <c r="AE1125" s="675"/>
      <c r="AG1125" s="675"/>
      <c r="AH1125" s="680"/>
    </row>
    <row r="1126" spans="1:34" s="536" customFormat="1" ht="12" x14ac:dyDescent="0.2">
      <c r="A1126" s="676"/>
      <c r="B1126" s="677" t="s">
        <v>4287</v>
      </c>
      <c r="C1126" s="1829" t="s">
        <v>4288</v>
      </c>
      <c r="D1126" s="1829"/>
      <c r="E1126" s="1829"/>
      <c r="F1126" s="678" t="s">
        <v>694</v>
      </c>
      <c r="G1126" s="678" t="s">
        <v>1805</v>
      </c>
      <c r="H1126" s="678"/>
      <c r="I1126" s="678" t="s">
        <v>6961</v>
      </c>
      <c r="J1126" s="552"/>
      <c r="K1126" s="562"/>
      <c r="L1126" s="604"/>
      <c r="M1126" s="562"/>
      <c r="N1126" s="679"/>
      <c r="V1126" s="674"/>
      <c r="W1126" s="675"/>
      <c r="AC1126" s="675"/>
      <c r="AD1126" s="675"/>
      <c r="AE1126" s="675"/>
      <c r="AG1126" s="675"/>
      <c r="AH1126" s="680" t="s">
        <v>4288</v>
      </c>
    </row>
    <row r="1127" spans="1:34" s="536" customFormat="1" ht="12" x14ac:dyDescent="0.2">
      <c r="A1127" s="605"/>
      <c r="B1127" s="552"/>
      <c r="C1127" s="1822" t="s">
        <v>314</v>
      </c>
      <c r="D1127" s="1822"/>
      <c r="E1127" s="1822"/>
      <c r="F1127" s="562" t="s">
        <v>315</v>
      </c>
      <c r="G1127" s="562" t="s">
        <v>4289</v>
      </c>
      <c r="H1127" s="562" t="s">
        <v>313</v>
      </c>
      <c r="I1127" s="562" t="s">
        <v>6962</v>
      </c>
      <c r="J1127" s="604"/>
      <c r="K1127" s="562"/>
      <c r="L1127" s="604"/>
      <c r="M1127" s="603"/>
      <c r="N1127" s="602"/>
      <c r="V1127" s="674"/>
      <c r="W1127" s="675"/>
      <c r="AA1127" s="537" t="s">
        <v>314</v>
      </c>
      <c r="AC1127" s="675"/>
      <c r="AD1127" s="675"/>
      <c r="AE1127" s="675"/>
      <c r="AG1127" s="675"/>
      <c r="AH1127" s="680"/>
    </row>
    <row r="1128" spans="1:34" s="536" customFormat="1" ht="12" x14ac:dyDescent="0.2">
      <c r="A1128" s="605"/>
      <c r="B1128" s="552"/>
      <c r="C1128" s="1822" t="s">
        <v>348</v>
      </c>
      <c r="D1128" s="1822"/>
      <c r="E1128" s="1822"/>
      <c r="F1128" s="562" t="s">
        <v>315</v>
      </c>
      <c r="G1128" s="562" t="s">
        <v>2030</v>
      </c>
      <c r="H1128" s="562" t="s">
        <v>313</v>
      </c>
      <c r="I1128" s="562" t="s">
        <v>6963</v>
      </c>
      <c r="J1128" s="604"/>
      <c r="K1128" s="562"/>
      <c r="L1128" s="604"/>
      <c r="M1128" s="603"/>
      <c r="N1128" s="602"/>
      <c r="V1128" s="674"/>
      <c r="W1128" s="675"/>
      <c r="AA1128" s="537" t="s">
        <v>348</v>
      </c>
      <c r="AC1128" s="675"/>
      <c r="AD1128" s="675"/>
      <c r="AE1128" s="675"/>
      <c r="AG1128" s="675"/>
      <c r="AH1128" s="680"/>
    </row>
    <row r="1129" spans="1:34" s="536" customFormat="1" ht="12" x14ac:dyDescent="0.2">
      <c r="A1129" s="605"/>
      <c r="B1129" s="552"/>
      <c r="C1129" s="1828" t="s">
        <v>318</v>
      </c>
      <c r="D1129" s="1828"/>
      <c r="E1129" s="1828"/>
      <c r="F1129" s="608"/>
      <c r="G1129" s="608"/>
      <c r="H1129" s="608"/>
      <c r="I1129" s="608"/>
      <c r="J1129" s="607">
        <v>197.43</v>
      </c>
      <c r="K1129" s="608"/>
      <c r="L1129" s="607">
        <v>70.78</v>
      </c>
      <c r="M1129" s="601"/>
      <c r="N1129" s="606"/>
      <c r="V1129" s="674"/>
      <c r="W1129" s="675"/>
      <c r="AB1129" s="537" t="s">
        <v>318</v>
      </c>
      <c r="AC1129" s="675"/>
      <c r="AD1129" s="675"/>
      <c r="AE1129" s="675"/>
      <c r="AG1129" s="675"/>
      <c r="AH1129" s="680"/>
    </row>
    <row r="1130" spans="1:34" s="536" customFormat="1" ht="12" x14ac:dyDescent="0.2">
      <c r="A1130" s="605"/>
      <c r="B1130" s="552"/>
      <c r="C1130" s="1822" t="s">
        <v>319</v>
      </c>
      <c r="D1130" s="1822"/>
      <c r="E1130" s="1822"/>
      <c r="F1130" s="562"/>
      <c r="G1130" s="562"/>
      <c r="H1130" s="562"/>
      <c r="I1130" s="562"/>
      <c r="J1130" s="604"/>
      <c r="K1130" s="562"/>
      <c r="L1130" s="604">
        <v>27.32</v>
      </c>
      <c r="M1130" s="603"/>
      <c r="N1130" s="602"/>
      <c r="V1130" s="674"/>
      <c r="W1130" s="675"/>
      <c r="AA1130" s="537" t="s">
        <v>319</v>
      </c>
      <c r="AC1130" s="675"/>
      <c r="AD1130" s="675"/>
      <c r="AE1130" s="675"/>
      <c r="AG1130" s="675"/>
      <c r="AH1130" s="680"/>
    </row>
    <row r="1131" spans="1:34" s="536" customFormat="1" ht="33.75" x14ac:dyDescent="0.2">
      <c r="A1131" s="605"/>
      <c r="B1131" s="552" t="s">
        <v>554</v>
      </c>
      <c r="C1131" s="1822" t="s">
        <v>555</v>
      </c>
      <c r="D1131" s="1822"/>
      <c r="E1131" s="1822"/>
      <c r="F1131" s="562" t="s">
        <v>322</v>
      </c>
      <c r="G1131" s="562" t="s">
        <v>556</v>
      </c>
      <c r="H1131" s="562"/>
      <c r="I1131" s="562" t="s">
        <v>556</v>
      </c>
      <c r="J1131" s="604"/>
      <c r="K1131" s="562"/>
      <c r="L1131" s="604">
        <v>34.42</v>
      </c>
      <c r="M1131" s="603"/>
      <c r="N1131" s="602"/>
      <c r="V1131" s="674"/>
      <c r="W1131" s="675"/>
      <c r="AA1131" s="537" t="s">
        <v>555</v>
      </c>
      <c r="AC1131" s="675"/>
      <c r="AD1131" s="675"/>
      <c r="AE1131" s="675"/>
      <c r="AG1131" s="675"/>
      <c r="AH1131" s="680"/>
    </row>
    <row r="1132" spans="1:34" s="536" customFormat="1" ht="33.75" x14ac:dyDescent="0.2">
      <c r="A1132" s="605"/>
      <c r="B1132" s="552" t="s">
        <v>557</v>
      </c>
      <c r="C1132" s="1822" t="s">
        <v>558</v>
      </c>
      <c r="D1132" s="1822"/>
      <c r="E1132" s="1822"/>
      <c r="F1132" s="562" t="s">
        <v>322</v>
      </c>
      <c r="G1132" s="562" t="s">
        <v>559</v>
      </c>
      <c r="H1132" s="562"/>
      <c r="I1132" s="562" t="s">
        <v>559</v>
      </c>
      <c r="J1132" s="604"/>
      <c r="K1132" s="562"/>
      <c r="L1132" s="604">
        <v>25.95</v>
      </c>
      <c r="M1132" s="603"/>
      <c r="N1132" s="602"/>
      <c r="V1132" s="674"/>
      <c r="W1132" s="675"/>
      <c r="AA1132" s="537" t="s">
        <v>558</v>
      </c>
      <c r="AC1132" s="675"/>
      <c r="AD1132" s="675"/>
      <c r="AE1132" s="675"/>
      <c r="AG1132" s="675"/>
      <c r="AH1132" s="680"/>
    </row>
    <row r="1133" spans="1:34" s="536" customFormat="1" ht="12" x14ac:dyDescent="0.2">
      <c r="A1133" s="569"/>
      <c r="B1133" s="671"/>
      <c r="C1133" s="1823" t="s">
        <v>327</v>
      </c>
      <c r="D1133" s="1823"/>
      <c r="E1133" s="1823"/>
      <c r="F1133" s="573"/>
      <c r="G1133" s="573"/>
      <c r="H1133" s="573"/>
      <c r="I1133" s="573"/>
      <c r="J1133" s="572"/>
      <c r="K1133" s="573"/>
      <c r="L1133" s="572">
        <v>131.15</v>
      </c>
      <c r="M1133" s="601"/>
      <c r="N1133" s="570"/>
      <c r="V1133" s="674"/>
      <c r="W1133" s="675"/>
      <c r="AC1133" s="675" t="s">
        <v>327</v>
      </c>
      <c r="AD1133" s="675"/>
      <c r="AE1133" s="675"/>
      <c r="AG1133" s="675"/>
      <c r="AH1133" s="680"/>
    </row>
    <row r="1134" spans="1:34" s="536" customFormat="1" ht="56.25" x14ac:dyDescent="0.2">
      <c r="A1134" s="575" t="s">
        <v>3039</v>
      </c>
      <c r="B1134" s="670" t="s">
        <v>4281</v>
      </c>
      <c r="C1134" s="1823" t="s">
        <v>4282</v>
      </c>
      <c r="D1134" s="1823"/>
      <c r="E1134" s="1823"/>
      <c r="F1134" s="573" t="s">
        <v>699</v>
      </c>
      <c r="G1134" s="573"/>
      <c r="H1134" s="573"/>
      <c r="I1134" s="573" t="s">
        <v>3860</v>
      </c>
      <c r="J1134" s="572">
        <v>27</v>
      </c>
      <c r="K1134" s="573"/>
      <c r="L1134" s="572">
        <v>54.54</v>
      </c>
      <c r="M1134" s="571"/>
      <c r="N1134" s="570"/>
      <c r="V1134" s="674"/>
      <c r="W1134" s="675" t="s">
        <v>4282</v>
      </c>
      <c r="AC1134" s="675"/>
      <c r="AD1134" s="675"/>
      <c r="AE1134" s="675"/>
      <c r="AG1134" s="675"/>
      <c r="AH1134" s="680"/>
    </row>
    <row r="1135" spans="1:34" s="536" customFormat="1" ht="12" x14ac:dyDescent="0.2">
      <c r="A1135" s="569"/>
      <c r="B1135" s="671"/>
      <c r="C1135" s="665" t="s">
        <v>717</v>
      </c>
      <c r="D1135" s="666"/>
      <c r="E1135" s="666"/>
      <c r="F1135" s="563"/>
      <c r="G1135" s="563"/>
      <c r="H1135" s="563"/>
      <c r="I1135" s="563"/>
      <c r="J1135" s="566"/>
      <c r="K1135" s="563"/>
      <c r="L1135" s="566"/>
      <c r="M1135" s="565"/>
      <c r="N1135" s="564"/>
      <c r="V1135" s="674"/>
      <c r="W1135" s="675"/>
      <c r="AC1135" s="675"/>
      <c r="AD1135" s="675"/>
      <c r="AE1135" s="675"/>
      <c r="AG1135" s="675"/>
      <c r="AH1135" s="680"/>
    </row>
    <row r="1136" spans="1:34" s="536" customFormat="1" ht="12" x14ac:dyDescent="0.2">
      <c r="A1136" s="676"/>
      <c r="B1136" s="664"/>
      <c r="C1136" s="1822" t="s">
        <v>6964</v>
      </c>
      <c r="D1136" s="1822"/>
      <c r="E1136" s="1822"/>
      <c r="F1136" s="1822"/>
      <c r="G1136" s="1822"/>
      <c r="H1136" s="1822"/>
      <c r="I1136" s="1822"/>
      <c r="J1136" s="1822"/>
      <c r="K1136" s="1822"/>
      <c r="L1136" s="1822"/>
      <c r="M1136" s="1822"/>
      <c r="N1136" s="1827"/>
      <c r="V1136" s="674"/>
      <c r="W1136" s="675"/>
      <c r="X1136" s="537" t="s">
        <v>6964</v>
      </c>
      <c r="AC1136" s="675"/>
      <c r="AD1136" s="675"/>
      <c r="AE1136" s="675"/>
      <c r="AG1136" s="675"/>
      <c r="AH1136" s="680"/>
    </row>
    <row r="1137" spans="1:34" s="536" customFormat="1" ht="56.25" x14ac:dyDescent="0.2">
      <c r="A1137" s="575" t="s">
        <v>535</v>
      </c>
      <c r="B1137" s="670" t="s">
        <v>4286</v>
      </c>
      <c r="C1137" s="1823" t="s">
        <v>6965</v>
      </c>
      <c r="D1137" s="1823"/>
      <c r="E1137" s="1823"/>
      <c r="F1137" s="573" t="s">
        <v>2983</v>
      </c>
      <c r="G1137" s="573"/>
      <c r="H1137" s="573"/>
      <c r="I1137" s="573" t="s">
        <v>6966</v>
      </c>
      <c r="J1137" s="572"/>
      <c r="K1137" s="573"/>
      <c r="L1137" s="572"/>
      <c r="M1137" s="571"/>
      <c r="N1137" s="570"/>
      <c r="V1137" s="674"/>
      <c r="W1137" s="675" t="s">
        <v>6965</v>
      </c>
      <c r="AC1137" s="675"/>
      <c r="AD1137" s="675"/>
      <c r="AE1137" s="675"/>
      <c r="AG1137" s="675"/>
      <c r="AH1137" s="680"/>
    </row>
    <row r="1138" spans="1:34" s="536" customFormat="1" ht="12" x14ac:dyDescent="0.2">
      <c r="A1138" s="676"/>
      <c r="B1138" s="664"/>
      <c r="C1138" s="1822" t="s">
        <v>6967</v>
      </c>
      <c r="D1138" s="1822"/>
      <c r="E1138" s="1822"/>
      <c r="F1138" s="1822"/>
      <c r="G1138" s="1822"/>
      <c r="H1138" s="1822"/>
      <c r="I1138" s="1822"/>
      <c r="J1138" s="1822"/>
      <c r="K1138" s="1822"/>
      <c r="L1138" s="1822"/>
      <c r="M1138" s="1822"/>
      <c r="N1138" s="1827"/>
      <c r="V1138" s="674"/>
      <c r="W1138" s="675"/>
      <c r="X1138" s="537" t="s">
        <v>6967</v>
      </c>
      <c r="AC1138" s="675"/>
      <c r="AD1138" s="675"/>
      <c r="AE1138" s="675"/>
      <c r="AG1138" s="675"/>
      <c r="AH1138" s="680"/>
    </row>
    <row r="1139" spans="1:34" s="536" customFormat="1" ht="33.75" x14ac:dyDescent="0.2">
      <c r="A1139" s="609"/>
      <c r="B1139" s="552" t="s">
        <v>310</v>
      </c>
      <c r="C1139" s="1822" t="s">
        <v>311</v>
      </c>
      <c r="D1139" s="1822"/>
      <c r="E1139" s="1822"/>
      <c r="F1139" s="1822"/>
      <c r="G1139" s="1822"/>
      <c r="H1139" s="1822"/>
      <c r="I1139" s="1822"/>
      <c r="J1139" s="1822"/>
      <c r="K1139" s="1822"/>
      <c r="L1139" s="1822"/>
      <c r="M1139" s="1822"/>
      <c r="N1139" s="1827"/>
      <c r="V1139" s="674"/>
      <c r="W1139" s="675"/>
      <c r="Y1139" s="537" t="s">
        <v>311</v>
      </c>
      <c r="AC1139" s="675"/>
      <c r="AD1139" s="675"/>
      <c r="AE1139" s="675"/>
      <c r="AG1139" s="675"/>
      <c r="AH1139" s="680"/>
    </row>
    <row r="1140" spans="1:34" s="536" customFormat="1" ht="12" x14ac:dyDescent="0.2">
      <c r="A1140" s="605"/>
      <c r="B1140" s="552" t="s">
        <v>185</v>
      </c>
      <c r="C1140" s="1822" t="s">
        <v>312</v>
      </c>
      <c r="D1140" s="1822"/>
      <c r="E1140" s="1822"/>
      <c r="F1140" s="562"/>
      <c r="G1140" s="562"/>
      <c r="H1140" s="562"/>
      <c r="I1140" s="562"/>
      <c r="J1140" s="604">
        <v>44.4</v>
      </c>
      <c r="K1140" s="562" t="s">
        <v>313</v>
      </c>
      <c r="L1140" s="604">
        <v>14.54</v>
      </c>
      <c r="M1140" s="603"/>
      <c r="N1140" s="602"/>
      <c r="V1140" s="674"/>
      <c r="W1140" s="675"/>
      <c r="Z1140" s="537" t="s">
        <v>312</v>
      </c>
      <c r="AC1140" s="675"/>
      <c r="AD1140" s="675"/>
      <c r="AE1140" s="675"/>
      <c r="AG1140" s="675"/>
      <c r="AH1140" s="680"/>
    </row>
    <row r="1141" spans="1:34" s="536" customFormat="1" ht="12" x14ac:dyDescent="0.2">
      <c r="A1141" s="605"/>
      <c r="B1141" s="552" t="s">
        <v>186</v>
      </c>
      <c r="C1141" s="1822" t="s">
        <v>344</v>
      </c>
      <c r="D1141" s="1822"/>
      <c r="E1141" s="1822"/>
      <c r="F1141" s="562"/>
      <c r="G1141" s="562"/>
      <c r="H1141" s="562"/>
      <c r="I1141" s="562"/>
      <c r="J1141" s="604">
        <v>149</v>
      </c>
      <c r="K1141" s="562" t="s">
        <v>313</v>
      </c>
      <c r="L1141" s="604">
        <v>48.8</v>
      </c>
      <c r="M1141" s="603"/>
      <c r="N1141" s="602"/>
      <c r="V1141" s="674"/>
      <c r="W1141" s="675"/>
      <c r="Z1141" s="537" t="s">
        <v>344</v>
      </c>
      <c r="AC1141" s="675"/>
      <c r="AD1141" s="675"/>
      <c r="AE1141" s="675"/>
      <c r="AG1141" s="675"/>
      <c r="AH1141" s="680"/>
    </row>
    <row r="1142" spans="1:34" s="536" customFormat="1" ht="12" x14ac:dyDescent="0.2">
      <c r="A1142" s="605"/>
      <c r="B1142" s="552" t="s">
        <v>187</v>
      </c>
      <c r="C1142" s="1822" t="s">
        <v>345</v>
      </c>
      <c r="D1142" s="1822"/>
      <c r="E1142" s="1822"/>
      <c r="F1142" s="562"/>
      <c r="G1142" s="562"/>
      <c r="H1142" s="562"/>
      <c r="I1142" s="562"/>
      <c r="J1142" s="604">
        <v>31.51</v>
      </c>
      <c r="K1142" s="562" t="s">
        <v>313</v>
      </c>
      <c r="L1142" s="604">
        <v>10.32</v>
      </c>
      <c r="M1142" s="603"/>
      <c r="N1142" s="602"/>
      <c r="V1142" s="674"/>
      <c r="W1142" s="675"/>
      <c r="Z1142" s="537" t="s">
        <v>345</v>
      </c>
      <c r="AC1142" s="675"/>
      <c r="AD1142" s="675"/>
      <c r="AE1142" s="675"/>
      <c r="AG1142" s="675"/>
      <c r="AH1142" s="680"/>
    </row>
    <row r="1143" spans="1:34" s="536" customFormat="1" ht="12" x14ac:dyDescent="0.2">
      <c r="A1143" s="605"/>
      <c r="B1143" s="552" t="s">
        <v>188</v>
      </c>
      <c r="C1143" s="1822" t="s">
        <v>475</v>
      </c>
      <c r="D1143" s="1822"/>
      <c r="E1143" s="1822"/>
      <c r="F1143" s="562"/>
      <c r="G1143" s="562"/>
      <c r="H1143" s="562"/>
      <c r="I1143" s="562"/>
      <c r="J1143" s="604">
        <v>4.03</v>
      </c>
      <c r="K1143" s="562"/>
      <c r="L1143" s="604">
        <v>1.06</v>
      </c>
      <c r="M1143" s="603"/>
      <c r="N1143" s="602"/>
      <c r="V1143" s="674"/>
      <c r="W1143" s="675"/>
      <c r="Z1143" s="537" t="s">
        <v>475</v>
      </c>
      <c r="AC1143" s="675"/>
      <c r="AD1143" s="675"/>
      <c r="AE1143" s="675"/>
      <c r="AG1143" s="675"/>
      <c r="AH1143" s="680"/>
    </row>
    <row r="1144" spans="1:34" s="536" customFormat="1" ht="12" x14ac:dyDescent="0.2">
      <c r="A1144" s="676"/>
      <c r="B1144" s="677" t="s">
        <v>4287</v>
      </c>
      <c r="C1144" s="1829" t="s">
        <v>4288</v>
      </c>
      <c r="D1144" s="1829"/>
      <c r="E1144" s="1829"/>
      <c r="F1144" s="678" t="s">
        <v>694</v>
      </c>
      <c r="G1144" s="678" t="s">
        <v>1805</v>
      </c>
      <c r="H1144" s="678"/>
      <c r="I1144" s="678" t="s">
        <v>6968</v>
      </c>
      <c r="J1144" s="552"/>
      <c r="K1144" s="562"/>
      <c r="L1144" s="604"/>
      <c r="M1144" s="562"/>
      <c r="N1144" s="679"/>
      <c r="V1144" s="674"/>
      <c r="W1144" s="675"/>
      <c r="AC1144" s="675"/>
      <c r="AD1144" s="675"/>
      <c r="AE1144" s="675"/>
      <c r="AG1144" s="675"/>
      <c r="AH1144" s="680" t="s">
        <v>4288</v>
      </c>
    </row>
    <row r="1145" spans="1:34" s="536" customFormat="1" ht="12" x14ac:dyDescent="0.2">
      <c r="A1145" s="605"/>
      <c r="B1145" s="552"/>
      <c r="C1145" s="1822" t="s">
        <v>314</v>
      </c>
      <c r="D1145" s="1822"/>
      <c r="E1145" s="1822"/>
      <c r="F1145" s="562" t="s">
        <v>315</v>
      </c>
      <c r="G1145" s="562" t="s">
        <v>4289</v>
      </c>
      <c r="H1145" s="562" t="s">
        <v>313</v>
      </c>
      <c r="I1145" s="562" t="s">
        <v>6969</v>
      </c>
      <c r="J1145" s="604"/>
      <c r="K1145" s="562"/>
      <c r="L1145" s="604"/>
      <c r="M1145" s="603"/>
      <c r="N1145" s="602"/>
      <c r="V1145" s="674"/>
      <c r="W1145" s="675"/>
      <c r="AA1145" s="537" t="s">
        <v>314</v>
      </c>
      <c r="AC1145" s="675"/>
      <c r="AD1145" s="675"/>
      <c r="AE1145" s="675"/>
      <c r="AG1145" s="675"/>
      <c r="AH1145" s="680"/>
    </row>
    <row r="1146" spans="1:34" s="536" customFormat="1" ht="12" x14ac:dyDescent="0.2">
      <c r="A1146" s="605"/>
      <c r="B1146" s="552"/>
      <c r="C1146" s="1822" t="s">
        <v>348</v>
      </c>
      <c r="D1146" s="1822"/>
      <c r="E1146" s="1822"/>
      <c r="F1146" s="562" t="s">
        <v>315</v>
      </c>
      <c r="G1146" s="562" t="s">
        <v>2030</v>
      </c>
      <c r="H1146" s="562" t="s">
        <v>313</v>
      </c>
      <c r="I1146" s="562" t="s">
        <v>6970</v>
      </c>
      <c r="J1146" s="604"/>
      <c r="K1146" s="562"/>
      <c r="L1146" s="604"/>
      <c r="M1146" s="603"/>
      <c r="N1146" s="602"/>
      <c r="V1146" s="674"/>
      <c r="W1146" s="675"/>
      <c r="AA1146" s="537" t="s">
        <v>348</v>
      </c>
      <c r="AC1146" s="675"/>
      <c r="AD1146" s="675"/>
      <c r="AE1146" s="675"/>
      <c r="AG1146" s="675"/>
      <c r="AH1146" s="680"/>
    </row>
    <row r="1147" spans="1:34" s="536" customFormat="1" ht="12" x14ac:dyDescent="0.2">
      <c r="A1147" s="605"/>
      <c r="B1147" s="552"/>
      <c r="C1147" s="1828" t="s">
        <v>318</v>
      </c>
      <c r="D1147" s="1828"/>
      <c r="E1147" s="1828"/>
      <c r="F1147" s="608"/>
      <c r="G1147" s="608"/>
      <c r="H1147" s="608"/>
      <c r="I1147" s="608"/>
      <c r="J1147" s="607">
        <v>197.43</v>
      </c>
      <c r="K1147" s="608"/>
      <c r="L1147" s="607">
        <v>64.400000000000006</v>
      </c>
      <c r="M1147" s="601"/>
      <c r="N1147" s="606"/>
      <c r="V1147" s="674"/>
      <c r="W1147" s="675"/>
      <c r="AB1147" s="537" t="s">
        <v>318</v>
      </c>
      <c r="AC1147" s="675"/>
      <c r="AD1147" s="675"/>
      <c r="AE1147" s="675"/>
      <c r="AG1147" s="675"/>
      <c r="AH1147" s="680"/>
    </row>
    <row r="1148" spans="1:34" s="536" customFormat="1" ht="12" x14ac:dyDescent="0.2">
      <c r="A1148" s="605"/>
      <c r="B1148" s="552"/>
      <c r="C1148" s="1822" t="s">
        <v>319</v>
      </c>
      <c r="D1148" s="1822"/>
      <c r="E1148" s="1822"/>
      <c r="F1148" s="562"/>
      <c r="G1148" s="562"/>
      <c r="H1148" s="562"/>
      <c r="I1148" s="562"/>
      <c r="J1148" s="604"/>
      <c r="K1148" s="562"/>
      <c r="L1148" s="604">
        <v>24.86</v>
      </c>
      <c r="M1148" s="603"/>
      <c r="N1148" s="602"/>
      <c r="V1148" s="674"/>
      <c r="W1148" s="675"/>
      <c r="AA1148" s="537" t="s">
        <v>319</v>
      </c>
      <c r="AC1148" s="675"/>
      <c r="AD1148" s="675"/>
      <c r="AE1148" s="675"/>
      <c r="AG1148" s="675"/>
      <c r="AH1148" s="680"/>
    </row>
    <row r="1149" spans="1:34" s="536" customFormat="1" ht="33.75" x14ac:dyDescent="0.2">
      <c r="A1149" s="605"/>
      <c r="B1149" s="552" t="s">
        <v>554</v>
      </c>
      <c r="C1149" s="1822" t="s">
        <v>555</v>
      </c>
      <c r="D1149" s="1822"/>
      <c r="E1149" s="1822"/>
      <c r="F1149" s="562" t="s">
        <v>322</v>
      </c>
      <c r="G1149" s="562" t="s">
        <v>556</v>
      </c>
      <c r="H1149" s="562"/>
      <c r="I1149" s="562" t="s">
        <v>556</v>
      </c>
      <c r="J1149" s="604"/>
      <c r="K1149" s="562"/>
      <c r="L1149" s="604">
        <v>31.32</v>
      </c>
      <c r="M1149" s="603"/>
      <c r="N1149" s="602"/>
      <c r="V1149" s="674"/>
      <c r="W1149" s="675"/>
      <c r="AA1149" s="537" t="s">
        <v>555</v>
      </c>
      <c r="AC1149" s="675"/>
      <c r="AD1149" s="675"/>
      <c r="AE1149" s="675"/>
      <c r="AG1149" s="675"/>
      <c r="AH1149" s="680"/>
    </row>
    <row r="1150" spans="1:34" s="536" customFormat="1" ht="33.75" x14ac:dyDescent="0.2">
      <c r="A1150" s="605"/>
      <c r="B1150" s="552" t="s">
        <v>557</v>
      </c>
      <c r="C1150" s="1822" t="s">
        <v>558</v>
      </c>
      <c r="D1150" s="1822"/>
      <c r="E1150" s="1822"/>
      <c r="F1150" s="562" t="s">
        <v>322</v>
      </c>
      <c r="G1150" s="562" t="s">
        <v>559</v>
      </c>
      <c r="H1150" s="562"/>
      <c r="I1150" s="562" t="s">
        <v>559</v>
      </c>
      <c r="J1150" s="604"/>
      <c r="K1150" s="562"/>
      <c r="L1150" s="604">
        <v>23.62</v>
      </c>
      <c r="M1150" s="603"/>
      <c r="N1150" s="602"/>
      <c r="V1150" s="674"/>
      <c r="W1150" s="675"/>
      <c r="AA1150" s="537" t="s">
        <v>558</v>
      </c>
      <c r="AC1150" s="675"/>
      <c r="AD1150" s="675"/>
      <c r="AE1150" s="675"/>
      <c r="AG1150" s="675"/>
      <c r="AH1150" s="680"/>
    </row>
    <row r="1151" spans="1:34" s="536" customFormat="1" ht="12" x14ac:dyDescent="0.2">
      <c r="A1151" s="569"/>
      <c r="B1151" s="671"/>
      <c r="C1151" s="1823" t="s">
        <v>327</v>
      </c>
      <c r="D1151" s="1823"/>
      <c r="E1151" s="1823"/>
      <c r="F1151" s="573"/>
      <c r="G1151" s="573"/>
      <c r="H1151" s="573"/>
      <c r="I1151" s="573"/>
      <c r="J1151" s="572"/>
      <c r="K1151" s="573"/>
      <c r="L1151" s="572">
        <v>119.34</v>
      </c>
      <c r="M1151" s="601"/>
      <c r="N1151" s="570"/>
      <c r="V1151" s="674"/>
      <c r="W1151" s="675"/>
      <c r="AC1151" s="675" t="s">
        <v>327</v>
      </c>
      <c r="AD1151" s="675"/>
      <c r="AE1151" s="675"/>
      <c r="AG1151" s="675"/>
      <c r="AH1151" s="680"/>
    </row>
    <row r="1152" spans="1:34" s="536" customFormat="1" ht="56.25" x14ac:dyDescent="0.2">
      <c r="A1152" s="575" t="s">
        <v>3045</v>
      </c>
      <c r="B1152" s="670" t="s">
        <v>4281</v>
      </c>
      <c r="C1152" s="1823" t="s">
        <v>4282</v>
      </c>
      <c r="D1152" s="1823"/>
      <c r="E1152" s="1823"/>
      <c r="F1152" s="573" t="s">
        <v>699</v>
      </c>
      <c r="G1152" s="573"/>
      <c r="H1152" s="573"/>
      <c r="I1152" s="573" t="s">
        <v>6971</v>
      </c>
      <c r="J1152" s="572">
        <v>27</v>
      </c>
      <c r="K1152" s="573"/>
      <c r="L1152" s="572">
        <v>49.41</v>
      </c>
      <c r="M1152" s="571"/>
      <c r="N1152" s="570"/>
      <c r="V1152" s="674"/>
      <c r="W1152" s="675" t="s">
        <v>4282</v>
      </c>
      <c r="AC1152" s="675"/>
      <c r="AD1152" s="675"/>
      <c r="AE1152" s="675"/>
      <c r="AG1152" s="675"/>
      <c r="AH1152" s="680"/>
    </row>
    <row r="1153" spans="1:34" s="536" customFormat="1" ht="12" x14ac:dyDescent="0.2">
      <c r="A1153" s="569"/>
      <c r="B1153" s="671"/>
      <c r="C1153" s="665" t="s">
        <v>717</v>
      </c>
      <c r="D1153" s="666"/>
      <c r="E1153" s="666"/>
      <c r="F1153" s="563"/>
      <c r="G1153" s="563"/>
      <c r="H1153" s="563"/>
      <c r="I1153" s="563"/>
      <c r="J1153" s="566"/>
      <c r="K1153" s="563"/>
      <c r="L1153" s="566"/>
      <c r="M1153" s="565"/>
      <c r="N1153" s="564"/>
      <c r="V1153" s="674"/>
      <c r="W1153" s="675"/>
      <c r="AC1153" s="675"/>
      <c r="AD1153" s="675"/>
      <c r="AE1153" s="675"/>
      <c r="AG1153" s="675"/>
      <c r="AH1153" s="680"/>
    </row>
    <row r="1154" spans="1:34" s="536" customFormat="1" ht="12" x14ac:dyDescent="0.2">
      <c r="A1154" s="676"/>
      <c r="B1154" s="664"/>
      <c r="C1154" s="1822" t="s">
        <v>6972</v>
      </c>
      <c r="D1154" s="1822"/>
      <c r="E1154" s="1822"/>
      <c r="F1154" s="1822"/>
      <c r="G1154" s="1822"/>
      <c r="H1154" s="1822"/>
      <c r="I1154" s="1822"/>
      <c r="J1154" s="1822"/>
      <c r="K1154" s="1822"/>
      <c r="L1154" s="1822"/>
      <c r="M1154" s="1822"/>
      <c r="N1154" s="1827"/>
      <c r="V1154" s="674"/>
      <c r="W1154" s="675"/>
      <c r="X1154" s="537" t="s">
        <v>6972</v>
      </c>
      <c r="AC1154" s="675"/>
      <c r="AD1154" s="675"/>
      <c r="AE1154" s="675"/>
      <c r="AG1154" s="675"/>
      <c r="AH1154" s="680"/>
    </row>
    <row r="1155" spans="1:34" s="536" customFormat="1" ht="56.25" x14ac:dyDescent="0.2">
      <c r="A1155" s="575" t="s">
        <v>3048</v>
      </c>
      <c r="B1155" s="670" t="s">
        <v>4286</v>
      </c>
      <c r="C1155" s="1823" t="s">
        <v>6965</v>
      </c>
      <c r="D1155" s="1823"/>
      <c r="E1155" s="1823"/>
      <c r="F1155" s="573" t="s">
        <v>2983</v>
      </c>
      <c r="G1155" s="573"/>
      <c r="H1155" s="573"/>
      <c r="I1155" s="573" t="s">
        <v>6973</v>
      </c>
      <c r="J1155" s="572"/>
      <c r="K1155" s="573"/>
      <c r="L1155" s="572"/>
      <c r="M1155" s="571"/>
      <c r="N1155" s="570"/>
      <c r="V1155" s="674"/>
      <c r="W1155" s="675" t="s">
        <v>6965</v>
      </c>
      <c r="AC1155" s="675"/>
      <c r="AD1155" s="675"/>
      <c r="AE1155" s="675"/>
      <c r="AG1155" s="675"/>
      <c r="AH1155" s="680"/>
    </row>
    <row r="1156" spans="1:34" s="536" customFormat="1" ht="12" x14ac:dyDescent="0.2">
      <c r="A1156" s="676"/>
      <c r="B1156" s="664"/>
      <c r="C1156" s="1822" t="s">
        <v>6974</v>
      </c>
      <c r="D1156" s="1822"/>
      <c r="E1156" s="1822"/>
      <c r="F1156" s="1822"/>
      <c r="G1156" s="1822"/>
      <c r="H1156" s="1822"/>
      <c r="I1156" s="1822"/>
      <c r="J1156" s="1822"/>
      <c r="K1156" s="1822"/>
      <c r="L1156" s="1822"/>
      <c r="M1156" s="1822"/>
      <c r="N1156" s="1827"/>
      <c r="V1156" s="674"/>
      <c r="W1156" s="675"/>
      <c r="X1156" s="537" t="s">
        <v>6974</v>
      </c>
      <c r="AC1156" s="675"/>
      <c r="AD1156" s="675"/>
      <c r="AE1156" s="675"/>
      <c r="AG1156" s="675"/>
      <c r="AH1156" s="680"/>
    </row>
    <row r="1157" spans="1:34" s="536" customFormat="1" ht="33.75" x14ac:dyDescent="0.2">
      <c r="A1157" s="609"/>
      <c r="B1157" s="552" t="s">
        <v>310</v>
      </c>
      <c r="C1157" s="1822" t="s">
        <v>311</v>
      </c>
      <c r="D1157" s="1822"/>
      <c r="E1157" s="1822"/>
      <c r="F1157" s="1822"/>
      <c r="G1157" s="1822"/>
      <c r="H1157" s="1822"/>
      <c r="I1157" s="1822"/>
      <c r="J1157" s="1822"/>
      <c r="K1157" s="1822"/>
      <c r="L1157" s="1822"/>
      <c r="M1157" s="1822"/>
      <c r="N1157" s="1827"/>
      <c r="V1157" s="674"/>
      <c r="W1157" s="675"/>
      <c r="Y1157" s="537" t="s">
        <v>311</v>
      </c>
      <c r="AC1157" s="675"/>
      <c r="AD1157" s="675"/>
      <c r="AE1157" s="675"/>
      <c r="AG1157" s="675"/>
      <c r="AH1157" s="680"/>
    </row>
    <row r="1158" spans="1:34" s="536" customFormat="1" ht="12" x14ac:dyDescent="0.2">
      <c r="A1158" s="605"/>
      <c r="B1158" s="552" t="s">
        <v>185</v>
      </c>
      <c r="C1158" s="1822" t="s">
        <v>312</v>
      </c>
      <c r="D1158" s="1822"/>
      <c r="E1158" s="1822"/>
      <c r="F1158" s="562"/>
      <c r="G1158" s="562"/>
      <c r="H1158" s="562"/>
      <c r="I1158" s="562"/>
      <c r="J1158" s="604">
        <v>44.4</v>
      </c>
      <c r="K1158" s="562" t="s">
        <v>313</v>
      </c>
      <c r="L1158" s="604">
        <v>21.76</v>
      </c>
      <c r="M1158" s="603"/>
      <c r="N1158" s="602"/>
      <c r="V1158" s="674"/>
      <c r="W1158" s="675"/>
      <c r="Z1158" s="537" t="s">
        <v>312</v>
      </c>
      <c r="AC1158" s="675"/>
      <c r="AD1158" s="675"/>
      <c r="AE1158" s="675"/>
      <c r="AG1158" s="675"/>
      <c r="AH1158" s="680"/>
    </row>
    <row r="1159" spans="1:34" s="536" customFormat="1" ht="12" x14ac:dyDescent="0.2">
      <c r="A1159" s="605"/>
      <c r="B1159" s="552" t="s">
        <v>186</v>
      </c>
      <c r="C1159" s="1822" t="s">
        <v>344</v>
      </c>
      <c r="D1159" s="1822"/>
      <c r="E1159" s="1822"/>
      <c r="F1159" s="562"/>
      <c r="G1159" s="562"/>
      <c r="H1159" s="562"/>
      <c r="I1159" s="562"/>
      <c r="J1159" s="604">
        <v>149</v>
      </c>
      <c r="K1159" s="562" t="s">
        <v>313</v>
      </c>
      <c r="L1159" s="604">
        <v>73.010000000000005</v>
      </c>
      <c r="M1159" s="603"/>
      <c r="N1159" s="602"/>
      <c r="V1159" s="674"/>
      <c r="W1159" s="675"/>
      <c r="Z1159" s="537" t="s">
        <v>344</v>
      </c>
      <c r="AC1159" s="675"/>
      <c r="AD1159" s="675"/>
      <c r="AE1159" s="675"/>
      <c r="AG1159" s="675"/>
      <c r="AH1159" s="680"/>
    </row>
    <row r="1160" spans="1:34" s="536" customFormat="1" ht="12" x14ac:dyDescent="0.2">
      <c r="A1160" s="605"/>
      <c r="B1160" s="552" t="s">
        <v>187</v>
      </c>
      <c r="C1160" s="1822" t="s">
        <v>345</v>
      </c>
      <c r="D1160" s="1822"/>
      <c r="E1160" s="1822"/>
      <c r="F1160" s="562"/>
      <c r="G1160" s="562"/>
      <c r="H1160" s="562"/>
      <c r="I1160" s="562"/>
      <c r="J1160" s="604">
        <v>31.51</v>
      </c>
      <c r="K1160" s="562" t="s">
        <v>313</v>
      </c>
      <c r="L1160" s="604">
        <v>15.44</v>
      </c>
      <c r="M1160" s="603"/>
      <c r="N1160" s="602"/>
      <c r="V1160" s="674"/>
      <c r="W1160" s="675"/>
      <c r="Z1160" s="537" t="s">
        <v>345</v>
      </c>
      <c r="AC1160" s="675"/>
      <c r="AD1160" s="675"/>
      <c r="AE1160" s="675"/>
      <c r="AG1160" s="675"/>
      <c r="AH1160" s="680"/>
    </row>
    <row r="1161" spans="1:34" s="536" customFormat="1" ht="12" x14ac:dyDescent="0.2">
      <c r="A1161" s="605"/>
      <c r="B1161" s="552" t="s">
        <v>188</v>
      </c>
      <c r="C1161" s="1822" t="s">
        <v>475</v>
      </c>
      <c r="D1161" s="1822"/>
      <c r="E1161" s="1822"/>
      <c r="F1161" s="562"/>
      <c r="G1161" s="562"/>
      <c r="H1161" s="562"/>
      <c r="I1161" s="562"/>
      <c r="J1161" s="604">
        <v>4.03</v>
      </c>
      <c r="K1161" s="562"/>
      <c r="L1161" s="604">
        <v>1.58</v>
      </c>
      <c r="M1161" s="603"/>
      <c r="N1161" s="602"/>
      <c r="V1161" s="674"/>
      <c r="W1161" s="675"/>
      <c r="Z1161" s="537" t="s">
        <v>475</v>
      </c>
      <c r="AC1161" s="675"/>
      <c r="AD1161" s="675"/>
      <c r="AE1161" s="675"/>
      <c r="AG1161" s="675"/>
      <c r="AH1161" s="680"/>
    </row>
    <row r="1162" spans="1:34" s="536" customFormat="1" ht="12" x14ac:dyDescent="0.2">
      <c r="A1162" s="676"/>
      <c r="B1162" s="677" t="s">
        <v>4287</v>
      </c>
      <c r="C1162" s="1829" t="s">
        <v>4288</v>
      </c>
      <c r="D1162" s="1829"/>
      <c r="E1162" s="1829"/>
      <c r="F1162" s="678" t="s">
        <v>694</v>
      </c>
      <c r="G1162" s="678" t="s">
        <v>1805</v>
      </c>
      <c r="H1162" s="678"/>
      <c r="I1162" s="678" t="s">
        <v>6975</v>
      </c>
      <c r="J1162" s="552"/>
      <c r="K1162" s="562"/>
      <c r="L1162" s="604"/>
      <c r="M1162" s="562"/>
      <c r="N1162" s="679"/>
      <c r="V1162" s="674"/>
      <c r="W1162" s="675"/>
      <c r="AC1162" s="675"/>
      <c r="AD1162" s="675"/>
      <c r="AE1162" s="675"/>
      <c r="AG1162" s="675"/>
      <c r="AH1162" s="680" t="s">
        <v>4288</v>
      </c>
    </row>
    <row r="1163" spans="1:34" s="536" customFormat="1" ht="12" x14ac:dyDescent="0.2">
      <c r="A1163" s="605"/>
      <c r="B1163" s="552"/>
      <c r="C1163" s="1822" t="s">
        <v>314</v>
      </c>
      <c r="D1163" s="1822"/>
      <c r="E1163" s="1822"/>
      <c r="F1163" s="562" t="s">
        <v>315</v>
      </c>
      <c r="G1163" s="562" t="s">
        <v>4289</v>
      </c>
      <c r="H1163" s="562" t="s">
        <v>313</v>
      </c>
      <c r="I1163" s="562" t="s">
        <v>6976</v>
      </c>
      <c r="J1163" s="604"/>
      <c r="K1163" s="562"/>
      <c r="L1163" s="604"/>
      <c r="M1163" s="603"/>
      <c r="N1163" s="602"/>
      <c r="V1163" s="674"/>
      <c r="W1163" s="675"/>
      <c r="AA1163" s="537" t="s">
        <v>314</v>
      </c>
      <c r="AC1163" s="675"/>
      <c r="AD1163" s="675"/>
      <c r="AE1163" s="675"/>
      <c r="AG1163" s="675"/>
      <c r="AH1163" s="680"/>
    </row>
    <row r="1164" spans="1:34" s="536" customFormat="1" ht="12" x14ac:dyDescent="0.2">
      <c r="A1164" s="605"/>
      <c r="B1164" s="552"/>
      <c r="C1164" s="1822" t="s">
        <v>348</v>
      </c>
      <c r="D1164" s="1822"/>
      <c r="E1164" s="1822"/>
      <c r="F1164" s="562" t="s">
        <v>315</v>
      </c>
      <c r="G1164" s="562" t="s">
        <v>2030</v>
      </c>
      <c r="H1164" s="562" t="s">
        <v>313</v>
      </c>
      <c r="I1164" s="562" t="s">
        <v>6977</v>
      </c>
      <c r="J1164" s="604"/>
      <c r="K1164" s="562"/>
      <c r="L1164" s="604"/>
      <c r="M1164" s="603"/>
      <c r="N1164" s="602"/>
      <c r="V1164" s="674"/>
      <c r="W1164" s="675"/>
      <c r="AA1164" s="537" t="s">
        <v>348</v>
      </c>
      <c r="AC1164" s="675"/>
      <c r="AD1164" s="675"/>
      <c r="AE1164" s="675"/>
      <c r="AG1164" s="675"/>
      <c r="AH1164" s="680"/>
    </row>
    <row r="1165" spans="1:34" s="536" customFormat="1" ht="12" x14ac:dyDescent="0.2">
      <c r="A1165" s="605"/>
      <c r="B1165" s="552"/>
      <c r="C1165" s="1828" t="s">
        <v>318</v>
      </c>
      <c r="D1165" s="1828"/>
      <c r="E1165" s="1828"/>
      <c r="F1165" s="608"/>
      <c r="G1165" s="608"/>
      <c r="H1165" s="608"/>
      <c r="I1165" s="608"/>
      <c r="J1165" s="607">
        <v>197.43</v>
      </c>
      <c r="K1165" s="608"/>
      <c r="L1165" s="607">
        <v>96.35</v>
      </c>
      <c r="M1165" s="601"/>
      <c r="N1165" s="606"/>
      <c r="V1165" s="674"/>
      <c r="W1165" s="675"/>
      <c r="AB1165" s="537" t="s">
        <v>318</v>
      </c>
      <c r="AC1165" s="675"/>
      <c r="AD1165" s="675"/>
      <c r="AE1165" s="675"/>
      <c r="AG1165" s="675"/>
      <c r="AH1165" s="680"/>
    </row>
    <row r="1166" spans="1:34" s="536" customFormat="1" ht="12" x14ac:dyDescent="0.2">
      <c r="A1166" s="605"/>
      <c r="B1166" s="552"/>
      <c r="C1166" s="1822" t="s">
        <v>319</v>
      </c>
      <c r="D1166" s="1822"/>
      <c r="E1166" s="1822"/>
      <c r="F1166" s="562"/>
      <c r="G1166" s="562"/>
      <c r="H1166" s="562"/>
      <c r="I1166" s="562"/>
      <c r="J1166" s="604"/>
      <c r="K1166" s="562"/>
      <c r="L1166" s="604">
        <v>37.200000000000003</v>
      </c>
      <c r="M1166" s="603"/>
      <c r="N1166" s="602"/>
      <c r="V1166" s="674"/>
      <c r="W1166" s="675"/>
      <c r="AA1166" s="537" t="s">
        <v>319</v>
      </c>
      <c r="AC1166" s="675"/>
      <c r="AD1166" s="675"/>
      <c r="AE1166" s="675"/>
      <c r="AG1166" s="675"/>
      <c r="AH1166" s="680"/>
    </row>
    <row r="1167" spans="1:34" s="536" customFormat="1" ht="33.75" x14ac:dyDescent="0.2">
      <c r="A1167" s="605"/>
      <c r="B1167" s="552" t="s">
        <v>554</v>
      </c>
      <c r="C1167" s="1822" t="s">
        <v>555</v>
      </c>
      <c r="D1167" s="1822"/>
      <c r="E1167" s="1822"/>
      <c r="F1167" s="562" t="s">
        <v>322</v>
      </c>
      <c r="G1167" s="562" t="s">
        <v>556</v>
      </c>
      <c r="H1167" s="562"/>
      <c r="I1167" s="562" t="s">
        <v>556</v>
      </c>
      <c r="J1167" s="604"/>
      <c r="K1167" s="562"/>
      <c r="L1167" s="604">
        <v>46.87</v>
      </c>
      <c r="M1167" s="603"/>
      <c r="N1167" s="602"/>
      <c r="V1167" s="674"/>
      <c r="W1167" s="675"/>
      <c r="AA1167" s="537" t="s">
        <v>555</v>
      </c>
      <c r="AC1167" s="675"/>
      <c r="AD1167" s="675"/>
      <c r="AE1167" s="675"/>
      <c r="AG1167" s="675"/>
      <c r="AH1167" s="680"/>
    </row>
    <row r="1168" spans="1:34" s="536" customFormat="1" ht="33.75" x14ac:dyDescent="0.2">
      <c r="A1168" s="605"/>
      <c r="B1168" s="552" t="s">
        <v>557</v>
      </c>
      <c r="C1168" s="1822" t="s">
        <v>558</v>
      </c>
      <c r="D1168" s="1822"/>
      <c r="E1168" s="1822"/>
      <c r="F1168" s="562" t="s">
        <v>322</v>
      </c>
      <c r="G1168" s="562" t="s">
        <v>559</v>
      </c>
      <c r="H1168" s="562"/>
      <c r="I1168" s="562" t="s">
        <v>559</v>
      </c>
      <c r="J1168" s="604"/>
      <c r="K1168" s="562"/>
      <c r="L1168" s="604">
        <v>35.340000000000003</v>
      </c>
      <c r="M1168" s="603"/>
      <c r="N1168" s="602"/>
      <c r="V1168" s="674"/>
      <c r="W1168" s="675"/>
      <c r="AA1168" s="537" t="s">
        <v>558</v>
      </c>
      <c r="AC1168" s="675"/>
      <c r="AD1168" s="675"/>
      <c r="AE1168" s="675"/>
      <c r="AG1168" s="675"/>
      <c r="AH1168" s="680"/>
    </row>
    <row r="1169" spans="1:34" s="536" customFormat="1" ht="12" x14ac:dyDescent="0.2">
      <c r="A1169" s="569"/>
      <c r="B1169" s="671"/>
      <c r="C1169" s="1823" t="s">
        <v>327</v>
      </c>
      <c r="D1169" s="1823"/>
      <c r="E1169" s="1823"/>
      <c r="F1169" s="573"/>
      <c r="G1169" s="573"/>
      <c r="H1169" s="573"/>
      <c r="I1169" s="573"/>
      <c r="J1169" s="572"/>
      <c r="K1169" s="573"/>
      <c r="L1169" s="572">
        <v>178.56</v>
      </c>
      <c r="M1169" s="601"/>
      <c r="N1169" s="570"/>
      <c r="V1169" s="674"/>
      <c r="W1169" s="675"/>
      <c r="AC1169" s="675" t="s">
        <v>327</v>
      </c>
      <c r="AD1169" s="675"/>
      <c r="AE1169" s="675"/>
      <c r="AG1169" s="675"/>
      <c r="AH1169" s="680"/>
    </row>
    <row r="1170" spans="1:34" s="536" customFormat="1" ht="56.25" x14ac:dyDescent="0.2">
      <c r="A1170" s="575" t="s">
        <v>3053</v>
      </c>
      <c r="B1170" s="670" t="s">
        <v>4281</v>
      </c>
      <c r="C1170" s="1823" t="s">
        <v>4282</v>
      </c>
      <c r="D1170" s="1823"/>
      <c r="E1170" s="1823"/>
      <c r="F1170" s="573" t="s">
        <v>699</v>
      </c>
      <c r="G1170" s="573"/>
      <c r="H1170" s="573"/>
      <c r="I1170" s="573" t="s">
        <v>5127</v>
      </c>
      <c r="J1170" s="572">
        <v>27</v>
      </c>
      <c r="K1170" s="573"/>
      <c r="L1170" s="572">
        <v>73.98</v>
      </c>
      <c r="M1170" s="571"/>
      <c r="N1170" s="570"/>
      <c r="V1170" s="674"/>
      <c r="W1170" s="675" t="s">
        <v>4282</v>
      </c>
      <c r="AC1170" s="675"/>
      <c r="AD1170" s="675"/>
      <c r="AE1170" s="675"/>
      <c r="AG1170" s="675"/>
      <c r="AH1170" s="680"/>
    </row>
    <row r="1171" spans="1:34" s="536" customFormat="1" ht="12" x14ac:dyDescent="0.2">
      <c r="A1171" s="569"/>
      <c r="B1171" s="671"/>
      <c r="C1171" s="665" t="s">
        <v>717</v>
      </c>
      <c r="D1171" s="666"/>
      <c r="E1171" s="666"/>
      <c r="F1171" s="563"/>
      <c r="G1171" s="563"/>
      <c r="H1171" s="563"/>
      <c r="I1171" s="563"/>
      <c r="J1171" s="566"/>
      <c r="K1171" s="563"/>
      <c r="L1171" s="566"/>
      <c r="M1171" s="565"/>
      <c r="N1171" s="564"/>
      <c r="V1171" s="674"/>
      <c r="W1171" s="675"/>
      <c r="AC1171" s="675"/>
      <c r="AD1171" s="675"/>
      <c r="AE1171" s="675"/>
      <c r="AG1171" s="675"/>
      <c r="AH1171" s="680"/>
    </row>
    <row r="1172" spans="1:34" s="536" customFormat="1" ht="12" x14ac:dyDescent="0.2">
      <c r="A1172" s="676"/>
      <c r="B1172" s="664"/>
      <c r="C1172" s="1822" t="s">
        <v>6978</v>
      </c>
      <c r="D1172" s="1822"/>
      <c r="E1172" s="1822"/>
      <c r="F1172" s="1822"/>
      <c r="G1172" s="1822"/>
      <c r="H1172" s="1822"/>
      <c r="I1172" s="1822"/>
      <c r="J1172" s="1822"/>
      <c r="K1172" s="1822"/>
      <c r="L1172" s="1822"/>
      <c r="M1172" s="1822"/>
      <c r="N1172" s="1827"/>
      <c r="V1172" s="674"/>
      <c r="W1172" s="675"/>
      <c r="X1172" s="537" t="s">
        <v>6978</v>
      </c>
      <c r="AC1172" s="675"/>
      <c r="AD1172" s="675"/>
      <c r="AE1172" s="675"/>
      <c r="AG1172" s="675"/>
      <c r="AH1172" s="680"/>
    </row>
    <row r="1173" spans="1:34" s="536" customFormat="1" ht="1.5" customHeight="1" x14ac:dyDescent="0.2">
      <c r="A1173" s="563"/>
      <c r="B1173" s="671"/>
      <c r="C1173" s="671"/>
      <c r="D1173" s="671"/>
      <c r="E1173" s="671"/>
      <c r="F1173" s="563"/>
      <c r="G1173" s="563"/>
      <c r="H1173" s="563"/>
      <c r="I1173" s="563"/>
      <c r="J1173" s="546"/>
      <c r="K1173" s="563"/>
      <c r="L1173" s="546"/>
      <c r="M1173" s="562"/>
      <c r="N1173" s="546"/>
      <c r="V1173" s="674"/>
      <c r="W1173" s="675"/>
      <c r="AC1173" s="675"/>
      <c r="AD1173" s="675"/>
      <c r="AE1173" s="675"/>
      <c r="AG1173" s="675"/>
      <c r="AH1173" s="680"/>
    </row>
    <row r="1174" spans="1:34" s="536" customFormat="1" ht="12" x14ac:dyDescent="0.2">
      <c r="A1174" s="557"/>
      <c r="B1174" s="556"/>
      <c r="C1174" s="1823" t="s">
        <v>4290</v>
      </c>
      <c r="D1174" s="1823"/>
      <c r="E1174" s="1823"/>
      <c r="F1174" s="1823"/>
      <c r="G1174" s="1823"/>
      <c r="H1174" s="1823"/>
      <c r="I1174" s="1823"/>
      <c r="J1174" s="1823"/>
      <c r="K1174" s="1823"/>
      <c r="L1174" s="555"/>
      <c r="M1174" s="554"/>
      <c r="N1174" s="553"/>
      <c r="V1174" s="674"/>
      <c r="W1174" s="675"/>
      <c r="AC1174" s="675"/>
      <c r="AD1174" s="675"/>
      <c r="AE1174" s="675" t="s">
        <v>4290</v>
      </c>
      <c r="AG1174" s="675"/>
      <c r="AH1174" s="680"/>
    </row>
    <row r="1175" spans="1:34" s="536" customFormat="1" ht="12" x14ac:dyDescent="0.2">
      <c r="A1175" s="548"/>
      <c r="B1175" s="552"/>
      <c r="C1175" s="1822" t="s">
        <v>403</v>
      </c>
      <c r="D1175" s="1822"/>
      <c r="E1175" s="1822"/>
      <c r="F1175" s="1822"/>
      <c r="G1175" s="1822"/>
      <c r="H1175" s="1822"/>
      <c r="I1175" s="1822"/>
      <c r="J1175" s="1822"/>
      <c r="K1175" s="1822"/>
      <c r="L1175" s="551">
        <v>277291.02</v>
      </c>
      <c r="M1175" s="550"/>
      <c r="N1175" s="549"/>
      <c r="V1175" s="674"/>
      <c r="W1175" s="675"/>
      <c r="AC1175" s="675"/>
      <c r="AD1175" s="675"/>
      <c r="AE1175" s="675"/>
      <c r="AF1175" s="537" t="s">
        <v>403</v>
      </c>
      <c r="AG1175" s="675"/>
      <c r="AH1175" s="680"/>
    </row>
    <row r="1176" spans="1:34" s="536" customFormat="1" ht="12" x14ac:dyDescent="0.2">
      <c r="A1176" s="548"/>
      <c r="B1176" s="552"/>
      <c r="C1176" s="1822" t="s">
        <v>204</v>
      </c>
      <c r="D1176" s="1822"/>
      <c r="E1176" s="1822"/>
      <c r="F1176" s="1822"/>
      <c r="G1176" s="1822"/>
      <c r="H1176" s="1822"/>
      <c r="I1176" s="1822"/>
      <c r="J1176" s="1822"/>
      <c r="K1176" s="1822"/>
      <c r="L1176" s="551"/>
      <c r="M1176" s="550"/>
      <c r="N1176" s="549"/>
      <c r="V1176" s="674"/>
      <c r="W1176" s="675"/>
      <c r="AC1176" s="675"/>
      <c r="AD1176" s="675"/>
      <c r="AE1176" s="675"/>
      <c r="AF1176" s="537" t="s">
        <v>204</v>
      </c>
      <c r="AG1176" s="675"/>
      <c r="AH1176" s="680"/>
    </row>
    <row r="1177" spans="1:34" s="536" customFormat="1" ht="12" x14ac:dyDescent="0.2">
      <c r="A1177" s="548"/>
      <c r="B1177" s="552"/>
      <c r="C1177" s="1822" t="s">
        <v>404</v>
      </c>
      <c r="D1177" s="1822"/>
      <c r="E1177" s="1822"/>
      <c r="F1177" s="1822"/>
      <c r="G1177" s="1822"/>
      <c r="H1177" s="1822"/>
      <c r="I1177" s="1822"/>
      <c r="J1177" s="1822"/>
      <c r="K1177" s="1822"/>
      <c r="L1177" s="551">
        <v>3935.09</v>
      </c>
      <c r="M1177" s="550"/>
      <c r="N1177" s="549"/>
      <c r="V1177" s="674"/>
      <c r="W1177" s="675"/>
      <c r="AC1177" s="675"/>
      <c r="AD1177" s="675"/>
      <c r="AE1177" s="675"/>
      <c r="AF1177" s="537" t="s">
        <v>404</v>
      </c>
      <c r="AG1177" s="675"/>
      <c r="AH1177" s="680"/>
    </row>
    <row r="1178" spans="1:34" s="536" customFormat="1" ht="12" x14ac:dyDescent="0.2">
      <c r="A1178" s="548"/>
      <c r="B1178" s="552"/>
      <c r="C1178" s="1822" t="s">
        <v>405</v>
      </c>
      <c r="D1178" s="1822"/>
      <c r="E1178" s="1822"/>
      <c r="F1178" s="1822"/>
      <c r="G1178" s="1822"/>
      <c r="H1178" s="1822"/>
      <c r="I1178" s="1822"/>
      <c r="J1178" s="1822"/>
      <c r="K1178" s="1822"/>
      <c r="L1178" s="551">
        <v>7389.64</v>
      </c>
      <c r="M1178" s="550"/>
      <c r="N1178" s="549"/>
      <c r="V1178" s="674"/>
      <c r="W1178" s="675"/>
      <c r="AC1178" s="675"/>
      <c r="AD1178" s="675"/>
      <c r="AE1178" s="675"/>
      <c r="AF1178" s="537" t="s">
        <v>405</v>
      </c>
      <c r="AG1178" s="675"/>
      <c r="AH1178" s="680"/>
    </row>
    <row r="1179" spans="1:34" s="536" customFormat="1" ht="12" x14ac:dyDescent="0.2">
      <c r="A1179" s="548"/>
      <c r="B1179" s="552"/>
      <c r="C1179" s="1822" t="s">
        <v>406</v>
      </c>
      <c r="D1179" s="1822"/>
      <c r="E1179" s="1822"/>
      <c r="F1179" s="1822"/>
      <c r="G1179" s="1822"/>
      <c r="H1179" s="1822"/>
      <c r="I1179" s="1822"/>
      <c r="J1179" s="1822"/>
      <c r="K1179" s="1822"/>
      <c r="L1179" s="551">
        <v>493.26</v>
      </c>
      <c r="M1179" s="550"/>
      <c r="N1179" s="549"/>
      <c r="V1179" s="674"/>
      <c r="W1179" s="675"/>
      <c r="AC1179" s="675"/>
      <c r="AD1179" s="675"/>
      <c r="AE1179" s="675"/>
      <c r="AF1179" s="537" t="s">
        <v>406</v>
      </c>
      <c r="AG1179" s="675"/>
      <c r="AH1179" s="680"/>
    </row>
    <row r="1180" spans="1:34" s="536" customFormat="1" ht="12" x14ac:dyDescent="0.2">
      <c r="A1180" s="548"/>
      <c r="B1180" s="552"/>
      <c r="C1180" s="1822" t="s">
        <v>480</v>
      </c>
      <c r="D1180" s="1822"/>
      <c r="E1180" s="1822"/>
      <c r="F1180" s="1822"/>
      <c r="G1180" s="1822"/>
      <c r="H1180" s="1822"/>
      <c r="I1180" s="1822"/>
      <c r="J1180" s="1822"/>
      <c r="K1180" s="1822"/>
      <c r="L1180" s="551">
        <v>265966.28999999998</v>
      </c>
      <c r="M1180" s="550"/>
      <c r="N1180" s="549"/>
      <c r="V1180" s="674"/>
      <c r="W1180" s="675"/>
      <c r="AC1180" s="675"/>
      <c r="AD1180" s="675"/>
      <c r="AE1180" s="675"/>
      <c r="AF1180" s="537" t="s">
        <v>480</v>
      </c>
      <c r="AG1180" s="675"/>
      <c r="AH1180" s="680"/>
    </row>
    <row r="1181" spans="1:34" s="536" customFormat="1" ht="12" x14ac:dyDescent="0.2">
      <c r="A1181" s="548"/>
      <c r="B1181" s="552"/>
      <c r="C1181" s="1822" t="s">
        <v>407</v>
      </c>
      <c r="D1181" s="1822"/>
      <c r="E1181" s="1822"/>
      <c r="F1181" s="1822"/>
      <c r="G1181" s="1822"/>
      <c r="H1181" s="1822"/>
      <c r="I1181" s="1822"/>
      <c r="J1181" s="1822"/>
      <c r="K1181" s="1822"/>
      <c r="L1181" s="551">
        <v>287077.67</v>
      </c>
      <c r="M1181" s="550"/>
      <c r="N1181" s="549"/>
      <c r="V1181" s="674"/>
      <c r="W1181" s="675"/>
      <c r="AC1181" s="675"/>
      <c r="AD1181" s="675"/>
      <c r="AE1181" s="675"/>
      <c r="AF1181" s="537" t="s">
        <v>407</v>
      </c>
      <c r="AG1181" s="675"/>
      <c r="AH1181" s="680"/>
    </row>
    <row r="1182" spans="1:34" s="536" customFormat="1" ht="12" x14ac:dyDescent="0.2">
      <c r="A1182" s="548"/>
      <c r="B1182" s="552"/>
      <c r="C1182" s="1822" t="s">
        <v>204</v>
      </c>
      <c r="D1182" s="1822"/>
      <c r="E1182" s="1822"/>
      <c r="F1182" s="1822"/>
      <c r="G1182" s="1822"/>
      <c r="H1182" s="1822"/>
      <c r="I1182" s="1822"/>
      <c r="J1182" s="1822"/>
      <c r="K1182" s="1822"/>
      <c r="L1182" s="551"/>
      <c r="M1182" s="550"/>
      <c r="N1182" s="549"/>
      <c r="V1182" s="674"/>
      <c r="W1182" s="675"/>
      <c r="AC1182" s="675"/>
      <c r="AD1182" s="675"/>
      <c r="AE1182" s="675"/>
      <c r="AF1182" s="537" t="s">
        <v>204</v>
      </c>
      <c r="AG1182" s="675"/>
      <c r="AH1182" s="680"/>
    </row>
    <row r="1183" spans="1:34" s="536" customFormat="1" ht="12" x14ac:dyDescent="0.2">
      <c r="A1183" s="548"/>
      <c r="B1183" s="552"/>
      <c r="C1183" s="1822" t="s">
        <v>546</v>
      </c>
      <c r="D1183" s="1822"/>
      <c r="E1183" s="1822"/>
      <c r="F1183" s="1822"/>
      <c r="G1183" s="1822"/>
      <c r="H1183" s="1822"/>
      <c r="I1183" s="1822"/>
      <c r="J1183" s="1822"/>
      <c r="K1183" s="1822"/>
      <c r="L1183" s="551">
        <v>3935.09</v>
      </c>
      <c r="M1183" s="550"/>
      <c r="N1183" s="549"/>
      <c r="V1183" s="674"/>
      <c r="W1183" s="675"/>
      <c r="AC1183" s="675"/>
      <c r="AD1183" s="675"/>
      <c r="AE1183" s="675"/>
      <c r="AF1183" s="537" t="s">
        <v>546</v>
      </c>
      <c r="AG1183" s="675"/>
      <c r="AH1183" s="680"/>
    </row>
    <row r="1184" spans="1:34" s="536" customFormat="1" ht="12" x14ac:dyDescent="0.2">
      <c r="A1184" s="548"/>
      <c r="B1184" s="552"/>
      <c r="C1184" s="1822" t="s">
        <v>442</v>
      </c>
      <c r="D1184" s="1822"/>
      <c r="E1184" s="1822"/>
      <c r="F1184" s="1822"/>
      <c r="G1184" s="1822"/>
      <c r="H1184" s="1822"/>
      <c r="I1184" s="1822"/>
      <c r="J1184" s="1822"/>
      <c r="K1184" s="1822"/>
      <c r="L1184" s="551">
        <v>7389.64</v>
      </c>
      <c r="M1184" s="550"/>
      <c r="N1184" s="549"/>
      <c r="V1184" s="674"/>
      <c r="W1184" s="675"/>
      <c r="AC1184" s="675"/>
      <c r="AD1184" s="675"/>
      <c r="AE1184" s="675"/>
      <c r="AF1184" s="537" t="s">
        <v>442</v>
      </c>
      <c r="AG1184" s="675"/>
      <c r="AH1184" s="680"/>
    </row>
    <row r="1185" spans="1:34" s="536" customFormat="1" ht="12" x14ac:dyDescent="0.2">
      <c r="A1185" s="548"/>
      <c r="B1185" s="552"/>
      <c r="C1185" s="1822" t="s">
        <v>547</v>
      </c>
      <c r="D1185" s="1822"/>
      <c r="E1185" s="1822"/>
      <c r="F1185" s="1822"/>
      <c r="G1185" s="1822"/>
      <c r="H1185" s="1822"/>
      <c r="I1185" s="1822"/>
      <c r="J1185" s="1822"/>
      <c r="K1185" s="1822"/>
      <c r="L1185" s="551">
        <v>265966.28999999998</v>
      </c>
      <c r="M1185" s="550"/>
      <c r="N1185" s="549"/>
      <c r="V1185" s="674"/>
      <c r="W1185" s="675"/>
      <c r="AC1185" s="675"/>
      <c r="AD1185" s="675"/>
      <c r="AE1185" s="675"/>
      <c r="AF1185" s="537" t="s">
        <v>547</v>
      </c>
      <c r="AG1185" s="675"/>
      <c r="AH1185" s="680"/>
    </row>
    <row r="1186" spans="1:34" s="536" customFormat="1" ht="12" x14ac:dyDescent="0.2">
      <c r="A1186" s="548"/>
      <c r="B1186" s="552"/>
      <c r="C1186" s="1822" t="s">
        <v>443</v>
      </c>
      <c r="D1186" s="1822"/>
      <c r="E1186" s="1822"/>
      <c r="F1186" s="1822"/>
      <c r="G1186" s="1822"/>
      <c r="H1186" s="1822"/>
      <c r="I1186" s="1822"/>
      <c r="J1186" s="1822"/>
      <c r="K1186" s="1822"/>
      <c r="L1186" s="551">
        <v>5579.71</v>
      </c>
      <c r="M1186" s="550"/>
      <c r="N1186" s="549"/>
      <c r="V1186" s="674"/>
      <c r="W1186" s="675"/>
      <c r="AC1186" s="675"/>
      <c r="AD1186" s="675"/>
      <c r="AE1186" s="675"/>
      <c r="AF1186" s="537" t="s">
        <v>443</v>
      </c>
      <c r="AG1186" s="675"/>
      <c r="AH1186" s="680"/>
    </row>
    <row r="1187" spans="1:34" s="536" customFormat="1" ht="12" x14ac:dyDescent="0.2">
      <c r="A1187" s="548"/>
      <c r="B1187" s="552"/>
      <c r="C1187" s="1822" t="s">
        <v>444</v>
      </c>
      <c r="D1187" s="1822"/>
      <c r="E1187" s="1822"/>
      <c r="F1187" s="1822"/>
      <c r="G1187" s="1822"/>
      <c r="H1187" s="1822"/>
      <c r="I1187" s="1822"/>
      <c r="J1187" s="1822"/>
      <c r="K1187" s="1822"/>
      <c r="L1187" s="551">
        <v>4206.9399999999996</v>
      </c>
      <c r="M1187" s="550"/>
      <c r="N1187" s="549"/>
      <c r="V1187" s="674"/>
      <c r="W1187" s="675"/>
      <c r="AC1187" s="675"/>
      <c r="AD1187" s="675"/>
      <c r="AE1187" s="675"/>
      <c r="AF1187" s="537" t="s">
        <v>444</v>
      </c>
      <c r="AG1187" s="675"/>
      <c r="AH1187" s="680"/>
    </row>
    <row r="1188" spans="1:34" s="536" customFormat="1" ht="12" x14ac:dyDescent="0.2">
      <c r="A1188" s="548"/>
      <c r="B1188" s="552"/>
      <c r="C1188" s="1822" t="s">
        <v>415</v>
      </c>
      <c r="D1188" s="1822"/>
      <c r="E1188" s="1822"/>
      <c r="F1188" s="1822"/>
      <c r="G1188" s="1822"/>
      <c r="H1188" s="1822"/>
      <c r="I1188" s="1822"/>
      <c r="J1188" s="1822"/>
      <c r="K1188" s="1822"/>
      <c r="L1188" s="551">
        <v>4428.3500000000004</v>
      </c>
      <c r="M1188" s="550"/>
      <c r="N1188" s="549"/>
      <c r="V1188" s="674"/>
      <c r="W1188" s="675"/>
      <c r="AC1188" s="675"/>
      <c r="AD1188" s="675"/>
      <c r="AE1188" s="675"/>
      <c r="AF1188" s="537" t="s">
        <v>415</v>
      </c>
      <c r="AG1188" s="675"/>
      <c r="AH1188" s="680"/>
    </row>
    <row r="1189" spans="1:34" s="536" customFormat="1" ht="12" x14ac:dyDescent="0.2">
      <c r="A1189" s="548"/>
      <c r="B1189" s="552"/>
      <c r="C1189" s="1822" t="s">
        <v>416</v>
      </c>
      <c r="D1189" s="1822"/>
      <c r="E1189" s="1822"/>
      <c r="F1189" s="1822"/>
      <c r="G1189" s="1822"/>
      <c r="H1189" s="1822"/>
      <c r="I1189" s="1822"/>
      <c r="J1189" s="1822"/>
      <c r="K1189" s="1822"/>
      <c r="L1189" s="551">
        <v>5579.71</v>
      </c>
      <c r="M1189" s="550"/>
      <c r="N1189" s="549"/>
      <c r="V1189" s="674"/>
      <c r="W1189" s="675"/>
      <c r="AC1189" s="675"/>
      <c r="AD1189" s="675"/>
      <c r="AE1189" s="675"/>
      <c r="AF1189" s="537" t="s">
        <v>416</v>
      </c>
      <c r="AG1189" s="675"/>
      <c r="AH1189" s="680"/>
    </row>
    <row r="1190" spans="1:34" s="536" customFormat="1" ht="12" x14ac:dyDescent="0.2">
      <c r="A1190" s="548"/>
      <c r="B1190" s="552"/>
      <c r="C1190" s="1822" t="s">
        <v>417</v>
      </c>
      <c r="D1190" s="1822"/>
      <c r="E1190" s="1822"/>
      <c r="F1190" s="1822"/>
      <c r="G1190" s="1822"/>
      <c r="H1190" s="1822"/>
      <c r="I1190" s="1822"/>
      <c r="J1190" s="1822"/>
      <c r="K1190" s="1822"/>
      <c r="L1190" s="551">
        <v>4206.9399999999996</v>
      </c>
      <c r="M1190" s="550"/>
      <c r="N1190" s="549"/>
      <c r="V1190" s="674"/>
      <c r="W1190" s="675"/>
      <c r="AC1190" s="675"/>
      <c r="AD1190" s="675"/>
      <c r="AE1190" s="675"/>
      <c r="AF1190" s="537" t="s">
        <v>417</v>
      </c>
      <c r="AG1190" s="675"/>
      <c r="AH1190" s="680"/>
    </row>
    <row r="1191" spans="1:34" s="536" customFormat="1" ht="12" x14ac:dyDescent="0.2">
      <c r="A1191" s="548"/>
      <c r="B1191" s="546"/>
      <c r="C1191" s="1819" t="s">
        <v>4291</v>
      </c>
      <c r="D1191" s="1819"/>
      <c r="E1191" s="1819"/>
      <c r="F1191" s="1819"/>
      <c r="G1191" s="1819"/>
      <c r="H1191" s="1819"/>
      <c r="I1191" s="1819"/>
      <c r="J1191" s="1819"/>
      <c r="K1191" s="1819"/>
      <c r="L1191" s="544">
        <v>287077.67</v>
      </c>
      <c r="M1191" s="543"/>
      <c r="N1191" s="681"/>
      <c r="V1191" s="674"/>
      <c r="W1191" s="675"/>
      <c r="AC1191" s="675"/>
      <c r="AD1191" s="675"/>
      <c r="AE1191" s="675"/>
      <c r="AG1191" s="675" t="s">
        <v>4291</v>
      </c>
      <c r="AH1191" s="680"/>
    </row>
    <row r="1192" spans="1:34" s="536" customFormat="1" ht="12" x14ac:dyDescent="0.2">
      <c r="A1192" s="1824" t="s">
        <v>4292</v>
      </c>
      <c r="B1192" s="1825"/>
      <c r="C1192" s="1825"/>
      <c r="D1192" s="1825"/>
      <c r="E1192" s="1825"/>
      <c r="F1192" s="1825"/>
      <c r="G1192" s="1825"/>
      <c r="H1192" s="1825"/>
      <c r="I1192" s="1825"/>
      <c r="J1192" s="1825"/>
      <c r="K1192" s="1825"/>
      <c r="L1192" s="1825"/>
      <c r="M1192" s="1825"/>
      <c r="N1192" s="1826"/>
      <c r="V1192" s="674" t="s">
        <v>4292</v>
      </c>
      <c r="W1192" s="675"/>
      <c r="AC1192" s="675"/>
      <c r="AD1192" s="675"/>
      <c r="AE1192" s="675"/>
      <c r="AG1192" s="675"/>
      <c r="AH1192" s="680"/>
    </row>
    <row r="1193" spans="1:34" s="536" customFormat="1" ht="78.75" x14ac:dyDescent="0.2">
      <c r="A1193" s="575" t="s">
        <v>894</v>
      </c>
      <c r="B1193" s="670" t="s">
        <v>1616</v>
      </c>
      <c r="C1193" s="1823" t="s">
        <v>4293</v>
      </c>
      <c r="D1193" s="1823"/>
      <c r="E1193" s="1823"/>
      <c r="F1193" s="573" t="s">
        <v>201</v>
      </c>
      <c r="G1193" s="573"/>
      <c r="H1193" s="573"/>
      <c r="I1193" s="573" t="s">
        <v>4294</v>
      </c>
      <c r="J1193" s="572">
        <v>90.45</v>
      </c>
      <c r="K1193" s="573"/>
      <c r="L1193" s="572">
        <v>9.32</v>
      </c>
      <c r="M1193" s="571"/>
      <c r="N1193" s="570"/>
      <c r="V1193" s="674"/>
      <c r="W1193" s="675" t="s">
        <v>4293</v>
      </c>
      <c r="AC1193" s="675"/>
      <c r="AD1193" s="675"/>
      <c r="AE1193" s="675"/>
      <c r="AG1193" s="675"/>
      <c r="AH1193" s="680"/>
    </row>
    <row r="1194" spans="1:34" s="536" customFormat="1" ht="12" x14ac:dyDescent="0.2">
      <c r="A1194" s="569"/>
      <c r="B1194" s="671"/>
      <c r="C1194" s="665" t="s">
        <v>717</v>
      </c>
      <c r="D1194" s="666"/>
      <c r="E1194" s="666"/>
      <c r="F1194" s="563"/>
      <c r="G1194" s="563"/>
      <c r="H1194" s="563"/>
      <c r="I1194" s="563"/>
      <c r="J1194" s="566"/>
      <c r="K1194" s="563"/>
      <c r="L1194" s="566"/>
      <c r="M1194" s="565"/>
      <c r="N1194" s="564"/>
      <c r="V1194" s="674"/>
      <c r="W1194" s="675"/>
      <c r="AC1194" s="675"/>
      <c r="AD1194" s="675"/>
      <c r="AE1194" s="675"/>
      <c r="AG1194" s="675"/>
      <c r="AH1194" s="680"/>
    </row>
    <row r="1195" spans="1:34" s="536" customFormat="1" ht="78.75" x14ac:dyDescent="0.2">
      <c r="A1195" s="575" t="s">
        <v>1539</v>
      </c>
      <c r="B1195" s="670" t="s">
        <v>1125</v>
      </c>
      <c r="C1195" s="1823" t="s">
        <v>1126</v>
      </c>
      <c r="D1195" s="1823"/>
      <c r="E1195" s="1823"/>
      <c r="F1195" s="573" t="s">
        <v>201</v>
      </c>
      <c r="G1195" s="573"/>
      <c r="H1195" s="573"/>
      <c r="I1195" s="573" t="s">
        <v>4295</v>
      </c>
      <c r="J1195" s="572">
        <v>38.97</v>
      </c>
      <c r="K1195" s="573"/>
      <c r="L1195" s="572">
        <v>67055.679999999993</v>
      </c>
      <c r="M1195" s="571"/>
      <c r="N1195" s="570"/>
      <c r="V1195" s="674"/>
      <c r="W1195" s="675" t="s">
        <v>1126</v>
      </c>
      <c r="AC1195" s="675"/>
      <c r="AD1195" s="675"/>
      <c r="AE1195" s="675"/>
      <c r="AG1195" s="675"/>
      <c r="AH1195" s="680"/>
    </row>
    <row r="1196" spans="1:34" s="536" customFormat="1" ht="12" x14ac:dyDescent="0.2">
      <c r="A1196" s="569"/>
      <c r="B1196" s="671"/>
      <c r="C1196" s="665" t="s">
        <v>717</v>
      </c>
      <c r="D1196" s="666"/>
      <c r="E1196" s="666"/>
      <c r="F1196" s="563"/>
      <c r="G1196" s="563"/>
      <c r="H1196" s="563"/>
      <c r="I1196" s="563"/>
      <c r="J1196" s="566"/>
      <c r="K1196" s="563"/>
      <c r="L1196" s="566"/>
      <c r="M1196" s="565"/>
      <c r="N1196" s="564"/>
      <c r="V1196" s="674"/>
      <c r="W1196" s="675"/>
      <c r="AC1196" s="675"/>
      <c r="AD1196" s="675"/>
      <c r="AE1196" s="675"/>
      <c r="AG1196" s="675"/>
      <c r="AH1196" s="680"/>
    </row>
    <row r="1197" spans="1:34" s="536" customFormat="1" ht="12" x14ac:dyDescent="0.2">
      <c r="A1197" s="676"/>
      <c r="B1197" s="664"/>
      <c r="C1197" s="1822" t="s">
        <v>4296</v>
      </c>
      <c r="D1197" s="1822"/>
      <c r="E1197" s="1822"/>
      <c r="F1197" s="1822"/>
      <c r="G1197" s="1822"/>
      <c r="H1197" s="1822"/>
      <c r="I1197" s="1822"/>
      <c r="J1197" s="1822"/>
      <c r="K1197" s="1822"/>
      <c r="L1197" s="1822"/>
      <c r="M1197" s="1822"/>
      <c r="N1197" s="1827"/>
      <c r="V1197" s="674"/>
      <c r="W1197" s="675"/>
      <c r="X1197" s="537" t="s">
        <v>4296</v>
      </c>
      <c r="AC1197" s="675"/>
      <c r="AD1197" s="675"/>
      <c r="AE1197" s="675"/>
      <c r="AG1197" s="675"/>
      <c r="AH1197" s="680"/>
    </row>
    <row r="1198" spans="1:34" s="536" customFormat="1" ht="67.5" x14ac:dyDescent="0.2">
      <c r="A1198" s="575" t="s">
        <v>5231</v>
      </c>
      <c r="B1198" s="670" t="s">
        <v>1129</v>
      </c>
      <c r="C1198" s="1823" t="s">
        <v>4297</v>
      </c>
      <c r="D1198" s="1823"/>
      <c r="E1198" s="1823"/>
      <c r="F1198" s="573" t="s">
        <v>201</v>
      </c>
      <c r="G1198" s="573"/>
      <c r="H1198" s="573"/>
      <c r="I1198" s="573" t="s">
        <v>4298</v>
      </c>
      <c r="J1198" s="572">
        <v>64.680000000000007</v>
      </c>
      <c r="K1198" s="573"/>
      <c r="L1198" s="572">
        <v>427.7</v>
      </c>
      <c r="M1198" s="571"/>
      <c r="N1198" s="570"/>
      <c r="V1198" s="674"/>
      <c r="W1198" s="675" t="s">
        <v>4297</v>
      </c>
      <c r="AC1198" s="675"/>
      <c r="AD1198" s="675"/>
      <c r="AE1198" s="675"/>
      <c r="AG1198" s="675"/>
      <c r="AH1198" s="680"/>
    </row>
    <row r="1199" spans="1:34" s="536" customFormat="1" ht="12" x14ac:dyDescent="0.2">
      <c r="A1199" s="569"/>
      <c r="B1199" s="671"/>
      <c r="C1199" s="665" t="s">
        <v>717</v>
      </c>
      <c r="D1199" s="666"/>
      <c r="E1199" s="666"/>
      <c r="F1199" s="563"/>
      <c r="G1199" s="563"/>
      <c r="H1199" s="563"/>
      <c r="I1199" s="563"/>
      <c r="J1199" s="566"/>
      <c r="K1199" s="563"/>
      <c r="L1199" s="566"/>
      <c r="M1199" s="565"/>
      <c r="N1199" s="564"/>
      <c r="V1199" s="674"/>
      <c r="W1199" s="675"/>
      <c r="AC1199" s="675"/>
      <c r="AD1199" s="675"/>
      <c r="AE1199" s="675"/>
      <c r="AG1199" s="675"/>
      <c r="AH1199" s="680"/>
    </row>
    <row r="1200" spans="1:34" s="536" customFormat="1" ht="12" x14ac:dyDescent="0.2">
      <c r="A1200" s="676"/>
      <c r="B1200" s="664"/>
      <c r="C1200" s="1822" t="s">
        <v>4299</v>
      </c>
      <c r="D1200" s="1822"/>
      <c r="E1200" s="1822"/>
      <c r="F1200" s="1822"/>
      <c r="G1200" s="1822"/>
      <c r="H1200" s="1822"/>
      <c r="I1200" s="1822"/>
      <c r="J1200" s="1822"/>
      <c r="K1200" s="1822"/>
      <c r="L1200" s="1822"/>
      <c r="M1200" s="1822"/>
      <c r="N1200" s="1827"/>
      <c r="V1200" s="674"/>
      <c r="W1200" s="675"/>
      <c r="X1200" s="537" t="s">
        <v>4299</v>
      </c>
      <c r="AC1200" s="675"/>
      <c r="AD1200" s="675"/>
      <c r="AE1200" s="675"/>
      <c r="AG1200" s="675"/>
      <c r="AH1200" s="680"/>
    </row>
    <row r="1201" spans="1:34" s="536" customFormat="1" ht="78.75" x14ac:dyDescent="0.2">
      <c r="A1201" s="575" t="s">
        <v>867</v>
      </c>
      <c r="B1201" s="670" t="s">
        <v>1135</v>
      </c>
      <c r="C1201" s="1823" t="s">
        <v>4300</v>
      </c>
      <c r="D1201" s="1823"/>
      <c r="E1201" s="1823"/>
      <c r="F1201" s="573" t="s">
        <v>201</v>
      </c>
      <c r="G1201" s="573"/>
      <c r="H1201" s="573"/>
      <c r="I1201" s="573" t="s">
        <v>4301</v>
      </c>
      <c r="J1201" s="572">
        <v>76.88</v>
      </c>
      <c r="K1201" s="573"/>
      <c r="L1201" s="572">
        <v>10585.22</v>
      </c>
      <c r="M1201" s="571"/>
      <c r="N1201" s="570"/>
      <c r="V1201" s="674"/>
      <c r="W1201" s="675" t="s">
        <v>4300</v>
      </c>
      <c r="AC1201" s="675"/>
      <c r="AD1201" s="675"/>
      <c r="AE1201" s="675"/>
      <c r="AG1201" s="675"/>
      <c r="AH1201" s="680"/>
    </row>
    <row r="1202" spans="1:34" s="536" customFormat="1" ht="12" x14ac:dyDescent="0.2">
      <c r="A1202" s="569"/>
      <c r="B1202" s="671"/>
      <c r="C1202" s="665" t="s">
        <v>717</v>
      </c>
      <c r="D1202" s="666"/>
      <c r="E1202" s="666"/>
      <c r="F1202" s="563"/>
      <c r="G1202" s="563"/>
      <c r="H1202" s="563"/>
      <c r="I1202" s="563"/>
      <c r="J1202" s="566"/>
      <c r="K1202" s="563"/>
      <c r="L1202" s="566"/>
      <c r="M1202" s="565"/>
      <c r="N1202" s="564"/>
      <c r="V1202" s="674"/>
      <c r="W1202" s="675"/>
      <c r="AC1202" s="675"/>
      <c r="AD1202" s="675"/>
      <c r="AE1202" s="675"/>
      <c r="AG1202" s="675"/>
      <c r="AH1202" s="680"/>
    </row>
    <row r="1203" spans="1:34" s="536" customFormat="1" ht="12" x14ac:dyDescent="0.2">
      <c r="A1203" s="676"/>
      <c r="B1203" s="664"/>
      <c r="C1203" s="1822" t="s">
        <v>4302</v>
      </c>
      <c r="D1203" s="1822"/>
      <c r="E1203" s="1822"/>
      <c r="F1203" s="1822"/>
      <c r="G1203" s="1822"/>
      <c r="H1203" s="1822"/>
      <c r="I1203" s="1822"/>
      <c r="J1203" s="1822"/>
      <c r="K1203" s="1822"/>
      <c r="L1203" s="1822"/>
      <c r="M1203" s="1822"/>
      <c r="N1203" s="1827"/>
      <c r="V1203" s="674"/>
      <c r="W1203" s="675"/>
      <c r="X1203" s="537" t="s">
        <v>4302</v>
      </c>
      <c r="AC1203" s="675"/>
      <c r="AD1203" s="675"/>
      <c r="AE1203" s="675"/>
      <c r="AG1203" s="675"/>
      <c r="AH1203" s="680"/>
    </row>
    <row r="1204" spans="1:34" s="536" customFormat="1" ht="78.75" x14ac:dyDescent="0.2">
      <c r="A1204" s="575" t="s">
        <v>6979</v>
      </c>
      <c r="B1204" s="670" t="s">
        <v>4303</v>
      </c>
      <c r="C1204" s="1823" t="s">
        <v>4304</v>
      </c>
      <c r="D1204" s="1823"/>
      <c r="E1204" s="1823"/>
      <c r="F1204" s="573" t="s">
        <v>201</v>
      </c>
      <c r="G1204" s="573"/>
      <c r="H1204" s="573"/>
      <c r="I1204" s="573" t="s">
        <v>4305</v>
      </c>
      <c r="J1204" s="572">
        <v>101.29</v>
      </c>
      <c r="K1204" s="573"/>
      <c r="L1204" s="572">
        <v>14148.19</v>
      </c>
      <c r="M1204" s="571"/>
      <c r="N1204" s="570"/>
      <c r="V1204" s="674"/>
      <c r="W1204" s="675" t="s">
        <v>4304</v>
      </c>
      <c r="AC1204" s="675"/>
      <c r="AD1204" s="675"/>
      <c r="AE1204" s="675"/>
      <c r="AG1204" s="675"/>
      <c r="AH1204" s="680"/>
    </row>
    <row r="1205" spans="1:34" s="536" customFormat="1" ht="12" x14ac:dyDescent="0.2">
      <c r="A1205" s="569"/>
      <c r="B1205" s="671"/>
      <c r="C1205" s="665" t="s">
        <v>717</v>
      </c>
      <c r="D1205" s="666"/>
      <c r="E1205" s="666"/>
      <c r="F1205" s="563"/>
      <c r="G1205" s="563"/>
      <c r="H1205" s="563"/>
      <c r="I1205" s="563"/>
      <c r="J1205" s="566"/>
      <c r="K1205" s="563"/>
      <c r="L1205" s="566"/>
      <c r="M1205" s="565"/>
      <c r="N1205" s="564"/>
      <c r="V1205" s="674"/>
      <c r="W1205" s="675"/>
      <c r="AC1205" s="675"/>
      <c r="AD1205" s="675"/>
      <c r="AE1205" s="675"/>
      <c r="AG1205" s="675"/>
      <c r="AH1205" s="680"/>
    </row>
    <row r="1206" spans="1:34" s="536" customFormat="1" ht="78.75" x14ac:dyDescent="0.2">
      <c r="A1206" s="575" t="s">
        <v>556</v>
      </c>
      <c r="B1206" s="670" t="s">
        <v>1135</v>
      </c>
      <c r="C1206" s="1823" t="s">
        <v>4306</v>
      </c>
      <c r="D1206" s="1823"/>
      <c r="E1206" s="1823"/>
      <c r="F1206" s="573" t="s">
        <v>201</v>
      </c>
      <c r="G1206" s="573"/>
      <c r="H1206" s="573"/>
      <c r="I1206" s="573" t="s">
        <v>4307</v>
      </c>
      <c r="J1206" s="572">
        <v>76.88</v>
      </c>
      <c r="K1206" s="573"/>
      <c r="L1206" s="572">
        <v>1309.73</v>
      </c>
      <c r="M1206" s="571"/>
      <c r="N1206" s="570"/>
      <c r="V1206" s="674"/>
      <c r="W1206" s="675" t="s">
        <v>4306</v>
      </c>
      <c r="AC1206" s="675"/>
      <c r="AD1206" s="675"/>
      <c r="AE1206" s="675"/>
      <c r="AG1206" s="675"/>
      <c r="AH1206" s="680"/>
    </row>
    <row r="1207" spans="1:34" s="536" customFormat="1" ht="12" x14ac:dyDescent="0.2">
      <c r="A1207" s="569"/>
      <c r="B1207" s="671"/>
      <c r="C1207" s="665" t="s">
        <v>717</v>
      </c>
      <c r="D1207" s="666"/>
      <c r="E1207" s="666"/>
      <c r="F1207" s="563"/>
      <c r="G1207" s="563"/>
      <c r="H1207" s="563"/>
      <c r="I1207" s="563"/>
      <c r="J1207" s="566"/>
      <c r="K1207" s="563"/>
      <c r="L1207" s="566"/>
      <c r="M1207" s="565"/>
      <c r="N1207" s="564"/>
      <c r="V1207" s="674"/>
      <c r="W1207" s="675"/>
      <c r="AC1207" s="675"/>
      <c r="AD1207" s="675"/>
      <c r="AE1207" s="675"/>
      <c r="AG1207" s="675"/>
      <c r="AH1207" s="680"/>
    </row>
    <row r="1208" spans="1:34" s="536" customFormat="1" ht="12" x14ac:dyDescent="0.2">
      <c r="A1208" s="676"/>
      <c r="B1208" s="664"/>
      <c r="C1208" s="1822" t="s">
        <v>4308</v>
      </c>
      <c r="D1208" s="1822"/>
      <c r="E1208" s="1822"/>
      <c r="F1208" s="1822"/>
      <c r="G1208" s="1822"/>
      <c r="H1208" s="1822"/>
      <c r="I1208" s="1822"/>
      <c r="J1208" s="1822"/>
      <c r="K1208" s="1822"/>
      <c r="L1208" s="1822"/>
      <c r="M1208" s="1822"/>
      <c r="N1208" s="1827"/>
      <c r="V1208" s="674"/>
      <c r="W1208" s="675"/>
      <c r="X1208" s="537" t="s">
        <v>4308</v>
      </c>
      <c r="AC1208" s="675"/>
      <c r="AD1208" s="675"/>
      <c r="AE1208" s="675"/>
      <c r="AG1208" s="675"/>
      <c r="AH1208" s="680"/>
    </row>
    <row r="1209" spans="1:34" s="536" customFormat="1" ht="78.75" x14ac:dyDescent="0.2">
      <c r="A1209" s="575" t="s">
        <v>6980</v>
      </c>
      <c r="B1209" s="670" t="s">
        <v>1133</v>
      </c>
      <c r="C1209" s="1823" t="s">
        <v>4309</v>
      </c>
      <c r="D1209" s="1823"/>
      <c r="E1209" s="1823"/>
      <c r="F1209" s="573" t="s">
        <v>201</v>
      </c>
      <c r="G1209" s="573"/>
      <c r="H1209" s="573"/>
      <c r="I1209" s="573" t="s">
        <v>4310</v>
      </c>
      <c r="J1209" s="572">
        <v>48.81</v>
      </c>
      <c r="K1209" s="573"/>
      <c r="L1209" s="572">
        <v>231259.14</v>
      </c>
      <c r="M1209" s="571"/>
      <c r="N1209" s="570"/>
      <c r="V1209" s="674"/>
      <c r="W1209" s="675" t="s">
        <v>4309</v>
      </c>
      <c r="AC1209" s="675"/>
      <c r="AD1209" s="675"/>
      <c r="AE1209" s="675"/>
      <c r="AG1209" s="675"/>
      <c r="AH1209" s="680"/>
    </row>
    <row r="1210" spans="1:34" s="536" customFormat="1" ht="12" x14ac:dyDescent="0.2">
      <c r="A1210" s="569"/>
      <c r="B1210" s="671"/>
      <c r="C1210" s="665" t="s">
        <v>717</v>
      </c>
      <c r="D1210" s="666"/>
      <c r="E1210" s="666"/>
      <c r="F1210" s="563"/>
      <c r="G1210" s="563"/>
      <c r="H1210" s="563"/>
      <c r="I1210" s="563"/>
      <c r="J1210" s="566"/>
      <c r="K1210" s="563"/>
      <c r="L1210" s="566"/>
      <c r="M1210" s="565"/>
      <c r="N1210" s="564"/>
      <c r="V1210" s="674"/>
      <c r="W1210" s="675"/>
      <c r="AC1210" s="675"/>
      <c r="AD1210" s="675"/>
      <c r="AE1210" s="675"/>
      <c r="AG1210" s="675"/>
      <c r="AH1210" s="680"/>
    </row>
    <row r="1211" spans="1:34" s="536" customFormat="1" ht="12" x14ac:dyDescent="0.2">
      <c r="A1211" s="676"/>
      <c r="B1211" s="664"/>
      <c r="C1211" s="1822" t="s">
        <v>4311</v>
      </c>
      <c r="D1211" s="1822"/>
      <c r="E1211" s="1822"/>
      <c r="F1211" s="1822"/>
      <c r="G1211" s="1822"/>
      <c r="H1211" s="1822"/>
      <c r="I1211" s="1822"/>
      <c r="J1211" s="1822"/>
      <c r="K1211" s="1822"/>
      <c r="L1211" s="1822"/>
      <c r="M1211" s="1822"/>
      <c r="N1211" s="1827"/>
      <c r="V1211" s="674"/>
      <c r="W1211" s="675"/>
      <c r="X1211" s="537" t="s">
        <v>4311</v>
      </c>
      <c r="AC1211" s="675"/>
      <c r="AD1211" s="675"/>
      <c r="AE1211" s="675"/>
      <c r="AG1211" s="675"/>
      <c r="AH1211" s="680"/>
    </row>
    <row r="1212" spans="1:34" s="536" customFormat="1" ht="1.5" customHeight="1" x14ac:dyDescent="0.2">
      <c r="A1212" s="563"/>
      <c r="B1212" s="671"/>
      <c r="C1212" s="671"/>
      <c r="D1212" s="671"/>
      <c r="E1212" s="671"/>
      <c r="F1212" s="563"/>
      <c r="G1212" s="563"/>
      <c r="H1212" s="563"/>
      <c r="I1212" s="563"/>
      <c r="J1212" s="546"/>
      <c r="K1212" s="563"/>
      <c r="L1212" s="546"/>
      <c r="M1212" s="562"/>
      <c r="N1212" s="546"/>
      <c r="V1212" s="674"/>
      <c r="W1212" s="675"/>
      <c r="AC1212" s="675"/>
      <c r="AD1212" s="675"/>
      <c r="AE1212" s="675"/>
      <c r="AG1212" s="675"/>
      <c r="AH1212" s="680"/>
    </row>
    <row r="1213" spans="1:34" s="536" customFormat="1" ht="22.5" x14ac:dyDescent="0.2">
      <c r="A1213" s="557"/>
      <c r="B1213" s="556"/>
      <c r="C1213" s="1823" t="s">
        <v>4312</v>
      </c>
      <c r="D1213" s="1823"/>
      <c r="E1213" s="1823"/>
      <c r="F1213" s="1823"/>
      <c r="G1213" s="1823"/>
      <c r="H1213" s="1823"/>
      <c r="I1213" s="1823"/>
      <c r="J1213" s="1823"/>
      <c r="K1213" s="1823"/>
      <c r="L1213" s="555"/>
      <c r="M1213" s="554"/>
      <c r="N1213" s="553"/>
      <c r="V1213" s="674"/>
      <c r="W1213" s="675"/>
      <c r="AC1213" s="675"/>
      <c r="AD1213" s="675"/>
      <c r="AE1213" s="675" t="s">
        <v>4312</v>
      </c>
      <c r="AG1213" s="675"/>
      <c r="AH1213" s="680"/>
    </row>
    <row r="1214" spans="1:34" s="536" customFormat="1" ht="12" x14ac:dyDescent="0.2">
      <c r="A1214" s="548"/>
      <c r="B1214" s="552"/>
      <c r="C1214" s="1822" t="s">
        <v>403</v>
      </c>
      <c r="D1214" s="1822"/>
      <c r="E1214" s="1822"/>
      <c r="F1214" s="1822"/>
      <c r="G1214" s="1822"/>
      <c r="H1214" s="1822"/>
      <c r="I1214" s="1822"/>
      <c r="J1214" s="1822"/>
      <c r="K1214" s="1822"/>
      <c r="L1214" s="551">
        <v>324794.98</v>
      </c>
      <c r="M1214" s="550"/>
      <c r="N1214" s="549"/>
      <c r="V1214" s="674"/>
      <c r="W1214" s="675"/>
      <c r="AC1214" s="675"/>
      <c r="AD1214" s="675"/>
      <c r="AE1214" s="675"/>
      <c r="AF1214" s="537" t="s">
        <v>403</v>
      </c>
      <c r="AG1214" s="675"/>
      <c r="AH1214" s="680"/>
    </row>
    <row r="1215" spans="1:34" s="536" customFormat="1" ht="12" x14ac:dyDescent="0.2">
      <c r="A1215" s="548"/>
      <c r="B1215" s="552"/>
      <c r="C1215" s="1822" t="s">
        <v>204</v>
      </c>
      <c r="D1215" s="1822"/>
      <c r="E1215" s="1822"/>
      <c r="F1215" s="1822"/>
      <c r="G1215" s="1822"/>
      <c r="H1215" s="1822"/>
      <c r="I1215" s="1822"/>
      <c r="J1215" s="1822"/>
      <c r="K1215" s="1822"/>
      <c r="L1215" s="551"/>
      <c r="M1215" s="550"/>
      <c r="N1215" s="549"/>
      <c r="V1215" s="674"/>
      <c r="W1215" s="675"/>
      <c r="AC1215" s="675"/>
      <c r="AD1215" s="675"/>
      <c r="AE1215" s="675"/>
      <c r="AF1215" s="537" t="s">
        <v>204</v>
      </c>
      <c r="AG1215" s="675"/>
      <c r="AH1215" s="680"/>
    </row>
    <row r="1216" spans="1:34" s="536" customFormat="1" ht="12" x14ac:dyDescent="0.2">
      <c r="A1216" s="548"/>
      <c r="B1216" s="552"/>
      <c r="C1216" s="1822" t="s">
        <v>480</v>
      </c>
      <c r="D1216" s="1822"/>
      <c r="E1216" s="1822"/>
      <c r="F1216" s="1822"/>
      <c r="G1216" s="1822"/>
      <c r="H1216" s="1822"/>
      <c r="I1216" s="1822"/>
      <c r="J1216" s="1822"/>
      <c r="K1216" s="1822"/>
      <c r="L1216" s="551">
        <v>324794.98</v>
      </c>
      <c r="M1216" s="550"/>
      <c r="N1216" s="549"/>
      <c r="V1216" s="674"/>
      <c r="W1216" s="675"/>
      <c r="AC1216" s="675"/>
      <c r="AD1216" s="675"/>
      <c r="AE1216" s="675"/>
      <c r="AF1216" s="537" t="s">
        <v>480</v>
      </c>
      <c r="AG1216" s="675"/>
      <c r="AH1216" s="680"/>
    </row>
    <row r="1217" spans="1:36" s="536" customFormat="1" ht="12" x14ac:dyDescent="0.2">
      <c r="A1217" s="548"/>
      <c r="B1217" s="552"/>
      <c r="C1217" s="1822" t="s">
        <v>407</v>
      </c>
      <c r="D1217" s="1822"/>
      <c r="E1217" s="1822"/>
      <c r="F1217" s="1822"/>
      <c r="G1217" s="1822"/>
      <c r="H1217" s="1822"/>
      <c r="I1217" s="1822"/>
      <c r="J1217" s="1822"/>
      <c r="K1217" s="1822"/>
      <c r="L1217" s="551">
        <v>324794.98</v>
      </c>
      <c r="M1217" s="550"/>
      <c r="N1217" s="549"/>
      <c r="V1217" s="674"/>
      <c r="W1217" s="675"/>
      <c r="AC1217" s="675"/>
      <c r="AD1217" s="675"/>
      <c r="AE1217" s="675"/>
      <c r="AF1217" s="537" t="s">
        <v>407</v>
      </c>
      <c r="AG1217" s="675"/>
      <c r="AH1217" s="680"/>
    </row>
    <row r="1218" spans="1:36" s="536" customFormat="1" ht="12" x14ac:dyDescent="0.2">
      <c r="A1218" s="548"/>
      <c r="B1218" s="552"/>
      <c r="C1218" s="1822" t="s">
        <v>204</v>
      </c>
      <c r="D1218" s="1822"/>
      <c r="E1218" s="1822"/>
      <c r="F1218" s="1822"/>
      <c r="G1218" s="1822"/>
      <c r="H1218" s="1822"/>
      <c r="I1218" s="1822"/>
      <c r="J1218" s="1822"/>
      <c r="K1218" s="1822"/>
      <c r="L1218" s="551"/>
      <c r="M1218" s="550"/>
      <c r="N1218" s="549"/>
      <c r="V1218" s="674"/>
      <c r="W1218" s="675"/>
      <c r="AC1218" s="675"/>
      <c r="AD1218" s="675"/>
      <c r="AE1218" s="675"/>
      <c r="AF1218" s="537" t="s">
        <v>204</v>
      </c>
      <c r="AG1218" s="675"/>
      <c r="AH1218" s="680"/>
    </row>
    <row r="1219" spans="1:36" s="536" customFormat="1" ht="12" x14ac:dyDescent="0.2">
      <c r="A1219" s="548"/>
      <c r="B1219" s="552"/>
      <c r="C1219" s="1822" t="s">
        <v>547</v>
      </c>
      <c r="D1219" s="1822"/>
      <c r="E1219" s="1822"/>
      <c r="F1219" s="1822"/>
      <c r="G1219" s="1822"/>
      <c r="H1219" s="1822"/>
      <c r="I1219" s="1822"/>
      <c r="J1219" s="1822"/>
      <c r="K1219" s="1822"/>
      <c r="L1219" s="551">
        <v>324794.98</v>
      </c>
      <c r="M1219" s="550"/>
      <c r="N1219" s="549"/>
      <c r="V1219" s="674"/>
      <c r="W1219" s="675"/>
      <c r="AC1219" s="675"/>
      <c r="AD1219" s="675"/>
      <c r="AE1219" s="675"/>
      <c r="AF1219" s="537" t="s">
        <v>547</v>
      </c>
      <c r="AG1219" s="675"/>
      <c r="AH1219" s="680"/>
    </row>
    <row r="1220" spans="1:36" s="536" customFormat="1" ht="22.5" x14ac:dyDescent="0.2">
      <c r="A1220" s="548"/>
      <c r="B1220" s="546"/>
      <c r="C1220" s="1819" t="s">
        <v>4313</v>
      </c>
      <c r="D1220" s="1819"/>
      <c r="E1220" s="1819"/>
      <c r="F1220" s="1819"/>
      <c r="G1220" s="1819"/>
      <c r="H1220" s="1819"/>
      <c r="I1220" s="1819"/>
      <c r="J1220" s="1819"/>
      <c r="K1220" s="1819"/>
      <c r="L1220" s="544">
        <v>324794.98</v>
      </c>
      <c r="M1220" s="543"/>
      <c r="N1220" s="681"/>
      <c r="V1220" s="674"/>
      <c r="W1220" s="675"/>
      <c r="AC1220" s="675"/>
      <c r="AD1220" s="675"/>
      <c r="AE1220" s="675"/>
      <c r="AG1220" s="675" t="s">
        <v>4313</v>
      </c>
      <c r="AH1220" s="680"/>
    </row>
    <row r="1221" spans="1:36" s="536" customFormat="1" ht="2.25" customHeight="1" x14ac:dyDescent="0.2">
      <c r="B1221" s="561"/>
      <c r="C1221" s="561"/>
      <c r="D1221" s="561"/>
      <c r="E1221" s="561"/>
      <c r="F1221" s="561"/>
      <c r="G1221" s="561"/>
      <c r="H1221" s="561"/>
      <c r="I1221" s="561"/>
      <c r="J1221" s="561"/>
      <c r="K1221" s="561"/>
      <c r="L1221" s="560"/>
      <c r="M1221" s="559"/>
      <c r="N1221" s="558"/>
    </row>
    <row r="1222" spans="1:36" s="536" customFormat="1" x14ac:dyDescent="0.2">
      <c r="A1222" s="557"/>
      <c r="B1222" s="556"/>
      <c r="C1222" s="1823" t="s">
        <v>205</v>
      </c>
      <c r="D1222" s="1823"/>
      <c r="E1222" s="1823"/>
      <c r="F1222" s="1823"/>
      <c r="G1222" s="1823"/>
      <c r="H1222" s="1823"/>
      <c r="I1222" s="1823"/>
      <c r="J1222" s="1823"/>
      <c r="K1222" s="1823"/>
      <c r="L1222" s="555"/>
      <c r="M1222" s="554"/>
      <c r="N1222" s="553"/>
      <c r="AI1222" s="675" t="s">
        <v>205</v>
      </c>
    </row>
    <row r="1223" spans="1:36" s="536" customFormat="1" x14ac:dyDescent="0.2">
      <c r="A1223" s="548"/>
      <c r="B1223" s="552"/>
      <c r="C1223" s="1822" t="s">
        <v>403</v>
      </c>
      <c r="D1223" s="1822"/>
      <c r="E1223" s="1822"/>
      <c r="F1223" s="1822"/>
      <c r="G1223" s="1822"/>
      <c r="H1223" s="1822"/>
      <c r="I1223" s="1822"/>
      <c r="J1223" s="1822"/>
      <c r="K1223" s="1822"/>
      <c r="L1223" s="551">
        <v>3511748.22</v>
      </c>
      <c r="M1223" s="550"/>
      <c r="N1223" s="549"/>
      <c r="AI1223" s="675"/>
      <c r="AJ1223" s="537" t="s">
        <v>403</v>
      </c>
    </row>
    <row r="1224" spans="1:36" s="536" customFormat="1" x14ac:dyDescent="0.2">
      <c r="A1224" s="548"/>
      <c r="B1224" s="552"/>
      <c r="C1224" s="1822" t="s">
        <v>204</v>
      </c>
      <c r="D1224" s="1822"/>
      <c r="E1224" s="1822"/>
      <c r="F1224" s="1822"/>
      <c r="G1224" s="1822"/>
      <c r="H1224" s="1822"/>
      <c r="I1224" s="1822"/>
      <c r="J1224" s="1822"/>
      <c r="K1224" s="1822"/>
      <c r="L1224" s="551"/>
      <c r="M1224" s="550"/>
      <c r="N1224" s="549"/>
      <c r="AI1224" s="675"/>
      <c r="AJ1224" s="537" t="s">
        <v>204</v>
      </c>
    </row>
    <row r="1225" spans="1:36" s="536" customFormat="1" x14ac:dyDescent="0.2">
      <c r="A1225" s="548"/>
      <c r="B1225" s="552"/>
      <c r="C1225" s="1822" t="s">
        <v>404</v>
      </c>
      <c r="D1225" s="1822"/>
      <c r="E1225" s="1822"/>
      <c r="F1225" s="1822"/>
      <c r="G1225" s="1822"/>
      <c r="H1225" s="1822"/>
      <c r="I1225" s="1822"/>
      <c r="J1225" s="1822"/>
      <c r="K1225" s="1822"/>
      <c r="L1225" s="551">
        <v>46718.75</v>
      </c>
      <c r="M1225" s="550"/>
      <c r="N1225" s="549"/>
      <c r="AI1225" s="675"/>
      <c r="AJ1225" s="537" t="s">
        <v>404</v>
      </c>
    </row>
    <row r="1226" spans="1:36" s="536" customFormat="1" x14ac:dyDescent="0.2">
      <c r="A1226" s="548"/>
      <c r="B1226" s="552"/>
      <c r="C1226" s="1822" t="s">
        <v>405</v>
      </c>
      <c r="D1226" s="1822"/>
      <c r="E1226" s="1822"/>
      <c r="F1226" s="1822"/>
      <c r="G1226" s="1822"/>
      <c r="H1226" s="1822"/>
      <c r="I1226" s="1822"/>
      <c r="J1226" s="1822"/>
      <c r="K1226" s="1822"/>
      <c r="L1226" s="551">
        <v>570211.86</v>
      </c>
      <c r="M1226" s="550"/>
      <c r="N1226" s="549"/>
      <c r="AI1226" s="675"/>
      <c r="AJ1226" s="537" t="s">
        <v>405</v>
      </c>
    </row>
    <row r="1227" spans="1:36" s="536" customFormat="1" x14ac:dyDescent="0.2">
      <c r="A1227" s="548"/>
      <c r="B1227" s="552"/>
      <c r="C1227" s="1822" t="s">
        <v>406</v>
      </c>
      <c r="D1227" s="1822"/>
      <c r="E1227" s="1822"/>
      <c r="F1227" s="1822"/>
      <c r="G1227" s="1822"/>
      <c r="H1227" s="1822"/>
      <c r="I1227" s="1822"/>
      <c r="J1227" s="1822"/>
      <c r="K1227" s="1822"/>
      <c r="L1227" s="551">
        <v>29565.87</v>
      </c>
      <c r="M1227" s="550"/>
      <c r="N1227" s="549"/>
      <c r="AI1227" s="675"/>
      <c r="AJ1227" s="537" t="s">
        <v>406</v>
      </c>
    </row>
    <row r="1228" spans="1:36" s="536" customFormat="1" x14ac:dyDescent="0.2">
      <c r="A1228" s="548"/>
      <c r="B1228" s="552"/>
      <c r="C1228" s="1822" t="s">
        <v>480</v>
      </c>
      <c r="D1228" s="1822"/>
      <c r="E1228" s="1822"/>
      <c r="F1228" s="1822"/>
      <c r="G1228" s="1822"/>
      <c r="H1228" s="1822"/>
      <c r="I1228" s="1822"/>
      <c r="J1228" s="1822"/>
      <c r="K1228" s="1822"/>
      <c r="L1228" s="551">
        <v>2894817.61</v>
      </c>
      <c r="M1228" s="550"/>
      <c r="N1228" s="549"/>
      <c r="AI1228" s="675"/>
      <c r="AJ1228" s="537" t="s">
        <v>480</v>
      </c>
    </row>
    <row r="1229" spans="1:36" s="536" customFormat="1" x14ac:dyDescent="0.2">
      <c r="A1229" s="548"/>
      <c r="B1229" s="552"/>
      <c r="C1229" s="1822" t="s">
        <v>407</v>
      </c>
      <c r="D1229" s="1822"/>
      <c r="E1229" s="1822"/>
      <c r="F1229" s="1822"/>
      <c r="G1229" s="1822"/>
      <c r="H1229" s="1822"/>
      <c r="I1229" s="1822"/>
      <c r="J1229" s="1822"/>
      <c r="K1229" s="1822"/>
      <c r="L1229" s="551">
        <v>3655944.37</v>
      </c>
      <c r="M1229" s="550"/>
      <c r="N1229" s="549">
        <v>29649709</v>
      </c>
      <c r="AI1229" s="675"/>
      <c r="AJ1229" s="537" t="s">
        <v>407</v>
      </c>
    </row>
    <row r="1230" spans="1:36" s="536" customFormat="1" x14ac:dyDescent="0.2">
      <c r="A1230" s="548"/>
      <c r="B1230" s="552" t="s">
        <v>185</v>
      </c>
      <c r="C1230" s="1822" t="s">
        <v>408</v>
      </c>
      <c r="D1230" s="1822"/>
      <c r="E1230" s="1822"/>
      <c r="F1230" s="1822"/>
      <c r="G1230" s="1822"/>
      <c r="H1230" s="1822"/>
      <c r="I1230" s="1822"/>
      <c r="J1230" s="1822"/>
      <c r="K1230" s="1822"/>
      <c r="L1230" s="551">
        <v>3610152.13</v>
      </c>
      <c r="M1230" s="550">
        <v>8.11</v>
      </c>
      <c r="N1230" s="549">
        <v>29278334</v>
      </c>
      <c r="AI1230" s="675"/>
      <c r="AJ1230" s="537" t="s">
        <v>408</v>
      </c>
    </row>
    <row r="1231" spans="1:36" s="536" customFormat="1" x14ac:dyDescent="0.2">
      <c r="A1231" s="548"/>
      <c r="B1231" s="552"/>
      <c r="C1231" s="1822" t="s">
        <v>409</v>
      </c>
      <c r="D1231" s="1822"/>
      <c r="E1231" s="1822"/>
      <c r="F1231" s="1822"/>
      <c r="G1231" s="1822"/>
      <c r="H1231" s="1822"/>
      <c r="I1231" s="1822"/>
      <c r="J1231" s="1822"/>
      <c r="K1231" s="1822"/>
      <c r="L1231" s="551"/>
      <c r="M1231" s="550"/>
      <c r="N1231" s="549"/>
      <c r="AI1231" s="675"/>
      <c r="AJ1231" s="537" t="s">
        <v>409</v>
      </c>
    </row>
    <row r="1232" spans="1:36" s="536" customFormat="1" x14ac:dyDescent="0.2">
      <c r="A1232" s="548"/>
      <c r="B1232" s="552"/>
      <c r="C1232" s="1822" t="s">
        <v>410</v>
      </c>
      <c r="D1232" s="1822"/>
      <c r="E1232" s="1822"/>
      <c r="F1232" s="1822"/>
      <c r="G1232" s="1822"/>
      <c r="H1232" s="1822"/>
      <c r="I1232" s="1822"/>
      <c r="J1232" s="1822"/>
      <c r="K1232" s="1822"/>
      <c r="L1232" s="551">
        <v>46718.75</v>
      </c>
      <c r="M1232" s="550"/>
      <c r="N1232" s="549"/>
      <c r="AI1232" s="675"/>
      <c r="AJ1232" s="537" t="s">
        <v>410</v>
      </c>
    </row>
    <row r="1233" spans="1:37" x14ac:dyDescent="0.2">
      <c r="A1233" s="548"/>
      <c r="B1233" s="552"/>
      <c r="C1233" s="1822" t="s">
        <v>411</v>
      </c>
      <c r="D1233" s="1822"/>
      <c r="E1233" s="1822"/>
      <c r="F1233" s="1822"/>
      <c r="G1233" s="1822"/>
      <c r="H1233" s="1822"/>
      <c r="I1233" s="1822"/>
      <c r="J1233" s="1822"/>
      <c r="K1233" s="1822"/>
      <c r="L1233" s="551">
        <v>524419.62</v>
      </c>
      <c r="M1233" s="550"/>
      <c r="N1233" s="549"/>
      <c r="P1233" s="536"/>
      <c r="Q1233" s="536"/>
      <c r="R1233" s="536"/>
      <c r="S1233" s="536"/>
      <c r="T1233" s="536"/>
      <c r="U1233" s="536"/>
      <c r="V1233" s="536"/>
      <c r="W1233" s="536"/>
      <c r="X1233" s="536"/>
      <c r="Y1233" s="536"/>
      <c r="Z1233" s="536"/>
      <c r="AA1233" s="536"/>
      <c r="AB1233" s="536"/>
      <c r="AC1233" s="536"/>
      <c r="AD1233" s="536"/>
      <c r="AE1233" s="536"/>
      <c r="AF1233" s="536"/>
      <c r="AG1233" s="536"/>
      <c r="AH1233" s="536"/>
      <c r="AI1233" s="675"/>
      <c r="AJ1233" s="537" t="s">
        <v>411</v>
      </c>
      <c r="AK1233" s="536"/>
    </row>
    <row r="1234" spans="1:37" x14ac:dyDescent="0.2">
      <c r="A1234" s="548"/>
      <c r="B1234" s="552"/>
      <c r="C1234" s="1822" t="s">
        <v>481</v>
      </c>
      <c r="D1234" s="1822"/>
      <c r="E1234" s="1822"/>
      <c r="F1234" s="1822"/>
      <c r="G1234" s="1822"/>
      <c r="H1234" s="1822"/>
      <c r="I1234" s="1822"/>
      <c r="J1234" s="1822"/>
      <c r="K1234" s="1822"/>
      <c r="L1234" s="551">
        <v>2894817.61</v>
      </c>
      <c r="M1234" s="550"/>
      <c r="N1234" s="549"/>
      <c r="P1234" s="536"/>
      <c r="Q1234" s="536"/>
      <c r="R1234" s="536"/>
      <c r="S1234" s="536"/>
      <c r="T1234" s="536"/>
      <c r="U1234" s="536"/>
      <c r="V1234" s="536"/>
      <c r="W1234" s="536"/>
      <c r="X1234" s="536"/>
      <c r="Y1234" s="536"/>
      <c r="Z1234" s="536"/>
      <c r="AA1234" s="536"/>
      <c r="AB1234" s="536"/>
      <c r="AC1234" s="536"/>
      <c r="AD1234" s="536"/>
      <c r="AE1234" s="536"/>
      <c r="AF1234" s="536"/>
      <c r="AG1234" s="536"/>
      <c r="AH1234" s="536"/>
      <c r="AI1234" s="675"/>
      <c r="AJ1234" s="537" t="s">
        <v>481</v>
      </c>
      <c r="AK1234" s="536"/>
    </row>
    <row r="1235" spans="1:37" x14ac:dyDescent="0.2">
      <c r="A1235" s="548"/>
      <c r="B1235" s="552"/>
      <c r="C1235" s="1822" t="s">
        <v>412</v>
      </c>
      <c r="D1235" s="1822"/>
      <c r="E1235" s="1822"/>
      <c r="F1235" s="1822"/>
      <c r="G1235" s="1822"/>
      <c r="H1235" s="1822"/>
      <c r="I1235" s="1822"/>
      <c r="J1235" s="1822"/>
      <c r="K1235" s="1822"/>
      <c r="L1235" s="551">
        <v>86181.33</v>
      </c>
      <c r="M1235" s="550"/>
      <c r="N1235" s="549"/>
      <c r="P1235" s="536"/>
      <c r="Q1235" s="536"/>
      <c r="R1235" s="536"/>
      <c r="S1235" s="536"/>
      <c r="T1235" s="536"/>
      <c r="U1235" s="536"/>
      <c r="V1235" s="536"/>
      <c r="W1235" s="536"/>
      <c r="X1235" s="536"/>
      <c r="Y1235" s="536"/>
      <c r="Z1235" s="536"/>
      <c r="AA1235" s="536"/>
      <c r="AB1235" s="536"/>
      <c r="AC1235" s="536"/>
      <c r="AD1235" s="536"/>
      <c r="AE1235" s="536"/>
      <c r="AF1235" s="536"/>
      <c r="AG1235" s="536"/>
      <c r="AH1235" s="536"/>
      <c r="AI1235" s="675"/>
      <c r="AJ1235" s="537" t="s">
        <v>412</v>
      </c>
      <c r="AK1235" s="536"/>
    </row>
    <row r="1236" spans="1:37" x14ac:dyDescent="0.2">
      <c r="A1236" s="548"/>
      <c r="B1236" s="552"/>
      <c r="C1236" s="1822" t="s">
        <v>413</v>
      </c>
      <c r="D1236" s="1822"/>
      <c r="E1236" s="1822"/>
      <c r="F1236" s="1822"/>
      <c r="G1236" s="1822"/>
      <c r="H1236" s="1822"/>
      <c r="I1236" s="1822"/>
      <c r="J1236" s="1822"/>
      <c r="K1236" s="1822"/>
      <c r="L1236" s="551">
        <v>58014.82</v>
      </c>
      <c r="M1236" s="550"/>
      <c r="N1236" s="549"/>
      <c r="P1236" s="536"/>
      <c r="Q1236" s="536"/>
      <c r="R1236" s="536"/>
      <c r="S1236" s="536"/>
      <c r="T1236" s="536"/>
      <c r="U1236" s="536"/>
      <c r="V1236" s="536"/>
      <c r="W1236" s="536"/>
      <c r="X1236" s="536"/>
      <c r="Y1236" s="536"/>
      <c r="Z1236" s="536"/>
      <c r="AA1236" s="536"/>
      <c r="AB1236" s="536"/>
      <c r="AC1236" s="536"/>
      <c r="AD1236" s="536"/>
      <c r="AE1236" s="536"/>
      <c r="AF1236" s="536"/>
      <c r="AG1236" s="536"/>
      <c r="AH1236" s="536"/>
      <c r="AI1236" s="675"/>
      <c r="AJ1236" s="537" t="s">
        <v>413</v>
      </c>
      <c r="AK1236" s="536"/>
    </row>
    <row r="1237" spans="1:37" x14ac:dyDescent="0.2">
      <c r="A1237" s="548"/>
      <c r="B1237" s="552" t="s">
        <v>185</v>
      </c>
      <c r="C1237" s="1822" t="s">
        <v>414</v>
      </c>
      <c r="D1237" s="1822"/>
      <c r="E1237" s="1822"/>
      <c r="F1237" s="1822"/>
      <c r="G1237" s="1822"/>
      <c r="H1237" s="1822"/>
      <c r="I1237" s="1822"/>
      <c r="J1237" s="1822"/>
      <c r="K1237" s="1822"/>
      <c r="L1237" s="551">
        <v>45792.24</v>
      </c>
      <c r="M1237" s="550">
        <v>8.11</v>
      </c>
      <c r="N1237" s="549">
        <v>371375</v>
      </c>
      <c r="P1237" s="536"/>
      <c r="Q1237" s="536"/>
      <c r="R1237" s="536"/>
      <c r="S1237" s="536"/>
      <c r="T1237" s="536"/>
      <c r="U1237" s="536"/>
      <c r="V1237" s="536"/>
      <c r="W1237" s="536"/>
      <c r="X1237" s="536"/>
      <c r="Y1237" s="536"/>
      <c r="Z1237" s="536"/>
      <c r="AA1237" s="536"/>
      <c r="AB1237" s="536"/>
      <c r="AC1237" s="536"/>
      <c r="AD1237" s="536"/>
      <c r="AE1237" s="536"/>
      <c r="AF1237" s="536"/>
      <c r="AG1237" s="536"/>
      <c r="AH1237" s="536"/>
      <c r="AI1237" s="675"/>
      <c r="AJ1237" s="537" t="s">
        <v>414</v>
      </c>
      <c r="AK1237" s="536"/>
    </row>
    <row r="1238" spans="1:37" x14ac:dyDescent="0.2">
      <c r="A1238" s="548"/>
      <c r="B1238" s="552"/>
      <c r="C1238" s="1822" t="s">
        <v>415</v>
      </c>
      <c r="D1238" s="1822"/>
      <c r="E1238" s="1822"/>
      <c r="F1238" s="1822"/>
      <c r="G1238" s="1822"/>
      <c r="H1238" s="1822"/>
      <c r="I1238" s="1822"/>
      <c r="J1238" s="1822"/>
      <c r="K1238" s="1822"/>
      <c r="L1238" s="551">
        <v>76284.62</v>
      </c>
      <c r="M1238" s="550"/>
      <c r="N1238" s="549"/>
      <c r="P1238" s="536"/>
      <c r="Q1238" s="536"/>
      <c r="R1238" s="536"/>
      <c r="S1238" s="536"/>
      <c r="T1238" s="536"/>
      <c r="U1238" s="536"/>
      <c r="V1238" s="536"/>
      <c r="W1238" s="536"/>
      <c r="X1238" s="536"/>
      <c r="Y1238" s="536"/>
      <c r="Z1238" s="536"/>
      <c r="AA1238" s="536"/>
      <c r="AB1238" s="536"/>
      <c r="AC1238" s="536"/>
      <c r="AD1238" s="536"/>
      <c r="AE1238" s="536"/>
      <c r="AF1238" s="536"/>
      <c r="AG1238" s="536"/>
      <c r="AH1238" s="536"/>
      <c r="AI1238" s="675"/>
      <c r="AJ1238" s="537" t="s">
        <v>415</v>
      </c>
      <c r="AK1238" s="536"/>
    </row>
    <row r="1239" spans="1:37" x14ac:dyDescent="0.2">
      <c r="A1239" s="548"/>
      <c r="B1239" s="552"/>
      <c r="C1239" s="1822" t="s">
        <v>416</v>
      </c>
      <c r="D1239" s="1822"/>
      <c r="E1239" s="1822"/>
      <c r="F1239" s="1822"/>
      <c r="G1239" s="1822"/>
      <c r="H1239" s="1822"/>
      <c r="I1239" s="1822"/>
      <c r="J1239" s="1822"/>
      <c r="K1239" s="1822"/>
      <c r="L1239" s="551">
        <v>86181.33</v>
      </c>
      <c r="M1239" s="550"/>
      <c r="N1239" s="549"/>
      <c r="P1239" s="536"/>
      <c r="Q1239" s="536"/>
      <c r="R1239" s="536"/>
      <c r="S1239" s="536"/>
      <c r="T1239" s="536"/>
      <c r="U1239" s="536"/>
      <c r="V1239" s="536"/>
      <c r="W1239" s="536"/>
      <c r="X1239" s="536"/>
      <c r="Y1239" s="536"/>
      <c r="Z1239" s="536"/>
      <c r="AA1239" s="536"/>
      <c r="AB1239" s="536"/>
      <c r="AC1239" s="536"/>
      <c r="AD1239" s="536"/>
      <c r="AE1239" s="536"/>
      <c r="AF1239" s="536"/>
      <c r="AG1239" s="536"/>
      <c r="AH1239" s="536"/>
      <c r="AI1239" s="675"/>
      <c r="AJ1239" s="537" t="s">
        <v>416</v>
      </c>
      <c r="AK1239" s="536"/>
    </row>
    <row r="1240" spans="1:37" x14ac:dyDescent="0.2">
      <c r="A1240" s="548"/>
      <c r="B1240" s="552"/>
      <c r="C1240" s="1822" t="s">
        <v>417</v>
      </c>
      <c r="D1240" s="1822"/>
      <c r="E1240" s="1822"/>
      <c r="F1240" s="1822"/>
      <c r="G1240" s="1822"/>
      <c r="H1240" s="1822"/>
      <c r="I1240" s="1822"/>
      <c r="J1240" s="1822"/>
      <c r="K1240" s="1822"/>
      <c r="L1240" s="551">
        <v>58014.82</v>
      </c>
      <c r="M1240" s="550"/>
      <c r="N1240" s="549"/>
      <c r="P1240" s="536"/>
      <c r="Q1240" s="536"/>
      <c r="R1240" s="536"/>
      <c r="S1240" s="536"/>
      <c r="T1240" s="536"/>
      <c r="U1240" s="536"/>
      <c r="V1240" s="536"/>
      <c r="W1240" s="536"/>
      <c r="X1240" s="536"/>
      <c r="Y1240" s="536"/>
      <c r="Z1240" s="536"/>
      <c r="AA1240" s="536"/>
      <c r="AB1240" s="536"/>
      <c r="AC1240" s="536"/>
      <c r="AD1240" s="536"/>
      <c r="AE1240" s="536"/>
      <c r="AF1240" s="536"/>
      <c r="AG1240" s="536"/>
      <c r="AH1240" s="536"/>
      <c r="AI1240" s="675"/>
      <c r="AJ1240" s="537" t="s">
        <v>417</v>
      </c>
      <c r="AK1240" s="536"/>
    </row>
    <row r="1241" spans="1:37" x14ac:dyDescent="0.2">
      <c r="A1241" s="548"/>
      <c r="B1241" s="546"/>
      <c r="C1241" s="1819" t="s">
        <v>206</v>
      </c>
      <c r="D1241" s="1819"/>
      <c r="E1241" s="1819"/>
      <c r="F1241" s="1819"/>
      <c r="G1241" s="1819"/>
      <c r="H1241" s="1819"/>
      <c r="I1241" s="1819"/>
      <c r="J1241" s="1819"/>
      <c r="K1241" s="1819"/>
      <c r="L1241" s="544">
        <v>3655944.37</v>
      </c>
      <c r="M1241" s="543"/>
      <c r="N1241" s="547">
        <v>29649709</v>
      </c>
      <c r="P1241" s="536"/>
      <c r="Q1241" s="536"/>
      <c r="R1241" s="536"/>
      <c r="S1241" s="536"/>
      <c r="T1241" s="536"/>
      <c r="U1241" s="536"/>
      <c r="V1241" s="536"/>
      <c r="W1241" s="536"/>
      <c r="X1241" s="536"/>
      <c r="Y1241" s="536"/>
      <c r="Z1241" s="536"/>
      <c r="AA1241" s="536"/>
      <c r="AB1241" s="536"/>
      <c r="AC1241" s="536"/>
      <c r="AD1241" s="536"/>
      <c r="AE1241" s="536"/>
      <c r="AF1241" s="536"/>
      <c r="AG1241" s="536"/>
      <c r="AH1241" s="536"/>
      <c r="AI1241" s="675"/>
      <c r="AJ1241" s="536"/>
      <c r="AK1241" s="675" t="s">
        <v>206</v>
      </c>
    </row>
    <row r="1242" spans="1:37" x14ac:dyDescent="0.2">
      <c r="A1242" s="548"/>
      <c r="B1242" s="552"/>
      <c r="C1242" s="1822" t="s">
        <v>204</v>
      </c>
      <c r="D1242" s="1822"/>
      <c r="E1242" s="1822"/>
      <c r="F1242" s="1822"/>
      <c r="G1242" s="1822"/>
      <c r="H1242" s="1822"/>
      <c r="I1242" s="1822"/>
      <c r="J1242" s="1822"/>
      <c r="K1242" s="1822"/>
      <c r="L1242" s="551"/>
      <c r="M1242" s="550"/>
      <c r="N1242" s="549"/>
      <c r="P1242" s="536"/>
      <c r="Q1242" s="536"/>
      <c r="R1242" s="536"/>
      <c r="S1242" s="536"/>
      <c r="T1242" s="536"/>
      <c r="U1242" s="536"/>
      <c r="V1242" s="536"/>
      <c r="W1242" s="536"/>
      <c r="X1242" s="536"/>
      <c r="Y1242" s="536"/>
      <c r="Z1242" s="536"/>
      <c r="AA1242" s="536"/>
      <c r="AB1242" s="536"/>
      <c r="AC1242" s="536"/>
      <c r="AD1242" s="536"/>
      <c r="AE1242" s="536"/>
      <c r="AF1242" s="536"/>
      <c r="AG1242" s="536"/>
      <c r="AH1242" s="536"/>
      <c r="AI1242" s="675"/>
      <c r="AJ1242" s="537" t="s">
        <v>204</v>
      </c>
      <c r="AK1242" s="675"/>
    </row>
    <row r="1243" spans="1:37" x14ac:dyDescent="0.2">
      <c r="A1243" s="548"/>
      <c r="B1243" s="552"/>
      <c r="C1243" s="1822" t="s">
        <v>8095</v>
      </c>
      <c r="D1243" s="1822"/>
      <c r="E1243" s="1822"/>
      <c r="F1243" s="1822"/>
      <c r="G1243" s="1822"/>
      <c r="H1243" s="1822"/>
      <c r="I1243" s="1822"/>
      <c r="J1243" s="1822"/>
      <c r="K1243" s="1822"/>
      <c r="L1243" s="551">
        <v>6187.55</v>
      </c>
      <c r="M1243" s="550"/>
      <c r="N1243" s="549">
        <v>50181</v>
      </c>
      <c r="P1243" s="536"/>
      <c r="Q1243" s="536"/>
      <c r="R1243" s="536"/>
      <c r="S1243" s="536"/>
      <c r="T1243" s="536"/>
      <c r="U1243" s="536"/>
      <c r="V1243" s="536"/>
      <c r="W1243" s="536"/>
      <c r="X1243" s="536"/>
      <c r="Y1243" s="536"/>
      <c r="Z1243" s="536"/>
      <c r="AA1243" s="536"/>
      <c r="AB1243" s="536"/>
      <c r="AC1243" s="536"/>
      <c r="AD1243" s="536"/>
      <c r="AE1243" s="536"/>
      <c r="AF1243" s="536"/>
      <c r="AG1243" s="536"/>
      <c r="AH1243" s="536"/>
      <c r="AI1243" s="675"/>
      <c r="AJ1243" s="537" t="s">
        <v>8095</v>
      </c>
      <c r="AK1243" s="675"/>
    </row>
    <row r="1244" spans="1:37" ht="1.5" customHeight="1" x14ac:dyDescent="0.2">
      <c r="B1244" s="546"/>
      <c r="C1244" s="671"/>
      <c r="D1244" s="671"/>
      <c r="E1244" s="671"/>
      <c r="F1244" s="671"/>
      <c r="G1244" s="671"/>
      <c r="H1244" s="671"/>
      <c r="I1244" s="671"/>
      <c r="J1244" s="671"/>
      <c r="K1244" s="671"/>
      <c r="L1244" s="544"/>
      <c r="M1244" s="543"/>
      <c r="N1244" s="542"/>
      <c r="P1244" s="536"/>
      <c r="Q1244" s="536"/>
      <c r="R1244" s="536"/>
      <c r="S1244" s="536"/>
      <c r="T1244" s="536"/>
      <c r="U1244" s="536"/>
      <c r="V1244" s="536"/>
      <c r="W1244" s="536"/>
      <c r="X1244" s="536"/>
      <c r="Y1244" s="536"/>
      <c r="Z1244" s="536"/>
      <c r="AA1244" s="536"/>
      <c r="AB1244" s="536"/>
      <c r="AC1244" s="536"/>
      <c r="AD1244" s="536"/>
      <c r="AE1244" s="536"/>
      <c r="AF1244" s="536"/>
      <c r="AG1244" s="536"/>
      <c r="AH1244" s="536"/>
      <c r="AI1244" s="536"/>
      <c r="AJ1244" s="536"/>
      <c r="AK1244" s="536"/>
    </row>
    <row r="1245" spans="1:37" ht="53.25" customHeight="1" x14ac:dyDescent="0.2">
      <c r="A1245" s="541"/>
      <c r="B1245" s="541"/>
      <c r="C1245" s="541"/>
      <c r="D1245" s="541"/>
      <c r="E1245" s="541"/>
      <c r="F1245" s="541"/>
      <c r="G1245" s="541"/>
      <c r="H1245" s="541"/>
      <c r="I1245" s="541"/>
      <c r="J1245" s="541"/>
      <c r="K1245" s="541"/>
      <c r="L1245" s="541"/>
      <c r="M1245" s="541"/>
      <c r="N1245" s="541"/>
      <c r="P1245" s="536"/>
      <c r="Q1245" s="536"/>
      <c r="R1245" s="536"/>
      <c r="S1245" s="536"/>
      <c r="T1245" s="536"/>
      <c r="U1245" s="536"/>
      <c r="V1245" s="536"/>
      <c r="W1245" s="536"/>
      <c r="X1245" s="536"/>
      <c r="Y1245" s="536"/>
      <c r="Z1245" s="536"/>
      <c r="AA1245" s="536"/>
      <c r="AB1245" s="536"/>
      <c r="AC1245" s="536"/>
      <c r="AD1245" s="536"/>
      <c r="AE1245" s="536"/>
      <c r="AF1245" s="536"/>
      <c r="AG1245" s="536"/>
      <c r="AH1245" s="536"/>
      <c r="AI1245" s="536"/>
      <c r="AJ1245" s="536"/>
      <c r="AK1245" s="536"/>
    </row>
    <row r="1246" spans="1:37" x14ac:dyDescent="0.2">
      <c r="B1246" s="539" t="s">
        <v>149</v>
      </c>
      <c r="C1246" s="1820" t="s">
        <v>296</v>
      </c>
      <c r="D1246" s="1820"/>
      <c r="E1246" s="1820"/>
      <c r="F1246" s="1820"/>
      <c r="G1246" s="1820"/>
      <c r="H1246" s="1820"/>
      <c r="I1246" s="1820"/>
      <c r="J1246" s="1820"/>
      <c r="K1246" s="1820"/>
      <c r="L1246" s="1820"/>
    </row>
    <row r="1247" spans="1:37" ht="13.5" customHeight="1" x14ac:dyDescent="0.2">
      <c r="B1247" s="540"/>
      <c r="C1247" s="1821" t="s">
        <v>150</v>
      </c>
      <c r="D1247" s="1821"/>
      <c r="E1247" s="1821"/>
      <c r="F1247" s="1821"/>
      <c r="G1247" s="1821"/>
      <c r="H1247" s="1821"/>
      <c r="I1247" s="1821"/>
      <c r="J1247" s="1821"/>
      <c r="K1247" s="1821"/>
      <c r="L1247" s="1821"/>
    </row>
    <row r="1248" spans="1:37" ht="12.75" customHeight="1" x14ac:dyDescent="0.2">
      <c r="B1248" s="539" t="s">
        <v>151</v>
      </c>
      <c r="C1248" s="1820" t="s">
        <v>297</v>
      </c>
      <c r="D1248" s="1820"/>
      <c r="E1248" s="1820"/>
      <c r="F1248" s="1820"/>
      <c r="G1248" s="1820"/>
      <c r="H1248" s="1820"/>
      <c r="I1248" s="1820"/>
      <c r="J1248" s="1820"/>
      <c r="K1248" s="1820"/>
      <c r="L1248" s="1820"/>
    </row>
    <row r="1249" spans="2:37" ht="13.5" customHeight="1" x14ac:dyDescent="0.2">
      <c r="C1249" s="1821" t="s">
        <v>150</v>
      </c>
      <c r="D1249" s="1821"/>
      <c r="E1249" s="1821"/>
      <c r="F1249" s="1821"/>
      <c r="G1249" s="1821"/>
      <c r="H1249" s="1821"/>
      <c r="I1249" s="1821"/>
      <c r="J1249" s="1821"/>
      <c r="K1249" s="1821"/>
      <c r="L1249" s="1821"/>
    </row>
    <row r="1251" spans="2:37" x14ac:dyDescent="0.2">
      <c r="B1251" s="538"/>
      <c r="D1251" s="538"/>
      <c r="F1251" s="538"/>
      <c r="P1251" s="536"/>
      <c r="Q1251" s="536"/>
      <c r="R1251" s="536"/>
      <c r="S1251" s="536"/>
      <c r="T1251" s="536"/>
      <c r="U1251" s="536"/>
      <c r="V1251" s="536"/>
      <c r="W1251" s="536"/>
      <c r="X1251" s="536"/>
      <c r="Y1251" s="536"/>
      <c r="Z1251" s="536"/>
      <c r="AA1251" s="536"/>
      <c r="AB1251" s="536"/>
      <c r="AC1251" s="536"/>
      <c r="AD1251" s="536"/>
      <c r="AE1251" s="536"/>
      <c r="AF1251" s="536"/>
      <c r="AG1251" s="536"/>
      <c r="AH1251" s="536"/>
      <c r="AI1251" s="536"/>
      <c r="AJ1251" s="536"/>
      <c r="AK1251" s="536"/>
    </row>
  </sheetData>
  <mergeCells count="1168">
    <mergeCell ref="C1242:K1242"/>
    <mergeCell ref="C1243:K1243"/>
    <mergeCell ref="C1246:L1246"/>
    <mergeCell ref="C1247:L1247"/>
    <mergeCell ref="C1248:L1248"/>
    <mergeCell ref="C1249:L1249"/>
    <mergeCell ref="C1236:K1236"/>
    <mergeCell ref="C1237:K1237"/>
    <mergeCell ref="C1238:K1238"/>
    <mergeCell ref="C1239:K1239"/>
    <mergeCell ref="C1240:K1240"/>
    <mergeCell ref="C1241:K1241"/>
    <mergeCell ref="C1230:K1230"/>
    <mergeCell ref="C1231:K1231"/>
    <mergeCell ref="C1232:K1232"/>
    <mergeCell ref="C1233:K1233"/>
    <mergeCell ref="C1234:K1234"/>
    <mergeCell ref="C1235:K1235"/>
    <mergeCell ref="C1224:K1224"/>
    <mergeCell ref="C1225:K1225"/>
    <mergeCell ref="C1226:K1226"/>
    <mergeCell ref="C1227:K1227"/>
    <mergeCell ref="C1228:K1228"/>
    <mergeCell ref="C1229:K1229"/>
    <mergeCell ref="C1217:K1217"/>
    <mergeCell ref="C1218:K1218"/>
    <mergeCell ref="C1219:K1219"/>
    <mergeCell ref="C1220:K1220"/>
    <mergeCell ref="C1222:K1222"/>
    <mergeCell ref="C1223:K1223"/>
    <mergeCell ref="C1209:E1209"/>
    <mergeCell ref="C1211:N1211"/>
    <mergeCell ref="C1213:K1213"/>
    <mergeCell ref="C1214:K1214"/>
    <mergeCell ref="C1215:K1215"/>
    <mergeCell ref="C1216:K1216"/>
    <mergeCell ref="C1200:N1200"/>
    <mergeCell ref="C1201:E1201"/>
    <mergeCell ref="C1203:N1203"/>
    <mergeCell ref="C1204:E1204"/>
    <mergeCell ref="C1206:E1206"/>
    <mergeCell ref="C1208:N1208"/>
    <mergeCell ref="C1191:K1191"/>
    <mergeCell ref="A1192:N1192"/>
    <mergeCell ref="C1193:E1193"/>
    <mergeCell ref="C1195:E1195"/>
    <mergeCell ref="C1197:N1197"/>
    <mergeCell ref="C1198:E1198"/>
    <mergeCell ref="C1185:K1185"/>
    <mergeCell ref="C1186:K1186"/>
    <mergeCell ref="C1187:K1187"/>
    <mergeCell ref="C1188:K1188"/>
    <mergeCell ref="C1189:K1189"/>
    <mergeCell ref="C1190:K1190"/>
    <mergeCell ref="C1179:K1179"/>
    <mergeCell ref="C1180:K1180"/>
    <mergeCell ref="C1181:K1181"/>
    <mergeCell ref="C1182:K1182"/>
    <mergeCell ref="C1183:K1183"/>
    <mergeCell ref="C1184:K1184"/>
    <mergeCell ref="C1172:N1172"/>
    <mergeCell ref="C1174:K1174"/>
    <mergeCell ref="C1175:K1175"/>
    <mergeCell ref="C1176:K1176"/>
    <mergeCell ref="C1177:K1177"/>
    <mergeCell ref="C1178:K1178"/>
    <mergeCell ref="C1165:E1165"/>
    <mergeCell ref="C1166:E1166"/>
    <mergeCell ref="C1167:E1167"/>
    <mergeCell ref="C1168:E1168"/>
    <mergeCell ref="C1169:E1169"/>
    <mergeCell ref="C1170:E1170"/>
    <mergeCell ref="C1159:E1159"/>
    <mergeCell ref="C1160:E1160"/>
    <mergeCell ref="C1161:E1161"/>
    <mergeCell ref="C1162:E1162"/>
    <mergeCell ref="C1163:E1163"/>
    <mergeCell ref="C1164:E1164"/>
    <mergeCell ref="C1152:E1152"/>
    <mergeCell ref="C1154:N1154"/>
    <mergeCell ref="C1155:E1155"/>
    <mergeCell ref="C1156:N1156"/>
    <mergeCell ref="C1157:N1157"/>
    <mergeCell ref="C1158:E1158"/>
    <mergeCell ref="C1146:E1146"/>
    <mergeCell ref="C1147:E1147"/>
    <mergeCell ref="C1148:E1148"/>
    <mergeCell ref="C1149:E1149"/>
    <mergeCell ref="C1150:E1150"/>
    <mergeCell ref="C1151:E1151"/>
    <mergeCell ref="C1140:E1140"/>
    <mergeCell ref="C1141:E1141"/>
    <mergeCell ref="C1142:E1142"/>
    <mergeCell ref="C1143:E1143"/>
    <mergeCell ref="C1144:E1144"/>
    <mergeCell ref="C1145:E1145"/>
    <mergeCell ref="C1133:E1133"/>
    <mergeCell ref="C1134:E1134"/>
    <mergeCell ref="C1136:N1136"/>
    <mergeCell ref="C1137:E1137"/>
    <mergeCell ref="C1138:N1138"/>
    <mergeCell ref="C1139:N1139"/>
    <mergeCell ref="C1127:E1127"/>
    <mergeCell ref="C1128:E1128"/>
    <mergeCell ref="C1129:E1129"/>
    <mergeCell ref="C1130:E1130"/>
    <mergeCell ref="C1131:E1131"/>
    <mergeCell ref="C1132:E1132"/>
    <mergeCell ref="C1121:N1121"/>
    <mergeCell ref="C1122:E1122"/>
    <mergeCell ref="C1123:E1123"/>
    <mergeCell ref="C1124:E1124"/>
    <mergeCell ref="C1125:E1125"/>
    <mergeCell ref="C1126:E1126"/>
    <mergeCell ref="C1114:E1114"/>
    <mergeCell ref="C1115:E1115"/>
    <mergeCell ref="C1116:E1116"/>
    <mergeCell ref="C1117:E1117"/>
    <mergeCell ref="C1119:E1119"/>
    <mergeCell ref="C1120:N1120"/>
    <mergeCell ref="C1108:E1108"/>
    <mergeCell ref="C1109:E1109"/>
    <mergeCell ref="C1110:E1110"/>
    <mergeCell ref="C1111:E1111"/>
    <mergeCell ref="C1112:E1112"/>
    <mergeCell ref="C1113:E1113"/>
    <mergeCell ref="C1102:E1102"/>
    <mergeCell ref="C1103:N1103"/>
    <mergeCell ref="C1104:N1104"/>
    <mergeCell ref="C1105:E1105"/>
    <mergeCell ref="C1106:E1106"/>
    <mergeCell ref="C1107:E1107"/>
    <mergeCell ref="C1095:E1095"/>
    <mergeCell ref="C1096:E1096"/>
    <mergeCell ref="C1097:E1097"/>
    <mergeCell ref="C1098:E1098"/>
    <mergeCell ref="C1099:E1099"/>
    <mergeCell ref="C1100:E1100"/>
    <mergeCell ref="C1089:E1089"/>
    <mergeCell ref="C1090:E1090"/>
    <mergeCell ref="C1091:E1091"/>
    <mergeCell ref="C1092:E1092"/>
    <mergeCell ref="C1093:E1093"/>
    <mergeCell ref="C1094:E1094"/>
    <mergeCell ref="C1082:E1082"/>
    <mergeCell ref="C1083:E1083"/>
    <mergeCell ref="C1085:E1085"/>
    <mergeCell ref="C1086:N1086"/>
    <mergeCell ref="C1087:N1087"/>
    <mergeCell ref="C1088:E1088"/>
    <mergeCell ref="C1076:E1076"/>
    <mergeCell ref="C1077:E1077"/>
    <mergeCell ref="C1078:E1078"/>
    <mergeCell ref="C1079:E1079"/>
    <mergeCell ref="C1080:E1080"/>
    <mergeCell ref="C1081:E1081"/>
    <mergeCell ref="C1070:N1070"/>
    <mergeCell ref="C1071:E1071"/>
    <mergeCell ref="C1072:E1072"/>
    <mergeCell ref="C1073:E1073"/>
    <mergeCell ref="C1074:E1074"/>
    <mergeCell ref="C1075:E1075"/>
    <mergeCell ref="C1061:E1061"/>
    <mergeCell ref="C1063:E1063"/>
    <mergeCell ref="C1065:E1065"/>
    <mergeCell ref="A1067:N1067"/>
    <mergeCell ref="C1068:E1068"/>
    <mergeCell ref="C1069:N1069"/>
    <mergeCell ref="C1050:N1050"/>
    <mergeCell ref="C1051:E1051"/>
    <mergeCell ref="C1053:E1053"/>
    <mergeCell ref="C1055:E1055"/>
    <mergeCell ref="C1057:E1057"/>
    <mergeCell ref="C1059:E1059"/>
    <mergeCell ref="C1043:E1043"/>
    <mergeCell ref="C1044:E1044"/>
    <mergeCell ref="C1045:E1045"/>
    <mergeCell ref="C1046:E1046"/>
    <mergeCell ref="C1047:E1047"/>
    <mergeCell ref="C1048:E1048"/>
    <mergeCell ref="C1037:E1037"/>
    <mergeCell ref="C1038:E1038"/>
    <mergeCell ref="C1039:E1039"/>
    <mergeCell ref="C1040:E1040"/>
    <mergeCell ref="C1041:E1041"/>
    <mergeCell ref="C1042:E1042"/>
    <mergeCell ref="C1031:E1031"/>
    <mergeCell ref="C1032:N1032"/>
    <mergeCell ref="C1033:N1033"/>
    <mergeCell ref="C1034:E1034"/>
    <mergeCell ref="C1035:E1035"/>
    <mergeCell ref="C1036:E1036"/>
    <mergeCell ref="C1024:E1024"/>
    <mergeCell ref="C1025:E1025"/>
    <mergeCell ref="C1026:E1026"/>
    <mergeCell ref="C1027:E1027"/>
    <mergeCell ref="C1028:E1028"/>
    <mergeCell ref="C1030:N1030"/>
    <mergeCell ref="C1018:E1018"/>
    <mergeCell ref="C1019:E1019"/>
    <mergeCell ref="C1020:E1020"/>
    <mergeCell ref="C1021:E1021"/>
    <mergeCell ref="C1022:E1022"/>
    <mergeCell ref="C1023:E1023"/>
    <mergeCell ref="C1012:E1012"/>
    <mergeCell ref="C1013:E1013"/>
    <mergeCell ref="C1014:E1014"/>
    <mergeCell ref="C1015:N1015"/>
    <mergeCell ref="C1016:N1016"/>
    <mergeCell ref="C1017:E1017"/>
    <mergeCell ref="C1006:E1006"/>
    <mergeCell ref="C1007:E1007"/>
    <mergeCell ref="C1008:E1008"/>
    <mergeCell ref="C1009:E1009"/>
    <mergeCell ref="C1010:E1010"/>
    <mergeCell ref="C1011:E1011"/>
    <mergeCell ref="C1000:E1000"/>
    <mergeCell ref="C1001:N1001"/>
    <mergeCell ref="C1002:N1002"/>
    <mergeCell ref="C1003:E1003"/>
    <mergeCell ref="C1004:E1004"/>
    <mergeCell ref="C1005:E1005"/>
    <mergeCell ref="C994:K994"/>
    <mergeCell ref="C995:K995"/>
    <mergeCell ref="C996:K996"/>
    <mergeCell ref="C997:K997"/>
    <mergeCell ref="C998:K998"/>
    <mergeCell ref="A999:N999"/>
    <mergeCell ref="C988:K988"/>
    <mergeCell ref="C989:K989"/>
    <mergeCell ref="C990:K990"/>
    <mergeCell ref="C991:K991"/>
    <mergeCell ref="C992:K992"/>
    <mergeCell ref="C993:K993"/>
    <mergeCell ref="C982:K982"/>
    <mergeCell ref="C983:K983"/>
    <mergeCell ref="C984:K984"/>
    <mergeCell ref="C985:K985"/>
    <mergeCell ref="C986:K986"/>
    <mergeCell ref="C987:K987"/>
    <mergeCell ref="C972:E972"/>
    <mergeCell ref="C974:N974"/>
    <mergeCell ref="C975:E975"/>
    <mergeCell ref="C977:N977"/>
    <mergeCell ref="C978:E978"/>
    <mergeCell ref="C981:K981"/>
    <mergeCell ref="C966:E966"/>
    <mergeCell ref="C967:E967"/>
    <mergeCell ref="C968:E968"/>
    <mergeCell ref="C969:E969"/>
    <mergeCell ref="C970:E970"/>
    <mergeCell ref="C971:E971"/>
    <mergeCell ref="C960:E960"/>
    <mergeCell ref="C961:E961"/>
    <mergeCell ref="C962:E962"/>
    <mergeCell ref="C963:E963"/>
    <mergeCell ref="C964:E964"/>
    <mergeCell ref="C965:E965"/>
    <mergeCell ref="C952:E952"/>
    <mergeCell ref="C953:E953"/>
    <mergeCell ref="C955:E955"/>
    <mergeCell ref="C957:E957"/>
    <mergeCell ref="C958:N958"/>
    <mergeCell ref="C959:N959"/>
    <mergeCell ref="C946:E946"/>
    <mergeCell ref="C947:E947"/>
    <mergeCell ref="C948:E948"/>
    <mergeCell ref="C949:E949"/>
    <mergeCell ref="C950:E950"/>
    <mergeCell ref="C951:E951"/>
    <mergeCell ref="C940:N940"/>
    <mergeCell ref="C941:E941"/>
    <mergeCell ref="C942:E942"/>
    <mergeCell ref="C943:E943"/>
    <mergeCell ref="C944:E944"/>
    <mergeCell ref="C945:E945"/>
    <mergeCell ref="C933:E933"/>
    <mergeCell ref="C934:E934"/>
    <mergeCell ref="C935:E935"/>
    <mergeCell ref="C937:N937"/>
    <mergeCell ref="C938:E938"/>
    <mergeCell ref="C939:N939"/>
    <mergeCell ref="C927:E927"/>
    <mergeCell ref="C928:E928"/>
    <mergeCell ref="C929:E929"/>
    <mergeCell ref="C930:E930"/>
    <mergeCell ref="C931:E931"/>
    <mergeCell ref="C932:E932"/>
    <mergeCell ref="C921:N921"/>
    <mergeCell ref="C922:N922"/>
    <mergeCell ref="C923:E923"/>
    <mergeCell ref="C924:E924"/>
    <mergeCell ref="C925:E925"/>
    <mergeCell ref="C926:E926"/>
    <mergeCell ref="C913:E913"/>
    <mergeCell ref="C914:E914"/>
    <mergeCell ref="C915:E915"/>
    <mergeCell ref="C917:N917"/>
    <mergeCell ref="C918:E918"/>
    <mergeCell ref="C920:E920"/>
    <mergeCell ref="C907:E907"/>
    <mergeCell ref="C908:E908"/>
    <mergeCell ref="C909:E909"/>
    <mergeCell ref="C910:E910"/>
    <mergeCell ref="C911:E911"/>
    <mergeCell ref="C912:E912"/>
    <mergeCell ref="C901:N901"/>
    <mergeCell ref="C902:E902"/>
    <mergeCell ref="C903:E903"/>
    <mergeCell ref="C904:E904"/>
    <mergeCell ref="C905:E905"/>
    <mergeCell ref="C906:E906"/>
    <mergeCell ref="C895:K895"/>
    <mergeCell ref="C896:K896"/>
    <mergeCell ref="C897:K897"/>
    <mergeCell ref="C898:K898"/>
    <mergeCell ref="A899:N899"/>
    <mergeCell ref="C900:E900"/>
    <mergeCell ref="C889:K889"/>
    <mergeCell ref="C890:K890"/>
    <mergeCell ref="C891:K891"/>
    <mergeCell ref="C892:K892"/>
    <mergeCell ref="C893:K893"/>
    <mergeCell ref="C894:K894"/>
    <mergeCell ref="C883:K883"/>
    <mergeCell ref="C884:K884"/>
    <mergeCell ref="C885:K885"/>
    <mergeCell ref="C886:K886"/>
    <mergeCell ref="C887:K887"/>
    <mergeCell ref="C888:K888"/>
    <mergeCell ref="C875:E875"/>
    <mergeCell ref="C876:E876"/>
    <mergeCell ref="C877:E877"/>
    <mergeCell ref="C879:N879"/>
    <mergeCell ref="C881:K881"/>
    <mergeCell ref="C882:K882"/>
    <mergeCell ref="C869:E869"/>
    <mergeCell ref="C870:E870"/>
    <mergeCell ref="C871:E871"/>
    <mergeCell ref="C872:E872"/>
    <mergeCell ref="C873:E873"/>
    <mergeCell ref="C874:E874"/>
    <mergeCell ref="C863:N863"/>
    <mergeCell ref="C864:N864"/>
    <mergeCell ref="C865:E865"/>
    <mergeCell ref="C866:E866"/>
    <mergeCell ref="C867:E867"/>
    <mergeCell ref="C868:E868"/>
    <mergeCell ref="C856:E856"/>
    <mergeCell ref="C857:E857"/>
    <mergeCell ref="C858:E858"/>
    <mergeCell ref="C859:E859"/>
    <mergeCell ref="C860:E860"/>
    <mergeCell ref="C862:E862"/>
    <mergeCell ref="C850:E850"/>
    <mergeCell ref="C851:E851"/>
    <mergeCell ref="C852:E852"/>
    <mergeCell ref="C853:E853"/>
    <mergeCell ref="C854:E854"/>
    <mergeCell ref="C855:E855"/>
    <mergeCell ref="C844:E844"/>
    <mergeCell ref="C845:N845"/>
    <mergeCell ref="C846:N846"/>
    <mergeCell ref="C847:N847"/>
    <mergeCell ref="C848:E848"/>
    <mergeCell ref="C849:E849"/>
    <mergeCell ref="C838:E838"/>
    <mergeCell ref="C839:E839"/>
    <mergeCell ref="C840:E840"/>
    <mergeCell ref="C841:E841"/>
    <mergeCell ref="C842:E842"/>
    <mergeCell ref="C843:E843"/>
    <mergeCell ref="C832:E832"/>
    <mergeCell ref="C833:E833"/>
    <mergeCell ref="C834:E834"/>
    <mergeCell ref="C835:E835"/>
    <mergeCell ref="C836:E836"/>
    <mergeCell ref="C837:E837"/>
    <mergeCell ref="C825:E825"/>
    <mergeCell ref="C826:E826"/>
    <mergeCell ref="C827:E827"/>
    <mergeCell ref="C829:E829"/>
    <mergeCell ref="C830:N830"/>
    <mergeCell ref="C831:N831"/>
    <mergeCell ref="C819:E819"/>
    <mergeCell ref="C820:E820"/>
    <mergeCell ref="C821:E821"/>
    <mergeCell ref="C822:E822"/>
    <mergeCell ref="C823:E823"/>
    <mergeCell ref="C824:E824"/>
    <mergeCell ref="C812:E812"/>
    <mergeCell ref="C813:E813"/>
    <mergeCell ref="C814:E814"/>
    <mergeCell ref="C816:E816"/>
    <mergeCell ref="C817:N817"/>
    <mergeCell ref="C818:E818"/>
    <mergeCell ref="C806:E806"/>
    <mergeCell ref="C807:E807"/>
    <mergeCell ref="C808:E808"/>
    <mergeCell ref="C809:E809"/>
    <mergeCell ref="C810:E810"/>
    <mergeCell ref="C811:E811"/>
    <mergeCell ref="C800:N800"/>
    <mergeCell ref="C801:N801"/>
    <mergeCell ref="C802:E802"/>
    <mergeCell ref="C803:E803"/>
    <mergeCell ref="C804:E804"/>
    <mergeCell ref="C805:E805"/>
    <mergeCell ref="C794:E794"/>
    <mergeCell ref="C795:E795"/>
    <mergeCell ref="C796:E796"/>
    <mergeCell ref="C797:E797"/>
    <mergeCell ref="C798:E798"/>
    <mergeCell ref="C799:N799"/>
    <mergeCell ref="C788:E788"/>
    <mergeCell ref="C789:E789"/>
    <mergeCell ref="C790:E790"/>
    <mergeCell ref="C791:E791"/>
    <mergeCell ref="C792:E792"/>
    <mergeCell ref="C793:E793"/>
    <mergeCell ref="C781:E781"/>
    <mergeCell ref="C783:E783"/>
    <mergeCell ref="C784:N784"/>
    <mergeCell ref="C785:N785"/>
    <mergeCell ref="C786:E786"/>
    <mergeCell ref="C787:E787"/>
    <mergeCell ref="C775:E775"/>
    <mergeCell ref="C776:E776"/>
    <mergeCell ref="C777:E777"/>
    <mergeCell ref="C778:E778"/>
    <mergeCell ref="C779:E779"/>
    <mergeCell ref="C780:E780"/>
    <mergeCell ref="C769:E769"/>
    <mergeCell ref="C770:E770"/>
    <mergeCell ref="C771:N771"/>
    <mergeCell ref="C772:E772"/>
    <mergeCell ref="C773:E773"/>
    <mergeCell ref="C774:E774"/>
    <mergeCell ref="C763:E763"/>
    <mergeCell ref="C764:E764"/>
    <mergeCell ref="C765:E765"/>
    <mergeCell ref="C766:E766"/>
    <mergeCell ref="C767:E767"/>
    <mergeCell ref="C768:E768"/>
    <mergeCell ref="C757:E757"/>
    <mergeCell ref="C758:N758"/>
    <mergeCell ref="C759:N759"/>
    <mergeCell ref="C760:N760"/>
    <mergeCell ref="C761:E761"/>
    <mergeCell ref="C762:E762"/>
    <mergeCell ref="C751:E751"/>
    <mergeCell ref="C752:E752"/>
    <mergeCell ref="C753:E753"/>
    <mergeCell ref="C754:E754"/>
    <mergeCell ref="C755:E755"/>
    <mergeCell ref="C756:E756"/>
    <mergeCell ref="C745:N745"/>
    <mergeCell ref="C746:E746"/>
    <mergeCell ref="C747:E747"/>
    <mergeCell ref="C748:E748"/>
    <mergeCell ref="C749:E749"/>
    <mergeCell ref="C750:E750"/>
    <mergeCell ref="C738:E738"/>
    <mergeCell ref="C739:E739"/>
    <mergeCell ref="C740:E740"/>
    <mergeCell ref="C742:N742"/>
    <mergeCell ref="C743:E743"/>
    <mergeCell ref="C744:N744"/>
    <mergeCell ref="C732:E732"/>
    <mergeCell ref="C733:E733"/>
    <mergeCell ref="C734:E734"/>
    <mergeCell ref="C735:E735"/>
    <mergeCell ref="C736:E736"/>
    <mergeCell ref="C737:E737"/>
    <mergeCell ref="C726:E726"/>
    <mergeCell ref="C727:E727"/>
    <mergeCell ref="C728:N728"/>
    <mergeCell ref="C729:N729"/>
    <mergeCell ref="C730:N730"/>
    <mergeCell ref="C731:E731"/>
    <mergeCell ref="C720:E720"/>
    <mergeCell ref="C721:E721"/>
    <mergeCell ref="C722:E722"/>
    <mergeCell ref="C723:E723"/>
    <mergeCell ref="C724:E724"/>
    <mergeCell ref="C725:E725"/>
    <mergeCell ref="C714:N714"/>
    <mergeCell ref="C715:E715"/>
    <mergeCell ref="C716:E716"/>
    <mergeCell ref="C717:E717"/>
    <mergeCell ref="C718:E718"/>
    <mergeCell ref="C719:E719"/>
    <mergeCell ref="C707:E707"/>
    <mergeCell ref="C708:E708"/>
    <mergeCell ref="C709:E709"/>
    <mergeCell ref="C711:N711"/>
    <mergeCell ref="C712:E712"/>
    <mergeCell ref="C713:N713"/>
    <mergeCell ref="C701:E701"/>
    <mergeCell ref="C702:E702"/>
    <mergeCell ref="C703:E703"/>
    <mergeCell ref="C704:E704"/>
    <mergeCell ref="C705:E705"/>
    <mergeCell ref="C706:E706"/>
    <mergeCell ref="C695:N695"/>
    <mergeCell ref="C696:N696"/>
    <mergeCell ref="C697:E697"/>
    <mergeCell ref="C698:E698"/>
    <mergeCell ref="C699:E699"/>
    <mergeCell ref="C700:E700"/>
    <mergeCell ref="C688:E688"/>
    <mergeCell ref="C689:E689"/>
    <mergeCell ref="C690:E690"/>
    <mergeCell ref="C692:N692"/>
    <mergeCell ref="A693:N693"/>
    <mergeCell ref="C694:E694"/>
    <mergeCell ref="C682:E682"/>
    <mergeCell ref="C683:E683"/>
    <mergeCell ref="C684:E684"/>
    <mergeCell ref="C685:E685"/>
    <mergeCell ref="C686:E686"/>
    <mergeCell ref="C687:E687"/>
    <mergeCell ref="C676:N676"/>
    <mergeCell ref="C677:N677"/>
    <mergeCell ref="C678:E678"/>
    <mergeCell ref="C679:E679"/>
    <mergeCell ref="C680:E680"/>
    <mergeCell ref="C681:E681"/>
    <mergeCell ref="C669:E669"/>
    <mergeCell ref="C670:E670"/>
    <mergeCell ref="C671:E671"/>
    <mergeCell ref="C672:E672"/>
    <mergeCell ref="C673:E673"/>
    <mergeCell ref="C675:E675"/>
    <mergeCell ref="C663:E663"/>
    <mergeCell ref="C664:E664"/>
    <mergeCell ref="C665:E665"/>
    <mergeCell ref="C666:E666"/>
    <mergeCell ref="C667:E667"/>
    <mergeCell ref="C668:E668"/>
    <mergeCell ref="C657:E657"/>
    <mergeCell ref="C658:N658"/>
    <mergeCell ref="C659:N659"/>
    <mergeCell ref="C660:N660"/>
    <mergeCell ref="C661:E661"/>
    <mergeCell ref="C662:E662"/>
    <mergeCell ref="C651:E651"/>
    <mergeCell ref="C652:E652"/>
    <mergeCell ref="C653:E653"/>
    <mergeCell ref="C654:E654"/>
    <mergeCell ref="C655:E655"/>
    <mergeCell ref="C656:E656"/>
    <mergeCell ref="C645:E645"/>
    <mergeCell ref="C646:E646"/>
    <mergeCell ref="C647:E647"/>
    <mergeCell ref="C648:E648"/>
    <mergeCell ref="C649:E649"/>
    <mergeCell ref="C650:E650"/>
    <mergeCell ref="C638:E638"/>
    <mergeCell ref="C639:E639"/>
    <mergeCell ref="C640:E640"/>
    <mergeCell ref="C642:E642"/>
    <mergeCell ref="C643:N643"/>
    <mergeCell ref="C644:N644"/>
    <mergeCell ref="C632:E632"/>
    <mergeCell ref="C633:E633"/>
    <mergeCell ref="C634:E634"/>
    <mergeCell ref="C635:E635"/>
    <mergeCell ref="C636:E636"/>
    <mergeCell ref="C637:E637"/>
    <mergeCell ref="C625:E625"/>
    <mergeCell ref="C626:E626"/>
    <mergeCell ref="C627:E627"/>
    <mergeCell ref="C629:E629"/>
    <mergeCell ref="C630:N630"/>
    <mergeCell ref="C631:E631"/>
    <mergeCell ref="C619:E619"/>
    <mergeCell ref="C620:E620"/>
    <mergeCell ref="C621:E621"/>
    <mergeCell ref="C622:E622"/>
    <mergeCell ref="C623:E623"/>
    <mergeCell ref="C624:E624"/>
    <mergeCell ref="C613:N613"/>
    <mergeCell ref="C614:N614"/>
    <mergeCell ref="C615:E615"/>
    <mergeCell ref="C616:E616"/>
    <mergeCell ref="C617:E617"/>
    <mergeCell ref="C618:E618"/>
    <mergeCell ref="C607:E607"/>
    <mergeCell ref="C608:E608"/>
    <mergeCell ref="C609:E609"/>
    <mergeCell ref="C610:E610"/>
    <mergeCell ref="C611:E611"/>
    <mergeCell ref="C612:N612"/>
    <mergeCell ref="C601:E601"/>
    <mergeCell ref="C602:E602"/>
    <mergeCell ref="C603:E603"/>
    <mergeCell ref="C604:E604"/>
    <mergeCell ref="C605:E605"/>
    <mergeCell ref="C606:E606"/>
    <mergeCell ref="C594:E594"/>
    <mergeCell ref="C596:E596"/>
    <mergeCell ref="C597:N597"/>
    <mergeCell ref="C598:N598"/>
    <mergeCell ref="C599:E599"/>
    <mergeCell ref="C600:E600"/>
    <mergeCell ref="C588:E588"/>
    <mergeCell ref="C589:E589"/>
    <mergeCell ref="C590:E590"/>
    <mergeCell ref="C591:E591"/>
    <mergeCell ref="C592:E592"/>
    <mergeCell ref="C593:E593"/>
    <mergeCell ref="C582:E582"/>
    <mergeCell ref="C583:E583"/>
    <mergeCell ref="C584:N584"/>
    <mergeCell ref="C585:E585"/>
    <mergeCell ref="C586:E586"/>
    <mergeCell ref="C587:E587"/>
    <mergeCell ref="C576:E576"/>
    <mergeCell ref="C577:E577"/>
    <mergeCell ref="C578:E578"/>
    <mergeCell ref="C579:E579"/>
    <mergeCell ref="C580:E580"/>
    <mergeCell ref="C581:E581"/>
    <mergeCell ref="C570:E570"/>
    <mergeCell ref="C571:N571"/>
    <mergeCell ref="C572:N572"/>
    <mergeCell ref="C573:N573"/>
    <mergeCell ref="C574:E574"/>
    <mergeCell ref="C575:E575"/>
    <mergeCell ref="C564:E564"/>
    <mergeCell ref="C565:E565"/>
    <mergeCell ref="C566:E566"/>
    <mergeCell ref="C567:E567"/>
    <mergeCell ref="C568:E568"/>
    <mergeCell ref="C569:E569"/>
    <mergeCell ref="C558:N558"/>
    <mergeCell ref="C559:E559"/>
    <mergeCell ref="C560:E560"/>
    <mergeCell ref="C561:E561"/>
    <mergeCell ref="C562:E562"/>
    <mergeCell ref="C563:E563"/>
    <mergeCell ref="C551:E551"/>
    <mergeCell ref="C552:E552"/>
    <mergeCell ref="C553:E553"/>
    <mergeCell ref="C555:N555"/>
    <mergeCell ref="C556:E556"/>
    <mergeCell ref="C557:N557"/>
    <mergeCell ref="C545:E545"/>
    <mergeCell ref="C546:E546"/>
    <mergeCell ref="C547:E547"/>
    <mergeCell ref="C548:E548"/>
    <mergeCell ref="C549:E549"/>
    <mergeCell ref="C550:E550"/>
    <mergeCell ref="C539:E539"/>
    <mergeCell ref="C540:E540"/>
    <mergeCell ref="C541:N541"/>
    <mergeCell ref="C542:N542"/>
    <mergeCell ref="C543:N543"/>
    <mergeCell ref="C544:E544"/>
    <mergeCell ref="C533:E533"/>
    <mergeCell ref="C534:E534"/>
    <mergeCell ref="C535:E535"/>
    <mergeCell ref="C536:E536"/>
    <mergeCell ref="C537:E537"/>
    <mergeCell ref="C538:E538"/>
    <mergeCell ref="C527:N527"/>
    <mergeCell ref="C528:E528"/>
    <mergeCell ref="C529:E529"/>
    <mergeCell ref="C530:E530"/>
    <mergeCell ref="C531:E531"/>
    <mergeCell ref="C532:E532"/>
    <mergeCell ref="C520:E520"/>
    <mergeCell ref="C521:E521"/>
    <mergeCell ref="C522:E522"/>
    <mergeCell ref="C524:N524"/>
    <mergeCell ref="C525:E525"/>
    <mergeCell ref="C526:N526"/>
    <mergeCell ref="C514:E514"/>
    <mergeCell ref="C515:E515"/>
    <mergeCell ref="C516:E516"/>
    <mergeCell ref="C517:E517"/>
    <mergeCell ref="C518:E518"/>
    <mergeCell ref="C519:E519"/>
    <mergeCell ref="C508:N508"/>
    <mergeCell ref="C509:N509"/>
    <mergeCell ref="C510:E510"/>
    <mergeCell ref="C511:E511"/>
    <mergeCell ref="C512:E512"/>
    <mergeCell ref="C513:E513"/>
    <mergeCell ref="C501:E501"/>
    <mergeCell ref="C502:E502"/>
    <mergeCell ref="C503:E503"/>
    <mergeCell ref="C505:N505"/>
    <mergeCell ref="A506:N506"/>
    <mergeCell ref="C507:E507"/>
    <mergeCell ref="C495:E495"/>
    <mergeCell ref="C496:E496"/>
    <mergeCell ref="C497:E497"/>
    <mergeCell ref="C498:E498"/>
    <mergeCell ref="C499:E499"/>
    <mergeCell ref="C500:E500"/>
    <mergeCell ref="C489:N489"/>
    <mergeCell ref="C490:N490"/>
    <mergeCell ref="C491:E491"/>
    <mergeCell ref="C492:E492"/>
    <mergeCell ref="C493:E493"/>
    <mergeCell ref="C494:E494"/>
    <mergeCell ref="C482:E482"/>
    <mergeCell ref="C483:E483"/>
    <mergeCell ref="C484:E484"/>
    <mergeCell ref="C485:E485"/>
    <mergeCell ref="C486:E486"/>
    <mergeCell ref="C488:E488"/>
    <mergeCell ref="C476:E476"/>
    <mergeCell ref="C477:E477"/>
    <mergeCell ref="C478:E478"/>
    <mergeCell ref="C479:E479"/>
    <mergeCell ref="C480:E480"/>
    <mergeCell ref="C481:E481"/>
    <mergeCell ref="C470:E470"/>
    <mergeCell ref="C471:N471"/>
    <mergeCell ref="C472:N472"/>
    <mergeCell ref="C473:N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58:E458"/>
    <mergeCell ref="C459:E459"/>
    <mergeCell ref="C460:E460"/>
    <mergeCell ref="C461:E461"/>
    <mergeCell ref="C462:E462"/>
    <mergeCell ref="C463:E463"/>
    <mergeCell ref="C451:E451"/>
    <mergeCell ref="C452:E452"/>
    <mergeCell ref="C453:E453"/>
    <mergeCell ref="C455:E455"/>
    <mergeCell ref="C456:N456"/>
    <mergeCell ref="C457:N457"/>
    <mergeCell ref="C445:E445"/>
    <mergeCell ref="C446:E446"/>
    <mergeCell ref="C447:E447"/>
    <mergeCell ref="C448:E448"/>
    <mergeCell ref="C449:E449"/>
    <mergeCell ref="C450:E450"/>
    <mergeCell ref="C438:E438"/>
    <mergeCell ref="C439:E439"/>
    <mergeCell ref="C440:E440"/>
    <mergeCell ref="C442:E442"/>
    <mergeCell ref="C443:N443"/>
    <mergeCell ref="C444:E444"/>
    <mergeCell ref="C432:E432"/>
    <mergeCell ref="C433:E433"/>
    <mergeCell ref="C434:E434"/>
    <mergeCell ref="C435:E435"/>
    <mergeCell ref="C436:E436"/>
    <mergeCell ref="C437:E437"/>
    <mergeCell ref="C426:N426"/>
    <mergeCell ref="C427:N427"/>
    <mergeCell ref="C428:E428"/>
    <mergeCell ref="C429:E429"/>
    <mergeCell ref="C430:E430"/>
    <mergeCell ref="C431:E431"/>
    <mergeCell ref="C420:E420"/>
    <mergeCell ref="C421:E421"/>
    <mergeCell ref="C422:E422"/>
    <mergeCell ref="C423:E423"/>
    <mergeCell ref="C424:E424"/>
    <mergeCell ref="C425:N425"/>
    <mergeCell ref="C414:E414"/>
    <mergeCell ref="C415:E415"/>
    <mergeCell ref="C416:E416"/>
    <mergeCell ref="C417:E417"/>
    <mergeCell ref="C418:E418"/>
    <mergeCell ref="C419:E419"/>
    <mergeCell ref="C407:E407"/>
    <mergeCell ref="C409:E409"/>
    <mergeCell ref="C410:N410"/>
    <mergeCell ref="C411:N411"/>
    <mergeCell ref="C412:E412"/>
    <mergeCell ref="C413:E413"/>
    <mergeCell ref="C401:E401"/>
    <mergeCell ref="C402:E402"/>
    <mergeCell ref="C403:E403"/>
    <mergeCell ref="C404:E404"/>
    <mergeCell ref="C405:E405"/>
    <mergeCell ref="C406:E406"/>
    <mergeCell ref="C395:E395"/>
    <mergeCell ref="C396:E396"/>
    <mergeCell ref="C397:N397"/>
    <mergeCell ref="C398:E398"/>
    <mergeCell ref="C399:E399"/>
    <mergeCell ref="C400:E400"/>
    <mergeCell ref="C389:E389"/>
    <mergeCell ref="C390:E390"/>
    <mergeCell ref="C391:E391"/>
    <mergeCell ref="C392:E392"/>
    <mergeCell ref="C393:E393"/>
    <mergeCell ref="C394:E394"/>
    <mergeCell ref="C383:E383"/>
    <mergeCell ref="C384:N384"/>
    <mergeCell ref="C385:N385"/>
    <mergeCell ref="C386:N386"/>
    <mergeCell ref="C387:E387"/>
    <mergeCell ref="C388:E388"/>
    <mergeCell ref="C377:E377"/>
    <mergeCell ref="C378:E378"/>
    <mergeCell ref="C379:E379"/>
    <mergeCell ref="C380:E380"/>
    <mergeCell ref="C381:E381"/>
    <mergeCell ref="C382:E382"/>
    <mergeCell ref="C371:N371"/>
    <mergeCell ref="C372:E372"/>
    <mergeCell ref="C373:E373"/>
    <mergeCell ref="C374:E374"/>
    <mergeCell ref="C375:E375"/>
    <mergeCell ref="C376:E376"/>
    <mergeCell ref="C364:E364"/>
    <mergeCell ref="C365:E365"/>
    <mergeCell ref="C366:E366"/>
    <mergeCell ref="C368:N368"/>
    <mergeCell ref="C369:E369"/>
    <mergeCell ref="C370:N370"/>
    <mergeCell ref="C358:E358"/>
    <mergeCell ref="C359:E359"/>
    <mergeCell ref="C360:E360"/>
    <mergeCell ref="C361:E361"/>
    <mergeCell ref="C362:E362"/>
    <mergeCell ref="C363:E363"/>
    <mergeCell ref="C352:E352"/>
    <mergeCell ref="C353:E353"/>
    <mergeCell ref="C354:N354"/>
    <mergeCell ref="C355:N355"/>
    <mergeCell ref="C356:N356"/>
    <mergeCell ref="C357:E357"/>
    <mergeCell ref="C346:E346"/>
    <mergeCell ref="C347:E347"/>
    <mergeCell ref="C348:E348"/>
    <mergeCell ref="C349:E349"/>
    <mergeCell ref="C350:E350"/>
    <mergeCell ref="C351:E351"/>
    <mergeCell ref="C340:N340"/>
    <mergeCell ref="C341:E341"/>
    <mergeCell ref="C342:E342"/>
    <mergeCell ref="C343:E343"/>
    <mergeCell ref="C344:E344"/>
    <mergeCell ref="C345:E345"/>
    <mergeCell ref="C333:E333"/>
    <mergeCell ref="C334:E334"/>
    <mergeCell ref="C335:E335"/>
    <mergeCell ref="C337:N337"/>
    <mergeCell ref="C338:E338"/>
    <mergeCell ref="C339:N339"/>
    <mergeCell ref="C327:E327"/>
    <mergeCell ref="C328:E328"/>
    <mergeCell ref="C329:E329"/>
    <mergeCell ref="C330:E330"/>
    <mergeCell ref="C331:E331"/>
    <mergeCell ref="C332:E332"/>
    <mergeCell ref="C321:N321"/>
    <mergeCell ref="C322:N322"/>
    <mergeCell ref="C323:E323"/>
    <mergeCell ref="C324:E324"/>
    <mergeCell ref="C325:E325"/>
    <mergeCell ref="C326:E326"/>
    <mergeCell ref="C315:K315"/>
    <mergeCell ref="C316:K316"/>
    <mergeCell ref="C317:K317"/>
    <mergeCell ref="C318:K318"/>
    <mergeCell ref="A319:N319"/>
    <mergeCell ref="C320:E320"/>
    <mergeCell ref="C309:K309"/>
    <mergeCell ref="C310:K310"/>
    <mergeCell ref="C311:K311"/>
    <mergeCell ref="C312:K312"/>
    <mergeCell ref="C313:K313"/>
    <mergeCell ref="C314:K314"/>
    <mergeCell ref="C303:K303"/>
    <mergeCell ref="C304:K304"/>
    <mergeCell ref="C305:K305"/>
    <mergeCell ref="C306:K306"/>
    <mergeCell ref="C307:K307"/>
    <mergeCell ref="C308:K308"/>
    <mergeCell ref="C297:K297"/>
    <mergeCell ref="C298:K298"/>
    <mergeCell ref="C299:K299"/>
    <mergeCell ref="C300:K300"/>
    <mergeCell ref="C301:K301"/>
    <mergeCell ref="C302:K302"/>
    <mergeCell ref="C288:E288"/>
    <mergeCell ref="C289:E289"/>
    <mergeCell ref="C290:E290"/>
    <mergeCell ref="C291:E291"/>
    <mergeCell ref="C293:E293"/>
    <mergeCell ref="C295:N295"/>
    <mergeCell ref="C282:E282"/>
    <mergeCell ref="C283:E283"/>
    <mergeCell ref="C284:E284"/>
    <mergeCell ref="C285:E285"/>
    <mergeCell ref="C286:E286"/>
    <mergeCell ref="C287:E287"/>
    <mergeCell ref="C276:N276"/>
    <mergeCell ref="C277:E277"/>
    <mergeCell ref="C278:E278"/>
    <mergeCell ref="C279:E279"/>
    <mergeCell ref="C280:E280"/>
    <mergeCell ref="C281:E281"/>
    <mergeCell ref="C269:E269"/>
    <mergeCell ref="C270:E270"/>
    <mergeCell ref="C271:E271"/>
    <mergeCell ref="C272:E272"/>
    <mergeCell ref="C274:E274"/>
    <mergeCell ref="C275:N275"/>
    <mergeCell ref="C263:E263"/>
    <mergeCell ref="C264:E264"/>
    <mergeCell ref="C265:E265"/>
    <mergeCell ref="C266:E266"/>
    <mergeCell ref="C267:E267"/>
    <mergeCell ref="C268:E268"/>
    <mergeCell ref="C257:E257"/>
    <mergeCell ref="C258:N258"/>
    <mergeCell ref="C259:N259"/>
    <mergeCell ref="C260:E260"/>
    <mergeCell ref="C261:E261"/>
    <mergeCell ref="C262:E262"/>
    <mergeCell ref="C250:E250"/>
    <mergeCell ref="C251:E251"/>
    <mergeCell ref="C252:E252"/>
    <mergeCell ref="C253:E253"/>
    <mergeCell ref="C254:E254"/>
    <mergeCell ref="A256:N256"/>
    <mergeCell ref="C244:E244"/>
    <mergeCell ref="C245:E245"/>
    <mergeCell ref="C246:E246"/>
    <mergeCell ref="C247:E247"/>
    <mergeCell ref="C248:E248"/>
    <mergeCell ref="C249:E249"/>
    <mergeCell ref="C237:E237"/>
    <mergeCell ref="C238:E238"/>
    <mergeCell ref="C240:E240"/>
    <mergeCell ref="C241:N241"/>
    <mergeCell ref="C242:N242"/>
    <mergeCell ref="C243:E243"/>
    <mergeCell ref="C231:E231"/>
    <mergeCell ref="C232:E232"/>
    <mergeCell ref="C233:E233"/>
    <mergeCell ref="C234:E234"/>
    <mergeCell ref="C235:E235"/>
    <mergeCell ref="C236:E236"/>
    <mergeCell ref="C225:N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N224"/>
    <mergeCell ref="C213:E213"/>
    <mergeCell ref="C214:E214"/>
    <mergeCell ref="C215:E215"/>
    <mergeCell ref="C216:E216"/>
    <mergeCell ref="C217:E217"/>
    <mergeCell ref="C218:E218"/>
    <mergeCell ref="C206:E206"/>
    <mergeCell ref="C208:E208"/>
    <mergeCell ref="C209:N209"/>
    <mergeCell ref="C210:N210"/>
    <mergeCell ref="C211:N211"/>
    <mergeCell ref="C212:E212"/>
    <mergeCell ref="C200:E200"/>
    <mergeCell ref="C201:E201"/>
    <mergeCell ref="C202:E202"/>
    <mergeCell ref="C203:E203"/>
    <mergeCell ref="C204:E204"/>
    <mergeCell ref="C205:E205"/>
    <mergeCell ref="C194:E194"/>
    <mergeCell ref="C195:E195"/>
    <mergeCell ref="C196:E196"/>
    <mergeCell ref="C197:E197"/>
    <mergeCell ref="C198:E198"/>
    <mergeCell ref="C199:E199"/>
    <mergeCell ref="C188:E188"/>
    <mergeCell ref="C189:N189"/>
    <mergeCell ref="A190:N190"/>
    <mergeCell ref="C191:E191"/>
    <mergeCell ref="C192:N192"/>
    <mergeCell ref="C193:N193"/>
    <mergeCell ref="C180:E180"/>
    <mergeCell ref="C181:E181"/>
    <mergeCell ref="C182:E182"/>
    <mergeCell ref="C183:E183"/>
    <mergeCell ref="C185:E185"/>
    <mergeCell ref="C187:N187"/>
    <mergeCell ref="C174:E174"/>
    <mergeCell ref="C175:E175"/>
    <mergeCell ref="C176:E176"/>
    <mergeCell ref="C177:E177"/>
    <mergeCell ref="C178:E178"/>
    <mergeCell ref="C179:E179"/>
    <mergeCell ref="C168:K168"/>
    <mergeCell ref="A169:N169"/>
    <mergeCell ref="C170:E170"/>
    <mergeCell ref="C171:N171"/>
    <mergeCell ref="C172:N172"/>
    <mergeCell ref="C173:E173"/>
    <mergeCell ref="C162:K162"/>
    <mergeCell ref="C163:K163"/>
    <mergeCell ref="C164:K164"/>
    <mergeCell ref="C165:K165"/>
    <mergeCell ref="C166:K166"/>
    <mergeCell ref="C167:K167"/>
    <mergeCell ref="C156:K156"/>
    <mergeCell ref="C157:K157"/>
    <mergeCell ref="C158:K158"/>
    <mergeCell ref="C159:K159"/>
    <mergeCell ref="C160:K160"/>
    <mergeCell ref="C161:K161"/>
    <mergeCell ref="C149:E149"/>
    <mergeCell ref="C151:K151"/>
    <mergeCell ref="C152:K152"/>
    <mergeCell ref="C153:K153"/>
    <mergeCell ref="C154:K154"/>
    <mergeCell ref="C155:K155"/>
    <mergeCell ref="C143:E143"/>
    <mergeCell ref="C144:E144"/>
    <mergeCell ref="C145:E145"/>
    <mergeCell ref="C146:E146"/>
    <mergeCell ref="C147:E147"/>
    <mergeCell ref="C148:E148"/>
    <mergeCell ref="C137:E137"/>
    <mergeCell ref="C138:N138"/>
    <mergeCell ref="C139:N139"/>
    <mergeCell ref="C140:E140"/>
    <mergeCell ref="C141:E141"/>
    <mergeCell ref="C142:E142"/>
    <mergeCell ref="C131:E131"/>
    <mergeCell ref="C132:E132"/>
    <mergeCell ref="C133:E133"/>
    <mergeCell ref="C134:E134"/>
    <mergeCell ref="C135:E135"/>
    <mergeCell ref="A136:N136"/>
    <mergeCell ref="C125:N125"/>
    <mergeCell ref="C126:E126"/>
    <mergeCell ref="C127:E127"/>
    <mergeCell ref="C128:E128"/>
    <mergeCell ref="C129:E129"/>
    <mergeCell ref="C130:E130"/>
    <mergeCell ref="C119:E119"/>
    <mergeCell ref="C120:E120"/>
    <mergeCell ref="C121:E121"/>
    <mergeCell ref="C122:E122"/>
    <mergeCell ref="C123:E123"/>
    <mergeCell ref="C124:N124"/>
    <mergeCell ref="C113:E113"/>
    <mergeCell ref="C114:E114"/>
    <mergeCell ref="C115:E115"/>
    <mergeCell ref="C116:E116"/>
    <mergeCell ref="C117:E117"/>
    <mergeCell ref="C118:E118"/>
    <mergeCell ref="C107:E107"/>
    <mergeCell ref="C108:E108"/>
    <mergeCell ref="C109:E109"/>
    <mergeCell ref="C110:E110"/>
    <mergeCell ref="C111:N111"/>
    <mergeCell ref="C112:N112"/>
    <mergeCell ref="C101:N101"/>
    <mergeCell ref="C102:E102"/>
    <mergeCell ref="C103:E103"/>
    <mergeCell ref="C104:E104"/>
    <mergeCell ref="C105:E105"/>
    <mergeCell ref="C106:E106"/>
    <mergeCell ref="C95:E95"/>
    <mergeCell ref="C96:E96"/>
    <mergeCell ref="C97:E97"/>
    <mergeCell ref="C98:E98"/>
    <mergeCell ref="C99:N99"/>
    <mergeCell ref="C100:N100"/>
    <mergeCell ref="C89:N89"/>
    <mergeCell ref="C90:E90"/>
    <mergeCell ref="C91:E91"/>
    <mergeCell ref="C92:E92"/>
    <mergeCell ref="C93:E93"/>
    <mergeCell ref="C94:E94"/>
    <mergeCell ref="C83:E83"/>
    <mergeCell ref="C84:E84"/>
    <mergeCell ref="C85:E85"/>
    <mergeCell ref="C86:N86"/>
    <mergeCell ref="C87:E87"/>
    <mergeCell ref="C88:N88"/>
    <mergeCell ref="C77:E77"/>
    <mergeCell ref="C78:E78"/>
    <mergeCell ref="C79:E79"/>
    <mergeCell ref="C80:E80"/>
    <mergeCell ref="C81:E81"/>
    <mergeCell ref="C82:E82"/>
    <mergeCell ref="C71:E71"/>
    <mergeCell ref="C72:E72"/>
    <mergeCell ref="C73:E73"/>
    <mergeCell ref="C74:E74"/>
    <mergeCell ref="C75:N75"/>
    <mergeCell ref="C76:N76"/>
    <mergeCell ref="C65:N65"/>
    <mergeCell ref="C66:E66"/>
    <mergeCell ref="C67:E67"/>
    <mergeCell ref="C68:E68"/>
    <mergeCell ref="C69:E69"/>
    <mergeCell ref="C70:E70"/>
    <mergeCell ref="C59:E59"/>
    <mergeCell ref="C60:E60"/>
    <mergeCell ref="C61:E61"/>
    <mergeCell ref="C62:E62"/>
    <mergeCell ref="C63:N63"/>
    <mergeCell ref="C64:N64"/>
    <mergeCell ref="C53:N53"/>
    <mergeCell ref="C54:E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N52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C41:N41"/>
    <mergeCell ref="C42:N42"/>
    <mergeCell ref="C43:E43"/>
    <mergeCell ref="C44:E44"/>
    <mergeCell ref="C45:E45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1250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/>
  <dimension ref="A1:AJ629"/>
  <sheetViews>
    <sheetView topLeftCell="A592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10.7109375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30" width="34.140625" style="537" hidden="1" customWidth="1"/>
    <col min="31" max="36" width="84.42578125" style="537" hidden="1" customWidth="1"/>
    <col min="37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/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143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4314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78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78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4315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3708.21</v>
      </c>
      <c r="D28" s="579" t="s">
        <v>8843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3708.21</v>
      </c>
      <c r="D30" s="579" t="s">
        <v>8843</v>
      </c>
      <c r="E30" s="665" t="s">
        <v>167</v>
      </c>
      <c r="G30" s="536" t="s">
        <v>170</v>
      </c>
      <c r="L30" s="580">
        <v>0</v>
      </c>
      <c r="M30" s="579" t="s">
        <v>8844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665" t="s">
        <v>167</v>
      </c>
      <c r="G31" s="536" t="s">
        <v>172</v>
      </c>
      <c r="L31" s="582"/>
      <c r="M31" s="582">
        <v>1546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665" t="s">
        <v>167</v>
      </c>
      <c r="G32" s="536" t="s">
        <v>174</v>
      </c>
      <c r="L32" s="582"/>
      <c r="M32" s="582">
        <v>643.87</v>
      </c>
      <c r="N32" s="581" t="s">
        <v>173</v>
      </c>
    </row>
    <row r="33" spans="1:28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8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8" s="536" customFormat="1" ht="12" x14ac:dyDescent="0.2">
      <c r="A39" s="1824" t="s">
        <v>976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976</v>
      </c>
    </row>
    <row r="40" spans="1:28" s="536" customFormat="1" ht="56.25" x14ac:dyDescent="0.2">
      <c r="A40" s="575" t="s">
        <v>185</v>
      </c>
      <c r="B40" s="670" t="s">
        <v>3774</v>
      </c>
      <c r="C40" s="1823" t="s">
        <v>3775</v>
      </c>
      <c r="D40" s="1823"/>
      <c r="E40" s="1823"/>
      <c r="F40" s="573" t="s">
        <v>455</v>
      </c>
      <c r="G40" s="573"/>
      <c r="H40" s="573"/>
      <c r="I40" s="573" t="s">
        <v>8845</v>
      </c>
      <c r="J40" s="572"/>
      <c r="K40" s="573"/>
      <c r="L40" s="572"/>
      <c r="M40" s="571"/>
      <c r="N40" s="570"/>
      <c r="V40" s="674"/>
      <c r="W40" s="675" t="s">
        <v>3775</v>
      </c>
    </row>
    <row r="41" spans="1:28" s="536" customFormat="1" ht="12" x14ac:dyDescent="0.2">
      <c r="A41" s="676"/>
      <c r="B41" s="664"/>
      <c r="C41" s="1822" t="s">
        <v>8846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8846</v>
      </c>
    </row>
    <row r="42" spans="1:28" s="536" customFormat="1" ht="22.5" x14ac:dyDescent="0.2">
      <c r="A42" s="609"/>
      <c r="B42" s="552" t="s">
        <v>499</v>
      </c>
      <c r="C42" s="1822" t="s">
        <v>500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Y42" s="537" t="s">
        <v>500</v>
      </c>
    </row>
    <row r="43" spans="1:28" s="536" customFormat="1" ht="12" x14ac:dyDescent="0.2">
      <c r="A43" s="605"/>
      <c r="B43" s="552" t="s">
        <v>186</v>
      </c>
      <c r="C43" s="1822" t="s">
        <v>344</v>
      </c>
      <c r="D43" s="1822"/>
      <c r="E43" s="1822"/>
      <c r="F43" s="562"/>
      <c r="G43" s="562"/>
      <c r="H43" s="562"/>
      <c r="I43" s="562"/>
      <c r="J43" s="604">
        <v>6166.95</v>
      </c>
      <c r="K43" s="562" t="s">
        <v>313</v>
      </c>
      <c r="L43" s="604">
        <v>2171.54</v>
      </c>
      <c r="M43" s="603"/>
      <c r="N43" s="602"/>
      <c r="V43" s="674"/>
      <c r="W43" s="675"/>
      <c r="Z43" s="537" t="s">
        <v>344</v>
      </c>
    </row>
    <row r="44" spans="1:28" s="536" customFormat="1" ht="12" x14ac:dyDescent="0.2">
      <c r="A44" s="605"/>
      <c r="B44" s="552" t="s">
        <v>187</v>
      </c>
      <c r="C44" s="1822" t="s">
        <v>345</v>
      </c>
      <c r="D44" s="1822"/>
      <c r="E44" s="1822"/>
      <c r="F44" s="562"/>
      <c r="G44" s="562"/>
      <c r="H44" s="562"/>
      <c r="I44" s="562"/>
      <c r="J44" s="604">
        <v>722.25</v>
      </c>
      <c r="K44" s="562" t="s">
        <v>313</v>
      </c>
      <c r="L44" s="604">
        <v>254.32</v>
      </c>
      <c r="M44" s="603"/>
      <c r="N44" s="602"/>
      <c r="V44" s="674"/>
      <c r="W44" s="675"/>
      <c r="Z44" s="537" t="s">
        <v>345</v>
      </c>
    </row>
    <row r="45" spans="1:28" s="536" customFormat="1" ht="22.5" x14ac:dyDescent="0.2">
      <c r="A45" s="605"/>
      <c r="B45" s="552"/>
      <c r="C45" s="1822" t="s">
        <v>348</v>
      </c>
      <c r="D45" s="1822"/>
      <c r="E45" s="1822"/>
      <c r="F45" s="562" t="s">
        <v>315</v>
      </c>
      <c r="G45" s="562" t="s">
        <v>3776</v>
      </c>
      <c r="H45" s="562" t="s">
        <v>313</v>
      </c>
      <c r="I45" s="562" t="s">
        <v>8847</v>
      </c>
      <c r="J45" s="604"/>
      <c r="K45" s="562"/>
      <c r="L45" s="604"/>
      <c r="M45" s="603"/>
      <c r="N45" s="602"/>
      <c r="V45" s="674"/>
      <c r="W45" s="675"/>
      <c r="AA45" s="537" t="s">
        <v>348</v>
      </c>
    </row>
    <row r="46" spans="1:28" s="536" customFormat="1" ht="12" x14ac:dyDescent="0.2">
      <c r="A46" s="605"/>
      <c r="B46" s="552"/>
      <c r="C46" s="1828" t="s">
        <v>318</v>
      </c>
      <c r="D46" s="1828"/>
      <c r="E46" s="1828"/>
      <c r="F46" s="608"/>
      <c r="G46" s="608"/>
      <c r="H46" s="608"/>
      <c r="I46" s="608"/>
      <c r="J46" s="607">
        <v>6166.95</v>
      </c>
      <c r="K46" s="608"/>
      <c r="L46" s="607">
        <v>2171.54</v>
      </c>
      <c r="M46" s="601"/>
      <c r="N46" s="606"/>
      <c r="V46" s="674"/>
      <c r="W46" s="675"/>
      <c r="AB46" s="537" t="s">
        <v>318</v>
      </c>
    </row>
    <row r="47" spans="1:28" s="536" customFormat="1" ht="12" x14ac:dyDescent="0.2">
      <c r="A47" s="605"/>
      <c r="B47" s="552"/>
      <c r="C47" s="1822" t="s">
        <v>319</v>
      </c>
      <c r="D47" s="1822"/>
      <c r="E47" s="1822"/>
      <c r="F47" s="562"/>
      <c r="G47" s="562"/>
      <c r="H47" s="562"/>
      <c r="I47" s="562"/>
      <c r="J47" s="604"/>
      <c r="K47" s="562"/>
      <c r="L47" s="604">
        <v>254.32</v>
      </c>
      <c r="M47" s="603"/>
      <c r="N47" s="602"/>
      <c r="V47" s="674"/>
      <c r="W47" s="675"/>
      <c r="AA47" s="537" t="s">
        <v>319</v>
      </c>
    </row>
    <row r="48" spans="1:28" s="536" customFormat="1" ht="33.75" x14ac:dyDescent="0.2">
      <c r="A48" s="605"/>
      <c r="B48" s="552" t="s">
        <v>460</v>
      </c>
      <c r="C48" s="1822" t="s">
        <v>461</v>
      </c>
      <c r="D48" s="1822"/>
      <c r="E48" s="1822"/>
      <c r="F48" s="562" t="s">
        <v>322</v>
      </c>
      <c r="G48" s="562" t="s">
        <v>462</v>
      </c>
      <c r="H48" s="562"/>
      <c r="I48" s="562" t="s">
        <v>462</v>
      </c>
      <c r="J48" s="604"/>
      <c r="K48" s="562"/>
      <c r="L48" s="604">
        <v>233.97</v>
      </c>
      <c r="M48" s="603"/>
      <c r="N48" s="602"/>
      <c r="V48" s="674"/>
      <c r="W48" s="675"/>
      <c r="AA48" s="537" t="s">
        <v>461</v>
      </c>
    </row>
    <row r="49" spans="1:29" s="536" customFormat="1" ht="33.75" x14ac:dyDescent="0.2">
      <c r="A49" s="605"/>
      <c r="B49" s="552" t="s">
        <v>463</v>
      </c>
      <c r="C49" s="1822" t="s">
        <v>464</v>
      </c>
      <c r="D49" s="1822"/>
      <c r="E49" s="1822"/>
      <c r="F49" s="562" t="s">
        <v>322</v>
      </c>
      <c r="G49" s="562" t="s">
        <v>465</v>
      </c>
      <c r="H49" s="562"/>
      <c r="I49" s="562" t="s">
        <v>465</v>
      </c>
      <c r="J49" s="604"/>
      <c r="K49" s="562"/>
      <c r="L49" s="604">
        <v>116.99</v>
      </c>
      <c r="M49" s="603"/>
      <c r="N49" s="602"/>
      <c r="V49" s="674"/>
      <c r="W49" s="675"/>
      <c r="AA49" s="537" t="s">
        <v>464</v>
      </c>
    </row>
    <row r="50" spans="1:29" s="536" customFormat="1" ht="12" x14ac:dyDescent="0.2">
      <c r="A50" s="569"/>
      <c r="B50" s="671"/>
      <c r="C50" s="1823" t="s">
        <v>327</v>
      </c>
      <c r="D50" s="1823"/>
      <c r="E50" s="1823"/>
      <c r="F50" s="573"/>
      <c r="G50" s="573"/>
      <c r="H50" s="573"/>
      <c r="I50" s="573"/>
      <c r="J50" s="572"/>
      <c r="K50" s="573"/>
      <c r="L50" s="572">
        <v>2522.5</v>
      </c>
      <c r="M50" s="601"/>
      <c r="N50" s="570"/>
      <c r="V50" s="674"/>
      <c r="W50" s="675"/>
      <c r="AC50" s="675" t="s">
        <v>327</v>
      </c>
    </row>
    <row r="51" spans="1:29" s="536" customFormat="1" ht="45" x14ac:dyDescent="0.2">
      <c r="A51" s="575" t="s">
        <v>186</v>
      </c>
      <c r="B51" s="670" t="s">
        <v>1005</v>
      </c>
      <c r="C51" s="1823" t="s">
        <v>1006</v>
      </c>
      <c r="D51" s="1823"/>
      <c r="E51" s="1823"/>
      <c r="F51" s="573" t="s">
        <v>201</v>
      </c>
      <c r="G51" s="573"/>
      <c r="H51" s="573"/>
      <c r="I51" s="573" t="s">
        <v>8848</v>
      </c>
      <c r="J51" s="572">
        <v>2.91</v>
      </c>
      <c r="K51" s="573"/>
      <c r="L51" s="572">
        <v>1885.42</v>
      </c>
      <c r="M51" s="571"/>
      <c r="N51" s="570"/>
      <c r="V51" s="674"/>
      <c r="W51" s="675" t="s">
        <v>1006</v>
      </c>
      <c r="AC51" s="675"/>
    </row>
    <row r="52" spans="1:29" s="536" customFormat="1" ht="12" x14ac:dyDescent="0.2">
      <c r="A52" s="676"/>
      <c r="B52" s="664"/>
      <c r="C52" s="1822" t="s">
        <v>8849</v>
      </c>
      <c r="D52" s="1822"/>
      <c r="E52" s="1822"/>
      <c r="F52" s="1822"/>
      <c r="G52" s="1822"/>
      <c r="H52" s="1822"/>
      <c r="I52" s="1822"/>
      <c r="J52" s="1822"/>
      <c r="K52" s="1822"/>
      <c r="L52" s="1822"/>
      <c r="M52" s="1822"/>
      <c r="N52" s="1827"/>
      <c r="V52" s="674"/>
      <c r="W52" s="675"/>
      <c r="X52" s="537" t="s">
        <v>8849</v>
      </c>
      <c r="AC52" s="675"/>
    </row>
    <row r="53" spans="1:29" s="536" customFormat="1" ht="45" x14ac:dyDescent="0.2">
      <c r="A53" s="575" t="s">
        <v>187</v>
      </c>
      <c r="B53" s="670" t="s">
        <v>1511</v>
      </c>
      <c r="C53" s="1823" t="s">
        <v>1512</v>
      </c>
      <c r="D53" s="1823"/>
      <c r="E53" s="1823"/>
      <c r="F53" s="573" t="s">
        <v>455</v>
      </c>
      <c r="G53" s="573"/>
      <c r="H53" s="573"/>
      <c r="I53" s="573" t="s">
        <v>8850</v>
      </c>
      <c r="J53" s="572"/>
      <c r="K53" s="573"/>
      <c r="L53" s="572"/>
      <c r="M53" s="571"/>
      <c r="N53" s="570"/>
      <c r="V53" s="674"/>
      <c r="W53" s="675" t="s">
        <v>1512</v>
      </c>
      <c r="AC53" s="675"/>
    </row>
    <row r="54" spans="1:29" s="536" customFormat="1" ht="12" x14ac:dyDescent="0.2">
      <c r="A54" s="676"/>
      <c r="B54" s="664"/>
      <c r="C54" s="1822" t="s">
        <v>8851</v>
      </c>
      <c r="D54" s="1822"/>
      <c r="E54" s="1822"/>
      <c r="F54" s="1822"/>
      <c r="G54" s="1822"/>
      <c r="H54" s="1822"/>
      <c r="I54" s="1822"/>
      <c r="J54" s="1822"/>
      <c r="K54" s="1822"/>
      <c r="L54" s="1822"/>
      <c r="M54" s="1822"/>
      <c r="N54" s="1827"/>
      <c r="V54" s="674"/>
      <c r="W54" s="675"/>
      <c r="X54" s="537" t="s">
        <v>8851</v>
      </c>
      <c r="AC54" s="675"/>
    </row>
    <row r="55" spans="1:29" s="536" customFormat="1" ht="22.5" x14ac:dyDescent="0.2">
      <c r="A55" s="609"/>
      <c r="B55" s="552" t="s">
        <v>499</v>
      </c>
      <c r="C55" s="1822" t="s">
        <v>500</v>
      </c>
      <c r="D55" s="1822"/>
      <c r="E55" s="1822"/>
      <c r="F55" s="1822"/>
      <c r="G55" s="1822"/>
      <c r="H55" s="1822"/>
      <c r="I55" s="1822"/>
      <c r="J55" s="1822"/>
      <c r="K55" s="1822"/>
      <c r="L55" s="1822"/>
      <c r="M55" s="1822"/>
      <c r="N55" s="1827"/>
      <c r="V55" s="674"/>
      <c r="W55" s="675"/>
      <c r="Y55" s="537" t="s">
        <v>500</v>
      </c>
      <c r="AC55" s="675"/>
    </row>
    <row r="56" spans="1:29" s="536" customFormat="1" ht="12" x14ac:dyDescent="0.2">
      <c r="A56" s="605"/>
      <c r="B56" s="552" t="s">
        <v>186</v>
      </c>
      <c r="C56" s="1822" t="s">
        <v>344</v>
      </c>
      <c r="D56" s="1822"/>
      <c r="E56" s="1822"/>
      <c r="F56" s="562"/>
      <c r="G56" s="562"/>
      <c r="H56" s="562"/>
      <c r="I56" s="562"/>
      <c r="J56" s="604">
        <v>4898.9799999999996</v>
      </c>
      <c r="K56" s="562" t="s">
        <v>313</v>
      </c>
      <c r="L56" s="604">
        <v>21526.12</v>
      </c>
      <c r="M56" s="603"/>
      <c r="N56" s="602"/>
      <c r="V56" s="674"/>
      <c r="W56" s="675"/>
      <c r="Z56" s="537" t="s">
        <v>344</v>
      </c>
      <c r="AC56" s="675"/>
    </row>
    <row r="57" spans="1:29" s="536" customFormat="1" ht="12" x14ac:dyDescent="0.2">
      <c r="A57" s="605"/>
      <c r="B57" s="552" t="s">
        <v>187</v>
      </c>
      <c r="C57" s="1822" t="s">
        <v>345</v>
      </c>
      <c r="D57" s="1822"/>
      <c r="E57" s="1822"/>
      <c r="F57" s="562"/>
      <c r="G57" s="562"/>
      <c r="H57" s="562"/>
      <c r="I57" s="562"/>
      <c r="J57" s="604">
        <v>573.75</v>
      </c>
      <c r="K57" s="562" t="s">
        <v>313</v>
      </c>
      <c r="L57" s="604">
        <v>2521.06</v>
      </c>
      <c r="M57" s="603"/>
      <c r="N57" s="602"/>
      <c r="V57" s="674"/>
      <c r="W57" s="675"/>
      <c r="Z57" s="537" t="s">
        <v>345</v>
      </c>
      <c r="AC57" s="675"/>
    </row>
    <row r="58" spans="1:29" s="536" customFormat="1" ht="12" x14ac:dyDescent="0.2">
      <c r="A58" s="605"/>
      <c r="B58" s="552"/>
      <c r="C58" s="1822" t="s">
        <v>348</v>
      </c>
      <c r="D58" s="1822"/>
      <c r="E58" s="1822"/>
      <c r="F58" s="562" t="s">
        <v>315</v>
      </c>
      <c r="G58" s="562" t="s">
        <v>1513</v>
      </c>
      <c r="H58" s="562" t="s">
        <v>313</v>
      </c>
      <c r="I58" s="562" t="s">
        <v>8852</v>
      </c>
      <c r="J58" s="604"/>
      <c r="K58" s="562"/>
      <c r="L58" s="604"/>
      <c r="M58" s="603"/>
      <c r="N58" s="602"/>
      <c r="V58" s="674"/>
      <c r="W58" s="675"/>
      <c r="AA58" s="537" t="s">
        <v>348</v>
      </c>
      <c r="AC58" s="675"/>
    </row>
    <row r="59" spans="1:29" s="536" customFormat="1" ht="12" x14ac:dyDescent="0.2">
      <c r="A59" s="605"/>
      <c r="B59" s="552"/>
      <c r="C59" s="1828" t="s">
        <v>318</v>
      </c>
      <c r="D59" s="1828"/>
      <c r="E59" s="1828"/>
      <c r="F59" s="608"/>
      <c r="G59" s="608"/>
      <c r="H59" s="608"/>
      <c r="I59" s="608"/>
      <c r="J59" s="607">
        <v>4898.9799999999996</v>
      </c>
      <c r="K59" s="608"/>
      <c r="L59" s="607">
        <v>21526.12</v>
      </c>
      <c r="M59" s="601"/>
      <c r="N59" s="606"/>
      <c r="V59" s="674"/>
      <c r="W59" s="675"/>
      <c r="AB59" s="537" t="s">
        <v>318</v>
      </c>
      <c r="AC59" s="675"/>
    </row>
    <row r="60" spans="1:29" s="536" customFormat="1" ht="12" x14ac:dyDescent="0.2">
      <c r="A60" s="605"/>
      <c r="B60" s="552"/>
      <c r="C60" s="1822" t="s">
        <v>319</v>
      </c>
      <c r="D60" s="1822"/>
      <c r="E60" s="1822"/>
      <c r="F60" s="562"/>
      <c r="G60" s="562"/>
      <c r="H60" s="562"/>
      <c r="I60" s="562"/>
      <c r="J60" s="604"/>
      <c r="K60" s="562"/>
      <c r="L60" s="604">
        <v>2521.06</v>
      </c>
      <c r="M60" s="603"/>
      <c r="N60" s="602"/>
      <c r="V60" s="674"/>
      <c r="W60" s="675"/>
      <c r="AA60" s="537" t="s">
        <v>319</v>
      </c>
      <c r="AC60" s="675"/>
    </row>
    <row r="61" spans="1:29" s="536" customFormat="1" ht="33.75" x14ac:dyDescent="0.2">
      <c r="A61" s="605"/>
      <c r="B61" s="552" t="s">
        <v>460</v>
      </c>
      <c r="C61" s="1822" t="s">
        <v>461</v>
      </c>
      <c r="D61" s="1822"/>
      <c r="E61" s="1822"/>
      <c r="F61" s="562" t="s">
        <v>322</v>
      </c>
      <c r="G61" s="562" t="s">
        <v>462</v>
      </c>
      <c r="H61" s="562"/>
      <c r="I61" s="562" t="s">
        <v>462</v>
      </c>
      <c r="J61" s="604"/>
      <c r="K61" s="562"/>
      <c r="L61" s="604">
        <v>2319.38</v>
      </c>
      <c r="M61" s="603"/>
      <c r="N61" s="602"/>
      <c r="V61" s="674"/>
      <c r="W61" s="675"/>
      <c r="AA61" s="537" t="s">
        <v>461</v>
      </c>
      <c r="AC61" s="675"/>
    </row>
    <row r="62" spans="1:29" s="536" customFormat="1" ht="33.75" x14ac:dyDescent="0.2">
      <c r="A62" s="605"/>
      <c r="B62" s="552" t="s">
        <v>463</v>
      </c>
      <c r="C62" s="1822" t="s">
        <v>464</v>
      </c>
      <c r="D62" s="1822"/>
      <c r="E62" s="1822"/>
      <c r="F62" s="562" t="s">
        <v>322</v>
      </c>
      <c r="G62" s="562" t="s">
        <v>465</v>
      </c>
      <c r="H62" s="562"/>
      <c r="I62" s="562" t="s">
        <v>465</v>
      </c>
      <c r="J62" s="604"/>
      <c r="K62" s="562"/>
      <c r="L62" s="604">
        <v>1159.69</v>
      </c>
      <c r="M62" s="603"/>
      <c r="N62" s="602"/>
      <c r="V62" s="674"/>
      <c r="W62" s="675"/>
      <c r="AA62" s="537" t="s">
        <v>464</v>
      </c>
      <c r="AC62" s="675"/>
    </row>
    <row r="63" spans="1:29" s="536" customFormat="1" ht="12" x14ac:dyDescent="0.2">
      <c r="A63" s="569"/>
      <c r="B63" s="671"/>
      <c r="C63" s="1823" t="s">
        <v>327</v>
      </c>
      <c r="D63" s="1823"/>
      <c r="E63" s="1823"/>
      <c r="F63" s="573"/>
      <c r="G63" s="573"/>
      <c r="H63" s="573"/>
      <c r="I63" s="573"/>
      <c r="J63" s="572"/>
      <c r="K63" s="573"/>
      <c r="L63" s="572">
        <v>25005.19</v>
      </c>
      <c r="M63" s="601"/>
      <c r="N63" s="570"/>
      <c r="V63" s="674"/>
      <c r="W63" s="675"/>
      <c r="AC63" s="675" t="s">
        <v>327</v>
      </c>
    </row>
    <row r="64" spans="1:29" s="536" customFormat="1" ht="22.5" x14ac:dyDescent="0.2">
      <c r="A64" s="575" t="s">
        <v>188</v>
      </c>
      <c r="B64" s="670" t="s">
        <v>3789</v>
      </c>
      <c r="C64" s="1823" t="s">
        <v>3790</v>
      </c>
      <c r="D64" s="1823"/>
      <c r="E64" s="1823"/>
      <c r="F64" s="573" t="s">
        <v>1537</v>
      </c>
      <c r="G64" s="573"/>
      <c r="H64" s="573"/>
      <c r="I64" s="573" t="s">
        <v>8853</v>
      </c>
      <c r="J64" s="572"/>
      <c r="K64" s="573"/>
      <c r="L64" s="572"/>
      <c r="M64" s="571"/>
      <c r="N64" s="570"/>
      <c r="V64" s="674"/>
      <c r="W64" s="675" t="s">
        <v>3790</v>
      </c>
      <c r="AC64" s="675"/>
    </row>
    <row r="65" spans="1:30" s="536" customFormat="1" ht="12" x14ac:dyDescent="0.2">
      <c r="A65" s="676"/>
      <c r="B65" s="664"/>
      <c r="C65" s="1822" t="s">
        <v>8854</v>
      </c>
      <c r="D65" s="1822"/>
      <c r="E65" s="1822"/>
      <c r="F65" s="1822"/>
      <c r="G65" s="1822"/>
      <c r="H65" s="1822"/>
      <c r="I65" s="1822"/>
      <c r="J65" s="1822"/>
      <c r="K65" s="1822"/>
      <c r="L65" s="1822"/>
      <c r="M65" s="1822"/>
      <c r="N65" s="1827"/>
      <c r="V65" s="674"/>
      <c r="W65" s="675"/>
      <c r="X65" s="537" t="s">
        <v>8854</v>
      </c>
      <c r="AC65" s="675"/>
    </row>
    <row r="66" spans="1:30" s="536" customFormat="1" ht="22.5" x14ac:dyDescent="0.2">
      <c r="A66" s="609"/>
      <c r="B66" s="552" t="s">
        <v>499</v>
      </c>
      <c r="C66" s="1822" t="s">
        <v>500</v>
      </c>
      <c r="D66" s="1822"/>
      <c r="E66" s="1822"/>
      <c r="F66" s="1822"/>
      <c r="G66" s="1822"/>
      <c r="H66" s="1822"/>
      <c r="I66" s="1822"/>
      <c r="J66" s="1822"/>
      <c r="K66" s="1822"/>
      <c r="L66" s="1822"/>
      <c r="M66" s="1822"/>
      <c r="N66" s="1827"/>
      <c r="V66" s="674"/>
      <c r="W66" s="675"/>
      <c r="Y66" s="537" t="s">
        <v>500</v>
      </c>
      <c r="AC66" s="675"/>
    </row>
    <row r="67" spans="1:30" s="536" customFormat="1" ht="12" x14ac:dyDescent="0.2">
      <c r="A67" s="605"/>
      <c r="B67" s="552" t="s">
        <v>185</v>
      </c>
      <c r="C67" s="1822" t="s">
        <v>312</v>
      </c>
      <c r="D67" s="1822"/>
      <c r="E67" s="1822"/>
      <c r="F67" s="562"/>
      <c r="G67" s="562"/>
      <c r="H67" s="562"/>
      <c r="I67" s="562"/>
      <c r="J67" s="604">
        <v>83.33</v>
      </c>
      <c r="K67" s="562" t="s">
        <v>313</v>
      </c>
      <c r="L67" s="604">
        <v>1011.42</v>
      </c>
      <c r="M67" s="603"/>
      <c r="N67" s="602"/>
      <c r="V67" s="674"/>
      <c r="W67" s="675"/>
      <c r="Z67" s="537" t="s">
        <v>312</v>
      </c>
      <c r="AC67" s="675"/>
    </row>
    <row r="68" spans="1:30" s="536" customFormat="1" ht="12" x14ac:dyDescent="0.2">
      <c r="A68" s="605"/>
      <c r="B68" s="552" t="s">
        <v>186</v>
      </c>
      <c r="C68" s="1822" t="s">
        <v>344</v>
      </c>
      <c r="D68" s="1822"/>
      <c r="E68" s="1822"/>
      <c r="F68" s="562"/>
      <c r="G68" s="562"/>
      <c r="H68" s="562"/>
      <c r="I68" s="562"/>
      <c r="J68" s="604">
        <v>28.8</v>
      </c>
      <c r="K68" s="562" t="s">
        <v>313</v>
      </c>
      <c r="L68" s="604">
        <v>349.56</v>
      </c>
      <c r="M68" s="603"/>
      <c r="N68" s="602"/>
      <c r="V68" s="674"/>
      <c r="W68" s="675"/>
      <c r="Z68" s="537" t="s">
        <v>344</v>
      </c>
      <c r="AC68" s="675"/>
    </row>
    <row r="69" spans="1:30" s="536" customFormat="1" ht="12" x14ac:dyDescent="0.2">
      <c r="A69" s="605"/>
      <c r="B69" s="552" t="s">
        <v>187</v>
      </c>
      <c r="C69" s="1822" t="s">
        <v>345</v>
      </c>
      <c r="D69" s="1822"/>
      <c r="E69" s="1822"/>
      <c r="F69" s="562"/>
      <c r="G69" s="562"/>
      <c r="H69" s="562"/>
      <c r="I69" s="562"/>
      <c r="J69" s="604">
        <v>3.22</v>
      </c>
      <c r="K69" s="562" t="s">
        <v>313</v>
      </c>
      <c r="L69" s="604">
        <v>39.08</v>
      </c>
      <c r="M69" s="603"/>
      <c r="N69" s="602"/>
      <c r="V69" s="674"/>
      <c r="W69" s="675"/>
      <c r="Z69" s="537" t="s">
        <v>345</v>
      </c>
      <c r="AC69" s="675"/>
    </row>
    <row r="70" spans="1:30" s="536" customFormat="1" ht="22.5" x14ac:dyDescent="0.2">
      <c r="A70" s="676"/>
      <c r="B70" s="677" t="s">
        <v>1090</v>
      </c>
      <c r="C70" s="1829" t="s">
        <v>1091</v>
      </c>
      <c r="D70" s="1829"/>
      <c r="E70" s="1829"/>
      <c r="F70" s="678" t="s">
        <v>641</v>
      </c>
      <c r="G70" s="678" t="s">
        <v>195</v>
      </c>
      <c r="H70" s="678"/>
      <c r="I70" s="678" t="s">
        <v>8855</v>
      </c>
      <c r="J70" s="552"/>
      <c r="K70" s="562"/>
      <c r="L70" s="604"/>
      <c r="M70" s="562"/>
      <c r="N70" s="679"/>
      <c r="V70" s="674"/>
      <c r="W70" s="675"/>
      <c r="AC70" s="675"/>
      <c r="AD70" s="680" t="s">
        <v>1091</v>
      </c>
    </row>
    <row r="71" spans="1:30" s="536" customFormat="1" ht="12" x14ac:dyDescent="0.2">
      <c r="A71" s="605"/>
      <c r="B71" s="552"/>
      <c r="C71" s="1822" t="s">
        <v>314</v>
      </c>
      <c r="D71" s="1822"/>
      <c r="E71" s="1822"/>
      <c r="F71" s="562" t="s">
        <v>315</v>
      </c>
      <c r="G71" s="562" t="s">
        <v>2345</v>
      </c>
      <c r="H71" s="562" t="s">
        <v>313</v>
      </c>
      <c r="I71" s="562" t="s">
        <v>8856</v>
      </c>
      <c r="J71" s="604"/>
      <c r="K71" s="562"/>
      <c r="L71" s="604"/>
      <c r="M71" s="603"/>
      <c r="N71" s="602"/>
      <c r="V71" s="674"/>
      <c r="W71" s="675"/>
      <c r="AA71" s="537" t="s">
        <v>314</v>
      </c>
      <c r="AC71" s="675"/>
      <c r="AD71" s="680"/>
    </row>
    <row r="72" spans="1:30" s="536" customFormat="1" ht="12" x14ac:dyDescent="0.2">
      <c r="A72" s="605"/>
      <c r="B72" s="552"/>
      <c r="C72" s="1822" t="s">
        <v>348</v>
      </c>
      <c r="D72" s="1822"/>
      <c r="E72" s="1822"/>
      <c r="F72" s="562" t="s">
        <v>315</v>
      </c>
      <c r="G72" s="562" t="s">
        <v>2344</v>
      </c>
      <c r="H72" s="562" t="s">
        <v>313</v>
      </c>
      <c r="I72" s="562" t="s">
        <v>8857</v>
      </c>
      <c r="J72" s="604"/>
      <c r="K72" s="562"/>
      <c r="L72" s="604"/>
      <c r="M72" s="603"/>
      <c r="N72" s="602"/>
      <c r="V72" s="674"/>
      <c r="W72" s="675"/>
      <c r="AA72" s="537" t="s">
        <v>348</v>
      </c>
      <c r="AC72" s="675"/>
      <c r="AD72" s="680"/>
    </row>
    <row r="73" spans="1:30" s="536" customFormat="1" ht="12" x14ac:dyDescent="0.2">
      <c r="A73" s="605"/>
      <c r="B73" s="552"/>
      <c r="C73" s="1828" t="s">
        <v>318</v>
      </c>
      <c r="D73" s="1828"/>
      <c r="E73" s="1828"/>
      <c r="F73" s="608"/>
      <c r="G73" s="608"/>
      <c r="H73" s="608"/>
      <c r="I73" s="608"/>
      <c r="J73" s="607">
        <v>112.13</v>
      </c>
      <c r="K73" s="608"/>
      <c r="L73" s="607">
        <v>1360.98</v>
      </c>
      <c r="M73" s="601"/>
      <c r="N73" s="606"/>
      <c r="V73" s="674"/>
      <c r="W73" s="675"/>
      <c r="AB73" s="537" t="s">
        <v>318</v>
      </c>
      <c r="AC73" s="675"/>
      <c r="AD73" s="680"/>
    </row>
    <row r="74" spans="1:30" s="536" customFormat="1" ht="12" x14ac:dyDescent="0.2">
      <c r="A74" s="605"/>
      <c r="B74" s="552"/>
      <c r="C74" s="1822" t="s">
        <v>319</v>
      </c>
      <c r="D74" s="1822"/>
      <c r="E74" s="1822"/>
      <c r="F74" s="562"/>
      <c r="G74" s="562"/>
      <c r="H74" s="562"/>
      <c r="I74" s="562"/>
      <c r="J74" s="604"/>
      <c r="K74" s="562"/>
      <c r="L74" s="604">
        <v>1050.5</v>
      </c>
      <c r="M74" s="603"/>
      <c r="N74" s="602"/>
      <c r="V74" s="674"/>
      <c r="W74" s="675"/>
      <c r="AA74" s="537" t="s">
        <v>319</v>
      </c>
      <c r="AC74" s="675"/>
      <c r="AD74" s="680"/>
    </row>
    <row r="75" spans="1:30" s="536" customFormat="1" ht="33.75" x14ac:dyDescent="0.2">
      <c r="A75" s="605"/>
      <c r="B75" s="552" t="s">
        <v>533</v>
      </c>
      <c r="C75" s="1822" t="s">
        <v>534</v>
      </c>
      <c r="D75" s="1822"/>
      <c r="E75" s="1822"/>
      <c r="F75" s="562" t="s">
        <v>322</v>
      </c>
      <c r="G75" s="562" t="s">
        <v>535</v>
      </c>
      <c r="H75" s="562"/>
      <c r="I75" s="562" t="s">
        <v>535</v>
      </c>
      <c r="J75" s="604"/>
      <c r="K75" s="562"/>
      <c r="L75" s="604">
        <v>1229.0899999999999</v>
      </c>
      <c r="M75" s="603"/>
      <c r="N75" s="602"/>
      <c r="V75" s="674"/>
      <c r="W75" s="675"/>
      <c r="AA75" s="537" t="s">
        <v>534</v>
      </c>
      <c r="AC75" s="675"/>
      <c r="AD75" s="680"/>
    </row>
    <row r="76" spans="1:30" s="536" customFormat="1" ht="33.75" x14ac:dyDescent="0.2">
      <c r="A76" s="605"/>
      <c r="B76" s="552" t="s">
        <v>536</v>
      </c>
      <c r="C76" s="1822" t="s">
        <v>537</v>
      </c>
      <c r="D76" s="1822"/>
      <c r="E76" s="1822"/>
      <c r="F76" s="562" t="s">
        <v>322</v>
      </c>
      <c r="G76" s="562" t="s">
        <v>538</v>
      </c>
      <c r="H76" s="562"/>
      <c r="I76" s="562" t="s">
        <v>538</v>
      </c>
      <c r="J76" s="604"/>
      <c r="K76" s="562"/>
      <c r="L76" s="604">
        <v>777.37</v>
      </c>
      <c r="M76" s="603"/>
      <c r="N76" s="602"/>
      <c r="V76" s="674"/>
      <c r="W76" s="675"/>
      <c r="AA76" s="537" t="s">
        <v>537</v>
      </c>
      <c r="AC76" s="675"/>
      <c r="AD76" s="680"/>
    </row>
    <row r="77" spans="1:30" s="536" customFormat="1" ht="12" x14ac:dyDescent="0.2">
      <c r="A77" s="569"/>
      <c r="B77" s="671"/>
      <c r="C77" s="1823" t="s">
        <v>327</v>
      </c>
      <c r="D77" s="1823"/>
      <c r="E77" s="1823"/>
      <c r="F77" s="573"/>
      <c r="G77" s="573"/>
      <c r="H77" s="573"/>
      <c r="I77" s="573"/>
      <c r="J77" s="572"/>
      <c r="K77" s="573"/>
      <c r="L77" s="572">
        <v>3367.44</v>
      </c>
      <c r="M77" s="601"/>
      <c r="N77" s="570"/>
      <c r="V77" s="674"/>
      <c r="W77" s="675"/>
      <c r="AC77" s="675" t="s">
        <v>327</v>
      </c>
      <c r="AD77" s="680"/>
    </row>
    <row r="78" spans="1:30" s="536" customFormat="1" ht="33.75" x14ac:dyDescent="0.2">
      <c r="A78" s="575" t="s">
        <v>189</v>
      </c>
      <c r="B78" s="670" t="s">
        <v>1095</v>
      </c>
      <c r="C78" s="1823" t="s">
        <v>1096</v>
      </c>
      <c r="D78" s="1823"/>
      <c r="E78" s="1823"/>
      <c r="F78" s="573" t="s">
        <v>641</v>
      </c>
      <c r="G78" s="573"/>
      <c r="H78" s="573"/>
      <c r="I78" s="573" t="s">
        <v>8855</v>
      </c>
      <c r="J78" s="572">
        <v>55.26</v>
      </c>
      <c r="K78" s="573"/>
      <c r="L78" s="572">
        <v>5902.32</v>
      </c>
      <c r="M78" s="571"/>
      <c r="N78" s="570"/>
      <c r="V78" s="674"/>
      <c r="W78" s="675" t="s">
        <v>1096</v>
      </c>
      <c r="AC78" s="675"/>
      <c r="AD78" s="680"/>
    </row>
    <row r="79" spans="1:30" s="536" customFormat="1" ht="12" x14ac:dyDescent="0.2">
      <c r="A79" s="569"/>
      <c r="B79" s="671"/>
      <c r="C79" s="665" t="s">
        <v>717</v>
      </c>
      <c r="D79" s="666"/>
      <c r="E79" s="666"/>
      <c r="F79" s="563"/>
      <c r="G79" s="563"/>
      <c r="H79" s="563"/>
      <c r="I79" s="563"/>
      <c r="J79" s="566"/>
      <c r="K79" s="563"/>
      <c r="L79" s="566"/>
      <c r="M79" s="565"/>
      <c r="N79" s="564"/>
      <c r="V79" s="674"/>
      <c r="W79" s="675"/>
      <c r="AC79" s="675"/>
      <c r="AD79" s="680"/>
    </row>
    <row r="80" spans="1:30" s="536" customFormat="1" ht="45" x14ac:dyDescent="0.2">
      <c r="A80" s="575" t="s">
        <v>190</v>
      </c>
      <c r="B80" s="670" t="s">
        <v>503</v>
      </c>
      <c r="C80" s="1823" t="s">
        <v>504</v>
      </c>
      <c r="D80" s="1823"/>
      <c r="E80" s="1823"/>
      <c r="F80" s="573" t="s">
        <v>455</v>
      </c>
      <c r="G80" s="573"/>
      <c r="H80" s="573"/>
      <c r="I80" s="573" t="s">
        <v>8850</v>
      </c>
      <c r="J80" s="572"/>
      <c r="K80" s="573"/>
      <c r="L80" s="572"/>
      <c r="M80" s="571"/>
      <c r="N80" s="570"/>
      <c r="V80" s="674"/>
      <c r="W80" s="675" t="s">
        <v>504</v>
      </c>
      <c r="AC80" s="675"/>
      <c r="AD80" s="680"/>
    </row>
    <row r="81" spans="1:30" s="536" customFormat="1" ht="12" x14ac:dyDescent="0.2">
      <c r="A81" s="676"/>
      <c r="B81" s="664"/>
      <c r="C81" s="1822" t="s">
        <v>8858</v>
      </c>
      <c r="D81" s="1822"/>
      <c r="E81" s="1822"/>
      <c r="F81" s="1822"/>
      <c r="G81" s="1822"/>
      <c r="H81" s="1822"/>
      <c r="I81" s="1822"/>
      <c r="J81" s="1822"/>
      <c r="K81" s="1822"/>
      <c r="L81" s="1822"/>
      <c r="M81" s="1822"/>
      <c r="N81" s="1827"/>
      <c r="V81" s="674"/>
      <c r="W81" s="675"/>
      <c r="X81" s="537" t="s">
        <v>8858</v>
      </c>
      <c r="AC81" s="675"/>
      <c r="AD81" s="680"/>
    </row>
    <row r="82" spans="1:30" s="536" customFormat="1" ht="22.5" x14ac:dyDescent="0.2">
      <c r="A82" s="609"/>
      <c r="B82" s="552" t="s">
        <v>499</v>
      </c>
      <c r="C82" s="1822" t="s">
        <v>500</v>
      </c>
      <c r="D82" s="1822"/>
      <c r="E82" s="1822"/>
      <c r="F82" s="1822"/>
      <c r="G82" s="1822"/>
      <c r="H82" s="1822"/>
      <c r="I82" s="1822"/>
      <c r="J82" s="1822"/>
      <c r="K82" s="1822"/>
      <c r="L82" s="1822"/>
      <c r="M82" s="1822"/>
      <c r="N82" s="1827"/>
      <c r="V82" s="674"/>
      <c r="W82" s="675"/>
      <c r="Y82" s="537" t="s">
        <v>500</v>
      </c>
      <c r="AC82" s="675"/>
      <c r="AD82" s="680"/>
    </row>
    <row r="83" spans="1:30" s="536" customFormat="1" ht="12" x14ac:dyDescent="0.2">
      <c r="A83" s="605"/>
      <c r="B83" s="552" t="s">
        <v>186</v>
      </c>
      <c r="C83" s="1822" t="s">
        <v>344</v>
      </c>
      <c r="D83" s="1822"/>
      <c r="E83" s="1822"/>
      <c r="F83" s="562"/>
      <c r="G83" s="562"/>
      <c r="H83" s="562"/>
      <c r="I83" s="562"/>
      <c r="J83" s="604">
        <v>3803.91</v>
      </c>
      <c r="K83" s="562" t="s">
        <v>313</v>
      </c>
      <c r="L83" s="604">
        <v>16714.38</v>
      </c>
      <c r="M83" s="603"/>
      <c r="N83" s="602"/>
      <c r="V83" s="674"/>
      <c r="W83" s="675"/>
      <c r="Z83" s="537" t="s">
        <v>344</v>
      </c>
      <c r="AC83" s="675"/>
      <c r="AD83" s="680"/>
    </row>
    <row r="84" spans="1:30" s="536" customFormat="1" ht="12" x14ac:dyDescent="0.2">
      <c r="A84" s="605"/>
      <c r="B84" s="552" t="s">
        <v>187</v>
      </c>
      <c r="C84" s="1822" t="s">
        <v>345</v>
      </c>
      <c r="D84" s="1822"/>
      <c r="E84" s="1822"/>
      <c r="F84" s="562"/>
      <c r="G84" s="562"/>
      <c r="H84" s="562"/>
      <c r="I84" s="562"/>
      <c r="J84" s="604">
        <v>445.5</v>
      </c>
      <c r="K84" s="562" t="s">
        <v>313</v>
      </c>
      <c r="L84" s="604">
        <v>1957.53</v>
      </c>
      <c r="M84" s="603"/>
      <c r="N84" s="602"/>
      <c r="V84" s="674"/>
      <c r="W84" s="675"/>
      <c r="Z84" s="537" t="s">
        <v>345</v>
      </c>
      <c r="AC84" s="675"/>
      <c r="AD84" s="680"/>
    </row>
    <row r="85" spans="1:30" s="536" customFormat="1" ht="12" x14ac:dyDescent="0.2">
      <c r="A85" s="605"/>
      <c r="B85" s="552"/>
      <c r="C85" s="1822" t="s">
        <v>348</v>
      </c>
      <c r="D85" s="1822"/>
      <c r="E85" s="1822"/>
      <c r="F85" s="562" t="s">
        <v>315</v>
      </c>
      <c r="G85" s="562" t="s">
        <v>505</v>
      </c>
      <c r="H85" s="562" t="s">
        <v>313</v>
      </c>
      <c r="I85" s="562" t="s">
        <v>8859</v>
      </c>
      <c r="J85" s="604"/>
      <c r="K85" s="562"/>
      <c r="L85" s="604"/>
      <c r="M85" s="603"/>
      <c r="N85" s="602"/>
      <c r="V85" s="674"/>
      <c r="W85" s="675"/>
      <c r="AA85" s="537" t="s">
        <v>348</v>
      </c>
      <c r="AC85" s="675"/>
      <c r="AD85" s="680"/>
    </row>
    <row r="86" spans="1:30" s="536" customFormat="1" ht="12" x14ac:dyDescent="0.2">
      <c r="A86" s="605"/>
      <c r="B86" s="552"/>
      <c r="C86" s="1828" t="s">
        <v>318</v>
      </c>
      <c r="D86" s="1828"/>
      <c r="E86" s="1828"/>
      <c r="F86" s="608"/>
      <c r="G86" s="608"/>
      <c r="H86" s="608"/>
      <c r="I86" s="608"/>
      <c r="J86" s="607">
        <v>3803.91</v>
      </c>
      <c r="K86" s="608"/>
      <c r="L86" s="607">
        <v>16714.38</v>
      </c>
      <c r="M86" s="601"/>
      <c r="N86" s="606"/>
      <c r="V86" s="674"/>
      <c r="W86" s="675"/>
      <c r="AB86" s="537" t="s">
        <v>318</v>
      </c>
      <c r="AC86" s="675"/>
      <c r="AD86" s="680"/>
    </row>
    <row r="87" spans="1:30" s="536" customFormat="1" ht="12" x14ac:dyDescent="0.2">
      <c r="A87" s="605"/>
      <c r="B87" s="552"/>
      <c r="C87" s="1822" t="s">
        <v>319</v>
      </c>
      <c r="D87" s="1822"/>
      <c r="E87" s="1822"/>
      <c r="F87" s="562"/>
      <c r="G87" s="562"/>
      <c r="H87" s="562"/>
      <c r="I87" s="562"/>
      <c r="J87" s="604"/>
      <c r="K87" s="562"/>
      <c r="L87" s="604">
        <v>1957.53</v>
      </c>
      <c r="M87" s="603"/>
      <c r="N87" s="602"/>
      <c r="V87" s="674"/>
      <c r="W87" s="675"/>
      <c r="AA87" s="537" t="s">
        <v>319</v>
      </c>
      <c r="AC87" s="675"/>
      <c r="AD87" s="680"/>
    </row>
    <row r="88" spans="1:30" s="536" customFormat="1" ht="33.75" x14ac:dyDescent="0.2">
      <c r="A88" s="605"/>
      <c r="B88" s="552" t="s">
        <v>460</v>
      </c>
      <c r="C88" s="1822" t="s">
        <v>461</v>
      </c>
      <c r="D88" s="1822"/>
      <c r="E88" s="1822"/>
      <c r="F88" s="562" t="s">
        <v>322</v>
      </c>
      <c r="G88" s="562" t="s">
        <v>462</v>
      </c>
      <c r="H88" s="562"/>
      <c r="I88" s="562" t="s">
        <v>462</v>
      </c>
      <c r="J88" s="604"/>
      <c r="K88" s="562"/>
      <c r="L88" s="604">
        <v>1800.93</v>
      </c>
      <c r="M88" s="603"/>
      <c r="N88" s="602"/>
      <c r="V88" s="674"/>
      <c r="W88" s="675"/>
      <c r="AA88" s="537" t="s">
        <v>461</v>
      </c>
      <c r="AC88" s="675"/>
      <c r="AD88" s="680"/>
    </row>
    <row r="89" spans="1:30" s="536" customFormat="1" ht="33.75" x14ac:dyDescent="0.2">
      <c r="A89" s="605"/>
      <c r="B89" s="552" t="s">
        <v>463</v>
      </c>
      <c r="C89" s="1822" t="s">
        <v>464</v>
      </c>
      <c r="D89" s="1822"/>
      <c r="E89" s="1822"/>
      <c r="F89" s="562" t="s">
        <v>322</v>
      </c>
      <c r="G89" s="562" t="s">
        <v>465</v>
      </c>
      <c r="H89" s="562"/>
      <c r="I89" s="562" t="s">
        <v>465</v>
      </c>
      <c r="J89" s="604"/>
      <c r="K89" s="562"/>
      <c r="L89" s="604">
        <v>900.46</v>
      </c>
      <c r="M89" s="603"/>
      <c r="N89" s="602"/>
      <c r="V89" s="674"/>
      <c r="W89" s="675"/>
      <c r="AA89" s="537" t="s">
        <v>464</v>
      </c>
      <c r="AC89" s="675"/>
      <c r="AD89" s="680"/>
    </row>
    <row r="90" spans="1:30" s="536" customFormat="1" ht="12" x14ac:dyDescent="0.2">
      <c r="A90" s="569"/>
      <c r="B90" s="671"/>
      <c r="C90" s="1823" t="s">
        <v>327</v>
      </c>
      <c r="D90" s="1823"/>
      <c r="E90" s="1823"/>
      <c r="F90" s="573"/>
      <c r="G90" s="573"/>
      <c r="H90" s="573"/>
      <c r="I90" s="573"/>
      <c r="J90" s="572"/>
      <c r="K90" s="573"/>
      <c r="L90" s="572">
        <v>19415.77</v>
      </c>
      <c r="M90" s="601"/>
      <c r="N90" s="570"/>
      <c r="V90" s="674"/>
      <c r="W90" s="675"/>
      <c r="AC90" s="675" t="s">
        <v>327</v>
      </c>
      <c r="AD90" s="680"/>
    </row>
    <row r="91" spans="1:30" s="536" customFormat="1" ht="22.5" x14ac:dyDescent="0.2">
      <c r="A91" s="575" t="s">
        <v>191</v>
      </c>
      <c r="B91" s="670" t="s">
        <v>507</v>
      </c>
      <c r="C91" s="1823" t="s">
        <v>508</v>
      </c>
      <c r="D91" s="1823"/>
      <c r="E91" s="1823"/>
      <c r="F91" s="573" t="s">
        <v>509</v>
      </c>
      <c r="G91" s="573"/>
      <c r="H91" s="573"/>
      <c r="I91" s="573" t="s">
        <v>8860</v>
      </c>
      <c r="J91" s="572"/>
      <c r="K91" s="573"/>
      <c r="L91" s="572"/>
      <c r="M91" s="571"/>
      <c r="N91" s="570"/>
      <c r="V91" s="674"/>
      <c r="W91" s="675" t="s">
        <v>508</v>
      </c>
      <c r="AC91" s="675"/>
      <c r="AD91" s="680"/>
    </row>
    <row r="92" spans="1:30" s="536" customFormat="1" ht="12" x14ac:dyDescent="0.2">
      <c r="A92" s="676"/>
      <c r="B92" s="664"/>
      <c r="C92" s="1822" t="s">
        <v>8861</v>
      </c>
      <c r="D92" s="1822"/>
      <c r="E92" s="1822"/>
      <c r="F92" s="1822"/>
      <c r="G92" s="1822"/>
      <c r="H92" s="1822"/>
      <c r="I92" s="1822"/>
      <c r="J92" s="1822"/>
      <c r="K92" s="1822"/>
      <c r="L92" s="1822"/>
      <c r="M92" s="1822"/>
      <c r="N92" s="1827"/>
      <c r="V92" s="674"/>
      <c r="W92" s="675"/>
      <c r="X92" s="537" t="s">
        <v>8861</v>
      </c>
      <c r="AC92" s="675"/>
      <c r="AD92" s="680"/>
    </row>
    <row r="93" spans="1:30" s="536" customFormat="1" ht="22.5" x14ac:dyDescent="0.2">
      <c r="A93" s="609"/>
      <c r="B93" s="552" t="s">
        <v>499</v>
      </c>
      <c r="C93" s="1822" t="s">
        <v>500</v>
      </c>
      <c r="D93" s="1822"/>
      <c r="E93" s="1822"/>
      <c r="F93" s="1822"/>
      <c r="G93" s="1822"/>
      <c r="H93" s="1822"/>
      <c r="I93" s="1822"/>
      <c r="J93" s="1822"/>
      <c r="K93" s="1822"/>
      <c r="L93" s="1822"/>
      <c r="M93" s="1822"/>
      <c r="N93" s="1827"/>
      <c r="V93" s="674"/>
      <c r="W93" s="675"/>
      <c r="Y93" s="537" t="s">
        <v>500</v>
      </c>
      <c r="AC93" s="675"/>
      <c r="AD93" s="680"/>
    </row>
    <row r="94" spans="1:30" s="536" customFormat="1" ht="12" x14ac:dyDescent="0.2">
      <c r="A94" s="605"/>
      <c r="B94" s="552" t="s">
        <v>185</v>
      </c>
      <c r="C94" s="1822" t="s">
        <v>312</v>
      </c>
      <c r="D94" s="1822"/>
      <c r="E94" s="1822"/>
      <c r="F94" s="562"/>
      <c r="G94" s="562"/>
      <c r="H94" s="562"/>
      <c r="I94" s="562"/>
      <c r="J94" s="604">
        <v>127.61</v>
      </c>
      <c r="K94" s="562" t="s">
        <v>313</v>
      </c>
      <c r="L94" s="604">
        <v>5607.18</v>
      </c>
      <c r="M94" s="603"/>
      <c r="N94" s="602"/>
      <c r="V94" s="674"/>
      <c r="W94" s="675"/>
      <c r="Z94" s="537" t="s">
        <v>312</v>
      </c>
      <c r="AC94" s="675"/>
      <c r="AD94" s="680"/>
    </row>
    <row r="95" spans="1:30" s="536" customFormat="1" ht="12" x14ac:dyDescent="0.2">
      <c r="A95" s="605"/>
      <c r="B95" s="552" t="s">
        <v>186</v>
      </c>
      <c r="C95" s="1822" t="s">
        <v>344</v>
      </c>
      <c r="D95" s="1822"/>
      <c r="E95" s="1822"/>
      <c r="F95" s="562"/>
      <c r="G95" s="562"/>
      <c r="H95" s="562"/>
      <c r="I95" s="562"/>
      <c r="J95" s="604">
        <v>288.58</v>
      </c>
      <c r="K95" s="562" t="s">
        <v>313</v>
      </c>
      <c r="L95" s="604">
        <v>12680.21</v>
      </c>
      <c r="M95" s="603"/>
      <c r="N95" s="602"/>
      <c r="V95" s="674"/>
      <c r="W95" s="675"/>
      <c r="Z95" s="537" t="s">
        <v>344</v>
      </c>
      <c r="AC95" s="675"/>
      <c r="AD95" s="680"/>
    </row>
    <row r="96" spans="1:30" s="536" customFormat="1" ht="12" x14ac:dyDescent="0.2">
      <c r="A96" s="605"/>
      <c r="B96" s="552" t="s">
        <v>187</v>
      </c>
      <c r="C96" s="1822" t="s">
        <v>345</v>
      </c>
      <c r="D96" s="1822"/>
      <c r="E96" s="1822"/>
      <c r="F96" s="562"/>
      <c r="G96" s="562"/>
      <c r="H96" s="562"/>
      <c r="I96" s="562"/>
      <c r="J96" s="604">
        <v>31.49</v>
      </c>
      <c r="K96" s="562" t="s">
        <v>313</v>
      </c>
      <c r="L96" s="604">
        <v>1383.67</v>
      </c>
      <c r="M96" s="603"/>
      <c r="N96" s="602"/>
      <c r="V96" s="674"/>
      <c r="W96" s="675"/>
      <c r="Z96" s="537" t="s">
        <v>345</v>
      </c>
      <c r="AC96" s="675"/>
      <c r="AD96" s="680"/>
    </row>
    <row r="97" spans="1:32" s="536" customFormat="1" ht="12" x14ac:dyDescent="0.2">
      <c r="A97" s="605"/>
      <c r="B97" s="552"/>
      <c r="C97" s="1822" t="s">
        <v>314</v>
      </c>
      <c r="D97" s="1822"/>
      <c r="E97" s="1822"/>
      <c r="F97" s="562" t="s">
        <v>315</v>
      </c>
      <c r="G97" s="562" t="s">
        <v>512</v>
      </c>
      <c r="H97" s="562" t="s">
        <v>313</v>
      </c>
      <c r="I97" s="562" t="s">
        <v>8862</v>
      </c>
      <c r="J97" s="604"/>
      <c r="K97" s="562"/>
      <c r="L97" s="604"/>
      <c r="M97" s="603"/>
      <c r="N97" s="602"/>
      <c r="V97" s="674"/>
      <c r="W97" s="675"/>
      <c r="AA97" s="537" t="s">
        <v>314</v>
      </c>
      <c r="AC97" s="675"/>
      <c r="AD97" s="680"/>
    </row>
    <row r="98" spans="1:32" s="536" customFormat="1" ht="12" x14ac:dyDescent="0.2">
      <c r="A98" s="605"/>
      <c r="B98" s="552"/>
      <c r="C98" s="1822" t="s">
        <v>348</v>
      </c>
      <c r="D98" s="1822"/>
      <c r="E98" s="1822"/>
      <c r="F98" s="562" t="s">
        <v>315</v>
      </c>
      <c r="G98" s="562" t="s">
        <v>514</v>
      </c>
      <c r="H98" s="562" t="s">
        <v>313</v>
      </c>
      <c r="I98" s="562" t="s">
        <v>8863</v>
      </c>
      <c r="J98" s="604"/>
      <c r="K98" s="562"/>
      <c r="L98" s="604"/>
      <c r="M98" s="603"/>
      <c r="N98" s="602"/>
      <c r="V98" s="674"/>
      <c r="W98" s="675"/>
      <c r="AA98" s="537" t="s">
        <v>348</v>
      </c>
      <c r="AC98" s="675"/>
      <c r="AD98" s="680"/>
    </row>
    <row r="99" spans="1:32" s="536" customFormat="1" ht="12" x14ac:dyDescent="0.2">
      <c r="A99" s="605"/>
      <c r="B99" s="552"/>
      <c r="C99" s="1828" t="s">
        <v>318</v>
      </c>
      <c r="D99" s="1828"/>
      <c r="E99" s="1828"/>
      <c r="F99" s="608"/>
      <c r="G99" s="608"/>
      <c r="H99" s="608"/>
      <c r="I99" s="608"/>
      <c r="J99" s="607">
        <v>416.19</v>
      </c>
      <c r="K99" s="608"/>
      <c r="L99" s="607">
        <v>18287.39</v>
      </c>
      <c r="M99" s="601"/>
      <c r="N99" s="606"/>
      <c r="V99" s="674"/>
      <c r="W99" s="675"/>
      <c r="AB99" s="537" t="s">
        <v>318</v>
      </c>
      <c r="AC99" s="675"/>
      <c r="AD99" s="680"/>
    </row>
    <row r="100" spans="1:32" s="536" customFormat="1" ht="12" x14ac:dyDescent="0.2">
      <c r="A100" s="605"/>
      <c r="B100" s="552"/>
      <c r="C100" s="1822" t="s">
        <v>319</v>
      </c>
      <c r="D100" s="1822"/>
      <c r="E100" s="1822"/>
      <c r="F100" s="562"/>
      <c r="G100" s="562"/>
      <c r="H100" s="562"/>
      <c r="I100" s="562"/>
      <c r="J100" s="604"/>
      <c r="K100" s="562"/>
      <c r="L100" s="604">
        <v>6990.85</v>
      </c>
      <c r="M100" s="603"/>
      <c r="N100" s="602"/>
      <c r="V100" s="674"/>
      <c r="W100" s="675"/>
      <c r="AA100" s="537" t="s">
        <v>319</v>
      </c>
      <c r="AC100" s="675"/>
      <c r="AD100" s="680"/>
    </row>
    <row r="101" spans="1:32" s="536" customFormat="1" ht="33.75" x14ac:dyDescent="0.2">
      <c r="A101" s="605"/>
      <c r="B101" s="552" t="s">
        <v>460</v>
      </c>
      <c r="C101" s="1822" t="s">
        <v>461</v>
      </c>
      <c r="D101" s="1822"/>
      <c r="E101" s="1822"/>
      <c r="F101" s="562" t="s">
        <v>322</v>
      </c>
      <c r="G101" s="562" t="s">
        <v>462</v>
      </c>
      <c r="H101" s="562"/>
      <c r="I101" s="562" t="s">
        <v>462</v>
      </c>
      <c r="J101" s="604"/>
      <c r="K101" s="562"/>
      <c r="L101" s="604">
        <v>6431.58</v>
      </c>
      <c r="M101" s="603"/>
      <c r="N101" s="602"/>
      <c r="V101" s="674"/>
      <c r="W101" s="675"/>
      <c r="AA101" s="537" t="s">
        <v>461</v>
      </c>
      <c r="AC101" s="675"/>
      <c r="AD101" s="680"/>
    </row>
    <row r="102" spans="1:32" s="536" customFormat="1" ht="33.75" x14ac:dyDescent="0.2">
      <c r="A102" s="605"/>
      <c r="B102" s="552" t="s">
        <v>463</v>
      </c>
      <c r="C102" s="1822" t="s">
        <v>464</v>
      </c>
      <c r="D102" s="1822"/>
      <c r="E102" s="1822"/>
      <c r="F102" s="562" t="s">
        <v>322</v>
      </c>
      <c r="G102" s="562" t="s">
        <v>465</v>
      </c>
      <c r="H102" s="562"/>
      <c r="I102" s="562" t="s">
        <v>465</v>
      </c>
      <c r="J102" s="604"/>
      <c r="K102" s="562"/>
      <c r="L102" s="604">
        <v>3215.79</v>
      </c>
      <c r="M102" s="603"/>
      <c r="N102" s="602"/>
      <c r="V102" s="674"/>
      <c r="W102" s="675"/>
      <c r="AA102" s="537" t="s">
        <v>464</v>
      </c>
      <c r="AC102" s="675"/>
      <c r="AD102" s="680"/>
    </row>
    <row r="103" spans="1:32" s="536" customFormat="1" ht="12" x14ac:dyDescent="0.2">
      <c r="A103" s="569"/>
      <c r="B103" s="671"/>
      <c r="C103" s="1823" t="s">
        <v>327</v>
      </c>
      <c r="D103" s="1823"/>
      <c r="E103" s="1823"/>
      <c r="F103" s="573"/>
      <c r="G103" s="573"/>
      <c r="H103" s="573"/>
      <c r="I103" s="573"/>
      <c r="J103" s="572"/>
      <c r="K103" s="573"/>
      <c r="L103" s="572">
        <v>27934.76</v>
      </c>
      <c r="M103" s="601"/>
      <c r="N103" s="570"/>
      <c r="V103" s="674"/>
      <c r="W103" s="675"/>
      <c r="AC103" s="675" t="s">
        <v>327</v>
      </c>
      <c r="AD103" s="680"/>
    </row>
    <row r="104" spans="1:32" s="536" customFormat="1" ht="1.5" customHeight="1" x14ac:dyDescent="0.2">
      <c r="A104" s="563"/>
      <c r="B104" s="671"/>
      <c r="C104" s="671"/>
      <c r="D104" s="671"/>
      <c r="E104" s="671"/>
      <c r="F104" s="563"/>
      <c r="G104" s="563"/>
      <c r="H104" s="563"/>
      <c r="I104" s="563"/>
      <c r="J104" s="546"/>
      <c r="K104" s="563"/>
      <c r="L104" s="546"/>
      <c r="M104" s="562"/>
      <c r="N104" s="546"/>
      <c r="V104" s="674"/>
      <c r="W104" s="675"/>
      <c r="AC104" s="675"/>
      <c r="AD104" s="680"/>
    </row>
    <row r="105" spans="1:32" s="536" customFormat="1" ht="12" x14ac:dyDescent="0.2">
      <c r="A105" s="557"/>
      <c r="B105" s="556"/>
      <c r="C105" s="1823" t="s">
        <v>1021</v>
      </c>
      <c r="D105" s="1823"/>
      <c r="E105" s="1823"/>
      <c r="F105" s="1823"/>
      <c r="G105" s="1823"/>
      <c r="H105" s="1823"/>
      <c r="I105" s="1823"/>
      <c r="J105" s="1823"/>
      <c r="K105" s="1823"/>
      <c r="L105" s="555"/>
      <c r="M105" s="554"/>
      <c r="N105" s="553"/>
      <c r="V105" s="674"/>
      <c r="W105" s="675"/>
      <c r="AC105" s="675"/>
      <c r="AD105" s="680"/>
      <c r="AE105" s="675" t="s">
        <v>1021</v>
      </c>
    </row>
    <row r="106" spans="1:32" s="536" customFormat="1" ht="12" x14ac:dyDescent="0.2">
      <c r="A106" s="548"/>
      <c r="B106" s="552"/>
      <c r="C106" s="1822" t="s">
        <v>403</v>
      </c>
      <c r="D106" s="1822"/>
      <c r="E106" s="1822"/>
      <c r="F106" s="1822"/>
      <c r="G106" s="1822"/>
      <c r="H106" s="1822"/>
      <c r="I106" s="1822"/>
      <c r="J106" s="1822"/>
      <c r="K106" s="1822"/>
      <c r="L106" s="551">
        <v>67848.149999999994</v>
      </c>
      <c r="M106" s="550"/>
      <c r="N106" s="549"/>
      <c r="V106" s="674"/>
      <c r="W106" s="675"/>
      <c r="AC106" s="675"/>
      <c r="AD106" s="680"/>
      <c r="AE106" s="675"/>
      <c r="AF106" s="537" t="s">
        <v>403</v>
      </c>
    </row>
    <row r="107" spans="1:32" s="536" customFormat="1" ht="12" x14ac:dyDescent="0.2">
      <c r="A107" s="548"/>
      <c r="B107" s="552"/>
      <c r="C107" s="1822" t="s">
        <v>204</v>
      </c>
      <c r="D107" s="1822"/>
      <c r="E107" s="1822"/>
      <c r="F107" s="1822"/>
      <c r="G107" s="1822"/>
      <c r="H107" s="1822"/>
      <c r="I107" s="1822"/>
      <c r="J107" s="1822"/>
      <c r="K107" s="1822"/>
      <c r="L107" s="551"/>
      <c r="M107" s="550"/>
      <c r="N107" s="549"/>
      <c r="V107" s="674"/>
      <c r="W107" s="675"/>
      <c r="AC107" s="675"/>
      <c r="AD107" s="680"/>
      <c r="AE107" s="675"/>
      <c r="AF107" s="537" t="s">
        <v>204</v>
      </c>
    </row>
    <row r="108" spans="1:32" s="536" customFormat="1" ht="12" x14ac:dyDescent="0.2">
      <c r="A108" s="548"/>
      <c r="B108" s="552"/>
      <c r="C108" s="1822" t="s">
        <v>404</v>
      </c>
      <c r="D108" s="1822"/>
      <c r="E108" s="1822"/>
      <c r="F108" s="1822"/>
      <c r="G108" s="1822"/>
      <c r="H108" s="1822"/>
      <c r="I108" s="1822"/>
      <c r="J108" s="1822"/>
      <c r="K108" s="1822"/>
      <c r="L108" s="551">
        <v>6618.6</v>
      </c>
      <c r="M108" s="550"/>
      <c r="N108" s="549"/>
      <c r="V108" s="674"/>
      <c r="W108" s="675"/>
      <c r="AC108" s="675"/>
      <c r="AD108" s="680"/>
      <c r="AE108" s="675"/>
      <c r="AF108" s="537" t="s">
        <v>404</v>
      </c>
    </row>
    <row r="109" spans="1:32" s="536" customFormat="1" ht="12" x14ac:dyDescent="0.2">
      <c r="A109" s="548"/>
      <c r="B109" s="552"/>
      <c r="C109" s="1822" t="s">
        <v>405</v>
      </c>
      <c r="D109" s="1822"/>
      <c r="E109" s="1822"/>
      <c r="F109" s="1822"/>
      <c r="G109" s="1822"/>
      <c r="H109" s="1822"/>
      <c r="I109" s="1822"/>
      <c r="J109" s="1822"/>
      <c r="K109" s="1822"/>
      <c r="L109" s="551">
        <v>55327.23</v>
      </c>
      <c r="M109" s="550"/>
      <c r="N109" s="549"/>
      <c r="V109" s="674"/>
      <c r="W109" s="675"/>
      <c r="AC109" s="675"/>
      <c r="AD109" s="680"/>
      <c r="AE109" s="675"/>
      <c r="AF109" s="537" t="s">
        <v>405</v>
      </c>
    </row>
    <row r="110" spans="1:32" s="536" customFormat="1" ht="12" x14ac:dyDescent="0.2">
      <c r="A110" s="548"/>
      <c r="B110" s="552"/>
      <c r="C110" s="1822" t="s">
        <v>406</v>
      </c>
      <c r="D110" s="1822"/>
      <c r="E110" s="1822"/>
      <c r="F110" s="1822"/>
      <c r="G110" s="1822"/>
      <c r="H110" s="1822"/>
      <c r="I110" s="1822"/>
      <c r="J110" s="1822"/>
      <c r="K110" s="1822"/>
      <c r="L110" s="551">
        <v>6155.66</v>
      </c>
      <c r="M110" s="550"/>
      <c r="N110" s="549"/>
      <c r="V110" s="674"/>
      <c r="W110" s="675"/>
      <c r="AC110" s="675"/>
      <c r="AD110" s="680"/>
      <c r="AE110" s="675"/>
      <c r="AF110" s="537" t="s">
        <v>406</v>
      </c>
    </row>
    <row r="111" spans="1:32" s="536" customFormat="1" ht="12" x14ac:dyDescent="0.2">
      <c r="A111" s="548"/>
      <c r="B111" s="552"/>
      <c r="C111" s="1822" t="s">
        <v>480</v>
      </c>
      <c r="D111" s="1822"/>
      <c r="E111" s="1822"/>
      <c r="F111" s="1822"/>
      <c r="G111" s="1822"/>
      <c r="H111" s="1822"/>
      <c r="I111" s="1822"/>
      <c r="J111" s="1822"/>
      <c r="K111" s="1822"/>
      <c r="L111" s="551">
        <v>5902.32</v>
      </c>
      <c r="M111" s="550"/>
      <c r="N111" s="549"/>
      <c r="V111" s="674"/>
      <c r="W111" s="675"/>
      <c r="AC111" s="675"/>
      <c r="AD111" s="680"/>
      <c r="AE111" s="675"/>
      <c r="AF111" s="537" t="s">
        <v>480</v>
      </c>
    </row>
    <row r="112" spans="1:32" s="536" customFormat="1" ht="12" x14ac:dyDescent="0.2">
      <c r="A112" s="548"/>
      <c r="B112" s="552"/>
      <c r="C112" s="1822" t="s">
        <v>407</v>
      </c>
      <c r="D112" s="1822"/>
      <c r="E112" s="1822"/>
      <c r="F112" s="1822"/>
      <c r="G112" s="1822"/>
      <c r="H112" s="1822"/>
      <c r="I112" s="1822"/>
      <c r="J112" s="1822"/>
      <c r="K112" s="1822"/>
      <c r="L112" s="551">
        <v>86033.4</v>
      </c>
      <c r="M112" s="550"/>
      <c r="N112" s="549"/>
      <c r="V112" s="674"/>
      <c r="W112" s="675"/>
      <c r="AC112" s="675"/>
      <c r="AD112" s="680"/>
      <c r="AE112" s="675"/>
      <c r="AF112" s="537" t="s">
        <v>407</v>
      </c>
    </row>
    <row r="113" spans="1:33" s="536" customFormat="1" ht="12" x14ac:dyDescent="0.2">
      <c r="A113" s="548"/>
      <c r="B113" s="552"/>
      <c r="C113" s="1822" t="s">
        <v>408</v>
      </c>
      <c r="D113" s="1822"/>
      <c r="E113" s="1822"/>
      <c r="F113" s="1822"/>
      <c r="G113" s="1822"/>
      <c r="H113" s="1822"/>
      <c r="I113" s="1822"/>
      <c r="J113" s="1822"/>
      <c r="K113" s="1822"/>
      <c r="L113" s="551">
        <v>84147.98</v>
      </c>
      <c r="M113" s="550"/>
      <c r="N113" s="549"/>
      <c r="V113" s="674"/>
      <c r="W113" s="675"/>
      <c r="AC113" s="675"/>
      <c r="AD113" s="680"/>
      <c r="AE113" s="675"/>
      <c r="AF113" s="537" t="s">
        <v>408</v>
      </c>
    </row>
    <row r="114" spans="1:33" s="536" customFormat="1" ht="12" x14ac:dyDescent="0.2">
      <c r="A114" s="548"/>
      <c r="B114" s="552"/>
      <c r="C114" s="1822" t="s">
        <v>409</v>
      </c>
      <c r="D114" s="1822"/>
      <c r="E114" s="1822"/>
      <c r="F114" s="1822"/>
      <c r="G114" s="1822"/>
      <c r="H114" s="1822"/>
      <c r="I114" s="1822"/>
      <c r="J114" s="1822"/>
      <c r="K114" s="1822"/>
      <c r="L114" s="551"/>
      <c r="M114" s="550"/>
      <c r="N114" s="549"/>
      <c r="V114" s="674"/>
      <c r="W114" s="675"/>
      <c r="AC114" s="675"/>
      <c r="AD114" s="680"/>
      <c r="AE114" s="675"/>
      <c r="AF114" s="537" t="s">
        <v>409</v>
      </c>
    </row>
    <row r="115" spans="1:33" s="536" customFormat="1" ht="12" x14ac:dyDescent="0.2">
      <c r="A115" s="548"/>
      <c r="B115" s="552"/>
      <c r="C115" s="1822" t="s">
        <v>410</v>
      </c>
      <c r="D115" s="1822"/>
      <c r="E115" s="1822"/>
      <c r="F115" s="1822"/>
      <c r="G115" s="1822"/>
      <c r="H115" s="1822"/>
      <c r="I115" s="1822"/>
      <c r="J115" s="1822"/>
      <c r="K115" s="1822"/>
      <c r="L115" s="551">
        <v>6618.6</v>
      </c>
      <c r="M115" s="550"/>
      <c r="N115" s="549"/>
      <c r="V115" s="674"/>
      <c r="W115" s="675"/>
      <c r="AC115" s="675"/>
      <c r="AD115" s="680"/>
      <c r="AE115" s="675"/>
      <c r="AF115" s="537" t="s">
        <v>410</v>
      </c>
    </row>
    <row r="116" spans="1:33" s="536" customFormat="1" ht="12" x14ac:dyDescent="0.2">
      <c r="A116" s="548"/>
      <c r="B116" s="552"/>
      <c r="C116" s="1822" t="s">
        <v>411</v>
      </c>
      <c r="D116" s="1822"/>
      <c r="E116" s="1822"/>
      <c r="F116" s="1822"/>
      <c r="G116" s="1822"/>
      <c r="H116" s="1822"/>
      <c r="I116" s="1822"/>
      <c r="J116" s="1822"/>
      <c r="K116" s="1822"/>
      <c r="L116" s="551">
        <v>53441.81</v>
      </c>
      <c r="M116" s="550"/>
      <c r="N116" s="549"/>
      <c r="V116" s="674"/>
      <c r="W116" s="675"/>
      <c r="AC116" s="675"/>
      <c r="AD116" s="680"/>
      <c r="AE116" s="675"/>
      <c r="AF116" s="537" t="s">
        <v>411</v>
      </c>
    </row>
    <row r="117" spans="1:33" s="536" customFormat="1" ht="12" x14ac:dyDescent="0.2">
      <c r="A117" s="548"/>
      <c r="B117" s="552"/>
      <c r="C117" s="1822" t="s">
        <v>481</v>
      </c>
      <c r="D117" s="1822"/>
      <c r="E117" s="1822"/>
      <c r="F117" s="1822"/>
      <c r="G117" s="1822"/>
      <c r="H117" s="1822"/>
      <c r="I117" s="1822"/>
      <c r="J117" s="1822"/>
      <c r="K117" s="1822"/>
      <c r="L117" s="551">
        <v>5902.32</v>
      </c>
      <c r="M117" s="550"/>
      <c r="N117" s="549"/>
      <c r="V117" s="674"/>
      <c r="W117" s="675"/>
      <c r="AC117" s="675"/>
      <c r="AD117" s="680"/>
      <c r="AE117" s="675"/>
      <c r="AF117" s="537" t="s">
        <v>481</v>
      </c>
    </row>
    <row r="118" spans="1:33" s="536" customFormat="1" ht="12" x14ac:dyDescent="0.2">
      <c r="A118" s="548"/>
      <c r="B118" s="552"/>
      <c r="C118" s="1822" t="s">
        <v>412</v>
      </c>
      <c r="D118" s="1822"/>
      <c r="E118" s="1822"/>
      <c r="F118" s="1822"/>
      <c r="G118" s="1822"/>
      <c r="H118" s="1822"/>
      <c r="I118" s="1822"/>
      <c r="J118" s="1822"/>
      <c r="K118" s="1822"/>
      <c r="L118" s="551">
        <v>12014.95</v>
      </c>
      <c r="M118" s="550"/>
      <c r="N118" s="549"/>
      <c r="V118" s="674"/>
      <c r="W118" s="675"/>
      <c r="AC118" s="675"/>
      <c r="AD118" s="680"/>
      <c r="AE118" s="675"/>
      <c r="AF118" s="537" t="s">
        <v>412</v>
      </c>
    </row>
    <row r="119" spans="1:33" s="536" customFormat="1" ht="12" x14ac:dyDescent="0.2">
      <c r="A119" s="548"/>
      <c r="B119" s="552"/>
      <c r="C119" s="1822" t="s">
        <v>413</v>
      </c>
      <c r="D119" s="1822"/>
      <c r="E119" s="1822"/>
      <c r="F119" s="1822"/>
      <c r="G119" s="1822"/>
      <c r="H119" s="1822"/>
      <c r="I119" s="1822"/>
      <c r="J119" s="1822"/>
      <c r="K119" s="1822"/>
      <c r="L119" s="551">
        <v>6170.3</v>
      </c>
      <c r="M119" s="550"/>
      <c r="N119" s="549"/>
      <c r="V119" s="674"/>
      <c r="W119" s="675"/>
      <c r="AC119" s="675"/>
      <c r="AD119" s="680"/>
      <c r="AE119" s="675"/>
      <c r="AF119" s="537" t="s">
        <v>413</v>
      </c>
    </row>
    <row r="120" spans="1:33" s="536" customFormat="1" ht="12" x14ac:dyDescent="0.2">
      <c r="A120" s="548"/>
      <c r="B120" s="552"/>
      <c r="C120" s="1822" t="s">
        <v>414</v>
      </c>
      <c r="D120" s="1822"/>
      <c r="E120" s="1822"/>
      <c r="F120" s="1822"/>
      <c r="G120" s="1822"/>
      <c r="H120" s="1822"/>
      <c r="I120" s="1822"/>
      <c r="J120" s="1822"/>
      <c r="K120" s="1822"/>
      <c r="L120" s="551">
        <v>1885.42</v>
      </c>
      <c r="M120" s="550"/>
      <c r="N120" s="549"/>
      <c r="V120" s="674"/>
      <c r="W120" s="675"/>
      <c r="AC120" s="675"/>
      <c r="AD120" s="680"/>
      <c r="AE120" s="675"/>
      <c r="AF120" s="537" t="s">
        <v>414</v>
      </c>
    </row>
    <row r="121" spans="1:33" s="536" customFormat="1" ht="12" x14ac:dyDescent="0.2">
      <c r="A121" s="548"/>
      <c r="B121" s="552"/>
      <c r="C121" s="1822" t="s">
        <v>415</v>
      </c>
      <c r="D121" s="1822"/>
      <c r="E121" s="1822"/>
      <c r="F121" s="1822"/>
      <c r="G121" s="1822"/>
      <c r="H121" s="1822"/>
      <c r="I121" s="1822"/>
      <c r="J121" s="1822"/>
      <c r="K121" s="1822"/>
      <c r="L121" s="551">
        <v>12774.26</v>
      </c>
      <c r="M121" s="550"/>
      <c r="N121" s="549"/>
      <c r="V121" s="674"/>
      <c r="W121" s="675"/>
      <c r="AC121" s="675"/>
      <c r="AD121" s="680"/>
      <c r="AE121" s="675"/>
      <c r="AF121" s="537" t="s">
        <v>415</v>
      </c>
    </row>
    <row r="122" spans="1:33" s="536" customFormat="1" ht="12" x14ac:dyDescent="0.2">
      <c r="A122" s="548"/>
      <c r="B122" s="552"/>
      <c r="C122" s="1822" t="s">
        <v>416</v>
      </c>
      <c r="D122" s="1822"/>
      <c r="E122" s="1822"/>
      <c r="F122" s="1822"/>
      <c r="G122" s="1822"/>
      <c r="H122" s="1822"/>
      <c r="I122" s="1822"/>
      <c r="J122" s="1822"/>
      <c r="K122" s="1822"/>
      <c r="L122" s="551">
        <v>12014.95</v>
      </c>
      <c r="M122" s="550"/>
      <c r="N122" s="549"/>
      <c r="V122" s="674"/>
      <c r="W122" s="675"/>
      <c r="AC122" s="675"/>
      <c r="AD122" s="680"/>
      <c r="AE122" s="675"/>
      <c r="AF122" s="537" t="s">
        <v>416</v>
      </c>
    </row>
    <row r="123" spans="1:33" s="536" customFormat="1" ht="12" x14ac:dyDescent="0.2">
      <c r="A123" s="548"/>
      <c r="B123" s="552"/>
      <c r="C123" s="1822" t="s">
        <v>417</v>
      </c>
      <c r="D123" s="1822"/>
      <c r="E123" s="1822"/>
      <c r="F123" s="1822"/>
      <c r="G123" s="1822"/>
      <c r="H123" s="1822"/>
      <c r="I123" s="1822"/>
      <c r="J123" s="1822"/>
      <c r="K123" s="1822"/>
      <c r="L123" s="551">
        <v>6170.3</v>
      </c>
      <c r="M123" s="550"/>
      <c r="N123" s="549"/>
      <c r="V123" s="674"/>
      <c r="W123" s="675"/>
      <c r="AC123" s="675"/>
      <c r="AD123" s="680"/>
      <c r="AE123" s="675"/>
      <c r="AF123" s="537" t="s">
        <v>417</v>
      </c>
    </row>
    <row r="124" spans="1:33" s="536" customFormat="1" ht="12" x14ac:dyDescent="0.2">
      <c r="A124" s="548"/>
      <c r="B124" s="546"/>
      <c r="C124" s="1819" t="s">
        <v>1022</v>
      </c>
      <c r="D124" s="1819"/>
      <c r="E124" s="1819"/>
      <c r="F124" s="1819"/>
      <c r="G124" s="1819"/>
      <c r="H124" s="1819"/>
      <c r="I124" s="1819"/>
      <c r="J124" s="1819"/>
      <c r="K124" s="1819"/>
      <c r="L124" s="544">
        <v>86033.4</v>
      </c>
      <c r="M124" s="543"/>
      <c r="N124" s="681"/>
      <c r="V124" s="674"/>
      <c r="W124" s="675"/>
      <c r="AC124" s="675"/>
      <c r="AD124" s="680"/>
      <c r="AE124" s="675"/>
      <c r="AG124" s="675" t="s">
        <v>1022</v>
      </c>
    </row>
    <row r="125" spans="1:33" s="536" customFormat="1" ht="12" x14ac:dyDescent="0.2">
      <c r="A125" s="1824" t="s">
        <v>4316</v>
      </c>
      <c r="B125" s="1825"/>
      <c r="C125" s="1825"/>
      <c r="D125" s="1825"/>
      <c r="E125" s="1825"/>
      <c r="F125" s="1825"/>
      <c r="G125" s="1825"/>
      <c r="H125" s="1825"/>
      <c r="I125" s="1825"/>
      <c r="J125" s="1825"/>
      <c r="K125" s="1825"/>
      <c r="L125" s="1825"/>
      <c r="M125" s="1825"/>
      <c r="N125" s="1826"/>
      <c r="V125" s="674" t="s">
        <v>4316</v>
      </c>
      <c r="W125" s="675"/>
      <c r="AC125" s="675"/>
      <c r="AD125" s="680"/>
      <c r="AE125" s="675"/>
      <c r="AG125" s="675"/>
    </row>
    <row r="126" spans="1:33" s="536" customFormat="1" ht="33.75" x14ac:dyDescent="0.2">
      <c r="A126" s="575" t="s">
        <v>192</v>
      </c>
      <c r="B126" s="670" t="s">
        <v>4317</v>
      </c>
      <c r="C126" s="1823" t="s">
        <v>4318</v>
      </c>
      <c r="D126" s="1823"/>
      <c r="E126" s="1823"/>
      <c r="F126" s="573" t="s">
        <v>519</v>
      </c>
      <c r="G126" s="573"/>
      <c r="H126" s="573"/>
      <c r="I126" s="573" t="s">
        <v>4319</v>
      </c>
      <c r="J126" s="572"/>
      <c r="K126" s="573"/>
      <c r="L126" s="572"/>
      <c r="M126" s="571"/>
      <c r="N126" s="570"/>
      <c r="V126" s="674"/>
      <c r="W126" s="675" t="s">
        <v>4318</v>
      </c>
      <c r="AC126" s="675"/>
      <c r="AD126" s="680"/>
      <c r="AE126" s="675"/>
      <c r="AG126" s="675"/>
    </row>
    <row r="127" spans="1:33" s="536" customFormat="1" ht="12" x14ac:dyDescent="0.2">
      <c r="A127" s="676"/>
      <c r="B127" s="664"/>
      <c r="C127" s="1822" t="s">
        <v>4320</v>
      </c>
      <c r="D127" s="1822"/>
      <c r="E127" s="1822"/>
      <c r="F127" s="1822"/>
      <c r="G127" s="1822"/>
      <c r="H127" s="1822"/>
      <c r="I127" s="1822"/>
      <c r="J127" s="1822"/>
      <c r="K127" s="1822"/>
      <c r="L127" s="1822"/>
      <c r="M127" s="1822"/>
      <c r="N127" s="1827"/>
      <c r="V127" s="674"/>
      <c r="W127" s="675"/>
      <c r="X127" s="537" t="s">
        <v>4320</v>
      </c>
      <c r="AC127" s="675"/>
      <c r="AD127" s="680"/>
      <c r="AE127" s="675"/>
      <c r="AG127" s="675"/>
    </row>
    <row r="128" spans="1:33" s="536" customFormat="1" ht="22.5" x14ac:dyDescent="0.2">
      <c r="A128" s="609"/>
      <c r="B128" s="552" t="s">
        <v>499</v>
      </c>
      <c r="C128" s="1822" t="s">
        <v>500</v>
      </c>
      <c r="D128" s="1822"/>
      <c r="E128" s="1822"/>
      <c r="F128" s="1822"/>
      <c r="G128" s="1822"/>
      <c r="H128" s="1822"/>
      <c r="I128" s="1822"/>
      <c r="J128" s="1822"/>
      <c r="K128" s="1822"/>
      <c r="L128" s="1822"/>
      <c r="M128" s="1822"/>
      <c r="N128" s="1827"/>
      <c r="V128" s="674"/>
      <c r="W128" s="675"/>
      <c r="Y128" s="537" t="s">
        <v>500</v>
      </c>
      <c r="AC128" s="675"/>
      <c r="AD128" s="680"/>
      <c r="AE128" s="675"/>
      <c r="AG128" s="675"/>
    </row>
    <row r="129" spans="1:33" s="536" customFormat="1" ht="12" x14ac:dyDescent="0.2">
      <c r="A129" s="605"/>
      <c r="B129" s="552" t="s">
        <v>185</v>
      </c>
      <c r="C129" s="1822" t="s">
        <v>312</v>
      </c>
      <c r="D129" s="1822"/>
      <c r="E129" s="1822"/>
      <c r="F129" s="562"/>
      <c r="G129" s="562"/>
      <c r="H129" s="562"/>
      <c r="I129" s="562"/>
      <c r="J129" s="604">
        <v>2630.25</v>
      </c>
      <c r="K129" s="562" t="s">
        <v>313</v>
      </c>
      <c r="L129" s="604">
        <v>1647.19</v>
      </c>
      <c r="M129" s="603"/>
      <c r="N129" s="602"/>
      <c r="V129" s="674"/>
      <c r="W129" s="675"/>
      <c r="Z129" s="537" t="s">
        <v>312</v>
      </c>
      <c r="AC129" s="675"/>
      <c r="AD129" s="680"/>
      <c r="AE129" s="675"/>
      <c r="AG129" s="675"/>
    </row>
    <row r="130" spans="1:33" s="536" customFormat="1" ht="12" x14ac:dyDescent="0.2">
      <c r="A130" s="605"/>
      <c r="B130" s="552" t="s">
        <v>186</v>
      </c>
      <c r="C130" s="1822" t="s">
        <v>344</v>
      </c>
      <c r="D130" s="1822"/>
      <c r="E130" s="1822"/>
      <c r="F130" s="562"/>
      <c r="G130" s="562"/>
      <c r="H130" s="562"/>
      <c r="I130" s="562"/>
      <c r="J130" s="604">
        <v>4659.37</v>
      </c>
      <c r="K130" s="562" t="s">
        <v>313</v>
      </c>
      <c r="L130" s="604">
        <v>2917.93</v>
      </c>
      <c r="M130" s="603"/>
      <c r="N130" s="602"/>
      <c r="V130" s="674"/>
      <c r="W130" s="675"/>
      <c r="Z130" s="537" t="s">
        <v>344</v>
      </c>
      <c r="AC130" s="675"/>
      <c r="AD130" s="680"/>
      <c r="AE130" s="675"/>
      <c r="AG130" s="675"/>
    </row>
    <row r="131" spans="1:33" s="536" customFormat="1" ht="12" x14ac:dyDescent="0.2">
      <c r="A131" s="605"/>
      <c r="B131" s="552" t="s">
        <v>187</v>
      </c>
      <c r="C131" s="1822" t="s">
        <v>345</v>
      </c>
      <c r="D131" s="1822"/>
      <c r="E131" s="1822"/>
      <c r="F131" s="562"/>
      <c r="G131" s="562"/>
      <c r="H131" s="562"/>
      <c r="I131" s="562"/>
      <c r="J131" s="604">
        <v>574.28</v>
      </c>
      <c r="K131" s="562" t="s">
        <v>313</v>
      </c>
      <c r="L131" s="604">
        <v>359.64</v>
      </c>
      <c r="M131" s="603"/>
      <c r="N131" s="602"/>
      <c r="V131" s="674"/>
      <c r="W131" s="675"/>
      <c r="Z131" s="537" t="s">
        <v>345</v>
      </c>
      <c r="AC131" s="675"/>
      <c r="AD131" s="680"/>
      <c r="AE131" s="675"/>
      <c r="AG131" s="675"/>
    </row>
    <row r="132" spans="1:33" s="536" customFormat="1" ht="12" x14ac:dyDescent="0.2">
      <c r="A132" s="605"/>
      <c r="B132" s="552" t="s">
        <v>188</v>
      </c>
      <c r="C132" s="1822" t="s">
        <v>475</v>
      </c>
      <c r="D132" s="1822"/>
      <c r="E132" s="1822"/>
      <c r="F132" s="562"/>
      <c r="G132" s="562"/>
      <c r="H132" s="562"/>
      <c r="I132" s="562"/>
      <c r="J132" s="604">
        <v>53.3</v>
      </c>
      <c r="K132" s="562"/>
      <c r="L132" s="604">
        <v>26.7</v>
      </c>
      <c r="M132" s="603"/>
      <c r="N132" s="602"/>
      <c r="V132" s="674"/>
      <c r="W132" s="675"/>
      <c r="Z132" s="537" t="s">
        <v>475</v>
      </c>
      <c r="AC132" s="675"/>
      <c r="AD132" s="680"/>
      <c r="AE132" s="675"/>
      <c r="AG132" s="675"/>
    </row>
    <row r="133" spans="1:33" s="536" customFormat="1" ht="12" x14ac:dyDescent="0.2">
      <c r="A133" s="676"/>
      <c r="B133" s="677" t="s">
        <v>2458</v>
      </c>
      <c r="C133" s="1829" t="s">
        <v>2459</v>
      </c>
      <c r="D133" s="1829"/>
      <c r="E133" s="1829"/>
      <c r="F133" s="678" t="s">
        <v>483</v>
      </c>
      <c r="G133" s="678" t="s">
        <v>4321</v>
      </c>
      <c r="H133" s="678"/>
      <c r="I133" s="678" t="s">
        <v>4322</v>
      </c>
      <c r="J133" s="552"/>
      <c r="K133" s="562"/>
      <c r="L133" s="604"/>
      <c r="M133" s="562"/>
      <c r="N133" s="679"/>
      <c r="V133" s="674"/>
      <c r="W133" s="675"/>
      <c r="AC133" s="675"/>
      <c r="AD133" s="680" t="s">
        <v>2459</v>
      </c>
      <c r="AE133" s="675"/>
      <c r="AG133" s="675"/>
    </row>
    <row r="134" spans="1:33" s="536" customFormat="1" ht="12" x14ac:dyDescent="0.2">
      <c r="A134" s="605"/>
      <c r="B134" s="552"/>
      <c r="C134" s="1822" t="s">
        <v>314</v>
      </c>
      <c r="D134" s="1822"/>
      <c r="E134" s="1822"/>
      <c r="F134" s="562" t="s">
        <v>315</v>
      </c>
      <c r="G134" s="562" t="s">
        <v>4323</v>
      </c>
      <c r="H134" s="562" t="s">
        <v>313</v>
      </c>
      <c r="I134" s="562" t="s">
        <v>4324</v>
      </c>
      <c r="J134" s="604"/>
      <c r="K134" s="562"/>
      <c r="L134" s="604"/>
      <c r="M134" s="603"/>
      <c r="N134" s="602"/>
      <c r="V134" s="674"/>
      <c r="W134" s="675"/>
      <c r="AA134" s="537" t="s">
        <v>314</v>
      </c>
      <c r="AC134" s="675"/>
      <c r="AD134" s="680"/>
      <c r="AE134" s="675"/>
      <c r="AG134" s="675"/>
    </row>
    <row r="135" spans="1:33" s="536" customFormat="1" ht="22.5" x14ac:dyDescent="0.2">
      <c r="A135" s="605"/>
      <c r="B135" s="552"/>
      <c r="C135" s="1822" t="s">
        <v>348</v>
      </c>
      <c r="D135" s="1822"/>
      <c r="E135" s="1822"/>
      <c r="F135" s="562" t="s">
        <v>315</v>
      </c>
      <c r="G135" s="562" t="s">
        <v>4325</v>
      </c>
      <c r="H135" s="562" t="s">
        <v>313</v>
      </c>
      <c r="I135" s="562" t="s">
        <v>4326</v>
      </c>
      <c r="J135" s="604"/>
      <c r="K135" s="562"/>
      <c r="L135" s="604"/>
      <c r="M135" s="603"/>
      <c r="N135" s="602"/>
      <c r="V135" s="674"/>
      <c r="W135" s="675"/>
      <c r="AA135" s="537" t="s">
        <v>348</v>
      </c>
      <c r="AC135" s="675"/>
      <c r="AD135" s="680"/>
      <c r="AE135" s="675"/>
      <c r="AG135" s="675"/>
    </row>
    <row r="136" spans="1:33" s="536" customFormat="1" ht="12" x14ac:dyDescent="0.2">
      <c r="A136" s="605"/>
      <c r="B136" s="552"/>
      <c r="C136" s="1828" t="s">
        <v>318</v>
      </c>
      <c r="D136" s="1828"/>
      <c r="E136" s="1828"/>
      <c r="F136" s="608"/>
      <c r="G136" s="608"/>
      <c r="H136" s="608"/>
      <c r="I136" s="608"/>
      <c r="J136" s="607">
        <v>7342.92</v>
      </c>
      <c r="K136" s="608"/>
      <c r="L136" s="607">
        <v>4591.82</v>
      </c>
      <c r="M136" s="601"/>
      <c r="N136" s="606"/>
      <c r="V136" s="674"/>
      <c r="W136" s="675"/>
      <c r="AB136" s="537" t="s">
        <v>318</v>
      </c>
      <c r="AC136" s="675"/>
      <c r="AD136" s="680"/>
      <c r="AE136" s="675"/>
      <c r="AG136" s="675"/>
    </row>
    <row r="137" spans="1:33" s="536" customFormat="1" ht="12" x14ac:dyDescent="0.2">
      <c r="A137" s="605"/>
      <c r="B137" s="552"/>
      <c r="C137" s="1822" t="s">
        <v>319</v>
      </c>
      <c r="D137" s="1822"/>
      <c r="E137" s="1822"/>
      <c r="F137" s="562"/>
      <c r="G137" s="562"/>
      <c r="H137" s="562"/>
      <c r="I137" s="562"/>
      <c r="J137" s="604"/>
      <c r="K137" s="562"/>
      <c r="L137" s="604">
        <v>2006.83</v>
      </c>
      <c r="M137" s="603"/>
      <c r="N137" s="602"/>
      <c r="V137" s="674"/>
      <c r="W137" s="675"/>
      <c r="AA137" s="537" t="s">
        <v>319</v>
      </c>
      <c r="AC137" s="675"/>
      <c r="AD137" s="680"/>
      <c r="AE137" s="675"/>
      <c r="AG137" s="675"/>
    </row>
    <row r="138" spans="1:33" s="536" customFormat="1" ht="33.75" x14ac:dyDescent="0.2">
      <c r="A138" s="605"/>
      <c r="B138" s="552" t="s">
        <v>533</v>
      </c>
      <c r="C138" s="1822" t="s">
        <v>534</v>
      </c>
      <c r="D138" s="1822"/>
      <c r="E138" s="1822"/>
      <c r="F138" s="562" t="s">
        <v>322</v>
      </c>
      <c r="G138" s="562" t="s">
        <v>535</v>
      </c>
      <c r="H138" s="562"/>
      <c r="I138" s="562" t="s">
        <v>535</v>
      </c>
      <c r="J138" s="604"/>
      <c r="K138" s="562"/>
      <c r="L138" s="604">
        <v>2347.9899999999998</v>
      </c>
      <c r="M138" s="603"/>
      <c r="N138" s="602"/>
      <c r="V138" s="674"/>
      <c r="W138" s="675"/>
      <c r="AA138" s="537" t="s">
        <v>534</v>
      </c>
      <c r="AC138" s="675"/>
      <c r="AD138" s="680"/>
      <c r="AE138" s="675"/>
      <c r="AG138" s="675"/>
    </row>
    <row r="139" spans="1:33" s="536" customFormat="1" ht="33.75" x14ac:dyDescent="0.2">
      <c r="A139" s="605"/>
      <c r="B139" s="552" t="s">
        <v>536</v>
      </c>
      <c r="C139" s="1822" t="s">
        <v>537</v>
      </c>
      <c r="D139" s="1822"/>
      <c r="E139" s="1822"/>
      <c r="F139" s="562" t="s">
        <v>322</v>
      </c>
      <c r="G139" s="562" t="s">
        <v>538</v>
      </c>
      <c r="H139" s="562"/>
      <c r="I139" s="562" t="s">
        <v>538</v>
      </c>
      <c r="J139" s="604"/>
      <c r="K139" s="562"/>
      <c r="L139" s="604">
        <v>1485.05</v>
      </c>
      <c r="M139" s="603"/>
      <c r="N139" s="602"/>
      <c r="V139" s="674"/>
      <c r="W139" s="675"/>
      <c r="AA139" s="537" t="s">
        <v>537</v>
      </c>
      <c r="AC139" s="675"/>
      <c r="AD139" s="680"/>
      <c r="AE139" s="675"/>
      <c r="AG139" s="675"/>
    </row>
    <row r="140" spans="1:33" s="536" customFormat="1" ht="12" x14ac:dyDescent="0.2">
      <c r="A140" s="569"/>
      <c r="B140" s="671"/>
      <c r="C140" s="1823" t="s">
        <v>327</v>
      </c>
      <c r="D140" s="1823"/>
      <c r="E140" s="1823"/>
      <c r="F140" s="573"/>
      <c r="G140" s="573"/>
      <c r="H140" s="573"/>
      <c r="I140" s="573"/>
      <c r="J140" s="572"/>
      <c r="K140" s="573"/>
      <c r="L140" s="572">
        <v>8424.86</v>
      </c>
      <c r="M140" s="601"/>
      <c r="N140" s="570"/>
      <c r="V140" s="674"/>
      <c r="W140" s="675"/>
      <c r="AC140" s="675" t="s">
        <v>327</v>
      </c>
      <c r="AD140" s="680"/>
      <c r="AE140" s="675"/>
      <c r="AG140" s="675"/>
    </row>
    <row r="141" spans="1:33" s="536" customFormat="1" ht="56.25" x14ac:dyDescent="0.2">
      <c r="A141" s="575" t="s">
        <v>193</v>
      </c>
      <c r="B141" s="670" t="s">
        <v>4327</v>
      </c>
      <c r="C141" s="1823" t="s">
        <v>4328</v>
      </c>
      <c r="D141" s="1823"/>
      <c r="E141" s="1823"/>
      <c r="F141" s="573" t="s">
        <v>483</v>
      </c>
      <c r="G141" s="573"/>
      <c r="H141" s="573"/>
      <c r="I141" s="573" t="s">
        <v>4329</v>
      </c>
      <c r="J141" s="572">
        <v>381.49</v>
      </c>
      <c r="K141" s="573"/>
      <c r="L141" s="572">
        <v>192652.45</v>
      </c>
      <c r="M141" s="571"/>
      <c r="N141" s="570"/>
      <c r="V141" s="674"/>
      <c r="W141" s="675" t="s">
        <v>4328</v>
      </c>
      <c r="AC141" s="675"/>
      <c r="AD141" s="680"/>
      <c r="AE141" s="675"/>
      <c r="AG141" s="675"/>
    </row>
    <row r="142" spans="1:33" s="536" customFormat="1" ht="12" x14ac:dyDescent="0.2">
      <c r="A142" s="569"/>
      <c r="B142" s="671"/>
      <c r="C142" s="665" t="s">
        <v>717</v>
      </c>
      <c r="D142" s="666"/>
      <c r="E142" s="666"/>
      <c r="F142" s="563"/>
      <c r="G142" s="563"/>
      <c r="H142" s="563"/>
      <c r="I142" s="563"/>
      <c r="J142" s="566"/>
      <c r="K142" s="563"/>
      <c r="L142" s="566"/>
      <c r="M142" s="565"/>
      <c r="N142" s="564"/>
      <c r="V142" s="674"/>
      <c r="W142" s="675"/>
      <c r="AC142" s="675"/>
      <c r="AD142" s="680"/>
      <c r="AE142" s="675"/>
      <c r="AG142" s="675"/>
    </row>
    <row r="143" spans="1:33" s="536" customFormat="1" ht="22.5" x14ac:dyDescent="0.2">
      <c r="A143" s="575" t="s">
        <v>194</v>
      </c>
      <c r="B143" s="670" t="s">
        <v>4330</v>
      </c>
      <c r="C143" s="1823" t="s">
        <v>4331</v>
      </c>
      <c r="D143" s="1823"/>
      <c r="E143" s="1823"/>
      <c r="F143" s="573" t="s">
        <v>694</v>
      </c>
      <c r="G143" s="573"/>
      <c r="H143" s="573"/>
      <c r="I143" s="573" t="s">
        <v>4332</v>
      </c>
      <c r="J143" s="572"/>
      <c r="K143" s="573"/>
      <c r="L143" s="572"/>
      <c r="M143" s="571"/>
      <c r="N143" s="570"/>
      <c r="V143" s="674"/>
      <c r="W143" s="675" t="s">
        <v>4331</v>
      </c>
      <c r="AC143" s="675"/>
      <c r="AD143" s="680"/>
      <c r="AE143" s="675"/>
      <c r="AG143" s="675"/>
    </row>
    <row r="144" spans="1:33" s="536" customFormat="1" ht="12" x14ac:dyDescent="0.2">
      <c r="A144" s="676"/>
      <c r="B144" s="664"/>
      <c r="C144" s="1822" t="s">
        <v>4333</v>
      </c>
      <c r="D144" s="1822"/>
      <c r="E144" s="1822"/>
      <c r="F144" s="1822"/>
      <c r="G144" s="1822"/>
      <c r="H144" s="1822"/>
      <c r="I144" s="1822"/>
      <c r="J144" s="1822"/>
      <c r="K144" s="1822"/>
      <c r="L144" s="1822"/>
      <c r="M144" s="1822"/>
      <c r="N144" s="1827"/>
      <c r="V144" s="674"/>
      <c r="W144" s="675"/>
      <c r="X144" s="537" t="s">
        <v>4333</v>
      </c>
      <c r="AC144" s="675"/>
      <c r="AD144" s="680"/>
      <c r="AE144" s="675"/>
      <c r="AG144" s="675"/>
    </row>
    <row r="145" spans="1:33" s="536" customFormat="1" ht="22.5" x14ac:dyDescent="0.2">
      <c r="A145" s="609"/>
      <c r="B145" s="552" t="s">
        <v>499</v>
      </c>
      <c r="C145" s="1822" t="s">
        <v>500</v>
      </c>
      <c r="D145" s="1822"/>
      <c r="E145" s="1822"/>
      <c r="F145" s="1822"/>
      <c r="G145" s="1822"/>
      <c r="H145" s="1822"/>
      <c r="I145" s="1822"/>
      <c r="J145" s="1822"/>
      <c r="K145" s="1822"/>
      <c r="L145" s="1822"/>
      <c r="M145" s="1822"/>
      <c r="N145" s="1827"/>
      <c r="V145" s="674"/>
      <c r="W145" s="675"/>
      <c r="Y145" s="537" t="s">
        <v>500</v>
      </c>
      <c r="AC145" s="675"/>
      <c r="AD145" s="680"/>
      <c r="AE145" s="675"/>
      <c r="AG145" s="675"/>
    </row>
    <row r="146" spans="1:33" s="536" customFormat="1" ht="12" x14ac:dyDescent="0.2">
      <c r="A146" s="605"/>
      <c r="B146" s="552" t="s">
        <v>185</v>
      </c>
      <c r="C146" s="1822" t="s">
        <v>312</v>
      </c>
      <c r="D146" s="1822"/>
      <c r="E146" s="1822"/>
      <c r="F146" s="562"/>
      <c r="G146" s="562"/>
      <c r="H146" s="562"/>
      <c r="I146" s="562"/>
      <c r="J146" s="604">
        <v>3467.84</v>
      </c>
      <c r="K146" s="562" t="s">
        <v>313</v>
      </c>
      <c r="L146" s="604">
        <v>208.07</v>
      </c>
      <c r="M146" s="603"/>
      <c r="N146" s="602"/>
      <c r="V146" s="674"/>
      <c r="W146" s="675"/>
      <c r="Z146" s="537" t="s">
        <v>312</v>
      </c>
      <c r="AC146" s="675"/>
      <c r="AD146" s="680"/>
      <c r="AE146" s="675"/>
      <c r="AG146" s="675"/>
    </row>
    <row r="147" spans="1:33" s="536" customFormat="1" ht="12" x14ac:dyDescent="0.2">
      <c r="A147" s="605"/>
      <c r="B147" s="552" t="s">
        <v>186</v>
      </c>
      <c r="C147" s="1822" t="s">
        <v>344</v>
      </c>
      <c r="D147" s="1822"/>
      <c r="E147" s="1822"/>
      <c r="F147" s="562"/>
      <c r="G147" s="562"/>
      <c r="H147" s="562"/>
      <c r="I147" s="562"/>
      <c r="J147" s="604">
        <v>12472.06</v>
      </c>
      <c r="K147" s="562" t="s">
        <v>313</v>
      </c>
      <c r="L147" s="604">
        <v>748.32</v>
      </c>
      <c r="M147" s="603"/>
      <c r="N147" s="602"/>
      <c r="V147" s="674"/>
      <c r="W147" s="675"/>
      <c r="Z147" s="537" t="s">
        <v>344</v>
      </c>
      <c r="AC147" s="675"/>
      <c r="AD147" s="680"/>
      <c r="AE147" s="675"/>
      <c r="AG147" s="675"/>
    </row>
    <row r="148" spans="1:33" s="536" customFormat="1" ht="12" x14ac:dyDescent="0.2">
      <c r="A148" s="605"/>
      <c r="B148" s="552" t="s">
        <v>187</v>
      </c>
      <c r="C148" s="1822" t="s">
        <v>345</v>
      </c>
      <c r="D148" s="1822"/>
      <c r="E148" s="1822"/>
      <c r="F148" s="562"/>
      <c r="G148" s="562"/>
      <c r="H148" s="562"/>
      <c r="I148" s="562"/>
      <c r="J148" s="604">
        <v>1266.81</v>
      </c>
      <c r="K148" s="562" t="s">
        <v>313</v>
      </c>
      <c r="L148" s="604">
        <v>76.010000000000005</v>
      </c>
      <c r="M148" s="603"/>
      <c r="N148" s="602"/>
      <c r="V148" s="674"/>
      <c r="W148" s="675"/>
      <c r="Z148" s="537" t="s">
        <v>345</v>
      </c>
      <c r="AC148" s="675"/>
      <c r="AD148" s="680"/>
      <c r="AE148" s="675"/>
      <c r="AG148" s="675"/>
    </row>
    <row r="149" spans="1:33" s="536" customFormat="1" ht="12" x14ac:dyDescent="0.2">
      <c r="A149" s="605"/>
      <c r="B149" s="552" t="s">
        <v>188</v>
      </c>
      <c r="C149" s="1822" t="s">
        <v>475</v>
      </c>
      <c r="D149" s="1822"/>
      <c r="E149" s="1822"/>
      <c r="F149" s="562"/>
      <c r="G149" s="562"/>
      <c r="H149" s="562"/>
      <c r="I149" s="562"/>
      <c r="J149" s="604">
        <v>6348.16</v>
      </c>
      <c r="K149" s="562"/>
      <c r="L149" s="604">
        <v>304.70999999999998</v>
      </c>
      <c r="M149" s="603"/>
      <c r="N149" s="602"/>
      <c r="V149" s="674"/>
      <c r="W149" s="675"/>
      <c r="Z149" s="537" t="s">
        <v>475</v>
      </c>
      <c r="AC149" s="675"/>
      <c r="AD149" s="680"/>
      <c r="AE149" s="675"/>
      <c r="AG149" s="675"/>
    </row>
    <row r="150" spans="1:33" s="536" customFormat="1" ht="12" x14ac:dyDescent="0.2">
      <c r="A150" s="676"/>
      <c r="B150" s="677" t="s">
        <v>4334</v>
      </c>
      <c r="C150" s="1829" t="s">
        <v>4335</v>
      </c>
      <c r="D150" s="1829"/>
      <c r="E150" s="1829"/>
      <c r="F150" s="678" t="s">
        <v>638</v>
      </c>
      <c r="G150" s="678" t="s">
        <v>525</v>
      </c>
      <c r="H150" s="678"/>
      <c r="I150" s="678" t="s">
        <v>525</v>
      </c>
      <c r="J150" s="552"/>
      <c r="K150" s="562"/>
      <c r="L150" s="604"/>
      <c r="M150" s="562"/>
      <c r="N150" s="679"/>
      <c r="V150" s="674"/>
      <c r="W150" s="675"/>
      <c r="AC150" s="675"/>
      <c r="AD150" s="680" t="s">
        <v>4335</v>
      </c>
      <c r="AE150" s="675"/>
      <c r="AG150" s="675"/>
    </row>
    <row r="151" spans="1:33" s="536" customFormat="1" ht="12" x14ac:dyDescent="0.2">
      <c r="A151" s="605"/>
      <c r="B151" s="552"/>
      <c r="C151" s="1822" t="s">
        <v>314</v>
      </c>
      <c r="D151" s="1822"/>
      <c r="E151" s="1822"/>
      <c r="F151" s="562" t="s">
        <v>315</v>
      </c>
      <c r="G151" s="562" t="s">
        <v>4336</v>
      </c>
      <c r="H151" s="562" t="s">
        <v>313</v>
      </c>
      <c r="I151" s="562" t="s">
        <v>4337</v>
      </c>
      <c r="J151" s="604"/>
      <c r="K151" s="562"/>
      <c r="L151" s="604"/>
      <c r="M151" s="603"/>
      <c r="N151" s="602"/>
      <c r="V151" s="674"/>
      <c r="W151" s="675"/>
      <c r="AA151" s="537" t="s">
        <v>314</v>
      </c>
      <c r="AC151" s="675"/>
      <c r="AD151" s="680"/>
      <c r="AE151" s="675"/>
      <c r="AG151" s="675"/>
    </row>
    <row r="152" spans="1:33" s="536" customFormat="1" ht="12" x14ac:dyDescent="0.2">
      <c r="A152" s="605"/>
      <c r="B152" s="552"/>
      <c r="C152" s="1822" t="s">
        <v>348</v>
      </c>
      <c r="D152" s="1822"/>
      <c r="E152" s="1822"/>
      <c r="F152" s="562" t="s">
        <v>315</v>
      </c>
      <c r="G152" s="562" t="s">
        <v>4338</v>
      </c>
      <c r="H152" s="562" t="s">
        <v>313</v>
      </c>
      <c r="I152" s="562" t="s">
        <v>4339</v>
      </c>
      <c r="J152" s="604"/>
      <c r="K152" s="562"/>
      <c r="L152" s="604"/>
      <c r="M152" s="603"/>
      <c r="N152" s="602"/>
      <c r="V152" s="674"/>
      <c r="W152" s="675"/>
      <c r="AA152" s="537" t="s">
        <v>348</v>
      </c>
      <c r="AC152" s="675"/>
      <c r="AD152" s="680"/>
      <c r="AE152" s="675"/>
      <c r="AG152" s="675"/>
    </row>
    <row r="153" spans="1:33" s="536" customFormat="1" ht="12" x14ac:dyDescent="0.2">
      <c r="A153" s="605"/>
      <c r="B153" s="552"/>
      <c r="C153" s="1828" t="s">
        <v>318</v>
      </c>
      <c r="D153" s="1828"/>
      <c r="E153" s="1828"/>
      <c r="F153" s="608"/>
      <c r="G153" s="608"/>
      <c r="H153" s="608"/>
      <c r="I153" s="608"/>
      <c r="J153" s="607">
        <v>22288.06</v>
      </c>
      <c r="K153" s="608"/>
      <c r="L153" s="607">
        <v>1261.0999999999999</v>
      </c>
      <c r="M153" s="601"/>
      <c r="N153" s="606"/>
      <c r="V153" s="674"/>
      <c r="W153" s="675"/>
      <c r="AB153" s="537" t="s">
        <v>318</v>
      </c>
      <c r="AC153" s="675"/>
      <c r="AD153" s="680"/>
      <c r="AE153" s="675"/>
      <c r="AG153" s="675"/>
    </row>
    <row r="154" spans="1:33" s="536" customFormat="1" ht="12" x14ac:dyDescent="0.2">
      <c r="A154" s="605"/>
      <c r="B154" s="552"/>
      <c r="C154" s="1822" t="s">
        <v>319</v>
      </c>
      <c r="D154" s="1822"/>
      <c r="E154" s="1822"/>
      <c r="F154" s="562"/>
      <c r="G154" s="562"/>
      <c r="H154" s="562"/>
      <c r="I154" s="562"/>
      <c r="J154" s="604"/>
      <c r="K154" s="562"/>
      <c r="L154" s="604">
        <v>284.08</v>
      </c>
      <c r="M154" s="603"/>
      <c r="N154" s="602"/>
      <c r="V154" s="674"/>
      <c r="W154" s="675"/>
      <c r="AA154" s="537" t="s">
        <v>319</v>
      </c>
      <c r="AC154" s="675"/>
      <c r="AD154" s="680"/>
      <c r="AE154" s="675"/>
      <c r="AG154" s="675"/>
    </row>
    <row r="155" spans="1:33" s="536" customFormat="1" ht="33.75" x14ac:dyDescent="0.2">
      <c r="A155" s="605"/>
      <c r="B155" s="552" t="s">
        <v>533</v>
      </c>
      <c r="C155" s="1822" t="s">
        <v>534</v>
      </c>
      <c r="D155" s="1822"/>
      <c r="E155" s="1822"/>
      <c r="F155" s="562" t="s">
        <v>322</v>
      </c>
      <c r="G155" s="562" t="s">
        <v>535</v>
      </c>
      <c r="H155" s="562"/>
      <c r="I155" s="562" t="s">
        <v>535</v>
      </c>
      <c r="J155" s="604"/>
      <c r="K155" s="562"/>
      <c r="L155" s="604">
        <v>332.37</v>
      </c>
      <c r="M155" s="603"/>
      <c r="N155" s="602"/>
      <c r="V155" s="674"/>
      <c r="W155" s="675"/>
      <c r="AA155" s="537" t="s">
        <v>534</v>
      </c>
      <c r="AC155" s="675"/>
      <c r="AD155" s="680"/>
      <c r="AE155" s="675"/>
      <c r="AG155" s="675"/>
    </row>
    <row r="156" spans="1:33" s="536" customFormat="1" ht="33.75" x14ac:dyDescent="0.2">
      <c r="A156" s="605"/>
      <c r="B156" s="552" t="s">
        <v>536</v>
      </c>
      <c r="C156" s="1822" t="s">
        <v>537</v>
      </c>
      <c r="D156" s="1822"/>
      <c r="E156" s="1822"/>
      <c r="F156" s="562" t="s">
        <v>322</v>
      </c>
      <c r="G156" s="562" t="s">
        <v>538</v>
      </c>
      <c r="H156" s="562"/>
      <c r="I156" s="562" t="s">
        <v>538</v>
      </c>
      <c r="J156" s="604"/>
      <c r="K156" s="562"/>
      <c r="L156" s="604">
        <v>210.22</v>
      </c>
      <c r="M156" s="603"/>
      <c r="N156" s="602"/>
      <c r="V156" s="674"/>
      <c r="W156" s="675"/>
      <c r="AA156" s="537" t="s">
        <v>537</v>
      </c>
      <c r="AC156" s="675"/>
      <c r="AD156" s="680"/>
      <c r="AE156" s="675"/>
      <c r="AG156" s="675"/>
    </row>
    <row r="157" spans="1:33" s="536" customFormat="1" ht="12" x14ac:dyDescent="0.2">
      <c r="A157" s="569"/>
      <c r="B157" s="671"/>
      <c r="C157" s="1823" t="s">
        <v>327</v>
      </c>
      <c r="D157" s="1823"/>
      <c r="E157" s="1823"/>
      <c r="F157" s="573"/>
      <c r="G157" s="573"/>
      <c r="H157" s="573"/>
      <c r="I157" s="573"/>
      <c r="J157" s="572"/>
      <c r="K157" s="573"/>
      <c r="L157" s="572">
        <v>1803.69</v>
      </c>
      <c r="M157" s="601"/>
      <c r="N157" s="570"/>
      <c r="V157" s="674"/>
      <c r="W157" s="675"/>
      <c r="AC157" s="675" t="s">
        <v>327</v>
      </c>
      <c r="AD157" s="680"/>
      <c r="AE157" s="675"/>
      <c r="AG157" s="675"/>
    </row>
    <row r="158" spans="1:33" s="536" customFormat="1" ht="33.75" x14ac:dyDescent="0.2">
      <c r="A158" s="575" t="s">
        <v>195</v>
      </c>
      <c r="B158" s="670" t="s">
        <v>4340</v>
      </c>
      <c r="C158" s="1823" t="s">
        <v>4341</v>
      </c>
      <c r="D158" s="1823"/>
      <c r="E158" s="1823"/>
      <c r="F158" s="573" t="s">
        <v>617</v>
      </c>
      <c r="G158" s="573"/>
      <c r="H158" s="573"/>
      <c r="I158" s="573" t="s">
        <v>187</v>
      </c>
      <c r="J158" s="572">
        <v>5480.13</v>
      </c>
      <c r="K158" s="573" t="s">
        <v>716</v>
      </c>
      <c r="L158" s="572">
        <v>2713.43</v>
      </c>
      <c r="M158" s="571">
        <v>6.18</v>
      </c>
      <c r="N158" s="570">
        <v>16769</v>
      </c>
      <c r="V158" s="674"/>
      <c r="W158" s="675" t="s">
        <v>4341</v>
      </c>
      <c r="AC158" s="675"/>
      <c r="AD158" s="680"/>
      <c r="AE158" s="675"/>
      <c r="AG158" s="675"/>
    </row>
    <row r="159" spans="1:33" s="536" customFormat="1" ht="12" x14ac:dyDescent="0.2">
      <c r="A159" s="569"/>
      <c r="B159" s="671"/>
      <c r="C159" s="665" t="s">
        <v>717</v>
      </c>
      <c r="D159" s="666"/>
      <c r="E159" s="666"/>
      <c r="F159" s="563"/>
      <c r="G159" s="563"/>
      <c r="H159" s="563"/>
      <c r="I159" s="563"/>
      <c r="J159" s="566"/>
      <c r="K159" s="563"/>
      <c r="L159" s="566"/>
      <c r="M159" s="565"/>
      <c r="N159" s="564"/>
      <c r="V159" s="674"/>
      <c r="W159" s="675"/>
      <c r="AC159" s="675"/>
      <c r="AD159" s="680"/>
      <c r="AE159" s="675"/>
      <c r="AG159" s="675"/>
    </row>
    <row r="160" spans="1:33" s="536" customFormat="1" ht="22.5" x14ac:dyDescent="0.2">
      <c r="A160" s="609"/>
      <c r="B160" s="552" t="s">
        <v>718</v>
      </c>
      <c r="C160" s="1822" t="s">
        <v>719</v>
      </c>
      <c r="D160" s="1822"/>
      <c r="E160" s="1822"/>
      <c r="F160" s="1822"/>
      <c r="G160" s="1822"/>
      <c r="H160" s="1822"/>
      <c r="I160" s="1822"/>
      <c r="J160" s="1822"/>
      <c r="K160" s="1822"/>
      <c r="L160" s="1822"/>
      <c r="M160" s="1822"/>
      <c r="N160" s="1827"/>
      <c r="V160" s="674"/>
      <c r="W160" s="675"/>
      <c r="Y160" s="537" t="s">
        <v>719</v>
      </c>
      <c r="AC160" s="675"/>
      <c r="AD160" s="680"/>
      <c r="AE160" s="675"/>
      <c r="AG160" s="675"/>
    </row>
    <row r="161" spans="1:33" s="536" customFormat="1" ht="33.75" x14ac:dyDescent="0.2">
      <c r="A161" s="575" t="s">
        <v>196</v>
      </c>
      <c r="B161" s="670" t="s">
        <v>4342</v>
      </c>
      <c r="C161" s="1823" t="s">
        <v>4343</v>
      </c>
      <c r="D161" s="1823"/>
      <c r="E161" s="1823"/>
      <c r="F161" s="573" t="s">
        <v>889</v>
      </c>
      <c r="G161" s="573"/>
      <c r="H161" s="573"/>
      <c r="I161" s="573" t="s">
        <v>1692</v>
      </c>
      <c r="J161" s="572"/>
      <c r="K161" s="573"/>
      <c r="L161" s="572"/>
      <c r="M161" s="571"/>
      <c r="N161" s="570"/>
      <c r="V161" s="674"/>
      <c r="W161" s="675" t="s">
        <v>4343</v>
      </c>
      <c r="AC161" s="675"/>
      <c r="AD161" s="680"/>
      <c r="AE161" s="675"/>
      <c r="AG161" s="675"/>
    </row>
    <row r="162" spans="1:33" s="536" customFormat="1" ht="12" x14ac:dyDescent="0.2">
      <c r="A162" s="676"/>
      <c r="B162" s="664"/>
      <c r="C162" s="1822" t="s">
        <v>4344</v>
      </c>
      <c r="D162" s="1822"/>
      <c r="E162" s="1822"/>
      <c r="F162" s="1822"/>
      <c r="G162" s="1822"/>
      <c r="H162" s="1822"/>
      <c r="I162" s="1822"/>
      <c r="J162" s="1822"/>
      <c r="K162" s="1822"/>
      <c r="L162" s="1822"/>
      <c r="M162" s="1822"/>
      <c r="N162" s="1827"/>
      <c r="V162" s="674"/>
      <c r="W162" s="675"/>
      <c r="X162" s="537" t="s">
        <v>4344</v>
      </c>
      <c r="AC162" s="675"/>
      <c r="AD162" s="680"/>
      <c r="AE162" s="675"/>
      <c r="AG162" s="675"/>
    </row>
    <row r="163" spans="1:33" s="536" customFormat="1" ht="22.5" x14ac:dyDescent="0.2">
      <c r="A163" s="609"/>
      <c r="B163" s="552" t="s">
        <v>499</v>
      </c>
      <c r="C163" s="1822" t="s">
        <v>500</v>
      </c>
      <c r="D163" s="1822"/>
      <c r="E163" s="1822"/>
      <c r="F163" s="1822"/>
      <c r="G163" s="1822"/>
      <c r="H163" s="1822"/>
      <c r="I163" s="1822"/>
      <c r="J163" s="1822"/>
      <c r="K163" s="1822"/>
      <c r="L163" s="1822"/>
      <c r="M163" s="1822"/>
      <c r="N163" s="1827"/>
      <c r="V163" s="674"/>
      <c r="W163" s="675"/>
      <c r="Y163" s="537" t="s">
        <v>500</v>
      </c>
      <c r="AC163" s="675"/>
      <c r="AD163" s="680"/>
      <c r="AE163" s="675"/>
      <c r="AG163" s="675"/>
    </row>
    <row r="164" spans="1:33" s="536" customFormat="1" ht="12" x14ac:dyDescent="0.2">
      <c r="A164" s="605"/>
      <c r="B164" s="552" t="s">
        <v>185</v>
      </c>
      <c r="C164" s="1822" t="s">
        <v>312</v>
      </c>
      <c r="D164" s="1822"/>
      <c r="E164" s="1822"/>
      <c r="F164" s="562"/>
      <c r="G164" s="562"/>
      <c r="H164" s="562"/>
      <c r="I164" s="562"/>
      <c r="J164" s="604">
        <v>37.549999999999997</v>
      </c>
      <c r="K164" s="562" t="s">
        <v>313</v>
      </c>
      <c r="L164" s="604">
        <v>23.47</v>
      </c>
      <c r="M164" s="603"/>
      <c r="N164" s="602"/>
      <c r="V164" s="674"/>
      <c r="W164" s="675"/>
      <c r="Z164" s="537" t="s">
        <v>312</v>
      </c>
      <c r="AC164" s="675"/>
      <c r="AD164" s="680"/>
      <c r="AE164" s="675"/>
      <c r="AG164" s="675"/>
    </row>
    <row r="165" spans="1:33" s="536" customFormat="1" ht="12" x14ac:dyDescent="0.2">
      <c r="A165" s="605"/>
      <c r="B165" s="552" t="s">
        <v>186</v>
      </c>
      <c r="C165" s="1822" t="s">
        <v>344</v>
      </c>
      <c r="D165" s="1822"/>
      <c r="E165" s="1822"/>
      <c r="F165" s="562"/>
      <c r="G165" s="562"/>
      <c r="H165" s="562"/>
      <c r="I165" s="562"/>
      <c r="J165" s="604">
        <v>226.03</v>
      </c>
      <c r="K165" s="562" t="s">
        <v>313</v>
      </c>
      <c r="L165" s="604">
        <v>141.27000000000001</v>
      </c>
      <c r="M165" s="603"/>
      <c r="N165" s="602"/>
      <c r="V165" s="674"/>
      <c r="W165" s="675"/>
      <c r="Z165" s="537" t="s">
        <v>344</v>
      </c>
      <c r="AC165" s="675"/>
      <c r="AD165" s="680"/>
      <c r="AE165" s="675"/>
      <c r="AG165" s="675"/>
    </row>
    <row r="166" spans="1:33" s="536" customFormat="1" ht="12" x14ac:dyDescent="0.2">
      <c r="A166" s="605"/>
      <c r="B166" s="552" t="s">
        <v>187</v>
      </c>
      <c r="C166" s="1822" t="s">
        <v>345</v>
      </c>
      <c r="D166" s="1822"/>
      <c r="E166" s="1822"/>
      <c r="F166" s="562"/>
      <c r="G166" s="562"/>
      <c r="H166" s="562"/>
      <c r="I166" s="562"/>
      <c r="J166" s="604">
        <v>30.5</v>
      </c>
      <c r="K166" s="562" t="s">
        <v>313</v>
      </c>
      <c r="L166" s="604">
        <v>19.059999999999999</v>
      </c>
      <c r="M166" s="603"/>
      <c r="N166" s="602"/>
      <c r="V166" s="674"/>
      <c r="W166" s="675"/>
      <c r="Z166" s="537" t="s">
        <v>345</v>
      </c>
      <c r="AC166" s="675"/>
      <c r="AD166" s="680"/>
      <c r="AE166" s="675"/>
      <c r="AG166" s="675"/>
    </row>
    <row r="167" spans="1:33" s="536" customFormat="1" ht="12" x14ac:dyDescent="0.2">
      <c r="A167" s="676"/>
      <c r="B167" s="677" t="s">
        <v>2462</v>
      </c>
      <c r="C167" s="1829" t="s">
        <v>4345</v>
      </c>
      <c r="D167" s="1829"/>
      <c r="E167" s="1829"/>
      <c r="F167" s="678" t="s">
        <v>617</v>
      </c>
      <c r="G167" s="678" t="s">
        <v>194</v>
      </c>
      <c r="H167" s="678"/>
      <c r="I167" s="678" t="s">
        <v>189</v>
      </c>
      <c r="J167" s="552"/>
      <c r="K167" s="562"/>
      <c r="L167" s="604"/>
      <c r="M167" s="562"/>
      <c r="N167" s="679"/>
      <c r="V167" s="674"/>
      <c r="W167" s="675"/>
      <c r="AC167" s="675"/>
      <c r="AD167" s="680" t="s">
        <v>4345</v>
      </c>
      <c r="AE167" s="675"/>
      <c r="AG167" s="675"/>
    </row>
    <row r="168" spans="1:33" s="536" customFormat="1" ht="12" x14ac:dyDescent="0.2">
      <c r="A168" s="605"/>
      <c r="B168" s="552"/>
      <c r="C168" s="1822" t="s">
        <v>314</v>
      </c>
      <c r="D168" s="1822"/>
      <c r="E168" s="1822"/>
      <c r="F168" s="562" t="s">
        <v>315</v>
      </c>
      <c r="G168" s="562" t="s">
        <v>4346</v>
      </c>
      <c r="H168" s="562" t="s">
        <v>313</v>
      </c>
      <c r="I168" s="562" t="s">
        <v>4347</v>
      </c>
      <c r="J168" s="604"/>
      <c r="K168" s="562"/>
      <c r="L168" s="604"/>
      <c r="M168" s="603"/>
      <c r="N168" s="602"/>
      <c r="V168" s="674"/>
      <c r="W168" s="675"/>
      <c r="AA168" s="537" t="s">
        <v>314</v>
      </c>
      <c r="AC168" s="675"/>
      <c r="AD168" s="680"/>
      <c r="AE168" s="675"/>
      <c r="AG168" s="675"/>
    </row>
    <row r="169" spans="1:33" s="536" customFormat="1" ht="12" x14ac:dyDescent="0.2">
      <c r="A169" s="605"/>
      <c r="B169" s="552"/>
      <c r="C169" s="1822" t="s">
        <v>348</v>
      </c>
      <c r="D169" s="1822"/>
      <c r="E169" s="1822"/>
      <c r="F169" s="562" t="s">
        <v>315</v>
      </c>
      <c r="G169" s="562" t="s">
        <v>4348</v>
      </c>
      <c r="H169" s="562" t="s">
        <v>313</v>
      </c>
      <c r="I169" s="562" t="s">
        <v>4001</v>
      </c>
      <c r="J169" s="604"/>
      <c r="K169" s="562"/>
      <c r="L169" s="604"/>
      <c r="M169" s="603"/>
      <c r="N169" s="602"/>
      <c r="V169" s="674"/>
      <c r="W169" s="675"/>
      <c r="AA169" s="537" t="s">
        <v>348</v>
      </c>
      <c r="AC169" s="675"/>
      <c r="AD169" s="680"/>
      <c r="AE169" s="675"/>
      <c r="AG169" s="675"/>
    </row>
    <row r="170" spans="1:33" s="536" customFormat="1" ht="12" x14ac:dyDescent="0.2">
      <c r="A170" s="605"/>
      <c r="B170" s="552"/>
      <c r="C170" s="1828" t="s">
        <v>318</v>
      </c>
      <c r="D170" s="1828"/>
      <c r="E170" s="1828"/>
      <c r="F170" s="608"/>
      <c r="G170" s="608"/>
      <c r="H170" s="608"/>
      <c r="I170" s="608"/>
      <c r="J170" s="607">
        <v>263.58</v>
      </c>
      <c r="K170" s="608"/>
      <c r="L170" s="607">
        <v>164.74</v>
      </c>
      <c r="M170" s="601"/>
      <c r="N170" s="606"/>
      <c r="V170" s="674"/>
      <c r="W170" s="675"/>
      <c r="AB170" s="537" t="s">
        <v>318</v>
      </c>
      <c r="AC170" s="675"/>
      <c r="AD170" s="680"/>
      <c r="AE170" s="675"/>
      <c r="AG170" s="675"/>
    </row>
    <row r="171" spans="1:33" s="536" customFormat="1" ht="12" x14ac:dyDescent="0.2">
      <c r="A171" s="605"/>
      <c r="B171" s="552"/>
      <c r="C171" s="1822" t="s">
        <v>319</v>
      </c>
      <c r="D171" s="1822"/>
      <c r="E171" s="1822"/>
      <c r="F171" s="562"/>
      <c r="G171" s="562"/>
      <c r="H171" s="562"/>
      <c r="I171" s="562"/>
      <c r="J171" s="604"/>
      <c r="K171" s="562"/>
      <c r="L171" s="604">
        <v>42.53</v>
      </c>
      <c r="M171" s="603"/>
      <c r="N171" s="602"/>
      <c r="V171" s="674"/>
      <c r="W171" s="675"/>
      <c r="AA171" s="537" t="s">
        <v>319</v>
      </c>
      <c r="AC171" s="675"/>
      <c r="AD171" s="680"/>
      <c r="AE171" s="675"/>
      <c r="AG171" s="675"/>
    </row>
    <row r="172" spans="1:33" s="536" customFormat="1" ht="33.75" x14ac:dyDescent="0.2">
      <c r="A172" s="605"/>
      <c r="B172" s="552" t="s">
        <v>533</v>
      </c>
      <c r="C172" s="1822" t="s">
        <v>534</v>
      </c>
      <c r="D172" s="1822"/>
      <c r="E172" s="1822"/>
      <c r="F172" s="562" t="s">
        <v>322</v>
      </c>
      <c r="G172" s="562" t="s">
        <v>535</v>
      </c>
      <c r="H172" s="562"/>
      <c r="I172" s="562" t="s">
        <v>535</v>
      </c>
      <c r="J172" s="604"/>
      <c r="K172" s="562"/>
      <c r="L172" s="604">
        <v>49.76</v>
      </c>
      <c r="M172" s="603"/>
      <c r="N172" s="602"/>
      <c r="V172" s="674"/>
      <c r="W172" s="675"/>
      <c r="AA172" s="537" t="s">
        <v>534</v>
      </c>
      <c r="AC172" s="675"/>
      <c r="AD172" s="680"/>
      <c r="AE172" s="675"/>
      <c r="AG172" s="675"/>
    </row>
    <row r="173" spans="1:33" s="536" customFormat="1" ht="33.75" x14ac:dyDescent="0.2">
      <c r="A173" s="605"/>
      <c r="B173" s="552" t="s">
        <v>536</v>
      </c>
      <c r="C173" s="1822" t="s">
        <v>537</v>
      </c>
      <c r="D173" s="1822"/>
      <c r="E173" s="1822"/>
      <c r="F173" s="562" t="s">
        <v>322</v>
      </c>
      <c r="G173" s="562" t="s">
        <v>538</v>
      </c>
      <c r="H173" s="562"/>
      <c r="I173" s="562" t="s">
        <v>538</v>
      </c>
      <c r="J173" s="604"/>
      <c r="K173" s="562"/>
      <c r="L173" s="604">
        <v>31.47</v>
      </c>
      <c r="M173" s="603"/>
      <c r="N173" s="602"/>
      <c r="V173" s="674"/>
      <c r="W173" s="675"/>
      <c r="AA173" s="537" t="s">
        <v>537</v>
      </c>
      <c r="AC173" s="675"/>
      <c r="AD173" s="680"/>
      <c r="AE173" s="675"/>
      <c r="AG173" s="675"/>
    </row>
    <row r="174" spans="1:33" s="536" customFormat="1" ht="12" x14ac:dyDescent="0.2">
      <c r="A174" s="569"/>
      <c r="B174" s="671"/>
      <c r="C174" s="1823" t="s">
        <v>327</v>
      </c>
      <c r="D174" s="1823"/>
      <c r="E174" s="1823"/>
      <c r="F174" s="573"/>
      <c r="G174" s="573"/>
      <c r="H174" s="573"/>
      <c r="I174" s="573"/>
      <c r="J174" s="572"/>
      <c r="K174" s="573"/>
      <c r="L174" s="572">
        <v>245.97</v>
      </c>
      <c r="M174" s="601"/>
      <c r="N174" s="570"/>
      <c r="V174" s="674"/>
      <c r="W174" s="675"/>
      <c r="AC174" s="675" t="s">
        <v>327</v>
      </c>
      <c r="AD174" s="680"/>
      <c r="AE174" s="675"/>
      <c r="AG174" s="675"/>
    </row>
    <row r="175" spans="1:33" s="536" customFormat="1" ht="33.75" x14ac:dyDescent="0.2">
      <c r="A175" s="575" t="s">
        <v>197</v>
      </c>
      <c r="B175" s="670" t="s">
        <v>4349</v>
      </c>
      <c r="C175" s="1823" t="s">
        <v>4350</v>
      </c>
      <c r="D175" s="1823"/>
      <c r="E175" s="1823"/>
      <c r="F175" s="573" t="s">
        <v>617</v>
      </c>
      <c r="G175" s="573"/>
      <c r="H175" s="573"/>
      <c r="I175" s="573" t="s">
        <v>187</v>
      </c>
      <c r="J175" s="572">
        <v>13937.72</v>
      </c>
      <c r="K175" s="573" t="s">
        <v>716</v>
      </c>
      <c r="L175" s="572">
        <v>6901.13</v>
      </c>
      <c r="M175" s="571">
        <v>6.18</v>
      </c>
      <c r="N175" s="570">
        <v>42649</v>
      </c>
      <c r="V175" s="674"/>
      <c r="W175" s="675" t="s">
        <v>4350</v>
      </c>
      <c r="AC175" s="675"/>
      <c r="AD175" s="680"/>
      <c r="AE175" s="675"/>
      <c r="AG175" s="675"/>
    </row>
    <row r="176" spans="1:33" s="536" customFormat="1" ht="12" x14ac:dyDescent="0.2">
      <c r="A176" s="569"/>
      <c r="B176" s="671"/>
      <c r="C176" s="665" t="s">
        <v>717</v>
      </c>
      <c r="D176" s="666"/>
      <c r="E176" s="666"/>
      <c r="F176" s="563"/>
      <c r="G176" s="563"/>
      <c r="H176" s="563"/>
      <c r="I176" s="563"/>
      <c r="J176" s="566"/>
      <c r="K176" s="563"/>
      <c r="L176" s="566"/>
      <c r="M176" s="565"/>
      <c r="N176" s="564"/>
      <c r="V176" s="674"/>
      <c r="W176" s="675"/>
      <c r="AC176" s="675"/>
      <c r="AD176" s="680"/>
      <c r="AE176" s="675"/>
      <c r="AG176" s="675"/>
    </row>
    <row r="177" spans="1:33" s="536" customFormat="1" ht="22.5" x14ac:dyDescent="0.2">
      <c r="A177" s="609"/>
      <c r="B177" s="552" t="s">
        <v>718</v>
      </c>
      <c r="C177" s="1822" t="s">
        <v>719</v>
      </c>
      <c r="D177" s="1822"/>
      <c r="E177" s="1822"/>
      <c r="F177" s="1822"/>
      <c r="G177" s="1822"/>
      <c r="H177" s="1822"/>
      <c r="I177" s="1822"/>
      <c r="J177" s="1822"/>
      <c r="K177" s="1822"/>
      <c r="L177" s="1822"/>
      <c r="M177" s="1822"/>
      <c r="N177" s="1827"/>
      <c r="V177" s="674"/>
      <c r="W177" s="675"/>
      <c r="Y177" s="537" t="s">
        <v>719</v>
      </c>
      <c r="AC177" s="675"/>
      <c r="AD177" s="680"/>
      <c r="AE177" s="675"/>
      <c r="AG177" s="675"/>
    </row>
    <row r="178" spans="1:33" s="536" customFormat="1" ht="33.75" x14ac:dyDescent="0.2">
      <c r="A178" s="575" t="s">
        <v>198</v>
      </c>
      <c r="B178" s="670" t="s">
        <v>4351</v>
      </c>
      <c r="C178" s="1823" t="s">
        <v>4352</v>
      </c>
      <c r="D178" s="1823"/>
      <c r="E178" s="1823"/>
      <c r="F178" s="573" t="s">
        <v>617</v>
      </c>
      <c r="G178" s="573"/>
      <c r="H178" s="573"/>
      <c r="I178" s="573" t="s">
        <v>186</v>
      </c>
      <c r="J178" s="572">
        <v>4513.25</v>
      </c>
      <c r="K178" s="573" t="s">
        <v>716</v>
      </c>
      <c r="L178" s="572">
        <v>1489.81</v>
      </c>
      <c r="M178" s="571">
        <v>6.18</v>
      </c>
      <c r="N178" s="570">
        <v>9207</v>
      </c>
      <c r="V178" s="674"/>
      <c r="W178" s="675" t="s">
        <v>4352</v>
      </c>
      <c r="AC178" s="675"/>
      <c r="AD178" s="680"/>
      <c r="AE178" s="675"/>
      <c r="AG178" s="675"/>
    </row>
    <row r="179" spans="1:33" s="536" customFormat="1" ht="12" x14ac:dyDescent="0.2">
      <c r="A179" s="569"/>
      <c r="B179" s="671"/>
      <c r="C179" s="665" t="s">
        <v>717</v>
      </c>
      <c r="D179" s="666"/>
      <c r="E179" s="666"/>
      <c r="F179" s="563"/>
      <c r="G179" s="563"/>
      <c r="H179" s="563"/>
      <c r="I179" s="563"/>
      <c r="J179" s="566"/>
      <c r="K179" s="563"/>
      <c r="L179" s="566"/>
      <c r="M179" s="565"/>
      <c r="N179" s="564"/>
      <c r="V179" s="674"/>
      <c r="W179" s="675"/>
      <c r="AC179" s="675"/>
      <c r="AD179" s="680"/>
      <c r="AE179" s="675"/>
      <c r="AG179" s="675"/>
    </row>
    <row r="180" spans="1:33" s="536" customFormat="1" ht="22.5" x14ac:dyDescent="0.2">
      <c r="A180" s="609"/>
      <c r="B180" s="552" t="s">
        <v>718</v>
      </c>
      <c r="C180" s="1822" t="s">
        <v>719</v>
      </c>
      <c r="D180" s="1822"/>
      <c r="E180" s="1822"/>
      <c r="F180" s="1822"/>
      <c r="G180" s="1822"/>
      <c r="H180" s="1822"/>
      <c r="I180" s="1822"/>
      <c r="J180" s="1822"/>
      <c r="K180" s="1822"/>
      <c r="L180" s="1822"/>
      <c r="M180" s="1822"/>
      <c r="N180" s="1827"/>
      <c r="V180" s="674"/>
      <c r="W180" s="675"/>
      <c r="Y180" s="537" t="s">
        <v>719</v>
      </c>
      <c r="AC180" s="675"/>
      <c r="AD180" s="680"/>
      <c r="AE180" s="675"/>
      <c r="AG180" s="675"/>
    </row>
    <row r="181" spans="1:33" s="536" customFormat="1" ht="22.5" x14ac:dyDescent="0.2">
      <c r="A181" s="575" t="s">
        <v>199</v>
      </c>
      <c r="B181" s="670" t="s">
        <v>4353</v>
      </c>
      <c r="C181" s="1823" t="s">
        <v>4354</v>
      </c>
      <c r="D181" s="1823"/>
      <c r="E181" s="1823"/>
      <c r="F181" s="573" t="s">
        <v>617</v>
      </c>
      <c r="G181" s="573"/>
      <c r="H181" s="573"/>
      <c r="I181" s="573" t="s">
        <v>733</v>
      </c>
      <c r="J181" s="572"/>
      <c r="K181" s="573"/>
      <c r="L181" s="572"/>
      <c r="M181" s="571"/>
      <c r="N181" s="570"/>
      <c r="V181" s="674"/>
      <c r="W181" s="675" t="s">
        <v>4354</v>
      </c>
      <c r="AC181" s="675"/>
      <c r="AD181" s="680"/>
      <c r="AE181" s="675"/>
      <c r="AG181" s="675"/>
    </row>
    <row r="182" spans="1:33" s="536" customFormat="1" ht="22.5" x14ac:dyDescent="0.2">
      <c r="A182" s="609"/>
      <c r="B182" s="552" t="s">
        <v>499</v>
      </c>
      <c r="C182" s="1822" t="s">
        <v>500</v>
      </c>
      <c r="D182" s="1822"/>
      <c r="E182" s="1822"/>
      <c r="F182" s="1822"/>
      <c r="G182" s="1822"/>
      <c r="H182" s="1822"/>
      <c r="I182" s="1822"/>
      <c r="J182" s="1822"/>
      <c r="K182" s="1822"/>
      <c r="L182" s="1822"/>
      <c r="M182" s="1822"/>
      <c r="N182" s="1827"/>
      <c r="V182" s="674"/>
      <c r="W182" s="675"/>
      <c r="Y182" s="537" t="s">
        <v>500</v>
      </c>
      <c r="AC182" s="675"/>
      <c r="AD182" s="680"/>
      <c r="AE182" s="675"/>
      <c r="AG182" s="675"/>
    </row>
    <row r="183" spans="1:33" s="536" customFormat="1" ht="12" x14ac:dyDescent="0.2">
      <c r="A183" s="605"/>
      <c r="B183" s="552" t="s">
        <v>185</v>
      </c>
      <c r="C183" s="1822" t="s">
        <v>312</v>
      </c>
      <c r="D183" s="1822"/>
      <c r="E183" s="1822"/>
      <c r="F183" s="562"/>
      <c r="G183" s="562"/>
      <c r="H183" s="562"/>
      <c r="I183" s="562"/>
      <c r="J183" s="604">
        <v>9.98</v>
      </c>
      <c r="K183" s="562" t="s">
        <v>313</v>
      </c>
      <c r="L183" s="604">
        <v>249.5</v>
      </c>
      <c r="M183" s="603"/>
      <c r="N183" s="602"/>
      <c r="V183" s="674"/>
      <c r="W183" s="675"/>
      <c r="Z183" s="537" t="s">
        <v>312</v>
      </c>
      <c r="AC183" s="675"/>
      <c r="AD183" s="680"/>
      <c r="AE183" s="675"/>
      <c r="AG183" s="675"/>
    </row>
    <row r="184" spans="1:33" s="536" customFormat="1" ht="12" x14ac:dyDescent="0.2">
      <c r="A184" s="605"/>
      <c r="B184" s="552" t="s">
        <v>186</v>
      </c>
      <c r="C184" s="1822" t="s">
        <v>344</v>
      </c>
      <c r="D184" s="1822"/>
      <c r="E184" s="1822"/>
      <c r="F184" s="562"/>
      <c r="G184" s="562"/>
      <c r="H184" s="562"/>
      <c r="I184" s="562"/>
      <c r="J184" s="604">
        <v>68.98</v>
      </c>
      <c r="K184" s="562" t="s">
        <v>313</v>
      </c>
      <c r="L184" s="604">
        <v>1724.5</v>
      </c>
      <c r="M184" s="603"/>
      <c r="N184" s="602"/>
      <c r="V184" s="674"/>
      <c r="W184" s="675"/>
      <c r="Z184" s="537" t="s">
        <v>344</v>
      </c>
      <c r="AC184" s="675"/>
      <c r="AD184" s="680"/>
      <c r="AE184" s="675"/>
      <c r="AG184" s="675"/>
    </row>
    <row r="185" spans="1:33" s="536" customFormat="1" ht="12" x14ac:dyDescent="0.2">
      <c r="A185" s="605"/>
      <c r="B185" s="552" t="s">
        <v>187</v>
      </c>
      <c r="C185" s="1822" t="s">
        <v>345</v>
      </c>
      <c r="D185" s="1822"/>
      <c r="E185" s="1822"/>
      <c r="F185" s="562"/>
      <c r="G185" s="562"/>
      <c r="H185" s="562"/>
      <c r="I185" s="562"/>
      <c r="J185" s="604">
        <v>7.01</v>
      </c>
      <c r="K185" s="562" t="s">
        <v>313</v>
      </c>
      <c r="L185" s="604">
        <v>175.25</v>
      </c>
      <c r="M185" s="603"/>
      <c r="N185" s="602"/>
      <c r="V185" s="674"/>
      <c r="W185" s="675"/>
      <c r="Z185" s="537" t="s">
        <v>345</v>
      </c>
      <c r="AC185" s="675"/>
      <c r="AD185" s="680"/>
      <c r="AE185" s="675"/>
      <c r="AG185" s="675"/>
    </row>
    <row r="186" spans="1:33" s="536" customFormat="1" ht="12" x14ac:dyDescent="0.2">
      <c r="A186" s="605"/>
      <c r="B186" s="552" t="s">
        <v>188</v>
      </c>
      <c r="C186" s="1822" t="s">
        <v>475</v>
      </c>
      <c r="D186" s="1822"/>
      <c r="E186" s="1822"/>
      <c r="F186" s="562"/>
      <c r="G186" s="562"/>
      <c r="H186" s="562"/>
      <c r="I186" s="562"/>
      <c r="J186" s="604">
        <v>4.54</v>
      </c>
      <c r="K186" s="562"/>
      <c r="L186" s="604">
        <v>90.8</v>
      </c>
      <c r="M186" s="603"/>
      <c r="N186" s="602"/>
      <c r="V186" s="674"/>
      <c r="W186" s="675"/>
      <c r="Z186" s="537" t="s">
        <v>475</v>
      </c>
      <c r="AC186" s="675"/>
      <c r="AD186" s="680"/>
      <c r="AE186" s="675"/>
      <c r="AG186" s="675"/>
    </row>
    <row r="187" spans="1:33" s="536" customFormat="1" ht="12" x14ac:dyDescent="0.2">
      <c r="A187" s="676"/>
      <c r="B187" s="677" t="s">
        <v>4355</v>
      </c>
      <c r="C187" s="1829" t="s">
        <v>4356</v>
      </c>
      <c r="D187" s="1829"/>
      <c r="E187" s="1829"/>
      <c r="F187" s="678" t="s">
        <v>617</v>
      </c>
      <c r="G187" s="678" t="s">
        <v>185</v>
      </c>
      <c r="H187" s="678"/>
      <c r="I187" s="678" t="s">
        <v>733</v>
      </c>
      <c r="J187" s="552"/>
      <c r="K187" s="562"/>
      <c r="L187" s="604"/>
      <c r="M187" s="562"/>
      <c r="N187" s="679"/>
      <c r="V187" s="674"/>
      <c r="W187" s="675"/>
      <c r="AC187" s="675"/>
      <c r="AD187" s="680" t="s">
        <v>4356</v>
      </c>
      <c r="AE187" s="675"/>
      <c r="AG187" s="675"/>
    </row>
    <row r="188" spans="1:33" s="536" customFormat="1" ht="12" x14ac:dyDescent="0.2">
      <c r="A188" s="605"/>
      <c r="B188" s="552"/>
      <c r="C188" s="1822" t="s">
        <v>314</v>
      </c>
      <c r="D188" s="1822"/>
      <c r="E188" s="1822"/>
      <c r="F188" s="562" t="s">
        <v>315</v>
      </c>
      <c r="G188" s="562" t="s">
        <v>1533</v>
      </c>
      <c r="H188" s="562" t="s">
        <v>313</v>
      </c>
      <c r="I188" s="562" t="s">
        <v>8864</v>
      </c>
      <c r="J188" s="604"/>
      <c r="K188" s="562"/>
      <c r="L188" s="604"/>
      <c r="M188" s="603"/>
      <c r="N188" s="602"/>
      <c r="V188" s="674"/>
      <c r="W188" s="675"/>
      <c r="AA188" s="537" t="s">
        <v>314</v>
      </c>
      <c r="AC188" s="675"/>
      <c r="AD188" s="680"/>
      <c r="AE188" s="675"/>
      <c r="AG188" s="675"/>
    </row>
    <row r="189" spans="1:33" s="536" customFormat="1" ht="12" x14ac:dyDescent="0.2">
      <c r="A189" s="605"/>
      <c r="B189" s="552"/>
      <c r="C189" s="1822" t="s">
        <v>348</v>
      </c>
      <c r="D189" s="1822"/>
      <c r="E189" s="1822"/>
      <c r="F189" s="562" t="s">
        <v>315</v>
      </c>
      <c r="G189" s="562" t="s">
        <v>2790</v>
      </c>
      <c r="H189" s="562" t="s">
        <v>313</v>
      </c>
      <c r="I189" s="562" t="s">
        <v>197</v>
      </c>
      <c r="J189" s="604"/>
      <c r="K189" s="562"/>
      <c r="L189" s="604"/>
      <c r="M189" s="603"/>
      <c r="N189" s="602"/>
      <c r="V189" s="674"/>
      <c r="W189" s="675"/>
      <c r="AA189" s="537" t="s">
        <v>348</v>
      </c>
      <c r="AC189" s="675"/>
      <c r="AD189" s="680"/>
      <c r="AE189" s="675"/>
      <c r="AG189" s="675"/>
    </row>
    <row r="190" spans="1:33" s="536" customFormat="1" ht="12" x14ac:dyDescent="0.2">
      <c r="A190" s="605"/>
      <c r="B190" s="552"/>
      <c r="C190" s="1828" t="s">
        <v>318</v>
      </c>
      <c r="D190" s="1828"/>
      <c r="E190" s="1828"/>
      <c r="F190" s="608"/>
      <c r="G190" s="608"/>
      <c r="H190" s="608"/>
      <c r="I190" s="608"/>
      <c r="J190" s="607">
        <v>83.5</v>
      </c>
      <c r="K190" s="608"/>
      <c r="L190" s="607">
        <v>2064.8000000000002</v>
      </c>
      <c r="M190" s="601"/>
      <c r="N190" s="606"/>
      <c r="V190" s="674"/>
      <c r="W190" s="675"/>
      <c r="AB190" s="537" t="s">
        <v>318</v>
      </c>
      <c r="AC190" s="675"/>
      <c r="AD190" s="680"/>
      <c r="AE190" s="675"/>
      <c r="AG190" s="675"/>
    </row>
    <row r="191" spans="1:33" s="536" customFormat="1" ht="12" x14ac:dyDescent="0.2">
      <c r="A191" s="605"/>
      <c r="B191" s="552"/>
      <c r="C191" s="1822" t="s">
        <v>319</v>
      </c>
      <c r="D191" s="1822"/>
      <c r="E191" s="1822"/>
      <c r="F191" s="562"/>
      <c r="G191" s="562"/>
      <c r="H191" s="562"/>
      <c r="I191" s="562"/>
      <c r="J191" s="604"/>
      <c r="K191" s="562"/>
      <c r="L191" s="604">
        <v>424.75</v>
      </c>
      <c r="M191" s="603"/>
      <c r="N191" s="602"/>
      <c r="V191" s="674"/>
      <c r="W191" s="675"/>
      <c r="AA191" s="537" t="s">
        <v>319</v>
      </c>
      <c r="AC191" s="675"/>
      <c r="AD191" s="680"/>
      <c r="AE191" s="675"/>
      <c r="AG191" s="675"/>
    </row>
    <row r="192" spans="1:33" s="536" customFormat="1" ht="33.75" x14ac:dyDescent="0.2">
      <c r="A192" s="605"/>
      <c r="B192" s="552" t="s">
        <v>533</v>
      </c>
      <c r="C192" s="1822" t="s">
        <v>534</v>
      </c>
      <c r="D192" s="1822"/>
      <c r="E192" s="1822"/>
      <c r="F192" s="562" t="s">
        <v>322</v>
      </c>
      <c r="G192" s="562" t="s">
        <v>535</v>
      </c>
      <c r="H192" s="562"/>
      <c r="I192" s="562" t="s">
        <v>535</v>
      </c>
      <c r="J192" s="604"/>
      <c r="K192" s="562"/>
      <c r="L192" s="604">
        <v>496.96</v>
      </c>
      <c r="M192" s="603"/>
      <c r="N192" s="602"/>
      <c r="V192" s="674"/>
      <c r="W192" s="675"/>
      <c r="AA192" s="537" t="s">
        <v>534</v>
      </c>
      <c r="AC192" s="675"/>
      <c r="AD192" s="680"/>
      <c r="AE192" s="675"/>
      <c r="AG192" s="675"/>
    </row>
    <row r="193" spans="1:33" s="536" customFormat="1" ht="33.75" x14ac:dyDescent="0.2">
      <c r="A193" s="605"/>
      <c r="B193" s="552" t="s">
        <v>536</v>
      </c>
      <c r="C193" s="1822" t="s">
        <v>537</v>
      </c>
      <c r="D193" s="1822"/>
      <c r="E193" s="1822"/>
      <c r="F193" s="562" t="s">
        <v>322</v>
      </c>
      <c r="G193" s="562" t="s">
        <v>538</v>
      </c>
      <c r="H193" s="562"/>
      <c r="I193" s="562" t="s">
        <v>538</v>
      </c>
      <c r="J193" s="604"/>
      <c r="K193" s="562"/>
      <c r="L193" s="604">
        <v>314.32</v>
      </c>
      <c r="M193" s="603"/>
      <c r="N193" s="602"/>
      <c r="V193" s="674"/>
      <c r="W193" s="675"/>
      <c r="AA193" s="537" t="s">
        <v>537</v>
      </c>
      <c r="AC193" s="675"/>
      <c r="AD193" s="680"/>
      <c r="AE193" s="675"/>
      <c r="AG193" s="675"/>
    </row>
    <row r="194" spans="1:33" s="536" customFormat="1" ht="12" x14ac:dyDescent="0.2">
      <c r="A194" s="569"/>
      <c r="B194" s="671"/>
      <c r="C194" s="1823" t="s">
        <v>327</v>
      </c>
      <c r="D194" s="1823"/>
      <c r="E194" s="1823"/>
      <c r="F194" s="573"/>
      <c r="G194" s="573"/>
      <c r="H194" s="573"/>
      <c r="I194" s="573"/>
      <c r="J194" s="572"/>
      <c r="K194" s="573"/>
      <c r="L194" s="572">
        <v>2876.08</v>
      </c>
      <c r="M194" s="601"/>
      <c r="N194" s="570"/>
      <c r="V194" s="674"/>
      <c r="W194" s="675"/>
      <c r="AC194" s="675" t="s">
        <v>327</v>
      </c>
      <c r="AD194" s="680"/>
      <c r="AE194" s="675"/>
      <c r="AG194" s="675"/>
    </row>
    <row r="195" spans="1:33" s="536" customFormat="1" ht="45" x14ac:dyDescent="0.2">
      <c r="A195" s="575" t="s">
        <v>200</v>
      </c>
      <c r="B195" s="670" t="s">
        <v>4357</v>
      </c>
      <c r="C195" s="1823" t="s">
        <v>4358</v>
      </c>
      <c r="D195" s="1823"/>
      <c r="E195" s="1823"/>
      <c r="F195" s="573" t="s">
        <v>617</v>
      </c>
      <c r="G195" s="573"/>
      <c r="H195" s="573"/>
      <c r="I195" s="573" t="s">
        <v>733</v>
      </c>
      <c r="J195" s="572">
        <v>75</v>
      </c>
      <c r="K195" s="573"/>
      <c r="L195" s="572">
        <v>1500</v>
      </c>
      <c r="M195" s="571"/>
      <c r="N195" s="570"/>
      <c r="V195" s="674"/>
      <c r="W195" s="675" t="s">
        <v>4358</v>
      </c>
      <c r="AC195" s="675"/>
      <c r="AD195" s="680"/>
      <c r="AE195" s="675"/>
      <c r="AG195" s="675"/>
    </row>
    <row r="196" spans="1:33" s="536" customFormat="1" ht="12" x14ac:dyDescent="0.2">
      <c r="A196" s="569"/>
      <c r="B196" s="671"/>
      <c r="C196" s="665" t="s">
        <v>717</v>
      </c>
      <c r="D196" s="666"/>
      <c r="E196" s="666"/>
      <c r="F196" s="563"/>
      <c r="G196" s="563"/>
      <c r="H196" s="563"/>
      <c r="I196" s="563"/>
      <c r="J196" s="566"/>
      <c r="K196" s="563"/>
      <c r="L196" s="566"/>
      <c r="M196" s="565"/>
      <c r="N196" s="564"/>
      <c r="V196" s="674"/>
      <c r="W196" s="675"/>
      <c r="AC196" s="675"/>
      <c r="AD196" s="680"/>
      <c r="AE196" s="675"/>
      <c r="AG196" s="675"/>
    </row>
    <row r="197" spans="1:33" s="536" customFormat="1" ht="33.75" x14ac:dyDescent="0.2">
      <c r="A197" s="575" t="s">
        <v>425</v>
      </c>
      <c r="B197" s="670" t="s">
        <v>4359</v>
      </c>
      <c r="C197" s="1823" t="s">
        <v>4360</v>
      </c>
      <c r="D197" s="1823"/>
      <c r="E197" s="1823"/>
      <c r="F197" s="573" t="s">
        <v>617</v>
      </c>
      <c r="G197" s="573"/>
      <c r="H197" s="573"/>
      <c r="I197" s="573" t="s">
        <v>733</v>
      </c>
      <c r="J197" s="572">
        <v>806.75</v>
      </c>
      <c r="K197" s="573" t="s">
        <v>716</v>
      </c>
      <c r="L197" s="572">
        <v>2663.11</v>
      </c>
      <c r="M197" s="571">
        <v>6.18</v>
      </c>
      <c r="N197" s="570">
        <v>16458</v>
      </c>
      <c r="V197" s="674"/>
      <c r="W197" s="675" t="s">
        <v>4360</v>
      </c>
      <c r="AC197" s="675"/>
      <c r="AD197" s="680"/>
      <c r="AE197" s="675"/>
      <c r="AG197" s="675"/>
    </row>
    <row r="198" spans="1:33" s="536" customFormat="1" ht="12" x14ac:dyDescent="0.2">
      <c r="A198" s="569"/>
      <c r="B198" s="671"/>
      <c r="C198" s="665" t="s">
        <v>717</v>
      </c>
      <c r="D198" s="666"/>
      <c r="E198" s="666"/>
      <c r="F198" s="563"/>
      <c r="G198" s="563"/>
      <c r="H198" s="563"/>
      <c r="I198" s="563"/>
      <c r="J198" s="566"/>
      <c r="K198" s="563"/>
      <c r="L198" s="566"/>
      <c r="M198" s="565"/>
      <c r="N198" s="564"/>
      <c r="V198" s="674"/>
      <c r="W198" s="675"/>
      <c r="AC198" s="675"/>
      <c r="AD198" s="680"/>
      <c r="AE198" s="675"/>
      <c r="AG198" s="675"/>
    </row>
    <row r="199" spans="1:33" s="536" customFormat="1" ht="22.5" x14ac:dyDescent="0.2">
      <c r="A199" s="609"/>
      <c r="B199" s="552" t="s">
        <v>718</v>
      </c>
      <c r="C199" s="1822" t="s">
        <v>719</v>
      </c>
      <c r="D199" s="1822"/>
      <c r="E199" s="1822"/>
      <c r="F199" s="1822"/>
      <c r="G199" s="1822"/>
      <c r="H199" s="1822"/>
      <c r="I199" s="1822"/>
      <c r="J199" s="1822"/>
      <c r="K199" s="1822"/>
      <c r="L199" s="1822"/>
      <c r="M199" s="1822"/>
      <c r="N199" s="1827"/>
      <c r="V199" s="674"/>
      <c r="W199" s="675"/>
      <c r="Y199" s="537" t="s">
        <v>719</v>
      </c>
      <c r="AC199" s="675"/>
      <c r="AD199" s="680"/>
      <c r="AE199" s="675"/>
      <c r="AG199" s="675"/>
    </row>
    <row r="200" spans="1:33" s="536" customFormat="1" ht="33.75" x14ac:dyDescent="0.2">
      <c r="A200" s="575" t="s">
        <v>430</v>
      </c>
      <c r="B200" s="670" t="s">
        <v>4361</v>
      </c>
      <c r="C200" s="1823" t="s">
        <v>4362</v>
      </c>
      <c r="D200" s="1823"/>
      <c r="E200" s="1823"/>
      <c r="F200" s="573" t="s">
        <v>519</v>
      </c>
      <c r="G200" s="573"/>
      <c r="H200" s="573"/>
      <c r="I200" s="573" t="s">
        <v>4363</v>
      </c>
      <c r="J200" s="572"/>
      <c r="K200" s="573"/>
      <c r="L200" s="572"/>
      <c r="M200" s="571"/>
      <c r="N200" s="570"/>
      <c r="V200" s="674"/>
      <c r="W200" s="675" t="s">
        <v>4362</v>
      </c>
      <c r="AC200" s="675"/>
      <c r="AD200" s="680"/>
      <c r="AE200" s="675"/>
      <c r="AG200" s="675"/>
    </row>
    <row r="201" spans="1:33" s="536" customFormat="1" ht="12" x14ac:dyDescent="0.2">
      <c r="A201" s="676"/>
      <c r="B201" s="664"/>
      <c r="C201" s="1822" t="s">
        <v>4364</v>
      </c>
      <c r="D201" s="1822"/>
      <c r="E201" s="1822"/>
      <c r="F201" s="1822"/>
      <c r="G201" s="1822"/>
      <c r="H201" s="1822"/>
      <c r="I201" s="1822"/>
      <c r="J201" s="1822"/>
      <c r="K201" s="1822"/>
      <c r="L201" s="1822"/>
      <c r="M201" s="1822"/>
      <c r="N201" s="1827"/>
      <c r="V201" s="674"/>
      <c r="W201" s="675"/>
      <c r="X201" s="537" t="s">
        <v>4364</v>
      </c>
      <c r="AC201" s="675"/>
      <c r="AD201" s="680"/>
      <c r="AE201" s="675"/>
      <c r="AG201" s="675"/>
    </row>
    <row r="202" spans="1:33" s="536" customFormat="1" ht="22.5" x14ac:dyDescent="0.2">
      <c r="A202" s="609"/>
      <c r="B202" s="552" t="s">
        <v>499</v>
      </c>
      <c r="C202" s="1822" t="s">
        <v>500</v>
      </c>
      <c r="D202" s="1822"/>
      <c r="E202" s="1822"/>
      <c r="F202" s="1822"/>
      <c r="G202" s="1822"/>
      <c r="H202" s="1822"/>
      <c r="I202" s="1822"/>
      <c r="J202" s="1822"/>
      <c r="K202" s="1822"/>
      <c r="L202" s="1822"/>
      <c r="M202" s="1822"/>
      <c r="N202" s="1827"/>
      <c r="V202" s="674"/>
      <c r="W202" s="675"/>
      <c r="Y202" s="537" t="s">
        <v>500</v>
      </c>
      <c r="AC202" s="675"/>
      <c r="AD202" s="680"/>
      <c r="AE202" s="675"/>
      <c r="AG202" s="675"/>
    </row>
    <row r="203" spans="1:33" s="536" customFormat="1" ht="12" x14ac:dyDescent="0.2">
      <c r="A203" s="605"/>
      <c r="B203" s="552" t="s">
        <v>185</v>
      </c>
      <c r="C203" s="1822" t="s">
        <v>312</v>
      </c>
      <c r="D203" s="1822"/>
      <c r="E203" s="1822"/>
      <c r="F203" s="562"/>
      <c r="G203" s="562"/>
      <c r="H203" s="562"/>
      <c r="I203" s="562"/>
      <c r="J203" s="604">
        <v>3230.44</v>
      </c>
      <c r="K203" s="562" t="s">
        <v>313</v>
      </c>
      <c r="L203" s="604">
        <v>1867.6</v>
      </c>
      <c r="M203" s="603"/>
      <c r="N203" s="602"/>
      <c r="V203" s="674"/>
      <c r="W203" s="675"/>
      <c r="Z203" s="537" t="s">
        <v>312</v>
      </c>
      <c r="AC203" s="675"/>
      <c r="AD203" s="680"/>
      <c r="AE203" s="675"/>
      <c r="AG203" s="675"/>
    </row>
    <row r="204" spans="1:33" s="536" customFormat="1" ht="12" x14ac:dyDescent="0.2">
      <c r="A204" s="605"/>
      <c r="B204" s="552" t="s">
        <v>186</v>
      </c>
      <c r="C204" s="1822" t="s">
        <v>344</v>
      </c>
      <c r="D204" s="1822"/>
      <c r="E204" s="1822"/>
      <c r="F204" s="562"/>
      <c r="G204" s="562"/>
      <c r="H204" s="562"/>
      <c r="I204" s="562"/>
      <c r="J204" s="604">
        <v>7695.28</v>
      </c>
      <c r="K204" s="562" t="s">
        <v>313</v>
      </c>
      <c r="L204" s="604">
        <v>4448.83</v>
      </c>
      <c r="M204" s="603"/>
      <c r="N204" s="602"/>
      <c r="V204" s="674"/>
      <c r="W204" s="675"/>
      <c r="Z204" s="537" t="s">
        <v>344</v>
      </c>
      <c r="AC204" s="675"/>
      <c r="AD204" s="680"/>
      <c r="AE204" s="675"/>
      <c r="AG204" s="675"/>
    </row>
    <row r="205" spans="1:33" s="536" customFormat="1" ht="12" x14ac:dyDescent="0.2">
      <c r="A205" s="605"/>
      <c r="B205" s="552" t="s">
        <v>187</v>
      </c>
      <c r="C205" s="1822" t="s">
        <v>345</v>
      </c>
      <c r="D205" s="1822"/>
      <c r="E205" s="1822"/>
      <c r="F205" s="562"/>
      <c r="G205" s="562"/>
      <c r="H205" s="562"/>
      <c r="I205" s="562"/>
      <c r="J205" s="604">
        <v>939.86</v>
      </c>
      <c r="K205" s="562" t="s">
        <v>313</v>
      </c>
      <c r="L205" s="604">
        <v>543.36</v>
      </c>
      <c r="M205" s="603"/>
      <c r="N205" s="602"/>
      <c r="V205" s="674"/>
      <c r="W205" s="675"/>
      <c r="Z205" s="537" t="s">
        <v>345</v>
      </c>
      <c r="AC205" s="675"/>
      <c r="AD205" s="680"/>
      <c r="AE205" s="675"/>
      <c r="AG205" s="675"/>
    </row>
    <row r="206" spans="1:33" s="536" customFormat="1" ht="12" x14ac:dyDescent="0.2">
      <c r="A206" s="605"/>
      <c r="B206" s="552" t="s">
        <v>188</v>
      </c>
      <c r="C206" s="1822" t="s">
        <v>475</v>
      </c>
      <c r="D206" s="1822"/>
      <c r="E206" s="1822"/>
      <c r="F206" s="562"/>
      <c r="G206" s="562"/>
      <c r="H206" s="562"/>
      <c r="I206" s="562"/>
      <c r="J206" s="604">
        <v>219.33</v>
      </c>
      <c r="K206" s="562"/>
      <c r="L206" s="604">
        <v>101.44</v>
      </c>
      <c r="M206" s="603"/>
      <c r="N206" s="602"/>
      <c r="V206" s="674"/>
      <c r="W206" s="675"/>
      <c r="Z206" s="537" t="s">
        <v>475</v>
      </c>
      <c r="AC206" s="675"/>
      <c r="AD206" s="680"/>
      <c r="AE206" s="675"/>
      <c r="AG206" s="675"/>
    </row>
    <row r="207" spans="1:33" s="536" customFormat="1" ht="12" x14ac:dyDescent="0.2">
      <c r="A207" s="676"/>
      <c r="B207" s="677" t="s">
        <v>2458</v>
      </c>
      <c r="C207" s="1829" t="s">
        <v>2459</v>
      </c>
      <c r="D207" s="1829"/>
      <c r="E207" s="1829"/>
      <c r="F207" s="678" t="s">
        <v>483</v>
      </c>
      <c r="G207" s="678" t="s">
        <v>2473</v>
      </c>
      <c r="H207" s="678"/>
      <c r="I207" s="678" t="s">
        <v>4365</v>
      </c>
      <c r="J207" s="552"/>
      <c r="K207" s="562"/>
      <c r="L207" s="604"/>
      <c r="M207" s="562"/>
      <c r="N207" s="679"/>
      <c r="V207" s="674"/>
      <c r="W207" s="675"/>
      <c r="AC207" s="675"/>
      <c r="AD207" s="680" t="s">
        <v>2459</v>
      </c>
      <c r="AE207" s="675"/>
      <c r="AG207" s="675"/>
    </row>
    <row r="208" spans="1:33" s="536" customFormat="1" ht="22.5" x14ac:dyDescent="0.2">
      <c r="A208" s="605"/>
      <c r="B208" s="552"/>
      <c r="C208" s="1822" t="s">
        <v>314</v>
      </c>
      <c r="D208" s="1822"/>
      <c r="E208" s="1822"/>
      <c r="F208" s="562" t="s">
        <v>315</v>
      </c>
      <c r="G208" s="562" t="s">
        <v>4366</v>
      </c>
      <c r="H208" s="562" t="s">
        <v>313</v>
      </c>
      <c r="I208" s="562" t="s">
        <v>4367</v>
      </c>
      <c r="J208" s="604"/>
      <c r="K208" s="562"/>
      <c r="L208" s="604"/>
      <c r="M208" s="603"/>
      <c r="N208" s="602"/>
      <c r="V208" s="674"/>
      <c r="W208" s="675"/>
      <c r="AA208" s="537" t="s">
        <v>314</v>
      </c>
      <c r="AC208" s="675"/>
      <c r="AD208" s="680"/>
      <c r="AE208" s="675"/>
      <c r="AG208" s="675"/>
    </row>
    <row r="209" spans="1:33" s="536" customFormat="1" ht="22.5" x14ac:dyDescent="0.2">
      <c r="A209" s="605"/>
      <c r="B209" s="552"/>
      <c r="C209" s="1822" t="s">
        <v>348</v>
      </c>
      <c r="D209" s="1822"/>
      <c r="E209" s="1822"/>
      <c r="F209" s="562" t="s">
        <v>315</v>
      </c>
      <c r="G209" s="562" t="s">
        <v>4368</v>
      </c>
      <c r="H209" s="562" t="s">
        <v>313</v>
      </c>
      <c r="I209" s="562" t="s">
        <v>4369</v>
      </c>
      <c r="J209" s="604"/>
      <c r="K209" s="562"/>
      <c r="L209" s="604"/>
      <c r="M209" s="603"/>
      <c r="N209" s="602"/>
      <c r="V209" s="674"/>
      <c r="W209" s="675"/>
      <c r="AA209" s="537" t="s">
        <v>348</v>
      </c>
      <c r="AC209" s="675"/>
      <c r="AD209" s="680"/>
      <c r="AE209" s="675"/>
      <c r="AG209" s="675"/>
    </row>
    <row r="210" spans="1:33" s="536" customFormat="1" ht="12" x14ac:dyDescent="0.2">
      <c r="A210" s="605"/>
      <c r="B210" s="552"/>
      <c r="C210" s="1828" t="s">
        <v>318</v>
      </c>
      <c r="D210" s="1828"/>
      <c r="E210" s="1828"/>
      <c r="F210" s="608"/>
      <c r="G210" s="608"/>
      <c r="H210" s="608"/>
      <c r="I210" s="608"/>
      <c r="J210" s="607">
        <v>11145.05</v>
      </c>
      <c r="K210" s="608"/>
      <c r="L210" s="607">
        <v>6417.87</v>
      </c>
      <c r="M210" s="601"/>
      <c r="N210" s="606"/>
      <c r="V210" s="674"/>
      <c r="W210" s="675"/>
      <c r="AB210" s="537" t="s">
        <v>318</v>
      </c>
      <c r="AC210" s="675"/>
      <c r="AD210" s="680"/>
      <c r="AE210" s="675"/>
      <c r="AG210" s="675"/>
    </row>
    <row r="211" spans="1:33" s="536" customFormat="1" ht="12" x14ac:dyDescent="0.2">
      <c r="A211" s="605"/>
      <c r="B211" s="552"/>
      <c r="C211" s="1822" t="s">
        <v>319</v>
      </c>
      <c r="D211" s="1822"/>
      <c r="E211" s="1822"/>
      <c r="F211" s="562"/>
      <c r="G211" s="562"/>
      <c r="H211" s="562"/>
      <c r="I211" s="562"/>
      <c r="J211" s="604"/>
      <c r="K211" s="562"/>
      <c r="L211" s="604">
        <v>2410.96</v>
      </c>
      <c r="M211" s="603"/>
      <c r="N211" s="602"/>
      <c r="V211" s="674"/>
      <c r="W211" s="675"/>
      <c r="AA211" s="537" t="s">
        <v>319</v>
      </c>
      <c r="AC211" s="675"/>
      <c r="AD211" s="680"/>
      <c r="AE211" s="675"/>
      <c r="AG211" s="675"/>
    </row>
    <row r="212" spans="1:33" s="536" customFormat="1" ht="33.75" x14ac:dyDescent="0.2">
      <c r="A212" s="605"/>
      <c r="B212" s="552" t="s">
        <v>533</v>
      </c>
      <c r="C212" s="1822" t="s">
        <v>534</v>
      </c>
      <c r="D212" s="1822"/>
      <c r="E212" s="1822"/>
      <c r="F212" s="562" t="s">
        <v>322</v>
      </c>
      <c r="G212" s="562" t="s">
        <v>535</v>
      </c>
      <c r="H212" s="562"/>
      <c r="I212" s="562" t="s">
        <v>535</v>
      </c>
      <c r="J212" s="604"/>
      <c r="K212" s="562"/>
      <c r="L212" s="604">
        <v>2820.82</v>
      </c>
      <c r="M212" s="603"/>
      <c r="N212" s="602"/>
      <c r="V212" s="674"/>
      <c r="W212" s="675"/>
      <c r="AA212" s="537" t="s">
        <v>534</v>
      </c>
      <c r="AC212" s="675"/>
      <c r="AD212" s="680"/>
      <c r="AE212" s="675"/>
      <c r="AG212" s="675"/>
    </row>
    <row r="213" spans="1:33" s="536" customFormat="1" ht="33.75" x14ac:dyDescent="0.2">
      <c r="A213" s="605"/>
      <c r="B213" s="552" t="s">
        <v>536</v>
      </c>
      <c r="C213" s="1822" t="s">
        <v>537</v>
      </c>
      <c r="D213" s="1822"/>
      <c r="E213" s="1822"/>
      <c r="F213" s="562" t="s">
        <v>322</v>
      </c>
      <c r="G213" s="562" t="s">
        <v>538</v>
      </c>
      <c r="H213" s="562"/>
      <c r="I213" s="562" t="s">
        <v>538</v>
      </c>
      <c r="J213" s="604"/>
      <c r="K213" s="562"/>
      <c r="L213" s="604">
        <v>1784.11</v>
      </c>
      <c r="M213" s="603"/>
      <c r="N213" s="602"/>
      <c r="V213" s="674"/>
      <c r="W213" s="675"/>
      <c r="AA213" s="537" t="s">
        <v>537</v>
      </c>
      <c r="AC213" s="675"/>
      <c r="AD213" s="680"/>
      <c r="AE213" s="675"/>
      <c r="AG213" s="675"/>
    </row>
    <row r="214" spans="1:33" s="536" customFormat="1" ht="12" x14ac:dyDescent="0.2">
      <c r="A214" s="569"/>
      <c r="B214" s="671"/>
      <c r="C214" s="1823" t="s">
        <v>327</v>
      </c>
      <c r="D214" s="1823"/>
      <c r="E214" s="1823"/>
      <c r="F214" s="573"/>
      <c r="G214" s="573"/>
      <c r="H214" s="573"/>
      <c r="I214" s="573"/>
      <c r="J214" s="572"/>
      <c r="K214" s="573"/>
      <c r="L214" s="572">
        <v>11022.8</v>
      </c>
      <c r="M214" s="601"/>
      <c r="N214" s="570"/>
      <c r="V214" s="674"/>
      <c r="W214" s="675"/>
      <c r="AC214" s="675" t="s">
        <v>327</v>
      </c>
      <c r="AD214" s="680"/>
      <c r="AE214" s="675"/>
      <c r="AG214" s="675"/>
    </row>
    <row r="215" spans="1:33" s="536" customFormat="1" ht="22.5" x14ac:dyDescent="0.2">
      <c r="A215" s="575" t="s">
        <v>436</v>
      </c>
      <c r="B215" s="670" t="s">
        <v>4370</v>
      </c>
      <c r="C215" s="1823" t="s">
        <v>4371</v>
      </c>
      <c r="D215" s="1823"/>
      <c r="E215" s="1823"/>
      <c r="F215" s="573" t="s">
        <v>694</v>
      </c>
      <c r="G215" s="573"/>
      <c r="H215" s="573"/>
      <c r="I215" s="573" t="s">
        <v>4372</v>
      </c>
      <c r="J215" s="572"/>
      <c r="K215" s="573"/>
      <c r="L215" s="572"/>
      <c r="M215" s="571"/>
      <c r="N215" s="570"/>
      <c r="V215" s="674"/>
      <c r="W215" s="675" t="s">
        <v>4371</v>
      </c>
      <c r="AC215" s="675"/>
      <c r="AD215" s="680"/>
      <c r="AE215" s="675"/>
      <c r="AG215" s="675"/>
    </row>
    <row r="216" spans="1:33" s="536" customFormat="1" ht="12" x14ac:dyDescent="0.2">
      <c r="A216" s="676"/>
      <c r="B216" s="664"/>
      <c r="C216" s="1822" t="s">
        <v>4373</v>
      </c>
      <c r="D216" s="1822"/>
      <c r="E216" s="1822"/>
      <c r="F216" s="1822"/>
      <c r="G216" s="1822"/>
      <c r="H216" s="1822"/>
      <c r="I216" s="1822"/>
      <c r="J216" s="1822"/>
      <c r="K216" s="1822"/>
      <c r="L216" s="1822"/>
      <c r="M216" s="1822"/>
      <c r="N216" s="1827"/>
      <c r="V216" s="674"/>
      <c r="W216" s="675"/>
      <c r="X216" s="537" t="s">
        <v>4373</v>
      </c>
      <c r="AC216" s="675"/>
      <c r="AD216" s="680"/>
      <c r="AE216" s="675"/>
      <c r="AG216" s="675"/>
    </row>
    <row r="217" spans="1:33" s="536" customFormat="1" ht="22.5" x14ac:dyDescent="0.2">
      <c r="A217" s="609"/>
      <c r="B217" s="552" t="s">
        <v>499</v>
      </c>
      <c r="C217" s="1822" t="s">
        <v>500</v>
      </c>
      <c r="D217" s="1822"/>
      <c r="E217" s="1822"/>
      <c r="F217" s="1822"/>
      <c r="G217" s="1822"/>
      <c r="H217" s="1822"/>
      <c r="I217" s="1822"/>
      <c r="J217" s="1822"/>
      <c r="K217" s="1822"/>
      <c r="L217" s="1822"/>
      <c r="M217" s="1822"/>
      <c r="N217" s="1827"/>
      <c r="V217" s="674"/>
      <c r="W217" s="675"/>
      <c r="Y217" s="537" t="s">
        <v>500</v>
      </c>
      <c r="AC217" s="675"/>
      <c r="AD217" s="680"/>
      <c r="AE217" s="675"/>
      <c r="AG217" s="675"/>
    </row>
    <row r="218" spans="1:33" s="536" customFormat="1" ht="12" x14ac:dyDescent="0.2">
      <c r="A218" s="605"/>
      <c r="B218" s="552" t="s">
        <v>185</v>
      </c>
      <c r="C218" s="1822" t="s">
        <v>312</v>
      </c>
      <c r="D218" s="1822"/>
      <c r="E218" s="1822"/>
      <c r="F218" s="562"/>
      <c r="G218" s="562"/>
      <c r="H218" s="562"/>
      <c r="I218" s="562"/>
      <c r="J218" s="604">
        <v>1637.99</v>
      </c>
      <c r="K218" s="562" t="s">
        <v>313</v>
      </c>
      <c r="L218" s="604">
        <v>418.92</v>
      </c>
      <c r="M218" s="603"/>
      <c r="N218" s="602"/>
      <c r="V218" s="674"/>
      <c r="W218" s="675"/>
      <c r="Z218" s="537" t="s">
        <v>312</v>
      </c>
      <c r="AC218" s="675"/>
      <c r="AD218" s="680"/>
      <c r="AE218" s="675"/>
      <c r="AG218" s="675"/>
    </row>
    <row r="219" spans="1:33" s="536" customFormat="1" ht="12" x14ac:dyDescent="0.2">
      <c r="A219" s="605"/>
      <c r="B219" s="552" t="s">
        <v>186</v>
      </c>
      <c r="C219" s="1822" t="s">
        <v>344</v>
      </c>
      <c r="D219" s="1822"/>
      <c r="E219" s="1822"/>
      <c r="F219" s="562"/>
      <c r="G219" s="562"/>
      <c r="H219" s="562"/>
      <c r="I219" s="562"/>
      <c r="J219" s="604">
        <v>10105.24</v>
      </c>
      <c r="K219" s="562" t="s">
        <v>313</v>
      </c>
      <c r="L219" s="604">
        <v>2584.42</v>
      </c>
      <c r="M219" s="603"/>
      <c r="N219" s="602"/>
      <c r="V219" s="674"/>
      <c r="W219" s="675"/>
      <c r="Z219" s="537" t="s">
        <v>344</v>
      </c>
      <c r="AC219" s="675"/>
      <c r="AD219" s="680"/>
      <c r="AE219" s="675"/>
      <c r="AG219" s="675"/>
    </row>
    <row r="220" spans="1:33" s="536" customFormat="1" ht="12" x14ac:dyDescent="0.2">
      <c r="A220" s="605"/>
      <c r="B220" s="552" t="s">
        <v>187</v>
      </c>
      <c r="C220" s="1822" t="s">
        <v>345</v>
      </c>
      <c r="D220" s="1822"/>
      <c r="E220" s="1822"/>
      <c r="F220" s="562"/>
      <c r="G220" s="562"/>
      <c r="H220" s="562"/>
      <c r="I220" s="562"/>
      <c r="J220" s="604">
        <v>1013.58</v>
      </c>
      <c r="K220" s="562" t="s">
        <v>313</v>
      </c>
      <c r="L220" s="604">
        <v>259.22000000000003</v>
      </c>
      <c r="M220" s="603"/>
      <c r="N220" s="602"/>
      <c r="V220" s="674"/>
      <c r="W220" s="675"/>
      <c r="Z220" s="537" t="s">
        <v>345</v>
      </c>
      <c r="AC220" s="675"/>
      <c r="AD220" s="680"/>
      <c r="AE220" s="675"/>
      <c r="AG220" s="675"/>
    </row>
    <row r="221" spans="1:33" s="536" customFormat="1" ht="12" x14ac:dyDescent="0.2">
      <c r="A221" s="605"/>
      <c r="B221" s="552" t="s">
        <v>188</v>
      </c>
      <c r="C221" s="1822" t="s">
        <v>475</v>
      </c>
      <c r="D221" s="1822"/>
      <c r="E221" s="1822"/>
      <c r="F221" s="562"/>
      <c r="G221" s="562"/>
      <c r="H221" s="562"/>
      <c r="I221" s="562"/>
      <c r="J221" s="604">
        <v>6065.44</v>
      </c>
      <c r="K221" s="562"/>
      <c r="L221" s="604">
        <v>1240.99</v>
      </c>
      <c r="M221" s="603"/>
      <c r="N221" s="602"/>
      <c r="V221" s="674"/>
      <c r="W221" s="675"/>
      <c r="Z221" s="537" t="s">
        <v>475</v>
      </c>
      <c r="AC221" s="675"/>
      <c r="AD221" s="680"/>
      <c r="AE221" s="675"/>
      <c r="AG221" s="675"/>
    </row>
    <row r="222" spans="1:33" s="536" customFormat="1" ht="12" x14ac:dyDescent="0.2">
      <c r="A222" s="676"/>
      <c r="B222" s="677" t="s">
        <v>4334</v>
      </c>
      <c r="C222" s="1829" t="s">
        <v>4335</v>
      </c>
      <c r="D222" s="1829"/>
      <c r="E222" s="1829"/>
      <c r="F222" s="678" t="s">
        <v>638</v>
      </c>
      <c r="G222" s="678" t="s">
        <v>525</v>
      </c>
      <c r="H222" s="678"/>
      <c r="I222" s="678" t="s">
        <v>525</v>
      </c>
      <c r="J222" s="552"/>
      <c r="K222" s="562"/>
      <c r="L222" s="604"/>
      <c r="M222" s="562"/>
      <c r="N222" s="679"/>
      <c r="V222" s="674"/>
      <c r="W222" s="675"/>
      <c r="AC222" s="675"/>
      <c r="AD222" s="680" t="s">
        <v>4335</v>
      </c>
      <c r="AE222" s="675"/>
      <c r="AG222" s="675"/>
    </row>
    <row r="223" spans="1:33" s="536" customFormat="1" ht="12" x14ac:dyDescent="0.2">
      <c r="A223" s="605"/>
      <c r="B223" s="552"/>
      <c r="C223" s="1822" t="s">
        <v>314</v>
      </c>
      <c r="D223" s="1822"/>
      <c r="E223" s="1822"/>
      <c r="F223" s="562" t="s">
        <v>315</v>
      </c>
      <c r="G223" s="562" t="s">
        <v>4374</v>
      </c>
      <c r="H223" s="562" t="s">
        <v>313</v>
      </c>
      <c r="I223" s="562" t="s">
        <v>4375</v>
      </c>
      <c r="J223" s="604"/>
      <c r="K223" s="562"/>
      <c r="L223" s="604"/>
      <c r="M223" s="603"/>
      <c r="N223" s="602"/>
      <c r="V223" s="674"/>
      <c r="W223" s="675"/>
      <c r="AA223" s="537" t="s">
        <v>314</v>
      </c>
      <c r="AC223" s="675"/>
      <c r="AD223" s="680"/>
      <c r="AE223" s="675"/>
      <c r="AG223" s="675"/>
    </row>
    <row r="224" spans="1:33" s="536" customFormat="1" ht="12" x14ac:dyDescent="0.2">
      <c r="A224" s="605"/>
      <c r="B224" s="552"/>
      <c r="C224" s="1822" t="s">
        <v>348</v>
      </c>
      <c r="D224" s="1822"/>
      <c r="E224" s="1822"/>
      <c r="F224" s="562" t="s">
        <v>315</v>
      </c>
      <c r="G224" s="562" t="s">
        <v>4376</v>
      </c>
      <c r="H224" s="562" t="s">
        <v>313</v>
      </c>
      <c r="I224" s="562" t="s">
        <v>4377</v>
      </c>
      <c r="J224" s="604"/>
      <c r="K224" s="562"/>
      <c r="L224" s="604"/>
      <c r="M224" s="603"/>
      <c r="N224" s="602"/>
      <c r="V224" s="674"/>
      <c r="W224" s="675"/>
      <c r="AA224" s="537" t="s">
        <v>348</v>
      </c>
      <c r="AC224" s="675"/>
      <c r="AD224" s="680"/>
      <c r="AE224" s="675"/>
      <c r="AG224" s="675"/>
    </row>
    <row r="225" spans="1:33" s="536" customFormat="1" ht="12" x14ac:dyDescent="0.2">
      <c r="A225" s="605"/>
      <c r="B225" s="552"/>
      <c r="C225" s="1828" t="s">
        <v>318</v>
      </c>
      <c r="D225" s="1828"/>
      <c r="E225" s="1828"/>
      <c r="F225" s="608"/>
      <c r="G225" s="608"/>
      <c r="H225" s="608"/>
      <c r="I225" s="608"/>
      <c r="J225" s="607">
        <v>17808.669999999998</v>
      </c>
      <c r="K225" s="608"/>
      <c r="L225" s="607">
        <v>4244.33</v>
      </c>
      <c r="M225" s="601"/>
      <c r="N225" s="606"/>
      <c r="V225" s="674"/>
      <c r="W225" s="675"/>
      <c r="AB225" s="537" t="s">
        <v>318</v>
      </c>
      <c r="AC225" s="675"/>
      <c r="AD225" s="680"/>
      <c r="AE225" s="675"/>
      <c r="AG225" s="675"/>
    </row>
    <row r="226" spans="1:33" s="536" customFormat="1" ht="12" x14ac:dyDescent="0.2">
      <c r="A226" s="605"/>
      <c r="B226" s="552"/>
      <c r="C226" s="1822" t="s">
        <v>319</v>
      </c>
      <c r="D226" s="1822"/>
      <c r="E226" s="1822"/>
      <c r="F226" s="562"/>
      <c r="G226" s="562"/>
      <c r="H226" s="562"/>
      <c r="I226" s="562"/>
      <c r="J226" s="604"/>
      <c r="K226" s="562"/>
      <c r="L226" s="604">
        <v>678.14</v>
      </c>
      <c r="M226" s="603"/>
      <c r="N226" s="602"/>
      <c r="V226" s="674"/>
      <c r="W226" s="675"/>
      <c r="AA226" s="537" t="s">
        <v>319</v>
      </c>
      <c r="AC226" s="675"/>
      <c r="AD226" s="680"/>
      <c r="AE226" s="675"/>
      <c r="AG226" s="675"/>
    </row>
    <row r="227" spans="1:33" s="536" customFormat="1" ht="33.75" x14ac:dyDescent="0.2">
      <c r="A227" s="605"/>
      <c r="B227" s="552" t="s">
        <v>533</v>
      </c>
      <c r="C227" s="1822" t="s">
        <v>534</v>
      </c>
      <c r="D227" s="1822"/>
      <c r="E227" s="1822"/>
      <c r="F227" s="562" t="s">
        <v>322</v>
      </c>
      <c r="G227" s="562" t="s">
        <v>535</v>
      </c>
      <c r="H227" s="562"/>
      <c r="I227" s="562" t="s">
        <v>535</v>
      </c>
      <c r="J227" s="604"/>
      <c r="K227" s="562"/>
      <c r="L227" s="604">
        <v>793.42</v>
      </c>
      <c r="M227" s="603"/>
      <c r="N227" s="602"/>
      <c r="V227" s="674"/>
      <c r="W227" s="675"/>
      <c r="AA227" s="537" t="s">
        <v>534</v>
      </c>
      <c r="AC227" s="675"/>
      <c r="AD227" s="680"/>
      <c r="AE227" s="675"/>
      <c r="AG227" s="675"/>
    </row>
    <row r="228" spans="1:33" s="536" customFormat="1" ht="33.75" x14ac:dyDescent="0.2">
      <c r="A228" s="605"/>
      <c r="B228" s="552" t="s">
        <v>536</v>
      </c>
      <c r="C228" s="1822" t="s">
        <v>537</v>
      </c>
      <c r="D228" s="1822"/>
      <c r="E228" s="1822"/>
      <c r="F228" s="562" t="s">
        <v>322</v>
      </c>
      <c r="G228" s="562" t="s">
        <v>538</v>
      </c>
      <c r="H228" s="562"/>
      <c r="I228" s="562" t="s">
        <v>538</v>
      </c>
      <c r="J228" s="604"/>
      <c r="K228" s="562"/>
      <c r="L228" s="604">
        <v>501.82</v>
      </c>
      <c r="M228" s="603"/>
      <c r="N228" s="602"/>
      <c r="V228" s="674"/>
      <c r="W228" s="675"/>
      <c r="AA228" s="537" t="s">
        <v>537</v>
      </c>
      <c r="AC228" s="675"/>
      <c r="AD228" s="680"/>
      <c r="AE228" s="675"/>
      <c r="AG228" s="675"/>
    </row>
    <row r="229" spans="1:33" s="536" customFormat="1" ht="12" x14ac:dyDescent="0.2">
      <c r="A229" s="569"/>
      <c r="B229" s="671"/>
      <c r="C229" s="1823" t="s">
        <v>327</v>
      </c>
      <c r="D229" s="1823"/>
      <c r="E229" s="1823"/>
      <c r="F229" s="573"/>
      <c r="G229" s="573"/>
      <c r="H229" s="573"/>
      <c r="I229" s="573"/>
      <c r="J229" s="572"/>
      <c r="K229" s="573"/>
      <c r="L229" s="572">
        <v>5539.57</v>
      </c>
      <c r="M229" s="601"/>
      <c r="N229" s="570"/>
      <c r="V229" s="674"/>
      <c r="W229" s="675"/>
      <c r="AC229" s="675" t="s">
        <v>327</v>
      </c>
      <c r="AD229" s="680"/>
      <c r="AE229" s="675"/>
      <c r="AG229" s="675"/>
    </row>
    <row r="230" spans="1:33" s="536" customFormat="1" ht="33.75" x14ac:dyDescent="0.2">
      <c r="A230" s="575" t="s">
        <v>733</v>
      </c>
      <c r="B230" s="670" t="s">
        <v>4378</v>
      </c>
      <c r="C230" s="1823" t="s">
        <v>4379</v>
      </c>
      <c r="D230" s="1823"/>
      <c r="E230" s="1823"/>
      <c r="F230" s="573" t="s">
        <v>617</v>
      </c>
      <c r="G230" s="573"/>
      <c r="H230" s="573"/>
      <c r="I230" s="573" t="s">
        <v>186</v>
      </c>
      <c r="J230" s="572">
        <v>10295.25</v>
      </c>
      <c r="K230" s="573" t="s">
        <v>716</v>
      </c>
      <c r="L230" s="572">
        <v>3398.38</v>
      </c>
      <c r="M230" s="571">
        <v>6.18</v>
      </c>
      <c r="N230" s="570">
        <v>21002</v>
      </c>
      <c r="V230" s="674"/>
      <c r="W230" s="675" t="s">
        <v>4379</v>
      </c>
      <c r="AC230" s="675"/>
      <c r="AD230" s="680"/>
      <c r="AE230" s="675"/>
      <c r="AG230" s="675"/>
    </row>
    <row r="231" spans="1:33" s="536" customFormat="1" ht="12" x14ac:dyDescent="0.2">
      <c r="A231" s="569"/>
      <c r="B231" s="671"/>
      <c r="C231" s="665" t="s">
        <v>717</v>
      </c>
      <c r="D231" s="666"/>
      <c r="E231" s="666"/>
      <c r="F231" s="563"/>
      <c r="G231" s="563"/>
      <c r="H231" s="563"/>
      <c r="I231" s="563"/>
      <c r="J231" s="566"/>
      <c r="K231" s="563"/>
      <c r="L231" s="566"/>
      <c r="M231" s="565"/>
      <c r="N231" s="564"/>
      <c r="V231" s="674"/>
      <c r="W231" s="675"/>
      <c r="AC231" s="675"/>
      <c r="AD231" s="680"/>
      <c r="AE231" s="675"/>
      <c r="AG231" s="675"/>
    </row>
    <row r="232" spans="1:33" s="536" customFormat="1" ht="22.5" x14ac:dyDescent="0.2">
      <c r="A232" s="609"/>
      <c r="B232" s="552" t="s">
        <v>718</v>
      </c>
      <c r="C232" s="1822" t="s">
        <v>719</v>
      </c>
      <c r="D232" s="1822"/>
      <c r="E232" s="1822"/>
      <c r="F232" s="1822"/>
      <c r="G232" s="1822"/>
      <c r="H232" s="1822"/>
      <c r="I232" s="1822"/>
      <c r="J232" s="1822"/>
      <c r="K232" s="1822"/>
      <c r="L232" s="1822"/>
      <c r="M232" s="1822"/>
      <c r="N232" s="1827"/>
      <c r="V232" s="674"/>
      <c r="W232" s="675"/>
      <c r="Y232" s="537" t="s">
        <v>719</v>
      </c>
      <c r="AC232" s="675"/>
      <c r="AD232" s="680"/>
      <c r="AE232" s="675"/>
      <c r="AG232" s="675"/>
    </row>
    <row r="233" spans="1:33" s="536" customFormat="1" ht="33.75" x14ac:dyDescent="0.2">
      <c r="A233" s="575" t="s">
        <v>736</v>
      </c>
      <c r="B233" s="670" t="s">
        <v>4382</v>
      </c>
      <c r="C233" s="1823" t="s">
        <v>4383</v>
      </c>
      <c r="D233" s="1823"/>
      <c r="E233" s="1823"/>
      <c r="F233" s="573" t="s">
        <v>617</v>
      </c>
      <c r="G233" s="573"/>
      <c r="H233" s="573"/>
      <c r="I233" s="573" t="s">
        <v>186</v>
      </c>
      <c r="J233" s="572">
        <v>17697.75</v>
      </c>
      <c r="K233" s="573" t="s">
        <v>716</v>
      </c>
      <c r="L233" s="572">
        <v>5841.91</v>
      </c>
      <c r="M233" s="571">
        <v>6.18</v>
      </c>
      <c r="N233" s="570">
        <v>36103</v>
      </c>
      <c r="V233" s="674"/>
      <c r="W233" s="675" t="s">
        <v>4383</v>
      </c>
      <c r="AC233" s="675"/>
      <c r="AD233" s="680"/>
      <c r="AE233" s="675"/>
      <c r="AG233" s="675"/>
    </row>
    <row r="234" spans="1:33" s="536" customFormat="1" ht="12" x14ac:dyDescent="0.2">
      <c r="A234" s="569"/>
      <c r="B234" s="671"/>
      <c r="C234" s="665" t="s">
        <v>717</v>
      </c>
      <c r="D234" s="666"/>
      <c r="E234" s="666"/>
      <c r="F234" s="563"/>
      <c r="G234" s="563"/>
      <c r="H234" s="563"/>
      <c r="I234" s="563"/>
      <c r="J234" s="566"/>
      <c r="K234" s="563"/>
      <c r="L234" s="566"/>
      <c r="M234" s="565"/>
      <c r="N234" s="564"/>
      <c r="V234" s="674"/>
      <c r="W234" s="675"/>
      <c r="AC234" s="675"/>
      <c r="AD234" s="680"/>
      <c r="AE234" s="675"/>
      <c r="AG234" s="675"/>
    </row>
    <row r="235" spans="1:33" s="536" customFormat="1" ht="22.5" x14ac:dyDescent="0.2">
      <c r="A235" s="609"/>
      <c r="B235" s="552" t="s">
        <v>718</v>
      </c>
      <c r="C235" s="1822" t="s">
        <v>719</v>
      </c>
      <c r="D235" s="1822"/>
      <c r="E235" s="1822"/>
      <c r="F235" s="1822"/>
      <c r="G235" s="1822"/>
      <c r="H235" s="1822"/>
      <c r="I235" s="1822"/>
      <c r="J235" s="1822"/>
      <c r="K235" s="1822"/>
      <c r="L235" s="1822"/>
      <c r="M235" s="1822"/>
      <c r="N235" s="1827"/>
      <c r="V235" s="674"/>
      <c r="W235" s="675"/>
      <c r="Y235" s="537" t="s">
        <v>719</v>
      </c>
      <c r="AC235" s="675"/>
      <c r="AD235" s="680"/>
      <c r="AE235" s="675"/>
      <c r="AG235" s="675"/>
    </row>
    <row r="236" spans="1:33" s="536" customFormat="1" ht="33.75" x14ac:dyDescent="0.2">
      <c r="A236" s="575" t="s">
        <v>1067</v>
      </c>
      <c r="B236" s="670" t="s">
        <v>4380</v>
      </c>
      <c r="C236" s="1823" t="s">
        <v>4381</v>
      </c>
      <c r="D236" s="1823"/>
      <c r="E236" s="1823"/>
      <c r="F236" s="573" t="s">
        <v>617</v>
      </c>
      <c r="G236" s="573"/>
      <c r="H236" s="573"/>
      <c r="I236" s="573" t="s">
        <v>186</v>
      </c>
      <c r="J236" s="572">
        <v>4641.87</v>
      </c>
      <c r="K236" s="573" t="s">
        <v>716</v>
      </c>
      <c r="L236" s="572">
        <v>1532.2</v>
      </c>
      <c r="M236" s="571">
        <v>6.18</v>
      </c>
      <c r="N236" s="570">
        <v>9469</v>
      </c>
      <c r="V236" s="674"/>
      <c r="W236" s="675" t="s">
        <v>4381</v>
      </c>
      <c r="AC236" s="675"/>
      <c r="AD236" s="680"/>
      <c r="AE236" s="675"/>
      <c r="AG236" s="675"/>
    </row>
    <row r="237" spans="1:33" s="536" customFormat="1" ht="12" x14ac:dyDescent="0.2">
      <c r="A237" s="569"/>
      <c r="B237" s="671"/>
      <c r="C237" s="665" t="s">
        <v>717</v>
      </c>
      <c r="D237" s="666"/>
      <c r="E237" s="666"/>
      <c r="F237" s="563"/>
      <c r="G237" s="563"/>
      <c r="H237" s="563"/>
      <c r="I237" s="563"/>
      <c r="J237" s="566"/>
      <c r="K237" s="563"/>
      <c r="L237" s="566"/>
      <c r="M237" s="565"/>
      <c r="N237" s="564"/>
      <c r="V237" s="674"/>
      <c r="W237" s="675"/>
      <c r="AC237" s="675"/>
      <c r="AD237" s="680"/>
      <c r="AE237" s="675"/>
      <c r="AG237" s="675"/>
    </row>
    <row r="238" spans="1:33" s="536" customFormat="1" ht="22.5" x14ac:dyDescent="0.2">
      <c r="A238" s="609"/>
      <c r="B238" s="552" t="s">
        <v>718</v>
      </c>
      <c r="C238" s="1822" t="s">
        <v>719</v>
      </c>
      <c r="D238" s="1822"/>
      <c r="E238" s="1822"/>
      <c r="F238" s="1822"/>
      <c r="G238" s="1822"/>
      <c r="H238" s="1822"/>
      <c r="I238" s="1822"/>
      <c r="J238" s="1822"/>
      <c r="K238" s="1822"/>
      <c r="L238" s="1822"/>
      <c r="M238" s="1822"/>
      <c r="N238" s="1827"/>
      <c r="V238" s="674"/>
      <c r="W238" s="675"/>
      <c r="Y238" s="537" t="s">
        <v>719</v>
      </c>
      <c r="AC238" s="675"/>
      <c r="AD238" s="680"/>
      <c r="AE238" s="675"/>
      <c r="AG238" s="675"/>
    </row>
    <row r="239" spans="1:33" s="536" customFormat="1" ht="22.5" x14ac:dyDescent="0.2">
      <c r="A239" s="575" t="s">
        <v>912</v>
      </c>
      <c r="B239" s="670" t="s">
        <v>4384</v>
      </c>
      <c r="C239" s="1823" t="s">
        <v>4385</v>
      </c>
      <c r="D239" s="1823"/>
      <c r="E239" s="1823"/>
      <c r="F239" s="573" t="s">
        <v>617</v>
      </c>
      <c r="G239" s="573"/>
      <c r="H239" s="573"/>
      <c r="I239" s="573" t="s">
        <v>186</v>
      </c>
      <c r="J239" s="572"/>
      <c r="K239" s="573"/>
      <c r="L239" s="572"/>
      <c r="M239" s="571"/>
      <c r="N239" s="570"/>
      <c r="V239" s="674"/>
      <c r="W239" s="675" t="s">
        <v>4385</v>
      </c>
      <c r="AC239" s="675"/>
      <c r="AD239" s="680"/>
      <c r="AE239" s="675"/>
      <c r="AG239" s="675"/>
    </row>
    <row r="240" spans="1:33" s="536" customFormat="1" ht="22.5" x14ac:dyDescent="0.2">
      <c r="A240" s="609"/>
      <c r="B240" s="552" t="s">
        <v>499</v>
      </c>
      <c r="C240" s="1822" t="s">
        <v>500</v>
      </c>
      <c r="D240" s="1822"/>
      <c r="E240" s="1822"/>
      <c r="F240" s="1822"/>
      <c r="G240" s="1822"/>
      <c r="H240" s="1822"/>
      <c r="I240" s="1822"/>
      <c r="J240" s="1822"/>
      <c r="K240" s="1822"/>
      <c r="L240" s="1822"/>
      <c r="M240" s="1822"/>
      <c r="N240" s="1827"/>
      <c r="V240" s="674"/>
      <c r="W240" s="675"/>
      <c r="Y240" s="537" t="s">
        <v>500</v>
      </c>
      <c r="AC240" s="675"/>
      <c r="AD240" s="680"/>
      <c r="AE240" s="675"/>
      <c r="AG240" s="675"/>
    </row>
    <row r="241" spans="1:33" s="536" customFormat="1" ht="12" x14ac:dyDescent="0.2">
      <c r="A241" s="605"/>
      <c r="B241" s="552" t="s">
        <v>185</v>
      </c>
      <c r="C241" s="1822" t="s">
        <v>312</v>
      </c>
      <c r="D241" s="1822"/>
      <c r="E241" s="1822"/>
      <c r="F241" s="562"/>
      <c r="G241" s="562"/>
      <c r="H241" s="562"/>
      <c r="I241" s="562"/>
      <c r="J241" s="604">
        <v>27.17</v>
      </c>
      <c r="K241" s="562" t="s">
        <v>313</v>
      </c>
      <c r="L241" s="604">
        <v>67.930000000000007</v>
      </c>
      <c r="M241" s="603"/>
      <c r="N241" s="602"/>
      <c r="V241" s="674"/>
      <c r="W241" s="675"/>
      <c r="Z241" s="537" t="s">
        <v>312</v>
      </c>
      <c r="AC241" s="675"/>
      <c r="AD241" s="680"/>
      <c r="AE241" s="675"/>
      <c r="AG241" s="675"/>
    </row>
    <row r="242" spans="1:33" s="536" customFormat="1" ht="12" x14ac:dyDescent="0.2">
      <c r="A242" s="605"/>
      <c r="B242" s="552" t="s">
        <v>186</v>
      </c>
      <c r="C242" s="1822" t="s">
        <v>344</v>
      </c>
      <c r="D242" s="1822"/>
      <c r="E242" s="1822"/>
      <c r="F242" s="562"/>
      <c r="G242" s="562"/>
      <c r="H242" s="562"/>
      <c r="I242" s="562"/>
      <c r="J242" s="604">
        <v>225.04</v>
      </c>
      <c r="K242" s="562" t="s">
        <v>313</v>
      </c>
      <c r="L242" s="604">
        <v>562.6</v>
      </c>
      <c r="M242" s="603"/>
      <c r="N242" s="602"/>
      <c r="V242" s="674"/>
      <c r="W242" s="675"/>
      <c r="Z242" s="537" t="s">
        <v>344</v>
      </c>
      <c r="AC242" s="675"/>
      <c r="AD242" s="680"/>
      <c r="AE242" s="675"/>
      <c r="AG242" s="675"/>
    </row>
    <row r="243" spans="1:33" s="536" customFormat="1" ht="12" x14ac:dyDescent="0.2">
      <c r="A243" s="605"/>
      <c r="B243" s="552" t="s">
        <v>187</v>
      </c>
      <c r="C243" s="1822" t="s">
        <v>345</v>
      </c>
      <c r="D243" s="1822"/>
      <c r="E243" s="1822"/>
      <c r="F243" s="562"/>
      <c r="G243" s="562"/>
      <c r="H243" s="562"/>
      <c r="I243" s="562"/>
      <c r="J243" s="604">
        <v>22.78</v>
      </c>
      <c r="K243" s="562" t="s">
        <v>313</v>
      </c>
      <c r="L243" s="604">
        <v>56.95</v>
      </c>
      <c r="M243" s="603"/>
      <c r="N243" s="602"/>
      <c r="V243" s="674"/>
      <c r="W243" s="675"/>
      <c r="Z243" s="537" t="s">
        <v>345</v>
      </c>
      <c r="AC243" s="675"/>
      <c r="AD243" s="680"/>
      <c r="AE243" s="675"/>
      <c r="AG243" s="675"/>
    </row>
    <row r="244" spans="1:33" s="536" customFormat="1" ht="12" x14ac:dyDescent="0.2">
      <c r="A244" s="605"/>
      <c r="B244" s="552" t="s">
        <v>188</v>
      </c>
      <c r="C244" s="1822" t="s">
        <v>475</v>
      </c>
      <c r="D244" s="1822"/>
      <c r="E244" s="1822"/>
      <c r="F244" s="562"/>
      <c r="G244" s="562"/>
      <c r="H244" s="562"/>
      <c r="I244" s="562"/>
      <c r="J244" s="604">
        <v>14.03</v>
      </c>
      <c r="K244" s="562"/>
      <c r="L244" s="604">
        <v>28.06</v>
      </c>
      <c r="M244" s="603"/>
      <c r="N244" s="602"/>
      <c r="V244" s="674"/>
      <c r="W244" s="675"/>
      <c r="Z244" s="537" t="s">
        <v>475</v>
      </c>
      <c r="AC244" s="675"/>
      <c r="AD244" s="680"/>
      <c r="AE244" s="675"/>
      <c r="AG244" s="675"/>
    </row>
    <row r="245" spans="1:33" s="536" customFormat="1" ht="12" x14ac:dyDescent="0.2">
      <c r="A245" s="676"/>
      <c r="B245" s="677" t="s">
        <v>4355</v>
      </c>
      <c r="C245" s="1829" t="s">
        <v>4356</v>
      </c>
      <c r="D245" s="1829"/>
      <c r="E245" s="1829"/>
      <c r="F245" s="678" t="s">
        <v>617</v>
      </c>
      <c r="G245" s="678" t="s">
        <v>185</v>
      </c>
      <c r="H245" s="678"/>
      <c r="I245" s="678" t="s">
        <v>186</v>
      </c>
      <c r="J245" s="552"/>
      <c r="K245" s="562"/>
      <c r="L245" s="604"/>
      <c r="M245" s="562"/>
      <c r="N245" s="679"/>
      <c r="V245" s="674"/>
      <c r="W245" s="675"/>
      <c r="AC245" s="675"/>
      <c r="AD245" s="680" t="s">
        <v>4356</v>
      </c>
      <c r="AE245" s="675"/>
      <c r="AG245" s="675"/>
    </row>
    <row r="246" spans="1:33" s="536" customFormat="1" ht="12" x14ac:dyDescent="0.2">
      <c r="A246" s="605"/>
      <c r="B246" s="552"/>
      <c r="C246" s="1822" t="s">
        <v>314</v>
      </c>
      <c r="D246" s="1822"/>
      <c r="E246" s="1822"/>
      <c r="F246" s="562" t="s">
        <v>315</v>
      </c>
      <c r="G246" s="562" t="s">
        <v>4386</v>
      </c>
      <c r="H246" s="562" t="s">
        <v>313</v>
      </c>
      <c r="I246" s="562" t="s">
        <v>2616</v>
      </c>
      <c r="J246" s="604"/>
      <c r="K246" s="562"/>
      <c r="L246" s="604"/>
      <c r="M246" s="603"/>
      <c r="N246" s="602"/>
      <c r="V246" s="674"/>
      <c r="W246" s="675"/>
      <c r="AA246" s="537" t="s">
        <v>314</v>
      </c>
      <c r="AC246" s="675"/>
      <c r="AD246" s="680"/>
      <c r="AE246" s="675"/>
      <c r="AG246" s="675"/>
    </row>
    <row r="247" spans="1:33" s="536" customFormat="1" ht="12" x14ac:dyDescent="0.2">
      <c r="A247" s="605"/>
      <c r="B247" s="552"/>
      <c r="C247" s="1822" t="s">
        <v>348</v>
      </c>
      <c r="D247" s="1822"/>
      <c r="E247" s="1822"/>
      <c r="F247" s="562" t="s">
        <v>315</v>
      </c>
      <c r="G247" s="562" t="s">
        <v>4387</v>
      </c>
      <c r="H247" s="562" t="s">
        <v>313</v>
      </c>
      <c r="I247" s="562" t="s">
        <v>4388</v>
      </c>
      <c r="J247" s="604"/>
      <c r="K247" s="562"/>
      <c r="L247" s="604"/>
      <c r="M247" s="603"/>
      <c r="N247" s="602"/>
      <c r="V247" s="674"/>
      <c r="W247" s="675"/>
      <c r="AA247" s="537" t="s">
        <v>348</v>
      </c>
      <c r="AC247" s="675"/>
      <c r="AD247" s="680"/>
      <c r="AE247" s="675"/>
      <c r="AG247" s="675"/>
    </row>
    <row r="248" spans="1:33" s="536" customFormat="1" ht="12" x14ac:dyDescent="0.2">
      <c r="A248" s="605"/>
      <c r="B248" s="552"/>
      <c r="C248" s="1828" t="s">
        <v>318</v>
      </c>
      <c r="D248" s="1828"/>
      <c r="E248" s="1828"/>
      <c r="F248" s="608"/>
      <c r="G248" s="608"/>
      <c r="H248" s="608"/>
      <c r="I248" s="608"/>
      <c r="J248" s="607">
        <v>266.24</v>
      </c>
      <c r="K248" s="608"/>
      <c r="L248" s="607">
        <v>658.59</v>
      </c>
      <c r="M248" s="601"/>
      <c r="N248" s="606"/>
      <c r="V248" s="674"/>
      <c r="W248" s="675"/>
      <c r="AB248" s="537" t="s">
        <v>318</v>
      </c>
      <c r="AC248" s="675"/>
      <c r="AD248" s="680"/>
      <c r="AE248" s="675"/>
      <c r="AG248" s="675"/>
    </row>
    <row r="249" spans="1:33" s="536" customFormat="1" ht="12" x14ac:dyDescent="0.2">
      <c r="A249" s="605"/>
      <c r="B249" s="552"/>
      <c r="C249" s="1822" t="s">
        <v>319</v>
      </c>
      <c r="D249" s="1822"/>
      <c r="E249" s="1822"/>
      <c r="F249" s="562"/>
      <c r="G249" s="562"/>
      <c r="H249" s="562"/>
      <c r="I249" s="562"/>
      <c r="J249" s="604"/>
      <c r="K249" s="562"/>
      <c r="L249" s="604">
        <v>124.88</v>
      </c>
      <c r="M249" s="603"/>
      <c r="N249" s="602"/>
      <c r="V249" s="674"/>
      <c r="W249" s="675"/>
      <c r="AA249" s="537" t="s">
        <v>319</v>
      </c>
      <c r="AC249" s="675"/>
      <c r="AD249" s="680"/>
      <c r="AE249" s="675"/>
      <c r="AG249" s="675"/>
    </row>
    <row r="250" spans="1:33" s="536" customFormat="1" ht="33.75" x14ac:dyDescent="0.2">
      <c r="A250" s="605"/>
      <c r="B250" s="552" t="s">
        <v>533</v>
      </c>
      <c r="C250" s="1822" t="s">
        <v>534</v>
      </c>
      <c r="D250" s="1822"/>
      <c r="E250" s="1822"/>
      <c r="F250" s="562" t="s">
        <v>322</v>
      </c>
      <c r="G250" s="562" t="s">
        <v>535</v>
      </c>
      <c r="H250" s="562"/>
      <c r="I250" s="562" t="s">
        <v>535</v>
      </c>
      <c r="J250" s="604"/>
      <c r="K250" s="562"/>
      <c r="L250" s="604">
        <v>146.11000000000001</v>
      </c>
      <c r="M250" s="603"/>
      <c r="N250" s="602"/>
      <c r="V250" s="674"/>
      <c r="W250" s="675"/>
      <c r="AA250" s="537" t="s">
        <v>534</v>
      </c>
      <c r="AC250" s="675"/>
      <c r="AD250" s="680"/>
      <c r="AE250" s="675"/>
      <c r="AG250" s="675"/>
    </row>
    <row r="251" spans="1:33" s="536" customFormat="1" ht="33.75" x14ac:dyDescent="0.2">
      <c r="A251" s="605"/>
      <c r="B251" s="552" t="s">
        <v>536</v>
      </c>
      <c r="C251" s="1822" t="s">
        <v>537</v>
      </c>
      <c r="D251" s="1822"/>
      <c r="E251" s="1822"/>
      <c r="F251" s="562" t="s">
        <v>322</v>
      </c>
      <c r="G251" s="562" t="s">
        <v>538</v>
      </c>
      <c r="H251" s="562"/>
      <c r="I251" s="562" t="s">
        <v>538</v>
      </c>
      <c r="J251" s="604"/>
      <c r="K251" s="562"/>
      <c r="L251" s="604">
        <v>92.41</v>
      </c>
      <c r="M251" s="603"/>
      <c r="N251" s="602"/>
      <c r="V251" s="674"/>
      <c r="W251" s="675"/>
      <c r="AA251" s="537" t="s">
        <v>537</v>
      </c>
      <c r="AC251" s="675"/>
      <c r="AD251" s="680"/>
      <c r="AE251" s="675"/>
      <c r="AG251" s="675"/>
    </row>
    <row r="252" spans="1:33" s="536" customFormat="1" ht="12" x14ac:dyDescent="0.2">
      <c r="A252" s="569"/>
      <c r="B252" s="671"/>
      <c r="C252" s="1823" t="s">
        <v>327</v>
      </c>
      <c r="D252" s="1823"/>
      <c r="E252" s="1823"/>
      <c r="F252" s="573"/>
      <c r="G252" s="573"/>
      <c r="H252" s="573"/>
      <c r="I252" s="573"/>
      <c r="J252" s="572"/>
      <c r="K252" s="573"/>
      <c r="L252" s="572">
        <v>897.11</v>
      </c>
      <c r="M252" s="601"/>
      <c r="N252" s="570"/>
      <c r="V252" s="674"/>
      <c r="W252" s="675"/>
      <c r="AC252" s="675" t="s">
        <v>327</v>
      </c>
      <c r="AD252" s="680"/>
      <c r="AE252" s="675"/>
      <c r="AG252" s="675"/>
    </row>
    <row r="253" spans="1:33" s="536" customFormat="1" ht="45" x14ac:dyDescent="0.2">
      <c r="A253" s="575" t="s">
        <v>757</v>
      </c>
      <c r="B253" s="670" t="s">
        <v>8865</v>
      </c>
      <c r="C253" s="1823" t="s">
        <v>8866</v>
      </c>
      <c r="D253" s="1823"/>
      <c r="E253" s="1823"/>
      <c r="F253" s="573" t="s">
        <v>617</v>
      </c>
      <c r="G253" s="573"/>
      <c r="H253" s="573"/>
      <c r="I253" s="573" t="s">
        <v>186</v>
      </c>
      <c r="J253" s="572">
        <v>152</v>
      </c>
      <c r="K253" s="573"/>
      <c r="L253" s="572">
        <v>304</v>
      </c>
      <c r="M253" s="571"/>
      <c r="N253" s="570"/>
      <c r="V253" s="674"/>
      <c r="W253" s="675" t="s">
        <v>8866</v>
      </c>
      <c r="AC253" s="675"/>
      <c r="AD253" s="680"/>
      <c r="AE253" s="675"/>
      <c r="AG253" s="675"/>
    </row>
    <row r="254" spans="1:33" s="536" customFormat="1" ht="12" x14ac:dyDescent="0.2">
      <c r="A254" s="569"/>
      <c r="B254" s="671"/>
      <c r="C254" s="665" t="s">
        <v>717</v>
      </c>
      <c r="D254" s="666"/>
      <c r="E254" s="666"/>
      <c r="F254" s="563"/>
      <c r="G254" s="563"/>
      <c r="H254" s="563"/>
      <c r="I254" s="563"/>
      <c r="J254" s="566"/>
      <c r="K254" s="563"/>
      <c r="L254" s="566"/>
      <c r="M254" s="565"/>
      <c r="N254" s="564"/>
      <c r="V254" s="674"/>
      <c r="W254" s="675"/>
      <c r="AC254" s="675"/>
      <c r="AD254" s="680"/>
      <c r="AE254" s="675"/>
      <c r="AG254" s="675"/>
    </row>
    <row r="255" spans="1:33" s="536" customFormat="1" ht="33.75" x14ac:dyDescent="0.2">
      <c r="A255" s="575" t="s">
        <v>1079</v>
      </c>
      <c r="B255" s="670" t="s">
        <v>4342</v>
      </c>
      <c r="C255" s="1823" t="s">
        <v>4343</v>
      </c>
      <c r="D255" s="1823"/>
      <c r="E255" s="1823"/>
      <c r="F255" s="573" t="s">
        <v>889</v>
      </c>
      <c r="G255" s="573"/>
      <c r="H255" s="573"/>
      <c r="I255" s="573" t="s">
        <v>1692</v>
      </c>
      <c r="J255" s="572"/>
      <c r="K255" s="573"/>
      <c r="L255" s="572"/>
      <c r="M255" s="571"/>
      <c r="N255" s="570"/>
      <c r="V255" s="674"/>
      <c r="W255" s="675" t="s">
        <v>4343</v>
      </c>
      <c r="AC255" s="675"/>
      <c r="AD255" s="680"/>
      <c r="AE255" s="675"/>
      <c r="AG255" s="675"/>
    </row>
    <row r="256" spans="1:33" s="536" customFormat="1" ht="12" x14ac:dyDescent="0.2">
      <c r="A256" s="676"/>
      <c r="B256" s="664"/>
      <c r="C256" s="1822" t="s">
        <v>4344</v>
      </c>
      <c r="D256" s="1822"/>
      <c r="E256" s="1822"/>
      <c r="F256" s="1822"/>
      <c r="G256" s="1822"/>
      <c r="H256" s="1822"/>
      <c r="I256" s="1822"/>
      <c r="J256" s="1822"/>
      <c r="K256" s="1822"/>
      <c r="L256" s="1822"/>
      <c r="M256" s="1822"/>
      <c r="N256" s="1827"/>
      <c r="V256" s="674"/>
      <c r="W256" s="675"/>
      <c r="X256" s="537" t="s">
        <v>4344</v>
      </c>
      <c r="AC256" s="675"/>
      <c r="AD256" s="680"/>
      <c r="AE256" s="675"/>
      <c r="AG256" s="675"/>
    </row>
    <row r="257" spans="1:33" s="536" customFormat="1" ht="22.5" x14ac:dyDescent="0.2">
      <c r="A257" s="609"/>
      <c r="B257" s="552" t="s">
        <v>499</v>
      </c>
      <c r="C257" s="1822" t="s">
        <v>500</v>
      </c>
      <c r="D257" s="1822"/>
      <c r="E257" s="1822"/>
      <c r="F257" s="1822"/>
      <c r="G257" s="1822"/>
      <c r="H257" s="1822"/>
      <c r="I257" s="1822"/>
      <c r="J257" s="1822"/>
      <c r="K257" s="1822"/>
      <c r="L257" s="1822"/>
      <c r="M257" s="1822"/>
      <c r="N257" s="1827"/>
      <c r="V257" s="674"/>
      <c r="W257" s="675"/>
      <c r="Y257" s="537" t="s">
        <v>500</v>
      </c>
      <c r="AC257" s="675"/>
      <c r="AD257" s="680"/>
      <c r="AE257" s="675"/>
      <c r="AG257" s="675"/>
    </row>
    <row r="258" spans="1:33" s="536" customFormat="1" ht="12" x14ac:dyDescent="0.2">
      <c r="A258" s="605"/>
      <c r="B258" s="552" t="s">
        <v>185</v>
      </c>
      <c r="C258" s="1822" t="s">
        <v>312</v>
      </c>
      <c r="D258" s="1822"/>
      <c r="E258" s="1822"/>
      <c r="F258" s="562"/>
      <c r="G258" s="562"/>
      <c r="H258" s="562"/>
      <c r="I258" s="562"/>
      <c r="J258" s="604">
        <v>37.549999999999997</v>
      </c>
      <c r="K258" s="562" t="s">
        <v>313</v>
      </c>
      <c r="L258" s="604">
        <v>23.47</v>
      </c>
      <c r="M258" s="603"/>
      <c r="N258" s="602"/>
      <c r="V258" s="674"/>
      <c r="W258" s="675"/>
      <c r="Z258" s="537" t="s">
        <v>312</v>
      </c>
      <c r="AC258" s="675"/>
      <c r="AD258" s="680"/>
      <c r="AE258" s="675"/>
      <c r="AG258" s="675"/>
    </row>
    <row r="259" spans="1:33" s="536" customFormat="1" ht="12" x14ac:dyDescent="0.2">
      <c r="A259" s="605"/>
      <c r="B259" s="552" t="s">
        <v>186</v>
      </c>
      <c r="C259" s="1822" t="s">
        <v>344</v>
      </c>
      <c r="D259" s="1822"/>
      <c r="E259" s="1822"/>
      <c r="F259" s="562"/>
      <c r="G259" s="562"/>
      <c r="H259" s="562"/>
      <c r="I259" s="562"/>
      <c r="J259" s="604">
        <v>226.03</v>
      </c>
      <c r="K259" s="562" t="s">
        <v>313</v>
      </c>
      <c r="L259" s="604">
        <v>141.27000000000001</v>
      </c>
      <c r="M259" s="603"/>
      <c r="N259" s="602"/>
      <c r="V259" s="674"/>
      <c r="W259" s="675"/>
      <c r="Z259" s="537" t="s">
        <v>344</v>
      </c>
      <c r="AC259" s="675"/>
      <c r="AD259" s="680"/>
      <c r="AE259" s="675"/>
      <c r="AG259" s="675"/>
    </row>
    <row r="260" spans="1:33" s="536" customFormat="1" ht="12" x14ac:dyDescent="0.2">
      <c r="A260" s="605"/>
      <c r="B260" s="552" t="s">
        <v>187</v>
      </c>
      <c r="C260" s="1822" t="s">
        <v>345</v>
      </c>
      <c r="D260" s="1822"/>
      <c r="E260" s="1822"/>
      <c r="F260" s="562"/>
      <c r="G260" s="562"/>
      <c r="H260" s="562"/>
      <c r="I260" s="562"/>
      <c r="J260" s="604">
        <v>30.5</v>
      </c>
      <c r="K260" s="562" t="s">
        <v>313</v>
      </c>
      <c r="L260" s="604">
        <v>19.059999999999999</v>
      </c>
      <c r="M260" s="603"/>
      <c r="N260" s="602"/>
      <c r="V260" s="674"/>
      <c r="W260" s="675"/>
      <c r="Z260" s="537" t="s">
        <v>345</v>
      </c>
      <c r="AC260" s="675"/>
      <c r="AD260" s="680"/>
      <c r="AE260" s="675"/>
      <c r="AG260" s="675"/>
    </row>
    <row r="261" spans="1:33" s="536" customFormat="1" ht="12" x14ac:dyDescent="0.2">
      <c r="A261" s="676"/>
      <c r="B261" s="677" t="s">
        <v>2462</v>
      </c>
      <c r="C261" s="1829" t="s">
        <v>4345</v>
      </c>
      <c r="D261" s="1829"/>
      <c r="E261" s="1829"/>
      <c r="F261" s="678" t="s">
        <v>617</v>
      </c>
      <c r="G261" s="678" t="s">
        <v>194</v>
      </c>
      <c r="H261" s="678"/>
      <c r="I261" s="678" t="s">
        <v>189</v>
      </c>
      <c r="J261" s="552"/>
      <c r="K261" s="562"/>
      <c r="L261" s="604"/>
      <c r="M261" s="562"/>
      <c r="N261" s="679"/>
      <c r="V261" s="674"/>
      <c r="W261" s="675"/>
      <c r="AC261" s="675"/>
      <c r="AD261" s="680" t="s">
        <v>4345</v>
      </c>
      <c r="AE261" s="675"/>
      <c r="AG261" s="675"/>
    </row>
    <row r="262" spans="1:33" s="536" customFormat="1" ht="12" x14ac:dyDescent="0.2">
      <c r="A262" s="605"/>
      <c r="B262" s="552"/>
      <c r="C262" s="1822" t="s">
        <v>314</v>
      </c>
      <c r="D262" s="1822"/>
      <c r="E262" s="1822"/>
      <c r="F262" s="562" t="s">
        <v>315</v>
      </c>
      <c r="G262" s="562" t="s">
        <v>4346</v>
      </c>
      <c r="H262" s="562" t="s">
        <v>313</v>
      </c>
      <c r="I262" s="562" t="s">
        <v>4347</v>
      </c>
      <c r="J262" s="604"/>
      <c r="K262" s="562"/>
      <c r="L262" s="604"/>
      <c r="M262" s="603"/>
      <c r="N262" s="602"/>
      <c r="V262" s="674"/>
      <c r="W262" s="675"/>
      <c r="AA262" s="537" t="s">
        <v>314</v>
      </c>
      <c r="AC262" s="675"/>
      <c r="AD262" s="680"/>
      <c r="AE262" s="675"/>
      <c r="AG262" s="675"/>
    </row>
    <row r="263" spans="1:33" s="536" customFormat="1" ht="12" x14ac:dyDescent="0.2">
      <c r="A263" s="605"/>
      <c r="B263" s="552"/>
      <c r="C263" s="1822" t="s">
        <v>348</v>
      </c>
      <c r="D263" s="1822"/>
      <c r="E263" s="1822"/>
      <c r="F263" s="562" t="s">
        <v>315</v>
      </c>
      <c r="G263" s="562" t="s">
        <v>4348</v>
      </c>
      <c r="H263" s="562" t="s">
        <v>313</v>
      </c>
      <c r="I263" s="562" t="s">
        <v>4001</v>
      </c>
      <c r="J263" s="604"/>
      <c r="K263" s="562"/>
      <c r="L263" s="604"/>
      <c r="M263" s="603"/>
      <c r="N263" s="602"/>
      <c r="V263" s="674"/>
      <c r="W263" s="675"/>
      <c r="AA263" s="537" t="s">
        <v>348</v>
      </c>
      <c r="AC263" s="675"/>
      <c r="AD263" s="680"/>
      <c r="AE263" s="675"/>
      <c r="AG263" s="675"/>
    </row>
    <row r="264" spans="1:33" s="536" customFormat="1" ht="12" x14ac:dyDescent="0.2">
      <c r="A264" s="605"/>
      <c r="B264" s="552"/>
      <c r="C264" s="1828" t="s">
        <v>318</v>
      </c>
      <c r="D264" s="1828"/>
      <c r="E264" s="1828"/>
      <c r="F264" s="608"/>
      <c r="G264" s="608"/>
      <c r="H264" s="608"/>
      <c r="I264" s="608"/>
      <c r="J264" s="607">
        <v>263.58</v>
      </c>
      <c r="K264" s="608"/>
      <c r="L264" s="607">
        <v>164.74</v>
      </c>
      <c r="M264" s="601"/>
      <c r="N264" s="606"/>
      <c r="V264" s="674"/>
      <c r="W264" s="675"/>
      <c r="AB264" s="537" t="s">
        <v>318</v>
      </c>
      <c r="AC264" s="675"/>
      <c r="AD264" s="680"/>
      <c r="AE264" s="675"/>
      <c r="AG264" s="675"/>
    </row>
    <row r="265" spans="1:33" s="536" customFormat="1" ht="12" x14ac:dyDescent="0.2">
      <c r="A265" s="605"/>
      <c r="B265" s="552"/>
      <c r="C265" s="1822" t="s">
        <v>319</v>
      </c>
      <c r="D265" s="1822"/>
      <c r="E265" s="1822"/>
      <c r="F265" s="562"/>
      <c r="G265" s="562"/>
      <c r="H265" s="562"/>
      <c r="I265" s="562"/>
      <c r="J265" s="604"/>
      <c r="K265" s="562"/>
      <c r="L265" s="604">
        <v>42.53</v>
      </c>
      <c r="M265" s="603"/>
      <c r="N265" s="602"/>
      <c r="V265" s="674"/>
      <c r="W265" s="675"/>
      <c r="AA265" s="537" t="s">
        <v>319</v>
      </c>
      <c r="AC265" s="675"/>
      <c r="AD265" s="680"/>
      <c r="AE265" s="675"/>
      <c r="AG265" s="675"/>
    </row>
    <row r="266" spans="1:33" s="536" customFormat="1" ht="33.75" x14ac:dyDescent="0.2">
      <c r="A266" s="605"/>
      <c r="B266" s="552" t="s">
        <v>533</v>
      </c>
      <c r="C266" s="1822" t="s">
        <v>534</v>
      </c>
      <c r="D266" s="1822"/>
      <c r="E266" s="1822"/>
      <c r="F266" s="562" t="s">
        <v>322</v>
      </c>
      <c r="G266" s="562" t="s">
        <v>535</v>
      </c>
      <c r="H266" s="562"/>
      <c r="I266" s="562" t="s">
        <v>535</v>
      </c>
      <c r="J266" s="604"/>
      <c r="K266" s="562"/>
      <c r="L266" s="604">
        <v>49.76</v>
      </c>
      <c r="M266" s="603"/>
      <c r="N266" s="602"/>
      <c r="V266" s="674"/>
      <c r="W266" s="675"/>
      <c r="AA266" s="537" t="s">
        <v>534</v>
      </c>
      <c r="AC266" s="675"/>
      <c r="AD266" s="680"/>
      <c r="AE266" s="675"/>
      <c r="AG266" s="675"/>
    </row>
    <row r="267" spans="1:33" s="536" customFormat="1" ht="33.75" x14ac:dyDescent="0.2">
      <c r="A267" s="605"/>
      <c r="B267" s="552" t="s">
        <v>536</v>
      </c>
      <c r="C267" s="1822" t="s">
        <v>537</v>
      </c>
      <c r="D267" s="1822"/>
      <c r="E267" s="1822"/>
      <c r="F267" s="562" t="s">
        <v>322</v>
      </c>
      <c r="G267" s="562" t="s">
        <v>538</v>
      </c>
      <c r="H267" s="562"/>
      <c r="I267" s="562" t="s">
        <v>538</v>
      </c>
      <c r="J267" s="604"/>
      <c r="K267" s="562"/>
      <c r="L267" s="604">
        <v>31.47</v>
      </c>
      <c r="M267" s="603"/>
      <c r="N267" s="602"/>
      <c r="V267" s="674"/>
      <c r="W267" s="675"/>
      <c r="AA267" s="537" t="s">
        <v>537</v>
      </c>
      <c r="AC267" s="675"/>
      <c r="AD267" s="680"/>
      <c r="AE267" s="675"/>
      <c r="AG267" s="675"/>
    </row>
    <row r="268" spans="1:33" s="536" customFormat="1" ht="12" x14ac:dyDescent="0.2">
      <c r="A268" s="569"/>
      <c r="B268" s="671"/>
      <c r="C268" s="1823" t="s">
        <v>327</v>
      </c>
      <c r="D268" s="1823"/>
      <c r="E268" s="1823"/>
      <c r="F268" s="573"/>
      <c r="G268" s="573"/>
      <c r="H268" s="573"/>
      <c r="I268" s="573"/>
      <c r="J268" s="572"/>
      <c r="K268" s="573"/>
      <c r="L268" s="572">
        <v>245.97</v>
      </c>
      <c r="M268" s="601"/>
      <c r="N268" s="570"/>
      <c r="V268" s="674"/>
      <c r="W268" s="675"/>
      <c r="AC268" s="675" t="s">
        <v>327</v>
      </c>
      <c r="AD268" s="680"/>
      <c r="AE268" s="675"/>
      <c r="AG268" s="675"/>
    </row>
    <row r="269" spans="1:33" s="536" customFormat="1" ht="33.75" x14ac:dyDescent="0.2">
      <c r="A269" s="575" t="s">
        <v>759</v>
      </c>
      <c r="B269" s="670" t="s">
        <v>4389</v>
      </c>
      <c r="C269" s="1823" t="s">
        <v>4390</v>
      </c>
      <c r="D269" s="1823"/>
      <c r="E269" s="1823"/>
      <c r="F269" s="573" t="s">
        <v>617</v>
      </c>
      <c r="G269" s="573"/>
      <c r="H269" s="573"/>
      <c r="I269" s="573" t="s">
        <v>186</v>
      </c>
      <c r="J269" s="572">
        <v>2356.38</v>
      </c>
      <c r="K269" s="573" t="s">
        <v>716</v>
      </c>
      <c r="L269" s="572">
        <v>777.83</v>
      </c>
      <c r="M269" s="571">
        <v>6.18</v>
      </c>
      <c r="N269" s="570">
        <v>4807</v>
      </c>
      <c r="V269" s="674"/>
      <c r="W269" s="675" t="s">
        <v>4390</v>
      </c>
      <c r="AC269" s="675"/>
      <c r="AD269" s="680"/>
      <c r="AE269" s="675"/>
      <c r="AG269" s="675"/>
    </row>
    <row r="270" spans="1:33" s="536" customFormat="1" ht="12" x14ac:dyDescent="0.2">
      <c r="A270" s="569"/>
      <c r="B270" s="671"/>
      <c r="C270" s="665" t="s">
        <v>717</v>
      </c>
      <c r="D270" s="666"/>
      <c r="E270" s="666"/>
      <c r="F270" s="563"/>
      <c r="G270" s="563"/>
      <c r="H270" s="563"/>
      <c r="I270" s="563"/>
      <c r="J270" s="566"/>
      <c r="K270" s="563"/>
      <c r="L270" s="566"/>
      <c r="M270" s="565"/>
      <c r="N270" s="564"/>
      <c r="V270" s="674"/>
      <c r="W270" s="675"/>
      <c r="AC270" s="675"/>
      <c r="AD270" s="680"/>
      <c r="AE270" s="675"/>
      <c r="AG270" s="675"/>
    </row>
    <row r="271" spans="1:33" s="536" customFormat="1" ht="22.5" x14ac:dyDescent="0.2">
      <c r="A271" s="609"/>
      <c r="B271" s="552" t="s">
        <v>718</v>
      </c>
      <c r="C271" s="1822" t="s">
        <v>719</v>
      </c>
      <c r="D271" s="1822"/>
      <c r="E271" s="1822"/>
      <c r="F271" s="1822"/>
      <c r="G271" s="1822"/>
      <c r="H271" s="1822"/>
      <c r="I271" s="1822"/>
      <c r="J271" s="1822"/>
      <c r="K271" s="1822"/>
      <c r="L271" s="1822"/>
      <c r="M271" s="1822"/>
      <c r="N271" s="1827"/>
      <c r="V271" s="674"/>
      <c r="W271" s="675"/>
      <c r="Y271" s="537" t="s">
        <v>719</v>
      </c>
      <c r="AC271" s="675"/>
      <c r="AD271" s="680"/>
      <c r="AE271" s="675"/>
      <c r="AG271" s="675"/>
    </row>
    <row r="272" spans="1:33" s="536" customFormat="1" ht="33.75" x14ac:dyDescent="0.2">
      <c r="A272" s="575" t="s">
        <v>917</v>
      </c>
      <c r="B272" s="670" t="s">
        <v>4391</v>
      </c>
      <c r="C272" s="1823" t="s">
        <v>4392</v>
      </c>
      <c r="D272" s="1823"/>
      <c r="E272" s="1823"/>
      <c r="F272" s="573" t="s">
        <v>617</v>
      </c>
      <c r="G272" s="573"/>
      <c r="H272" s="573"/>
      <c r="I272" s="573" t="s">
        <v>187</v>
      </c>
      <c r="J272" s="572">
        <v>3507.87</v>
      </c>
      <c r="K272" s="573" t="s">
        <v>716</v>
      </c>
      <c r="L272" s="572">
        <v>1736.89</v>
      </c>
      <c r="M272" s="571">
        <v>6.18</v>
      </c>
      <c r="N272" s="570">
        <v>10734</v>
      </c>
      <c r="V272" s="674"/>
      <c r="W272" s="675" t="s">
        <v>4392</v>
      </c>
      <c r="AC272" s="675"/>
      <c r="AD272" s="680"/>
      <c r="AE272" s="675"/>
      <c r="AG272" s="675"/>
    </row>
    <row r="273" spans="1:33" s="536" customFormat="1" ht="12" x14ac:dyDescent="0.2">
      <c r="A273" s="569"/>
      <c r="B273" s="671"/>
      <c r="C273" s="665" t="s">
        <v>717</v>
      </c>
      <c r="D273" s="666"/>
      <c r="E273" s="666"/>
      <c r="F273" s="563"/>
      <c r="G273" s="563"/>
      <c r="H273" s="563"/>
      <c r="I273" s="563"/>
      <c r="J273" s="566"/>
      <c r="K273" s="563"/>
      <c r="L273" s="566"/>
      <c r="M273" s="565"/>
      <c r="N273" s="564"/>
      <c r="V273" s="674"/>
      <c r="W273" s="675"/>
      <c r="AC273" s="675"/>
      <c r="AD273" s="680"/>
      <c r="AE273" s="675"/>
      <c r="AG273" s="675"/>
    </row>
    <row r="274" spans="1:33" s="536" customFormat="1" ht="22.5" x14ac:dyDescent="0.2">
      <c r="A274" s="609"/>
      <c r="B274" s="552" t="s">
        <v>718</v>
      </c>
      <c r="C274" s="1822" t="s">
        <v>719</v>
      </c>
      <c r="D274" s="1822"/>
      <c r="E274" s="1822"/>
      <c r="F274" s="1822"/>
      <c r="G274" s="1822"/>
      <c r="H274" s="1822"/>
      <c r="I274" s="1822"/>
      <c r="J274" s="1822"/>
      <c r="K274" s="1822"/>
      <c r="L274" s="1822"/>
      <c r="M274" s="1822"/>
      <c r="N274" s="1827"/>
      <c r="V274" s="674"/>
      <c r="W274" s="675"/>
      <c r="Y274" s="537" t="s">
        <v>719</v>
      </c>
      <c r="AC274" s="675"/>
      <c r="AD274" s="680"/>
      <c r="AE274" s="675"/>
      <c r="AG274" s="675"/>
    </row>
    <row r="275" spans="1:33" s="536" customFormat="1" ht="22.5" x14ac:dyDescent="0.2">
      <c r="A275" s="575" t="s">
        <v>761</v>
      </c>
      <c r="B275" s="670" t="s">
        <v>4393</v>
      </c>
      <c r="C275" s="1823" t="s">
        <v>4394</v>
      </c>
      <c r="D275" s="1823"/>
      <c r="E275" s="1823"/>
      <c r="F275" s="573" t="s">
        <v>519</v>
      </c>
      <c r="G275" s="573"/>
      <c r="H275" s="573"/>
      <c r="I275" s="573" t="s">
        <v>4395</v>
      </c>
      <c r="J275" s="572"/>
      <c r="K275" s="573"/>
      <c r="L275" s="572"/>
      <c r="M275" s="571"/>
      <c r="N275" s="570"/>
      <c r="V275" s="674"/>
      <c r="W275" s="675" t="s">
        <v>4394</v>
      </c>
      <c r="AC275" s="675"/>
      <c r="AD275" s="680"/>
      <c r="AE275" s="675"/>
      <c r="AG275" s="675"/>
    </row>
    <row r="276" spans="1:33" s="536" customFormat="1" ht="12" x14ac:dyDescent="0.2">
      <c r="A276" s="676"/>
      <c r="B276" s="664"/>
      <c r="C276" s="1822" t="s">
        <v>4396</v>
      </c>
      <c r="D276" s="1822"/>
      <c r="E276" s="1822"/>
      <c r="F276" s="1822"/>
      <c r="G276" s="1822"/>
      <c r="H276" s="1822"/>
      <c r="I276" s="1822"/>
      <c r="J276" s="1822"/>
      <c r="K276" s="1822"/>
      <c r="L276" s="1822"/>
      <c r="M276" s="1822"/>
      <c r="N276" s="1827"/>
      <c r="V276" s="674"/>
      <c r="W276" s="675"/>
      <c r="X276" s="537" t="s">
        <v>4396</v>
      </c>
      <c r="AC276" s="675"/>
      <c r="AD276" s="680"/>
      <c r="AE276" s="675"/>
      <c r="AG276" s="675"/>
    </row>
    <row r="277" spans="1:33" s="536" customFormat="1" ht="22.5" x14ac:dyDescent="0.2">
      <c r="A277" s="609"/>
      <c r="B277" s="552" t="s">
        <v>499</v>
      </c>
      <c r="C277" s="1822" t="s">
        <v>500</v>
      </c>
      <c r="D277" s="1822"/>
      <c r="E277" s="1822"/>
      <c r="F277" s="1822"/>
      <c r="G277" s="1822"/>
      <c r="H277" s="1822"/>
      <c r="I277" s="1822"/>
      <c r="J277" s="1822"/>
      <c r="K277" s="1822"/>
      <c r="L277" s="1822"/>
      <c r="M277" s="1822"/>
      <c r="N277" s="1827"/>
      <c r="V277" s="674"/>
      <c r="W277" s="675"/>
      <c r="Y277" s="537" t="s">
        <v>500</v>
      </c>
      <c r="AC277" s="675"/>
      <c r="AD277" s="680"/>
      <c r="AE277" s="675"/>
      <c r="AG277" s="675"/>
    </row>
    <row r="278" spans="1:33" s="536" customFormat="1" ht="12" x14ac:dyDescent="0.2">
      <c r="A278" s="605"/>
      <c r="B278" s="552" t="s">
        <v>185</v>
      </c>
      <c r="C278" s="1822" t="s">
        <v>312</v>
      </c>
      <c r="D278" s="1822"/>
      <c r="E278" s="1822"/>
      <c r="F278" s="562"/>
      <c r="G278" s="562"/>
      <c r="H278" s="562"/>
      <c r="I278" s="562"/>
      <c r="J278" s="604">
        <v>1864.32</v>
      </c>
      <c r="K278" s="562" t="s">
        <v>313</v>
      </c>
      <c r="L278" s="604">
        <v>159.63</v>
      </c>
      <c r="M278" s="603"/>
      <c r="N278" s="602"/>
      <c r="V278" s="674"/>
      <c r="W278" s="675"/>
      <c r="Z278" s="537" t="s">
        <v>312</v>
      </c>
      <c r="AC278" s="675"/>
      <c r="AD278" s="680"/>
      <c r="AE278" s="675"/>
      <c r="AG278" s="675"/>
    </row>
    <row r="279" spans="1:33" s="536" customFormat="1" ht="12" x14ac:dyDescent="0.2">
      <c r="A279" s="605"/>
      <c r="B279" s="552" t="s">
        <v>186</v>
      </c>
      <c r="C279" s="1822" t="s">
        <v>344</v>
      </c>
      <c r="D279" s="1822"/>
      <c r="E279" s="1822"/>
      <c r="F279" s="562"/>
      <c r="G279" s="562"/>
      <c r="H279" s="562"/>
      <c r="I279" s="562"/>
      <c r="J279" s="604">
        <v>2282.4499999999998</v>
      </c>
      <c r="K279" s="562" t="s">
        <v>313</v>
      </c>
      <c r="L279" s="604">
        <v>195.43</v>
      </c>
      <c r="M279" s="603"/>
      <c r="N279" s="602"/>
      <c r="V279" s="674"/>
      <c r="W279" s="675"/>
      <c r="Z279" s="537" t="s">
        <v>344</v>
      </c>
      <c r="AC279" s="675"/>
      <c r="AD279" s="680"/>
      <c r="AE279" s="675"/>
      <c r="AG279" s="675"/>
    </row>
    <row r="280" spans="1:33" s="536" customFormat="1" ht="12" x14ac:dyDescent="0.2">
      <c r="A280" s="605"/>
      <c r="B280" s="552" t="s">
        <v>187</v>
      </c>
      <c r="C280" s="1822" t="s">
        <v>345</v>
      </c>
      <c r="D280" s="1822"/>
      <c r="E280" s="1822"/>
      <c r="F280" s="562"/>
      <c r="G280" s="562"/>
      <c r="H280" s="562"/>
      <c r="I280" s="562"/>
      <c r="J280" s="604">
        <v>286.95</v>
      </c>
      <c r="K280" s="562" t="s">
        <v>313</v>
      </c>
      <c r="L280" s="604">
        <v>24.57</v>
      </c>
      <c r="M280" s="603"/>
      <c r="N280" s="602"/>
      <c r="V280" s="674"/>
      <c r="W280" s="675"/>
      <c r="Z280" s="537" t="s">
        <v>345</v>
      </c>
      <c r="AC280" s="675"/>
      <c r="AD280" s="680"/>
      <c r="AE280" s="675"/>
      <c r="AG280" s="675"/>
    </row>
    <row r="281" spans="1:33" s="536" customFormat="1" ht="12" x14ac:dyDescent="0.2">
      <c r="A281" s="605"/>
      <c r="B281" s="552" t="s">
        <v>188</v>
      </c>
      <c r="C281" s="1822" t="s">
        <v>475</v>
      </c>
      <c r="D281" s="1822"/>
      <c r="E281" s="1822"/>
      <c r="F281" s="562"/>
      <c r="G281" s="562"/>
      <c r="H281" s="562"/>
      <c r="I281" s="562"/>
      <c r="J281" s="604">
        <v>6.07</v>
      </c>
      <c r="K281" s="562"/>
      <c r="L281" s="604">
        <v>0.42</v>
      </c>
      <c r="M281" s="603"/>
      <c r="N281" s="602"/>
      <c r="V281" s="674"/>
      <c r="W281" s="675"/>
      <c r="Z281" s="537" t="s">
        <v>475</v>
      </c>
      <c r="AC281" s="675"/>
      <c r="AD281" s="680"/>
      <c r="AE281" s="675"/>
      <c r="AG281" s="675"/>
    </row>
    <row r="282" spans="1:33" s="536" customFormat="1" ht="12" x14ac:dyDescent="0.2">
      <c r="A282" s="676"/>
      <c r="B282" s="677" t="s">
        <v>2458</v>
      </c>
      <c r="C282" s="1829" t="s">
        <v>2459</v>
      </c>
      <c r="D282" s="1829"/>
      <c r="E282" s="1829"/>
      <c r="F282" s="678" t="s">
        <v>483</v>
      </c>
      <c r="G282" s="678" t="s">
        <v>4397</v>
      </c>
      <c r="H282" s="678"/>
      <c r="I282" s="678" t="s">
        <v>4398</v>
      </c>
      <c r="J282" s="552"/>
      <c r="K282" s="562"/>
      <c r="L282" s="604"/>
      <c r="M282" s="562"/>
      <c r="N282" s="679"/>
      <c r="V282" s="674"/>
      <c r="W282" s="675"/>
      <c r="AC282" s="675"/>
      <c r="AD282" s="680" t="s">
        <v>2459</v>
      </c>
      <c r="AE282" s="675"/>
      <c r="AG282" s="675"/>
    </row>
    <row r="283" spans="1:33" s="536" customFormat="1" ht="12" x14ac:dyDescent="0.2">
      <c r="A283" s="605"/>
      <c r="B283" s="552"/>
      <c r="C283" s="1822" t="s">
        <v>314</v>
      </c>
      <c r="D283" s="1822"/>
      <c r="E283" s="1822"/>
      <c r="F283" s="562" t="s">
        <v>315</v>
      </c>
      <c r="G283" s="562" t="s">
        <v>4399</v>
      </c>
      <c r="H283" s="562" t="s">
        <v>313</v>
      </c>
      <c r="I283" s="562" t="s">
        <v>4400</v>
      </c>
      <c r="J283" s="604"/>
      <c r="K283" s="562"/>
      <c r="L283" s="604"/>
      <c r="M283" s="603"/>
      <c r="N283" s="602"/>
      <c r="V283" s="674"/>
      <c r="W283" s="675"/>
      <c r="AA283" s="537" t="s">
        <v>314</v>
      </c>
      <c r="AC283" s="675"/>
      <c r="AD283" s="680"/>
      <c r="AE283" s="675"/>
      <c r="AG283" s="675"/>
    </row>
    <row r="284" spans="1:33" s="536" customFormat="1" ht="12" x14ac:dyDescent="0.2">
      <c r="A284" s="605"/>
      <c r="B284" s="552"/>
      <c r="C284" s="1822" t="s">
        <v>348</v>
      </c>
      <c r="D284" s="1822"/>
      <c r="E284" s="1822"/>
      <c r="F284" s="562" t="s">
        <v>315</v>
      </c>
      <c r="G284" s="562" t="s">
        <v>4401</v>
      </c>
      <c r="H284" s="562" t="s">
        <v>313</v>
      </c>
      <c r="I284" s="562" t="s">
        <v>4402</v>
      </c>
      <c r="J284" s="604"/>
      <c r="K284" s="562"/>
      <c r="L284" s="604"/>
      <c r="M284" s="603"/>
      <c r="N284" s="602"/>
      <c r="V284" s="674"/>
      <c r="W284" s="675"/>
      <c r="AA284" s="537" t="s">
        <v>348</v>
      </c>
      <c r="AC284" s="675"/>
      <c r="AD284" s="680"/>
      <c r="AE284" s="675"/>
      <c r="AG284" s="675"/>
    </row>
    <row r="285" spans="1:33" s="536" customFormat="1" ht="12" x14ac:dyDescent="0.2">
      <c r="A285" s="605"/>
      <c r="B285" s="552"/>
      <c r="C285" s="1828" t="s">
        <v>318</v>
      </c>
      <c r="D285" s="1828"/>
      <c r="E285" s="1828"/>
      <c r="F285" s="608"/>
      <c r="G285" s="608"/>
      <c r="H285" s="608"/>
      <c r="I285" s="608"/>
      <c r="J285" s="607">
        <v>4152.84</v>
      </c>
      <c r="K285" s="608"/>
      <c r="L285" s="607">
        <v>355.48</v>
      </c>
      <c r="M285" s="601"/>
      <c r="N285" s="606"/>
      <c r="V285" s="674"/>
      <c r="W285" s="675"/>
      <c r="AB285" s="537" t="s">
        <v>318</v>
      </c>
      <c r="AC285" s="675"/>
      <c r="AD285" s="680"/>
      <c r="AE285" s="675"/>
      <c r="AG285" s="675"/>
    </row>
    <row r="286" spans="1:33" s="536" customFormat="1" ht="12" x14ac:dyDescent="0.2">
      <c r="A286" s="605"/>
      <c r="B286" s="552"/>
      <c r="C286" s="1822" t="s">
        <v>319</v>
      </c>
      <c r="D286" s="1822"/>
      <c r="E286" s="1822"/>
      <c r="F286" s="562"/>
      <c r="G286" s="562"/>
      <c r="H286" s="562"/>
      <c r="I286" s="562"/>
      <c r="J286" s="604"/>
      <c r="K286" s="562"/>
      <c r="L286" s="604">
        <v>184.2</v>
      </c>
      <c r="M286" s="603"/>
      <c r="N286" s="602"/>
      <c r="V286" s="674"/>
      <c r="W286" s="675"/>
      <c r="AA286" s="537" t="s">
        <v>319</v>
      </c>
      <c r="AC286" s="675"/>
      <c r="AD286" s="680"/>
      <c r="AE286" s="675"/>
      <c r="AG286" s="675"/>
    </row>
    <row r="287" spans="1:33" s="536" customFormat="1" ht="33.75" x14ac:dyDescent="0.2">
      <c r="A287" s="605"/>
      <c r="B287" s="552" t="s">
        <v>533</v>
      </c>
      <c r="C287" s="1822" t="s">
        <v>534</v>
      </c>
      <c r="D287" s="1822"/>
      <c r="E287" s="1822"/>
      <c r="F287" s="562" t="s">
        <v>322</v>
      </c>
      <c r="G287" s="562" t="s">
        <v>535</v>
      </c>
      <c r="H287" s="562"/>
      <c r="I287" s="562" t="s">
        <v>535</v>
      </c>
      <c r="J287" s="604"/>
      <c r="K287" s="562"/>
      <c r="L287" s="604">
        <v>215.51</v>
      </c>
      <c r="M287" s="603"/>
      <c r="N287" s="602"/>
      <c r="V287" s="674"/>
      <c r="W287" s="675"/>
      <c r="AA287" s="537" t="s">
        <v>534</v>
      </c>
      <c r="AC287" s="675"/>
      <c r="AD287" s="680"/>
      <c r="AE287" s="675"/>
      <c r="AG287" s="675"/>
    </row>
    <row r="288" spans="1:33" s="536" customFormat="1" ht="33.75" x14ac:dyDescent="0.2">
      <c r="A288" s="605"/>
      <c r="B288" s="552" t="s">
        <v>536</v>
      </c>
      <c r="C288" s="1822" t="s">
        <v>537</v>
      </c>
      <c r="D288" s="1822"/>
      <c r="E288" s="1822"/>
      <c r="F288" s="562" t="s">
        <v>322</v>
      </c>
      <c r="G288" s="562" t="s">
        <v>538</v>
      </c>
      <c r="H288" s="562"/>
      <c r="I288" s="562" t="s">
        <v>538</v>
      </c>
      <c r="J288" s="604"/>
      <c r="K288" s="562"/>
      <c r="L288" s="604">
        <v>136.31</v>
      </c>
      <c r="M288" s="603"/>
      <c r="N288" s="602"/>
      <c r="V288" s="674"/>
      <c r="W288" s="675"/>
      <c r="AA288" s="537" t="s">
        <v>537</v>
      </c>
      <c r="AC288" s="675"/>
      <c r="AD288" s="680"/>
      <c r="AE288" s="675"/>
      <c r="AG288" s="675"/>
    </row>
    <row r="289" spans="1:33" s="536" customFormat="1" ht="12" x14ac:dyDescent="0.2">
      <c r="A289" s="569"/>
      <c r="B289" s="671"/>
      <c r="C289" s="1823" t="s">
        <v>327</v>
      </c>
      <c r="D289" s="1823"/>
      <c r="E289" s="1823"/>
      <c r="F289" s="573"/>
      <c r="G289" s="573"/>
      <c r="H289" s="573"/>
      <c r="I289" s="573"/>
      <c r="J289" s="572"/>
      <c r="K289" s="573"/>
      <c r="L289" s="572">
        <v>707.3</v>
      </c>
      <c r="M289" s="601"/>
      <c r="N289" s="570"/>
      <c r="V289" s="674"/>
      <c r="W289" s="675"/>
      <c r="AC289" s="675" t="s">
        <v>327</v>
      </c>
      <c r="AD289" s="680"/>
      <c r="AE289" s="675"/>
      <c r="AG289" s="675"/>
    </row>
    <row r="290" spans="1:33" s="536" customFormat="1" ht="22.5" x14ac:dyDescent="0.2">
      <c r="A290" s="575" t="s">
        <v>762</v>
      </c>
      <c r="B290" s="670" t="s">
        <v>4403</v>
      </c>
      <c r="C290" s="1823" t="s">
        <v>8867</v>
      </c>
      <c r="D290" s="1823"/>
      <c r="E290" s="1823"/>
      <c r="F290" s="573" t="s">
        <v>483</v>
      </c>
      <c r="G290" s="573"/>
      <c r="H290" s="573"/>
      <c r="I290" s="573" t="s">
        <v>4404</v>
      </c>
      <c r="J290" s="572">
        <v>9.7899999999999991</v>
      </c>
      <c r="K290" s="573"/>
      <c r="L290" s="572">
        <v>675.31</v>
      </c>
      <c r="M290" s="571"/>
      <c r="N290" s="570"/>
      <c r="V290" s="674"/>
      <c r="W290" s="675" t="s">
        <v>8867</v>
      </c>
      <c r="AC290" s="675"/>
      <c r="AD290" s="680"/>
      <c r="AE290" s="675"/>
      <c r="AG290" s="675"/>
    </row>
    <row r="291" spans="1:33" s="536" customFormat="1" ht="12" x14ac:dyDescent="0.2">
      <c r="A291" s="569"/>
      <c r="B291" s="671"/>
      <c r="C291" s="665" t="s">
        <v>717</v>
      </c>
      <c r="D291" s="666"/>
      <c r="E291" s="666"/>
      <c r="F291" s="563"/>
      <c r="G291" s="563"/>
      <c r="H291" s="563"/>
      <c r="I291" s="563"/>
      <c r="J291" s="566"/>
      <c r="K291" s="563"/>
      <c r="L291" s="566"/>
      <c r="M291" s="565"/>
      <c r="N291" s="564"/>
      <c r="V291" s="674"/>
      <c r="W291" s="675"/>
      <c r="AC291" s="675"/>
      <c r="AD291" s="680"/>
      <c r="AE291" s="675"/>
      <c r="AG291" s="675"/>
    </row>
    <row r="292" spans="1:33" s="536" customFormat="1" ht="22.5" x14ac:dyDescent="0.2">
      <c r="A292" s="575" t="s">
        <v>763</v>
      </c>
      <c r="B292" s="670" t="s">
        <v>4370</v>
      </c>
      <c r="C292" s="1823" t="s">
        <v>4371</v>
      </c>
      <c r="D292" s="1823"/>
      <c r="E292" s="1823"/>
      <c r="F292" s="573" t="s">
        <v>694</v>
      </c>
      <c r="G292" s="573"/>
      <c r="H292" s="573"/>
      <c r="I292" s="573" t="s">
        <v>4405</v>
      </c>
      <c r="J292" s="572"/>
      <c r="K292" s="573"/>
      <c r="L292" s="572"/>
      <c r="M292" s="571"/>
      <c r="N292" s="570"/>
      <c r="V292" s="674"/>
      <c r="W292" s="675" t="s">
        <v>4371</v>
      </c>
      <c r="AC292" s="675"/>
      <c r="AD292" s="680"/>
      <c r="AE292" s="675"/>
      <c r="AG292" s="675"/>
    </row>
    <row r="293" spans="1:33" s="536" customFormat="1" ht="12" x14ac:dyDescent="0.2">
      <c r="A293" s="676"/>
      <c r="B293" s="664"/>
      <c r="C293" s="1822" t="s">
        <v>4406</v>
      </c>
      <c r="D293" s="1822"/>
      <c r="E293" s="1822"/>
      <c r="F293" s="1822"/>
      <c r="G293" s="1822"/>
      <c r="H293" s="1822"/>
      <c r="I293" s="1822"/>
      <c r="J293" s="1822"/>
      <c r="K293" s="1822"/>
      <c r="L293" s="1822"/>
      <c r="M293" s="1822"/>
      <c r="N293" s="1827"/>
      <c r="V293" s="674"/>
      <c r="W293" s="675"/>
      <c r="X293" s="537" t="s">
        <v>4406</v>
      </c>
      <c r="AC293" s="675"/>
      <c r="AD293" s="680"/>
      <c r="AE293" s="675"/>
      <c r="AG293" s="675"/>
    </row>
    <row r="294" spans="1:33" s="536" customFormat="1" ht="22.5" x14ac:dyDescent="0.2">
      <c r="A294" s="609"/>
      <c r="B294" s="552" t="s">
        <v>499</v>
      </c>
      <c r="C294" s="1822" t="s">
        <v>500</v>
      </c>
      <c r="D294" s="1822"/>
      <c r="E294" s="1822"/>
      <c r="F294" s="1822"/>
      <c r="G294" s="1822"/>
      <c r="H294" s="1822"/>
      <c r="I294" s="1822"/>
      <c r="J294" s="1822"/>
      <c r="K294" s="1822"/>
      <c r="L294" s="1822"/>
      <c r="M294" s="1822"/>
      <c r="N294" s="1827"/>
      <c r="V294" s="674"/>
      <c r="W294" s="675"/>
      <c r="Y294" s="537" t="s">
        <v>500</v>
      </c>
      <c r="AC294" s="675"/>
      <c r="AD294" s="680"/>
      <c r="AE294" s="675"/>
      <c r="AG294" s="675"/>
    </row>
    <row r="295" spans="1:33" s="536" customFormat="1" ht="12" x14ac:dyDescent="0.2">
      <c r="A295" s="605"/>
      <c r="B295" s="552" t="s">
        <v>185</v>
      </c>
      <c r="C295" s="1822" t="s">
        <v>312</v>
      </c>
      <c r="D295" s="1822"/>
      <c r="E295" s="1822"/>
      <c r="F295" s="562"/>
      <c r="G295" s="562"/>
      <c r="H295" s="562"/>
      <c r="I295" s="562"/>
      <c r="J295" s="604">
        <v>1637.99</v>
      </c>
      <c r="K295" s="562" t="s">
        <v>313</v>
      </c>
      <c r="L295" s="604">
        <v>1.84</v>
      </c>
      <c r="M295" s="603"/>
      <c r="N295" s="602"/>
      <c r="V295" s="674"/>
      <c r="W295" s="675"/>
      <c r="Z295" s="537" t="s">
        <v>312</v>
      </c>
      <c r="AC295" s="675"/>
      <c r="AD295" s="680"/>
      <c r="AE295" s="675"/>
      <c r="AG295" s="675"/>
    </row>
    <row r="296" spans="1:33" s="536" customFormat="1" ht="12" x14ac:dyDescent="0.2">
      <c r="A296" s="605"/>
      <c r="B296" s="552" t="s">
        <v>186</v>
      </c>
      <c r="C296" s="1822" t="s">
        <v>344</v>
      </c>
      <c r="D296" s="1822"/>
      <c r="E296" s="1822"/>
      <c r="F296" s="562"/>
      <c r="G296" s="562"/>
      <c r="H296" s="562"/>
      <c r="I296" s="562"/>
      <c r="J296" s="604">
        <v>10105.24</v>
      </c>
      <c r="K296" s="562" t="s">
        <v>313</v>
      </c>
      <c r="L296" s="604">
        <v>11.37</v>
      </c>
      <c r="M296" s="603"/>
      <c r="N296" s="602"/>
      <c r="V296" s="674"/>
      <c r="W296" s="675"/>
      <c r="Z296" s="537" t="s">
        <v>344</v>
      </c>
      <c r="AC296" s="675"/>
      <c r="AD296" s="680"/>
      <c r="AE296" s="675"/>
      <c r="AG296" s="675"/>
    </row>
    <row r="297" spans="1:33" s="536" customFormat="1" ht="12" x14ac:dyDescent="0.2">
      <c r="A297" s="605"/>
      <c r="B297" s="552" t="s">
        <v>187</v>
      </c>
      <c r="C297" s="1822" t="s">
        <v>345</v>
      </c>
      <c r="D297" s="1822"/>
      <c r="E297" s="1822"/>
      <c r="F297" s="562"/>
      <c r="G297" s="562"/>
      <c r="H297" s="562"/>
      <c r="I297" s="562"/>
      <c r="J297" s="604">
        <v>1013.58</v>
      </c>
      <c r="K297" s="562" t="s">
        <v>313</v>
      </c>
      <c r="L297" s="604">
        <v>1.1399999999999999</v>
      </c>
      <c r="M297" s="603"/>
      <c r="N297" s="602"/>
      <c r="V297" s="674"/>
      <c r="W297" s="675"/>
      <c r="Z297" s="537" t="s">
        <v>345</v>
      </c>
      <c r="AC297" s="675"/>
      <c r="AD297" s="680"/>
      <c r="AE297" s="675"/>
      <c r="AG297" s="675"/>
    </row>
    <row r="298" spans="1:33" s="536" customFormat="1" ht="12" x14ac:dyDescent="0.2">
      <c r="A298" s="605"/>
      <c r="B298" s="552" t="s">
        <v>188</v>
      </c>
      <c r="C298" s="1822" t="s">
        <v>475</v>
      </c>
      <c r="D298" s="1822"/>
      <c r="E298" s="1822"/>
      <c r="F298" s="562"/>
      <c r="G298" s="562"/>
      <c r="H298" s="562"/>
      <c r="I298" s="562"/>
      <c r="J298" s="604">
        <v>6065.44</v>
      </c>
      <c r="K298" s="562"/>
      <c r="L298" s="604">
        <v>5.46</v>
      </c>
      <c r="M298" s="603"/>
      <c r="N298" s="602"/>
      <c r="V298" s="674"/>
      <c r="W298" s="675"/>
      <c r="Z298" s="537" t="s">
        <v>475</v>
      </c>
      <c r="AC298" s="675"/>
      <c r="AD298" s="680"/>
      <c r="AE298" s="675"/>
      <c r="AG298" s="675"/>
    </row>
    <row r="299" spans="1:33" s="536" customFormat="1" ht="12" x14ac:dyDescent="0.2">
      <c r="A299" s="676"/>
      <c r="B299" s="677" t="s">
        <v>4334</v>
      </c>
      <c r="C299" s="1829" t="s">
        <v>4335</v>
      </c>
      <c r="D299" s="1829"/>
      <c r="E299" s="1829"/>
      <c r="F299" s="678" t="s">
        <v>638</v>
      </c>
      <c r="G299" s="678" t="s">
        <v>525</v>
      </c>
      <c r="H299" s="678"/>
      <c r="I299" s="678" t="s">
        <v>525</v>
      </c>
      <c r="J299" s="552"/>
      <c r="K299" s="562"/>
      <c r="L299" s="604"/>
      <c r="M299" s="562"/>
      <c r="N299" s="679"/>
      <c r="V299" s="674"/>
      <c r="W299" s="675"/>
      <c r="AC299" s="675"/>
      <c r="AD299" s="680" t="s">
        <v>4335</v>
      </c>
      <c r="AE299" s="675"/>
      <c r="AG299" s="675"/>
    </row>
    <row r="300" spans="1:33" s="536" customFormat="1" ht="12" x14ac:dyDescent="0.2">
      <c r="A300" s="605"/>
      <c r="B300" s="552"/>
      <c r="C300" s="1822" t="s">
        <v>314</v>
      </c>
      <c r="D300" s="1822"/>
      <c r="E300" s="1822"/>
      <c r="F300" s="562" t="s">
        <v>315</v>
      </c>
      <c r="G300" s="562" t="s">
        <v>4374</v>
      </c>
      <c r="H300" s="562" t="s">
        <v>313</v>
      </c>
      <c r="I300" s="562" t="s">
        <v>4407</v>
      </c>
      <c r="J300" s="604"/>
      <c r="K300" s="562"/>
      <c r="L300" s="604"/>
      <c r="M300" s="603"/>
      <c r="N300" s="602"/>
      <c r="V300" s="674"/>
      <c r="W300" s="675"/>
      <c r="AA300" s="537" t="s">
        <v>314</v>
      </c>
      <c r="AC300" s="675"/>
      <c r="AD300" s="680"/>
      <c r="AE300" s="675"/>
      <c r="AG300" s="675"/>
    </row>
    <row r="301" spans="1:33" s="536" customFormat="1" ht="12" x14ac:dyDescent="0.2">
      <c r="A301" s="605"/>
      <c r="B301" s="552"/>
      <c r="C301" s="1822" t="s">
        <v>348</v>
      </c>
      <c r="D301" s="1822"/>
      <c r="E301" s="1822"/>
      <c r="F301" s="562" t="s">
        <v>315</v>
      </c>
      <c r="G301" s="562" t="s">
        <v>4376</v>
      </c>
      <c r="H301" s="562" t="s">
        <v>313</v>
      </c>
      <c r="I301" s="562" t="s">
        <v>4408</v>
      </c>
      <c r="J301" s="604"/>
      <c r="K301" s="562"/>
      <c r="L301" s="604"/>
      <c r="M301" s="603"/>
      <c r="N301" s="602"/>
      <c r="V301" s="674"/>
      <c r="W301" s="675"/>
      <c r="AA301" s="537" t="s">
        <v>348</v>
      </c>
      <c r="AC301" s="675"/>
      <c r="AD301" s="680"/>
      <c r="AE301" s="675"/>
      <c r="AG301" s="675"/>
    </row>
    <row r="302" spans="1:33" s="536" customFormat="1" ht="12" x14ac:dyDescent="0.2">
      <c r="A302" s="605"/>
      <c r="B302" s="552"/>
      <c r="C302" s="1828" t="s">
        <v>318</v>
      </c>
      <c r="D302" s="1828"/>
      <c r="E302" s="1828"/>
      <c r="F302" s="608"/>
      <c r="G302" s="608"/>
      <c r="H302" s="608"/>
      <c r="I302" s="608"/>
      <c r="J302" s="607">
        <v>17808.669999999998</v>
      </c>
      <c r="K302" s="608"/>
      <c r="L302" s="607">
        <v>18.670000000000002</v>
      </c>
      <c r="M302" s="601"/>
      <c r="N302" s="606"/>
      <c r="V302" s="674"/>
      <c r="W302" s="675"/>
      <c r="AB302" s="537" t="s">
        <v>318</v>
      </c>
      <c r="AC302" s="675"/>
      <c r="AD302" s="680"/>
      <c r="AE302" s="675"/>
      <c r="AG302" s="675"/>
    </row>
    <row r="303" spans="1:33" s="536" customFormat="1" ht="12" x14ac:dyDescent="0.2">
      <c r="A303" s="605"/>
      <c r="B303" s="552"/>
      <c r="C303" s="1822" t="s">
        <v>319</v>
      </c>
      <c r="D303" s="1822"/>
      <c r="E303" s="1822"/>
      <c r="F303" s="562"/>
      <c r="G303" s="562"/>
      <c r="H303" s="562"/>
      <c r="I303" s="562"/>
      <c r="J303" s="604"/>
      <c r="K303" s="562"/>
      <c r="L303" s="604">
        <v>2.98</v>
      </c>
      <c r="M303" s="603"/>
      <c r="N303" s="602"/>
      <c r="V303" s="674"/>
      <c r="W303" s="675"/>
      <c r="AA303" s="537" t="s">
        <v>319</v>
      </c>
      <c r="AC303" s="675"/>
      <c r="AD303" s="680"/>
      <c r="AE303" s="675"/>
      <c r="AG303" s="675"/>
    </row>
    <row r="304" spans="1:33" s="536" customFormat="1" ht="33.75" x14ac:dyDescent="0.2">
      <c r="A304" s="605"/>
      <c r="B304" s="552" t="s">
        <v>533</v>
      </c>
      <c r="C304" s="1822" t="s">
        <v>534</v>
      </c>
      <c r="D304" s="1822"/>
      <c r="E304" s="1822"/>
      <c r="F304" s="562" t="s">
        <v>322</v>
      </c>
      <c r="G304" s="562" t="s">
        <v>535</v>
      </c>
      <c r="H304" s="562"/>
      <c r="I304" s="562" t="s">
        <v>535</v>
      </c>
      <c r="J304" s="604"/>
      <c r="K304" s="562"/>
      <c r="L304" s="604">
        <v>3.49</v>
      </c>
      <c r="M304" s="603"/>
      <c r="N304" s="602"/>
      <c r="V304" s="674"/>
      <c r="W304" s="675"/>
      <c r="AA304" s="537" t="s">
        <v>534</v>
      </c>
      <c r="AC304" s="675"/>
      <c r="AD304" s="680"/>
      <c r="AE304" s="675"/>
      <c r="AG304" s="675"/>
    </row>
    <row r="305" spans="1:33" s="536" customFormat="1" ht="33.75" x14ac:dyDescent="0.2">
      <c r="A305" s="605"/>
      <c r="B305" s="552" t="s">
        <v>536</v>
      </c>
      <c r="C305" s="1822" t="s">
        <v>537</v>
      </c>
      <c r="D305" s="1822"/>
      <c r="E305" s="1822"/>
      <c r="F305" s="562" t="s">
        <v>322</v>
      </c>
      <c r="G305" s="562" t="s">
        <v>538</v>
      </c>
      <c r="H305" s="562"/>
      <c r="I305" s="562" t="s">
        <v>538</v>
      </c>
      <c r="J305" s="604"/>
      <c r="K305" s="562"/>
      <c r="L305" s="604">
        <v>2.21</v>
      </c>
      <c r="M305" s="603"/>
      <c r="N305" s="602"/>
      <c r="V305" s="674"/>
      <c r="W305" s="675"/>
      <c r="AA305" s="537" t="s">
        <v>537</v>
      </c>
      <c r="AC305" s="675"/>
      <c r="AD305" s="680"/>
      <c r="AE305" s="675"/>
      <c r="AG305" s="675"/>
    </row>
    <row r="306" spans="1:33" s="536" customFormat="1" ht="12" x14ac:dyDescent="0.2">
      <c r="A306" s="569"/>
      <c r="B306" s="671"/>
      <c r="C306" s="1823" t="s">
        <v>327</v>
      </c>
      <c r="D306" s="1823"/>
      <c r="E306" s="1823"/>
      <c r="F306" s="573"/>
      <c r="G306" s="573"/>
      <c r="H306" s="573"/>
      <c r="I306" s="573"/>
      <c r="J306" s="572"/>
      <c r="K306" s="573"/>
      <c r="L306" s="572">
        <v>24.37</v>
      </c>
      <c r="M306" s="601"/>
      <c r="N306" s="570"/>
      <c r="V306" s="674"/>
      <c r="W306" s="675"/>
      <c r="AC306" s="675" t="s">
        <v>327</v>
      </c>
      <c r="AD306" s="680"/>
      <c r="AE306" s="675"/>
      <c r="AG306" s="675"/>
    </row>
    <row r="307" spans="1:33" s="536" customFormat="1" ht="33.75" x14ac:dyDescent="0.2">
      <c r="A307" s="575" t="s">
        <v>922</v>
      </c>
      <c r="B307" s="670" t="s">
        <v>4409</v>
      </c>
      <c r="C307" s="1823" t="s">
        <v>4410</v>
      </c>
      <c r="D307" s="1823"/>
      <c r="E307" s="1823"/>
      <c r="F307" s="573" t="s">
        <v>617</v>
      </c>
      <c r="G307" s="573"/>
      <c r="H307" s="573"/>
      <c r="I307" s="573" t="s">
        <v>186</v>
      </c>
      <c r="J307" s="572">
        <v>34.57</v>
      </c>
      <c r="K307" s="573" t="s">
        <v>716</v>
      </c>
      <c r="L307" s="572">
        <v>11.49</v>
      </c>
      <c r="M307" s="571">
        <v>6.18</v>
      </c>
      <c r="N307" s="570">
        <v>71</v>
      </c>
      <c r="V307" s="674"/>
      <c r="W307" s="675" t="s">
        <v>4410</v>
      </c>
      <c r="AC307" s="675"/>
      <c r="AD307" s="680"/>
      <c r="AE307" s="675"/>
      <c r="AG307" s="675"/>
    </row>
    <row r="308" spans="1:33" s="536" customFormat="1" ht="12" x14ac:dyDescent="0.2">
      <c r="A308" s="569"/>
      <c r="B308" s="671"/>
      <c r="C308" s="665" t="s">
        <v>717</v>
      </c>
      <c r="D308" s="666"/>
      <c r="E308" s="666"/>
      <c r="F308" s="563"/>
      <c r="G308" s="563"/>
      <c r="H308" s="563"/>
      <c r="I308" s="563"/>
      <c r="J308" s="566"/>
      <c r="K308" s="563"/>
      <c r="L308" s="566"/>
      <c r="M308" s="565"/>
      <c r="N308" s="564"/>
      <c r="V308" s="674"/>
      <c r="W308" s="675"/>
      <c r="AC308" s="675"/>
      <c r="AD308" s="680"/>
      <c r="AE308" s="675"/>
      <c r="AG308" s="675"/>
    </row>
    <row r="309" spans="1:33" s="536" customFormat="1" ht="22.5" x14ac:dyDescent="0.2">
      <c r="A309" s="609"/>
      <c r="B309" s="552" t="s">
        <v>718</v>
      </c>
      <c r="C309" s="1822" t="s">
        <v>719</v>
      </c>
      <c r="D309" s="1822"/>
      <c r="E309" s="1822"/>
      <c r="F309" s="1822"/>
      <c r="G309" s="1822"/>
      <c r="H309" s="1822"/>
      <c r="I309" s="1822"/>
      <c r="J309" s="1822"/>
      <c r="K309" s="1822"/>
      <c r="L309" s="1822"/>
      <c r="M309" s="1822"/>
      <c r="N309" s="1827"/>
      <c r="V309" s="674"/>
      <c r="W309" s="675"/>
      <c r="Y309" s="537" t="s">
        <v>719</v>
      </c>
      <c r="AC309" s="675"/>
      <c r="AD309" s="680"/>
      <c r="AE309" s="675"/>
      <c r="AG309" s="675"/>
    </row>
    <row r="310" spans="1:33" s="536" customFormat="1" ht="33.75" x14ac:dyDescent="0.2">
      <c r="A310" s="575" t="s">
        <v>765</v>
      </c>
      <c r="B310" s="670" t="s">
        <v>4411</v>
      </c>
      <c r="C310" s="1823" t="s">
        <v>4412</v>
      </c>
      <c r="D310" s="1823"/>
      <c r="E310" s="1823"/>
      <c r="F310" s="573" t="s">
        <v>617</v>
      </c>
      <c r="G310" s="573"/>
      <c r="H310" s="573"/>
      <c r="I310" s="573" t="s">
        <v>186</v>
      </c>
      <c r="J310" s="572">
        <v>206.28</v>
      </c>
      <c r="K310" s="573" t="s">
        <v>716</v>
      </c>
      <c r="L310" s="572">
        <v>68.12</v>
      </c>
      <c r="M310" s="571">
        <v>6.18</v>
      </c>
      <c r="N310" s="570">
        <v>421</v>
      </c>
      <c r="V310" s="674"/>
      <c r="W310" s="675" t="s">
        <v>4412</v>
      </c>
      <c r="AC310" s="675"/>
      <c r="AD310" s="680"/>
      <c r="AE310" s="675"/>
      <c r="AG310" s="675"/>
    </row>
    <row r="311" spans="1:33" s="536" customFormat="1" ht="12" x14ac:dyDescent="0.2">
      <c r="A311" s="569"/>
      <c r="B311" s="671"/>
      <c r="C311" s="665" t="s">
        <v>717</v>
      </c>
      <c r="D311" s="666"/>
      <c r="E311" s="666"/>
      <c r="F311" s="563"/>
      <c r="G311" s="563"/>
      <c r="H311" s="563"/>
      <c r="I311" s="563"/>
      <c r="J311" s="566"/>
      <c r="K311" s="563"/>
      <c r="L311" s="566"/>
      <c r="M311" s="565"/>
      <c r="N311" s="564"/>
      <c r="V311" s="674"/>
      <c r="W311" s="675"/>
      <c r="AC311" s="675"/>
      <c r="AD311" s="680"/>
      <c r="AE311" s="675"/>
      <c r="AG311" s="675"/>
    </row>
    <row r="312" spans="1:33" s="536" customFormat="1" ht="22.5" x14ac:dyDescent="0.2">
      <c r="A312" s="609"/>
      <c r="B312" s="552" t="s">
        <v>718</v>
      </c>
      <c r="C312" s="1822" t="s">
        <v>719</v>
      </c>
      <c r="D312" s="1822"/>
      <c r="E312" s="1822"/>
      <c r="F312" s="1822"/>
      <c r="G312" s="1822"/>
      <c r="H312" s="1822"/>
      <c r="I312" s="1822"/>
      <c r="J312" s="1822"/>
      <c r="K312" s="1822"/>
      <c r="L312" s="1822"/>
      <c r="M312" s="1822"/>
      <c r="N312" s="1827"/>
      <c r="V312" s="674"/>
      <c r="W312" s="675"/>
      <c r="Y312" s="537" t="s">
        <v>719</v>
      </c>
      <c r="AC312" s="675"/>
      <c r="AD312" s="680"/>
      <c r="AE312" s="675"/>
      <c r="AG312" s="675"/>
    </row>
    <row r="313" spans="1:33" s="536" customFormat="1" ht="33.75" x14ac:dyDescent="0.2">
      <c r="A313" s="575" t="s">
        <v>505</v>
      </c>
      <c r="B313" s="670" t="s">
        <v>4413</v>
      </c>
      <c r="C313" s="1823" t="s">
        <v>4414</v>
      </c>
      <c r="D313" s="1823"/>
      <c r="E313" s="1823"/>
      <c r="F313" s="573" t="s">
        <v>519</v>
      </c>
      <c r="G313" s="573"/>
      <c r="H313" s="573"/>
      <c r="I313" s="573" t="s">
        <v>4415</v>
      </c>
      <c r="J313" s="572"/>
      <c r="K313" s="573"/>
      <c r="L313" s="572"/>
      <c r="M313" s="571"/>
      <c r="N313" s="570"/>
      <c r="V313" s="674"/>
      <c r="W313" s="675" t="s">
        <v>4414</v>
      </c>
      <c r="AC313" s="675"/>
      <c r="AD313" s="680"/>
      <c r="AE313" s="675"/>
      <c r="AG313" s="675"/>
    </row>
    <row r="314" spans="1:33" s="536" customFormat="1" ht="12" x14ac:dyDescent="0.2">
      <c r="A314" s="676"/>
      <c r="B314" s="664"/>
      <c r="C314" s="1822" t="s">
        <v>4416</v>
      </c>
      <c r="D314" s="1822"/>
      <c r="E314" s="1822"/>
      <c r="F314" s="1822"/>
      <c r="G314" s="1822"/>
      <c r="H314" s="1822"/>
      <c r="I314" s="1822"/>
      <c r="J314" s="1822"/>
      <c r="K314" s="1822"/>
      <c r="L314" s="1822"/>
      <c r="M314" s="1822"/>
      <c r="N314" s="1827"/>
      <c r="V314" s="674"/>
      <c r="W314" s="675"/>
      <c r="X314" s="537" t="s">
        <v>4416</v>
      </c>
      <c r="AC314" s="675"/>
      <c r="AD314" s="680"/>
      <c r="AE314" s="675"/>
      <c r="AG314" s="675"/>
    </row>
    <row r="315" spans="1:33" s="536" customFormat="1" ht="22.5" x14ac:dyDescent="0.2">
      <c r="A315" s="609"/>
      <c r="B315" s="552" t="s">
        <v>499</v>
      </c>
      <c r="C315" s="1822" t="s">
        <v>500</v>
      </c>
      <c r="D315" s="1822"/>
      <c r="E315" s="1822"/>
      <c r="F315" s="1822"/>
      <c r="G315" s="1822"/>
      <c r="H315" s="1822"/>
      <c r="I315" s="1822"/>
      <c r="J315" s="1822"/>
      <c r="K315" s="1822"/>
      <c r="L315" s="1822"/>
      <c r="M315" s="1822"/>
      <c r="N315" s="1827"/>
      <c r="V315" s="674"/>
      <c r="W315" s="675"/>
      <c r="Y315" s="537" t="s">
        <v>500</v>
      </c>
      <c r="AC315" s="675"/>
      <c r="AD315" s="680"/>
      <c r="AE315" s="675"/>
      <c r="AG315" s="675"/>
    </row>
    <row r="316" spans="1:33" s="536" customFormat="1" ht="12" x14ac:dyDescent="0.2">
      <c r="A316" s="605"/>
      <c r="B316" s="552" t="s">
        <v>185</v>
      </c>
      <c r="C316" s="1822" t="s">
        <v>312</v>
      </c>
      <c r="D316" s="1822"/>
      <c r="E316" s="1822"/>
      <c r="F316" s="562"/>
      <c r="G316" s="562"/>
      <c r="H316" s="562"/>
      <c r="I316" s="562"/>
      <c r="J316" s="604">
        <v>4268.7</v>
      </c>
      <c r="K316" s="562" t="s">
        <v>313</v>
      </c>
      <c r="L316" s="604">
        <v>226.77</v>
      </c>
      <c r="M316" s="603"/>
      <c r="N316" s="602"/>
      <c r="V316" s="674"/>
      <c r="W316" s="675"/>
      <c r="Z316" s="537" t="s">
        <v>312</v>
      </c>
      <c r="AC316" s="675"/>
      <c r="AD316" s="680"/>
      <c r="AE316" s="675"/>
      <c r="AG316" s="675"/>
    </row>
    <row r="317" spans="1:33" s="536" customFormat="1" ht="12" x14ac:dyDescent="0.2">
      <c r="A317" s="605"/>
      <c r="B317" s="552" t="s">
        <v>186</v>
      </c>
      <c r="C317" s="1822" t="s">
        <v>344</v>
      </c>
      <c r="D317" s="1822"/>
      <c r="E317" s="1822"/>
      <c r="F317" s="562"/>
      <c r="G317" s="562"/>
      <c r="H317" s="562"/>
      <c r="I317" s="562"/>
      <c r="J317" s="604">
        <v>12808.36</v>
      </c>
      <c r="K317" s="562" t="s">
        <v>313</v>
      </c>
      <c r="L317" s="604">
        <v>680.44</v>
      </c>
      <c r="M317" s="603"/>
      <c r="N317" s="602"/>
      <c r="V317" s="674"/>
      <c r="W317" s="675"/>
      <c r="Z317" s="537" t="s">
        <v>344</v>
      </c>
      <c r="AC317" s="675"/>
      <c r="AD317" s="680"/>
      <c r="AE317" s="675"/>
      <c r="AG317" s="675"/>
    </row>
    <row r="318" spans="1:33" s="536" customFormat="1" ht="12" x14ac:dyDescent="0.2">
      <c r="A318" s="605"/>
      <c r="B318" s="552" t="s">
        <v>187</v>
      </c>
      <c r="C318" s="1822" t="s">
        <v>345</v>
      </c>
      <c r="D318" s="1822"/>
      <c r="E318" s="1822"/>
      <c r="F318" s="562"/>
      <c r="G318" s="562"/>
      <c r="H318" s="562"/>
      <c r="I318" s="562"/>
      <c r="J318" s="604">
        <v>1548.14</v>
      </c>
      <c r="K318" s="562" t="s">
        <v>313</v>
      </c>
      <c r="L318" s="604">
        <v>82.24</v>
      </c>
      <c r="M318" s="603"/>
      <c r="N318" s="602"/>
      <c r="V318" s="674"/>
      <c r="W318" s="675"/>
      <c r="Z318" s="537" t="s">
        <v>345</v>
      </c>
      <c r="AC318" s="675"/>
      <c r="AD318" s="680"/>
      <c r="AE318" s="675"/>
      <c r="AG318" s="675"/>
    </row>
    <row r="319" spans="1:33" s="536" customFormat="1" ht="12" x14ac:dyDescent="0.2">
      <c r="A319" s="605"/>
      <c r="B319" s="552" t="s">
        <v>188</v>
      </c>
      <c r="C319" s="1822" t="s">
        <v>475</v>
      </c>
      <c r="D319" s="1822"/>
      <c r="E319" s="1822"/>
      <c r="F319" s="562"/>
      <c r="G319" s="562"/>
      <c r="H319" s="562"/>
      <c r="I319" s="562"/>
      <c r="J319" s="604">
        <v>306.45999999999998</v>
      </c>
      <c r="K319" s="562"/>
      <c r="L319" s="604">
        <v>13.02</v>
      </c>
      <c r="M319" s="603"/>
      <c r="N319" s="602"/>
      <c r="V319" s="674"/>
      <c r="W319" s="675"/>
      <c r="Z319" s="537" t="s">
        <v>475</v>
      </c>
      <c r="AC319" s="675"/>
      <c r="AD319" s="680"/>
      <c r="AE319" s="675"/>
      <c r="AG319" s="675"/>
    </row>
    <row r="320" spans="1:33" s="536" customFormat="1" ht="12" x14ac:dyDescent="0.2">
      <c r="A320" s="676"/>
      <c r="B320" s="677" t="s">
        <v>2458</v>
      </c>
      <c r="C320" s="1829" t="s">
        <v>2459</v>
      </c>
      <c r="D320" s="1829"/>
      <c r="E320" s="1829"/>
      <c r="F320" s="678" t="s">
        <v>483</v>
      </c>
      <c r="G320" s="678" t="s">
        <v>2473</v>
      </c>
      <c r="H320" s="678"/>
      <c r="I320" s="678" t="s">
        <v>4417</v>
      </c>
      <c r="J320" s="552"/>
      <c r="K320" s="562"/>
      <c r="L320" s="604"/>
      <c r="M320" s="562"/>
      <c r="N320" s="679"/>
      <c r="V320" s="674"/>
      <c r="W320" s="675"/>
      <c r="AC320" s="675"/>
      <c r="AD320" s="680" t="s">
        <v>2459</v>
      </c>
      <c r="AE320" s="675"/>
      <c r="AG320" s="675"/>
    </row>
    <row r="321" spans="1:33" s="536" customFormat="1" ht="12" x14ac:dyDescent="0.2">
      <c r="A321" s="605"/>
      <c r="B321" s="552"/>
      <c r="C321" s="1822" t="s">
        <v>314</v>
      </c>
      <c r="D321" s="1822"/>
      <c r="E321" s="1822"/>
      <c r="F321" s="562" t="s">
        <v>315</v>
      </c>
      <c r="G321" s="562" t="s">
        <v>4418</v>
      </c>
      <c r="H321" s="562" t="s">
        <v>313</v>
      </c>
      <c r="I321" s="562" t="s">
        <v>4419</v>
      </c>
      <c r="J321" s="604"/>
      <c r="K321" s="562"/>
      <c r="L321" s="604"/>
      <c r="M321" s="603"/>
      <c r="N321" s="602"/>
      <c r="V321" s="674"/>
      <c r="W321" s="675"/>
      <c r="AA321" s="537" t="s">
        <v>314</v>
      </c>
      <c r="AC321" s="675"/>
      <c r="AD321" s="680"/>
      <c r="AE321" s="675"/>
      <c r="AG321" s="675"/>
    </row>
    <row r="322" spans="1:33" s="536" customFormat="1" ht="12" x14ac:dyDescent="0.2">
      <c r="A322" s="605"/>
      <c r="B322" s="552"/>
      <c r="C322" s="1822" t="s">
        <v>348</v>
      </c>
      <c r="D322" s="1822"/>
      <c r="E322" s="1822"/>
      <c r="F322" s="562" t="s">
        <v>315</v>
      </c>
      <c r="G322" s="562" t="s">
        <v>4420</v>
      </c>
      <c r="H322" s="562" t="s">
        <v>313</v>
      </c>
      <c r="I322" s="562" t="s">
        <v>4421</v>
      </c>
      <c r="J322" s="604"/>
      <c r="K322" s="562"/>
      <c r="L322" s="604"/>
      <c r="M322" s="603"/>
      <c r="N322" s="602"/>
      <c r="V322" s="674"/>
      <c r="W322" s="675"/>
      <c r="AA322" s="537" t="s">
        <v>348</v>
      </c>
      <c r="AC322" s="675"/>
      <c r="AD322" s="680"/>
      <c r="AE322" s="675"/>
      <c r="AG322" s="675"/>
    </row>
    <row r="323" spans="1:33" s="536" customFormat="1" ht="12" x14ac:dyDescent="0.2">
      <c r="A323" s="605"/>
      <c r="B323" s="552"/>
      <c r="C323" s="1828" t="s">
        <v>318</v>
      </c>
      <c r="D323" s="1828"/>
      <c r="E323" s="1828"/>
      <c r="F323" s="608"/>
      <c r="G323" s="608"/>
      <c r="H323" s="608"/>
      <c r="I323" s="608"/>
      <c r="J323" s="607">
        <v>17383.52</v>
      </c>
      <c r="K323" s="608"/>
      <c r="L323" s="607">
        <v>920.23</v>
      </c>
      <c r="M323" s="601"/>
      <c r="N323" s="606"/>
      <c r="V323" s="674"/>
      <c r="W323" s="675"/>
      <c r="AB323" s="537" t="s">
        <v>318</v>
      </c>
      <c r="AC323" s="675"/>
      <c r="AD323" s="680"/>
      <c r="AE323" s="675"/>
      <c r="AG323" s="675"/>
    </row>
    <row r="324" spans="1:33" s="536" customFormat="1" ht="12" x14ac:dyDescent="0.2">
      <c r="A324" s="605"/>
      <c r="B324" s="552"/>
      <c r="C324" s="1822" t="s">
        <v>319</v>
      </c>
      <c r="D324" s="1822"/>
      <c r="E324" s="1822"/>
      <c r="F324" s="562"/>
      <c r="G324" s="562"/>
      <c r="H324" s="562"/>
      <c r="I324" s="562"/>
      <c r="J324" s="604"/>
      <c r="K324" s="562"/>
      <c r="L324" s="604">
        <v>309.01</v>
      </c>
      <c r="M324" s="603"/>
      <c r="N324" s="602"/>
      <c r="V324" s="674"/>
      <c r="W324" s="675"/>
      <c r="AA324" s="537" t="s">
        <v>319</v>
      </c>
      <c r="AC324" s="675"/>
      <c r="AD324" s="680"/>
      <c r="AE324" s="675"/>
      <c r="AG324" s="675"/>
    </row>
    <row r="325" spans="1:33" s="536" customFormat="1" ht="33.75" x14ac:dyDescent="0.2">
      <c r="A325" s="605"/>
      <c r="B325" s="552" t="s">
        <v>533</v>
      </c>
      <c r="C325" s="1822" t="s">
        <v>534</v>
      </c>
      <c r="D325" s="1822"/>
      <c r="E325" s="1822"/>
      <c r="F325" s="562" t="s">
        <v>322</v>
      </c>
      <c r="G325" s="562" t="s">
        <v>535</v>
      </c>
      <c r="H325" s="562"/>
      <c r="I325" s="562" t="s">
        <v>535</v>
      </c>
      <c r="J325" s="604"/>
      <c r="K325" s="562"/>
      <c r="L325" s="604">
        <v>361.54</v>
      </c>
      <c r="M325" s="603"/>
      <c r="N325" s="602"/>
      <c r="V325" s="674"/>
      <c r="W325" s="675"/>
      <c r="AA325" s="537" t="s">
        <v>534</v>
      </c>
      <c r="AC325" s="675"/>
      <c r="AD325" s="680"/>
      <c r="AE325" s="675"/>
      <c r="AG325" s="675"/>
    </row>
    <row r="326" spans="1:33" s="536" customFormat="1" ht="33.75" x14ac:dyDescent="0.2">
      <c r="A326" s="605"/>
      <c r="B326" s="552" t="s">
        <v>536</v>
      </c>
      <c r="C326" s="1822" t="s">
        <v>537</v>
      </c>
      <c r="D326" s="1822"/>
      <c r="E326" s="1822"/>
      <c r="F326" s="562" t="s">
        <v>322</v>
      </c>
      <c r="G326" s="562" t="s">
        <v>538</v>
      </c>
      <c r="H326" s="562"/>
      <c r="I326" s="562" t="s">
        <v>538</v>
      </c>
      <c r="J326" s="604"/>
      <c r="K326" s="562"/>
      <c r="L326" s="604">
        <v>228.67</v>
      </c>
      <c r="M326" s="603"/>
      <c r="N326" s="602"/>
      <c r="V326" s="674"/>
      <c r="W326" s="675"/>
      <c r="AA326" s="537" t="s">
        <v>537</v>
      </c>
      <c r="AC326" s="675"/>
      <c r="AD326" s="680"/>
      <c r="AE326" s="675"/>
      <c r="AG326" s="675"/>
    </row>
    <row r="327" spans="1:33" s="536" customFormat="1" ht="12" x14ac:dyDescent="0.2">
      <c r="A327" s="569"/>
      <c r="B327" s="671"/>
      <c r="C327" s="1823" t="s">
        <v>327</v>
      </c>
      <c r="D327" s="1823"/>
      <c r="E327" s="1823"/>
      <c r="F327" s="573"/>
      <c r="G327" s="573"/>
      <c r="H327" s="573"/>
      <c r="I327" s="573"/>
      <c r="J327" s="572"/>
      <c r="K327" s="573"/>
      <c r="L327" s="572">
        <v>1510.44</v>
      </c>
      <c r="M327" s="601"/>
      <c r="N327" s="570"/>
      <c r="V327" s="674"/>
      <c r="W327" s="675"/>
      <c r="AC327" s="675" t="s">
        <v>327</v>
      </c>
      <c r="AD327" s="680"/>
      <c r="AE327" s="675"/>
      <c r="AG327" s="675"/>
    </row>
    <row r="328" spans="1:33" s="536" customFormat="1" ht="67.5" x14ac:dyDescent="0.2">
      <c r="A328" s="575" t="s">
        <v>767</v>
      </c>
      <c r="B328" s="670" t="s">
        <v>4422</v>
      </c>
      <c r="C328" s="1823" t="s">
        <v>4423</v>
      </c>
      <c r="D328" s="1823"/>
      <c r="E328" s="1823"/>
      <c r="F328" s="573" t="s">
        <v>483</v>
      </c>
      <c r="G328" s="573"/>
      <c r="H328" s="573"/>
      <c r="I328" s="573" t="s">
        <v>4424</v>
      </c>
      <c r="J328" s="572">
        <v>1425.06</v>
      </c>
      <c r="K328" s="573"/>
      <c r="L328" s="572">
        <v>61177.83</v>
      </c>
      <c r="M328" s="571"/>
      <c r="N328" s="570"/>
      <c r="V328" s="674"/>
      <c r="W328" s="675" t="s">
        <v>4423</v>
      </c>
      <c r="AC328" s="675"/>
      <c r="AD328" s="680"/>
      <c r="AE328" s="675"/>
      <c r="AG328" s="675"/>
    </row>
    <row r="329" spans="1:33" s="536" customFormat="1" ht="12" x14ac:dyDescent="0.2">
      <c r="A329" s="569"/>
      <c r="B329" s="671"/>
      <c r="C329" s="665" t="s">
        <v>717</v>
      </c>
      <c r="D329" s="666"/>
      <c r="E329" s="666"/>
      <c r="F329" s="563"/>
      <c r="G329" s="563"/>
      <c r="H329" s="563"/>
      <c r="I329" s="563"/>
      <c r="J329" s="566"/>
      <c r="K329" s="563"/>
      <c r="L329" s="566"/>
      <c r="M329" s="565"/>
      <c r="N329" s="564"/>
      <c r="V329" s="674"/>
      <c r="W329" s="675"/>
      <c r="AC329" s="675"/>
      <c r="AD329" s="680"/>
      <c r="AE329" s="675"/>
      <c r="AG329" s="675"/>
    </row>
    <row r="330" spans="1:33" s="536" customFormat="1" ht="33.75" x14ac:dyDescent="0.2">
      <c r="A330" s="575" t="s">
        <v>768</v>
      </c>
      <c r="B330" s="670" t="s">
        <v>4425</v>
      </c>
      <c r="C330" s="1823" t="s">
        <v>4426</v>
      </c>
      <c r="D330" s="1823"/>
      <c r="E330" s="1823"/>
      <c r="F330" s="573" t="s">
        <v>519</v>
      </c>
      <c r="G330" s="573"/>
      <c r="H330" s="573"/>
      <c r="I330" s="573" t="s">
        <v>3486</v>
      </c>
      <c r="J330" s="572"/>
      <c r="K330" s="573"/>
      <c r="L330" s="572"/>
      <c r="M330" s="571"/>
      <c r="N330" s="570"/>
      <c r="V330" s="674"/>
      <c r="W330" s="675" t="s">
        <v>4426</v>
      </c>
      <c r="AC330" s="675"/>
      <c r="AD330" s="680"/>
      <c r="AE330" s="675"/>
      <c r="AG330" s="675"/>
    </row>
    <row r="331" spans="1:33" s="536" customFormat="1" ht="12" x14ac:dyDescent="0.2">
      <c r="A331" s="676"/>
      <c r="B331" s="664"/>
      <c r="C331" s="1822" t="s">
        <v>4427</v>
      </c>
      <c r="D331" s="1822"/>
      <c r="E331" s="1822"/>
      <c r="F331" s="1822"/>
      <c r="G331" s="1822"/>
      <c r="H331" s="1822"/>
      <c r="I331" s="1822"/>
      <c r="J331" s="1822"/>
      <c r="K331" s="1822"/>
      <c r="L331" s="1822"/>
      <c r="M331" s="1822"/>
      <c r="N331" s="1827"/>
      <c r="V331" s="674"/>
      <c r="W331" s="675"/>
      <c r="X331" s="537" t="s">
        <v>4427</v>
      </c>
      <c r="AC331" s="675"/>
      <c r="AD331" s="680"/>
      <c r="AE331" s="675"/>
      <c r="AG331" s="675"/>
    </row>
    <row r="332" spans="1:33" s="536" customFormat="1" ht="22.5" x14ac:dyDescent="0.2">
      <c r="A332" s="609"/>
      <c r="B332" s="552" t="s">
        <v>499</v>
      </c>
      <c r="C332" s="1822" t="s">
        <v>500</v>
      </c>
      <c r="D332" s="1822"/>
      <c r="E332" s="1822"/>
      <c r="F332" s="1822"/>
      <c r="G332" s="1822"/>
      <c r="H332" s="1822"/>
      <c r="I332" s="1822"/>
      <c r="J332" s="1822"/>
      <c r="K332" s="1822"/>
      <c r="L332" s="1822"/>
      <c r="M332" s="1822"/>
      <c r="N332" s="1827"/>
      <c r="V332" s="674"/>
      <c r="W332" s="675"/>
      <c r="Y332" s="537" t="s">
        <v>500</v>
      </c>
      <c r="AC332" s="675"/>
      <c r="AD332" s="680"/>
      <c r="AE332" s="675"/>
      <c r="AG332" s="675"/>
    </row>
    <row r="333" spans="1:33" s="536" customFormat="1" ht="12" x14ac:dyDescent="0.2">
      <c r="A333" s="605"/>
      <c r="B333" s="552" t="s">
        <v>185</v>
      </c>
      <c r="C333" s="1822" t="s">
        <v>312</v>
      </c>
      <c r="D333" s="1822"/>
      <c r="E333" s="1822"/>
      <c r="F333" s="562"/>
      <c r="G333" s="562"/>
      <c r="H333" s="562"/>
      <c r="I333" s="562"/>
      <c r="J333" s="604">
        <v>5690.22</v>
      </c>
      <c r="K333" s="562" t="s">
        <v>313</v>
      </c>
      <c r="L333" s="604">
        <v>263.17</v>
      </c>
      <c r="M333" s="603"/>
      <c r="N333" s="602"/>
      <c r="V333" s="674"/>
      <c r="W333" s="675"/>
      <c r="Z333" s="537" t="s">
        <v>312</v>
      </c>
      <c r="AC333" s="675"/>
      <c r="AD333" s="680"/>
      <c r="AE333" s="675"/>
      <c r="AG333" s="675"/>
    </row>
    <row r="334" spans="1:33" s="536" customFormat="1" ht="12" x14ac:dyDescent="0.2">
      <c r="A334" s="605"/>
      <c r="B334" s="552" t="s">
        <v>186</v>
      </c>
      <c r="C334" s="1822" t="s">
        <v>344</v>
      </c>
      <c r="D334" s="1822"/>
      <c r="E334" s="1822"/>
      <c r="F334" s="562"/>
      <c r="G334" s="562"/>
      <c r="H334" s="562"/>
      <c r="I334" s="562"/>
      <c r="J334" s="604">
        <v>17530.75</v>
      </c>
      <c r="K334" s="562" t="s">
        <v>313</v>
      </c>
      <c r="L334" s="604">
        <v>810.8</v>
      </c>
      <c r="M334" s="603"/>
      <c r="N334" s="602"/>
      <c r="V334" s="674"/>
      <c r="W334" s="675"/>
      <c r="Z334" s="537" t="s">
        <v>344</v>
      </c>
      <c r="AC334" s="675"/>
      <c r="AD334" s="680"/>
      <c r="AE334" s="675"/>
      <c r="AG334" s="675"/>
    </row>
    <row r="335" spans="1:33" s="536" customFormat="1" ht="12" x14ac:dyDescent="0.2">
      <c r="A335" s="605"/>
      <c r="B335" s="552" t="s">
        <v>187</v>
      </c>
      <c r="C335" s="1822" t="s">
        <v>345</v>
      </c>
      <c r="D335" s="1822"/>
      <c r="E335" s="1822"/>
      <c r="F335" s="562"/>
      <c r="G335" s="562"/>
      <c r="H335" s="562"/>
      <c r="I335" s="562"/>
      <c r="J335" s="604">
        <v>2119.29</v>
      </c>
      <c r="K335" s="562" t="s">
        <v>313</v>
      </c>
      <c r="L335" s="604">
        <v>98.02</v>
      </c>
      <c r="M335" s="603"/>
      <c r="N335" s="602"/>
      <c r="V335" s="674"/>
      <c r="W335" s="675"/>
      <c r="Z335" s="537" t="s">
        <v>345</v>
      </c>
      <c r="AC335" s="675"/>
      <c r="AD335" s="680"/>
      <c r="AE335" s="675"/>
      <c r="AG335" s="675"/>
    </row>
    <row r="336" spans="1:33" s="536" customFormat="1" ht="12" x14ac:dyDescent="0.2">
      <c r="A336" s="605"/>
      <c r="B336" s="552" t="s">
        <v>188</v>
      </c>
      <c r="C336" s="1822" t="s">
        <v>475</v>
      </c>
      <c r="D336" s="1822"/>
      <c r="E336" s="1822"/>
      <c r="F336" s="562"/>
      <c r="G336" s="562"/>
      <c r="H336" s="562"/>
      <c r="I336" s="562"/>
      <c r="J336" s="604">
        <v>600.73</v>
      </c>
      <c r="K336" s="562"/>
      <c r="L336" s="604">
        <v>22.23</v>
      </c>
      <c r="M336" s="603"/>
      <c r="N336" s="602"/>
      <c r="V336" s="674"/>
      <c r="W336" s="675"/>
      <c r="Z336" s="537" t="s">
        <v>475</v>
      </c>
      <c r="AC336" s="675"/>
      <c r="AD336" s="680"/>
      <c r="AE336" s="675"/>
      <c r="AG336" s="675"/>
    </row>
    <row r="337" spans="1:33" s="536" customFormat="1" ht="12" x14ac:dyDescent="0.2">
      <c r="A337" s="676"/>
      <c r="B337" s="677" t="s">
        <v>2458</v>
      </c>
      <c r="C337" s="1829" t="s">
        <v>2459</v>
      </c>
      <c r="D337" s="1829"/>
      <c r="E337" s="1829"/>
      <c r="F337" s="678" t="s">
        <v>483</v>
      </c>
      <c r="G337" s="678" t="s">
        <v>2473</v>
      </c>
      <c r="H337" s="678"/>
      <c r="I337" s="678" t="s">
        <v>1047</v>
      </c>
      <c r="J337" s="552"/>
      <c r="K337" s="562"/>
      <c r="L337" s="604"/>
      <c r="M337" s="562"/>
      <c r="N337" s="679"/>
      <c r="V337" s="674"/>
      <c r="W337" s="675"/>
      <c r="AC337" s="675"/>
      <c r="AD337" s="680" t="s">
        <v>2459</v>
      </c>
      <c r="AE337" s="675"/>
      <c r="AG337" s="675"/>
    </row>
    <row r="338" spans="1:33" s="536" customFormat="1" ht="22.5" x14ac:dyDescent="0.2">
      <c r="A338" s="605"/>
      <c r="B338" s="552"/>
      <c r="C338" s="1822" t="s">
        <v>314</v>
      </c>
      <c r="D338" s="1822"/>
      <c r="E338" s="1822"/>
      <c r="F338" s="562" t="s">
        <v>315</v>
      </c>
      <c r="G338" s="562" t="s">
        <v>4428</v>
      </c>
      <c r="H338" s="562" t="s">
        <v>313</v>
      </c>
      <c r="I338" s="562" t="s">
        <v>4429</v>
      </c>
      <c r="J338" s="604"/>
      <c r="K338" s="562"/>
      <c r="L338" s="604"/>
      <c r="M338" s="603"/>
      <c r="N338" s="602"/>
      <c r="V338" s="674"/>
      <c r="W338" s="675"/>
      <c r="AA338" s="537" t="s">
        <v>314</v>
      </c>
      <c r="AC338" s="675"/>
      <c r="AD338" s="680"/>
      <c r="AE338" s="675"/>
      <c r="AG338" s="675"/>
    </row>
    <row r="339" spans="1:33" s="536" customFormat="1" ht="12" x14ac:dyDescent="0.2">
      <c r="A339" s="605"/>
      <c r="B339" s="552"/>
      <c r="C339" s="1822" t="s">
        <v>348</v>
      </c>
      <c r="D339" s="1822"/>
      <c r="E339" s="1822"/>
      <c r="F339" s="562" t="s">
        <v>315</v>
      </c>
      <c r="G339" s="562" t="s">
        <v>4430</v>
      </c>
      <c r="H339" s="562" t="s">
        <v>313</v>
      </c>
      <c r="I339" s="562" t="s">
        <v>4431</v>
      </c>
      <c r="J339" s="604"/>
      <c r="K339" s="562"/>
      <c r="L339" s="604"/>
      <c r="M339" s="603"/>
      <c r="N339" s="602"/>
      <c r="V339" s="674"/>
      <c r="W339" s="675"/>
      <c r="AA339" s="537" t="s">
        <v>348</v>
      </c>
      <c r="AC339" s="675"/>
      <c r="AD339" s="680"/>
      <c r="AE339" s="675"/>
      <c r="AG339" s="675"/>
    </row>
    <row r="340" spans="1:33" s="536" customFormat="1" ht="12" x14ac:dyDescent="0.2">
      <c r="A340" s="605"/>
      <c r="B340" s="552"/>
      <c r="C340" s="1828" t="s">
        <v>318</v>
      </c>
      <c r="D340" s="1828"/>
      <c r="E340" s="1828"/>
      <c r="F340" s="608"/>
      <c r="G340" s="608"/>
      <c r="H340" s="608"/>
      <c r="I340" s="608"/>
      <c r="J340" s="607">
        <v>23821.7</v>
      </c>
      <c r="K340" s="608"/>
      <c r="L340" s="607">
        <v>1096.2</v>
      </c>
      <c r="M340" s="601"/>
      <c r="N340" s="606"/>
      <c r="V340" s="674"/>
      <c r="W340" s="675"/>
      <c r="AB340" s="537" t="s">
        <v>318</v>
      </c>
      <c r="AC340" s="675"/>
      <c r="AD340" s="680"/>
      <c r="AE340" s="675"/>
      <c r="AG340" s="675"/>
    </row>
    <row r="341" spans="1:33" s="536" customFormat="1" ht="12" x14ac:dyDescent="0.2">
      <c r="A341" s="605"/>
      <c r="B341" s="552"/>
      <c r="C341" s="1822" t="s">
        <v>319</v>
      </c>
      <c r="D341" s="1822"/>
      <c r="E341" s="1822"/>
      <c r="F341" s="562"/>
      <c r="G341" s="562"/>
      <c r="H341" s="562"/>
      <c r="I341" s="562"/>
      <c r="J341" s="604"/>
      <c r="K341" s="562"/>
      <c r="L341" s="604">
        <v>361.19</v>
      </c>
      <c r="M341" s="603"/>
      <c r="N341" s="602"/>
      <c r="V341" s="674"/>
      <c r="W341" s="675"/>
      <c r="AA341" s="537" t="s">
        <v>319</v>
      </c>
      <c r="AC341" s="675"/>
      <c r="AD341" s="680"/>
      <c r="AE341" s="675"/>
      <c r="AG341" s="675"/>
    </row>
    <row r="342" spans="1:33" s="536" customFormat="1" ht="33.75" x14ac:dyDescent="0.2">
      <c r="A342" s="605"/>
      <c r="B342" s="552" t="s">
        <v>533</v>
      </c>
      <c r="C342" s="1822" t="s">
        <v>534</v>
      </c>
      <c r="D342" s="1822"/>
      <c r="E342" s="1822"/>
      <c r="F342" s="562" t="s">
        <v>322</v>
      </c>
      <c r="G342" s="562" t="s">
        <v>535</v>
      </c>
      <c r="H342" s="562"/>
      <c r="I342" s="562" t="s">
        <v>535</v>
      </c>
      <c r="J342" s="604"/>
      <c r="K342" s="562"/>
      <c r="L342" s="604">
        <v>422.59</v>
      </c>
      <c r="M342" s="603"/>
      <c r="N342" s="602"/>
      <c r="V342" s="674"/>
      <c r="W342" s="675"/>
      <c r="AA342" s="537" t="s">
        <v>534</v>
      </c>
      <c r="AC342" s="675"/>
      <c r="AD342" s="680"/>
      <c r="AE342" s="675"/>
      <c r="AG342" s="675"/>
    </row>
    <row r="343" spans="1:33" s="536" customFormat="1" ht="33.75" x14ac:dyDescent="0.2">
      <c r="A343" s="605"/>
      <c r="B343" s="552" t="s">
        <v>536</v>
      </c>
      <c r="C343" s="1822" t="s">
        <v>537</v>
      </c>
      <c r="D343" s="1822"/>
      <c r="E343" s="1822"/>
      <c r="F343" s="562" t="s">
        <v>322</v>
      </c>
      <c r="G343" s="562" t="s">
        <v>538</v>
      </c>
      <c r="H343" s="562"/>
      <c r="I343" s="562" t="s">
        <v>538</v>
      </c>
      <c r="J343" s="604"/>
      <c r="K343" s="562"/>
      <c r="L343" s="604">
        <v>267.27999999999997</v>
      </c>
      <c r="M343" s="603"/>
      <c r="N343" s="602"/>
      <c r="V343" s="674"/>
      <c r="W343" s="675"/>
      <c r="AA343" s="537" t="s">
        <v>537</v>
      </c>
      <c r="AC343" s="675"/>
      <c r="AD343" s="680"/>
      <c r="AE343" s="675"/>
      <c r="AG343" s="675"/>
    </row>
    <row r="344" spans="1:33" s="536" customFormat="1" ht="12" x14ac:dyDescent="0.2">
      <c r="A344" s="569"/>
      <c r="B344" s="671"/>
      <c r="C344" s="1823" t="s">
        <v>327</v>
      </c>
      <c r="D344" s="1823"/>
      <c r="E344" s="1823"/>
      <c r="F344" s="573"/>
      <c r="G344" s="573"/>
      <c r="H344" s="573"/>
      <c r="I344" s="573"/>
      <c r="J344" s="572"/>
      <c r="K344" s="573"/>
      <c r="L344" s="572">
        <v>1786.07</v>
      </c>
      <c r="M344" s="601"/>
      <c r="N344" s="570"/>
      <c r="V344" s="674"/>
      <c r="W344" s="675"/>
      <c r="AC344" s="675" t="s">
        <v>327</v>
      </c>
      <c r="AD344" s="680"/>
      <c r="AE344" s="675"/>
      <c r="AG344" s="675"/>
    </row>
    <row r="345" spans="1:33" s="536" customFormat="1" ht="67.5" x14ac:dyDescent="0.2">
      <c r="A345" s="575" t="s">
        <v>769</v>
      </c>
      <c r="B345" s="670" t="s">
        <v>4432</v>
      </c>
      <c r="C345" s="1823" t="s">
        <v>4433</v>
      </c>
      <c r="D345" s="1823"/>
      <c r="E345" s="1823"/>
      <c r="F345" s="573" t="s">
        <v>483</v>
      </c>
      <c r="G345" s="573"/>
      <c r="H345" s="573"/>
      <c r="I345" s="573" t="s">
        <v>1047</v>
      </c>
      <c r="J345" s="572">
        <v>2826.89</v>
      </c>
      <c r="K345" s="573"/>
      <c r="L345" s="572">
        <v>105640.88</v>
      </c>
      <c r="M345" s="571"/>
      <c r="N345" s="570"/>
      <c r="V345" s="674"/>
      <c r="W345" s="675" t="s">
        <v>4433</v>
      </c>
      <c r="AC345" s="675"/>
      <c r="AD345" s="680"/>
      <c r="AE345" s="675"/>
      <c r="AG345" s="675"/>
    </row>
    <row r="346" spans="1:33" s="536" customFormat="1" ht="12" x14ac:dyDescent="0.2">
      <c r="A346" s="569"/>
      <c r="B346" s="671"/>
      <c r="C346" s="665" t="s">
        <v>717</v>
      </c>
      <c r="D346" s="666"/>
      <c r="E346" s="666"/>
      <c r="F346" s="563"/>
      <c r="G346" s="563"/>
      <c r="H346" s="563"/>
      <c r="I346" s="563"/>
      <c r="J346" s="566"/>
      <c r="K346" s="563"/>
      <c r="L346" s="566"/>
      <c r="M346" s="565"/>
      <c r="N346" s="564"/>
      <c r="V346" s="674"/>
      <c r="W346" s="675"/>
      <c r="AC346" s="675"/>
      <c r="AD346" s="680"/>
      <c r="AE346" s="675"/>
      <c r="AG346" s="675"/>
    </row>
    <row r="347" spans="1:33" s="536" customFormat="1" ht="33.75" x14ac:dyDescent="0.2">
      <c r="A347" s="575" t="s">
        <v>770</v>
      </c>
      <c r="B347" s="670" t="s">
        <v>4434</v>
      </c>
      <c r="C347" s="1823" t="s">
        <v>4435</v>
      </c>
      <c r="D347" s="1823"/>
      <c r="E347" s="1823"/>
      <c r="F347" s="573" t="s">
        <v>1537</v>
      </c>
      <c r="G347" s="573"/>
      <c r="H347" s="573"/>
      <c r="I347" s="573" t="s">
        <v>4436</v>
      </c>
      <c r="J347" s="572"/>
      <c r="K347" s="573"/>
      <c r="L347" s="572"/>
      <c r="M347" s="571"/>
      <c r="N347" s="570"/>
      <c r="V347" s="674"/>
      <c r="W347" s="675" t="s">
        <v>4435</v>
      </c>
      <c r="AC347" s="675"/>
      <c r="AD347" s="680"/>
      <c r="AE347" s="675"/>
      <c r="AG347" s="675"/>
    </row>
    <row r="348" spans="1:33" s="536" customFormat="1" ht="12" x14ac:dyDescent="0.2">
      <c r="A348" s="676"/>
      <c r="B348" s="664"/>
      <c r="C348" s="1822" t="s">
        <v>4437</v>
      </c>
      <c r="D348" s="1822"/>
      <c r="E348" s="1822"/>
      <c r="F348" s="1822"/>
      <c r="G348" s="1822"/>
      <c r="H348" s="1822"/>
      <c r="I348" s="1822"/>
      <c r="J348" s="1822"/>
      <c r="K348" s="1822"/>
      <c r="L348" s="1822"/>
      <c r="M348" s="1822"/>
      <c r="N348" s="1827"/>
      <c r="V348" s="674"/>
      <c r="W348" s="675"/>
      <c r="X348" s="537" t="s">
        <v>4437</v>
      </c>
      <c r="AC348" s="675"/>
      <c r="AD348" s="680"/>
      <c r="AE348" s="675"/>
      <c r="AG348" s="675"/>
    </row>
    <row r="349" spans="1:33" s="536" customFormat="1" ht="22.5" x14ac:dyDescent="0.2">
      <c r="A349" s="609"/>
      <c r="B349" s="552" t="s">
        <v>499</v>
      </c>
      <c r="C349" s="1822" t="s">
        <v>500</v>
      </c>
      <c r="D349" s="1822"/>
      <c r="E349" s="1822"/>
      <c r="F349" s="1822"/>
      <c r="G349" s="1822"/>
      <c r="H349" s="1822"/>
      <c r="I349" s="1822"/>
      <c r="J349" s="1822"/>
      <c r="K349" s="1822"/>
      <c r="L349" s="1822"/>
      <c r="M349" s="1822"/>
      <c r="N349" s="1827"/>
      <c r="V349" s="674"/>
      <c r="W349" s="675"/>
      <c r="Y349" s="537" t="s">
        <v>500</v>
      </c>
      <c r="AC349" s="675"/>
      <c r="AD349" s="680"/>
      <c r="AE349" s="675"/>
      <c r="AG349" s="675"/>
    </row>
    <row r="350" spans="1:33" s="536" customFormat="1" ht="12" x14ac:dyDescent="0.2">
      <c r="A350" s="605"/>
      <c r="B350" s="552" t="s">
        <v>185</v>
      </c>
      <c r="C350" s="1822" t="s">
        <v>312</v>
      </c>
      <c r="D350" s="1822"/>
      <c r="E350" s="1822"/>
      <c r="F350" s="562"/>
      <c r="G350" s="562"/>
      <c r="H350" s="562"/>
      <c r="I350" s="562"/>
      <c r="J350" s="604">
        <v>774.36</v>
      </c>
      <c r="K350" s="562" t="s">
        <v>313</v>
      </c>
      <c r="L350" s="604">
        <v>1339.64</v>
      </c>
      <c r="M350" s="603"/>
      <c r="N350" s="602"/>
      <c r="V350" s="674"/>
      <c r="W350" s="675"/>
      <c r="Z350" s="537" t="s">
        <v>312</v>
      </c>
      <c r="AC350" s="675"/>
      <c r="AD350" s="680"/>
      <c r="AE350" s="675"/>
      <c r="AG350" s="675"/>
    </row>
    <row r="351" spans="1:33" s="536" customFormat="1" ht="12" x14ac:dyDescent="0.2">
      <c r="A351" s="605"/>
      <c r="B351" s="552" t="s">
        <v>186</v>
      </c>
      <c r="C351" s="1822" t="s">
        <v>344</v>
      </c>
      <c r="D351" s="1822"/>
      <c r="E351" s="1822"/>
      <c r="F351" s="562"/>
      <c r="G351" s="562"/>
      <c r="H351" s="562"/>
      <c r="I351" s="562"/>
      <c r="J351" s="604">
        <v>821.12</v>
      </c>
      <c r="K351" s="562" t="s">
        <v>313</v>
      </c>
      <c r="L351" s="604">
        <v>1420.54</v>
      </c>
      <c r="M351" s="603"/>
      <c r="N351" s="602"/>
      <c r="V351" s="674"/>
      <c r="W351" s="675"/>
      <c r="Z351" s="537" t="s">
        <v>344</v>
      </c>
      <c r="AC351" s="675"/>
      <c r="AD351" s="680"/>
      <c r="AE351" s="675"/>
      <c r="AG351" s="675"/>
    </row>
    <row r="352" spans="1:33" s="536" customFormat="1" ht="12" x14ac:dyDescent="0.2">
      <c r="A352" s="605"/>
      <c r="B352" s="552" t="s">
        <v>187</v>
      </c>
      <c r="C352" s="1822" t="s">
        <v>345</v>
      </c>
      <c r="D352" s="1822"/>
      <c r="E352" s="1822"/>
      <c r="F352" s="562"/>
      <c r="G352" s="562"/>
      <c r="H352" s="562"/>
      <c r="I352" s="562"/>
      <c r="J352" s="604">
        <v>124.95</v>
      </c>
      <c r="K352" s="562" t="s">
        <v>313</v>
      </c>
      <c r="L352" s="604">
        <v>216.16</v>
      </c>
      <c r="M352" s="603"/>
      <c r="N352" s="602"/>
      <c r="V352" s="674"/>
      <c r="W352" s="675"/>
      <c r="Z352" s="537" t="s">
        <v>345</v>
      </c>
      <c r="AC352" s="675"/>
      <c r="AD352" s="680"/>
      <c r="AE352" s="675"/>
      <c r="AG352" s="675"/>
    </row>
    <row r="353" spans="1:33" s="536" customFormat="1" ht="12" x14ac:dyDescent="0.2">
      <c r="A353" s="605"/>
      <c r="B353" s="552" t="s">
        <v>188</v>
      </c>
      <c r="C353" s="1822" t="s">
        <v>475</v>
      </c>
      <c r="D353" s="1822"/>
      <c r="E353" s="1822"/>
      <c r="F353" s="562"/>
      <c r="G353" s="562"/>
      <c r="H353" s="562"/>
      <c r="I353" s="562"/>
      <c r="J353" s="604">
        <v>6631.87</v>
      </c>
      <c r="K353" s="562"/>
      <c r="L353" s="604">
        <v>9178.51</v>
      </c>
      <c r="M353" s="603"/>
      <c r="N353" s="602"/>
      <c r="V353" s="674"/>
      <c r="W353" s="675"/>
      <c r="Z353" s="537" t="s">
        <v>475</v>
      </c>
      <c r="AC353" s="675"/>
      <c r="AD353" s="680"/>
      <c r="AE353" s="675"/>
      <c r="AG353" s="675"/>
    </row>
    <row r="354" spans="1:33" s="536" customFormat="1" ht="22.5" x14ac:dyDescent="0.2">
      <c r="A354" s="676"/>
      <c r="B354" s="677" t="s">
        <v>4438</v>
      </c>
      <c r="C354" s="1829" t="s">
        <v>4439</v>
      </c>
      <c r="D354" s="1829"/>
      <c r="E354" s="1829"/>
      <c r="F354" s="678" t="s">
        <v>483</v>
      </c>
      <c r="G354" s="678" t="s">
        <v>525</v>
      </c>
      <c r="H354" s="678"/>
      <c r="I354" s="678" t="s">
        <v>525</v>
      </c>
      <c r="J354" s="552"/>
      <c r="K354" s="562"/>
      <c r="L354" s="604"/>
      <c r="M354" s="562"/>
      <c r="N354" s="679"/>
      <c r="V354" s="674"/>
      <c r="W354" s="675"/>
      <c r="AC354" s="675"/>
      <c r="AD354" s="680" t="s">
        <v>4439</v>
      </c>
      <c r="AE354" s="675"/>
      <c r="AG354" s="675"/>
    </row>
    <row r="355" spans="1:33" s="536" customFormat="1" ht="22.5" x14ac:dyDescent="0.2">
      <c r="A355" s="676"/>
      <c r="B355" s="677" t="s">
        <v>4438</v>
      </c>
      <c r="C355" s="1829" t="s">
        <v>4440</v>
      </c>
      <c r="D355" s="1829"/>
      <c r="E355" s="1829"/>
      <c r="F355" s="678" t="s">
        <v>483</v>
      </c>
      <c r="G355" s="678" t="s">
        <v>525</v>
      </c>
      <c r="H355" s="678"/>
      <c r="I355" s="678" t="s">
        <v>525</v>
      </c>
      <c r="J355" s="552"/>
      <c r="K355" s="562"/>
      <c r="L355" s="604"/>
      <c r="M355" s="562"/>
      <c r="N355" s="679"/>
      <c r="V355" s="674"/>
      <c r="W355" s="675"/>
      <c r="AC355" s="675"/>
      <c r="AD355" s="680" t="s">
        <v>4440</v>
      </c>
      <c r="AE355" s="675"/>
      <c r="AG355" s="675"/>
    </row>
    <row r="356" spans="1:33" s="536" customFormat="1" ht="45" x14ac:dyDescent="0.2">
      <c r="A356" s="676"/>
      <c r="B356" s="677" t="s">
        <v>4441</v>
      </c>
      <c r="C356" s="1829" t="s">
        <v>4442</v>
      </c>
      <c r="D356" s="1829"/>
      <c r="E356" s="1829"/>
      <c r="F356" s="678" t="s">
        <v>694</v>
      </c>
      <c r="G356" s="678" t="s">
        <v>525</v>
      </c>
      <c r="H356" s="678"/>
      <c r="I356" s="678" t="s">
        <v>525</v>
      </c>
      <c r="J356" s="552"/>
      <c r="K356" s="562"/>
      <c r="L356" s="604"/>
      <c r="M356" s="562"/>
      <c r="N356" s="679"/>
      <c r="V356" s="674"/>
      <c r="W356" s="675"/>
      <c r="AC356" s="675"/>
      <c r="AD356" s="680" t="s">
        <v>4442</v>
      </c>
      <c r="AE356" s="675"/>
      <c r="AG356" s="675"/>
    </row>
    <row r="357" spans="1:33" s="536" customFormat="1" ht="12" x14ac:dyDescent="0.2">
      <c r="A357" s="676"/>
      <c r="B357" s="677" t="s">
        <v>4443</v>
      </c>
      <c r="C357" s="1829" t="s">
        <v>4444</v>
      </c>
      <c r="D357" s="1829"/>
      <c r="E357" s="1829"/>
      <c r="F357" s="678" t="s">
        <v>617</v>
      </c>
      <c r="G357" s="678" t="s">
        <v>525</v>
      </c>
      <c r="H357" s="678"/>
      <c r="I357" s="678" t="s">
        <v>525</v>
      </c>
      <c r="J357" s="552"/>
      <c r="K357" s="562"/>
      <c r="L357" s="604"/>
      <c r="M357" s="562"/>
      <c r="N357" s="679"/>
      <c r="V357" s="674"/>
      <c r="W357" s="675"/>
      <c r="AC357" s="675"/>
      <c r="AD357" s="680" t="s">
        <v>4444</v>
      </c>
      <c r="AE357" s="675"/>
      <c r="AG357" s="675"/>
    </row>
    <row r="358" spans="1:33" s="536" customFormat="1" ht="12" x14ac:dyDescent="0.2">
      <c r="A358" s="605"/>
      <c r="B358" s="552"/>
      <c r="C358" s="1822" t="s">
        <v>314</v>
      </c>
      <c r="D358" s="1822"/>
      <c r="E358" s="1822"/>
      <c r="F358" s="562" t="s">
        <v>315</v>
      </c>
      <c r="G358" s="562" t="s">
        <v>4445</v>
      </c>
      <c r="H358" s="562" t="s">
        <v>313</v>
      </c>
      <c r="I358" s="562" t="s">
        <v>4446</v>
      </c>
      <c r="J358" s="604"/>
      <c r="K358" s="562"/>
      <c r="L358" s="604"/>
      <c r="M358" s="603"/>
      <c r="N358" s="602"/>
      <c r="V358" s="674"/>
      <c r="W358" s="675"/>
      <c r="AA358" s="537" t="s">
        <v>314</v>
      </c>
      <c r="AC358" s="675"/>
      <c r="AD358" s="680"/>
      <c r="AE358" s="675"/>
      <c r="AG358" s="675"/>
    </row>
    <row r="359" spans="1:33" s="536" customFormat="1" ht="12" x14ac:dyDescent="0.2">
      <c r="A359" s="605"/>
      <c r="B359" s="552"/>
      <c r="C359" s="1822" t="s">
        <v>348</v>
      </c>
      <c r="D359" s="1822"/>
      <c r="E359" s="1822"/>
      <c r="F359" s="562" t="s">
        <v>315</v>
      </c>
      <c r="G359" s="562" t="s">
        <v>4447</v>
      </c>
      <c r="H359" s="562" t="s">
        <v>313</v>
      </c>
      <c r="I359" s="562" t="s">
        <v>4448</v>
      </c>
      <c r="J359" s="604"/>
      <c r="K359" s="562"/>
      <c r="L359" s="604"/>
      <c r="M359" s="603"/>
      <c r="N359" s="602"/>
      <c r="V359" s="674"/>
      <c r="W359" s="675"/>
      <c r="AA359" s="537" t="s">
        <v>348</v>
      </c>
      <c r="AC359" s="675"/>
      <c r="AD359" s="680"/>
      <c r="AE359" s="675"/>
      <c r="AG359" s="675"/>
    </row>
    <row r="360" spans="1:33" s="536" customFormat="1" ht="12" x14ac:dyDescent="0.2">
      <c r="A360" s="605"/>
      <c r="B360" s="552"/>
      <c r="C360" s="1828" t="s">
        <v>318</v>
      </c>
      <c r="D360" s="1828"/>
      <c r="E360" s="1828"/>
      <c r="F360" s="608"/>
      <c r="G360" s="608"/>
      <c r="H360" s="608"/>
      <c r="I360" s="608"/>
      <c r="J360" s="607">
        <v>8227.35</v>
      </c>
      <c r="K360" s="608"/>
      <c r="L360" s="607">
        <v>11938.69</v>
      </c>
      <c r="M360" s="601"/>
      <c r="N360" s="606"/>
      <c r="V360" s="674"/>
      <c r="W360" s="675"/>
      <c r="AB360" s="537" t="s">
        <v>318</v>
      </c>
      <c r="AC360" s="675"/>
      <c r="AD360" s="680"/>
      <c r="AE360" s="675"/>
      <c r="AG360" s="675"/>
    </row>
    <row r="361" spans="1:33" s="536" customFormat="1" ht="12" x14ac:dyDescent="0.2">
      <c r="A361" s="605"/>
      <c r="B361" s="552"/>
      <c r="C361" s="1822" t="s">
        <v>319</v>
      </c>
      <c r="D361" s="1822"/>
      <c r="E361" s="1822"/>
      <c r="F361" s="562"/>
      <c r="G361" s="562"/>
      <c r="H361" s="562"/>
      <c r="I361" s="562"/>
      <c r="J361" s="604"/>
      <c r="K361" s="562"/>
      <c r="L361" s="604">
        <v>1555.8</v>
      </c>
      <c r="M361" s="603"/>
      <c r="N361" s="602"/>
      <c r="V361" s="674"/>
      <c r="W361" s="675"/>
      <c r="AA361" s="537" t="s">
        <v>319</v>
      </c>
      <c r="AC361" s="675"/>
      <c r="AD361" s="680"/>
      <c r="AE361" s="675"/>
      <c r="AG361" s="675"/>
    </row>
    <row r="362" spans="1:33" s="536" customFormat="1" ht="33.75" x14ac:dyDescent="0.2">
      <c r="A362" s="605"/>
      <c r="B362" s="552" t="s">
        <v>533</v>
      </c>
      <c r="C362" s="1822" t="s">
        <v>534</v>
      </c>
      <c r="D362" s="1822"/>
      <c r="E362" s="1822"/>
      <c r="F362" s="562" t="s">
        <v>322</v>
      </c>
      <c r="G362" s="562" t="s">
        <v>535</v>
      </c>
      <c r="H362" s="562"/>
      <c r="I362" s="562" t="s">
        <v>535</v>
      </c>
      <c r="J362" s="604"/>
      <c r="K362" s="562"/>
      <c r="L362" s="604">
        <v>1820.29</v>
      </c>
      <c r="M362" s="603"/>
      <c r="N362" s="602"/>
      <c r="V362" s="674"/>
      <c r="W362" s="675"/>
      <c r="AA362" s="537" t="s">
        <v>534</v>
      </c>
      <c r="AC362" s="675"/>
      <c r="AD362" s="680"/>
      <c r="AE362" s="675"/>
      <c r="AG362" s="675"/>
    </row>
    <row r="363" spans="1:33" s="536" customFormat="1" ht="33.75" x14ac:dyDescent="0.2">
      <c r="A363" s="605"/>
      <c r="B363" s="552" t="s">
        <v>536</v>
      </c>
      <c r="C363" s="1822" t="s">
        <v>537</v>
      </c>
      <c r="D363" s="1822"/>
      <c r="E363" s="1822"/>
      <c r="F363" s="562" t="s">
        <v>322</v>
      </c>
      <c r="G363" s="562" t="s">
        <v>538</v>
      </c>
      <c r="H363" s="562"/>
      <c r="I363" s="562" t="s">
        <v>538</v>
      </c>
      <c r="J363" s="604"/>
      <c r="K363" s="562"/>
      <c r="L363" s="604">
        <v>1151.29</v>
      </c>
      <c r="M363" s="603"/>
      <c r="N363" s="602"/>
      <c r="V363" s="674"/>
      <c r="W363" s="675"/>
      <c r="AA363" s="537" t="s">
        <v>537</v>
      </c>
      <c r="AC363" s="675"/>
      <c r="AD363" s="680"/>
      <c r="AE363" s="675"/>
      <c r="AG363" s="675"/>
    </row>
    <row r="364" spans="1:33" s="536" customFormat="1" ht="12" x14ac:dyDescent="0.2">
      <c r="A364" s="569"/>
      <c r="B364" s="671"/>
      <c r="C364" s="1823" t="s">
        <v>327</v>
      </c>
      <c r="D364" s="1823"/>
      <c r="E364" s="1823"/>
      <c r="F364" s="573"/>
      <c r="G364" s="573"/>
      <c r="H364" s="573"/>
      <c r="I364" s="573"/>
      <c r="J364" s="572"/>
      <c r="K364" s="573"/>
      <c r="L364" s="572">
        <v>14910.27</v>
      </c>
      <c r="M364" s="601"/>
      <c r="N364" s="570"/>
      <c r="V364" s="674"/>
      <c r="W364" s="675"/>
      <c r="AC364" s="675" t="s">
        <v>327</v>
      </c>
      <c r="AD364" s="680"/>
      <c r="AE364" s="675"/>
      <c r="AG364" s="675"/>
    </row>
    <row r="365" spans="1:33" s="536" customFormat="1" ht="22.5" x14ac:dyDescent="0.2">
      <c r="A365" s="575" t="s">
        <v>771</v>
      </c>
      <c r="B365" s="670" t="s">
        <v>4449</v>
      </c>
      <c r="C365" s="1823" t="s">
        <v>4450</v>
      </c>
      <c r="D365" s="1823"/>
      <c r="E365" s="1823"/>
      <c r="F365" s="573" t="s">
        <v>617</v>
      </c>
      <c r="G365" s="573"/>
      <c r="H365" s="573"/>
      <c r="I365" s="573" t="s">
        <v>194</v>
      </c>
      <c r="J365" s="572">
        <v>462.83</v>
      </c>
      <c r="K365" s="573"/>
      <c r="L365" s="572">
        <v>4628.3</v>
      </c>
      <c r="M365" s="571"/>
      <c r="N365" s="570"/>
      <c r="V365" s="674"/>
      <c r="W365" s="675" t="s">
        <v>4450</v>
      </c>
      <c r="AC365" s="675"/>
      <c r="AD365" s="680"/>
      <c r="AE365" s="675"/>
      <c r="AG365" s="675"/>
    </row>
    <row r="366" spans="1:33" s="536" customFormat="1" ht="12" x14ac:dyDescent="0.2">
      <c r="A366" s="569"/>
      <c r="B366" s="671"/>
      <c r="C366" s="665" t="s">
        <v>717</v>
      </c>
      <c r="D366" s="666"/>
      <c r="E366" s="666"/>
      <c r="F366" s="563"/>
      <c r="G366" s="563"/>
      <c r="H366" s="563"/>
      <c r="I366" s="563"/>
      <c r="J366" s="566"/>
      <c r="K366" s="563"/>
      <c r="L366" s="566"/>
      <c r="M366" s="565"/>
      <c r="N366" s="564"/>
      <c r="V366" s="674"/>
      <c r="W366" s="675"/>
      <c r="AC366" s="675"/>
      <c r="AD366" s="680"/>
      <c r="AE366" s="675"/>
      <c r="AG366" s="675"/>
    </row>
    <row r="367" spans="1:33" s="536" customFormat="1" ht="33.75" x14ac:dyDescent="0.2">
      <c r="A367" s="575" t="s">
        <v>772</v>
      </c>
      <c r="B367" s="670" t="s">
        <v>4451</v>
      </c>
      <c r="C367" s="1823" t="s">
        <v>4452</v>
      </c>
      <c r="D367" s="1823"/>
      <c r="E367" s="1823"/>
      <c r="F367" s="573" t="s">
        <v>617</v>
      </c>
      <c r="G367" s="573"/>
      <c r="H367" s="573"/>
      <c r="I367" s="573" t="s">
        <v>194</v>
      </c>
      <c r="J367" s="572">
        <v>647.77</v>
      </c>
      <c r="K367" s="573"/>
      <c r="L367" s="572">
        <v>6477.7</v>
      </c>
      <c r="M367" s="571"/>
      <c r="N367" s="570"/>
      <c r="V367" s="674"/>
      <c r="W367" s="675" t="s">
        <v>4452</v>
      </c>
      <c r="AC367" s="675"/>
      <c r="AD367" s="680"/>
      <c r="AE367" s="675"/>
      <c r="AG367" s="675"/>
    </row>
    <row r="368" spans="1:33" s="536" customFormat="1" ht="12" x14ac:dyDescent="0.2">
      <c r="A368" s="569"/>
      <c r="B368" s="671"/>
      <c r="C368" s="665" t="s">
        <v>717</v>
      </c>
      <c r="D368" s="666"/>
      <c r="E368" s="666"/>
      <c r="F368" s="563"/>
      <c r="G368" s="563"/>
      <c r="H368" s="563"/>
      <c r="I368" s="563"/>
      <c r="J368" s="566"/>
      <c r="K368" s="563"/>
      <c r="L368" s="566"/>
      <c r="M368" s="565"/>
      <c r="N368" s="564"/>
      <c r="V368" s="674"/>
      <c r="W368" s="675"/>
      <c r="AC368" s="675"/>
      <c r="AD368" s="680"/>
      <c r="AE368" s="675"/>
      <c r="AG368" s="675"/>
    </row>
    <row r="369" spans="1:33" s="536" customFormat="1" ht="33.75" x14ac:dyDescent="0.2">
      <c r="A369" s="575" t="s">
        <v>677</v>
      </c>
      <c r="B369" s="670" t="s">
        <v>4453</v>
      </c>
      <c r="C369" s="1823" t="s">
        <v>4454</v>
      </c>
      <c r="D369" s="1823"/>
      <c r="E369" s="1823"/>
      <c r="F369" s="573" t="s">
        <v>617</v>
      </c>
      <c r="G369" s="573"/>
      <c r="H369" s="573"/>
      <c r="I369" s="573" t="s">
        <v>194</v>
      </c>
      <c r="J369" s="572">
        <v>429.96</v>
      </c>
      <c r="K369" s="573"/>
      <c r="L369" s="572">
        <v>4299.6000000000004</v>
      </c>
      <c r="M369" s="571"/>
      <c r="N369" s="570"/>
      <c r="V369" s="674"/>
      <c r="W369" s="675" t="s">
        <v>4454</v>
      </c>
      <c r="AC369" s="675"/>
      <c r="AD369" s="680"/>
      <c r="AE369" s="675"/>
      <c r="AG369" s="675"/>
    </row>
    <row r="370" spans="1:33" s="536" customFormat="1" ht="12" x14ac:dyDescent="0.2">
      <c r="A370" s="569"/>
      <c r="B370" s="671"/>
      <c r="C370" s="665" t="s">
        <v>717</v>
      </c>
      <c r="D370" s="666"/>
      <c r="E370" s="666"/>
      <c r="F370" s="563"/>
      <c r="G370" s="563"/>
      <c r="H370" s="563"/>
      <c r="I370" s="563"/>
      <c r="J370" s="566"/>
      <c r="K370" s="563"/>
      <c r="L370" s="566"/>
      <c r="M370" s="565"/>
      <c r="N370" s="564"/>
      <c r="V370" s="674"/>
      <c r="W370" s="675"/>
      <c r="AC370" s="675"/>
      <c r="AD370" s="680"/>
      <c r="AE370" s="675"/>
      <c r="AG370" s="675"/>
    </row>
    <row r="371" spans="1:33" s="536" customFormat="1" ht="33.75" x14ac:dyDescent="0.2">
      <c r="A371" s="575" t="s">
        <v>326</v>
      </c>
      <c r="B371" s="670" t="s">
        <v>4455</v>
      </c>
      <c r="C371" s="1823" t="s">
        <v>4456</v>
      </c>
      <c r="D371" s="1823"/>
      <c r="E371" s="1823"/>
      <c r="F371" s="573" t="s">
        <v>617</v>
      </c>
      <c r="G371" s="573"/>
      <c r="H371" s="573"/>
      <c r="I371" s="573" t="s">
        <v>194</v>
      </c>
      <c r="J371" s="572">
        <v>78.56</v>
      </c>
      <c r="K371" s="573"/>
      <c r="L371" s="572">
        <v>785.6</v>
      </c>
      <c r="M371" s="571"/>
      <c r="N371" s="570"/>
      <c r="V371" s="674"/>
      <c r="W371" s="675" t="s">
        <v>4456</v>
      </c>
      <c r="AC371" s="675"/>
      <c r="AD371" s="680"/>
      <c r="AE371" s="675"/>
      <c r="AG371" s="675"/>
    </row>
    <row r="372" spans="1:33" s="536" customFormat="1" ht="12" x14ac:dyDescent="0.2">
      <c r="A372" s="569"/>
      <c r="B372" s="671"/>
      <c r="C372" s="665" t="s">
        <v>717</v>
      </c>
      <c r="D372" s="666"/>
      <c r="E372" s="666"/>
      <c r="F372" s="563"/>
      <c r="G372" s="563"/>
      <c r="H372" s="563"/>
      <c r="I372" s="563"/>
      <c r="J372" s="566"/>
      <c r="K372" s="563"/>
      <c r="L372" s="566"/>
      <c r="M372" s="565"/>
      <c r="N372" s="564"/>
      <c r="V372" s="674"/>
      <c r="W372" s="675"/>
      <c r="AC372" s="675"/>
      <c r="AD372" s="680"/>
      <c r="AE372" s="675"/>
      <c r="AG372" s="675"/>
    </row>
    <row r="373" spans="1:33" s="536" customFormat="1" ht="22.5" x14ac:dyDescent="0.2">
      <c r="A373" s="575" t="s">
        <v>774</v>
      </c>
      <c r="B373" s="670" t="s">
        <v>4457</v>
      </c>
      <c r="C373" s="1823" t="s">
        <v>4458</v>
      </c>
      <c r="D373" s="1823"/>
      <c r="E373" s="1823"/>
      <c r="F373" s="573" t="s">
        <v>617</v>
      </c>
      <c r="G373" s="573"/>
      <c r="H373" s="573"/>
      <c r="I373" s="573" t="s">
        <v>194</v>
      </c>
      <c r="J373" s="572">
        <v>387.63</v>
      </c>
      <c r="K373" s="573"/>
      <c r="L373" s="572">
        <v>3876.3</v>
      </c>
      <c r="M373" s="571"/>
      <c r="N373" s="570"/>
      <c r="V373" s="674"/>
      <c r="W373" s="675" t="s">
        <v>4458</v>
      </c>
      <c r="AC373" s="675"/>
      <c r="AD373" s="680"/>
      <c r="AE373" s="675"/>
      <c r="AG373" s="675"/>
    </row>
    <row r="374" spans="1:33" s="536" customFormat="1" ht="12" x14ac:dyDescent="0.2">
      <c r="A374" s="569"/>
      <c r="B374" s="671"/>
      <c r="C374" s="665" t="s">
        <v>717</v>
      </c>
      <c r="D374" s="666"/>
      <c r="E374" s="666"/>
      <c r="F374" s="563"/>
      <c r="G374" s="563"/>
      <c r="H374" s="563"/>
      <c r="I374" s="563"/>
      <c r="J374" s="566"/>
      <c r="K374" s="563"/>
      <c r="L374" s="566"/>
      <c r="M374" s="565"/>
      <c r="N374" s="564"/>
      <c r="V374" s="674"/>
      <c r="W374" s="675"/>
      <c r="AC374" s="675"/>
      <c r="AD374" s="680"/>
      <c r="AE374" s="675"/>
      <c r="AG374" s="675"/>
    </row>
    <row r="375" spans="1:33" s="536" customFormat="1" ht="22.5" x14ac:dyDescent="0.2">
      <c r="A375" s="575" t="s">
        <v>775</v>
      </c>
      <c r="B375" s="670" t="s">
        <v>4459</v>
      </c>
      <c r="C375" s="1823" t="s">
        <v>4460</v>
      </c>
      <c r="D375" s="1823"/>
      <c r="E375" s="1823"/>
      <c r="F375" s="573" t="s">
        <v>617</v>
      </c>
      <c r="G375" s="573"/>
      <c r="H375" s="573"/>
      <c r="I375" s="573" t="s">
        <v>194</v>
      </c>
      <c r="J375" s="572">
        <v>31.43</v>
      </c>
      <c r="K375" s="573"/>
      <c r="L375" s="572">
        <v>314.3</v>
      </c>
      <c r="M375" s="571"/>
      <c r="N375" s="570"/>
      <c r="V375" s="674"/>
      <c r="W375" s="675" t="s">
        <v>4460</v>
      </c>
      <c r="AC375" s="675"/>
      <c r="AD375" s="680"/>
      <c r="AE375" s="675"/>
      <c r="AG375" s="675"/>
    </row>
    <row r="376" spans="1:33" s="536" customFormat="1" ht="12" x14ac:dyDescent="0.2">
      <c r="A376" s="569"/>
      <c r="B376" s="671"/>
      <c r="C376" s="665" t="s">
        <v>717</v>
      </c>
      <c r="D376" s="666"/>
      <c r="E376" s="666"/>
      <c r="F376" s="563"/>
      <c r="G376" s="563"/>
      <c r="H376" s="563"/>
      <c r="I376" s="563"/>
      <c r="J376" s="566"/>
      <c r="K376" s="563"/>
      <c r="L376" s="566"/>
      <c r="M376" s="565"/>
      <c r="N376" s="564"/>
      <c r="V376" s="674"/>
      <c r="W376" s="675"/>
      <c r="AC376" s="675"/>
      <c r="AD376" s="680"/>
      <c r="AE376" s="675"/>
      <c r="AG376" s="675"/>
    </row>
    <row r="377" spans="1:33" s="536" customFormat="1" ht="12" x14ac:dyDescent="0.2">
      <c r="A377" s="575" t="s">
        <v>776</v>
      </c>
      <c r="B377" s="670" t="s">
        <v>4461</v>
      </c>
      <c r="C377" s="1823" t="s">
        <v>4462</v>
      </c>
      <c r="D377" s="1823"/>
      <c r="E377" s="1823"/>
      <c r="F377" s="573" t="s">
        <v>617</v>
      </c>
      <c r="G377" s="573"/>
      <c r="H377" s="573"/>
      <c r="I377" s="573" t="s">
        <v>1679</v>
      </c>
      <c r="J377" s="572">
        <v>6.55</v>
      </c>
      <c r="K377" s="573"/>
      <c r="L377" s="572">
        <v>327.5</v>
      </c>
      <c r="M377" s="571"/>
      <c r="N377" s="570"/>
      <c r="V377" s="674"/>
      <c r="W377" s="675" t="s">
        <v>4462</v>
      </c>
      <c r="AC377" s="675"/>
      <c r="AD377" s="680"/>
      <c r="AE377" s="675"/>
      <c r="AG377" s="675"/>
    </row>
    <row r="378" spans="1:33" s="536" customFormat="1" ht="12" x14ac:dyDescent="0.2">
      <c r="A378" s="569"/>
      <c r="B378" s="671"/>
      <c r="C378" s="665" t="s">
        <v>717</v>
      </c>
      <c r="D378" s="666"/>
      <c r="E378" s="666"/>
      <c r="F378" s="563"/>
      <c r="G378" s="563"/>
      <c r="H378" s="563"/>
      <c r="I378" s="563"/>
      <c r="J378" s="566"/>
      <c r="K378" s="563"/>
      <c r="L378" s="566"/>
      <c r="M378" s="565"/>
      <c r="N378" s="564"/>
      <c r="V378" s="674"/>
      <c r="W378" s="675"/>
      <c r="AC378" s="675"/>
      <c r="AD378" s="680"/>
      <c r="AE378" s="675"/>
      <c r="AG378" s="675"/>
    </row>
    <row r="379" spans="1:33" s="536" customFormat="1" ht="12" x14ac:dyDescent="0.2">
      <c r="A379" s="676"/>
      <c r="B379" s="664"/>
      <c r="C379" s="1822" t="s">
        <v>4463</v>
      </c>
      <c r="D379" s="1822"/>
      <c r="E379" s="1822"/>
      <c r="F379" s="1822"/>
      <c r="G379" s="1822"/>
      <c r="H379" s="1822"/>
      <c r="I379" s="1822"/>
      <c r="J379" s="1822"/>
      <c r="K379" s="1822"/>
      <c r="L379" s="1822"/>
      <c r="M379" s="1822"/>
      <c r="N379" s="1827"/>
      <c r="V379" s="674"/>
      <c r="W379" s="675"/>
      <c r="X379" s="537" t="s">
        <v>4463</v>
      </c>
      <c r="AC379" s="675"/>
      <c r="AD379" s="680"/>
      <c r="AE379" s="675"/>
      <c r="AG379" s="675"/>
    </row>
    <row r="380" spans="1:33" s="536" customFormat="1" ht="12" x14ac:dyDescent="0.2">
      <c r="A380" s="575" t="s">
        <v>931</v>
      </c>
      <c r="B380" s="670" t="s">
        <v>4464</v>
      </c>
      <c r="C380" s="1823" t="s">
        <v>4465</v>
      </c>
      <c r="D380" s="1823"/>
      <c r="E380" s="1823"/>
      <c r="F380" s="573" t="s">
        <v>617</v>
      </c>
      <c r="G380" s="573"/>
      <c r="H380" s="573"/>
      <c r="I380" s="573" t="s">
        <v>194</v>
      </c>
      <c r="J380" s="572">
        <v>569.52</v>
      </c>
      <c r="K380" s="573"/>
      <c r="L380" s="572">
        <v>5695.2</v>
      </c>
      <c r="M380" s="571"/>
      <c r="N380" s="570"/>
      <c r="V380" s="674"/>
      <c r="W380" s="675" t="s">
        <v>4465</v>
      </c>
      <c r="AC380" s="675"/>
      <c r="AD380" s="680"/>
      <c r="AE380" s="675"/>
      <c r="AG380" s="675"/>
    </row>
    <row r="381" spans="1:33" s="536" customFormat="1" ht="12" x14ac:dyDescent="0.2">
      <c r="A381" s="569"/>
      <c r="B381" s="671"/>
      <c r="C381" s="665" t="s">
        <v>717</v>
      </c>
      <c r="D381" s="666"/>
      <c r="E381" s="666"/>
      <c r="F381" s="563"/>
      <c r="G381" s="563"/>
      <c r="H381" s="563"/>
      <c r="I381" s="563"/>
      <c r="J381" s="566"/>
      <c r="K381" s="563"/>
      <c r="L381" s="566"/>
      <c r="M381" s="565"/>
      <c r="N381" s="564"/>
      <c r="V381" s="674"/>
      <c r="W381" s="675"/>
      <c r="AC381" s="675"/>
      <c r="AD381" s="680"/>
      <c r="AE381" s="675"/>
      <c r="AG381" s="675"/>
    </row>
    <row r="382" spans="1:33" s="536" customFormat="1" ht="33.75" x14ac:dyDescent="0.2">
      <c r="A382" s="575" t="s">
        <v>465</v>
      </c>
      <c r="B382" s="670" t="s">
        <v>4434</v>
      </c>
      <c r="C382" s="1823" t="s">
        <v>8868</v>
      </c>
      <c r="D382" s="1823"/>
      <c r="E382" s="1823"/>
      <c r="F382" s="573" t="s">
        <v>1537</v>
      </c>
      <c r="G382" s="573"/>
      <c r="H382" s="573"/>
      <c r="I382" s="573" t="s">
        <v>8869</v>
      </c>
      <c r="J382" s="572"/>
      <c r="K382" s="573"/>
      <c r="L382" s="572"/>
      <c r="M382" s="571"/>
      <c r="N382" s="570"/>
      <c r="V382" s="674"/>
      <c r="W382" s="675" t="s">
        <v>8868</v>
      </c>
      <c r="AC382" s="675"/>
      <c r="AD382" s="680"/>
      <c r="AE382" s="675"/>
      <c r="AG382" s="675"/>
    </row>
    <row r="383" spans="1:33" s="536" customFormat="1" ht="12" x14ac:dyDescent="0.2">
      <c r="A383" s="676"/>
      <c r="B383" s="664"/>
      <c r="C383" s="1822" t="s">
        <v>8870</v>
      </c>
      <c r="D383" s="1822"/>
      <c r="E383" s="1822"/>
      <c r="F383" s="1822"/>
      <c r="G383" s="1822"/>
      <c r="H383" s="1822"/>
      <c r="I383" s="1822"/>
      <c r="J383" s="1822"/>
      <c r="K383" s="1822"/>
      <c r="L383" s="1822"/>
      <c r="M383" s="1822"/>
      <c r="N383" s="1827"/>
      <c r="V383" s="674"/>
      <c r="W383" s="675"/>
      <c r="X383" s="537" t="s">
        <v>8870</v>
      </c>
      <c r="AC383" s="675"/>
      <c r="AD383" s="680"/>
      <c r="AE383" s="675"/>
      <c r="AG383" s="675"/>
    </row>
    <row r="384" spans="1:33" s="536" customFormat="1" ht="22.5" x14ac:dyDescent="0.2">
      <c r="A384" s="609"/>
      <c r="B384" s="552" t="s">
        <v>499</v>
      </c>
      <c r="C384" s="1822" t="s">
        <v>500</v>
      </c>
      <c r="D384" s="1822"/>
      <c r="E384" s="1822"/>
      <c r="F384" s="1822"/>
      <c r="G384" s="1822"/>
      <c r="H384" s="1822"/>
      <c r="I384" s="1822"/>
      <c r="J384" s="1822"/>
      <c r="K384" s="1822"/>
      <c r="L384" s="1822"/>
      <c r="M384" s="1822"/>
      <c r="N384" s="1827"/>
      <c r="V384" s="674"/>
      <c r="W384" s="675"/>
      <c r="Y384" s="537" t="s">
        <v>500</v>
      </c>
      <c r="AC384" s="675"/>
      <c r="AD384" s="680"/>
      <c r="AE384" s="675"/>
      <c r="AG384" s="675"/>
    </row>
    <row r="385" spans="1:33" s="536" customFormat="1" ht="12" x14ac:dyDescent="0.2">
      <c r="A385" s="605"/>
      <c r="B385" s="552" t="s">
        <v>185</v>
      </c>
      <c r="C385" s="1822" t="s">
        <v>312</v>
      </c>
      <c r="D385" s="1822"/>
      <c r="E385" s="1822"/>
      <c r="F385" s="562"/>
      <c r="G385" s="562"/>
      <c r="H385" s="562"/>
      <c r="I385" s="562"/>
      <c r="J385" s="604">
        <v>774.36</v>
      </c>
      <c r="K385" s="562" t="s">
        <v>313</v>
      </c>
      <c r="L385" s="604">
        <v>231.34</v>
      </c>
      <c r="M385" s="603"/>
      <c r="N385" s="602"/>
      <c r="V385" s="674"/>
      <c r="W385" s="675"/>
      <c r="Z385" s="537" t="s">
        <v>312</v>
      </c>
      <c r="AC385" s="675"/>
      <c r="AD385" s="680"/>
      <c r="AE385" s="675"/>
      <c r="AG385" s="675"/>
    </row>
    <row r="386" spans="1:33" s="536" customFormat="1" ht="12" x14ac:dyDescent="0.2">
      <c r="A386" s="605"/>
      <c r="B386" s="552" t="s">
        <v>186</v>
      </c>
      <c r="C386" s="1822" t="s">
        <v>344</v>
      </c>
      <c r="D386" s="1822"/>
      <c r="E386" s="1822"/>
      <c r="F386" s="562"/>
      <c r="G386" s="562"/>
      <c r="H386" s="562"/>
      <c r="I386" s="562"/>
      <c r="J386" s="604">
        <v>821.12</v>
      </c>
      <c r="K386" s="562" t="s">
        <v>313</v>
      </c>
      <c r="L386" s="604">
        <v>245.31</v>
      </c>
      <c r="M386" s="603"/>
      <c r="N386" s="602"/>
      <c r="V386" s="674"/>
      <c r="W386" s="675"/>
      <c r="Z386" s="537" t="s">
        <v>344</v>
      </c>
      <c r="AC386" s="675"/>
      <c r="AD386" s="680"/>
      <c r="AE386" s="675"/>
      <c r="AG386" s="675"/>
    </row>
    <row r="387" spans="1:33" s="536" customFormat="1" ht="12" x14ac:dyDescent="0.2">
      <c r="A387" s="605"/>
      <c r="B387" s="552" t="s">
        <v>187</v>
      </c>
      <c r="C387" s="1822" t="s">
        <v>345</v>
      </c>
      <c r="D387" s="1822"/>
      <c r="E387" s="1822"/>
      <c r="F387" s="562"/>
      <c r="G387" s="562"/>
      <c r="H387" s="562"/>
      <c r="I387" s="562"/>
      <c r="J387" s="604">
        <v>124.95</v>
      </c>
      <c r="K387" s="562" t="s">
        <v>313</v>
      </c>
      <c r="L387" s="604">
        <v>37.33</v>
      </c>
      <c r="M387" s="603"/>
      <c r="N387" s="602"/>
      <c r="V387" s="674"/>
      <c r="W387" s="675"/>
      <c r="Z387" s="537" t="s">
        <v>345</v>
      </c>
      <c r="AC387" s="675"/>
      <c r="AD387" s="680"/>
      <c r="AE387" s="675"/>
      <c r="AG387" s="675"/>
    </row>
    <row r="388" spans="1:33" s="536" customFormat="1" ht="12" x14ac:dyDescent="0.2">
      <c r="A388" s="605"/>
      <c r="B388" s="552" t="s">
        <v>188</v>
      </c>
      <c r="C388" s="1822" t="s">
        <v>475</v>
      </c>
      <c r="D388" s="1822"/>
      <c r="E388" s="1822"/>
      <c r="F388" s="562"/>
      <c r="G388" s="562"/>
      <c r="H388" s="562"/>
      <c r="I388" s="562"/>
      <c r="J388" s="604">
        <v>6631.87</v>
      </c>
      <c r="K388" s="562"/>
      <c r="L388" s="604">
        <v>1585.02</v>
      </c>
      <c r="M388" s="603"/>
      <c r="N388" s="602"/>
      <c r="V388" s="674"/>
      <c r="W388" s="675"/>
      <c r="Z388" s="537" t="s">
        <v>475</v>
      </c>
      <c r="AC388" s="675"/>
      <c r="AD388" s="680"/>
      <c r="AE388" s="675"/>
      <c r="AG388" s="675"/>
    </row>
    <row r="389" spans="1:33" s="536" customFormat="1" ht="22.5" x14ac:dyDescent="0.2">
      <c r="A389" s="676"/>
      <c r="B389" s="677" t="s">
        <v>4438</v>
      </c>
      <c r="C389" s="1829" t="s">
        <v>4439</v>
      </c>
      <c r="D389" s="1829"/>
      <c r="E389" s="1829"/>
      <c r="F389" s="678" t="s">
        <v>483</v>
      </c>
      <c r="G389" s="678" t="s">
        <v>525</v>
      </c>
      <c r="H389" s="678"/>
      <c r="I389" s="678" t="s">
        <v>525</v>
      </c>
      <c r="J389" s="552"/>
      <c r="K389" s="562"/>
      <c r="L389" s="604"/>
      <c r="M389" s="562"/>
      <c r="N389" s="679"/>
      <c r="V389" s="674"/>
      <c r="W389" s="675"/>
      <c r="AC389" s="675"/>
      <c r="AD389" s="680" t="s">
        <v>4439</v>
      </c>
      <c r="AE389" s="675"/>
      <c r="AG389" s="675"/>
    </row>
    <row r="390" spans="1:33" s="536" customFormat="1" ht="22.5" x14ac:dyDescent="0.2">
      <c r="A390" s="676"/>
      <c r="B390" s="677" t="s">
        <v>4438</v>
      </c>
      <c r="C390" s="1829" t="s">
        <v>4440</v>
      </c>
      <c r="D390" s="1829"/>
      <c r="E390" s="1829"/>
      <c r="F390" s="678" t="s">
        <v>483</v>
      </c>
      <c r="G390" s="678" t="s">
        <v>525</v>
      </c>
      <c r="H390" s="678"/>
      <c r="I390" s="678" t="s">
        <v>525</v>
      </c>
      <c r="J390" s="552"/>
      <c r="K390" s="562"/>
      <c r="L390" s="604"/>
      <c r="M390" s="562"/>
      <c r="N390" s="679"/>
      <c r="V390" s="674"/>
      <c r="W390" s="675"/>
      <c r="AC390" s="675"/>
      <c r="AD390" s="680" t="s">
        <v>4440</v>
      </c>
      <c r="AE390" s="675"/>
      <c r="AG390" s="675"/>
    </row>
    <row r="391" spans="1:33" s="536" customFormat="1" ht="45" x14ac:dyDescent="0.2">
      <c r="A391" s="676"/>
      <c r="B391" s="677" t="s">
        <v>4441</v>
      </c>
      <c r="C391" s="1829" t="s">
        <v>4442</v>
      </c>
      <c r="D391" s="1829"/>
      <c r="E391" s="1829"/>
      <c r="F391" s="678" t="s">
        <v>694</v>
      </c>
      <c r="G391" s="678" t="s">
        <v>525</v>
      </c>
      <c r="H391" s="678"/>
      <c r="I391" s="678" t="s">
        <v>525</v>
      </c>
      <c r="J391" s="552"/>
      <c r="K391" s="562"/>
      <c r="L391" s="604"/>
      <c r="M391" s="562"/>
      <c r="N391" s="679"/>
      <c r="V391" s="674"/>
      <c r="W391" s="675"/>
      <c r="AC391" s="675"/>
      <c r="AD391" s="680" t="s">
        <v>4442</v>
      </c>
      <c r="AE391" s="675"/>
      <c r="AG391" s="675"/>
    </row>
    <row r="392" spans="1:33" s="536" customFormat="1" ht="12" x14ac:dyDescent="0.2">
      <c r="A392" s="676"/>
      <c r="B392" s="677" t="s">
        <v>4443</v>
      </c>
      <c r="C392" s="1829" t="s">
        <v>4444</v>
      </c>
      <c r="D392" s="1829"/>
      <c r="E392" s="1829"/>
      <c r="F392" s="678" t="s">
        <v>617</v>
      </c>
      <c r="G392" s="678" t="s">
        <v>525</v>
      </c>
      <c r="H392" s="678"/>
      <c r="I392" s="678" t="s">
        <v>525</v>
      </c>
      <c r="J392" s="552"/>
      <c r="K392" s="562"/>
      <c r="L392" s="604"/>
      <c r="M392" s="562"/>
      <c r="N392" s="679"/>
      <c r="V392" s="674"/>
      <c r="W392" s="675"/>
      <c r="AC392" s="675"/>
      <c r="AD392" s="680" t="s">
        <v>4444</v>
      </c>
      <c r="AE392" s="675"/>
      <c r="AG392" s="675"/>
    </row>
    <row r="393" spans="1:33" s="536" customFormat="1" ht="12" x14ac:dyDescent="0.2">
      <c r="A393" s="605"/>
      <c r="B393" s="552"/>
      <c r="C393" s="1822" t="s">
        <v>314</v>
      </c>
      <c r="D393" s="1822"/>
      <c r="E393" s="1822"/>
      <c r="F393" s="562" t="s">
        <v>315</v>
      </c>
      <c r="G393" s="562" t="s">
        <v>4445</v>
      </c>
      <c r="H393" s="562" t="s">
        <v>313</v>
      </c>
      <c r="I393" s="562" t="s">
        <v>8871</v>
      </c>
      <c r="J393" s="604"/>
      <c r="K393" s="562"/>
      <c r="L393" s="604"/>
      <c r="M393" s="603"/>
      <c r="N393" s="602"/>
      <c r="V393" s="674"/>
      <c r="W393" s="675"/>
      <c r="AA393" s="537" t="s">
        <v>314</v>
      </c>
      <c r="AC393" s="675"/>
      <c r="AD393" s="680"/>
      <c r="AE393" s="675"/>
      <c r="AG393" s="675"/>
    </row>
    <row r="394" spans="1:33" s="536" customFormat="1" ht="12" x14ac:dyDescent="0.2">
      <c r="A394" s="605"/>
      <c r="B394" s="552"/>
      <c r="C394" s="1822" t="s">
        <v>348</v>
      </c>
      <c r="D394" s="1822"/>
      <c r="E394" s="1822"/>
      <c r="F394" s="562" t="s">
        <v>315</v>
      </c>
      <c r="G394" s="562" t="s">
        <v>4447</v>
      </c>
      <c r="H394" s="562" t="s">
        <v>313</v>
      </c>
      <c r="I394" s="562" t="s">
        <v>8872</v>
      </c>
      <c r="J394" s="604"/>
      <c r="K394" s="562"/>
      <c r="L394" s="604"/>
      <c r="M394" s="603"/>
      <c r="N394" s="602"/>
      <c r="V394" s="674"/>
      <c r="W394" s="675"/>
      <c r="AA394" s="537" t="s">
        <v>348</v>
      </c>
      <c r="AC394" s="675"/>
      <c r="AD394" s="680"/>
      <c r="AE394" s="675"/>
      <c r="AG394" s="675"/>
    </row>
    <row r="395" spans="1:33" s="536" customFormat="1" ht="12" x14ac:dyDescent="0.2">
      <c r="A395" s="605"/>
      <c r="B395" s="552"/>
      <c r="C395" s="1828" t="s">
        <v>318</v>
      </c>
      <c r="D395" s="1828"/>
      <c r="E395" s="1828"/>
      <c r="F395" s="608"/>
      <c r="G395" s="608"/>
      <c r="H395" s="608"/>
      <c r="I395" s="608"/>
      <c r="J395" s="607">
        <v>8227.35</v>
      </c>
      <c r="K395" s="608"/>
      <c r="L395" s="607">
        <v>2061.67</v>
      </c>
      <c r="M395" s="601"/>
      <c r="N395" s="606"/>
      <c r="V395" s="674"/>
      <c r="W395" s="675"/>
      <c r="AB395" s="537" t="s">
        <v>318</v>
      </c>
      <c r="AC395" s="675"/>
      <c r="AD395" s="680"/>
      <c r="AE395" s="675"/>
      <c r="AG395" s="675"/>
    </row>
    <row r="396" spans="1:33" s="536" customFormat="1" ht="12" x14ac:dyDescent="0.2">
      <c r="A396" s="605"/>
      <c r="B396" s="552"/>
      <c r="C396" s="1822" t="s">
        <v>319</v>
      </c>
      <c r="D396" s="1822"/>
      <c r="E396" s="1822"/>
      <c r="F396" s="562"/>
      <c r="G396" s="562"/>
      <c r="H396" s="562"/>
      <c r="I396" s="562"/>
      <c r="J396" s="604"/>
      <c r="K396" s="562"/>
      <c r="L396" s="604">
        <v>268.67</v>
      </c>
      <c r="M396" s="603"/>
      <c r="N396" s="602"/>
      <c r="V396" s="674"/>
      <c r="W396" s="675"/>
      <c r="AA396" s="537" t="s">
        <v>319</v>
      </c>
      <c r="AC396" s="675"/>
      <c r="AD396" s="680"/>
      <c r="AE396" s="675"/>
      <c r="AG396" s="675"/>
    </row>
    <row r="397" spans="1:33" s="536" customFormat="1" ht="33.75" x14ac:dyDescent="0.2">
      <c r="A397" s="605"/>
      <c r="B397" s="552" t="s">
        <v>533</v>
      </c>
      <c r="C397" s="1822" t="s">
        <v>534</v>
      </c>
      <c r="D397" s="1822"/>
      <c r="E397" s="1822"/>
      <c r="F397" s="562" t="s">
        <v>322</v>
      </c>
      <c r="G397" s="562" t="s">
        <v>535</v>
      </c>
      <c r="H397" s="562"/>
      <c r="I397" s="562" t="s">
        <v>535</v>
      </c>
      <c r="J397" s="604"/>
      <c r="K397" s="562"/>
      <c r="L397" s="604">
        <v>314.33999999999997</v>
      </c>
      <c r="M397" s="603"/>
      <c r="N397" s="602"/>
      <c r="V397" s="674"/>
      <c r="W397" s="675"/>
      <c r="AA397" s="537" t="s">
        <v>534</v>
      </c>
      <c r="AC397" s="675"/>
      <c r="AD397" s="680"/>
      <c r="AE397" s="675"/>
      <c r="AG397" s="675"/>
    </row>
    <row r="398" spans="1:33" s="536" customFormat="1" ht="33.75" x14ac:dyDescent="0.2">
      <c r="A398" s="605"/>
      <c r="B398" s="552" t="s">
        <v>536</v>
      </c>
      <c r="C398" s="1822" t="s">
        <v>537</v>
      </c>
      <c r="D398" s="1822"/>
      <c r="E398" s="1822"/>
      <c r="F398" s="562" t="s">
        <v>322</v>
      </c>
      <c r="G398" s="562" t="s">
        <v>538</v>
      </c>
      <c r="H398" s="562"/>
      <c r="I398" s="562" t="s">
        <v>538</v>
      </c>
      <c r="J398" s="604"/>
      <c r="K398" s="562"/>
      <c r="L398" s="604">
        <v>198.82</v>
      </c>
      <c r="M398" s="603"/>
      <c r="N398" s="602"/>
      <c r="V398" s="674"/>
      <c r="W398" s="675"/>
      <c r="AA398" s="537" t="s">
        <v>537</v>
      </c>
      <c r="AC398" s="675"/>
      <c r="AD398" s="680"/>
      <c r="AE398" s="675"/>
      <c r="AG398" s="675"/>
    </row>
    <row r="399" spans="1:33" s="536" customFormat="1" ht="12" x14ac:dyDescent="0.2">
      <c r="A399" s="569"/>
      <c r="B399" s="671"/>
      <c r="C399" s="1823" t="s">
        <v>327</v>
      </c>
      <c r="D399" s="1823"/>
      <c r="E399" s="1823"/>
      <c r="F399" s="573"/>
      <c r="G399" s="573"/>
      <c r="H399" s="573"/>
      <c r="I399" s="573"/>
      <c r="J399" s="572"/>
      <c r="K399" s="573"/>
      <c r="L399" s="572">
        <v>2574.83</v>
      </c>
      <c r="M399" s="601"/>
      <c r="N399" s="570"/>
      <c r="V399" s="674"/>
      <c r="W399" s="675"/>
      <c r="AC399" s="675" t="s">
        <v>327</v>
      </c>
      <c r="AD399" s="680"/>
      <c r="AE399" s="675"/>
      <c r="AG399" s="675"/>
    </row>
    <row r="400" spans="1:33" s="536" customFormat="1" ht="22.5" x14ac:dyDescent="0.2">
      <c r="A400" s="575" t="s">
        <v>782</v>
      </c>
      <c r="B400" s="670" t="s">
        <v>8873</v>
      </c>
      <c r="C400" s="1823" t="s">
        <v>8874</v>
      </c>
      <c r="D400" s="1823"/>
      <c r="E400" s="1823"/>
      <c r="F400" s="573" t="s">
        <v>617</v>
      </c>
      <c r="G400" s="573"/>
      <c r="H400" s="573"/>
      <c r="I400" s="573" t="s">
        <v>185</v>
      </c>
      <c r="J400" s="572">
        <v>908.44</v>
      </c>
      <c r="K400" s="573"/>
      <c r="L400" s="572">
        <v>908.44</v>
      </c>
      <c r="M400" s="571"/>
      <c r="N400" s="570"/>
      <c r="V400" s="674"/>
      <c r="W400" s="675" t="s">
        <v>8874</v>
      </c>
      <c r="AC400" s="675"/>
      <c r="AD400" s="680"/>
      <c r="AE400" s="675"/>
      <c r="AG400" s="675"/>
    </row>
    <row r="401" spans="1:33" s="536" customFormat="1" ht="12" x14ac:dyDescent="0.2">
      <c r="A401" s="569"/>
      <c r="B401" s="671"/>
      <c r="C401" s="665" t="s">
        <v>717</v>
      </c>
      <c r="D401" s="666"/>
      <c r="E401" s="666"/>
      <c r="F401" s="563"/>
      <c r="G401" s="563"/>
      <c r="H401" s="563"/>
      <c r="I401" s="563"/>
      <c r="J401" s="566"/>
      <c r="K401" s="563"/>
      <c r="L401" s="566"/>
      <c r="M401" s="565"/>
      <c r="N401" s="564"/>
      <c r="V401" s="674"/>
      <c r="W401" s="675"/>
      <c r="AC401" s="675"/>
      <c r="AD401" s="680"/>
      <c r="AE401" s="675"/>
      <c r="AG401" s="675"/>
    </row>
    <row r="402" spans="1:33" s="536" customFormat="1" ht="33.75" x14ac:dyDescent="0.2">
      <c r="A402" s="575" t="s">
        <v>501</v>
      </c>
      <c r="B402" s="670" t="s">
        <v>8875</v>
      </c>
      <c r="C402" s="1823" t="s">
        <v>8876</v>
      </c>
      <c r="D402" s="1823"/>
      <c r="E402" s="1823"/>
      <c r="F402" s="573" t="s">
        <v>617</v>
      </c>
      <c r="G402" s="573"/>
      <c r="H402" s="573"/>
      <c r="I402" s="573" t="s">
        <v>186</v>
      </c>
      <c r="J402" s="572">
        <v>901.16</v>
      </c>
      <c r="K402" s="573"/>
      <c r="L402" s="572">
        <v>1802.32</v>
      </c>
      <c r="M402" s="571"/>
      <c r="N402" s="570"/>
      <c r="V402" s="674"/>
      <c r="W402" s="675" t="s">
        <v>8876</v>
      </c>
      <c r="AC402" s="675"/>
      <c r="AD402" s="680"/>
      <c r="AE402" s="675"/>
      <c r="AG402" s="675"/>
    </row>
    <row r="403" spans="1:33" s="536" customFormat="1" ht="12" x14ac:dyDescent="0.2">
      <c r="A403" s="569"/>
      <c r="B403" s="671"/>
      <c r="C403" s="665" t="s">
        <v>717</v>
      </c>
      <c r="D403" s="666"/>
      <c r="E403" s="666"/>
      <c r="F403" s="563"/>
      <c r="G403" s="563"/>
      <c r="H403" s="563"/>
      <c r="I403" s="563"/>
      <c r="J403" s="566"/>
      <c r="K403" s="563"/>
      <c r="L403" s="566"/>
      <c r="M403" s="565"/>
      <c r="N403" s="564"/>
      <c r="V403" s="674"/>
      <c r="W403" s="675"/>
      <c r="AC403" s="675"/>
      <c r="AD403" s="680"/>
      <c r="AE403" s="675"/>
      <c r="AG403" s="675"/>
    </row>
    <row r="404" spans="1:33" s="536" customFormat="1" ht="33.75" x14ac:dyDescent="0.2">
      <c r="A404" s="575" t="s">
        <v>784</v>
      </c>
      <c r="B404" s="670" t="s">
        <v>4455</v>
      </c>
      <c r="C404" s="1823" t="s">
        <v>4456</v>
      </c>
      <c r="D404" s="1823"/>
      <c r="E404" s="1823"/>
      <c r="F404" s="573" t="s">
        <v>617</v>
      </c>
      <c r="G404" s="573"/>
      <c r="H404" s="573"/>
      <c r="I404" s="573" t="s">
        <v>185</v>
      </c>
      <c r="J404" s="572">
        <v>78.56</v>
      </c>
      <c r="K404" s="573"/>
      <c r="L404" s="572">
        <v>78.56</v>
      </c>
      <c r="M404" s="571"/>
      <c r="N404" s="570"/>
      <c r="V404" s="674"/>
      <c r="W404" s="675" t="s">
        <v>4456</v>
      </c>
      <c r="AC404" s="675"/>
      <c r="AD404" s="680"/>
      <c r="AE404" s="675"/>
      <c r="AG404" s="675"/>
    </row>
    <row r="405" spans="1:33" s="536" customFormat="1" ht="12" x14ac:dyDescent="0.2">
      <c r="A405" s="569"/>
      <c r="B405" s="671"/>
      <c r="C405" s="665" t="s">
        <v>717</v>
      </c>
      <c r="D405" s="666"/>
      <c r="E405" s="666"/>
      <c r="F405" s="563"/>
      <c r="G405" s="563"/>
      <c r="H405" s="563"/>
      <c r="I405" s="563"/>
      <c r="J405" s="566"/>
      <c r="K405" s="563"/>
      <c r="L405" s="566"/>
      <c r="M405" s="565"/>
      <c r="N405" s="564"/>
      <c r="V405" s="674"/>
      <c r="W405" s="675"/>
      <c r="AC405" s="675"/>
      <c r="AD405" s="680"/>
      <c r="AE405" s="675"/>
      <c r="AG405" s="675"/>
    </row>
    <row r="406" spans="1:33" s="536" customFormat="1" ht="22.5" x14ac:dyDescent="0.2">
      <c r="A406" s="575" t="s">
        <v>1679</v>
      </c>
      <c r="B406" s="670" t="s">
        <v>8877</v>
      </c>
      <c r="C406" s="1823" t="s">
        <v>8878</v>
      </c>
      <c r="D406" s="1823"/>
      <c r="E406" s="1823"/>
      <c r="F406" s="573" t="s">
        <v>617</v>
      </c>
      <c r="G406" s="573"/>
      <c r="H406" s="573"/>
      <c r="I406" s="573" t="s">
        <v>185</v>
      </c>
      <c r="J406" s="572">
        <v>871.29</v>
      </c>
      <c r="K406" s="573"/>
      <c r="L406" s="572">
        <v>871.29</v>
      </c>
      <c r="M406" s="571"/>
      <c r="N406" s="570"/>
      <c r="V406" s="674"/>
      <c r="W406" s="675" t="s">
        <v>8878</v>
      </c>
      <c r="AC406" s="675"/>
      <c r="AD406" s="680"/>
      <c r="AE406" s="675"/>
      <c r="AG406" s="675"/>
    </row>
    <row r="407" spans="1:33" s="536" customFormat="1" ht="12" x14ac:dyDescent="0.2">
      <c r="A407" s="569"/>
      <c r="B407" s="671"/>
      <c r="C407" s="665" t="s">
        <v>717</v>
      </c>
      <c r="D407" s="666"/>
      <c r="E407" s="666"/>
      <c r="F407" s="563"/>
      <c r="G407" s="563"/>
      <c r="H407" s="563"/>
      <c r="I407" s="563"/>
      <c r="J407" s="566"/>
      <c r="K407" s="563"/>
      <c r="L407" s="566"/>
      <c r="M407" s="565"/>
      <c r="N407" s="564"/>
      <c r="V407" s="674"/>
      <c r="W407" s="675"/>
      <c r="AC407" s="675"/>
      <c r="AD407" s="680"/>
      <c r="AE407" s="675"/>
      <c r="AG407" s="675"/>
    </row>
    <row r="408" spans="1:33" s="536" customFormat="1" ht="22.5" x14ac:dyDescent="0.2">
      <c r="A408" s="575" t="s">
        <v>786</v>
      </c>
      <c r="B408" s="670" t="s">
        <v>4459</v>
      </c>
      <c r="C408" s="1823" t="s">
        <v>4460</v>
      </c>
      <c r="D408" s="1823"/>
      <c r="E408" s="1823"/>
      <c r="F408" s="573" t="s">
        <v>617</v>
      </c>
      <c r="G408" s="573"/>
      <c r="H408" s="573"/>
      <c r="I408" s="573" t="s">
        <v>185</v>
      </c>
      <c r="J408" s="572">
        <v>31.43</v>
      </c>
      <c r="K408" s="573"/>
      <c r="L408" s="572">
        <v>31.43</v>
      </c>
      <c r="M408" s="571"/>
      <c r="N408" s="570"/>
      <c r="V408" s="674"/>
      <c r="W408" s="675" t="s">
        <v>4460</v>
      </c>
      <c r="AC408" s="675"/>
      <c r="AD408" s="680"/>
      <c r="AE408" s="675"/>
      <c r="AG408" s="675"/>
    </row>
    <row r="409" spans="1:33" s="536" customFormat="1" ht="12" x14ac:dyDescent="0.2">
      <c r="A409" s="569"/>
      <c r="B409" s="671"/>
      <c r="C409" s="665" t="s">
        <v>717</v>
      </c>
      <c r="D409" s="666"/>
      <c r="E409" s="666"/>
      <c r="F409" s="563"/>
      <c r="G409" s="563"/>
      <c r="H409" s="563"/>
      <c r="I409" s="563"/>
      <c r="J409" s="566"/>
      <c r="K409" s="563"/>
      <c r="L409" s="566"/>
      <c r="M409" s="565"/>
      <c r="N409" s="564"/>
      <c r="V409" s="674"/>
      <c r="W409" s="675"/>
      <c r="AC409" s="675"/>
      <c r="AD409" s="680"/>
      <c r="AE409" s="675"/>
      <c r="AG409" s="675"/>
    </row>
    <row r="410" spans="1:33" s="536" customFormat="1" ht="12" x14ac:dyDescent="0.2">
      <c r="A410" s="575" t="s">
        <v>787</v>
      </c>
      <c r="B410" s="670" t="s">
        <v>4461</v>
      </c>
      <c r="C410" s="1823" t="s">
        <v>4462</v>
      </c>
      <c r="D410" s="1823"/>
      <c r="E410" s="1823"/>
      <c r="F410" s="573" t="s">
        <v>617</v>
      </c>
      <c r="G410" s="573"/>
      <c r="H410" s="573"/>
      <c r="I410" s="573" t="s">
        <v>189</v>
      </c>
      <c r="J410" s="572">
        <v>6.55</v>
      </c>
      <c r="K410" s="573"/>
      <c r="L410" s="572">
        <v>32.75</v>
      </c>
      <c r="M410" s="571"/>
      <c r="N410" s="570"/>
      <c r="V410" s="674"/>
      <c r="W410" s="675" t="s">
        <v>4462</v>
      </c>
      <c r="AC410" s="675"/>
      <c r="AD410" s="680"/>
      <c r="AE410" s="675"/>
      <c r="AG410" s="675"/>
    </row>
    <row r="411" spans="1:33" s="536" customFormat="1" ht="12" x14ac:dyDescent="0.2">
      <c r="A411" s="569"/>
      <c r="B411" s="671"/>
      <c r="C411" s="665" t="s">
        <v>717</v>
      </c>
      <c r="D411" s="666"/>
      <c r="E411" s="666"/>
      <c r="F411" s="563"/>
      <c r="G411" s="563"/>
      <c r="H411" s="563"/>
      <c r="I411" s="563"/>
      <c r="J411" s="566"/>
      <c r="K411" s="563"/>
      <c r="L411" s="566"/>
      <c r="M411" s="565"/>
      <c r="N411" s="564"/>
      <c r="V411" s="674"/>
      <c r="W411" s="675"/>
      <c r="AC411" s="675"/>
      <c r="AD411" s="680"/>
      <c r="AE411" s="675"/>
      <c r="AG411" s="675"/>
    </row>
    <row r="412" spans="1:33" s="536" customFormat="1" ht="12" x14ac:dyDescent="0.2">
      <c r="A412" s="575" t="s">
        <v>624</v>
      </c>
      <c r="B412" s="670" t="s">
        <v>4464</v>
      </c>
      <c r="C412" s="1823" t="s">
        <v>4465</v>
      </c>
      <c r="D412" s="1823"/>
      <c r="E412" s="1823"/>
      <c r="F412" s="573" t="s">
        <v>617</v>
      </c>
      <c r="G412" s="573"/>
      <c r="H412" s="573"/>
      <c r="I412" s="573" t="s">
        <v>185</v>
      </c>
      <c r="J412" s="572">
        <v>569.52</v>
      </c>
      <c r="K412" s="573"/>
      <c r="L412" s="572">
        <v>569.52</v>
      </c>
      <c r="M412" s="571"/>
      <c r="N412" s="570"/>
      <c r="V412" s="674"/>
      <c r="W412" s="675" t="s">
        <v>4465</v>
      </c>
      <c r="AC412" s="675"/>
      <c r="AD412" s="680"/>
      <c r="AE412" s="675"/>
      <c r="AG412" s="675"/>
    </row>
    <row r="413" spans="1:33" s="536" customFormat="1" ht="12" x14ac:dyDescent="0.2">
      <c r="A413" s="569"/>
      <c r="B413" s="671"/>
      <c r="C413" s="665" t="s">
        <v>717</v>
      </c>
      <c r="D413" s="666"/>
      <c r="E413" s="666"/>
      <c r="F413" s="563"/>
      <c r="G413" s="563"/>
      <c r="H413" s="563"/>
      <c r="I413" s="563"/>
      <c r="J413" s="566"/>
      <c r="K413" s="563"/>
      <c r="L413" s="566"/>
      <c r="M413" s="565"/>
      <c r="N413" s="564"/>
      <c r="V413" s="674"/>
      <c r="W413" s="675"/>
      <c r="AC413" s="675"/>
      <c r="AD413" s="680"/>
      <c r="AE413" s="675"/>
      <c r="AG413" s="675"/>
    </row>
    <row r="414" spans="1:33" s="536" customFormat="1" ht="33.75" x14ac:dyDescent="0.2">
      <c r="A414" s="575" t="s">
        <v>1784</v>
      </c>
      <c r="B414" s="670" t="s">
        <v>4434</v>
      </c>
      <c r="C414" s="1823" t="s">
        <v>8879</v>
      </c>
      <c r="D414" s="1823"/>
      <c r="E414" s="1823"/>
      <c r="F414" s="573" t="s">
        <v>1537</v>
      </c>
      <c r="G414" s="573"/>
      <c r="H414" s="573"/>
      <c r="I414" s="573" t="s">
        <v>8880</v>
      </c>
      <c r="J414" s="572"/>
      <c r="K414" s="573"/>
      <c r="L414" s="572"/>
      <c r="M414" s="571"/>
      <c r="N414" s="570"/>
      <c r="V414" s="674"/>
      <c r="W414" s="675" t="s">
        <v>8879</v>
      </c>
      <c r="AC414" s="675"/>
      <c r="AD414" s="680"/>
      <c r="AE414" s="675"/>
      <c r="AG414" s="675"/>
    </row>
    <row r="415" spans="1:33" s="536" customFormat="1" ht="12" x14ac:dyDescent="0.2">
      <c r="A415" s="676"/>
      <c r="B415" s="664"/>
      <c r="C415" s="1822" t="s">
        <v>8881</v>
      </c>
      <c r="D415" s="1822"/>
      <c r="E415" s="1822"/>
      <c r="F415" s="1822"/>
      <c r="G415" s="1822"/>
      <c r="H415" s="1822"/>
      <c r="I415" s="1822"/>
      <c r="J415" s="1822"/>
      <c r="K415" s="1822"/>
      <c r="L415" s="1822"/>
      <c r="M415" s="1822"/>
      <c r="N415" s="1827"/>
      <c r="V415" s="674"/>
      <c r="W415" s="675"/>
      <c r="X415" s="537" t="s">
        <v>8881</v>
      </c>
      <c r="AC415" s="675"/>
      <c r="AD415" s="680"/>
      <c r="AE415" s="675"/>
      <c r="AG415" s="675"/>
    </row>
    <row r="416" spans="1:33" s="536" customFormat="1" ht="22.5" x14ac:dyDescent="0.2">
      <c r="A416" s="609"/>
      <c r="B416" s="552" t="s">
        <v>499</v>
      </c>
      <c r="C416" s="1822" t="s">
        <v>500</v>
      </c>
      <c r="D416" s="1822"/>
      <c r="E416" s="1822"/>
      <c r="F416" s="1822"/>
      <c r="G416" s="1822"/>
      <c r="H416" s="1822"/>
      <c r="I416" s="1822"/>
      <c r="J416" s="1822"/>
      <c r="K416" s="1822"/>
      <c r="L416" s="1822"/>
      <c r="M416" s="1822"/>
      <c r="N416" s="1827"/>
      <c r="V416" s="674"/>
      <c r="W416" s="675"/>
      <c r="Y416" s="537" t="s">
        <v>500</v>
      </c>
      <c r="AC416" s="675"/>
      <c r="AD416" s="680"/>
      <c r="AE416" s="675"/>
      <c r="AG416" s="675"/>
    </row>
    <row r="417" spans="1:33" s="536" customFormat="1" ht="12" x14ac:dyDescent="0.2">
      <c r="A417" s="605"/>
      <c r="B417" s="552" t="s">
        <v>185</v>
      </c>
      <c r="C417" s="1822" t="s">
        <v>312</v>
      </c>
      <c r="D417" s="1822"/>
      <c r="E417" s="1822"/>
      <c r="F417" s="562"/>
      <c r="G417" s="562"/>
      <c r="H417" s="562"/>
      <c r="I417" s="562"/>
      <c r="J417" s="604">
        <v>774.36</v>
      </c>
      <c r="K417" s="562" t="s">
        <v>313</v>
      </c>
      <c r="L417" s="604">
        <v>80.34</v>
      </c>
      <c r="M417" s="603"/>
      <c r="N417" s="602"/>
      <c r="V417" s="674"/>
      <c r="W417" s="675"/>
      <c r="Z417" s="537" t="s">
        <v>312</v>
      </c>
      <c r="AC417" s="675"/>
      <c r="AD417" s="680"/>
      <c r="AE417" s="675"/>
      <c r="AG417" s="675"/>
    </row>
    <row r="418" spans="1:33" s="536" customFormat="1" ht="12" x14ac:dyDescent="0.2">
      <c r="A418" s="605"/>
      <c r="B418" s="552" t="s">
        <v>186</v>
      </c>
      <c r="C418" s="1822" t="s">
        <v>344</v>
      </c>
      <c r="D418" s="1822"/>
      <c r="E418" s="1822"/>
      <c r="F418" s="562"/>
      <c r="G418" s="562"/>
      <c r="H418" s="562"/>
      <c r="I418" s="562"/>
      <c r="J418" s="604">
        <v>821.12</v>
      </c>
      <c r="K418" s="562" t="s">
        <v>313</v>
      </c>
      <c r="L418" s="604">
        <v>85.19</v>
      </c>
      <c r="M418" s="603"/>
      <c r="N418" s="602"/>
      <c r="V418" s="674"/>
      <c r="W418" s="675"/>
      <c r="Z418" s="537" t="s">
        <v>344</v>
      </c>
      <c r="AC418" s="675"/>
      <c r="AD418" s="680"/>
      <c r="AE418" s="675"/>
      <c r="AG418" s="675"/>
    </row>
    <row r="419" spans="1:33" s="536" customFormat="1" ht="12" x14ac:dyDescent="0.2">
      <c r="A419" s="605"/>
      <c r="B419" s="552" t="s">
        <v>187</v>
      </c>
      <c r="C419" s="1822" t="s">
        <v>345</v>
      </c>
      <c r="D419" s="1822"/>
      <c r="E419" s="1822"/>
      <c r="F419" s="562"/>
      <c r="G419" s="562"/>
      <c r="H419" s="562"/>
      <c r="I419" s="562"/>
      <c r="J419" s="604">
        <v>124.95</v>
      </c>
      <c r="K419" s="562" t="s">
        <v>313</v>
      </c>
      <c r="L419" s="604">
        <v>12.96</v>
      </c>
      <c r="M419" s="603"/>
      <c r="N419" s="602"/>
      <c r="V419" s="674"/>
      <c r="W419" s="675"/>
      <c r="Z419" s="537" t="s">
        <v>345</v>
      </c>
      <c r="AC419" s="675"/>
      <c r="AD419" s="680"/>
      <c r="AE419" s="675"/>
      <c r="AG419" s="675"/>
    </row>
    <row r="420" spans="1:33" s="536" customFormat="1" ht="12" x14ac:dyDescent="0.2">
      <c r="A420" s="605"/>
      <c r="B420" s="552" t="s">
        <v>188</v>
      </c>
      <c r="C420" s="1822" t="s">
        <v>475</v>
      </c>
      <c r="D420" s="1822"/>
      <c r="E420" s="1822"/>
      <c r="F420" s="562"/>
      <c r="G420" s="562"/>
      <c r="H420" s="562"/>
      <c r="I420" s="562"/>
      <c r="J420" s="604">
        <v>6631.87</v>
      </c>
      <c r="K420" s="562"/>
      <c r="L420" s="604">
        <v>550.45000000000005</v>
      </c>
      <c r="M420" s="603"/>
      <c r="N420" s="602"/>
      <c r="V420" s="674"/>
      <c r="W420" s="675"/>
      <c r="Z420" s="537" t="s">
        <v>475</v>
      </c>
      <c r="AC420" s="675"/>
      <c r="AD420" s="680"/>
      <c r="AE420" s="675"/>
      <c r="AG420" s="675"/>
    </row>
    <row r="421" spans="1:33" s="536" customFormat="1" ht="22.5" x14ac:dyDescent="0.2">
      <c r="A421" s="676"/>
      <c r="B421" s="677" t="s">
        <v>4438</v>
      </c>
      <c r="C421" s="1829" t="s">
        <v>4439</v>
      </c>
      <c r="D421" s="1829"/>
      <c r="E421" s="1829"/>
      <c r="F421" s="678" t="s">
        <v>483</v>
      </c>
      <c r="G421" s="678" t="s">
        <v>525</v>
      </c>
      <c r="H421" s="678"/>
      <c r="I421" s="678" t="s">
        <v>525</v>
      </c>
      <c r="J421" s="552"/>
      <c r="K421" s="562"/>
      <c r="L421" s="604"/>
      <c r="M421" s="562"/>
      <c r="N421" s="679"/>
      <c r="V421" s="674"/>
      <c r="W421" s="675"/>
      <c r="AC421" s="675"/>
      <c r="AD421" s="680" t="s">
        <v>4439</v>
      </c>
      <c r="AE421" s="675"/>
      <c r="AG421" s="675"/>
    </row>
    <row r="422" spans="1:33" s="536" customFormat="1" ht="22.5" x14ac:dyDescent="0.2">
      <c r="A422" s="676"/>
      <c r="B422" s="677" t="s">
        <v>4438</v>
      </c>
      <c r="C422" s="1829" t="s">
        <v>4440</v>
      </c>
      <c r="D422" s="1829"/>
      <c r="E422" s="1829"/>
      <c r="F422" s="678" t="s">
        <v>483</v>
      </c>
      <c r="G422" s="678" t="s">
        <v>525</v>
      </c>
      <c r="H422" s="678"/>
      <c r="I422" s="678" t="s">
        <v>525</v>
      </c>
      <c r="J422" s="552"/>
      <c r="K422" s="562"/>
      <c r="L422" s="604"/>
      <c r="M422" s="562"/>
      <c r="N422" s="679"/>
      <c r="V422" s="674"/>
      <c r="W422" s="675"/>
      <c r="AC422" s="675"/>
      <c r="AD422" s="680" t="s">
        <v>4440</v>
      </c>
      <c r="AE422" s="675"/>
      <c r="AG422" s="675"/>
    </row>
    <row r="423" spans="1:33" s="536" customFormat="1" ht="45" x14ac:dyDescent="0.2">
      <c r="A423" s="676"/>
      <c r="B423" s="677" t="s">
        <v>4441</v>
      </c>
      <c r="C423" s="1829" t="s">
        <v>4442</v>
      </c>
      <c r="D423" s="1829"/>
      <c r="E423" s="1829"/>
      <c r="F423" s="678" t="s">
        <v>694</v>
      </c>
      <c r="G423" s="678" t="s">
        <v>525</v>
      </c>
      <c r="H423" s="678"/>
      <c r="I423" s="678" t="s">
        <v>525</v>
      </c>
      <c r="J423" s="552"/>
      <c r="K423" s="562"/>
      <c r="L423" s="604"/>
      <c r="M423" s="562"/>
      <c r="N423" s="679"/>
      <c r="V423" s="674"/>
      <c r="W423" s="675"/>
      <c r="AC423" s="675"/>
      <c r="AD423" s="680" t="s">
        <v>4442</v>
      </c>
      <c r="AE423" s="675"/>
      <c r="AG423" s="675"/>
    </row>
    <row r="424" spans="1:33" s="536" customFormat="1" ht="12" x14ac:dyDescent="0.2">
      <c r="A424" s="676"/>
      <c r="B424" s="677" t="s">
        <v>4443</v>
      </c>
      <c r="C424" s="1829" t="s">
        <v>4444</v>
      </c>
      <c r="D424" s="1829"/>
      <c r="E424" s="1829"/>
      <c r="F424" s="678" t="s">
        <v>617</v>
      </c>
      <c r="G424" s="678" t="s">
        <v>525</v>
      </c>
      <c r="H424" s="678"/>
      <c r="I424" s="678" t="s">
        <v>525</v>
      </c>
      <c r="J424" s="552"/>
      <c r="K424" s="562"/>
      <c r="L424" s="604"/>
      <c r="M424" s="562"/>
      <c r="N424" s="679"/>
      <c r="V424" s="674"/>
      <c r="W424" s="675"/>
      <c r="AC424" s="675"/>
      <c r="AD424" s="680" t="s">
        <v>4444</v>
      </c>
      <c r="AE424" s="675"/>
      <c r="AG424" s="675"/>
    </row>
    <row r="425" spans="1:33" s="536" customFormat="1" ht="12" x14ac:dyDescent="0.2">
      <c r="A425" s="605"/>
      <c r="B425" s="552"/>
      <c r="C425" s="1822" t="s">
        <v>314</v>
      </c>
      <c r="D425" s="1822"/>
      <c r="E425" s="1822"/>
      <c r="F425" s="562" t="s">
        <v>315</v>
      </c>
      <c r="G425" s="562" t="s">
        <v>4445</v>
      </c>
      <c r="H425" s="562" t="s">
        <v>313</v>
      </c>
      <c r="I425" s="562" t="s">
        <v>8882</v>
      </c>
      <c r="J425" s="604"/>
      <c r="K425" s="562"/>
      <c r="L425" s="604"/>
      <c r="M425" s="603"/>
      <c r="N425" s="602"/>
      <c r="V425" s="674"/>
      <c r="W425" s="675"/>
      <c r="AA425" s="537" t="s">
        <v>314</v>
      </c>
      <c r="AC425" s="675"/>
      <c r="AD425" s="680"/>
      <c r="AE425" s="675"/>
      <c r="AG425" s="675"/>
    </row>
    <row r="426" spans="1:33" s="536" customFormat="1" ht="12" x14ac:dyDescent="0.2">
      <c r="A426" s="605"/>
      <c r="B426" s="552"/>
      <c r="C426" s="1822" t="s">
        <v>348</v>
      </c>
      <c r="D426" s="1822"/>
      <c r="E426" s="1822"/>
      <c r="F426" s="562" t="s">
        <v>315</v>
      </c>
      <c r="G426" s="562" t="s">
        <v>4447</v>
      </c>
      <c r="H426" s="562" t="s">
        <v>313</v>
      </c>
      <c r="I426" s="562" t="s">
        <v>8883</v>
      </c>
      <c r="J426" s="604"/>
      <c r="K426" s="562"/>
      <c r="L426" s="604"/>
      <c r="M426" s="603"/>
      <c r="N426" s="602"/>
      <c r="V426" s="674"/>
      <c r="W426" s="675"/>
      <c r="AA426" s="537" t="s">
        <v>348</v>
      </c>
      <c r="AC426" s="675"/>
      <c r="AD426" s="680"/>
      <c r="AE426" s="675"/>
      <c r="AG426" s="675"/>
    </row>
    <row r="427" spans="1:33" s="536" customFormat="1" ht="12" x14ac:dyDescent="0.2">
      <c r="A427" s="605"/>
      <c r="B427" s="552"/>
      <c r="C427" s="1828" t="s">
        <v>318</v>
      </c>
      <c r="D427" s="1828"/>
      <c r="E427" s="1828"/>
      <c r="F427" s="608"/>
      <c r="G427" s="608"/>
      <c r="H427" s="608"/>
      <c r="I427" s="608"/>
      <c r="J427" s="607">
        <v>8227.35</v>
      </c>
      <c r="K427" s="608"/>
      <c r="L427" s="607">
        <v>715.98</v>
      </c>
      <c r="M427" s="601"/>
      <c r="N427" s="606"/>
      <c r="V427" s="674"/>
      <c r="W427" s="675"/>
      <c r="AB427" s="537" t="s">
        <v>318</v>
      </c>
      <c r="AC427" s="675"/>
      <c r="AD427" s="680"/>
      <c r="AE427" s="675"/>
      <c r="AG427" s="675"/>
    </row>
    <row r="428" spans="1:33" s="536" customFormat="1" ht="12" x14ac:dyDescent="0.2">
      <c r="A428" s="605"/>
      <c r="B428" s="552"/>
      <c r="C428" s="1822" t="s">
        <v>319</v>
      </c>
      <c r="D428" s="1822"/>
      <c r="E428" s="1822"/>
      <c r="F428" s="562"/>
      <c r="G428" s="562"/>
      <c r="H428" s="562"/>
      <c r="I428" s="562"/>
      <c r="J428" s="604"/>
      <c r="K428" s="562"/>
      <c r="L428" s="604">
        <v>93.3</v>
      </c>
      <c r="M428" s="603"/>
      <c r="N428" s="602"/>
      <c r="V428" s="674"/>
      <c r="W428" s="675"/>
      <c r="AA428" s="537" t="s">
        <v>319</v>
      </c>
      <c r="AC428" s="675"/>
      <c r="AD428" s="680"/>
      <c r="AE428" s="675"/>
      <c r="AG428" s="675"/>
    </row>
    <row r="429" spans="1:33" s="536" customFormat="1" ht="33.75" x14ac:dyDescent="0.2">
      <c r="A429" s="605"/>
      <c r="B429" s="552" t="s">
        <v>533</v>
      </c>
      <c r="C429" s="1822" t="s">
        <v>534</v>
      </c>
      <c r="D429" s="1822"/>
      <c r="E429" s="1822"/>
      <c r="F429" s="562" t="s">
        <v>322</v>
      </c>
      <c r="G429" s="562" t="s">
        <v>535</v>
      </c>
      <c r="H429" s="562"/>
      <c r="I429" s="562" t="s">
        <v>535</v>
      </c>
      <c r="J429" s="604"/>
      <c r="K429" s="562"/>
      <c r="L429" s="604">
        <v>109.16</v>
      </c>
      <c r="M429" s="603"/>
      <c r="N429" s="602"/>
      <c r="V429" s="674"/>
      <c r="W429" s="675"/>
      <c r="AA429" s="537" t="s">
        <v>534</v>
      </c>
      <c r="AC429" s="675"/>
      <c r="AD429" s="680"/>
      <c r="AE429" s="675"/>
      <c r="AG429" s="675"/>
    </row>
    <row r="430" spans="1:33" s="536" customFormat="1" ht="33.75" x14ac:dyDescent="0.2">
      <c r="A430" s="605"/>
      <c r="B430" s="552" t="s">
        <v>536</v>
      </c>
      <c r="C430" s="1822" t="s">
        <v>537</v>
      </c>
      <c r="D430" s="1822"/>
      <c r="E430" s="1822"/>
      <c r="F430" s="562" t="s">
        <v>322</v>
      </c>
      <c r="G430" s="562" t="s">
        <v>538</v>
      </c>
      <c r="H430" s="562"/>
      <c r="I430" s="562" t="s">
        <v>538</v>
      </c>
      <c r="J430" s="604"/>
      <c r="K430" s="562"/>
      <c r="L430" s="604">
        <v>69.040000000000006</v>
      </c>
      <c r="M430" s="603"/>
      <c r="N430" s="602"/>
      <c r="V430" s="674"/>
      <c r="W430" s="675"/>
      <c r="AA430" s="537" t="s">
        <v>537</v>
      </c>
      <c r="AC430" s="675"/>
      <c r="AD430" s="680"/>
      <c r="AE430" s="675"/>
      <c r="AG430" s="675"/>
    </row>
    <row r="431" spans="1:33" s="536" customFormat="1" ht="12" x14ac:dyDescent="0.2">
      <c r="A431" s="569"/>
      <c r="B431" s="671"/>
      <c r="C431" s="1823" t="s">
        <v>327</v>
      </c>
      <c r="D431" s="1823"/>
      <c r="E431" s="1823"/>
      <c r="F431" s="573"/>
      <c r="G431" s="573"/>
      <c r="H431" s="573"/>
      <c r="I431" s="573"/>
      <c r="J431" s="572"/>
      <c r="K431" s="573"/>
      <c r="L431" s="572">
        <v>894.18</v>
      </c>
      <c r="M431" s="601"/>
      <c r="N431" s="570"/>
      <c r="V431" s="674"/>
      <c r="W431" s="675"/>
      <c r="AC431" s="675" t="s">
        <v>327</v>
      </c>
      <c r="AD431" s="680"/>
      <c r="AE431" s="675"/>
      <c r="AG431" s="675"/>
    </row>
    <row r="432" spans="1:33" s="536" customFormat="1" ht="22.5" x14ac:dyDescent="0.2">
      <c r="A432" s="575" t="s">
        <v>789</v>
      </c>
      <c r="B432" s="670" t="s">
        <v>4545</v>
      </c>
      <c r="C432" s="1823" t="s">
        <v>4546</v>
      </c>
      <c r="D432" s="1823"/>
      <c r="E432" s="1823"/>
      <c r="F432" s="573" t="s">
        <v>617</v>
      </c>
      <c r="G432" s="573"/>
      <c r="H432" s="573"/>
      <c r="I432" s="573" t="s">
        <v>185</v>
      </c>
      <c r="J432" s="572">
        <v>215.48</v>
      </c>
      <c r="K432" s="573"/>
      <c r="L432" s="572">
        <v>215.48</v>
      </c>
      <c r="M432" s="571"/>
      <c r="N432" s="570"/>
      <c r="V432" s="674"/>
      <c r="W432" s="675" t="s">
        <v>4546</v>
      </c>
      <c r="AC432" s="675"/>
      <c r="AD432" s="680"/>
      <c r="AE432" s="675"/>
      <c r="AG432" s="675"/>
    </row>
    <row r="433" spans="1:33" s="536" customFormat="1" ht="12" x14ac:dyDescent="0.2">
      <c r="A433" s="569"/>
      <c r="B433" s="671"/>
      <c r="C433" s="665" t="s">
        <v>717</v>
      </c>
      <c r="D433" s="666"/>
      <c r="E433" s="666"/>
      <c r="F433" s="563"/>
      <c r="G433" s="563"/>
      <c r="H433" s="563"/>
      <c r="I433" s="563"/>
      <c r="J433" s="566"/>
      <c r="K433" s="563"/>
      <c r="L433" s="566"/>
      <c r="M433" s="565"/>
      <c r="N433" s="564"/>
      <c r="V433" s="674"/>
      <c r="W433" s="675"/>
      <c r="AC433" s="675"/>
      <c r="AD433" s="680"/>
      <c r="AE433" s="675"/>
      <c r="AG433" s="675"/>
    </row>
    <row r="434" spans="1:33" s="536" customFormat="1" ht="33.75" x14ac:dyDescent="0.2">
      <c r="A434" s="575" t="s">
        <v>2339</v>
      </c>
      <c r="B434" s="670" t="s">
        <v>4547</v>
      </c>
      <c r="C434" s="1823" t="s">
        <v>4548</v>
      </c>
      <c r="D434" s="1823"/>
      <c r="E434" s="1823"/>
      <c r="F434" s="573" t="s">
        <v>617</v>
      </c>
      <c r="G434" s="573"/>
      <c r="H434" s="573"/>
      <c r="I434" s="573" t="s">
        <v>186</v>
      </c>
      <c r="J434" s="572">
        <v>362.1</v>
      </c>
      <c r="K434" s="573"/>
      <c r="L434" s="572">
        <v>724.2</v>
      </c>
      <c r="M434" s="571"/>
      <c r="N434" s="570"/>
      <c r="V434" s="674"/>
      <c r="W434" s="675" t="s">
        <v>4548</v>
      </c>
      <c r="AC434" s="675"/>
      <c r="AD434" s="680"/>
      <c r="AE434" s="675"/>
      <c r="AG434" s="675"/>
    </row>
    <row r="435" spans="1:33" s="536" customFormat="1" ht="12" x14ac:dyDescent="0.2">
      <c r="A435" s="569"/>
      <c r="B435" s="671"/>
      <c r="C435" s="665" t="s">
        <v>717</v>
      </c>
      <c r="D435" s="666"/>
      <c r="E435" s="666"/>
      <c r="F435" s="563"/>
      <c r="G435" s="563"/>
      <c r="H435" s="563"/>
      <c r="I435" s="563"/>
      <c r="J435" s="566"/>
      <c r="K435" s="563"/>
      <c r="L435" s="566"/>
      <c r="M435" s="565"/>
      <c r="N435" s="564"/>
      <c r="V435" s="674"/>
      <c r="W435" s="675"/>
      <c r="AC435" s="675"/>
      <c r="AD435" s="680"/>
      <c r="AE435" s="675"/>
      <c r="AG435" s="675"/>
    </row>
    <row r="436" spans="1:33" s="536" customFormat="1" ht="33.75" x14ac:dyDescent="0.2">
      <c r="A436" s="575" t="s">
        <v>791</v>
      </c>
      <c r="B436" s="670" t="s">
        <v>4455</v>
      </c>
      <c r="C436" s="1823" t="s">
        <v>4456</v>
      </c>
      <c r="D436" s="1823"/>
      <c r="E436" s="1823"/>
      <c r="F436" s="573" t="s">
        <v>617</v>
      </c>
      <c r="G436" s="573"/>
      <c r="H436" s="573"/>
      <c r="I436" s="573" t="s">
        <v>185</v>
      </c>
      <c r="J436" s="572">
        <v>78.56</v>
      </c>
      <c r="K436" s="573"/>
      <c r="L436" s="572">
        <v>78.56</v>
      </c>
      <c r="M436" s="571"/>
      <c r="N436" s="570"/>
      <c r="V436" s="674"/>
      <c r="W436" s="675" t="s">
        <v>4456</v>
      </c>
      <c r="AC436" s="675"/>
      <c r="AD436" s="680"/>
      <c r="AE436" s="675"/>
      <c r="AG436" s="675"/>
    </row>
    <row r="437" spans="1:33" s="536" customFormat="1" ht="12" x14ac:dyDescent="0.2">
      <c r="A437" s="569"/>
      <c r="B437" s="671"/>
      <c r="C437" s="665" t="s">
        <v>717</v>
      </c>
      <c r="D437" s="666"/>
      <c r="E437" s="666"/>
      <c r="F437" s="563"/>
      <c r="G437" s="563"/>
      <c r="H437" s="563"/>
      <c r="I437" s="563"/>
      <c r="J437" s="566"/>
      <c r="K437" s="563"/>
      <c r="L437" s="566"/>
      <c r="M437" s="565"/>
      <c r="N437" s="564"/>
      <c r="V437" s="674"/>
      <c r="W437" s="675"/>
      <c r="AC437" s="675"/>
      <c r="AD437" s="680"/>
      <c r="AE437" s="675"/>
      <c r="AG437" s="675"/>
    </row>
    <row r="438" spans="1:33" s="536" customFormat="1" ht="22.5" x14ac:dyDescent="0.2">
      <c r="A438" s="575" t="s">
        <v>690</v>
      </c>
      <c r="B438" s="670" t="s">
        <v>4459</v>
      </c>
      <c r="C438" s="1823" t="s">
        <v>4460</v>
      </c>
      <c r="D438" s="1823"/>
      <c r="E438" s="1823"/>
      <c r="F438" s="573" t="s">
        <v>617</v>
      </c>
      <c r="G438" s="573"/>
      <c r="H438" s="573"/>
      <c r="I438" s="573" t="s">
        <v>185</v>
      </c>
      <c r="J438" s="572">
        <v>31.43</v>
      </c>
      <c r="K438" s="573"/>
      <c r="L438" s="572">
        <v>31.43</v>
      </c>
      <c r="M438" s="571"/>
      <c r="N438" s="570"/>
      <c r="V438" s="674"/>
      <c r="W438" s="675" t="s">
        <v>4460</v>
      </c>
      <c r="AC438" s="675"/>
      <c r="AD438" s="680"/>
      <c r="AE438" s="675"/>
      <c r="AG438" s="675"/>
    </row>
    <row r="439" spans="1:33" s="536" customFormat="1" ht="12" x14ac:dyDescent="0.2">
      <c r="A439" s="569"/>
      <c r="B439" s="671"/>
      <c r="C439" s="665" t="s">
        <v>717</v>
      </c>
      <c r="D439" s="666"/>
      <c r="E439" s="666"/>
      <c r="F439" s="563"/>
      <c r="G439" s="563"/>
      <c r="H439" s="563"/>
      <c r="I439" s="563"/>
      <c r="J439" s="566"/>
      <c r="K439" s="563"/>
      <c r="L439" s="566"/>
      <c r="M439" s="565"/>
      <c r="N439" s="564"/>
      <c r="V439" s="674"/>
      <c r="W439" s="675"/>
      <c r="AC439" s="675"/>
      <c r="AD439" s="680"/>
      <c r="AE439" s="675"/>
      <c r="AG439" s="675"/>
    </row>
    <row r="440" spans="1:33" s="536" customFormat="1" ht="22.5" x14ac:dyDescent="0.2">
      <c r="A440" s="575" t="s">
        <v>792</v>
      </c>
      <c r="B440" s="670" t="s">
        <v>8884</v>
      </c>
      <c r="C440" s="1823" t="s">
        <v>8885</v>
      </c>
      <c r="D440" s="1823"/>
      <c r="E440" s="1823"/>
      <c r="F440" s="573" t="s">
        <v>617</v>
      </c>
      <c r="G440" s="573"/>
      <c r="H440" s="573"/>
      <c r="I440" s="573" t="s">
        <v>185</v>
      </c>
      <c r="J440" s="572">
        <v>175.57</v>
      </c>
      <c r="K440" s="573"/>
      <c r="L440" s="572">
        <v>175.57</v>
      </c>
      <c r="M440" s="571"/>
      <c r="N440" s="570"/>
      <c r="V440" s="674"/>
      <c r="W440" s="675" t="s">
        <v>8885</v>
      </c>
      <c r="AC440" s="675"/>
      <c r="AD440" s="680"/>
      <c r="AE440" s="675"/>
      <c r="AG440" s="675"/>
    </row>
    <row r="441" spans="1:33" s="536" customFormat="1" ht="12" x14ac:dyDescent="0.2">
      <c r="A441" s="569"/>
      <c r="B441" s="671"/>
      <c r="C441" s="665" t="s">
        <v>717</v>
      </c>
      <c r="D441" s="666"/>
      <c r="E441" s="666"/>
      <c r="F441" s="563"/>
      <c r="G441" s="563"/>
      <c r="H441" s="563"/>
      <c r="I441" s="563"/>
      <c r="J441" s="566"/>
      <c r="K441" s="563"/>
      <c r="L441" s="566"/>
      <c r="M441" s="565"/>
      <c r="N441" s="564"/>
      <c r="V441" s="674"/>
      <c r="W441" s="675"/>
      <c r="AC441" s="675"/>
      <c r="AD441" s="680"/>
      <c r="AE441" s="675"/>
      <c r="AG441" s="675"/>
    </row>
    <row r="442" spans="1:33" s="536" customFormat="1" ht="12" x14ac:dyDescent="0.2">
      <c r="A442" s="575" t="s">
        <v>713</v>
      </c>
      <c r="B442" s="670" t="s">
        <v>4464</v>
      </c>
      <c r="C442" s="1823" t="s">
        <v>4465</v>
      </c>
      <c r="D442" s="1823"/>
      <c r="E442" s="1823"/>
      <c r="F442" s="573" t="s">
        <v>617</v>
      </c>
      <c r="G442" s="573"/>
      <c r="H442" s="573"/>
      <c r="I442" s="573" t="s">
        <v>185</v>
      </c>
      <c r="J442" s="572">
        <v>569.52</v>
      </c>
      <c r="K442" s="573"/>
      <c r="L442" s="572">
        <v>569.52</v>
      </c>
      <c r="M442" s="571"/>
      <c r="N442" s="570"/>
      <c r="V442" s="674"/>
      <c r="W442" s="675" t="s">
        <v>4465</v>
      </c>
      <c r="AC442" s="675"/>
      <c r="AD442" s="680"/>
      <c r="AE442" s="675"/>
      <c r="AG442" s="675"/>
    </row>
    <row r="443" spans="1:33" s="536" customFormat="1" ht="12" x14ac:dyDescent="0.2">
      <c r="A443" s="569"/>
      <c r="B443" s="671"/>
      <c r="C443" s="665" t="s">
        <v>717</v>
      </c>
      <c r="D443" s="666"/>
      <c r="E443" s="666"/>
      <c r="F443" s="563"/>
      <c r="G443" s="563"/>
      <c r="H443" s="563"/>
      <c r="I443" s="563"/>
      <c r="J443" s="566"/>
      <c r="K443" s="563"/>
      <c r="L443" s="566"/>
      <c r="M443" s="565"/>
      <c r="N443" s="564"/>
      <c r="V443" s="674"/>
      <c r="W443" s="675"/>
      <c r="AC443" s="675"/>
      <c r="AD443" s="680"/>
      <c r="AE443" s="675"/>
      <c r="AG443" s="675"/>
    </row>
    <row r="444" spans="1:33" s="536" customFormat="1" ht="22.5" x14ac:dyDescent="0.2">
      <c r="A444" s="575" t="s">
        <v>793</v>
      </c>
      <c r="B444" s="670" t="s">
        <v>8886</v>
      </c>
      <c r="C444" s="1823" t="s">
        <v>8887</v>
      </c>
      <c r="D444" s="1823"/>
      <c r="E444" s="1823"/>
      <c r="F444" s="573" t="s">
        <v>519</v>
      </c>
      <c r="G444" s="573"/>
      <c r="H444" s="573"/>
      <c r="I444" s="573" t="s">
        <v>8888</v>
      </c>
      <c r="J444" s="572"/>
      <c r="K444" s="573"/>
      <c r="L444" s="572"/>
      <c r="M444" s="571"/>
      <c r="N444" s="570"/>
      <c r="V444" s="674"/>
      <c r="W444" s="675" t="s">
        <v>8887</v>
      </c>
      <c r="AC444" s="675"/>
      <c r="AD444" s="680"/>
      <c r="AE444" s="675"/>
      <c r="AG444" s="675"/>
    </row>
    <row r="445" spans="1:33" s="536" customFormat="1" ht="12" x14ac:dyDescent="0.2">
      <c r="A445" s="676"/>
      <c r="B445" s="664"/>
      <c r="C445" s="1822" t="s">
        <v>8889</v>
      </c>
      <c r="D445" s="1822"/>
      <c r="E445" s="1822"/>
      <c r="F445" s="1822"/>
      <c r="G445" s="1822"/>
      <c r="H445" s="1822"/>
      <c r="I445" s="1822"/>
      <c r="J445" s="1822"/>
      <c r="K445" s="1822"/>
      <c r="L445" s="1822"/>
      <c r="M445" s="1822"/>
      <c r="N445" s="1827"/>
      <c r="V445" s="674"/>
      <c r="W445" s="675"/>
      <c r="X445" s="537" t="s">
        <v>8889</v>
      </c>
      <c r="AC445" s="675"/>
      <c r="AD445" s="680"/>
      <c r="AE445" s="675"/>
      <c r="AG445" s="675"/>
    </row>
    <row r="446" spans="1:33" s="536" customFormat="1" ht="22.5" x14ac:dyDescent="0.2">
      <c r="A446" s="609"/>
      <c r="B446" s="552" t="s">
        <v>499</v>
      </c>
      <c r="C446" s="1822" t="s">
        <v>500</v>
      </c>
      <c r="D446" s="1822"/>
      <c r="E446" s="1822"/>
      <c r="F446" s="1822"/>
      <c r="G446" s="1822"/>
      <c r="H446" s="1822"/>
      <c r="I446" s="1822"/>
      <c r="J446" s="1822"/>
      <c r="K446" s="1822"/>
      <c r="L446" s="1822"/>
      <c r="M446" s="1822"/>
      <c r="N446" s="1827"/>
      <c r="V446" s="674"/>
      <c r="W446" s="675"/>
      <c r="Y446" s="537" t="s">
        <v>500</v>
      </c>
      <c r="AC446" s="675"/>
      <c r="AD446" s="680"/>
      <c r="AE446" s="675"/>
      <c r="AG446" s="675"/>
    </row>
    <row r="447" spans="1:33" s="536" customFormat="1" ht="12" x14ac:dyDescent="0.2">
      <c r="A447" s="605"/>
      <c r="B447" s="552" t="s">
        <v>185</v>
      </c>
      <c r="C447" s="1822" t="s">
        <v>312</v>
      </c>
      <c r="D447" s="1822"/>
      <c r="E447" s="1822"/>
      <c r="F447" s="562"/>
      <c r="G447" s="562"/>
      <c r="H447" s="562"/>
      <c r="I447" s="562"/>
      <c r="J447" s="604">
        <v>1928.98</v>
      </c>
      <c r="K447" s="562" t="s">
        <v>313</v>
      </c>
      <c r="L447" s="604">
        <v>10.85</v>
      </c>
      <c r="M447" s="603"/>
      <c r="N447" s="602"/>
      <c r="V447" s="674"/>
      <c r="W447" s="675"/>
      <c r="Z447" s="537" t="s">
        <v>312</v>
      </c>
      <c r="AC447" s="675"/>
      <c r="AD447" s="680"/>
      <c r="AE447" s="675"/>
      <c r="AG447" s="675"/>
    </row>
    <row r="448" spans="1:33" s="536" customFormat="1" ht="12" x14ac:dyDescent="0.2">
      <c r="A448" s="605"/>
      <c r="B448" s="552" t="s">
        <v>186</v>
      </c>
      <c r="C448" s="1822" t="s">
        <v>344</v>
      </c>
      <c r="D448" s="1822"/>
      <c r="E448" s="1822"/>
      <c r="F448" s="562"/>
      <c r="G448" s="562"/>
      <c r="H448" s="562"/>
      <c r="I448" s="562"/>
      <c r="J448" s="604">
        <v>2559.4299999999998</v>
      </c>
      <c r="K448" s="562" t="s">
        <v>313</v>
      </c>
      <c r="L448" s="604">
        <v>14.4</v>
      </c>
      <c r="M448" s="603"/>
      <c r="N448" s="602"/>
      <c r="V448" s="674"/>
      <c r="W448" s="675"/>
      <c r="Z448" s="537" t="s">
        <v>344</v>
      </c>
      <c r="AC448" s="675"/>
      <c r="AD448" s="680"/>
      <c r="AE448" s="675"/>
      <c r="AG448" s="675"/>
    </row>
    <row r="449" spans="1:33" s="536" customFormat="1" ht="12" x14ac:dyDescent="0.2">
      <c r="A449" s="605"/>
      <c r="B449" s="552" t="s">
        <v>187</v>
      </c>
      <c r="C449" s="1822" t="s">
        <v>345</v>
      </c>
      <c r="D449" s="1822"/>
      <c r="E449" s="1822"/>
      <c r="F449" s="562"/>
      <c r="G449" s="562"/>
      <c r="H449" s="562"/>
      <c r="I449" s="562"/>
      <c r="J449" s="604">
        <v>324.37</v>
      </c>
      <c r="K449" s="562" t="s">
        <v>313</v>
      </c>
      <c r="L449" s="604">
        <v>1.82</v>
      </c>
      <c r="M449" s="603"/>
      <c r="N449" s="602"/>
      <c r="V449" s="674"/>
      <c r="W449" s="675"/>
      <c r="Z449" s="537" t="s">
        <v>345</v>
      </c>
      <c r="AC449" s="675"/>
      <c r="AD449" s="680"/>
      <c r="AE449" s="675"/>
      <c r="AG449" s="675"/>
    </row>
    <row r="450" spans="1:33" s="536" customFormat="1" ht="12" x14ac:dyDescent="0.2">
      <c r="A450" s="605"/>
      <c r="B450" s="552" t="s">
        <v>188</v>
      </c>
      <c r="C450" s="1822" t="s">
        <v>475</v>
      </c>
      <c r="D450" s="1822"/>
      <c r="E450" s="1822"/>
      <c r="F450" s="562"/>
      <c r="G450" s="562"/>
      <c r="H450" s="562"/>
      <c r="I450" s="562"/>
      <c r="J450" s="604">
        <v>9.69</v>
      </c>
      <c r="K450" s="562"/>
      <c r="L450" s="604">
        <v>0.04</v>
      </c>
      <c r="M450" s="603"/>
      <c r="N450" s="602"/>
      <c r="V450" s="674"/>
      <c r="W450" s="675"/>
      <c r="Z450" s="537" t="s">
        <v>475</v>
      </c>
      <c r="AC450" s="675"/>
      <c r="AD450" s="680"/>
      <c r="AE450" s="675"/>
      <c r="AG450" s="675"/>
    </row>
    <row r="451" spans="1:33" s="536" customFormat="1" ht="12" x14ac:dyDescent="0.2">
      <c r="A451" s="676"/>
      <c r="B451" s="677" t="s">
        <v>2458</v>
      </c>
      <c r="C451" s="1829" t="s">
        <v>2459</v>
      </c>
      <c r="D451" s="1829"/>
      <c r="E451" s="1829"/>
      <c r="F451" s="678" t="s">
        <v>483</v>
      </c>
      <c r="G451" s="678" t="s">
        <v>4397</v>
      </c>
      <c r="H451" s="678"/>
      <c r="I451" s="678" t="s">
        <v>8890</v>
      </c>
      <c r="J451" s="552"/>
      <c r="K451" s="562"/>
      <c r="L451" s="604"/>
      <c r="M451" s="562"/>
      <c r="N451" s="679"/>
      <c r="V451" s="674"/>
      <c r="W451" s="675"/>
      <c r="AC451" s="675"/>
      <c r="AD451" s="680" t="s">
        <v>2459</v>
      </c>
      <c r="AE451" s="675"/>
      <c r="AG451" s="675"/>
    </row>
    <row r="452" spans="1:33" s="536" customFormat="1" ht="12" x14ac:dyDescent="0.2">
      <c r="A452" s="605"/>
      <c r="B452" s="552"/>
      <c r="C452" s="1822" t="s">
        <v>314</v>
      </c>
      <c r="D452" s="1822"/>
      <c r="E452" s="1822"/>
      <c r="F452" s="562" t="s">
        <v>315</v>
      </c>
      <c r="G452" s="562" t="s">
        <v>8891</v>
      </c>
      <c r="H452" s="562" t="s">
        <v>313</v>
      </c>
      <c r="I452" s="562" t="s">
        <v>8892</v>
      </c>
      <c r="J452" s="604"/>
      <c r="K452" s="562"/>
      <c r="L452" s="604"/>
      <c r="M452" s="603"/>
      <c r="N452" s="602"/>
      <c r="V452" s="674"/>
      <c r="W452" s="675"/>
      <c r="AA452" s="537" t="s">
        <v>314</v>
      </c>
      <c r="AC452" s="675"/>
      <c r="AD452" s="680"/>
      <c r="AE452" s="675"/>
      <c r="AG452" s="675"/>
    </row>
    <row r="453" spans="1:33" s="536" customFormat="1" ht="12" x14ac:dyDescent="0.2">
      <c r="A453" s="605"/>
      <c r="B453" s="552"/>
      <c r="C453" s="1822" t="s">
        <v>348</v>
      </c>
      <c r="D453" s="1822"/>
      <c r="E453" s="1822"/>
      <c r="F453" s="562" t="s">
        <v>315</v>
      </c>
      <c r="G453" s="562" t="s">
        <v>8893</v>
      </c>
      <c r="H453" s="562" t="s">
        <v>313</v>
      </c>
      <c r="I453" s="562" t="s">
        <v>8894</v>
      </c>
      <c r="J453" s="604"/>
      <c r="K453" s="562"/>
      <c r="L453" s="604"/>
      <c r="M453" s="603"/>
      <c r="N453" s="602"/>
      <c r="V453" s="674"/>
      <c r="W453" s="675"/>
      <c r="AA453" s="537" t="s">
        <v>348</v>
      </c>
      <c r="AC453" s="675"/>
      <c r="AD453" s="680"/>
      <c r="AE453" s="675"/>
      <c r="AG453" s="675"/>
    </row>
    <row r="454" spans="1:33" s="536" customFormat="1" ht="12" x14ac:dyDescent="0.2">
      <c r="A454" s="605"/>
      <c r="B454" s="552"/>
      <c r="C454" s="1828" t="s">
        <v>318</v>
      </c>
      <c r="D454" s="1828"/>
      <c r="E454" s="1828"/>
      <c r="F454" s="608"/>
      <c r="G454" s="608"/>
      <c r="H454" s="608"/>
      <c r="I454" s="608"/>
      <c r="J454" s="607">
        <v>4498.1000000000004</v>
      </c>
      <c r="K454" s="608"/>
      <c r="L454" s="607">
        <v>25.29</v>
      </c>
      <c r="M454" s="601"/>
      <c r="N454" s="606"/>
      <c r="V454" s="674"/>
      <c r="W454" s="675"/>
      <c r="AB454" s="537" t="s">
        <v>318</v>
      </c>
      <c r="AC454" s="675"/>
      <c r="AD454" s="680"/>
      <c r="AE454" s="675"/>
      <c r="AG454" s="675"/>
    </row>
    <row r="455" spans="1:33" s="536" customFormat="1" ht="12" x14ac:dyDescent="0.2">
      <c r="A455" s="605"/>
      <c r="B455" s="552"/>
      <c r="C455" s="1822" t="s">
        <v>319</v>
      </c>
      <c r="D455" s="1822"/>
      <c r="E455" s="1822"/>
      <c r="F455" s="562"/>
      <c r="G455" s="562"/>
      <c r="H455" s="562"/>
      <c r="I455" s="562"/>
      <c r="J455" s="604"/>
      <c r="K455" s="562"/>
      <c r="L455" s="604">
        <v>12.67</v>
      </c>
      <c r="M455" s="603"/>
      <c r="N455" s="602"/>
      <c r="V455" s="674"/>
      <c r="W455" s="675"/>
      <c r="AA455" s="537" t="s">
        <v>319</v>
      </c>
      <c r="AC455" s="675"/>
      <c r="AD455" s="680"/>
      <c r="AE455" s="675"/>
      <c r="AG455" s="675"/>
    </row>
    <row r="456" spans="1:33" s="536" customFormat="1" ht="33.75" x14ac:dyDescent="0.2">
      <c r="A456" s="605"/>
      <c r="B456" s="552" t="s">
        <v>533</v>
      </c>
      <c r="C456" s="1822" t="s">
        <v>534</v>
      </c>
      <c r="D456" s="1822"/>
      <c r="E456" s="1822"/>
      <c r="F456" s="562" t="s">
        <v>322</v>
      </c>
      <c r="G456" s="562" t="s">
        <v>535</v>
      </c>
      <c r="H456" s="562"/>
      <c r="I456" s="562" t="s">
        <v>535</v>
      </c>
      <c r="J456" s="604"/>
      <c r="K456" s="562"/>
      <c r="L456" s="604">
        <v>14.82</v>
      </c>
      <c r="M456" s="603"/>
      <c r="N456" s="602"/>
      <c r="V456" s="674"/>
      <c r="W456" s="675"/>
      <c r="AA456" s="537" t="s">
        <v>534</v>
      </c>
      <c r="AC456" s="675"/>
      <c r="AD456" s="680"/>
      <c r="AE456" s="675"/>
      <c r="AG456" s="675"/>
    </row>
    <row r="457" spans="1:33" s="536" customFormat="1" ht="33.75" x14ac:dyDescent="0.2">
      <c r="A457" s="605"/>
      <c r="B457" s="552" t="s">
        <v>536</v>
      </c>
      <c r="C457" s="1822" t="s">
        <v>537</v>
      </c>
      <c r="D457" s="1822"/>
      <c r="E457" s="1822"/>
      <c r="F457" s="562" t="s">
        <v>322</v>
      </c>
      <c r="G457" s="562" t="s">
        <v>538</v>
      </c>
      <c r="H457" s="562"/>
      <c r="I457" s="562" t="s">
        <v>538</v>
      </c>
      <c r="J457" s="604"/>
      <c r="K457" s="562"/>
      <c r="L457" s="604">
        <v>9.3800000000000008</v>
      </c>
      <c r="M457" s="603"/>
      <c r="N457" s="602"/>
      <c r="V457" s="674"/>
      <c r="W457" s="675"/>
      <c r="AA457" s="537" t="s">
        <v>537</v>
      </c>
      <c r="AC457" s="675"/>
      <c r="AD457" s="680"/>
      <c r="AE457" s="675"/>
      <c r="AG457" s="675"/>
    </row>
    <row r="458" spans="1:33" s="536" customFormat="1" ht="12" x14ac:dyDescent="0.2">
      <c r="A458" s="569"/>
      <c r="B458" s="671"/>
      <c r="C458" s="1823" t="s">
        <v>327</v>
      </c>
      <c r="D458" s="1823"/>
      <c r="E458" s="1823"/>
      <c r="F458" s="573"/>
      <c r="G458" s="573"/>
      <c r="H458" s="573"/>
      <c r="I458" s="573"/>
      <c r="J458" s="572"/>
      <c r="K458" s="573"/>
      <c r="L458" s="572">
        <v>49.49</v>
      </c>
      <c r="M458" s="601"/>
      <c r="N458" s="570"/>
      <c r="V458" s="674"/>
      <c r="W458" s="675"/>
      <c r="AC458" s="675" t="s">
        <v>327</v>
      </c>
      <c r="AD458" s="680"/>
      <c r="AE458" s="675"/>
      <c r="AG458" s="675"/>
    </row>
    <row r="459" spans="1:33" s="536" customFormat="1" ht="22.5" x14ac:dyDescent="0.2">
      <c r="A459" s="575" t="s">
        <v>653</v>
      </c>
      <c r="B459" s="670" t="s">
        <v>8895</v>
      </c>
      <c r="C459" s="1823" t="s">
        <v>8896</v>
      </c>
      <c r="D459" s="1823"/>
      <c r="E459" s="1823"/>
      <c r="F459" s="573" t="s">
        <v>483</v>
      </c>
      <c r="G459" s="573"/>
      <c r="H459" s="573"/>
      <c r="I459" s="573" t="s">
        <v>8897</v>
      </c>
      <c r="J459" s="572">
        <v>15.66</v>
      </c>
      <c r="K459" s="573"/>
      <c r="L459" s="572">
        <v>70.94</v>
      </c>
      <c r="M459" s="571"/>
      <c r="N459" s="570"/>
      <c r="V459" s="674"/>
      <c r="W459" s="675" t="s">
        <v>8896</v>
      </c>
      <c r="AC459" s="675"/>
      <c r="AD459" s="680"/>
      <c r="AE459" s="675"/>
      <c r="AG459" s="675"/>
    </row>
    <row r="460" spans="1:33" s="536" customFormat="1" ht="12" x14ac:dyDescent="0.2">
      <c r="A460" s="569"/>
      <c r="B460" s="671"/>
      <c r="C460" s="665" t="s">
        <v>717</v>
      </c>
      <c r="D460" s="666"/>
      <c r="E460" s="666"/>
      <c r="F460" s="563"/>
      <c r="G460" s="563"/>
      <c r="H460" s="563"/>
      <c r="I460" s="563"/>
      <c r="J460" s="566"/>
      <c r="K460" s="563"/>
      <c r="L460" s="566"/>
      <c r="M460" s="565"/>
      <c r="N460" s="564"/>
      <c r="V460" s="674"/>
      <c r="W460" s="675"/>
      <c r="AC460" s="675"/>
      <c r="AD460" s="680"/>
      <c r="AE460" s="675"/>
      <c r="AG460" s="675"/>
    </row>
    <row r="461" spans="1:33" s="536" customFormat="1" ht="22.5" x14ac:dyDescent="0.2">
      <c r="A461" s="575" t="s">
        <v>794</v>
      </c>
      <c r="B461" s="670" t="s">
        <v>8898</v>
      </c>
      <c r="C461" s="1823" t="s">
        <v>8899</v>
      </c>
      <c r="D461" s="1823"/>
      <c r="E461" s="1823"/>
      <c r="F461" s="573" t="s">
        <v>617</v>
      </c>
      <c r="G461" s="573"/>
      <c r="H461" s="573"/>
      <c r="I461" s="573" t="s">
        <v>185</v>
      </c>
      <c r="J461" s="572"/>
      <c r="K461" s="573"/>
      <c r="L461" s="572"/>
      <c r="M461" s="571"/>
      <c r="N461" s="570"/>
      <c r="V461" s="674"/>
      <c r="W461" s="675" t="s">
        <v>8899</v>
      </c>
      <c r="AC461" s="675"/>
      <c r="AD461" s="680"/>
      <c r="AE461" s="675"/>
      <c r="AG461" s="675"/>
    </row>
    <row r="462" spans="1:33" s="536" customFormat="1" ht="22.5" x14ac:dyDescent="0.2">
      <c r="A462" s="609"/>
      <c r="B462" s="552" t="s">
        <v>499</v>
      </c>
      <c r="C462" s="1822" t="s">
        <v>500</v>
      </c>
      <c r="D462" s="1822"/>
      <c r="E462" s="1822"/>
      <c r="F462" s="1822"/>
      <c r="G462" s="1822"/>
      <c r="H462" s="1822"/>
      <c r="I462" s="1822"/>
      <c r="J462" s="1822"/>
      <c r="K462" s="1822"/>
      <c r="L462" s="1822"/>
      <c r="M462" s="1822"/>
      <c r="N462" s="1827"/>
      <c r="V462" s="674"/>
      <c r="W462" s="675"/>
      <c r="Y462" s="537" t="s">
        <v>500</v>
      </c>
      <c r="AC462" s="675"/>
      <c r="AD462" s="680"/>
      <c r="AE462" s="675"/>
      <c r="AG462" s="675"/>
    </row>
    <row r="463" spans="1:33" s="536" customFormat="1" ht="12" x14ac:dyDescent="0.2">
      <c r="A463" s="605"/>
      <c r="B463" s="552" t="s">
        <v>185</v>
      </c>
      <c r="C463" s="1822" t="s">
        <v>312</v>
      </c>
      <c r="D463" s="1822"/>
      <c r="E463" s="1822"/>
      <c r="F463" s="562"/>
      <c r="G463" s="562"/>
      <c r="H463" s="562"/>
      <c r="I463" s="562"/>
      <c r="J463" s="604">
        <v>3.55</v>
      </c>
      <c r="K463" s="562" t="s">
        <v>313</v>
      </c>
      <c r="L463" s="604">
        <v>4.4400000000000004</v>
      </c>
      <c r="M463" s="603"/>
      <c r="N463" s="602"/>
      <c r="V463" s="674"/>
      <c r="W463" s="675"/>
      <c r="Z463" s="537" t="s">
        <v>312</v>
      </c>
      <c r="AC463" s="675"/>
      <c r="AD463" s="680"/>
      <c r="AE463" s="675"/>
      <c r="AG463" s="675"/>
    </row>
    <row r="464" spans="1:33" s="536" customFormat="1" ht="12" x14ac:dyDescent="0.2">
      <c r="A464" s="605"/>
      <c r="B464" s="552" t="s">
        <v>186</v>
      </c>
      <c r="C464" s="1822" t="s">
        <v>344</v>
      </c>
      <c r="D464" s="1822"/>
      <c r="E464" s="1822"/>
      <c r="F464" s="562"/>
      <c r="G464" s="562"/>
      <c r="H464" s="562"/>
      <c r="I464" s="562"/>
      <c r="J464" s="604">
        <v>24.11</v>
      </c>
      <c r="K464" s="562" t="s">
        <v>313</v>
      </c>
      <c r="L464" s="604">
        <v>30.14</v>
      </c>
      <c r="M464" s="603"/>
      <c r="N464" s="602"/>
      <c r="V464" s="674"/>
      <c r="W464" s="675"/>
      <c r="Z464" s="537" t="s">
        <v>344</v>
      </c>
      <c r="AC464" s="675"/>
      <c r="AD464" s="680"/>
      <c r="AE464" s="675"/>
      <c r="AG464" s="675"/>
    </row>
    <row r="465" spans="1:33" s="536" customFormat="1" ht="12" x14ac:dyDescent="0.2">
      <c r="A465" s="605"/>
      <c r="B465" s="552" t="s">
        <v>187</v>
      </c>
      <c r="C465" s="1822" t="s">
        <v>345</v>
      </c>
      <c r="D465" s="1822"/>
      <c r="E465" s="1822"/>
      <c r="F465" s="562"/>
      <c r="G465" s="562"/>
      <c r="H465" s="562"/>
      <c r="I465" s="562"/>
      <c r="J465" s="604">
        <v>2.4300000000000002</v>
      </c>
      <c r="K465" s="562" t="s">
        <v>313</v>
      </c>
      <c r="L465" s="604">
        <v>3.04</v>
      </c>
      <c r="M465" s="603"/>
      <c r="N465" s="602"/>
      <c r="V465" s="674"/>
      <c r="W465" s="675"/>
      <c r="Z465" s="537" t="s">
        <v>345</v>
      </c>
      <c r="AC465" s="675"/>
      <c r="AD465" s="680"/>
      <c r="AE465" s="675"/>
      <c r="AG465" s="675"/>
    </row>
    <row r="466" spans="1:33" s="536" customFormat="1" ht="12" x14ac:dyDescent="0.2">
      <c r="A466" s="605"/>
      <c r="B466" s="552" t="s">
        <v>188</v>
      </c>
      <c r="C466" s="1822" t="s">
        <v>475</v>
      </c>
      <c r="D466" s="1822"/>
      <c r="E466" s="1822"/>
      <c r="F466" s="562"/>
      <c r="G466" s="562"/>
      <c r="H466" s="562"/>
      <c r="I466" s="562"/>
      <c r="J466" s="604">
        <v>1.03</v>
      </c>
      <c r="K466" s="562"/>
      <c r="L466" s="604">
        <v>1.03</v>
      </c>
      <c r="M466" s="603"/>
      <c r="N466" s="602"/>
      <c r="V466" s="674"/>
      <c r="W466" s="675"/>
      <c r="Z466" s="537" t="s">
        <v>475</v>
      </c>
      <c r="AC466" s="675"/>
      <c r="AD466" s="680"/>
      <c r="AE466" s="675"/>
      <c r="AG466" s="675"/>
    </row>
    <row r="467" spans="1:33" s="536" customFormat="1" ht="12" x14ac:dyDescent="0.2">
      <c r="A467" s="676"/>
      <c r="B467" s="677" t="s">
        <v>4355</v>
      </c>
      <c r="C467" s="1829" t="s">
        <v>4356</v>
      </c>
      <c r="D467" s="1829"/>
      <c r="E467" s="1829"/>
      <c r="F467" s="678" t="s">
        <v>617</v>
      </c>
      <c r="G467" s="678" t="s">
        <v>185</v>
      </c>
      <c r="H467" s="678"/>
      <c r="I467" s="678" t="s">
        <v>185</v>
      </c>
      <c r="J467" s="552"/>
      <c r="K467" s="562"/>
      <c r="L467" s="604"/>
      <c r="M467" s="562"/>
      <c r="N467" s="679"/>
      <c r="V467" s="674"/>
      <c r="W467" s="675"/>
      <c r="AC467" s="675"/>
      <c r="AD467" s="680" t="s">
        <v>4356</v>
      </c>
      <c r="AE467" s="675"/>
      <c r="AG467" s="675"/>
    </row>
    <row r="468" spans="1:33" s="536" customFormat="1" ht="12" x14ac:dyDescent="0.2">
      <c r="A468" s="605"/>
      <c r="B468" s="552"/>
      <c r="C468" s="1822" t="s">
        <v>314</v>
      </c>
      <c r="D468" s="1822"/>
      <c r="E468" s="1822"/>
      <c r="F468" s="562" t="s">
        <v>315</v>
      </c>
      <c r="G468" s="562" t="s">
        <v>2344</v>
      </c>
      <c r="H468" s="562" t="s">
        <v>313</v>
      </c>
      <c r="I468" s="562" t="s">
        <v>947</v>
      </c>
      <c r="J468" s="604"/>
      <c r="K468" s="562"/>
      <c r="L468" s="604"/>
      <c r="M468" s="603"/>
      <c r="N468" s="602"/>
      <c r="V468" s="674"/>
      <c r="W468" s="675"/>
      <c r="AA468" s="537" t="s">
        <v>314</v>
      </c>
      <c r="AC468" s="675"/>
      <c r="AD468" s="680"/>
      <c r="AE468" s="675"/>
      <c r="AG468" s="675"/>
    </row>
    <row r="469" spans="1:33" s="536" customFormat="1" ht="12" x14ac:dyDescent="0.2">
      <c r="A469" s="605"/>
      <c r="B469" s="552"/>
      <c r="C469" s="1822" t="s">
        <v>348</v>
      </c>
      <c r="D469" s="1822"/>
      <c r="E469" s="1822"/>
      <c r="F469" s="562" t="s">
        <v>315</v>
      </c>
      <c r="G469" s="562" t="s">
        <v>1200</v>
      </c>
      <c r="H469" s="562" t="s">
        <v>313</v>
      </c>
      <c r="I469" s="562" t="s">
        <v>3081</v>
      </c>
      <c r="J469" s="604"/>
      <c r="K469" s="562"/>
      <c r="L469" s="604"/>
      <c r="M469" s="603"/>
      <c r="N469" s="602"/>
      <c r="V469" s="674"/>
      <c r="W469" s="675"/>
      <c r="AA469" s="537" t="s">
        <v>348</v>
      </c>
      <c r="AC469" s="675"/>
      <c r="AD469" s="680"/>
      <c r="AE469" s="675"/>
      <c r="AG469" s="675"/>
    </row>
    <row r="470" spans="1:33" s="536" customFormat="1" ht="12" x14ac:dyDescent="0.2">
      <c r="A470" s="605"/>
      <c r="B470" s="552"/>
      <c r="C470" s="1828" t="s">
        <v>318</v>
      </c>
      <c r="D470" s="1828"/>
      <c r="E470" s="1828"/>
      <c r="F470" s="608"/>
      <c r="G470" s="608"/>
      <c r="H470" s="608"/>
      <c r="I470" s="608"/>
      <c r="J470" s="607">
        <v>28.69</v>
      </c>
      <c r="K470" s="608"/>
      <c r="L470" s="607">
        <v>35.61</v>
      </c>
      <c r="M470" s="601"/>
      <c r="N470" s="606"/>
      <c r="V470" s="674"/>
      <c r="W470" s="675"/>
      <c r="AB470" s="537" t="s">
        <v>318</v>
      </c>
      <c r="AC470" s="675"/>
      <c r="AD470" s="680"/>
      <c r="AE470" s="675"/>
      <c r="AG470" s="675"/>
    </row>
    <row r="471" spans="1:33" s="536" customFormat="1" ht="12" x14ac:dyDescent="0.2">
      <c r="A471" s="605"/>
      <c r="B471" s="552"/>
      <c r="C471" s="1822" t="s">
        <v>319</v>
      </c>
      <c r="D471" s="1822"/>
      <c r="E471" s="1822"/>
      <c r="F471" s="562"/>
      <c r="G471" s="562"/>
      <c r="H471" s="562"/>
      <c r="I471" s="562"/>
      <c r="J471" s="604"/>
      <c r="K471" s="562"/>
      <c r="L471" s="604">
        <v>7.48</v>
      </c>
      <c r="M471" s="603"/>
      <c r="N471" s="602"/>
      <c r="V471" s="674"/>
      <c r="W471" s="675"/>
      <c r="AA471" s="537" t="s">
        <v>319</v>
      </c>
      <c r="AC471" s="675"/>
      <c r="AD471" s="680"/>
      <c r="AE471" s="675"/>
      <c r="AG471" s="675"/>
    </row>
    <row r="472" spans="1:33" s="536" customFormat="1" ht="33.75" x14ac:dyDescent="0.2">
      <c r="A472" s="605"/>
      <c r="B472" s="552" t="s">
        <v>533</v>
      </c>
      <c r="C472" s="1822" t="s">
        <v>534</v>
      </c>
      <c r="D472" s="1822"/>
      <c r="E472" s="1822"/>
      <c r="F472" s="562" t="s">
        <v>322</v>
      </c>
      <c r="G472" s="562" t="s">
        <v>535</v>
      </c>
      <c r="H472" s="562"/>
      <c r="I472" s="562" t="s">
        <v>535</v>
      </c>
      <c r="J472" s="604"/>
      <c r="K472" s="562"/>
      <c r="L472" s="604">
        <v>8.75</v>
      </c>
      <c r="M472" s="603"/>
      <c r="N472" s="602"/>
      <c r="V472" s="674"/>
      <c r="W472" s="675"/>
      <c r="AA472" s="537" t="s">
        <v>534</v>
      </c>
      <c r="AC472" s="675"/>
      <c r="AD472" s="680"/>
      <c r="AE472" s="675"/>
      <c r="AG472" s="675"/>
    </row>
    <row r="473" spans="1:33" s="536" customFormat="1" ht="33.75" x14ac:dyDescent="0.2">
      <c r="A473" s="605"/>
      <c r="B473" s="552" t="s">
        <v>536</v>
      </c>
      <c r="C473" s="1822" t="s">
        <v>537</v>
      </c>
      <c r="D473" s="1822"/>
      <c r="E473" s="1822"/>
      <c r="F473" s="562" t="s">
        <v>322</v>
      </c>
      <c r="G473" s="562" t="s">
        <v>538</v>
      </c>
      <c r="H473" s="562"/>
      <c r="I473" s="562" t="s">
        <v>538</v>
      </c>
      <c r="J473" s="604"/>
      <c r="K473" s="562"/>
      <c r="L473" s="604">
        <v>5.54</v>
      </c>
      <c r="M473" s="603"/>
      <c r="N473" s="602"/>
      <c r="V473" s="674"/>
      <c r="W473" s="675"/>
      <c r="AA473" s="537" t="s">
        <v>537</v>
      </c>
      <c r="AC473" s="675"/>
      <c r="AD473" s="680"/>
      <c r="AE473" s="675"/>
      <c r="AG473" s="675"/>
    </row>
    <row r="474" spans="1:33" s="536" customFormat="1" ht="12" x14ac:dyDescent="0.2">
      <c r="A474" s="569"/>
      <c r="B474" s="671"/>
      <c r="C474" s="1823" t="s">
        <v>327</v>
      </c>
      <c r="D474" s="1823"/>
      <c r="E474" s="1823"/>
      <c r="F474" s="573"/>
      <c r="G474" s="573"/>
      <c r="H474" s="573"/>
      <c r="I474" s="573"/>
      <c r="J474" s="572"/>
      <c r="K474" s="573"/>
      <c r="L474" s="572">
        <v>49.9</v>
      </c>
      <c r="M474" s="601"/>
      <c r="N474" s="570"/>
      <c r="V474" s="674"/>
      <c r="W474" s="675"/>
      <c r="AC474" s="675" t="s">
        <v>327</v>
      </c>
      <c r="AD474" s="680"/>
      <c r="AE474" s="675"/>
      <c r="AG474" s="675"/>
    </row>
    <row r="475" spans="1:33" s="536" customFormat="1" ht="45" x14ac:dyDescent="0.2">
      <c r="A475" s="575" t="s">
        <v>2347</v>
      </c>
      <c r="B475" s="670" t="s">
        <v>8900</v>
      </c>
      <c r="C475" s="1823" t="s">
        <v>8901</v>
      </c>
      <c r="D475" s="1823"/>
      <c r="E475" s="1823"/>
      <c r="F475" s="573" t="s">
        <v>617</v>
      </c>
      <c r="G475" s="573"/>
      <c r="H475" s="573"/>
      <c r="I475" s="573" t="s">
        <v>185</v>
      </c>
      <c r="J475" s="572">
        <v>28</v>
      </c>
      <c r="K475" s="573"/>
      <c r="L475" s="572">
        <v>28</v>
      </c>
      <c r="M475" s="571"/>
      <c r="N475" s="570"/>
      <c r="V475" s="674"/>
      <c r="W475" s="675" t="s">
        <v>8901</v>
      </c>
      <c r="AC475" s="675"/>
      <c r="AD475" s="680"/>
      <c r="AE475" s="675"/>
      <c r="AG475" s="675"/>
    </row>
    <row r="476" spans="1:33" s="536" customFormat="1" ht="12" x14ac:dyDescent="0.2">
      <c r="A476" s="569"/>
      <c r="B476" s="671"/>
      <c r="C476" s="665" t="s">
        <v>717</v>
      </c>
      <c r="D476" s="666"/>
      <c r="E476" s="666"/>
      <c r="F476" s="563"/>
      <c r="G476" s="563"/>
      <c r="H476" s="563"/>
      <c r="I476" s="563"/>
      <c r="J476" s="566"/>
      <c r="K476" s="563"/>
      <c r="L476" s="566"/>
      <c r="M476" s="565"/>
      <c r="N476" s="564"/>
      <c r="V476" s="674"/>
      <c r="W476" s="675"/>
      <c r="AC476" s="675"/>
      <c r="AD476" s="680"/>
      <c r="AE476" s="675"/>
      <c r="AG476" s="675"/>
    </row>
    <row r="477" spans="1:33" s="536" customFormat="1" ht="67.5" x14ac:dyDescent="0.2">
      <c r="A477" s="575" t="s">
        <v>796</v>
      </c>
      <c r="B477" s="670" t="s">
        <v>8902</v>
      </c>
      <c r="C477" s="1823" t="s">
        <v>8903</v>
      </c>
      <c r="D477" s="1823"/>
      <c r="E477" s="1823"/>
      <c r="F477" s="573" t="s">
        <v>617</v>
      </c>
      <c r="G477" s="573"/>
      <c r="H477" s="573"/>
      <c r="I477" s="573" t="s">
        <v>185</v>
      </c>
      <c r="J477" s="572">
        <v>10.61</v>
      </c>
      <c r="K477" s="573"/>
      <c r="L477" s="572">
        <v>10.61</v>
      </c>
      <c r="M477" s="571"/>
      <c r="N477" s="570"/>
      <c r="V477" s="674"/>
      <c r="W477" s="675" t="s">
        <v>8903</v>
      </c>
      <c r="AC477" s="675"/>
      <c r="AD477" s="680"/>
      <c r="AE477" s="675"/>
      <c r="AG477" s="675"/>
    </row>
    <row r="478" spans="1:33" s="536" customFormat="1" ht="12" x14ac:dyDescent="0.2">
      <c r="A478" s="569"/>
      <c r="B478" s="671"/>
      <c r="C478" s="665" t="s">
        <v>717</v>
      </c>
      <c r="D478" s="666"/>
      <c r="E478" s="666"/>
      <c r="F478" s="563"/>
      <c r="G478" s="563"/>
      <c r="H478" s="563"/>
      <c r="I478" s="563"/>
      <c r="J478" s="566"/>
      <c r="K478" s="563"/>
      <c r="L478" s="566"/>
      <c r="M478" s="565"/>
      <c r="N478" s="564"/>
      <c r="V478" s="674"/>
      <c r="W478" s="675"/>
      <c r="AC478" s="675"/>
      <c r="AD478" s="680"/>
      <c r="AE478" s="675"/>
      <c r="AG478" s="675"/>
    </row>
    <row r="479" spans="1:33" s="536" customFormat="1" ht="12" x14ac:dyDescent="0.2">
      <c r="A479" s="575" t="s">
        <v>797</v>
      </c>
      <c r="B479" s="670" t="s">
        <v>4466</v>
      </c>
      <c r="C479" s="1823" t="s">
        <v>4467</v>
      </c>
      <c r="D479" s="1823"/>
      <c r="E479" s="1823"/>
      <c r="F479" s="573" t="s">
        <v>617</v>
      </c>
      <c r="G479" s="573"/>
      <c r="H479" s="573"/>
      <c r="I479" s="573" t="s">
        <v>190</v>
      </c>
      <c r="J479" s="572"/>
      <c r="K479" s="573"/>
      <c r="L479" s="572"/>
      <c r="M479" s="571"/>
      <c r="N479" s="570"/>
      <c r="V479" s="674"/>
      <c r="W479" s="675" t="s">
        <v>4467</v>
      </c>
      <c r="AC479" s="675"/>
      <c r="AD479" s="680"/>
      <c r="AE479" s="675"/>
      <c r="AG479" s="675"/>
    </row>
    <row r="480" spans="1:33" s="536" customFormat="1" ht="22.5" x14ac:dyDescent="0.2">
      <c r="A480" s="609"/>
      <c r="B480" s="552" t="s">
        <v>499</v>
      </c>
      <c r="C480" s="1822" t="s">
        <v>500</v>
      </c>
      <c r="D480" s="1822"/>
      <c r="E480" s="1822"/>
      <c r="F480" s="1822"/>
      <c r="G480" s="1822"/>
      <c r="H480" s="1822"/>
      <c r="I480" s="1822"/>
      <c r="J480" s="1822"/>
      <c r="K480" s="1822"/>
      <c r="L480" s="1822"/>
      <c r="M480" s="1822"/>
      <c r="N480" s="1827"/>
      <c r="V480" s="674"/>
      <c r="W480" s="675"/>
      <c r="Y480" s="537" t="s">
        <v>500</v>
      </c>
      <c r="AC480" s="675"/>
      <c r="AD480" s="680"/>
      <c r="AE480" s="675"/>
      <c r="AG480" s="675"/>
    </row>
    <row r="481" spans="1:33" s="536" customFormat="1" ht="12" x14ac:dyDescent="0.2">
      <c r="A481" s="605"/>
      <c r="B481" s="552" t="s">
        <v>185</v>
      </c>
      <c r="C481" s="1822" t="s">
        <v>312</v>
      </c>
      <c r="D481" s="1822"/>
      <c r="E481" s="1822"/>
      <c r="F481" s="562"/>
      <c r="G481" s="562"/>
      <c r="H481" s="562"/>
      <c r="I481" s="562"/>
      <c r="J481" s="604">
        <v>15.52</v>
      </c>
      <c r="K481" s="562" t="s">
        <v>313</v>
      </c>
      <c r="L481" s="604">
        <v>116.4</v>
      </c>
      <c r="M481" s="603"/>
      <c r="N481" s="602"/>
      <c r="V481" s="674"/>
      <c r="W481" s="675"/>
      <c r="Z481" s="537" t="s">
        <v>312</v>
      </c>
      <c r="AC481" s="675"/>
      <c r="AD481" s="680"/>
      <c r="AE481" s="675"/>
      <c r="AG481" s="675"/>
    </row>
    <row r="482" spans="1:33" s="536" customFormat="1" ht="12" x14ac:dyDescent="0.2">
      <c r="A482" s="605"/>
      <c r="B482" s="552" t="s">
        <v>186</v>
      </c>
      <c r="C482" s="1822" t="s">
        <v>344</v>
      </c>
      <c r="D482" s="1822"/>
      <c r="E482" s="1822"/>
      <c r="F482" s="562"/>
      <c r="G482" s="562"/>
      <c r="H482" s="562"/>
      <c r="I482" s="562"/>
      <c r="J482" s="604">
        <v>4.28</v>
      </c>
      <c r="K482" s="562" t="s">
        <v>313</v>
      </c>
      <c r="L482" s="604">
        <v>32.1</v>
      </c>
      <c r="M482" s="603"/>
      <c r="N482" s="602"/>
      <c r="V482" s="674"/>
      <c r="W482" s="675"/>
      <c r="Z482" s="537" t="s">
        <v>344</v>
      </c>
      <c r="AC482" s="675"/>
      <c r="AD482" s="680"/>
      <c r="AE482" s="675"/>
      <c r="AG482" s="675"/>
    </row>
    <row r="483" spans="1:33" s="536" customFormat="1" ht="12" x14ac:dyDescent="0.2">
      <c r="A483" s="605"/>
      <c r="B483" s="552" t="s">
        <v>187</v>
      </c>
      <c r="C483" s="1822" t="s">
        <v>345</v>
      </c>
      <c r="D483" s="1822"/>
      <c r="E483" s="1822"/>
      <c r="F483" s="562"/>
      <c r="G483" s="562"/>
      <c r="H483" s="562"/>
      <c r="I483" s="562"/>
      <c r="J483" s="604">
        <v>0.62</v>
      </c>
      <c r="K483" s="562" t="s">
        <v>313</v>
      </c>
      <c r="L483" s="604">
        <v>4.6500000000000004</v>
      </c>
      <c r="M483" s="603"/>
      <c r="N483" s="602"/>
      <c r="V483" s="674"/>
      <c r="W483" s="675"/>
      <c r="Z483" s="537" t="s">
        <v>345</v>
      </c>
      <c r="AC483" s="675"/>
      <c r="AD483" s="680"/>
      <c r="AE483" s="675"/>
      <c r="AG483" s="675"/>
    </row>
    <row r="484" spans="1:33" s="536" customFormat="1" ht="12" x14ac:dyDescent="0.2">
      <c r="A484" s="605"/>
      <c r="B484" s="552" t="s">
        <v>188</v>
      </c>
      <c r="C484" s="1822" t="s">
        <v>475</v>
      </c>
      <c r="D484" s="1822"/>
      <c r="E484" s="1822"/>
      <c r="F484" s="562"/>
      <c r="G484" s="562"/>
      <c r="H484" s="562"/>
      <c r="I484" s="562"/>
      <c r="J484" s="604">
        <v>1191.31</v>
      </c>
      <c r="K484" s="562"/>
      <c r="L484" s="604">
        <v>257.45999999999998</v>
      </c>
      <c r="M484" s="603"/>
      <c r="N484" s="602"/>
      <c r="V484" s="674"/>
      <c r="W484" s="675"/>
      <c r="Z484" s="537" t="s">
        <v>475</v>
      </c>
      <c r="AC484" s="675"/>
      <c r="AD484" s="680"/>
      <c r="AE484" s="675"/>
      <c r="AG484" s="675"/>
    </row>
    <row r="485" spans="1:33" s="536" customFormat="1" ht="12" x14ac:dyDescent="0.2">
      <c r="A485" s="605"/>
      <c r="B485" s="552"/>
      <c r="C485" s="1822" t="s">
        <v>314</v>
      </c>
      <c r="D485" s="1822"/>
      <c r="E485" s="1822"/>
      <c r="F485" s="562" t="s">
        <v>315</v>
      </c>
      <c r="G485" s="562" t="s">
        <v>4468</v>
      </c>
      <c r="H485" s="562" t="s">
        <v>313</v>
      </c>
      <c r="I485" s="562" t="s">
        <v>4469</v>
      </c>
      <c r="J485" s="604"/>
      <c r="K485" s="562"/>
      <c r="L485" s="604"/>
      <c r="M485" s="603"/>
      <c r="N485" s="602"/>
      <c r="V485" s="674"/>
      <c r="W485" s="675"/>
      <c r="AA485" s="537" t="s">
        <v>314</v>
      </c>
      <c r="AC485" s="675"/>
      <c r="AD485" s="680"/>
      <c r="AE485" s="675"/>
      <c r="AG485" s="675"/>
    </row>
    <row r="486" spans="1:33" s="536" customFormat="1" ht="12" x14ac:dyDescent="0.2">
      <c r="A486" s="605"/>
      <c r="B486" s="552"/>
      <c r="C486" s="1822" t="s">
        <v>348</v>
      </c>
      <c r="D486" s="1822"/>
      <c r="E486" s="1822"/>
      <c r="F486" s="562" t="s">
        <v>315</v>
      </c>
      <c r="G486" s="562" t="s">
        <v>856</v>
      </c>
      <c r="H486" s="562" t="s">
        <v>313</v>
      </c>
      <c r="I486" s="562" t="s">
        <v>642</v>
      </c>
      <c r="J486" s="604"/>
      <c r="K486" s="562"/>
      <c r="L486" s="604"/>
      <c r="M486" s="603"/>
      <c r="N486" s="602"/>
      <c r="V486" s="674"/>
      <c r="W486" s="675"/>
      <c r="AA486" s="537" t="s">
        <v>348</v>
      </c>
      <c r="AC486" s="675"/>
      <c r="AD486" s="680"/>
      <c r="AE486" s="675"/>
      <c r="AG486" s="675"/>
    </row>
    <row r="487" spans="1:33" s="536" customFormat="1" ht="12" x14ac:dyDescent="0.2">
      <c r="A487" s="605"/>
      <c r="B487" s="552"/>
      <c r="C487" s="1828" t="s">
        <v>318</v>
      </c>
      <c r="D487" s="1828"/>
      <c r="E487" s="1828"/>
      <c r="F487" s="608"/>
      <c r="G487" s="608"/>
      <c r="H487" s="608"/>
      <c r="I487" s="608"/>
      <c r="J487" s="607">
        <v>62.71</v>
      </c>
      <c r="K487" s="608"/>
      <c r="L487" s="607">
        <v>405.96</v>
      </c>
      <c r="M487" s="601"/>
      <c r="N487" s="606"/>
      <c r="V487" s="674"/>
      <c r="W487" s="675"/>
      <c r="AB487" s="537" t="s">
        <v>318</v>
      </c>
      <c r="AC487" s="675"/>
      <c r="AD487" s="680"/>
      <c r="AE487" s="675"/>
      <c r="AG487" s="675"/>
    </row>
    <row r="488" spans="1:33" s="536" customFormat="1" ht="12" x14ac:dyDescent="0.2">
      <c r="A488" s="605"/>
      <c r="B488" s="552"/>
      <c r="C488" s="1822" t="s">
        <v>319</v>
      </c>
      <c r="D488" s="1822"/>
      <c r="E488" s="1822"/>
      <c r="F488" s="562"/>
      <c r="G488" s="562"/>
      <c r="H488" s="562"/>
      <c r="I488" s="562"/>
      <c r="J488" s="604"/>
      <c r="K488" s="562"/>
      <c r="L488" s="604">
        <v>121.05</v>
      </c>
      <c r="M488" s="603"/>
      <c r="N488" s="602"/>
      <c r="V488" s="674"/>
      <c r="W488" s="675"/>
      <c r="AA488" s="537" t="s">
        <v>319</v>
      </c>
      <c r="AC488" s="675"/>
      <c r="AD488" s="680"/>
      <c r="AE488" s="675"/>
      <c r="AG488" s="675"/>
    </row>
    <row r="489" spans="1:33" s="536" customFormat="1" ht="33.75" x14ac:dyDescent="0.2">
      <c r="A489" s="605"/>
      <c r="B489" s="552" t="s">
        <v>533</v>
      </c>
      <c r="C489" s="1822" t="s">
        <v>534</v>
      </c>
      <c r="D489" s="1822"/>
      <c r="E489" s="1822"/>
      <c r="F489" s="562" t="s">
        <v>322</v>
      </c>
      <c r="G489" s="562" t="s">
        <v>535</v>
      </c>
      <c r="H489" s="562"/>
      <c r="I489" s="562" t="s">
        <v>535</v>
      </c>
      <c r="J489" s="604"/>
      <c r="K489" s="562"/>
      <c r="L489" s="604">
        <v>141.63</v>
      </c>
      <c r="M489" s="603"/>
      <c r="N489" s="602"/>
      <c r="V489" s="674"/>
      <c r="W489" s="675"/>
      <c r="AA489" s="537" t="s">
        <v>534</v>
      </c>
      <c r="AC489" s="675"/>
      <c r="AD489" s="680"/>
      <c r="AE489" s="675"/>
      <c r="AG489" s="675"/>
    </row>
    <row r="490" spans="1:33" s="536" customFormat="1" ht="33.75" x14ac:dyDescent="0.2">
      <c r="A490" s="605"/>
      <c r="B490" s="552" t="s">
        <v>536</v>
      </c>
      <c r="C490" s="1822" t="s">
        <v>537</v>
      </c>
      <c r="D490" s="1822"/>
      <c r="E490" s="1822"/>
      <c r="F490" s="562" t="s">
        <v>322</v>
      </c>
      <c r="G490" s="562" t="s">
        <v>538</v>
      </c>
      <c r="H490" s="562"/>
      <c r="I490" s="562" t="s">
        <v>538</v>
      </c>
      <c r="J490" s="604"/>
      <c r="K490" s="562"/>
      <c r="L490" s="604">
        <v>89.58</v>
      </c>
      <c r="M490" s="603"/>
      <c r="N490" s="602"/>
      <c r="V490" s="674"/>
      <c r="W490" s="675"/>
      <c r="AA490" s="537" t="s">
        <v>537</v>
      </c>
      <c r="AC490" s="675"/>
      <c r="AD490" s="680"/>
      <c r="AE490" s="675"/>
      <c r="AG490" s="675"/>
    </row>
    <row r="491" spans="1:33" s="536" customFormat="1" ht="12" x14ac:dyDescent="0.2">
      <c r="A491" s="569"/>
      <c r="B491" s="671"/>
      <c r="C491" s="1823" t="s">
        <v>327</v>
      </c>
      <c r="D491" s="1823"/>
      <c r="E491" s="1823"/>
      <c r="F491" s="573"/>
      <c r="G491" s="573"/>
      <c r="H491" s="573"/>
      <c r="I491" s="573"/>
      <c r="J491" s="572"/>
      <c r="K491" s="573"/>
      <c r="L491" s="572">
        <v>637.16999999999996</v>
      </c>
      <c r="M491" s="601"/>
      <c r="N491" s="570"/>
      <c r="V491" s="674"/>
      <c r="W491" s="675"/>
      <c r="AC491" s="675" t="s">
        <v>327</v>
      </c>
      <c r="AD491" s="680"/>
      <c r="AE491" s="675"/>
      <c r="AG491" s="675"/>
    </row>
    <row r="492" spans="1:33" s="536" customFormat="1" ht="45" x14ac:dyDescent="0.2">
      <c r="A492" s="575" t="s">
        <v>798</v>
      </c>
      <c r="B492" s="670" t="s">
        <v>4470</v>
      </c>
      <c r="C492" s="1823" t="s">
        <v>4471</v>
      </c>
      <c r="D492" s="1823"/>
      <c r="E492" s="1823"/>
      <c r="F492" s="573" t="s">
        <v>617</v>
      </c>
      <c r="G492" s="573"/>
      <c r="H492" s="573"/>
      <c r="I492" s="573" t="s">
        <v>190</v>
      </c>
      <c r="J492" s="572">
        <v>1995.92</v>
      </c>
      <c r="K492" s="573"/>
      <c r="L492" s="572">
        <v>11975.52</v>
      </c>
      <c r="M492" s="571"/>
      <c r="N492" s="570"/>
      <c r="V492" s="674"/>
      <c r="W492" s="675" t="s">
        <v>4471</v>
      </c>
      <c r="AC492" s="675"/>
      <c r="AD492" s="680"/>
      <c r="AE492" s="675"/>
      <c r="AG492" s="675"/>
    </row>
    <row r="493" spans="1:33" s="536" customFormat="1" ht="12" x14ac:dyDescent="0.2">
      <c r="A493" s="569"/>
      <c r="B493" s="671"/>
      <c r="C493" s="665" t="s">
        <v>717</v>
      </c>
      <c r="D493" s="666"/>
      <c r="E493" s="666"/>
      <c r="F493" s="563"/>
      <c r="G493" s="563"/>
      <c r="H493" s="563"/>
      <c r="I493" s="563"/>
      <c r="J493" s="566"/>
      <c r="K493" s="563"/>
      <c r="L493" s="566"/>
      <c r="M493" s="565"/>
      <c r="N493" s="564"/>
      <c r="V493" s="674"/>
      <c r="W493" s="675"/>
      <c r="AC493" s="675"/>
      <c r="AD493" s="680"/>
      <c r="AE493" s="675"/>
      <c r="AG493" s="675"/>
    </row>
    <row r="494" spans="1:33" s="536" customFormat="1" ht="12" x14ac:dyDescent="0.2">
      <c r="A494" s="575" t="s">
        <v>2349</v>
      </c>
      <c r="B494" s="670" t="s">
        <v>4472</v>
      </c>
      <c r="C494" s="1823" t="s">
        <v>4473</v>
      </c>
      <c r="D494" s="1823"/>
      <c r="E494" s="1823"/>
      <c r="F494" s="573" t="s">
        <v>617</v>
      </c>
      <c r="G494" s="573"/>
      <c r="H494" s="573"/>
      <c r="I494" s="573" t="s">
        <v>185</v>
      </c>
      <c r="J494" s="572"/>
      <c r="K494" s="573"/>
      <c r="L494" s="572"/>
      <c r="M494" s="571"/>
      <c r="N494" s="570"/>
      <c r="V494" s="674"/>
      <c r="W494" s="675" t="s">
        <v>4473</v>
      </c>
      <c r="AC494" s="675"/>
      <c r="AD494" s="680"/>
      <c r="AE494" s="675"/>
      <c r="AG494" s="675"/>
    </row>
    <row r="495" spans="1:33" s="536" customFormat="1" ht="22.5" x14ac:dyDescent="0.2">
      <c r="A495" s="609"/>
      <c r="B495" s="552" t="s">
        <v>499</v>
      </c>
      <c r="C495" s="1822" t="s">
        <v>500</v>
      </c>
      <c r="D495" s="1822"/>
      <c r="E495" s="1822"/>
      <c r="F495" s="1822"/>
      <c r="G495" s="1822"/>
      <c r="H495" s="1822"/>
      <c r="I495" s="1822"/>
      <c r="J495" s="1822"/>
      <c r="K495" s="1822"/>
      <c r="L495" s="1822"/>
      <c r="M495" s="1822"/>
      <c r="N495" s="1827"/>
      <c r="V495" s="674"/>
      <c r="W495" s="675"/>
      <c r="Y495" s="537" t="s">
        <v>500</v>
      </c>
      <c r="AC495" s="675"/>
      <c r="AD495" s="680"/>
      <c r="AE495" s="675"/>
      <c r="AG495" s="675"/>
    </row>
    <row r="496" spans="1:33" s="536" customFormat="1" ht="12" x14ac:dyDescent="0.2">
      <c r="A496" s="605"/>
      <c r="B496" s="552" t="s">
        <v>185</v>
      </c>
      <c r="C496" s="1822" t="s">
        <v>312</v>
      </c>
      <c r="D496" s="1822"/>
      <c r="E496" s="1822"/>
      <c r="F496" s="562"/>
      <c r="G496" s="562"/>
      <c r="H496" s="562"/>
      <c r="I496" s="562"/>
      <c r="J496" s="604">
        <v>14.69</v>
      </c>
      <c r="K496" s="562" t="s">
        <v>313</v>
      </c>
      <c r="L496" s="604">
        <v>18.36</v>
      </c>
      <c r="M496" s="603"/>
      <c r="N496" s="602"/>
      <c r="V496" s="674"/>
      <c r="W496" s="675"/>
      <c r="Z496" s="537" t="s">
        <v>312</v>
      </c>
      <c r="AC496" s="675"/>
      <c r="AD496" s="680"/>
      <c r="AE496" s="675"/>
      <c r="AG496" s="675"/>
    </row>
    <row r="497" spans="1:33" s="536" customFormat="1" ht="12" x14ac:dyDescent="0.2">
      <c r="A497" s="605"/>
      <c r="B497" s="552" t="s">
        <v>186</v>
      </c>
      <c r="C497" s="1822" t="s">
        <v>344</v>
      </c>
      <c r="D497" s="1822"/>
      <c r="E497" s="1822"/>
      <c r="F497" s="562"/>
      <c r="G497" s="562"/>
      <c r="H497" s="562"/>
      <c r="I497" s="562"/>
      <c r="J497" s="604">
        <v>1.31</v>
      </c>
      <c r="K497" s="562" t="s">
        <v>313</v>
      </c>
      <c r="L497" s="604">
        <v>1.64</v>
      </c>
      <c r="M497" s="603"/>
      <c r="N497" s="602"/>
      <c r="V497" s="674"/>
      <c r="W497" s="675"/>
      <c r="Z497" s="537" t="s">
        <v>344</v>
      </c>
      <c r="AC497" s="675"/>
      <c r="AD497" s="680"/>
      <c r="AE497" s="675"/>
      <c r="AG497" s="675"/>
    </row>
    <row r="498" spans="1:33" s="536" customFormat="1" ht="12" x14ac:dyDescent="0.2">
      <c r="A498" s="605"/>
      <c r="B498" s="552" t="s">
        <v>187</v>
      </c>
      <c r="C498" s="1822" t="s">
        <v>345</v>
      </c>
      <c r="D498" s="1822"/>
      <c r="E498" s="1822"/>
      <c r="F498" s="562"/>
      <c r="G498" s="562"/>
      <c r="H498" s="562"/>
      <c r="I498" s="562"/>
      <c r="J498" s="604">
        <v>0.23</v>
      </c>
      <c r="K498" s="562" t="s">
        <v>313</v>
      </c>
      <c r="L498" s="604">
        <v>0.28999999999999998</v>
      </c>
      <c r="M498" s="603"/>
      <c r="N498" s="602"/>
      <c r="V498" s="674"/>
      <c r="W498" s="675"/>
      <c r="Z498" s="537" t="s">
        <v>345</v>
      </c>
      <c r="AC498" s="675"/>
      <c r="AD498" s="680"/>
      <c r="AE498" s="675"/>
      <c r="AG498" s="675"/>
    </row>
    <row r="499" spans="1:33" s="536" customFormat="1" ht="12" x14ac:dyDescent="0.2">
      <c r="A499" s="605"/>
      <c r="B499" s="552" t="s">
        <v>188</v>
      </c>
      <c r="C499" s="1822" t="s">
        <v>475</v>
      </c>
      <c r="D499" s="1822"/>
      <c r="E499" s="1822"/>
      <c r="F499" s="562"/>
      <c r="G499" s="562"/>
      <c r="H499" s="562"/>
      <c r="I499" s="562"/>
      <c r="J499" s="604">
        <v>16.66</v>
      </c>
      <c r="K499" s="562"/>
      <c r="L499" s="604">
        <v>16.66</v>
      </c>
      <c r="M499" s="603"/>
      <c r="N499" s="602"/>
      <c r="V499" s="674"/>
      <c r="W499" s="675"/>
      <c r="Z499" s="537" t="s">
        <v>475</v>
      </c>
      <c r="AC499" s="675"/>
      <c r="AD499" s="680"/>
      <c r="AE499" s="675"/>
      <c r="AG499" s="675"/>
    </row>
    <row r="500" spans="1:33" s="536" customFormat="1" ht="12" x14ac:dyDescent="0.2">
      <c r="A500" s="676"/>
      <c r="B500" s="677" t="s">
        <v>4474</v>
      </c>
      <c r="C500" s="1829" t="s">
        <v>4475</v>
      </c>
      <c r="D500" s="1829"/>
      <c r="E500" s="1829"/>
      <c r="F500" s="678" t="s">
        <v>638</v>
      </c>
      <c r="G500" s="678" t="s">
        <v>185</v>
      </c>
      <c r="H500" s="678"/>
      <c r="I500" s="678" t="s">
        <v>185</v>
      </c>
      <c r="J500" s="552"/>
      <c r="K500" s="562"/>
      <c r="L500" s="604"/>
      <c r="M500" s="562"/>
      <c r="N500" s="679"/>
      <c r="V500" s="674"/>
      <c r="W500" s="675"/>
      <c r="AC500" s="675"/>
      <c r="AD500" s="680" t="s">
        <v>4475</v>
      </c>
      <c r="AE500" s="675"/>
      <c r="AG500" s="675"/>
    </row>
    <row r="501" spans="1:33" s="536" customFormat="1" ht="12" x14ac:dyDescent="0.2">
      <c r="A501" s="605"/>
      <c r="B501" s="552"/>
      <c r="C501" s="1822" t="s">
        <v>314</v>
      </c>
      <c r="D501" s="1822"/>
      <c r="E501" s="1822"/>
      <c r="F501" s="562" t="s">
        <v>315</v>
      </c>
      <c r="G501" s="562" t="s">
        <v>4476</v>
      </c>
      <c r="H501" s="562" t="s">
        <v>313</v>
      </c>
      <c r="I501" s="562" t="s">
        <v>4477</v>
      </c>
      <c r="J501" s="604"/>
      <c r="K501" s="562"/>
      <c r="L501" s="604"/>
      <c r="M501" s="603"/>
      <c r="N501" s="602"/>
      <c r="V501" s="674"/>
      <c r="W501" s="675"/>
      <c r="AA501" s="537" t="s">
        <v>314</v>
      </c>
      <c r="AC501" s="675"/>
      <c r="AD501" s="680"/>
      <c r="AE501" s="675"/>
      <c r="AG501" s="675"/>
    </row>
    <row r="502" spans="1:33" s="536" customFormat="1" ht="12" x14ac:dyDescent="0.2">
      <c r="A502" s="605"/>
      <c r="B502" s="552"/>
      <c r="C502" s="1822" t="s">
        <v>348</v>
      </c>
      <c r="D502" s="1822"/>
      <c r="E502" s="1822"/>
      <c r="F502" s="562" t="s">
        <v>315</v>
      </c>
      <c r="G502" s="562" t="s">
        <v>695</v>
      </c>
      <c r="H502" s="562" t="s">
        <v>313</v>
      </c>
      <c r="I502" s="562" t="s">
        <v>2258</v>
      </c>
      <c r="J502" s="604"/>
      <c r="K502" s="562"/>
      <c r="L502" s="604"/>
      <c r="M502" s="603"/>
      <c r="N502" s="602"/>
      <c r="V502" s="674"/>
      <c r="W502" s="675"/>
      <c r="AA502" s="537" t="s">
        <v>348</v>
      </c>
      <c r="AC502" s="675"/>
      <c r="AD502" s="680"/>
      <c r="AE502" s="675"/>
      <c r="AG502" s="675"/>
    </row>
    <row r="503" spans="1:33" s="536" customFormat="1" ht="12" x14ac:dyDescent="0.2">
      <c r="A503" s="605"/>
      <c r="B503" s="552"/>
      <c r="C503" s="1828" t="s">
        <v>318</v>
      </c>
      <c r="D503" s="1828"/>
      <c r="E503" s="1828"/>
      <c r="F503" s="608"/>
      <c r="G503" s="608"/>
      <c r="H503" s="608"/>
      <c r="I503" s="608"/>
      <c r="J503" s="607">
        <v>32.659999999999997</v>
      </c>
      <c r="K503" s="608"/>
      <c r="L503" s="607">
        <v>36.659999999999997</v>
      </c>
      <c r="M503" s="601"/>
      <c r="N503" s="606"/>
      <c r="V503" s="674"/>
      <c r="W503" s="675"/>
      <c r="AB503" s="537" t="s">
        <v>318</v>
      </c>
      <c r="AC503" s="675"/>
      <c r="AD503" s="680"/>
      <c r="AE503" s="675"/>
      <c r="AG503" s="675"/>
    </row>
    <row r="504" spans="1:33" s="536" customFormat="1" ht="12" x14ac:dyDescent="0.2">
      <c r="A504" s="605"/>
      <c r="B504" s="552"/>
      <c r="C504" s="1822" t="s">
        <v>319</v>
      </c>
      <c r="D504" s="1822"/>
      <c r="E504" s="1822"/>
      <c r="F504" s="562"/>
      <c r="G504" s="562"/>
      <c r="H504" s="562"/>
      <c r="I504" s="562"/>
      <c r="J504" s="604"/>
      <c r="K504" s="562"/>
      <c r="L504" s="604">
        <v>18.649999999999999</v>
      </c>
      <c r="M504" s="603"/>
      <c r="N504" s="602"/>
      <c r="V504" s="674"/>
      <c r="W504" s="675"/>
      <c r="AA504" s="537" t="s">
        <v>319</v>
      </c>
      <c r="AC504" s="675"/>
      <c r="AD504" s="680"/>
      <c r="AE504" s="675"/>
      <c r="AG504" s="675"/>
    </row>
    <row r="505" spans="1:33" s="536" customFormat="1" ht="33.75" x14ac:dyDescent="0.2">
      <c r="A505" s="605"/>
      <c r="B505" s="552" t="s">
        <v>533</v>
      </c>
      <c r="C505" s="1822" t="s">
        <v>534</v>
      </c>
      <c r="D505" s="1822"/>
      <c r="E505" s="1822"/>
      <c r="F505" s="562" t="s">
        <v>322</v>
      </c>
      <c r="G505" s="562" t="s">
        <v>535</v>
      </c>
      <c r="H505" s="562"/>
      <c r="I505" s="562" t="s">
        <v>535</v>
      </c>
      <c r="J505" s="604"/>
      <c r="K505" s="562"/>
      <c r="L505" s="604">
        <v>21.82</v>
      </c>
      <c r="M505" s="603"/>
      <c r="N505" s="602"/>
      <c r="V505" s="674"/>
      <c r="W505" s="675"/>
      <c r="AA505" s="537" t="s">
        <v>534</v>
      </c>
      <c r="AC505" s="675"/>
      <c r="AD505" s="680"/>
      <c r="AE505" s="675"/>
      <c r="AG505" s="675"/>
    </row>
    <row r="506" spans="1:33" s="536" customFormat="1" ht="33.75" x14ac:dyDescent="0.2">
      <c r="A506" s="605"/>
      <c r="B506" s="552" t="s">
        <v>536</v>
      </c>
      <c r="C506" s="1822" t="s">
        <v>537</v>
      </c>
      <c r="D506" s="1822"/>
      <c r="E506" s="1822"/>
      <c r="F506" s="562" t="s">
        <v>322</v>
      </c>
      <c r="G506" s="562" t="s">
        <v>538</v>
      </c>
      <c r="H506" s="562"/>
      <c r="I506" s="562" t="s">
        <v>538</v>
      </c>
      <c r="J506" s="604"/>
      <c r="K506" s="562"/>
      <c r="L506" s="604">
        <v>13.8</v>
      </c>
      <c r="M506" s="603"/>
      <c r="N506" s="602"/>
      <c r="V506" s="674"/>
      <c r="W506" s="675"/>
      <c r="AA506" s="537" t="s">
        <v>537</v>
      </c>
      <c r="AC506" s="675"/>
      <c r="AD506" s="680"/>
      <c r="AE506" s="675"/>
      <c r="AG506" s="675"/>
    </row>
    <row r="507" spans="1:33" s="536" customFormat="1" ht="12" x14ac:dyDescent="0.2">
      <c r="A507" s="569"/>
      <c r="B507" s="671"/>
      <c r="C507" s="1823" t="s">
        <v>327</v>
      </c>
      <c r="D507" s="1823"/>
      <c r="E507" s="1823"/>
      <c r="F507" s="573"/>
      <c r="G507" s="573"/>
      <c r="H507" s="573"/>
      <c r="I507" s="573"/>
      <c r="J507" s="572"/>
      <c r="K507" s="573"/>
      <c r="L507" s="572">
        <v>72.28</v>
      </c>
      <c r="M507" s="601"/>
      <c r="N507" s="570"/>
      <c r="V507" s="674"/>
      <c r="W507" s="675"/>
      <c r="AC507" s="675" t="s">
        <v>327</v>
      </c>
      <c r="AD507" s="680"/>
      <c r="AE507" s="675"/>
      <c r="AG507" s="675"/>
    </row>
    <row r="508" spans="1:33" s="536" customFormat="1" ht="45" x14ac:dyDescent="0.2">
      <c r="A508" s="575" t="s">
        <v>2037</v>
      </c>
      <c r="B508" s="670" t="s">
        <v>4478</v>
      </c>
      <c r="C508" s="1823" t="s">
        <v>4479</v>
      </c>
      <c r="D508" s="1823"/>
      <c r="E508" s="1823"/>
      <c r="F508" s="573" t="s">
        <v>638</v>
      </c>
      <c r="G508" s="573"/>
      <c r="H508" s="573"/>
      <c r="I508" s="573" t="s">
        <v>185</v>
      </c>
      <c r="J508" s="572">
        <v>554.4</v>
      </c>
      <c r="K508" s="573"/>
      <c r="L508" s="572">
        <v>554.4</v>
      </c>
      <c r="M508" s="571"/>
      <c r="N508" s="570"/>
      <c r="V508" s="674"/>
      <c r="W508" s="675" t="s">
        <v>4479</v>
      </c>
      <c r="AC508" s="675"/>
      <c r="AD508" s="680"/>
      <c r="AE508" s="675"/>
      <c r="AG508" s="675"/>
    </row>
    <row r="509" spans="1:33" s="536" customFormat="1" ht="12" x14ac:dyDescent="0.2">
      <c r="A509" s="569"/>
      <c r="B509" s="671"/>
      <c r="C509" s="665" t="s">
        <v>717</v>
      </c>
      <c r="D509" s="666"/>
      <c r="E509" s="666"/>
      <c r="F509" s="563"/>
      <c r="G509" s="563"/>
      <c r="H509" s="563"/>
      <c r="I509" s="563"/>
      <c r="J509" s="566"/>
      <c r="K509" s="563"/>
      <c r="L509" s="566"/>
      <c r="M509" s="565"/>
      <c r="N509" s="564"/>
      <c r="V509" s="674"/>
      <c r="W509" s="675"/>
      <c r="AC509" s="675"/>
      <c r="AD509" s="680"/>
      <c r="AE509" s="675"/>
      <c r="AG509" s="675"/>
    </row>
    <row r="510" spans="1:33" s="536" customFormat="1" ht="22.5" x14ac:dyDescent="0.2">
      <c r="A510" s="575" t="s">
        <v>804</v>
      </c>
      <c r="B510" s="670" t="s">
        <v>8904</v>
      </c>
      <c r="C510" s="1823" t="s">
        <v>8905</v>
      </c>
      <c r="D510" s="1823"/>
      <c r="E510" s="1823"/>
      <c r="F510" s="573" t="s">
        <v>617</v>
      </c>
      <c r="G510" s="573"/>
      <c r="H510" s="573"/>
      <c r="I510" s="573" t="s">
        <v>185</v>
      </c>
      <c r="J510" s="572"/>
      <c r="K510" s="573"/>
      <c r="L510" s="572"/>
      <c r="M510" s="571"/>
      <c r="N510" s="570"/>
      <c r="V510" s="674"/>
      <c r="W510" s="675" t="s">
        <v>8905</v>
      </c>
      <c r="AC510" s="675"/>
      <c r="AD510" s="680"/>
      <c r="AE510" s="675"/>
      <c r="AG510" s="675"/>
    </row>
    <row r="511" spans="1:33" s="536" customFormat="1" ht="22.5" x14ac:dyDescent="0.2">
      <c r="A511" s="609"/>
      <c r="B511" s="552" t="s">
        <v>499</v>
      </c>
      <c r="C511" s="1822" t="s">
        <v>500</v>
      </c>
      <c r="D511" s="1822"/>
      <c r="E511" s="1822"/>
      <c r="F511" s="1822"/>
      <c r="G511" s="1822"/>
      <c r="H511" s="1822"/>
      <c r="I511" s="1822"/>
      <c r="J511" s="1822"/>
      <c r="K511" s="1822"/>
      <c r="L511" s="1822"/>
      <c r="M511" s="1822"/>
      <c r="N511" s="1827"/>
      <c r="V511" s="674"/>
      <c r="W511" s="675"/>
      <c r="Y511" s="537" t="s">
        <v>500</v>
      </c>
      <c r="AC511" s="675"/>
      <c r="AD511" s="680"/>
      <c r="AE511" s="675"/>
      <c r="AG511" s="675"/>
    </row>
    <row r="512" spans="1:33" s="536" customFormat="1" ht="12" x14ac:dyDescent="0.2">
      <c r="A512" s="605"/>
      <c r="B512" s="552" t="s">
        <v>185</v>
      </c>
      <c r="C512" s="1822" t="s">
        <v>312</v>
      </c>
      <c r="D512" s="1822"/>
      <c r="E512" s="1822"/>
      <c r="F512" s="562"/>
      <c r="G512" s="562"/>
      <c r="H512" s="562"/>
      <c r="I512" s="562"/>
      <c r="J512" s="604">
        <v>48.56</v>
      </c>
      <c r="K512" s="562" t="s">
        <v>313</v>
      </c>
      <c r="L512" s="604">
        <v>60.7</v>
      </c>
      <c r="M512" s="603"/>
      <c r="N512" s="602"/>
      <c r="V512" s="674"/>
      <c r="W512" s="675"/>
      <c r="Z512" s="537" t="s">
        <v>312</v>
      </c>
      <c r="AC512" s="675"/>
      <c r="AD512" s="680"/>
      <c r="AE512" s="675"/>
      <c r="AG512" s="675"/>
    </row>
    <row r="513" spans="1:33" s="536" customFormat="1" ht="12" x14ac:dyDescent="0.2">
      <c r="A513" s="605"/>
      <c r="B513" s="552" t="s">
        <v>186</v>
      </c>
      <c r="C513" s="1822" t="s">
        <v>344</v>
      </c>
      <c r="D513" s="1822"/>
      <c r="E513" s="1822"/>
      <c r="F513" s="562"/>
      <c r="G513" s="562"/>
      <c r="H513" s="562"/>
      <c r="I513" s="562"/>
      <c r="J513" s="604">
        <v>139.99</v>
      </c>
      <c r="K513" s="562" t="s">
        <v>313</v>
      </c>
      <c r="L513" s="604">
        <v>174.99</v>
      </c>
      <c r="M513" s="603"/>
      <c r="N513" s="602"/>
      <c r="V513" s="674"/>
      <c r="W513" s="675"/>
      <c r="Z513" s="537" t="s">
        <v>344</v>
      </c>
      <c r="AC513" s="675"/>
      <c r="AD513" s="680"/>
      <c r="AE513" s="675"/>
      <c r="AG513" s="675"/>
    </row>
    <row r="514" spans="1:33" s="536" customFormat="1" ht="12" x14ac:dyDescent="0.2">
      <c r="A514" s="605"/>
      <c r="B514" s="552" t="s">
        <v>187</v>
      </c>
      <c r="C514" s="1822" t="s">
        <v>345</v>
      </c>
      <c r="D514" s="1822"/>
      <c r="E514" s="1822"/>
      <c r="F514" s="562"/>
      <c r="G514" s="562"/>
      <c r="H514" s="562"/>
      <c r="I514" s="562"/>
      <c r="J514" s="604">
        <v>14.82</v>
      </c>
      <c r="K514" s="562" t="s">
        <v>313</v>
      </c>
      <c r="L514" s="604">
        <v>18.53</v>
      </c>
      <c r="M514" s="603"/>
      <c r="N514" s="602"/>
      <c r="V514" s="674"/>
      <c r="W514" s="675"/>
      <c r="Z514" s="537" t="s">
        <v>345</v>
      </c>
      <c r="AC514" s="675"/>
      <c r="AD514" s="680"/>
      <c r="AE514" s="675"/>
      <c r="AG514" s="675"/>
    </row>
    <row r="515" spans="1:33" s="536" customFormat="1" ht="12" x14ac:dyDescent="0.2">
      <c r="A515" s="605"/>
      <c r="B515" s="552" t="s">
        <v>188</v>
      </c>
      <c r="C515" s="1822" t="s">
        <v>475</v>
      </c>
      <c r="D515" s="1822"/>
      <c r="E515" s="1822"/>
      <c r="F515" s="562"/>
      <c r="G515" s="562"/>
      <c r="H515" s="562"/>
      <c r="I515" s="562"/>
      <c r="J515" s="604">
        <v>51.68</v>
      </c>
      <c r="K515" s="562"/>
      <c r="L515" s="604">
        <v>51.68</v>
      </c>
      <c r="M515" s="603"/>
      <c r="N515" s="602"/>
      <c r="V515" s="674"/>
      <c r="W515" s="675"/>
      <c r="Z515" s="537" t="s">
        <v>475</v>
      </c>
      <c r="AC515" s="675"/>
      <c r="AD515" s="680"/>
      <c r="AE515" s="675"/>
      <c r="AG515" s="675"/>
    </row>
    <row r="516" spans="1:33" s="536" customFormat="1" ht="22.5" x14ac:dyDescent="0.2">
      <c r="A516" s="676"/>
      <c r="B516" s="677" t="s">
        <v>2643</v>
      </c>
      <c r="C516" s="1829" t="s">
        <v>4482</v>
      </c>
      <c r="D516" s="1829"/>
      <c r="E516" s="1829"/>
      <c r="F516" s="678" t="s">
        <v>617</v>
      </c>
      <c r="G516" s="678" t="s">
        <v>185</v>
      </c>
      <c r="H516" s="678"/>
      <c r="I516" s="678" t="s">
        <v>185</v>
      </c>
      <c r="J516" s="552"/>
      <c r="K516" s="562"/>
      <c r="L516" s="604"/>
      <c r="M516" s="562"/>
      <c r="N516" s="679"/>
      <c r="V516" s="674"/>
      <c r="W516" s="675"/>
      <c r="AC516" s="675"/>
      <c r="AD516" s="680" t="s">
        <v>4482</v>
      </c>
      <c r="AE516" s="675"/>
      <c r="AG516" s="675"/>
    </row>
    <row r="517" spans="1:33" s="536" customFormat="1" ht="12" x14ac:dyDescent="0.2">
      <c r="A517" s="605"/>
      <c r="B517" s="552"/>
      <c r="C517" s="1822" t="s">
        <v>314</v>
      </c>
      <c r="D517" s="1822"/>
      <c r="E517" s="1822"/>
      <c r="F517" s="562" t="s">
        <v>315</v>
      </c>
      <c r="G517" s="562" t="s">
        <v>8906</v>
      </c>
      <c r="H517" s="562" t="s">
        <v>313</v>
      </c>
      <c r="I517" s="562" t="s">
        <v>8907</v>
      </c>
      <c r="J517" s="604"/>
      <c r="K517" s="562"/>
      <c r="L517" s="604"/>
      <c r="M517" s="603"/>
      <c r="N517" s="602"/>
      <c r="V517" s="674"/>
      <c r="W517" s="675"/>
      <c r="AA517" s="537" t="s">
        <v>314</v>
      </c>
      <c r="AC517" s="675"/>
      <c r="AD517" s="680"/>
      <c r="AE517" s="675"/>
      <c r="AG517" s="675"/>
    </row>
    <row r="518" spans="1:33" s="536" customFormat="1" ht="12" x14ac:dyDescent="0.2">
      <c r="A518" s="605"/>
      <c r="B518" s="552"/>
      <c r="C518" s="1822" t="s">
        <v>348</v>
      </c>
      <c r="D518" s="1822"/>
      <c r="E518" s="1822"/>
      <c r="F518" s="562" t="s">
        <v>315</v>
      </c>
      <c r="G518" s="562" t="s">
        <v>3784</v>
      </c>
      <c r="H518" s="562" t="s">
        <v>313</v>
      </c>
      <c r="I518" s="562" t="s">
        <v>4009</v>
      </c>
      <c r="J518" s="604"/>
      <c r="K518" s="562"/>
      <c r="L518" s="604"/>
      <c r="M518" s="603"/>
      <c r="N518" s="602"/>
      <c r="V518" s="674"/>
      <c r="W518" s="675"/>
      <c r="AA518" s="537" t="s">
        <v>348</v>
      </c>
      <c r="AC518" s="675"/>
      <c r="AD518" s="680"/>
      <c r="AE518" s="675"/>
      <c r="AG518" s="675"/>
    </row>
    <row r="519" spans="1:33" s="536" customFormat="1" ht="12" x14ac:dyDescent="0.2">
      <c r="A519" s="605"/>
      <c r="B519" s="552"/>
      <c r="C519" s="1828" t="s">
        <v>318</v>
      </c>
      <c r="D519" s="1828"/>
      <c r="E519" s="1828"/>
      <c r="F519" s="608"/>
      <c r="G519" s="608"/>
      <c r="H519" s="608"/>
      <c r="I519" s="608"/>
      <c r="J519" s="607">
        <v>240.23</v>
      </c>
      <c r="K519" s="608"/>
      <c r="L519" s="607">
        <v>287.37</v>
      </c>
      <c r="M519" s="601"/>
      <c r="N519" s="606"/>
      <c r="V519" s="674"/>
      <c r="W519" s="675"/>
      <c r="AB519" s="537" t="s">
        <v>318</v>
      </c>
      <c r="AC519" s="675"/>
      <c r="AD519" s="680"/>
      <c r="AE519" s="675"/>
      <c r="AG519" s="675"/>
    </row>
    <row r="520" spans="1:33" s="536" customFormat="1" ht="12" x14ac:dyDescent="0.2">
      <c r="A520" s="605"/>
      <c r="B520" s="552"/>
      <c r="C520" s="1822" t="s">
        <v>319</v>
      </c>
      <c r="D520" s="1822"/>
      <c r="E520" s="1822"/>
      <c r="F520" s="562"/>
      <c r="G520" s="562"/>
      <c r="H520" s="562"/>
      <c r="I520" s="562"/>
      <c r="J520" s="604"/>
      <c r="K520" s="562"/>
      <c r="L520" s="604">
        <v>79.23</v>
      </c>
      <c r="M520" s="603"/>
      <c r="N520" s="602"/>
      <c r="V520" s="674"/>
      <c r="W520" s="675"/>
      <c r="AA520" s="537" t="s">
        <v>319</v>
      </c>
      <c r="AC520" s="675"/>
      <c r="AD520" s="680"/>
      <c r="AE520" s="675"/>
      <c r="AG520" s="675"/>
    </row>
    <row r="521" spans="1:33" s="536" customFormat="1" ht="33.75" x14ac:dyDescent="0.2">
      <c r="A521" s="605"/>
      <c r="B521" s="552" t="s">
        <v>533</v>
      </c>
      <c r="C521" s="1822" t="s">
        <v>534</v>
      </c>
      <c r="D521" s="1822"/>
      <c r="E521" s="1822"/>
      <c r="F521" s="562" t="s">
        <v>322</v>
      </c>
      <c r="G521" s="562" t="s">
        <v>535</v>
      </c>
      <c r="H521" s="562"/>
      <c r="I521" s="562" t="s">
        <v>535</v>
      </c>
      <c r="J521" s="604"/>
      <c r="K521" s="562"/>
      <c r="L521" s="604">
        <v>92.7</v>
      </c>
      <c r="M521" s="603"/>
      <c r="N521" s="602"/>
      <c r="V521" s="674"/>
      <c r="W521" s="675"/>
      <c r="AA521" s="537" t="s">
        <v>534</v>
      </c>
      <c r="AC521" s="675"/>
      <c r="AD521" s="680"/>
      <c r="AE521" s="675"/>
      <c r="AG521" s="675"/>
    </row>
    <row r="522" spans="1:33" s="536" customFormat="1" ht="33.75" x14ac:dyDescent="0.2">
      <c r="A522" s="605"/>
      <c r="B522" s="552" t="s">
        <v>536</v>
      </c>
      <c r="C522" s="1822" t="s">
        <v>537</v>
      </c>
      <c r="D522" s="1822"/>
      <c r="E522" s="1822"/>
      <c r="F522" s="562" t="s">
        <v>322</v>
      </c>
      <c r="G522" s="562" t="s">
        <v>538</v>
      </c>
      <c r="H522" s="562"/>
      <c r="I522" s="562" t="s">
        <v>538</v>
      </c>
      <c r="J522" s="604"/>
      <c r="K522" s="562"/>
      <c r="L522" s="604">
        <v>58.63</v>
      </c>
      <c r="M522" s="603"/>
      <c r="N522" s="602"/>
      <c r="V522" s="674"/>
      <c r="W522" s="675"/>
      <c r="AA522" s="537" t="s">
        <v>537</v>
      </c>
      <c r="AC522" s="675"/>
      <c r="AD522" s="680"/>
      <c r="AE522" s="675"/>
      <c r="AG522" s="675"/>
    </row>
    <row r="523" spans="1:33" s="536" customFormat="1" ht="12" x14ac:dyDescent="0.2">
      <c r="A523" s="569"/>
      <c r="B523" s="671"/>
      <c r="C523" s="1823" t="s">
        <v>327</v>
      </c>
      <c r="D523" s="1823"/>
      <c r="E523" s="1823"/>
      <c r="F523" s="573"/>
      <c r="G523" s="573"/>
      <c r="H523" s="573"/>
      <c r="I523" s="573"/>
      <c r="J523" s="572"/>
      <c r="K523" s="573"/>
      <c r="L523" s="572">
        <v>438.7</v>
      </c>
      <c r="M523" s="601"/>
      <c r="N523" s="570"/>
      <c r="V523" s="674"/>
      <c r="W523" s="675"/>
      <c r="AC523" s="675" t="s">
        <v>327</v>
      </c>
      <c r="AD523" s="680"/>
      <c r="AE523" s="675"/>
      <c r="AG523" s="675"/>
    </row>
    <row r="524" spans="1:33" s="536" customFormat="1" ht="78.75" x14ac:dyDescent="0.2">
      <c r="A524" s="575" t="s">
        <v>2352</v>
      </c>
      <c r="B524" s="670" t="s">
        <v>8908</v>
      </c>
      <c r="C524" s="1823" t="s">
        <v>8909</v>
      </c>
      <c r="D524" s="1823"/>
      <c r="E524" s="1823"/>
      <c r="F524" s="573" t="s">
        <v>617</v>
      </c>
      <c r="G524" s="573"/>
      <c r="H524" s="573"/>
      <c r="I524" s="573" t="s">
        <v>185</v>
      </c>
      <c r="J524" s="572">
        <v>8758.1200000000008</v>
      </c>
      <c r="K524" s="573"/>
      <c r="L524" s="572">
        <v>8758.1200000000008</v>
      </c>
      <c r="M524" s="571"/>
      <c r="N524" s="570"/>
      <c r="V524" s="674"/>
      <c r="W524" s="675" t="s">
        <v>8909</v>
      </c>
      <c r="AC524" s="675"/>
      <c r="AD524" s="680"/>
      <c r="AE524" s="675"/>
      <c r="AG524" s="675"/>
    </row>
    <row r="525" spans="1:33" s="536" customFormat="1" ht="12" x14ac:dyDescent="0.2">
      <c r="A525" s="569"/>
      <c r="B525" s="671"/>
      <c r="C525" s="665" t="s">
        <v>717</v>
      </c>
      <c r="D525" s="666"/>
      <c r="E525" s="666"/>
      <c r="F525" s="563"/>
      <c r="G525" s="563"/>
      <c r="H525" s="563"/>
      <c r="I525" s="563"/>
      <c r="J525" s="566"/>
      <c r="K525" s="563"/>
      <c r="L525" s="566"/>
      <c r="M525" s="565"/>
      <c r="N525" s="564"/>
      <c r="V525" s="674"/>
      <c r="W525" s="675"/>
      <c r="AC525" s="675"/>
      <c r="AD525" s="680"/>
      <c r="AE525" s="675"/>
      <c r="AG525" s="675"/>
    </row>
    <row r="526" spans="1:33" s="536" customFormat="1" ht="22.5" x14ac:dyDescent="0.2">
      <c r="A526" s="575" t="s">
        <v>897</v>
      </c>
      <c r="B526" s="670" t="s">
        <v>4480</v>
      </c>
      <c r="C526" s="1823" t="s">
        <v>4481</v>
      </c>
      <c r="D526" s="1823"/>
      <c r="E526" s="1823"/>
      <c r="F526" s="573" t="s">
        <v>617</v>
      </c>
      <c r="G526" s="573"/>
      <c r="H526" s="573"/>
      <c r="I526" s="573" t="s">
        <v>186</v>
      </c>
      <c r="J526" s="572"/>
      <c r="K526" s="573"/>
      <c r="L526" s="572"/>
      <c r="M526" s="571"/>
      <c r="N526" s="570"/>
      <c r="V526" s="674"/>
      <c r="W526" s="675" t="s">
        <v>4481</v>
      </c>
      <c r="AC526" s="675"/>
      <c r="AD526" s="680"/>
      <c r="AE526" s="675"/>
      <c r="AG526" s="675"/>
    </row>
    <row r="527" spans="1:33" s="536" customFormat="1" ht="22.5" x14ac:dyDescent="0.2">
      <c r="A527" s="609"/>
      <c r="B527" s="552" t="s">
        <v>499</v>
      </c>
      <c r="C527" s="1822" t="s">
        <v>500</v>
      </c>
      <c r="D527" s="1822"/>
      <c r="E527" s="1822"/>
      <c r="F527" s="1822"/>
      <c r="G527" s="1822"/>
      <c r="H527" s="1822"/>
      <c r="I527" s="1822"/>
      <c r="J527" s="1822"/>
      <c r="K527" s="1822"/>
      <c r="L527" s="1822"/>
      <c r="M527" s="1822"/>
      <c r="N527" s="1827"/>
      <c r="V527" s="674"/>
      <c r="W527" s="675"/>
      <c r="Y527" s="537" t="s">
        <v>500</v>
      </c>
      <c r="AC527" s="675"/>
      <c r="AD527" s="680"/>
      <c r="AE527" s="675"/>
      <c r="AG527" s="675"/>
    </row>
    <row r="528" spans="1:33" s="536" customFormat="1" ht="12" x14ac:dyDescent="0.2">
      <c r="A528" s="605"/>
      <c r="B528" s="552" t="s">
        <v>185</v>
      </c>
      <c r="C528" s="1822" t="s">
        <v>312</v>
      </c>
      <c r="D528" s="1822"/>
      <c r="E528" s="1822"/>
      <c r="F528" s="562"/>
      <c r="G528" s="562"/>
      <c r="H528" s="562"/>
      <c r="I528" s="562"/>
      <c r="J528" s="604">
        <v>17.510000000000002</v>
      </c>
      <c r="K528" s="562" t="s">
        <v>313</v>
      </c>
      <c r="L528" s="604">
        <v>43.78</v>
      </c>
      <c r="M528" s="603"/>
      <c r="N528" s="602"/>
      <c r="V528" s="674"/>
      <c r="W528" s="675"/>
      <c r="Z528" s="537" t="s">
        <v>312</v>
      </c>
      <c r="AC528" s="675"/>
      <c r="AD528" s="680"/>
      <c r="AE528" s="675"/>
      <c r="AG528" s="675"/>
    </row>
    <row r="529" spans="1:33" s="536" customFormat="1" ht="12" x14ac:dyDescent="0.2">
      <c r="A529" s="605"/>
      <c r="B529" s="552" t="s">
        <v>186</v>
      </c>
      <c r="C529" s="1822" t="s">
        <v>344</v>
      </c>
      <c r="D529" s="1822"/>
      <c r="E529" s="1822"/>
      <c r="F529" s="562"/>
      <c r="G529" s="562"/>
      <c r="H529" s="562"/>
      <c r="I529" s="562"/>
      <c r="J529" s="604">
        <v>3.94</v>
      </c>
      <c r="K529" s="562" t="s">
        <v>313</v>
      </c>
      <c r="L529" s="604">
        <v>9.85</v>
      </c>
      <c r="M529" s="603"/>
      <c r="N529" s="602"/>
      <c r="V529" s="674"/>
      <c r="W529" s="675"/>
      <c r="Z529" s="537" t="s">
        <v>344</v>
      </c>
      <c r="AC529" s="675"/>
      <c r="AD529" s="680"/>
      <c r="AE529" s="675"/>
      <c r="AG529" s="675"/>
    </row>
    <row r="530" spans="1:33" s="536" customFormat="1" ht="12" x14ac:dyDescent="0.2">
      <c r="A530" s="605"/>
      <c r="B530" s="552" t="s">
        <v>187</v>
      </c>
      <c r="C530" s="1822" t="s">
        <v>345</v>
      </c>
      <c r="D530" s="1822"/>
      <c r="E530" s="1822"/>
      <c r="F530" s="562"/>
      <c r="G530" s="562"/>
      <c r="H530" s="562"/>
      <c r="I530" s="562"/>
      <c r="J530" s="604">
        <v>0.7</v>
      </c>
      <c r="K530" s="562" t="s">
        <v>313</v>
      </c>
      <c r="L530" s="604">
        <v>1.75</v>
      </c>
      <c r="M530" s="603"/>
      <c r="N530" s="602"/>
      <c r="V530" s="674"/>
      <c r="W530" s="675"/>
      <c r="Z530" s="537" t="s">
        <v>345</v>
      </c>
      <c r="AC530" s="675"/>
      <c r="AD530" s="680"/>
      <c r="AE530" s="675"/>
      <c r="AG530" s="675"/>
    </row>
    <row r="531" spans="1:33" s="536" customFormat="1" ht="12" x14ac:dyDescent="0.2">
      <c r="A531" s="605"/>
      <c r="B531" s="552" t="s">
        <v>188</v>
      </c>
      <c r="C531" s="1822" t="s">
        <v>475</v>
      </c>
      <c r="D531" s="1822"/>
      <c r="E531" s="1822"/>
      <c r="F531" s="562"/>
      <c r="G531" s="562"/>
      <c r="H531" s="562"/>
      <c r="I531" s="562"/>
      <c r="J531" s="604">
        <v>32.14</v>
      </c>
      <c r="K531" s="562"/>
      <c r="L531" s="604">
        <v>64.28</v>
      </c>
      <c r="M531" s="603"/>
      <c r="N531" s="602"/>
      <c r="V531" s="674"/>
      <c r="W531" s="675"/>
      <c r="Z531" s="537" t="s">
        <v>475</v>
      </c>
      <c r="AC531" s="675"/>
      <c r="AD531" s="680"/>
      <c r="AE531" s="675"/>
      <c r="AG531" s="675"/>
    </row>
    <row r="532" spans="1:33" s="536" customFormat="1" ht="22.5" x14ac:dyDescent="0.2">
      <c r="A532" s="676"/>
      <c r="B532" s="677" t="s">
        <v>2643</v>
      </c>
      <c r="C532" s="1829" t="s">
        <v>4482</v>
      </c>
      <c r="D532" s="1829"/>
      <c r="E532" s="1829"/>
      <c r="F532" s="678" t="s">
        <v>617</v>
      </c>
      <c r="G532" s="678" t="s">
        <v>185</v>
      </c>
      <c r="H532" s="678"/>
      <c r="I532" s="678" t="s">
        <v>186</v>
      </c>
      <c r="J532" s="552"/>
      <c r="K532" s="562"/>
      <c r="L532" s="604"/>
      <c r="M532" s="562"/>
      <c r="N532" s="679"/>
      <c r="V532" s="674"/>
      <c r="W532" s="675"/>
      <c r="AC532" s="675"/>
      <c r="AD532" s="680" t="s">
        <v>4482</v>
      </c>
      <c r="AE532" s="675"/>
      <c r="AG532" s="675"/>
    </row>
    <row r="533" spans="1:33" s="536" customFormat="1" ht="12" x14ac:dyDescent="0.2">
      <c r="A533" s="605"/>
      <c r="B533" s="552"/>
      <c r="C533" s="1822" t="s">
        <v>314</v>
      </c>
      <c r="D533" s="1822"/>
      <c r="E533" s="1822"/>
      <c r="F533" s="562" t="s">
        <v>315</v>
      </c>
      <c r="G533" s="562" t="s">
        <v>4483</v>
      </c>
      <c r="H533" s="562" t="s">
        <v>313</v>
      </c>
      <c r="I533" s="562" t="s">
        <v>4484</v>
      </c>
      <c r="J533" s="604"/>
      <c r="K533" s="562"/>
      <c r="L533" s="604"/>
      <c r="M533" s="603"/>
      <c r="N533" s="602"/>
      <c r="V533" s="674"/>
      <c r="W533" s="675"/>
      <c r="AA533" s="537" t="s">
        <v>314</v>
      </c>
      <c r="AC533" s="675"/>
      <c r="AD533" s="680"/>
      <c r="AE533" s="675"/>
      <c r="AG533" s="675"/>
    </row>
    <row r="534" spans="1:33" s="536" customFormat="1" ht="12" x14ac:dyDescent="0.2">
      <c r="A534" s="605"/>
      <c r="B534" s="552"/>
      <c r="C534" s="1822" t="s">
        <v>348</v>
      </c>
      <c r="D534" s="1822"/>
      <c r="E534" s="1822"/>
      <c r="F534" s="562" t="s">
        <v>315</v>
      </c>
      <c r="G534" s="562" t="s">
        <v>1554</v>
      </c>
      <c r="H534" s="562" t="s">
        <v>313</v>
      </c>
      <c r="I534" s="562" t="s">
        <v>1901</v>
      </c>
      <c r="J534" s="604"/>
      <c r="K534" s="562"/>
      <c r="L534" s="604"/>
      <c r="M534" s="603"/>
      <c r="N534" s="602"/>
      <c r="V534" s="674"/>
      <c r="W534" s="675"/>
      <c r="AA534" s="537" t="s">
        <v>348</v>
      </c>
      <c r="AC534" s="675"/>
      <c r="AD534" s="680"/>
      <c r="AE534" s="675"/>
      <c r="AG534" s="675"/>
    </row>
    <row r="535" spans="1:33" s="536" customFormat="1" ht="12" x14ac:dyDescent="0.2">
      <c r="A535" s="605"/>
      <c r="B535" s="552"/>
      <c r="C535" s="1828" t="s">
        <v>318</v>
      </c>
      <c r="D535" s="1828"/>
      <c r="E535" s="1828"/>
      <c r="F535" s="608"/>
      <c r="G535" s="608"/>
      <c r="H535" s="608"/>
      <c r="I535" s="608"/>
      <c r="J535" s="607">
        <v>53.59</v>
      </c>
      <c r="K535" s="608"/>
      <c r="L535" s="607">
        <v>117.91</v>
      </c>
      <c r="M535" s="601"/>
      <c r="N535" s="606"/>
      <c r="V535" s="674"/>
      <c r="W535" s="675"/>
      <c r="AB535" s="537" t="s">
        <v>318</v>
      </c>
      <c r="AC535" s="675"/>
      <c r="AD535" s="680"/>
      <c r="AE535" s="675"/>
      <c r="AG535" s="675"/>
    </row>
    <row r="536" spans="1:33" s="536" customFormat="1" ht="12" x14ac:dyDescent="0.2">
      <c r="A536" s="605"/>
      <c r="B536" s="552"/>
      <c r="C536" s="1822" t="s">
        <v>319</v>
      </c>
      <c r="D536" s="1822"/>
      <c r="E536" s="1822"/>
      <c r="F536" s="562"/>
      <c r="G536" s="562"/>
      <c r="H536" s="562"/>
      <c r="I536" s="562"/>
      <c r="J536" s="604"/>
      <c r="K536" s="562"/>
      <c r="L536" s="604">
        <v>45.53</v>
      </c>
      <c r="M536" s="603"/>
      <c r="N536" s="602"/>
      <c r="V536" s="674"/>
      <c r="W536" s="675"/>
      <c r="AA536" s="537" t="s">
        <v>319</v>
      </c>
      <c r="AC536" s="675"/>
      <c r="AD536" s="680"/>
      <c r="AE536" s="675"/>
      <c r="AG536" s="675"/>
    </row>
    <row r="537" spans="1:33" s="536" customFormat="1" ht="33.75" x14ac:dyDescent="0.2">
      <c r="A537" s="605"/>
      <c r="B537" s="552" t="s">
        <v>533</v>
      </c>
      <c r="C537" s="1822" t="s">
        <v>534</v>
      </c>
      <c r="D537" s="1822"/>
      <c r="E537" s="1822"/>
      <c r="F537" s="562" t="s">
        <v>322</v>
      </c>
      <c r="G537" s="562" t="s">
        <v>535</v>
      </c>
      <c r="H537" s="562"/>
      <c r="I537" s="562" t="s">
        <v>535</v>
      </c>
      <c r="J537" s="604"/>
      <c r="K537" s="562"/>
      <c r="L537" s="604">
        <v>53.27</v>
      </c>
      <c r="M537" s="603"/>
      <c r="N537" s="602"/>
      <c r="V537" s="674"/>
      <c r="W537" s="675"/>
      <c r="AA537" s="537" t="s">
        <v>534</v>
      </c>
      <c r="AC537" s="675"/>
      <c r="AD537" s="680"/>
      <c r="AE537" s="675"/>
      <c r="AG537" s="675"/>
    </row>
    <row r="538" spans="1:33" s="536" customFormat="1" ht="33.75" x14ac:dyDescent="0.2">
      <c r="A538" s="605"/>
      <c r="B538" s="552" t="s">
        <v>536</v>
      </c>
      <c r="C538" s="1822" t="s">
        <v>537</v>
      </c>
      <c r="D538" s="1822"/>
      <c r="E538" s="1822"/>
      <c r="F538" s="562" t="s">
        <v>322</v>
      </c>
      <c r="G538" s="562" t="s">
        <v>538</v>
      </c>
      <c r="H538" s="562"/>
      <c r="I538" s="562" t="s">
        <v>538</v>
      </c>
      <c r="J538" s="604"/>
      <c r="K538" s="562"/>
      <c r="L538" s="604">
        <v>33.69</v>
      </c>
      <c r="M538" s="603"/>
      <c r="N538" s="602"/>
      <c r="V538" s="674"/>
      <c r="W538" s="675"/>
      <c r="AA538" s="537" t="s">
        <v>537</v>
      </c>
      <c r="AC538" s="675"/>
      <c r="AD538" s="680"/>
      <c r="AE538" s="675"/>
      <c r="AG538" s="675"/>
    </row>
    <row r="539" spans="1:33" s="536" customFormat="1" ht="12" x14ac:dyDescent="0.2">
      <c r="A539" s="569"/>
      <c r="B539" s="671"/>
      <c r="C539" s="1823" t="s">
        <v>327</v>
      </c>
      <c r="D539" s="1823"/>
      <c r="E539" s="1823"/>
      <c r="F539" s="573"/>
      <c r="G539" s="573"/>
      <c r="H539" s="573"/>
      <c r="I539" s="573"/>
      <c r="J539" s="572"/>
      <c r="K539" s="573"/>
      <c r="L539" s="572">
        <v>204.87</v>
      </c>
      <c r="M539" s="601"/>
      <c r="N539" s="570"/>
      <c r="V539" s="674"/>
      <c r="W539" s="675"/>
      <c r="AC539" s="675" t="s">
        <v>327</v>
      </c>
      <c r="AD539" s="680"/>
      <c r="AE539" s="675"/>
      <c r="AG539" s="675"/>
    </row>
    <row r="540" spans="1:33" s="536" customFormat="1" ht="45" x14ac:dyDescent="0.2">
      <c r="A540" s="575" t="s">
        <v>817</v>
      </c>
      <c r="B540" s="670" t="s">
        <v>4485</v>
      </c>
      <c r="C540" s="1823" t="s">
        <v>4486</v>
      </c>
      <c r="D540" s="1823"/>
      <c r="E540" s="1823"/>
      <c r="F540" s="573" t="s">
        <v>617</v>
      </c>
      <c r="G540" s="573"/>
      <c r="H540" s="573"/>
      <c r="I540" s="573" t="s">
        <v>186</v>
      </c>
      <c r="J540" s="572">
        <v>956.96</v>
      </c>
      <c r="K540" s="573"/>
      <c r="L540" s="572">
        <v>1913.92</v>
      </c>
      <c r="M540" s="571"/>
      <c r="N540" s="570"/>
      <c r="V540" s="674"/>
      <c r="W540" s="675" t="s">
        <v>4486</v>
      </c>
      <c r="AC540" s="675"/>
      <c r="AD540" s="680"/>
      <c r="AE540" s="675"/>
      <c r="AG540" s="675"/>
    </row>
    <row r="541" spans="1:33" s="536" customFormat="1" ht="12" x14ac:dyDescent="0.2">
      <c r="A541" s="569"/>
      <c r="B541" s="671"/>
      <c r="C541" s="665" t="s">
        <v>717</v>
      </c>
      <c r="D541" s="666"/>
      <c r="E541" s="666"/>
      <c r="F541" s="563"/>
      <c r="G541" s="563"/>
      <c r="H541" s="563"/>
      <c r="I541" s="563"/>
      <c r="J541" s="566"/>
      <c r="K541" s="563"/>
      <c r="L541" s="566"/>
      <c r="M541" s="565"/>
      <c r="N541" s="564"/>
      <c r="V541" s="674"/>
      <c r="W541" s="675"/>
      <c r="AC541" s="675"/>
      <c r="AD541" s="680"/>
      <c r="AE541" s="675"/>
      <c r="AG541" s="675"/>
    </row>
    <row r="542" spans="1:33" s="536" customFormat="1" ht="22.5" x14ac:dyDescent="0.2">
      <c r="A542" s="575" t="s">
        <v>538</v>
      </c>
      <c r="B542" s="670" t="s">
        <v>4487</v>
      </c>
      <c r="C542" s="1823" t="s">
        <v>4488</v>
      </c>
      <c r="D542" s="1823"/>
      <c r="E542" s="1823"/>
      <c r="F542" s="573" t="s">
        <v>617</v>
      </c>
      <c r="G542" s="573"/>
      <c r="H542" s="573"/>
      <c r="I542" s="573" t="s">
        <v>187</v>
      </c>
      <c r="J542" s="572"/>
      <c r="K542" s="573"/>
      <c r="L542" s="572"/>
      <c r="M542" s="571"/>
      <c r="N542" s="570"/>
      <c r="V542" s="674"/>
      <c r="W542" s="675" t="s">
        <v>4488</v>
      </c>
      <c r="AC542" s="675"/>
      <c r="AD542" s="680"/>
      <c r="AE542" s="675"/>
      <c r="AG542" s="675"/>
    </row>
    <row r="543" spans="1:33" s="536" customFormat="1" ht="22.5" x14ac:dyDescent="0.2">
      <c r="A543" s="609"/>
      <c r="B543" s="552" t="s">
        <v>499</v>
      </c>
      <c r="C543" s="1822" t="s">
        <v>500</v>
      </c>
      <c r="D543" s="1822"/>
      <c r="E543" s="1822"/>
      <c r="F543" s="1822"/>
      <c r="G543" s="1822"/>
      <c r="H543" s="1822"/>
      <c r="I543" s="1822"/>
      <c r="J543" s="1822"/>
      <c r="K543" s="1822"/>
      <c r="L543" s="1822"/>
      <c r="M543" s="1822"/>
      <c r="N543" s="1827"/>
      <c r="V543" s="674"/>
      <c r="W543" s="675"/>
      <c r="Y543" s="537" t="s">
        <v>500</v>
      </c>
      <c r="AC543" s="675"/>
      <c r="AD543" s="680"/>
      <c r="AE543" s="675"/>
      <c r="AG543" s="675"/>
    </row>
    <row r="544" spans="1:33" s="536" customFormat="1" ht="12" x14ac:dyDescent="0.2">
      <c r="A544" s="605"/>
      <c r="B544" s="552" t="s">
        <v>185</v>
      </c>
      <c r="C544" s="1822" t="s">
        <v>312</v>
      </c>
      <c r="D544" s="1822"/>
      <c r="E544" s="1822"/>
      <c r="F544" s="562"/>
      <c r="G544" s="562"/>
      <c r="H544" s="562"/>
      <c r="I544" s="562"/>
      <c r="J544" s="604">
        <v>7.8</v>
      </c>
      <c r="K544" s="562" t="s">
        <v>313</v>
      </c>
      <c r="L544" s="604">
        <v>29.25</v>
      </c>
      <c r="M544" s="603"/>
      <c r="N544" s="602"/>
      <c r="V544" s="674"/>
      <c r="W544" s="675"/>
      <c r="Z544" s="537" t="s">
        <v>312</v>
      </c>
      <c r="AC544" s="675"/>
      <c r="AD544" s="680"/>
      <c r="AE544" s="675"/>
      <c r="AG544" s="675"/>
    </row>
    <row r="545" spans="1:33" s="536" customFormat="1" ht="12" x14ac:dyDescent="0.2">
      <c r="A545" s="605"/>
      <c r="B545" s="552" t="s">
        <v>186</v>
      </c>
      <c r="C545" s="1822" t="s">
        <v>344</v>
      </c>
      <c r="D545" s="1822"/>
      <c r="E545" s="1822"/>
      <c r="F545" s="562"/>
      <c r="G545" s="562"/>
      <c r="H545" s="562"/>
      <c r="I545" s="562"/>
      <c r="J545" s="604">
        <v>0.66</v>
      </c>
      <c r="K545" s="562" t="s">
        <v>313</v>
      </c>
      <c r="L545" s="604">
        <v>2.48</v>
      </c>
      <c r="M545" s="603"/>
      <c r="N545" s="602"/>
      <c r="V545" s="674"/>
      <c r="W545" s="675"/>
      <c r="Z545" s="537" t="s">
        <v>344</v>
      </c>
      <c r="AC545" s="675"/>
      <c r="AD545" s="680"/>
      <c r="AE545" s="675"/>
      <c r="AG545" s="675"/>
    </row>
    <row r="546" spans="1:33" s="536" customFormat="1" ht="12" x14ac:dyDescent="0.2">
      <c r="A546" s="605"/>
      <c r="B546" s="552" t="s">
        <v>187</v>
      </c>
      <c r="C546" s="1822" t="s">
        <v>345</v>
      </c>
      <c r="D546" s="1822"/>
      <c r="E546" s="1822"/>
      <c r="F546" s="562"/>
      <c r="G546" s="562"/>
      <c r="H546" s="562"/>
      <c r="I546" s="562"/>
      <c r="J546" s="604">
        <v>0.12</v>
      </c>
      <c r="K546" s="562" t="s">
        <v>313</v>
      </c>
      <c r="L546" s="604">
        <v>0.45</v>
      </c>
      <c r="M546" s="603"/>
      <c r="N546" s="602"/>
      <c r="V546" s="674"/>
      <c r="W546" s="675"/>
      <c r="Z546" s="537" t="s">
        <v>345</v>
      </c>
      <c r="AC546" s="675"/>
      <c r="AD546" s="680"/>
      <c r="AE546" s="675"/>
      <c r="AG546" s="675"/>
    </row>
    <row r="547" spans="1:33" s="536" customFormat="1" ht="12" x14ac:dyDescent="0.2">
      <c r="A547" s="605"/>
      <c r="B547" s="552" t="s">
        <v>188</v>
      </c>
      <c r="C547" s="1822" t="s">
        <v>475</v>
      </c>
      <c r="D547" s="1822"/>
      <c r="E547" s="1822"/>
      <c r="F547" s="562"/>
      <c r="G547" s="562"/>
      <c r="H547" s="562"/>
      <c r="I547" s="562"/>
      <c r="J547" s="604">
        <v>13.01</v>
      </c>
      <c r="K547" s="562"/>
      <c r="L547" s="604">
        <v>39.03</v>
      </c>
      <c r="M547" s="603"/>
      <c r="N547" s="602"/>
      <c r="V547" s="674"/>
      <c r="W547" s="675"/>
      <c r="Z547" s="537" t="s">
        <v>475</v>
      </c>
      <c r="AC547" s="675"/>
      <c r="AD547" s="680"/>
      <c r="AE547" s="675"/>
      <c r="AG547" s="675"/>
    </row>
    <row r="548" spans="1:33" s="536" customFormat="1" ht="22.5" x14ac:dyDescent="0.2">
      <c r="A548" s="676"/>
      <c r="B548" s="677" t="s">
        <v>2643</v>
      </c>
      <c r="C548" s="1829" t="s">
        <v>4482</v>
      </c>
      <c r="D548" s="1829"/>
      <c r="E548" s="1829"/>
      <c r="F548" s="678" t="s">
        <v>617</v>
      </c>
      <c r="G548" s="678" t="s">
        <v>185</v>
      </c>
      <c r="H548" s="678"/>
      <c r="I548" s="678" t="s">
        <v>187</v>
      </c>
      <c r="J548" s="552"/>
      <c r="K548" s="562"/>
      <c r="L548" s="604"/>
      <c r="M548" s="562"/>
      <c r="N548" s="679"/>
      <c r="V548" s="674"/>
      <c r="W548" s="675"/>
      <c r="AC548" s="675"/>
      <c r="AD548" s="680" t="s">
        <v>4482</v>
      </c>
      <c r="AE548" s="675"/>
      <c r="AG548" s="675"/>
    </row>
    <row r="549" spans="1:33" s="536" customFormat="1" ht="12" x14ac:dyDescent="0.2">
      <c r="A549" s="605"/>
      <c r="B549" s="552"/>
      <c r="C549" s="1822" t="s">
        <v>314</v>
      </c>
      <c r="D549" s="1822"/>
      <c r="E549" s="1822"/>
      <c r="F549" s="562" t="s">
        <v>315</v>
      </c>
      <c r="G549" s="562" t="s">
        <v>2364</v>
      </c>
      <c r="H549" s="562" t="s">
        <v>313</v>
      </c>
      <c r="I549" s="562" t="s">
        <v>8910</v>
      </c>
      <c r="J549" s="604"/>
      <c r="K549" s="562"/>
      <c r="L549" s="604"/>
      <c r="M549" s="603"/>
      <c r="N549" s="602"/>
      <c r="V549" s="674"/>
      <c r="W549" s="675"/>
      <c r="AA549" s="537" t="s">
        <v>314</v>
      </c>
      <c r="AC549" s="675"/>
      <c r="AD549" s="680"/>
      <c r="AE549" s="675"/>
      <c r="AG549" s="675"/>
    </row>
    <row r="550" spans="1:33" s="536" customFormat="1" ht="12" x14ac:dyDescent="0.2">
      <c r="A550" s="605"/>
      <c r="B550" s="552"/>
      <c r="C550" s="1822" t="s">
        <v>348</v>
      </c>
      <c r="D550" s="1822"/>
      <c r="E550" s="1822"/>
      <c r="F550" s="562" t="s">
        <v>315</v>
      </c>
      <c r="G550" s="562" t="s">
        <v>809</v>
      </c>
      <c r="H550" s="562" t="s">
        <v>313</v>
      </c>
      <c r="I550" s="562" t="s">
        <v>3163</v>
      </c>
      <c r="J550" s="604"/>
      <c r="K550" s="562"/>
      <c r="L550" s="604"/>
      <c r="M550" s="603"/>
      <c r="N550" s="602"/>
      <c r="V550" s="674"/>
      <c r="W550" s="675"/>
      <c r="AA550" s="537" t="s">
        <v>348</v>
      </c>
      <c r="AC550" s="675"/>
      <c r="AD550" s="680"/>
      <c r="AE550" s="675"/>
      <c r="AG550" s="675"/>
    </row>
    <row r="551" spans="1:33" s="536" customFormat="1" ht="12" x14ac:dyDescent="0.2">
      <c r="A551" s="605"/>
      <c r="B551" s="552"/>
      <c r="C551" s="1828" t="s">
        <v>318</v>
      </c>
      <c r="D551" s="1828"/>
      <c r="E551" s="1828"/>
      <c r="F551" s="608"/>
      <c r="G551" s="608"/>
      <c r="H551" s="608"/>
      <c r="I551" s="608"/>
      <c r="J551" s="607">
        <v>21.47</v>
      </c>
      <c r="K551" s="608"/>
      <c r="L551" s="607">
        <v>70.760000000000005</v>
      </c>
      <c r="M551" s="601"/>
      <c r="N551" s="606"/>
      <c r="V551" s="674"/>
      <c r="W551" s="675"/>
      <c r="AB551" s="537" t="s">
        <v>318</v>
      </c>
      <c r="AC551" s="675"/>
      <c r="AD551" s="680"/>
      <c r="AE551" s="675"/>
      <c r="AG551" s="675"/>
    </row>
    <row r="552" spans="1:33" s="536" customFormat="1" ht="12" x14ac:dyDescent="0.2">
      <c r="A552" s="605"/>
      <c r="B552" s="552"/>
      <c r="C552" s="1822" t="s">
        <v>319</v>
      </c>
      <c r="D552" s="1822"/>
      <c r="E552" s="1822"/>
      <c r="F552" s="562"/>
      <c r="G552" s="562"/>
      <c r="H552" s="562"/>
      <c r="I552" s="562"/>
      <c r="J552" s="604"/>
      <c r="K552" s="562"/>
      <c r="L552" s="604">
        <v>29.7</v>
      </c>
      <c r="M552" s="603"/>
      <c r="N552" s="602"/>
      <c r="V552" s="674"/>
      <c r="W552" s="675"/>
      <c r="AA552" s="537" t="s">
        <v>319</v>
      </c>
      <c r="AC552" s="675"/>
      <c r="AD552" s="680"/>
      <c r="AE552" s="675"/>
      <c r="AG552" s="675"/>
    </row>
    <row r="553" spans="1:33" s="536" customFormat="1" ht="33.75" x14ac:dyDescent="0.2">
      <c r="A553" s="605"/>
      <c r="B553" s="552" t="s">
        <v>533</v>
      </c>
      <c r="C553" s="1822" t="s">
        <v>534</v>
      </c>
      <c r="D553" s="1822"/>
      <c r="E553" s="1822"/>
      <c r="F553" s="562" t="s">
        <v>322</v>
      </c>
      <c r="G553" s="562" t="s">
        <v>535</v>
      </c>
      <c r="H553" s="562"/>
      <c r="I553" s="562" t="s">
        <v>535</v>
      </c>
      <c r="J553" s="604"/>
      <c r="K553" s="562"/>
      <c r="L553" s="604">
        <v>34.75</v>
      </c>
      <c r="M553" s="603"/>
      <c r="N553" s="602"/>
      <c r="V553" s="674"/>
      <c r="W553" s="675"/>
      <c r="AA553" s="537" t="s">
        <v>534</v>
      </c>
      <c r="AC553" s="675"/>
      <c r="AD553" s="680"/>
      <c r="AE553" s="675"/>
      <c r="AG553" s="675"/>
    </row>
    <row r="554" spans="1:33" s="536" customFormat="1" ht="33.75" x14ac:dyDescent="0.2">
      <c r="A554" s="605"/>
      <c r="B554" s="552" t="s">
        <v>536</v>
      </c>
      <c r="C554" s="1822" t="s">
        <v>537</v>
      </c>
      <c r="D554" s="1822"/>
      <c r="E554" s="1822"/>
      <c r="F554" s="562" t="s">
        <v>322</v>
      </c>
      <c r="G554" s="562" t="s">
        <v>538</v>
      </c>
      <c r="H554" s="562"/>
      <c r="I554" s="562" t="s">
        <v>538</v>
      </c>
      <c r="J554" s="604"/>
      <c r="K554" s="562"/>
      <c r="L554" s="604">
        <v>21.98</v>
      </c>
      <c r="M554" s="603"/>
      <c r="N554" s="602"/>
      <c r="V554" s="674"/>
      <c r="W554" s="675"/>
      <c r="AA554" s="537" t="s">
        <v>537</v>
      </c>
      <c r="AC554" s="675"/>
      <c r="AD554" s="680"/>
      <c r="AE554" s="675"/>
      <c r="AG554" s="675"/>
    </row>
    <row r="555" spans="1:33" s="536" customFormat="1" ht="12" x14ac:dyDescent="0.2">
      <c r="A555" s="569"/>
      <c r="B555" s="671"/>
      <c r="C555" s="1823" t="s">
        <v>327</v>
      </c>
      <c r="D555" s="1823"/>
      <c r="E555" s="1823"/>
      <c r="F555" s="573"/>
      <c r="G555" s="573"/>
      <c r="H555" s="573"/>
      <c r="I555" s="573"/>
      <c r="J555" s="572"/>
      <c r="K555" s="573"/>
      <c r="L555" s="572">
        <v>127.49</v>
      </c>
      <c r="M555" s="601"/>
      <c r="N555" s="570"/>
      <c r="V555" s="674"/>
      <c r="W555" s="675"/>
      <c r="AC555" s="675" t="s">
        <v>327</v>
      </c>
      <c r="AD555" s="680"/>
      <c r="AE555" s="675"/>
      <c r="AG555" s="675"/>
    </row>
    <row r="556" spans="1:33" s="536" customFormat="1" ht="33.75" x14ac:dyDescent="0.2">
      <c r="A556" s="575" t="s">
        <v>966</v>
      </c>
      <c r="B556" s="670" t="s">
        <v>4489</v>
      </c>
      <c r="C556" s="1823" t="s">
        <v>4490</v>
      </c>
      <c r="D556" s="1823"/>
      <c r="E556" s="1823"/>
      <c r="F556" s="573" t="s">
        <v>617</v>
      </c>
      <c r="G556" s="573"/>
      <c r="H556" s="573"/>
      <c r="I556" s="573" t="s">
        <v>187</v>
      </c>
      <c r="J556" s="572">
        <v>817.99</v>
      </c>
      <c r="K556" s="573"/>
      <c r="L556" s="572">
        <v>2453.9699999999998</v>
      </c>
      <c r="M556" s="571"/>
      <c r="N556" s="570"/>
      <c r="V556" s="674"/>
      <c r="W556" s="675" t="s">
        <v>4490</v>
      </c>
      <c r="AC556" s="675"/>
      <c r="AD556" s="680"/>
      <c r="AE556" s="675"/>
      <c r="AG556" s="675"/>
    </row>
    <row r="557" spans="1:33" s="536" customFormat="1" ht="12" x14ac:dyDescent="0.2">
      <c r="A557" s="569"/>
      <c r="B557" s="671"/>
      <c r="C557" s="665" t="s">
        <v>717</v>
      </c>
      <c r="D557" s="666"/>
      <c r="E557" s="666"/>
      <c r="F557" s="563"/>
      <c r="G557" s="563"/>
      <c r="H557" s="563"/>
      <c r="I557" s="563"/>
      <c r="J557" s="566"/>
      <c r="K557" s="563"/>
      <c r="L557" s="566"/>
      <c r="M557" s="565"/>
      <c r="N557" s="564"/>
      <c r="V557" s="674"/>
      <c r="W557" s="675"/>
      <c r="AC557" s="675"/>
      <c r="AD557" s="680"/>
      <c r="AE557" s="675"/>
      <c r="AG557" s="675"/>
    </row>
    <row r="558" spans="1:33" s="536" customFormat="1" ht="56.25" x14ac:dyDescent="0.2">
      <c r="A558" s="575" t="s">
        <v>2359</v>
      </c>
      <c r="B558" s="670" t="s">
        <v>4491</v>
      </c>
      <c r="C558" s="1823" t="s">
        <v>4492</v>
      </c>
      <c r="D558" s="1823"/>
      <c r="E558" s="1823"/>
      <c r="F558" s="573" t="s">
        <v>617</v>
      </c>
      <c r="G558" s="573"/>
      <c r="H558" s="573"/>
      <c r="I558" s="573" t="s">
        <v>186</v>
      </c>
      <c r="J558" s="572">
        <v>345.93</v>
      </c>
      <c r="K558" s="573"/>
      <c r="L558" s="572">
        <v>691.86</v>
      </c>
      <c r="M558" s="571"/>
      <c r="N558" s="570"/>
      <c r="V558" s="674"/>
      <c r="W558" s="675" t="s">
        <v>4492</v>
      </c>
      <c r="AC558" s="675"/>
      <c r="AD558" s="680"/>
      <c r="AE558" s="675"/>
      <c r="AG558" s="675"/>
    </row>
    <row r="559" spans="1:33" s="536" customFormat="1" ht="12" x14ac:dyDescent="0.2">
      <c r="A559" s="569"/>
      <c r="B559" s="671"/>
      <c r="C559" s="665" t="s">
        <v>717</v>
      </c>
      <c r="D559" s="666"/>
      <c r="E559" s="666"/>
      <c r="F559" s="563"/>
      <c r="G559" s="563"/>
      <c r="H559" s="563"/>
      <c r="I559" s="563"/>
      <c r="J559" s="566"/>
      <c r="K559" s="563"/>
      <c r="L559" s="566"/>
      <c r="M559" s="565"/>
      <c r="N559" s="564"/>
      <c r="V559" s="674"/>
      <c r="W559" s="675"/>
      <c r="AC559" s="675"/>
      <c r="AD559" s="680"/>
      <c r="AE559" s="675"/>
      <c r="AG559" s="675"/>
    </row>
    <row r="560" spans="1:33" s="536" customFormat="1" ht="1.5" customHeight="1" x14ac:dyDescent="0.2">
      <c r="A560" s="563"/>
      <c r="B560" s="671"/>
      <c r="C560" s="671"/>
      <c r="D560" s="671"/>
      <c r="E560" s="671"/>
      <c r="F560" s="563"/>
      <c r="G560" s="563"/>
      <c r="H560" s="563"/>
      <c r="I560" s="563"/>
      <c r="J560" s="546"/>
      <c r="K560" s="563"/>
      <c r="L560" s="546"/>
      <c r="M560" s="562"/>
      <c r="N560" s="546"/>
      <c r="V560" s="674"/>
      <c r="W560" s="675"/>
      <c r="AC560" s="675"/>
      <c r="AD560" s="680"/>
      <c r="AE560" s="675"/>
      <c r="AG560" s="675"/>
    </row>
    <row r="561" spans="1:33" s="536" customFormat="1" ht="12" x14ac:dyDescent="0.2">
      <c r="A561" s="557"/>
      <c r="B561" s="556"/>
      <c r="C561" s="1823" t="s">
        <v>4493</v>
      </c>
      <c r="D561" s="1823"/>
      <c r="E561" s="1823"/>
      <c r="F561" s="1823"/>
      <c r="G561" s="1823"/>
      <c r="H561" s="1823"/>
      <c r="I561" s="1823"/>
      <c r="J561" s="1823"/>
      <c r="K561" s="1823"/>
      <c r="L561" s="555"/>
      <c r="M561" s="554"/>
      <c r="N561" s="553"/>
      <c r="V561" s="674"/>
      <c r="W561" s="675"/>
      <c r="AC561" s="675"/>
      <c r="AD561" s="680"/>
      <c r="AE561" s="675" t="s">
        <v>4493</v>
      </c>
      <c r="AG561" s="675"/>
    </row>
    <row r="562" spans="1:33" s="536" customFormat="1" ht="12" x14ac:dyDescent="0.2">
      <c r="A562" s="548"/>
      <c r="B562" s="552"/>
      <c r="C562" s="1822" t="s">
        <v>403</v>
      </c>
      <c r="D562" s="1822"/>
      <c r="E562" s="1822"/>
      <c r="F562" s="1822"/>
      <c r="G562" s="1822"/>
      <c r="H562" s="1822"/>
      <c r="I562" s="1822"/>
      <c r="J562" s="1822"/>
      <c r="K562" s="1822"/>
      <c r="L562" s="551">
        <v>485690.15</v>
      </c>
      <c r="M562" s="550"/>
      <c r="N562" s="549"/>
      <c r="V562" s="674"/>
      <c r="W562" s="675"/>
      <c r="AC562" s="675"/>
      <c r="AD562" s="680"/>
      <c r="AE562" s="675"/>
      <c r="AF562" s="537" t="s">
        <v>403</v>
      </c>
      <c r="AG562" s="675"/>
    </row>
    <row r="563" spans="1:33" s="536" customFormat="1" ht="12" x14ac:dyDescent="0.2">
      <c r="A563" s="548"/>
      <c r="B563" s="552"/>
      <c r="C563" s="1822" t="s">
        <v>204</v>
      </c>
      <c r="D563" s="1822"/>
      <c r="E563" s="1822"/>
      <c r="F563" s="1822"/>
      <c r="G563" s="1822"/>
      <c r="H563" s="1822"/>
      <c r="I563" s="1822"/>
      <c r="J563" s="1822"/>
      <c r="K563" s="1822"/>
      <c r="L563" s="551"/>
      <c r="M563" s="550"/>
      <c r="N563" s="549"/>
      <c r="V563" s="674"/>
      <c r="W563" s="675"/>
      <c r="AC563" s="675"/>
      <c r="AD563" s="680"/>
      <c r="AE563" s="675"/>
      <c r="AF563" s="537" t="s">
        <v>204</v>
      </c>
      <c r="AG563" s="675"/>
    </row>
    <row r="564" spans="1:33" s="536" customFormat="1" ht="12" x14ac:dyDescent="0.2">
      <c r="A564" s="548"/>
      <c r="B564" s="552"/>
      <c r="C564" s="1822" t="s">
        <v>404</v>
      </c>
      <c r="D564" s="1822"/>
      <c r="E564" s="1822"/>
      <c r="F564" s="1822"/>
      <c r="G564" s="1822"/>
      <c r="H564" s="1822"/>
      <c r="I564" s="1822"/>
      <c r="J564" s="1822"/>
      <c r="K564" s="1822"/>
      <c r="L564" s="551">
        <v>7092.66</v>
      </c>
      <c r="M564" s="550"/>
      <c r="N564" s="549"/>
      <c r="V564" s="674"/>
      <c r="W564" s="675"/>
      <c r="AC564" s="675"/>
      <c r="AD564" s="680"/>
      <c r="AE564" s="675"/>
      <c r="AF564" s="537" t="s">
        <v>404</v>
      </c>
      <c r="AG564" s="675"/>
    </row>
    <row r="565" spans="1:33" s="536" customFormat="1" ht="12" x14ac:dyDescent="0.2">
      <c r="A565" s="548"/>
      <c r="B565" s="552"/>
      <c r="C565" s="1822" t="s">
        <v>405</v>
      </c>
      <c r="D565" s="1822"/>
      <c r="E565" s="1822"/>
      <c r="F565" s="1822"/>
      <c r="G565" s="1822"/>
      <c r="H565" s="1822"/>
      <c r="I565" s="1822"/>
      <c r="J565" s="1822"/>
      <c r="K565" s="1822"/>
      <c r="L565" s="551">
        <v>16983.82</v>
      </c>
      <c r="M565" s="550"/>
      <c r="N565" s="549"/>
      <c r="V565" s="674"/>
      <c r="W565" s="675"/>
      <c r="AC565" s="675"/>
      <c r="AD565" s="680"/>
      <c r="AE565" s="675"/>
      <c r="AF565" s="537" t="s">
        <v>405</v>
      </c>
      <c r="AG565" s="675"/>
    </row>
    <row r="566" spans="1:33" s="536" customFormat="1" ht="12" x14ac:dyDescent="0.2">
      <c r="A566" s="548"/>
      <c r="B566" s="552"/>
      <c r="C566" s="1822" t="s">
        <v>406</v>
      </c>
      <c r="D566" s="1822"/>
      <c r="E566" s="1822"/>
      <c r="F566" s="1822"/>
      <c r="G566" s="1822"/>
      <c r="H566" s="1822"/>
      <c r="I566" s="1822"/>
      <c r="J566" s="1822"/>
      <c r="K566" s="1822"/>
      <c r="L566" s="551">
        <v>2011.5</v>
      </c>
      <c r="M566" s="550"/>
      <c r="N566" s="549"/>
      <c r="V566" s="674"/>
      <c r="W566" s="675"/>
      <c r="AC566" s="675"/>
      <c r="AD566" s="680"/>
      <c r="AE566" s="675"/>
      <c r="AF566" s="537" t="s">
        <v>406</v>
      </c>
      <c r="AG566" s="675"/>
    </row>
    <row r="567" spans="1:33" s="536" customFormat="1" ht="12" x14ac:dyDescent="0.2">
      <c r="A567" s="548"/>
      <c r="B567" s="552"/>
      <c r="C567" s="1822" t="s">
        <v>480</v>
      </c>
      <c r="D567" s="1822"/>
      <c r="E567" s="1822"/>
      <c r="F567" s="1822"/>
      <c r="G567" s="1822"/>
      <c r="H567" s="1822"/>
      <c r="I567" s="1822"/>
      <c r="J567" s="1822"/>
      <c r="K567" s="1822"/>
      <c r="L567" s="551">
        <v>461613.67</v>
      </c>
      <c r="M567" s="550"/>
      <c r="N567" s="549"/>
      <c r="V567" s="674"/>
      <c r="W567" s="675"/>
      <c r="AC567" s="675"/>
      <c r="AD567" s="680"/>
      <c r="AE567" s="675"/>
      <c r="AF567" s="537" t="s">
        <v>480</v>
      </c>
      <c r="AG567" s="675"/>
    </row>
    <row r="568" spans="1:33" s="536" customFormat="1" ht="12" x14ac:dyDescent="0.2">
      <c r="A568" s="548"/>
      <c r="B568" s="552"/>
      <c r="C568" s="1822" t="s">
        <v>407</v>
      </c>
      <c r="D568" s="1822"/>
      <c r="E568" s="1822"/>
      <c r="F568" s="1822"/>
      <c r="G568" s="1822"/>
      <c r="H568" s="1822"/>
      <c r="I568" s="1822"/>
      <c r="J568" s="1822"/>
      <c r="K568" s="1822"/>
      <c r="L568" s="551">
        <v>503079.09</v>
      </c>
      <c r="M568" s="550"/>
      <c r="N568" s="549"/>
      <c r="V568" s="674"/>
      <c r="W568" s="675"/>
      <c r="AC568" s="675"/>
      <c r="AD568" s="680"/>
      <c r="AE568" s="675"/>
      <c r="AF568" s="537" t="s">
        <v>407</v>
      </c>
      <c r="AG568" s="675"/>
    </row>
    <row r="569" spans="1:33" s="536" customFormat="1" ht="12" x14ac:dyDescent="0.2">
      <c r="A569" s="548"/>
      <c r="B569" s="552"/>
      <c r="C569" s="1822" t="s">
        <v>204</v>
      </c>
      <c r="D569" s="1822"/>
      <c r="E569" s="1822"/>
      <c r="F569" s="1822"/>
      <c r="G569" s="1822"/>
      <c r="H569" s="1822"/>
      <c r="I569" s="1822"/>
      <c r="J569" s="1822"/>
      <c r="K569" s="1822"/>
      <c r="L569" s="551"/>
      <c r="M569" s="550"/>
      <c r="N569" s="549"/>
      <c r="V569" s="674"/>
      <c r="W569" s="675"/>
      <c r="AC569" s="675"/>
      <c r="AD569" s="680"/>
      <c r="AE569" s="675"/>
      <c r="AF569" s="537" t="s">
        <v>204</v>
      </c>
      <c r="AG569" s="675"/>
    </row>
    <row r="570" spans="1:33" s="536" customFormat="1" ht="12" x14ac:dyDescent="0.2">
      <c r="A570" s="548"/>
      <c r="B570" s="552"/>
      <c r="C570" s="1822" t="s">
        <v>546</v>
      </c>
      <c r="D570" s="1822"/>
      <c r="E570" s="1822"/>
      <c r="F570" s="1822"/>
      <c r="G570" s="1822"/>
      <c r="H570" s="1822"/>
      <c r="I570" s="1822"/>
      <c r="J570" s="1822"/>
      <c r="K570" s="1822"/>
      <c r="L570" s="551">
        <v>7092.66</v>
      </c>
      <c r="M570" s="550"/>
      <c r="N570" s="549"/>
      <c r="V570" s="674"/>
      <c r="W570" s="675"/>
      <c r="AC570" s="675"/>
      <c r="AD570" s="680"/>
      <c r="AE570" s="675"/>
      <c r="AF570" s="537" t="s">
        <v>546</v>
      </c>
      <c r="AG570" s="675"/>
    </row>
    <row r="571" spans="1:33" s="536" customFormat="1" ht="12" x14ac:dyDescent="0.2">
      <c r="A571" s="548"/>
      <c r="B571" s="552"/>
      <c r="C571" s="1822" t="s">
        <v>442</v>
      </c>
      <c r="D571" s="1822"/>
      <c r="E571" s="1822"/>
      <c r="F571" s="1822"/>
      <c r="G571" s="1822"/>
      <c r="H571" s="1822"/>
      <c r="I571" s="1822"/>
      <c r="J571" s="1822"/>
      <c r="K571" s="1822"/>
      <c r="L571" s="551">
        <v>16983.82</v>
      </c>
      <c r="M571" s="550"/>
      <c r="N571" s="549"/>
      <c r="V571" s="674"/>
      <c r="W571" s="675"/>
      <c r="AC571" s="675"/>
      <c r="AD571" s="680"/>
      <c r="AE571" s="675"/>
      <c r="AF571" s="537" t="s">
        <v>442</v>
      </c>
      <c r="AG571" s="675"/>
    </row>
    <row r="572" spans="1:33" s="536" customFormat="1" ht="12" x14ac:dyDescent="0.2">
      <c r="A572" s="548"/>
      <c r="B572" s="552"/>
      <c r="C572" s="1822" t="s">
        <v>547</v>
      </c>
      <c r="D572" s="1822"/>
      <c r="E572" s="1822"/>
      <c r="F572" s="1822"/>
      <c r="G572" s="1822"/>
      <c r="H572" s="1822"/>
      <c r="I572" s="1822"/>
      <c r="J572" s="1822"/>
      <c r="K572" s="1822"/>
      <c r="L572" s="551">
        <v>461613.67</v>
      </c>
      <c r="M572" s="550"/>
      <c r="N572" s="549"/>
      <c r="V572" s="674"/>
      <c r="W572" s="675"/>
      <c r="AC572" s="675"/>
      <c r="AD572" s="680"/>
      <c r="AE572" s="675"/>
      <c r="AF572" s="537" t="s">
        <v>547</v>
      </c>
      <c r="AG572" s="675"/>
    </row>
    <row r="573" spans="1:33" s="536" customFormat="1" ht="12" x14ac:dyDescent="0.2">
      <c r="A573" s="548"/>
      <c r="B573" s="552"/>
      <c r="C573" s="1822" t="s">
        <v>443</v>
      </c>
      <c r="D573" s="1822"/>
      <c r="E573" s="1822"/>
      <c r="F573" s="1822"/>
      <c r="G573" s="1822"/>
      <c r="H573" s="1822"/>
      <c r="I573" s="1822"/>
      <c r="J573" s="1822"/>
      <c r="K573" s="1822"/>
      <c r="L573" s="551">
        <v>10651.85</v>
      </c>
      <c r="M573" s="550"/>
      <c r="N573" s="549"/>
      <c r="V573" s="674"/>
      <c r="W573" s="675"/>
      <c r="AC573" s="675"/>
      <c r="AD573" s="680"/>
      <c r="AE573" s="675"/>
      <c r="AF573" s="537" t="s">
        <v>443</v>
      </c>
      <c r="AG573" s="675"/>
    </row>
    <row r="574" spans="1:33" s="536" customFormat="1" ht="12" x14ac:dyDescent="0.2">
      <c r="A574" s="548"/>
      <c r="B574" s="552"/>
      <c r="C574" s="1822" t="s">
        <v>444</v>
      </c>
      <c r="D574" s="1822"/>
      <c r="E574" s="1822"/>
      <c r="F574" s="1822"/>
      <c r="G574" s="1822"/>
      <c r="H574" s="1822"/>
      <c r="I574" s="1822"/>
      <c r="J574" s="1822"/>
      <c r="K574" s="1822"/>
      <c r="L574" s="551">
        <v>6737.09</v>
      </c>
      <c r="M574" s="550"/>
      <c r="N574" s="549"/>
      <c r="V574" s="674"/>
      <c r="W574" s="675"/>
      <c r="AC574" s="675"/>
      <c r="AD574" s="680"/>
      <c r="AE574" s="675"/>
      <c r="AF574" s="537" t="s">
        <v>444</v>
      </c>
      <c r="AG574" s="675"/>
    </row>
    <row r="575" spans="1:33" s="536" customFormat="1" ht="12" x14ac:dyDescent="0.2">
      <c r="A575" s="548"/>
      <c r="B575" s="552"/>
      <c r="C575" s="1822" t="s">
        <v>415</v>
      </c>
      <c r="D575" s="1822"/>
      <c r="E575" s="1822"/>
      <c r="F575" s="1822"/>
      <c r="G575" s="1822"/>
      <c r="H575" s="1822"/>
      <c r="I575" s="1822"/>
      <c r="J575" s="1822"/>
      <c r="K575" s="1822"/>
      <c r="L575" s="551">
        <v>9104.16</v>
      </c>
      <c r="M575" s="550"/>
      <c r="N575" s="549"/>
      <c r="V575" s="674"/>
      <c r="W575" s="675"/>
      <c r="AC575" s="675"/>
      <c r="AD575" s="680"/>
      <c r="AE575" s="675"/>
      <c r="AF575" s="537" t="s">
        <v>415</v>
      </c>
      <c r="AG575" s="675"/>
    </row>
    <row r="576" spans="1:33" s="536" customFormat="1" ht="12" x14ac:dyDescent="0.2">
      <c r="A576" s="548"/>
      <c r="B576" s="552"/>
      <c r="C576" s="1822" t="s">
        <v>416</v>
      </c>
      <c r="D576" s="1822"/>
      <c r="E576" s="1822"/>
      <c r="F576" s="1822"/>
      <c r="G576" s="1822"/>
      <c r="H576" s="1822"/>
      <c r="I576" s="1822"/>
      <c r="J576" s="1822"/>
      <c r="K576" s="1822"/>
      <c r="L576" s="551">
        <v>10651.85</v>
      </c>
      <c r="M576" s="550"/>
      <c r="N576" s="549"/>
      <c r="V576" s="674"/>
      <c r="W576" s="675"/>
      <c r="AC576" s="675"/>
      <c r="AD576" s="680"/>
      <c r="AE576" s="675"/>
      <c r="AF576" s="537" t="s">
        <v>416</v>
      </c>
      <c r="AG576" s="675"/>
    </row>
    <row r="577" spans="1:33" s="536" customFormat="1" ht="12" x14ac:dyDescent="0.2">
      <c r="A577" s="548"/>
      <c r="B577" s="552"/>
      <c r="C577" s="1822" t="s">
        <v>417</v>
      </c>
      <c r="D577" s="1822"/>
      <c r="E577" s="1822"/>
      <c r="F577" s="1822"/>
      <c r="G577" s="1822"/>
      <c r="H577" s="1822"/>
      <c r="I577" s="1822"/>
      <c r="J577" s="1822"/>
      <c r="K577" s="1822"/>
      <c r="L577" s="551">
        <v>6737.09</v>
      </c>
      <c r="M577" s="550"/>
      <c r="N577" s="549"/>
      <c r="V577" s="674"/>
      <c r="W577" s="675"/>
      <c r="AC577" s="675"/>
      <c r="AD577" s="680"/>
      <c r="AE577" s="675"/>
      <c r="AF577" s="537" t="s">
        <v>417</v>
      </c>
      <c r="AG577" s="675"/>
    </row>
    <row r="578" spans="1:33" s="536" customFormat="1" ht="12" x14ac:dyDescent="0.2">
      <c r="A578" s="548"/>
      <c r="B578" s="546"/>
      <c r="C578" s="1819" t="s">
        <v>4494</v>
      </c>
      <c r="D578" s="1819"/>
      <c r="E578" s="1819"/>
      <c r="F578" s="1819"/>
      <c r="G578" s="1819"/>
      <c r="H578" s="1819"/>
      <c r="I578" s="1819"/>
      <c r="J578" s="1819"/>
      <c r="K578" s="1819"/>
      <c r="L578" s="544">
        <v>503079.09</v>
      </c>
      <c r="M578" s="543"/>
      <c r="N578" s="681"/>
      <c r="V578" s="674"/>
      <c r="W578" s="675"/>
      <c r="AC578" s="675"/>
      <c r="AD578" s="680"/>
      <c r="AE578" s="675"/>
      <c r="AG578" s="675" t="s">
        <v>4494</v>
      </c>
    </row>
    <row r="579" spans="1:33" s="536" customFormat="1" ht="12" x14ac:dyDescent="0.2">
      <c r="A579" s="548"/>
      <c r="B579" s="552"/>
      <c r="C579" s="1822" t="s">
        <v>204</v>
      </c>
      <c r="D579" s="1822"/>
      <c r="E579" s="1822"/>
      <c r="F579" s="1822"/>
      <c r="G579" s="1822"/>
      <c r="H579" s="1822"/>
      <c r="I579" s="1822"/>
      <c r="J579" s="1822"/>
      <c r="K579" s="1822"/>
      <c r="L579" s="551"/>
      <c r="M579" s="550"/>
      <c r="N579" s="549"/>
      <c r="V579" s="674"/>
      <c r="W579" s="675"/>
      <c r="AC579" s="675"/>
      <c r="AD579" s="680"/>
      <c r="AE579" s="675"/>
      <c r="AF579" s="537" t="s">
        <v>204</v>
      </c>
      <c r="AG579" s="675"/>
    </row>
    <row r="580" spans="1:33" s="536" customFormat="1" ht="12" x14ac:dyDescent="0.2">
      <c r="A580" s="548"/>
      <c r="B580" s="552"/>
      <c r="C580" s="1822" t="s">
        <v>8095</v>
      </c>
      <c r="D580" s="1822"/>
      <c r="E580" s="1822"/>
      <c r="F580" s="1822"/>
      <c r="G580" s="1822"/>
      <c r="H580" s="1822"/>
      <c r="I580" s="1822"/>
      <c r="J580" s="1822"/>
      <c r="K580" s="1822"/>
      <c r="L580" s="551">
        <v>27134.3</v>
      </c>
      <c r="M580" s="550"/>
      <c r="N580" s="549"/>
      <c r="V580" s="674"/>
      <c r="W580" s="675"/>
      <c r="AC580" s="675"/>
      <c r="AD580" s="680"/>
      <c r="AE580" s="675"/>
      <c r="AF580" s="537" t="s">
        <v>8095</v>
      </c>
      <c r="AG580" s="675"/>
    </row>
    <row r="581" spans="1:33" s="536" customFormat="1" ht="12" x14ac:dyDescent="0.2">
      <c r="A581" s="1824" t="s">
        <v>1124</v>
      </c>
      <c r="B581" s="1825"/>
      <c r="C581" s="1825"/>
      <c r="D581" s="1825"/>
      <c r="E581" s="1825"/>
      <c r="F581" s="1825"/>
      <c r="G581" s="1825"/>
      <c r="H581" s="1825"/>
      <c r="I581" s="1825"/>
      <c r="J581" s="1825"/>
      <c r="K581" s="1825"/>
      <c r="L581" s="1825"/>
      <c r="M581" s="1825"/>
      <c r="N581" s="1826"/>
      <c r="V581" s="674" t="s">
        <v>1124</v>
      </c>
      <c r="W581" s="675"/>
      <c r="AC581" s="675"/>
      <c r="AD581" s="680"/>
      <c r="AE581" s="675"/>
      <c r="AG581" s="675"/>
    </row>
    <row r="582" spans="1:33" s="536" customFormat="1" ht="78.75" x14ac:dyDescent="0.2">
      <c r="A582" s="575" t="s">
        <v>2363</v>
      </c>
      <c r="B582" s="670" t="s">
        <v>3879</v>
      </c>
      <c r="C582" s="1823" t="s">
        <v>3880</v>
      </c>
      <c r="D582" s="1823"/>
      <c r="E582" s="1823"/>
      <c r="F582" s="573" t="s">
        <v>201</v>
      </c>
      <c r="G582" s="573"/>
      <c r="H582" s="573"/>
      <c r="I582" s="573" t="s">
        <v>4495</v>
      </c>
      <c r="J582" s="572">
        <v>48.81</v>
      </c>
      <c r="K582" s="573"/>
      <c r="L582" s="572">
        <v>7797.4</v>
      </c>
      <c r="M582" s="571"/>
      <c r="N582" s="570"/>
      <c r="V582" s="674"/>
      <c r="W582" s="675" t="s">
        <v>3880</v>
      </c>
      <c r="AC582" s="675"/>
      <c r="AD582" s="680"/>
      <c r="AE582" s="675"/>
      <c r="AG582" s="675"/>
    </row>
    <row r="583" spans="1:33" s="536" customFormat="1" ht="12" x14ac:dyDescent="0.2">
      <c r="A583" s="569"/>
      <c r="B583" s="671"/>
      <c r="C583" s="665" t="s">
        <v>717</v>
      </c>
      <c r="D583" s="666"/>
      <c r="E583" s="666"/>
      <c r="F583" s="563"/>
      <c r="G583" s="563"/>
      <c r="H583" s="563"/>
      <c r="I583" s="563"/>
      <c r="J583" s="566"/>
      <c r="K583" s="563"/>
      <c r="L583" s="566"/>
      <c r="M583" s="565"/>
      <c r="N583" s="564"/>
      <c r="V583" s="674"/>
      <c r="W583" s="675"/>
      <c r="AC583" s="675"/>
      <c r="AD583" s="680"/>
      <c r="AE583" s="675"/>
      <c r="AG583" s="675"/>
    </row>
    <row r="584" spans="1:33" s="536" customFormat="1" ht="78.75" x14ac:dyDescent="0.2">
      <c r="A584" s="575" t="s">
        <v>2368</v>
      </c>
      <c r="B584" s="670" t="s">
        <v>3881</v>
      </c>
      <c r="C584" s="1823" t="s">
        <v>3882</v>
      </c>
      <c r="D584" s="1823"/>
      <c r="E584" s="1823"/>
      <c r="F584" s="573" t="s">
        <v>201</v>
      </c>
      <c r="G584" s="573"/>
      <c r="H584" s="573"/>
      <c r="I584" s="573" t="s">
        <v>4496</v>
      </c>
      <c r="J584" s="572">
        <v>76.88</v>
      </c>
      <c r="K584" s="573"/>
      <c r="L584" s="572">
        <v>2785.82</v>
      </c>
      <c r="M584" s="571"/>
      <c r="N584" s="570"/>
      <c r="V584" s="674"/>
      <c r="W584" s="675" t="s">
        <v>3882</v>
      </c>
      <c r="AC584" s="675"/>
      <c r="AD584" s="680"/>
      <c r="AE584" s="675"/>
      <c r="AG584" s="675"/>
    </row>
    <row r="585" spans="1:33" s="536" customFormat="1" ht="12" x14ac:dyDescent="0.2">
      <c r="A585" s="569"/>
      <c r="B585" s="671"/>
      <c r="C585" s="665" t="s">
        <v>717</v>
      </c>
      <c r="D585" s="666"/>
      <c r="E585" s="666"/>
      <c r="F585" s="563"/>
      <c r="G585" s="563"/>
      <c r="H585" s="563"/>
      <c r="I585" s="563"/>
      <c r="J585" s="566"/>
      <c r="K585" s="563"/>
      <c r="L585" s="566"/>
      <c r="M585" s="565"/>
      <c r="N585" s="564"/>
      <c r="V585" s="674"/>
      <c r="W585" s="675"/>
      <c r="AC585" s="675"/>
      <c r="AD585" s="680"/>
      <c r="AE585" s="675"/>
      <c r="AG585" s="675"/>
    </row>
    <row r="586" spans="1:33" s="536" customFormat="1" ht="12" x14ac:dyDescent="0.2">
      <c r="A586" s="676"/>
      <c r="B586" s="664"/>
      <c r="C586" s="1822" t="s">
        <v>4497</v>
      </c>
      <c r="D586" s="1822"/>
      <c r="E586" s="1822"/>
      <c r="F586" s="1822"/>
      <c r="G586" s="1822"/>
      <c r="H586" s="1822"/>
      <c r="I586" s="1822"/>
      <c r="J586" s="1822"/>
      <c r="K586" s="1822"/>
      <c r="L586" s="1822"/>
      <c r="M586" s="1822"/>
      <c r="N586" s="1827"/>
      <c r="V586" s="674"/>
      <c r="W586" s="675"/>
      <c r="X586" s="537" t="s">
        <v>4497</v>
      </c>
      <c r="AC586" s="675"/>
      <c r="AD586" s="680"/>
      <c r="AE586" s="675"/>
      <c r="AG586" s="675"/>
    </row>
    <row r="587" spans="1:33" s="536" customFormat="1" ht="67.5" x14ac:dyDescent="0.2">
      <c r="A587" s="575" t="s">
        <v>2373</v>
      </c>
      <c r="B587" s="670" t="s">
        <v>1616</v>
      </c>
      <c r="C587" s="1823" t="s">
        <v>2630</v>
      </c>
      <c r="D587" s="1823"/>
      <c r="E587" s="1823"/>
      <c r="F587" s="573" t="s">
        <v>201</v>
      </c>
      <c r="G587" s="573"/>
      <c r="H587" s="573"/>
      <c r="I587" s="573" t="s">
        <v>4498</v>
      </c>
      <c r="J587" s="572">
        <v>90.45</v>
      </c>
      <c r="K587" s="573"/>
      <c r="L587" s="572">
        <v>338.01</v>
      </c>
      <c r="M587" s="571"/>
      <c r="N587" s="570"/>
      <c r="V587" s="674"/>
      <c r="W587" s="675" t="s">
        <v>2630</v>
      </c>
      <c r="AC587" s="675"/>
      <c r="AD587" s="680"/>
      <c r="AE587" s="675"/>
      <c r="AG587" s="675"/>
    </row>
    <row r="588" spans="1:33" s="536" customFormat="1" ht="12" x14ac:dyDescent="0.2">
      <c r="A588" s="569"/>
      <c r="B588" s="671"/>
      <c r="C588" s="665" t="s">
        <v>717</v>
      </c>
      <c r="D588" s="666"/>
      <c r="E588" s="666"/>
      <c r="F588" s="563"/>
      <c r="G588" s="563"/>
      <c r="H588" s="563"/>
      <c r="I588" s="563"/>
      <c r="J588" s="566"/>
      <c r="K588" s="563"/>
      <c r="L588" s="566"/>
      <c r="M588" s="565"/>
      <c r="N588" s="564"/>
      <c r="V588" s="674"/>
      <c r="W588" s="675"/>
      <c r="AC588" s="675"/>
      <c r="AD588" s="680"/>
      <c r="AE588" s="675"/>
      <c r="AG588" s="675"/>
    </row>
    <row r="589" spans="1:33" s="536" customFormat="1" ht="12" x14ac:dyDescent="0.2">
      <c r="A589" s="676"/>
      <c r="B589" s="664"/>
      <c r="C589" s="1822" t="s">
        <v>4499</v>
      </c>
      <c r="D589" s="1822"/>
      <c r="E589" s="1822"/>
      <c r="F589" s="1822"/>
      <c r="G589" s="1822"/>
      <c r="H589" s="1822"/>
      <c r="I589" s="1822"/>
      <c r="J589" s="1822"/>
      <c r="K589" s="1822"/>
      <c r="L589" s="1822"/>
      <c r="M589" s="1822"/>
      <c r="N589" s="1827"/>
      <c r="V589" s="674"/>
      <c r="W589" s="675"/>
      <c r="X589" s="537" t="s">
        <v>4499</v>
      </c>
      <c r="AC589" s="675"/>
      <c r="AD589" s="680"/>
      <c r="AE589" s="675"/>
      <c r="AG589" s="675"/>
    </row>
    <row r="590" spans="1:33" s="536" customFormat="1" ht="1.5" customHeight="1" x14ac:dyDescent="0.2">
      <c r="A590" s="563"/>
      <c r="B590" s="671"/>
      <c r="C590" s="671"/>
      <c r="D590" s="671"/>
      <c r="E590" s="671"/>
      <c r="F590" s="563"/>
      <c r="G590" s="563"/>
      <c r="H590" s="563"/>
      <c r="I590" s="563"/>
      <c r="J590" s="546"/>
      <c r="K590" s="563"/>
      <c r="L590" s="546"/>
      <c r="M590" s="562"/>
      <c r="N590" s="546"/>
      <c r="V590" s="674"/>
      <c r="W590" s="675"/>
      <c r="AC590" s="675"/>
      <c r="AD590" s="680"/>
      <c r="AE590" s="675"/>
      <c r="AG590" s="675"/>
    </row>
    <row r="591" spans="1:33" s="536" customFormat="1" ht="22.5" x14ac:dyDescent="0.2">
      <c r="A591" s="557"/>
      <c r="B591" s="556"/>
      <c r="C591" s="1823" t="s">
        <v>1138</v>
      </c>
      <c r="D591" s="1823"/>
      <c r="E591" s="1823"/>
      <c r="F591" s="1823"/>
      <c r="G591" s="1823"/>
      <c r="H591" s="1823"/>
      <c r="I591" s="1823"/>
      <c r="J591" s="1823"/>
      <c r="K591" s="1823"/>
      <c r="L591" s="555"/>
      <c r="M591" s="554"/>
      <c r="N591" s="553"/>
      <c r="V591" s="674"/>
      <c r="W591" s="675"/>
      <c r="AC591" s="675"/>
      <c r="AD591" s="680"/>
      <c r="AE591" s="675" t="s">
        <v>1138</v>
      </c>
      <c r="AG591" s="675"/>
    </row>
    <row r="592" spans="1:33" s="536" customFormat="1" ht="12" x14ac:dyDescent="0.2">
      <c r="A592" s="548"/>
      <c r="B592" s="552"/>
      <c r="C592" s="1822" t="s">
        <v>403</v>
      </c>
      <c r="D592" s="1822"/>
      <c r="E592" s="1822"/>
      <c r="F592" s="1822"/>
      <c r="G592" s="1822"/>
      <c r="H592" s="1822"/>
      <c r="I592" s="1822"/>
      <c r="J592" s="1822"/>
      <c r="K592" s="1822"/>
      <c r="L592" s="551">
        <v>10921.23</v>
      </c>
      <c r="M592" s="550"/>
      <c r="N592" s="549"/>
      <c r="V592" s="674"/>
      <c r="W592" s="675"/>
      <c r="AC592" s="675"/>
      <c r="AD592" s="680"/>
      <c r="AE592" s="675"/>
      <c r="AF592" s="537" t="s">
        <v>403</v>
      </c>
      <c r="AG592" s="675"/>
    </row>
    <row r="593" spans="1:35" s="536" customFormat="1" ht="12" x14ac:dyDescent="0.2">
      <c r="A593" s="548"/>
      <c r="B593" s="552"/>
      <c r="C593" s="1822" t="s">
        <v>204</v>
      </c>
      <c r="D593" s="1822"/>
      <c r="E593" s="1822"/>
      <c r="F593" s="1822"/>
      <c r="G593" s="1822"/>
      <c r="H593" s="1822"/>
      <c r="I593" s="1822"/>
      <c r="J593" s="1822"/>
      <c r="K593" s="1822"/>
      <c r="L593" s="551"/>
      <c r="M593" s="550"/>
      <c r="N593" s="549"/>
      <c r="V593" s="674"/>
      <c r="W593" s="675"/>
      <c r="AC593" s="675"/>
      <c r="AD593" s="680"/>
      <c r="AE593" s="675"/>
      <c r="AF593" s="537" t="s">
        <v>204</v>
      </c>
      <c r="AG593" s="675"/>
    </row>
    <row r="594" spans="1:35" s="536" customFormat="1" ht="12" x14ac:dyDescent="0.2">
      <c r="A594" s="548"/>
      <c r="B594" s="552"/>
      <c r="C594" s="1822" t="s">
        <v>480</v>
      </c>
      <c r="D594" s="1822"/>
      <c r="E594" s="1822"/>
      <c r="F594" s="1822"/>
      <c r="G594" s="1822"/>
      <c r="H594" s="1822"/>
      <c r="I594" s="1822"/>
      <c r="J594" s="1822"/>
      <c r="K594" s="1822"/>
      <c r="L594" s="551">
        <v>10921.23</v>
      </c>
      <c r="M594" s="550"/>
      <c r="N594" s="549"/>
      <c r="V594" s="674"/>
      <c r="W594" s="675"/>
      <c r="AC594" s="675"/>
      <c r="AD594" s="680"/>
      <c r="AE594" s="675"/>
      <c r="AF594" s="537" t="s">
        <v>480</v>
      </c>
      <c r="AG594" s="675"/>
    </row>
    <row r="595" spans="1:35" s="536" customFormat="1" ht="12" x14ac:dyDescent="0.2">
      <c r="A595" s="548"/>
      <c r="B595" s="552"/>
      <c r="C595" s="1822" t="s">
        <v>407</v>
      </c>
      <c r="D595" s="1822"/>
      <c r="E595" s="1822"/>
      <c r="F595" s="1822"/>
      <c r="G595" s="1822"/>
      <c r="H595" s="1822"/>
      <c r="I595" s="1822"/>
      <c r="J595" s="1822"/>
      <c r="K595" s="1822"/>
      <c r="L595" s="551">
        <v>10921.23</v>
      </c>
      <c r="M595" s="550"/>
      <c r="N595" s="549"/>
      <c r="V595" s="674"/>
      <c r="W595" s="675"/>
      <c r="AC595" s="675"/>
      <c r="AD595" s="680"/>
      <c r="AE595" s="675"/>
      <c r="AF595" s="537" t="s">
        <v>407</v>
      </c>
      <c r="AG595" s="675"/>
    </row>
    <row r="596" spans="1:35" s="536" customFormat="1" ht="12" x14ac:dyDescent="0.2">
      <c r="A596" s="548"/>
      <c r="B596" s="552"/>
      <c r="C596" s="1822" t="s">
        <v>204</v>
      </c>
      <c r="D596" s="1822"/>
      <c r="E596" s="1822"/>
      <c r="F596" s="1822"/>
      <c r="G596" s="1822"/>
      <c r="H596" s="1822"/>
      <c r="I596" s="1822"/>
      <c r="J596" s="1822"/>
      <c r="K596" s="1822"/>
      <c r="L596" s="551"/>
      <c r="M596" s="550"/>
      <c r="N596" s="549"/>
      <c r="V596" s="674"/>
      <c r="W596" s="675"/>
      <c r="AC596" s="675"/>
      <c r="AD596" s="680"/>
      <c r="AE596" s="675"/>
      <c r="AF596" s="537" t="s">
        <v>204</v>
      </c>
      <c r="AG596" s="675"/>
    </row>
    <row r="597" spans="1:35" s="536" customFormat="1" ht="12" x14ac:dyDescent="0.2">
      <c r="A597" s="548"/>
      <c r="B597" s="552"/>
      <c r="C597" s="1822" t="s">
        <v>547</v>
      </c>
      <c r="D597" s="1822"/>
      <c r="E597" s="1822"/>
      <c r="F597" s="1822"/>
      <c r="G597" s="1822"/>
      <c r="H597" s="1822"/>
      <c r="I597" s="1822"/>
      <c r="J597" s="1822"/>
      <c r="K597" s="1822"/>
      <c r="L597" s="551">
        <v>10921.23</v>
      </c>
      <c r="M597" s="550"/>
      <c r="N597" s="549"/>
      <c r="V597" s="674"/>
      <c r="W597" s="675"/>
      <c r="AC597" s="675"/>
      <c r="AD597" s="680"/>
      <c r="AE597" s="675"/>
      <c r="AF597" s="537" t="s">
        <v>547</v>
      </c>
      <c r="AG597" s="675"/>
    </row>
    <row r="598" spans="1:35" s="536" customFormat="1" ht="22.5" x14ac:dyDescent="0.2">
      <c r="A598" s="548"/>
      <c r="B598" s="546"/>
      <c r="C598" s="1819" t="s">
        <v>1139</v>
      </c>
      <c r="D598" s="1819"/>
      <c r="E598" s="1819"/>
      <c r="F598" s="1819"/>
      <c r="G598" s="1819"/>
      <c r="H598" s="1819"/>
      <c r="I598" s="1819"/>
      <c r="J598" s="1819"/>
      <c r="K598" s="1819"/>
      <c r="L598" s="544">
        <v>10921.23</v>
      </c>
      <c r="M598" s="543"/>
      <c r="N598" s="681"/>
      <c r="V598" s="674"/>
      <c r="W598" s="675"/>
      <c r="AC598" s="675"/>
      <c r="AD598" s="680"/>
      <c r="AE598" s="675"/>
      <c r="AG598" s="675" t="s">
        <v>1139</v>
      </c>
    </row>
    <row r="599" spans="1:35" s="536" customFormat="1" ht="2.25" customHeight="1" x14ac:dyDescent="0.2">
      <c r="B599" s="561"/>
      <c r="C599" s="561"/>
      <c r="D599" s="561"/>
      <c r="E599" s="561"/>
      <c r="F599" s="561"/>
      <c r="G599" s="561"/>
      <c r="H599" s="561"/>
      <c r="I599" s="561"/>
      <c r="J599" s="561"/>
      <c r="K599" s="561"/>
      <c r="L599" s="560"/>
      <c r="M599" s="559"/>
      <c r="N599" s="558"/>
    </row>
    <row r="600" spans="1:35" s="536" customFormat="1" x14ac:dyDescent="0.2">
      <c r="A600" s="557"/>
      <c r="B600" s="556"/>
      <c r="C600" s="1823" t="s">
        <v>205</v>
      </c>
      <c r="D600" s="1823"/>
      <c r="E600" s="1823"/>
      <c r="F600" s="1823"/>
      <c r="G600" s="1823"/>
      <c r="H600" s="1823"/>
      <c r="I600" s="1823"/>
      <c r="J600" s="1823"/>
      <c r="K600" s="1823"/>
      <c r="L600" s="555"/>
      <c r="M600" s="554"/>
      <c r="N600" s="553"/>
      <c r="AH600" s="675" t="s">
        <v>205</v>
      </c>
    </row>
    <row r="601" spans="1:35" s="536" customFormat="1" x14ac:dyDescent="0.2">
      <c r="A601" s="548"/>
      <c r="B601" s="552"/>
      <c r="C601" s="1822" t="s">
        <v>403</v>
      </c>
      <c r="D601" s="1822"/>
      <c r="E601" s="1822"/>
      <c r="F601" s="1822"/>
      <c r="G601" s="1822"/>
      <c r="H601" s="1822"/>
      <c r="I601" s="1822"/>
      <c r="J601" s="1822"/>
      <c r="K601" s="1822"/>
      <c r="L601" s="551">
        <v>564459.53</v>
      </c>
      <c r="M601" s="550"/>
      <c r="N601" s="549"/>
      <c r="AH601" s="675"/>
      <c r="AI601" s="537" t="s">
        <v>403</v>
      </c>
    </row>
    <row r="602" spans="1:35" s="536" customFormat="1" x14ac:dyDescent="0.2">
      <c r="A602" s="548"/>
      <c r="B602" s="552"/>
      <c r="C602" s="1822" t="s">
        <v>204</v>
      </c>
      <c r="D602" s="1822"/>
      <c r="E602" s="1822"/>
      <c r="F602" s="1822"/>
      <c r="G602" s="1822"/>
      <c r="H602" s="1822"/>
      <c r="I602" s="1822"/>
      <c r="J602" s="1822"/>
      <c r="K602" s="1822"/>
      <c r="L602" s="551"/>
      <c r="M602" s="550"/>
      <c r="N602" s="549"/>
      <c r="AH602" s="675"/>
      <c r="AI602" s="537" t="s">
        <v>204</v>
      </c>
    </row>
    <row r="603" spans="1:35" s="536" customFormat="1" x14ac:dyDescent="0.2">
      <c r="A603" s="548"/>
      <c r="B603" s="552"/>
      <c r="C603" s="1822" t="s">
        <v>404</v>
      </c>
      <c r="D603" s="1822"/>
      <c r="E603" s="1822"/>
      <c r="F603" s="1822"/>
      <c r="G603" s="1822"/>
      <c r="H603" s="1822"/>
      <c r="I603" s="1822"/>
      <c r="J603" s="1822"/>
      <c r="K603" s="1822"/>
      <c r="L603" s="551">
        <v>13711.26</v>
      </c>
      <c r="M603" s="550"/>
      <c r="N603" s="549"/>
      <c r="AH603" s="675"/>
      <c r="AI603" s="537" t="s">
        <v>404</v>
      </c>
    </row>
    <row r="604" spans="1:35" s="536" customFormat="1" x14ac:dyDescent="0.2">
      <c r="A604" s="548"/>
      <c r="B604" s="552"/>
      <c r="C604" s="1822" t="s">
        <v>405</v>
      </c>
      <c r="D604" s="1822"/>
      <c r="E604" s="1822"/>
      <c r="F604" s="1822"/>
      <c r="G604" s="1822"/>
      <c r="H604" s="1822"/>
      <c r="I604" s="1822"/>
      <c r="J604" s="1822"/>
      <c r="K604" s="1822"/>
      <c r="L604" s="551">
        <v>72311.05</v>
      </c>
      <c r="M604" s="550"/>
      <c r="N604" s="549"/>
      <c r="AH604" s="675"/>
      <c r="AI604" s="537" t="s">
        <v>405</v>
      </c>
    </row>
    <row r="605" spans="1:35" s="536" customFormat="1" x14ac:dyDescent="0.2">
      <c r="A605" s="548"/>
      <c r="B605" s="552"/>
      <c r="C605" s="1822" t="s">
        <v>406</v>
      </c>
      <c r="D605" s="1822"/>
      <c r="E605" s="1822"/>
      <c r="F605" s="1822"/>
      <c r="G605" s="1822"/>
      <c r="H605" s="1822"/>
      <c r="I605" s="1822"/>
      <c r="J605" s="1822"/>
      <c r="K605" s="1822"/>
      <c r="L605" s="551">
        <v>8167.16</v>
      </c>
      <c r="M605" s="550"/>
      <c r="N605" s="549"/>
      <c r="AH605" s="675"/>
      <c r="AI605" s="537" t="s">
        <v>406</v>
      </c>
    </row>
    <row r="606" spans="1:35" s="536" customFormat="1" x14ac:dyDescent="0.2">
      <c r="A606" s="548"/>
      <c r="B606" s="552"/>
      <c r="C606" s="1822" t="s">
        <v>480</v>
      </c>
      <c r="D606" s="1822"/>
      <c r="E606" s="1822"/>
      <c r="F606" s="1822"/>
      <c r="G606" s="1822"/>
      <c r="H606" s="1822"/>
      <c r="I606" s="1822"/>
      <c r="J606" s="1822"/>
      <c r="K606" s="1822"/>
      <c r="L606" s="551">
        <v>478437.22</v>
      </c>
      <c r="M606" s="550"/>
      <c r="N606" s="549"/>
      <c r="AH606" s="675"/>
      <c r="AI606" s="537" t="s">
        <v>480</v>
      </c>
    </row>
    <row r="607" spans="1:35" s="536" customFormat="1" x14ac:dyDescent="0.2">
      <c r="A607" s="548"/>
      <c r="B607" s="552"/>
      <c r="C607" s="1822" t="s">
        <v>407</v>
      </c>
      <c r="D607" s="1822"/>
      <c r="E607" s="1822"/>
      <c r="F607" s="1822"/>
      <c r="G607" s="1822"/>
      <c r="H607" s="1822"/>
      <c r="I607" s="1822"/>
      <c r="J607" s="1822"/>
      <c r="K607" s="1822"/>
      <c r="L607" s="551">
        <v>600033.72</v>
      </c>
      <c r="M607" s="550"/>
      <c r="N607" s="549">
        <v>3708208</v>
      </c>
      <c r="AH607" s="675"/>
      <c r="AI607" s="537" t="s">
        <v>407</v>
      </c>
    </row>
    <row r="608" spans="1:35" s="536" customFormat="1" x14ac:dyDescent="0.2">
      <c r="A608" s="548"/>
      <c r="B608" s="552" t="s">
        <v>185</v>
      </c>
      <c r="C608" s="1822" t="s">
        <v>408</v>
      </c>
      <c r="D608" s="1822"/>
      <c r="E608" s="1822"/>
      <c r="F608" s="1822"/>
      <c r="G608" s="1822"/>
      <c r="H608" s="1822"/>
      <c r="I608" s="1822"/>
      <c r="J608" s="1822"/>
      <c r="K608" s="1822"/>
      <c r="L608" s="551">
        <v>598148.30000000005</v>
      </c>
      <c r="M608" s="550">
        <v>6.18</v>
      </c>
      <c r="N608" s="549">
        <v>3696556</v>
      </c>
      <c r="AH608" s="675"/>
      <c r="AI608" s="537" t="s">
        <v>408</v>
      </c>
    </row>
    <row r="609" spans="1:36" x14ac:dyDescent="0.2">
      <c r="A609" s="548"/>
      <c r="B609" s="552"/>
      <c r="C609" s="1822" t="s">
        <v>409</v>
      </c>
      <c r="D609" s="1822"/>
      <c r="E609" s="1822"/>
      <c r="F609" s="1822"/>
      <c r="G609" s="1822"/>
      <c r="H609" s="1822"/>
      <c r="I609" s="1822"/>
      <c r="J609" s="1822"/>
      <c r="K609" s="1822"/>
      <c r="L609" s="551"/>
      <c r="M609" s="550"/>
      <c r="N609" s="549"/>
      <c r="P609" s="536"/>
      <c r="Q609" s="536"/>
      <c r="R609" s="536"/>
      <c r="S609" s="536"/>
      <c r="T609" s="536"/>
      <c r="U609" s="536"/>
      <c r="V609" s="536"/>
      <c r="W609" s="536"/>
      <c r="X609" s="536"/>
      <c r="Y609" s="536"/>
      <c r="Z609" s="536"/>
      <c r="AA609" s="536"/>
      <c r="AB609" s="536"/>
      <c r="AC609" s="536"/>
      <c r="AD609" s="536"/>
      <c r="AE609" s="536"/>
      <c r="AF609" s="536"/>
      <c r="AG609" s="536"/>
      <c r="AH609" s="675"/>
      <c r="AI609" s="537" t="s">
        <v>409</v>
      </c>
      <c r="AJ609" s="536"/>
    </row>
    <row r="610" spans="1:36" x14ac:dyDescent="0.2">
      <c r="A610" s="548"/>
      <c r="B610" s="552"/>
      <c r="C610" s="1822" t="s">
        <v>410</v>
      </c>
      <c r="D610" s="1822"/>
      <c r="E610" s="1822"/>
      <c r="F610" s="1822"/>
      <c r="G610" s="1822"/>
      <c r="H610" s="1822"/>
      <c r="I610" s="1822"/>
      <c r="J610" s="1822"/>
      <c r="K610" s="1822"/>
      <c r="L610" s="551">
        <v>13711.26</v>
      </c>
      <c r="M610" s="550"/>
      <c r="N610" s="549"/>
      <c r="P610" s="536"/>
      <c r="Q610" s="536"/>
      <c r="R610" s="536"/>
      <c r="S610" s="536"/>
      <c r="T610" s="536"/>
      <c r="U610" s="536"/>
      <c r="V610" s="536"/>
      <c r="W610" s="536"/>
      <c r="X610" s="536"/>
      <c r="Y610" s="536"/>
      <c r="Z610" s="536"/>
      <c r="AA610" s="536"/>
      <c r="AB610" s="536"/>
      <c r="AC610" s="536"/>
      <c r="AD610" s="536"/>
      <c r="AE610" s="536"/>
      <c r="AF610" s="536"/>
      <c r="AG610" s="536"/>
      <c r="AH610" s="675"/>
      <c r="AI610" s="537" t="s">
        <v>410</v>
      </c>
      <c r="AJ610" s="536"/>
    </row>
    <row r="611" spans="1:36" x14ac:dyDescent="0.2">
      <c r="A611" s="548"/>
      <c r="B611" s="552"/>
      <c r="C611" s="1822" t="s">
        <v>411</v>
      </c>
      <c r="D611" s="1822"/>
      <c r="E611" s="1822"/>
      <c r="F611" s="1822"/>
      <c r="G611" s="1822"/>
      <c r="H611" s="1822"/>
      <c r="I611" s="1822"/>
      <c r="J611" s="1822"/>
      <c r="K611" s="1822"/>
      <c r="L611" s="551">
        <v>70425.63</v>
      </c>
      <c r="M611" s="550"/>
      <c r="N611" s="549"/>
      <c r="P611" s="536"/>
      <c r="Q611" s="536"/>
      <c r="R611" s="536"/>
      <c r="S611" s="536"/>
      <c r="T611" s="536"/>
      <c r="U611" s="536"/>
      <c r="V611" s="536"/>
      <c r="W611" s="536"/>
      <c r="X611" s="536"/>
      <c r="Y611" s="536"/>
      <c r="Z611" s="536"/>
      <c r="AA611" s="536"/>
      <c r="AB611" s="536"/>
      <c r="AC611" s="536"/>
      <c r="AD611" s="536"/>
      <c r="AE611" s="536"/>
      <c r="AF611" s="536"/>
      <c r="AG611" s="536"/>
      <c r="AH611" s="675"/>
      <c r="AI611" s="537" t="s">
        <v>411</v>
      </c>
      <c r="AJ611" s="536"/>
    </row>
    <row r="612" spans="1:36" x14ac:dyDescent="0.2">
      <c r="A612" s="548"/>
      <c r="B612" s="552"/>
      <c r="C612" s="1822" t="s">
        <v>481</v>
      </c>
      <c r="D612" s="1822"/>
      <c r="E612" s="1822"/>
      <c r="F612" s="1822"/>
      <c r="G612" s="1822"/>
      <c r="H612" s="1822"/>
      <c r="I612" s="1822"/>
      <c r="J612" s="1822"/>
      <c r="K612" s="1822"/>
      <c r="L612" s="551">
        <v>478437.22</v>
      </c>
      <c r="M612" s="550"/>
      <c r="N612" s="549"/>
      <c r="P612" s="536"/>
      <c r="Q612" s="536"/>
      <c r="R612" s="536"/>
      <c r="S612" s="536"/>
      <c r="T612" s="536"/>
      <c r="U612" s="536"/>
      <c r="V612" s="536"/>
      <c r="W612" s="536"/>
      <c r="X612" s="536"/>
      <c r="Y612" s="536"/>
      <c r="Z612" s="536"/>
      <c r="AA612" s="536"/>
      <c r="AB612" s="536"/>
      <c r="AC612" s="536"/>
      <c r="AD612" s="536"/>
      <c r="AE612" s="536"/>
      <c r="AF612" s="536"/>
      <c r="AG612" s="536"/>
      <c r="AH612" s="675"/>
      <c r="AI612" s="537" t="s">
        <v>481</v>
      </c>
      <c r="AJ612" s="536"/>
    </row>
    <row r="613" spans="1:36" x14ac:dyDescent="0.2">
      <c r="A613" s="548"/>
      <c r="B613" s="552"/>
      <c r="C613" s="1822" t="s">
        <v>412</v>
      </c>
      <c r="D613" s="1822"/>
      <c r="E613" s="1822"/>
      <c r="F613" s="1822"/>
      <c r="G613" s="1822"/>
      <c r="H613" s="1822"/>
      <c r="I613" s="1822"/>
      <c r="J613" s="1822"/>
      <c r="K613" s="1822"/>
      <c r="L613" s="551">
        <v>22666.799999999999</v>
      </c>
      <c r="M613" s="550"/>
      <c r="N613" s="549"/>
      <c r="P613" s="536"/>
      <c r="Q613" s="536"/>
      <c r="R613" s="536"/>
      <c r="S613" s="536"/>
      <c r="T613" s="536"/>
      <c r="U613" s="536"/>
      <c r="V613" s="536"/>
      <c r="W613" s="536"/>
      <c r="X613" s="536"/>
      <c r="Y613" s="536"/>
      <c r="Z613" s="536"/>
      <c r="AA613" s="536"/>
      <c r="AB613" s="536"/>
      <c r="AC613" s="536"/>
      <c r="AD613" s="536"/>
      <c r="AE613" s="536"/>
      <c r="AF613" s="536"/>
      <c r="AG613" s="536"/>
      <c r="AH613" s="675"/>
      <c r="AI613" s="537" t="s">
        <v>412</v>
      </c>
      <c r="AJ613" s="536"/>
    </row>
    <row r="614" spans="1:36" x14ac:dyDescent="0.2">
      <c r="A614" s="548"/>
      <c r="B614" s="552"/>
      <c r="C614" s="1822" t="s">
        <v>413</v>
      </c>
      <c r="D614" s="1822"/>
      <c r="E614" s="1822"/>
      <c r="F614" s="1822"/>
      <c r="G614" s="1822"/>
      <c r="H614" s="1822"/>
      <c r="I614" s="1822"/>
      <c r="J614" s="1822"/>
      <c r="K614" s="1822"/>
      <c r="L614" s="551">
        <v>12907.39</v>
      </c>
      <c r="M614" s="550"/>
      <c r="N614" s="549"/>
      <c r="P614" s="536"/>
      <c r="Q614" s="536"/>
      <c r="R614" s="536"/>
      <c r="S614" s="536"/>
      <c r="T614" s="536"/>
      <c r="U614" s="536"/>
      <c r="V614" s="536"/>
      <c r="W614" s="536"/>
      <c r="X614" s="536"/>
      <c r="Y614" s="536"/>
      <c r="Z614" s="536"/>
      <c r="AA614" s="536"/>
      <c r="AB614" s="536"/>
      <c r="AC614" s="536"/>
      <c r="AD614" s="536"/>
      <c r="AE614" s="536"/>
      <c r="AF614" s="536"/>
      <c r="AG614" s="536"/>
      <c r="AH614" s="675"/>
      <c r="AI614" s="537" t="s">
        <v>413</v>
      </c>
      <c r="AJ614" s="536"/>
    </row>
    <row r="615" spans="1:36" x14ac:dyDescent="0.2">
      <c r="A615" s="548"/>
      <c r="B615" s="552" t="s">
        <v>185</v>
      </c>
      <c r="C615" s="1822" t="s">
        <v>414</v>
      </c>
      <c r="D615" s="1822"/>
      <c r="E615" s="1822"/>
      <c r="F615" s="1822"/>
      <c r="G615" s="1822"/>
      <c r="H615" s="1822"/>
      <c r="I615" s="1822"/>
      <c r="J615" s="1822"/>
      <c r="K615" s="1822"/>
      <c r="L615" s="551">
        <v>1885.42</v>
      </c>
      <c r="M615" s="550">
        <v>6.18</v>
      </c>
      <c r="N615" s="549">
        <v>11652</v>
      </c>
      <c r="P615" s="536"/>
      <c r="Q615" s="536"/>
      <c r="R615" s="536"/>
      <c r="S615" s="536"/>
      <c r="T615" s="536"/>
      <c r="U615" s="536"/>
      <c r="V615" s="536"/>
      <c r="W615" s="536"/>
      <c r="X615" s="536"/>
      <c r="Y615" s="536"/>
      <c r="Z615" s="536"/>
      <c r="AA615" s="536"/>
      <c r="AB615" s="536"/>
      <c r="AC615" s="536"/>
      <c r="AD615" s="536"/>
      <c r="AE615" s="536"/>
      <c r="AF615" s="536"/>
      <c r="AG615" s="536"/>
      <c r="AH615" s="675"/>
      <c r="AI615" s="537" t="s">
        <v>414</v>
      </c>
      <c r="AJ615" s="536"/>
    </row>
    <row r="616" spans="1:36" x14ac:dyDescent="0.2">
      <c r="A616" s="548"/>
      <c r="B616" s="552"/>
      <c r="C616" s="1822" t="s">
        <v>415</v>
      </c>
      <c r="D616" s="1822"/>
      <c r="E616" s="1822"/>
      <c r="F616" s="1822"/>
      <c r="G616" s="1822"/>
      <c r="H616" s="1822"/>
      <c r="I616" s="1822"/>
      <c r="J616" s="1822"/>
      <c r="K616" s="1822"/>
      <c r="L616" s="551">
        <v>21878.42</v>
      </c>
      <c r="M616" s="550"/>
      <c r="N616" s="549"/>
      <c r="P616" s="536"/>
      <c r="Q616" s="536"/>
      <c r="R616" s="536"/>
      <c r="S616" s="536"/>
      <c r="T616" s="536"/>
      <c r="U616" s="536"/>
      <c r="V616" s="536"/>
      <c r="W616" s="536"/>
      <c r="X616" s="536"/>
      <c r="Y616" s="536"/>
      <c r="Z616" s="536"/>
      <c r="AA616" s="536"/>
      <c r="AB616" s="536"/>
      <c r="AC616" s="536"/>
      <c r="AD616" s="536"/>
      <c r="AE616" s="536"/>
      <c r="AF616" s="536"/>
      <c r="AG616" s="536"/>
      <c r="AH616" s="675"/>
      <c r="AI616" s="537" t="s">
        <v>415</v>
      </c>
      <c r="AJ616" s="536"/>
    </row>
    <row r="617" spans="1:36" x14ac:dyDescent="0.2">
      <c r="A617" s="548"/>
      <c r="B617" s="552"/>
      <c r="C617" s="1822" t="s">
        <v>416</v>
      </c>
      <c r="D617" s="1822"/>
      <c r="E617" s="1822"/>
      <c r="F617" s="1822"/>
      <c r="G617" s="1822"/>
      <c r="H617" s="1822"/>
      <c r="I617" s="1822"/>
      <c r="J617" s="1822"/>
      <c r="K617" s="1822"/>
      <c r="L617" s="551">
        <v>22666.799999999999</v>
      </c>
      <c r="M617" s="550"/>
      <c r="N617" s="549"/>
      <c r="P617" s="536"/>
      <c r="Q617" s="536"/>
      <c r="R617" s="536"/>
      <c r="S617" s="536"/>
      <c r="T617" s="536"/>
      <c r="U617" s="536"/>
      <c r="V617" s="536"/>
      <c r="W617" s="536"/>
      <c r="X617" s="536"/>
      <c r="Y617" s="536"/>
      <c r="Z617" s="536"/>
      <c r="AA617" s="536"/>
      <c r="AB617" s="536"/>
      <c r="AC617" s="536"/>
      <c r="AD617" s="536"/>
      <c r="AE617" s="536"/>
      <c r="AF617" s="536"/>
      <c r="AG617" s="536"/>
      <c r="AH617" s="675"/>
      <c r="AI617" s="537" t="s">
        <v>416</v>
      </c>
      <c r="AJ617" s="536"/>
    </row>
    <row r="618" spans="1:36" x14ac:dyDescent="0.2">
      <c r="A618" s="548"/>
      <c r="B618" s="552"/>
      <c r="C618" s="1822" t="s">
        <v>417</v>
      </c>
      <c r="D618" s="1822"/>
      <c r="E618" s="1822"/>
      <c r="F618" s="1822"/>
      <c r="G618" s="1822"/>
      <c r="H618" s="1822"/>
      <c r="I618" s="1822"/>
      <c r="J618" s="1822"/>
      <c r="K618" s="1822"/>
      <c r="L618" s="551">
        <v>12907.39</v>
      </c>
      <c r="M618" s="550"/>
      <c r="N618" s="549"/>
      <c r="P618" s="536"/>
      <c r="Q618" s="536"/>
      <c r="R618" s="536"/>
      <c r="S618" s="536"/>
      <c r="T618" s="536"/>
      <c r="U618" s="536"/>
      <c r="V618" s="536"/>
      <c r="W618" s="536"/>
      <c r="X618" s="536"/>
      <c r="Y618" s="536"/>
      <c r="Z618" s="536"/>
      <c r="AA618" s="536"/>
      <c r="AB618" s="536"/>
      <c r="AC618" s="536"/>
      <c r="AD618" s="536"/>
      <c r="AE618" s="536"/>
      <c r="AF618" s="536"/>
      <c r="AG618" s="536"/>
      <c r="AH618" s="675"/>
      <c r="AI618" s="537" t="s">
        <v>417</v>
      </c>
      <c r="AJ618" s="536"/>
    </row>
    <row r="619" spans="1:36" x14ac:dyDescent="0.2">
      <c r="A619" s="548"/>
      <c r="B619" s="546"/>
      <c r="C619" s="1819" t="s">
        <v>206</v>
      </c>
      <c r="D619" s="1819"/>
      <c r="E619" s="1819"/>
      <c r="F619" s="1819"/>
      <c r="G619" s="1819"/>
      <c r="H619" s="1819"/>
      <c r="I619" s="1819"/>
      <c r="J619" s="1819"/>
      <c r="K619" s="1819"/>
      <c r="L619" s="544">
        <v>600033.72</v>
      </c>
      <c r="M619" s="543"/>
      <c r="N619" s="547">
        <v>3708208</v>
      </c>
      <c r="P619" s="536"/>
      <c r="Q619" s="536"/>
      <c r="R619" s="536"/>
      <c r="S619" s="536"/>
      <c r="T619" s="536"/>
      <c r="U619" s="536"/>
      <c r="V619" s="536"/>
      <c r="W619" s="536"/>
      <c r="X619" s="536"/>
      <c r="Y619" s="536"/>
      <c r="Z619" s="536"/>
      <c r="AA619" s="536"/>
      <c r="AB619" s="536"/>
      <c r="AC619" s="536"/>
      <c r="AD619" s="536"/>
      <c r="AE619" s="536"/>
      <c r="AF619" s="536"/>
      <c r="AG619" s="536"/>
      <c r="AH619" s="675"/>
      <c r="AI619" s="536"/>
      <c r="AJ619" s="675" t="s">
        <v>206</v>
      </c>
    </row>
    <row r="620" spans="1:36" x14ac:dyDescent="0.2">
      <c r="A620" s="548"/>
      <c r="B620" s="552"/>
      <c r="C620" s="1822" t="s">
        <v>204</v>
      </c>
      <c r="D620" s="1822"/>
      <c r="E620" s="1822"/>
      <c r="F620" s="1822"/>
      <c r="G620" s="1822"/>
      <c r="H620" s="1822"/>
      <c r="I620" s="1822"/>
      <c r="J620" s="1822"/>
      <c r="K620" s="1822"/>
      <c r="L620" s="551"/>
      <c r="M620" s="550"/>
      <c r="N620" s="549"/>
      <c r="P620" s="536"/>
      <c r="Q620" s="536"/>
      <c r="R620" s="536"/>
      <c r="S620" s="536"/>
      <c r="T620" s="536"/>
      <c r="U620" s="536"/>
      <c r="V620" s="536"/>
      <c r="W620" s="536"/>
      <c r="X620" s="536"/>
      <c r="Y620" s="536"/>
      <c r="Z620" s="536"/>
      <c r="AA620" s="536"/>
      <c r="AB620" s="536"/>
      <c r="AC620" s="536"/>
      <c r="AD620" s="536"/>
      <c r="AE620" s="536"/>
      <c r="AF620" s="536"/>
      <c r="AG620" s="536"/>
      <c r="AH620" s="675"/>
      <c r="AI620" s="537" t="s">
        <v>204</v>
      </c>
      <c r="AJ620" s="675"/>
    </row>
    <row r="621" spans="1:36" x14ac:dyDescent="0.2">
      <c r="A621" s="548"/>
      <c r="B621" s="552"/>
      <c r="C621" s="1822" t="s">
        <v>8095</v>
      </c>
      <c r="D621" s="1822"/>
      <c r="E621" s="1822"/>
      <c r="F621" s="1822"/>
      <c r="G621" s="1822"/>
      <c r="H621" s="1822"/>
      <c r="I621" s="1822"/>
      <c r="J621" s="1822"/>
      <c r="K621" s="1822"/>
      <c r="L621" s="551">
        <v>27134.3</v>
      </c>
      <c r="M621" s="550"/>
      <c r="N621" s="549">
        <v>167690</v>
      </c>
      <c r="P621" s="536"/>
      <c r="Q621" s="536"/>
      <c r="R621" s="536"/>
      <c r="S621" s="536"/>
      <c r="T621" s="536"/>
      <c r="U621" s="536"/>
      <c r="V621" s="536"/>
      <c r="W621" s="536"/>
      <c r="X621" s="536"/>
      <c r="Y621" s="536"/>
      <c r="Z621" s="536"/>
      <c r="AA621" s="536"/>
      <c r="AB621" s="536"/>
      <c r="AC621" s="536"/>
      <c r="AD621" s="536"/>
      <c r="AE621" s="536"/>
      <c r="AF621" s="536"/>
      <c r="AG621" s="536"/>
      <c r="AH621" s="675"/>
      <c r="AI621" s="537" t="s">
        <v>8095</v>
      </c>
      <c r="AJ621" s="675"/>
    </row>
    <row r="622" spans="1:36" ht="1.5" customHeight="1" x14ac:dyDescent="0.2">
      <c r="B622" s="546"/>
      <c r="C622" s="671"/>
      <c r="D622" s="671"/>
      <c r="E622" s="671"/>
      <c r="F622" s="671"/>
      <c r="G622" s="671"/>
      <c r="H622" s="671"/>
      <c r="I622" s="671"/>
      <c r="J622" s="671"/>
      <c r="K622" s="671"/>
      <c r="L622" s="544"/>
      <c r="M622" s="543"/>
      <c r="N622" s="542"/>
      <c r="P622" s="536"/>
      <c r="Q622" s="536"/>
      <c r="R622" s="536"/>
      <c r="S622" s="536"/>
      <c r="T622" s="536"/>
      <c r="U622" s="536"/>
      <c r="V622" s="536"/>
      <c r="W622" s="536"/>
      <c r="X622" s="536"/>
      <c r="Y622" s="536"/>
      <c r="Z622" s="536"/>
      <c r="AA622" s="536"/>
      <c r="AB622" s="536"/>
      <c r="AC622" s="536"/>
      <c r="AD622" s="536"/>
      <c r="AE622" s="536"/>
      <c r="AF622" s="536"/>
      <c r="AG622" s="536"/>
      <c r="AH622" s="536"/>
      <c r="AI622" s="536"/>
      <c r="AJ622" s="536"/>
    </row>
    <row r="623" spans="1:36" ht="53.25" customHeight="1" x14ac:dyDescent="0.2">
      <c r="A623" s="541"/>
      <c r="B623" s="541"/>
      <c r="C623" s="541"/>
      <c r="D623" s="541"/>
      <c r="E623" s="541"/>
      <c r="F623" s="541"/>
      <c r="G623" s="541"/>
      <c r="H623" s="541"/>
      <c r="I623" s="541"/>
      <c r="J623" s="541"/>
      <c r="K623" s="541"/>
      <c r="L623" s="541"/>
      <c r="M623" s="541"/>
      <c r="N623" s="541"/>
      <c r="P623" s="536"/>
      <c r="Q623" s="536"/>
      <c r="R623" s="536"/>
      <c r="S623" s="536"/>
      <c r="T623" s="536"/>
      <c r="U623" s="536"/>
      <c r="V623" s="536"/>
      <c r="W623" s="536"/>
      <c r="X623" s="536"/>
      <c r="Y623" s="536"/>
      <c r="Z623" s="536"/>
      <c r="AA623" s="536"/>
      <c r="AB623" s="536"/>
      <c r="AC623" s="536"/>
      <c r="AD623" s="536"/>
      <c r="AE623" s="536"/>
      <c r="AF623" s="536"/>
      <c r="AG623" s="536"/>
      <c r="AH623" s="536"/>
      <c r="AI623" s="536"/>
      <c r="AJ623" s="536"/>
    </row>
    <row r="624" spans="1:36" x14ac:dyDescent="0.2">
      <c r="B624" s="539" t="s">
        <v>149</v>
      </c>
      <c r="C624" s="1943" t="s">
        <v>207</v>
      </c>
      <c r="D624" s="1943"/>
      <c r="E624" s="1943"/>
      <c r="F624" s="1943"/>
      <c r="G624" s="1943"/>
      <c r="H624" s="1943"/>
      <c r="I624" s="1943"/>
      <c r="J624" s="1943"/>
      <c r="K624" s="1943"/>
      <c r="L624" s="1943"/>
    </row>
    <row r="625" spans="2:36" ht="13.5" customHeight="1" x14ac:dyDescent="0.2">
      <c r="B625" s="540"/>
      <c r="C625" s="1821" t="s">
        <v>150</v>
      </c>
      <c r="D625" s="1821"/>
      <c r="E625" s="1821"/>
      <c r="F625" s="1821"/>
      <c r="G625" s="1821"/>
      <c r="H625" s="1821"/>
      <c r="I625" s="1821"/>
      <c r="J625" s="1821"/>
      <c r="K625" s="1821"/>
      <c r="L625" s="1821"/>
    </row>
    <row r="626" spans="2:36" ht="12.75" customHeight="1" x14ac:dyDescent="0.2">
      <c r="B626" s="539" t="s">
        <v>151</v>
      </c>
      <c r="C626" s="1943" t="s">
        <v>208</v>
      </c>
      <c r="D626" s="1943"/>
      <c r="E626" s="1943"/>
      <c r="F626" s="1943"/>
      <c r="G626" s="1943"/>
      <c r="H626" s="1943"/>
      <c r="I626" s="1943"/>
      <c r="J626" s="1943"/>
      <c r="K626" s="1943"/>
      <c r="L626" s="1943"/>
    </row>
    <row r="627" spans="2:36" ht="13.5" customHeight="1" x14ac:dyDescent="0.2">
      <c r="C627" s="1821" t="s">
        <v>150</v>
      </c>
      <c r="D627" s="1821"/>
      <c r="E627" s="1821"/>
      <c r="F627" s="1821"/>
      <c r="G627" s="1821"/>
      <c r="H627" s="1821"/>
      <c r="I627" s="1821"/>
      <c r="J627" s="1821"/>
      <c r="K627" s="1821"/>
      <c r="L627" s="1821"/>
    </row>
    <row r="629" spans="2:36" x14ac:dyDescent="0.2">
      <c r="B629" s="538"/>
      <c r="D629" s="538"/>
      <c r="F629" s="538"/>
      <c r="P629" s="536"/>
      <c r="Q629" s="536"/>
      <c r="R629" s="536"/>
      <c r="S629" s="536"/>
      <c r="T629" s="536"/>
      <c r="U629" s="536"/>
      <c r="V629" s="536"/>
      <c r="W629" s="536"/>
      <c r="X629" s="536"/>
      <c r="Y629" s="536"/>
      <c r="Z629" s="536"/>
      <c r="AA629" s="536"/>
      <c r="AB629" s="536"/>
      <c r="AC629" s="536"/>
      <c r="AD629" s="536"/>
      <c r="AE629" s="536"/>
      <c r="AF629" s="536"/>
      <c r="AG629" s="536"/>
      <c r="AH629" s="536"/>
      <c r="AI629" s="536"/>
      <c r="AJ629" s="536"/>
    </row>
  </sheetData>
  <mergeCells count="558">
    <mergeCell ref="C626:L626"/>
    <mergeCell ref="C627:L627"/>
    <mergeCell ref="C618:K618"/>
    <mergeCell ref="C619:K619"/>
    <mergeCell ref="C620:K620"/>
    <mergeCell ref="C621:K621"/>
    <mergeCell ref="C624:L624"/>
    <mergeCell ref="C625:L625"/>
    <mergeCell ref="C612:K612"/>
    <mergeCell ref="C613:K613"/>
    <mergeCell ref="C614:K614"/>
    <mergeCell ref="C615:K615"/>
    <mergeCell ref="C616:K616"/>
    <mergeCell ref="C617:K617"/>
    <mergeCell ref="C606:K606"/>
    <mergeCell ref="C607:K607"/>
    <mergeCell ref="C608:K608"/>
    <mergeCell ref="C609:K609"/>
    <mergeCell ref="C610:K610"/>
    <mergeCell ref="C611:K611"/>
    <mergeCell ref="C600:K600"/>
    <mergeCell ref="C601:K601"/>
    <mergeCell ref="C602:K602"/>
    <mergeCell ref="C603:K603"/>
    <mergeCell ref="C604:K604"/>
    <mergeCell ref="C605:K605"/>
    <mergeCell ref="C593:K593"/>
    <mergeCell ref="C594:K594"/>
    <mergeCell ref="C595:K595"/>
    <mergeCell ref="C596:K596"/>
    <mergeCell ref="C597:K597"/>
    <mergeCell ref="C598:K598"/>
    <mergeCell ref="C584:E584"/>
    <mergeCell ref="C586:N586"/>
    <mergeCell ref="C587:E587"/>
    <mergeCell ref="C589:N589"/>
    <mergeCell ref="C591:K591"/>
    <mergeCell ref="C592:K592"/>
    <mergeCell ref="C577:K577"/>
    <mergeCell ref="C578:K578"/>
    <mergeCell ref="C579:K579"/>
    <mergeCell ref="C580:K580"/>
    <mergeCell ref="A581:N581"/>
    <mergeCell ref="C582:E582"/>
    <mergeCell ref="C571:K571"/>
    <mergeCell ref="C572:K572"/>
    <mergeCell ref="C573:K573"/>
    <mergeCell ref="C574:K574"/>
    <mergeCell ref="C575:K575"/>
    <mergeCell ref="C576:K576"/>
    <mergeCell ref="C565:K565"/>
    <mergeCell ref="C566:K566"/>
    <mergeCell ref="C567:K567"/>
    <mergeCell ref="C568:K568"/>
    <mergeCell ref="C569:K569"/>
    <mergeCell ref="C570:K570"/>
    <mergeCell ref="C556:E556"/>
    <mergeCell ref="C558:E558"/>
    <mergeCell ref="C561:K561"/>
    <mergeCell ref="C562:K562"/>
    <mergeCell ref="C563:K563"/>
    <mergeCell ref="C564:K564"/>
    <mergeCell ref="C550:E550"/>
    <mergeCell ref="C551:E551"/>
    <mergeCell ref="C552:E552"/>
    <mergeCell ref="C553:E553"/>
    <mergeCell ref="C554:E554"/>
    <mergeCell ref="C555:E555"/>
    <mergeCell ref="C544:E544"/>
    <mergeCell ref="C545:E545"/>
    <mergeCell ref="C546:E546"/>
    <mergeCell ref="C547:E547"/>
    <mergeCell ref="C548:E548"/>
    <mergeCell ref="C549:E549"/>
    <mergeCell ref="C537:E537"/>
    <mergeCell ref="C538:E538"/>
    <mergeCell ref="C539:E539"/>
    <mergeCell ref="C540:E540"/>
    <mergeCell ref="C542:E542"/>
    <mergeCell ref="C543:N543"/>
    <mergeCell ref="C531:E531"/>
    <mergeCell ref="C532:E532"/>
    <mergeCell ref="C533:E533"/>
    <mergeCell ref="C534:E534"/>
    <mergeCell ref="C535:E535"/>
    <mergeCell ref="C536:E536"/>
    <mergeCell ref="C524:E524"/>
    <mergeCell ref="C526:E526"/>
    <mergeCell ref="C527:N527"/>
    <mergeCell ref="C528:E528"/>
    <mergeCell ref="C529:E529"/>
    <mergeCell ref="C530:E530"/>
    <mergeCell ref="C518:E518"/>
    <mergeCell ref="C519:E519"/>
    <mergeCell ref="C520:E520"/>
    <mergeCell ref="C521:E521"/>
    <mergeCell ref="C522:E522"/>
    <mergeCell ref="C523:E523"/>
    <mergeCell ref="C512:E512"/>
    <mergeCell ref="C513:E513"/>
    <mergeCell ref="C514:E514"/>
    <mergeCell ref="C515:E515"/>
    <mergeCell ref="C516:E516"/>
    <mergeCell ref="C517:E517"/>
    <mergeCell ref="C505:E505"/>
    <mergeCell ref="C506:E506"/>
    <mergeCell ref="C507:E507"/>
    <mergeCell ref="C508:E508"/>
    <mergeCell ref="C510:E510"/>
    <mergeCell ref="C511:N511"/>
    <mergeCell ref="C499:E499"/>
    <mergeCell ref="C500:E500"/>
    <mergeCell ref="C501:E501"/>
    <mergeCell ref="C502:E502"/>
    <mergeCell ref="C503:E503"/>
    <mergeCell ref="C504:E504"/>
    <mergeCell ref="C492:E492"/>
    <mergeCell ref="C494:E494"/>
    <mergeCell ref="C495:N495"/>
    <mergeCell ref="C496:E496"/>
    <mergeCell ref="C497:E497"/>
    <mergeCell ref="C498:E498"/>
    <mergeCell ref="C486:E486"/>
    <mergeCell ref="C487:E487"/>
    <mergeCell ref="C488:E488"/>
    <mergeCell ref="C489:E489"/>
    <mergeCell ref="C490:E490"/>
    <mergeCell ref="C491:E491"/>
    <mergeCell ref="C480:N480"/>
    <mergeCell ref="C481:E481"/>
    <mergeCell ref="C482:E482"/>
    <mergeCell ref="C483:E483"/>
    <mergeCell ref="C484:E484"/>
    <mergeCell ref="C485:E485"/>
    <mergeCell ref="C472:E472"/>
    <mergeCell ref="C473:E473"/>
    <mergeCell ref="C474:E474"/>
    <mergeCell ref="C475:E475"/>
    <mergeCell ref="C477:E477"/>
    <mergeCell ref="C479:E479"/>
    <mergeCell ref="C466:E466"/>
    <mergeCell ref="C467:E467"/>
    <mergeCell ref="C468:E468"/>
    <mergeCell ref="C469:E469"/>
    <mergeCell ref="C470:E470"/>
    <mergeCell ref="C471:E471"/>
    <mergeCell ref="C459:E459"/>
    <mergeCell ref="C461:E461"/>
    <mergeCell ref="C462:N462"/>
    <mergeCell ref="C463:E463"/>
    <mergeCell ref="C464:E464"/>
    <mergeCell ref="C465:E465"/>
    <mergeCell ref="C453:E453"/>
    <mergeCell ref="C454:E454"/>
    <mergeCell ref="C455:E455"/>
    <mergeCell ref="C456:E456"/>
    <mergeCell ref="C457:E457"/>
    <mergeCell ref="C458:E458"/>
    <mergeCell ref="C447:E447"/>
    <mergeCell ref="C448:E448"/>
    <mergeCell ref="C449:E449"/>
    <mergeCell ref="C450:E450"/>
    <mergeCell ref="C451:E451"/>
    <mergeCell ref="C452:E452"/>
    <mergeCell ref="C438:E438"/>
    <mergeCell ref="C440:E440"/>
    <mergeCell ref="C442:E442"/>
    <mergeCell ref="C444:E444"/>
    <mergeCell ref="C445:N445"/>
    <mergeCell ref="C446:N446"/>
    <mergeCell ref="C429:E429"/>
    <mergeCell ref="C430:E430"/>
    <mergeCell ref="C431:E431"/>
    <mergeCell ref="C432:E432"/>
    <mergeCell ref="C434:E434"/>
    <mergeCell ref="C436:E436"/>
    <mergeCell ref="C423:E423"/>
    <mergeCell ref="C424:E424"/>
    <mergeCell ref="C425:E425"/>
    <mergeCell ref="C426:E426"/>
    <mergeCell ref="C427:E427"/>
    <mergeCell ref="C428:E428"/>
    <mergeCell ref="C417:E417"/>
    <mergeCell ref="C418:E418"/>
    <mergeCell ref="C419:E419"/>
    <mergeCell ref="C420:E420"/>
    <mergeCell ref="C421:E421"/>
    <mergeCell ref="C422:E422"/>
    <mergeCell ref="C408:E408"/>
    <mergeCell ref="C410:E410"/>
    <mergeCell ref="C412:E412"/>
    <mergeCell ref="C414:E414"/>
    <mergeCell ref="C415:N415"/>
    <mergeCell ref="C416:N416"/>
    <mergeCell ref="C398:E398"/>
    <mergeCell ref="C399:E399"/>
    <mergeCell ref="C400:E400"/>
    <mergeCell ref="C402:E402"/>
    <mergeCell ref="C404:E404"/>
    <mergeCell ref="C406:E406"/>
    <mergeCell ref="C392:E392"/>
    <mergeCell ref="C393:E393"/>
    <mergeCell ref="C394:E394"/>
    <mergeCell ref="C395:E395"/>
    <mergeCell ref="C396:E396"/>
    <mergeCell ref="C397:E397"/>
    <mergeCell ref="C386:E386"/>
    <mergeCell ref="C387:E387"/>
    <mergeCell ref="C388:E388"/>
    <mergeCell ref="C389:E389"/>
    <mergeCell ref="C390:E390"/>
    <mergeCell ref="C391:E391"/>
    <mergeCell ref="C379:N379"/>
    <mergeCell ref="C380:E380"/>
    <mergeCell ref="C382:E382"/>
    <mergeCell ref="C383:N383"/>
    <mergeCell ref="C384:N384"/>
    <mergeCell ref="C385:E385"/>
    <mergeCell ref="C367:E367"/>
    <mergeCell ref="C369:E369"/>
    <mergeCell ref="C371:E371"/>
    <mergeCell ref="C373:E373"/>
    <mergeCell ref="C375:E375"/>
    <mergeCell ref="C377:E377"/>
    <mergeCell ref="C360:E360"/>
    <mergeCell ref="C361:E361"/>
    <mergeCell ref="C362:E362"/>
    <mergeCell ref="C363:E363"/>
    <mergeCell ref="C364:E364"/>
    <mergeCell ref="C365:E365"/>
    <mergeCell ref="C354:E354"/>
    <mergeCell ref="C355:E355"/>
    <mergeCell ref="C356:E356"/>
    <mergeCell ref="C357:E357"/>
    <mergeCell ref="C358:E358"/>
    <mergeCell ref="C359:E359"/>
    <mergeCell ref="C348:N348"/>
    <mergeCell ref="C349:N349"/>
    <mergeCell ref="C350:E350"/>
    <mergeCell ref="C351:E351"/>
    <mergeCell ref="C352:E352"/>
    <mergeCell ref="C353:E353"/>
    <mergeCell ref="C341:E341"/>
    <mergeCell ref="C342:E342"/>
    <mergeCell ref="C343:E343"/>
    <mergeCell ref="C344:E344"/>
    <mergeCell ref="C345:E345"/>
    <mergeCell ref="C347:E347"/>
    <mergeCell ref="C335:E335"/>
    <mergeCell ref="C336:E336"/>
    <mergeCell ref="C337:E337"/>
    <mergeCell ref="C338:E338"/>
    <mergeCell ref="C339:E339"/>
    <mergeCell ref="C340:E340"/>
    <mergeCell ref="C328:E328"/>
    <mergeCell ref="C330:E330"/>
    <mergeCell ref="C331:N331"/>
    <mergeCell ref="C332:N332"/>
    <mergeCell ref="C333:E333"/>
    <mergeCell ref="C334:E334"/>
    <mergeCell ref="C322:E322"/>
    <mergeCell ref="C323:E323"/>
    <mergeCell ref="C324:E324"/>
    <mergeCell ref="C325:E325"/>
    <mergeCell ref="C326:E326"/>
    <mergeCell ref="C327:E327"/>
    <mergeCell ref="C316:E316"/>
    <mergeCell ref="C317:E317"/>
    <mergeCell ref="C318:E318"/>
    <mergeCell ref="C319:E319"/>
    <mergeCell ref="C320:E320"/>
    <mergeCell ref="C321:E321"/>
    <mergeCell ref="C309:N309"/>
    <mergeCell ref="C310:E310"/>
    <mergeCell ref="C312:N312"/>
    <mergeCell ref="C313:E313"/>
    <mergeCell ref="C314:N314"/>
    <mergeCell ref="C315:N315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289:E289"/>
    <mergeCell ref="C290:E290"/>
    <mergeCell ref="C292:E292"/>
    <mergeCell ref="C293:N293"/>
    <mergeCell ref="C294:N294"/>
    <mergeCell ref="C295:E295"/>
    <mergeCell ref="C283:E283"/>
    <mergeCell ref="C284:E284"/>
    <mergeCell ref="C285:E285"/>
    <mergeCell ref="C286:E286"/>
    <mergeCell ref="C287:E287"/>
    <mergeCell ref="C288:E288"/>
    <mergeCell ref="C277:N277"/>
    <mergeCell ref="C278:E278"/>
    <mergeCell ref="C279:E279"/>
    <mergeCell ref="C280:E280"/>
    <mergeCell ref="C281:E281"/>
    <mergeCell ref="C282:E282"/>
    <mergeCell ref="C269:E269"/>
    <mergeCell ref="C271:N271"/>
    <mergeCell ref="C272:E272"/>
    <mergeCell ref="C274:N274"/>
    <mergeCell ref="C275:E275"/>
    <mergeCell ref="C276:N276"/>
    <mergeCell ref="C263:E263"/>
    <mergeCell ref="C264:E264"/>
    <mergeCell ref="C265:E265"/>
    <mergeCell ref="C266:E266"/>
    <mergeCell ref="C267:E267"/>
    <mergeCell ref="C268:E268"/>
    <mergeCell ref="C257:N257"/>
    <mergeCell ref="C258:E258"/>
    <mergeCell ref="C259:E259"/>
    <mergeCell ref="C260:E260"/>
    <mergeCell ref="C261:E261"/>
    <mergeCell ref="C262:E262"/>
    <mergeCell ref="C250:E250"/>
    <mergeCell ref="C251:E251"/>
    <mergeCell ref="C252:E252"/>
    <mergeCell ref="C253:E253"/>
    <mergeCell ref="C255:E255"/>
    <mergeCell ref="C256:N256"/>
    <mergeCell ref="C244:E244"/>
    <mergeCell ref="C245:E245"/>
    <mergeCell ref="C246:E246"/>
    <mergeCell ref="C247:E247"/>
    <mergeCell ref="C248:E248"/>
    <mergeCell ref="C249:E249"/>
    <mergeCell ref="C238:N238"/>
    <mergeCell ref="C239:E239"/>
    <mergeCell ref="C240:N240"/>
    <mergeCell ref="C241:E241"/>
    <mergeCell ref="C242:E242"/>
    <mergeCell ref="C243:E243"/>
    <mergeCell ref="C229:E229"/>
    <mergeCell ref="C230:E230"/>
    <mergeCell ref="C232:N232"/>
    <mergeCell ref="C233:E233"/>
    <mergeCell ref="C235:N235"/>
    <mergeCell ref="C236:E236"/>
    <mergeCell ref="C223:E223"/>
    <mergeCell ref="C224:E224"/>
    <mergeCell ref="C225:E225"/>
    <mergeCell ref="C226:E226"/>
    <mergeCell ref="C227:E227"/>
    <mergeCell ref="C228:E228"/>
    <mergeCell ref="C217:N217"/>
    <mergeCell ref="C218:E218"/>
    <mergeCell ref="C219:E219"/>
    <mergeCell ref="C220:E220"/>
    <mergeCell ref="C221:E221"/>
    <mergeCell ref="C222:E222"/>
    <mergeCell ref="C211:E211"/>
    <mergeCell ref="C212:E212"/>
    <mergeCell ref="C213:E213"/>
    <mergeCell ref="C214:E214"/>
    <mergeCell ref="C215:E215"/>
    <mergeCell ref="C216:N216"/>
    <mergeCell ref="C205:E205"/>
    <mergeCell ref="C206:E206"/>
    <mergeCell ref="C207:E207"/>
    <mergeCell ref="C208:E208"/>
    <mergeCell ref="C209:E209"/>
    <mergeCell ref="C210:E210"/>
    <mergeCell ref="C199:N199"/>
    <mergeCell ref="C200:E200"/>
    <mergeCell ref="C201:N201"/>
    <mergeCell ref="C202:N202"/>
    <mergeCell ref="C203:E203"/>
    <mergeCell ref="C204:E204"/>
    <mergeCell ref="C191:E191"/>
    <mergeCell ref="C192:E192"/>
    <mergeCell ref="C193:E193"/>
    <mergeCell ref="C194:E194"/>
    <mergeCell ref="C195:E195"/>
    <mergeCell ref="C197:E197"/>
    <mergeCell ref="C185:E185"/>
    <mergeCell ref="C186:E186"/>
    <mergeCell ref="C187:E187"/>
    <mergeCell ref="C188:E188"/>
    <mergeCell ref="C189:E189"/>
    <mergeCell ref="C190:E190"/>
    <mergeCell ref="C178:E178"/>
    <mergeCell ref="C180:N180"/>
    <mergeCell ref="C181:E181"/>
    <mergeCell ref="C182:N182"/>
    <mergeCell ref="C183:E183"/>
    <mergeCell ref="C184:E184"/>
    <mergeCell ref="C171:E171"/>
    <mergeCell ref="C172:E172"/>
    <mergeCell ref="C173:E173"/>
    <mergeCell ref="C174:E174"/>
    <mergeCell ref="C175:E175"/>
    <mergeCell ref="C177:N177"/>
    <mergeCell ref="C165:E165"/>
    <mergeCell ref="C166:E166"/>
    <mergeCell ref="C167:E167"/>
    <mergeCell ref="C168:E168"/>
    <mergeCell ref="C169:E169"/>
    <mergeCell ref="C170:E170"/>
    <mergeCell ref="C158:E158"/>
    <mergeCell ref="C160:N160"/>
    <mergeCell ref="C161:E161"/>
    <mergeCell ref="C162:N162"/>
    <mergeCell ref="C163:N163"/>
    <mergeCell ref="C164:E164"/>
    <mergeCell ref="C152:E152"/>
    <mergeCell ref="C153:E153"/>
    <mergeCell ref="C154:E154"/>
    <mergeCell ref="C155:E155"/>
    <mergeCell ref="C156:E156"/>
    <mergeCell ref="C157:E157"/>
    <mergeCell ref="C146:E146"/>
    <mergeCell ref="C147:E147"/>
    <mergeCell ref="C148:E148"/>
    <mergeCell ref="C149:E149"/>
    <mergeCell ref="C150:E150"/>
    <mergeCell ref="C151:E151"/>
    <mergeCell ref="C139:E139"/>
    <mergeCell ref="C140:E140"/>
    <mergeCell ref="C141:E141"/>
    <mergeCell ref="C143:E143"/>
    <mergeCell ref="C144:N144"/>
    <mergeCell ref="C145:N145"/>
    <mergeCell ref="C133:E133"/>
    <mergeCell ref="C134:E134"/>
    <mergeCell ref="C135:E135"/>
    <mergeCell ref="C136:E136"/>
    <mergeCell ref="C137:E137"/>
    <mergeCell ref="C138:E138"/>
    <mergeCell ref="C127:N127"/>
    <mergeCell ref="C128:N128"/>
    <mergeCell ref="C129:E129"/>
    <mergeCell ref="C130:E130"/>
    <mergeCell ref="C131:E131"/>
    <mergeCell ref="C132:E132"/>
    <mergeCell ref="C121:K121"/>
    <mergeCell ref="C122:K122"/>
    <mergeCell ref="C123:K123"/>
    <mergeCell ref="C124:K124"/>
    <mergeCell ref="A125:N125"/>
    <mergeCell ref="C126:E126"/>
    <mergeCell ref="C115:K115"/>
    <mergeCell ref="C116:K116"/>
    <mergeCell ref="C117:K117"/>
    <mergeCell ref="C118:K118"/>
    <mergeCell ref="C119:K119"/>
    <mergeCell ref="C120:K120"/>
    <mergeCell ref="C109:K109"/>
    <mergeCell ref="C110:K110"/>
    <mergeCell ref="C111:K111"/>
    <mergeCell ref="C112:K112"/>
    <mergeCell ref="C113:K113"/>
    <mergeCell ref="C114:K114"/>
    <mergeCell ref="C102:E102"/>
    <mergeCell ref="C103:E103"/>
    <mergeCell ref="C105:K105"/>
    <mergeCell ref="C106:K106"/>
    <mergeCell ref="C107:K107"/>
    <mergeCell ref="C108:K108"/>
    <mergeCell ref="C96:E96"/>
    <mergeCell ref="C97:E97"/>
    <mergeCell ref="C98:E98"/>
    <mergeCell ref="C99:E99"/>
    <mergeCell ref="C100:E100"/>
    <mergeCell ref="C101:E101"/>
    <mergeCell ref="C90:E90"/>
    <mergeCell ref="C91:E91"/>
    <mergeCell ref="C92:N92"/>
    <mergeCell ref="C93:N93"/>
    <mergeCell ref="C94:E94"/>
    <mergeCell ref="C95:E95"/>
    <mergeCell ref="C84:E84"/>
    <mergeCell ref="C85:E85"/>
    <mergeCell ref="C86:E86"/>
    <mergeCell ref="C87:E87"/>
    <mergeCell ref="C88:E88"/>
    <mergeCell ref="C89:E89"/>
    <mergeCell ref="C77:E77"/>
    <mergeCell ref="C78:E78"/>
    <mergeCell ref="C80:E80"/>
    <mergeCell ref="C81:N81"/>
    <mergeCell ref="C82:N82"/>
    <mergeCell ref="C83:E83"/>
    <mergeCell ref="C71:E71"/>
    <mergeCell ref="C72:E72"/>
    <mergeCell ref="C73:E73"/>
    <mergeCell ref="C74:E74"/>
    <mergeCell ref="C75:E75"/>
    <mergeCell ref="C76:E76"/>
    <mergeCell ref="C65:N65"/>
    <mergeCell ref="C66:N66"/>
    <mergeCell ref="C67:E67"/>
    <mergeCell ref="C68:E68"/>
    <mergeCell ref="C69:E69"/>
    <mergeCell ref="C70:E70"/>
    <mergeCell ref="C59:E59"/>
    <mergeCell ref="C60:E60"/>
    <mergeCell ref="C61:E61"/>
    <mergeCell ref="C62:E62"/>
    <mergeCell ref="C63:E63"/>
    <mergeCell ref="C64:E64"/>
    <mergeCell ref="C53:E53"/>
    <mergeCell ref="C54:N54"/>
    <mergeCell ref="C55:N55"/>
    <mergeCell ref="C56:E56"/>
    <mergeCell ref="C57:E57"/>
    <mergeCell ref="C58:E58"/>
    <mergeCell ref="C47:E47"/>
    <mergeCell ref="C48:E48"/>
    <mergeCell ref="C49:E49"/>
    <mergeCell ref="C50:E50"/>
    <mergeCell ref="C51:E51"/>
    <mergeCell ref="C52:N52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628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3">
    <pageSetUpPr fitToPage="1"/>
  </sheetPr>
  <dimension ref="B1:I39"/>
  <sheetViews>
    <sheetView showGridLines="0" topLeftCell="B9" zoomScale="115" zoomScaleNormal="115" workbookViewId="0">
      <selection activeCell="E17" sqref="E17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20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 t="s">
        <v>4500</v>
      </c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663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4501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143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5167.99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1173">
        <v>1427</v>
      </c>
      <c r="F15" s="508"/>
      <c r="G15" s="509"/>
      <c r="H15" s="9" t="s">
        <v>483</v>
      </c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1174">
        <f>I32/E15</f>
        <v>3.62</v>
      </c>
      <c r="F17" s="508"/>
      <c r="G17" s="509"/>
      <c r="H17" s="9" t="s">
        <v>9646</v>
      </c>
      <c r="I17" s="9"/>
    </row>
    <row r="18" spans="2:9" x14ac:dyDescent="0.2">
      <c r="B18" s="6"/>
      <c r="C18" s="24" t="s">
        <v>484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x14ac:dyDescent="0.2">
      <c r="B26" s="511">
        <v>1</v>
      </c>
      <c r="C26" s="512" t="s">
        <v>4502</v>
      </c>
      <c r="D26" s="513" t="s">
        <v>4500</v>
      </c>
      <c r="E26" s="514">
        <v>2896.93</v>
      </c>
      <c r="F26" s="514"/>
      <c r="G26" s="514"/>
      <c r="H26" s="514"/>
      <c r="I26" s="514">
        <v>2896.93</v>
      </c>
    </row>
    <row r="27" spans="2:9" ht="25.5" x14ac:dyDescent="0.2">
      <c r="B27" s="511">
        <v>2</v>
      </c>
      <c r="C27" s="512" t="s">
        <v>4503</v>
      </c>
      <c r="D27" s="513" t="s">
        <v>8911</v>
      </c>
      <c r="E27" s="514">
        <v>1063.48</v>
      </c>
      <c r="F27" s="514"/>
      <c r="G27" s="514"/>
      <c r="H27" s="514"/>
      <c r="I27" s="514">
        <v>1063.48</v>
      </c>
    </row>
    <row r="28" spans="2:9" ht="25.5" x14ac:dyDescent="0.2">
      <c r="B28" s="511">
        <v>3</v>
      </c>
      <c r="C28" s="512" t="s">
        <v>4504</v>
      </c>
      <c r="D28" s="513" t="s">
        <v>8912</v>
      </c>
      <c r="E28" s="514">
        <v>9.1</v>
      </c>
      <c r="F28" s="514"/>
      <c r="G28" s="514"/>
      <c r="H28" s="514"/>
      <c r="I28" s="514">
        <v>9.1</v>
      </c>
    </row>
    <row r="29" spans="2:9" ht="25.5" x14ac:dyDescent="0.2">
      <c r="B29" s="511">
        <v>4</v>
      </c>
      <c r="C29" s="512" t="s">
        <v>4505</v>
      </c>
      <c r="D29" s="513" t="s">
        <v>8913</v>
      </c>
      <c r="E29" s="514">
        <v>25.77</v>
      </c>
      <c r="F29" s="514"/>
      <c r="G29" s="514"/>
      <c r="H29" s="514"/>
      <c r="I29" s="514">
        <v>25.77</v>
      </c>
    </row>
    <row r="30" spans="2:9" x14ac:dyDescent="0.2">
      <c r="B30" s="511">
        <v>5</v>
      </c>
      <c r="C30" s="512" t="s">
        <v>4506</v>
      </c>
      <c r="D30" s="513" t="s">
        <v>4507</v>
      </c>
      <c r="E30" s="514">
        <v>56.74</v>
      </c>
      <c r="F30" s="514">
        <v>15.7</v>
      </c>
      <c r="G30" s="514">
        <v>1100.27</v>
      </c>
      <c r="H30" s="514"/>
      <c r="I30" s="514">
        <v>1172.71</v>
      </c>
    </row>
    <row r="31" spans="2:9" x14ac:dyDescent="0.2">
      <c r="B31" s="511" t="s">
        <v>143</v>
      </c>
      <c r="C31" s="512" t="s">
        <v>143</v>
      </c>
      <c r="D31" s="513" t="s">
        <v>6725</v>
      </c>
      <c r="E31" s="514">
        <v>4052.02</v>
      </c>
      <c r="F31" s="514">
        <v>15.7</v>
      </c>
      <c r="G31" s="514">
        <v>1100.27</v>
      </c>
      <c r="H31" s="514"/>
      <c r="I31" s="514">
        <v>5167.99</v>
      </c>
    </row>
    <row r="32" spans="2:9" x14ac:dyDescent="0.2">
      <c r="B32" s="672" t="s">
        <v>143</v>
      </c>
      <c r="C32" s="673" t="s">
        <v>143</v>
      </c>
      <c r="D32" s="515" t="s">
        <v>294</v>
      </c>
      <c r="E32" s="527">
        <v>4052.02</v>
      </c>
      <c r="F32" s="527">
        <v>15.7</v>
      </c>
      <c r="G32" s="527">
        <v>1100.27</v>
      </c>
      <c r="H32" s="527"/>
      <c r="I32" s="527">
        <v>5167.99</v>
      </c>
    </row>
    <row r="33" spans="2:9" x14ac:dyDescent="0.2">
      <c r="B33" s="31"/>
      <c r="C33" s="32"/>
      <c r="D33" s="33"/>
      <c r="E33" s="34"/>
      <c r="F33" s="34"/>
      <c r="G33" s="34"/>
      <c r="H33" s="34"/>
      <c r="I33" s="34"/>
    </row>
    <row r="36" spans="2:9" ht="15" x14ac:dyDescent="0.2">
      <c r="B36" s="35" t="s">
        <v>149</v>
      </c>
      <c r="D36" s="516"/>
      <c r="E36" s="517"/>
      <c r="F36" s="516"/>
      <c r="G36" s="516" t="s">
        <v>296</v>
      </c>
      <c r="I36" s="518"/>
    </row>
    <row r="37" spans="2:9" ht="15" x14ac:dyDescent="0.2">
      <c r="C37" s="39"/>
      <c r="D37" s="1793" t="s">
        <v>150</v>
      </c>
      <c r="E37" s="1793"/>
      <c r="F37" s="1793"/>
      <c r="G37" s="1793"/>
      <c r="H37" s="1793"/>
      <c r="I37" s="1793"/>
    </row>
    <row r="38" spans="2:9" ht="15" x14ac:dyDescent="0.2">
      <c r="B38" s="35" t="s">
        <v>151</v>
      </c>
      <c r="D38" s="516"/>
      <c r="E38" s="517"/>
      <c r="F38" s="516"/>
      <c r="G38" s="516" t="s">
        <v>297</v>
      </c>
      <c r="H38" s="517"/>
      <c r="I38" s="518"/>
    </row>
    <row r="39" spans="2:9" x14ac:dyDescent="0.2">
      <c r="D39" s="1793" t="s">
        <v>150</v>
      </c>
      <c r="E39" s="1793"/>
      <c r="F39" s="1793"/>
      <c r="G39" s="1793"/>
      <c r="H39" s="1793"/>
      <c r="I39" s="1793"/>
    </row>
  </sheetData>
  <mergeCells count="18">
    <mergeCell ref="B25:I25"/>
    <mergeCell ref="D37:I37"/>
    <mergeCell ref="D39:I39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  <mergeCell ref="B11:I11"/>
    <mergeCell ref="C3:H3"/>
    <mergeCell ref="D4:G4"/>
    <mergeCell ref="C5:H5"/>
    <mergeCell ref="D6:G6"/>
    <mergeCell ref="D10:H10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4">
    <pageSetUpPr fitToPage="1"/>
  </sheetPr>
  <dimension ref="B1:I38"/>
  <sheetViews>
    <sheetView showGridLines="0" topLeftCell="B9" zoomScale="115" zoomScaleNormal="115" workbookViewId="0">
      <selection activeCell="B26" sqref="B26:I30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20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 t="s">
        <v>4500</v>
      </c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663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4501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143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43735.48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1173">
        <v>1427</v>
      </c>
      <c r="F15" s="508"/>
      <c r="G15" s="509"/>
      <c r="H15" s="9" t="s">
        <v>483</v>
      </c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1174">
        <f>I31/E15</f>
        <v>30.65</v>
      </c>
      <c r="F17" s="508"/>
      <c r="G17" s="509"/>
      <c r="H17" s="9" t="s">
        <v>279</v>
      </c>
      <c r="I17" s="9"/>
    </row>
    <row r="18" spans="2:9" x14ac:dyDescent="0.2">
      <c r="B18" s="6"/>
      <c r="C18" s="24" t="s">
        <v>487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x14ac:dyDescent="0.2">
      <c r="B26" s="511">
        <v>1</v>
      </c>
      <c r="C26" s="512" t="s">
        <v>4502</v>
      </c>
      <c r="D26" s="513" t="s">
        <v>4500</v>
      </c>
      <c r="E26" s="514">
        <v>29288.01</v>
      </c>
      <c r="F26" s="514"/>
      <c r="G26" s="514"/>
      <c r="H26" s="514"/>
      <c r="I26" s="514">
        <v>29288.01</v>
      </c>
    </row>
    <row r="27" spans="2:9" ht="25.5" x14ac:dyDescent="0.2">
      <c r="B27" s="511">
        <v>2</v>
      </c>
      <c r="C27" s="512" t="s">
        <v>4503</v>
      </c>
      <c r="D27" s="513" t="s">
        <v>8911</v>
      </c>
      <c r="E27" s="514">
        <v>8518.49</v>
      </c>
      <c r="F27" s="514"/>
      <c r="G27" s="514"/>
      <c r="H27" s="514"/>
      <c r="I27" s="514">
        <v>8518.49</v>
      </c>
    </row>
    <row r="28" spans="2:9" ht="25.5" x14ac:dyDescent="0.2">
      <c r="B28" s="511">
        <v>3</v>
      </c>
      <c r="C28" s="512" t="s">
        <v>4504</v>
      </c>
      <c r="D28" s="513" t="s">
        <v>8912</v>
      </c>
      <c r="E28" s="514">
        <v>92.03</v>
      </c>
      <c r="F28" s="514"/>
      <c r="G28" s="514"/>
      <c r="H28" s="514"/>
      <c r="I28" s="514">
        <v>92.03</v>
      </c>
    </row>
    <row r="29" spans="2:9" ht="25.5" x14ac:dyDescent="0.2">
      <c r="B29" s="511">
        <v>4</v>
      </c>
      <c r="C29" s="512" t="s">
        <v>4505</v>
      </c>
      <c r="D29" s="513" t="s">
        <v>8914</v>
      </c>
      <c r="E29" s="514">
        <v>206.42</v>
      </c>
      <c r="F29" s="514"/>
      <c r="G29" s="514"/>
      <c r="H29" s="514"/>
      <c r="I29" s="514">
        <v>206.42</v>
      </c>
    </row>
    <row r="30" spans="2:9" x14ac:dyDescent="0.2">
      <c r="B30" s="511">
        <v>5</v>
      </c>
      <c r="C30" s="512" t="s">
        <v>4506</v>
      </c>
      <c r="D30" s="513" t="s">
        <v>4507</v>
      </c>
      <c r="E30" s="514">
        <v>454.52</v>
      </c>
      <c r="F30" s="514">
        <v>125.76</v>
      </c>
      <c r="G30" s="514">
        <v>5050.25</v>
      </c>
      <c r="H30" s="514"/>
      <c r="I30" s="514">
        <v>5630.53</v>
      </c>
    </row>
    <row r="31" spans="2:9" x14ac:dyDescent="0.2">
      <c r="B31" s="672" t="s">
        <v>143</v>
      </c>
      <c r="C31" s="673" t="s">
        <v>143</v>
      </c>
      <c r="D31" s="515" t="s">
        <v>294</v>
      </c>
      <c r="E31" s="527">
        <v>38559.47</v>
      </c>
      <c r="F31" s="527">
        <v>125.76</v>
      </c>
      <c r="G31" s="527">
        <v>5050.25</v>
      </c>
      <c r="H31" s="527"/>
      <c r="I31" s="527">
        <v>43735.48</v>
      </c>
    </row>
    <row r="32" spans="2:9" x14ac:dyDescent="0.2">
      <c r="B32" s="31"/>
      <c r="C32" s="32"/>
      <c r="D32" s="33"/>
      <c r="E32" s="34"/>
      <c r="F32" s="34"/>
      <c r="G32" s="34"/>
      <c r="H32" s="34"/>
      <c r="I32" s="34"/>
    </row>
    <row r="35" spans="2:9" ht="15" x14ac:dyDescent="0.2">
      <c r="B35" s="35" t="s">
        <v>149</v>
      </c>
      <c r="D35" s="516"/>
      <c r="E35" s="517"/>
      <c r="F35" s="516"/>
      <c r="G35" s="516" t="s">
        <v>296</v>
      </c>
      <c r="I35" s="518"/>
    </row>
    <row r="36" spans="2:9" ht="15" x14ac:dyDescent="0.2">
      <c r="C36" s="39"/>
      <c r="D36" s="1793" t="s">
        <v>150</v>
      </c>
      <c r="E36" s="1793"/>
      <c r="F36" s="1793"/>
      <c r="G36" s="1793"/>
      <c r="H36" s="1793"/>
      <c r="I36" s="1793"/>
    </row>
    <row r="37" spans="2:9" ht="15" x14ac:dyDescent="0.2">
      <c r="B37" s="35" t="s">
        <v>151</v>
      </c>
      <c r="D37" s="516"/>
      <c r="E37" s="517"/>
      <c r="F37" s="516"/>
      <c r="G37" s="516" t="s">
        <v>297</v>
      </c>
      <c r="H37" s="517"/>
      <c r="I37" s="518"/>
    </row>
    <row r="38" spans="2:9" x14ac:dyDescent="0.2">
      <c r="D38" s="1793" t="s">
        <v>150</v>
      </c>
      <c r="E38" s="1793"/>
      <c r="F38" s="1793"/>
      <c r="G38" s="1793"/>
      <c r="H38" s="1793"/>
      <c r="I38" s="1793"/>
    </row>
  </sheetData>
  <mergeCells count="18">
    <mergeCell ref="B25:I25"/>
    <mergeCell ref="D36:I36"/>
    <mergeCell ref="D38:I38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  <mergeCell ref="B11:I11"/>
    <mergeCell ref="C3:H3"/>
    <mergeCell ref="D4:G4"/>
    <mergeCell ref="C5:H5"/>
    <mergeCell ref="D6:G6"/>
    <mergeCell ref="D10:H10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/>
  <dimension ref="A1:AJ642"/>
  <sheetViews>
    <sheetView topLeftCell="A605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7.5703125" style="536" customWidth="1"/>
    <col min="14" max="14" width="11.855468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30" width="34.140625" style="537" hidden="1" customWidth="1"/>
    <col min="31" max="36" width="84.42578125" style="537" hidden="1" customWidth="1"/>
    <col min="37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/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143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4508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4500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4500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4509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29288.01</v>
      </c>
      <c r="D28" s="579" t="s">
        <v>8915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29288.01</v>
      </c>
      <c r="D30" s="579" t="s">
        <v>8915</v>
      </c>
      <c r="E30" s="665" t="s">
        <v>167</v>
      </c>
      <c r="G30" s="536" t="s">
        <v>170</v>
      </c>
      <c r="L30" s="580">
        <v>0</v>
      </c>
      <c r="M30" s="579" t="s">
        <v>8916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665" t="s">
        <v>167</v>
      </c>
      <c r="G31" s="536" t="s">
        <v>172</v>
      </c>
      <c r="L31" s="582"/>
      <c r="M31" s="582">
        <v>2579.67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665" t="s">
        <v>167</v>
      </c>
      <c r="G32" s="536" t="s">
        <v>174</v>
      </c>
      <c r="L32" s="582"/>
      <c r="M32" s="582">
        <v>901.28</v>
      </c>
      <c r="N32" s="581" t="s">
        <v>173</v>
      </c>
    </row>
    <row r="33" spans="1:28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8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8" s="536" customFormat="1" ht="12" x14ac:dyDescent="0.2">
      <c r="A39" s="1824" t="s">
        <v>4510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4510</v>
      </c>
    </row>
    <row r="40" spans="1:28" s="536" customFormat="1" ht="56.25" x14ac:dyDescent="0.2">
      <c r="A40" s="575" t="s">
        <v>185</v>
      </c>
      <c r="B40" s="670" t="s">
        <v>3774</v>
      </c>
      <c r="C40" s="1823" t="s">
        <v>3775</v>
      </c>
      <c r="D40" s="1823"/>
      <c r="E40" s="1823"/>
      <c r="F40" s="573" t="s">
        <v>455</v>
      </c>
      <c r="G40" s="573"/>
      <c r="H40" s="573"/>
      <c r="I40" s="573" t="s">
        <v>8917</v>
      </c>
      <c r="J40" s="572"/>
      <c r="K40" s="573"/>
      <c r="L40" s="572"/>
      <c r="M40" s="571"/>
      <c r="N40" s="570"/>
      <c r="V40" s="674"/>
      <c r="W40" s="675" t="s">
        <v>3775</v>
      </c>
    </row>
    <row r="41" spans="1:28" s="536" customFormat="1" ht="12" x14ac:dyDescent="0.2">
      <c r="A41" s="676"/>
      <c r="B41" s="664"/>
      <c r="C41" s="1822" t="s">
        <v>8918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8918</v>
      </c>
    </row>
    <row r="42" spans="1:28" s="536" customFormat="1" ht="22.5" x14ac:dyDescent="0.2">
      <c r="A42" s="609"/>
      <c r="B42" s="552" t="s">
        <v>499</v>
      </c>
      <c r="C42" s="1822" t="s">
        <v>500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Y42" s="537" t="s">
        <v>500</v>
      </c>
    </row>
    <row r="43" spans="1:28" s="536" customFormat="1" ht="12" x14ac:dyDescent="0.2">
      <c r="A43" s="605"/>
      <c r="B43" s="552" t="s">
        <v>186</v>
      </c>
      <c r="C43" s="1822" t="s">
        <v>344</v>
      </c>
      <c r="D43" s="1822"/>
      <c r="E43" s="1822"/>
      <c r="F43" s="562"/>
      <c r="G43" s="562"/>
      <c r="H43" s="562"/>
      <c r="I43" s="562"/>
      <c r="J43" s="604">
        <v>6166.95</v>
      </c>
      <c r="K43" s="562" t="s">
        <v>313</v>
      </c>
      <c r="L43" s="604">
        <v>1513.22</v>
      </c>
      <c r="M43" s="603"/>
      <c r="N43" s="602"/>
      <c r="V43" s="674"/>
      <c r="W43" s="675"/>
      <c r="Z43" s="537" t="s">
        <v>344</v>
      </c>
    </row>
    <row r="44" spans="1:28" s="536" customFormat="1" ht="12" x14ac:dyDescent="0.2">
      <c r="A44" s="605"/>
      <c r="B44" s="552" t="s">
        <v>187</v>
      </c>
      <c r="C44" s="1822" t="s">
        <v>345</v>
      </c>
      <c r="D44" s="1822"/>
      <c r="E44" s="1822"/>
      <c r="F44" s="562"/>
      <c r="G44" s="562"/>
      <c r="H44" s="562"/>
      <c r="I44" s="562"/>
      <c r="J44" s="604">
        <v>722.25</v>
      </c>
      <c r="K44" s="562" t="s">
        <v>313</v>
      </c>
      <c r="L44" s="604">
        <v>177.22</v>
      </c>
      <c r="M44" s="603"/>
      <c r="N44" s="602"/>
      <c r="V44" s="674"/>
      <c r="W44" s="675"/>
      <c r="Z44" s="537" t="s">
        <v>345</v>
      </c>
    </row>
    <row r="45" spans="1:28" s="536" customFormat="1" ht="22.5" x14ac:dyDescent="0.2">
      <c r="A45" s="605"/>
      <c r="B45" s="552"/>
      <c r="C45" s="1822" t="s">
        <v>348</v>
      </c>
      <c r="D45" s="1822"/>
      <c r="E45" s="1822"/>
      <c r="F45" s="562" t="s">
        <v>315</v>
      </c>
      <c r="G45" s="562" t="s">
        <v>3776</v>
      </c>
      <c r="H45" s="562" t="s">
        <v>313</v>
      </c>
      <c r="I45" s="562" t="s">
        <v>8919</v>
      </c>
      <c r="J45" s="604"/>
      <c r="K45" s="562"/>
      <c r="L45" s="604"/>
      <c r="M45" s="603"/>
      <c r="N45" s="602"/>
      <c r="V45" s="674"/>
      <c r="W45" s="675"/>
      <c r="AA45" s="537" t="s">
        <v>348</v>
      </c>
    </row>
    <row r="46" spans="1:28" s="536" customFormat="1" ht="12" x14ac:dyDescent="0.2">
      <c r="A46" s="605"/>
      <c r="B46" s="552"/>
      <c r="C46" s="1828" t="s">
        <v>318</v>
      </c>
      <c r="D46" s="1828"/>
      <c r="E46" s="1828"/>
      <c r="F46" s="608"/>
      <c r="G46" s="608"/>
      <c r="H46" s="608"/>
      <c r="I46" s="608"/>
      <c r="J46" s="607">
        <v>6166.95</v>
      </c>
      <c r="K46" s="608"/>
      <c r="L46" s="607">
        <v>1513.22</v>
      </c>
      <c r="M46" s="601"/>
      <c r="N46" s="606"/>
      <c r="V46" s="674"/>
      <c r="W46" s="675"/>
      <c r="AB46" s="537" t="s">
        <v>318</v>
      </c>
    </row>
    <row r="47" spans="1:28" s="536" customFormat="1" ht="12" x14ac:dyDescent="0.2">
      <c r="A47" s="605"/>
      <c r="B47" s="552"/>
      <c r="C47" s="1822" t="s">
        <v>319</v>
      </c>
      <c r="D47" s="1822"/>
      <c r="E47" s="1822"/>
      <c r="F47" s="562"/>
      <c r="G47" s="562"/>
      <c r="H47" s="562"/>
      <c r="I47" s="562"/>
      <c r="J47" s="604"/>
      <c r="K47" s="562"/>
      <c r="L47" s="604">
        <v>177.22</v>
      </c>
      <c r="M47" s="603"/>
      <c r="N47" s="602"/>
      <c r="V47" s="674"/>
      <c r="W47" s="675"/>
      <c r="AA47" s="537" t="s">
        <v>319</v>
      </c>
    </row>
    <row r="48" spans="1:28" s="536" customFormat="1" ht="33.75" x14ac:dyDescent="0.2">
      <c r="A48" s="605"/>
      <c r="B48" s="552" t="s">
        <v>460</v>
      </c>
      <c r="C48" s="1822" t="s">
        <v>461</v>
      </c>
      <c r="D48" s="1822"/>
      <c r="E48" s="1822"/>
      <c r="F48" s="562" t="s">
        <v>322</v>
      </c>
      <c r="G48" s="562" t="s">
        <v>462</v>
      </c>
      <c r="H48" s="562"/>
      <c r="I48" s="562" t="s">
        <v>462</v>
      </c>
      <c r="J48" s="604"/>
      <c r="K48" s="562"/>
      <c r="L48" s="604">
        <v>163.04</v>
      </c>
      <c r="M48" s="603"/>
      <c r="N48" s="602"/>
      <c r="V48" s="674"/>
      <c r="W48" s="675"/>
      <c r="AA48" s="537" t="s">
        <v>461</v>
      </c>
    </row>
    <row r="49" spans="1:29" s="536" customFormat="1" ht="33.75" x14ac:dyDescent="0.2">
      <c r="A49" s="605"/>
      <c r="B49" s="552" t="s">
        <v>463</v>
      </c>
      <c r="C49" s="1822" t="s">
        <v>464</v>
      </c>
      <c r="D49" s="1822"/>
      <c r="E49" s="1822"/>
      <c r="F49" s="562" t="s">
        <v>322</v>
      </c>
      <c r="G49" s="562" t="s">
        <v>465</v>
      </c>
      <c r="H49" s="562"/>
      <c r="I49" s="562" t="s">
        <v>465</v>
      </c>
      <c r="J49" s="604"/>
      <c r="K49" s="562"/>
      <c r="L49" s="604">
        <v>81.52</v>
      </c>
      <c r="M49" s="603"/>
      <c r="N49" s="602"/>
      <c r="V49" s="674"/>
      <c r="W49" s="675"/>
      <c r="AA49" s="537" t="s">
        <v>464</v>
      </c>
    </row>
    <row r="50" spans="1:29" s="536" customFormat="1" ht="12" x14ac:dyDescent="0.2">
      <c r="A50" s="569"/>
      <c r="B50" s="671"/>
      <c r="C50" s="1823" t="s">
        <v>327</v>
      </c>
      <c r="D50" s="1823"/>
      <c r="E50" s="1823"/>
      <c r="F50" s="573"/>
      <c r="G50" s="573"/>
      <c r="H50" s="573"/>
      <c r="I50" s="573"/>
      <c r="J50" s="572"/>
      <c r="K50" s="573"/>
      <c r="L50" s="572">
        <v>1757.78</v>
      </c>
      <c r="M50" s="601"/>
      <c r="N50" s="570"/>
      <c r="V50" s="674"/>
      <c r="W50" s="675"/>
      <c r="AC50" s="675" t="s">
        <v>327</v>
      </c>
    </row>
    <row r="51" spans="1:29" s="536" customFormat="1" ht="45" x14ac:dyDescent="0.2">
      <c r="A51" s="575" t="s">
        <v>186</v>
      </c>
      <c r="B51" s="670" t="s">
        <v>1005</v>
      </c>
      <c r="C51" s="1823" t="s">
        <v>1006</v>
      </c>
      <c r="D51" s="1823"/>
      <c r="E51" s="1823"/>
      <c r="F51" s="573" t="s">
        <v>201</v>
      </c>
      <c r="G51" s="573"/>
      <c r="H51" s="573"/>
      <c r="I51" s="573" t="s">
        <v>8920</v>
      </c>
      <c r="J51" s="572">
        <v>2.91</v>
      </c>
      <c r="K51" s="573"/>
      <c r="L51" s="572">
        <v>1313.84</v>
      </c>
      <c r="M51" s="571"/>
      <c r="N51" s="570"/>
      <c r="V51" s="674"/>
      <c r="W51" s="675" t="s">
        <v>1006</v>
      </c>
      <c r="AC51" s="675"/>
    </row>
    <row r="52" spans="1:29" s="536" customFormat="1" ht="12" x14ac:dyDescent="0.2">
      <c r="A52" s="676"/>
      <c r="B52" s="664"/>
      <c r="C52" s="1822" t="s">
        <v>8921</v>
      </c>
      <c r="D52" s="1822"/>
      <c r="E52" s="1822"/>
      <c r="F52" s="1822"/>
      <c r="G52" s="1822"/>
      <c r="H52" s="1822"/>
      <c r="I52" s="1822"/>
      <c r="J52" s="1822"/>
      <c r="K52" s="1822"/>
      <c r="L52" s="1822"/>
      <c r="M52" s="1822"/>
      <c r="N52" s="1827"/>
      <c r="V52" s="674"/>
      <c r="W52" s="675"/>
      <c r="X52" s="537" t="s">
        <v>8921</v>
      </c>
      <c r="AC52" s="675"/>
    </row>
    <row r="53" spans="1:29" s="536" customFormat="1" ht="45" x14ac:dyDescent="0.2">
      <c r="A53" s="575" t="s">
        <v>187</v>
      </c>
      <c r="B53" s="670" t="s">
        <v>1511</v>
      </c>
      <c r="C53" s="1823" t="s">
        <v>1512</v>
      </c>
      <c r="D53" s="1823"/>
      <c r="E53" s="1823"/>
      <c r="F53" s="573" t="s">
        <v>455</v>
      </c>
      <c r="G53" s="573"/>
      <c r="H53" s="573"/>
      <c r="I53" s="573" t="s">
        <v>8922</v>
      </c>
      <c r="J53" s="572"/>
      <c r="K53" s="573"/>
      <c r="L53" s="572"/>
      <c r="M53" s="571"/>
      <c r="N53" s="570"/>
      <c r="V53" s="674"/>
      <c r="W53" s="675" t="s">
        <v>1512</v>
      </c>
      <c r="AC53" s="675"/>
    </row>
    <row r="54" spans="1:29" s="536" customFormat="1" ht="12" x14ac:dyDescent="0.2">
      <c r="A54" s="676"/>
      <c r="B54" s="664"/>
      <c r="C54" s="1822" t="s">
        <v>8923</v>
      </c>
      <c r="D54" s="1822"/>
      <c r="E54" s="1822"/>
      <c r="F54" s="1822"/>
      <c r="G54" s="1822"/>
      <c r="H54" s="1822"/>
      <c r="I54" s="1822"/>
      <c r="J54" s="1822"/>
      <c r="K54" s="1822"/>
      <c r="L54" s="1822"/>
      <c r="M54" s="1822"/>
      <c r="N54" s="1827"/>
      <c r="V54" s="674"/>
      <c r="W54" s="675"/>
      <c r="X54" s="537" t="s">
        <v>8923</v>
      </c>
      <c r="AC54" s="675"/>
    </row>
    <row r="55" spans="1:29" s="536" customFormat="1" ht="22.5" x14ac:dyDescent="0.2">
      <c r="A55" s="609"/>
      <c r="B55" s="552" t="s">
        <v>499</v>
      </c>
      <c r="C55" s="1822" t="s">
        <v>500</v>
      </c>
      <c r="D55" s="1822"/>
      <c r="E55" s="1822"/>
      <c r="F55" s="1822"/>
      <c r="G55" s="1822"/>
      <c r="H55" s="1822"/>
      <c r="I55" s="1822"/>
      <c r="J55" s="1822"/>
      <c r="K55" s="1822"/>
      <c r="L55" s="1822"/>
      <c r="M55" s="1822"/>
      <c r="N55" s="1827"/>
      <c r="V55" s="674"/>
      <c r="W55" s="675"/>
      <c r="Y55" s="537" t="s">
        <v>500</v>
      </c>
      <c r="AC55" s="675"/>
    </row>
    <row r="56" spans="1:29" s="536" customFormat="1" ht="12" x14ac:dyDescent="0.2">
      <c r="A56" s="605"/>
      <c r="B56" s="552" t="s">
        <v>186</v>
      </c>
      <c r="C56" s="1822" t="s">
        <v>344</v>
      </c>
      <c r="D56" s="1822"/>
      <c r="E56" s="1822"/>
      <c r="F56" s="562"/>
      <c r="G56" s="562"/>
      <c r="H56" s="562"/>
      <c r="I56" s="562"/>
      <c r="J56" s="604">
        <v>4898.9799999999996</v>
      </c>
      <c r="K56" s="562" t="s">
        <v>313</v>
      </c>
      <c r="L56" s="604">
        <v>2486.23</v>
      </c>
      <c r="M56" s="603"/>
      <c r="N56" s="602"/>
      <c r="V56" s="674"/>
      <c r="W56" s="675"/>
      <c r="Z56" s="537" t="s">
        <v>344</v>
      </c>
      <c r="AC56" s="675"/>
    </row>
    <row r="57" spans="1:29" s="536" customFormat="1" ht="12" x14ac:dyDescent="0.2">
      <c r="A57" s="605"/>
      <c r="B57" s="552" t="s">
        <v>187</v>
      </c>
      <c r="C57" s="1822" t="s">
        <v>345</v>
      </c>
      <c r="D57" s="1822"/>
      <c r="E57" s="1822"/>
      <c r="F57" s="562"/>
      <c r="G57" s="562"/>
      <c r="H57" s="562"/>
      <c r="I57" s="562"/>
      <c r="J57" s="604">
        <v>573.75</v>
      </c>
      <c r="K57" s="562" t="s">
        <v>313</v>
      </c>
      <c r="L57" s="604">
        <v>291.18</v>
      </c>
      <c r="M57" s="603"/>
      <c r="N57" s="602"/>
      <c r="V57" s="674"/>
      <c r="W57" s="675"/>
      <c r="Z57" s="537" t="s">
        <v>345</v>
      </c>
      <c r="AC57" s="675"/>
    </row>
    <row r="58" spans="1:29" s="536" customFormat="1" ht="12" x14ac:dyDescent="0.2">
      <c r="A58" s="605"/>
      <c r="B58" s="552"/>
      <c r="C58" s="1822" t="s">
        <v>348</v>
      </c>
      <c r="D58" s="1822"/>
      <c r="E58" s="1822"/>
      <c r="F58" s="562" t="s">
        <v>315</v>
      </c>
      <c r="G58" s="562" t="s">
        <v>1513</v>
      </c>
      <c r="H58" s="562" t="s">
        <v>313</v>
      </c>
      <c r="I58" s="562" t="s">
        <v>8924</v>
      </c>
      <c r="J58" s="604"/>
      <c r="K58" s="562"/>
      <c r="L58" s="604"/>
      <c r="M58" s="603"/>
      <c r="N58" s="602"/>
      <c r="V58" s="674"/>
      <c r="W58" s="675"/>
      <c r="AA58" s="537" t="s">
        <v>348</v>
      </c>
      <c r="AC58" s="675"/>
    </row>
    <row r="59" spans="1:29" s="536" customFormat="1" ht="12" x14ac:dyDescent="0.2">
      <c r="A59" s="605"/>
      <c r="B59" s="552"/>
      <c r="C59" s="1828" t="s">
        <v>318</v>
      </c>
      <c r="D59" s="1828"/>
      <c r="E59" s="1828"/>
      <c r="F59" s="608"/>
      <c r="G59" s="608"/>
      <c r="H59" s="608"/>
      <c r="I59" s="608"/>
      <c r="J59" s="607">
        <v>4898.9799999999996</v>
      </c>
      <c r="K59" s="608"/>
      <c r="L59" s="607">
        <v>2486.23</v>
      </c>
      <c r="M59" s="601"/>
      <c r="N59" s="606"/>
      <c r="V59" s="674"/>
      <c r="W59" s="675"/>
      <c r="AB59" s="537" t="s">
        <v>318</v>
      </c>
      <c r="AC59" s="675"/>
    </row>
    <row r="60" spans="1:29" s="536" customFormat="1" ht="12" x14ac:dyDescent="0.2">
      <c r="A60" s="605"/>
      <c r="B60" s="552"/>
      <c r="C60" s="1822" t="s">
        <v>319</v>
      </c>
      <c r="D60" s="1822"/>
      <c r="E60" s="1822"/>
      <c r="F60" s="562"/>
      <c r="G60" s="562"/>
      <c r="H60" s="562"/>
      <c r="I60" s="562"/>
      <c r="J60" s="604"/>
      <c r="K60" s="562"/>
      <c r="L60" s="604">
        <v>291.18</v>
      </c>
      <c r="M60" s="603"/>
      <c r="N60" s="602"/>
      <c r="V60" s="674"/>
      <c r="W60" s="675"/>
      <c r="AA60" s="537" t="s">
        <v>319</v>
      </c>
      <c r="AC60" s="675"/>
    </row>
    <row r="61" spans="1:29" s="536" customFormat="1" ht="33.75" x14ac:dyDescent="0.2">
      <c r="A61" s="605"/>
      <c r="B61" s="552" t="s">
        <v>460</v>
      </c>
      <c r="C61" s="1822" t="s">
        <v>461</v>
      </c>
      <c r="D61" s="1822"/>
      <c r="E61" s="1822"/>
      <c r="F61" s="562" t="s">
        <v>322</v>
      </c>
      <c r="G61" s="562" t="s">
        <v>462</v>
      </c>
      <c r="H61" s="562"/>
      <c r="I61" s="562" t="s">
        <v>462</v>
      </c>
      <c r="J61" s="604"/>
      <c r="K61" s="562"/>
      <c r="L61" s="604">
        <v>267.89</v>
      </c>
      <c r="M61" s="603"/>
      <c r="N61" s="602"/>
      <c r="V61" s="674"/>
      <c r="W61" s="675"/>
      <c r="AA61" s="537" t="s">
        <v>461</v>
      </c>
      <c r="AC61" s="675"/>
    </row>
    <row r="62" spans="1:29" s="536" customFormat="1" ht="33.75" x14ac:dyDescent="0.2">
      <c r="A62" s="605"/>
      <c r="B62" s="552" t="s">
        <v>463</v>
      </c>
      <c r="C62" s="1822" t="s">
        <v>464</v>
      </c>
      <c r="D62" s="1822"/>
      <c r="E62" s="1822"/>
      <c r="F62" s="562" t="s">
        <v>322</v>
      </c>
      <c r="G62" s="562" t="s">
        <v>465</v>
      </c>
      <c r="H62" s="562"/>
      <c r="I62" s="562" t="s">
        <v>465</v>
      </c>
      <c r="J62" s="604"/>
      <c r="K62" s="562"/>
      <c r="L62" s="604">
        <v>133.94</v>
      </c>
      <c r="M62" s="603"/>
      <c r="N62" s="602"/>
      <c r="V62" s="674"/>
      <c r="W62" s="675"/>
      <c r="AA62" s="537" t="s">
        <v>464</v>
      </c>
      <c r="AC62" s="675"/>
    </row>
    <row r="63" spans="1:29" s="536" customFormat="1" ht="12" x14ac:dyDescent="0.2">
      <c r="A63" s="569"/>
      <c r="B63" s="671"/>
      <c r="C63" s="1823" t="s">
        <v>327</v>
      </c>
      <c r="D63" s="1823"/>
      <c r="E63" s="1823"/>
      <c r="F63" s="573"/>
      <c r="G63" s="573"/>
      <c r="H63" s="573"/>
      <c r="I63" s="573"/>
      <c r="J63" s="572"/>
      <c r="K63" s="573"/>
      <c r="L63" s="572">
        <v>2888.06</v>
      </c>
      <c r="M63" s="601"/>
      <c r="N63" s="570"/>
      <c r="V63" s="674"/>
      <c r="W63" s="675"/>
      <c r="AC63" s="675" t="s">
        <v>327</v>
      </c>
    </row>
    <row r="64" spans="1:29" s="536" customFormat="1" ht="22.5" x14ac:dyDescent="0.2">
      <c r="A64" s="575" t="s">
        <v>188</v>
      </c>
      <c r="B64" s="670" t="s">
        <v>3789</v>
      </c>
      <c r="C64" s="1823" t="s">
        <v>3790</v>
      </c>
      <c r="D64" s="1823"/>
      <c r="E64" s="1823"/>
      <c r="F64" s="573" t="s">
        <v>1537</v>
      </c>
      <c r="G64" s="573"/>
      <c r="H64" s="573"/>
      <c r="I64" s="573" t="s">
        <v>8925</v>
      </c>
      <c r="J64" s="572"/>
      <c r="K64" s="573"/>
      <c r="L64" s="572"/>
      <c r="M64" s="571"/>
      <c r="N64" s="570"/>
      <c r="V64" s="674"/>
      <c r="W64" s="675" t="s">
        <v>3790</v>
      </c>
      <c r="AC64" s="675"/>
    </row>
    <row r="65" spans="1:30" s="536" customFormat="1" ht="12" x14ac:dyDescent="0.2">
      <c r="A65" s="676"/>
      <c r="B65" s="664"/>
      <c r="C65" s="1822" t="s">
        <v>8926</v>
      </c>
      <c r="D65" s="1822"/>
      <c r="E65" s="1822"/>
      <c r="F65" s="1822"/>
      <c r="G65" s="1822"/>
      <c r="H65" s="1822"/>
      <c r="I65" s="1822"/>
      <c r="J65" s="1822"/>
      <c r="K65" s="1822"/>
      <c r="L65" s="1822"/>
      <c r="M65" s="1822"/>
      <c r="N65" s="1827"/>
      <c r="V65" s="674"/>
      <c r="W65" s="675"/>
      <c r="X65" s="537" t="s">
        <v>8926</v>
      </c>
      <c r="AC65" s="675"/>
    </row>
    <row r="66" spans="1:30" s="536" customFormat="1" ht="22.5" x14ac:dyDescent="0.2">
      <c r="A66" s="609"/>
      <c r="B66" s="552" t="s">
        <v>499</v>
      </c>
      <c r="C66" s="1822" t="s">
        <v>500</v>
      </c>
      <c r="D66" s="1822"/>
      <c r="E66" s="1822"/>
      <c r="F66" s="1822"/>
      <c r="G66" s="1822"/>
      <c r="H66" s="1822"/>
      <c r="I66" s="1822"/>
      <c r="J66" s="1822"/>
      <c r="K66" s="1822"/>
      <c r="L66" s="1822"/>
      <c r="M66" s="1822"/>
      <c r="N66" s="1827"/>
      <c r="V66" s="674"/>
      <c r="W66" s="675"/>
      <c r="Y66" s="537" t="s">
        <v>500</v>
      </c>
      <c r="AC66" s="675"/>
    </row>
    <row r="67" spans="1:30" s="536" customFormat="1" ht="12" x14ac:dyDescent="0.2">
      <c r="A67" s="605"/>
      <c r="B67" s="552" t="s">
        <v>185</v>
      </c>
      <c r="C67" s="1822" t="s">
        <v>312</v>
      </c>
      <c r="D67" s="1822"/>
      <c r="E67" s="1822"/>
      <c r="F67" s="562"/>
      <c r="G67" s="562"/>
      <c r="H67" s="562"/>
      <c r="I67" s="562"/>
      <c r="J67" s="604">
        <v>83.33</v>
      </c>
      <c r="K67" s="562" t="s">
        <v>313</v>
      </c>
      <c r="L67" s="604">
        <v>170.83</v>
      </c>
      <c r="M67" s="603"/>
      <c r="N67" s="602"/>
      <c r="V67" s="674"/>
      <c r="W67" s="675"/>
      <c r="Z67" s="537" t="s">
        <v>312</v>
      </c>
      <c r="AC67" s="675"/>
    </row>
    <row r="68" spans="1:30" s="536" customFormat="1" ht="12" x14ac:dyDescent="0.2">
      <c r="A68" s="605"/>
      <c r="B68" s="552" t="s">
        <v>186</v>
      </c>
      <c r="C68" s="1822" t="s">
        <v>344</v>
      </c>
      <c r="D68" s="1822"/>
      <c r="E68" s="1822"/>
      <c r="F68" s="562"/>
      <c r="G68" s="562"/>
      <c r="H68" s="562"/>
      <c r="I68" s="562"/>
      <c r="J68" s="604">
        <v>28.8</v>
      </c>
      <c r="K68" s="562" t="s">
        <v>313</v>
      </c>
      <c r="L68" s="604">
        <v>59.04</v>
      </c>
      <c r="M68" s="603"/>
      <c r="N68" s="602"/>
      <c r="V68" s="674"/>
      <c r="W68" s="675"/>
      <c r="Z68" s="537" t="s">
        <v>344</v>
      </c>
      <c r="AC68" s="675"/>
    </row>
    <row r="69" spans="1:30" s="536" customFormat="1" ht="12" x14ac:dyDescent="0.2">
      <c r="A69" s="605"/>
      <c r="B69" s="552" t="s">
        <v>187</v>
      </c>
      <c r="C69" s="1822" t="s">
        <v>345</v>
      </c>
      <c r="D69" s="1822"/>
      <c r="E69" s="1822"/>
      <c r="F69" s="562"/>
      <c r="G69" s="562"/>
      <c r="H69" s="562"/>
      <c r="I69" s="562"/>
      <c r="J69" s="604">
        <v>3.22</v>
      </c>
      <c r="K69" s="562" t="s">
        <v>313</v>
      </c>
      <c r="L69" s="604">
        <v>6.6</v>
      </c>
      <c r="M69" s="603"/>
      <c r="N69" s="602"/>
      <c r="V69" s="674"/>
      <c r="W69" s="675"/>
      <c r="Z69" s="537" t="s">
        <v>345</v>
      </c>
      <c r="AC69" s="675"/>
    </row>
    <row r="70" spans="1:30" s="536" customFormat="1" ht="22.5" x14ac:dyDescent="0.2">
      <c r="A70" s="676"/>
      <c r="B70" s="677" t="s">
        <v>1090</v>
      </c>
      <c r="C70" s="1829" t="s">
        <v>1091</v>
      </c>
      <c r="D70" s="1829"/>
      <c r="E70" s="1829"/>
      <c r="F70" s="678" t="s">
        <v>641</v>
      </c>
      <c r="G70" s="678" t="s">
        <v>195</v>
      </c>
      <c r="H70" s="678"/>
      <c r="I70" s="678" t="s">
        <v>8927</v>
      </c>
      <c r="J70" s="552"/>
      <c r="K70" s="562"/>
      <c r="L70" s="604"/>
      <c r="M70" s="562"/>
      <c r="N70" s="679"/>
      <c r="V70" s="674"/>
      <c r="W70" s="675"/>
      <c r="AC70" s="675"/>
      <c r="AD70" s="680" t="s">
        <v>1091</v>
      </c>
    </row>
    <row r="71" spans="1:30" s="536" customFormat="1" ht="12" x14ac:dyDescent="0.2">
      <c r="A71" s="605"/>
      <c r="B71" s="552"/>
      <c r="C71" s="1822" t="s">
        <v>314</v>
      </c>
      <c r="D71" s="1822"/>
      <c r="E71" s="1822"/>
      <c r="F71" s="562" t="s">
        <v>315</v>
      </c>
      <c r="G71" s="562" t="s">
        <v>2345</v>
      </c>
      <c r="H71" s="562" t="s">
        <v>313</v>
      </c>
      <c r="I71" s="562" t="s">
        <v>8928</v>
      </c>
      <c r="J71" s="604"/>
      <c r="K71" s="562"/>
      <c r="L71" s="604"/>
      <c r="M71" s="603"/>
      <c r="N71" s="602"/>
      <c r="V71" s="674"/>
      <c r="W71" s="675"/>
      <c r="AA71" s="537" t="s">
        <v>314</v>
      </c>
      <c r="AC71" s="675"/>
      <c r="AD71" s="680"/>
    </row>
    <row r="72" spans="1:30" s="536" customFormat="1" ht="12" x14ac:dyDescent="0.2">
      <c r="A72" s="605"/>
      <c r="B72" s="552"/>
      <c r="C72" s="1822" t="s">
        <v>348</v>
      </c>
      <c r="D72" s="1822"/>
      <c r="E72" s="1822"/>
      <c r="F72" s="562" t="s">
        <v>315</v>
      </c>
      <c r="G72" s="562" t="s">
        <v>2344</v>
      </c>
      <c r="H72" s="562" t="s">
        <v>313</v>
      </c>
      <c r="I72" s="562" t="s">
        <v>8929</v>
      </c>
      <c r="J72" s="604"/>
      <c r="K72" s="562"/>
      <c r="L72" s="604"/>
      <c r="M72" s="603"/>
      <c r="N72" s="602"/>
      <c r="V72" s="674"/>
      <c r="W72" s="675"/>
      <c r="AA72" s="537" t="s">
        <v>348</v>
      </c>
      <c r="AC72" s="675"/>
      <c r="AD72" s="680"/>
    </row>
    <row r="73" spans="1:30" s="536" customFormat="1" ht="12" x14ac:dyDescent="0.2">
      <c r="A73" s="605"/>
      <c r="B73" s="552"/>
      <c r="C73" s="1828" t="s">
        <v>318</v>
      </c>
      <c r="D73" s="1828"/>
      <c r="E73" s="1828"/>
      <c r="F73" s="608"/>
      <c r="G73" s="608"/>
      <c r="H73" s="608"/>
      <c r="I73" s="608"/>
      <c r="J73" s="607">
        <v>112.13</v>
      </c>
      <c r="K73" s="608"/>
      <c r="L73" s="607">
        <v>229.87</v>
      </c>
      <c r="M73" s="601"/>
      <c r="N73" s="606"/>
      <c r="V73" s="674"/>
      <c r="W73" s="675"/>
      <c r="AB73" s="537" t="s">
        <v>318</v>
      </c>
      <c r="AC73" s="675"/>
      <c r="AD73" s="680"/>
    </row>
    <row r="74" spans="1:30" s="536" customFormat="1" ht="12" x14ac:dyDescent="0.2">
      <c r="A74" s="605"/>
      <c r="B74" s="552"/>
      <c r="C74" s="1822" t="s">
        <v>319</v>
      </c>
      <c r="D74" s="1822"/>
      <c r="E74" s="1822"/>
      <c r="F74" s="562"/>
      <c r="G74" s="562"/>
      <c r="H74" s="562"/>
      <c r="I74" s="562"/>
      <c r="J74" s="604"/>
      <c r="K74" s="562"/>
      <c r="L74" s="604">
        <v>177.43</v>
      </c>
      <c r="M74" s="603"/>
      <c r="N74" s="602"/>
      <c r="V74" s="674"/>
      <c r="W74" s="675"/>
      <c r="AA74" s="537" t="s">
        <v>319</v>
      </c>
      <c r="AC74" s="675"/>
      <c r="AD74" s="680"/>
    </row>
    <row r="75" spans="1:30" s="536" customFormat="1" ht="33.75" x14ac:dyDescent="0.2">
      <c r="A75" s="605"/>
      <c r="B75" s="552" t="s">
        <v>533</v>
      </c>
      <c r="C75" s="1822" t="s">
        <v>534</v>
      </c>
      <c r="D75" s="1822"/>
      <c r="E75" s="1822"/>
      <c r="F75" s="562" t="s">
        <v>322</v>
      </c>
      <c r="G75" s="562" t="s">
        <v>535</v>
      </c>
      <c r="H75" s="562"/>
      <c r="I75" s="562" t="s">
        <v>535</v>
      </c>
      <c r="J75" s="604"/>
      <c r="K75" s="562"/>
      <c r="L75" s="604">
        <v>207.59</v>
      </c>
      <c r="M75" s="603"/>
      <c r="N75" s="602"/>
      <c r="V75" s="674"/>
      <c r="W75" s="675"/>
      <c r="AA75" s="537" t="s">
        <v>534</v>
      </c>
      <c r="AC75" s="675"/>
      <c r="AD75" s="680"/>
    </row>
    <row r="76" spans="1:30" s="536" customFormat="1" ht="33.75" x14ac:dyDescent="0.2">
      <c r="A76" s="605"/>
      <c r="B76" s="552" t="s">
        <v>536</v>
      </c>
      <c r="C76" s="1822" t="s">
        <v>537</v>
      </c>
      <c r="D76" s="1822"/>
      <c r="E76" s="1822"/>
      <c r="F76" s="562" t="s">
        <v>322</v>
      </c>
      <c r="G76" s="562" t="s">
        <v>538</v>
      </c>
      <c r="H76" s="562"/>
      <c r="I76" s="562" t="s">
        <v>538</v>
      </c>
      <c r="J76" s="604"/>
      <c r="K76" s="562"/>
      <c r="L76" s="604">
        <v>131.30000000000001</v>
      </c>
      <c r="M76" s="603"/>
      <c r="N76" s="602"/>
      <c r="V76" s="674"/>
      <c r="W76" s="675"/>
      <c r="AA76" s="537" t="s">
        <v>537</v>
      </c>
      <c r="AC76" s="675"/>
      <c r="AD76" s="680"/>
    </row>
    <row r="77" spans="1:30" s="536" customFormat="1" ht="12" x14ac:dyDescent="0.2">
      <c r="A77" s="569"/>
      <c r="B77" s="671"/>
      <c r="C77" s="1823" t="s">
        <v>327</v>
      </c>
      <c r="D77" s="1823"/>
      <c r="E77" s="1823"/>
      <c r="F77" s="573"/>
      <c r="G77" s="573"/>
      <c r="H77" s="573"/>
      <c r="I77" s="573"/>
      <c r="J77" s="572"/>
      <c r="K77" s="573"/>
      <c r="L77" s="572">
        <v>568.76</v>
      </c>
      <c r="M77" s="601"/>
      <c r="N77" s="570"/>
      <c r="V77" s="674"/>
      <c r="W77" s="675"/>
      <c r="AC77" s="675" t="s">
        <v>327</v>
      </c>
      <c r="AD77" s="680"/>
    </row>
    <row r="78" spans="1:30" s="536" customFormat="1" ht="33.75" x14ac:dyDescent="0.2">
      <c r="A78" s="575" t="s">
        <v>189</v>
      </c>
      <c r="B78" s="670" t="s">
        <v>1095</v>
      </c>
      <c r="C78" s="1823" t="s">
        <v>1096</v>
      </c>
      <c r="D78" s="1823"/>
      <c r="E78" s="1823"/>
      <c r="F78" s="573" t="s">
        <v>641</v>
      </c>
      <c r="G78" s="573"/>
      <c r="H78" s="573"/>
      <c r="I78" s="573" t="s">
        <v>8927</v>
      </c>
      <c r="J78" s="572">
        <v>55.26</v>
      </c>
      <c r="K78" s="573"/>
      <c r="L78" s="572">
        <v>996.89</v>
      </c>
      <c r="M78" s="571"/>
      <c r="N78" s="570"/>
      <c r="V78" s="674"/>
      <c r="W78" s="675" t="s">
        <v>1096</v>
      </c>
      <c r="AC78" s="675"/>
      <c r="AD78" s="680"/>
    </row>
    <row r="79" spans="1:30" s="536" customFormat="1" ht="12" x14ac:dyDescent="0.2">
      <c r="A79" s="569"/>
      <c r="B79" s="671"/>
      <c r="C79" s="665" t="s">
        <v>717</v>
      </c>
      <c r="D79" s="666"/>
      <c r="E79" s="666"/>
      <c r="F79" s="563"/>
      <c r="G79" s="563"/>
      <c r="H79" s="563"/>
      <c r="I79" s="563"/>
      <c r="J79" s="566"/>
      <c r="K79" s="563"/>
      <c r="L79" s="566"/>
      <c r="M79" s="565"/>
      <c r="N79" s="564"/>
      <c r="V79" s="674"/>
      <c r="W79" s="675"/>
      <c r="AC79" s="675"/>
      <c r="AD79" s="680"/>
    </row>
    <row r="80" spans="1:30" s="536" customFormat="1" ht="45" x14ac:dyDescent="0.2">
      <c r="A80" s="575" t="s">
        <v>190</v>
      </c>
      <c r="B80" s="670" t="s">
        <v>503</v>
      </c>
      <c r="C80" s="1823" t="s">
        <v>504</v>
      </c>
      <c r="D80" s="1823"/>
      <c r="E80" s="1823"/>
      <c r="F80" s="573" t="s">
        <v>455</v>
      </c>
      <c r="G80" s="573"/>
      <c r="H80" s="573"/>
      <c r="I80" s="573" t="s">
        <v>8922</v>
      </c>
      <c r="J80" s="572"/>
      <c r="K80" s="573"/>
      <c r="L80" s="572"/>
      <c r="M80" s="571"/>
      <c r="N80" s="570"/>
      <c r="V80" s="674"/>
      <c r="W80" s="675" t="s">
        <v>504</v>
      </c>
      <c r="AC80" s="675"/>
      <c r="AD80" s="680"/>
    </row>
    <row r="81" spans="1:30" s="536" customFormat="1" ht="12" x14ac:dyDescent="0.2">
      <c r="A81" s="676"/>
      <c r="B81" s="664"/>
      <c r="C81" s="1822" t="s">
        <v>8930</v>
      </c>
      <c r="D81" s="1822"/>
      <c r="E81" s="1822"/>
      <c r="F81" s="1822"/>
      <c r="G81" s="1822"/>
      <c r="H81" s="1822"/>
      <c r="I81" s="1822"/>
      <c r="J81" s="1822"/>
      <c r="K81" s="1822"/>
      <c r="L81" s="1822"/>
      <c r="M81" s="1822"/>
      <c r="N81" s="1827"/>
      <c r="V81" s="674"/>
      <c r="W81" s="675"/>
      <c r="X81" s="537" t="s">
        <v>8930</v>
      </c>
      <c r="AC81" s="675"/>
      <c r="AD81" s="680"/>
    </row>
    <row r="82" spans="1:30" s="536" customFormat="1" ht="22.5" x14ac:dyDescent="0.2">
      <c r="A82" s="609"/>
      <c r="B82" s="552" t="s">
        <v>499</v>
      </c>
      <c r="C82" s="1822" t="s">
        <v>500</v>
      </c>
      <c r="D82" s="1822"/>
      <c r="E82" s="1822"/>
      <c r="F82" s="1822"/>
      <c r="G82" s="1822"/>
      <c r="H82" s="1822"/>
      <c r="I82" s="1822"/>
      <c r="J82" s="1822"/>
      <c r="K82" s="1822"/>
      <c r="L82" s="1822"/>
      <c r="M82" s="1822"/>
      <c r="N82" s="1827"/>
      <c r="V82" s="674"/>
      <c r="W82" s="675"/>
      <c r="Y82" s="537" t="s">
        <v>500</v>
      </c>
      <c r="AC82" s="675"/>
      <c r="AD82" s="680"/>
    </row>
    <row r="83" spans="1:30" s="536" customFormat="1" ht="12" x14ac:dyDescent="0.2">
      <c r="A83" s="605"/>
      <c r="B83" s="552" t="s">
        <v>186</v>
      </c>
      <c r="C83" s="1822" t="s">
        <v>344</v>
      </c>
      <c r="D83" s="1822"/>
      <c r="E83" s="1822"/>
      <c r="F83" s="562"/>
      <c r="G83" s="562"/>
      <c r="H83" s="562"/>
      <c r="I83" s="562"/>
      <c r="J83" s="604">
        <v>3803.91</v>
      </c>
      <c r="K83" s="562" t="s">
        <v>313</v>
      </c>
      <c r="L83" s="604">
        <v>1930.48</v>
      </c>
      <c r="M83" s="603"/>
      <c r="N83" s="602"/>
      <c r="V83" s="674"/>
      <c r="W83" s="675"/>
      <c r="Z83" s="537" t="s">
        <v>344</v>
      </c>
      <c r="AC83" s="675"/>
      <c r="AD83" s="680"/>
    </row>
    <row r="84" spans="1:30" s="536" customFormat="1" ht="12" x14ac:dyDescent="0.2">
      <c r="A84" s="605"/>
      <c r="B84" s="552" t="s">
        <v>187</v>
      </c>
      <c r="C84" s="1822" t="s">
        <v>345</v>
      </c>
      <c r="D84" s="1822"/>
      <c r="E84" s="1822"/>
      <c r="F84" s="562"/>
      <c r="G84" s="562"/>
      <c r="H84" s="562"/>
      <c r="I84" s="562"/>
      <c r="J84" s="604">
        <v>445.5</v>
      </c>
      <c r="K84" s="562" t="s">
        <v>313</v>
      </c>
      <c r="L84" s="604">
        <v>226.09</v>
      </c>
      <c r="M84" s="603"/>
      <c r="N84" s="602"/>
      <c r="V84" s="674"/>
      <c r="W84" s="675"/>
      <c r="Z84" s="537" t="s">
        <v>345</v>
      </c>
      <c r="AC84" s="675"/>
      <c r="AD84" s="680"/>
    </row>
    <row r="85" spans="1:30" s="536" customFormat="1" ht="12" x14ac:dyDescent="0.2">
      <c r="A85" s="605"/>
      <c r="B85" s="552"/>
      <c r="C85" s="1822" t="s">
        <v>348</v>
      </c>
      <c r="D85" s="1822"/>
      <c r="E85" s="1822"/>
      <c r="F85" s="562" t="s">
        <v>315</v>
      </c>
      <c r="G85" s="562" t="s">
        <v>505</v>
      </c>
      <c r="H85" s="562" t="s">
        <v>313</v>
      </c>
      <c r="I85" s="562" t="s">
        <v>4993</v>
      </c>
      <c r="J85" s="604"/>
      <c r="K85" s="562"/>
      <c r="L85" s="604"/>
      <c r="M85" s="603"/>
      <c r="N85" s="602"/>
      <c r="V85" s="674"/>
      <c r="W85" s="675"/>
      <c r="AA85" s="537" t="s">
        <v>348</v>
      </c>
      <c r="AC85" s="675"/>
      <c r="AD85" s="680"/>
    </row>
    <row r="86" spans="1:30" s="536" customFormat="1" ht="12" x14ac:dyDescent="0.2">
      <c r="A86" s="605"/>
      <c r="B86" s="552"/>
      <c r="C86" s="1828" t="s">
        <v>318</v>
      </c>
      <c r="D86" s="1828"/>
      <c r="E86" s="1828"/>
      <c r="F86" s="608"/>
      <c r="G86" s="608"/>
      <c r="H86" s="608"/>
      <c r="I86" s="608"/>
      <c r="J86" s="607">
        <v>3803.91</v>
      </c>
      <c r="K86" s="608"/>
      <c r="L86" s="607">
        <v>1930.48</v>
      </c>
      <c r="M86" s="601"/>
      <c r="N86" s="606"/>
      <c r="V86" s="674"/>
      <c r="W86" s="675"/>
      <c r="AB86" s="537" t="s">
        <v>318</v>
      </c>
      <c r="AC86" s="675"/>
      <c r="AD86" s="680"/>
    </row>
    <row r="87" spans="1:30" s="536" customFormat="1" ht="12" x14ac:dyDescent="0.2">
      <c r="A87" s="605"/>
      <c r="B87" s="552"/>
      <c r="C87" s="1822" t="s">
        <v>319</v>
      </c>
      <c r="D87" s="1822"/>
      <c r="E87" s="1822"/>
      <c r="F87" s="562"/>
      <c r="G87" s="562"/>
      <c r="H87" s="562"/>
      <c r="I87" s="562"/>
      <c r="J87" s="604"/>
      <c r="K87" s="562"/>
      <c r="L87" s="604">
        <v>226.09</v>
      </c>
      <c r="M87" s="603"/>
      <c r="N87" s="602"/>
      <c r="V87" s="674"/>
      <c r="W87" s="675"/>
      <c r="AA87" s="537" t="s">
        <v>319</v>
      </c>
      <c r="AC87" s="675"/>
      <c r="AD87" s="680"/>
    </row>
    <row r="88" spans="1:30" s="536" customFormat="1" ht="33.75" x14ac:dyDescent="0.2">
      <c r="A88" s="605"/>
      <c r="B88" s="552" t="s">
        <v>460</v>
      </c>
      <c r="C88" s="1822" t="s">
        <v>461</v>
      </c>
      <c r="D88" s="1822"/>
      <c r="E88" s="1822"/>
      <c r="F88" s="562" t="s">
        <v>322</v>
      </c>
      <c r="G88" s="562" t="s">
        <v>462</v>
      </c>
      <c r="H88" s="562"/>
      <c r="I88" s="562" t="s">
        <v>462</v>
      </c>
      <c r="J88" s="604"/>
      <c r="K88" s="562"/>
      <c r="L88" s="604">
        <v>208</v>
      </c>
      <c r="M88" s="603"/>
      <c r="N88" s="602"/>
      <c r="V88" s="674"/>
      <c r="W88" s="675"/>
      <c r="AA88" s="537" t="s">
        <v>461</v>
      </c>
      <c r="AC88" s="675"/>
      <c r="AD88" s="680"/>
    </row>
    <row r="89" spans="1:30" s="536" customFormat="1" ht="33.75" x14ac:dyDescent="0.2">
      <c r="A89" s="605"/>
      <c r="B89" s="552" t="s">
        <v>463</v>
      </c>
      <c r="C89" s="1822" t="s">
        <v>464</v>
      </c>
      <c r="D89" s="1822"/>
      <c r="E89" s="1822"/>
      <c r="F89" s="562" t="s">
        <v>322</v>
      </c>
      <c r="G89" s="562" t="s">
        <v>465</v>
      </c>
      <c r="H89" s="562"/>
      <c r="I89" s="562" t="s">
        <v>465</v>
      </c>
      <c r="J89" s="604"/>
      <c r="K89" s="562"/>
      <c r="L89" s="604">
        <v>104</v>
      </c>
      <c r="M89" s="603"/>
      <c r="N89" s="602"/>
      <c r="V89" s="674"/>
      <c r="W89" s="675"/>
      <c r="AA89" s="537" t="s">
        <v>464</v>
      </c>
      <c r="AC89" s="675"/>
      <c r="AD89" s="680"/>
    </row>
    <row r="90" spans="1:30" s="536" customFormat="1" ht="12" x14ac:dyDescent="0.2">
      <c r="A90" s="569"/>
      <c r="B90" s="671"/>
      <c r="C90" s="1823" t="s">
        <v>327</v>
      </c>
      <c r="D90" s="1823"/>
      <c r="E90" s="1823"/>
      <c r="F90" s="573"/>
      <c r="G90" s="573"/>
      <c r="H90" s="573"/>
      <c r="I90" s="573"/>
      <c r="J90" s="572"/>
      <c r="K90" s="573"/>
      <c r="L90" s="572">
        <v>2242.48</v>
      </c>
      <c r="M90" s="601"/>
      <c r="N90" s="570"/>
      <c r="V90" s="674"/>
      <c r="W90" s="675"/>
      <c r="AC90" s="675" t="s">
        <v>327</v>
      </c>
      <c r="AD90" s="680"/>
    </row>
    <row r="91" spans="1:30" s="536" customFormat="1" ht="22.5" x14ac:dyDescent="0.2">
      <c r="A91" s="575" t="s">
        <v>191</v>
      </c>
      <c r="B91" s="670" t="s">
        <v>507</v>
      </c>
      <c r="C91" s="1823" t="s">
        <v>508</v>
      </c>
      <c r="D91" s="1823"/>
      <c r="E91" s="1823"/>
      <c r="F91" s="573" t="s">
        <v>509</v>
      </c>
      <c r="G91" s="573"/>
      <c r="H91" s="573"/>
      <c r="I91" s="573" t="s">
        <v>8931</v>
      </c>
      <c r="J91" s="572"/>
      <c r="K91" s="573"/>
      <c r="L91" s="572"/>
      <c r="M91" s="571"/>
      <c r="N91" s="570"/>
      <c r="V91" s="674"/>
      <c r="W91" s="675" t="s">
        <v>508</v>
      </c>
      <c r="AC91" s="675"/>
      <c r="AD91" s="680"/>
    </row>
    <row r="92" spans="1:30" s="536" customFormat="1" ht="12" x14ac:dyDescent="0.2">
      <c r="A92" s="676"/>
      <c r="B92" s="664"/>
      <c r="C92" s="1822" t="s">
        <v>8932</v>
      </c>
      <c r="D92" s="1822"/>
      <c r="E92" s="1822"/>
      <c r="F92" s="1822"/>
      <c r="G92" s="1822"/>
      <c r="H92" s="1822"/>
      <c r="I92" s="1822"/>
      <c r="J92" s="1822"/>
      <c r="K92" s="1822"/>
      <c r="L92" s="1822"/>
      <c r="M92" s="1822"/>
      <c r="N92" s="1827"/>
      <c r="V92" s="674"/>
      <c r="W92" s="675"/>
      <c r="X92" s="537" t="s">
        <v>8932</v>
      </c>
      <c r="AC92" s="675"/>
      <c r="AD92" s="680"/>
    </row>
    <row r="93" spans="1:30" s="536" customFormat="1" ht="22.5" x14ac:dyDescent="0.2">
      <c r="A93" s="609"/>
      <c r="B93" s="552" t="s">
        <v>499</v>
      </c>
      <c r="C93" s="1822" t="s">
        <v>500</v>
      </c>
      <c r="D93" s="1822"/>
      <c r="E93" s="1822"/>
      <c r="F93" s="1822"/>
      <c r="G93" s="1822"/>
      <c r="H93" s="1822"/>
      <c r="I93" s="1822"/>
      <c r="J93" s="1822"/>
      <c r="K93" s="1822"/>
      <c r="L93" s="1822"/>
      <c r="M93" s="1822"/>
      <c r="N93" s="1827"/>
      <c r="V93" s="674"/>
      <c r="W93" s="675"/>
      <c r="Y93" s="537" t="s">
        <v>500</v>
      </c>
      <c r="AC93" s="675"/>
      <c r="AD93" s="680"/>
    </row>
    <row r="94" spans="1:30" s="536" customFormat="1" ht="12" x14ac:dyDescent="0.2">
      <c r="A94" s="605"/>
      <c r="B94" s="552" t="s">
        <v>185</v>
      </c>
      <c r="C94" s="1822" t="s">
        <v>312</v>
      </c>
      <c r="D94" s="1822"/>
      <c r="E94" s="1822"/>
      <c r="F94" s="562"/>
      <c r="G94" s="562"/>
      <c r="H94" s="562"/>
      <c r="I94" s="562"/>
      <c r="J94" s="604">
        <v>127.61</v>
      </c>
      <c r="K94" s="562" t="s">
        <v>313</v>
      </c>
      <c r="L94" s="604">
        <v>647.62</v>
      </c>
      <c r="M94" s="603"/>
      <c r="N94" s="602"/>
      <c r="V94" s="674"/>
      <c r="W94" s="675"/>
      <c r="Z94" s="537" t="s">
        <v>312</v>
      </c>
      <c r="AC94" s="675"/>
      <c r="AD94" s="680"/>
    </row>
    <row r="95" spans="1:30" s="536" customFormat="1" ht="12" x14ac:dyDescent="0.2">
      <c r="A95" s="605"/>
      <c r="B95" s="552" t="s">
        <v>186</v>
      </c>
      <c r="C95" s="1822" t="s">
        <v>344</v>
      </c>
      <c r="D95" s="1822"/>
      <c r="E95" s="1822"/>
      <c r="F95" s="562"/>
      <c r="G95" s="562"/>
      <c r="H95" s="562"/>
      <c r="I95" s="562"/>
      <c r="J95" s="604">
        <v>288.58</v>
      </c>
      <c r="K95" s="562" t="s">
        <v>313</v>
      </c>
      <c r="L95" s="604">
        <v>1464.54</v>
      </c>
      <c r="M95" s="603"/>
      <c r="N95" s="602"/>
      <c r="V95" s="674"/>
      <c r="W95" s="675"/>
      <c r="Z95" s="537" t="s">
        <v>344</v>
      </c>
      <c r="AC95" s="675"/>
      <c r="AD95" s="680"/>
    </row>
    <row r="96" spans="1:30" s="536" customFormat="1" ht="12" x14ac:dyDescent="0.2">
      <c r="A96" s="605"/>
      <c r="B96" s="552" t="s">
        <v>187</v>
      </c>
      <c r="C96" s="1822" t="s">
        <v>345</v>
      </c>
      <c r="D96" s="1822"/>
      <c r="E96" s="1822"/>
      <c r="F96" s="562"/>
      <c r="G96" s="562"/>
      <c r="H96" s="562"/>
      <c r="I96" s="562"/>
      <c r="J96" s="604">
        <v>31.49</v>
      </c>
      <c r="K96" s="562" t="s">
        <v>313</v>
      </c>
      <c r="L96" s="604">
        <v>159.81</v>
      </c>
      <c r="M96" s="603"/>
      <c r="N96" s="602"/>
      <c r="V96" s="674"/>
      <c r="W96" s="675"/>
      <c r="Z96" s="537" t="s">
        <v>345</v>
      </c>
      <c r="AC96" s="675"/>
      <c r="AD96" s="680"/>
    </row>
    <row r="97" spans="1:32" s="536" customFormat="1" ht="12" x14ac:dyDescent="0.2">
      <c r="A97" s="605"/>
      <c r="B97" s="552"/>
      <c r="C97" s="1822" t="s">
        <v>314</v>
      </c>
      <c r="D97" s="1822"/>
      <c r="E97" s="1822"/>
      <c r="F97" s="562" t="s">
        <v>315</v>
      </c>
      <c r="G97" s="562" t="s">
        <v>512</v>
      </c>
      <c r="H97" s="562" t="s">
        <v>313</v>
      </c>
      <c r="I97" s="562" t="s">
        <v>8933</v>
      </c>
      <c r="J97" s="604"/>
      <c r="K97" s="562"/>
      <c r="L97" s="604"/>
      <c r="M97" s="603"/>
      <c r="N97" s="602"/>
      <c r="V97" s="674"/>
      <c r="W97" s="675"/>
      <c r="AA97" s="537" t="s">
        <v>314</v>
      </c>
      <c r="AC97" s="675"/>
      <c r="AD97" s="680"/>
    </row>
    <row r="98" spans="1:32" s="536" customFormat="1" ht="12" x14ac:dyDescent="0.2">
      <c r="A98" s="605"/>
      <c r="B98" s="552"/>
      <c r="C98" s="1822" t="s">
        <v>348</v>
      </c>
      <c r="D98" s="1822"/>
      <c r="E98" s="1822"/>
      <c r="F98" s="562" t="s">
        <v>315</v>
      </c>
      <c r="G98" s="562" t="s">
        <v>514</v>
      </c>
      <c r="H98" s="562" t="s">
        <v>313</v>
      </c>
      <c r="I98" s="562" t="s">
        <v>8934</v>
      </c>
      <c r="J98" s="604"/>
      <c r="K98" s="562"/>
      <c r="L98" s="604"/>
      <c r="M98" s="603"/>
      <c r="N98" s="602"/>
      <c r="V98" s="674"/>
      <c r="W98" s="675"/>
      <c r="AA98" s="537" t="s">
        <v>348</v>
      </c>
      <c r="AC98" s="675"/>
      <c r="AD98" s="680"/>
    </row>
    <row r="99" spans="1:32" s="536" customFormat="1" ht="12" x14ac:dyDescent="0.2">
      <c r="A99" s="605"/>
      <c r="B99" s="552"/>
      <c r="C99" s="1828" t="s">
        <v>318</v>
      </c>
      <c r="D99" s="1828"/>
      <c r="E99" s="1828"/>
      <c r="F99" s="608"/>
      <c r="G99" s="608"/>
      <c r="H99" s="608"/>
      <c r="I99" s="608"/>
      <c r="J99" s="607">
        <v>416.19</v>
      </c>
      <c r="K99" s="608"/>
      <c r="L99" s="607">
        <v>2112.16</v>
      </c>
      <c r="M99" s="601"/>
      <c r="N99" s="606"/>
      <c r="V99" s="674"/>
      <c r="W99" s="675"/>
      <c r="AB99" s="537" t="s">
        <v>318</v>
      </c>
      <c r="AC99" s="675"/>
      <c r="AD99" s="680"/>
    </row>
    <row r="100" spans="1:32" s="536" customFormat="1" ht="12" x14ac:dyDescent="0.2">
      <c r="A100" s="605"/>
      <c r="B100" s="552"/>
      <c r="C100" s="1822" t="s">
        <v>319</v>
      </c>
      <c r="D100" s="1822"/>
      <c r="E100" s="1822"/>
      <c r="F100" s="562"/>
      <c r="G100" s="562"/>
      <c r="H100" s="562"/>
      <c r="I100" s="562"/>
      <c r="J100" s="604"/>
      <c r="K100" s="562"/>
      <c r="L100" s="604">
        <v>807.43</v>
      </c>
      <c r="M100" s="603"/>
      <c r="N100" s="602"/>
      <c r="V100" s="674"/>
      <c r="W100" s="675"/>
      <c r="AA100" s="537" t="s">
        <v>319</v>
      </c>
      <c r="AC100" s="675"/>
      <c r="AD100" s="680"/>
    </row>
    <row r="101" spans="1:32" s="536" customFormat="1" ht="33.75" x14ac:dyDescent="0.2">
      <c r="A101" s="605"/>
      <c r="B101" s="552" t="s">
        <v>460</v>
      </c>
      <c r="C101" s="1822" t="s">
        <v>461</v>
      </c>
      <c r="D101" s="1822"/>
      <c r="E101" s="1822"/>
      <c r="F101" s="562" t="s">
        <v>322</v>
      </c>
      <c r="G101" s="562" t="s">
        <v>462</v>
      </c>
      <c r="H101" s="562"/>
      <c r="I101" s="562" t="s">
        <v>462</v>
      </c>
      <c r="J101" s="604"/>
      <c r="K101" s="562"/>
      <c r="L101" s="604">
        <v>742.84</v>
      </c>
      <c r="M101" s="603"/>
      <c r="N101" s="602"/>
      <c r="V101" s="674"/>
      <c r="W101" s="675"/>
      <c r="AA101" s="537" t="s">
        <v>461</v>
      </c>
      <c r="AC101" s="675"/>
      <c r="AD101" s="680"/>
    </row>
    <row r="102" spans="1:32" s="536" customFormat="1" ht="33.75" x14ac:dyDescent="0.2">
      <c r="A102" s="605"/>
      <c r="B102" s="552" t="s">
        <v>463</v>
      </c>
      <c r="C102" s="1822" t="s">
        <v>464</v>
      </c>
      <c r="D102" s="1822"/>
      <c r="E102" s="1822"/>
      <c r="F102" s="562" t="s">
        <v>322</v>
      </c>
      <c r="G102" s="562" t="s">
        <v>465</v>
      </c>
      <c r="H102" s="562"/>
      <c r="I102" s="562" t="s">
        <v>465</v>
      </c>
      <c r="J102" s="604"/>
      <c r="K102" s="562"/>
      <c r="L102" s="604">
        <v>371.42</v>
      </c>
      <c r="M102" s="603"/>
      <c r="N102" s="602"/>
      <c r="V102" s="674"/>
      <c r="W102" s="675"/>
      <c r="AA102" s="537" t="s">
        <v>464</v>
      </c>
      <c r="AC102" s="675"/>
      <c r="AD102" s="680"/>
    </row>
    <row r="103" spans="1:32" s="536" customFormat="1" ht="12" x14ac:dyDescent="0.2">
      <c r="A103" s="569"/>
      <c r="B103" s="671"/>
      <c r="C103" s="1823" t="s">
        <v>327</v>
      </c>
      <c r="D103" s="1823"/>
      <c r="E103" s="1823"/>
      <c r="F103" s="573"/>
      <c r="G103" s="573"/>
      <c r="H103" s="573"/>
      <c r="I103" s="573"/>
      <c r="J103" s="572"/>
      <c r="K103" s="573"/>
      <c r="L103" s="572">
        <v>3226.42</v>
      </c>
      <c r="M103" s="601"/>
      <c r="N103" s="570"/>
      <c r="V103" s="674"/>
      <c r="W103" s="675"/>
      <c r="AC103" s="675" t="s">
        <v>327</v>
      </c>
      <c r="AD103" s="680"/>
    </row>
    <row r="104" spans="1:32" s="536" customFormat="1" ht="1.5" customHeight="1" x14ac:dyDescent="0.2">
      <c r="A104" s="563"/>
      <c r="B104" s="671"/>
      <c r="C104" s="671"/>
      <c r="D104" s="671"/>
      <c r="E104" s="671"/>
      <c r="F104" s="563"/>
      <c r="G104" s="563"/>
      <c r="H104" s="563"/>
      <c r="I104" s="563"/>
      <c r="J104" s="546"/>
      <c r="K104" s="563"/>
      <c r="L104" s="546"/>
      <c r="M104" s="562"/>
      <c r="N104" s="546"/>
      <c r="V104" s="674"/>
      <c r="W104" s="675"/>
      <c r="AC104" s="675"/>
      <c r="AD104" s="680"/>
    </row>
    <row r="105" spans="1:32" s="536" customFormat="1" ht="12" x14ac:dyDescent="0.2">
      <c r="A105" s="557"/>
      <c r="B105" s="556"/>
      <c r="C105" s="1823" t="s">
        <v>4512</v>
      </c>
      <c r="D105" s="1823"/>
      <c r="E105" s="1823"/>
      <c r="F105" s="1823"/>
      <c r="G105" s="1823"/>
      <c r="H105" s="1823"/>
      <c r="I105" s="1823"/>
      <c r="J105" s="1823"/>
      <c r="K105" s="1823"/>
      <c r="L105" s="555"/>
      <c r="M105" s="554"/>
      <c r="N105" s="553"/>
      <c r="V105" s="674"/>
      <c r="W105" s="675"/>
      <c r="AC105" s="675"/>
      <c r="AD105" s="680"/>
      <c r="AE105" s="675" t="s">
        <v>4512</v>
      </c>
    </row>
    <row r="106" spans="1:32" s="536" customFormat="1" ht="12" x14ac:dyDescent="0.2">
      <c r="A106" s="548"/>
      <c r="B106" s="552"/>
      <c r="C106" s="1822" t="s">
        <v>403</v>
      </c>
      <c r="D106" s="1822"/>
      <c r="E106" s="1822"/>
      <c r="F106" s="1822"/>
      <c r="G106" s="1822"/>
      <c r="H106" s="1822"/>
      <c r="I106" s="1822"/>
      <c r="J106" s="1822"/>
      <c r="K106" s="1822"/>
      <c r="L106" s="551">
        <v>10582.69</v>
      </c>
      <c r="M106" s="550"/>
      <c r="N106" s="549"/>
      <c r="V106" s="674"/>
      <c r="W106" s="675"/>
      <c r="AC106" s="675"/>
      <c r="AD106" s="680"/>
      <c r="AE106" s="675"/>
      <c r="AF106" s="537" t="s">
        <v>403</v>
      </c>
    </row>
    <row r="107" spans="1:32" s="536" customFormat="1" ht="12" x14ac:dyDescent="0.2">
      <c r="A107" s="548"/>
      <c r="B107" s="552"/>
      <c r="C107" s="1822" t="s">
        <v>204</v>
      </c>
      <c r="D107" s="1822"/>
      <c r="E107" s="1822"/>
      <c r="F107" s="1822"/>
      <c r="G107" s="1822"/>
      <c r="H107" s="1822"/>
      <c r="I107" s="1822"/>
      <c r="J107" s="1822"/>
      <c r="K107" s="1822"/>
      <c r="L107" s="551"/>
      <c r="M107" s="550"/>
      <c r="N107" s="549"/>
      <c r="V107" s="674"/>
      <c r="W107" s="675"/>
      <c r="AC107" s="675"/>
      <c r="AD107" s="680"/>
      <c r="AE107" s="675"/>
      <c r="AF107" s="537" t="s">
        <v>204</v>
      </c>
    </row>
    <row r="108" spans="1:32" s="536" customFormat="1" ht="12" x14ac:dyDescent="0.2">
      <c r="A108" s="548"/>
      <c r="B108" s="552"/>
      <c r="C108" s="1822" t="s">
        <v>404</v>
      </c>
      <c r="D108" s="1822"/>
      <c r="E108" s="1822"/>
      <c r="F108" s="1822"/>
      <c r="G108" s="1822"/>
      <c r="H108" s="1822"/>
      <c r="I108" s="1822"/>
      <c r="J108" s="1822"/>
      <c r="K108" s="1822"/>
      <c r="L108" s="551">
        <v>818.45</v>
      </c>
      <c r="M108" s="550"/>
      <c r="N108" s="549"/>
      <c r="V108" s="674"/>
      <c r="W108" s="675"/>
      <c r="AC108" s="675"/>
      <c r="AD108" s="680"/>
      <c r="AE108" s="675"/>
      <c r="AF108" s="537" t="s">
        <v>404</v>
      </c>
    </row>
    <row r="109" spans="1:32" s="536" customFormat="1" ht="12" x14ac:dyDescent="0.2">
      <c r="A109" s="548"/>
      <c r="B109" s="552"/>
      <c r="C109" s="1822" t="s">
        <v>405</v>
      </c>
      <c r="D109" s="1822"/>
      <c r="E109" s="1822"/>
      <c r="F109" s="1822"/>
      <c r="G109" s="1822"/>
      <c r="H109" s="1822"/>
      <c r="I109" s="1822"/>
      <c r="J109" s="1822"/>
      <c r="K109" s="1822"/>
      <c r="L109" s="551">
        <v>8767.35</v>
      </c>
      <c r="M109" s="550"/>
      <c r="N109" s="549"/>
      <c r="V109" s="674"/>
      <c r="W109" s="675"/>
      <c r="AC109" s="675"/>
      <c r="AD109" s="680"/>
      <c r="AE109" s="675"/>
      <c r="AF109" s="537" t="s">
        <v>405</v>
      </c>
    </row>
    <row r="110" spans="1:32" s="536" customFormat="1" ht="12" x14ac:dyDescent="0.2">
      <c r="A110" s="548"/>
      <c r="B110" s="552"/>
      <c r="C110" s="1822" t="s">
        <v>406</v>
      </c>
      <c r="D110" s="1822"/>
      <c r="E110" s="1822"/>
      <c r="F110" s="1822"/>
      <c r="G110" s="1822"/>
      <c r="H110" s="1822"/>
      <c r="I110" s="1822"/>
      <c r="J110" s="1822"/>
      <c r="K110" s="1822"/>
      <c r="L110" s="551">
        <v>860.9</v>
      </c>
      <c r="M110" s="550"/>
      <c r="N110" s="549"/>
      <c r="V110" s="674"/>
      <c r="W110" s="675"/>
      <c r="AC110" s="675"/>
      <c r="AD110" s="680"/>
      <c r="AE110" s="675"/>
      <c r="AF110" s="537" t="s">
        <v>406</v>
      </c>
    </row>
    <row r="111" spans="1:32" s="536" customFormat="1" ht="12" x14ac:dyDescent="0.2">
      <c r="A111" s="548"/>
      <c r="B111" s="552"/>
      <c r="C111" s="1822" t="s">
        <v>480</v>
      </c>
      <c r="D111" s="1822"/>
      <c r="E111" s="1822"/>
      <c r="F111" s="1822"/>
      <c r="G111" s="1822"/>
      <c r="H111" s="1822"/>
      <c r="I111" s="1822"/>
      <c r="J111" s="1822"/>
      <c r="K111" s="1822"/>
      <c r="L111" s="551">
        <v>996.89</v>
      </c>
      <c r="M111" s="550"/>
      <c r="N111" s="549"/>
      <c r="V111" s="674"/>
      <c r="W111" s="675"/>
      <c r="AC111" s="675"/>
      <c r="AD111" s="680"/>
      <c r="AE111" s="675"/>
      <c r="AF111" s="537" t="s">
        <v>480</v>
      </c>
    </row>
    <row r="112" spans="1:32" s="536" customFormat="1" ht="12" x14ac:dyDescent="0.2">
      <c r="A112" s="548"/>
      <c r="B112" s="552"/>
      <c r="C112" s="1822" t="s">
        <v>407</v>
      </c>
      <c r="D112" s="1822"/>
      <c r="E112" s="1822"/>
      <c r="F112" s="1822"/>
      <c r="G112" s="1822"/>
      <c r="H112" s="1822"/>
      <c r="I112" s="1822"/>
      <c r="J112" s="1822"/>
      <c r="K112" s="1822"/>
      <c r="L112" s="551">
        <v>12994.23</v>
      </c>
      <c r="M112" s="550"/>
      <c r="N112" s="549"/>
      <c r="V112" s="674"/>
      <c r="W112" s="675"/>
      <c r="AC112" s="675"/>
      <c r="AD112" s="680"/>
      <c r="AE112" s="675"/>
      <c r="AF112" s="537" t="s">
        <v>407</v>
      </c>
    </row>
    <row r="113" spans="1:33" s="536" customFormat="1" ht="12" x14ac:dyDescent="0.2">
      <c r="A113" s="548"/>
      <c r="B113" s="552"/>
      <c r="C113" s="1822" t="s">
        <v>408</v>
      </c>
      <c r="D113" s="1822"/>
      <c r="E113" s="1822"/>
      <c r="F113" s="1822"/>
      <c r="G113" s="1822"/>
      <c r="H113" s="1822"/>
      <c r="I113" s="1822"/>
      <c r="J113" s="1822"/>
      <c r="K113" s="1822"/>
      <c r="L113" s="551">
        <v>11680.39</v>
      </c>
      <c r="M113" s="550"/>
      <c r="N113" s="549"/>
      <c r="V113" s="674"/>
      <c r="W113" s="675"/>
      <c r="AC113" s="675"/>
      <c r="AD113" s="680"/>
      <c r="AE113" s="675"/>
      <c r="AF113" s="537" t="s">
        <v>408</v>
      </c>
    </row>
    <row r="114" spans="1:33" s="536" customFormat="1" ht="12" x14ac:dyDescent="0.2">
      <c r="A114" s="548"/>
      <c r="B114" s="552"/>
      <c r="C114" s="1822" t="s">
        <v>409</v>
      </c>
      <c r="D114" s="1822"/>
      <c r="E114" s="1822"/>
      <c r="F114" s="1822"/>
      <c r="G114" s="1822"/>
      <c r="H114" s="1822"/>
      <c r="I114" s="1822"/>
      <c r="J114" s="1822"/>
      <c r="K114" s="1822"/>
      <c r="L114" s="551"/>
      <c r="M114" s="550"/>
      <c r="N114" s="549"/>
      <c r="V114" s="674"/>
      <c r="W114" s="675"/>
      <c r="AC114" s="675"/>
      <c r="AD114" s="680"/>
      <c r="AE114" s="675"/>
      <c r="AF114" s="537" t="s">
        <v>409</v>
      </c>
    </row>
    <row r="115" spans="1:33" s="536" customFormat="1" ht="12" x14ac:dyDescent="0.2">
      <c r="A115" s="548"/>
      <c r="B115" s="552"/>
      <c r="C115" s="1822" t="s">
        <v>410</v>
      </c>
      <c r="D115" s="1822"/>
      <c r="E115" s="1822"/>
      <c r="F115" s="1822"/>
      <c r="G115" s="1822"/>
      <c r="H115" s="1822"/>
      <c r="I115" s="1822"/>
      <c r="J115" s="1822"/>
      <c r="K115" s="1822"/>
      <c r="L115" s="551">
        <v>818.45</v>
      </c>
      <c r="M115" s="550"/>
      <c r="N115" s="549"/>
      <c r="V115" s="674"/>
      <c r="W115" s="675"/>
      <c r="AC115" s="675"/>
      <c r="AD115" s="680"/>
      <c r="AE115" s="675"/>
      <c r="AF115" s="537" t="s">
        <v>410</v>
      </c>
    </row>
    <row r="116" spans="1:33" s="536" customFormat="1" ht="12" x14ac:dyDescent="0.2">
      <c r="A116" s="548"/>
      <c r="B116" s="552"/>
      <c r="C116" s="1822" t="s">
        <v>411</v>
      </c>
      <c r="D116" s="1822"/>
      <c r="E116" s="1822"/>
      <c r="F116" s="1822"/>
      <c r="G116" s="1822"/>
      <c r="H116" s="1822"/>
      <c r="I116" s="1822"/>
      <c r="J116" s="1822"/>
      <c r="K116" s="1822"/>
      <c r="L116" s="551">
        <v>7453.51</v>
      </c>
      <c r="M116" s="550"/>
      <c r="N116" s="549"/>
      <c r="V116" s="674"/>
      <c r="W116" s="675"/>
      <c r="AC116" s="675"/>
      <c r="AD116" s="680"/>
      <c r="AE116" s="675"/>
      <c r="AF116" s="537" t="s">
        <v>411</v>
      </c>
    </row>
    <row r="117" spans="1:33" s="536" customFormat="1" ht="12" x14ac:dyDescent="0.2">
      <c r="A117" s="548"/>
      <c r="B117" s="552"/>
      <c r="C117" s="1822" t="s">
        <v>481</v>
      </c>
      <c r="D117" s="1822"/>
      <c r="E117" s="1822"/>
      <c r="F117" s="1822"/>
      <c r="G117" s="1822"/>
      <c r="H117" s="1822"/>
      <c r="I117" s="1822"/>
      <c r="J117" s="1822"/>
      <c r="K117" s="1822"/>
      <c r="L117" s="551">
        <v>996.89</v>
      </c>
      <c r="M117" s="550"/>
      <c r="N117" s="549"/>
      <c r="V117" s="674"/>
      <c r="W117" s="675"/>
      <c r="AC117" s="675"/>
      <c r="AD117" s="680"/>
      <c r="AE117" s="675"/>
      <c r="AF117" s="537" t="s">
        <v>481</v>
      </c>
    </row>
    <row r="118" spans="1:33" s="536" customFormat="1" ht="12" x14ac:dyDescent="0.2">
      <c r="A118" s="548"/>
      <c r="B118" s="552"/>
      <c r="C118" s="1822" t="s">
        <v>412</v>
      </c>
      <c r="D118" s="1822"/>
      <c r="E118" s="1822"/>
      <c r="F118" s="1822"/>
      <c r="G118" s="1822"/>
      <c r="H118" s="1822"/>
      <c r="I118" s="1822"/>
      <c r="J118" s="1822"/>
      <c r="K118" s="1822"/>
      <c r="L118" s="551">
        <v>1589.36</v>
      </c>
      <c r="M118" s="550"/>
      <c r="N118" s="549"/>
      <c r="V118" s="674"/>
      <c r="W118" s="675"/>
      <c r="AC118" s="675"/>
      <c r="AD118" s="680"/>
      <c r="AE118" s="675"/>
      <c r="AF118" s="537" t="s">
        <v>412</v>
      </c>
    </row>
    <row r="119" spans="1:33" s="536" customFormat="1" ht="12" x14ac:dyDescent="0.2">
      <c r="A119" s="548"/>
      <c r="B119" s="552"/>
      <c r="C119" s="1822" t="s">
        <v>413</v>
      </c>
      <c r="D119" s="1822"/>
      <c r="E119" s="1822"/>
      <c r="F119" s="1822"/>
      <c r="G119" s="1822"/>
      <c r="H119" s="1822"/>
      <c r="I119" s="1822"/>
      <c r="J119" s="1822"/>
      <c r="K119" s="1822"/>
      <c r="L119" s="551">
        <v>822.18</v>
      </c>
      <c r="M119" s="550"/>
      <c r="N119" s="549"/>
      <c r="V119" s="674"/>
      <c r="W119" s="675"/>
      <c r="AC119" s="675"/>
      <c r="AD119" s="680"/>
      <c r="AE119" s="675"/>
      <c r="AF119" s="537" t="s">
        <v>413</v>
      </c>
    </row>
    <row r="120" spans="1:33" s="536" customFormat="1" ht="12" x14ac:dyDescent="0.2">
      <c r="A120" s="548"/>
      <c r="B120" s="552"/>
      <c r="C120" s="1822" t="s">
        <v>414</v>
      </c>
      <c r="D120" s="1822"/>
      <c r="E120" s="1822"/>
      <c r="F120" s="1822"/>
      <c r="G120" s="1822"/>
      <c r="H120" s="1822"/>
      <c r="I120" s="1822"/>
      <c r="J120" s="1822"/>
      <c r="K120" s="1822"/>
      <c r="L120" s="551">
        <v>1313.84</v>
      </c>
      <c r="M120" s="550"/>
      <c r="N120" s="549"/>
      <c r="V120" s="674"/>
      <c r="W120" s="675"/>
      <c r="AC120" s="675"/>
      <c r="AD120" s="680"/>
      <c r="AE120" s="675"/>
      <c r="AF120" s="537" t="s">
        <v>414</v>
      </c>
    </row>
    <row r="121" spans="1:33" s="536" customFormat="1" ht="12" x14ac:dyDescent="0.2">
      <c r="A121" s="548"/>
      <c r="B121" s="552"/>
      <c r="C121" s="1822" t="s">
        <v>415</v>
      </c>
      <c r="D121" s="1822"/>
      <c r="E121" s="1822"/>
      <c r="F121" s="1822"/>
      <c r="G121" s="1822"/>
      <c r="H121" s="1822"/>
      <c r="I121" s="1822"/>
      <c r="J121" s="1822"/>
      <c r="K121" s="1822"/>
      <c r="L121" s="551">
        <v>1679.35</v>
      </c>
      <c r="M121" s="550"/>
      <c r="N121" s="549"/>
      <c r="V121" s="674"/>
      <c r="W121" s="675"/>
      <c r="AC121" s="675"/>
      <c r="AD121" s="680"/>
      <c r="AE121" s="675"/>
      <c r="AF121" s="537" t="s">
        <v>415</v>
      </c>
    </row>
    <row r="122" spans="1:33" s="536" customFormat="1" ht="12" x14ac:dyDescent="0.2">
      <c r="A122" s="548"/>
      <c r="B122" s="552"/>
      <c r="C122" s="1822" t="s">
        <v>416</v>
      </c>
      <c r="D122" s="1822"/>
      <c r="E122" s="1822"/>
      <c r="F122" s="1822"/>
      <c r="G122" s="1822"/>
      <c r="H122" s="1822"/>
      <c r="I122" s="1822"/>
      <c r="J122" s="1822"/>
      <c r="K122" s="1822"/>
      <c r="L122" s="551">
        <v>1589.36</v>
      </c>
      <c r="M122" s="550"/>
      <c r="N122" s="549"/>
      <c r="V122" s="674"/>
      <c r="W122" s="675"/>
      <c r="AC122" s="675"/>
      <c r="AD122" s="680"/>
      <c r="AE122" s="675"/>
      <c r="AF122" s="537" t="s">
        <v>416</v>
      </c>
    </row>
    <row r="123" spans="1:33" s="536" customFormat="1" ht="12" x14ac:dyDescent="0.2">
      <c r="A123" s="548"/>
      <c r="B123" s="552"/>
      <c r="C123" s="1822" t="s">
        <v>417</v>
      </c>
      <c r="D123" s="1822"/>
      <c r="E123" s="1822"/>
      <c r="F123" s="1822"/>
      <c r="G123" s="1822"/>
      <c r="H123" s="1822"/>
      <c r="I123" s="1822"/>
      <c r="J123" s="1822"/>
      <c r="K123" s="1822"/>
      <c r="L123" s="551">
        <v>822.18</v>
      </c>
      <c r="M123" s="550"/>
      <c r="N123" s="549"/>
      <c r="V123" s="674"/>
      <c r="W123" s="675"/>
      <c r="AC123" s="675"/>
      <c r="AD123" s="680"/>
      <c r="AE123" s="675"/>
      <c r="AF123" s="537" t="s">
        <v>417</v>
      </c>
    </row>
    <row r="124" spans="1:33" s="536" customFormat="1" ht="12" x14ac:dyDescent="0.2">
      <c r="A124" s="548"/>
      <c r="B124" s="546"/>
      <c r="C124" s="1819" t="s">
        <v>4513</v>
      </c>
      <c r="D124" s="1819"/>
      <c r="E124" s="1819"/>
      <c r="F124" s="1819"/>
      <c r="G124" s="1819"/>
      <c r="H124" s="1819"/>
      <c r="I124" s="1819"/>
      <c r="J124" s="1819"/>
      <c r="K124" s="1819"/>
      <c r="L124" s="544">
        <v>12994.23</v>
      </c>
      <c r="M124" s="543"/>
      <c r="N124" s="681"/>
      <c r="V124" s="674"/>
      <c r="W124" s="675"/>
      <c r="AC124" s="675"/>
      <c r="AD124" s="680"/>
      <c r="AE124" s="675"/>
      <c r="AG124" s="675" t="s">
        <v>4513</v>
      </c>
    </row>
    <row r="125" spans="1:33" s="536" customFormat="1" ht="12" x14ac:dyDescent="0.2">
      <c r="A125" s="1824" t="s">
        <v>4514</v>
      </c>
      <c r="B125" s="1825"/>
      <c r="C125" s="1825"/>
      <c r="D125" s="1825"/>
      <c r="E125" s="1825"/>
      <c r="F125" s="1825"/>
      <c r="G125" s="1825"/>
      <c r="H125" s="1825"/>
      <c r="I125" s="1825"/>
      <c r="J125" s="1825"/>
      <c r="K125" s="1825"/>
      <c r="L125" s="1825"/>
      <c r="M125" s="1825"/>
      <c r="N125" s="1826"/>
      <c r="V125" s="674" t="s">
        <v>4514</v>
      </c>
      <c r="W125" s="675"/>
      <c r="AC125" s="675"/>
      <c r="AD125" s="680"/>
      <c r="AE125" s="675"/>
      <c r="AG125" s="675"/>
    </row>
    <row r="126" spans="1:33" s="536" customFormat="1" ht="33.75" x14ac:dyDescent="0.2">
      <c r="A126" s="575" t="s">
        <v>192</v>
      </c>
      <c r="B126" s="670" t="s">
        <v>4515</v>
      </c>
      <c r="C126" s="1823" t="s">
        <v>4516</v>
      </c>
      <c r="D126" s="1823"/>
      <c r="E126" s="1823"/>
      <c r="F126" s="573" t="s">
        <v>1110</v>
      </c>
      <c r="G126" s="573"/>
      <c r="H126" s="573"/>
      <c r="I126" s="573" t="s">
        <v>4517</v>
      </c>
      <c r="J126" s="572"/>
      <c r="K126" s="573"/>
      <c r="L126" s="572"/>
      <c r="M126" s="571"/>
      <c r="N126" s="570"/>
      <c r="V126" s="674"/>
      <c r="W126" s="675" t="s">
        <v>4516</v>
      </c>
      <c r="AC126" s="675"/>
      <c r="AD126" s="680"/>
      <c r="AE126" s="675"/>
      <c r="AG126" s="675"/>
    </row>
    <row r="127" spans="1:33" s="536" customFormat="1" ht="12" x14ac:dyDescent="0.2">
      <c r="A127" s="676"/>
      <c r="B127" s="664"/>
      <c r="C127" s="1822" t="s">
        <v>4518</v>
      </c>
      <c r="D127" s="1822"/>
      <c r="E127" s="1822"/>
      <c r="F127" s="1822"/>
      <c r="G127" s="1822"/>
      <c r="H127" s="1822"/>
      <c r="I127" s="1822"/>
      <c r="J127" s="1822"/>
      <c r="K127" s="1822"/>
      <c r="L127" s="1822"/>
      <c r="M127" s="1822"/>
      <c r="N127" s="1827"/>
      <c r="V127" s="674"/>
      <c r="W127" s="675"/>
      <c r="X127" s="537" t="s">
        <v>4518</v>
      </c>
      <c r="AC127" s="675"/>
      <c r="AD127" s="680"/>
      <c r="AE127" s="675"/>
      <c r="AG127" s="675"/>
    </row>
    <row r="128" spans="1:33" s="536" customFormat="1" ht="22.5" x14ac:dyDescent="0.2">
      <c r="A128" s="609"/>
      <c r="B128" s="552" t="s">
        <v>499</v>
      </c>
      <c r="C128" s="1822" t="s">
        <v>500</v>
      </c>
      <c r="D128" s="1822"/>
      <c r="E128" s="1822"/>
      <c r="F128" s="1822"/>
      <c r="G128" s="1822"/>
      <c r="H128" s="1822"/>
      <c r="I128" s="1822"/>
      <c r="J128" s="1822"/>
      <c r="K128" s="1822"/>
      <c r="L128" s="1822"/>
      <c r="M128" s="1822"/>
      <c r="N128" s="1827"/>
      <c r="V128" s="674"/>
      <c r="W128" s="675"/>
      <c r="Y128" s="537" t="s">
        <v>500</v>
      </c>
      <c r="AC128" s="675"/>
      <c r="AD128" s="680"/>
      <c r="AE128" s="675"/>
      <c r="AG128" s="675"/>
    </row>
    <row r="129" spans="1:33" s="536" customFormat="1" ht="12" x14ac:dyDescent="0.2">
      <c r="A129" s="605"/>
      <c r="B129" s="552" t="s">
        <v>185</v>
      </c>
      <c r="C129" s="1822" t="s">
        <v>312</v>
      </c>
      <c r="D129" s="1822"/>
      <c r="E129" s="1822"/>
      <c r="F129" s="562"/>
      <c r="G129" s="562"/>
      <c r="H129" s="562"/>
      <c r="I129" s="562"/>
      <c r="J129" s="604">
        <v>208.75</v>
      </c>
      <c r="K129" s="562" t="s">
        <v>313</v>
      </c>
      <c r="L129" s="604">
        <v>404.45</v>
      </c>
      <c r="M129" s="603"/>
      <c r="N129" s="602"/>
      <c r="V129" s="674"/>
      <c r="W129" s="675"/>
      <c r="Z129" s="537" t="s">
        <v>312</v>
      </c>
      <c r="AC129" s="675"/>
      <c r="AD129" s="680"/>
      <c r="AE129" s="675"/>
      <c r="AG129" s="675"/>
    </row>
    <row r="130" spans="1:33" s="536" customFormat="1" ht="12" x14ac:dyDescent="0.2">
      <c r="A130" s="605"/>
      <c r="B130" s="552" t="s">
        <v>186</v>
      </c>
      <c r="C130" s="1822" t="s">
        <v>344</v>
      </c>
      <c r="D130" s="1822"/>
      <c r="E130" s="1822"/>
      <c r="F130" s="562"/>
      <c r="G130" s="562"/>
      <c r="H130" s="562"/>
      <c r="I130" s="562"/>
      <c r="J130" s="604">
        <v>7.91</v>
      </c>
      <c r="K130" s="562" t="s">
        <v>313</v>
      </c>
      <c r="L130" s="604">
        <v>15.33</v>
      </c>
      <c r="M130" s="603"/>
      <c r="N130" s="602"/>
      <c r="V130" s="674"/>
      <c r="W130" s="675"/>
      <c r="Z130" s="537" t="s">
        <v>344</v>
      </c>
      <c r="AC130" s="675"/>
      <c r="AD130" s="680"/>
      <c r="AE130" s="675"/>
      <c r="AG130" s="675"/>
    </row>
    <row r="131" spans="1:33" s="536" customFormat="1" ht="12" x14ac:dyDescent="0.2">
      <c r="A131" s="605"/>
      <c r="B131" s="552" t="s">
        <v>187</v>
      </c>
      <c r="C131" s="1822" t="s">
        <v>345</v>
      </c>
      <c r="D131" s="1822"/>
      <c r="E131" s="1822"/>
      <c r="F131" s="562"/>
      <c r="G131" s="562"/>
      <c r="H131" s="562"/>
      <c r="I131" s="562"/>
      <c r="J131" s="604">
        <v>1.1200000000000001</v>
      </c>
      <c r="K131" s="562" t="s">
        <v>313</v>
      </c>
      <c r="L131" s="604">
        <v>2.17</v>
      </c>
      <c r="M131" s="603"/>
      <c r="N131" s="602"/>
      <c r="V131" s="674"/>
      <c r="W131" s="675"/>
      <c r="Z131" s="537" t="s">
        <v>345</v>
      </c>
      <c r="AC131" s="675"/>
      <c r="AD131" s="680"/>
      <c r="AE131" s="675"/>
      <c r="AG131" s="675"/>
    </row>
    <row r="132" spans="1:33" s="536" customFormat="1" ht="12" x14ac:dyDescent="0.2">
      <c r="A132" s="605"/>
      <c r="B132" s="552" t="s">
        <v>188</v>
      </c>
      <c r="C132" s="1822" t="s">
        <v>475</v>
      </c>
      <c r="D132" s="1822"/>
      <c r="E132" s="1822"/>
      <c r="F132" s="562"/>
      <c r="G132" s="562"/>
      <c r="H132" s="562"/>
      <c r="I132" s="562"/>
      <c r="J132" s="604">
        <v>5</v>
      </c>
      <c r="K132" s="562"/>
      <c r="L132" s="604">
        <v>7.75</v>
      </c>
      <c r="M132" s="603"/>
      <c r="N132" s="602"/>
      <c r="V132" s="674"/>
      <c r="W132" s="675"/>
      <c r="Z132" s="537" t="s">
        <v>475</v>
      </c>
      <c r="AC132" s="675"/>
      <c r="AD132" s="680"/>
      <c r="AE132" s="675"/>
      <c r="AG132" s="675"/>
    </row>
    <row r="133" spans="1:33" s="536" customFormat="1" ht="12" x14ac:dyDescent="0.2">
      <c r="A133" s="676"/>
      <c r="B133" s="677" t="s">
        <v>4519</v>
      </c>
      <c r="C133" s="1829" t="s">
        <v>4520</v>
      </c>
      <c r="D133" s="1829"/>
      <c r="E133" s="1829"/>
      <c r="F133" s="678" t="s">
        <v>483</v>
      </c>
      <c r="G133" s="678" t="s">
        <v>844</v>
      </c>
      <c r="H133" s="678"/>
      <c r="I133" s="678" t="s">
        <v>4521</v>
      </c>
      <c r="J133" s="552"/>
      <c r="K133" s="562"/>
      <c r="L133" s="604"/>
      <c r="M133" s="562"/>
      <c r="N133" s="679"/>
      <c r="V133" s="674"/>
      <c r="W133" s="675"/>
      <c r="AC133" s="675"/>
      <c r="AD133" s="680" t="s">
        <v>4520</v>
      </c>
      <c r="AE133" s="675"/>
      <c r="AG133" s="675"/>
    </row>
    <row r="134" spans="1:33" s="536" customFormat="1" ht="12" x14ac:dyDescent="0.2">
      <c r="A134" s="605"/>
      <c r="B134" s="552"/>
      <c r="C134" s="1822" t="s">
        <v>314</v>
      </c>
      <c r="D134" s="1822"/>
      <c r="E134" s="1822"/>
      <c r="F134" s="562" t="s">
        <v>315</v>
      </c>
      <c r="G134" s="562" t="s">
        <v>4522</v>
      </c>
      <c r="H134" s="562" t="s">
        <v>313</v>
      </c>
      <c r="I134" s="562" t="s">
        <v>4523</v>
      </c>
      <c r="J134" s="604"/>
      <c r="K134" s="562"/>
      <c r="L134" s="604"/>
      <c r="M134" s="603"/>
      <c r="N134" s="602"/>
      <c r="V134" s="674"/>
      <c r="W134" s="675"/>
      <c r="AA134" s="537" t="s">
        <v>314</v>
      </c>
      <c r="AC134" s="675"/>
      <c r="AD134" s="680"/>
      <c r="AE134" s="675"/>
      <c r="AG134" s="675"/>
    </row>
    <row r="135" spans="1:33" s="536" customFormat="1" ht="12" x14ac:dyDescent="0.2">
      <c r="A135" s="605"/>
      <c r="B135" s="552"/>
      <c r="C135" s="1822" t="s">
        <v>348</v>
      </c>
      <c r="D135" s="1822"/>
      <c r="E135" s="1822"/>
      <c r="F135" s="562" t="s">
        <v>315</v>
      </c>
      <c r="G135" s="562" t="s">
        <v>1177</v>
      </c>
      <c r="H135" s="562" t="s">
        <v>313</v>
      </c>
      <c r="I135" s="562" t="s">
        <v>4524</v>
      </c>
      <c r="J135" s="604"/>
      <c r="K135" s="562"/>
      <c r="L135" s="604"/>
      <c r="M135" s="603"/>
      <c r="N135" s="602"/>
      <c r="V135" s="674"/>
      <c r="W135" s="675"/>
      <c r="AA135" s="537" t="s">
        <v>348</v>
      </c>
      <c r="AC135" s="675"/>
      <c r="AD135" s="680"/>
      <c r="AE135" s="675"/>
      <c r="AG135" s="675"/>
    </row>
    <row r="136" spans="1:33" s="536" customFormat="1" ht="12" x14ac:dyDescent="0.2">
      <c r="A136" s="605"/>
      <c r="B136" s="552"/>
      <c r="C136" s="1828" t="s">
        <v>318</v>
      </c>
      <c r="D136" s="1828"/>
      <c r="E136" s="1828"/>
      <c r="F136" s="608"/>
      <c r="G136" s="608"/>
      <c r="H136" s="608"/>
      <c r="I136" s="608"/>
      <c r="J136" s="607">
        <v>221.66</v>
      </c>
      <c r="K136" s="608"/>
      <c r="L136" s="607">
        <v>427.53</v>
      </c>
      <c r="M136" s="601"/>
      <c r="N136" s="606"/>
      <c r="V136" s="674"/>
      <c r="W136" s="675"/>
      <c r="AB136" s="537" t="s">
        <v>318</v>
      </c>
      <c r="AC136" s="675"/>
      <c r="AD136" s="680"/>
      <c r="AE136" s="675"/>
      <c r="AG136" s="675"/>
    </row>
    <row r="137" spans="1:33" s="536" customFormat="1" ht="12" x14ac:dyDescent="0.2">
      <c r="A137" s="605"/>
      <c r="B137" s="552"/>
      <c r="C137" s="1822" t="s">
        <v>319</v>
      </c>
      <c r="D137" s="1822"/>
      <c r="E137" s="1822"/>
      <c r="F137" s="562"/>
      <c r="G137" s="562"/>
      <c r="H137" s="562"/>
      <c r="I137" s="562"/>
      <c r="J137" s="604"/>
      <c r="K137" s="562"/>
      <c r="L137" s="604">
        <v>406.62</v>
      </c>
      <c r="M137" s="603"/>
      <c r="N137" s="602"/>
      <c r="V137" s="674"/>
      <c r="W137" s="675"/>
      <c r="AA137" s="537" t="s">
        <v>319</v>
      </c>
      <c r="AC137" s="675"/>
      <c r="AD137" s="680"/>
      <c r="AE137" s="675"/>
      <c r="AG137" s="675"/>
    </row>
    <row r="138" spans="1:33" s="536" customFormat="1" ht="33.75" x14ac:dyDescent="0.2">
      <c r="A138" s="605"/>
      <c r="B138" s="552" t="s">
        <v>533</v>
      </c>
      <c r="C138" s="1822" t="s">
        <v>534</v>
      </c>
      <c r="D138" s="1822"/>
      <c r="E138" s="1822"/>
      <c r="F138" s="562" t="s">
        <v>322</v>
      </c>
      <c r="G138" s="562" t="s">
        <v>535</v>
      </c>
      <c r="H138" s="562"/>
      <c r="I138" s="562" t="s">
        <v>535</v>
      </c>
      <c r="J138" s="604"/>
      <c r="K138" s="562"/>
      <c r="L138" s="604">
        <v>475.75</v>
      </c>
      <c r="M138" s="603"/>
      <c r="N138" s="602"/>
      <c r="V138" s="674"/>
      <c r="W138" s="675"/>
      <c r="AA138" s="537" t="s">
        <v>534</v>
      </c>
      <c r="AC138" s="675"/>
      <c r="AD138" s="680"/>
      <c r="AE138" s="675"/>
      <c r="AG138" s="675"/>
    </row>
    <row r="139" spans="1:33" s="536" customFormat="1" ht="33.75" x14ac:dyDescent="0.2">
      <c r="A139" s="605"/>
      <c r="B139" s="552" t="s">
        <v>536</v>
      </c>
      <c r="C139" s="1822" t="s">
        <v>537</v>
      </c>
      <c r="D139" s="1822"/>
      <c r="E139" s="1822"/>
      <c r="F139" s="562" t="s">
        <v>322</v>
      </c>
      <c r="G139" s="562" t="s">
        <v>538</v>
      </c>
      <c r="H139" s="562"/>
      <c r="I139" s="562" t="s">
        <v>538</v>
      </c>
      <c r="J139" s="604"/>
      <c r="K139" s="562"/>
      <c r="L139" s="604">
        <v>300.89999999999998</v>
      </c>
      <c r="M139" s="603"/>
      <c r="N139" s="602"/>
      <c r="V139" s="674"/>
      <c r="W139" s="675"/>
      <c r="AA139" s="537" t="s">
        <v>537</v>
      </c>
      <c r="AC139" s="675"/>
      <c r="AD139" s="680"/>
      <c r="AE139" s="675"/>
      <c r="AG139" s="675"/>
    </row>
    <row r="140" spans="1:33" s="536" customFormat="1" ht="12" x14ac:dyDescent="0.2">
      <c r="A140" s="569"/>
      <c r="B140" s="671"/>
      <c r="C140" s="1823" t="s">
        <v>327</v>
      </c>
      <c r="D140" s="1823"/>
      <c r="E140" s="1823"/>
      <c r="F140" s="573"/>
      <c r="G140" s="573"/>
      <c r="H140" s="573"/>
      <c r="I140" s="573"/>
      <c r="J140" s="572"/>
      <c r="K140" s="573"/>
      <c r="L140" s="572">
        <v>1204.18</v>
      </c>
      <c r="M140" s="601"/>
      <c r="N140" s="570"/>
      <c r="V140" s="674"/>
      <c r="W140" s="675"/>
      <c r="AC140" s="675" t="s">
        <v>327</v>
      </c>
      <c r="AD140" s="680"/>
      <c r="AE140" s="675"/>
      <c r="AG140" s="675"/>
    </row>
    <row r="141" spans="1:33" s="536" customFormat="1" ht="56.25" x14ac:dyDescent="0.2">
      <c r="A141" s="575" t="s">
        <v>193</v>
      </c>
      <c r="B141" s="670" t="s">
        <v>4525</v>
      </c>
      <c r="C141" s="1823" t="s">
        <v>4526</v>
      </c>
      <c r="D141" s="1823"/>
      <c r="E141" s="1823"/>
      <c r="F141" s="573" t="s">
        <v>483</v>
      </c>
      <c r="G141" s="573"/>
      <c r="H141" s="573"/>
      <c r="I141" s="573" t="s">
        <v>3162</v>
      </c>
      <c r="J141" s="572">
        <v>71.06</v>
      </c>
      <c r="K141" s="573"/>
      <c r="L141" s="572">
        <v>959.31</v>
      </c>
      <c r="M141" s="571"/>
      <c r="N141" s="570"/>
      <c r="V141" s="674"/>
      <c r="W141" s="675" t="s">
        <v>4526</v>
      </c>
      <c r="AC141" s="675"/>
      <c r="AD141" s="680"/>
      <c r="AE141" s="675"/>
      <c r="AG141" s="675"/>
    </row>
    <row r="142" spans="1:33" s="536" customFormat="1" ht="12" x14ac:dyDescent="0.2">
      <c r="A142" s="569"/>
      <c r="B142" s="671"/>
      <c r="C142" s="665" t="s">
        <v>717</v>
      </c>
      <c r="D142" s="666"/>
      <c r="E142" s="666"/>
      <c r="F142" s="563"/>
      <c r="G142" s="563"/>
      <c r="H142" s="563"/>
      <c r="I142" s="563"/>
      <c r="J142" s="566"/>
      <c r="K142" s="563"/>
      <c r="L142" s="566"/>
      <c r="M142" s="565"/>
      <c r="N142" s="564"/>
      <c r="V142" s="674"/>
      <c r="W142" s="675"/>
      <c r="AC142" s="675"/>
      <c r="AD142" s="680"/>
      <c r="AE142" s="675"/>
      <c r="AG142" s="675"/>
    </row>
    <row r="143" spans="1:33" s="536" customFormat="1" ht="101.25" x14ac:dyDescent="0.2">
      <c r="A143" s="575" t="s">
        <v>194</v>
      </c>
      <c r="B143" s="670" t="s">
        <v>4527</v>
      </c>
      <c r="C143" s="1823" t="s">
        <v>4528</v>
      </c>
      <c r="D143" s="1823"/>
      <c r="E143" s="1823"/>
      <c r="F143" s="573" t="s">
        <v>483</v>
      </c>
      <c r="G143" s="573"/>
      <c r="H143" s="573"/>
      <c r="I143" s="573" t="s">
        <v>4529</v>
      </c>
      <c r="J143" s="572">
        <v>96.9</v>
      </c>
      <c r="K143" s="573"/>
      <c r="L143" s="572">
        <v>13711.35</v>
      </c>
      <c r="M143" s="571"/>
      <c r="N143" s="570"/>
      <c r="V143" s="674"/>
      <c r="W143" s="675" t="s">
        <v>4528</v>
      </c>
      <c r="AC143" s="675"/>
      <c r="AD143" s="680"/>
      <c r="AE143" s="675"/>
      <c r="AG143" s="675"/>
    </row>
    <row r="144" spans="1:33" s="536" customFormat="1" ht="12" x14ac:dyDescent="0.2">
      <c r="A144" s="569"/>
      <c r="B144" s="671"/>
      <c r="C144" s="665" t="s">
        <v>717</v>
      </c>
      <c r="D144" s="666"/>
      <c r="E144" s="666"/>
      <c r="F144" s="563"/>
      <c r="G144" s="563"/>
      <c r="H144" s="563"/>
      <c r="I144" s="563"/>
      <c r="J144" s="566"/>
      <c r="K144" s="563"/>
      <c r="L144" s="566"/>
      <c r="M144" s="565"/>
      <c r="N144" s="564"/>
      <c r="V144" s="674"/>
      <c r="W144" s="675"/>
      <c r="AC144" s="675"/>
      <c r="AD144" s="680"/>
      <c r="AE144" s="675"/>
      <c r="AG144" s="675"/>
    </row>
    <row r="145" spans="1:33" s="536" customFormat="1" ht="33.75" x14ac:dyDescent="0.2">
      <c r="A145" s="575" t="s">
        <v>195</v>
      </c>
      <c r="B145" s="670" t="s">
        <v>4530</v>
      </c>
      <c r="C145" s="1823" t="s">
        <v>4531</v>
      </c>
      <c r="D145" s="1823"/>
      <c r="E145" s="1823"/>
      <c r="F145" s="573" t="s">
        <v>1110</v>
      </c>
      <c r="G145" s="573"/>
      <c r="H145" s="573"/>
      <c r="I145" s="573" t="s">
        <v>3178</v>
      </c>
      <c r="J145" s="572"/>
      <c r="K145" s="573"/>
      <c r="L145" s="572"/>
      <c r="M145" s="571"/>
      <c r="N145" s="570"/>
      <c r="V145" s="674"/>
      <c r="W145" s="675" t="s">
        <v>4531</v>
      </c>
      <c r="AC145" s="675"/>
      <c r="AD145" s="680"/>
      <c r="AE145" s="675"/>
      <c r="AG145" s="675"/>
    </row>
    <row r="146" spans="1:33" s="536" customFormat="1" ht="12" x14ac:dyDescent="0.2">
      <c r="A146" s="676"/>
      <c r="B146" s="664"/>
      <c r="C146" s="1822" t="s">
        <v>8547</v>
      </c>
      <c r="D146" s="1822"/>
      <c r="E146" s="1822"/>
      <c r="F146" s="1822"/>
      <c r="G146" s="1822"/>
      <c r="H146" s="1822"/>
      <c r="I146" s="1822"/>
      <c r="J146" s="1822"/>
      <c r="K146" s="1822"/>
      <c r="L146" s="1822"/>
      <c r="M146" s="1822"/>
      <c r="N146" s="1827"/>
      <c r="V146" s="674"/>
      <c r="W146" s="675"/>
      <c r="X146" s="537" t="s">
        <v>8547</v>
      </c>
      <c r="AC146" s="675"/>
      <c r="AD146" s="680"/>
      <c r="AE146" s="675"/>
      <c r="AG146" s="675"/>
    </row>
    <row r="147" spans="1:33" s="536" customFormat="1" ht="22.5" x14ac:dyDescent="0.2">
      <c r="A147" s="609"/>
      <c r="B147" s="552" t="s">
        <v>499</v>
      </c>
      <c r="C147" s="1822" t="s">
        <v>500</v>
      </c>
      <c r="D147" s="1822"/>
      <c r="E147" s="1822"/>
      <c r="F147" s="1822"/>
      <c r="G147" s="1822"/>
      <c r="H147" s="1822"/>
      <c r="I147" s="1822"/>
      <c r="J147" s="1822"/>
      <c r="K147" s="1822"/>
      <c r="L147" s="1822"/>
      <c r="M147" s="1822"/>
      <c r="N147" s="1827"/>
      <c r="V147" s="674"/>
      <c r="W147" s="675"/>
      <c r="Y147" s="537" t="s">
        <v>500</v>
      </c>
      <c r="AC147" s="675"/>
      <c r="AD147" s="680"/>
      <c r="AE147" s="675"/>
      <c r="AG147" s="675"/>
    </row>
    <row r="148" spans="1:33" s="536" customFormat="1" ht="12" x14ac:dyDescent="0.2">
      <c r="A148" s="605"/>
      <c r="B148" s="552" t="s">
        <v>185</v>
      </c>
      <c r="C148" s="1822" t="s">
        <v>312</v>
      </c>
      <c r="D148" s="1822"/>
      <c r="E148" s="1822"/>
      <c r="F148" s="562"/>
      <c r="G148" s="562"/>
      <c r="H148" s="562"/>
      <c r="I148" s="562"/>
      <c r="J148" s="604">
        <v>272.45999999999998</v>
      </c>
      <c r="K148" s="562" t="s">
        <v>313</v>
      </c>
      <c r="L148" s="604">
        <v>367.82</v>
      </c>
      <c r="M148" s="603"/>
      <c r="N148" s="602"/>
      <c r="V148" s="674"/>
      <c r="W148" s="675"/>
      <c r="Z148" s="537" t="s">
        <v>312</v>
      </c>
      <c r="AC148" s="675"/>
      <c r="AD148" s="680"/>
      <c r="AE148" s="675"/>
      <c r="AG148" s="675"/>
    </row>
    <row r="149" spans="1:33" s="536" customFormat="1" ht="12" x14ac:dyDescent="0.2">
      <c r="A149" s="605"/>
      <c r="B149" s="552" t="s">
        <v>186</v>
      </c>
      <c r="C149" s="1822" t="s">
        <v>344</v>
      </c>
      <c r="D149" s="1822"/>
      <c r="E149" s="1822"/>
      <c r="F149" s="562"/>
      <c r="G149" s="562"/>
      <c r="H149" s="562"/>
      <c r="I149" s="562"/>
      <c r="J149" s="604">
        <v>522.71</v>
      </c>
      <c r="K149" s="562" t="s">
        <v>313</v>
      </c>
      <c r="L149" s="604">
        <v>705.66</v>
      </c>
      <c r="M149" s="603"/>
      <c r="N149" s="602"/>
      <c r="V149" s="674"/>
      <c r="W149" s="675"/>
      <c r="Z149" s="537" t="s">
        <v>344</v>
      </c>
      <c r="AC149" s="675"/>
      <c r="AD149" s="680"/>
      <c r="AE149" s="675"/>
      <c r="AG149" s="675"/>
    </row>
    <row r="150" spans="1:33" s="536" customFormat="1" ht="12" x14ac:dyDescent="0.2">
      <c r="A150" s="605"/>
      <c r="B150" s="552" t="s">
        <v>187</v>
      </c>
      <c r="C150" s="1822" t="s">
        <v>345</v>
      </c>
      <c r="D150" s="1822"/>
      <c r="E150" s="1822"/>
      <c r="F150" s="562"/>
      <c r="G150" s="562"/>
      <c r="H150" s="562"/>
      <c r="I150" s="562"/>
      <c r="J150" s="604">
        <v>61.98</v>
      </c>
      <c r="K150" s="562" t="s">
        <v>313</v>
      </c>
      <c r="L150" s="604">
        <v>83.67</v>
      </c>
      <c r="M150" s="603"/>
      <c r="N150" s="602"/>
      <c r="V150" s="674"/>
      <c r="W150" s="675"/>
      <c r="Z150" s="537" t="s">
        <v>345</v>
      </c>
      <c r="AC150" s="675"/>
      <c r="AD150" s="680"/>
      <c r="AE150" s="675"/>
      <c r="AG150" s="675"/>
    </row>
    <row r="151" spans="1:33" s="536" customFormat="1" ht="12" x14ac:dyDescent="0.2">
      <c r="A151" s="605"/>
      <c r="B151" s="552" t="s">
        <v>188</v>
      </c>
      <c r="C151" s="1822" t="s">
        <v>475</v>
      </c>
      <c r="D151" s="1822"/>
      <c r="E151" s="1822"/>
      <c r="F151" s="562"/>
      <c r="G151" s="562"/>
      <c r="H151" s="562"/>
      <c r="I151" s="562"/>
      <c r="J151" s="604">
        <v>19.03</v>
      </c>
      <c r="K151" s="562"/>
      <c r="L151" s="604">
        <v>20.55</v>
      </c>
      <c r="M151" s="603"/>
      <c r="N151" s="602"/>
      <c r="V151" s="674"/>
      <c r="W151" s="675"/>
      <c r="Z151" s="537" t="s">
        <v>475</v>
      </c>
      <c r="AC151" s="675"/>
      <c r="AD151" s="680"/>
      <c r="AE151" s="675"/>
      <c r="AG151" s="675"/>
    </row>
    <row r="152" spans="1:33" s="536" customFormat="1" ht="12" x14ac:dyDescent="0.2">
      <c r="A152" s="676"/>
      <c r="B152" s="677" t="s">
        <v>4519</v>
      </c>
      <c r="C152" s="1829" t="s">
        <v>4520</v>
      </c>
      <c r="D152" s="1829"/>
      <c r="E152" s="1829"/>
      <c r="F152" s="678" t="s">
        <v>483</v>
      </c>
      <c r="G152" s="678" t="s">
        <v>844</v>
      </c>
      <c r="H152" s="678"/>
      <c r="I152" s="678" t="s">
        <v>851</v>
      </c>
      <c r="J152" s="552"/>
      <c r="K152" s="562"/>
      <c r="L152" s="604"/>
      <c r="M152" s="562"/>
      <c r="N152" s="679"/>
      <c r="V152" s="674"/>
      <c r="W152" s="675"/>
      <c r="AC152" s="675"/>
      <c r="AD152" s="680" t="s">
        <v>4520</v>
      </c>
      <c r="AE152" s="675"/>
      <c r="AG152" s="675"/>
    </row>
    <row r="153" spans="1:33" s="536" customFormat="1" ht="12" x14ac:dyDescent="0.2">
      <c r="A153" s="605"/>
      <c r="B153" s="552"/>
      <c r="C153" s="1822" t="s">
        <v>314</v>
      </c>
      <c r="D153" s="1822"/>
      <c r="E153" s="1822"/>
      <c r="F153" s="562" t="s">
        <v>315</v>
      </c>
      <c r="G153" s="562" t="s">
        <v>4532</v>
      </c>
      <c r="H153" s="562" t="s">
        <v>313</v>
      </c>
      <c r="I153" s="562" t="s">
        <v>8935</v>
      </c>
      <c r="J153" s="604"/>
      <c r="K153" s="562"/>
      <c r="L153" s="604"/>
      <c r="M153" s="603"/>
      <c r="N153" s="602"/>
      <c r="V153" s="674"/>
      <c r="W153" s="675"/>
      <c r="AA153" s="537" t="s">
        <v>314</v>
      </c>
      <c r="AC153" s="675"/>
      <c r="AD153" s="680"/>
      <c r="AE153" s="675"/>
      <c r="AG153" s="675"/>
    </row>
    <row r="154" spans="1:33" s="536" customFormat="1" ht="12" x14ac:dyDescent="0.2">
      <c r="A154" s="605"/>
      <c r="B154" s="552"/>
      <c r="C154" s="1822" t="s">
        <v>348</v>
      </c>
      <c r="D154" s="1822"/>
      <c r="E154" s="1822"/>
      <c r="F154" s="562" t="s">
        <v>315</v>
      </c>
      <c r="G154" s="562" t="s">
        <v>4157</v>
      </c>
      <c r="H154" s="562" t="s">
        <v>313</v>
      </c>
      <c r="I154" s="562" t="s">
        <v>8936</v>
      </c>
      <c r="J154" s="604"/>
      <c r="K154" s="562"/>
      <c r="L154" s="604"/>
      <c r="M154" s="603"/>
      <c r="N154" s="602"/>
      <c r="V154" s="674"/>
      <c r="W154" s="675"/>
      <c r="AA154" s="537" t="s">
        <v>348</v>
      </c>
      <c r="AC154" s="675"/>
      <c r="AD154" s="680"/>
      <c r="AE154" s="675"/>
      <c r="AG154" s="675"/>
    </row>
    <row r="155" spans="1:33" s="536" customFormat="1" ht="12" x14ac:dyDescent="0.2">
      <c r="A155" s="605"/>
      <c r="B155" s="552"/>
      <c r="C155" s="1828" t="s">
        <v>318</v>
      </c>
      <c r="D155" s="1828"/>
      <c r="E155" s="1828"/>
      <c r="F155" s="608"/>
      <c r="G155" s="608"/>
      <c r="H155" s="608"/>
      <c r="I155" s="608"/>
      <c r="J155" s="607">
        <v>814.2</v>
      </c>
      <c r="K155" s="608"/>
      <c r="L155" s="607">
        <v>1094.03</v>
      </c>
      <c r="M155" s="601"/>
      <c r="N155" s="606"/>
      <c r="V155" s="674"/>
      <c r="W155" s="675"/>
      <c r="AB155" s="537" t="s">
        <v>318</v>
      </c>
      <c r="AC155" s="675"/>
      <c r="AD155" s="680"/>
      <c r="AE155" s="675"/>
      <c r="AG155" s="675"/>
    </row>
    <row r="156" spans="1:33" s="536" customFormat="1" ht="12" x14ac:dyDescent="0.2">
      <c r="A156" s="605"/>
      <c r="B156" s="552"/>
      <c r="C156" s="1822" t="s">
        <v>319</v>
      </c>
      <c r="D156" s="1822"/>
      <c r="E156" s="1822"/>
      <c r="F156" s="562"/>
      <c r="G156" s="562"/>
      <c r="H156" s="562"/>
      <c r="I156" s="562"/>
      <c r="J156" s="604"/>
      <c r="K156" s="562"/>
      <c r="L156" s="604">
        <v>451.49</v>
      </c>
      <c r="M156" s="603"/>
      <c r="N156" s="602"/>
      <c r="V156" s="674"/>
      <c r="W156" s="675"/>
      <c r="AA156" s="537" t="s">
        <v>319</v>
      </c>
      <c r="AC156" s="675"/>
      <c r="AD156" s="680"/>
      <c r="AE156" s="675"/>
      <c r="AG156" s="675"/>
    </row>
    <row r="157" spans="1:33" s="536" customFormat="1" ht="33.75" x14ac:dyDescent="0.2">
      <c r="A157" s="605"/>
      <c r="B157" s="552" t="s">
        <v>533</v>
      </c>
      <c r="C157" s="1822" t="s">
        <v>534</v>
      </c>
      <c r="D157" s="1822"/>
      <c r="E157" s="1822"/>
      <c r="F157" s="562" t="s">
        <v>322</v>
      </c>
      <c r="G157" s="562" t="s">
        <v>535</v>
      </c>
      <c r="H157" s="562"/>
      <c r="I157" s="562" t="s">
        <v>535</v>
      </c>
      <c r="J157" s="604"/>
      <c r="K157" s="562"/>
      <c r="L157" s="604">
        <v>528.24</v>
      </c>
      <c r="M157" s="603"/>
      <c r="N157" s="602"/>
      <c r="V157" s="674"/>
      <c r="W157" s="675"/>
      <c r="AA157" s="537" t="s">
        <v>534</v>
      </c>
      <c r="AC157" s="675"/>
      <c r="AD157" s="680"/>
      <c r="AE157" s="675"/>
      <c r="AG157" s="675"/>
    </row>
    <row r="158" spans="1:33" s="536" customFormat="1" ht="33.75" x14ac:dyDescent="0.2">
      <c r="A158" s="605"/>
      <c r="B158" s="552" t="s">
        <v>536</v>
      </c>
      <c r="C158" s="1822" t="s">
        <v>537</v>
      </c>
      <c r="D158" s="1822"/>
      <c r="E158" s="1822"/>
      <c r="F158" s="562" t="s">
        <v>322</v>
      </c>
      <c r="G158" s="562" t="s">
        <v>538</v>
      </c>
      <c r="H158" s="562"/>
      <c r="I158" s="562" t="s">
        <v>538</v>
      </c>
      <c r="J158" s="604"/>
      <c r="K158" s="562"/>
      <c r="L158" s="604">
        <v>334.1</v>
      </c>
      <c r="M158" s="603"/>
      <c r="N158" s="602"/>
      <c r="V158" s="674"/>
      <c r="W158" s="675"/>
      <c r="AA158" s="537" t="s">
        <v>537</v>
      </c>
      <c r="AC158" s="675"/>
      <c r="AD158" s="680"/>
      <c r="AE158" s="675"/>
      <c r="AG158" s="675"/>
    </row>
    <row r="159" spans="1:33" s="536" customFormat="1" ht="12" x14ac:dyDescent="0.2">
      <c r="A159" s="569"/>
      <c r="B159" s="671"/>
      <c r="C159" s="1823" t="s">
        <v>327</v>
      </c>
      <c r="D159" s="1823"/>
      <c r="E159" s="1823"/>
      <c r="F159" s="573"/>
      <c r="G159" s="573"/>
      <c r="H159" s="573"/>
      <c r="I159" s="573"/>
      <c r="J159" s="572"/>
      <c r="K159" s="573"/>
      <c r="L159" s="572">
        <v>1956.37</v>
      </c>
      <c r="M159" s="601"/>
      <c r="N159" s="570"/>
      <c r="V159" s="674"/>
      <c r="W159" s="675"/>
      <c r="AC159" s="675" t="s">
        <v>327</v>
      </c>
      <c r="AD159" s="680"/>
      <c r="AE159" s="675"/>
      <c r="AG159" s="675"/>
    </row>
    <row r="160" spans="1:33" s="536" customFormat="1" ht="101.25" x14ac:dyDescent="0.2">
      <c r="A160" s="575" t="s">
        <v>196</v>
      </c>
      <c r="B160" s="670" t="s">
        <v>4533</v>
      </c>
      <c r="C160" s="1823" t="s">
        <v>4534</v>
      </c>
      <c r="D160" s="1823"/>
      <c r="E160" s="1823"/>
      <c r="F160" s="573" t="s">
        <v>483</v>
      </c>
      <c r="G160" s="573"/>
      <c r="H160" s="573"/>
      <c r="I160" s="573" t="s">
        <v>851</v>
      </c>
      <c r="J160" s="572">
        <v>352.61</v>
      </c>
      <c r="K160" s="573"/>
      <c r="L160" s="572">
        <v>38081.879999999997</v>
      </c>
      <c r="M160" s="571"/>
      <c r="N160" s="570"/>
      <c r="V160" s="674"/>
      <c r="W160" s="675" t="s">
        <v>4534</v>
      </c>
      <c r="AC160" s="675"/>
      <c r="AD160" s="680"/>
      <c r="AE160" s="675"/>
      <c r="AG160" s="675"/>
    </row>
    <row r="161" spans="1:33" s="536" customFormat="1" ht="12" x14ac:dyDescent="0.2">
      <c r="A161" s="569"/>
      <c r="B161" s="671"/>
      <c r="C161" s="665" t="s">
        <v>717</v>
      </c>
      <c r="D161" s="666"/>
      <c r="E161" s="666"/>
      <c r="F161" s="563"/>
      <c r="G161" s="563"/>
      <c r="H161" s="563"/>
      <c r="I161" s="563"/>
      <c r="J161" s="566"/>
      <c r="K161" s="563"/>
      <c r="L161" s="566"/>
      <c r="M161" s="565"/>
      <c r="N161" s="564"/>
      <c r="V161" s="674"/>
      <c r="W161" s="675"/>
      <c r="AC161" s="675"/>
      <c r="AD161" s="680"/>
      <c r="AE161" s="675"/>
      <c r="AG161" s="675"/>
    </row>
    <row r="162" spans="1:33" s="536" customFormat="1" ht="45" x14ac:dyDescent="0.2">
      <c r="A162" s="575" t="s">
        <v>197</v>
      </c>
      <c r="B162" s="670" t="s">
        <v>4535</v>
      </c>
      <c r="C162" s="1823" t="s">
        <v>4536</v>
      </c>
      <c r="D162" s="1823"/>
      <c r="E162" s="1823"/>
      <c r="F162" s="573" t="s">
        <v>1537</v>
      </c>
      <c r="G162" s="573"/>
      <c r="H162" s="573"/>
      <c r="I162" s="573" t="s">
        <v>8937</v>
      </c>
      <c r="J162" s="572"/>
      <c r="K162" s="573"/>
      <c r="L162" s="572"/>
      <c r="M162" s="571"/>
      <c r="N162" s="570"/>
      <c r="V162" s="674"/>
      <c r="W162" s="675" t="s">
        <v>4536</v>
      </c>
      <c r="AC162" s="675"/>
      <c r="AD162" s="680"/>
      <c r="AE162" s="675"/>
      <c r="AG162" s="675"/>
    </row>
    <row r="163" spans="1:33" s="536" customFormat="1" ht="12" x14ac:dyDescent="0.2">
      <c r="A163" s="676"/>
      <c r="B163" s="664"/>
      <c r="C163" s="1822" t="s">
        <v>8938</v>
      </c>
      <c r="D163" s="1822"/>
      <c r="E163" s="1822"/>
      <c r="F163" s="1822"/>
      <c r="G163" s="1822"/>
      <c r="H163" s="1822"/>
      <c r="I163" s="1822"/>
      <c r="J163" s="1822"/>
      <c r="K163" s="1822"/>
      <c r="L163" s="1822"/>
      <c r="M163" s="1822"/>
      <c r="N163" s="1827"/>
      <c r="V163" s="674"/>
      <c r="W163" s="675"/>
      <c r="X163" s="537" t="s">
        <v>8938</v>
      </c>
      <c r="AC163" s="675"/>
      <c r="AD163" s="680"/>
      <c r="AE163" s="675"/>
      <c r="AG163" s="675"/>
    </row>
    <row r="164" spans="1:33" s="536" customFormat="1" ht="22.5" x14ac:dyDescent="0.2">
      <c r="A164" s="609"/>
      <c r="B164" s="552" t="s">
        <v>499</v>
      </c>
      <c r="C164" s="1822" t="s">
        <v>500</v>
      </c>
      <c r="D164" s="1822"/>
      <c r="E164" s="1822"/>
      <c r="F164" s="1822"/>
      <c r="G164" s="1822"/>
      <c r="H164" s="1822"/>
      <c r="I164" s="1822"/>
      <c r="J164" s="1822"/>
      <c r="K164" s="1822"/>
      <c r="L164" s="1822"/>
      <c r="M164" s="1822"/>
      <c r="N164" s="1827"/>
      <c r="V164" s="674"/>
      <c r="W164" s="675"/>
      <c r="Y164" s="537" t="s">
        <v>500</v>
      </c>
      <c r="AC164" s="675"/>
      <c r="AD164" s="680"/>
      <c r="AE164" s="675"/>
      <c r="AG164" s="675"/>
    </row>
    <row r="165" spans="1:33" s="536" customFormat="1" ht="12" x14ac:dyDescent="0.2">
      <c r="A165" s="605"/>
      <c r="B165" s="552" t="s">
        <v>185</v>
      </c>
      <c r="C165" s="1822" t="s">
        <v>312</v>
      </c>
      <c r="D165" s="1822"/>
      <c r="E165" s="1822"/>
      <c r="F165" s="562"/>
      <c r="G165" s="562"/>
      <c r="H165" s="562"/>
      <c r="I165" s="562"/>
      <c r="J165" s="604">
        <v>1257.92</v>
      </c>
      <c r="K165" s="562" t="s">
        <v>313</v>
      </c>
      <c r="L165" s="604">
        <v>1298.96</v>
      </c>
      <c r="M165" s="603"/>
      <c r="N165" s="602"/>
      <c r="V165" s="674"/>
      <c r="W165" s="675"/>
      <c r="Z165" s="537" t="s">
        <v>312</v>
      </c>
      <c r="AC165" s="675"/>
      <c r="AD165" s="680"/>
      <c r="AE165" s="675"/>
      <c r="AG165" s="675"/>
    </row>
    <row r="166" spans="1:33" s="536" customFormat="1" ht="12" x14ac:dyDescent="0.2">
      <c r="A166" s="605"/>
      <c r="B166" s="552" t="s">
        <v>186</v>
      </c>
      <c r="C166" s="1822" t="s">
        <v>344</v>
      </c>
      <c r="D166" s="1822"/>
      <c r="E166" s="1822"/>
      <c r="F166" s="562"/>
      <c r="G166" s="562"/>
      <c r="H166" s="562"/>
      <c r="I166" s="562"/>
      <c r="J166" s="604">
        <v>2297.79</v>
      </c>
      <c r="K166" s="562" t="s">
        <v>313</v>
      </c>
      <c r="L166" s="604">
        <v>2372.7600000000002</v>
      </c>
      <c r="M166" s="603"/>
      <c r="N166" s="602"/>
      <c r="V166" s="674"/>
      <c r="W166" s="675"/>
      <c r="Z166" s="537" t="s">
        <v>344</v>
      </c>
      <c r="AC166" s="675"/>
      <c r="AD166" s="680"/>
      <c r="AE166" s="675"/>
      <c r="AG166" s="675"/>
    </row>
    <row r="167" spans="1:33" s="536" customFormat="1" ht="12" x14ac:dyDescent="0.2">
      <c r="A167" s="605"/>
      <c r="B167" s="552" t="s">
        <v>187</v>
      </c>
      <c r="C167" s="1822" t="s">
        <v>345</v>
      </c>
      <c r="D167" s="1822"/>
      <c r="E167" s="1822"/>
      <c r="F167" s="562"/>
      <c r="G167" s="562"/>
      <c r="H167" s="562"/>
      <c r="I167" s="562"/>
      <c r="J167" s="604">
        <v>286.33999999999997</v>
      </c>
      <c r="K167" s="562" t="s">
        <v>313</v>
      </c>
      <c r="L167" s="604">
        <v>295.68</v>
      </c>
      <c r="M167" s="603"/>
      <c r="N167" s="602"/>
      <c r="V167" s="674"/>
      <c r="W167" s="675"/>
      <c r="Z167" s="537" t="s">
        <v>345</v>
      </c>
      <c r="AC167" s="675"/>
      <c r="AD167" s="680"/>
      <c r="AE167" s="675"/>
      <c r="AG167" s="675"/>
    </row>
    <row r="168" spans="1:33" s="536" customFormat="1" ht="12" x14ac:dyDescent="0.2">
      <c r="A168" s="605"/>
      <c r="B168" s="552" t="s">
        <v>188</v>
      </c>
      <c r="C168" s="1822" t="s">
        <v>475</v>
      </c>
      <c r="D168" s="1822"/>
      <c r="E168" s="1822"/>
      <c r="F168" s="562"/>
      <c r="G168" s="562"/>
      <c r="H168" s="562"/>
      <c r="I168" s="562"/>
      <c r="J168" s="604">
        <v>3018.09</v>
      </c>
      <c r="K168" s="562"/>
      <c r="L168" s="604">
        <v>2493.2399999999998</v>
      </c>
      <c r="M168" s="603"/>
      <c r="N168" s="602"/>
      <c r="V168" s="674"/>
      <c r="W168" s="675"/>
      <c r="Z168" s="537" t="s">
        <v>475</v>
      </c>
      <c r="AC168" s="675"/>
      <c r="AD168" s="680"/>
      <c r="AE168" s="675"/>
      <c r="AG168" s="675"/>
    </row>
    <row r="169" spans="1:33" s="536" customFormat="1" ht="22.5" x14ac:dyDescent="0.2">
      <c r="A169" s="676"/>
      <c r="B169" s="677" t="s">
        <v>4438</v>
      </c>
      <c r="C169" s="1829" t="s">
        <v>4538</v>
      </c>
      <c r="D169" s="1829"/>
      <c r="E169" s="1829"/>
      <c r="F169" s="678" t="s">
        <v>483</v>
      </c>
      <c r="G169" s="678" t="s">
        <v>525</v>
      </c>
      <c r="H169" s="678"/>
      <c r="I169" s="678" t="s">
        <v>525</v>
      </c>
      <c r="J169" s="552"/>
      <c r="K169" s="562"/>
      <c r="L169" s="604"/>
      <c r="M169" s="562"/>
      <c r="N169" s="679"/>
      <c r="V169" s="674"/>
      <c r="W169" s="675"/>
      <c r="AC169" s="675"/>
      <c r="AD169" s="680" t="s">
        <v>4538</v>
      </c>
      <c r="AE169" s="675"/>
      <c r="AG169" s="675"/>
    </row>
    <row r="170" spans="1:33" s="536" customFormat="1" ht="12" x14ac:dyDescent="0.2">
      <c r="A170" s="676"/>
      <c r="B170" s="677" t="s">
        <v>4539</v>
      </c>
      <c r="C170" s="1829" t="s">
        <v>4540</v>
      </c>
      <c r="D170" s="1829"/>
      <c r="E170" s="1829"/>
      <c r="F170" s="678" t="s">
        <v>617</v>
      </c>
      <c r="G170" s="678" t="s">
        <v>525</v>
      </c>
      <c r="H170" s="678"/>
      <c r="I170" s="678" t="s">
        <v>525</v>
      </c>
      <c r="J170" s="552"/>
      <c r="K170" s="562"/>
      <c r="L170" s="604"/>
      <c r="M170" s="562"/>
      <c r="N170" s="679"/>
      <c r="V170" s="674"/>
      <c r="W170" s="675"/>
      <c r="AC170" s="675"/>
      <c r="AD170" s="680" t="s">
        <v>4540</v>
      </c>
      <c r="AE170" s="675"/>
      <c r="AG170" s="675"/>
    </row>
    <row r="171" spans="1:33" s="536" customFormat="1" ht="22.5" x14ac:dyDescent="0.2">
      <c r="A171" s="676"/>
      <c r="B171" s="677" t="s">
        <v>4541</v>
      </c>
      <c r="C171" s="1829" t="s">
        <v>4542</v>
      </c>
      <c r="D171" s="1829"/>
      <c r="E171" s="1829"/>
      <c r="F171" s="678" t="s">
        <v>694</v>
      </c>
      <c r="G171" s="678" t="s">
        <v>525</v>
      </c>
      <c r="H171" s="678"/>
      <c r="I171" s="678" t="s">
        <v>525</v>
      </c>
      <c r="J171" s="552"/>
      <c r="K171" s="562"/>
      <c r="L171" s="604"/>
      <c r="M171" s="562"/>
      <c r="N171" s="679"/>
      <c r="V171" s="674"/>
      <c r="W171" s="675"/>
      <c r="AC171" s="675"/>
      <c r="AD171" s="680" t="s">
        <v>4542</v>
      </c>
      <c r="AE171" s="675"/>
      <c r="AG171" s="675"/>
    </row>
    <row r="172" spans="1:33" s="536" customFormat="1" ht="12" x14ac:dyDescent="0.2">
      <c r="A172" s="676"/>
      <c r="B172" s="677" t="s">
        <v>4443</v>
      </c>
      <c r="C172" s="1829" t="s">
        <v>4444</v>
      </c>
      <c r="D172" s="1829"/>
      <c r="E172" s="1829"/>
      <c r="F172" s="678" t="s">
        <v>617</v>
      </c>
      <c r="G172" s="678" t="s">
        <v>525</v>
      </c>
      <c r="H172" s="678"/>
      <c r="I172" s="678" t="s">
        <v>525</v>
      </c>
      <c r="J172" s="552"/>
      <c r="K172" s="562"/>
      <c r="L172" s="604"/>
      <c r="M172" s="562"/>
      <c r="N172" s="679"/>
      <c r="V172" s="674"/>
      <c r="W172" s="675"/>
      <c r="AC172" s="675"/>
      <c r="AD172" s="680" t="s">
        <v>4444</v>
      </c>
      <c r="AE172" s="675"/>
      <c r="AG172" s="675"/>
    </row>
    <row r="173" spans="1:33" s="536" customFormat="1" ht="22.5" x14ac:dyDescent="0.2">
      <c r="A173" s="605"/>
      <c r="B173" s="552"/>
      <c r="C173" s="1822" t="s">
        <v>314</v>
      </c>
      <c r="D173" s="1822"/>
      <c r="E173" s="1822"/>
      <c r="F173" s="562" t="s">
        <v>315</v>
      </c>
      <c r="G173" s="562" t="s">
        <v>4543</v>
      </c>
      <c r="H173" s="562" t="s">
        <v>313</v>
      </c>
      <c r="I173" s="562" t="s">
        <v>8939</v>
      </c>
      <c r="J173" s="604"/>
      <c r="K173" s="562"/>
      <c r="L173" s="604"/>
      <c r="M173" s="603"/>
      <c r="N173" s="602"/>
      <c r="V173" s="674"/>
      <c r="W173" s="675"/>
      <c r="AA173" s="537" t="s">
        <v>314</v>
      </c>
      <c r="AC173" s="675"/>
      <c r="AD173" s="680"/>
      <c r="AE173" s="675"/>
      <c r="AG173" s="675"/>
    </row>
    <row r="174" spans="1:33" s="536" customFormat="1" ht="22.5" x14ac:dyDescent="0.2">
      <c r="A174" s="605"/>
      <c r="B174" s="552"/>
      <c r="C174" s="1822" t="s">
        <v>348</v>
      </c>
      <c r="D174" s="1822"/>
      <c r="E174" s="1822"/>
      <c r="F174" s="562" t="s">
        <v>315</v>
      </c>
      <c r="G174" s="562" t="s">
        <v>4544</v>
      </c>
      <c r="H174" s="562" t="s">
        <v>313</v>
      </c>
      <c r="I174" s="562" t="s">
        <v>8940</v>
      </c>
      <c r="J174" s="604"/>
      <c r="K174" s="562"/>
      <c r="L174" s="604"/>
      <c r="M174" s="603"/>
      <c r="N174" s="602"/>
      <c r="V174" s="674"/>
      <c r="W174" s="675"/>
      <c r="AA174" s="537" t="s">
        <v>348</v>
      </c>
      <c r="AC174" s="675"/>
      <c r="AD174" s="680"/>
      <c r="AE174" s="675"/>
      <c r="AG174" s="675"/>
    </row>
    <row r="175" spans="1:33" s="536" customFormat="1" ht="12" x14ac:dyDescent="0.2">
      <c r="A175" s="605"/>
      <c r="B175" s="552"/>
      <c r="C175" s="1828" t="s">
        <v>318</v>
      </c>
      <c r="D175" s="1828"/>
      <c r="E175" s="1828"/>
      <c r="F175" s="608"/>
      <c r="G175" s="608"/>
      <c r="H175" s="608"/>
      <c r="I175" s="608"/>
      <c r="J175" s="607">
        <v>6573.8</v>
      </c>
      <c r="K175" s="608"/>
      <c r="L175" s="607">
        <v>6164.96</v>
      </c>
      <c r="M175" s="601"/>
      <c r="N175" s="606"/>
      <c r="V175" s="674"/>
      <c r="W175" s="675"/>
      <c r="AB175" s="537" t="s">
        <v>318</v>
      </c>
      <c r="AC175" s="675"/>
      <c r="AD175" s="680"/>
      <c r="AE175" s="675"/>
      <c r="AG175" s="675"/>
    </row>
    <row r="176" spans="1:33" s="536" customFormat="1" ht="12" x14ac:dyDescent="0.2">
      <c r="A176" s="605"/>
      <c r="B176" s="552"/>
      <c r="C176" s="1822" t="s">
        <v>319</v>
      </c>
      <c r="D176" s="1822"/>
      <c r="E176" s="1822"/>
      <c r="F176" s="562"/>
      <c r="G176" s="562"/>
      <c r="H176" s="562"/>
      <c r="I176" s="562"/>
      <c r="J176" s="604"/>
      <c r="K176" s="562"/>
      <c r="L176" s="604">
        <v>1594.64</v>
      </c>
      <c r="M176" s="603"/>
      <c r="N176" s="602"/>
      <c r="V176" s="674"/>
      <c r="W176" s="675"/>
      <c r="AA176" s="537" t="s">
        <v>319</v>
      </c>
      <c r="AC176" s="675"/>
      <c r="AD176" s="680"/>
      <c r="AE176" s="675"/>
      <c r="AG176" s="675"/>
    </row>
    <row r="177" spans="1:33" s="536" customFormat="1" ht="33.75" x14ac:dyDescent="0.2">
      <c r="A177" s="605"/>
      <c r="B177" s="552" t="s">
        <v>533</v>
      </c>
      <c r="C177" s="1822" t="s">
        <v>534</v>
      </c>
      <c r="D177" s="1822"/>
      <c r="E177" s="1822"/>
      <c r="F177" s="562" t="s">
        <v>322</v>
      </c>
      <c r="G177" s="562" t="s">
        <v>535</v>
      </c>
      <c r="H177" s="562"/>
      <c r="I177" s="562" t="s">
        <v>535</v>
      </c>
      <c r="J177" s="604"/>
      <c r="K177" s="562"/>
      <c r="L177" s="604">
        <v>1865.73</v>
      </c>
      <c r="M177" s="603"/>
      <c r="N177" s="602"/>
      <c r="V177" s="674"/>
      <c r="W177" s="675"/>
      <c r="AA177" s="537" t="s">
        <v>534</v>
      </c>
      <c r="AC177" s="675"/>
      <c r="AD177" s="680"/>
      <c r="AE177" s="675"/>
      <c r="AG177" s="675"/>
    </row>
    <row r="178" spans="1:33" s="536" customFormat="1" ht="33.75" x14ac:dyDescent="0.2">
      <c r="A178" s="605"/>
      <c r="B178" s="552" t="s">
        <v>536</v>
      </c>
      <c r="C178" s="1822" t="s">
        <v>537</v>
      </c>
      <c r="D178" s="1822"/>
      <c r="E178" s="1822"/>
      <c r="F178" s="562" t="s">
        <v>322</v>
      </c>
      <c r="G178" s="562" t="s">
        <v>538</v>
      </c>
      <c r="H178" s="562"/>
      <c r="I178" s="562" t="s">
        <v>538</v>
      </c>
      <c r="J178" s="604"/>
      <c r="K178" s="562"/>
      <c r="L178" s="604">
        <v>1180.03</v>
      </c>
      <c r="M178" s="603"/>
      <c r="N178" s="602"/>
      <c r="V178" s="674"/>
      <c r="W178" s="675"/>
      <c r="AA178" s="537" t="s">
        <v>537</v>
      </c>
      <c r="AC178" s="675"/>
      <c r="AD178" s="680"/>
      <c r="AE178" s="675"/>
      <c r="AG178" s="675"/>
    </row>
    <row r="179" spans="1:33" s="536" customFormat="1" ht="12" x14ac:dyDescent="0.2">
      <c r="A179" s="569"/>
      <c r="B179" s="671"/>
      <c r="C179" s="1823" t="s">
        <v>327</v>
      </c>
      <c r="D179" s="1823"/>
      <c r="E179" s="1823"/>
      <c r="F179" s="573"/>
      <c r="G179" s="573"/>
      <c r="H179" s="573"/>
      <c r="I179" s="573"/>
      <c r="J179" s="572"/>
      <c r="K179" s="573"/>
      <c r="L179" s="572">
        <v>9210.7199999999993</v>
      </c>
      <c r="M179" s="601"/>
      <c r="N179" s="570"/>
      <c r="V179" s="674"/>
      <c r="W179" s="675"/>
      <c r="AC179" s="675" t="s">
        <v>327</v>
      </c>
      <c r="AD179" s="680"/>
      <c r="AE179" s="675"/>
      <c r="AG179" s="675"/>
    </row>
    <row r="180" spans="1:33" s="536" customFormat="1" ht="22.5" x14ac:dyDescent="0.2">
      <c r="A180" s="575" t="s">
        <v>198</v>
      </c>
      <c r="B180" s="670" t="s">
        <v>4545</v>
      </c>
      <c r="C180" s="1823" t="s">
        <v>4546</v>
      </c>
      <c r="D180" s="1823"/>
      <c r="E180" s="1823"/>
      <c r="F180" s="573" t="s">
        <v>617</v>
      </c>
      <c r="G180" s="573"/>
      <c r="H180" s="573"/>
      <c r="I180" s="573" t="s">
        <v>195</v>
      </c>
      <c r="J180" s="572">
        <v>215.48</v>
      </c>
      <c r="K180" s="573"/>
      <c r="L180" s="572">
        <v>2370.2800000000002</v>
      </c>
      <c r="M180" s="571"/>
      <c r="N180" s="570"/>
      <c r="V180" s="674"/>
      <c r="W180" s="675" t="s">
        <v>4546</v>
      </c>
      <c r="AC180" s="675"/>
      <c r="AD180" s="680"/>
      <c r="AE180" s="675"/>
      <c r="AG180" s="675"/>
    </row>
    <row r="181" spans="1:33" s="536" customFormat="1" ht="12" x14ac:dyDescent="0.2">
      <c r="A181" s="569"/>
      <c r="B181" s="671"/>
      <c r="C181" s="665" t="s">
        <v>717</v>
      </c>
      <c r="D181" s="666"/>
      <c r="E181" s="666"/>
      <c r="F181" s="563"/>
      <c r="G181" s="563"/>
      <c r="H181" s="563"/>
      <c r="I181" s="563"/>
      <c r="J181" s="566"/>
      <c r="K181" s="563"/>
      <c r="L181" s="566"/>
      <c r="M181" s="565"/>
      <c r="N181" s="564"/>
      <c r="V181" s="674"/>
      <c r="W181" s="675"/>
      <c r="AC181" s="675"/>
      <c r="AD181" s="680"/>
      <c r="AE181" s="675"/>
      <c r="AG181" s="675"/>
    </row>
    <row r="182" spans="1:33" s="536" customFormat="1" ht="33.75" x14ac:dyDescent="0.2">
      <c r="A182" s="575" t="s">
        <v>199</v>
      </c>
      <c r="B182" s="670" t="s">
        <v>4547</v>
      </c>
      <c r="C182" s="1823" t="s">
        <v>4548</v>
      </c>
      <c r="D182" s="1823"/>
      <c r="E182" s="1823"/>
      <c r="F182" s="573" t="s">
        <v>617</v>
      </c>
      <c r="G182" s="573"/>
      <c r="H182" s="573"/>
      <c r="I182" s="573" t="s">
        <v>195</v>
      </c>
      <c r="J182" s="572">
        <v>362.1</v>
      </c>
      <c r="K182" s="573"/>
      <c r="L182" s="572">
        <v>3983.1</v>
      </c>
      <c r="M182" s="571"/>
      <c r="N182" s="570"/>
      <c r="V182" s="674"/>
      <c r="W182" s="675" t="s">
        <v>4548</v>
      </c>
      <c r="AC182" s="675"/>
      <c r="AD182" s="680"/>
      <c r="AE182" s="675"/>
      <c r="AG182" s="675"/>
    </row>
    <row r="183" spans="1:33" s="536" customFormat="1" ht="12" x14ac:dyDescent="0.2">
      <c r="A183" s="569"/>
      <c r="B183" s="671"/>
      <c r="C183" s="665" t="s">
        <v>717</v>
      </c>
      <c r="D183" s="666"/>
      <c r="E183" s="666"/>
      <c r="F183" s="563"/>
      <c r="G183" s="563"/>
      <c r="H183" s="563"/>
      <c r="I183" s="563"/>
      <c r="J183" s="566"/>
      <c r="K183" s="563"/>
      <c r="L183" s="566"/>
      <c r="M183" s="565"/>
      <c r="N183" s="564"/>
      <c r="V183" s="674"/>
      <c r="W183" s="675"/>
      <c r="AC183" s="675"/>
      <c r="AD183" s="680"/>
      <c r="AE183" s="675"/>
      <c r="AG183" s="675"/>
    </row>
    <row r="184" spans="1:33" s="536" customFormat="1" ht="33.75" x14ac:dyDescent="0.2">
      <c r="A184" s="575" t="s">
        <v>200</v>
      </c>
      <c r="B184" s="670" t="s">
        <v>4549</v>
      </c>
      <c r="C184" s="1823" t="s">
        <v>4550</v>
      </c>
      <c r="D184" s="1823"/>
      <c r="E184" s="1823"/>
      <c r="F184" s="573" t="s">
        <v>617</v>
      </c>
      <c r="G184" s="573"/>
      <c r="H184" s="573"/>
      <c r="I184" s="573" t="s">
        <v>195</v>
      </c>
      <c r="J184" s="572">
        <v>242.94</v>
      </c>
      <c r="K184" s="573"/>
      <c r="L184" s="572">
        <v>2672.34</v>
      </c>
      <c r="M184" s="571"/>
      <c r="N184" s="570"/>
      <c r="V184" s="674"/>
      <c r="W184" s="675" t="s">
        <v>4550</v>
      </c>
      <c r="AC184" s="675"/>
      <c r="AD184" s="680"/>
      <c r="AE184" s="675"/>
      <c r="AG184" s="675"/>
    </row>
    <row r="185" spans="1:33" s="536" customFormat="1" ht="12" x14ac:dyDescent="0.2">
      <c r="A185" s="569"/>
      <c r="B185" s="671"/>
      <c r="C185" s="665" t="s">
        <v>717</v>
      </c>
      <c r="D185" s="666"/>
      <c r="E185" s="666"/>
      <c r="F185" s="563"/>
      <c r="G185" s="563"/>
      <c r="H185" s="563"/>
      <c r="I185" s="563"/>
      <c r="J185" s="566"/>
      <c r="K185" s="563"/>
      <c r="L185" s="566"/>
      <c r="M185" s="565"/>
      <c r="N185" s="564"/>
      <c r="V185" s="674"/>
      <c r="W185" s="675"/>
      <c r="AC185" s="675"/>
      <c r="AD185" s="680"/>
      <c r="AE185" s="675"/>
      <c r="AG185" s="675"/>
    </row>
    <row r="186" spans="1:33" s="536" customFormat="1" ht="33.75" x14ac:dyDescent="0.2">
      <c r="A186" s="575" t="s">
        <v>425</v>
      </c>
      <c r="B186" s="670" t="s">
        <v>4455</v>
      </c>
      <c r="C186" s="1823" t="s">
        <v>4456</v>
      </c>
      <c r="D186" s="1823"/>
      <c r="E186" s="1823"/>
      <c r="F186" s="573" t="s">
        <v>617</v>
      </c>
      <c r="G186" s="573"/>
      <c r="H186" s="573"/>
      <c r="I186" s="573" t="s">
        <v>195</v>
      </c>
      <c r="J186" s="572">
        <v>78.56</v>
      </c>
      <c r="K186" s="573"/>
      <c r="L186" s="572">
        <v>864.16</v>
      </c>
      <c r="M186" s="571"/>
      <c r="N186" s="570"/>
      <c r="V186" s="674"/>
      <c r="W186" s="675" t="s">
        <v>4456</v>
      </c>
      <c r="AC186" s="675"/>
      <c r="AD186" s="680"/>
      <c r="AE186" s="675"/>
      <c r="AG186" s="675"/>
    </row>
    <row r="187" spans="1:33" s="536" customFormat="1" ht="12" x14ac:dyDescent="0.2">
      <c r="A187" s="569"/>
      <c r="B187" s="671"/>
      <c r="C187" s="665" t="s">
        <v>717</v>
      </c>
      <c r="D187" s="666"/>
      <c r="E187" s="666"/>
      <c r="F187" s="563"/>
      <c r="G187" s="563"/>
      <c r="H187" s="563"/>
      <c r="I187" s="563"/>
      <c r="J187" s="566"/>
      <c r="K187" s="563"/>
      <c r="L187" s="566"/>
      <c r="M187" s="565"/>
      <c r="N187" s="564"/>
      <c r="V187" s="674"/>
      <c r="W187" s="675"/>
      <c r="AC187" s="675"/>
      <c r="AD187" s="680"/>
      <c r="AE187" s="675"/>
      <c r="AG187" s="675"/>
    </row>
    <row r="188" spans="1:33" s="536" customFormat="1" ht="22.5" x14ac:dyDescent="0.2">
      <c r="A188" s="575" t="s">
        <v>430</v>
      </c>
      <c r="B188" s="670" t="s">
        <v>4459</v>
      </c>
      <c r="C188" s="1823" t="s">
        <v>4460</v>
      </c>
      <c r="D188" s="1823"/>
      <c r="E188" s="1823"/>
      <c r="F188" s="573" t="s">
        <v>617</v>
      </c>
      <c r="G188" s="573"/>
      <c r="H188" s="573"/>
      <c r="I188" s="573" t="s">
        <v>195</v>
      </c>
      <c r="J188" s="572">
        <v>31.43</v>
      </c>
      <c r="K188" s="573"/>
      <c r="L188" s="572">
        <v>345.73</v>
      </c>
      <c r="M188" s="571"/>
      <c r="N188" s="570"/>
      <c r="V188" s="674"/>
      <c r="W188" s="675" t="s">
        <v>4460</v>
      </c>
      <c r="AC188" s="675"/>
      <c r="AD188" s="680"/>
      <c r="AE188" s="675"/>
      <c r="AG188" s="675"/>
    </row>
    <row r="189" spans="1:33" s="536" customFormat="1" ht="12" x14ac:dyDescent="0.2">
      <c r="A189" s="569"/>
      <c r="B189" s="671"/>
      <c r="C189" s="665" t="s">
        <v>717</v>
      </c>
      <c r="D189" s="666"/>
      <c r="E189" s="666"/>
      <c r="F189" s="563"/>
      <c r="G189" s="563"/>
      <c r="H189" s="563"/>
      <c r="I189" s="563"/>
      <c r="J189" s="566"/>
      <c r="K189" s="563"/>
      <c r="L189" s="566"/>
      <c r="M189" s="565"/>
      <c r="N189" s="564"/>
      <c r="V189" s="674"/>
      <c r="W189" s="675"/>
      <c r="AC189" s="675"/>
      <c r="AD189" s="680"/>
      <c r="AE189" s="675"/>
      <c r="AG189" s="675"/>
    </row>
    <row r="190" spans="1:33" s="536" customFormat="1" ht="22.5" x14ac:dyDescent="0.2">
      <c r="A190" s="575" t="s">
        <v>436</v>
      </c>
      <c r="B190" s="670" t="s">
        <v>4551</v>
      </c>
      <c r="C190" s="1823" t="s">
        <v>4552</v>
      </c>
      <c r="D190" s="1823"/>
      <c r="E190" s="1823"/>
      <c r="F190" s="573" t="s">
        <v>617</v>
      </c>
      <c r="G190" s="573"/>
      <c r="H190" s="573"/>
      <c r="I190" s="573" t="s">
        <v>195</v>
      </c>
      <c r="J190" s="572">
        <v>119.5</v>
      </c>
      <c r="K190" s="573"/>
      <c r="L190" s="572">
        <v>1314.5</v>
      </c>
      <c r="M190" s="571"/>
      <c r="N190" s="570"/>
      <c r="V190" s="674"/>
      <c r="W190" s="675" t="s">
        <v>4552</v>
      </c>
      <c r="AC190" s="675"/>
      <c r="AD190" s="680"/>
      <c r="AE190" s="675"/>
      <c r="AG190" s="675"/>
    </row>
    <row r="191" spans="1:33" s="536" customFormat="1" ht="12" x14ac:dyDescent="0.2">
      <c r="A191" s="569"/>
      <c r="B191" s="671"/>
      <c r="C191" s="665" t="s">
        <v>717</v>
      </c>
      <c r="D191" s="666"/>
      <c r="E191" s="666"/>
      <c r="F191" s="563"/>
      <c r="G191" s="563"/>
      <c r="H191" s="563"/>
      <c r="I191" s="563"/>
      <c r="J191" s="566"/>
      <c r="K191" s="563"/>
      <c r="L191" s="566"/>
      <c r="M191" s="565"/>
      <c r="N191" s="564"/>
      <c r="V191" s="674"/>
      <c r="W191" s="675"/>
      <c r="AC191" s="675"/>
      <c r="AD191" s="680"/>
      <c r="AE191" s="675"/>
      <c r="AG191" s="675"/>
    </row>
    <row r="192" spans="1:33" s="536" customFormat="1" ht="12" x14ac:dyDescent="0.2">
      <c r="A192" s="575" t="s">
        <v>733</v>
      </c>
      <c r="B192" s="670" t="s">
        <v>4461</v>
      </c>
      <c r="C192" s="1823" t="s">
        <v>4462</v>
      </c>
      <c r="D192" s="1823"/>
      <c r="E192" s="1823"/>
      <c r="F192" s="573" t="s">
        <v>617</v>
      </c>
      <c r="G192" s="573"/>
      <c r="H192" s="573"/>
      <c r="I192" s="573" t="s">
        <v>797</v>
      </c>
      <c r="J192" s="572">
        <v>6.55</v>
      </c>
      <c r="K192" s="573"/>
      <c r="L192" s="572">
        <v>432.3</v>
      </c>
      <c r="M192" s="571"/>
      <c r="N192" s="570"/>
      <c r="V192" s="674"/>
      <c r="W192" s="675" t="s">
        <v>4462</v>
      </c>
      <c r="AC192" s="675"/>
      <c r="AD192" s="680"/>
      <c r="AE192" s="675"/>
      <c r="AG192" s="675"/>
    </row>
    <row r="193" spans="1:33" s="536" customFormat="1" ht="12" x14ac:dyDescent="0.2">
      <c r="A193" s="569"/>
      <c r="B193" s="671"/>
      <c r="C193" s="665" t="s">
        <v>717</v>
      </c>
      <c r="D193" s="666"/>
      <c r="E193" s="666"/>
      <c r="F193" s="563"/>
      <c r="G193" s="563"/>
      <c r="H193" s="563"/>
      <c r="I193" s="563"/>
      <c r="J193" s="566"/>
      <c r="K193" s="563"/>
      <c r="L193" s="566"/>
      <c r="M193" s="565"/>
      <c r="N193" s="564"/>
      <c r="V193" s="674"/>
      <c r="W193" s="675"/>
      <c r="AC193" s="675"/>
      <c r="AD193" s="680"/>
      <c r="AE193" s="675"/>
      <c r="AG193" s="675"/>
    </row>
    <row r="194" spans="1:33" s="536" customFormat="1" ht="12" x14ac:dyDescent="0.2">
      <c r="A194" s="676"/>
      <c r="B194" s="664"/>
      <c r="C194" s="1822" t="s">
        <v>8941</v>
      </c>
      <c r="D194" s="1822"/>
      <c r="E194" s="1822"/>
      <c r="F194" s="1822"/>
      <c r="G194" s="1822"/>
      <c r="H194" s="1822"/>
      <c r="I194" s="1822"/>
      <c r="J194" s="1822"/>
      <c r="K194" s="1822"/>
      <c r="L194" s="1822"/>
      <c r="M194" s="1822"/>
      <c r="N194" s="1827"/>
      <c r="V194" s="674"/>
      <c r="W194" s="675"/>
      <c r="X194" s="537" t="s">
        <v>8941</v>
      </c>
      <c r="AC194" s="675"/>
      <c r="AD194" s="680"/>
      <c r="AE194" s="675"/>
      <c r="AG194" s="675"/>
    </row>
    <row r="195" spans="1:33" s="536" customFormat="1" ht="12" x14ac:dyDescent="0.2">
      <c r="A195" s="575" t="s">
        <v>736</v>
      </c>
      <c r="B195" s="670" t="s">
        <v>4464</v>
      </c>
      <c r="C195" s="1823" t="s">
        <v>4465</v>
      </c>
      <c r="D195" s="1823"/>
      <c r="E195" s="1823"/>
      <c r="F195" s="573" t="s">
        <v>617</v>
      </c>
      <c r="G195" s="573"/>
      <c r="H195" s="573"/>
      <c r="I195" s="573" t="s">
        <v>195</v>
      </c>
      <c r="J195" s="572">
        <v>569.52</v>
      </c>
      <c r="K195" s="573"/>
      <c r="L195" s="572">
        <v>6264.72</v>
      </c>
      <c r="M195" s="571"/>
      <c r="N195" s="570"/>
      <c r="V195" s="674"/>
      <c r="W195" s="675" t="s">
        <v>4465</v>
      </c>
      <c r="AC195" s="675"/>
      <c r="AD195" s="680"/>
      <c r="AE195" s="675"/>
      <c r="AG195" s="675"/>
    </row>
    <row r="196" spans="1:33" s="536" customFormat="1" ht="12" x14ac:dyDescent="0.2">
      <c r="A196" s="569"/>
      <c r="B196" s="671"/>
      <c r="C196" s="665" t="s">
        <v>717</v>
      </c>
      <c r="D196" s="666"/>
      <c r="E196" s="666"/>
      <c r="F196" s="563"/>
      <c r="G196" s="563"/>
      <c r="H196" s="563"/>
      <c r="I196" s="563"/>
      <c r="J196" s="566"/>
      <c r="K196" s="563"/>
      <c r="L196" s="566"/>
      <c r="M196" s="565"/>
      <c r="N196" s="564"/>
      <c r="V196" s="674"/>
      <c r="W196" s="675"/>
      <c r="AC196" s="675"/>
      <c r="AD196" s="680"/>
      <c r="AE196" s="675"/>
      <c r="AG196" s="675"/>
    </row>
    <row r="197" spans="1:33" s="536" customFormat="1" ht="1.5" customHeight="1" x14ac:dyDescent="0.2">
      <c r="A197" s="563"/>
      <c r="B197" s="671"/>
      <c r="C197" s="671"/>
      <c r="D197" s="671"/>
      <c r="E197" s="671"/>
      <c r="F197" s="563"/>
      <c r="G197" s="563"/>
      <c r="H197" s="563"/>
      <c r="I197" s="563"/>
      <c r="J197" s="546"/>
      <c r="K197" s="563"/>
      <c r="L197" s="546"/>
      <c r="M197" s="562"/>
      <c r="N197" s="546"/>
      <c r="V197" s="674"/>
      <c r="W197" s="675"/>
      <c r="AC197" s="675"/>
      <c r="AD197" s="680"/>
      <c r="AE197" s="675"/>
      <c r="AG197" s="675"/>
    </row>
    <row r="198" spans="1:33" s="536" customFormat="1" ht="12" x14ac:dyDescent="0.2">
      <c r="A198" s="557"/>
      <c r="B198" s="556"/>
      <c r="C198" s="1823" t="s">
        <v>4553</v>
      </c>
      <c r="D198" s="1823"/>
      <c r="E198" s="1823"/>
      <c r="F198" s="1823"/>
      <c r="G198" s="1823"/>
      <c r="H198" s="1823"/>
      <c r="I198" s="1823"/>
      <c r="J198" s="1823"/>
      <c r="K198" s="1823"/>
      <c r="L198" s="555"/>
      <c r="M198" s="554"/>
      <c r="N198" s="553"/>
      <c r="V198" s="674"/>
      <c r="W198" s="675"/>
      <c r="AC198" s="675"/>
      <c r="AD198" s="680"/>
      <c r="AE198" s="675" t="s">
        <v>4553</v>
      </c>
      <c r="AG198" s="675"/>
    </row>
    <row r="199" spans="1:33" s="536" customFormat="1" ht="12" x14ac:dyDescent="0.2">
      <c r="A199" s="548"/>
      <c r="B199" s="552"/>
      <c r="C199" s="1822" t="s">
        <v>403</v>
      </c>
      <c r="D199" s="1822"/>
      <c r="E199" s="1822"/>
      <c r="F199" s="1822"/>
      <c r="G199" s="1822"/>
      <c r="H199" s="1822"/>
      <c r="I199" s="1822"/>
      <c r="J199" s="1822"/>
      <c r="K199" s="1822"/>
      <c r="L199" s="551">
        <v>78686.19</v>
      </c>
      <c r="M199" s="550"/>
      <c r="N199" s="549"/>
      <c r="V199" s="674"/>
      <c r="W199" s="675"/>
      <c r="AC199" s="675"/>
      <c r="AD199" s="680"/>
      <c r="AE199" s="675"/>
      <c r="AF199" s="537" t="s">
        <v>403</v>
      </c>
      <c r="AG199" s="675"/>
    </row>
    <row r="200" spans="1:33" s="536" customFormat="1" ht="12" x14ac:dyDescent="0.2">
      <c r="A200" s="548"/>
      <c r="B200" s="552"/>
      <c r="C200" s="1822" t="s">
        <v>204</v>
      </c>
      <c r="D200" s="1822"/>
      <c r="E200" s="1822"/>
      <c r="F200" s="1822"/>
      <c r="G200" s="1822"/>
      <c r="H200" s="1822"/>
      <c r="I200" s="1822"/>
      <c r="J200" s="1822"/>
      <c r="K200" s="1822"/>
      <c r="L200" s="551"/>
      <c r="M200" s="550"/>
      <c r="N200" s="549"/>
      <c r="V200" s="674"/>
      <c r="W200" s="675"/>
      <c r="AC200" s="675"/>
      <c r="AD200" s="680"/>
      <c r="AE200" s="675"/>
      <c r="AF200" s="537" t="s">
        <v>204</v>
      </c>
      <c r="AG200" s="675"/>
    </row>
    <row r="201" spans="1:33" s="536" customFormat="1" ht="12" x14ac:dyDescent="0.2">
      <c r="A201" s="548"/>
      <c r="B201" s="552"/>
      <c r="C201" s="1822" t="s">
        <v>404</v>
      </c>
      <c r="D201" s="1822"/>
      <c r="E201" s="1822"/>
      <c r="F201" s="1822"/>
      <c r="G201" s="1822"/>
      <c r="H201" s="1822"/>
      <c r="I201" s="1822"/>
      <c r="J201" s="1822"/>
      <c r="K201" s="1822"/>
      <c r="L201" s="551">
        <v>2071.23</v>
      </c>
      <c r="M201" s="550"/>
      <c r="N201" s="549"/>
      <c r="V201" s="674"/>
      <c r="W201" s="675"/>
      <c r="AC201" s="675"/>
      <c r="AD201" s="680"/>
      <c r="AE201" s="675"/>
      <c r="AF201" s="537" t="s">
        <v>404</v>
      </c>
      <c r="AG201" s="675"/>
    </row>
    <row r="202" spans="1:33" s="536" customFormat="1" ht="12" x14ac:dyDescent="0.2">
      <c r="A202" s="548"/>
      <c r="B202" s="552"/>
      <c r="C202" s="1822" t="s">
        <v>405</v>
      </c>
      <c r="D202" s="1822"/>
      <c r="E202" s="1822"/>
      <c r="F202" s="1822"/>
      <c r="G202" s="1822"/>
      <c r="H202" s="1822"/>
      <c r="I202" s="1822"/>
      <c r="J202" s="1822"/>
      <c r="K202" s="1822"/>
      <c r="L202" s="551">
        <v>3093.75</v>
      </c>
      <c r="M202" s="550"/>
      <c r="N202" s="549"/>
      <c r="V202" s="674"/>
      <c r="W202" s="675"/>
      <c r="AC202" s="675"/>
      <c r="AD202" s="680"/>
      <c r="AE202" s="675"/>
      <c r="AF202" s="537" t="s">
        <v>405</v>
      </c>
      <c r="AG202" s="675"/>
    </row>
    <row r="203" spans="1:33" s="536" customFormat="1" ht="12" x14ac:dyDescent="0.2">
      <c r="A203" s="548"/>
      <c r="B203" s="552"/>
      <c r="C203" s="1822" t="s">
        <v>406</v>
      </c>
      <c r="D203" s="1822"/>
      <c r="E203" s="1822"/>
      <c r="F203" s="1822"/>
      <c r="G203" s="1822"/>
      <c r="H203" s="1822"/>
      <c r="I203" s="1822"/>
      <c r="J203" s="1822"/>
      <c r="K203" s="1822"/>
      <c r="L203" s="551">
        <v>381.52</v>
      </c>
      <c r="M203" s="550"/>
      <c r="N203" s="549"/>
      <c r="V203" s="674"/>
      <c r="W203" s="675"/>
      <c r="AC203" s="675"/>
      <c r="AD203" s="680"/>
      <c r="AE203" s="675"/>
      <c r="AF203" s="537" t="s">
        <v>406</v>
      </c>
      <c r="AG203" s="675"/>
    </row>
    <row r="204" spans="1:33" s="536" customFormat="1" ht="12" x14ac:dyDescent="0.2">
      <c r="A204" s="548"/>
      <c r="B204" s="552"/>
      <c r="C204" s="1822" t="s">
        <v>480</v>
      </c>
      <c r="D204" s="1822"/>
      <c r="E204" s="1822"/>
      <c r="F204" s="1822"/>
      <c r="G204" s="1822"/>
      <c r="H204" s="1822"/>
      <c r="I204" s="1822"/>
      <c r="J204" s="1822"/>
      <c r="K204" s="1822"/>
      <c r="L204" s="551">
        <v>73521.210000000006</v>
      </c>
      <c r="M204" s="550"/>
      <c r="N204" s="549"/>
      <c r="V204" s="674"/>
      <c r="W204" s="675"/>
      <c r="AC204" s="675"/>
      <c r="AD204" s="680"/>
      <c r="AE204" s="675"/>
      <c r="AF204" s="537" t="s">
        <v>480</v>
      </c>
      <c r="AG204" s="675"/>
    </row>
    <row r="205" spans="1:33" s="536" customFormat="1" ht="12" x14ac:dyDescent="0.2">
      <c r="A205" s="548"/>
      <c r="B205" s="552"/>
      <c r="C205" s="1822" t="s">
        <v>407</v>
      </c>
      <c r="D205" s="1822"/>
      <c r="E205" s="1822"/>
      <c r="F205" s="1822"/>
      <c r="G205" s="1822"/>
      <c r="H205" s="1822"/>
      <c r="I205" s="1822"/>
      <c r="J205" s="1822"/>
      <c r="K205" s="1822"/>
      <c r="L205" s="551">
        <v>83370.94</v>
      </c>
      <c r="M205" s="550"/>
      <c r="N205" s="549"/>
      <c r="V205" s="674"/>
      <c r="W205" s="675"/>
      <c r="AC205" s="675"/>
      <c r="AD205" s="680"/>
      <c r="AE205" s="675"/>
      <c r="AF205" s="537" t="s">
        <v>407</v>
      </c>
      <c r="AG205" s="675"/>
    </row>
    <row r="206" spans="1:33" s="536" customFormat="1" ht="12" x14ac:dyDescent="0.2">
      <c r="A206" s="548"/>
      <c r="B206" s="552"/>
      <c r="C206" s="1822" t="s">
        <v>204</v>
      </c>
      <c r="D206" s="1822"/>
      <c r="E206" s="1822"/>
      <c r="F206" s="1822"/>
      <c r="G206" s="1822"/>
      <c r="H206" s="1822"/>
      <c r="I206" s="1822"/>
      <c r="J206" s="1822"/>
      <c r="K206" s="1822"/>
      <c r="L206" s="551"/>
      <c r="M206" s="550"/>
      <c r="N206" s="549"/>
      <c r="V206" s="674"/>
      <c r="W206" s="675"/>
      <c r="AC206" s="675"/>
      <c r="AD206" s="680"/>
      <c r="AE206" s="675"/>
      <c r="AF206" s="537" t="s">
        <v>204</v>
      </c>
      <c r="AG206" s="675"/>
    </row>
    <row r="207" spans="1:33" s="536" customFormat="1" ht="12" x14ac:dyDescent="0.2">
      <c r="A207" s="548"/>
      <c r="B207" s="552"/>
      <c r="C207" s="1822" t="s">
        <v>546</v>
      </c>
      <c r="D207" s="1822"/>
      <c r="E207" s="1822"/>
      <c r="F207" s="1822"/>
      <c r="G207" s="1822"/>
      <c r="H207" s="1822"/>
      <c r="I207" s="1822"/>
      <c r="J207" s="1822"/>
      <c r="K207" s="1822"/>
      <c r="L207" s="551">
        <v>2071.23</v>
      </c>
      <c r="M207" s="550"/>
      <c r="N207" s="549"/>
      <c r="V207" s="674"/>
      <c r="W207" s="675"/>
      <c r="AC207" s="675"/>
      <c r="AD207" s="680"/>
      <c r="AE207" s="675"/>
      <c r="AF207" s="537" t="s">
        <v>546</v>
      </c>
      <c r="AG207" s="675"/>
    </row>
    <row r="208" spans="1:33" s="536" customFormat="1" ht="12" x14ac:dyDescent="0.2">
      <c r="A208" s="548"/>
      <c r="B208" s="552"/>
      <c r="C208" s="1822" t="s">
        <v>442</v>
      </c>
      <c r="D208" s="1822"/>
      <c r="E208" s="1822"/>
      <c r="F208" s="1822"/>
      <c r="G208" s="1822"/>
      <c r="H208" s="1822"/>
      <c r="I208" s="1822"/>
      <c r="J208" s="1822"/>
      <c r="K208" s="1822"/>
      <c r="L208" s="551">
        <v>3093.75</v>
      </c>
      <c r="M208" s="550"/>
      <c r="N208" s="549"/>
      <c r="V208" s="674"/>
      <c r="W208" s="675"/>
      <c r="AC208" s="675"/>
      <c r="AD208" s="680"/>
      <c r="AE208" s="675"/>
      <c r="AF208" s="537" t="s">
        <v>442</v>
      </c>
      <c r="AG208" s="675"/>
    </row>
    <row r="209" spans="1:33" s="536" customFormat="1" ht="12" x14ac:dyDescent="0.2">
      <c r="A209" s="548"/>
      <c r="B209" s="552"/>
      <c r="C209" s="1822" t="s">
        <v>547</v>
      </c>
      <c r="D209" s="1822"/>
      <c r="E209" s="1822"/>
      <c r="F209" s="1822"/>
      <c r="G209" s="1822"/>
      <c r="H209" s="1822"/>
      <c r="I209" s="1822"/>
      <c r="J209" s="1822"/>
      <c r="K209" s="1822"/>
      <c r="L209" s="551">
        <v>73521.210000000006</v>
      </c>
      <c r="M209" s="550"/>
      <c r="N209" s="549"/>
      <c r="V209" s="674"/>
      <c r="W209" s="675"/>
      <c r="AC209" s="675"/>
      <c r="AD209" s="680"/>
      <c r="AE209" s="675"/>
      <c r="AF209" s="537" t="s">
        <v>547</v>
      </c>
      <c r="AG209" s="675"/>
    </row>
    <row r="210" spans="1:33" s="536" customFormat="1" ht="12" x14ac:dyDescent="0.2">
      <c r="A210" s="548"/>
      <c r="B210" s="552"/>
      <c r="C210" s="1822" t="s">
        <v>443</v>
      </c>
      <c r="D210" s="1822"/>
      <c r="E210" s="1822"/>
      <c r="F210" s="1822"/>
      <c r="G210" s="1822"/>
      <c r="H210" s="1822"/>
      <c r="I210" s="1822"/>
      <c r="J210" s="1822"/>
      <c r="K210" s="1822"/>
      <c r="L210" s="551">
        <v>2869.72</v>
      </c>
      <c r="M210" s="550"/>
      <c r="N210" s="549"/>
      <c r="V210" s="674"/>
      <c r="W210" s="675"/>
      <c r="AC210" s="675"/>
      <c r="AD210" s="680"/>
      <c r="AE210" s="675"/>
      <c r="AF210" s="537" t="s">
        <v>443</v>
      </c>
      <c r="AG210" s="675"/>
    </row>
    <row r="211" spans="1:33" s="536" customFormat="1" ht="12" x14ac:dyDescent="0.2">
      <c r="A211" s="548"/>
      <c r="B211" s="552"/>
      <c r="C211" s="1822" t="s">
        <v>444</v>
      </c>
      <c r="D211" s="1822"/>
      <c r="E211" s="1822"/>
      <c r="F211" s="1822"/>
      <c r="G211" s="1822"/>
      <c r="H211" s="1822"/>
      <c r="I211" s="1822"/>
      <c r="J211" s="1822"/>
      <c r="K211" s="1822"/>
      <c r="L211" s="551">
        <v>1815.03</v>
      </c>
      <c r="M211" s="550"/>
      <c r="N211" s="549"/>
      <c r="V211" s="674"/>
      <c r="W211" s="675"/>
      <c r="AC211" s="675"/>
      <c r="AD211" s="680"/>
      <c r="AE211" s="675"/>
      <c r="AF211" s="537" t="s">
        <v>444</v>
      </c>
      <c r="AG211" s="675"/>
    </row>
    <row r="212" spans="1:33" s="536" customFormat="1" ht="12" x14ac:dyDescent="0.2">
      <c r="A212" s="548"/>
      <c r="B212" s="552"/>
      <c r="C212" s="1822" t="s">
        <v>415</v>
      </c>
      <c r="D212" s="1822"/>
      <c r="E212" s="1822"/>
      <c r="F212" s="1822"/>
      <c r="G212" s="1822"/>
      <c r="H212" s="1822"/>
      <c r="I212" s="1822"/>
      <c r="J212" s="1822"/>
      <c r="K212" s="1822"/>
      <c r="L212" s="551">
        <v>2452.75</v>
      </c>
      <c r="M212" s="550"/>
      <c r="N212" s="549"/>
      <c r="V212" s="674"/>
      <c r="W212" s="675"/>
      <c r="AC212" s="675"/>
      <c r="AD212" s="680"/>
      <c r="AE212" s="675"/>
      <c r="AF212" s="537" t="s">
        <v>415</v>
      </c>
      <c r="AG212" s="675"/>
    </row>
    <row r="213" spans="1:33" s="536" customFormat="1" ht="12" x14ac:dyDescent="0.2">
      <c r="A213" s="548"/>
      <c r="B213" s="552"/>
      <c r="C213" s="1822" t="s">
        <v>416</v>
      </c>
      <c r="D213" s="1822"/>
      <c r="E213" s="1822"/>
      <c r="F213" s="1822"/>
      <c r="G213" s="1822"/>
      <c r="H213" s="1822"/>
      <c r="I213" s="1822"/>
      <c r="J213" s="1822"/>
      <c r="K213" s="1822"/>
      <c r="L213" s="551">
        <v>2869.72</v>
      </c>
      <c r="M213" s="550"/>
      <c r="N213" s="549"/>
      <c r="V213" s="674"/>
      <c r="W213" s="675"/>
      <c r="AC213" s="675"/>
      <c r="AD213" s="680"/>
      <c r="AE213" s="675"/>
      <c r="AF213" s="537" t="s">
        <v>416</v>
      </c>
      <c r="AG213" s="675"/>
    </row>
    <row r="214" spans="1:33" s="536" customFormat="1" ht="12" x14ac:dyDescent="0.2">
      <c r="A214" s="548"/>
      <c r="B214" s="552"/>
      <c r="C214" s="1822" t="s">
        <v>417</v>
      </c>
      <c r="D214" s="1822"/>
      <c r="E214" s="1822"/>
      <c r="F214" s="1822"/>
      <c r="G214" s="1822"/>
      <c r="H214" s="1822"/>
      <c r="I214" s="1822"/>
      <c r="J214" s="1822"/>
      <c r="K214" s="1822"/>
      <c r="L214" s="551">
        <v>1815.03</v>
      </c>
      <c r="M214" s="550"/>
      <c r="N214" s="549"/>
      <c r="V214" s="674"/>
      <c r="W214" s="675"/>
      <c r="AC214" s="675"/>
      <c r="AD214" s="680"/>
      <c r="AE214" s="675"/>
      <c r="AF214" s="537" t="s">
        <v>417</v>
      </c>
      <c r="AG214" s="675"/>
    </row>
    <row r="215" spans="1:33" s="536" customFormat="1" ht="12" x14ac:dyDescent="0.2">
      <c r="A215" s="548"/>
      <c r="B215" s="546"/>
      <c r="C215" s="1819" t="s">
        <v>4554</v>
      </c>
      <c r="D215" s="1819"/>
      <c r="E215" s="1819"/>
      <c r="F215" s="1819"/>
      <c r="G215" s="1819"/>
      <c r="H215" s="1819"/>
      <c r="I215" s="1819"/>
      <c r="J215" s="1819"/>
      <c r="K215" s="1819"/>
      <c r="L215" s="544">
        <v>83370.94</v>
      </c>
      <c r="M215" s="543"/>
      <c r="N215" s="681"/>
      <c r="V215" s="674"/>
      <c r="W215" s="675"/>
      <c r="AC215" s="675"/>
      <c r="AD215" s="680"/>
      <c r="AE215" s="675"/>
      <c r="AG215" s="675" t="s">
        <v>4554</v>
      </c>
    </row>
    <row r="216" spans="1:33" s="536" customFormat="1" ht="12" x14ac:dyDescent="0.2">
      <c r="A216" s="1824" t="s">
        <v>4555</v>
      </c>
      <c r="B216" s="1825"/>
      <c r="C216" s="1825"/>
      <c r="D216" s="1825"/>
      <c r="E216" s="1825"/>
      <c r="F216" s="1825"/>
      <c r="G216" s="1825"/>
      <c r="H216" s="1825"/>
      <c r="I216" s="1825"/>
      <c r="J216" s="1825"/>
      <c r="K216" s="1825"/>
      <c r="L216" s="1825"/>
      <c r="M216" s="1825"/>
      <c r="N216" s="1826"/>
      <c r="V216" s="674" t="s">
        <v>4555</v>
      </c>
      <c r="W216" s="675"/>
      <c r="AC216" s="675"/>
      <c r="AD216" s="680"/>
      <c r="AE216" s="675"/>
      <c r="AG216" s="675"/>
    </row>
    <row r="217" spans="1:33" s="536" customFormat="1" ht="56.25" x14ac:dyDescent="0.2">
      <c r="A217" s="575" t="s">
        <v>1067</v>
      </c>
      <c r="B217" s="670" t="s">
        <v>3774</v>
      </c>
      <c r="C217" s="1823" t="s">
        <v>3775</v>
      </c>
      <c r="D217" s="1823"/>
      <c r="E217" s="1823"/>
      <c r="F217" s="573" t="s">
        <v>455</v>
      </c>
      <c r="G217" s="573"/>
      <c r="H217" s="573"/>
      <c r="I217" s="573" t="s">
        <v>4556</v>
      </c>
      <c r="J217" s="572"/>
      <c r="K217" s="573"/>
      <c r="L217" s="572"/>
      <c r="M217" s="571"/>
      <c r="N217" s="570"/>
      <c r="V217" s="674"/>
      <c r="W217" s="675" t="s">
        <v>3775</v>
      </c>
      <c r="AC217" s="675"/>
      <c r="AD217" s="680"/>
      <c r="AE217" s="675"/>
      <c r="AG217" s="675"/>
    </row>
    <row r="218" spans="1:33" s="536" customFormat="1" ht="12" x14ac:dyDescent="0.2">
      <c r="A218" s="676"/>
      <c r="B218" s="664"/>
      <c r="C218" s="1822" t="s">
        <v>4557</v>
      </c>
      <c r="D218" s="1822"/>
      <c r="E218" s="1822"/>
      <c r="F218" s="1822"/>
      <c r="G218" s="1822"/>
      <c r="H218" s="1822"/>
      <c r="I218" s="1822"/>
      <c r="J218" s="1822"/>
      <c r="K218" s="1822"/>
      <c r="L218" s="1822"/>
      <c r="M218" s="1822"/>
      <c r="N218" s="1827"/>
      <c r="V218" s="674"/>
      <c r="W218" s="675"/>
      <c r="X218" s="537" t="s">
        <v>4557</v>
      </c>
      <c r="AC218" s="675"/>
      <c r="AD218" s="680"/>
      <c r="AE218" s="675"/>
      <c r="AG218" s="675"/>
    </row>
    <row r="219" spans="1:33" s="536" customFormat="1" ht="22.5" x14ac:dyDescent="0.2">
      <c r="A219" s="609"/>
      <c r="B219" s="552" t="s">
        <v>499</v>
      </c>
      <c r="C219" s="1822" t="s">
        <v>500</v>
      </c>
      <c r="D219" s="1822"/>
      <c r="E219" s="1822"/>
      <c r="F219" s="1822"/>
      <c r="G219" s="1822"/>
      <c r="H219" s="1822"/>
      <c r="I219" s="1822"/>
      <c r="J219" s="1822"/>
      <c r="K219" s="1822"/>
      <c r="L219" s="1822"/>
      <c r="M219" s="1822"/>
      <c r="N219" s="1827"/>
      <c r="V219" s="674"/>
      <c r="W219" s="675"/>
      <c r="Y219" s="537" t="s">
        <v>500</v>
      </c>
      <c r="AC219" s="675"/>
      <c r="AD219" s="680"/>
      <c r="AE219" s="675"/>
      <c r="AG219" s="675"/>
    </row>
    <row r="220" spans="1:33" s="536" customFormat="1" ht="12" x14ac:dyDescent="0.2">
      <c r="A220" s="605"/>
      <c r="B220" s="552" t="s">
        <v>186</v>
      </c>
      <c r="C220" s="1822" t="s">
        <v>344</v>
      </c>
      <c r="D220" s="1822"/>
      <c r="E220" s="1822"/>
      <c r="F220" s="562"/>
      <c r="G220" s="562"/>
      <c r="H220" s="562"/>
      <c r="I220" s="562"/>
      <c r="J220" s="604">
        <v>6166.95</v>
      </c>
      <c r="K220" s="562" t="s">
        <v>313</v>
      </c>
      <c r="L220" s="604">
        <v>3615.37</v>
      </c>
      <c r="M220" s="603"/>
      <c r="N220" s="602"/>
      <c r="V220" s="674"/>
      <c r="W220" s="675"/>
      <c r="Z220" s="537" t="s">
        <v>344</v>
      </c>
      <c r="AC220" s="675"/>
      <c r="AD220" s="680"/>
      <c r="AE220" s="675"/>
      <c r="AG220" s="675"/>
    </row>
    <row r="221" spans="1:33" s="536" customFormat="1" ht="12" x14ac:dyDescent="0.2">
      <c r="A221" s="605"/>
      <c r="B221" s="552" t="s">
        <v>187</v>
      </c>
      <c r="C221" s="1822" t="s">
        <v>345</v>
      </c>
      <c r="D221" s="1822"/>
      <c r="E221" s="1822"/>
      <c r="F221" s="562"/>
      <c r="G221" s="562"/>
      <c r="H221" s="562"/>
      <c r="I221" s="562"/>
      <c r="J221" s="604">
        <v>722.25</v>
      </c>
      <c r="K221" s="562" t="s">
        <v>313</v>
      </c>
      <c r="L221" s="604">
        <v>423.42</v>
      </c>
      <c r="M221" s="603"/>
      <c r="N221" s="602"/>
      <c r="V221" s="674"/>
      <c r="W221" s="675"/>
      <c r="Z221" s="537" t="s">
        <v>345</v>
      </c>
      <c r="AC221" s="675"/>
      <c r="AD221" s="680"/>
      <c r="AE221" s="675"/>
      <c r="AG221" s="675"/>
    </row>
    <row r="222" spans="1:33" s="536" customFormat="1" ht="12" x14ac:dyDescent="0.2">
      <c r="A222" s="605"/>
      <c r="B222" s="552"/>
      <c r="C222" s="1822" t="s">
        <v>348</v>
      </c>
      <c r="D222" s="1822"/>
      <c r="E222" s="1822"/>
      <c r="F222" s="562" t="s">
        <v>315</v>
      </c>
      <c r="G222" s="562" t="s">
        <v>3776</v>
      </c>
      <c r="H222" s="562" t="s">
        <v>313</v>
      </c>
      <c r="I222" s="562" t="s">
        <v>4558</v>
      </c>
      <c r="J222" s="604"/>
      <c r="K222" s="562"/>
      <c r="L222" s="604"/>
      <c r="M222" s="603"/>
      <c r="N222" s="602"/>
      <c r="V222" s="674"/>
      <c r="W222" s="675"/>
      <c r="AA222" s="537" t="s">
        <v>348</v>
      </c>
      <c r="AC222" s="675"/>
      <c r="AD222" s="680"/>
      <c r="AE222" s="675"/>
      <c r="AG222" s="675"/>
    </row>
    <row r="223" spans="1:33" s="536" customFormat="1" ht="12" x14ac:dyDescent="0.2">
      <c r="A223" s="605"/>
      <c r="B223" s="552"/>
      <c r="C223" s="1828" t="s">
        <v>318</v>
      </c>
      <c r="D223" s="1828"/>
      <c r="E223" s="1828"/>
      <c r="F223" s="608"/>
      <c r="G223" s="608"/>
      <c r="H223" s="608"/>
      <c r="I223" s="608"/>
      <c r="J223" s="607">
        <v>6166.95</v>
      </c>
      <c r="K223" s="608"/>
      <c r="L223" s="607">
        <v>3615.37</v>
      </c>
      <c r="M223" s="601"/>
      <c r="N223" s="606"/>
      <c r="V223" s="674"/>
      <c r="W223" s="675"/>
      <c r="AB223" s="537" t="s">
        <v>318</v>
      </c>
      <c r="AC223" s="675"/>
      <c r="AD223" s="680"/>
      <c r="AE223" s="675"/>
      <c r="AG223" s="675"/>
    </row>
    <row r="224" spans="1:33" s="536" customFormat="1" ht="12" x14ac:dyDescent="0.2">
      <c r="A224" s="605"/>
      <c r="B224" s="552"/>
      <c r="C224" s="1822" t="s">
        <v>319</v>
      </c>
      <c r="D224" s="1822"/>
      <c r="E224" s="1822"/>
      <c r="F224" s="562"/>
      <c r="G224" s="562"/>
      <c r="H224" s="562"/>
      <c r="I224" s="562"/>
      <c r="J224" s="604"/>
      <c r="K224" s="562"/>
      <c r="L224" s="604">
        <v>423.42</v>
      </c>
      <c r="M224" s="603"/>
      <c r="N224" s="602"/>
      <c r="V224" s="674"/>
      <c r="W224" s="675"/>
      <c r="AA224" s="537" t="s">
        <v>319</v>
      </c>
      <c r="AC224" s="675"/>
      <c r="AD224" s="680"/>
      <c r="AE224" s="675"/>
      <c r="AG224" s="675"/>
    </row>
    <row r="225" spans="1:33" s="536" customFormat="1" ht="33.75" x14ac:dyDescent="0.2">
      <c r="A225" s="605"/>
      <c r="B225" s="552" t="s">
        <v>460</v>
      </c>
      <c r="C225" s="1822" t="s">
        <v>461</v>
      </c>
      <c r="D225" s="1822"/>
      <c r="E225" s="1822"/>
      <c r="F225" s="562" t="s">
        <v>322</v>
      </c>
      <c r="G225" s="562" t="s">
        <v>462</v>
      </c>
      <c r="H225" s="562"/>
      <c r="I225" s="562" t="s">
        <v>462</v>
      </c>
      <c r="J225" s="604"/>
      <c r="K225" s="562"/>
      <c r="L225" s="604">
        <v>389.55</v>
      </c>
      <c r="M225" s="603"/>
      <c r="N225" s="602"/>
      <c r="V225" s="674"/>
      <c r="W225" s="675"/>
      <c r="AA225" s="537" t="s">
        <v>461</v>
      </c>
      <c r="AC225" s="675"/>
      <c r="AD225" s="680"/>
      <c r="AE225" s="675"/>
      <c r="AG225" s="675"/>
    </row>
    <row r="226" spans="1:33" s="536" customFormat="1" ht="33.75" x14ac:dyDescent="0.2">
      <c r="A226" s="605"/>
      <c r="B226" s="552" t="s">
        <v>463</v>
      </c>
      <c r="C226" s="1822" t="s">
        <v>464</v>
      </c>
      <c r="D226" s="1822"/>
      <c r="E226" s="1822"/>
      <c r="F226" s="562" t="s">
        <v>322</v>
      </c>
      <c r="G226" s="562" t="s">
        <v>465</v>
      </c>
      <c r="H226" s="562"/>
      <c r="I226" s="562" t="s">
        <v>465</v>
      </c>
      <c r="J226" s="604"/>
      <c r="K226" s="562"/>
      <c r="L226" s="604">
        <v>194.77</v>
      </c>
      <c r="M226" s="603"/>
      <c r="N226" s="602"/>
      <c r="V226" s="674"/>
      <c r="W226" s="675"/>
      <c r="AA226" s="537" t="s">
        <v>464</v>
      </c>
      <c r="AC226" s="675"/>
      <c r="AD226" s="680"/>
      <c r="AE226" s="675"/>
      <c r="AG226" s="675"/>
    </row>
    <row r="227" spans="1:33" s="536" customFormat="1" ht="12" x14ac:dyDescent="0.2">
      <c r="A227" s="569"/>
      <c r="B227" s="671"/>
      <c r="C227" s="1823" t="s">
        <v>327</v>
      </c>
      <c r="D227" s="1823"/>
      <c r="E227" s="1823"/>
      <c r="F227" s="573"/>
      <c r="G227" s="573"/>
      <c r="H227" s="573"/>
      <c r="I227" s="573"/>
      <c r="J227" s="572"/>
      <c r="K227" s="573"/>
      <c r="L227" s="572">
        <v>4199.6899999999996</v>
      </c>
      <c r="M227" s="601"/>
      <c r="N227" s="570"/>
      <c r="V227" s="674"/>
      <c r="W227" s="675"/>
      <c r="AC227" s="675" t="s">
        <v>327</v>
      </c>
      <c r="AD227" s="680"/>
      <c r="AE227" s="675"/>
      <c r="AG227" s="675"/>
    </row>
    <row r="228" spans="1:33" s="536" customFormat="1" ht="45" x14ac:dyDescent="0.2">
      <c r="A228" s="575" t="s">
        <v>912</v>
      </c>
      <c r="B228" s="670" t="s">
        <v>1005</v>
      </c>
      <c r="C228" s="1823" t="s">
        <v>1006</v>
      </c>
      <c r="D228" s="1823"/>
      <c r="E228" s="1823"/>
      <c r="F228" s="573" t="s">
        <v>201</v>
      </c>
      <c r="G228" s="573"/>
      <c r="H228" s="573"/>
      <c r="I228" s="573" t="s">
        <v>4559</v>
      </c>
      <c r="J228" s="572">
        <v>2.91</v>
      </c>
      <c r="K228" s="573"/>
      <c r="L228" s="572">
        <v>3139.02</v>
      </c>
      <c r="M228" s="571"/>
      <c r="N228" s="570"/>
      <c r="V228" s="674"/>
      <c r="W228" s="675" t="s">
        <v>1006</v>
      </c>
      <c r="AC228" s="675"/>
      <c r="AD228" s="680"/>
      <c r="AE228" s="675"/>
      <c r="AG228" s="675"/>
    </row>
    <row r="229" spans="1:33" s="536" customFormat="1" ht="12" x14ac:dyDescent="0.2">
      <c r="A229" s="676"/>
      <c r="B229" s="664"/>
      <c r="C229" s="1822" t="s">
        <v>4560</v>
      </c>
      <c r="D229" s="1822"/>
      <c r="E229" s="1822"/>
      <c r="F229" s="1822"/>
      <c r="G229" s="1822"/>
      <c r="H229" s="1822"/>
      <c r="I229" s="1822"/>
      <c r="J229" s="1822"/>
      <c r="K229" s="1822"/>
      <c r="L229" s="1822"/>
      <c r="M229" s="1822"/>
      <c r="N229" s="1827"/>
      <c r="V229" s="674"/>
      <c r="W229" s="675"/>
      <c r="X229" s="537" t="s">
        <v>4560</v>
      </c>
      <c r="AC229" s="675"/>
      <c r="AD229" s="680"/>
      <c r="AE229" s="675"/>
      <c r="AG229" s="675"/>
    </row>
    <row r="230" spans="1:33" s="536" customFormat="1" ht="45" x14ac:dyDescent="0.2">
      <c r="A230" s="575" t="s">
        <v>757</v>
      </c>
      <c r="B230" s="670" t="s">
        <v>1511</v>
      </c>
      <c r="C230" s="1823" t="s">
        <v>1512</v>
      </c>
      <c r="D230" s="1823"/>
      <c r="E230" s="1823"/>
      <c r="F230" s="573" t="s">
        <v>455</v>
      </c>
      <c r="G230" s="573"/>
      <c r="H230" s="573"/>
      <c r="I230" s="573" t="s">
        <v>4561</v>
      </c>
      <c r="J230" s="572"/>
      <c r="K230" s="573"/>
      <c r="L230" s="572"/>
      <c r="M230" s="571"/>
      <c r="N230" s="570"/>
      <c r="V230" s="674"/>
      <c r="W230" s="675" t="s">
        <v>1512</v>
      </c>
      <c r="AC230" s="675"/>
      <c r="AD230" s="680"/>
      <c r="AE230" s="675"/>
      <c r="AG230" s="675"/>
    </row>
    <row r="231" spans="1:33" s="536" customFormat="1" ht="12" x14ac:dyDescent="0.2">
      <c r="A231" s="676"/>
      <c r="B231" s="664"/>
      <c r="C231" s="1822" t="s">
        <v>4562</v>
      </c>
      <c r="D231" s="1822"/>
      <c r="E231" s="1822"/>
      <c r="F231" s="1822"/>
      <c r="G231" s="1822"/>
      <c r="H231" s="1822"/>
      <c r="I231" s="1822"/>
      <c r="J231" s="1822"/>
      <c r="K231" s="1822"/>
      <c r="L231" s="1822"/>
      <c r="M231" s="1822"/>
      <c r="N231" s="1827"/>
      <c r="V231" s="674"/>
      <c r="W231" s="675"/>
      <c r="X231" s="537" t="s">
        <v>4562</v>
      </c>
      <c r="AC231" s="675"/>
      <c r="AD231" s="680"/>
      <c r="AE231" s="675"/>
      <c r="AG231" s="675"/>
    </row>
    <row r="232" spans="1:33" s="536" customFormat="1" ht="22.5" x14ac:dyDescent="0.2">
      <c r="A232" s="609"/>
      <c r="B232" s="552" t="s">
        <v>499</v>
      </c>
      <c r="C232" s="1822" t="s">
        <v>500</v>
      </c>
      <c r="D232" s="1822"/>
      <c r="E232" s="1822"/>
      <c r="F232" s="1822"/>
      <c r="G232" s="1822"/>
      <c r="H232" s="1822"/>
      <c r="I232" s="1822"/>
      <c r="J232" s="1822"/>
      <c r="K232" s="1822"/>
      <c r="L232" s="1822"/>
      <c r="M232" s="1822"/>
      <c r="N232" s="1827"/>
      <c r="V232" s="674"/>
      <c r="W232" s="675"/>
      <c r="Y232" s="537" t="s">
        <v>500</v>
      </c>
      <c r="AC232" s="675"/>
      <c r="AD232" s="680"/>
      <c r="AE232" s="675"/>
      <c r="AG232" s="675"/>
    </row>
    <row r="233" spans="1:33" s="536" customFormat="1" ht="12" x14ac:dyDescent="0.2">
      <c r="A233" s="605"/>
      <c r="B233" s="552" t="s">
        <v>186</v>
      </c>
      <c r="C233" s="1822" t="s">
        <v>344</v>
      </c>
      <c r="D233" s="1822"/>
      <c r="E233" s="1822"/>
      <c r="F233" s="562"/>
      <c r="G233" s="562"/>
      <c r="H233" s="562"/>
      <c r="I233" s="562"/>
      <c r="J233" s="604">
        <v>4898.9799999999996</v>
      </c>
      <c r="K233" s="562" t="s">
        <v>313</v>
      </c>
      <c r="L233" s="604">
        <v>21567.15</v>
      </c>
      <c r="M233" s="603"/>
      <c r="N233" s="602"/>
      <c r="V233" s="674"/>
      <c r="W233" s="675"/>
      <c r="Z233" s="537" t="s">
        <v>344</v>
      </c>
      <c r="AC233" s="675"/>
      <c r="AD233" s="680"/>
      <c r="AE233" s="675"/>
      <c r="AG233" s="675"/>
    </row>
    <row r="234" spans="1:33" s="536" customFormat="1" ht="12" x14ac:dyDescent="0.2">
      <c r="A234" s="605"/>
      <c r="B234" s="552" t="s">
        <v>187</v>
      </c>
      <c r="C234" s="1822" t="s">
        <v>345</v>
      </c>
      <c r="D234" s="1822"/>
      <c r="E234" s="1822"/>
      <c r="F234" s="562"/>
      <c r="G234" s="562"/>
      <c r="H234" s="562"/>
      <c r="I234" s="562"/>
      <c r="J234" s="604">
        <v>573.75</v>
      </c>
      <c r="K234" s="562" t="s">
        <v>313</v>
      </c>
      <c r="L234" s="604">
        <v>2525.86</v>
      </c>
      <c r="M234" s="603"/>
      <c r="N234" s="602"/>
      <c r="V234" s="674"/>
      <c r="W234" s="675"/>
      <c r="Z234" s="537" t="s">
        <v>345</v>
      </c>
      <c r="AC234" s="675"/>
      <c r="AD234" s="680"/>
      <c r="AE234" s="675"/>
      <c r="AG234" s="675"/>
    </row>
    <row r="235" spans="1:33" s="536" customFormat="1" ht="22.5" x14ac:dyDescent="0.2">
      <c r="A235" s="605"/>
      <c r="B235" s="552"/>
      <c r="C235" s="1822" t="s">
        <v>348</v>
      </c>
      <c r="D235" s="1822"/>
      <c r="E235" s="1822"/>
      <c r="F235" s="562" t="s">
        <v>315</v>
      </c>
      <c r="G235" s="562" t="s">
        <v>1513</v>
      </c>
      <c r="H235" s="562" t="s">
        <v>313</v>
      </c>
      <c r="I235" s="562" t="s">
        <v>4563</v>
      </c>
      <c r="J235" s="604"/>
      <c r="K235" s="562"/>
      <c r="L235" s="604"/>
      <c r="M235" s="603"/>
      <c r="N235" s="602"/>
      <c r="V235" s="674"/>
      <c r="W235" s="675"/>
      <c r="AA235" s="537" t="s">
        <v>348</v>
      </c>
      <c r="AC235" s="675"/>
      <c r="AD235" s="680"/>
      <c r="AE235" s="675"/>
      <c r="AG235" s="675"/>
    </row>
    <row r="236" spans="1:33" s="536" customFormat="1" ht="12" x14ac:dyDescent="0.2">
      <c r="A236" s="605"/>
      <c r="B236" s="552"/>
      <c r="C236" s="1828" t="s">
        <v>318</v>
      </c>
      <c r="D236" s="1828"/>
      <c r="E236" s="1828"/>
      <c r="F236" s="608"/>
      <c r="G236" s="608"/>
      <c r="H236" s="608"/>
      <c r="I236" s="608"/>
      <c r="J236" s="607">
        <v>4898.9799999999996</v>
      </c>
      <c r="K236" s="608"/>
      <c r="L236" s="607">
        <v>21567.15</v>
      </c>
      <c r="M236" s="601"/>
      <c r="N236" s="606"/>
      <c r="V236" s="674"/>
      <c r="W236" s="675"/>
      <c r="AB236" s="537" t="s">
        <v>318</v>
      </c>
      <c r="AC236" s="675"/>
      <c r="AD236" s="680"/>
      <c r="AE236" s="675"/>
      <c r="AG236" s="675"/>
    </row>
    <row r="237" spans="1:33" s="536" customFormat="1" ht="12" x14ac:dyDescent="0.2">
      <c r="A237" s="605"/>
      <c r="B237" s="552"/>
      <c r="C237" s="1822" t="s">
        <v>319</v>
      </c>
      <c r="D237" s="1822"/>
      <c r="E237" s="1822"/>
      <c r="F237" s="562"/>
      <c r="G237" s="562"/>
      <c r="H237" s="562"/>
      <c r="I237" s="562"/>
      <c r="J237" s="604"/>
      <c r="K237" s="562"/>
      <c r="L237" s="604">
        <v>2525.86</v>
      </c>
      <c r="M237" s="603"/>
      <c r="N237" s="602"/>
      <c r="V237" s="674"/>
      <c r="W237" s="675"/>
      <c r="AA237" s="537" t="s">
        <v>319</v>
      </c>
      <c r="AC237" s="675"/>
      <c r="AD237" s="680"/>
      <c r="AE237" s="675"/>
      <c r="AG237" s="675"/>
    </row>
    <row r="238" spans="1:33" s="536" customFormat="1" ht="33.75" x14ac:dyDescent="0.2">
      <c r="A238" s="605"/>
      <c r="B238" s="552" t="s">
        <v>460</v>
      </c>
      <c r="C238" s="1822" t="s">
        <v>461</v>
      </c>
      <c r="D238" s="1822"/>
      <c r="E238" s="1822"/>
      <c r="F238" s="562" t="s">
        <v>322</v>
      </c>
      <c r="G238" s="562" t="s">
        <v>462</v>
      </c>
      <c r="H238" s="562"/>
      <c r="I238" s="562" t="s">
        <v>462</v>
      </c>
      <c r="J238" s="604"/>
      <c r="K238" s="562"/>
      <c r="L238" s="604">
        <v>2323.79</v>
      </c>
      <c r="M238" s="603"/>
      <c r="N238" s="602"/>
      <c r="V238" s="674"/>
      <c r="W238" s="675"/>
      <c r="AA238" s="537" t="s">
        <v>461</v>
      </c>
      <c r="AC238" s="675"/>
      <c r="AD238" s="680"/>
      <c r="AE238" s="675"/>
      <c r="AG238" s="675"/>
    </row>
    <row r="239" spans="1:33" s="536" customFormat="1" ht="33.75" x14ac:dyDescent="0.2">
      <c r="A239" s="605"/>
      <c r="B239" s="552" t="s">
        <v>463</v>
      </c>
      <c r="C239" s="1822" t="s">
        <v>464</v>
      </c>
      <c r="D239" s="1822"/>
      <c r="E239" s="1822"/>
      <c r="F239" s="562" t="s">
        <v>322</v>
      </c>
      <c r="G239" s="562" t="s">
        <v>465</v>
      </c>
      <c r="H239" s="562"/>
      <c r="I239" s="562" t="s">
        <v>465</v>
      </c>
      <c r="J239" s="604"/>
      <c r="K239" s="562"/>
      <c r="L239" s="604">
        <v>1161.9000000000001</v>
      </c>
      <c r="M239" s="603"/>
      <c r="N239" s="602"/>
      <c r="V239" s="674"/>
      <c r="W239" s="675"/>
      <c r="AA239" s="537" t="s">
        <v>464</v>
      </c>
      <c r="AC239" s="675"/>
      <c r="AD239" s="680"/>
      <c r="AE239" s="675"/>
      <c r="AG239" s="675"/>
    </row>
    <row r="240" spans="1:33" s="536" customFormat="1" ht="12" x14ac:dyDescent="0.2">
      <c r="A240" s="569"/>
      <c r="B240" s="671"/>
      <c r="C240" s="1823" t="s">
        <v>327</v>
      </c>
      <c r="D240" s="1823"/>
      <c r="E240" s="1823"/>
      <c r="F240" s="573"/>
      <c r="G240" s="573"/>
      <c r="H240" s="573"/>
      <c r="I240" s="573"/>
      <c r="J240" s="572"/>
      <c r="K240" s="573"/>
      <c r="L240" s="572">
        <v>25052.84</v>
      </c>
      <c r="M240" s="601"/>
      <c r="N240" s="570"/>
      <c r="V240" s="674"/>
      <c r="W240" s="675"/>
      <c r="AC240" s="675" t="s">
        <v>327</v>
      </c>
      <c r="AD240" s="680"/>
      <c r="AE240" s="675"/>
      <c r="AG240" s="675"/>
    </row>
    <row r="241" spans="1:33" s="536" customFormat="1" ht="22.5" x14ac:dyDescent="0.2">
      <c r="A241" s="575" t="s">
        <v>1079</v>
      </c>
      <c r="B241" s="670" t="s">
        <v>3789</v>
      </c>
      <c r="C241" s="1823" t="s">
        <v>3790</v>
      </c>
      <c r="D241" s="1823"/>
      <c r="E241" s="1823"/>
      <c r="F241" s="573" t="s">
        <v>1537</v>
      </c>
      <c r="G241" s="573"/>
      <c r="H241" s="573"/>
      <c r="I241" s="573" t="s">
        <v>4564</v>
      </c>
      <c r="J241" s="572"/>
      <c r="K241" s="573"/>
      <c r="L241" s="572"/>
      <c r="M241" s="571"/>
      <c r="N241" s="570"/>
      <c r="V241" s="674"/>
      <c r="W241" s="675" t="s">
        <v>3790</v>
      </c>
      <c r="AC241" s="675"/>
      <c r="AD241" s="680"/>
      <c r="AE241" s="675"/>
      <c r="AG241" s="675"/>
    </row>
    <row r="242" spans="1:33" s="536" customFormat="1" ht="12" x14ac:dyDescent="0.2">
      <c r="A242" s="676"/>
      <c r="B242" s="664"/>
      <c r="C242" s="1822" t="s">
        <v>4565</v>
      </c>
      <c r="D242" s="1822"/>
      <c r="E242" s="1822"/>
      <c r="F242" s="1822"/>
      <c r="G242" s="1822"/>
      <c r="H242" s="1822"/>
      <c r="I242" s="1822"/>
      <c r="J242" s="1822"/>
      <c r="K242" s="1822"/>
      <c r="L242" s="1822"/>
      <c r="M242" s="1822"/>
      <c r="N242" s="1827"/>
      <c r="V242" s="674"/>
      <c r="W242" s="675"/>
      <c r="X242" s="537" t="s">
        <v>4565</v>
      </c>
      <c r="AC242" s="675"/>
      <c r="AD242" s="680"/>
      <c r="AE242" s="675"/>
      <c r="AG242" s="675"/>
    </row>
    <row r="243" spans="1:33" s="536" customFormat="1" ht="22.5" x14ac:dyDescent="0.2">
      <c r="A243" s="609"/>
      <c r="B243" s="552" t="s">
        <v>499</v>
      </c>
      <c r="C243" s="1822" t="s">
        <v>500</v>
      </c>
      <c r="D243" s="1822"/>
      <c r="E243" s="1822"/>
      <c r="F243" s="1822"/>
      <c r="G243" s="1822"/>
      <c r="H243" s="1822"/>
      <c r="I243" s="1822"/>
      <c r="J243" s="1822"/>
      <c r="K243" s="1822"/>
      <c r="L243" s="1822"/>
      <c r="M243" s="1822"/>
      <c r="N243" s="1827"/>
      <c r="V243" s="674"/>
      <c r="W243" s="675"/>
      <c r="Y243" s="537" t="s">
        <v>500</v>
      </c>
      <c r="AC243" s="675"/>
      <c r="AD243" s="680"/>
      <c r="AE243" s="675"/>
      <c r="AG243" s="675"/>
    </row>
    <row r="244" spans="1:33" s="536" customFormat="1" ht="12" x14ac:dyDescent="0.2">
      <c r="A244" s="605"/>
      <c r="B244" s="552" t="s">
        <v>185</v>
      </c>
      <c r="C244" s="1822" t="s">
        <v>312</v>
      </c>
      <c r="D244" s="1822"/>
      <c r="E244" s="1822"/>
      <c r="F244" s="562"/>
      <c r="G244" s="562"/>
      <c r="H244" s="562"/>
      <c r="I244" s="562"/>
      <c r="J244" s="604">
        <v>83.33</v>
      </c>
      <c r="K244" s="562" t="s">
        <v>313</v>
      </c>
      <c r="L244" s="604">
        <v>978.09</v>
      </c>
      <c r="M244" s="603"/>
      <c r="N244" s="602"/>
      <c r="V244" s="674"/>
      <c r="W244" s="675"/>
      <c r="Z244" s="537" t="s">
        <v>312</v>
      </c>
      <c r="AC244" s="675"/>
      <c r="AD244" s="680"/>
      <c r="AE244" s="675"/>
      <c r="AG244" s="675"/>
    </row>
    <row r="245" spans="1:33" s="536" customFormat="1" ht="12" x14ac:dyDescent="0.2">
      <c r="A245" s="605"/>
      <c r="B245" s="552" t="s">
        <v>186</v>
      </c>
      <c r="C245" s="1822" t="s">
        <v>344</v>
      </c>
      <c r="D245" s="1822"/>
      <c r="E245" s="1822"/>
      <c r="F245" s="562"/>
      <c r="G245" s="562"/>
      <c r="H245" s="562"/>
      <c r="I245" s="562"/>
      <c r="J245" s="604">
        <v>28.8</v>
      </c>
      <c r="K245" s="562" t="s">
        <v>313</v>
      </c>
      <c r="L245" s="604">
        <v>338.04</v>
      </c>
      <c r="M245" s="603"/>
      <c r="N245" s="602"/>
      <c r="V245" s="674"/>
      <c r="W245" s="675"/>
      <c r="Z245" s="537" t="s">
        <v>344</v>
      </c>
      <c r="AC245" s="675"/>
      <c r="AD245" s="680"/>
      <c r="AE245" s="675"/>
      <c r="AG245" s="675"/>
    </row>
    <row r="246" spans="1:33" s="536" customFormat="1" ht="12" x14ac:dyDescent="0.2">
      <c r="A246" s="605"/>
      <c r="B246" s="552" t="s">
        <v>187</v>
      </c>
      <c r="C246" s="1822" t="s">
        <v>345</v>
      </c>
      <c r="D246" s="1822"/>
      <c r="E246" s="1822"/>
      <c r="F246" s="562"/>
      <c r="G246" s="562"/>
      <c r="H246" s="562"/>
      <c r="I246" s="562"/>
      <c r="J246" s="604">
        <v>3.22</v>
      </c>
      <c r="K246" s="562" t="s">
        <v>313</v>
      </c>
      <c r="L246" s="604">
        <v>37.79</v>
      </c>
      <c r="M246" s="603"/>
      <c r="N246" s="602"/>
      <c r="V246" s="674"/>
      <c r="W246" s="675"/>
      <c r="Z246" s="537" t="s">
        <v>345</v>
      </c>
      <c r="AC246" s="675"/>
      <c r="AD246" s="680"/>
      <c r="AE246" s="675"/>
      <c r="AG246" s="675"/>
    </row>
    <row r="247" spans="1:33" s="536" customFormat="1" ht="22.5" x14ac:dyDescent="0.2">
      <c r="A247" s="676"/>
      <c r="B247" s="677" t="s">
        <v>1090</v>
      </c>
      <c r="C247" s="1829" t="s">
        <v>1091</v>
      </c>
      <c r="D247" s="1829"/>
      <c r="E247" s="1829"/>
      <c r="F247" s="678" t="s">
        <v>641</v>
      </c>
      <c r="G247" s="678" t="s">
        <v>195</v>
      </c>
      <c r="H247" s="678"/>
      <c r="I247" s="678" t="s">
        <v>4566</v>
      </c>
      <c r="J247" s="552"/>
      <c r="K247" s="562"/>
      <c r="L247" s="604"/>
      <c r="M247" s="562"/>
      <c r="N247" s="679"/>
      <c r="V247" s="674"/>
      <c r="W247" s="675"/>
      <c r="AC247" s="675"/>
      <c r="AD247" s="680" t="s">
        <v>1091</v>
      </c>
      <c r="AE247" s="675"/>
      <c r="AG247" s="675"/>
    </row>
    <row r="248" spans="1:33" s="536" customFormat="1" ht="12" x14ac:dyDescent="0.2">
      <c r="A248" s="605"/>
      <c r="B248" s="552"/>
      <c r="C248" s="1822" t="s">
        <v>314</v>
      </c>
      <c r="D248" s="1822"/>
      <c r="E248" s="1822"/>
      <c r="F248" s="562" t="s">
        <v>315</v>
      </c>
      <c r="G248" s="562" t="s">
        <v>2345</v>
      </c>
      <c r="H248" s="562" t="s">
        <v>313</v>
      </c>
      <c r="I248" s="562" t="s">
        <v>4567</v>
      </c>
      <c r="J248" s="604"/>
      <c r="K248" s="562"/>
      <c r="L248" s="604"/>
      <c r="M248" s="603"/>
      <c r="N248" s="602"/>
      <c r="V248" s="674"/>
      <c r="W248" s="675"/>
      <c r="AA248" s="537" t="s">
        <v>314</v>
      </c>
      <c r="AC248" s="675"/>
      <c r="AD248" s="680"/>
      <c r="AE248" s="675"/>
      <c r="AG248" s="675"/>
    </row>
    <row r="249" spans="1:33" s="536" customFormat="1" ht="12" x14ac:dyDescent="0.2">
      <c r="A249" s="605"/>
      <c r="B249" s="552"/>
      <c r="C249" s="1822" t="s">
        <v>348</v>
      </c>
      <c r="D249" s="1822"/>
      <c r="E249" s="1822"/>
      <c r="F249" s="562" t="s">
        <v>315</v>
      </c>
      <c r="G249" s="562" t="s">
        <v>2344</v>
      </c>
      <c r="H249" s="562" t="s">
        <v>313</v>
      </c>
      <c r="I249" s="562" t="s">
        <v>4568</v>
      </c>
      <c r="J249" s="604"/>
      <c r="K249" s="562"/>
      <c r="L249" s="604"/>
      <c r="M249" s="603"/>
      <c r="N249" s="602"/>
      <c r="V249" s="674"/>
      <c r="W249" s="675"/>
      <c r="AA249" s="537" t="s">
        <v>348</v>
      </c>
      <c r="AC249" s="675"/>
      <c r="AD249" s="680"/>
      <c r="AE249" s="675"/>
      <c r="AG249" s="675"/>
    </row>
    <row r="250" spans="1:33" s="536" customFormat="1" ht="12" x14ac:dyDescent="0.2">
      <c r="A250" s="605"/>
      <c r="B250" s="552"/>
      <c r="C250" s="1828" t="s">
        <v>318</v>
      </c>
      <c r="D250" s="1828"/>
      <c r="E250" s="1828"/>
      <c r="F250" s="608"/>
      <c r="G250" s="608"/>
      <c r="H250" s="608"/>
      <c r="I250" s="608"/>
      <c r="J250" s="607">
        <v>112.13</v>
      </c>
      <c r="K250" s="608"/>
      <c r="L250" s="607">
        <v>1316.13</v>
      </c>
      <c r="M250" s="601"/>
      <c r="N250" s="606"/>
      <c r="V250" s="674"/>
      <c r="W250" s="675"/>
      <c r="AB250" s="537" t="s">
        <v>318</v>
      </c>
      <c r="AC250" s="675"/>
      <c r="AD250" s="680"/>
      <c r="AE250" s="675"/>
      <c r="AG250" s="675"/>
    </row>
    <row r="251" spans="1:33" s="536" customFormat="1" ht="12" x14ac:dyDescent="0.2">
      <c r="A251" s="605"/>
      <c r="B251" s="552"/>
      <c r="C251" s="1822" t="s">
        <v>319</v>
      </c>
      <c r="D251" s="1822"/>
      <c r="E251" s="1822"/>
      <c r="F251" s="562"/>
      <c r="G251" s="562"/>
      <c r="H251" s="562"/>
      <c r="I251" s="562"/>
      <c r="J251" s="604"/>
      <c r="K251" s="562"/>
      <c r="L251" s="604">
        <v>1015.88</v>
      </c>
      <c r="M251" s="603"/>
      <c r="N251" s="602"/>
      <c r="V251" s="674"/>
      <c r="W251" s="675"/>
      <c r="AA251" s="537" t="s">
        <v>319</v>
      </c>
      <c r="AC251" s="675"/>
      <c r="AD251" s="680"/>
      <c r="AE251" s="675"/>
      <c r="AG251" s="675"/>
    </row>
    <row r="252" spans="1:33" s="536" customFormat="1" ht="33.75" x14ac:dyDescent="0.2">
      <c r="A252" s="605"/>
      <c r="B252" s="552" t="s">
        <v>533</v>
      </c>
      <c r="C252" s="1822" t="s">
        <v>534</v>
      </c>
      <c r="D252" s="1822"/>
      <c r="E252" s="1822"/>
      <c r="F252" s="562" t="s">
        <v>322</v>
      </c>
      <c r="G252" s="562" t="s">
        <v>535</v>
      </c>
      <c r="H252" s="562"/>
      <c r="I252" s="562" t="s">
        <v>535</v>
      </c>
      <c r="J252" s="604"/>
      <c r="K252" s="562"/>
      <c r="L252" s="604">
        <v>1188.58</v>
      </c>
      <c r="M252" s="603"/>
      <c r="N252" s="602"/>
      <c r="V252" s="674"/>
      <c r="W252" s="675"/>
      <c r="AA252" s="537" t="s">
        <v>534</v>
      </c>
      <c r="AC252" s="675"/>
      <c r="AD252" s="680"/>
      <c r="AE252" s="675"/>
      <c r="AG252" s="675"/>
    </row>
    <row r="253" spans="1:33" s="536" customFormat="1" ht="33.75" x14ac:dyDescent="0.2">
      <c r="A253" s="605"/>
      <c r="B253" s="552" t="s">
        <v>536</v>
      </c>
      <c r="C253" s="1822" t="s">
        <v>537</v>
      </c>
      <c r="D253" s="1822"/>
      <c r="E253" s="1822"/>
      <c r="F253" s="562" t="s">
        <v>322</v>
      </c>
      <c r="G253" s="562" t="s">
        <v>538</v>
      </c>
      <c r="H253" s="562"/>
      <c r="I253" s="562" t="s">
        <v>538</v>
      </c>
      <c r="J253" s="604"/>
      <c r="K253" s="562"/>
      <c r="L253" s="604">
        <v>751.75</v>
      </c>
      <c r="M253" s="603"/>
      <c r="N253" s="602"/>
      <c r="V253" s="674"/>
      <c r="W253" s="675"/>
      <c r="AA253" s="537" t="s">
        <v>537</v>
      </c>
      <c r="AC253" s="675"/>
      <c r="AD253" s="680"/>
      <c r="AE253" s="675"/>
      <c r="AG253" s="675"/>
    </row>
    <row r="254" spans="1:33" s="536" customFormat="1" ht="12" x14ac:dyDescent="0.2">
      <c r="A254" s="569"/>
      <c r="B254" s="671"/>
      <c r="C254" s="1823" t="s">
        <v>327</v>
      </c>
      <c r="D254" s="1823"/>
      <c r="E254" s="1823"/>
      <c r="F254" s="573"/>
      <c r="G254" s="573"/>
      <c r="H254" s="573"/>
      <c r="I254" s="573"/>
      <c r="J254" s="572"/>
      <c r="K254" s="573"/>
      <c r="L254" s="572">
        <v>3256.46</v>
      </c>
      <c r="M254" s="601"/>
      <c r="N254" s="570"/>
      <c r="V254" s="674"/>
      <c r="W254" s="675"/>
      <c r="AC254" s="675" t="s">
        <v>327</v>
      </c>
      <c r="AD254" s="680"/>
      <c r="AE254" s="675"/>
      <c r="AG254" s="675"/>
    </row>
    <row r="255" spans="1:33" s="536" customFormat="1" ht="33.75" x14ac:dyDescent="0.2">
      <c r="A255" s="575" t="s">
        <v>759</v>
      </c>
      <c r="B255" s="670" t="s">
        <v>1095</v>
      </c>
      <c r="C255" s="1823" t="s">
        <v>1096</v>
      </c>
      <c r="D255" s="1823"/>
      <c r="E255" s="1823"/>
      <c r="F255" s="573" t="s">
        <v>641</v>
      </c>
      <c r="G255" s="573"/>
      <c r="H255" s="573"/>
      <c r="I255" s="573" t="s">
        <v>4569</v>
      </c>
      <c r="J255" s="572">
        <v>55.26</v>
      </c>
      <c r="K255" s="573"/>
      <c r="L255" s="572">
        <v>5708.36</v>
      </c>
      <c r="M255" s="571"/>
      <c r="N255" s="570"/>
      <c r="V255" s="674"/>
      <c r="W255" s="675" t="s">
        <v>1096</v>
      </c>
      <c r="AC255" s="675"/>
      <c r="AD255" s="680"/>
      <c r="AE255" s="675"/>
      <c r="AG255" s="675"/>
    </row>
    <row r="256" spans="1:33" s="536" customFormat="1" ht="12" x14ac:dyDescent="0.2">
      <c r="A256" s="569"/>
      <c r="B256" s="671"/>
      <c r="C256" s="665" t="s">
        <v>717</v>
      </c>
      <c r="D256" s="666"/>
      <c r="E256" s="666"/>
      <c r="F256" s="563"/>
      <c r="G256" s="563"/>
      <c r="H256" s="563"/>
      <c r="I256" s="563"/>
      <c r="J256" s="566"/>
      <c r="K256" s="563"/>
      <c r="L256" s="566"/>
      <c r="M256" s="565"/>
      <c r="N256" s="564"/>
      <c r="V256" s="674"/>
      <c r="W256" s="675"/>
      <c r="AC256" s="675"/>
      <c r="AD256" s="680"/>
      <c r="AE256" s="675"/>
      <c r="AG256" s="675"/>
    </row>
    <row r="257" spans="1:33" s="536" customFormat="1" ht="45" x14ac:dyDescent="0.2">
      <c r="A257" s="575" t="s">
        <v>917</v>
      </c>
      <c r="B257" s="670" t="s">
        <v>503</v>
      </c>
      <c r="C257" s="1823" t="s">
        <v>504</v>
      </c>
      <c r="D257" s="1823"/>
      <c r="E257" s="1823"/>
      <c r="F257" s="573" t="s">
        <v>455</v>
      </c>
      <c r="G257" s="573"/>
      <c r="H257" s="573"/>
      <c r="I257" s="573" t="s">
        <v>4570</v>
      </c>
      <c r="J257" s="572"/>
      <c r="K257" s="573"/>
      <c r="L257" s="572"/>
      <c r="M257" s="571"/>
      <c r="N257" s="570"/>
      <c r="V257" s="674"/>
      <c r="W257" s="675" t="s">
        <v>504</v>
      </c>
      <c r="AC257" s="675"/>
      <c r="AD257" s="680"/>
      <c r="AE257" s="675"/>
      <c r="AG257" s="675"/>
    </row>
    <row r="258" spans="1:33" s="536" customFormat="1" ht="12" x14ac:dyDescent="0.2">
      <c r="A258" s="676"/>
      <c r="B258" s="664"/>
      <c r="C258" s="1822" t="s">
        <v>4571</v>
      </c>
      <c r="D258" s="1822"/>
      <c r="E258" s="1822"/>
      <c r="F258" s="1822"/>
      <c r="G258" s="1822"/>
      <c r="H258" s="1822"/>
      <c r="I258" s="1822"/>
      <c r="J258" s="1822"/>
      <c r="K258" s="1822"/>
      <c r="L258" s="1822"/>
      <c r="M258" s="1822"/>
      <c r="N258" s="1827"/>
      <c r="V258" s="674"/>
      <c r="W258" s="675"/>
      <c r="X258" s="537" t="s">
        <v>4571</v>
      </c>
      <c r="AC258" s="675"/>
      <c r="AD258" s="680"/>
      <c r="AE258" s="675"/>
      <c r="AG258" s="675"/>
    </row>
    <row r="259" spans="1:33" s="536" customFormat="1" ht="22.5" x14ac:dyDescent="0.2">
      <c r="A259" s="609"/>
      <c r="B259" s="552" t="s">
        <v>499</v>
      </c>
      <c r="C259" s="1822" t="s">
        <v>500</v>
      </c>
      <c r="D259" s="1822"/>
      <c r="E259" s="1822"/>
      <c r="F259" s="1822"/>
      <c r="G259" s="1822"/>
      <c r="H259" s="1822"/>
      <c r="I259" s="1822"/>
      <c r="J259" s="1822"/>
      <c r="K259" s="1822"/>
      <c r="L259" s="1822"/>
      <c r="M259" s="1822"/>
      <c r="N259" s="1827"/>
      <c r="V259" s="674"/>
      <c r="W259" s="675"/>
      <c r="Y259" s="537" t="s">
        <v>500</v>
      </c>
      <c r="AC259" s="675"/>
      <c r="AD259" s="680"/>
      <c r="AE259" s="675"/>
      <c r="AG259" s="675"/>
    </row>
    <row r="260" spans="1:33" s="536" customFormat="1" ht="12" x14ac:dyDescent="0.2">
      <c r="A260" s="605"/>
      <c r="B260" s="552" t="s">
        <v>186</v>
      </c>
      <c r="C260" s="1822" t="s">
        <v>344</v>
      </c>
      <c r="D260" s="1822"/>
      <c r="E260" s="1822"/>
      <c r="F260" s="562"/>
      <c r="G260" s="562"/>
      <c r="H260" s="562"/>
      <c r="I260" s="562"/>
      <c r="J260" s="604">
        <v>3803.91</v>
      </c>
      <c r="K260" s="562" t="s">
        <v>313</v>
      </c>
      <c r="L260" s="604">
        <v>14069.71</v>
      </c>
      <c r="M260" s="603"/>
      <c r="N260" s="602"/>
      <c r="V260" s="674"/>
      <c r="W260" s="675"/>
      <c r="Z260" s="537" t="s">
        <v>344</v>
      </c>
      <c r="AC260" s="675"/>
      <c r="AD260" s="680"/>
      <c r="AE260" s="675"/>
      <c r="AG260" s="675"/>
    </row>
    <row r="261" spans="1:33" s="536" customFormat="1" ht="12" x14ac:dyDescent="0.2">
      <c r="A261" s="605"/>
      <c r="B261" s="552" t="s">
        <v>187</v>
      </c>
      <c r="C261" s="1822" t="s">
        <v>345</v>
      </c>
      <c r="D261" s="1822"/>
      <c r="E261" s="1822"/>
      <c r="F261" s="562"/>
      <c r="G261" s="562"/>
      <c r="H261" s="562"/>
      <c r="I261" s="562"/>
      <c r="J261" s="604">
        <v>445.5</v>
      </c>
      <c r="K261" s="562" t="s">
        <v>313</v>
      </c>
      <c r="L261" s="604">
        <v>1647.79</v>
      </c>
      <c r="M261" s="603"/>
      <c r="N261" s="602"/>
      <c r="V261" s="674"/>
      <c r="W261" s="675"/>
      <c r="Z261" s="537" t="s">
        <v>345</v>
      </c>
      <c r="AC261" s="675"/>
      <c r="AD261" s="680"/>
      <c r="AE261" s="675"/>
      <c r="AG261" s="675"/>
    </row>
    <row r="262" spans="1:33" s="536" customFormat="1" ht="12" x14ac:dyDescent="0.2">
      <c r="A262" s="605"/>
      <c r="B262" s="552"/>
      <c r="C262" s="1822" t="s">
        <v>348</v>
      </c>
      <c r="D262" s="1822"/>
      <c r="E262" s="1822"/>
      <c r="F262" s="562" t="s">
        <v>315</v>
      </c>
      <c r="G262" s="562" t="s">
        <v>505</v>
      </c>
      <c r="H262" s="562" t="s">
        <v>313</v>
      </c>
      <c r="I262" s="562" t="s">
        <v>4572</v>
      </c>
      <c r="J262" s="604"/>
      <c r="K262" s="562"/>
      <c r="L262" s="604"/>
      <c r="M262" s="603"/>
      <c r="N262" s="602"/>
      <c r="V262" s="674"/>
      <c r="W262" s="675"/>
      <c r="AA262" s="537" t="s">
        <v>348</v>
      </c>
      <c r="AC262" s="675"/>
      <c r="AD262" s="680"/>
      <c r="AE262" s="675"/>
      <c r="AG262" s="675"/>
    </row>
    <row r="263" spans="1:33" s="536" customFormat="1" ht="12" x14ac:dyDescent="0.2">
      <c r="A263" s="605"/>
      <c r="B263" s="552"/>
      <c r="C263" s="1828" t="s">
        <v>318</v>
      </c>
      <c r="D263" s="1828"/>
      <c r="E263" s="1828"/>
      <c r="F263" s="608"/>
      <c r="G263" s="608"/>
      <c r="H263" s="608"/>
      <c r="I263" s="608"/>
      <c r="J263" s="607">
        <v>3803.91</v>
      </c>
      <c r="K263" s="608"/>
      <c r="L263" s="607">
        <v>14069.71</v>
      </c>
      <c r="M263" s="601"/>
      <c r="N263" s="606"/>
      <c r="V263" s="674"/>
      <c r="W263" s="675"/>
      <c r="AB263" s="537" t="s">
        <v>318</v>
      </c>
      <c r="AC263" s="675"/>
      <c r="AD263" s="680"/>
      <c r="AE263" s="675"/>
      <c r="AG263" s="675"/>
    </row>
    <row r="264" spans="1:33" s="536" customFormat="1" ht="12" x14ac:dyDescent="0.2">
      <c r="A264" s="605"/>
      <c r="B264" s="552"/>
      <c r="C264" s="1822" t="s">
        <v>319</v>
      </c>
      <c r="D264" s="1822"/>
      <c r="E264" s="1822"/>
      <c r="F264" s="562"/>
      <c r="G264" s="562"/>
      <c r="H264" s="562"/>
      <c r="I264" s="562"/>
      <c r="J264" s="604"/>
      <c r="K264" s="562"/>
      <c r="L264" s="604">
        <v>1647.79</v>
      </c>
      <c r="M264" s="603"/>
      <c r="N264" s="602"/>
      <c r="V264" s="674"/>
      <c r="W264" s="675"/>
      <c r="AA264" s="537" t="s">
        <v>319</v>
      </c>
      <c r="AC264" s="675"/>
      <c r="AD264" s="680"/>
      <c r="AE264" s="675"/>
      <c r="AG264" s="675"/>
    </row>
    <row r="265" spans="1:33" s="536" customFormat="1" ht="33.75" x14ac:dyDescent="0.2">
      <c r="A265" s="605"/>
      <c r="B265" s="552" t="s">
        <v>460</v>
      </c>
      <c r="C265" s="1822" t="s">
        <v>461</v>
      </c>
      <c r="D265" s="1822"/>
      <c r="E265" s="1822"/>
      <c r="F265" s="562" t="s">
        <v>322</v>
      </c>
      <c r="G265" s="562" t="s">
        <v>462</v>
      </c>
      <c r="H265" s="562"/>
      <c r="I265" s="562" t="s">
        <v>462</v>
      </c>
      <c r="J265" s="604"/>
      <c r="K265" s="562"/>
      <c r="L265" s="604">
        <v>1515.97</v>
      </c>
      <c r="M265" s="603"/>
      <c r="N265" s="602"/>
      <c r="V265" s="674"/>
      <c r="W265" s="675"/>
      <c r="AA265" s="537" t="s">
        <v>461</v>
      </c>
      <c r="AC265" s="675"/>
      <c r="AD265" s="680"/>
      <c r="AE265" s="675"/>
      <c r="AG265" s="675"/>
    </row>
    <row r="266" spans="1:33" s="536" customFormat="1" ht="33.75" x14ac:dyDescent="0.2">
      <c r="A266" s="605"/>
      <c r="B266" s="552" t="s">
        <v>463</v>
      </c>
      <c r="C266" s="1822" t="s">
        <v>464</v>
      </c>
      <c r="D266" s="1822"/>
      <c r="E266" s="1822"/>
      <c r="F266" s="562" t="s">
        <v>322</v>
      </c>
      <c r="G266" s="562" t="s">
        <v>465</v>
      </c>
      <c r="H266" s="562"/>
      <c r="I266" s="562" t="s">
        <v>465</v>
      </c>
      <c r="J266" s="604"/>
      <c r="K266" s="562"/>
      <c r="L266" s="604">
        <v>757.98</v>
      </c>
      <c r="M266" s="603"/>
      <c r="N266" s="602"/>
      <c r="V266" s="674"/>
      <c r="W266" s="675"/>
      <c r="AA266" s="537" t="s">
        <v>464</v>
      </c>
      <c r="AC266" s="675"/>
      <c r="AD266" s="680"/>
      <c r="AE266" s="675"/>
      <c r="AG266" s="675"/>
    </row>
    <row r="267" spans="1:33" s="536" customFormat="1" ht="12" x14ac:dyDescent="0.2">
      <c r="A267" s="569"/>
      <c r="B267" s="671"/>
      <c r="C267" s="1823" t="s">
        <v>327</v>
      </c>
      <c r="D267" s="1823"/>
      <c r="E267" s="1823"/>
      <c r="F267" s="573"/>
      <c r="G267" s="573"/>
      <c r="H267" s="573"/>
      <c r="I267" s="573"/>
      <c r="J267" s="572"/>
      <c r="K267" s="573"/>
      <c r="L267" s="572">
        <v>16343.66</v>
      </c>
      <c r="M267" s="601"/>
      <c r="N267" s="570"/>
      <c r="V267" s="674"/>
      <c r="W267" s="675"/>
      <c r="AC267" s="675" t="s">
        <v>327</v>
      </c>
      <c r="AD267" s="680"/>
      <c r="AE267" s="675"/>
      <c r="AG267" s="675"/>
    </row>
    <row r="268" spans="1:33" s="536" customFormat="1" ht="22.5" x14ac:dyDescent="0.2">
      <c r="A268" s="575" t="s">
        <v>761</v>
      </c>
      <c r="B268" s="670" t="s">
        <v>507</v>
      </c>
      <c r="C268" s="1823" t="s">
        <v>508</v>
      </c>
      <c r="D268" s="1823"/>
      <c r="E268" s="1823"/>
      <c r="F268" s="573" t="s">
        <v>509</v>
      </c>
      <c r="G268" s="573"/>
      <c r="H268" s="573"/>
      <c r="I268" s="573" t="s">
        <v>4573</v>
      </c>
      <c r="J268" s="572"/>
      <c r="K268" s="573"/>
      <c r="L268" s="572"/>
      <c r="M268" s="571"/>
      <c r="N268" s="570"/>
      <c r="V268" s="674"/>
      <c r="W268" s="675" t="s">
        <v>508</v>
      </c>
      <c r="AC268" s="675"/>
      <c r="AD268" s="680"/>
      <c r="AE268" s="675"/>
      <c r="AG268" s="675"/>
    </row>
    <row r="269" spans="1:33" s="536" customFormat="1" ht="12" x14ac:dyDescent="0.2">
      <c r="A269" s="676"/>
      <c r="B269" s="664"/>
      <c r="C269" s="1822" t="s">
        <v>4574</v>
      </c>
      <c r="D269" s="1822"/>
      <c r="E269" s="1822"/>
      <c r="F269" s="1822"/>
      <c r="G269" s="1822"/>
      <c r="H269" s="1822"/>
      <c r="I269" s="1822"/>
      <c r="J269" s="1822"/>
      <c r="K269" s="1822"/>
      <c r="L269" s="1822"/>
      <c r="M269" s="1822"/>
      <c r="N269" s="1827"/>
      <c r="V269" s="674"/>
      <c r="W269" s="675"/>
      <c r="X269" s="537" t="s">
        <v>4574</v>
      </c>
      <c r="AC269" s="675"/>
      <c r="AD269" s="680"/>
      <c r="AE269" s="675"/>
      <c r="AG269" s="675"/>
    </row>
    <row r="270" spans="1:33" s="536" customFormat="1" ht="22.5" x14ac:dyDescent="0.2">
      <c r="A270" s="609"/>
      <c r="B270" s="552" t="s">
        <v>499</v>
      </c>
      <c r="C270" s="1822" t="s">
        <v>500</v>
      </c>
      <c r="D270" s="1822"/>
      <c r="E270" s="1822"/>
      <c r="F270" s="1822"/>
      <c r="G270" s="1822"/>
      <c r="H270" s="1822"/>
      <c r="I270" s="1822"/>
      <c r="J270" s="1822"/>
      <c r="K270" s="1822"/>
      <c r="L270" s="1822"/>
      <c r="M270" s="1822"/>
      <c r="N270" s="1827"/>
      <c r="V270" s="674"/>
      <c r="W270" s="675"/>
      <c r="Y270" s="537" t="s">
        <v>500</v>
      </c>
      <c r="AC270" s="675"/>
      <c r="AD270" s="680"/>
      <c r="AE270" s="675"/>
      <c r="AG270" s="675"/>
    </row>
    <row r="271" spans="1:33" s="536" customFormat="1" ht="12" x14ac:dyDescent="0.2">
      <c r="A271" s="605"/>
      <c r="B271" s="552" t="s">
        <v>185</v>
      </c>
      <c r="C271" s="1822" t="s">
        <v>312</v>
      </c>
      <c r="D271" s="1822"/>
      <c r="E271" s="1822"/>
      <c r="F271" s="562"/>
      <c r="G271" s="562"/>
      <c r="H271" s="562"/>
      <c r="I271" s="562"/>
      <c r="J271" s="604">
        <v>127.61</v>
      </c>
      <c r="K271" s="562" t="s">
        <v>313</v>
      </c>
      <c r="L271" s="604">
        <v>4719.97</v>
      </c>
      <c r="M271" s="603"/>
      <c r="N271" s="602"/>
      <c r="V271" s="674"/>
      <c r="W271" s="675"/>
      <c r="Z271" s="537" t="s">
        <v>312</v>
      </c>
      <c r="AC271" s="675"/>
      <c r="AD271" s="680"/>
      <c r="AE271" s="675"/>
      <c r="AG271" s="675"/>
    </row>
    <row r="272" spans="1:33" s="536" customFormat="1" ht="12" x14ac:dyDescent="0.2">
      <c r="A272" s="605"/>
      <c r="B272" s="552" t="s">
        <v>186</v>
      </c>
      <c r="C272" s="1822" t="s">
        <v>344</v>
      </c>
      <c r="D272" s="1822"/>
      <c r="E272" s="1822"/>
      <c r="F272" s="562"/>
      <c r="G272" s="562"/>
      <c r="H272" s="562"/>
      <c r="I272" s="562"/>
      <c r="J272" s="604">
        <v>288.58</v>
      </c>
      <c r="K272" s="562" t="s">
        <v>313</v>
      </c>
      <c r="L272" s="604">
        <v>10673.85</v>
      </c>
      <c r="M272" s="603"/>
      <c r="N272" s="602"/>
      <c r="V272" s="674"/>
      <c r="W272" s="675"/>
      <c r="Z272" s="537" t="s">
        <v>344</v>
      </c>
      <c r="AC272" s="675"/>
      <c r="AD272" s="680"/>
      <c r="AE272" s="675"/>
      <c r="AG272" s="675"/>
    </row>
    <row r="273" spans="1:33" s="536" customFormat="1" ht="12" x14ac:dyDescent="0.2">
      <c r="A273" s="605"/>
      <c r="B273" s="552" t="s">
        <v>187</v>
      </c>
      <c r="C273" s="1822" t="s">
        <v>345</v>
      </c>
      <c r="D273" s="1822"/>
      <c r="E273" s="1822"/>
      <c r="F273" s="562"/>
      <c r="G273" s="562"/>
      <c r="H273" s="562"/>
      <c r="I273" s="562"/>
      <c r="J273" s="604">
        <v>31.49</v>
      </c>
      <c r="K273" s="562" t="s">
        <v>313</v>
      </c>
      <c r="L273" s="604">
        <v>1164.74</v>
      </c>
      <c r="M273" s="603"/>
      <c r="N273" s="602"/>
      <c r="V273" s="674"/>
      <c r="W273" s="675"/>
      <c r="Z273" s="537" t="s">
        <v>345</v>
      </c>
      <c r="AC273" s="675"/>
      <c r="AD273" s="680"/>
      <c r="AE273" s="675"/>
      <c r="AG273" s="675"/>
    </row>
    <row r="274" spans="1:33" s="536" customFormat="1" ht="12" x14ac:dyDescent="0.2">
      <c r="A274" s="605"/>
      <c r="B274" s="552"/>
      <c r="C274" s="1822" t="s">
        <v>314</v>
      </c>
      <c r="D274" s="1822"/>
      <c r="E274" s="1822"/>
      <c r="F274" s="562" t="s">
        <v>315</v>
      </c>
      <c r="G274" s="562" t="s">
        <v>512</v>
      </c>
      <c r="H274" s="562" t="s">
        <v>313</v>
      </c>
      <c r="I274" s="562" t="s">
        <v>4575</v>
      </c>
      <c r="J274" s="604"/>
      <c r="K274" s="562"/>
      <c r="L274" s="604"/>
      <c r="M274" s="603"/>
      <c r="N274" s="602"/>
      <c r="V274" s="674"/>
      <c r="W274" s="675"/>
      <c r="AA274" s="537" t="s">
        <v>314</v>
      </c>
      <c r="AC274" s="675"/>
      <c r="AD274" s="680"/>
      <c r="AE274" s="675"/>
      <c r="AG274" s="675"/>
    </row>
    <row r="275" spans="1:33" s="536" customFormat="1" ht="22.5" x14ac:dyDescent="0.2">
      <c r="A275" s="605"/>
      <c r="B275" s="552"/>
      <c r="C275" s="1822" t="s">
        <v>348</v>
      </c>
      <c r="D275" s="1822"/>
      <c r="E275" s="1822"/>
      <c r="F275" s="562" t="s">
        <v>315</v>
      </c>
      <c r="G275" s="562" t="s">
        <v>514</v>
      </c>
      <c r="H275" s="562" t="s">
        <v>313</v>
      </c>
      <c r="I275" s="562" t="s">
        <v>4576</v>
      </c>
      <c r="J275" s="604"/>
      <c r="K275" s="562"/>
      <c r="L275" s="604"/>
      <c r="M275" s="603"/>
      <c r="N275" s="602"/>
      <c r="V275" s="674"/>
      <c r="W275" s="675"/>
      <c r="AA275" s="537" t="s">
        <v>348</v>
      </c>
      <c r="AC275" s="675"/>
      <c r="AD275" s="680"/>
      <c r="AE275" s="675"/>
      <c r="AG275" s="675"/>
    </row>
    <row r="276" spans="1:33" s="536" customFormat="1" ht="12" x14ac:dyDescent="0.2">
      <c r="A276" s="605"/>
      <c r="B276" s="552"/>
      <c r="C276" s="1828" t="s">
        <v>318</v>
      </c>
      <c r="D276" s="1828"/>
      <c r="E276" s="1828"/>
      <c r="F276" s="608"/>
      <c r="G276" s="608"/>
      <c r="H276" s="608"/>
      <c r="I276" s="608"/>
      <c r="J276" s="607">
        <v>416.19</v>
      </c>
      <c r="K276" s="608"/>
      <c r="L276" s="607">
        <v>15393.82</v>
      </c>
      <c r="M276" s="601"/>
      <c r="N276" s="606"/>
      <c r="V276" s="674"/>
      <c r="W276" s="675"/>
      <c r="AB276" s="537" t="s">
        <v>318</v>
      </c>
      <c r="AC276" s="675"/>
      <c r="AD276" s="680"/>
      <c r="AE276" s="675"/>
      <c r="AG276" s="675"/>
    </row>
    <row r="277" spans="1:33" s="536" customFormat="1" ht="12" x14ac:dyDescent="0.2">
      <c r="A277" s="605"/>
      <c r="B277" s="552"/>
      <c r="C277" s="1822" t="s">
        <v>319</v>
      </c>
      <c r="D277" s="1822"/>
      <c r="E277" s="1822"/>
      <c r="F277" s="562"/>
      <c r="G277" s="562"/>
      <c r="H277" s="562"/>
      <c r="I277" s="562"/>
      <c r="J277" s="604"/>
      <c r="K277" s="562"/>
      <c r="L277" s="604">
        <v>5884.71</v>
      </c>
      <c r="M277" s="603"/>
      <c r="N277" s="602"/>
      <c r="V277" s="674"/>
      <c r="W277" s="675"/>
      <c r="AA277" s="537" t="s">
        <v>319</v>
      </c>
      <c r="AC277" s="675"/>
      <c r="AD277" s="680"/>
      <c r="AE277" s="675"/>
      <c r="AG277" s="675"/>
    </row>
    <row r="278" spans="1:33" s="536" customFormat="1" ht="33.75" x14ac:dyDescent="0.2">
      <c r="A278" s="605"/>
      <c r="B278" s="552" t="s">
        <v>460</v>
      </c>
      <c r="C278" s="1822" t="s">
        <v>461</v>
      </c>
      <c r="D278" s="1822"/>
      <c r="E278" s="1822"/>
      <c r="F278" s="562" t="s">
        <v>322</v>
      </c>
      <c r="G278" s="562" t="s">
        <v>462</v>
      </c>
      <c r="H278" s="562"/>
      <c r="I278" s="562" t="s">
        <v>462</v>
      </c>
      <c r="J278" s="604"/>
      <c r="K278" s="562"/>
      <c r="L278" s="604">
        <v>5413.93</v>
      </c>
      <c r="M278" s="603"/>
      <c r="N278" s="602"/>
      <c r="V278" s="674"/>
      <c r="W278" s="675"/>
      <c r="AA278" s="537" t="s">
        <v>461</v>
      </c>
      <c r="AC278" s="675"/>
      <c r="AD278" s="680"/>
      <c r="AE278" s="675"/>
      <c r="AG278" s="675"/>
    </row>
    <row r="279" spans="1:33" s="536" customFormat="1" ht="33.75" x14ac:dyDescent="0.2">
      <c r="A279" s="605"/>
      <c r="B279" s="552" t="s">
        <v>463</v>
      </c>
      <c r="C279" s="1822" t="s">
        <v>464</v>
      </c>
      <c r="D279" s="1822"/>
      <c r="E279" s="1822"/>
      <c r="F279" s="562" t="s">
        <v>322</v>
      </c>
      <c r="G279" s="562" t="s">
        <v>465</v>
      </c>
      <c r="H279" s="562"/>
      <c r="I279" s="562" t="s">
        <v>465</v>
      </c>
      <c r="J279" s="604"/>
      <c r="K279" s="562"/>
      <c r="L279" s="604">
        <v>2706.97</v>
      </c>
      <c r="M279" s="603"/>
      <c r="N279" s="602"/>
      <c r="V279" s="674"/>
      <c r="W279" s="675"/>
      <c r="AA279" s="537" t="s">
        <v>464</v>
      </c>
      <c r="AC279" s="675"/>
      <c r="AD279" s="680"/>
      <c r="AE279" s="675"/>
      <c r="AG279" s="675"/>
    </row>
    <row r="280" spans="1:33" s="536" customFormat="1" ht="12" x14ac:dyDescent="0.2">
      <c r="A280" s="569"/>
      <c r="B280" s="671"/>
      <c r="C280" s="1823" t="s">
        <v>327</v>
      </c>
      <c r="D280" s="1823"/>
      <c r="E280" s="1823"/>
      <c r="F280" s="573"/>
      <c r="G280" s="573"/>
      <c r="H280" s="573"/>
      <c r="I280" s="573"/>
      <c r="J280" s="572"/>
      <c r="K280" s="573"/>
      <c r="L280" s="572">
        <v>23514.720000000001</v>
      </c>
      <c r="M280" s="601"/>
      <c r="N280" s="570"/>
      <c r="V280" s="674"/>
      <c r="W280" s="675"/>
      <c r="AC280" s="675" t="s">
        <v>327</v>
      </c>
      <c r="AD280" s="680"/>
      <c r="AE280" s="675"/>
      <c r="AG280" s="675"/>
    </row>
    <row r="281" spans="1:33" s="536" customFormat="1" ht="1.5" customHeight="1" x14ac:dyDescent="0.2">
      <c r="A281" s="563"/>
      <c r="B281" s="671"/>
      <c r="C281" s="671"/>
      <c r="D281" s="671"/>
      <c r="E281" s="671"/>
      <c r="F281" s="563"/>
      <c r="G281" s="563"/>
      <c r="H281" s="563"/>
      <c r="I281" s="563"/>
      <c r="J281" s="546"/>
      <c r="K281" s="563"/>
      <c r="L281" s="546"/>
      <c r="M281" s="562"/>
      <c r="N281" s="546"/>
      <c r="V281" s="674"/>
      <c r="W281" s="675"/>
      <c r="AC281" s="675"/>
      <c r="AD281" s="680"/>
      <c r="AE281" s="675"/>
      <c r="AG281" s="675"/>
    </row>
    <row r="282" spans="1:33" s="536" customFormat="1" ht="12" x14ac:dyDescent="0.2">
      <c r="A282" s="557"/>
      <c r="B282" s="556"/>
      <c r="C282" s="1823" t="s">
        <v>4577</v>
      </c>
      <c r="D282" s="1823"/>
      <c r="E282" s="1823"/>
      <c r="F282" s="1823"/>
      <c r="G282" s="1823"/>
      <c r="H282" s="1823"/>
      <c r="I282" s="1823"/>
      <c r="J282" s="1823"/>
      <c r="K282" s="1823"/>
      <c r="L282" s="555"/>
      <c r="M282" s="554"/>
      <c r="N282" s="553"/>
      <c r="V282" s="674"/>
      <c r="W282" s="675"/>
      <c r="AC282" s="675"/>
      <c r="AD282" s="680"/>
      <c r="AE282" s="675" t="s">
        <v>4577</v>
      </c>
      <c r="AG282" s="675"/>
    </row>
    <row r="283" spans="1:33" s="536" customFormat="1" ht="12" x14ac:dyDescent="0.2">
      <c r="A283" s="548"/>
      <c r="B283" s="552"/>
      <c r="C283" s="1822" t="s">
        <v>403</v>
      </c>
      <c r="D283" s="1822"/>
      <c r="E283" s="1822"/>
      <c r="F283" s="1822"/>
      <c r="G283" s="1822"/>
      <c r="H283" s="1822"/>
      <c r="I283" s="1822"/>
      <c r="J283" s="1822"/>
      <c r="K283" s="1822"/>
      <c r="L283" s="551">
        <v>64809.56</v>
      </c>
      <c r="M283" s="550"/>
      <c r="N283" s="549"/>
      <c r="V283" s="674"/>
      <c r="W283" s="675"/>
      <c r="AC283" s="675"/>
      <c r="AD283" s="680"/>
      <c r="AE283" s="675"/>
      <c r="AF283" s="537" t="s">
        <v>403</v>
      </c>
      <c r="AG283" s="675"/>
    </row>
    <row r="284" spans="1:33" s="536" customFormat="1" ht="12" x14ac:dyDescent="0.2">
      <c r="A284" s="548"/>
      <c r="B284" s="552"/>
      <c r="C284" s="1822" t="s">
        <v>204</v>
      </c>
      <c r="D284" s="1822"/>
      <c r="E284" s="1822"/>
      <c r="F284" s="1822"/>
      <c r="G284" s="1822"/>
      <c r="H284" s="1822"/>
      <c r="I284" s="1822"/>
      <c r="J284" s="1822"/>
      <c r="K284" s="1822"/>
      <c r="L284" s="551"/>
      <c r="M284" s="550"/>
      <c r="N284" s="549"/>
      <c r="V284" s="674"/>
      <c r="W284" s="675"/>
      <c r="AC284" s="675"/>
      <c r="AD284" s="680"/>
      <c r="AE284" s="675"/>
      <c r="AF284" s="537" t="s">
        <v>204</v>
      </c>
      <c r="AG284" s="675"/>
    </row>
    <row r="285" spans="1:33" s="536" customFormat="1" ht="12" x14ac:dyDescent="0.2">
      <c r="A285" s="548"/>
      <c r="B285" s="552"/>
      <c r="C285" s="1822" t="s">
        <v>404</v>
      </c>
      <c r="D285" s="1822"/>
      <c r="E285" s="1822"/>
      <c r="F285" s="1822"/>
      <c r="G285" s="1822"/>
      <c r="H285" s="1822"/>
      <c r="I285" s="1822"/>
      <c r="J285" s="1822"/>
      <c r="K285" s="1822"/>
      <c r="L285" s="551">
        <v>5698.06</v>
      </c>
      <c r="M285" s="550"/>
      <c r="N285" s="549"/>
      <c r="V285" s="674"/>
      <c r="W285" s="675"/>
      <c r="AC285" s="675"/>
      <c r="AD285" s="680"/>
      <c r="AE285" s="675"/>
      <c r="AF285" s="537" t="s">
        <v>404</v>
      </c>
      <c r="AG285" s="675"/>
    </row>
    <row r="286" spans="1:33" s="536" customFormat="1" ht="12" x14ac:dyDescent="0.2">
      <c r="A286" s="548"/>
      <c r="B286" s="552"/>
      <c r="C286" s="1822" t="s">
        <v>405</v>
      </c>
      <c r="D286" s="1822"/>
      <c r="E286" s="1822"/>
      <c r="F286" s="1822"/>
      <c r="G286" s="1822"/>
      <c r="H286" s="1822"/>
      <c r="I286" s="1822"/>
      <c r="J286" s="1822"/>
      <c r="K286" s="1822"/>
      <c r="L286" s="551">
        <v>53403.14</v>
      </c>
      <c r="M286" s="550"/>
      <c r="N286" s="549"/>
      <c r="V286" s="674"/>
      <c r="W286" s="675"/>
      <c r="AC286" s="675"/>
      <c r="AD286" s="680"/>
      <c r="AE286" s="675"/>
      <c r="AF286" s="537" t="s">
        <v>405</v>
      </c>
      <c r="AG286" s="675"/>
    </row>
    <row r="287" spans="1:33" s="536" customFormat="1" ht="12" x14ac:dyDescent="0.2">
      <c r="A287" s="548"/>
      <c r="B287" s="552"/>
      <c r="C287" s="1822" t="s">
        <v>406</v>
      </c>
      <c r="D287" s="1822"/>
      <c r="E287" s="1822"/>
      <c r="F287" s="1822"/>
      <c r="G287" s="1822"/>
      <c r="H287" s="1822"/>
      <c r="I287" s="1822"/>
      <c r="J287" s="1822"/>
      <c r="K287" s="1822"/>
      <c r="L287" s="551">
        <v>5799.6</v>
      </c>
      <c r="M287" s="550"/>
      <c r="N287" s="549"/>
      <c r="V287" s="674"/>
      <c r="W287" s="675"/>
      <c r="AC287" s="675"/>
      <c r="AD287" s="680"/>
      <c r="AE287" s="675"/>
      <c r="AF287" s="537" t="s">
        <v>406</v>
      </c>
      <c r="AG287" s="675"/>
    </row>
    <row r="288" spans="1:33" s="536" customFormat="1" ht="12" x14ac:dyDescent="0.2">
      <c r="A288" s="548"/>
      <c r="B288" s="552"/>
      <c r="C288" s="1822" t="s">
        <v>480</v>
      </c>
      <c r="D288" s="1822"/>
      <c r="E288" s="1822"/>
      <c r="F288" s="1822"/>
      <c r="G288" s="1822"/>
      <c r="H288" s="1822"/>
      <c r="I288" s="1822"/>
      <c r="J288" s="1822"/>
      <c r="K288" s="1822"/>
      <c r="L288" s="551">
        <v>5708.36</v>
      </c>
      <c r="M288" s="550"/>
      <c r="N288" s="549"/>
      <c r="V288" s="674"/>
      <c r="W288" s="675"/>
      <c r="AC288" s="675"/>
      <c r="AD288" s="680"/>
      <c r="AE288" s="675"/>
      <c r="AF288" s="537" t="s">
        <v>480</v>
      </c>
      <c r="AG288" s="675"/>
    </row>
    <row r="289" spans="1:33" s="536" customFormat="1" ht="12" x14ac:dyDescent="0.2">
      <c r="A289" s="548"/>
      <c r="B289" s="552"/>
      <c r="C289" s="1822" t="s">
        <v>407</v>
      </c>
      <c r="D289" s="1822"/>
      <c r="E289" s="1822"/>
      <c r="F289" s="1822"/>
      <c r="G289" s="1822"/>
      <c r="H289" s="1822"/>
      <c r="I289" s="1822"/>
      <c r="J289" s="1822"/>
      <c r="K289" s="1822"/>
      <c r="L289" s="551">
        <v>81214.75</v>
      </c>
      <c r="M289" s="550"/>
      <c r="N289" s="549"/>
      <c r="V289" s="674"/>
      <c r="W289" s="675"/>
      <c r="AC289" s="675"/>
      <c r="AD289" s="680"/>
      <c r="AE289" s="675"/>
      <c r="AF289" s="537" t="s">
        <v>407</v>
      </c>
      <c r="AG289" s="675"/>
    </row>
    <row r="290" spans="1:33" s="536" customFormat="1" ht="12" x14ac:dyDescent="0.2">
      <c r="A290" s="548"/>
      <c r="B290" s="552"/>
      <c r="C290" s="1822" t="s">
        <v>408</v>
      </c>
      <c r="D290" s="1822"/>
      <c r="E290" s="1822"/>
      <c r="F290" s="1822"/>
      <c r="G290" s="1822"/>
      <c r="H290" s="1822"/>
      <c r="I290" s="1822"/>
      <c r="J290" s="1822"/>
      <c r="K290" s="1822"/>
      <c r="L290" s="551">
        <v>78075.73</v>
      </c>
      <c r="M290" s="550"/>
      <c r="N290" s="549"/>
      <c r="V290" s="674"/>
      <c r="W290" s="675"/>
      <c r="AC290" s="675"/>
      <c r="AD290" s="680"/>
      <c r="AE290" s="675"/>
      <c r="AF290" s="537" t="s">
        <v>408</v>
      </c>
      <c r="AG290" s="675"/>
    </row>
    <row r="291" spans="1:33" s="536" customFormat="1" ht="12" x14ac:dyDescent="0.2">
      <c r="A291" s="548"/>
      <c r="B291" s="552"/>
      <c r="C291" s="1822" t="s">
        <v>409</v>
      </c>
      <c r="D291" s="1822"/>
      <c r="E291" s="1822"/>
      <c r="F291" s="1822"/>
      <c r="G291" s="1822"/>
      <c r="H291" s="1822"/>
      <c r="I291" s="1822"/>
      <c r="J291" s="1822"/>
      <c r="K291" s="1822"/>
      <c r="L291" s="551"/>
      <c r="M291" s="550"/>
      <c r="N291" s="549"/>
      <c r="V291" s="674"/>
      <c r="W291" s="675"/>
      <c r="AC291" s="675"/>
      <c r="AD291" s="680"/>
      <c r="AE291" s="675"/>
      <c r="AF291" s="537" t="s">
        <v>409</v>
      </c>
      <c r="AG291" s="675"/>
    </row>
    <row r="292" spans="1:33" s="536" customFormat="1" ht="12" x14ac:dyDescent="0.2">
      <c r="A292" s="548"/>
      <c r="B292" s="552"/>
      <c r="C292" s="1822" t="s">
        <v>410</v>
      </c>
      <c r="D292" s="1822"/>
      <c r="E292" s="1822"/>
      <c r="F292" s="1822"/>
      <c r="G292" s="1822"/>
      <c r="H292" s="1822"/>
      <c r="I292" s="1822"/>
      <c r="J292" s="1822"/>
      <c r="K292" s="1822"/>
      <c r="L292" s="551">
        <v>5698.06</v>
      </c>
      <c r="M292" s="550"/>
      <c r="N292" s="549"/>
      <c r="V292" s="674"/>
      <c r="W292" s="675"/>
      <c r="AC292" s="675"/>
      <c r="AD292" s="680"/>
      <c r="AE292" s="675"/>
      <c r="AF292" s="537" t="s">
        <v>410</v>
      </c>
      <c r="AG292" s="675"/>
    </row>
    <row r="293" spans="1:33" s="536" customFormat="1" ht="12" x14ac:dyDescent="0.2">
      <c r="A293" s="548"/>
      <c r="B293" s="552"/>
      <c r="C293" s="1822" t="s">
        <v>411</v>
      </c>
      <c r="D293" s="1822"/>
      <c r="E293" s="1822"/>
      <c r="F293" s="1822"/>
      <c r="G293" s="1822"/>
      <c r="H293" s="1822"/>
      <c r="I293" s="1822"/>
      <c r="J293" s="1822"/>
      <c r="K293" s="1822"/>
      <c r="L293" s="551">
        <v>50264.12</v>
      </c>
      <c r="M293" s="550"/>
      <c r="N293" s="549"/>
      <c r="V293" s="674"/>
      <c r="W293" s="675"/>
      <c r="AC293" s="675"/>
      <c r="AD293" s="680"/>
      <c r="AE293" s="675"/>
      <c r="AF293" s="537" t="s">
        <v>411</v>
      </c>
      <c r="AG293" s="675"/>
    </row>
    <row r="294" spans="1:33" s="536" customFormat="1" ht="12" x14ac:dyDescent="0.2">
      <c r="A294" s="548"/>
      <c r="B294" s="552"/>
      <c r="C294" s="1822" t="s">
        <v>481</v>
      </c>
      <c r="D294" s="1822"/>
      <c r="E294" s="1822"/>
      <c r="F294" s="1822"/>
      <c r="G294" s="1822"/>
      <c r="H294" s="1822"/>
      <c r="I294" s="1822"/>
      <c r="J294" s="1822"/>
      <c r="K294" s="1822"/>
      <c r="L294" s="551">
        <v>5708.36</v>
      </c>
      <c r="M294" s="550"/>
      <c r="N294" s="549"/>
      <c r="V294" s="674"/>
      <c r="W294" s="675"/>
      <c r="AC294" s="675"/>
      <c r="AD294" s="680"/>
      <c r="AE294" s="675"/>
      <c r="AF294" s="537" t="s">
        <v>481</v>
      </c>
      <c r="AG294" s="675"/>
    </row>
    <row r="295" spans="1:33" s="536" customFormat="1" ht="12" x14ac:dyDescent="0.2">
      <c r="A295" s="548"/>
      <c r="B295" s="552"/>
      <c r="C295" s="1822" t="s">
        <v>412</v>
      </c>
      <c r="D295" s="1822"/>
      <c r="E295" s="1822"/>
      <c r="F295" s="1822"/>
      <c r="G295" s="1822"/>
      <c r="H295" s="1822"/>
      <c r="I295" s="1822"/>
      <c r="J295" s="1822"/>
      <c r="K295" s="1822"/>
      <c r="L295" s="551">
        <v>10831.82</v>
      </c>
      <c r="M295" s="550"/>
      <c r="N295" s="549"/>
      <c r="V295" s="674"/>
      <c r="W295" s="675"/>
      <c r="AC295" s="675"/>
      <c r="AD295" s="680"/>
      <c r="AE295" s="675"/>
      <c r="AF295" s="537" t="s">
        <v>412</v>
      </c>
      <c r="AG295" s="675"/>
    </row>
    <row r="296" spans="1:33" s="536" customFormat="1" ht="12" x14ac:dyDescent="0.2">
      <c r="A296" s="548"/>
      <c r="B296" s="552"/>
      <c r="C296" s="1822" t="s">
        <v>413</v>
      </c>
      <c r="D296" s="1822"/>
      <c r="E296" s="1822"/>
      <c r="F296" s="1822"/>
      <c r="G296" s="1822"/>
      <c r="H296" s="1822"/>
      <c r="I296" s="1822"/>
      <c r="J296" s="1822"/>
      <c r="K296" s="1822"/>
      <c r="L296" s="551">
        <v>5573.37</v>
      </c>
      <c r="M296" s="550"/>
      <c r="N296" s="549"/>
      <c r="V296" s="674"/>
      <c r="W296" s="675"/>
      <c r="AC296" s="675"/>
      <c r="AD296" s="680"/>
      <c r="AE296" s="675"/>
      <c r="AF296" s="537" t="s">
        <v>413</v>
      </c>
      <c r="AG296" s="675"/>
    </row>
    <row r="297" spans="1:33" s="536" customFormat="1" ht="12" x14ac:dyDescent="0.2">
      <c r="A297" s="548"/>
      <c r="B297" s="552"/>
      <c r="C297" s="1822" t="s">
        <v>414</v>
      </c>
      <c r="D297" s="1822"/>
      <c r="E297" s="1822"/>
      <c r="F297" s="1822"/>
      <c r="G297" s="1822"/>
      <c r="H297" s="1822"/>
      <c r="I297" s="1822"/>
      <c r="J297" s="1822"/>
      <c r="K297" s="1822"/>
      <c r="L297" s="551">
        <v>3139.02</v>
      </c>
      <c r="M297" s="550"/>
      <c r="N297" s="549"/>
      <c r="V297" s="674"/>
      <c r="W297" s="675"/>
      <c r="AC297" s="675"/>
      <c r="AD297" s="680"/>
      <c r="AE297" s="675"/>
      <c r="AF297" s="537" t="s">
        <v>414</v>
      </c>
      <c r="AG297" s="675"/>
    </row>
    <row r="298" spans="1:33" s="536" customFormat="1" ht="12" x14ac:dyDescent="0.2">
      <c r="A298" s="548"/>
      <c r="B298" s="552"/>
      <c r="C298" s="1822" t="s">
        <v>415</v>
      </c>
      <c r="D298" s="1822"/>
      <c r="E298" s="1822"/>
      <c r="F298" s="1822"/>
      <c r="G298" s="1822"/>
      <c r="H298" s="1822"/>
      <c r="I298" s="1822"/>
      <c r="J298" s="1822"/>
      <c r="K298" s="1822"/>
      <c r="L298" s="551">
        <v>11497.66</v>
      </c>
      <c r="M298" s="550"/>
      <c r="N298" s="549"/>
      <c r="V298" s="674"/>
      <c r="W298" s="675"/>
      <c r="AC298" s="675"/>
      <c r="AD298" s="680"/>
      <c r="AE298" s="675"/>
      <c r="AF298" s="537" t="s">
        <v>415</v>
      </c>
      <c r="AG298" s="675"/>
    </row>
    <row r="299" spans="1:33" s="536" customFormat="1" ht="12" x14ac:dyDescent="0.2">
      <c r="A299" s="548"/>
      <c r="B299" s="552"/>
      <c r="C299" s="1822" t="s">
        <v>416</v>
      </c>
      <c r="D299" s="1822"/>
      <c r="E299" s="1822"/>
      <c r="F299" s="1822"/>
      <c r="G299" s="1822"/>
      <c r="H299" s="1822"/>
      <c r="I299" s="1822"/>
      <c r="J299" s="1822"/>
      <c r="K299" s="1822"/>
      <c r="L299" s="551">
        <v>10831.82</v>
      </c>
      <c r="M299" s="550"/>
      <c r="N299" s="549"/>
      <c r="V299" s="674"/>
      <c r="W299" s="675"/>
      <c r="AC299" s="675"/>
      <c r="AD299" s="680"/>
      <c r="AE299" s="675"/>
      <c r="AF299" s="537" t="s">
        <v>416</v>
      </c>
      <c r="AG299" s="675"/>
    </row>
    <row r="300" spans="1:33" s="536" customFormat="1" ht="12" x14ac:dyDescent="0.2">
      <c r="A300" s="548"/>
      <c r="B300" s="552"/>
      <c r="C300" s="1822" t="s">
        <v>417</v>
      </c>
      <c r="D300" s="1822"/>
      <c r="E300" s="1822"/>
      <c r="F300" s="1822"/>
      <c r="G300" s="1822"/>
      <c r="H300" s="1822"/>
      <c r="I300" s="1822"/>
      <c r="J300" s="1822"/>
      <c r="K300" s="1822"/>
      <c r="L300" s="551">
        <v>5573.37</v>
      </c>
      <c r="M300" s="550"/>
      <c r="N300" s="549"/>
      <c r="V300" s="674"/>
      <c r="W300" s="675"/>
      <c r="AC300" s="675"/>
      <c r="AD300" s="680"/>
      <c r="AE300" s="675"/>
      <c r="AF300" s="537" t="s">
        <v>417</v>
      </c>
      <c r="AG300" s="675"/>
    </row>
    <row r="301" spans="1:33" s="536" customFormat="1" ht="12" x14ac:dyDescent="0.2">
      <c r="A301" s="548"/>
      <c r="B301" s="546"/>
      <c r="C301" s="1819" t="s">
        <v>4578</v>
      </c>
      <c r="D301" s="1819"/>
      <c r="E301" s="1819"/>
      <c r="F301" s="1819"/>
      <c r="G301" s="1819"/>
      <c r="H301" s="1819"/>
      <c r="I301" s="1819"/>
      <c r="J301" s="1819"/>
      <c r="K301" s="1819"/>
      <c r="L301" s="544">
        <v>81214.75</v>
      </c>
      <c r="M301" s="543"/>
      <c r="N301" s="681"/>
      <c r="V301" s="674"/>
      <c r="W301" s="675"/>
      <c r="AC301" s="675"/>
      <c r="AD301" s="680"/>
      <c r="AE301" s="675"/>
      <c r="AG301" s="675" t="s">
        <v>4578</v>
      </c>
    </row>
    <row r="302" spans="1:33" s="536" customFormat="1" ht="12" x14ac:dyDescent="0.2">
      <c r="A302" s="1824" t="s">
        <v>4579</v>
      </c>
      <c r="B302" s="1825"/>
      <c r="C302" s="1825"/>
      <c r="D302" s="1825"/>
      <c r="E302" s="1825"/>
      <c r="F302" s="1825"/>
      <c r="G302" s="1825"/>
      <c r="H302" s="1825"/>
      <c r="I302" s="1825"/>
      <c r="J302" s="1825"/>
      <c r="K302" s="1825"/>
      <c r="L302" s="1825"/>
      <c r="M302" s="1825"/>
      <c r="N302" s="1826"/>
      <c r="V302" s="674" t="s">
        <v>4579</v>
      </c>
      <c r="W302" s="675"/>
      <c r="AC302" s="675"/>
      <c r="AD302" s="680"/>
      <c r="AE302" s="675"/>
      <c r="AG302" s="675"/>
    </row>
    <row r="303" spans="1:33" s="536" customFormat="1" ht="33.75" x14ac:dyDescent="0.2">
      <c r="A303" s="575" t="s">
        <v>762</v>
      </c>
      <c r="B303" s="670" t="s">
        <v>4580</v>
      </c>
      <c r="C303" s="1823" t="s">
        <v>4581</v>
      </c>
      <c r="D303" s="1823"/>
      <c r="E303" s="1823"/>
      <c r="F303" s="573" t="s">
        <v>1110</v>
      </c>
      <c r="G303" s="573"/>
      <c r="H303" s="573"/>
      <c r="I303" s="573" t="s">
        <v>4582</v>
      </c>
      <c r="J303" s="572"/>
      <c r="K303" s="573"/>
      <c r="L303" s="572"/>
      <c r="M303" s="571"/>
      <c r="N303" s="570"/>
      <c r="V303" s="674"/>
      <c r="W303" s="675" t="s">
        <v>4581</v>
      </c>
      <c r="AC303" s="675"/>
      <c r="AD303" s="680"/>
      <c r="AE303" s="675"/>
      <c r="AG303" s="675"/>
    </row>
    <row r="304" spans="1:33" s="536" customFormat="1" ht="12" x14ac:dyDescent="0.2">
      <c r="A304" s="676"/>
      <c r="B304" s="664"/>
      <c r="C304" s="1822" t="s">
        <v>4583</v>
      </c>
      <c r="D304" s="1822"/>
      <c r="E304" s="1822"/>
      <c r="F304" s="1822"/>
      <c r="G304" s="1822"/>
      <c r="H304" s="1822"/>
      <c r="I304" s="1822"/>
      <c r="J304" s="1822"/>
      <c r="K304" s="1822"/>
      <c r="L304" s="1822"/>
      <c r="M304" s="1822"/>
      <c r="N304" s="1827"/>
      <c r="V304" s="674"/>
      <c r="W304" s="675"/>
      <c r="X304" s="537" t="s">
        <v>4583</v>
      </c>
      <c r="AC304" s="675"/>
      <c r="AD304" s="680"/>
      <c r="AE304" s="675"/>
      <c r="AG304" s="675"/>
    </row>
    <row r="305" spans="1:33" s="536" customFormat="1" ht="22.5" x14ac:dyDescent="0.2">
      <c r="A305" s="609"/>
      <c r="B305" s="552" t="s">
        <v>499</v>
      </c>
      <c r="C305" s="1822" t="s">
        <v>500</v>
      </c>
      <c r="D305" s="1822"/>
      <c r="E305" s="1822"/>
      <c r="F305" s="1822"/>
      <c r="G305" s="1822"/>
      <c r="H305" s="1822"/>
      <c r="I305" s="1822"/>
      <c r="J305" s="1822"/>
      <c r="K305" s="1822"/>
      <c r="L305" s="1822"/>
      <c r="M305" s="1822"/>
      <c r="N305" s="1827"/>
      <c r="V305" s="674"/>
      <c r="W305" s="675"/>
      <c r="Y305" s="537" t="s">
        <v>500</v>
      </c>
      <c r="AC305" s="675"/>
      <c r="AD305" s="680"/>
      <c r="AE305" s="675"/>
      <c r="AG305" s="675"/>
    </row>
    <row r="306" spans="1:33" s="536" customFormat="1" ht="12" x14ac:dyDescent="0.2">
      <c r="A306" s="605"/>
      <c r="B306" s="552" t="s">
        <v>185</v>
      </c>
      <c r="C306" s="1822" t="s">
        <v>312</v>
      </c>
      <c r="D306" s="1822"/>
      <c r="E306" s="1822"/>
      <c r="F306" s="562"/>
      <c r="G306" s="562"/>
      <c r="H306" s="562"/>
      <c r="I306" s="562"/>
      <c r="J306" s="604">
        <v>228.03</v>
      </c>
      <c r="K306" s="562" t="s">
        <v>313</v>
      </c>
      <c r="L306" s="604">
        <v>161.05000000000001</v>
      </c>
      <c r="M306" s="603"/>
      <c r="N306" s="602"/>
      <c r="V306" s="674"/>
      <c r="W306" s="675"/>
      <c r="Z306" s="537" t="s">
        <v>312</v>
      </c>
      <c r="AC306" s="675"/>
      <c r="AD306" s="680"/>
      <c r="AE306" s="675"/>
      <c r="AG306" s="675"/>
    </row>
    <row r="307" spans="1:33" s="536" customFormat="1" ht="12" x14ac:dyDescent="0.2">
      <c r="A307" s="605"/>
      <c r="B307" s="552" t="s">
        <v>186</v>
      </c>
      <c r="C307" s="1822" t="s">
        <v>344</v>
      </c>
      <c r="D307" s="1822"/>
      <c r="E307" s="1822"/>
      <c r="F307" s="562"/>
      <c r="G307" s="562"/>
      <c r="H307" s="562"/>
      <c r="I307" s="562"/>
      <c r="J307" s="604">
        <v>11.52</v>
      </c>
      <c r="K307" s="562" t="s">
        <v>313</v>
      </c>
      <c r="L307" s="604">
        <v>8.14</v>
      </c>
      <c r="M307" s="603"/>
      <c r="N307" s="602"/>
      <c r="V307" s="674"/>
      <c r="W307" s="675"/>
      <c r="Z307" s="537" t="s">
        <v>344</v>
      </c>
      <c r="AC307" s="675"/>
      <c r="AD307" s="680"/>
      <c r="AE307" s="675"/>
      <c r="AG307" s="675"/>
    </row>
    <row r="308" spans="1:33" s="536" customFormat="1" ht="12" x14ac:dyDescent="0.2">
      <c r="A308" s="605"/>
      <c r="B308" s="552" t="s">
        <v>187</v>
      </c>
      <c r="C308" s="1822" t="s">
        <v>345</v>
      </c>
      <c r="D308" s="1822"/>
      <c r="E308" s="1822"/>
      <c r="F308" s="562"/>
      <c r="G308" s="562"/>
      <c r="H308" s="562"/>
      <c r="I308" s="562"/>
      <c r="J308" s="604">
        <v>1.62</v>
      </c>
      <c r="K308" s="562" t="s">
        <v>313</v>
      </c>
      <c r="L308" s="604">
        <v>1.1399999999999999</v>
      </c>
      <c r="M308" s="603"/>
      <c r="N308" s="602"/>
      <c r="V308" s="674"/>
      <c r="W308" s="675"/>
      <c r="Z308" s="537" t="s">
        <v>345</v>
      </c>
      <c r="AC308" s="675"/>
      <c r="AD308" s="680"/>
      <c r="AE308" s="675"/>
      <c r="AG308" s="675"/>
    </row>
    <row r="309" spans="1:33" s="536" customFormat="1" ht="12" x14ac:dyDescent="0.2">
      <c r="A309" s="605"/>
      <c r="B309" s="552" t="s">
        <v>188</v>
      </c>
      <c r="C309" s="1822" t="s">
        <v>475</v>
      </c>
      <c r="D309" s="1822"/>
      <c r="E309" s="1822"/>
      <c r="F309" s="562"/>
      <c r="G309" s="562"/>
      <c r="H309" s="562"/>
      <c r="I309" s="562"/>
      <c r="J309" s="604">
        <v>7.66</v>
      </c>
      <c r="K309" s="562"/>
      <c r="L309" s="604">
        <v>4.33</v>
      </c>
      <c r="M309" s="603"/>
      <c r="N309" s="602"/>
      <c r="V309" s="674"/>
      <c r="W309" s="675"/>
      <c r="Z309" s="537" t="s">
        <v>475</v>
      </c>
      <c r="AC309" s="675"/>
      <c r="AD309" s="680"/>
      <c r="AE309" s="675"/>
      <c r="AG309" s="675"/>
    </row>
    <row r="310" spans="1:33" s="536" customFormat="1" ht="12" x14ac:dyDescent="0.2">
      <c r="A310" s="676"/>
      <c r="B310" s="677" t="s">
        <v>4519</v>
      </c>
      <c r="C310" s="1829" t="s">
        <v>4520</v>
      </c>
      <c r="D310" s="1829"/>
      <c r="E310" s="1829"/>
      <c r="F310" s="678" t="s">
        <v>483</v>
      </c>
      <c r="G310" s="678" t="s">
        <v>844</v>
      </c>
      <c r="H310" s="678"/>
      <c r="I310" s="678" t="s">
        <v>4584</v>
      </c>
      <c r="J310" s="552"/>
      <c r="K310" s="562"/>
      <c r="L310" s="604"/>
      <c r="M310" s="562"/>
      <c r="N310" s="679"/>
      <c r="V310" s="674"/>
      <c r="W310" s="675"/>
      <c r="AC310" s="675"/>
      <c r="AD310" s="680" t="s">
        <v>4520</v>
      </c>
      <c r="AE310" s="675"/>
      <c r="AG310" s="675"/>
    </row>
    <row r="311" spans="1:33" s="536" customFormat="1" ht="12" x14ac:dyDescent="0.2">
      <c r="A311" s="605"/>
      <c r="B311" s="552"/>
      <c r="C311" s="1822" t="s">
        <v>314</v>
      </c>
      <c r="D311" s="1822"/>
      <c r="E311" s="1822"/>
      <c r="F311" s="562" t="s">
        <v>315</v>
      </c>
      <c r="G311" s="562" t="s">
        <v>4585</v>
      </c>
      <c r="H311" s="562" t="s">
        <v>313</v>
      </c>
      <c r="I311" s="562" t="s">
        <v>4586</v>
      </c>
      <c r="J311" s="604"/>
      <c r="K311" s="562"/>
      <c r="L311" s="604"/>
      <c r="M311" s="603"/>
      <c r="N311" s="602"/>
      <c r="V311" s="674"/>
      <c r="W311" s="675"/>
      <c r="AA311" s="537" t="s">
        <v>314</v>
      </c>
      <c r="AC311" s="675"/>
      <c r="AD311" s="680"/>
      <c r="AE311" s="675"/>
      <c r="AG311" s="675"/>
    </row>
    <row r="312" spans="1:33" s="536" customFormat="1" ht="12" x14ac:dyDescent="0.2">
      <c r="A312" s="605"/>
      <c r="B312" s="552"/>
      <c r="C312" s="1822" t="s">
        <v>348</v>
      </c>
      <c r="D312" s="1822"/>
      <c r="E312" s="1822"/>
      <c r="F312" s="562" t="s">
        <v>315</v>
      </c>
      <c r="G312" s="562" t="s">
        <v>1552</v>
      </c>
      <c r="H312" s="562" t="s">
        <v>313</v>
      </c>
      <c r="I312" s="562" t="s">
        <v>4587</v>
      </c>
      <c r="J312" s="604"/>
      <c r="K312" s="562"/>
      <c r="L312" s="604"/>
      <c r="M312" s="603"/>
      <c r="N312" s="602"/>
      <c r="V312" s="674"/>
      <c r="W312" s="675"/>
      <c r="AA312" s="537" t="s">
        <v>348</v>
      </c>
      <c r="AC312" s="675"/>
      <c r="AD312" s="680"/>
      <c r="AE312" s="675"/>
      <c r="AG312" s="675"/>
    </row>
    <row r="313" spans="1:33" s="536" customFormat="1" ht="12" x14ac:dyDescent="0.2">
      <c r="A313" s="605"/>
      <c r="B313" s="552"/>
      <c r="C313" s="1828" t="s">
        <v>318</v>
      </c>
      <c r="D313" s="1828"/>
      <c r="E313" s="1828"/>
      <c r="F313" s="608"/>
      <c r="G313" s="608"/>
      <c r="H313" s="608"/>
      <c r="I313" s="608"/>
      <c r="J313" s="607">
        <v>247.21</v>
      </c>
      <c r="K313" s="608"/>
      <c r="L313" s="607">
        <v>173.52</v>
      </c>
      <c r="M313" s="601"/>
      <c r="N313" s="606"/>
      <c r="V313" s="674"/>
      <c r="W313" s="675"/>
      <c r="AB313" s="537" t="s">
        <v>318</v>
      </c>
      <c r="AC313" s="675"/>
      <c r="AD313" s="680"/>
      <c r="AE313" s="675"/>
      <c r="AG313" s="675"/>
    </row>
    <row r="314" spans="1:33" s="536" customFormat="1" ht="12" x14ac:dyDescent="0.2">
      <c r="A314" s="605"/>
      <c r="B314" s="552"/>
      <c r="C314" s="1822" t="s">
        <v>319</v>
      </c>
      <c r="D314" s="1822"/>
      <c r="E314" s="1822"/>
      <c r="F314" s="562"/>
      <c r="G314" s="562"/>
      <c r="H314" s="562"/>
      <c r="I314" s="562"/>
      <c r="J314" s="604"/>
      <c r="K314" s="562"/>
      <c r="L314" s="604">
        <v>162.19</v>
      </c>
      <c r="M314" s="603"/>
      <c r="N314" s="602"/>
      <c r="V314" s="674"/>
      <c r="W314" s="675"/>
      <c r="AA314" s="537" t="s">
        <v>319</v>
      </c>
      <c r="AC314" s="675"/>
      <c r="AD314" s="680"/>
      <c r="AE314" s="675"/>
      <c r="AG314" s="675"/>
    </row>
    <row r="315" spans="1:33" s="536" customFormat="1" ht="33.75" x14ac:dyDescent="0.2">
      <c r="A315" s="605"/>
      <c r="B315" s="552" t="s">
        <v>533</v>
      </c>
      <c r="C315" s="1822" t="s">
        <v>534</v>
      </c>
      <c r="D315" s="1822"/>
      <c r="E315" s="1822"/>
      <c r="F315" s="562" t="s">
        <v>322</v>
      </c>
      <c r="G315" s="562" t="s">
        <v>535</v>
      </c>
      <c r="H315" s="562"/>
      <c r="I315" s="562" t="s">
        <v>535</v>
      </c>
      <c r="J315" s="604"/>
      <c r="K315" s="562"/>
      <c r="L315" s="604">
        <v>189.76</v>
      </c>
      <c r="M315" s="603"/>
      <c r="N315" s="602"/>
      <c r="V315" s="674"/>
      <c r="W315" s="675"/>
      <c r="AA315" s="537" t="s">
        <v>534</v>
      </c>
      <c r="AC315" s="675"/>
      <c r="AD315" s="680"/>
      <c r="AE315" s="675"/>
      <c r="AG315" s="675"/>
    </row>
    <row r="316" spans="1:33" s="536" customFormat="1" ht="33.75" x14ac:dyDescent="0.2">
      <c r="A316" s="605"/>
      <c r="B316" s="552" t="s">
        <v>536</v>
      </c>
      <c r="C316" s="1822" t="s">
        <v>537</v>
      </c>
      <c r="D316" s="1822"/>
      <c r="E316" s="1822"/>
      <c r="F316" s="562" t="s">
        <v>322</v>
      </c>
      <c r="G316" s="562" t="s">
        <v>538</v>
      </c>
      <c r="H316" s="562"/>
      <c r="I316" s="562" t="s">
        <v>538</v>
      </c>
      <c r="J316" s="604"/>
      <c r="K316" s="562"/>
      <c r="L316" s="604">
        <v>120.02</v>
      </c>
      <c r="M316" s="603"/>
      <c r="N316" s="602"/>
      <c r="V316" s="674"/>
      <c r="W316" s="675"/>
      <c r="AA316" s="537" t="s">
        <v>537</v>
      </c>
      <c r="AC316" s="675"/>
      <c r="AD316" s="680"/>
      <c r="AE316" s="675"/>
      <c r="AG316" s="675"/>
    </row>
    <row r="317" spans="1:33" s="536" customFormat="1" ht="12" x14ac:dyDescent="0.2">
      <c r="A317" s="569"/>
      <c r="B317" s="671"/>
      <c r="C317" s="1823" t="s">
        <v>327</v>
      </c>
      <c r="D317" s="1823"/>
      <c r="E317" s="1823"/>
      <c r="F317" s="573"/>
      <c r="G317" s="573"/>
      <c r="H317" s="573"/>
      <c r="I317" s="573"/>
      <c r="J317" s="572"/>
      <c r="K317" s="573"/>
      <c r="L317" s="572">
        <v>483.3</v>
      </c>
      <c r="M317" s="601"/>
      <c r="N317" s="570"/>
      <c r="V317" s="674"/>
      <c r="W317" s="675"/>
      <c r="AC317" s="675" t="s">
        <v>327</v>
      </c>
      <c r="AD317" s="680"/>
      <c r="AE317" s="675"/>
      <c r="AG317" s="675"/>
    </row>
    <row r="318" spans="1:33" s="536" customFormat="1" ht="101.25" x14ac:dyDescent="0.2">
      <c r="A318" s="575" t="s">
        <v>763</v>
      </c>
      <c r="B318" s="670" t="s">
        <v>4588</v>
      </c>
      <c r="C318" s="1823" t="s">
        <v>4589</v>
      </c>
      <c r="D318" s="1823"/>
      <c r="E318" s="1823"/>
      <c r="F318" s="573" t="s">
        <v>483</v>
      </c>
      <c r="G318" s="573"/>
      <c r="H318" s="573"/>
      <c r="I318" s="573" t="s">
        <v>4584</v>
      </c>
      <c r="J318" s="572">
        <v>143.59</v>
      </c>
      <c r="K318" s="573"/>
      <c r="L318" s="572">
        <v>8112.84</v>
      </c>
      <c r="M318" s="571"/>
      <c r="N318" s="570"/>
      <c r="V318" s="674"/>
      <c r="W318" s="675" t="s">
        <v>4589</v>
      </c>
      <c r="AC318" s="675"/>
      <c r="AD318" s="680"/>
      <c r="AE318" s="675"/>
      <c r="AG318" s="675"/>
    </row>
    <row r="319" spans="1:33" s="536" customFormat="1" ht="12" x14ac:dyDescent="0.2">
      <c r="A319" s="569"/>
      <c r="B319" s="671"/>
      <c r="C319" s="665" t="s">
        <v>717</v>
      </c>
      <c r="D319" s="666"/>
      <c r="E319" s="666"/>
      <c r="F319" s="563"/>
      <c r="G319" s="563"/>
      <c r="H319" s="563"/>
      <c r="I319" s="563"/>
      <c r="J319" s="566"/>
      <c r="K319" s="563"/>
      <c r="L319" s="566"/>
      <c r="M319" s="565"/>
      <c r="N319" s="564"/>
      <c r="V319" s="674"/>
      <c r="W319" s="675"/>
      <c r="AC319" s="675"/>
      <c r="AD319" s="680"/>
      <c r="AE319" s="675"/>
      <c r="AG319" s="675"/>
    </row>
    <row r="320" spans="1:33" s="536" customFormat="1" ht="33.75" x14ac:dyDescent="0.2">
      <c r="A320" s="575" t="s">
        <v>922</v>
      </c>
      <c r="B320" s="670" t="s">
        <v>4530</v>
      </c>
      <c r="C320" s="1823" t="s">
        <v>4531</v>
      </c>
      <c r="D320" s="1823"/>
      <c r="E320" s="1823"/>
      <c r="F320" s="573" t="s">
        <v>1110</v>
      </c>
      <c r="G320" s="573"/>
      <c r="H320" s="573"/>
      <c r="I320" s="573" t="s">
        <v>4477</v>
      </c>
      <c r="J320" s="572"/>
      <c r="K320" s="573"/>
      <c r="L320" s="572"/>
      <c r="M320" s="571"/>
      <c r="N320" s="570"/>
      <c r="V320" s="674"/>
      <c r="W320" s="675" t="s">
        <v>4531</v>
      </c>
      <c r="AC320" s="675"/>
      <c r="AD320" s="680"/>
      <c r="AE320" s="675"/>
      <c r="AG320" s="675"/>
    </row>
    <row r="321" spans="1:33" s="536" customFormat="1" ht="12" x14ac:dyDescent="0.2">
      <c r="A321" s="676"/>
      <c r="B321" s="664"/>
      <c r="C321" s="1822" t="s">
        <v>4590</v>
      </c>
      <c r="D321" s="1822"/>
      <c r="E321" s="1822"/>
      <c r="F321" s="1822"/>
      <c r="G321" s="1822"/>
      <c r="H321" s="1822"/>
      <c r="I321" s="1822"/>
      <c r="J321" s="1822"/>
      <c r="K321" s="1822"/>
      <c r="L321" s="1822"/>
      <c r="M321" s="1822"/>
      <c r="N321" s="1827"/>
      <c r="V321" s="674"/>
      <c r="W321" s="675"/>
      <c r="X321" s="537" t="s">
        <v>4590</v>
      </c>
      <c r="AC321" s="675"/>
      <c r="AD321" s="680"/>
      <c r="AE321" s="675"/>
      <c r="AG321" s="675"/>
    </row>
    <row r="322" spans="1:33" s="536" customFormat="1" ht="22.5" x14ac:dyDescent="0.2">
      <c r="A322" s="609"/>
      <c r="B322" s="552" t="s">
        <v>499</v>
      </c>
      <c r="C322" s="1822" t="s">
        <v>500</v>
      </c>
      <c r="D322" s="1822"/>
      <c r="E322" s="1822"/>
      <c r="F322" s="1822"/>
      <c r="G322" s="1822"/>
      <c r="H322" s="1822"/>
      <c r="I322" s="1822"/>
      <c r="J322" s="1822"/>
      <c r="K322" s="1822"/>
      <c r="L322" s="1822"/>
      <c r="M322" s="1822"/>
      <c r="N322" s="1827"/>
      <c r="V322" s="674"/>
      <c r="W322" s="675"/>
      <c r="Y322" s="537" t="s">
        <v>500</v>
      </c>
      <c r="AC322" s="675"/>
      <c r="AD322" s="680"/>
      <c r="AE322" s="675"/>
      <c r="AG322" s="675"/>
    </row>
    <row r="323" spans="1:33" s="536" customFormat="1" ht="12" x14ac:dyDescent="0.2">
      <c r="A323" s="605"/>
      <c r="B323" s="552" t="s">
        <v>185</v>
      </c>
      <c r="C323" s="1822" t="s">
        <v>312</v>
      </c>
      <c r="D323" s="1822"/>
      <c r="E323" s="1822"/>
      <c r="F323" s="562"/>
      <c r="G323" s="562"/>
      <c r="H323" s="562"/>
      <c r="I323" s="562"/>
      <c r="J323" s="604">
        <v>272.45999999999998</v>
      </c>
      <c r="K323" s="562" t="s">
        <v>313</v>
      </c>
      <c r="L323" s="604">
        <v>689.66</v>
      </c>
      <c r="M323" s="603"/>
      <c r="N323" s="602"/>
      <c r="V323" s="674"/>
      <c r="W323" s="675"/>
      <c r="Z323" s="537" t="s">
        <v>312</v>
      </c>
      <c r="AC323" s="675"/>
      <c r="AD323" s="680"/>
      <c r="AE323" s="675"/>
      <c r="AG323" s="675"/>
    </row>
    <row r="324" spans="1:33" s="536" customFormat="1" ht="12" x14ac:dyDescent="0.2">
      <c r="A324" s="605"/>
      <c r="B324" s="552" t="s">
        <v>186</v>
      </c>
      <c r="C324" s="1822" t="s">
        <v>344</v>
      </c>
      <c r="D324" s="1822"/>
      <c r="E324" s="1822"/>
      <c r="F324" s="562"/>
      <c r="G324" s="562"/>
      <c r="H324" s="562"/>
      <c r="I324" s="562"/>
      <c r="J324" s="604">
        <v>522.71</v>
      </c>
      <c r="K324" s="562" t="s">
        <v>313</v>
      </c>
      <c r="L324" s="604">
        <v>1323.11</v>
      </c>
      <c r="M324" s="603"/>
      <c r="N324" s="602"/>
      <c r="V324" s="674"/>
      <c r="W324" s="675"/>
      <c r="Z324" s="537" t="s">
        <v>344</v>
      </c>
      <c r="AC324" s="675"/>
      <c r="AD324" s="680"/>
      <c r="AE324" s="675"/>
      <c r="AG324" s="675"/>
    </row>
    <row r="325" spans="1:33" s="536" customFormat="1" ht="12" x14ac:dyDescent="0.2">
      <c r="A325" s="605"/>
      <c r="B325" s="552" t="s">
        <v>187</v>
      </c>
      <c r="C325" s="1822" t="s">
        <v>345</v>
      </c>
      <c r="D325" s="1822"/>
      <c r="E325" s="1822"/>
      <c r="F325" s="562"/>
      <c r="G325" s="562"/>
      <c r="H325" s="562"/>
      <c r="I325" s="562"/>
      <c r="J325" s="604">
        <v>61.98</v>
      </c>
      <c r="K325" s="562" t="s">
        <v>313</v>
      </c>
      <c r="L325" s="604">
        <v>156.88999999999999</v>
      </c>
      <c r="M325" s="603"/>
      <c r="N325" s="602"/>
      <c r="V325" s="674"/>
      <c r="W325" s="675"/>
      <c r="Z325" s="537" t="s">
        <v>345</v>
      </c>
      <c r="AC325" s="675"/>
      <c r="AD325" s="680"/>
      <c r="AE325" s="675"/>
      <c r="AG325" s="675"/>
    </row>
    <row r="326" spans="1:33" s="536" customFormat="1" ht="12" x14ac:dyDescent="0.2">
      <c r="A326" s="605"/>
      <c r="B326" s="552" t="s">
        <v>188</v>
      </c>
      <c r="C326" s="1822" t="s">
        <v>475</v>
      </c>
      <c r="D326" s="1822"/>
      <c r="E326" s="1822"/>
      <c r="F326" s="562"/>
      <c r="G326" s="562"/>
      <c r="H326" s="562"/>
      <c r="I326" s="562"/>
      <c r="J326" s="604">
        <v>19.03</v>
      </c>
      <c r="K326" s="562"/>
      <c r="L326" s="604">
        <v>38.54</v>
      </c>
      <c r="M326" s="603"/>
      <c r="N326" s="602"/>
      <c r="V326" s="674"/>
      <c r="W326" s="675"/>
      <c r="Z326" s="537" t="s">
        <v>475</v>
      </c>
      <c r="AC326" s="675"/>
      <c r="AD326" s="680"/>
      <c r="AE326" s="675"/>
      <c r="AG326" s="675"/>
    </row>
    <row r="327" spans="1:33" s="536" customFormat="1" ht="12" x14ac:dyDescent="0.2">
      <c r="A327" s="676"/>
      <c r="B327" s="677" t="s">
        <v>4519</v>
      </c>
      <c r="C327" s="1829" t="s">
        <v>4520</v>
      </c>
      <c r="D327" s="1829"/>
      <c r="E327" s="1829"/>
      <c r="F327" s="678" t="s">
        <v>483</v>
      </c>
      <c r="G327" s="678" t="s">
        <v>844</v>
      </c>
      <c r="H327" s="678"/>
      <c r="I327" s="678" t="s">
        <v>3938</v>
      </c>
      <c r="J327" s="552"/>
      <c r="K327" s="562"/>
      <c r="L327" s="604"/>
      <c r="M327" s="562"/>
      <c r="N327" s="679"/>
      <c r="V327" s="674"/>
      <c r="W327" s="675"/>
      <c r="AC327" s="675"/>
      <c r="AD327" s="680" t="s">
        <v>4520</v>
      </c>
      <c r="AE327" s="675"/>
      <c r="AG327" s="675"/>
    </row>
    <row r="328" spans="1:33" s="536" customFormat="1" ht="12" x14ac:dyDescent="0.2">
      <c r="A328" s="605"/>
      <c r="B328" s="552"/>
      <c r="C328" s="1822" t="s">
        <v>314</v>
      </c>
      <c r="D328" s="1822"/>
      <c r="E328" s="1822"/>
      <c r="F328" s="562" t="s">
        <v>315</v>
      </c>
      <c r="G328" s="562" t="s">
        <v>4532</v>
      </c>
      <c r="H328" s="562" t="s">
        <v>313</v>
      </c>
      <c r="I328" s="562" t="s">
        <v>4591</v>
      </c>
      <c r="J328" s="604"/>
      <c r="K328" s="562"/>
      <c r="L328" s="604"/>
      <c r="M328" s="603"/>
      <c r="N328" s="602"/>
      <c r="V328" s="674"/>
      <c r="W328" s="675"/>
      <c r="AA328" s="537" t="s">
        <v>314</v>
      </c>
      <c r="AC328" s="675"/>
      <c r="AD328" s="680"/>
      <c r="AE328" s="675"/>
      <c r="AG328" s="675"/>
    </row>
    <row r="329" spans="1:33" s="536" customFormat="1" ht="12" x14ac:dyDescent="0.2">
      <c r="A329" s="605"/>
      <c r="B329" s="552"/>
      <c r="C329" s="1822" t="s">
        <v>348</v>
      </c>
      <c r="D329" s="1822"/>
      <c r="E329" s="1822"/>
      <c r="F329" s="562" t="s">
        <v>315</v>
      </c>
      <c r="G329" s="562" t="s">
        <v>4157</v>
      </c>
      <c r="H329" s="562" t="s">
        <v>313</v>
      </c>
      <c r="I329" s="562" t="s">
        <v>4592</v>
      </c>
      <c r="J329" s="604"/>
      <c r="K329" s="562"/>
      <c r="L329" s="604"/>
      <c r="M329" s="603"/>
      <c r="N329" s="602"/>
      <c r="V329" s="674"/>
      <c r="W329" s="675"/>
      <c r="AA329" s="537" t="s">
        <v>348</v>
      </c>
      <c r="AC329" s="675"/>
      <c r="AD329" s="680"/>
      <c r="AE329" s="675"/>
      <c r="AG329" s="675"/>
    </row>
    <row r="330" spans="1:33" s="536" customFormat="1" ht="12" x14ac:dyDescent="0.2">
      <c r="A330" s="605"/>
      <c r="B330" s="552"/>
      <c r="C330" s="1828" t="s">
        <v>318</v>
      </c>
      <c r="D330" s="1828"/>
      <c r="E330" s="1828"/>
      <c r="F330" s="608"/>
      <c r="G330" s="608"/>
      <c r="H330" s="608"/>
      <c r="I330" s="608"/>
      <c r="J330" s="607">
        <v>814.2</v>
      </c>
      <c r="K330" s="608"/>
      <c r="L330" s="607">
        <v>2051.31</v>
      </c>
      <c r="M330" s="601"/>
      <c r="N330" s="606"/>
      <c r="V330" s="674"/>
      <c r="W330" s="675"/>
      <c r="AB330" s="537" t="s">
        <v>318</v>
      </c>
      <c r="AC330" s="675"/>
      <c r="AD330" s="680"/>
      <c r="AE330" s="675"/>
      <c r="AG330" s="675"/>
    </row>
    <row r="331" spans="1:33" s="536" customFormat="1" ht="12" x14ac:dyDescent="0.2">
      <c r="A331" s="605"/>
      <c r="B331" s="552"/>
      <c r="C331" s="1822" t="s">
        <v>319</v>
      </c>
      <c r="D331" s="1822"/>
      <c r="E331" s="1822"/>
      <c r="F331" s="562"/>
      <c r="G331" s="562"/>
      <c r="H331" s="562"/>
      <c r="I331" s="562"/>
      <c r="J331" s="604"/>
      <c r="K331" s="562"/>
      <c r="L331" s="604">
        <v>846.55</v>
      </c>
      <c r="M331" s="603"/>
      <c r="N331" s="602"/>
      <c r="V331" s="674"/>
      <c r="W331" s="675"/>
      <c r="AA331" s="537" t="s">
        <v>319</v>
      </c>
      <c r="AC331" s="675"/>
      <c r="AD331" s="680"/>
      <c r="AE331" s="675"/>
      <c r="AG331" s="675"/>
    </row>
    <row r="332" spans="1:33" s="536" customFormat="1" ht="33.75" x14ac:dyDescent="0.2">
      <c r="A332" s="605"/>
      <c r="B332" s="552" t="s">
        <v>533</v>
      </c>
      <c r="C332" s="1822" t="s">
        <v>534</v>
      </c>
      <c r="D332" s="1822"/>
      <c r="E332" s="1822"/>
      <c r="F332" s="562" t="s">
        <v>322</v>
      </c>
      <c r="G332" s="562" t="s">
        <v>535</v>
      </c>
      <c r="H332" s="562"/>
      <c r="I332" s="562" t="s">
        <v>535</v>
      </c>
      <c r="J332" s="604"/>
      <c r="K332" s="562"/>
      <c r="L332" s="604">
        <v>990.46</v>
      </c>
      <c r="M332" s="603"/>
      <c r="N332" s="602"/>
      <c r="V332" s="674"/>
      <c r="W332" s="675"/>
      <c r="AA332" s="537" t="s">
        <v>534</v>
      </c>
      <c r="AC332" s="675"/>
      <c r="AD332" s="680"/>
      <c r="AE332" s="675"/>
      <c r="AG332" s="675"/>
    </row>
    <row r="333" spans="1:33" s="536" customFormat="1" ht="33.75" x14ac:dyDescent="0.2">
      <c r="A333" s="605"/>
      <c r="B333" s="552" t="s">
        <v>536</v>
      </c>
      <c r="C333" s="1822" t="s">
        <v>537</v>
      </c>
      <c r="D333" s="1822"/>
      <c r="E333" s="1822"/>
      <c r="F333" s="562" t="s">
        <v>322</v>
      </c>
      <c r="G333" s="562" t="s">
        <v>538</v>
      </c>
      <c r="H333" s="562"/>
      <c r="I333" s="562" t="s">
        <v>538</v>
      </c>
      <c r="J333" s="604"/>
      <c r="K333" s="562"/>
      <c r="L333" s="604">
        <v>626.45000000000005</v>
      </c>
      <c r="M333" s="603"/>
      <c r="N333" s="602"/>
      <c r="V333" s="674"/>
      <c r="W333" s="675"/>
      <c r="AA333" s="537" t="s">
        <v>537</v>
      </c>
      <c r="AC333" s="675"/>
      <c r="AD333" s="680"/>
      <c r="AE333" s="675"/>
      <c r="AG333" s="675"/>
    </row>
    <row r="334" spans="1:33" s="536" customFormat="1" ht="12" x14ac:dyDescent="0.2">
      <c r="A334" s="569"/>
      <c r="B334" s="671"/>
      <c r="C334" s="1823" t="s">
        <v>327</v>
      </c>
      <c r="D334" s="1823"/>
      <c r="E334" s="1823"/>
      <c r="F334" s="573"/>
      <c r="G334" s="573"/>
      <c r="H334" s="573"/>
      <c r="I334" s="573"/>
      <c r="J334" s="572"/>
      <c r="K334" s="573"/>
      <c r="L334" s="572">
        <v>3668.22</v>
      </c>
      <c r="M334" s="601"/>
      <c r="N334" s="570"/>
      <c r="V334" s="674"/>
      <c r="W334" s="675"/>
      <c r="AC334" s="675" t="s">
        <v>327</v>
      </c>
      <c r="AD334" s="680"/>
      <c r="AE334" s="675"/>
      <c r="AG334" s="675"/>
    </row>
    <row r="335" spans="1:33" s="536" customFormat="1" ht="101.25" x14ac:dyDescent="0.2">
      <c r="A335" s="575" t="s">
        <v>765</v>
      </c>
      <c r="B335" s="670" t="s">
        <v>4533</v>
      </c>
      <c r="C335" s="1823" t="s">
        <v>4534</v>
      </c>
      <c r="D335" s="1823"/>
      <c r="E335" s="1823"/>
      <c r="F335" s="573" t="s">
        <v>483</v>
      </c>
      <c r="G335" s="573"/>
      <c r="H335" s="573"/>
      <c r="I335" s="573" t="s">
        <v>3938</v>
      </c>
      <c r="J335" s="572">
        <v>352.61</v>
      </c>
      <c r="K335" s="573"/>
      <c r="L335" s="572">
        <v>71403.53</v>
      </c>
      <c r="M335" s="571"/>
      <c r="N335" s="570"/>
      <c r="V335" s="674"/>
      <c r="W335" s="675" t="s">
        <v>4534</v>
      </c>
      <c r="AC335" s="675"/>
      <c r="AD335" s="680"/>
      <c r="AE335" s="675"/>
      <c r="AG335" s="675"/>
    </row>
    <row r="336" spans="1:33" s="536" customFormat="1" ht="12" x14ac:dyDescent="0.2">
      <c r="A336" s="569"/>
      <c r="B336" s="671"/>
      <c r="C336" s="665" t="s">
        <v>717</v>
      </c>
      <c r="D336" s="666"/>
      <c r="E336" s="666"/>
      <c r="F336" s="563"/>
      <c r="G336" s="563"/>
      <c r="H336" s="563"/>
      <c r="I336" s="563"/>
      <c r="J336" s="566"/>
      <c r="K336" s="563"/>
      <c r="L336" s="566"/>
      <c r="M336" s="565"/>
      <c r="N336" s="564"/>
      <c r="V336" s="674"/>
      <c r="W336" s="675"/>
      <c r="AC336" s="675"/>
      <c r="AD336" s="680"/>
      <c r="AE336" s="675"/>
      <c r="AG336" s="675"/>
    </row>
    <row r="337" spans="1:33" s="536" customFormat="1" ht="33.75" x14ac:dyDescent="0.2">
      <c r="A337" s="575" t="s">
        <v>505</v>
      </c>
      <c r="B337" s="670" t="s">
        <v>4593</v>
      </c>
      <c r="C337" s="1823" t="s">
        <v>4594</v>
      </c>
      <c r="D337" s="1823"/>
      <c r="E337" s="1823"/>
      <c r="F337" s="573" t="s">
        <v>1110</v>
      </c>
      <c r="G337" s="573"/>
      <c r="H337" s="573"/>
      <c r="I337" s="573" t="s">
        <v>4595</v>
      </c>
      <c r="J337" s="572"/>
      <c r="K337" s="573"/>
      <c r="L337" s="572"/>
      <c r="M337" s="571"/>
      <c r="N337" s="570"/>
      <c r="V337" s="674"/>
      <c r="W337" s="675" t="s">
        <v>4594</v>
      </c>
      <c r="AC337" s="675"/>
      <c r="AD337" s="680"/>
      <c r="AE337" s="675"/>
      <c r="AG337" s="675"/>
    </row>
    <row r="338" spans="1:33" s="536" customFormat="1" ht="12" x14ac:dyDescent="0.2">
      <c r="A338" s="676"/>
      <c r="B338" s="664"/>
      <c r="C338" s="1822" t="s">
        <v>4596</v>
      </c>
      <c r="D338" s="1822"/>
      <c r="E338" s="1822"/>
      <c r="F338" s="1822"/>
      <c r="G338" s="1822"/>
      <c r="H338" s="1822"/>
      <c r="I338" s="1822"/>
      <c r="J338" s="1822"/>
      <c r="K338" s="1822"/>
      <c r="L338" s="1822"/>
      <c r="M338" s="1822"/>
      <c r="N338" s="1827"/>
      <c r="V338" s="674"/>
      <c r="W338" s="675"/>
      <c r="X338" s="537" t="s">
        <v>4596</v>
      </c>
      <c r="AC338" s="675"/>
      <c r="AD338" s="680"/>
      <c r="AE338" s="675"/>
      <c r="AG338" s="675"/>
    </row>
    <row r="339" spans="1:33" s="536" customFormat="1" ht="22.5" x14ac:dyDescent="0.2">
      <c r="A339" s="609"/>
      <c r="B339" s="552" t="s">
        <v>499</v>
      </c>
      <c r="C339" s="1822" t="s">
        <v>500</v>
      </c>
      <c r="D339" s="1822"/>
      <c r="E339" s="1822"/>
      <c r="F339" s="1822"/>
      <c r="G339" s="1822"/>
      <c r="H339" s="1822"/>
      <c r="I339" s="1822"/>
      <c r="J339" s="1822"/>
      <c r="K339" s="1822"/>
      <c r="L339" s="1822"/>
      <c r="M339" s="1822"/>
      <c r="N339" s="1827"/>
      <c r="V339" s="674"/>
      <c r="W339" s="675"/>
      <c r="Y339" s="537" t="s">
        <v>500</v>
      </c>
      <c r="AC339" s="675"/>
      <c r="AD339" s="680"/>
      <c r="AE339" s="675"/>
      <c r="AG339" s="675"/>
    </row>
    <row r="340" spans="1:33" s="536" customFormat="1" ht="12" x14ac:dyDescent="0.2">
      <c r="A340" s="605"/>
      <c r="B340" s="552" t="s">
        <v>185</v>
      </c>
      <c r="C340" s="1822" t="s">
        <v>312</v>
      </c>
      <c r="D340" s="1822"/>
      <c r="E340" s="1822"/>
      <c r="F340" s="562"/>
      <c r="G340" s="562"/>
      <c r="H340" s="562"/>
      <c r="I340" s="562"/>
      <c r="J340" s="604">
        <v>318.55</v>
      </c>
      <c r="K340" s="562" t="s">
        <v>313</v>
      </c>
      <c r="L340" s="604">
        <v>539.54</v>
      </c>
      <c r="M340" s="603"/>
      <c r="N340" s="602"/>
      <c r="V340" s="674"/>
      <c r="W340" s="675"/>
      <c r="Z340" s="537" t="s">
        <v>312</v>
      </c>
      <c r="AC340" s="675"/>
      <c r="AD340" s="680"/>
      <c r="AE340" s="675"/>
      <c r="AG340" s="675"/>
    </row>
    <row r="341" spans="1:33" s="536" customFormat="1" ht="12" x14ac:dyDescent="0.2">
      <c r="A341" s="605"/>
      <c r="B341" s="552" t="s">
        <v>186</v>
      </c>
      <c r="C341" s="1822" t="s">
        <v>344</v>
      </c>
      <c r="D341" s="1822"/>
      <c r="E341" s="1822"/>
      <c r="F341" s="562"/>
      <c r="G341" s="562"/>
      <c r="H341" s="562"/>
      <c r="I341" s="562"/>
      <c r="J341" s="604">
        <v>621.36</v>
      </c>
      <c r="K341" s="562" t="s">
        <v>313</v>
      </c>
      <c r="L341" s="604">
        <v>1052.43</v>
      </c>
      <c r="M341" s="603"/>
      <c r="N341" s="602"/>
      <c r="V341" s="674"/>
      <c r="W341" s="675"/>
      <c r="Z341" s="537" t="s">
        <v>344</v>
      </c>
      <c r="AC341" s="675"/>
      <c r="AD341" s="680"/>
      <c r="AE341" s="675"/>
      <c r="AG341" s="675"/>
    </row>
    <row r="342" spans="1:33" s="536" customFormat="1" ht="12" x14ac:dyDescent="0.2">
      <c r="A342" s="605"/>
      <c r="B342" s="552" t="s">
        <v>187</v>
      </c>
      <c r="C342" s="1822" t="s">
        <v>345</v>
      </c>
      <c r="D342" s="1822"/>
      <c r="E342" s="1822"/>
      <c r="F342" s="562"/>
      <c r="G342" s="562"/>
      <c r="H342" s="562"/>
      <c r="I342" s="562"/>
      <c r="J342" s="604">
        <v>73.84</v>
      </c>
      <c r="K342" s="562" t="s">
        <v>313</v>
      </c>
      <c r="L342" s="604">
        <v>125.07</v>
      </c>
      <c r="M342" s="603"/>
      <c r="N342" s="602"/>
      <c r="V342" s="674"/>
      <c r="W342" s="675"/>
      <c r="Z342" s="537" t="s">
        <v>345</v>
      </c>
      <c r="AC342" s="675"/>
      <c r="AD342" s="680"/>
      <c r="AE342" s="675"/>
      <c r="AG342" s="675"/>
    </row>
    <row r="343" spans="1:33" s="536" customFormat="1" ht="12" x14ac:dyDescent="0.2">
      <c r="A343" s="605"/>
      <c r="B343" s="552" t="s">
        <v>188</v>
      </c>
      <c r="C343" s="1822" t="s">
        <v>475</v>
      </c>
      <c r="D343" s="1822"/>
      <c r="E343" s="1822"/>
      <c r="F343" s="562"/>
      <c r="G343" s="562"/>
      <c r="H343" s="562"/>
      <c r="I343" s="562"/>
      <c r="J343" s="604">
        <v>30.74</v>
      </c>
      <c r="K343" s="562"/>
      <c r="L343" s="604">
        <v>41.65</v>
      </c>
      <c r="M343" s="603"/>
      <c r="N343" s="602"/>
      <c r="V343" s="674"/>
      <c r="W343" s="675"/>
      <c r="Z343" s="537" t="s">
        <v>475</v>
      </c>
      <c r="AC343" s="675"/>
      <c r="AD343" s="680"/>
      <c r="AE343" s="675"/>
      <c r="AG343" s="675"/>
    </row>
    <row r="344" spans="1:33" s="536" customFormat="1" ht="12" x14ac:dyDescent="0.2">
      <c r="A344" s="676"/>
      <c r="B344" s="677" t="s">
        <v>4519</v>
      </c>
      <c r="C344" s="1829" t="s">
        <v>4520</v>
      </c>
      <c r="D344" s="1829"/>
      <c r="E344" s="1829"/>
      <c r="F344" s="678" t="s">
        <v>483</v>
      </c>
      <c r="G344" s="678" t="s">
        <v>844</v>
      </c>
      <c r="H344" s="678"/>
      <c r="I344" s="678" t="s">
        <v>4597</v>
      </c>
      <c r="J344" s="552"/>
      <c r="K344" s="562"/>
      <c r="L344" s="604"/>
      <c r="M344" s="562"/>
      <c r="N344" s="679"/>
      <c r="V344" s="674"/>
      <c r="W344" s="675"/>
      <c r="AC344" s="675"/>
      <c r="AD344" s="680" t="s">
        <v>4520</v>
      </c>
      <c r="AE344" s="675"/>
      <c r="AG344" s="675"/>
    </row>
    <row r="345" spans="1:33" s="536" customFormat="1" ht="12" x14ac:dyDescent="0.2">
      <c r="A345" s="605"/>
      <c r="B345" s="552"/>
      <c r="C345" s="1822" t="s">
        <v>314</v>
      </c>
      <c r="D345" s="1822"/>
      <c r="E345" s="1822"/>
      <c r="F345" s="562" t="s">
        <v>315</v>
      </c>
      <c r="G345" s="562" t="s">
        <v>4598</v>
      </c>
      <c r="H345" s="562" t="s">
        <v>313</v>
      </c>
      <c r="I345" s="562" t="s">
        <v>4599</v>
      </c>
      <c r="J345" s="604"/>
      <c r="K345" s="562"/>
      <c r="L345" s="604"/>
      <c r="M345" s="603"/>
      <c r="N345" s="602"/>
      <c r="V345" s="674"/>
      <c r="W345" s="675"/>
      <c r="AA345" s="537" t="s">
        <v>314</v>
      </c>
      <c r="AC345" s="675"/>
      <c r="AD345" s="680"/>
      <c r="AE345" s="675"/>
      <c r="AG345" s="675"/>
    </row>
    <row r="346" spans="1:33" s="536" customFormat="1" ht="12" x14ac:dyDescent="0.2">
      <c r="A346" s="605"/>
      <c r="B346" s="552"/>
      <c r="C346" s="1822" t="s">
        <v>348</v>
      </c>
      <c r="D346" s="1822"/>
      <c r="E346" s="1822"/>
      <c r="F346" s="562" t="s">
        <v>315</v>
      </c>
      <c r="G346" s="562" t="s">
        <v>4600</v>
      </c>
      <c r="H346" s="562" t="s">
        <v>313</v>
      </c>
      <c r="I346" s="562" t="s">
        <v>4601</v>
      </c>
      <c r="J346" s="604"/>
      <c r="K346" s="562"/>
      <c r="L346" s="604"/>
      <c r="M346" s="603"/>
      <c r="N346" s="602"/>
      <c r="V346" s="674"/>
      <c r="W346" s="675"/>
      <c r="AA346" s="537" t="s">
        <v>348</v>
      </c>
      <c r="AC346" s="675"/>
      <c r="AD346" s="680"/>
      <c r="AE346" s="675"/>
      <c r="AG346" s="675"/>
    </row>
    <row r="347" spans="1:33" s="536" customFormat="1" ht="12" x14ac:dyDescent="0.2">
      <c r="A347" s="605"/>
      <c r="B347" s="552"/>
      <c r="C347" s="1828" t="s">
        <v>318</v>
      </c>
      <c r="D347" s="1828"/>
      <c r="E347" s="1828"/>
      <c r="F347" s="608"/>
      <c r="G347" s="608"/>
      <c r="H347" s="608"/>
      <c r="I347" s="608"/>
      <c r="J347" s="607">
        <v>970.65</v>
      </c>
      <c r="K347" s="608"/>
      <c r="L347" s="607">
        <v>1633.62</v>
      </c>
      <c r="M347" s="601"/>
      <c r="N347" s="606"/>
      <c r="V347" s="674"/>
      <c r="W347" s="675"/>
      <c r="AB347" s="537" t="s">
        <v>318</v>
      </c>
      <c r="AC347" s="675"/>
      <c r="AD347" s="680"/>
      <c r="AE347" s="675"/>
      <c r="AG347" s="675"/>
    </row>
    <row r="348" spans="1:33" s="536" customFormat="1" ht="12" x14ac:dyDescent="0.2">
      <c r="A348" s="605"/>
      <c r="B348" s="552"/>
      <c r="C348" s="1822" t="s">
        <v>319</v>
      </c>
      <c r="D348" s="1822"/>
      <c r="E348" s="1822"/>
      <c r="F348" s="562"/>
      <c r="G348" s="562"/>
      <c r="H348" s="562"/>
      <c r="I348" s="562"/>
      <c r="J348" s="604"/>
      <c r="K348" s="562"/>
      <c r="L348" s="604">
        <v>664.61</v>
      </c>
      <c r="M348" s="603"/>
      <c r="N348" s="602"/>
      <c r="V348" s="674"/>
      <c r="W348" s="675"/>
      <c r="AA348" s="537" t="s">
        <v>319</v>
      </c>
      <c r="AC348" s="675"/>
      <c r="AD348" s="680"/>
      <c r="AE348" s="675"/>
      <c r="AG348" s="675"/>
    </row>
    <row r="349" spans="1:33" s="536" customFormat="1" ht="33.75" x14ac:dyDescent="0.2">
      <c r="A349" s="605"/>
      <c r="B349" s="552" t="s">
        <v>533</v>
      </c>
      <c r="C349" s="1822" t="s">
        <v>534</v>
      </c>
      <c r="D349" s="1822"/>
      <c r="E349" s="1822"/>
      <c r="F349" s="562" t="s">
        <v>322</v>
      </c>
      <c r="G349" s="562" t="s">
        <v>535</v>
      </c>
      <c r="H349" s="562"/>
      <c r="I349" s="562" t="s">
        <v>535</v>
      </c>
      <c r="J349" s="604"/>
      <c r="K349" s="562"/>
      <c r="L349" s="604">
        <v>777.59</v>
      </c>
      <c r="M349" s="603"/>
      <c r="N349" s="602"/>
      <c r="V349" s="674"/>
      <c r="W349" s="675"/>
      <c r="AA349" s="537" t="s">
        <v>534</v>
      </c>
      <c r="AC349" s="675"/>
      <c r="AD349" s="680"/>
      <c r="AE349" s="675"/>
      <c r="AG349" s="675"/>
    </row>
    <row r="350" spans="1:33" s="536" customFormat="1" ht="33.75" x14ac:dyDescent="0.2">
      <c r="A350" s="605"/>
      <c r="B350" s="552" t="s">
        <v>536</v>
      </c>
      <c r="C350" s="1822" t="s">
        <v>537</v>
      </c>
      <c r="D350" s="1822"/>
      <c r="E350" s="1822"/>
      <c r="F350" s="562" t="s">
        <v>322</v>
      </c>
      <c r="G350" s="562" t="s">
        <v>538</v>
      </c>
      <c r="H350" s="562"/>
      <c r="I350" s="562" t="s">
        <v>538</v>
      </c>
      <c r="J350" s="604"/>
      <c r="K350" s="562"/>
      <c r="L350" s="604">
        <v>491.81</v>
      </c>
      <c r="M350" s="603"/>
      <c r="N350" s="602"/>
      <c r="V350" s="674"/>
      <c r="W350" s="675"/>
      <c r="AA350" s="537" t="s">
        <v>537</v>
      </c>
      <c r="AC350" s="675"/>
      <c r="AD350" s="680"/>
      <c r="AE350" s="675"/>
      <c r="AG350" s="675"/>
    </row>
    <row r="351" spans="1:33" s="536" customFormat="1" ht="12" x14ac:dyDescent="0.2">
      <c r="A351" s="569"/>
      <c r="B351" s="671"/>
      <c r="C351" s="1823" t="s">
        <v>327</v>
      </c>
      <c r="D351" s="1823"/>
      <c r="E351" s="1823"/>
      <c r="F351" s="573"/>
      <c r="G351" s="573"/>
      <c r="H351" s="573"/>
      <c r="I351" s="573"/>
      <c r="J351" s="572"/>
      <c r="K351" s="573"/>
      <c r="L351" s="572">
        <v>2903.02</v>
      </c>
      <c r="M351" s="601"/>
      <c r="N351" s="570"/>
      <c r="V351" s="674"/>
      <c r="W351" s="675"/>
      <c r="AC351" s="675" t="s">
        <v>327</v>
      </c>
      <c r="AD351" s="680"/>
      <c r="AE351" s="675"/>
      <c r="AG351" s="675"/>
    </row>
    <row r="352" spans="1:33" s="536" customFormat="1" ht="101.25" x14ac:dyDescent="0.2">
      <c r="A352" s="575" t="s">
        <v>767</v>
      </c>
      <c r="B352" s="670" t="s">
        <v>4602</v>
      </c>
      <c r="C352" s="1823" t="s">
        <v>4603</v>
      </c>
      <c r="D352" s="1823"/>
      <c r="E352" s="1823"/>
      <c r="F352" s="573" t="s">
        <v>483</v>
      </c>
      <c r="G352" s="573"/>
      <c r="H352" s="573"/>
      <c r="I352" s="573" t="s">
        <v>4597</v>
      </c>
      <c r="J352" s="572">
        <v>563.38</v>
      </c>
      <c r="K352" s="573"/>
      <c r="L352" s="572">
        <v>76337.990000000005</v>
      </c>
      <c r="M352" s="571"/>
      <c r="N352" s="570"/>
      <c r="V352" s="674"/>
      <c r="W352" s="675" t="s">
        <v>4603</v>
      </c>
      <c r="AC352" s="675"/>
      <c r="AD352" s="680"/>
      <c r="AE352" s="675"/>
      <c r="AG352" s="675"/>
    </row>
    <row r="353" spans="1:33" s="536" customFormat="1" ht="12" x14ac:dyDescent="0.2">
      <c r="A353" s="569"/>
      <c r="B353" s="671"/>
      <c r="C353" s="665" t="s">
        <v>717</v>
      </c>
      <c r="D353" s="666"/>
      <c r="E353" s="666"/>
      <c r="F353" s="563"/>
      <c r="G353" s="563"/>
      <c r="H353" s="563"/>
      <c r="I353" s="563"/>
      <c r="J353" s="566"/>
      <c r="K353" s="563"/>
      <c r="L353" s="566"/>
      <c r="M353" s="565"/>
      <c r="N353" s="564"/>
      <c r="V353" s="674"/>
      <c r="W353" s="675"/>
      <c r="AC353" s="675"/>
      <c r="AD353" s="680"/>
      <c r="AE353" s="675"/>
      <c r="AG353" s="675"/>
    </row>
    <row r="354" spans="1:33" s="536" customFormat="1" ht="33.75" x14ac:dyDescent="0.2">
      <c r="A354" s="575" t="s">
        <v>768</v>
      </c>
      <c r="B354" s="670" t="s">
        <v>4604</v>
      </c>
      <c r="C354" s="1823" t="s">
        <v>4605</v>
      </c>
      <c r="D354" s="1823"/>
      <c r="E354" s="1823"/>
      <c r="F354" s="573" t="s">
        <v>519</v>
      </c>
      <c r="G354" s="573"/>
      <c r="H354" s="573"/>
      <c r="I354" s="573" t="s">
        <v>1265</v>
      </c>
      <c r="J354" s="572"/>
      <c r="K354" s="573"/>
      <c r="L354" s="572"/>
      <c r="M354" s="571"/>
      <c r="N354" s="570"/>
      <c r="V354" s="674"/>
      <c r="W354" s="675" t="s">
        <v>4605</v>
      </c>
      <c r="AC354" s="675"/>
      <c r="AD354" s="680"/>
      <c r="AE354" s="675"/>
      <c r="AG354" s="675"/>
    </row>
    <row r="355" spans="1:33" s="536" customFormat="1" ht="12" x14ac:dyDescent="0.2">
      <c r="A355" s="676"/>
      <c r="B355" s="664"/>
      <c r="C355" s="1822" t="s">
        <v>4606</v>
      </c>
      <c r="D355" s="1822"/>
      <c r="E355" s="1822"/>
      <c r="F355" s="1822"/>
      <c r="G355" s="1822"/>
      <c r="H355" s="1822"/>
      <c r="I355" s="1822"/>
      <c r="J355" s="1822"/>
      <c r="K355" s="1822"/>
      <c r="L355" s="1822"/>
      <c r="M355" s="1822"/>
      <c r="N355" s="1827"/>
      <c r="V355" s="674"/>
      <c r="W355" s="675"/>
      <c r="X355" s="537" t="s">
        <v>4606</v>
      </c>
      <c r="AC355" s="675"/>
      <c r="AD355" s="680"/>
      <c r="AE355" s="675"/>
      <c r="AG355" s="675"/>
    </row>
    <row r="356" spans="1:33" s="536" customFormat="1" ht="22.5" x14ac:dyDescent="0.2">
      <c r="A356" s="609"/>
      <c r="B356" s="552" t="s">
        <v>499</v>
      </c>
      <c r="C356" s="1822" t="s">
        <v>500</v>
      </c>
      <c r="D356" s="1822"/>
      <c r="E356" s="1822"/>
      <c r="F356" s="1822"/>
      <c r="G356" s="1822"/>
      <c r="H356" s="1822"/>
      <c r="I356" s="1822"/>
      <c r="J356" s="1822"/>
      <c r="K356" s="1822"/>
      <c r="L356" s="1822"/>
      <c r="M356" s="1822"/>
      <c r="N356" s="1827"/>
      <c r="V356" s="674"/>
      <c r="W356" s="675"/>
      <c r="Y356" s="537" t="s">
        <v>500</v>
      </c>
      <c r="AC356" s="675"/>
      <c r="AD356" s="680"/>
      <c r="AE356" s="675"/>
      <c r="AG356" s="675"/>
    </row>
    <row r="357" spans="1:33" s="536" customFormat="1" ht="12" x14ac:dyDescent="0.2">
      <c r="A357" s="605"/>
      <c r="B357" s="552" t="s">
        <v>185</v>
      </c>
      <c r="C357" s="1822" t="s">
        <v>312</v>
      </c>
      <c r="D357" s="1822"/>
      <c r="E357" s="1822"/>
      <c r="F357" s="562"/>
      <c r="G357" s="562"/>
      <c r="H357" s="562"/>
      <c r="I357" s="562"/>
      <c r="J357" s="604">
        <v>4449.6499999999996</v>
      </c>
      <c r="K357" s="562" t="s">
        <v>313</v>
      </c>
      <c r="L357" s="604">
        <v>1168.03</v>
      </c>
      <c r="M357" s="603"/>
      <c r="N357" s="602"/>
      <c r="V357" s="674"/>
      <c r="W357" s="675"/>
      <c r="Z357" s="537" t="s">
        <v>312</v>
      </c>
      <c r="AC357" s="675"/>
      <c r="AD357" s="680"/>
      <c r="AE357" s="675"/>
      <c r="AG357" s="675"/>
    </row>
    <row r="358" spans="1:33" s="536" customFormat="1" ht="12" x14ac:dyDescent="0.2">
      <c r="A358" s="605"/>
      <c r="B358" s="552" t="s">
        <v>186</v>
      </c>
      <c r="C358" s="1822" t="s">
        <v>344</v>
      </c>
      <c r="D358" s="1822"/>
      <c r="E358" s="1822"/>
      <c r="F358" s="562"/>
      <c r="G358" s="562"/>
      <c r="H358" s="562"/>
      <c r="I358" s="562"/>
      <c r="J358" s="604">
        <v>9357.99</v>
      </c>
      <c r="K358" s="562" t="s">
        <v>313</v>
      </c>
      <c r="L358" s="604">
        <v>2456.4699999999998</v>
      </c>
      <c r="M358" s="603"/>
      <c r="N358" s="602"/>
      <c r="V358" s="674"/>
      <c r="W358" s="675"/>
      <c r="Z358" s="537" t="s">
        <v>344</v>
      </c>
      <c r="AC358" s="675"/>
      <c r="AD358" s="680"/>
      <c r="AE358" s="675"/>
      <c r="AG358" s="675"/>
    </row>
    <row r="359" spans="1:33" s="536" customFormat="1" ht="12" x14ac:dyDescent="0.2">
      <c r="A359" s="605"/>
      <c r="B359" s="552" t="s">
        <v>187</v>
      </c>
      <c r="C359" s="1822" t="s">
        <v>345</v>
      </c>
      <c r="D359" s="1822"/>
      <c r="E359" s="1822"/>
      <c r="F359" s="562"/>
      <c r="G359" s="562"/>
      <c r="H359" s="562"/>
      <c r="I359" s="562"/>
      <c r="J359" s="604">
        <v>1094.75</v>
      </c>
      <c r="K359" s="562" t="s">
        <v>313</v>
      </c>
      <c r="L359" s="604">
        <v>287.37</v>
      </c>
      <c r="M359" s="603"/>
      <c r="N359" s="602"/>
      <c r="V359" s="674"/>
      <c r="W359" s="675"/>
      <c r="Z359" s="537" t="s">
        <v>345</v>
      </c>
      <c r="AC359" s="675"/>
      <c r="AD359" s="680"/>
      <c r="AE359" s="675"/>
      <c r="AG359" s="675"/>
    </row>
    <row r="360" spans="1:33" s="536" customFormat="1" ht="12" x14ac:dyDescent="0.2">
      <c r="A360" s="605"/>
      <c r="B360" s="552" t="s">
        <v>188</v>
      </c>
      <c r="C360" s="1822" t="s">
        <v>475</v>
      </c>
      <c r="D360" s="1822"/>
      <c r="E360" s="1822"/>
      <c r="F360" s="562"/>
      <c r="G360" s="562"/>
      <c r="H360" s="562"/>
      <c r="I360" s="562"/>
      <c r="J360" s="604">
        <v>693.88</v>
      </c>
      <c r="K360" s="562"/>
      <c r="L360" s="604">
        <v>145.71</v>
      </c>
      <c r="M360" s="603"/>
      <c r="N360" s="602"/>
      <c r="V360" s="674"/>
      <c r="W360" s="675"/>
      <c r="Z360" s="537" t="s">
        <v>475</v>
      </c>
      <c r="AC360" s="675"/>
      <c r="AD360" s="680"/>
      <c r="AE360" s="675"/>
      <c r="AG360" s="675"/>
    </row>
    <row r="361" spans="1:33" s="536" customFormat="1" ht="45" x14ac:dyDescent="0.2">
      <c r="A361" s="676"/>
      <c r="B361" s="677" t="s">
        <v>4607</v>
      </c>
      <c r="C361" s="1829" t="s">
        <v>4608</v>
      </c>
      <c r="D361" s="1829"/>
      <c r="E361" s="1829"/>
      <c r="F361" s="678" t="s">
        <v>483</v>
      </c>
      <c r="G361" s="678" t="s">
        <v>4609</v>
      </c>
      <c r="H361" s="678"/>
      <c r="I361" s="678" t="s">
        <v>4610</v>
      </c>
      <c r="J361" s="552"/>
      <c r="K361" s="562"/>
      <c r="L361" s="604"/>
      <c r="M361" s="562"/>
      <c r="N361" s="679"/>
      <c r="V361" s="674"/>
      <c r="W361" s="675"/>
      <c r="AC361" s="675"/>
      <c r="AD361" s="680" t="s">
        <v>4608</v>
      </c>
      <c r="AE361" s="675"/>
      <c r="AG361" s="675"/>
    </row>
    <row r="362" spans="1:33" s="536" customFormat="1" ht="22.5" x14ac:dyDescent="0.2">
      <c r="A362" s="605"/>
      <c r="B362" s="552"/>
      <c r="C362" s="1822" t="s">
        <v>314</v>
      </c>
      <c r="D362" s="1822"/>
      <c r="E362" s="1822"/>
      <c r="F362" s="562" t="s">
        <v>315</v>
      </c>
      <c r="G362" s="562" t="s">
        <v>4611</v>
      </c>
      <c r="H362" s="562" t="s">
        <v>313</v>
      </c>
      <c r="I362" s="562" t="s">
        <v>4612</v>
      </c>
      <c r="J362" s="604"/>
      <c r="K362" s="562"/>
      <c r="L362" s="604"/>
      <c r="M362" s="603"/>
      <c r="N362" s="602"/>
      <c r="V362" s="674"/>
      <c r="W362" s="675"/>
      <c r="AA362" s="537" t="s">
        <v>314</v>
      </c>
      <c r="AC362" s="675"/>
      <c r="AD362" s="680"/>
      <c r="AE362" s="675"/>
      <c r="AG362" s="675"/>
    </row>
    <row r="363" spans="1:33" s="536" customFormat="1" ht="12" x14ac:dyDescent="0.2">
      <c r="A363" s="605"/>
      <c r="B363" s="552"/>
      <c r="C363" s="1822" t="s">
        <v>348</v>
      </c>
      <c r="D363" s="1822"/>
      <c r="E363" s="1822"/>
      <c r="F363" s="562" t="s">
        <v>315</v>
      </c>
      <c r="G363" s="562" t="s">
        <v>4613</v>
      </c>
      <c r="H363" s="562" t="s">
        <v>313</v>
      </c>
      <c r="I363" s="562" t="s">
        <v>4614</v>
      </c>
      <c r="J363" s="604"/>
      <c r="K363" s="562"/>
      <c r="L363" s="604"/>
      <c r="M363" s="603"/>
      <c r="N363" s="602"/>
      <c r="V363" s="674"/>
      <c r="W363" s="675"/>
      <c r="AA363" s="537" t="s">
        <v>348</v>
      </c>
      <c r="AC363" s="675"/>
      <c r="AD363" s="680"/>
      <c r="AE363" s="675"/>
      <c r="AG363" s="675"/>
    </row>
    <row r="364" spans="1:33" s="536" customFormat="1" ht="12" x14ac:dyDescent="0.2">
      <c r="A364" s="605"/>
      <c r="B364" s="552"/>
      <c r="C364" s="1828" t="s">
        <v>318</v>
      </c>
      <c r="D364" s="1828"/>
      <c r="E364" s="1828"/>
      <c r="F364" s="608"/>
      <c r="G364" s="608"/>
      <c r="H364" s="608"/>
      <c r="I364" s="608"/>
      <c r="J364" s="607">
        <v>14501.52</v>
      </c>
      <c r="K364" s="608"/>
      <c r="L364" s="607">
        <v>3770.21</v>
      </c>
      <c r="M364" s="601"/>
      <c r="N364" s="606"/>
      <c r="V364" s="674"/>
      <c r="W364" s="675"/>
      <c r="AB364" s="537" t="s">
        <v>318</v>
      </c>
      <c r="AC364" s="675"/>
      <c r="AD364" s="680"/>
      <c r="AE364" s="675"/>
      <c r="AG364" s="675"/>
    </row>
    <row r="365" spans="1:33" s="536" customFormat="1" ht="12" x14ac:dyDescent="0.2">
      <c r="A365" s="605"/>
      <c r="B365" s="552"/>
      <c r="C365" s="1822" t="s">
        <v>319</v>
      </c>
      <c r="D365" s="1822"/>
      <c r="E365" s="1822"/>
      <c r="F365" s="562"/>
      <c r="G365" s="562"/>
      <c r="H365" s="562"/>
      <c r="I365" s="562"/>
      <c r="J365" s="604"/>
      <c r="K365" s="562"/>
      <c r="L365" s="604">
        <v>1455.4</v>
      </c>
      <c r="M365" s="603"/>
      <c r="N365" s="602"/>
      <c r="V365" s="674"/>
      <c r="W365" s="675"/>
      <c r="AA365" s="537" t="s">
        <v>319</v>
      </c>
      <c r="AC365" s="675"/>
      <c r="AD365" s="680"/>
      <c r="AE365" s="675"/>
      <c r="AG365" s="675"/>
    </row>
    <row r="366" spans="1:33" s="536" customFormat="1" ht="33.75" x14ac:dyDescent="0.2">
      <c r="A366" s="605"/>
      <c r="B366" s="552" t="s">
        <v>533</v>
      </c>
      <c r="C366" s="1822" t="s">
        <v>534</v>
      </c>
      <c r="D366" s="1822"/>
      <c r="E366" s="1822"/>
      <c r="F366" s="562" t="s">
        <v>322</v>
      </c>
      <c r="G366" s="562" t="s">
        <v>535</v>
      </c>
      <c r="H366" s="562"/>
      <c r="I366" s="562" t="s">
        <v>535</v>
      </c>
      <c r="J366" s="604"/>
      <c r="K366" s="562"/>
      <c r="L366" s="604">
        <v>1702.82</v>
      </c>
      <c r="M366" s="603"/>
      <c r="N366" s="602"/>
      <c r="V366" s="674"/>
      <c r="W366" s="675"/>
      <c r="AA366" s="537" t="s">
        <v>534</v>
      </c>
      <c r="AC366" s="675"/>
      <c r="AD366" s="680"/>
      <c r="AE366" s="675"/>
      <c r="AG366" s="675"/>
    </row>
    <row r="367" spans="1:33" s="536" customFormat="1" ht="33.75" x14ac:dyDescent="0.2">
      <c r="A367" s="605"/>
      <c r="B367" s="552" t="s">
        <v>536</v>
      </c>
      <c r="C367" s="1822" t="s">
        <v>537</v>
      </c>
      <c r="D367" s="1822"/>
      <c r="E367" s="1822"/>
      <c r="F367" s="562" t="s">
        <v>322</v>
      </c>
      <c r="G367" s="562" t="s">
        <v>538</v>
      </c>
      <c r="H367" s="562"/>
      <c r="I367" s="562" t="s">
        <v>538</v>
      </c>
      <c r="J367" s="604"/>
      <c r="K367" s="562"/>
      <c r="L367" s="604">
        <v>1077</v>
      </c>
      <c r="M367" s="603"/>
      <c r="N367" s="602"/>
      <c r="V367" s="674"/>
      <c r="W367" s="675"/>
      <c r="AA367" s="537" t="s">
        <v>537</v>
      </c>
      <c r="AC367" s="675"/>
      <c r="AD367" s="680"/>
      <c r="AE367" s="675"/>
      <c r="AG367" s="675"/>
    </row>
    <row r="368" spans="1:33" s="536" customFormat="1" ht="12" x14ac:dyDescent="0.2">
      <c r="A368" s="569"/>
      <c r="B368" s="671"/>
      <c r="C368" s="1823" t="s">
        <v>327</v>
      </c>
      <c r="D368" s="1823"/>
      <c r="E368" s="1823"/>
      <c r="F368" s="573"/>
      <c r="G368" s="573"/>
      <c r="H368" s="573"/>
      <c r="I368" s="573"/>
      <c r="J368" s="572"/>
      <c r="K368" s="573"/>
      <c r="L368" s="572">
        <v>6550.03</v>
      </c>
      <c r="M368" s="601"/>
      <c r="N368" s="570"/>
      <c r="V368" s="674"/>
      <c r="W368" s="675"/>
      <c r="AC368" s="675" t="s">
        <v>327</v>
      </c>
      <c r="AD368" s="680"/>
      <c r="AE368" s="675"/>
      <c r="AG368" s="675"/>
    </row>
    <row r="369" spans="1:33" s="536" customFormat="1" ht="101.25" x14ac:dyDescent="0.2">
      <c r="A369" s="575" t="s">
        <v>769</v>
      </c>
      <c r="B369" s="670" t="s">
        <v>4615</v>
      </c>
      <c r="C369" s="1823" t="s">
        <v>4616</v>
      </c>
      <c r="D369" s="1823"/>
      <c r="E369" s="1823"/>
      <c r="F369" s="573" t="s">
        <v>483</v>
      </c>
      <c r="G369" s="573"/>
      <c r="H369" s="573"/>
      <c r="I369" s="573" t="s">
        <v>4617</v>
      </c>
      <c r="J369" s="572">
        <v>1181.23</v>
      </c>
      <c r="K369" s="573"/>
      <c r="L369" s="572">
        <v>251483.87</v>
      </c>
      <c r="M369" s="571"/>
      <c r="N369" s="570"/>
      <c r="V369" s="674"/>
      <c r="W369" s="675" t="s">
        <v>4616</v>
      </c>
      <c r="AC369" s="675"/>
      <c r="AD369" s="680"/>
      <c r="AE369" s="675"/>
      <c r="AG369" s="675"/>
    </row>
    <row r="370" spans="1:33" s="536" customFormat="1" ht="12" x14ac:dyDescent="0.2">
      <c r="A370" s="569"/>
      <c r="B370" s="671"/>
      <c r="C370" s="665" t="s">
        <v>717</v>
      </c>
      <c r="D370" s="666"/>
      <c r="E370" s="666"/>
      <c r="F370" s="563"/>
      <c r="G370" s="563"/>
      <c r="H370" s="563"/>
      <c r="I370" s="563"/>
      <c r="J370" s="566"/>
      <c r="K370" s="563"/>
      <c r="L370" s="566"/>
      <c r="M370" s="565"/>
      <c r="N370" s="564"/>
      <c r="V370" s="674"/>
      <c r="W370" s="675"/>
      <c r="AC370" s="675"/>
      <c r="AD370" s="680"/>
      <c r="AE370" s="675"/>
      <c r="AG370" s="675"/>
    </row>
    <row r="371" spans="1:33" s="536" customFormat="1" ht="33.75" x14ac:dyDescent="0.2">
      <c r="A371" s="575" t="s">
        <v>770</v>
      </c>
      <c r="B371" s="670" t="s">
        <v>4618</v>
      </c>
      <c r="C371" s="1823" t="s">
        <v>4619</v>
      </c>
      <c r="D371" s="1823"/>
      <c r="E371" s="1823"/>
      <c r="F371" s="573" t="s">
        <v>519</v>
      </c>
      <c r="G371" s="573"/>
      <c r="H371" s="573"/>
      <c r="I371" s="573" t="s">
        <v>4620</v>
      </c>
      <c r="J371" s="572"/>
      <c r="K371" s="573"/>
      <c r="L371" s="572"/>
      <c r="M371" s="571"/>
      <c r="N371" s="570"/>
      <c r="V371" s="674"/>
      <c r="W371" s="675" t="s">
        <v>4619</v>
      </c>
      <c r="AC371" s="675"/>
      <c r="AD371" s="680"/>
      <c r="AE371" s="675"/>
      <c r="AG371" s="675"/>
    </row>
    <row r="372" spans="1:33" s="536" customFormat="1" ht="12" x14ac:dyDescent="0.2">
      <c r="A372" s="676"/>
      <c r="B372" s="664"/>
      <c r="C372" s="1822" t="s">
        <v>4621</v>
      </c>
      <c r="D372" s="1822"/>
      <c r="E372" s="1822"/>
      <c r="F372" s="1822"/>
      <c r="G372" s="1822"/>
      <c r="H372" s="1822"/>
      <c r="I372" s="1822"/>
      <c r="J372" s="1822"/>
      <c r="K372" s="1822"/>
      <c r="L372" s="1822"/>
      <c r="M372" s="1822"/>
      <c r="N372" s="1827"/>
      <c r="V372" s="674"/>
      <c r="W372" s="675"/>
      <c r="X372" s="537" t="s">
        <v>4621</v>
      </c>
      <c r="AC372" s="675"/>
      <c r="AD372" s="680"/>
      <c r="AE372" s="675"/>
      <c r="AG372" s="675"/>
    </row>
    <row r="373" spans="1:33" s="536" customFormat="1" ht="22.5" x14ac:dyDescent="0.2">
      <c r="A373" s="609"/>
      <c r="B373" s="552" t="s">
        <v>499</v>
      </c>
      <c r="C373" s="1822" t="s">
        <v>500</v>
      </c>
      <c r="D373" s="1822"/>
      <c r="E373" s="1822"/>
      <c r="F373" s="1822"/>
      <c r="G373" s="1822"/>
      <c r="H373" s="1822"/>
      <c r="I373" s="1822"/>
      <c r="J373" s="1822"/>
      <c r="K373" s="1822"/>
      <c r="L373" s="1822"/>
      <c r="M373" s="1822"/>
      <c r="N373" s="1827"/>
      <c r="V373" s="674"/>
      <c r="W373" s="675"/>
      <c r="Y373" s="537" t="s">
        <v>500</v>
      </c>
      <c r="AC373" s="675"/>
      <c r="AD373" s="680"/>
      <c r="AE373" s="675"/>
      <c r="AG373" s="675"/>
    </row>
    <row r="374" spans="1:33" s="536" customFormat="1" ht="12" x14ac:dyDescent="0.2">
      <c r="A374" s="605"/>
      <c r="B374" s="552" t="s">
        <v>185</v>
      </c>
      <c r="C374" s="1822" t="s">
        <v>312</v>
      </c>
      <c r="D374" s="1822"/>
      <c r="E374" s="1822"/>
      <c r="F374" s="562"/>
      <c r="G374" s="562"/>
      <c r="H374" s="562"/>
      <c r="I374" s="562"/>
      <c r="J374" s="604">
        <v>5577.58</v>
      </c>
      <c r="K374" s="562" t="s">
        <v>313</v>
      </c>
      <c r="L374" s="604">
        <v>2872.45</v>
      </c>
      <c r="M374" s="603"/>
      <c r="N374" s="602"/>
      <c r="V374" s="674"/>
      <c r="W374" s="675"/>
      <c r="Z374" s="537" t="s">
        <v>312</v>
      </c>
      <c r="AC374" s="675"/>
      <c r="AD374" s="680"/>
      <c r="AE374" s="675"/>
      <c r="AG374" s="675"/>
    </row>
    <row r="375" spans="1:33" s="536" customFormat="1" ht="12" x14ac:dyDescent="0.2">
      <c r="A375" s="605"/>
      <c r="B375" s="552" t="s">
        <v>186</v>
      </c>
      <c r="C375" s="1822" t="s">
        <v>344</v>
      </c>
      <c r="D375" s="1822"/>
      <c r="E375" s="1822"/>
      <c r="F375" s="562"/>
      <c r="G375" s="562"/>
      <c r="H375" s="562"/>
      <c r="I375" s="562"/>
      <c r="J375" s="604">
        <v>12148.82</v>
      </c>
      <c r="K375" s="562" t="s">
        <v>313</v>
      </c>
      <c r="L375" s="604">
        <v>6256.64</v>
      </c>
      <c r="M375" s="603"/>
      <c r="N375" s="602"/>
      <c r="V375" s="674"/>
      <c r="W375" s="675"/>
      <c r="Z375" s="537" t="s">
        <v>344</v>
      </c>
      <c r="AC375" s="675"/>
      <c r="AD375" s="680"/>
      <c r="AE375" s="675"/>
      <c r="AG375" s="675"/>
    </row>
    <row r="376" spans="1:33" s="536" customFormat="1" ht="12" x14ac:dyDescent="0.2">
      <c r="A376" s="605"/>
      <c r="B376" s="552" t="s">
        <v>187</v>
      </c>
      <c r="C376" s="1822" t="s">
        <v>345</v>
      </c>
      <c r="D376" s="1822"/>
      <c r="E376" s="1822"/>
      <c r="F376" s="562"/>
      <c r="G376" s="562"/>
      <c r="H376" s="562"/>
      <c r="I376" s="562"/>
      <c r="J376" s="604">
        <v>1421.27</v>
      </c>
      <c r="K376" s="562" t="s">
        <v>313</v>
      </c>
      <c r="L376" s="604">
        <v>731.95</v>
      </c>
      <c r="M376" s="603"/>
      <c r="N376" s="602"/>
      <c r="V376" s="674"/>
      <c r="W376" s="675"/>
      <c r="Z376" s="537" t="s">
        <v>345</v>
      </c>
      <c r="AC376" s="675"/>
      <c r="AD376" s="680"/>
      <c r="AE376" s="675"/>
      <c r="AG376" s="675"/>
    </row>
    <row r="377" spans="1:33" s="536" customFormat="1" ht="12" x14ac:dyDescent="0.2">
      <c r="A377" s="605"/>
      <c r="B377" s="552" t="s">
        <v>188</v>
      </c>
      <c r="C377" s="1822" t="s">
        <v>475</v>
      </c>
      <c r="D377" s="1822"/>
      <c r="E377" s="1822"/>
      <c r="F377" s="562"/>
      <c r="G377" s="562"/>
      <c r="H377" s="562"/>
      <c r="I377" s="562"/>
      <c r="J377" s="604">
        <v>1236.08</v>
      </c>
      <c r="K377" s="562"/>
      <c r="L377" s="604">
        <v>509.26</v>
      </c>
      <c r="M377" s="603"/>
      <c r="N377" s="602"/>
      <c r="V377" s="674"/>
      <c r="W377" s="675"/>
      <c r="Z377" s="537" t="s">
        <v>475</v>
      </c>
      <c r="AC377" s="675"/>
      <c r="AD377" s="680"/>
      <c r="AE377" s="675"/>
      <c r="AG377" s="675"/>
    </row>
    <row r="378" spans="1:33" s="536" customFormat="1" ht="45" x14ac:dyDescent="0.2">
      <c r="A378" s="676"/>
      <c r="B378" s="677" t="s">
        <v>4607</v>
      </c>
      <c r="C378" s="1829" t="s">
        <v>4608</v>
      </c>
      <c r="D378" s="1829"/>
      <c r="E378" s="1829"/>
      <c r="F378" s="678" t="s">
        <v>483</v>
      </c>
      <c r="G378" s="678" t="s">
        <v>4622</v>
      </c>
      <c r="H378" s="678"/>
      <c r="I378" s="678" t="s">
        <v>4623</v>
      </c>
      <c r="J378" s="552"/>
      <c r="K378" s="562"/>
      <c r="L378" s="604"/>
      <c r="M378" s="562"/>
      <c r="N378" s="679"/>
      <c r="V378" s="674"/>
      <c r="W378" s="675"/>
      <c r="AC378" s="675"/>
      <c r="AD378" s="680" t="s">
        <v>4608</v>
      </c>
      <c r="AE378" s="675"/>
      <c r="AG378" s="675"/>
    </row>
    <row r="379" spans="1:33" s="536" customFormat="1" ht="12" x14ac:dyDescent="0.2">
      <c r="A379" s="605"/>
      <c r="B379" s="552"/>
      <c r="C379" s="1822" t="s">
        <v>314</v>
      </c>
      <c r="D379" s="1822"/>
      <c r="E379" s="1822"/>
      <c r="F379" s="562" t="s">
        <v>315</v>
      </c>
      <c r="G379" s="562" t="s">
        <v>4624</v>
      </c>
      <c r="H379" s="562" t="s">
        <v>313</v>
      </c>
      <c r="I379" s="562" t="s">
        <v>4625</v>
      </c>
      <c r="J379" s="604"/>
      <c r="K379" s="562"/>
      <c r="L379" s="604"/>
      <c r="M379" s="603"/>
      <c r="N379" s="602"/>
      <c r="V379" s="674"/>
      <c r="W379" s="675"/>
      <c r="AA379" s="537" t="s">
        <v>314</v>
      </c>
      <c r="AC379" s="675"/>
      <c r="AD379" s="680"/>
      <c r="AE379" s="675"/>
      <c r="AG379" s="675"/>
    </row>
    <row r="380" spans="1:33" s="536" customFormat="1" ht="12" x14ac:dyDescent="0.2">
      <c r="A380" s="605"/>
      <c r="B380" s="552"/>
      <c r="C380" s="1822" t="s">
        <v>348</v>
      </c>
      <c r="D380" s="1822"/>
      <c r="E380" s="1822"/>
      <c r="F380" s="562" t="s">
        <v>315</v>
      </c>
      <c r="G380" s="562" t="s">
        <v>4626</v>
      </c>
      <c r="H380" s="562" t="s">
        <v>313</v>
      </c>
      <c r="I380" s="562" t="s">
        <v>4627</v>
      </c>
      <c r="J380" s="604"/>
      <c r="K380" s="562"/>
      <c r="L380" s="604"/>
      <c r="M380" s="603"/>
      <c r="N380" s="602"/>
      <c r="V380" s="674"/>
      <c r="W380" s="675"/>
      <c r="AA380" s="537" t="s">
        <v>348</v>
      </c>
      <c r="AC380" s="675"/>
      <c r="AD380" s="680"/>
      <c r="AE380" s="675"/>
      <c r="AG380" s="675"/>
    </row>
    <row r="381" spans="1:33" s="536" customFormat="1" ht="12" x14ac:dyDescent="0.2">
      <c r="A381" s="605"/>
      <c r="B381" s="552"/>
      <c r="C381" s="1828" t="s">
        <v>318</v>
      </c>
      <c r="D381" s="1828"/>
      <c r="E381" s="1828"/>
      <c r="F381" s="608"/>
      <c r="G381" s="608"/>
      <c r="H381" s="608"/>
      <c r="I381" s="608"/>
      <c r="J381" s="607">
        <v>18962.48</v>
      </c>
      <c r="K381" s="608"/>
      <c r="L381" s="607">
        <v>9638.35</v>
      </c>
      <c r="M381" s="601"/>
      <c r="N381" s="606"/>
      <c r="V381" s="674"/>
      <c r="W381" s="675"/>
      <c r="AB381" s="537" t="s">
        <v>318</v>
      </c>
      <c r="AC381" s="675"/>
      <c r="AD381" s="680"/>
      <c r="AE381" s="675"/>
      <c r="AG381" s="675"/>
    </row>
    <row r="382" spans="1:33" s="536" customFormat="1" ht="12" x14ac:dyDescent="0.2">
      <c r="A382" s="605"/>
      <c r="B382" s="552"/>
      <c r="C382" s="1822" t="s">
        <v>319</v>
      </c>
      <c r="D382" s="1822"/>
      <c r="E382" s="1822"/>
      <c r="F382" s="562"/>
      <c r="G382" s="562"/>
      <c r="H382" s="562"/>
      <c r="I382" s="562"/>
      <c r="J382" s="604"/>
      <c r="K382" s="562"/>
      <c r="L382" s="604">
        <v>3604.4</v>
      </c>
      <c r="M382" s="603"/>
      <c r="N382" s="602"/>
      <c r="V382" s="674"/>
      <c r="W382" s="675"/>
      <c r="AA382" s="537" t="s">
        <v>319</v>
      </c>
      <c r="AC382" s="675"/>
      <c r="AD382" s="680"/>
      <c r="AE382" s="675"/>
      <c r="AG382" s="675"/>
    </row>
    <row r="383" spans="1:33" s="536" customFormat="1" ht="33.75" x14ac:dyDescent="0.2">
      <c r="A383" s="605"/>
      <c r="B383" s="552" t="s">
        <v>533</v>
      </c>
      <c r="C383" s="1822" t="s">
        <v>534</v>
      </c>
      <c r="D383" s="1822"/>
      <c r="E383" s="1822"/>
      <c r="F383" s="562" t="s">
        <v>322</v>
      </c>
      <c r="G383" s="562" t="s">
        <v>535</v>
      </c>
      <c r="H383" s="562"/>
      <c r="I383" s="562" t="s">
        <v>535</v>
      </c>
      <c r="J383" s="604"/>
      <c r="K383" s="562"/>
      <c r="L383" s="604">
        <v>4217.1499999999996</v>
      </c>
      <c r="M383" s="603"/>
      <c r="N383" s="602"/>
      <c r="V383" s="674"/>
      <c r="W383" s="675"/>
      <c r="AA383" s="537" t="s">
        <v>534</v>
      </c>
      <c r="AC383" s="675"/>
      <c r="AD383" s="680"/>
      <c r="AE383" s="675"/>
      <c r="AG383" s="675"/>
    </row>
    <row r="384" spans="1:33" s="536" customFormat="1" ht="33.75" x14ac:dyDescent="0.2">
      <c r="A384" s="605"/>
      <c r="B384" s="552" t="s">
        <v>536</v>
      </c>
      <c r="C384" s="1822" t="s">
        <v>537</v>
      </c>
      <c r="D384" s="1822"/>
      <c r="E384" s="1822"/>
      <c r="F384" s="562" t="s">
        <v>322</v>
      </c>
      <c r="G384" s="562" t="s">
        <v>538</v>
      </c>
      <c r="H384" s="562"/>
      <c r="I384" s="562" t="s">
        <v>538</v>
      </c>
      <c r="J384" s="604"/>
      <c r="K384" s="562"/>
      <c r="L384" s="604">
        <v>2667.26</v>
      </c>
      <c r="M384" s="603"/>
      <c r="N384" s="602"/>
      <c r="V384" s="674"/>
      <c r="W384" s="675"/>
      <c r="AA384" s="537" t="s">
        <v>537</v>
      </c>
      <c r="AC384" s="675"/>
      <c r="AD384" s="680"/>
      <c r="AE384" s="675"/>
      <c r="AG384" s="675"/>
    </row>
    <row r="385" spans="1:33" s="536" customFormat="1" ht="12" x14ac:dyDescent="0.2">
      <c r="A385" s="569"/>
      <c r="B385" s="671"/>
      <c r="C385" s="1823" t="s">
        <v>327</v>
      </c>
      <c r="D385" s="1823"/>
      <c r="E385" s="1823"/>
      <c r="F385" s="573"/>
      <c r="G385" s="573"/>
      <c r="H385" s="573"/>
      <c r="I385" s="573"/>
      <c r="J385" s="572"/>
      <c r="K385" s="573"/>
      <c r="L385" s="572">
        <v>16522.759999999998</v>
      </c>
      <c r="M385" s="601"/>
      <c r="N385" s="570"/>
      <c r="V385" s="674"/>
      <c r="W385" s="675"/>
      <c r="AC385" s="675" t="s">
        <v>327</v>
      </c>
      <c r="AD385" s="680"/>
      <c r="AE385" s="675"/>
      <c r="AG385" s="675"/>
    </row>
    <row r="386" spans="1:33" s="536" customFormat="1" ht="101.25" x14ac:dyDescent="0.2">
      <c r="A386" s="575" t="s">
        <v>771</v>
      </c>
      <c r="B386" s="670" t="s">
        <v>4628</v>
      </c>
      <c r="C386" s="1823" t="s">
        <v>4629</v>
      </c>
      <c r="D386" s="1823"/>
      <c r="E386" s="1823"/>
      <c r="F386" s="573" t="s">
        <v>483</v>
      </c>
      <c r="G386" s="573"/>
      <c r="H386" s="573"/>
      <c r="I386" s="573" t="s">
        <v>4630</v>
      </c>
      <c r="J386" s="572">
        <v>2084.2600000000002</v>
      </c>
      <c r="K386" s="573"/>
      <c r="L386" s="572">
        <v>878932.44</v>
      </c>
      <c r="M386" s="571"/>
      <c r="N386" s="570"/>
      <c r="V386" s="674"/>
      <c r="W386" s="675" t="s">
        <v>4629</v>
      </c>
      <c r="AC386" s="675"/>
      <c r="AD386" s="680"/>
      <c r="AE386" s="675"/>
      <c r="AG386" s="675"/>
    </row>
    <row r="387" spans="1:33" s="536" customFormat="1" ht="12" x14ac:dyDescent="0.2">
      <c r="A387" s="569"/>
      <c r="B387" s="671"/>
      <c r="C387" s="665" t="s">
        <v>717</v>
      </c>
      <c r="D387" s="666"/>
      <c r="E387" s="666"/>
      <c r="F387" s="563"/>
      <c r="G387" s="563"/>
      <c r="H387" s="563"/>
      <c r="I387" s="563"/>
      <c r="J387" s="566"/>
      <c r="K387" s="563"/>
      <c r="L387" s="566"/>
      <c r="M387" s="565"/>
      <c r="N387" s="564"/>
      <c r="V387" s="674"/>
      <c r="W387" s="675"/>
      <c r="AC387" s="675"/>
      <c r="AD387" s="680"/>
      <c r="AE387" s="675"/>
      <c r="AG387" s="675"/>
    </row>
    <row r="388" spans="1:33" s="536" customFormat="1" ht="33.75" x14ac:dyDescent="0.2">
      <c r="A388" s="575" t="s">
        <v>772</v>
      </c>
      <c r="B388" s="670" t="s">
        <v>4631</v>
      </c>
      <c r="C388" s="1823" t="s">
        <v>4632</v>
      </c>
      <c r="D388" s="1823"/>
      <c r="E388" s="1823"/>
      <c r="F388" s="573" t="s">
        <v>1110</v>
      </c>
      <c r="G388" s="573"/>
      <c r="H388" s="573"/>
      <c r="I388" s="573" t="s">
        <v>4633</v>
      </c>
      <c r="J388" s="572"/>
      <c r="K388" s="573"/>
      <c r="L388" s="572"/>
      <c r="M388" s="571"/>
      <c r="N388" s="570"/>
      <c r="V388" s="674"/>
      <c r="W388" s="675" t="s">
        <v>4632</v>
      </c>
      <c r="AC388" s="675"/>
      <c r="AD388" s="680"/>
      <c r="AE388" s="675"/>
      <c r="AG388" s="675"/>
    </row>
    <row r="389" spans="1:33" s="536" customFormat="1" ht="12" x14ac:dyDescent="0.2">
      <c r="A389" s="676"/>
      <c r="B389" s="664"/>
      <c r="C389" s="1822" t="s">
        <v>4634</v>
      </c>
      <c r="D389" s="1822"/>
      <c r="E389" s="1822"/>
      <c r="F389" s="1822"/>
      <c r="G389" s="1822"/>
      <c r="H389" s="1822"/>
      <c r="I389" s="1822"/>
      <c r="J389" s="1822"/>
      <c r="K389" s="1822"/>
      <c r="L389" s="1822"/>
      <c r="M389" s="1822"/>
      <c r="N389" s="1827"/>
      <c r="V389" s="674"/>
      <c r="W389" s="675"/>
      <c r="X389" s="537" t="s">
        <v>4634</v>
      </c>
      <c r="AC389" s="675"/>
      <c r="AD389" s="680"/>
      <c r="AE389" s="675"/>
      <c r="AG389" s="675"/>
    </row>
    <row r="390" spans="1:33" s="536" customFormat="1" ht="22.5" x14ac:dyDescent="0.2">
      <c r="A390" s="609"/>
      <c r="B390" s="552" t="s">
        <v>499</v>
      </c>
      <c r="C390" s="1822" t="s">
        <v>500</v>
      </c>
      <c r="D390" s="1822"/>
      <c r="E390" s="1822"/>
      <c r="F390" s="1822"/>
      <c r="G390" s="1822"/>
      <c r="H390" s="1822"/>
      <c r="I390" s="1822"/>
      <c r="J390" s="1822"/>
      <c r="K390" s="1822"/>
      <c r="L390" s="1822"/>
      <c r="M390" s="1822"/>
      <c r="N390" s="1827"/>
      <c r="V390" s="674"/>
      <c r="W390" s="675"/>
      <c r="Y390" s="537" t="s">
        <v>500</v>
      </c>
      <c r="AC390" s="675"/>
      <c r="AD390" s="680"/>
      <c r="AE390" s="675"/>
      <c r="AG390" s="675"/>
    </row>
    <row r="391" spans="1:33" s="536" customFormat="1" ht="12" x14ac:dyDescent="0.2">
      <c r="A391" s="605"/>
      <c r="B391" s="552" t="s">
        <v>185</v>
      </c>
      <c r="C391" s="1822" t="s">
        <v>312</v>
      </c>
      <c r="D391" s="1822"/>
      <c r="E391" s="1822"/>
      <c r="F391" s="562"/>
      <c r="G391" s="562"/>
      <c r="H391" s="562"/>
      <c r="I391" s="562"/>
      <c r="J391" s="604">
        <v>245.25</v>
      </c>
      <c r="K391" s="562" t="s">
        <v>313</v>
      </c>
      <c r="L391" s="604">
        <v>72.040000000000006</v>
      </c>
      <c r="M391" s="603"/>
      <c r="N391" s="602"/>
      <c r="V391" s="674"/>
      <c r="W391" s="675"/>
      <c r="Z391" s="537" t="s">
        <v>312</v>
      </c>
      <c r="AC391" s="675"/>
      <c r="AD391" s="680"/>
      <c r="AE391" s="675"/>
      <c r="AG391" s="675"/>
    </row>
    <row r="392" spans="1:33" s="536" customFormat="1" ht="12" x14ac:dyDescent="0.2">
      <c r="A392" s="605"/>
      <c r="B392" s="552" t="s">
        <v>186</v>
      </c>
      <c r="C392" s="1822" t="s">
        <v>344</v>
      </c>
      <c r="D392" s="1822"/>
      <c r="E392" s="1822"/>
      <c r="F392" s="562"/>
      <c r="G392" s="562"/>
      <c r="H392" s="562"/>
      <c r="I392" s="562"/>
      <c r="J392" s="604">
        <v>872.74</v>
      </c>
      <c r="K392" s="562" t="s">
        <v>313</v>
      </c>
      <c r="L392" s="604">
        <v>256.37</v>
      </c>
      <c r="M392" s="603"/>
      <c r="N392" s="602"/>
      <c r="V392" s="674"/>
      <c r="W392" s="675"/>
      <c r="Z392" s="537" t="s">
        <v>344</v>
      </c>
      <c r="AC392" s="675"/>
      <c r="AD392" s="680"/>
      <c r="AE392" s="675"/>
      <c r="AG392" s="675"/>
    </row>
    <row r="393" spans="1:33" s="536" customFormat="1" ht="12" x14ac:dyDescent="0.2">
      <c r="A393" s="605"/>
      <c r="B393" s="552" t="s">
        <v>187</v>
      </c>
      <c r="C393" s="1822" t="s">
        <v>345</v>
      </c>
      <c r="D393" s="1822"/>
      <c r="E393" s="1822"/>
      <c r="F393" s="562"/>
      <c r="G393" s="562"/>
      <c r="H393" s="562"/>
      <c r="I393" s="562"/>
      <c r="J393" s="604">
        <v>105.89</v>
      </c>
      <c r="K393" s="562" t="s">
        <v>313</v>
      </c>
      <c r="L393" s="604">
        <v>31.11</v>
      </c>
      <c r="M393" s="603"/>
      <c r="N393" s="602"/>
      <c r="V393" s="674"/>
      <c r="W393" s="675"/>
      <c r="Z393" s="537" t="s">
        <v>345</v>
      </c>
      <c r="AC393" s="675"/>
      <c r="AD393" s="680"/>
      <c r="AE393" s="675"/>
      <c r="AG393" s="675"/>
    </row>
    <row r="394" spans="1:33" s="536" customFormat="1" ht="12" x14ac:dyDescent="0.2">
      <c r="A394" s="605"/>
      <c r="B394" s="552" t="s">
        <v>188</v>
      </c>
      <c r="C394" s="1822" t="s">
        <v>475</v>
      </c>
      <c r="D394" s="1822"/>
      <c r="E394" s="1822"/>
      <c r="F394" s="562"/>
      <c r="G394" s="562"/>
      <c r="H394" s="562"/>
      <c r="I394" s="562"/>
      <c r="J394" s="604">
        <v>2.29</v>
      </c>
      <c r="K394" s="562"/>
      <c r="L394" s="604">
        <v>0.54</v>
      </c>
      <c r="M394" s="603"/>
      <c r="N394" s="602"/>
      <c r="V394" s="674"/>
      <c r="W394" s="675"/>
      <c r="Z394" s="537" t="s">
        <v>475</v>
      </c>
      <c r="AC394" s="675"/>
      <c r="AD394" s="680"/>
      <c r="AE394" s="675"/>
      <c r="AG394" s="675"/>
    </row>
    <row r="395" spans="1:33" s="536" customFormat="1" ht="12" x14ac:dyDescent="0.2">
      <c r="A395" s="676"/>
      <c r="B395" s="677" t="s">
        <v>2458</v>
      </c>
      <c r="C395" s="1829" t="s">
        <v>4635</v>
      </c>
      <c r="D395" s="1829"/>
      <c r="E395" s="1829"/>
      <c r="F395" s="678" t="s">
        <v>483</v>
      </c>
      <c r="G395" s="678" t="s">
        <v>4636</v>
      </c>
      <c r="H395" s="678"/>
      <c r="I395" s="678" t="s">
        <v>4637</v>
      </c>
      <c r="J395" s="552"/>
      <c r="K395" s="562"/>
      <c r="L395" s="604"/>
      <c r="M395" s="562"/>
      <c r="N395" s="679"/>
      <c r="V395" s="674"/>
      <c r="W395" s="675"/>
      <c r="AC395" s="675"/>
      <c r="AD395" s="680" t="s">
        <v>4635</v>
      </c>
      <c r="AE395" s="675"/>
      <c r="AG395" s="675"/>
    </row>
    <row r="396" spans="1:33" s="536" customFormat="1" ht="12" x14ac:dyDescent="0.2">
      <c r="A396" s="605"/>
      <c r="B396" s="552"/>
      <c r="C396" s="1822" t="s">
        <v>314</v>
      </c>
      <c r="D396" s="1822"/>
      <c r="E396" s="1822"/>
      <c r="F396" s="562" t="s">
        <v>315</v>
      </c>
      <c r="G396" s="562" t="s">
        <v>4638</v>
      </c>
      <c r="H396" s="562" t="s">
        <v>313</v>
      </c>
      <c r="I396" s="562" t="s">
        <v>4639</v>
      </c>
      <c r="J396" s="604"/>
      <c r="K396" s="562"/>
      <c r="L396" s="604"/>
      <c r="M396" s="603"/>
      <c r="N396" s="602"/>
      <c r="V396" s="674"/>
      <c r="W396" s="675"/>
      <c r="AA396" s="537" t="s">
        <v>314</v>
      </c>
      <c r="AC396" s="675"/>
      <c r="AD396" s="680"/>
      <c r="AE396" s="675"/>
      <c r="AG396" s="675"/>
    </row>
    <row r="397" spans="1:33" s="536" customFormat="1" ht="12" x14ac:dyDescent="0.2">
      <c r="A397" s="605"/>
      <c r="B397" s="552"/>
      <c r="C397" s="1822" t="s">
        <v>348</v>
      </c>
      <c r="D397" s="1822"/>
      <c r="E397" s="1822"/>
      <c r="F397" s="562" t="s">
        <v>315</v>
      </c>
      <c r="G397" s="562" t="s">
        <v>4640</v>
      </c>
      <c r="H397" s="562" t="s">
        <v>313</v>
      </c>
      <c r="I397" s="562" t="s">
        <v>4641</v>
      </c>
      <c r="J397" s="604"/>
      <c r="K397" s="562"/>
      <c r="L397" s="604"/>
      <c r="M397" s="603"/>
      <c r="N397" s="602"/>
      <c r="V397" s="674"/>
      <c r="W397" s="675"/>
      <c r="AA397" s="537" t="s">
        <v>348</v>
      </c>
      <c r="AC397" s="675"/>
      <c r="AD397" s="680"/>
      <c r="AE397" s="675"/>
      <c r="AG397" s="675"/>
    </row>
    <row r="398" spans="1:33" s="536" customFormat="1" ht="12" x14ac:dyDescent="0.2">
      <c r="A398" s="605"/>
      <c r="B398" s="552"/>
      <c r="C398" s="1828" t="s">
        <v>318</v>
      </c>
      <c r="D398" s="1828"/>
      <c r="E398" s="1828"/>
      <c r="F398" s="608"/>
      <c r="G398" s="608"/>
      <c r="H398" s="608"/>
      <c r="I398" s="608"/>
      <c r="J398" s="607">
        <v>1120.28</v>
      </c>
      <c r="K398" s="608"/>
      <c r="L398" s="607">
        <v>328.95</v>
      </c>
      <c r="M398" s="601"/>
      <c r="N398" s="606"/>
      <c r="V398" s="674"/>
      <c r="W398" s="675"/>
      <c r="AB398" s="537" t="s">
        <v>318</v>
      </c>
      <c r="AC398" s="675"/>
      <c r="AD398" s="680"/>
      <c r="AE398" s="675"/>
      <c r="AG398" s="675"/>
    </row>
    <row r="399" spans="1:33" s="536" customFormat="1" ht="12" x14ac:dyDescent="0.2">
      <c r="A399" s="605"/>
      <c r="B399" s="552"/>
      <c r="C399" s="1822" t="s">
        <v>319</v>
      </c>
      <c r="D399" s="1822"/>
      <c r="E399" s="1822"/>
      <c r="F399" s="562"/>
      <c r="G399" s="562"/>
      <c r="H399" s="562"/>
      <c r="I399" s="562"/>
      <c r="J399" s="604"/>
      <c r="K399" s="562"/>
      <c r="L399" s="604">
        <v>103.15</v>
      </c>
      <c r="M399" s="603"/>
      <c r="N399" s="602"/>
      <c r="V399" s="674"/>
      <c r="W399" s="675"/>
      <c r="AA399" s="537" t="s">
        <v>319</v>
      </c>
      <c r="AC399" s="675"/>
      <c r="AD399" s="680"/>
      <c r="AE399" s="675"/>
      <c r="AG399" s="675"/>
    </row>
    <row r="400" spans="1:33" s="536" customFormat="1" ht="33.75" x14ac:dyDescent="0.2">
      <c r="A400" s="605"/>
      <c r="B400" s="552" t="s">
        <v>533</v>
      </c>
      <c r="C400" s="1822" t="s">
        <v>534</v>
      </c>
      <c r="D400" s="1822"/>
      <c r="E400" s="1822"/>
      <c r="F400" s="562" t="s">
        <v>322</v>
      </c>
      <c r="G400" s="562" t="s">
        <v>535</v>
      </c>
      <c r="H400" s="562"/>
      <c r="I400" s="562" t="s">
        <v>535</v>
      </c>
      <c r="J400" s="604"/>
      <c r="K400" s="562"/>
      <c r="L400" s="604">
        <v>120.69</v>
      </c>
      <c r="M400" s="603"/>
      <c r="N400" s="602"/>
      <c r="V400" s="674"/>
      <c r="W400" s="675"/>
      <c r="AA400" s="537" t="s">
        <v>534</v>
      </c>
      <c r="AC400" s="675"/>
      <c r="AD400" s="680"/>
      <c r="AE400" s="675"/>
      <c r="AG400" s="675"/>
    </row>
    <row r="401" spans="1:33" s="536" customFormat="1" ht="33.75" x14ac:dyDescent="0.2">
      <c r="A401" s="605"/>
      <c r="B401" s="552" t="s">
        <v>536</v>
      </c>
      <c r="C401" s="1822" t="s">
        <v>537</v>
      </c>
      <c r="D401" s="1822"/>
      <c r="E401" s="1822"/>
      <c r="F401" s="562" t="s">
        <v>322</v>
      </c>
      <c r="G401" s="562" t="s">
        <v>538</v>
      </c>
      <c r="H401" s="562"/>
      <c r="I401" s="562" t="s">
        <v>538</v>
      </c>
      <c r="J401" s="604"/>
      <c r="K401" s="562"/>
      <c r="L401" s="604">
        <v>76.33</v>
      </c>
      <c r="M401" s="603"/>
      <c r="N401" s="602"/>
      <c r="V401" s="674"/>
      <c r="W401" s="675"/>
      <c r="AA401" s="537" t="s">
        <v>537</v>
      </c>
      <c r="AC401" s="675"/>
      <c r="AD401" s="680"/>
      <c r="AE401" s="675"/>
      <c r="AG401" s="675"/>
    </row>
    <row r="402" spans="1:33" s="536" customFormat="1" ht="12" x14ac:dyDescent="0.2">
      <c r="A402" s="569"/>
      <c r="B402" s="671"/>
      <c r="C402" s="1823" t="s">
        <v>327</v>
      </c>
      <c r="D402" s="1823"/>
      <c r="E402" s="1823"/>
      <c r="F402" s="573"/>
      <c r="G402" s="573"/>
      <c r="H402" s="573"/>
      <c r="I402" s="573"/>
      <c r="J402" s="572"/>
      <c r="K402" s="573"/>
      <c r="L402" s="572">
        <v>525.97</v>
      </c>
      <c r="M402" s="601"/>
      <c r="N402" s="570"/>
      <c r="V402" s="674"/>
      <c r="W402" s="675"/>
      <c r="AC402" s="675" t="s">
        <v>327</v>
      </c>
      <c r="AD402" s="680"/>
      <c r="AE402" s="675"/>
      <c r="AG402" s="675"/>
    </row>
    <row r="403" spans="1:33" s="536" customFormat="1" ht="56.25" x14ac:dyDescent="0.2">
      <c r="A403" s="575" t="s">
        <v>677</v>
      </c>
      <c r="B403" s="670" t="s">
        <v>4642</v>
      </c>
      <c r="C403" s="1823" t="s">
        <v>4643</v>
      </c>
      <c r="D403" s="1823"/>
      <c r="E403" s="1823"/>
      <c r="F403" s="573" t="s">
        <v>483</v>
      </c>
      <c r="G403" s="573"/>
      <c r="H403" s="573"/>
      <c r="I403" s="573" t="s">
        <v>4644</v>
      </c>
      <c r="J403" s="572">
        <v>180.93</v>
      </c>
      <c r="K403" s="573"/>
      <c r="L403" s="572">
        <v>4295.28</v>
      </c>
      <c r="M403" s="571"/>
      <c r="N403" s="570"/>
      <c r="V403" s="674"/>
      <c r="W403" s="675" t="s">
        <v>4643</v>
      </c>
      <c r="AC403" s="675"/>
      <c r="AD403" s="680"/>
      <c r="AE403" s="675"/>
      <c r="AG403" s="675"/>
    </row>
    <row r="404" spans="1:33" s="536" customFormat="1" ht="12" x14ac:dyDescent="0.2">
      <c r="A404" s="569"/>
      <c r="B404" s="671"/>
      <c r="C404" s="665" t="s">
        <v>717</v>
      </c>
      <c r="D404" s="666"/>
      <c r="E404" s="666"/>
      <c r="F404" s="563"/>
      <c r="G404" s="563"/>
      <c r="H404" s="563"/>
      <c r="I404" s="563"/>
      <c r="J404" s="566"/>
      <c r="K404" s="563"/>
      <c r="L404" s="566"/>
      <c r="M404" s="565"/>
      <c r="N404" s="564"/>
      <c r="V404" s="674"/>
      <c r="W404" s="675"/>
      <c r="AC404" s="675"/>
      <c r="AD404" s="680"/>
      <c r="AE404" s="675"/>
      <c r="AG404" s="675"/>
    </row>
    <row r="405" spans="1:33" s="536" customFormat="1" ht="33.75" x14ac:dyDescent="0.2">
      <c r="A405" s="575" t="s">
        <v>326</v>
      </c>
      <c r="B405" s="670" t="s">
        <v>4645</v>
      </c>
      <c r="C405" s="1823" t="s">
        <v>4646</v>
      </c>
      <c r="D405" s="1823"/>
      <c r="E405" s="1823"/>
      <c r="F405" s="573" t="s">
        <v>1110</v>
      </c>
      <c r="G405" s="573"/>
      <c r="H405" s="573"/>
      <c r="I405" s="573" t="s">
        <v>1292</v>
      </c>
      <c r="J405" s="572"/>
      <c r="K405" s="573"/>
      <c r="L405" s="572"/>
      <c r="M405" s="571"/>
      <c r="N405" s="570"/>
      <c r="V405" s="674"/>
      <c r="W405" s="675" t="s">
        <v>4646</v>
      </c>
      <c r="AC405" s="675"/>
      <c r="AD405" s="680"/>
      <c r="AE405" s="675"/>
      <c r="AG405" s="675"/>
    </row>
    <row r="406" spans="1:33" s="536" customFormat="1" ht="12" x14ac:dyDescent="0.2">
      <c r="A406" s="676"/>
      <c r="B406" s="664"/>
      <c r="C406" s="1822" t="s">
        <v>3074</v>
      </c>
      <c r="D406" s="1822"/>
      <c r="E406" s="1822"/>
      <c r="F406" s="1822"/>
      <c r="G406" s="1822"/>
      <c r="H406" s="1822"/>
      <c r="I406" s="1822"/>
      <c r="J406" s="1822"/>
      <c r="K406" s="1822"/>
      <c r="L406" s="1822"/>
      <c r="M406" s="1822"/>
      <c r="N406" s="1827"/>
      <c r="V406" s="674"/>
      <c r="W406" s="675"/>
      <c r="X406" s="537" t="s">
        <v>3074</v>
      </c>
      <c r="AC406" s="675"/>
      <c r="AD406" s="680"/>
      <c r="AE406" s="675"/>
      <c r="AG406" s="675"/>
    </row>
    <row r="407" spans="1:33" s="536" customFormat="1" ht="22.5" x14ac:dyDescent="0.2">
      <c r="A407" s="609"/>
      <c r="B407" s="552" t="s">
        <v>499</v>
      </c>
      <c r="C407" s="1822" t="s">
        <v>500</v>
      </c>
      <c r="D407" s="1822"/>
      <c r="E407" s="1822"/>
      <c r="F407" s="1822"/>
      <c r="G407" s="1822"/>
      <c r="H407" s="1822"/>
      <c r="I407" s="1822"/>
      <c r="J407" s="1822"/>
      <c r="K407" s="1822"/>
      <c r="L407" s="1822"/>
      <c r="M407" s="1822"/>
      <c r="N407" s="1827"/>
      <c r="V407" s="674"/>
      <c r="W407" s="675"/>
      <c r="Y407" s="537" t="s">
        <v>500</v>
      </c>
      <c r="AC407" s="675"/>
      <c r="AD407" s="680"/>
      <c r="AE407" s="675"/>
      <c r="AG407" s="675"/>
    </row>
    <row r="408" spans="1:33" s="536" customFormat="1" ht="12" x14ac:dyDescent="0.2">
      <c r="A408" s="605"/>
      <c r="B408" s="552" t="s">
        <v>185</v>
      </c>
      <c r="C408" s="1822" t="s">
        <v>312</v>
      </c>
      <c r="D408" s="1822"/>
      <c r="E408" s="1822"/>
      <c r="F408" s="562"/>
      <c r="G408" s="562"/>
      <c r="H408" s="562"/>
      <c r="I408" s="562"/>
      <c r="J408" s="604">
        <v>311.8</v>
      </c>
      <c r="K408" s="562" t="s">
        <v>313</v>
      </c>
      <c r="L408" s="604">
        <v>11.69</v>
      </c>
      <c r="M408" s="603"/>
      <c r="N408" s="602"/>
      <c r="V408" s="674"/>
      <c r="W408" s="675"/>
      <c r="Z408" s="537" t="s">
        <v>312</v>
      </c>
      <c r="AC408" s="675"/>
      <c r="AD408" s="680"/>
      <c r="AE408" s="675"/>
      <c r="AG408" s="675"/>
    </row>
    <row r="409" spans="1:33" s="536" customFormat="1" ht="12" x14ac:dyDescent="0.2">
      <c r="A409" s="605"/>
      <c r="B409" s="552" t="s">
        <v>186</v>
      </c>
      <c r="C409" s="1822" t="s">
        <v>344</v>
      </c>
      <c r="D409" s="1822"/>
      <c r="E409" s="1822"/>
      <c r="F409" s="562"/>
      <c r="G409" s="562"/>
      <c r="H409" s="562"/>
      <c r="I409" s="562"/>
      <c r="J409" s="604">
        <v>1236.55</v>
      </c>
      <c r="K409" s="562" t="s">
        <v>313</v>
      </c>
      <c r="L409" s="604">
        <v>46.37</v>
      </c>
      <c r="M409" s="603"/>
      <c r="N409" s="602"/>
      <c r="V409" s="674"/>
      <c r="W409" s="675"/>
      <c r="Z409" s="537" t="s">
        <v>344</v>
      </c>
      <c r="AC409" s="675"/>
      <c r="AD409" s="680"/>
      <c r="AE409" s="675"/>
      <c r="AG409" s="675"/>
    </row>
    <row r="410" spans="1:33" s="536" customFormat="1" ht="12" x14ac:dyDescent="0.2">
      <c r="A410" s="605"/>
      <c r="B410" s="552" t="s">
        <v>187</v>
      </c>
      <c r="C410" s="1822" t="s">
        <v>345</v>
      </c>
      <c r="D410" s="1822"/>
      <c r="E410" s="1822"/>
      <c r="F410" s="562"/>
      <c r="G410" s="562"/>
      <c r="H410" s="562"/>
      <c r="I410" s="562"/>
      <c r="J410" s="604">
        <v>142.43</v>
      </c>
      <c r="K410" s="562" t="s">
        <v>313</v>
      </c>
      <c r="L410" s="604">
        <v>5.34</v>
      </c>
      <c r="M410" s="603"/>
      <c r="N410" s="602"/>
      <c r="V410" s="674"/>
      <c r="W410" s="675"/>
      <c r="Z410" s="537" t="s">
        <v>345</v>
      </c>
      <c r="AC410" s="675"/>
      <c r="AD410" s="680"/>
      <c r="AE410" s="675"/>
      <c r="AG410" s="675"/>
    </row>
    <row r="411" spans="1:33" s="536" customFormat="1" ht="12" x14ac:dyDescent="0.2">
      <c r="A411" s="605"/>
      <c r="B411" s="552" t="s">
        <v>188</v>
      </c>
      <c r="C411" s="1822" t="s">
        <v>475</v>
      </c>
      <c r="D411" s="1822"/>
      <c r="E411" s="1822"/>
      <c r="F411" s="562"/>
      <c r="G411" s="562"/>
      <c r="H411" s="562"/>
      <c r="I411" s="562"/>
      <c r="J411" s="604">
        <v>9.76</v>
      </c>
      <c r="K411" s="562"/>
      <c r="L411" s="604">
        <v>0.28999999999999998</v>
      </c>
      <c r="M411" s="603"/>
      <c r="N411" s="602"/>
      <c r="V411" s="674"/>
      <c r="W411" s="675"/>
      <c r="Z411" s="537" t="s">
        <v>475</v>
      </c>
      <c r="AC411" s="675"/>
      <c r="AD411" s="680"/>
      <c r="AE411" s="675"/>
      <c r="AG411" s="675"/>
    </row>
    <row r="412" spans="1:33" s="536" customFormat="1" ht="12" x14ac:dyDescent="0.2">
      <c r="A412" s="676"/>
      <c r="B412" s="677" t="s">
        <v>2458</v>
      </c>
      <c r="C412" s="1829" t="s">
        <v>4635</v>
      </c>
      <c r="D412" s="1829"/>
      <c r="E412" s="1829"/>
      <c r="F412" s="678" t="s">
        <v>483</v>
      </c>
      <c r="G412" s="678" t="s">
        <v>4636</v>
      </c>
      <c r="H412" s="678"/>
      <c r="I412" s="678" t="s">
        <v>478</v>
      </c>
      <c r="J412" s="552"/>
      <c r="K412" s="562"/>
      <c r="L412" s="604"/>
      <c r="M412" s="562"/>
      <c r="N412" s="679"/>
      <c r="V412" s="674"/>
      <c r="W412" s="675"/>
      <c r="AC412" s="675"/>
      <c r="AD412" s="680" t="s">
        <v>4635</v>
      </c>
      <c r="AE412" s="675"/>
      <c r="AG412" s="675"/>
    </row>
    <row r="413" spans="1:33" s="536" customFormat="1" ht="12" x14ac:dyDescent="0.2">
      <c r="A413" s="605"/>
      <c r="B413" s="552"/>
      <c r="C413" s="1822" t="s">
        <v>314</v>
      </c>
      <c r="D413" s="1822"/>
      <c r="E413" s="1822"/>
      <c r="F413" s="562" t="s">
        <v>315</v>
      </c>
      <c r="G413" s="562" t="s">
        <v>4647</v>
      </c>
      <c r="H413" s="562" t="s">
        <v>313</v>
      </c>
      <c r="I413" s="562" t="s">
        <v>4648</v>
      </c>
      <c r="J413" s="604"/>
      <c r="K413" s="562"/>
      <c r="L413" s="604"/>
      <c r="M413" s="603"/>
      <c r="N413" s="602"/>
      <c r="V413" s="674"/>
      <c r="W413" s="675"/>
      <c r="AA413" s="537" t="s">
        <v>314</v>
      </c>
      <c r="AC413" s="675"/>
      <c r="AD413" s="680"/>
      <c r="AE413" s="675"/>
      <c r="AG413" s="675"/>
    </row>
    <row r="414" spans="1:33" s="536" customFormat="1" ht="12" x14ac:dyDescent="0.2">
      <c r="A414" s="605"/>
      <c r="B414" s="552"/>
      <c r="C414" s="1822" t="s">
        <v>348</v>
      </c>
      <c r="D414" s="1822"/>
      <c r="E414" s="1822"/>
      <c r="F414" s="562" t="s">
        <v>315</v>
      </c>
      <c r="G414" s="562" t="s">
        <v>4649</v>
      </c>
      <c r="H414" s="562" t="s">
        <v>313</v>
      </c>
      <c r="I414" s="562" t="s">
        <v>4650</v>
      </c>
      <c r="J414" s="604"/>
      <c r="K414" s="562"/>
      <c r="L414" s="604"/>
      <c r="M414" s="603"/>
      <c r="N414" s="602"/>
      <c r="V414" s="674"/>
      <c r="W414" s="675"/>
      <c r="AA414" s="537" t="s">
        <v>348</v>
      </c>
      <c r="AC414" s="675"/>
      <c r="AD414" s="680"/>
      <c r="AE414" s="675"/>
      <c r="AG414" s="675"/>
    </row>
    <row r="415" spans="1:33" s="536" customFormat="1" ht="12" x14ac:dyDescent="0.2">
      <c r="A415" s="605"/>
      <c r="B415" s="552"/>
      <c r="C415" s="1828" t="s">
        <v>318</v>
      </c>
      <c r="D415" s="1828"/>
      <c r="E415" s="1828"/>
      <c r="F415" s="608"/>
      <c r="G415" s="608"/>
      <c r="H415" s="608"/>
      <c r="I415" s="608"/>
      <c r="J415" s="607">
        <v>1558.11</v>
      </c>
      <c r="K415" s="608"/>
      <c r="L415" s="607">
        <v>58.35</v>
      </c>
      <c r="M415" s="601"/>
      <c r="N415" s="606"/>
      <c r="V415" s="674"/>
      <c r="W415" s="675"/>
      <c r="AB415" s="537" t="s">
        <v>318</v>
      </c>
      <c r="AC415" s="675"/>
      <c r="AD415" s="680"/>
      <c r="AE415" s="675"/>
      <c r="AG415" s="675"/>
    </row>
    <row r="416" spans="1:33" s="536" customFormat="1" ht="12" x14ac:dyDescent="0.2">
      <c r="A416" s="605"/>
      <c r="B416" s="552"/>
      <c r="C416" s="1822" t="s">
        <v>319</v>
      </c>
      <c r="D416" s="1822"/>
      <c r="E416" s="1822"/>
      <c r="F416" s="562"/>
      <c r="G416" s="562"/>
      <c r="H416" s="562"/>
      <c r="I416" s="562"/>
      <c r="J416" s="604"/>
      <c r="K416" s="562"/>
      <c r="L416" s="604">
        <v>17.03</v>
      </c>
      <c r="M416" s="603"/>
      <c r="N416" s="602"/>
      <c r="V416" s="674"/>
      <c r="W416" s="675"/>
      <c r="AA416" s="537" t="s">
        <v>319</v>
      </c>
      <c r="AC416" s="675"/>
      <c r="AD416" s="680"/>
      <c r="AE416" s="675"/>
      <c r="AG416" s="675"/>
    </row>
    <row r="417" spans="1:33" s="536" customFormat="1" ht="33.75" x14ac:dyDescent="0.2">
      <c r="A417" s="605"/>
      <c r="B417" s="552" t="s">
        <v>533</v>
      </c>
      <c r="C417" s="1822" t="s">
        <v>534</v>
      </c>
      <c r="D417" s="1822"/>
      <c r="E417" s="1822"/>
      <c r="F417" s="562" t="s">
        <v>322</v>
      </c>
      <c r="G417" s="562" t="s">
        <v>535</v>
      </c>
      <c r="H417" s="562"/>
      <c r="I417" s="562" t="s">
        <v>535</v>
      </c>
      <c r="J417" s="604"/>
      <c r="K417" s="562"/>
      <c r="L417" s="604">
        <v>19.93</v>
      </c>
      <c r="M417" s="603"/>
      <c r="N417" s="602"/>
      <c r="V417" s="674"/>
      <c r="W417" s="675"/>
      <c r="AA417" s="537" t="s">
        <v>534</v>
      </c>
      <c r="AC417" s="675"/>
      <c r="AD417" s="680"/>
      <c r="AE417" s="675"/>
      <c r="AG417" s="675"/>
    </row>
    <row r="418" spans="1:33" s="536" customFormat="1" ht="33.75" x14ac:dyDescent="0.2">
      <c r="A418" s="605"/>
      <c r="B418" s="552" t="s">
        <v>536</v>
      </c>
      <c r="C418" s="1822" t="s">
        <v>537</v>
      </c>
      <c r="D418" s="1822"/>
      <c r="E418" s="1822"/>
      <c r="F418" s="562" t="s">
        <v>322</v>
      </c>
      <c r="G418" s="562" t="s">
        <v>538</v>
      </c>
      <c r="H418" s="562"/>
      <c r="I418" s="562" t="s">
        <v>538</v>
      </c>
      <c r="J418" s="604"/>
      <c r="K418" s="562"/>
      <c r="L418" s="604">
        <v>12.6</v>
      </c>
      <c r="M418" s="603"/>
      <c r="N418" s="602"/>
      <c r="V418" s="674"/>
      <c r="W418" s="675"/>
      <c r="AA418" s="537" t="s">
        <v>537</v>
      </c>
      <c r="AC418" s="675"/>
      <c r="AD418" s="680"/>
      <c r="AE418" s="675"/>
      <c r="AG418" s="675"/>
    </row>
    <row r="419" spans="1:33" s="536" customFormat="1" ht="12" x14ac:dyDescent="0.2">
      <c r="A419" s="569"/>
      <c r="B419" s="671"/>
      <c r="C419" s="1823" t="s">
        <v>327</v>
      </c>
      <c r="D419" s="1823"/>
      <c r="E419" s="1823"/>
      <c r="F419" s="573"/>
      <c r="G419" s="573"/>
      <c r="H419" s="573"/>
      <c r="I419" s="573"/>
      <c r="J419" s="572"/>
      <c r="K419" s="573"/>
      <c r="L419" s="572">
        <v>90.88</v>
      </c>
      <c r="M419" s="601"/>
      <c r="N419" s="570"/>
      <c r="V419" s="674"/>
      <c r="W419" s="675"/>
      <c r="AC419" s="675" t="s">
        <v>327</v>
      </c>
      <c r="AD419" s="680"/>
      <c r="AE419" s="675"/>
      <c r="AG419" s="675"/>
    </row>
    <row r="420" spans="1:33" s="536" customFormat="1" ht="56.25" x14ac:dyDescent="0.2">
      <c r="A420" s="575" t="s">
        <v>774</v>
      </c>
      <c r="B420" s="670" t="s">
        <v>4651</v>
      </c>
      <c r="C420" s="1823" t="s">
        <v>4652</v>
      </c>
      <c r="D420" s="1823"/>
      <c r="E420" s="1823"/>
      <c r="F420" s="573" t="s">
        <v>483</v>
      </c>
      <c r="G420" s="573"/>
      <c r="H420" s="573"/>
      <c r="I420" s="573" t="s">
        <v>478</v>
      </c>
      <c r="J420" s="572">
        <v>756.27</v>
      </c>
      <c r="K420" s="573"/>
      <c r="L420" s="572">
        <v>2291.5</v>
      </c>
      <c r="M420" s="571"/>
      <c r="N420" s="570"/>
      <c r="V420" s="674"/>
      <c r="W420" s="675" t="s">
        <v>4652</v>
      </c>
      <c r="AC420" s="675"/>
      <c r="AD420" s="680"/>
      <c r="AE420" s="675"/>
      <c r="AG420" s="675"/>
    </row>
    <row r="421" spans="1:33" s="536" customFormat="1" ht="12" x14ac:dyDescent="0.2">
      <c r="A421" s="569"/>
      <c r="B421" s="671"/>
      <c r="C421" s="665" t="s">
        <v>717</v>
      </c>
      <c r="D421" s="666"/>
      <c r="E421" s="666"/>
      <c r="F421" s="563"/>
      <c r="G421" s="563"/>
      <c r="H421" s="563"/>
      <c r="I421" s="563"/>
      <c r="J421" s="566"/>
      <c r="K421" s="563"/>
      <c r="L421" s="566"/>
      <c r="M421" s="565"/>
      <c r="N421" s="564"/>
      <c r="V421" s="674"/>
      <c r="W421" s="675"/>
      <c r="AC421" s="675"/>
      <c r="AD421" s="680"/>
      <c r="AE421" s="675"/>
      <c r="AG421" s="675"/>
    </row>
    <row r="422" spans="1:33" s="536" customFormat="1" ht="33.75" x14ac:dyDescent="0.2">
      <c r="A422" s="575" t="s">
        <v>775</v>
      </c>
      <c r="B422" s="670" t="s">
        <v>4653</v>
      </c>
      <c r="C422" s="1823" t="s">
        <v>4654</v>
      </c>
      <c r="D422" s="1823"/>
      <c r="E422" s="1823"/>
      <c r="F422" s="573" t="s">
        <v>1110</v>
      </c>
      <c r="G422" s="573"/>
      <c r="H422" s="573"/>
      <c r="I422" s="573" t="s">
        <v>2441</v>
      </c>
      <c r="J422" s="572"/>
      <c r="K422" s="573"/>
      <c r="L422" s="572"/>
      <c r="M422" s="571"/>
      <c r="N422" s="570"/>
      <c r="V422" s="674"/>
      <c r="W422" s="675" t="s">
        <v>4654</v>
      </c>
      <c r="AC422" s="675"/>
      <c r="AD422" s="680"/>
      <c r="AE422" s="675"/>
      <c r="AG422" s="675"/>
    </row>
    <row r="423" spans="1:33" s="536" customFormat="1" ht="12" x14ac:dyDescent="0.2">
      <c r="A423" s="676"/>
      <c r="B423" s="664"/>
      <c r="C423" s="1822" t="s">
        <v>4655</v>
      </c>
      <c r="D423" s="1822"/>
      <c r="E423" s="1822"/>
      <c r="F423" s="1822"/>
      <c r="G423" s="1822"/>
      <c r="H423" s="1822"/>
      <c r="I423" s="1822"/>
      <c r="J423" s="1822"/>
      <c r="K423" s="1822"/>
      <c r="L423" s="1822"/>
      <c r="M423" s="1822"/>
      <c r="N423" s="1827"/>
      <c r="V423" s="674"/>
      <c r="W423" s="675"/>
      <c r="X423" s="537" t="s">
        <v>4655</v>
      </c>
      <c r="AC423" s="675"/>
      <c r="AD423" s="680"/>
      <c r="AE423" s="675"/>
      <c r="AG423" s="675"/>
    </row>
    <row r="424" spans="1:33" s="536" customFormat="1" ht="22.5" x14ac:dyDescent="0.2">
      <c r="A424" s="609"/>
      <c r="B424" s="552" t="s">
        <v>499</v>
      </c>
      <c r="C424" s="1822" t="s">
        <v>500</v>
      </c>
      <c r="D424" s="1822"/>
      <c r="E424" s="1822"/>
      <c r="F424" s="1822"/>
      <c r="G424" s="1822"/>
      <c r="H424" s="1822"/>
      <c r="I424" s="1822"/>
      <c r="J424" s="1822"/>
      <c r="K424" s="1822"/>
      <c r="L424" s="1822"/>
      <c r="M424" s="1822"/>
      <c r="N424" s="1827"/>
      <c r="V424" s="674"/>
      <c r="W424" s="675"/>
      <c r="Y424" s="537" t="s">
        <v>500</v>
      </c>
      <c r="AC424" s="675"/>
      <c r="AD424" s="680"/>
      <c r="AE424" s="675"/>
      <c r="AG424" s="675"/>
    </row>
    <row r="425" spans="1:33" s="536" customFormat="1" ht="12" x14ac:dyDescent="0.2">
      <c r="A425" s="605"/>
      <c r="B425" s="552" t="s">
        <v>185</v>
      </c>
      <c r="C425" s="1822" t="s">
        <v>312</v>
      </c>
      <c r="D425" s="1822"/>
      <c r="E425" s="1822"/>
      <c r="F425" s="562"/>
      <c r="G425" s="562"/>
      <c r="H425" s="562"/>
      <c r="I425" s="562"/>
      <c r="J425" s="604">
        <v>513.52</v>
      </c>
      <c r="K425" s="562" t="s">
        <v>313</v>
      </c>
      <c r="L425" s="604">
        <v>176.52</v>
      </c>
      <c r="M425" s="603"/>
      <c r="N425" s="602"/>
      <c r="V425" s="674"/>
      <c r="W425" s="675"/>
      <c r="Z425" s="537" t="s">
        <v>312</v>
      </c>
      <c r="AC425" s="675"/>
      <c r="AD425" s="680"/>
      <c r="AE425" s="675"/>
      <c r="AG425" s="675"/>
    </row>
    <row r="426" spans="1:33" s="536" customFormat="1" ht="12" x14ac:dyDescent="0.2">
      <c r="A426" s="605"/>
      <c r="B426" s="552" t="s">
        <v>186</v>
      </c>
      <c r="C426" s="1822" t="s">
        <v>344</v>
      </c>
      <c r="D426" s="1822"/>
      <c r="E426" s="1822"/>
      <c r="F426" s="562"/>
      <c r="G426" s="562"/>
      <c r="H426" s="562"/>
      <c r="I426" s="562"/>
      <c r="J426" s="604">
        <v>2806.28</v>
      </c>
      <c r="K426" s="562" t="s">
        <v>313</v>
      </c>
      <c r="L426" s="604">
        <v>964.66</v>
      </c>
      <c r="M426" s="603"/>
      <c r="N426" s="602"/>
      <c r="V426" s="674"/>
      <c r="W426" s="675"/>
      <c r="Z426" s="537" t="s">
        <v>344</v>
      </c>
      <c r="AC426" s="675"/>
      <c r="AD426" s="680"/>
      <c r="AE426" s="675"/>
      <c r="AG426" s="675"/>
    </row>
    <row r="427" spans="1:33" s="536" customFormat="1" ht="12" x14ac:dyDescent="0.2">
      <c r="A427" s="605"/>
      <c r="B427" s="552" t="s">
        <v>187</v>
      </c>
      <c r="C427" s="1822" t="s">
        <v>345</v>
      </c>
      <c r="D427" s="1822"/>
      <c r="E427" s="1822"/>
      <c r="F427" s="562"/>
      <c r="G427" s="562"/>
      <c r="H427" s="562"/>
      <c r="I427" s="562"/>
      <c r="J427" s="604">
        <v>268.25</v>
      </c>
      <c r="K427" s="562" t="s">
        <v>313</v>
      </c>
      <c r="L427" s="604">
        <v>92.21</v>
      </c>
      <c r="M427" s="603"/>
      <c r="N427" s="602"/>
      <c r="V427" s="674"/>
      <c r="W427" s="675"/>
      <c r="Z427" s="537" t="s">
        <v>345</v>
      </c>
      <c r="AC427" s="675"/>
      <c r="AD427" s="680"/>
      <c r="AE427" s="675"/>
      <c r="AG427" s="675"/>
    </row>
    <row r="428" spans="1:33" s="536" customFormat="1" ht="12" x14ac:dyDescent="0.2">
      <c r="A428" s="605"/>
      <c r="B428" s="552" t="s">
        <v>188</v>
      </c>
      <c r="C428" s="1822" t="s">
        <v>475</v>
      </c>
      <c r="D428" s="1822"/>
      <c r="E428" s="1822"/>
      <c r="F428" s="562"/>
      <c r="G428" s="562"/>
      <c r="H428" s="562"/>
      <c r="I428" s="562"/>
      <c r="J428" s="604">
        <v>30.74</v>
      </c>
      <c r="K428" s="562"/>
      <c r="L428" s="604">
        <v>8.4499999999999993</v>
      </c>
      <c r="M428" s="603"/>
      <c r="N428" s="602"/>
      <c r="V428" s="674"/>
      <c r="W428" s="675"/>
      <c r="Z428" s="537" t="s">
        <v>475</v>
      </c>
      <c r="AC428" s="675"/>
      <c r="AD428" s="680"/>
      <c r="AE428" s="675"/>
      <c r="AG428" s="675"/>
    </row>
    <row r="429" spans="1:33" s="536" customFormat="1" ht="12" x14ac:dyDescent="0.2">
      <c r="A429" s="676"/>
      <c r="B429" s="677" t="s">
        <v>2458</v>
      </c>
      <c r="C429" s="1829" t="s">
        <v>4635</v>
      </c>
      <c r="D429" s="1829"/>
      <c r="E429" s="1829"/>
      <c r="F429" s="678" t="s">
        <v>483</v>
      </c>
      <c r="G429" s="678" t="s">
        <v>4636</v>
      </c>
      <c r="H429" s="678"/>
      <c r="I429" s="678" t="s">
        <v>4656</v>
      </c>
      <c r="J429" s="552"/>
      <c r="K429" s="562"/>
      <c r="L429" s="604"/>
      <c r="M429" s="562"/>
      <c r="N429" s="679"/>
      <c r="V429" s="674"/>
      <c r="W429" s="675"/>
      <c r="AC429" s="675"/>
      <c r="AD429" s="680" t="s">
        <v>4635</v>
      </c>
      <c r="AE429" s="675"/>
      <c r="AG429" s="675"/>
    </row>
    <row r="430" spans="1:33" s="536" customFormat="1" ht="22.5" x14ac:dyDescent="0.2">
      <c r="A430" s="605"/>
      <c r="B430" s="552"/>
      <c r="C430" s="1822" t="s">
        <v>314</v>
      </c>
      <c r="D430" s="1822"/>
      <c r="E430" s="1822"/>
      <c r="F430" s="562" t="s">
        <v>315</v>
      </c>
      <c r="G430" s="562" t="s">
        <v>4657</v>
      </c>
      <c r="H430" s="562" t="s">
        <v>313</v>
      </c>
      <c r="I430" s="562" t="s">
        <v>4658</v>
      </c>
      <c r="J430" s="604"/>
      <c r="K430" s="562"/>
      <c r="L430" s="604"/>
      <c r="M430" s="603"/>
      <c r="N430" s="602"/>
      <c r="V430" s="674"/>
      <c r="W430" s="675"/>
      <c r="AA430" s="537" t="s">
        <v>314</v>
      </c>
      <c r="AC430" s="675"/>
      <c r="AD430" s="680"/>
      <c r="AE430" s="675"/>
      <c r="AG430" s="675"/>
    </row>
    <row r="431" spans="1:33" s="536" customFormat="1" ht="12" x14ac:dyDescent="0.2">
      <c r="A431" s="605"/>
      <c r="B431" s="552"/>
      <c r="C431" s="1822" t="s">
        <v>348</v>
      </c>
      <c r="D431" s="1822"/>
      <c r="E431" s="1822"/>
      <c r="F431" s="562" t="s">
        <v>315</v>
      </c>
      <c r="G431" s="562" t="s">
        <v>4659</v>
      </c>
      <c r="H431" s="562" t="s">
        <v>313</v>
      </c>
      <c r="I431" s="562" t="s">
        <v>4660</v>
      </c>
      <c r="J431" s="604"/>
      <c r="K431" s="562"/>
      <c r="L431" s="604"/>
      <c r="M431" s="603"/>
      <c r="N431" s="602"/>
      <c r="V431" s="674"/>
      <c r="W431" s="675"/>
      <c r="AA431" s="537" t="s">
        <v>348</v>
      </c>
      <c r="AC431" s="675"/>
      <c r="AD431" s="680"/>
      <c r="AE431" s="675"/>
      <c r="AG431" s="675"/>
    </row>
    <row r="432" spans="1:33" s="536" customFormat="1" ht="12" x14ac:dyDescent="0.2">
      <c r="A432" s="605"/>
      <c r="B432" s="552"/>
      <c r="C432" s="1828" t="s">
        <v>318</v>
      </c>
      <c r="D432" s="1828"/>
      <c r="E432" s="1828"/>
      <c r="F432" s="608"/>
      <c r="G432" s="608"/>
      <c r="H432" s="608"/>
      <c r="I432" s="608"/>
      <c r="J432" s="607">
        <v>3350.54</v>
      </c>
      <c r="K432" s="608"/>
      <c r="L432" s="607">
        <v>1149.6300000000001</v>
      </c>
      <c r="M432" s="601"/>
      <c r="N432" s="606"/>
      <c r="V432" s="674"/>
      <c r="W432" s="675"/>
      <c r="AB432" s="537" t="s">
        <v>318</v>
      </c>
      <c r="AC432" s="675"/>
      <c r="AD432" s="680"/>
      <c r="AE432" s="675"/>
      <c r="AG432" s="675"/>
    </row>
    <row r="433" spans="1:33" s="536" customFormat="1" ht="12" x14ac:dyDescent="0.2">
      <c r="A433" s="605"/>
      <c r="B433" s="552"/>
      <c r="C433" s="1822" t="s">
        <v>319</v>
      </c>
      <c r="D433" s="1822"/>
      <c r="E433" s="1822"/>
      <c r="F433" s="562"/>
      <c r="G433" s="562"/>
      <c r="H433" s="562"/>
      <c r="I433" s="562"/>
      <c r="J433" s="604"/>
      <c r="K433" s="562"/>
      <c r="L433" s="604">
        <v>268.73</v>
      </c>
      <c r="M433" s="603"/>
      <c r="N433" s="602"/>
      <c r="V433" s="674"/>
      <c r="W433" s="675"/>
      <c r="AA433" s="537" t="s">
        <v>319</v>
      </c>
      <c r="AC433" s="675"/>
      <c r="AD433" s="680"/>
      <c r="AE433" s="675"/>
      <c r="AG433" s="675"/>
    </row>
    <row r="434" spans="1:33" s="536" customFormat="1" ht="33.75" x14ac:dyDescent="0.2">
      <c r="A434" s="605"/>
      <c r="B434" s="552" t="s">
        <v>533</v>
      </c>
      <c r="C434" s="1822" t="s">
        <v>534</v>
      </c>
      <c r="D434" s="1822"/>
      <c r="E434" s="1822"/>
      <c r="F434" s="562" t="s">
        <v>322</v>
      </c>
      <c r="G434" s="562" t="s">
        <v>535</v>
      </c>
      <c r="H434" s="562"/>
      <c r="I434" s="562" t="s">
        <v>535</v>
      </c>
      <c r="J434" s="604"/>
      <c r="K434" s="562"/>
      <c r="L434" s="604">
        <v>314.41000000000003</v>
      </c>
      <c r="M434" s="603"/>
      <c r="N434" s="602"/>
      <c r="V434" s="674"/>
      <c r="W434" s="675"/>
      <c r="AA434" s="537" t="s">
        <v>534</v>
      </c>
      <c r="AC434" s="675"/>
      <c r="AD434" s="680"/>
      <c r="AE434" s="675"/>
      <c r="AG434" s="675"/>
    </row>
    <row r="435" spans="1:33" s="536" customFormat="1" ht="33.75" x14ac:dyDescent="0.2">
      <c r="A435" s="605"/>
      <c r="B435" s="552" t="s">
        <v>536</v>
      </c>
      <c r="C435" s="1822" t="s">
        <v>537</v>
      </c>
      <c r="D435" s="1822"/>
      <c r="E435" s="1822"/>
      <c r="F435" s="562" t="s">
        <v>322</v>
      </c>
      <c r="G435" s="562" t="s">
        <v>538</v>
      </c>
      <c r="H435" s="562"/>
      <c r="I435" s="562" t="s">
        <v>538</v>
      </c>
      <c r="J435" s="604"/>
      <c r="K435" s="562"/>
      <c r="L435" s="604">
        <v>198.86</v>
      </c>
      <c r="M435" s="603"/>
      <c r="N435" s="602"/>
      <c r="V435" s="674"/>
      <c r="W435" s="675"/>
      <c r="AA435" s="537" t="s">
        <v>537</v>
      </c>
      <c r="AC435" s="675"/>
      <c r="AD435" s="680"/>
      <c r="AE435" s="675"/>
      <c r="AG435" s="675"/>
    </row>
    <row r="436" spans="1:33" s="536" customFormat="1" ht="12" x14ac:dyDescent="0.2">
      <c r="A436" s="569"/>
      <c r="B436" s="671"/>
      <c r="C436" s="1823" t="s">
        <v>327</v>
      </c>
      <c r="D436" s="1823"/>
      <c r="E436" s="1823"/>
      <c r="F436" s="573"/>
      <c r="G436" s="573"/>
      <c r="H436" s="573"/>
      <c r="I436" s="573"/>
      <c r="J436" s="572"/>
      <c r="K436" s="573"/>
      <c r="L436" s="572">
        <v>1662.9</v>
      </c>
      <c r="M436" s="601"/>
      <c r="N436" s="570"/>
      <c r="V436" s="674"/>
      <c r="W436" s="675"/>
      <c r="AC436" s="675" t="s">
        <v>327</v>
      </c>
      <c r="AD436" s="680"/>
      <c r="AE436" s="675"/>
      <c r="AG436" s="675"/>
    </row>
    <row r="437" spans="1:33" s="536" customFormat="1" ht="67.5" x14ac:dyDescent="0.2">
      <c r="A437" s="575" t="s">
        <v>776</v>
      </c>
      <c r="B437" s="670" t="s">
        <v>4661</v>
      </c>
      <c r="C437" s="1823" t="s">
        <v>4662</v>
      </c>
      <c r="D437" s="1823"/>
      <c r="E437" s="1823"/>
      <c r="F437" s="573" t="s">
        <v>483</v>
      </c>
      <c r="G437" s="573"/>
      <c r="H437" s="573"/>
      <c r="I437" s="573" t="s">
        <v>4663</v>
      </c>
      <c r="J437" s="572">
        <v>1824.64</v>
      </c>
      <c r="K437" s="573"/>
      <c r="L437" s="572">
        <v>50688.5</v>
      </c>
      <c r="M437" s="571"/>
      <c r="N437" s="570"/>
      <c r="V437" s="674"/>
      <c r="W437" s="675" t="s">
        <v>4662</v>
      </c>
      <c r="AC437" s="675"/>
      <c r="AD437" s="680"/>
      <c r="AE437" s="675"/>
      <c r="AG437" s="675"/>
    </row>
    <row r="438" spans="1:33" s="536" customFormat="1" ht="12" x14ac:dyDescent="0.2">
      <c r="A438" s="569"/>
      <c r="B438" s="671"/>
      <c r="C438" s="665" t="s">
        <v>717</v>
      </c>
      <c r="D438" s="666"/>
      <c r="E438" s="666"/>
      <c r="F438" s="563"/>
      <c r="G438" s="563"/>
      <c r="H438" s="563"/>
      <c r="I438" s="563"/>
      <c r="J438" s="566"/>
      <c r="K438" s="563"/>
      <c r="L438" s="566"/>
      <c r="M438" s="565"/>
      <c r="N438" s="564"/>
      <c r="V438" s="674"/>
      <c r="W438" s="675"/>
      <c r="AC438" s="675"/>
      <c r="AD438" s="680"/>
      <c r="AE438" s="675"/>
      <c r="AG438" s="675"/>
    </row>
    <row r="439" spans="1:33" s="536" customFormat="1" ht="33.75" x14ac:dyDescent="0.2">
      <c r="A439" s="575" t="s">
        <v>931</v>
      </c>
      <c r="B439" s="670" t="s">
        <v>4664</v>
      </c>
      <c r="C439" s="1823" t="s">
        <v>4665</v>
      </c>
      <c r="D439" s="1823"/>
      <c r="E439" s="1823"/>
      <c r="F439" s="573" t="s">
        <v>1110</v>
      </c>
      <c r="G439" s="573"/>
      <c r="H439" s="573"/>
      <c r="I439" s="573" t="s">
        <v>3081</v>
      </c>
      <c r="J439" s="572"/>
      <c r="K439" s="573"/>
      <c r="L439" s="572"/>
      <c r="M439" s="571"/>
      <c r="N439" s="570"/>
      <c r="V439" s="674"/>
      <c r="W439" s="675" t="s">
        <v>4665</v>
      </c>
      <c r="AC439" s="675"/>
      <c r="AD439" s="680"/>
      <c r="AE439" s="675"/>
      <c r="AG439" s="675"/>
    </row>
    <row r="440" spans="1:33" s="536" customFormat="1" ht="12" x14ac:dyDescent="0.2">
      <c r="A440" s="676"/>
      <c r="B440" s="664"/>
      <c r="C440" s="1822" t="s">
        <v>4666</v>
      </c>
      <c r="D440" s="1822"/>
      <c r="E440" s="1822"/>
      <c r="F440" s="1822"/>
      <c r="G440" s="1822"/>
      <c r="H440" s="1822"/>
      <c r="I440" s="1822"/>
      <c r="J440" s="1822"/>
      <c r="K440" s="1822"/>
      <c r="L440" s="1822"/>
      <c r="M440" s="1822"/>
      <c r="N440" s="1827"/>
      <c r="V440" s="674"/>
      <c r="W440" s="675"/>
      <c r="X440" s="537" t="s">
        <v>4666</v>
      </c>
      <c r="AC440" s="675"/>
      <c r="AD440" s="680"/>
      <c r="AE440" s="675"/>
      <c r="AG440" s="675"/>
    </row>
    <row r="441" spans="1:33" s="536" customFormat="1" ht="22.5" x14ac:dyDescent="0.2">
      <c r="A441" s="609"/>
      <c r="B441" s="552" t="s">
        <v>499</v>
      </c>
      <c r="C441" s="1822" t="s">
        <v>500</v>
      </c>
      <c r="D441" s="1822"/>
      <c r="E441" s="1822"/>
      <c r="F441" s="1822"/>
      <c r="G441" s="1822"/>
      <c r="H441" s="1822"/>
      <c r="I441" s="1822"/>
      <c r="J441" s="1822"/>
      <c r="K441" s="1822"/>
      <c r="L441" s="1822"/>
      <c r="M441" s="1822"/>
      <c r="N441" s="1827"/>
      <c r="V441" s="674"/>
      <c r="W441" s="675"/>
      <c r="Y441" s="537" t="s">
        <v>500</v>
      </c>
      <c r="AC441" s="675"/>
      <c r="AD441" s="680"/>
      <c r="AE441" s="675"/>
      <c r="AG441" s="675"/>
    </row>
    <row r="442" spans="1:33" s="536" customFormat="1" ht="12" x14ac:dyDescent="0.2">
      <c r="A442" s="605"/>
      <c r="B442" s="552" t="s">
        <v>185</v>
      </c>
      <c r="C442" s="1822" t="s">
        <v>312</v>
      </c>
      <c r="D442" s="1822"/>
      <c r="E442" s="1822"/>
      <c r="F442" s="562"/>
      <c r="G442" s="562"/>
      <c r="H442" s="562"/>
      <c r="I442" s="562"/>
      <c r="J442" s="604">
        <v>1103.6400000000001</v>
      </c>
      <c r="K442" s="562" t="s">
        <v>313</v>
      </c>
      <c r="L442" s="604">
        <v>310.39999999999998</v>
      </c>
      <c r="M442" s="603"/>
      <c r="N442" s="602"/>
      <c r="V442" s="674"/>
      <c r="W442" s="675"/>
      <c r="Z442" s="537" t="s">
        <v>312</v>
      </c>
      <c r="AC442" s="675"/>
      <c r="AD442" s="680"/>
      <c r="AE442" s="675"/>
      <c r="AG442" s="675"/>
    </row>
    <row r="443" spans="1:33" s="536" customFormat="1" ht="12" x14ac:dyDescent="0.2">
      <c r="A443" s="605"/>
      <c r="B443" s="552" t="s">
        <v>186</v>
      </c>
      <c r="C443" s="1822" t="s">
        <v>344</v>
      </c>
      <c r="D443" s="1822"/>
      <c r="E443" s="1822"/>
      <c r="F443" s="562"/>
      <c r="G443" s="562"/>
      <c r="H443" s="562"/>
      <c r="I443" s="562"/>
      <c r="J443" s="604">
        <v>11621.38</v>
      </c>
      <c r="K443" s="562" t="s">
        <v>313</v>
      </c>
      <c r="L443" s="604">
        <v>3268.51</v>
      </c>
      <c r="M443" s="603"/>
      <c r="N443" s="602"/>
      <c r="V443" s="674"/>
      <c r="W443" s="675"/>
      <c r="Z443" s="537" t="s">
        <v>344</v>
      </c>
      <c r="AC443" s="675"/>
      <c r="AD443" s="680"/>
      <c r="AE443" s="675"/>
      <c r="AG443" s="675"/>
    </row>
    <row r="444" spans="1:33" s="536" customFormat="1" ht="12" x14ac:dyDescent="0.2">
      <c r="A444" s="605"/>
      <c r="B444" s="552" t="s">
        <v>187</v>
      </c>
      <c r="C444" s="1822" t="s">
        <v>345</v>
      </c>
      <c r="D444" s="1822"/>
      <c r="E444" s="1822"/>
      <c r="F444" s="562"/>
      <c r="G444" s="562"/>
      <c r="H444" s="562"/>
      <c r="I444" s="562"/>
      <c r="J444" s="604">
        <v>908.35</v>
      </c>
      <c r="K444" s="562" t="s">
        <v>313</v>
      </c>
      <c r="L444" s="604">
        <v>255.47</v>
      </c>
      <c r="M444" s="603"/>
      <c r="N444" s="602"/>
      <c r="V444" s="674"/>
      <c r="W444" s="675"/>
      <c r="Z444" s="537" t="s">
        <v>345</v>
      </c>
      <c r="AC444" s="675"/>
      <c r="AD444" s="680"/>
      <c r="AE444" s="675"/>
      <c r="AG444" s="675"/>
    </row>
    <row r="445" spans="1:33" s="536" customFormat="1" ht="12" x14ac:dyDescent="0.2">
      <c r="A445" s="605"/>
      <c r="B445" s="552" t="s">
        <v>188</v>
      </c>
      <c r="C445" s="1822" t="s">
        <v>475</v>
      </c>
      <c r="D445" s="1822"/>
      <c r="E445" s="1822"/>
      <c r="F445" s="562"/>
      <c r="G445" s="562"/>
      <c r="H445" s="562"/>
      <c r="I445" s="562"/>
      <c r="J445" s="604">
        <v>155.18</v>
      </c>
      <c r="K445" s="562"/>
      <c r="L445" s="604">
        <v>34.92</v>
      </c>
      <c r="M445" s="603"/>
      <c r="N445" s="602"/>
      <c r="V445" s="674"/>
      <c r="W445" s="675"/>
      <c r="Z445" s="537" t="s">
        <v>475</v>
      </c>
      <c r="AC445" s="675"/>
      <c r="AD445" s="680"/>
      <c r="AE445" s="675"/>
      <c r="AG445" s="675"/>
    </row>
    <row r="446" spans="1:33" s="536" customFormat="1" ht="12" x14ac:dyDescent="0.2">
      <c r="A446" s="676"/>
      <c r="B446" s="677" t="s">
        <v>2458</v>
      </c>
      <c r="C446" s="1829" t="s">
        <v>4635</v>
      </c>
      <c r="D446" s="1829"/>
      <c r="E446" s="1829"/>
      <c r="F446" s="678" t="s">
        <v>483</v>
      </c>
      <c r="G446" s="678" t="s">
        <v>4636</v>
      </c>
      <c r="H446" s="678"/>
      <c r="I446" s="678" t="s">
        <v>4667</v>
      </c>
      <c r="J446" s="552"/>
      <c r="K446" s="562"/>
      <c r="L446" s="604"/>
      <c r="M446" s="562"/>
      <c r="N446" s="679"/>
      <c r="V446" s="674"/>
      <c r="W446" s="675"/>
      <c r="AC446" s="675"/>
      <c r="AD446" s="680" t="s">
        <v>4635</v>
      </c>
      <c r="AE446" s="675"/>
      <c r="AG446" s="675"/>
    </row>
    <row r="447" spans="1:33" s="536" customFormat="1" ht="22.5" x14ac:dyDescent="0.2">
      <c r="A447" s="605"/>
      <c r="B447" s="552"/>
      <c r="C447" s="1822" t="s">
        <v>314</v>
      </c>
      <c r="D447" s="1822"/>
      <c r="E447" s="1822"/>
      <c r="F447" s="562" t="s">
        <v>315</v>
      </c>
      <c r="G447" s="562" t="s">
        <v>4668</v>
      </c>
      <c r="H447" s="562" t="s">
        <v>313</v>
      </c>
      <c r="I447" s="562" t="s">
        <v>4669</v>
      </c>
      <c r="J447" s="604"/>
      <c r="K447" s="562"/>
      <c r="L447" s="604"/>
      <c r="M447" s="603"/>
      <c r="N447" s="602"/>
      <c r="V447" s="674"/>
      <c r="W447" s="675"/>
      <c r="AA447" s="537" t="s">
        <v>314</v>
      </c>
      <c r="AC447" s="675"/>
      <c r="AD447" s="680"/>
      <c r="AE447" s="675"/>
      <c r="AG447" s="675"/>
    </row>
    <row r="448" spans="1:33" s="536" customFormat="1" ht="22.5" x14ac:dyDescent="0.2">
      <c r="A448" s="605"/>
      <c r="B448" s="552"/>
      <c r="C448" s="1822" t="s">
        <v>348</v>
      </c>
      <c r="D448" s="1822"/>
      <c r="E448" s="1822"/>
      <c r="F448" s="562" t="s">
        <v>315</v>
      </c>
      <c r="G448" s="562" t="s">
        <v>4670</v>
      </c>
      <c r="H448" s="562" t="s">
        <v>313</v>
      </c>
      <c r="I448" s="562" t="s">
        <v>4671</v>
      </c>
      <c r="J448" s="604"/>
      <c r="K448" s="562"/>
      <c r="L448" s="604"/>
      <c r="M448" s="603"/>
      <c r="N448" s="602"/>
      <c r="V448" s="674"/>
      <c r="W448" s="675"/>
      <c r="AA448" s="537" t="s">
        <v>348</v>
      </c>
      <c r="AC448" s="675"/>
      <c r="AD448" s="680"/>
      <c r="AE448" s="675"/>
      <c r="AG448" s="675"/>
    </row>
    <row r="449" spans="1:33" s="536" customFormat="1" ht="12" x14ac:dyDescent="0.2">
      <c r="A449" s="605"/>
      <c r="B449" s="552"/>
      <c r="C449" s="1828" t="s">
        <v>318</v>
      </c>
      <c r="D449" s="1828"/>
      <c r="E449" s="1828"/>
      <c r="F449" s="608"/>
      <c r="G449" s="608"/>
      <c r="H449" s="608"/>
      <c r="I449" s="608"/>
      <c r="J449" s="607">
        <v>12880.2</v>
      </c>
      <c r="K449" s="608"/>
      <c r="L449" s="607">
        <v>3613.83</v>
      </c>
      <c r="M449" s="601"/>
      <c r="N449" s="606"/>
      <c r="V449" s="674"/>
      <c r="W449" s="675"/>
      <c r="AB449" s="537" t="s">
        <v>318</v>
      </c>
      <c r="AC449" s="675"/>
      <c r="AD449" s="680"/>
      <c r="AE449" s="675"/>
      <c r="AG449" s="675"/>
    </row>
    <row r="450" spans="1:33" s="536" customFormat="1" ht="12" x14ac:dyDescent="0.2">
      <c r="A450" s="605"/>
      <c r="B450" s="552"/>
      <c r="C450" s="1822" t="s">
        <v>319</v>
      </c>
      <c r="D450" s="1822"/>
      <c r="E450" s="1822"/>
      <c r="F450" s="562"/>
      <c r="G450" s="562"/>
      <c r="H450" s="562"/>
      <c r="I450" s="562"/>
      <c r="J450" s="604"/>
      <c r="K450" s="562"/>
      <c r="L450" s="604">
        <v>565.87</v>
      </c>
      <c r="M450" s="603"/>
      <c r="N450" s="602"/>
      <c r="V450" s="674"/>
      <c r="W450" s="675"/>
      <c r="AA450" s="537" t="s">
        <v>319</v>
      </c>
      <c r="AC450" s="675"/>
      <c r="AD450" s="680"/>
      <c r="AE450" s="675"/>
      <c r="AG450" s="675"/>
    </row>
    <row r="451" spans="1:33" s="536" customFormat="1" ht="33.75" x14ac:dyDescent="0.2">
      <c r="A451" s="605"/>
      <c r="B451" s="552" t="s">
        <v>533</v>
      </c>
      <c r="C451" s="1822" t="s">
        <v>534</v>
      </c>
      <c r="D451" s="1822"/>
      <c r="E451" s="1822"/>
      <c r="F451" s="562" t="s">
        <v>322</v>
      </c>
      <c r="G451" s="562" t="s">
        <v>535</v>
      </c>
      <c r="H451" s="562"/>
      <c r="I451" s="562" t="s">
        <v>535</v>
      </c>
      <c r="J451" s="604"/>
      <c r="K451" s="562"/>
      <c r="L451" s="604">
        <v>662.07</v>
      </c>
      <c r="M451" s="603"/>
      <c r="N451" s="602"/>
      <c r="V451" s="674"/>
      <c r="W451" s="675"/>
      <c r="AA451" s="537" t="s">
        <v>534</v>
      </c>
      <c r="AC451" s="675"/>
      <c r="AD451" s="680"/>
      <c r="AE451" s="675"/>
      <c r="AG451" s="675"/>
    </row>
    <row r="452" spans="1:33" s="536" customFormat="1" ht="33.75" x14ac:dyDescent="0.2">
      <c r="A452" s="605"/>
      <c r="B452" s="552" t="s">
        <v>536</v>
      </c>
      <c r="C452" s="1822" t="s">
        <v>537</v>
      </c>
      <c r="D452" s="1822"/>
      <c r="E452" s="1822"/>
      <c r="F452" s="562" t="s">
        <v>322</v>
      </c>
      <c r="G452" s="562" t="s">
        <v>538</v>
      </c>
      <c r="H452" s="562"/>
      <c r="I452" s="562" t="s">
        <v>538</v>
      </c>
      <c r="J452" s="604"/>
      <c r="K452" s="562"/>
      <c r="L452" s="604">
        <v>418.74</v>
      </c>
      <c r="M452" s="603"/>
      <c r="N452" s="602"/>
      <c r="V452" s="674"/>
      <c r="W452" s="675"/>
      <c r="AA452" s="537" t="s">
        <v>537</v>
      </c>
      <c r="AC452" s="675"/>
      <c r="AD452" s="680"/>
      <c r="AE452" s="675"/>
      <c r="AG452" s="675"/>
    </row>
    <row r="453" spans="1:33" s="536" customFormat="1" ht="12" x14ac:dyDescent="0.2">
      <c r="A453" s="569"/>
      <c r="B453" s="671"/>
      <c r="C453" s="1823" t="s">
        <v>327</v>
      </c>
      <c r="D453" s="1823"/>
      <c r="E453" s="1823"/>
      <c r="F453" s="573"/>
      <c r="G453" s="573"/>
      <c r="H453" s="573"/>
      <c r="I453" s="573"/>
      <c r="J453" s="572"/>
      <c r="K453" s="573"/>
      <c r="L453" s="572">
        <v>4694.6400000000003</v>
      </c>
      <c r="M453" s="601"/>
      <c r="N453" s="570"/>
      <c r="V453" s="674"/>
      <c r="W453" s="675"/>
      <c r="AC453" s="675" t="s">
        <v>327</v>
      </c>
      <c r="AD453" s="680"/>
      <c r="AE453" s="675"/>
      <c r="AG453" s="675"/>
    </row>
    <row r="454" spans="1:33" s="536" customFormat="1" ht="67.5" x14ac:dyDescent="0.2">
      <c r="A454" s="575" t="s">
        <v>465</v>
      </c>
      <c r="B454" s="670" t="s">
        <v>4672</v>
      </c>
      <c r="C454" s="1823" t="s">
        <v>4673</v>
      </c>
      <c r="D454" s="1823"/>
      <c r="E454" s="1823"/>
      <c r="F454" s="573" t="s">
        <v>483</v>
      </c>
      <c r="G454" s="573"/>
      <c r="H454" s="573"/>
      <c r="I454" s="573" t="s">
        <v>4674</v>
      </c>
      <c r="J454" s="572">
        <v>7370.83</v>
      </c>
      <c r="K454" s="573"/>
      <c r="L454" s="572">
        <v>167538.97</v>
      </c>
      <c r="M454" s="571"/>
      <c r="N454" s="570"/>
      <c r="V454" s="674"/>
      <c r="W454" s="675" t="s">
        <v>4673</v>
      </c>
      <c r="AC454" s="675"/>
      <c r="AD454" s="680"/>
      <c r="AE454" s="675"/>
      <c r="AG454" s="675"/>
    </row>
    <row r="455" spans="1:33" s="536" customFormat="1" ht="12" x14ac:dyDescent="0.2">
      <c r="A455" s="569"/>
      <c r="B455" s="671"/>
      <c r="C455" s="665" t="s">
        <v>717</v>
      </c>
      <c r="D455" s="666"/>
      <c r="E455" s="666"/>
      <c r="F455" s="563"/>
      <c r="G455" s="563"/>
      <c r="H455" s="563"/>
      <c r="I455" s="563"/>
      <c r="J455" s="566"/>
      <c r="K455" s="563"/>
      <c r="L455" s="566"/>
      <c r="M455" s="565"/>
      <c r="N455" s="564"/>
      <c r="V455" s="674"/>
      <c r="W455" s="675"/>
      <c r="AC455" s="675"/>
      <c r="AD455" s="680"/>
      <c r="AE455" s="675"/>
      <c r="AG455" s="675"/>
    </row>
    <row r="456" spans="1:33" s="536" customFormat="1" ht="33.75" x14ac:dyDescent="0.2">
      <c r="A456" s="575" t="s">
        <v>782</v>
      </c>
      <c r="B456" s="670" t="s">
        <v>4675</v>
      </c>
      <c r="C456" s="1823" t="s">
        <v>4676</v>
      </c>
      <c r="D456" s="1823"/>
      <c r="E456" s="1823"/>
      <c r="F456" s="573" t="s">
        <v>1110</v>
      </c>
      <c r="G456" s="573"/>
      <c r="H456" s="573"/>
      <c r="I456" s="573" t="s">
        <v>1509</v>
      </c>
      <c r="J456" s="572"/>
      <c r="K456" s="573"/>
      <c r="L456" s="572"/>
      <c r="M456" s="571"/>
      <c r="N456" s="570"/>
      <c r="V456" s="674"/>
      <c r="W456" s="675" t="s">
        <v>4676</v>
      </c>
      <c r="AC456" s="675"/>
      <c r="AD456" s="680"/>
      <c r="AE456" s="675"/>
      <c r="AG456" s="675"/>
    </row>
    <row r="457" spans="1:33" s="536" customFormat="1" ht="12" x14ac:dyDescent="0.2">
      <c r="A457" s="676"/>
      <c r="B457" s="664"/>
      <c r="C457" s="1822" t="s">
        <v>4677</v>
      </c>
      <c r="D457" s="1822"/>
      <c r="E457" s="1822"/>
      <c r="F457" s="1822"/>
      <c r="G457" s="1822"/>
      <c r="H457" s="1822"/>
      <c r="I457" s="1822"/>
      <c r="J457" s="1822"/>
      <c r="K457" s="1822"/>
      <c r="L457" s="1822"/>
      <c r="M457" s="1822"/>
      <c r="N457" s="1827"/>
      <c r="V457" s="674"/>
      <c r="W457" s="675"/>
      <c r="X457" s="537" t="s">
        <v>4677</v>
      </c>
      <c r="AC457" s="675"/>
      <c r="AD457" s="680"/>
      <c r="AE457" s="675"/>
      <c r="AG457" s="675"/>
    </row>
    <row r="458" spans="1:33" s="536" customFormat="1" ht="22.5" x14ac:dyDescent="0.2">
      <c r="A458" s="609"/>
      <c r="B458" s="552" t="s">
        <v>499</v>
      </c>
      <c r="C458" s="1822" t="s">
        <v>500</v>
      </c>
      <c r="D458" s="1822"/>
      <c r="E458" s="1822"/>
      <c r="F458" s="1822"/>
      <c r="G458" s="1822"/>
      <c r="H458" s="1822"/>
      <c r="I458" s="1822"/>
      <c r="J458" s="1822"/>
      <c r="K458" s="1822"/>
      <c r="L458" s="1822"/>
      <c r="M458" s="1822"/>
      <c r="N458" s="1827"/>
      <c r="V458" s="674"/>
      <c r="W458" s="675"/>
      <c r="Y458" s="537" t="s">
        <v>500</v>
      </c>
      <c r="AC458" s="675"/>
      <c r="AD458" s="680"/>
      <c r="AE458" s="675"/>
      <c r="AG458" s="675"/>
    </row>
    <row r="459" spans="1:33" s="536" customFormat="1" ht="12" x14ac:dyDescent="0.2">
      <c r="A459" s="605"/>
      <c r="B459" s="552" t="s">
        <v>185</v>
      </c>
      <c r="C459" s="1822" t="s">
        <v>312</v>
      </c>
      <c r="D459" s="1822"/>
      <c r="E459" s="1822"/>
      <c r="F459" s="562"/>
      <c r="G459" s="562"/>
      <c r="H459" s="562"/>
      <c r="I459" s="562"/>
      <c r="J459" s="604">
        <v>1410.62</v>
      </c>
      <c r="K459" s="562" t="s">
        <v>313</v>
      </c>
      <c r="L459" s="604">
        <v>1260.74</v>
      </c>
      <c r="M459" s="603"/>
      <c r="N459" s="602"/>
      <c r="V459" s="674"/>
      <c r="W459" s="675"/>
      <c r="Z459" s="537" t="s">
        <v>312</v>
      </c>
      <c r="AC459" s="675"/>
      <c r="AD459" s="680"/>
      <c r="AE459" s="675"/>
      <c r="AG459" s="675"/>
    </row>
    <row r="460" spans="1:33" s="536" customFormat="1" ht="12" x14ac:dyDescent="0.2">
      <c r="A460" s="605"/>
      <c r="B460" s="552" t="s">
        <v>186</v>
      </c>
      <c r="C460" s="1822" t="s">
        <v>344</v>
      </c>
      <c r="D460" s="1822"/>
      <c r="E460" s="1822"/>
      <c r="F460" s="562"/>
      <c r="G460" s="562"/>
      <c r="H460" s="562"/>
      <c r="I460" s="562"/>
      <c r="J460" s="604">
        <v>18086.259999999998</v>
      </c>
      <c r="K460" s="562" t="s">
        <v>313</v>
      </c>
      <c r="L460" s="604">
        <v>16164.59</v>
      </c>
      <c r="M460" s="603"/>
      <c r="N460" s="602"/>
      <c r="V460" s="674"/>
      <c r="W460" s="675"/>
      <c r="Z460" s="537" t="s">
        <v>344</v>
      </c>
      <c r="AC460" s="675"/>
      <c r="AD460" s="680"/>
      <c r="AE460" s="675"/>
      <c r="AG460" s="675"/>
    </row>
    <row r="461" spans="1:33" s="536" customFormat="1" ht="12" x14ac:dyDescent="0.2">
      <c r="A461" s="605"/>
      <c r="B461" s="552" t="s">
        <v>187</v>
      </c>
      <c r="C461" s="1822" t="s">
        <v>345</v>
      </c>
      <c r="D461" s="1822"/>
      <c r="E461" s="1822"/>
      <c r="F461" s="562"/>
      <c r="G461" s="562"/>
      <c r="H461" s="562"/>
      <c r="I461" s="562"/>
      <c r="J461" s="604">
        <v>1351.01</v>
      </c>
      <c r="K461" s="562" t="s">
        <v>313</v>
      </c>
      <c r="L461" s="604">
        <v>1207.47</v>
      </c>
      <c r="M461" s="603"/>
      <c r="N461" s="602"/>
      <c r="V461" s="674"/>
      <c r="W461" s="675"/>
      <c r="Z461" s="537" t="s">
        <v>345</v>
      </c>
      <c r="AC461" s="675"/>
      <c r="AD461" s="680"/>
      <c r="AE461" s="675"/>
      <c r="AG461" s="675"/>
    </row>
    <row r="462" spans="1:33" s="536" customFormat="1" ht="12" x14ac:dyDescent="0.2">
      <c r="A462" s="605"/>
      <c r="B462" s="552" t="s">
        <v>188</v>
      </c>
      <c r="C462" s="1822" t="s">
        <v>475</v>
      </c>
      <c r="D462" s="1822"/>
      <c r="E462" s="1822"/>
      <c r="F462" s="562"/>
      <c r="G462" s="562"/>
      <c r="H462" s="562"/>
      <c r="I462" s="562"/>
      <c r="J462" s="604">
        <v>275.72000000000003</v>
      </c>
      <c r="K462" s="562"/>
      <c r="L462" s="604">
        <v>197.14</v>
      </c>
      <c r="M462" s="603"/>
      <c r="N462" s="602"/>
      <c r="V462" s="674"/>
      <c r="W462" s="675"/>
      <c r="Z462" s="537" t="s">
        <v>475</v>
      </c>
      <c r="AC462" s="675"/>
      <c r="AD462" s="680"/>
      <c r="AE462" s="675"/>
      <c r="AG462" s="675"/>
    </row>
    <row r="463" spans="1:33" s="536" customFormat="1" ht="12" x14ac:dyDescent="0.2">
      <c r="A463" s="676"/>
      <c r="B463" s="677" t="s">
        <v>2458</v>
      </c>
      <c r="C463" s="1829" t="s">
        <v>4635</v>
      </c>
      <c r="D463" s="1829"/>
      <c r="E463" s="1829"/>
      <c r="F463" s="678" t="s">
        <v>483</v>
      </c>
      <c r="G463" s="678" t="s">
        <v>4636</v>
      </c>
      <c r="H463" s="678"/>
      <c r="I463" s="678" t="s">
        <v>4678</v>
      </c>
      <c r="J463" s="552"/>
      <c r="K463" s="562"/>
      <c r="L463" s="604"/>
      <c r="M463" s="562"/>
      <c r="N463" s="679"/>
      <c r="V463" s="674"/>
      <c r="W463" s="675"/>
      <c r="AC463" s="675"/>
      <c r="AD463" s="680" t="s">
        <v>4635</v>
      </c>
      <c r="AE463" s="675"/>
      <c r="AG463" s="675"/>
    </row>
    <row r="464" spans="1:33" s="536" customFormat="1" ht="22.5" x14ac:dyDescent="0.2">
      <c r="A464" s="605"/>
      <c r="B464" s="552"/>
      <c r="C464" s="1822" t="s">
        <v>314</v>
      </c>
      <c r="D464" s="1822"/>
      <c r="E464" s="1822"/>
      <c r="F464" s="562" t="s">
        <v>315</v>
      </c>
      <c r="G464" s="562" t="s">
        <v>4679</v>
      </c>
      <c r="H464" s="562" t="s">
        <v>313</v>
      </c>
      <c r="I464" s="562" t="s">
        <v>4680</v>
      </c>
      <c r="J464" s="604"/>
      <c r="K464" s="562"/>
      <c r="L464" s="604"/>
      <c r="M464" s="603"/>
      <c r="N464" s="602"/>
      <c r="V464" s="674"/>
      <c r="W464" s="675"/>
      <c r="AA464" s="537" t="s">
        <v>314</v>
      </c>
      <c r="AC464" s="675"/>
      <c r="AD464" s="680"/>
      <c r="AE464" s="675"/>
      <c r="AG464" s="675"/>
    </row>
    <row r="465" spans="1:33" s="536" customFormat="1" ht="12" x14ac:dyDescent="0.2">
      <c r="A465" s="605"/>
      <c r="B465" s="552"/>
      <c r="C465" s="1822" t="s">
        <v>348</v>
      </c>
      <c r="D465" s="1822"/>
      <c r="E465" s="1822"/>
      <c r="F465" s="562" t="s">
        <v>315</v>
      </c>
      <c r="G465" s="562" t="s">
        <v>4681</v>
      </c>
      <c r="H465" s="562" t="s">
        <v>313</v>
      </c>
      <c r="I465" s="562" t="s">
        <v>4682</v>
      </c>
      <c r="J465" s="604"/>
      <c r="K465" s="562"/>
      <c r="L465" s="604"/>
      <c r="M465" s="603"/>
      <c r="N465" s="602"/>
      <c r="V465" s="674"/>
      <c r="W465" s="675"/>
      <c r="AA465" s="537" t="s">
        <v>348</v>
      </c>
      <c r="AC465" s="675"/>
      <c r="AD465" s="680"/>
      <c r="AE465" s="675"/>
      <c r="AG465" s="675"/>
    </row>
    <row r="466" spans="1:33" s="536" customFormat="1" ht="12" x14ac:dyDescent="0.2">
      <c r="A466" s="605"/>
      <c r="B466" s="552"/>
      <c r="C466" s="1828" t="s">
        <v>318</v>
      </c>
      <c r="D466" s="1828"/>
      <c r="E466" s="1828"/>
      <c r="F466" s="608"/>
      <c r="G466" s="608"/>
      <c r="H466" s="608"/>
      <c r="I466" s="608"/>
      <c r="J466" s="607">
        <v>19772.599999999999</v>
      </c>
      <c r="K466" s="608"/>
      <c r="L466" s="607">
        <v>17622.47</v>
      </c>
      <c r="M466" s="601"/>
      <c r="N466" s="606"/>
      <c r="V466" s="674"/>
      <c r="W466" s="675"/>
      <c r="AB466" s="537" t="s">
        <v>318</v>
      </c>
      <c r="AC466" s="675"/>
      <c r="AD466" s="680"/>
      <c r="AE466" s="675"/>
      <c r="AG466" s="675"/>
    </row>
    <row r="467" spans="1:33" s="536" customFormat="1" ht="12" x14ac:dyDescent="0.2">
      <c r="A467" s="605"/>
      <c r="B467" s="552"/>
      <c r="C467" s="1822" t="s">
        <v>319</v>
      </c>
      <c r="D467" s="1822"/>
      <c r="E467" s="1822"/>
      <c r="F467" s="562"/>
      <c r="G467" s="562"/>
      <c r="H467" s="562"/>
      <c r="I467" s="562"/>
      <c r="J467" s="604"/>
      <c r="K467" s="562"/>
      <c r="L467" s="604">
        <v>2468.21</v>
      </c>
      <c r="M467" s="603"/>
      <c r="N467" s="602"/>
      <c r="V467" s="674"/>
      <c r="W467" s="675"/>
      <c r="AA467" s="537" t="s">
        <v>319</v>
      </c>
      <c r="AC467" s="675"/>
      <c r="AD467" s="680"/>
      <c r="AE467" s="675"/>
      <c r="AG467" s="675"/>
    </row>
    <row r="468" spans="1:33" s="536" customFormat="1" ht="33.75" x14ac:dyDescent="0.2">
      <c r="A468" s="605"/>
      <c r="B468" s="552" t="s">
        <v>533</v>
      </c>
      <c r="C468" s="1822" t="s">
        <v>534</v>
      </c>
      <c r="D468" s="1822"/>
      <c r="E468" s="1822"/>
      <c r="F468" s="562" t="s">
        <v>322</v>
      </c>
      <c r="G468" s="562" t="s">
        <v>535</v>
      </c>
      <c r="H468" s="562"/>
      <c r="I468" s="562" t="s">
        <v>535</v>
      </c>
      <c r="J468" s="604"/>
      <c r="K468" s="562"/>
      <c r="L468" s="604">
        <v>2887.81</v>
      </c>
      <c r="M468" s="603"/>
      <c r="N468" s="602"/>
      <c r="V468" s="674"/>
      <c r="W468" s="675"/>
      <c r="AA468" s="537" t="s">
        <v>534</v>
      </c>
      <c r="AC468" s="675"/>
      <c r="AD468" s="680"/>
      <c r="AE468" s="675"/>
      <c r="AG468" s="675"/>
    </row>
    <row r="469" spans="1:33" s="536" customFormat="1" ht="33.75" x14ac:dyDescent="0.2">
      <c r="A469" s="605"/>
      <c r="B469" s="552" t="s">
        <v>536</v>
      </c>
      <c r="C469" s="1822" t="s">
        <v>537</v>
      </c>
      <c r="D469" s="1822"/>
      <c r="E469" s="1822"/>
      <c r="F469" s="562" t="s">
        <v>322</v>
      </c>
      <c r="G469" s="562" t="s">
        <v>538</v>
      </c>
      <c r="H469" s="562"/>
      <c r="I469" s="562" t="s">
        <v>538</v>
      </c>
      <c r="J469" s="604"/>
      <c r="K469" s="562"/>
      <c r="L469" s="604">
        <v>1826.48</v>
      </c>
      <c r="M469" s="603"/>
      <c r="N469" s="602"/>
      <c r="V469" s="674"/>
      <c r="W469" s="675"/>
      <c r="AA469" s="537" t="s">
        <v>537</v>
      </c>
      <c r="AC469" s="675"/>
      <c r="AD469" s="680"/>
      <c r="AE469" s="675"/>
      <c r="AG469" s="675"/>
    </row>
    <row r="470" spans="1:33" s="536" customFormat="1" ht="12" x14ac:dyDescent="0.2">
      <c r="A470" s="569"/>
      <c r="B470" s="671"/>
      <c r="C470" s="1823" t="s">
        <v>327</v>
      </c>
      <c r="D470" s="1823"/>
      <c r="E470" s="1823"/>
      <c r="F470" s="573"/>
      <c r="G470" s="573"/>
      <c r="H470" s="573"/>
      <c r="I470" s="573"/>
      <c r="J470" s="572"/>
      <c r="K470" s="573"/>
      <c r="L470" s="572">
        <v>22336.76</v>
      </c>
      <c r="M470" s="601"/>
      <c r="N470" s="570"/>
      <c r="V470" s="674"/>
      <c r="W470" s="675"/>
      <c r="AC470" s="675" t="s">
        <v>327</v>
      </c>
      <c r="AD470" s="680"/>
      <c r="AE470" s="675"/>
      <c r="AG470" s="675"/>
    </row>
    <row r="471" spans="1:33" s="536" customFormat="1" ht="67.5" x14ac:dyDescent="0.2">
      <c r="A471" s="575" t="s">
        <v>501</v>
      </c>
      <c r="B471" s="670" t="s">
        <v>4683</v>
      </c>
      <c r="C471" s="1823" t="s">
        <v>4684</v>
      </c>
      <c r="D471" s="1823"/>
      <c r="E471" s="1823"/>
      <c r="F471" s="573" t="s">
        <v>483</v>
      </c>
      <c r="G471" s="573"/>
      <c r="H471" s="573"/>
      <c r="I471" s="573" t="s">
        <v>4685</v>
      </c>
      <c r="J471" s="572">
        <v>13080.25</v>
      </c>
      <c r="K471" s="573"/>
      <c r="L471" s="572">
        <v>944655.66</v>
      </c>
      <c r="M471" s="571"/>
      <c r="N471" s="570"/>
      <c r="V471" s="674"/>
      <c r="W471" s="675" t="s">
        <v>4684</v>
      </c>
      <c r="AC471" s="675"/>
      <c r="AD471" s="680"/>
      <c r="AE471" s="675"/>
      <c r="AG471" s="675"/>
    </row>
    <row r="472" spans="1:33" s="536" customFormat="1" ht="12" x14ac:dyDescent="0.2">
      <c r="A472" s="569"/>
      <c r="B472" s="671"/>
      <c r="C472" s="665" t="s">
        <v>717</v>
      </c>
      <c r="D472" s="666"/>
      <c r="E472" s="666"/>
      <c r="F472" s="563"/>
      <c r="G472" s="563"/>
      <c r="H472" s="563"/>
      <c r="I472" s="563"/>
      <c r="J472" s="566"/>
      <c r="K472" s="563"/>
      <c r="L472" s="566"/>
      <c r="M472" s="565"/>
      <c r="N472" s="564"/>
      <c r="V472" s="674"/>
      <c r="W472" s="675"/>
      <c r="AC472" s="675"/>
      <c r="AD472" s="680"/>
      <c r="AE472" s="675"/>
      <c r="AG472" s="675"/>
    </row>
    <row r="473" spans="1:33" s="536" customFormat="1" ht="45" x14ac:dyDescent="0.2">
      <c r="A473" s="575" t="s">
        <v>784</v>
      </c>
      <c r="B473" s="670" t="s">
        <v>4535</v>
      </c>
      <c r="C473" s="1823" t="s">
        <v>4536</v>
      </c>
      <c r="D473" s="1823"/>
      <c r="E473" s="1823"/>
      <c r="F473" s="573" t="s">
        <v>1537</v>
      </c>
      <c r="G473" s="573"/>
      <c r="H473" s="573"/>
      <c r="I473" s="573" t="s">
        <v>4686</v>
      </c>
      <c r="J473" s="572"/>
      <c r="K473" s="573"/>
      <c r="L473" s="572"/>
      <c r="M473" s="571"/>
      <c r="N473" s="570"/>
      <c r="V473" s="674"/>
      <c r="W473" s="675" t="s">
        <v>4536</v>
      </c>
      <c r="AC473" s="675"/>
      <c r="AD473" s="680"/>
      <c r="AE473" s="675"/>
      <c r="AG473" s="675"/>
    </row>
    <row r="474" spans="1:33" s="536" customFormat="1" ht="12" x14ac:dyDescent="0.2">
      <c r="A474" s="676"/>
      <c r="B474" s="664"/>
      <c r="C474" s="1822" t="s">
        <v>4687</v>
      </c>
      <c r="D474" s="1822"/>
      <c r="E474" s="1822"/>
      <c r="F474" s="1822"/>
      <c r="G474" s="1822"/>
      <c r="H474" s="1822"/>
      <c r="I474" s="1822"/>
      <c r="J474" s="1822"/>
      <c r="K474" s="1822"/>
      <c r="L474" s="1822"/>
      <c r="M474" s="1822"/>
      <c r="N474" s="1827"/>
      <c r="V474" s="674"/>
      <c r="W474" s="675"/>
      <c r="X474" s="537" t="s">
        <v>4687</v>
      </c>
      <c r="AC474" s="675"/>
      <c r="AD474" s="680"/>
      <c r="AE474" s="675"/>
      <c r="AG474" s="675"/>
    </row>
    <row r="475" spans="1:33" s="536" customFormat="1" ht="22.5" x14ac:dyDescent="0.2">
      <c r="A475" s="609"/>
      <c r="B475" s="552" t="s">
        <v>499</v>
      </c>
      <c r="C475" s="1822" t="s">
        <v>500</v>
      </c>
      <c r="D475" s="1822"/>
      <c r="E475" s="1822"/>
      <c r="F475" s="1822"/>
      <c r="G475" s="1822"/>
      <c r="H475" s="1822"/>
      <c r="I475" s="1822"/>
      <c r="J475" s="1822"/>
      <c r="K475" s="1822"/>
      <c r="L475" s="1822"/>
      <c r="M475" s="1822"/>
      <c r="N475" s="1827"/>
      <c r="V475" s="674"/>
      <c r="W475" s="675"/>
      <c r="Y475" s="537" t="s">
        <v>500</v>
      </c>
      <c r="AC475" s="675"/>
      <c r="AD475" s="680"/>
      <c r="AE475" s="675"/>
      <c r="AG475" s="675"/>
    </row>
    <row r="476" spans="1:33" s="536" customFormat="1" ht="12" x14ac:dyDescent="0.2">
      <c r="A476" s="605"/>
      <c r="B476" s="552" t="s">
        <v>185</v>
      </c>
      <c r="C476" s="1822" t="s">
        <v>312</v>
      </c>
      <c r="D476" s="1822"/>
      <c r="E476" s="1822"/>
      <c r="F476" s="562"/>
      <c r="G476" s="562"/>
      <c r="H476" s="562"/>
      <c r="I476" s="562"/>
      <c r="J476" s="604">
        <v>1257.92</v>
      </c>
      <c r="K476" s="562" t="s">
        <v>313</v>
      </c>
      <c r="L476" s="604">
        <v>1889.4</v>
      </c>
      <c r="M476" s="603"/>
      <c r="N476" s="602"/>
      <c r="V476" s="674"/>
      <c r="W476" s="675"/>
      <c r="Z476" s="537" t="s">
        <v>312</v>
      </c>
      <c r="AC476" s="675"/>
      <c r="AD476" s="680"/>
      <c r="AE476" s="675"/>
      <c r="AG476" s="675"/>
    </row>
    <row r="477" spans="1:33" s="536" customFormat="1" ht="12" x14ac:dyDescent="0.2">
      <c r="A477" s="605"/>
      <c r="B477" s="552" t="s">
        <v>186</v>
      </c>
      <c r="C477" s="1822" t="s">
        <v>344</v>
      </c>
      <c r="D477" s="1822"/>
      <c r="E477" s="1822"/>
      <c r="F477" s="562"/>
      <c r="G477" s="562"/>
      <c r="H477" s="562"/>
      <c r="I477" s="562"/>
      <c r="J477" s="604">
        <v>2297.79</v>
      </c>
      <c r="K477" s="562" t="s">
        <v>313</v>
      </c>
      <c r="L477" s="604">
        <v>3451.28</v>
      </c>
      <c r="M477" s="603"/>
      <c r="N477" s="602"/>
      <c r="V477" s="674"/>
      <c r="W477" s="675"/>
      <c r="Z477" s="537" t="s">
        <v>344</v>
      </c>
      <c r="AC477" s="675"/>
      <c r="AD477" s="680"/>
      <c r="AE477" s="675"/>
      <c r="AG477" s="675"/>
    </row>
    <row r="478" spans="1:33" s="536" customFormat="1" ht="12" x14ac:dyDescent="0.2">
      <c r="A478" s="605"/>
      <c r="B478" s="552" t="s">
        <v>187</v>
      </c>
      <c r="C478" s="1822" t="s">
        <v>345</v>
      </c>
      <c r="D478" s="1822"/>
      <c r="E478" s="1822"/>
      <c r="F478" s="562"/>
      <c r="G478" s="562"/>
      <c r="H478" s="562"/>
      <c r="I478" s="562"/>
      <c r="J478" s="604">
        <v>286.33999999999997</v>
      </c>
      <c r="K478" s="562" t="s">
        <v>313</v>
      </c>
      <c r="L478" s="604">
        <v>430.08</v>
      </c>
      <c r="M478" s="603"/>
      <c r="N478" s="602"/>
      <c r="V478" s="674"/>
      <c r="W478" s="675"/>
      <c r="Z478" s="537" t="s">
        <v>345</v>
      </c>
      <c r="AC478" s="675"/>
      <c r="AD478" s="680"/>
      <c r="AE478" s="675"/>
      <c r="AG478" s="675"/>
    </row>
    <row r="479" spans="1:33" s="536" customFormat="1" ht="12" x14ac:dyDescent="0.2">
      <c r="A479" s="605"/>
      <c r="B479" s="552" t="s">
        <v>188</v>
      </c>
      <c r="C479" s="1822" t="s">
        <v>475</v>
      </c>
      <c r="D479" s="1822"/>
      <c r="E479" s="1822"/>
      <c r="F479" s="562"/>
      <c r="G479" s="562"/>
      <c r="H479" s="562"/>
      <c r="I479" s="562"/>
      <c r="J479" s="604">
        <v>3018.09</v>
      </c>
      <c r="K479" s="562"/>
      <c r="L479" s="604">
        <v>3626.54</v>
      </c>
      <c r="M479" s="603"/>
      <c r="N479" s="602"/>
      <c r="V479" s="674"/>
      <c r="W479" s="675"/>
      <c r="Z479" s="537" t="s">
        <v>475</v>
      </c>
      <c r="AC479" s="675"/>
      <c r="AD479" s="680"/>
      <c r="AE479" s="675"/>
      <c r="AG479" s="675"/>
    </row>
    <row r="480" spans="1:33" s="536" customFormat="1" ht="22.5" x14ac:dyDescent="0.2">
      <c r="A480" s="676"/>
      <c r="B480" s="677" t="s">
        <v>4438</v>
      </c>
      <c r="C480" s="1829" t="s">
        <v>4538</v>
      </c>
      <c r="D480" s="1829"/>
      <c r="E480" s="1829"/>
      <c r="F480" s="678" t="s">
        <v>483</v>
      </c>
      <c r="G480" s="678" t="s">
        <v>525</v>
      </c>
      <c r="H480" s="678"/>
      <c r="I480" s="678" t="s">
        <v>525</v>
      </c>
      <c r="J480" s="552"/>
      <c r="K480" s="562"/>
      <c r="L480" s="604"/>
      <c r="M480" s="562"/>
      <c r="N480" s="679"/>
      <c r="V480" s="674"/>
      <c r="W480" s="675"/>
      <c r="AC480" s="675"/>
      <c r="AD480" s="680" t="s">
        <v>4538</v>
      </c>
      <c r="AE480" s="675"/>
      <c r="AG480" s="675"/>
    </row>
    <row r="481" spans="1:33" s="536" customFormat="1" ht="12" x14ac:dyDescent="0.2">
      <c r="A481" s="676"/>
      <c r="B481" s="677" t="s">
        <v>4539</v>
      </c>
      <c r="C481" s="1829" t="s">
        <v>4540</v>
      </c>
      <c r="D481" s="1829"/>
      <c r="E481" s="1829"/>
      <c r="F481" s="678" t="s">
        <v>617</v>
      </c>
      <c r="G481" s="678" t="s">
        <v>525</v>
      </c>
      <c r="H481" s="678"/>
      <c r="I481" s="678" t="s">
        <v>525</v>
      </c>
      <c r="J481" s="552"/>
      <c r="K481" s="562"/>
      <c r="L481" s="604"/>
      <c r="M481" s="562"/>
      <c r="N481" s="679"/>
      <c r="V481" s="674"/>
      <c r="W481" s="675"/>
      <c r="AC481" s="675"/>
      <c r="AD481" s="680" t="s">
        <v>4540</v>
      </c>
      <c r="AE481" s="675"/>
      <c r="AG481" s="675"/>
    </row>
    <row r="482" spans="1:33" s="536" customFormat="1" ht="22.5" x14ac:dyDescent="0.2">
      <c r="A482" s="676"/>
      <c r="B482" s="677" t="s">
        <v>4541</v>
      </c>
      <c r="C482" s="1829" t="s">
        <v>4542</v>
      </c>
      <c r="D482" s="1829"/>
      <c r="E482" s="1829"/>
      <c r="F482" s="678" t="s">
        <v>694</v>
      </c>
      <c r="G482" s="678" t="s">
        <v>525</v>
      </c>
      <c r="H482" s="678"/>
      <c r="I482" s="678" t="s">
        <v>525</v>
      </c>
      <c r="J482" s="552"/>
      <c r="K482" s="562"/>
      <c r="L482" s="604"/>
      <c r="M482" s="562"/>
      <c r="N482" s="679"/>
      <c r="V482" s="674"/>
      <c r="W482" s="675"/>
      <c r="AC482" s="675"/>
      <c r="AD482" s="680" t="s">
        <v>4542</v>
      </c>
      <c r="AE482" s="675"/>
      <c r="AG482" s="675"/>
    </row>
    <row r="483" spans="1:33" s="536" customFormat="1" ht="12" x14ac:dyDescent="0.2">
      <c r="A483" s="676"/>
      <c r="B483" s="677" t="s">
        <v>4443</v>
      </c>
      <c r="C483" s="1829" t="s">
        <v>4444</v>
      </c>
      <c r="D483" s="1829"/>
      <c r="E483" s="1829"/>
      <c r="F483" s="678" t="s">
        <v>617</v>
      </c>
      <c r="G483" s="678" t="s">
        <v>525</v>
      </c>
      <c r="H483" s="678"/>
      <c r="I483" s="678" t="s">
        <v>525</v>
      </c>
      <c r="J483" s="552"/>
      <c r="K483" s="562"/>
      <c r="L483" s="604"/>
      <c r="M483" s="562"/>
      <c r="N483" s="679"/>
      <c r="V483" s="674"/>
      <c r="W483" s="675"/>
      <c r="AC483" s="675"/>
      <c r="AD483" s="680" t="s">
        <v>4444</v>
      </c>
      <c r="AE483" s="675"/>
      <c r="AG483" s="675"/>
    </row>
    <row r="484" spans="1:33" s="536" customFormat="1" ht="12" x14ac:dyDescent="0.2">
      <c r="A484" s="605"/>
      <c r="B484" s="552"/>
      <c r="C484" s="1822" t="s">
        <v>314</v>
      </c>
      <c r="D484" s="1822"/>
      <c r="E484" s="1822"/>
      <c r="F484" s="562" t="s">
        <v>315</v>
      </c>
      <c r="G484" s="562" t="s">
        <v>4543</v>
      </c>
      <c r="H484" s="562" t="s">
        <v>313</v>
      </c>
      <c r="I484" s="562" t="s">
        <v>4688</v>
      </c>
      <c r="J484" s="604"/>
      <c r="K484" s="562"/>
      <c r="L484" s="604"/>
      <c r="M484" s="603"/>
      <c r="N484" s="602"/>
      <c r="V484" s="674"/>
      <c r="W484" s="675"/>
      <c r="AA484" s="537" t="s">
        <v>314</v>
      </c>
      <c r="AC484" s="675"/>
      <c r="AD484" s="680"/>
      <c r="AE484" s="675"/>
      <c r="AG484" s="675"/>
    </row>
    <row r="485" spans="1:33" s="536" customFormat="1" ht="12" x14ac:dyDescent="0.2">
      <c r="A485" s="605"/>
      <c r="B485" s="552"/>
      <c r="C485" s="1822" t="s">
        <v>348</v>
      </c>
      <c r="D485" s="1822"/>
      <c r="E485" s="1822"/>
      <c r="F485" s="562" t="s">
        <v>315</v>
      </c>
      <c r="G485" s="562" t="s">
        <v>4544</v>
      </c>
      <c r="H485" s="562" t="s">
        <v>313</v>
      </c>
      <c r="I485" s="562" t="s">
        <v>4689</v>
      </c>
      <c r="J485" s="604"/>
      <c r="K485" s="562"/>
      <c r="L485" s="604"/>
      <c r="M485" s="603"/>
      <c r="N485" s="602"/>
      <c r="V485" s="674"/>
      <c r="W485" s="675"/>
      <c r="AA485" s="537" t="s">
        <v>348</v>
      </c>
      <c r="AC485" s="675"/>
      <c r="AD485" s="680"/>
      <c r="AE485" s="675"/>
      <c r="AG485" s="675"/>
    </row>
    <row r="486" spans="1:33" s="536" customFormat="1" ht="12" x14ac:dyDescent="0.2">
      <c r="A486" s="605"/>
      <c r="B486" s="552"/>
      <c r="C486" s="1828" t="s">
        <v>318</v>
      </c>
      <c r="D486" s="1828"/>
      <c r="E486" s="1828"/>
      <c r="F486" s="608"/>
      <c r="G486" s="608"/>
      <c r="H486" s="608"/>
      <c r="I486" s="608"/>
      <c r="J486" s="607">
        <v>6573.8</v>
      </c>
      <c r="K486" s="608"/>
      <c r="L486" s="607">
        <v>8967.2199999999993</v>
      </c>
      <c r="M486" s="601"/>
      <c r="N486" s="606"/>
      <c r="V486" s="674"/>
      <c r="W486" s="675"/>
      <c r="AB486" s="537" t="s">
        <v>318</v>
      </c>
      <c r="AC486" s="675"/>
      <c r="AD486" s="680"/>
      <c r="AE486" s="675"/>
      <c r="AG486" s="675"/>
    </row>
    <row r="487" spans="1:33" s="536" customFormat="1" ht="12" x14ac:dyDescent="0.2">
      <c r="A487" s="605"/>
      <c r="B487" s="552"/>
      <c r="C487" s="1822" t="s">
        <v>319</v>
      </c>
      <c r="D487" s="1822"/>
      <c r="E487" s="1822"/>
      <c r="F487" s="562"/>
      <c r="G487" s="562"/>
      <c r="H487" s="562"/>
      <c r="I487" s="562"/>
      <c r="J487" s="604"/>
      <c r="K487" s="562"/>
      <c r="L487" s="604">
        <v>2319.48</v>
      </c>
      <c r="M487" s="603"/>
      <c r="N487" s="602"/>
      <c r="V487" s="674"/>
      <c r="W487" s="675"/>
      <c r="AA487" s="537" t="s">
        <v>319</v>
      </c>
      <c r="AC487" s="675"/>
      <c r="AD487" s="680"/>
      <c r="AE487" s="675"/>
      <c r="AG487" s="675"/>
    </row>
    <row r="488" spans="1:33" s="536" customFormat="1" ht="33.75" x14ac:dyDescent="0.2">
      <c r="A488" s="605"/>
      <c r="B488" s="552" t="s">
        <v>533</v>
      </c>
      <c r="C488" s="1822" t="s">
        <v>534</v>
      </c>
      <c r="D488" s="1822"/>
      <c r="E488" s="1822"/>
      <c r="F488" s="562" t="s">
        <v>322</v>
      </c>
      <c r="G488" s="562" t="s">
        <v>535</v>
      </c>
      <c r="H488" s="562"/>
      <c r="I488" s="562" t="s">
        <v>535</v>
      </c>
      <c r="J488" s="604"/>
      <c r="K488" s="562"/>
      <c r="L488" s="604">
        <v>2713.79</v>
      </c>
      <c r="M488" s="603"/>
      <c r="N488" s="602"/>
      <c r="V488" s="674"/>
      <c r="W488" s="675"/>
      <c r="AA488" s="537" t="s">
        <v>534</v>
      </c>
      <c r="AC488" s="675"/>
      <c r="AD488" s="680"/>
      <c r="AE488" s="675"/>
      <c r="AG488" s="675"/>
    </row>
    <row r="489" spans="1:33" s="536" customFormat="1" ht="33.75" x14ac:dyDescent="0.2">
      <c r="A489" s="605"/>
      <c r="B489" s="552" t="s">
        <v>536</v>
      </c>
      <c r="C489" s="1822" t="s">
        <v>537</v>
      </c>
      <c r="D489" s="1822"/>
      <c r="E489" s="1822"/>
      <c r="F489" s="562" t="s">
        <v>322</v>
      </c>
      <c r="G489" s="562" t="s">
        <v>538</v>
      </c>
      <c r="H489" s="562"/>
      <c r="I489" s="562" t="s">
        <v>538</v>
      </c>
      <c r="J489" s="604"/>
      <c r="K489" s="562"/>
      <c r="L489" s="604">
        <v>1716.42</v>
      </c>
      <c r="M489" s="603"/>
      <c r="N489" s="602"/>
      <c r="V489" s="674"/>
      <c r="W489" s="675"/>
      <c r="AA489" s="537" t="s">
        <v>537</v>
      </c>
      <c r="AC489" s="675"/>
      <c r="AD489" s="680"/>
      <c r="AE489" s="675"/>
      <c r="AG489" s="675"/>
    </row>
    <row r="490" spans="1:33" s="536" customFormat="1" ht="12" x14ac:dyDescent="0.2">
      <c r="A490" s="569"/>
      <c r="B490" s="671"/>
      <c r="C490" s="1823" t="s">
        <v>327</v>
      </c>
      <c r="D490" s="1823"/>
      <c r="E490" s="1823"/>
      <c r="F490" s="573"/>
      <c r="G490" s="573"/>
      <c r="H490" s="573"/>
      <c r="I490" s="573"/>
      <c r="J490" s="572"/>
      <c r="K490" s="573"/>
      <c r="L490" s="572">
        <v>13397.43</v>
      </c>
      <c r="M490" s="601"/>
      <c r="N490" s="570"/>
      <c r="V490" s="674"/>
      <c r="W490" s="675"/>
      <c r="AC490" s="675" t="s">
        <v>327</v>
      </c>
      <c r="AD490" s="680"/>
      <c r="AE490" s="675"/>
      <c r="AG490" s="675"/>
    </row>
    <row r="491" spans="1:33" s="536" customFormat="1" ht="22.5" x14ac:dyDescent="0.2">
      <c r="A491" s="575" t="s">
        <v>1679</v>
      </c>
      <c r="B491" s="670" t="s">
        <v>4545</v>
      </c>
      <c r="C491" s="1823" t="s">
        <v>4546</v>
      </c>
      <c r="D491" s="1823"/>
      <c r="E491" s="1823"/>
      <c r="F491" s="573" t="s">
        <v>617</v>
      </c>
      <c r="G491" s="573"/>
      <c r="H491" s="573"/>
      <c r="I491" s="573" t="s">
        <v>200</v>
      </c>
      <c r="J491" s="572">
        <v>215.48</v>
      </c>
      <c r="K491" s="573"/>
      <c r="L491" s="572">
        <v>3447.68</v>
      </c>
      <c r="M491" s="571"/>
      <c r="N491" s="570"/>
      <c r="V491" s="674"/>
      <c r="W491" s="675" t="s">
        <v>4546</v>
      </c>
      <c r="AC491" s="675"/>
      <c r="AD491" s="680"/>
      <c r="AE491" s="675"/>
      <c r="AG491" s="675"/>
    </row>
    <row r="492" spans="1:33" s="536" customFormat="1" ht="12" x14ac:dyDescent="0.2">
      <c r="A492" s="569"/>
      <c r="B492" s="671"/>
      <c r="C492" s="665" t="s">
        <v>717</v>
      </c>
      <c r="D492" s="666"/>
      <c r="E492" s="666"/>
      <c r="F492" s="563"/>
      <c r="G492" s="563"/>
      <c r="H492" s="563"/>
      <c r="I492" s="563"/>
      <c r="J492" s="566"/>
      <c r="K492" s="563"/>
      <c r="L492" s="566"/>
      <c r="M492" s="565"/>
      <c r="N492" s="564"/>
      <c r="V492" s="674"/>
      <c r="W492" s="675"/>
      <c r="AC492" s="675"/>
      <c r="AD492" s="680"/>
      <c r="AE492" s="675"/>
      <c r="AG492" s="675"/>
    </row>
    <row r="493" spans="1:33" s="536" customFormat="1" ht="33.75" x14ac:dyDescent="0.2">
      <c r="A493" s="575" t="s">
        <v>786</v>
      </c>
      <c r="B493" s="670" t="s">
        <v>4547</v>
      </c>
      <c r="C493" s="1823" t="s">
        <v>4548</v>
      </c>
      <c r="D493" s="1823"/>
      <c r="E493" s="1823"/>
      <c r="F493" s="573" t="s">
        <v>617</v>
      </c>
      <c r="G493" s="573"/>
      <c r="H493" s="573"/>
      <c r="I493" s="573" t="s">
        <v>200</v>
      </c>
      <c r="J493" s="572">
        <v>362.1</v>
      </c>
      <c r="K493" s="573"/>
      <c r="L493" s="572">
        <v>5793.6</v>
      </c>
      <c r="M493" s="571"/>
      <c r="N493" s="570"/>
      <c r="V493" s="674"/>
      <c r="W493" s="675" t="s">
        <v>4548</v>
      </c>
      <c r="AC493" s="675"/>
      <c r="AD493" s="680"/>
      <c r="AE493" s="675"/>
      <c r="AG493" s="675"/>
    </row>
    <row r="494" spans="1:33" s="536" customFormat="1" ht="12" x14ac:dyDescent="0.2">
      <c r="A494" s="569"/>
      <c r="B494" s="671"/>
      <c r="C494" s="665" t="s">
        <v>717</v>
      </c>
      <c r="D494" s="666"/>
      <c r="E494" s="666"/>
      <c r="F494" s="563"/>
      <c r="G494" s="563"/>
      <c r="H494" s="563"/>
      <c r="I494" s="563"/>
      <c r="J494" s="566"/>
      <c r="K494" s="563"/>
      <c r="L494" s="566"/>
      <c r="M494" s="565"/>
      <c r="N494" s="564"/>
      <c r="V494" s="674"/>
      <c r="W494" s="675"/>
      <c r="AC494" s="675"/>
      <c r="AD494" s="680"/>
      <c r="AE494" s="675"/>
      <c r="AG494" s="675"/>
    </row>
    <row r="495" spans="1:33" s="536" customFormat="1" ht="33.75" x14ac:dyDescent="0.2">
      <c r="A495" s="575" t="s">
        <v>787</v>
      </c>
      <c r="B495" s="670" t="s">
        <v>4549</v>
      </c>
      <c r="C495" s="1823" t="s">
        <v>4550</v>
      </c>
      <c r="D495" s="1823"/>
      <c r="E495" s="1823"/>
      <c r="F495" s="573" t="s">
        <v>617</v>
      </c>
      <c r="G495" s="573"/>
      <c r="H495" s="573"/>
      <c r="I495" s="573" t="s">
        <v>200</v>
      </c>
      <c r="J495" s="572">
        <v>242.94</v>
      </c>
      <c r="K495" s="573"/>
      <c r="L495" s="572">
        <v>3887.04</v>
      </c>
      <c r="M495" s="571"/>
      <c r="N495" s="570"/>
      <c r="V495" s="674"/>
      <c r="W495" s="675" t="s">
        <v>4550</v>
      </c>
      <c r="AC495" s="675"/>
      <c r="AD495" s="680"/>
      <c r="AE495" s="675"/>
      <c r="AG495" s="675"/>
    </row>
    <row r="496" spans="1:33" s="536" customFormat="1" ht="12" x14ac:dyDescent="0.2">
      <c r="A496" s="569"/>
      <c r="B496" s="671"/>
      <c r="C496" s="665" t="s">
        <v>717</v>
      </c>
      <c r="D496" s="666"/>
      <c r="E496" s="666"/>
      <c r="F496" s="563"/>
      <c r="G496" s="563"/>
      <c r="H496" s="563"/>
      <c r="I496" s="563"/>
      <c r="J496" s="566"/>
      <c r="K496" s="563"/>
      <c r="L496" s="566"/>
      <c r="M496" s="565"/>
      <c r="N496" s="564"/>
      <c r="V496" s="674"/>
      <c r="W496" s="675"/>
      <c r="AC496" s="675"/>
      <c r="AD496" s="680"/>
      <c r="AE496" s="675"/>
      <c r="AG496" s="675"/>
    </row>
    <row r="497" spans="1:33" s="536" customFormat="1" ht="33.75" x14ac:dyDescent="0.2">
      <c r="A497" s="575" t="s">
        <v>624</v>
      </c>
      <c r="B497" s="670" t="s">
        <v>4455</v>
      </c>
      <c r="C497" s="1823" t="s">
        <v>4456</v>
      </c>
      <c r="D497" s="1823"/>
      <c r="E497" s="1823"/>
      <c r="F497" s="573" t="s">
        <v>617</v>
      </c>
      <c r="G497" s="573"/>
      <c r="H497" s="573"/>
      <c r="I497" s="573" t="s">
        <v>200</v>
      </c>
      <c r="J497" s="572">
        <v>78.56</v>
      </c>
      <c r="K497" s="573"/>
      <c r="L497" s="572">
        <v>1256.96</v>
      </c>
      <c r="M497" s="571"/>
      <c r="N497" s="570"/>
      <c r="V497" s="674"/>
      <c r="W497" s="675" t="s">
        <v>4456</v>
      </c>
      <c r="AC497" s="675"/>
      <c r="AD497" s="680"/>
      <c r="AE497" s="675"/>
      <c r="AG497" s="675"/>
    </row>
    <row r="498" spans="1:33" s="536" customFormat="1" ht="12" x14ac:dyDescent="0.2">
      <c r="A498" s="569"/>
      <c r="B498" s="671"/>
      <c r="C498" s="665" t="s">
        <v>717</v>
      </c>
      <c r="D498" s="666"/>
      <c r="E498" s="666"/>
      <c r="F498" s="563"/>
      <c r="G498" s="563"/>
      <c r="H498" s="563"/>
      <c r="I498" s="563"/>
      <c r="J498" s="566"/>
      <c r="K498" s="563"/>
      <c r="L498" s="566"/>
      <c r="M498" s="565"/>
      <c r="N498" s="564"/>
      <c r="V498" s="674"/>
      <c r="W498" s="675"/>
      <c r="AC498" s="675"/>
      <c r="AD498" s="680"/>
      <c r="AE498" s="675"/>
      <c r="AG498" s="675"/>
    </row>
    <row r="499" spans="1:33" s="536" customFormat="1" ht="22.5" x14ac:dyDescent="0.2">
      <c r="A499" s="575" t="s">
        <v>1784</v>
      </c>
      <c r="B499" s="670" t="s">
        <v>4459</v>
      </c>
      <c r="C499" s="1823" t="s">
        <v>4460</v>
      </c>
      <c r="D499" s="1823"/>
      <c r="E499" s="1823"/>
      <c r="F499" s="573" t="s">
        <v>617</v>
      </c>
      <c r="G499" s="573"/>
      <c r="H499" s="573"/>
      <c r="I499" s="573" t="s">
        <v>200</v>
      </c>
      <c r="J499" s="572">
        <v>31.43</v>
      </c>
      <c r="K499" s="573"/>
      <c r="L499" s="572">
        <v>502.88</v>
      </c>
      <c r="M499" s="571"/>
      <c r="N499" s="570"/>
      <c r="V499" s="674"/>
      <c r="W499" s="675" t="s">
        <v>4460</v>
      </c>
      <c r="AC499" s="675"/>
      <c r="AD499" s="680"/>
      <c r="AE499" s="675"/>
      <c r="AG499" s="675"/>
    </row>
    <row r="500" spans="1:33" s="536" customFormat="1" ht="12" x14ac:dyDescent="0.2">
      <c r="A500" s="569"/>
      <c r="B500" s="671"/>
      <c r="C500" s="665" t="s">
        <v>717</v>
      </c>
      <c r="D500" s="666"/>
      <c r="E500" s="666"/>
      <c r="F500" s="563"/>
      <c r="G500" s="563"/>
      <c r="H500" s="563"/>
      <c r="I500" s="563"/>
      <c r="J500" s="566"/>
      <c r="K500" s="563"/>
      <c r="L500" s="566"/>
      <c r="M500" s="565"/>
      <c r="N500" s="564"/>
      <c r="V500" s="674"/>
      <c r="W500" s="675"/>
      <c r="AC500" s="675"/>
      <c r="AD500" s="680"/>
      <c r="AE500" s="675"/>
      <c r="AG500" s="675"/>
    </row>
    <row r="501" spans="1:33" s="536" customFormat="1" ht="22.5" x14ac:dyDescent="0.2">
      <c r="A501" s="575" t="s">
        <v>789</v>
      </c>
      <c r="B501" s="670" t="s">
        <v>4551</v>
      </c>
      <c r="C501" s="1823" t="s">
        <v>4552</v>
      </c>
      <c r="D501" s="1823"/>
      <c r="E501" s="1823"/>
      <c r="F501" s="573" t="s">
        <v>617</v>
      </c>
      <c r="G501" s="573"/>
      <c r="H501" s="573"/>
      <c r="I501" s="573" t="s">
        <v>200</v>
      </c>
      <c r="J501" s="572">
        <v>119.5</v>
      </c>
      <c r="K501" s="573"/>
      <c r="L501" s="572">
        <v>1912</v>
      </c>
      <c r="M501" s="571"/>
      <c r="N501" s="570"/>
      <c r="V501" s="674"/>
      <c r="W501" s="675" t="s">
        <v>4552</v>
      </c>
      <c r="AC501" s="675"/>
      <c r="AD501" s="680"/>
      <c r="AE501" s="675"/>
      <c r="AG501" s="675"/>
    </row>
    <row r="502" spans="1:33" s="536" customFormat="1" ht="12" x14ac:dyDescent="0.2">
      <c r="A502" s="569"/>
      <c r="B502" s="671"/>
      <c r="C502" s="665" t="s">
        <v>717</v>
      </c>
      <c r="D502" s="666"/>
      <c r="E502" s="666"/>
      <c r="F502" s="563"/>
      <c r="G502" s="563"/>
      <c r="H502" s="563"/>
      <c r="I502" s="563"/>
      <c r="J502" s="566"/>
      <c r="K502" s="563"/>
      <c r="L502" s="566"/>
      <c r="M502" s="565"/>
      <c r="N502" s="564"/>
      <c r="V502" s="674"/>
      <c r="W502" s="675"/>
      <c r="AC502" s="675"/>
      <c r="AD502" s="680"/>
      <c r="AE502" s="675"/>
      <c r="AG502" s="675"/>
    </row>
    <row r="503" spans="1:33" s="536" customFormat="1" ht="12" x14ac:dyDescent="0.2">
      <c r="A503" s="575" t="s">
        <v>2339</v>
      </c>
      <c r="B503" s="670" t="s">
        <v>4461</v>
      </c>
      <c r="C503" s="1823" t="s">
        <v>4462</v>
      </c>
      <c r="D503" s="1823"/>
      <c r="E503" s="1823"/>
      <c r="F503" s="573" t="s">
        <v>617</v>
      </c>
      <c r="G503" s="573"/>
      <c r="H503" s="573"/>
      <c r="I503" s="573" t="s">
        <v>2980</v>
      </c>
      <c r="J503" s="572">
        <v>6.55</v>
      </c>
      <c r="K503" s="573"/>
      <c r="L503" s="572">
        <v>628.79999999999995</v>
      </c>
      <c r="M503" s="571"/>
      <c r="N503" s="570"/>
      <c r="V503" s="674"/>
      <c r="W503" s="675" t="s">
        <v>4462</v>
      </c>
      <c r="AC503" s="675"/>
      <c r="AD503" s="680"/>
      <c r="AE503" s="675"/>
      <c r="AG503" s="675"/>
    </row>
    <row r="504" spans="1:33" s="536" customFormat="1" ht="12" x14ac:dyDescent="0.2">
      <c r="A504" s="569"/>
      <c r="B504" s="671"/>
      <c r="C504" s="665" t="s">
        <v>717</v>
      </c>
      <c r="D504" s="666"/>
      <c r="E504" s="666"/>
      <c r="F504" s="563"/>
      <c r="G504" s="563"/>
      <c r="H504" s="563"/>
      <c r="I504" s="563"/>
      <c r="J504" s="566"/>
      <c r="K504" s="563"/>
      <c r="L504" s="566"/>
      <c r="M504" s="565"/>
      <c r="N504" s="564"/>
      <c r="V504" s="674"/>
      <c r="W504" s="675"/>
      <c r="AC504" s="675"/>
      <c r="AD504" s="680"/>
      <c r="AE504" s="675"/>
      <c r="AG504" s="675"/>
    </row>
    <row r="505" spans="1:33" s="536" customFormat="1" ht="12" x14ac:dyDescent="0.2">
      <c r="A505" s="676"/>
      <c r="B505" s="664"/>
      <c r="C505" s="1822" t="s">
        <v>4690</v>
      </c>
      <c r="D505" s="1822"/>
      <c r="E505" s="1822"/>
      <c r="F505" s="1822"/>
      <c r="G505" s="1822"/>
      <c r="H505" s="1822"/>
      <c r="I505" s="1822"/>
      <c r="J505" s="1822"/>
      <c r="K505" s="1822"/>
      <c r="L505" s="1822"/>
      <c r="M505" s="1822"/>
      <c r="N505" s="1827"/>
      <c r="V505" s="674"/>
      <c r="W505" s="675"/>
      <c r="X505" s="537" t="s">
        <v>4690</v>
      </c>
      <c r="AC505" s="675"/>
      <c r="AD505" s="680"/>
      <c r="AE505" s="675"/>
      <c r="AG505" s="675"/>
    </row>
    <row r="506" spans="1:33" s="536" customFormat="1" ht="45" x14ac:dyDescent="0.2">
      <c r="A506" s="575" t="s">
        <v>791</v>
      </c>
      <c r="B506" s="670" t="s">
        <v>4691</v>
      </c>
      <c r="C506" s="1823" t="s">
        <v>4692</v>
      </c>
      <c r="D506" s="1823"/>
      <c r="E506" s="1823"/>
      <c r="F506" s="573" t="s">
        <v>1537</v>
      </c>
      <c r="G506" s="573"/>
      <c r="H506" s="573"/>
      <c r="I506" s="573" t="s">
        <v>4693</v>
      </c>
      <c r="J506" s="572"/>
      <c r="K506" s="573"/>
      <c r="L506" s="572"/>
      <c r="M506" s="571"/>
      <c r="N506" s="570"/>
      <c r="V506" s="674"/>
      <c r="W506" s="675" t="s">
        <v>4692</v>
      </c>
      <c r="AC506" s="675"/>
      <c r="AD506" s="680"/>
      <c r="AE506" s="675"/>
      <c r="AG506" s="675"/>
    </row>
    <row r="507" spans="1:33" s="536" customFormat="1" ht="12" x14ac:dyDescent="0.2">
      <c r="A507" s="676"/>
      <c r="B507" s="664"/>
      <c r="C507" s="1822" t="s">
        <v>4694</v>
      </c>
      <c r="D507" s="1822"/>
      <c r="E507" s="1822"/>
      <c r="F507" s="1822"/>
      <c r="G507" s="1822"/>
      <c r="H507" s="1822"/>
      <c r="I507" s="1822"/>
      <c r="J507" s="1822"/>
      <c r="K507" s="1822"/>
      <c r="L507" s="1822"/>
      <c r="M507" s="1822"/>
      <c r="N507" s="1827"/>
      <c r="V507" s="674"/>
      <c r="W507" s="675"/>
      <c r="X507" s="537" t="s">
        <v>4694</v>
      </c>
      <c r="AC507" s="675"/>
      <c r="AD507" s="680"/>
      <c r="AE507" s="675"/>
      <c r="AG507" s="675"/>
    </row>
    <row r="508" spans="1:33" s="536" customFormat="1" ht="22.5" x14ac:dyDescent="0.2">
      <c r="A508" s="609"/>
      <c r="B508" s="552" t="s">
        <v>499</v>
      </c>
      <c r="C508" s="1822" t="s">
        <v>500</v>
      </c>
      <c r="D508" s="1822"/>
      <c r="E508" s="1822"/>
      <c r="F508" s="1822"/>
      <c r="G508" s="1822"/>
      <c r="H508" s="1822"/>
      <c r="I508" s="1822"/>
      <c r="J508" s="1822"/>
      <c r="K508" s="1822"/>
      <c r="L508" s="1822"/>
      <c r="M508" s="1822"/>
      <c r="N508" s="1827"/>
      <c r="V508" s="674"/>
      <c r="W508" s="675"/>
      <c r="Y508" s="537" t="s">
        <v>500</v>
      </c>
      <c r="AC508" s="675"/>
      <c r="AD508" s="680"/>
      <c r="AE508" s="675"/>
      <c r="AG508" s="675"/>
    </row>
    <row r="509" spans="1:33" s="536" customFormat="1" ht="12" x14ac:dyDescent="0.2">
      <c r="A509" s="605"/>
      <c r="B509" s="552" t="s">
        <v>185</v>
      </c>
      <c r="C509" s="1822" t="s">
        <v>312</v>
      </c>
      <c r="D509" s="1822"/>
      <c r="E509" s="1822"/>
      <c r="F509" s="562"/>
      <c r="G509" s="562"/>
      <c r="H509" s="562"/>
      <c r="I509" s="562"/>
      <c r="J509" s="604">
        <v>875.71</v>
      </c>
      <c r="K509" s="562" t="s">
        <v>313</v>
      </c>
      <c r="L509" s="604">
        <v>3577.28</v>
      </c>
      <c r="M509" s="603"/>
      <c r="N509" s="602"/>
      <c r="V509" s="674"/>
      <c r="W509" s="675"/>
      <c r="Z509" s="537" t="s">
        <v>312</v>
      </c>
      <c r="AC509" s="675"/>
      <c r="AD509" s="680"/>
      <c r="AE509" s="675"/>
      <c r="AG509" s="675"/>
    </row>
    <row r="510" spans="1:33" s="536" customFormat="1" ht="12" x14ac:dyDescent="0.2">
      <c r="A510" s="605"/>
      <c r="B510" s="552" t="s">
        <v>186</v>
      </c>
      <c r="C510" s="1822" t="s">
        <v>344</v>
      </c>
      <c r="D510" s="1822"/>
      <c r="E510" s="1822"/>
      <c r="F510" s="562"/>
      <c r="G510" s="562"/>
      <c r="H510" s="562"/>
      <c r="I510" s="562"/>
      <c r="J510" s="604">
        <v>1531.19</v>
      </c>
      <c r="K510" s="562" t="s">
        <v>313</v>
      </c>
      <c r="L510" s="604">
        <v>6254.91</v>
      </c>
      <c r="M510" s="603"/>
      <c r="N510" s="602"/>
      <c r="V510" s="674"/>
      <c r="W510" s="675"/>
      <c r="Z510" s="537" t="s">
        <v>344</v>
      </c>
      <c r="AC510" s="675"/>
      <c r="AD510" s="680"/>
      <c r="AE510" s="675"/>
      <c r="AG510" s="675"/>
    </row>
    <row r="511" spans="1:33" s="536" customFormat="1" ht="12" x14ac:dyDescent="0.2">
      <c r="A511" s="605"/>
      <c r="B511" s="552" t="s">
        <v>187</v>
      </c>
      <c r="C511" s="1822" t="s">
        <v>345</v>
      </c>
      <c r="D511" s="1822"/>
      <c r="E511" s="1822"/>
      <c r="F511" s="562"/>
      <c r="G511" s="562"/>
      <c r="H511" s="562"/>
      <c r="I511" s="562"/>
      <c r="J511" s="604">
        <v>202.72</v>
      </c>
      <c r="K511" s="562" t="s">
        <v>313</v>
      </c>
      <c r="L511" s="604">
        <v>828.11</v>
      </c>
      <c r="M511" s="603"/>
      <c r="N511" s="602"/>
      <c r="V511" s="674"/>
      <c r="W511" s="675"/>
      <c r="Z511" s="537" t="s">
        <v>345</v>
      </c>
      <c r="AC511" s="675"/>
      <c r="AD511" s="680"/>
      <c r="AE511" s="675"/>
      <c r="AG511" s="675"/>
    </row>
    <row r="512" spans="1:33" s="536" customFormat="1" ht="12" x14ac:dyDescent="0.2">
      <c r="A512" s="605"/>
      <c r="B512" s="552" t="s">
        <v>188</v>
      </c>
      <c r="C512" s="1822" t="s">
        <v>475</v>
      </c>
      <c r="D512" s="1822"/>
      <c r="E512" s="1822"/>
      <c r="F512" s="562"/>
      <c r="G512" s="562"/>
      <c r="H512" s="562"/>
      <c r="I512" s="562"/>
      <c r="J512" s="604">
        <v>3692.89</v>
      </c>
      <c r="K512" s="562"/>
      <c r="L512" s="604">
        <v>12068.36</v>
      </c>
      <c r="M512" s="603"/>
      <c r="N512" s="602"/>
      <c r="V512" s="674"/>
      <c r="W512" s="675"/>
      <c r="Z512" s="537" t="s">
        <v>475</v>
      </c>
      <c r="AC512" s="675"/>
      <c r="AD512" s="680"/>
      <c r="AE512" s="675"/>
      <c r="AG512" s="675"/>
    </row>
    <row r="513" spans="1:33" s="536" customFormat="1" ht="22.5" x14ac:dyDescent="0.2">
      <c r="A513" s="676"/>
      <c r="B513" s="677" t="s">
        <v>4438</v>
      </c>
      <c r="C513" s="1829" t="s">
        <v>4439</v>
      </c>
      <c r="D513" s="1829"/>
      <c r="E513" s="1829"/>
      <c r="F513" s="678" t="s">
        <v>483</v>
      </c>
      <c r="G513" s="678" t="s">
        <v>525</v>
      </c>
      <c r="H513" s="678"/>
      <c r="I513" s="678" t="s">
        <v>525</v>
      </c>
      <c r="J513" s="552"/>
      <c r="K513" s="562"/>
      <c r="L513" s="604"/>
      <c r="M513" s="562"/>
      <c r="N513" s="679"/>
      <c r="V513" s="674"/>
      <c r="W513" s="675"/>
      <c r="AC513" s="675"/>
      <c r="AD513" s="680" t="s">
        <v>4439</v>
      </c>
      <c r="AE513" s="675"/>
      <c r="AG513" s="675"/>
    </row>
    <row r="514" spans="1:33" s="536" customFormat="1" ht="12" x14ac:dyDescent="0.2">
      <c r="A514" s="676"/>
      <c r="B514" s="677" t="s">
        <v>4539</v>
      </c>
      <c r="C514" s="1829" t="s">
        <v>4540</v>
      </c>
      <c r="D514" s="1829"/>
      <c r="E514" s="1829"/>
      <c r="F514" s="678" t="s">
        <v>617</v>
      </c>
      <c r="G514" s="678" t="s">
        <v>525</v>
      </c>
      <c r="H514" s="678"/>
      <c r="I514" s="678" t="s">
        <v>525</v>
      </c>
      <c r="J514" s="552"/>
      <c r="K514" s="562"/>
      <c r="L514" s="604"/>
      <c r="M514" s="562"/>
      <c r="N514" s="679"/>
      <c r="V514" s="674"/>
      <c r="W514" s="675"/>
      <c r="AC514" s="675"/>
      <c r="AD514" s="680" t="s">
        <v>4540</v>
      </c>
      <c r="AE514" s="675"/>
      <c r="AG514" s="675"/>
    </row>
    <row r="515" spans="1:33" s="536" customFormat="1" ht="22.5" x14ac:dyDescent="0.2">
      <c r="A515" s="676"/>
      <c r="B515" s="677" t="s">
        <v>4541</v>
      </c>
      <c r="C515" s="1829" t="s">
        <v>4542</v>
      </c>
      <c r="D515" s="1829"/>
      <c r="E515" s="1829"/>
      <c r="F515" s="678" t="s">
        <v>694</v>
      </c>
      <c r="G515" s="678" t="s">
        <v>525</v>
      </c>
      <c r="H515" s="678"/>
      <c r="I515" s="678" t="s">
        <v>525</v>
      </c>
      <c r="J515" s="552"/>
      <c r="K515" s="562"/>
      <c r="L515" s="604"/>
      <c r="M515" s="562"/>
      <c r="N515" s="679"/>
      <c r="V515" s="674"/>
      <c r="W515" s="675"/>
      <c r="AC515" s="675"/>
      <c r="AD515" s="680" t="s">
        <v>4542</v>
      </c>
      <c r="AE515" s="675"/>
      <c r="AG515" s="675"/>
    </row>
    <row r="516" spans="1:33" s="536" customFormat="1" ht="12" x14ac:dyDescent="0.2">
      <c r="A516" s="676"/>
      <c r="B516" s="677" t="s">
        <v>4443</v>
      </c>
      <c r="C516" s="1829" t="s">
        <v>4444</v>
      </c>
      <c r="D516" s="1829"/>
      <c r="E516" s="1829"/>
      <c r="F516" s="678" t="s">
        <v>617</v>
      </c>
      <c r="G516" s="678" t="s">
        <v>525</v>
      </c>
      <c r="H516" s="678"/>
      <c r="I516" s="678" t="s">
        <v>525</v>
      </c>
      <c r="J516" s="552"/>
      <c r="K516" s="562"/>
      <c r="L516" s="604"/>
      <c r="M516" s="562"/>
      <c r="N516" s="679"/>
      <c r="V516" s="674"/>
      <c r="W516" s="675"/>
      <c r="AC516" s="675"/>
      <c r="AD516" s="680" t="s">
        <v>4444</v>
      </c>
      <c r="AE516" s="675"/>
      <c r="AG516" s="675"/>
    </row>
    <row r="517" spans="1:33" s="536" customFormat="1" ht="12" x14ac:dyDescent="0.2">
      <c r="A517" s="605"/>
      <c r="B517" s="552"/>
      <c r="C517" s="1822" t="s">
        <v>314</v>
      </c>
      <c r="D517" s="1822"/>
      <c r="E517" s="1822"/>
      <c r="F517" s="562" t="s">
        <v>315</v>
      </c>
      <c r="G517" s="562" t="s">
        <v>4695</v>
      </c>
      <c r="H517" s="562" t="s">
        <v>313</v>
      </c>
      <c r="I517" s="562" t="s">
        <v>4696</v>
      </c>
      <c r="J517" s="604"/>
      <c r="K517" s="562"/>
      <c r="L517" s="604"/>
      <c r="M517" s="603"/>
      <c r="N517" s="602"/>
      <c r="V517" s="674"/>
      <c r="W517" s="675"/>
      <c r="AA517" s="537" t="s">
        <v>314</v>
      </c>
      <c r="AC517" s="675"/>
      <c r="AD517" s="680"/>
      <c r="AE517" s="675"/>
      <c r="AG517" s="675"/>
    </row>
    <row r="518" spans="1:33" s="536" customFormat="1" ht="12" x14ac:dyDescent="0.2">
      <c r="A518" s="605"/>
      <c r="B518" s="552"/>
      <c r="C518" s="1822" t="s">
        <v>348</v>
      </c>
      <c r="D518" s="1822"/>
      <c r="E518" s="1822"/>
      <c r="F518" s="562" t="s">
        <v>315</v>
      </c>
      <c r="G518" s="562" t="s">
        <v>4697</v>
      </c>
      <c r="H518" s="562" t="s">
        <v>313</v>
      </c>
      <c r="I518" s="562" t="s">
        <v>4698</v>
      </c>
      <c r="J518" s="604"/>
      <c r="K518" s="562"/>
      <c r="L518" s="604"/>
      <c r="M518" s="603"/>
      <c r="N518" s="602"/>
      <c r="V518" s="674"/>
      <c r="W518" s="675"/>
      <c r="AA518" s="537" t="s">
        <v>348</v>
      </c>
      <c r="AC518" s="675"/>
      <c r="AD518" s="680"/>
      <c r="AE518" s="675"/>
      <c r="AG518" s="675"/>
    </row>
    <row r="519" spans="1:33" s="536" customFormat="1" ht="12" x14ac:dyDescent="0.2">
      <c r="A519" s="605"/>
      <c r="B519" s="552"/>
      <c r="C519" s="1828" t="s">
        <v>318</v>
      </c>
      <c r="D519" s="1828"/>
      <c r="E519" s="1828"/>
      <c r="F519" s="608"/>
      <c r="G519" s="608"/>
      <c r="H519" s="608"/>
      <c r="I519" s="608"/>
      <c r="J519" s="607">
        <v>6099.79</v>
      </c>
      <c r="K519" s="608"/>
      <c r="L519" s="607">
        <v>21900.55</v>
      </c>
      <c r="M519" s="601"/>
      <c r="N519" s="606"/>
      <c r="V519" s="674"/>
      <c r="W519" s="675"/>
      <c r="AB519" s="537" t="s">
        <v>318</v>
      </c>
      <c r="AC519" s="675"/>
      <c r="AD519" s="680"/>
      <c r="AE519" s="675"/>
      <c r="AG519" s="675"/>
    </row>
    <row r="520" spans="1:33" s="536" customFormat="1" ht="12" x14ac:dyDescent="0.2">
      <c r="A520" s="605"/>
      <c r="B520" s="552"/>
      <c r="C520" s="1822" t="s">
        <v>319</v>
      </c>
      <c r="D520" s="1822"/>
      <c r="E520" s="1822"/>
      <c r="F520" s="562"/>
      <c r="G520" s="562"/>
      <c r="H520" s="562"/>
      <c r="I520" s="562"/>
      <c r="J520" s="604"/>
      <c r="K520" s="562"/>
      <c r="L520" s="604">
        <v>4405.3900000000003</v>
      </c>
      <c r="M520" s="603"/>
      <c r="N520" s="602"/>
      <c r="V520" s="674"/>
      <c r="W520" s="675"/>
      <c r="AA520" s="537" t="s">
        <v>319</v>
      </c>
      <c r="AC520" s="675"/>
      <c r="AD520" s="680"/>
      <c r="AE520" s="675"/>
      <c r="AG520" s="675"/>
    </row>
    <row r="521" spans="1:33" s="536" customFormat="1" ht="33.75" x14ac:dyDescent="0.2">
      <c r="A521" s="605"/>
      <c r="B521" s="552" t="s">
        <v>533</v>
      </c>
      <c r="C521" s="1822" t="s">
        <v>534</v>
      </c>
      <c r="D521" s="1822"/>
      <c r="E521" s="1822"/>
      <c r="F521" s="562" t="s">
        <v>322</v>
      </c>
      <c r="G521" s="562" t="s">
        <v>535</v>
      </c>
      <c r="H521" s="562"/>
      <c r="I521" s="562" t="s">
        <v>535</v>
      </c>
      <c r="J521" s="604"/>
      <c r="K521" s="562"/>
      <c r="L521" s="604">
        <v>5154.3100000000004</v>
      </c>
      <c r="M521" s="603"/>
      <c r="N521" s="602"/>
      <c r="V521" s="674"/>
      <c r="W521" s="675"/>
      <c r="AA521" s="537" t="s">
        <v>534</v>
      </c>
      <c r="AC521" s="675"/>
      <c r="AD521" s="680"/>
      <c r="AE521" s="675"/>
      <c r="AG521" s="675"/>
    </row>
    <row r="522" spans="1:33" s="536" customFormat="1" ht="33.75" x14ac:dyDescent="0.2">
      <c r="A522" s="605"/>
      <c r="B522" s="552" t="s">
        <v>536</v>
      </c>
      <c r="C522" s="1822" t="s">
        <v>537</v>
      </c>
      <c r="D522" s="1822"/>
      <c r="E522" s="1822"/>
      <c r="F522" s="562" t="s">
        <v>322</v>
      </c>
      <c r="G522" s="562" t="s">
        <v>538</v>
      </c>
      <c r="H522" s="562"/>
      <c r="I522" s="562" t="s">
        <v>538</v>
      </c>
      <c r="J522" s="604"/>
      <c r="K522" s="562"/>
      <c r="L522" s="604">
        <v>3259.99</v>
      </c>
      <c r="M522" s="603"/>
      <c r="N522" s="602"/>
      <c r="V522" s="674"/>
      <c r="W522" s="675"/>
      <c r="AA522" s="537" t="s">
        <v>537</v>
      </c>
      <c r="AC522" s="675"/>
      <c r="AD522" s="680"/>
      <c r="AE522" s="675"/>
      <c r="AG522" s="675"/>
    </row>
    <row r="523" spans="1:33" s="536" customFormat="1" ht="12" x14ac:dyDescent="0.2">
      <c r="A523" s="569"/>
      <c r="B523" s="671"/>
      <c r="C523" s="1823" t="s">
        <v>327</v>
      </c>
      <c r="D523" s="1823"/>
      <c r="E523" s="1823"/>
      <c r="F523" s="573"/>
      <c r="G523" s="573"/>
      <c r="H523" s="573"/>
      <c r="I523" s="573"/>
      <c r="J523" s="572"/>
      <c r="K523" s="573"/>
      <c r="L523" s="572">
        <v>30314.85</v>
      </c>
      <c r="M523" s="601"/>
      <c r="N523" s="570"/>
      <c r="V523" s="674"/>
      <c r="W523" s="675"/>
      <c r="AC523" s="675" t="s">
        <v>327</v>
      </c>
      <c r="AD523" s="680"/>
      <c r="AE523" s="675"/>
      <c r="AG523" s="675"/>
    </row>
    <row r="524" spans="1:33" s="536" customFormat="1" ht="22.5" x14ac:dyDescent="0.2">
      <c r="A524" s="575" t="s">
        <v>690</v>
      </c>
      <c r="B524" s="670" t="s">
        <v>4449</v>
      </c>
      <c r="C524" s="1823" t="s">
        <v>4450</v>
      </c>
      <c r="D524" s="1823"/>
      <c r="E524" s="1823"/>
      <c r="F524" s="573" t="s">
        <v>617</v>
      </c>
      <c r="G524" s="573"/>
      <c r="H524" s="573"/>
      <c r="I524" s="573" t="s">
        <v>436</v>
      </c>
      <c r="J524" s="572">
        <v>462.83</v>
      </c>
      <c r="K524" s="573"/>
      <c r="L524" s="572">
        <v>8793.77</v>
      </c>
      <c r="M524" s="571"/>
      <c r="N524" s="570"/>
      <c r="V524" s="674"/>
      <c r="W524" s="675" t="s">
        <v>4450</v>
      </c>
      <c r="AC524" s="675"/>
      <c r="AD524" s="680"/>
      <c r="AE524" s="675"/>
      <c r="AG524" s="675"/>
    </row>
    <row r="525" spans="1:33" s="536" customFormat="1" ht="12" x14ac:dyDescent="0.2">
      <c r="A525" s="569"/>
      <c r="B525" s="671"/>
      <c r="C525" s="665" t="s">
        <v>717</v>
      </c>
      <c r="D525" s="666"/>
      <c r="E525" s="666"/>
      <c r="F525" s="563"/>
      <c r="G525" s="563"/>
      <c r="H525" s="563"/>
      <c r="I525" s="563"/>
      <c r="J525" s="566"/>
      <c r="K525" s="563"/>
      <c r="L525" s="566"/>
      <c r="M525" s="565"/>
      <c r="N525" s="564"/>
      <c r="V525" s="674"/>
      <c r="W525" s="675"/>
      <c r="AC525" s="675"/>
      <c r="AD525" s="680"/>
      <c r="AE525" s="675"/>
      <c r="AG525" s="675"/>
    </row>
    <row r="526" spans="1:33" s="536" customFormat="1" ht="12" x14ac:dyDescent="0.2">
      <c r="A526" s="676"/>
      <c r="B526" s="664"/>
      <c r="C526" s="1822" t="s">
        <v>4699</v>
      </c>
      <c r="D526" s="1822"/>
      <c r="E526" s="1822"/>
      <c r="F526" s="1822"/>
      <c r="G526" s="1822"/>
      <c r="H526" s="1822"/>
      <c r="I526" s="1822"/>
      <c r="J526" s="1822"/>
      <c r="K526" s="1822"/>
      <c r="L526" s="1822"/>
      <c r="M526" s="1822"/>
      <c r="N526" s="1827"/>
      <c r="V526" s="674"/>
      <c r="W526" s="675"/>
      <c r="X526" s="537" t="s">
        <v>4699</v>
      </c>
      <c r="AC526" s="675"/>
      <c r="AD526" s="680"/>
      <c r="AE526" s="675"/>
      <c r="AG526" s="675"/>
    </row>
    <row r="527" spans="1:33" s="536" customFormat="1" ht="33.75" x14ac:dyDescent="0.2">
      <c r="A527" s="575" t="s">
        <v>792</v>
      </c>
      <c r="B527" s="670" t="s">
        <v>4451</v>
      </c>
      <c r="C527" s="1823" t="s">
        <v>4452</v>
      </c>
      <c r="D527" s="1823"/>
      <c r="E527" s="1823"/>
      <c r="F527" s="573" t="s">
        <v>617</v>
      </c>
      <c r="G527" s="573"/>
      <c r="H527" s="573"/>
      <c r="I527" s="573" t="s">
        <v>791</v>
      </c>
      <c r="J527" s="572">
        <v>647.77</v>
      </c>
      <c r="K527" s="573"/>
      <c r="L527" s="572">
        <v>36922.89</v>
      </c>
      <c r="M527" s="571"/>
      <c r="N527" s="570"/>
      <c r="V527" s="674"/>
      <c r="W527" s="675" t="s">
        <v>4452</v>
      </c>
      <c r="AC527" s="675"/>
      <c r="AD527" s="680"/>
      <c r="AE527" s="675"/>
      <c r="AG527" s="675"/>
    </row>
    <row r="528" spans="1:33" s="536" customFormat="1" ht="12" x14ac:dyDescent="0.2">
      <c r="A528" s="569"/>
      <c r="B528" s="671"/>
      <c r="C528" s="665" t="s">
        <v>717</v>
      </c>
      <c r="D528" s="666"/>
      <c r="E528" s="666"/>
      <c r="F528" s="563"/>
      <c r="G528" s="563"/>
      <c r="H528" s="563"/>
      <c r="I528" s="563"/>
      <c r="J528" s="566"/>
      <c r="K528" s="563"/>
      <c r="L528" s="566"/>
      <c r="M528" s="565"/>
      <c r="N528" s="564"/>
      <c r="V528" s="674"/>
      <c r="W528" s="675"/>
      <c r="AC528" s="675"/>
      <c r="AD528" s="680"/>
      <c r="AE528" s="675"/>
      <c r="AG528" s="675"/>
    </row>
    <row r="529" spans="1:33" s="536" customFormat="1" ht="12" x14ac:dyDescent="0.2">
      <c r="A529" s="676"/>
      <c r="B529" s="664"/>
      <c r="C529" s="1822" t="s">
        <v>4700</v>
      </c>
      <c r="D529" s="1822"/>
      <c r="E529" s="1822"/>
      <c r="F529" s="1822"/>
      <c r="G529" s="1822"/>
      <c r="H529" s="1822"/>
      <c r="I529" s="1822"/>
      <c r="J529" s="1822"/>
      <c r="K529" s="1822"/>
      <c r="L529" s="1822"/>
      <c r="M529" s="1822"/>
      <c r="N529" s="1827"/>
      <c r="V529" s="674"/>
      <c r="W529" s="675"/>
      <c r="X529" s="537" t="s">
        <v>4700</v>
      </c>
      <c r="AC529" s="675"/>
      <c r="AD529" s="680"/>
      <c r="AE529" s="675"/>
      <c r="AG529" s="675"/>
    </row>
    <row r="530" spans="1:33" s="536" customFormat="1" ht="33.75" x14ac:dyDescent="0.2">
      <c r="A530" s="575" t="s">
        <v>713</v>
      </c>
      <c r="B530" s="670" t="s">
        <v>4455</v>
      </c>
      <c r="C530" s="1823" t="s">
        <v>4456</v>
      </c>
      <c r="D530" s="1823"/>
      <c r="E530" s="1823"/>
      <c r="F530" s="573" t="s">
        <v>617</v>
      </c>
      <c r="G530" s="573"/>
      <c r="H530" s="573"/>
      <c r="I530" s="573" t="s">
        <v>771</v>
      </c>
      <c r="J530" s="572">
        <v>78.56</v>
      </c>
      <c r="K530" s="573"/>
      <c r="L530" s="572">
        <v>2985.28</v>
      </c>
      <c r="M530" s="571"/>
      <c r="N530" s="570"/>
      <c r="V530" s="674"/>
      <c r="W530" s="675" t="s">
        <v>4456</v>
      </c>
      <c r="AC530" s="675"/>
      <c r="AD530" s="680"/>
      <c r="AE530" s="675"/>
      <c r="AG530" s="675"/>
    </row>
    <row r="531" spans="1:33" s="536" customFormat="1" ht="12" x14ac:dyDescent="0.2">
      <c r="A531" s="569"/>
      <c r="B531" s="671"/>
      <c r="C531" s="665" t="s">
        <v>717</v>
      </c>
      <c r="D531" s="666"/>
      <c r="E531" s="666"/>
      <c r="F531" s="563"/>
      <c r="G531" s="563"/>
      <c r="H531" s="563"/>
      <c r="I531" s="563"/>
      <c r="J531" s="566"/>
      <c r="K531" s="563"/>
      <c r="L531" s="566"/>
      <c r="M531" s="565"/>
      <c r="N531" s="564"/>
      <c r="V531" s="674"/>
      <c r="W531" s="675"/>
      <c r="AC531" s="675"/>
      <c r="AD531" s="680"/>
      <c r="AE531" s="675"/>
      <c r="AG531" s="675"/>
    </row>
    <row r="532" spans="1:33" s="536" customFormat="1" ht="12" x14ac:dyDescent="0.2">
      <c r="A532" s="676"/>
      <c r="B532" s="664"/>
      <c r="C532" s="1822" t="s">
        <v>4701</v>
      </c>
      <c r="D532" s="1822"/>
      <c r="E532" s="1822"/>
      <c r="F532" s="1822"/>
      <c r="G532" s="1822"/>
      <c r="H532" s="1822"/>
      <c r="I532" s="1822"/>
      <c r="J532" s="1822"/>
      <c r="K532" s="1822"/>
      <c r="L532" s="1822"/>
      <c r="M532" s="1822"/>
      <c r="N532" s="1827"/>
      <c r="V532" s="674"/>
      <c r="W532" s="675"/>
      <c r="X532" s="537" t="s">
        <v>4701</v>
      </c>
      <c r="AC532" s="675"/>
      <c r="AD532" s="680"/>
      <c r="AE532" s="675"/>
      <c r="AG532" s="675"/>
    </row>
    <row r="533" spans="1:33" s="536" customFormat="1" ht="22.5" x14ac:dyDescent="0.2">
      <c r="A533" s="575" t="s">
        <v>793</v>
      </c>
      <c r="B533" s="670" t="s">
        <v>4459</v>
      </c>
      <c r="C533" s="1823" t="s">
        <v>4460</v>
      </c>
      <c r="D533" s="1823"/>
      <c r="E533" s="1823"/>
      <c r="F533" s="573" t="s">
        <v>617</v>
      </c>
      <c r="G533" s="573"/>
      <c r="H533" s="573"/>
      <c r="I533" s="573" t="s">
        <v>771</v>
      </c>
      <c r="J533" s="572">
        <v>31.43</v>
      </c>
      <c r="K533" s="573"/>
      <c r="L533" s="572">
        <v>1194.3399999999999</v>
      </c>
      <c r="M533" s="571"/>
      <c r="N533" s="570"/>
      <c r="V533" s="674"/>
      <c r="W533" s="675" t="s">
        <v>4460</v>
      </c>
      <c r="AC533" s="675"/>
      <c r="AD533" s="680"/>
      <c r="AE533" s="675"/>
      <c r="AG533" s="675"/>
    </row>
    <row r="534" spans="1:33" s="536" customFormat="1" ht="12" x14ac:dyDescent="0.2">
      <c r="A534" s="569"/>
      <c r="B534" s="671"/>
      <c r="C534" s="665" t="s">
        <v>717</v>
      </c>
      <c r="D534" s="666"/>
      <c r="E534" s="666"/>
      <c r="F534" s="563"/>
      <c r="G534" s="563"/>
      <c r="H534" s="563"/>
      <c r="I534" s="563"/>
      <c r="J534" s="566"/>
      <c r="K534" s="563"/>
      <c r="L534" s="566"/>
      <c r="M534" s="565"/>
      <c r="N534" s="564"/>
      <c r="V534" s="674"/>
      <c r="W534" s="675"/>
      <c r="AC534" s="675"/>
      <c r="AD534" s="680"/>
      <c r="AE534" s="675"/>
      <c r="AG534" s="675"/>
    </row>
    <row r="535" spans="1:33" s="536" customFormat="1" ht="12" x14ac:dyDescent="0.2">
      <c r="A535" s="676"/>
      <c r="B535" s="664"/>
      <c r="C535" s="1822" t="s">
        <v>4701</v>
      </c>
      <c r="D535" s="1822"/>
      <c r="E535" s="1822"/>
      <c r="F535" s="1822"/>
      <c r="G535" s="1822"/>
      <c r="H535" s="1822"/>
      <c r="I535" s="1822"/>
      <c r="J535" s="1822"/>
      <c r="K535" s="1822"/>
      <c r="L535" s="1822"/>
      <c r="M535" s="1822"/>
      <c r="N535" s="1827"/>
      <c r="V535" s="674"/>
      <c r="W535" s="675"/>
      <c r="X535" s="537" t="s">
        <v>4701</v>
      </c>
      <c r="AC535" s="675"/>
      <c r="AD535" s="680"/>
      <c r="AE535" s="675"/>
      <c r="AG535" s="675"/>
    </row>
    <row r="536" spans="1:33" s="536" customFormat="1" ht="12" x14ac:dyDescent="0.2">
      <c r="A536" s="575" t="s">
        <v>653</v>
      </c>
      <c r="B536" s="670" t="s">
        <v>4461</v>
      </c>
      <c r="C536" s="1823" t="s">
        <v>4462</v>
      </c>
      <c r="D536" s="1823"/>
      <c r="E536" s="1823"/>
      <c r="F536" s="573" t="s">
        <v>617</v>
      </c>
      <c r="G536" s="573"/>
      <c r="H536" s="573"/>
      <c r="I536" s="573" t="s">
        <v>3794</v>
      </c>
      <c r="J536" s="572">
        <v>6.55</v>
      </c>
      <c r="K536" s="573"/>
      <c r="L536" s="572">
        <v>871.15</v>
      </c>
      <c r="M536" s="571"/>
      <c r="N536" s="570"/>
      <c r="V536" s="674"/>
      <c r="W536" s="675" t="s">
        <v>4462</v>
      </c>
      <c r="AC536" s="675"/>
      <c r="AD536" s="680"/>
      <c r="AE536" s="675"/>
      <c r="AG536" s="675"/>
    </row>
    <row r="537" spans="1:33" s="536" customFormat="1" ht="12" x14ac:dyDescent="0.2">
      <c r="A537" s="569"/>
      <c r="B537" s="671"/>
      <c r="C537" s="665" t="s">
        <v>717</v>
      </c>
      <c r="D537" s="666"/>
      <c r="E537" s="666"/>
      <c r="F537" s="563"/>
      <c r="G537" s="563"/>
      <c r="H537" s="563"/>
      <c r="I537" s="563"/>
      <c r="J537" s="566"/>
      <c r="K537" s="563"/>
      <c r="L537" s="566"/>
      <c r="M537" s="565"/>
      <c r="N537" s="564"/>
      <c r="V537" s="674"/>
      <c r="W537" s="675"/>
      <c r="AC537" s="675"/>
      <c r="AD537" s="680"/>
      <c r="AE537" s="675"/>
      <c r="AG537" s="675"/>
    </row>
    <row r="538" spans="1:33" s="536" customFormat="1" ht="12" x14ac:dyDescent="0.2">
      <c r="A538" s="676"/>
      <c r="B538" s="664"/>
      <c r="C538" s="1822" t="s">
        <v>4702</v>
      </c>
      <c r="D538" s="1822"/>
      <c r="E538" s="1822"/>
      <c r="F538" s="1822"/>
      <c r="G538" s="1822"/>
      <c r="H538" s="1822"/>
      <c r="I538" s="1822"/>
      <c r="J538" s="1822"/>
      <c r="K538" s="1822"/>
      <c r="L538" s="1822"/>
      <c r="M538" s="1822"/>
      <c r="N538" s="1827"/>
      <c r="V538" s="674"/>
      <c r="W538" s="675"/>
      <c r="X538" s="537" t="s">
        <v>4702</v>
      </c>
      <c r="AC538" s="675"/>
      <c r="AD538" s="680"/>
      <c r="AE538" s="675"/>
      <c r="AG538" s="675"/>
    </row>
    <row r="539" spans="1:33" s="536" customFormat="1" ht="45" x14ac:dyDescent="0.2">
      <c r="A539" s="575" t="s">
        <v>794</v>
      </c>
      <c r="B539" s="670" t="s">
        <v>4703</v>
      </c>
      <c r="C539" s="1823" t="s">
        <v>4704</v>
      </c>
      <c r="D539" s="1823"/>
      <c r="E539" s="1823"/>
      <c r="F539" s="573" t="s">
        <v>1537</v>
      </c>
      <c r="G539" s="573"/>
      <c r="H539" s="573"/>
      <c r="I539" s="573" t="s">
        <v>4705</v>
      </c>
      <c r="J539" s="572"/>
      <c r="K539" s="573"/>
      <c r="L539" s="572"/>
      <c r="M539" s="571"/>
      <c r="N539" s="570"/>
      <c r="V539" s="674"/>
      <c r="W539" s="675" t="s">
        <v>4704</v>
      </c>
      <c r="AC539" s="675"/>
      <c r="AD539" s="680"/>
      <c r="AE539" s="675"/>
      <c r="AG539" s="675"/>
    </row>
    <row r="540" spans="1:33" s="536" customFormat="1" ht="12" x14ac:dyDescent="0.2">
      <c r="A540" s="676"/>
      <c r="B540" s="664"/>
      <c r="C540" s="1822" t="s">
        <v>4706</v>
      </c>
      <c r="D540" s="1822"/>
      <c r="E540" s="1822"/>
      <c r="F540" s="1822"/>
      <c r="G540" s="1822"/>
      <c r="H540" s="1822"/>
      <c r="I540" s="1822"/>
      <c r="J540" s="1822"/>
      <c r="K540" s="1822"/>
      <c r="L540" s="1822"/>
      <c r="M540" s="1822"/>
      <c r="N540" s="1827"/>
      <c r="V540" s="674"/>
      <c r="W540" s="675"/>
      <c r="X540" s="537" t="s">
        <v>4706</v>
      </c>
      <c r="AC540" s="675"/>
      <c r="AD540" s="680"/>
      <c r="AE540" s="675"/>
      <c r="AG540" s="675"/>
    </row>
    <row r="541" spans="1:33" s="536" customFormat="1" ht="22.5" x14ac:dyDescent="0.2">
      <c r="A541" s="609"/>
      <c r="B541" s="552" t="s">
        <v>499</v>
      </c>
      <c r="C541" s="1822" t="s">
        <v>500</v>
      </c>
      <c r="D541" s="1822"/>
      <c r="E541" s="1822"/>
      <c r="F541" s="1822"/>
      <c r="G541" s="1822"/>
      <c r="H541" s="1822"/>
      <c r="I541" s="1822"/>
      <c r="J541" s="1822"/>
      <c r="K541" s="1822"/>
      <c r="L541" s="1822"/>
      <c r="M541" s="1822"/>
      <c r="N541" s="1827"/>
      <c r="V541" s="674"/>
      <c r="W541" s="675"/>
      <c r="Y541" s="537" t="s">
        <v>500</v>
      </c>
      <c r="AC541" s="675"/>
      <c r="AD541" s="680"/>
      <c r="AE541" s="675"/>
      <c r="AG541" s="675"/>
    </row>
    <row r="542" spans="1:33" s="536" customFormat="1" ht="12" x14ac:dyDescent="0.2">
      <c r="A542" s="605"/>
      <c r="B542" s="552" t="s">
        <v>185</v>
      </c>
      <c r="C542" s="1822" t="s">
        <v>312</v>
      </c>
      <c r="D542" s="1822"/>
      <c r="E542" s="1822"/>
      <c r="F542" s="562"/>
      <c r="G542" s="562"/>
      <c r="H542" s="562"/>
      <c r="I542" s="562"/>
      <c r="J542" s="604">
        <v>1287.3599999999999</v>
      </c>
      <c r="K542" s="562" t="s">
        <v>313</v>
      </c>
      <c r="L542" s="604">
        <v>1673.57</v>
      </c>
      <c r="M542" s="603"/>
      <c r="N542" s="602"/>
      <c r="V542" s="674"/>
      <c r="W542" s="675"/>
      <c r="Z542" s="537" t="s">
        <v>312</v>
      </c>
      <c r="AC542" s="675"/>
      <c r="AD542" s="680"/>
      <c r="AE542" s="675"/>
      <c r="AG542" s="675"/>
    </row>
    <row r="543" spans="1:33" s="536" customFormat="1" ht="12" x14ac:dyDescent="0.2">
      <c r="A543" s="605"/>
      <c r="B543" s="552" t="s">
        <v>186</v>
      </c>
      <c r="C543" s="1822" t="s">
        <v>344</v>
      </c>
      <c r="D543" s="1822"/>
      <c r="E543" s="1822"/>
      <c r="F543" s="562"/>
      <c r="G543" s="562"/>
      <c r="H543" s="562"/>
      <c r="I543" s="562"/>
      <c r="J543" s="604">
        <v>3182.23</v>
      </c>
      <c r="K543" s="562" t="s">
        <v>313</v>
      </c>
      <c r="L543" s="604">
        <v>4136.8999999999996</v>
      </c>
      <c r="M543" s="603"/>
      <c r="N543" s="602"/>
      <c r="V543" s="674"/>
      <c r="W543" s="675"/>
      <c r="Z543" s="537" t="s">
        <v>344</v>
      </c>
      <c r="AC543" s="675"/>
      <c r="AD543" s="680"/>
      <c r="AE543" s="675"/>
      <c r="AG543" s="675"/>
    </row>
    <row r="544" spans="1:33" s="536" customFormat="1" ht="12" x14ac:dyDescent="0.2">
      <c r="A544" s="605"/>
      <c r="B544" s="552" t="s">
        <v>187</v>
      </c>
      <c r="C544" s="1822" t="s">
        <v>345</v>
      </c>
      <c r="D544" s="1822"/>
      <c r="E544" s="1822"/>
      <c r="F544" s="562"/>
      <c r="G544" s="562"/>
      <c r="H544" s="562"/>
      <c r="I544" s="562"/>
      <c r="J544" s="604">
        <v>375.86</v>
      </c>
      <c r="K544" s="562" t="s">
        <v>313</v>
      </c>
      <c r="L544" s="604">
        <v>488.62</v>
      </c>
      <c r="M544" s="603"/>
      <c r="N544" s="602"/>
      <c r="V544" s="674"/>
      <c r="W544" s="675"/>
      <c r="Z544" s="537" t="s">
        <v>345</v>
      </c>
      <c r="AC544" s="675"/>
      <c r="AD544" s="680"/>
      <c r="AE544" s="675"/>
      <c r="AG544" s="675"/>
    </row>
    <row r="545" spans="1:33" s="536" customFormat="1" ht="12" x14ac:dyDescent="0.2">
      <c r="A545" s="605"/>
      <c r="B545" s="552" t="s">
        <v>188</v>
      </c>
      <c r="C545" s="1822" t="s">
        <v>475</v>
      </c>
      <c r="D545" s="1822"/>
      <c r="E545" s="1822"/>
      <c r="F545" s="562"/>
      <c r="G545" s="562"/>
      <c r="H545" s="562"/>
      <c r="I545" s="562"/>
      <c r="J545" s="604">
        <v>1345.08</v>
      </c>
      <c r="K545" s="562"/>
      <c r="L545" s="604">
        <v>1398.88</v>
      </c>
      <c r="M545" s="603"/>
      <c r="N545" s="602"/>
      <c r="V545" s="674"/>
      <c r="W545" s="675"/>
      <c r="Z545" s="537" t="s">
        <v>475</v>
      </c>
      <c r="AC545" s="675"/>
      <c r="AD545" s="680"/>
      <c r="AE545" s="675"/>
      <c r="AG545" s="675"/>
    </row>
    <row r="546" spans="1:33" s="536" customFormat="1" ht="12" x14ac:dyDescent="0.2">
      <c r="A546" s="676"/>
      <c r="B546" s="677" t="s">
        <v>4438</v>
      </c>
      <c r="C546" s="1829" t="s">
        <v>4707</v>
      </c>
      <c r="D546" s="1829"/>
      <c r="E546" s="1829"/>
      <c r="F546" s="678" t="s">
        <v>483</v>
      </c>
      <c r="G546" s="678" t="s">
        <v>525</v>
      </c>
      <c r="H546" s="678"/>
      <c r="I546" s="678" t="s">
        <v>525</v>
      </c>
      <c r="J546" s="552"/>
      <c r="K546" s="562"/>
      <c r="L546" s="604"/>
      <c r="M546" s="562"/>
      <c r="N546" s="679"/>
      <c r="V546" s="674"/>
      <c r="W546" s="675"/>
      <c r="AC546" s="675"/>
      <c r="AD546" s="680" t="s">
        <v>4707</v>
      </c>
      <c r="AE546" s="675"/>
      <c r="AG546" s="675"/>
    </row>
    <row r="547" spans="1:33" s="536" customFormat="1" ht="12" x14ac:dyDescent="0.2">
      <c r="A547" s="676"/>
      <c r="B547" s="677" t="s">
        <v>4539</v>
      </c>
      <c r="C547" s="1829" t="s">
        <v>4540</v>
      </c>
      <c r="D547" s="1829"/>
      <c r="E547" s="1829"/>
      <c r="F547" s="678" t="s">
        <v>617</v>
      </c>
      <c r="G547" s="678" t="s">
        <v>525</v>
      </c>
      <c r="H547" s="678"/>
      <c r="I547" s="678" t="s">
        <v>525</v>
      </c>
      <c r="J547" s="552"/>
      <c r="K547" s="562"/>
      <c r="L547" s="604"/>
      <c r="M547" s="562"/>
      <c r="N547" s="679"/>
      <c r="V547" s="674"/>
      <c r="W547" s="675"/>
      <c r="AC547" s="675"/>
      <c r="AD547" s="680" t="s">
        <v>4540</v>
      </c>
      <c r="AE547" s="675"/>
      <c r="AG547" s="675"/>
    </row>
    <row r="548" spans="1:33" s="536" customFormat="1" ht="22.5" x14ac:dyDescent="0.2">
      <c r="A548" s="676"/>
      <c r="B548" s="677" t="s">
        <v>4708</v>
      </c>
      <c r="C548" s="1829" t="s">
        <v>4709</v>
      </c>
      <c r="D548" s="1829"/>
      <c r="E548" s="1829"/>
      <c r="F548" s="678" t="s">
        <v>617</v>
      </c>
      <c r="G548" s="678" t="s">
        <v>525</v>
      </c>
      <c r="H548" s="678"/>
      <c r="I548" s="678" t="s">
        <v>525</v>
      </c>
      <c r="J548" s="552"/>
      <c r="K548" s="562"/>
      <c r="L548" s="604"/>
      <c r="M548" s="562"/>
      <c r="N548" s="679"/>
      <c r="V548" s="674"/>
      <c r="W548" s="675"/>
      <c r="AC548" s="675"/>
      <c r="AD548" s="680" t="s">
        <v>4709</v>
      </c>
      <c r="AE548" s="675"/>
      <c r="AG548" s="675"/>
    </row>
    <row r="549" spans="1:33" s="536" customFormat="1" ht="12" x14ac:dyDescent="0.2">
      <c r="A549" s="605"/>
      <c r="B549" s="552"/>
      <c r="C549" s="1822" t="s">
        <v>314</v>
      </c>
      <c r="D549" s="1822"/>
      <c r="E549" s="1822"/>
      <c r="F549" s="562" t="s">
        <v>315</v>
      </c>
      <c r="G549" s="562" t="s">
        <v>4710</v>
      </c>
      <c r="H549" s="562" t="s">
        <v>313</v>
      </c>
      <c r="I549" s="562" t="s">
        <v>4711</v>
      </c>
      <c r="J549" s="604"/>
      <c r="K549" s="562"/>
      <c r="L549" s="604"/>
      <c r="M549" s="603"/>
      <c r="N549" s="602"/>
      <c r="V549" s="674"/>
      <c r="W549" s="675"/>
      <c r="AA549" s="537" t="s">
        <v>314</v>
      </c>
      <c r="AC549" s="675"/>
      <c r="AD549" s="680"/>
      <c r="AE549" s="675"/>
      <c r="AG549" s="675"/>
    </row>
    <row r="550" spans="1:33" s="536" customFormat="1" ht="12" x14ac:dyDescent="0.2">
      <c r="A550" s="605"/>
      <c r="B550" s="552"/>
      <c r="C550" s="1822" t="s">
        <v>348</v>
      </c>
      <c r="D550" s="1822"/>
      <c r="E550" s="1822"/>
      <c r="F550" s="562" t="s">
        <v>315</v>
      </c>
      <c r="G550" s="562" t="s">
        <v>4712</v>
      </c>
      <c r="H550" s="562" t="s">
        <v>313</v>
      </c>
      <c r="I550" s="562" t="s">
        <v>4713</v>
      </c>
      <c r="J550" s="604"/>
      <c r="K550" s="562"/>
      <c r="L550" s="604"/>
      <c r="M550" s="603"/>
      <c r="N550" s="602"/>
      <c r="V550" s="674"/>
      <c r="W550" s="675"/>
      <c r="AA550" s="537" t="s">
        <v>348</v>
      </c>
      <c r="AC550" s="675"/>
      <c r="AD550" s="680"/>
      <c r="AE550" s="675"/>
      <c r="AG550" s="675"/>
    </row>
    <row r="551" spans="1:33" s="536" customFormat="1" ht="12" x14ac:dyDescent="0.2">
      <c r="A551" s="605"/>
      <c r="B551" s="552"/>
      <c r="C551" s="1828" t="s">
        <v>318</v>
      </c>
      <c r="D551" s="1828"/>
      <c r="E551" s="1828"/>
      <c r="F551" s="608"/>
      <c r="G551" s="608"/>
      <c r="H551" s="608"/>
      <c r="I551" s="608"/>
      <c r="J551" s="607">
        <v>5814.67</v>
      </c>
      <c r="K551" s="608"/>
      <c r="L551" s="607">
        <v>7209.35</v>
      </c>
      <c r="M551" s="601"/>
      <c r="N551" s="606"/>
      <c r="V551" s="674"/>
      <c r="W551" s="675"/>
      <c r="AB551" s="537" t="s">
        <v>318</v>
      </c>
      <c r="AC551" s="675"/>
      <c r="AD551" s="680"/>
      <c r="AE551" s="675"/>
      <c r="AG551" s="675"/>
    </row>
    <row r="552" spans="1:33" s="536" customFormat="1" ht="12" x14ac:dyDescent="0.2">
      <c r="A552" s="605"/>
      <c r="B552" s="552"/>
      <c r="C552" s="1822" t="s">
        <v>319</v>
      </c>
      <c r="D552" s="1822"/>
      <c r="E552" s="1822"/>
      <c r="F552" s="562"/>
      <c r="G552" s="562"/>
      <c r="H552" s="562"/>
      <c r="I552" s="562"/>
      <c r="J552" s="604"/>
      <c r="K552" s="562"/>
      <c r="L552" s="604">
        <v>2162.19</v>
      </c>
      <c r="M552" s="603"/>
      <c r="N552" s="602"/>
      <c r="V552" s="674"/>
      <c r="W552" s="675"/>
      <c r="AA552" s="537" t="s">
        <v>319</v>
      </c>
      <c r="AC552" s="675"/>
      <c r="AD552" s="680"/>
      <c r="AE552" s="675"/>
      <c r="AG552" s="675"/>
    </row>
    <row r="553" spans="1:33" s="536" customFormat="1" ht="33.75" x14ac:dyDescent="0.2">
      <c r="A553" s="605"/>
      <c r="B553" s="552" t="s">
        <v>533</v>
      </c>
      <c r="C553" s="1822" t="s">
        <v>534</v>
      </c>
      <c r="D553" s="1822"/>
      <c r="E553" s="1822"/>
      <c r="F553" s="562" t="s">
        <v>322</v>
      </c>
      <c r="G553" s="562" t="s">
        <v>535</v>
      </c>
      <c r="H553" s="562"/>
      <c r="I553" s="562" t="s">
        <v>535</v>
      </c>
      <c r="J553" s="604"/>
      <c r="K553" s="562"/>
      <c r="L553" s="604">
        <v>2529.7600000000002</v>
      </c>
      <c r="M553" s="603"/>
      <c r="N553" s="602"/>
      <c r="V553" s="674"/>
      <c r="W553" s="675"/>
      <c r="AA553" s="537" t="s">
        <v>534</v>
      </c>
      <c r="AC553" s="675"/>
      <c r="AD553" s="680"/>
      <c r="AE553" s="675"/>
      <c r="AG553" s="675"/>
    </row>
    <row r="554" spans="1:33" s="536" customFormat="1" ht="33.75" x14ac:dyDescent="0.2">
      <c r="A554" s="605"/>
      <c r="B554" s="552" t="s">
        <v>536</v>
      </c>
      <c r="C554" s="1822" t="s">
        <v>537</v>
      </c>
      <c r="D554" s="1822"/>
      <c r="E554" s="1822"/>
      <c r="F554" s="562" t="s">
        <v>322</v>
      </c>
      <c r="G554" s="562" t="s">
        <v>538</v>
      </c>
      <c r="H554" s="562"/>
      <c r="I554" s="562" t="s">
        <v>538</v>
      </c>
      <c r="J554" s="604"/>
      <c r="K554" s="562"/>
      <c r="L554" s="604">
        <v>1600.02</v>
      </c>
      <c r="M554" s="603"/>
      <c r="N554" s="602"/>
      <c r="V554" s="674"/>
      <c r="W554" s="675"/>
      <c r="AA554" s="537" t="s">
        <v>537</v>
      </c>
      <c r="AC554" s="675"/>
      <c r="AD554" s="680"/>
      <c r="AE554" s="675"/>
      <c r="AG554" s="675"/>
    </row>
    <row r="555" spans="1:33" s="536" customFormat="1" ht="12" x14ac:dyDescent="0.2">
      <c r="A555" s="569"/>
      <c r="B555" s="671"/>
      <c r="C555" s="1823" t="s">
        <v>327</v>
      </c>
      <c r="D555" s="1823"/>
      <c r="E555" s="1823"/>
      <c r="F555" s="573"/>
      <c r="G555" s="573"/>
      <c r="H555" s="573"/>
      <c r="I555" s="573"/>
      <c r="J555" s="572"/>
      <c r="K555" s="573"/>
      <c r="L555" s="572">
        <v>11339.13</v>
      </c>
      <c r="M555" s="601"/>
      <c r="N555" s="570"/>
      <c r="V555" s="674"/>
      <c r="W555" s="675"/>
      <c r="AC555" s="675" t="s">
        <v>327</v>
      </c>
      <c r="AD555" s="680"/>
      <c r="AE555" s="675"/>
      <c r="AG555" s="675"/>
    </row>
    <row r="556" spans="1:33" s="536" customFormat="1" ht="22.5" x14ac:dyDescent="0.2">
      <c r="A556" s="575" t="s">
        <v>2347</v>
      </c>
      <c r="B556" s="670" t="s">
        <v>4545</v>
      </c>
      <c r="C556" s="1823" t="s">
        <v>4546</v>
      </c>
      <c r="D556" s="1823"/>
      <c r="E556" s="1823"/>
      <c r="F556" s="573" t="s">
        <v>617</v>
      </c>
      <c r="G556" s="573"/>
      <c r="H556" s="573"/>
      <c r="I556" s="573" t="s">
        <v>733</v>
      </c>
      <c r="J556" s="572">
        <v>215.48</v>
      </c>
      <c r="K556" s="573"/>
      <c r="L556" s="572">
        <v>4309.6000000000004</v>
      </c>
      <c r="M556" s="571"/>
      <c r="N556" s="570"/>
      <c r="V556" s="674"/>
      <c r="W556" s="675" t="s">
        <v>4546</v>
      </c>
      <c r="AC556" s="675"/>
      <c r="AD556" s="680"/>
      <c r="AE556" s="675"/>
      <c r="AG556" s="675"/>
    </row>
    <row r="557" spans="1:33" s="536" customFormat="1" ht="12" x14ac:dyDescent="0.2">
      <c r="A557" s="569"/>
      <c r="B557" s="671"/>
      <c r="C557" s="665" t="s">
        <v>717</v>
      </c>
      <c r="D557" s="666"/>
      <c r="E557" s="666"/>
      <c r="F557" s="563"/>
      <c r="G557" s="563"/>
      <c r="H557" s="563"/>
      <c r="I557" s="563"/>
      <c r="J557" s="566"/>
      <c r="K557" s="563"/>
      <c r="L557" s="566"/>
      <c r="M557" s="565"/>
      <c r="N557" s="564"/>
      <c r="V557" s="674"/>
      <c r="W557" s="675"/>
      <c r="AC557" s="675"/>
      <c r="AD557" s="680"/>
      <c r="AE557" s="675"/>
      <c r="AG557" s="675"/>
    </row>
    <row r="558" spans="1:33" s="536" customFormat="1" ht="33.75" x14ac:dyDescent="0.2">
      <c r="A558" s="575" t="s">
        <v>796</v>
      </c>
      <c r="B558" s="670" t="s">
        <v>4549</v>
      </c>
      <c r="C558" s="1823" t="s">
        <v>4550</v>
      </c>
      <c r="D558" s="1823"/>
      <c r="E558" s="1823"/>
      <c r="F558" s="573" t="s">
        <v>617</v>
      </c>
      <c r="G558" s="573"/>
      <c r="H558" s="573"/>
      <c r="I558" s="573" t="s">
        <v>677</v>
      </c>
      <c r="J558" s="572">
        <v>242.94</v>
      </c>
      <c r="K558" s="573"/>
      <c r="L558" s="572">
        <v>9717.6</v>
      </c>
      <c r="M558" s="571"/>
      <c r="N558" s="570"/>
      <c r="V558" s="674"/>
      <c r="W558" s="675" t="s">
        <v>4550</v>
      </c>
      <c r="AC558" s="675"/>
      <c r="AD558" s="680"/>
      <c r="AE558" s="675"/>
      <c r="AG558" s="675"/>
    </row>
    <row r="559" spans="1:33" s="536" customFormat="1" ht="12" x14ac:dyDescent="0.2">
      <c r="A559" s="569"/>
      <c r="B559" s="671"/>
      <c r="C559" s="665" t="s">
        <v>717</v>
      </c>
      <c r="D559" s="666"/>
      <c r="E559" s="666"/>
      <c r="F559" s="563"/>
      <c r="G559" s="563"/>
      <c r="H559" s="563"/>
      <c r="I559" s="563"/>
      <c r="J559" s="566"/>
      <c r="K559" s="563"/>
      <c r="L559" s="566"/>
      <c r="M559" s="565"/>
      <c r="N559" s="564"/>
      <c r="V559" s="674"/>
      <c r="W559" s="675"/>
      <c r="AC559" s="675"/>
      <c r="AD559" s="680"/>
      <c r="AE559" s="675"/>
      <c r="AG559" s="675"/>
    </row>
    <row r="560" spans="1:33" s="536" customFormat="1" ht="12" x14ac:dyDescent="0.2">
      <c r="A560" s="676"/>
      <c r="B560" s="664"/>
      <c r="C560" s="1822" t="s">
        <v>4714</v>
      </c>
      <c r="D560" s="1822"/>
      <c r="E560" s="1822"/>
      <c r="F560" s="1822"/>
      <c r="G560" s="1822"/>
      <c r="H560" s="1822"/>
      <c r="I560" s="1822"/>
      <c r="J560" s="1822"/>
      <c r="K560" s="1822"/>
      <c r="L560" s="1822"/>
      <c r="M560" s="1822"/>
      <c r="N560" s="1827"/>
      <c r="V560" s="674"/>
      <c r="W560" s="675"/>
      <c r="X560" s="537" t="s">
        <v>4714</v>
      </c>
      <c r="AC560" s="675"/>
      <c r="AD560" s="680"/>
      <c r="AE560" s="675"/>
      <c r="AG560" s="675"/>
    </row>
    <row r="561" spans="1:33" s="536" customFormat="1" ht="22.5" x14ac:dyDescent="0.2">
      <c r="A561" s="575" t="s">
        <v>797</v>
      </c>
      <c r="B561" s="670" t="s">
        <v>4459</v>
      </c>
      <c r="C561" s="1823" t="s">
        <v>4460</v>
      </c>
      <c r="D561" s="1823"/>
      <c r="E561" s="1823"/>
      <c r="F561" s="573" t="s">
        <v>617</v>
      </c>
      <c r="G561" s="573"/>
      <c r="H561" s="573"/>
      <c r="I561" s="573" t="s">
        <v>733</v>
      </c>
      <c r="J561" s="572">
        <v>31.43</v>
      </c>
      <c r="K561" s="573"/>
      <c r="L561" s="572">
        <v>628.6</v>
      </c>
      <c r="M561" s="571"/>
      <c r="N561" s="570"/>
      <c r="V561" s="674"/>
      <c r="W561" s="675" t="s">
        <v>4460</v>
      </c>
      <c r="AC561" s="675"/>
      <c r="AD561" s="680"/>
      <c r="AE561" s="675"/>
      <c r="AG561" s="675"/>
    </row>
    <row r="562" spans="1:33" s="536" customFormat="1" ht="12" x14ac:dyDescent="0.2">
      <c r="A562" s="569"/>
      <c r="B562" s="671"/>
      <c r="C562" s="665" t="s">
        <v>717</v>
      </c>
      <c r="D562" s="666"/>
      <c r="E562" s="666"/>
      <c r="F562" s="563"/>
      <c r="G562" s="563"/>
      <c r="H562" s="563"/>
      <c r="I562" s="563"/>
      <c r="J562" s="566"/>
      <c r="K562" s="563"/>
      <c r="L562" s="566"/>
      <c r="M562" s="565"/>
      <c r="N562" s="564"/>
      <c r="V562" s="674"/>
      <c r="W562" s="675"/>
      <c r="AC562" s="675"/>
      <c r="AD562" s="680"/>
      <c r="AE562" s="675"/>
      <c r="AG562" s="675"/>
    </row>
    <row r="563" spans="1:33" s="536" customFormat="1" ht="12" x14ac:dyDescent="0.2">
      <c r="A563" s="676"/>
      <c r="B563" s="664"/>
      <c r="C563" s="1822" t="s">
        <v>4715</v>
      </c>
      <c r="D563" s="1822"/>
      <c r="E563" s="1822"/>
      <c r="F563" s="1822"/>
      <c r="G563" s="1822"/>
      <c r="H563" s="1822"/>
      <c r="I563" s="1822"/>
      <c r="J563" s="1822"/>
      <c r="K563" s="1822"/>
      <c r="L563" s="1822"/>
      <c r="M563" s="1822"/>
      <c r="N563" s="1827"/>
      <c r="V563" s="674"/>
      <c r="W563" s="675"/>
      <c r="X563" s="537" t="s">
        <v>4715</v>
      </c>
      <c r="AC563" s="675"/>
      <c r="AD563" s="680"/>
      <c r="AE563" s="675"/>
      <c r="AG563" s="675"/>
    </row>
    <row r="564" spans="1:33" s="536" customFormat="1" ht="12" x14ac:dyDescent="0.2">
      <c r="A564" s="575" t="s">
        <v>798</v>
      </c>
      <c r="B564" s="670" t="s">
        <v>4461</v>
      </c>
      <c r="C564" s="1823" t="s">
        <v>4462</v>
      </c>
      <c r="D564" s="1823"/>
      <c r="E564" s="1823"/>
      <c r="F564" s="573" t="s">
        <v>617</v>
      </c>
      <c r="G564" s="573"/>
      <c r="H564" s="573"/>
      <c r="I564" s="573" t="s">
        <v>713</v>
      </c>
      <c r="J564" s="572">
        <v>6.55</v>
      </c>
      <c r="K564" s="573"/>
      <c r="L564" s="572">
        <v>393</v>
      </c>
      <c r="M564" s="571"/>
      <c r="N564" s="570"/>
      <c r="V564" s="674"/>
      <c r="W564" s="675" t="s">
        <v>4462</v>
      </c>
      <c r="AC564" s="675"/>
      <c r="AD564" s="680"/>
      <c r="AE564" s="675"/>
      <c r="AG564" s="675"/>
    </row>
    <row r="565" spans="1:33" s="536" customFormat="1" ht="12" x14ac:dyDescent="0.2">
      <c r="A565" s="569"/>
      <c r="B565" s="671"/>
      <c r="C565" s="665" t="s">
        <v>717</v>
      </c>
      <c r="D565" s="666"/>
      <c r="E565" s="666"/>
      <c r="F565" s="563"/>
      <c r="G565" s="563"/>
      <c r="H565" s="563"/>
      <c r="I565" s="563"/>
      <c r="J565" s="566"/>
      <c r="K565" s="563"/>
      <c r="L565" s="566"/>
      <c r="M565" s="565"/>
      <c r="N565" s="564"/>
      <c r="V565" s="674"/>
      <c r="W565" s="675"/>
      <c r="AC565" s="675"/>
      <c r="AD565" s="680"/>
      <c r="AE565" s="675"/>
      <c r="AG565" s="675"/>
    </row>
    <row r="566" spans="1:33" s="536" customFormat="1" ht="12" x14ac:dyDescent="0.2">
      <c r="A566" s="676"/>
      <c r="B566" s="664"/>
      <c r="C566" s="1822" t="s">
        <v>4716</v>
      </c>
      <c r="D566" s="1822"/>
      <c r="E566" s="1822"/>
      <c r="F566" s="1822"/>
      <c r="G566" s="1822"/>
      <c r="H566" s="1822"/>
      <c r="I566" s="1822"/>
      <c r="J566" s="1822"/>
      <c r="K566" s="1822"/>
      <c r="L566" s="1822"/>
      <c r="M566" s="1822"/>
      <c r="N566" s="1827"/>
      <c r="V566" s="674"/>
      <c r="W566" s="675"/>
      <c r="X566" s="537" t="s">
        <v>4716</v>
      </c>
      <c r="AC566" s="675"/>
      <c r="AD566" s="680"/>
      <c r="AE566" s="675"/>
      <c r="AG566" s="675"/>
    </row>
    <row r="567" spans="1:33" s="536" customFormat="1" ht="12" x14ac:dyDescent="0.2">
      <c r="A567" s="575" t="s">
        <v>2349</v>
      </c>
      <c r="B567" s="670" t="s">
        <v>4464</v>
      </c>
      <c r="C567" s="1823" t="s">
        <v>4465</v>
      </c>
      <c r="D567" s="1823"/>
      <c r="E567" s="1823"/>
      <c r="F567" s="573" t="s">
        <v>617</v>
      </c>
      <c r="G567" s="573"/>
      <c r="H567" s="573"/>
      <c r="I567" s="573" t="s">
        <v>768</v>
      </c>
      <c r="J567" s="572">
        <v>569.52</v>
      </c>
      <c r="K567" s="573"/>
      <c r="L567" s="572">
        <v>19933.2</v>
      </c>
      <c r="M567" s="571"/>
      <c r="N567" s="570"/>
      <c r="V567" s="674"/>
      <c r="W567" s="675" t="s">
        <v>4465</v>
      </c>
      <c r="AC567" s="675"/>
      <c r="AD567" s="680"/>
      <c r="AE567" s="675"/>
      <c r="AG567" s="675"/>
    </row>
    <row r="568" spans="1:33" s="536" customFormat="1" ht="12" x14ac:dyDescent="0.2">
      <c r="A568" s="569"/>
      <c r="B568" s="671"/>
      <c r="C568" s="665" t="s">
        <v>717</v>
      </c>
      <c r="D568" s="666"/>
      <c r="E568" s="666"/>
      <c r="F568" s="563"/>
      <c r="G568" s="563"/>
      <c r="H568" s="563"/>
      <c r="I568" s="563"/>
      <c r="J568" s="566"/>
      <c r="K568" s="563"/>
      <c r="L568" s="566"/>
      <c r="M568" s="565"/>
      <c r="N568" s="564"/>
      <c r="V568" s="674"/>
      <c r="W568" s="675"/>
      <c r="AC568" s="675"/>
      <c r="AD568" s="680"/>
      <c r="AE568" s="675"/>
      <c r="AG568" s="675"/>
    </row>
    <row r="569" spans="1:33" s="536" customFormat="1" ht="33.75" x14ac:dyDescent="0.2">
      <c r="A569" s="575" t="s">
        <v>2037</v>
      </c>
      <c r="B569" s="670" t="s">
        <v>4717</v>
      </c>
      <c r="C569" s="1823" t="s">
        <v>4718</v>
      </c>
      <c r="D569" s="1823"/>
      <c r="E569" s="1823"/>
      <c r="F569" s="573" t="s">
        <v>628</v>
      </c>
      <c r="G569" s="573"/>
      <c r="H569" s="573"/>
      <c r="I569" s="573" t="s">
        <v>733</v>
      </c>
      <c r="J569" s="572">
        <v>4338.3599999999997</v>
      </c>
      <c r="K569" s="573" t="s">
        <v>716</v>
      </c>
      <c r="L569" s="572">
        <v>8754.01</v>
      </c>
      <c r="M569" s="571">
        <v>10.11</v>
      </c>
      <c r="N569" s="570">
        <v>88503</v>
      </c>
      <c r="V569" s="674"/>
      <c r="W569" s="675" t="s">
        <v>4718</v>
      </c>
      <c r="AC569" s="675"/>
      <c r="AD569" s="680"/>
      <c r="AE569" s="675"/>
      <c r="AG569" s="675"/>
    </row>
    <row r="570" spans="1:33" s="536" customFormat="1" ht="12" x14ac:dyDescent="0.2">
      <c r="A570" s="569"/>
      <c r="B570" s="671"/>
      <c r="C570" s="665" t="s">
        <v>717</v>
      </c>
      <c r="D570" s="666"/>
      <c r="E570" s="666"/>
      <c r="F570" s="563"/>
      <c r="G570" s="563"/>
      <c r="H570" s="563"/>
      <c r="I570" s="563"/>
      <c r="J570" s="566"/>
      <c r="K570" s="563"/>
      <c r="L570" s="566"/>
      <c r="M570" s="565"/>
      <c r="N570" s="564"/>
      <c r="V570" s="674"/>
      <c r="W570" s="675"/>
      <c r="AC570" s="675"/>
      <c r="AD570" s="680"/>
      <c r="AE570" s="675"/>
      <c r="AG570" s="675"/>
    </row>
    <row r="571" spans="1:33" s="536" customFormat="1" ht="22.5" x14ac:dyDescent="0.2">
      <c r="A571" s="609"/>
      <c r="B571" s="552" t="s">
        <v>718</v>
      </c>
      <c r="C571" s="1822" t="s">
        <v>719</v>
      </c>
      <c r="D571" s="1822"/>
      <c r="E571" s="1822"/>
      <c r="F571" s="1822"/>
      <c r="G571" s="1822"/>
      <c r="H571" s="1822"/>
      <c r="I571" s="1822"/>
      <c r="J571" s="1822"/>
      <c r="K571" s="1822"/>
      <c r="L571" s="1822"/>
      <c r="M571" s="1822"/>
      <c r="N571" s="1827"/>
      <c r="V571" s="674"/>
      <c r="W571" s="675"/>
      <c r="Y571" s="537" t="s">
        <v>719</v>
      </c>
      <c r="AC571" s="675"/>
      <c r="AD571" s="680"/>
      <c r="AE571" s="675"/>
      <c r="AG571" s="675"/>
    </row>
    <row r="572" spans="1:33" s="536" customFormat="1" ht="1.5" customHeight="1" x14ac:dyDescent="0.2">
      <c r="A572" s="563"/>
      <c r="B572" s="671"/>
      <c r="C572" s="671"/>
      <c r="D572" s="671"/>
      <c r="E572" s="671"/>
      <c r="F572" s="563"/>
      <c r="G572" s="563"/>
      <c r="H572" s="563"/>
      <c r="I572" s="563"/>
      <c r="J572" s="546"/>
      <c r="K572" s="563"/>
      <c r="L572" s="546"/>
      <c r="M572" s="562"/>
      <c r="N572" s="546"/>
      <c r="V572" s="674"/>
      <c r="W572" s="675"/>
      <c r="AC572" s="675"/>
      <c r="AD572" s="680"/>
      <c r="AE572" s="675"/>
      <c r="AG572" s="675"/>
    </row>
    <row r="573" spans="1:33" s="536" customFormat="1" ht="12" x14ac:dyDescent="0.2">
      <c r="A573" s="557"/>
      <c r="B573" s="556"/>
      <c r="C573" s="1823" t="s">
        <v>4719</v>
      </c>
      <c r="D573" s="1823"/>
      <c r="E573" s="1823"/>
      <c r="F573" s="1823"/>
      <c r="G573" s="1823"/>
      <c r="H573" s="1823"/>
      <c r="I573" s="1823"/>
      <c r="J573" s="1823"/>
      <c r="K573" s="1823"/>
      <c r="L573" s="555"/>
      <c r="M573" s="554"/>
      <c r="N573" s="553"/>
      <c r="V573" s="674"/>
      <c r="W573" s="675"/>
      <c r="AC573" s="675"/>
      <c r="AD573" s="680"/>
      <c r="AE573" s="675" t="s">
        <v>4719</v>
      </c>
      <c r="AG573" s="675"/>
    </row>
    <row r="574" spans="1:33" s="536" customFormat="1" ht="12" x14ac:dyDescent="0.2">
      <c r="A574" s="548"/>
      <c r="B574" s="552"/>
      <c r="C574" s="1822" t="s">
        <v>403</v>
      </c>
      <c r="D574" s="1822"/>
      <c r="E574" s="1822"/>
      <c r="F574" s="1822"/>
      <c r="G574" s="1822"/>
      <c r="H574" s="1822"/>
      <c r="I574" s="1822"/>
      <c r="J574" s="1822"/>
      <c r="K574" s="1822"/>
      <c r="L574" s="551">
        <v>2645790.34</v>
      </c>
      <c r="M574" s="550"/>
      <c r="N574" s="549"/>
      <c r="V574" s="674"/>
      <c r="W574" s="675"/>
      <c r="AC574" s="675"/>
      <c r="AD574" s="680"/>
      <c r="AE574" s="675"/>
      <c r="AF574" s="537" t="s">
        <v>403</v>
      </c>
      <c r="AG574" s="675"/>
    </row>
    <row r="575" spans="1:33" s="536" customFormat="1" ht="12" x14ac:dyDescent="0.2">
      <c r="A575" s="548"/>
      <c r="B575" s="552"/>
      <c r="C575" s="1822" t="s">
        <v>204</v>
      </c>
      <c r="D575" s="1822"/>
      <c r="E575" s="1822"/>
      <c r="F575" s="1822"/>
      <c r="G575" s="1822"/>
      <c r="H575" s="1822"/>
      <c r="I575" s="1822"/>
      <c r="J575" s="1822"/>
      <c r="K575" s="1822"/>
      <c r="L575" s="551"/>
      <c r="M575" s="550"/>
      <c r="N575" s="549"/>
      <c r="V575" s="674"/>
      <c r="W575" s="675"/>
      <c r="AC575" s="675"/>
      <c r="AD575" s="680"/>
      <c r="AE575" s="675"/>
      <c r="AF575" s="537" t="s">
        <v>204</v>
      </c>
      <c r="AG575" s="675"/>
    </row>
    <row r="576" spans="1:33" s="536" customFormat="1" ht="12" x14ac:dyDescent="0.2">
      <c r="A576" s="548"/>
      <c r="B576" s="552"/>
      <c r="C576" s="1822" t="s">
        <v>404</v>
      </c>
      <c r="D576" s="1822"/>
      <c r="E576" s="1822"/>
      <c r="F576" s="1822"/>
      <c r="G576" s="1822"/>
      <c r="H576" s="1822"/>
      <c r="I576" s="1822"/>
      <c r="J576" s="1822"/>
      <c r="K576" s="1822"/>
      <c r="L576" s="551">
        <v>14402.37</v>
      </c>
      <c r="M576" s="550"/>
      <c r="N576" s="549"/>
      <c r="V576" s="674"/>
      <c r="W576" s="675"/>
      <c r="AC576" s="675"/>
      <c r="AD576" s="680"/>
      <c r="AE576" s="675"/>
      <c r="AF576" s="537" t="s">
        <v>404</v>
      </c>
      <c r="AG576" s="675"/>
    </row>
    <row r="577" spans="1:33" s="536" customFormat="1" ht="12" x14ac:dyDescent="0.2">
      <c r="A577" s="548"/>
      <c r="B577" s="552"/>
      <c r="C577" s="1822" t="s">
        <v>405</v>
      </c>
      <c r="D577" s="1822"/>
      <c r="E577" s="1822"/>
      <c r="F577" s="1822"/>
      <c r="G577" s="1822"/>
      <c r="H577" s="1822"/>
      <c r="I577" s="1822"/>
      <c r="J577" s="1822"/>
      <c r="K577" s="1822"/>
      <c r="L577" s="551">
        <v>45640.38</v>
      </c>
      <c r="M577" s="550"/>
      <c r="N577" s="549"/>
      <c r="V577" s="674"/>
      <c r="W577" s="675"/>
      <c r="AC577" s="675"/>
      <c r="AD577" s="680"/>
      <c r="AE577" s="675"/>
      <c r="AF577" s="537" t="s">
        <v>405</v>
      </c>
      <c r="AG577" s="675"/>
    </row>
    <row r="578" spans="1:33" s="536" customFormat="1" ht="12" x14ac:dyDescent="0.2">
      <c r="A578" s="548"/>
      <c r="B578" s="552"/>
      <c r="C578" s="1822" t="s">
        <v>406</v>
      </c>
      <c r="D578" s="1822"/>
      <c r="E578" s="1822"/>
      <c r="F578" s="1822"/>
      <c r="G578" s="1822"/>
      <c r="H578" s="1822"/>
      <c r="I578" s="1822"/>
      <c r="J578" s="1822"/>
      <c r="K578" s="1822"/>
      <c r="L578" s="551">
        <v>4640.83</v>
      </c>
      <c r="M578" s="550"/>
      <c r="N578" s="549"/>
      <c r="V578" s="674"/>
      <c r="W578" s="675"/>
      <c r="AC578" s="675"/>
      <c r="AD578" s="680"/>
      <c r="AE578" s="675"/>
      <c r="AF578" s="537" t="s">
        <v>406</v>
      </c>
      <c r="AG578" s="675"/>
    </row>
    <row r="579" spans="1:33" s="536" customFormat="1" ht="12" x14ac:dyDescent="0.2">
      <c r="A579" s="548"/>
      <c r="B579" s="552"/>
      <c r="C579" s="1822" t="s">
        <v>480</v>
      </c>
      <c r="D579" s="1822"/>
      <c r="E579" s="1822"/>
      <c r="F579" s="1822"/>
      <c r="G579" s="1822"/>
      <c r="H579" s="1822"/>
      <c r="I579" s="1822"/>
      <c r="J579" s="1822"/>
      <c r="K579" s="1822"/>
      <c r="L579" s="551">
        <v>2585747.59</v>
      </c>
      <c r="M579" s="550"/>
      <c r="N579" s="549"/>
      <c r="V579" s="674"/>
      <c r="W579" s="675"/>
      <c r="AC579" s="675"/>
      <c r="AD579" s="680"/>
      <c r="AE579" s="675"/>
      <c r="AF579" s="537" t="s">
        <v>480</v>
      </c>
      <c r="AG579" s="675"/>
    </row>
    <row r="580" spans="1:33" s="536" customFormat="1" ht="12" x14ac:dyDescent="0.2">
      <c r="A580" s="548"/>
      <c r="B580" s="552"/>
      <c r="C580" s="1822" t="s">
        <v>407</v>
      </c>
      <c r="D580" s="1822"/>
      <c r="E580" s="1822"/>
      <c r="F580" s="1822"/>
      <c r="G580" s="1822"/>
      <c r="H580" s="1822"/>
      <c r="I580" s="1822"/>
      <c r="J580" s="1822"/>
      <c r="K580" s="1822"/>
      <c r="L580" s="551">
        <v>2682162.87</v>
      </c>
      <c r="M580" s="550"/>
      <c r="N580" s="549"/>
      <c r="V580" s="674"/>
      <c r="W580" s="675"/>
      <c r="AC580" s="675"/>
      <c r="AD580" s="680"/>
      <c r="AE580" s="675"/>
      <c r="AF580" s="537" t="s">
        <v>407</v>
      </c>
      <c r="AG580" s="675"/>
    </row>
    <row r="581" spans="1:33" s="536" customFormat="1" ht="12" x14ac:dyDescent="0.2">
      <c r="A581" s="548"/>
      <c r="B581" s="552"/>
      <c r="C581" s="1822" t="s">
        <v>204</v>
      </c>
      <c r="D581" s="1822"/>
      <c r="E581" s="1822"/>
      <c r="F581" s="1822"/>
      <c r="G581" s="1822"/>
      <c r="H581" s="1822"/>
      <c r="I581" s="1822"/>
      <c r="J581" s="1822"/>
      <c r="K581" s="1822"/>
      <c r="L581" s="551"/>
      <c r="M581" s="550"/>
      <c r="N581" s="549"/>
      <c r="V581" s="674"/>
      <c r="W581" s="675"/>
      <c r="AC581" s="675"/>
      <c r="AD581" s="680"/>
      <c r="AE581" s="675"/>
      <c r="AF581" s="537" t="s">
        <v>204</v>
      </c>
      <c r="AG581" s="675"/>
    </row>
    <row r="582" spans="1:33" s="536" customFormat="1" ht="12" x14ac:dyDescent="0.2">
      <c r="A582" s="548"/>
      <c r="B582" s="552"/>
      <c r="C582" s="1822" t="s">
        <v>546</v>
      </c>
      <c r="D582" s="1822"/>
      <c r="E582" s="1822"/>
      <c r="F582" s="1822"/>
      <c r="G582" s="1822"/>
      <c r="H582" s="1822"/>
      <c r="I582" s="1822"/>
      <c r="J582" s="1822"/>
      <c r="K582" s="1822"/>
      <c r="L582" s="551">
        <v>14402.37</v>
      </c>
      <c r="M582" s="550"/>
      <c r="N582" s="549"/>
      <c r="V582" s="674"/>
      <c r="W582" s="675"/>
      <c r="AC582" s="675"/>
      <c r="AD582" s="680"/>
      <c r="AE582" s="675"/>
      <c r="AF582" s="537" t="s">
        <v>546</v>
      </c>
      <c r="AG582" s="675"/>
    </row>
    <row r="583" spans="1:33" s="536" customFormat="1" ht="12" x14ac:dyDescent="0.2">
      <c r="A583" s="548"/>
      <c r="B583" s="552"/>
      <c r="C583" s="1822" t="s">
        <v>442</v>
      </c>
      <c r="D583" s="1822"/>
      <c r="E583" s="1822"/>
      <c r="F583" s="1822"/>
      <c r="G583" s="1822"/>
      <c r="H583" s="1822"/>
      <c r="I583" s="1822"/>
      <c r="J583" s="1822"/>
      <c r="K583" s="1822"/>
      <c r="L583" s="551">
        <v>45640.38</v>
      </c>
      <c r="M583" s="550"/>
      <c r="N583" s="549"/>
      <c r="V583" s="674"/>
      <c r="W583" s="675"/>
      <c r="AC583" s="675"/>
      <c r="AD583" s="680"/>
      <c r="AE583" s="675"/>
      <c r="AF583" s="537" t="s">
        <v>442</v>
      </c>
      <c r="AG583" s="675"/>
    </row>
    <row r="584" spans="1:33" s="536" customFormat="1" ht="12" x14ac:dyDescent="0.2">
      <c r="A584" s="548"/>
      <c r="B584" s="552"/>
      <c r="C584" s="1822" t="s">
        <v>547</v>
      </c>
      <c r="D584" s="1822"/>
      <c r="E584" s="1822"/>
      <c r="F584" s="1822"/>
      <c r="G584" s="1822"/>
      <c r="H584" s="1822"/>
      <c r="I584" s="1822"/>
      <c r="J584" s="1822"/>
      <c r="K584" s="1822"/>
      <c r="L584" s="551">
        <v>2585747.59</v>
      </c>
      <c r="M584" s="550"/>
      <c r="N584" s="549"/>
      <c r="V584" s="674"/>
      <c r="W584" s="675"/>
      <c r="AC584" s="675"/>
      <c r="AD584" s="680"/>
      <c r="AE584" s="675"/>
      <c r="AF584" s="537" t="s">
        <v>547</v>
      </c>
      <c r="AG584" s="675"/>
    </row>
    <row r="585" spans="1:33" s="536" customFormat="1" ht="12" x14ac:dyDescent="0.2">
      <c r="A585" s="548"/>
      <c r="B585" s="552"/>
      <c r="C585" s="1822" t="s">
        <v>443</v>
      </c>
      <c r="D585" s="1822"/>
      <c r="E585" s="1822"/>
      <c r="F585" s="1822"/>
      <c r="G585" s="1822"/>
      <c r="H585" s="1822"/>
      <c r="I585" s="1822"/>
      <c r="J585" s="1822"/>
      <c r="K585" s="1822"/>
      <c r="L585" s="551">
        <v>22280.55</v>
      </c>
      <c r="M585" s="550"/>
      <c r="N585" s="549"/>
      <c r="V585" s="674"/>
      <c r="W585" s="675"/>
      <c r="AC585" s="675"/>
      <c r="AD585" s="680"/>
      <c r="AE585" s="675"/>
      <c r="AF585" s="537" t="s">
        <v>443</v>
      </c>
      <c r="AG585" s="675"/>
    </row>
    <row r="586" spans="1:33" s="536" customFormat="1" ht="12" x14ac:dyDescent="0.2">
      <c r="A586" s="548"/>
      <c r="B586" s="552"/>
      <c r="C586" s="1822" t="s">
        <v>444</v>
      </c>
      <c r="D586" s="1822"/>
      <c r="E586" s="1822"/>
      <c r="F586" s="1822"/>
      <c r="G586" s="1822"/>
      <c r="H586" s="1822"/>
      <c r="I586" s="1822"/>
      <c r="J586" s="1822"/>
      <c r="K586" s="1822"/>
      <c r="L586" s="551">
        <v>14091.98</v>
      </c>
      <c r="M586" s="550"/>
      <c r="N586" s="549"/>
      <c r="V586" s="674"/>
      <c r="W586" s="675"/>
      <c r="AC586" s="675"/>
      <c r="AD586" s="680"/>
      <c r="AE586" s="675"/>
      <c r="AF586" s="537" t="s">
        <v>444</v>
      </c>
      <c r="AG586" s="675"/>
    </row>
    <row r="587" spans="1:33" s="536" customFormat="1" ht="12" x14ac:dyDescent="0.2">
      <c r="A587" s="548"/>
      <c r="B587" s="552"/>
      <c r="C587" s="1822" t="s">
        <v>415</v>
      </c>
      <c r="D587" s="1822"/>
      <c r="E587" s="1822"/>
      <c r="F587" s="1822"/>
      <c r="G587" s="1822"/>
      <c r="H587" s="1822"/>
      <c r="I587" s="1822"/>
      <c r="J587" s="1822"/>
      <c r="K587" s="1822"/>
      <c r="L587" s="551">
        <v>19043.2</v>
      </c>
      <c r="M587" s="550"/>
      <c r="N587" s="549"/>
      <c r="V587" s="674"/>
      <c r="W587" s="675"/>
      <c r="AC587" s="675"/>
      <c r="AD587" s="680"/>
      <c r="AE587" s="675"/>
      <c r="AF587" s="537" t="s">
        <v>415</v>
      </c>
      <c r="AG587" s="675"/>
    </row>
    <row r="588" spans="1:33" s="536" customFormat="1" ht="12" x14ac:dyDescent="0.2">
      <c r="A588" s="548"/>
      <c r="B588" s="552"/>
      <c r="C588" s="1822" t="s">
        <v>416</v>
      </c>
      <c r="D588" s="1822"/>
      <c r="E588" s="1822"/>
      <c r="F588" s="1822"/>
      <c r="G588" s="1822"/>
      <c r="H588" s="1822"/>
      <c r="I588" s="1822"/>
      <c r="J588" s="1822"/>
      <c r="K588" s="1822"/>
      <c r="L588" s="551">
        <v>22280.55</v>
      </c>
      <c r="M588" s="550"/>
      <c r="N588" s="549"/>
      <c r="V588" s="674"/>
      <c r="W588" s="675"/>
      <c r="AC588" s="675"/>
      <c r="AD588" s="680"/>
      <c r="AE588" s="675"/>
      <c r="AF588" s="537" t="s">
        <v>416</v>
      </c>
      <c r="AG588" s="675"/>
    </row>
    <row r="589" spans="1:33" s="536" customFormat="1" ht="12" x14ac:dyDescent="0.2">
      <c r="A589" s="548"/>
      <c r="B589" s="552"/>
      <c r="C589" s="1822" t="s">
        <v>417</v>
      </c>
      <c r="D589" s="1822"/>
      <c r="E589" s="1822"/>
      <c r="F589" s="1822"/>
      <c r="G589" s="1822"/>
      <c r="H589" s="1822"/>
      <c r="I589" s="1822"/>
      <c r="J589" s="1822"/>
      <c r="K589" s="1822"/>
      <c r="L589" s="551">
        <v>14091.98</v>
      </c>
      <c r="M589" s="550"/>
      <c r="N589" s="549"/>
      <c r="V589" s="674"/>
      <c r="W589" s="675"/>
      <c r="AC589" s="675"/>
      <c r="AD589" s="680"/>
      <c r="AE589" s="675"/>
      <c r="AF589" s="537" t="s">
        <v>417</v>
      </c>
      <c r="AG589" s="675"/>
    </row>
    <row r="590" spans="1:33" s="536" customFormat="1" ht="12" x14ac:dyDescent="0.2">
      <c r="A590" s="548"/>
      <c r="B590" s="546"/>
      <c r="C590" s="1819" t="s">
        <v>4720</v>
      </c>
      <c r="D590" s="1819"/>
      <c r="E590" s="1819"/>
      <c r="F590" s="1819"/>
      <c r="G590" s="1819"/>
      <c r="H590" s="1819"/>
      <c r="I590" s="1819"/>
      <c r="J590" s="1819"/>
      <c r="K590" s="1819"/>
      <c r="L590" s="544">
        <v>2682162.87</v>
      </c>
      <c r="M590" s="543"/>
      <c r="N590" s="681"/>
      <c r="V590" s="674"/>
      <c r="W590" s="675"/>
      <c r="AC590" s="675"/>
      <c r="AD590" s="680"/>
      <c r="AE590" s="675"/>
      <c r="AG590" s="675" t="s">
        <v>4720</v>
      </c>
    </row>
    <row r="591" spans="1:33" s="536" customFormat="1" ht="12" x14ac:dyDescent="0.2">
      <c r="A591" s="548"/>
      <c r="B591" s="552"/>
      <c r="C591" s="1822" t="s">
        <v>204</v>
      </c>
      <c r="D591" s="1822"/>
      <c r="E591" s="1822"/>
      <c r="F591" s="1822"/>
      <c r="G591" s="1822"/>
      <c r="H591" s="1822"/>
      <c r="I591" s="1822"/>
      <c r="J591" s="1822"/>
      <c r="K591" s="1822"/>
      <c r="L591" s="551"/>
      <c r="M591" s="550"/>
      <c r="N591" s="549"/>
      <c r="V591" s="674"/>
      <c r="W591" s="675"/>
      <c r="AC591" s="675"/>
      <c r="AD591" s="680"/>
      <c r="AE591" s="675"/>
      <c r="AF591" s="537" t="s">
        <v>204</v>
      </c>
      <c r="AG591" s="675"/>
    </row>
    <row r="592" spans="1:33" s="536" customFormat="1" ht="12" x14ac:dyDescent="0.2">
      <c r="A592" s="548"/>
      <c r="B592" s="552"/>
      <c r="C592" s="1822" t="s">
        <v>8095</v>
      </c>
      <c r="D592" s="1822"/>
      <c r="E592" s="1822"/>
      <c r="F592" s="1822"/>
      <c r="G592" s="1822"/>
      <c r="H592" s="1822"/>
      <c r="I592" s="1822"/>
      <c r="J592" s="1822"/>
      <c r="K592" s="1822"/>
      <c r="L592" s="551">
        <v>8754.01</v>
      </c>
      <c r="M592" s="550"/>
      <c r="N592" s="549"/>
      <c r="V592" s="674"/>
      <c r="W592" s="675"/>
      <c r="AC592" s="675"/>
      <c r="AD592" s="680"/>
      <c r="AE592" s="675"/>
      <c r="AF592" s="537" t="s">
        <v>8095</v>
      </c>
      <c r="AG592" s="675"/>
    </row>
    <row r="593" spans="1:33" s="536" customFormat="1" ht="12" x14ac:dyDescent="0.2">
      <c r="A593" s="1824" t="s">
        <v>2178</v>
      </c>
      <c r="B593" s="1825"/>
      <c r="C593" s="1825"/>
      <c r="D593" s="1825"/>
      <c r="E593" s="1825"/>
      <c r="F593" s="1825"/>
      <c r="G593" s="1825"/>
      <c r="H593" s="1825"/>
      <c r="I593" s="1825"/>
      <c r="J593" s="1825"/>
      <c r="K593" s="1825"/>
      <c r="L593" s="1825"/>
      <c r="M593" s="1825"/>
      <c r="N593" s="1826"/>
      <c r="V593" s="674" t="s">
        <v>2178</v>
      </c>
      <c r="W593" s="675"/>
      <c r="AC593" s="675"/>
      <c r="AD593" s="680"/>
      <c r="AE593" s="675"/>
      <c r="AG593" s="675"/>
    </row>
    <row r="594" spans="1:33" s="536" customFormat="1" ht="78.75" x14ac:dyDescent="0.2">
      <c r="A594" s="575" t="s">
        <v>804</v>
      </c>
      <c r="B594" s="670" t="s">
        <v>3879</v>
      </c>
      <c r="C594" s="1823" t="s">
        <v>3880</v>
      </c>
      <c r="D594" s="1823"/>
      <c r="E594" s="1823"/>
      <c r="F594" s="573" t="s">
        <v>201</v>
      </c>
      <c r="G594" s="573"/>
      <c r="H594" s="573"/>
      <c r="I594" s="573" t="s">
        <v>4721</v>
      </c>
      <c r="J594" s="572">
        <v>48.81</v>
      </c>
      <c r="K594" s="573"/>
      <c r="L594" s="572">
        <v>8940.2800000000007</v>
      </c>
      <c r="M594" s="571"/>
      <c r="N594" s="570"/>
      <c r="V594" s="674"/>
      <c r="W594" s="675" t="s">
        <v>3880</v>
      </c>
      <c r="AC594" s="675"/>
      <c r="AD594" s="680"/>
      <c r="AE594" s="675"/>
      <c r="AG594" s="675"/>
    </row>
    <row r="595" spans="1:33" s="536" customFormat="1" ht="12" x14ac:dyDescent="0.2">
      <c r="A595" s="569"/>
      <c r="B595" s="671"/>
      <c r="C595" s="665" t="s">
        <v>717</v>
      </c>
      <c r="D595" s="666"/>
      <c r="E595" s="666"/>
      <c r="F595" s="563"/>
      <c r="G595" s="563"/>
      <c r="H595" s="563"/>
      <c r="I595" s="563"/>
      <c r="J595" s="566"/>
      <c r="K595" s="563"/>
      <c r="L595" s="566"/>
      <c r="M595" s="565"/>
      <c r="N595" s="564"/>
      <c r="V595" s="674"/>
      <c r="W595" s="675"/>
      <c r="AC595" s="675"/>
      <c r="AD595" s="680"/>
      <c r="AE595" s="675"/>
      <c r="AG595" s="675"/>
    </row>
    <row r="596" spans="1:33" s="536" customFormat="1" ht="12" x14ac:dyDescent="0.2">
      <c r="A596" s="676"/>
      <c r="B596" s="664"/>
      <c r="C596" s="1822" t="s">
        <v>4722</v>
      </c>
      <c r="D596" s="1822"/>
      <c r="E596" s="1822"/>
      <c r="F596" s="1822"/>
      <c r="G596" s="1822"/>
      <c r="H596" s="1822"/>
      <c r="I596" s="1822"/>
      <c r="J596" s="1822"/>
      <c r="K596" s="1822"/>
      <c r="L596" s="1822"/>
      <c r="M596" s="1822"/>
      <c r="N596" s="1827"/>
      <c r="V596" s="674"/>
      <c r="W596" s="675"/>
      <c r="X596" s="537" t="s">
        <v>4722</v>
      </c>
      <c r="AC596" s="675"/>
      <c r="AD596" s="680"/>
      <c r="AE596" s="675"/>
      <c r="AG596" s="675"/>
    </row>
    <row r="597" spans="1:33" s="536" customFormat="1" ht="67.5" x14ac:dyDescent="0.2">
      <c r="A597" s="575" t="s">
        <v>2352</v>
      </c>
      <c r="B597" s="670" t="s">
        <v>3881</v>
      </c>
      <c r="C597" s="1823" t="s">
        <v>4723</v>
      </c>
      <c r="D597" s="1823"/>
      <c r="E597" s="1823"/>
      <c r="F597" s="573" t="s">
        <v>201</v>
      </c>
      <c r="G597" s="573"/>
      <c r="H597" s="573"/>
      <c r="I597" s="573" t="s">
        <v>4724</v>
      </c>
      <c r="J597" s="572">
        <v>76.88</v>
      </c>
      <c r="K597" s="573"/>
      <c r="L597" s="572">
        <v>24486.9</v>
      </c>
      <c r="M597" s="571"/>
      <c r="N597" s="570"/>
      <c r="V597" s="674"/>
      <c r="W597" s="675" t="s">
        <v>4723</v>
      </c>
      <c r="AC597" s="675"/>
      <c r="AD597" s="680"/>
      <c r="AE597" s="675"/>
      <c r="AG597" s="675"/>
    </row>
    <row r="598" spans="1:33" s="536" customFormat="1" ht="12" x14ac:dyDescent="0.2">
      <c r="A598" s="569"/>
      <c r="B598" s="671"/>
      <c r="C598" s="665" t="s">
        <v>717</v>
      </c>
      <c r="D598" s="666"/>
      <c r="E598" s="666"/>
      <c r="F598" s="563"/>
      <c r="G598" s="563"/>
      <c r="H598" s="563"/>
      <c r="I598" s="563"/>
      <c r="J598" s="566"/>
      <c r="K598" s="563"/>
      <c r="L598" s="566"/>
      <c r="M598" s="565"/>
      <c r="N598" s="564"/>
      <c r="V598" s="674"/>
      <c r="W598" s="675"/>
      <c r="AC598" s="675"/>
      <c r="AD598" s="680"/>
      <c r="AE598" s="675"/>
      <c r="AG598" s="675"/>
    </row>
    <row r="599" spans="1:33" s="536" customFormat="1" ht="22.5" x14ac:dyDescent="0.2">
      <c r="A599" s="676"/>
      <c r="B599" s="664"/>
      <c r="C599" s="1822" t="s">
        <v>4725</v>
      </c>
      <c r="D599" s="1822"/>
      <c r="E599" s="1822"/>
      <c r="F599" s="1822"/>
      <c r="G599" s="1822"/>
      <c r="H599" s="1822"/>
      <c r="I599" s="1822"/>
      <c r="J599" s="1822"/>
      <c r="K599" s="1822"/>
      <c r="L599" s="1822"/>
      <c r="M599" s="1822"/>
      <c r="N599" s="1827"/>
      <c r="V599" s="674"/>
      <c r="W599" s="675"/>
      <c r="X599" s="537" t="s">
        <v>4725</v>
      </c>
      <c r="AC599" s="675"/>
      <c r="AD599" s="680"/>
      <c r="AE599" s="675"/>
      <c r="AG599" s="675"/>
    </row>
    <row r="600" spans="1:33" s="536" customFormat="1" ht="67.5" x14ac:dyDescent="0.2">
      <c r="A600" s="575" t="s">
        <v>897</v>
      </c>
      <c r="B600" s="670" t="s">
        <v>1616</v>
      </c>
      <c r="C600" s="1823" t="s">
        <v>4726</v>
      </c>
      <c r="D600" s="1823"/>
      <c r="E600" s="1823"/>
      <c r="F600" s="573" t="s">
        <v>201</v>
      </c>
      <c r="G600" s="573"/>
      <c r="H600" s="573"/>
      <c r="I600" s="573" t="s">
        <v>4727</v>
      </c>
      <c r="J600" s="572">
        <v>90.45</v>
      </c>
      <c r="K600" s="573"/>
      <c r="L600" s="572">
        <v>3764.35</v>
      </c>
      <c r="M600" s="571"/>
      <c r="N600" s="570"/>
      <c r="V600" s="674"/>
      <c r="W600" s="675" t="s">
        <v>4726</v>
      </c>
      <c r="AC600" s="675"/>
      <c r="AD600" s="680"/>
      <c r="AE600" s="675"/>
      <c r="AG600" s="675"/>
    </row>
    <row r="601" spans="1:33" s="536" customFormat="1" ht="12" x14ac:dyDescent="0.2">
      <c r="A601" s="569"/>
      <c r="B601" s="671"/>
      <c r="C601" s="665" t="s">
        <v>717</v>
      </c>
      <c r="D601" s="666"/>
      <c r="E601" s="666"/>
      <c r="F601" s="563"/>
      <c r="G601" s="563"/>
      <c r="H601" s="563"/>
      <c r="I601" s="563"/>
      <c r="J601" s="566"/>
      <c r="K601" s="563"/>
      <c r="L601" s="566"/>
      <c r="M601" s="565"/>
      <c r="N601" s="564"/>
      <c r="V601" s="674"/>
      <c r="W601" s="675"/>
      <c r="AC601" s="675"/>
      <c r="AD601" s="680"/>
      <c r="AE601" s="675"/>
      <c r="AG601" s="675"/>
    </row>
    <row r="602" spans="1:33" s="536" customFormat="1" ht="12" x14ac:dyDescent="0.2">
      <c r="A602" s="676"/>
      <c r="B602" s="664"/>
      <c r="C602" s="1822" t="s">
        <v>4728</v>
      </c>
      <c r="D602" s="1822"/>
      <c r="E602" s="1822"/>
      <c r="F602" s="1822"/>
      <c r="G602" s="1822"/>
      <c r="H602" s="1822"/>
      <c r="I602" s="1822"/>
      <c r="J602" s="1822"/>
      <c r="K602" s="1822"/>
      <c r="L602" s="1822"/>
      <c r="M602" s="1822"/>
      <c r="N602" s="1827"/>
      <c r="V602" s="674"/>
      <c r="W602" s="675"/>
      <c r="X602" s="537" t="s">
        <v>4728</v>
      </c>
      <c r="AC602" s="675"/>
      <c r="AD602" s="680"/>
      <c r="AE602" s="675"/>
      <c r="AG602" s="675"/>
    </row>
    <row r="603" spans="1:33" s="536" customFormat="1" ht="1.5" customHeight="1" x14ac:dyDescent="0.2">
      <c r="A603" s="563"/>
      <c r="B603" s="671"/>
      <c r="C603" s="671"/>
      <c r="D603" s="671"/>
      <c r="E603" s="671"/>
      <c r="F603" s="563"/>
      <c r="G603" s="563"/>
      <c r="H603" s="563"/>
      <c r="I603" s="563"/>
      <c r="J603" s="546"/>
      <c r="K603" s="563"/>
      <c r="L603" s="546"/>
      <c r="M603" s="562"/>
      <c r="N603" s="546"/>
      <c r="V603" s="674"/>
      <c r="W603" s="675"/>
      <c r="AC603" s="675"/>
      <c r="AD603" s="680"/>
      <c r="AE603" s="675"/>
      <c r="AG603" s="675"/>
    </row>
    <row r="604" spans="1:33" s="536" customFormat="1" ht="22.5" x14ac:dyDescent="0.2">
      <c r="A604" s="557"/>
      <c r="B604" s="556"/>
      <c r="C604" s="1823" t="s">
        <v>2185</v>
      </c>
      <c r="D604" s="1823"/>
      <c r="E604" s="1823"/>
      <c r="F604" s="1823"/>
      <c r="G604" s="1823"/>
      <c r="H604" s="1823"/>
      <c r="I604" s="1823"/>
      <c r="J604" s="1823"/>
      <c r="K604" s="1823"/>
      <c r="L604" s="555"/>
      <c r="M604" s="554"/>
      <c r="N604" s="553"/>
      <c r="V604" s="674"/>
      <c r="W604" s="675"/>
      <c r="AC604" s="675"/>
      <c r="AD604" s="680"/>
      <c r="AE604" s="675" t="s">
        <v>2185</v>
      </c>
      <c r="AG604" s="675"/>
    </row>
    <row r="605" spans="1:33" s="536" customFormat="1" ht="12" x14ac:dyDescent="0.2">
      <c r="A605" s="548"/>
      <c r="B605" s="552"/>
      <c r="C605" s="1822" t="s">
        <v>403</v>
      </c>
      <c r="D605" s="1822"/>
      <c r="E605" s="1822"/>
      <c r="F605" s="1822"/>
      <c r="G605" s="1822"/>
      <c r="H605" s="1822"/>
      <c r="I605" s="1822"/>
      <c r="J605" s="1822"/>
      <c r="K605" s="1822"/>
      <c r="L605" s="551">
        <v>37191.53</v>
      </c>
      <c r="M605" s="550"/>
      <c r="N605" s="549"/>
      <c r="V605" s="674"/>
      <c r="W605" s="675"/>
      <c r="AC605" s="675"/>
      <c r="AD605" s="680"/>
      <c r="AE605" s="675"/>
      <c r="AF605" s="537" t="s">
        <v>403</v>
      </c>
      <c r="AG605" s="675"/>
    </row>
    <row r="606" spans="1:33" s="536" customFormat="1" ht="12" x14ac:dyDescent="0.2">
      <c r="A606" s="548"/>
      <c r="B606" s="552"/>
      <c r="C606" s="1822" t="s">
        <v>204</v>
      </c>
      <c r="D606" s="1822"/>
      <c r="E606" s="1822"/>
      <c r="F606" s="1822"/>
      <c r="G606" s="1822"/>
      <c r="H606" s="1822"/>
      <c r="I606" s="1822"/>
      <c r="J606" s="1822"/>
      <c r="K606" s="1822"/>
      <c r="L606" s="551"/>
      <c r="M606" s="550"/>
      <c r="N606" s="549"/>
      <c r="V606" s="674"/>
      <c r="W606" s="675"/>
      <c r="AC606" s="675"/>
      <c r="AD606" s="680"/>
      <c r="AE606" s="675"/>
      <c r="AF606" s="537" t="s">
        <v>204</v>
      </c>
      <c r="AG606" s="675"/>
    </row>
    <row r="607" spans="1:33" s="536" customFormat="1" ht="12" x14ac:dyDescent="0.2">
      <c r="A607" s="548"/>
      <c r="B607" s="552"/>
      <c r="C607" s="1822" t="s">
        <v>480</v>
      </c>
      <c r="D607" s="1822"/>
      <c r="E607" s="1822"/>
      <c r="F607" s="1822"/>
      <c r="G607" s="1822"/>
      <c r="H607" s="1822"/>
      <c r="I607" s="1822"/>
      <c r="J607" s="1822"/>
      <c r="K607" s="1822"/>
      <c r="L607" s="551">
        <v>37191.53</v>
      </c>
      <c r="M607" s="550"/>
      <c r="N607" s="549"/>
      <c r="V607" s="674"/>
      <c r="W607" s="675"/>
      <c r="AC607" s="675"/>
      <c r="AD607" s="680"/>
      <c r="AE607" s="675"/>
      <c r="AF607" s="537" t="s">
        <v>480</v>
      </c>
      <c r="AG607" s="675"/>
    </row>
    <row r="608" spans="1:33" s="536" customFormat="1" ht="12" x14ac:dyDescent="0.2">
      <c r="A608" s="548"/>
      <c r="B608" s="552"/>
      <c r="C608" s="1822" t="s">
        <v>407</v>
      </c>
      <c r="D608" s="1822"/>
      <c r="E608" s="1822"/>
      <c r="F608" s="1822"/>
      <c r="G608" s="1822"/>
      <c r="H608" s="1822"/>
      <c r="I608" s="1822"/>
      <c r="J608" s="1822"/>
      <c r="K608" s="1822"/>
      <c r="L608" s="551">
        <v>37191.53</v>
      </c>
      <c r="M608" s="550"/>
      <c r="N608" s="549"/>
      <c r="V608" s="674"/>
      <c r="W608" s="675"/>
      <c r="AC608" s="675"/>
      <c r="AD608" s="680"/>
      <c r="AE608" s="675"/>
      <c r="AF608" s="537" t="s">
        <v>407</v>
      </c>
      <c r="AG608" s="675"/>
    </row>
    <row r="609" spans="1:35" s="536" customFormat="1" ht="12" x14ac:dyDescent="0.2">
      <c r="A609" s="548"/>
      <c r="B609" s="552"/>
      <c r="C609" s="1822" t="s">
        <v>204</v>
      </c>
      <c r="D609" s="1822"/>
      <c r="E609" s="1822"/>
      <c r="F609" s="1822"/>
      <c r="G609" s="1822"/>
      <c r="H609" s="1822"/>
      <c r="I609" s="1822"/>
      <c r="J609" s="1822"/>
      <c r="K609" s="1822"/>
      <c r="L609" s="551"/>
      <c r="M609" s="550"/>
      <c r="N609" s="549"/>
      <c r="V609" s="674"/>
      <c r="W609" s="675"/>
      <c r="AC609" s="675"/>
      <c r="AD609" s="680"/>
      <c r="AE609" s="675"/>
      <c r="AF609" s="537" t="s">
        <v>204</v>
      </c>
      <c r="AG609" s="675"/>
    </row>
    <row r="610" spans="1:35" s="536" customFormat="1" ht="12" x14ac:dyDescent="0.2">
      <c r="A610" s="548"/>
      <c r="B610" s="552"/>
      <c r="C610" s="1822" t="s">
        <v>547</v>
      </c>
      <c r="D610" s="1822"/>
      <c r="E610" s="1822"/>
      <c r="F610" s="1822"/>
      <c r="G610" s="1822"/>
      <c r="H610" s="1822"/>
      <c r="I610" s="1822"/>
      <c r="J610" s="1822"/>
      <c r="K610" s="1822"/>
      <c r="L610" s="551">
        <v>37191.53</v>
      </c>
      <c r="M610" s="550"/>
      <c r="N610" s="549"/>
      <c r="V610" s="674"/>
      <c r="W610" s="675"/>
      <c r="AC610" s="675"/>
      <c r="AD610" s="680"/>
      <c r="AE610" s="675"/>
      <c r="AF610" s="537" t="s">
        <v>547</v>
      </c>
      <c r="AG610" s="675"/>
    </row>
    <row r="611" spans="1:35" s="536" customFormat="1" ht="22.5" x14ac:dyDescent="0.2">
      <c r="A611" s="548"/>
      <c r="B611" s="546"/>
      <c r="C611" s="1819" t="s">
        <v>2186</v>
      </c>
      <c r="D611" s="1819"/>
      <c r="E611" s="1819"/>
      <c r="F611" s="1819"/>
      <c r="G611" s="1819"/>
      <c r="H611" s="1819"/>
      <c r="I611" s="1819"/>
      <c r="J611" s="1819"/>
      <c r="K611" s="1819"/>
      <c r="L611" s="544">
        <v>37191.53</v>
      </c>
      <c r="M611" s="543"/>
      <c r="N611" s="681"/>
      <c r="V611" s="674"/>
      <c r="W611" s="675"/>
      <c r="AC611" s="675"/>
      <c r="AD611" s="680"/>
      <c r="AE611" s="675"/>
      <c r="AG611" s="675" t="s">
        <v>2186</v>
      </c>
    </row>
    <row r="612" spans="1:35" s="536" customFormat="1" ht="2.25" customHeight="1" x14ac:dyDescent="0.2">
      <c r="B612" s="561"/>
      <c r="C612" s="561"/>
      <c r="D612" s="561"/>
      <c r="E612" s="561"/>
      <c r="F612" s="561"/>
      <c r="G612" s="561"/>
      <c r="H612" s="561"/>
      <c r="I612" s="561"/>
      <c r="J612" s="561"/>
      <c r="K612" s="561"/>
      <c r="L612" s="560"/>
      <c r="M612" s="559"/>
      <c r="N612" s="558"/>
    </row>
    <row r="613" spans="1:35" s="536" customFormat="1" x14ac:dyDescent="0.2">
      <c r="A613" s="557"/>
      <c r="B613" s="556"/>
      <c r="C613" s="1823" t="s">
        <v>205</v>
      </c>
      <c r="D613" s="1823"/>
      <c r="E613" s="1823"/>
      <c r="F613" s="1823"/>
      <c r="G613" s="1823"/>
      <c r="H613" s="1823"/>
      <c r="I613" s="1823"/>
      <c r="J613" s="1823"/>
      <c r="K613" s="1823"/>
      <c r="L613" s="555"/>
      <c r="M613" s="554"/>
      <c r="N613" s="553"/>
      <c r="AH613" s="675" t="s">
        <v>205</v>
      </c>
    </row>
    <row r="614" spans="1:35" s="536" customFormat="1" x14ac:dyDescent="0.2">
      <c r="A614" s="548"/>
      <c r="B614" s="552"/>
      <c r="C614" s="1822" t="s">
        <v>403</v>
      </c>
      <c r="D614" s="1822"/>
      <c r="E614" s="1822"/>
      <c r="F614" s="1822"/>
      <c r="G614" s="1822"/>
      <c r="H614" s="1822"/>
      <c r="I614" s="1822"/>
      <c r="J614" s="1822"/>
      <c r="K614" s="1822"/>
      <c r="L614" s="551">
        <v>2837060.31</v>
      </c>
      <c r="M614" s="550"/>
      <c r="N614" s="549"/>
      <c r="AH614" s="675"/>
      <c r="AI614" s="537" t="s">
        <v>403</v>
      </c>
    </row>
    <row r="615" spans="1:35" s="536" customFormat="1" x14ac:dyDescent="0.2">
      <c r="A615" s="548"/>
      <c r="B615" s="552"/>
      <c r="C615" s="1822" t="s">
        <v>204</v>
      </c>
      <c r="D615" s="1822"/>
      <c r="E615" s="1822"/>
      <c r="F615" s="1822"/>
      <c r="G615" s="1822"/>
      <c r="H615" s="1822"/>
      <c r="I615" s="1822"/>
      <c r="J615" s="1822"/>
      <c r="K615" s="1822"/>
      <c r="L615" s="551"/>
      <c r="M615" s="550"/>
      <c r="N615" s="549"/>
      <c r="AH615" s="675"/>
      <c r="AI615" s="537" t="s">
        <v>204</v>
      </c>
    </row>
    <row r="616" spans="1:35" s="536" customFormat="1" x14ac:dyDescent="0.2">
      <c r="A616" s="548"/>
      <c r="B616" s="552"/>
      <c r="C616" s="1822" t="s">
        <v>404</v>
      </c>
      <c r="D616" s="1822"/>
      <c r="E616" s="1822"/>
      <c r="F616" s="1822"/>
      <c r="G616" s="1822"/>
      <c r="H616" s="1822"/>
      <c r="I616" s="1822"/>
      <c r="J616" s="1822"/>
      <c r="K616" s="1822"/>
      <c r="L616" s="551">
        <v>22990.11</v>
      </c>
      <c r="M616" s="550"/>
      <c r="N616" s="549"/>
      <c r="AH616" s="675"/>
      <c r="AI616" s="537" t="s">
        <v>404</v>
      </c>
    </row>
    <row r="617" spans="1:35" s="536" customFormat="1" x14ac:dyDescent="0.2">
      <c r="A617" s="548"/>
      <c r="B617" s="552"/>
      <c r="C617" s="1822" t="s">
        <v>405</v>
      </c>
      <c r="D617" s="1822"/>
      <c r="E617" s="1822"/>
      <c r="F617" s="1822"/>
      <c r="G617" s="1822"/>
      <c r="H617" s="1822"/>
      <c r="I617" s="1822"/>
      <c r="J617" s="1822"/>
      <c r="K617" s="1822"/>
      <c r="L617" s="551">
        <v>110904.62</v>
      </c>
      <c r="M617" s="550"/>
      <c r="N617" s="549"/>
      <c r="AH617" s="675"/>
      <c r="AI617" s="537" t="s">
        <v>405</v>
      </c>
    </row>
    <row r="618" spans="1:35" s="536" customFormat="1" x14ac:dyDescent="0.2">
      <c r="A618" s="548"/>
      <c r="B618" s="552"/>
      <c r="C618" s="1822" t="s">
        <v>406</v>
      </c>
      <c r="D618" s="1822"/>
      <c r="E618" s="1822"/>
      <c r="F618" s="1822"/>
      <c r="G618" s="1822"/>
      <c r="H618" s="1822"/>
      <c r="I618" s="1822"/>
      <c r="J618" s="1822"/>
      <c r="K618" s="1822"/>
      <c r="L618" s="551">
        <v>11682.85</v>
      </c>
      <c r="M618" s="550"/>
      <c r="N618" s="549"/>
      <c r="AH618" s="675"/>
      <c r="AI618" s="537" t="s">
        <v>406</v>
      </c>
    </row>
    <row r="619" spans="1:35" s="536" customFormat="1" x14ac:dyDescent="0.2">
      <c r="A619" s="548"/>
      <c r="B619" s="552"/>
      <c r="C619" s="1822" t="s">
        <v>480</v>
      </c>
      <c r="D619" s="1822"/>
      <c r="E619" s="1822"/>
      <c r="F619" s="1822"/>
      <c r="G619" s="1822"/>
      <c r="H619" s="1822"/>
      <c r="I619" s="1822"/>
      <c r="J619" s="1822"/>
      <c r="K619" s="1822"/>
      <c r="L619" s="551">
        <v>2703165.58</v>
      </c>
      <c r="M619" s="550"/>
      <c r="N619" s="549"/>
      <c r="AH619" s="675"/>
      <c r="AI619" s="537" t="s">
        <v>480</v>
      </c>
    </row>
    <row r="620" spans="1:35" s="536" customFormat="1" x14ac:dyDescent="0.2">
      <c r="A620" s="548"/>
      <c r="B620" s="552"/>
      <c r="C620" s="1822" t="s">
        <v>407</v>
      </c>
      <c r="D620" s="1822"/>
      <c r="E620" s="1822"/>
      <c r="F620" s="1822"/>
      <c r="G620" s="1822"/>
      <c r="H620" s="1822"/>
      <c r="I620" s="1822"/>
      <c r="J620" s="1822"/>
      <c r="K620" s="1822"/>
      <c r="L620" s="551">
        <v>2896934.32</v>
      </c>
      <c r="M620" s="550"/>
      <c r="N620" s="549">
        <v>29288006</v>
      </c>
      <c r="AH620" s="675"/>
      <c r="AI620" s="537" t="s">
        <v>407</v>
      </c>
    </row>
    <row r="621" spans="1:35" s="536" customFormat="1" x14ac:dyDescent="0.2">
      <c r="A621" s="548"/>
      <c r="B621" s="552" t="s">
        <v>185</v>
      </c>
      <c r="C621" s="1822" t="s">
        <v>408</v>
      </c>
      <c r="D621" s="1822"/>
      <c r="E621" s="1822"/>
      <c r="F621" s="1822"/>
      <c r="G621" s="1822"/>
      <c r="H621" s="1822"/>
      <c r="I621" s="1822"/>
      <c r="J621" s="1822"/>
      <c r="K621" s="1822"/>
      <c r="L621" s="551">
        <v>2892481.46</v>
      </c>
      <c r="M621" s="550">
        <v>10.11</v>
      </c>
      <c r="N621" s="549">
        <v>29242988</v>
      </c>
      <c r="AH621" s="675"/>
      <c r="AI621" s="537" t="s">
        <v>408</v>
      </c>
    </row>
    <row r="622" spans="1:35" s="536" customFormat="1" x14ac:dyDescent="0.2">
      <c r="A622" s="548"/>
      <c r="B622" s="552"/>
      <c r="C622" s="1822" t="s">
        <v>409</v>
      </c>
      <c r="D622" s="1822"/>
      <c r="E622" s="1822"/>
      <c r="F622" s="1822"/>
      <c r="G622" s="1822"/>
      <c r="H622" s="1822"/>
      <c r="I622" s="1822"/>
      <c r="J622" s="1822"/>
      <c r="K622" s="1822"/>
      <c r="L622" s="551"/>
      <c r="M622" s="550"/>
      <c r="N622" s="549"/>
      <c r="AH622" s="675"/>
      <c r="AI622" s="537" t="s">
        <v>409</v>
      </c>
    </row>
    <row r="623" spans="1:35" s="536" customFormat="1" x14ac:dyDescent="0.2">
      <c r="A623" s="548"/>
      <c r="B623" s="552"/>
      <c r="C623" s="1822" t="s">
        <v>410</v>
      </c>
      <c r="D623" s="1822"/>
      <c r="E623" s="1822"/>
      <c r="F623" s="1822"/>
      <c r="G623" s="1822"/>
      <c r="H623" s="1822"/>
      <c r="I623" s="1822"/>
      <c r="J623" s="1822"/>
      <c r="K623" s="1822"/>
      <c r="L623" s="551">
        <v>22990.11</v>
      </c>
      <c r="M623" s="550"/>
      <c r="N623" s="549"/>
      <c r="AH623" s="675"/>
      <c r="AI623" s="537" t="s">
        <v>410</v>
      </c>
    </row>
    <row r="624" spans="1:35" s="536" customFormat="1" x14ac:dyDescent="0.2">
      <c r="A624" s="548"/>
      <c r="B624" s="552"/>
      <c r="C624" s="1822" t="s">
        <v>411</v>
      </c>
      <c r="D624" s="1822"/>
      <c r="E624" s="1822"/>
      <c r="F624" s="1822"/>
      <c r="G624" s="1822"/>
      <c r="H624" s="1822"/>
      <c r="I624" s="1822"/>
      <c r="J624" s="1822"/>
      <c r="K624" s="1822"/>
      <c r="L624" s="551">
        <v>106451.76</v>
      </c>
      <c r="M624" s="550"/>
      <c r="N624" s="549"/>
      <c r="AH624" s="675"/>
      <c r="AI624" s="537" t="s">
        <v>411</v>
      </c>
    </row>
    <row r="625" spans="1:36" x14ac:dyDescent="0.2">
      <c r="A625" s="548"/>
      <c r="B625" s="552"/>
      <c r="C625" s="1822" t="s">
        <v>481</v>
      </c>
      <c r="D625" s="1822"/>
      <c r="E625" s="1822"/>
      <c r="F625" s="1822"/>
      <c r="G625" s="1822"/>
      <c r="H625" s="1822"/>
      <c r="I625" s="1822"/>
      <c r="J625" s="1822"/>
      <c r="K625" s="1822"/>
      <c r="L625" s="551">
        <v>2703165.58</v>
      </c>
      <c r="M625" s="550"/>
      <c r="N625" s="549"/>
      <c r="P625" s="536"/>
      <c r="Q625" s="536"/>
      <c r="R625" s="536"/>
      <c r="S625" s="536"/>
      <c r="T625" s="536"/>
      <c r="U625" s="536"/>
      <c r="V625" s="536"/>
      <c r="W625" s="536"/>
      <c r="X625" s="536"/>
      <c r="Y625" s="536"/>
      <c r="Z625" s="536"/>
      <c r="AA625" s="536"/>
      <c r="AB625" s="536"/>
      <c r="AC625" s="536"/>
      <c r="AD625" s="536"/>
      <c r="AE625" s="536"/>
      <c r="AF625" s="536"/>
      <c r="AG625" s="536"/>
      <c r="AH625" s="675"/>
      <c r="AI625" s="537" t="s">
        <v>481</v>
      </c>
      <c r="AJ625" s="536"/>
    </row>
    <row r="626" spans="1:36" x14ac:dyDescent="0.2">
      <c r="A626" s="548"/>
      <c r="B626" s="552"/>
      <c r="C626" s="1822" t="s">
        <v>412</v>
      </c>
      <c r="D626" s="1822"/>
      <c r="E626" s="1822"/>
      <c r="F626" s="1822"/>
      <c r="G626" s="1822"/>
      <c r="H626" s="1822"/>
      <c r="I626" s="1822"/>
      <c r="J626" s="1822"/>
      <c r="K626" s="1822"/>
      <c r="L626" s="551">
        <v>37571.449999999997</v>
      </c>
      <c r="M626" s="550"/>
      <c r="N626" s="549"/>
      <c r="P626" s="536"/>
      <c r="Q626" s="536"/>
      <c r="R626" s="536"/>
      <c r="S626" s="536"/>
      <c r="T626" s="536"/>
      <c r="U626" s="536"/>
      <c r="V626" s="536"/>
      <c r="W626" s="536"/>
      <c r="X626" s="536"/>
      <c r="Y626" s="536"/>
      <c r="Z626" s="536"/>
      <c r="AA626" s="536"/>
      <c r="AB626" s="536"/>
      <c r="AC626" s="536"/>
      <c r="AD626" s="536"/>
      <c r="AE626" s="536"/>
      <c r="AF626" s="536"/>
      <c r="AG626" s="536"/>
      <c r="AH626" s="675"/>
      <c r="AI626" s="537" t="s">
        <v>412</v>
      </c>
      <c r="AJ626" s="536"/>
    </row>
    <row r="627" spans="1:36" x14ac:dyDescent="0.2">
      <c r="A627" s="548"/>
      <c r="B627" s="552"/>
      <c r="C627" s="1822" t="s">
        <v>413</v>
      </c>
      <c r="D627" s="1822"/>
      <c r="E627" s="1822"/>
      <c r="F627" s="1822"/>
      <c r="G627" s="1822"/>
      <c r="H627" s="1822"/>
      <c r="I627" s="1822"/>
      <c r="J627" s="1822"/>
      <c r="K627" s="1822"/>
      <c r="L627" s="551">
        <v>22302.560000000001</v>
      </c>
      <c r="M627" s="550"/>
      <c r="N627" s="549"/>
      <c r="P627" s="536"/>
      <c r="Q627" s="536"/>
      <c r="R627" s="536"/>
      <c r="S627" s="536"/>
      <c r="T627" s="536"/>
      <c r="U627" s="536"/>
      <c r="V627" s="536"/>
      <c r="W627" s="536"/>
      <c r="X627" s="536"/>
      <c r="Y627" s="536"/>
      <c r="Z627" s="536"/>
      <c r="AA627" s="536"/>
      <c r="AB627" s="536"/>
      <c r="AC627" s="536"/>
      <c r="AD627" s="536"/>
      <c r="AE627" s="536"/>
      <c r="AF627" s="536"/>
      <c r="AG627" s="536"/>
      <c r="AH627" s="675"/>
      <c r="AI627" s="537" t="s">
        <v>413</v>
      </c>
      <c r="AJ627" s="536"/>
    </row>
    <row r="628" spans="1:36" x14ac:dyDescent="0.2">
      <c r="A628" s="548"/>
      <c r="B628" s="552" t="s">
        <v>185</v>
      </c>
      <c r="C628" s="1822" t="s">
        <v>414</v>
      </c>
      <c r="D628" s="1822"/>
      <c r="E628" s="1822"/>
      <c r="F628" s="1822"/>
      <c r="G628" s="1822"/>
      <c r="H628" s="1822"/>
      <c r="I628" s="1822"/>
      <c r="J628" s="1822"/>
      <c r="K628" s="1822"/>
      <c r="L628" s="551">
        <v>4452.8599999999997</v>
      </c>
      <c r="M628" s="550">
        <v>10.11</v>
      </c>
      <c r="N628" s="549">
        <v>45018</v>
      </c>
      <c r="P628" s="536"/>
      <c r="Q628" s="536"/>
      <c r="R628" s="536"/>
      <c r="S628" s="536"/>
      <c r="T628" s="536"/>
      <c r="U628" s="536"/>
      <c r="V628" s="536"/>
      <c r="W628" s="536"/>
      <c r="X628" s="536"/>
      <c r="Y628" s="536"/>
      <c r="Z628" s="536"/>
      <c r="AA628" s="536"/>
      <c r="AB628" s="536"/>
      <c r="AC628" s="536"/>
      <c r="AD628" s="536"/>
      <c r="AE628" s="536"/>
      <c r="AF628" s="536"/>
      <c r="AG628" s="536"/>
      <c r="AH628" s="675"/>
      <c r="AI628" s="537" t="s">
        <v>414</v>
      </c>
      <c r="AJ628" s="536"/>
    </row>
    <row r="629" spans="1:36" x14ac:dyDescent="0.2">
      <c r="A629" s="548"/>
      <c r="B629" s="552"/>
      <c r="C629" s="1822" t="s">
        <v>415</v>
      </c>
      <c r="D629" s="1822"/>
      <c r="E629" s="1822"/>
      <c r="F629" s="1822"/>
      <c r="G629" s="1822"/>
      <c r="H629" s="1822"/>
      <c r="I629" s="1822"/>
      <c r="J629" s="1822"/>
      <c r="K629" s="1822"/>
      <c r="L629" s="551">
        <v>34672.959999999999</v>
      </c>
      <c r="M629" s="550"/>
      <c r="N629" s="549"/>
      <c r="P629" s="536"/>
      <c r="Q629" s="536"/>
      <c r="R629" s="536"/>
      <c r="S629" s="536"/>
      <c r="T629" s="536"/>
      <c r="U629" s="536"/>
      <c r="V629" s="536"/>
      <c r="W629" s="536"/>
      <c r="X629" s="536"/>
      <c r="Y629" s="536"/>
      <c r="Z629" s="536"/>
      <c r="AA629" s="536"/>
      <c r="AB629" s="536"/>
      <c r="AC629" s="536"/>
      <c r="AD629" s="536"/>
      <c r="AE629" s="536"/>
      <c r="AF629" s="536"/>
      <c r="AG629" s="536"/>
      <c r="AH629" s="675"/>
      <c r="AI629" s="537" t="s">
        <v>415</v>
      </c>
      <c r="AJ629" s="536"/>
    </row>
    <row r="630" spans="1:36" x14ac:dyDescent="0.2">
      <c r="A630" s="548"/>
      <c r="B630" s="552"/>
      <c r="C630" s="1822" t="s">
        <v>416</v>
      </c>
      <c r="D630" s="1822"/>
      <c r="E630" s="1822"/>
      <c r="F630" s="1822"/>
      <c r="G630" s="1822"/>
      <c r="H630" s="1822"/>
      <c r="I630" s="1822"/>
      <c r="J630" s="1822"/>
      <c r="K630" s="1822"/>
      <c r="L630" s="551">
        <v>37571.449999999997</v>
      </c>
      <c r="M630" s="550"/>
      <c r="N630" s="549"/>
      <c r="P630" s="536"/>
      <c r="Q630" s="536"/>
      <c r="R630" s="536"/>
      <c r="S630" s="536"/>
      <c r="T630" s="536"/>
      <c r="U630" s="536"/>
      <c r="V630" s="536"/>
      <c r="W630" s="536"/>
      <c r="X630" s="536"/>
      <c r="Y630" s="536"/>
      <c r="Z630" s="536"/>
      <c r="AA630" s="536"/>
      <c r="AB630" s="536"/>
      <c r="AC630" s="536"/>
      <c r="AD630" s="536"/>
      <c r="AE630" s="536"/>
      <c r="AF630" s="536"/>
      <c r="AG630" s="536"/>
      <c r="AH630" s="675"/>
      <c r="AI630" s="537" t="s">
        <v>416</v>
      </c>
      <c r="AJ630" s="536"/>
    </row>
    <row r="631" spans="1:36" x14ac:dyDescent="0.2">
      <c r="A631" s="548"/>
      <c r="B631" s="552"/>
      <c r="C631" s="1822" t="s">
        <v>417</v>
      </c>
      <c r="D631" s="1822"/>
      <c r="E631" s="1822"/>
      <c r="F631" s="1822"/>
      <c r="G631" s="1822"/>
      <c r="H631" s="1822"/>
      <c r="I631" s="1822"/>
      <c r="J631" s="1822"/>
      <c r="K631" s="1822"/>
      <c r="L631" s="551">
        <v>22302.560000000001</v>
      </c>
      <c r="M631" s="550"/>
      <c r="N631" s="549"/>
      <c r="P631" s="536"/>
      <c r="Q631" s="536"/>
      <c r="R631" s="536"/>
      <c r="S631" s="536"/>
      <c r="T631" s="536"/>
      <c r="U631" s="536"/>
      <c r="V631" s="536"/>
      <c r="W631" s="536"/>
      <c r="X631" s="536"/>
      <c r="Y631" s="536"/>
      <c r="Z631" s="536"/>
      <c r="AA631" s="536"/>
      <c r="AB631" s="536"/>
      <c r="AC631" s="536"/>
      <c r="AD631" s="536"/>
      <c r="AE631" s="536"/>
      <c r="AF631" s="536"/>
      <c r="AG631" s="536"/>
      <c r="AH631" s="675"/>
      <c r="AI631" s="537" t="s">
        <v>417</v>
      </c>
      <c r="AJ631" s="536"/>
    </row>
    <row r="632" spans="1:36" x14ac:dyDescent="0.2">
      <c r="A632" s="548"/>
      <c r="B632" s="546"/>
      <c r="C632" s="1819" t="s">
        <v>206</v>
      </c>
      <c r="D632" s="1819"/>
      <c r="E632" s="1819"/>
      <c r="F632" s="1819"/>
      <c r="G632" s="1819"/>
      <c r="H632" s="1819"/>
      <c r="I632" s="1819"/>
      <c r="J632" s="1819"/>
      <c r="K632" s="1819"/>
      <c r="L632" s="544">
        <v>2896934.32</v>
      </c>
      <c r="M632" s="543"/>
      <c r="N632" s="547">
        <v>29288006</v>
      </c>
      <c r="P632" s="536"/>
      <c r="Q632" s="536"/>
      <c r="R632" s="536"/>
      <c r="S632" s="536"/>
      <c r="T632" s="536"/>
      <c r="U632" s="536"/>
      <c r="V632" s="536"/>
      <c r="W632" s="536"/>
      <c r="X632" s="536"/>
      <c r="Y632" s="536"/>
      <c r="Z632" s="536"/>
      <c r="AA632" s="536"/>
      <c r="AB632" s="536"/>
      <c r="AC632" s="536"/>
      <c r="AD632" s="536"/>
      <c r="AE632" s="536"/>
      <c r="AF632" s="536"/>
      <c r="AG632" s="536"/>
      <c r="AH632" s="675"/>
      <c r="AI632" s="536"/>
      <c r="AJ632" s="675" t="s">
        <v>206</v>
      </c>
    </row>
    <row r="633" spans="1:36" x14ac:dyDescent="0.2">
      <c r="A633" s="548"/>
      <c r="B633" s="552"/>
      <c r="C633" s="1822" t="s">
        <v>204</v>
      </c>
      <c r="D633" s="1822"/>
      <c r="E633" s="1822"/>
      <c r="F633" s="1822"/>
      <c r="G633" s="1822"/>
      <c r="H633" s="1822"/>
      <c r="I633" s="1822"/>
      <c r="J633" s="1822"/>
      <c r="K633" s="1822"/>
      <c r="L633" s="551"/>
      <c r="M633" s="550"/>
      <c r="N633" s="549"/>
      <c r="P633" s="536"/>
      <c r="Q633" s="536"/>
      <c r="R633" s="536"/>
      <c r="S633" s="536"/>
      <c r="T633" s="536"/>
      <c r="U633" s="536"/>
      <c r="V633" s="536"/>
      <c r="W633" s="536"/>
      <c r="X633" s="536"/>
      <c r="Y633" s="536"/>
      <c r="Z633" s="536"/>
      <c r="AA633" s="536"/>
      <c r="AB633" s="536"/>
      <c r="AC633" s="536"/>
      <c r="AD633" s="536"/>
      <c r="AE633" s="536"/>
      <c r="AF633" s="536"/>
      <c r="AG633" s="536"/>
      <c r="AH633" s="675"/>
      <c r="AI633" s="537" t="s">
        <v>204</v>
      </c>
      <c r="AJ633" s="675"/>
    </row>
    <row r="634" spans="1:36" x14ac:dyDescent="0.2">
      <c r="A634" s="548"/>
      <c r="B634" s="552"/>
      <c r="C634" s="1822" t="s">
        <v>8095</v>
      </c>
      <c r="D634" s="1822"/>
      <c r="E634" s="1822"/>
      <c r="F634" s="1822"/>
      <c r="G634" s="1822"/>
      <c r="H634" s="1822"/>
      <c r="I634" s="1822"/>
      <c r="J634" s="1822"/>
      <c r="K634" s="1822"/>
      <c r="L634" s="551">
        <v>8754.01</v>
      </c>
      <c r="M634" s="550"/>
      <c r="N634" s="549">
        <v>88503</v>
      </c>
      <c r="P634" s="536"/>
      <c r="Q634" s="536"/>
      <c r="R634" s="536"/>
      <c r="S634" s="536"/>
      <c r="T634" s="536"/>
      <c r="U634" s="536"/>
      <c r="V634" s="536"/>
      <c r="W634" s="536"/>
      <c r="X634" s="536"/>
      <c r="Y634" s="536"/>
      <c r="Z634" s="536"/>
      <c r="AA634" s="536"/>
      <c r="AB634" s="536"/>
      <c r="AC634" s="536"/>
      <c r="AD634" s="536"/>
      <c r="AE634" s="536"/>
      <c r="AF634" s="536"/>
      <c r="AG634" s="536"/>
      <c r="AH634" s="675"/>
      <c r="AI634" s="537" t="s">
        <v>8095</v>
      </c>
      <c r="AJ634" s="675"/>
    </row>
    <row r="635" spans="1:36" ht="1.5" customHeight="1" x14ac:dyDescent="0.2">
      <c r="B635" s="546"/>
      <c r="C635" s="671"/>
      <c r="D635" s="671"/>
      <c r="E635" s="671"/>
      <c r="F635" s="671"/>
      <c r="G635" s="671"/>
      <c r="H635" s="671"/>
      <c r="I635" s="671"/>
      <c r="J635" s="671"/>
      <c r="K635" s="671"/>
      <c r="L635" s="544"/>
      <c r="M635" s="543"/>
      <c r="N635" s="542"/>
      <c r="P635" s="536"/>
      <c r="Q635" s="536"/>
      <c r="R635" s="536"/>
      <c r="S635" s="536"/>
      <c r="T635" s="536"/>
      <c r="U635" s="536"/>
      <c r="V635" s="536"/>
      <c r="W635" s="536"/>
      <c r="X635" s="536"/>
      <c r="Y635" s="536"/>
      <c r="Z635" s="536"/>
      <c r="AA635" s="536"/>
      <c r="AB635" s="536"/>
      <c r="AC635" s="536"/>
      <c r="AD635" s="536"/>
      <c r="AE635" s="536"/>
      <c r="AF635" s="536"/>
      <c r="AG635" s="536"/>
      <c r="AH635" s="536"/>
      <c r="AI635" s="536"/>
      <c r="AJ635" s="536"/>
    </row>
    <row r="636" spans="1:36" ht="53.25" customHeight="1" x14ac:dyDescent="0.2">
      <c r="A636" s="541"/>
      <c r="B636" s="541"/>
      <c r="C636" s="541"/>
      <c r="D636" s="541"/>
      <c r="E636" s="541"/>
      <c r="F636" s="541"/>
      <c r="G636" s="541"/>
      <c r="H636" s="541"/>
      <c r="I636" s="541"/>
      <c r="J636" s="541"/>
      <c r="K636" s="541"/>
      <c r="L636" s="541"/>
      <c r="M636" s="541"/>
      <c r="N636" s="541"/>
      <c r="P636" s="536"/>
      <c r="Q636" s="536"/>
      <c r="R636" s="536"/>
      <c r="S636" s="536"/>
      <c r="T636" s="536"/>
      <c r="U636" s="536"/>
      <c r="V636" s="536"/>
      <c r="W636" s="536"/>
      <c r="X636" s="536"/>
      <c r="Y636" s="536"/>
      <c r="Z636" s="536"/>
      <c r="AA636" s="536"/>
      <c r="AB636" s="536"/>
      <c r="AC636" s="536"/>
      <c r="AD636" s="536"/>
      <c r="AE636" s="536"/>
      <c r="AF636" s="536"/>
      <c r="AG636" s="536"/>
      <c r="AH636" s="536"/>
      <c r="AI636" s="536"/>
      <c r="AJ636" s="536"/>
    </row>
    <row r="637" spans="1:36" x14ac:dyDescent="0.2">
      <c r="B637" s="539" t="s">
        <v>149</v>
      </c>
      <c r="C637" s="1820" t="s">
        <v>8555</v>
      </c>
      <c r="D637" s="1820"/>
      <c r="E637" s="1820"/>
      <c r="F637" s="1820"/>
      <c r="G637" s="1820"/>
      <c r="H637" s="1820"/>
      <c r="I637" s="1820"/>
      <c r="J637" s="1820"/>
      <c r="K637" s="1820"/>
      <c r="L637" s="1820"/>
    </row>
    <row r="638" spans="1:36" ht="13.5" customHeight="1" x14ac:dyDescent="0.2">
      <c r="B638" s="540"/>
      <c r="C638" s="1821" t="s">
        <v>150</v>
      </c>
      <c r="D638" s="1821"/>
      <c r="E638" s="1821"/>
      <c r="F638" s="1821"/>
      <c r="G638" s="1821"/>
      <c r="H638" s="1821"/>
      <c r="I638" s="1821"/>
      <c r="J638" s="1821"/>
      <c r="K638" s="1821"/>
      <c r="L638" s="1821"/>
    </row>
    <row r="639" spans="1:36" ht="12.75" customHeight="1" x14ac:dyDescent="0.2">
      <c r="B639" s="539" t="s">
        <v>151</v>
      </c>
      <c r="C639" s="1820" t="s">
        <v>8566</v>
      </c>
      <c r="D639" s="1820"/>
      <c r="E639" s="1820"/>
      <c r="F639" s="1820"/>
      <c r="G639" s="1820"/>
      <c r="H639" s="1820"/>
      <c r="I639" s="1820"/>
      <c r="J639" s="1820"/>
      <c r="K639" s="1820"/>
      <c r="L639" s="1820"/>
    </row>
    <row r="640" spans="1:36" ht="13.5" customHeight="1" x14ac:dyDescent="0.2">
      <c r="C640" s="1821" t="s">
        <v>150</v>
      </c>
      <c r="D640" s="1821"/>
      <c r="E640" s="1821"/>
      <c r="F640" s="1821"/>
      <c r="G640" s="1821"/>
      <c r="H640" s="1821"/>
      <c r="I640" s="1821"/>
      <c r="J640" s="1821"/>
      <c r="K640" s="1821"/>
      <c r="L640" s="1821"/>
    </row>
    <row r="642" spans="2:6" s="536" customFormat="1" x14ac:dyDescent="0.2">
      <c r="B642" s="538"/>
      <c r="D642" s="538"/>
      <c r="F642" s="538"/>
    </row>
  </sheetData>
  <mergeCells count="576">
    <mergeCell ref="C639:L639"/>
    <mergeCell ref="C640:L640"/>
    <mergeCell ref="C631:K631"/>
    <mergeCell ref="C632:K632"/>
    <mergeCell ref="C633:K633"/>
    <mergeCell ref="C634:K634"/>
    <mergeCell ref="C637:L637"/>
    <mergeCell ref="C638:L638"/>
    <mergeCell ref="C625:K625"/>
    <mergeCell ref="C626:K626"/>
    <mergeCell ref="C627:K627"/>
    <mergeCell ref="C628:K628"/>
    <mergeCell ref="C629:K629"/>
    <mergeCell ref="C630:K630"/>
    <mergeCell ref="C619:K619"/>
    <mergeCell ref="C620:K620"/>
    <mergeCell ref="C621:K621"/>
    <mergeCell ref="C622:K622"/>
    <mergeCell ref="C623:K623"/>
    <mergeCell ref="C624:K624"/>
    <mergeCell ref="C613:K613"/>
    <mergeCell ref="C614:K614"/>
    <mergeCell ref="C615:K615"/>
    <mergeCell ref="C616:K616"/>
    <mergeCell ref="C617:K617"/>
    <mergeCell ref="C618:K618"/>
    <mergeCell ref="C606:K606"/>
    <mergeCell ref="C607:K607"/>
    <mergeCell ref="C608:K608"/>
    <mergeCell ref="C609:K609"/>
    <mergeCell ref="C610:K610"/>
    <mergeCell ref="C611:K611"/>
    <mergeCell ref="C597:E597"/>
    <mergeCell ref="C599:N599"/>
    <mergeCell ref="C600:E600"/>
    <mergeCell ref="C602:N602"/>
    <mergeCell ref="C604:K604"/>
    <mergeCell ref="C605:K605"/>
    <mergeCell ref="C590:K590"/>
    <mergeCell ref="C591:K591"/>
    <mergeCell ref="C592:K592"/>
    <mergeCell ref="A593:N593"/>
    <mergeCell ref="C594:E594"/>
    <mergeCell ref="C596:N596"/>
    <mergeCell ref="C584:K584"/>
    <mergeCell ref="C585:K585"/>
    <mergeCell ref="C586:K586"/>
    <mergeCell ref="C587:K587"/>
    <mergeCell ref="C588:K588"/>
    <mergeCell ref="C589:K589"/>
    <mergeCell ref="C578:K578"/>
    <mergeCell ref="C579:K579"/>
    <mergeCell ref="C580:K580"/>
    <mergeCell ref="C581:K581"/>
    <mergeCell ref="C582:K582"/>
    <mergeCell ref="C583:K583"/>
    <mergeCell ref="C571:N571"/>
    <mergeCell ref="C573:K573"/>
    <mergeCell ref="C574:K574"/>
    <mergeCell ref="C575:K575"/>
    <mergeCell ref="C576:K576"/>
    <mergeCell ref="C577:K577"/>
    <mergeCell ref="C561:E561"/>
    <mergeCell ref="C563:N563"/>
    <mergeCell ref="C564:E564"/>
    <mergeCell ref="C566:N566"/>
    <mergeCell ref="C567:E567"/>
    <mergeCell ref="C569:E569"/>
    <mergeCell ref="C553:E553"/>
    <mergeCell ref="C554:E554"/>
    <mergeCell ref="C555:E555"/>
    <mergeCell ref="C556:E556"/>
    <mergeCell ref="C558:E558"/>
    <mergeCell ref="C560:N560"/>
    <mergeCell ref="C547:E547"/>
    <mergeCell ref="C548:E548"/>
    <mergeCell ref="C549:E549"/>
    <mergeCell ref="C550:E550"/>
    <mergeCell ref="C551:E551"/>
    <mergeCell ref="C552:E552"/>
    <mergeCell ref="C541:N541"/>
    <mergeCell ref="C542:E542"/>
    <mergeCell ref="C543:E543"/>
    <mergeCell ref="C544:E544"/>
    <mergeCell ref="C545:E545"/>
    <mergeCell ref="C546:E546"/>
    <mergeCell ref="C533:E533"/>
    <mergeCell ref="C535:N535"/>
    <mergeCell ref="C536:E536"/>
    <mergeCell ref="C538:N538"/>
    <mergeCell ref="C539:E539"/>
    <mergeCell ref="C540:N540"/>
    <mergeCell ref="C524:E524"/>
    <mergeCell ref="C526:N526"/>
    <mergeCell ref="C527:E527"/>
    <mergeCell ref="C529:N529"/>
    <mergeCell ref="C530:E530"/>
    <mergeCell ref="C532:N532"/>
    <mergeCell ref="C518:E518"/>
    <mergeCell ref="C519:E519"/>
    <mergeCell ref="C520:E520"/>
    <mergeCell ref="C521:E521"/>
    <mergeCell ref="C522:E522"/>
    <mergeCell ref="C523:E523"/>
    <mergeCell ref="C512:E512"/>
    <mergeCell ref="C513:E513"/>
    <mergeCell ref="C514:E514"/>
    <mergeCell ref="C515:E515"/>
    <mergeCell ref="C516:E516"/>
    <mergeCell ref="C517:E517"/>
    <mergeCell ref="C506:E506"/>
    <mergeCell ref="C507:N507"/>
    <mergeCell ref="C508:N508"/>
    <mergeCell ref="C509:E509"/>
    <mergeCell ref="C510:E510"/>
    <mergeCell ref="C511:E511"/>
    <mergeCell ref="C495:E495"/>
    <mergeCell ref="C497:E497"/>
    <mergeCell ref="C499:E499"/>
    <mergeCell ref="C501:E501"/>
    <mergeCell ref="C503:E503"/>
    <mergeCell ref="C505:N505"/>
    <mergeCell ref="C487:E487"/>
    <mergeCell ref="C488:E488"/>
    <mergeCell ref="C489:E489"/>
    <mergeCell ref="C490:E490"/>
    <mergeCell ref="C491:E491"/>
    <mergeCell ref="C493:E493"/>
    <mergeCell ref="C481:E481"/>
    <mergeCell ref="C482:E482"/>
    <mergeCell ref="C483:E483"/>
    <mergeCell ref="C484:E484"/>
    <mergeCell ref="C485:E485"/>
    <mergeCell ref="C486:E486"/>
    <mergeCell ref="C475:N475"/>
    <mergeCell ref="C476:E476"/>
    <mergeCell ref="C477:E477"/>
    <mergeCell ref="C478:E478"/>
    <mergeCell ref="C479:E479"/>
    <mergeCell ref="C480:E480"/>
    <mergeCell ref="C468:E468"/>
    <mergeCell ref="C469:E469"/>
    <mergeCell ref="C470:E470"/>
    <mergeCell ref="C471:E471"/>
    <mergeCell ref="C473:E473"/>
    <mergeCell ref="C474:N474"/>
    <mergeCell ref="C462:E462"/>
    <mergeCell ref="C463:E463"/>
    <mergeCell ref="C464:E464"/>
    <mergeCell ref="C465:E465"/>
    <mergeCell ref="C466:E466"/>
    <mergeCell ref="C467:E467"/>
    <mergeCell ref="C456:E456"/>
    <mergeCell ref="C457:N457"/>
    <mergeCell ref="C458:N458"/>
    <mergeCell ref="C459:E459"/>
    <mergeCell ref="C460:E460"/>
    <mergeCell ref="C461:E461"/>
    <mergeCell ref="C449:E449"/>
    <mergeCell ref="C450:E450"/>
    <mergeCell ref="C451:E451"/>
    <mergeCell ref="C452:E452"/>
    <mergeCell ref="C453:E453"/>
    <mergeCell ref="C454:E454"/>
    <mergeCell ref="C443:E443"/>
    <mergeCell ref="C444:E444"/>
    <mergeCell ref="C445:E445"/>
    <mergeCell ref="C446:E446"/>
    <mergeCell ref="C447:E447"/>
    <mergeCell ref="C448:E448"/>
    <mergeCell ref="C436:E436"/>
    <mergeCell ref="C437:E437"/>
    <mergeCell ref="C439:E439"/>
    <mergeCell ref="C440:N440"/>
    <mergeCell ref="C441:N441"/>
    <mergeCell ref="C442:E442"/>
    <mergeCell ref="C430:E430"/>
    <mergeCell ref="C431:E431"/>
    <mergeCell ref="C432:E432"/>
    <mergeCell ref="C433:E433"/>
    <mergeCell ref="C434:E434"/>
    <mergeCell ref="C435:E435"/>
    <mergeCell ref="C424:N424"/>
    <mergeCell ref="C425:E425"/>
    <mergeCell ref="C426:E426"/>
    <mergeCell ref="C427:E427"/>
    <mergeCell ref="C428:E428"/>
    <mergeCell ref="C429:E429"/>
    <mergeCell ref="C417:E417"/>
    <mergeCell ref="C418:E418"/>
    <mergeCell ref="C419:E419"/>
    <mergeCell ref="C420:E420"/>
    <mergeCell ref="C422:E422"/>
    <mergeCell ref="C423:N423"/>
    <mergeCell ref="C411:E411"/>
    <mergeCell ref="C412:E412"/>
    <mergeCell ref="C413:E413"/>
    <mergeCell ref="C414:E414"/>
    <mergeCell ref="C415:E415"/>
    <mergeCell ref="C416:E416"/>
    <mergeCell ref="C405:E405"/>
    <mergeCell ref="C406:N406"/>
    <mergeCell ref="C407:N407"/>
    <mergeCell ref="C408:E408"/>
    <mergeCell ref="C409:E409"/>
    <mergeCell ref="C410:E410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385:E385"/>
    <mergeCell ref="C386:E386"/>
    <mergeCell ref="C388:E388"/>
    <mergeCell ref="C389:N389"/>
    <mergeCell ref="C390:N390"/>
    <mergeCell ref="C391:E391"/>
    <mergeCell ref="C379:E379"/>
    <mergeCell ref="C380:E380"/>
    <mergeCell ref="C381:E381"/>
    <mergeCell ref="C382:E382"/>
    <mergeCell ref="C383:E383"/>
    <mergeCell ref="C384:E384"/>
    <mergeCell ref="C373:N373"/>
    <mergeCell ref="C374:E374"/>
    <mergeCell ref="C375:E375"/>
    <mergeCell ref="C376:E376"/>
    <mergeCell ref="C377:E377"/>
    <mergeCell ref="C378:E378"/>
    <mergeCell ref="C366:E366"/>
    <mergeCell ref="C367:E367"/>
    <mergeCell ref="C368:E368"/>
    <mergeCell ref="C369:E369"/>
    <mergeCell ref="C371:E371"/>
    <mergeCell ref="C372:N372"/>
    <mergeCell ref="C360:E360"/>
    <mergeCell ref="C361:E361"/>
    <mergeCell ref="C362:E362"/>
    <mergeCell ref="C363:E363"/>
    <mergeCell ref="C364:E364"/>
    <mergeCell ref="C365:E365"/>
    <mergeCell ref="C354:E354"/>
    <mergeCell ref="C355:N355"/>
    <mergeCell ref="C356:N356"/>
    <mergeCell ref="C357:E357"/>
    <mergeCell ref="C358:E358"/>
    <mergeCell ref="C359:E359"/>
    <mergeCell ref="C347:E347"/>
    <mergeCell ref="C348:E348"/>
    <mergeCell ref="C349:E349"/>
    <mergeCell ref="C350:E350"/>
    <mergeCell ref="C351:E351"/>
    <mergeCell ref="C352:E352"/>
    <mergeCell ref="C341:E341"/>
    <mergeCell ref="C342:E342"/>
    <mergeCell ref="C343:E343"/>
    <mergeCell ref="C344:E344"/>
    <mergeCell ref="C345:E345"/>
    <mergeCell ref="C346:E346"/>
    <mergeCell ref="C334:E334"/>
    <mergeCell ref="C335:E335"/>
    <mergeCell ref="C337:E337"/>
    <mergeCell ref="C338:N338"/>
    <mergeCell ref="C339:N339"/>
    <mergeCell ref="C340:E340"/>
    <mergeCell ref="C328:E328"/>
    <mergeCell ref="C329:E329"/>
    <mergeCell ref="C330:E330"/>
    <mergeCell ref="C331:E331"/>
    <mergeCell ref="C332:E332"/>
    <mergeCell ref="C333:E333"/>
    <mergeCell ref="C322:N322"/>
    <mergeCell ref="C323:E323"/>
    <mergeCell ref="C324:E324"/>
    <mergeCell ref="C325:E325"/>
    <mergeCell ref="C326:E326"/>
    <mergeCell ref="C327:E327"/>
    <mergeCell ref="C315:E315"/>
    <mergeCell ref="C316:E316"/>
    <mergeCell ref="C317:E317"/>
    <mergeCell ref="C318:E318"/>
    <mergeCell ref="C320:E320"/>
    <mergeCell ref="C321:N321"/>
    <mergeCell ref="C309:E309"/>
    <mergeCell ref="C310:E310"/>
    <mergeCell ref="C311:E311"/>
    <mergeCell ref="C312:E312"/>
    <mergeCell ref="C313:E313"/>
    <mergeCell ref="C314:E314"/>
    <mergeCell ref="C303:E303"/>
    <mergeCell ref="C304:N304"/>
    <mergeCell ref="C305:N305"/>
    <mergeCell ref="C306:E306"/>
    <mergeCell ref="C307:E307"/>
    <mergeCell ref="C308:E308"/>
    <mergeCell ref="C297:K297"/>
    <mergeCell ref="C298:K298"/>
    <mergeCell ref="C299:K299"/>
    <mergeCell ref="C300:K300"/>
    <mergeCell ref="C301:K301"/>
    <mergeCell ref="A302:N302"/>
    <mergeCell ref="C291:K291"/>
    <mergeCell ref="C292:K292"/>
    <mergeCell ref="C293:K293"/>
    <mergeCell ref="C294:K294"/>
    <mergeCell ref="C295:K295"/>
    <mergeCell ref="C296:K296"/>
    <mergeCell ref="C285:K285"/>
    <mergeCell ref="C286:K286"/>
    <mergeCell ref="C287:K287"/>
    <mergeCell ref="C288:K288"/>
    <mergeCell ref="C289:K289"/>
    <mergeCell ref="C290:K290"/>
    <mergeCell ref="C278:E278"/>
    <mergeCell ref="C279:E279"/>
    <mergeCell ref="C280:E280"/>
    <mergeCell ref="C282:K282"/>
    <mergeCell ref="C283:K283"/>
    <mergeCell ref="C284:K284"/>
    <mergeCell ref="C272:E272"/>
    <mergeCell ref="C273:E273"/>
    <mergeCell ref="C274:E274"/>
    <mergeCell ref="C275:E275"/>
    <mergeCell ref="C276:E276"/>
    <mergeCell ref="C277:E277"/>
    <mergeCell ref="C266:E266"/>
    <mergeCell ref="C267:E267"/>
    <mergeCell ref="C268:E268"/>
    <mergeCell ref="C269:N269"/>
    <mergeCell ref="C270:N270"/>
    <mergeCell ref="C271:E271"/>
    <mergeCell ref="C260:E260"/>
    <mergeCell ref="C261:E261"/>
    <mergeCell ref="C262:E262"/>
    <mergeCell ref="C263:E263"/>
    <mergeCell ref="C264:E264"/>
    <mergeCell ref="C265:E265"/>
    <mergeCell ref="C253:E253"/>
    <mergeCell ref="C254:E254"/>
    <mergeCell ref="C255:E255"/>
    <mergeCell ref="C257:E257"/>
    <mergeCell ref="C258:N258"/>
    <mergeCell ref="C259:N259"/>
    <mergeCell ref="C247:E247"/>
    <mergeCell ref="C248:E248"/>
    <mergeCell ref="C249:E249"/>
    <mergeCell ref="C250:E250"/>
    <mergeCell ref="C251:E251"/>
    <mergeCell ref="C252:E252"/>
    <mergeCell ref="C241:E241"/>
    <mergeCell ref="C242:N242"/>
    <mergeCell ref="C243:N243"/>
    <mergeCell ref="C244:E244"/>
    <mergeCell ref="C245:E245"/>
    <mergeCell ref="C246:E246"/>
    <mergeCell ref="C235:E235"/>
    <mergeCell ref="C236:E236"/>
    <mergeCell ref="C237:E237"/>
    <mergeCell ref="C238:E238"/>
    <mergeCell ref="C239:E239"/>
    <mergeCell ref="C240:E240"/>
    <mergeCell ref="C229:N229"/>
    <mergeCell ref="C230:E230"/>
    <mergeCell ref="C231:N231"/>
    <mergeCell ref="C232:N232"/>
    <mergeCell ref="C233:E233"/>
    <mergeCell ref="C234:E234"/>
    <mergeCell ref="C223:E223"/>
    <mergeCell ref="C224:E224"/>
    <mergeCell ref="C225:E225"/>
    <mergeCell ref="C226:E226"/>
    <mergeCell ref="C227:E227"/>
    <mergeCell ref="C228:E228"/>
    <mergeCell ref="C217:E217"/>
    <mergeCell ref="C218:N218"/>
    <mergeCell ref="C219:N219"/>
    <mergeCell ref="C220:E220"/>
    <mergeCell ref="C221:E221"/>
    <mergeCell ref="C222:E222"/>
    <mergeCell ref="C211:K211"/>
    <mergeCell ref="C212:K212"/>
    <mergeCell ref="C213:K213"/>
    <mergeCell ref="C214:K214"/>
    <mergeCell ref="C215:K215"/>
    <mergeCell ref="A216:N216"/>
    <mergeCell ref="C205:K205"/>
    <mergeCell ref="C206:K206"/>
    <mergeCell ref="C207:K207"/>
    <mergeCell ref="C208:K208"/>
    <mergeCell ref="C209:K209"/>
    <mergeCell ref="C210:K210"/>
    <mergeCell ref="C199:K199"/>
    <mergeCell ref="C200:K200"/>
    <mergeCell ref="C201:K201"/>
    <mergeCell ref="C202:K202"/>
    <mergeCell ref="C203:K203"/>
    <mergeCell ref="C204:K204"/>
    <mergeCell ref="C188:E188"/>
    <mergeCell ref="C190:E190"/>
    <mergeCell ref="C192:E192"/>
    <mergeCell ref="C194:N194"/>
    <mergeCell ref="C195:E195"/>
    <mergeCell ref="C198:K198"/>
    <mergeCell ref="C178:E178"/>
    <mergeCell ref="C179:E179"/>
    <mergeCell ref="C180:E180"/>
    <mergeCell ref="C182:E182"/>
    <mergeCell ref="C184:E184"/>
    <mergeCell ref="C186:E186"/>
    <mergeCell ref="C172:E172"/>
    <mergeCell ref="C173:E173"/>
    <mergeCell ref="C174:E174"/>
    <mergeCell ref="C175:E175"/>
    <mergeCell ref="C176:E176"/>
    <mergeCell ref="C177:E177"/>
    <mergeCell ref="C166:E166"/>
    <mergeCell ref="C167:E167"/>
    <mergeCell ref="C168:E168"/>
    <mergeCell ref="C169:E169"/>
    <mergeCell ref="C170:E170"/>
    <mergeCell ref="C171:E171"/>
    <mergeCell ref="C159:E159"/>
    <mergeCell ref="C160:E160"/>
    <mergeCell ref="C162:E162"/>
    <mergeCell ref="C163:N163"/>
    <mergeCell ref="C164:N164"/>
    <mergeCell ref="C165:E165"/>
    <mergeCell ref="C153:E153"/>
    <mergeCell ref="C154:E154"/>
    <mergeCell ref="C155:E155"/>
    <mergeCell ref="C156:E156"/>
    <mergeCell ref="C157:E157"/>
    <mergeCell ref="C158:E158"/>
    <mergeCell ref="C147:N147"/>
    <mergeCell ref="C148:E148"/>
    <mergeCell ref="C149:E149"/>
    <mergeCell ref="C150:E150"/>
    <mergeCell ref="C151:E151"/>
    <mergeCell ref="C152:E152"/>
    <mergeCell ref="C139:E139"/>
    <mergeCell ref="C140:E140"/>
    <mergeCell ref="C141:E141"/>
    <mergeCell ref="C143:E143"/>
    <mergeCell ref="C145:E145"/>
    <mergeCell ref="C146:N146"/>
    <mergeCell ref="C133:E133"/>
    <mergeCell ref="C134:E134"/>
    <mergeCell ref="C135:E135"/>
    <mergeCell ref="C136:E136"/>
    <mergeCell ref="C137:E137"/>
    <mergeCell ref="C138:E138"/>
    <mergeCell ref="C127:N127"/>
    <mergeCell ref="C128:N128"/>
    <mergeCell ref="C129:E129"/>
    <mergeCell ref="C130:E130"/>
    <mergeCell ref="C131:E131"/>
    <mergeCell ref="C132:E132"/>
    <mergeCell ref="C121:K121"/>
    <mergeCell ref="C122:K122"/>
    <mergeCell ref="C123:K123"/>
    <mergeCell ref="C124:K124"/>
    <mergeCell ref="A125:N125"/>
    <mergeCell ref="C126:E126"/>
    <mergeCell ref="C115:K115"/>
    <mergeCell ref="C116:K116"/>
    <mergeCell ref="C117:K117"/>
    <mergeCell ref="C118:K118"/>
    <mergeCell ref="C119:K119"/>
    <mergeCell ref="C120:K120"/>
    <mergeCell ref="C109:K109"/>
    <mergeCell ref="C110:K110"/>
    <mergeCell ref="C111:K111"/>
    <mergeCell ref="C112:K112"/>
    <mergeCell ref="C113:K113"/>
    <mergeCell ref="C114:K114"/>
    <mergeCell ref="C102:E102"/>
    <mergeCell ref="C103:E103"/>
    <mergeCell ref="C105:K105"/>
    <mergeCell ref="C106:K106"/>
    <mergeCell ref="C107:K107"/>
    <mergeCell ref="C108:K108"/>
    <mergeCell ref="C96:E96"/>
    <mergeCell ref="C97:E97"/>
    <mergeCell ref="C98:E98"/>
    <mergeCell ref="C99:E99"/>
    <mergeCell ref="C100:E100"/>
    <mergeCell ref="C101:E101"/>
    <mergeCell ref="C90:E90"/>
    <mergeCell ref="C91:E91"/>
    <mergeCell ref="C92:N92"/>
    <mergeCell ref="C93:N93"/>
    <mergeCell ref="C94:E94"/>
    <mergeCell ref="C95:E95"/>
    <mergeCell ref="C84:E84"/>
    <mergeCell ref="C85:E85"/>
    <mergeCell ref="C86:E86"/>
    <mergeCell ref="C87:E87"/>
    <mergeCell ref="C88:E88"/>
    <mergeCell ref="C89:E89"/>
    <mergeCell ref="C77:E77"/>
    <mergeCell ref="C78:E78"/>
    <mergeCell ref="C80:E80"/>
    <mergeCell ref="C81:N81"/>
    <mergeCell ref="C82:N82"/>
    <mergeCell ref="C83:E83"/>
    <mergeCell ref="C71:E71"/>
    <mergeCell ref="C72:E72"/>
    <mergeCell ref="C73:E73"/>
    <mergeCell ref="C74:E74"/>
    <mergeCell ref="C75:E75"/>
    <mergeCell ref="C76:E76"/>
    <mergeCell ref="C65:N65"/>
    <mergeCell ref="C66:N66"/>
    <mergeCell ref="C67:E67"/>
    <mergeCell ref="C68:E68"/>
    <mergeCell ref="C69:E69"/>
    <mergeCell ref="C70:E70"/>
    <mergeCell ref="C59:E59"/>
    <mergeCell ref="C60:E60"/>
    <mergeCell ref="C61:E61"/>
    <mergeCell ref="C62:E62"/>
    <mergeCell ref="C63:E63"/>
    <mergeCell ref="C64:E64"/>
    <mergeCell ref="C53:E53"/>
    <mergeCell ref="C54:N54"/>
    <mergeCell ref="C55:N55"/>
    <mergeCell ref="C56:E56"/>
    <mergeCell ref="C57:E57"/>
    <mergeCell ref="C58:E58"/>
    <mergeCell ref="C47:E47"/>
    <mergeCell ref="C48:E48"/>
    <mergeCell ref="C49:E49"/>
    <mergeCell ref="C50:E50"/>
    <mergeCell ref="C51:E51"/>
    <mergeCell ref="C52:N52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641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AL505"/>
  <sheetViews>
    <sheetView topLeftCell="A468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30" width="34.140625" style="537" hidden="1" customWidth="1"/>
    <col min="31" max="31" width="110.140625" style="537" hidden="1" customWidth="1"/>
    <col min="32" max="37" width="84.42578125" style="537" hidden="1" customWidth="1"/>
    <col min="38" max="38" width="138.42578125" style="537" hidden="1" customWidth="1"/>
    <col min="39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159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4729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4729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4730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4730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4731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606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606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/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8518.49</v>
      </c>
      <c r="D28" s="579" t="s">
        <v>4732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8518.49</v>
      </c>
      <c r="D30" s="579" t="s">
        <v>4732</v>
      </c>
      <c r="E30" s="665" t="s">
        <v>167</v>
      </c>
      <c r="G30" s="536" t="s">
        <v>170</v>
      </c>
      <c r="L30" s="580">
        <v>0</v>
      </c>
      <c r="M30" s="579" t="s">
        <v>4733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665" t="s">
        <v>167</v>
      </c>
      <c r="G31" s="536" t="s">
        <v>172</v>
      </c>
      <c r="L31" s="582"/>
      <c r="M31" s="582">
        <v>3525.95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665" t="s">
        <v>167</v>
      </c>
      <c r="G32" s="536" t="s">
        <v>174</v>
      </c>
      <c r="L32" s="582"/>
      <c r="M32" s="582">
        <v>249.93</v>
      </c>
      <c r="N32" s="581" t="s">
        <v>173</v>
      </c>
    </row>
    <row r="33" spans="1:28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8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8" s="536" customFormat="1" ht="12" x14ac:dyDescent="0.2">
      <c r="A39" s="1824" t="s">
        <v>4734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537" t="s">
        <v>4734</v>
      </c>
    </row>
    <row r="40" spans="1:28" s="536" customFormat="1" x14ac:dyDescent="0.2">
      <c r="A40" s="575" t="s">
        <v>185</v>
      </c>
      <c r="B40" s="670" t="s">
        <v>1368</v>
      </c>
      <c r="C40" s="1823" t="s">
        <v>1369</v>
      </c>
      <c r="D40" s="1823"/>
      <c r="E40" s="1823"/>
      <c r="F40" s="573" t="s">
        <v>509</v>
      </c>
      <c r="G40" s="573"/>
      <c r="H40" s="573"/>
      <c r="I40" s="573" t="s">
        <v>4735</v>
      </c>
      <c r="J40" s="572"/>
      <c r="K40" s="573"/>
      <c r="L40" s="572"/>
      <c r="M40" s="571"/>
      <c r="N40" s="570"/>
      <c r="W40" s="537" t="s">
        <v>1369</v>
      </c>
    </row>
    <row r="41" spans="1:28" s="536" customFormat="1" x14ac:dyDescent="0.2">
      <c r="A41" s="676"/>
      <c r="B41" s="664"/>
      <c r="C41" s="1822" t="s">
        <v>4736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X41" s="537" t="s">
        <v>4736</v>
      </c>
    </row>
    <row r="42" spans="1:28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Y42" s="537" t="s">
        <v>311</v>
      </c>
    </row>
    <row r="43" spans="1:28" s="536" customFormat="1" x14ac:dyDescent="0.2">
      <c r="A43" s="605"/>
      <c r="B43" s="552" t="s">
        <v>185</v>
      </c>
      <c r="C43" s="1822" t="s">
        <v>312</v>
      </c>
      <c r="D43" s="1822"/>
      <c r="E43" s="1822"/>
      <c r="F43" s="562"/>
      <c r="G43" s="562"/>
      <c r="H43" s="562"/>
      <c r="I43" s="562"/>
      <c r="J43" s="604">
        <v>1053</v>
      </c>
      <c r="K43" s="562" t="s">
        <v>313</v>
      </c>
      <c r="L43" s="604">
        <v>564.66999999999996</v>
      </c>
      <c r="M43" s="603"/>
      <c r="N43" s="602"/>
      <c r="Z43" s="537" t="s">
        <v>312</v>
      </c>
    </row>
    <row r="44" spans="1:28" s="536" customFormat="1" x14ac:dyDescent="0.2">
      <c r="A44" s="605"/>
      <c r="B44" s="552" t="s">
        <v>186</v>
      </c>
      <c r="C44" s="1822" t="s">
        <v>344</v>
      </c>
      <c r="D44" s="1822"/>
      <c r="E44" s="1822"/>
      <c r="F44" s="562"/>
      <c r="G44" s="562"/>
      <c r="H44" s="562"/>
      <c r="I44" s="562"/>
      <c r="J44" s="604">
        <v>1566.06</v>
      </c>
      <c r="K44" s="562" t="s">
        <v>313</v>
      </c>
      <c r="L44" s="604">
        <v>839.8</v>
      </c>
      <c r="M44" s="603"/>
      <c r="N44" s="602"/>
      <c r="Z44" s="537" t="s">
        <v>344</v>
      </c>
    </row>
    <row r="45" spans="1:28" s="536" customFormat="1" x14ac:dyDescent="0.2">
      <c r="A45" s="605"/>
      <c r="B45" s="552" t="s">
        <v>187</v>
      </c>
      <c r="C45" s="1822" t="s">
        <v>345</v>
      </c>
      <c r="D45" s="1822"/>
      <c r="E45" s="1822"/>
      <c r="F45" s="562"/>
      <c r="G45" s="562"/>
      <c r="H45" s="562"/>
      <c r="I45" s="562"/>
      <c r="J45" s="604">
        <v>244.39</v>
      </c>
      <c r="K45" s="562" t="s">
        <v>313</v>
      </c>
      <c r="L45" s="604">
        <v>131.05000000000001</v>
      </c>
      <c r="M45" s="603"/>
      <c r="N45" s="602"/>
      <c r="Z45" s="537" t="s">
        <v>345</v>
      </c>
    </row>
    <row r="46" spans="1:28" s="536" customFormat="1" x14ac:dyDescent="0.2">
      <c r="A46" s="605"/>
      <c r="B46" s="552" t="s">
        <v>188</v>
      </c>
      <c r="C46" s="1822" t="s">
        <v>475</v>
      </c>
      <c r="D46" s="1822"/>
      <c r="E46" s="1822"/>
      <c r="F46" s="562"/>
      <c r="G46" s="562"/>
      <c r="H46" s="562"/>
      <c r="I46" s="562"/>
      <c r="J46" s="604">
        <v>909.27</v>
      </c>
      <c r="K46" s="562"/>
      <c r="L46" s="604">
        <v>390.08</v>
      </c>
      <c r="M46" s="603"/>
      <c r="N46" s="602"/>
      <c r="Z46" s="537" t="s">
        <v>475</v>
      </c>
    </row>
    <row r="47" spans="1:28" s="536" customFormat="1" x14ac:dyDescent="0.2">
      <c r="A47" s="676"/>
      <c r="B47" s="677" t="s">
        <v>639</v>
      </c>
      <c r="C47" s="1829" t="s">
        <v>640</v>
      </c>
      <c r="D47" s="1829"/>
      <c r="E47" s="1829"/>
      <c r="F47" s="678" t="s">
        <v>641</v>
      </c>
      <c r="G47" s="678" t="s">
        <v>680</v>
      </c>
      <c r="H47" s="678"/>
      <c r="I47" s="678" t="s">
        <v>4737</v>
      </c>
      <c r="J47" s="552"/>
      <c r="K47" s="562"/>
      <c r="L47" s="604"/>
      <c r="M47" s="562"/>
      <c r="N47" s="679"/>
      <c r="AA47" s="537" t="s">
        <v>640</v>
      </c>
    </row>
    <row r="48" spans="1:28" s="536" customFormat="1" x14ac:dyDescent="0.2">
      <c r="A48" s="605"/>
      <c r="B48" s="552"/>
      <c r="C48" s="1822" t="s">
        <v>314</v>
      </c>
      <c r="D48" s="1822"/>
      <c r="E48" s="1822"/>
      <c r="F48" s="562" t="s">
        <v>315</v>
      </c>
      <c r="G48" s="562" t="s">
        <v>1373</v>
      </c>
      <c r="H48" s="562" t="s">
        <v>313</v>
      </c>
      <c r="I48" s="562" t="s">
        <v>4738</v>
      </c>
      <c r="J48" s="604"/>
      <c r="K48" s="562"/>
      <c r="L48" s="604"/>
      <c r="M48" s="603"/>
      <c r="N48" s="602"/>
      <c r="AB48" s="537" t="s">
        <v>314</v>
      </c>
    </row>
    <row r="49" spans="1:30" s="536" customFormat="1" x14ac:dyDescent="0.2">
      <c r="A49" s="605"/>
      <c r="B49" s="552"/>
      <c r="C49" s="1822" t="s">
        <v>348</v>
      </c>
      <c r="D49" s="1822"/>
      <c r="E49" s="1822"/>
      <c r="F49" s="562" t="s">
        <v>315</v>
      </c>
      <c r="G49" s="562" t="s">
        <v>1375</v>
      </c>
      <c r="H49" s="562" t="s">
        <v>313</v>
      </c>
      <c r="I49" s="562" t="s">
        <v>4739</v>
      </c>
      <c r="J49" s="604"/>
      <c r="K49" s="562"/>
      <c r="L49" s="604"/>
      <c r="M49" s="603"/>
      <c r="N49" s="602"/>
      <c r="AB49" s="537" t="s">
        <v>348</v>
      </c>
    </row>
    <row r="50" spans="1:30" s="536" customFormat="1" x14ac:dyDescent="0.2">
      <c r="A50" s="605"/>
      <c r="B50" s="552"/>
      <c r="C50" s="1828" t="s">
        <v>318</v>
      </c>
      <c r="D50" s="1828"/>
      <c r="E50" s="1828"/>
      <c r="F50" s="608"/>
      <c r="G50" s="608"/>
      <c r="H50" s="608"/>
      <c r="I50" s="608"/>
      <c r="J50" s="607">
        <v>3528.33</v>
      </c>
      <c r="K50" s="608"/>
      <c r="L50" s="607">
        <v>1794.55</v>
      </c>
      <c r="M50" s="601"/>
      <c r="N50" s="606"/>
      <c r="AC50" s="537" t="s">
        <v>318</v>
      </c>
    </row>
    <row r="51" spans="1:30" s="536" customFormat="1" x14ac:dyDescent="0.2">
      <c r="A51" s="605"/>
      <c r="B51" s="552"/>
      <c r="C51" s="1822" t="s">
        <v>319</v>
      </c>
      <c r="D51" s="1822"/>
      <c r="E51" s="1822"/>
      <c r="F51" s="562"/>
      <c r="G51" s="562"/>
      <c r="H51" s="562"/>
      <c r="I51" s="562"/>
      <c r="J51" s="604"/>
      <c r="K51" s="562"/>
      <c r="L51" s="604">
        <v>695.72</v>
      </c>
      <c r="M51" s="603"/>
      <c r="N51" s="602"/>
      <c r="AB51" s="537" t="s">
        <v>319</v>
      </c>
    </row>
    <row r="52" spans="1:30" s="536" customFormat="1" ht="33.75" x14ac:dyDescent="0.2">
      <c r="A52" s="605"/>
      <c r="B52" s="552" t="s">
        <v>686</v>
      </c>
      <c r="C52" s="1822" t="s">
        <v>687</v>
      </c>
      <c r="D52" s="1822"/>
      <c r="E52" s="1822"/>
      <c r="F52" s="562" t="s">
        <v>322</v>
      </c>
      <c r="G52" s="562" t="s">
        <v>680</v>
      </c>
      <c r="H52" s="562"/>
      <c r="I52" s="562" t="s">
        <v>680</v>
      </c>
      <c r="J52" s="604"/>
      <c r="K52" s="562"/>
      <c r="L52" s="604">
        <v>709.63</v>
      </c>
      <c r="M52" s="603"/>
      <c r="N52" s="602"/>
      <c r="AB52" s="537" t="s">
        <v>687</v>
      </c>
    </row>
    <row r="53" spans="1:30" s="536" customFormat="1" ht="33.75" x14ac:dyDescent="0.2">
      <c r="A53" s="605"/>
      <c r="B53" s="552" t="s">
        <v>688</v>
      </c>
      <c r="C53" s="1822" t="s">
        <v>689</v>
      </c>
      <c r="D53" s="1822"/>
      <c r="E53" s="1822"/>
      <c r="F53" s="562" t="s">
        <v>322</v>
      </c>
      <c r="G53" s="562" t="s">
        <v>690</v>
      </c>
      <c r="H53" s="562"/>
      <c r="I53" s="562" t="s">
        <v>690</v>
      </c>
      <c r="J53" s="604"/>
      <c r="K53" s="562"/>
      <c r="L53" s="604">
        <v>403.52</v>
      </c>
      <c r="M53" s="603"/>
      <c r="N53" s="602"/>
      <c r="AB53" s="537" t="s">
        <v>689</v>
      </c>
    </row>
    <row r="54" spans="1:30" s="536" customFormat="1" x14ac:dyDescent="0.2">
      <c r="A54" s="569"/>
      <c r="B54" s="671"/>
      <c r="C54" s="1823" t="s">
        <v>327</v>
      </c>
      <c r="D54" s="1823"/>
      <c r="E54" s="1823"/>
      <c r="F54" s="573"/>
      <c r="G54" s="573"/>
      <c r="H54" s="573"/>
      <c r="I54" s="573"/>
      <c r="J54" s="572"/>
      <c r="K54" s="573"/>
      <c r="L54" s="572">
        <v>2907.7</v>
      </c>
      <c r="M54" s="601"/>
      <c r="N54" s="570"/>
      <c r="AD54" s="537" t="s">
        <v>327</v>
      </c>
    </row>
    <row r="55" spans="1:30" s="536" customFormat="1" ht="22.5" x14ac:dyDescent="0.2">
      <c r="A55" s="575" t="s">
        <v>186</v>
      </c>
      <c r="B55" s="670" t="s">
        <v>1377</v>
      </c>
      <c r="C55" s="1823" t="s">
        <v>1378</v>
      </c>
      <c r="D55" s="1823"/>
      <c r="E55" s="1823"/>
      <c r="F55" s="573" t="s">
        <v>641</v>
      </c>
      <c r="G55" s="573"/>
      <c r="H55" s="573"/>
      <c r="I55" s="573" t="s">
        <v>4737</v>
      </c>
      <c r="J55" s="572">
        <v>560</v>
      </c>
      <c r="K55" s="573"/>
      <c r="L55" s="572">
        <v>24504.48</v>
      </c>
      <c r="M55" s="571"/>
      <c r="N55" s="570"/>
      <c r="W55" s="537" t="s">
        <v>1378</v>
      </c>
    </row>
    <row r="56" spans="1:30" s="536" customFormat="1" x14ac:dyDescent="0.2">
      <c r="A56" s="569"/>
      <c r="B56" s="671"/>
      <c r="C56" s="665" t="s">
        <v>717</v>
      </c>
      <c r="D56" s="666"/>
      <c r="E56" s="666"/>
      <c r="F56" s="563"/>
      <c r="G56" s="563"/>
      <c r="H56" s="563"/>
      <c r="I56" s="563"/>
      <c r="J56" s="566"/>
      <c r="K56" s="563"/>
      <c r="L56" s="566"/>
      <c r="M56" s="565"/>
      <c r="N56" s="564"/>
    </row>
    <row r="57" spans="1:30" s="536" customFormat="1" ht="22.5" x14ac:dyDescent="0.2">
      <c r="A57" s="575" t="s">
        <v>187</v>
      </c>
      <c r="B57" s="670" t="s">
        <v>4740</v>
      </c>
      <c r="C57" s="1823" t="s">
        <v>4741</v>
      </c>
      <c r="D57" s="1823"/>
      <c r="E57" s="1823"/>
      <c r="F57" s="573" t="s">
        <v>862</v>
      </c>
      <c r="G57" s="573"/>
      <c r="H57" s="573"/>
      <c r="I57" s="573" t="s">
        <v>4742</v>
      </c>
      <c r="J57" s="572"/>
      <c r="K57" s="573"/>
      <c r="L57" s="572"/>
      <c r="M57" s="571"/>
      <c r="N57" s="570"/>
      <c r="W57" s="537" t="s">
        <v>4741</v>
      </c>
    </row>
    <row r="58" spans="1:30" s="536" customFormat="1" x14ac:dyDescent="0.2">
      <c r="A58" s="676"/>
      <c r="B58" s="664"/>
      <c r="C58" s="1822" t="s">
        <v>4743</v>
      </c>
      <c r="D58" s="1822"/>
      <c r="E58" s="1822"/>
      <c r="F58" s="1822"/>
      <c r="G58" s="1822"/>
      <c r="H58" s="1822"/>
      <c r="I58" s="1822"/>
      <c r="J58" s="1822"/>
      <c r="K58" s="1822"/>
      <c r="L58" s="1822"/>
      <c r="M58" s="1822"/>
      <c r="N58" s="1827"/>
      <c r="X58" s="537" t="s">
        <v>4743</v>
      </c>
    </row>
    <row r="59" spans="1:30" s="536" customFormat="1" x14ac:dyDescent="0.2">
      <c r="A59" s="609"/>
      <c r="B59" s="552"/>
      <c r="C59" s="1822" t="s">
        <v>4744</v>
      </c>
      <c r="D59" s="1822"/>
      <c r="E59" s="1822"/>
      <c r="F59" s="1822"/>
      <c r="G59" s="1822"/>
      <c r="H59" s="1822"/>
      <c r="I59" s="1822"/>
      <c r="J59" s="1822"/>
      <c r="K59" s="1822"/>
      <c r="L59" s="1822"/>
      <c r="M59" s="1822"/>
      <c r="N59" s="1827"/>
      <c r="Y59" s="537" t="s">
        <v>4744</v>
      </c>
    </row>
    <row r="60" spans="1:30" s="536" customFormat="1" ht="33.75" x14ac:dyDescent="0.2">
      <c r="A60" s="609"/>
      <c r="B60" s="552" t="s">
        <v>310</v>
      </c>
      <c r="C60" s="1822" t="s">
        <v>311</v>
      </c>
      <c r="D60" s="1822"/>
      <c r="E60" s="1822"/>
      <c r="F60" s="1822"/>
      <c r="G60" s="1822"/>
      <c r="H60" s="1822"/>
      <c r="I60" s="1822"/>
      <c r="J60" s="1822"/>
      <c r="K60" s="1822"/>
      <c r="L60" s="1822"/>
      <c r="M60" s="1822"/>
      <c r="N60" s="1827"/>
      <c r="Y60" s="537" t="s">
        <v>311</v>
      </c>
    </row>
    <row r="61" spans="1:30" s="536" customFormat="1" x14ac:dyDescent="0.2">
      <c r="A61" s="605"/>
      <c r="B61" s="552" t="s">
        <v>185</v>
      </c>
      <c r="C61" s="1822" t="s">
        <v>312</v>
      </c>
      <c r="D61" s="1822"/>
      <c r="E61" s="1822"/>
      <c r="F61" s="562"/>
      <c r="G61" s="562"/>
      <c r="H61" s="562"/>
      <c r="I61" s="562"/>
      <c r="J61" s="604">
        <v>58.09</v>
      </c>
      <c r="K61" s="562" t="s">
        <v>722</v>
      </c>
      <c r="L61" s="604">
        <v>623</v>
      </c>
      <c r="M61" s="603"/>
      <c r="N61" s="602"/>
      <c r="Z61" s="537" t="s">
        <v>312</v>
      </c>
    </row>
    <row r="62" spans="1:30" s="536" customFormat="1" x14ac:dyDescent="0.2">
      <c r="A62" s="605"/>
      <c r="B62" s="552" t="s">
        <v>186</v>
      </c>
      <c r="C62" s="1822" t="s">
        <v>344</v>
      </c>
      <c r="D62" s="1822"/>
      <c r="E62" s="1822"/>
      <c r="F62" s="562"/>
      <c r="G62" s="562"/>
      <c r="H62" s="562"/>
      <c r="I62" s="562"/>
      <c r="J62" s="604">
        <v>45.18</v>
      </c>
      <c r="K62" s="562" t="s">
        <v>722</v>
      </c>
      <c r="L62" s="604">
        <v>484.54</v>
      </c>
      <c r="M62" s="603"/>
      <c r="N62" s="602"/>
      <c r="Z62" s="537" t="s">
        <v>344</v>
      </c>
    </row>
    <row r="63" spans="1:30" s="536" customFormat="1" x14ac:dyDescent="0.2">
      <c r="A63" s="605"/>
      <c r="B63" s="552" t="s">
        <v>187</v>
      </c>
      <c r="C63" s="1822" t="s">
        <v>345</v>
      </c>
      <c r="D63" s="1822"/>
      <c r="E63" s="1822"/>
      <c r="F63" s="562"/>
      <c r="G63" s="562"/>
      <c r="H63" s="562"/>
      <c r="I63" s="562"/>
      <c r="J63" s="604">
        <v>1.99</v>
      </c>
      <c r="K63" s="562" t="s">
        <v>722</v>
      </c>
      <c r="L63" s="604">
        <v>21.34</v>
      </c>
      <c r="M63" s="603"/>
      <c r="N63" s="602"/>
      <c r="Z63" s="537" t="s">
        <v>345</v>
      </c>
    </row>
    <row r="64" spans="1:30" s="536" customFormat="1" x14ac:dyDescent="0.2">
      <c r="A64" s="605"/>
      <c r="B64" s="552" t="s">
        <v>188</v>
      </c>
      <c r="C64" s="1822" t="s">
        <v>475</v>
      </c>
      <c r="D64" s="1822"/>
      <c r="E64" s="1822"/>
      <c r="F64" s="562"/>
      <c r="G64" s="562"/>
      <c r="H64" s="562"/>
      <c r="I64" s="562"/>
      <c r="J64" s="604">
        <v>74.2</v>
      </c>
      <c r="K64" s="562" t="s">
        <v>186</v>
      </c>
      <c r="L64" s="604">
        <v>636.62</v>
      </c>
      <c r="M64" s="603"/>
      <c r="N64" s="602"/>
      <c r="Z64" s="537" t="s">
        <v>475</v>
      </c>
    </row>
    <row r="65" spans="1:30" s="536" customFormat="1" ht="33.75" x14ac:dyDescent="0.2">
      <c r="A65" s="676"/>
      <c r="B65" s="677" t="s">
        <v>4745</v>
      </c>
      <c r="C65" s="1829" t="s">
        <v>4746</v>
      </c>
      <c r="D65" s="1829"/>
      <c r="E65" s="1829"/>
      <c r="F65" s="678" t="s">
        <v>865</v>
      </c>
      <c r="G65" s="678" t="s">
        <v>3036</v>
      </c>
      <c r="H65" s="678" t="s">
        <v>186</v>
      </c>
      <c r="I65" s="678" t="s">
        <v>4747</v>
      </c>
      <c r="J65" s="552"/>
      <c r="K65" s="562"/>
      <c r="L65" s="604"/>
      <c r="M65" s="562"/>
      <c r="N65" s="679"/>
      <c r="AA65" s="537" t="s">
        <v>4746</v>
      </c>
    </row>
    <row r="66" spans="1:30" s="536" customFormat="1" ht="22.5" x14ac:dyDescent="0.2">
      <c r="A66" s="605"/>
      <c r="B66" s="552"/>
      <c r="C66" s="1822" t="s">
        <v>314</v>
      </c>
      <c r="D66" s="1822"/>
      <c r="E66" s="1822"/>
      <c r="F66" s="562" t="s">
        <v>315</v>
      </c>
      <c r="G66" s="562" t="s">
        <v>4748</v>
      </c>
      <c r="H66" s="562" t="s">
        <v>722</v>
      </c>
      <c r="I66" s="562" t="s">
        <v>4749</v>
      </c>
      <c r="J66" s="604"/>
      <c r="K66" s="562"/>
      <c r="L66" s="604"/>
      <c r="M66" s="603"/>
      <c r="N66" s="602"/>
      <c r="AB66" s="537" t="s">
        <v>314</v>
      </c>
    </row>
    <row r="67" spans="1:30" s="536" customFormat="1" x14ac:dyDescent="0.2">
      <c r="A67" s="605"/>
      <c r="B67" s="552"/>
      <c r="C67" s="1822" t="s">
        <v>348</v>
      </c>
      <c r="D67" s="1822"/>
      <c r="E67" s="1822"/>
      <c r="F67" s="562" t="s">
        <v>315</v>
      </c>
      <c r="G67" s="562" t="s">
        <v>822</v>
      </c>
      <c r="H67" s="562" t="s">
        <v>722</v>
      </c>
      <c r="I67" s="562" t="s">
        <v>4750</v>
      </c>
      <c r="J67" s="604"/>
      <c r="K67" s="562"/>
      <c r="L67" s="604"/>
      <c r="M67" s="603"/>
      <c r="N67" s="602"/>
      <c r="AB67" s="537" t="s">
        <v>348</v>
      </c>
    </row>
    <row r="68" spans="1:30" s="536" customFormat="1" x14ac:dyDescent="0.2">
      <c r="A68" s="605"/>
      <c r="B68" s="552"/>
      <c r="C68" s="1828" t="s">
        <v>318</v>
      </c>
      <c r="D68" s="1828"/>
      <c r="E68" s="1828"/>
      <c r="F68" s="608"/>
      <c r="G68" s="608"/>
      <c r="H68" s="608"/>
      <c r="I68" s="608"/>
      <c r="J68" s="607">
        <v>177.47</v>
      </c>
      <c r="K68" s="608"/>
      <c r="L68" s="607">
        <v>1744.16</v>
      </c>
      <c r="M68" s="601"/>
      <c r="N68" s="606"/>
      <c r="AC68" s="537" t="s">
        <v>318</v>
      </c>
    </row>
    <row r="69" spans="1:30" s="536" customFormat="1" x14ac:dyDescent="0.2">
      <c r="A69" s="605"/>
      <c r="B69" s="552"/>
      <c r="C69" s="1822" t="s">
        <v>319</v>
      </c>
      <c r="D69" s="1822"/>
      <c r="E69" s="1822"/>
      <c r="F69" s="562"/>
      <c r="G69" s="562"/>
      <c r="H69" s="562"/>
      <c r="I69" s="562"/>
      <c r="J69" s="604"/>
      <c r="K69" s="562"/>
      <c r="L69" s="604">
        <v>644.34</v>
      </c>
      <c r="M69" s="603"/>
      <c r="N69" s="602"/>
      <c r="AB69" s="537" t="s">
        <v>319</v>
      </c>
    </row>
    <row r="70" spans="1:30" s="536" customFormat="1" ht="33.75" x14ac:dyDescent="0.2">
      <c r="A70" s="605"/>
      <c r="B70" s="552" t="s">
        <v>2032</v>
      </c>
      <c r="C70" s="1822" t="s">
        <v>2033</v>
      </c>
      <c r="D70" s="1822"/>
      <c r="E70" s="1822"/>
      <c r="F70" s="562" t="s">
        <v>322</v>
      </c>
      <c r="G70" s="562" t="s">
        <v>2034</v>
      </c>
      <c r="H70" s="562"/>
      <c r="I70" s="562" t="s">
        <v>2034</v>
      </c>
      <c r="J70" s="604"/>
      <c r="K70" s="562"/>
      <c r="L70" s="604">
        <v>708.77</v>
      </c>
      <c r="M70" s="603"/>
      <c r="N70" s="602"/>
      <c r="AB70" s="537" t="s">
        <v>2033</v>
      </c>
    </row>
    <row r="71" spans="1:30" s="536" customFormat="1" ht="33.75" x14ac:dyDescent="0.2">
      <c r="A71" s="605"/>
      <c r="B71" s="552" t="s">
        <v>2035</v>
      </c>
      <c r="C71" s="1822" t="s">
        <v>2036</v>
      </c>
      <c r="D71" s="1822"/>
      <c r="E71" s="1822"/>
      <c r="F71" s="562" t="s">
        <v>322</v>
      </c>
      <c r="G71" s="562" t="s">
        <v>2037</v>
      </c>
      <c r="H71" s="562"/>
      <c r="I71" s="562" t="s">
        <v>2037</v>
      </c>
      <c r="J71" s="604"/>
      <c r="K71" s="562"/>
      <c r="L71" s="604">
        <v>444.59</v>
      </c>
      <c r="M71" s="603"/>
      <c r="N71" s="602"/>
      <c r="AB71" s="537" t="s">
        <v>2036</v>
      </c>
    </row>
    <row r="72" spans="1:30" s="536" customFormat="1" x14ac:dyDescent="0.2">
      <c r="A72" s="569"/>
      <c r="B72" s="671"/>
      <c r="C72" s="1823" t="s">
        <v>327</v>
      </c>
      <c r="D72" s="1823"/>
      <c r="E72" s="1823"/>
      <c r="F72" s="573"/>
      <c r="G72" s="573"/>
      <c r="H72" s="573"/>
      <c r="I72" s="573"/>
      <c r="J72" s="572"/>
      <c r="K72" s="573"/>
      <c r="L72" s="572">
        <v>2897.52</v>
      </c>
      <c r="M72" s="601"/>
      <c r="N72" s="570"/>
      <c r="AD72" s="537" t="s">
        <v>327</v>
      </c>
    </row>
    <row r="73" spans="1:30" s="536" customFormat="1" ht="78.75" x14ac:dyDescent="0.2">
      <c r="A73" s="575" t="s">
        <v>188</v>
      </c>
      <c r="B73" s="670" t="s">
        <v>4751</v>
      </c>
      <c r="C73" s="1823" t="s">
        <v>4752</v>
      </c>
      <c r="D73" s="1823"/>
      <c r="E73" s="1823"/>
      <c r="F73" s="573" t="s">
        <v>865</v>
      </c>
      <c r="G73" s="573"/>
      <c r="H73" s="573"/>
      <c r="I73" s="573" t="s">
        <v>4747</v>
      </c>
      <c r="J73" s="572">
        <v>24.94</v>
      </c>
      <c r="K73" s="573"/>
      <c r="L73" s="572">
        <v>24607.72</v>
      </c>
      <c r="M73" s="571"/>
      <c r="N73" s="570"/>
      <c r="W73" s="537" t="s">
        <v>4752</v>
      </c>
    </row>
    <row r="74" spans="1:30" s="536" customFormat="1" x14ac:dyDescent="0.2">
      <c r="A74" s="569"/>
      <c r="B74" s="671"/>
      <c r="C74" s="665" t="s">
        <v>717</v>
      </c>
      <c r="D74" s="666"/>
      <c r="E74" s="666"/>
      <c r="F74" s="563"/>
      <c r="G74" s="563"/>
      <c r="H74" s="563"/>
      <c r="I74" s="563"/>
      <c r="J74" s="566"/>
      <c r="K74" s="563"/>
      <c r="L74" s="566"/>
      <c r="M74" s="565"/>
      <c r="N74" s="564"/>
    </row>
    <row r="75" spans="1:30" s="536" customFormat="1" ht="22.5" x14ac:dyDescent="0.2">
      <c r="A75" s="575" t="s">
        <v>189</v>
      </c>
      <c r="B75" s="670" t="s">
        <v>1239</v>
      </c>
      <c r="C75" s="1823" t="s">
        <v>1240</v>
      </c>
      <c r="D75" s="1823"/>
      <c r="E75" s="1823"/>
      <c r="F75" s="573" t="s">
        <v>862</v>
      </c>
      <c r="G75" s="573"/>
      <c r="H75" s="573"/>
      <c r="I75" s="573" t="s">
        <v>4753</v>
      </c>
      <c r="J75" s="572"/>
      <c r="K75" s="573"/>
      <c r="L75" s="572"/>
      <c r="M75" s="571"/>
      <c r="N75" s="570"/>
      <c r="W75" s="537" t="s">
        <v>1240</v>
      </c>
    </row>
    <row r="76" spans="1:30" s="536" customFormat="1" x14ac:dyDescent="0.2">
      <c r="A76" s="676"/>
      <c r="B76" s="664"/>
      <c r="C76" s="1822" t="s">
        <v>4754</v>
      </c>
      <c r="D76" s="1822"/>
      <c r="E76" s="1822"/>
      <c r="F76" s="1822"/>
      <c r="G76" s="1822"/>
      <c r="H76" s="1822"/>
      <c r="I76" s="1822"/>
      <c r="J76" s="1822"/>
      <c r="K76" s="1822"/>
      <c r="L76" s="1822"/>
      <c r="M76" s="1822"/>
      <c r="N76" s="1827"/>
      <c r="X76" s="537" t="s">
        <v>4754</v>
      </c>
    </row>
    <row r="77" spans="1:30" s="536" customFormat="1" ht="33.75" x14ac:dyDescent="0.2">
      <c r="A77" s="609"/>
      <c r="B77" s="552" t="s">
        <v>310</v>
      </c>
      <c r="C77" s="1822" t="s">
        <v>311</v>
      </c>
      <c r="D77" s="1822"/>
      <c r="E77" s="1822"/>
      <c r="F77" s="1822"/>
      <c r="G77" s="1822"/>
      <c r="H77" s="1822"/>
      <c r="I77" s="1822"/>
      <c r="J77" s="1822"/>
      <c r="K77" s="1822"/>
      <c r="L77" s="1822"/>
      <c r="M77" s="1822"/>
      <c r="N77" s="1827"/>
      <c r="Y77" s="537" t="s">
        <v>311</v>
      </c>
    </row>
    <row r="78" spans="1:30" s="536" customFormat="1" x14ac:dyDescent="0.2">
      <c r="A78" s="605"/>
      <c r="B78" s="552" t="s">
        <v>185</v>
      </c>
      <c r="C78" s="1822" t="s">
        <v>312</v>
      </c>
      <c r="D78" s="1822"/>
      <c r="E78" s="1822"/>
      <c r="F78" s="562"/>
      <c r="G78" s="562"/>
      <c r="H78" s="562"/>
      <c r="I78" s="562"/>
      <c r="J78" s="604">
        <v>282.66000000000003</v>
      </c>
      <c r="K78" s="562" t="s">
        <v>313</v>
      </c>
      <c r="L78" s="604">
        <v>1515.76</v>
      </c>
      <c r="M78" s="603"/>
      <c r="N78" s="602"/>
      <c r="Z78" s="537" t="s">
        <v>312</v>
      </c>
    </row>
    <row r="79" spans="1:30" s="536" customFormat="1" x14ac:dyDescent="0.2">
      <c r="A79" s="605"/>
      <c r="B79" s="552" t="s">
        <v>186</v>
      </c>
      <c r="C79" s="1822" t="s">
        <v>344</v>
      </c>
      <c r="D79" s="1822"/>
      <c r="E79" s="1822"/>
      <c r="F79" s="562"/>
      <c r="G79" s="562"/>
      <c r="H79" s="562"/>
      <c r="I79" s="562"/>
      <c r="J79" s="604">
        <v>43.61</v>
      </c>
      <c r="K79" s="562" t="s">
        <v>313</v>
      </c>
      <c r="L79" s="604">
        <v>233.86</v>
      </c>
      <c r="M79" s="603"/>
      <c r="N79" s="602"/>
      <c r="Z79" s="537" t="s">
        <v>344</v>
      </c>
    </row>
    <row r="80" spans="1:30" s="536" customFormat="1" x14ac:dyDescent="0.2">
      <c r="A80" s="605"/>
      <c r="B80" s="552" t="s">
        <v>187</v>
      </c>
      <c r="C80" s="1822" t="s">
        <v>345</v>
      </c>
      <c r="D80" s="1822"/>
      <c r="E80" s="1822"/>
      <c r="F80" s="562"/>
      <c r="G80" s="562"/>
      <c r="H80" s="562"/>
      <c r="I80" s="562"/>
      <c r="J80" s="604">
        <v>17.149999999999999</v>
      </c>
      <c r="K80" s="562" t="s">
        <v>313</v>
      </c>
      <c r="L80" s="604">
        <v>91.97</v>
      </c>
      <c r="M80" s="603"/>
      <c r="N80" s="602"/>
      <c r="Z80" s="537" t="s">
        <v>345</v>
      </c>
    </row>
    <row r="81" spans="1:30" s="536" customFormat="1" x14ac:dyDescent="0.2">
      <c r="A81" s="605"/>
      <c r="B81" s="552" t="s">
        <v>188</v>
      </c>
      <c r="C81" s="1822" t="s">
        <v>475</v>
      </c>
      <c r="D81" s="1822"/>
      <c r="E81" s="1822"/>
      <c r="F81" s="562"/>
      <c r="G81" s="562"/>
      <c r="H81" s="562"/>
      <c r="I81" s="562"/>
      <c r="J81" s="604">
        <v>8.5399999999999991</v>
      </c>
      <c r="K81" s="562"/>
      <c r="L81" s="604">
        <v>36.64</v>
      </c>
      <c r="M81" s="603"/>
      <c r="N81" s="602"/>
      <c r="Z81" s="537" t="s">
        <v>475</v>
      </c>
    </row>
    <row r="82" spans="1:30" s="536" customFormat="1" ht="22.5" x14ac:dyDescent="0.2">
      <c r="A82" s="676"/>
      <c r="B82" s="677" t="s">
        <v>1242</v>
      </c>
      <c r="C82" s="1829" t="s">
        <v>1243</v>
      </c>
      <c r="D82" s="1829"/>
      <c r="E82" s="1829"/>
      <c r="F82" s="678" t="s">
        <v>641</v>
      </c>
      <c r="G82" s="678" t="s">
        <v>1244</v>
      </c>
      <c r="H82" s="678"/>
      <c r="I82" s="678" t="s">
        <v>4755</v>
      </c>
      <c r="J82" s="552"/>
      <c r="K82" s="562"/>
      <c r="L82" s="604"/>
      <c r="M82" s="562"/>
      <c r="N82" s="679"/>
      <c r="AA82" s="537" t="s">
        <v>1243</v>
      </c>
    </row>
    <row r="83" spans="1:30" s="536" customFormat="1" x14ac:dyDescent="0.2">
      <c r="A83" s="605"/>
      <c r="B83" s="552"/>
      <c r="C83" s="1822" t="s">
        <v>314</v>
      </c>
      <c r="D83" s="1822"/>
      <c r="E83" s="1822"/>
      <c r="F83" s="562" t="s">
        <v>315</v>
      </c>
      <c r="G83" s="562" t="s">
        <v>1246</v>
      </c>
      <c r="H83" s="562" t="s">
        <v>313</v>
      </c>
      <c r="I83" s="562" t="s">
        <v>4756</v>
      </c>
      <c r="J83" s="604"/>
      <c r="K83" s="562"/>
      <c r="L83" s="604"/>
      <c r="M83" s="603"/>
      <c r="N83" s="602"/>
      <c r="AB83" s="537" t="s">
        <v>314</v>
      </c>
    </row>
    <row r="84" spans="1:30" s="536" customFormat="1" x14ac:dyDescent="0.2">
      <c r="A84" s="605"/>
      <c r="B84" s="552"/>
      <c r="C84" s="1822" t="s">
        <v>348</v>
      </c>
      <c r="D84" s="1822"/>
      <c r="E84" s="1822"/>
      <c r="F84" s="562" t="s">
        <v>315</v>
      </c>
      <c r="G84" s="562" t="s">
        <v>1248</v>
      </c>
      <c r="H84" s="562" t="s">
        <v>313</v>
      </c>
      <c r="I84" s="562" t="s">
        <v>4757</v>
      </c>
      <c r="J84" s="604"/>
      <c r="K84" s="562"/>
      <c r="L84" s="604"/>
      <c r="M84" s="603"/>
      <c r="N84" s="602"/>
      <c r="AB84" s="537" t="s">
        <v>348</v>
      </c>
    </row>
    <row r="85" spans="1:30" s="536" customFormat="1" x14ac:dyDescent="0.2">
      <c r="A85" s="605"/>
      <c r="B85" s="552"/>
      <c r="C85" s="1828" t="s">
        <v>318</v>
      </c>
      <c r="D85" s="1828"/>
      <c r="E85" s="1828"/>
      <c r="F85" s="608"/>
      <c r="G85" s="608"/>
      <c r="H85" s="608"/>
      <c r="I85" s="608"/>
      <c r="J85" s="607">
        <v>334.81</v>
      </c>
      <c r="K85" s="608"/>
      <c r="L85" s="607">
        <v>1786.26</v>
      </c>
      <c r="M85" s="601"/>
      <c r="N85" s="606"/>
      <c r="AC85" s="537" t="s">
        <v>318</v>
      </c>
    </row>
    <row r="86" spans="1:30" s="536" customFormat="1" x14ac:dyDescent="0.2">
      <c r="A86" s="605"/>
      <c r="B86" s="552"/>
      <c r="C86" s="1822" t="s">
        <v>319</v>
      </c>
      <c r="D86" s="1822"/>
      <c r="E86" s="1822"/>
      <c r="F86" s="562"/>
      <c r="G86" s="562"/>
      <c r="H86" s="562"/>
      <c r="I86" s="562"/>
      <c r="J86" s="604"/>
      <c r="K86" s="562"/>
      <c r="L86" s="604">
        <v>1607.73</v>
      </c>
      <c r="M86" s="603"/>
      <c r="N86" s="602"/>
      <c r="AB86" s="537" t="s">
        <v>319</v>
      </c>
    </row>
    <row r="87" spans="1:30" s="536" customFormat="1" ht="33.75" x14ac:dyDescent="0.2">
      <c r="A87" s="605"/>
      <c r="B87" s="552" t="s">
        <v>1250</v>
      </c>
      <c r="C87" s="1822" t="s">
        <v>1251</v>
      </c>
      <c r="D87" s="1822"/>
      <c r="E87" s="1822"/>
      <c r="F87" s="562" t="s">
        <v>322</v>
      </c>
      <c r="G87" s="562" t="s">
        <v>1252</v>
      </c>
      <c r="H87" s="562"/>
      <c r="I87" s="562" t="s">
        <v>1252</v>
      </c>
      <c r="J87" s="604"/>
      <c r="K87" s="562"/>
      <c r="L87" s="604">
        <v>1800.66</v>
      </c>
      <c r="M87" s="603"/>
      <c r="N87" s="602"/>
      <c r="AB87" s="537" t="s">
        <v>1251</v>
      </c>
    </row>
    <row r="88" spans="1:30" s="536" customFormat="1" ht="33.75" x14ac:dyDescent="0.2">
      <c r="A88" s="605"/>
      <c r="B88" s="552" t="s">
        <v>1253</v>
      </c>
      <c r="C88" s="1822" t="s">
        <v>1254</v>
      </c>
      <c r="D88" s="1822"/>
      <c r="E88" s="1822"/>
      <c r="F88" s="562" t="s">
        <v>322</v>
      </c>
      <c r="G88" s="562" t="s">
        <v>796</v>
      </c>
      <c r="H88" s="562"/>
      <c r="I88" s="562" t="s">
        <v>796</v>
      </c>
      <c r="J88" s="604"/>
      <c r="K88" s="562"/>
      <c r="L88" s="604">
        <v>1045.02</v>
      </c>
      <c r="M88" s="603"/>
      <c r="N88" s="602"/>
      <c r="AB88" s="537" t="s">
        <v>1254</v>
      </c>
    </row>
    <row r="89" spans="1:30" s="536" customFormat="1" x14ac:dyDescent="0.2">
      <c r="A89" s="569"/>
      <c r="B89" s="671"/>
      <c r="C89" s="1823" t="s">
        <v>327</v>
      </c>
      <c r="D89" s="1823"/>
      <c r="E89" s="1823"/>
      <c r="F89" s="573"/>
      <c r="G89" s="573"/>
      <c r="H89" s="573"/>
      <c r="I89" s="573"/>
      <c r="J89" s="572"/>
      <c r="K89" s="573"/>
      <c r="L89" s="572">
        <v>4631.9399999999996</v>
      </c>
      <c r="M89" s="601"/>
      <c r="N89" s="570"/>
      <c r="AD89" s="537" t="s">
        <v>327</v>
      </c>
    </row>
    <row r="90" spans="1:30" s="536" customFormat="1" ht="22.5" x14ac:dyDescent="0.2">
      <c r="A90" s="575" t="s">
        <v>190</v>
      </c>
      <c r="B90" s="670" t="s">
        <v>4758</v>
      </c>
      <c r="C90" s="1823" t="s">
        <v>4759</v>
      </c>
      <c r="D90" s="1823"/>
      <c r="E90" s="1823"/>
      <c r="F90" s="573" t="s">
        <v>641</v>
      </c>
      <c r="G90" s="573"/>
      <c r="H90" s="573"/>
      <c r="I90" s="573" t="s">
        <v>4755</v>
      </c>
      <c r="J90" s="572">
        <v>548.29999999999995</v>
      </c>
      <c r="K90" s="573"/>
      <c r="L90" s="572">
        <v>4798.5</v>
      </c>
      <c r="M90" s="571"/>
      <c r="N90" s="570"/>
      <c r="W90" s="537" t="s">
        <v>4759</v>
      </c>
    </row>
    <row r="91" spans="1:30" s="536" customFormat="1" x14ac:dyDescent="0.2">
      <c r="A91" s="569"/>
      <c r="B91" s="671"/>
      <c r="C91" s="665" t="s">
        <v>717</v>
      </c>
      <c r="D91" s="666"/>
      <c r="E91" s="666"/>
      <c r="F91" s="563"/>
      <c r="G91" s="563"/>
      <c r="H91" s="563"/>
      <c r="I91" s="563"/>
      <c r="J91" s="566"/>
      <c r="K91" s="563"/>
      <c r="L91" s="566"/>
      <c r="M91" s="565"/>
      <c r="N91" s="564"/>
    </row>
    <row r="92" spans="1:30" s="536" customFormat="1" ht="45" x14ac:dyDescent="0.2">
      <c r="A92" s="575" t="s">
        <v>191</v>
      </c>
      <c r="B92" s="670" t="s">
        <v>1259</v>
      </c>
      <c r="C92" s="1823" t="s">
        <v>4760</v>
      </c>
      <c r="D92" s="1823"/>
      <c r="E92" s="1823"/>
      <c r="F92" s="573" t="s">
        <v>862</v>
      </c>
      <c r="G92" s="573"/>
      <c r="H92" s="573"/>
      <c r="I92" s="573" t="s">
        <v>4753</v>
      </c>
      <c r="J92" s="572"/>
      <c r="K92" s="573"/>
      <c r="L92" s="572"/>
      <c r="M92" s="571"/>
      <c r="N92" s="570"/>
      <c r="W92" s="537" t="s">
        <v>4760</v>
      </c>
    </row>
    <row r="93" spans="1:30" s="536" customFormat="1" x14ac:dyDescent="0.2">
      <c r="A93" s="676"/>
      <c r="B93" s="664"/>
      <c r="C93" s="1822" t="s">
        <v>4754</v>
      </c>
      <c r="D93" s="1822"/>
      <c r="E93" s="1822"/>
      <c r="F93" s="1822"/>
      <c r="G93" s="1822"/>
      <c r="H93" s="1822"/>
      <c r="I93" s="1822"/>
      <c r="J93" s="1822"/>
      <c r="K93" s="1822"/>
      <c r="L93" s="1822"/>
      <c r="M93" s="1822"/>
      <c r="N93" s="1827"/>
      <c r="X93" s="537" t="s">
        <v>4754</v>
      </c>
    </row>
    <row r="94" spans="1:30" s="536" customFormat="1" x14ac:dyDescent="0.2">
      <c r="A94" s="609"/>
      <c r="B94" s="552"/>
      <c r="C94" s="1822" t="s">
        <v>4744</v>
      </c>
      <c r="D94" s="1822"/>
      <c r="E94" s="1822"/>
      <c r="F94" s="1822"/>
      <c r="G94" s="1822"/>
      <c r="H94" s="1822"/>
      <c r="I94" s="1822"/>
      <c r="J94" s="1822"/>
      <c r="K94" s="1822"/>
      <c r="L94" s="1822"/>
      <c r="M94" s="1822"/>
      <c r="N94" s="1827"/>
      <c r="Y94" s="537" t="s">
        <v>4744</v>
      </c>
    </row>
    <row r="95" spans="1:30" s="536" customFormat="1" ht="33.75" x14ac:dyDescent="0.2">
      <c r="A95" s="609"/>
      <c r="B95" s="552" t="s">
        <v>310</v>
      </c>
      <c r="C95" s="1822" t="s">
        <v>311</v>
      </c>
      <c r="D95" s="1822"/>
      <c r="E95" s="1822"/>
      <c r="F95" s="1822"/>
      <c r="G95" s="1822"/>
      <c r="H95" s="1822"/>
      <c r="I95" s="1822"/>
      <c r="J95" s="1822"/>
      <c r="K95" s="1822"/>
      <c r="L95" s="1822"/>
      <c r="M95" s="1822"/>
      <c r="N95" s="1827"/>
      <c r="Y95" s="537" t="s">
        <v>311</v>
      </c>
    </row>
    <row r="96" spans="1:30" s="536" customFormat="1" x14ac:dyDescent="0.2">
      <c r="A96" s="605"/>
      <c r="B96" s="552" t="s">
        <v>185</v>
      </c>
      <c r="C96" s="1822" t="s">
        <v>312</v>
      </c>
      <c r="D96" s="1822"/>
      <c r="E96" s="1822"/>
      <c r="F96" s="562"/>
      <c r="G96" s="562"/>
      <c r="H96" s="562"/>
      <c r="I96" s="562"/>
      <c r="J96" s="604">
        <v>3.49</v>
      </c>
      <c r="K96" s="562" t="s">
        <v>722</v>
      </c>
      <c r="L96" s="604">
        <v>37.43</v>
      </c>
      <c r="M96" s="603"/>
      <c r="N96" s="602"/>
      <c r="Z96" s="537" t="s">
        <v>312</v>
      </c>
    </row>
    <row r="97" spans="1:30" s="536" customFormat="1" x14ac:dyDescent="0.2">
      <c r="A97" s="605"/>
      <c r="B97" s="552" t="s">
        <v>186</v>
      </c>
      <c r="C97" s="1822" t="s">
        <v>344</v>
      </c>
      <c r="D97" s="1822"/>
      <c r="E97" s="1822"/>
      <c r="F97" s="562"/>
      <c r="G97" s="562"/>
      <c r="H97" s="562"/>
      <c r="I97" s="562"/>
      <c r="J97" s="604">
        <v>7.56</v>
      </c>
      <c r="K97" s="562" t="s">
        <v>722</v>
      </c>
      <c r="L97" s="604">
        <v>81.08</v>
      </c>
      <c r="M97" s="603"/>
      <c r="N97" s="602"/>
      <c r="Z97" s="537" t="s">
        <v>344</v>
      </c>
    </row>
    <row r="98" spans="1:30" s="536" customFormat="1" x14ac:dyDescent="0.2">
      <c r="A98" s="605"/>
      <c r="B98" s="552" t="s">
        <v>187</v>
      </c>
      <c r="C98" s="1822" t="s">
        <v>345</v>
      </c>
      <c r="D98" s="1822"/>
      <c r="E98" s="1822"/>
      <c r="F98" s="562"/>
      <c r="G98" s="562"/>
      <c r="H98" s="562"/>
      <c r="I98" s="562"/>
      <c r="J98" s="604">
        <v>2.84</v>
      </c>
      <c r="K98" s="562" t="s">
        <v>722</v>
      </c>
      <c r="L98" s="604">
        <v>30.46</v>
      </c>
      <c r="M98" s="603"/>
      <c r="N98" s="602"/>
      <c r="Z98" s="537" t="s">
        <v>345</v>
      </c>
    </row>
    <row r="99" spans="1:30" s="536" customFormat="1" ht="22.5" x14ac:dyDescent="0.2">
      <c r="A99" s="676"/>
      <c r="B99" s="677" t="s">
        <v>1242</v>
      </c>
      <c r="C99" s="1829" t="s">
        <v>1243</v>
      </c>
      <c r="D99" s="1829"/>
      <c r="E99" s="1829"/>
      <c r="F99" s="678" t="s">
        <v>641</v>
      </c>
      <c r="G99" s="678" t="s">
        <v>439</v>
      </c>
      <c r="H99" s="678" t="s">
        <v>186</v>
      </c>
      <c r="I99" s="678" t="s">
        <v>4761</v>
      </c>
      <c r="J99" s="552"/>
      <c r="K99" s="562"/>
      <c r="L99" s="604"/>
      <c r="M99" s="562"/>
      <c r="N99" s="679"/>
      <c r="AA99" s="537" t="s">
        <v>1243</v>
      </c>
    </row>
    <row r="100" spans="1:30" s="536" customFormat="1" x14ac:dyDescent="0.2">
      <c r="A100" s="605"/>
      <c r="B100" s="552"/>
      <c r="C100" s="1822" t="s">
        <v>314</v>
      </c>
      <c r="D100" s="1822"/>
      <c r="E100" s="1822"/>
      <c r="F100" s="562" t="s">
        <v>315</v>
      </c>
      <c r="G100" s="562" t="s">
        <v>1263</v>
      </c>
      <c r="H100" s="562" t="s">
        <v>722</v>
      </c>
      <c r="I100" s="562" t="s">
        <v>4762</v>
      </c>
      <c r="J100" s="604"/>
      <c r="K100" s="562"/>
      <c r="L100" s="604"/>
      <c r="M100" s="603"/>
      <c r="N100" s="602"/>
      <c r="AB100" s="537" t="s">
        <v>314</v>
      </c>
    </row>
    <row r="101" spans="1:30" s="536" customFormat="1" x14ac:dyDescent="0.2">
      <c r="A101" s="605"/>
      <c r="B101" s="552"/>
      <c r="C101" s="1822" t="s">
        <v>348</v>
      </c>
      <c r="D101" s="1822"/>
      <c r="E101" s="1822"/>
      <c r="F101" s="562" t="s">
        <v>315</v>
      </c>
      <c r="G101" s="562" t="s">
        <v>1265</v>
      </c>
      <c r="H101" s="562" t="s">
        <v>722</v>
      </c>
      <c r="I101" s="562" t="s">
        <v>4763</v>
      </c>
      <c r="J101" s="604"/>
      <c r="K101" s="562"/>
      <c r="L101" s="604"/>
      <c r="M101" s="603"/>
      <c r="N101" s="602"/>
      <c r="AB101" s="537" t="s">
        <v>348</v>
      </c>
    </row>
    <row r="102" spans="1:30" s="536" customFormat="1" x14ac:dyDescent="0.2">
      <c r="A102" s="605"/>
      <c r="B102" s="552"/>
      <c r="C102" s="1828" t="s">
        <v>318</v>
      </c>
      <c r="D102" s="1828"/>
      <c r="E102" s="1828"/>
      <c r="F102" s="608"/>
      <c r="G102" s="608"/>
      <c r="H102" s="608"/>
      <c r="I102" s="608"/>
      <c r="J102" s="607">
        <v>11.05</v>
      </c>
      <c r="K102" s="608"/>
      <c r="L102" s="607">
        <v>118.51</v>
      </c>
      <c r="M102" s="601"/>
      <c r="N102" s="606"/>
      <c r="AC102" s="537" t="s">
        <v>318</v>
      </c>
    </row>
    <row r="103" spans="1:30" s="536" customFormat="1" x14ac:dyDescent="0.2">
      <c r="A103" s="605"/>
      <c r="B103" s="552"/>
      <c r="C103" s="1822" t="s">
        <v>319</v>
      </c>
      <c r="D103" s="1822"/>
      <c r="E103" s="1822"/>
      <c r="F103" s="562"/>
      <c r="G103" s="562"/>
      <c r="H103" s="562"/>
      <c r="I103" s="562"/>
      <c r="J103" s="604"/>
      <c r="K103" s="562"/>
      <c r="L103" s="604">
        <v>67.89</v>
      </c>
      <c r="M103" s="603"/>
      <c r="N103" s="602"/>
      <c r="AB103" s="537" t="s">
        <v>319</v>
      </c>
    </row>
    <row r="104" spans="1:30" s="536" customFormat="1" ht="33.75" x14ac:dyDescent="0.2">
      <c r="A104" s="605"/>
      <c r="B104" s="552" t="s">
        <v>1250</v>
      </c>
      <c r="C104" s="1822" t="s">
        <v>1251</v>
      </c>
      <c r="D104" s="1822"/>
      <c r="E104" s="1822"/>
      <c r="F104" s="562" t="s">
        <v>322</v>
      </c>
      <c r="G104" s="562" t="s">
        <v>1252</v>
      </c>
      <c r="H104" s="562"/>
      <c r="I104" s="562" t="s">
        <v>1252</v>
      </c>
      <c r="J104" s="604"/>
      <c r="K104" s="562"/>
      <c r="L104" s="604">
        <v>76.040000000000006</v>
      </c>
      <c r="M104" s="603"/>
      <c r="N104" s="602"/>
      <c r="AB104" s="537" t="s">
        <v>1251</v>
      </c>
    </row>
    <row r="105" spans="1:30" s="536" customFormat="1" ht="33.75" x14ac:dyDescent="0.2">
      <c r="A105" s="605"/>
      <c r="B105" s="552" t="s">
        <v>1253</v>
      </c>
      <c r="C105" s="1822" t="s">
        <v>1254</v>
      </c>
      <c r="D105" s="1822"/>
      <c r="E105" s="1822"/>
      <c r="F105" s="562" t="s">
        <v>322</v>
      </c>
      <c r="G105" s="562" t="s">
        <v>796</v>
      </c>
      <c r="H105" s="562"/>
      <c r="I105" s="562" t="s">
        <v>796</v>
      </c>
      <c r="J105" s="604"/>
      <c r="K105" s="562"/>
      <c r="L105" s="604">
        <v>44.13</v>
      </c>
      <c r="M105" s="603"/>
      <c r="N105" s="602"/>
      <c r="AB105" s="537" t="s">
        <v>1254</v>
      </c>
    </row>
    <row r="106" spans="1:30" s="536" customFormat="1" x14ac:dyDescent="0.2">
      <c r="A106" s="569"/>
      <c r="B106" s="671"/>
      <c r="C106" s="1823" t="s">
        <v>327</v>
      </c>
      <c r="D106" s="1823"/>
      <c r="E106" s="1823"/>
      <c r="F106" s="573"/>
      <c r="G106" s="573"/>
      <c r="H106" s="573"/>
      <c r="I106" s="573"/>
      <c r="J106" s="572"/>
      <c r="K106" s="573"/>
      <c r="L106" s="572">
        <v>238.68</v>
      </c>
      <c r="M106" s="601"/>
      <c r="N106" s="570"/>
      <c r="AD106" s="537" t="s">
        <v>327</v>
      </c>
    </row>
    <row r="107" spans="1:30" s="536" customFormat="1" ht="22.5" x14ac:dyDescent="0.2">
      <c r="A107" s="575" t="s">
        <v>192</v>
      </c>
      <c r="B107" s="670" t="s">
        <v>4758</v>
      </c>
      <c r="C107" s="1823" t="s">
        <v>4759</v>
      </c>
      <c r="D107" s="1823"/>
      <c r="E107" s="1823"/>
      <c r="F107" s="573" t="s">
        <v>641</v>
      </c>
      <c r="G107" s="573"/>
      <c r="H107" s="573"/>
      <c r="I107" s="573" t="s">
        <v>4761</v>
      </c>
      <c r="J107" s="572">
        <v>548.29999999999995</v>
      </c>
      <c r="K107" s="573"/>
      <c r="L107" s="572">
        <v>2399.25</v>
      </c>
      <c r="M107" s="571"/>
      <c r="N107" s="570"/>
      <c r="W107" s="537" t="s">
        <v>4759</v>
      </c>
    </row>
    <row r="108" spans="1:30" s="536" customFormat="1" x14ac:dyDescent="0.2">
      <c r="A108" s="569"/>
      <c r="B108" s="671"/>
      <c r="C108" s="665" t="s">
        <v>717</v>
      </c>
      <c r="D108" s="666"/>
      <c r="E108" s="666"/>
      <c r="F108" s="563"/>
      <c r="G108" s="563"/>
      <c r="H108" s="563"/>
      <c r="I108" s="563"/>
      <c r="J108" s="566"/>
      <c r="K108" s="563"/>
      <c r="L108" s="566"/>
      <c r="M108" s="565"/>
      <c r="N108" s="564"/>
    </row>
    <row r="109" spans="1:30" s="536" customFormat="1" ht="22.5" x14ac:dyDescent="0.2">
      <c r="A109" s="575" t="s">
        <v>193</v>
      </c>
      <c r="B109" s="670" t="s">
        <v>1380</v>
      </c>
      <c r="C109" s="1823" t="s">
        <v>1381</v>
      </c>
      <c r="D109" s="1823"/>
      <c r="E109" s="1823"/>
      <c r="F109" s="573" t="s">
        <v>509</v>
      </c>
      <c r="G109" s="573"/>
      <c r="H109" s="573"/>
      <c r="I109" s="573" t="s">
        <v>4764</v>
      </c>
      <c r="J109" s="572"/>
      <c r="K109" s="573"/>
      <c r="L109" s="572"/>
      <c r="M109" s="571"/>
      <c r="N109" s="570"/>
      <c r="W109" s="537" t="s">
        <v>1381</v>
      </c>
    </row>
    <row r="110" spans="1:30" s="536" customFormat="1" x14ac:dyDescent="0.2">
      <c r="A110" s="676"/>
      <c r="B110" s="664"/>
      <c r="C110" s="1822" t="s">
        <v>4765</v>
      </c>
      <c r="D110" s="1822"/>
      <c r="E110" s="1822"/>
      <c r="F110" s="1822"/>
      <c r="G110" s="1822"/>
      <c r="H110" s="1822"/>
      <c r="I110" s="1822"/>
      <c r="J110" s="1822"/>
      <c r="K110" s="1822"/>
      <c r="L110" s="1822"/>
      <c r="M110" s="1822"/>
      <c r="N110" s="1827"/>
      <c r="X110" s="537" t="s">
        <v>4765</v>
      </c>
    </row>
    <row r="111" spans="1:30" s="536" customFormat="1" ht="33.75" x14ac:dyDescent="0.2">
      <c r="A111" s="609"/>
      <c r="B111" s="552" t="s">
        <v>310</v>
      </c>
      <c r="C111" s="1822" t="s">
        <v>311</v>
      </c>
      <c r="D111" s="1822"/>
      <c r="E111" s="1822"/>
      <c r="F111" s="1822"/>
      <c r="G111" s="1822"/>
      <c r="H111" s="1822"/>
      <c r="I111" s="1822"/>
      <c r="J111" s="1822"/>
      <c r="K111" s="1822"/>
      <c r="L111" s="1822"/>
      <c r="M111" s="1822"/>
      <c r="N111" s="1827"/>
      <c r="Y111" s="537" t="s">
        <v>311</v>
      </c>
    </row>
    <row r="112" spans="1:30" s="536" customFormat="1" x14ac:dyDescent="0.2">
      <c r="A112" s="605"/>
      <c r="B112" s="552" t="s">
        <v>185</v>
      </c>
      <c r="C112" s="1822" t="s">
        <v>312</v>
      </c>
      <c r="D112" s="1822"/>
      <c r="E112" s="1822"/>
      <c r="F112" s="562"/>
      <c r="G112" s="562"/>
      <c r="H112" s="562"/>
      <c r="I112" s="562"/>
      <c r="J112" s="604">
        <v>1526.87</v>
      </c>
      <c r="K112" s="562" t="s">
        <v>313</v>
      </c>
      <c r="L112" s="604">
        <v>4093.92</v>
      </c>
      <c r="M112" s="603"/>
      <c r="N112" s="602"/>
      <c r="Z112" s="537" t="s">
        <v>312</v>
      </c>
    </row>
    <row r="113" spans="1:30" s="536" customFormat="1" x14ac:dyDescent="0.2">
      <c r="A113" s="605"/>
      <c r="B113" s="552" t="s">
        <v>186</v>
      </c>
      <c r="C113" s="1822" t="s">
        <v>344</v>
      </c>
      <c r="D113" s="1822"/>
      <c r="E113" s="1822"/>
      <c r="F113" s="562"/>
      <c r="G113" s="562"/>
      <c r="H113" s="562"/>
      <c r="I113" s="562"/>
      <c r="J113" s="604">
        <v>2518.58</v>
      </c>
      <c r="K113" s="562" t="s">
        <v>313</v>
      </c>
      <c r="L113" s="604">
        <v>6752.94</v>
      </c>
      <c r="M113" s="603"/>
      <c r="N113" s="602"/>
      <c r="Z113" s="537" t="s">
        <v>344</v>
      </c>
    </row>
    <row r="114" spans="1:30" s="536" customFormat="1" x14ac:dyDescent="0.2">
      <c r="A114" s="605"/>
      <c r="B114" s="552" t="s">
        <v>187</v>
      </c>
      <c r="C114" s="1822" t="s">
        <v>345</v>
      </c>
      <c r="D114" s="1822"/>
      <c r="E114" s="1822"/>
      <c r="F114" s="562"/>
      <c r="G114" s="562"/>
      <c r="H114" s="562"/>
      <c r="I114" s="562"/>
      <c r="J114" s="604">
        <v>382.14</v>
      </c>
      <c r="K114" s="562" t="s">
        <v>313</v>
      </c>
      <c r="L114" s="604">
        <v>1024.6099999999999</v>
      </c>
      <c r="M114" s="603"/>
      <c r="N114" s="602"/>
      <c r="Z114" s="537" t="s">
        <v>345</v>
      </c>
    </row>
    <row r="115" spans="1:30" s="536" customFormat="1" x14ac:dyDescent="0.2">
      <c r="A115" s="605"/>
      <c r="B115" s="552" t="s">
        <v>188</v>
      </c>
      <c r="C115" s="1822" t="s">
        <v>475</v>
      </c>
      <c r="D115" s="1822"/>
      <c r="E115" s="1822"/>
      <c r="F115" s="562"/>
      <c r="G115" s="562"/>
      <c r="H115" s="562"/>
      <c r="I115" s="562"/>
      <c r="J115" s="604">
        <v>488.42</v>
      </c>
      <c r="K115" s="562"/>
      <c r="L115" s="604">
        <v>1047.6600000000001</v>
      </c>
      <c r="M115" s="603"/>
      <c r="N115" s="602"/>
      <c r="Z115" s="537" t="s">
        <v>475</v>
      </c>
    </row>
    <row r="116" spans="1:30" s="536" customFormat="1" x14ac:dyDescent="0.2">
      <c r="A116" s="676"/>
      <c r="B116" s="677" t="s">
        <v>639</v>
      </c>
      <c r="C116" s="1829" t="s">
        <v>640</v>
      </c>
      <c r="D116" s="1829"/>
      <c r="E116" s="1829"/>
      <c r="F116" s="678" t="s">
        <v>641</v>
      </c>
      <c r="G116" s="678" t="s">
        <v>1384</v>
      </c>
      <c r="H116" s="678"/>
      <c r="I116" s="678" t="s">
        <v>4766</v>
      </c>
      <c r="J116" s="552"/>
      <c r="K116" s="562"/>
      <c r="L116" s="604"/>
      <c r="M116" s="562"/>
      <c r="N116" s="679"/>
      <c r="AA116" s="537" t="s">
        <v>640</v>
      </c>
    </row>
    <row r="117" spans="1:30" s="536" customFormat="1" x14ac:dyDescent="0.2">
      <c r="A117" s="676"/>
      <c r="B117" s="677" t="s">
        <v>1272</v>
      </c>
      <c r="C117" s="1829" t="s">
        <v>1273</v>
      </c>
      <c r="D117" s="1829"/>
      <c r="E117" s="1829"/>
      <c r="F117" s="678" t="s">
        <v>694</v>
      </c>
      <c r="G117" s="678" t="s">
        <v>1386</v>
      </c>
      <c r="H117" s="678"/>
      <c r="I117" s="678" t="s">
        <v>4767</v>
      </c>
      <c r="J117" s="552"/>
      <c r="K117" s="562"/>
      <c r="L117" s="604"/>
      <c r="M117" s="562"/>
      <c r="N117" s="679"/>
      <c r="AA117" s="537" t="s">
        <v>1273</v>
      </c>
    </row>
    <row r="118" spans="1:30" s="536" customFormat="1" x14ac:dyDescent="0.2">
      <c r="A118" s="605"/>
      <c r="B118" s="552"/>
      <c r="C118" s="1822" t="s">
        <v>314</v>
      </c>
      <c r="D118" s="1822"/>
      <c r="E118" s="1822"/>
      <c r="F118" s="562" t="s">
        <v>315</v>
      </c>
      <c r="G118" s="562" t="s">
        <v>1388</v>
      </c>
      <c r="H118" s="562" t="s">
        <v>313</v>
      </c>
      <c r="I118" s="562" t="s">
        <v>4768</v>
      </c>
      <c r="J118" s="604"/>
      <c r="K118" s="562"/>
      <c r="L118" s="604"/>
      <c r="M118" s="603"/>
      <c r="N118" s="602"/>
      <c r="AB118" s="537" t="s">
        <v>314</v>
      </c>
    </row>
    <row r="119" spans="1:30" s="536" customFormat="1" x14ac:dyDescent="0.2">
      <c r="A119" s="605"/>
      <c r="B119" s="552"/>
      <c r="C119" s="1822" t="s">
        <v>348</v>
      </c>
      <c r="D119" s="1822"/>
      <c r="E119" s="1822"/>
      <c r="F119" s="562" t="s">
        <v>315</v>
      </c>
      <c r="G119" s="562" t="s">
        <v>1390</v>
      </c>
      <c r="H119" s="562" t="s">
        <v>313</v>
      </c>
      <c r="I119" s="562" t="s">
        <v>4769</v>
      </c>
      <c r="J119" s="604"/>
      <c r="K119" s="562"/>
      <c r="L119" s="604"/>
      <c r="M119" s="603"/>
      <c r="N119" s="602"/>
      <c r="AB119" s="537" t="s">
        <v>348</v>
      </c>
    </row>
    <row r="120" spans="1:30" s="536" customFormat="1" x14ac:dyDescent="0.2">
      <c r="A120" s="605"/>
      <c r="B120" s="552"/>
      <c r="C120" s="1828" t="s">
        <v>318</v>
      </c>
      <c r="D120" s="1828"/>
      <c r="E120" s="1828"/>
      <c r="F120" s="608"/>
      <c r="G120" s="608"/>
      <c r="H120" s="608"/>
      <c r="I120" s="608"/>
      <c r="J120" s="607">
        <v>4533.87</v>
      </c>
      <c r="K120" s="608"/>
      <c r="L120" s="607">
        <v>11894.52</v>
      </c>
      <c r="M120" s="601"/>
      <c r="N120" s="606"/>
      <c r="AC120" s="537" t="s">
        <v>318</v>
      </c>
    </row>
    <row r="121" spans="1:30" s="536" customFormat="1" x14ac:dyDescent="0.2">
      <c r="A121" s="605"/>
      <c r="B121" s="552"/>
      <c r="C121" s="1822" t="s">
        <v>319</v>
      </c>
      <c r="D121" s="1822"/>
      <c r="E121" s="1822"/>
      <c r="F121" s="562"/>
      <c r="G121" s="562"/>
      <c r="H121" s="562"/>
      <c r="I121" s="562"/>
      <c r="J121" s="604"/>
      <c r="K121" s="562"/>
      <c r="L121" s="604">
        <v>5118.53</v>
      </c>
      <c r="M121" s="603"/>
      <c r="N121" s="602"/>
      <c r="AB121" s="537" t="s">
        <v>319</v>
      </c>
    </row>
    <row r="122" spans="1:30" s="536" customFormat="1" ht="33.75" x14ac:dyDescent="0.2">
      <c r="A122" s="605"/>
      <c r="B122" s="552" t="s">
        <v>686</v>
      </c>
      <c r="C122" s="1822" t="s">
        <v>687</v>
      </c>
      <c r="D122" s="1822"/>
      <c r="E122" s="1822"/>
      <c r="F122" s="562" t="s">
        <v>322</v>
      </c>
      <c r="G122" s="562" t="s">
        <v>680</v>
      </c>
      <c r="H122" s="562"/>
      <c r="I122" s="562" t="s">
        <v>680</v>
      </c>
      <c r="J122" s="604"/>
      <c r="K122" s="562"/>
      <c r="L122" s="604">
        <v>5220.8999999999996</v>
      </c>
      <c r="M122" s="603"/>
      <c r="N122" s="602"/>
      <c r="AB122" s="537" t="s">
        <v>687</v>
      </c>
    </row>
    <row r="123" spans="1:30" s="536" customFormat="1" ht="33.75" x14ac:dyDescent="0.2">
      <c r="A123" s="605"/>
      <c r="B123" s="552" t="s">
        <v>688</v>
      </c>
      <c r="C123" s="1822" t="s">
        <v>689</v>
      </c>
      <c r="D123" s="1822"/>
      <c r="E123" s="1822"/>
      <c r="F123" s="562" t="s">
        <v>322</v>
      </c>
      <c r="G123" s="562" t="s">
        <v>690</v>
      </c>
      <c r="H123" s="562"/>
      <c r="I123" s="562" t="s">
        <v>690</v>
      </c>
      <c r="J123" s="604"/>
      <c r="K123" s="562"/>
      <c r="L123" s="604">
        <v>2968.75</v>
      </c>
      <c r="M123" s="603"/>
      <c r="N123" s="602"/>
      <c r="AB123" s="537" t="s">
        <v>689</v>
      </c>
    </row>
    <row r="124" spans="1:30" s="536" customFormat="1" x14ac:dyDescent="0.2">
      <c r="A124" s="569"/>
      <c r="B124" s="671"/>
      <c r="C124" s="1823" t="s">
        <v>327</v>
      </c>
      <c r="D124" s="1823"/>
      <c r="E124" s="1823"/>
      <c r="F124" s="573"/>
      <c r="G124" s="573"/>
      <c r="H124" s="573"/>
      <c r="I124" s="573"/>
      <c r="J124" s="572"/>
      <c r="K124" s="573"/>
      <c r="L124" s="572">
        <v>20084.169999999998</v>
      </c>
      <c r="M124" s="601"/>
      <c r="N124" s="570"/>
      <c r="AD124" s="537" t="s">
        <v>327</v>
      </c>
    </row>
    <row r="125" spans="1:30" s="536" customFormat="1" ht="22.5" x14ac:dyDescent="0.2">
      <c r="A125" s="575" t="s">
        <v>194</v>
      </c>
      <c r="B125" s="670" t="s">
        <v>2117</v>
      </c>
      <c r="C125" s="1823" t="s">
        <v>2118</v>
      </c>
      <c r="D125" s="1823"/>
      <c r="E125" s="1823"/>
      <c r="F125" s="573" t="s">
        <v>641</v>
      </c>
      <c r="G125" s="573"/>
      <c r="H125" s="573"/>
      <c r="I125" s="573" t="s">
        <v>4770</v>
      </c>
      <c r="J125" s="572">
        <v>790</v>
      </c>
      <c r="K125" s="573"/>
      <c r="L125" s="572">
        <v>171998.8</v>
      </c>
      <c r="M125" s="571"/>
      <c r="N125" s="570"/>
      <c r="W125" s="537" t="s">
        <v>2118</v>
      </c>
    </row>
    <row r="126" spans="1:30" s="536" customFormat="1" x14ac:dyDescent="0.2">
      <c r="A126" s="569"/>
      <c r="B126" s="671"/>
      <c r="C126" s="665" t="s">
        <v>717</v>
      </c>
      <c r="D126" s="666"/>
      <c r="E126" s="666"/>
      <c r="F126" s="563"/>
      <c r="G126" s="563"/>
      <c r="H126" s="563"/>
      <c r="I126" s="563"/>
      <c r="J126" s="566"/>
      <c r="K126" s="563"/>
      <c r="L126" s="566"/>
      <c r="M126" s="565"/>
      <c r="N126" s="564"/>
    </row>
    <row r="127" spans="1:30" s="536" customFormat="1" ht="33.75" x14ac:dyDescent="0.2">
      <c r="A127" s="575" t="s">
        <v>195</v>
      </c>
      <c r="B127" s="670" t="s">
        <v>657</v>
      </c>
      <c r="C127" s="1823" t="s">
        <v>4771</v>
      </c>
      <c r="D127" s="1823"/>
      <c r="E127" s="1823"/>
      <c r="F127" s="573" t="s">
        <v>641</v>
      </c>
      <c r="G127" s="573"/>
      <c r="H127" s="573"/>
      <c r="I127" s="573" t="s">
        <v>4772</v>
      </c>
      <c r="J127" s="572">
        <v>21.26</v>
      </c>
      <c r="K127" s="573"/>
      <c r="L127" s="572">
        <v>4560.2700000000004</v>
      </c>
      <c r="M127" s="571"/>
      <c r="N127" s="570"/>
      <c r="W127" s="537" t="s">
        <v>4771</v>
      </c>
    </row>
    <row r="128" spans="1:30" s="536" customFormat="1" x14ac:dyDescent="0.2">
      <c r="A128" s="569"/>
      <c r="B128" s="671"/>
      <c r="C128" s="665" t="s">
        <v>717</v>
      </c>
      <c r="D128" s="666"/>
      <c r="E128" s="666"/>
      <c r="F128" s="563"/>
      <c r="G128" s="563"/>
      <c r="H128" s="563"/>
      <c r="I128" s="563"/>
      <c r="J128" s="566"/>
      <c r="K128" s="563"/>
      <c r="L128" s="566"/>
      <c r="M128" s="565"/>
      <c r="N128" s="564"/>
    </row>
    <row r="129" spans="1:33" s="536" customFormat="1" x14ac:dyDescent="0.2">
      <c r="A129" s="676"/>
      <c r="B129" s="664"/>
      <c r="C129" s="1822" t="s">
        <v>4773</v>
      </c>
      <c r="D129" s="1822"/>
      <c r="E129" s="1822"/>
      <c r="F129" s="1822"/>
      <c r="G129" s="1822"/>
      <c r="H129" s="1822"/>
      <c r="I129" s="1822"/>
      <c r="J129" s="1822"/>
      <c r="K129" s="1822"/>
      <c r="L129" s="1822"/>
      <c r="M129" s="1822"/>
      <c r="N129" s="1827"/>
      <c r="AE129" s="537" t="s">
        <v>4773</v>
      </c>
    </row>
    <row r="130" spans="1:33" s="536" customFormat="1" ht="22.5" x14ac:dyDescent="0.2">
      <c r="A130" s="575" t="s">
        <v>196</v>
      </c>
      <c r="B130" s="670" t="s">
        <v>4774</v>
      </c>
      <c r="C130" s="1823" t="s">
        <v>4775</v>
      </c>
      <c r="D130" s="1823"/>
      <c r="E130" s="1823"/>
      <c r="F130" s="573" t="s">
        <v>694</v>
      </c>
      <c r="G130" s="573"/>
      <c r="H130" s="573"/>
      <c r="I130" s="573" t="s">
        <v>4776</v>
      </c>
      <c r="J130" s="572">
        <v>5457.78</v>
      </c>
      <c r="K130" s="573"/>
      <c r="L130" s="572">
        <v>20825.8</v>
      </c>
      <c r="M130" s="571"/>
      <c r="N130" s="570"/>
      <c r="W130" s="537" t="s">
        <v>4775</v>
      </c>
    </row>
    <row r="131" spans="1:33" s="536" customFormat="1" x14ac:dyDescent="0.2">
      <c r="A131" s="569"/>
      <c r="B131" s="671"/>
      <c r="C131" s="665" t="s">
        <v>717</v>
      </c>
      <c r="D131" s="666"/>
      <c r="E131" s="666"/>
      <c r="F131" s="563"/>
      <c r="G131" s="563"/>
      <c r="H131" s="563"/>
      <c r="I131" s="563"/>
      <c r="J131" s="566"/>
      <c r="K131" s="563"/>
      <c r="L131" s="566"/>
      <c r="M131" s="565"/>
      <c r="N131" s="564"/>
    </row>
    <row r="132" spans="1:33" s="536" customFormat="1" x14ac:dyDescent="0.2">
      <c r="A132" s="676"/>
      <c r="B132" s="664"/>
      <c r="C132" s="1822" t="s">
        <v>4777</v>
      </c>
      <c r="D132" s="1822"/>
      <c r="E132" s="1822"/>
      <c r="F132" s="1822"/>
      <c r="G132" s="1822"/>
      <c r="H132" s="1822"/>
      <c r="I132" s="1822"/>
      <c r="J132" s="1822"/>
      <c r="K132" s="1822"/>
      <c r="L132" s="1822"/>
      <c r="M132" s="1822"/>
      <c r="N132" s="1827"/>
      <c r="X132" s="537" t="s">
        <v>4777</v>
      </c>
    </row>
    <row r="133" spans="1:33" s="536" customFormat="1" ht="22.5" x14ac:dyDescent="0.2">
      <c r="A133" s="575" t="s">
        <v>197</v>
      </c>
      <c r="B133" s="670" t="s">
        <v>4778</v>
      </c>
      <c r="C133" s="1823" t="s">
        <v>4779</v>
      </c>
      <c r="D133" s="1823"/>
      <c r="E133" s="1823"/>
      <c r="F133" s="573" t="s">
        <v>694</v>
      </c>
      <c r="G133" s="573"/>
      <c r="H133" s="573"/>
      <c r="I133" s="573" t="s">
        <v>4780</v>
      </c>
      <c r="J133" s="572">
        <v>5488.69</v>
      </c>
      <c r="K133" s="573"/>
      <c r="L133" s="572">
        <v>13137.73</v>
      </c>
      <c r="M133" s="571"/>
      <c r="N133" s="570"/>
      <c r="W133" s="537" t="s">
        <v>4779</v>
      </c>
    </row>
    <row r="134" spans="1:33" s="536" customFormat="1" x14ac:dyDescent="0.2">
      <c r="A134" s="569"/>
      <c r="B134" s="671"/>
      <c r="C134" s="665" t="s">
        <v>717</v>
      </c>
      <c r="D134" s="666"/>
      <c r="E134" s="666"/>
      <c r="F134" s="563"/>
      <c r="G134" s="563"/>
      <c r="H134" s="563"/>
      <c r="I134" s="563"/>
      <c r="J134" s="566"/>
      <c r="K134" s="563"/>
      <c r="L134" s="566"/>
      <c r="M134" s="565"/>
      <c r="N134" s="564"/>
    </row>
    <row r="135" spans="1:33" s="536" customFormat="1" x14ac:dyDescent="0.2">
      <c r="A135" s="676"/>
      <c r="B135" s="664"/>
      <c r="C135" s="1822" t="s">
        <v>4781</v>
      </c>
      <c r="D135" s="1822"/>
      <c r="E135" s="1822"/>
      <c r="F135" s="1822"/>
      <c r="G135" s="1822"/>
      <c r="H135" s="1822"/>
      <c r="I135" s="1822"/>
      <c r="J135" s="1822"/>
      <c r="K135" s="1822"/>
      <c r="L135" s="1822"/>
      <c r="M135" s="1822"/>
      <c r="N135" s="1827"/>
      <c r="X135" s="537" t="s">
        <v>4781</v>
      </c>
    </row>
    <row r="136" spans="1:33" s="536" customFormat="1" ht="22.5" x14ac:dyDescent="0.2">
      <c r="A136" s="575" t="s">
        <v>198</v>
      </c>
      <c r="B136" s="670" t="s">
        <v>4782</v>
      </c>
      <c r="C136" s="1823" t="s">
        <v>4783</v>
      </c>
      <c r="D136" s="1823"/>
      <c r="E136" s="1823"/>
      <c r="F136" s="573" t="s">
        <v>694</v>
      </c>
      <c r="G136" s="573"/>
      <c r="H136" s="573"/>
      <c r="I136" s="573" t="s">
        <v>4784</v>
      </c>
      <c r="J136" s="572">
        <v>5488.69</v>
      </c>
      <c r="K136" s="573"/>
      <c r="L136" s="572">
        <v>89279.03</v>
      </c>
      <c r="M136" s="571"/>
      <c r="N136" s="570"/>
      <c r="W136" s="537" t="s">
        <v>4783</v>
      </c>
    </row>
    <row r="137" spans="1:33" s="536" customFormat="1" x14ac:dyDescent="0.2">
      <c r="A137" s="569"/>
      <c r="B137" s="671"/>
      <c r="C137" s="665" t="s">
        <v>717</v>
      </c>
      <c r="D137" s="666"/>
      <c r="E137" s="666"/>
      <c r="F137" s="563"/>
      <c r="G137" s="563"/>
      <c r="H137" s="563"/>
      <c r="I137" s="563"/>
      <c r="J137" s="566"/>
      <c r="K137" s="563"/>
      <c r="L137" s="566"/>
      <c r="M137" s="565"/>
      <c r="N137" s="564"/>
    </row>
    <row r="138" spans="1:33" s="536" customFormat="1" x14ac:dyDescent="0.2">
      <c r="A138" s="676"/>
      <c r="B138" s="664"/>
      <c r="C138" s="1822" t="s">
        <v>4785</v>
      </c>
      <c r="D138" s="1822"/>
      <c r="E138" s="1822"/>
      <c r="F138" s="1822"/>
      <c r="G138" s="1822"/>
      <c r="H138" s="1822"/>
      <c r="I138" s="1822"/>
      <c r="J138" s="1822"/>
      <c r="K138" s="1822"/>
      <c r="L138" s="1822"/>
      <c r="M138" s="1822"/>
      <c r="N138" s="1827"/>
      <c r="X138" s="537" t="s">
        <v>4785</v>
      </c>
    </row>
    <row r="139" spans="1:33" s="536" customFormat="1" x14ac:dyDescent="0.2">
      <c r="A139" s="575" t="s">
        <v>199</v>
      </c>
      <c r="B139" s="670" t="s">
        <v>4786</v>
      </c>
      <c r="C139" s="1823" t="s">
        <v>4787</v>
      </c>
      <c r="D139" s="1823"/>
      <c r="E139" s="1823"/>
      <c r="F139" s="573" t="s">
        <v>694</v>
      </c>
      <c r="G139" s="573"/>
      <c r="H139" s="573"/>
      <c r="I139" s="573" t="s">
        <v>4788</v>
      </c>
      <c r="J139" s="572">
        <v>8200</v>
      </c>
      <c r="K139" s="573"/>
      <c r="L139" s="572">
        <v>11675.98</v>
      </c>
      <c r="M139" s="571"/>
      <c r="N139" s="570"/>
      <c r="W139" s="537" t="s">
        <v>4787</v>
      </c>
    </row>
    <row r="140" spans="1:33" s="536" customFormat="1" x14ac:dyDescent="0.2">
      <c r="A140" s="569"/>
      <c r="B140" s="671"/>
      <c r="C140" s="665" t="s">
        <v>717</v>
      </c>
      <c r="D140" s="666"/>
      <c r="E140" s="666"/>
      <c r="F140" s="563"/>
      <c r="G140" s="563"/>
      <c r="H140" s="563"/>
      <c r="I140" s="563"/>
      <c r="J140" s="566"/>
      <c r="K140" s="563"/>
      <c r="L140" s="566"/>
      <c r="M140" s="565"/>
      <c r="N140" s="564"/>
    </row>
    <row r="141" spans="1:33" s="536" customFormat="1" x14ac:dyDescent="0.2">
      <c r="A141" s="676"/>
      <c r="B141" s="664"/>
      <c r="C141" s="1822" t="s">
        <v>4789</v>
      </c>
      <c r="D141" s="1822"/>
      <c r="E141" s="1822"/>
      <c r="F141" s="1822"/>
      <c r="G141" s="1822"/>
      <c r="H141" s="1822"/>
      <c r="I141" s="1822"/>
      <c r="J141" s="1822"/>
      <c r="K141" s="1822"/>
      <c r="L141" s="1822"/>
      <c r="M141" s="1822"/>
      <c r="N141" s="1827"/>
      <c r="X141" s="537" t="s">
        <v>4789</v>
      </c>
    </row>
    <row r="142" spans="1:33" s="536" customFormat="1" ht="1.5" customHeight="1" x14ac:dyDescent="0.2">
      <c r="A142" s="563"/>
      <c r="B142" s="671"/>
      <c r="C142" s="671"/>
      <c r="D142" s="671"/>
      <c r="E142" s="671"/>
      <c r="F142" s="563"/>
      <c r="G142" s="563"/>
      <c r="H142" s="563"/>
      <c r="I142" s="563"/>
      <c r="J142" s="546"/>
      <c r="K142" s="563"/>
      <c r="L142" s="546"/>
      <c r="M142" s="562"/>
      <c r="N142" s="546"/>
    </row>
    <row r="143" spans="1:33" s="536" customFormat="1" x14ac:dyDescent="0.2">
      <c r="A143" s="557"/>
      <c r="B143" s="556"/>
      <c r="C143" s="1823" t="s">
        <v>4790</v>
      </c>
      <c r="D143" s="1823"/>
      <c r="E143" s="1823"/>
      <c r="F143" s="1823"/>
      <c r="G143" s="1823"/>
      <c r="H143" s="1823"/>
      <c r="I143" s="1823"/>
      <c r="J143" s="1823"/>
      <c r="K143" s="1823"/>
      <c r="L143" s="555"/>
      <c r="M143" s="554"/>
      <c r="N143" s="553"/>
      <c r="AF143" s="537" t="s">
        <v>4790</v>
      </c>
    </row>
    <row r="144" spans="1:33" s="536" customFormat="1" x14ac:dyDescent="0.2">
      <c r="A144" s="548"/>
      <c r="B144" s="552"/>
      <c r="C144" s="1822" t="s">
        <v>403</v>
      </c>
      <c r="D144" s="1822"/>
      <c r="E144" s="1822"/>
      <c r="F144" s="1822"/>
      <c r="G144" s="1822"/>
      <c r="H144" s="1822"/>
      <c r="I144" s="1822"/>
      <c r="J144" s="1822"/>
      <c r="K144" s="1822"/>
      <c r="L144" s="551">
        <v>385125.56</v>
      </c>
      <c r="M144" s="550"/>
      <c r="N144" s="549"/>
      <c r="AG144" s="537" t="s">
        <v>403</v>
      </c>
    </row>
    <row r="145" spans="1:34" s="536" customFormat="1" x14ac:dyDescent="0.2">
      <c r="A145" s="548"/>
      <c r="B145" s="552"/>
      <c r="C145" s="1822" t="s">
        <v>204</v>
      </c>
      <c r="D145" s="1822"/>
      <c r="E145" s="1822"/>
      <c r="F145" s="1822"/>
      <c r="G145" s="1822"/>
      <c r="H145" s="1822"/>
      <c r="I145" s="1822"/>
      <c r="J145" s="1822"/>
      <c r="K145" s="1822"/>
      <c r="L145" s="551"/>
      <c r="M145" s="550"/>
      <c r="N145" s="549"/>
      <c r="AG145" s="537" t="s">
        <v>204</v>
      </c>
    </row>
    <row r="146" spans="1:34" s="536" customFormat="1" x14ac:dyDescent="0.2">
      <c r="A146" s="548"/>
      <c r="B146" s="552"/>
      <c r="C146" s="1822" t="s">
        <v>404</v>
      </c>
      <c r="D146" s="1822"/>
      <c r="E146" s="1822"/>
      <c r="F146" s="1822"/>
      <c r="G146" s="1822"/>
      <c r="H146" s="1822"/>
      <c r="I146" s="1822"/>
      <c r="J146" s="1822"/>
      <c r="K146" s="1822"/>
      <c r="L146" s="551">
        <v>6834.78</v>
      </c>
      <c r="M146" s="550"/>
      <c r="N146" s="549"/>
      <c r="AG146" s="537" t="s">
        <v>404</v>
      </c>
    </row>
    <row r="147" spans="1:34" s="536" customFormat="1" x14ac:dyDescent="0.2">
      <c r="A147" s="548"/>
      <c r="B147" s="552"/>
      <c r="C147" s="1822" t="s">
        <v>405</v>
      </c>
      <c r="D147" s="1822"/>
      <c r="E147" s="1822"/>
      <c r="F147" s="1822"/>
      <c r="G147" s="1822"/>
      <c r="H147" s="1822"/>
      <c r="I147" s="1822"/>
      <c r="J147" s="1822"/>
      <c r="K147" s="1822"/>
      <c r="L147" s="551">
        <v>8392.2199999999993</v>
      </c>
      <c r="M147" s="550"/>
      <c r="N147" s="549"/>
      <c r="AG147" s="537" t="s">
        <v>405</v>
      </c>
    </row>
    <row r="148" spans="1:34" s="536" customFormat="1" x14ac:dyDescent="0.2">
      <c r="A148" s="548"/>
      <c r="B148" s="552"/>
      <c r="C148" s="1822" t="s">
        <v>406</v>
      </c>
      <c r="D148" s="1822"/>
      <c r="E148" s="1822"/>
      <c r="F148" s="1822"/>
      <c r="G148" s="1822"/>
      <c r="H148" s="1822"/>
      <c r="I148" s="1822"/>
      <c r="J148" s="1822"/>
      <c r="K148" s="1822"/>
      <c r="L148" s="551">
        <v>1299.43</v>
      </c>
      <c r="M148" s="550"/>
      <c r="N148" s="549"/>
      <c r="AG148" s="537" t="s">
        <v>406</v>
      </c>
    </row>
    <row r="149" spans="1:34" s="536" customFormat="1" x14ac:dyDescent="0.2">
      <c r="A149" s="548"/>
      <c r="B149" s="552"/>
      <c r="C149" s="1822" t="s">
        <v>480</v>
      </c>
      <c r="D149" s="1822"/>
      <c r="E149" s="1822"/>
      <c r="F149" s="1822"/>
      <c r="G149" s="1822"/>
      <c r="H149" s="1822"/>
      <c r="I149" s="1822"/>
      <c r="J149" s="1822"/>
      <c r="K149" s="1822"/>
      <c r="L149" s="551">
        <v>369898.56</v>
      </c>
      <c r="M149" s="550"/>
      <c r="N149" s="549"/>
      <c r="AG149" s="537" t="s">
        <v>480</v>
      </c>
    </row>
    <row r="150" spans="1:34" s="536" customFormat="1" x14ac:dyDescent="0.2">
      <c r="A150" s="548"/>
      <c r="B150" s="552" t="s">
        <v>185</v>
      </c>
      <c r="C150" s="1822" t="s">
        <v>407</v>
      </c>
      <c r="D150" s="1822"/>
      <c r="E150" s="1822"/>
      <c r="F150" s="1822"/>
      <c r="G150" s="1822"/>
      <c r="H150" s="1822"/>
      <c r="I150" s="1822"/>
      <c r="J150" s="1822"/>
      <c r="K150" s="1822"/>
      <c r="L150" s="551">
        <v>398547.57</v>
      </c>
      <c r="M150" s="550"/>
      <c r="N150" s="549"/>
      <c r="AG150" s="537" t="s">
        <v>407</v>
      </c>
    </row>
    <row r="151" spans="1:34" s="536" customFormat="1" x14ac:dyDescent="0.2">
      <c r="A151" s="548"/>
      <c r="B151" s="552"/>
      <c r="C151" s="1822" t="s">
        <v>204</v>
      </c>
      <c r="D151" s="1822"/>
      <c r="E151" s="1822"/>
      <c r="F151" s="1822"/>
      <c r="G151" s="1822"/>
      <c r="H151" s="1822"/>
      <c r="I151" s="1822"/>
      <c r="J151" s="1822"/>
      <c r="K151" s="1822"/>
      <c r="L151" s="551"/>
      <c r="M151" s="550"/>
      <c r="N151" s="549"/>
      <c r="AG151" s="537" t="s">
        <v>204</v>
      </c>
    </row>
    <row r="152" spans="1:34" s="536" customFormat="1" x14ac:dyDescent="0.2">
      <c r="A152" s="548"/>
      <c r="B152" s="552"/>
      <c r="C152" s="1822" t="s">
        <v>546</v>
      </c>
      <c r="D152" s="1822"/>
      <c r="E152" s="1822"/>
      <c r="F152" s="1822"/>
      <c r="G152" s="1822"/>
      <c r="H152" s="1822"/>
      <c r="I152" s="1822"/>
      <c r="J152" s="1822"/>
      <c r="K152" s="1822"/>
      <c r="L152" s="551">
        <v>6834.78</v>
      </c>
      <c r="M152" s="550"/>
      <c r="N152" s="549"/>
      <c r="AG152" s="537" t="s">
        <v>546</v>
      </c>
    </row>
    <row r="153" spans="1:34" s="536" customFormat="1" x14ac:dyDescent="0.2">
      <c r="A153" s="548"/>
      <c r="B153" s="552"/>
      <c r="C153" s="1822" t="s">
        <v>442</v>
      </c>
      <c r="D153" s="1822"/>
      <c r="E153" s="1822"/>
      <c r="F153" s="1822"/>
      <c r="G153" s="1822"/>
      <c r="H153" s="1822"/>
      <c r="I153" s="1822"/>
      <c r="J153" s="1822"/>
      <c r="K153" s="1822"/>
      <c r="L153" s="551">
        <v>8392.2199999999993</v>
      </c>
      <c r="M153" s="550"/>
      <c r="N153" s="549"/>
      <c r="AG153" s="537" t="s">
        <v>442</v>
      </c>
    </row>
    <row r="154" spans="1:34" s="536" customFormat="1" x14ac:dyDescent="0.2">
      <c r="A154" s="548"/>
      <c r="B154" s="552"/>
      <c r="C154" s="1822" t="s">
        <v>547</v>
      </c>
      <c r="D154" s="1822"/>
      <c r="E154" s="1822"/>
      <c r="F154" s="1822"/>
      <c r="G154" s="1822"/>
      <c r="H154" s="1822"/>
      <c r="I154" s="1822"/>
      <c r="J154" s="1822"/>
      <c r="K154" s="1822"/>
      <c r="L154" s="551">
        <v>369898.56</v>
      </c>
      <c r="M154" s="550"/>
      <c r="N154" s="549"/>
      <c r="AG154" s="537" t="s">
        <v>547</v>
      </c>
    </row>
    <row r="155" spans="1:34" s="536" customFormat="1" x14ac:dyDescent="0.2">
      <c r="A155" s="548"/>
      <c r="B155" s="552"/>
      <c r="C155" s="1822" t="s">
        <v>443</v>
      </c>
      <c r="D155" s="1822"/>
      <c r="E155" s="1822"/>
      <c r="F155" s="1822"/>
      <c r="G155" s="1822"/>
      <c r="H155" s="1822"/>
      <c r="I155" s="1822"/>
      <c r="J155" s="1822"/>
      <c r="K155" s="1822"/>
      <c r="L155" s="551">
        <v>8516</v>
      </c>
      <c r="M155" s="550"/>
      <c r="N155" s="549"/>
      <c r="AG155" s="537" t="s">
        <v>443</v>
      </c>
    </row>
    <row r="156" spans="1:34" s="536" customFormat="1" x14ac:dyDescent="0.2">
      <c r="A156" s="548"/>
      <c r="B156" s="552"/>
      <c r="C156" s="1822" t="s">
        <v>444</v>
      </c>
      <c r="D156" s="1822"/>
      <c r="E156" s="1822"/>
      <c r="F156" s="1822"/>
      <c r="G156" s="1822"/>
      <c r="H156" s="1822"/>
      <c r="I156" s="1822"/>
      <c r="J156" s="1822"/>
      <c r="K156" s="1822"/>
      <c r="L156" s="551">
        <v>4906.01</v>
      </c>
      <c r="M156" s="550"/>
      <c r="N156" s="549"/>
      <c r="AG156" s="537" t="s">
        <v>444</v>
      </c>
    </row>
    <row r="157" spans="1:34" s="536" customFormat="1" x14ac:dyDescent="0.2">
      <c r="A157" s="548"/>
      <c r="B157" s="552"/>
      <c r="C157" s="1822" t="s">
        <v>415</v>
      </c>
      <c r="D157" s="1822"/>
      <c r="E157" s="1822"/>
      <c r="F157" s="1822"/>
      <c r="G157" s="1822"/>
      <c r="H157" s="1822"/>
      <c r="I157" s="1822"/>
      <c r="J157" s="1822"/>
      <c r="K157" s="1822"/>
      <c r="L157" s="551">
        <v>8134.21</v>
      </c>
      <c r="M157" s="550"/>
      <c r="N157" s="549"/>
      <c r="AG157" s="537" t="s">
        <v>415</v>
      </c>
    </row>
    <row r="158" spans="1:34" s="536" customFormat="1" x14ac:dyDescent="0.2">
      <c r="A158" s="548"/>
      <c r="B158" s="552"/>
      <c r="C158" s="1822" t="s">
        <v>416</v>
      </c>
      <c r="D158" s="1822"/>
      <c r="E158" s="1822"/>
      <c r="F158" s="1822"/>
      <c r="G158" s="1822"/>
      <c r="H158" s="1822"/>
      <c r="I158" s="1822"/>
      <c r="J158" s="1822"/>
      <c r="K158" s="1822"/>
      <c r="L158" s="551">
        <v>8516</v>
      </c>
      <c r="M158" s="550"/>
      <c r="N158" s="549"/>
      <c r="AG158" s="537" t="s">
        <v>416</v>
      </c>
    </row>
    <row r="159" spans="1:34" s="536" customFormat="1" x14ac:dyDescent="0.2">
      <c r="A159" s="548"/>
      <c r="B159" s="552"/>
      <c r="C159" s="1822" t="s">
        <v>417</v>
      </c>
      <c r="D159" s="1822"/>
      <c r="E159" s="1822"/>
      <c r="F159" s="1822"/>
      <c r="G159" s="1822"/>
      <c r="H159" s="1822"/>
      <c r="I159" s="1822"/>
      <c r="J159" s="1822"/>
      <c r="K159" s="1822"/>
      <c r="L159" s="551">
        <v>4906.01</v>
      </c>
      <c r="M159" s="550"/>
      <c r="N159" s="549"/>
      <c r="AG159" s="537" t="s">
        <v>417</v>
      </c>
    </row>
    <row r="160" spans="1:34" s="536" customFormat="1" x14ac:dyDescent="0.2">
      <c r="A160" s="548"/>
      <c r="B160" s="546"/>
      <c r="C160" s="1819" t="s">
        <v>4791</v>
      </c>
      <c r="D160" s="1819"/>
      <c r="E160" s="1819"/>
      <c r="F160" s="1819"/>
      <c r="G160" s="1819"/>
      <c r="H160" s="1819"/>
      <c r="I160" s="1819"/>
      <c r="J160" s="1819"/>
      <c r="K160" s="1819"/>
      <c r="L160" s="544">
        <v>398547.57</v>
      </c>
      <c r="M160" s="543"/>
      <c r="N160" s="681"/>
      <c r="AH160" s="537" t="s">
        <v>4791</v>
      </c>
    </row>
    <row r="161" spans="1:29" s="536" customFormat="1" ht="12" x14ac:dyDescent="0.2">
      <c r="A161" s="1824" t="s">
        <v>4792</v>
      </c>
      <c r="B161" s="1825"/>
      <c r="C161" s="1825"/>
      <c r="D161" s="1825"/>
      <c r="E161" s="1825"/>
      <c r="F161" s="1825"/>
      <c r="G161" s="1825"/>
      <c r="H161" s="1825"/>
      <c r="I161" s="1825"/>
      <c r="J161" s="1825"/>
      <c r="K161" s="1825"/>
      <c r="L161" s="1825"/>
      <c r="M161" s="1825"/>
      <c r="N161" s="1826"/>
      <c r="V161" s="537" t="s">
        <v>4792</v>
      </c>
    </row>
    <row r="162" spans="1:29" s="536" customFormat="1" ht="33.75" x14ac:dyDescent="0.2">
      <c r="A162" s="575" t="s">
        <v>200</v>
      </c>
      <c r="B162" s="670" t="s">
        <v>4793</v>
      </c>
      <c r="C162" s="1823" t="s">
        <v>4794</v>
      </c>
      <c r="D162" s="1823"/>
      <c r="E162" s="1823"/>
      <c r="F162" s="573" t="s">
        <v>509</v>
      </c>
      <c r="G162" s="573"/>
      <c r="H162" s="573"/>
      <c r="I162" s="573" t="s">
        <v>4795</v>
      </c>
      <c r="J162" s="572"/>
      <c r="K162" s="573"/>
      <c r="L162" s="572"/>
      <c r="M162" s="571"/>
      <c r="N162" s="570"/>
      <c r="W162" s="537" t="s">
        <v>4794</v>
      </c>
    </row>
    <row r="163" spans="1:29" s="536" customFormat="1" x14ac:dyDescent="0.2">
      <c r="A163" s="676"/>
      <c r="B163" s="664"/>
      <c r="C163" s="1822" t="s">
        <v>4796</v>
      </c>
      <c r="D163" s="1822"/>
      <c r="E163" s="1822"/>
      <c r="F163" s="1822"/>
      <c r="G163" s="1822"/>
      <c r="H163" s="1822"/>
      <c r="I163" s="1822"/>
      <c r="J163" s="1822"/>
      <c r="K163" s="1822"/>
      <c r="L163" s="1822"/>
      <c r="M163" s="1822"/>
      <c r="N163" s="1827"/>
      <c r="X163" s="537" t="s">
        <v>4796</v>
      </c>
    </row>
    <row r="164" spans="1:29" s="536" customFormat="1" ht="33.75" x14ac:dyDescent="0.2">
      <c r="A164" s="609"/>
      <c r="B164" s="552" t="s">
        <v>310</v>
      </c>
      <c r="C164" s="1822" t="s">
        <v>311</v>
      </c>
      <c r="D164" s="1822"/>
      <c r="E164" s="1822"/>
      <c r="F164" s="1822"/>
      <c r="G164" s="1822"/>
      <c r="H164" s="1822"/>
      <c r="I164" s="1822"/>
      <c r="J164" s="1822"/>
      <c r="K164" s="1822"/>
      <c r="L164" s="1822"/>
      <c r="M164" s="1822"/>
      <c r="N164" s="1827"/>
      <c r="Y164" s="537" t="s">
        <v>311</v>
      </c>
    </row>
    <row r="165" spans="1:29" s="536" customFormat="1" x14ac:dyDescent="0.2">
      <c r="A165" s="605"/>
      <c r="B165" s="552" t="s">
        <v>185</v>
      </c>
      <c r="C165" s="1822" t="s">
        <v>312</v>
      </c>
      <c r="D165" s="1822"/>
      <c r="E165" s="1822"/>
      <c r="F165" s="562"/>
      <c r="G165" s="562"/>
      <c r="H165" s="562"/>
      <c r="I165" s="562"/>
      <c r="J165" s="604">
        <v>13284.8</v>
      </c>
      <c r="K165" s="562" t="s">
        <v>313</v>
      </c>
      <c r="L165" s="604">
        <v>383.6</v>
      </c>
      <c r="M165" s="603"/>
      <c r="N165" s="602"/>
      <c r="Z165" s="537" t="s">
        <v>312</v>
      </c>
    </row>
    <row r="166" spans="1:29" s="536" customFormat="1" x14ac:dyDescent="0.2">
      <c r="A166" s="605"/>
      <c r="B166" s="552" t="s">
        <v>186</v>
      </c>
      <c r="C166" s="1822" t="s">
        <v>344</v>
      </c>
      <c r="D166" s="1822"/>
      <c r="E166" s="1822"/>
      <c r="F166" s="562"/>
      <c r="G166" s="562"/>
      <c r="H166" s="562"/>
      <c r="I166" s="562"/>
      <c r="J166" s="604">
        <v>10590.89</v>
      </c>
      <c r="K166" s="562" t="s">
        <v>313</v>
      </c>
      <c r="L166" s="604">
        <v>305.81</v>
      </c>
      <c r="M166" s="603"/>
      <c r="N166" s="602"/>
      <c r="Z166" s="537" t="s">
        <v>344</v>
      </c>
    </row>
    <row r="167" spans="1:29" s="536" customFormat="1" x14ac:dyDescent="0.2">
      <c r="A167" s="605"/>
      <c r="B167" s="552" t="s">
        <v>187</v>
      </c>
      <c r="C167" s="1822" t="s">
        <v>345</v>
      </c>
      <c r="D167" s="1822"/>
      <c r="E167" s="1822"/>
      <c r="F167" s="562"/>
      <c r="G167" s="562"/>
      <c r="H167" s="562"/>
      <c r="I167" s="562"/>
      <c r="J167" s="604">
        <v>1402.44</v>
      </c>
      <c r="K167" s="562" t="s">
        <v>313</v>
      </c>
      <c r="L167" s="604">
        <v>40.5</v>
      </c>
      <c r="M167" s="603"/>
      <c r="N167" s="602"/>
      <c r="Z167" s="537" t="s">
        <v>345</v>
      </c>
    </row>
    <row r="168" spans="1:29" s="536" customFormat="1" x14ac:dyDescent="0.2">
      <c r="A168" s="605"/>
      <c r="B168" s="552" t="s">
        <v>188</v>
      </c>
      <c r="C168" s="1822" t="s">
        <v>475</v>
      </c>
      <c r="D168" s="1822"/>
      <c r="E168" s="1822"/>
      <c r="F168" s="562"/>
      <c r="G168" s="562"/>
      <c r="H168" s="562"/>
      <c r="I168" s="562"/>
      <c r="J168" s="604">
        <v>9288.36</v>
      </c>
      <c r="K168" s="562"/>
      <c r="L168" s="604">
        <v>214.56</v>
      </c>
      <c r="M168" s="603"/>
      <c r="N168" s="602"/>
      <c r="Z168" s="537" t="s">
        <v>475</v>
      </c>
    </row>
    <row r="169" spans="1:29" s="536" customFormat="1" x14ac:dyDescent="0.2">
      <c r="A169" s="676"/>
      <c r="B169" s="677" t="s">
        <v>639</v>
      </c>
      <c r="C169" s="1829" t="s">
        <v>640</v>
      </c>
      <c r="D169" s="1829"/>
      <c r="E169" s="1829"/>
      <c r="F169" s="678" t="s">
        <v>641</v>
      </c>
      <c r="G169" s="678" t="s">
        <v>1384</v>
      </c>
      <c r="H169" s="678"/>
      <c r="I169" s="678" t="s">
        <v>4797</v>
      </c>
      <c r="J169" s="552"/>
      <c r="K169" s="562"/>
      <c r="L169" s="604"/>
      <c r="M169" s="562"/>
      <c r="N169" s="679"/>
      <c r="AA169" s="537" t="s">
        <v>640</v>
      </c>
    </row>
    <row r="170" spans="1:29" s="536" customFormat="1" x14ac:dyDescent="0.2">
      <c r="A170" s="676"/>
      <c r="B170" s="677" t="s">
        <v>1272</v>
      </c>
      <c r="C170" s="1829" t="s">
        <v>1273</v>
      </c>
      <c r="D170" s="1829"/>
      <c r="E170" s="1829"/>
      <c r="F170" s="678" t="s">
        <v>694</v>
      </c>
      <c r="G170" s="678" t="s">
        <v>2384</v>
      </c>
      <c r="H170" s="678"/>
      <c r="I170" s="678" t="s">
        <v>4798</v>
      </c>
      <c r="J170" s="552"/>
      <c r="K170" s="562"/>
      <c r="L170" s="604"/>
      <c r="M170" s="562"/>
      <c r="N170" s="679"/>
      <c r="AA170" s="537" t="s">
        <v>1273</v>
      </c>
    </row>
    <row r="171" spans="1:29" s="536" customFormat="1" x14ac:dyDescent="0.2">
      <c r="A171" s="605"/>
      <c r="B171" s="552"/>
      <c r="C171" s="1822" t="s">
        <v>314</v>
      </c>
      <c r="D171" s="1822"/>
      <c r="E171" s="1822"/>
      <c r="F171" s="562" t="s">
        <v>315</v>
      </c>
      <c r="G171" s="562" t="s">
        <v>4799</v>
      </c>
      <c r="H171" s="562" t="s">
        <v>313</v>
      </c>
      <c r="I171" s="562" t="s">
        <v>4800</v>
      </c>
      <c r="J171" s="604"/>
      <c r="K171" s="562"/>
      <c r="L171" s="604"/>
      <c r="M171" s="603"/>
      <c r="N171" s="602"/>
      <c r="AB171" s="537" t="s">
        <v>314</v>
      </c>
    </row>
    <row r="172" spans="1:29" s="536" customFormat="1" x14ac:dyDescent="0.2">
      <c r="A172" s="605"/>
      <c r="B172" s="552"/>
      <c r="C172" s="1822" t="s">
        <v>348</v>
      </c>
      <c r="D172" s="1822"/>
      <c r="E172" s="1822"/>
      <c r="F172" s="562" t="s">
        <v>315</v>
      </c>
      <c r="G172" s="562" t="s">
        <v>4801</v>
      </c>
      <c r="H172" s="562" t="s">
        <v>313</v>
      </c>
      <c r="I172" s="562" t="s">
        <v>4802</v>
      </c>
      <c r="J172" s="604"/>
      <c r="K172" s="562"/>
      <c r="L172" s="604"/>
      <c r="M172" s="603"/>
      <c r="N172" s="602"/>
      <c r="AB172" s="537" t="s">
        <v>348</v>
      </c>
    </row>
    <row r="173" spans="1:29" s="536" customFormat="1" x14ac:dyDescent="0.2">
      <c r="A173" s="605"/>
      <c r="B173" s="552"/>
      <c r="C173" s="1828" t="s">
        <v>318</v>
      </c>
      <c r="D173" s="1828"/>
      <c r="E173" s="1828"/>
      <c r="F173" s="608"/>
      <c r="G173" s="608"/>
      <c r="H173" s="608"/>
      <c r="I173" s="608"/>
      <c r="J173" s="607">
        <v>33164.050000000003</v>
      </c>
      <c r="K173" s="608"/>
      <c r="L173" s="607">
        <v>903.97</v>
      </c>
      <c r="M173" s="601"/>
      <c r="N173" s="606"/>
      <c r="AC173" s="537" t="s">
        <v>318</v>
      </c>
    </row>
    <row r="174" spans="1:29" s="536" customFormat="1" x14ac:dyDescent="0.2">
      <c r="A174" s="605"/>
      <c r="B174" s="552"/>
      <c r="C174" s="1822" t="s">
        <v>319</v>
      </c>
      <c r="D174" s="1822"/>
      <c r="E174" s="1822"/>
      <c r="F174" s="562"/>
      <c r="G174" s="562"/>
      <c r="H174" s="562"/>
      <c r="I174" s="562"/>
      <c r="J174" s="604"/>
      <c r="K174" s="562"/>
      <c r="L174" s="604">
        <v>424.1</v>
      </c>
      <c r="M174" s="603"/>
      <c r="N174" s="602"/>
      <c r="AB174" s="537" t="s">
        <v>319</v>
      </c>
    </row>
    <row r="175" spans="1:29" s="536" customFormat="1" ht="33.75" x14ac:dyDescent="0.2">
      <c r="A175" s="605"/>
      <c r="B175" s="552" t="s">
        <v>686</v>
      </c>
      <c r="C175" s="1822" t="s">
        <v>687</v>
      </c>
      <c r="D175" s="1822"/>
      <c r="E175" s="1822"/>
      <c r="F175" s="562" t="s">
        <v>322</v>
      </c>
      <c r="G175" s="562" t="s">
        <v>680</v>
      </c>
      <c r="H175" s="562"/>
      <c r="I175" s="562" t="s">
        <v>680</v>
      </c>
      <c r="J175" s="604"/>
      <c r="K175" s="562"/>
      <c r="L175" s="604">
        <v>432.58</v>
      </c>
      <c r="M175" s="603"/>
      <c r="N175" s="602"/>
      <c r="AB175" s="537" t="s">
        <v>687</v>
      </c>
    </row>
    <row r="176" spans="1:29" s="536" customFormat="1" ht="33.75" x14ac:dyDescent="0.2">
      <c r="A176" s="605"/>
      <c r="B176" s="552" t="s">
        <v>688</v>
      </c>
      <c r="C176" s="1822" t="s">
        <v>689</v>
      </c>
      <c r="D176" s="1822"/>
      <c r="E176" s="1822"/>
      <c r="F176" s="562" t="s">
        <v>322</v>
      </c>
      <c r="G176" s="562" t="s">
        <v>690</v>
      </c>
      <c r="H176" s="562"/>
      <c r="I176" s="562" t="s">
        <v>690</v>
      </c>
      <c r="J176" s="604"/>
      <c r="K176" s="562"/>
      <c r="L176" s="604">
        <v>245.98</v>
      </c>
      <c r="M176" s="603"/>
      <c r="N176" s="602"/>
      <c r="AB176" s="537" t="s">
        <v>689</v>
      </c>
    </row>
    <row r="177" spans="1:33" s="536" customFormat="1" x14ac:dyDescent="0.2">
      <c r="A177" s="569"/>
      <c r="B177" s="671"/>
      <c r="C177" s="1823" t="s">
        <v>327</v>
      </c>
      <c r="D177" s="1823"/>
      <c r="E177" s="1823"/>
      <c r="F177" s="573"/>
      <c r="G177" s="573"/>
      <c r="H177" s="573"/>
      <c r="I177" s="573"/>
      <c r="J177" s="572"/>
      <c r="K177" s="573"/>
      <c r="L177" s="572">
        <v>1582.53</v>
      </c>
      <c r="M177" s="601"/>
      <c r="N177" s="570"/>
      <c r="AD177" s="537" t="s">
        <v>327</v>
      </c>
    </row>
    <row r="178" spans="1:33" s="536" customFormat="1" ht="22.5" x14ac:dyDescent="0.2">
      <c r="A178" s="575" t="s">
        <v>425</v>
      </c>
      <c r="B178" s="670" t="s">
        <v>2117</v>
      </c>
      <c r="C178" s="1823" t="s">
        <v>2118</v>
      </c>
      <c r="D178" s="1823"/>
      <c r="E178" s="1823"/>
      <c r="F178" s="573" t="s">
        <v>641</v>
      </c>
      <c r="G178" s="573"/>
      <c r="H178" s="573"/>
      <c r="I178" s="573" t="s">
        <v>4803</v>
      </c>
      <c r="J178" s="572">
        <v>790</v>
      </c>
      <c r="K178" s="573"/>
      <c r="L178" s="572">
        <v>1852.55</v>
      </c>
      <c r="M178" s="571"/>
      <c r="N178" s="570"/>
      <c r="W178" s="537" t="s">
        <v>2118</v>
      </c>
    </row>
    <row r="179" spans="1:33" s="536" customFormat="1" x14ac:dyDescent="0.2">
      <c r="A179" s="569"/>
      <c r="B179" s="671"/>
      <c r="C179" s="665" t="s">
        <v>717</v>
      </c>
      <c r="D179" s="666"/>
      <c r="E179" s="666"/>
      <c r="F179" s="563"/>
      <c r="G179" s="563"/>
      <c r="H179" s="563"/>
      <c r="I179" s="563"/>
      <c r="J179" s="566"/>
      <c r="K179" s="563"/>
      <c r="L179" s="566"/>
      <c r="M179" s="565"/>
      <c r="N179" s="564"/>
    </row>
    <row r="180" spans="1:33" s="536" customFormat="1" ht="33.75" x14ac:dyDescent="0.2">
      <c r="A180" s="575" t="s">
        <v>430</v>
      </c>
      <c r="B180" s="670" t="s">
        <v>657</v>
      </c>
      <c r="C180" s="1823" t="s">
        <v>4804</v>
      </c>
      <c r="D180" s="1823"/>
      <c r="E180" s="1823"/>
      <c r="F180" s="573" t="s">
        <v>641</v>
      </c>
      <c r="G180" s="573"/>
      <c r="H180" s="573"/>
      <c r="I180" s="573" t="s">
        <v>1285</v>
      </c>
      <c r="J180" s="572">
        <v>21.26</v>
      </c>
      <c r="K180" s="573"/>
      <c r="L180" s="572">
        <v>49.11</v>
      </c>
      <c r="M180" s="571"/>
      <c r="N180" s="570"/>
      <c r="W180" s="537" t="s">
        <v>4804</v>
      </c>
    </row>
    <row r="181" spans="1:33" s="536" customFormat="1" x14ac:dyDescent="0.2">
      <c r="A181" s="569"/>
      <c r="B181" s="671"/>
      <c r="C181" s="665" t="s">
        <v>717</v>
      </c>
      <c r="D181" s="666"/>
      <c r="E181" s="666"/>
      <c r="F181" s="563"/>
      <c r="G181" s="563"/>
      <c r="H181" s="563"/>
      <c r="I181" s="563"/>
      <c r="J181" s="566"/>
      <c r="K181" s="563"/>
      <c r="L181" s="566"/>
      <c r="M181" s="565"/>
      <c r="N181" s="564"/>
    </row>
    <row r="182" spans="1:33" s="536" customFormat="1" x14ac:dyDescent="0.2">
      <c r="A182" s="676"/>
      <c r="B182" s="664"/>
      <c r="C182" s="1822" t="s">
        <v>4773</v>
      </c>
      <c r="D182" s="1822"/>
      <c r="E182" s="1822"/>
      <c r="F182" s="1822"/>
      <c r="G182" s="1822"/>
      <c r="H182" s="1822"/>
      <c r="I182" s="1822"/>
      <c r="J182" s="1822"/>
      <c r="K182" s="1822"/>
      <c r="L182" s="1822"/>
      <c r="M182" s="1822"/>
      <c r="N182" s="1827"/>
      <c r="AE182" s="537" t="s">
        <v>4773</v>
      </c>
    </row>
    <row r="183" spans="1:33" s="536" customFormat="1" ht="22.5" x14ac:dyDescent="0.2">
      <c r="A183" s="575" t="s">
        <v>436</v>
      </c>
      <c r="B183" s="670" t="s">
        <v>4774</v>
      </c>
      <c r="C183" s="1823" t="s">
        <v>4775</v>
      </c>
      <c r="D183" s="1823"/>
      <c r="E183" s="1823"/>
      <c r="F183" s="573" t="s">
        <v>694</v>
      </c>
      <c r="G183" s="573"/>
      <c r="H183" s="573"/>
      <c r="I183" s="573" t="s">
        <v>4537</v>
      </c>
      <c r="J183" s="572">
        <v>5457.78</v>
      </c>
      <c r="K183" s="573"/>
      <c r="L183" s="572">
        <v>4918.55</v>
      </c>
      <c r="M183" s="571"/>
      <c r="N183" s="570"/>
      <c r="W183" s="537" t="s">
        <v>4775</v>
      </c>
    </row>
    <row r="184" spans="1:33" s="536" customFormat="1" x14ac:dyDescent="0.2">
      <c r="A184" s="569"/>
      <c r="B184" s="671"/>
      <c r="C184" s="665" t="s">
        <v>717</v>
      </c>
      <c r="D184" s="666"/>
      <c r="E184" s="666"/>
      <c r="F184" s="563"/>
      <c r="G184" s="563"/>
      <c r="H184" s="563"/>
      <c r="I184" s="563"/>
      <c r="J184" s="566"/>
      <c r="K184" s="563"/>
      <c r="L184" s="566"/>
      <c r="M184" s="565"/>
      <c r="N184" s="564"/>
    </row>
    <row r="185" spans="1:33" s="536" customFormat="1" x14ac:dyDescent="0.2">
      <c r="A185" s="676"/>
      <c r="B185" s="664"/>
      <c r="C185" s="1822" t="s">
        <v>4805</v>
      </c>
      <c r="D185" s="1822"/>
      <c r="E185" s="1822"/>
      <c r="F185" s="1822"/>
      <c r="G185" s="1822"/>
      <c r="H185" s="1822"/>
      <c r="I185" s="1822"/>
      <c r="J185" s="1822"/>
      <c r="K185" s="1822"/>
      <c r="L185" s="1822"/>
      <c r="M185" s="1822"/>
      <c r="N185" s="1827"/>
      <c r="X185" s="537" t="s">
        <v>4805</v>
      </c>
    </row>
    <row r="186" spans="1:33" s="536" customFormat="1" ht="22.5" x14ac:dyDescent="0.2">
      <c r="A186" s="575" t="s">
        <v>733</v>
      </c>
      <c r="B186" s="670" t="s">
        <v>4108</v>
      </c>
      <c r="C186" s="1823" t="s">
        <v>4109</v>
      </c>
      <c r="D186" s="1823"/>
      <c r="E186" s="1823"/>
      <c r="F186" s="573" t="s">
        <v>694</v>
      </c>
      <c r="G186" s="573"/>
      <c r="H186" s="573"/>
      <c r="I186" s="573" t="s">
        <v>4806</v>
      </c>
      <c r="J186" s="572">
        <v>6726.18</v>
      </c>
      <c r="K186" s="573"/>
      <c r="L186" s="572">
        <v>494.37</v>
      </c>
      <c r="M186" s="571"/>
      <c r="N186" s="570"/>
      <c r="W186" s="537" t="s">
        <v>4109</v>
      </c>
    </row>
    <row r="187" spans="1:33" s="536" customFormat="1" x14ac:dyDescent="0.2">
      <c r="A187" s="569"/>
      <c r="B187" s="671"/>
      <c r="C187" s="665" t="s">
        <v>717</v>
      </c>
      <c r="D187" s="666"/>
      <c r="E187" s="666"/>
      <c r="F187" s="563"/>
      <c r="G187" s="563"/>
      <c r="H187" s="563"/>
      <c r="I187" s="563"/>
      <c r="J187" s="566"/>
      <c r="K187" s="563"/>
      <c r="L187" s="566"/>
      <c r="M187" s="565"/>
      <c r="N187" s="564"/>
    </row>
    <row r="188" spans="1:33" s="536" customFormat="1" x14ac:dyDescent="0.2">
      <c r="A188" s="676"/>
      <c r="B188" s="664"/>
      <c r="C188" s="1822" t="s">
        <v>4807</v>
      </c>
      <c r="D188" s="1822"/>
      <c r="E188" s="1822"/>
      <c r="F188" s="1822"/>
      <c r="G188" s="1822"/>
      <c r="H188" s="1822"/>
      <c r="I188" s="1822"/>
      <c r="J188" s="1822"/>
      <c r="K188" s="1822"/>
      <c r="L188" s="1822"/>
      <c r="M188" s="1822"/>
      <c r="N188" s="1827"/>
      <c r="X188" s="537" t="s">
        <v>4807</v>
      </c>
    </row>
    <row r="189" spans="1:33" s="536" customFormat="1" ht="1.5" customHeight="1" x14ac:dyDescent="0.2">
      <c r="A189" s="563"/>
      <c r="B189" s="671"/>
      <c r="C189" s="671"/>
      <c r="D189" s="671"/>
      <c r="E189" s="671"/>
      <c r="F189" s="563"/>
      <c r="G189" s="563"/>
      <c r="H189" s="563"/>
      <c r="I189" s="563"/>
      <c r="J189" s="546"/>
      <c r="K189" s="563"/>
      <c r="L189" s="546"/>
      <c r="M189" s="562"/>
      <c r="N189" s="546"/>
    </row>
    <row r="190" spans="1:33" s="536" customFormat="1" x14ac:dyDescent="0.2">
      <c r="A190" s="557"/>
      <c r="B190" s="556"/>
      <c r="C190" s="1823" t="s">
        <v>4808</v>
      </c>
      <c r="D190" s="1823"/>
      <c r="E190" s="1823"/>
      <c r="F190" s="1823"/>
      <c r="G190" s="1823"/>
      <c r="H190" s="1823"/>
      <c r="I190" s="1823"/>
      <c r="J190" s="1823"/>
      <c r="K190" s="1823"/>
      <c r="L190" s="555"/>
      <c r="M190" s="554"/>
      <c r="N190" s="553"/>
      <c r="AF190" s="537" t="s">
        <v>4808</v>
      </c>
    </row>
    <row r="191" spans="1:33" s="536" customFormat="1" x14ac:dyDescent="0.2">
      <c r="A191" s="548"/>
      <c r="B191" s="552"/>
      <c r="C191" s="1822" t="s">
        <v>403</v>
      </c>
      <c r="D191" s="1822"/>
      <c r="E191" s="1822"/>
      <c r="F191" s="1822"/>
      <c r="G191" s="1822"/>
      <c r="H191" s="1822"/>
      <c r="I191" s="1822"/>
      <c r="J191" s="1822"/>
      <c r="K191" s="1822"/>
      <c r="L191" s="551">
        <v>8218.5499999999993</v>
      </c>
      <c r="M191" s="550"/>
      <c r="N191" s="549"/>
      <c r="AG191" s="537" t="s">
        <v>403</v>
      </c>
    </row>
    <row r="192" spans="1:33" s="536" customFormat="1" x14ac:dyDescent="0.2">
      <c r="A192" s="548"/>
      <c r="B192" s="552"/>
      <c r="C192" s="1822" t="s">
        <v>204</v>
      </c>
      <c r="D192" s="1822"/>
      <c r="E192" s="1822"/>
      <c r="F192" s="1822"/>
      <c r="G192" s="1822"/>
      <c r="H192" s="1822"/>
      <c r="I192" s="1822"/>
      <c r="J192" s="1822"/>
      <c r="K192" s="1822"/>
      <c r="L192" s="551"/>
      <c r="M192" s="550"/>
      <c r="N192" s="549"/>
      <c r="AG192" s="537" t="s">
        <v>204</v>
      </c>
    </row>
    <row r="193" spans="1:34" s="536" customFormat="1" x14ac:dyDescent="0.2">
      <c r="A193" s="548"/>
      <c r="B193" s="552"/>
      <c r="C193" s="1822" t="s">
        <v>404</v>
      </c>
      <c r="D193" s="1822"/>
      <c r="E193" s="1822"/>
      <c r="F193" s="1822"/>
      <c r="G193" s="1822"/>
      <c r="H193" s="1822"/>
      <c r="I193" s="1822"/>
      <c r="J193" s="1822"/>
      <c r="K193" s="1822"/>
      <c r="L193" s="551">
        <v>383.6</v>
      </c>
      <c r="M193" s="550"/>
      <c r="N193" s="549"/>
      <c r="AG193" s="537" t="s">
        <v>404</v>
      </c>
    </row>
    <row r="194" spans="1:34" s="536" customFormat="1" x14ac:dyDescent="0.2">
      <c r="A194" s="548"/>
      <c r="B194" s="552"/>
      <c r="C194" s="1822" t="s">
        <v>405</v>
      </c>
      <c r="D194" s="1822"/>
      <c r="E194" s="1822"/>
      <c r="F194" s="1822"/>
      <c r="G194" s="1822"/>
      <c r="H194" s="1822"/>
      <c r="I194" s="1822"/>
      <c r="J194" s="1822"/>
      <c r="K194" s="1822"/>
      <c r="L194" s="551">
        <v>305.81</v>
      </c>
      <c r="M194" s="550"/>
      <c r="N194" s="549"/>
      <c r="AG194" s="537" t="s">
        <v>405</v>
      </c>
    </row>
    <row r="195" spans="1:34" s="536" customFormat="1" x14ac:dyDescent="0.2">
      <c r="A195" s="548"/>
      <c r="B195" s="552"/>
      <c r="C195" s="1822" t="s">
        <v>406</v>
      </c>
      <c r="D195" s="1822"/>
      <c r="E195" s="1822"/>
      <c r="F195" s="1822"/>
      <c r="G195" s="1822"/>
      <c r="H195" s="1822"/>
      <c r="I195" s="1822"/>
      <c r="J195" s="1822"/>
      <c r="K195" s="1822"/>
      <c r="L195" s="551">
        <v>40.5</v>
      </c>
      <c r="M195" s="550"/>
      <c r="N195" s="549"/>
      <c r="AG195" s="537" t="s">
        <v>406</v>
      </c>
    </row>
    <row r="196" spans="1:34" s="536" customFormat="1" x14ac:dyDescent="0.2">
      <c r="A196" s="548"/>
      <c r="B196" s="552"/>
      <c r="C196" s="1822" t="s">
        <v>480</v>
      </c>
      <c r="D196" s="1822"/>
      <c r="E196" s="1822"/>
      <c r="F196" s="1822"/>
      <c r="G196" s="1822"/>
      <c r="H196" s="1822"/>
      <c r="I196" s="1822"/>
      <c r="J196" s="1822"/>
      <c r="K196" s="1822"/>
      <c r="L196" s="551">
        <v>7529.14</v>
      </c>
      <c r="M196" s="550"/>
      <c r="N196" s="549"/>
      <c r="AG196" s="537" t="s">
        <v>480</v>
      </c>
    </row>
    <row r="197" spans="1:34" s="536" customFormat="1" x14ac:dyDescent="0.2">
      <c r="A197" s="548"/>
      <c r="B197" s="552" t="s">
        <v>185</v>
      </c>
      <c r="C197" s="1822" t="s">
        <v>407</v>
      </c>
      <c r="D197" s="1822"/>
      <c r="E197" s="1822"/>
      <c r="F197" s="1822"/>
      <c r="G197" s="1822"/>
      <c r="H197" s="1822"/>
      <c r="I197" s="1822"/>
      <c r="J197" s="1822"/>
      <c r="K197" s="1822"/>
      <c r="L197" s="551">
        <v>8897.11</v>
      </c>
      <c r="M197" s="550"/>
      <c r="N197" s="549"/>
      <c r="AG197" s="537" t="s">
        <v>407</v>
      </c>
    </row>
    <row r="198" spans="1:34" s="536" customFormat="1" x14ac:dyDescent="0.2">
      <c r="A198" s="548"/>
      <c r="B198" s="552"/>
      <c r="C198" s="1822" t="s">
        <v>204</v>
      </c>
      <c r="D198" s="1822"/>
      <c r="E198" s="1822"/>
      <c r="F198" s="1822"/>
      <c r="G198" s="1822"/>
      <c r="H198" s="1822"/>
      <c r="I198" s="1822"/>
      <c r="J198" s="1822"/>
      <c r="K198" s="1822"/>
      <c r="L198" s="551"/>
      <c r="M198" s="550"/>
      <c r="N198" s="549"/>
      <c r="AG198" s="537" t="s">
        <v>204</v>
      </c>
    </row>
    <row r="199" spans="1:34" s="536" customFormat="1" x14ac:dyDescent="0.2">
      <c r="A199" s="548"/>
      <c r="B199" s="552"/>
      <c r="C199" s="1822" t="s">
        <v>546</v>
      </c>
      <c r="D199" s="1822"/>
      <c r="E199" s="1822"/>
      <c r="F199" s="1822"/>
      <c r="G199" s="1822"/>
      <c r="H199" s="1822"/>
      <c r="I199" s="1822"/>
      <c r="J199" s="1822"/>
      <c r="K199" s="1822"/>
      <c r="L199" s="551">
        <v>383.6</v>
      </c>
      <c r="M199" s="550"/>
      <c r="N199" s="549"/>
      <c r="AG199" s="537" t="s">
        <v>546</v>
      </c>
    </row>
    <row r="200" spans="1:34" s="536" customFormat="1" x14ac:dyDescent="0.2">
      <c r="A200" s="548"/>
      <c r="B200" s="552"/>
      <c r="C200" s="1822" t="s">
        <v>442</v>
      </c>
      <c r="D200" s="1822"/>
      <c r="E200" s="1822"/>
      <c r="F200" s="1822"/>
      <c r="G200" s="1822"/>
      <c r="H200" s="1822"/>
      <c r="I200" s="1822"/>
      <c r="J200" s="1822"/>
      <c r="K200" s="1822"/>
      <c r="L200" s="551">
        <v>305.81</v>
      </c>
      <c r="M200" s="550"/>
      <c r="N200" s="549"/>
      <c r="AG200" s="537" t="s">
        <v>442</v>
      </c>
    </row>
    <row r="201" spans="1:34" s="536" customFormat="1" x14ac:dyDescent="0.2">
      <c r="A201" s="548"/>
      <c r="B201" s="552"/>
      <c r="C201" s="1822" t="s">
        <v>547</v>
      </c>
      <c r="D201" s="1822"/>
      <c r="E201" s="1822"/>
      <c r="F201" s="1822"/>
      <c r="G201" s="1822"/>
      <c r="H201" s="1822"/>
      <c r="I201" s="1822"/>
      <c r="J201" s="1822"/>
      <c r="K201" s="1822"/>
      <c r="L201" s="551">
        <v>7529.14</v>
      </c>
      <c r="M201" s="550"/>
      <c r="N201" s="549"/>
      <c r="AG201" s="537" t="s">
        <v>547</v>
      </c>
    </row>
    <row r="202" spans="1:34" s="536" customFormat="1" x14ac:dyDescent="0.2">
      <c r="A202" s="548"/>
      <c r="B202" s="552"/>
      <c r="C202" s="1822" t="s">
        <v>443</v>
      </c>
      <c r="D202" s="1822"/>
      <c r="E202" s="1822"/>
      <c r="F202" s="1822"/>
      <c r="G202" s="1822"/>
      <c r="H202" s="1822"/>
      <c r="I202" s="1822"/>
      <c r="J202" s="1822"/>
      <c r="K202" s="1822"/>
      <c r="L202" s="551">
        <v>432.58</v>
      </c>
      <c r="M202" s="550"/>
      <c r="N202" s="549"/>
      <c r="AG202" s="537" t="s">
        <v>443</v>
      </c>
    </row>
    <row r="203" spans="1:34" s="536" customFormat="1" x14ac:dyDescent="0.2">
      <c r="A203" s="548"/>
      <c r="B203" s="552"/>
      <c r="C203" s="1822" t="s">
        <v>444</v>
      </c>
      <c r="D203" s="1822"/>
      <c r="E203" s="1822"/>
      <c r="F203" s="1822"/>
      <c r="G203" s="1822"/>
      <c r="H203" s="1822"/>
      <c r="I203" s="1822"/>
      <c r="J203" s="1822"/>
      <c r="K203" s="1822"/>
      <c r="L203" s="551">
        <v>245.98</v>
      </c>
      <c r="M203" s="550"/>
      <c r="N203" s="549"/>
      <c r="AG203" s="537" t="s">
        <v>444</v>
      </c>
    </row>
    <row r="204" spans="1:34" s="536" customFormat="1" x14ac:dyDescent="0.2">
      <c r="A204" s="548"/>
      <c r="B204" s="552"/>
      <c r="C204" s="1822" t="s">
        <v>415</v>
      </c>
      <c r="D204" s="1822"/>
      <c r="E204" s="1822"/>
      <c r="F204" s="1822"/>
      <c r="G204" s="1822"/>
      <c r="H204" s="1822"/>
      <c r="I204" s="1822"/>
      <c r="J204" s="1822"/>
      <c r="K204" s="1822"/>
      <c r="L204" s="551">
        <v>424.1</v>
      </c>
      <c r="M204" s="550"/>
      <c r="N204" s="549"/>
      <c r="AG204" s="537" t="s">
        <v>415</v>
      </c>
    </row>
    <row r="205" spans="1:34" s="536" customFormat="1" x14ac:dyDescent="0.2">
      <c r="A205" s="548"/>
      <c r="B205" s="552"/>
      <c r="C205" s="1822" t="s">
        <v>416</v>
      </c>
      <c r="D205" s="1822"/>
      <c r="E205" s="1822"/>
      <c r="F205" s="1822"/>
      <c r="G205" s="1822"/>
      <c r="H205" s="1822"/>
      <c r="I205" s="1822"/>
      <c r="J205" s="1822"/>
      <c r="K205" s="1822"/>
      <c r="L205" s="551">
        <v>432.58</v>
      </c>
      <c r="M205" s="550"/>
      <c r="N205" s="549"/>
      <c r="AG205" s="537" t="s">
        <v>416</v>
      </c>
    </row>
    <row r="206" spans="1:34" s="536" customFormat="1" x14ac:dyDescent="0.2">
      <c r="A206" s="548"/>
      <c r="B206" s="552"/>
      <c r="C206" s="1822" t="s">
        <v>417</v>
      </c>
      <c r="D206" s="1822"/>
      <c r="E206" s="1822"/>
      <c r="F206" s="1822"/>
      <c r="G206" s="1822"/>
      <c r="H206" s="1822"/>
      <c r="I206" s="1822"/>
      <c r="J206" s="1822"/>
      <c r="K206" s="1822"/>
      <c r="L206" s="551">
        <v>245.98</v>
      </c>
      <c r="M206" s="550"/>
      <c r="N206" s="549"/>
      <c r="AG206" s="537" t="s">
        <v>417</v>
      </c>
    </row>
    <row r="207" spans="1:34" s="536" customFormat="1" x14ac:dyDescent="0.2">
      <c r="A207" s="548"/>
      <c r="B207" s="546"/>
      <c r="C207" s="1819" t="s">
        <v>4809</v>
      </c>
      <c r="D207" s="1819"/>
      <c r="E207" s="1819"/>
      <c r="F207" s="1819"/>
      <c r="G207" s="1819"/>
      <c r="H207" s="1819"/>
      <c r="I207" s="1819"/>
      <c r="J207" s="1819"/>
      <c r="K207" s="1819"/>
      <c r="L207" s="544">
        <v>8897.11</v>
      </c>
      <c r="M207" s="543"/>
      <c r="N207" s="681"/>
      <c r="AH207" s="537" t="s">
        <v>4809</v>
      </c>
    </row>
    <row r="208" spans="1:34" s="536" customFormat="1" ht="12" x14ac:dyDescent="0.2">
      <c r="A208" s="1824" t="s">
        <v>4810</v>
      </c>
      <c r="B208" s="1825"/>
      <c r="C208" s="1825"/>
      <c r="D208" s="1825"/>
      <c r="E208" s="1825"/>
      <c r="F208" s="1825"/>
      <c r="G208" s="1825"/>
      <c r="H208" s="1825"/>
      <c r="I208" s="1825"/>
      <c r="J208" s="1825"/>
      <c r="K208" s="1825"/>
      <c r="L208" s="1825"/>
      <c r="M208" s="1825"/>
      <c r="N208" s="1826"/>
      <c r="V208" s="537" t="s">
        <v>4810</v>
      </c>
    </row>
    <row r="209" spans="1:30" s="536" customFormat="1" ht="33.75" x14ac:dyDescent="0.2">
      <c r="A209" s="575" t="s">
        <v>736</v>
      </c>
      <c r="B209" s="670" t="s">
        <v>4811</v>
      </c>
      <c r="C209" s="1823" t="s">
        <v>4812</v>
      </c>
      <c r="D209" s="1823"/>
      <c r="E209" s="1823"/>
      <c r="F209" s="573" t="s">
        <v>509</v>
      </c>
      <c r="G209" s="573"/>
      <c r="H209" s="573"/>
      <c r="I209" s="573" t="s">
        <v>4813</v>
      </c>
      <c r="J209" s="572"/>
      <c r="K209" s="573"/>
      <c r="L209" s="572"/>
      <c r="M209" s="571"/>
      <c r="N209" s="570"/>
      <c r="W209" s="537" t="s">
        <v>4812</v>
      </c>
    </row>
    <row r="210" spans="1:30" s="536" customFormat="1" x14ac:dyDescent="0.2">
      <c r="A210" s="676"/>
      <c r="B210" s="664"/>
      <c r="C210" s="1822" t="s">
        <v>4814</v>
      </c>
      <c r="D210" s="1822"/>
      <c r="E210" s="1822"/>
      <c r="F210" s="1822"/>
      <c r="G210" s="1822"/>
      <c r="H210" s="1822"/>
      <c r="I210" s="1822"/>
      <c r="J210" s="1822"/>
      <c r="K210" s="1822"/>
      <c r="L210" s="1822"/>
      <c r="M210" s="1822"/>
      <c r="N210" s="1827"/>
      <c r="X210" s="537" t="s">
        <v>4814</v>
      </c>
    </row>
    <row r="211" spans="1:30" s="536" customFormat="1" ht="33.75" x14ac:dyDescent="0.2">
      <c r="A211" s="609"/>
      <c r="B211" s="552" t="s">
        <v>310</v>
      </c>
      <c r="C211" s="1822" t="s">
        <v>311</v>
      </c>
      <c r="D211" s="1822"/>
      <c r="E211" s="1822"/>
      <c r="F211" s="1822"/>
      <c r="G211" s="1822"/>
      <c r="H211" s="1822"/>
      <c r="I211" s="1822"/>
      <c r="J211" s="1822"/>
      <c r="K211" s="1822"/>
      <c r="L211" s="1822"/>
      <c r="M211" s="1822"/>
      <c r="N211" s="1827"/>
      <c r="Y211" s="537" t="s">
        <v>311</v>
      </c>
    </row>
    <row r="212" spans="1:30" s="536" customFormat="1" x14ac:dyDescent="0.2">
      <c r="A212" s="605"/>
      <c r="B212" s="552" t="s">
        <v>185</v>
      </c>
      <c r="C212" s="1822" t="s">
        <v>312</v>
      </c>
      <c r="D212" s="1822"/>
      <c r="E212" s="1822"/>
      <c r="F212" s="562"/>
      <c r="G212" s="562"/>
      <c r="H212" s="562"/>
      <c r="I212" s="562"/>
      <c r="J212" s="604">
        <v>6450.12</v>
      </c>
      <c r="K212" s="562" t="s">
        <v>313</v>
      </c>
      <c r="L212" s="604">
        <v>13400.93</v>
      </c>
      <c r="M212" s="603"/>
      <c r="N212" s="602"/>
      <c r="Z212" s="537" t="s">
        <v>312</v>
      </c>
    </row>
    <row r="213" spans="1:30" s="536" customFormat="1" x14ac:dyDescent="0.2">
      <c r="A213" s="605"/>
      <c r="B213" s="552" t="s">
        <v>186</v>
      </c>
      <c r="C213" s="1822" t="s">
        <v>344</v>
      </c>
      <c r="D213" s="1822"/>
      <c r="E213" s="1822"/>
      <c r="F213" s="562"/>
      <c r="G213" s="562"/>
      <c r="H213" s="562"/>
      <c r="I213" s="562"/>
      <c r="J213" s="604">
        <v>6040.91</v>
      </c>
      <c r="K213" s="562" t="s">
        <v>313</v>
      </c>
      <c r="L213" s="604">
        <v>12550.75</v>
      </c>
      <c r="M213" s="603"/>
      <c r="N213" s="602"/>
      <c r="Z213" s="537" t="s">
        <v>344</v>
      </c>
    </row>
    <row r="214" spans="1:30" s="536" customFormat="1" x14ac:dyDescent="0.2">
      <c r="A214" s="605"/>
      <c r="B214" s="552" t="s">
        <v>187</v>
      </c>
      <c r="C214" s="1822" t="s">
        <v>345</v>
      </c>
      <c r="D214" s="1822"/>
      <c r="E214" s="1822"/>
      <c r="F214" s="562"/>
      <c r="G214" s="562"/>
      <c r="H214" s="562"/>
      <c r="I214" s="562"/>
      <c r="J214" s="604">
        <v>753.13</v>
      </c>
      <c r="K214" s="562" t="s">
        <v>313</v>
      </c>
      <c r="L214" s="604">
        <v>1564.72</v>
      </c>
      <c r="M214" s="603"/>
      <c r="N214" s="602"/>
      <c r="Z214" s="537" t="s">
        <v>345</v>
      </c>
    </row>
    <row r="215" spans="1:30" s="536" customFormat="1" x14ac:dyDescent="0.2">
      <c r="A215" s="605"/>
      <c r="B215" s="552" t="s">
        <v>188</v>
      </c>
      <c r="C215" s="1822" t="s">
        <v>475</v>
      </c>
      <c r="D215" s="1822"/>
      <c r="E215" s="1822"/>
      <c r="F215" s="562"/>
      <c r="G215" s="562"/>
      <c r="H215" s="562"/>
      <c r="I215" s="562"/>
      <c r="J215" s="604">
        <v>8103.76</v>
      </c>
      <c r="K215" s="562"/>
      <c r="L215" s="604">
        <v>13469.26</v>
      </c>
      <c r="M215" s="603"/>
      <c r="N215" s="602"/>
      <c r="Z215" s="537" t="s">
        <v>475</v>
      </c>
    </row>
    <row r="216" spans="1:30" s="536" customFormat="1" x14ac:dyDescent="0.2">
      <c r="A216" s="676"/>
      <c r="B216" s="677" t="s">
        <v>639</v>
      </c>
      <c r="C216" s="1829" t="s">
        <v>640</v>
      </c>
      <c r="D216" s="1829"/>
      <c r="E216" s="1829"/>
      <c r="F216" s="678" t="s">
        <v>641</v>
      </c>
      <c r="G216" s="678" t="s">
        <v>1384</v>
      </c>
      <c r="H216" s="678"/>
      <c r="I216" s="678" t="s">
        <v>4815</v>
      </c>
      <c r="J216" s="552"/>
      <c r="K216" s="562"/>
      <c r="L216" s="604"/>
      <c r="M216" s="562"/>
      <c r="N216" s="679"/>
      <c r="AA216" s="537" t="s">
        <v>640</v>
      </c>
    </row>
    <row r="217" spans="1:30" s="536" customFormat="1" x14ac:dyDescent="0.2">
      <c r="A217" s="676"/>
      <c r="B217" s="677" t="s">
        <v>1272</v>
      </c>
      <c r="C217" s="1829" t="s">
        <v>1273</v>
      </c>
      <c r="D217" s="1829"/>
      <c r="E217" s="1829"/>
      <c r="F217" s="678" t="s">
        <v>694</v>
      </c>
      <c r="G217" s="678" t="s">
        <v>4816</v>
      </c>
      <c r="H217" s="678"/>
      <c r="I217" s="678" t="s">
        <v>4817</v>
      </c>
      <c r="J217" s="552"/>
      <c r="K217" s="562"/>
      <c r="L217" s="604"/>
      <c r="M217" s="562"/>
      <c r="N217" s="679"/>
      <c r="AA217" s="537" t="s">
        <v>1273</v>
      </c>
    </row>
    <row r="218" spans="1:30" s="536" customFormat="1" ht="22.5" x14ac:dyDescent="0.2">
      <c r="A218" s="605"/>
      <c r="B218" s="552"/>
      <c r="C218" s="1822" t="s">
        <v>314</v>
      </c>
      <c r="D218" s="1822"/>
      <c r="E218" s="1822"/>
      <c r="F218" s="562" t="s">
        <v>315</v>
      </c>
      <c r="G218" s="562" t="s">
        <v>4818</v>
      </c>
      <c r="H218" s="562" t="s">
        <v>313</v>
      </c>
      <c r="I218" s="562" t="s">
        <v>4819</v>
      </c>
      <c r="J218" s="604"/>
      <c r="K218" s="562"/>
      <c r="L218" s="604"/>
      <c r="M218" s="603"/>
      <c r="N218" s="602"/>
      <c r="AB218" s="537" t="s">
        <v>314</v>
      </c>
    </row>
    <row r="219" spans="1:30" s="536" customFormat="1" ht="22.5" x14ac:dyDescent="0.2">
      <c r="A219" s="605"/>
      <c r="B219" s="552"/>
      <c r="C219" s="1822" t="s">
        <v>348</v>
      </c>
      <c r="D219" s="1822"/>
      <c r="E219" s="1822"/>
      <c r="F219" s="562" t="s">
        <v>315</v>
      </c>
      <c r="G219" s="562" t="s">
        <v>4820</v>
      </c>
      <c r="H219" s="562" t="s">
        <v>313</v>
      </c>
      <c r="I219" s="562" t="s">
        <v>4821</v>
      </c>
      <c r="J219" s="604"/>
      <c r="K219" s="562"/>
      <c r="L219" s="604"/>
      <c r="M219" s="603"/>
      <c r="N219" s="602"/>
      <c r="AB219" s="537" t="s">
        <v>348</v>
      </c>
    </row>
    <row r="220" spans="1:30" s="536" customFormat="1" x14ac:dyDescent="0.2">
      <c r="A220" s="605"/>
      <c r="B220" s="552"/>
      <c r="C220" s="1828" t="s">
        <v>318</v>
      </c>
      <c r="D220" s="1828"/>
      <c r="E220" s="1828"/>
      <c r="F220" s="608"/>
      <c r="G220" s="608"/>
      <c r="H220" s="608"/>
      <c r="I220" s="608"/>
      <c r="J220" s="607">
        <v>20594.79</v>
      </c>
      <c r="K220" s="608"/>
      <c r="L220" s="607">
        <v>39420.94</v>
      </c>
      <c r="M220" s="601"/>
      <c r="N220" s="606"/>
      <c r="AC220" s="537" t="s">
        <v>318</v>
      </c>
    </row>
    <row r="221" spans="1:30" s="536" customFormat="1" x14ac:dyDescent="0.2">
      <c r="A221" s="605"/>
      <c r="B221" s="552"/>
      <c r="C221" s="1822" t="s">
        <v>319</v>
      </c>
      <c r="D221" s="1822"/>
      <c r="E221" s="1822"/>
      <c r="F221" s="562"/>
      <c r="G221" s="562"/>
      <c r="H221" s="562"/>
      <c r="I221" s="562"/>
      <c r="J221" s="604"/>
      <c r="K221" s="562"/>
      <c r="L221" s="604">
        <v>14965.65</v>
      </c>
      <c r="M221" s="603"/>
      <c r="N221" s="602"/>
      <c r="AB221" s="537" t="s">
        <v>319</v>
      </c>
    </row>
    <row r="222" spans="1:30" s="536" customFormat="1" ht="33.75" x14ac:dyDescent="0.2">
      <c r="A222" s="605"/>
      <c r="B222" s="552" t="s">
        <v>686</v>
      </c>
      <c r="C222" s="1822" t="s">
        <v>687</v>
      </c>
      <c r="D222" s="1822"/>
      <c r="E222" s="1822"/>
      <c r="F222" s="562" t="s">
        <v>322</v>
      </c>
      <c r="G222" s="562" t="s">
        <v>680</v>
      </c>
      <c r="H222" s="562"/>
      <c r="I222" s="562" t="s">
        <v>680</v>
      </c>
      <c r="J222" s="604"/>
      <c r="K222" s="562"/>
      <c r="L222" s="604">
        <v>15264.96</v>
      </c>
      <c r="M222" s="603"/>
      <c r="N222" s="602"/>
      <c r="AB222" s="537" t="s">
        <v>687</v>
      </c>
    </row>
    <row r="223" spans="1:30" s="536" customFormat="1" ht="33.75" x14ac:dyDescent="0.2">
      <c r="A223" s="605"/>
      <c r="B223" s="552" t="s">
        <v>688</v>
      </c>
      <c r="C223" s="1822" t="s">
        <v>689</v>
      </c>
      <c r="D223" s="1822"/>
      <c r="E223" s="1822"/>
      <c r="F223" s="562" t="s">
        <v>322</v>
      </c>
      <c r="G223" s="562" t="s">
        <v>690</v>
      </c>
      <c r="H223" s="562"/>
      <c r="I223" s="562" t="s">
        <v>690</v>
      </c>
      <c r="J223" s="604"/>
      <c r="K223" s="562"/>
      <c r="L223" s="604">
        <v>8680.08</v>
      </c>
      <c r="M223" s="603"/>
      <c r="N223" s="602"/>
      <c r="AB223" s="537" t="s">
        <v>689</v>
      </c>
    </row>
    <row r="224" spans="1:30" s="536" customFormat="1" x14ac:dyDescent="0.2">
      <c r="A224" s="569"/>
      <c r="B224" s="671"/>
      <c r="C224" s="1823" t="s">
        <v>327</v>
      </c>
      <c r="D224" s="1823"/>
      <c r="E224" s="1823"/>
      <c r="F224" s="573"/>
      <c r="G224" s="573"/>
      <c r="H224" s="573"/>
      <c r="I224" s="573"/>
      <c r="J224" s="572"/>
      <c r="K224" s="573"/>
      <c r="L224" s="572">
        <v>63365.98</v>
      </c>
      <c r="M224" s="601"/>
      <c r="N224" s="570"/>
      <c r="AD224" s="537" t="s">
        <v>327</v>
      </c>
    </row>
    <row r="225" spans="1:31" s="536" customFormat="1" ht="22.5" x14ac:dyDescent="0.2">
      <c r="A225" s="575" t="s">
        <v>1067</v>
      </c>
      <c r="B225" s="670" t="s">
        <v>2117</v>
      </c>
      <c r="C225" s="1823" t="s">
        <v>2118</v>
      </c>
      <c r="D225" s="1823"/>
      <c r="E225" s="1823"/>
      <c r="F225" s="573" t="s">
        <v>641</v>
      </c>
      <c r="G225" s="573"/>
      <c r="H225" s="573"/>
      <c r="I225" s="573" t="s">
        <v>4822</v>
      </c>
      <c r="J225" s="572">
        <v>790</v>
      </c>
      <c r="K225" s="573"/>
      <c r="L225" s="572">
        <v>133273</v>
      </c>
      <c r="M225" s="571"/>
      <c r="N225" s="570"/>
      <c r="W225" s="537" t="s">
        <v>2118</v>
      </c>
    </row>
    <row r="226" spans="1:31" s="536" customFormat="1" x14ac:dyDescent="0.2">
      <c r="A226" s="569"/>
      <c r="B226" s="671"/>
      <c r="C226" s="665" t="s">
        <v>717</v>
      </c>
      <c r="D226" s="666"/>
      <c r="E226" s="666"/>
      <c r="F226" s="563"/>
      <c r="G226" s="563"/>
      <c r="H226" s="563"/>
      <c r="I226" s="563"/>
      <c r="J226" s="566"/>
      <c r="K226" s="563"/>
      <c r="L226" s="566"/>
      <c r="M226" s="565"/>
      <c r="N226" s="564"/>
    </row>
    <row r="227" spans="1:31" s="536" customFormat="1" ht="33.75" x14ac:dyDescent="0.2">
      <c r="A227" s="575" t="s">
        <v>912</v>
      </c>
      <c r="B227" s="670" t="s">
        <v>657</v>
      </c>
      <c r="C227" s="1823" t="s">
        <v>4771</v>
      </c>
      <c r="D227" s="1823"/>
      <c r="E227" s="1823"/>
      <c r="F227" s="573" t="s">
        <v>641</v>
      </c>
      <c r="G227" s="573"/>
      <c r="H227" s="573"/>
      <c r="I227" s="573" t="s">
        <v>4823</v>
      </c>
      <c r="J227" s="572">
        <v>21.26</v>
      </c>
      <c r="K227" s="573"/>
      <c r="L227" s="572">
        <v>3533.62</v>
      </c>
      <c r="M227" s="571"/>
      <c r="N227" s="570"/>
      <c r="W227" s="537" t="s">
        <v>4771</v>
      </c>
    </row>
    <row r="228" spans="1:31" s="536" customFormat="1" x14ac:dyDescent="0.2">
      <c r="A228" s="569"/>
      <c r="B228" s="671"/>
      <c r="C228" s="665" t="s">
        <v>717</v>
      </c>
      <c r="D228" s="666"/>
      <c r="E228" s="666"/>
      <c r="F228" s="563"/>
      <c r="G228" s="563"/>
      <c r="H228" s="563"/>
      <c r="I228" s="563"/>
      <c r="J228" s="566"/>
      <c r="K228" s="563"/>
      <c r="L228" s="566"/>
      <c r="M228" s="565"/>
      <c r="N228" s="564"/>
    </row>
    <row r="229" spans="1:31" s="536" customFormat="1" x14ac:dyDescent="0.2">
      <c r="A229" s="676"/>
      <c r="B229" s="664"/>
      <c r="C229" s="1822" t="s">
        <v>4773</v>
      </c>
      <c r="D229" s="1822"/>
      <c r="E229" s="1822"/>
      <c r="F229" s="1822"/>
      <c r="G229" s="1822"/>
      <c r="H229" s="1822"/>
      <c r="I229" s="1822"/>
      <c r="J229" s="1822"/>
      <c r="K229" s="1822"/>
      <c r="L229" s="1822"/>
      <c r="M229" s="1822"/>
      <c r="N229" s="1827"/>
      <c r="AE229" s="537" t="s">
        <v>4773</v>
      </c>
    </row>
    <row r="230" spans="1:31" s="536" customFormat="1" ht="22.5" x14ac:dyDescent="0.2">
      <c r="A230" s="575" t="s">
        <v>757</v>
      </c>
      <c r="B230" s="670" t="s">
        <v>4778</v>
      </c>
      <c r="C230" s="1823" t="s">
        <v>4779</v>
      </c>
      <c r="D230" s="1823"/>
      <c r="E230" s="1823"/>
      <c r="F230" s="573" t="s">
        <v>694</v>
      </c>
      <c r="G230" s="573"/>
      <c r="H230" s="573"/>
      <c r="I230" s="573" t="s">
        <v>4824</v>
      </c>
      <c r="J230" s="572">
        <v>5488.69</v>
      </c>
      <c r="K230" s="573"/>
      <c r="L230" s="572">
        <v>57266.8</v>
      </c>
      <c r="M230" s="571"/>
      <c r="N230" s="570"/>
      <c r="W230" s="537" t="s">
        <v>4779</v>
      </c>
    </row>
    <row r="231" spans="1:31" s="536" customFormat="1" x14ac:dyDescent="0.2">
      <c r="A231" s="569"/>
      <c r="B231" s="671"/>
      <c r="C231" s="665" t="s">
        <v>717</v>
      </c>
      <c r="D231" s="666"/>
      <c r="E231" s="666"/>
      <c r="F231" s="563"/>
      <c r="G231" s="563"/>
      <c r="H231" s="563"/>
      <c r="I231" s="563"/>
      <c r="J231" s="566"/>
      <c r="K231" s="563"/>
      <c r="L231" s="566"/>
      <c r="M231" s="565"/>
      <c r="N231" s="564"/>
    </row>
    <row r="232" spans="1:31" s="536" customFormat="1" x14ac:dyDescent="0.2">
      <c r="A232" s="676"/>
      <c r="B232" s="664"/>
      <c r="C232" s="1822" t="s">
        <v>4825</v>
      </c>
      <c r="D232" s="1822"/>
      <c r="E232" s="1822"/>
      <c r="F232" s="1822"/>
      <c r="G232" s="1822"/>
      <c r="H232" s="1822"/>
      <c r="I232" s="1822"/>
      <c r="J232" s="1822"/>
      <c r="K232" s="1822"/>
      <c r="L232" s="1822"/>
      <c r="M232" s="1822"/>
      <c r="N232" s="1827"/>
      <c r="X232" s="537" t="s">
        <v>4825</v>
      </c>
    </row>
    <row r="233" spans="1:31" s="536" customFormat="1" ht="22.5" x14ac:dyDescent="0.2">
      <c r="A233" s="575" t="s">
        <v>1079</v>
      </c>
      <c r="B233" s="670" t="s">
        <v>4774</v>
      </c>
      <c r="C233" s="1823" t="s">
        <v>4775</v>
      </c>
      <c r="D233" s="1823"/>
      <c r="E233" s="1823"/>
      <c r="F233" s="573" t="s">
        <v>694</v>
      </c>
      <c r="G233" s="573"/>
      <c r="H233" s="573"/>
      <c r="I233" s="573" t="s">
        <v>4826</v>
      </c>
      <c r="J233" s="572">
        <v>5457.78</v>
      </c>
      <c r="K233" s="573"/>
      <c r="L233" s="572">
        <v>10046.68</v>
      </c>
      <c r="M233" s="571"/>
      <c r="N233" s="570"/>
      <c r="W233" s="537" t="s">
        <v>4775</v>
      </c>
    </row>
    <row r="234" spans="1:31" s="536" customFormat="1" x14ac:dyDescent="0.2">
      <c r="A234" s="569"/>
      <c r="B234" s="671"/>
      <c r="C234" s="665" t="s">
        <v>717</v>
      </c>
      <c r="D234" s="666"/>
      <c r="E234" s="666"/>
      <c r="F234" s="563"/>
      <c r="G234" s="563"/>
      <c r="H234" s="563"/>
      <c r="I234" s="563"/>
      <c r="J234" s="566"/>
      <c r="K234" s="563"/>
      <c r="L234" s="566"/>
      <c r="M234" s="565"/>
      <c r="N234" s="564"/>
    </row>
    <row r="235" spans="1:31" s="536" customFormat="1" x14ac:dyDescent="0.2">
      <c r="A235" s="676"/>
      <c r="B235" s="664"/>
      <c r="C235" s="1822" t="s">
        <v>4827</v>
      </c>
      <c r="D235" s="1822"/>
      <c r="E235" s="1822"/>
      <c r="F235" s="1822"/>
      <c r="G235" s="1822"/>
      <c r="H235" s="1822"/>
      <c r="I235" s="1822"/>
      <c r="J235" s="1822"/>
      <c r="K235" s="1822"/>
      <c r="L235" s="1822"/>
      <c r="M235" s="1822"/>
      <c r="N235" s="1827"/>
      <c r="X235" s="537" t="s">
        <v>4827</v>
      </c>
    </row>
    <row r="236" spans="1:31" s="536" customFormat="1" ht="22.5" x14ac:dyDescent="0.2">
      <c r="A236" s="575" t="s">
        <v>759</v>
      </c>
      <c r="B236" s="670" t="s">
        <v>4828</v>
      </c>
      <c r="C236" s="1823" t="s">
        <v>4829</v>
      </c>
      <c r="D236" s="1823"/>
      <c r="E236" s="1823"/>
      <c r="F236" s="573" t="s">
        <v>694</v>
      </c>
      <c r="G236" s="573"/>
      <c r="H236" s="573"/>
      <c r="I236" s="573" t="s">
        <v>4830</v>
      </c>
      <c r="J236" s="572">
        <v>6780</v>
      </c>
      <c r="K236" s="573"/>
      <c r="L236" s="572">
        <v>4287.67</v>
      </c>
      <c r="M236" s="571"/>
      <c r="N236" s="570"/>
      <c r="W236" s="537" t="s">
        <v>4829</v>
      </c>
    </row>
    <row r="237" spans="1:31" s="536" customFormat="1" x14ac:dyDescent="0.2">
      <c r="A237" s="569"/>
      <c r="B237" s="671"/>
      <c r="C237" s="665" t="s">
        <v>717</v>
      </c>
      <c r="D237" s="666"/>
      <c r="E237" s="666"/>
      <c r="F237" s="563"/>
      <c r="G237" s="563"/>
      <c r="H237" s="563"/>
      <c r="I237" s="563"/>
      <c r="J237" s="566"/>
      <c r="K237" s="563"/>
      <c r="L237" s="566"/>
      <c r="M237" s="565"/>
      <c r="N237" s="564"/>
    </row>
    <row r="238" spans="1:31" s="536" customFormat="1" x14ac:dyDescent="0.2">
      <c r="A238" s="676"/>
      <c r="B238" s="664"/>
      <c r="C238" s="1822" t="s">
        <v>4831</v>
      </c>
      <c r="D238" s="1822"/>
      <c r="E238" s="1822"/>
      <c r="F238" s="1822"/>
      <c r="G238" s="1822"/>
      <c r="H238" s="1822"/>
      <c r="I238" s="1822"/>
      <c r="J238" s="1822"/>
      <c r="K238" s="1822"/>
      <c r="L238" s="1822"/>
      <c r="M238" s="1822"/>
      <c r="N238" s="1827"/>
      <c r="X238" s="537" t="s">
        <v>4831</v>
      </c>
    </row>
    <row r="239" spans="1:31" s="536" customFormat="1" ht="33.75" x14ac:dyDescent="0.2">
      <c r="A239" s="575" t="s">
        <v>917</v>
      </c>
      <c r="B239" s="670" t="s">
        <v>4832</v>
      </c>
      <c r="C239" s="1823" t="s">
        <v>4833</v>
      </c>
      <c r="D239" s="1823"/>
      <c r="E239" s="1823"/>
      <c r="F239" s="573" t="s">
        <v>862</v>
      </c>
      <c r="G239" s="573"/>
      <c r="H239" s="573"/>
      <c r="I239" s="573" t="s">
        <v>4834</v>
      </c>
      <c r="J239" s="572"/>
      <c r="K239" s="573"/>
      <c r="L239" s="572"/>
      <c r="M239" s="571"/>
      <c r="N239" s="570"/>
      <c r="W239" s="537" t="s">
        <v>4833</v>
      </c>
    </row>
    <row r="240" spans="1:31" s="536" customFormat="1" x14ac:dyDescent="0.2">
      <c r="A240" s="676"/>
      <c r="B240" s="664"/>
      <c r="C240" s="1822" t="s">
        <v>4835</v>
      </c>
      <c r="D240" s="1822"/>
      <c r="E240" s="1822"/>
      <c r="F240" s="1822"/>
      <c r="G240" s="1822"/>
      <c r="H240" s="1822"/>
      <c r="I240" s="1822"/>
      <c r="J240" s="1822"/>
      <c r="K240" s="1822"/>
      <c r="L240" s="1822"/>
      <c r="M240" s="1822"/>
      <c r="N240" s="1827"/>
      <c r="X240" s="537" t="s">
        <v>4835</v>
      </c>
    </row>
    <row r="241" spans="1:30" s="536" customFormat="1" ht="33.75" x14ac:dyDescent="0.2">
      <c r="A241" s="609"/>
      <c r="B241" s="552" t="s">
        <v>310</v>
      </c>
      <c r="C241" s="1822" t="s">
        <v>311</v>
      </c>
      <c r="D241" s="1822"/>
      <c r="E241" s="1822"/>
      <c r="F241" s="1822"/>
      <c r="G241" s="1822"/>
      <c r="H241" s="1822"/>
      <c r="I241" s="1822"/>
      <c r="J241" s="1822"/>
      <c r="K241" s="1822"/>
      <c r="L241" s="1822"/>
      <c r="M241" s="1822"/>
      <c r="N241" s="1827"/>
      <c r="Y241" s="537" t="s">
        <v>311</v>
      </c>
    </row>
    <row r="242" spans="1:30" s="536" customFormat="1" x14ac:dyDescent="0.2">
      <c r="A242" s="605"/>
      <c r="B242" s="552" t="s">
        <v>185</v>
      </c>
      <c r="C242" s="1822" t="s">
        <v>312</v>
      </c>
      <c r="D242" s="1822"/>
      <c r="E242" s="1822"/>
      <c r="F242" s="562"/>
      <c r="G242" s="562"/>
      <c r="H242" s="562"/>
      <c r="I242" s="562"/>
      <c r="J242" s="604">
        <v>86.7</v>
      </c>
      <c r="K242" s="562" t="s">
        <v>313</v>
      </c>
      <c r="L242" s="604">
        <v>460.66</v>
      </c>
      <c r="M242" s="603"/>
      <c r="N242" s="602"/>
      <c r="Z242" s="537" t="s">
        <v>312</v>
      </c>
    </row>
    <row r="243" spans="1:30" s="536" customFormat="1" x14ac:dyDescent="0.2">
      <c r="A243" s="605"/>
      <c r="B243" s="552" t="s">
        <v>186</v>
      </c>
      <c r="C243" s="1822" t="s">
        <v>344</v>
      </c>
      <c r="D243" s="1822"/>
      <c r="E243" s="1822"/>
      <c r="F243" s="562"/>
      <c r="G243" s="562"/>
      <c r="H243" s="562"/>
      <c r="I243" s="562"/>
      <c r="J243" s="604">
        <v>16.61</v>
      </c>
      <c r="K243" s="562" t="s">
        <v>313</v>
      </c>
      <c r="L243" s="604">
        <v>88.25</v>
      </c>
      <c r="M243" s="603"/>
      <c r="N243" s="602"/>
      <c r="Z243" s="537" t="s">
        <v>344</v>
      </c>
    </row>
    <row r="244" spans="1:30" s="536" customFormat="1" x14ac:dyDescent="0.2">
      <c r="A244" s="605"/>
      <c r="B244" s="552" t="s">
        <v>187</v>
      </c>
      <c r="C244" s="1822" t="s">
        <v>345</v>
      </c>
      <c r="D244" s="1822"/>
      <c r="E244" s="1822"/>
      <c r="F244" s="562"/>
      <c r="G244" s="562"/>
      <c r="H244" s="562"/>
      <c r="I244" s="562"/>
      <c r="J244" s="604">
        <v>2.93</v>
      </c>
      <c r="K244" s="562" t="s">
        <v>313</v>
      </c>
      <c r="L244" s="604">
        <v>15.57</v>
      </c>
      <c r="M244" s="603"/>
      <c r="N244" s="602"/>
      <c r="Z244" s="537" t="s">
        <v>345</v>
      </c>
    </row>
    <row r="245" spans="1:30" s="536" customFormat="1" x14ac:dyDescent="0.2">
      <c r="A245" s="605"/>
      <c r="B245" s="552" t="s">
        <v>188</v>
      </c>
      <c r="C245" s="1822" t="s">
        <v>475</v>
      </c>
      <c r="D245" s="1822"/>
      <c r="E245" s="1822"/>
      <c r="F245" s="562"/>
      <c r="G245" s="562"/>
      <c r="H245" s="562"/>
      <c r="I245" s="562"/>
      <c r="J245" s="604">
        <v>0.66</v>
      </c>
      <c r="K245" s="562"/>
      <c r="L245" s="604">
        <v>2.81</v>
      </c>
      <c r="M245" s="603"/>
      <c r="N245" s="602"/>
      <c r="Z245" s="537" t="s">
        <v>475</v>
      </c>
    </row>
    <row r="246" spans="1:30" s="536" customFormat="1" x14ac:dyDescent="0.2">
      <c r="A246" s="676"/>
      <c r="B246" s="677" t="s">
        <v>4836</v>
      </c>
      <c r="C246" s="1829" t="s">
        <v>4837</v>
      </c>
      <c r="D246" s="1829"/>
      <c r="E246" s="1829"/>
      <c r="F246" s="678" t="s">
        <v>694</v>
      </c>
      <c r="G246" s="678" t="s">
        <v>1149</v>
      </c>
      <c r="H246" s="678"/>
      <c r="I246" s="678" t="s">
        <v>4838</v>
      </c>
      <c r="J246" s="552"/>
      <c r="K246" s="562"/>
      <c r="L246" s="604"/>
      <c r="M246" s="562"/>
      <c r="N246" s="679"/>
      <c r="AA246" s="537" t="s">
        <v>4837</v>
      </c>
    </row>
    <row r="247" spans="1:30" s="536" customFormat="1" x14ac:dyDescent="0.2">
      <c r="A247" s="605"/>
      <c r="B247" s="552"/>
      <c r="C247" s="1822" t="s">
        <v>314</v>
      </c>
      <c r="D247" s="1822"/>
      <c r="E247" s="1822"/>
      <c r="F247" s="562" t="s">
        <v>315</v>
      </c>
      <c r="G247" s="562" t="s">
        <v>4839</v>
      </c>
      <c r="H247" s="562" t="s">
        <v>313</v>
      </c>
      <c r="I247" s="562" t="s">
        <v>4840</v>
      </c>
      <c r="J247" s="604"/>
      <c r="K247" s="562"/>
      <c r="L247" s="604"/>
      <c r="M247" s="603"/>
      <c r="N247" s="602"/>
      <c r="AB247" s="537" t="s">
        <v>314</v>
      </c>
    </row>
    <row r="248" spans="1:30" s="536" customFormat="1" x14ac:dyDescent="0.2">
      <c r="A248" s="605"/>
      <c r="B248" s="552"/>
      <c r="C248" s="1822" t="s">
        <v>348</v>
      </c>
      <c r="D248" s="1822"/>
      <c r="E248" s="1822"/>
      <c r="F248" s="562" t="s">
        <v>315</v>
      </c>
      <c r="G248" s="562" t="s">
        <v>1846</v>
      </c>
      <c r="H248" s="562" t="s">
        <v>313</v>
      </c>
      <c r="I248" s="562" t="s">
        <v>4841</v>
      </c>
      <c r="J248" s="604"/>
      <c r="K248" s="562"/>
      <c r="L248" s="604"/>
      <c r="M248" s="603"/>
      <c r="N248" s="602"/>
      <c r="AB248" s="537" t="s">
        <v>348</v>
      </c>
    </row>
    <row r="249" spans="1:30" s="536" customFormat="1" x14ac:dyDescent="0.2">
      <c r="A249" s="605"/>
      <c r="B249" s="552"/>
      <c r="C249" s="1828" t="s">
        <v>318</v>
      </c>
      <c r="D249" s="1828"/>
      <c r="E249" s="1828"/>
      <c r="F249" s="608"/>
      <c r="G249" s="608"/>
      <c r="H249" s="608"/>
      <c r="I249" s="608"/>
      <c r="J249" s="607">
        <v>103.97</v>
      </c>
      <c r="K249" s="608"/>
      <c r="L249" s="607">
        <v>551.72</v>
      </c>
      <c r="M249" s="601"/>
      <c r="N249" s="606"/>
      <c r="AC249" s="537" t="s">
        <v>318</v>
      </c>
    </row>
    <row r="250" spans="1:30" s="536" customFormat="1" x14ac:dyDescent="0.2">
      <c r="A250" s="605"/>
      <c r="B250" s="552"/>
      <c r="C250" s="1822" t="s">
        <v>319</v>
      </c>
      <c r="D250" s="1822"/>
      <c r="E250" s="1822"/>
      <c r="F250" s="562"/>
      <c r="G250" s="562"/>
      <c r="H250" s="562"/>
      <c r="I250" s="562"/>
      <c r="J250" s="604"/>
      <c r="K250" s="562"/>
      <c r="L250" s="604">
        <v>476.23</v>
      </c>
      <c r="M250" s="603"/>
      <c r="N250" s="602"/>
      <c r="AB250" s="537" t="s">
        <v>319</v>
      </c>
    </row>
    <row r="251" spans="1:30" s="536" customFormat="1" ht="33.75" x14ac:dyDescent="0.2">
      <c r="A251" s="605"/>
      <c r="B251" s="552" t="s">
        <v>2032</v>
      </c>
      <c r="C251" s="1822" t="s">
        <v>2033</v>
      </c>
      <c r="D251" s="1822"/>
      <c r="E251" s="1822"/>
      <c r="F251" s="562" t="s">
        <v>322</v>
      </c>
      <c r="G251" s="562" t="s">
        <v>2034</v>
      </c>
      <c r="H251" s="562"/>
      <c r="I251" s="562" t="s">
        <v>2034</v>
      </c>
      <c r="J251" s="604"/>
      <c r="K251" s="562"/>
      <c r="L251" s="604">
        <v>523.85</v>
      </c>
      <c r="M251" s="603"/>
      <c r="N251" s="602"/>
      <c r="AB251" s="537" t="s">
        <v>2033</v>
      </c>
    </row>
    <row r="252" spans="1:30" s="536" customFormat="1" ht="33.75" x14ac:dyDescent="0.2">
      <c r="A252" s="605"/>
      <c r="B252" s="552" t="s">
        <v>2035</v>
      </c>
      <c r="C252" s="1822" t="s">
        <v>2036</v>
      </c>
      <c r="D252" s="1822"/>
      <c r="E252" s="1822"/>
      <c r="F252" s="562" t="s">
        <v>322</v>
      </c>
      <c r="G252" s="562" t="s">
        <v>2037</v>
      </c>
      <c r="H252" s="562"/>
      <c r="I252" s="562" t="s">
        <v>2037</v>
      </c>
      <c r="J252" s="604"/>
      <c r="K252" s="562"/>
      <c r="L252" s="604">
        <v>328.6</v>
      </c>
      <c r="M252" s="603"/>
      <c r="N252" s="602"/>
      <c r="AB252" s="537" t="s">
        <v>2036</v>
      </c>
    </row>
    <row r="253" spans="1:30" s="536" customFormat="1" x14ac:dyDescent="0.2">
      <c r="A253" s="569"/>
      <c r="B253" s="671"/>
      <c r="C253" s="1823" t="s">
        <v>327</v>
      </c>
      <c r="D253" s="1823"/>
      <c r="E253" s="1823"/>
      <c r="F253" s="573"/>
      <c r="G253" s="573"/>
      <c r="H253" s="573"/>
      <c r="I253" s="573"/>
      <c r="J253" s="572"/>
      <c r="K253" s="573"/>
      <c r="L253" s="572">
        <v>1404.17</v>
      </c>
      <c r="M253" s="601"/>
      <c r="N253" s="570"/>
      <c r="AD253" s="537" t="s">
        <v>327</v>
      </c>
    </row>
    <row r="254" spans="1:30" s="536" customFormat="1" ht="33.75" x14ac:dyDescent="0.2">
      <c r="A254" s="575" t="s">
        <v>761</v>
      </c>
      <c r="B254" s="670" t="s">
        <v>4842</v>
      </c>
      <c r="C254" s="1823" t="s">
        <v>4843</v>
      </c>
      <c r="D254" s="1823"/>
      <c r="E254" s="1823"/>
      <c r="F254" s="573" t="s">
        <v>699</v>
      </c>
      <c r="G254" s="573"/>
      <c r="H254" s="573"/>
      <c r="I254" s="573" t="s">
        <v>4844</v>
      </c>
      <c r="J254" s="572">
        <v>78.95</v>
      </c>
      <c r="K254" s="573"/>
      <c r="L254" s="572">
        <v>26846.95</v>
      </c>
      <c r="M254" s="571"/>
      <c r="N254" s="570"/>
      <c r="W254" s="537" t="s">
        <v>4843</v>
      </c>
    </row>
    <row r="255" spans="1:30" s="536" customFormat="1" x14ac:dyDescent="0.2">
      <c r="A255" s="569"/>
      <c r="B255" s="671"/>
      <c r="C255" s="665" t="s">
        <v>717</v>
      </c>
      <c r="D255" s="666"/>
      <c r="E255" s="666"/>
      <c r="F255" s="563"/>
      <c r="G255" s="563"/>
      <c r="H255" s="563"/>
      <c r="I255" s="563"/>
      <c r="J255" s="566"/>
      <c r="K255" s="563"/>
      <c r="L255" s="566"/>
      <c r="M255" s="565"/>
      <c r="N255" s="564"/>
    </row>
    <row r="256" spans="1:30" s="536" customFormat="1" x14ac:dyDescent="0.2">
      <c r="A256" s="676"/>
      <c r="B256" s="664"/>
      <c r="C256" s="1822" t="s">
        <v>4845</v>
      </c>
      <c r="D256" s="1822"/>
      <c r="E256" s="1822"/>
      <c r="F256" s="1822"/>
      <c r="G256" s="1822"/>
      <c r="H256" s="1822"/>
      <c r="I256" s="1822"/>
      <c r="J256" s="1822"/>
      <c r="K256" s="1822"/>
      <c r="L256" s="1822"/>
      <c r="M256" s="1822"/>
      <c r="N256" s="1827"/>
      <c r="X256" s="537" t="s">
        <v>4845</v>
      </c>
    </row>
    <row r="257" spans="1:30" s="536" customFormat="1" ht="22.5" x14ac:dyDescent="0.2">
      <c r="A257" s="575" t="s">
        <v>762</v>
      </c>
      <c r="B257" s="670" t="s">
        <v>4846</v>
      </c>
      <c r="C257" s="1823" t="s">
        <v>4847</v>
      </c>
      <c r="D257" s="1823"/>
      <c r="E257" s="1823"/>
      <c r="F257" s="573" t="s">
        <v>862</v>
      </c>
      <c r="G257" s="573"/>
      <c r="H257" s="573"/>
      <c r="I257" s="573" t="s">
        <v>4834</v>
      </c>
      <c r="J257" s="572"/>
      <c r="K257" s="573"/>
      <c r="L257" s="572"/>
      <c r="M257" s="571"/>
      <c r="N257" s="570"/>
      <c r="W257" s="537" t="s">
        <v>4847</v>
      </c>
    </row>
    <row r="258" spans="1:30" s="536" customFormat="1" x14ac:dyDescent="0.2">
      <c r="A258" s="676"/>
      <c r="B258" s="664"/>
      <c r="C258" s="1822" t="s">
        <v>4835</v>
      </c>
      <c r="D258" s="1822"/>
      <c r="E258" s="1822"/>
      <c r="F258" s="1822"/>
      <c r="G258" s="1822"/>
      <c r="H258" s="1822"/>
      <c r="I258" s="1822"/>
      <c r="J258" s="1822"/>
      <c r="K258" s="1822"/>
      <c r="L258" s="1822"/>
      <c r="M258" s="1822"/>
      <c r="N258" s="1827"/>
      <c r="X258" s="537" t="s">
        <v>4835</v>
      </c>
    </row>
    <row r="259" spans="1:30" s="536" customFormat="1" ht="33.75" x14ac:dyDescent="0.2">
      <c r="A259" s="609"/>
      <c r="B259" s="552" t="s">
        <v>310</v>
      </c>
      <c r="C259" s="1822" t="s">
        <v>311</v>
      </c>
      <c r="D259" s="1822"/>
      <c r="E259" s="1822"/>
      <c r="F259" s="1822"/>
      <c r="G259" s="1822"/>
      <c r="H259" s="1822"/>
      <c r="I259" s="1822"/>
      <c r="J259" s="1822"/>
      <c r="K259" s="1822"/>
      <c r="L259" s="1822"/>
      <c r="M259" s="1822"/>
      <c r="N259" s="1827"/>
      <c r="Y259" s="537" t="s">
        <v>311</v>
      </c>
    </row>
    <row r="260" spans="1:30" s="536" customFormat="1" x14ac:dyDescent="0.2">
      <c r="A260" s="605"/>
      <c r="B260" s="552" t="s">
        <v>185</v>
      </c>
      <c r="C260" s="1822" t="s">
        <v>312</v>
      </c>
      <c r="D260" s="1822"/>
      <c r="E260" s="1822"/>
      <c r="F260" s="562"/>
      <c r="G260" s="562"/>
      <c r="H260" s="562"/>
      <c r="I260" s="562"/>
      <c r="J260" s="604">
        <v>196.73</v>
      </c>
      <c r="K260" s="562" t="s">
        <v>313</v>
      </c>
      <c r="L260" s="604">
        <v>1045.28</v>
      </c>
      <c r="M260" s="603"/>
      <c r="N260" s="602"/>
      <c r="Z260" s="537" t="s">
        <v>312</v>
      </c>
    </row>
    <row r="261" spans="1:30" s="536" customFormat="1" x14ac:dyDescent="0.2">
      <c r="A261" s="605"/>
      <c r="B261" s="552" t="s">
        <v>186</v>
      </c>
      <c r="C261" s="1822" t="s">
        <v>344</v>
      </c>
      <c r="D261" s="1822"/>
      <c r="E261" s="1822"/>
      <c r="F261" s="562"/>
      <c r="G261" s="562"/>
      <c r="H261" s="562"/>
      <c r="I261" s="562"/>
      <c r="J261" s="604">
        <v>220.44</v>
      </c>
      <c r="K261" s="562" t="s">
        <v>313</v>
      </c>
      <c r="L261" s="604">
        <v>1171.25</v>
      </c>
      <c r="M261" s="603"/>
      <c r="N261" s="602"/>
      <c r="Z261" s="537" t="s">
        <v>344</v>
      </c>
    </row>
    <row r="262" spans="1:30" s="536" customFormat="1" x14ac:dyDescent="0.2">
      <c r="A262" s="605"/>
      <c r="B262" s="552" t="s">
        <v>187</v>
      </c>
      <c r="C262" s="1822" t="s">
        <v>345</v>
      </c>
      <c r="D262" s="1822"/>
      <c r="E262" s="1822"/>
      <c r="F262" s="562"/>
      <c r="G262" s="562"/>
      <c r="H262" s="562"/>
      <c r="I262" s="562"/>
      <c r="J262" s="604">
        <v>3.77</v>
      </c>
      <c r="K262" s="562" t="s">
        <v>313</v>
      </c>
      <c r="L262" s="604">
        <v>20.03</v>
      </c>
      <c r="M262" s="603"/>
      <c r="N262" s="602"/>
      <c r="Z262" s="537" t="s">
        <v>345</v>
      </c>
    </row>
    <row r="263" spans="1:30" s="536" customFormat="1" x14ac:dyDescent="0.2">
      <c r="A263" s="605"/>
      <c r="B263" s="552" t="s">
        <v>188</v>
      </c>
      <c r="C263" s="1822" t="s">
        <v>475</v>
      </c>
      <c r="D263" s="1822"/>
      <c r="E263" s="1822"/>
      <c r="F263" s="562"/>
      <c r="G263" s="562"/>
      <c r="H263" s="562"/>
      <c r="I263" s="562"/>
      <c r="J263" s="604">
        <v>519.53</v>
      </c>
      <c r="K263" s="562"/>
      <c r="L263" s="604">
        <v>2208.31</v>
      </c>
      <c r="M263" s="603"/>
      <c r="N263" s="602"/>
      <c r="Z263" s="537" t="s">
        <v>475</v>
      </c>
    </row>
    <row r="264" spans="1:30" s="536" customFormat="1" ht="45" x14ac:dyDescent="0.2">
      <c r="A264" s="676"/>
      <c r="B264" s="677" t="s">
        <v>4745</v>
      </c>
      <c r="C264" s="1829" t="s">
        <v>4848</v>
      </c>
      <c r="D264" s="1829"/>
      <c r="E264" s="1829"/>
      <c r="F264" s="678" t="s">
        <v>483</v>
      </c>
      <c r="G264" s="678" t="s">
        <v>4849</v>
      </c>
      <c r="H264" s="678"/>
      <c r="I264" s="678" t="s">
        <v>4850</v>
      </c>
      <c r="J264" s="552"/>
      <c r="K264" s="562"/>
      <c r="L264" s="604"/>
      <c r="M264" s="562"/>
      <c r="N264" s="679"/>
      <c r="AA264" s="537" t="s">
        <v>4848</v>
      </c>
    </row>
    <row r="265" spans="1:30" s="536" customFormat="1" ht="33.75" x14ac:dyDescent="0.2">
      <c r="A265" s="676"/>
      <c r="B265" s="677" t="s">
        <v>4745</v>
      </c>
      <c r="C265" s="1829" t="s">
        <v>4746</v>
      </c>
      <c r="D265" s="1829"/>
      <c r="E265" s="1829"/>
      <c r="F265" s="678" t="s">
        <v>865</v>
      </c>
      <c r="G265" s="678" t="s">
        <v>3036</v>
      </c>
      <c r="H265" s="678"/>
      <c r="I265" s="678" t="s">
        <v>4851</v>
      </c>
      <c r="J265" s="552"/>
      <c r="K265" s="562"/>
      <c r="L265" s="604"/>
      <c r="M265" s="562"/>
      <c r="N265" s="679"/>
      <c r="AA265" s="537" t="s">
        <v>4746</v>
      </c>
    </row>
    <row r="266" spans="1:30" s="536" customFormat="1" ht="22.5" x14ac:dyDescent="0.2">
      <c r="A266" s="605"/>
      <c r="B266" s="552"/>
      <c r="C266" s="1822" t="s">
        <v>314</v>
      </c>
      <c r="D266" s="1822"/>
      <c r="E266" s="1822"/>
      <c r="F266" s="562" t="s">
        <v>315</v>
      </c>
      <c r="G266" s="562" t="s">
        <v>4852</v>
      </c>
      <c r="H266" s="562" t="s">
        <v>313</v>
      </c>
      <c r="I266" s="562" t="s">
        <v>4853</v>
      </c>
      <c r="J266" s="604"/>
      <c r="K266" s="562"/>
      <c r="L266" s="604"/>
      <c r="M266" s="603"/>
      <c r="N266" s="602"/>
      <c r="AB266" s="537" t="s">
        <v>314</v>
      </c>
    </row>
    <row r="267" spans="1:30" s="536" customFormat="1" x14ac:dyDescent="0.2">
      <c r="A267" s="605"/>
      <c r="B267" s="552"/>
      <c r="C267" s="1822" t="s">
        <v>348</v>
      </c>
      <c r="D267" s="1822"/>
      <c r="E267" s="1822"/>
      <c r="F267" s="562" t="s">
        <v>315</v>
      </c>
      <c r="G267" s="562" t="s">
        <v>913</v>
      </c>
      <c r="H267" s="562" t="s">
        <v>313</v>
      </c>
      <c r="I267" s="562" t="s">
        <v>4854</v>
      </c>
      <c r="J267" s="604"/>
      <c r="K267" s="562"/>
      <c r="L267" s="604"/>
      <c r="M267" s="603"/>
      <c r="N267" s="602"/>
      <c r="AB267" s="537" t="s">
        <v>348</v>
      </c>
    </row>
    <row r="268" spans="1:30" s="536" customFormat="1" x14ac:dyDescent="0.2">
      <c r="A268" s="605"/>
      <c r="B268" s="552"/>
      <c r="C268" s="1828" t="s">
        <v>318</v>
      </c>
      <c r="D268" s="1828"/>
      <c r="E268" s="1828"/>
      <c r="F268" s="608"/>
      <c r="G268" s="608"/>
      <c r="H268" s="608"/>
      <c r="I268" s="608"/>
      <c r="J268" s="607">
        <v>936.7</v>
      </c>
      <c r="K268" s="608"/>
      <c r="L268" s="607">
        <v>4424.84</v>
      </c>
      <c r="M268" s="601"/>
      <c r="N268" s="606"/>
      <c r="AC268" s="537" t="s">
        <v>318</v>
      </c>
    </row>
    <row r="269" spans="1:30" s="536" customFormat="1" x14ac:dyDescent="0.2">
      <c r="A269" s="605"/>
      <c r="B269" s="552"/>
      <c r="C269" s="1822" t="s">
        <v>319</v>
      </c>
      <c r="D269" s="1822"/>
      <c r="E269" s="1822"/>
      <c r="F269" s="562"/>
      <c r="G269" s="562"/>
      <c r="H269" s="562"/>
      <c r="I269" s="562"/>
      <c r="J269" s="604"/>
      <c r="K269" s="562"/>
      <c r="L269" s="604">
        <v>1065.31</v>
      </c>
      <c r="M269" s="603"/>
      <c r="N269" s="602"/>
      <c r="AB269" s="537" t="s">
        <v>319</v>
      </c>
    </row>
    <row r="270" spans="1:30" s="536" customFormat="1" ht="33.75" x14ac:dyDescent="0.2">
      <c r="A270" s="605"/>
      <c r="B270" s="552" t="s">
        <v>2032</v>
      </c>
      <c r="C270" s="1822" t="s">
        <v>2033</v>
      </c>
      <c r="D270" s="1822"/>
      <c r="E270" s="1822"/>
      <c r="F270" s="562" t="s">
        <v>322</v>
      </c>
      <c r="G270" s="562" t="s">
        <v>2034</v>
      </c>
      <c r="H270" s="562"/>
      <c r="I270" s="562" t="s">
        <v>2034</v>
      </c>
      <c r="J270" s="604"/>
      <c r="K270" s="562"/>
      <c r="L270" s="604">
        <v>1171.8399999999999</v>
      </c>
      <c r="M270" s="603"/>
      <c r="N270" s="602"/>
      <c r="AB270" s="537" t="s">
        <v>2033</v>
      </c>
    </row>
    <row r="271" spans="1:30" s="536" customFormat="1" ht="33.75" x14ac:dyDescent="0.2">
      <c r="A271" s="605"/>
      <c r="B271" s="552" t="s">
        <v>2035</v>
      </c>
      <c r="C271" s="1822" t="s">
        <v>2036</v>
      </c>
      <c r="D271" s="1822"/>
      <c r="E271" s="1822"/>
      <c r="F271" s="562" t="s">
        <v>322</v>
      </c>
      <c r="G271" s="562" t="s">
        <v>2037</v>
      </c>
      <c r="H271" s="562"/>
      <c r="I271" s="562" t="s">
        <v>2037</v>
      </c>
      <c r="J271" s="604"/>
      <c r="K271" s="562"/>
      <c r="L271" s="604">
        <v>735.06</v>
      </c>
      <c r="M271" s="603"/>
      <c r="N271" s="602"/>
      <c r="AB271" s="537" t="s">
        <v>2036</v>
      </c>
    </row>
    <row r="272" spans="1:30" s="536" customFormat="1" x14ac:dyDescent="0.2">
      <c r="A272" s="569"/>
      <c r="B272" s="671"/>
      <c r="C272" s="1823" t="s">
        <v>327</v>
      </c>
      <c r="D272" s="1823"/>
      <c r="E272" s="1823"/>
      <c r="F272" s="573"/>
      <c r="G272" s="573"/>
      <c r="H272" s="573"/>
      <c r="I272" s="573"/>
      <c r="J272" s="572"/>
      <c r="K272" s="573"/>
      <c r="L272" s="572">
        <v>6331.74</v>
      </c>
      <c r="M272" s="601"/>
      <c r="N272" s="570"/>
      <c r="AD272" s="537" t="s">
        <v>327</v>
      </c>
    </row>
    <row r="273" spans="1:28" s="536" customFormat="1" ht="56.25" x14ac:dyDescent="0.2">
      <c r="A273" s="575" t="s">
        <v>763</v>
      </c>
      <c r="B273" s="670" t="s">
        <v>4855</v>
      </c>
      <c r="C273" s="1823" t="s">
        <v>4856</v>
      </c>
      <c r="D273" s="1823"/>
      <c r="E273" s="1823"/>
      <c r="F273" s="573" t="s">
        <v>865</v>
      </c>
      <c r="G273" s="573"/>
      <c r="H273" s="573"/>
      <c r="I273" s="573" t="s">
        <v>4857</v>
      </c>
      <c r="J273" s="572">
        <v>47.47</v>
      </c>
      <c r="K273" s="573"/>
      <c r="L273" s="572">
        <v>11952.08</v>
      </c>
      <c r="M273" s="571"/>
      <c r="N273" s="570"/>
      <c r="W273" s="537" t="s">
        <v>4856</v>
      </c>
    </row>
    <row r="274" spans="1:28" s="536" customFormat="1" x14ac:dyDescent="0.2">
      <c r="A274" s="569"/>
      <c r="B274" s="671"/>
      <c r="C274" s="665" t="s">
        <v>717</v>
      </c>
      <c r="D274" s="666"/>
      <c r="E274" s="666"/>
      <c r="F274" s="563"/>
      <c r="G274" s="563"/>
      <c r="H274" s="563"/>
      <c r="I274" s="563"/>
      <c r="J274" s="566"/>
      <c r="K274" s="563"/>
      <c r="L274" s="566"/>
      <c r="M274" s="565"/>
      <c r="N274" s="564"/>
    </row>
    <row r="275" spans="1:28" s="536" customFormat="1" x14ac:dyDescent="0.2">
      <c r="A275" s="676"/>
      <c r="B275" s="664"/>
      <c r="C275" s="1822" t="s">
        <v>4858</v>
      </c>
      <c r="D275" s="1822"/>
      <c r="E275" s="1822"/>
      <c r="F275" s="1822"/>
      <c r="G275" s="1822"/>
      <c r="H275" s="1822"/>
      <c r="I275" s="1822"/>
      <c r="J275" s="1822"/>
      <c r="K275" s="1822"/>
      <c r="L275" s="1822"/>
      <c r="M275" s="1822"/>
      <c r="N275" s="1827"/>
      <c r="X275" s="537" t="s">
        <v>4858</v>
      </c>
    </row>
    <row r="276" spans="1:28" s="536" customFormat="1" ht="56.25" x14ac:dyDescent="0.2">
      <c r="A276" s="575" t="s">
        <v>922</v>
      </c>
      <c r="B276" s="670" t="s">
        <v>4859</v>
      </c>
      <c r="C276" s="1823" t="s">
        <v>4860</v>
      </c>
      <c r="D276" s="1823"/>
      <c r="E276" s="1823"/>
      <c r="F276" s="573" t="s">
        <v>865</v>
      </c>
      <c r="G276" s="573"/>
      <c r="H276" s="573"/>
      <c r="I276" s="573" t="s">
        <v>4861</v>
      </c>
      <c r="J276" s="572">
        <v>15.71</v>
      </c>
      <c r="K276" s="573"/>
      <c r="L276" s="572">
        <v>7679.36</v>
      </c>
      <c r="M276" s="571"/>
      <c r="N276" s="570"/>
      <c r="W276" s="537" t="s">
        <v>4860</v>
      </c>
    </row>
    <row r="277" spans="1:28" s="536" customFormat="1" x14ac:dyDescent="0.2">
      <c r="A277" s="569"/>
      <c r="B277" s="671"/>
      <c r="C277" s="665" t="s">
        <v>717</v>
      </c>
      <c r="D277" s="666"/>
      <c r="E277" s="666"/>
      <c r="F277" s="563"/>
      <c r="G277" s="563"/>
      <c r="H277" s="563"/>
      <c r="I277" s="563"/>
      <c r="J277" s="566"/>
      <c r="K277" s="563"/>
      <c r="L277" s="566"/>
      <c r="M277" s="565"/>
      <c r="N277" s="564"/>
    </row>
    <row r="278" spans="1:28" s="536" customFormat="1" ht="22.5" x14ac:dyDescent="0.2">
      <c r="A278" s="575" t="s">
        <v>765</v>
      </c>
      <c r="B278" s="670" t="s">
        <v>4862</v>
      </c>
      <c r="C278" s="1823" t="s">
        <v>4863</v>
      </c>
      <c r="D278" s="1823"/>
      <c r="E278" s="1823"/>
      <c r="F278" s="573" t="s">
        <v>862</v>
      </c>
      <c r="G278" s="573"/>
      <c r="H278" s="573"/>
      <c r="I278" s="573" t="s">
        <v>4834</v>
      </c>
      <c r="J278" s="572"/>
      <c r="K278" s="573"/>
      <c r="L278" s="572"/>
      <c r="M278" s="571"/>
      <c r="N278" s="570"/>
      <c r="W278" s="537" t="s">
        <v>4863</v>
      </c>
    </row>
    <row r="279" spans="1:28" s="536" customFormat="1" x14ac:dyDescent="0.2">
      <c r="A279" s="676"/>
      <c r="B279" s="664"/>
      <c r="C279" s="1822" t="s">
        <v>4835</v>
      </c>
      <c r="D279" s="1822"/>
      <c r="E279" s="1822"/>
      <c r="F279" s="1822"/>
      <c r="G279" s="1822"/>
      <c r="H279" s="1822"/>
      <c r="I279" s="1822"/>
      <c r="J279" s="1822"/>
      <c r="K279" s="1822"/>
      <c r="L279" s="1822"/>
      <c r="M279" s="1822"/>
      <c r="N279" s="1827"/>
      <c r="X279" s="537" t="s">
        <v>4835</v>
      </c>
    </row>
    <row r="280" spans="1:28" s="536" customFormat="1" x14ac:dyDescent="0.2">
      <c r="A280" s="609"/>
      <c r="B280" s="552"/>
      <c r="C280" s="1822" t="s">
        <v>4744</v>
      </c>
      <c r="D280" s="1822"/>
      <c r="E280" s="1822"/>
      <c r="F280" s="1822"/>
      <c r="G280" s="1822"/>
      <c r="H280" s="1822"/>
      <c r="I280" s="1822"/>
      <c r="J280" s="1822"/>
      <c r="K280" s="1822"/>
      <c r="L280" s="1822"/>
      <c r="M280" s="1822"/>
      <c r="N280" s="1827"/>
      <c r="Y280" s="537" t="s">
        <v>4744</v>
      </c>
    </row>
    <row r="281" spans="1:28" s="536" customFormat="1" ht="33.75" x14ac:dyDescent="0.2">
      <c r="A281" s="609"/>
      <c r="B281" s="552" t="s">
        <v>310</v>
      </c>
      <c r="C281" s="1822" t="s">
        <v>311</v>
      </c>
      <c r="D281" s="1822"/>
      <c r="E281" s="1822"/>
      <c r="F281" s="1822"/>
      <c r="G281" s="1822"/>
      <c r="H281" s="1822"/>
      <c r="I281" s="1822"/>
      <c r="J281" s="1822"/>
      <c r="K281" s="1822"/>
      <c r="L281" s="1822"/>
      <c r="M281" s="1822"/>
      <c r="N281" s="1827"/>
      <c r="Y281" s="537" t="s">
        <v>311</v>
      </c>
    </row>
    <row r="282" spans="1:28" s="536" customFormat="1" x14ac:dyDescent="0.2">
      <c r="A282" s="605"/>
      <c r="B282" s="552" t="s">
        <v>185</v>
      </c>
      <c r="C282" s="1822" t="s">
        <v>312</v>
      </c>
      <c r="D282" s="1822"/>
      <c r="E282" s="1822"/>
      <c r="F282" s="562"/>
      <c r="G282" s="562"/>
      <c r="H282" s="562"/>
      <c r="I282" s="562"/>
      <c r="J282" s="604">
        <v>209.45</v>
      </c>
      <c r="K282" s="562" t="s">
        <v>722</v>
      </c>
      <c r="L282" s="604">
        <v>2225.7199999999998</v>
      </c>
      <c r="M282" s="603"/>
      <c r="N282" s="602"/>
      <c r="Z282" s="537" t="s">
        <v>312</v>
      </c>
    </row>
    <row r="283" spans="1:28" s="536" customFormat="1" x14ac:dyDescent="0.2">
      <c r="A283" s="605"/>
      <c r="B283" s="552" t="s">
        <v>186</v>
      </c>
      <c r="C283" s="1822" t="s">
        <v>344</v>
      </c>
      <c r="D283" s="1822"/>
      <c r="E283" s="1822"/>
      <c r="F283" s="562"/>
      <c r="G283" s="562"/>
      <c r="H283" s="562"/>
      <c r="I283" s="562"/>
      <c r="J283" s="604">
        <v>144.19</v>
      </c>
      <c r="K283" s="562" t="s">
        <v>722</v>
      </c>
      <c r="L283" s="604">
        <v>1532.24</v>
      </c>
      <c r="M283" s="603"/>
      <c r="N283" s="602"/>
      <c r="Z283" s="537" t="s">
        <v>344</v>
      </c>
    </row>
    <row r="284" spans="1:28" s="536" customFormat="1" x14ac:dyDescent="0.2">
      <c r="A284" s="605"/>
      <c r="B284" s="552" t="s">
        <v>187</v>
      </c>
      <c r="C284" s="1822" t="s">
        <v>345</v>
      </c>
      <c r="D284" s="1822"/>
      <c r="E284" s="1822"/>
      <c r="F284" s="562"/>
      <c r="G284" s="562"/>
      <c r="H284" s="562"/>
      <c r="I284" s="562"/>
      <c r="J284" s="604">
        <v>2.2400000000000002</v>
      </c>
      <c r="K284" s="562" t="s">
        <v>722</v>
      </c>
      <c r="L284" s="604">
        <v>23.8</v>
      </c>
      <c r="M284" s="603"/>
      <c r="N284" s="602"/>
      <c r="Z284" s="537" t="s">
        <v>345</v>
      </c>
    </row>
    <row r="285" spans="1:28" s="536" customFormat="1" x14ac:dyDescent="0.2">
      <c r="A285" s="605"/>
      <c r="B285" s="552" t="s">
        <v>188</v>
      </c>
      <c r="C285" s="1822" t="s">
        <v>475</v>
      </c>
      <c r="D285" s="1822"/>
      <c r="E285" s="1822"/>
      <c r="F285" s="562"/>
      <c r="G285" s="562"/>
      <c r="H285" s="562"/>
      <c r="I285" s="562"/>
      <c r="J285" s="604">
        <v>305.74</v>
      </c>
      <c r="K285" s="562" t="s">
        <v>186</v>
      </c>
      <c r="L285" s="604">
        <v>2599.16</v>
      </c>
      <c r="M285" s="603"/>
      <c r="N285" s="602"/>
      <c r="Z285" s="537" t="s">
        <v>475</v>
      </c>
    </row>
    <row r="286" spans="1:28" s="536" customFormat="1" ht="33.75" x14ac:dyDescent="0.2">
      <c r="A286" s="676"/>
      <c r="B286" s="677" t="s">
        <v>4745</v>
      </c>
      <c r="C286" s="1829" t="s">
        <v>4746</v>
      </c>
      <c r="D286" s="1829"/>
      <c r="E286" s="1829"/>
      <c r="F286" s="678" t="s">
        <v>865</v>
      </c>
      <c r="G286" s="678" t="s">
        <v>3036</v>
      </c>
      <c r="H286" s="678" t="s">
        <v>186</v>
      </c>
      <c r="I286" s="678" t="s">
        <v>4864</v>
      </c>
      <c r="J286" s="552"/>
      <c r="K286" s="562"/>
      <c r="L286" s="604"/>
      <c r="M286" s="562"/>
      <c r="N286" s="679"/>
      <c r="AA286" s="537" t="s">
        <v>4746</v>
      </c>
    </row>
    <row r="287" spans="1:28" s="536" customFormat="1" x14ac:dyDescent="0.2">
      <c r="A287" s="605"/>
      <c r="B287" s="552"/>
      <c r="C287" s="1822" t="s">
        <v>314</v>
      </c>
      <c r="D287" s="1822"/>
      <c r="E287" s="1822"/>
      <c r="F287" s="562" t="s">
        <v>315</v>
      </c>
      <c r="G287" s="562" t="s">
        <v>4865</v>
      </c>
      <c r="H287" s="562" t="s">
        <v>722</v>
      </c>
      <c r="I287" s="562" t="s">
        <v>4866</v>
      </c>
      <c r="J287" s="604"/>
      <c r="K287" s="562"/>
      <c r="L287" s="604"/>
      <c r="M287" s="603"/>
      <c r="N287" s="602"/>
      <c r="AB287" s="537" t="s">
        <v>314</v>
      </c>
    </row>
    <row r="288" spans="1:28" s="536" customFormat="1" x14ac:dyDescent="0.2">
      <c r="A288" s="605"/>
      <c r="B288" s="552"/>
      <c r="C288" s="1822" t="s">
        <v>348</v>
      </c>
      <c r="D288" s="1822"/>
      <c r="E288" s="1822"/>
      <c r="F288" s="562" t="s">
        <v>315</v>
      </c>
      <c r="G288" s="562" t="s">
        <v>1200</v>
      </c>
      <c r="H288" s="562" t="s">
        <v>722</v>
      </c>
      <c r="I288" s="562" t="s">
        <v>4867</v>
      </c>
      <c r="J288" s="604"/>
      <c r="K288" s="562"/>
      <c r="L288" s="604"/>
      <c r="M288" s="603"/>
      <c r="N288" s="602"/>
      <c r="AB288" s="537" t="s">
        <v>348</v>
      </c>
    </row>
    <row r="289" spans="1:30" s="536" customFormat="1" x14ac:dyDescent="0.2">
      <c r="A289" s="605"/>
      <c r="B289" s="552"/>
      <c r="C289" s="1828" t="s">
        <v>318</v>
      </c>
      <c r="D289" s="1828"/>
      <c r="E289" s="1828"/>
      <c r="F289" s="608"/>
      <c r="G289" s="608"/>
      <c r="H289" s="608"/>
      <c r="I289" s="608"/>
      <c r="J289" s="607">
        <v>659.38</v>
      </c>
      <c r="K289" s="608"/>
      <c r="L289" s="607">
        <v>6357.12</v>
      </c>
      <c r="M289" s="601"/>
      <c r="N289" s="606"/>
      <c r="AC289" s="537" t="s">
        <v>318</v>
      </c>
    </row>
    <row r="290" spans="1:30" s="536" customFormat="1" x14ac:dyDescent="0.2">
      <c r="A290" s="605"/>
      <c r="B290" s="552"/>
      <c r="C290" s="1822" t="s">
        <v>319</v>
      </c>
      <c r="D290" s="1822"/>
      <c r="E290" s="1822"/>
      <c r="F290" s="562"/>
      <c r="G290" s="562"/>
      <c r="H290" s="562"/>
      <c r="I290" s="562"/>
      <c r="J290" s="604"/>
      <c r="K290" s="562"/>
      <c r="L290" s="604">
        <v>2249.52</v>
      </c>
      <c r="M290" s="603"/>
      <c r="N290" s="602"/>
      <c r="AB290" s="537" t="s">
        <v>319</v>
      </c>
    </row>
    <row r="291" spans="1:30" s="536" customFormat="1" ht="33.75" x14ac:dyDescent="0.2">
      <c r="A291" s="605"/>
      <c r="B291" s="552" t="s">
        <v>2032</v>
      </c>
      <c r="C291" s="1822" t="s">
        <v>2033</v>
      </c>
      <c r="D291" s="1822"/>
      <c r="E291" s="1822"/>
      <c r="F291" s="562" t="s">
        <v>322</v>
      </c>
      <c r="G291" s="562" t="s">
        <v>2034</v>
      </c>
      <c r="H291" s="562"/>
      <c r="I291" s="562" t="s">
        <v>2034</v>
      </c>
      <c r="J291" s="604"/>
      <c r="K291" s="562"/>
      <c r="L291" s="604">
        <v>2474.4699999999998</v>
      </c>
      <c r="M291" s="603"/>
      <c r="N291" s="602"/>
      <c r="AB291" s="537" t="s">
        <v>2033</v>
      </c>
    </row>
    <row r="292" spans="1:30" s="536" customFormat="1" ht="33.75" x14ac:dyDescent="0.2">
      <c r="A292" s="605"/>
      <c r="B292" s="552" t="s">
        <v>2035</v>
      </c>
      <c r="C292" s="1822" t="s">
        <v>2036</v>
      </c>
      <c r="D292" s="1822"/>
      <c r="E292" s="1822"/>
      <c r="F292" s="562" t="s">
        <v>322</v>
      </c>
      <c r="G292" s="562" t="s">
        <v>2037</v>
      </c>
      <c r="H292" s="562"/>
      <c r="I292" s="562" t="s">
        <v>2037</v>
      </c>
      <c r="J292" s="604"/>
      <c r="K292" s="562"/>
      <c r="L292" s="604">
        <v>1552.17</v>
      </c>
      <c r="M292" s="603"/>
      <c r="N292" s="602"/>
      <c r="AB292" s="537" t="s">
        <v>2036</v>
      </c>
    </row>
    <row r="293" spans="1:30" s="536" customFormat="1" x14ac:dyDescent="0.2">
      <c r="A293" s="569"/>
      <c r="B293" s="671"/>
      <c r="C293" s="1823" t="s">
        <v>327</v>
      </c>
      <c r="D293" s="1823"/>
      <c r="E293" s="1823"/>
      <c r="F293" s="573"/>
      <c r="G293" s="573"/>
      <c r="H293" s="573"/>
      <c r="I293" s="573"/>
      <c r="J293" s="572"/>
      <c r="K293" s="573"/>
      <c r="L293" s="572">
        <v>10383.76</v>
      </c>
      <c r="M293" s="601"/>
      <c r="N293" s="570"/>
      <c r="AD293" s="537" t="s">
        <v>327</v>
      </c>
    </row>
    <row r="294" spans="1:30" s="536" customFormat="1" ht="78.75" x14ac:dyDescent="0.2">
      <c r="A294" s="575" t="s">
        <v>505</v>
      </c>
      <c r="B294" s="670" t="s">
        <v>4751</v>
      </c>
      <c r="C294" s="1823" t="s">
        <v>4752</v>
      </c>
      <c r="D294" s="1823"/>
      <c r="E294" s="1823"/>
      <c r="F294" s="573" t="s">
        <v>865</v>
      </c>
      <c r="G294" s="573"/>
      <c r="H294" s="573"/>
      <c r="I294" s="573" t="s">
        <v>4868</v>
      </c>
      <c r="J294" s="572">
        <v>24.94</v>
      </c>
      <c r="K294" s="573"/>
      <c r="L294" s="572">
        <v>24382.34</v>
      </c>
      <c r="M294" s="571"/>
      <c r="N294" s="570"/>
      <c r="W294" s="537" t="s">
        <v>4752</v>
      </c>
    </row>
    <row r="295" spans="1:30" s="536" customFormat="1" x14ac:dyDescent="0.2">
      <c r="A295" s="569"/>
      <c r="B295" s="671"/>
      <c r="C295" s="665" t="s">
        <v>717</v>
      </c>
      <c r="D295" s="666"/>
      <c r="E295" s="666"/>
      <c r="F295" s="563"/>
      <c r="G295" s="563"/>
      <c r="H295" s="563"/>
      <c r="I295" s="563"/>
      <c r="J295" s="566"/>
      <c r="K295" s="563"/>
      <c r="L295" s="566"/>
      <c r="M295" s="565"/>
      <c r="N295" s="564"/>
    </row>
    <row r="296" spans="1:30" s="536" customFormat="1" ht="45" x14ac:dyDescent="0.2">
      <c r="A296" s="575" t="s">
        <v>767</v>
      </c>
      <c r="B296" s="670" t="s">
        <v>4869</v>
      </c>
      <c r="C296" s="1823" t="s">
        <v>4870</v>
      </c>
      <c r="D296" s="1823"/>
      <c r="E296" s="1823"/>
      <c r="F296" s="573" t="s">
        <v>862</v>
      </c>
      <c r="G296" s="573"/>
      <c r="H296" s="573"/>
      <c r="I296" s="573" t="s">
        <v>4871</v>
      </c>
      <c r="J296" s="572"/>
      <c r="K296" s="573"/>
      <c r="L296" s="572"/>
      <c r="M296" s="571"/>
      <c r="N296" s="570"/>
      <c r="W296" s="537" t="s">
        <v>4870</v>
      </c>
    </row>
    <row r="297" spans="1:30" s="536" customFormat="1" x14ac:dyDescent="0.2">
      <c r="A297" s="676"/>
      <c r="B297" s="664"/>
      <c r="C297" s="1822" t="s">
        <v>4872</v>
      </c>
      <c r="D297" s="1822"/>
      <c r="E297" s="1822"/>
      <c r="F297" s="1822"/>
      <c r="G297" s="1822"/>
      <c r="H297" s="1822"/>
      <c r="I297" s="1822"/>
      <c r="J297" s="1822"/>
      <c r="K297" s="1822"/>
      <c r="L297" s="1822"/>
      <c r="M297" s="1822"/>
      <c r="N297" s="1827"/>
      <c r="X297" s="537" t="s">
        <v>4872</v>
      </c>
    </row>
    <row r="298" spans="1:30" s="536" customFormat="1" ht="33.75" x14ac:dyDescent="0.2">
      <c r="A298" s="609"/>
      <c r="B298" s="552" t="s">
        <v>310</v>
      </c>
      <c r="C298" s="1822" t="s">
        <v>311</v>
      </c>
      <c r="D298" s="1822"/>
      <c r="E298" s="1822"/>
      <c r="F298" s="1822"/>
      <c r="G298" s="1822"/>
      <c r="H298" s="1822"/>
      <c r="I298" s="1822"/>
      <c r="J298" s="1822"/>
      <c r="K298" s="1822"/>
      <c r="L298" s="1822"/>
      <c r="M298" s="1822"/>
      <c r="N298" s="1827"/>
      <c r="Y298" s="537" t="s">
        <v>311</v>
      </c>
    </row>
    <row r="299" spans="1:30" s="536" customFormat="1" x14ac:dyDescent="0.2">
      <c r="A299" s="605"/>
      <c r="B299" s="552" t="s">
        <v>185</v>
      </c>
      <c r="C299" s="1822" t="s">
        <v>312</v>
      </c>
      <c r="D299" s="1822"/>
      <c r="E299" s="1822"/>
      <c r="F299" s="562"/>
      <c r="G299" s="562"/>
      <c r="H299" s="562"/>
      <c r="I299" s="562"/>
      <c r="J299" s="604">
        <v>132.33000000000001</v>
      </c>
      <c r="K299" s="562" t="s">
        <v>313</v>
      </c>
      <c r="L299" s="604">
        <v>703.17</v>
      </c>
      <c r="M299" s="603"/>
      <c r="N299" s="602"/>
      <c r="Z299" s="537" t="s">
        <v>312</v>
      </c>
    </row>
    <row r="300" spans="1:30" s="536" customFormat="1" x14ac:dyDescent="0.2">
      <c r="A300" s="605"/>
      <c r="B300" s="552" t="s">
        <v>186</v>
      </c>
      <c r="C300" s="1822" t="s">
        <v>344</v>
      </c>
      <c r="D300" s="1822"/>
      <c r="E300" s="1822"/>
      <c r="F300" s="562"/>
      <c r="G300" s="562"/>
      <c r="H300" s="562"/>
      <c r="I300" s="562"/>
      <c r="J300" s="604">
        <v>5.79</v>
      </c>
      <c r="K300" s="562" t="s">
        <v>313</v>
      </c>
      <c r="L300" s="604">
        <v>30.77</v>
      </c>
      <c r="M300" s="603"/>
      <c r="N300" s="602"/>
      <c r="Z300" s="537" t="s">
        <v>344</v>
      </c>
    </row>
    <row r="301" spans="1:30" s="536" customFormat="1" x14ac:dyDescent="0.2">
      <c r="A301" s="605"/>
      <c r="B301" s="552" t="s">
        <v>187</v>
      </c>
      <c r="C301" s="1822" t="s">
        <v>345</v>
      </c>
      <c r="D301" s="1822"/>
      <c r="E301" s="1822"/>
      <c r="F301" s="562"/>
      <c r="G301" s="562"/>
      <c r="H301" s="562"/>
      <c r="I301" s="562"/>
      <c r="J301" s="604">
        <v>0.99</v>
      </c>
      <c r="K301" s="562" t="s">
        <v>313</v>
      </c>
      <c r="L301" s="604">
        <v>5.26</v>
      </c>
      <c r="M301" s="603"/>
      <c r="N301" s="602"/>
      <c r="Z301" s="537" t="s">
        <v>345</v>
      </c>
    </row>
    <row r="302" spans="1:30" s="536" customFormat="1" x14ac:dyDescent="0.2">
      <c r="A302" s="605"/>
      <c r="B302" s="552" t="s">
        <v>188</v>
      </c>
      <c r="C302" s="1822" t="s">
        <v>475</v>
      </c>
      <c r="D302" s="1822"/>
      <c r="E302" s="1822"/>
      <c r="F302" s="562"/>
      <c r="G302" s="562"/>
      <c r="H302" s="562"/>
      <c r="I302" s="562"/>
      <c r="J302" s="604">
        <v>2536.09</v>
      </c>
      <c r="K302" s="562"/>
      <c r="L302" s="604">
        <v>10780.92</v>
      </c>
      <c r="M302" s="603"/>
      <c r="N302" s="602"/>
      <c r="Z302" s="537" t="s">
        <v>475</v>
      </c>
    </row>
    <row r="303" spans="1:30" s="536" customFormat="1" ht="22.5" x14ac:dyDescent="0.2">
      <c r="A303" s="676"/>
      <c r="B303" s="677" t="s">
        <v>4873</v>
      </c>
      <c r="C303" s="1829" t="s">
        <v>4874</v>
      </c>
      <c r="D303" s="1829"/>
      <c r="E303" s="1829"/>
      <c r="F303" s="678" t="s">
        <v>889</v>
      </c>
      <c r="G303" s="678" t="s">
        <v>525</v>
      </c>
      <c r="H303" s="678"/>
      <c r="I303" s="678" t="s">
        <v>525</v>
      </c>
      <c r="J303" s="552"/>
      <c r="K303" s="562"/>
      <c r="L303" s="604"/>
      <c r="M303" s="562"/>
      <c r="N303" s="679"/>
      <c r="AA303" s="537" t="s">
        <v>4874</v>
      </c>
    </row>
    <row r="304" spans="1:30" s="536" customFormat="1" x14ac:dyDescent="0.2">
      <c r="A304" s="676"/>
      <c r="B304" s="677" t="s">
        <v>4875</v>
      </c>
      <c r="C304" s="1829" t="s">
        <v>4876</v>
      </c>
      <c r="D304" s="1829"/>
      <c r="E304" s="1829"/>
      <c r="F304" s="678" t="s">
        <v>641</v>
      </c>
      <c r="G304" s="678" t="s">
        <v>525</v>
      </c>
      <c r="H304" s="678"/>
      <c r="I304" s="678" t="s">
        <v>525</v>
      </c>
      <c r="J304" s="552"/>
      <c r="K304" s="562"/>
      <c r="L304" s="604"/>
      <c r="M304" s="562"/>
      <c r="N304" s="679"/>
      <c r="AA304" s="537" t="s">
        <v>4876</v>
      </c>
    </row>
    <row r="305" spans="1:30" s="536" customFormat="1" x14ac:dyDescent="0.2">
      <c r="A305" s="605"/>
      <c r="B305" s="552"/>
      <c r="C305" s="1822" t="s">
        <v>314</v>
      </c>
      <c r="D305" s="1822"/>
      <c r="E305" s="1822"/>
      <c r="F305" s="562" t="s">
        <v>315</v>
      </c>
      <c r="G305" s="562" t="s">
        <v>4877</v>
      </c>
      <c r="H305" s="562" t="s">
        <v>313</v>
      </c>
      <c r="I305" s="562" t="s">
        <v>4878</v>
      </c>
      <c r="J305" s="604"/>
      <c r="K305" s="562"/>
      <c r="L305" s="604"/>
      <c r="M305" s="603"/>
      <c r="N305" s="602"/>
      <c r="AB305" s="537" t="s">
        <v>314</v>
      </c>
    </row>
    <row r="306" spans="1:30" s="536" customFormat="1" x14ac:dyDescent="0.2">
      <c r="A306" s="605"/>
      <c r="B306" s="552"/>
      <c r="C306" s="1822" t="s">
        <v>348</v>
      </c>
      <c r="D306" s="1822"/>
      <c r="E306" s="1822"/>
      <c r="F306" s="562" t="s">
        <v>315</v>
      </c>
      <c r="G306" s="562" t="s">
        <v>2247</v>
      </c>
      <c r="H306" s="562" t="s">
        <v>313</v>
      </c>
      <c r="I306" s="562" t="s">
        <v>4879</v>
      </c>
      <c r="J306" s="604"/>
      <c r="K306" s="562"/>
      <c r="L306" s="604"/>
      <c r="M306" s="603"/>
      <c r="N306" s="602"/>
      <c r="AB306" s="537" t="s">
        <v>348</v>
      </c>
    </row>
    <row r="307" spans="1:30" s="536" customFormat="1" x14ac:dyDescent="0.2">
      <c r="A307" s="605"/>
      <c r="B307" s="552"/>
      <c r="C307" s="1828" t="s">
        <v>318</v>
      </c>
      <c r="D307" s="1828"/>
      <c r="E307" s="1828"/>
      <c r="F307" s="608"/>
      <c r="G307" s="608"/>
      <c r="H307" s="608"/>
      <c r="I307" s="608"/>
      <c r="J307" s="607">
        <v>2674.21</v>
      </c>
      <c r="K307" s="608"/>
      <c r="L307" s="607">
        <v>11514.86</v>
      </c>
      <c r="M307" s="601"/>
      <c r="N307" s="606"/>
      <c r="AC307" s="537" t="s">
        <v>318</v>
      </c>
    </row>
    <row r="308" spans="1:30" s="536" customFormat="1" x14ac:dyDescent="0.2">
      <c r="A308" s="605"/>
      <c r="B308" s="552"/>
      <c r="C308" s="1822" t="s">
        <v>319</v>
      </c>
      <c r="D308" s="1822"/>
      <c r="E308" s="1822"/>
      <c r="F308" s="562"/>
      <c r="G308" s="562"/>
      <c r="H308" s="562"/>
      <c r="I308" s="562"/>
      <c r="J308" s="604"/>
      <c r="K308" s="562"/>
      <c r="L308" s="604">
        <v>708.43</v>
      </c>
      <c r="M308" s="603"/>
      <c r="N308" s="602"/>
      <c r="AB308" s="537" t="s">
        <v>319</v>
      </c>
    </row>
    <row r="309" spans="1:30" s="536" customFormat="1" ht="33.75" x14ac:dyDescent="0.2">
      <c r="A309" s="605"/>
      <c r="B309" s="552" t="s">
        <v>2595</v>
      </c>
      <c r="C309" s="1822" t="s">
        <v>2596</v>
      </c>
      <c r="D309" s="1822"/>
      <c r="E309" s="1822"/>
      <c r="F309" s="562" t="s">
        <v>322</v>
      </c>
      <c r="G309" s="562" t="s">
        <v>1633</v>
      </c>
      <c r="H309" s="562"/>
      <c r="I309" s="562" t="s">
        <v>1633</v>
      </c>
      <c r="J309" s="604"/>
      <c r="K309" s="562"/>
      <c r="L309" s="604">
        <v>687.18</v>
      </c>
      <c r="M309" s="603"/>
      <c r="N309" s="602"/>
      <c r="AB309" s="537" t="s">
        <v>2596</v>
      </c>
    </row>
    <row r="310" spans="1:30" s="536" customFormat="1" ht="33.75" x14ac:dyDescent="0.2">
      <c r="A310" s="605"/>
      <c r="B310" s="552" t="s">
        <v>2597</v>
      </c>
      <c r="C310" s="1822" t="s">
        <v>2598</v>
      </c>
      <c r="D310" s="1822"/>
      <c r="E310" s="1822"/>
      <c r="F310" s="562" t="s">
        <v>322</v>
      </c>
      <c r="G310" s="562" t="s">
        <v>789</v>
      </c>
      <c r="H310" s="562"/>
      <c r="I310" s="562" t="s">
        <v>789</v>
      </c>
      <c r="J310" s="604"/>
      <c r="K310" s="562"/>
      <c r="L310" s="604">
        <v>389.64</v>
      </c>
      <c r="M310" s="603"/>
      <c r="N310" s="602"/>
      <c r="AB310" s="537" t="s">
        <v>2598</v>
      </c>
    </row>
    <row r="311" spans="1:30" s="536" customFormat="1" x14ac:dyDescent="0.2">
      <c r="A311" s="569"/>
      <c r="B311" s="671"/>
      <c r="C311" s="1823" t="s">
        <v>327</v>
      </c>
      <c r="D311" s="1823"/>
      <c r="E311" s="1823"/>
      <c r="F311" s="573"/>
      <c r="G311" s="573"/>
      <c r="H311" s="573"/>
      <c r="I311" s="573"/>
      <c r="J311" s="572"/>
      <c r="K311" s="573"/>
      <c r="L311" s="572">
        <v>12591.68</v>
      </c>
      <c r="M311" s="601"/>
      <c r="N311" s="570"/>
      <c r="AD311" s="537" t="s">
        <v>327</v>
      </c>
    </row>
    <row r="312" spans="1:30" s="536" customFormat="1" ht="22.5" x14ac:dyDescent="0.2">
      <c r="A312" s="575" t="s">
        <v>768</v>
      </c>
      <c r="B312" s="670" t="s">
        <v>4880</v>
      </c>
      <c r="C312" s="1823" t="s">
        <v>4874</v>
      </c>
      <c r="D312" s="1823"/>
      <c r="E312" s="1823"/>
      <c r="F312" s="573" t="s">
        <v>889</v>
      </c>
      <c r="G312" s="573"/>
      <c r="H312" s="573"/>
      <c r="I312" s="573" t="s">
        <v>4881</v>
      </c>
      <c r="J312" s="572">
        <v>6.62</v>
      </c>
      <c r="K312" s="573"/>
      <c r="L312" s="572">
        <v>2251.33</v>
      </c>
      <c r="M312" s="571"/>
      <c r="N312" s="570"/>
      <c r="W312" s="537" t="s">
        <v>4874</v>
      </c>
    </row>
    <row r="313" spans="1:30" s="536" customFormat="1" x14ac:dyDescent="0.2">
      <c r="A313" s="569"/>
      <c r="B313" s="671"/>
      <c r="C313" s="665" t="s">
        <v>717</v>
      </c>
      <c r="D313" s="666"/>
      <c r="E313" s="666"/>
      <c r="F313" s="563"/>
      <c r="G313" s="563"/>
      <c r="H313" s="563"/>
      <c r="I313" s="563"/>
      <c r="J313" s="566"/>
      <c r="K313" s="563"/>
      <c r="L313" s="566"/>
      <c r="M313" s="565"/>
      <c r="N313" s="564"/>
    </row>
    <row r="314" spans="1:30" s="536" customFormat="1" x14ac:dyDescent="0.2">
      <c r="A314" s="676"/>
      <c r="B314" s="664"/>
      <c r="C314" s="1822" t="s">
        <v>4882</v>
      </c>
      <c r="D314" s="1822"/>
      <c r="E314" s="1822"/>
      <c r="F314" s="1822"/>
      <c r="G314" s="1822"/>
      <c r="H314" s="1822"/>
      <c r="I314" s="1822"/>
      <c r="J314" s="1822"/>
      <c r="K314" s="1822"/>
      <c r="L314" s="1822"/>
      <c r="M314" s="1822"/>
      <c r="N314" s="1827"/>
      <c r="X314" s="537" t="s">
        <v>4882</v>
      </c>
    </row>
    <row r="315" spans="1:30" s="536" customFormat="1" ht="45" x14ac:dyDescent="0.2">
      <c r="A315" s="575" t="s">
        <v>769</v>
      </c>
      <c r="B315" s="670" t="s">
        <v>4883</v>
      </c>
      <c r="C315" s="1823" t="s">
        <v>4884</v>
      </c>
      <c r="D315" s="1823"/>
      <c r="E315" s="1823"/>
      <c r="F315" s="573" t="s">
        <v>641</v>
      </c>
      <c r="G315" s="573"/>
      <c r="H315" s="573"/>
      <c r="I315" s="573" t="s">
        <v>4885</v>
      </c>
      <c r="J315" s="572">
        <v>950.85</v>
      </c>
      <c r="K315" s="573"/>
      <c r="L315" s="572">
        <v>40420.629999999997</v>
      </c>
      <c r="M315" s="571"/>
      <c r="N315" s="570"/>
      <c r="W315" s="537" t="s">
        <v>4884</v>
      </c>
    </row>
    <row r="316" spans="1:30" s="536" customFormat="1" x14ac:dyDescent="0.2">
      <c r="A316" s="569"/>
      <c r="B316" s="671"/>
      <c r="C316" s="665" t="s">
        <v>717</v>
      </c>
      <c r="D316" s="666"/>
      <c r="E316" s="666"/>
      <c r="F316" s="563"/>
      <c r="G316" s="563"/>
      <c r="H316" s="563"/>
      <c r="I316" s="563"/>
      <c r="J316" s="566"/>
      <c r="K316" s="563"/>
      <c r="L316" s="566"/>
      <c r="M316" s="565"/>
      <c r="N316" s="564"/>
    </row>
    <row r="317" spans="1:30" s="536" customFormat="1" ht="33.75" x14ac:dyDescent="0.2">
      <c r="A317" s="575" t="s">
        <v>770</v>
      </c>
      <c r="B317" s="670" t="s">
        <v>3309</v>
      </c>
      <c r="C317" s="1823" t="s">
        <v>4886</v>
      </c>
      <c r="D317" s="1823"/>
      <c r="E317" s="1823"/>
      <c r="F317" s="573" t="s">
        <v>694</v>
      </c>
      <c r="G317" s="573"/>
      <c r="H317" s="573"/>
      <c r="I317" s="573" t="s">
        <v>4887</v>
      </c>
      <c r="J317" s="572"/>
      <c r="K317" s="573"/>
      <c r="L317" s="572"/>
      <c r="M317" s="571"/>
      <c r="N317" s="570"/>
      <c r="W317" s="537" t="s">
        <v>4886</v>
      </c>
    </row>
    <row r="318" spans="1:30" s="536" customFormat="1" x14ac:dyDescent="0.2">
      <c r="A318" s="676"/>
      <c r="B318" s="664"/>
      <c r="C318" s="1822" t="s">
        <v>4888</v>
      </c>
      <c r="D318" s="1822"/>
      <c r="E318" s="1822"/>
      <c r="F318" s="1822"/>
      <c r="G318" s="1822"/>
      <c r="H318" s="1822"/>
      <c r="I318" s="1822"/>
      <c r="J318" s="1822"/>
      <c r="K318" s="1822"/>
      <c r="L318" s="1822"/>
      <c r="M318" s="1822"/>
      <c r="N318" s="1827"/>
      <c r="X318" s="537" t="s">
        <v>4888</v>
      </c>
    </row>
    <row r="319" spans="1:30" s="536" customFormat="1" ht="33.75" x14ac:dyDescent="0.2">
      <c r="A319" s="609"/>
      <c r="B319" s="552" t="s">
        <v>310</v>
      </c>
      <c r="C319" s="1822" t="s">
        <v>311</v>
      </c>
      <c r="D319" s="1822"/>
      <c r="E319" s="1822"/>
      <c r="F319" s="1822"/>
      <c r="G319" s="1822"/>
      <c r="H319" s="1822"/>
      <c r="I319" s="1822"/>
      <c r="J319" s="1822"/>
      <c r="K319" s="1822"/>
      <c r="L319" s="1822"/>
      <c r="M319" s="1822"/>
      <c r="N319" s="1827"/>
      <c r="Y319" s="537" t="s">
        <v>311</v>
      </c>
    </row>
    <row r="320" spans="1:30" s="536" customFormat="1" x14ac:dyDescent="0.2">
      <c r="A320" s="605"/>
      <c r="B320" s="552" t="s">
        <v>185</v>
      </c>
      <c r="C320" s="1822" t="s">
        <v>312</v>
      </c>
      <c r="D320" s="1822"/>
      <c r="E320" s="1822"/>
      <c r="F320" s="562"/>
      <c r="G320" s="562"/>
      <c r="H320" s="562"/>
      <c r="I320" s="562"/>
      <c r="J320" s="604">
        <v>408.85</v>
      </c>
      <c r="K320" s="562" t="s">
        <v>313</v>
      </c>
      <c r="L320" s="604">
        <v>91.58</v>
      </c>
      <c r="M320" s="603"/>
      <c r="N320" s="602"/>
      <c r="Z320" s="537" t="s">
        <v>312</v>
      </c>
    </row>
    <row r="321" spans="1:30" s="536" customFormat="1" x14ac:dyDescent="0.2">
      <c r="A321" s="605"/>
      <c r="B321" s="552" t="s">
        <v>186</v>
      </c>
      <c r="C321" s="1822" t="s">
        <v>344</v>
      </c>
      <c r="D321" s="1822"/>
      <c r="E321" s="1822"/>
      <c r="F321" s="562"/>
      <c r="G321" s="562"/>
      <c r="H321" s="562"/>
      <c r="I321" s="562"/>
      <c r="J321" s="604">
        <v>425.84</v>
      </c>
      <c r="K321" s="562" t="s">
        <v>313</v>
      </c>
      <c r="L321" s="604">
        <v>95.39</v>
      </c>
      <c r="M321" s="603"/>
      <c r="N321" s="602"/>
      <c r="Z321" s="537" t="s">
        <v>344</v>
      </c>
    </row>
    <row r="322" spans="1:30" s="536" customFormat="1" x14ac:dyDescent="0.2">
      <c r="A322" s="605"/>
      <c r="B322" s="552" t="s">
        <v>187</v>
      </c>
      <c r="C322" s="1822" t="s">
        <v>345</v>
      </c>
      <c r="D322" s="1822"/>
      <c r="E322" s="1822"/>
      <c r="F322" s="562"/>
      <c r="G322" s="562"/>
      <c r="H322" s="562"/>
      <c r="I322" s="562"/>
      <c r="J322" s="604">
        <v>51.59</v>
      </c>
      <c r="K322" s="562" t="s">
        <v>313</v>
      </c>
      <c r="L322" s="604">
        <v>11.56</v>
      </c>
      <c r="M322" s="603"/>
      <c r="N322" s="602"/>
      <c r="Z322" s="537" t="s">
        <v>345</v>
      </c>
    </row>
    <row r="323" spans="1:30" s="536" customFormat="1" x14ac:dyDescent="0.2">
      <c r="A323" s="605"/>
      <c r="B323" s="552" t="s">
        <v>188</v>
      </c>
      <c r="C323" s="1822" t="s">
        <v>475</v>
      </c>
      <c r="D323" s="1822"/>
      <c r="E323" s="1822"/>
      <c r="F323" s="562"/>
      <c r="G323" s="562"/>
      <c r="H323" s="562"/>
      <c r="I323" s="562"/>
      <c r="J323" s="604">
        <v>72.209999999999994</v>
      </c>
      <c r="K323" s="562"/>
      <c r="L323" s="604">
        <v>12.94</v>
      </c>
      <c r="M323" s="603"/>
      <c r="N323" s="602"/>
      <c r="Z323" s="537" t="s">
        <v>475</v>
      </c>
    </row>
    <row r="324" spans="1:30" s="536" customFormat="1" x14ac:dyDescent="0.2">
      <c r="A324" s="676"/>
      <c r="B324" s="677" t="s">
        <v>3313</v>
      </c>
      <c r="C324" s="1829" t="s">
        <v>1229</v>
      </c>
      <c r="D324" s="1829"/>
      <c r="E324" s="1829"/>
      <c r="F324" s="678" t="s">
        <v>694</v>
      </c>
      <c r="G324" s="678" t="s">
        <v>185</v>
      </c>
      <c r="H324" s="678"/>
      <c r="I324" s="678" t="s">
        <v>4887</v>
      </c>
      <c r="J324" s="552"/>
      <c r="K324" s="562"/>
      <c r="L324" s="604"/>
      <c r="M324" s="562"/>
      <c r="N324" s="679"/>
      <c r="AA324" s="537" t="s">
        <v>1229</v>
      </c>
    </row>
    <row r="325" spans="1:30" s="536" customFormat="1" x14ac:dyDescent="0.2">
      <c r="A325" s="605"/>
      <c r="B325" s="552"/>
      <c r="C325" s="1822" t="s">
        <v>314</v>
      </c>
      <c r="D325" s="1822"/>
      <c r="E325" s="1822"/>
      <c r="F325" s="562" t="s">
        <v>315</v>
      </c>
      <c r="G325" s="562" t="s">
        <v>1513</v>
      </c>
      <c r="H325" s="562" t="s">
        <v>313</v>
      </c>
      <c r="I325" s="562" t="s">
        <v>4889</v>
      </c>
      <c r="J325" s="604"/>
      <c r="K325" s="562"/>
      <c r="L325" s="604"/>
      <c r="M325" s="603"/>
      <c r="N325" s="602"/>
      <c r="AB325" s="537" t="s">
        <v>314</v>
      </c>
    </row>
    <row r="326" spans="1:30" s="536" customFormat="1" x14ac:dyDescent="0.2">
      <c r="A326" s="605"/>
      <c r="B326" s="552"/>
      <c r="C326" s="1822" t="s">
        <v>348</v>
      </c>
      <c r="D326" s="1822"/>
      <c r="E326" s="1822"/>
      <c r="F326" s="562" t="s">
        <v>315</v>
      </c>
      <c r="G326" s="562" t="s">
        <v>3315</v>
      </c>
      <c r="H326" s="562" t="s">
        <v>313</v>
      </c>
      <c r="I326" s="562" t="s">
        <v>4890</v>
      </c>
      <c r="J326" s="604"/>
      <c r="K326" s="562"/>
      <c r="L326" s="604"/>
      <c r="M326" s="603"/>
      <c r="N326" s="602"/>
      <c r="AB326" s="537" t="s">
        <v>348</v>
      </c>
    </row>
    <row r="327" spans="1:30" s="536" customFormat="1" x14ac:dyDescent="0.2">
      <c r="A327" s="605"/>
      <c r="B327" s="552"/>
      <c r="C327" s="1828" t="s">
        <v>318</v>
      </c>
      <c r="D327" s="1828"/>
      <c r="E327" s="1828"/>
      <c r="F327" s="608"/>
      <c r="G327" s="608"/>
      <c r="H327" s="608"/>
      <c r="I327" s="608"/>
      <c r="J327" s="607">
        <v>906.9</v>
      </c>
      <c r="K327" s="608"/>
      <c r="L327" s="607">
        <v>199.91</v>
      </c>
      <c r="M327" s="601"/>
      <c r="N327" s="606"/>
      <c r="AC327" s="537" t="s">
        <v>318</v>
      </c>
    </row>
    <row r="328" spans="1:30" s="536" customFormat="1" x14ac:dyDescent="0.2">
      <c r="A328" s="605"/>
      <c r="B328" s="552"/>
      <c r="C328" s="1822" t="s">
        <v>319</v>
      </c>
      <c r="D328" s="1822"/>
      <c r="E328" s="1822"/>
      <c r="F328" s="562"/>
      <c r="G328" s="562"/>
      <c r="H328" s="562"/>
      <c r="I328" s="562"/>
      <c r="J328" s="604"/>
      <c r="K328" s="562"/>
      <c r="L328" s="604">
        <v>103.14</v>
      </c>
      <c r="M328" s="603"/>
      <c r="N328" s="602"/>
      <c r="AB328" s="537" t="s">
        <v>319</v>
      </c>
    </row>
    <row r="329" spans="1:30" s="536" customFormat="1" ht="33.75" x14ac:dyDescent="0.2">
      <c r="A329" s="605"/>
      <c r="B329" s="552" t="s">
        <v>686</v>
      </c>
      <c r="C329" s="1822" t="s">
        <v>687</v>
      </c>
      <c r="D329" s="1822"/>
      <c r="E329" s="1822"/>
      <c r="F329" s="562" t="s">
        <v>322</v>
      </c>
      <c r="G329" s="562" t="s">
        <v>680</v>
      </c>
      <c r="H329" s="562"/>
      <c r="I329" s="562" t="s">
        <v>680</v>
      </c>
      <c r="J329" s="604"/>
      <c r="K329" s="562"/>
      <c r="L329" s="604">
        <v>105.2</v>
      </c>
      <c r="M329" s="603"/>
      <c r="N329" s="602"/>
      <c r="AB329" s="537" t="s">
        <v>687</v>
      </c>
    </row>
    <row r="330" spans="1:30" s="536" customFormat="1" ht="33.75" x14ac:dyDescent="0.2">
      <c r="A330" s="605"/>
      <c r="B330" s="552" t="s">
        <v>688</v>
      </c>
      <c r="C330" s="1822" t="s">
        <v>689</v>
      </c>
      <c r="D330" s="1822"/>
      <c r="E330" s="1822"/>
      <c r="F330" s="562" t="s">
        <v>322</v>
      </c>
      <c r="G330" s="562" t="s">
        <v>690</v>
      </c>
      <c r="H330" s="562"/>
      <c r="I330" s="562" t="s">
        <v>690</v>
      </c>
      <c r="J330" s="604"/>
      <c r="K330" s="562"/>
      <c r="L330" s="604">
        <v>59.82</v>
      </c>
      <c r="M330" s="603"/>
      <c r="N330" s="602"/>
      <c r="AB330" s="537" t="s">
        <v>689</v>
      </c>
    </row>
    <row r="331" spans="1:30" s="536" customFormat="1" x14ac:dyDescent="0.2">
      <c r="A331" s="569"/>
      <c r="B331" s="671"/>
      <c r="C331" s="1823" t="s">
        <v>327</v>
      </c>
      <c r="D331" s="1823"/>
      <c r="E331" s="1823"/>
      <c r="F331" s="573"/>
      <c r="G331" s="573"/>
      <c r="H331" s="573"/>
      <c r="I331" s="573"/>
      <c r="J331" s="572"/>
      <c r="K331" s="573"/>
      <c r="L331" s="572">
        <v>364.93</v>
      </c>
      <c r="M331" s="601"/>
      <c r="N331" s="570"/>
      <c r="AD331" s="537" t="s">
        <v>327</v>
      </c>
    </row>
    <row r="332" spans="1:30" s="536" customFormat="1" ht="33.75" x14ac:dyDescent="0.2">
      <c r="A332" s="575" t="s">
        <v>771</v>
      </c>
      <c r="B332" s="670" t="s">
        <v>4891</v>
      </c>
      <c r="C332" s="1823" t="s">
        <v>4892</v>
      </c>
      <c r="D332" s="1823"/>
      <c r="E332" s="1823"/>
      <c r="F332" s="573" t="s">
        <v>617</v>
      </c>
      <c r="G332" s="573"/>
      <c r="H332" s="573"/>
      <c r="I332" s="573" t="s">
        <v>185</v>
      </c>
      <c r="J332" s="572">
        <v>1552.32</v>
      </c>
      <c r="K332" s="573"/>
      <c r="L332" s="572">
        <v>1552.32</v>
      </c>
      <c r="M332" s="571"/>
      <c r="N332" s="570"/>
      <c r="W332" s="537" t="s">
        <v>4892</v>
      </c>
    </row>
    <row r="333" spans="1:30" s="536" customFormat="1" x14ac:dyDescent="0.2">
      <c r="A333" s="569"/>
      <c r="B333" s="671"/>
      <c r="C333" s="665" t="s">
        <v>717</v>
      </c>
      <c r="D333" s="666"/>
      <c r="E333" s="666"/>
      <c r="F333" s="563"/>
      <c r="G333" s="563"/>
      <c r="H333" s="563"/>
      <c r="I333" s="563"/>
      <c r="J333" s="566"/>
      <c r="K333" s="563"/>
      <c r="L333" s="566"/>
      <c r="M333" s="565"/>
      <c r="N333" s="564"/>
    </row>
    <row r="334" spans="1:30" s="536" customFormat="1" ht="33.75" x14ac:dyDescent="0.2">
      <c r="A334" s="575" t="s">
        <v>772</v>
      </c>
      <c r="B334" s="670" t="s">
        <v>4893</v>
      </c>
      <c r="C334" s="1823" t="s">
        <v>4894</v>
      </c>
      <c r="D334" s="1823"/>
      <c r="E334" s="1823"/>
      <c r="F334" s="573" t="s">
        <v>617</v>
      </c>
      <c r="G334" s="573"/>
      <c r="H334" s="573"/>
      <c r="I334" s="573" t="s">
        <v>185</v>
      </c>
      <c r="J334" s="572">
        <v>8218.5400000000009</v>
      </c>
      <c r="K334" s="573"/>
      <c r="L334" s="572">
        <v>8218.5400000000009</v>
      </c>
      <c r="M334" s="571"/>
      <c r="N334" s="570"/>
      <c r="W334" s="537" t="s">
        <v>4894</v>
      </c>
    </row>
    <row r="335" spans="1:30" s="536" customFormat="1" x14ac:dyDescent="0.2">
      <c r="A335" s="569"/>
      <c r="B335" s="671"/>
      <c r="C335" s="665" t="s">
        <v>717</v>
      </c>
      <c r="D335" s="666"/>
      <c r="E335" s="666"/>
      <c r="F335" s="563"/>
      <c r="G335" s="563"/>
      <c r="H335" s="563"/>
      <c r="I335" s="563"/>
      <c r="J335" s="566"/>
      <c r="K335" s="563"/>
      <c r="L335" s="566"/>
      <c r="M335" s="565"/>
      <c r="N335" s="564"/>
    </row>
    <row r="336" spans="1:30" s="536" customFormat="1" ht="1.5" customHeight="1" x14ac:dyDescent="0.2">
      <c r="A336" s="563"/>
      <c r="B336" s="671"/>
      <c r="C336" s="671"/>
      <c r="D336" s="671"/>
      <c r="E336" s="671"/>
      <c r="F336" s="563"/>
      <c r="G336" s="563"/>
      <c r="H336" s="563"/>
      <c r="I336" s="563"/>
      <c r="J336" s="546"/>
      <c r="K336" s="563"/>
      <c r="L336" s="546"/>
      <c r="M336" s="562"/>
      <c r="N336" s="546"/>
    </row>
    <row r="337" spans="1:33" s="536" customFormat="1" x14ac:dyDescent="0.2">
      <c r="A337" s="557"/>
      <c r="B337" s="556"/>
      <c r="C337" s="1823" t="s">
        <v>4895</v>
      </c>
      <c r="D337" s="1823"/>
      <c r="E337" s="1823"/>
      <c r="F337" s="1823"/>
      <c r="G337" s="1823"/>
      <c r="H337" s="1823"/>
      <c r="I337" s="1823"/>
      <c r="J337" s="1823"/>
      <c r="K337" s="1823"/>
      <c r="L337" s="555"/>
      <c r="M337" s="554"/>
      <c r="N337" s="553"/>
      <c r="AF337" s="537" t="s">
        <v>4895</v>
      </c>
    </row>
    <row r="338" spans="1:33" s="536" customFormat="1" x14ac:dyDescent="0.2">
      <c r="A338" s="548"/>
      <c r="B338" s="552"/>
      <c r="C338" s="1822" t="s">
        <v>403</v>
      </c>
      <c r="D338" s="1822"/>
      <c r="E338" s="1822"/>
      <c r="F338" s="1822"/>
      <c r="G338" s="1822"/>
      <c r="H338" s="1822"/>
      <c r="I338" s="1822"/>
      <c r="J338" s="1822"/>
      <c r="K338" s="1822"/>
      <c r="L338" s="551">
        <v>394180.71</v>
      </c>
      <c r="M338" s="550"/>
      <c r="N338" s="549"/>
      <c r="AG338" s="537" t="s">
        <v>403</v>
      </c>
    </row>
    <row r="339" spans="1:33" s="536" customFormat="1" x14ac:dyDescent="0.2">
      <c r="A339" s="548"/>
      <c r="B339" s="552"/>
      <c r="C339" s="1822" t="s">
        <v>204</v>
      </c>
      <c r="D339" s="1822"/>
      <c r="E339" s="1822"/>
      <c r="F339" s="1822"/>
      <c r="G339" s="1822"/>
      <c r="H339" s="1822"/>
      <c r="I339" s="1822"/>
      <c r="J339" s="1822"/>
      <c r="K339" s="1822"/>
      <c r="L339" s="551"/>
      <c r="M339" s="550"/>
      <c r="N339" s="549"/>
      <c r="AG339" s="537" t="s">
        <v>204</v>
      </c>
    </row>
    <row r="340" spans="1:33" s="536" customFormat="1" x14ac:dyDescent="0.2">
      <c r="A340" s="548"/>
      <c r="B340" s="552"/>
      <c r="C340" s="1822" t="s">
        <v>404</v>
      </c>
      <c r="D340" s="1822"/>
      <c r="E340" s="1822"/>
      <c r="F340" s="1822"/>
      <c r="G340" s="1822"/>
      <c r="H340" s="1822"/>
      <c r="I340" s="1822"/>
      <c r="J340" s="1822"/>
      <c r="K340" s="1822"/>
      <c r="L340" s="551">
        <v>17927.34</v>
      </c>
      <c r="M340" s="550"/>
      <c r="N340" s="549"/>
      <c r="AG340" s="537" t="s">
        <v>404</v>
      </c>
    </row>
    <row r="341" spans="1:33" s="536" customFormat="1" x14ac:dyDescent="0.2">
      <c r="A341" s="548"/>
      <c r="B341" s="552"/>
      <c r="C341" s="1822" t="s">
        <v>405</v>
      </c>
      <c r="D341" s="1822"/>
      <c r="E341" s="1822"/>
      <c r="F341" s="1822"/>
      <c r="G341" s="1822"/>
      <c r="H341" s="1822"/>
      <c r="I341" s="1822"/>
      <c r="J341" s="1822"/>
      <c r="K341" s="1822"/>
      <c r="L341" s="551">
        <v>15468.65</v>
      </c>
      <c r="M341" s="550"/>
      <c r="N341" s="549"/>
      <c r="AG341" s="537" t="s">
        <v>405</v>
      </c>
    </row>
    <row r="342" spans="1:33" s="536" customFormat="1" x14ac:dyDescent="0.2">
      <c r="A342" s="548"/>
      <c r="B342" s="552"/>
      <c r="C342" s="1822" t="s">
        <v>406</v>
      </c>
      <c r="D342" s="1822"/>
      <c r="E342" s="1822"/>
      <c r="F342" s="1822"/>
      <c r="G342" s="1822"/>
      <c r="H342" s="1822"/>
      <c r="I342" s="1822"/>
      <c r="J342" s="1822"/>
      <c r="K342" s="1822"/>
      <c r="L342" s="551">
        <v>1640.94</v>
      </c>
      <c r="M342" s="550"/>
      <c r="N342" s="549"/>
      <c r="AG342" s="537" t="s">
        <v>406</v>
      </c>
    </row>
    <row r="343" spans="1:33" s="536" customFormat="1" x14ac:dyDescent="0.2">
      <c r="A343" s="548"/>
      <c r="B343" s="552"/>
      <c r="C343" s="1822" t="s">
        <v>480</v>
      </c>
      <c r="D343" s="1822"/>
      <c r="E343" s="1822"/>
      <c r="F343" s="1822"/>
      <c r="G343" s="1822"/>
      <c r="H343" s="1822"/>
      <c r="I343" s="1822"/>
      <c r="J343" s="1822"/>
      <c r="K343" s="1822"/>
      <c r="L343" s="551">
        <v>360784.72</v>
      </c>
      <c r="M343" s="550"/>
      <c r="N343" s="549"/>
      <c r="AG343" s="537" t="s">
        <v>480</v>
      </c>
    </row>
    <row r="344" spans="1:33" s="536" customFormat="1" x14ac:dyDescent="0.2">
      <c r="A344" s="548"/>
      <c r="B344" s="552" t="s">
        <v>185</v>
      </c>
      <c r="C344" s="1822" t="s">
        <v>407</v>
      </c>
      <c r="D344" s="1822"/>
      <c r="E344" s="1822"/>
      <c r="F344" s="1822"/>
      <c r="G344" s="1822"/>
      <c r="H344" s="1822"/>
      <c r="I344" s="1822"/>
      <c r="J344" s="1822"/>
      <c r="K344" s="1822"/>
      <c r="L344" s="551">
        <v>426153.58</v>
      </c>
      <c r="M344" s="550"/>
      <c r="N344" s="549"/>
      <c r="AG344" s="537" t="s">
        <v>407</v>
      </c>
    </row>
    <row r="345" spans="1:33" s="536" customFormat="1" x14ac:dyDescent="0.2">
      <c r="A345" s="548"/>
      <c r="B345" s="552"/>
      <c r="C345" s="1822" t="s">
        <v>204</v>
      </c>
      <c r="D345" s="1822"/>
      <c r="E345" s="1822"/>
      <c r="F345" s="1822"/>
      <c r="G345" s="1822"/>
      <c r="H345" s="1822"/>
      <c r="I345" s="1822"/>
      <c r="J345" s="1822"/>
      <c r="K345" s="1822"/>
      <c r="L345" s="551"/>
      <c r="M345" s="550"/>
      <c r="N345" s="549"/>
      <c r="AG345" s="537" t="s">
        <v>204</v>
      </c>
    </row>
    <row r="346" spans="1:33" s="536" customFormat="1" x14ac:dyDescent="0.2">
      <c r="A346" s="548"/>
      <c r="B346" s="552"/>
      <c r="C346" s="1822" t="s">
        <v>546</v>
      </c>
      <c r="D346" s="1822"/>
      <c r="E346" s="1822"/>
      <c r="F346" s="1822"/>
      <c r="G346" s="1822"/>
      <c r="H346" s="1822"/>
      <c r="I346" s="1822"/>
      <c r="J346" s="1822"/>
      <c r="K346" s="1822"/>
      <c r="L346" s="551">
        <v>17927.34</v>
      </c>
      <c r="M346" s="550"/>
      <c r="N346" s="549"/>
      <c r="AG346" s="537" t="s">
        <v>546</v>
      </c>
    </row>
    <row r="347" spans="1:33" s="536" customFormat="1" x14ac:dyDescent="0.2">
      <c r="A347" s="548"/>
      <c r="B347" s="552"/>
      <c r="C347" s="1822" t="s">
        <v>442</v>
      </c>
      <c r="D347" s="1822"/>
      <c r="E347" s="1822"/>
      <c r="F347" s="1822"/>
      <c r="G347" s="1822"/>
      <c r="H347" s="1822"/>
      <c r="I347" s="1822"/>
      <c r="J347" s="1822"/>
      <c r="K347" s="1822"/>
      <c r="L347" s="551">
        <v>15468.65</v>
      </c>
      <c r="M347" s="550"/>
      <c r="N347" s="549"/>
      <c r="AG347" s="537" t="s">
        <v>442</v>
      </c>
    </row>
    <row r="348" spans="1:33" s="536" customFormat="1" x14ac:dyDescent="0.2">
      <c r="A348" s="548"/>
      <c r="B348" s="552"/>
      <c r="C348" s="1822" t="s">
        <v>547</v>
      </c>
      <c r="D348" s="1822"/>
      <c r="E348" s="1822"/>
      <c r="F348" s="1822"/>
      <c r="G348" s="1822"/>
      <c r="H348" s="1822"/>
      <c r="I348" s="1822"/>
      <c r="J348" s="1822"/>
      <c r="K348" s="1822"/>
      <c r="L348" s="551">
        <v>360784.72</v>
      </c>
      <c r="M348" s="550"/>
      <c r="N348" s="549"/>
      <c r="AG348" s="537" t="s">
        <v>547</v>
      </c>
    </row>
    <row r="349" spans="1:33" s="536" customFormat="1" x14ac:dyDescent="0.2">
      <c r="A349" s="548"/>
      <c r="B349" s="552"/>
      <c r="C349" s="1822" t="s">
        <v>443</v>
      </c>
      <c r="D349" s="1822"/>
      <c r="E349" s="1822"/>
      <c r="F349" s="1822"/>
      <c r="G349" s="1822"/>
      <c r="H349" s="1822"/>
      <c r="I349" s="1822"/>
      <c r="J349" s="1822"/>
      <c r="K349" s="1822"/>
      <c r="L349" s="551">
        <v>20227.5</v>
      </c>
      <c r="M349" s="550"/>
      <c r="N349" s="549"/>
      <c r="AG349" s="537" t="s">
        <v>443</v>
      </c>
    </row>
    <row r="350" spans="1:33" s="536" customFormat="1" x14ac:dyDescent="0.2">
      <c r="A350" s="548"/>
      <c r="B350" s="552"/>
      <c r="C350" s="1822" t="s">
        <v>444</v>
      </c>
      <c r="D350" s="1822"/>
      <c r="E350" s="1822"/>
      <c r="F350" s="1822"/>
      <c r="G350" s="1822"/>
      <c r="H350" s="1822"/>
      <c r="I350" s="1822"/>
      <c r="J350" s="1822"/>
      <c r="K350" s="1822"/>
      <c r="L350" s="551">
        <v>11745.37</v>
      </c>
      <c r="M350" s="550"/>
      <c r="N350" s="549"/>
      <c r="AG350" s="537" t="s">
        <v>444</v>
      </c>
    </row>
    <row r="351" spans="1:33" s="536" customFormat="1" x14ac:dyDescent="0.2">
      <c r="A351" s="548"/>
      <c r="B351" s="552"/>
      <c r="C351" s="1822" t="s">
        <v>415</v>
      </c>
      <c r="D351" s="1822"/>
      <c r="E351" s="1822"/>
      <c r="F351" s="1822"/>
      <c r="G351" s="1822"/>
      <c r="H351" s="1822"/>
      <c r="I351" s="1822"/>
      <c r="J351" s="1822"/>
      <c r="K351" s="1822"/>
      <c r="L351" s="551">
        <v>19568.28</v>
      </c>
      <c r="M351" s="550"/>
      <c r="N351" s="549"/>
      <c r="AG351" s="537" t="s">
        <v>415</v>
      </c>
    </row>
    <row r="352" spans="1:33" s="536" customFormat="1" x14ac:dyDescent="0.2">
      <c r="A352" s="548"/>
      <c r="B352" s="552"/>
      <c r="C352" s="1822" t="s">
        <v>416</v>
      </c>
      <c r="D352" s="1822"/>
      <c r="E352" s="1822"/>
      <c r="F352" s="1822"/>
      <c r="G352" s="1822"/>
      <c r="H352" s="1822"/>
      <c r="I352" s="1822"/>
      <c r="J352" s="1822"/>
      <c r="K352" s="1822"/>
      <c r="L352" s="551">
        <v>20227.5</v>
      </c>
      <c r="M352" s="550"/>
      <c r="N352" s="549"/>
      <c r="AG352" s="537" t="s">
        <v>416</v>
      </c>
    </row>
    <row r="353" spans="1:34" s="536" customFormat="1" x14ac:dyDescent="0.2">
      <c r="A353" s="548"/>
      <c r="B353" s="552"/>
      <c r="C353" s="1822" t="s">
        <v>417</v>
      </c>
      <c r="D353" s="1822"/>
      <c r="E353" s="1822"/>
      <c r="F353" s="1822"/>
      <c r="G353" s="1822"/>
      <c r="H353" s="1822"/>
      <c r="I353" s="1822"/>
      <c r="J353" s="1822"/>
      <c r="K353" s="1822"/>
      <c r="L353" s="551">
        <v>11745.37</v>
      </c>
      <c r="M353" s="550"/>
      <c r="N353" s="549"/>
      <c r="AG353" s="537" t="s">
        <v>417</v>
      </c>
    </row>
    <row r="354" spans="1:34" s="536" customFormat="1" x14ac:dyDescent="0.2">
      <c r="A354" s="548"/>
      <c r="B354" s="546"/>
      <c r="C354" s="1819" t="s">
        <v>4896</v>
      </c>
      <c r="D354" s="1819"/>
      <c r="E354" s="1819"/>
      <c r="F354" s="1819"/>
      <c r="G354" s="1819"/>
      <c r="H354" s="1819"/>
      <c r="I354" s="1819"/>
      <c r="J354" s="1819"/>
      <c r="K354" s="1819"/>
      <c r="L354" s="544">
        <v>426153.58</v>
      </c>
      <c r="M354" s="543"/>
      <c r="N354" s="681"/>
      <c r="AH354" s="537" t="s">
        <v>4896</v>
      </c>
    </row>
    <row r="355" spans="1:34" s="536" customFormat="1" ht="12" x14ac:dyDescent="0.2">
      <c r="A355" s="1824" t="s">
        <v>4897</v>
      </c>
      <c r="B355" s="1825"/>
      <c r="C355" s="1825"/>
      <c r="D355" s="1825"/>
      <c r="E355" s="1825"/>
      <c r="F355" s="1825"/>
      <c r="G355" s="1825"/>
      <c r="H355" s="1825"/>
      <c r="I355" s="1825"/>
      <c r="J355" s="1825"/>
      <c r="K355" s="1825"/>
      <c r="L355" s="1825"/>
      <c r="M355" s="1825"/>
      <c r="N355" s="1826"/>
      <c r="V355" s="537" t="s">
        <v>4897</v>
      </c>
    </row>
    <row r="356" spans="1:34" s="536" customFormat="1" ht="33.75" x14ac:dyDescent="0.2">
      <c r="A356" s="575" t="s">
        <v>677</v>
      </c>
      <c r="B356" s="670" t="s">
        <v>4898</v>
      </c>
      <c r="C356" s="1823" t="s">
        <v>4899</v>
      </c>
      <c r="D356" s="1823"/>
      <c r="E356" s="1823"/>
      <c r="F356" s="573" t="s">
        <v>509</v>
      </c>
      <c r="G356" s="573"/>
      <c r="H356" s="573"/>
      <c r="I356" s="573" t="s">
        <v>4900</v>
      </c>
      <c r="J356" s="572"/>
      <c r="K356" s="573"/>
      <c r="L356" s="572"/>
      <c r="M356" s="571"/>
      <c r="N356" s="570"/>
      <c r="W356" s="537" t="s">
        <v>4899</v>
      </c>
    </row>
    <row r="357" spans="1:34" s="536" customFormat="1" x14ac:dyDescent="0.2">
      <c r="A357" s="676"/>
      <c r="B357" s="664"/>
      <c r="C357" s="1822" t="s">
        <v>4901</v>
      </c>
      <c r="D357" s="1822"/>
      <c r="E357" s="1822"/>
      <c r="F357" s="1822"/>
      <c r="G357" s="1822"/>
      <c r="H357" s="1822"/>
      <c r="I357" s="1822"/>
      <c r="J357" s="1822"/>
      <c r="K357" s="1822"/>
      <c r="L357" s="1822"/>
      <c r="M357" s="1822"/>
      <c r="N357" s="1827"/>
      <c r="X357" s="537" t="s">
        <v>4901</v>
      </c>
    </row>
    <row r="358" spans="1:34" s="536" customFormat="1" ht="33.75" x14ac:dyDescent="0.2">
      <c r="A358" s="609"/>
      <c r="B358" s="552" t="s">
        <v>310</v>
      </c>
      <c r="C358" s="1822" t="s">
        <v>311</v>
      </c>
      <c r="D358" s="1822"/>
      <c r="E358" s="1822"/>
      <c r="F358" s="1822"/>
      <c r="G358" s="1822"/>
      <c r="H358" s="1822"/>
      <c r="I358" s="1822"/>
      <c r="J358" s="1822"/>
      <c r="K358" s="1822"/>
      <c r="L358" s="1822"/>
      <c r="M358" s="1822"/>
      <c r="N358" s="1827"/>
      <c r="Y358" s="537" t="s">
        <v>311</v>
      </c>
    </row>
    <row r="359" spans="1:34" s="536" customFormat="1" x14ac:dyDescent="0.2">
      <c r="A359" s="605"/>
      <c r="B359" s="552" t="s">
        <v>185</v>
      </c>
      <c r="C359" s="1822" t="s">
        <v>312</v>
      </c>
      <c r="D359" s="1822"/>
      <c r="E359" s="1822"/>
      <c r="F359" s="562"/>
      <c r="G359" s="562"/>
      <c r="H359" s="562"/>
      <c r="I359" s="562"/>
      <c r="J359" s="604">
        <v>4968</v>
      </c>
      <c r="K359" s="562" t="s">
        <v>313</v>
      </c>
      <c r="L359" s="604">
        <v>5194.04</v>
      </c>
      <c r="M359" s="603"/>
      <c r="N359" s="602"/>
      <c r="Z359" s="537" t="s">
        <v>312</v>
      </c>
    </row>
    <row r="360" spans="1:34" s="536" customFormat="1" x14ac:dyDescent="0.2">
      <c r="A360" s="605"/>
      <c r="B360" s="552" t="s">
        <v>186</v>
      </c>
      <c r="C360" s="1822" t="s">
        <v>344</v>
      </c>
      <c r="D360" s="1822"/>
      <c r="E360" s="1822"/>
      <c r="F360" s="562"/>
      <c r="G360" s="562"/>
      <c r="H360" s="562"/>
      <c r="I360" s="562"/>
      <c r="J360" s="604">
        <v>2210.1999999999998</v>
      </c>
      <c r="K360" s="562" t="s">
        <v>313</v>
      </c>
      <c r="L360" s="604">
        <v>2310.7600000000002</v>
      </c>
      <c r="M360" s="603"/>
      <c r="N360" s="602"/>
      <c r="Z360" s="537" t="s">
        <v>344</v>
      </c>
    </row>
    <row r="361" spans="1:34" s="536" customFormat="1" x14ac:dyDescent="0.2">
      <c r="A361" s="605"/>
      <c r="B361" s="552" t="s">
        <v>187</v>
      </c>
      <c r="C361" s="1822" t="s">
        <v>345</v>
      </c>
      <c r="D361" s="1822"/>
      <c r="E361" s="1822"/>
      <c r="F361" s="562"/>
      <c r="G361" s="562"/>
      <c r="H361" s="562"/>
      <c r="I361" s="562"/>
      <c r="J361" s="604">
        <v>340.52</v>
      </c>
      <c r="K361" s="562" t="s">
        <v>313</v>
      </c>
      <c r="L361" s="604">
        <v>356.01</v>
      </c>
      <c r="M361" s="603"/>
      <c r="N361" s="602"/>
      <c r="Z361" s="537" t="s">
        <v>345</v>
      </c>
    </row>
    <row r="362" spans="1:34" s="536" customFormat="1" x14ac:dyDescent="0.2">
      <c r="A362" s="605"/>
      <c r="B362" s="552" t="s">
        <v>188</v>
      </c>
      <c r="C362" s="1822" t="s">
        <v>475</v>
      </c>
      <c r="D362" s="1822"/>
      <c r="E362" s="1822"/>
      <c r="F362" s="562"/>
      <c r="G362" s="562"/>
      <c r="H362" s="562"/>
      <c r="I362" s="562"/>
      <c r="J362" s="604">
        <v>13546.48</v>
      </c>
      <c r="K362" s="562"/>
      <c r="L362" s="604">
        <v>11330.28</v>
      </c>
      <c r="M362" s="603"/>
      <c r="N362" s="602"/>
      <c r="Z362" s="537" t="s">
        <v>475</v>
      </c>
    </row>
    <row r="363" spans="1:34" s="536" customFormat="1" x14ac:dyDescent="0.2">
      <c r="A363" s="676"/>
      <c r="B363" s="677" t="s">
        <v>639</v>
      </c>
      <c r="C363" s="1829" t="s">
        <v>640</v>
      </c>
      <c r="D363" s="1829"/>
      <c r="E363" s="1829"/>
      <c r="F363" s="678" t="s">
        <v>641</v>
      </c>
      <c r="G363" s="678" t="s">
        <v>1384</v>
      </c>
      <c r="H363" s="678"/>
      <c r="I363" s="678" t="s">
        <v>4902</v>
      </c>
      <c r="J363" s="552"/>
      <c r="K363" s="562"/>
      <c r="L363" s="604"/>
      <c r="M363" s="562"/>
      <c r="N363" s="679"/>
      <c r="AA363" s="537" t="s">
        <v>640</v>
      </c>
    </row>
    <row r="364" spans="1:34" s="536" customFormat="1" x14ac:dyDescent="0.2">
      <c r="A364" s="676"/>
      <c r="B364" s="677" t="s">
        <v>3313</v>
      </c>
      <c r="C364" s="1829" t="s">
        <v>1229</v>
      </c>
      <c r="D364" s="1829"/>
      <c r="E364" s="1829"/>
      <c r="F364" s="678" t="s">
        <v>694</v>
      </c>
      <c r="G364" s="678" t="s">
        <v>1422</v>
      </c>
      <c r="H364" s="678"/>
      <c r="I364" s="678" t="s">
        <v>4903</v>
      </c>
      <c r="J364" s="552"/>
      <c r="K364" s="562"/>
      <c r="L364" s="604"/>
      <c r="M364" s="562"/>
      <c r="N364" s="679"/>
      <c r="AA364" s="537" t="s">
        <v>1229</v>
      </c>
    </row>
    <row r="365" spans="1:34" s="536" customFormat="1" x14ac:dyDescent="0.2">
      <c r="A365" s="676"/>
      <c r="B365" s="677" t="s">
        <v>1272</v>
      </c>
      <c r="C365" s="1829" t="s">
        <v>1273</v>
      </c>
      <c r="D365" s="1829"/>
      <c r="E365" s="1829"/>
      <c r="F365" s="678" t="s">
        <v>694</v>
      </c>
      <c r="G365" s="678" t="s">
        <v>4904</v>
      </c>
      <c r="H365" s="678"/>
      <c r="I365" s="678" t="s">
        <v>4905</v>
      </c>
      <c r="J365" s="552"/>
      <c r="K365" s="562"/>
      <c r="L365" s="604"/>
      <c r="M365" s="562"/>
      <c r="N365" s="679"/>
      <c r="AA365" s="537" t="s">
        <v>1273</v>
      </c>
    </row>
    <row r="366" spans="1:34" s="536" customFormat="1" x14ac:dyDescent="0.2">
      <c r="A366" s="605"/>
      <c r="B366" s="552"/>
      <c r="C366" s="1822" t="s">
        <v>314</v>
      </c>
      <c r="D366" s="1822"/>
      <c r="E366" s="1822"/>
      <c r="F366" s="562" t="s">
        <v>315</v>
      </c>
      <c r="G366" s="562" t="s">
        <v>4906</v>
      </c>
      <c r="H366" s="562" t="s">
        <v>313</v>
      </c>
      <c r="I366" s="562" t="s">
        <v>4907</v>
      </c>
      <c r="J366" s="604"/>
      <c r="K366" s="562"/>
      <c r="L366" s="604"/>
      <c r="M366" s="603"/>
      <c r="N366" s="602"/>
      <c r="AB366" s="537" t="s">
        <v>314</v>
      </c>
    </row>
    <row r="367" spans="1:34" s="536" customFormat="1" x14ac:dyDescent="0.2">
      <c r="A367" s="605"/>
      <c r="B367" s="552"/>
      <c r="C367" s="1822" t="s">
        <v>348</v>
      </c>
      <c r="D367" s="1822"/>
      <c r="E367" s="1822"/>
      <c r="F367" s="562" t="s">
        <v>315</v>
      </c>
      <c r="G367" s="562" t="s">
        <v>4908</v>
      </c>
      <c r="H367" s="562" t="s">
        <v>313</v>
      </c>
      <c r="I367" s="562" t="s">
        <v>4909</v>
      </c>
      <c r="J367" s="604"/>
      <c r="K367" s="562"/>
      <c r="L367" s="604"/>
      <c r="M367" s="603"/>
      <c r="N367" s="602"/>
      <c r="AB367" s="537" t="s">
        <v>348</v>
      </c>
    </row>
    <row r="368" spans="1:34" s="536" customFormat="1" x14ac:dyDescent="0.2">
      <c r="A368" s="605"/>
      <c r="B368" s="552"/>
      <c r="C368" s="1828" t="s">
        <v>318</v>
      </c>
      <c r="D368" s="1828"/>
      <c r="E368" s="1828"/>
      <c r="F368" s="608"/>
      <c r="G368" s="608"/>
      <c r="H368" s="608"/>
      <c r="I368" s="608"/>
      <c r="J368" s="607">
        <v>20724.68</v>
      </c>
      <c r="K368" s="608"/>
      <c r="L368" s="607">
        <v>18835.080000000002</v>
      </c>
      <c r="M368" s="601"/>
      <c r="N368" s="606"/>
      <c r="AC368" s="537" t="s">
        <v>318</v>
      </c>
    </row>
    <row r="369" spans="1:31" s="536" customFormat="1" x14ac:dyDescent="0.2">
      <c r="A369" s="605"/>
      <c r="B369" s="552"/>
      <c r="C369" s="1822" t="s">
        <v>319</v>
      </c>
      <c r="D369" s="1822"/>
      <c r="E369" s="1822"/>
      <c r="F369" s="562"/>
      <c r="G369" s="562"/>
      <c r="H369" s="562"/>
      <c r="I369" s="562"/>
      <c r="J369" s="604"/>
      <c r="K369" s="562"/>
      <c r="L369" s="604">
        <v>5550.05</v>
      </c>
      <c r="M369" s="603"/>
      <c r="N369" s="602"/>
      <c r="AB369" s="537" t="s">
        <v>319</v>
      </c>
    </row>
    <row r="370" spans="1:31" s="536" customFormat="1" ht="33.75" x14ac:dyDescent="0.2">
      <c r="A370" s="605"/>
      <c r="B370" s="552" t="s">
        <v>686</v>
      </c>
      <c r="C370" s="1822" t="s">
        <v>687</v>
      </c>
      <c r="D370" s="1822"/>
      <c r="E370" s="1822"/>
      <c r="F370" s="562" t="s">
        <v>322</v>
      </c>
      <c r="G370" s="562" t="s">
        <v>680</v>
      </c>
      <c r="H370" s="562"/>
      <c r="I370" s="562" t="s">
        <v>680</v>
      </c>
      <c r="J370" s="604"/>
      <c r="K370" s="562"/>
      <c r="L370" s="604">
        <v>5661.05</v>
      </c>
      <c r="M370" s="603"/>
      <c r="N370" s="602"/>
      <c r="AB370" s="537" t="s">
        <v>687</v>
      </c>
    </row>
    <row r="371" spans="1:31" s="536" customFormat="1" ht="33.75" x14ac:dyDescent="0.2">
      <c r="A371" s="605"/>
      <c r="B371" s="552" t="s">
        <v>688</v>
      </c>
      <c r="C371" s="1822" t="s">
        <v>689</v>
      </c>
      <c r="D371" s="1822"/>
      <c r="E371" s="1822"/>
      <c r="F371" s="562" t="s">
        <v>322</v>
      </c>
      <c r="G371" s="562" t="s">
        <v>690</v>
      </c>
      <c r="H371" s="562"/>
      <c r="I371" s="562" t="s">
        <v>690</v>
      </c>
      <c r="J371" s="604"/>
      <c r="K371" s="562"/>
      <c r="L371" s="604">
        <v>3219.03</v>
      </c>
      <c r="M371" s="603"/>
      <c r="N371" s="602"/>
      <c r="AB371" s="537" t="s">
        <v>689</v>
      </c>
    </row>
    <row r="372" spans="1:31" s="536" customFormat="1" x14ac:dyDescent="0.2">
      <c r="A372" s="569"/>
      <c r="B372" s="671"/>
      <c r="C372" s="1823" t="s">
        <v>327</v>
      </c>
      <c r="D372" s="1823"/>
      <c r="E372" s="1823"/>
      <c r="F372" s="573"/>
      <c r="G372" s="573"/>
      <c r="H372" s="573"/>
      <c r="I372" s="573"/>
      <c r="J372" s="572"/>
      <c r="K372" s="573"/>
      <c r="L372" s="572">
        <v>27715.16</v>
      </c>
      <c r="M372" s="601"/>
      <c r="N372" s="570"/>
      <c r="AD372" s="537" t="s">
        <v>327</v>
      </c>
    </row>
    <row r="373" spans="1:31" s="536" customFormat="1" ht="22.5" x14ac:dyDescent="0.2">
      <c r="A373" s="575" t="s">
        <v>326</v>
      </c>
      <c r="B373" s="670" t="s">
        <v>2117</v>
      </c>
      <c r="C373" s="1823" t="s">
        <v>2118</v>
      </c>
      <c r="D373" s="1823"/>
      <c r="E373" s="1823"/>
      <c r="F373" s="573" t="s">
        <v>641</v>
      </c>
      <c r="G373" s="573"/>
      <c r="H373" s="573"/>
      <c r="I373" s="573" t="s">
        <v>4902</v>
      </c>
      <c r="J373" s="572">
        <v>790</v>
      </c>
      <c r="K373" s="573"/>
      <c r="L373" s="572">
        <v>67066.73</v>
      </c>
      <c r="M373" s="571"/>
      <c r="N373" s="570"/>
      <c r="W373" s="537" t="s">
        <v>2118</v>
      </c>
    </row>
    <row r="374" spans="1:31" s="536" customFormat="1" x14ac:dyDescent="0.2">
      <c r="A374" s="569"/>
      <c r="B374" s="671"/>
      <c r="C374" s="665" t="s">
        <v>717</v>
      </c>
      <c r="D374" s="666"/>
      <c r="E374" s="666"/>
      <c r="F374" s="563"/>
      <c r="G374" s="563"/>
      <c r="H374" s="563"/>
      <c r="I374" s="563"/>
      <c r="J374" s="566"/>
      <c r="K374" s="563"/>
      <c r="L374" s="566"/>
      <c r="M374" s="565"/>
      <c r="N374" s="564"/>
    </row>
    <row r="375" spans="1:31" s="536" customFormat="1" ht="33.75" x14ac:dyDescent="0.2">
      <c r="A375" s="575" t="s">
        <v>774</v>
      </c>
      <c r="B375" s="670" t="s">
        <v>657</v>
      </c>
      <c r="C375" s="1823" t="s">
        <v>4910</v>
      </c>
      <c r="D375" s="1823"/>
      <c r="E375" s="1823"/>
      <c r="F375" s="573" t="s">
        <v>641</v>
      </c>
      <c r="G375" s="573"/>
      <c r="H375" s="573"/>
      <c r="I375" s="573" t="s">
        <v>4911</v>
      </c>
      <c r="J375" s="572">
        <v>21.26</v>
      </c>
      <c r="K375" s="573"/>
      <c r="L375" s="572">
        <v>1778.19</v>
      </c>
      <c r="M375" s="571"/>
      <c r="N375" s="570"/>
      <c r="W375" s="537" t="s">
        <v>4910</v>
      </c>
    </row>
    <row r="376" spans="1:31" s="536" customFormat="1" x14ac:dyDescent="0.2">
      <c r="A376" s="569"/>
      <c r="B376" s="671"/>
      <c r="C376" s="665" t="s">
        <v>717</v>
      </c>
      <c r="D376" s="666"/>
      <c r="E376" s="666"/>
      <c r="F376" s="563"/>
      <c r="G376" s="563"/>
      <c r="H376" s="563"/>
      <c r="I376" s="563"/>
      <c r="J376" s="566"/>
      <c r="K376" s="563"/>
      <c r="L376" s="566"/>
      <c r="M376" s="565"/>
      <c r="N376" s="564"/>
    </row>
    <row r="377" spans="1:31" s="536" customFormat="1" x14ac:dyDescent="0.2">
      <c r="A377" s="676"/>
      <c r="B377" s="664"/>
      <c r="C377" s="1822" t="s">
        <v>4773</v>
      </c>
      <c r="D377" s="1822"/>
      <c r="E377" s="1822"/>
      <c r="F377" s="1822"/>
      <c r="G377" s="1822"/>
      <c r="H377" s="1822"/>
      <c r="I377" s="1822"/>
      <c r="J377" s="1822"/>
      <c r="K377" s="1822"/>
      <c r="L377" s="1822"/>
      <c r="M377" s="1822"/>
      <c r="N377" s="1827"/>
      <c r="AE377" s="537" t="s">
        <v>4773</v>
      </c>
    </row>
    <row r="378" spans="1:31" s="536" customFormat="1" ht="22.5" x14ac:dyDescent="0.2">
      <c r="A378" s="575" t="s">
        <v>775</v>
      </c>
      <c r="B378" s="670" t="s">
        <v>4912</v>
      </c>
      <c r="C378" s="1823" t="s">
        <v>4913</v>
      </c>
      <c r="D378" s="1823"/>
      <c r="E378" s="1823"/>
      <c r="F378" s="573" t="s">
        <v>694</v>
      </c>
      <c r="G378" s="573"/>
      <c r="H378" s="573"/>
      <c r="I378" s="573" t="s">
        <v>4914</v>
      </c>
      <c r="J378" s="572">
        <v>5488.69</v>
      </c>
      <c r="K378" s="573"/>
      <c r="L378" s="572">
        <v>119181.41</v>
      </c>
      <c r="M378" s="571"/>
      <c r="N378" s="570"/>
      <c r="W378" s="537" t="s">
        <v>4913</v>
      </c>
    </row>
    <row r="379" spans="1:31" s="536" customFormat="1" x14ac:dyDescent="0.2">
      <c r="A379" s="569"/>
      <c r="B379" s="671"/>
      <c r="C379" s="665" t="s">
        <v>717</v>
      </c>
      <c r="D379" s="666"/>
      <c r="E379" s="666"/>
      <c r="F379" s="563"/>
      <c r="G379" s="563"/>
      <c r="H379" s="563"/>
      <c r="I379" s="563"/>
      <c r="J379" s="566"/>
      <c r="K379" s="563"/>
      <c r="L379" s="566"/>
      <c r="M379" s="565"/>
      <c r="N379" s="564"/>
    </row>
    <row r="380" spans="1:31" s="536" customFormat="1" x14ac:dyDescent="0.2">
      <c r="A380" s="676"/>
      <c r="B380" s="664"/>
      <c r="C380" s="1822" t="s">
        <v>4915</v>
      </c>
      <c r="D380" s="1822"/>
      <c r="E380" s="1822"/>
      <c r="F380" s="1822"/>
      <c r="G380" s="1822"/>
      <c r="H380" s="1822"/>
      <c r="I380" s="1822"/>
      <c r="J380" s="1822"/>
      <c r="K380" s="1822"/>
      <c r="L380" s="1822"/>
      <c r="M380" s="1822"/>
      <c r="N380" s="1827"/>
      <c r="X380" s="537" t="s">
        <v>4915</v>
      </c>
    </row>
    <row r="381" spans="1:31" s="536" customFormat="1" x14ac:dyDescent="0.2">
      <c r="A381" s="575" t="s">
        <v>776</v>
      </c>
      <c r="B381" s="670" t="s">
        <v>4786</v>
      </c>
      <c r="C381" s="1823" t="s">
        <v>4916</v>
      </c>
      <c r="D381" s="1823"/>
      <c r="E381" s="1823"/>
      <c r="F381" s="573" t="s">
        <v>694</v>
      </c>
      <c r="G381" s="573"/>
      <c r="H381" s="573"/>
      <c r="I381" s="573" t="s">
        <v>4917</v>
      </c>
      <c r="J381" s="572">
        <v>8200</v>
      </c>
      <c r="K381" s="573"/>
      <c r="L381" s="572">
        <v>6299.24</v>
      </c>
      <c r="M381" s="571"/>
      <c r="N381" s="570"/>
      <c r="W381" s="537" t="s">
        <v>4916</v>
      </c>
    </row>
    <row r="382" spans="1:31" s="536" customFormat="1" x14ac:dyDescent="0.2">
      <c r="A382" s="569"/>
      <c r="B382" s="671"/>
      <c r="C382" s="665" t="s">
        <v>717</v>
      </c>
      <c r="D382" s="666"/>
      <c r="E382" s="666"/>
      <c r="F382" s="563"/>
      <c r="G382" s="563"/>
      <c r="H382" s="563"/>
      <c r="I382" s="563"/>
      <c r="J382" s="566"/>
      <c r="K382" s="563"/>
      <c r="L382" s="566"/>
      <c r="M382" s="565"/>
      <c r="N382" s="564"/>
    </row>
    <row r="383" spans="1:31" s="536" customFormat="1" x14ac:dyDescent="0.2">
      <c r="A383" s="676"/>
      <c r="B383" s="664"/>
      <c r="C383" s="1822" t="s">
        <v>4918</v>
      </c>
      <c r="D383" s="1822"/>
      <c r="E383" s="1822"/>
      <c r="F383" s="1822"/>
      <c r="G383" s="1822"/>
      <c r="H383" s="1822"/>
      <c r="I383" s="1822"/>
      <c r="J383" s="1822"/>
      <c r="K383" s="1822"/>
      <c r="L383" s="1822"/>
      <c r="M383" s="1822"/>
      <c r="N383" s="1827"/>
      <c r="X383" s="537" t="s">
        <v>4918</v>
      </c>
    </row>
    <row r="384" spans="1:31" s="536" customFormat="1" ht="22.5" x14ac:dyDescent="0.2">
      <c r="A384" s="575" t="s">
        <v>931</v>
      </c>
      <c r="B384" s="670" t="s">
        <v>4108</v>
      </c>
      <c r="C384" s="1823" t="s">
        <v>4109</v>
      </c>
      <c r="D384" s="1823"/>
      <c r="E384" s="1823"/>
      <c r="F384" s="573" t="s">
        <v>694</v>
      </c>
      <c r="G384" s="573"/>
      <c r="H384" s="573"/>
      <c r="I384" s="573" t="s">
        <v>3694</v>
      </c>
      <c r="J384" s="572">
        <v>6726.18</v>
      </c>
      <c r="K384" s="573"/>
      <c r="L384" s="572">
        <v>363.21</v>
      </c>
      <c r="M384" s="571"/>
      <c r="N384" s="570"/>
      <c r="W384" s="537" t="s">
        <v>4109</v>
      </c>
    </row>
    <row r="385" spans="1:30" s="536" customFormat="1" x14ac:dyDescent="0.2">
      <c r="A385" s="569"/>
      <c r="B385" s="671"/>
      <c r="C385" s="665" t="s">
        <v>717</v>
      </c>
      <c r="D385" s="666"/>
      <c r="E385" s="666"/>
      <c r="F385" s="563"/>
      <c r="G385" s="563"/>
      <c r="H385" s="563"/>
      <c r="I385" s="563"/>
      <c r="J385" s="566"/>
      <c r="K385" s="563"/>
      <c r="L385" s="566"/>
      <c r="M385" s="565"/>
      <c r="N385" s="564"/>
    </row>
    <row r="386" spans="1:30" s="536" customFormat="1" x14ac:dyDescent="0.2">
      <c r="A386" s="676"/>
      <c r="B386" s="664"/>
      <c r="C386" s="1822" t="s">
        <v>3695</v>
      </c>
      <c r="D386" s="1822"/>
      <c r="E386" s="1822"/>
      <c r="F386" s="1822"/>
      <c r="G386" s="1822"/>
      <c r="H386" s="1822"/>
      <c r="I386" s="1822"/>
      <c r="J386" s="1822"/>
      <c r="K386" s="1822"/>
      <c r="L386" s="1822"/>
      <c r="M386" s="1822"/>
      <c r="N386" s="1827"/>
      <c r="X386" s="537" t="s">
        <v>3695</v>
      </c>
    </row>
    <row r="387" spans="1:30" s="536" customFormat="1" ht="22.5" x14ac:dyDescent="0.2">
      <c r="A387" s="575" t="s">
        <v>465</v>
      </c>
      <c r="B387" s="670" t="s">
        <v>4919</v>
      </c>
      <c r="C387" s="1823" t="s">
        <v>4920</v>
      </c>
      <c r="D387" s="1823"/>
      <c r="E387" s="1823"/>
      <c r="F387" s="573" t="s">
        <v>694</v>
      </c>
      <c r="G387" s="573"/>
      <c r="H387" s="573"/>
      <c r="I387" s="573" t="s">
        <v>4921</v>
      </c>
      <c r="J387" s="572"/>
      <c r="K387" s="573"/>
      <c r="L387" s="572"/>
      <c r="M387" s="571"/>
      <c r="N387" s="570"/>
      <c r="W387" s="537" t="s">
        <v>4920</v>
      </c>
    </row>
    <row r="388" spans="1:30" s="536" customFormat="1" x14ac:dyDescent="0.2">
      <c r="A388" s="676"/>
      <c r="B388" s="664"/>
      <c r="C388" s="1822" t="s">
        <v>4922</v>
      </c>
      <c r="D388" s="1822"/>
      <c r="E388" s="1822"/>
      <c r="F388" s="1822"/>
      <c r="G388" s="1822"/>
      <c r="H388" s="1822"/>
      <c r="I388" s="1822"/>
      <c r="J388" s="1822"/>
      <c r="K388" s="1822"/>
      <c r="L388" s="1822"/>
      <c r="M388" s="1822"/>
      <c r="N388" s="1827"/>
      <c r="X388" s="537" t="s">
        <v>4922</v>
      </c>
    </row>
    <row r="389" spans="1:30" s="536" customFormat="1" ht="33.75" x14ac:dyDescent="0.2">
      <c r="A389" s="609"/>
      <c r="B389" s="552" t="s">
        <v>310</v>
      </c>
      <c r="C389" s="1822" t="s">
        <v>311</v>
      </c>
      <c r="D389" s="1822"/>
      <c r="E389" s="1822"/>
      <c r="F389" s="1822"/>
      <c r="G389" s="1822"/>
      <c r="H389" s="1822"/>
      <c r="I389" s="1822"/>
      <c r="J389" s="1822"/>
      <c r="K389" s="1822"/>
      <c r="L389" s="1822"/>
      <c r="M389" s="1822"/>
      <c r="N389" s="1827"/>
      <c r="Y389" s="537" t="s">
        <v>311</v>
      </c>
    </row>
    <row r="390" spans="1:30" s="536" customFormat="1" x14ac:dyDescent="0.2">
      <c r="A390" s="605"/>
      <c r="B390" s="552" t="s">
        <v>185</v>
      </c>
      <c r="C390" s="1822" t="s">
        <v>312</v>
      </c>
      <c r="D390" s="1822"/>
      <c r="E390" s="1822"/>
      <c r="F390" s="562"/>
      <c r="G390" s="562"/>
      <c r="H390" s="562"/>
      <c r="I390" s="562"/>
      <c r="J390" s="604">
        <v>181.4</v>
      </c>
      <c r="K390" s="562" t="s">
        <v>313</v>
      </c>
      <c r="L390" s="604">
        <v>32.79</v>
      </c>
      <c r="M390" s="603"/>
      <c r="N390" s="602"/>
      <c r="Z390" s="537" t="s">
        <v>312</v>
      </c>
    </row>
    <row r="391" spans="1:30" s="536" customFormat="1" x14ac:dyDescent="0.2">
      <c r="A391" s="605"/>
      <c r="B391" s="552" t="s">
        <v>186</v>
      </c>
      <c r="C391" s="1822" t="s">
        <v>344</v>
      </c>
      <c r="D391" s="1822"/>
      <c r="E391" s="1822"/>
      <c r="F391" s="562"/>
      <c r="G391" s="562"/>
      <c r="H391" s="562"/>
      <c r="I391" s="562"/>
      <c r="J391" s="604">
        <v>28.64</v>
      </c>
      <c r="K391" s="562" t="s">
        <v>313</v>
      </c>
      <c r="L391" s="604">
        <v>5.18</v>
      </c>
      <c r="M391" s="603"/>
      <c r="N391" s="602"/>
      <c r="Z391" s="537" t="s">
        <v>344</v>
      </c>
    </row>
    <row r="392" spans="1:30" s="536" customFormat="1" x14ac:dyDescent="0.2">
      <c r="A392" s="605"/>
      <c r="B392" s="552" t="s">
        <v>187</v>
      </c>
      <c r="C392" s="1822" t="s">
        <v>345</v>
      </c>
      <c r="D392" s="1822"/>
      <c r="E392" s="1822"/>
      <c r="F392" s="562"/>
      <c r="G392" s="562"/>
      <c r="H392" s="562"/>
      <c r="I392" s="562"/>
      <c r="J392" s="604">
        <v>4.09</v>
      </c>
      <c r="K392" s="562" t="s">
        <v>313</v>
      </c>
      <c r="L392" s="604">
        <v>0.74</v>
      </c>
      <c r="M392" s="603"/>
      <c r="N392" s="602"/>
      <c r="Z392" s="537" t="s">
        <v>345</v>
      </c>
    </row>
    <row r="393" spans="1:30" s="536" customFormat="1" x14ac:dyDescent="0.2">
      <c r="A393" s="676"/>
      <c r="B393" s="677" t="s">
        <v>1408</v>
      </c>
      <c r="C393" s="1829" t="s">
        <v>1409</v>
      </c>
      <c r="D393" s="1829"/>
      <c r="E393" s="1829"/>
      <c r="F393" s="678" t="s">
        <v>694</v>
      </c>
      <c r="G393" s="678" t="s">
        <v>185</v>
      </c>
      <c r="H393" s="678"/>
      <c r="I393" s="678" t="s">
        <v>4921</v>
      </c>
      <c r="J393" s="552"/>
      <c r="K393" s="562"/>
      <c r="L393" s="604"/>
      <c r="M393" s="562"/>
      <c r="N393" s="679"/>
      <c r="AA393" s="537" t="s">
        <v>1409</v>
      </c>
    </row>
    <row r="394" spans="1:30" s="536" customFormat="1" x14ac:dyDescent="0.2">
      <c r="A394" s="605"/>
      <c r="B394" s="552"/>
      <c r="C394" s="1822" t="s">
        <v>314</v>
      </c>
      <c r="D394" s="1822"/>
      <c r="E394" s="1822"/>
      <c r="F394" s="562" t="s">
        <v>315</v>
      </c>
      <c r="G394" s="562" t="s">
        <v>733</v>
      </c>
      <c r="H394" s="562" t="s">
        <v>313</v>
      </c>
      <c r="I394" s="562" t="s">
        <v>4923</v>
      </c>
      <c r="J394" s="604"/>
      <c r="K394" s="562"/>
      <c r="L394" s="604"/>
      <c r="M394" s="603"/>
      <c r="N394" s="602"/>
      <c r="AB394" s="537" t="s">
        <v>314</v>
      </c>
    </row>
    <row r="395" spans="1:30" s="536" customFormat="1" x14ac:dyDescent="0.2">
      <c r="A395" s="605"/>
      <c r="B395" s="552"/>
      <c r="C395" s="1822" t="s">
        <v>348</v>
      </c>
      <c r="D395" s="1822"/>
      <c r="E395" s="1822"/>
      <c r="F395" s="562" t="s">
        <v>315</v>
      </c>
      <c r="G395" s="562" t="s">
        <v>1411</v>
      </c>
      <c r="H395" s="562" t="s">
        <v>313</v>
      </c>
      <c r="I395" s="562" t="s">
        <v>4924</v>
      </c>
      <c r="J395" s="604"/>
      <c r="K395" s="562"/>
      <c r="L395" s="604"/>
      <c r="M395" s="603"/>
      <c r="N395" s="602"/>
      <c r="AB395" s="537" t="s">
        <v>348</v>
      </c>
    </row>
    <row r="396" spans="1:30" s="536" customFormat="1" x14ac:dyDescent="0.2">
      <c r="A396" s="605"/>
      <c r="B396" s="552"/>
      <c r="C396" s="1828" t="s">
        <v>318</v>
      </c>
      <c r="D396" s="1828"/>
      <c r="E396" s="1828"/>
      <c r="F396" s="608"/>
      <c r="G396" s="608"/>
      <c r="H396" s="608"/>
      <c r="I396" s="608"/>
      <c r="J396" s="607">
        <v>210.04</v>
      </c>
      <c r="K396" s="608"/>
      <c r="L396" s="607">
        <v>37.97</v>
      </c>
      <c r="M396" s="601"/>
      <c r="N396" s="606"/>
      <c r="AC396" s="537" t="s">
        <v>318</v>
      </c>
    </row>
    <row r="397" spans="1:30" s="536" customFormat="1" x14ac:dyDescent="0.2">
      <c r="A397" s="605"/>
      <c r="B397" s="552"/>
      <c r="C397" s="1822" t="s">
        <v>319</v>
      </c>
      <c r="D397" s="1822"/>
      <c r="E397" s="1822"/>
      <c r="F397" s="562"/>
      <c r="G397" s="562"/>
      <c r="H397" s="562"/>
      <c r="I397" s="562"/>
      <c r="J397" s="604"/>
      <c r="K397" s="562"/>
      <c r="L397" s="604">
        <v>33.53</v>
      </c>
      <c r="M397" s="603"/>
      <c r="N397" s="602"/>
      <c r="AB397" s="537" t="s">
        <v>319</v>
      </c>
    </row>
    <row r="398" spans="1:30" s="536" customFormat="1" ht="33.75" x14ac:dyDescent="0.2">
      <c r="A398" s="605"/>
      <c r="B398" s="552" t="s">
        <v>686</v>
      </c>
      <c r="C398" s="1822" t="s">
        <v>687</v>
      </c>
      <c r="D398" s="1822"/>
      <c r="E398" s="1822"/>
      <c r="F398" s="562" t="s">
        <v>322</v>
      </c>
      <c r="G398" s="562" t="s">
        <v>680</v>
      </c>
      <c r="H398" s="562"/>
      <c r="I398" s="562" t="s">
        <v>680</v>
      </c>
      <c r="J398" s="604"/>
      <c r="K398" s="562"/>
      <c r="L398" s="604">
        <v>34.200000000000003</v>
      </c>
      <c r="M398" s="603"/>
      <c r="N398" s="602"/>
      <c r="AB398" s="537" t="s">
        <v>687</v>
      </c>
    </row>
    <row r="399" spans="1:30" s="536" customFormat="1" ht="33.75" x14ac:dyDescent="0.2">
      <c r="A399" s="605"/>
      <c r="B399" s="552" t="s">
        <v>688</v>
      </c>
      <c r="C399" s="1822" t="s">
        <v>689</v>
      </c>
      <c r="D399" s="1822"/>
      <c r="E399" s="1822"/>
      <c r="F399" s="562" t="s">
        <v>322</v>
      </c>
      <c r="G399" s="562" t="s">
        <v>690</v>
      </c>
      <c r="H399" s="562"/>
      <c r="I399" s="562" t="s">
        <v>690</v>
      </c>
      <c r="J399" s="604"/>
      <c r="K399" s="562"/>
      <c r="L399" s="604">
        <v>19.45</v>
      </c>
      <c r="M399" s="603"/>
      <c r="N399" s="602"/>
      <c r="AB399" s="537" t="s">
        <v>689</v>
      </c>
    </row>
    <row r="400" spans="1:30" s="536" customFormat="1" x14ac:dyDescent="0.2">
      <c r="A400" s="569"/>
      <c r="B400" s="671"/>
      <c r="C400" s="1823" t="s">
        <v>327</v>
      </c>
      <c r="D400" s="1823"/>
      <c r="E400" s="1823"/>
      <c r="F400" s="573"/>
      <c r="G400" s="573"/>
      <c r="H400" s="573"/>
      <c r="I400" s="573"/>
      <c r="J400" s="572"/>
      <c r="K400" s="573"/>
      <c r="L400" s="572">
        <v>91.62</v>
      </c>
      <c r="M400" s="601"/>
      <c r="N400" s="570"/>
      <c r="AD400" s="537" t="s">
        <v>327</v>
      </c>
    </row>
    <row r="401" spans="1:33" s="536" customFormat="1" ht="22.5" x14ac:dyDescent="0.2">
      <c r="A401" s="575" t="s">
        <v>782</v>
      </c>
      <c r="B401" s="670" t="s">
        <v>4925</v>
      </c>
      <c r="C401" s="1823" t="s">
        <v>4926</v>
      </c>
      <c r="D401" s="1823"/>
      <c r="E401" s="1823"/>
      <c r="F401" s="573" t="s">
        <v>694</v>
      </c>
      <c r="G401" s="573"/>
      <c r="H401" s="573"/>
      <c r="I401" s="573" t="s">
        <v>4921</v>
      </c>
      <c r="J401" s="572">
        <v>6349.37</v>
      </c>
      <c r="K401" s="573"/>
      <c r="L401" s="572">
        <v>918.12</v>
      </c>
      <c r="M401" s="571"/>
      <c r="N401" s="570"/>
      <c r="W401" s="537" t="s">
        <v>4926</v>
      </c>
    </row>
    <row r="402" spans="1:33" s="536" customFormat="1" x14ac:dyDescent="0.2">
      <c r="A402" s="569"/>
      <c r="B402" s="671"/>
      <c r="C402" s="665" t="s">
        <v>717</v>
      </c>
      <c r="D402" s="666"/>
      <c r="E402" s="666"/>
      <c r="F402" s="563"/>
      <c r="G402" s="563"/>
      <c r="H402" s="563"/>
      <c r="I402" s="563"/>
      <c r="J402" s="566"/>
      <c r="K402" s="563"/>
      <c r="L402" s="566"/>
      <c r="M402" s="565"/>
      <c r="N402" s="564"/>
    </row>
    <row r="403" spans="1:33" s="536" customFormat="1" ht="1.5" customHeight="1" x14ac:dyDescent="0.2">
      <c r="A403" s="563"/>
      <c r="B403" s="671"/>
      <c r="C403" s="671"/>
      <c r="D403" s="671"/>
      <c r="E403" s="671"/>
      <c r="F403" s="563"/>
      <c r="G403" s="563"/>
      <c r="H403" s="563"/>
      <c r="I403" s="563"/>
      <c r="J403" s="546"/>
      <c r="K403" s="563"/>
      <c r="L403" s="546"/>
      <c r="M403" s="562"/>
      <c r="N403" s="546"/>
    </row>
    <row r="404" spans="1:33" s="536" customFormat="1" x14ac:dyDescent="0.2">
      <c r="A404" s="557"/>
      <c r="B404" s="556"/>
      <c r="C404" s="1823" t="s">
        <v>4927</v>
      </c>
      <c r="D404" s="1823"/>
      <c r="E404" s="1823"/>
      <c r="F404" s="1823"/>
      <c r="G404" s="1823"/>
      <c r="H404" s="1823"/>
      <c r="I404" s="1823"/>
      <c r="J404" s="1823"/>
      <c r="K404" s="1823"/>
      <c r="L404" s="555"/>
      <c r="M404" s="554"/>
      <c r="N404" s="553"/>
      <c r="AF404" s="537" t="s">
        <v>4927</v>
      </c>
    </row>
    <row r="405" spans="1:33" s="536" customFormat="1" x14ac:dyDescent="0.2">
      <c r="A405" s="548"/>
      <c r="B405" s="552"/>
      <c r="C405" s="1822" t="s">
        <v>403</v>
      </c>
      <c r="D405" s="1822"/>
      <c r="E405" s="1822"/>
      <c r="F405" s="1822"/>
      <c r="G405" s="1822"/>
      <c r="H405" s="1822"/>
      <c r="I405" s="1822"/>
      <c r="J405" s="1822"/>
      <c r="K405" s="1822"/>
      <c r="L405" s="551">
        <v>214479.95</v>
      </c>
      <c r="M405" s="550"/>
      <c r="N405" s="549"/>
      <c r="AG405" s="537" t="s">
        <v>403</v>
      </c>
    </row>
    <row r="406" spans="1:33" s="536" customFormat="1" x14ac:dyDescent="0.2">
      <c r="A406" s="548"/>
      <c r="B406" s="552"/>
      <c r="C406" s="1822" t="s">
        <v>204</v>
      </c>
      <c r="D406" s="1822"/>
      <c r="E406" s="1822"/>
      <c r="F406" s="1822"/>
      <c r="G406" s="1822"/>
      <c r="H406" s="1822"/>
      <c r="I406" s="1822"/>
      <c r="J406" s="1822"/>
      <c r="K406" s="1822"/>
      <c r="L406" s="551"/>
      <c r="M406" s="550"/>
      <c r="N406" s="549"/>
      <c r="AG406" s="537" t="s">
        <v>204</v>
      </c>
    </row>
    <row r="407" spans="1:33" s="536" customFormat="1" x14ac:dyDescent="0.2">
      <c r="A407" s="548"/>
      <c r="B407" s="552"/>
      <c r="C407" s="1822" t="s">
        <v>404</v>
      </c>
      <c r="D407" s="1822"/>
      <c r="E407" s="1822"/>
      <c r="F407" s="1822"/>
      <c r="G407" s="1822"/>
      <c r="H407" s="1822"/>
      <c r="I407" s="1822"/>
      <c r="J407" s="1822"/>
      <c r="K407" s="1822"/>
      <c r="L407" s="551">
        <v>5226.83</v>
      </c>
      <c r="M407" s="550"/>
      <c r="N407" s="549"/>
      <c r="AG407" s="537" t="s">
        <v>404</v>
      </c>
    </row>
    <row r="408" spans="1:33" s="536" customFormat="1" x14ac:dyDescent="0.2">
      <c r="A408" s="548"/>
      <c r="B408" s="552"/>
      <c r="C408" s="1822" t="s">
        <v>405</v>
      </c>
      <c r="D408" s="1822"/>
      <c r="E408" s="1822"/>
      <c r="F408" s="1822"/>
      <c r="G408" s="1822"/>
      <c r="H408" s="1822"/>
      <c r="I408" s="1822"/>
      <c r="J408" s="1822"/>
      <c r="K408" s="1822"/>
      <c r="L408" s="551">
        <v>2315.94</v>
      </c>
      <c r="M408" s="550"/>
      <c r="N408" s="549"/>
      <c r="AG408" s="537" t="s">
        <v>405</v>
      </c>
    </row>
    <row r="409" spans="1:33" s="536" customFormat="1" x14ac:dyDescent="0.2">
      <c r="A409" s="548"/>
      <c r="B409" s="552"/>
      <c r="C409" s="1822" t="s">
        <v>406</v>
      </c>
      <c r="D409" s="1822"/>
      <c r="E409" s="1822"/>
      <c r="F409" s="1822"/>
      <c r="G409" s="1822"/>
      <c r="H409" s="1822"/>
      <c r="I409" s="1822"/>
      <c r="J409" s="1822"/>
      <c r="K409" s="1822"/>
      <c r="L409" s="551">
        <v>356.75</v>
      </c>
      <c r="M409" s="550"/>
      <c r="N409" s="549"/>
      <c r="AG409" s="537" t="s">
        <v>406</v>
      </c>
    </row>
    <row r="410" spans="1:33" s="536" customFormat="1" x14ac:dyDescent="0.2">
      <c r="A410" s="548"/>
      <c r="B410" s="552"/>
      <c r="C410" s="1822" t="s">
        <v>480</v>
      </c>
      <c r="D410" s="1822"/>
      <c r="E410" s="1822"/>
      <c r="F410" s="1822"/>
      <c r="G410" s="1822"/>
      <c r="H410" s="1822"/>
      <c r="I410" s="1822"/>
      <c r="J410" s="1822"/>
      <c r="K410" s="1822"/>
      <c r="L410" s="551">
        <v>206937.18</v>
      </c>
      <c r="M410" s="550"/>
      <c r="N410" s="549"/>
      <c r="AG410" s="537" t="s">
        <v>480</v>
      </c>
    </row>
    <row r="411" spans="1:33" s="536" customFormat="1" x14ac:dyDescent="0.2">
      <c r="A411" s="548"/>
      <c r="B411" s="552" t="s">
        <v>185</v>
      </c>
      <c r="C411" s="1822" t="s">
        <v>407</v>
      </c>
      <c r="D411" s="1822"/>
      <c r="E411" s="1822"/>
      <c r="F411" s="1822"/>
      <c r="G411" s="1822"/>
      <c r="H411" s="1822"/>
      <c r="I411" s="1822"/>
      <c r="J411" s="1822"/>
      <c r="K411" s="1822"/>
      <c r="L411" s="551">
        <v>223413.68</v>
      </c>
      <c r="M411" s="550"/>
      <c r="N411" s="549"/>
      <c r="AG411" s="537" t="s">
        <v>407</v>
      </c>
    </row>
    <row r="412" spans="1:33" s="536" customFormat="1" x14ac:dyDescent="0.2">
      <c r="A412" s="548"/>
      <c r="B412" s="552"/>
      <c r="C412" s="1822" t="s">
        <v>204</v>
      </c>
      <c r="D412" s="1822"/>
      <c r="E412" s="1822"/>
      <c r="F412" s="1822"/>
      <c r="G412" s="1822"/>
      <c r="H412" s="1822"/>
      <c r="I412" s="1822"/>
      <c r="J412" s="1822"/>
      <c r="K412" s="1822"/>
      <c r="L412" s="551"/>
      <c r="M412" s="550"/>
      <c r="N412" s="549"/>
      <c r="AG412" s="537" t="s">
        <v>204</v>
      </c>
    </row>
    <row r="413" spans="1:33" s="536" customFormat="1" x14ac:dyDescent="0.2">
      <c r="A413" s="548"/>
      <c r="B413" s="552"/>
      <c r="C413" s="1822" t="s">
        <v>546</v>
      </c>
      <c r="D413" s="1822"/>
      <c r="E413" s="1822"/>
      <c r="F413" s="1822"/>
      <c r="G413" s="1822"/>
      <c r="H413" s="1822"/>
      <c r="I413" s="1822"/>
      <c r="J413" s="1822"/>
      <c r="K413" s="1822"/>
      <c r="L413" s="551">
        <v>5226.83</v>
      </c>
      <c r="M413" s="550"/>
      <c r="N413" s="549"/>
      <c r="AG413" s="537" t="s">
        <v>546</v>
      </c>
    </row>
    <row r="414" spans="1:33" s="536" customFormat="1" x14ac:dyDescent="0.2">
      <c r="A414" s="548"/>
      <c r="B414" s="552"/>
      <c r="C414" s="1822" t="s">
        <v>442</v>
      </c>
      <c r="D414" s="1822"/>
      <c r="E414" s="1822"/>
      <c r="F414" s="1822"/>
      <c r="G414" s="1822"/>
      <c r="H414" s="1822"/>
      <c r="I414" s="1822"/>
      <c r="J414" s="1822"/>
      <c r="K414" s="1822"/>
      <c r="L414" s="551">
        <v>2315.94</v>
      </c>
      <c r="M414" s="550"/>
      <c r="N414" s="549"/>
      <c r="AG414" s="537" t="s">
        <v>442</v>
      </c>
    </row>
    <row r="415" spans="1:33" s="536" customFormat="1" x14ac:dyDescent="0.2">
      <c r="A415" s="548"/>
      <c r="B415" s="552"/>
      <c r="C415" s="1822" t="s">
        <v>547</v>
      </c>
      <c r="D415" s="1822"/>
      <c r="E415" s="1822"/>
      <c r="F415" s="1822"/>
      <c r="G415" s="1822"/>
      <c r="H415" s="1822"/>
      <c r="I415" s="1822"/>
      <c r="J415" s="1822"/>
      <c r="K415" s="1822"/>
      <c r="L415" s="551">
        <v>206937.18</v>
      </c>
      <c r="M415" s="550"/>
      <c r="N415" s="549"/>
      <c r="AG415" s="537" t="s">
        <v>547</v>
      </c>
    </row>
    <row r="416" spans="1:33" s="536" customFormat="1" x14ac:dyDescent="0.2">
      <c r="A416" s="548"/>
      <c r="B416" s="552"/>
      <c r="C416" s="1822" t="s">
        <v>443</v>
      </c>
      <c r="D416" s="1822"/>
      <c r="E416" s="1822"/>
      <c r="F416" s="1822"/>
      <c r="G416" s="1822"/>
      <c r="H416" s="1822"/>
      <c r="I416" s="1822"/>
      <c r="J416" s="1822"/>
      <c r="K416" s="1822"/>
      <c r="L416" s="551">
        <v>5695.25</v>
      </c>
      <c r="M416" s="550"/>
      <c r="N416" s="549"/>
      <c r="AG416" s="537" t="s">
        <v>443</v>
      </c>
    </row>
    <row r="417" spans="1:34" s="536" customFormat="1" x14ac:dyDescent="0.2">
      <c r="A417" s="548"/>
      <c r="B417" s="552"/>
      <c r="C417" s="1822" t="s">
        <v>444</v>
      </c>
      <c r="D417" s="1822"/>
      <c r="E417" s="1822"/>
      <c r="F417" s="1822"/>
      <c r="G417" s="1822"/>
      <c r="H417" s="1822"/>
      <c r="I417" s="1822"/>
      <c r="J417" s="1822"/>
      <c r="K417" s="1822"/>
      <c r="L417" s="551">
        <v>3238.48</v>
      </c>
      <c r="M417" s="550"/>
      <c r="N417" s="549"/>
      <c r="AG417" s="537" t="s">
        <v>444</v>
      </c>
    </row>
    <row r="418" spans="1:34" s="536" customFormat="1" x14ac:dyDescent="0.2">
      <c r="A418" s="548"/>
      <c r="B418" s="552"/>
      <c r="C418" s="1822" t="s">
        <v>415</v>
      </c>
      <c r="D418" s="1822"/>
      <c r="E418" s="1822"/>
      <c r="F418" s="1822"/>
      <c r="G418" s="1822"/>
      <c r="H418" s="1822"/>
      <c r="I418" s="1822"/>
      <c r="J418" s="1822"/>
      <c r="K418" s="1822"/>
      <c r="L418" s="551">
        <v>5583.58</v>
      </c>
      <c r="M418" s="550"/>
      <c r="N418" s="549"/>
      <c r="AG418" s="537" t="s">
        <v>415</v>
      </c>
    </row>
    <row r="419" spans="1:34" s="536" customFormat="1" x14ac:dyDescent="0.2">
      <c r="A419" s="548"/>
      <c r="B419" s="552"/>
      <c r="C419" s="1822" t="s">
        <v>416</v>
      </c>
      <c r="D419" s="1822"/>
      <c r="E419" s="1822"/>
      <c r="F419" s="1822"/>
      <c r="G419" s="1822"/>
      <c r="H419" s="1822"/>
      <c r="I419" s="1822"/>
      <c r="J419" s="1822"/>
      <c r="K419" s="1822"/>
      <c r="L419" s="551">
        <v>5695.25</v>
      </c>
      <c r="M419" s="550"/>
      <c r="N419" s="549"/>
      <c r="AG419" s="537" t="s">
        <v>416</v>
      </c>
    </row>
    <row r="420" spans="1:34" s="536" customFormat="1" x14ac:dyDescent="0.2">
      <c r="A420" s="548"/>
      <c r="B420" s="552"/>
      <c r="C420" s="1822" t="s">
        <v>417</v>
      </c>
      <c r="D420" s="1822"/>
      <c r="E420" s="1822"/>
      <c r="F420" s="1822"/>
      <c r="G420" s="1822"/>
      <c r="H420" s="1822"/>
      <c r="I420" s="1822"/>
      <c r="J420" s="1822"/>
      <c r="K420" s="1822"/>
      <c r="L420" s="551">
        <v>3238.48</v>
      </c>
      <c r="M420" s="550"/>
      <c r="N420" s="549"/>
      <c r="AG420" s="537" t="s">
        <v>417</v>
      </c>
    </row>
    <row r="421" spans="1:34" s="536" customFormat="1" x14ac:dyDescent="0.2">
      <c r="A421" s="548"/>
      <c r="B421" s="546"/>
      <c r="C421" s="1819" t="s">
        <v>4928</v>
      </c>
      <c r="D421" s="1819"/>
      <c r="E421" s="1819"/>
      <c r="F421" s="1819"/>
      <c r="G421" s="1819"/>
      <c r="H421" s="1819"/>
      <c r="I421" s="1819"/>
      <c r="J421" s="1819"/>
      <c r="K421" s="1819"/>
      <c r="L421" s="544">
        <v>223413.68</v>
      </c>
      <c r="M421" s="543"/>
      <c r="N421" s="681"/>
      <c r="AH421" s="537" t="s">
        <v>4928</v>
      </c>
    </row>
    <row r="422" spans="1:34" s="536" customFormat="1" ht="12" x14ac:dyDescent="0.2">
      <c r="A422" s="1824" t="s">
        <v>4929</v>
      </c>
      <c r="B422" s="1825"/>
      <c r="C422" s="1825"/>
      <c r="D422" s="1825"/>
      <c r="E422" s="1825"/>
      <c r="F422" s="1825"/>
      <c r="G422" s="1825"/>
      <c r="H422" s="1825"/>
      <c r="I422" s="1825"/>
      <c r="J422" s="1825"/>
      <c r="K422" s="1825"/>
      <c r="L422" s="1825"/>
      <c r="M422" s="1825"/>
      <c r="N422" s="1826"/>
      <c r="V422" s="537" t="s">
        <v>4929</v>
      </c>
    </row>
    <row r="423" spans="1:34" s="536" customFormat="1" ht="33.75" x14ac:dyDescent="0.2">
      <c r="A423" s="575" t="s">
        <v>501</v>
      </c>
      <c r="B423" s="670" t="s">
        <v>4535</v>
      </c>
      <c r="C423" s="1823" t="s">
        <v>4536</v>
      </c>
      <c r="D423" s="1823"/>
      <c r="E423" s="1823"/>
      <c r="F423" s="573" t="s">
        <v>1537</v>
      </c>
      <c r="G423" s="573"/>
      <c r="H423" s="573"/>
      <c r="I423" s="573" t="s">
        <v>4930</v>
      </c>
      <c r="J423" s="572"/>
      <c r="K423" s="573"/>
      <c r="L423" s="572"/>
      <c r="M423" s="571"/>
      <c r="N423" s="570"/>
      <c r="W423" s="537" t="s">
        <v>4536</v>
      </c>
    </row>
    <row r="424" spans="1:34" s="536" customFormat="1" x14ac:dyDescent="0.2">
      <c r="A424" s="676"/>
      <c r="B424" s="664"/>
      <c r="C424" s="1822" t="s">
        <v>4931</v>
      </c>
      <c r="D424" s="1822"/>
      <c r="E424" s="1822"/>
      <c r="F424" s="1822"/>
      <c r="G424" s="1822"/>
      <c r="H424" s="1822"/>
      <c r="I424" s="1822"/>
      <c r="J424" s="1822"/>
      <c r="K424" s="1822"/>
      <c r="L424" s="1822"/>
      <c r="M424" s="1822"/>
      <c r="N424" s="1827"/>
      <c r="X424" s="537" t="s">
        <v>4931</v>
      </c>
    </row>
    <row r="425" spans="1:34" s="536" customFormat="1" x14ac:dyDescent="0.2">
      <c r="A425" s="605"/>
      <c r="B425" s="552" t="s">
        <v>185</v>
      </c>
      <c r="C425" s="1822" t="s">
        <v>312</v>
      </c>
      <c r="D425" s="1822"/>
      <c r="E425" s="1822"/>
      <c r="F425" s="562"/>
      <c r="G425" s="562"/>
      <c r="H425" s="562"/>
      <c r="I425" s="562"/>
      <c r="J425" s="604">
        <v>1257.92</v>
      </c>
      <c r="K425" s="562"/>
      <c r="L425" s="604">
        <v>33.21</v>
      </c>
      <c r="M425" s="603"/>
      <c r="N425" s="602"/>
      <c r="Z425" s="537" t="s">
        <v>312</v>
      </c>
    </row>
    <row r="426" spans="1:34" s="536" customFormat="1" x14ac:dyDescent="0.2">
      <c r="A426" s="605"/>
      <c r="B426" s="552" t="s">
        <v>186</v>
      </c>
      <c r="C426" s="1822" t="s">
        <v>344</v>
      </c>
      <c r="D426" s="1822"/>
      <c r="E426" s="1822"/>
      <c r="F426" s="562"/>
      <c r="G426" s="562"/>
      <c r="H426" s="562"/>
      <c r="I426" s="562"/>
      <c r="J426" s="604">
        <v>2297.79</v>
      </c>
      <c r="K426" s="562"/>
      <c r="L426" s="604">
        <v>60.66</v>
      </c>
      <c r="M426" s="603"/>
      <c r="N426" s="602"/>
      <c r="Z426" s="537" t="s">
        <v>344</v>
      </c>
    </row>
    <row r="427" spans="1:34" s="536" customFormat="1" x14ac:dyDescent="0.2">
      <c r="A427" s="605"/>
      <c r="B427" s="552" t="s">
        <v>187</v>
      </c>
      <c r="C427" s="1822" t="s">
        <v>345</v>
      </c>
      <c r="D427" s="1822"/>
      <c r="E427" s="1822"/>
      <c r="F427" s="562"/>
      <c r="G427" s="562"/>
      <c r="H427" s="562"/>
      <c r="I427" s="562"/>
      <c r="J427" s="604">
        <v>286.33999999999997</v>
      </c>
      <c r="K427" s="562"/>
      <c r="L427" s="604">
        <v>7.56</v>
      </c>
      <c r="M427" s="603"/>
      <c r="N427" s="602"/>
      <c r="Z427" s="537" t="s">
        <v>345</v>
      </c>
    </row>
    <row r="428" spans="1:34" s="536" customFormat="1" x14ac:dyDescent="0.2">
      <c r="A428" s="605"/>
      <c r="B428" s="552" t="s">
        <v>188</v>
      </c>
      <c r="C428" s="1822" t="s">
        <v>475</v>
      </c>
      <c r="D428" s="1822"/>
      <c r="E428" s="1822"/>
      <c r="F428" s="562"/>
      <c r="G428" s="562"/>
      <c r="H428" s="562"/>
      <c r="I428" s="562"/>
      <c r="J428" s="604">
        <v>3018.09</v>
      </c>
      <c r="K428" s="562"/>
      <c r="L428" s="604">
        <v>79.680000000000007</v>
      </c>
      <c r="M428" s="603"/>
      <c r="N428" s="602"/>
      <c r="Z428" s="537" t="s">
        <v>475</v>
      </c>
    </row>
    <row r="429" spans="1:34" s="536" customFormat="1" ht="22.5" x14ac:dyDescent="0.2">
      <c r="A429" s="676"/>
      <c r="B429" s="677" t="s">
        <v>4438</v>
      </c>
      <c r="C429" s="1829" t="s">
        <v>4538</v>
      </c>
      <c r="D429" s="1829"/>
      <c r="E429" s="1829"/>
      <c r="F429" s="678" t="s">
        <v>483</v>
      </c>
      <c r="G429" s="678" t="s">
        <v>525</v>
      </c>
      <c r="H429" s="678"/>
      <c r="I429" s="678" t="s">
        <v>525</v>
      </c>
      <c r="J429" s="552"/>
      <c r="K429" s="562"/>
      <c r="L429" s="604"/>
      <c r="M429" s="562"/>
      <c r="N429" s="679"/>
      <c r="AA429" s="537" t="s">
        <v>4538</v>
      </c>
    </row>
    <row r="430" spans="1:34" s="536" customFormat="1" x14ac:dyDescent="0.2">
      <c r="A430" s="676"/>
      <c r="B430" s="677" t="s">
        <v>4539</v>
      </c>
      <c r="C430" s="1829" t="s">
        <v>4540</v>
      </c>
      <c r="D430" s="1829"/>
      <c r="E430" s="1829"/>
      <c r="F430" s="678" t="s">
        <v>617</v>
      </c>
      <c r="G430" s="678" t="s">
        <v>525</v>
      </c>
      <c r="H430" s="678"/>
      <c r="I430" s="678" t="s">
        <v>525</v>
      </c>
      <c r="J430" s="552"/>
      <c r="K430" s="562"/>
      <c r="L430" s="604"/>
      <c r="M430" s="562"/>
      <c r="N430" s="679"/>
      <c r="AA430" s="537" t="s">
        <v>4540</v>
      </c>
    </row>
    <row r="431" spans="1:34" s="536" customFormat="1" ht="22.5" x14ac:dyDescent="0.2">
      <c r="A431" s="676"/>
      <c r="B431" s="677" t="s">
        <v>4541</v>
      </c>
      <c r="C431" s="1829" t="s">
        <v>4542</v>
      </c>
      <c r="D431" s="1829"/>
      <c r="E431" s="1829"/>
      <c r="F431" s="678" t="s">
        <v>694</v>
      </c>
      <c r="G431" s="678" t="s">
        <v>525</v>
      </c>
      <c r="H431" s="678"/>
      <c r="I431" s="678" t="s">
        <v>525</v>
      </c>
      <c r="J431" s="552"/>
      <c r="K431" s="562"/>
      <c r="L431" s="604"/>
      <c r="M431" s="562"/>
      <c r="N431" s="679"/>
      <c r="AA431" s="537" t="s">
        <v>4542</v>
      </c>
    </row>
    <row r="432" spans="1:34" s="536" customFormat="1" x14ac:dyDescent="0.2">
      <c r="A432" s="676"/>
      <c r="B432" s="677" t="s">
        <v>4443</v>
      </c>
      <c r="C432" s="1829" t="s">
        <v>4444</v>
      </c>
      <c r="D432" s="1829"/>
      <c r="E432" s="1829"/>
      <c r="F432" s="678" t="s">
        <v>617</v>
      </c>
      <c r="G432" s="678" t="s">
        <v>525</v>
      </c>
      <c r="H432" s="678"/>
      <c r="I432" s="678" t="s">
        <v>525</v>
      </c>
      <c r="J432" s="552"/>
      <c r="K432" s="562"/>
      <c r="L432" s="604"/>
      <c r="M432" s="562"/>
      <c r="N432" s="679"/>
      <c r="AA432" s="537" t="s">
        <v>4444</v>
      </c>
    </row>
    <row r="433" spans="1:33" s="536" customFormat="1" x14ac:dyDescent="0.2">
      <c r="A433" s="605"/>
      <c r="B433" s="552"/>
      <c r="C433" s="1822" t="s">
        <v>314</v>
      </c>
      <c r="D433" s="1822"/>
      <c r="E433" s="1822"/>
      <c r="F433" s="562" t="s">
        <v>315</v>
      </c>
      <c r="G433" s="562" t="s">
        <v>4543</v>
      </c>
      <c r="H433" s="562"/>
      <c r="I433" s="562" t="s">
        <v>4932</v>
      </c>
      <c r="J433" s="604"/>
      <c r="K433" s="562"/>
      <c r="L433" s="604"/>
      <c r="M433" s="603"/>
      <c r="N433" s="602"/>
      <c r="AB433" s="537" t="s">
        <v>314</v>
      </c>
    </row>
    <row r="434" spans="1:33" s="536" customFormat="1" x14ac:dyDescent="0.2">
      <c r="A434" s="605"/>
      <c r="B434" s="552"/>
      <c r="C434" s="1822" t="s">
        <v>348</v>
      </c>
      <c r="D434" s="1822"/>
      <c r="E434" s="1822"/>
      <c r="F434" s="562" t="s">
        <v>315</v>
      </c>
      <c r="G434" s="562" t="s">
        <v>4544</v>
      </c>
      <c r="H434" s="562"/>
      <c r="I434" s="562" t="s">
        <v>4933</v>
      </c>
      <c r="J434" s="604"/>
      <c r="K434" s="562"/>
      <c r="L434" s="604"/>
      <c r="M434" s="603"/>
      <c r="N434" s="602"/>
      <c r="AB434" s="537" t="s">
        <v>348</v>
      </c>
    </row>
    <row r="435" spans="1:33" s="536" customFormat="1" x14ac:dyDescent="0.2">
      <c r="A435" s="605"/>
      <c r="B435" s="552"/>
      <c r="C435" s="1828" t="s">
        <v>318</v>
      </c>
      <c r="D435" s="1828"/>
      <c r="E435" s="1828"/>
      <c r="F435" s="608"/>
      <c r="G435" s="608"/>
      <c r="H435" s="608"/>
      <c r="I435" s="608"/>
      <c r="J435" s="607">
        <v>6573.8</v>
      </c>
      <c r="K435" s="608"/>
      <c r="L435" s="607">
        <v>173.55</v>
      </c>
      <c r="M435" s="601"/>
      <c r="N435" s="606"/>
      <c r="AC435" s="537" t="s">
        <v>318</v>
      </c>
    </row>
    <row r="436" spans="1:33" s="536" customFormat="1" x14ac:dyDescent="0.2">
      <c r="A436" s="605"/>
      <c r="B436" s="552"/>
      <c r="C436" s="1822" t="s">
        <v>319</v>
      </c>
      <c r="D436" s="1822"/>
      <c r="E436" s="1822"/>
      <c r="F436" s="562"/>
      <c r="G436" s="562"/>
      <c r="H436" s="562"/>
      <c r="I436" s="562"/>
      <c r="J436" s="604"/>
      <c r="K436" s="562"/>
      <c r="L436" s="604">
        <v>40.770000000000003</v>
      </c>
      <c r="M436" s="603"/>
      <c r="N436" s="602"/>
      <c r="AB436" s="537" t="s">
        <v>319</v>
      </c>
    </row>
    <row r="437" spans="1:33" s="536" customFormat="1" ht="33.75" x14ac:dyDescent="0.2">
      <c r="A437" s="605"/>
      <c r="B437" s="552" t="s">
        <v>533</v>
      </c>
      <c r="C437" s="1822" t="s">
        <v>534</v>
      </c>
      <c r="D437" s="1822"/>
      <c r="E437" s="1822"/>
      <c r="F437" s="562" t="s">
        <v>322</v>
      </c>
      <c r="G437" s="562" t="s">
        <v>535</v>
      </c>
      <c r="H437" s="562"/>
      <c r="I437" s="562" t="s">
        <v>535</v>
      </c>
      <c r="J437" s="604"/>
      <c r="K437" s="562"/>
      <c r="L437" s="604">
        <v>47.7</v>
      </c>
      <c r="M437" s="603"/>
      <c r="N437" s="602"/>
      <c r="AB437" s="537" t="s">
        <v>534</v>
      </c>
    </row>
    <row r="438" spans="1:33" s="536" customFormat="1" ht="33.75" x14ac:dyDescent="0.2">
      <c r="A438" s="605"/>
      <c r="B438" s="552" t="s">
        <v>536</v>
      </c>
      <c r="C438" s="1822" t="s">
        <v>537</v>
      </c>
      <c r="D438" s="1822"/>
      <c r="E438" s="1822"/>
      <c r="F438" s="562" t="s">
        <v>322</v>
      </c>
      <c r="G438" s="562" t="s">
        <v>538</v>
      </c>
      <c r="H438" s="562"/>
      <c r="I438" s="562" t="s">
        <v>538</v>
      </c>
      <c r="J438" s="604"/>
      <c r="K438" s="562"/>
      <c r="L438" s="604">
        <v>30.17</v>
      </c>
      <c r="M438" s="603"/>
      <c r="N438" s="602"/>
      <c r="AB438" s="537" t="s">
        <v>537</v>
      </c>
    </row>
    <row r="439" spans="1:33" s="536" customFormat="1" x14ac:dyDescent="0.2">
      <c r="A439" s="569"/>
      <c r="B439" s="671"/>
      <c r="C439" s="1823" t="s">
        <v>327</v>
      </c>
      <c r="D439" s="1823"/>
      <c r="E439" s="1823"/>
      <c r="F439" s="573"/>
      <c r="G439" s="573"/>
      <c r="H439" s="573"/>
      <c r="I439" s="573"/>
      <c r="J439" s="572"/>
      <c r="K439" s="573"/>
      <c r="L439" s="572">
        <v>251.42</v>
      </c>
      <c r="M439" s="601"/>
      <c r="N439" s="570"/>
      <c r="AD439" s="537" t="s">
        <v>327</v>
      </c>
    </row>
    <row r="440" spans="1:33" s="536" customFormat="1" ht="22.5" x14ac:dyDescent="0.2">
      <c r="A440" s="575" t="s">
        <v>784</v>
      </c>
      <c r="B440" s="670" t="s">
        <v>4934</v>
      </c>
      <c r="C440" s="1823" t="s">
        <v>4935</v>
      </c>
      <c r="D440" s="1823"/>
      <c r="E440" s="1823"/>
      <c r="F440" s="573" t="s">
        <v>641</v>
      </c>
      <c r="G440" s="573"/>
      <c r="H440" s="573"/>
      <c r="I440" s="573" t="s">
        <v>4936</v>
      </c>
      <c r="J440" s="572">
        <v>989</v>
      </c>
      <c r="K440" s="573"/>
      <c r="L440" s="572">
        <v>261.10000000000002</v>
      </c>
      <c r="M440" s="571"/>
      <c r="N440" s="570"/>
      <c r="W440" s="537" t="s">
        <v>4935</v>
      </c>
    </row>
    <row r="441" spans="1:33" s="536" customFormat="1" x14ac:dyDescent="0.2">
      <c r="A441" s="569"/>
      <c r="B441" s="671"/>
      <c r="C441" s="665" t="s">
        <v>4937</v>
      </c>
      <c r="D441" s="666"/>
      <c r="E441" s="666"/>
      <c r="F441" s="563"/>
      <c r="G441" s="563"/>
      <c r="H441" s="563"/>
      <c r="I441" s="563"/>
      <c r="J441" s="566"/>
      <c r="K441" s="563"/>
      <c r="L441" s="566"/>
      <c r="M441" s="565"/>
      <c r="N441" s="564"/>
    </row>
    <row r="442" spans="1:33" s="536" customFormat="1" x14ac:dyDescent="0.2">
      <c r="A442" s="575" t="s">
        <v>1679</v>
      </c>
      <c r="B442" s="670" t="s">
        <v>4938</v>
      </c>
      <c r="C442" s="1823" t="s">
        <v>4939</v>
      </c>
      <c r="D442" s="1823"/>
      <c r="E442" s="1823"/>
      <c r="F442" s="573" t="s">
        <v>617</v>
      </c>
      <c r="G442" s="573"/>
      <c r="H442" s="573"/>
      <c r="I442" s="573" t="s">
        <v>185</v>
      </c>
      <c r="J442" s="572">
        <v>375</v>
      </c>
      <c r="K442" s="573"/>
      <c r="L442" s="572">
        <v>375</v>
      </c>
      <c r="M442" s="571"/>
      <c r="N442" s="570"/>
      <c r="W442" s="537" t="s">
        <v>4939</v>
      </c>
    </row>
    <row r="443" spans="1:33" s="536" customFormat="1" x14ac:dyDescent="0.2">
      <c r="A443" s="569"/>
      <c r="B443" s="671"/>
      <c r="C443" s="665" t="s">
        <v>4937</v>
      </c>
      <c r="D443" s="666"/>
      <c r="E443" s="666"/>
      <c r="F443" s="563"/>
      <c r="G443" s="563"/>
      <c r="H443" s="563"/>
      <c r="I443" s="563"/>
      <c r="J443" s="566"/>
      <c r="K443" s="563"/>
      <c r="L443" s="566"/>
      <c r="M443" s="565"/>
      <c r="N443" s="564"/>
    </row>
    <row r="444" spans="1:33" s="536" customFormat="1" ht="1.5" customHeight="1" x14ac:dyDescent="0.2">
      <c r="A444" s="563"/>
      <c r="B444" s="671"/>
      <c r="C444" s="671"/>
      <c r="D444" s="671"/>
      <c r="E444" s="671"/>
      <c r="F444" s="563"/>
      <c r="G444" s="563"/>
      <c r="H444" s="563"/>
      <c r="I444" s="563"/>
      <c r="J444" s="546"/>
      <c r="K444" s="563"/>
      <c r="L444" s="546"/>
      <c r="M444" s="562"/>
      <c r="N444" s="546"/>
    </row>
    <row r="445" spans="1:33" s="536" customFormat="1" x14ac:dyDescent="0.2">
      <c r="A445" s="557"/>
      <c r="B445" s="556"/>
      <c r="C445" s="1823" t="s">
        <v>4940</v>
      </c>
      <c r="D445" s="1823"/>
      <c r="E445" s="1823"/>
      <c r="F445" s="1823"/>
      <c r="G445" s="1823"/>
      <c r="H445" s="1823"/>
      <c r="I445" s="1823"/>
      <c r="J445" s="1823"/>
      <c r="K445" s="1823"/>
      <c r="L445" s="555"/>
      <c r="M445" s="554"/>
      <c r="N445" s="553"/>
      <c r="AF445" s="537" t="s">
        <v>4940</v>
      </c>
    </row>
    <row r="446" spans="1:33" s="536" customFormat="1" x14ac:dyDescent="0.2">
      <c r="A446" s="548"/>
      <c r="B446" s="552"/>
      <c r="C446" s="1822" t="s">
        <v>403</v>
      </c>
      <c r="D446" s="1822"/>
      <c r="E446" s="1822"/>
      <c r="F446" s="1822"/>
      <c r="G446" s="1822"/>
      <c r="H446" s="1822"/>
      <c r="I446" s="1822"/>
      <c r="J446" s="1822"/>
      <c r="K446" s="1822"/>
      <c r="L446" s="551">
        <v>809.65</v>
      </c>
      <c r="M446" s="550"/>
      <c r="N446" s="549"/>
      <c r="AG446" s="537" t="s">
        <v>403</v>
      </c>
    </row>
    <row r="447" spans="1:33" s="536" customFormat="1" x14ac:dyDescent="0.2">
      <c r="A447" s="548"/>
      <c r="B447" s="552"/>
      <c r="C447" s="1822" t="s">
        <v>204</v>
      </c>
      <c r="D447" s="1822"/>
      <c r="E447" s="1822"/>
      <c r="F447" s="1822"/>
      <c r="G447" s="1822"/>
      <c r="H447" s="1822"/>
      <c r="I447" s="1822"/>
      <c r="J447" s="1822"/>
      <c r="K447" s="1822"/>
      <c r="L447" s="551"/>
      <c r="M447" s="550"/>
      <c r="N447" s="549"/>
      <c r="AG447" s="537" t="s">
        <v>204</v>
      </c>
    </row>
    <row r="448" spans="1:33" s="536" customFormat="1" x14ac:dyDescent="0.2">
      <c r="A448" s="548"/>
      <c r="B448" s="552"/>
      <c r="C448" s="1822" t="s">
        <v>404</v>
      </c>
      <c r="D448" s="1822"/>
      <c r="E448" s="1822"/>
      <c r="F448" s="1822"/>
      <c r="G448" s="1822"/>
      <c r="H448" s="1822"/>
      <c r="I448" s="1822"/>
      <c r="J448" s="1822"/>
      <c r="K448" s="1822"/>
      <c r="L448" s="551">
        <v>33.21</v>
      </c>
      <c r="M448" s="550"/>
      <c r="N448" s="549"/>
      <c r="AG448" s="537" t="s">
        <v>404</v>
      </c>
    </row>
    <row r="449" spans="1:34" s="536" customFormat="1" x14ac:dyDescent="0.2">
      <c r="A449" s="548"/>
      <c r="B449" s="552"/>
      <c r="C449" s="1822" t="s">
        <v>405</v>
      </c>
      <c r="D449" s="1822"/>
      <c r="E449" s="1822"/>
      <c r="F449" s="1822"/>
      <c r="G449" s="1822"/>
      <c r="H449" s="1822"/>
      <c r="I449" s="1822"/>
      <c r="J449" s="1822"/>
      <c r="K449" s="1822"/>
      <c r="L449" s="551">
        <v>60.66</v>
      </c>
      <c r="M449" s="550"/>
      <c r="N449" s="549"/>
      <c r="AG449" s="537" t="s">
        <v>405</v>
      </c>
    </row>
    <row r="450" spans="1:34" s="536" customFormat="1" x14ac:dyDescent="0.2">
      <c r="A450" s="548"/>
      <c r="B450" s="552"/>
      <c r="C450" s="1822" t="s">
        <v>406</v>
      </c>
      <c r="D450" s="1822"/>
      <c r="E450" s="1822"/>
      <c r="F450" s="1822"/>
      <c r="G450" s="1822"/>
      <c r="H450" s="1822"/>
      <c r="I450" s="1822"/>
      <c r="J450" s="1822"/>
      <c r="K450" s="1822"/>
      <c r="L450" s="551">
        <v>7.56</v>
      </c>
      <c r="M450" s="550"/>
      <c r="N450" s="549"/>
      <c r="AG450" s="537" t="s">
        <v>406</v>
      </c>
    </row>
    <row r="451" spans="1:34" s="536" customFormat="1" x14ac:dyDescent="0.2">
      <c r="A451" s="548"/>
      <c r="B451" s="552"/>
      <c r="C451" s="1822" t="s">
        <v>480</v>
      </c>
      <c r="D451" s="1822"/>
      <c r="E451" s="1822"/>
      <c r="F451" s="1822"/>
      <c r="G451" s="1822"/>
      <c r="H451" s="1822"/>
      <c r="I451" s="1822"/>
      <c r="J451" s="1822"/>
      <c r="K451" s="1822"/>
      <c r="L451" s="551">
        <v>715.78</v>
      </c>
      <c r="M451" s="550"/>
      <c r="N451" s="549"/>
      <c r="AG451" s="537" t="s">
        <v>480</v>
      </c>
    </row>
    <row r="452" spans="1:34" s="536" customFormat="1" x14ac:dyDescent="0.2">
      <c r="A452" s="548"/>
      <c r="B452" s="552" t="s">
        <v>185</v>
      </c>
      <c r="C452" s="1822" t="s">
        <v>407</v>
      </c>
      <c r="D452" s="1822"/>
      <c r="E452" s="1822"/>
      <c r="F452" s="1822"/>
      <c r="G452" s="1822"/>
      <c r="H452" s="1822"/>
      <c r="I452" s="1822"/>
      <c r="J452" s="1822"/>
      <c r="K452" s="1822"/>
      <c r="L452" s="551">
        <v>887.52</v>
      </c>
      <c r="M452" s="550"/>
      <c r="N452" s="549"/>
      <c r="AG452" s="537" t="s">
        <v>407</v>
      </c>
    </row>
    <row r="453" spans="1:34" s="536" customFormat="1" x14ac:dyDescent="0.2">
      <c r="A453" s="548"/>
      <c r="B453" s="552"/>
      <c r="C453" s="1822" t="s">
        <v>204</v>
      </c>
      <c r="D453" s="1822"/>
      <c r="E453" s="1822"/>
      <c r="F453" s="1822"/>
      <c r="G453" s="1822"/>
      <c r="H453" s="1822"/>
      <c r="I453" s="1822"/>
      <c r="J453" s="1822"/>
      <c r="K453" s="1822"/>
      <c r="L453" s="551"/>
      <c r="M453" s="550"/>
      <c r="N453" s="549"/>
      <c r="AG453" s="537" t="s">
        <v>204</v>
      </c>
    </row>
    <row r="454" spans="1:34" s="536" customFormat="1" x14ac:dyDescent="0.2">
      <c r="A454" s="548"/>
      <c r="B454" s="552"/>
      <c r="C454" s="1822" t="s">
        <v>546</v>
      </c>
      <c r="D454" s="1822"/>
      <c r="E454" s="1822"/>
      <c r="F454" s="1822"/>
      <c r="G454" s="1822"/>
      <c r="H454" s="1822"/>
      <c r="I454" s="1822"/>
      <c r="J454" s="1822"/>
      <c r="K454" s="1822"/>
      <c r="L454" s="551">
        <v>33.21</v>
      </c>
      <c r="M454" s="550"/>
      <c r="N454" s="549"/>
      <c r="AG454" s="537" t="s">
        <v>546</v>
      </c>
    </row>
    <row r="455" spans="1:34" s="536" customFormat="1" x14ac:dyDescent="0.2">
      <c r="A455" s="548"/>
      <c r="B455" s="552"/>
      <c r="C455" s="1822" t="s">
        <v>442</v>
      </c>
      <c r="D455" s="1822"/>
      <c r="E455" s="1822"/>
      <c r="F455" s="1822"/>
      <c r="G455" s="1822"/>
      <c r="H455" s="1822"/>
      <c r="I455" s="1822"/>
      <c r="J455" s="1822"/>
      <c r="K455" s="1822"/>
      <c r="L455" s="551">
        <v>60.66</v>
      </c>
      <c r="M455" s="550"/>
      <c r="N455" s="549"/>
      <c r="AG455" s="537" t="s">
        <v>442</v>
      </c>
    </row>
    <row r="456" spans="1:34" s="536" customFormat="1" x14ac:dyDescent="0.2">
      <c r="A456" s="548"/>
      <c r="B456" s="552"/>
      <c r="C456" s="1822" t="s">
        <v>547</v>
      </c>
      <c r="D456" s="1822"/>
      <c r="E456" s="1822"/>
      <c r="F456" s="1822"/>
      <c r="G456" s="1822"/>
      <c r="H456" s="1822"/>
      <c r="I456" s="1822"/>
      <c r="J456" s="1822"/>
      <c r="K456" s="1822"/>
      <c r="L456" s="551">
        <v>715.78</v>
      </c>
      <c r="M456" s="550"/>
      <c r="N456" s="549"/>
      <c r="AG456" s="537" t="s">
        <v>547</v>
      </c>
    </row>
    <row r="457" spans="1:34" s="536" customFormat="1" x14ac:dyDescent="0.2">
      <c r="A457" s="548"/>
      <c r="B457" s="552"/>
      <c r="C457" s="1822" t="s">
        <v>443</v>
      </c>
      <c r="D457" s="1822"/>
      <c r="E457" s="1822"/>
      <c r="F457" s="1822"/>
      <c r="G457" s="1822"/>
      <c r="H457" s="1822"/>
      <c r="I457" s="1822"/>
      <c r="J457" s="1822"/>
      <c r="K457" s="1822"/>
      <c r="L457" s="551">
        <v>47.7</v>
      </c>
      <c r="M457" s="550"/>
      <c r="N457" s="549"/>
      <c r="AG457" s="537" t="s">
        <v>443</v>
      </c>
    </row>
    <row r="458" spans="1:34" s="536" customFormat="1" x14ac:dyDescent="0.2">
      <c r="A458" s="548"/>
      <c r="B458" s="552"/>
      <c r="C458" s="1822" t="s">
        <v>444</v>
      </c>
      <c r="D458" s="1822"/>
      <c r="E458" s="1822"/>
      <c r="F458" s="1822"/>
      <c r="G458" s="1822"/>
      <c r="H458" s="1822"/>
      <c r="I458" s="1822"/>
      <c r="J458" s="1822"/>
      <c r="K458" s="1822"/>
      <c r="L458" s="551">
        <v>30.17</v>
      </c>
      <c r="M458" s="550"/>
      <c r="N458" s="549"/>
      <c r="AG458" s="537" t="s">
        <v>444</v>
      </c>
    </row>
    <row r="459" spans="1:34" s="536" customFormat="1" x14ac:dyDescent="0.2">
      <c r="A459" s="548"/>
      <c r="B459" s="552"/>
      <c r="C459" s="1822" t="s">
        <v>415</v>
      </c>
      <c r="D459" s="1822"/>
      <c r="E459" s="1822"/>
      <c r="F459" s="1822"/>
      <c r="G459" s="1822"/>
      <c r="H459" s="1822"/>
      <c r="I459" s="1822"/>
      <c r="J459" s="1822"/>
      <c r="K459" s="1822"/>
      <c r="L459" s="551">
        <v>40.770000000000003</v>
      </c>
      <c r="M459" s="550"/>
      <c r="N459" s="549"/>
      <c r="AG459" s="537" t="s">
        <v>415</v>
      </c>
    </row>
    <row r="460" spans="1:34" s="536" customFormat="1" x14ac:dyDescent="0.2">
      <c r="A460" s="548"/>
      <c r="B460" s="552"/>
      <c r="C460" s="1822" t="s">
        <v>416</v>
      </c>
      <c r="D460" s="1822"/>
      <c r="E460" s="1822"/>
      <c r="F460" s="1822"/>
      <c r="G460" s="1822"/>
      <c r="H460" s="1822"/>
      <c r="I460" s="1822"/>
      <c r="J460" s="1822"/>
      <c r="K460" s="1822"/>
      <c r="L460" s="551">
        <v>47.7</v>
      </c>
      <c r="M460" s="550"/>
      <c r="N460" s="549"/>
      <c r="AG460" s="537" t="s">
        <v>416</v>
      </c>
    </row>
    <row r="461" spans="1:34" s="536" customFormat="1" x14ac:dyDescent="0.2">
      <c r="A461" s="548"/>
      <c r="B461" s="552"/>
      <c r="C461" s="1822" t="s">
        <v>417</v>
      </c>
      <c r="D461" s="1822"/>
      <c r="E461" s="1822"/>
      <c r="F461" s="1822"/>
      <c r="G461" s="1822"/>
      <c r="H461" s="1822"/>
      <c r="I461" s="1822"/>
      <c r="J461" s="1822"/>
      <c r="K461" s="1822"/>
      <c r="L461" s="551">
        <v>30.17</v>
      </c>
      <c r="M461" s="550"/>
      <c r="N461" s="549"/>
      <c r="AG461" s="537" t="s">
        <v>417</v>
      </c>
    </row>
    <row r="462" spans="1:34" s="536" customFormat="1" x14ac:dyDescent="0.2">
      <c r="A462" s="548"/>
      <c r="B462" s="546"/>
      <c r="C462" s="1819" t="s">
        <v>4941</v>
      </c>
      <c r="D462" s="1819"/>
      <c r="E462" s="1819"/>
      <c r="F462" s="1819"/>
      <c r="G462" s="1819"/>
      <c r="H462" s="1819"/>
      <c r="I462" s="1819"/>
      <c r="J462" s="1819"/>
      <c r="K462" s="1819"/>
      <c r="L462" s="544">
        <v>887.52</v>
      </c>
      <c r="M462" s="543"/>
      <c r="N462" s="681"/>
      <c r="AH462" s="537" t="s">
        <v>4941</v>
      </c>
    </row>
    <row r="463" spans="1:34" s="536" customFormat="1" ht="12" x14ac:dyDescent="0.2">
      <c r="A463" s="1824" t="s">
        <v>4292</v>
      </c>
      <c r="B463" s="1825"/>
      <c r="C463" s="1825"/>
      <c r="D463" s="1825"/>
      <c r="E463" s="1825"/>
      <c r="F463" s="1825"/>
      <c r="G463" s="1825"/>
      <c r="H463" s="1825"/>
      <c r="I463" s="1825"/>
      <c r="J463" s="1825"/>
      <c r="K463" s="1825"/>
      <c r="L463" s="1825"/>
      <c r="M463" s="1825"/>
      <c r="N463" s="1826"/>
      <c r="V463" s="537" t="s">
        <v>4292</v>
      </c>
    </row>
    <row r="464" spans="1:34" s="536" customFormat="1" ht="78.75" x14ac:dyDescent="0.2">
      <c r="A464" s="575" t="s">
        <v>786</v>
      </c>
      <c r="B464" s="670" t="s">
        <v>1497</v>
      </c>
      <c r="C464" s="1823" t="s">
        <v>4942</v>
      </c>
      <c r="D464" s="1823"/>
      <c r="E464" s="1823"/>
      <c r="F464" s="573" t="s">
        <v>201</v>
      </c>
      <c r="G464" s="573"/>
      <c r="H464" s="573"/>
      <c r="I464" s="573" t="s">
        <v>4943</v>
      </c>
      <c r="J464" s="572">
        <v>76.88</v>
      </c>
      <c r="K464" s="573"/>
      <c r="L464" s="572">
        <v>5328.63</v>
      </c>
      <c r="M464" s="571"/>
      <c r="N464" s="570"/>
      <c r="W464" s="537" t="s">
        <v>4942</v>
      </c>
    </row>
    <row r="465" spans="1:36" s="536" customFormat="1" x14ac:dyDescent="0.2">
      <c r="A465" s="569"/>
      <c r="B465" s="671"/>
      <c r="C465" s="665" t="s">
        <v>717</v>
      </c>
      <c r="D465" s="666"/>
      <c r="E465" s="666"/>
      <c r="F465" s="563"/>
      <c r="G465" s="563"/>
      <c r="H465" s="563"/>
      <c r="I465" s="563"/>
      <c r="J465" s="566"/>
      <c r="K465" s="563"/>
      <c r="L465" s="566"/>
      <c r="M465" s="565"/>
      <c r="N465" s="564"/>
    </row>
    <row r="466" spans="1:36" s="536" customFormat="1" x14ac:dyDescent="0.2">
      <c r="A466" s="676"/>
      <c r="B466" s="664"/>
      <c r="C466" s="1822" t="s">
        <v>4944</v>
      </c>
      <c r="D466" s="1822"/>
      <c r="E466" s="1822"/>
      <c r="F466" s="1822"/>
      <c r="G466" s="1822"/>
      <c r="H466" s="1822"/>
      <c r="I466" s="1822"/>
      <c r="J466" s="1822"/>
      <c r="K466" s="1822"/>
      <c r="L466" s="1822"/>
      <c r="M466" s="1822"/>
      <c r="N466" s="1827"/>
      <c r="X466" s="537" t="s">
        <v>4944</v>
      </c>
    </row>
    <row r="467" spans="1:36" s="536" customFormat="1" ht="67.5" x14ac:dyDescent="0.2">
      <c r="A467" s="575" t="s">
        <v>787</v>
      </c>
      <c r="B467" s="670" t="s">
        <v>4945</v>
      </c>
      <c r="C467" s="1823" t="s">
        <v>4946</v>
      </c>
      <c r="D467" s="1823"/>
      <c r="E467" s="1823"/>
      <c r="F467" s="573" t="s">
        <v>201</v>
      </c>
      <c r="G467" s="573"/>
      <c r="H467" s="573"/>
      <c r="I467" s="573" t="s">
        <v>4947</v>
      </c>
      <c r="J467" s="572">
        <v>170.85</v>
      </c>
      <c r="K467" s="573"/>
      <c r="L467" s="572">
        <v>254.22</v>
      </c>
      <c r="M467" s="571"/>
      <c r="N467" s="570"/>
      <c r="W467" s="537" t="s">
        <v>4946</v>
      </c>
    </row>
    <row r="468" spans="1:36" s="536" customFormat="1" x14ac:dyDescent="0.2">
      <c r="A468" s="569"/>
      <c r="B468" s="671"/>
      <c r="C468" s="665" t="s">
        <v>717</v>
      </c>
      <c r="D468" s="666"/>
      <c r="E468" s="666"/>
      <c r="F468" s="563"/>
      <c r="G468" s="563"/>
      <c r="H468" s="563"/>
      <c r="I468" s="563"/>
      <c r="J468" s="566"/>
      <c r="K468" s="563"/>
      <c r="L468" s="566"/>
      <c r="M468" s="565"/>
      <c r="N468" s="564"/>
    </row>
    <row r="469" spans="1:36" s="536" customFormat="1" ht="1.5" customHeight="1" x14ac:dyDescent="0.2">
      <c r="A469" s="563"/>
      <c r="B469" s="671"/>
      <c r="C469" s="671"/>
      <c r="D469" s="671"/>
      <c r="E469" s="671"/>
      <c r="F469" s="563"/>
      <c r="G469" s="563"/>
      <c r="H469" s="563"/>
      <c r="I469" s="563"/>
      <c r="J469" s="546"/>
      <c r="K469" s="563"/>
      <c r="L469" s="546"/>
      <c r="M469" s="562"/>
      <c r="N469" s="546"/>
    </row>
    <row r="470" spans="1:36" s="536" customFormat="1" ht="22.5" x14ac:dyDescent="0.2">
      <c r="A470" s="557"/>
      <c r="B470" s="556"/>
      <c r="C470" s="1823" t="s">
        <v>4312</v>
      </c>
      <c r="D470" s="1823"/>
      <c r="E470" s="1823"/>
      <c r="F470" s="1823"/>
      <c r="G470" s="1823"/>
      <c r="H470" s="1823"/>
      <c r="I470" s="1823"/>
      <c r="J470" s="1823"/>
      <c r="K470" s="1823"/>
      <c r="L470" s="555"/>
      <c r="M470" s="554"/>
      <c r="N470" s="553"/>
      <c r="AF470" s="537" t="s">
        <v>4312</v>
      </c>
    </row>
    <row r="471" spans="1:36" s="536" customFormat="1" x14ac:dyDescent="0.2">
      <c r="A471" s="548"/>
      <c r="B471" s="552"/>
      <c r="C471" s="1822" t="s">
        <v>403</v>
      </c>
      <c r="D471" s="1822"/>
      <c r="E471" s="1822"/>
      <c r="F471" s="1822"/>
      <c r="G471" s="1822"/>
      <c r="H471" s="1822"/>
      <c r="I471" s="1822"/>
      <c r="J471" s="1822"/>
      <c r="K471" s="1822"/>
      <c r="L471" s="551">
        <v>5582.85</v>
      </c>
      <c r="M471" s="550"/>
      <c r="N471" s="549"/>
      <c r="AG471" s="537" t="s">
        <v>403</v>
      </c>
    </row>
    <row r="472" spans="1:36" s="536" customFormat="1" x14ac:dyDescent="0.2">
      <c r="A472" s="548"/>
      <c r="B472" s="552"/>
      <c r="C472" s="1822" t="s">
        <v>204</v>
      </c>
      <c r="D472" s="1822"/>
      <c r="E472" s="1822"/>
      <c r="F472" s="1822"/>
      <c r="G472" s="1822"/>
      <c r="H472" s="1822"/>
      <c r="I472" s="1822"/>
      <c r="J472" s="1822"/>
      <c r="K472" s="1822"/>
      <c r="L472" s="551"/>
      <c r="M472" s="550"/>
      <c r="N472" s="549"/>
      <c r="AG472" s="537" t="s">
        <v>204</v>
      </c>
    </row>
    <row r="473" spans="1:36" s="536" customFormat="1" x14ac:dyDescent="0.2">
      <c r="A473" s="548"/>
      <c r="B473" s="552"/>
      <c r="C473" s="1822" t="s">
        <v>480</v>
      </c>
      <c r="D473" s="1822"/>
      <c r="E473" s="1822"/>
      <c r="F473" s="1822"/>
      <c r="G473" s="1822"/>
      <c r="H473" s="1822"/>
      <c r="I473" s="1822"/>
      <c r="J473" s="1822"/>
      <c r="K473" s="1822"/>
      <c r="L473" s="551">
        <v>5582.85</v>
      </c>
      <c r="M473" s="550"/>
      <c r="N473" s="549"/>
      <c r="AG473" s="537" t="s">
        <v>480</v>
      </c>
    </row>
    <row r="474" spans="1:36" s="536" customFormat="1" x14ac:dyDescent="0.2">
      <c r="A474" s="548"/>
      <c r="B474" s="552" t="s">
        <v>185</v>
      </c>
      <c r="C474" s="1822" t="s">
        <v>407</v>
      </c>
      <c r="D474" s="1822"/>
      <c r="E474" s="1822"/>
      <c r="F474" s="1822"/>
      <c r="G474" s="1822"/>
      <c r="H474" s="1822"/>
      <c r="I474" s="1822"/>
      <c r="J474" s="1822"/>
      <c r="K474" s="1822"/>
      <c r="L474" s="551">
        <v>5582.85</v>
      </c>
      <c r="M474" s="550"/>
      <c r="N474" s="549"/>
      <c r="AG474" s="537" t="s">
        <v>407</v>
      </c>
    </row>
    <row r="475" spans="1:36" s="536" customFormat="1" x14ac:dyDescent="0.2">
      <c r="A475" s="548"/>
      <c r="B475" s="552"/>
      <c r="C475" s="1822" t="s">
        <v>204</v>
      </c>
      <c r="D475" s="1822"/>
      <c r="E475" s="1822"/>
      <c r="F475" s="1822"/>
      <c r="G475" s="1822"/>
      <c r="H475" s="1822"/>
      <c r="I475" s="1822"/>
      <c r="J475" s="1822"/>
      <c r="K475" s="1822"/>
      <c r="L475" s="551"/>
      <c r="M475" s="550"/>
      <c r="N475" s="549"/>
      <c r="AG475" s="537" t="s">
        <v>204</v>
      </c>
    </row>
    <row r="476" spans="1:36" s="536" customFormat="1" x14ac:dyDescent="0.2">
      <c r="A476" s="548"/>
      <c r="B476" s="552"/>
      <c r="C476" s="1822" t="s">
        <v>547</v>
      </c>
      <c r="D476" s="1822"/>
      <c r="E476" s="1822"/>
      <c r="F476" s="1822"/>
      <c r="G476" s="1822"/>
      <c r="H476" s="1822"/>
      <c r="I476" s="1822"/>
      <c r="J476" s="1822"/>
      <c r="K476" s="1822"/>
      <c r="L476" s="551">
        <v>5582.85</v>
      </c>
      <c r="M476" s="550"/>
      <c r="N476" s="549"/>
      <c r="AG476" s="537" t="s">
        <v>547</v>
      </c>
    </row>
    <row r="477" spans="1:36" s="536" customFormat="1" ht="22.5" x14ac:dyDescent="0.2">
      <c r="A477" s="548"/>
      <c r="B477" s="546"/>
      <c r="C477" s="1819" t="s">
        <v>4313</v>
      </c>
      <c r="D477" s="1819"/>
      <c r="E477" s="1819"/>
      <c r="F477" s="1819"/>
      <c r="G477" s="1819"/>
      <c r="H477" s="1819"/>
      <c r="I477" s="1819"/>
      <c r="J477" s="1819"/>
      <c r="K477" s="1819"/>
      <c r="L477" s="544">
        <v>5582.85</v>
      </c>
      <c r="M477" s="543"/>
      <c r="N477" s="681"/>
      <c r="AH477" s="537" t="s">
        <v>4313</v>
      </c>
    </row>
    <row r="478" spans="1:36" s="536" customFormat="1" ht="2.25" customHeight="1" x14ac:dyDescent="0.2">
      <c r="B478" s="561"/>
      <c r="C478" s="561"/>
      <c r="D478" s="561"/>
      <c r="E478" s="561"/>
      <c r="F478" s="561"/>
      <c r="G478" s="561"/>
      <c r="H478" s="561"/>
      <c r="I478" s="561"/>
      <c r="J478" s="561"/>
      <c r="K478" s="561"/>
      <c r="L478" s="560"/>
      <c r="M478" s="559"/>
      <c r="N478" s="558"/>
    </row>
    <row r="479" spans="1:36" s="536" customFormat="1" x14ac:dyDescent="0.2">
      <c r="A479" s="557"/>
      <c r="B479" s="556"/>
      <c r="C479" s="1823" t="s">
        <v>205</v>
      </c>
      <c r="D479" s="1823"/>
      <c r="E479" s="1823"/>
      <c r="F479" s="1823"/>
      <c r="G479" s="1823"/>
      <c r="H479" s="1823"/>
      <c r="I479" s="1823"/>
      <c r="J479" s="1823"/>
      <c r="K479" s="1823"/>
      <c r="L479" s="555"/>
      <c r="M479" s="554"/>
      <c r="N479" s="553"/>
      <c r="AI479" s="537" t="s">
        <v>205</v>
      </c>
    </row>
    <row r="480" spans="1:36" s="536" customFormat="1" x14ac:dyDescent="0.2">
      <c r="A480" s="548"/>
      <c r="B480" s="552"/>
      <c r="C480" s="1822" t="s">
        <v>403</v>
      </c>
      <c r="D480" s="1822"/>
      <c r="E480" s="1822"/>
      <c r="F480" s="1822"/>
      <c r="G480" s="1822"/>
      <c r="H480" s="1822"/>
      <c r="I480" s="1822"/>
      <c r="J480" s="1822"/>
      <c r="K480" s="1822"/>
      <c r="L480" s="551">
        <v>1008397.27</v>
      </c>
      <c r="M480" s="550"/>
      <c r="N480" s="549"/>
      <c r="AJ480" s="537" t="s">
        <v>403</v>
      </c>
    </row>
    <row r="481" spans="1:37" s="536" customFormat="1" x14ac:dyDescent="0.2">
      <c r="A481" s="548"/>
      <c r="B481" s="552"/>
      <c r="C481" s="1822" t="s">
        <v>204</v>
      </c>
      <c r="D481" s="1822"/>
      <c r="E481" s="1822"/>
      <c r="F481" s="1822"/>
      <c r="G481" s="1822"/>
      <c r="H481" s="1822"/>
      <c r="I481" s="1822"/>
      <c r="J481" s="1822"/>
      <c r="K481" s="1822"/>
      <c r="L481" s="551"/>
      <c r="M481" s="550"/>
      <c r="N481" s="549"/>
      <c r="AJ481" s="537" t="s">
        <v>204</v>
      </c>
    </row>
    <row r="482" spans="1:37" s="536" customFormat="1" x14ac:dyDescent="0.2">
      <c r="A482" s="548"/>
      <c r="B482" s="552"/>
      <c r="C482" s="1822" t="s">
        <v>404</v>
      </c>
      <c r="D482" s="1822"/>
      <c r="E482" s="1822"/>
      <c r="F482" s="1822"/>
      <c r="G482" s="1822"/>
      <c r="H482" s="1822"/>
      <c r="I482" s="1822"/>
      <c r="J482" s="1822"/>
      <c r="K482" s="1822"/>
      <c r="L482" s="551">
        <v>30405.759999999998</v>
      </c>
      <c r="M482" s="550"/>
      <c r="N482" s="549"/>
      <c r="AJ482" s="537" t="s">
        <v>404</v>
      </c>
    </row>
    <row r="483" spans="1:37" s="536" customFormat="1" x14ac:dyDescent="0.2">
      <c r="A483" s="548"/>
      <c r="B483" s="552"/>
      <c r="C483" s="1822" t="s">
        <v>405</v>
      </c>
      <c r="D483" s="1822"/>
      <c r="E483" s="1822"/>
      <c r="F483" s="1822"/>
      <c r="G483" s="1822"/>
      <c r="H483" s="1822"/>
      <c r="I483" s="1822"/>
      <c r="J483" s="1822"/>
      <c r="K483" s="1822"/>
      <c r="L483" s="551">
        <v>26543.279999999999</v>
      </c>
      <c r="M483" s="550"/>
      <c r="N483" s="549"/>
      <c r="AJ483" s="537" t="s">
        <v>405</v>
      </c>
    </row>
    <row r="484" spans="1:37" s="536" customFormat="1" x14ac:dyDescent="0.2">
      <c r="A484" s="548"/>
      <c r="B484" s="552"/>
      <c r="C484" s="1822" t="s">
        <v>406</v>
      </c>
      <c r="D484" s="1822"/>
      <c r="E484" s="1822"/>
      <c r="F484" s="1822"/>
      <c r="G484" s="1822"/>
      <c r="H484" s="1822"/>
      <c r="I484" s="1822"/>
      <c r="J484" s="1822"/>
      <c r="K484" s="1822"/>
      <c r="L484" s="551">
        <v>3345.18</v>
      </c>
      <c r="M484" s="550"/>
      <c r="N484" s="549"/>
      <c r="AJ484" s="537" t="s">
        <v>406</v>
      </c>
    </row>
    <row r="485" spans="1:37" s="536" customFormat="1" x14ac:dyDescent="0.2">
      <c r="A485" s="548"/>
      <c r="B485" s="552"/>
      <c r="C485" s="1822" t="s">
        <v>480</v>
      </c>
      <c r="D485" s="1822"/>
      <c r="E485" s="1822"/>
      <c r="F485" s="1822"/>
      <c r="G485" s="1822"/>
      <c r="H485" s="1822"/>
      <c r="I485" s="1822"/>
      <c r="J485" s="1822"/>
      <c r="K485" s="1822"/>
      <c r="L485" s="551">
        <v>951448.23</v>
      </c>
      <c r="M485" s="550"/>
      <c r="N485" s="549"/>
      <c r="AJ485" s="537" t="s">
        <v>480</v>
      </c>
    </row>
    <row r="486" spans="1:37" s="536" customFormat="1" x14ac:dyDescent="0.2">
      <c r="A486" s="548"/>
      <c r="B486" s="552" t="s">
        <v>185</v>
      </c>
      <c r="C486" s="1822" t="s">
        <v>407</v>
      </c>
      <c r="D486" s="1822"/>
      <c r="E486" s="1822"/>
      <c r="F486" s="1822"/>
      <c r="G486" s="1822"/>
      <c r="H486" s="1822"/>
      <c r="I486" s="1822"/>
      <c r="J486" s="1822"/>
      <c r="K486" s="1822"/>
      <c r="L486" s="551">
        <v>1063482.31</v>
      </c>
      <c r="M486" s="550">
        <v>8.01</v>
      </c>
      <c r="N486" s="549">
        <v>8518493</v>
      </c>
      <c r="AJ486" s="537" t="s">
        <v>407</v>
      </c>
    </row>
    <row r="487" spans="1:37" s="536" customFormat="1" x14ac:dyDescent="0.2">
      <c r="A487" s="548"/>
      <c r="B487" s="552"/>
      <c r="C487" s="1822" t="s">
        <v>204</v>
      </c>
      <c r="D487" s="1822"/>
      <c r="E487" s="1822"/>
      <c r="F487" s="1822"/>
      <c r="G487" s="1822"/>
      <c r="H487" s="1822"/>
      <c r="I487" s="1822"/>
      <c r="J487" s="1822"/>
      <c r="K487" s="1822"/>
      <c r="L487" s="551"/>
      <c r="M487" s="550"/>
      <c r="N487" s="549"/>
      <c r="AJ487" s="537" t="s">
        <v>204</v>
      </c>
    </row>
    <row r="488" spans="1:37" s="536" customFormat="1" x14ac:dyDescent="0.2">
      <c r="A488" s="548"/>
      <c r="B488" s="552"/>
      <c r="C488" s="1822" t="s">
        <v>546</v>
      </c>
      <c r="D488" s="1822"/>
      <c r="E488" s="1822"/>
      <c r="F488" s="1822"/>
      <c r="G488" s="1822"/>
      <c r="H488" s="1822"/>
      <c r="I488" s="1822"/>
      <c r="J488" s="1822"/>
      <c r="K488" s="1822"/>
      <c r="L488" s="551">
        <v>30405.759999999998</v>
      </c>
      <c r="M488" s="550"/>
      <c r="N488" s="549"/>
      <c r="AJ488" s="537" t="s">
        <v>546</v>
      </c>
    </row>
    <row r="489" spans="1:37" s="536" customFormat="1" x14ac:dyDescent="0.2">
      <c r="A489" s="548"/>
      <c r="B489" s="552"/>
      <c r="C489" s="1822" t="s">
        <v>442</v>
      </c>
      <c r="D489" s="1822"/>
      <c r="E489" s="1822"/>
      <c r="F489" s="1822"/>
      <c r="G489" s="1822"/>
      <c r="H489" s="1822"/>
      <c r="I489" s="1822"/>
      <c r="J489" s="1822"/>
      <c r="K489" s="1822"/>
      <c r="L489" s="551">
        <v>26543.279999999999</v>
      </c>
      <c r="M489" s="550"/>
      <c r="N489" s="549"/>
      <c r="AJ489" s="537" t="s">
        <v>442</v>
      </c>
    </row>
    <row r="490" spans="1:37" s="536" customFormat="1" x14ac:dyDescent="0.2">
      <c r="A490" s="548"/>
      <c r="B490" s="552"/>
      <c r="C490" s="1822" t="s">
        <v>547</v>
      </c>
      <c r="D490" s="1822"/>
      <c r="E490" s="1822"/>
      <c r="F490" s="1822"/>
      <c r="G490" s="1822"/>
      <c r="H490" s="1822"/>
      <c r="I490" s="1822"/>
      <c r="J490" s="1822"/>
      <c r="K490" s="1822"/>
      <c r="L490" s="551">
        <v>951448.23</v>
      </c>
      <c r="M490" s="550"/>
      <c r="N490" s="549"/>
      <c r="AJ490" s="537" t="s">
        <v>547</v>
      </c>
    </row>
    <row r="491" spans="1:37" s="536" customFormat="1" x14ac:dyDescent="0.2">
      <c r="A491" s="548"/>
      <c r="B491" s="552"/>
      <c r="C491" s="1822" t="s">
        <v>443</v>
      </c>
      <c r="D491" s="1822"/>
      <c r="E491" s="1822"/>
      <c r="F491" s="1822"/>
      <c r="G491" s="1822"/>
      <c r="H491" s="1822"/>
      <c r="I491" s="1822"/>
      <c r="J491" s="1822"/>
      <c r="K491" s="1822"/>
      <c r="L491" s="551">
        <v>34919.03</v>
      </c>
      <c r="M491" s="550"/>
      <c r="N491" s="549"/>
      <c r="AJ491" s="537" t="s">
        <v>443</v>
      </c>
    </row>
    <row r="492" spans="1:37" s="536" customFormat="1" x14ac:dyDescent="0.2">
      <c r="A492" s="548"/>
      <c r="B492" s="552"/>
      <c r="C492" s="1822" t="s">
        <v>444</v>
      </c>
      <c r="D492" s="1822"/>
      <c r="E492" s="1822"/>
      <c r="F492" s="1822"/>
      <c r="G492" s="1822"/>
      <c r="H492" s="1822"/>
      <c r="I492" s="1822"/>
      <c r="J492" s="1822"/>
      <c r="K492" s="1822"/>
      <c r="L492" s="551">
        <v>20166.009999999998</v>
      </c>
      <c r="M492" s="550"/>
      <c r="N492" s="549"/>
      <c r="AJ492" s="537" t="s">
        <v>444</v>
      </c>
    </row>
    <row r="493" spans="1:37" s="536" customFormat="1" x14ac:dyDescent="0.2">
      <c r="A493" s="548"/>
      <c r="B493" s="552"/>
      <c r="C493" s="1822" t="s">
        <v>415</v>
      </c>
      <c r="D493" s="1822"/>
      <c r="E493" s="1822"/>
      <c r="F493" s="1822"/>
      <c r="G493" s="1822"/>
      <c r="H493" s="1822"/>
      <c r="I493" s="1822"/>
      <c r="J493" s="1822"/>
      <c r="K493" s="1822"/>
      <c r="L493" s="551">
        <v>33750.94</v>
      </c>
      <c r="M493" s="550"/>
      <c r="N493" s="549"/>
      <c r="AJ493" s="537" t="s">
        <v>415</v>
      </c>
    </row>
    <row r="494" spans="1:37" s="536" customFormat="1" x14ac:dyDescent="0.2">
      <c r="A494" s="548"/>
      <c r="B494" s="552"/>
      <c r="C494" s="1822" t="s">
        <v>416</v>
      </c>
      <c r="D494" s="1822"/>
      <c r="E494" s="1822"/>
      <c r="F494" s="1822"/>
      <c r="G494" s="1822"/>
      <c r="H494" s="1822"/>
      <c r="I494" s="1822"/>
      <c r="J494" s="1822"/>
      <c r="K494" s="1822"/>
      <c r="L494" s="551">
        <v>34919.03</v>
      </c>
      <c r="M494" s="550"/>
      <c r="N494" s="549"/>
      <c r="AJ494" s="537" t="s">
        <v>416</v>
      </c>
    </row>
    <row r="495" spans="1:37" s="536" customFormat="1" x14ac:dyDescent="0.2">
      <c r="A495" s="548"/>
      <c r="B495" s="552"/>
      <c r="C495" s="1822" t="s">
        <v>417</v>
      </c>
      <c r="D495" s="1822"/>
      <c r="E495" s="1822"/>
      <c r="F495" s="1822"/>
      <c r="G495" s="1822"/>
      <c r="H495" s="1822"/>
      <c r="I495" s="1822"/>
      <c r="J495" s="1822"/>
      <c r="K495" s="1822"/>
      <c r="L495" s="551">
        <v>20166.009999999998</v>
      </c>
      <c r="M495" s="550"/>
      <c r="N495" s="549"/>
      <c r="AJ495" s="537" t="s">
        <v>417</v>
      </c>
    </row>
    <row r="496" spans="1:37" s="536" customFormat="1" x14ac:dyDescent="0.2">
      <c r="A496" s="548"/>
      <c r="B496" s="546"/>
      <c r="C496" s="1819" t="s">
        <v>206</v>
      </c>
      <c r="D496" s="1819"/>
      <c r="E496" s="1819"/>
      <c r="F496" s="1819"/>
      <c r="G496" s="1819"/>
      <c r="H496" s="1819"/>
      <c r="I496" s="1819"/>
      <c r="J496" s="1819"/>
      <c r="K496" s="1819"/>
      <c r="L496" s="544">
        <v>1063482.31</v>
      </c>
      <c r="M496" s="543"/>
      <c r="N496" s="547">
        <v>8518493</v>
      </c>
      <c r="AK496" s="537" t="s">
        <v>206</v>
      </c>
    </row>
    <row r="497" spans="1:38" ht="1.5" customHeight="1" x14ac:dyDescent="0.2">
      <c r="B497" s="546"/>
      <c r="C497" s="671"/>
      <c r="D497" s="671"/>
      <c r="E497" s="671"/>
      <c r="F497" s="671"/>
      <c r="G497" s="671"/>
      <c r="H497" s="671"/>
      <c r="I497" s="671"/>
      <c r="J497" s="671"/>
      <c r="K497" s="671"/>
      <c r="L497" s="544"/>
      <c r="M497" s="543"/>
      <c r="N497" s="542"/>
      <c r="P497" s="536"/>
      <c r="Q497" s="536"/>
      <c r="R497" s="536"/>
      <c r="S497" s="536"/>
      <c r="T497" s="536"/>
      <c r="U497" s="536"/>
      <c r="V497" s="536"/>
      <c r="W497" s="536"/>
      <c r="X497" s="536"/>
      <c r="Y497" s="536"/>
      <c r="Z497" s="536"/>
      <c r="AA497" s="536"/>
      <c r="AB497" s="536"/>
      <c r="AC497" s="536"/>
      <c r="AD497" s="536"/>
      <c r="AE497" s="536"/>
      <c r="AF497" s="536"/>
      <c r="AG497" s="536"/>
      <c r="AH497" s="536"/>
      <c r="AI497" s="536"/>
      <c r="AJ497" s="536"/>
      <c r="AK497" s="536"/>
      <c r="AL497" s="536"/>
    </row>
    <row r="498" spans="1:38" ht="53.25" customHeight="1" x14ac:dyDescent="0.2">
      <c r="A498" s="541"/>
      <c r="B498" s="541"/>
      <c r="C498" s="541"/>
      <c r="D498" s="541"/>
      <c r="E498" s="541"/>
      <c r="F498" s="541"/>
      <c r="G498" s="541"/>
      <c r="H498" s="541"/>
      <c r="I498" s="541"/>
      <c r="J498" s="541"/>
      <c r="K498" s="541"/>
      <c r="L498" s="541"/>
      <c r="M498" s="541"/>
      <c r="N498" s="541"/>
      <c r="P498" s="536"/>
      <c r="Q498" s="536"/>
      <c r="R498" s="536"/>
      <c r="S498" s="536"/>
      <c r="T498" s="536"/>
      <c r="U498" s="536"/>
      <c r="V498" s="536"/>
      <c r="W498" s="536"/>
      <c r="X498" s="536"/>
      <c r="Y498" s="536"/>
      <c r="Z498" s="536"/>
      <c r="AA498" s="536"/>
      <c r="AB498" s="536"/>
      <c r="AC498" s="536"/>
      <c r="AD498" s="536"/>
      <c r="AE498" s="536"/>
      <c r="AF498" s="536"/>
      <c r="AG498" s="536"/>
      <c r="AH498" s="536"/>
      <c r="AI498" s="536"/>
      <c r="AJ498" s="536"/>
      <c r="AK498" s="536"/>
      <c r="AL498" s="536"/>
    </row>
    <row r="499" spans="1:38" x14ac:dyDescent="0.2">
      <c r="B499" s="539" t="s">
        <v>149</v>
      </c>
      <c r="C499" s="1820" t="s">
        <v>296</v>
      </c>
      <c r="D499" s="1820"/>
      <c r="E499" s="1820"/>
      <c r="F499" s="1820"/>
      <c r="G499" s="1820"/>
      <c r="H499" s="1820"/>
      <c r="I499" s="1820"/>
      <c r="J499" s="1820"/>
      <c r="K499" s="1820"/>
      <c r="L499" s="1820"/>
    </row>
    <row r="500" spans="1:38" ht="13.5" customHeight="1" x14ac:dyDescent="0.2">
      <c r="B500" s="540"/>
      <c r="C500" s="1821" t="s">
        <v>150</v>
      </c>
      <c r="D500" s="1821"/>
      <c r="E500" s="1821"/>
      <c r="F500" s="1821"/>
      <c r="G500" s="1821"/>
      <c r="H500" s="1821"/>
      <c r="I500" s="1821"/>
      <c r="J500" s="1821"/>
      <c r="K500" s="1821"/>
      <c r="L500" s="1821"/>
    </row>
    <row r="501" spans="1:38" ht="12.75" customHeight="1" x14ac:dyDescent="0.2">
      <c r="B501" s="539" t="s">
        <v>151</v>
      </c>
      <c r="C501" s="1820" t="s">
        <v>297</v>
      </c>
      <c r="D501" s="1820"/>
      <c r="E501" s="1820"/>
      <c r="F501" s="1820"/>
      <c r="G501" s="1820"/>
      <c r="H501" s="1820"/>
      <c r="I501" s="1820"/>
      <c r="J501" s="1820"/>
      <c r="K501" s="1820"/>
      <c r="L501" s="1820"/>
    </row>
    <row r="502" spans="1:38" ht="13.5" customHeight="1" x14ac:dyDescent="0.2">
      <c r="C502" s="1821" t="s">
        <v>150</v>
      </c>
      <c r="D502" s="1821"/>
      <c r="E502" s="1821"/>
      <c r="F502" s="1821"/>
      <c r="G502" s="1821"/>
      <c r="H502" s="1821"/>
      <c r="I502" s="1821"/>
      <c r="J502" s="1821"/>
      <c r="K502" s="1821"/>
      <c r="L502" s="1821"/>
    </row>
    <row r="504" spans="1:38" x14ac:dyDescent="0.2">
      <c r="A504" s="1944"/>
      <c r="B504" s="1944"/>
      <c r="C504" s="1944"/>
      <c r="D504" s="1944"/>
      <c r="E504" s="1944"/>
      <c r="F504" s="1944"/>
      <c r="G504" s="1944"/>
      <c r="H504" s="1944"/>
      <c r="I504" s="1944"/>
      <c r="J504" s="1944"/>
      <c r="K504" s="1944"/>
      <c r="L504" s="1944"/>
      <c r="M504" s="1944"/>
      <c r="N504" s="1944"/>
      <c r="P504" s="536"/>
      <c r="Q504" s="536"/>
      <c r="R504" s="536"/>
      <c r="S504" s="536"/>
      <c r="T504" s="536"/>
      <c r="U504" s="536"/>
      <c r="V504" s="536"/>
      <c r="W504" s="536"/>
      <c r="X504" s="536"/>
      <c r="Y504" s="536"/>
      <c r="Z504" s="536"/>
      <c r="AA504" s="536"/>
      <c r="AB504" s="536"/>
      <c r="AC504" s="536"/>
      <c r="AD504" s="536"/>
      <c r="AE504" s="536"/>
      <c r="AF504" s="536"/>
      <c r="AG504" s="536"/>
      <c r="AH504" s="536"/>
      <c r="AI504" s="536"/>
      <c r="AJ504" s="536"/>
      <c r="AK504" s="536"/>
      <c r="AL504" s="537" t="s">
        <v>143</v>
      </c>
    </row>
    <row r="505" spans="1:38" x14ac:dyDescent="0.2">
      <c r="B505" s="538"/>
      <c r="D505" s="538"/>
      <c r="F505" s="538"/>
      <c r="P505" s="536"/>
      <c r="Q505" s="536"/>
      <c r="R505" s="536"/>
      <c r="S505" s="536"/>
      <c r="T505" s="536"/>
      <c r="U505" s="536"/>
      <c r="V505" s="536"/>
      <c r="W505" s="536"/>
      <c r="X505" s="536"/>
      <c r="Y505" s="536"/>
      <c r="Z505" s="536"/>
      <c r="AA505" s="536"/>
      <c r="AB505" s="536"/>
      <c r="AC505" s="536"/>
      <c r="AD505" s="536"/>
      <c r="AE505" s="536"/>
      <c r="AF505" s="536"/>
      <c r="AG505" s="536"/>
      <c r="AH505" s="536"/>
      <c r="AI505" s="536"/>
      <c r="AJ505" s="536"/>
      <c r="AK505" s="536"/>
      <c r="AL505" s="536"/>
    </row>
  </sheetData>
  <mergeCells count="445">
    <mergeCell ref="C501:L501"/>
    <mergeCell ref="C502:L502"/>
    <mergeCell ref="A504:N504"/>
    <mergeCell ref="C493:K493"/>
    <mergeCell ref="C494:K494"/>
    <mergeCell ref="C495:K495"/>
    <mergeCell ref="C496:K496"/>
    <mergeCell ref="C499:L499"/>
    <mergeCell ref="C500:L500"/>
    <mergeCell ref="C487:K487"/>
    <mergeCell ref="C488:K488"/>
    <mergeCell ref="C489:K489"/>
    <mergeCell ref="C490:K490"/>
    <mergeCell ref="C491:K491"/>
    <mergeCell ref="C492:K492"/>
    <mergeCell ref="C481:K481"/>
    <mergeCell ref="C482:K482"/>
    <mergeCell ref="C483:K483"/>
    <mergeCell ref="C484:K484"/>
    <mergeCell ref="C485:K485"/>
    <mergeCell ref="C486:K486"/>
    <mergeCell ref="C474:K474"/>
    <mergeCell ref="C475:K475"/>
    <mergeCell ref="C476:K476"/>
    <mergeCell ref="C477:K477"/>
    <mergeCell ref="C479:K479"/>
    <mergeCell ref="C480:K480"/>
    <mergeCell ref="C466:N466"/>
    <mergeCell ref="C467:E467"/>
    <mergeCell ref="C470:K470"/>
    <mergeCell ref="C471:K471"/>
    <mergeCell ref="C472:K472"/>
    <mergeCell ref="C473:K473"/>
    <mergeCell ref="C459:K459"/>
    <mergeCell ref="C460:K460"/>
    <mergeCell ref="C461:K461"/>
    <mergeCell ref="C462:K462"/>
    <mergeCell ref="A463:N463"/>
    <mergeCell ref="C464:E464"/>
    <mergeCell ref="C453:K453"/>
    <mergeCell ref="C454:K454"/>
    <mergeCell ref="C455:K455"/>
    <mergeCell ref="C456:K456"/>
    <mergeCell ref="C457:K457"/>
    <mergeCell ref="C458:K458"/>
    <mergeCell ref="C447:K447"/>
    <mergeCell ref="C448:K448"/>
    <mergeCell ref="C449:K449"/>
    <mergeCell ref="C450:K450"/>
    <mergeCell ref="C451:K451"/>
    <mergeCell ref="C452:K452"/>
    <mergeCell ref="C438:E438"/>
    <mergeCell ref="C439:E439"/>
    <mergeCell ref="C440:E440"/>
    <mergeCell ref="C442:E442"/>
    <mergeCell ref="C445:K445"/>
    <mergeCell ref="C446:K446"/>
    <mergeCell ref="C432:E432"/>
    <mergeCell ref="C433:E433"/>
    <mergeCell ref="C434:E434"/>
    <mergeCell ref="C435:E435"/>
    <mergeCell ref="C436:E436"/>
    <mergeCell ref="C437:E437"/>
    <mergeCell ref="C426:E426"/>
    <mergeCell ref="C427:E427"/>
    <mergeCell ref="C428:E428"/>
    <mergeCell ref="C429:E429"/>
    <mergeCell ref="C430:E430"/>
    <mergeCell ref="C431:E431"/>
    <mergeCell ref="C420:K420"/>
    <mergeCell ref="C421:K421"/>
    <mergeCell ref="A422:N422"/>
    <mergeCell ref="C423:E423"/>
    <mergeCell ref="C424:N424"/>
    <mergeCell ref="C425:E425"/>
    <mergeCell ref="C414:K414"/>
    <mergeCell ref="C415:K415"/>
    <mergeCell ref="C416:K416"/>
    <mergeCell ref="C417:K417"/>
    <mergeCell ref="C418:K418"/>
    <mergeCell ref="C419:K419"/>
    <mergeCell ref="C408:K408"/>
    <mergeCell ref="C409:K409"/>
    <mergeCell ref="C410:K410"/>
    <mergeCell ref="C411:K411"/>
    <mergeCell ref="C412:K412"/>
    <mergeCell ref="C413:K413"/>
    <mergeCell ref="C400:E400"/>
    <mergeCell ref="C401:E401"/>
    <mergeCell ref="C404:K404"/>
    <mergeCell ref="C405:K405"/>
    <mergeCell ref="C406:K406"/>
    <mergeCell ref="C407:K407"/>
    <mergeCell ref="C394:E394"/>
    <mergeCell ref="C395:E395"/>
    <mergeCell ref="C396:E396"/>
    <mergeCell ref="C397:E397"/>
    <mergeCell ref="C398:E398"/>
    <mergeCell ref="C399:E399"/>
    <mergeCell ref="C388:N388"/>
    <mergeCell ref="C389:N389"/>
    <mergeCell ref="C390:E390"/>
    <mergeCell ref="C391:E391"/>
    <mergeCell ref="C392:E392"/>
    <mergeCell ref="C393:E393"/>
    <mergeCell ref="C380:N380"/>
    <mergeCell ref="C381:E381"/>
    <mergeCell ref="C383:N383"/>
    <mergeCell ref="C384:E384"/>
    <mergeCell ref="C386:N386"/>
    <mergeCell ref="C387:E387"/>
    <mergeCell ref="C371:E371"/>
    <mergeCell ref="C372:E372"/>
    <mergeCell ref="C373:E373"/>
    <mergeCell ref="C375:E375"/>
    <mergeCell ref="C377:N377"/>
    <mergeCell ref="C378:E378"/>
    <mergeCell ref="C365:E365"/>
    <mergeCell ref="C366:E366"/>
    <mergeCell ref="C367:E367"/>
    <mergeCell ref="C368:E368"/>
    <mergeCell ref="C369:E369"/>
    <mergeCell ref="C370:E370"/>
    <mergeCell ref="C359:E359"/>
    <mergeCell ref="C360:E360"/>
    <mergeCell ref="C361:E361"/>
    <mergeCell ref="C362:E362"/>
    <mergeCell ref="C363:E363"/>
    <mergeCell ref="C364:E364"/>
    <mergeCell ref="C353:K353"/>
    <mergeCell ref="C354:K354"/>
    <mergeCell ref="A355:N355"/>
    <mergeCell ref="C356:E356"/>
    <mergeCell ref="C357:N357"/>
    <mergeCell ref="C358:N358"/>
    <mergeCell ref="C347:K347"/>
    <mergeCell ref="C348:K348"/>
    <mergeCell ref="C349:K349"/>
    <mergeCell ref="C350:K350"/>
    <mergeCell ref="C351:K351"/>
    <mergeCell ref="C352:K352"/>
    <mergeCell ref="C341:K341"/>
    <mergeCell ref="C342:K342"/>
    <mergeCell ref="C343:K343"/>
    <mergeCell ref="C344:K344"/>
    <mergeCell ref="C345:K345"/>
    <mergeCell ref="C346:K346"/>
    <mergeCell ref="C332:E332"/>
    <mergeCell ref="C334:E334"/>
    <mergeCell ref="C337:K337"/>
    <mergeCell ref="C338:K338"/>
    <mergeCell ref="C339:K339"/>
    <mergeCell ref="C340:K340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12:E312"/>
    <mergeCell ref="C314:N314"/>
    <mergeCell ref="C315:E315"/>
    <mergeCell ref="C317:E317"/>
    <mergeCell ref="C318:N318"/>
    <mergeCell ref="C319:N319"/>
    <mergeCell ref="C306:E306"/>
    <mergeCell ref="C307:E307"/>
    <mergeCell ref="C308:E308"/>
    <mergeCell ref="C309:E309"/>
    <mergeCell ref="C310:E310"/>
    <mergeCell ref="C311:E311"/>
    <mergeCell ref="C300:E300"/>
    <mergeCell ref="C301:E301"/>
    <mergeCell ref="C302:E302"/>
    <mergeCell ref="C303:E303"/>
    <mergeCell ref="C304:E304"/>
    <mergeCell ref="C305:E305"/>
    <mergeCell ref="C293:E293"/>
    <mergeCell ref="C294:E294"/>
    <mergeCell ref="C296:E296"/>
    <mergeCell ref="C297:N297"/>
    <mergeCell ref="C298:N298"/>
    <mergeCell ref="C299:E299"/>
    <mergeCell ref="C287:E287"/>
    <mergeCell ref="C288:E288"/>
    <mergeCell ref="C289:E289"/>
    <mergeCell ref="C290:E290"/>
    <mergeCell ref="C291:E291"/>
    <mergeCell ref="C292:E292"/>
    <mergeCell ref="C281:N281"/>
    <mergeCell ref="C282:E282"/>
    <mergeCell ref="C283:E283"/>
    <mergeCell ref="C284:E284"/>
    <mergeCell ref="C285:E285"/>
    <mergeCell ref="C286:E286"/>
    <mergeCell ref="C273:E273"/>
    <mergeCell ref="C275:N275"/>
    <mergeCell ref="C276:E276"/>
    <mergeCell ref="C278:E278"/>
    <mergeCell ref="C279:N279"/>
    <mergeCell ref="C280:N280"/>
    <mergeCell ref="C267:E267"/>
    <mergeCell ref="C268:E268"/>
    <mergeCell ref="C269:E269"/>
    <mergeCell ref="C270:E270"/>
    <mergeCell ref="C271:E271"/>
    <mergeCell ref="C272:E272"/>
    <mergeCell ref="C261:E261"/>
    <mergeCell ref="C262:E262"/>
    <mergeCell ref="C263:E263"/>
    <mergeCell ref="C264:E264"/>
    <mergeCell ref="C265:E265"/>
    <mergeCell ref="C266:E266"/>
    <mergeCell ref="C254:E254"/>
    <mergeCell ref="C256:N256"/>
    <mergeCell ref="C257:E257"/>
    <mergeCell ref="C258:N258"/>
    <mergeCell ref="C259:N259"/>
    <mergeCell ref="C260:E260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C244:E244"/>
    <mergeCell ref="C245:E245"/>
    <mergeCell ref="C246:E246"/>
    <mergeCell ref="C247:E247"/>
    <mergeCell ref="C235:N235"/>
    <mergeCell ref="C236:E236"/>
    <mergeCell ref="C238:N238"/>
    <mergeCell ref="C239:E239"/>
    <mergeCell ref="C240:N240"/>
    <mergeCell ref="C241:N241"/>
    <mergeCell ref="C225:E225"/>
    <mergeCell ref="C227:E227"/>
    <mergeCell ref="C229:N229"/>
    <mergeCell ref="C230:E230"/>
    <mergeCell ref="C232:N232"/>
    <mergeCell ref="C233:E233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07:K207"/>
    <mergeCell ref="A208:N208"/>
    <mergeCell ref="C209:E209"/>
    <mergeCell ref="C210:N210"/>
    <mergeCell ref="C211:N211"/>
    <mergeCell ref="C212:E212"/>
    <mergeCell ref="C201:K201"/>
    <mergeCell ref="C202:K202"/>
    <mergeCell ref="C203:K203"/>
    <mergeCell ref="C204:K204"/>
    <mergeCell ref="C205:K205"/>
    <mergeCell ref="C206:K206"/>
    <mergeCell ref="C195:K195"/>
    <mergeCell ref="C196:K196"/>
    <mergeCell ref="C197:K197"/>
    <mergeCell ref="C198:K198"/>
    <mergeCell ref="C199:K199"/>
    <mergeCell ref="C200:K200"/>
    <mergeCell ref="C188:N188"/>
    <mergeCell ref="C190:K190"/>
    <mergeCell ref="C191:K191"/>
    <mergeCell ref="C192:K192"/>
    <mergeCell ref="C193:K193"/>
    <mergeCell ref="C194:K194"/>
    <mergeCell ref="C178:E178"/>
    <mergeCell ref="C180:E180"/>
    <mergeCell ref="C182:N182"/>
    <mergeCell ref="C183:E183"/>
    <mergeCell ref="C185:N185"/>
    <mergeCell ref="C186:E186"/>
    <mergeCell ref="C172:E172"/>
    <mergeCell ref="C173:E173"/>
    <mergeCell ref="C174:E174"/>
    <mergeCell ref="C175:E175"/>
    <mergeCell ref="C176:E176"/>
    <mergeCell ref="C177:E177"/>
    <mergeCell ref="C166:E166"/>
    <mergeCell ref="C167:E167"/>
    <mergeCell ref="C168:E168"/>
    <mergeCell ref="C169:E169"/>
    <mergeCell ref="C170:E170"/>
    <mergeCell ref="C171:E171"/>
    <mergeCell ref="C160:K160"/>
    <mergeCell ref="A161:N161"/>
    <mergeCell ref="C162:E162"/>
    <mergeCell ref="C163:N163"/>
    <mergeCell ref="C164:N164"/>
    <mergeCell ref="C165:E165"/>
    <mergeCell ref="C154:K154"/>
    <mergeCell ref="C155:K155"/>
    <mergeCell ref="C156:K156"/>
    <mergeCell ref="C157:K157"/>
    <mergeCell ref="C158:K158"/>
    <mergeCell ref="C159:K159"/>
    <mergeCell ref="C148:K148"/>
    <mergeCell ref="C149:K149"/>
    <mergeCell ref="C150:K150"/>
    <mergeCell ref="C151:K151"/>
    <mergeCell ref="C152:K152"/>
    <mergeCell ref="C153:K153"/>
    <mergeCell ref="C141:N141"/>
    <mergeCell ref="C143:K143"/>
    <mergeCell ref="C144:K144"/>
    <mergeCell ref="C145:K145"/>
    <mergeCell ref="C146:K146"/>
    <mergeCell ref="C147:K147"/>
    <mergeCell ref="C132:N132"/>
    <mergeCell ref="C133:E133"/>
    <mergeCell ref="C135:N135"/>
    <mergeCell ref="C136:E136"/>
    <mergeCell ref="C138:N138"/>
    <mergeCell ref="C139:E139"/>
    <mergeCell ref="C123:E123"/>
    <mergeCell ref="C124:E124"/>
    <mergeCell ref="C125:E125"/>
    <mergeCell ref="C127:E127"/>
    <mergeCell ref="C129:N129"/>
    <mergeCell ref="C130:E130"/>
    <mergeCell ref="C117:E117"/>
    <mergeCell ref="C118:E118"/>
    <mergeCell ref="C119:E119"/>
    <mergeCell ref="C120:E120"/>
    <mergeCell ref="C121:E121"/>
    <mergeCell ref="C122:E122"/>
    <mergeCell ref="C111:N111"/>
    <mergeCell ref="C112:E112"/>
    <mergeCell ref="C113:E113"/>
    <mergeCell ref="C114:E114"/>
    <mergeCell ref="C115:E115"/>
    <mergeCell ref="C116:E116"/>
    <mergeCell ref="C104:E104"/>
    <mergeCell ref="C105:E105"/>
    <mergeCell ref="C106:E106"/>
    <mergeCell ref="C107:E107"/>
    <mergeCell ref="C109:E109"/>
    <mergeCell ref="C110:N110"/>
    <mergeCell ref="C98:E98"/>
    <mergeCell ref="C99:E99"/>
    <mergeCell ref="C100:E100"/>
    <mergeCell ref="C101:E101"/>
    <mergeCell ref="C102:E102"/>
    <mergeCell ref="C103:E103"/>
    <mergeCell ref="C92:E92"/>
    <mergeCell ref="C93:N93"/>
    <mergeCell ref="C94:N94"/>
    <mergeCell ref="C95:N95"/>
    <mergeCell ref="C96:E96"/>
    <mergeCell ref="C97:E97"/>
    <mergeCell ref="C85:E85"/>
    <mergeCell ref="C86:E86"/>
    <mergeCell ref="C87:E87"/>
    <mergeCell ref="C88:E88"/>
    <mergeCell ref="C89:E89"/>
    <mergeCell ref="C90:E90"/>
    <mergeCell ref="C79:E79"/>
    <mergeCell ref="C80:E80"/>
    <mergeCell ref="C81:E81"/>
    <mergeCell ref="C82:E82"/>
    <mergeCell ref="C83:E83"/>
    <mergeCell ref="C84:E84"/>
    <mergeCell ref="C72:E72"/>
    <mergeCell ref="C73:E73"/>
    <mergeCell ref="C75:E75"/>
    <mergeCell ref="C76:N76"/>
    <mergeCell ref="C77:N77"/>
    <mergeCell ref="C78:E78"/>
    <mergeCell ref="C66:E66"/>
    <mergeCell ref="C67:E67"/>
    <mergeCell ref="C68:E68"/>
    <mergeCell ref="C69:E69"/>
    <mergeCell ref="C70:E70"/>
    <mergeCell ref="C71:E71"/>
    <mergeCell ref="C60:N60"/>
    <mergeCell ref="C61:E61"/>
    <mergeCell ref="C62:E62"/>
    <mergeCell ref="C63:E63"/>
    <mergeCell ref="C64:E64"/>
    <mergeCell ref="C65:E65"/>
    <mergeCell ref="C53:E53"/>
    <mergeCell ref="C54:E54"/>
    <mergeCell ref="C55:E55"/>
    <mergeCell ref="C57:E57"/>
    <mergeCell ref="C58:N58"/>
    <mergeCell ref="C59:N59"/>
    <mergeCell ref="C47:E47"/>
    <mergeCell ref="C48:E48"/>
    <mergeCell ref="C49:E49"/>
    <mergeCell ref="C50:E50"/>
    <mergeCell ref="C51:E51"/>
    <mergeCell ref="C52:E52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50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P36"/>
  <sheetViews>
    <sheetView tabSelected="1" view="pageBreakPreview" zoomScaleNormal="100" zoomScaleSheetLayoutView="100" workbookViewId="0">
      <selection activeCell="K35" sqref="A1:K35"/>
    </sheetView>
  </sheetViews>
  <sheetFormatPr defaultRowHeight="15" x14ac:dyDescent="0.25"/>
  <cols>
    <col min="1" max="6" width="9.140625" style="2431"/>
    <col min="7" max="7" width="15.42578125" style="2431" customWidth="1"/>
    <col min="8" max="16384" width="9.140625" style="2431"/>
  </cols>
  <sheetData>
    <row r="1" spans="1:16" ht="15.75" x14ac:dyDescent="0.25">
      <c r="A1" s="1705" t="s">
        <v>10334</v>
      </c>
      <c r="B1" s="1705"/>
      <c r="C1" s="1705"/>
      <c r="D1" s="1705"/>
      <c r="E1" s="1705"/>
      <c r="F1" s="1705"/>
      <c r="G1" s="1705"/>
      <c r="H1" s="1705"/>
      <c r="I1" s="1705"/>
      <c r="J1" s="1705"/>
      <c r="K1" s="1588"/>
      <c r="L1" s="1588"/>
      <c r="M1" s="1588"/>
      <c r="N1" s="1588"/>
      <c r="O1" s="1588"/>
      <c r="P1" s="2430"/>
    </row>
    <row r="2" spans="1:16" ht="15.75" x14ac:dyDescent="0.25">
      <c r="A2" s="1705" t="s">
        <v>10335</v>
      </c>
      <c r="B2" s="1705"/>
      <c r="C2" s="1705"/>
      <c r="D2" s="1705"/>
      <c r="E2" s="1705"/>
      <c r="F2" s="1705"/>
      <c r="G2" s="1705"/>
      <c r="H2" s="1705"/>
      <c r="I2" s="1705"/>
      <c r="J2" s="1705"/>
      <c r="K2" s="1588"/>
      <c r="L2" s="1588"/>
      <c r="M2" s="1588"/>
      <c r="N2" s="1588"/>
      <c r="O2" s="1588"/>
      <c r="P2" s="2430"/>
    </row>
    <row r="3" spans="1:16" ht="15.75" x14ac:dyDescent="0.25">
      <c r="A3" s="1589"/>
      <c r="B3" s="1589"/>
      <c r="C3" s="1589"/>
      <c r="D3" s="1589"/>
      <c r="E3" s="1589"/>
      <c r="F3" s="1589"/>
      <c r="G3" s="1589"/>
      <c r="H3" s="1589"/>
      <c r="I3" s="1589"/>
      <c r="J3" s="1589"/>
      <c r="K3" s="1589"/>
      <c r="L3" s="1589"/>
      <c r="M3" s="1589"/>
      <c r="N3" s="1589"/>
      <c r="O3" s="1589"/>
      <c r="P3" s="2430"/>
    </row>
    <row r="4" spans="1:16" ht="47.25" customHeight="1" x14ac:dyDescent="0.25">
      <c r="A4" s="1590" t="s">
        <v>10336</v>
      </c>
      <c r="B4" s="1589"/>
      <c r="C4" s="1706" t="str">
        <f>НМЦК!C3</f>
        <v>Всесезонный туристско-рекреационный комплекс «Эльбрус»,
Кабардино-Балкарская Республика. Открытая плоскостная парковка  на 800 машино-мест.</v>
      </c>
      <c r="D4" s="1707"/>
      <c r="E4" s="1707"/>
      <c r="F4" s="1707"/>
      <c r="G4" s="1707"/>
      <c r="H4" s="1707"/>
      <c r="I4" s="1707"/>
      <c r="J4" s="1707"/>
      <c r="K4" s="1707"/>
      <c r="L4" s="1589"/>
      <c r="M4" s="1589"/>
      <c r="N4" s="1589"/>
      <c r="O4" s="1589"/>
      <c r="P4" s="2430"/>
    </row>
    <row r="5" spans="1:16" ht="15.75" x14ac:dyDescent="0.25">
      <c r="A5" s="1589"/>
      <c r="B5" s="1589"/>
      <c r="C5" s="1589"/>
      <c r="D5" s="1589"/>
      <c r="E5" s="1589"/>
      <c r="F5" s="1589"/>
      <c r="G5" s="1589"/>
      <c r="H5" s="1589"/>
      <c r="I5" s="1589"/>
      <c r="J5" s="1589"/>
      <c r="K5" s="1589"/>
      <c r="L5" s="1589"/>
      <c r="M5" s="1589"/>
      <c r="N5" s="1589"/>
      <c r="O5" s="1589"/>
      <c r="P5" s="2430"/>
    </row>
    <row r="6" spans="1:16" ht="15.75" x14ac:dyDescent="0.25">
      <c r="A6" s="1708" t="s">
        <v>10337</v>
      </c>
      <c r="B6" s="1708"/>
      <c r="C6" s="1708"/>
      <c r="D6" s="1708"/>
      <c r="E6" s="1708"/>
      <c r="F6" s="1708"/>
      <c r="G6" s="1591">
        <f>НМЦ!E32</f>
        <v>483439657.56</v>
      </c>
      <c r="H6" s="1592"/>
      <c r="I6" s="1592"/>
      <c r="J6" s="1592"/>
      <c r="K6" s="1592"/>
      <c r="L6" s="1593"/>
      <c r="M6" s="1593"/>
      <c r="N6" s="1593"/>
      <c r="O6" s="1593"/>
      <c r="P6" s="2430"/>
    </row>
    <row r="7" spans="1:16" ht="38.25" customHeight="1" x14ac:dyDescent="0.25">
      <c r="A7" s="1709" t="s">
        <v>10393</v>
      </c>
      <c r="B7" s="1709"/>
      <c r="C7" s="1709"/>
      <c r="D7" s="1709"/>
      <c r="E7" s="1709"/>
      <c r="F7" s="1709"/>
      <c r="G7" s="1709"/>
      <c r="H7" s="1709"/>
      <c r="I7" s="1709"/>
      <c r="J7" s="1709"/>
      <c r="K7" s="1709"/>
      <c r="L7" s="1594"/>
      <c r="M7" s="1594"/>
      <c r="N7" s="1594"/>
      <c r="O7" s="1594"/>
      <c r="P7" s="2430"/>
    </row>
    <row r="8" spans="1:16" ht="15.75" x14ac:dyDescent="0.25">
      <c r="A8" s="1589" t="s">
        <v>10338</v>
      </c>
      <c r="B8" s="1589"/>
      <c r="C8" s="1589"/>
      <c r="D8" s="1589"/>
      <c r="E8" s="1589"/>
      <c r="F8" s="1589"/>
      <c r="G8" s="1589"/>
      <c r="H8" s="1589"/>
      <c r="I8" s="1589"/>
      <c r="J8" s="1589"/>
      <c r="K8" s="1589"/>
      <c r="L8" s="1589"/>
      <c r="M8" s="1589"/>
      <c r="N8" s="1589"/>
      <c r="O8" s="1589"/>
      <c r="P8" s="2430"/>
    </row>
    <row r="9" spans="1:16" ht="15.75" x14ac:dyDescent="0.25">
      <c r="A9" s="1595" t="s">
        <v>10339</v>
      </c>
      <c r="B9" s="1595"/>
      <c r="C9" s="1595"/>
      <c r="D9" s="1595"/>
      <c r="E9" s="1595"/>
      <c r="F9" s="1595"/>
      <c r="G9" s="1595"/>
      <c r="H9" s="1589"/>
      <c r="I9" s="1589"/>
      <c r="J9" s="1589"/>
      <c r="K9" s="1589"/>
      <c r="L9" s="1589"/>
      <c r="M9" s="1589"/>
      <c r="N9" s="1589"/>
      <c r="O9" s="1589"/>
      <c r="P9" s="2430"/>
    </row>
    <row r="10" spans="1:16" ht="15.75" x14ac:dyDescent="0.25">
      <c r="A10" s="1596" t="s">
        <v>10357</v>
      </c>
      <c r="C10" s="1595"/>
      <c r="D10" s="1595"/>
      <c r="E10" s="1595"/>
      <c r="F10" s="1589"/>
      <c r="G10" s="1589"/>
      <c r="H10" s="1589"/>
      <c r="I10" s="1589"/>
      <c r="J10" s="1589"/>
      <c r="K10" s="1589"/>
      <c r="L10" s="1589"/>
      <c r="M10" s="1589"/>
      <c r="N10" s="1589"/>
      <c r="O10" s="1589"/>
      <c r="P10" s="2430"/>
    </row>
    <row r="11" spans="1:16" s="2434" customFormat="1" ht="15.75" x14ac:dyDescent="0.25">
      <c r="A11" s="2432" t="s">
        <v>10340</v>
      </c>
      <c r="B11" s="2433"/>
      <c r="C11" s="2433"/>
      <c r="D11" s="2433"/>
      <c r="E11" s="2433"/>
      <c r="F11" s="2433"/>
      <c r="G11" s="2433"/>
      <c r="H11" s="2433"/>
      <c r="I11" s="2433"/>
    </row>
    <row r="12" spans="1:16" s="2434" customFormat="1" ht="15.75" x14ac:dyDescent="0.25">
      <c r="A12" s="2432" t="s">
        <v>10341</v>
      </c>
      <c r="B12" s="2433"/>
      <c r="C12" s="2433"/>
      <c r="D12" s="2433"/>
      <c r="E12" s="2433"/>
      <c r="F12" s="2433"/>
      <c r="G12" s="2433"/>
      <c r="H12" s="2433"/>
      <c r="I12" s="2433"/>
    </row>
    <row r="13" spans="1:16" s="2434" customFormat="1" ht="15.75" x14ac:dyDescent="0.25">
      <c r="A13" s="2432" t="s">
        <v>10342</v>
      </c>
      <c r="B13" s="2433"/>
      <c r="C13" s="2433"/>
      <c r="D13" s="2433"/>
      <c r="E13" s="2433"/>
      <c r="F13" s="2433"/>
      <c r="G13" s="2433"/>
      <c r="H13" s="2433"/>
      <c r="I13" s="2433"/>
    </row>
    <row r="14" spans="1:16" s="2434" customFormat="1" ht="15.75" x14ac:dyDescent="0.25">
      <c r="A14" s="2432" t="s">
        <v>10343</v>
      </c>
      <c r="B14" s="2433"/>
      <c r="C14" s="2433"/>
      <c r="D14" s="2433"/>
      <c r="E14" s="2433"/>
      <c r="F14" s="2433"/>
      <c r="G14" s="2433"/>
      <c r="H14" s="2433"/>
      <c r="I14" s="2433"/>
    </row>
    <row r="15" spans="1:16" s="2434" customFormat="1" ht="15.75" x14ac:dyDescent="0.25">
      <c r="A15" s="2432" t="s">
        <v>10344</v>
      </c>
      <c r="B15" s="2433"/>
      <c r="C15" s="2433"/>
      <c r="D15" s="2433"/>
      <c r="E15" s="2433"/>
      <c r="F15" s="2433"/>
      <c r="G15" s="2433"/>
      <c r="H15" s="2433"/>
      <c r="I15" s="2433"/>
    </row>
    <row r="16" spans="1:16" s="2434" customFormat="1" ht="15.75" x14ac:dyDescent="0.25">
      <c r="A16" s="2432" t="s">
        <v>10345</v>
      </c>
      <c r="B16" s="2433"/>
      <c r="C16" s="2433"/>
      <c r="D16" s="2433"/>
      <c r="E16" s="2433"/>
      <c r="F16" s="2433"/>
      <c r="G16" s="2433"/>
      <c r="H16" s="2433"/>
      <c r="I16" s="2433"/>
    </row>
    <row r="17" spans="1:16" s="2435" customFormat="1" x14ac:dyDescent="0.25">
      <c r="A17" s="2432" t="s">
        <v>10346</v>
      </c>
      <c r="B17" s="2432"/>
      <c r="C17" s="2432"/>
      <c r="D17" s="2432"/>
      <c r="E17" s="2432"/>
      <c r="F17" s="2432"/>
      <c r="G17" s="2432"/>
      <c r="H17" s="2432"/>
      <c r="I17" s="2432"/>
    </row>
    <row r="18" spans="1:16" s="2435" customFormat="1" x14ac:dyDescent="0.25">
      <c r="A18" s="2432" t="s">
        <v>10347</v>
      </c>
      <c r="B18" s="2432"/>
      <c r="C18" s="2432"/>
      <c r="D18" s="2432"/>
      <c r="E18" s="2432"/>
      <c r="F18" s="2432"/>
      <c r="G18" s="2432"/>
      <c r="H18" s="2432"/>
      <c r="I18" s="2432"/>
    </row>
    <row r="19" spans="1:16" s="2435" customFormat="1" x14ac:dyDescent="0.25">
      <c r="A19" s="2432" t="s">
        <v>10374</v>
      </c>
      <c r="B19" s="2432"/>
      <c r="C19" s="2432"/>
      <c r="D19" s="2432"/>
      <c r="E19" s="2432"/>
      <c r="F19" s="2432"/>
      <c r="G19" s="2432"/>
      <c r="H19" s="2432"/>
      <c r="I19" s="2432"/>
    </row>
    <row r="20" spans="1:16" s="2435" customFormat="1" x14ac:dyDescent="0.25">
      <c r="A20" s="2436" t="s">
        <v>10348</v>
      </c>
      <c r="B20" s="2432"/>
      <c r="C20" s="2432"/>
      <c r="D20" s="2432"/>
      <c r="E20" s="2432"/>
      <c r="F20" s="2432"/>
      <c r="G20" s="2432"/>
      <c r="H20" s="2432"/>
      <c r="I20" s="2432"/>
    </row>
    <row r="21" spans="1:16" s="2435" customFormat="1" x14ac:dyDescent="0.25">
      <c r="A21" s="2436" t="s">
        <v>10358</v>
      </c>
      <c r="B21" s="2432"/>
      <c r="C21" s="2432"/>
      <c r="D21" s="2432"/>
      <c r="E21" s="2432"/>
      <c r="F21" s="2432"/>
      <c r="G21" s="2432"/>
      <c r="H21" s="2432"/>
      <c r="I21" s="2432"/>
    </row>
    <row r="22" spans="1:16" s="2435" customFormat="1" x14ac:dyDescent="0.25">
      <c r="A22" s="2436" t="s">
        <v>10359</v>
      </c>
      <c r="B22" s="2432"/>
      <c r="C22" s="2432"/>
      <c r="D22" s="2432"/>
      <c r="E22" s="2432"/>
      <c r="F22" s="2432"/>
      <c r="G22" s="2432"/>
      <c r="H22" s="2432"/>
      <c r="I22" s="2432"/>
    </row>
    <row r="23" spans="1:16" s="2435" customFormat="1" x14ac:dyDescent="0.25">
      <c r="A23" s="2432" t="s">
        <v>10360</v>
      </c>
      <c r="B23" s="2432"/>
      <c r="C23" s="2432"/>
      <c r="D23" s="2432"/>
      <c r="E23" s="2432"/>
      <c r="F23" s="2432"/>
      <c r="G23" s="2432"/>
      <c r="H23" s="2432"/>
      <c r="I23" s="2432"/>
    </row>
    <row r="24" spans="1:16" s="2435" customFormat="1" x14ac:dyDescent="0.25">
      <c r="A24" s="2432" t="s">
        <v>10361</v>
      </c>
      <c r="B24" s="2432"/>
      <c r="C24" s="2432"/>
      <c r="D24" s="2432"/>
      <c r="E24" s="2432"/>
      <c r="F24" s="2432"/>
      <c r="G24" s="2432"/>
      <c r="H24" s="2432"/>
      <c r="I24" s="2432"/>
    </row>
    <row r="25" spans="1:16" s="2435" customFormat="1" x14ac:dyDescent="0.25">
      <c r="A25" s="2432" t="s">
        <v>10349</v>
      </c>
      <c r="B25" s="2432"/>
      <c r="C25" s="2432"/>
      <c r="D25" s="2432"/>
      <c r="E25" s="2432"/>
      <c r="F25" s="2432"/>
      <c r="G25" s="2432"/>
      <c r="H25" s="2432"/>
      <c r="I25" s="2432"/>
      <c r="J25" s="2432"/>
      <c r="K25" s="2432"/>
    </row>
    <row r="26" spans="1:16" s="2439" customFormat="1" ht="30" customHeight="1" x14ac:dyDescent="0.25">
      <c r="A26" s="2437" t="s">
        <v>10350</v>
      </c>
      <c r="B26" s="2437"/>
      <c r="C26" s="2437"/>
      <c r="D26" s="2437"/>
      <c r="E26" s="2437"/>
      <c r="F26" s="2437"/>
      <c r="G26" s="2437"/>
      <c r="H26" s="2437"/>
      <c r="I26" s="2437"/>
      <c r="J26" s="2437"/>
      <c r="K26" s="2437"/>
      <c r="L26" s="2438"/>
      <c r="M26" s="2438"/>
      <c r="N26" s="2438"/>
      <c r="O26" s="2438"/>
    </row>
    <row r="27" spans="1:16" s="2439" customFormat="1" ht="33" customHeight="1" x14ac:dyDescent="0.25">
      <c r="A27" s="2437" t="s">
        <v>10351</v>
      </c>
      <c r="B27" s="2437"/>
      <c r="C27" s="2437"/>
      <c r="D27" s="2437"/>
      <c r="E27" s="2437"/>
      <c r="F27" s="2437"/>
      <c r="G27" s="2437"/>
      <c r="H27" s="2437"/>
      <c r="I27" s="2437"/>
      <c r="J27" s="2437"/>
      <c r="K27" s="2437"/>
    </row>
    <row r="28" spans="1:16" s="2439" customFormat="1" x14ac:dyDescent="0.25">
      <c r="A28" s="2440" t="s">
        <v>10392</v>
      </c>
      <c r="B28" s="2441"/>
      <c r="C28" s="2441"/>
      <c r="D28" s="2441"/>
      <c r="E28" s="2441"/>
      <c r="F28" s="2441"/>
      <c r="G28" s="2441"/>
      <c r="H28" s="2441"/>
      <c r="I28" s="2441"/>
      <c r="J28" s="2441"/>
      <c r="K28" s="2441"/>
    </row>
    <row r="29" spans="1:16" s="2439" customFormat="1" x14ac:dyDescent="0.25">
      <c r="A29" s="2432" t="s">
        <v>10352</v>
      </c>
      <c r="B29" s="2442"/>
      <c r="C29" s="2442"/>
      <c r="D29" s="2442"/>
      <c r="E29" s="2442"/>
      <c r="F29" s="2442"/>
      <c r="G29" s="2442"/>
      <c r="H29" s="2442"/>
      <c r="I29" s="2442"/>
      <c r="J29" s="2442"/>
      <c r="K29" s="2442"/>
    </row>
    <row r="30" spans="1:16" ht="15.75" x14ac:dyDescent="0.25">
      <c r="A30" s="1597"/>
      <c r="B30" s="1598"/>
      <c r="C30" s="1595"/>
      <c r="D30" s="1595"/>
      <c r="E30" s="1595"/>
      <c r="F30" s="1589"/>
      <c r="G30" s="1589"/>
      <c r="H30" s="1589"/>
      <c r="I30" s="1589"/>
      <c r="J30" s="1589"/>
      <c r="K30" s="1589"/>
      <c r="L30" s="1589"/>
      <c r="M30" s="1589"/>
      <c r="N30" s="1589"/>
      <c r="O30" s="1589"/>
      <c r="P30" s="2430"/>
    </row>
    <row r="31" spans="1:16" ht="15.75" x14ac:dyDescent="0.25">
      <c r="A31" s="1595" t="s">
        <v>10353</v>
      </c>
      <c r="B31" s="1595"/>
      <c r="C31" s="1595"/>
      <c r="D31" s="1595"/>
      <c r="E31" s="1595"/>
      <c r="F31" s="1595"/>
      <c r="G31" s="1595"/>
      <c r="H31" s="1595"/>
      <c r="I31" s="1595"/>
      <c r="J31" s="1595"/>
      <c r="K31" s="1595"/>
      <c r="L31" s="1589"/>
      <c r="M31" s="1589"/>
      <c r="N31" s="1589"/>
      <c r="O31" s="1589"/>
      <c r="P31" s="2430"/>
    </row>
    <row r="32" spans="1:16" ht="15.75" x14ac:dyDescent="0.25">
      <c r="A32" s="1595" t="s">
        <v>10354</v>
      </c>
      <c r="B32" s="1595"/>
      <c r="C32" s="1595"/>
      <c r="D32" s="1595"/>
      <c r="E32" s="1595"/>
      <c r="F32" s="1595"/>
      <c r="G32" s="1595"/>
      <c r="H32" s="1595"/>
      <c r="I32" s="1595"/>
      <c r="J32" s="1595"/>
      <c r="K32" s="1595"/>
      <c r="L32" s="1589"/>
      <c r="M32" s="1589"/>
      <c r="N32" s="1589"/>
      <c r="O32" s="1589"/>
      <c r="P32" s="2430"/>
    </row>
    <row r="33" spans="1:16" ht="15.75" x14ac:dyDescent="0.25">
      <c r="A33" s="1595"/>
      <c r="B33" s="1595"/>
      <c r="C33" s="1595"/>
      <c r="D33" s="1595"/>
      <c r="E33" s="1595"/>
      <c r="F33" s="1595"/>
      <c r="G33" s="1595"/>
      <c r="H33" s="1595"/>
      <c r="I33" s="1595"/>
      <c r="J33" s="1595"/>
      <c r="K33" s="1595"/>
      <c r="L33" s="1589"/>
      <c r="M33" s="1589"/>
      <c r="N33" s="1589"/>
      <c r="O33" s="1589"/>
      <c r="P33" s="2430"/>
    </row>
    <row r="34" spans="1:16" ht="15.75" x14ac:dyDescent="0.25">
      <c r="A34" s="1589" t="s">
        <v>10355</v>
      </c>
      <c r="B34" s="1589"/>
      <c r="C34" s="1589"/>
      <c r="D34" s="1589"/>
      <c r="E34" s="1589"/>
      <c r="G34" s="1599"/>
      <c r="H34" s="2443"/>
      <c r="I34" s="1599"/>
      <c r="J34" s="1600"/>
      <c r="K34" s="1601"/>
      <c r="L34" s="1601"/>
      <c r="M34" s="1602"/>
      <c r="N34" s="1602"/>
      <c r="O34" s="1602"/>
      <c r="P34" s="2430"/>
    </row>
    <row r="35" spans="1:16" ht="15.75" x14ac:dyDescent="0.25">
      <c r="A35" s="1589"/>
      <c r="B35" s="1589"/>
      <c r="C35" s="1589"/>
      <c r="D35" s="1589"/>
      <c r="E35" s="1589"/>
      <c r="G35" s="1704" t="s">
        <v>10356</v>
      </c>
      <c r="H35" s="1704"/>
      <c r="I35" s="1704"/>
      <c r="J35" s="1704"/>
      <c r="K35" s="1603"/>
      <c r="L35" s="1589"/>
      <c r="M35" s="1602"/>
      <c r="N35" s="1602"/>
      <c r="O35" s="1602"/>
      <c r="P35" s="2430"/>
    </row>
    <row r="36" spans="1:16" ht="15.75" x14ac:dyDescent="0.25">
      <c r="A36" s="1602"/>
      <c r="B36" s="1602"/>
      <c r="C36" s="1602"/>
      <c r="D36" s="1602"/>
      <c r="E36" s="1602"/>
      <c r="F36" s="1602"/>
      <c r="G36" s="1602"/>
      <c r="H36" s="1602"/>
      <c r="I36" s="1602"/>
      <c r="J36" s="1602"/>
      <c r="K36" s="1602"/>
      <c r="L36" s="1602"/>
      <c r="M36" s="1602"/>
      <c r="N36" s="1602"/>
      <c r="O36" s="1602"/>
    </row>
  </sheetData>
  <mergeCells count="8">
    <mergeCell ref="A27:K27"/>
    <mergeCell ref="G35:J35"/>
    <mergeCell ref="A1:J1"/>
    <mergeCell ref="A2:J2"/>
    <mergeCell ref="C4:K4"/>
    <mergeCell ref="A6:F6"/>
    <mergeCell ref="A7:K7"/>
    <mergeCell ref="A26:K26"/>
  </mergeCells>
  <pageMargins left="0.7" right="0.7" top="0.75" bottom="0.75" header="0.3" footer="0.3"/>
  <pageSetup paperSize="9" scale="83" fitToHeight="0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AL270"/>
  <sheetViews>
    <sheetView topLeftCell="A233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30" width="34.140625" style="537" hidden="1" customWidth="1"/>
    <col min="31" max="31" width="110.140625" style="537" hidden="1" customWidth="1"/>
    <col min="32" max="37" width="84.42578125" style="537" hidden="1" customWidth="1"/>
    <col min="38" max="38" width="138.42578125" style="537" hidden="1" customWidth="1"/>
    <col min="39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159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4948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4948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4949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606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606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/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92.03</v>
      </c>
      <c r="D28" s="579" t="s">
        <v>4950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92.03</v>
      </c>
      <c r="D30" s="579" t="s">
        <v>4950</v>
      </c>
      <c r="E30" s="665" t="s">
        <v>167</v>
      </c>
      <c r="G30" s="536" t="s">
        <v>170</v>
      </c>
      <c r="L30" s="580">
        <v>0</v>
      </c>
      <c r="M30" s="579" t="s">
        <v>4951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665" t="s">
        <v>167</v>
      </c>
      <c r="G31" s="536" t="s">
        <v>172</v>
      </c>
      <c r="L31" s="582"/>
      <c r="M31" s="582">
        <v>21.97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665" t="s">
        <v>167</v>
      </c>
      <c r="G32" s="536" t="s">
        <v>174</v>
      </c>
      <c r="L32" s="582"/>
      <c r="M32" s="582">
        <v>2.74</v>
      </c>
      <c r="N32" s="581" t="s">
        <v>173</v>
      </c>
    </row>
    <row r="33" spans="1:28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8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8" s="536" customFormat="1" ht="12" x14ac:dyDescent="0.2">
      <c r="A39" s="1824" t="s">
        <v>4952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537" t="s">
        <v>4952</v>
      </c>
    </row>
    <row r="40" spans="1:28" s="536" customFormat="1" x14ac:dyDescent="0.2">
      <c r="A40" s="575" t="s">
        <v>185</v>
      </c>
      <c r="B40" s="670" t="s">
        <v>1368</v>
      </c>
      <c r="C40" s="1823" t="s">
        <v>1369</v>
      </c>
      <c r="D40" s="1823"/>
      <c r="E40" s="1823"/>
      <c r="F40" s="573" t="s">
        <v>509</v>
      </c>
      <c r="G40" s="573"/>
      <c r="H40" s="573"/>
      <c r="I40" s="573" t="s">
        <v>4953</v>
      </c>
      <c r="J40" s="572"/>
      <c r="K40" s="573"/>
      <c r="L40" s="572"/>
      <c r="M40" s="571"/>
      <c r="N40" s="570"/>
      <c r="W40" s="537" t="s">
        <v>1369</v>
      </c>
    </row>
    <row r="41" spans="1:28" s="536" customFormat="1" x14ac:dyDescent="0.2">
      <c r="A41" s="676"/>
      <c r="B41" s="664"/>
      <c r="C41" s="1822" t="s">
        <v>4954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X41" s="537" t="s">
        <v>4954</v>
      </c>
    </row>
    <row r="42" spans="1:28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Y42" s="537" t="s">
        <v>311</v>
      </c>
    </row>
    <row r="43" spans="1:28" s="536" customFormat="1" x14ac:dyDescent="0.2">
      <c r="A43" s="605"/>
      <c r="B43" s="552" t="s">
        <v>185</v>
      </c>
      <c r="C43" s="1822" t="s">
        <v>312</v>
      </c>
      <c r="D43" s="1822"/>
      <c r="E43" s="1822"/>
      <c r="F43" s="562"/>
      <c r="G43" s="562"/>
      <c r="H43" s="562"/>
      <c r="I43" s="562"/>
      <c r="J43" s="604">
        <v>1053</v>
      </c>
      <c r="K43" s="562" t="s">
        <v>313</v>
      </c>
      <c r="L43" s="604">
        <v>13.43</v>
      </c>
      <c r="M43" s="603"/>
      <c r="N43" s="602"/>
      <c r="Z43" s="537" t="s">
        <v>312</v>
      </c>
    </row>
    <row r="44" spans="1:28" s="536" customFormat="1" x14ac:dyDescent="0.2">
      <c r="A44" s="605"/>
      <c r="B44" s="552" t="s">
        <v>186</v>
      </c>
      <c r="C44" s="1822" t="s">
        <v>344</v>
      </c>
      <c r="D44" s="1822"/>
      <c r="E44" s="1822"/>
      <c r="F44" s="562"/>
      <c r="G44" s="562"/>
      <c r="H44" s="562"/>
      <c r="I44" s="562"/>
      <c r="J44" s="604">
        <v>1566.06</v>
      </c>
      <c r="K44" s="562" t="s">
        <v>313</v>
      </c>
      <c r="L44" s="604">
        <v>19.97</v>
      </c>
      <c r="M44" s="603"/>
      <c r="N44" s="602"/>
      <c r="Z44" s="537" t="s">
        <v>344</v>
      </c>
    </row>
    <row r="45" spans="1:28" s="536" customFormat="1" x14ac:dyDescent="0.2">
      <c r="A45" s="605"/>
      <c r="B45" s="552" t="s">
        <v>187</v>
      </c>
      <c r="C45" s="1822" t="s">
        <v>345</v>
      </c>
      <c r="D45" s="1822"/>
      <c r="E45" s="1822"/>
      <c r="F45" s="562"/>
      <c r="G45" s="562"/>
      <c r="H45" s="562"/>
      <c r="I45" s="562"/>
      <c r="J45" s="604">
        <v>244.39</v>
      </c>
      <c r="K45" s="562" t="s">
        <v>313</v>
      </c>
      <c r="L45" s="604">
        <v>3.12</v>
      </c>
      <c r="M45" s="603"/>
      <c r="N45" s="602"/>
      <c r="Z45" s="537" t="s">
        <v>345</v>
      </c>
    </row>
    <row r="46" spans="1:28" s="536" customFormat="1" x14ac:dyDescent="0.2">
      <c r="A46" s="605"/>
      <c r="B46" s="552" t="s">
        <v>188</v>
      </c>
      <c r="C46" s="1822" t="s">
        <v>475</v>
      </c>
      <c r="D46" s="1822"/>
      <c r="E46" s="1822"/>
      <c r="F46" s="562"/>
      <c r="G46" s="562"/>
      <c r="H46" s="562"/>
      <c r="I46" s="562"/>
      <c r="J46" s="604">
        <v>909.27</v>
      </c>
      <c r="K46" s="562"/>
      <c r="L46" s="604">
        <v>9.27</v>
      </c>
      <c r="M46" s="603"/>
      <c r="N46" s="602"/>
      <c r="Z46" s="537" t="s">
        <v>475</v>
      </c>
    </row>
    <row r="47" spans="1:28" s="536" customFormat="1" x14ac:dyDescent="0.2">
      <c r="A47" s="676"/>
      <c r="B47" s="677" t="s">
        <v>639</v>
      </c>
      <c r="C47" s="1829" t="s">
        <v>640</v>
      </c>
      <c r="D47" s="1829"/>
      <c r="E47" s="1829"/>
      <c r="F47" s="678" t="s">
        <v>641</v>
      </c>
      <c r="G47" s="678" t="s">
        <v>680</v>
      </c>
      <c r="H47" s="678"/>
      <c r="I47" s="678" t="s">
        <v>4955</v>
      </c>
      <c r="J47" s="552"/>
      <c r="K47" s="562"/>
      <c r="L47" s="604"/>
      <c r="M47" s="562"/>
      <c r="N47" s="679"/>
      <c r="AA47" s="537" t="s">
        <v>640</v>
      </c>
    </row>
    <row r="48" spans="1:28" s="536" customFormat="1" x14ac:dyDescent="0.2">
      <c r="A48" s="605"/>
      <c r="B48" s="552"/>
      <c r="C48" s="1822" t="s">
        <v>314</v>
      </c>
      <c r="D48" s="1822"/>
      <c r="E48" s="1822"/>
      <c r="F48" s="562" t="s">
        <v>315</v>
      </c>
      <c r="G48" s="562" t="s">
        <v>1373</v>
      </c>
      <c r="H48" s="562" t="s">
        <v>313</v>
      </c>
      <c r="I48" s="562" t="s">
        <v>4956</v>
      </c>
      <c r="J48" s="604"/>
      <c r="K48" s="562"/>
      <c r="L48" s="604"/>
      <c r="M48" s="603"/>
      <c r="N48" s="602"/>
      <c r="AB48" s="537" t="s">
        <v>314</v>
      </c>
    </row>
    <row r="49" spans="1:30" s="536" customFormat="1" x14ac:dyDescent="0.2">
      <c r="A49" s="605"/>
      <c r="B49" s="552"/>
      <c r="C49" s="1822" t="s">
        <v>348</v>
      </c>
      <c r="D49" s="1822"/>
      <c r="E49" s="1822"/>
      <c r="F49" s="562" t="s">
        <v>315</v>
      </c>
      <c r="G49" s="562" t="s">
        <v>1375</v>
      </c>
      <c r="H49" s="562" t="s">
        <v>313</v>
      </c>
      <c r="I49" s="562" t="s">
        <v>4957</v>
      </c>
      <c r="J49" s="604"/>
      <c r="K49" s="562"/>
      <c r="L49" s="604"/>
      <c r="M49" s="603"/>
      <c r="N49" s="602"/>
      <c r="AB49" s="537" t="s">
        <v>348</v>
      </c>
    </row>
    <row r="50" spans="1:30" s="536" customFormat="1" x14ac:dyDescent="0.2">
      <c r="A50" s="605"/>
      <c r="B50" s="552"/>
      <c r="C50" s="1828" t="s">
        <v>318</v>
      </c>
      <c r="D50" s="1828"/>
      <c r="E50" s="1828"/>
      <c r="F50" s="608"/>
      <c r="G50" s="608"/>
      <c r="H50" s="608"/>
      <c r="I50" s="608"/>
      <c r="J50" s="607">
        <v>3528.33</v>
      </c>
      <c r="K50" s="608"/>
      <c r="L50" s="607">
        <v>42.67</v>
      </c>
      <c r="M50" s="601"/>
      <c r="N50" s="606"/>
      <c r="AC50" s="537" t="s">
        <v>318</v>
      </c>
    </row>
    <row r="51" spans="1:30" s="536" customFormat="1" x14ac:dyDescent="0.2">
      <c r="A51" s="605"/>
      <c r="B51" s="552"/>
      <c r="C51" s="1822" t="s">
        <v>319</v>
      </c>
      <c r="D51" s="1822"/>
      <c r="E51" s="1822"/>
      <c r="F51" s="562"/>
      <c r="G51" s="562"/>
      <c r="H51" s="562"/>
      <c r="I51" s="562"/>
      <c r="J51" s="604"/>
      <c r="K51" s="562"/>
      <c r="L51" s="604">
        <v>16.55</v>
      </c>
      <c r="M51" s="603"/>
      <c r="N51" s="602"/>
      <c r="AB51" s="537" t="s">
        <v>319</v>
      </c>
    </row>
    <row r="52" spans="1:30" s="536" customFormat="1" ht="33.75" x14ac:dyDescent="0.2">
      <c r="A52" s="605"/>
      <c r="B52" s="552" t="s">
        <v>686</v>
      </c>
      <c r="C52" s="1822" t="s">
        <v>687</v>
      </c>
      <c r="D52" s="1822"/>
      <c r="E52" s="1822"/>
      <c r="F52" s="562" t="s">
        <v>322</v>
      </c>
      <c r="G52" s="562" t="s">
        <v>680</v>
      </c>
      <c r="H52" s="562"/>
      <c r="I52" s="562" t="s">
        <v>680</v>
      </c>
      <c r="J52" s="604"/>
      <c r="K52" s="562"/>
      <c r="L52" s="604">
        <v>16.88</v>
      </c>
      <c r="M52" s="603"/>
      <c r="N52" s="602"/>
      <c r="AB52" s="537" t="s">
        <v>687</v>
      </c>
    </row>
    <row r="53" spans="1:30" s="536" customFormat="1" ht="33.75" x14ac:dyDescent="0.2">
      <c r="A53" s="605"/>
      <c r="B53" s="552" t="s">
        <v>688</v>
      </c>
      <c r="C53" s="1822" t="s">
        <v>689</v>
      </c>
      <c r="D53" s="1822"/>
      <c r="E53" s="1822"/>
      <c r="F53" s="562" t="s">
        <v>322</v>
      </c>
      <c r="G53" s="562" t="s">
        <v>690</v>
      </c>
      <c r="H53" s="562"/>
      <c r="I53" s="562" t="s">
        <v>690</v>
      </c>
      <c r="J53" s="604"/>
      <c r="K53" s="562"/>
      <c r="L53" s="604">
        <v>9.6</v>
      </c>
      <c r="M53" s="603"/>
      <c r="N53" s="602"/>
      <c r="AB53" s="537" t="s">
        <v>689</v>
      </c>
    </row>
    <row r="54" spans="1:30" s="536" customFormat="1" x14ac:dyDescent="0.2">
      <c r="A54" s="569"/>
      <c r="B54" s="671"/>
      <c r="C54" s="1823" t="s">
        <v>327</v>
      </c>
      <c r="D54" s="1823"/>
      <c r="E54" s="1823"/>
      <c r="F54" s="573"/>
      <c r="G54" s="573"/>
      <c r="H54" s="573"/>
      <c r="I54" s="573"/>
      <c r="J54" s="572"/>
      <c r="K54" s="573"/>
      <c r="L54" s="572">
        <v>69.150000000000006</v>
      </c>
      <c r="M54" s="601"/>
      <c r="N54" s="570"/>
      <c r="AD54" s="537" t="s">
        <v>327</v>
      </c>
    </row>
    <row r="55" spans="1:30" s="536" customFormat="1" ht="22.5" x14ac:dyDescent="0.2">
      <c r="A55" s="575" t="s">
        <v>186</v>
      </c>
      <c r="B55" s="670" t="s">
        <v>1377</v>
      </c>
      <c r="C55" s="1823" t="s">
        <v>1378</v>
      </c>
      <c r="D55" s="1823"/>
      <c r="E55" s="1823"/>
      <c r="F55" s="573" t="s">
        <v>641</v>
      </c>
      <c r="G55" s="573"/>
      <c r="H55" s="573"/>
      <c r="I55" s="573" t="s">
        <v>4955</v>
      </c>
      <c r="J55" s="572">
        <v>560</v>
      </c>
      <c r="K55" s="573"/>
      <c r="L55" s="572">
        <v>582.62</v>
      </c>
      <c r="M55" s="571"/>
      <c r="N55" s="570"/>
      <c r="W55" s="537" t="s">
        <v>1378</v>
      </c>
    </row>
    <row r="56" spans="1:30" s="536" customFormat="1" x14ac:dyDescent="0.2">
      <c r="A56" s="569"/>
      <c r="B56" s="671"/>
      <c r="C56" s="665" t="s">
        <v>717</v>
      </c>
      <c r="D56" s="666"/>
      <c r="E56" s="666"/>
      <c r="F56" s="563"/>
      <c r="G56" s="563"/>
      <c r="H56" s="563"/>
      <c r="I56" s="563"/>
      <c r="J56" s="566"/>
      <c r="K56" s="563"/>
      <c r="L56" s="566"/>
      <c r="M56" s="565"/>
      <c r="N56" s="564"/>
    </row>
    <row r="57" spans="1:30" s="536" customFormat="1" ht="22.5" x14ac:dyDescent="0.2">
      <c r="A57" s="575" t="s">
        <v>187</v>
      </c>
      <c r="B57" s="670" t="s">
        <v>1380</v>
      </c>
      <c r="C57" s="1823" t="s">
        <v>1381</v>
      </c>
      <c r="D57" s="1823"/>
      <c r="E57" s="1823"/>
      <c r="F57" s="573" t="s">
        <v>509</v>
      </c>
      <c r="G57" s="573"/>
      <c r="H57" s="573"/>
      <c r="I57" s="573" t="s">
        <v>3056</v>
      </c>
      <c r="J57" s="572"/>
      <c r="K57" s="573"/>
      <c r="L57" s="572"/>
      <c r="M57" s="571"/>
      <c r="N57" s="570"/>
      <c r="W57" s="537" t="s">
        <v>1381</v>
      </c>
    </row>
    <row r="58" spans="1:30" s="536" customFormat="1" x14ac:dyDescent="0.2">
      <c r="A58" s="676"/>
      <c r="B58" s="664"/>
      <c r="C58" s="1822" t="s">
        <v>4958</v>
      </c>
      <c r="D58" s="1822"/>
      <c r="E58" s="1822"/>
      <c r="F58" s="1822"/>
      <c r="G58" s="1822"/>
      <c r="H58" s="1822"/>
      <c r="I58" s="1822"/>
      <c r="J58" s="1822"/>
      <c r="K58" s="1822"/>
      <c r="L58" s="1822"/>
      <c r="M58" s="1822"/>
      <c r="N58" s="1827"/>
      <c r="X58" s="537" t="s">
        <v>4958</v>
      </c>
    </row>
    <row r="59" spans="1:30" s="536" customFormat="1" ht="33.75" x14ac:dyDescent="0.2">
      <c r="A59" s="609"/>
      <c r="B59" s="552" t="s">
        <v>310</v>
      </c>
      <c r="C59" s="1822" t="s">
        <v>311</v>
      </c>
      <c r="D59" s="1822"/>
      <c r="E59" s="1822"/>
      <c r="F59" s="1822"/>
      <c r="G59" s="1822"/>
      <c r="H59" s="1822"/>
      <c r="I59" s="1822"/>
      <c r="J59" s="1822"/>
      <c r="K59" s="1822"/>
      <c r="L59" s="1822"/>
      <c r="M59" s="1822"/>
      <c r="N59" s="1827"/>
      <c r="Y59" s="537" t="s">
        <v>311</v>
      </c>
    </row>
    <row r="60" spans="1:30" s="536" customFormat="1" x14ac:dyDescent="0.2">
      <c r="A60" s="605"/>
      <c r="B60" s="552" t="s">
        <v>185</v>
      </c>
      <c r="C60" s="1822" t="s">
        <v>312</v>
      </c>
      <c r="D60" s="1822"/>
      <c r="E60" s="1822"/>
      <c r="F60" s="562"/>
      <c r="G60" s="562"/>
      <c r="H60" s="562"/>
      <c r="I60" s="562"/>
      <c r="J60" s="604">
        <v>1526.87</v>
      </c>
      <c r="K60" s="562" t="s">
        <v>313</v>
      </c>
      <c r="L60" s="604">
        <v>51.53</v>
      </c>
      <c r="M60" s="603"/>
      <c r="N60" s="602"/>
      <c r="Z60" s="537" t="s">
        <v>312</v>
      </c>
    </row>
    <row r="61" spans="1:30" s="536" customFormat="1" x14ac:dyDescent="0.2">
      <c r="A61" s="605"/>
      <c r="B61" s="552" t="s">
        <v>186</v>
      </c>
      <c r="C61" s="1822" t="s">
        <v>344</v>
      </c>
      <c r="D61" s="1822"/>
      <c r="E61" s="1822"/>
      <c r="F61" s="562"/>
      <c r="G61" s="562"/>
      <c r="H61" s="562"/>
      <c r="I61" s="562"/>
      <c r="J61" s="604">
        <v>2518.58</v>
      </c>
      <c r="K61" s="562" t="s">
        <v>313</v>
      </c>
      <c r="L61" s="604">
        <v>85</v>
      </c>
      <c r="M61" s="603"/>
      <c r="N61" s="602"/>
      <c r="Z61" s="537" t="s">
        <v>344</v>
      </c>
    </row>
    <row r="62" spans="1:30" s="536" customFormat="1" x14ac:dyDescent="0.2">
      <c r="A62" s="605"/>
      <c r="B62" s="552" t="s">
        <v>187</v>
      </c>
      <c r="C62" s="1822" t="s">
        <v>345</v>
      </c>
      <c r="D62" s="1822"/>
      <c r="E62" s="1822"/>
      <c r="F62" s="562"/>
      <c r="G62" s="562"/>
      <c r="H62" s="562"/>
      <c r="I62" s="562"/>
      <c r="J62" s="604">
        <v>382.14</v>
      </c>
      <c r="K62" s="562" t="s">
        <v>313</v>
      </c>
      <c r="L62" s="604">
        <v>12.9</v>
      </c>
      <c r="M62" s="603"/>
      <c r="N62" s="602"/>
      <c r="Z62" s="537" t="s">
        <v>345</v>
      </c>
    </row>
    <row r="63" spans="1:30" s="536" customFormat="1" x14ac:dyDescent="0.2">
      <c r="A63" s="605"/>
      <c r="B63" s="552" t="s">
        <v>188</v>
      </c>
      <c r="C63" s="1822" t="s">
        <v>475</v>
      </c>
      <c r="D63" s="1822"/>
      <c r="E63" s="1822"/>
      <c r="F63" s="562"/>
      <c r="G63" s="562"/>
      <c r="H63" s="562"/>
      <c r="I63" s="562"/>
      <c r="J63" s="604">
        <v>488.42</v>
      </c>
      <c r="K63" s="562"/>
      <c r="L63" s="604">
        <v>13.19</v>
      </c>
      <c r="M63" s="603"/>
      <c r="N63" s="602"/>
      <c r="Z63" s="537" t="s">
        <v>475</v>
      </c>
    </row>
    <row r="64" spans="1:30" s="536" customFormat="1" x14ac:dyDescent="0.2">
      <c r="A64" s="676"/>
      <c r="B64" s="677" t="s">
        <v>639</v>
      </c>
      <c r="C64" s="1829" t="s">
        <v>640</v>
      </c>
      <c r="D64" s="1829"/>
      <c r="E64" s="1829"/>
      <c r="F64" s="678" t="s">
        <v>641</v>
      </c>
      <c r="G64" s="678" t="s">
        <v>1384</v>
      </c>
      <c r="H64" s="678"/>
      <c r="I64" s="678" t="s">
        <v>4959</v>
      </c>
      <c r="J64" s="552"/>
      <c r="K64" s="562"/>
      <c r="L64" s="604"/>
      <c r="M64" s="562"/>
      <c r="N64" s="679"/>
      <c r="AA64" s="537" t="s">
        <v>640</v>
      </c>
    </row>
    <row r="65" spans="1:31" s="536" customFormat="1" x14ac:dyDescent="0.2">
      <c r="A65" s="676"/>
      <c r="B65" s="677" t="s">
        <v>1272</v>
      </c>
      <c r="C65" s="1829" t="s">
        <v>1273</v>
      </c>
      <c r="D65" s="1829"/>
      <c r="E65" s="1829"/>
      <c r="F65" s="678" t="s">
        <v>694</v>
      </c>
      <c r="G65" s="678" t="s">
        <v>1386</v>
      </c>
      <c r="H65" s="678"/>
      <c r="I65" s="678" t="s">
        <v>4960</v>
      </c>
      <c r="J65" s="552"/>
      <c r="K65" s="562"/>
      <c r="L65" s="604"/>
      <c r="M65" s="562"/>
      <c r="N65" s="679"/>
      <c r="AA65" s="537" t="s">
        <v>1273</v>
      </c>
    </row>
    <row r="66" spans="1:31" s="536" customFormat="1" x14ac:dyDescent="0.2">
      <c r="A66" s="605"/>
      <c r="B66" s="552"/>
      <c r="C66" s="1822" t="s">
        <v>314</v>
      </c>
      <c r="D66" s="1822"/>
      <c r="E66" s="1822"/>
      <c r="F66" s="562" t="s">
        <v>315</v>
      </c>
      <c r="G66" s="562" t="s">
        <v>1388</v>
      </c>
      <c r="H66" s="562" t="s">
        <v>313</v>
      </c>
      <c r="I66" s="562" t="s">
        <v>4961</v>
      </c>
      <c r="J66" s="604"/>
      <c r="K66" s="562"/>
      <c r="L66" s="604"/>
      <c r="M66" s="603"/>
      <c r="N66" s="602"/>
      <c r="AB66" s="537" t="s">
        <v>314</v>
      </c>
    </row>
    <row r="67" spans="1:31" s="536" customFormat="1" x14ac:dyDescent="0.2">
      <c r="A67" s="605"/>
      <c r="B67" s="552"/>
      <c r="C67" s="1822" t="s">
        <v>348</v>
      </c>
      <c r="D67" s="1822"/>
      <c r="E67" s="1822"/>
      <c r="F67" s="562" t="s">
        <v>315</v>
      </c>
      <c r="G67" s="562" t="s">
        <v>1390</v>
      </c>
      <c r="H67" s="562" t="s">
        <v>313</v>
      </c>
      <c r="I67" s="562" t="s">
        <v>4962</v>
      </c>
      <c r="J67" s="604"/>
      <c r="K67" s="562"/>
      <c r="L67" s="604"/>
      <c r="M67" s="603"/>
      <c r="N67" s="602"/>
      <c r="AB67" s="537" t="s">
        <v>348</v>
      </c>
    </row>
    <row r="68" spans="1:31" s="536" customFormat="1" x14ac:dyDescent="0.2">
      <c r="A68" s="605"/>
      <c r="B68" s="552"/>
      <c r="C68" s="1828" t="s">
        <v>318</v>
      </c>
      <c r="D68" s="1828"/>
      <c r="E68" s="1828"/>
      <c r="F68" s="608"/>
      <c r="G68" s="608"/>
      <c r="H68" s="608"/>
      <c r="I68" s="608"/>
      <c r="J68" s="607">
        <v>4533.87</v>
      </c>
      <c r="K68" s="608"/>
      <c r="L68" s="607">
        <v>149.72</v>
      </c>
      <c r="M68" s="601"/>
      <c r="N68" s="606"/>
      <c r="AC68" s="537" t="s">
        <v>318</v>
      </c>
    </row>
    <row r="69" spans="1:31" s="536" customFormat="1" x14ac:dyDescent="0.2">
      <c r="A69" s="605"/>
      <c r="B69" s="552"/>
      <c r="C69" s="1822" t="s">
        <v>319</v>
      </c>
      <c r="D69" s="1822"/>
      <c r="E69" s="1822"/>
      <c r="F69" s="562"/>
      <c r="G69" s="562"/>
      <c r="H69" s="562"/>
      <c r="I69" s="562"/>
      <c r="J69" s="604"/>
      <c r="K69" s="562"/>
      <c r="L69" s="604">
        <v>64.430000000000007</v>
      </c>
      <c r="M69" s="603"/>
      <c r="N69" s="602"/>
      <c r="AB69" s="537" t="s">
        <v>319</v>
      </c>
    </row>
    <row r="70" spans="1:31" s="536" customFormat="1" ht="33.75" x14ac:dyDescent="0.2">
      <c r="A70" s="605"/>
      <c r="B70" s="552" t="s">
        <v>686</v>
      </c>
      <c r="C70" s="1822" t="s">
        <v>687</v>
      </c>
      <c r="D70" s="1822"/>
      <c r="E70" s="1822"/>
      <c r="F70" s="562" t="s">
        <v>322</v>
      </c>
      <c r="G70" s="562" t="s">
        <v>680</v>
      </c>
      <c r="H70" s="562"/>
      <c r="I70" s="562" t="s">
        <v>680</v>
      </c>
      <c r="J70" s="604"/>
      <c r="K70" s="562"/>
      <c r="L70" s="604">
        <v>65.72</v>
      </c>
      <c r="M70" s="603"/>
      <c r="N70" s="602"/>
      <c r="AB70" s="537" t="s">
        <v>687</v>
      </c>
    </row>
    <row r="71" spans="1:31" s="536" customFormat="1" ht="33.75" x14ac:dyDescent="0.2">
      <c r="A71" s="605"/>
      <c r="B71" s="552" t="s">
        <v>688</v>
      </c>
      <c r="C71" s="1822" t="s">
        <v>689</v>
      </c>
      <c r="D71" s="1822"/>
      <c r="E71" s="1822"/>
      <c r="F71" s="562" t="s">
        <v>322</v>
      </c>
      <c r="G71" s="562" t="s">
        <v>690</v>
      </c>
      <c r="H71" s="562"/>
      <c r="I71" s="562" t="s">
        <v>690</v>
      </c>
      <c r="J71" s="604"/>
      <c r="K71" s="562"/>
      <c r="L71" s="604">
        <v>37.369999999999997</v>
      </c>
      <c r="M71" s="603"/>
      <c r="N71" s="602"/>
      <c r="AB71" s="537" t="s">
        <v>689</v>
      </c>
    </row>
    <row r="72" spans="1:31" s="536" customFormat="1" x14ac:dyDescent="0.2">
      <c r="A72" s="569"/>
      <c r="B72" s="671"/>
      <c r="C72" s="1823" t="s">
        <v>327</v>
      </c>
      <c r="D72" s="1823"/>
      <c r="E72" s="1823"/>
      <c r="F72" s="573"/>
      <c r="G72" s="573"/>
      <c r="H72" s="573"/>
      <c r="I72" s="573"/>
      <c r="J72" s="572"/>
      <c r="K72" s="573"/>
      <c r="L72" s="572">
        <v>252.81</v>
      </c>
      <c r="M72" s="601"/>
      <c r="N72" s="570"/>
      <c r="AD72" s="537" t="s">
        <v>327</v>
      </c>
    </row>
    <row r="73" spans="1:31" s="536" customFormat="1" ht="22.5" x14ac:dyDescent="0.2">
      <c r="A73" s="575" t="s">
        <v>188</v>
      </c>
      <c r="B73" s="670" t="s">
        <v>1392</v>
      </c>
      <c r="C73" s="1823" t="s">
        <v>1393</v>
      </c>
      <c r="D73" s="1823"/>
      <c r="E73" s="1823"/>
      <c r="F73" s="573" t="s">
        <v>641</v>
      </c>
      <c r="G73" s="573"/>
      <c r="H73" s="573"/>
      <c r="I73" s="573" t="s">
        <v>4959</v>
      </c>
      <c r="J73" s="572">
        <v>725.69</v>
      </c>
      <c r="K73" s="573"/>
      <c r="L73" s="572">
        <v>1988.75</v>
      </c>
      <c r="M73" s="571"/>
      <c r="N73" s="570"/>
      <c r="W73" s="537" t="s">
        <v>1393</v>
      </c>
    </row>
    <row r="74" spans="1:31" s="536" customFormat="1" x14ac:dyDescent="0.2">
      <c r="A74" s="569"/>
      <c r="B74" s="671"/>
      <c r="C74" s="665" t="s">
        <v>717</v>
      </c>
      <c r="D74" s="666"/>
      <c r="E74" s="666"/>
      <c r="F74" s="563"/>
      <c r="G74" s="563"/>
      <c r="H74" s="563"/>
      <c r="I74" s="563"/>
      <c r="J74" s="566"/>
      <c r="K74" s="563"/>
      <c r="L74" s="566"/>
      <c r="M74" s="565"/>
      <c r="N74" s="564"/>
    </row>
    <row r="75" spans="1:31" s="536" customFormat="1" ht="33.75" x14ac:dyDescent="0.2">
      <c r="A75" s="575" t="s">
        <v>189</v>
      </c>
      <c r="B75" s="670" t="s">
        <v>657</v>
      </c>
      <c r="C75" s="1823" t="s">
        <v>3300</v>
      </c>
      <c r="D75" s="1823"/>
      <c r="E75" s="1823"/>
      <c r="F75" s="573" t="s">
        <v>641</v>
      </c>
      <c r="G75" s="573"/>
      <c r="H75" s="573"/>
      <c r="I75" s="573" t="s">
        <v>1217</v>
      </c>
      <c r="J75" s="572">
        <v>9.69</v>
      </c>
      <c r="K75" s="573"/>
      <c r="L75" s="572">
        <v>26.16</v>
      </c>
      <c r="M75" s="571"/>
      <c r="N75" s="570"/>
      <c r="W75" s="537" t="s">
        <v>3300</v>
      </c>
    </row>
    <row r="76" spans="1:31" s="536" customFormat="1" x14ac:dyDescent="0.2">
      <c r="A76" s="569"/>
      <c r="B76" s="671"/>
      <c r="C76" s="665" t="s">
        <v>717</v>
      </c>
      <c r="D76" s="666"/>
      <c r="E76" s="666"/>
      <c r="F76" s="563"/>
      <c r="G76" s="563"/>
      <c r="H76" s="563"/>
      <c r="I76" s="563"/>
      <c r="J76" s="566"/>
      <c r="K76" s="563"/>
      <c r="L76" s="566"/>
      <c r="M76" s="565"/>
      <c r="N76" s="564"/>
    </row>
    <row r="77" spans="1:31" s="536" customFormat="1" x14ac:dyDescent="0.2">
      <c r="A77" s="676"/>
      <c r="B77" s="664"/>
      <c r="C77" s="1822" t="s">
        <v>1399</v>
      </c>
      <c r="D77" s="1822"/>
      <c r="E77" s="1822"/>
      <c r="F77" s="1822"/>
      <c r="G77" s="1822"/>
      <c r="H77" s="1822"/>
      <c r="I77" s="1822"/>
      <c r="J77" s="1822"/>
      <c r="K77" s="1822"/>
      <c r="L77" s="1822"/>
      <c r="M77" s="1822"/>
      <c r="N77" s="1827"/>
      <c r="AE77" s="537" t="s">
        <v>1399</v>
      </c>
    </row>
    <row r="78" spans="1:31" s="536" customFormat="1" ht="22.5" x14ac:dyDescent="0.2">
      <c r="A78" s="575" t="s">
        <v>190</v>
      </c>
      <c r="B78" s="670" t="s">
        <v>1400</v>
      </c>
      <c r="C78" s="1823" t="s">
        <v>1401</v>
      </c>
      <c r="D78" s="1823"/>
      <c r="E78" s="1823"/>
      <c r="F78" s="573" t="s">
        <v>694</v>
      </c>
      <c r="G78" s="573"/>
      <c r="H78" s="573"/>
      <c r="I78" s="573" t="s">
        <v>4963</v>
      </c>
      <c r="J78" s="572">
        <v>5584.58</v>
      </c>
      <c r="K78" s="573"/>
      <c r="L78" s="572">
        <v>1314.61</v>
      </c>
      <c r="M78" s="571"/>
      <c r="N78" s="570"/>
      <c r="W78" s="537" t="s">
        <v>1401</v>
      </c>
    </row>
    <row r="79" spans="1:31" s="536" customFormat="1" x14ac:dyDescent="0.2">
      <c r="A79" s="569"/>
      <c r="B79" s="671"/>
      <c r="C79" s="665" t="s">
        <v>717</v>
      </c>
      <c r="D79" s="666"/>
      <c r="E79" s="666"/>
      <c r="F79" s="563"/>
      <c r="G79" s="563"/>
      <c r="H79" s="563"/>
      <c r="I79" s="563"/>
      <c r="J79" s="566"/>
      <c r="K79" s="563"/>
      <c r="L79" s="566"/>
      <c r="M79" s="565"/>
      <c r="N79" s="564"/>
    </row>
    <row r="80" spans="1:31" s="536" customFormat="1" x14ac:dyDescent="0.2">
      <c r="A80" s="676"/>
      <c r="B80" s="664"/>
      <c r="C80" s="1822" t="s">
        <v>4964</v>
      </c>
      <c r="D80" s="1822"/>
      <c r="E80" s="1822"/>
      <c r="F80" s="1822"/>
      <c r="G80" s="1822"/>
      <c r="H80" s="1822"/>
      <c r="I80" s="1822"/>
      <c r="J80" s="1822"/>
      <c r="K80" s="1822"/>
      <c r="L80" s="1822"/>
      <c r="M80" s="1822"/>
      <c r="N80" s="1827"/>
      <c r="X80" s="537" t="s">
        <v>4964</v>
      </c>
    </row>
    <row r="81" spans="1:30" s="536" customFormat="1" ht="33.75" x14ac:dyDescent="0.2">
      <c r="A81" s="575" t="s">
        <v>191</v>
      </c>
      <c r="B81" s="670" t="s">
        <v>1416</v>
      </c>
      <c r="C81" s="1823" t="s">
        <v>1417</v>
      </c>
      <c r="D81" s="1823"/>
      <c r="E81" s="1823"/>
      <c r="F81" s="573" t="s">
        <v>862</v>
      </c>
      <c r="G81" s="573"/>
      <c r="H81" s="573"/>
      <c r="I81" s="573" t="s">
        <v>4052</v>
      </c>
      <c r="J81" s="572"/>
      <c r="K81" s="573"/>
      <c r="L81" s="572"/>
      <c r="M81" s="571"/>
      <c r="N81" s="570"/>
      <c r="W81" s="537" t="s">
        <v>1417</v>
      </c>
    </row>
    <row r="82" spans="1:30" s="536" customFormat="1" x14ac:dyDescent="0.2">
      <c r="A82" s="676"/>
      <c r="B82" s="664"/>
      <c r="C82" s="1822" t="s">
        <v>4056</v>
      </c>
      <c r="D82" s="1822"/>
      <c r="E82" s="1822"/>
      <c r="F82" s="1822"/>
      <c r="G82" s="1822"/>
      <c r="H82" s="1822"/>
      <c r="I82" s="1822"/>
      <c r="J82" s="1822"/>
      <c r="K82" s="1822"/>
      <c r="L82" s="1822"/>
      <c r="M82" s="1822"/>
      <c r="N82" s="1827"/>
      <c r="X82" s="537" t="s">
        <v>4056</v>
      </c>
    </row>
    <row r="83" spans="1:30" s="536" customFormat="1" ht="33.75" x14ac:dyDescent="0.2">
      <c r="A83" s="609"/>
      <c r="B83" s="552" t="s">
        <v>310</v>
      </c>
      <c r="C83" s="1822" t="s">
        <v>311</v>
      </c>
      <c r="D83" s="1822"/>
      <c r="E83" s="1822"/>
      <c r="F83" s="1822"/>
      <c r="G83" s="1822"/>
      <c r="H83" s="1822"/>
      <c r="I83" s="1822"/>
      <c r="J83" s="1822"/>
      <c r="K83" s="1822"/>
      <c r="L83" s="1822"/>
      <c r="M83" s="1822"/>
      <c r="N83" s="1827"/>
      <c r="Y83" s="537" t="s">
        <v>311</v>
      </c>
    </row>
    <row r="84" spans="1:30" s="536" customFormat="1" x14ac:dyDescent="0.2">
      <c r="A84" s="605"/>
      <c r="B84" s="552" t="s">
        <v>185</v>
      </c>
      <c r="C84" s="1822" t="s">
        <v>312</v>
      </c>
      <c r="D84" s="1822"/>
      <c r="E84" s="1822"/>
      <c r="F84" s="562"/>
      <c r="G84" s="562"/>
      <c r="H84" s="562"/>
      <c r="I84" s="562"/>
      <c r="J84" s="604">
        <v>170.01</v>
      </c>
      <c r="K84" s="562" t="s">
        <v>313</v>
      </c>
      <c r="L84" s="604">
        <v>26.78</v>
      </c>
      <c r="M84" s="603"/>
      <c r="N84" s="602"/>
      <c r="Z84" s="537" t="s">
        <v>312</v>
      </c>
    </row>
    <row r="85" spans="1:30" s="536" customFormat="1" x14ac:dyDescent="0.2">
      <c r="A85" s="605"/>
      <c r="B85" s="552" t="s">
        <v>186</v>
      </c>
      <c r="C85" s="1822" t="s">
        <v>344</v>
      </c>
      <c r="D85" s="1822"/>
      <c r="E85" s="1822"/>
      <c r="F85" s="562"/>
      <c r="G85" s="562"/>
      <c r="H85" s="562"/>
      <c r="I85" s="562"/>
      <c r="J85" s="604">
        <v>38.6</v>
      </c>
      <c r="K85" s="562" t="s">
        <v>313</v>
      </c>
      <c r="L85" s="604">
        <v>6.08</v>
      </c>
      <c r="M85" s="603"/>
      <c r="N85" s="602"/>
      <c r="Z85" s="537" t="s">
        <v>344</v>
      </c>
    </row>
    <row r="86" spans="1:30" s="536" customFormat="1" x14ac:dyDescent="0.2">
      <c r="A86" s="605"/>
      <c r="B86" s="552" t="s">
        <v>187</v>
      </c>
      <c r="C86" s="1822" t="s">
        <v>345</v>
      </c>
      <c r="D86" s="1822"/>
      <c r="E86" s="1822"/>
      <c r="F86" s="562"/>
      <c r="G86" s="562"/>
      <c r="H86" s="562"/>
      <c r="I86" s="562"/>
      <c r="J86" s="604">
        <v>9.2899999999999991</v>
      </c>
      <c r="K86" s="562" t="s">
        <v>313</v>
      </c>
      <c r="L86" s="604">
        <v>1.46</v>
      </c>
      <c r="M86" s="603"/>
      <c r="N86" s="602"/>
      <c r="Z86" s="537" t="s">
        <v>345</v>
      </c>
    </row>
    <row r="87" spans="1:30" s="536" customFormat="1" x14ac:dyDescent="0.2">
      <c r="A87" s="605"/>
      <c r="B87" s="552" t="s">
        <v>188</v>
      </c>
      <c r="C87" s="1822" t="s">
        <v>475</v>
      </c>
      <c r="D87" s="1822"/>
      <c r="E87" s="1822"/>
      <c r="F87" s="562"/>
      <c r="G87" s="562"/>
      <c r="H87" s="562"/>
      <c r="I87" s="562"/>
      <c r="J87" s="604">
        <v>0.91</v>
      </c>
      <c r="K87" s="562"/>
      <c r="L87" s="604">
        <v>0.11</v>
      </c>
      <c r="M87" s="603"/>
      <c r="N87" s="602"/>
      <c r="Z87" s="537" t="s">
        <v>475</v>
      </c>
    </row>
    <row r="88" spans="1:30" s="536" customFormat="1" x14ac:dyDescent="0.2">
      <c r="A88" s="676"/>
      <c r="B88" s="677" t="s">
        <v>1420</v>
      </c>
      <c r="C88" s="1829" t="s">
        <v>1421</v>
      </c>
      <c r="D88" s="1829"/>
      <c r="E88" s="1829"/>
      <c r="F88" s="678" t="s">
        <v>694</v>
      </c>
      <c r="G88" s="678" t="s">
        <v>1422</v>
      </c>
      <c r="H88" s="678"/>
      <c r="I88" s="678" t="s">
        <v>4965</v>
      </c>
      <c r="J88" s="552"/>
      <c r="K88" s="562"/>
      <c r="L88" s="604"/>
      <c r="M88" s="562"/>
      <c r="N88" s="679"/>
      <c r="AA88" s="537" t="s">
        <v>1421</v>
      </c>
    </row>
    <row r="89" spans="1:30" s="536" customFormat="1" x14ac:dyDescent="0.2">
      <c r="A89" s="605"/>
      <c r="B89" s="552"/>
      <c r="C89" s="1822" t="s">
        <v>314</v>
      </c>
      <c r="D89" s="1822"/>
      <c r="E89" s="1822"/>
      <c r="F89" s="562" t="s">
        <v>315</v>
      </c>
      <c r="G89" s="562" t="s">
        <v>1424</v>
      </c>
      <c r="H89" s="562" t="s">
        <v>313</v>
      </c>
      <c r="I89" s="562" t="s">
        <v>4966</v>
      </c>
      <c r="J89" s="604"/>
      <c r="K89" s="562"/>
      <c r="L89" s="604"/>
      <c r="M89" s="603"/>
      <c r="N89" s="602"/>
      <c r="AB89" s="537" t="s">
        <v>314</v>
      </c>
    </row>
    <row r="90" spans="1:30" s="536" customFormat="1" x14ac:dyDescent="0.2">
      <c r="A90" s="605"/>
      <c r="B90" s="552"/>
      <c r="C90" s="1822" t="s">
        <v>348</v>
      </c>
      <c r="D90" s="1822"/>
      <c r="E90" s="1822"/>
      <c r="F90" s="562" t="s">
        <v>315</v>
      </c>
      <c r="G90" s="562" t="s">
        <v>524</v>
      </c>
      <c r="H90" s="562" t="s">
        <v>313</v>
      </c>
      <c r="I90" s="562" t="s">
        <v>4967</v>
      </c>
      <c r="J90" s="604"/>
      <c r="K90" s="562"/>
      <c r="L90" s="604"/>
      <c r="M90" s="603"/>
      <c r="N90" s="602"/>
      <c r="AB90" s="537" t="s">
        <v>348</v>
      </c>
    </row>
    <row r="91" spans="1:30" s="536" customFormat="1" x14ac:dyDescent="0.2">
      <c r="A91" s="605"/>
      <c r="B91" s="552"/>
      <c r="C91" s="1828" t="s">
        <v>318</v>
      </c>
      <c r="D91" s="1828"/>
      <c r="E91" s="1828"/>
      <c r="F91" s="608"/>
      <c r="G91" s="608"/>
      <c r="H91" s="608"/>
      <c r="I91" s="608"/>
      <c r="J91" s="607">
        <v>209.52</v>
      </c>
      <c r="K91" s="608"/>
      <c r="L91" s="607">
        <v>32.97</v>
      </c>
      <c r="M91" s="601"/>
      <c r="N91" s="606"/>
      <c r="AC91" s="537" t="s">
        <v>318</v>
      </c>
    </row>
    <row r="92" spans="1:30" s="536" customFormat="1" x14ac:dyDescent="0.2">
      <c r="A92" s="605"/>
      <c r="B92" s="552"/>
      <c r="C92" s="1822" t="s">
        <v>319</v>
      </c>
      <c r="D92" s="1822"/>
      <c r="E92" s="1822"/>
      <c r="F92" s="562"/>
      <c r="G92" s="562"/>
      <c r="H92" s="562"/>
      <c r="I92" s="562"/>
      <c r="J92" s="604"/>
      <c r="K92" s="562"/>
      <c r="L92" s="604">
        <v>28.24</v>
      </c>
      <c r="M92" s="603"/>
      <c r="N92" s="602"/>
      <c r="AB92" s="537" t="s">
        <v>319</v>
      </c>
    </row>
    <row r="93" spans="1:30" s="536" customFormat="1" ht="33.75" x14ac:dyDescent="0.2">
      <c r="A93" s="605"/>
      <c r="B93" s="552" t="s">
        <v>1250</v>
      </c>
      <c r="C93" s="1822" t="s">
        <v>1251</v>
      </c>
      <c r="D93" s="1822"/>
      <c r="E93" s="1822"/>
      <c r="F93" s="562" t="s">
        <v>322</v>
      </c>
      <c r="G93" s="562" t="s">
        <v>1252</v>
      </c>
      <c r="H93" s="562"/>
      <c r="I93" s="562" t="s">
        <v>1252</v>
      </c>
      <c r="J93" s="604"/>
      <c r="K93" s="562"/>
      <c r="L93" s="604">
        <v>31.63</v>
      </c>
      <c r="M93" s="603"/>
      <c r="N93" s="602"/>
      <c r="AB93" s="537" t="s">
        <v>1251</v>
      </c>
    </row>
    <row r="94" spans="1:30" s="536" customFormat="1" ht="33.75" x14ac:dyDescent="0.2">
      <c r="A94" s="605"/>
      <c r="B94" s="552" t="s">
        <v>1253</v>
      </c>
      <c r="C94" s="1822" t="s">
        <v>1254</v>
      </c>
      <c r="D94" s="1822"/>
      <c r="E94" s="1822"/>
      <c r="F94" s="562" t="s">
        <v>322</v>
      </c>
      <c r="G94" s="562" t="s">
        <v>796</v>
      </c>
      <c r="H94" s="562"/>
      <c r="I94" s="562" t="s">
        <v>796</v>
      </c>
      <c r="J94" s="604"/>
      <c r="K94" s="562"/>
      <c r="L94" s="604">
        <v>18.36</v>
      </c>
      <c r="M94" s="603"/>
      <c r="N94" s="602"/>
      <c r="AB94" s="537" t="s">
        <v>1254</v>
      </c>
    </row>
    <row r="95" spans="1:30" s="536" customFormat="1" x14ac:dyDescent="0.2">
      <c r="A95" s="569"/>
      <c r="B95" s="671"/>
      <c r="C95" s="1823" t="s">
        <v>327</v>
      </c>
      <c r="D95" s="1823"/>
      <c r="E95" s="1823"/>
      <c r="F95" s="573"/>
      <c r="G95" s="573"/>
      <c r="H95" s="573"/>
      <c r="I95" s="573"/>
      <c r="J95" s="572"/>
      <c r="K95" s="573"/>
      <c r="L95" s="572">
        <v>82.96</v>
      </c>
      <c r="M95" s="601"/>
      <c r="N95" s="570"/>
      <c r="AD95" s="537" t="s">
        <v>327</v>
      </c>
    </row>
    <row r="96" spans="1:30" s="536" customFormat="1" ht="33.75" x14ac:dyDescent="0.2">
      <c r="A96" s="575" t="s">
        <v>192</v>
      </c>
      <c r="B96" s="670" t="s">
        <v>2126</v>
      </c>
      <c r="C96" s="1823" t="s">
        <v>2127</v>
      </c>
      <c r="D96" s="1823"/>
      <c r="E96" s="1823"/>
      <c r="F96" s="573" t="s">
        <v>862</v>
      </c>
      <c r="G96" s="573"/>
      <c r="H96" s="573"/>
      <c r="I96" s="573" t="s">
        <v>4052</v>
      </c>
      <c r="J96" s="572"/>
      <c r="K96" s="573"/>
      <c r="L96" s="572"/>
      <c r="M96" s="571"/>
      <c r="N96" s="570"/>
      <c r="W96" s="537" t="s">
        <v>2127</v>
      </c>
    </row>
    <row r="97" spans="1:30" s="536" customFormat="1" x14ac:dyDescent="0.2">
      <c r="A97" s="676"/>
      <c r="B97" s="664"/>
      <c r="C97" s="1822" t="s">
        <v>4056</v>
      </c>
      <c r="D97" s="1822"/>
      <c r="E97" s="1822"/>
      <c r="F97" s="1822"/>
      <c r="G97" s="1822"/>
      <c r="H97" s="1822"/>
      <c r="I97" s="1822"/>
      <c r="J97" s="1822"/>
      <c r="K97" s="1822"/>
      <c r="L97" s="1822"/>
      <c r="M97" s="1822"/>
      <c r="N97" s="1827"/>
      <c r="X97" s="537" t="s">
        <v>4056</v>
      </c>
    </row>
    <row r="98" spans="1:30" s="536" customFormat="1" ht="33.75" x14ac:dyDescent="0.2">
      <c r="A98" s="609"/>
      <c r="B98" s="552" t="s">
        <v>310</v>
      </c>
      <c r="C98" s="1822" t="s">
        <v>311</v>
      </c>
      <c r="D98" s="1822"/>
      <c r="E98" s="1822"/>
      <c r="F98" s="1822"/>
      <c r="G98" s="1822"/>
      <c r="H98" s="1822"/>
      <c r="I98" s="1822"/>
      <c r="J98" s="1822"/>
      <c r="K98" s="1822"/>
      <c r="L98" s="1822"/>
      <c r="M98" s="1822"/>
      <c r="N98" s="1827"/>
      <c r="Y98" s="537" t="s">
        <v>311</v>
      </c>
    </row>
    <row r="99" spans="1:30" s="536" customFormat="1" x14ac:dyDescent="0.2">
      <c r="A99" s="605"/>
      <c r="B99" s="552" t="s">
        <v>185</v>
      </c>
      <c r="C99" s="1822" t="s">
        <v>312</v>
      </c>
      <c r="D99" s="1822"/>
      <c r="E99" s="1822"/>
      <c r="F99" s="562"/>
      <c r="G99" s="562"/>
      <c r="H99" s="562"/>
      <c r="I99" s="562"/>
      <c r="J99" s="604">
        <v>53.82</v>
      </c>
      <c r="K99" s="562" t="s">
        <v>313</v>
      </c>
      <c r="L99" s="604">
        <v>8.48</v>
      </c>
      <c r="M99" s="603"/>
      <c r="N99" s="602"/>
      <c r="Z99" s="537" t="s">
        <v>312</v>
      </c>
    </row>
    <row r="100" spans="1:30" s="536" customFormat="1" x14ac:dyDescent="0.2">
      <c r="A100" s="605"/>
      <c r="B100" s="552" t="s">
        <v>186</v>
      </c>
      <c r="C100" s="1822" t="s">
        <v>344</v>
      </c>
      <c r="D100" s="1822"/>
      <c r="E100" s="1822"/>
      <c r="F100" s="562"/>
      <c r="G100" s="562"/>
      <c r="H100" s="562"/>
      <c r="I100" s="562"/>
      <c r="J100" s="604">
        <v>19.149999999999999</v>
      </c>
      <c r="K100" s="562" t="s">
        <v>313</v>
      </c>
      <c r="L100" s="604">
        <v>3.02</v>
      </c>
      <c r="M100" s="603"/>
      <c r="N100" s="602"/>
      <c r="Z100" s="537" t="s">
        <v>344</v>
      </c>
    </row>
    <row r="101" spans="1:30" s="536" customFormat="1" x14ac:dyDescent="0.2">
      <c r="A101" s="605"/>
      <c r="B101" s="552" t="s">
        <v>187</v>
      </c>
      <c r="C101" s="1822" t="s">
        <v>345</v>
      </c>
      <c r="D101" s="1822"/>
      <c r="E101" s="1822"/>
      <c r="F101" s="562"/>
      <c r="G101" s="562"/>
      <c r="H101" s="562"/>
      <c r="I101" s="562"/>
      <c r="J101" s="604">
        <v>4.58</v>
      </c>
      <c r="K101" s="562" t="s">
        <v>313</v>
      </c>
      <c r="L101" s="604">
        <v>0.72</v>
      </c>
      <c r="M101" s="603"/>
      <c r="N101" s="602"/>
      <c r="Z101" s="537" t="s">
        <v>345</v>
      </c>
    </row>
    <row r="102" spans="1:30" s="536" customFormat="1" x14ac:dyDescent="0.2">
      <c r="A102" s="605"/>
      <c r="B102" s="552" t="s">
        <v>188</v>
      </c>
      <c r="C102" s="1822" t="s">
        <v>475</v>
      </c>
      <c r="D102" s="1822"/>
      <c r="E102" s="1822"/>
      <c r="F102" s="562"/>
      <c r="G102" s="562"/>
      <c r="H102" s="562"/>
      <c r="I102" s="562"/>
      <c r="J102" s="604">
        <v>0.55000000000000004</v>
      </c>
      <c r="K102" s="562"/>
      <c r="L102" s="604">
        <v>7.0000000000000007E-2</v>
      </c>
      <c r="M102" s="603"/>
      <c r="N102" s="602"/>
      <c r="Z102" s="537" t="s">
        <v>475</v>
      </c>
    </row>
    <row r="103" spans="1:30" s="536" customFormat="1" x14ac:dyDescent="0.2">
      <c r="A103" s="676"/>
      <c r="B103" s="677" t="s">
        <v>1420</v>
      </c>
      <c r="C103" s="1829" t="s">
        <v>1421</v>
      </c>
      <c r="D103" s="1829"/>
      <c r="E103" s="1829"/>
      <c r="F103" s="678" t="s">
        <v>694</v>
      </c>
      <c r="G103" s="678" t="s">
        <v>646</v>
      </c>
      <c r="H103" s="678"/>
      <c r="I103" s="678" t="s">
        <v>4968</v>
      </c>
      <c r="J103" s="552"/>
      <c r="K103" s="562"/>
      <c r="L103" s="604"/>
      <c r="M103" s="562"/>
      <c r="N103" s="679"/>
      <c r="AA103" s="537" t="s">
        <v>1421</v>
      </c>
    </row>
    <row r="104" spans="1:30" s="536" customFormat="1" x14ac:dyDescent="0.2">
      <c r="A104" s="605"/>
      <c r="B104" s="552"/>
      <c r="C104" s="1822" t="s">
        <v>314</v>
      </c>
      <c r="D104" s="1822"/>
      <c r="E104" s="1822"/>
      <c r="F104" s="562" t="s">
        <v>315</v>
      </c>
      <c r="G104" s="562" t="s">
        <v>2129</v>
      </c>
      <c r="H104" s="562" t="s">
        <v>313</v>
      </c>
      <c r="I104" s="562" t="s">
        <v>4969</v>
      </c>
      <c r="J104" s="604"/>
      <c r="K104" s="562"/>
      <c r="L104" s="604"/>
      <c r="M104" s="603"/>
      <c r="N104" s="602"/>
      <c r="AB104" s="537" t="s">
        <v>314</v>
      </c>
    </row>
    <row r="105" spans="1:30" s="536" customFormat="1" x14ac:dyDescent="0.2">
      <c r="A105" s="605"/>
      <c r="B105" s="552"/>
      <c r="C105" s="1822" t="s">
        <v>348</v>
      </c>
      <c r="D105" s="1822"/>
      <c r="E105" s="1822"/>
      <c r="F105" s="562" t="s">
        <v>315</v>
      </c>
      <c r="G105" s="562" t="s">
        <v>2131</v>
      </c>
      <c r="H105" s="562" t="s">
        <v>313</v>
      </c>
      <c r="I105" s="562" t="s">
        <v>4970</v>
      </c>
      <c r="J105" s="604"/>
      <c r="K105" s="562"/>
      <c r="L105" s="604"/>
      <c r="M105" s="603"/>
      <c r="N105" s="602"/>
      <c r="AB105" s="537" t="s">
        <v>348</v>
      </c>
    </row>
    <row r="106" spans="1:30" s="536" customFormat="1" x14ac:dyDescent="0.2">
      <c r="A106" s="605"/>
      <c r="B106" s="552"/>
      <c r="C106" s="1828" t="s">
        <v>318</v>
      </c>
      <c r="D106" s="1828"/>
      <c r="E106" s="1828"/>
      <c r="F106" s="608"/>
      <c r="G106" s="608"/>
      <c r="H106" s="608"/>
      <c r="I106" s="608"/>
      <c r="J106" s="607">
        <v>73.52</v>
      </c>
      <c r="K106" s="608"/>
      <c r="L106" s="607">
        <v>11.57</v>
      </c>
      <c r="M106" s="601"/>
      <c r="N106" s="606"/>
      <c r="AC106" s="537" t="s">
        <v>318</v>
      </c>
    </row>
    <row r="107" spans="1:30" s="536" customFormat="1" x14ac:dyDescent="0.2">
      <c r="A107" s="605"/>
      <c r="B107" s="552"/>
      <c r="C107" s="1822" t="s">
        <v>319</v>
      </c>
      <c r="D107" s="1822"/>
      <c r="E107" s="1822"/>
      <c r="F107" s="562"/>
      <c r="G107" s="562"/>
      <c r="H107" s="562"/>
      <c r="I107" s="562"/>
      <c r="J107" s="604"/>
      <c r="K107" s="562"/>
      <c r="L107" s="604">
        <v>9.1999999999999993</v>
      </c>
      <c r="M107" s="603"/>
      <c r="N107" s="602"/>
      <c r="AB107" s="537" t="s">
        <v>319</v>
      </c>
    </row>
    <row r="108" spans="1:30" s="536" customFormat="1" ht="33.75" x14ac:dyDescent="0.2">
      <c r="A108" s="605"/>
      <c r="B108" s="552" t="s">
        <v>1250</v>
      </c>
      <c r="C108" s="1822" t="s">
        <v>1251</v>
      </c>
      <c r="D108" s="1822"/>
      <c r="E108" s="1822"/>
      <c r="F108" s="562" t="s">
        <v>322</v>
      </c>
      <c r="G108" s="562" t="s">
        <v>1252</v>
      </c>
      <c r="H108" s="562"/>
      <c r="I108" s="562" t="s">
        <v>1252</v>
      </c>
      <c r="J108" s="604"/>
      <c r="K108" s="562"/>
      <c r="L108" s="604">
        <v>10.3</v>
      </c>
      <c r="M108" s="603"/>
      <c r="N108" s="602"/>
      <c r="AB108" s="537" t="s">
        <v>1251</v>
      </c>
    </row>
    <row r="109" spans="1:30" s="536" customFormat="1" ht="33.75" x14ac:dyDescent="0.2">
      <c r="A109" s="605"/>
      <c r="B109" s="552" t="s">
        <v>1253</v>
      </c>
      <c r="C109" s="1822" t="s">
        <v>1254</v>
      </c>
      <c r="D109" s="1822"/>
      <c r="E109" s="1822"/>
      <c r="F109" s="562" t="s">
        <v>322</v>
      </c>
      <c r="G109" s="562" t="s">
        <v>796</v>
      </c>
      <c r="H109" s="562"/>
      <c r="I109" s="562" t="s">
        <v>796</v>
      </c>
      <c r="J109" s="604"/>
      <c r="K109" s="562"/>
      <c r="L109" s="604">
        <v>5.98</v>
      </c>
      <c r="M109" s="603"/>
      <c r="N109" s="602"/>
      <c r="AB109" s="537" t="s">
        <v>1254</v>
      </c>
    </row>
    <row r="110" spans="1:30" s="536" customFormat="1" x14ac:dyDescent="0.2">
      <c r="A110" s="569"/>
      <c r="B110" s="671"/>
      <c r="C110" s="1823" t="s">
        <v>327</v>
      </c>
      <c r="D110" s="1823"/>
      <c r="E110" s="1823"/>
      <c r="F110" s="573"/>
      <c r="G110" s="573"/>
      <c r="H110" s="573"/>
      <c r="I110" s="573"/>
      <c r="J110" s="572"/>
      <c r="K110" s="573"/>
      <c r="L110" s="572">
        <v>27.85</v>
      </c>
      <c r="M110" s="601"/>
      <c r="N110" s="570"/>
      <c r="AD110" s="537" t="s">
        <v>327</v>
      </c>
    </row>
    <row r="111" spans="1:30" s="536" customFormat="1" ht="22.5" x14ac:dyDescent="0.2">
      <c r="A111" s="575" t="s">
        <v>193</v>
      </c>
      <c r="B111" s="670" t="s">
        <v>1427</v>
      </c>
      <c r="C111" s="1823" t="s">
        <v>1428</v>
      </c>
      <c r="D111" s="1823"/>
      <c r="E111" s="1823"/>
      <c r="F111" s="573" t="s">
        <v>699</v>
      </c>
      <c r="G111" s="573"/>
      <c r="H111" s="573"/>
      <c r="I111" s="573" t="s">
        <v>4971</v>
      </c>
      <c r="J111" s="572">
        <v>9.15</v>
      </c>
      <c r="K111" s="573"/>
      <c r="L111" s="572">
        <v>184.46</v>
      </c>
      <c r="M111" s="571"/>
      <c r="N111" s="570"/>
      <c r="W111" s="537" t="s">
        <v>1428</v>
      </c>
    </row>
    <row r="112" spans="1:30" s="536" customFormat="1" x14ac:dyDescent="0.2">
      <c r="A112" s="569"/>
      <c r="B112" s="671"/>
      <c r="C112" s="665" t="s">
        <v>717</v>
      </c>
      <c r="D112" s="666"/>
      <c r="E112" s="666"/>
      <c r="F112" s="563"/>
      <c r="G112" s="563"/>
      <c r="H112" s="563"/>
      <c r="I112" s="563"/>
      <c r="J112" s="566"/>
      <c r="K112" s="563"/>
      <c r="L112" s="566"/>
      <c r="M112" s="565"/>
      <c r="N112" s="564"/>
    </row>
    <row r="113" spans="1:33" s="536" customFormat="1" x14ac:dyDescent="0.2">
      <c r="A113" s="676"/>
      <c r="B113" s="664"/>
      <c r="C113" s="1822" t="s">
        <v>4972</v>
      </c>
      <c r="D113" s="1822"/>
      <c r="E113" s="1822"/>
      <c r="F113" s="1822"/>
      <c r="G113" s="1822"/>
      <c r="H113" s="1822"/>
      <c r="I113" s="1822"/>
      <c r="J113" s="1822"/>
      <c r="K113" s="1822"/>
      <c r="L113" s="1822"/>
      <c r="M113" s="1822"/>
      <c r="N113" s="1827"/>
      <c r="X113" s="537" t="s">
        <v>4972</v>
      </c>
    </row>
    <row r="114" spans="1:33" s="536" customFormat="1" ht="1.5" customHeight="1" x14ac:dyDescent="0.2">
      <c r="A114" s="563"/>
      <c r="B114" s="671"/>
      <c r="C114" s="671"/>
      <c r="D114" s="671"/>
      <c r="E114" s="671"/>
      <c r="F114" s="563"/>
      <c r="G114" s="563"/>
      <c r="H114" s="563"/>
      <c r="I114" s="563"/>
      <c r="J114" s="546"/>
      <c r="K114" s="563"/>
      <c r="L114" s="546"/>
      <c r="M114" s="562"/>
      <c r="N114" s="546"/>
    </row>
    <row r="115" spans="1:33" s="536" customFormat="1" x14ac:dyDescent="0.2">
      <c r="A115" s="557"/>
      <c r="B115" s="556"/>
      <c r="C115" s="1823" t="s">
        <v>4973</v>
      </c>
      <c r="D115" s="1823"/>
      <c r="E115" s="1823"/>
      <c r="F115" s="1823"/>
      <c r="G115" s="1823"/>
      <c r="H115" s="1823"/>
      <c r="I115" s="1823"/>
      <c r="J115" s="1823"/>
      <c r="K115" s="1823"/>
      <c r="L115" s="555"/>
      <c r="M115" s="554"/>
      <c r="N115" s="553"/>
      <c r="AF115" s="537" t="s">
        <v>4973</v>
      </c>
    </row>
    <row r="116" spans="1:33" s="536" customFormat="1" x14ac:dyDescent="0.2">
      <c r="A116" s="548"/>
      <c r="B116" s="552"/>
      <c r="C116" s="1822" t="s">
        <v>403</v>
      </c>
      <c r="D116" s="1822"/>
      <c r="E116" s="1822"/>
      <c r="F116" s="1822"/>
      <c r="G116" s="1822"/>
      <c r="H116" s="1822"/>
      <c r="I116" s="1822"/>
      <c r="J116" s="1822"/>
      <c r="K116" s="1822"/>
      <c r="L116" s="551">
        <v>4333.53</v>
      </c>
      <c r="M116" s="550"/>
      <c r="N116" s="549"/>
      <c r="AG116" s="537" t="s">
        <v>403</v>
      </c>
    </row>
    <row r="117" spans="1:33" s="536" customFormat="1" x14ac:dyDescent="0.2">
      <c r="A117" s="548"/>
      <c r="B117" s="552"/>
      <c r="C117" s="1822" t="s">
        <v>204</v>
      </c>
      <c r="D117" s="1822"/>
      <c r="E117" s="1822"/>
      <c r="F117" s="1822"/>
      <c r="G117" s="1822"/>
      <c r="H117" s="1822"/>
      <c r="I117" s="1822"/>
      <c r="J117" s="1822"/>
      <c r="K117" s="1822"/>
      <c r="L117" s="551"/>
      <c r="M117" s="550"/>
      <c r="N117" s="549"/>
      <c r="AG117" s="537" t="s">
        <v>204</v>
      </c>
    </row>
    <row r="118" spans="1:33" s="536" customFormat="1" x14ac:dyDescent="0.2">
      <c r="A118" s="548"/>
      <c r="B118" s="552"/>
      <c r="C118" s="1822" t="s">
        <v>404</v>
      </c>
      <c r="D118" s="1822"/>
      <c r="E118" s="1822"/>
      <c r="F118" s="1822"/>
      <c r="G118" s="1822"/>
      <c r="H118" s="1822"/>
      <c r="I118" s="1822"/>
      <c r="J118" s="1822"/>
      <c r="K118" s="1822"/>
      <c r="L118" s="551">
        <v>100.22</v>
      </c>
      <c r="M118" s="550"/>
      <c r="N118" s="549"/>
      <c r="AG118" s="537" t="s">
        <v>404</v>
      </c>
    </row>
    <row r="119" spans="1:33" s="536" customFormat="1" x14ac:dyDescent="0.2">
      <c r="A119" s="548"/>
      <c r="B119" s="552"/>
      <c r="C119" s="1822" t="s">
        <v>405</v>
      </c>
      <c r="D119" s="1822"/>
      <c r="E119" s="1822"/>
      <c r="F119" s="1822"/>
      <c r="G119" s="1822"/>
      <c r="H119" s="1822"/>
      <c r="I119" s="1822"/>
      <c r="J119" s="1822"/>
      <c r="K119" s="1822"/>
      <c r="L119" s="551">
        <v>114.07</v>
      </c>
      <c r="M119" s="550"/>
      <c r="N119" s="549"/>
      <c r="AG119" s="537" t="s">
        <v>405</v>
      </c>
    </row>
    <row r="120" spans="1:33" s="536" customFormat="1" x14ac:dyDescent="0.2">
      <c r="A120" s="548"/>
      <c r="B120" s="552"/>
      <c r="C120" s="1822" t="s">
        <v>406</v>
      </c>
      <c r="D120" s="1822"/>
      <c r="E120" s="1822"/>
      <c r="F120" s="1822"/>
      <c r="G120" s="1822"/>
      <c r="H120" s="1822"/>
      <c r="I120" s="1822"/>
      <c r="J120" s="1822"/>
      <c r="K120" s="1822"/>
      <c r="L120" s="551">
        <v>18.2</v>
      </c>
      <c r="M120" s="550"/>
      <c r="N120" s="549"/>
      <c r="AG120" s="537" t="s">
        <v>406</v>
      </c>
    </row>
    <row r="121" spans="1:33" s="536" customFormat="1" x14ac:dyDescent="0.2">
      <c r="A121" s="548"/>
      <c r="B121" s="552"/>
      <c r="C121" s="1822" t="s">
        <v>480</v>
      </c>
      <c r="D121" s="1822"/>
      <c r="E121" s="1822"/>
      <c r="F121" s="1822"/>
      <c r="G121" s="1822"/>
      <c r="H121" s="1822"/>
      <c r="I121" s="1822"/>
      <c r="J121" s="1822"/>
      <c r="K121" s="1822"/>
      <c r="L121" s="551">
        <v>4119.24</v>
      </c>
      <c r="M121" s="550"/>
      <c r="N121" s="549"/>
      <c r="AG121" s="537" t="s">
        <v>480</v>
      </c>
    </row>
    <row r="122" spans="1:33" s="536" customFormat="1" x14ac:dyDescent="0.2">
      <c r="A122" s="548"/>
      <c r="B122" s="552" t="s">
        <v>185</v>
      </c>
      <c r="C122" s="1822" t="s">
        <v>407</v>
      </c>
      <c r="D122" s="1822"/>
      <c r="E122" s="1822"/>
      <c r="F122" s="1822"/>
      <c r="G122" s="1822"/>
      <c r="H122" s="1822"/>
      <c r="I122" s="1822"/>
      <c r="J122" s="1822"/>
      <c r="K122" s="1822"/>
      <c r="L122" s="551">
        <v>4529.37</v>
      </c>
      <c r="M122" s="550"/>
      <c r="N122" s="549"/>
      <c r="AG122" s="537" t="s">
        <v>407</v>
      </c>
    </row>
    <row r="123" spans="1:33" s="536" customFormat="1" x14ac:dyDescent="0.2">
      <c r="A123" s="548"/>
      <c r="B123" s="552"/>
      <c r="C123" s="1822" t="s">
        <v>204</v>
      </c>
      <c r="D123" s="1822"/>
      <c r="E123" s="1822"/>
      <c r="F123" s="1822"/>
      <c r="G123" s="1822"/>
      <c r="H123" s="1822"/>
      <c r="I123" s="1822"/>
      <c r="J123" s="1822"/>
      <c r="K123" s="1822"/>
      <c r="L123" s="551"/>
      <c r="M123" s="550"/>
      <c r="N123" s="549"/>
      <c r="AG123" s="537" t="s">
        <v>204</v>
      </c>
    </row>
    <row r="124" spans="1:33" s="536" customFormat="1" x14ac:dyDescent="0.2">
      <c r="A124" s="548"/>
      <c r="B124" s="552"/>
      <c r="C124" s="1822" t="s">
        <v>546</v>
      </c>
      <c r="D124" s="1822"/>
      <c r="E124" s="1822"/>
      <c r="F124" s="1822"/>
      <c r="G124" s="1822"/>
      <c r="H124" s="1822"/>
      <c r="I124" s="1822"/>
      <c r="J124" s="1822"/>
      <c r="K124" s="1822"/>
      <c r="L124" s="551">
        <v>100.22</v>
      </c>
      <c r="M124" s="550"/>
      <c r="N124" s="549"/>
      <c r="AG124" s="537" t="s">
        <v>546</v>
      </c>
    </row>
    <row r="125" spans="1:33" s="536" customFormat="1" x14ac:dyDescent="0.2">
      <c r="A125" s="548"/>
      <c r="B125" s="552"/>
      <c r="C125" s="1822" t="s">
        <v>442</v>
      </c>
      <c r="D125" s="1822"/>
      <c r="E125" s="1822"/>
      <c r="F125" s="1822"/>
      <c r="G125" s="1822"/>
      <c r="H125" s="1822"/>
      <c r="I125" s="1822"/>
      <c r="J125" s="1822"/>
      <c r="K125" s="1822"/>
      <c r="L125" s="551">
        <v>114.07</v>
      </c>
      <c r="M125" s="550"/>
      <c r="N125" s="549"/>
      <c r="AG125" s="537" t="s">
        <v>442</v>
      </c>
    </row>
    <row r="126" spans="1:33" s="536" customFormat="1" x14ac:dyDescent="0.2">
      <c r="A126" s="548"/>
      <c r="B126" s="552"/>
      <c r="C126" s="1822" t="s">
        <v>547</v>
      </c>
      <c r="D126" s="1822"/>
      <c r="E126" s="1822"/>
      <c r="F126" s="1822"/>
      <c r="G126" s="1822"/>
      <c r="H126" s="1822"/>
      <c r="I126" s="1822"/>
      <c r="J126" s="1822"/>
      <c r="K126" s="1822"/>
      <c r="L126" s="551">
        <v>4119.24</v>
      </c>
      <c r="M126" s="550"/>
      <c r="N126" s="549"/>
      <c r="AG126" s="537" t="s">
        <v>547</v>
      </c>
    </row>
    <row r="127" spans="1:33" s="536" customFormat="1" x14ac:dyDescent="0.2">
      <c r="A127" s="548"/>
      <c r="B127" s="552"/>
      <c r="C127" s="1822" t="s">
        <v>443</v>
      </c>
      <c r="D127" s="1822"/>
      <c r="E127" s="1822"/>
      <c r="F127" s="1822"/>
      <c r="G127" s="1822"/>
      <c r="H127" s="1822"/>
      <c r="I127" s="1822"/>
      <c r="J127" s="1822"/>
      <c r="K127" s="1822"/>
      <c r="L127" s="551">
        <v>124.53</v>
      </c>
      <c r="M127" s="550"/>
      <c r="N127" s="549"/>
      <c r="AG127" s="537" t="s">
        <v>443</v>
      </c>
    </row>
    <row r="128" spans="1:33" s="536" customFormat="1" x14ac:dyDescent="0.2">
      <c r="A128" s="548"/>
      <c r="B128" s="552"/>
      <c r="C128" s="1822" t="s">
        <v>444</v>
      </c>
      <c r="D128" s="1822"/>
      <c r="E128" s="1822"/>
      <c r="F128" s="1822"/>
      <c r="G128" s="1822"/>
      <c r="H128" s="1822"/>
      <c r="I128" s="1822"/>
      <c r="J128" s="1822"/>
      <c r="K128" s="1822"/>
      <c r="L128" s="551">
        <v>71.31</v>
      </c>
      <c r="M128" s="550"/>
      <c r="N128" s="549"/>
      <c r="AG128" s="537" t="s">
        <v>444</v>
      </c>
    </row>
    <row r="129" spans="1:34" s="536" customFormat="1" x14ac:dyDescent="0.2">
      <c r="A129" s="548"/>
      <c r="B129" s="552"/>
      <c r="C129" s="1822" t="s">
        <v>415</v>
      </c>
      <c r="D129" s="1822"/>
      <c r="E129" s="1822"/>
      <c r="F129" s="1822"/>
      <c r="G129" s="1822"/>
      <c r="H129" s="1822"/>
      <c r="I129" s="1822"/>
      <c r="J129" s="1822"/>
      <c r="K129" s="1822"/>
      <c r="L129" s="551">
        <v>118.42</v>
      </c>
      <c r="M129" s="550"/>
      <c r="N129" s="549"/>
      <c r="AG129" s="537" t="s">
        <v>415</v>
      </c>
    </row>
    <row r="130" spans="1:34" s="536" customFormat="1" x14ac:dyDescent="0.2">
      <c r="A130" s="548"/>
      <c r="B130" s="552"/>
      <c r="C130" s="1822" t="s">
        <v>416</v>
      </c>
      <c r="D130" s="1822"/>
      <c r="E130" s="1822"/>
      <c r="F130" s="1822"/>
      <c r="G130" s="1822"/>
      <c r="H130" s="1822"/>
      <c r="I130" s="1822"/>
      <c r="J130" s="1822"/>
      <c r="K130" s="1822"/>
      <c r="L130" s="551">
        <v>124.53</v>
      </c>
      <c r="M130" s="550"/>
      <c r="N130" s="549"/>
      <c r="AG130" s="537" t="s">
        <v>416</v>
      </c>
    </row>
    <row r="131" spans="1:34" s="536" customFormat="1" x14ac:dyDescent="0.2">
      <c r="A131" s="548"/>
      <c r="B131" s="552"/>
      <c r="C131" s="1822" t="s">
        <v>417</v>
      </c>
      <c r="D131" s="1822"/>
      <c r="E131" s="1822"/>
      <c r="F131" s="1822"/>
      <c r="G131" s="1822"/>
      <c r="H131" s="1822"/>
      <c r="I131" s="1822"/>
      <c r="J131" s="1822"/>
      <c r="K131" s="1822"/>
      <c r="L131" s="551">
        <v>71.31</v>
      </c>
      <c r="M131" s="550"/>
      <c r="N131" s="549"/>
      <c r="AG131" s="537" t="s">
        <v>417</v>
      </c>
    </row>
    <row r="132" spans="1:34" s="536" customFormat="1" x14ac:dyDescent="0.2">
      <c r="A132" s="548"/>
      <c r="B132" s="546"/>
      <c r="C132" s="1819" t="s">
        <v>4974</v>
      </c>
      <c r="D132" s="1819"/>
      <c r="E132" s="1819"/>
      <c r="F132" s="1819"/>
      <c r="G132" s="1819"/>
      <c r="H132" s="1819"/>
      <c r="I132" s="1819"/>
      <c r="J132" s="1819"/>
      <c r="K132" s="1819"/>
      <c r="L132" s="544">
        <v>4529.37</v>
      </c>
      <c r="M132" s="543"/>
      <c r="N132" s="681"/>
      <c r="AH132" s="537" t="s">
        <v>4974</v>
      </c>
    </row>
    <row r="133" spans="1:34" s="536" customFormat="1" ht="12" x14ac:dyDescent="0.2">
      <c r="A133" s="1824" t="s">
        <v>4975</v>
      </c>
      <c r="B133" s="1825"/>
      <c r="C133" s="1825"/>
      <c r="D133" s="1825"/>
      <c r="E133" s="1825"/>
      <c r="F133" s="1825"/>
      <c r="G133" s="1825"/>
      <c r="H133" s="1825"/>
      <c r="I133" s="1825"/>
      <c r="J133" s="1825"/>
      <c r="K133" s="1825"/>
      <c r="L133" s="1825"/>
      <c r="M133" s="1825"/>
      <c r="N133" s="1826"/>
      <c r="V133" s="537" t="s">
        <v>4975</v>
      </c>
    </row>
    <row r="134" spans="1:34" s="536" customFormat="1" x14ac:dyDescent="0.2">
      <c r="A134" s="575" t="s">
        <v>194</v>
      </c>
      <c r="B134" s="670" t="s">
        <v>1368</v>
      </c>
      <c r="C134" s="1823" t="s">
        <v>1369</v>
      </c>
      <c r="D134" s="1823"/>
      <c r="E134" s="1823"/>
      <c r="F134" s="573" t="s">
        <v>509</v>
      </c>
      <c r="G134" s="573"/>
      <c r="H134" s="573"/>
      <c r="I134" s="573" t="s">
        <v>4953</v>
      </c>
      <c r="J134" s="572"/>
      <c r="K134" s="573"/>
      <c r="L134" s="572"/>
      <c r="M134" s="571"/>
      <c r="N134" s="570"/>
      <c r="W134" s="537" t="s">
        <v>1369</v>
      </c>
    </row>
    <row r="135" spans="1:34" s="536" customFormat="1" x14ac:dyDescent="0.2">
      <c r="A135" s="676"/>
      <c r="B135" s="664"/>
      <c r="C135" s="1822" t="s">
        <v>4954</v>
      </c>
      <c r="D135" s="1822"/>
      <c r="E135" s="1822"/>
      <c r="F135" s="1822"/>
      <c r="G135" s="1822"/>
      <c r="H135" s="1822"/>
      <c r="I135" s="1822"/>
      <c r="J135" s="1822"/>
      <c r="K135" s="1822"/>
      <c r="L135" s="1822"/>
      <c r="M135" s="1822"/>
      <c r="N135" s="1827"/>
      <c r="X135" s="537" t="s">
        <v>4954</v>
      </c>
    </row>
    <row r="136" spans="1:34" s="536" customFormat="1" ht="33.75" x14ac:dyDescent="0.2">
      <c r="A136" s="609"/>
      <c r="B136" s="552" t="s">
        <v>310</v>
      </c>
      <c r="C136" s="1822" t="s">
        <v>311</v>
      </c>
      <c r="D136" s="1822"/>
      <c r="E136" s="1822"/>
      <c r="F136" s="1822"/>
      <c r="G136" s="1822"/>
      <c r="H136" s="1822"/>
      <c r="I136" s="1822"/>
      <c r="J136" s="1822"/>
      <c r="K136" s="1822"/>
      <c r="L136" s="1822"/>
      <c r="M136" s="1822"/>
      <c r="N136" s="1827"/>
      <c r="Y136" s="537" t="s">
        <v>311</v>
      </c>
    </row>
    <row r="137" spans="1:34" s="536" customFormat="1" x14ac:dyDescent="0.2">
      <c r="A137" s="605"/>
      <c r="B137" s="552" t="s">
        <v>185</v>
      </c>
      <c r="C137" s="1822" t="s">
        <v>312</v>
      </c>
      <c r="D137" s="1822"/>
      <c r="E137" s="1822"/>
      <c r="F137" s="562"/>
      <c r="G137" s="562"/>
      <c r="H137" s="562"/>
      <c r="I137" s="562"/>
      <c r="J137" s="604">
        <v>1053</v>
      </c>
      <c r="K137" s="562" t="s">
        <v>313</v>
      </c>
      <c r="L137" s="604">
        <v>13.43</v>
      </c>
      <c r="M137" s="603"/>
      <c r="N137" s="602"/>
      <c r="Z137" s="537" t="s">
        <v>312</v>
      </c>
    </row>
    <row r="138" spans="1:34" s="536" customFormat="1" x14ac:dyDescent="0.2">
      <c r="A138" s="605"/>
      <c r="B138" s="552" t="s">
        <v>186</v>
      </c>
      <c r="C138" s="1822" t="s">
        <v>344</v>
      </c>
      <c r="D138" s="1822"/>
      <c r="E138" s="1822"/>
      <c r="F138" s="562"/>
      <c r="G138" s="562"/>
      <c r="H138" s="562"/>
      <c r="I138" s="562"/>
      <c r="J138" s="604">
        <v>1566.06</v>
      </c>
      <c r="K138" s="562" t="s">
        <v>313</v>
      </c>
      <c r="L138" s="604">
        <v>19.97</v>
      </c>
      <c r="M138" s="603"/>
      <c r="N138" s="602"/>
      <c r="Z138" s="537" t="s">
        <v>344</v>
      </c>
    </row>
    <row r="139" spans="1:34" s="536" customFormat="1" x14ac:dyDescent="0.2">
      <c r="A139" s="605"/>
      <c r="B139" s="552" t="s">
        <v>187</v>
      </c>
      <c r="C139" s="1822" t="s">
        <v>345</v>
      </c>
      <c r="D139" s="1822"/>
      <c r="E139" s="1822"/>
      <c r="F139" s="562"/>
      <c r="G139" s="562"/>
      <c r="H139" s="562"/>
      <c r="I139" s="562"/>
      <c r="J139" s="604">
        <v>244.39</v>
      </c>
      <c r="K139" s="562" t="s">
        <v>313</v>
      </c>
      <c r="L139" s="604">
        <v>3.12</v>
      </c>
      <c r="M139" s="603"/>
      <c r="N139" s="602"/>
      <c r="Z139" s="537" t="s">
        <v>345</v>
      </c>
    </row>
    <row r="140" spans="1:34" s="536" customFormat="1" x14ac:dyDescent="0.2">
      <c r="A140" s="605"/>
      <c r="B140" s="552" t="s">
        <v>188</v>
      </c>
      <c r="C140" s="1822" t="s">
        <v>475</v>
      </c>
      <c r="D140" s="1822"/>
      <c r="E140" s="1822"/>
      <c r="F140" s="562"/>
      <c r="G140" s="562"/>
      <c r="H140" s="562"/>
      <c r="I140" s="562"/>
      <c r="J140" s="604">
        <v>909.27</v>
      </c>
      <c r="K140" s="562"/>
      <c r="L140" s="604">
        <v>9.27</v>
      </c>
      <c r="M140" s="603"/>
      <c r="N140" s="602"/>
      <c r="Z140" s="537" t="s">
        <v>475</v>
      </c>
    </row>
    <row r="141" spans="1:34" s="536" customFormat="1" x14ac:dyDescent="0.2">
      <c r="A141" s="676"/>
      <c r="B141" s="677" t="s">
        <v>639</v>
      </c>
      <c r="C141" s="1829" t="s">
        <v>640</v>
      </c>
      <c r="D141" s="1829"/>
      <c r="E141" s="1829"/>
      <c r="F141" s="678" t="s">
        <v>641</v>
      </c>
      <c r="G141" s="678" t="s">
        <v>680</v>
      </c>
      <c r="H141" s="678"/>
      <c r="I141" s="678" t="s">
        <v>4955</v>
      </c>
      <c r="J141" s="552"/>
      <c r="K141" s="562"/>
      <c r="L141" s="604"/>
      <c r="M141" s="562"/>
      <c r="N141" s="679"/>
      <c r="AA141" s="537" t="s">
        <v>640</v>
      </c>
    </row>
    <row r="142" spans="1:34" s="536" customFormat="1" x14ac:dyDescent="0.2">
      <c r="A142" s="605"/>
      <c r="B142" s="552"/>
      <c r="C142" s="1822" t="s">
        <v>314</v>
      </c>
      <c r="D142" s="1822"/>
      <c r="E142" s="1822"/>
      <c r="F142" s="562" t="s">
        <v>315</v>
      </c>
      <c r="G142" s="562" t="s">
        <v>1373</v>
      </c>
      <c r="H142" s="562" t="s">
        <v>313</v>
      </c>
      <c r="I142" s="562" t="s">
        <v>4956</v>
      </c>
      <c r="J142" s="604"/>
      <c r="K142" s="562"/>
      <c r="L142" s="604"/>
      <c r="M142" s="603"/>
      <c r="N142" s="602"/>
      <c r="AB142" s="537" t="s">
        <v>314</v>
      </c>
    </row>
    <row r="143" spans="1:34" s="536" customFormat="1" x14ac:dyDescent="0.2">
      <c r="A143" s="605"/>
      <c r="B143" s="552"/>
      <c r="C143" s="1822" t="s">
        <v>348</v>
      </c>
      <c r="D143" s="1822"/>
      <c r="E143" s="1822"/>
      <c r="F143" s="562" t="s">
        <v>315</v>
      </c>
      <c r="G143" s="562" t="s">
        <v>1375</v>
      </c>
      <c r="H143" s="562" t="s">
        <v>313</v>
      </c>
      <c r="I143" s="562" t="s">
        <v>4957</v>
      </c>
      <c r="J143" s="604"/>
      <c r="K143" s="562"/>
      <c r="L143" s="604"/>
      <c r="M143" s="603"/>
      <c r="N143" s="602"/>
      <c r="AB143" s="537" t="s">
        <v>348</v>
      </c>
    </row>
    <row r="144" spans="1:34" s="536" customFormat="1" x14ac:dyDescent="0.2">
      <c r="A144" s="605"/>
      <c r="B144" s="552"/>
      <c r="C144" s="1828" t="s">
        <v>318</v>
      </c>
      <c r="D144" s="1828"/>
      <c r="E144" s="1828"/>
      <c r="F144" s="608"/>
      <c r="G144" s="608"/>
      <c r="H144" s="608"/>
      <c r="I144" s="608"/>
      <c r="J144" s="607">
        <v>3528.33</v>
      </c>
      <c r="K144" s="608"/>
      <c r="L144" s="607">
        <v>42.67</v>
      </c>
      <c r="M144" s="601"/>
      <c r="N144" s="606"/>
      <c r="AC144" s="537" t="s">
        <v>318</v>
      </c>
    </row>
    <row r="145" spans="1:30" s="536" customFormat="1" x14ac:dyDescent="0.2">
      <c r="A145" s="605"/>
      <c r="B145" s="552"/>
      <c r="C145" s="1822" t="s">
        <v>319</v>
      </c>
      <c r="D145" s="1822"/>
      <c r="E145" s="1822"/>
      <c r="F145" s="562"/>
      <c r="G145" s="562"/>
      <c r="H145" s="562"/>
      <c r="I145" s="562"/>
      <c r="J145" s="604"/>
      <c r="K145" s="562"/>
      <c r="L145" s="604">
        <v>16.55</v>
      </c>
      <c r="M145" s="603"/>
      <c r="N145" s="602"/>
      <c r="AB145" s="537" t="s">
        <v>319</v>
      </c>
    </row>
    <row r="146" spans="1:30" s="536" customFormat="1" ht="33.75" x14ac:dyDescent="0.2">
      <c r="A146" s="605"/>
      <c r="B146" s="552" t="s">
        <v>686</v>
      </c>
      <c r="C146" s="1822" t="s">
        <v>687</v>
      </c>
      <c r="D146" s="1822"/>
      <c r="E146" s="1822"/>
      <c r="F146" s="562" t="s">
        <v>322</v>
      </c>
      <c r="G146" s="562" t="s">
        <v>680</v>
      </c>
      <c r="H146" s="562"/>
      <c r="I146" s="562" t="s">
        <v>680</v>
      </c>
      <c r="J146" s="604"/>
      <c r="K146" s="562"/>
      <c r="L146" s="604">
        <v>16.88</v>
      </c>
      <c r="M146" s="603"/>
      <c r="N146" s="602"/>
      <c r="AB146" s="537" t="s">
        <v>687</v>
      </c>
    </row>
    <row r="147" spans="1:30" s="536" customFormat="1" ht="33.75" x14ac:dyDescent="0.2">
      <c r="A147" s="605"/>
      <c r="B147" s="552" t="s">
        <v>688</v>
      </c>
      <c r="C147" s="1822" t="s">
        <v>689</v>
      </c>
      <c r="D147" s="1822"/>
      <c r="E147" s="1822"/>
      <c r="F147" s="562" t="s">
        <v>322</v>
      </c>
      <c r="G147" s="562" t="s">
        <v>690</v>
      </c>
      <c r="H147" s="562"/>
      <c r="I147" s="562" t="s">
        <v>690</v>
      </c>
      <c r="J147" s="604"/>
      <c r="K147" s="562"/>
      <c r="L147" s="604">
        <v>9.6</v>
      </c>
      <c r="M147" s="603"/>
      <c r="N147" s="602"/>
      <c r="AB147" s="537" t="s">
        <v>689</v>
      </c>
    </row>
    <row r="148" spans="1:30" s="536" customFormat="1" x14ac:dyDescent="0.2">
      <c r="A148" s="569"/>
      <c r="B148" s="671"/>
      <c r="C148" s="1823" t="s">
        <v>327</v>
      </c>
      <c r="D148" s="1823"/>
      <c r="E148" s="1823"/>
      <c r="F148" s="573"/>
      <c r="G148" s="573"/>
      <c r="H148" s="573"/>
      <c r="I148" s="573"/>
      <c r="J148" s="572"/>
      <c r="K148" s="573"/>
      <c r="L148" s="572">
        <v>69.150000000000006</v>
      </c>
      <c r="M148" s="601"/>
      <c r="N148" s="570"/>
      <c r="AD148" s="537" t="s">
        <v>327</v>
      </c>
    </row>
    <row r="149" spans="1:30" s="536" customFormat="1" ht="22.5" x14ac:dyDescent="0.2">
      <c r="A149" s="575" t="s">
        <v>195</v>
      </c>
      <c r="B149" s="670" t="s">
        <v>1377</v>
      </c>
      <c r="C149" s="1823" t="s">
        <v>1378</v>
      </c>
      <c r="D149" s="1823"/>
      <c r="E149" s="1823"/>
      <c r="F149" s="573" t="s">
        <v>641</v>
      </c>
      <c r="G149" s="573"/>
      <c r="H149" s="573"/>
      <c r="I149" s="573" t="s">
        <v>4955</v>
      </c>
      <c r="J149" s="572">
        <v>560</v>
      </c>
      <c r="K149" s="573"/>
      <c r="L149" s="572">
        <v>582.62</v>
      </c>
      <c r="M149" s="571"/>
      <c r="N149" s="570"/>
      <c r="W149" s="537" t="s">
        <v>1378</v>
      </c>
    </row>
    <row r="150" spans="1:30" s="536" customFormat="1" x14ac:dyDescent="0.2">
      <c r="A150" s="569"/>
      <c r="B150" s="671"/>
      <c r="C150" s="665" t="s">
        <v>717</v>
      </c>
      <c r="D150" s="666"/>
      <c r="E150" s="666"/>
      <c r="F150" s="563"/>
      <c r="G150" s="563"/>
      <c r="H150" s="563"/>
      <c r="I150" s="563"/>
      <c r="J150" s="566"/>
      <c r="K150" s="563"/>
      <c r="L150" s="566"/>
      <c r="M150" s="565"/>
      <c r="N150" s="564"/>
    </row>
    <row r="151" spans="1:30" s="536" customFormat="1" ht="22.5" x14ac:dyDescent="0.2">
      <c r="A151" s="575" t="s">
        <v>196</v>
      </c>
      <c r="B151" s="670" t="s">
        <v>1380</v>
      </c>
      <c r="C151" s="1823" t="s">
        <v>1381</v>
      </c>
      <c r="D151" s="1823"/>
      <c r="E151" s="1823"/>
      <c r="F151" s="573" t="s">
        <v>509</v>
      </c>
      <c r="G151" s="573"/>
      <c r="H151" s="573"/>
      <c r="I151" s="573" t="s">
        <v>3056</v>
      </c>
      <c r="J151" s="572"/>
      <c r="K151" s="573"/>
      <c r="L151" s="572"/>
      <c r="M151" s="571"/>
      <c r="N151" s="570"/>
      <c r="W151" s="537" t="s">
        <v>1381</v>
      </c>
    </row>
    <row r="152" spans="1:30" s="536" customFormat="1" x14ac:dyDescent="0.2">
      <c r="A152" s="676"/>
      <c r="B152" s="664"/>
      <c r="C152" s="1822" t="s">
        <v>4958</v>
      </c>
      <c r="D152" s="1822"/>
      <c r="E152" s="1822"/>
      <c r="F152" s="1822"/>
      <c r="G152" s="1822"/>
      <c r="H152" s="1822"/>
      <c r="I152" s="1822"/>
      <c r="J152" s="1822"/>
      <c r="K152" s="1822"/>
      <c r="L152" s="1822"/>
      <c r="M152" s="1822"/>
      <c r="N152" s="1827"/>
      <c r="X152" s="537" t="s">
        <v>4958</v>
      </c>
    </row>
    <row r="153" spans="1:30" s="536" customFormat="1" ht="33.75" x14ac:dyDescent="0.2">
      <c r="A153" s="609"/>
      <c r="B153" s="552" t="s">
        <v>310</v>
      </c>
      <c r="C153" s="1822" t="s">
        <v>311</v>
      </c>
      <c r="D153" s="1822"/>
      <c r="E153" s="1822"/>
      <c r="F153" s="1822"/>
      <c r="G153" s="1822"/>
      <c r="H153" s="1822"/>
      <c r="I153" s="1822"/>
      <c r="J153" s="1822"/>
      <c r="K153" s="1822"/>
      <c r="L153" s="1822"/>
      <c r="M153" s="1822"/>
      <c r="N153" s="1827"/>
      <c r="Y153" s="537" t="s">
        <v>311</v>
      </c>
    </row>
    <row r="154" spans="1:30" s="536" customFormat="1" x14ac:dyDescent="0.2">
      <c r="A154" s="605"/>
      <c r="B154" s="552" t="s">
        <v>185</v>
      </c>
      <c r="C154" s="1822" t="s">
        <v>312</v>
      </c>
      <c r="D154" s="1822"/>
      <c r="E154" s="1822"/>
      <c r="F154" s="562"/>
      <c r="G154" s="562"/>
      <c r="H154" s="562"/>
      <c r="I154" s="562"/>
      <c r="J154" s="604">
        <v>1526.87</v>
      </c>
      <c r="K154" s="562" t="s">
        <v>313</v>
      </c>
      <c r="L154" s="604">
        <v>51.53</v>
      </c>
      <c r="M154" s="603"/>
      <c r="N154" s="602"/>
      <c r="Z154" s="537" t="s">
        <v>312</v>
      </c>
    </row>
    <row r="155" spans="1:30" s="536" customFormat="1" x14ac:dyDescent="0.2">
      <c r="A155" s="605"/>
      <c r="B155" s="552" t="s">
        <v>186</v>
      </c>
      <c r="C155" s="1822" t="s">
        <v>344</v>
      </c>
      <c r="D155" s="1822"/>
      <c r="E155" s="1822"/>
      <c r="F155" s="562"/>
      <c r="G155" s="562"/>
      <c r="H155" s="562"/>
      <c r="I155" s="562"/>
      <c r="J155" s="604">
        <v>2518.58</v>
      </c>
      <c r="K155" s="562" t="s">
        <v>313</v>
      </c>
      <c r="L155" s="604">
        <v>85</v>
      </c>
      <c r="M155" s="603"/>
      <c r="N155" s="602"/>
      <c r="Z155" s="537" t="s">
        <v>344</v>
      </c>
    </row>
    <row r="156" spans="1:30" s="536" customFormat="1" x14ac:dyDescent="0.2">
      <c r="A156" s="605"/>
      <c r="B156" s="552" t="s">
        <v>187</v>
      </c>
      <c r="C156" s="1822" t="s">
        <v>345</v>
      </c>
      <c r="D156" s="1822"/>
      <c r="E156" s="1822"/>
      <c r="F156" s="562"/>
      <c r="G156" s="562"/>
      <c r="H156" s="562"/>
      <c r="I156" s="562"/>
      <c r="J156" s="604">
        <v>382.14</v>
      </c>
      <c r="K156" s="562" t="s">
        <v>313</v>
      </c>
      <c r="L156" s="604">
        <v>12.9</v>
      </c>
      <c r="M156" s="603"/>
      <c r="N156" s="602"/>
      <c r="Z156" s="537" t="s">
        <v>345</v>
      </c>
    </row>
    <row r="157" spans="1:30" s="536" customFormat="1" x14ac:dyDescent="0.2">
      <c r="A157" s="605"/>
      <c r="B157" s="552" t="s">
        <v>188</v>
      </c>
      <c r="C157" s="1822" t="s">
        <v>475</v>
      </c>
      <c r="D157" s="1822"/>
      <c r="E157" s="1822"/>
      <c r="F157" s="562"/>
      <c r="G157" s="562"/>
      <c r="H157" s="562"/>
      <c r="I157" s="562"/>
      <c r="J157" s="604">
        <v>488.42</v>
      </c>
      <c r="K157" s="562"/>
      <c r="L157" s="604">
        <v>13.19</v>
      </c>
      <c r="M157" s="603"/>
      <c r="N157" s="602"/>
      <c r="Z157" s="537" t="s">
        <v>475</v>
      </c>
    </row>
    <row r="158" spans="1:30" s="536" customFormat="1" x14ac:dyDescent="0.2">
      <c r="A158" s="676"/>
      <c r="B158" s="677" t="s">
        <v>639</v>
      </c>
      <c r="C158" s="1829" t="s">
        <v>640</v>
      </c>
      <c r="D158" s="1829"/>
      <c r="E158" s="1829"/>
      <c r="F158" s="678" t="s">
        <v>641</v>
      </c>
      <c r="G158" s="678" t="s">
        <v>1384</v>
      </c>
      <c r="H158" s="678"/>
      <c r="I158" s="678" t="s">
        <v>4959</v>
      </c>
      <c r="J158" s="552"/>
      <c r="K158" s="562"/>
      <c r="L158" s="604"/>
      <c r="M158" s="562"/>
      <c r="N158" s="679"/>
      <c r="AA158" s="537" t="s">
        <v>640</v>
      </c>
    </row>
    <row r="159" spans="1:30" s="536" customFormat="1" x14ac:dyDescent="0.2">
      <c r="A159" s="676"/>
      <c r="B159" s="677" t="s">
        <v>1272</v>
      </c>
      <c r="C159" s="1829" t="s">
        <v>1273</v>
      </c>
      <c r="D159" s="1829"/>
      <c r="E159" s="1829"/>
      <c r="F159" s="678" t="s">
        <v>694</v>
      </c>
      <c r="G159" s="678" t="s">
        <v>1386</v>
      </c>
      <c r="H159" s="678"/>
      <c r="I159" s="678" t="s">
        <v>4960</v>
      </c>
      <c r="J159" s="552"/>
      <c r="K159" s="562"/>
      <c r="L159" s="604"/>
      <c r="M159" s="562"/>
      <c r="N159" s="679"/>
      <c r="AA159" s="537" t="s">
        <v>1273</v>
      </c>
    </row>
    <row r="160" spans="1:30" s="536" customFormat="1" x14ac:dyDescent="0.2">
      <c r="A160" s="605"/>
      <c r="B160" s="552"/>
      <c r="C160" s="1822" t="s">
        <v>314</v>
      </c>
      <c r="D160" s="1822"/>
      <c r="E160" s="1822"/>
      <c r="F160" s="562" t="s">
        <v>315</v>
      </c>
      <c r="G160" s="562" t="s">
        <v>1388</v>
      </c>
      <c r="H160" s="562" t="s">
        <v>313</v>
      </c>
      <c r="I160" s="562" t="s">
        <v>4961</v>
      </c>
      <c r="J160" s="604"/>
      <c r="K160" s="562"/>
      <c r="L160" s="604"/>
      <c r="M160" s="603"/>
      <c r="N160" s="602"/>
      <c r="AB160" s="537" t="s">
        <v>314</v>
      </c>
    </row>
    <row r="161" spans="1:31" s="536" customFormat="1" x14ac:dyDescent="0.2">
      <c r="A161" s="605"/>
      <c r="B161" s="552"/>
      <c r="C161" s="1822" t="s">
        <v>348</v>
      </c>
      <c r="D161" s="1822"/>
      <c r="E161" s="1822"/>
      <c r="F161" s="562" t="s">
        <v>315</v>
      </c>
      <c r="G161" s="562" t="s">
        <v>1390</v>
      </c>
      <c r="H161" s="562" t="s">
        <v>313</v>
      </c>
      <c r="I161" s="562" t="s">
        <v>4962</v>
      </c>
      <c r="J161" s="604"/>
      <c r="K161" s="562"/>
      <c r="L161" s="604"/>
      <c r="M161" s="603"/>
      <c r="N161" s="602"/>
      <c r="AB161" s="537" t="s">
        <v>348</v>
      </c>
    </row>
    <row r="162" spans="1:31" s="536" customFormat="1" x14ac:dyDescent="0.2">
      <c r="A162" s="605"/>
      <c r="B162" s="552"/>
      <c r="C162" s="1828" t="s">
        <v>318</v>
      </c>
      <c r="D162" s="1828"/>
      <c r="E162" s="1828"/>
      <c r="F162" s="608"/>
      <c r="G162" s="608"/>
      <c r="H162" s="608"/>
      <c r="I162" s="608"/>
      <c r="J162" s="607">
        <v>4533.87</v>
      </c>
      <c r="K162" s="608"/>
      <c r="L162" s="607">
        <v>149.72</v>
      </c>
      <c r="M162" s="601"/>
      <c r="N162" s="606"/>
      <c r="AC162" s="537" t="s">
        <v>318</v>
      </c>
    </row>
    <row r="163" spans="1:31" s="536" customFormat="1" x14ac:dyDescent="0.2">
      <c r="A163" s="605"/>
      <c r="B163" s="552"/>
      <c r="C163" s="1822" t="s">
        <v>319</v>
      </c>
      <c r="D163" s="1822"/>
      <c r="E163" s="1822"/>
      <c r="F163" s="562"/>
      <c r="G163" s="562"/>
      <c r="H163" s="562"/>
      <c r="I163" s="562"/>
      <c r="J163" s="604"/>
      <c r="K163" s="562"/>
      <c r="L163" s="604">
        <v>64.430000000000007</v>
      </c>
      <c r="M163" s="603"/>
      <c r="N163" s="602"/>
      <c r="AB163" s="537" t="s">
        <v>319</v>
      </c>
    </row>
    <row r="164" spans="1:31" s="536" customFormat="1" ht="33.75" x14ac:dyDescent="0.2">
      <c r="A164" s="605"/>
      <c r="B164" s="552" t="s">
        <v>686</v>
      </c>
      <c r="C164" s="1822" t="s">
        <v>687</v>
      </c>
      <c r="D164" s="1822"/>
      <c r="E164" s="1822"/>
      <c r="F164" s="562" t="s">
        <v>322</v>
      </c>
      <c r="G164" s="562" t="s">
        <v>680</v>
      </c>
      <c r="H164" s="562"/>
      <c r="I164" s="562" t="s">
        <v>680</v>
      </c>
      <c r="J164" s="604"/>
      <c r="K164" s="562"/>
      <c r="L164" s="604">
        <v>65.72</v>
      </c>
      <c r="M164" s="603"/>
      <c r="N164" s="602"/>
      <c r="AB164" s="537" t="s">
        <v>687</v>
      </c>
    </row>
    <row r="165" spans="1:31" s="536" customFormat="1" ht="33.75" x14ac:dyDescent="0.2">
      <c r="A165" s="605"/>
      <c r="B165" s="552" t="s">
        <v>688</v>
      </c>
      <c r="C165" s="1822" t="s">
        <v>689</v>
      </c>
      <c r="D165" s="1822"/>
      <c r="E165" s="1822"/>
      <c r="F165" s="562" t="s">
        <v>322</v>
      </c>
      <c r="G165" s="562" t="s">
        <v>690</v>
      </c>
      <c r="H165" s="562"/>
      <c r="I165" s="562" t="s">
        <v>690</v>
      </c>
      <c r="J165" s="604"/>
      <c r="K165" s="562"/>
      <c r="L165" s="604">
        <v>37.369999999999997</v>
      </c>
      <c r="M165" s="603"/>
      <c r="N165" s="602"/>
      <c r="AB165" s="537" t="s">
        <v>689</v>
      </c>
    </row>
    <row r="166" spans="1:31" s="536" customFormat="1" x14ac:dyDescent="0.2">
      <c r="A166" s="569"/>
      <c r="B166" s="671"/>
      <c r="C166" s="1823" t="s">
        <v>327</v>
      </c>
      <c r="D166" s="1823"/>
      <c r="E166" s="1823"/>
      <c r="F166" s="573"/>
      <c r="G166" s="573"/>
      <c r="H166" s="573"/>
      <c r="I166" s="573"/>
      <c r="J166" s="572"/>
      <c r="K166" s="573"/>
      <c r="L166" s="572">
        <v>252.81</v>
      </c>
      <c r="M166" s="601"/>
      <c r="N166" s="570"/>
      <c r="AD166" s="537" t="s">
        <v>327</v>
      </c>
    </row>
    <row r="167" spans="1:31" s="536" customFormat="1" ht="22.5" x14ac:dyDescent="0.2">
      <c r="A167" s="575" t="s">
        <v>197</v>
      </c>
      <c r="B167" s="670" t="s">
        <v>1392</v>
      </c>
      <c r="C167" s="1823" t="s">
        <v>1393</v>
      </c>
      <c r="D167" s="1823"/>
      <c r="E167" s="1823"/>
      <c r="F167" s="573" t="s">
        <v>641</v>
      </c>
      <c r="G167" s="573"/>
      <c r="H167" s="573"/>
      <c r="I167" s="573" t="s">
        <v>4959</v>
      </c>
      <c r="J167" s="572">
        <v>725.69</v>
      </c>
      <c r="K167" s="573"/>
      <c r="L167" s="572">
        <v>1988.75</v>
      </c>
      <c r="M167" s="571"/>
      <c r="N167" s="570"/>
      <c r="W167" s="537" t="s">
        <v>1393</v>
      </c>
    </row>
    <row r="168" spans="1:31" s="536" customFormat="1" x14ac:dyDescent="0.2">
      <c r="A168" s="569"/>
      <c r="B168" s="671"/>
      <c r="C168" s="665" t="s">
        <v>717</v>
      </c>
      <c r="D168" s="666"/>
      <c r="E168" s="666"/>
      <c r="F168" s="563"/>
      <c r="G168" s="563"/>
      <c r="H168" s="563"/>
      <c r="I168" s="563"/>
      <c r="J168" s="566"/>
      <c r="K168" s="563"/>
      <c r="L168" s="566"/>
      <c r="M168" s="565"/>
      <c r="N168" s="564"/>
    </row>
    <row r="169" spans="1:31" s="536" customFormat="1" ht="33.75" x14ac:dyDescent="0.2">
      <c r="A169" s="575" t="s">
        <v>198</v>
      </c>
      <c r="B169" s="670" t="s">
        <v>657</v>
      </c>
      <c r="C169" s="1823" t="s">
        <v>3300</v>
      </c>
      <c r="D169" s="1823"/>
      <c r="E169" s="1823"/>
      <c r="F169" s="573" t="s">
        <v>641</v>
      </c>
      <c r="G169" s="573"/>
      <c r="H169" s="573"/>
      <c r="I169" s="573" t="s">
        <v>1217</v>
      </c>
      <c r="J169" s="572">
        <v>9.69</v>
      </c>
      <c r="K169" s="573"/>
      <c r="L169" s="572">
        <v>26.16</v>
      </c>
      <c r="M169" s="571"/>
      <c r="N169" s="570"/>
      <c r="W169" s="537" t="s">
        <v>3300</v>
      </c>
    </row>
    <row r="170" spans="1:31" s="536" customFormat="1" x14ac:dyDescent="0.2">
      <c r="A170" s="569"/>
      <c r="B170" s="671"/>
      <c r="C170" s="665" t="s">
        <v>717</v>
      </c>
      <c r="D170" s="666"/>
      <c r="E170" s="666"/>
      <c r="F170" s="563"/>
      <c r="G170" s="563"/>
      <c r="H170" s="563"/>
      <c r="I170" s="563"/>
      <c r="J170" s="566"/>
      <c r="K170" s="563"/>
      <c r="L170" s="566"/>
      <c r="M170" s="565"/>
      <c r="N170" s="564"/>
    </row>
    <row r="171" spans="1:31" s="536" customFormat="1" x14ac:dyDescent="0.2">
      <c r="A171" s="676"/>
      <c r="B171" s="664"/>
      <c r="C171" s="1822" t="s">
        <v>1399</v>
      </c>
      <c r="D171" s="1822"/>
      <c r="E171" s="1822"/>
      <c r="F171" s="1822"/>
      <c r="G171" s="1822"/>
      <c r="H171" s="1822"/>
      <c r="I171" s="1822"/>
      <c r="J171" s="1822"/>
      <c r="K171" s="1822"/>
      <c r="L171" s="1822"/>
      <c r="M171" s="1822"/>
      <c r="N171" s="1827"/>
      <c r="AE171" s="537" t="s">
        <v>1399</v>
      </c>
    </row>
    <row r="172" spans="1:31" s="536" customFormat="1" ht="22.5" x14ac:dyDescent="0.2">
      <c r="A172" s="575" t="s">
        <v>199</v>
      </c>
      <c r="B172" s="670" t="s">
        <v>1400</v>
      </c>
      <c r="C172" s="1823" t="s">
        <v>1401</v>
      </c>
      <c r="D172" s="1823"/>
      <c r="E172" s="1823"/>
      <c r="F172" s="573" t="s">
        <v>694</v>
      </c>
      <c r="G172" s="573"/>
      <c r="H172" s="573"/>
      <c r="I172" s="573" t="s">
        <v>4963</v>
      </c>
      <c r="J172" s="572">
        <v>5584.58</v>
      </c>
      <c r="K172" s="573"/>
      <c r="L172" s="572">
        <v>1314.61</v>
      </c>
      <c r="M172" s="571"/>
      <c r="N172" s="570"/>
      <c r="W172" s="537" t="s">
        <v>1401</v>
      </c>
    </row>
    <row r="173" spans="1:31" s="536" customFormat="1" x14ac:dyDescent="0.2">
      <c r="A173" s="569"/>
      <c r="B173" s="671"/>
      <c r="C173" s="665" t="s">
        <v>717</v>
      </c>
      <c r="D173" s="666"/>
      <c r="E173" s="666"/>
      <c r="F173" s="563"/>
      <c r="G173" s="563"/>
      <c r="H173" s="563"/>
      <c r="I173" s="563"/>
      <c r="J173" s="566"/>
      <c r="K173" s="563"/>
      <c r="L173" s="566"/>
      <c r="M173" s="565"/>
      <c r="N173" s="564"/>
    </row>
    <row r="174" spans="1:31" s="536" customFormat="1" x14ac:dyDescent="0.2">
      <c r="A174" s="676"/>
      <c r="B174" s="664"/>
      <c r="C174" s="1822" t="s">
        <v>4964</v>
      </c>
      <c r="D174" s="1822"/>
      <c r="E174" s="1822"/>
      <c r="F174" s="1822"/>
      <c r="G174" s="1822"/>
      <c r="H174" s="1822"/>
      <c r="I174" s="1822"/>
      <c r="J174" s="1822"/>
      <c r="K174" s="1822"/>
      <c r="L174" s="1822"/>
      <c r="M174" s="1822"/>
      <c r="N174" s="1827"/>
      <c r="X174" s="537" t="s">
        <v>4964</v>
      </c>
    </row>
    <row r="175" spans="1:31" s="536" customFormat="1" ht="33.75" x14ac:dyDescent="0.2">
      <c r="A175" s="575" t="s">
        <v>200</v>
      </c>
      <c r="B175" s="670" t="s">
        <v>1416</v>
      </c>
      <c r="C175" s="1823" t="s">
        <v>1417</v>
      </c>
      <c r="D175" s="1823"/>
      <c r="E175" s="1823"/>
      <c r="F175" s="573" t="s">
        <v>862</v>
      </c>
      <c r="G175" s="573"/>
      <c r="H175" s="573"/>
      <c r="I175" s="573" t="s">
        <v>4052</v>
      </c>
      <c r="J175" s="572"/>
      <c r="K175" s="573"/>
      <c r="L175" s="572"/>
      <c r="M175" s="571"/>
      <c r="N175" s="570"/>
      <c r="W175" s="537" t="s">
        <v>1417</v>
      </c>
    </row>
    <row r="176" spans="1:31" s="536" customFormat="1" x14ac:dyDescent="0.2">
      <c r="A176" s="676"/>
      <c r="B176" s="664"/>
      <c r="C176" s="1822" t="s">
        <v>4056</v>
      </c>
      <c r="D176" s="1822"/>
      <c r="E176" s="1822"/>
      <c r="F176" s="1822"/>
      <c r="G176" s="1822"/>
      <c r="H176" s="1822"/>
      <c r="I176" s="1822"/>
      <c r="J176" s="1822"/>
      <c r="K176" s="1822"/>
      <c r="L176" s="1822"/>
      <c r="M176" s="1822"/>
      <c r="N176" s="1827"/>
      <c r="X176" s="537" t="s">
        <v>4056</v>
      </c>
    </row>
    <row r="177" spans="1:30" s="536" customFormat="1" ht="33.75" x14ac:dyDescent="0.2">
      <c r="A177" s="609"/>
      <c r="B177" s="552" t="s">
        <v>310</v>
      </c>
      <c r="C177" s="1822" t="s">
        <v>311</v>
      </c>
      <c r="D177" s="1822"/>
      <c r="E177" s="1822"/>
      <c r="F177" s="1822"/>
      <c r="G177" s="1822"/>
      <c r="H177" s="1822"/>
      <c r="I177" s="1822"/>
      <c r="J177" s="1822"/>
      <c r="K177" s="1822"/>
      <c r="L177" s="1822"/>
      <c r="M177" s="1822"/>
      <c r="N177" s="1827"/>
      <c r="Y177" s="537" t="s">
        <v>311</v>
      </c>
    </row>
    <row r="178" spans="1:30" s="536" customFormat="1" x14ac:dyDescent="0.2">
      <c r="A178" s="605"/>
      <c r="B178" s="552" t="s">
        <v>185</v>
      </c>
      <c r="C178" s="1822" t="s">
        <v>312</v>
      </c>
      <c r="D178" s="1822"/>
      <c r="E178" s="1822"/>
      <c r="F178" s="562"/>
      <c r="G178" s="562"/>
      <c r="H178" s="562"/>
      <c r="I178" s="562"/>
      <c r="J178" s="604">
        <v>170.01</v>
      </c>
      <c r="K178" s="562" t="s">
        <v>313</v>
      </c>
      <c r="L178" s="604">
        <v>26.78</v>
      </c>
      <c r="M178" s="603"/>
      <c r="N178" s="602"/>
      <c r="Z178" s="537" t="s">
        <v>312</v>
      </c>
    </row>
    <row r="179" spans="1:30" s="536" customFormat="1" x14ac:dyDescent="0.2">
      <c r="A179" s="605"/>
      <c r="B179" s="552" t="s">
        <v>186</v>
      </c>
      <c r="C179" s="1822" t="s">
        <v>344</v>
      </c>
      <c r="D179" s="1822"/>
      <c r="E179" s="1822"/>
      <c r="F179" s="562"/>
      <c r="G179" s="562"/>
      <c r="H179" s="562"/>
      <c r="I179" s="562"/>
      <c r="J179" s="604">
        <v>38.6</v>
      </c>
      <c r="K179" s="562" t="s">
        <v>313</v>
      </c>
      <c r="L179" s="604">
        <v>6.08</v>
      </c>
      <c r="M179" s="603"/>
      <c r="N179" s="602"/>
      <c r="Z179" s="537" t="s">
        <v>344</v>
      </c>
    </row>
    <row r="180" spans="1:30" s="536" customFormat="1" x14ac:dyDescent="0.2">
      <c r="A180" s="605"/>
      <c r="B180" s="552" t="s">
        <v>187</v>
      </c>
      <c r="C180" s="1822" t="s">
        <v>345</v>
      </c>
      <c r="D180" s="1822"/>
      <c r="E180" s="1822"/>
      <c r="F180" s="562"/>
      <c r="G180" s="562"/>
      <c r="H180" s="562"/>
      <c r="I180" s="562"/>
      <c r="J180" s="604">
        <v>9.2899999999999991</v>
      </c>
      <c r="K180" s="562" t="s">
        <v>313</v>
      </c>
      <c r="L180" s="604">
        <v>1.46</v>
      </c>
      <c r="M180" s="603"/>
      <c r="N180" s="602"/>
      <c r="Z180" s="537" t="s">
        <v>345</v>
      </c>
    </row>
    <row r="181" spans="1:30" s="536" customFormat="1" x14ac:dyDescent="0.2">
      <c r="A181" s="605"/>
      <c r="B181" s="552" t="s">
        <v>188</v>
      </c>
      <c r="C181" s="1822" t="s">
        <v>475</v>
      </c>
      <c r="D181" s="1822"/>
      <c r="E181" s="1822"/>
      <c r="F181" s="562"/>
      <c r="G181" s="562"/>
      <c r="H181" s="562"/>
      <c r="I181" s="562"/>
      <c r="J181" s="604">
        <v>0.91</v>
      </c>
      <c r="K181" s="562"/>
      <c r="L181" s="604">
        <v>0.11</v>
      </c>
      <c r="M181" s="603"/>
      <c r="N181" s="602"/>
      <c r="Z181" s="537" t="s">
        <v>475</v>
      </c>
    </row>
    <row r="182" spans="1:30" s="536" customFormat="1" x14ac:dyDescent="0.2">
      <c r="A182" s="676"/>
      <c r="B182" s="677" t="s">
        <v>1420</v>
      </c>
      <c r="C182" s="1829" t="s">
        <v>1421</v>
      </c>
      <c r="D182" s="1829"/>
      <c r="E182" s="1829"/>
      <c r="F182" s="678" t="s">
        <v>694</v>
      </c>
      <c r="G182" s="678" t="s">
        <v>1422</v>
      </c>
      <c r="H182" s="678"/>
      <c r="I182" s="678" t="s">
        <v>4965</v>
      </c>
      <c r="J182" s="552"/>
      <c r="K182" s="562"/>
      <c r="L182" s="604"/>
      <c r="M182" s="562"/>
      <c r="N182" s="679"/>
      <c r="AA182" s="537" t="s">
        <v>1421</v>
      </c>
    </row>
    <row r="183" spans="1:30" s="536" customFormat="1" x14ac:dyDescent="0.2">
      <c r="A183" s="605"/>
      <c r="B183" s="552"/>
      <c r="C183" s="1822" t="s">
        <v>314</v>
      </c>
      <c r="D183" s="1822"/>
      <c r="E183" s="1822"/>
      <c r="F183" s="562" t="s">
        <v>315</v>
      </c>
      <c r="G183" s="562" t="s">
        <v>1424</v>
      </c>
      <c r="H183" s="562" t="s">
        <v>313</v>
      </c>
      <c r="I183" s="562" t="s">
        <v>4966</v>
      </c>
      <c r="J183" s="604"/>
      <c r="K183" s="562"/>
      <c r="L183" s="604"/>
      <c r="M183" s="603"/>
      <c r="N183" s="602"/>
      <c r="AB183" s="537" t="s">
        <v>314</v>
      </c>
    </row>
    <row r="184" spans="1:30" s="536" customFormat="1" x14ac:dyDescent="0.2">
      <c r="A184" s="605"/>
      <c r="B184" s="552"/>
      <c r="C184" s="1822" t="s">
        <v>348</v>
      </c>
      <c r="D184" s="1822"/>
      <c r="E184" s="1822"/>
      <c r="F184" s="562" t="s">
        <v>315</v>
      </c>
      <c r="G184" s="562" t="s">
        <v>524</v>
      </c>
      <c r="H184" s="562" t="s">
        <v>313</v>
      </c>
      <c r="I184" s="562" t="s">
        <v>4967</v>
      </c>
      <c r="J184" s="604"/>
      <c r="K184" s="562"/>
      <c r="L184" s="604"/>
      <c r="M184" s="603"/>
      <c r="N184" s="602"/>
      <c r="AB184" s="537" t="s">
        <v>348</v>
      </c>
    </row>
    <row r="185" spans="1:30" s="536" customFormat="1" x14ac:dyDescent="0.2">
      <c r="A185" s="605"/>
      <c r="B185" s="552"/>
      <c r="C185" s="1828" t="s">
        <v>318</v>
      </c>
      <c r="D185" s="1828"/>
      <c r="E185" s="1828"/>
      <c r="F185" s="608"/>
      <c r="G185" s="608"/>
      <c r="H185" s="608"/>
      <c r="I185" s="608"/>
      <c r="J185" s="607">
        <v>209.52</v>
      </c>
      <c r="K185" s="608"/>
      <c r="L185" s="607">
        <v>32.97</v>
      </c>
      <c r="M185" s="601"/>
      <c r="N185" s="606"/>
      <c r="AC185" s="537" t="s">
        <v>318</v>
      </c>
    </row>
    <row r="186" spans="1:30" s="536" customFormat="1" x14ac:dyDescent="0.2">
      <c r="A186" s="605"/>
      <c r="B186" s="552"/>
      <c r="C186" s="1822" t="s">
        <v>319</v>
      </c>
      <c r="D186" s="1822"/>
      <c r="E186" s="1822"/>
      <c r="F186" s="562"/>
      <c r="G186" s="562"/>
      <c r="H186" s="562"/>
      <c r="I186" s="562"/>
      <c r="J186" s="604"/>
      <c r="K186" s="562"/>
      <c r="L186" s="604">
        <v>28.24</v>
      </c>
      <c r="M186" s="603"/>
      <c r="N186" s="602"/>
      <c r="AB186" s="537" t="s">
        <v>319</v>
      </c>
    </row>
    <row r="187" spans="1:30" s="536" customFormat="1" ht="33.75" x14ac:dyDescent="0.2">
      <c r="A187" s="605"/>
      <c r="B187" s="552" t="s">
        <v>1250</v>
      </c>
      <c r="C187" s="1822" t="s">
        <v>1251</v>
      </c>
      <c r="D187" s="1822"/>
      <c r="E187" s="1822"/>
      <c r="F187" s="562" t="s">
        <v>322</v>
      </c>
      <c r="G187" s="562" t="s">
        <v>1252</v>
      </c>
      <c r="H187" s="562"/>
      <c r="I187" s="562" t="s">
        <v>1252</v>
      </c>
      <c r="J187" s="604"/>
      <c r="K187" s="562"/>
      <c r="L187" s="604">
        <v>31.63</v>
      </c>
      <c r="M187" s="603"/>
      <c r="N187" s="602"/>
      <c r="AB187" s="537" t="s">
        <v>1251</v>
      </c>
    </row>
    <row r="188" spans="1:30" s="536" customFormat="1" ht="33.75" x14ac:dyDescent="0.2">
      <c r="A188" s="605"/>
      <c r="B188" s="552" t="s">
        <v>1253</v>
      </c>
      <c r="C188" s="1822" t="s">
        <v>1254</v>
      </c>
      <c r="D188" s="1822"/>
      <c r="E188" s="1822"/>
      <c r="F188" s="562" t="s">
        <v>322</v>
      </c>
      <c r="G188" s="562" t="s">
        <v>796</v>
      </c>
      <c r="H188" s="562"/>
      <c r="I188" s="562" t="s">
        <v>796</v>
      </c>
      <c r="J188" s="604"/>
      <c r="K188" s="562"/>
      <c r="L188" s="604">
        <v>18.36</v>
      </c>
      <c r="M188" s="603"/>
      <c r="N188" s="602"/>
      <c r="AB188" s="537" t="s">
        <v>1254</v>
      </c>
    </row>
    <row r="189" spans="1:30" s="536" customFormat="1" x14ac:dyDescent="0.2">
      <c r="A189" s="569"/>
      <c r="B189" s="671"/>
      <c r="C189" s="1823" t="s">
        <v>327</v>
      </c>
      <c r="D189" s="1823"/>
      <c r="E189" s="1823"/>
      <c r="F189" s="573"/>
      <c r="G189" s="573"/>
      <c r="H189" s="573"/>
      <c r="I189" s="573"/>
      <c r="J189" s="572"/>
      <c r="K189" s="573"/>
      <c r="L189" s="572">
        <v>82.96</v>
      </c>
      <c r="M189" s="601"/>
      <c r="N189" s="570"/>
      <c r="AD189" s="537" t="s">
        <v>327</v>
      </c>
    </row>
    <row r="190" spans="1:30" s="536" customFormat="1" ht="33.75" x14ac:dyDescent="0.2">
      <c r="A190" s="575" t="s">
        <v>425</v>
      </c>
      <c r="B190" s="670" t="s">
        <v>2126</v>
      </c>
      <c r="C190" s="1823" t="s">
        <v>2127</v>
      </c>
      <c r="D190" s="1823"/>
      <c r="E190" s="1823"/>
      <c r="F190" s="573" t="s">
        <v>862</v>
      </c>
      <c r="G190" s="573"/>
      <c r="H190" s="573"/>
      <c r="I190" s="573" t="s">
        <v>4052</v>
      </c>
      <c r="J190" s="572"/>
      <c r="K190" s="573"/>
      <c r="L190" s="572"/>
      <c r="M190" s="571"/>
      <c r="N190" s="570"/>
      <c r="W190" s="537" t="s">
        <v>2127</v>
      </c>
    </row>
    <row r="191" spans="1:30" s="536" customFormat="1" x14ac:dyDescent="0.2">
      <c r="A191" s="676"/>
      <c r="B191" s="664"/>
      <c r="C191" s="1822" t="s">
        <v>4056</v>
      </c>
      <c r="D191" s="1822"/>
      <c r="E191" s="1822"/>
      <c r="F191" s="1822"/>
      <c r="G191" s="1822"/>
      <c r="H191" s="1822"/>
      <c r="I191" s="1822"/>
      <c r="J191" s="1822"/>
      <c r="K191" s="1822"/>
      <c r="L191" s="1822"/>
      <c r="M191" s="1822"/>
      <c r="N191" s="1827"/>
      <c r="X191" s="537" t="s">
        <v>4056</v>
      </c>
    </row>
    <row r="192" spans="1:30" s="536" customFormat="1" ht="33.75" x14ac:dyDescent="0.2">
      <c r="A192" s="609"/>
      <c r="B192" s="552" t="s">
        <v>310</v>
      </c>
      <c r="C192" s="1822" t="s">
        <v>311</v>
      </c>
      <c r="D192" s="1822"/>
      <c r="E192" s="1822"/>
      <c r="F192" s="1822"/>
      <c r="G192" s="1822"/>
      <c r="H192" s="1822"/>
      <c r="I192" s="1822"/>
      <c r="J192" s="1822"/>
      <c r="K192" s="1822"/>
      <c r="L192" s="1822"/>
      <c r="M192" s="1822"/>
      <c r="N192" s="1827"/>
      <c r="Y192" s="537" t="s">
        <v>311</v>
      </c>
    </row>
    <row r="193" spans="1:30" s="536" customFormat="1" x14ac:dyDescent="0.2">
      <c r="A193" s="605"/>
      <c r="B193" s="552" t="s">
        <v>185</v>
      </c>
      <c r="C193" s="1822" t="s">
        <v>312</v>
      </c>
      <c r="D193" s="1822"/>
      <c r="E193" s="1822"/>
      <c r="F193" s="562"/>
      <c r="G193" s="562"/>
      <c r="H193" s="562"/>
      <c r="I193" s="562"/>
      <c r="J193" s="604">
        <v>53.82</v>
      </c>
      <c r="K193" s="562" t="s">
        <v>313</v>
      </c>
      <c r="L193" s="604">
        <v>8.48</v>
      </c>
      <c r="M193" s="603"/>
      <c r="N193" s="602"/>
      <c r="Z193" s="537" t="s">
        <v>312</v>
      </c>
    </row>
    <row r="194" spans="1:30" s="536" customFormat="1" x14ac:dyDescent="0.2">
      <c r="A194" s="605"/>
      <c r="B194" s="552" t="s">
        <v>186</v>
      </c>
      <c r="C194" s="1822" t="s">
        <v>344</v>
      </c>
      <c r="D194" s="1822"/>
      <c r="E194" s="1822"/>
      <c r="F194" s="562"/>
      <c r="G194" s="562"/>
      <c r="H194" s="562"/>
      <c r="I194" s="562"/>
      <c r="J194" s="604">
        <v>19.149999999999999</v>
      </c>
      <c r="K194" s="562" t="s">
        <v>313</v>
      </c>
      <c r="L194" s="604">
        <v>3.02</v>
      </c>
      <c r="M194" s="603"/>
      <c r="N194" s="602"/>
      <c r="Z194" s="537" t="s">
        <v>344</v>
      </c>
    </row>
    <row r="195" spans="1:30" s="536" customFormat="1" x14ac:dyDescent="0.2">
      <c r="A195" s="605"/>
      <c r="B195" s="552" t="s">
        <v>187</v>
      </c>
      <c r="C195" s="1822" t="s">
        <v>345</v>
      </c>
      <c r="D195" s="1822"/>
      <c r="E195" s="1822"/>
      <c r="F195" s="562"/>
      <c r="G195" s="562"/>
      <c r="H195" s="562"/>
      <c r="I195" s="562"/>
      <c r="J195" s="604">
        <v>4.58</v>
      </c>
      <c r="K195" s="562" t="s">
        <v>313</v>
      </c>
      <c r="L195" s="604">
        <v>0.72</v>
      </c>
      <c r="M195" s="603"/>
      <c r="N195" s="602"/>
      <c r="Z195" s="537" t="s">
        <v>345</v>
      </c>
    </row>
    <row r="196" spans="1:30" s="536" customFormat="1" x14ac:dyDescent="0.2">
      <c r="A196" s="605"/>
      <c r="B196" s="552" t="s">
        <v>188</v>
      </c>
      <c r="C196" s="1822" t="s">
        <v>475</v>
      </c>
      <c r="D196" s="1822"/>
      <c r="E196" s="1822"/>
      <c r="F196" s="562"/>
      <c r="G196" s="562"/>
      <c r="H196" s="562"/>
      <c r="I196" s="562"/>
      <c r="J196" s="604">
        <v>0.55000000000000004</v>
      </c>
      <c r="K196" s="562"/>
      <c r="L196" s="604">
        <v>7.0000000000000007E-2</v>
      </c>
      <c r="M196" s="603"/>
      <c r="N196" s="602"/>
      <c r="Z196" s="537" t="s">
        <v>475</v>
      </c>
    </row>
    <row r="197" spans="1:30" s="536" customFormat="1" x14ac:dyDescent="0.2">
      <c r="A197" s="676"/>
      <c r="B197" s="677" t="s">
        <v>1420</v>
      </c>
      <c r="C197" s="1829" t="s">
        <v>1421</v>
      </c>
      <c r="D197" s="1829"/>
      <c r="E197" s="1829"/>
      <c r="F197" s="678" t="s">
        <v>694</v>
      </c>
      <c r="G197" s="678" t="s">
        <v>646</v>
      </c>
      <c r="H197" s="678"/>
      <c r="I197" s="678" t="s">
        <v>4968</v>
      </c>
      <c r="J197" s="552"/>
      <c r="K197" s="562"/>
      <c r="L197" s="604"/>
      <c r="M197" s="562"/>
      <c r="N197" s="679"/>
      <c r="AA197" s="537" t="s">
        <v>1421</v>
      </c>
    </row>
    <row r="198" spans="1:30" s="536" customFormat="1" x14ac:dyDescent="0.2">
      <c r="A198" s="605"/>
      <c r="B198" s="552"/>
      <c r="C198" s="1822" t="s">
        <v>314</v>
      </c>
      <c r="D198" s="1822"/>
      <c r="E198" s="1822"/>
      <c r="F198" s="562" t="s">
        <v>315</v>
      </c>
      <c r="G198" s="562" t="s">
        <v>2129</v>
      </c>
      <c r="H198" s="562" t="s">
        <v>313</v>
      </c>
      <c r="I198" s="562" t="s">
        <v>4969</v>
      </c>
      <c r="J198" s="604"/>
      <c r="K198" s="562"/>
      <c r="L198" s="604"/>
      <c r="M198" s="603"/>
      <c r="N198" s="602"/>
      <c r="AB198" s="537" t="s">
        <v>314</v>
      </c>
    </row>
    <row r="199" spans="1:30" s="536" customFormat="1" x14ac:dyDescent="0.2">
      <c r="A199" s="605"/>
      <c r="B199" s="552"/>
      <c r="C199" s="1822" t="s">
        <v>348</v>
      </c>
      <c r="D199" s="1822"/>
      <c r="E199" s="1822"/>
      <c r="F199" s="562" t="s">
        <v>315</v>
      </c>
      <c r="G199" s="562" t="s">
        <v>2131</v>
      </c>
      <c r="H199" s="562" t="s">
        <v>313</v>
      </c>
      <c r="I199" s="562" t="s">
        <v>4970</v>
      </c>
      <c r="J199" s="604"/>
      <c r="K199" s="562"/>
      <c r="L199" s="604"/>
      <c r="M199" s="603"/>
      <c r="N199" s="602"/>
      <c r="AB199" s="537" t="s">
        <v>348</v>
      </c>
    </row>
    <row r="200" spans="1:30" s="536" customFormat="1" x14ac:dyDescent="0.2">
      <c r="A200" s="605"/>
      <c r="B200" s="552"/>
      <c r="C200" s="1828" t="s">
        <v>318</v>
      </c>
      <c r="D200" s="1828"/>
      <c r="E200" s="1828"/>
      <c r="F200" s="608"/>
      <c r="G200" s="608"/>
      <c r="H200" s="608"/>
      <c r="I200" s="608"/>
      <c r="J200" s="607">
        <v>73.52</v>
      </c>
      <c r="K200" s="608"/>
      <c r="L200" s="607">
        <v>11.57</v>
      </c>
      <c r="M200" s="601"/>
      <c r="N200" s="606"/>
      <c r="AC200" s="537" t="s">
        <v>318</v>
      </c>
    </row>
    <row r="201" spans="1:30" s="536" customFormat="1" x14ac:dyDescent="0.2">
      <c r="A201" s="605"/>
      <c r="B201" s="552"/>
      <c r="C201" s="1822" t="s">
        <v>319</v>
      </c>
      <c r="D201" s="1822"/>
      <c r="E201" s="1822"/>
      <c r="F201" s="562"/>
      <c r="G201" s="562"/>
      <c r="H201" s="562"/>
      <c r="I201" s="562"/>
      <c r="J201" s="604"/>
      <c r="K201" s="562"/>
      <c r="L201" s="604">
        <v>9.1999999999999993</v>
      </c>
      <c r="M201" s="603"/>
      <c r="N201" s="602"/>
      <c r="AB201" s="537" t="s">
        <v>319</v>
      </c>
    </row>
    <row r="202" spans="1:30" s="536" customFormat="1" ht="33.75" x14ac:dyDescent="0.2">
      <c r="A202" s="605"/>
      <c r="B202" s="552" t="s">
        <v>1250</v>
      </c>
      <c r="C202" s="1822" t="s">
        <v>1251</v>
      </c>
      <c r="D202" s="1822"/>
      <c r="E202" s="1822"/>
      <c r="F202" s="562" t="s">
        <v>322</v>
      </c>
      <c r="G202" s="562" t="s">
        <v>1252</v>
      </c>
      <c r="H202" s="562"/>
      <c r="I202" s="562" t="s">
        <v>1252</v>
      </c>
      <c r="J202" s="604"/>
      <c r="K202" s="562"/>
      <c r="L202" s="604">
        <v>10.3</v>
      </c>
      <c r="M202" s="603"/>
      <c r="N202" s="602"/>
      <c r="AB202" s="537" t="s">
        <v>1251</v>
      </c>
    </row>
    <row r="203" spans="1:30" s="536" customFormat="1" ht="33.75" x14ac:dyDescent="0.2">
      <c r="A203" s="605"/>
      <c r="B203" s="552" t="s">
        <v>1253</v>
      </c>
      <c r="C203" s="1822" t="s">
        <v>1254</v>
      </c>
      <c r="D203" s="1822"/>
      <c r="E203" s="1822"/>
      <c r="F203" s="562" t="s">
        <v>322</v>
      </c>
      <c r="G203" s="562" t="s">
        <v>796</v>
      </c>
      <c r="H203" s="562"/>
      <c r="I203" s="562" t="s">
        <v>796</v>
      </c>
      <c r="J203" s="604"/>
      <c r="K203" s="562"/>
      <c r="L203" s="604">
        <v>5.98</v>
      </c>
      <c r="M203" s="603"/>
      <c r="N203" s="602"/>
      <c r="AB203" s="537" t="s">
        <v>1254</v>
      </c>
    </row>
    <row r="204" spans="1:30" s="536" customFormat="1" x14ac:dyDescent="0.2">
      <c r="A204" s="569"/>
      <c r="B204" s="671"/>
      <c r="C204" s="1823" t="s">
        <v>327</v>
      </c>
      <c r="D204" s="1823"/>
      <c r="E204" s="1823"/>
      <c r="F204" s="573"/>
      <c r="G204" s="573"/>
      <c r="H204" s="573"/>
      <c r="I204" s="573"/>
      <c r="J204" s="572"/>
      <c r="K204" s="573"/>
      <c r="L204" s="572">
        <v>27.85</v>
      </c>
      <c r="M204" s="601"/>
      <c r="N204" s="570"/>
      <c r="AD204" s="537" t="s">
        <v>327</v>
      </c>
    </row>
    <row r="205" spans="1:30" s="536" customFormat="1" ht="22.5" x14ac:dyDescent="0.2">
      <c r="A205" s="575" t="s">
        <v>430</v>
      </c>
      <c r="B205" s="670" t="s">
        <v>1427</v>
      </c>
      <c r="C205" s="1823" t="s">
        <v>1428</v>
      </c>
      <c r="D205" s="1823"/>
      <c r="E205" s="1823"/>
      <c r="F205" s="573" t="s">
        <v>699</v>
      </c>
      <c r="G205" s="573"/>
      <c r="H205" s="573"/>
      <c r="I205" s="573" t="s">
        <v>4971</v>
      </c>
      <c r="J205" s="572">
        <v>9.15</v>
      </c>
      <c r="K205" s="573"/>
      <c r="L205" s="572">
        <v>184.46</v>
      </c>
      <c r="M205" s="571"/>
      <c r="N205" s="570"/>
      <c r="W205" s="537" t="s">
        <v>1428</v>
      </c>
    </row>
    <row r="206" spans="1:30" s="536" customFormat="1" x14ac:dyDescent="0.2">
      <c r="A206" s="569"/>
      <c r="B206" s="671"/>
      <c r="C206" s="665" t="s">
        <v>717</v>
      </c>
      <c r="D206" s="666"/>
      <c r="E206" s="666"/>
      <c r="F206" s="563"/>
      <c r="G206" s="563"/>
      <c r="H206" s="563"/>
      <c r="I206" s="563"/>
      <c r="J206" s="566"/>
      <c r="K206" s="563"/>
      <c r="L206" s="566"/>
      <c r="M206" s="565"/>
      <c r="N206" s="564"/>
    </row>
    <row r="207" spans="1:30" s="536" customFormat="1" x14ac:dyDescent="0.2">
      <c r="A207" s="676"/>
      <c r="B207" s="664"/>
      <c r="C207" s="1822" t="s">
        <v>4972</v>
      </c>
      <c r="D207" s="1822"/>
      <c r="E207" s="1822"/>
      <c r="F207" s="1822"/>
      <c r="G207" s="1822"/>
      <c r="H207" s="1822"/>
      <c r="I207" s="1822"/>
      <c r="J207" s="1822"/>
      <c r="K207" s="1822"/>
      <c r="L207" s="1822"/>
      <c r="M207" s="1822"/>
      <c r="N207" s="1827"/>
      <c r="X207" s="537" t="s">
        <v>4972</v>
      </c>
    </row>
    <row r="208" spans="1:30" s="536" customFormat="1" ht="1.5" customHeight="1" x14ac:dyDescent="0.2">
      <c r="A208" s="563"/>
      <c r="B208" s="671"/>
      <c r="C208" s="671"/>
      <c r="D208" s="671"/>
      <c r="E208" s="671"/>
      <c r="F208" s="563"/>
      <c r="G208" s="563"/>
      <c r="H208" s="563"/>
      <c r="I208" s="563"/>
      <c r="J208" s="546"/>
      <c r="K208" s="563"/>
      <c r="L208" s="546"/>
      <c r="M208" s="562"/>
      <c r="N208" s="546"/>
    </row>
    <row r="209" spans="1:33" s="536" customFormat="1" x14ac:dyDescent="0.2">
      <c r="A209" s="557"/>
      <c r="B209" s="556"/>
      <c r="C209" s="1823" t="s">
        <v>4976</v>
      </c>
      <c r="D209" s="1823"/>
      <c r="E209" s="1823"/>
      <c r="F209" s="1823"/>
      <c r="G209" s="1823"/>
      <c r="H209" s="1823"/>
      <c r="I209" s="1823"/>
      <c r="J209" s="1823"/>
      <c r="K209" s="1823"/>
      <c r="L209" s="555"/>
      <c r="M209" s="554"/>
      <c r="N209" s="553"/>
      <c r="AF209" s="537" t="s">
        <v>4976</v>
      </c>
    </row>
    <row r="210" spans="1:33" s="536" customFormat="1" x14ac:dyDescent="0.2">
      <c r="A210" s="548"/>
      <c r="B210" s="552"/>
      <c r="C210" s="1822" t="s">
        <v>403</v>
      </c>
      <c r="D210" s="1822"/>
      <c r="E210" s="1822"/>
      <c r="F210" s="1822"/>
      <c r="G210" s="1822"/>
      <c r="H210" s="1822"/>
      <c r="I210" s="1822"/>
      <c r="J210" s="1822"/>
      <c r="K210" s="1822"/>
      <c r="L210" s="551">
        <v>4333.53</v>
      </c>
      <c r="M210" s="550"/>
      <c r="N210" s="549"/>
      <c r="AG210" s="537" t="s">
        <v>403</v>
      </c>
    </row>
    <row r="211" spans="1:33" s="536" customFormat="1" x14ac:dyDescent="0.2">
      <c r="A211" s="548"/>
      <c r="B211" s="552"/>
      <c r="C211" s="1822" t="s">
        <v>204</v>
      </c>
      <c r="D211" s="1822"/>
      <c r="E211" s="1822"/>
      <c r="F211" s="1822"/>
      <c r="G211" s="1822"/>
      <c r="H211" s="1822"/>
      <c r="I211" s="1822"/>
      <c r="J211" s="1822"/>
      <c r="K211" s="1822"/>
      <c r="L211" s="551"/>
      <c r="M211" s="550"/>
      <c r="N211" s="549"/>
      <c r="AG211" s="537" t="s">
        <v>204</v>
      </c>
    </row>
    <row r="212" spans="1:33" s="536" customFormat="1" x14ac:dyDescent="0.2">
      <c r="A212" s="548"/>
      <c r="B212" s="552"/>
      <c r="C212" s="1822" t="s">
        <v>404</v>
      </c>
      <c r="D212" s="1822"/>
      <c r="E212" s="1822"/>
      <c r="F212" s="1822"/>
      <c r="G212" s="1822"/>
      <c r="H212" s="1822"/>
      <c r="I212" s="1822"/>
      <c r="J212" s="1822"/>
      <c r="K212" s="1822"/>
      <c r="L212" s="551">
        <v>100.22</v>
      </c>
      <c r="M212" s="550"/>
      <c r="N212" s="549"/>
      <c r="AG212" s="537" t="s">
        <v>404</v>
      </c>
    </row>
    <row r="213" spans="1:33" s="536" customFormat="1" x14ac:dyDescent="0.2">
      <c r="A213" s="548"/>
      <c r="B213" s="552"/>
      <c r="C213" s="1822" t="s">
        <v>405</v>
      </c>
      <c r="D213" s="1822"/>
      <c r="E213" s="1822"/>
      <c r="F213" s="1822"/>
      <c r="G213" s="1822"/>
      <c r="H213" s="1822"/>
      <c r="I213" s="1822"/>
      <c r="J213" s="1822"/>
      <c r="K213" s="1822"/>
      <c r="L213" s="551">
        <v>114.07</v>
      </c>
      <c r="M213" s="550"/>
      <c r="N213" s="549"/>
      <c r="AG213" s="537" t="s">
        <v>405</v>
      </c>
    </row>
    <row r="214" spans="1:33" s="536" customFormat="1" x14ac:dyDescent="0.2">
      <c r="A214" s="548"/>
      <c r="B214" s="552"/>
      <c r="C214" s="1822" t="s">
        <v>406</v>
      </c>
      <c r="D214" s="1822"/>
      <c r="E214" s="1822"/>
      <c r="F214" s="1822"/>
      <c r="G214" s="1822"/>
      <c r="H214" s="1822"/>
      <c r="I214" s="1822"/>
      <c r="J214" s="1822"/>
      <c r="K214" s="1822"/>
      <c r="L214" s="551">
        <v>18.2</v>
      </c>
      <c r="M214" s="550"/>
      <c r="N214" s="549"/>
      <c r="AG214" s="537" t="s">
        <v>406</v>
      </c>
    </row>
    <row r="215" spans="1:33" s="536" customFormat="1" x14ac:dyDescent="0.2">
      <c r="A215" s="548"/>
      <c r="B215" s="552"/>
      <c r="C215" s="1822" t="s">
        <v>480</v>
      </c>
      <c r="D215" s="1822"/>
      <c r="E215" s="1822"/>
      <c r="F215" s="1822"/>
      <c r="G215" s="1822"/>
      <c r="H215" s="1822"/>
      <c r="I215" s="1822"/>
      <c r="J215" s="1822"/>
      <c r="K215" s="1822"/>
      <c r="L215" s="551">
        <v>4119.24</v>
      </c>
      <c r="M215" s="550"/>
      <c r="N215" s="549"/>
      <c r="AG215" s="537" t="s">
        <v>480</v>
      </c>
    </row>
    <row r="216" spans="1:33" s="536" customFormat="1" x14ac:dyDescent="0.2">
      <c r="A216" s="548"/>
      <c r="B216" s="552" t="s">
        <v>185</v>
      </c>
      <c r="C216" s="1822" t="s">
        <v>407</v>
      </c>
      <c r="D216" s="1822"/>
      <c r="E216" s="1822"/>
      <c r="F216" s="1822"/>
      <c r="G216" s="1822"/>
      <c r="H216" s="1822"/>
      <c r="I216" s="1822"/>
      <c r="J216" s="1822"/>
      <c r="K216" s="1822"/>
      <c r="L216" s="551">
        <v>4529.37</v>
      </c>
      <c r="M216" s="550"/>
      <c r="N216" s="549"/>
      <c r="AG216" s="537" t="s">
        <v>407</v>
      </c>
    </row>
    <row r="217" spans="1:33" s="536" customFormat="1" x14ac:dyDescent="0.2">
      <c r="A217" s="548"/>
      <c r="B217" s="552"/>
      <c r="C217" s="1822" t="s">
        <v>204</v>
      </c>
      <c r="D217" s="1822"/>
      <c r="E217" s="1822"/>
      <c r="F217" s="1822"/>
      <c r="G217" s="1822"/>
      <c r="H217" s="1822"/>
      <c r="I217" s="1822"/>
      <c r="J217" s="1822"/>
      <c r="K217" s="1822"/>
      <c r="L217" s="551"/>
      <c r="M217" s="550"/>
      <c r="N217" s="549"/>
      <c r="AG217" s="537" t="s">
        <v>204</v>
      </c>
    </row>
    <row r="218" spans="1:33" s="536" customFormat="1" x14ac:dyDescent="0.2">
      <c r="A218" s="548"/>
      <c r="B218" s="552"/>
      <c r="C218" s="1822" t="s">
        <v>546</v>
      </c>
      <c r="D218" s="1822"/>
      <c r="E218" s="1822"/>
      <c r="F218" s="1822"/>
      <c r="G218" s="1822"/>
      <c r="H218" s="1822"/>
      <c r="I218" s="1822"/>
      <c r="J218" s="1822"/>
      <c r="K218" s="1822"/>
      <c r="L218" s="551">
        <v>100.22</v>
      </c>
      <c r="M218" s="550"/>
      <c r="N218" s="549"/>
      <c r="AG218" s="537" t="s">
        <v>546</v>
      </c>
    </row>
    <row r="219" spans="1:33" s="536" customFormat="1" x14ac:dyDescent="0.2">
      <c r="A219" s="548"/>
      <c r="B219" s="552"/>
      <c r="C219" s="1822" t="s">
        <v>442</v>
      </c>
      <c r="D219" s="1822"/>
      <c r="E219" s="1822"/>
      <c r="F219" s="1822"/>
      <c r="G219" s="1822"/>
      <c r="H219" s="1822"/>
      <c r="I219" s="1822"/>
      <c r="J219" s="1822"/>
      <c r="K219" s="1822"/>
      <c r="L219" s="551">
        <v>114.07</v>
      </c>
      <c r="M219" s="550"/>
      <c r="N219" s="549"/>
      <c r="AG219" s="537" t="s">
        <v>442</v>
      </c>
    </row>
    <row r="220" spans="1:33" s="536" customFormat="1" x14ac:dyDescent="0.2">
      <c r="A220" s="548"/>
      <c r="B220" s="552"/>
      <c r="C220" s="1822" t="s">
        <v>547</v>
      </c>
      <c r="D220" s="1822"/>
      <c r="E220" s="1822"/>
      <c r="F220" s="1822"/>
      <c r="G220" s="1822"/>
      <c r="H220" s="1822"/>
      <c r="I220" s="1822"/>
      <c r="J220" s="1822"/>
      <c r="K220" s="1822"/>
      <c r="L220" s="551">
        <v>4119.24</v>
      </c>
      <c r="M220" s="550"/>
      <c r="N220" s="549"/>
      <c r="AG220" s="537" t="s">
        <v>547</v>
      </c>
    </row>
    <row r="221" spans="1:33" s="536" customFormat="1" x14ac:dyDescent="0.2">
      <c r="A221" s="548"/>
      <c r="B221" s="552"/>
      <c r="C221" s="1822" t="s">
        <v>443</v>
      </c>
      <c r="D221" s="1822"/>
      <c r="E221" s="1822"/>
      <c r="F221" s="1822"/>
      <c r="G221" s="1822"/>
      <c r="H221" s="1822"/>
      <c r="I221" s="1822"/>
      <c r="J221" s="1822"/>
      <c r="K221" s="1822"/>
      <c r="L221" s="551">
        <v>124.53</v>
      </c>
      <c r="M221" s="550"/>
      <c r="N221" s="549"/>
      <c r="AG221" s="537" t="s">
        <v>443</v>
      </c>
    </row>
    <row r="222" spans="1:33" s="536" customFormat="1" x14ac:dyDescent="0.2">
      <c r="A222" s="548"/>
      <c r="B222" s="552"/>
      <c r="C222" s="1822" t="s">
        <v>444</v>
      </c>
      <c r="D222" s="1822"/>
      <c r="E222" s="1822"/>
      <c r="F222" s="1822"/>
      <c r="G222" s="1822"/>
      <c r="H222" s="1822"/>
      <c r="I222" s="1822"/>
      <c r="J222" s="1822"/>
      <c r="K222" s="1822"/>
      <c r="L222" s="551">
        <v>71.31</v>
      </c>
      <c r="M222" s="550"/>
      <c r="N222" s="549"/>
      <c r="AG222" s="537" t="s">
        <v>444</v>
      </c>
    </row>
    <row r="223" spans="1:33" s="536" customFormat="1" x14ac:dyDescent="0.2">
      <c r="A223" s="548"/>
      <c r="B223" s="552"/>
      <c r="C223" s="1822" t="s">
        <v>415</v>
      </c>
      <c r="D223" s="1822"/>
      <c r="E223" s="1822"/>
      <c r="F223" s="1822"/>
      <c r="G223" s="1822"/>
      <c r="H223" s="1822"/>
      <c r="I223" s="1822"/>
      <c r="J223" s="1822"/>
      <c r="K223" s="1822"/>
      <c r="L223" s="551">
        <v>118.42</v>
      </c>
      <c r="M223" s="550"/>
      <c r="N223" s="549"/>
      <c r="AG223" s="537" t="s">
        <v>415</v>
      </c>
    </row>
    <row r="224" spans="1:33" s="536" customFormat="1" x14ac:dyDescent="0.2">
      <c r="A224" s="548"/>
      <c r="B224" s="552"/>
      <c r="C224" s="1822" t="s">
        <v>416</v>
      </c>
      <c r="D224" s="1822"/>
      <c r="E224" s="1822"/>
      <c r="F224" s="1822"/>
      <c r="G224" s="1822"/>
      <c r="H224" s="1822"/>
      <c r="I224" s="1822"/>
      <c r="J224" s="1822"/>
      <c r="K224" s="1822"/>
      <c r="L224" s="551">
        <v>124.53</v>
      </c>
      <c r="M224" s="550"/>
      <c r="N224" s="549"/>
      <c r="AG224" s="537" t="s">
        <v>416</v>
      </c>
    </row>
    <row r="225" spans="1:34" s="536" customFormat="1" x14ac:dyDescent="0.2">
      <c r="A225" s="548"/>
      <c r="B225" s="552"/>
      <c r="C225" s="1822" t="s">
        <v>417</v>
      </c>
      <c r="D225" s="1822"/>
      <c r="E225" s="1822"/>
      <c r="F225" s="1822"/>
      <c r="G225" s="1822"/>
      <c r="H225" s="1822"/>
      <c r="I225" s="1822"/>
      <c r="J225" s="1822"/>
      <c r="K225" s="1822"/>
      <c r="L225" s="551">
        <v>71.31</v>
      </c>
      <c r="M225" s="550"/>
      <c r="N225" s="549"/>
      <c r="AG225" s="537" t="s">
        <v>417</v>
      </c>
    </row>
    <row r="226" spans="1:34" s="536" customFormat="1" x14ac:dyDescent="0.2">
      <c r="A226" s="548"/>
      <c r="B226" s="546"/>
      <c r="C226" s="1819" t="s">
        <v>4977</v>
      </c>
      <c r="D226" s="1819"/>
      <c r="E226" s="1819"/>
      <c r="F226" s="1819"/>
      <c r="G226" s="1819"/>
      <c r="H226" s="1819"/>
      <c r="I226" s="1819"/>
      <c r="J226" s="1819"/>
      <c r="K226" s="1819"/>
      <c r="L226" s="544">
        <v>4529.37</v>
      </c>
      <c r="M226" s="543"/>
      <c r="N226" s="681"/>
      <c r="AH226" s="537" t="s">
        <v>4977</v>
      </c>
    </row>
    <row r="227" spans="1:34" s="536" customFormat="1" ht="12" x14ac:dyDescent="0.2">
      <c r="A227" s="1824" t="s">
        <v>1124</v>
      </c>
      <c r="B227" s="1825"/>
      <c r="C227" s="1825"/>
      <c r="D227" s="1825"/>
      <c r="E227" s="1825"/>
      <c r="F227" s="1825"/>
      <c r="G227" s="1825"/>
      <c r="H227" s="1825"/>
      <c r="I227" s="1825"/>
      <c r="J227" s="1825"/>
      <c r="K227" s="1825"/>
      <c r="L227" s="1825"/>
      <c r="M227" s="1825"/>
      <c r="N227" s="1826"/>
      <c r="V227" s="537" t="s">
        <v>1124</v>
      </c>
    </row>
    <row r="228" spans="1:34" s="536" customFormat="1" ht="67.5" x14ac:dyDescent="0.2">
      <c r="A228" s="575" t="s">
        <v>436</v>
      </c>
      <c r="B228" s="670" t="s">
        <v>4978</v>
      </c>
      <c r="C228" s="1823" t="s">
        <v>3763</v>
      </c>
      <c r="D228" s="1823"/>
      <c r="E228" s="1823"/>
      <c r="F228" s="573" t="s">
        <v>201</v>
      </c>
      <c r="G228" s="573"/>
      <c r="H228" s="573"/>
      <c r="I228" s="573" t="s">
        <v>1072</v>
      </c>
      <c r="J228" s="572">
        <v>76.88</v>
      </c>
      <c r="K228" s="573"/>
      <c r="L228" s="572">
        <v>36.130000000000003</v>
      </c>
      <c r="M228" s="571"/>
      <c r="N228" s="570"/>
      <c r="W228" s="537" t="s">
        <v>3763</v>
      </c>
    </row>
    <row r="229" spans="1:34" s="536" customFormat="1" x14ac:dyDescent="0.2">
      <c r="A229" s="569"/>
      <c r="B229" s="671"/>
      <c r="C229" s="665" t="s">
        <v>717</v>
      </c>
      <c r="D229" s="666"/>
      <c r="E229" s="666"/>
      <c r="F229" s="563"/>
      <c r="G229" s="563"/>
      <c r="H229" s="563"/>
      <c r="I229" s="563"/>
      <c r="J229" s="566"/>
      <c r="K229" s="563"/>
      <c r="L229" s="566"/>
      <c r="M229" s="565"/>
      <c r="N229" s="564"/>
    </row>
    <row r="230" spans="1:34" s="536" customFormat="1" x14ac:dyDescent="0.2">
      <c r="A230" s="676"/>
      <c r="B230" s="664"/>
      <c r="C230" s="1822" t="s">
        <v>4979</v>
      </c>
      <c r="D230" s="1822"/>
      <c r="E230" s="1822"/>
      <c r="F230" s="1822"/>
      <c r="G230" s="1822"/>
      <c r="H230" s="1822"/>
      <c r="I230" s="1822"/>
      <c r="J230" s="1822"/>
      <c r="K230" s="1822"/>
      <c r="L230" s="1822"/>
      <c r="M230" s="1822"/>
      <c r="N230" s="1827"/>
      <c r="X230" s="537" t="s">
        <v>4979</v>
      </c>
    </row>
    <row r="231" spans="1:34" s="536" customFormat="1" ht="67.5" x14ac:dyDescent="0.2">
      <c r="A231" s="575" t="s">
        <v>733</v>
      </c>
      <c r="B231" s="670" t="s">
        <v>1616</v>
      </c>
      <c r="C231" s="1823" t="s">
        <v>3765</v>
      </c>
      <c r="D231" s="1823"/>
      <c r="E231" s="1823"/>
      <c r="F231" s="573" t="s">
        <v>201</v>
      </c>
      <c r="G231" s="573"/>
      <c r="H231" s="573"/>
      <c r="I231" s="573" t="s">
        <v>4980</v>
      </c>
      <c r="J231" s="572">
        <v>90.45</v>
      </c>
      <c r="K231" s="573"/>
      <c r="L231" s="572">
        <v>7.96</v>
      </c>
      <c r="M231" s="571"/>
      <c r="N231" s="570"/>
      <c r="W231" s="537" t="s">
        <v>3765</v>
      </c>
    </row>
    <row r="232" spans="1:34" s="536" customFormat="1" x14ac:dyDescent="0.2">
      <c r="A232" s="569"/>
      <c r="B232" s="671"/>
      <c r="C232" s="665" t="s">
        <v>717</v>
      </c>
      <c r="D232" s="666"/>
      <c r="E232" s="666"/>
      <c r="F232" s="563"/>
      <c r="G232" s="563"/>
      <c r="H232" s="563"/>
      <c r="I232" s="563"/>
      <c r="J232" s="566"/>
      <c r="K232" s="563"/>
      <c r="L232" s="566"/>
      <c r="M232" s="565"/>
      <c r="N232" s="564"/>
    </row>
    <row r="233" spans="1:34" s="536" customFormat="1" x14ac:dyDescent="0.2">
      <c r="A233" s="676"/>
      <c r="B233" s="664"/>
      <c r="C233" s="1822" t="s">
        <v>4981</v>
      </c>
      <c r="D233" s="1822"/>
      <c r="E233" s="1822"/>
      <c r="F233" s="1822"/>
      <c r="G233" s="1822"/>
      <c r="H233" s="1822"/>
      <c r="I233" s="1822"/>
      <c r="J233" s="1822"/>
      <c r="K233" s="1822"/>
      <c r="L233" s="1822"/>
      <c r="M233" s="1822"/>
      <c r="N233" s="1827"/>
      <c r="X233" s="537" t="s">
        <v>4981</v>
      </c>
    </row>
    <row r="234" spans="1:34" s="536" customFormat="1" ht="1.5" customHeight="1" x14ac:dyDescent="0.2">
      <c r="A234" s="563"/>
      <c r="B234" s="671"/>
      <c r="C234" s="671"/>
      <c r="D234" s="671"/>
      <c r="E234" s="671"/>
      <c r="F234" s="563"/>
      <c r="G234" s="563"/>
      <c r="H234" s="563"/>
      <c r="I234" s="563"/>
      <c r="J234" s="546"/>
      <c r="K234" s="563"/>
      <c r="L234" s="546"/>
      <c r="M234" s="562"/>
      <c r="N234" s="546"/>
    </row>
    <row r="235" spans="1:34" s="536" customFormat="1" ht="22.5" x14ac:dyDescent="0.2">
      <c r="A235" s="557"/>
      <c r="B235" s="556"/>
      <c r="C235" s="1823" t="s">
        <v>1138</v>
      </c>
      <c r="D235" s="1823"/>
      <c r="E235" s="1823"/>
      <c r="F235" s="1823"/>
      <c r="G235" s="1823"/>
      <c r="H235" s="1823"/>
      <c r="I235" s="1823"/>
      <c r="J235" s="1823"/>
      <c r="K235" s="1823"/>
      <c r="L235" s="555"/>
      <c r="M235" s="554"/>
      <c r="N235" s="553"/>
      <c r="AF235" s="537" t="s">
        <v>1138</v>
      </c>
    </row>
    <row r="236" spans="1:34" s="536" customFormat="1" x14ac:dyDescent="0.2">
      <c r="A236" s="548"/>
      <c r="B236" s="552"/>
      <c r="C236" s="1822" t="s">
        <v>403</v>
      </c>
      <c r="D236" s="1822"/>
      <c r="E236" s="1822"/>
      <c r="F236" s="1822"/>
      <c r="G236" s="1822"/>
      <c r="H236" s="1822"/>
      <c r="I236" s="1822"/>
      <c r="J236" s="1822"/>
      <c r="K236" s="1822"/>
      <c r="L236" s="551">
        <v>44.09</v>
      </c>
      <c r="M236" s="550"/>
      <c r="N236" s="549"/>
      <c r="AG236" s="537" t="s">
        <v>403</v>
      </c>
    </row>
    <row r="237" spans="1:34" s="536" customFormat="1" x14ac:dyDescent="0.2">
      <c r="A237" s="548"/>
      <c r="B237" s="552"/>
      <c r="C237" s="1822" t="s">
        <v>204</v>
      </c>
      <c r="D237" s="1822"/>
      <c r="E237" s="1822"/>
      <c r="F237" s="1822"/>
      <c r="G237" s="1822"/>
      <c r="H237" s="1822"/>
      <c r="I237" s="1822"/>
      <c r="J237" s="1822"/>
      <c r="K237" s="1822"/>
      <c r="L237" s="551"/>
      <c r="M237" s="550"/>
      <c r="N237" s="549"/>
      <c r="AG237" s="537" t="s">
        <v>204</v>
      </c>
    </row>
    <row r="238" spans="1:34" s="536" customFormat="1" x14ac:dyDescent="0.2">
      <c r="A238" s="548"/>
      <c r="B238" s="552"/>
      <c r="C238" s="1822" t="s">
        <v>480</v>
      </c>
      <c r="D238" s="1822"/>
      <c r="E238" s="1822"/>
      <c r="F238" s="1822"/>
      <c r="G238" s="1822"/>
      <c r="H238" s="1822"/>
      <c r="I238" s="1822"/>
      <c r="J238" s="1822"/>
      <c r="K238" s="1822"/>
      <c r="L238" s="551">
        <v>44.09</v>
      </c>
      <c r="M238" s="550"/>
      <c r="N238" s="549"/>
      <c r="AG238" s="537" t="s">
        <v>480</v>
      </c>
    </row>
    <row r="239" spans="1:34" s="536" customFormat="1" x14ac:dyDescent="0.2">
      <c r="A239" s="548"/>
      <c r="B239" s="552" t="s">
        <v>185</v>
      </c>
      <c r="C239" s="1822" t="s">
        <v>407</v>
      </c>
      <c r="D239" s="1822"/>
      <c r="E239" s="1822"/>
      <c r="F239" s="1822"/>
      <c r="G239" s="1822"/>
      <c r="H239" s="1822"/>
      <c r="I239" s="1822"/>
      <c r="J239" s="1822"/>
      <c r="K239" s="1822"/>
      <c r="L239" s="551">
        <v>44.09</v>
      </c>
      <c r="M239" s="550"/>
      <c r="N239" s="549"/>
      <c r="AG239" s="537" t="s">
        <v>407</v>
      </c>
    </row>
    <row r="240" spans="1:34" s="536" customFormat="1" x14ac:dyDescent="0.2">
      <c r="A240" s="548"/>
      <c r="B240" s="552"/>
      <c r="C240" s="1822" t="s">
        <v>204</v>
      </c>
      <c r="D240" s="1822"/>
      <c r="E240" s="1822"/>
      <c r="F240" s="1822"/>
      <c r="G240" s="1822"/>
      <c r="H240" s="1822"/>
      <c r="I240" s="1822"/>
      <c r="J240" s="1822"/>
      <c r="K240" s="1822"/>
      <c r="L240" s="551"/>
      <c r="M240" s="550"/>
      <c r="N240" s="549"/>
      <c r="AG240" s="537" t="s">
        <v>204</v>
      </c>
    </row>
    <row r="241" spans="1:36" s="536" customFormat="1" x14ac:dyDescent="0.2">
      <c r="A241" s="548"/>
      <c r="B241" s="552"/>
      <c r="C241" s="1822" t="s">
        <v>547</v>
      </c>
      <c r="D241" s="1822"/>
      <c r="E241" s="1822"/>
      <c r="F241" s="1822"/>
      <c r="G241" s="1822"/>
      <c r="H241" s="1822"/>
      <c r="I241" s="1822"/>
      <c r="J241" s="1822"/>
      <c r="K241" s="1822"/>
      <c r="L241" s="551">
        <v>44.09</v>
      </c>
      <c r="M241" s="550"/>
      <c r="N241" s="549"/>
      <c r="AG241" s="537" t="s">
        <v>547</v>
      </c>
    </row>
    <row r="242" spans="1:36" s="536" customFormat="1" ht="22.5" x14ac:dyDescent="0.2">
      <c r="A242" s="548"/>
      <c r="B242" s="546"/>
      <c r="C242" s="1819" t="s">
        <v>1139</v>
      </c>
      <c r="D242" s="1819"/>
      <c r="E242" s="1819"/>
      <c r="F242" s="1819"/>
      <c r="G242" s="1819"/>
      <c r="H242" s="1819"/>
      <c r="I242" s="1819"/>
      <c r="J242" s="1819"/>
      <c r="K242" s="1819"/>
      <c r="L242" s="544">
        <v>44.09</v>
      </c>
      <c r="M242" s="543"/>
      <c r="N242" s="681"/>
      <c r="AH242" s="537" t="s">
        <v>1139</v>
      </c>
    </row>
    <row r="243" spans="1:36" s="536" customFormat="1" ht="2.25" customHeight="1" x14ac:dyDescent="0.2">
      <c r="B243" s="561"/>
      <c r="C243" s="561"/>
      <c r="D243" s="561"/>
      <c r="E243" s="561"/>
      <c r="F243" s="561"/>
      <c r="G243" s="561"/>
      <c r="H243" s="561"/>
      <c r="I243" s="561"/>
      <c r="J243" s="561"/>
      <c r="K243" s="561"/>
      <c r="L243" s="560"/>
      <c r="M243" s="559"/>
      <c r="N243" s="558"/>
    </row>
    <row r="244" spans="1:36" s="536" customFormat="1" x14ac:dyDescent="0.2">
      <c r="A244" s="557"/>
      <c r="B244" s="556"/>
      <c r="C244" s="1823" t="s">
        <v>205</v>
      </c>
      <c r="D244" s="1823"/>
      <c r="E244" s="1823"/>
      <c r="F244" s="1823"/>
      <c r="G244" s="1823"/>
      <c r="H244" s="1823"/>
      <c r="I244" s="1823"/>
      <c r="J244" s="1823"/>
      <c r="K244" s="1823"/>
      <c r="L244" s="555"/>
      <c r="M244" s="554"/>
      <c r="N244" s="553"/>
      <c r="AI244" s="537" t="s">
        <v>205</v>
      </c>
    </row>
    <row r="245" spans="1:36" s="536" customFormat="1" x14ac:dyDescent="0.2">
      <c r="A245" s="548"/>
      <c r="B245" s="552"/>
      <c r="C245" s="1822" t="s">
        <v>403</v>
      </c>
      <c r="D245" s="1822"/>
      <c r="E245" s="1822"/>
      <c r="F245" s="1822"/>
      <c r="G245" s="1822"/>
      <c r="H245" s="1822"/>
      <c r="I245" s="1822"/>
      <c r="J245" s="1822"/>
      <c r="K245" s="1822"/>
      <c r="L245" s="551">
        <v>8711.15</v>
      </c>
      <c r="M245" s="550"/>
      <c r="N245" s="549"/>
      <c r="AJ245" s="537" t="s">
        <v>403</v>
      </c>
    </row>
    <row r="246" spans="1:36" s="536" customFormat="1" x14ac:dyDescent="0.2">
      <c r="A246" s="548"/>
      <c r="B246" s="552"/>
      <c r="C246" s="1822" t="s">
        <v>204</v>
      </c>
      <c r="D246" s="1822"/>
      <c r="E246" s="1822"/>
      <c r="F246" s="1822"/>
      <c r="G246" s="1822"/>
      <c r="H246" s="1822"/>
      <c r="I246" s="1822"/>
      <c r="J246" s="1822"/>
      <c r="K246" s="1822"/>
      <c r="L246" s="551"/>
      <c r="M246" s="550"/>
      <c r="N246" s="549"/>
      <c r="AJ246" s="537" t="s">
        <v>204</v>
      </c>
    </row>
    <row r="247" spans="1:36" s="536" customFormat="1" x14ac:dyDescent="0.2">
      <c r="A247" s="548"/>
      <c r="B247" s="552"/>
      <c r="C247" s="1822" t="s">
        <v>404</v>
      </c>
      <c r="D247" s="1822"/>
      <c r="E247" s="1822"/>
      <c r="F247" s="1822"/>
      <c r="G247" s="1822"/>
      <c r="H247" s="1822"/>
      <c r="I247" s="1822"/>
      <c r="J247" s="1822"/>
      <c r="K247" s="1822"/>
      <c r="L247" s="551">
        <v>200.44</v>
      </c>
      <c r="M247" s="550"/>
      <c r="N247" s="549"/>
      <c r="AJ247" s="537" t="s">
        <v>404</v>
      </c>
    </row>
    <row r="248" spans="1:36" s="536" customFormat="1" x14ac:dyDescent="0.2">
      <c r="A248" s="548"/>
      <c r="B248" s="552"/>
      <c r="C248" s="1822" t="s">
        <v>405</v>
      </c>
      <c r="D248" s="1822"/>
      <c r="E248" s="1822"/>
      <c r="F248" s="1822"/>
      <c r="G248" s="1822"/>
      <c r="H248" s="1822"/>
      <c r="I248" s="1822"/>
      <c r="J248" s="1822"/>
      <c r="K248" s="1822"/>
      <c r="L248" s="551">
        <v>228.14</v>
      </c>
      <c r="M248" s="550"/>
      <c r="N248" s="549"/>
      <c r="AJ248" s="537" t="s">
        <v>405</v>
      </c>
    </row>
    <row r="249" spans="1:36" s="536" customFormat="1" x14ac:dyDescent="0.2">
      <c r="A249" s="548"/>
      <c r="B249" s="552"/>
      <c r="C249" s="1822" t="s">
        <v>406</v>
      </c>
      <c r="D249" s="1822"/>
      <c r="E249" s="1822"/>
      <c r="F249" s="1822"/>
      <c r="G249" s="1822"/>
      <c r="H249" s="1822"/>
      <c r="I249" s="1822"/>
      <c r="J249" s="1822"/>
      <c r="K249" s="1822"/>
      <c r="L249" s="551">
        <v>36.4</v>
      </c>
      <c r="M249" s="550"/>
      <c r="N249" s="549"/>
      <c r="AJ249" s="537" t="s">
        <v>406</v>
      </c>
    </row>
    <row r="250" spans="1:36" s="536" customFormat="1" x14ac:dyDescent="0.2">
      <c r="A250" s="548"/>
      <c r="B250" s="552"/>
      <c r="C250" s="1822" t="s">
        <v>480</v>
      </c>
      <c r="D250" s="1822"/>
      <c r="E250" s="1822"/>
      <c r="F250" s="1822"/>
      <c r="G250" s="1822"/>
      <c r="H250" s="1822"/>
      <c r="I250" s="1822"/>
      <c r="J250" s="1822"/>
      <c r="K250" s="1822"/>
      <c r="L250" s="551">
        <v>8282.57</v>
      </c>
      <c r="M250" s="550"/>
      <c r="N250" s="549"/>
      <c r="AJ250" s="537" t="s">
        <v>480</v>
      </c>
    </row>
    <row r="251" spans="1:36" s="536" customFormat="1" x14ac:dyDescent="0.2">
      <c r="A251" s="548"/>
      <c r="B251" s="552" t="s">
        <v>185</v>
      </c>
      <c r="C251" s="1822" t="s">
        <v>407</v>
      </c>
      <c r="D251" s="1822"/>
      <c r="E251" s="1822"/>
      <c r="F251" s="1822"/>
      <c r="G251" s="1822"/>
      <c r="H251" s="1822"/>
      <c r="I251" s="1822"/>
      <c r="J251" s="1822"/>
      <c r="K251" s="1822"/>
      <c r="L251" s="551">
        <v>9102.83</v>
      </c>
      <c r="M251" s="550">
        <v>10.11</v>
      </c>
      <c r="N251" s="549">
        <v>92030</v>
      </c>
      <c r="AJ251" s="537" t="s">
        <v>407</v>
      </c>
    </row>
    <row r="252" spans="1:36" s="536" customFormat="1" x14ac:dyDescent="0.2">
      <c r="A252" s="548"/>
      <c r="B252" s="552"/>
      <c r="C252" s="1822" t="s">
        <v>204</v>
      </c>
      <c r="D252" s="1822"/>
      <c r="E252" s="1822"/>
      <c r="F252" s="1822"/>
      <c r="G252" s="1822"/>
      <c r="H252" s="1822"/>
      <c r="I252" s="1822"/>
      <c r="J252" s="1822"/>
      <c r="K252" s="1822"/>
      <c r="L252" s="551"/>
      <c r="M252" s="550"/>
      <c r="N252" s="549"/>
      <c r="AJ252" s="537" t="s">
        <v>204</v>
      </c>
    </row>
    <row r="253" spans="1:36" s="536" customFormat="1" x14ac:dyDescent="0.2">
      <c r="A253" s="548"/>
      <c r="B253" s="552"/>
      <c r="C253" s="1822" t="s">
        <v>546</v>
      </c>
      <c r="D253" s="1822"/>
      <c r="E253" s="1822"/>
      <c r="F253" s="1822"/>
      <c r="G253" s="1822"/>
      <c r="H253" s="1822"/>
      <c r="I253" s="1822"/>
      <c r="J253" s="1822"/>
      <c r="K253" s="1822"/>
      <c r="L253" s="551">
        <v>200.44</v>
      </c>
      <c r="M253" s="550"/>
      <c r="N253" s="549"/>
      <c r="AJ253" s="537" t="s">
        <v>546</v>
      </c>
    </row>
    <row r="254" spans="1:36" s="536" customFormat="1" x14ac:dyDescent="0.2">
      <c r="A254" s="548"/>
      <c r="B254" s="552"/>
      <c r="C254" s="1822" t="s">
        <v>442</v>
      </c>
      <c r="D254" s="1822"/>
      <c r="E254" s="1822"/>
      <c r="F254" s="1822"/>
      <c r="G254" s="1822"/>
      <c r="H254" s="1822"/>
      <c r="I254" s="1822"/>
      <c r="J254" s="1822"/>
      <c r="K254" s="1822"/>
      <c r="L254" s="551">
        <v>228.14</v>
      </c>
      <c r="M254" s="550"/>
      <c r="N254" s="549"/>
      <c r="AJ254" s="537" t="s">
        <v>442</v>
      </c>
    </row>
    <row r="255" spans="1:36" s="536" customFormat="1" x14ac:dyDescent="0.2">
      <c r="A255" s="548"/>
      <c r="B255" s="552"/>
      <c r="C255" s="1822" t="s">
        <v>547</v>
      </c>
      <c r="D255" s="1822"/>
      <c r="E255" s="1822"/>
      <c r="F255" s="1822"/>
      <c r="G255" s="1822"/>
      <c r="H255" s="1822"/>
      <c r="I255" s="1822"/>
      <c r="J255" s="1822"/>
      <c r="K255" s="1822"/>
      <c r="L255" s="551">
        <v>8282.57</v>
      </c>
      <c r="M255" s="550"/>
      <c r="N255" s="549"/>
      <c r="AJ255" s="537" t="s">
        <v>547</v>
      </c>
    </row>
    <row r="256" spans="1:36" s="536" customFormat="1" x14ac:dyDescent="0.2">
      <c r="A256" s="548"/>
      <c r="B256" s="552"/>
      <c r="C256" s="1822" t="s">
        <v>443</v>
      </c>
      <c r="D256" s="1822"/>
      <c r="E256" s="1822"/>
      <c r="F256" s="1822"/>
      <c r="G256" s="1822"/>
      <c r="H256" s="1822"/>
      <c r="I256" s="1822"/>
      <c r="J256" s="1822"/>
      <c r="K256" s="1822"/>
      <c r="L256" s="551">
        <v>249.06</v>
      </c>
      <c r="M256" s="550"/>
      <c r="N256" s="549"/>
      <c r="AJ256" s="537" t="s">
        <v>443</v>
      </c>
    </row>
    <row r="257" spans="1:38" x14ac:dyDescent="0.2">
      <c r="A257" s="548"/>
      <c r="B257" s="552"/>
      <c r="C257" s="1822" t="s">
        <v>444</v>
      </c>
      <c r="D257" s="1822"/>
      <c r="E257" s="1822"/>
      <c r="F257" s="1822"/>
      <c r="G257" s="1822"/>
      <c r="H257" s="1822"/>
      <c r="I257" s="1822"/>
      <c r="J257" s="1822"/>
      <c r="K257" s="1822"/>
      <c r="L257" s="551">
        <v>142.62</v>
      </c>
      <c r="M257" s="550"/>
      <c r="N257" s="549"/>
      <c r="P257" s="536"/>
      <c r="Q257" s="536"/>
      <c r="R257" s="536"/>
      <c r="S257" s="536"/>
      <c r="T257" s="536"/>
      <c r="U257" s="536"/>
      <c r="V257" s="536"/>
      <c r="W257" s="536"/>
      <c r="X257" s="536"/>
      <c r="Y257" s="536"/>
      <c r="Z257" s="536"/>
      <c r="AA257" s="536"/>
      <c r="AB257" s="536"/>
      <c r="AC257" s="536"/>
      <c r="AD257" s="536"/>
      <c r="AE257" s="536"/>
      <c r="AF257" s="536"/>
      <c r="AG257" s="536"/>
      <c r="AH257" s="536"/>
      <c r="AI257" s="536"/>
      <c r="AJ257" s="537" t="s">
        <v>444</v>
      </c>
      <c r="AK257" s="536"/>
      <c r="AL257" s="536"/>
    </row>
    <row r="258" spans="1:38" x14ac:dyDescent="0.2">
      <c r="A258" s="548"/>
      <c r="B258" s="552"/>
      <c r="C258" s="1822" t="s">
        <v>415</v>
      </c>
      <c r="D258" s="1822"/>
      <c r="E258" s="1822"/>
      <c r="F258" s="1822"/>
      <c r="G258" s="1822"/>
      <c r="H258" s="1822"/>
      <c r="I258" s="1822"/>
      <c r="J258" s="1822"/>
      <c r="K258" s="1822"/>
      <c r="L258" s="551">
        <v>236.84</v>
      </c>
      <c r="M258" s="550"/>
      <c r="N258" s="549"/>
      <c r="P258" s="536"/>
      <c r="Q258" s="536"/>
      <c r="R258" s="536"/>
      <c r="S258" s="536"/>
      <c r="T258" s="536"/>
      <c r="U258" s="536"/>
      <c r="V258" s="536"/>
      <c r="W258" s="536"/>
      <c r="X258" s="536"/>
      <c r="Y258" s="536"/>
      <c r="Z258" s="536"/>
      <c r="AA258" s="536"/>
      <c r="AB258" s="536"/>
      <c r="AC258" s="536"/>
      <c r="AD258" s="536"/>
      <c r="AE258" s="536"/>
      <c r="AF258" s="536"/>
      <c r="AG258" s="536"/>
      <c r="AH258" s="536"/>
      <c r="AI258" s="536"/>
      <c r="AJ258" s="537" t="s">
        <v>415</v>
      </c>
      <c r="AK258" s="536"/>
      <c r="AL258" s="536"/>
    </row>
    <row r="259" spans="1:38" x14ac:dyDescent="0.2">
      <c r="A259" s="548"/>
      <c r="B259" s="552"/>
      <c r="C259" s="1822" t="s">
        <v>416</v>
      </c>
      <c r="D259" s="1822"/>
      <c r="E259" s="1822"/>
      <c r="F259" s="1822"/>
      <c r="G259" s="1822"/>
      <c r="H259" s="1822"/>
      <c r="I259" s="1822"/>
      <c r="J259" s="1822"/>
      <c r="K259" s="1822"/>
      <c r="L259" s="551">
        <v>249.06</v>
      </c>
      <c r="M259" s="550"/>
      <c r="N259" s="549"/>
      <c r="P259" s="536"/>
      <c r="Q259" s="536"/>
      <c r="R259" s="536"/>
      <c r="S259" s="536"/>
      <c r="T259" s="536"/>
      <c r="U259" s="536"/>
      <c r="V259" s="536"/>
      <c r="W259" s="536"/>
      <c r="X259" s="536"/>
      <c r="Y259" s="536"/>
      <c r="Z259" s="536"/>
      <c r="AA259" s="536"/>
      <c r="AB259" s="536"/>
      <c r="AC259" s="536"/>
      <c r="AD259" s="536"/>
      <c r="AE259" s="536"/>
      <c r="AF259" s="536"/>
      <c r="AG259" s="536"/>
      <c r="AH259" s="536"/>
      <c r="AI259" s="536"/>
      <c r="AJ259" s="537" t="s">
        <v>416</v>
      </c>
      <c r="AK259" s="536"/>
      <c r="AL259" s="536"/>
    </row>
    <row r="260" spans="1:38" x14ac:dyDescent="0.2">
      <c r="A260" s="548"/>
      <c r="B260" s="552"/>
      <c r="C260" s="1822" t="s">
        <v>417</v>
      </c>
      <c r="D260" s="1822"/>
      <c r="E260" s="1822"/>
      <c r="F260" s="1822"/>
      <c r="G260" s="1822"/>
      <c r="H260" s="1822"/>
      <c r="I260" s="1822"/>
      <c r="J260" s="1822"/>
      <c r="K260" s="1822"/>
      <c r="L260" s="551">
        <v>142.62</v>
      </c>
      <c r="M260" s="550"/>
      <c r="N260" s="549"/>
      <c r="P260" s="536"/>
      <c r="Q260" s="536"/>
      <c r="R260" s="536"/>
      <c r="S260" s="536"/>
      <c r="T260" s="536"/>
      <c r="U260" s="536"/>
      <c r="V260" s="536"/>
      <c r="W260" s="536"/>
      <c r="X260" s="536"/>
      <c r="Y260" s="536"/>
      <c r="Z260" s="536"/>
      <c r="AA260" s="536"/>
      <c r="AB260" s="536"/>
      <c r="AC260" s="536"/>
      <c r="AD260" s="536"/>
      <c r="AE260" s="536"/>
      <c r="AF260" s="536"/>
      <c r="AG260" s="536"/>
      <c r="AH260" s="536"/>
      <c r="AI260" s="536"/>
      <c r="AJ260" s="537" t="s">
        <v>417</v>
      </c>
      <c r="AK260" s="536"/>
      <c r="AL260" s="536"/>
    </row>
    <row r="261" spans="1:38" x14ac:dyDescent="0.2">
      <c r="A261" s="548"/>
      <c r="B261" s="546"/>
      <c r="C261" s="1819" t="s">
        <v>206</v>
      </c>
      <c r="D261" s="1819"/>
      <c r="E261" s="1819"/>
      <c r="F261" s="1819"/>
      <c r="G261" s="1819"/>
      <c r="H261" s="1819"/>
      <c r="I261" s="1819"/>
      <c r="J261" s="1819"/>
      <c r="K261" s="1819"/>
      <c r="L261" s="544">
        <v>9102.83</v>
      </c>
      <c r="M261" s="543"/>
      <c r="N261" s="547">
        <v>92030</v>
      </c>
      <c r="P261" s="536"/>
      <c r="Q261" s="536"/>
      <c r="R261" s="536"/>
      <c r="S261" s="536"/>
      <c r="T261" s="536"/>
      <c r="U261" s="536"/>
      <c r="V261" s="536"/>
      <c r="W261" s="536"/>
      <c r="X261" s="536"/>
      <c r="Y261" s="536"/>
      <c r="Z261" s="536"/>
      <c r="AA261" s="536"/>
      <c r="AB261" s="536"/>
      <c r="AC261" s="536"/>
      <c r="AD261" s="536"/>
      <c r="AE261" s="536"/>
      <c r="AF261" s="536"/>
      <c r="AG261" s="536"/>
      <c r="AH261" s="536"/>
      <c r="AI261" s="536"/>
      <c r="AJ261" s="536"/>
      <c r="AK261" s="537" t="s">
        <v>206</v>
      </c>
      <c r="AL261" s="536"/>
    </row>
    <row r="262" spans="1:38" ht="1.5" customHeight="1" x14ac:dyDescent="0.2">
      <c r="B262" s="546"/>
      <c r="C262" s="671"/>
      <c r="D262" s="671"/>
      <c r="E262" s="671"/>
      <c r="F262" s="671"/>
      <c r="G262" s="671"/>
      <c r="H262" s="671"/>
      <c r="I262" s="671"/>
      <c r="J262" s="671"/>
      <c r="K262" s="671"/>
      <c r="L262" s="544"/>
      <c r="M262" s="543"/>
      <c r="N262" s="542"/>
      <c r="P262" s="536"/>
      <c r="Q262" s="536"/>
      <c r="R262" s="536"/>
      <c r="S262" s="536"/>
      <c r="T262" s="536"/>
      <c r="U262" s="536"/>
      <c r="V262" s="536"/>
      <c r="W262" s="536"/>
      <c r="X262" s="536"/>
      <c r="Y262" s="536"/>
      <c r="Z262" s="536"/>
      <c r="AA262" s="536"/>
      <c r="AB262" s="536"/>
      <c r="AC262" s="536"/>
      <c r="AD262" s="536"/>
      <c r="AE262" s="536"/>
      <c r="AF262" s="536"/>
      <c r="AG262" s="536"/>
      <c r="AH262" s="536"/>
      <c r="AI262" s="536"/>
      <c r="AJ262" s="536"/>
      <c r="AK262" s="536"/>
      <c r="AL262" s="536"/>
    </row>
    <row r="263" spans="1:38" ht="53.25" customHeight="1" x14ac:dyDescent="0.2">
      <c r="A263" s="541"/>
      <c r="B263" s="541"/>
      <c r="C263" s="541"/>
      <c r="D263" s="541"/>
      <c r="E263" s="541"/>
      <c r="F263" s="541"/>
      <c r="G263" s="541"/>
      <c r="H263" s="541"/>
      <c r="I263" s="541"/>
      <c r="J263" s="541"/>
      <c r="K263" s="541"/>
      <c r="L263" s="541"/>
      <c r="M263" s="541"/>
      <c r="N263" s="541"/>
      <c r="P263" s="536"/>
      <c r="Q263" s="536"/>
      <c r="R263" s="536"/>
      <c r="S263" s="536"/>
      <c r="T263" s="536"/>
      <c r="U263" s="536"/>
      <c r="V263" s="536"/>
      <c r="W263" s="536"/>
      <c r="X263" s="536"/>
      <c r="Y263" s="536"/>
      <c r="Z263" s="536"/>
      <c r="AA263" s="536"/>
      <c r="AB263" s="536"/>
      <c r="AC263" s="536"/>
      <c r="AD263" s="536"/>
      <c r="AE263" s="536"/>
      <c r="AF263" s="536"/>
      <c r="AG263" s="536"/>
      <c r="AH263" s="536"/>
      <c r="AI263" s="536"/>
      <c r="AJ263" s="536"/>
      <c r="AK263" s="536"/>
      <c r="AL263" s="536"/>
    </row>
    <row r="264" spans="1:38" x14ac:dyDescent="0.2">
      <c r="B264" s="539" t="s">
        <v>149</v>
      </c>
      <c r="C264" s="1943"/>
      <c r="D264" s="1943"/>
      <c r="E264" s="1943"/>
      <c r="F264" s="1943"/>
      <c r="G264" s="1943"/>
      <c r="H264" s="1943"/>
      <c r="I264" s="1943"/>
      <c r="J264" s="1943"/>
      <c r="K264" s="1943"/>
      <c r="L264" s="1943"/>
    </row>
    <row r="265" spans="1:38" ht="13.5" customHeight="1" x14ac:dyDescent="0.2">
      <c r="B265" s="540"/>
      <c r="C265" s="1821" t="s">
        <v>150</v>
      </c>
      <c r="D265" s="1821"/>
      <c r="E265" s="1821"/>
      <c r="F265" s="1821"/>
      <c r="G265" s="1821"/>
      <c r="H265" s="1821"/>
      <c r="I265" s="1821"/>
      <c r="J265" s="1821"/>
      <c r="K265" s="1821"/>
      <c r="L265" s="1821"/>
    </row>
    <row r="266" spans="1:38" ht="12.75" customHeight="1" x14ac:dyDescent="0.2">
      <c r="B266" s="539" t="s">
        <v>151</v>
      </c>
      <c r="C266" s="1943"/>
      <c r="D266" s="1943"/>
      <c r="E266" s="1943"/>
      <c r="F266" s="1943"/>
      <c r="G266" s="1943"/>
      <c r="H266" s="1943"/>
      <c r="I266" s="1943"/>
      <c r="J266" s="1943"/>
      <c r="K266" s="1943"/>
      <c r="L266" s="1943"/>
    </row>
    <row r="267" spans="1:38" ht="13.5" customHeight="1" x14ac:dyDescent="0.2">
      <c r="C267" s="1821" t="s">
        <v>150</v>
      </c>
      <c r="D267" s="1821"/>
      <c r="E267" s="1821"/>
      <c r="F267" s="1821"/>
      <c r="G267" s="1821"/>
      <c r="H267" s="1821"/>
      <c r="I267" s="1821"/>
      <c r="J267" s="1821"/>
      <c r="K267" s="1821"/>
      <c r="L267" s="1821"/>
    </row>
    <row r="269" spans="1:38" x14ac:dyDescent="0.2">
      <c r="A269" s="1944"/>
      <c r="B269" s="1944"/>
      <c r="C269" s="1944"/>
      <c r="D269" s="1944"/>
      <c r="E269" s="1944"/>
      <c r="F269" s="1944"/>
      <c r="G269" s="1944"/>
      <c r="H269" s="1944"/>
      <c r="I269" s="1944"/>
      <c r="J269" s="1944"/>
      <c r="K269" s="1944"/>
      <c r="L269" s="1944"/>
      <c r="M269" s="1944"/>
      <c r="N269" s="1944"/>
      <c r="P269" s="536"/>
      <c r="Q269" s="536"/>
      <c r="R269" s="536"/>
      <c r="S269" s="536"/>
      <c r="T269" s="536"/>
      <c r="U269" s="536"/>
      <c r="V269" s="536"/>
      <c r="W269" s="536"/>
      <c r="X269" s="536"/>
      <c r="Y269" s="536"/>
      <c r="Z269" s="536"/>
      <c r="AA269" s="536"/>
      <c r="AB269" s="536"/>
      <c r="AC269" s="536"/>
      <c r="AD269" s="536"/>
      <c r="AE269" s="536"/>
      <c r="AF269" s="536"/>
      <c r="AG269" s="536"/>
      <c r="AH269" s="536"/>
      <c r="AI269" s="536"/>
      <c r="AJ269" s="536"/>
      <c r="AK269" s="536"/>
      <c r="AL269" s="537" t="s">
        <v>143</v>
      </c>
    </row>
    <row r="270" spans="1:38" x14ac:dyDescent="0.2">
      <c r="B270" s="538"/>
      <c r="D270" s="538"/>
      <c r="F270" s="538"/>
      <c r="P270" s="536"/>
      <c r="Q270" s="536"/>
      <c r="R270" s="536"/>
      <c r="S270" s="536"/>
      <c r="T270" s="536"/>
      <c r="U270" s="536"/>
      <c r="V270" s="536"/>
      <c r="W270" s="536"/>
      <c r="X270" s="536"/>
      <c r="Y270" s="536"/>
      <c r="Z270" s="536"/>
      <c r="AA270" s="536"/>
      <c r="AB270" s="536"/>
      <c r="AC270" s="536"/>
      <c r="AD270" s="536"/>
      <c r="AE270" s="536"/>
      <c r="AF270" s="536"/>
      <c r="AG270" s="536"/>
      <c r="AH270" s="536"/>
      <c r="AI270" s="536"/>
      <c r="AJ270" s="536"/>
      <c r="AK270" s="536"/>
      <c r="AL270" s="536"/>
    </row>
  </sheetData>
  <mergeCells count="238">
    <mergeCell ref="C261:K261"/>
    <mergeCell ref="C264:L264"/>
    <mergeCell ref="C265:L265"/>
    <mergeCell ref="C266:L266"/>
    <mergeCell ref="C267:L267"/>
    <mergeCell ref="A269:N269"/>
    <mergeCell ref="C255:K255"/>
    <mergeCell ref="C256:K256"/>
    <mergeCell ref="C257:K257"/>
    <mergeCell ref="C258:K258"/>
    <mergeCell ref="C259:K259"/>
    <mergeCell ref="C260:K260"/>
    <mergeCell ref="C249:K249"/>
    <mergeCell ref="C250:K250"/>
    <mergeCell ref="C251:K251"/>
    <mergeCell ref="C252:K252"/>
    <mergeCell ref="C253:K253"/>
    <mergeCell ref="C254:K254"/>
    <mergeCell ref="C242:K242"/>
    <mergeCell ref="C244:K244"/>
    <mergeCell ref="C245:K245"/>
    <mergeCell ref="C246:K246"/>
    <mergeCell ref="C247:K247"/>
    <mergeCell ref="C248:K248"/>
    <mergeCell ref="C236:K236"/>
    <mergeCell ref="C237:K237"/>
    <mergeCell ref="C238:K238"/>
    <mergeCell ref="C239:K239"/>
    <mergeCell ref="C240:K240"/>
    <mergeCell ref="C241:K241"/>
    <mergeCell ref="A227:N227"/>
    <mergeCell ref="C228:E228"/>
    <mergeCell ref="C230:N230"/>
    <mergeCell ref="C231:E231"/>
    <mergeCell ref="C233:N233"/>
    <mergeCell ref="C235:K235"/>
    <mergeCell ref="C221:K221"/>
    <mergeCell ref="C222:K222"/>
    <mergeCell ref="C223:K223"/>
    <mergeCell ref="C224:K224"/>
    <mergeCell ref="C225:K225"/>
    <mergeCell ref="C226:K226"/>
    <mergeCell ref="C215:K215"/>
    <mergeCell ref="C216:K216"/>
    <mergeCell ref="C217:K217"/>
    <mergeCell ref="C218:K218"/>
    <mergeCell ref="C219:K219"/>
    <mergeCell ref="C220:K220"/>
    <mergeCell ref="C209:K209"/>
    <mergeCell ref="C210:K210"/>
    <mergeCell ref="C211:K211"/>
    <mergeCell ref="C212:K212"/>
    <mergeCell ref="C213:K213"/>
    <mergeCell ref="C214:K214"/>
    <mergeCell ref="C201:E201"/>
    <mergeCell ref="C202:E202"/>
    <mergeCell ref="C203:E203"/>
    <mergeCell ref="C204:E204"/>
    <mergeCell ref="C205:E205"/>
    <mergeCell ref="C207:N207"/>
    <mergeCell ref="C195:E195"/>
    <mergeCell ref="C196:E196"/>
    <mergeCell ref="C197:E197"/>
    <mergeCell ref="C198:E198"/>
    <mergeCell ref="C199:E199"/>
    <mergeCell ref="C200:E200"/>
    <mergeCell ref="C189:E189"/>
    <mergeCell ref="C190:E190"/>
    <mergeCell ref="C191:N191"/>
    <mergeCell ref="C192:N192"/>
    <mergeCell ref="C193:E193"/>
    <mergeCell ref="C194:E194"/>
    <mergeCell ref="C183:E183"/>
    <mergeCell ref="C184:E184"/>
    <mergeCell ref="C185:E185"/>
    <mergeCell ref="C186:E186"/>
    <mergeCell ref="C187:E187"/>
    <mergeCell ref="C188:E188"/>
    <mergeCell ref="C177:N177"/>
    <mergeCell ref="C178:E178"/>
    <mergeCell ref="C179:E179"/>
    <mergeCell ref="C180:E180"/>
    <mergeCell ref="C181:E181"/>
    <mergeCell ref="C182:E182"/>
    <mergeCell ref="C169:E169"/>
    <mergeCell ref="C171:N171"/>
    <mergeCell ref="C172:E172"/>
    <mergeCell ref="C174:N174"/>
    <mergeCell ref="C175:E175"/>
    <mergeCell ref="C176:N176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49:E149"/>
    <mergeCell ref="C151:E151"/>
    <mergeCell ref="C152:N152"/>
    <mergeCell ref="C153:N153"/>
    <mergeCell ref="C154:E154"/>
    <mergeCell ref="C155:E155"/>
    <mergeCell ref="C143:E143"/>
    <mergeCell ref="C144:E144"/>
    <mergeCell ref="C145:E145"/>
    <mergeCell ref="C146:E146"/>
    <mergeCell ref="C147:E147"/>
    <mergeCell ref="C148:E148"/>
    <mergeCell ref="C137:E137"/>
    <mergeCell ref="C138:E138"/>
    <mergeCell ref="C139:E139"/>
    <mergeCell ref="C140:E140"/>
    <mergeCell ref="C141:E141"/>
    <mergeCell ref="C142:E142"/>
    <mergeCell ref="C131:K131"/>
    <mergeCell ref="C132:K132"/>
    <mergeCell ref="A133:N133"/>
    <mergeCell ref="C134:E134"/>
    <mergeCell ref="C135:N135"/>
    <mergeCell ref="C136:N136"/>
    <mergeCell ref="C125:K125"/>
    <mergeCell ref="C126:K126"/>
    <mergeCell ref="C127:K127"/>
    <mergeCell ref="C128:K128"/>
    <mergeCell ref="C129:K129"/>
    <mergeCell ref="C130:K130"/>
    <mergeCell ref="C119:K119"/>
    <mergeCell ref="C120:K120"/>
    <mergeCell ref="C121:K121"/>
    <mergeCell ref="C122:K122"/>
    <mergeCell ref="C123:K123"/>
    <mergeCell ref="C124:K124"/>
    <mergeCell ref="C111:E111"/>
    <mergeCell ref="C113:N113"/>
    <mergeCell ref="C115:K115"/>
    <mergeCell ref="C116:K116"/>
    <mergeCell ref="C117:K117"/>
    <mergeCell ref="C118:K118"/>
    <mergeCell ref="C105:E105"/>
    <mergeCell ref="C106:E106"/>
    <mergeCell ref="C107:E107"/>
    <mergeCell ref="C108:E108"/>
    <mergeCell ref="C109:E109"/>
    <mergeCell ref="C110:E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E96"/>
    <mergeCell ref="C97:N97"/>
    <mergeCell ref="C98:N98"/>
    <mergeCell ref="C87:E87"/>
    <mergeCell ref="C88:E88"/>
    <mergeCell ref="C89:E89"/>
    <mergeCell ref="C90:E90"/>
    <mergeCell ref="C91:E91"/>
    <mergeCell ref="C92:E92"/>
    <mergeCell ref="C81:E81"/>
    <mergeCell ref="C82:N82"/>
    <mergeCell ref="C83:N83"/>
    <mergeCell ref="C84:E84"/>
    <mergeCell ref="C85:E85"/>
    <mergeCell ref="C86:E86"/>
    <mergeCell ref="C72:E72"/>
    <mergeCell ref="C73:E73"/>
    <mergeCell ref="C75:E75"/>
    <mergeCell ref="C77:N77"/>
    <mergeCell ref="C78:E78"/>
    <mergeCell ref="C80:N80"/>
    <mergeCell ref="C66:E66"/>
    <mergeCell ref="C67:E67"/>
    <mergeCell ref="C68:E68"/>
    <mergeCell ref="C69:E69"/>
    <mergeCell ref="C70:E70"/>
    <mergeCell ref="C71:E71"/>
    <mergeCell ref="C60:E60"/>
    <mergeCell ref="C61:E61"/>
    <mergeCell ref="C62:E62"/>
    <mergeCell ref="C63:E63"/>
    <mergeCell ref="C64:E64"/>
    <mergeCell ref="C65:E65"/>
    <mergeCell ref="C53:E53"/>
    <mergeCell ref="C54:E54"/>
    <mergeCell ref="C55:E55"/>
    <mergeCell ref="C57:E57"/>
    <mergeCell ref="C58:N58"/>
    <mergeCell ref="C59:N59"/>
    <mergeCell ref="C47:E47"/>
    <mergeCell ref="C48:E48"/>
    <mergeCell ref="C49:E49"/>
    <mergeCell ref="C50:E50"/>
    <mergeCell ref="C51:E51"/>
    <mergeCell ref="C52:E52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269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:AL174"/>
  <sheetViews>
    <sheetView topLeftCell="A137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30" width="34.140625" style="537" hidden="1" customWidth="1"/>
    <col min="31" max="31" width="110.140625" style="537" hidden="1" customWidth="1"/>
    <col min="32" max="37" width="84.42578125" style="537" hidden="1" customWidth="1"/>
    <col min="38" max="38" width="138.42578125" style="537" hidden="1" customWidth="1"/>
    <col min="39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159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4982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4982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4983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606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606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/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206.42</v>
      </c>
      <c r="D28" s="579" t="s">
        <v>4984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206.42</v>
      </c>
      <c r="D30" s="579" t="s">
        <v>4984</v>
      </c>
      <c r="E30" s="665" t="s">
        <v>167</v>
      </c>
      <c r="G30" s="536" t="s">
        <v>170</v>
      </c>
      <c r="L30" s="580">
        <v>0</v>
      </c>
      <c r="M30" s="579" t="s">
        <v>4985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665" t="s">
        <v>167</v>
      </c>
      <c r="G31" s="536" t="s">
        <v>172</v>
      </c>
      <c r="L31" s="582"/>
      <c r="M31" s="582">
        <v>63.26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665" t="s">
        <v>167</v>
      </c>
      <c r="G32" s="536" t="s">
        <v>174</v>
      </c>
      <c r="L32" s="582"/>
      <c r="M32" s="582">
        <v>8.11</v>
      </c>
      <c r="N32" s="581" t="s">
        <v>173</v>
      </c>
    </row>
    <row r="33" spans="1:28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8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8" s="536" customFormat="1" ht="12" x14ac:dyDescent="0.2">
      <c r="A39" s="1824" t="s">
        <v>4986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537" t="s">
        <v>4986</v>
      </c>
    </row>
    <row r="40" spans="1:28" s="536" customFormat="1" x14ac:dyDescent="0.2">
      <c r="A40" s="575" t="s">
        <v>185</v>
      </c>
      <c r="B40" s="670" t="s">
        <v>1368</v>
      </c>
      <c r="C40" s="1823" t="s">
        <v>1369</v>
      </c>
      <c r="D40" s="1823"/>
      <c r="E40" s="1823"/>
      <c r="F40" s="573" t="s">
        <v>509</v>
      </c>
      <c r="G40" s="573"/>
      <c r="H40" s="573"/>
      <c r="I40" s="573" t="s">
        <v>4987</v>
      </c>
      <c r="J40" s="572"/>
      <c r="K40" s="573"/>
      <c r="L40" s="572"/>
      <c r="M40" s="571"/>
      <c r="N40" s="570"/>
      <c r="W40" s="537" t="s">
        <v>1369</v>
      </c>
    </row>
    <row r="41" spans="1:28" s="536" customFormat="1" x14ac:dyDescent="0.2">
      <c r="A41" s="676"/>
      <c r="B41" s="664"/>
      <c r="C41" s="1822" t="s">
        <v>4988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X41" s="537" t="s">
        <v>4988</v>
      </c>
    </row>
    <row r="42" spans="1:28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Y42" s="537" t="s">
        <v>311</v>
      </c>
    </row>
    <row r="43" spans="1:28" s="536" customFormat="1" x14ac:dyDescent="0.2">
      <c r="A43" s="605"/>
      <c r="B43" s="552" t="s">
        <v>185</v>
      </c>
      <c r="C43" s="1822" t="s">
        <v>312</v>
      </c>
      <c r="D43" s="1822"/>
      <c r="E43" s="1822"/>
      <c r="F43" s="562"/>
      <c r="G43" s="562"/>
      <c r="H43" s="562"/>
      <c r="I43" s="562"/>
      <c r="J43" s="604">
        <v>1053</v>
      </c>
      <c r="K43" s="562" t="s">
        <v>313</v>
      </c>
      <c r="L43" s="604">
        <v>76.61</v>
      </c>
      <c r="M43" s="603"/>
      <c r="N43" s="602"/>
      <c r="Z43" s="537" t="s">
        <v>312</v>
      </c>
    </row>
    <row r="44" spans="1:28" s="536" customFormat="1" x14ac:dyDescent="0.2">
      <c r="A44" s="605"/>
      <c r="B44" s="552" t="s">
        <v>186</v>
      </c>
      <c r="C44" s="1822" t="s">
        <v>344</v>
      </c>
      <c r="D44" s="1822"/>
      <c r="E44" s="1822"/>
      <c r="F44" s="562"/>
      <c r="G44" s="562"/>
      <c r="H44" s="562"/>
      <c r="I44" s="562"/>
      <c r="J44" s="604">
        <v>1566.06</v>
      </c>
      <c r="K44" s="562" t="s">
        <v>313</v>
      </c>
      <c r="L44" s="604">
        <v>113.93</v>
      </c>
      <c r="M44" s="603"/>
      <c r="N44" s="602"/>
      <c r="Z44" s="537" t="s">
        <v>344</v>
      </c>
    </row>
    <row r="45" spans="1:28" s="536" customFormat="1" x14ac:dyDescent="0.2">
      <c r="A45" s="605"/>
      <c r="B45" s="552" t="s">
        <v>187</v>
      </c>
      <c r="C45" s="1822" t="s">
        <v>345</v>
      </c>
      <c r="D45" s="1822"/>
      <c r="E45" s="1822"/>
      <c r="F45" s="562"/>
      <c r="G45" s="562"/>
      <c r="H45" s="562"/>
      <c r="I45" s="562"/>
      <c r="J45" s="604">
        <v>244.39</v>
      </c>
      <c r="K45" s="562" t="s">
        <v>313</v>
      </c>
      <c r="L45" s="604">
        <v>17.78</v>
      </c>
      <c r="M45" s="603"/>
      <c r="N45" s="602"/>
      <c r="Z45" s="537" t="s">
        <v>345</v>
      </c>
    </row>
    <row r="46" spans="1:28" s="536" customFormat="1" x14ac:dyDescent="0.2">
      <c r="A46" s="605"/>
      <c r="B46" s="552" t="s">
        <v>188</v>
      </c>
      <c r="C46" s="1822" t="s">
        <v>475</v>
      </c>
      <c r="D46" s="1822"/>
      <c r="E46" s="1822"/>
      <c r="F46" s="562"/>
      <c r="G46" s="562"/>
      <c r="H46" s="562"/>
      <c r="I46" s="562"/>
      <c r="J46" s="604">
        <v>909.27</v>
      </c>
      <c r="K46" s="562"/>
      <c r="L46" s="604">
        <v>52.92</v>
      </c>
      <c r="M46" s="603"/>
      <c r="N46" s="602"/>
      <c r="Z46" s="537" t="s">
        <v>475</v>
      </c>
    </row>
    <row r="47" spans="1:28" s="536" customFormat="1" x14ac:dyDescent="0.2">
      <c r="A47" s="676"/>
      <c r="B47" s="677" t="s">
        <v>639</v>
      </c>
      <c r="C47" s="1829" t="s">
        <v>640</v>
      </c>
      <c r="D47" s="1829"/>
      <c r="E47" s="1829"/>
      <c r="F47" s="678" t="s">
        <v>641</v>
      </c>
      <c r="G47" s="678" t="s">
        <v>680</v>
      </c>
      <c r="H47" s="678"/>
      <c r="I47" s="678" t="s">
        <v>4989</v>
      </c>
      <c r="J47" s="552"/>
      <c r="K47" s="562"/>
      <c r="L47" s="604"/>
      <c r="M47" s="562"/>
      <c r="N47" s="679"/>
      <c r="AA47" s="537" t="s">
        <v>640</v>
      </c>
    </row>
    <row r="48" spans="1:28" s="536" customFormat="1" x14ac:dyDescent="0.2">
      <c r="A48" s="605"/>
      <c r="B48" s="552"/>
      <c r="C48" s="1822" t="s">
        <v>314</v>
      </c>
      <c r="D48" s="1822"/>
      <c r="E48" s="1822"/>
      <c r="F48" s="562" t="s">
        <v>315</v>
      </c>
      <c r="G48" s="562" t="s">
        <v>1373</v>
      </c>
      <c r="H48" s="562" t="s">
        <v>313</v>
      </c>
      <c r="I48" s="562" t="s">
        <v>4990</v>
      </c>
      <c r="J48" s="604"/>
      <c r="K48" s="562"/>
      <c r="L48" s="604"/>
      <c r="M48" s="603"/>
      <c r="N48" s="602"/>
      <c r="AB48" s="537" t="s">
        <v>314</v>
      </c>
    </row>
    <row r="49" spans="1:30" s="536" customFormat="1" x14ac:dyDescent="0.2">
      <c r="A49" s="605"/>
      <c r="B49" s="552"/>
      <c r="C49" s="1822" t="s">
        <v>348</v>
      </c>
      <c r="D49" s="1822"/>
      <c r="E49" s="1822"/>
      <c r="F49" s="562" t="s">
        <v>315</v>
      </c>
      <c r="G49" s="562" t="s">
        <v>1375</v>
      </c>
      <c r="H49" s="562" t="s">
        <v>313</v>
      </c>
      <c r="I49" s="562" t="s">
        <v>4991</v>
      </c>
      <c r="J49" s="604"/>
      <c r="K49" s="562"/>
      <c r="L49" s="604"/>
      <c r="M49" s="603"/>
      <c r="N49" s="602"/>
      <c r="AB49" s="537" t="s">
        <v>348</v>
      </c>
    </row>
    <row r="50" spans="1:30" s="536" customFormat="1" x14ac:dyDescent="0.2">
      <c r="A50" s="605"/>
      <c r="B50" s="552"/>
      <c r="C50" s="1828" t="s">
        <v>318</v>
      </c>
      <c r="D50" s="1828"/>
      <c r="E50" s="1828"/>
      <c r="F50" s="608"/>
      <c r="G50" s="608"/>
      <c r="H50" s="608"/>
      <c r="I50" s="608"/>
      <c r="J50" s="607">
        <v>3528.33</v>
      </c>
      <c r="K50" s="608"/>
      <c r="L50" s="607">
        <v>243.46</v>
      </c>
      <c r="M50" s="601"/>
      <c r="N50" s="606"/>
      <c r="AC50" s="537" t="s">
        <v>318</v>
      </c>
    </row>
    <row r="51" spans="1:30" s="536" customFormat="1" x14ac:dyDescent="0.2">
      <c r="A51" s="605"/>
      <c r="B51" s="552"/>
      <c r="C51" s="1822" t="s">
        <v>319</v>
      </c>
      <c r="D51" s="1822"/>
      <c r="E51" s="1822"/>
      <c r="F51" s="562"/>
      <c r="G51" s="562"/>
      <c r="H51" s="562"/>
      <c r="I51" s="562"/>
      <c r="J51" s="604"/>
      <c r="K51" s="562"/>
      <c r="L51" s="604">
        <v>94.39</v>
      </c>
      <c r="M51" s="603"/>
      <c r="N51" s="602"/>
      <c r="AB51" s="537" t="s">
        <v>319</v>
      </c>
    </row>
    <row r="52" spans="1:30" s="536" customFormat="1" ht="33.75" x14ac:dyDescent="0.2">
      <c r="A52" s="605"/>
      <c r="B52" s="552" t="s">
        <v>686</v>
      </c>
      <c r="C52" s="1822" t="s">
        <v>687</v>
      </c>
      <c r="D52" s="1822"/>
      <c r="E52" s="1822"/>
      <c r="F52" s="562" t="s">
        <v>322</v>
      </c>
      <c r="G52" s="562" t="s">
        <v>680</v>
      </c>
      <c r="H52" s="562"/>
      <c r="I52" s="562" t="s">
        <v>680</v>
      </c>
      <c r="J52" s="604"/>
      <c r="K52" s="562"/>
      <c r="L52" s="604">
        <v>96.28</v>
      </c>
      <c r="M52" s="603"/>
      <c r="N52" s="602"/>
      <c r="AB52" s="537" t="s">
        <v>687</v>
      </c>
    </row>
    <row r="53" spans="1:30" s="536" customFormat="1" ht="33.75" x14ac:dyDescent="0.2">
      <c r="A53" s="605"/>
      <c r="B53" s="552" t="s">
        <v>688</v>
      </c>
      <c r="C53" s="1822" t="s">
        <v>689</v>
      </c>
      <c r="D53" s="1822"/>
      <c r="E53" s="1822"/>
      <c r="F53" s="562" t="s">
        <v>322</v>
      </c>
      <c r="G53" s="562" t="s">
        <v>690</v>
      </c>
      <c r="H53" s="562"/>
      <c r="I53" s="562" t="s">
        <v>690</v>
      </c>
      <c r="J53" s="604"/>
      <c r="K53" s="562"/>
      <c r="L53" s="604">
        <v>54.75</v>
      </c>
      <c r="M53" s="603"/>
      <c r="N53" s="602"/>
      <c r="AB53" s="537" t="s">
        <v>689</v>
      </c>
    </row>
    <row r="54" spans="1:30" s="536" customFormat="1" x14ac:dyDescent="0.2">
      <c r="A54" s="569"/>
      <c r="B54" s="671"/>
      <c r="C54" s="1823" t="s">
        <v>327</v>
      </c>
      <c r="D54" s="1823"/>
      <c r="E54" s="1823"/>
      <c r="F54" s="573"/>
      <c r="G54" s="573"/>
      <c r="H54" s="573"/>
      <c r="I54" s="573"/>
      <c r="J54" s="572"/>
      <c r="K54" s="573"/>
      <c r="L54" s="572">
        <v>394.49</v>
      </c>
      <c r="M54" s="601"/>
      <c r="N54" s="570"/>
      <c r="AD54" s="537" t="s">
        <v>327</v>
      </c>
    </row>
    <row r="55" spans="1:30" s="536" customFormat="1" ht="22.5" x14ac:dyDescent="0.2">
      <c r="A55" s="575" t="s">
        <v>186</v>
      </c>
      <c r="B55" s="670" t="s">
        <v>1377</v>
      </c>
      <c r="C55" s="1823" t="s">
        <v>1378</v>
      </c>
      <c r="D55" s="1823"/>
      <c r="E55" s="1823"/>
      <c r="F55" s="573" t="s">
        <v>641</v>
      </c>
      <c r="G55" s="573"/>
      <c r="H55" s="573"/>
      <c r="I55" s="573" t="s">
        <v>4989</v>
      </c>
      <c r="J55" s="572">
        <v>560</v>
      </c>
      <c r="K55" s="573"/>
      <c r="L55" s="572">
        <v>3324.38</v>
      </c>
      <c r="M55" s="571"/>
      <c r="N55" s="570"/>
      <c r="W55" s="537" t="s">
        <v>1378</v>
      </c>
    </row>
    <row r="56" spans="1:30" s="536" customFormat="1" x14ac:dyDescent="0.2">
      <c r="A56" s="569"/>
      <c r="B56" s="671"/>
      <c r="C56" s="665" t="s">
        <v>717</v>
      </c>
      <c r="D56" s="666"/>
      <c r="E56" s="666"/>
      <c r="F56" s="563"/>
      <c r="G56" s="563"/>
      <c r="H56" s="563"/>
      <c r="I56" s="563"/>
      <c r="J56" s="566"/>
      <c r="K56" s="563"/>
      <c r="L56" s="566"/>
      <c r="M56" s="565"/>
      <c r="N56" s="564"/>
    </row>
    <row r="57" spans="1:30" s="536" customFormat="1" ht="22.5" x14ac:dyDescent="0.2">
      <c r="A57" s="575" t="s">
        <v>187</v>
      </c>
      <c r="B57" s="670" t="s">
        <v>1380</v>
      </c>
      <c r="C57" s="1823" t="s">
        <v>1381</v>
      </c>
      <c r="D57" s="1823"/>
      <c r="E57" s="1823"/>
      <c r="F57" s="573" t="s">
        <v>509</v>
      </c>
      <c r="G57" s="573"/>
      <c r="H57" s="573"/>
      <c r="I57" s="573" t="s">
        <v>3436</v>
      </c>
      <c r="J57" s="572"/>
      <c r="K57" s="573"/>
      <c r="L57" s="572"/>
      <c r="M57" s="571"/>
      <c r="N57" s="570"/>
      <c r="W57" s="537" t="s">
        <v>1381</v>
      </c>
    </row>
    <row r="58" spans="1:30" s="536" customFormat="1" x14ac:dyDescent="0.2">
      <c r="A58" s="676"/>
      <c r="B58" s="664"/>
      <c r="C58" s="1822" t="s">
        <v>4992</v>
      </c>
      <c r="D58" s="1822"/>
      <c r="E58" s="1822"/>
      <c r="F58" s="1822"/>
      <c r="G58" s="1822"/>
      <c r="H58" s="1822"/>
      <c r="I58" s="1822"/>
      <c r="J58" s="1822"/>
      <c r="K58" s="1822"/>
      <c r="L58" s="1822"/>
      <c r="M58" s="1822"/>
      <c r="N58" s="1827"/>
      <c r="X58" s="537" t="s">
        <v>4992</v>
      </c>
    </row>
    <row r="59" spans="1:30" s="536" customFormat="1" ht="33.75" x14ac:dyDescent="0.2">
      <c r="A59" s="609"/>
      <c r="B59" s="552" t="s">
        <v>310</v>
      </c>
      <c r="C59" s="1822" t="s">
        <v>311</v>
      </c>
      <c r="D59" s="1822"/>
      <c r="E59" s="1822"/>
      <c r="F59" s="1822"/>
      <c r="G59" s="1822"/>
      <c r="H59" s="1822"/>
      <c r="I59" s="1822"/>
      <c r="J59" s="1822"/>
      <c r="K59" s="1822"/>
      <c r="L59" s="1822"/>
      <c r="M59" s="1822"/>
      <c r="N59" s="1827"/>
      <c r="Y59" s="537" t="s">
        <v>311</v>
      </c>
    </row>
    <row r="60" spans="1:30" s="536" customFormat="1" x14ac:dyDescent="0.2">
      <c r="A60" s="605"/>
      <c r="B60" s="552" t="s">
        <v>185</v>
      </c>
      <c r="C60" s="1822" t="s">
        <v>312</v>
      </c>
      <c r="D60" s="1822"/>
      <c r="E60" s="1822"/>
      <c r="F60" s="562"/>
      <c r="G60" s="562"/>
      <c r="H60" s="562"/>
      <c r="I60" s="562"/>
      <c r="J60" s="604">
        <v>1526.87</v>
      </c>
      <c r="K60" s="562" t="s">
        <v>313</v>
      </c>
      <c r="L60" s="604">
        <v>314.92</v>
      </c>
      <c r="M60" s="603"/>
      <c r="N60" s="602"/>
      <c r="Z60" s="537" t="s">
        <v>312</v>
      </c>
    </row>
    <row r="61" spans="1:30" s="536" customFormat="1" x14ac:dyDescent="0.2">
      <c r="A61" s="605"/>
      <c r="B61" s="552" t="s">
        <v>186</v>
      </c>
      <c r="C61" s="1822" t="s">
        <v>344</v>
      </c>
      <c r="D61" s="1822"/>
      <c r="E61" s="1822"/>
      <c r="F61" s="562"/>
      <c r="G61" s="562"/>
      <c r="H61" s="562"/>
      <c r="I61" s="562"/>
      <c r="J61" s="604">
        <v>2518.58</v>
      </c>
      <c r="K61" s="562" t="s">
        <v>313</v>
      </c>
      <c r="L61" s="604">
        <v>519.46</v>
      </c>
      <c r="M61" s="603"/>
      <c r="N61" s="602"/>
      <c r="Z61" s="537" t="s">
        <v>344</v>
      </c>
    </row>
    <row r="62" spans="1:30" s="536" customFormat="1" x14ac:dyDescent="0.2">
      <c r="A62" s="605"/>
      <c r="B62" s="552" t="s">
        <v>187</v>
      </c>
      <c r="C62" s="1822" t="s">
        <v>345</v>
      </c>
      <c r="D62" s="1822"/>
      <c r="E62" s="1822"/>
      <c r="F62" s="562"/>
      <c r="G62" s="562"/>
      <c r="H62" s="562"/>
      <c r="I62" s="562"/>
      <c r="J62" s="604">
        <v>382.14</v>
      </c>
      <c r="K62" s="562" t="s">
        <v>313</v>
      </c>
      <c r="L62" s="604">
        <v>78.819999999999993</v>
      </c>
      <c r="M62" s="603"/>
      <c r="N62" s="602"/>
      <c r="Z62" s="537" t="s">
        <v>345</v>
      </c>
    </row>
    <row r="63" spans="1:30" s="536" customFormat="1" x14ac:dyDescent="0.2">
      <c r="A63" s="605"/>
      <c r="B63" s="552" t="s">
        <v>188</v>
      </c>
      <c r="C63" s="1822" t="s">
        <v>475</v>
      </c>
      <c r="D63" s="1822"/>
      <c r="E63" s="1822"/>
      <c r="F63" s="562"/>
      <c r="G63" s="562"/>
      <c r="H63" s="562"/>
      <c r="I63" s="562"/>
      <c r="J63" s="604">
        <v>488.42</v>
      </c>
      <c r="K63" s="562"/>
      <c r="L63" s="604">
        <v>80.59</v>
      </c>
      <c r="M63" s="603"/>
      <c r="N63" s="602"/>
      <c r="Z63" s="537" t="s">
        <v>475</v>
      </c>
    </row>
    <row r="64" spans="1:30" s="536" customFormat="1" x14ac:dyDescent="0.2">
      <c r="A64" s="676"/>
      <c r="B64" s="677" t="s">
        <v>639</v>
      </c>
      <c r="C64" s="1829" t="s">
        <v>640</v>
      </c>
      <c r="D64" s="1829"/>
      <c r="E64" s="1829"/>
      <c r="F64" s="678" t="s">
        <v>641</v>
      </c>
      <c r="G64" s="678" t="s">
        <v>1384</v>
      </c>
      <c r="H64" s="678"/>
      <c r="I64" s="678" t="s">
        <v>4993</v>
      </c>
      <c r="J64" s="552"/>
      <c r="K64" s="562"/>
      <c r="L64" s="604"/>
      <c r="M64" s="562"/>
      <c r="N64" s="679"/>
      <c r="AA64" s="537" t="s">
        <v>640</v>
      </c>
    </row>
    <row r="65" spans="1:31" s="536" customFormat="1" x14ac:dyDescent="0.2">
      <c r="A65" s="676"/>
      <c r="B65" s="677" t="s">
        <v>1272</v>
      </c>
      <c r="C65" s="1829" t="s">
        <v>1273</v>
      </c>
      <c r="D65" s="1829"/>
      <c r="E65" s="1829"/>
      <c r="F65" s="678" t="s">
        <v>694</v>
      </c>
      <c r="G65" s="678" t="s">
        <v>1386</v>
      </c>
      <c r="H65" s="678"/>
      <c r="I65" s="678" t="s">
        <v>4994</v>
      </c>
      <c r="J65" s="552"/>
      <c r="K65" s="562"/>
      <c r="L65" s="604"/>
      <c r="M65" s="562"/>
      <c r="N65" s="679"/>
      <c r="AA65" s="537" t="s">
        <v>1273</v>
      </c>
    </row>
    <row r="66" spans="1:31" s="536" customFormat="1" x14ac:dyDescent="0.2">
      <c r="A66" s="605"/>
      <c r="B66" s="552"/>
      <c r="C66" s="1822" t="s">
        <v>314</v>
      </c>
      <c r="D66" s="1822"/>
      <c r="E66" s="1822"/>
      <c r="F66" s="562" t="s">
        <v>315</v>
      </c>
      <c r="G66" s="562" t="s">
        <v>1388</v>
      </c>
      <c r="H66" s="562" t="s">
        <v>313</v>
      </c>
      <c r="I66" s="562" t="s">
        <v>4995</v>
      </c>
      <c r="J66" s="604"/>
      <c r="K66" s="562"/>
      <c r="L66" s="604"/>
      <c r="M66" s="603"/>
      <c r="N66" s="602"/>
      <c r="AB66" s="537" t="s">
        <v>314</v>
      </c>
    </row>
    <row r="67" spans="1:31" s="536" customFormat="1" x14ac:dyDescent="0.2">
      <c r="A67" s="605"/>
      <c r="B67" s="552"/>
      <c r="C67" s="1822" t="s">
        <v>348</v>
      </c>
      <c r="D67" s="1822"/>
      <c r="E67" s="1822"/>
      <c r="F67" s="562" t="s">
        <v>315</v>
      </c>
      <c r="G67" s="562" t="s">
        <v>1390</v>
      </c>
      <c r="H67" s="562" t="s">
        <v>313</v>
      </c>
      <c r="I67" s="562" t="s">
        <v>4996</v>
      </c>
      <c r="J67" s="604"/>
      <c r="K67" s="562"/>
      <c r="L67" s="604"/>
      <c r="M67" s="603"/>
      <c r="N67" s="602"/>
      <c r="AB67" s="537" t="s">
        <v>348</v>
      </c>
    </row>
    <row r="68" spans="1:31" s="536" customFormat="1" x14ac:dyDescent="0.2">
      <c r="A68" s="605"/>
      <c r="B68" s="552"/>
      <c r="C68" s="1828" t="s">
        <v>318</v>
      </c>
      <c r="D68" s="1828"/>
      <c r="E68" s="1828"/>
      <c r="F68" s="608"/>
      <c r="G68" s="608"/>
      <c r="H68" s="608"/>
      <c r="I68" s="608"/>
      <c r="J68" s="607">
        <v>4533.87</v>
      </c>
      <c r="K68" s="608"/>
      <c r="L68" s="607">
        <v>914.97</v>
      </c>
      <c r="M68" s="601"/>
      <c r="N68" s="606"/>
      <c r="AC68" s="537" t="s">
        <v>318</v>
      </c>
    </row>
    <row r="69" spans="1:31" s="536" customFormat="1" x14ac:dyDescent="0.2">
      <c r="A69" s="605"/>
      <c r="B69" s="552"/>
      <c r="C69" s="1822" t="s">
        <v>319</v>
      </c>
      <c r="D69" s="1822"/>
      <c r="E69" s="1822"/>
      <c r="F69" s="562"/>
      <c r="G69" s="562"/>
      <c r="H69" s="562"/>
      <c r="I69" s="562"/>
      <c r="J69" s="604"/>
      <c r="K69" s="562"/>
      <c r="L69" s="604">
        <v>393.74</v>
      </c>
      <c r="M69" s="603"/>
      <c r="N69" s="602"/>
      <c r="AB69" s="537" t="s">
        <v>319</v>
      </c>
    </row>
    <row r="70" spans="1:31" s="536" customFormat="1" ht="33.75" x14ac:dyDescent="0.2">
      <c r="A70" s="605"/>
      <c r="B70" s="552" t="s">
        <v>686</v>
      </c>
      <c r="C70" s="1822" t="s">
        <v>687</v>
      </c>
      <c r="D70" s="1822"/>
      <c r="E70" s="1822"/>
      <c r="F70" s="562" t="s">
        <v>322</v>
      </c>
      <c r="G70" s="562" t="s">
        <v>680</v>
      </c>
      <c r="H70" s="562"/>
      <c r="I70" s="562" t="s">
        <v>680</v>
      </c>
      <c r="J70" s="604"/>
      <c r="K70" s="562"/>
      <c r="L70" s="604">
        <v>401.61</v>
      </c>
      <c r="M70" s="603"/>
      <c r="N70" s="602"/>
      <c r="AB70" s="537" t="s">
        <v>687</v>
      </c>
    </row>
    <row r="71" spans="1:31" s="536" customFormat="1" ht="33.75" x14ac:dyDescent="0.2">
      <c r="A71" s="605"/>
      <c r="B71" s="552" t="s">
        <v>688</v>
      </c>
      <c r="C71" s="1822" t="s">
        <v>689</v>
      </c>
      <c r="D71" s="1822"/>
      <c r="E71" s="1822"/>
      <c r="F71" s="562" t="s">
        <v>322</v>
      </c>
      <c r="G71" s="562" t="s">
        <v>690</v>
      </c>
      <c r="H71" s="562"/>
      <c r="I71" s="562" t="s">
        <v>690</v>
      </c>
      <c r="J71" s="604"/>
      <c r="K71" s="562"/>
      <c r="L71" s="604">
        <v>228.37</v>
      </c>
      <c r="M71" s="603"/>
      <c r="N71" s="602"/>
      <c r="AB71" s="537" t="s">
        <v>689</v>
      </c>
    </row>
    <row r="72" spans="1:31" s="536" customFormat="1" x14ac:dyDescent="0.2">
      <c r="A72" s="569"/>
      <c r="B72" s="671"/>
      <c r="C72" s="1823" t="s">
        <v>327</v>
      </c>
      <c r="D72" s="1823"/>
      <c r="E72" s="1823"/>
      <c r="F72" s="573"/>
      <c r="G72" s="573"/>
      <c r="H72" s="573"/>
      <c r="I72" s="573"/>
      <c r="J72" s="572"/>
      <c r="K72" s="573"/>
      <c r="L72" s="572">
        <v>1544.95</v>
      </c>
      <c r="M72" s="601"/>
      <c r="N72" s="570"/>
      <c r="AD72" s="537" t="s">
        <v>327</v>
      </c>
    </row>
    <row r="73" spans="1:31" s="536" customFormat="1" ht="22.5" x14ac:dyDescent="0.2">
      <c r="A73" s="575" t="s">
        <v>188</v>
      </c>
      <c r="B73" s="670" t="s">
        <v>1392</v>
      </c>
      <c r="C73" s="1823" t="s">
        <v>1393</v>
      </c>
      <c r="D73" s="1823"/>
      <c r="E73" s="1823"/>
      <c r="F73" s="573" t="s">
        <v>641</v>
      </c>
      <c r="G73" s="573"/>
      <c r="H73" s="573"/>
      <c r="I73" s="573" t="s">
        <v>4993</v>
      </c>
      <c r="J73" s="572">
        <v>725.69</v>
      </c>
      <c r="K73" s="573"/>
      <c r="L73" s="572">
        <v>12153.49</v>
      </c>
      <c r="M73" s="571"/>
      <c r="N73" s="570"/>
      <c r="W73" s="537" t="s">
        <v>1393</v>
      </c>
    </row>
    <row r="74" spans="1:31" s="536" customFormat="1" x14ac:dyDescent="0.2">
      <c r="A74" s="569"/>
      <c r="B74" s="671"/>
      <c r="C74" s="665" t="s">
        <v>717</v>
      </c>
      <c r="D74" s="666"/>
      <c r="E74" s="666"/>
      <c r="F74" s="563"/>
      <c r="G74" s="563"/>
      <c r="H74" s="563"/>
      <c r="I74" s="563"/>
      <c r="J74" s="566"/>
      <c r="K74" s="563"/>
      <c r="L74" s="566"/>
      <c r="M74" s="565"/>
      <c r="N74" s="564"/>
    </row>
    <row r="75" spans="1:31" s="536" customFormat="1" ht="33.75" x14ac:dyDescent="0.2">
      <c r="A75" s="575" t="s">
        <v>189</v>
      </c>
      <c r="B75" s="670" t="s">
        <v>657</v>
      </c>
      <c r="C75" s="1823" t="s">
        <v>3300</v>
      </c>
      <c r="D75" s="1823"/>
      <c r="E75" s="1823"/>
      <c r="F75" s="573" t="s">
        <v>641</v>
      </c>
      <c r="G75" s="573"/>
      <c r="H75" s="573"/>
      <c r="I75" s="573" t="s">
        <v>2393</v>
      </c>
      <c r="J75" s="572">
        <v>9.69</v>
      </c>
      <c r="K75" s="573"/>
      <c r="L75" s="572">
        <v>159.88999999999999</v>
      </c>
      <c r="M75" s="571"/>
      <c r="N75" s="570"/>
      <c r="W75" s="537" t="s">
        <v>3300</v>
      </c>
    </row>
    <row r="76" spans="1:31" s="536" customFormat="1" x14ac:dyDescent="0.2">
      <c r="A76" s="569"/>
      <c r="B76" s="671"/>
      <c r="C76" s="665" t="s">
        <v>717</v>
      </c>
      <c r="D76" s="666"/>
      <c r="E76" s="666"/>
      <c r="F76" s="563"/>
      <c r="G76" s="563"/>
      <c r="H76" s="563"/>
      <c r="I76" s="563"/>
      <c r="J76" s="566"/>
      <c r="K76" s="563"/>
      <c r="L76" s="566"/>
      <c r="M76" s="565"/>
      <c r="N76" s="564"/>
    </row>
    <row r="77" spans="1:31" s="536" customFormat="1" x14ac:dyDescent="0.2">
      <c r="A77" s="676"/>
      <c r="B77" s="664"/>
      <c r="C77" s="1822" t="s">
        <v>1399</v>
      </c>
      <c r="D77" s="1822"/>
      <c r="E77" s="1822"/>
      <c r="F77" s="1822"/>
      <c r="G77" s="1822"/>
      <c r="H77" s="1822"/>
      <c r="I77" s="1822"/>
      <c r="J77" s="1822"/>
      <c r="K77" s="1822"/>
      <c r="L77" s="1822"/>
      <c r="M77" s="1822"/>
      <c r="N77" s="1827"/>
      <c r="AE77" s="537" t="s">
        <v>1399</v>
      </c>
    </row>
    <row r="78" spans="1:31" s="536" customFormat="1" ht="22.5" x14ac:dyDescent="0.2">
      <c r="A78" s="575" t="s">
        <v>190</v>
      </c>
      <c r="B78" s="670" t="s">
        <v>1400</v>
      </c>
      <c r="C78" s="1823" t="s">
        <v>1401</v>
      </c>
      <c r="D78" s="1823"/>
      <c r="E78" s="1823"/>
      <c r="F78" s="573" t="s">
        <v>694</v>
      </c>
      <c r="G78" s="573"/>
      <c r="H78" s="573"/>
      <c r="I78" s="573" t="s">
        <v>4997</v>
      </c>
      <c r="J78" s="572">
        <v>5584.58</v>
      </c>
      <c r="K78" s="573"/>
      <c r="L78" s="572">
        <v>6567.47</v>
      </c>
      <c r="M78" s="571"/>
      <c r="N78" s="570"/>
      <c r="W78" s="537" t="s">
        <v>1401</v>
      </c>
    </row>
    <row r="79" spans="1:31" s="536" customFormat="1" x14ac:dyDescent="0.2">
      <c r="A79" s="569"/>
      <c r="B79" s="671"/>
      <c r="C79" s="665" t="s">
        <v>717</v>
      </c>
      <c r="D79" s="666"/>
      <c r="E79" s="666"/>
      <c r="F79" s="563"/>
      <c r="G79" s="563"/>
      <c r="H79" s="563"/>
      <c r="I79" s="563"/>
      <c r="J79" s="566"/>
      <c r="K79" s="563"/>
      <c r="L79" s="566"/>
      <c r="M79" s="565"/>
      <c r="N79" s="564"/>
    </row>
    <row r="80" spans="1:31" s="536" customFormat="1" x14ac:dyDescent="0.2">
      <c r="A80" s="676"/>
      <c r="B80" s="664"/>
      <c r="C80" s="1822" t="s">
        <v>4998</v>
      </c>
      <c r="D80" s="1822"/>
      <c r="E80" s="1822"/>
      <c r="F80" s="1822"/>
      <c r="G80" s="1822"/>
      <c r="H80" s="1822"/>
      <c r="I80" s="1822"/>
      <c r="J80" s="1822"/>
      <c r="K80" s="1822"/>
      <c r="L80" s="1822"/>
      <c r="M80" s="1822"/>
      <c r="N80" s="1827"/>
      <c r="X80" s="537" t="s">
        <v>4998</v>
      </c>
    </row>
    <row r="81" spans="1:30" s="536" customFormat="1" ht="33.75" x14ac:dyDescent="0.2">
      <c r="A81" s="575" t="s">
        <v>191</v>
      </c>
      <c r="B81" s="670" t="s">
        <v>1416</v>
      </c>
      <c r="C81" s="1823" t="s">
        <v>1417</v>
      </c>
      <c r="D81" s="1823"/>
      <c r="E81" s="1823"/>
      <c r="F81" s="573" t="s">
        <v>862</v>
      </c>
      <c r="G81" s="573"/>
      <c r="H81" s="573"/>
      <c r="I81" s="573" t="s">
        <v>4999</v>
      </c>
      <c r="J81" s="572"/>
      <c r="K81" s="573"/>
      <c r="L81" s="572"/>
      <c r="M81" s="571"/>
      <c r="N81" s="570"/>
      <c r="W81" s="537" t="s">
        <v>1417</v>
      </c>
    </row>
    <row r="82" spans="1:30" s="536" customFormat="1" x14ac:dyDescent="0.2">
      <c r="A82" s="676"/>
      <c r="B82" s="664"/>
      <c r="C82" s="1822" t="s">
        <v>5000</v>
      </c>
      <c r="D82" s="1822"/>
      <c r="E82" s="1822"/>
      <c r="F82" s="1822"/>
      <c r="G82" s="1822"/>
      <c r="H82" s="1822"/>
      <c r="I82" s="1822"/>
      <c r="J82" s="1822"/>
      <c r="K82" s="1822"/>
      <c r="L82" s="1822"/>
      <c r="M82" s="1822"/>
      <c r="N82" s="1827"/>
      <c r="X82" s="537" t="s">
        <v>5000</v>
      </c>
    </row>
    <row r="83" spans="1:30" s="536" customFormat="1" ht="33.75" x14ac:dyDescent="0.2">
      <c r="A83" s="609"/>
      <c r="B83" s="552" t="s">
        <v>310</v>
      </c>
      <c r="C83" s="1822" t="s">
        <v>311</v>
      </c>
      <c r="D83" s="1822"/>
      <c r="E83" s="1822"/>
      <c r="F83" s="1822"/>
      <c r="G83" s="1822"/>
      <c r="H83" s="1822"/>
      <c r="I83" s="1822"/>
      <c r="J83" s="1822"/>
      <c r="K83" s="1822"/>
      <c r="L83" s="1822"/>
      <c r="M83" s="1822"/>
      <c r="N83" s="1827"/>
      <c r="Y83" s="537" t="s">
        <v>311</v>
      </c>
    </row>
    <row r="84" spans="1:30" s="536" customFormat="1" x14ac:dyDescent="0.2">
      <c r="A84" s="605"/>
      <c r="B84" s="552" t="s">
        <v>185</v>
      </c>
      <c r="C84" s="1822" t="s">
        <v>312</v>
      </c>
      <c r="D84" s="1822"/>
      <c r="E84" s="1822"/>
      <c r="F84" s="562"/>
      <c r="G84" s="562"/>
      <c r="H84" s="562"/>
      <c r="I84" s="562"/>
      <c r="J84" s="604">
        <v>170.01</v>
      </c>
      <c r="K84" s="562" t="s">
        <v>313</v>
      </c>
      <c r="L84" s="604">
        <v>137.28</v>
      </c>
      <c r="M84" s="603"/>
      <c r="N84" s="602"/>
      <c r="Z84" s="537" t="s">
        <v>312</v>
      </c>
    </row>
    <row r="85" spans="1:30" s="536" customFormat="1" x14ac:dyDescent="0.2">
      <c r="A85" s="605"/>
      <c r="B85" s="552" t="s">
        <v>186</v>
      </c>
      <c r="C85" s="1822" t="s">
        <v>344</v>
      </c>
      <c r="D85" s="1822"/>
      <c r="E85" s="1822"/>
      <c r="F85" s="562"/>
      <c r="G85" s="562"/>
      <c r="H85" s="562"/>
      <c r="I85" s="562"/>
      <c r="J85" s="604">
        <v>38.6</v>
      </c>
      <c r="K85" s="562" t="s">
        <v>313</v>
      </c>
      <c r="L85" s="604">
        <v>31.17</v>
      </c>
      <c r="M85" s="603"/>
      <c r="N85" s="602"/>
      <c r="Z85" s="537" t="s">
        <v>344</v>
      </c>
    </row>
    <row r="86" spans="1:30" s="536" customFormat="1" x14ac:dyDescent="0.2">
      <c r="A86" s="605"/>
      <c r="B86" s="552" t="s">
        <v>187</v>
      </c>
      <c r="C86" s="1822" t="s">
        <v>345</v>
      </c>
      <c r="D86" s="1822"/>
      <c r="E86" s="1822"/>
      <c r="F86" s="562"/>
      <c r="G86" s="562"/>
      <c r="H86" s="562"/>
      <c r="I86" s="562"/>
      <c r="J86" s="604">
        <v>9.2899999999999991</v>
      </c>
      <c r="K86" s="562" t="s">
        <v>313</v>
      </c>
      <c r="L86" s="604">
        <v>7.5</v>
      </c>
      <c r="M86" s="603"/>
      <c r="N86" s="602"/>
      <c r="Z86" s="537" t="s">
        <v>345</v>
      </c>
    </row>
    <row r="87" spans="1:30" s="536" customFormat="1" x14ac:dyDescent="0.2">
      <c r="A87" s="605"/>
      <c r="B87" s="552" t="s">
        <v>188</v>
      </c>
      <c r="C87" s="1822" t="s">
        <v>475</v>
      </c>
      <c r="D87" s="1822"/>
      <c r="E87" s="1822"/>
      <c r="F87" s="562"/>
      <c r="G87" s="562"/>
      <c r="H87" s="562"/>
      <c r="I87" s="562"/>
      <c r="J87" s="604">
        <v>0.91</v>
      </c>
      <c r="K87" s="562"/>
      <c r="L87" s="604">
        <v>0.59</v>
      </c>
      <c r="M87" s="603"/>
      <c r="N87" s="602"/>
      <c r="Z87" s="537" t="s">
        <v>475</v>
      </c>
    </row>
    <row r="88" spans="1:30" s="536" customFormat="1" x14ac:dyDescent="0.2">
      <c r="A88" s="676"/>
      <c r="B88" s="677" t="s">
        <v>1420</v>
      </c>
      <c r="C88" s="1829" t="s">
        <v>1421</v>
      </c>
      <c r="D88" s="1829"/>
      <c r="E88" s="1829"/>
      <c r="F88" s="678" t="s">
        <v>694</v>
      </c>
      <c r="G88" s="678" t="s">
        <v>1422</v>
      </c>
      <c r="H88" s="678"/>
      <c r="I88" s="678" t="s">
        <v>5001</v>
      </c>
      <c r="J88" s="552"/>
      <c r="K88" s="562"/>
      <c r="L88" s="604"/>
      <c r="M88" s="562"/>
      <c r="N88" s="679"/>
      <c r="AA88" s="537" t="s">
        <v>1421</v>
      </c>
    </row>
    <row r="89" spans="1:30" s="536" customFormat="1" x14ac:dyDescent="0.2">
      <c r="A89" s="605"/>
      <c r="B89" s="552"/>
      <c r="C89" s="1822" t="s">
        <v>314</v>
      </c>
      <c r="D89" s="1822"/>
      <c r="E89" s="1822"/>
      <c r="F89" s="562" t="s">
        <v>315</v>
      </c>
      <c r="G89" s="562" t="s">
        <v>1424</v>
      </c>
      <c r="H89" s="562" t="s">
        <v>313</v>
      </c>
      <c r="I89" s="562" t="s">
        <v>5002</v>
      </c>
      <c r="J89" s="604"/>
      <c r="K89" s="562"/>
      <c r="L89" s="604"/>
      <c r="M89" s="603"/>
      <c r="N89" s="602"/>
      <c r="AB89" s="537" t="s">
        <v>314</v>
      </c>
    </row>
    <row r="90" spans="1:30" s="536" customFormat="1" x14ac:dyDescent="0.2">
      <c r="A90" s="605"/>
      <c r="B90" s="552"/>
      <c r="C90" s="1822" t="s">
        <v>348</v>
      </c>
      <c r="D90" s="1822"/>
      <c r="E90" s="1822"/>
      <c r="F90" s="562" t="s">
        <v>315</v>
      </c>
      <c r="G90" s="562" t="s">
        <v>524</v>
      </c>
      <c r="H90" s="562" t="s">
        <v>313</v>
      </c>
      <c r="I90" s="562" t="s">
        <v>5003</v>
      </c>
      <c r="J90" s="604"/>
      <c r="K90" s="562"/>
      <c r="L90" s="604"/>
      <c r="M90" s="603"/>
      <c r="N90" s="602"/>
      <c r="AB90" s="537" t="s">
        <v>348</v>
      </c>
    </row>
    <row r="91" spans="1:30" s="536" customFormat="1" x14ac:dyDescent="0.2">
      <c r="A91" s="605"/>
      <c r="B91" s="552"/>
      <c r="C91" s="1828" t="s">
        <v>318</v>
      </c>
      <c r="D91" s="1828"/>
      <c r="E91" s="1828"/>
      <c r="F91" s="608"/>
      <c r="G91" s="608"/>
      <c r="H91" s="608"/>
      <c r="I91" s="608"/>
      <c r="J91" s="607">
        <v>209.52</v>
      </c>
      <c r="K91" s="608"/>
      <c r="L91" s="607">
        <v>169.04</v>
      </c>
      <c r="M91" s="601"/>
      <c r="N91" s="606"/>
      <c r="AC91" s="537" t="s">
        <v>318</v>
      </c>
    </row>
    <row r="92" spans="1:30" s="536" customFormat="1" x14ac:dyDescent="0.2">
      <c r="A92" s="605"/>
      <c r="B92" s="552"/>
      <c r="C92" s="1822" t="s">
        <v>319</v>
      </c>
      <c r="D92" s="1822"/>
      <c r="E92" s="1822"/>
      <c r="F92" s="562"/>
      <c r="G92" s="562"/>
      <c r="H92" s="562"/>
      <c r="I92" s="562"/>
      <c r="J92" s="604"/>
      <c r="K92" s="562"/>
      <c r="L92" s="604">
        <v>144.78</v>
      </c>
      <c r="M92" s="603"/>
      <c r="N92" s="602"/>
      <c r="AB92" s="537" t="s">
        <v>319</v>
      </c>
    </row>
    <row r="93" spans="1:30" s="536" customFormat="1" ht="33.75" x14ac:dyDescent="0.2">
      <c r="A93" s="605"/>
      <c r="B93" s="552" t="s">
        <v>1250</v>
      </c>
      <c r="C93" s="1822" t="s">
        <v>1251</v>
      </c>
      <c r="D93" s="1822"/>
      <c r="E93" s="1822"/>
      <c r="F93" s="562" t="s">
        <v>322</v>
      </c>
      <c r="G93" s="562" t="s">
        <v>1252</v>
      </c>
      <c r="H93" s="562"/>
      <c r="I93" s="562" t="s">
        <v>1252</v>
      </c>
      <c r="J93" s="604"/>
      <c r="K93" s="562"/>
      <c r="L93" s="604">
        <v>162.15</v>
      </c>
      <c r="M93" s="603"/>
      <c r="N93" s="602"/>
      <c r="AB93" s="537" t="s">
        <v>1251</v>
      </c>
    </row>
    <row r="94" spans="1:30" s="536" customFormat="1" ht="33.75" x14ac:dyDescent="0.2">
      <c r="A94" s="605"/>
      <c r="B94" s="552" t="s">
        <v>1253</v>
      </c>
      <c r="C94" s="1822" t="s">
        <v>1254</v>
      </c>
      <c r="D94" s="1822"/>
      <c r="E94" s="1822"/>
      <c r="F94" s="562" t="s">
        <v>322</v>
      </c>
      <c r="G94" s="562" t="s">
        <v>796</v>
      </c>
      <c r="H94" s="562"/>
      <c r="I94" s="562" t="s">
        <v>796</v>
      </c>
      <c r="J94" s="604"/>
      <c r="K94" s="562"/>
      <c r="L94" s="604">
        <v>94.11</v>
      </c>
      <c r="M94" s="603"/>
      <c r="N94" s="602"/>
      <c r="AB94" s="537" t="s">
        <v>1254</v>
      </c>
    </row>
    <row r="95" spans="1:30" s="536" customFormat="1" x14ac:dyDescent="0.2">
      <c r="A95" s="569"/>
      <c r="B95" s="671"/>
      <c r="C95" s="1823" t="s">
        <v>327</v>
      </c>
      <c r="D95" s="1823"/>
      <c r="E95" s="1823"/>
      <c r="F95" s="573"/>
      <c r="G95" s="573"/>
      <c r="H95" s="573"/>
      <c r="I95" s="573"/>
      <c r="J95" s="572"/>
      <c r="K95" s="573"/>
      <c r="L95" s="572">
        <v>425.3</v>
      </c>
      <c r="M95" s="601"/>
      <c r="N95" s="570"/>
      <c r="AD95" s="537" t="s">
        <v>327</v>
      </c>
    </row>
    <row r="96" spans="1:30" s="536" customFormat="1" ht="33.75" x14ac:dyDescent="0.2">
      <c r="A96" s="575" t="s">
        <v>192</v>
      </c>
      <c r="B96" s="670" t="s">
        <v>2126</v>
      </c>
      <c r="C96" s="1823" t="s">
        <v>2127</v>
      </c>
      <c r="D96" s="1823"/>
      <c r="E96" s="1823"/>
      <c r="F96" s="573" t="s">
        <v>862</v>
      </c>
      <c r="G96" s="573"/>
      <c r="H96" s="573"/>
      <c r="I96" s="573" t="s">
        <v>4999</v>
      </c>
      <c r="J96" s="572"/>
      <c r="K96" s="573"/>
      <c r="L96" s="572"/>
      <c r="M96" s="571"/>
      <c r="N96" s="570"/>
      <c r="W96" s="537" t="s">
        <v>2127</v>
      </c>
    </row>
    <row r="97" spans="1:30" s="536" customFormat="1" x14ac:dyDescent="0.2">
      <c r="A97" s="676"/>
      <c r="B97" s="664"/>
      <c r="C97" s="1822" t="s">
        <v>5000</v>
      </c>
      <c r="D97" s="1822"/>
      <c r="E97" s="1822"/>
      <c r="F97" s="1822"/>
      <c r="G97" s="1822"/>
      <c r="H97" s="1822"/>
      <c r="I97" s="1822"/>
      <c r="J97" s="1822"/>
      <c r="K97" s="1822"/>
      <c r="L97" s="1822"/>
      <c r="M97" s="1822"/>
      <c r="N97" s="1827"/>
      <c r="X97" s="537" t="s">
        <v>5000</v>
      </c>
    </row>
    <row r="98" spans="1:30" s="536" customFormat="1" ht="33.75" x14ac:dyDescent="0.2">
      <c r="A98" s="609"/>
      <c r="B98" s="552" t="s">
        <v>310</v>
      </c>
      <c r="C98" s="1822" t="s">
        <v>311</v>
      </c>
      <c r="D98" s="1822"/>
      <c r="E98" s="1822"/>
      <c r="F98" s="1822"/>
      <c r="G98" s="1822"/>
      <c r="H98" s="1822"/>
      <c r="I98" s="1822"/>
      <c r="J98" s="1822"/>
      <c r="K98" s="1822"/>
      <c r="L98" s="1822"/>
      <c r="M98" s="1822"/>
      <c r="N98" s="1827"/>
      <c r="Y98" s="537" t="s">
        <v>311</v>
      </c>
    </row>
    <row r="99" spans="1:30" s="536" customFormat="1" x14ac:dyDescent="0.2">
      <c r="A99" s="605"/>
      <c r="B99" s="552" t="s">
        <v>185</v>
      </c>
      <c r="C99" s="1822" t="s">
        <v>312</v>
      </c>
      <c r="D99" s="1822"/>
      <c r="E99" s="1822"/>
      <c r="F99" s="562"/>
      <c r="G99" s="562"/>
      <c r="H99" s="562"/>
      <c r="I99" s="562"/>
      <c r="J99" s="604">
        <v>53.82</v>
      </c>
      <c r="K99" s="562" t="s">
        <v>313</v>
      </c>
      <c r="L99" s="604">
        <v>43.46</v>
      </c>
      <c r="M99" s="603"/>
      <c r="N99" s="602"/>
      <c r="Z99" s="537" t="s">
        <v>312</v>
      </c>
    </row>
    <row r="100" spans="1:30" s="536" customFormat="1" x14ac:dyDescent="0.2">
      <c r="A100" s="605"/>
      <c r="B100" s="552" t="s">
        <v>186</v>
      </c>
      <c r="C100" s="1822" t="s">
        <v>344</v>
      </c>
      <c r="D100" s="1822"/>
      <c r="E100" s="1822"/>
      <c r="F100" s="562"/>
      <c r="G100" s="562"/>
      <c r="H100" s="562"/>
      <c r="I100" s="562"/>
      <c r="J100" s="604">
        <v>19.149999999999999</v>
      </c>
      <c r="K100" s="562" t="s">
        <v>313</v>
      </c>
      <c r="L100" s="604">
        <v>15.46</v>
      </c>
      <c r="M100" s="603"/>
      <c r="N100" s="602"/>
      <c r="Z100" s="537" t="s">
        <v>344</v>
      </c>
    </row>
    <row r="101" spans="1:30" s="536" customFormat="1" x14ac:dyDescent="0.2">
      <c r="A101" s="605"/>
      <c r="B101" s="552" t="s">
        <v>187</v>
      </c>
      <c r="C101" s="1822" t="s">
        <v>345</v>
      </c>
      <c r="D101" s="1822"/>
      <c r="E101" s="1822"/>
      <c r="F101" s="562"/>
      <c r="G101" s="562"/>
      <c r="H101" s="562"/>
      <c r="I101" s="562"/>
      <c r="J101" s="604">
        <v>4.58</v>
      </c>
      <c r="K101" s="562" t="s">
        <v>313</v>
      </c>
      <c r="L101" s="604">
        <v>3.7</v>
      </c>
      <c r="M101" s="603"/>
      <c r="N101" s="602"/>
      <c r="Z101" s="537" t="s">
        <v>345</v>
      </c>
    </row>
    <row r="102" spans="1:30" s="536" customFormat="1" x14ac:dyDescent="0.2">
      <c r="A102" s="605"/>
      <c r="B102" s="552" t="s">
        <v>188</v>
      </c>
      <c r="C102" s="1822" t="s">
        <v>475</v>
      </c>
      <c r="D102" s="1822"/>
      <c r="E102" s="1822"/>
      <c r="F102" s="562"/>
      <c r="G102" s="562"/>
      <c r="H102" s="562"/>
      <c r="I102" s="562"/>
      <c r="J102" s="604">
        <v>0.55000000000000004</v>
      </c>
      <c r="K102" s="562"/>
      <c r="L102" s="604">
        <v>0.36</v>
      </c>
      <c r="M102" s="603"/>
      <c r="N102" s="602"/>
      <c r="Z102" s="537" t="s">
        <v>475</v>
      </c>
    </row>
    <row r="103" spans="1:30" s="536" customFormat="1" x14ac:dyDescent="0.2">
      <c r="A103" s="676"/>
      <c r="B103" s="677" t="s">
        <v>1420</v>
      </c>
      <c r="C103" s="1829" t="s">
        <v>1421</v>
      </c>
      <c r="D103" s="1829"/>
      <c r="E103" s="1829"/>
      <c r="F103" s="678" t="s">
        <v>694</v>
      </c>
      <c r="G103" s="678" t="s">
        <v>646</v>
      </c>
      <c r="H103" s="678"/>
      <c r="I103" s="678" t="s">
        <v>5004</v>
      </c>
      <c r="J103" s="552"/>
      <c r="K103" s="562"/>
      <c r="L103" s="604"/>
      <c r="M103" s="562"/>
      <c r="N103" s="679"/>
      <c r="AA103" s="537" t="s">
        <v>1421</v>
      </c>
    </row>
    <row r="104" spans="1:30" s="536" customFormat="1" x14ac:dyDescent="0.2">
      <c r="A104" s="605"/>
      <c r="B104" s="552"/>
      <c r="C104" s="1822" t="s">
        <v>314</v>
      </c>
      <c r="D104" s="1822"/>
      <c r="E104" s="1822"/>
      <c r="F104" s="562" t="s">
        <v>315</v>
      </c>
      <c r="G104" s="562" t="s">
        <v>2129</v>
      </c>
      <c r="H104" s="562" t="s">
        <v>313</v>
      </c>
      <c r="I104" s="562" t="s">
        <v>5005</v>
      </c>
      <c r="J104" s="604"/>
      <c r="K104" s="562"/>
      <c r="L104" s="604"/>
      <c r="M104" s="603"/>
      <c r="N104" s="602"/>
      <c r="AB104" s="537" t="s">
        <v>314</v>
      </c>
    </row>
    <row r="105" spans="1:30" s="536" customFormat="1" x14ac:dyDescent="0.2">
      <c r="A105" s="605"/>
      <c r="B105" s="552"/>
      <c r="C105" s="1822" t="s">
        <v>348</v>
      </c>
      <c r="D105" s="1822"/>
      <c r="E105" s="1822"/>
      <c r="F105" s="562" t="s">
        <v>315</v>
      </c>
      <c r="G105" s="562" t="s">
        <v>2131</v>
      </c>
      <c r="H105" s="562" t="s">
        <v>313</v>
      </c>
      <c r="I105" s="562" t="s">
        <v>5006</v>
      </c>
      <c r="J105" s="604"/>
      <c r="K105" s="562"/>
      <c r="L105" s="604"/>
      <c r="M105" s="603"/>
      <c r="N105" s="602"/>
      <c r="AB105" s="537" t="s">
        <v>348</v>
      </c>
    </row>
    <row r="106" spans="1:30" s="536" customFormat="1" x14ac:dyDescent="0.2">
      <c r="A106" s="605"/>
      <c r="B106" s="552"/>
      <c r="C106" s="1828" t="s">
        <v>318</v>
      </c>
      <c r="D106" s="1828"/>
      <c r="E106" s="1828"/>
      <c r="F106" s="608"/>
      <c r="G106" s="608"/>
      <c r="H106" s="608"/>
      <c r="I106" s="608"/>
      <c r="J106" s="607">
        <v>73.52</v>
      </c>
      <c r="K106" s="608"/>
      <c r="L106" s="607">
        <v>59.28</v>
      </c>
      <c r="M106" s="601"/>
      <c r="N106" s="606"/>
      <c r="AC106" s="537" t="s">
        <v>318</v>
      </c>
    </row>
    <row r="107" spans="1:30" s="536" customFormat="1" x14ac:dyDescent="0.2">
      <c r="A107" s="605"/>
      <c r="B107" s="552"/>
      <c r="C107" s="1822" t="s">
        <v>319</v>
      </c>
      <c r="D107" s="1822"/>
      <c r="E107" s="1822"/>
      <c r="F107" s="562"/>
      <c r="G107" s="562"/>
      <c r="H107" s="562"/>
      <c r="I107" s="562"/>
      <c r="J107" s="604"/>
      <c r="K107" s="562"/>
      <c r="L107" s="604">
        <v>47.16</v>
      </c>
      <c r="M107" s="603"/>
      <c r="N107" s="602"/>
      <c r="AB107" s="537" t="s">
        <v>319</v>
      </c>
    </row>
    <row r="108" spans="1:30" s="536" customFormat="1" ht="33.75" x14ac:dyDescent="0.2">
      <c r="A108" s="605"/>
      <c r="B108" s="552" t="s">
        <v>1250</v>
      </c>
      <c r="C108" s="1822" t="s">
        <v>1251</v>
      </c>
      <c r="D108" s="1822"/>
      <c r="E108" s="1822"/>
      <c r="F108" s="562" t="s">
        <v>322</v>
      </c>
      <c r="G108" s="562" t="s">
        <v>1252</v>
      </c>
      <c r="H108" s="562"/>
      <c r="I108" s="562" t="s">
        <v>1252</v>
      </c>
      <c r="J108" s="604"/>
      <c r="K108" s="562"/>
      <c r="L108" s="604">
        <v>52.82</v>
      </c>
      <c r="M108" s="603"/>
      <c r="N108" s="602"/>
      <c r="AB108" s="537" t="s">
        <v>1251</v>
      </c>
    </row>
    <row r="109" spans="1:30" s="536" customFormat="1" ht="33.75" x14ac:dyDescent="0.2">
      <c r="A109" s="605"/>
      <c r="B109" s="552" t="s">
        <v>1253</v>
      </c>
      <c r="C109" s="1822" t="s">
        <v>1254</v>
      </c>
      <c r="D109" s="1822"/>
      <c r="E109" s="1822"/>
      <c r="F109" s="562" t="s">
        <v>322</v>
      </c>
      <c r="G109" s="562" t="s">
        <v>796</v>
      </c>
      <c r="H109" s="562"/>
      <c r="I109" s="562" t="s">
        <v>796</v>
      </c>
      <c r="J109" s="604"/>
      <c r="K109" s="562"/>
      <c r="L109" s="604">
        <v>30.65</v>
      </c>
      <c r="M109" s="603"/>
      <c r="N109" s="602"/>
      <c r="AB109" s="537" t="s">
        <v>1254</v>
      </c>
    </row>
    <row r="110" spans="1:30" s="536" customFormat="1" x14ac:dyDescent="0.2">
      <c r="A110" s="569"/>
      <c r="B110" s="671"/>
      <c r="C110" s="1823" t="s">
        <v>327</v>
      </c>
      <c r="D110" s="1823"/>
      <c r="E110" s="1823"/>
      <c r="F110" s="573"/>
      <c r="G110" s="573"/>
      <c r="H110" s="573"/>
      <c r="I110" s="573"/>
      <c r="J110" s="572"/>
      <c r="K110" s="573"/>
      <c r="L110" s="572">
        <v>142.75</v>
      </c>
      <c r="M110" s="601"/>
      <c r="N110" s="570"/>
      <c r="AD110" s="537" t="s">
        <v>327</v>
      </c>
    </row>
    <row r="111" spans="1:30" s="536" customFormat="1" ht="22.5" x14ac:dyDescent="0.2">
      <c r="A111" s="575" t="s">
        <v>193</v>
      </c>
      <c r="B111" s="670" t="s">
        <v>1427</v>
      </c>
      <c r="C111" s="1823" t="s">
        <v>1428</v>
      </c>
      <c r="D111" s="1823"/>
      <c r="E111" s="1823"/>
      <c r="F111" s="573" t="s">
        <v>699</v>
      </c>
      <c r="G111" s="573"/>
      <c r="H111" s="573"/>
      <c r="I111" s="573" t="s">
        <v>5007</v>
      </c>
      <c r="J111" s="572">
        <v>9.15</v>
      </c>
      <c r="K111" s="573"/>
      <c r="L111" s="572">
        <v>945.74</v>
      </c>
      <c r="M111" s="571"/>
      <c r="N111" s="570"/>
      <c r="W111" s="537" t="s">
        <v>1428</v>
      </c>
    </row>
    <row r="112" spans="1:30" s="536" customFormat="1" x14ac:dyDescent="0.2">
      <c r="A112" s="569"/>
      <c r="B112" s="671"/>
      <c r="C112" s="665" t="s">
        <v>717</v>
      </c>
      <c r="D112" s="666"/>
      <c r="E112" s="666"/>
      <c r="F112" s="563"/>
      <c r="G112" s="563"/>
      <c r="H112" s="563"/>
      <c r="I112" s="563"/>
      <c r="J112" s="566"/>
      <c r="K112" s="563"/>
      <c r="L112" s="566"/>
      <c r="M112" s="565"/>
      <c r="N112" s="564"/>
    </row>
    <row r="113" spans="1:33" s="536" customFormat="1" x14ac:dyDescent="0.2">
      <c r="A113" s="676"/>
      <c r="B113" s="664"/>
      <c r="C113" s="1822" t="s">
        <v>5008</v>
      </c>
      <c r="D113" s="1822"/>
      <c r="E113" s="1822"/>
      <c r="F113" s="1822"/>
      <c r="G113" s="1822"/>
      <c r="H113" s="1822"/>
      <c r="I113" s="1822"/>
      <c r="J113" s="1822"/>
      <c r="K113" s="1822"/>
      <c r="L113" s="1822"/>
      <c r="M113" s="1822"/>
      <c r="N113" s="1827"/>
      <c r="X113" s="537" t="s">
        <v>5008</v>
      </c>
    </row>
    <row r="114" spans="1:33" s="536" customFormat="1" ht="1.5" customHeight="1" x14ac:dyDescent="0.2">
      <c r="A114" s="563"/>
      <c r="B114" s="671"/>
      <c r="C114" s="671"/>
      <c r="D114" s="671"/>
      <c r="E114" s="671"/>
      <c r="F114" s="563"/>
      <c r="G114" s="563"/>
      <c r="H114" s="563"/>
      <c r="I114" s="563"/>
      <c r="J114" s="546"/>
      <c r="K114" s="563"/>
      <c r="L114" s="546"/>
      <c r="M114" s="562"/>
      <c r="N114" s="546"/>
    </row>
    <row r="115" spans="1:33" s="536" customFormat="1" x14ac:dyDescent="0.2">
      <c r="A115" s="557"/>
      <c r="B115" s="556"/>
      <c r="C115" s="1823" t="s">
        <v>5009</v>
      </c>
      <c r="D115" s="1823"/>
      <c r="E115" s="1823"/>
      <c r="F115" s="1823"/>
      <c r="G115" s="1823"/>
      <c r="H115" s="1823"/>
      <c r="I115" s="1823"/>
      <c r="J115" s="1823"/>
      <c r="K115" s="1823"/>
      <c r="L115" s="555"/>
      <c r="M115" s="554"/>
      <c r="N115" s="553"/>
      <c r="AF115" s="537" t="s">
        <v>5009</v>
      </c>
    </row>
    <row r="116" spans="1:33" s="536" customFormat="1" x14ac:dyDescent="0.2">
      <c r="A116" s="548"/>
      <c r="B116" s="552"/>
      <c r="C116" s="1822" t="s">
        <v>403</v>
      </c>
      <c r="D116" s="1822"/>
      <c r="E116" s="1822"/>
      <c r="F116" s="1822"/>
      <c r="G116" s="1822"/>
      <c r="H116" s="1822"/>
      <c r="I116" s="1822"/>
      <c r="J116" s="1822"/>
      <c r="K116" s="1822"/>
      <c r="L116" s="551">
        <v>24537.72</v>
      </c>
      <c r="M116" s="550"/>
      <c r="N116" s="549"/>
      <c r="AG116" s="537" t="s">
        <v>403</v>
      </c>
    </row>
    <row r="117" spans="1:33" s="536" customFormat="1" x14ac:dyDescent="0.2">
      <c r="A117" s="548"/>
      <c r="B117" s="552"/>
      <c r="C117" s="1822" t="s">
        <v>204</v>
      </c>
      <c r="D117" s="1822"/>
      <c r="E117" s="1822"/>
      <c r="F117" s="1822"/>
      <c r="G117" s="1822"/>
      <c r="H117" s="1822"/>
      <c r="I117" s="1822"/>
      <c r="J117" s="1822"/>
      <c r="K117" s="1822"/>
      <c r="L117" s="551"/>
      <c r="M117" s="550"/>
      <c r="N117" s="549"/>
      <c r="AG117" s="537" t="s">
        <v>204</v>
      </c>
    </row>
    <row r="118" spans="1:33" s="536" customFormat="1" x14ac:dyDescent="0.2">
      <c r="A118" s="548"/>
      <c r="B118" s="552"/>
      <c r="C118" s="1822" t="s">
        <v>404</v>
      </c>
      <c r="D118" s="1822"/>
      <c r="E118" s="1822"/>
      <c r="F118" s="1822"/>
      <c r="G118" s="1822"/>
      <c r="H118" s="1822"/>
      <c r="I118" s="1822"/>
      <c r="J118" s="1822"/>
      <c r="K118" s="1822"/>
      <c r="L118" s="551">
        <v>572.27</v>
      </c>
      <c r="M118" s="550"/>
      <c r="N118" s="549"/>
      <c r="AG118" s="537" t="s">
        <v>404</v>
      </c>
    </row>
    <row r="119" spans="1:33" s="536" customFormat="1" x14ac:dyDescent="0.2">
      <c r="A119" s="548"/>
      <c r="B119" s="552"/>
      <c r="C119" s="1822" t="s">
        <v>405</v>
      </c>
      <c r="D119" s="1822"/>
      <c r="E119" s="1822"/>
      <c r="F119" s="1822"/>
      <c r="G119" s="1822"/>
      <c r="H119" s="1822"/>
      <c r="I119" s="1822"/>
      <c r="J119" s="1822"/>
      <c r="K119" s="1822"/>
      <c r="L119" s="551">
        <v>680.02</v>
      </c>
      <c r="M119" s="550"/>
      <c r="N119" s="549"/>
      <c r="AG119" s="537" t="s">
        <v>405</v>
      </c>
    </row>
    <row r="120" spans="1:33" s="536" customFormat="1" x14ac:dyDescent="0.2">
      <c r="A120" s="548"/>
      <c r="B120" s="552"/>
      <c r="C120" s="1822" t="s">
        <v>406</v>
      </c>
      <c r="D120" s="1822"/>
      <c r="E120" s="1822"/>
      <c r="F120" s="1822"/>
      <c r="G120" s="1822"/>
      <c r="H120" s="1822"/>
      <c r="I120" s="1822"/>
      <c r="J120" s="1822"/>
      <c r="K120" s="1822"/>
      <c r="L120" s="551">
        <v>107.8</v>
      </c>
      <c r="M120" s="550"/>
      <c r="N120" s="549"/>
      <c r="AG120" s="537" t="s">
        <v>406</v>
      </c>
    </row>
    <row r="121" spans="1:33" s="536" customFormat="1" x14ac:dyDescent="0.2">
      <c r="A121" s="548"/>
      <c r="B121" s="552"/>
      <c r="C121" s="1822" t="s">
        <v>480</v>
      </c>
      <c r="D121" s="1822"/>
      <c r="E121" s="1822"/>
      <c r="F121" s="1822"/>
      <c r="G121" s="1822"/>
      <c r="H121" s="1822"/>
      <c r="I121" s="1822"/>
      <c r="J121" s="1822"/>
      <c r="K121" s="1822"/>
      <c r="L121" s="551">
        <v>23285.43</v>
      </c>
      <c r="M121" s="550"/>
      <c r="N121" s="549"/>
      <c r="AG121" s="537" t="s">
        <v>480</v>
      </c>
    </row>
    <row r="122" spans="1:33" s="536" customFormat="1" x14ac:dyDescent="0.2">
      <c r="A122" s="548"/>
      <c r="B122" s="552" t="s">
        <v>185</v>
      </c>
      <c r="C122" s="1822" t="s">
        <v>407</v>
      </c>
      <c r="D122" s="1822"/>
      <c r="E122" s="1822"/>
      <c r="F122" s="1822"/>
      <c r="G122" s="1822"/>
      <c r="H122" s="1822"/>
      <c r="I122" s="1822"/>
      <c r="J122" s="1822"/>
      <c r="K122" s="1822"/>
      <c r="L122" s="551">
        <v>25658.46</v>
      </c>
      <c r="M122" s="550"/>
      <c r="N122" s="549"/>
      <c r="AG122" s="537" t="s">
        <v>407</v>
      </c>
    </row>
    <row r="123" spans="1:33" s="536" customFormat="1" x14ac:dyDescent="0.2">
      <c r="A123" s="548"/>
      <c r="B123" s="552"/>
      <c r="C123" s="1822" t="s">
        <v>204</v>
      </c>
      <c r="D123" s="1822"/>
      <c r="E123" s="1822"/>
      <c r="F123" s="1822"/>
      <c r="G123" s="1822"/>
      <c r="H123" s="1822"/>
      <c r="I123" s="1822"/>
      <c r="J123" s="1822"/>
      <c r="K123" s="1822"/>
      <c r="L123" s="551"/>
      <c r="M123" s="550"/>
      <c r="N123" s="549"/>
      <c r="AG123" s="537" t="s">
        <v>204</v>
      </c>
    </row>
    <row r="124" spans="1:33" s="536" customFormat="1" x14ac:dyDescent="0.2">
      <c r="A124" s="548"/>
      <c r="B124" s="552"/>
      <c r="C124" s="1822" t="s">
        <v>546</v>
      </c>
      <c r="D124" s="1822"/>
      <c r="E124" s="1822"/>
      <c r="F124" s="1822"/>
      <c r="G124" s="1822"/>
      <c r="H124" s="1822"/>
      <c r="I124" s="1822"/>
      <c r="J124" s="1822"/>
      <c r="K124" s="1822"/>
      <c r="L124" s="551">
        <v>572.27</v>
      </c>
      <c r="M124" s="550"/>
      <c r="N124" s="549"/>
      <c r="AG124" s="537" t="s">
        <v>546</v>
      </c>
    </row>
    <row r="125" spans="1:33" s="536" customFormat="1" x14ac:dyDescent="0.2">
      <c r="A125" s="548"/>
      <c r="B125" s="552"/>
      <c r="C125" s="1822" t="s">
        <v>442</v>
      </c>
      <c r="D125" s="1822"/>
      <c r="E125" s="1822"/>
      <c r="F125" s="1822"/>
      <c r="G125" s="1822"/>
      <c r="H125" s="1822"/>
      <c r="I125" s="1822"/>
      <c r="J125" s="1822"/>
      <c r="K125" s="1822"/>
      <c r="L125" s="551">
        <v>680.02</v>
      </c>
      <c r="M125" s="550"/>
      <c r="N125" s="549"/>
      <c r="AG125" s="537" t="s">
        <v>442</v>
      </c>
    </row>
    <row r="126" spans="1:33" s="536" customFormat="1" x14ac:dyDescent="0.2">
      <c r="A126" s="548"/>
      <c r="B126" s="552"/>
      <c r="C126" s="1822" t="s">
        <v>547</v>
      </c>
      <c r="D126" s="1822"/>
      <c r="E126" s="1822"/>
      <c r="F126" s="1822"/>
      <c r="G126" s="1822"/>
      <c r="H126" s="1822"/>
      <c r="I126" s="1822"/>
      <c r="J126" s="1822"/>
      <c r="K126" s="1822"/>
      <c r="L126" s="551">
        <v>23285.43</v>
      </c>
      <c r="M126" s="550"/>
      <c r="N126" s="549"/>
      <c r="AG126" s="537" t="s">
        <v>547</v>
      </c>
    </row>
    <row r="127" spans="1:33" s="536" customFormat="1" x14ac:dyDescent="0.2">
      <c r="A127" s="548"/>
      <c r="B127" s="552"/>
      <c r="C127" s="1822" t="s">
        <v>443</v>
      </c>
      <c r="D127" s="1822"/>
      <c r="E127" s="1822"/>
      <c r="F127" s="1822"/>
      <c r="G127" s="1822"/>
      <c r="H127" s="1822"/>
      <c r="I127" s="1822"/>
      <c r="J127" s="1822"/>
      <c r="K127" s="1822"/>
      <c r="L127" s="551">
        <v>712.86</v>
      </c>
      <c r="M127" s="550"/>
      <c r="N127" s="549"/>
      <c r="AG127" s="537" t="s">
        <v>443</v>
      </c>
    </row>
    <row r="128" spans="1:33" s="536" customFormat="1" x14ac:dyDescent="0.2">
      <c r="A128" s="548"/>
      <c r="B128" s="552"/>
      <c r="C128" s="1822" t="s">
        <v>444</v>
      </c>
      <c r="D128" s="1822"/>
      <c r="E128" s="1822"/>
      <c r="F128" s="1822"/>
      <c r="G128" s="1822"/>
      <c r="H128" s="1822"/>
      <c r="I128" s="1822"/>
      <c r="J128" s="1822"/>
      <c r="K128" s="1822"/>
      <c r="L128" s="551">
        <v>407.88</v>
      </c>
      <c r="M128" s="550"/>
      <c r="N128" s="549"/>
      <c r="AG128" s="537" t="s">
        <v>444</v>
      </c>
    </row>
    <row r="129" spans="1:34" s="536" customFormat="1" x14ac:dyDescent="0.2">
      <c r="A129" s="548"/>
      <c r="B129" s="552"/>
      <c r="C129" s="1822" t="s">
        <v>415</v>
      </c>
      <c r="D129" s="1822"/>
      <c r="E129" s="1822"/>
      <c r="F129" s="1822"/>
      <c r="G129" s="1822"/>
      <c r="H129" s="1822"/>
      <c r="I129" s="1822"/>
      <c r="J129" s="1822"/>
      <c r="K129" s="1822"/>
      <c r="L129" s="551">
        <v>680.07</v>
      </c>
      <c r="M129" s="550"/>
      <c r="N129" s="549"/>
      <c r="AG129" s="537" t="s">
        <v>415</v>
      </c>
    </row>
    <row r="130" spans="1:34" s="536" customFormat="1" x14ac:dyDescent="0.2">
      <c r="A130" s="548"/>
      <c r="B130" s="552"/>
      <c r="C130" s="1822" t="s">
        <v>416</v>
      </c>
      <c r="D130" s="1822"/>
      <c r="E130" s="1822"/>
      <c r="F130" s="1822"/>
      <c r="G130" s="1822"/>
      <c r="H130" s="1822"/>
      <c r="I130" s="1822"/>
      <c r="J130" s="1822"/>
      <c r="K130" s="1822"/>
      <c r="L130" s="551">
        <v>712.86</v>
      </c>
      <c r="M130" s="550"/>
      <c r="N130" s="549"/>
      <c r="AG130" s="537" t="s">
        <v>416</v>
      </c>
    </row>
    <row r="131" spans="1:34" s="536" customFormat="1" x14ac:dyDescent="0.2">
      <c r="A131" s="548"/>
      <c r="B131" s="552"/>
      <c r="C131" s="1822" t="s">
        <v>417</v>
      </c>
      <c r="D131" s="1822"/>
      <c r="E131" s="1822"/>
      <c r="F131" s="1822"/>
      <c r="G131" s="1822"/>
      <c r="H131" s="1822"/>
      <c r="I131" s="1822"/>
      <c r="J131" s="1822"/>
      <c r="K131" s="1822"/>
      <c r="L131" s="551">
        <v>407.88</v>
      </c>
      <c r="M131" s="550"/>
      <c r="N131" s="549"/>
      <c r="AG131" s="537" t="s">
        <v>417</v>
      </c>
    </row>
    <row r="132" spans="1:34" s="536" customFormat="1" x14ac:dyDescent="0.2">
      <c r="A132" s="548"/>
      <c r="B132" s="546"/>
      <c r="C132" s="1819" t="s">
        <v>5010</v>
      </c>
      <c r="D132" s="1819"/>
      <c r="E132" s="1819"/>
      <c r="F132" s="1819"/>
      <c r="G132" s="1819"/>
      <c r="H132" s="1819"/>
      <c r="I132" s="1819"/>
      <c r="J132" s="1819"/>
      <c r="K132" s="1819"/>
      <c r="L132" s="544">
        <v>25658.46</v>
      </c>
      <c r="M132" s="543"/>
      <c r="N132" s="681"/>
      <c r="AH132" s="537" t="s">
        <v>5010</v>
      </c>
    </row>
    <row r="133" spans="1:34" s="536" customFormat="1" ht="12" x14ac:dyDescent="0.2">
      <c r="A133" s="1824" t="s">
        <v>1336</v>
      </c>
      <c r="B133" s="1825"/>
      <c r="C133" s="1825"/>
      <c r="D133" s="1825"/>
      <c r="E133" s="1825"/>
      <c r="F133" s="1825"/>
      <c r="G133" s="1825"/>
      <c r="H133" s="1825"/>
      <c r="I133" s="1825"/>
      <c r="J133" s="1825"/>
      <c r="K133" s="1825"/>
      <c r="L133" s="1825"/>
      <c r="M133" s="1825"/>
      <c r="N133" s="1826"/>
      <c r="V133" s="537" t="s">
        <v>1336</v>
      </c>
    </row>
    <row r="134" spans="1:34" s="536" customFormat="1" ht="67.5" x14ac:dyDescent="0.2">
      <c r="A134" s="575" t="s">
        <v>194</v>
      </c>
      <c r="B134" s="670" t="s">
        <v>1497</v>
      </c>
      <c r="C134" s="1823" t="s">
        <v>3763</v>
      </c>
      <c r="D134" s="1823"/>
      <c r="E134" s="1823"/>
      <c r="F134" s="573" t="s">
        <v>201</v>
      </c>
      <c r="G134" s="573"/>
      <c r="H134" s="573"/>
      <c r="I134" s="573" t="s">
        <v>4997</v>
      </c>
      <c r="J134" s="572">
        <v>76.88</v>
      </c>
      <c r="K134" s="573"/>
      <c r="L134" s="572">
        <v>90.41</v>
      </c>
      <c r="M134" s="571"/>
      <c r="N134" s="570"/>
      <c r="W134" s="537" t="s">
        <v>3763</v>
      </c>
    </row>
    <row r="135" spans="1:34" s="536" customFormat="1" x14ac:dyDescent="0.2">
      <c r="A135" s="569"/>
      <c r="B135" s="671"/>
      <c r="C135" s="665" t="s">
        <v>717</v>
      </c>
      <c r="D135" s="666"/>
      <c r="E135" s="666"/>
      <c r="F135" s="563"/>
      <c r="G135" s="563"/>
      <c r="H135" s="563"/>
      <c r="I135" s="563"/>
      <c r="J135" s="566"/>
      <c r="K135" s="563"/>
      <c r="L135" s="566"/>
      <c r="M135" s="565"/>
      <c r="N135" s="564"/>
    </row>
    <row r="136" spans="1:34" s="536" customFormat="1" ht="67.5" x14ac:dyDescent="0.2">
      <c r="A136" s="575" t="s">
        <v>195</v>
      </c>
      <c r="B136" s="670" t="s">
        <v>1616</v>
      </c>
      <c r="C136" s="1823" t="s">
        <v>3765</v>
      </c>
      <c r="D136" s="1823"/>
      <c r="E136" s="1823"/>
      <c r="F136" s="573" t="s">
        <v>201</v>
      </c>
      <c r="G136" s="573"/>
      <c r="H136" s="573"/>
      <c r="I136" s="573" t="s">
        <v>5011</v>
      </c>
      <c r="J136" s="572">
        <v>90.45</v>
      </c>
      <c r="K136" s="573"/>
      <c r="L136" s="572">
        <v>21.17</v>
      </c>
      <c r="M136" s="571"/>
      <c r="N136" s="570"/>
      <c r="W136" s="537" t="s">
        <v>3765</v>
      </c>
    </row>
    <row r="137" spans="1:34" s="536" customFormat="1" x14ac:dyDescent="0.2">
      <c r="A137" s="569"/>
      <c r="B137" s="671"/>
      <c r="C137" s="665" t="s">
        <v>717</v>
      </c>
      <c r="D137" s="666"/>
      <c r="E137" s="666"/>
      <c r="F137" s="563"/>
      <c r="G137" s="563"/>
      <c r="H137" s="563"/>
      <c r="I137" s="563"/>
      <c r="J137" s="566"/>
      <c r="K137" s="563"/>
      <c r="L137" s="566"/>
      <c r="M137" s="565"/>
      <c r="N137" s="564"/>
    </row>
    <row r="138" spans="1:34" s="536" customFormat="1" ht="1.5" customHeight="1" x14ac:dyDescent="0.2">
      <c r="A138" s="563"/>
      <c r="B138" s="671"/>
      <c r="C138" s="671"/>
      <c r="D138" s="671"/>
      <c r="E138" s="671"/>
      <c r="F138" s="563"/>
      <c r="G138" s="563"/>
      <c r="H138" s="563"/>
      <c r="I138" s="563"/>
      <c r="J138" s="546"/>
      <c r="K138" s="563"/>
      <c r="L138" s="546"/>
      <c r="M138" s="562"/>
      <c r="N138" s="546"/>
    </row>
    <row r="139" spans="1:34" s="536" customFormat="1" ht="22.5" x14ac:dyDescent="0.2">
      <c r="A139" s="557"/>
      <c r="B139" s="556"/>
      <c r="C139" s="1823" t="s">
        <v>1342</v>
      </c>
      <c r="D139" s="1823"/>
      <c r="E139" s="1823"/>
      <c r="F139" s="1823"/>
      <c r="G139" s="1823"/>
      <c r="H139" s="1823"/>
      <c r="I139" s="1823"/>
      <c r="J139" s="1823"/>
      <c r="K139" s="1823"/>
      <c r="L139" s="555"/>
      <c r="M139" s="554"/>
      <c r="N139" s="553"/>
      <c r="AF139" s="537" t="s">
        <v>1342</v>
      </c>
    </row>
    <row r="140" spans="1:34" s="536" customFormat="1" x14ac:dyDescent="0.2">
      <c r="A140" s="548"/>
      <c r="B140" s="552"/>
      <c r="C140" s="1822" t="s">
        <v>403</v>
      </c>
      <c r="D140" s="1822"/>
      <c r="E140" s="1822"/>
      <c r="F140" s="1822"/>
      <c r="G140" s="1822"/>
      <c r="H140" s="1822"/>
      <c r="I140" s="1822"/>
      <c r="J140" s="1822"/>
      <c r="K140" s="1822"/>
      <c r="L140" s="551">
        <v>111.58</v>
      </c>
      <c r="M140" s="550"/>
      <c r="N140" s="549"/>
      <c r="AG140" s="537" t="s">
        <v>403</v>
      </c>
    </row>
    <row r="141" spans="1:34" s="536" customFormat="1" x14ac:dyDescent="0.2">
      <c r="A141" s="548"/>
      <c r="B141" s="552"/>
      <c r="C141" s="1822" t="s">
        <v>204</v>
      </c>
      <c r="D141" s="1822"/>
      <c r="E141" s="1822"/>
      <c r="F141" s="1822"/>
      <c r="G141" s="1822"/>
      <c r="H141" s="1822"/>
      <c r="I141" s="1822"/>
      <c r="J141" s="1822"/>
      <c r="K141" s="1822"/>
      <c r="L141" s="551"/>
      <c r="M141" s="550"/>
      <c r="N141" s="549"/>
      <c r="AG141" s="537" t="s">
        <v>204</v>
      </c>
    </row>
    <row r="142" spans="1:34" s="536" customFormat="1" x14ac:dyDescent="0.2">
      <c r="A142" s="548"/>
      <c r="B142" s="552"/>
      <c r="C142" s="1822" t="s">
        <v>480</v>
      </c>
      <c r="D142" s="1822"/>
      <c r="E142" s="1822"/>
      <c r="F142" s="1822"/>
      <c r="G142" s="1822"/>
      <c r="H142" s="1822"/>
      <c r="I142" s="1822"/>
      <c r="J142" s="1822"/>
      <c r="K142" s="1822"/>
      <c r="L142" s="551">
        <v>111.58</v>
      </c>
      <c r="M142" s="550"/>
      <c r="N142" s="549"/>
      <c r="AG142" s="537" t="s">
        <v>480</v>
      </c>
    </row>
    <row r="143" spans="1:34" s="536" customFormat="1" x14ac:dyDescent="0.2">
      <c r="A143" s="548"/>
      <c r="B143" s="552" t="s">
        <v>185</v>
      </c>
      <c r="C143" s="1822" t="s">
        <v>407</v>
      </c>
      <c r="D143" s="1822"/>
      <c r="E143" s="1822"/>
      <c r="F143" s="1822"/>
      <c r="G143" s="1822"/>
      <c r="H143" s="1822"/>
      <c r="I143" s="1822"/>
      <c r="J143" s="1822"/>
      <c r="K143" s="1822"/>
      <c r="L143" s="551">
        <v>111.58</v>
      </c>
      <c r="M143" s="550"/>
      <c r="N143" s="549"/>
      <c r="AG143" s="537" t="s">
        <v>407</v>
      </c>
    </row>
    <row r="144" spans="1:34" s="536" customFormat="1" x14ac:dyDescent="0.2">
      <c r="A144" s="548"/>
      <c r="B144" s="552"/>
      <c r="C144" s="1822" t="s">
        <v>204</v>
      </c>
      <c r="D144" s="1822"/>
      <c r="E144" s="1822"/>
      <c r="F144" s="1822"/>
      <c r="G144" s="1822"/>
      <c r="H144" s="1822"/>
      <c r="I144" s="1822"/>
      <c r="J144" s="1822"/>
      <c r="K144" s="1822"/>
      <c r="L144" s="551"/>
      <c r="M144" s="550"/>
      <c r="N144" s="549"/>
      <c r="AG144" s="537" t="s">
        <v>204</v>
      </c>
    </row>
    <row r="145" spans="1:36" s="536" customFormat="1" x14ac:dyDescent="0.2">
      <c r="A145" s="548"/>
      <c r="B145" s="552"/>
      <c r="C145" s="1822" t="s">
        <v>547</v>
      </c>
      <c r="D145" s="1822"/>
      <c r="E145" s="1822"/>
      <c r="F145" s="1822"/>
      <c r="G145" s="1822"/>
      <c r="H145" s="1822"/>
      <c r="I145" s="1822"/>
      <c r="J145" s="1822"/>
      <c r="K145" s="1822"/>
      <c r="L145" s="551">
        <v>111.58</v>
      </c>
      <c r="M145" s="550"/>
      <c r="N145" s="549"/>
      <c r="AG145" s="537" t="s">
        <v>547</v>
      </c>
    </row>
    <row r="146" spans="1:36" s="536" customFormat="1" ht="22.5" x14ac:dyDescent="0.2">
      <c r="A146" s="548"/>
      <c r="B146" s="546"/>
      <c r="C146" s="1819" t="s">
        <v>1343</v>
      </c>
      <c r="D146" s="1819"/>
      <c r="E146" s="1819"/>
      <c r="F146" s="1819"/>
      <c r="G146" s="1819"/>
      <c r="H146" s="1819"/>
      <c r="I146" s="1819"/>
      <c r="J146" s="1819"/>
      <c r="K146" s="1819"/>
      <c r="L146" s="544">
        <v>111.58</v>
      </c>
      <c r="M146" s="543"/>
      <c r="N146" s="681"/>
      <c r="AH146" s="537" t="s">
        <v>1343</v>
      </c>
    </row>
    <row r="147" spans="1:36" s="536" customFormat="1" ht="2.25" customHeight="1" x14ac:dyDescent="0.2">
      <c r="B147" s="561"/>
      <c r="C147" s="561"/>
      <c r="D147" s="561"/>
      <c r="E147" s="561"/>
      <c r="F147" s="561"/>
      <c r="G147" s="561"/>
      <c r="H147" s="561"/>
      <c r="I147" s="561"/>
      <c r="J147" s="561"/>
      <c r="K147" s="561"/>
      <c r="L147" s="560"/>
      <c r="M147" s="559"/>
      <c r="N147" s="558"/>
    </row>
    <row r="148" spans="1:36" s="536" customFormat="1" x14ac:dyDescent="0.2">
      <c r="A148" s="557"/>
      <c r="B148" s="556"/>
      <c r="C148" s="1823" t="s">
        <v>205</v>
      </c>
      <c r="D148" s="1823"/>
      <c r="E148" s="1823"/>
      <c r="F148" s="1823"/>
      <c r="G148" s="1823"/>
      <c r="H148" s="1823"/>
      <c r="I148" s="1823"/>
      <c r="J148" s="1823"/>
      <c r="K148" s="1823"/>
      <c r="L148" s="555"/>
      <c r="M148" s="554"/>
      <c r="N148" s="553"/>
      <c r="AI148" s="537" t="s">
        <v>205</v>
      </c>
    </row>
    <row r="149" spans="1:36" s="536" customFormat="1" x14ac:dyDescent="0.2">
      <c r="A149" s="548"/>
      <c r="B149" s="552"/>
      <c r="C149" s="1822" t="s">
        <v>403</v>
      </c>
      <c r="D149" s="1822"/>
      <c r="E149" s="1822"/>
      <c r="F149" s="1822"/>
      <c r="G149" s="1822"/>
      <c r="H149" s="1822"/>
      <c r="I149" s="1822"/>
      <c r="J149" s="1822"/>
      <c r="K149" s="1822"/>
      <c r="L149" s="551">
        <v>24649.3</v>
      </c>
      <c r="M149" s="550"/>
      <c r="N149" s="549"/>
      <c r="AJ149" s="537" t="s">
        <v>403</v>
      </c>
    </row>
    <row r="150" spans="1:36" s="536" customFormat="1" x14ac:dyDescent="0.2">
      <c r="A150" s="548"/>
      <c r="B150" s="552"/>
      <c r="C150" s="1822" t="s">
        <v>204</v>
      </c>
      <c r="D150" s="1822"/>
      <c r="E150" s="1822"/>
      <c r="F150" s="1822"/>
      <c r="G150" s="1822"/>
      <c r="H150" s="1822"/>
      <c r="I150" s="1822"/>
      <c r="J150" s="1822"/>
      <c r="K150" s="1822"/>
      <c r="L150" s="551"/>
      <c r="M150" s="550"/>
      <c r="N150" s="549"/>
      <c r="AJ150" s="537" t="s">
        <v>204</v>
      </c>
    </row>
    <row r="151" spans="1:36" s="536" customFormat="1" x14ac:dyDescent="0.2">
      <c r="A151" s="548"/>
      <c r="B151" s="552"/>
      <c r="C151" s="1822" t="s">
        <v>404</v>
      </c>
      <c r="D151" s="1822"/>
      <c r="E151" s="1822"/>
      <c r="F151" s="1822"/>
      <c r="G151" s="1822"/>
      <c r="H151" s="1822"/>
      <c r="I151" s="1822"/>
      <c r="J151" s="1822"/>
      <c r="K151" s="1822"/>
      <c r="L151" s="551">
        <v>572.27</v>
      </c>
      <c r="M151" s="550"/>
      <c r="N151" s="549"/>
      <c r="AJ151" s="537" t="s">
        <v>404</v>
      </c>
    </row>
    <row r="152" spans="1:36" s="536" customFormat="1" x14ac:dyDescent="0.2">
      <c r="A152" s="548"/>
      <c r="B152" s="552"/>
      <c r="C152" s="1822" t="s">
        <v>405</v>
      </c>
      <c r="D152" s="1822"/>
      <c r="E152" s="1822"/>
      <c r="F152" s="1822"/>
      <c r="G152" s="1822"/>
      <c r="H152" s="1822"/>
      <c r="I152" s="1822"/>
      <c r="J152" s="1822"/>
      <c r="K152" s="1822"/>
      <c r="L152" s="551">
        <v>680.02</v>
      </c>
      <c r="M152" s="550"/>
      <c r="N152" s="549"/>
      <c r="AJ152" s="537" t="s">
        <v>405</v>
      </c>
    </row>
    <row r="153" spans="1:36" s="536" customFormat="1" x14ac:dyDescent="0.2">
      <c r="A153" s="548"/>
      <c r="B153" s="552"/>
      <c r="C153" s="1822" t="s">
        <v>406</v>
      </c>
      <c r="D153" s="1822"/>
      <c r="E153" s="1822"/>
      <c r="F153" s="1822"/>
      <c r="G153" s="1822"/>
      <c r="H153" s="1822"/>
      <c r="I153" s="1822"/>
      <c r="J153" s="1822"/>
      <c r="K153" s="1822"/>
      <c r="L153" s="551">
        <v>107.8</v>
      </c>
      <c r="M153" s="550"/>
      <c r="N153" s="549"/>
      <c r="AJ153" s="537" t="s">
        <v>406</v>
      </c>
    </row>
    <row r="154" spans="1:36" s="536" customFormat="1" x14ac:dyDescent="0.2">
      <c r="A154" s="548"/>
      <c r="B154" s="552"/>
      <c r="C154" s="1822" t="s">
        <v>480</v>
      </c>
      <c r="D154" s="1822"/>
      <c r="E154" s="1822"/>
      <c r="F154" s="1822"/>
      <c r="G154" s="1822"/>
      <c r="H154" s="1822"/>
      <c r="I154" s="1822"/>
      <c r="J154" s="1822"/>
      <c r="K154" s="1822"/>
      <c r="L154" s="551">
        <v>23397.01</v>
      </c>
      <c r="M154" s="550"/>
      <c r="N154" s="549"/>
      <c r="AJ154" s="537" t="s">
        <v>480</v>
      </c>
    </row>
    <row r="155" spans="1:36" s="536" customFormat="1" x14ac:dyDescent="0.2">
      <c r="A155" s="548"/>
      <c r="B155" s="552" t="s">
        <v>185</v>
      </c>
      <c r="C155" s="1822" t="s">
        <v>407</v>
      </c>
      <c r="D155" s="1822"/>
      <c r="E155" s="1822"/>
      <c r="F155" s="1822"/>
      <c r="G155" s="1822"/>
      <c r="H155" s="1822"/>
      <c r="I155" s="1822"/>
      <c r="J155" s="1822"/>
      <c r="K155" s="1822"/>
      <c r="L155" s="551">
        <v>25770.04</v>
      </c>
      <c r="M155" s="550">
        <v>8.01</v>
      </c>
      <c r="N155" s="549">
        <v>206418</v>
      </c>
      <c r="AJ155" s="537" t="s">
        <v>407</v>
      </c>
    </row>
    <row r="156" spans="1:36" s="536" customFormat="1" x14ac:dyDescent="0.2">
      <c r="A156" s="548"/>
      <c r="B156" s="552"/>
      <c r="C156" s="1822" t="s">
        <v>204</v>
      </c>
      <c r="D156" s="1822"/>
      <c r="E156" s="1822"/>
      <c r="F156" s="1822"/>
      <c r="G156" s="1822"/>
      <c r="H156" s="1822"/>
      <c r="I156" s="1822"/>
      <c r="J156" s="1822"/>
      <c r="K156" s="1822"/>
      <c r="L156" s="551"/>
      <c r="M156" s="550"/>
      <c r="N156" s="549"/>
      <c r="AJ156" s="537" t="s">
        <v>204</v>
      </c>
    </row>
    <row r="157" spans="1:36" s="536" customFormat="1" x14ac:dyDescent="0.2">
      <c r="A157" s="548"/>
      <c r="B157" s="552"/>
      <c r="C157" s="1822" t="s">
        <v>546</v>
      </c>
      <c r="D157" s="1822"/>
      <c r="E157" s="1822"/>
      <c r="F157" s="1822"/>
      <c r="G157" s="1822"/>
      <c r="H157" s="1822"/>
      <c r="I157" s="1822"/>
      <c r="J157" s="1822"/>
      <c r="K157" s="1822"/>
      <c r="L157" s="551">
        <v>572.27</v>
      </c>
      <c r="M157" s="550"/>
      <c r="N157" s="549"/>
      <c r="AJ157" s="537" t="s">
        <v>546</v>
      </c>
    </row>
    <row r="158" spans="1:36" s="536" customFormat="1" x14ac:dyDescent="0.2">
      <c r="A158" s="548"/>
      <c r="B158" s="552"/>
      <c r="C158" s="1822" t="s">
        <v>442</v>
      </c>
      <c r="D158" s="1822"/>
      <c r="E158" s="1822"/>
      <c r="F158" s="1822"/>
      <c r="G158" s="1822"/>
      <c r="H158" s="1822"/>
      <c r="I158" s="1822"/>
      <c r="J158" s="1822"/>
      <c r="K158" s="1822"/>
      <c r="L158" s="551">
        <v>680.02</v>
      </c>
      <c r="M158" s="550"/>
      <c r="N158" s="549"/>
      <c r="AJ158" s="537" t="s">
        <v>442</v>
      </c>
    </row>
    <row r="159" spans="1:36" s="536" customFormat="1" x14ac:dyDescent="0.2">
      <c r="A159" s="548"/>
      <c r="B159" s="552"/>
      <c r="C159" s="1822" t="s">
        <v>547</v>
      </c>
      <c r="D159" s="1822"/>
      <c r="E159" s="1822"/>
      <c r="F159" s="1822"/>
      <c r="G159" s="1822"/>
      <c r="H159" s="1822"/>
      <c r="I159" s="1822"/>
      <c r="J159" s="1822"/>
      <c r="K159" s="1822"/>
      <c r="L159" s="551">
        <v>23397.01</v>
      </c>
      <c r="M159" s="550"/>
      <c r="N159" s="549"/>
      <c r="AJ159" s="537" t="s">
        <v>547</v>
      </c>
    </row>
    <row r="160" spans="1:36" s="536" customFormat="1" x14ac:dyDescent="0.2">
      <c r="A160" s="548"/>
      <c r="B160" s="552"/>
      <c r="C160" s="1822" t="s">
        <v>443</v>
      </c>
      <c r="D160" s="1822"/>
      <c r="E160" s="1822"/>
      <c r="F160" s="1822"/>
      <c r="G160" s="1822"/>
      <c r="H160" s="1822"/>
      <c r="I160" s="1822"/>
      <c r="J160" s="1822"/>
      <c r="K160" s="1822"/>
      <c r="L160" s="551">
        <v>712.86</v>
      </c>
      <c r="M160" s="550"/>
      <c r="N160" s="549"/>
      <c r="AJ160" s="537" t="s">
        <v>443</v>
      </c>
    </row>
    <row r="161" spans="1:38" x14ac:dyDescent="0.2">
      <c r="A161" s="548"/>
      <c r="B161" s="552"/>
      <c r="C161" s="1822" t="s">
        <v>444</v>
      </c>
      <c r="D161" s="1822"/>
      <c r="E161" s="1822"/>
      <c r="F161" s="1822"/>
      <c r="G161" s="1822"/>
      <c r="H161" s="1822"/>
      <c r="I161" s="1822"/>
      <c r="J161" s="1822"/>
      <c r="K161" s="1822"/>
      <c r="L161" s="551">
        <v>407.88</v>
      </c>
      <c r="M161" s="550"/>
      <c r="N161" s="549"/>
      <c r="P161" s="536"/>
      <c r="Q161" s="536"/>
      <c r="R161" s="536"/>
      <c r="S161" s="536"/>
      <c r="T161" s="536"/>
      <c r="U161" s="536"/>
      <c r="V161" s="536"/>
      <c r="W161" s="536"/>
      <c r="X161" s="536"/>
      <c r="Y161" s="536"/>
      <c r="Z161" s="536"/>
      <c r="AA161" s="536"/>
      <c r="AB161" s="536"/>
      <c r="AC161" s="536"/>
      <c r="AD161" s="536"/>
      <c r="AE161" s="536"/>
      <c r="AF161" s="536"/>
      <c r="AG161" s="536"/>
      <c r="AH161" s="536"/>
      <c r="AI161" s="536"/>
      <c r="AJ161" s="537" t="s">
        <v>444</v>
      </c>
      <c r="AK161" s="536"/>
      <c r="AL161" s="536"/>
    </row>
    <row r="162" spans="1:38" x14ac:dyDescent="0.2">
      <c r="A162" s="548"/>
      <c r="B162" s="552"/>
      <c r="C162" s="1822" t="s">
        <v>415</v>
      </c>
      <c r="D162" s="1822"/>
      <c r="E162" s="1822"/>
      <c r="F162" s="1822"/>
      <c r="G162" s="1822"/>
      <c r="H162" s="1822"/>
      <c r="I162" s="1822"/>
      <c r="J162" s="1822"/>
      <c r="K162" s="1822"/>
      <c r="L162" s="551">
        <v>680.07</v>
      </c>
      <c r="M162" s="550"/>
      <c r="N162" s="549"/>
      <c r="P162" s="536"/>
      <c r="Q162" s="536"/>
      <c r="R162" s="536"/>
      <c r="S162" s="536"/>
      <c r="T162" s="536"/>
      <c r="U162" s="536"/>
      <c r="V162" s="536"/>
      <c r="W162" s="536"/>
      <c r="X162" s="536"/>
      <c r="Y162" s="536"/>
      <c r="Z162" s="536"/>
      <c r="AA162" s="536"/>
      <c r="AB162" s="536"/>
      <c r="AC162" s="536"/>
      <c r="AD162" s="536"/>
      <c r="AE162" s="536"/>
      <c r="AF162" s="536"/>
      <c r="AG162" s="536"/>
      <c r="AH162" s="536"/>
      <c r="AI162" s="536"/>
      <c r="AJ162" s="537" t="s">
        <v>415</v>
      </c>
      <c r="AK162" s="536"/>
      <c r="AL162" s="536"/>
    </row>
    <row r="163" spans="1:38" x14ac:dyDescent="0.2">
      <c r="A163" s="548"/>
      <c r="B163" s="552"/>
      <c r="C163" s="1822" t="s">
        <v>416</v>
      </c>
      <c r="D163" s="1822"/>
      <c r="E163" s="1822"/>
      <c r="F163" s="1822"/>
      <c r="G163" s="1822"/>
      <c r="H163" s="1822"/>
      <c r="I163" s="1822"/>
      <c r="J163" s="1822"/>
      <c r="K163" s="1822"/>
      <c r="L163" s="551">
        <v>712.86</v>
      </c>
      <c r="M163" s="550"/>
      <c r="N163" s="549"/>
      <c r="P163" s="536"/>
      <c r="Q163" s="536"/>
      <c r="R163" s="536"/>
      <c r="S163" s="536"/>
      <c r="T163" s="536"/>
      <c r="U163" s="536"/>
      <c r="V163" s="536"/>
      <c r="W163" s="536"/>
      <c r="X163" s="536"/>
      <c r="Y163" s="536"/>
      <c r="Z163" s="536"/>
      <c r="AA163" s="536"/>
      <c r="AB163" s="536"/>
      <c r="AC163" s="536"/>
      <c r="AD163" s="536"/>
      <c r="AE163" s="536"/>
      <c r="AF163" s="536"/>
      <c r="AG163" s="536"/>
      <c r="AH163" s="536"/>
      <c r="AI163" s="536"/>
      <c r="AJ163" s="537" t="s">
        <v>416</v>
      </c>
      <c r="AK163" s="536"/>
      <c r="AL163" s="536"/>
    </row>
    <row r="164" spans="1:38" x14ac:dyDescent="0.2">
      <c r="A164" s="548"/>
      <c r="B164" s="552"/>
      <c r="C164" s="1822" t="s">
        <v>417</v>
      </c>
      <c r="D164" s="1822"/>
      <c r="E164" s="1822"/>
      <c r="F164" s="1822"/>
      <c r="G164" s="1822"/>
      <c r="H164" s="1822"/>
      <c r="I164" s="1822"/>
      <c r="J164" s="1822"/>
      <c r="K164" s="1822"/>
      <c r="L164" s="551">
        <v>407.88</v>
      </c>
      <c r="M164" s="550"/>
      <c r="N164" s="549"/>
      <c r="P164" s="536"/>
      <c r="Q164" s="536"/>
      <c r="R164" s="536"/>
      <c r="S164" s="536"/>
      <c r="T164" s="536"/>
      <c r="U164" s="536"/>
      <c r="V164" s="536"/>
      <c r="W164" s="536"/>
      <c r="X164" s="536"/>
      <c r="Y164" s="536"/>
      <c r="Z164" s="536"/>
      <c r="AA164" s="536"/>
      <c r="AB164" s="536"/>
      <c r="AC164" s="536"/>
      <c r="AD164" s="536"/>
      <c r="AE164" s="536"/>
      <c r="AF164" s="536"/>
      <c r="AG164" s="536"/>
      <c r="AH164" s="536"/>
      <c r="AI164" s="536"/>
      <c r="AJ164" s="537" t="s">
        <v>417</v>
      </c>
      <c r="AK164" s="536"/>
      <c r="AL164" s="536"/>
    </row>
    <row r="165" spans="1:38" x14ac:dyDescent="0.2">
      <c r="A165" s="548"/>
      <c r="B165" s="546"/>
      <c r="C165" s="1819" t="s">
        <v>206</v>
      </c>
      <c r="D165" s="1819"/>
      <c r="E165" s="1819"/>
      <c r="F165" s="1819"/>
      <c r="G165" s="1819"/>
      <c r="H165" s="1819"/>
      <c r="I165" s="1819"/>
      <c r="J165" s="1819"/>
      <c r="K165" s="1819"/>
      <c r="L165" s="544">
        <v>25770.04</v>
      </c>
      <c r="M165" s="543"/>
      <c r="N165" s="547">
        <v>206418</v>
      </c>
      <c r="P165" s="536"/>
      <c r="Q165" s="536"/>
      <c r="R165" s="536"/>
      <c r="S165" s="536"/>
      <c r="T165" s="536"/>
      <c r="U165" s="536"/>
      <c r="V165" s="536"/>
      <c r="W165" s="536"/>
      <c r="X165" s="536"/>
      <c r="Y165" s="536"/>
      <c r="Z165" s="536"/>
      <c r="AA165" s="536"/>
      <c r="AB165" s="536"/>
      <c r="AC165" s="536"/>
      <c r="AD165" s="536"/>
      <c r="AE165" s="536"/>
      <c r="AF165" s="536"/>
      <c r="AG165" s="536"/>
      <c r="AH165" s="536"/>
      <c r="AI165" s="536"/>
      <c r="AJ165" s="536"/>
      <c r="AK165" s="537" t="s">
        <v>206</v>
      </c>
      <c r="AL165" s="536"/>
    </row>
    <row r="166" spans="1:38" ht="1.5" customHeight="1" x14ac:dyDescent="0.2">
      <c r="B166" s="546"/>
      <c r="C166" s="671"/>
      <c r="D166" s="671"/>
      <c r="E166" s="671"/>
      <c r="F166" s="671"/>
      <c r="G166" s="671"/>
      <c r="H166" s="671"/>
      <c r="I166" s="671"/>
      <c r="J166" s="671"/>
      <c r="K166" s="671"/>
      <c r="L166" s="544"/>
      <c r="M166" s="543"/>
      <c r="N166" s="542"/>
      <c r="P166" s="536"/>
      <c r="Q166" s="536"/>
      <c r="R166" s="536"/>
      <c r="S166" s="536"/>
      <c r="T166" s="536"/>
      <c r="U166" s="536"/>
      <c r="V166" s="536"/>
      <c r="W166" s="536"/>
      <c r="X166" s="536"/>
      <c r="Y166" s="536"/>
      <c r="Z166" s="536"/>
      <c r="AA166" s="536"/>
      <c r="AB166" s="536"/>
      <c r="AC166" s="536"/>
      <c r="AD166" s="536"/>
      <c r="AE166" s="536"/>
      <c r="AF166" s="536"/>
      <c r="AG166" s="536"/>
      <c r="AH166" s="536"/>
      <c r="AI166" s="536"/>
      <c r="AJ166" s="536"/>
      <c r="AK166" s="536"/>
      <c r="AL166" s="536"/>
    </row>
    <row r="167" spans="1:38" ht="53.25" customHeight="1" x14ac:dyDescent="0.2">
      <c r="A167" s="541"/>
      <c r="B167" s="541"/>
      <c r="C167" s="541"/>
      <c r="D167" s="541"/>
      <c r="E167" s="541"/>
      <c r="F167" s="541"/>
      <c r="G167" s="541"/>
      <c r="H167" s="541"/>
      <c r="I167" s="541"/>
      <c r="J167" s="541"/>
      <c r="K167" s="541"/>
      <c r="L167" s="541"/>
      <c r="M167" s="541"/>
      <c r="N167" s="541"/>
      <c r="P167" s="536"/>
      <c r="Q167" s="536"/>
      <c r="R167" s="536"/>
      <c r="S167" s="536"/>
      <c r="T167" s="536"/>
      <c r="U167" s="536"/>
      <c r="V167" s="536"/>
      <c r="W167" s="536"/>
      <c r="X167" s="536"/>
      <c r="Y167" s="536"/>
      <c r="Z167" s="536"/>
      <c r="AA167" s="536"/>
      <c r="AB167" s="536"/>
      <c r="AC167" s="536"/>
      <c r="AD167" s="536"/>
      <c r="AE167" s="536"/>
      <c r="AF167" s="536"/>
      <c r="AG167" s="536"/>
      <c r="AH167" s="536"/>
      <c r="AI167" s="536"/>
      <c r="AJ167" s="536"/>
      <c r="AK167" s="536"/>
      <c r="AL167" s="536"/>
    </row>
    <row r="168" spans="1:38" x14ac:dyDescent="0.2">
      <c r="B168" s="539" t="s">
        <v>149</v>
      </c>
      <c r="C168" s="1943"/>
      <c r="D168" s="1943"/>
      <c r="E168" s="1943"/>
      <c r="F168" s="1943"/>
      <c r="G168" s="1943"/>
      <c r="H168" s="1943"/>
      <c r="I168" s="1943"/>
      <c r="J168" s="1943"/>
      <c r="K168" s="1943"/>
      <c r="L168" s="1943"/>
    </row>
    <row r="169" spans="1:38" ht="13.5" customHeight="1" x14ac:dyDescent="0.2">
      <c r="B169" s="540"/>
      <c r="C169" s="1821" t="s">
        <v>150</v>
      </c>
      <c r="D169" s="1821"/>
      <c r="E169" s="1821"/>
      <c r="F169" s="1821"/>
      <c r="G169" s="1821"/>
      <c r="H169" s="1821"/>
      <c r="I169" s="1821"/>
      <c r="J169" s="1821"/>
      <c r="K169" s="1821"/>
      <c r="L169" s="1821"/>
    </row>
    <row r="170" spans="1:38" ht="12.75" customHeight="1" x14ac:dyDescent="0.2">
      <c r="B170" s="539" t="s">
        <v>151</v>
      </c>
      <c r="C170" s="1943"/>
      <c r="D170" s="1943"/>
      <c r="E170" s="1943"/>
      <c r="F170" s="1943"/>
      <c r="G170" s="1943"/>
      <c r="H170" s="1943"/>
      <c r="I170" s="1943"/>
      <c r="J170" s="1943"/>
      <c r="K170" s="1943"/>
      <c r="L170" s="1943"/>
    </row>
    <row r="171" spans="1:38" ht="13.5" customHeight="1" x14ac:dyDescent="0.2">
      <c r="C171" s="1821" t="s">
        <v>150</v>
      </c>
      <c r="D171" s="1821"/>
      <c r="E171" s="1821"/>
      <c r="F171" s="1821"/>
      <c r="G171" s="1821"/>
      <c r="H171" s="1821"/>
      <c r="I171" s="1821"/>
      <c r="J171" s="1821"/>
      <c r="K171" s="1821"/>
      <c r="L171" s="1821"/>
    </row>
    <row r="173" spans="1:38" x14ac:dyDescent="0.2">
      <c r="A173" s="1944"/>
      <c r="B173" s="1944"/>
      <c r="C173" s="1944"/>
      <c r="D173" s="1944"/>
      <c r="E173" s="1944"/>
      <c r="F173" s="1944"/>
      <c r="G173" s="1944"/>
      <c r="H173" s="1944"/>
      <c r="I173" s="1944"/>
      <c r="J173" s="1944"/>
      <c r="K173" s="1944"/>
      <c r="L173" s="1944"/>
      <c r="M173" s="1944"/>
      <c r="N173" s="1944"/>
      <c r="P173" s="536"/>
      <c r="Q173" s="536"/>
      <c r="R173" s="536"/>
      <c r="S173" s="536"/>
      <c r="T173" s="536"/>
      <c r="U173" s="536"/>
      <c r="V173" s="536"/>
      <c r="W173" s="536"/>
      <c r="X173" s="536"/>
      <c r="Y173" s="536"/>
      <c r="Z173" s="536"/>
      <c r="AA173" s="536"/>
      <c r="AB173" s="536"/>
      <c r="AC173" s="536"/>
      <c r="AD173" s="536"/>
      <c r="AE173" s="536"/>
      <c r="AF173" s="536"/>
      <c r="AG173" s="536"/>
      <c r="AH173" s="536"/>
      <c r="AI173" s="536"/>
      <c r="AJ173" s="536"/>
      <c r="AK173" s="536"/>
      <c r="AL173" s="537" t="s">
        <v>143</v>
      </c>
    </row>
    <row r="174" spans="1:38" x14ac:dyDescent="0.2">
      <c r="B174" s="538"/>
      <c r="D174" s="538"/>
      <c r="F174" s="538"/>
      <c r="P174" s="536"/>
      <c r="Q174" s="536"/>
      <c r="R174" s="536"/>
      <c r="S174" s="536"/>
      <c r="T174" s="536"/>
      <c r="U174" s="536"/>
      <c r="V174" s="536"/>
      <c r="W174" s="536"/>
      <c r="X174" s="536"/>
      <c r="Y174" s="536"/>
      <c r="Z174" s="536"/>
      <c r="AA174" s="536"/>
      <c r="AB174" s="536"/>
      <c r="AC174" s="536"/>
      <c r="AD174" s="536"/>
      <c r="AE174" s="536"/>
      <c r="AF174" s="536"/>
      <c r="AG174" s="536"/>
      <c r="AH174" s="536"/>
      <c r="AI174" s="536"/>
      <c r="AJ174" s="536"/>
      <c r="AK174" s="536"/>
      <c r="AL174" s="536"/>
    </row>
  </sheetData>
  <mergeCells count="148">
    <mergeCell ref="C165:K165"/>
    <mergeCell ref="C168:L168"/>
    <mergeCell ref="C169:L169"/>
    <mergeCell ref="C170:L170"/>
    <mergeCell ref="C171:L171"/>
    <mergeCell ref="A173:N173"/>
    <mergeCell ref="C159:K159"/>
    <mergeCell ref="C160:K160"/>
    <mergeCell ref="C161:K161"/>
    <mergeCell ref="C162:K162"/>
    <mergeCell ref="C163:K163"/>
    <mergeCell ref="C164:K164"/>
    <mergeCell ref="C153:K153"/>
    <mergeCell ref="C154:K154"/>
    <mergeCell ref="C155:K155"/>
    <mergeCell ref="C156:K156"/>
    <mergeCell ref="C157:K157"/>
    <mergeCell ref="C158:K158"/>
    <mergeCell ref="C146:K146"/>
    <mergeCell ref="C148:K148"/>
    <mergeCell ref="C149:K149"/>
    <mergeCell ref="C150:K150"/>
    <mergeCell ref="C151:K151"/>
    <mergeCell ref="C152:K152"/>
    <mergeCell ref="C140:K140"/>
    <mergeCell ref="C141:K141"/>
    <mergeCell ref="C142:K142"/>
    <mergeCell ref="C143:K143"/>
    <mergeCell ref="C144:K144"/>
    <mergeCell ref="C145:K145"/>
    <mergeCell ref="C131:K131"/>
    <mergeCell ref="C132:K132"/>
    <mergeCell ref="A133:N133"/>
    <mergeCell ref="C134:E134"/>
    <mergeCell ref="C136:E136"/>
    <mergeCell ref="C139:K139"/>
    <mergeCell ref="C125:K125"/>
    <mergeCell ref="C126:K126"/>
    <mergeCell ref="C127:K127"/>
    <mergeCell ref="C128:K128"/>
    <mergeCell ref="C129:K129"/>
    <mergeCell ref="C130:K130"/>
    <mergeCell ref="C119:K119"/>
    <mergeCell ref="C120:K120"/>
    <mergeCell ref="C121:K121"/>
    <mergeCell ref="C122:K122"/>
    <mergeCell ref="C123:K123"/>
    <mergeCell ref="C124:K124"/>
    <mergeCell ref="C111:E111"/>
    <mergeCell ref="C113:N113"/>
    <mergeCell ref="C115:K115"/>
    <mergeCell ref="C116:K116"/>
    <mergeCell ref="C117:K117"/>
    <mergeCell ref="C118:K118"/>
    <mergeCell ref="C105:E105"/>
    <mergeCell ref="C106:E106"/>
    <mergeCell ref="C107:E107"/>
    <mergeCell ref="C108:E108"/>
    <mergeCell ref="C109:E109"/>
    <mergeCell ref="C110:E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E96"/>
    <mergeCell ref="C97:N97"/>
    <mergeCell ref="C98:N98"/>
    <mergeCell ref="C87:E87"/>
    <mergeCell ref="C88:E88"/>
    <mergeCell ref="C89:E89"/>
    <mergeCell ref="C90:E90"/>
    <mergeCell ref="C91:E91"/>
    <mergeCell ref="C92:E92"/>
    <mergeCell ref="C81:E81"/>
    <mergeCell ref="C82:N82"/>
    <mergeCell ref="C83:N83"/>
    <mergeCell ref="C84:E84"/>
    <mergeCell ref="C85:E85"/>
    <mergeCell ref="C86:E86"/>
    <mergeCell ref="C72:E72"/>
    <mergeCell ref="C73:E73"/>
    <mergeCell ref="C75:E75"/>
    <mergeCell ref="C77:N77"/>
    <mergeCell ref="C78:E78"/>
    <mergeCell ref="C80:N80"/>
    <mergeCell ref="C66:E66"/>
    <mergeCell ref="C67:E67"/>
    <mergeCell ref="C68:E68"/>
    <mergeCell ref="C69:E69"/>
    <mergeCell ref="C70:E70"/>
    <mergeCell ref="C71:E71"/>
    <mergeCell ref="C60:E60"/>
    <mergeCell ref="C61:E61"/>
    <mergeCell ref="C62:E62"/>
    <mergeCell ref="C63:E63"/>
    <mergeCell ref="C64:E64"/>
    <mergeCell ref="C65:E65"/>
    <mergeCell ref="C53:E53"/>
    <mergeCell ref="C54:E54"/>
    <mergeCell ref="C55:E55"/>
    <mergeCell ref="C57:E57"/>
    <mergeCell ref="C58:N58"/>
    <mergeCell ref="C59:N59"/>
    <mergeCell ref="C47:E47"/>
    <mergeCell ref="C48:E48"/>
    <mergeCell ref="C49:E49"/>
    <mergeCell ref="C50:E50"/>
    <mergeCell ref="C51:E51"/>
    <mergeCell ref="C52:E52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17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"/>
  <dimension ref="A1:AI217"/>
  <sheetViews>
    <sheetView topLeftCell="A179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29" width="34.140625" style="537" hidden="1" customWidth="1"/>
    <col min="30" max="35" width="84.42578125" style="537" hidden="1" customWidth="1"/>
    <col min="36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5012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5012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5013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4507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4507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4509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5630.53</v>
      </c>
      <c r="D28" s="579" t="s">
        <v>5014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454.52</v>
      </c>
      <c r="D30" s="579" t="s">
        <v>5015</v>
      </c>
      <c r="E30" s="665" t="s">
        <v>167</v>
      </c>
      <c r="G30" s="536" t="s">
        <v>170</v>
      </c>
      <c r="L30" s="580">
        <v>0</v>
      </c>
      <c r="M30" s="579" t="s">
        <v>5016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125.76</v>
      </c>
      <c r="D31" s="583" t="s">
        <v>5017</v>
      </c>
      <c r="E31" s="665" t="s">
        <v>167</v>
      </c>
      <c r="G31" s="536" t="s">
        <v>172</v>
      </c>
      <c r="L31" s="582"/>
      <c r="M31" s="582">
        <v>848.45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5050.25</v>
      </c>
      <c r="D32" s="583" t="s">
        <v>5018</v>
      </c>
      <c r="E32" s="665" t="s">
        <v>167</v>
      </c>
      <c r="G32" s="536" t="s">
        <v>174</v>
      </c>
      <c r="L32" s="582"/>
      <c r="M32" s="582">
        <v>391.34</v>
      </c>
      <c r="N32" s="581" t="s">
        <v>173</v>
      </c>
    </row>
    <row r="33" spans="1:28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8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8" s="536" customFormat="1" ht="12" x14ac:dyDescent="0.2">
      <c r="A39" s="1824" t="s">
        <v>5019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5019</v>
      </c>
    </row>
    <row r="40" spans="1:28" s="536" customFormat="1" ht="45" x14ac:dyDescent="0.2">
      <c r="A40" s="575" t="s">
        <v>185</v>
      </c>
      <c r="B40" s="670" t="s">
        <v>495</v>
      </c>
      <c r="C40" s="1823" t="s">
        <v>496</v>
      </c>
      <c r="D40" s="1823"/>
      <c r="E40" s="1823"/>
      <c r="F40" s="573" t="s">
        <v>455</v>
      </c>
      <c r="G40" s="573"/>
      <c r="H40" s="573"/>
      <c r="I40" s="573" t="s">
        <v>5020</v>
      </c>
      <c r="J40" s="572"/>
      <c r="K40" s="573"/>
      <c r="L40" s="572"/>
      <c r="M40" s="571"/>
      <c r="N40" s="570"/>
      <c r="V40" s="674"/>
      <c r="W40" s="675" t="s">
        <v>496</v>
      </c>
    </row>
    <row r="41" spans="1:28" s="536" customFormat="1" ht="12" x14ac:dyDescent="0.2">
      <c r="A41" s="676"/>
      <c r="B41" s="664"/>
      <c r="C41" s="1822" t="s">
        <v>5021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5021</v>
      </c>
    </row>
    <row r="42" spans="1:28" s="536" customFormat="1" ht="22.5" x14ac:dyDescent="0.2">
      <c r="A42" s="609"/>
      <c r="B42" s="552" t="s">
        <v>499</v>
      </c>
      <c r="C42" s="1822" t="s">
        <v>500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Y42" s="537" t="s">
        <v>500</v>
      </c>
    </row>
    <row r="43" spans="1:28" s="536" customFormat="1" ht="12" x14ac:dyDescent="0.2">
      <c r="A43" s="605"/>
      <c r="B43" s="552" t="s">
        <v>186</v>
      </c>
      <c r="C43" s="1822" t="s">
        <v>344</v>
      </c>
      <c r="D43" s="1822"/>
      <c r="E43" s="1822"/>
      <c r="F43" s="562"/>
      <c r="G43" s="562"/>
      <c r="H43" s="562"/>
      <c r="I43" s="562"/>
      <c r="J43" s="604">
        <v>5532.96</v>
      </c>
      <c r="K43" s="562" t="s">
        <v>313</v>
      </c>
      <c r="L43" s="604">
        <v>17741.439999999999</v>
      </c>
      <c r="M43" s="603"/>
      <c r="N43" s="602"/>
      <c r="V43" s="674"/>
      <c r="W43" s="675"/>
      <c r="Z43" s="537" t="s">
        <v>344</v>
      </c>
    </row>
    <row r="44" spans="1:28" s="536" customFormat="1" ht="12" x14ac:dyDescent="0.2">
      <c r="A44" s="605"/>
      <c r="B44" s="552" t="s">
        <v>187</v>
      </c>
      <c r="C44" s="1822" t="s">
        <v>345</v>
      </c>
      <c r="D44" s="1822"/>
      <c r="E44" s="1822"/>
      <c r="F44" s="562"/>
      <c r="G44" s="562"/>
      <c r="H44" s="562"/>
      <c r="I44" s="562"/>
      <c r="J44" s="604">
        <v>648</v>
      </c>
      <c r="K44" s="562" t="s">
        <v>313</v>
      </c>
      <c r="L44" s="604">
        <v>2077.81</v>
      </c>
      <c r="M44" s="603"/>
      <c r="N44" s="602"/>
      <c r="V44" s="674"/>
      <c r="W44" s="675"/>
      <c r="Z44" s="537" t="s">
        <v>345</v>
      </c>
    </row>
    <row r="45" spans="1:28" s="536" customFormat="1" ht="12" x14ac:dyDescent="0.2">
      <c r="A45" s="605"/>
      <c r="B45" s="552"/>
      <c r="C45" s="1822" t="s">
        <v>348</v>
      </c>
      <c r="D45" s="1822"/>
      <c r="E45" s="1822"/>
      <c r="F45" s="562" t="s">
        <v>315</v>
      </c>
      <c r="G45" s="562" t="s">
        <v>501</v>
      </c>
      <c r="H45" s="562" t="s">
        <v>313</v>
      </c>
      <c r="I45" s="562" t="s">
        <v>5022</v>
      </c>
      <c r="J45" s="604"/>
      <c r="K45" s="562"/>
      <c r="L45" s="604"/>
      <c r="M45" s="603"/>
      <c r="N45" s="602"/>
      <c r="V45" s="674"/>
      <c r="W45" s="675"/>
      <c r="AA45" s="537" t="s">
        <v>348</v>
      </c>
    </row>
    <row r="46" spans="1:28" s="536" customFormat="1" ht="12" x14ac:dyDescent="0.2">
      <c r="A46" s="605"/>
      <c r="B46" s="552"/>
      <c r="C46" s="1828" t="s">
        <v>318</v>
      </c>
      <c r="D46" s="1828"/>
      <c r="E46" s="1828"/>
      <c r="F46" s="608"/>
      <c r="G46" s="608"/>
      <c r="H46" s="608"/>
      <c r="I46" s="608"/>
      <c r="J46" s="607">
        <v>5532.96</v>
      </c>
      <c r="K46" s="608"/>
      <c r="L46" s="607">
        <v>17741.439999999999</v>
      </c>
      <c r="M46" s="601"/>
      <c r="N46" s="606"/>
      <c r="V46" s="674"/>
      <c r="W46" s="675"/>
      <c r="AB46" s="537" t="s">
        <v>318</v>
      </c>
    </row>
    <row r="47" spans="1:28" s="536" customFormat="1" ht="12" x14ac:dyDescent="0.2">
      <c r="A47" s="605"/>
      <c r="B47" s="552"/>
      <c r="C47" s="1822" t="s">
        <v>319</v>
      </c>
      <c r="D47" s="1822"/>
      <c r="E47" s="1822"/>
      <c r="F47" s="562"/>
      <c r="G47" s="562"/>
      <c r="H47" s="562"/>
      <c r="I47" s="562"/>
      <c r="J47" s="604"/>
      <c r="K47" s="562"/>
      <c r="L47" s="604">
        <v>2077.81</v>
      </c>
      <c r="M47" s="603"/>
      <c r="N47" s="602"/>
      <c r="V47" s="674"/>
      <c r="W47" s="675"/>
      <c r="AA47" s="537" t="s">
        <v>319</v>
      </c>
    </row>
    <row r="48" spans="1:28" s="536" customFormat="1" ht="33.75" x14ac:dyDescent="0.2">
      <c r="A48" s="605"/>
      <c r="B48" s="552" t="s">
        <v>460</v>
      </c>
      <c r="C48" s="1822" t="s">
        <v>461</v>
      </c>
      <c r="D48" s="1822"/>
      <c r="E48" s="1822"/>
      <c r="F48" s="562" t="s">
        <v>322</v>
      </c>
      <c r="G48" s="562" t="s">
        <v>462</v>
      </c>
      <c r="H48" s="562"/>
      <c r="I48" s="562" t="s">
        <v>462</v>
      </c>
      <c r="J48" s="604"/>
      <c r="K48" s="562"/>
      <c r="L48" s="604">
        <v>1911.59</v>
      </c>
      <c r="M48" s="603"/>
      <c r="N48" s="602"/>
      <c r="V48" s="674"/>
      <c r="W48" s="675"/>
      <c r="AA48" s="537" t="s">
        <v>461</v>
      </c>
    </row>
    <row r="49" spans="1:29" s="536" customFormat="1" ht="33.75" x14ac:dyDescent="0.2">
      <c r="A49" s="605"/>
      <c r="B49" s="552" t="s">
        <v>463</v>
      </c>
      <c r="C49" s="1822" t="s">
        <v>464</v>
      </c>
      <c r="D49" s="1822"/>
      <c r="E49" s="1822"/>
      <c r="F49" s="562" t="s">
        <v>322</v>
      </c>
      <c r="G49" s="562" t="s">
        <v>465</v>
      </c>
      <c r="H49" s="562"/>
      <c r="I49" s="562" t="s">
        <v>465</v>
      </c>
      <c r="J49" s="604"/>
      <c r="K49" s="562"/>
      <c r="L49" s="604">
        <v>955.79</v>
      </c>
      <c r="M49" s="603"/>
      <c r="N49" s="602"/>
      <c r="V49" s="674"/>
      <c r="W49" s="675"/>
      <c r="AA49" s="537" t="s">
        <v>464</v>
      </c>
    </row>
    <row r="50" spans="1:29" s="536" customFormat="1" ht="12" x14ac:dyDescent="0.2">
      <c r="A50" s="569"/>
      <c r="B50" s="671"/>
      <c r="C50" s="1823" t="s">
        <v>327</v>
      </c>
      <c r="D50" s="1823"/>
      <c r="E50" s="1823"/>
      <c r="F50" s="573"/>
      <c r="G50" s="573"/>
      <c r="H50" s="573"/>
      <c r="I50" s="573"/>
      <c r="J50" s="572"/>
      <c r="K50" s="573"/>
      <c r="L50" s="572">
        <v>20608.82</v>
      </c>
      <c r="M50" s="601"/>
      <c r="N50" s="570"/>
      <c r="V50" s="674"/>
      <c r="W50" s="675"/>
      <c r="AC50" s="675" t="s">
        <v>327</v>
      </c>
    </row>
    <row r="51" spans="1:29" s="536" customFormat="1" ht="45" x14ac:dyDescent="0.2">
      <c r="A51" s="575" t="s">
        <v>186</v>
      </c>
      <c r="B51" s="670" t="s">
        <v>503</v>
      </c>
      <c r="C51" s="1823" t="s">
        <v>504</v>
      </c>
      <c r="D51" s="1823"/>
      <c r="E51" s="1823"/>
      <c r="F51" s="573" t="s">
        <v>455</v>
      </c>
      <c r="G51" s="573"/>
      <c r="H51" s="573"/>
      <c r="I51" s="573" t="s">
        <v>5023</v>
      </c>
      <c r="J51" s="572"/>
      <c r="K51" s="573"/>
      <c r="L51" s="572"/>
      <c r="M51" s="571"/>
      <c r="N51" s="570"/>
      <c r="V51" s="674"/>
      <c r="W51" s="675" t="s">
        <v>504</v>
      </c>
      <c r="AC51" s="675"/>
    </row>
    <row r="52" spans="1:29" s="536" customFormat="1" ht="12" x14ac:dyDescent="0.2">
      <c r="A52" s="676"/>
      <c r="B52" s="664"/>
      <c r="C52" s="1822" t="s">
        <v>5024</v>
      </c>
      <c r="D52" s="1822"/>
      <c r="E52" s="1822"/>
      <c r="F52" s="1822"/>
      <c r="G52" s="1822"/>
      <c r="H52" s="1822"/>
      <c r="I52" s="1822"/>
      <c r="J52" s="1822"/>
      <c r="K52" s="1822"/>
      <c r="L52" s="1822"/>
      <c r="M52" s="1822"/>
      <c r="N52" s="1827"/>
      <c r="V52" s="674"/>
      <c r="W52" s="675"/>
      <c r="X52" s="537" t="s">
        <v>5024</v>
      </c>
      <c r="AC52" s="675"/>
    </row>
    <row r="53" spans="1:29" s="536" customFormat="1" ht="22.5" x14ac:dyDescent="0.2">
      <c r="A53" s="609"/>
      <c r="B53" s="552" t="s">
        <v>499</v>
      </c>
      <c r="C53" s="1822" t="s">
        <v>500</v>
      </c>
      <c r="D53" s="1822"/>
      <c r="E53" s="1822"/>
      <c r="F53" s="1822"/>
      <c r="G53" s="1822"/>
      <c r="H53" s="1822"/>
      <c r="I53" s="1822"/>
      <c r="J53" s="1822"/>
      <c r="K53" s="1822"/>
      <c r="L53" s="1822"/>
      <c r="M53" s="1822"/>
      <c r="N53" s="1827"/>
      <c r="V53" s="674"/>
      <c r="W53" s="675"/>
      <c r="Y53" s="537" t="s">
        <v>500</v>
      </c>
      <c r="AC53" s="675"/>
    </row>
    <row r="54" spans="1:29" s="536" customFormat="1" ht="12" x14ac:dyDescent="0.2">
      <c r="A54" s="605"/>
      <c r="B54" s="552" t="s">
        <v>186</v>
      </c>
      <c r="C54" s="1822" t="s">
        <v>344</v>
      </c>
      <c r="D54" s="1822"/>
      <c r="E54" s="1822"/>
      <c r="F54" s="562"/>
      <c r="G54" s="562"/>
      <c r="H54" s="562"/>
      <c r="I54" s="562"/>
      <c r="J54" s="604">
        <v>3803.91</v>
      </c>
      <c r="K54" s="562" t="s">
        <v>313</v>
      </c>
      <c r="L54" s="604">
        <v>12755.46</v>
      </c>
      <c r="M54" s="603"/>
      <c r="N54" s="602"/>
      <c r="V54" s="674"/>
      <c r="W54" s="675"/>
      <c r="Z54" s="537" t="s">
        <v>344</v>
      </c>
      <c r="AC54" s="675"/>
    </row>
    <row r="55" spans="1:29" s="536" customFormat="1" ht="12" x14ac:dyDescent="0.2">
      <c r="A55" s="605"/>
      <c r="B55" s="552" t="s">
        <v>187</v>
      </c>
      <c r="C55" s="1822" t="s">
        <v>345</v>
      </c>
      <c r="D55" s="1822"/>
      <c r="E55" s="1822"/>
      <c r="F55" s="562"/>
      <c r="G55" s="562"/>
      <c r="H55" s="562"/>
      <c r="I55" s="562"/>
      <c r="J55" s="604">
        <v>445.5</v>
      </c>
      <c r="K55" s="562" t="s">
        <v>313</v>
      </c>
      <c r="L55" s="604">
        <v>1493.87</v>
      </c>
      <c r="M55" s="603"/>
      <c r="N55" s="602"/>
      <c r="V55" s="674"/>
      <c r="W55" s="675"/>
      <c r="Z55" s="537" t="s">
        <v>345</v>
      </c>
      <c r="AC55" s="675"/>
    </row>
    <row r="56" spans="1:29" s="536" customFormat="1" ht="12" x14ac:dyDescent="0.2">
      <c r="A56" s="605"/>
      <c r="B56" s="552"/>
      <c r="C56" s="1822" t="s">
        <v>348</v>
      </c>
      <c r="D56" s="1822"/>
      <c r="E56" s="1822"/>
      <c r="F56" s="562" t="s">
        <v>315</v>
      </c>
      <c r="G56" s="562" t="s">
        <v>505</v>
      </c>
      <c r="H56" s="562" t="s">
        <v>313</v>
      </c>
      <c r="I56" s="562" t="s">
        <v>5025</v>
      </c>
      <c r="J56" s="604"/>
      <c r="K56" s="562"/>
      <c r="L56" s="604"/>
      <c r="M56" s="603"/>
      <c r="N56" s="602"/>
      <c r="V56" s="674"/>
      <c r="W56" s="675"/>
      <c r="AA56" s="537" t="s">
        <v>348</v>
      </c>
      <c r="AC56" s="675"/>
    </row>
    <row r="57" spans="1:29" s="536" customFormat="1" ht="12" x14ac:dyDescent="0.2">
      <c r="A57" s="605"/>
      <c r="B57" s="552"/>
      <c r="C57" s="1828" t="s">
        <v>318</v>
      </c>
      <c r="D57" s="1828"/>
      <c r="E57" s="1828"/>
      <c r="F57" s="608"/>
      <c r="G57" s="608"/>
      <c r="H57" s="608"/>
      <c r="I57" s="608"/>
      <c r="J57" s="607">
        <v>3803.91</v>
      </c>
      <c r="K57" s="608"/>
      <c r="L57" s="607">
        <v>12755.46</v>
      </c>
      <c r="M57" s="601"/>
      <c r="N57" s="606"/>
      <c r="V57" s="674"/>
      <c r="W57" s="675"/>
      <c r="AB57" s="537" t="s">
        <v>318</v>
      </c>
      <c r="AC57" s="675"/>
    </row>
    <row r="58" spans="1:29" s="536" customFormat="1" ht="12" x14ac:dyDescent="0.2">
      <c r="A58" s="605"/>
      <c r="B58" s="552"/>
      <c r="C58" s="1822" t="s">
        <v>319</v>
      </c>
      <c r="D58" s="1822"/>
      <c r="E58" s="1822"/>
      <c r="F58" s="562"/>
      <c r="G58" s="562"/>
      <c r="H58" s="562"/>
      <c r="I58" s="562"/>
      <c r="J58" s="604"/>
      <c r="K58" s="562"/>
      <c r="L58" s="604">
        <v>1493.87</v>
      </c>
      <c r="M58" s="603"/>
      <c r="N58" s="602"/>
      <c r="V58" s="674"/>
      <c r="W58" s="675"/>
      <c r="AA58" s="537" t="s">
        <v>319</v>
      </c>
      <c r="AC58" s="675"/>
    </row>
    <row r="59" spans="1:29" s="536" customFormat="1" ht="33.75" x14ac:dyDescent="0.2">
      <c r="A59" s="605"/>
      <c r="B59" s="552" t="s">
        <v>460</v>
      </c>
      <c r="C59" s="1822" t="s">
        <v>461</v>
      </c>
      <c r="D59" s="1822"/>
      <c r="E59" s="1822"/>
      <c r="F59" s="562" t="s">
        <v>322</v>
      </c>
      <c r="G59" s="562" t="s">
        <v>462</v>
      </c>
      <c r="H59" s="562"/>
      <c r="I59" s="562" t="s">
        <v>462</v>
      </c>
      <c r="J59" s="604"/>
      <c r="K59" s="562"/>
      <c r="L59" s="604">
        <v>1374.36</v>
      </c>
      <c r="M59" s="603"/>
      <c r="N59" s="602"/>
      <c r="V59" s="674"/>
      <c r="W59" s="675"/>
      <c r="AA59" s="537" t="s">
        <v>461</v>
      </c>
      <c r="AC59" s="675"/>
    </row>
    <row r="60" spans="1:29" s="536" customFormat="1" ht="33.75" x14ac:dyDescent="0.2">
      <c r="A60" s="605"/>
      <c r="B60" s="552" t="s">
        <v>463</v>
      </c>
      <c r="C60" s="1822" t="s">
        <v>464</v>
      </c>
      <c r="D60" s="1822"/>
      <c r="E60" s="1822"/>
      <c r="F60" s="562" t="s">
        <v>322</v>
      </c>
      <c r="G60" s="562" t="s">
        <v>465</v>
      </c>
      <c r="H60" s="562"/>
      <c r="I60" s="562" t="s">
        <v>465</v>
      </c>
      <c r="J60" s="604"/>
      <c r="K60" s="562"/>
      <c r="L60" s="604">
        <v>687.18</v>
      </c>
      <c r="M60" s="603"/>
      <c r="N60" s="602"/>
      <c r="V60" s="674"/>
      <c r="W60" s="675"/>
      <c r="AA60" s="537" t="s">
        <v>464</v>
      </c>
      <c r="AC60" s="675"/>
    </row>
    <row r="61" spans="1:29" s="536" customFormat="1" ht="12" x14ac:dyDescent="0.2">
      <c r="A61" s="569"/>
      <c r="B61" s="671"/>
      <c r="C61" s="1823" t="s">
        <v>327</v>
      </c>
      <c r="D61" s="1823"/>
      <c r="E61" s="1823"/>
      <c r="F61" s="573"/>
      <c r="G61" s="573"/>
      <c r="H61" s="573"/>
      <c r="I61" s="573"/>
      <c r="J61" s="572"/>
      <c r="K61" s="573"/>
      <c r="L61" s="572">
        <v>14817</v>
      </c>
      <c r="M61" s="601"/>
      <c r="N61" s="570"/>
      <c r="V61" s="674"/>
      <c r="W61" s="675"/>
      <c r="AC61" s="675" t="s">
        <v>327</v>
      </c>
    </row>
    <row r="62" spans="1:29" s="536" customFormat="1" ht="22.5" x14ac:dyDescent="0.2">
      <c r="A62" s="575" t="s">
        <v>187</v>
      </c>
      <c r="B62" s="670" t="s">
        <v>507</v>
      </c>
      <c r="C62" s="1823" t="s">
        <v>508</v>
      </c>
      <c r="D62" s="1823"/>
      <c r="E62" s="1823"/>
      <c r="F62" s="573" t="s">
        <v>509</v>
      </c>
      <c r="G62" s="573"/>
      <c r="H62" s="573"/>
      <c r="I62" s="573" t="s">
        <v>5026</v>
      </c>
      <c r="J62" s="572"/>
      <c r="K62" s="573"/>
      <c r="L62" s="572"/>
      <c r="M62" s="571"/>
      <c r="N62" s="570"/>
      <c r="V62" s="674"/>
      <c r="W62" s="675" t="s">
        <v>508</v>
      </c>
      <c r="AC62" s="675"/>
    </row>
    <row r="63" spans="1:29" s="536" customFormat="1" ht="12" x14ac:dyDescent="0.2">
      <c r="A63" s="676"/>
      <c r="B63" s="664"/>
      <c r="C63" s="1822" t="s">
        <v>5027</v>
      </c>
      <c r="D63" s="1822"/>
      <c r="E63" s="1822"/>
      <c r="F63" s="1822"/>
      <c r="G63" s="1822"/>
      <c r="H63" s="1822"/>
      <c r="I63" s="1822"/>
      <c r="J63" s="1822"/>
      <c r="K63" s="1822"/>
      <c r="L63" s="1822"/>
      <c r="M63" s="1822"/>
      <c r="N63" s="1827"/>
      <c r="V63" s="674"/>
      <c r="W63" s="675"/>
      <c r="X63" s="537" t="s">
        <v>5027</v>
      </c>
      <c r="AC63" s="675"/>
    </row>
    <row r="64" spans="1:29" s="536" customFormat="1" ht="22.5" x14ac:dyDescent="0.2">
      <c r="A64" s="609"/>
      <c r="B64" s="552" t="s">
        <v>499</v>
      </c>
      <c r="C64" s="1822" t="s">
        <v>500</v>
      </c>
      <c r="D64" s="1822"/>
      <c r="E64" s="1822"/>
      <c r="F64" s="1822"/>
      <c r="G64" s="1822"/>
      <c r="H64" s="1822"/>
      <c r="I64" s="1822"/>
      <c r="J64" s="1822"/>
      <c r="K64" s="1822"/>
      <c r="L64" s="1822"/>
      <c r="M64" s="1822"/>
      <c r="N64" s="1827"/>
      <c r="V64" s="674"/>
      <c r="W64" s="675"/>
      <c r="Y64" s="537" t="s">
        <v>500</v>
      </c>
      <c r="AC64" s="675"/>
    </row>
    <row r="65" spans="1:31" s="536" customFormat="1" ht="12" x14ac:dyDescent="0.2">
      <c r="A65" s="605"/>
      <c r="B65" s="552" t="s">
        <v>185</v>
      </c>
      <c r="C65" s="1822" t="s">
        <v>312</v>
      </c>
      <c r="D65" s="1822"/>
      <c r="E65" s="1822"/>
      <c r="F65" s="562"/>
      <c r="G65" s="562"/>
      <c r="H65" s="562"/>
      <c r="I65" s="562"/>
      <c r="J65" s="604">
        <v>127.61</v>
      </c>
      <c r="K65" s="562" t="s">
        <v>313</v>
      </c>
      <c r="L65" s="604">
        <v>4279.08</v>
      </c>
      <c r="M65" s="603"/>
      <c r="N65" s="602"/>
      <c r="V65" s="674"/>
      <c r="W65" s="675"/>
      <c r="Z65" s="537" t="s">
        <v>312</v>
      </c>
      <c r="AC65" s="675"/>
    </row>
    <row r="66" spans="1:31" s="536" customFormat="1" ht="12" x14ac:dyDescent="0.2">
      <c r="A66" s="605"/>
      <c r="B66" s="552" t="s">
        <v>186</v>
      </c>
      <c r="C66" s="1822" t="s">
        <v>344</v>
      </c>
      <c r="D66" s="1822"/>
      <c r="E66" s="1822"/>
      <c r="F66" s="562"/>
      <c r="G66" s="562"/>
      <c r="H66" s="562"/>
      <c r="I66" s="562"/>
      <c r="J66" s="604">
        <v>288.58</v>
      </c>
      <c r="K66" s="562" t="s">
        <v>313</v>
      </c>
      <c r="L66" s="604">
        <v>9676.81</v>
      </c>
      <c r="M66" s="603"/>
      <c r="N66" s="602"/>
      <c r="V66" s="674"/>
      <c r="W66" s="675"/>
      <c r="Z66" s="537" t="s">
        <v>344</v>
      </c>
      <c r="AC66" s="675"/>
    </row>
    <row r="67" spans="1:31" s="536" customFormat="1" ht="12" x14ac:dyDescent="0.2">
      <c r="A67" s="605"/>
      <c r="B67" s="552" t="s">
        <v>187</v>
      </c>
      <c r="C67" s="1822" t="s">
        <v>345</v>
      </c>
      <c r="D67" s="1822"/>
      <c r="E67" s="1822"/>
      <c r="F67" s="562"/>
      <c r="G67" s="562"/>
      <c r="H67" s="562"/>
      <c r="I67" s="562"/>
      <c r="J67" s="604">
        <v>31.49</v>
      </c>
      <c r="K67" s="562" t="s">
        <v>313</v>
      </c>
      <c r="L67" s="604">
        <v>1055.94</v>
      </c>
      <c r="M67" s="603"/>
      <c r="N67" s="602"/>
      <c r="V67" s="674"/>
      <c r="W67" s="675"/>
      <c r="Z67" s="537" t="s">
        <v>345</v>
      </c>
      <c r="AC67" s="675"/>
    </row>
    <row r="68" spans="1:31" s="536" customFormat="1" ht="12" x14ac:dyDescent="0.2">
      <c r="A68" s="605"/>
      <c r="B68" s="552"/>
      <c r="C68" s="1822" t="s">
        <v>314</v>
      </c>
      <c r="D68" s="1822"/>
      <c r="E68" s="1822"/>
      <c r="F68" s="562" t="s">
        <v>315</v>
      </c>
      <c r="G68" s="562" t="s">
        <v>512</v>
      </c>
      <c r="H68" s="562" t="s">
        <v>313</v>
      </c>
      <c r="I68" s="562" t="s">
        <v>5028</v>
      </c>
      <c r="J68" s="604"/>
      <c r="K68" s="562"/>
      <c r="L68" s="604"/>
      <c r="M68" s="603"/>
      <c r="N68" s="602"/>
      <c r="V68" s="674"/>
      <c r="W68" s="675"/>
      <c r="AA68" s="537" t="s">
        <v>314</v>
      </c>
      <c r="AC68" s="675"/>
    </row>
    <row r="69" spans="1:31" s="536" customFormat="1" ht="22.5" x14ac:dyDescent="0.2">
      <c r="A69" s="605"/>
      <c r="B69" s="552"/>
      <c r="C69" s="1822" t="s">
        <v>348</v>
      </c>
      <c r="D69" s="1822"/>
      <c r="E69" s="1822"/>
      <c r="F69" s="562" t="s">
        <v>315</v>
      </c>
      <c r="G69" s="562" t="s">
        <v>514</v>
      </c>
      <c r="H69" s="562" t="s">
        <v>313</v>
      </c>
      <c r="I69" s="562" t="s">
        <v>5029</v>
      </c>
      <c r="J69" s="604"/>
      <c r="K69" s="562"/>
      <c r="L69" s="604"/>
      <c r="M69" s="603"/>
      <c r="N69" s="602"/>
      <c r="V69" s="674"/>
      <c r="W69" s="675"/>
      <c r="AA69" s="537" t="s">
        <v>348</v>
      </c>
      <c r="AC69" s="675"/>
    </row>
    <row r="70" spans="1:31" s="536" customFormat="1" ht="12" x14ac:dyDescent="0.2">
      <c r="A70" s="605"/>
      <c r="B70" s="552"/>
      <c r="C70" s="1828" t="s">
        <v>318</v>
      </c>
      <c r="D70" s="1828"/>
      <c r="E70" s="1828"/>
      <c r="F70" s="608"/>
      <c r="G70" s="608"/>
      <c r="H70" s="608"/>
      <c r="I70" s="608"/>
      <c r="J70" s="607">
        <v>416.19</v>
      </c>
      <c r="K70" s="608"/>
      <c r="L70" s="607">
        <v>13955.89</v>
      </c>
      <c r="M70" s="601"/>
      <c r="N70" s="606"/>
      <c r="V70" s="674"/>
      <c r="W70" s="675"/>
      <c r="AB70" s="537" t="s">
        <v>318</v>
      </c>
      <c r="AC70" s="675"/>
    </row>
    <row r="71" spans="1:31" s="536" customFormat="1" ht="12" x14ac:dyDescent="0.2">
      <c r="A71" s="605"/>
      <c r="B71" s="552"/>
      <c r="C71" s="1822" t="s">
        <v>319</v>
      </c>
      <c r="D71" s="1822"/>
      <c r="E71" s="1822"/>
      <c r="F71" s="562"/>
      <c r="G71" s="562"/>
      <c r="H71" s="562"/>
      <c r="I71" s="562"/>
      <c r="J71" s="604"/>
      <c r="K71" s="562"/>
      <c r="L71" s="604">
        <v>5335.02</v>
      </c>
      <c r="M71" s="603"/>
      <c r="N71" s="602"/>
      <c r="V71" s="674"/>
      <c r="W71" s="675"/>
      <c r="AA71" s="537" t="s">
        <v>319</v>
      </c>
      <c r="AC71" s="675"/>
    </row>
    <row r="72" spans="1:31" s="536" customFormat="1" ht="33.75" x14ac:dyDescent="0.2">
      <c r="A72" s="605"/>
      <c r="B72" s="552" t="s">
        <v>460</v>
      </c>
      <c r="C72" s="1822" t="s">
        <v>461</v>
      </c>
      <c r="D72" s="1822"/>
      <c r="E72" s="1822"/>
      <c r="F72" s="562" t="s">
        <v>322</v>
      </c>
      <c r="G72" s="562" t="s">
        <v>462</v>
      </c>
      <c r="H72" s="562"/>
      <c r="I72" s="562" t="s">
        <v>462</v>
      </c>
      <c r="J72" s="604"/>
      <c r="K72" s="562"/>
      <c r="L72" s="604">
        <v>4908.22</v>
      </c>
      <c r="M72" s="603"/>
      <c r="N72" s="602"/>
      <c r="V72" s="674"/>
      <c r="W72" s="675"/>
      <c r="AA72" s="537" t="s">
        <v>461</v>
      </c>
      <c r="AC72" s="675"/>
    </row>
    <row r="73" spans="1:31" s="536" customFormat="1" ht="33.75" x14ac:dyDescent="0.2">
      <c r="A73" s="605"/>
      <c r="B73" s="552" t="s">
        <v>463</v>
      </c>
      <c r="C73" s="1822" t="s">
        <v>464</v>
      </c>
      <c r="D73" s="1822"/>
      <c r="E73" s="1822"/>
      <c r="F73" s="562" t="s">
        <v>322</v>
      </c>
      <c r="G73" s="562" t="s">
        <v>465</v>
      </c>
      <c r="H73" s="562"/>
      <c r="I73" s="562" t="s">
        <v>465</v>
      </c>
      <c r="J73" s="604"/>
      <c r="K73" s="562"/>
      <c r="L73" s="604">
        <v>2454.11</v>
      </c>
      <c r="M73" s="603"/>
      <c r="N73" s="602"/>
      <c r="V73" s="674"/>
      <c r="W73" s="675"/>
      <c r="AA73" s="537" t="s">
        <v>464</v>
      </c>
      <c r="AC73" s="675"/>
    </row>
    <row r="74" spans="1:31" s="536" customFormat="1" ht="12" x14ac:dyDescent="0.2">
      <c r="A74" s="569"/>
      <c r="B74" s="671"/>
      <c r="C74" s="1823" t="s">
        <v>327</v>
      </c>
      <c r="D74" s="1823"/>
      <c r="E74" s="1823"/>
      <c r="F74" s="573"/>
      <c r="G74" s="573"/>
      <c r="H74" s="573"/>
      <c r="I74" s="573"/>
      <c r="J74" s="572"/>
      <c r="K74" s="573"/>
      <c r="L74" s="572">
        <v>21318.22</v>
      </c>
      <c r="M74" s="601"/>
      <c r="N74" s="570"/>
      <c r="V74" s="674"/>
      <c r="W74" s="675"/>
      <c r="AC74" s="675" t="s">
        <v>327</v>
      </c>
    </row>
    <row r="75" spans="1:31" s="536" customFormat="1" ht="1.5" customHeight="1" x14ac:dyDescent="0.2">
      <c r="A75" s="563"/>
      <c r="B75" s="671"/>
      <c r="C75" s="671"/>
      <c r="D75" s="671"/>
      <c r="E75" s="671"/>
      <c r="F75" s="563"/>
      <c r="G75" s="563"/>
      <c r="H75" s="563"/>
      <c r="I75" s="563"/>
      <c r="J75" s="546"/>
      <c r="K75" s="563"/>
      <c r="L75" s="546"/>
      <c r="M75" s="562"/>
      <c r="N75" s="546"/>
      <c r="V75" s="674"/>
      <c r="W75" s="675"/>
      <c r="AC75" s="675"/>
    </row>
    <row r="76" spans="1:31" s="536" customFormat="1" ht="12" x14ac:dyDescent="0.2">
      <c r="A76" s="557"/>
      <c r="B76" s="556"/>
      <c r="C76" s="1823" t="s">
        <v>5030</v>
      </c>
      <c r="D76" s="1823"/>
      <c r="E76" s="1823"/>
      <c r="F76" s="1823"/>
      <c r="G76" s="1823"/>
      <c r="H76" s="1823"/>
      <c r="I76" s="1823"/>
      <c r="J76" s="1823"/>
      <c r="K76" s="1823"/>
      <c r="L76" s="555"/>
      <c r="M76" s="554"/>
      <c r="N76" s="553"/>
      <c r="V76" s="674"/>
      <c r="W76" s="675"/>
      <c r="AC76" s="675"/>
      <c r="AD76" s="675" t="s">
        <v>5030</v>
      </c>
    </row>
    <row r="77" spans="1:31" s="536" customFormat="1" ht="12" x14ac:dyDescent="0.2">
      <c r="A77" s="548"/>
      <c r="B77" s="552"/>
      <c r="C77" s="1822" t="s">
        <v>403</v>
      </c>
      <c r="D77" s="1822"/>
      <c r="E77" s="1822"/>
      <c r="F77" s="1822"/>
      <c r="G77" s="1822"/>
      <c r="H77" s="1822"/>
      <c r="I77" s="1822"/>
      <c r="J77" s="1822"/>
      <c r="K77" s="1822"/>
      <c r="L77" s="551">
        <v>44452.79</v>
      </c>
      <c r="M77" s="550"/>
      <c r="N77" s="549"/>
      <c r="V77" s="674"/>
      <c r="W77" s="675"/>
      <c r="AC77" s="675"/>
      <c r="AD77" s="675"/>
      <c r="AE77" s="537" t="s">
        <v>403</v>
      </c>
    </row>
    <row r="78" spans="1:31" s="536" customFormat="1" ht="12" x14ac:dyDescent="0.2">
      <c r="A78" s="548"/>
      <c r="B78" s="552"/>
      <c r="C78" s="1822" t="s">
        <v>204</v>
      </c>
      <c r="D78" s="1822"/>
      <c r="E78" s="1822"/>
      <c r="F78" s="1822"/>
      <c r="G78" s="1822"/>
      <c r="H78" s="1822"/>
      <c r="I78" s="1822"/>
      <c r="J78" s="1822"/>
      <c r="K78" s="1822"/>
      <c r="L78" s="551"/>
      <c r="M78" s="550"/>
      <c r="N78" s="549"/>
      <c r="V78" s="674"/>
      <c r="W78" s="675"/>
      <c r="AC78" s="675"/>
      <c r="AD78" s="675"/>
      <c r="AE78" s="537" t="s">
        <v>204</v>
      </c>
    </row>
    <row r="79" spans="1:31" s="536" customFormat="1" ht="12" x14ac:dyDescent="0.2">
      <c r="A79" s="548"/>
      <c r="B79" s="552"/>
      <c r="C79" s="1822" t="s">
        <v>404</v>
      </c>
      <c r="D79" s="1822"/>
      <c r="E79" s="1822"/>
      <c r="F79" s="1822"/>
      <c r="G79" s="1822"/>
      <c r="H79" s="1822"/>
      <c r="I79" s="1822"/>
      <c r="J79" s="1822"/>
      <c r="K79" s="1822"/>
      <c r="L79" s="551">
        <v>4279.08</v>
      </c>
      <c r="M79" s="550"/>
      <c r="N79" s="549"/>
      <c r="V79" s="674"/>
      <c r="W79" s="675"/>
      <c r="AC79" s="675"/>
      <c r="AD79" s="675"/>
      <c r="AE79" s="537" t="s">
        <v>404</v>
      </c>
    </row>
    <row r="80" spans="1:31" s="536" customFormat="1" ht="12" x14ac:dyDescent="0.2">
      <c r="A80" s="548"/>
      <c r="B80" s="552"/>
      <c r="C80" s="1822" t="s">
        <v>405</v>
      </c>
      <c r="D80" s="1822"/>
      <c r="E80" s="1822"/>
      <c r="F80" s="1822"/>
      <c r="G80" s="1822"/>
      <c r="H80" s="1822"/>
      <c r="I80" s="1822"/>
      <c r="J80" s="1822"/>
      <c r="K80" s="1822"/>
      <c r="L80" s="551">
        <v>40173.71</v>
      </c>
      <c r="M80" s="550"/>
      <c r="N80" s="549"/>
      <c r="V80" s="674"/>
      <c r="W80" s="675"/>
      <c r="AC80" s="675"/>
      <c r="AD80" s="675"/>
      <c r="AE80" s="537" t="s">
        <v>405</v>
      </c>
    </row>
    <row r="81" spans="1:32" s="536" customFormat="1" ht="12" x14ac:dyDescent="0.2">
      <c r="A81" s="548"/>
      <c r="B81" s="552"/>
      <c r="C81" s="1822" t="s">
        <v>406</v>
      </c>
      <c r="D81" s="1822"/>
      <c r="E81" s="1822"/>
      <c r="F81" s="1822"/>
      <c r="G81" s="1822"/>
      <c r="H81" s="1822"/>
      <c r="I81" s="1822"/>
      <c r="J81" s="1822"/>
      <c r="K81" s="1822"/>
      <c r="L81" s="551">
        <v>4627.62</v>
      </c>
      <c r="M81" s="550"/>
      <c r="N81" s="549"/>
      <c r="V81" s="674"/>
      <c r="W81" s="675"/>
      <c r="AC81" s="675"/>
      <c r="AD81" s="675"/>
      <c r="AE81" s="537" t="s">
        <v>406</v>
      </c>
    </row>
    <row r="82" spans="1:32" s="536" customFormat="1" ht="12" x14ac:dyDescent="0.2">
      <c r="A82" s="548"/>
      <c r="B82" s="552"/>
      <c r="C82" s="1822" t="s">
        <v>407</v>
      </c>
      <c r="D82" s="1822"/>
      <c r="E82" s="1822"/>
      <c r="F82" s="1822"/>
      <c r="G82" s="1822"/>
      <c r="H82" s="1822"/>
      <c r="I82" s="1822"/>
      <c r="J82" s="1822"/>
      <c r="K82" s="1822"/>
      <c r="L82" s="551">
        <v>56744.04</v>
      </c>
      <c r="M82" s="550"/>
      <c r="N82" s="549"/>
      <c r="V82" s="674"/>
      <c r="W82" s="675"/>
      <c r="AC82" s="675"/>
      <c r="AD82" s="675"/>
      <c r="AE82" s="537" t="s">
        <v>407</v>
      </c>
    </row>
    <row r="83" spans="1:32" s="536" customFormat="1" ht="12" x14ac:dyDescent="0.2">
      <c r="A83" s="548"/>
      <c r="B83" s="552"/>
      <c r="C83" s="1822" t="s">
        <v>204</v>
      </c>
      <c r="D83" s="1822"/>
      <c r="E83" s="1822"/>
      <c r="F83" s="1822"/>
      <c r="G83" s="1822"/>
      <c r="H83" s="1822"/>
      <c r="I83" s="1822"/>
      <c r="J83" s="1822"/>
      <c r="K83" s="1822"/>
      <c r="L83" s="551"/>
      <c r="M83" s="550"/>
      <c r="N83" s="549"/>
      <c r="V83" s="674"/>
      <c r="W83" s="675"/>
      <c r="AC83" s="675"/>
      <c r="AD83" s="675"/>
      <c r="AE83" s="537" t="s">
        <v>204</v>
      </c>
    </row>
    <row r="84" spans="1:32" s="536" customFormat="1" ht="12" x14ac:dyDescent="0.2">
      <c r="A84" s="548"/>
      <c r="B84" s="552"/>
      <c r="C84" s="1822" t="s">
        <v>546</v>
      </c>
      <c r="D84" s="1822"/>
      <c r="E84" s="1822"/>
      <c r="F84" s="1822"/>
      <c r="G84" s="1822"/>
      <c r="H84" s="1822"/>
      <c r="I84" s="1822"/>
      <c r="J84" s="1822"/>
      <c r="K84" s="1822"/>
      <c r="L84" s="551">
        <v>4279.08</v>
      </c>
      <c r="M84" s="550"/>
      <c r="N84" s="549"/>
      <c r="V84" s="674"/>
      <c r="W84" s="675"/>
      <c r="AC84" s="675"/>
      <c r="AD84" s="675"/>
      <c r="AE84" s="537" t="s">
        <v>546</v>
      </c>
    </row>
    <row r="85" spans="1:32" s="536" customFormat="1" ht="12" x14ac:dyDescent="0.2">
      <c r="A85" s="548"/>
      <c r="B85" s="552"/>
      <c r="C85" s="1822" t="s">
        <v>442</v>
      </c>
      <c r="D85" s="1822"/>
      <c r="E85" s="1822"/>
      <c r="F85" s="1822"/>
      <c r="G85" s="1822"/>
      <c r="H85" s="1822"/>
      <c r="I85" s="1822"/>
      <c r="J85" s="1822"/>
      <c r="K85" s="1822"/>
      <c r="L85" s="551">
        <v>40173.71</v>
      </c>
      <c r="M85" s="550"/>
      <c r="N85" s="549"/>
      <c r="V85" s="674"/>
      <c r="W85" s="675"/>
      <c r="AC85" s="675"/>
      <c r="AD85" s="675"/>
      <c r="AE85" s="537" t="s">
        <v>442</v>
      </c>
    </row>
    <row r="86" spans="1:32" s="536" customFormat="1" ht="12" x14ac:dyDescent="0.2">
      <c r="A86" s="548"/>
      <c r="B86" s="552"/>
      <c r="C86" s="1822" t="s">
        <v>443</v>
      </c>
      <c r="D86" s="1822"/>
      <c r="E86" s="1822"/>
      <c r="F86" s="1822"/>
      <c r="G86" s="1822"/>
      <c r="H86" s="1822"/>
      <c r="I86" s="1822"/>
      <c r="J86" s="1822"/>
      <c r="K86" s="1822"/>
      <c r="L86" s="551">
        <v>8194.17</v>
      </c>
      <c r="M86" s="550"/>
      <c r="N86" s="549"/>
      <c r="V86" s="674"/>
      <c r="W86" s="675"/>
      <c r="AC86" s="675"/>
      <c r="AD86" s="675"/>
      <c r="AE86" s="537" t="s">
        <v>443</v>
      </c>
    </row>
    <row r="87" spans="1:32" s="536" customFormat="1" ht="12" x14ac:dyDescent="0.2">
      <c r="A87" s="548"/>
      <c r="B87" s="552"/>
      <c r="C87" s="1822" t="s">
        <v>444</v>
      </c>
      <c r="D87" s="1822"/>
      <c r="E87" s="1822"/>
      <c r="F87" s="1822"/>
      <c r="G87" s="1822"/>
      <c r="H87" s="1822"/>
      <c r="I87" s="1822"/>
      <c r="J87" s="1822"/>
      <c r="K87" s="1822"/>
      <c r="L87" s="551">
        <v>4097.08</v>
      </c>
      <c r="M87" s="550"/>
      <c r="N87" s="549"/>
      <c r="V87" s="674"/>
      <c r="W87" s="675"/>
      <c r="AC87" s="675"/>
      <c r="AD87" s="675"/>
      <c r="AE87" s="537" t="s">
        <v>444</v>
      </c>
    </row>
    <row r="88" spans="1:32" s="536" customFormat="1" ht="12" x14ac:dyDescent="0.2">
      <c r="A88" s="548"/>
      <c r="B88" s="552"/>
      <c r="C88" s="1822" t="s">
        <v>415</v>
      </c>
      <c r="D88" s="1822"/>
      <c r="E88" s="1822"/>
      <c r="F88" s="1822"/>
      <c r="G88" s="1822"/>
      <c r="H88" s="1822"/>
      <c r="I88" s="1822"/>
      <c r="J88" s="1822"/>
      <c r="K88" s="1822"/>
      <c r="L88" s="551">
        <v>8906.7000000000007</v>
      </c>
      <c r="M88" s="550"/>
      <c r="N88" s="549"/>
      <c r="V88" s="674"/>
      <c r="W88" s="675"/>
      <c r="AC88" s="675"/>
      <c r="AD88" s="675"/>
      <c r="AE88" s="537" t="s">
        <v>415</v>
      </c>
    </row>
    <row r="89" spans="1:32" s="536" customFormat="1" ht="12" x14ac:dyDescent="0.2">
      <c r="A89" s="548"/>
      <c r="B89" s="552"/>
      <c r="C89" s="1822" t="s">
        <v>416</v>
      </c>
      <c r="D89" s="1822"/>
      <c r="E89" s="1822"/>
      <c r="F89" s="1822"/>
      <c r="G89" s="1822"/>
      <c r="H89" s="1822"/>
      <c r="I89" s="1822"/>
      <c r="J89" s="1822"/>
      <c r="K89" s="1822"/>
      <c r="L89" s="551">
        <v>8194.17</v>
      </c>
      <c r="M89" s="550"/>
      <c r="N89" s="549"/>
      <c r="V89" s="674"/>
      <c r="W89" s="675"/>
      <c r="AC89" s="675"/>
      <c r="AD89" s="675"/>
      <c r="AE89" s="537" t="s">
        <v>416</v>
      </c>
    </row>
    <row r="90" spans="1:32" s="536" customFormat="1" ht="12" x14ac:dyDescent="0.2">
      <c r="A90" s="548"/>
      <c r="B90" s="552"/>
      <c r="C90" s="1822" t="s">
        <v>417</v>
      </c>
      <c r="D90" s="1822"/>
      <c r="E90" s="1822"/>
      <c r="F90" s="1822"/>
      <c r="G90" s="1822"/>
      <c r="H90" s="1822"/>
      <c r="I90" s="1822"/>
      <c r="J90" s="1822"/>
      <c r="K90" s="1822"/>
      <c r="L90" s="551">
        <v>4097.08</v>
      </c>
      <c r="M90" s="550"/>
      <c r="N90" s="549"/>
      <c r="V90" s="674"/>
      <c r="W90" s="675"/>
      <c r="AC90" s="675"/>
      <c r="AD90" s="675"/>
      <c r="AE90" s="537" t="s">
        <v>417</v>
      </c>
    </row>
    <row r="91" spans="1:32" s="536" customFormat="1" ht="12" x14ac:dyDescent="0.2">
      <c r="A91" s="548"/>
      <c r="B91" s="546"/>
      <c r="C91" s="1819" t="s">
        <v>5031</v>
      </c>
      <c r="D91" s="1819"/>
      <c r="E91" s="1819"/>
      <c r="F91" s="1819"/>
      <c r="G91" s="1819"/>
      <c r="H91" s="1819"/>
      <c r="I91" s="1819"/>
      <c r="J91" s="1819"/>
      <c r="K91" s="1819"/>
      <c r="L91" s="544">
        <v>56744.04</v>
      </c>
      <c r="M91" s="543"/>
      <c r="N91" s="681"/>
      <c r="V91" s="674"/>
      <c r="W91" s="675"/>
      <c r="AC91" s="675"/>
      <c r="AD91" s="675"/>
      <c r="AF91" s="675" t="s">
        <v>5031</v>
      </c>
    </row>
    <row r="92" spans="1:32" s="536" customFormat="1" ht="12" x14ac:dyDescent="0.2">
      <c r="A92" s="1824" t="s">
        <v>5032</v>
      </c>
      <c r="B92" s="1825"/>
      <c r="C92" s="1825"/>
      <c r="D92" s="1825"/>
      <c r="E92" s="1825"/>
      <c r="F92" s="1825"/>
      <c r="G92" s="1825"/>
      <c r="H92" s="1825"/>
      <c r="I92" s="1825"/>
      <c r="J92" s="1825"/>
      <c r="K92" s="1825"/>
      <c r="L92" s="1825"/>
      <c r="M92" s="1825"/>
      <c r="N92" s="1826"/>
      <c r="V92" s="674" t="s">
        <v>5032</v>
      </c>
      <c r="W92" s="675"/>
      <c r="AC92" s="675"/>
      <c r="AD92" s="675"/>
      <c r="AF92" s="675"/>
    </row>
    <row r="93" spans="1:32" s="536" customFormat="1" ht="22.5" x14ac:dyDescent="0.2">
      <c r="A93" s="575" t="s">
        <v>188</v>
      </c>
      <c r="B93" s="670" t="s">
        <v>5033</v>
      </c>
      <c r="C93" s="1823" t="s">
        <v>5034</v>
      </c>
      <c r="D93" s="1823"/>
      <c r="E93" s="1823"/>
      <c r="F93" s="573" t="s">
        <v>617</v>
      </c>
      <c r="G93" s="573"/>
      <c r="H93" s="573"/>
      <c r="I93" s="573" t="s">
        <v>188</v>
      </c>
      <c r="J93" s="572"/>
      <c r="K93" s="573"/>
      <c r="L93" s="572"/>
      <c r="M93" s="571"/>
      <c r="N93" s="570"/>
      <c r="V93" s="674"/>
      <c r="W93" s="675" t="s">
        <v>5034</v>
      </c>
      <c r="AC93" s="675"/>
      <c r="AD93" s="675"/>
      <c r="AF93" s="675"/>
    </row>
    <row r="94" spans="1:32" s="536" customFormat="1" ht="22.5" x14ac:dyDescent="0.2">
      <c r="A94" s="609"/>
      <c r="B94" s="552" t="s">
        <v>499</v>
      </c>
      <c r="C94" s="1822" t="s">
        <v>500</v>
      </c>
      <c r="D94" s="1822"/>
      <c r="E94" s="1822"/>
      <c r="F94" s="1822"/>
      <c r="G94" s="1822"/>
      <c r="H94" s="1822"/>
      <c r="I94" s="1822"/>
      <c r="J94" s="1822"/>
      <c r="K94" s="1822"/>
      <c r="L94" s="1822"/>
      <c r="M94" s="1822"/>
      <c r="N94" s="1827"/>
      <c r="V94" s="674"/>
      <c r="W94" s="675"/>
      <c r="Y94" s="537" t="s">
        <v>500</v>
      </c>
      <c r="AC94" s="675"/>
      <c r="AD94" s="675"/>
      <c r="AF94" s="675"/>
    </row>
    <row r="95" spans="1:32" s="536" customFormat="1" ht="12" x14ac:dyDescent="0.2">
      <c r="A95" s="605"/>
      <c r="B95" s="552" t="s">
        <v>185</v>
      </c>
      <c r="C95" s="1822" t="s">
        <v>312</v>
      </c>
      <c r="D95" s="1822"/>
      <c r="E95" s="1822"/>
      <c r="F95" s="562"/>
      <c r="G95" s="562"/>
      <c r="H95" s="562"/>
      <c r="I95" s="562"/>
      <c r="J95" s="604">
        <v>215.28</v>
      </c>
      <c r="K95" s="562" t="s">
        <v>313</v>
      </c>
      <c r="L95" s="604">
        <v>1076.4000000000001</v>
      </c>
      <c r="M95" s="603"/>
      <c r="N95" s="602"/>
      <c r="V95" s="674"/>
      <c r="W95" s="675"/>
      <c r="Z95" s="537" t="s">
        <v>312</v>
      </c>
      <c r="AC95" s="675"/>
      <c r="AD95" s="675"/>
      <c r="AF95" s="675"/>
    </row>
    <row r="96" spans="1:32" s="536" customFormat="1" ht="12" x14ac:dyDescent="0.2">
      <c r="A96" s="605"/>
      <c r="B96" s="552" t="s">
        <v>186</v>
      </c>
      <c r="C96" s="1822" t="s">
        <v>344</v>
      </c>
      <c r="D96" s="1822"/>
      <c r="E96" s="1822"/>
      <c r="F96" s="562"/>
      <c r="G96" s="562"/>
      <c r="H96" s="562"/>
      <c r="I96" s="562"/>
      <c r="J96" s="604">
        <v>103.85</v>
      </c>
      <c r="K96" s="562" t="s">
        <v>313</v>
      </c>
      <c r="L96" s="604">
        <v>519.25</v>
      </c>
      <c r="M96" s="603"/>
      <c r="N96" s="602"/>
      <c r="V96" s="674"/>
      <c r="W96" s="675"/>
      <c r="Z96" s="537" t="s">
        <v>344</v>
      </c>
      <c r="AC96" s="675"/>
      <c r="AD96" s="675"/>
      <c r="AF96" s="675"/>
    </row>
    <row r="97" spans="1:32" s="536" customFormat="1" ht="12" x14ac:dyDescent="0.2">
      <c r="A97" s="605"/>
      <c r="B97" s="552" t="s">
        <v>187</v>
      </c>
      <c r="C97" s="1822" t="s">
        <v>345</v>
      </c>
      <c r="D97" s="1822"/>
      <c r="E97" s="1822"/>
      <c r="F97" s="562"/>
      <c r="G97" s="562"/>
      <c r="H97" s="562"/>
      <c r="I97" s="562"/>
      <c r="J97" s="604">
        <v>7.28</v>
      </c>
      <c r="K97" s="562" t="s">
        <v>313</v>
      </c>
      <c r="L97" s="604">
        <v>36.4</v>
      </c>
      <c r="M97" s="603"/>
      <c r="N97" s="602"/>
      <c r="V97" s="674"/>
      <c r="W97" s="675"/>
      <c r="Z97" s="537" t="s">
        <v>345</v>
      </c>
      <c r="AC97" s="675"/>
      <c r="AD97" s="675"/>
      <c r="AF97" s="675"/>
    </row>
    <row r="98" spans="1:32" s="536" customFormat="1" ht="12" x14ac:dyDescent="0.2">
      <c r="A98" s="605"/>
      <c r="B98" s="552" t="s">
        <v>188</v>
      </c>
      <c r="C98" s="1822" t="s">
        <v>475</v>
      </c>
      <c r="D98" s="1822"/>
      <c r="E98" s="1822"/>
      <c r="F98" s="562"/>
      <c r="G98" s="562"/>
      <c r="H98" s="562"/>
      <c r="I98" s="562"/>
      <c r="J98" s="604">
        <v>256.51</v>
      </c>
      <c r="K98" s="562"/>
      <c r="L98" s="604">
        <v>1026.04</v>
      </c>
      <c r="M98" s="603"/>
      <c r="N98" s="602"/>
      <c r="V98" s="674"/>
      <c r="W98" s="675"/>
      <c r="Z98" s="537" t="s">
        <v>475</v>
      </c>
      <c r="AC98" s="675"/>
      <c r="AD98" s="675"/>
      <c r="AF98" s="675"/>
    </row>
    <row r="99" spans="1:32" s="536" customFormat="1" ht="12" x14ac:dyDescent="0.2">
      <c r="A99" s="605"/>
      <c r="B99" s="552"/>
      <c r="C99" s="1822" t="s">
        <v>314</v>
      </c>
      <c r="D99" s="1822"/>
      <c r="E99" s="1822"/>
      <c r="F99" s="562" t="s">
        <v>315</v>
      </c>
      <c r="G99" s="562" t="s">
        <v>4401</v>
      </c>
      <c r="H99" s="562" t="s">
        <v>313</v>
      </c>
      <c r="I99" s="562" t="s">
        <v>3018</v>
      </c>
      <c r="J99" s="604"/>
      <c r="K99" s="562"/>
      <c r="L99" s="604"/>
      <c r="M99" s="603"/>
      <c r="N99" s="602"/>
      <c r="V99" s="674"/>
      <c r="W99" s="675"/>
      <c r="AA99" s="537" t="s">
        <v>314</v>
      </c>
      <c r="AC99" s="675"/>
      <c r="AD99" s="675"/>
      <c r="AF99" s="675"/>
    </row>
    <row r="100" spans="1:32" s="536" customFormat="1" ht="12" x14ac:dyDescent="0.2">
      <c r="A100" s="605"/>
      <c r="B100" s="552"/>
      <c r="C100" s="1822" t="s">
        <v>348</v>
      </c>
      <c r="D100" s="1822"/>
      <c r="E100" s="1822"/>
      <c r="F100" s="562" t="s">
        <v>315</v>
      </c>
      <c r="G100" s="562" t="s">
        <v>5035</v>
      </c>
      <c r="H100" s="562" t="s">
        <v>313</v>
      </c>
      <c r="I100" s="562" t="s">
        <v>1538</v>
      </c>
      <c r="J100" s="604"/>
      <c r="K100" s="562"/>
      <c r="L100" s="604"/>
      <c r="M100" s="603"/>
      <c r="N100" s="602"/>
      <c r="V100" s="674"/>
      <c r="W100" s="675"/>
      <c r="AA100" s="537" t="s">
        <v>348</v>
      </c>
      <c r="AC100" s="675"/>
      <c r="AD100" s="675"/>
      <c r="AF100" s="675"/>
    </row>
    <row r="101" spans="1:32" s="536" customFormat="1" ht="12" x14ac:dyDescent="0.2">
      <c r="A101" s="605"/>
      <c r="B101" s="552"/>
      <c r="C101" s="1828" t="s">
        <v>318</v>
      </c>
      <c r="D101" s="1828"/>
      <c r="E101" s="1828"/>
      <c r="F101" s="608"/>
      <c r="G101" s="608"/>
      <c r="H101" s="608"/>
      <c r="I101" s="608"/>
      <c r="J101" s="607">
        <v>575.64</v>
      </c>
      <c r="K101" s="608"/>
      <c r="L101" s="607">
        <v>2621.69</v>
      </c>
      <c r="M101" s="601"/>
      <c r="N101" s="606"/>
      <c r="V101" s="674"/>
      <c r="W101" s="675"/>
      <c r="AB101" s="537" t="s">
        <v>318</v>
      </c>
      <c r="AC101" s="675"/>
      <c r="AD101" s="675"/>
      <c r="AF101" s="675"/>
    </row>
    <row r="102" spans="1:32" s="536" customFormat="1" ht="12" x14ac:dyDescent="0.2">
      <c r="A102" s="605"/>
      <c r="B102" s="552"/>
      <c r="C102" s="1822" t="s">
        <v>319</v>
      </c>
      <c r="D102" s="1822"/>
      <c r="E102" s="1822"/>
      <c r="F102" s="562"/>
      <c r="G102" s="562"/>
      <c r="H102" s="562"/>
      <c r="I102" s="562"/>
      <c r="J102" s="604"/>
      <c r="K102" s="562"/>
      <c r="L102" s="604">
        <v>1112.8</v>
      </c>
      <c r="M102" s="603"/>
      <c r="N102" s="602"/>
      <c r="V102" s="674"/>
      <c r="W102" s="675"/>
      <c r="AA102" s="537" t="s">
        <v>319</v>
      </c>
      <c r="AC102" s="675"/>
      <c r="AD102" s="675"/>
      <c r="AF102" s="675"/>
    </row>
    <row r="103" spans="1:32" s="536" customFormat="1" ht="33.75" x14ac:dyDescent="0.2">
      <c r="A103" s="605"/>
      <c r="B103" s="552" t="s">
        <v>884</v>
      </c>
      <c r="C103" s="1822" t="s">
        <v>885</v>
      </c>
      <c r="D103" s="1822"/>
      <c r="E103" s="1822"/>
      <c r="F103" s="562" t="s">
        <v>322</v>
      </c>
      <c r="G103" s="562" t="s">
        <v>886</v>
      </c>
      <c r="H103" s="562"/>
      <c r="I103" s="562" t="s">
        <v>886</v>
      </c>
      <c r="J103" s="604"/>
      <c r="K103" s="562"/>
      <c r="L103" s="604">
        <v>1001.52</v>
      </c>
      <c r="M103" s="603"/>
      <c r="N103" s="602"/>
      <c r="V103" s="674"/>
      <c r="W103" s="675"/>
      <c r="AA103" s="537" t="s">
        <v>885</v>
      </c>
      <c r="AC103" s="675"/>
      <c r="AD103" s="675"/>
      <c r="AF103" s="675"/>
    </row>
    <row r="104" spans="1:32" s="536" customFormat="1" ht="33.75" x14ac:dyDescent="0.2">
      <c r="A104" s="605"/>
      <c r="B104" s="552" t="s">
        <v>887</v>
      </c>
      <c r="C104" s="1822" t="s">
        <v>888</v>
      </c>
      <c r="D104" s="1822"/>
      <c r="E104" s="1822"/>
      <c r="F104" s="562" t="s">
        <v>322</v>
      </c>
      <c r="G104" s="562" t="s">
        <v>465</v>
      </c>
      <c r="H104" s="562"/>
      <c r="I104" s="562" t="s">
        <v>465</v>
      </c>
      <c r="J104" s="604"/>
      <c r="K104" s="562"/>
      <c r="L104" s="604">
        <v>511.89</v>
      </c>
      <c r="M104" s="603"/>
      <c r="N104" s="602"/>
      <c r="V104" s="674"/>
      <c r="W104" s="675"/>
      <c r="AA104" s="537" t="s">
        <v>888</v>
      </c>
      <c r="AC104" s="675"/>
      <c r="AD104" s="675"/>
      <c r="AF104" s="675"/>
    </row>
    <row r="105" spans="1:32" s="536" customFormat="1" ht="12" x14ac:dyDescent="0.2">
      <c r="A105" s="569"/>
      <c r="B105" s="671"/>
      <c r="C105" s="1823" t="s">
        <v>327</v>
      </c>
      <c r="D105" s="1823"/>
      <c r="E105" s="1823"/>
      <c r="F105" s="573"/>
      <c r="G105" s="573"/>
      <c r="H105" s="573"/>
      <c r="I105" s="573"/>
      <c r="J105" s="572"/>
      <c r="K105" s="573"/>
      <c r="L105" s="572">
        <v>4135.1000000000004</v>
      </c>
      <c r="M105" s="601"/>
      <c r="N105" s="570"/>
      <c r="V105" s="674"/>
      <c r="W105" s="675"/>
      <c r="AC105" s="675" t="s">
        <v>327</v>
      </c>
      <c r="AD105" s="675"/>
      <c r="AF105" s="675"/>
    </row>
    <row r="106" spans="1:32" s="536" customFormat="1" ht="33.75" x14ac:dyDescent="0.2">
      <c r="A106" s="575" t="s">
        <v>871</v>
      </c>
      <c r="B106" s="670" t="s">
        <v>5036</v>
      </c>
      <c r="C106" s="1823" t="s">
        <v>5037</v>
      </c>
      <c r="D106" s="1823"/>
      <c r="E106" s="1823"/>
      <c r="F106" s="573" t="s">
        <v>628</v>
      </c>
      <c r="G106" s="573"/>
      <c r="H106" s="573"/>
      <c r="I106" s="573" t="s">
        <v>188</v>
      </c>
      <c r="J106" s="572">
        <v>65812.5</v>
      </c>
      <c r="K106" s="573" t="s">
        <v>629</v>
      </c>
      <c r="L106" s="572">
        <v>58041.18</v>
      </c>
      <c r="M106" s="571">
        <v>4.59</v>
      </c>
      <c r="N106" s="570">
        <v>266409</v>
      </c>
      <c r="V106" s="674"/>
      <c r="W106" s="675" t="s">
        <v>5037</v>
      </c>
      <c r="AC106" s="675"/>
      <c r="AD106" s="675"/>
      <c r="AF106" s="675"/>
    </row>
    <row r="107" spans="1:32" s="536" customFormat="1" ht="12" x14ac:dyDescent="0.2">
      <c r="A107" s="569"/>
      <c r="B107" s="671"/>
      <c r="C107" s="665" t="s">
        <v>630</v>
      </c>
      <c r="D107" s="666"/>
      <c r="E107" s="666"/>
      <c r="F107" s="563"/>
      <c r="G107" s="563"/>
      <c r="H107" s="563"/>
      <c r="I107" s="563"/>
      <c r="J107" s="566"/>
      <c r="K107" s="563"/>
      <c r="L107" s="566"/>
      <c r="M107" s="565"/>
      <c r="N107" s="564"/>
      <c r="V107" s="674"/>
      <c r="W107" s="675"/>
      <c r="AC107" s="675"/>
      <c r="AD107" s="675"/>
      <c r="AF107" s="675"/>
    </row>
    <row r="108" spans="1:32" s="536" customFormat="1" ht="22.5" x14ac:dyDescent="0.2">
      <c r="A108" s="609"/>
      <c r="B108" s="552" t="s">
        <v>631</v>
      </c>
      <c r="C108" s="1822" t="s">
        <v>632</v>
      </c>
      <c r="D108" s="1822"/>
      <c r="E108" s="1822"/>
      <c r="F108" s="1822"/>
      <c r="G108" s="1822"/>
      <c r="H108" s="1822"/>
      <c r="I108" s="1822"/>
      <c r="J108" s="1822"/>
      <c r="K108" s="1822"/>
      <c r="L108" s="1822"/>
      <c r="M108" s="1822"/>
      <c r="N108" s="1827"/>
      <c r="V108" s="674"/>
      <c r="W108" s="675"/>
      <c r="Y108" s="537" t="s">
        <v>632</v>
      </c>
      <c r="AC108" s="675"/>
      <c r="AD108" s="675"/>
      <c r="AF108" s="675"/>
    </row>
    <row r="109" spans="1:32" s="536" customFormat="1" ht="45" x14ac:dyDescent="0.2">
      <c r="A109" s="575" t="s">
        <v>190</v>
      </c>
      <c r="B109" s="670" t="s">
        <v>3467</v>
      </c>
      <c r="C109" s="1823" t="s">
        <v>5038</v>
      </c>
      <c r="D109" s="1823"/>
      <c r="E109" s="1823"/>
      <c r="F109" s="573" t="s">
        <v>617</v>
      </c>
      <c r="G109" s="573"/>
      <c r="H109" s="573"/>
      <c r="I109" s="573" t="s">
        <v>185</v>
      </c>
      <c r="J109" s="572"/>
      <c r="K109" s="573"/>
      <c r="L109" s="572"/>
      <c r="M109" s="571"/>
      <c r="N109" s="570"/>
      <c r="V109" s="674"/>
      <c r="W109" s="675" t="s">
        <v>5038</v>
      </c>
      <c r="AC109" s="675"/>
      <c r="AD109" s="675"/>
      <c r="AF109" s="675"/>
    </row>
    <row r="110" spans="1:32" s="536" customFormat="1" ht="22.5" x14ac:dyDescent="0.2">
      <c r="A110" s="609"/>
      <c r="B110" s="552" t="s">
        <v>5039</v>
      </c>
      <c r="C110" s="1822" t="s">
        <v>2046</v>
      </c>
      <c r="D110" s="1822"/>
      <c r="E110" s="1822"/>
      <c r="F110" s="1822"/>
      <c r="G110" s="1822"/>
      <c r="H110" s="1822"/>
      <c r="I110" s="1822"/>
      <c r="J110" s="1822"/>
      <c r="K110" s="1822"/>
      <c r="L110" s="1822"/>
      <c r="M110" s="1822"/>
      <c r="N110" s="1827"/>
      <c r="V110" s="674"/>
      <c r="W110" s="675"/>
      <c r="Y110" s="537" t="s">
        <v>2046</v>
      </c>
      <c r="AC110" s="675"/>
      <c r="AD110" s="675"/>
      <c r="AF110" s="675"/>
    </row>
    <row r="111" spans="1:32" s="536" customFormat="1" ht="22.5" x14ac:dyDescent="0.2">
      <c r="A111" s="609"/>
      <c r="B111" s="552" t="s">
        <v>499</v>
      </c>
      <c r="C111" s="1822" t="s">
        <v>500</v>
      </c>
      <c r="D111" s="1822"/>
      <c r="E111" s="1822"/>
      <c r="F111" s="1822"/>
      <c r="G111" s="1822"/>
      <c r="H111" s="1822"/>
      <c r="I111" s="1822"/>
      <c r="J111" s="1822"/>
      <c r="K111" s="1822"/>
      <c r="L111" s="1822"/>
      <c r="M111" s="1822"/>
      <c r="N111" s="1827"/>
      <c r="V111" s="674"/>
      <c r="W111" s="675"/>
      <c r="Y111" s="537" t="s">
        <v>500</v>
      </c>
      <c r="AC111" s="675"/>
      <c r="AD111" s="675"/>
      <c r="AF111" s="675"/>
    </row>
    <row r="112" spans="1:32" s="536" customFormat="1" ht="12" x14ac:dyDescent="0.2">
      <c r="A112" s="605"/>
      <c r="B112" s="552" t="s">
        <v>185</v>
      </c>
      <c r="C112" s="1822" t="s">
        <v>312</v>
      </c>
      <c r="D112" s="1822"/>
      <c r="E112" s="1822"/>
      <c r="F112" s="562"/>
      <c r="G112" s="562"/>
      <c r="H112" s="562"/>
      <c r="I112" s="562"/>
      <c r="J112" s="604">
        <v>541.62</v>
      </c>
      <c r="K112" s="562" t="s">
        <v>5040</v>
      </c>
      <c r="L112" s="604">
        <v>643.16999999999996</v>
      </c>
      <c r="M112" s="603"/>
      <c r="N112" s="602"/>
      <c r="V112" s="674"/>
      <c r="W112" s="675"/>
      <c r="Z112" s="537" t="s">
        <v>312</v>
      </c>
      <c r="AC112" s="675"/>
      <c r="AD112" s="675"/>
      <c r="AF112" s="675"/>
    </row>
    <row r="113" spans="1:32" s="536" customFormat="1" ht="12" x14ac:dyDescent="0.2">
      <c r="A113" s="605"/>
      <c r="B113" s="552" t="s">
        <v>186</v>
      </c>
      <c r="C113" s="1822" t="s">
        <v>344</v>
      </c>
      <c r="D113" s="1822"/>
      <c r="E113" s="1822"/>
      <c r="F113" s="562"/>
      <c r="G113" s="562"/>
      <c r="H113" s="562"/>
      <c r="I113" s="562"/>
      <c r="J113" s="604">
        <v>565.75</v>
      </c>
      <c r="K113" s="562" t="s">
        <v>5040</v>
      </c>
      <c r="L113" s="604">
        <v>671.83</v>
      </c>
      <c r="M113" s="603"/>
      <c r="N113" s="602"/>
      <c r="V113" s="674"/>
      <c r="W113" s="675"/>
      <c r="Z113" s="537" t="s">
        <v>344</v>
      </c>
      <c r="AC113" s="675"/>
      <c r="AD113" s="675"/>
      <c r="AF113" s="675"/>
    </row>
    <row r="114" spans="1:32" s="536" customFormat="1" ht="12" x14ac:dyDescent="0.2">
      <c r="A114" s="605"/>
      <c r="B114" s="552" t="s">
        <v>187</v>
      </c>
      <c r="C114" s="1822" t="s">
        <v>345</v>
      </c>
      <c r="D114" s="1822"/>
      <c r="E114" s="1822"/>
      <c r="F114" s="562"/>
      <c r="G114" s="562"/>
      <c r="H114" s="562"/>
      <c r="I114" s="562"/>
      <c r="J114" s="604">
        <v>64.06</v>
      </c>
      <c r="K114" s="562" t="s">
        <v>5040</v>
      </c>
      <c r="L114" s="604">
        <v>76.069999999999993</v>
      </c>
      <c r="M114" s="603"/>
      <c r="N114" s="602"/>
      <c r="V114" s="674"/>
      <c r="W114" s="675"/>
      <c r="Z114" s="537" t="s">
        <v>345</v>
      </c>
      <c r="AC114" s="675"/>
      <c r="AD114" s="675"/>
      <c r="AF114" s="675"/>
    </row>
    <row r="115" spans="1:32" s="536" customFormat="1" ht="12" x14ac:dyDescent="0.2">
      <c r="A115" s="605"/>
      <c r="B115" s="552" t="s">
        <v>188</v>
      </c>
      <c r="C115" s="1822" t="s">
        <v>475</v>
      </c>
      <c r="D115" s="1822"/>
      <c r="E115" s="1822"/>
      <c r="F115" s="562"/>
      <c r="G115" s="562"/>
      <c r="H115" s="562"/>
      <c r="I115" s="562"/>
      <c r="J115" s="604">
        <v>1282.78</v>
      </c>
      <c r="K115" s="562" t="s">
        <v>2047</v>
      </c>
      <c r="L115" s="604">
        <v>1218.6400000000001</v>
      </c>
      <c r="M115" s="603"/>
      <c r="N115" s="602"/>
      <c r="V115" s="674"/>
      <c r="W115" s="675"/>
      <c r="Z115" s="537" t="s">
        <v>475</v>
      </c>
      <c r="AC115" s="675"/>
      <c r="AD115" s="675"/>
      <c r="AF115" s="675"/>
    </row>
    <row r="116" spans="1:32" s="536" customFormat="1" ht="12" x14ac:dyDescent="0.2">
      <c r="A116" s="605"/>
      <c r="B116" s="552"/>
      <c r="C116" s="1822" t="s">
        <v>314</v>
      </c>
      <c r="D116" s="1822"/>
      <c r="E116" s="1822"/>
      <c r="F116" s="562" t="s">
        <v>315</v>
      </c>
      <c r="G116" s="562" t="s">
        <v>792</v>
      </c>
      <c r="H116" s="562" t="s">
        <v>5040</v>
      </c>
      <c r="I116" s="562" t="s">
        <v>5041</v>
      </c>
      <c r="J116" s="604"/>
      <c r="K116" s="562"/>
      <c r="L116" s="604"/>
      <c r="M116" s="603"/>
      <c r="N116" s="602"/>
      <c r="V116" s="674"/>
      <c r="W116" s="675"/>
      <c r="AA116" s="537" t="s">
        <v>314</v>
      </c>
      <c r="AC116" s="675"/>
      <c r="AD116" s="675"/>
      <c r="AF116" s="675"/>
    </row>
    <row r="117" spans="1:32" s="536" customFormat="1" ht="12" x14ac:dyDescent="0.2">
      <c r="A117" s="605"/>
      <c r="B117" s="552"/>
      <c r="C117" s="1822" t="s">
        <v>348</v>
      </c>
      <c r="D117" s="1822"/>
      <c r="E117" s="1822"/>
      <c r="F117" s="562" t="s">
        <v>315</v>
      </c>
      <c r="G117" s="562" t="s">
        <v>3472</v>
      </c>
      <c r="H117" s="562" t="s">
        <v>5040</v>
      </c>
      <c r="I117" s="562" t="s">
        <v>5042</v>
      </c>
      <c r="J117" s="604"/>
      <c r="K117" s="562"/>
      <c r="L117" s="604"/>
      <c r="M117" s="603"/>
      <c r="N117" s="602"/>
      <c r="V117" s="674"/>
      <c r="W117" s="675"/>
      <c r="AA117" s="537" t="s">
        <v>348</v>
      </c>
      <c r="AC117" s="675"/>
      <c r="AD117" s="675"/>
      <c r="AF117" s="675"/>
    </row>
    <row r="118" spans="1:32" s="536" customFormat="1" ht="12" x14ac:dyDescent="0.2">
      <c r="A118" s="605"/>
      <c r="B118" s="552"/>
      <c r="C118" s="1828" t="s">
        <v>318</v>
      </c>
      <c r="D118" s="1828"/>
      <c r="E118" s="1828"/>
      <c r="F118" s="608"/>
      <c r="G118" s="608"/>
      <c r="H118" s="608"/>
      <c r="I118" s="608"/>
      <c r="J118" s="607">
        <v>2390.15</v>
      </c>
      <c r="K118" s="608"/>
      <c r="L118" s="607">
        <v>2533.64</v>
      </c>
      <c r="M118" s="601"/>
      <c r="N118" s="606"/>
      <c r="V118" s="674"/>
      <c r="W118" s="675"/>
      <c r="AB118" s="537" t="s">
        <v>318</v>
      </c>
      <c r="AC118" s="675"/>
      <c r="AD118" s="675"/>
      <c r="AF118" s="675"/>
    </row>
    <row r="119" spans="1:32" s="536" customFormat="1" ht="12" x14ac:dyDescent="0.2">
      <c r="A119" s="605"/>
      <c r="B119" s="552"/>
      <c r="C119" s="1822" t="s">
        <v>319</v>
      </c>
      <c r="D119" s="1822"/>
      <c r="E119" s="1822"/>
      <c r="F119" s="562"/>
      <c r="G119" s="562"/>
      <c r="H119" s="562"/>
      <c r="I119" s="562"/>
      <c r="J119" s="604"/>
      <c r="K119" s="562"/>
      <c r="L119" s="604">
        <v>719.24</v>
      </c>
      <c r="M119" s="603"/>
      <c r="N119" s="602"/>
      <c r="V119" s="674"/>
      <c r="W119" s="675"/>
      <c r="AA119" s="537" t="s">
        <v>319</v>
      </c>
      <c r="AC119" s="675"/>
      <c r="AD119" s="675"/>
      <c r="AF119" s="675"/>
    </row>
    <row r="120" spans="1:32" s="536" customFormat="1" ht="33.75" x14ac:dyDescent="0.2">
      <c r="A120" s="605"/>
      <c r="B120" s="552" t="s">
        <v>884</v>
      </c>
      <c r="C120" s="1822" t="s">
        <v>885</v>
      </c>
      <c r="D120" s="1822"/>
      <c r="E120" s="1822"/>
      <c r="F120" s="562" t="s">
        <v>322</v>
      </c>
      <c r="G120" s="562" t="s">
        <v>886</v>
      </c>
      <c r="H120" s="562"/>
      <c r="I120" s="562" t="s">
        <v>886</v>
      </c>
      <c r="J120" s="604"/>
      <c r="K120" s="562"/>
      <c r="L120" s="604">
        <v>647.32000000000005</v>
      </c>
      <c r="M120" s="603"/>
      <c r="N120" s="602"/>
      <c r="V120" s="674"/>
      <c r="W120" s="675"/>
      <c r="AA120" s="537" t="s">
        <v>885</v>
      </c>
      <c r="AC120" s="675"/>
      <c r="AD120" s="675"/>
      <c r="AF120" s="675"/>
    </row>
    <row r="121" spans="1:32" s="536" customFormat="1" ht="33.75" x14ac:dyDescent="0.2">
      <c r="A121" s="605"/>
      <c r="B121" s="552" t="s">
        <v>887</v>
      </c>
      <c r="C121" s="1822" t="s">
        <v>888</v>
      </c>
      <c r="D121" s="1822"/>
      <c r="E121" s="1822"/>
      <c r="F121" s="562" t="s">
        <v>322</v>
      </c>
      <c r="G121" s="562" t="s">
        <v>465</v>
      </c>
      <c r="H121" s="562"/>
      <c r="I121" s="562" t="s">
        <v>465</v>
      </c>
      <c r="J121" s="604"/>
      <c r="K121" s="562"/>
      <c r="L121" s="604">
        <v>330.85</v>
      </c>
      <c r="M121" s="603"/>
      <c r="N121" s="602"/>
      <c r="V121" s="674"/>
      <c r="W121" s="675"/>
      <c r="AA121" s="537" t="s">
        <v>888</v>
      </c>
      <c r="AC121" s="675"/>
      <c r="AD121" s="675"/>
      <c r="AF121" s="675"/>
    </row>
    <row r="122" spans="1:32" s="536" customFormat="1" ht="12" x14ac:dyDescent="0.2">
      <c r="A122" s="569"/>
      <c r="B122" s="671"/>
      <c r="C122" s="1823" t="s">
        <v>327</v>
      </c>
      <c r="D122" s="1823"/>
      <c r="E122" s="1823"/>
      <c r="F122" s="573"/>
      <c r="G122" s="573"/>
      <c r="H122" s="573"/>
      <c r="I122" s="573"/>
      <c r="J122" s="572"/>
      <c r="K122" s="573"/>
      <c r="L122" s="572">
        <v>3511.81</v>
      </c>
      <c r="M122" s="601"/>
      <c r="N122" s="570"/>
      <c r="V122" s="674"/>
      <c r="W122" s="675"/>
      <c r="AC122" s="675" t="s">
        <v>327</v>
      </c>
      <c r="AD122" s="675"/>
      <c r="AF122" s="675"/>
    </row>
    <row r="123" spans="1:32" s="536" customFormat="1" ht="56.25" x14ac:dyDescent="0.2">
      <c r="A123" s="575" t="s">
        <v>875</v>
      </c>
      <c r="B123" s="670" t="s">
        <v>5043</v>
      </c>
      <c r="C123" s="1823" t="s">
        <v>5044</v>
      </c>
      <c r="D123" s="1823"/>
      <c r="E123" s="1823"/>
      <c r="F123" s="573" t="s">
        <v>663</v>
      </c>
      <c r="G123" s="573"/>
      <c r="H123" s="573"/>
      <c r="I123" s="573" t="s">
        <v>185</v>
      </c>
      <c r="J123" s="572">
        <v>1320349</v>
      </c>
      <c r="K123" s="573" t="s">
        <v>629</v>
      </c>
      <c r="L123" s="572">
        <v>291109.59000000003</v>
      </c>
      <c r="M123" s="571">
        <v>4.59</v>
      </c>
      <c r="N123" s="570">
        <v>1336193</v>
      </c>
      <c r="V123" s="674"/>
      <c r="W123" s="675" t="s">
        <v>5044</v>
      </c>
      <c r="AC123" s="675"/>
      <c r="AD123" s="675"/>
      <c r="AF123" s="675"/>
    </row>
    <row r="124" spans="1:32" s="536" customFormat="1" ht="12" x14ac:dyDescent="0.2">
      <c r="A124" s="569"/>
      <c r="B124" s="671"/>
      <c r="C124" s="665" t="s">
        <v>630</v>
      </c>
      <c r="D124" s="666"/>
      <c r="E124" s="666"/>
      <c r="F124" s="563"/>
      <c r="G124" s="563"/>
      <c r="H124" s="563"/>
      <c r="I124" s="563"/>
      <c r="J124" s="566"/>
      <c r="K124" s="563"/>
      <c r="L124" s="566"/>
      <c r="M124" s="565"/>
      <c r="N124" s="564"/>
      <c r="V124" s="674"/>
      <c r="W124" s="675"/>
      <c r="AC124" s="675"/>
      <c r="AD124" s="675"/>
      <c r="AF124" s="675"/>
    </row>
    <row r="125" spans="1:32" s="536" customFormat="1" ht="22.5" x14ac:dyDescent="0.2">
      <c r="A125" s="609"/>
      <c r="B125" s="552" t="s">
        <v>631</v>
      </c>
      <c r="C125" s="1822" t="s">
        <v>632</v>
      </c>
      <c r="D125" s="1822"/>
      <c r="E125" s="1822"/>
      <c r="F125" s="1822"/>
      <c r="G125" s="1822"/>
      <c r="H125" s="1822"/>
      <c r="I125" s="1822"/>
      <c r="J125" s="1822"/>
      <c r="K125" s="1822"/>
      <c r="L125" s="1822"/>
      <c r="M125" s="1822"/>
      <c r="N125" s="1827"/>
      <c r="V125" s="674"/>
      <c r="W125" s="675"/>
      <c r="Y125" s="537" t="s">
        <v>632</v>
      </c>
      <c r="AC125" s="675"/>
      <c r="AD125" s="675"/>
      <c r="AF125" s="675"/>
    </row>
    <row r="126" spans="1:32" s="536" customFormat="1" ht="45" x14ac:dyDescent="0.2">
      <c r="A126" s="575" t="s">
        <v>192</v>
      </c>
      <c r="B126" s="670" t="s">
        <v>2043</v>
      </c>
      <c r="C126" s="1823" t="s">
        <v>5045</v>
      </c>
      <c r="D126" s="1823"/>
      <c r="E126" s="1823"/>
      <c r="F126" s="573" t="s">
        <v>617</v>
      </c>
      <c r="G126" s="573"/>
      <c r="H126" s="573"/>
      <c r="I126" s="573" t="s">
        <v>185</v>
      </c>
      <c r="J126" s="572"/>
      <c r="K126" s="573"/>
      <c r="L126" s="572"/>
      <c r="M126" s="571"/>
      <c r="N126" s="570"/>
      <c r="V126" s="674"/>
      <c r="W126" s="675" t="s">
        <v>5045</v>
      </c>
      <c r="AC126" s="675"/>
      <c r="AD126" s="675"/>
      <c r="AF126" s="675"/>
    </row>
    <row r="127" spans="1:32" s="536" customFormat="1" ht="22.5" x14ac:dyDescent="0.2">
      <c r="A127" s="609"/>
      <c r="B127" s="552" t="s">
        <v>5039</v>
      </c>
      <c r="C127" s="1822" t="s">
        <v>2046</v>
      </c>
      <c r="D127" s="1822"/>
      <c r="E127" s="1822"/>
      <c r="F127" s="1822"/>
      <c r="G127" s="1822"/>
      <c r="H127" s="1822"/>
      <c r="I127" s="1822"/>
      <c r="J127" s="1822"/>
      <c r="K127" s="1822"/>
      <c r="L127" s="1822"/>
      <c r="M127" s="1822"/>
      <c r="N127" s="1827"/>
      <c r="V127" s="674"/>
      <c r="W127" s="675"/>
      <c r="Y127" s="537" t="s">
        <v>2046</v>
      </c>
      <c r="AC127" s="675"/>
      <c r="AD127" s="675"/>
      <c r="AF127" s="675"/>
    </row>
    <row r="128" spans="1:32" s="536" customFormat="1" ht="22.5" x14ac:dyDescent="0.2">
      <c r="A128" s="609"/>
      <c r="B128" s="552" t="s">
        <v>499</v>
      </c>
      <c r="C128" s="1822" t="s">
        <v>500</v>
      </c>
      <c r="D128" s="1822"/>
      <c r="E128" s="1822"/>
      <c r="F128" s="1822"/>
      <c r="G128" s="1822"/>
      <c r="H128" s="1822"/>
      <c r="I128" s="1822"/>
      <c r="J128" s="1822"/>
      <c r="K128" s="1822"/>
      <c r="L128" s="1822"/>
      <c r="M128" s="1822"/>
      <c r="N128" s="1827"/>
      <c r="V128" s="674"/>
      <c r="W128" s="675"/>
      <c r="Y128" s="537" t="s">
        <v>500</v>
      </c>
      <c r="AC128" s="675"/>
      <c r="AD128" s="675"/>
      <c r="AF128" s="675"/>
    </row>
    <row r="129" spans="1:32" s="536" customFormat="1" ht="12" x14ac:dyDescent="0.2">
      <c r="A129" s="605"/>
      <c r="B129" s="552" t="s">
        <v>185</v>
      </c>
      <c r="C129" s="1822" t="s">
        <v>312</v>
      </c>
      <c r="D129" s="1822"/>
      <c r="E129" s="1822"/>
      <c r="F129" s="562"/>
      <c r="G129" s="562"/>
      <c r="H129" s="562"/>
      <c r="I129" s="562"/>
      <c r="J129" s="604">
        <v>679.32</v>
      </c>
      <c r="K129" s="562" t="s">
        <v>5040</v>
      </c>
      <c r="L129" s="604">
        <v>806.69</v>
      </c>
      <c r="M129" s="603"/>
      <c r="N129" s="602"/>
      <c r="V129" s="674"/>
      <c r="W129" s="675"/>
      <c r="Z129" s="537" t="s">
        <v>312</v>
      </c>
      <c r="AC129" s="675"/>
      <c r="AD129" s="675"/>
      <c r="AF129" s="675"/>
    </row>
    <row r="130" spans="1:32" s="536" customFormat="1" ht="12" x14ac:dyDescent="0.2">
      <c r="A130" s="605"/>
      <c r="B130" s="552" t="s">
        <v>186</v>
      </c>
      <c r="C130" s="1822" t="s">
        <v>344</v>
      </c>
      <c r="D130" s="1822"/>
      <c r="E130" s="1822"/>
      <c r="F130" s="562"/>
      <c r="G130" s="562"/>
      <c r="H130" s="562"/>
      <c r="I130" s="562"/>
      <c r="J130" s="604">
        <v>600.70000000000005</v>
      </c>
      <c r="K130" s="562" t="s">
        <v>5040</v>
      </c>
      <c r="L130" s="604">
        <v>713.33</v>
      </c>
      <c r="M130" s="603"/>
      <c r="N130" s="602"/>
      <c r="V130" s="674"/>
      <c r="W130" s="675"/>
      <c r="Z130" s="537" t="s">
        <v>344</v>
      </c>
      <c r="AC130" s="675"/>
      <c r="AD130" s="675"/>
      <c r="AF130" s="675"/>
    </row>
    <row r="131" spans="1:32" s="536" customFormat="1" ht="12" x14ac:dyDescent="0.2">
      <c r="A131" s="605"/>
      <c r="B131" s="552" t="s">
        <v>187</v>
      </c>
      <c r="C131" s="1822" t="s">
        <v>345</v>
      </c>
      <c r="D131" s="1822"/>
      <c r="E131" s="1822"/>
      <c r="F131" s="562"/>
      <c r="G131" s="562"/>
      <c r="H131" s="562"/>
      <c r="I131" s="562"/>
      <c r="J131" s="604">
        <v>69.08</v>
      </c>
      <c r="K131" s="562" t="s">
        <v>5040</v>
      </c>
      <c r="L131" s="604">
        <v>82.03</v>
      </c>
      <c r="M131" s="603"/>
      <c r="N131" s="602"/>
      <c r="V131" s="674"/>
      <c r="W131" s="675"/>
      <c r="Z131" s="537" t="s">
        <v>345</v>
      </c>
      <c r="AC131" s="675"/>
      <c r="AD131" s="675"/>
      <c r="AF131" s="675"/>
    </row>
    <row r="132" spans="1:32" s="536" customFormat="1" ht="12" x14ac:dyDescent="0.2">
      <c r="A132" s="605"/>
      <c r="B132" s="552" t="s">
        <v>188</v>
      </c>
      <c r="C132" s="1822" t="s">
        <v>475</v>
      </c>
      <c r="D132" s="1822"/>
      <c r="E132" s="1822"/>
      <c r="F132" s="562"/>
      <c r="G132" s="562"/>
      <c r="H132" s="562"/>
      <c r="I132" s="562"/>
      <c r="J132" s="604">
        <v>1285.54</v>
      </c>
      <c r="K132" s="562" t="s">
        <v>2047</v>
      </c>
      <c r="L132" s="604">
        <v>1221.26</v>
      </c>
      <c r="M132" s="603"/>
      <c r="N132" s="602"/>
      <c r="V132" s="674"/>
      <c r="W132" s="675"/>
      <c r="Z132" s="537" t="s">
        <v>475</v>
      </c>
      <c r="AC132" s="675"/>
      <c r="AD132" s="675"/>
      <c r="AF132" s="675"/>
    </row>
    <row r="133" spans="1:32" s="536" customFormat="1" ht="12" x14ac:dyDescent="0.2">
      <c r="A133" s="605"/>
      <c r="B133" s="552"/>
      <c r="C133" s="1822" t="s">
        <v>314</v>
      </c>
      <c r="D133" s="1822"/>
      <c r="E133" s="1822"/>
      <c r="F133" s="562" t="s">
        <v>315</v>
      </c>
      <c r="G133" s="562" t="s">
        <v>538</v>
      </c>
      <c r="H133" s="562" t="s">
        <v>5040</v>
      </c>
      <c r="I133" s="562" t="s">
        <v>5046</v>
      </c>
      <c r="J133" s="604"/>
      <c r="K133" s="562"/>
      <c r="L133" s="604"/>
      <c r="M133" s="603"/>
      <c r="N133" s="602"/>
      <c r="V133" s="674"/>
      <c r="W133" s="675"/>
      <c r="AA133" s="537" t="s">
        <v>314</v>
      </c>
      <c r="AC133" s="675"/>
      <c r="AD133" s="675"/>
      <c r="AF133" s="675"/>
    </row>
    <row r="134" spans="1:32" s="536" customFormat="1" ht="12" x14ac:dyDescent="0.2">
      <c r="A134" s="605"/>
      <c r="B134" s="552"/>
      <c r="C134" s="1822" t="s">
        <v>348</v>
      </c>
      <c r="D134" s="1822"/>
      <c r="E134" s="1822"/>
      <c r="F134" s="562" t="s">
        <v>315</v>
      </c>
      <c r="G134" s="562" t="s">
        <v>1230</v>
      </c>
      <c r="H134" s="562" t="s">
        <v>5040</v>
      </c>
      <c r="I134" s="562" t="s">
        <v>5047</v>
      </c>
      <c r="J134" s="604"/>
      <c r="K134" s="562"/>
      <c r="L134" s="604"/>
      <c r="M134" s="603"/>
      <c r="N134" s="602"/>
      <c r="V134" s="674"/>
      <c r="W134" s="675"/>
      <c r="AA134" s="537" t="s">
        <v>348</v>
      </c>
      <c r="AC134" s="675"/>
      <c r="AD134" s="675"/>
      <c r="AF134" s="675"/>
    </row>
    <row r="135" spans="1:32" s="536" customFormat="1" ht="12" x14ac:dyDescent="0.2">
      <c r="A135" s="605"/>
      <c r="B135" s="552"/>
      <c r="C135" s="1828" t="s">
        <v>318</v>
      </c>
      <c r="D135" s="1828"/>
      <c r="E135" s="1828"/>
      <c r="F135" s="608"/>
      <c r="G135" s="608"/>
      <c r="H135" s="608"/>
      <c r="I135" s="608"/>
      <c r="J135" s="607">
        <v>2565.56</v>
      </c>
      <c r="K135" s="608"/>
      <c r="L135" s="607">
        <v>2741.28</v>
      </c>
      <c r="M135" s="601"/>
      <c r="N135" s="606"/>
      <c r="V135" s="674"/>
      <c r="W135" s="675"/>
      <c r="AB135" s="537" t="s">
        <v>318</v>
      </c>
      <c r="AC135" s="675"/>
      <c r="AD135" s="675"/>
      <c r="AF135" s="675"/>
    </row>
    <row r="136" spans="1:32" s="536" customFormat="1" ht="12" x14ac:dyDescent="0.2">
      <c r="A136" s="605"/>
      <c r="B136" s="552"/>
      <c r="C136" s="1822" t="s">
        <v>319</v>
      </c>
      <c r="D136" s="1822"/>
      <c r="E136" s="1822"/>
      <c r="F136" s="562"/>
      <c r="G136" s="562"/>
      <c r="H136" s="562"/>
      <c r="I136" s="562"/>
      <c r="J136" s="604"/>
      <c r="K136" s="562"/>
      <c r="L136" s="604">
        <v>888.72</v>
      </c>
      <c r="M136" s="603"/>
      <c r="N136" s="602"/>
      <c r="V136" s="674"/>
      <c r="W136" s="675"/>
      <c r="AA136" s="537" t="s">
        <v>319</v>
      </c>
      <c r="AC136" s="675"/>
      <c r="AD136" s="675"/>
      <c r="AF136" s="675"/>
    </row>
    <row r="137" spans="1:32" s="536" customFormat="1" ht="33.75" x14ac:dyDescent="0.2">
      <c r="A137" s="605"/>
      <c r="B137" s="552" t="s">
        <v>884</v>
      </c>
      <c r="C137" s="1822" t="s">
        <v>885</v>
      </c>
      <c r="D137" s="1822"/>
      <c r="E137" s="1822"/>
      <c r="F137" s="562" t="s">
        <v>322</v>
      </c>
      <c r="G137" s="562" t="s">
        <v>886</v>
      </c>
      <c r="H137" s="562"/>
      <c r="I137" s="562" t="s">
        <v>886</v>
      </c>
      <c r="J137" s="604"/>
      <c r="K137" s="562"/>
      <c r="L137" s="604">
        <v>799.85</v>
      </c>
      <c r="M137" s="603"/>
      <c r="N137" s="602"/>
      <c r="V137" s="674"/>
      <c r="W137" s="675"/>
      <c r="AA137" s="537" t="s">
        <v>885</v>
      </c>
      <c r="AC137" s="675"/>
      <c r="AD137" s="675"/>
      <c r="AF137" s="675"/>
    </row>
    <row r="138" spans="1:32" s="536" customFormat="1" ht="33.75" x14ac:dyDescent="0.2">
      <c r="A138" s="605"/>
      <c r="B138" s="552" t="s">
        <v>887</v>
      </c>
      <c r="C138" s="1822" t="s">
        <v>888</v>
      </c>
      <c r="D138" s="1822"/>
      <c r="E138" s="1822"/>
      <c r="F138" s="562" t="s">
        <v>322</v>
      </c>
      <c r="G138" s="562" t="s">
        <v>465</v>
      </c>
      <c r="H138" s="562"/>
      <c r="I138" s="562" t="s">
        <v>465</v>
      </c>
      <c r="J138" s="604"/>
      <c r="K138" s="562"/>
      <c r="L138" s="604">
        <v>408.81</v>
      </c>
      <c r="M138" s="603"/>
      <c r="N138" s="602"/>
      <c r="V138" s="674"/>
      <c r="W138" s="675"/>
      <c r="AA138" s="537" t="s">
        <v>888</v>
      </c>
      <c r="AC138" s="675"/>
      <c r="AD138" s="675"/>
      <c r="AF138" s="675"/>
    </row>
    <row r="139" spans="1:32" s="536" customFormat="1" ht="12" x14ac:dyDescent="0.2">
      <c r="A139" s="569"/>
      <c r="B139" s="671"/>
      <c r="C139" s="1823" t="s">
        <v>327</v>
      </c>
      <c r="D139" s="1823"/>
      <c r="E139" s="1823"/>
      <c r="F139" s="573"/>
      <c r="G139" s="573"/>
      <c r="H139" s="573"/>
      <c r="I139" s="573"/>
      <c r="J139" s="572"/>
      <c r="K139" s="573"/>
      <c r="L139" s="572">
        <v>3949.94</v>
      </c>
      <c r="M139" s="601"/>
      <c r="N139" s="570"/>
      <c r="V139" s="674"/>
      <c r="W139" s="675"/>
      <c r="AC139" s="675" t="s">
        <v>327</v>
      </c>
      <c r="AD139" s="675"/>
      <c r="AF139" s="675"/>
    </row>
    <row r="140" spans="1:32" s="536" customFormat="1" ht="45" x14ac:dyDescent="0.2">
      <c r="A140" s="575" t="s">
        <v>876</v>
      </c>
      <c r="B140" s="670" t="s">
        <v>5048</v>
      </c>
      <c r="C140" s="1823" t="s">
        <v>5049</v>
      </c>
      <c r="D140" s="1823"/>
      <c r="E140" s="1823"/>
      <c r="F140" s="573" t="s">
        <v>663</v>
      </c>
      <c r="G140" s="573"/>
      <c r="H140" s="573"/>
      <c r="I140" s="573" t="s">
        <v>185</v>
      </c>
      <c r="J140" s="572">
        <v>1564876</v>
      </c>
      <c r="K140" s="573" t="s">
        <v>629</v>
      </c>
      <c r="L140" s="572">
        <v>345022.88</v>
      </c>
      <c r="M140" s="571">
        <v>4.59</v>
      </c>
      <c r="N140" s="570">
        <v>1583655</v>
      </c>
      <c r="V140" s="674"/>
      <c r="W140" s="675" t="s">
        <v>5049</v>
      </c>
      <c r="AC140" s="675"/>
      <c r="AD140" s="675"/>
      <c r="AF140" s="675"/>
    </row>
    <row r="141" spans="1:32" s="536" customFormat="1" ht="12" x14ac:dyDescent="0.2">
      <c r="A141" s="569"/>
      <c r="B141" s="671"/>
      <c r="C141" s="665" t="s">
        <v>630</v>
      </c>
      <c r="D141" s="666"/>
      <c r="E141" s="666"/>
      <c r="F141" s="563"/>
      <c r="G141" s="563"/>
      <c r="H141" s="563"/>
      <c r="I141" s="563"/>
      <c r="J141" s="566"/>
      <c r="K141" s="563"/>
      <c r="L141" s="566"/>
      <c r="M141" s="565"/>
      <c r="N141" s="564"/>
      <c r="V141" s="674"/>
      <c r="W141" s="675"/>
      <c r="AC141" s="675"/>
      <c r="AD141" s="675"/>
      <c r="AF141" s="675"/>
    </row>
    <row r="142" spans="1:32" s="536" customFormat="1" ht="22.5" x14ac:dyDescent="0.2">
      <c r="A142" s="609"/>
      <c r="B142" s="552" t="s">
        <v>631</v>
      </c>
      <c r="C142" s="1822" t="s">
        <v>632</v>
      </c>
      <c r="D142" s="1822"/>
      <c r="E142" s="1822"/>
      <c r="F142" s="1822"/>
      <c r="G142" s="1822"/>
      <c r="H142" s="1822"/>
      <c r="I142" s="1822"/>
      <c r="J142" s="1822"/>
      <c r="K142" s="1822"/>
      <c r="L142" s="1822"/>
      <c r="M142" s="1822"/>
      <c r="N142" s="1827"/>
      <c r="V142" s="674"/>
      <c r="W142" s="675"/>
      <c r="Y142" s="537" t="s">
        <v>632</v>
      </c>
      <c r="AC142" s="675"/>
      <c r="AD142" s="675"/>
      <c r="AF142" s="675"/>
    </row>
    <row r="143" spans="1:32" s="536" customFormat="1" ht="45" x14ac:dyDescent="0.2">
      <c r="A143" s="575" t="s">
        <v>194</v>
      </c>
      <c r="B143" s="670" t="s">
        <v>3467</v>
      </c>
      <c r="C143" s="1823" t="s">
        <v>5050</v>
      </c>
      <c r="D143" s="1823"/>
      <c r="E143" s="1823"/>
      <c r="F143" s="573" t="s">
        <v>617</v>
      </c>
      <c r="G143" s="573"/>
      <c r="H143" s="573"/>
      <c r="I143" s="573" t="s">
        <v>185</v>
      </c>
      <c r="J143" s="572"/>
      <c r="K143" s="573"/>
      <c r="L143" s="572"/>
      <c r="M143" s="571"/>
      <c r="N143" s="570"/>
      <c r="V143" s="674"/>
      <c r="W143" s="675" t="s">
        <v>5050</v>
      </c>
      <c r="AC143" s="675"/>
      <c r="AD143" s="675"/>
      <c r="AF143" s="675"/>
    </row>
    <row r="144" spans="1:32" s="536" customFormat="1" ht="22.5" x14ac:dyDescent="0.2">
      <c r="A144" s="609"/>
      <c r="B144" s="552" t="s">
        <v>5039</v>
      </c>
      <c r="C144" s="1822" t="s">
        <v>3469</v>
      </c>
      <c r="D144" s="1822"/>
      <c r="E144" s="1822"/>
      <c r="F144" s="1822"/>
      <c r="G144" s="1822"/>
      <c r="H144" s="1822"/>
      <c r="I144" s="1822"/>
      <c r="J144" s="1822"/>
      <c r="K144" s="1822"/>
      <c r="L144" s="1822"/>
      <c r="M144" s="1822"/>
      <c r="N144" s="1827"/>
      <c r="V144" s="674"/>
      <c r="W144" s="675"/>
      <c r="Y144" s="537" t="s">
        <v>3469</v>
      </c>
      <c r="AC144" s="675"/>
      <c r="AD144" s="675"/>
      <c r="AF144" s="675"/>
    </row>
    <row r="145" spans="1:32" s="536" customFormat="1" ht="22.5" x14ac:dyDescent="0.2">
      <c r="A145" s="609"/>
      <c r="B145" s="552" t="s">
        <v>499</v>
      </c>
      <c r="C145" s="1822" t="s">
        <v>500</v>
      </c>
      <c r="D145" s="1822"/>
      <c r="E145" s="1822"/>
      <c r="F145" s="1822"/>
      <c r="G145" s="1822"/>
      <c r="H145" s="1822"/>
      <c r="I145" s="1822"/>
      <c r="J145" s="1822"/>
      <c r="K145" s="1822"/>
      <c r="L145" s="1822"/>
      <c r="M145" s="1822"/>
      <c r="N145" s="1827"/>
      <c r="V145" s="674"/>
      <c r="W145" s="675"/>
      <c r="Y145" s="537" t="s">
        <v>500</v>
      </c>
      <c r="AC145" s="675"/>
      <c r="AD145" s="675"/>
      <c r="AF145" s="675"/>
    </row>
    <row r="146" spans="1:32" s="536" customFormat="1" ht="12" x14ac:dyDescent="0.2">
      <c r="A146" s="605"/>
      <c r="B146" s="552" t="s">
        <v>185</v>
      </c>
      <c r="C146" s="1822" t="s">
        <v>312</v>
      </c>
      <c r="D146" s="1822"/>
      <c r="E146" s="1822"/>
      <c r="F146" s="562"/>
      <c r="G146" s="562"/>
      <c r="H146" s="562"/>
      <c r="I146" s="562"/>
      <c r="J146" s="604">
        <v>541.62</v>
      </c>
      <c r="K146" s="562" t="s">
        <v>3470</v>
      </c>
      <c r="L146" s="604">
        <v>751.5</v>
      </c>
      <c r="M146" s="603"/>
      <c r="N146" s="602"/>
      <c r="V146" s="674"/>
      <c r="W146" s="675"/>
      <c r="Z146" s="537" t="s">
        <v>312</v>
      </c>
      <c r="AC146" s="675"/>
      <c r="AD146" s="675"/>
      <c r="AF146" s="675"/>
    </row>
    <row r="147" spans="1:32" s="536" customFormat="1" ht="12" x14ac:dyDescent="0.2">
      <c r="A147" s="605"/>
      <c r="B147" s="552" t="s">
        <v>186</v>
      </c>
      <c r="C147" s="1822" t="s">
        <v>344</v>
      </c>
      <c r="D147" s="1822"/>
      <c r="E147" s="1822"/>
      <c r="F147" s="562"/>
      <c r="G147" s="562"/>
      <c r="H147" s="562"/>
      <c r="I147" s="562"/>
      <c r="J147" s="604">
        <v>565.75</v>
      </c>
      <c r="K147" s="562" t="s">
        <v>3470</v>
      </c>
      <c r="L147" s="604">
        <v>784.98</v>
      </c>
      <c r="M147" s="603"/>
      <c r="N147" s="602"/>
      <c r="V147" s="674"/>
      <c r="W147" s="675"/>
      <c r="Z147" s="537" t="s">
        <v>344</v>
      </c>
      <c r="AC147" s="675"/>
      <c r="AD147" s="675"/>
      <c r="AF147" s="675"/>
    </row>
    <row r="148" spans="1:32" s="536" customFormat="1" ht="12" x14ac:dyDescent="0.2">
      <c r="A148" s="605"/>
      <c r="B148" s="552" t="s">
        <v>187</v>
      </c>
      <c r="C148" s="1822" t="s">
        <v>345</v>
      </c>
      <c r="D148" s="1822"/>
      <c r="E148" s="1822"/>
      <c r="F148" s="562"/>
      <c r="G148" s="562"/>
      <c r="H148" s="562"/>
      <c r="I148" s="562"/>
      <c r="J148" s="604">
        <v>64.06</v>
      </c>
      <c r="K148" s="562" t="s">
        <v>3470</v>
      </c>
      <c r="L148" s="604">
        <v>88.88</v>
      </c>
      <c r="M148" s="603"/>
      <c r="N148" s="602"/>
      <c r="V148" s="674"/>
      <c r="W148" s="675"/>
      <c r="Z148" s="537" t="s">
        <v>345</v>
      </c>
      <c r="AC148" s="675"/>
      <c r="AD148" s="675"/>
      <c r="AF148" s="675"/>
    </row>
    <row r="149" spans="1:32" s="536" customFormat="1" ht="12" x14ac:dyDescent="0.2">
      <c r="A149" s="605"/>
      <c r="B149" s="552" t="s">
        <v>188</v>
      </c>
      <c r="C149" s="1822" t="s">
        <v>475</v>
      </c>
      <c r="D149" s="1822"/>
      <c r="E149" s="1822"/>
      <c r="F149" s="562"/>
      <c r="G149" s="562"/>
      <c r="H149" s="562"/>
      <c r="I149" s="562"/>
      <c r="J149" s="604">
        <v>1282.78</v>
      </c>
      <c r="K149" s="562" t="s">
        <v>3165</v>
      </c>
      <c r="L149" s="604">
        <v>1423.89</v>
      </c>
      <c r="M149" s="603"/>
      <c r="N149" s="602"/>
      <c r="V149" s="674"/>
      <c r="W149" s="675"/>
      <c r="Z149" s="537" t="s">
        <v>475</v>
      </c>
      <c r="AC149" s="675"/>
      <c r="AD149" s="675"/>
      <c r="AF149" s="675"/>
    </row>
    <row r="150" spans="1:32" s="536" customFormat="1" ht="12" x14ac:dyDescent="0.2">
      <c r="A150" s="605"/>
      <c r="B150" s="552"/>
      <c r="C150" s="1822" t="s">
        <v>314</v>
      </c>
      <c r="D150" s="1822"/>
      <c r="E150" s="1822"/>
      <c r="F150" s="562" t="s">
        <v>315</v>
      </c>
      <c r="G150" s="562" t="s">
        <v>792</v>
      </c>
      <c r="H150" s="562" t="s">
        <v>3470</v>
      </c>
      <c r="I150" s="562" t="s">
        <v>3471</v>
      </c>
      <c r="J150" s="604"/>
      <c r="K150" s="562"/>
      <c r="L150" s="604"/>
      <c r="M150" s="603"/>
      <c r="N150" s="602"/>
      <c r="V150" s="674"/>
      <c r="W150" s="675"/>
      <c r="AA150" s="537" t="s">
        <v>314</v>
      </c>
      <c r="AC150" s="675"/>
      <c r="AD150" s="675"/>
      <c r="AF150" s="675"/>
    </row>
    <row r="151" spans="1:32" s="536" customFormat="1" ht="12" x14ac:dyDescent="0.2">
      <c r="A151" s="605"/>
      <c r="B151" s="552"/>
      <c r="C151" s="1822" t="s">
        <v>348</v>
      </c>
      <c r="D151" s="1822"/>
      <c r="E151" s="1822"/>
      <c r="F151" s="562" t="s">
        <v>315</v>
      </c>
      <c r="G151" s="562" t="s">
        <v>3472</v>
      </c>
      <c r="H151" s="562" t="s">
        <v>3470</v>
      </c>
      <c r="I151" s="562" t="s">
        <v>3473</v>
      </c>
      <c r="J151" s="604"/>
      <c r="K151" s="562"/>
      <c r="L151" s="604"/>
      <c r="M151" s="603"/>
      <c r="N151" s="602"/>
      <c r="V151" s="674"/>
      <c r="W151" s="675"/>
      <c r="AA151" s="537" t="s">
        <v>348</v>
      </c>
      <c r="AC151" s="675"/>
      <c r="AD151" s="675"/>
      <c r="AF151" s="675"/>
    </row>
    <row r="152" spans="1:32" s="536" customFormat="1" ht="12" x14ac:dyDescent="0.2">
      <c r="A152" s="605"/>
      <c r="B152" s="552"/>
      <c r="C152" s="1828" t="s">
        <v>318</v>
      </c>
      <c r="D152" s="1828"/>
      <c r="E152" s="1828"/>
      <c r="F152" s="608"/>
      <c r="G152" s="608"/>
      <c r="H152" s="608"/>
      <c r="I152" s="608"/>
      <c r="J152" s="607">
        <v>2390.15</v>
      </c>
      <c r="K152" s="608"/>
      <c r="L152" s="607">
        <v>2960.37</v>
      </c>
      <c r="M152" s="601"/>
      <c r="N152" s="606"/>
      <c r="V152" s="674"/>
      <c r="W152" s="675"/>
      <c r="AB152" s="537" t="s">
        <v>318</v>
      </c>
      <c r="AC152" s="675"/>
      <c r="AD152" s="675"/>
      <c r="AF152" s="675"/>
    </row>
    <row r="153" spans="1:32" s="536" customFormat="1" ht="12" x14ac:dyDescent="0.2">
      <c r="A153" s="605"/>
      <c r="B153" s="552"/>
      <c r="C153" s="1822" t="s">
        <v>319</v>
      </c>
      <c r="D153" s="1822"/>
      <c r="E153" s="1822"/>
      <c r="F153" s="562"/>
      <c r="G153" s="562"/>
      <c r="H153" s="562"/>
      <c r="I153" s="562"/>
      <c r="J153" s="604"/>
      <c r="K153" s="562"/>
      <c r="L153" s="604">
        <v>840.38</v>
      </c>
      <c r="M153" s="603"/>
      <c r="N153" s="602"/>
      <c r="V153" s="674"/>
      <c r="W153" s="675"/>
      <c r="AA153" s="537" t="s">
        <v>319</v>
      </c>
      <c r="AC153" s="675"/>
      <c r="AD153" s="675"/>
      <c r="AF153" s="675"/>
    </row>
    <row r="154" spans="1:32" s="536" customFormat="1" ht="33.75" x14ac:dyDescent="0.2">
      <c r="A154" s="605"/>
      <c r="B154" s="552" t="s">
        <v>884</v>
      </c>
      <c r="C154" s="1822" t="s">
        <v>885</v>
      </c>
      <c r="D154" s="1822"/>
      <c r="E154" s="1822"/>
      <c r="F154" s="562" t="s">
        <v>322</v>
      </c>
      <c r="G154" s="562" t="s">
        <v>886</v>
      </c>
      <c r="H154" s="562"/>
      <c r="I154" s="562" t="s">
        <v>886</v>
      </c>
      <c r="J154" s="604"/>
      <c r="K154" s="562"/>
      <c r="L154" s="604">
        <v>756.34</v>
      </c>
      <c r="M154" s="603"/>
      <c r="N154" s="602"/>
      <c r="V154" s="674"/>
      <c r="W154" s="675"/>
      <c r="AA154" s="537" t="s">
        <v>885</v>
      </c>
      <c r="AC154" s="675"/>
      <c r="AD154" s="675"/>
      <c r="AF154" s="675"/>
    </row>
    <row r="155" spans="1:32" s="536" customFormat="1" ht="33.75" x14ac:dyDescent="0.2">
      <c r="A155" s="605"/>
      <c r="B155" s="552" t="s">
        <v>887</v>
      </c>
      <c r="C155" s="1822" t="s">
        <v>888</v>
      </c>
      <c r="D155" s="1822"/>
      <c r="E155" s="1822"/>
      <c r="F155" s="562" t="s">
        <v>322</v>
      </c>
      <c r="G155" s="562" t="s">
        <v>465</v>
      </c>
      <c r="H155" s="562"/>
      <c r="I155" s="562" t="s">
        <v>465</v>
      </c>
      <c r="J155" s="604"/>
      <c r="K155" s="562"/>
      <c r="L155" s="604">
        <v>386.57</v>
      </c>
      <c r="M155" s="603"/>
      <c r="N155" s="602"/>
      <c r="V155" s="674"/>
      <c r="W155" s="675"/>
      <c r="AA155" s="537" t="s">
        <v>888</v>
      </c>
      <c r="AC155" s="675"/>
      <c r="AD155" s="675"/>
      <c r="AF155" s="675"/>
    </row>
    <row r="156" spans="1:32" s="536" customFormat="1" ht="12" x14ac:dyDescent="0.2">
      <c r="A156" s="569"/>
      <c r="B156" s="671"/>
      <c r="C156" s="1823" t="s">
        <v>327</v>
      </c>
      <c r="D156" s="1823"/>
      <c r="E156" s="1823"/>
      <c r="F156" s="573"/>
      <c r="G156" s="573"/>
      <c r="H156" s="573"/>
      <c r="I156" s="573"/>
      <c r="J156" s="572"/>
      <c r="K156" s="573"/>
      <c r="L156" s="572">
        <v>4103.28</v>
      </c>
      <c r="M156" s="601"/>
      <c r="N156" s="570"/>
      <c r="V156" s="674"/>
      <c r="W156" s="675"/>
      <c r="AC156" s="675" t="s">
        <v>327</v>
      </c>
      <c r="AD156" s="675"/>
      <c r="AF156" s="675"/>
    </row>
    <row r="157" spans="1:32" s="536" customFormat="1" ht="56.25" x14ac:dyDescent="0.2">
      <c r="A157" s="575" t="s">
        <v>881</v>
      </c>
      <c r="B157" s="670" t="s">
        <v>5051</v>
      </c>
      <c r="C157" s="1823" t="s">
        <v>5052</v>
      </c>
      <c r="D157" s="1823"/>
      <c r="E157" s="1823"/>
      <c r="F157" s="573" t="s">
        <v>663</v>
      </c>
      <c r="G157" s="573"/>
      <c r="H157" s="573"/>
      <c r="I157" s="573" t="s">
        <v>185</v>
      </c>
      <c r="J157" s="572">
        <v>1841891.33</v>
      </c>
      <c r="K157" s="573" t="s">
        <v>629</v>
      </c>
      <c r="L157" s="572">
        <v>406098.91</v>
      </c>
      <c r="M157" s="571">
        <v>4.59</v>
      </c>
      <c r="N157" s="570">
        <v>1863994</v>
      </c>
      <c r="V157" s="674"/>
      <c r="W157" s="675" t="s">
        <v>5052</v>
      </c>
      <c r="AC157" s="675"/>
      <c r="AD157" s="675"/>
      <c r="AF157" s="675"/>
    </row>
    <row r="158" spans="1:32" s="536" customFormat="1" ht="12" x14ac:dyDescent="0.2">
      <c r="A158" s="569"/>
      <c r="B158" s="671"/>
      <c r="C158" s="665" t="s">
        <v>630</v>
      </c>
      <c r="D158" s="666"/>
      <c r="E158" s="666"/>
      <c r="F158" s="563"/>
      <c r="G158" s="563"/>
      <c r="H158" s="563"/>
      <c r="I158" s="563"/>
      <c r="J158" s="566"/>
      <c r="K158" s="563"/>
      <c r="L158" s="566"/>
      <c r="M158" s="565"/>
      <c r="N158" s="564"/>
      <c r="V158" s="674"/>
      <c r="W158" s="675"/>
      <c r="AC158" s="675"/>
      <c r="AD158" s="675"/>
      <c r="AF158" s="675"/>
    </row>
    <row r="159" spans="1:32" s="536" customFormat="1" ht="22.5" x14ac:dyDescent="0.2">
      <c r="A159" s="609"/>
      <c r="B159" s="552" t="s">
        <v>631</v>
      </c>
      <c r="C159" s="1822" t="s">
        <v>632</v>
      </c>
      <c r="D159" s="1822"/>
      <c r="E159" s="1822"/>
      <c r="F159" s="1822"/>
      <c r="G159" s="1822"/>
      <c r="H159" s="1822"/>
      <c r="I159" s="1822"/>
      <c r="J159" s="1822"/>
      <c r="K159" s="1822"/>
      <c r="L159" s="1822"/>
      <c r="M159" s="1822"/>
      <c r="N159" s="1827"/>
      <c r="V159" s="674"/>
      <c r="W159" s="675"/>
      <c r="Y159" s="537" t="s">
        <v>632</v>
      </c>
      <c r="AC159" s="675"/>
      <c r="AD159" s="675"/>
      <c r="AF159" s="675"/>
    </row>
    <row r="160" spans="1:32" s="536" customFormat="1" ht="1.5" customHeight="1" x14ac:dyDescent="0.2">
      <c r="A160" s="563"/>
      <c r="B160" s="671"/>
      <c r="C160" s="671"/>
      <c r="D160" s="671"/>
      <c r="E160" s="671"/>
      <c r="F160" s="563"/>
      <c r="G160" s="563"/>
      <c r="H160" s="563"/>
      <c r="I160" s="563"/>
      <c r="J160" s="546"/>
      <c r="K160" s="563"/>
      <c r="L160" s="546"/>
      <c r="M160" s="562"/>
      <c r="N160" s="546"/>
      <c r="V160" s="674"/>
      <c r="W160" s="675"/>
      <c r="AC160" s="675"/>
      <c r="AD160" s="675"/>
      <c r="AF160" s="675"/>
    </row>
    <row r="161" spans="1:32" s="536" customFormat="1" ht="12" x14ac:dyDescent="0.2">
      <c r="A161" s="557"/>
      <c r="B161" s="556"/>
      <c r="C161" s="1823" t="s">
        <v>5053</v>
      </c>
      <c r="D161" s="1823"/>
      <c r="E161" s="1823"/>
      <c r="F161" s="1823"/>
      <c r="G161" s="1823"/>
      <c r="H161" s="1823"/>
      <c r="I161" s="1823"/>
      <c r="J161" s="1823"/>
      <c r="K161" s="1823"/>
      <c r="L161" s="555"/>
      <c r="M161" s="554"/>
      <c r="N161" s="553"/>
      <c r="V161" s="674"/>
      <c r="W161" s="675"/>
      <c r="AC161" s="675"/>
      <c r="AD161" s="675" t="s">
        <v>5053</v>
      </c>
      <c r="AF161" s="675"/>
    </row>
    <row r="162" spans="1:32" s="536" customFormat="1" ht="12" x14ac:dyDescent="0.2">
      <c r="A162" s="548"/>
      <c r="B162" s="552"/>
      <c r="C162" s="1822" t="s">
        <v>403</v>
      </c>
      <c r="D162" s="1822"/>
      <c r="E162" s="1822"/>
      <c r="F162" s="1822"/>
      <c r="G162" s="1822"/>
      <c r="H162" s="1822"/>
      <c r="I162" s="1822"/>
      <c r="J162" s="1822"/>
      <c r="K162" s="1822"/>
      <c r="L162" s="551">
        <v>10856.98</v>
      </c>
      <c r="M162" s="550"/>
      <c r="N162" s="549"/>
      <c r="V162" s="674"/>
      <c r="W162" s="675"/>
      <c r="AC162" s="675"/>
      <c r="AD162" s="675"/>
      <c r="AE162" s="537" t="s">
        <v>403</v>
      </c>
      <c r="AF162" s="675"/>
    </row>
    <row r="163" spans="1:32" s="536" customFormat="1" ht="12" x14ac:dyDescent="0.2">
      <c r="A163" s="548"/>
      <c r="B163" s="552"/>
      <c r="C163" s="1822" t="s">
        <v>204</v>
      </c>
      <c r="D163" s="1822"/>
      <c r="E163" s="1822"/>
      <c r="F163" s="1822"/>
      <c r="G163" s="1822"/>
      <c r="H163" s="1822"/>
      <c r="I163" s="1822"/>
      <c r="J163" s="1822"/>
      <c r="K163" s="1822"/>
      <c r="L163" s="551"/>
      <c r="M163" s="550"/>
      <c r="N163" s="549"/>
      <c r="V163" s="674"/>
      <c r="W163" s="675"/>
      <c r="AC163" s="675"/>
      <c r="AD163" s="675"/>
      <c r="AE163" s="537" t="s">
        <v>204</v>
      </c>
      <c r="AF163" s="675"/>
    </row>
    <row r="164" spans="1:32" s="536" customFormat="1" ht="12" x14ac:dyDescent="0.2">
      <c r="A164" s="548"/>
      <c r="B164" s="552"/>
      <c r="C164" s="1822" t="s">
        <v>404</v>
      </c>
      <c r="D164" s="1822"/>
      <c r="E164" s="1822"/>
      <c r="F164" s="1822"/>
      <c r="G164" s="1822"/>
      <c r="H164" s="1822"/>
      <c r="I164" s="1822"/>
      <c r="J164" s="1822"/>
      <c r="K164" s="1822"/>
      <c r="L164" s="551">
        <v>3277.76</v>
      </c>
      <c r="M164" s="550"/>
      <c r="N164" s="549"/>
      <c r="V164" s="674"/>
      <c r="W164" s="675"/>
      <c r="AC164" s="675"/>
      <c r="AD164" s="675"/>
      <c r="AE164" s="537" t="s">
        <v>404</v>
      </c>
      <c r="AF164" s="675"/>
    </row>
    <row r="165" spans="1:32" s="536" customFormat="1" ht="12" x14ac:dyDescent="0.2">
      <c r="A165" s="548"/>
      <c r="B165" s="552"/>
      <c r="C165" s="1822" t="s">
        <v>405</v>
      </c>
      <c r="D165" s="1822"/>
      <c r="E165" s="1822"/>
      <c r="F165" s="1822"/>
      <c r="G165" s="1822"/>
      <c r="H165" s="1822"/>
      <c r="I165" s="1822"/>
      <c r="J165" s="1822"/>
      <c r="K165" s="1822"/>
      <c r="L165" s="551">
        <v>2689.39</v>
      </c>
      <c r="M165" s="550"/>
      <c r="N165" s="549"/>
      <c r="V165" s="674"/>
      <c r="W165" s="675"/>
      <c r="AC165" s="675"/>
      <c r="AD165" s="675"/>
      <c r="AE165" s="537" t="s">
        <v>405</v>
      </c>
      <c r="AF165" s="675"/>
    </row>
    <row r="166" spans="1:32" s="536" customFormat="1" ht="12" x14ac:dyDescent="0.2">
      <c r="A166" s="548"/>
      <c r="B166" s="552"/>
      <c r="C166" s="1822" t="s">
        <v>406</v>
      </c>
      <c r="D166" s="1822"/>
      <c r="E166" s="1822"/>
      <c r="F166" s="1822"/>
      <c r="G166" s="1822"/>
      <c r="H166" s="1822"/>
      <c r="I166" s="1822"/>
      <c r="J166" s="1822"/>
      <c r="K166" s="1822"/>
      <c r="L166" s="551">
        <v>283.38</v>
      </c>
      <c r="M166" s="550"/>
      <c r="N166" s="549"/>
      <c r="V166" s="674"/>
      <c r="W166" s="675"/>
      <c r="AC166" s="675"/>
      <c r="AD166" s="675"/>
      <c r="AE166" s="537" t="s">
        <v>406</v>
      </c>
      <c r="AF166" s="675"/>
    </row>
    <row r="167" spans="1:32" s="536" customFormat="1" ht="12" x14ac:dyDescent="0.2">
      <c r="A167" s="548"/>
      <c r="B167" s="552"/>
      <c r="C167" s="1822" t="s">
        <v>480</v>
      </c>
      <c r="D167" s="1822"/>
      <c r="E167" s="1822"/>
      <c r="F167" s="1822"/>
      <c r="G167" s="1822"/>
      <c r="H167" s="1822"/>
      <c r="I167" s="1822"/>
      <c r="J167" s="1822"/>
      <c r="K167" s="1822"/>
      <c r="L167" s="551">
        <v>4889.83</v>
      </c>
      <c r="M167" s="550"/>
      <c r="N167" s="549"/>
      <c r="V167" s="674"/>
      <c r="W167" s="675"/>
      <c r="AC167" s="675"/>
      <c r="AD167" s="675"/>
      <c r="AE167" s="537" t="s">
        <v>480</v>
      </c>
      <c r="AF167" s="675"/>
    </row>
    <row r="168" spans="1:32" s="536" customFormat="1" ht="12" x14ac:dyDescent="0.2">
      <c r="A168" s="548"/>
      <c r="B168" s="552"/>
      <c r="C168" s="1822" t="s">
        <v>753</v>
      </c>
      <c r="D168" s="1822"/>
      <c r="E168" s="1822"/>
      <c r="F168" s="1822"/>
      <c r="G168" s="1822"/>
      <c r="H168" s="1822"/>
      <c r="I168" s="1822"/>
      <c r="J168" s="1822"/>
      <c r="K168" s="1822"/>
      <c r="L168" s="551">
        <v>15700.13</v>
      </c>
      <c r="M168" s="550"/>
      <c r="N168" s="549"/>
      <c r="V168" s="674"/>
      <c r="W168" s="675"/>
      <c r="AC168" s="675"/>
      <c r="AD168" s="675"/>
      <c r="AE168" s="537" t="s">
        <v>753</v>
      </c>
      <c r="AF168" s="675"/>
    </row>
    <row r="169" spans="1:32" s="536" customFormat="1" ht="12" x14ac:dyDescent="0.2">
      <c r="A169" s="548"/>
      <c r="B169" s="552"/>
      <c r="C169" s="1822" t="s">
        <v>204</v>
      </c>
      <c r="D169" s="1822"/>
      <c r="E169" s="1822"/>
      <c r="F169" s="1822"/>
      <c r="G169" s="1822"/>
      <c r="H169" s="1822"/>
      <c r="I169" s="1822"/>
      <c r="J169" s="1822"/>
      <c r="K169" s="1822"/>
      <c r="L169" s="551"/>
      <c r="M169" s="550"/>
      <c r="N169" s="549"/>
      <c r="V169" s="674"/>
      <c r="W169" s="675"/>
      <c r="AC169" s="675"/>
      <c r="AD169" s="675"/>
      <c r="AE169" s="537" t="s">
        <v>204</v>
      </c>
      <c r="AF169" s="675"/>
    </row>
    <row r="170" spans="1:32" s="536" customFormat="1" ht="12" x14ac:dyDescent="0.2">
      <c r="A170" s="548"/>
      <c r="B170" s="552"/>
      <c r="C170" s="1822" t="s">
        <v>546</v>
      </c>
      <c r="D170" s="1822"/>
      <c r="E170" s="1822"/>
      <c r="F170" s="1822"/>
      <c r="G170" s="1822"/>
      <c r="H170" s="1822"/>
      <c r="I170" s="1822"/>
      <c r="J170" s="1822"/>
      <c r="K170" s="1822"/>
      <c r="L170" s="551">
        <v>3277.76</v>
      </c>
      <c r="M170" s="550"/>
      <c r="N170" s="549"/>
      <c r="V170" s="674"/>
      <c r="W170" s="675"/>
      <c r="AC170" s="675"/>
      <c r="AD170" s="675"/>
      <c r="AE170" s="537" t="s">
        <v>546</v>
      </c>
      <c r="AF170" s="675"/>
    </row>
    <row r="171" spans="1:32" s="536" customFormat="1" ht="12" x14ac:dyDescent="0.2">
      <c r="A171" s="548"/>
      <c r="B171" s="552"/>
      <c r="C171" s="1822" t="s">
        <v>442</v>
      </c>
      <c r="D171" s="1822"/>
      <c r="E171" s="1822"/>
      <c r="F171" s="1822"/>
      <c r="G171" s="1822"/>
      <c r="H171" s="1822"/>
      <c r="I171" s="1822"/>
      <c r="J171" s="1822"/>
      <c r="K171" s="1822"/>
      <c r="L171" s="551">
        <v>2689.39</v>
      </c>
      <c r="M171" s="550"/>
      <c r="N171" s="549"/>
      <c r="V171" s="674"/>
      <c r="W171" s="675"/>
      <c r="AC171" s="675"/>
      <c r="AD171" s="675"/>
      <c r="AE171" s="537" t="s">
        <v>442</v>
      </c>
      <c r="AF171" s="675"/>
    </row>
    <row r="172" spans="1:32" s="536" customFormat="1" ht="12" x14ac:dyDescent="0.2">
      <c r="A172" s="548"/>
      <c r="B172" s="552"/>
      <c r="C172" s="1822" t="s">
        <v>547</v>
      </c>
      <c r="D172" s="1822"/>
      <c r="E172" s="1822"/>
      <c r="F172" s="1822"/>
      <c r="G172" s="1822"/>
      <c r="H172" s="1822"/>
      <c r="I172" s="1822"/>
      <c r="J172" s="1822"/>
      <c r="K172" s="1822"/>
      <c r="L172" s="551">
        <v>4889.83</v>
      </c>
      <c r="M172" s="550"/>
      <c r="N172" s="549"/>
      <c r="V172" s="674"/>
      <c r="W172" s="675"/>
      <c r="AC172" s="675"/>
      <c r="AD172" s="675"/>
      <c r="AE172" s="537" t="s">
        <v>547</v>
      </c>
      <c r="AF172" s="675"/>
    </row>
    <row r="173" spans="1:32" s="536" customFormat="1" ht="12" x14ac:dyDescent="0.2">
      <c r="A173" s="548"/>
      <c r="B173" s="552"/>
      <c r="C173" s="1822" t="s">
        <v>443</v>
      </c>
      <c r="D173" s="1822"/>
      <c r="E173" s="1822"/>
      <c r="F173" s="1822"/>
      <c r="G173" s="1822"/>
      <c r="H173" s="1822"/>
      <c r="I173" s="1822"/>
      <c r="J173" s="1822"/>
      <c r="K173" s="1822"/>
      <c r="L173" s="551">
        <v>3205.03</v>
      </c>
      <c r="M173" s="550"/>
      <c r="N173" s="549"/>
      <c r="V173" s="674"/>
      <c r="W173" s="675"/>
      <c r="AC173" s="675"/>
      <c r="AD173" s="675"/>
      <c r="AE173" s="537" t="s">
        <v>443</v>
      </c>
      <c r="AF173" s="675"/>
    </row>
    <row r="174" spans="1:32" s="536" customFormat="1" ht="12" x14ac:dyDescent="0.2">
      <c r="A174" s="548"/>
      <c r="B174" s="552"/>
      <c r="C174" s="1822" t="s">
        <v>444</v>
      </c>
      <c r="D174" s="1822"/>
      <c r="E174" s="1822"/>
      <c r="F174" s="1822"/>
      <c r="G174" s="1822"/>
      <c r="H174" s="1822"/>
      <c r="I174" s="1822"/>
      <c r="J174" s="1822"/>
      <c r="K174" s="1822"/>
      <c r="L174" s="551">
        <v>1638.12</v>
      </c>
      <c r="M174" s="550"/>
      <c r="N174" s="549"/>
      <c r="V174" s="674"/>
      <c r="W174" s="675"/>
      <c r="AC174" s="675"/>
      <c r="AD174" s="675"/>
      <c r="AE174" s="537" t="s">
        <v>444</v>
      </c>
      <c r="AF174" s="675"/>
    </row>
    <row r="175" spans="1:32" s="536" customFormat="1" ht="12" x14ac:dyDescent="0.2">
      <c r="A175" s="548"/>
      <c r="B175" s="552"/>
      <c r="C175" s="1822" t="s">
        <v>754</v>
      </c>
      <c r="D175" s="1822"/>
      <c r="E175" s="1822"/>
      <c r="F175" s="1822"/>
      <c r="G175" s="1822"/>
      <c r="H175" s="1822"/>
      <c r="I175" s="1822"/>
      <c r="J175" s="1822"/>
      <c r="K175" s="1822"/>
      <c r="L175" s="551">
        <v>1100272.56</v>
      </c>
      <c r="M175" s="550"/>
      <c r="N175" s="549"/>
      <c r="V175" s="674"/>
      <c r="W175" s="675"/>
      <c r="AC175" s="675"/>
      <c r="AD175" s="675"/>
      <c r="AE175" s="537" t="s">
        <v>754</v>
      </c>
      <c r="AF175" s="675"/>
    </row>
    <row r="176" spans="1:32" s="536" customFormat="1" ht="12" x14ac:dyDescent="0.2">
      <c r="A176" s="548"/>
      <c r="B176" s="552"/>
      <c r="C176" s="1822" t="s">
        <v>415</v>
      </c>
      <c r="D176" s="1822"/>
      <c r="E176" s="1822"/>
      <c r="F176" s="1822"/>
      <c r="G176" s="1822"/>
      <c r="H176" s="1822"/>
      <c r="I176" s="1822"/>
      <c r="J176" s="1822"/>
      <c r="K176" s="1822"/>
      <c r="L176" s="551">
        <v>3561.14</v>
      </c>
      <c r="M176" s="550"/>
      <c r="N176" s="549"/>
      <c r="V176" s="674"/>
      <c r="W176" s="675"/>
      <c r="AC176" s="675"/>
      <c r="AD176" s="675"/>
      <c r="AE176" s="537" t="s">
        <v>415</v>
      </c>
      <c r="AF176" s="675"/>
    </row>
    <row r="177" spans="1:34" s="536" customFormat="1" ht="12" x14ac:dyDescent="0.2">
      <c r="A177" s="548"/>
      <c r="B177" s="552"/>
      <c r="C177" s="1822" t="s">
        <v>416</v>
      </c>
      <c r="D177" s="1822"/>
      <c r="E177" s="1822"/>
      <c r="F177" s="1822"/>
      <c r="G177" s="1822"/>
      <c r="H177" s="1822"/>
      <c r="I177" s="1822"/>
      <c r="J177" s="1822"/>
      <c r="K177" s="1822"/>
      <c r="L177" s="551">
        <v>3205.03</v>
      </c>
      <c r="M177" s="550"/>
      <c r="N177" s="549"/>
      <c r="V177" s="674"/>
      <c r="W177" s="675"/>
      <c r="AC177" s="675"/>
      <c r="AD177" s="675"/>
      <c r="AE177" s="537" t="s">
        <v>416</v>
      </c>
      <c r="AF177" s="675"/>
    </row>
    <row r="178" spans="1:34" s="536" customFormat="1" ht="12" x14ac:dyDescent="0.2">
      <c r="A178" s="548"/>
      <c r="B178" s="552"/>
      <c r="C178" s="1822" t="s">
        <v>417</v>
      </c>
      <c r="D178" s="1822"/>
      <c r="E178" s="1822"/>
      <c r="F178" s="1822"/>
      <c r="G178" s="1822"/>
      <c r="H178" s="1822"/>
      <c r="I178" s="1822"/>
      <c r="J178" s="1822"/>
      <c r="K178" s="1822"/>
      <c r="L178" s="551">
        <v>1638.12</v>
      </c>
      <c r="M178" s="550"/>
      <c r="N178" s="549"/>
      <c r="V178" s="674"/>
      <c r="W178" s="675"/>
      <c r="AC178" s="675"/>
      <c r="AD178" s="675"/>
      <c r="AE178" s="537" t="s">
        <v>417</v>
      </c>
      <c r="AF178" s="675"/>
    </row>
    <row r="179" spans="1:34" s="536" customFormat="1" ht="12" x14ac:dyDescent="0.2">
      <c r="A179" s="548"/>
      <c r="B179" s="546"/>
      <c r="C179" s="1819" t="s">
        <v>5054</v>
      </c>
      <c r="D179" s="1819"/>
      <c r="E179" s="1819"/>
      <c r="F179" s="1819"/>
      <c r="G179" s="1819"/>
      <c r="H179" s="1819"/>
      <c r="I179" s="1819"/>
      <c r="J179" s="1819"/>
      <c r="K179" s="1819"/>
      <c r="L179" s="544">
        <v>1115972.69</v>
      </c>
      <c r="M179" s="543"/>
      <c r="N179" s="681"/>
      <c r="V179" s="674"/>
      <c r="W179" s="675"/>
      <c r="AC179" s="675"/>
      <c r="AD179" s="675"/>
      <c r="AF179" s="675" t="s">
        <v>5054</v>
      </c>
    </row>
    <row r="180" spans="1:34" s="536" customFormat="1" ht="12" x14ac:dyDescent="0.2">
      <c r="A180" s="548"/>
      <c r="B180" s="552"/>
      <c r="C180" s="1822" t="s">
        <v>204</v>
      </c>
      <c r="D180" s="1822"/>
      <c r="E180" s="1822"/>
      <c r="F180" s="1822"/>
      <c r="G180" s="1822"/>
      <c r="H180" s="1822"/>
      <c r="I180" s="1822"/>
      <c r="J180" s="1822"/>
      <c r="K180" s="1822"/>
      <c r="L180" s="551"/>
      <c r="M180" s="550"/>
      <c r="N180" s="549"/>
      <c r="V180" s="674"/>
      <c r="W180" s="675"/>
      <c r="AC180" s="675"/>
      <c r="AD180" s="675"/>
      <c r="AE180" s="537" t="s">
        <v>204</v>
      </c>
      <c r="AF180" s="675"/>
    </row>
    <row r="181" spans="1:34" s="536" customFormat="1" ht="12" x14ac:dyDescent="0.2">
      <c r="A181" s="548"/>
      <c r="B181" s="552"/>
      <c r="C181" s="1822" t="s">
        <v>8097</v>
      </c>
      <c r="D181" s="1822"/>
      <c r="E181" s="1822"/>
      <c r="F181" s="1822"/>
      <c r="G181" s="1822"/>
      <c r="H181" s="1822"/>
      <c r="I181" s="1822"/>
      <c r="J181" s="1822"/>
      <c r="K181" s="1822"/>
      <c r="L181" s="551">
        <v>1100272.56</v>
      </c>
      <c r="M181" s="550"/>
      <c r="N181" s="549"/>
      <c r="V181" s="674"/>
      <c r="W181" s="675"/>
      <c r="AC181" s="675"/>
      <c r="AD181" s="675"/>
      <c r="AE181" s="537" t="s">
        <v>8097</v>
      </c>
      <c r="AF181" s="675"/>
    </row>
    <row r="182" spans="1:34" s="536" customFormat="1" ht="2.25" customHeight="1" x14ac:dyDescent="0.2">
      <c r="B182" s="561"/>
      <c r="C182" s="561"/>
      <c r="D182" s="561"/>
      <c r="E182" s="561"/>
      <c r="F182" s="561"/>
      <c r="G182" s="561"/>
      <c r="H182" s="561"/>
      <c r="I182" s="561"/>
      <c r="J182" s="561"/>
      <c r="K182" s="561"/>
      <c r="L182" s="560"/>
      <c r="M182" s="559"/>
      <c r="N182" s="558"/>
    </row>
    <row r="183" spans="1:34" s="536" customFormat="1" x14ac:dyDescent="0.2">
      <c r="A183" s="557"/>
      <c r="B183" s="556"/>
      <c r="C183" s="1823" t="s">
        <v>205</v>
      </c>
      <c r="D183" s="1823"/>
      <c r="E183" s="1823"/>
      <c r="F183" s="1823"/>
      <c r="G183" s="1823"/>
      <c r="H183" s="1823"/>
      <c r="I183" s="1823"/>
      <c r="J183" s="1823"/>
      <c r="K183" s="1823"/>
      <c r="L183" s="555"/>
      <c r="M183" s="554"/>
      <c r="N183" s="553"/>
      <c r="AG183" s="675" t="s">
        <v>205</v>
      </c>
    </row>
    <row r="184" spans="1:34" s="536" customFormat="1" x14ac:dyDescent="0.2">
      <c r="A184" s="548"/>
      <c r="B184" s="552"/>
      <c r="C184" s="1822" t="s">
        <v>403</v>
      </c>
      <c r="D184" s="1822"/>
      <c r="E184" s="1822"/>
      <c r="F184" s="1822"/>
      <c r="G184" s="1822"/>
      <c r="H184" s="1822"/>
      <c r="I184" s="1822"/>
      <c r="J184" s="1822"/>
      <c r="K184" s="1822"/>
      <c r="L184" s="551">
        <v>55309.77</v>
      </c>
      <c r="M184" s="550"/>
      <c r="N184" s="549"/>
      <c r="AG184" s="675"/>
      <c r="AH184" s="537" t="s">
        <v>403</v>
      </c>
    </row>
    <row r="185" spans="1:34" s="536" customFormat="1" x14ac:dyDescent="0.2">
      <c r="A185" s="548"/>
      <c r="B185" s="552"/>
      <c r="C185" s="1822" t="s">
        <v>204</v>
      </c>
      <c r="D185" s="1822"/>
      <c r="E185" s="1822"/>
      <c r="F185" s="1822"/>
      <c r="G185" s="1822"/>
      <c r="H185" s="1822"/>
      <c r="I185" s="1822"/>
      <c r="J185" s="1822"/>
      <c r="K185" s="1822"/>
      <c r="L185" s="551"/>
      <c r="M185" s="550"/>
      <c r="N185" s="549"/>
      <c r="AG185" s="675"/>
      <c r="AH185" s="537" t="s">
        <v>204</v>
      </c>
    </row>
    <row r="186" spans="1:34" s="536" customFormat="1" x14ac:dyDescent="0.2">
      <c r="A186" s="548"/>
      <c r="B186" s="552"/>
      <c r="C186" s="1822" t="s">
        <v>404</v>
      </c>
      <c r="D186" s="1822"/>
      <c r="E186" s="1822"/>
      <c r="F186" s="1822"/>
      <c r="G186" s="1822"/>
      <c r="H186" s="1822"/>
      <c r="I186" s="1822"/>
      <c r="J186" s="1822"/>
      <c r="K186" s="1822"/>
      <c r="L186" s="551">
        <v>7556.84</v>
      </c>
      <c r="M186" s="550"/>
      <c r="N186" s="549"/>
      <c r="AG186" s="675"/>
      <c r="AH186" s="537" t="s">
        <v>404</v>
      </c>
    </row>
    <row r="187" spans="1:34" s="536" customFormat="1" x14ac:dyDescent="0.2">
      <c r="A187" s="548"/>
      <c r="B187" s="552"/>
      <c r="C187" s="1822" t="s">
        <v>405</v>
      </c>
      <c r="D187" s="1822"/>
      <c r="E187" s="1822"/>
      <c r="F187" s="1822"/>
      <c r="G187" s="1822"/>
      <c r="H187" s="1822"/>
      <c r="I187" s="1822"/>
      <c r="J187" s="1822"/>
      <c r="K187" s="1822"/>
      <c r="L187" s="551">
        <v>42863.1</v>
      </c>
      <c r="M187" s="550"/>
      <c r="N187" s="549"/>
      <c r="AG187" s="675"/>
      <c r="AH187" s="537" t="s">
        <v>405</v>
      </c>
    </row>
    <row r="188" spans="1:34" s="536" customFormat="1" x14ac:dyDescent="0.2">
      <c r="A188" s="548"/>
      <c r="B188" s="552"/>
      <c r="C188" s="1822" t="s">
        <v>406</v>
      </c>
      <c r="D188" s="1822"/>
      <c r="E188" s="1822"/>
      <c r="F188" s="1822"/>
      <c r="G188" s="1822"/>
      <c r="H188" s="1822"/>
      <c r="I188" s="1822"/>
      <c r="J188" s="1822"/>
      <c r="K188" s="1822"/>
      <c r="L188" s="551">
        <v>4911</v>
      </c>
      <c r="M188" s="550"/>
      <c r="N188" s="549"/>
      <c r="AG188" s="675"/>
      <c r="AH188" s="537" t="s">
        <v>406</v>
      </c>
    </row>
    <row r="189" spans="1:34" s="536" customFormat="1" x14ac:dyDescent="0.2">
      <c r="A189" s="548"/>
      <c r="B189" s="552"/>
      <c r="C189" s="1822" t="s">
        <v>480</v>
      </c>
      <c r="D189" s="1822"/>
      <c r="E189" s="1822"/>
      <c r="F189" s="1822"/>
      <c r="G189" s="1822"/>
      <c r="H189" s="1822"/>
      <c r="I189" s="1822"/>
      <c r="J189" s="1822"/>
      <c r="K189" s="1822"/>
      <c r="L189" s="551">
        <v>4889.83</v>
      </c>
      <c r="M189" s="550"/>
      <c r="N189" s="549"/>
      <c r="AG189" s="675"/>
      <c r="AH189" s="537" t="s">
        <v>480</v>
      </c>
    </row>
    <row r="190" spans="1:34" s="536" customFormat="1" x14ac:dyDescent="0.2">
      <c r="A190" s="548"/>
      <c r="B190" s="552" t="s">
        <v>185</v>
      </c>
      <c r="C190" s="1822" t="s">
        <v>407</v>
      </c>
      <c r="D190" s="1822"/>
      <c r="E190" s="1822"/>
      <c r="F190" s="1822"/>
      <c r="G190" s="1822"/>
      <c r="H190" s="1822"/>
      <c r="I190" s="1822"/>
      <c r="J190" s="1822"/>
      <c r="K190" s="1822"/>
      <c r="L190" s="551">
        <v>56744.04</v>
      </c>
      <c r="M190" s="550">
        <v>8.01</v>
      </c>
      <c r="N190" s="549">
        <v>454520</v>
      </c>
      <c r="AG190" s="675"/>
      <c r="AH190" s="537" t="s">
        <v>407</v>
      </c>
    </row>
    <row r="191" spans="1:34" s="536" customFormat="1" x14ac:dyDescent="0.2">
      <c r="A191" s="548"/>
      <c r="B191" s="552"/>
      <c r="C191" s="1822" t="s">
        <v>204</v>
      </c>
      <c r="D191" s="1822"/>
      <c r="E191" s="1822"/>
      <c r="F191" s="1822"/>
      <c r="G191" s="1822"/>
      <c r="H191" s="1822"/>
      <c r="I191" s="1822"/>
      <c r="J191" s="1822"/>
      <c r="K191" s="1822"/>
      <c r="L191" s="551"/>
      <c r="M191" s="550"/>
      <c r="N191" s="549"/>
      <c r="AG191" s="675"/>
      <c r="AH191" s="537" t="s">
        <v>204</v>
      </c>
    </row>
    <row r="192" spans="1:34" s="536" customFormat="1" x14ac:dyDescent="0.2">
      <c r="A192" s="548"/>
      <c r="B192" s="552"/>
      <c r="C192" s="1822" t="s">
        <v>546</v>
      </c>
      <c r="D192" s="1822"/>
      <c r="E192" s="1822"/>
      <c r="F192" s="1822"/>
      <c r="G192" s="1822"/>
      <c r="H192" s="1822"/>
      <c r="I192" s="1822"/>
      <c r="J192" s="1822"/>
      <c r="K192" s="1822"/>
      <c r="L192" s="551">
        <v>4279.08</v>
      </c>
      <c r="M192" s="550"/>
      <c r="N192" s="549"/>
      <c r="AG192" s="675"/>
      <c r="AH192" s="537" t="s">
        <v>546</v>
      </c>
    </row>
    <row r="193" spans="1:35" x14ac:dyDescent="0.2">
      <c r="A193" s="548"/>
      <c r="B193" s="552"/>
      <c r="C193" s="1822" t="s">
        <v>442</v>
      </c>
      <c r="D193" s="1822"/>
      <c r="E193" s="1822"/>
      <c r="F193" s="1822"/>
      <c r="G193" s="1822"/>
      <c r="H193" s="1822"/>
      <c r="I193" s="1822"/>
      <c r="J193" s="1822"/>
      <c r="K193" s="1822"/>
      <c r="L193" s="551">
        <v>40173.71</v>
      </c>
      <c r="M193" s="550"/>
      <c r="N193" s="549"/>
      <c r="P193" s="536"/>
      <c r="Q193" s="536"/>
      <c r="R193" s="536"/>
      <c r="S193" s="536"/>
      <c r="T193" s="536"/>
      <c r="U193" s="536"/>
      <c r="V193" s="536"/>
      <c r="W193" s="536"/>
      <c r="X193" s="536"/>
      <c r="Y193" s="536"/>
      <c r="Z193" s="536"/>
      <c r="AA193" s="536"/>
      <c r="AB193" s="536"/>
      <c r="AC193" s="536"/>
      <c r="AD193" s="536"/>
      <c r="AE193" s="536"/>
      <c r="AF193" s="536"/>
      <c r="AG193" s="675"/>
      <c r="AH193" s="537" t="s">
        <v>442</v>
      </c>
      <c r="AI193" s="536"/>
    </row>
    <row r="194" spans="1:35" x14ac:dyDescent="0.2">
      <c r="A194" s="548"/>
      <c r="B194" s="552"/>
      <c r="C194" s="1822" t="s">
        <v>443</v>
      </c>
      <c r="D194" s="1822"/>
      <c r="E194" s="1822"/>
      <c r="F194" s="1822"/>
      <c r="G194" s="1822"/>
      <c r="H194" s="1822"/>
      <c r="I194" s="1822"/>
      <c r="J194" s="1822"/>
      <c r="K194" s="1822"/>
      <c r="L194" s="551">
        <v>8194.17</v>
      </c>
      <c r="M194" s="550"/>
      <c r="N194" s="549"/>
      <c r="P194" s="536"/>
      <c r="Q194" s="536"/>
      <c r="R194" s="536"/>
      <c r="S194" s="536"/>
      <c r="T194" s="536"/>
      <c r="U194" s="536"/>
      <c r="V194" s="536"/>
      <c r="W194" s="536"/>
      <c r="X194" s="536"/>
      <c r="Y194" s="536"/>
      <c r="Z194" s="536"/>
      <c r="AA194" s="536"/>
      <c r="AB194" s="536"/>
      <c r="AC194" s="536"/>
      <c r="AD194" s="536"/>
      <c r="AE194" s="536"/>
      <c r="AF194" s="536"/>
      <c r="AG194" s="675"/>
      <c r="AH194" s="537" t="s">
        <v>443</v>
      </c>
      <c r="AI194" s="536"/>
    </row>
    <row r="195" spans="1:35" x14ac:dyDescent="0.2">
      <c r="A195" s="548"/>
      <c r="B195" s="552"/>
      <c r="C195" s="1822" t="s">
        <v>444</v>
      </c>
      <c r="D195" s="1822"/>
      <c r="E195" s="1822"/>
      <c r="F195" s="1822"/>
      <c r="G195" s="1822"/>
      <c r="H195" s="1822"/>
      <c r="I195" s="1822"/>
      <c r="J195" s="1822"/>
      <c r="K195" s="1822"/>
      <c r="L195" s="551">
        <v>4097.08</v>
      </c>
      <c r="M195" s="550"/>
      <c r="N195" s="549"/>
      <c r="P195" s="536"/>
      <c r="Q195" s="536"/>
      <c r="R195" s="536"/>
      <c r="S195" s="536"/>
      <c r="T195" s="536"/>
      <c r="U195" s="536"/>
      <c r="V195" s="536"/>
      <c r="W195" s="536"/>
      <c r="X195" s="536"/>
      <c r="Y195" s="536"/>
      <c r="Z195" s="536"/>
      <c r="AA195" s="536"/>
      <c r="AB195" s="536"/>
      <c r="AC195" s="536"/>
      <c r="AD195" s="536"/>
      <c r="AE195" s="536"/>
      <c r="AF195" s="536"/>
      <c r="AG195" s="675"/>
      <c r="AH195" s="537" t="s">
        <v>444</v>
      </c>
      <c r="AI195" s="536"/>
    </row>
    <row r="196" spans="1:35" x14ac:dyDescent="0.2">
      <c r="A196" s="548"/>
      <c r="B196" s="552" t="s">
        <v>185</v>
      </c>
      <c r="C196" s="1822" t="s">
        <v>753</v>
      </c>
      <c r="D196" s="1822"/>
      <c r="E196" s="1822"/>
      <c r="F196" s="1822"/>
      <c r="G196" s="1822"/>
      <c r="H196" s="1822"/>
      <c r="I196" s="1822"/>
      <c r="J196" s="1822"/>
      <c r="K196" s="1822"/>
      <c r="L196" s="551">
        <v>15700.13</v>
      </c>
      <c r="M196" s="550">
        <v>8.01</v>
      </c>
      <c r="N196" s="549">
        <v>125758</v>
      </c>
      <c r="P196" s="536"/>
      <c r="Q196" s="536"/>
      <c r="R196" s="536"/>
      <c r="S196" s="536"/>
      <c r="T196" s="536"/>
      <c r="U196" s="536"/>
      <c r="V196" s="536"/>
      <c r="W196" s="536"/>
      <c r="X196" s="536"/>
      <c r="Y196" s="536"/>
      <c r="Z196" s="536"/>
      <c r="AA196" s="536"/>
      <c r="AB196" s="536"/>
      <c r="AC196" s="536"/>
      <c r="AD196" s="536"/>
      <c r="AE196" s="536"/>
      <c r="AF196" s="536"/>
      <c r="AG196" s="675"/>
      <c r="AH196" s="537" t="s">
        <v>753</v>
      </c>
      <c r="AI196" s="536"/>
    </row>
    <row r="197" spans="1:35" x14ac:dyDescent="0.2">
      <c r="A197" s="548"/>
      <c r="B197" s="552"/>
      <c r="C197" s="1822" t="s">
        <v>204</v>
      </c>
      <c r="D197" s="1822"/>
      <c r="E197" s="1822"/>
      <c r="F197" s="1822"/>
      <c r="G197" s="1822"/>
      <c r="H197" s="1822"/>
      <c r="I197" s="1822"/>
      <c r="J197" s="1822"/>
      <c r="K197" s="1822"/>
      <c r="L197" s="551"/>
      <c r="M197" s="550"/>
      <c r="N197" s="549"/>
      <c r="P197" s="536"/>
      <c r="Q197" s="536"/>
      <c r="R197" s="536"/>
      <c r="S197" s="536"/>
      <c r="T197" s="536"/>
      <c r="U197" s="536"/>
      <c r="V197" s="536"/>
      <c r="W197" s="536"/>
      <c r="X197" s="536"/>
      <c r="Y197" s="536"/>
      <c r="Z197" s="536"/>
      <c r="AA197" s="536"/>
      <c r="AB197" s="536"/>
      <c r="AC197" s="536"/>
      <c r="AD197" s="536"/>
      <c r="AE197" s="536"/>
      <c r="AF197" s="536"/>
      <c r="AG197" s="675"/>
      <c r="AH197" s="537" t="s">
        <v>204</v>
      </c>
      <c r="AI197" s="536"/>
    </row>
    <row r="198" spans="1:35" x14ac:dyDescent="0.2">
      <c r="A198" s="548"/>
      <c r="B198" s="552"/>
      <c r="C198" s="1822" t="s">
        <v>546</v>
      </c>
      <c r="D198" s="1822"/>
      <c r="E198" s="1822"/>
      <c r="F198" s="1822"/>
      <c r="G198" s="1822"/>
      <c r="H198" s="1822"/>
      <c r="I198" s="1822"/>
      <c r="J198" s="1822"/>
      <c r="K198" s="1822"/>
      <c r="L198" s="551">
        <v>3277.76</v>
      </c>
      <c r="M198" s="550"/>
      <c r="N198" s="549"/>
      <c r="P198" s="536"/>
      <c r="Q198" s="536"/>
      <c r="R198" s="536"/>
      <c r="S198" s="536"/>
      <c r="T198" s="536"/>
      <c r="U198" s="536"/>
      <c r="V198" s="536"/>
      <c r="W198" s="536"/>
      <c r="X198" s="536"/>
      <c r="Y198" s="536"/>
      <c r="Z198" s="536"/>
      <c r="AA198" s="536"/>
      <c r="AB198" s="536"/>
      <c r="AC198" s="536"/>
      <c r="AD198" s="536"/>
      <c r="AE198" s="536"/>
      <c r="AF198" s="536"/>
      <c r="AG198" s="675"/>
      <c r="AH198" s="537" t="s">
        <v>546</v>
      </c>
      <c r="AI198" s="536"/>
    </row>
    <row r="199" spans="1:35" x14ac:dyDescent="0.2">
      <c r="A199" s="548"/>
      <c r="B199" s="552"/>
      <c r="C199" s="1822" t="s">
        <v>442</v>
      </c>
      <c r="D199" s="1822"/>
      <c r="E199" s="1822"/>
      <c r="F199" s="1822"/>
      <c r="G199" s="1822"/>
      <c r="H199" s="1822"/>
      <c r="I199" s="1822"/>
      <c r="J199" s="1822"/>
      <c r="K199" s="1822"/>
      <c r="L199" s="551">
        <v>2689.39</v>
      </c>
      <c r="M199" s="550"/>
      <c r="N199" s="549"/>
      <c r="P199" s="536"/>
      <c r="Q199" s="536"/>
      <c r="R199" s="536"/>
      <c r="S199" s="536"/>
      <c r="T199" s="536"/>
      <c r="U199" s="536"/>
      <c r="V199" s="536"/>
      <c r="W199" s="536"/>
      <c r="X199" s="536"/>
      <c r="Y199" s="536"/>
      <c r="Z199" s="536"/>
      <c r="AA199" s="536"/>
      <c r="AB199" s="536"/>
      <c r="AC199" s="536"/>
      <c r="AD199" s="536"/>
      <c r="AE199" s="536"/>
      <c r="AF199" s="536"/>
      <c r="AG199" s="675"/>
      <c r="AH199" s="537" t="s">
        <v>442</v>
      </c>
      <c r="AI199" s="536"/>
    </row>
    <row r="200" spans="1:35" x14ac:dyDescent="0.2">
      <c r="A200" s="548"/>
      <c r="B200" s="552"/>
      <c r="C200" s="1822" t="s">
        <v>547</v>
      </c>
      <c r="D200" s="1822"/>
      <c r="E200" s="1822"/>
      <c r="F200" s="1822"/>
      <c r="G200" s="1822"/>
      <c r="H200" s="1822"/>
      <c r="I200" s="1822"/>
      <c r="J200" s="1822"/>
      <c r="K200" s="1822"/>
      <c r="L200" s="551">
        <v>4889.83</v>
      </c>
      <c r="M200" s="550"/>
      <c r="N200" s="549"/>
      <c r="P200" s="536"/>
      <c r="Q200" s="536"/>
      <c r="R200" s="536"/>
      <c r="S200" s="536"/>
      <c r="T200" s="536"/>
      <c r="U200" s="536"/>
      <c r="V200" s="536"/>
      <c r="W200" s="536"/>
      <c r="X200" s="536"/>
      <c r="Y200" s="536"/>
      <c r="Z200" s="536"/>
      <c r="AA200" s="536"/>
      <c r="AB200" s="536"/>
      <c r="AC200" s="536"/>
      <c r="AD200" s="536"/>
      <c r="AE200" s="536"/>
      <c r="AF200" s="536"/>
      <c r="AG200" s="675"/>
      <c r="AH200" s="537" t="s">
        <v>547</v>
      </c>
      <c r="AI200" s="536"/>
    </row>
    <row r="201" spans="1:35" x14ac:dyDescent="0.2">
      <c r="A201" s="548"/>
      <c r="B201" s="552"/>
      <c r="C201" s="1822" t="s">
        <v>443</v>
      </c>
      <c r="D201" s="1822"/>
      <c r="E201" s="1822"/>
      <c r="F201" s="1822"/>
      <c r="G201" s="1822"/>
      <c r="H201" s="1822"/>
      <c r="I201" s="1822"/>
      <c r="J201" s="1822"/>
      <c r="K201" s="1822"/>
      <c r="L201" s="551">
        <v>3205.03</v>
      </c>
      <c r="M201" s="550"/>
      <c r="N201" s="549"/>
      <c r="P201" s="536"/>
      <c r="Q201" s="536"/>
      <c r="R201" s="536"/>
      <c r="S201" s="536"/>
      <c r="T201" s="536"/>
      <c r="U201" s="536"/>
      <c r="V201" s="536"/>
      <c r="W201" s="536"/>
      <c r="X201" s="536"/>
      <c r="Y201" s="536"/>
      <c r="Z201" s="536"/>
      <c r="AA201" s="536"/>
      <c r="AB201" s="536"/>
      <c r="AC201" s="536"/>
      <c r="AD201" s="536"/>
      <c r="AE201" s="536"/>
      <c r="AF201" s="536"/>
      <c r="AG201" s="675"/>
      <c r="AH201" s="537" t="s">
        <v>443</v>
      </c>
      <c r="AI201" s="536"/>
    </row>
    <row r="202" spans="1:35" x14ac:dyDescent="0.2">
      <c r="A202" s="548"/>
      <c r="B202" s="552"/>
      <c r="C202" s="1822" t="s">
        <v>444</v>
      </c>
      <c r="D202" s="1822"/>
      <c r="E202" s="1822"/>
      <c r="F202" s="1822"/>
      <c r="G202" s="1822"/>
      <c r="H202" s="1822"/>
      <c r="I202" s="1822"/>
      <c r="J202" s="1822"/>
      <c r="K202" s="1822"/>
      <c r="L202" s="551">
        <v>1638.12</v>
      </c>
      <c r="M202" s="550"/>
      <c r="N202" s="549"/>
      <c r="P202" s="536"/>
      <c r="Q202" s="536"/>
      <c r="R202" s="536"/>
      <c r="S202" s="536"/>
      <c r="T202" s="536"/>
      <c r="U202" s="536"/>
      <c r="V202" s="536"/>
      <c r="W202" s="536"/>
      <c r="X202" s="536"/>
      <c r="Y202" s="536"/>
      <c r="Z202" s="536"/>
      <c r="AA202" s="536"/>
      <c r="AB202" s="536"/>
      <c r="AC202" s="536"/>
      <c r="AD202" s="536"/>
      <c r="AE202" s="536"/>
      <c r="AF202" s="536"/>
      <c r="AG202" s="675"/>
      <c r="AH202" s="537" t="s">
        <v>444</v>
      </c>
      <c r="AI202" s="536"/>
    </row>
    <row r="203" spans="1:35" x14ac:dyDescent="0.2">
      <c r="A203" s="548"/>
      <c r="B203" s="552" t="s">
        <v>186</v>
      </c>
      <c r="C203" s="1822" t="s">
        <v>754</v>
      </c>
      <c r="D203" s="1822"/>
      <c r="E203" s="1822"/>
      <c r="F203" s="1822"/>
      <c r="G203" s="1822"/>
      <c r="H203" s="1822"/>
      <c r="I203" s="1822"/>
      <c r="J203" s="1822"/>
      <c r="K203" s="1822"/>
      <c r="L203" s="551">
        <v>1100272.56</v>
      </c>
      <c r="M203" s="550">
        <v>4.59</v>
      </c>
      <c r="N203" s="549">
        <v>5050251</v>
      </c>
      <c r="P203" s="536"/>
      <c r="Q203" s="536"/>
      <c r="R203" s="536"/>
      <c r="S203" s="536"/>
      <c r="T203" s="536"/>
      <c r="U203" s="536"/>
      <c r="V203" s="536"/>
      <c r="W203" s="536"/>
      <c r="X203" s="536"/>
      <c r="Y203" s="536"/>
      <c r="Z203" s="536"/>
      <c r="AA203" s="536"/>
      <c r="AB203" s="536"/>
      <c r="AC203" s="536"/>
      <c r="AD203" s="536"/>
      <c r="AE203" s="536"/>
      <c r="AF203" s="536"/>
      <c r="AG203" s="675"/>
      <c r="AH203" s="537" t="s">
        <v>754</v>
      </c>
      <c r="AI203" s="536"/>
    </row>
    <row r="204" spans="1:35" x14ac:dyDescent="0.2">
      <c r="A204" s="548"/>
      <c r="B204" s="552"/>
      <c r="C204" s="1822" t="s">
        <v>415</v>
      </c>
      <c r="D204" s="1822"/>
      <c r="E204" s="1822"/>
      <c r="F204" s="1822"/>
      <c r="G204" s="1822"/>
      <c r="H204" s="1822"/>
      <c r="I204" s="1822"/>
      <c r="J204" s="1822"/>
      <c r="K204" s="1822"/>
      <c r="L204" s="551">
        <v>12467.84</v>
      </c>
      <c r="M204" s="550"/>
      <c r="N204" s="549"/>
      <c r="P204" s="536"/>
      <c r="Q204" s="536"/>
      <c r="R204" s="536"/>
      <c r="S204" s="536"/>
      <c r="T204" s="536"/>
      <c r="U204" s="536"/>
      <c r="V204" s="536"/>
      <c r="W204" s="536"/>
      <c r="X204" s="536"/>
      <c r="Y204" s="536"/>
      <c r="Z204" s="536"/>
      <c r="AA204" s="536"/>
      <c r="AB204" s="536"/>
      <c r="AC204" s="536"/>
      <c r="AD204" s="536"/>
      <c r="AE204" s="536"/>
      <c r="AF204" s="536"/>
      <c r="AG204" s="675"/>
      <c r="AH204" s="537" t="s">
        <v>415</v>
      </c>
      <c r="AI204" s="536"/>
    </row>
    <row r="205" spans="1:35" x14ac:dyDescent="0.2">
      <c r="A205" s="548"/>
      <c r="B205" s="552"/>
      <c r="C205" s="1822" t="s">
        <v>416</v>
      </c>
      <c r="D205" s="1822"/>
      <c r="E205" s="1822"/>
      <c r="F205" s="1822"/>
      <c r="G205" s="1822"/>
      <c r="H205" s="1822"/>
      <c r="I205" s="1822"/>
      <c r="J205" s="1822"/>
      <c r="K205" s="1822"/>
      <c r="L205" s="551">
        <v>11399.2</v>
      </c>
      <c r="M205" s="550"/>
      <c r="N205" s="549"/>
      <c r="P205" s="536"/>
      <c r="Q205" s="536"/>
      <c r="R205" s="536"/>
      <c r="S205" s="536"/>
      <c r="T205" s="536"/>
      <c r="U205" s="536"/>
      <c r="V205" s="536"/>
      <c r="W205" s="536"/>
      <c r="X205" s="536"/>
      <c r="Y205" s="536"/>
      <c r="Z205" s="536"/>
      <c r="AA205" s="536"/>
      <c r="AB205" s="536"/>
      <c r="AC205" s="536"/>
      <c r="AD205" s="536"/>
      <c r="AE205" s="536"/>
      <c r="AF205" s="536"/>
      <c r="AG205" s="675"/>
      <c r="AH205" s="537" t="s">
        <v>416</v>
      </c>
      <c r="AI205" s="536"/>
    </row>
    <row r="206" spans="1:35" x14ac:dyDescent="0.2">
      <c r="A206" s="548"/>
      <c r="B206" s="552"/>
      <c r="C206" s="1822" t="s">
        <v>417</v>
      </c>
      <c r="D206" s="1822"/>
      <c r="E206" s="1822"/>
      <c r="F206" s="1822"/>
      <c r="G206" s="1822"/>
      <c r="H206" s="1822"/>
      <c r="I206" s="1822"/>
      <c r="J206" s="1822"/>
      <c r="K206" s="1822"/>
      <c r="L206" s="551">
        <v>5735.2</v>
      </c>
      <c r="M206" s="550"/>
      <c r="N206" s="549"/>
      <c r="P206" s="536"/>
      <c r="Q206" s="536"/>
      <c r="R206" s="536"/>
      <c r="S206" s="536"/>
      <c r="T206" s="536"/>
      <c r="U206" s="536"/>
      <c r="V206" s="536"/>
      <c r="W206" s="536"/>
      <c r="X206" s="536"/>
      <c r="Y206" s="536"/>
      <c r="Z206" s="536"/>
      <c r="AA206" s="536"/>
      <c r="AB206" s="536"/>
      <c r="AC206" s="536"/>
      <c r="AD206" s="536"/>
      <c r="AE206" s="536"/>
      <c r="AF206" s="536"/>
      <c r="AG206" s="675"/>
      <c r="AH206" s="537" t="s">
        <v>417</v>
      </c>
      <c r="AI206" s="536"/>
    </row>
    <row r="207" spans="1:35" x14ac:dyDescent="0.2">
      <c r="A207" s="548"/>
      <c r="B207" s="546"/>
      <c r="C207" s="1819" t="s">
        <v>206</v>
      </c>
      <c r="D207" s="1819"/>
      <c r="E207" s="1819"/>
      <c r="F207" s="1819"/>
      <c r="G207" s="1819"/>
      <c r="H207" s="1819"/>
      <c r="I207" s="1819"/>
      <c r="J207" s="1819"/>
      <c r="K207" s="1819"/>
      <c r="L207" s="544">
        <v>1172716.73</v>
      </c>
      <c r="M207" s="543"/>
      <c r="N207" s="547">
        <v>5630529</v>
      </c>
      <c r="P207" s="536"/>
      <c r="Q207" s="536"/>
      <c r="R207" s="536"/>
      <c r="S207" s="536"/>
      <c r="T207" s="536"/>
      <c r="U207" s="536"/>
      <c r="V207" s="536"/>
      <c r="W207" s="536"/>
      <c r="X207" s="536"/>
      <c r="Y207" s="536"/>
      <c r="Z207" s="536"/>
      <c r="AA207" s="536"/>
      <c r="AB207" s="536"/>
      <c r="AC207" s="536"/>
      <c r="AD207" s="536"/>
      <c r="AE207" s="536"/>
      <c r="AF207" s="536"/>
      <c r="AG207" s="675"/>
      <c r="AH207" s="536"/>
      <c r="AI207" s="675" t="s">
        <v>206</v>
      </c>
    </row>
    <row r="208" spans="1:35" x14ac:dyDescent="0.2">
      <c r="A208" s="548"/>
      <c r="B208" s="552"/>
      <c r="C208" s="1822" t="s">
        <v>204</v>
      </c>
      <c r="D208" s="1822"/>
      <c r="E208" s="1822"/>
      <c r="F208" s="1822"/>
      <c r="G208" s="1822"/>
      <c r="H208" s="1822"/>
      <c r="I208" s="1822"/>
      <c r="J208" s="1822"/>
      <c r="K208" s="1822"/>
      <c r="L208" s="551"/>
      <c r="M208" s="550"/>
      <c r="N208" s="549"/>
      <c r="P208" s="536"/>
      <c r="Q208" s="536"/>
      <c r="R208" s="536"/>
      <c r="S208" s="536"/>
      <c r="T208" s="536"/>
      <c r="U208" s="536"/>
      <c r="V208" s="536"/>
      <c r="W208" s="536"/>
      <c r="X208" s="536"/>
      <c r="Y208" s="536"/>
      <c r="Z208" s="536"/>
      <c r="AA208" s="536"/>
      <c r="AB208" s="536"/>
      <c r="AC208" s="536"/>
      <c r="AD208" s="536"/>
      <c r="AE208" s="536"/>
      <c r="AF208" s="536"/>
      <c r="AG208" s="675"/>
      <c r="AH208" s="537" t="s">
        <v>204</v>
      </c>
      <c r="AI208" s="675"/>
    </row>
    <row r="209" spans="1:35" x14ac:dyDescent="0.2">
      <c r="A209" s="548"/>
      <c r="B209" s="552"/>
      <c r="C209" s="1822" t="s">
        <v>8097</v>
      </c>
      <c r="D209" s="1822"/>
      <c r="E209" s="1822"/>
      <c r="F209" s="1822"/>
      <c r="G209" s="1822"/>
      <c r="H209" s="1822"/>
      <c r="I209" s="1822"/>
      <c r="J209" s="1822"/>
      <c r="K209" s="1822"/>
      <c r="L209" s="551"/>
      <c r="M209" s="550"/>
      <c r="N209" s="549">
        <v>5050251</v>
      </c>
      <c r="P209" s="536"/>
      <c r="Q209" s="536"/>
      <c r="R209" s="536"/>
      <c r="S209" s="536"/>
      <c r="T209" s="536"/>
      <c r="U209" s="536"/>
      <c r="V209" s="536"/>
      <c r="W209" s="536"/>
      <c r="X209" s="536"/>
      <c r="Y209" s="536"/>
      <c r="Z209" s="536"/>
      <c r="AA209" s="536"/>
      <c r="AB209" s="536"/>
      <c r="AC209" s="536"/>
      <c r="AD209" s="536"/>
      <c r="AE209" s="536"/>
      <c r="AF209" s="536"/>
      <c r="AG209" s="675"/>
      <c r="AH209" s="537" t="s">
        <v>8097</v>
      </c>
      <c r="AI209" s="675"/>
    </row>
    <row r="210" spans="1:35" ht="1.5" customHeight="1" x14ac:dyDescent="0.2">
      <c r="B210" s="546"/>
      <c r="C210" s="671"/>
      <c r="D210" s="671"/>
      <c r="E210" s="671"/>
      <c r="F210" s="671"/>
      <c r="G210" s="671"/>
      <c r="H210" s="671"/>
      <c r="I210" s="671"/>
      <c r="J210" s="671"/>
      <c r="K210" s="671"/>
      <c r="L210" s="544"/>
      <c r="M210" s="543"/>
      <c r="N210" s="542"/>
      <c r="P210" s="536"/>
      <c r="Q210" s="536"/>
      <c r="R210" s="536"/>
      <c r="S210" s="536"/>
      <c r="T210" s="536"/>
      <c r="U210" s="536"/>
      <c r="V210" s="536"/>
      <c r="W210" s="536"/>
      <c r="X210" s="536"/>
      <c r="Y210" s="536"/>
      <c r="Z210" s="536"/>
      <c r="AA210" s="536"/>
      <c r="AB210" s="536"/>
      <c r="AC210" s="536"/>
      <c r="AD210" s="536"/>
      <c r="AE210" s="536"/>
      <c r="AF210" s="536"/>
      <c r="AG210" s="536"/>
      <c r="AH210" s="536"/>
      <c r="AI210" s="536"/>
    </row>
    <row r="211" spans="1:35" ht="53.25" customHeight="1" x14ac:dyDescent="0.2">
      <c r="A211" s="541"/>
      <c r="B211" s="541"/>
      <c r="C211" s="541"/>
      <c r="D211" s="541"/>
      <c r="E211" s="541"/>
      <c r="F211" s="541"/>
      <c r="G211" s="541"/>
      <c r="H211" s="541"/>
      <c r="I211" s="541"/>
      <c r="J211" s="541"/>
      <c r="K211" s="541"/>
      <c r="L211" s="541"/>
      <c r="M211" s="541"/>
      <c r="N211" s="541"/>
      <c r="P211" s="536"/>
      <c r="Q211" s="536"/>
      <c r="R211" s="536"/>
      <c r="S211" s="536"/>
      <c r="T211" s="536"/>
      <c r="U211" s="536"/>
      <c r="V211" s="536"/>
      <c r="W211" s="536"/>
      <c r="X211" s="536"/>
      <c r="Y211" s="536"/>
      <c r="Z211" s="536"/>
      <c r="AA211" s="536"/>
      <c r="AB211" s="536"/>
      <c r="AC211" s="536"/>
      <c r="AD211" s="536"/>
      <c r="AE211" s="536"/>
      <c r="AF211" s="536"/>
      <c r="AG211" s="536"/>
      <c r="AH211" s="536"/>
      <c r="AI211" s="536"/>
    </row>
    <row r="212" spans="1:35" x14ac:dyDescent="0.2">
      <c r="B212" s="539" t="s">
        <v>149</v>
      </c>
      <c r="C212" s="1820" t="s">
        <v>296</v>
      </c>
      <c r="D212" s="1820"/>
      <c r="E212" s="1820"/>
      <c r="F212" s="1820"/>
      <c r="G212" s="1820"/>
      <c r="H212" s="1820"/>
      <c r="I212" s="1820"/>
      <c r="J212" s="1820"/>
      <c r="K212" s="1820"/>
      <c r="L212" s="1820"/>
    </row>
    <row r="213" spans="1:35" ht="13.5" customHeight="1" x14ac:dyDescent="0.2">
      <c r="B213" s="540"/>
      <c r="C213" s="1821" t="s">
        <v>150</v>
      </c>
      <c r="D213" s="1821"/>
      <c r="E213" s="1821"/>
      <c r="F213" s="1821"/>
      <c r="G213" s="1821"/>
      <c r="H213" s="1821"/>
      <c r="I213" s="1821"/>
      <c r="J213" s="1821"/>
      <c r="K213" s="1821"/>
      <c r="L213" s="1821"/>
    </row>
    <row r="214" spans="1:35" ht="12.75" customHeight="1" x14ac:dyDescent="0.2">
      <c r="B214" s="539" t="s">
        <v>151</v>
      </c>
      <c r="C214" s="1820" t="s">
        <v>297</v>
      </c>
      <c r="D214" s="1820"/>
      <c r="E214" s="1820"/>
      <c r="F214" s="1820"/>
      <c r="G214" s="1820"/>
      <c r="H214" s="1820"/>
      <c r="I214" s="1820"/>
      <c r="J214" s="1820"/>
      <c r="K214" s="1820"/>
      <c r="L214" s="1820"/>
    </row>
    <row r="215" spans="1:35" ht="13.5" customHeight="1" x14ac:dyDescent="0.2">
      <c r="C215" s="1821" t="s">
        <v>150</v>
      </c>
      <c r="D215" s="1821"/>
      <c r="E215" s="1821"/>
      <c r="F215" s="1821"/>
      <c r="G215" s="1821"/>
      <c r="H215" s="1821"/>
      <c r="I215" s="1821"/>
      <c r="J215" s="1821"/>
      <c r="K215" s="1821"/>
      <c r="L215" s="1821"/>
    </row>
    <row r="217" spans="1:35" x14ac:dyDescent="0.2">
      <c r="B217" s="538"/>
      <c r="D217" s="538"/>
      <c r="F217" s="538"/>
      <c r="P217" s="536"/>
      <c r="Q217" s="536"/>
      <c r="R217" s="536"/>
      <c r="S217" s="536"/>
      <c r="T217" s="536"/>
      <c r="U217" s="536"/>
      <c r="V217" s="536"/>
      <c r="W217" s="536"/>
      <c r="X217" s="536"/>
      <c r="Y217" s="536"/>
      <c r="Z217" s="536"/>
      <c r="AA217" s="536"/>
      <c r="AB217" s="536"/>
      <c r="AC217" s="536"/>
      <c r="AD217" s="536"/>
      <c r="AE217" s="536"/>
      <c r="AF217" s="536"/>
      <c r="AG217" s="536"/>
      <c r="AH217" s="536"/>
      <c r="AI217" s="536"/>
    </row>
  </sheetData>
  <mergeCells count="194">
    <mergeCell ref="C212:L212"/>
    <mergeCell ref="C213:L213"/>
    <mergeCell ref="C214:L214"/>
    <mergeCell ref="C215:L215"/>
    <mergeCell ref="C204:K204"/>
    <mergeCell ref="C205:K205"/>
    <mergeCell ref="C206:K206"/>
    <mergeCell ref="C207:K207"/>
    <mergeCell ref="C208:K208"/>
    <mergeCell ref="C209:K209"/>
    <mergeCell ref="C198:K198"/>
    <mergeCell ref="C199:K199"/>
    <mergeCell ref="C200:K200"/>
    <mergeCell ref="C201:K201"/>
    <mergeCell ref="C202:K202"/>
    <mergeCell ref="C203:K203"/>
    <mergeCell ref="C192:K192"/>
    <mergeCell ref="C193:K193"/>
    <mergeCell ref="C194:K194"/>
    <mergeCell ref="C195:K195"/>
    <mergeCell ref="C196:K196"/>
    <mergeCell ref="C197:K197"/>
    <mergeCell ref="C186:K186"/>
    <mergeCell ref="C187:K187"/>
    <mergeCell ref="C188:K188"/>
    <mergeCell ref="C189:K189"/>
    <mergeCell ref="C190:K190"/>
    <mergeCell ref="C191:K191"/>
    <mergeCell ref="C179:K179"/>
    <mergeCell ref="C180:K180"/>
    <mergeCell ref="C181:K181"/>
    <mergeCell ref="C183:K183"/>
    <mergeCell ref="C184:K184"/>
    <mergeCell ref="C185:K185"/>
    <mergeCell ref="C173:K173"/>
    <mergeCell ref="C174:K174"/>
    <mergeCell ref="C175:K175"/>
    <mergeCell ref="C176:K176"/>
    <mergeCell ref="C177:K177"/>
    <mergeCell ref="C178:K178"/>
    <mergeCell ref="C167:K167"/>
    <mergeCell ref="C168:K168"/>
    <mergeCell ref="C169:K169"/>
    <mergeCell ref="C170:K170"/>
    <mergeCell ref="C171:K171"/>
    <mergeCell ref="C172:K172"/>
    <mergeCell ref="C161:K161"/>
    <mergeCell ref="C162:K162"/>
    <mergeCell ref="C163:K163"/>
    <mergeCell ref="C164:K164"/>
    <mergeCell ref="C165:K165"/>
    <mergeCell ref="C166:K166"/>
    <mergeCell ref="C153:E153"/>
    <mergeCell ref="C154:E154"/>
    <mergeCell ref="C155:E155"/>
    <mergeCell ref="C156:E156"/>
    <mergeCell ref="C157:E157"/>
    <mergeCell ref="C159:N159"/>
    <mergeCell ref="C147:E147"/>
    <mergeCell ref="C148:E148"/>
    <mergeCell ref="C149:E149"/>
    <mergeCell ref="C150:E150"/>
    <mergeCell ref="C151:E151"/>
    <mergeCell ref="C152:E152"/>
    <mergeCell ref="C140:E140"/>
    <mergeCell ref="C142:N142"/>
    <mergeCell ref="C143:E143"/>
    <mergeCell ref="C144:N144"/>
    <mergeCell ref="C145:N145"/>
    <mergeCell ref="C146:E146"/>
    <mergeCell ref="C134:E134"/>
    <mergeCell ref="C135:E135"/>
    <mergeCell ref="C136:E136"/>
    <mergeCell ref="C137:E137"/>
    <mergeCell ref="C138:E138"/>
    <mergeCell ref="C139:E139"/>
    <mergeCell ref="C128:N128"/>
    <mergeCell ref="C129:E129"/>
    <mergeCell ref="C130:E130"/>
    <mergeCell ref="C131:E131"/>
    <mergeCell ref="C132:E132"/>
    <mergeCell ref="C133:E133"/>
    <mergeCell ref="C121:E121"/>
    <mergeCell ref="C122:E122"/>
    <mergeCell ref="C123:E123"/>
    <mergeCell ref="C125:N125"/>
    <mergeCell ref="C126:E126"/>
    <mergeCell ref="C127:N127"/>
    <mergeCell ref="C115:E115"/>
    <mergeCell ref="C116:E116"/>
    <mergeCell ref="C117:E117"/>
    <mergeCell ref="C118:E118"/>
    <mergeCell ref="C119:E119"/>
    <mergeCell ref="C120:E120"/>
    <mergeCell ref="C109:E109"/>
    <mergeCell ref="C110:N110"/>
    <mergeCell ref="C111:N111"/>
    <mergeCell ref="C112:E112"/>
    <mergeCell ref="C113:E113"/>
    <mergeCell ref="C114:E114"/>
    <mergeCell ref="C102:E102"/>
    <mergeCell ref="C103:E103"/>
    <mergeCell ref="C104:E104"/>
    <mergeCell ref="C105:E105"/>
    <mergeCell ref="C106:E106"/>
    <mergeCell ref="C108:N108"/>
    <mergeCell ref="C96:E96"/>
    <mergeCell ref="C97:E97"/>
    <mergeCell ref="C98:E98"/>
    <mergeCell ref="C99:E99"/>
    <mergeCell ref="C100:E100"/>
    <mergeCell ref="C101:E101"/>
    <mergeCell ref="C90:K90"/>
    <mergeCell ref="C91:K91"/>
    <mergeCell ref="A92:N92"/>
    <mergeCell ref="C93:E93"/>
    <mergeCell ref="C94:N94"/>
    <mergeCell ref="C95:E95"/>
    <mergeCell ref="C84:K84"/>
    <mergeCell ref="C85:K85"/>
    <mergeCell ref="C86:K86"/>
    <mergeCell ref="C87:K87"/>
    <mergeCell ref="C88:K88"/>
    <mergeCell ref="C89:K89"/>
    <mergeCell ref="C78:K78"/>
    <mergeCell ref="C79:K79"/>
    <mergeCell ref="C80:K80"/>
    <mergeCell ref="C81:K81"/>
    <mergeCell ref="C82:K82"/>
    <mergeCell ref="C83:K83"/>
    <mergeCell ref="C71:E71"/>
    <mergeCell ref="C72:E72"/>
    <mergeCell ref="C73:E73"/>
    <mergeCell ref="C74:E74"/>
    <mergeCell ref="C76:K76"/>
    <mergeCell ref="C77:K77"/>
    <mergeCell ref="C65:E65"/>
    <mergeCell ref="C66:E66"/>
    <mergeCell ref="C67:E67"/>
    <mergeCell ref="C68:E68"/>
    <mergeCell ref="C69:E69"/>
    <mergeCell ref="C70:E70"/>
    <mergeCell ref="C59:E59"/>
    <mergeCell ref="C60:E60"/>
    <mergeCell ref="C61:E61"/>
    <mergeCell ref="C62:E62"/>
    <mergeCell ref="C63:N63"/>
    <mergeCell ref="C64:N64"/>
    <mergeCell ref="C53:N53"/>
    <mergeCell ref="C54:E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N52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216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0">
    <pageSetUpPr fitToPage="1"/>
  </sheetPr>
  <dimension ref="B1:I37"/>
  <sheetViews>
    <sheetView showGridLines="0" topLeftCell="B4" zoomScale="115" zoomScaleNormal="115" workbookViewId="0">
      <selection activeCell="H15" sqref="H15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274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 t="s">
        <v>94</v>
      </c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663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5055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143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2724.65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1173">
        <v>0.6</v>
      </c>
      <c r="F15" s="508"/>
      <c r="G15" s="509"/>
      <c r="H15" s="691" t="s">
        <v>283</v>
      </c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1174">
        <f>I31/E15</f>
        <v>4541.08</v>
      </c>
      <c r="F17" s="508"/>
      <c r="G17" s="509"/>
      <c r="H17" s="691" t="s">
        <v>279</v>
      </c>
      <c r="I17" s="9"/>
    </row>
    <row r="18" spans="2:9" x14ac:dyDescent="0.2">
      <c r="B18" s="6"/>
      <c r="C18" s="24" t="s">
        <v>484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x14ac:dyDescent="0.2">
      <c r="B26" s="511">
        <v>1</v>
      </c>
      <c r="C26" s="512" t="s">
        <v>5056</v>
      </c>
      <c r="D26" s="513" t="s">
        <v>5057</v>
      </c>
      <c r="E26" s="514">
        <v>943.27</v>
      </c>
      <c r="F26" s="514"/>
      <c r="G26" s="514"/>
      <c r="H26" s="514"/>
      <c r="I26" s="514">
        <v>943.27</v>
      </c>
    </row>
    <row r="27" spans="2:9" x14ac:dyDescent="0.2">
      <c r="B27" s="511">
        <v>2</v>
      </c>
      <c r="C27" s="512" t="s">
        <v>5058</v>
      </c>
      <c r="D27" s="513" t="s">
        <v>5059</v>
      </c>
      <c r="E27" s="514">
        <v>266.24</v>
      </c>
      <c r="F27" s="514"/>
      <c r="G27" s="514"/>
      <c r="H27" s="514"/>
      <c r="I27" s="514">
        <v>266.24</v>
      </c>
    </row>
    <row r="28" spans="2:9" x14ac:dyDescent="0.2">
      <c r="B28" s="511">
        <v>3</v>
      </c>
      <c r="C28" s="512" t="s">
        <v>5060</v>
      </c>
      <c r="D28" s="513" t="s">
        <v>5061</v>
      </c>
      <c r="E28" s="514">
        <v>38.93</v>
      </c>
      <c r="F28" s="514"/>
      <c r="G28" s="514"/>
      <c r="H28" s="514"/>
      <c r="I28" s="514">
        <v>38.93</v>
      </c>
    </row>
    <row r="29" spans="2:9" x14ac:dyDescent="0.2">
      <c r="B29" s="511">
        <v>4</v>
      </c>
      <c r="C29" s="512" t="s">
        <v>5062</v>
      </c>
      <c r="D29" s="513" t="s">
        <v>98</v>
      </c>
      <c r="E29" s="514">
        <v>1476.21</v>
      </c>
      <c r="F29" s="514"/>
      <c r="G29" s="514"/>
      <c r="H29" s="514"/>
      <c r="I29" s="514">
        <v>1476.21</v>
      </c>
    </row>
    <row r="30" spans="2:9" x14ac:dyDescent="0.2">
      <c r="B30" s="511" t="s">
        <v>143</v>
      </c>
      <c r="C30" s="512" t="s">
        <v>143</v>
      </c>
      <c r="D30" s="513" t="s">
        <v>6725</v>
      </c>
      <c r="E30" s="514">
        <v>2724.65</v>
      </c>
      <c r="F30" s="514"/>
      <c r="G30" s="514"/>
      <c r="H30" s="514"/>
      <c r="I30" s="514">
        <v>2724.65</v>
      </c>
    </row>
    <row r="31" spans="2:9" x14ac:dyDescent="0.2">
      <c r="B31" s="511" t="s">
        <v>143</v>
      </c>
      <c r="C31" s="512" t="s">
        <v>143</v>
      </c>
      <c r="D31" s="515" t="s">
        <v>294</v>
      </c>
      <c r="E31" s="527">
        <v>2724.65</v>
      </c>
      <c r="F31" s="527"/>
      <c r="G31" s="527"/>
      <c r="H31" s="527"/>
      <c r="I31" s="527">
        <v>2724.65</v>
      </c>
    </row>
    <row r="32" spans="2:9" x14ac:dyDescent="0.2">
      <c r="B32" s="31"/>
      <c r="C32" s="32"/>
      <c r="D32" s="33"/>
      <c r="E32" s="34"/>
      <c r="F32" s="34"/>
      <c r="G32" s="34"/>
      <c r="H32" s="34"/>
      <c r="I32" s="34"/>
    </row>
    <row r="34" spans="2:9" ht="15" x14ac:dyDescent="0.2">
      <c r="B34" s="35" t="s">
        <v>149</v>
      </c>
      <c r="D34" s="516"/>
      <c r="E34" s="517"/>
      <c r="F34" s="516"/>
      <c r="G34" s="516" t="s">
        <v>296</v>
      </c>
      <c r="I34" s="518"/>
    </row>
    <row r="35" spans="2:9" ht="15" x14ac:dyDescent="0.2">
      <c r="C35" s="39"/>
      <c r="D35" s="1793" t="s">
        <v>150</v>
      </c>
      <c r="E35" s="1793"/>
      <c r="F35" s="1793"/>
      <c r="G35" s="1793"/>
      <c r="H35" s="1793"/>
      <c r="I35" s="1793"/>
    </row>
    <row r="36" spans="2:9" ht="15" x14ac:dyDescent="0.2">
      <c r="B36" s="35" t="s">
        <v>151</v>
      </c>
      <c r="D36" s="516"/>
      <c r="E36" s="517"/>
      <c r="F36" s="516"/>
      <c r="G36" s="516" t="s">
        <v>297</v>
      </c>
      <c r="H36" s="517"/>
      <c r="I36" s="518"/>
    </row>
    <row r="37" spans="2:9" x14ac:dyDescent="0.2">
      <c r="D37" s="1793" t="s">
        <v>150</v>
      </c>
      <c r="E37" s="1793"/>
      <c r="F37" s="1793"/>
      <c r="G37" s="1793"/>
      <c r="H37" s="1793"/>
      <c r="I37" s="1793"/>
    </row>
  </sheetData>
  <mergeCells count="18">
    <mergeCell ref="B25:I25"/>
    <mergeCell ref="D35:I35"/>
    <mergeCell ref="D37:I37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  <mergeCell ref="B11:I11"/>
    <mergeCell ref="C3:H3"/>
    <mergeCell ref="D4:G4"/>
    <mergeCell ref="C5:H5"/>
    <mergeCell ref="D6:G6"/>
    <mergeCell ref="D10:H10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1">
    <pageSetUpPr fitToPage="1"/>
  </sheetPr>
  <dimension ref="B1:I38"/>
  <sheetViews>
    <sheetView showGridLines="0" topLeftCell="B14" zoomScale="115" zoomScaleNormal="115" workbookViewId="0">
      <selection activeCell="B26" sqref="B26:I29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274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 t="s">
        <v>94</v>
      </c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663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5055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143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22669.040000000001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507">
        <v>0.6</v>
      </c>
      <c r="F15" s="508"/>
      <c r="G15" s="509"/>
      <c r="H15" s="691" t="s">
        <v>283</v>
      </c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1172">
        <f>I31/E15</f>
        <v>37781.730000000003</v>
      </c>
      <c r="F17" s="508"/>
      <c r="G17" s="509"/>
      <c r="H17" s="691" t="s">
        <v>279</v>
      </c>
      <c r="I17" s="9"/>
    </row>
    <row r="18" spans="2:9" x14ac:dyDescent="0.2">
      <c r="B18" s="6"/>
      <c r="C18" s="24" t="s">
        <v>487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x14ac:dyDescent="0.2">
      <c r="B26" s="511">
        <v>1</v>
      </c>
      <c r="C26" s="512" t="s">
        <v>5056</v>
      </c>
      <c r="D26" s="513" t="s">
        <v>5057</v>
      </c>
      <c r="E26" s="514">
        <v>7847.97</v>
      </c>
      <c r="F26" s="514"/>
      <c r="G26" s="514"/>
      <c r="H26" s="514"/>
      <c r="I26" s="514">
        <v>7847.97</v>
      </c>
    </row>
    <row r="27" spans="2:9" x14ac:dyDescent="0.2">
      <c r="B27" s="511">
        <v>2</v>
      </c>
      <c r="C27" s="512" t="s">
        <v>5058</v>
      </c>
      <c r="D27" s="513" t="s">
        <v>5059</v>
      </c>
      <c r="E27" s="514">
        <v>2215.1</v>
      </c>
      <c r="F27" s="514"/>
      <c r="G27" s="514"/>
      <c r="H27" s="514"/>
      <c r="I27" s="514">
        <v>2215.1</v>
      </c>
    </row>
    <row r="28" spans="2:9" x14ac:dyDescent="0.2">
      <c r="B28" s="511">
        <v>3</v>
      </c>
      <c r="C28" s="512" t="s">
        <v>5060</v>
      </c>
      <c r="D28" s="513" t="s">
        <v>5061</v>
      </c>
      <c r="E28" s="514">
        <v>323.89999999999998</v>
      </c>
      <c r="F28" s="514"/>
      <c r="G28" s="514"/>
      <c r="H28" s="514"/>
      <c r="I28" s="514">
        <v>323.89999999999998</v>
      </c>
    </row>
    <row r="29" spans="2:9" x14ac:dyDescent="0.2">
      <c r="B29" s="511">
        <v>4</v>
      </c>
      <c r="C29" s="512" t="s">
        <v>5062</v>
      </c>
      <c r="D29" s="513" t="s">
        <v>98</v>
      </c>
      <c r="E29" s="514">
        <v>12282.07</v>
      </c>
      <c r="F29" s="514"/>
      <c r="G29" s="514"/>
      <c r="H29" s="514"/>
      <c r="I29" s="514">
        <v>12282.07</v>
      </c>
    </row>
    <row r="30" spans="2:9" x14ac:dyDescent="0.2">
      <c r="B30" s="511" t="s">
        <v>143</v>
      </c>
      <c r="C30" s="512" t="s">
        <v>143</v>
      </c>
      <c r="D30" s="513" t="s">
        <v>6725</v>
      </c>
      <c r="E30" s="514">
        <v>22669.040000000001</v>
      </c>
      <c r="F30" s="514"/>
      <c r="G30" s="514"/>
      <c r="H30" s="514"/>
      <c r="I30" s="514">
        <v>22669.040000000001</v>
      </c>
    </row>
    <row r="31" spans="2:9" x14ac:dyDescent="0.2">
      <c r="B31" s="672" t="s">
        <v>143</v>
      </c>
      <c r="C31" s="673" t="s">
        <v>143</v>
      </c>
      <c r="D31" s="515" t="s">
        <v>294</v>
      </c>
      <c r="E31" s="527">
        <v>22669.040000000001</v>
      </c>
      <c r="F31" s="527"/>
      <c r="G31" s="527"/>
      <c r="H31" s="527"/>
      <c r="I31" s="527">
        <v>22669.040000000001</v>
      </c>
    </row>
    <row r="32" spans="2:9" x14ac:dyDescent="0.2">
      <c r="B32" s="31"/>
      <c r="C32" s="32"/>
      <c r="D32" s="33"/>
      <c r="E32" s="34"/>
      <c r="F32" s="34"/>
      <c r="G32" s="34"/>
      <c r="H32" s="34"/>
      <c r="I32" s="34"/>
    </row>
    <row r="35" spans="2:9" ht="15" x14ac:dyDescent="0.2">
      <c r="B35" s="35" t="s">
        <v>149</v>
      </c>
      <c r="D35" s="516"/>
      <c r="E35" s="517"/>
      <c r="F35" s="516"/>
      <c r="G35" s="516" t="s">
        <v>296</v>
      </c>
      <c r="I35" s="518"/>
    </row>
    <row r="36" spans="2:9" ht="15" x14ac:dyDescent="0.2">
      <c r="C36" s="39"/>
      <c r="D36" s="1793" t="s">
        <v>150</v>
      </c>
      <c r="E36" s="1793"/>
      <c r="F36" s="1793"/>
      <c r="G36" s="1793"/>
      <c r="H36" s="1793"/>
      <c r="I36" s="1793"/>
    </row>
    <row r="37" spans="2:9" ht="15" x14ac:dyDescent="0.2">
      <c r="B37" s="35" t="s">
        <v>151</v>
      </c>
      <c r="D37" s="516"/>
      <c r="E37" s="517"/>
      <c r="F37" s="516"/>
      <c r="G37" s="516" t="s">
        <v>297</v>
      </c>
      <c r="H37" s="517"/>
      <c r="I37" s="518"/>
    </row>
    <row r="38" spans="2:9" x14ac:dyDescent="0.2">
      <c r="D38" s="1793" t="s">
        <v>150</v>
      </c>
      <c r="E38" s="1793"/>
      <c r="F38" s="1793"/>
      <c r="G38" s="1793"/>
      <c r="H38" s="1793"/>
      <c r="I38" s="1793"/>
    </row>
  </sheetData>
  <mergeCells count="18">
    <mergeCell ref="B25:I25"/>
    <mergeCell ref="D36:I36"/>
    <mergeCell ref="D38:I38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  <mergeCell ref="B11:I11"/>
    <mergeCell ref="C3:H3"/>
    <mergeCell ref="D4:G4"/>
    <mergeCell ref="C5:H5"/>
    <mergeCell ref="D6:G6"/>
    <mergeCell ref="D10:H10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/>
  <dimension ref="A1:AK199"/>
  <sheetViews>
    <sheetView topLeftCell="A163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7.7109375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30" width="34.140625" style="537" hidden="1" customWidth="1"/>
    <col min="31" max="31" width="138.42578125" style="537" hidden="1" customWidth="1"/>
    <col min="32" max="37" width="84.42578125" style="537" hidden="1" customWidth="1"/>
    <col min="38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274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274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94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94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5063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5057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5057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449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/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7847.97</v>
      </c>
      <c r="D28" s="579" t="s">
        <v>8942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7847.97</v>
      </c>
      <c r="D30" s="579" t="s">
        <v>8942</v>
      </c>
      <c r="E30" s="665" t="s">
        <v>167</v>
      </c>
      <c r="G30" s="536" t="s">
        <v>170</v>
      </c>
      <c r="L30" s="580">
        <v>0</v>
      </c>
      <c r="M30" s="579" t="s">
        <v>5064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665" t="s">
        <v>167</v>
      </c>
      <c r="G31" s="536" t="s">
        <v>172</v>
      </c>
      <c r="L31" s="582"/>
      <c r="M31" s="582">
        <v>2261.13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665" t="s">
        <v>167</v>
      </c>
      <c r="G32" s="536" t="s">
        <v>174</v>
      </c>
      <c r="L32" s="582"/>
      <c r="M32" s="582">
        <v>139.04</v>
      </c>
      <c r="N32" s="581" t="s">
        <v>173</v>
      </c>
    </row>
    <row r="33" spans="1:27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7" s="536" customFormat="1" ht="9.75" customHeight="1" x14ac:dyDescent="0.2">
      <c r="A34" s="578"/>
    </row>
    <row r="35" spans="1:27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7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7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7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7" s="536" customFormat="1" ht="12" x14ac:dyDescent="0.2">
      <c r="A39" s="1824" t="s">
        <v>8943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8943</v>
      </c>
    </row>
    <row r="40" spans="1:27" s="536" customFormat="1" ht="67.5" x14ac:dyDescent="0.2">
      <c r="A40" s="575" t="s">
        <v>185</v>
      </c>
      <c r="B40" s="670" t="s">
        <v>1045</v>
      </c>
      <c r="C40" s="1823" t="s">
        <v>1046</v>
      </c>
      <c r="D40" s="1823"/>
      <c r="E40" s="1823"/>
      <c r="F40" s="573" t="s">
        <v>1034</v>
      </c>
      <c r="G40" s="573"/>
      <c r="H40" s="573"/>
      <c r="I40" s="573" t="s">
        <v>5065</v>
      </c>
      <c r="J40" s="572"/>
      <c r="K40" s="573"/>
      <c r="L40" s="572"/>
      <c r="M40" s="571"/>
      <c r="N40" s="570"/>
      <c r="V40" s="674"/>
      <c r="W40" s="675" t="s">
        <v>1046</v>
      </c>
    </row>
    <row r="41" spans="1:27" s="536" customFormat="1" ht="12" x14ac:dyDescent="0.2">
      <c r="A41" s="676"/>
      <c r="B41" s="664"/>
      <c r="C41" s="1822" t="s">
        <v>5066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5066</v>
      </c>
    </row>
    <row r="42" spans="1:27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Y42" s="537" t="s">
        <v>311</v>
      </c>
    </row>
    <row r="43" spans="1:27" s="536" customFormat="1" ht="12" x14ac:dyDescent="0.2">
      <c r="A43" s="605"/>
      <c r="B43" s="552" t="s">
        <v>185</v>
      </c>
      <c r="C43" s="1822" t="s">
        <v>312</v>
      </c>
      <c r="D43" s="1822"/>
      <c r="E43" s="1822"/>
      <c r="F43" s="562"/>
      <c r="G43" s="562"/>
      <c r="H43" s="562"/>
      <c r="I43" s="562"/>
      <c r="J43" s="604">
        <v>269.61</v>
      </c>
      <c r="K43" s="562" t="s">
        <v>313</v>
      </c>
      <c r="L43" s="604">
        <v>972.28</v>
      </c>
      <c r="M43" s="603"/>
      <c r="N43" s="602"/>
      <c r="V43" s="674"/>
      <c r="W43" s="675"/>
      <c r="Z43" s="537" t="s">
        <v>312</v>
      </c>
    </row>
    <row r="44" spans="1:27" s="536" customFormat="1" ht="12" x14ac:dyDescent="0.2">
      <c r="A44" s="605"/>
      <c r="B44" s="552" t="s">
        <v>186</v>
      </c>
      <c r="C44" s="1822" t="s">
        <v>344</v>
      </c>
      <c r="D44" s="1822"/>
      <c r="E44" s="1822"/>
      <c r="F44" s="562"/>
      <c r="G44" s="562"/>
      <c r="H44" s="562"/>
      <c r="I44" s="562"/>
      <c r="J44" s="604">
        <v>7442.38</v>
      </c>
      <c r="K44" s="562" t="s">
        <v>313</v>
      </c>
      <c r="L44" s="604">
        <v>26839.08</v>
      </c>
      <c r="M44" s="603"/>
      <c r="N44" s="602"/>
      <c r="V44" s="674"/>
      <c r="W44" s="675"/>
      <c r="Z44" s="537" t="s">
        <v>344</v>
      </c>
    </row>
    <row r="45" spans="1:27" s="536" customFormat="1" ht="12" x14ac:dyDescent="0.2">
      <c r="A45" s="605"/>
      <c r="B45" s="552" t="s">
        <v>187</v>
      </c>
      <c r="C45" s="1822" t="s">
        <v>345</v>
      </c>
      <c r="D45" s="1822"/>
      <c r="E45" s="1822"/>
      <c r="F45" s="562"/>
      <c r="G45" s="562"/>
      <c r="H45" s="562"/>
      <c r="I45" s="562"/>
      <c r="J45" s="604">
        <v>429.14</v>
      </c>
      <c r="K45" s="562" t="s">
        <v>313</v>
      </c>
      <c r="L45" s="604">
        <v>1547.59</v>
      </c>
      <c r="M45" s="603"/>
      <c r="N45" s="602"/>
      <c r="V45" s="674"/>
      <c r="W45" s="675"/>
      <c r="Z45" s="537" t="s">
        <v>345</v>
      </c>
    </row>
    <row r="46" spans="1:27" s="536" customFormat="1" ht="12" x14ac:dyDescent="0.2">
      <c r="A46" s="605"/>
      <c r="B46" s="552" t="s">
        <v>188</v>
      </c>
      <c r="C46" s="1822" t="s">
        <v>475</v>
      </c>
      <c r="D46" s="1822"/>
      <c r="E46" s="1822"/>
      <c r="F46" s="562"/>
      <c r="G46" s="562"/>
      <c r="H46" s="562"/>
      <c r="I46" s="562"/>
      <c r="J46" s="604">
        <v>22322.55</v>
      </c>
      <c r="K46" s="562"/>
      <c r="L46" s="604">
        <v>64400.56</v>
      </c>
      <c r="M46" s="603"/>
      <c r="N46" s="602"/>
      <c r="V46" s="674"/>
      <c r="W46" s="675"/>
      <c r="Z46" s="537" t="s">
        <v>475</v>
      </c>
    </row>
    <row r="47" spans="1:27" s="536" customFormat="1" ht="12" x14ac:dyDescent="0.2">
      <c r="A47" s="605"/>
      <c r="B47" s="552"/>
      <c r="C47" s="1822" t="s">
        <v>314</v>
      </c>
      <c r="D47" s="1822"/>
      <c r="E47" s="1822"/>
      <c r="F47" s="562" t="s">
        <v>315</v>
      </c>
      <c r="G47" s="562" t="s">
        <v>505</v>
      </c>
      <c r="H47" s="562" t="s">
        <v>313</v>
      </c>
      <c r="I47" s="562" t="s">
        <v>5067</v>
      </c>
      <c r="J47" s="604"/>
      <c r="K47" s="562"/>
      <c r="L47" s="604"/>
      <c r="M47" s="603"/>
      <c r="N47" s="602"/>
      <c r="V47" s="674"/>
      <c r="W47" s="675"/>
      <c r="AA47" s="537" t="s">
        <v>314</v>
      </c>
    </row>
    <row r="48" spans="1:27" s="536" customFormat="1" ht="22.5" x14ac:dyDescent="0.2">
      <c r="A48" s="605"/>
      <c r="B48" s="552"/>
      <c r="C48" s="1822" t="s">
        <v>348</v>
      </c>
      <c r="D48" s="1822"/>
      <c r="E48" s="1822"/>
      <c r="F48" s="562" t="s">
        <v>315</v>
      </c>
      <c r="G48" s="562" t="s">
        <v>1047</v>
      </c>
      <c r="H48" s="562" t="s">
        <v>313</v>
      </c>
      <c r="I48" s="562" t="s">
        <v>5068</v>
      </c>
      <c r="J48" s="604"/>
      <c r="K48" s="562"/>
      <c r="L48" s="604"/>
      <c r="M48" s="603"/>
      <c r="N48" s="602"/>
      <c r="V48" s="674"/>
      <c r="W48" s="675"/>
      <c r="AA48" s="537" t="s">
        <v>348</v>
      </c>
    </row>
    <row r="49" spans="1:29" s="536" customFormat="1" ht="12" x14ac:dyDescent="0.2">
      <c r="A49" s="605"/>
      <c r="B49" s="552"/>
      <c r="C49" s="1828" t="s">
        <v>318</v>
      </c>
      <c r="D49" s="1828"/>
      <c r="E49" s="1828"/>
      <c r="F49" s="608"/>
      <c r="G49" s="608"/>
      <c r="H49" s="608"/>
      <c r="I49" s="608"/>
      <c r="J49" s="607">
        <v>30034.54</v>
      </c>
      <c r="K49" s="608"/>
      <c r="L49" s="607">
        <v>92211.92</v>
      </c>
      <c r="M49" s="601"/>
      <c r="N49" s="606"/>
      <c r="V49" s="674"/>
      <c r="W49" s="675"/>
      <c r="AB49" s="537" t="s">
        <v>318</v>
      </c>
    </row>
    <row r="50" spans="1:29" s="536" customFormat="1" ht="12" x14ac:dyDescent="0.2">
      <c r="A50" s="605"/>
      <c r="B50" s="552"/>
      <c r="C50" s="1822" t="s">
        <v>319</v>
      </c>
      <c r="D50" s="1822"/>
      <c r="E50" s="1822"/>
      <c r="F50" s="562"/>
      <c r="G50" s="562"/>
      <c r="H50" s="562"/>
      <c r="I50" s="562"/>
      <c r="J50" s="604"/>
      <c r="K50" s="562"/>
      <c r="L50" s="604">
        <v>2519.87</v>
      </c>
      <c r="M50" s="603"/>
      <c r="N50" s="602"/>
      <c r="V50" s="674"/>
      <c r="W50" s="675"/>
      <c r="AA50" s="537" t="s">
        <v>319</v>
      </c>
    </row>
    <row r="51" spans="1:29" s="536" customFormat="1" ht="33.75" x14ac:dyDescent="0.2">
      <c r="A51" s="605"/>
      <c r="B51" s="552" t="s">
        <v>554</v>
      </c>
      <c r="C51" s="1822" t="s">
        <v>555</v>
      </c>
      <c r="D51" s="1822"/>
      <c r="E51" s="1822"/>
      <c r="F51" s="562" t="s">
        <v>322</v>
      </c>
      <c r="G51" s="562" t="s">
        <v>556</v>
      </c>
      <c r="H51" s="562"/>
      <c r="I51" s="562" t="s">
        <v>556</v>
      </c>
      <c r="J51" s="604"/>
      <c r="K51" s="562"/>
      <c r="L51" s="604">
        <v>3175.04</v>
      </c>
      <c r="M51" s="603"/>
      <c r="N51" s="602"/>
      <c r="V51" s="674"/>
      <c r="W51" s="675"/>
      <c r="AA51" s="537" t="s">
        <v>555</v>
      </c>
    </row>
    <row r="52" spans="1:29" s="536" customFormat="1" ht="33.75" x14ac:dyDescent="0.2">
      <c r="A52" s="605"/>
      <c r="B52" s="552" t="s">
        <v>557</v>
      </c>
      <c r="C52" s="1822" t="s">
        <v>558</v>
      </c>
      <c r="D52" s="1822"/>
      <c r="E52" s="1822"/>
      <c r="F52" s="562" t="s">
        <v>322</v>
      </c>
      <c r="G52" s="562" t="s">
        <v>559</v>
      </c>
      <c r="H52" s="562"/>
      <c r="I52" s="562" t="s">
        <v>559</v>
      </c>
      <c r="J52" s="604"/>
      <c r="K52" s="562"/>
      <c r="L52" s="604">
        <v>2393.88</v>
      </c>
      <c r="M52" s="603"/>
      <c r="N52" s="602"/>
      <c r="V52" s="674"/>
      <c r="W52" s="675"/>
      <c r="AA52" s="537" t="s">
        <v>558</v>
      </c>
    </row>
    <row r="53" spans="1:29" s="536" customFormat="1" ht="12" x14ac:dyDescent="0.2">
      <c r="A53" s="569"/>
      <c r="B53" s="671"/>
      <c r="C53" s="1823" t="s">
        <v>327</v>
      </c>
      <c r="D53" s="1823"/>
      <c r="E53" s="1823"/>
      <c r="F53" s="573"/>
      <c r="G53" s="573"/>
      <c r="H53" s="573"/>
      <c r="I53" s="573"/>
      <c r="J53" s="572"/>
      <c r="K53" s="573"/>
      <c r="L53" s="572">
        <v>97780.84</v>
      </c>
      <c r="M53" s="601"/>
      <c r="N53" s="570"/>
      <c r="V53" s="674"/>
      <c r="W53" s="675"/>
      <c r="AC53" s="675" t="s">
        <v>327</v>
      </c>
    </row>
    <row r="54" spans="1:29" s="536" customFormat="1" ht="45" x14ac:dyDescent="0.2">
      <c r="A54" s="575" t="s">
        <v>186</v>
      </c>
      <c r="B54" s="670" t="s">
        <v>1048</v>
      </c>
      <c r="C54" s="1823" t="s">
        <v>1103</v>
      </c>
      <c r="D54" s="1823"/>
      <c r="E54" s="1823"/>
      <c r="F54" s="573" t="s">
        <v>1034</v>
      </c>
      <c r="G54" s="573"/>
      <c r="H54" s="573"/>
      <c r="I54" s="573" t="s">
        <v>5069</v>
      </c>
      <c r="J54" s="572"/>
      <c r="K54" s="573"/>
      <c r="L54" s="572"/>
      <c r="M54" s="571"/>
      <c r="N54" s="570"/>
      <c r="V54" s="674"/>
      <c r="W54" s="675" t="s">
        <v>1103</v>
      </c>
      <c r="AC54" s="675"/>
    </row>
    <row r="55" spans="1:29" s="536" customFormat="1" ht="12" x14ac:dyDescent="0.2">
      <c r="A55" s="676"/>
      <c r="B55" s="664"/>
      <c r="C55" s="1822" t="s">
        <v>5070</v>
      </c>
      <c r="D55" s="1822"/>
      <c r="E55" s="1822"/>
      <c r="F55" s="1822"/>
      <c r="G55" s="1822"/>
      <c r="H55" s="1822"/>
      <c r="I55" s="1822"/>
      <c r="J55" s="1822"/>
      <c r="K55" s="1822"/>
      <c r="L55" s="1822"/>
      <c r="M55" s="1822"/>
      <c r="N55" s="1827"/>
      <c r="V55" s="674"/>
      <c r="W55" s="675"/>
      <c r="X55" s="537" t="s">
        <v>5070</v>
      </c>
      <c r="AC55" s="675"/>
    </row>
    <row r="56" spans="1:29" s="536" customFormat="1" ht="12" x14ac:dyDescent="0.2">
      <c r="A56" s="609"/>
      <c r="B56" s="552"/>
      <c r="C56" s="1822" t="s">
        <v>1106</v>
      </c>
      <c r="D56" s="1822"/>
      <c r="E56" s="1822"/>
      <c r="F56" s="1822"/>
      <c r="G56" s="1822"/>
      <c r="H56" s="1822"/>
      <c r="I56" s="1822"/>
      <c r="J56" s="1822"/>
      <c r="K56" s="1822"/>
      <c r="L56" s="1822"/>
      <c r="M56" s="1822"/>
      <c r="N56" s="1827"/>
      <c r="V56" s="674"/>
      <c r="W56" s="675"/>
      <c r="Y56" s="537" t="s">
        <v>1106</v>
      </c>
      <c r="AC56" s="675"/>
    </row>
    <row r="57" spans="1:29" s="536" customFormat="1" ht="33.75" x14ac:dyDescent="0.2">
      <c r="A57" s="609"/>
      <c r="B57" s="552" t="s">
        <v>310</v>
      </c>
      <c r="C57" s="1822" t="s">
        <v>311</v>
      </c>
      <c r="D57" s="1822"/>
      <c r="E57" s="1822"/>
      <c r="F57" s="1822"/>
      <c r="G57" s="1822"/>
      <c r="H57" s="1822"/>
      <c r="I57" s="1822"/>
      <c r="J57" s="1822"/>
      <c r="K57" s="1822"/>
      <c r="L57" s="1822"/>
      <c r="M57" s="1822"/>
      <c r="N57" s="1827"/>
      <c r="V57" s="674"/>
      <c r="W57" s="675"/>
      <c r="Y57" s="537" t="s">
        <v>311</v>
      </c>
      <c r="AC57" s="675"/>
    </row>
    <row r="58" spans="1:29" s="536" customFormat="1" ht="12" x14ac:dyDescent="0.2">
      <c r="A58" s="605"/>
      <c r="B58" s="552" t="s">
        <v>186</v>
      </c>
      <c r="C58" s="1822" t="s">
        <v>344</v>
      </c>
      <c r="D58" s="1822"/>
      <c r="E58" s="1822"/>
      <c r="F58" s="562"/>
      <c r="G58" s="562"/>
      <c r="H58" s="562"/>
      <c r="I58" s="562"/>
      <c r="J58" s="604">
        <v>468.89</v>
      </c>
      <c r="K58" s="562" t="s">
        <v>434</v>
      </c>
      <c r="L58" s="604">
        <v>-8454.67</v>
      </c>
      <c r="M58" s="603"/>
      <c r="N58" s="602"/>
      <c r="V58" s="674"/>
      <c r="W58" s="675"/>
      <c r="Z58" s="537" t="s">
        <v>344</v>
      </c>
      <c r="AC58" s="675"/>
    </row>
    <row r="59" spans="1:29" s="536" customFormat="1" ht="12" x14ac:dyDescent="0.2">
      <c r="A59" s="605"/>
      <c r="B59" s="552" t="s">
        <v>187</v>
      </c>
      <c r="C59" s="1822" t="s">
        <v>345</v>
      </c>
      <c r="D59" s="1822"/>
      <c r="E59" s="1822"/>
      <c r="F59" s="562"/>
      <c r="G59" s="562"/>
      <c r="H59" s="562"/>
      <c r="I59" s="562"/>
      <c r="J59" s="604">
        <v>27.84</v>
      </c>
      <c r="K59" s="562" t="s">
        <v>434</v>
      </c>
      <c r="L59" s="604">
        <v>-501.99</v>
      </c>
      <c r="M59" s="603"/>
      <c r="N59" s="602"/>
      <c r="V59" s="674"/>
      <c r="W59" s="675"/>
      <c r="Z59" s="537" t="s">
        <v>345</v>
      </c>
      <c r="AC59" s="675"/>
    </row>
    <row r="60" spans="1:29" s="536" customFormat="1" ht="12" x14ac:dyDescent="0.2">
      <c r="A60" s="605"/>
      <c r="B60" s="552" t="s">
        <v>188</v>
      </c>
      <c r="C60" s="1822" t="s">
        <v>475</v>
      </c>
      <c r="D60" s="1822"/>
      <c r="E60" s="1822"/>
      <c r="F60" s="562"/>
      <c r="G60" s="562"/>
      <c r="H60" s="562"/>
      <c r="I60" s="562"/>
      <c r="J60" s="604">
        <v>1297.8</v>
      </c>
      <c r="K60" s="562" t="s">
        <v>189</v>
      </c>
      <c r="L60" s="604">
        <v>-18720.77</v>
      </c>
      <c r="M60" s="603"/>
      <c r="N60" s="602"/>
      <c r="V60" s="674"/>
      <c r="W60" s="675"/>
      <c r="Z60" s="537" t="s">
        <v>475</v>
      </c>
      <c r="AC60" s="675"/>
    </row>
    <row r="61" spans="1:29" s="536" customFormat="1" ht="33.75" x14ac:dyDescent="0.2">
      <c r="A61" s="605"/>
      <c r="B61" s="552"/>
      <c r="C61" s="1822" t="s">
        <v>348</v>
      </c>
      <c r="D61" s="1822"/>
      <c r="E61" s="1822"/>
      <c r="F61" s="562" t="s">
        <v>315</v>
      </c>
      <c r="G61" s="562" t="s">
        <v>1052</v>
      </c>
      <c r="H61" s="562" t="s">
        <v>434</v>
      </c>
      <c r="I61" s="562" t="s">
        <v>5071</v>
      </c>
      <c r="J61" s="604"/>
      <c r="K61" s="562"/>
      <c r="L61" s="604"/>
      <c r="M61" s="603"/>
      <c r="N61" s="602"/>
      <c r="V61" s="674"/>
      <c r="W61" s="675"/>
      <c r="AA61" s="537" t="s">
        <v>348</v>
      </c>
      <c r="AC61" s="675"/>
    </row>
    <row r="62" spans="1:29" s="536" customFormat="1" ht="12" x14ac:dyDescent="0.2">
      <c r="A62" s="605"/>
      <c r="B62" s="552"/>
      <c r="C62" s="1828" t="s">
        <v>318</v>
      </c>
      <c r="D62" s="1828"/>
      <c r="E62" s="1828"/>
      <c r="F62" s="608"/>
      <c r="G62" s="608"/>
      <c r="H62" s="608"/>
      <c r="I62" s="608"/>
      <c r="J62" s="607">
        <v>1766.69</v>
      </c>
      <c r="K62" s="608"/>
      <c r="L62" s="607">
        <v>-27175.439999999999</v>
      </c>
      <c r="M62" s="601"/>
      <c r="N62" s="606"/>
      <c r="V62" s="674"/>
      <c r="W62" s="675"/>
      <c r="AB62" s="537" t="s">
        <v>318</v>
      </c>
      <c r="AC62" s="675"/>
    </row>
    <row r="63" spans="1:29" s="536" customFormat="1" ht="12" x14ac:dyDescent="0.2">
      <c r="A63" s="605"/>
      <c r="B63" s="552"/>
      <c r="C63" s="1822" t="s">
        <v>319</v>
      </c>
      <c r="D63" s="1822"/>
      <c r="E63" s="1822"/>
      <c r="F63" s="562"/>
      <c r="G63" s="562"/>
      <c r="H63" s="562"/>
      <c r="I63" s="562"/>
      <c r="J63" s="604"/>
      <c r="K63" s="562"/>
      <c r="L63" s="604">
        <v>-501.99</v>
      </c>
      <c r="M63" s="603"/>
      <c r="N63" s="602"/>
      <c r="V63" s="674"/>
      <c r="W63" s="675"/>
      <c r="AA63" s="537" t="s">
        <v>319</v>
      </c>
      <c r="AC63" s="675"/>
    </row>
    <row r="64" spans="1:29" s="536" customFormat="1" ht="33.75" x14ac:dyDescent="0.2">
      <c r="A64" s="605"/>
      <c r="B64" s="552" t="s">
        <v>554</v>
      </c>
      <c r="C64" s="1822" t="s">
        <v>555</v>
      </c>
      <c r="D64" s="1822"/>
      <c r="E64" s="1822"/>
      <c r="F64" s="562" t="s">
        <v>322</v>
      </c>
      <c r="G64" s="562" t="s">
        <v>556</v>
      </c>
      <c r="H64" s="562"/>
      <c r="I64" s="562" t="s">
        <v>556</v>
      </c>
      <c r="J64" s="604"/>
      <c r="K64" s="562"/>
      <c r="L64" s="604">
        <v>-632.51</v>
      </c>
      <c r="M64" s="603"/>
      <c r="N64" s="602"/>
      <c r="V64" s="674"/>
      <c r="W64" s="675"/>
      <c r="AA64" s="537" t="s">
        <v>555</v>
      </c>
      <c r="AC64" s="675"/>
    </row>
    <row r="65" spans="1:30" s="536" customFormat="1" ht="33.75" x14ac:dyDescent="0.2">
      <c r="A65" s="605"/>
      <c r="B65" s="552" t="s">
        <v>557</v>
      </c>
      <c r="C65" s="1822" t="s">
        <v>558</v>
      </c>
      <c r="D65" s="1822"/>
      <c r="E65" s="1822"/>
      <c r="F65" s="562" t="s">
        <v>322</v>
      </c>
      <c r="G65" s="562" t="s">
        <v>559</v>
      </c>
      <c r="H65" s="562"/>
      <c r="I65" s="562" t="s">
        <v>559</v>
      </c>
      <c r="J65" s="604"/>
      <c r="K65" s="562"/>
      <c r="L65" s="604">
        <v>-476.89</v>
      </c>
      <c r="M65" s="603"/>
      <c r="N65" s="602"/>
      <c r="V65" s="674"/>
      <c r="W65" s="675"/>
      <c r="AA65" s="537" t="s">
        <v>558</v>
      </c>
      <c r="AC65" s="675"/>
    </row>
    <row r="66" spans="1:30" s="536" customFormat="1" ht="12" x14ac:dyDescent="0.2">
      <c r="A66" s="569"/>
      <c r="B66" s="671"/>
      <c r="C66" s="1823" t="s">
        <v>327</v>
      </c>
      <c r="D66" s="1823"/>
      <c r="E66" s="1823"/>
      <c r="F66" s="573"/>
      <c r="G66" s="573"/>
      <c r="H66" s="573"/>
      <c r="I66" s="573"/>
      <c r="J66" s="572"/>
      <c r="K66" s="573"/>
      <c r="L66" s="572">
        <v>-28284.84</v>
      </c>
      <c r="M66" s="601"/>
      <c r="N66" s="570"/>
      <c r="V66" s="674"/>
      <c r="W66" s="675"/>
      <c r="AC66" s="675" t="s">
        <v>327</v>
      </c>
    </row>
    <row r="67" spans="1:30" s="536" customFormat="1" ht="22.5" x14ac:dyDescent="0.2">
      <c r="A67" s="575" t="s">
        <v>187</v>
      </c>
      <c r="B67" s="670" t="s">
        <v>4180</v>
      </c>
      <c r="C67" s="1823" t="s">
        <v>4181</v>
      </c>
      <c r="D67" s="1823"/>
      <c r="E67" s="1823"/>
      <c r="F67" s="573" t="s">
        <v>862</v>
      </c>
      <c r="G67" s="573"/>
      <c r="H67" s="573"/>
      <c r="I67" s="573" t="s">
        <v>5072</v>
      </c>
      <c r="J67" s="572"/>
      <c r="K67" s="573"/>
      <c r="L67" s="572"/>
      <c r="M67" s="571"/>
      <c r="N67" s="570"/>
      <c r="V67" s="674"/>
      <c r="W67" s="675" t="s">
        <v>4181</v>
      </c>
      <c r="AC67" s="675"/>
    </row>
    <row r="68" spans="1:30" s="536" customFormat="1" ht="12" x14ac:dyDescent="0.2">
      <c r="A68" s="676"/>
      <c r="B68" s="664"/>
      <c r="C68" s="1822" t="s">
        <v>5073</v>
      </c>
      <c r="D68" s="1822"/>
      <c r="E68" s="1822"/>
      <c r="F68" s="1822"/>
      <c r="G68" s="1822"/>
      <c r="H68" s="1822"/>
      <c r="I68" s="1822"/>
      <c r="J68" s="1822"/>
      <c r="K68" s="1822"/>
      <c r="L68" s="1822"/>
      <c r="M68" s="1822"/>
      <c r="N68" s="1827"/>
      <c r="V68" s="674"/>
      <c r="W68" s="675"/>
      <c r="X68" s="537" t="s">
        <v>5073</v>
      </c>
      <c r="AC68" s="675"/>
    </row>
    <row r="69" spans="1:30" s="536" customFormat="1" ht="12" x14ac:dyDescent="0.2">
      <c r="A69" s="605"/>
      <c r="B69" s="552" t="s">
        <v>185</v>
      </c>
      <c r="C69" s="1822" t="s">
        <v>312</v>
      </c>
      <c r="D69" s="1822"/>
      <c r="E69" s="1822"/>
      <c r="F69" s="562"/>
      <c r="G69" s="562"/>
      <c r="H69" s="562"/>
      <c r="I69" s="562"/>
      <c r="J69" s="604">
        <v>346.41</v>
      </c>
      <c r="K69" s="562"/>
      <c r="L69" s="604">
        <v>9993.93</v>
      </c>
      <c r="M69" s="603"/>
      <c r="N69" s="602"/>
      <c r="V69" s="674"/>
      <c r="W69" s="675"/>
      <c r="Z69" s="537" t="s">
        <v>312</v>
      </c>
      <c r="AC69" s="675"/>
    </row>
    <row r="70" spans="1:30" s="536" customFormat="1" ht="12" x14ac:dyDescent="0.2">
      <c r="A70" s="605"/>
      <c r="B70" s="552" t="s">
        <v>186</v>
      </c>
      <c r="C70" s="1822" t="s">
        <v>344</v>
      </c>
      <c r="D70" s="1822"/>
      <c r="E70" s="1822"/>
      <c r="F70" s="562"/>
      <c r="G70" s="562"/>
      <c r="H70" s="562"/>
      <c r="I70" s="562"/>
      <c r="J70" s="604">
        <v>360.17</v>
      </c>
      <c r="K70" s="562"/>
      <c r="L70" s="604">
        <v>10390.9</v>
      </c>
      <c r="M70" s="603"/>
      <c r="N70" s="602"/>
      <c r="V70" s="674"/>
      <c r="W70" s="675"/>
      <c r="Z70" s="537" t="s">
        <v>344</v>
      </c>
      <c r="AC70" s="675"/>
    </row>
    <row r="71" spans="1:30" s="536" customFormat="1" ht="12" x14ac:dyDescent="0.2">
      <c r="A71" s="605"/>
      <c r="B71" s="552" t="s">
        <v>187</v>
      </c>
      <c r="C71" s="1822" t="s">
        <v>345</v>
      </c>
      <c r="D71" s="1822"/>
      <c r="E71" s="1822"/>
      <c r="F71" s="562"/>
      <c r="G71" s="562"/>
      <c r="H71" s="562"/>
      <c r="I71" s="562"/>
      <c r="J71" s="604">
        <v>11.14</v>
      </c>
      <c r="K71" s="562"/>
      <c r="L71" s="604">
        <v>321.39</v>
      </c>
      <c r="M71" s="603"/>
      <c r="N71" s="602"/>
      <c r="V71" s="674"/>
      <c r="W71" s="675"/>
      <c r="Z71" s="537" t="s">
        <v>345</v>
      </c>
      <c r="AC71" s="675"/>
    </row>
    <row r="72" spans="1:30" s="536" customFormat="1" ht="12" x14ac:dyDescent="0.2">
      <c r="A72" s="605"/>
      <c r="B72" s="552" t="s">
        <v>188</v>
      </c>
      <c r="C72" s="1822" t="s">
        <v>475</v>
      </c>
      <c r="D72" s="1822"/>
      <c r="E72" s="1822"/>
      <c r="F72" s="562"/>
      <c r="G72" s="562"/>
      <c r="H72" s="562"/>
      <c r="I72" s="562"/>
      <c r="J72" s="604">
        <v>3</v>
      </c>
      <c r="K72" s="562"/>
      <c r="L72" s="604">
        <v>86.55</v>
      </c>
      <c r="M72" s="603"/>
      <c r="N72" s="602"/>
      <c r="V72" s="674"/>
      <c r="W72" s="675"/>
      <c r="Z72" s="537" t="s">
        <v>475</v>
      </c>
      <c r="AC72" s="675"/>
    </row>
    <row r="73" spans="1:30" s="536" customFormat="1" ht="12" x14ac:dyDescent="0.2">
      <c r="A73" s="676"/>
      <c r="B73" s="677" t="s">
        <v>4184</v>
      </c>
      <c r="C73" s="1829" t="s">
        <v>4185</v>
      </c>
      <c r="D73" s="1829"/>
      <c r="E73" s="1829"/>
      <c r="F73" s="678" t="s">
        <v>694</v>
      </c>
      <c r="G73" s="678" t="s">
        <v>525</v>
      </c>
      <c r="H73" s="678"/>
      <c r="I73" s="678" t="s">
        <v>525</v>
      </c>
      <c r="J73" s="552"/>
      <c r="K73" s="562"/>
      <c r="L73" s="604"/>
      <c r="M73" s="562"/>
      <c r="N73" s="679"/>
      <c r="V73" s="674"/>
      <c r="W73" s="675"/>
      <c r="AC73" s="675"/>
      <c r="AD73" s="680" t="s">
        <v>4185</v>
      </c>
    </row>
    <row r="74" spans="1:30" s="536" customFormat="1" ht="12" x14ac:dyDescent="0.2">
      <c r="A74" s="676"/>
      <c r="B74" s="677" t="s">
        <v>4186</v>
      </c>
      <c r="C74" s="1829" t="s">
        <v>4187</v>
      </c>
      <c r="D74" s="1829"/>
      <c r="E74" s="1829"/>
      <c r="F74" s="678" t="s">
        <v>865</v>
      </c>
      <c r="G74" s="678" t="s">
        <v>844</v>
      </c>
      <c r="H74" s="678"/>
      <c r="I74" s="678" t="s">
        <v>5074</v>
      </c>
      <c r="J74" s="552"/>
      <c r="K74" s="562"/>
      <c r="L74" s="604"/>
      <c r="M74" s="562"/>
      <c r="N74" s="679"/>
      <c r="V74" s="674"/>
      <c r="W74" s="675"/>
      <c r="AC74" s="675"/>
      <c r="AD74" s="680" t="s">
        <v>4187</v>
      </c>
    </row>
    <row r="75" spans="1:30" s="536" customFormat="1" ht="12" x14ac:dyDescent="0.2">
      <c r="A75" s="605"/>
      <c r="B75" s="552"/>
      <c r="C75" s="1822" t="s">
        <v>314</v>
      </c>
      <c r="D75" s="1822"/>
      <c r="E75" s="1822"/>
      <c r="F75" s="562" t="s">
        <v>315</v>
      </c>
      <c r="G75" s="562" t="s">
        <v>4189</v>
      </c>
      <c r="H75" s="562"/>
      <c r="I75" s="562" t="s">
        <v>5075</v>
      </c>
      <c r="J75" s="604"/>
      <c r="K75" s="562"/>
      <c r="L75" s="604"/>
      <c r="M75" s="603"/>
      <c r="N75" s="602"/>
      <c r="V75" s="674"/>
      <c r="W75" s="675"/>
      <c r="AA75" s="537" t="s">
        <v>314</v>
      </c>
      <c r="AC75" s="675"/>
      <c r="AD75" s="680"/>
    </row>
    <row r="76" spans="1:30" s="536" customFormat="1" ht="12" x14ac:dyDescent="0.2">
      <c r="A76" s="605"/>
      <c r="B76" s="552"/>
      <c r="C76" s="1822" t="s">
        <v>348</v>
      </c>
      <c r="D76" s="1822"/>
      <c r="E76" s="1822"/>
      <c r="F76" s="562" t="s">
        <v>315</v>
      </c>
      <c r="G76" s="562" t="s">
        <v>1533</v>
      </c>
      <c r="H76" s="562"/>
      <c r="I76" s="562" t="s">
        <v>5076</v>
      </c>
      <c r="J76" s="604"/>
      <c r="K76" s="562"/>
      <c r="L76" s="604"/>
      <c r="M76" s="603"/>
      <c r="N76" s="602"/>
      <c r="V76" s="674"/>
      <c r="W76" s="675"/>
      <c r="AA76" s="537" t="s">
        <v>348</v>
      </c>
      <c r="AC76" s="675"/>
      <c r="AD76" s="680"/>
    </row>
    <row r="77" spans="1:30" s="536" customFormat="1" ht="12" x14ac:dyDescent="0.2">
      <c r="A77" s="605"/>
      <c r="B77" s="552"/>
      <c r="C77" s="1828" t="s">
        <v>318</v>
      </c>
      <c r="D77" s="1828"/>
      <c r="E77" s="1828"/>
      <c r="F77" s="608"/>
      <c r="G77" s="608"/>
      <c r="H77" s="608"/>
      <c r="I77" s="608"/>
      <c r="J77" s="607">
        <v>709.58</v>
      </c>
      <c r="K77" s="608"/>
      <c r="L77" s="607">
        <v>20471.38</v>
      </c>
      <c r="M77" s="601"/>
      <c r="N77" s="606"/>
      <c r="V77" s="674"/>
      <c r="W77" s="675"/>
      <c r="AB77" s="537" t="s">
        <v>318</v>
      </c>
      <c r="AC77" s="675"/>
      <c r="AD77" s="680"/>
    </row>
    <row r="78" spans="1:30" s="536" customFormat="1" ht="12" x14ac:dyDescent="0.2">
      <c r="A78" s="605"/>
      <c r="B78" s="552"/>
      <c r="C78" s="1822" t="s">
        <v>319</v>
      </c>
      <c r="D78" s="1822"/>
      <c r="E78" s="1822"/>
      <c r="F78" s="562"/>
      <c r="G78" s="562"/>
      <c r="H78" s="562"/>
      <c r="I78" s="562"/>
      <c r="J78" s="604"/>
      <c r="K78" s="562"/>
      <c r="L78" s="604">
        <v>10315.32</v>
      </c>
      <c r="M78" s="603"/>
      <c r="N78" s="602"/>
      <c r="V78" s="674"/>
      <c r="W78" s="675"/>
      <c r="AA78" s="537" t="s">
        <v>319</v>
      </c>
      <c r="AC78" s="675"/>
      <c r="AD78" s="680"/>
    </row>
    <row r="79" spans="1:30" s="536" customFormat="1" ht="33.75" x14ac:dyDescent="0.2">
      <c r="A79" s="605"/>
      <c r="B79" s="552" t="s">
        <v>4192</v>
      </c>
      <c r="C79" s="1822" t="s">
        <v>4193</v>
      </c>
      <c r="D79" s="1822"/>
      <c r="E79" s="1822"/>
      <c r="F79" s="562" t="s">
        <v>322</v>
      </c>
      <c r="G79" s="562" t="s">
        <v>3034</v>
      </c>
      <c r="H79" s="562"/>
      <c r="I79" s="562" t="s">
        <v>3034</v>
      </c>
      <c r="J79" s="604"/>
      <c r="K79" s="562"/>
      <c r="L79" s="604">
        <v>11656.31</v>
      </c>
      <c r="M79" s="603"/>
      <c r="N79" s="602"/>
      <c r="V79" s="674"/>
      <c r="W79" s="675"/>
      <c r="AA79" s="537" t="s">
        <v>4193</v>
      </c>
      <c r="AC79" s="675"/>
      <c r="AD79" s="680"/>
    </row>
    <row r="80" spans="1:30" s="536" customFormat="1" ht="33.75" x14ac:dyDescent="0.2">
      <c r="A80" s="605"/>
      <c r="B80" s="552" t="s">
        <v>4194</v>
      </c>
      <c r="C80" s="1822" t="s">
        <v>4195</v>
      </c>
      <c r="D80" s="1822"/>
      <c r="E80" s="1822"/>
      <c r="F80" s="562" t="s">
        <v>322</v>
      </c>
      <c r="G80" s="562" t="s">
        <v>2363</v>
      </c>
      <c r="H80" s="562"/>
      <c r="I80" s="562" t="s">
        <v>2363</v>
      </c>
      <c r="J80" s="604"/>
      <c r="K80" s="562"/>
      <c r="L80" s="604">
        <v>7942.8</v>
      </c>
      <c r="M80" s="603"/>
      <c r="N80" s="602"/>
      <c r="V80" s="674"/>
      <c r="W80" s="675"/>
      <c r="AA80" s="537" t="s">
        <v>4195</v>
      </c>
      <c r="AC80" s="675"/>
      <c r="AD80" s="680"/>
    </row>
    <row r="81" spans="1:31" s="536" customFormat="1" ht="12" x14ac:dyDescent="0.2">
      <c r="A81" s="569"/>
      <c r="B81" s="671"/>
      <c r="C81" s="1823" t="s">
        <v>327</v>
      </c>
      <c r="D81" s="1823"/>
      <c r="E81" s="1823"/>
      <c r="F81" s="573"/>
      <c r="G81" s="573"/>
      <c r="H81" s="573"/>
      <c r="I81" s="573"/>
      <c r="J81" s="572"/>
      <c r="K81" s="573"/>
      <c r="L81" s="572">
        <v>40070.49</v>
      </c>
      <c r="M81" s="601"/>
      <c r="N81" s="570"/>
      <c r="V81" s="674"/>
      <c r="W81" s="675"/>
      <c r="AC81" s="675" t="s">
        <v>327</v>
      </c>
      <c r="AD81" s="680"/>
    </row>
    <row r="82" spans="1:31" s="536" customFormat="1" ht="22.5" x14ac:dyDescent="0.2">
      <c r="A82" s="575" t="s">
        <v>188</v>
      </c>
      <c r="B82" s="670" t="s">
        <v>4196</v>
      </c>
      <c r="C82" s="1823" t="s">
        <v>4197</v>
      </c>
      <c r="D82" s="1823"/>
      <c r="E82" s="1823"/>
      <c r="F82" s="573" t="s">
        <v>694</v>
      </c>
      <c r="G82" s="573"/>
      <c r="H82" s="573"/>
      <c r="I82" s="573" t="s">
        <v>5077</v>
      </c>
      <c r="J82" s="572">
        <v>568.28</v>
      </c>
      <c r="K82" s="573"/>
      <c r="L82" s="572">
        <v>213502.8</v>
      </c>
      <c r="M82" s="571"/>
      <c r="N82" s="570"/>
      <c r="V82" s="674"/>
      <c r="W82" s="675" t="s">
        <v>4197</v>
      </c>
      <c r="AC82" s="675"/>
      <c r="AD82" s="680"/>
    </row>
    <row r="83" spans="1:31" s="536" customFormat="1" ht="12" x14ac:dyDescent="0.2">
      <c r="A83" s="569"/>
      <c r="B83" s="671"/>
      <c r="C83" s="665" t="s">
        <v>717</v>
      </c>
      <c r="D83" s="666"/>
      <c r="E83" s="666"/>
      <c r="F83" s="563"/>
      <c r="G83" s="563"/>
      <c r="H83" s="563"/>
      <c r="I83" s="563"/>
      <c r="J83" s="566"/>
      <c r="K83" s="563"/>
      <c r="L83" s="566"/>
      <c r="M83" s="565"/>
      <c r="N83" s="564"/>
      <c r="V83" s="674"/>
      <c r="W83" s="675"/>
      <c r="AC83" s="675"/>
      <c r="AD83" s="680"/>
    </row>
    <row r="84" spans="1:31" s="536" customFormat="1" ht="12" x14ac:dyDescent="0.2">
      <c r="A84" s="676"/>
      <c r="B84" s="664"/>
      <c r="C84" s="1822" t="s">
        <v>5078</v>
      </c>
      <c r="D84" s="1822"/>
      <c r="E84" s="1822"/>
      <c r="F84" s="1822"/>
      <c r="G84" s="1822"/>
      <c r="H84" s="1822"/>
      <c r="I84" s="1822"/>
      <c r="J84" s="1822"/>
      <c r="K84" s="1822"/>
      <c r="L84" s="1822"/>
      <c r="M84" s="1822"/>
      <c r="N84" s="1827"/>
      <c r="V84" s="674"/>
      <c r="W84" s="675"/>
      <c r="X84" s="537" t="s">
        <v>5078</v>
      </c>
      <c r="AC84" s="675"/>
      <c r="AD84" s="680"/>
    </row>
    <row r="85" spans="1:31" s="536" customFormat="1" ht="22.5" x14ac:dyDescent="0.2">
      <c r="A85" s="575" t="s">
        <v>189</v>
      </c>
      <c r="B85" s="670" t="s">
        <v>4200</v>
      </c>
      <c r="C85" s="1823" t="s">
        <v>4201</v>
      </c>
      <c r="D85" s="1823"/>
      <c r="E85" s="1823"/>
      <c r="F85" s="573" t="s">
        <v>865</v>
      </c>
      <c r="G85" s="573"/>
      <c r="H85" s="573"/>
      <c r="I85" s="573" t="s">
        <v>5074</v>
      </c>
      <c r="J85" s="572">
        <v>157.65</v>
      </c>
      <c r="K85" s="573"/>
      <c r="L85" s="572">
        <v>454820.25</v>
      </c>
      <c r="M85" s="571"/>
      <c r="N85" s="570"/>
      <c r="V85" s="674"/>
      <c r="W85" s="675" t="s">
        <v>4201</v>
      </c>
      <c r="AC85" s="675"/>
      <c r="AD85" s="680"/>
    </row>
    <row r="86" spans="1:31" s="536" customFormat="1" ht="12" x14ac:dyDescent="0.2">
      <c r="A86" s="569"/>
      <c r="B86" s="671"/>
      <c r="C86" s="665" t="s">
        <v>717</v>
      </c>
      <c r="D86" s="666"/>
      <c r="E86" s="666"/>
      <c r="F86" s="563"/>
      <c r="G86" s="563"/>
      <c r="H86" s="563"/>
      <c r="I86" s="563"/>
      <c r="J86" s="566"/>
      <c r="K86" s="563"/>
      <c r="L86" s="566"/>
      <c r="M86" s="565"/>
      <c r="N86" s="564"/>
      <c r="V86" s="674"/>
      <c r="W86" s="675"/>
      <c r="AC86" s="675"/>
      <c r="AD86" s="680"/>
    </row>
    <row r="87" spans="1:31" s="536" customFormat="1" ht="12" x14ac:dyDescent="0.2">
      <c r="A87" s="1830" t="s">
        <v>1085</v>
      </c>
      <c r="B87" s="1831"/>
      <c r="C87" s="1831"/>
      <c r="D87" s="1831"/>
      <c r="E87" s="1831"/>
      <c r="F87" s="1831"/>
      <c r="G87" s="1831"/>
      <c r="H87" s="1831"/>
      <c r="I87" s="1831"/>
      <c r="J87" s="1831"/>
      <c r="K87" s="1831"/>
      <c r="L87" s="1831"/>
      <c r="M87" s="1831"/>
      <c r="N87" s="1832"/>
      <c r="V87" s="674"/>
      <c r="W87" s="675"/>
      <c r="AC87" s="675"/>
      <c r="AD87" s="680"/>
      <c r="AE87" s="675" t="s">
        <v>1085</v>
      </c>
    </row>
    <row r="88" spans="1:31" s="536" customFormat="1" ht="67.5" x14ac:dyDescent="0.2">
      <c r="A88" s="575" t="s">
        <v>190</v>
      </c>
      <c r="B88" s="670" t="s">
        <v>1045</v>
      </c>
      <c r="C88" s="1823" t="s">
        <v>1046</v>
      </c>
      <c r="D88" s="1823"/>
      <c r="E88" s="1823"/>
      <c r="F88" s="573" t="s">
        <v>1034</v>
      </c>
      <c r="G88" s="573"/>
      <c r="H88" s="573"/>
      <c r="I88" s="573" t="s">
        <v>5079</v>
      </c>
      <c r="J88" s="572"/>
      <c r="K88" s="573"/>
      <c r="L88" s="572"/>
      <c r="M88" s="571"/>
      <c r="N88" s="570"/>
      <c r="V88" s="674"/>
      <c r="W88" s="675" t="s">
        <v>1046</v>
      </c>
      <c r="AC88" s="675"/>
      <c r="AD88" s="680"/>
      <c r="AE88" s="675"/>
    </row>
    <row r="89" spans="1:31" s="536" customFormat="1" ht="12" x14ac:dyDescent="0.2">
      <c r="A89" s="676"/>
      <c r="B89" s="664"/>
      <c r="C89" s="1822" t="s">
        <v>5080</v>
      </c>
      <c r="D89" s="1822"/>
      <c r="E89" s="1822"/>
      <c r="F89" s="1822"/>
      <c r="G89" s="1822"/>
      <c r="H89" s="1822"/>
      <c r="I89" s="1822"/>
      <c r="J89" s="1822"/>
      <c r="K89" s="1822"/>
      <c r="L89" s="1822"/>
      <c r="M89" s="1822"/>
      <c r="N89" s="1827"/>
      <c r="V89" s="674"/>
      <c r="W89" s="675"/>
      <c r="X89" s="537" t="s">
        <v>5080</v>
      </c>
      <c r="AC89" s="675"/>
      <c r="AD89" s="680"/>
      <c r="AE89" s="675"/>
    </row>
    <row r="90" spans="1:31" s="536" customFormat="1" ht="33.75" x14ac:dyDescent="0.2">
      <c r="A90" s="609"/>
      <c r="B90" s="552" t="s">
        <v>310</v>
      </c>
      <c r="C90" s="1822" t="s">
        <v>311</v>
      </c>
      <c r="D90" s="1822"/>
      <c r="E90" s="1822"/>
      <c r="F90" s="1822"/>
      <c r="G90" s="1822"/>
      <c r="H90" s="1822"/>
      <c r="I90" s="1822"/>
      <c r="J90" s="1822"/>
      <c r="K90" s="1822"/>
      <c r="L90" s="1822"/>
      <c r="M90" s="1822"/>
      <c r="N90" s="1827"/>
      <c r="V90" s="674"/>
      <c r="W90" s="675"/>
      <c r="Y90" s="537" t="s">
        <v>311</v>
      </c>
      <c r="AC90" s="675"/>
      <c r="AD90" s="680"/>
      <c r="AE90" s="675"/>
    </row>
    <row r="91" spans="1:31" s="536" customFormat="1" ht="12" x14ac:dyDescent="0.2">
      <c r="A91" s="605"/>
      <c r="B91" s="552" t="s">
        <v>185</v>
      </c>
      <c r="C91" s="1822" t="s">
        <v>312</v>
      </c>
      <c r="D91" s="1822"/>
      <c r="E91" s="1822"/>
      <c r="F91" s="562"/>
      <c r="G91" s="562"/>
      <c r="H91" s="562"/>
      <c r="I91" s="562"/>
      <c r="J91" s="604">
        <v>269.61</v>
      </c>
      <c r="K91" s="562" t="s">
        <v>313</v>
      </c>
      <c r="L91" s="604">
        <v>165.14</v>
      </c>
      <c r="M91" s="603"/>
      <c r="N91" s="602"/>
      <c r="V91" s="674"/>
      <c r="W91" s="675"/>
      <c r="Z91" s="537" t="s">
        <v>312</v>
      </c>
      <c r="AC91" s="675"/>
      <c r="AD91" s="680"/>
      <c r="AE91" s="675"/>
    </row>
    <row r="92" spans="1:31" s="536" customFormat="1" ht="12" x14ac:dyDescent="0.2">
      <c r="A92" s="605"/>
      <c r="B92" s="552" t="s">
        <v>186</v>
      </c>
      <c r="C92" s="1822" t="s">
        <v>344</v>
      </c>
      <c r="D92" s="1822"/>
      <c r="E92" s="1822"/>
      <c r="F92" s="562"/>
      <c r="G92" s="562"/>
      <c r="H92" s="562"/>
      <c r="I92" s="562"/>
      <c r="J92" s="604">
        <v>7442.38</v>
      </c>
      <c r="K92" s="562" t="s">
        <v>313</v>
      </c>
      <c r="L92" s="604">
        <v>4558.46</v>
      </c>
      <c r="M92" s="603"/>
      <c r="N92" s="602"/>
      <c r="V92" s="674"/>
      <c r="W92" s="675"/>
      <c r="Z92" s="537" t="s">
        <v>344</v>
      </c>
      <c r="AC92" s="675"/>
      <c r="AD92" s="680"/>
      <c r="AE92" s="675"/>
    </row>
    <row r="93" spans="1:31" s="536" customFormat="1" ht="12" x14ac:dyDescent="0.2">
      <c r="A93" s="605"/>
      <c r="B93" s="552" t="s">
        <v>187</v>
      </c>
      <c r="C93" s="1822" t="s">
        <v>345</v>
      </c>
      <c r="D93" s="1822"/>
      <c r="E93" s="1822"/>
      <c r="F93" s="562"/>
      <c r="G93" s="562"/>
      <c r="H93" s="562"/>
      <c r="I93" s="562"/>
      <c r="J93" s="604">
        <v>429.14</v>
      </c>
      <c r="K93" s="562" t="s">
        <v>313</v>
      </c>
      <c r="L93" s="604">
        <v>262.85000000000002</v>
      </c>
      <c r="M93" s="603"/>
      <c r="N93" s="602"/>
      <c r="V93" s="674"/>
      <c r="W93" s="675"/>
      <c r="Z93" s="537" t="s">
        <v>345</v>
      </c>
      <c r="AC93" s="675"/>
      <c r="AD93" s="680"/>
      <c r="AE93" s="675"/>
    </row>
    <row r="94" spans="1:31" s="536" customFormat="1" ht="12" x14ac:dyDescent="0.2">
      <c r="A94" s="605"/>
      <c r="B94" s="552" t="s">
        <v>188</v>
      </c>
      <c r="C94" s="1822" t="s">
        <v>475</v>
      </c>
      <c r="D94" s="1822"/>
      <c r="E94" s="1822"/>
      <c r="F94" s="562"/>
      <c r="G94" s="562"/>
      <c r="H94" s="562"/>
      <c r="I94" s="562"/>
      <c r="J94" s="604">
        <v>22322.55</v>
      </c>
      <c r="K94" s="562"/>
      <c r="L94" s="604">
        <v>10938.05</v>
      </c>
      <c r="M94" s="603"/>
      <c r="N94" s="602"/>
      <c r="V94" s="674"/>
      <c r="W94" s="675"/>
      <c r="Z94" s="537" t="s">
        <v>475</v>
      </c>
      <c r="AC94" s="675"/>
      <c r="AD94" s="680"/>
      <c r="AE94" s="675"/>
    </row>
    <row r="95" spans="1:31" s="536" customFormat="1" ht="12" x14ac:dyDescent="0.2">
      <c r="A95" s="605"/>
      <c r="B95" s="552"/>
      <c r="C95" s="1822" t="s">
        <v>314</v>
      </c>
      <c r="D95" s="1822"/>
      <c r="E95" s="1822"/>
      <c r="F95" s="562" t="s">
        <v>315</v>
      </c>
      <c r="G95" s="562" t="s">
        <v>505</v>
      </c>
      <c r="H95" s="562" t="s">
        <v>313</v>
      </c>
      <c r="I95" s="562" t="s">
        <v>5081</v>
      </c>
      <c r="J95" s="604"/>
      <c r="K95" s="562"/>
      <c r="L95" s="604"/>
      <c r="M95" s="603"/>
      <c r="N95" s="602"/>
      <c r="V95" s="674"/>
      <c r="W95" s="675"/>
      <c r="AA95" s="537" t="s">
        <v>314</v>
      </c>
      <c r="AC95" s="675"/>
      <c r="AD95" s="680"/>
      <c r="AE95" s="675"/>
    </row>
    <row r="96" spans="1:31" s="536" customFormat="1" ht="12" x14ac:dyDescent="0.2">
      <c r="A96" s="605"/>
      <c r="B96" s="552"/>
      <c r="C96" s="1822" t="s">
        <v>348</v>
      </c>
      <c r="D96" s="1822"/>
      <c r="E96" s="1822"/>
      <c r="F96" s="562" t="s">
        <v>315</v>
      </c>
      <c r="G96" s="562" t="s">
        <v>1047</v>
      </c>
      <c r="H96" s="562" t="s">
        <v>313</v>
      </c>
      <c r="I96" s="562" t="s">
        <v>5082</v>
      </c>
      <c r="J96" s="604"/>
      <c r="K96" s="562"/>
      <c r="L96" s="604"/>
      <c r="M96" s="603"/>
      <c r="N96" s="602"/>
      <c r="V96" s="674"/>
      <c r="W96" s="675"/>
      <c r="AA96" s="537" t="s">
        <v>348</v>
      </c>
      <c r="AC96" s="675"/>
      <c r="AD96" s="680"/>
      <c r="AE96" s="675"/>
    </row>
    <row r="97" spans="1:31" s="536" customFormat="1" ht="12" x14ac:dyDescent="0.2">
      <c r="A97" s="605"/>
      <c r="B97" s="552"/>
      <c r="C97" s="1828" t="s">
        <v>318</v>
      </c>
      <c r="D97" s="1828"/>
      <c r="E97" s="1828"/>
      <c r="F97" s="608"/>
      <c r="G97" s="608"/>
      <c r="H97" s="608"/>
      <c r="I97" s="608"/>
      <c r="J97" s="607">
        <v>30034.54</v>
      </c>
      <c r="K97" s="608"/>
      <c r="L97" s="607">
        <v>15661.65</v>
      </c>
      <c r="M97" s="601"/>
      <c r="N97" s="606"/>
      <c r="V97" s="674"/>
      <c r="W97" s="675"/>
      <c r="AB97" s="537" t="s">
        <v>318</v>
      </c>
      <c r="AC97" s="675"/>
      <c r="AD97" s="680"/>
      <c r="AE97" s="675"/>
    </row>
    <row r="98" spans="1:31" s="536" customFormat="1" ht="12" x14ac:dyDescent="0.2">
      <c r="A98" s="605"/>
      <c r="B98" s="552"/>
      <c r="C98" s="1822" t="s">
        <v>319</v>
      </c>
      <c r="D98" s="1822"/>
      <c r="E98" s="1822"/>
      <c r="F98" s="562"/>
      <c r="G98" s="562"/>
      <c r="H98" s="562"/>
      <c r="I98" s="562"/>
      <c r="J98" s="604"/>
      <c r="K98" s="562"/>
      <c r="L98" s="604">
        <v>427.99</v>
      </c>
      <c r="M98" s="603"/>
      <c r="N98" s="602"/>
      <c r="V98" s="674"/>
      <c r="W98" s="675"/>
      <c r="AA98" s="537" t="s">
        <v>319</v>
      </c>
      <c r="AC98" s="675"/>
      <c r="AD98" s="680"/>
      <c r="AE98" s="675"/>
    </row>
    <row r="99" spans="1:31" s="536" customFormat="1" ht="33.75" x14ac:dyDescent="0.2">
      <c r="A99" s="605"/>
      <c r="B99" s="552" t="s">
        <v>554</v>
      </c>
      <c r="C99" s="1822" t="s">
        <v>555</v>
      </c>
      <c r="D99" s="1822"/>
      <c r="E99" s="1822"/>
      <c r="F99" s="562" t="s">
        <v>322</v>
      </c>
      <c r="G99" s="562" t="s">
        <v>556</v>
      </c>
      <c r="H99" s="562"/>
      <c r="I99" s="562" t="s">
        <v>556</v>
      </c>
      <c r="J99" s="604"/>
      <c r="K99" s="562"/>
      <c r="L99" s="604">
        <v>539.27</v>
      </c>
      <c r="M99" s="603"/>
      <c r="N99" s="602"/>
      <c r="V99" s="674"/>
      <c r="W99" s="675"/>
      <c r="AA99" s="537" t="s">
        <v>555</v>
      </c>
      <c r="AC99" s="675"/>
      <c r="AD99" s="680"/>
      <c r="AE99" s="675"/>
    </row>
    <row r="100" spans="1:31" s="536" customFormat="1" ht="33.75" x14ac:dyDescent="0.2">
      <c r="A100" s="605"/>
      <c r="B100" s="552" t="s">
        <v>557</v>
      </c>
      <c r="C100" s="1822" t="s">
        <v>558</v>
      </c>
      <c r="D100" s="1822"/>
      <c r="E100" s="1822"/>
      <c r="F100" s="562" t="s">
        <v>322</v>
      </c>
      <c r="G100" s="562" t="s">
        <v>559</v>
      </c>
      <c r="H100" s="562"/>
      <c r="I100" s="562" t="s">
        <v>559</v>
      </c>
      <c r="J100" s="604"/>
      <c r="K100" s="562"/>
      <c r="L100" s="604">
        <v>406.59</v>
      </c>
      <c r="M100" s="603"/>
      <c r="N100" s="602"/>
      <c r="V100" s="674"/>
      <c r="W100" s="675"/>
      <c r="AA100" s="537" t="s">
        <v>558</v>
      </c>
      <c r="AC100" s="675"/>
      <c r="AD100" s="680"/>
      <c r="AE100" s="675"/>
    </row>
    <row r="101" spans="1:31" s="536" customFormat="1" ht="12" x14ac:dyDescent="0.2">
      <c r="A101" s="569"/>
      <c r="B101" s="671"/>
      <c r="C101" s="1823" t="s">
        <v>327</v>
      </c>
      <c r="D101" s="1823"/>
      <c r="E101" s="1823"/>
      <c r="F101" s="573"/>
      <c r="G101" s="573"/>
      <c r="H101" s="573"/>
      <c r="I101" s="573"/>
      <c r="J101" s="572"/>
      <c r="K101" s="573"/>
      <c r="L101" s="572">
        <v>16607.509999999998</v>
      </c>
      <c r="M101" s="601"/>
      <c r="N101" s="570"/>
      <c r="V101" s="674"/>
      <c r="W101" s="675"/>
      <c r="AC101" s="675" t="s">
        <v>327</v>
      </c>
      <c r="AD101" s="680"/>
      <c r="AE101" s="675"/>
    </row>
    <row r="102" spans="1:31" s="536" customFormat="1" ht="45" x14ac:dyDescent="0.2">
      <c r="A102" s="575" t="s">
        <v>191</v>
      </c>
      <c r="B102" s="670" t="s">
        <v>1048</v>
      </c>
      <c r="C102" s="1823" t="s">
        <v>5083</v>
      </c>
      <c r="D102" s="1823"/>
      <c r="E102" s="1823"/>
      <c r="F102" s="573" t="s">
        <v>1034</v>
      </c>
      <c r="G102" s="573"/>
      <c r="H102" s="573"/>
      <c r="I102" s="573" t="s">
        <v>5084</v>
      </c>
      <c r="J102" s="572"/>
      <c r="K102" s="573"/>
      <c r="L102" s="572"/>
      <c r="M102" s="571"/>
      <c r="N102" s="570"/>
      <c r="V102" s="674"/>
      <c r="W102" s="675" t="s">
        <v>5083</v>
      </c>
      <c r="AC102" s="675"/>
      <c r="AD102" s="680"/>
      <c r="AE102" s="675"/>
    </row>
    <row r="103" spans="1:31" s="536" customFormat="1" ht="12" x14ac:dyDescent="0.2">
      <c r="A103" s="676"/>
      <c r="B103" s="664"/>
      <c r="C103" s="1822" t="s">
        <v>5085</v>
      </c>
      <c r="D103" s="1822"/>
      <c r="E103" s="1822"/>
      <c r="F103" s="1822"/>
      <c r="G103" s="1822"/>
      <c r="H103" s="1822"/>
      <c r="I103" s="1822"/>
      <c r="J103" s="1822"/>
      <c r="K103" s="1822"/>
      <c r="L103" s="1822"/>
      <c r="M103" s="1822"/>
      <c r="N103" s="1827"/>
      <c r="V103" s="674"/>
      <c r="W103" s="675"/>
      <c r="X103" s="537" t="s">
        <v>5085</v>
      </c>
      <c r="AC103" s="675"/>
      <c r="AD103" s="680"/>
      <c r="AE103" s="675"/>
    </row>
    <row r="104" spans="1:31" s="536" customFormat="1" ht="12" x14ac:dyDescent="0.2">
      <c r="A104" s="609"/>
      <c r="B104" s="552"/>
      <c r="C104" s="1822" t="s">
        <v>1106</v>
      </c>
      <c r="D104" s="1822"/>
      <c r="E104" s="1822"/>
      <c r="F104" s="1822"/>
      <c r="G104" s="1822"/>
      <c r="H104" s="1822"/>
      <c r="I104" s="1822"/>
      <c r="J104" s="1822"/>
      <c r="K104" s="1822"/>
      <c r="L104" s="1822"/>
      <c r="M104" s="1822"/>
      <c r="N104" s="1827"/>
      <c r="V104" s="674"/>
      <c r="W104" s="675"/>
      <c r="Y104" s="537" t="s">
        <v>1106</v>
      </c>
      <c r="AC104" s="675"/>
      <c r="AD104" s="680"/>
      <c r="AE104" s="675"/>
    </row>
    <row r="105" spans="1:31" s="536" customFormat="1" ht="33.75" x14ac:dyDescent="0.2">
      <c r="A105" s="609"/>
      <c r="B105" s="552" t="s">
        <v>310</v>
      </c>
      <c r="C105" s="1822" t="s">
        <v>311</v>
      </c>
      <c r="D105" s="1822"/>
      <c r="E105" s="1822"/>
      <c r="F105" s="1822"/>
      <c r="G105" s="1822"/>
      <c r="H105" s="1822"/>
      <c r="I105" s="1822"/>
      <c r="J105" s="1822"/>
      <c r="K105" s="1822"/>
      <c r="L105" s="1822"/>
      <c r="M105" s="1822"/>
      <c r="N105" s="1827"/>
      <c r="V105" s="674"/>
      <c r="W105" s="675"/>
      <c r="Y105" s="537" t="s">
        <v>311</v>
      </c>
      <c r="AC105" s="675"/>
      <c r="AD105" s="680"/>
      <c r="AE105" s="675"/>
    </row>
    <row r="106" spans="1:31" s="536" customFormat="1" ht="12" x14ac:dyDescent="0.2">
      <c r="A106" s="605"/>
      <c r="B106" s="552" t="s">
        <v>186</v>
      </c>
      <c r="C106" s="1822" t="s">
        <v>344</v>
      </c>
      <c r="D106" s="1822"/>
      <c r="E106" s="1822"/>
      <c r="F106" s="562"/>
      <c r="G106" s="562"/>
      <c r="H106" s="562"/>
      <c r="I106" s="562"/>
      <c r="J106" s="604">
        <v>468.89</v>
      </c>
      <c r="K106" s="562" t="s">
        <v>434</v>
      </c>
      <c r="L106" s="604">
        <v>-1435.98</v>
      </c>
      <c r="M106" s="603"/>
      <c r="N106" s="602"/>
      <c r="V106" s="674"/>
      <c r="W106" s="675"/>
      <c r="Z106" s="537" t="s">
        <v>344</v>
      </c>
      <c r="AC106" s="675"/>
      <c r="AD106" s="680"/>
      <c r="AE106" s="675"/>
    </row>
    <row r="107" spans="1:31" s="536" customFormat="1" ht="12" x14ac:dyDescent="0.2">
      <c r="A107" s="605"/>
      <c r="B107" s="552" t="s">
        <v>187</v>
      </c>
      <c r="C107" s="1822" t="s">
        <v>345</v>
      </c>
      <c r="D107" s="1822"/>
      <c r="E107" s="1822"/>
      <c r="F107" s="562"/>
      <c r="G107" s="562"/>
      <c r="H107" s="562"/>
      <c r="I107" s="562"/>
      <c r="J107" s="604">
        <v>27.84</v>
      </c>
      <c r="K107" s="562" t="s">
        <v>434</v>
      </c>
      <c r="L107" s="604">
        <v>-85.26</v>
      </c>
      <c r="M107" s="603"/>
      <c r="N107" s="602"/>
      <c r="V107" s="674"/>
      <c r="W107" s="675"/>
      <c r="Z107" s="537" t="s">
        <v>345</v>
      </c>
      <c r="AC107" s="675"/>
      <c r="AD107" s="680"/>
      <c r="AE107" s="675"/>
    </row>
    <row r="108" spans="1:31" s="536" customFormat="1" ht="12" x14ac:dyDescent="0.2">
      <c r="A108" s="605"/>
      <c r="B108" s="552" t="s">
        <v>188</v>
      </c>
      <c r="C108" s="1822" t="s">
        <v>475</v>
      </c>
      <c r="D108" s="1822"/>
      <c r="E108" s="1822"/>
      <c r="F108" s="562"/>
      <c r="G108" s="562"/>
      <c r="H108" s="562"/>
      <c r="I108" s="562"/>
      <c r="J108" s="604">
        <v>1297.8</v>
      </c>
      <c r="K108" s="562" t="s">
        <v>189</v>
      </c>
      <c r="L108" s="604">
        <v>-3179.61</v>
      </c>
      <c r="M108" s="603"/>
      <c r="N108" s="602"/>
      <c r="V108" s="674"/>
      <c r="W108" s="675"/>
      <c r="Z108" s="537" t="s">
        <v>475</v>
      </c>
      <c r="AC108" s="675"/>
      <c r="AD108" s="680"/>
      <c r="AE108" s="675"/>
    </row>
    <row r="109" spans="1:31" s="536" customFormat="1" ht="12" x14ac:dyDescent="0.2">
      <c r="A109" s="605"/>
      <c r="B109" s="552"/>
      <c r="C109" s="1822" t="s">
        <v>348</v>
      </c>
      <c r="D109" s="1822"/>
      <c r="E109" s="1822"/>
      <c r="F109" s="562" t="s">
        <v>315</v>
      </c>
      <c r="G109" s="562" t="s">
        <v>1052</v>
      </c>
      <c r="H109" s="562" t="s">
        <v>434</v>
      </c>
      <c r="I109" s="562" t="s">
        <v>5086</v>
      </c>
      <c r="J109" s="604"/>
      <c r="K109" s="562"/>
      <c r="L109" s="604"/>
      <c r="M109" s="603"/>
      <c r="N109" s="602"/>
      <c r="V109" s="674"/>
      <c r="W109" s="675"/>
      <c r="AA109" s="537" t="s">
        <v>348</v>
      </c>
      <c r="AC109" s="675"/>
      <c r="AD109" s="680"/>
      <c r="AE109" s="675"/>
    </row>
    <row r="110" spans="1:31" s="536" customFormat="1" ht="12" x14ac:dyDescent="0.2">
      <c r="A110" s="605"/>
      <c r="B110" s="552"/>
      <c r="C110" s="1828" t="s">
        <v>318</v>
      </c>
      <c r="D110" s="1828"/>
      <c r="E110" s="1828"/>
      <c r="F110" s="608"/>
      <c r="G110" s="608"/>
      <c r="H110" s="608"/>
      <c r="I110" s="608"/>
      <c r="J110" s="607">
        <v>1766.69</v>
      </c>
      <c r="K110" s="608"/>
      <c r="L110" s="607">
        <v>-4615.59</v>
      </c>
      <c r="M110" s="601"/>
      <c r="N110" s="606"/>
      <c r="V110" s="674"/>
      <c r="W110" s="675"/>
      <c r="AB110" s="537" t="s">
        <v>318</v>
      </c>
      <c r="AC110" s="675"/>
      <c r="AD110" s="680"/>
      <c r="AE110" s="675"/>
    </row>
    <row r="111" spans="1:31" s="536" customFormat="1" ht="12" x14ac:dyDescent="0.2">
      <c r="A111" s="605"/>
      <c r="B111" s="552"/>
      <c r="C111" s="1822" t="s">
        <v>319</v>
      </c>
      <c r="D111" s="1822"/>
      <c r="E111" s="1822"/>
      <c r="F111" s="562"/>
      <c r="G111" s="562"/>
      <c r="H111" s="562"/>
      <c r="I111" s="562"/>
      <c r="J111" s="604"/>
      <c r="K111" s="562"/>
      <c r="L111" s="604">
        <v>-85.26</v>
      </c>
      <c r="M111" s="603"/>
      <c r="N111" s="602"/>
      <c r="V111" s="674"/>
      <c r="W111" s="675"/>
      <c r="AA111" s="537" t="s">
        <v>319</v>
      </c>
      <c r="AC111" s="675"/>
      <c r="AD111" s="680"/>
      <c r="AE111" s="675"/>
    </row>
    <row r="112" spans="1:31" s="536" customFormat="1" ht="33.75" x14ac:dyDescent="0.2">
      <c r="A112" s="605"/>
      <c r="B112" s="552" t="s">
        <v>554</v>
      </c>
      <c r="C112" s="1822" t="s">
        <v>555</v>
      </c>
      <c r="D112" s="1822"/>
      <c r="E112" s="1822"/>
      <c r="F112" s="562" t="s">
        <v>322</v>
      </c>
      <c r="G112" s="562" t="s">
        <v>556</v>
      </c>
      <c r="H112" s="562"/>
      <c r="I112" s="562" t="s">
        <v>556</v>
      </c>
      <c r="J112" s="604"/>
      <c r="K112" s="562"/>
      <c r="L112" s="604">
        <v>-107.43</v>
      </c>
      <c r="M112" s="603"/>
      <c r="N112" s="602"/>
      <c r="V112" s="674"/>
      <c r="W112" s="675"/>
      <c r="AA112" s="537" t="s">
        <v>555</v>
      </c>
      <c r="AC112" s="675"/>
      <c r="AD112" s="680"/>
      <c r="AE112" s="675"/>
    </row>
    <row r="113" spans="1:31" s="536" customFormat="1" ht="33.75" x14ac:dyDescent="0.2">
      <c r="A113" s="605"/>
      <c r="B113" s="552" t="s">
        <v>557</v>
      </c>
      <c r="C113" s="1822" t="s">
        <v>558</v>
      </c>
      <c r="D113" s="1822"/>
      <c r="E113" s="1822"/>
      <c r="F113" s="562" t="s">
        <v>322</v>
      </c>
      <c r="G113" s="562" t="s">
        <v>559</v>
      </c>
      <c r="H113" s="562"/>
      <c r="I113" s="562" t="s">
        <v>559</v>
      </c>
      <c r="J113" s="604"/>
      <c r="K113" s="562"/>
      <c r="L113" s="604">
        <v>-81</v>
      </c>
      <c r="M113" s="603"/>
      <c r="N113" s="602"/>
      <c r="V113" s="674"/>
      <c r="W113" s="675"/>
      <c r="AA113" s="537" t="s">
        <v>558</v>
      </c>
      <c r="AC113" s="675"/>
      <c r="AD113" s="680"/>
      <c r="AE113" s="675"/>
    </row>
    <row r="114" spans="1:31" s="536" customFormat="1" ht="12" x14ac:dyDescent="0.2">
      <c r="A114" s="569"/>
      <c r="B114" s="671"/>
      <c r="C114" s="1823" t="s">
        <v>327</v>
      </c>
      <c r="D114" s="1823"/>
      <c r="E114" s="1823"/>
      <c r="F114" s="573"/>
      <c r="G114" s="573"/>
      <c r="H114" s="573"/>
      <c r="I114" s="573"/>
      <c r="J114" s="572"/>
      <c r="K114" s="573"/>
      <c r="L114" s="572">
        <v>-4804.0200000000004</v>
      </c>
      <c r="M114" s="601"/>
      <c r="N114" s="570"/>
      <c r="V114" s="674"/>
      <c r="W114" s="675"/>
      <c r="AC114" s="675" t="s">
        <v>327</v>
      </c>
      <c r="AD114" s="680"/>
      <c r="AE114" s="675"/>
    </row>
    <row r="115" spans="1:31" s="536" customFormat="1" ht="22.5" x14ac:dyDescent="0.2">
      <c r="A115" s="575" t="s">
        <v>192</v>
      </c>
      <c r="B115" s="670" t="s">
        <v>1108</v>
      </c>
      <c r="C115" s="1823" t="s">
        <v>1109</v>
      </c>
      <c r="D115" s="1823"/>
      <c r="E115" s="1823"/>
      <c r="F115" s="573" t="s">
        <v>1110</v>
      </c>
      <c r="G115" s="573"/>
      <c r="H115" s="573"/>
      <c r="I115" s="573" t="s">
        <v>618</v>
      </c>
      <c r="J115" s="572"/>
      <c r="K115" s="573"/>
      <c r="L115" s="572"/>
      <c r="M115" s="571"/>
      <c r="N115" s="570"/>
      <c r="V115" s="674"/>
      <c r="W115" s="675" t="s">
        <v>1109</v>
      </c>
      <c r="AC115" s="675"/>
      <c r="AD115" s="680"/>
      <c r="AE115" s="675"/>
    </row>
    <row r="116" spans="1:31" s="536" customFormat="1" ht="12" x14ac:dyDescent="0.2">
      <c r="A116" s="676"/>
      <c r="B116" s="664"/>
      <c r="C116" s="1822" t="s">
        <v>5087</v>
      </c>
      <c r="D116" s="1822"/>
      <c r="E116" s="1822"/>
      <c r="F116" s="1822"/>
      <c r="G116" s="1822"/>
      <c r="H116" s="1822"/>
      <c r="I116" s="1822"/>
      <c r="J116" s="1822"/>
      <c r="K116" s="1822"/>
      <c r="L116" s="1822"/>
      <c r="M116" s="1822"/>
      <c r="N116" s="1827"/>
      <c r="V116" s="674"/>
      <c r="W116" s="675"/>
      <c r="X116" s="537" t="s">
        <v>5087</v>
      </c>
      <c r="AC116" s="675"/>
      <c r="AD116" s="680"/>
      <c r="AE116" s="675"/>
    </row>
    <row r="117" spans="1:31" s="536" customFormat="1" ht="33.75" x14ac:dyDescent="0.2">
      <c r="A117" s="609"/>
      <c r="B117" s="552" t="s">
        <v>310</v>
      </c>
      <c r="C117" s="1822" t="s">
        <v>311</v>
      </c>
      <c r="D117" s="1822"/>
      <c r="E117" s="1822"/>
      <c r="F117" s="1822"/>
      <c r="G117" s="1822"/>
      <c r="H117" s="1822"/>
      <c r="I117" s="1822"/>
      <c r="J117" s="1822"/>
      <c r="K117" s="1822"/>
      <c r="L117" s="1822"/>
      <c r="M117" s="1822"/>
      <c r="N117" s="1827"/>
      <c r="V117" s="674"/>
      <c r="W117" s="675"/>
      <c r="Y117" s="537" t="s">
        <v>311</v>
      </c>
      <c r="AC117" s="675"/>
      <c r="AD117" s="680"/>
      <c r="AE117" s="675"/>
    </row>
    <row r="118" spans="1:31" s="536" customFormat="1" ht="12" x14ac:dyDescent="0.2">
      <c r="A118" s="605"/>
      <c r="B118" s="552" t="s">
        <v>185</v>
      </c>
      <c r="C118" s="1822" t="s">
        <v>312</v>
      </c>
      <c r="D118" s="1822"/>
      <c r="E118" s="1822"/>
      <c r="F118" s="562"/>
      <c r="G118" s="562"/>
      <c r="H118" s="562"/>
      <c r="I118" s="562"/>
      <c r="J118" s="604">
        <v>590.51</v>
      </c>
      <c r="K118" s="562" t="s">
        <v>313</v>
      </c>
      <c r="L118" s="604">
        <v>7602.82</v>
      </c>
      <c r="M118" s="603"/>
      <c r="N118" s="602"/>
      <c r="V118" s="674"/>
      <c r="W118" s="675"/>
      <c r="Z118" s="537" t="s">
        <v>312</v>
      </c>
      <c r="AC118" s="675"/>
      <c r="AD118" s="680"/>
      <c r="AE118" s="675"/>
    </row>
    <row r="119" spans="1:31" s="536" customFormat="1" ht="12" x14ac:dyDescent="0.2">
      <c r="A119" s="605"/>
      <c r="B119" s="552" t="s">
        <v>186</v>
      </c>
      <c r="C119" s="1822" t="s">
        <v>344</v>
      </c>
      <c r="D119" s="1822"/>
      <c r="E119" s="1822"/>
      <c r="F119" s="562"/>
      <c r="G119" s="562"/>
      <c r="H119" s="562"/>
      <c r="I119" s="562"/>
      <c r="J119" s="604">
        <v>73.02</v>
      </c>
      <c r="K119" s="562" t="s">
        <v>313</v>
      </c>
      <c r="L119" s="604">
        <v>940.13</v>
      </c>
      <c r="M119" s="603"/>
      <c r="N119" s="602"/>
      <c r="V119" s="674"/>
      <c r="W119" s="675"/>
      <c r="Z119" s="537" t="s">
        <v>344</v>
      </c>
      <c r="AC119" s="675"/>
      <c r="AD119" s="680"/>
      <c r="AE119" s="675"/>
    </row>
    <row r="120" spans="1:31" s="536" customFormat="1" ht="12" x14ac:dyDescent="0.2">
      <c r="A120" s="605"/>
      <c r="B120" s="552" t="s">
        <v>187</v>
      </c>
      <c r="C120" s="1822" t="s">
        <v>345</v>
      </c>
      <c r="D120" s="1822"/>
      <c r="E120" s="1822"/>
      <c r="F120" s="562"/>
      <c r="G120" s="562"/>
      <c r="H120" s="562"/>
      <c r="I120" s="562"/>
      <c r="J120" s="604">
        <v>8.6999999999999993</v>
      </c>
      <c r="K120" s="562" t="s">
        <v>313</v>
      </c>
      <c r="L120" s="604">
        <v>112.01</v>
      </c>
      <c r="M120" s="603"/>
      <c r="N120" s="602"/>
      <c r="V120" s="674"/>
      <c r="W120" s="675"/>
      <c r="Z120" s="537" t="s">
        <v>345</v>
      </c>
      <c r="AC120" s="675"/>
      <c r="AD120" s="680"/>
      <c r="AE120" s="675"/>
    </row>
    <row r="121" spans="1:31" s="536" customFormat="1" ht="12" x14ac:dyDescent="0.2">
      <c r="A121" s="605"/>
      <c r="B121" s="552" t="s">
        <v>188</v>
      </c>
      <c r="C121" s="1822" t="s">
        <v>475</v>
      </c>
      <c r="D121" s="1822"/>
      <c r="E121" s="1822"/>
      <c r="F121" s="562"/>
      <c r="G121" s="562"/>
      <c r="H121" s="562"/>
      <c r="I121" s="562"/>
      <c r="J121" s="604">
        <v>3690.05</v>
      </c>
      <c r="K121" s="562"/>
      <c r="L121" s="604">
        <v>1664.27</v>
      </c>
      <c r="M121" s="603"/>
      <c r="N121" s="602"/>
      <c r="V121" s="674"/>
      <c r="W121" s="675"/>
      <c r="Z121" s="537" t="s">
        <v>475</v>
      </c>
      <c r="AC121" s="675"/>
      <c r="AD121" s="680"/>
      <c r="AE121" s="675"/>
    </row>
    <row r="122" spans="1:31" s="536" customFormat="1" ht="12" x14ac:dyDescent="0.2">
      <c r="A122" s="676"/>
      <c r="B122" s="677" t="s">
        <v>1113</v>
      </c>
      <c r="C122" s="1829" t="s">
        <v>1114</v>
      </c>
      <c r="D122" s="1829"/>
      <c r="E122" s="1829"/>
      <c r="F122" s="678" t="s">
        <v>483</v>
      </c>
      <c r="G122" s="678" t="s">
        <v>844</v>
      </c>
      <c r="H122" s="678"/>
      <c r="I122" s="678" t="s">
        <v>5088</v>
      </c>
      <c r="J122" s="552"/>
      <c r="K122" s="562"/>
      <c r="L122" s="604"/>
      <c r="M122" s="562"/>
      <c r="N122" s="679"/>
      <c r="V122" s="674"/>
      <c r="W122" s="675"/>
      <c r="AC122" s="675"/>
      <c r="AD122" s="680" t="s">
        <v>1114</v>
      </c>
      <c r="AE122" s="675"/>
    </row>
    <row r="123" spans="1:31" s="536" customFormat="1" ht="12" x14ac:dyDescent="0.2">
      <c r="A123" s="605"/>
      <c r="B123" s="552"/>
      <c r="C123" s="1822" t="s">
        <v>314</v>
      </c>
      <c r="D123" s="1822"/>
      <c r="E123" s="1822"/>
      <c r="F123" s="562" t="s">
        <v>315</v>
      </c>
      <c r="G123" s="562" t="s">
        <v>1116</v>
      </c>
      <c r="H123" s="562" t="s">
        <v>313</v>
      </c>
      <c r="I123" s="562" t="s">
        <v>5089</v>
      </c>
      <c r="J123" s="604"/>
      <c r="K123" s="562"/>
      <c r="L123" s="604"/>
      <c r="M123" s="603"/>
      <c r="N123" s="602"/>
      <c r="V123" s="674"/>
      <c r="W123" s="675"/>
      <c r="AA123" s="537" t="s">
        <v>314</v>
      </c>
      <c r="AC123" s="675"/>
      <c r="AD123" s="680"/>
      <c r="AE123" s="675"/>
    </row>
    <row r="124" spans="1:31" s="536" customFormat="1" ht="12" x14ac:dyDescent="0.2">
      <c r="A124" s="605"/>
      <c r="B124" s="552"/>
      <c r="C124" s="1822" t="s">
        <v>348</v>
      </c>
      <c r="D124" s="1822"/>
      <c r="E124" s="1822"/>
      <c r="F124" s="562" t="s">
        <v>315</v>
      </c>
      <c r="G124" s="562" t="s">
        <v>1118</v>
      </c>
      <c r="H124" s="562" t="s">
        <v>313</v>
      </c>
      <c r="I124" s="562" t="s">
        <v>5090</v>
      </c>
      <c r="J124" s="604"/>
      <c r="K124" s="562"/>
      <c r="L124" s="604"/>
      <c r="M124" s="603"/>
      <c r="N124" s="602"/>
      <c r="V124" s="674"/>
      <c r="W124" s="675"/>
      <c r="AA124" s="537" t="s">
        <v>348</v>
      </c>
      <c r="AC124" s="675"/>
      <c r="AD124" s="680"/>
      <c r="AE124" s="675"/>
    </row>
    <row r="125" spans="1:31" s="536" customFormat="1" ht="12" x14ac:dyDescent="0.2">
      <c r="A125" s="605"/>
      <c r="B125" s="552"/>
      <c r="C125" s="1828" t="s">
        <v>318</v>
      </c>
      <c r="D125" s="1828"/>
      <c r="E125" s="1828"/>
      <c r="F125" s="608"/>
      <c r="G125" s="608"/>
      <c r="H125" s="608"/>
      <c r="I125" s="608"/>
      <c r="J125" s="607">
        <v>825.11</v>
      </c>
      <c r="K125" s="608"/>
      <c r="L125" s="607">
        <v>10207.219999999999</v>
      </c>
      <c r="M125" s="601"/>
      <c r="N125" s="606"/>
      <c r="V125" s="674"/>
      <c r="W125" s="675"/>
      <c r="AB125" s="537" t="s">
        <v>318</v>
      </c>
      <c r="AC125" s="675"/>
      <c r="AD125" s="680"/>
      <c r="AE125" s="675"/>
    </row>
    <row r="126" spans="1:31" s="536" customFormat="1" ht="12" x14ac:dyDescent="0.2">
      <c r="A126" s="605"/>
      <c r="B126" s="552"/>
      <c r="C126" s="1822" t="s">
        <v>319</v>
      </c>
      <c r="D126" s="1822"/>
      <c r="E126" s="1822"/>
      <c r="F126" s="562"/>
      <c r="G126" s="562"/>
      <c r="H126" s="562"/>
      <c r="I126" s="562"/>
      <c r="J126" s="604"/>
      <c r="K126" s="562"/>
      <c r="L126" s="604">
        <v>7714.83</v>
      </c>
      <c r="M126" s="603"/>
      <c r="N126" s="602"/>
      <c r="V126" s="674"/>
      <c r="W126" s="675"/>
      <c r="AA126" s="537" t="s">
        <v>319</v>
      </c>
      <c r="AC126" s="675"/>
      <c r="AD126" s="680"/>
      <c r="AE126" s="675"/>
    </row>
    <row r="127" spans="1:31" s="536" customFormat="1" ht="33.75" x14ac:dyDescent="0.2">
      <c r="A127" s="605"/>
      <c r="B127" s="552" t="s">
        <v>554</v>
      </c>
      <c r="C127" s="1822" t="s">
        <v>555</v>
      </c>
      <c r="D127" s="1822"/>
      <c r="E127" s="1822"/>
      <c r="F127" s="562" t="s">
        <v>322</v>
      </c>
      <c r="G127" s="562" t="s">
        <v>556</v>
      </c>
      <c r="H127" s="562"/>
      <c r="I127" s="562" t="s">
        <v>556</v>
      </c>
      <c r="J127" s="604"/>
      <c r="K127" s="562"/>
      <c r="L127" s="604">
        <v>9720.69</v>
      </c>
      <c r="M127" s="603"/>
      <c r="N127" s="602"/>
      <c r="V127" s="674"/>
      <c r="W127" s="675"/>
      <c r="AA127" s="537" t="s">
        <v>555</v>
      </c>
      <c r="AC127" s="675"/>
      <c r="AD127" s="680"/>
      <c r="AE127" s="675"/>
    </row>
    <row r="128" spans="1:31" s="536" customFormat="1" ht="33.75" x14ac:dyDescent="0.2">
      <c r="A128" s="605"/>
      <c r="B128" s="552" t="s">
        <v>557</v>
      </c>
      <c r="C128" s="1822" t="s">
        <v>558</v>
      </c>
      <c r="D128" s="1822"/>
      <c r="E128" s="1822"/>
      <c r="F128" s="562" t="s">
        <v>322</v>
      </c>
      <c r="G128" s="562" t="s">
        <v>559</v>
      </c>
      <c r="H128" s="562"/>
      <c r="I128" s="562" t="s">
        <v>559</v>
      </c>
      <c r="J128" s="604"/>
      <c r="K128" s="562"/>
      <c r="L128" s="604">
        <v>7329.09</v>
      </c>
      <c r="M128" s="603"/>
      <c r="N128" s="602"/>
      <c r="V128" s="674"/>
      <c r="W128" s="675"/>
      <c r="AA128" s="537" t="s">
        <v>558</v>
      </c>
      <c r="AC128" s="675"/>
      <c r="AD128" s="680"/>
      <c r="AE128" s="675"/>
    </row>
    <row r="129" spans="1:33" s="536" customFormat="1" ht="12" x14ac:dyDescent="0.2">
      <c r="A129" s="569"/>
      <c r="B129" s="671"/>
      <c r="C129" s="1823" t="s">
        <v>327</v>
      </c>
      <c r="D129" s="1823"/>
      <c r="E129" s="1823"/>
      <c r="F129" s="573"/>
      <c r="G129" s="573"/>
      <c r="H129" s="573"/>
      <c r="I129" s="573"/>
      <c r="J129" s="572"/>
      <c r="K129" s="573"/>
      <c r="L129" s="572">
        <v>27257</v>
      </c>
      <c r="M129" s="601"/>
      <c r="N129" s="570"/>
      <c r="V129" s="674"/>
      <c r="W129" s="675"/>
      <c r="AC129" s="675" t="s">
        <v>327</v>
      </c>
      <c r="AD129" s="680"/>
      <c r="AE129" s="675"/>
    </row>
    <row r="130" spans="1:33" s="536" customFormat="1" ht="45" x14ac:dyDescent="0.2">
      <c r="A130" s="575" t="s">
        <v>193</v>
      </c>
      <c r="B130" s="670" t="s">
        <v>4224</v>
      </c>
      <c r="C130" s="1823" t="s">
        <v>4119</v>
      </c>
      <c r="D130" s="1823"/>
      <c r="E130" s="1823"/>
      <c r="F130" s="573" t="s">
        <v>641</v>
      </c>
      <c r="G130" s="573"/>
      <c r="H130" s="573"/>
      <c r="I130" s="573" t="s">
        <v>5091</v>
      </c>
      <c r="J130" s="572">
        <v>665</v>
      </c>
      <c r="K130" s="573"/>
      <c r="L130" s="572">
        <v>29888.43</v>
      </c>
      <c r="M130" s="571"/>
      <c r="N130" s="570"/>
      <c r="V130" s="674"/>
      <c r="W130" s="675" t="s">
        <v>4119</v>
      </c>
      <c r="AC130" s="675"/>
      <c r="AD130" s="680"/>
      <c r="AE130" s="675"/>
    </row>
    <row r="131" spans="1:33" s="536" customFormat="1" ht="12" x14ac:dyDescent="0.2">
      <c r="A131" s="569"/>
      <c r="B131" s="671"/>
      <c r="C131" s="665" t="s">
        <v>717</v>
      </c>
      <c r="D131" s="666"/>
      <c r="E131" s="666"/>
      <c r="F131" s="563"/>
      <c r="G131" s="563"/>
      <c r="H131" s="563"/>
      <c r="I131" s="563"/>
      <c r="J131" s="566"/>
      <c r="K131" s="563"/>
      <c r="L131" s="566"/>
      <c r="M131" s="565"/>
      <c r="N131" s="564"/>
      <c r="V131" s="674"/>
      <c r="W131" s="675"/>
      <c r="AC131" s="675"/>
      <c r="AD131" s="680"/>
      <c r="AE131" s="675"/>
    </row>
    <row r="132" spans="1:33" s="536" customFormat="1" ht="12" x14ac:dyDescent="0.2">
      <c r="A132" s="676"/>
      <c r="B132" s="664"/>
      <c r="C132" s="1822" t="s">
        <v>5092</v>
      </c>
      <c r="D132" s="1822"/>
      <c r="E132" s="1822"/>
      <c r="F132" s="1822"/>
      <c r="G132" s="1822"/>
      <c r="H132" s="1822"/>
      <c r="I132" s="1822"/>
      <c r="J132" s="1822"/>
      <c r="K132" s="1822"/>
      <c r="L132" s="1822"/>
      <c r="M132" s="1822"/>
      <c r="N132" s="1827"/>
      <c r="V132" s="674"/>
      <c r="W132" s="675"/>
      <c r="X132" s="537" t="s">
        <v>5092</v>
      </c>
      <c r="AC132" s="675"/>
      <c r="AD132" s="680"/>
      <c r="AE132" s="675"/>
    </row>
    <row r="133" spans="1:33" s="536" customFormat="1" ht="45" x14ac:dyDescent="0.2">
      <c r="A133" s="575" t="s">
        <v>194</v>
      </c>
      <c r="B133" s="670" t="s">
        <v>4227</v>
      </c>
      <c r="C133" s="1823" t="s">
        <v>4228</v>
      </c>
      <c r="D133" s="1823"/>
      <c r="E133" s="1823"/>
      <c r="F133" s="573" t="s">
        <v>641</v>
      </c>
      <c r="G133" s="573"/>
      <c r="H133" s="573"/>
      <c r="I133" s="573" t="s">
        <v>3693</v>
      </c>
      <c r="J133" s="572">
        <v>519.79999999999995</v>
      </c>
      <c r="K133" s="573"/>
      <c r="L133" s="572">
        <v>90.97</v>
      </c>
      <c r="M133" s="571"/>
      <c r="N133" s="570"/>
      <c r="V133" s="674"/>
      <c r="W133" s="675" t="s">
        <v>4228</v>
      </c>
      <c r="AC133" s="675"/>
      <c r="AD133" s="680"/>
      <c r="AE133" s="675"/>
    </row>
    <row r="134" spans="1:33" s="536" customFormat="1" ht="12" x14ac:dyDescent="0.2">
      <c r="A134" s="569"/>
      <c r="B134" s="671"/>
      <c r="C134" s="665" t="s">
        <v>717</v>
      </c>
      <c r="D134" s="666"/>
      <c r="E134" s="666"/>
      <c r="F134" s="563"/>
      <c r="G134" s="563"/>
      <c r="H134" s="563"/>
      <c r="I134" s="563"/>
      <c r="J134" s="566"/>
      <c r="K134" s="563"/>
      <c r="L134" s="566"/>
      <c r="M134" s="565"/>
      <c r="N134" s="564"/>
      <c r="V134" s="674"/>
      <c r="W134" s="675"/>
      <c r="AC134" s="675"/>
      <c r="AD134" s="680"/>
      <c r="AE134" s="675"/>
    </row>
    <row r="135" spans="1:33" s="536" customFormat="1" ht="12" x14ac:dyDescent="0.2">
      <c r="A135" s="676"/>
      <c r="B135" s="664"/>
      <c r="C135" s="1822" t="s">
        <v>5093</v>
      </c>
      <c r="D135" s="1822"/>
      <c r="E135" s="1822"/>
      <c r="F135" s="1822"/>
      <c r="G135" s="1822"/>
      <c r="H135" s="1822"/>
      <c r="I135" s="1822"/>
      <c r="J135" s="1822"/>
      <c r="K135" s="1822"/>
      <c r="L135" s="1822"/>
      <c r="M135" s="1822"/>
      <c r="N135" s="1827"/>
      <c r="V135" s="674"/>
      <c r="W135" s="675"/>
      <c r="X135" s="537" t="s">
        <v>5093</v>
      </c>
      <c r="AC135" s="675"/>
      <c r="AD135" s="680"/>
      <c r="AE135" s="675"/>
    </row>
    <row r="136" spans="1:33" s="536" customFormat="1" ht="22.5" x14ac:dyDescent="0.2">
      <c r="A136" s="575" t="s">
        <v>195</v>
      </c>
      <c r="B136" s="670" t="s">
        <v>4231</v>
      </c>
      <c r="C136" s="1823" t="s">
        <v>4232</v>
      </c>
      <c r="D136" s="1823"/>
      <c r="E136" s="1823"/>
      <c r="F136" s="573" t="s">
        <v>617</v>
      </c>
      <c r="G136" s="573"/>
      <c r="H136" s="573"/>
      <c r="I136" s="573" t="s">
        <v>5088</v>
      </c>
      <c r="J136" s="572">
        <v>22.36</v>
      </c>
      <c r="K136" s="573"/>
      <c r="L136" s="572">
        <v>23030.799999999999</v>
      </c>
      <c r="M136" s="571"/>
      <c r="N136" s="570"/>
      <c r="V136" s="674"/>
      <c r="W136" s="675" t="s">
        <v>4232</v>
      </c>
      <c r="AC136" s="675"/>
      <c r="AD136" s="680"/>
      <c r="AE136" s="675"/>
    </row>
    <row r="137" spans="1:33" s="536" customFormat="1" ht="12" x14ac:dyDescent="0.2">
      <c r="A137" s="569"/>
      <c r="B137" s="671"/>
      <c r="C137" s="665" t="s">
        <v>717</v>
      </c>
      <c r="D137" s="666"/>
      <c r="E137" s="666"/>
      <c r="F137" s="563"/>
      <c r="G137" s="563"/>
      <c r="H137" s="563"/>
      <c r="I137" s="563"/>
      <c r="J137" s="566"/>
      <c r="K137" s="563"/>
      <c r="L137" s="566"/>
      <c r="M137" s="565"/>
      <c r="N137" s="564"/>
      <c r="V137" s="674"/>
      <c r="W137" s="675"/>
      <c r="AC137" s="675"/>
      <c r="AD137" s="680"/>
      <c r="AE137" s="675"/>
    </row>
    <row r="138" spans="1:33" s="536" customFormat="1" ht="1.5" customHeight="1" x14ac:dyDescent="0.2">
      <c r="A138" s="563"/>
      <c r="B138" s="671"/>
      <c r="C138" s="671"/>
      <c r="D138" s="671"/>
      <c r="E138" s="671"/>
      <c r="F138" s="563"/>
      <c r="G138" s="563"/>
      <c r="H138" s="563"/>
      <c r="I138" s="563"/>
      <c r="J138" s="546"/>
      <c r="K138" s="563"/>
      <c r="L138" s="546"/>
      <c r="M138" s="562"/>
      <c r="N138" s="546"/>
      <c r="V138" s="674"/>
      <c r="W138" s="675"/>
      <c r="AC138" s="675"/>
      <c r="AD138" s="680"/>
      <c r="AE138" s="675"/>
    </row>
    <row r="139" spans="1:33" s="536" customFormat="1" ht="12" x14ac:dyDescent="0.2">
      <c r="A139" s="557"/>
      <c r="B139" s="556"/>
      <c r="C139" s="1823" t="s">
        <v>8944</v>
      </c>
      <c r="D139" s="1823"/>
      <c r="E139" s="1823"/>
      <c r="F139" s="1823"/>
      <c r="G139" s="1823"/>
      <c r="H139" s="1823"/>
      <c r="I139" s="1823"/>
      <c r="J139" s="1823"/>
      <c r="K139" s="1823"/>
      <c r="L139" s="555"/>
      <c r="M139" s="554"/>
      <c r="N139" s="553"/>
      <c r="V139" s="674"/>
      <c r="W139" s="675"/>
      <c r="AC139" s="675"/>
      <c r="AD139" s="680"/>
      <c r="AE139" s="675"/>
      <c r="AF139" s="675" t="s">
        <v>8944</v>
      </c>
    </row>
    <row r="140" spans="1:33" s="536" customFormat="1" ht="12" x14ac:dyDescent="0.2">
      <c r="A140" s="548"/>
      <c r="B140" s="552"/>
      <c r="C140" s="1822" t="s">
        <v>403</v>
      </c>
      <c r="D140" s="1822"/>
      <c r="E140" s="1822"/>
      <c r="F140" s="1822"/>
      <c r="G140" s="1822"/>
      <c r="H140" s="1822"/>
      <c r="I140" s="1822"/>
      <c r="J140" s="1822"/>
      <c r="K140" s="1822"/>
      <c r="L140" s="551">
        <v>828094.39</v>
      </c>
      <c r="M140" s="550"/>
      <c r="N140" s="549"/>
      <c r="V140" s="674"/>
      <c r="W140" s="675"/>
      <c r="AC140" s="675"/>
      <c r="AD140" s="680"/>
      <c r="AE140" s="675"/>
      <c r="AF140" s="675"/>
      <c r="AG140" s="537" t="s">
        <v>403</v>
      </c>
    </row>
    <row r="141" spans="1:33" s="536" customFormat="1" ht="12" x14ac:dyDescent="0.2">
      <c r="A141" s="548"/>
      <c r="B141" s="552"/>
      <c r="C141" s="1822" t="s">
        <v>204</v>
      </c>
      <c r="D141" s="1822"/>
      <c r="E141" s="1822"/>
      <c r="F141" s="1822"/>
      <c r="G141" s="1822"/>
      <c r="H141" s="1822"/>
      <c r="I141" s="1822"/>
      <c r="J141" s="1822"/>
      <c r="K141" s="1822"/>
      <c r="L141" s="551"/>
      <c r="M141" s="550"/>
      <c r="N141" s="549"/>
      <c r="V141" s="674"/>
      <c r="W141" s="675"/>
      <c r="AC141" s="675"/>
      <c r="AD141" s="680"/>
      <c r="AE141" s="675"/>
      <c r="AF141" s="675"/>
      <c r="AG141" s="537" t="s">
        <v>204</v>
      </c>
    </row>
    <row r="142" spans="1:33" s="536" customFormat="1" ht="12" x14ac:dyDescent="0.2">
      <c r="A142" s="548"/>
      <c r="B142" s="552"/>
      <c r="C142" s="1822" t="s">
        <v>404</v>
      </c>
      <c r="D142" s="1822"/>
      <c r="E142" s="1822"/>
      <c r="F142" s="1822"/>
      <c r="G142" s="1822"/>
      <c r="H142" s="1822"/>
      <c r="I142" s="1822"/>
      <c r="J142" s="1822"/>
      <c r="K142" s="1822"/>
      <c r="L142" s="551">
        <v>18734.169999999998</v>
      </c>
      <c r="M142" s="550"/>
      <c r="N142" s="549"/>
      <c r="V142" s="674"/>
      <c r="W142" s="675"/>
      <c r="AC142" s="675"/>
      <c r="AD142" s="680"/>
      <c r="AE142" s="675"/>
      <c r="AF142" s="675"/>
      <c r="AG142" s="537" t="s">
        <v>404</v>
      </c>
    </row>
    <row r="143" spans="1:33" s="536" customFormat="1" ht="12" x14ac:dyDescent="0.2">
      <c r="A143" s="548"/>
      <c r="B143" s="552"/>
      <c r="C143" s="1822" t="s">
        <v>405</v>
      </c>
      <c r="D143" s="1822"/>
      <c r="E143" s="1822"/>
      <c r="F143" s="1822"/>
      <c r="G143" s="1822"/>
      <c r="H143" s="1822"/>
      <c r="I143" s="1822"/>
      <c r="J143" s="1822"/>
      <c r="K143" s="1822"/>
      <c r="L143" s="551">
        <v>32837.919999999998</v>
      </c>
      <c r="M143" s="550"/>
      <c r="N143" s="549"/>
      <c r="V143" s="674"/>
      <c r="W143" s="675"/>
      <c r="AC143" s="675"/>
      <c r="AD143" s="680"/>
      <c r="AE143" s="675"/>
      <c r="AF143" s="675"/>
      <c r="AG143" s="537" t="s">
        <v>405</v>
      </c>
    </row>
    <row r="144" spans="1:33" s="536" customFormat="1" ht="12" x14ac:dyDescent="0.2">
      <c r="A144" s="548"/>
      <c r="B144" s="552"/>
      <c r="C144" s="1822" t="s">
        <v>406</v>
      </c>
      <c r="D144" s="1822"/>
      <c r="E144" s="1822"/>
      <c r="F144" s="1822"/>
      <c r="G144" s="1822"/>
      <c r="H144" s="1822"/>
      <c r="I144" s="1822"/>
      <c r="J144" s="1822"/>
      <c r="K144" s="1822"/>
      <c r="L144" s="551">
        <v>1656.59</v>
      </c>
      <c r="M144" s="550"/>
      <c r="N144" s="549"/>
      <c r="V144" s="674"/>
      <c r="W144" s="675"/>
      <c r="AC144" s="675"/>
      <c r="AD144" s="680"/>
      <c r="AE144" s="675"/>
      <c r="AF144" s="675"/>
      <c r="AG144" s="537" t="s">
        <v>406</v>
      </c>
    </row>
    <row r="145" spans="1:34" s="536" customFormat="1" ht="12" x14ac:dyDescent="0.2">
      <c r="A145" s="548"/>
      <c r="B145" s="552"/>
      <c r="C145" s="1822" t="s">
        <v>480</v>
      </c>
      <c r="D145" s="1822"/>
      <c r="E145" s="1822"/>
      <c r="F145" s="1822"/>
      <c r="G145" s="1822"/>
      <c r="H145" s="1822"/>
      <c r="I145" s="1822"/>
      <c r="J145" s="1822"/>
      <c r="K145" s="1822"/>
      <c r="L145" s="551">
        <v>776522.3</v>
      </c>
      <c r="M145" s="550"/>
      <c r="N145" s="549"/>
      <c r="V145" s="674"/>
      <c r="W145" s="675"/>
      <c r="AC145" s="675"/>
      <c r="AD145" s="680"/>
      <c r="AE145" s="675"/>
      <c r="AF145" s="675"/>
      <c r="AG145" s="537" t="s">
        <v>480</v>
      </c>
    </row>
    <row r="146" spans="1:34" s="536" customFormat="1" ht="12" x14ac:dyDescent="0.2">
      <c r="A146" s="548"/>
      <c r="B146" s="552"/>
      <c r="C146" s="1822" t="s">
        <v>407</v>
      </c>
      <c r="D146" s="1822"/>
      <c r="E146" s="1822"/>
      <c r="F146" s="1822"/>
      <c r="G146" s="1822"/>
      <c r="H146" s="1822"/>
      <c r="I146" s="1822"/>
      <c r="J146" s="1822"/>
      <c r="K146" s="1822"/>
      <c r="L146" s="551">
        <v>869960.23</v>
      </c>
      <c r="M146" s="550"/>
      <c r="N146" s="549"/>
      <c r="V146" s="674"/>
      <c r="W146" s="675"/>
      <c r="AC146" s="675"/>
      <c r="AD146" s="680"/>
      <c r="AE146" s="675"/>
      <c r="AF146" s="675"/>
      <c r="AG146" s="537" t="s">
        <v>407</v>
      </c>
    </row>
    <row r="147" spans="1:34" s="536" customFormat="1" ht="12" x14ac:dyDescent="0.2">
      <c r="A147" s="548"/>
      <c r="B147" s="552"/>
      <c r="C147" s="1822" t="s">
        <v>204</v>
      </c>
      <c r="D147" s="1822"/>
      <c r="E147" s="1822"/>
      <c r="F147" s="1822"/>
      <c r="G147" s="1822"/>
      <c r="H147" s="1822"/>
      <c r="I147" s="1822"/>
      <c r="J147" s="1822"/>
      <c r="K147" s="1822"/>
      <c r="L147" s="551"/>
      <c r="M147" s="550"/>
      <c r="N147" s="549"/>
      <c r="V147" s="674"/>
      <c r="W147" s="675"/>
      <c r="AC147" s="675"/>
      <c r="AD147" s="680"/>
      <c r="AE147" s="675"/>
      <c r="AF147" s="675"/>
      <c r="AG147" s="537" t="s">
        <v>204</v>
      </c>
    </row>
    <row r="148" spans="1:34" s="536" customFormat="1" ht="12" x14ac:dyDescent="0.2">
      <c r="A148" s="548"/>
      <c r="B148" s="552"/>
      <c r="C148" s="1822" t="s">
        <v>546</v>
      </c>
      <c r="D148" s="1822"/>
      <c r="E148" s="1822"/>
      <c r="F148" s="1822"/>
      <c r="G148" s="1822"/>
      <c r="H148" s="1822"/>
      <c r="I148" s="1822"/>
      <c r="J148" s="1822"/>
      <c r="K148" s="1822"/>
      <c r="L148" s="551">
        <v>18734.169999999998</v>
      </c>
      <c r="M148" s="550"/>
      <c r="N148" s="549"/>
      <c r="V148" s="674"/>
      <c r="W148" s="675"/>
      <c r="AC148" s="675"/>
      <c r="AD148" s="680"/>
      <c r="AE148" s="675"/>
      <c r="AF148" s="675"/>
      <c r="AG148" s="537" t="s">
        <v>546</v>
      </c>
    </row>
    <row r="149" spans="1:34" s="536" customFormat="1" ht="12" x14ac:dyDescent="0.2">
      <c r="A149" s="548"/>
      <c r="B149" s="552"/>
      <c r="C149" s="1822" t="s">
        <v>442</v>
      </c>
      <c r="D149" s="1822"/>
      <c r="E149" s="1822"/>
      <c r="F149" s="1822"/>
      <c r="G149" s="1822"/>
      <c r="H149" s="1822"/>
      <c r="I149" s="1822"/>
      <c r="J149" s="1822"/>
      <c r="K149" s="1822"/>
      <c r="L149" s="551">
        <v>32837.919999999998</v>
      </c>
      <c r="M149" s="550"/>
      <c r="N149" s="549"/>
      <c r="V149" s="674"/>
      <c r="W149" s="675"/>
      <c r="AC149" s="675"/>
      <c r="AD149" s="680"/>
      <c r="AE149" s="675"/>
      <c r="AF149" s="675"/>
      <c r="AG149" s="537" t="s">
        <v>442</v>
      </c>
    </row>
    <row r="150" spans="1:34" s="536" customFormat="1" ht="12" x14ac:dyDescent="0.2">
      <c r="A150" s="548"/>
      <c r="B150" s="552"/>
      <c r="C150" s="1822" t="s">
        <v>547</v>
      </c>
      <c r="D150" s="1822"/>
      <c r="E150" s="1822"/>
      <c r="F150" s="1822"/>
      <c r="G150" s="1822"/>
      <c r="H150" s="1822"/>
      <c r="I150" s="1822"/>
      <c r="J150" s="1822"/>
      <c r="K150" s="1822"/>
      <c r="L150" s="551">
        <v>776522.3</v>
      </c>
      <c r="M150" s="550"/>
      <c r="N150" s="549"/>
      <c r="V150" s="674"/>
      <c r="W150" s="675"/>
      <c r="AC150" s="675"/>
      <c r="AD150" s="680"/>
      <c r="AE150" s="675"/>
      <c r="AF150" s="675"/>
      <c r="AG150" s="537" t="s">
        <v>547</v>
      </c>
    </row>
    <row r="151" spans="1:34" s="536" customFormat="1" ht="12" x14ac:dyDescent="0.2">
      <c r="A151" s="548"/>
      <c r="B151" s="552"/>
      <c r="C151" s="1822" t="s">
        <v>443</v>
      </c>
      <c r="D151" s="1822"/>
      <c r="E151" s="1822"/>
      <c r="F151" s="1822"/>
      <c r="G151" s="1822"/>
      <c r="H151" s="1822"/>
      <c r="I151" s="1822"/>
      <c r="J151" s="1822"/>
      <c r="K151" s="1822"/>
      <c r="L151" s="551">
        <v>24351.37</v>
      </c>
      <c r="M151" s="550"/>
      <c r="N151" s="549"/>
      <c r="V151" s="674"/>
      <c r="W151" s="675"/>
      <c r="AC151" s="675"/>
      <c r="AD151" s="680"/>
      <c r="AE151" s="675"/>
      <c r="AF151" s="675"/>
      <c r="AG151" s="537" t="s">
        <v>443</v>
      </c>
    </row>
    <row r="152" spans="1:34" s="536" customFormat="1" ht="12" x14ac:dyDescent="0.2">
      <c r="A152" s="548"/>
      <c r="B152" s="552"/>
      <c r="C152" s="1822" t="s">
        <v>444</v>
      </c>
      <c r="D152" s="1822"/>
      <c r="E152" s="1822"/>
      <c r="F152" s="1822"/>
      <c r="G152" s="1822"/>
      <c r="H152" s="1822"/>
      <c r="I152" s="1822"/>
      <c r="J152" s="1822"/>
      <c r="K152" s="1822"/>
      <c r="L152" s="551">
        <v>17514.47</v>
      </c>
      <c r="M152" s="550"/>
      <c r="N152" s="549"/>
      <c r="V152" s="674"/>
      <c r="W152" s="675"/>
      <c r="AC152" s="675"/>
      <c r="AD152" s="680"/>
      <c r="AE152" s="675"/>
      <c r="AF152" s="675"/>
      <c r="AG152" s="537" t="s">
        <v>444</v>
      </c>
    </row>
    <row r="153" spans="1:34" s="536" customFormat="1" ht="12" x14ac:dyDescent="0.2">
      <c r="A153" s="548"/>
      <c r="B153" s="552"/>
      <c r="C153" s="1822" t="s">
        <v>415</v>
      </c>
      <c r="D153" s="1822"/>
      <c r="E153" s="1822"/>
      <c r="F153" s="1822"/>
      <c r="G153" s="1822"/>
      <c r="H153" s="1822"/>
      <c r="I153" s="1822"/>
      <c r="J153" s="1822"/>
      <c r="K153" s="1822"/>
      <c r="L153" s="551">
        <v>20390.759999999998</v>
      </c>
      <c r="M153" s="550"/>
      <c r="N153" s="549"/>
      <c r="V153" s="674"/>
      <c r="W153" s="675"/>
      <c r="AC153" s="675"/>
      <c r="AD153" s="680"/>
      <c r="AE153" s="675"/>
      <c r="AF153" s="675"/>
      <c r="AG153" s="537" t="s">
        <v>415</v>
      </c>
    </row>
    <row r="154" spans="1:34" s="536" customFormat="1" ht="12" x14ac:dyDescent="0.2">
      <c r="A154" s="548"/>
      <c r="B154" s="552"/>
      <c r="C154" s="1822" t="s">
        <v>416</v>
      </c>
      <c r="D154" s="1822"/>
      <c r="E154" s="1822"/>
      <c r="F154" s="1822"/>
      <c r="G154" s="1822"/>
      <c r="H154" s="1822"/>
      <c r="I154" s="1822"/>
      <c r="J154" s="1822"/>
      <c r="K154" s="1822"/>
      <c r="L154" s="551">
        <v>24351.37</v>
      </c>
      <c r="M154" s="550"/>
      <c r="N154" s="549"/>
      <c r="V154" s="674"/>
      <c r="W154" s="675"/>
      <c r="AC154" s="675"/>
      <c r="AD154" s="680"/>
      <c r="AE154" s="675"/>
      <c r="AF154" s="675"/>
      <c r="AG154" s="537" t="s">
        <v>416</v>
      </c>
    </row>
    <row r="155" spans="1:34" s="536" customFormat="1" ht="12" x14ac:dyDescent="0.2">
      <c r="A155" s="548"/>
      <c r="B155" s="552"/>
      <c r="C155" s="1822" t="s">
        <v>417</v>
      </c>
      <c r="D155" s="1822"/>
      <c r="E155" s="1822"/>
      <c r="F155" s="1822"/>
      <c r="G155" s="1822"/>
      <c r="H155" s="1822"/>
      <c r="I155" s="1822"/>
      <c r="J155" s="1822"/>
      <c r="K155" s="1822"/>
      <c r="L155" s="551">
        <v>17514.47</v>
      </c>
      <c r="M155" s="550"/>
      <c r="N155" s="549"/>
      <c r="V155" s="674"/>
      <c r="W155" s="675"/>
      <c r="AC155" s="675"/>
      <c r="AD155" s="680"/>
      <c r="AE155" s="675"/>
      <c r="AF155" s="675"/>
      <c r="AG155" s="537" t="s">
        <v>417</v>
      </c>
    </row>
    <row r="156" spans="1:34" s="536" customFormat="1" ht="12" x14ac:dyDescent="0.2">
      <c r="A156" s="548"/>
      <c r="B156" s="546"/>
      <c r="C156" s="1819" t="s">
        <v>8945</v>
      </c>
      <c r="D156" s="1819"/>
      <c r="E156" s="1819"/>
      <c r="F156" s="1819"/>
      <c r="G156" s="1819"/>
      <c r="H156" s="1819"/>
      <c r="I156" s="1819"/>
      <c r="J156" s="1819"/>
      <c r="K156" s="1819"/>
      <c r="L156" s="544">
        <v>869960.23</v>
      </c>
      <c r="M156" s="543"/>
      <c r="N156" s="681"/>
      <c r="V156" s="674"/>
      <c r="W156" s="675"/>
      <c r="AC156" s="675"/>
      <c r="AD156" s="680"/>
      <c r="AE156" s="675"/>
      <c r="AF156" s="675"/>
      <c r="AH156" s="675" t="s">
        <v>8945</v>
      </c>
    </row>
    <row r="157" spans="1:34" s="536" customFormat="1" ht="12" x14ac:dyDescent="0.2">
      <c r="A157" s="1824" t="s">
        <v>1336</v>
      </c>
      <c r="B157" s="1825"/>
      <c r="C157" s="1825"/>
      <c r="D157" s="1825"/>
      <c r="E157" s="1825"/>
      <c r="F157" s="1825"/>
      <c r="G157" s="1825"/>
      <c r="H157" s="1825"/>
      <c r="I157" s="1825"/>
      <c r="J157" s="1825"/>
      <c r="K157" s="1825"/>
      <c r="L157" s="1825"/>
      <c r="M157" s="1825"/>
      <c r="N157" s="1826"/>
      <c r="V157" s="674" t="s">
        <v>1336</v>
      </c>
      <c r="W157" s="675"/>
      <c r="AC157" s="675"/>
      <c r="AD157" s="680"/>
      <c r="AE157" s="675"/>
      <c r="AF157" s="675"/>
      <c r="AH157" s="675"/>
    </row>
    <row r="158" spans="1:34" s="536" customFormat="1" ht="78.75" x14ac:dyDescent="0.2">
      <c r="A158" s="575" t="s">
        <v>196</v>
      </c>
      <c r="B158" s="670" t="s">
        <v>1338</v>
      </c>
      <c r="C158" s="1823" t="s">
        <v>4304</v>
      </c>
      <c r="D158" s="1823"/>
      <c r="E158" s="1823"/>
      <c r="F158" s="573" t="s">
        <v>201</v>
      </c>
      <c r="G158" s="573"/>
      <c r="H158" s="573"/>
      <c r="I158" s="573" t="s">
        <v>5094</v>
      </c>
      <c r="J158" s="572">
        <v>101.29</v>
      </c>
      <c r="K158" s="573"/>
      <c r="L158" s="572">
        <v>70133.2</v>
      </c>
      <c r="M158" s="571"/>
      <c r="N158" s="570"/>
      <c r="V158" s="674"/>
      <c r="W158" s="675" t="s">
        <v>4304</v>
      </c>
      <c r="AC158" s="675"/>
      <c r="AD158" s="680"/>
      <c r="AE158" s="675"/>
      <c r="AF158" s="675"/>
      <c r="AH158" s="675"/>
    </row>
    <row r="159" spans="1:34" s="536" customFormat="1" ht="12" x14ac:dyDescent="0.2">
      <c r="A159" s="569"/>
      <c r="B159" s="671"/>
      <c r="C159" s="665" t="s">
        <v>717</v>
      </c>
      <c r="D159" s="666"/>
      <c r="E159" s="666"/>
      <c r="F159" s="563"/>
      <c r="G159" s="563"/>
      <c r="H159" s="563"/>
      <c r="I159" s="563"/>
      <c r="J159" s="566"/>
      <c r="K159" s="563"/>
      <c r="L159" s="566"/>
      <c r="M159" s="565"/>
      <c r="N159" s="564"/>
      <c r="V159" s="674"/>
      <c r="W159" s="675"/>
      <c r="AC159" s="675"/>
      <c r="AD159" s="680"/>
      <c r="AE159" s="675"/>
      <c r="AF159" s="675"/>
      <c r="AH159" s="675"/>
    </row>
    <row r="160" spans="1:34" s="536" customFormat="1" ht="78.75" x14ac:dyDescent="0.2">
      <c r="A160" s="575" t="s">
        <v>197</v>
      </c>
      <c r="B160" s="670" t="s">
        <v>1135</v>
      </c>
      <c r="C160" s="1823" t="s">
        <v>1136</v>
      </c>
      <c r="D160" s="1823"/>
      <c r="E160" s="1823"/>
      <c r="F160" s="573" t="s">
        <v>201</v>
      </c>
      <c r="G160" s="573"/>
      <c r="H160" s="573"/>
      <c r="I160" s="573" t="s">
        <v>5095</v>
      </c>
      <c r="J160" s="572">
        <v>76.88</v>
      </c>
      <c r="K160" s="573"/>
      <c r="L160" s="572">
        <v>3066.13</v>
      </c>
      <c r="M160" s="571"/>
      <c r="N160" s="570"/>
      <c r="V160" s="674"/>
      <c r="W160" s="675" t="s">
        <v>1136</v>
      </c>
      <c r="AC160" s="675"/>
      <c r="AD160" s="680"/>
      <c r="AE160" s="675"/>
      <c r="AF160" s="675"/>
      <c r="AH160" s="675"/>
    </row>
    <row r="161" spans="1:36" s="536" customFormat="1" ht="12" x14ac:dyDescent="0.2">
      <c r="A161" s="569"/>
      <c r="B161" s="671"/>
      <c r="C161" s="665" t="s">
        <v>717</v>
      </c>
      <c r="D161" s="666"/>
      <c r="E161" s="666"/>
      <c r="F161" s="563"/>
      <c r="G161" s="563"/>
      <c r="H161" s="563"/>
      <c r="I161" s="563"/>
      <c r="J161" s="566"/>
      <c r="K161" s="563"/>
      <c r="L161" s="566"/>
      <c r="M161" s="565"/>
      <c r="N161" s="564"/>
      <c r="V161" s="674"/>
      <c r="W161" s="675"/>
      <c r="AC161" s="675"/>
      <c r="AD161" s="680"/>
      <c r="AE161" s="675"/>
      <c r="AF161" s="675"/>
      <c r="AH161" s="675"/>
    </row>
    <row r="162" spans="1:36" s="536" customFormat="1" ht="78.75" x14ac:dyDescent="0.2">
      <c r="A162" s="575" t="s">
        <v>198</v>
      </c>
      <c r="B162" s="670" t="s">
        <v>1133</v>
      </c>
      <c r="C162" s="1823" t="s">
        <v>1618</v>
      </c>
      <c r="D162" s="1823"/>
      <c r="E162" s="1823"/>
      <c r="F162" s="573" t="s">
        <v>201</v>
      </c>
      <c r="G162" s="573"/>
      <c r="H162" s="573"/>
      <c r="I162" s="573" t="s">
        <v>5096</v>
      </c>
      <c r="J162" s="572">
        <v>48.81</v>
      </c>
      <c r="K162" s="573"/>
      <c r="L162" s="572">
        <v>105.62</v>
      </c>
      <c r="M162" s="571"/>
      <c r="N162" s="570"/>
      <c r="V162" s="674"/>
      <c r="W162" s="675" t="s">
        <v>1618</v>
      </c>
      <c r="AC162" s="675"/>
      <c r="AD162" s="680"/>
      <c r="AE162" s="675"/>
      <c r="AF162" s="675"/>
      <c r="AH162" s="675"/>
    </row>
    <row r="163" spans="1:36" s="536" customFormat="1" ht="12" x14ac:dyDescent="0.2">
      <c r="A163" s="569"/>
      <c r="B163" s="671"/>
      <c r="C163" s="665" t="s">
        <v>717</v>
      </c>
      <c r="D163" s="666"/>
      <c r="E163" s="666"/>
      <c r="F163" s="563"/>
      <c r="G163" s="563"/>
      <c r="H163" s="563"/>
      <c r="I163" s="563"/>
      <c r="J163" s="566"/>
      <c r="K163" s="563"/>
      <c r="L163" s="566"/>
      <c r="M163" s="565"/>
      <c r="N163" s="564"/>
      <c r="V163" s="674"/>
      <c r="W163" s="675"/>
      <c r="AC163" s="675"/>
      <c r="AD163" s="680"/>
      <c r="AE163" s="675"/>
      <c r="AF163" s="675"/>
      <c r="AH163" s="675"/>
    </row>
    <row r="164" spans="1:36" s="536" customFormat="1" ht="1.5" customHeight="1" x14ac:dyDescent="0.2">
      <c r="A164" s="563"/>
      <c r="B164" s="671"/>
      <c r="C164" s="671"/>
      <c r="D164" s="671"/>
      <c r="E164" s="671"/>
      <c r="F164" s="563"/>
      <c r="G164" s="563"/>
      <c r="H164" s="563"/>
      <c r="I164" s="563"/>
      <c r="J164" s="546"/>
      <c r="K164" s="563"/>
      <c r="L164" s="546"/>
      <c r="M164" s="562"/>
      <c r="N164" s="546"/>
      <c r="V164" s="674"/>
      <c r="W164" s="675"/>
      <c r="AC164" s="675"/>
      <c r="AD164" s="680"/>
      <c r="AE164" s="675"/>
      <c r="AF164" s="675"/>
      <c r="AH164" s="675"/>
    </row>
    <row r="165" spans="1:36" s="536" customFormat="1" ht="22.5" x14ac:dyDescent="0.2">
      <c r="A165" s="557"/>
      <c r="B165" s="556"/>
      <c r="C165" s="1823" t="s">
        <v>1342</v>
      </c>
      <c r="D165" s="1823"/>
      <c r="E165" s="1823"/>
      <c r="F165" s="1823"/>
      <c r="G165" s="1823"/>
      <c r="H165" s="1823"/>
      <c r="I165" s="1823"/>
      <c r="J165" s="1823"/>
      <c r="K165" s="1823"/>
      <c r="L165" s="555"/>
      <c r="M165" s="554"/>
      <c r="N165" s="553"/>
      <c r="V165" s="674"/>
      <c r="W165" s="675"/>
      <c r="AC165" s="675"/>
      <c r="AD165" s="680"/>
      <c r="AE165" s="675"/>
      <c r="AF165" s="675" t="s">
        <v>1342</v>
      </c>
      <c r="AH165" s="675"/>
    </row>
    <row r="166" spans="1:36" s="536" customFormat="1" ht="12" x14ac:dyDescent="0.2">
      <c r="A166" s="548"/>
      <c r="B166" s="552"/>
      <c r="C166" s="1822" t="s">
        <v>403</v>
      </c>
      <c r="D166" s="1822"/>
      <c r="E166" s="1822"/>
      <c r="F166" s="1822"/>
      <c r="G166" s="1822"/>
      <c r="H166" s="1822"/>
      <c r="I166" s="1822"/>
      <c r="J166" s="1822"/>
      <c r="K166" s="1822"/>
      <c r="L166" s="551">
        <v>73304.95</v>
      </c>
      <c r="M166" s="550"/>
      <c r="N166" s="549"/>
      <c r="V166" s="674"/>
      <c r="W166" s="675"/>
      <c r="AC166" s="675"/>
      <c r="AD166" s="680"/>
      <c r="AE166" s="675"/>
      <c r="AF166" s="675"/>
      <c r="AG166" s="537" t="s">
        <v>403</v>
      </c>
      <c r="AH166" s="675"/>
    </row>
    <row r="167" spans="1:36" s="536" customFormat="1" ht="12" x14ac:dyDescent="0.2">
      <c r="A167" s="548"/>
      <c r="B167" s="552"/>
      <c r="C167" s="1822" t="s">
        <v>204</v>
      </c>
      <c r="D167" s="1822"/>
      <c r="E167" s="1822"/>
      <c r="F167" s="1822"/>
      <c r="G167" s="1822"/>
      <c r="H167" s="1822"/>
      <c r="I167" s="1822"/>
      <c r="J167" s="1822"/>
      <c r="K167" s="1822"/>
      <c r="L167" s="551"/>
      <c r="M167" s="550"/>
      <c r="N167" s="549"/>
      <c r="V167" s="674"/>
      <c r="W167" s="675"/>
      <c r="AC167" s="675"/>
      <c r="AD167" s="680"/>
      <c r="AE167" s="675"/>
      <c r="AF167" s="675"/>
      <c r="AG167" s="537" t="s">
        <v>204</v>
      </c>
      <c r="AH167" s="675"/>
    </row>
    <row r="168" spans="1:36" s="536" customFormat="1" ht="12" x14ac:dyDescent="0.2">
      <c r="A168" s="548"/>
      <c r="B168" s="552"/>
      <c r="C168" s="1822" t="s">
        <v>480</v>
      </c>
      <c r="D168" s="1822"/>
      <c r="E168" s="1822"/>
      <c r="F168" s="1822"/>
      <c r="G168" s="1822"/>
      <c r="H168" s="1822"/>
      <c r="I168" s="1822"/>
      <c r="J168" s="1822"/>
      <c r="K168" s="1822"/>
      <c r="L168" s="551">
        <v>73304.95</v>
      </c>
      <c r="M168" s="550"/>
      <c r="N168" s="549"/>
      <c r="V168" s="674"/>
      <c r="W168" s="675"/>
      <c r="AC168" s="675"/>
      <c r="AD168" s="680"/>
      <c r="AE168" s="675"/>
      <c r="AF168" s="675"/>
      <c r="AG168" s="537" t="s">
        <v>480</v>
      </c>
      <c r="AH168" s="675"/>
    </row>
    <row r="169" spans="1:36" s="536" customFormat="1" ht="12" x14ac:dyDescent="0.2">
      <c r="A169" s="548"/>
      <c r="B169" s="552"/>
      <c r="C169" s="1822" t="s">
        <v>407</v>
      </c>
      <c r="D169" s="1822"/>
      <c r="E169" s="1822"/>
      <c r="F169" s="1822"/>
      <c r="G169" s="1822"/>
      <c r="H169" s="1822"/>
      <c r="I169" s="1822"/>
      <c r="J169" s="1822"/>
      <c r="K169" s="1822"/>
      <c r="L169" s="551">
        <v>73304.95</v>
      </c>
      <c r="M169" s="550"/>
      <c r="N169" s="549"/>
      <c r="V169" s="674"/>
      <c r="W169" s="675"/>
      <c r="AC169" s="675"/>
      <c r="AD169" s="680"/>
      <c r="AE169" s="675"/>
      <c r="AF169" s="675"/>
      <c r="AG169" s="537" t="s">
        <v>407</v>
      </c>
      <c r="AH169" s="675"/>
    </row>
    <row r="170" spans="1:36" s="536" customFormat="1" ht="12" x14ac:dyDescent="0.2">
      <c r="A170" s="548"/>
      <c r="B170" s="552"/>
      <c r="C170" s="1822" t="s">
        <v>204</v>
      </c>
      <c r="D170" s="1822"/>
      <c r="E170" s="1822"/>
      <c r="F170" s="1822"/>
      <c r="G170" s="1822"/>
      <c r="H170" s="1822"/>
      <c r="I170" s="1822"/>
      <c r="J170" s="1822"/>
      <c r="K170" s="1822"/>
      <c r="L170" s="551"/>
      <c r="M170" s="550"/>
      <c r="N170" s="549"/>
      <c r="V170" s="674"/>
      <c r="W170" s="675"/>
      <c r="AC170" s="675"/>
      <c r="AD170" s="680"/>
      <c r="AE170" s="675"/>
      <c r="AF170" s="675"/>
      <c r="AG170" s="537" t="s">
        <v>204</v>
      </c>
      <c r="AH170" s="675"/>
    </row>
    <row r="171" spans="1:36" s="536" customFormat="1" ht="12" x14ac:dyDescent="0.2">
      <c r="A171" s="548"/>
      <c r="B171" s="552"/>
      <c r="C171" s="1822" t="s">
        <v>547</v>
      </c>
      <c r="D171" s="1822"/>
      <c r="E171" s="1822"/>
      <c r="F171" s="1822"/>
      <c r="G171" s="1822"/>
      <c r="H171" s="1822"/>
      <c r="I171" s="1822"/>
      <c r="J171" s="1822"/>
      <c r="K171" s="1822"/>
      <c r="L171" s="551">
        <v>73304.95</v>
      </c>
      <c r="M171" s="550"/>
      <c r="N171" s="549"/>
      <c r="V171" s="674"/>
      <c r="W171" s="675"/>
      <c r="AC171" s="675"/>
      <c r="AD171" s="680"/>
      <c r="AE171" s="675"/>
      <c r="AF171" s="675"/>
      <c r="AG171" s="537" t="s">
        <v>547</v>
      </c>
      <c r="AH171" s="675"/>
    </row>
    <row r="172" spans="1:36" s="536" customFormat="1" ht="22.5" x14ac:dyDescent="0.2">
      <c r="A172" s="548"/>
      <c r="B172" s="546"/>
      <c r="C172" s="1819" t="s">
        <v>1343</v>
      </c>
      <c r="D172" s="1819"/>
      <c r="E172" s="1819"/>
      <c r="F172" s="1819"/>
      <c r="G172" s="1819"/>
      <c r="H172" s="1819"/>
      <c r="I172" s="1819"/>
      <c r="J172" s="1819"/>
      <c r="K172" s="1819"/>
      <c r="L172" s="544">
        <v>73304.95</v>
      </c>
      <c r="M172" s="543"/>
      <c r="N172" s="681"/>
      <c r="V172" s="674"/>
      <c r="W172" s="675"/>
      <c r="AC172" s="675"/>
      <c r="AD172" s="680"/>
      <c r="AE172" s="675"/>
      <c r="AF172" s="675"/>
      <c r="AH172" s="675" t="s">
        <v>1343</v>
      </c>
    </row>
    <row r="173" spans="1:36" s="536" customFormat="1" ht="2.25" customHeight="1" x14ac:dyDescent="0.2">
      <c r="B173" s="561"/>
      <c r="C173" s="561"/>
      <c r="D173" s="561"/>
      <c r="E173" s="561"/>
      <c r="F173" s="561"/>
      <c r="G173" s="561"/>
      <c r="H173" s="561"/>
      <c r="I173" s="561"/>
      <c r="J173" s="561"/>
      <c r="K173" s="561"/>
      <c r="L173" s="560"/>
      <c r="M173" s="559"/>
      <c r="N173" s="558"/>
    </row>
    <row r="174" spans="1:36" s="536" customFormat="1" x14ac:dyDescent="0.2">
      <c r="A174" s="557"/>
      <c r="B174" s="556"/>
      <c r="C174" s="1823" t="s">
        <v>205</v>
      </c>
      <c r="D174" s="1823"/>
      <c r="E174" s="1823"/>
      <c r="F174" s="1823"/>
      <c r="G174" s="1823"/>
      <c r="H174" s="1823"/>
      <c r="I174" s="1823"/>
      <c r="J174" s="1823"/>
      <c r="K174" s="1823"/>
      <c r="L174" s="555"/>
      <c r="M174" s="554"/>
      <c r="N174" s="553"/>
      <c r="AI174" s="675" t="s">
        <v>205</v>
      </c>
    </row>
    <row r="175" spans="1:36" s="536" customFormat="1" x14ac:dyDescent="0.2">
      <c r="A175" s="548"/>
      <c r="B175" s="552"/>
      <c r="C175" s="1822" t="s">
        <v>403</v>
      </c>
      <c r="D175" s="1822"/>
      <c r="E175" s="1822"/>
      <c r="F175" s="1822"/>
      <c r="G175" s="1822"/>
      <c r="H175" s="1822"/>
      <c r="I175" s="1822"/>
      <c r="J175" s="1822"/>
      <c r="K175" s="1822"/>
      <c r="L175" s="551">
        <v>901399.34</v>
      </c>
      <c r="M175" s="550"/>
      <c r="N175" s="549"/>
      <c r="AI175" s="675"/>
      <c r="AJ175" s="537" t="s">
        <v>403</v>
      </c>
    </row>
    <row r="176" spans="1:36" s="536" customFormat="1" x14ac:dyDescent="0.2">
      <c r="A176" s="548"/>
      <c r="B176" s="552"/>
      <c r="C176" s="1822" t="s">
        <v>204</v>
      </c>
      <c r="D176" s="1822"/>
      <c r="E176" s="1822"/>
      <c r="F176" s="1822"/>
      <c r="G176" s="1822"/>
      <c r="H176" s="1822"/>
      <c r="I176" s="1822"/>
      <c r="J176" s="1822"/>
      <c r="K176" s="1822"/>
      <c r="L176" s="551"/>
      <c r="M176" s="550"/>
      <c r="N176" s="549"/>
      <c r="AI176" s="675"/>
      <c r="AJ176" s="537" t="s">
        <v>204</v>
      </c>
    </row>
    <row r="177" spans="1:37" x14ac:dyDescent="0.2">
      <c r="A177" s="548"/>
      <c r="B177" s="552"/>
      <c r="C177" s="1822" t="s">
        <v>404</v>
      </c>
      <c r="D177" s="1822"/>
      <c r="E177" s="1822"/>
      <c r="F177" s="1822"/>
      <c r="G177" s="1822"/>
      <c r="H177" s="1822"/>
      <c r="I177" s="1822"/>
      <c r="J177" s="1822"/>
      <c r="K177" s="1822"/>
      <c r="L177" s="551">
        <v>18734.169999999998</v>
      </c>
      <c r="M177" s="550"/>
      <c r="N177" s="549"/>
      <c r="P177" s="536"/>
      <c r="Q177" s="536"/>
      <c r="R177" s="536"/>
      <c r="S177" s="536"/>
      <c r="T177" s="536"/>
      <c r="U177" s="536"/>
      <c r="V177" s="536"/>
      <c r="W177" s="536"/>
      <c r="X177" s="536"/>
      <c r="Y177" s="536"/>
      <c r="Z177" s="536"/>
      <c r="AA177" s="536"/>
      <c r="AB177" s="536"/>
      <c r="AC177" s="536"/>
      <c r="AD177" s="536"/>
      <c r="AE177" s="536"/>
      <c r="AF177" s="536"/>
      <c r="AG177" s="536"/>
      <c r="AH177" s="536"/>
      <c r="AI177" s="675"/>
      <c r="AJ177" s="537" t="s">
        <v>404</v>
      </c>
      <c r="AK177" s="536"/>
    </row>
    <row r="178" spans="1:37" x14ac:dyDescent="0.2">
      <c r="A178" s="548"/>
      <c r="B178" s="552"/>
      <c r="C178" s="1822" t="s">
        <v>405</v>
      </c>
      <c r="D178" s="1822"/>
      <c r="E178" s="1822"/>
      <c r="F178" s="1822"/>
      <c r="G178" s="1822"/>
      <c r="H178" s="1822"/>
      <c r="I178" s="1822"/>
      <c r="J178" s="1822"/>
      <c r="K178" s="1822"/>
      <c r="L178" s="551">
        <v>32837.919999999998</v>
      </c>
      <c r="M178" s="550"/>
      <c r="N178" s="549"/>
      <c r="P178" s="536"/>
      <c r="Q178" s="536"/>
      <c r="R178" s="536"/>
      <c r="S178" s="536"/>
      <c r="T178" s="536"/>
      <c r="U178" s="536"/>
      <c r="V178" s="536"/>
      <c r="W178" s="536"/>
      <c r="X178" s="536"/>
      <c r="Y178" s="536"/>
      <c r="Z178" s="536"/>
      <c r="AA178" s="536"/>
      <c r="AB178" s="536"/>
      <c r="AC178" s="536"/>
      <c r="AD178" s="536"/>
      <c r="AE178" s="536"/>
      <c r="AF178" s="536"/>
      <c r="AG178" s="536"/>
      <c r="AH178" s="536"/>
      <c r="AI178" s="675"/>
      <c r="AJ178" s="537" t="s">
        <v>405</v>
      </c>
      <c r="AK178" s="536"/>
    </row>
    <row r="179" spans="1:37" x14ac:dyDescent="0.2">
      <c r="A179" s="548"/>
      <c r="B179" s="552"/>
      <c r="C179" s="1822" t="s">
        <v>406</v>
      </c>
      <c r="D179" s="1822"/>
      <c r="E179" s="1822"/>
      <c r="F179" s="1822"/>
      <c r="G179" s="1822"/>
      <c r="H179" s="1822"/>
      <c r="I179" s="1822"/>
      <c r="J179" s="1822"/>
      <c r="K179" s="1822"/>
      <c r="L179" s="551">
        <v>1656.59</v>
      </c>
      <c r="M179" s="550"/>
      <c r="N179" s="549"/>
      <c r="P179" s="536"/>
      <c r="Q179" s="536"/>
      <c r="R179" s="536"/>
      <c r="S179" s="536"/>
      <c r="T179" s="536"/>
      <c r="U179" s="536"/>
      <c r="V179" s="536"/>
      <c r="W179" s="536"/>
      <c r="X179" s="536"/>
      <c r="Y179" s="536"/>
      <c r="Z179" s="536"/>
      <c r="AA179" s="536"/>
      <c r="AB179" s="536"/>
      <c r="AC179" s="536"/>
      <c r="AD179" s="536"/>
      <c r="AE179" s="536"/>
      <c r="AF179" s="536"/>
      <c r="AG179" s="536"/>
      <c r="AH179" s="536"/>
      <c r="AI179" s="675"/>
      <c r="AJ179" s="537" t="s">
        <v>406</v>
      </c>
      <c r="AK179" s="536"/>
    </row>
    <row r="180" spans="1:37" x14ac:dyDescent="0.2">
      <c r="A180" s="548"/>
      <c r="B180" s="552"/>
      <c r="C180" s="1822" t="s">
        <v>480</v>
      </c>
      <c r="D180" s="1822"/>
      <c r="E180" s="1822"/>
      <c r="F180" s="1822"/>
      <c r="G180" s="1822"/>
      <c r="H180" s="1822"/>
      <c r="I180" s="1822"/>
      <c r="J180" s="1822"/>
      <c r="K180" s="1822"/>
      <c r="L180" s="551">
        <v>849827.25</v>
      </c>
      <c r="M180" s="550"/>
      <c r="N180" s="549"/>
      <c r="P180" s="536"/>
      <c r="Q180" s="536"/>
      <c r="R180" s="536"/>
      <c r="S180" s="536"/>
      <c r="T180" s="536"/>
      <c r="U180" s="536"/>
      <c r="V180" s="536"/>
      <c r="W180" s="536"/>
      <c r="X180" s="536"/>
      <c r="Y180" s="536"/>
      <c r="Z180" s="536"/>
      <c r="AA180" s="536"/>
      <c r="AB180" s="536"/>
      <c r="AC180" s="536"/>
      <c r="AD180" s="536"/>
      <c r="AE180" s="536"/>
      <c r="AF180" s="536"/>
      <c r="AG180" s="536"/>
      <c r="AH180" s="536"/>
      <c r="AI180" s="675"/>
      <c r="AJ180" s="537" t="s">
        <v>480</v>
      </c>
      <c r="AK180" s="536"/>
    </row>
    <row r="181" spans="1:37" x14ac:dyDescent="0.2">
      <c r="A181" s="548"/>
      <c r="B181" s="552" t="s">
        <v>185</v>
      </c>
      <c r="C181" s="1822" t="s">
        <v>407</v>
      </c>
      <c r="D181" s="1822"/>
      <c r="E181" s="1822"/>
      <c r="F181" s="1822"/>
      <c r="G181" s="1822"/>
      <c r="H181" s="1822"/>
      <c r="I181" s="1822"/>
      <c r="J181" s="1822"/>
      <c r="K181" s="1822"/>
      <c r="L181" s="551">
        <v>943265.18</v>
      </c>
      <c r="M181" s="550">
        <v>8.32</v>
      </c>
      <c r="N181" s="549">
        <v>7847966</v>
      </c>
      <c r="P181" s="536"/>
      <c r="Q181" s="536"/>
      <c r="R181" s="536"/>
      <c r="S181" s="536"/>
      <c r="T181" s="536"/>
      <c r="U181" s="536"/>
      <c r="V181" s="536"/>
      <c r="W181" s="536"/>
      <c r="X181" s="536"/>
      <c r="Y181" s="536"/>
      <c r="Z181" s="536"/>
      <c r="AA181" s="536"/>
      <c r="AB181" s="536"/>
      <c r="AC181" s="536"/>
      <c r="AD181" s="536"/>
      <c r="AE181" s="536"/>
      <c r="AF181" s="536"/>
      <c r="AG181" s="536"/>
      <c r="AH181" s="536"/>
      <c r="AI181" s="675"/>
      <c r="AJ181" s="537" t="s">
        <v>407</v>
      </c>
      <c r="AK181" s="536"/>
    </row>
    <row r="182" spans="1:37" x14ac:dyDescent="0.2">
      <c r="A182" s="548"/>
      <c r="B182" s="552"/>
      <c r="C182" s="1822" t="s">
        <v>204</v>
      </c>
      <c r="D182" s="1822"/>
      <c r="E182" s="1822"/>
      <c r="F182" s="1822"/>
      <c r="G182" s="1822"/>
      <c r="H182" s="1822"/>
      <c r="I182" s="1822"/>
      <c r="J182" s="1822"/>
      <c r="K182" s="1822"/>
      <c r="L182" s="551"/>
      <c r="M182" s="550"/>
      <c r="N182" s="549"/>
      <c r="P182" s="536"/>
      <c r="Q182" s="536"/>
      <c r="R182" s="536"/>
      <c r="S182" s="536"/>
      <c r="T182" s="536"/>
      <c r="U182" s="536"/>
      <c r="V182" s="536"/>
      <c r="W182" s="536"/>
      <c r="X182" s="536"/>
      <c r="Y182" s="536"/>
      <c r="Z182" s="536"/>
      <c r="AA182" s="536"/>
      <c r="AB182" s="536"/>
      <c r="AC182" s="536"/>
      <c r="AD182" s="536"/>
      <c r="AE182" s="536"/>
      <c r="AF182" s="536"/>
      <c r="AG182" s="536"/>
      <c r="AH182" s="536"/>
      <c r="AI182" s="675"/>
      <c r="AJ182" s="537" t="s">
        <v>204</v>
      </c>
      <c r="AK182" s="536"/>
    </row>
    <row r="183" spans="1:37" x14ac:dyDescent="0.2">
      <c r="A183" s="548"/>
      <c r="B183" s="552"/>
      <c r="C183" s="1822" t="s">
        <v>546</v>
      </c>
      <c r="D183" s="1822"/>
      <c r="E183" s="1822"/>
      <c r="F183" s="1822"/>
      <c r="G183" s="1822"/>
      <c r="H183" s="1822"/>
      <c r="I183" s="1822"/>
      <c r="J183" s="1822"/>
      <c r="K183" s="1822"/>
      <c r="L183" s="551">
        <v>18734.169999999998</v>
      </c>
      <c r="M183" s="550"/>
      <c r="N183" s="549"/>
      <c r="P183" s="536"/>
      <c r="Q183" s="536"/>
      <c r="R183" s="536"/>
      <c r="S183" s="536"/>
      <c r="T183" s="536"/>
      <c r="U183" s="536"/>
      <c r="V183" s="536"/>
      <c r="W183" s="536"/>
      <c r="X183" s="536"/>
      <c r="Y183" s="536"/>
      <c r="Z183" s="536"/>
      <c r="AA183" s="536"/>
      <c r="AB183" s="536"/>
      <c r="AC183" s="536"/>
      <c r="AD183" s="536"/>
      <c r="AE183" s="536"/>
      <c r="AF183" s="536"/>
      <c r="AG183" s="536"/>
      <c r="AH183" s="536"/>
      <c r="AI183" s="675"/>
      <c r="AJ183" s="537" t="s">
        <v>546</v>
      </c>
      <c r="AK183" s="536"/>
    </row>
    <row r="184" spans="1:37" x14ac:dyDescent="0.2">
      <c r="A184" s="548"/>
      <c r="B184" s="552"/>
      <c r="C184" s="1822" t="s">
        <v>442</v>
      </c>
      <c r="D184" s="1822"/>
      <c r="E184" s="1822"/>
      <c r="F184" s="1822"/>
      <c r="G184" s="1822"/>
      <c r="H184" s="1822"/>
      <c r="I184" s="1822"/>
      <c r="J184" s="1822"/>
      <c r="K184" s="1822"/>
      <c r="L184" s="551">
        <v>32837.919999999998</v>
      </c>
      <c r="M184" s="550"/>
      <c r="N184" s="549"/>
      <c r="P184" s="536"/>
      <c r="Q184" s="536"/>
      <c r="R184" s="536"/>
      <c r="S184" s="536"/>
      <c r="T184" s="536"/>
      <c r="U184" s="536"/>
      <c r="V184" s="536"/>
      <c r="W184" s="536"/>
      <c r="X184" s="536"/>
      <c r="Y184" s="536"/>
      <c r="Z184" s="536"/>
      <c r="AA184" s="536"/>
      <c r="AB184" s="536"/>
      <c r="AC184" s="536"/>
      <c r="AD184" s="536"/>
      <c r="AE184" s="536"/>
      <c r="AF184" s="536"/>
      <c r="AG184" s="536"/>
      <c r="AH184" s="536"/>
      <c r="AI184" s="675"/>
      <c r="AJ184" s="537" t="s">
        <v>442</v>
      </c>
      <c r="AK184" s="536"/>
    </row>
    <row r="185" spans="1:37" x14ac:dyDescent="0.2">
      <c r="A185" s="548"/>
      <c r="B185" s="552"/>
      <c r="C185" s="1822" t="s">
        <v>547</v>
      </c>
      <c r="D185" s="1822"/>
      <c r="E185" s="1822"/>
      <c r="F185" s="1822"/>
      <c r="G185" s="1822"/>
      <c r="H185" s="1822"/>
      <c r="I185" s="1822"/>
      <c r="J185" s="1822"/>
      <c r="K185" s="1822"/>
      <c r="L185" s="551">
        <v>849827.25</v>
      </c>
      <c r="M185" s="550"/>
      <c r="N185" s="549"/>
      <c r="P185" s="536"/>
      <c r="Q185" s="536"/>
      <c r="R185" s="536"/>
      <c r="S185" s="536"/>
      <c r="T185" s="536"/>
      <c r="U185" s="536"/>
      <c r="V185" s="536"/>
      <c r="W185" s="536"/>
      <c r="X185" s="536"/>
      <c r="Y185" s="536"/>
      <c r="Z185" s="536"/>
      <c r="AA185" s="536"/>
      <c r="AB185" s="536"/>
      <c r="AC185" s="536"/>
      <c r="AD185" s="536"/>
      <c r="AE185" s="536"/>
      <c r="AF185" s="536"/>
      <c r="AG185" s="536"/>
      <c r="AH185" s="536"/>
      <c r="AI185" s="675"/>
      <c r="AJ185" s="537" t="s">
        <v>547</v>
      </c>
      <c r="AK185" s="536"/>
    </row>
    <row r="186" spans="1:37" x14ac:dyDescent="0.2">
      <c r="A186" s="548"/>
      <c r="B186" s="552"/>
      <c r="C186" s="1822" t="s">
        <v>443</v>
      </c>
      <c r="D186" s="1822"/>
      <c r="E186" s="1822"/>
      <c r="F186" s="1822"/>
      <c r="G186" s="1822"/>
      <c r="H186" s="1822"/>
      <c r="I186" s="1822"/>
      <c r="J186" s="1822"/>
      <c r="K186" s="1822"/>
      <c r="L186" s="551">
        <v>24351.37</v>
      </c>
      <c r="M186" s="550"/>
      <c r="N186" s="549"/>
      <c r="P186" s="536"/>
      <c r="Q186" s="536"/>
      <c r="R186" s="536"/>
      <c r="S186" s="536"/>
      <c r="T186" s="536"/>
      <c r="U186" s="536"/>
      <c r="V186" s="536"/>
      <c r="W186" s="536"/>
      <c r="X186" s="536"/>
      <c r="Y186" s="536"/>
      <c r="Z186" s="536"/>
      <c r="AA186" s="536"/>
      <c r="AB186" s="536"/>
      <c r="AC186" s="536"/>
      <c r="AD186" s="536"/>
      <c r="AE186" s="536"/>
      <c r="AF186" s="536"/>
      <c r="AG186" s="536"/>
      <c r="AH186" s="536"/>
      <c r="AI186" s="675"/>
      <c r="AJ186" s="537" t="s">
        <v>443</v>
      </c>
      <c r="AK186" s="536"/>
    </row>
    <row r="187" spans="1:37" x14ac:dyDescent="0.2">
      <c r="A187" s="548"/>
      <c r="B187" s="552"/>
      <c r="C187" s="1822" t="s">
        <v>444</v>
      </c>
      <c r="D187" s="1822"/>
      <c r="E187" s="1822"/>
      <c r="F187" s="1822"/>
      <c r="G187" s="1822"/>
      <c r="H187" s="1822"/>
      <c r="I187" s="1822"/>
      <c r="J187" s="1822"/>
      <c r="K187" s="1822"/>
      <c r="L187" s="551">
        <v>17514.47</v>
      </c>
      <c r="M187" s="550"/>
      <c r="N187" s="549"/>
      <c r="P187" s="536"/>
      <c r="Q187" s="536"/>
      <c r="R187" s="536"/>
      <c r="S187" s="536"/>
      <c r="T187" s="536"/>
      <c r="U187" s="536"/>
      <c r="V187" s="536"/>
      <c r="W187" s="536"/>
      <c r="X187" s="536"/>
      <c r="Y187" s="536"/>
      <c r="Z187" s="536"/>
      <c r="AA187" s="536"/>
      <c r="AB187" s="536"/>
      <c r="AC187" s="536"/>
      <c r="AD187" s="536"/>
      <c r="AE187" s="536"/>
      <c r="AF187" s="536"/>
      <c r="AG187" s="536"/>
      <c r="AH187" s="536"/>
      <c r="AI187" s="675"/>
      <c r="AJ187" s="537" t="s">
        <v>444</v>
      </c>
      <c r="AK187" s="536"/>
    </row>
    <row r="188" spans="1:37" x14ac:dyDescent="0.2">
      <c r="A188" s="548"/>
      <c r="B188" s="552"/>
      <c r="C188" s="1822" t="s">
        <v>415</v>
      </c>
      <c r="D188" s="1822"/>
      <c r="E188" s="1822"/>
      <c r="F188" s="1822"/>
      <c r="G188" s="1822"/>
      <c r="H188" s="1822"/>
      <c r="I188" s="1822"/>
      <c r="J188" s="1822"/>
      <c r="K188" s="1822"/>
      <c r="L188" s="551">
        <v>20390.759999999998</v>
      </c>
      <c r="M188" s="550"/>
      <c r="N188" s="549"/>
      <c r="P188" s="536"/>
      <c r="Q188" s="536"/>
      <c r="R188" s="536"/>
      <c r="S188" s="536"/>
      <c r="T188" s="536"/>
      <c r="U188" s="536"/>
      <c r="V188" s="536"/>
      <c r="W188" s="536"/>
      <c r="X188" s="536"/>
      <c r="Y188" s="536"/>
      <c r="Z188" s="536"/>
      <c r="AA188" s="536"/>
      <c r="AB188" s="536"/>
      <c r="AC188" s="536"/>
      <c r="AD188" s="536"/>
      <c r="AE188" s="536"/>
      <c r="AF188" s="536"/>
      <c r="AG188" s="536"/>
      <c r="AH188" s="536"/>
      <c r="AI188" s="675"/>
      <c r="AJ188" s="537" t="s">
        <v>415</v>
      </c>
      <c r="AK188" s="536"/>
    </row>
    <row r="189" spans="1:37" x14ac:dyDescent="0.2">
      <c r="A189" s="548"/>
      <c r="B189" s="552"/>
      <c r="C189" s="1822" t="s">
        <v>416</v>
      </c>
      <c r="D189" s="1822"/>
      <c r="E189" s="1822"/>
      <c r="F189" s="1822"/>
      <c r="G189" s="1822"/>
      <c r="H189" s="1822"/>
      <c r="I189" s="1822"/>
      <c r="J189" s="1822"/>
      <c r="K189" s="1822"/>
      <c r="L189" s="551">
        <v>24351.37</v>
      </c>
      <c r="M189" s="550"/>
      <c r="N189" s="549"/>
      <c r="P189" s="536"/>
      <c r="Q189" s="536"/>
      <c r="R189" s="536"/>
      <c r="S189" s="536"/>
      <c r="T189" s="536"/>
      <c r="U189" s="536"/>
      <c r="V189" s="536"/>
      <c r="W189" s="536"/>
      <c r="X189" s="536"/>
      <c r="Y189" s="536"/>
      <c r="Z189" s="536"/>
      <c r="AA189" s="536"/>
      <c r="AB189" s="536"/>
      <c r="AC189" s="536"/>
      <c r="AD189" s="536"/>
      <c r="AE189" s="536"/>
      <c r="AF189" s="536"/>
      <c r="AG189" s="536"/>
      <c r="AH189" s="536"/>
      <c r="AI189" s="675"/>
      <c r="AJ189" s="537" t="s">
        <v>416</v>
      </c>
      <c r="AK189" s="536"/>
    </row>
    <row r="190" spans="1:37" x14ac:dyDescent="0.2">
      <c r="A190" s="548"/>
      <c r="B190" s="552"/>
      <c r="C190" s="1822" t="s">
        <v>417</v>
      </c>
      <c r="D190" s="1822"/>
      <c r="E190" s="1822"/>
      <c r="F190" s="1822"/>
      <c r="G190" s="1822"/>
      <c r="H190" s="1822"/>
      <c r="I190" s="1822"/>
      <c r="J190" s="1822"/>
      <c r="K190" s="1822"/>
      <c r="L190" s="551">
        <v>17514.47</v>
      </c>
      <c r="M190" s="550"/>
      <c r="N190" s="549"/>
      <c r="P190" s="536"/>
      <c r="Q190" s="536"/>
      <c r="R190" s="536"/>
      <c r="S190" s="536"/>
      <c r="T190" s="536"/>
      <c r="U190" s="536"/>
      <c r="V190" s="536"/>
      <c r="W190" s="536"/>
      <c r="X190" s="536"/>
      <c r="Y190" s="536"/>
      <c r="Z190" s="536"/>
      <c r="AA190" s="536"/>
      <c r="AB190" s="536"/>
      <c r="AC190" s="536"/>
      <c r="AD190" s="536"/>
      <c r="AE190" s="536"/>
      <c r="AF190" s="536"/>
      <c r="AG190" s="536"/>
      <c r="AH190" s="536"/>
      <c r="AI190" s="675"/>
      <c r="AJ190" s="537" t="s">
        <v>417</v>
      </c>
      <c r="AK190" s="536"/>
    </row>
    <row r="191" spans="1:37" x14ac:dyDescent="0.2">
      <c r="A191" s="548"/>
      <c r="B191" s="546"/>
      <c r="C191" s="1819" t="s">
        <v>206</v>
      </c>
      <c r="D191" s="1819"/>
      <c r="E191" s="1819"/>
      <c r="F191" s="1819"/>
      <c r="G191" s="1819"/>
      <c r="H191" s="1819"/>
      <c r="I191" s="1819"/>
      <c r="J191" s="1819"/>
      <c r="K191" s="1819"/>
      <c r="L191" s="544">
        <v>943265.18</v>
      </c>
      <c r="M191" s="543"/>
      <c r="N191" s="547">
        <v>7847966</v>
      </c>
      <c r="P191" s="536"/>
      <c r="Q191" s="536"/>
      <c r="R191" s="536"/>
      <c r="S191" s="536"/>
      <c r="T191" s="536"/>
      <c r="U191" s="536"/>
      <c r="V191" s="536"/>
      <c r="W191" s="536"/>
      <c r="X191" s="536"/>
      <c r="Y191" s="536"/>
      <c r="Z191" s="536"/>
      <c r="AA191" s="536"/>
      <c r="AB191" s="536"/>
      <c r="AC191" s="536"/>
      <c r="AD191" s="536"/>
      <c r="AE191" s="536"/>
      <c r="AF191" s="536"/>
      <c r="AG191" s="536"/>
      <c r="AH191" s="536"/>
      <c r="AI191" s="675"/>
      <c r="AJ191" s="536"/>
      <c r="AK191" s="675" t="s">
        <v>206</v>
      </c>
    </row>
    <row r="192" spans="1:37" ht="1.5" customHeight="1" x14ac:dyDescent="0.2">
      <c r="B192" s="546"/>
      <c r="C192" s="671"/>
      <c r="D192" s="671"/>
      <c r="E192" s="671"/>
      <c r="F192" s="671"/>
      <c r="G192" s="671"/>
      <c r="H192" s="671"/>
      <c r="I192" s="671"/>
      <c r="J192" s="671"/>
      <c r="K192" s="671"/>
      <c r="L192" s="544"/>
      <c r="M192" s="543"/>
      <c r="N192" s="542"/>
      <c r="P192" s="536"/>
      <c r="Q192" s="536"/>
      <c r="R192" s="536"/>
      <c r="S192" s="536"/>
      <c r="T192" s="536"/>
      <c r="U192" s="536"/>
      <c r="V192" s="536"/>
      <c r="W192" s="536"/>
      <c r="X192" s="536"/>
      <c r="Y192" s="536"/>
      <c r="Z192" s="536"/>
      <c r="AA192" s="536"/>
      <c r="AB192" s="536"/>
      <c r="AC192" s="536"/>
      <c r="AD192" s="536"/>
      <c r="AE192" s="536"/>
      <c r="AF192" s="536"/>
      <c r="AG192" s="536"/>
      <c r="AH192" s="536"/>
      <c r="AI192" s="536"/>
      <c r="AJ192" s="536"/>
      <c r="AK192" s="536"/>
    </row>
    <row r="193" spans="1:37" ht="53.25" customHeight="1" x14ac:dyDescent="0.2">
      <c r="A193" s="541"/>
      <c r="B193" s="541"/>
      <c r="C193" s="541"/>
      <c r="D193" s="541"/>
      <c r="E193" s="541"/>
      <c r="F193" s="541"/>
      <c r="G193" s="541"/>
      <c r="H193" s="541"/>
      <c r="I193" s="541"/>
      <c r="J193" s="541"/>
      <c r="K193" s="541"/>
      <c r="L193" s="541"/>
      <c r="M193" s="541"/>
      <c r="N193" s="541"/>
      <c r="P193" s="536"/>
      <c r="Q193" s="536"/>
      <c r="R193" s="536"/>
      <c r="S193" s="536"/>
      <c r="T193" s="536"/>
      <c r="U193" s="536"/>
      <c r="V193" s="536"/>
      <c r="W193" s="536"/>
      <c r="X193" s="536"/>
      <c r="Y193" s="536"/>
      <c r="Z193" s="536"/>
      <c r="AA193" s="536"/>
      <c r="AB193" s="536"/>
      <c r="AC193" s="536"/>
      <c r="AD193" s="536"/>
      <c r="AE193" s="536"/>
      <c r="AF193" s="536"/>
      <c r="AG193" s="536"/>
      <c r="AH193" s="536"/>
      <c r="AI193" s="536"/>
      <c r="AJ193" s="536"/>
      <c r="AK193" s="536"/>
    </row>
    <row r="194" spans="1:37" x14ac:dyDescent="0.2">
      <c r="B194" s="539" t="s">
        <v>149</v>
      </c>
      <c r="C194" s="1820" t="s">
        <v>8946</v>
      </c>
      <c r="D194" s="1820"/>
      <c r="E194" s="1820"/>
      <c r="F194" s="1820"/>
      <c r="G194" s="1820"/>
      <c r="H194" s="1820"/>
      <c r="I194" s="1820"/>
      <c r="J194" s="1820"/>
      <c r="K194" s="1820"/>
      <c r="L194" s="1820"/>
    </row>
    <row r="195" spans="1:37" ht="13.5" customHeight="1" x14ac:dyDescent="0.2">
      <c r="B195" s="540"/>
      <c r="C195" s="1821" t="s">
        <v>150</v>
      </c>
      <c r="D195" s="1821"/>
      <c r="E195" s="1821"/>
      <c r="F195" s="1821"/>
      <c r="G195" s="1821"/>
      <c r="H195" s="1821"/>
      <c r="I195" s="1821"/>
      <c r="J195" s="1821"/>
      <c r="K195" s="1821"/>
      <c r="L195" s="1821"/>
    </row>
    <row r="196" spans="1:37" ht="12.75" customHeight="1" x14ac:dyDescent="0.2">
      <c r="B196" s="539" t="s">
        <v>151</v>
      </c>
      <c r="C196" s="1820" t="s">
        <v>8566</v>
      </c>
      <c r="D196" s="1820"/>
      <c r="E196" s="1820"/>
      <c r="F196" s="1820"/>
      <c r="G196" s="1820"/>
      <c r="H196" s="1820"/>
      <c r="I196" s="1820"/>
      <c r="J196" s="1820"/>
      <c r="K196" s="1820"/>
      <c r="L196" s="1820"/>
    </row>
    <row r="197" spans="1:37" ht="13.5" customHeight="1" x14ac:dyDescent="0.2">
      <c r="C197" s="1821" t="s">
        <v>150</v>
      </c>
      <c r="D197" s="1821"/>
      <c r="E197" s="1821"/>
      <c r="F197" s="1821"/>
      <c r="G197" s="1821"/>
      <c r="H197" s="1821"/>
      <c r="I197" s="1821"/>
      <c r="J197" s="1821"/>
      <c r="K197" s="1821"/>
      <c r="L197" s="1821"/>
    </row>
    <row r="199" spans="1:37" x14ac:dyDescent="0.2">
      <c r="B199" s="538"/>
      <c r="D199" s="538"/>
      <c r="F199" s="538"/>
      <c r="P199" s="536"/>
      <c r="Q199" s="536"/>
      <c r="R199" s="536"/>
      <c r="S199" s="536"/>
      <c r="T199" s="536"/>
      <c r="U199" s="536"/>
      <c r="V199" s="536"/>
      <c r="W199" s="536"/>
      <c r="X199" s="536"/>
      <c r="Y199" s="536"/>
      <c r="Z199" s="536"/>
      <c r="AA199" s="536"/>
      <c r="AB199" s="536"/>
      <c r="AC199" s="536"/>
      <c r="AD199" s="536"/>
      <c r="AE199" s="536"/>
      <c r="AF199" s="536"/>
      <c r="AG199" s="536"/>
      <c r="AH199" s="536"/>
      <c r="AI199" s="536"/>
      <c r="AJ199" s="536"/>
      <c r="AK199" s="536"/>
    </row>
  </sheetData>
  <mergeCells count="172">
    <mergeCell ref="C190:K190"/>
    <mergeCell ref="C191:K191"/>
    <mergeCell ref="C194:L194"/>
    <mergeCell ref="C195:L195"/>
    <mergeCell ref="C196:L196"/>
    <mergeCell ref="C197:L197"/>
    <mergeCell ref="C184:K184"/>
    <mergeCell ref="C185:K185"/>
    <mergeCell ref="C186:K186"/>
    <mergeCell ref="C187:K187"/>
    <mergeCell ref="C188:K188"/>
    <mergeCell ref="C189:K189"/>
    <mergeCell ref="C178:K178"/>
    <mergeCell ref="C179:K179"/>
    <mergeCell ref="C180:K180"/>
    <mergeCell ref="C181:K181"/>
    <mergeCell ref="C182:K182"/>
    <mergeCell ref="C183:K183"/>
    <mergeCell ref="C171:K171"/>
    <mergeCell ref="C172:K172"/>
    <mergeCell ref="C174:K174"/>
    <mergeCell ref="C175:K175"/>
    <mergeCell ref="C176:K176"/>
    <mergeCell ref="C177:K177"/>
    <mergeCell ref="C165:K165"/>
    <mergeCell ref="C166:K166"/>
    <mergeCell ref="C167:K167"/>
    <mergeCell ref="C168:K168"/>
    <mergeCell ref="C169:K169"/>
    <mergeCell ref="C170:K170"/>
    <mergeCell ref="C155:K155"/>
    <mergeCell ref="C156:K156"/>
    <mergeCell ref="A157:N157"/>
    <mergeCell ref="C158:E158"/>
    <mergeCell ref="C160:E160"/>
    <mergeCell ref="C162:E162"/>
    <mergeCell ref="C149:K149"/>
    <mergeCell ref="C150:K150"/>
    <mergeCell ref="C151:K151"/>
    <mergeCell ref="C152:K152"/>
    <mergeCell ref="C153:K153"/>
    <mergeCell ref="C154:K154"/>
    <mergeCell ref="C143:K143"/>
    <mergeCell ref="C144:K144"/>
    <mergeCell ref="C145:K145"/>
    <mergeCell ref="C146:K146"/>
    <mergeCell ref="C147:K147"/>
    <mergeCell ref="C148:K148"/>
    <mergeCell ref="C135:N135"/>
    <mergeCell ref="C136:E136"/>
    <mergeCell ref="C139:K139"/>
    <mergeCell ref="C140:K140"/>
    <mergeCell ref="C141:K141"/>
    <mergeCell ref="C142:K142"/>
    <mergeCell ref="C127:E127"/>
    <mergeCell ref="C128:E128"/>
    <mergeCell ref="C129:E129"/>
    <mergeCell ref="C130:E130"/>
    <mergeCell ref="C132:N132"/>
    <mergeCell ref="C133:E133"/>
    <mergeCell ref="C121:E121"/>
    <mergeCell ref="C122:E122"/>
    <mergeCell ref="C123:E123"/>
    <mergeCell ref="C124:E124"/>
    <mergeCell ref="C125:E125"/>
    <mergeCell ref="C126:E126"/>
    <mergeCell ref="C115:E115"/>
    <mergeCell ref="C116:N116"/>
    <mergeCell ref="C117:N117"/>
    <mergeCell ref="C118:E118"/>
    <mergeCell ref="C119:E119"/>
    <mergeCell ref="C120:E120"/>
    <mergeCell ref="C109:E109"/>
    <mergeCell ref="C110:E110"/>
    <mergeCell ref="C111:E111"/>
    <mergeCell ref="C112:E112"/>
    <mergeCell ref="C113:E113"/>
    <mergeCell ref="C114:E114"/>
    <mergeCell ref="C103:N103"/>
    <mergeCell ref="C104:N104"/>
    <mergeCell ref="C105:N105"/>
    <mergeCell ref="C106:E106"/>
    <mergeCell ref="C107:E107"/>
    <mergeCell ref="C108:E108"/>
    <mergeCell ref="C97:E97"/>
    <mergeCell ref="C98:E98"/>
    <mergeCell ref="C99:E99"/>
    <mergeCell ref="C100:E100"/>
    <mergeCell ref="C101:E101"/>
    <mergeCell ref="C102:E102"/>
    <mergeCell ref="C91:E91"/>
    <mergeCell ref="C92:E92"/>
    <mergeCell ref="C93:E93"/>
    <mergeCell ref="C94:E94"/>
    <mergeCell ref="C95:E95"/>
    <mergeCell ref="C96:E96"/>
    <mergeCell ref="C84:N84"/>
    <mergeCell ref="C85:E85"/>
    <mergeCell ref="A87:N87"/>
    <mergeCell ref="C88:E88"/>
    <mergeCell ref="C89:N89"/>
    <mergeCell ref="C90:N90"/>
    <mergeCell ref="C77:E77"/>
    <mergeCell ref="C78:E78"/>
    <mergeCell ref="C79:E79"/>
    <mergeCell ref="C80:E80"/>
    <mergeCell ref="C81:E81"/>
    <mergeCell ref="C82:E82"/>
    <mergeCell ref="C71:E71"/>
    <mergeCell ref="C72:E72"/>
    <mergeCell ref="C73:E73"/>
    <mergeCell ref="C74:E74"/>
    <mergeCell ref="C75:E75"/>
    <mergeCell ref="C76:E76"/>
    <mergeCell ref="C65:E65"/>
    <mergeCell ref="C66:E66"/>
    <mergeCell ref="C67:E67"/>
    <mergeCell ref="C68:N68"/>
    <mergeCell ref="C69:E69"/>
    <mergeCell ref="C70:E70"/>
    <mergeCell ref="C59:E59"/>
    <mergeCell ref="C60:E60"/>
    <mergeCell ref="C61:E61"/>
    <mergeCell ref="C62:E62"/>
    <mergeCell ref="C63:E63"/>
    <mergeCell ref="C64:E64"/>
    <mergeCell ref="C53:E53"/>
    <mergeCell ref="C54:E54"/>
    <mergeCell ref="C55:N55"/>
    <mergeCell ref="C56:N56"/>
    <mergeCell ref="C57:N57"/>
    <mergeCell ref="C58:E58"/>
    <mergeCell ref="C47:E47"/>
    <mergeCell ref="C48:E48"/>
    <mergeCell ref="C49:E49"/>
    <mergeCell ref="C50:E50"/>
    <mergeCell ref="C51:E51"/>
    <mergeCell ref="C52:E52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198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/>
  <dimension ref="A1:AK194"/>
  <sheetViews>
    <sheetView topLeftCell="A158" zoomScale="115" zoomScaleNormal="115" workbookViewId="0"/>
  </sheetViews>
  <sheetFormatPr defaultColWidth="9.140625" defaultRowHeight="11.25" customHeight="1" x14ac:dyDescent="0.2"/>
  <cols>
    <col min="1" max="1" width="8.140625" style="40" customWidth="1"/>
    <col min="2" max="2" width="20.140625" style="40" customWidth="1"/>
    <col min="3" max="4" width="10.42578125" style="40" customWidth="1"/>
    <col min="5" max="5" width="13.28515625" style="40" customWidth="1"/>
    <col min="6" max="6" width="8.5703125" style="40" customWidth="1"/>
    <col min="7" max="7" width="7.85546875" style="40" customWidth="1"/>
    <col min="8" max="8" width="8.42578125" style="40" customWidth="1"/>
    <col min="9" max="9" width="8.7109375" style="40" customWidth="1"/>
    <col min="10" max="10" width="8.140625" style="40" customWidth="1"/>
    <col min="11" max="11" width="8.5703125" style="40" customWidth="1"/>
    <col min="12" max="12" width="10" style="40" customWidth="1"/>
    <col min="13" max="13" width="6" style="40" customWidth="1"/>
    <col min="14" max="14" width="9.7109375" style="40" customWidth="1"/>
    <col min="15" max="15" width="9.140625" style="40"/>
    <col min="16" max="16" width="49.140625" style="43" hidden="1" customWidth="1"/>
    <col min="17" max="17" width="42.42578125" style="43" hidden="1" customWidth="1"/>
    <col min="18" max="18" width="99.7109375" style="43" hidden="1" customWidth="1"/>
    <col min="19" max="22" width="138.42578125" style="43" hidden="1" customWidth="1"/>
    <col min="23" max="23" width="34.140625" style="43" hidden="1" customWidth="1"/>
    <col min="24" max="25" width="110.140625" style="43" hidden="1" customWidth="1"/>
    <col min="26" max="30" width="34.140625" style="43" hidden="1" customWidth="1"/>
    <col min="31" max="36" width="84.42578125" style="43" hidden="1" customWidth="1"/>
    <col min="37" max="37" width="138.42578125" style="43" hidden="1" customWidth="1"/>
    <col min="38" max="16384" width="9.140625" style="40"/>
  </cols>
  <sheetData>
    <row r="1" spans="1:20" s="40" customFormat="1" x14ac:dyDescent="0.2">
      <c r="N1" s="41" t="s">
        <v>152</v>
      </c>
    </row>
    <row r="2" spans="1:20" s="40" customFormat="1" x14ac:dyDescent="0.2">
      <c r="N2" s="41" t="s">
        <v>141</v>
      </c>
    </row>
    <row r="3" spans="1:20" s="40" customFormat="1" ht="8.25" customHeight="1" x14ac:dyDescent="0.2">
      <c r="N3" s="41"/>
    </row>
    <row r="4" spans="1:20" s="40" customFormat="1" ht="14.25" customHeight="1" x14ac:dyDescent="0.2">
      <c r="A4" s="1772" t="s">
        <v>153</v>
      </c>
      <c r="B4" s="1772"/>
      <c r="C4" s="1772"/>
      <c r="D4" s="42"/>
      <c r="K4" s="1772" t="s">
        <v>154</v>
      </c>
      <c r="L4" s="1772"/>
      <c r="M4" s="1772"/>
      <c r="N4" s="1772"/>
    </row>
    <row r="5" spans="1:20" s="40" customFormat="1" ht="12" customHeight="1" x14ac:dyDescent="0.2">
      <c r="A5" s="1773"/>
      <c r="B5" s="1773"/>
      <c r="C5" s="1773"/>
      <c r="D5" s="1773"/>
      <c r="E5" s="43"/>
      <c r="J5" s="1774"/>
      <c r="K5" s="1774"/>
      <c r="L5" s="1774"/>
      <c r="M5" s="1774"/>
      <c r="N5" s="1774"/>
    </row>
    <row r="6" spans="1:20" s="40" customFormat="1" x14ac:dyDescent="0.2">
      <c r="A6" s="1768"/>
      <c r="B6" s="1768"/>
      <c r="C6" s="1768"/>
      <c r="D6" s="1768"/>
      <c r="J6" s="1768"/>
      <c r="K6" s="1768"/>
      <c r="L6" s="1768"/>
      <c r="M6" s="1768"/>
      <c r="N6" s="1768"/>
      <c r="P6" s="43" t="s">
        <v>143</v>
      </c>
      <c r="Q6" s="43" t="s">
        <v>143</v>
      </c>
    </row>
    <row r="7" spans="1:20" s="40" customFormat="1" ht="17.25" customHeight="1" x14ac:dyDescent="0.2">
      <c r="A7" s="44"/>
      <c r="B7" s="45"/>
      <c r="C7" s="43"/>
      <c r="D7" s="43"/>
      <c r="K7" s="44"/>
      <c r="L7" s="44"/>
      <c r="M7" s="44"/>
      <c r="N7" s="45"/>
    </row>
    <row r="8" spans="1:20" s="40" customFormat="1" ht="16.5" customHeight="1" x14ac:dyDescent="0.2">
      <c r="A8" s="40" t="s">
        <v>155</v>
      </c>
      <c r="B8" s="46"/>
      <c r="C8" s="46"/>
      <c r="D8" s="46"/>
      <c r="L8" s="46"/>
      <c r="M8" s="46"/>
      <c r="N8" s="41" t="s">
        <v>155</v>
      </c>
    </row>
    <row r="9" spans="1:20" s="40" customFormat="1" ht="15.75" customHeight="1" x14ac:dyDescent="0.2">
      <c r="F9" s="47"/>
    </row>
    <row r="10" spans="1:20" s="40" customFormat="1" ht="33.75" x14ac:dyDescent="0.2">
      <c r="A10" s="48" t="s">
        <v>156</v>
      </c>
      <c r="B10" s="46"/>
      <c r="D10" s="1768" t="s">
        <v>157</v>
      </c>
      <c r="E10" s="1768"/>
      <c r="F10" s="1768"/>
      <c r="G10" s="1768"/>
      <c r="H10" s="1768"/>
      <c r="I10" s="1768"/>
      <c r="J10" s="1768"/>
      <c r="K10" s="1768"/>
      <c r="L10" s="1768"/>
      <c r="M10" s="1768"/>
      <c r="N10" s="1768"/>
      <c r="R10" s="43" t="s">
        <v>157</v>
      </c>
    </row>
    <row r="11" spans="1:20" s="40" customFormat="1" ht="15" customHeight="1" x14ac:dyDescent="0.2">
      <c r="A11" s="49" t="s">
        <v>158</v>
      </c>
      <c r="D11" s="44" t="s">
        <v>159</v>
      </c>
      <c r="E11" s="44"/>
      <c r="F11" s="50"/>
      <c r="G11" s="50"/>
      <c r="H11" s="50"/>
      <c r="I11" s="50"/>
      <c r="J11" s="50"/>
      <c r="K11" s="50"/>
      <c r="L11" s="50"/>
      <c r="M11" s="50"/>
      <c r="N11" s="50"/>
    </row>
    <row r="12" spans="1:20" s="40" customFormat="1" ht="8.25" customHeight="1" x14ac:dyDescent="0.2">
      <c r="A12" s="49"/>
      <c r="F12" s="46"/>
      <c r="G12" s="46"/>
      <c r="H12" s="46"/>
      <c r="I12" s="46"/>
      <c r="J12" s="46"/>
      <c r="K12" s="46"/>
      <c r="L12" s="46"/>
      <c r="M12" s="46"/>
      <c r="N12" s="46"/>
    </row>
    <row r="13" spans="1:20" s="40" customFormat="1" x14ac:dyDescent="0.2">
      <c r="A13" s="1769" t="s">
        <v>274</v>
      </c>
      <c r="B13" s="1769"/>
      <c r="C13" s="1769"/>
      <c r="D13" s="1769"/>
      <c r="E13" s="1769"/>
      <c r="F13" s="1769"/>
      <c r="G13" s="1769"/>
      <c r="H13" s="1769"/>
      <c r="I13" s="1769"/>
      <c r="J13" s="1769"/>
      <c r="K13" s="1769"/>
      <c r="L13" s="1769"/>
      <c r="M13" s="1769"/>
      <c r="N13" s="1769"/>
      <c r="S13" s="43" t="s">
        <v>274</v>
      </c>
    </row>
    <row r="14" spans="1:20" s="40" customFormat="1" x14ac:dyDescent="0.2">
      <c r="A14" s="1816" t="s">
        <v>139</v>
      </c>
      <c r="B14" s="1816"/>
      <c r="C14" s="1816"/>
      <c r="D14" s="1816"/>
      <c r="E14" s="1816"/>
      <c r="F14" s="1816"/>
      <c r="G14" s="1816"/>
      <c r="H14" s="1816"/>
      <c r="I14" s="1816"/>
      <c r="J14" s="1816"/>
      <c r="K14" s="1816"/>
      <c r="L14" s="1816"/>
      <c r="M14" s="1816"/>
      <c r="N14" s="1816"/>
    </row>
    <row r="15" spans="1:20" s="40" customFormat="1" ht="8.25" customHeight="1" x14ac:dyDescent="0.2">
      <c r="A15" s="51"/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</row>
    <row r="16" spans="1:20" s="40" customFormat="1" x14ac:dyDescent="0.2">
      <c r="A16" s="1769"/>
      <c r="B16" s="1769"/>
      <c r="C16" s="1769"/>
      <c r="D16" s="1769"/>
      <c r="E16" s="1769"/>
      <c r="F16" s="1769"/>
      <c r="G16" s="1769"/>
      <c r="H16" s="1769"/>
      <c r="I16" s="1769"/>
      <c r="J16" s="1769"/>
      <c r="K16" s="1769"/>
      <c r="L16" s="1769"/>
      <c r="M16" s="1769"/>
      <c r="N16" s="1769"/>
      <c r="T16" s="43" t="s">
        <v>143</v>
      </c>
    </row>
    <row r="17" spans="1:21" s="40" customFormat="1" x14ac:dyDescent="0.2">
      <c r="A17" s="1816" t="s">
        <v>142</v>
      </c>
      <c r="B17" s="1816"/>
      <c r="C17" s="1816"/>
      <c r="D17" s="1816"/>
      <c r="E17" s="1816"/>
      <c r="F17" s="1816"/>
      <c r="G17" s="1816"/>
      <c r="H17" s="1816"/>
      <c r="I17" s="1816"/>
      <c r="J17" s="1816"/>
      <c r="K17" s="1816"/>
      <c r="L17" s="1816"/>
      <c r="M17" s="1816"/>
      <c r="N17" s="1816"/>
    </row>
    <row r="18" spans="1:21" s="40" customFormat="1" ht="24" customHeight="1" x14ac:dyDescent="0.25">
      <c r="A18" s="1771" t="s">
        <v>5097</v>
      </c>
      <c r="B18" s="1771"/>
      <c r="C18" s="1771"/>
      <c r="D18" s="1771"/>
      <c r="E18" s="1771"/>
      <c r="F18" s="1771"/>
      <c r="G18" s="1771"/>
      <c r="H18" s="1771"/>
      <c r="I18" s="1771"/>
      <c r="J18" s="1771"/>
      <c r="K18" s="1771"/>
      <c r="L18" s="1771"/>
      <c r="M18" s="1771"/>
      <c r="N18" s="1771"/>
    </row>
    <row r="19" spans="1:21" s="40" customFormat="1" ht="8.25" customHeight="1" x14ac:dyDescent="0.25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</row>
    <row r="20" spans="1:21" s="40" customFormat="1" x14ac:dyDescent="0.2">
      <c r="A20" s="1775" t="s">
        <v>5059</v>
      </c>
      <c r="B20" s="1775"/>
      <c r="C20" s="1775"/>
      <c r="D20" s="1775"/>
      <c r="E20" s="1775"/>
      <c r="F20" s="1775"/>
      <c r="G20" s="1775"/>
      <c r="H20" s="1775"/>
      <c r="I20" s="1775"/>
      <c r="J20" s="1775"/>
      <c r="K20" s="1775"/>
      <c r="L20" s="1775"/>
      <c r="M20" s="1775"/>
      <c r="N20" s="1775"/>
      <c r="U20" s="43" t="s">
        <v>5059</v>
      </c>
    </row>
    <row r="21" spans="1:21" s="40" customFormat="1" ht="13.5" customHeight="1" x14ac:dyDescent="0.2">
      <c r="A21" s="1816" t="s">
        <v>160</v>
      </c>
      <c r="B21" s="1816"/>
      <c r="C21" s="1816"/>
      <c r="D21" s="1816"/>
      <c r="E21" s="1816"/>
      <c r="F21" s="1816"/>
      <c r="G21" s="1816"/>
      <c r="H21" s="1816"/>
      <c r="I21" s="1816"/>
      <c r="J21" s="1816"/>
      <c r="K21" s="1816"/>
      <c r="L21" s="1816"/>
      <c r="M21" s="1816"/>
      <c r="N21" s="1816"/>
    </row>
    <row r="22" spans="1:21" s="40" customFormat="1" ht="15" customHeight="1" x14ac:dyDescent="0.2">
      <c r="A22" s="40" t="s">
        <v>161</v>
      </c>
      <c r="B22" s="53" t="s">
        <v>162</v>
      </c>
      <c r="C22" s="40" t="s">
        <v>163</v>
      </c>
      <c r="F22" s="43"/>
      <c r="G22" s="43"/>
      <c r="H22" s="43"/>
      <c r="I22" s="43"/>
      <c r="J22" s="43"/>
      <c r="K22" s="43"/>
      <c r="L22" s="43"/>
      <c r="M22" s="43"/>
      <c r="N22" s="43"/>
    </row>
    <row r="23" spans="1:21" s="40" customFormat="1" ht="18" customHeight="1" x14ac:dyDescent="0.2">
      <c r="A23" s="40" t="s">
        <v>164</v>
      </c>
      <c r="B23" s="1775" t="s">
        <v>449</v>
      </c>
      <c r="C23" s="1775"/>
      <c r="D23" s="1775"/>
      <c r="E23" s="1775"/>
      <c r="F23" s="1775"/>
      <c r="G23" s="43"/>
      <c r="H23" s="43"/>
      <c r="I23" s="43"/>
      <c r="J23" s="43"/>
      <c r="K23" s="43"/>
      <c r="L23" s="43"/>
      <c r="M23" s="43"/>
      <c r="N23" s="43"/>
    </row>
    <row r="24" spans="1:21" s="40" customFormat="1" x14ac:dyDescent="0.2">
      <c r="B24" s="1817" t="s">
        <v>144</v>
      </c>
      <c r="C24" s="1817"/>
      <c r="D24" s="1817"/>
      <c r="E24" s="1817"/>
      <c r="F24" s="1817"/>
      <c r="G24" s="54"/>
      <c r="H24" s="54"/>
      <c r="I24" s="54"/>
      <c r="J24" s="54"/>
      <c r="K24" s="54"/>
      <c r="L24" s="54"/>
      <c r="M24" s="55"/>
      <c r="N24" s="54"/>
    </row>
    <row r="25" spans="1:21" s="40" customFormat="1" ht="9.75" customHeight="1" x14ac:dyDescent="0.2">
      <c r="D25" s="56"/>
      <c r="E25" s="56"/>
      <c r="F25" s="56"/>
      <c r="G25" s="56"/>
      <c r="H25" s="56"/>
      <c r="I25" s="56"/>
      <c r="J25" s="56"/>
      <c r="K25" s="56"/>
      <c r="L25" s="56"/>
      <c r="M25" s="54"/>
      <c r="N25" s="54"/>
    </row>
    <row r="26" spans="1:21" s="40" customFormat="1" x14ac:dyDescent="0.2">
      <c r="A26" s="57" t="s">
        <v>165</v>
      </c>
      <c r="D26" s="44" t="s">
        <v>301</v>
      </c>
      <c r="F26" s="58"/>
      <c r="G26" s="58"/>
      <c r="H26" s="58"/>
      <c r="I26" s="58"/>
      <c r="J26" s="58"/>
      <c r="K26" s="58"/>
      <c r="L26" s="58"/>
      <c r="M26" s="58"/>
      <c r="N26" s="58"/>
    </row>
    <row r="27" spans="1:21" s="40" customFormat="1" ht="9.75" customHeight="1" x14ac:dyDescent="0.2"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</row>
    <row r="28" spans="1:21" s="40" customFormat="1" ht="12.75" customHeight="1" x14ac:dyDescent="0.2">
      <c r="A28" s="57" t="s">
        <v>166</v>
      </c>
      <c r="C28" s="59">
        <v>2215.1</v>
      </c>
      <c r="D28" s="60" t="s">
        <v>5098</v>
      </c>
      <c r="E28" s="48" t="s">
        <v>167</v>
      </c>
      <c r="L28" s="61"/>
      <c r="M28" s="61"/>
    </row>
    <row r="29" spans="1:21" s="40" customFormat="1" ht="12.75" customHeight="1" x14ac:dyDescent="0.2">
      <c r="B29" s="40" t="s">
        <v>168</v>
      </c>
      <c r="C29" s="62"/>
      <c r="D29" s="63"/>
      <c r="E29" s="48"/>
    </row>
    <row r="30" spans="1:21" s="40" customFormat="1" ht="12.75" customHeight="1" x14ac:dyDescent="0.2">
      <c r="B30" s="40" t="s">
        <v>169</v>
      </c>
      <c r="C30" s="59">
        <v>2215.1</v>
      </c>
      <c r="D30" s="60" t="s">
        <v>5098</v>
      </c>
      <c r="E30" s="48" t="s">
        <v>167</v>
      </c>
      <c r="G30" s="40" t="s">
        <v>170</v>
      </c>
      <c r="L30" s="59">
        <v>0</v>
      </c>
      <c r="M30" s="60" t="s">
        <v>5099</v>
      </c>
      <c r="N30" s="48" t="s">
        <v>167</v>
      </c>
    </row>
    <row r="31" spans="1:21" s="40" customFormat="1" ht="12.75" customHeight="1" x14ac:dyDescent="0.2">
      <c r="B31" s="40" t="s">
        <v>140</v>
      </c>
      <c r="C31" s="59">
        <v>0</v>
      </c>
      <c r="D31" s="159" t="s">
        <v>171</v>
      </c>
      <c r="E31" s="48" t="s">
        <v>167</v>
      </c>
      <c r="G31" s="40" t="s">
        <v>172</v>
      </c>
      <c r="L31" s="160"/>
      <c r="M31" s="160">
        <v>2599.2199999999998</v>
      </c>
      <c r="N31" s="49" t="s">
        <v>173</v>
      </c>
    </row>
    <row r="32" spans="1:21" s="40" customFormat="1" ht="12.75" customHeight="1" x14ac:dyDescent="0.2">
      <c r="B32" s="40" t="s">
        <v>146</v>
      </c>
      <c r="C32" s="59">
        <v>0</v>
      </c>
      <c r="D32" s="159" t="s">
        <v>171</v>
      </c>
      <c r="E32" s="48" t="s">
        <v>167</v>
      </c>
      <c r="G32" s="40" t="s">
        <v>174</v>
      </c>
      <c r="L32" s="160"/>
      <c r="M32" s="160">
        <v>458.47</v>
      </c>
      <c r="N32" s="49" t="s">
        <v>173</v>
      </c>
    </row>
    <row r="33" spans="1:27" s="40" customFormat="1" ht="12.75" customHeight="1" x14ac:dyDescent="0.2">
      <c r="B33" s="40" t="s">
        <v>147</v>
      </c>
      <c r="C33" s="59">
        <v>0</v>
      </c>
      <c r="D33" s="60" t="s">
        <v>171</v>
      </c>
      <c r="E33" s="48" t="s">
        <v>167</v>
      </c>
      <c r="G33" s="40" t="s">
        <v>175</v>
      </c>
      <c r="L33" s="1972"/>
      <c r="M33" s="1972"/>
    </row>
    <row r="34" spans="1:27" s="40" customFormat="1" ht="9.75" customHeight="1" x14ac:dyDescent="0.2">
      <c r="A34" s="66"/>
    </row>
    <row r="35" spans="1:27" s="40" customFormat="1" ht="36" customHeight="1" x14ac:dyDescent="0.2">
      <c r="A35" s="1970" t="s">
        <v>8</v>
      </c>
      <c r="B35" s="1970" t="s">
        <v>145</v>
      </c>
      <c r="C35" s="1970" t="s">
        <v>176</v>
      </c>
      <c r="D35" s="1970"/>
      <c r="E35" s="1970"/>
      <c r="F35" s="1970" t="s">
        <v>177</v>
      </c>
      <c r="G35" s="1970" t="s">
        <v>178</v>
      </c>
      <c r="H35" s="1970"/>
      <c r="I35" s="1970"/>
      <c r="J35" s="1970" t="s">
        <v>179</v>
      </c>
      <c r="K35" s="1970"/>
      <c r="L35" s="1970"/>
      <c r="M35" s="1970" t="s">
        <v>180</v>
      </c>
      <c r="N35" s="1970" t="s">
        <v>181</v>
      </c>
    </row>
    <row r="36" spans="1:27" s="40" customFormat="1" ht="36.75" customHeight="1" x14ac:dyDescent="0.2">
      <c r="A36" s="1970"/>
      <c r="B36" s="1970"/>
      <c r="C36" s="1970"/>
      <c r="D36" s="1970"/>
      <c r="E36" s="1970"/>
      <c r="F36" s="1970"/>
      <c r="G36" s="1970"/>
      <c r="H36" s="1970"/>
      <c r="I36" s="1970"/>
      <c r="J36" s="1970"/>
      <c r="K36" s="1970"/>
      <c r="L36" s="1970"/>
      <c r="M36" s="1970"/>
      <c r="N36" s="1970"/>
    </row>
    <row r="37" spans="1:27" s="40" customFormat="1" ht="45" x14ac:dyDescent="0.2">
      <c r="A37" s="1970"/>
      <c r="B37" s="1970"/>
      <c r="C37" s="1970"/>
      <c r="D37" s="1970"/>
      <c r="E37" s="1970"/>
      <c r="F37" s="1970"/>
      <c r="G37" s="161" t="s">
        <v>182</v>
      </c>
      <c r="H37" s="161" t="s">
        <v>183</v>
      </c>
      <c r="I37" s="161" t="s">
        <v>184</v>
      </c>
      <c r="J37" s="161" t="s">
        <v>182</v>
      </c>
      <c r="K37" s="161" t="s">
        <v>183</v>
      </c>
      <c r="L37" s="161" t="s">
        <v>148</v>
      </c>
      <c r="M37" s="1970"/>
      <c r="N37" s="1970"/>
    </row>
    <row r="38" spans="1:27" s="40" customFormat="1" x14ac:dyDescent="0.2">
      <c r="A38" s="162">
        <v>1</v>
      </c>
      <c r="B38" s="162">
        <v>2</v>
      </c>
      <c r="C38" s="1971">
        <v>3</v>
      </c>
      <c r="D38" s="1971"/>
      <c r="E38" s="1971"/>
      <c r="F38" s="162">
        <v>4</v>
      </c>
      <c r="G38" s="162">
        <v>5</v>
      </c>
      <c r="H38" s="162">
        <v>6</v>
      </c>
      <c r="I38" s="162">
        <v>7</v>
      </c>
      <c r="J38" s="162">
        <v>8</v>
      </c>
      <c r="K38" s="162">
        <v>9</v>
      </c>
      <c r="L38" s="162">
        <v>10</v>
      </c>
      <c r="M38" s="162">
        <v>11</v>
      </c>
      <c r="N38" s="162">
        <v>12</v>
      </c>
    </row>
    <row r="39" spans="1:27" s="40" customFormat="1" ht="12" x14ac:dyDescent="0.2">
      <c r="A39" s="1967" t="s">
        <v>5100</v>
      </c>
      <c r="B39" s="1968"/>
      <c r="C39" s="1968"/>
      <c r="D39" s="1968"/>
      <c r="E39" s="1968"/>
      <c r="F39" s="1968"/>
      <c r="G39" s="1968"/>
      <c r="H39" s="1968"/>
      <c r="I39" s="1968"/>
      <c r="J39" s="1968"/>
      <c r="K39" s="1968"/>
      <c r="L39" s="1968"/>
      <c r="M39" s="1968"/>
      <c r="N39" s="1969"/>
      <c r="V39" s="43" t="s">
        <v>5100</v>
      </c>
    </row>
    <row r="40" spans="1:27" s="40" customFormat="1" ht="45" x14ac:dyDescent="0.2">
      <c r="A40" s="163" t="s">
        <v>185</v>
      </c>
      <c r="B40" s="164" t="s">
        <v>5101</v>
      </c>
      <c r="C40" s="1809" t="s">
        <v>5102</v>
      </c>
      <c r="D40" s="1809"/>
      <c r="E40" s="1809"/>
      <c r="F40" s="165" t="s">
        <v>862</v>
      </c>
      <c r="G40" s="165"/>
      <c r="H40" s="165"/>
      <c r="I40" s="165" t="s">
        <v>5103</v>
      </c>
      <c r="J40" s="166"/>
      <c r="K40" s="165"/>
      <c r="L40" s="166"/>
      <c r="M40" s="167"/>
      <c r="N40" s="168"/>
      <c r="W40" s="43" t="s">
        <v>5102</v>
      </c>
    </row>
    <row r="41" spans="1:27" s="40" customFormat="1" x14ac:dyDescent="0.2">
      <c r="A41" s="75"/>
      <c r="B41" s="76"/>
      <c r="C41" s="1768" t="s">
        <v>5104</v>
      </c>
      <c r="D41" s="1768"/>
      <c r="E41" s="1768"/>
      <c r="F41" s="1768"/>
      <c r="G41" s="1768"/>
      <c r="H41" s="1768"/>
      <c r="I41" s="1768"/>
      <c r="J41" s="1768"/>
      <c r="K41" s="1768"/>
      <c r="L41" s="1768"/>
      <c r="M41" s="1768"/>
      <c r="N41" s="1779"/>
      <c r="X41" s="43" t="s">
        <v>5104</v>
      </c>
    </row>
    <row r="42" spans="1:27" s="40" customFormat="1" ht="33.75" x14ac:dyDescent="0.2">
      <c r="A42" s="77"/>
      <c r="B42" s="78" t="s">
        <v>310</v>
      </c>
      <c r="C42" s="1768" t="s">
        <v>311</v>
      </c>
      <c r="D42" s="1768"/>
      <c r="E42" s="1768"/>
      <c r="F42" s="1768"/>
      <c r="G42" s="1768"/>
      <c r="H42" s="1768"/>
      <c r="I42" s="1768"/>
      <c r="J42" s="1768"/>
      <c r="K42" s="1768"/>
      <c r="L42" s="1768"/>
      <c r="M42" s="1768"/>
      <c r="N42" s="1779"/>
      <c r="Y42" s="43" t="s">
        <v>311</v>
      </c>
    </row>
    <row r="43" spans="1:27" s="40" customFormat="1" x14ac:dyDescent="0.2">
      <c r="A43" s="79"/>
      <c r="B43" s="78" t="s">
        <v>185</v>
      </c>
      <c r="C43" s="1768" t="s">
        <v>312</v>
      </c>
      <c r="D43" s="1768"/>
      <c r="E43" s="1768"/>
      <c r="F43" s="80"/>
      <c r="G43" s="80"/>
      <c r="H43" s="80"/>
      <c r="I43" s="80"/>
      <c r="J43" s="81">
        <v>212.63</v>
      </c>
      <c r="K43" s="80" t="s">
        <v>313</v>
      </c>
      <c r="L43" s="81">
        <v>14737.92</v>
      </c>
      <c r="M43" s="82"/>
      <c r="N43" s="83"/>
      <c r="Z43" s="43" t="s">
        <v>312</v>
      </c>
    </row>
    <row r="44" spans="1:27" s="40" customFormat="1" x14ac:dyDescent="0.2">
      <c r="A44" s="79"/>
      <c r="B44" s="78" t="s">
        <v>186</v>
      </c>
      <c r="C44" s="1768" t="s">
        <v>344</v>
      </c>
      <c r="D44" s="1768"/>
      <c r="E44" s="1768"/>
      <c r="F44" s="80"/>
      <c r="G44" s="80"/>
      <c r="H44" s="80"/>
      <c r="I44" s="80"/>
      <c r="J44" s="81">
        <v>5.08</v>
      </c>
      <c r="K44" s="80" t="s">
        <v>313</v>
      </c>
      <c r="L44" s="81">
        <v>352.11</v>
      </c>
      <c r="M44" s="82"/>
      <c r="N44" s="83"/>
      <c r="Z44" s="43" t="s">
        <v>344</v>
      </c>
    </row>
    <row r="45" spans="1:27" s="40" customFormat="1" x14ac:dyDescent="0.2">
      <c r="A45" s="79"/>
      <c r="B45" s="78" t="s">
        <v>187</v>
      </c>
      <c r="C45" s="1768" t="s">
        <v>345</v>
      </c>
      <c r="D45" s="1768"/>
      <c r="E45" s="1768"/>
      <c r="F45" s="80"/>
      <c r="G45" s="80"/>
      <c r="H45" s="80"/>
      <c r="I45" s="80"/>
      <c r="J45" s="81">
        <v>0.68</v>
      </c>
      <c r="K45" s="80" t="s">
        <v>313</v>
      </c>
      <c r="L45" s="81">
        <v>47.13</v>
      </c>
      <c r="M45" s="82"/>
      <c r="N45" s="83"/>
      <c r="Z45" s="43" t="s">
        <v>345</v>
      </c>
    </row>
    <row r="46" spans="1:27" s="40" customFormat="1" x14ac:dyDescent="0.2">
      <c r="A46" s="79"/>
      <c r="B46" s="78" t="s">
        <v>188</v>
      </c>
      <c r="C46" s="1768" t="s">
        <v>475</v>
      </c>
      <c r="D46" s="1768"/>
      <c r="E46" s="1768"/>
      <c r="F46" s="80"/>
      <c r="G46" s="80"/>
      <c r="H46" s="80"/>
      <c r="I46" s="80"/>
      <c r="J46" s="81">
        <v>2034</v>
      </c>
      <c r="K46" s="80"/>
      <c r="L46" s="81">
        <v>112785.3</v>
      </c>
      <c r="M46" s="82"/>
      <c r="N46" s="83"/>
      <c r="Z46" s="43" t="s">
        <v>475</v>
      </c>
    </row>
    <row r="47" spans="1:27" s="40" customFormat="1" ht="22.5" x14ac:dyDescent="0.2">
      <c r="A47" s="79"/>
      <c r="B47" s="78"/>
      <c r="C47" s="1768" t="s">
        <v>314</v>
      </c>
      <c r="D47" s="1768"/>
      <c r="E47" s="1768"/>
      <c r="F47" s="80" t="s">
        <v>315</v>
      </c>
      <c r="G47" s="80" t="s">
        <v>5105</v>
      </c>
      <c r="H47" s="80" t="s">
        <v>313</v>
      </c>
      <c r="I47" s="80" t="s">
        <v>5106</v>
      </c>
      <c r="J47" s="81"/>
      <c r="K47" s="80"/>
      <c r="L47" s="81"/>
      <c r="M47" s="82"/>
      <c r="N47" s="83"/>
      <c r="AA47" s="43" t="s">
        <v>314</v>
      </c>
    </row>
    <row r="48" spans="1:27" s="40" customFormat="1" x14ac:dyDescent="0.2">
      <c r="A48" s="79"/>
      <c r="B48" s="78"/>
      <c r="C48" s="1768" t="s">
        <v>348</v>
      </c>
      <c r="D48" s="1768"/>
      <c r="E48" s="1768"/>
      <c r="F48" s="80" t="s">
        <v>315</v>
      </c>
      <c r="G48" s="80" t="s">
        <v>856</v>
      </c>
      <c r="H48" s="80" t="s">
        <v>313</v>
      </c>
      <c r="I48" s="80" t="s">
        <v>5107</v>
      </c>
      <c r="J48" s="81"/>
      <c r="K48" s="80"/>
      <c r="L48" s="81"/>
      <c r="M48" s="82"/>
      <c r="N48" s="83"/>
      <c r="AA48" s="43" t="s">
        <v>348</v>
      </c>
    </row>
    <row r="49" spans="1:29" s="40" customFormat="1" x14ac:dyDescent="0.2">
      <c r="A49" s="79"/>
      <c r="B49" s="78"/>
      <c r="C49" s="1808" t="s">
        <v>318</v>
      </c>
      <c r="D49" s="1808"/>
      <c r="E49" s="1808"/>
      <c r="F49" s="169"/>
      <c r="G49" s="169"/>
      <c r="H49" s="169"/>
      <c r="I49" s="169"/>
      <c r="J49" s="170">
        <v>2251.71</v>
      </c>
      <c r="K49" s="169"/>
      <c r="L49" s="170">
        <v>127875.33</v>
      </c>
      <c r="M49" s="171"/>
      <c r="N49" s="172"/>
      <c r="AB49" s="43" t="s">
        <v>318</v>
      </c>
    </row>
    <row r="50" spans="1:29" s="40" customFormat="1" x14ac:dyDescent="0.2">
      <c r="A50" s="79"/>
      <c r="B50" s="78"/>
      <c r="C50" s="1768" t="s">
        <v>319</v>
      </c>
      <c r="D50" s="1768"/>
      <c r="E50" s="1768"/>
      <c r="F50" s="80"/>
      <c r="G50" s="80"/>
      <c r="H50" s="80"/>
      <c r="I50" s="80"/>
      <c r="J50" s="81"/>
      <c r="K50" s="80"/>
      <c r="L50" s="81">
        <v>14785.05</v>
      </c>
      <c r="M50" s="82"/>
      <c r="N50" s="83"/>
      <c r="AA50" s="43" t="s">
        <v>319</v>
      </c>
    </row>
    <row r="51" spans="1:29" s="40" customFormat="1" ht="33.75" x14ac:dyDescent="0.2">
      <c r="A51" s="79"/>
      <c r="B51" s="78" t="s">
        <v>5108</v>
      </c>
      <c r="C51" s="1768" t="s">
        <v>5109</v>
      </c>
      <c r="D51" s="1768"/>
      <c r="E51" s="1768"/>
      <c r="F51" s="80" t="s">
        <v>322</v>
      </c>
      <c r="G51" s="80" t="s">
        <v>710</v>
      </c>
      <c r="H51" s="80"/>
      <c r="I51" s="80" t="s">
        <v>710</v>
      </c>
      <c r="J51" s="81"/>
      <c r="K51" s="80"/>
      <c r="L51" s="81">
        <v>15228.6</v>
      </c>
      <c r="M51" s="82"/>
      <c r="N51" s="83"/>
      <c r="AA51" s="43" t="s">
        <v>5109</v>
      </c>
    </row>
    <row r="52" spans="1:29" s="40" customFormat="1" ht="33.75" x14ac:dyDescent="0.2">
      <c r="A52" s="79"/>
      <c r="B52" s="78" t="s">
        <v>5110</v>
      </c>
      <c r="C52" s="1768" t="s">
        <v>5111</v>
      </c>
      <c r="D52" s="1768"/>
      <c r="E52" s="1768"/>
      <c r="F52" s="80" t="s">
        <v>322</v>
      </c>
      <c r="G52" s="80" t="s">
        <v>897</v>
      </c>
      <c r="H52" s="80"/>
      <c r="I52" s="80" t="s">
        <v>897</v>
      </c>
      <c r="J52" s="81"/>
      <c r="K52" s="80"/>
      <c r="L52" s="81">
        <v>10645.24</v>
      </c>
      <c r="M52" s="82"/>
      <c r="N52" s="83"/>
      <c r="AA52" s="43" t="s">
        <v>5111</v>
      </c>
    </row>
    <row r="53" spans="1:29" s="40" customFormat="1" x14ac:dyDescent="0.2">
      <c r="A53" s="88"/>
      <c r="B53" s="101"/>
      <c r="C53" s="1809" t="s">
        <v>327</v>
      </c>
      <c r="D53" s="1809"/>
      <c r="E53" s="1809"/>
      <c r="F53" s="165"/>
      <c r="G53" s="165"/>
      <c r="H53" s="165"/>
      <c r="I53" s="165"/>
      <c r="J53" s="166"/>
      <c r="K53" s="165"/>
      <c r="L53" s="166">
        <v>153749.17000000001</v>
      </c>
      <c r="M53" s="171"/>
      <c r="N53" s="168"/>
      <c r="AC53" s="43" t="s">
        <v>327</v>
      </c>
    </row>
    <row r="54" spans="1:29" s="40" customFormat="1" x14ac:dyDescent="0.2">
      <c r="A54" s="163" t="s">
        <v>186</v>
      </c>
      <c r="B54" s="164" t="s">
        <v>5112</v>
      </c>
      <c r="C54" s="1809" t="s">
        <v>5113</v>
      </c>
      <c r="D54" s="1809"/>
      <c r="E54" s="1809"/>
      <c r="F54" s="165" t="s">
        <v>641</v>
      </c>
      <c r="G54" s="165"/>
      <c r="H54" s="165"/>
      <c r="I54" s="165" t="s">
        <v>5114</v>
      </c>
      <c r="J54" s="166">
        <v>135.6</v>
      </c>
      <c r="K54" s="165"/>
      <c r="L54" s="166">
        <v>-112785.3</v>
      </c>
      <c r="M54" s="167"/>
      <c r="N54" s="168"/>
      <c r="W54" s="43" t="s">
        <v>5113</v>
      </c>
    </row>
    <row r="55" spans="1:29" s="40" customFormat="1" x14ac:dyDescent="0.2">
      <c r="A55" s="88"/>
      <c r="B55" s="101"/>
      <c r="C55" s="48" t="s">
        <v>717</v>
      </c>
      <c r="D55" s="117"/>
      <c r="E55" s="117"/>
      <c r="F55" s="90"/>
      <c r="G55" s="90"/>
      <c r="H55" s="90"/>
      <c r="I55" s="90"/>
      <c r="J55" s="118"/>
      <c r="K55" s="90"/>
      <c r="L55" s="118"/>
      <c r="M55" s="119"/>
      <c r="N55" s="120"/>
    </row>
    <row r="56" spans="1:29" s="40" customFormat="1" ht="33.75" x14ac:dyDescent="0.2">
      <c r="A56" s="163" t="s">
        <v>187</v>
      </c>
      <c r="B56" s="164" t="s">
        <v>5115</v>
      </c>
      <c r="C56" s="1809" t="s">
        <v>5116</v>
      </c>
      <c r="D56" s="1809"/>
      <c r="E56" s="1809"/>
      <c r="F56" s="165" t="s">
        <v>862</v>
      </c>
      <c r="G56" s="165"/>
      <c r="H56" s="165"/>
      <c r="I56" s="165" t="s">
        <v>5103</v>
      </c>
      <c r="J56" s="166"/>
      <c r="K56" s="165"/>
      <c r="L56" s="166"/>
      <c r="M56" s="167"/>
      <c r="N56" s="168"/>
      <c r="W56" s="43" t="s">
        <v>5116</v>
      </c>
    </row>
    <row r="57" spans="1:29" s="40" customFormat="1" x14ac:dyDescent="0.2">
      <c r="A57" s="75"/>
      <c r="B57" s="76"/>
      <c r="C57" s="1768" t="s">
        <v>5104</v>
      </c>
      <c r="D57" s="1768"/>
      <c r="E57" s="1768"/>
      <c r="F57" s="1768"/>
      <c r="G57" s="1768"/>
      <c r="H57" s="1768"/>
      <c r="I57" s="1768"/>
      <c r="J57" s="1768"/>
      <c r="K57" s="1768"/>
      <c r="L57" s="1768"/>
      <c r="M57" s="1768"/>
      <c r="N57" s="1779"/>
      <c r="X57" s="43" t="s">
        <v>5104</v>
      </c>
    </row>
    <row r="58" spans="1:29" s="40" customFormat="1" ht="33.75" x14ac:dyDescent="0.2">
      <c r="A58" s="77"/>
      <c r="B58" s="78" t="s">
        <v>310</v>
      </c>
      <c r="C58" s="1768" t="s">
        <v>311</v>
      </c>
      <c r="D58" s="1768"/>
      <c r="E58" s="1768"/>
      <c r="F58" s="1768"/>
      <c r="G58" s="1768"/>
      <c r="H58" s="1768"/>
      <c r="I58" s="1768"/>
      <c r="J58" s="1768"/>
      <c r="K58" s="1768"/>
      <c r="L58" s="1768"/>
      <c r="M58" s="1768"/>
      <c r="N58" s="1779"/>
      <c r="Y58" s="43" t="s">
        <v>311</v>
      </c>
    </row>
    <row r="59" spans="1:29" s="40" customFormat="1" x14ac:dyDescent="0.2">
      <c r="A59" s="79"/>
      <c r="B59" s="78" t="s">
        <v>185</v>
      </c>
      <c r="C59" s="1768" t="s">
        <v>312</v>
      </c>
      <c r="D59" s="1768"/>
      <c r="E59" s="1768"/>
      <c r="F59" s="80"/>
      <c r="G59" s="80"/>
      <c r="H59" s="80"/>
      <c r="I59" s="80"/>
      <c r="J59" s="81">
        <v>43.43</v>
      </c>
      <c r="K59" s="80" t="s">
        <v>313</v>
      </c>
      <c r="L59" s="81">
        <v>3010.24</v>
      </c>
      <c r="M59" s="82"/>
      <c r="N59" s="83"/>
      <c r="Z59" s="43" t="s">
        <v>312</v>
      </c>
    </row>
    <row r="60" spans="1:29" s="40" customFormat="1" x14ac:dyDescent="0.2">
      <c r="A60" s="79"/>
      <c r="B60" s="78" t="s">
        <v>188</v>
      </c>
      <c r="C60" s="1768" t="s">
        <v>475</v>
      </c>
      <c r="D60" s="1768"/>
      <c r="E60" s="1768"/>
      <c r="F60" s="80"/>
      <c r="G60" s="80"/>
      <c r="H60" s="80"/>
      <c r="I60" s="80"/>
      <c r="J60" s="81">
        <v>678</v>
      </c>
      <c r="K60" s="80"/>
      <c r="L60" s="81">
        <v>37595.1</v>
      </c>
      <c r="M60" s="82"/>
      <c r="N60" s="83"/>
      <c r="Z60" s="43" t="s">
        <v>475</v>
      </c>
    </row>
    <row r="61" spans="1:29" s="40" customFormat="1" ht="22.5" x14ac:dyDescent="0.2">
      <c r="A61" s="79"/>
      <c r="B61" s="78"/>
      <c r="C61" s="1768" t="s">
        <v>314</v>
      </c>
      <c r="D61" s="1768"/>
      <c r="E61" s="1768"/>
      <c r="F61" s="80" t="s">
        <v>315</v>
      </c>
      <c r="G61" s="80" t="s">
        <v>5117</v>
      </c>
      <c r="H61" s="80" t="s">
        <v>313</v>
      </c>
      <c r="I61" s="80" t="s">
        <v>5118</v>
      </c>
      <c r="J61" s="81"/>
      <c r="K61" s="80"/>
      <c r="L61" s="81"/>
      <c r="M61" s="82"/>
      <c r="N61" s="83"/>
      <c r="AA61" s="43" t="s">
        <v>314</v>
      </c>
    </row>
    <row r="62" spans="1:29" s="40" customFormat="1" x14ac:dyDescent="0.2">
      <c r="A62" s="79"/>
      <c r="B62" s="78"/>
      <c r="C62" s="1808" t="s">
        <v>318</v>
      </c>
      <c r="D62" s="1808"/>
      <c r="E62" s="1808"/>
      <c r="F62" s="169"/>
      <c r="G62" s="169"/>
      <c r="H62" s="169"/>
      <c r="I62" s="169"/>
      <c r="J62" s="170">
        <v>721.43</v>
      </c>
      <c r="K62" s="169"/>
      <c r="L62" s="170">
        <v>40605.339999999997</v>
      </c>
      <c r="M62" s="171"/>
      <c r="N62" s="172"/>
      <c r="AB62" s="43" t="s">
        <v>318</v>
      </c>
    </row>
    <row r="63" spans="1:29" s="40" customFormat="1" x14ac:dyDescent="0.2">
      <c r="A63" s="79"/>
      <c r="B63" s="78"/>
      <c r="C63" s="1768" t="s">
        <v>319</v>
      </c>
      <c r="D63" s="1768"/>
      <c r="E63" s="1768"/>
      <c r="F63" s="80"/>
      <c r="G63" s="80"/>
      <c r="H63" s="80"/>
      <c r="I63" s="80"/>
      <c r="J63" s="81"/>
      <c r="K63" s="80"/>
      <c r="L63" s="81">
        <v>3010.24</v>
      </c>
      <c r="M63" s="82"/>
      <c r="N63" s="83"/>
      <c r="AA63" s="43" t="s">
        <v>319</v>
      </c>
    </row>
    <row r="64" spans="1:29" s="40" customFormat="1" ht="33.75" x14ac:dyDescent="0.2">
      <c r="A64" s="79"/>
      <c r="B64" s="78" t="s">
        <v>5108</v>
      </c>
      <c r="C64" s="1768" t="s">
        <v>5109</v>
      </c>
      <c r="D64" s="1768"/>
      <c r="E64" s="1768"/>
      <c r="F64" s="80" t="s">
        <v>322</v>
      </c>
      <c r="G64" s="80" t="s">
        <v>710</v>
      </c>
      <c r="H64" s="80"/>
      <c r="I64" s="80" t="s">
        <v>710</v>
      </c>
      <c r="J64" s="81"/>
      <c r="K64" s="80"/>
      <c r="L64" s="81">
        <v>3100.55</v>
      </c>
      <c r="M64" s="82"/>
      <c r="N64" s="83"/>
      <c r="AA64" s="43" t="s">
        <v>5109</v>
      </c>
    </row>
    <row r="65" spans="1:29" s="40" customFormat="1" ht="33.75" x14ac:dyDescent="0.2">
      <c r="A65" s="79"/>
      <c r="B65" s="78" t="s">
        <v>5110</v>
      </c>
      <c r="C65" s="1768" t="s">
        <v>5111</v>
      </c>
      <c r="D65" s="1768"/>
      <c r="E65" s="1768"/>
      <c r="F65" s="80" t="s">
        <v>322</v>
      </c>
      <c r="G65" s="80" t="s">
        <v>897</v>
      </c>
      <c r="H65" s="80"/>
      <c r="I65" s="80" t="s">
        <v>897</v>
      </c>
      <c r="J65" s="81"/>
      <c r="K65" s="80"/>
      <c r="L65" s="81">
        <v>2167.37</v>
      </c>
      <c r="M65" s="82"/>
      <c r="N65" s="83"/>
      <c r="AA65" s="43" t="s">
        <v>5111</v>
      </c>
    </row>
    <row r="66" spans="1:29" s="40" customFormat="1" x14ac:dyDescent="0.2">
      <c r="A66" s="88"/>
      <c r="B66" s="101"/>
      <c r="C66" s="1809" t="s">
        <v>327</v>
      </c>
      <c r="D66" s="1809"/>
      <c r="E66" s="1809"/>
      <c r="F66" s="165"/>
      <c r="G66" s="165"/>
      <c r="H66" s="165"/>
      <c r="I66" s="165"/>
      <c r="J66" s="166"/>
      <c r="K66" s="165"/>
      <c r="L66" s="166">
        <v>45873.26</v>
      </c>
      <c r="M66" s="171"/>
      <c r="N66" s="168"/>
      <c r="AC66" s="43" t="s">
        <v>327</v>
      </c>
    </row>
    <row r="67" spans="1:29" s="40" customFormat="1" x14ac:dyDescent="0.2">
      <c r="A67" s="163" t="s">
        <v>188</v>
      </c>
      <c r="B67" s="164" t="s">
        <v>5112</v>
      </c>
      <c r="C67" s="1809" t="s">
        <v>5113</v>
      </c>
      <c r="D67" s="1809"/>
      <c r="E67" s="1809"/>
      <c r="F67" s="165" t="s">
        <v>641</v>
      </c>
      <c r="G67" s="165"/>
      <c r="H67" s="165"/>
      <c r="I67" s="165" t="s">
        <v>5119</v>
      </c>
      <c r="J67" s="166">
        <v>135.6</v>
      </c>
      <c r="K67" s="165"/>
      <c r="L67" s="166">
        <v>-37595.1</v>
      </c>
      <c r="M67" s="167"/>
      <c r="N67" s="168"/>
      <c r="W67" s="43" t="s">
        <v>5113</v>
      </c>
    </row>
    <row r="68" spans="1:29" s="40" customFormat="1" x14ac:dyDescent="0.2">
      <c r="A68" s="88"/>
      <c r="B68" s="101"/>
      <c r="C68" s="48" t="s">
        <v>717</v>
      </c>
      <c r="D68" s="117"/>
      <c r="E68" s="117"/>
      <c r="F68" s="90"/>
      <c r="G68" s="90"/>
      <c r="H68" s="90"/>
      <c r="I68" s="90"/>
      <c r="J68" s="118"/>
      <c r="K68" s="90"/>
      <c r="L68" s="118"/>
      <c r="M68" s="119"/>
      <c r="N68" s="120"/>
    </row>
    <row r="69" spans="1:29" s="40" customFormat="1" ht="45" x14ac:dyDescent="0.2">
      <c r="A69" s="163" t="s">
        <v>189</v>
      </c>
      <c r="B69" s="164" t="s">
        <v>1009</v>
      </c>
      <c r="C69" s="1809" t="s">
        <v>1010</v>
      </c>
      <c r="D69" s="1809"/>
      <c r="E69" s="1809"/>
      <c r="F69" s="165" t="s">
        <v>201</v>
      </c>
      <c r="G69" s="165"/>
      <c r="H69" s="165"/>
      <c r="I69" s="165" t="s">
        <v>5120</v>
      </c>
      <c r="J69" s="166">
        <v>3.96</v>
      </c>
      <c r="K69" s="165"/>
      <c r="L69" s="166">
        <v>17036.71</v>
      </c>
      <c r="M69" s="167"/>
      <c r="N69" s="168"/>
      <c r="W69" s="43" t="s">
        <v>1010</v>
      </c>
    </row>
    <row r="70" spans="1:29" s="40" customFormat="1" x14ac:dyDescent="0.2">
      <c r="A70" s="88"/>
      <c r="B70" s="101"/>
      <c r="C70" s="48" t="s">
        <v>542</v>
      </c>
      <c r="D70" s="117"/>
      <c r="E70" s="117"/>
      <c r="F70" s="90"/>
      <c r="G70" s="90"/>
      <c r="H70" s="90"/>
      <c r="I70" s="90"/>
      <c r="J70" s="118"/>
      <c r="K70" s="90"/>
      <c r="L70" s="118"/>
      <c r="M70" s="119"/>
      <c r="N70" s="120"/>
    </row>
    <row r="71" spans="1:29" s="40" customFormat="1" x14ac:dyDescent="0.2">
      <c r="A71" s="75"/>
      <c r="B71" s="76"/>
      <c r="C71" s="1768" t="s">
        <v>5121</v>
      </c>
      <c r="D71" s="1768"/>
      <c r="E71" s="1768"/>
      <c r="F71" s="1768"/>
      <c r="G71" s="1768"/>
      <c r="H71" s="1768"/>
      <c r="I71" s="1768"/>
      <c r="J71" s="1768"/>
      <c r="K71" s="1768"/>
      <c r="L71" s="1768"/>
      <c r="M71" s="1768"/>
      <c r="N71" s="1779"/>
      <c r="X71" s="43" t="s">
        <v>5121</v>
      </c>
    </row>
    <row r="72" spans="1:29" s="40" customFormat="1" ht="45" x14ac:dyDescent="0.2">
      <c r="A72" s="163" t="s">
        <v>190</v>
      </c>
      <c r="B72" s="164" t="s">
        <v>469</v>
      </c>
      <c r="C72" s="1809" t="s">
        <v>470</v>
      </c>
      <c r="D72" s="1809"/>
      <c r="E72" s="1809"/>
      <c r="F72" s="165" t="s">
        <v>201</v>
      </c>
      <c r="G72" s="165"/>
      <c r="H72" s="165"/>
      <c r="I72" s="165" t="s">
        <v>5120</v>
      </c>
      <c r="J72" s="166">
        <v>12.6</v>
      </c>
      <c r="K72" s="165"/>
      <c r="L72" s="166">
        <v>54207.72</v>
      </c>
      <c r="M72" s="167"/>
      <c r="N72" s="168"/>
      <c r="W72" s="43" t="s">
        <v>470</v>
      </c>
    </row>
    <row r="73" spans="1:29" s="40" customFormat="1" x14ac:dyDescent="0.2">
      <c r="A73" s="75"/>
      <c r="B73" s="76"/>
      <c r="C73" s="1768" t="s">
        <v>5121</v>
      </c>
      <c r="D73" s="1768"/>
      <c r="E73" s="1768"/>
      <c r="F73" s="1768"/>
      <c r="G73" s="1768"/>
      <c r="H73" s="1768"/>
      <c r="I73" s="1768"/>
      <c r="J73" s="1768"/>
      <c r="K73" s="1768"/>
      <c r="L73" s="1768"/>
      <c r="M73" s="1768"/>
      <c r="N73" s="1779"/>
      <c r="X73" s="43" t="s">
        <v>5121</v>
      </c>
    </row>
    <row r="74" spans="1:29" s="40" customFormat="1" ht="22.5" x14ac:dyDescent="0.2">
      <c r="A74" s="163" t="s">
        <v>191</v>
      </c>
      <c r="B74" s="164" t="s">
        <v>5122</v>
      </c>
      <c r="C74" s="1809" t="s">
        <v>5123</v>
      </c>
      <c r="D74" s="1809"/>
      <c r="E74" s="1809"/>
      <c r="F74" s="165" t="s">
        <v>862</v>
      </c>
      <c r="G74" s="165"/>
      <c r="H74" s="165"/>
      <c r="I74" s="165" t="s">
        <v>5103</v>
      </c>
      <c r="J74" s="166"/>
      <c r="K74" s="165"/>
      <c r="L74" s="166"/>
      <c r="M74" s="167"/>
      <c r="N74" s="168"/>
      <c r="W74" s="43" t="s">
        <v>5123</v>
      </c>
    </row>
    <row r="75" spans="1:29" s="40" customFormat="1" x14ac:dyDescent="0.2">
      <c r="A75" s="75"/>
      <c r="B75" s="76"/>
      <c r="C75" s="1768" t="s">
        <v>5104</v>
      </c>
      <c r="D75" s="1768"/>
      <c r="E75" s="1768"/>
      <c r="F75" s="1768"/>
      <c r="G75" s="1768"/>
      <c r="H75" s="1768"/>
      <c r="I75" s="1768"/>
      <c r="J75" s="1768"/>
      <c r="K75" s="1768"/>
      <c r="L75" s="1768"/>
      <c r="M75" s="1768"/>
      <c r="N75" s="1779"/>
      <c r="X75" s="43" t="s">
        <v>5104</v>
      </c>
    </row>
    <row r="76" spans="1:29" s="40" customFormat="1" ht="33.75" x14ac:dyDescent="0.2">
      <c r="A76" s="77"/>
      <c r="B76" s="78" t="s">
        <v>310</v>
      </c>
      <c r="C76" s="1768" t="s">
        <v>311</v>
      </c>
      <c r="D76" s="1768"/>
      <c r="E76" s="1768"/>
      <c r="F76" s="1768"/>
      <c r="G76" s="1768"/>
      <c r="H76" s="1768"/>
      <c r="I76" s="1768"/>
      <c r="J76" s="1768"/>
      <c r="K76" s="1768"/>
      <c r="L76" s="1768"/>
      <c r="M76" s="1768"/>
      <c r="N76" s="1779"/>
      <c r="Y76" s="43" t="s">
        <v>311</v>
      </c>
    </row>
    <row r="77" spans="1:29" s="40" customFormat="1" x14ac:dyDescent="0.2">
      <c r="A77" s="79"/>
      <c r="B77" s="78" t="s">
        <v>185</v>
      </c>
      <c r="C77" s="1768" t="s">
        <v>312</v>
      </c>
      <c r="D77" s="1768"/>
      <c r="E77" s="1768"/>
      <c r="F77" s="80"/>
      <c r="G77" s="80"/>
      <c r="H77" s="80"/>
      <c r="I77" s="80"/>
      <c r="J77" s="81">
        <v>44.42</v>
      </c>
      <c r="K77" s="80" t="s">
        <v>313</v>
      </c>
      <c r="L77" s="81">
        <v>3078.86</v>
      </c>
      <c r="M77" s="82"/>
      <c r="N77" s="83"/>
      <c r="Z77" s="43" t="s">
        <v>312</v>
      </c>
    </row>
    <row r="78" spans="1:29" s="40" customFormat="1" x14ac:dyDescent="0.2">
      <c r="A78" s="79"/>
      <c r="B78" s="78" t="s">
        <v>186</v>
      </c>
      <c r="C78" s="1768" t="s">
        <v>344</v>
      </c>
      <c r="D78" s="1768"/>
      <c r="E78" s="1768"/>
      <c r="F78" s="80"/>
      <c r="G78" s="80"/>
      <c r="H78" s="80"/>
      <c r="I78" s="80"/>
      <c r="J78" s="81">
        <v>301.39999999999998</v>
      </c>
      <c r="K78" s="80" t="s">
        <v>313</v>
      </c>
      <c r="L78" s="81">
        <v>20890.79</v>
      </c>
      <c r="M78" s="82"/>
      <c r="N78" s="83"/>
      <c r="Z78" s="43" t="s">
        <v>344</v>
      </c>
    </row>
    <row r="79" spans="1:29" s="40" customFormat="1" x14ac:dyDescent="0.2">
      <c r="A79" s="79"/>
      <c r="B79" s="78" t="s">
        <v>187</v>
      </c>
      <c r="C79" s="1768" t="s">
        <v>345</v>
      </c>
      <c r="D79" s="1768"/>
      <c r="E79" s="1768"/>
      <c r="F79" s="80"/>
      <c r="G79" s="80"/>
      <c r="H79" s="80"/>
      <c r="I79" s="80"/>
      <c r="J79" s="81">
        <v>31.78</v>
      </c>
      <c r="K79" s="80" t="s">
        <v>313</v>
      </c>
      <c r="L79" s="81">
        <v>2202.75</v>
      </c>
      <c r="M79" s="82"/>
      <c r="N79" s="83"/>
      <c r="Z79" s="43" t="s">
        <v>345</v>
      </c>
    </row>
    <row r="80" spans="1:29" s="40" customFormat="1" x14ac:dyDescent="0.2">
      <c r="A80" s="79"/>
      <c r="B80" s="78" t="s">
        <v>188</v>
      </c>
      <c r="C80" s="1768" t="s">
        <v>475</v>
      </c>
      <c r="D80" s="1768"/>
      <c r="E80" s="1768"/>
      <c r="F80" s="80"/>
      <c r="G80" s="80"/>
      <c r="H80" s="80"/>
      <c r="I80" s="80"/>
      <c r="J80" s="81">
        <v>24.4</v>
      </c>
      <c r="K80" s="80"/>
      <c r="L80" s="81">
        <v>1352.98</v>
      </c>
      <c r="M80" s="82"/>
      <c r="N80" s="83"/>
      <c r="Z80" s="43" t="s">
        <v>475</v>
      </c>
    </row>
    <row r="81" spans="1:32" s="40" customFormat="1" x14ac:dyDescent="0.2">
      <c r="A81" s="75"/>
      <c r="B81" s="114" t="s">
        <v>4077</v>
      </c>
      <c r="C81" s="1804" t="s">
        <v>5124</v>
      </c>
      <c r="D81" s="1804"/>
      <c r="E81" s="1804"/>
      <c r="F81" s="115" t="s">
        <v>699</v>
      </c>
      <c r="G81" s="115" t="s">
        <v>186</v>
      </c>
      <c r="H81" s="115"/>
      <c r="I81" s="115" t="s">
        <v>5125</v>
      </c>
      <c r="J81" s="78"/>
      <c r="K81" s="80"/>
      <c r="L81" s="81"/>
      <c r="M81" s="80"/>
      <c r="N81" s="116"/>
      <c r="AD81" s="43" t="s">
        <v>5124</v>
      </c>
    </row>
    <row r="82" spans="1:32" s="40" customFormat="1" ht="22.5" x14ac:dyDescent="0.2">
      <c r="A82" s="79"/>
      <c r="B82" s="78"/>
      <c r="C82" s="1768" t="s">
        <v>314</v>
      </c>
      <c r="D82" s="1768"/>
      <c r="E82" s="1768"/>
      <c r="F82" s="80" t="s">
        <v>315</v>
      </c>
      <c r="G82" s="80" t="s">
        <v>2464</v>
      </c>
      <c r="H82" s="80" t="s">
        <v>313</v>
      </c>
      <c r="I82" s="80" t="s">
        <v>5126</v>
      </c>
      <c r="J82" s="81"/>
      <c r="K82" s="80"/>
      <c r="L82" s="81"/>
      <c r="M82" s="82"/>
      <c r="N82" s="83"/>
      <c r="AA82" s="43" t="s">
        <v>314</v>
      </c>
    </row>
    <row r="83" spans="1:32" s="40" customFormat="1" x14ac:dyDescent="0.2">
      <c r="A83" s="79"/>
      <c r="B83" s="78"/>
      <c r="C83" s="1768" t="s">
        <v>348</v>
      </c>
      <c r="D83" s="1768"/>
      <c r="E83" s="1768"/>
      <c r="F83" s="80" t="s">
        <v>315</v>
      </c>
      <c r="G83" s="80" t="s">
        <v>5127</v>
      </c>
      <c r="H83" s="80" t="s">
        <v>313</v>
      </c>
      <c r="I83" s="80" t="s">
        <v>5128</v>
      </c>
      <c r="J83" s="81"/>
      <c r="K83" s="80"/>
      <c r="L83" s="81"/>
      <c r="M83" s="82"/>
      <c r="N83" s="83"/>
      <c r="AA83" s="43" t="s">
        <v>348</v>
      </c>
    </row>
    <row r="84" spans="1:32" s="40" customFormat="1" x14ac:dyDescent="0.2">
      <c r="A84" s="79"/>
      <c r="B84" s="78"/>
      <c r="C84" s="1808" t="s">
        <v>318</v>
      </c>
      <c r="D84" s="1808"/>
      <c r="E84" s="1808"/>
      <c r="F84" s="169"/>
      <c r="G84" s="169"/>
      <c r="H84" s="169"/>
      <c r="I84" s="169"/>
      <c r="J84" s="170">
        <v>370.22</v>
      </c>
      <c r="K84" s="169"/>
      <c r="L84" s="170">
        <v>25322.63</v>
      </c>
      <c r="M84" s="171"/>
      <c r="N84" s="172"/>
      <c r="AB84" s="43" t="s">
        <v>318</v>
      </c>
    </row>
    <row r="85" spans="1:32" s="40" customFormat="1" x14ac:dyDescent="0.2">
      <c r="A85" s="79"/>
      <c r="B85" s="78"/>
      <c r="C85" s="1768" t="s">
        <v>319</v>
      </c>
      <c r="D85" s="1768"/>
      <c r="E85" s="1768"/>
      <c r="F85" s="80"/>
      <c r="G85" s="80"/>
      <c r="H85" s="80"/>
      <c r="I85" s="80"/>
      <c r="J85" s="81"/>
      <c r="K85" s="80"/>
      <c r="L85" s="81">
        <v>5281.61</v>
      </c>
      <c r="M85" s="82"/>
      <c r="N85" s="83"/>
      <c r="AA85" s="43" t="s">
        <v>319</v>
      </c>
    </row>
    <row r="86" spans="1:32" s="40" customFormat="1" ht="33.75" x14ac:dyDescent="0.2">
      <c r="A86" s="79"/>
      <c r="B86" s="78" t="s">
        <v>5108</v>
      </c>
      <c r="C86" s="1768" t="s">
        <v>5109</v>
      </c>
      <c r="D86" s="1768"/>
      <c r="E86" s="1768"/>
      <c r="F86" s="80" t="s">
        <v>322</v>
      </c>
      <c r="G86" s="80" t="s">
        <v>710</v>
      </c>
      <c r="H86" s="80"/>
      <c r="I86" s="80" t="s">
        <v>710</v>
      </c>
      <c r="J86" s="81"/>
      <c r="K86" s="80"/>
      <c r="L86" s="81">
        <v>5440.06</v>
      </c>
      <c r="M86" s="82"/>
      <c r="N86" s="83"/>
      <c r="AA86" s="43" t="s">
        <v>5109</v>
      </c>
    </row>
    <row r="87" spans="1:32" s="40" customFormat="1" ht="33.75" x14ac:dyDescent="0.2">
      <c r="A87" s="79"/>
      <c r="B87" s="78" t="s">
        <v>5110</v>
      </c>
      <c r="C87" s="1768" t="s">
        <v>5111</v>
      </c>
      <c r="D87" s="1768"/>
      <c r="E87" s="1768"/>
      <c r="F87" s="80" t="s">
        <v>322</v>
      </c>
      <c r="G87" s="80" t="s">
        <v>897</v>
      </c>
      <c r="H87" s="80"/>
      <c r="I87" s="80" t="s">
        <v>897</v>
      </c>
      <c r="J87" s="81"/>
      <c r="K87" s="80"/>
      <c r="L87" s="81">
        <v>3802.76</v>
      </c>
      <c r="M87" s="82"/>
      <c r="N87" s="83"/>
      <c r="AA87" s="43" t="s">
        <v>5111</v>
      </c>
    </row>
    <row r="88" spans="1:32" s="40" customFormat="1" x14ac:dyDescent="0.2">
      <c r="A88" s="88"/>
      <c r="B88" s="101"/>
      <c r="C88" s="1809" t="s">
        <v>327</v>
      </c>
      <c r="D88" s="1809"/>
      <c r="E88" s="1809"/>
      <c r="F88" s="165"/>
      <c r="G88" s="165"/>
      <c r="H88" s="165"/>
      <c r="I88" s="165"/>
      <c r="J88" s="166"/>
      <c r="K88" s="165"/>
      <c r="L88" s="166">
        <v>34565.449999999997</v>
      </c>
      <c r="M88" s="171"/>
      <c r="N88" s="168"/>
      <c r="AC88" s="43" t="s">
        <v>327</v>
      </c>
    </row>
    <row r="89" spans="1:32" s="40" customFormat="1" x14ac:dyDescent="0.2">
      <c r="A89" s="163" t="s">
        <v>192</v>
      </c>
      <c r="B89" s="164" t="s">
        <v>4080</v>
      </c>
      <c r="C89" s="1809" t="s">
        <v>4081</v>
      </c>
      <c r="D89" s="1809"/>
      <c r="E89" s="1809"/>
      <c r="F89" s="165" t="s">
        <v>699</v>
      </c>
      <c r="G89" s="165"/>
      <c r="H89" s="165"/>
      <c r="I89" s="165" t="s">
        <v>5125</v>
      </c>
      <c r="J89" s="166">
        <v>77.59</v>
      </c>
      <c r="K89" s="165"/>
      <c r="L89" s="166">
        <v>8604.73</v>
      </c>
      <c r="M89" s="167"/>
      <c r="N89" s="168"/>
      <c r="W89" s="43" t="s">
        <v>4081</v>
      </c>
    </row>
    <row r="90" spans="1:32" s="40" customFormat="1" x14ac:dyDescent="0.2">
      <c r="A90" s="88"/>
      <c r="B90" s="101"/>
      <c r="C90" s="48" t="s">
        <v>717</v>
      </c>
      <c r="D90" s="117"/>
      <c r="E90" s="117"/>
      <c r="F90" s="90"/>
      <c r="G90" s="90"/>
      <c r="H90" s="90"/>
      <c r="I90" s="90"/>
      <c r="J90" s="118"/>
      <c r="K90" s="90"/>
      <c r="L90" s="118"/>
      <c r="M90" s="119"/>
      <c r="N90" s="120"/>
    </row>
    <row r="91" spans="1:32" s="40" customFormat="1" ht="1.5" customHeight="1" x14ac:dyDescent="0.2">
      <c r="A91" s="90"/>
      <c r="B91" s="101"/>
      <c r="C91" s="101"/>
      <c r="D91" s="101"/>
      <c r="E91" s="101"/>
      <c r="F91" s="90"/>
      <c r="G91" s="90"/>
      <c r="H91" s="90"/>
      <c r="I91" s="90"/>
      <c r="J91" s="91"/>
      <c r="K91" s="90"/>
      <c r="L91" s="91"/>
      <c r="M91" s="80"/>
      <c r="N91" s="91"/>
    </row>
    <row r="92" spans="1:32" s="40" customFormat="1" x14ac:dyDescent="0.2">
      <c r="A92" s="173"/>
      <c r="B92" s="174"/>
      <c r="C92" s="1809" t="s">
        <v>5129</v>
      </c>
      <c r="D92" s="1809"/>
      <c r="E92" s="1809"/>
      <c r="F92" s="1809"/>
      <c r="G92" s="1809"/>
      <c r="H92" s="1809"/>
      <c r="I92" s="1809"/>
      <c r="J92" s="1809"/>
      <c r="K92" s="1809"/>
      <c r="L92" s="175"/>
      <c r="M92" s="176"/>
      <c r="N92" s="177"/>
      <c r="AE92" s="43" t="s">
        <v>5129</v>
      </c>
    </row>
    <row r="93" spans="1:32" s="40" customFormat="1" x14ac:dyDescent="0.2">
      <c r="A93" s="97"/>
      <c r="B93" s="78"/>
      <c r="C93" s="1768" t="s">
        <v>403</v>
      </c>
      <c r="D93" s="1768"/>
      <c r="E93" s="1768"/>
      <c r="F93" s="1768"/>
      <c r="G93" s="1768"/>
      <c r="H93" s="1768"/>
      <c r="I93" s="1768"/>
      <c r="J93" s="1768"/>
      <c r="K93" s="1768"/>
      <c r="L93" s="98">
        <v>123272.06</v>
      </c>
      <c r="M93" s="99"/>
      <c r="N93" s="100"/>
      <c r="AF93" s="43" t="s">
        <v>403</v>
      </c>
    </row>
    <row r="94" spans="1:32" s="40" customFormat="1" x14ac:dyDescent="0.2">
      <c r="A94" s="97"/>
      <c r="B94" s="78"/>
      <c r="C94" s="1768" t="s">
        <v>204</v>
      </c>
      <c r="D94" s="1768"/>
      <c r="E94" s="1768"/>
      <c r="F94" s="1768"/>
      <c r="G94" s="1768"/>
      <c r="H94" s="1768"/>
      <c r="I94" s="1768"/>
      <c r="J94" s="1768"/>
      <c r="K94" s="1768"/>
      <c r="L94" s="98"/>
      <c r="M94" s="99"/>
      <c r="N94" s="100"/>
      <c r="AF94" s="43" t="s">
        <v>204</v>
      </c>
    </row>
    <row r="95" spans="1:32" s="40" customFormat="1" x14ac:dyDescent="0.2">
      <c r="A95" s="97"/>
      <c r="B95" s="78"/>
      <c r="C95" s="1768" t="s">
        <v>404</v>
      </c>
      <c r="D95" s="1768"/>
      <c r="E95" s="1768"/>
      <c r="F95" s="1768"/>
      <c r="G95" s="1768"/>
      <c r="H95" s="1768"/>
      <c r="I95" s="1768"/>
      <c r="J95" s="1768"/>
      <c r="K95" s="1768"/>
      <c r="L95" s="98">
        <v>20827.02</v>
      </c>
      <c r="M95" s="99"/>
      <c r="N95" s="100"/>
      <c r="AF95" s="43" t="s">
        <v>404</v>
      </c>
    </row>
    <row r="96" spans="1:32" s="40" customFormat="1" x14ac:dyDescent="0.2">
      <c r="A96" s="97"/>
      <c r="B96" s="78"/>
      <c r="C96" s="1768" t="s">
        <v>405</v>
      </c>
      <c r="D96" s="1768"/>
      <c r="E96" s="1768"/>
      <c r="F96" s="1768"/>
      <c r="G96" s="1768"/>
      <c r="H96" s="1768"/>
      <c r="I96" s="1768"/>
      <c r="J96" s="1768"/>
      <c r="K96" s="1768"/>
      <c r="L96" s="98">
        <v>75450.62</v>
      </c>
      <c r="M96" s="99"/>
      <c r="N96" s="100"/>
      <c r="AF96" s="43" t="s">
        <v>405</v>
      </c>
    </row>
    <row r="97" spans="1:33" s="40" customFormat="1" x14ac:dyDescent="0.2">
      <c r="A97" s="97"/>
      <c r="B97" s="78"/>
      <c r="C97" s="1768" t="s">
        <v>406</v>
      </c>
      <c r="D97" s="1768"/>
      <c r="E97" s="1768"/>
      <c r="F97" s="1768"/>
      <c r="G97" s="1768"/>
      <c r="H97" s="1768"/>
      <c r="I97" s="1768"/>
      <c r="J97" s="1768"/>
      <c r="K97" s="1768"/>
      <c r="L97" s="98">
        <v>2249.88</v>
      </c>
      <c r="M97" s="99"/>
      <c r="N97" s="100"/>
      <c r="AF97" s="43" t="s">
        <v>406</v>
      </c>
    </row>
    <row r="98" spans="1:33" s="40" customFormat="1" x14ac:dyDescent="0.2">
      <c r="A98" s="97"/>
      <c r="B98" s="78"/>
      <c r="C98" s="1768" t="s">
        <v>480</v>
      </c>
      <c r="D98" s="1768"/>
      <c r="E98" s="1768"/>
      <c r="F98" s="1768"/>
      <c r="G98" s="1768"/>
      <c r="H98" s="1768"/>
      <c r="I98" s="1768"/>
      <c r="J98" s="1768"/>
      <c r="K98" s="1768"/>
      <c r="L98" s="98">
        <v>26994.42</v>
      </c>
      <c r="M98" s="99"/>
      <c r="N98" s="100"/>
      <c r="AF98" s="43" t="s">
        <v>480</v>
      </c>
    </row>
    <row r="99" spans="1:33" s="40" customFormat="1" x14ac:dyDescent="0.2">
      <c r="A99" s="97"/>
      <c r="B99" s="78"/>
      <c r="C99" s="1768" t="s">
        <v>407</v>
      </c>
      <c r="D99" s="1768"/>
      <c r="E99" s="1768"/>
      <c r="F99" s="1768"/>
      <c r="G99" s="1768"/>
      <c r="H99" s="1768"/>
      <c r="I99" s="1768"/>
      <c r="J99" s="1768"/>
      <c r="K99" s="1768"/>
      <c r="L99" s="98">
        <v>163656.64000000001</v>
      </c>
      <c r="M99" s="99"/>
      <c r="N99" s="100"/>
      <c r="AF99" s="43" t="s">
        <v>407</v>
      </c>
    </row>
    <row r="100" spans="1:33" s="40" customFormat="1" x14ac:dyDescent="0.2">
      <c r="A100" s="97"/>
      <c r="B100" s="78" t="s">
        <v>185</v>
      </c>
      <c r="C100" s="1768" t="s">
        <v>408</v>
      </c>
      <c r="D100" s="1768"/>
      <c r="E100" s="1768"/>
      <c r="F100" s="1768"/>
      <c r="G100" s="1768"/>
      <c r="H100" s="1768"/>
      <c r="I100" s="1768"/>
      <c r="J100" s="1768"/>
      <c r="K100" s="1768"/>
      <c r="L100" s="98">
        <v>109448.92</v>
      </c>
      <c r="M100" s="99"/>
      <c r="N100" s="100"/>
      <c r="AF100" s="43" t="s">
        <v>408</v>
      </c>
    </row>
    <row r="101" spans="1:33" s="40" customFormat="1" x14ac:dyDescent="0.2">
      <c r="A101" s="97"/>
      <c r="B101" s="78"/>
      <c r="C101" s="1768" t="s">
        <v>409</v>
      </c>
      <c r="D101" s="1768"/>
      <c r="E101" s="1768"/>
      <c r="F101" s="1768"/>
      <c r="G101" s="1768"/>
      <c r="H101" s="1768"/>
      <c r="I101" s="1768"/>
      <c r="J101" s="1768"/>
      <c r="K101" s="1768"/>
      <c r="L101" s="98"/>
      <c r="M101" s="99"/>
      <c r="N101" s="100"/>
      <c r="AF101" s="43" t="s">
        <v>409</v>
      </c>
    </row>
    <row r="102" spans="1:33" s="40" customFormat="1" x14ac:dyDescent="0.2">
      <c r="A102" s="97"/>
      <c r="B102" s="78"/>
      <c r="C102" s="1768" t="s">
        <v>410</v>
      </c>
      <c r="D102" s="1768"/>
      <c r="E102" s="1768"/>
      <c r="F102" s="1768"/>
      <c r="G102" s="1768"/>
      <c r="H102" s="1768"/>
      <c r="I102" s="1768"/>
      <c r="J102" s="1768"/>
      <c r="K102" s="1768"/>
      <c r="L102" s="98">
        <v>20827.02</v>
      </c>
      <c r="M102" s="99"/>
      <c r="N102" s="100"/>
      <c r="AF102" s="43" t="s">
        <v>410</v>
      </c>
    </row>
    <row r="103" spans="1:33" s="40" customFormat="1" x14ac:dyDescent="0.2">
      <c r="A103" s="97"/>
      <c r="B103" s="78"/>
      <c r="C103" s="1768" t="s">
        <v>411</v>
      </c>
      <c r="D103" s="1768"/>
      <c r="E103" s="1768"/>
      <c r="F103" s="1768"/>
      <c r="G103" s="1768"/>
      <c r="H103" s="1768"/>
      <c r="I103" s="1768"/>
      <c r="J103" s="1768"/>
      <c r="K103" s="1768"/>
      <c r="L103" s="98">
        <v>21242.9</v>
      </c>
      <c r="M103" s="99"/>
      <c r="N103" s="100"/>
      <c r="AF103" s="43" t="s">
        <v>411</v>
      </c>
    </row>
    <row r="104" spans="1:33" s="40" customFormat="1" x14ac:dyDescent="0.2">
      <c r="A104" s="97"/>
      <c r="B104" s="78"/>
      <c r="C104" s="1768" t="s">
        <v>481</v>
      </c>
      <c r="D104" s="1768"/>
      <c r="E104" s="1768"/>
      <c r="F104" s="1768"/>
      <c r="G104" s="1768"/>
      <c r="H104" s="1768"/>
      <c r="I104" s="1768"/>
      <c r="J104" s="1768"/>
      <c r="K104" s="1768"/>
      <c r="L104" s="98">
        <v>26994.42</v>
      </c>
      <c r="M104" s="99"/>
      <c r="N104" s="100"/>
      <c r="AF104" s="43" t="s">
        <v>481</v>
      </c>
    </row>
    <row r="105" spans="1:33" s="40" customFormat="1" x14ac:dyDescent="0.2">
      <c r="A105" s="97"/>
      <c r="B105" s="78"/>
      <c r="C105" s="1768" t="s">
        <v>412</v>
      </c>
      <c r="D105" s="1768"/>
      <c r="E105" s="1768"/>
      <c r="F105" s="1768"/>
      <c r="G105" s="1768"/>
      <c r="H105" s="1768"/>
      <c r="I105" s="1768"/>
      <c r="J105" s="1768"/>
      <c r="K105" s="1768"/>
      <c r="L105" s="98">
        <v>23769.21</v>
      </c>
      <c r="M105" s="99"/>
      <c r="N105" s="100"/>
      <c r="AF105" s="43" t="s">
        <v>412</v>
      </c>
    </row>
    <row r="106" spans="1:33" s="40" customFormat="1" x14ac:dyDescent="0.2">
      <c r="A106" s="97"/>
      <c r="B106" s="78"/>
      <c r="C106" s="1768" t="s">
        <v>413</v>
      </c>
      <c r="D106" s="1768"/>
      <c r="E106" s="1768"/>
      <c r="F106" s="1768"/>
      <c r="G106" s="1768"/>
      <c r="H106" s="1768"/>
      <c r="I106" s="1768"/>
      <c r="J106" s="1768"/>
      <c r="K106" s="1768"/>
      <c r="L106" s="98">
        <v>16615.37</v>
      </c>
      <c r="M106" s="99"/>
      <c r="N106" s="100"/>
      <c r="AF106" s="43" t="s">
        <v>413</v>
      </c>
    </row>
    <row r="107" spans="1:33" s="40" customFormat="1" x14ac:dyDescent="0.2">
      <c r="A107" s="97"/>
      <c r="B107" s="78" t="s">
        <v>185</v>
      </c>
      <c r="C107" s="1768" t="s">
        <v>414</v>
      </c>
      <c r="D107" s="1768"/>
      <c r="E107" s="1768"/>
      <c r="F107" s="1768"/>
      <c r="G107" s="1768"/>
      <c r="H107" s="1768"/>
      <c r="I107" s="1768"/>
      <c r="J107" s="1768"/>
      <c r="K107" s="1768"/>
      <c r="L107" s="98">
        <v>54207.72</v>
      </c>
      <c r="M107" s="99"/>
      <c r="N107" s="100"/>
      <c r="AF107" s="43" t="s">
        <v>414</v>
      </c>
    </row>
    <row r="108" spans="1:33" s="40" customFormat="1" x14ac:dyDescent="0.2">
      <c r="A108" s="97"/>
      <c r="B108" s="78"/>
      <c r="C108" s="1768" t="s">
        <v>415</v>
      </c>
      <c r="D108" s="1768"/>
      <c r="E108" s="1768"/>
      <c r="F108" s="1768"/>
      <c r="G108" s="1768"/>
      <c r="H108" s="1768"/>
      <c r="I108" s="1768"/>
      <c r="J108" s="1768"/>
      <c r="K108" s="1768"/>
      <c r="L108" s="98">
        <v>23076.9</v>
      </c>
      <c r="M108" s="99"/>
      <c r="N108" s="100"/>
      <c r="AF108" s="43" t="s">
        <v>415</v>
      </c>
    </row>
    <row r="109" spans="1:33" s="40" customFormat="1" x14ac:dyDescent="0.2">
      <c r="A109" s="97"/>
      <c r="B109" s="78"/>
      <c r="C109" s="1768" t="s">
        <v>416</v>
      </c>
      <c r="D109" s="1768"/>
      <c r="E109" s="1768"/>
      <c r="F109" s="1768"/>
      <c r="G109" s="1768"/>
      <c r="H109" s="1768"/>
      <c r="I109" s="1768"/>
      <c r="J109" s="1768"/>
      <c r="K109" s="1768"/>
      <c r="L109" s="98">
        <v>23769.21</v>
      </c>
      <c r="M109" s="99"/>
      <c r="N109" s="100"/>
      <c r="AF109" s="43" t="s">
        <v>416</v>
      </c>
    </row>
    <row r="110" spans="1:33" s="40" customFormat="1" x14ac:dyDescent="0.2">
      <c r="A110" s="97"/>
      <c r="B110" s="78"/>
      <c r="C110" s="1768" t="s">
        <v>417</v>
      </c>
      <c r="D110" s="1768"/>
      <c r="E110" s="1768"/>
      <c r="F110" s="1768"/>
      <c r="G110" s="1768"/>
      <c r="H110" s="1768"/>
      <c r="I110" s="1768"/>
      <c r="J110" s="1768"/>
      <c r="K110" s="1768"/>
      <c r="L110" s="98">
        <v>16615.37</v>
      </c>
      <c r="M110" s="99"/>
      <c r="N110" s="100"/>
      <c r="AF110" s="43" t="s">
        <v>417</v>
      </c>
    </row>
    <row r="111" spans="1:33" s="40" customFormat="1" x14ac:dyDescent="0.2">
      <c r="A111" s="97"/>
      <c r="B111" s="91"/>
      <c r="C111" s="1787" t="s">
        <v>5130</v>
      </c>
      <c r="D111" s="1787"/>
      <c r="E111" s="1787"/>
      <c r="F111" s="1787"/>
      <c r="G111" s="1787"/>
      <c r="H111" s="1787"/>
      <c r="I111" s="1787"/>
      <c r="J111" s="1787"/>
      <c r="K111" s="1787"/>
      <c r="L111" s="102">
        <v>163656.64000000001</v>
      </c>
      <c r="M111" s="103"/>
      <c r="N111" s="104"/>
      <c r="AG111" s="43" t="s">
        <v>5130</v>
      </c>
    </row>
    <row r="112" spans="1:33" s="40" customFormat="1" ht="12" x14ac:dyDescent="0.2">
      <c r="A112" s="1967" t="s">
        <v>5131</v>
      </c>
      <c r="B112" s="1968"/>
      <c r="C112" s="1968"/>
      <c r="D112" s="1968"/>
      <c r="E112" s="1968"/>
      <c r="F112" s="1968"/>
      <c r="G112" s="1968"/>
      <c r="H112" s="1968"/>
      <c r="I112" s="1968"/>
      <c r="J112" s="1968"/>
      <c r="K112" s="1968"/>
      <c r="L112" s="1968"/>
      <c r="M112" s="1968"/>
      <c r="N112" s="1969"/>
      <c r="V112" s="43" t="s">
        <v>5131</v>
      </c>
    </row>
    <row r="113" spans="1:30" s="40" customFormat="1" ht="33.75" x14ac:dyDescent="0.2">
      <c r="A113" s="163" t="s">
        <v>193</v>
      </c>
      <c r="B113" s="164" t="s">
        <v>4075</v>
      </c>
      <c r="C113" s="1809" t="s">
        <v>4076</v>
      </c>
      <c r="D113" s="1809"/>
      <c r="E113" s="1809"/>
      <c r="F113" s="165" t="s">
        <v>862</v>
      </c>
      <c r="G113" s="165"/>
      <c r="H113" s="165"/>
      <c r="I113" s="165" t="s">
        <v>5132</v>
      </c>
      <c r="J113" s="166"/>
      <c r="K113" s="165"/>
      <c r="L113" s="166"/>
      <c r="M113" s="167"/>
      <c r="N113" s="168"/>
      <c r="W113" s="43" t="s">
        <v>4076</v>
      </c>
    </row>
    <row r="114" spans="1:30" s="40" customFormat="1" x14ac:dyDescent="0.2">
      <c r="A114" s="75"/>
      <c r="B114" s="76"/>
      <c r="C114" s="1768" t="s">
        <v>5133</v>
      </c>
      <c r="D114" s="1768"/>
      <c r="E114" s="1768"/>
      <c r="F114" s="1768"/>
      <c r="G114" s="1768"/>
      <c r="H114" s="1768"/>
      <c r="I114" s="1768"/>
      <c r="J114" s="1768"/>
      <c r="K114" s="1768"/>
      <c r="L114" s="1768"/>
      <c r="M114" s="1768"/>
      <c r="N114" s="1779"/>
      <c r="X114" s="43" t="s">
        <v>5133</v>
      </c>
    </row>
    <row r="115" spans="1:30" s="40" customFormat="1" ht="33.75" x14ac:dyDescent="0.2">
      <c r="A115" s="77"/>
      <c r="B115" s="78" t="s">
        <v>310</v>
      </c>
      <c r="C115" s="1768" t="s">
        <v>311</v>
      </c>
      <c r="D115" s="1768"/>
      <c r="E115" s="1768"/>
      <c r="F115" s="1768"/>
      <c r="G115" s="1768"/>
      <c r="H115" s="1768"/>
      <c r="I115" s="1768"/>
      <c r="J115" s="1768"/>
      <c r="K115" s="1768"/>
      <c r="L115" s="1768"/>
      <c r="M115" s="1768"/>
      <c r="N115" s="1779"/>
      <c r="Y115" s="43" t="s">
        <v>311</v>
      </c>
    </row>
    <row r="116" spans="1:30" s="40" customFormat="1" x14ac:dyDescent="0.2">
      <c r="A116" s="79"/>
      <c r="B116" s="78" t="s">
        <v>186</v>
      </c>
      <c r="C116" s="1768" t="s">
        <v>344</v>
      </c>
      <c r="D116" s="1768"/>
      <c r="E116" s="1768"/>
      <c r="F116" s="80"/>
      <c r="G116" s="80"/>
      <c r="H116" s="80"/>
      <c r="I116" s="80"/>
      <c r="J116" s="81">
        <v>255.18</v>
      </c>
      <c r="K116" s="80" t="s">
        <v>313</v>
      </c>
      <c r="L116" s="81">
        <v>31316.97</v>
      </c>
      <c r="M116" s="82"/>
      <c r="N116" s="83"/>
      <c r="Z116" s="43" t="s">
        <v>344</v>
      </c>
    </row>
    <row r="117" spans="1:30" s="40" customFormat="1" x14ac:dyDescent="0.2">
      <c r="A117" s="79"/>
      <c r="B117" s="78" t="s">
        <v>187</v>
      </c>
      <c r="C117" s="1768" t="s">
        <v>345</v>
      </c>
      <c r="D117" s="1768"/>
      <c r="E117" s="1768"/>
      <c r="F117" s="80"/>
      <c r="G117" s="80"/>
      <c r="H117" s="80"/>
      <c r="I117" s="80"/>
      <c r="J117" s="81">
        <v>29.05</v>
      </c>
      <c r="K117" s="80" t="s">
        <v>313</v>
      </c>
      <c r="L117" s="81">
        <v>3565.16</v>
      </c>
      <c r="M117" s="82"/>
      <c r="N117" s="83"/>
      <c r="Z117" s="43" t="s">
        <v>345</v>
      </c>
    </row>
    <row r="118" spans="1:30" s="40" customFormat="1" x14ac:dyDescent="0.2">
      <c r="A118" s="79"/>
      <c r="B118" s="78" t="s">
        <v>188</v>
      </c>
      <c r="C118" s="1768" t="s">
        <v>475</v>
      </c>
      <c r="D118" s="1768"/>
      <c r="E118" s="1768"/>
      <c r="F118" s="80"/>
      <c r="G118" s="80"/>
      <c r="H118" s="80"/>
      <c r="I118" s="80"/>
      <c r="J118" s="81">
        <v>5.03</v>
      </c>
      <c r="K118" s="80"/>
      <c r="L118" s="81">
        <v>493.85</v>
      </c>
      <c r="M118" s="82"/>
      <c r="N118" s="83"/>
      <c r="Z118" s="43" t="s">
        <v>475</v>
      </c>
    </row>
    <row r="119" spans="1:30" s="40" customFormat="1" x14ac:dyDescent="0.2">
      <c r="A119" s="75"/>
      <c r="B119" s="114" t="s">
        <v>4077</v>
      </c>
      <c r="C119" s="1804" t="s">
        <v>4078</v>
      </c>
      <c r="D119" s="1804"/>
      <c r="E119" s="1804"/>
      <c r="F119" s="115" t="s">
        <v>699</v>
      </c>
      <c r="G119" s="115" t="s">
        <v>1217</v>
      </c>
      <c r="H119" s="115"/>
      <c r="I119" s="115" t="s">
        <v>5134</v>
      </c>
      <c r="J119" s="78"/>
      <c r="K119" s="80"/>
      <c r="L119" s="81"/>
      <c r="M119" s="80"/>
      <c r="N119" s="116"/>
      <c r="AD119" s="43" t="s">
        <v>4078</v>
      </c>
    </row>
    <row r="120" spans="1:30" s="40" customFormat="1" x14ac:dyDescent="0.2">
      <c r="A120" s="79"/>
      <c r="B120" s="78"/>
      <c r="C120" s="1768" t="s">
        <v>348</v>
      </c>
      <c r="D120" s="1768"/>
      <c r="E120" s="1768"/>
      <c r="F120" s="80" t="s">
        <v>315</v>
      </c>
      <c r="G120" s="80" t="s">
        <v>4079</v>
      </c>
      <c r="H120" s="80" t="s">
        <v>313</v>
      </c>
      <c r="I120" s="80" t="s">
        <v>5134</v>
      </c>
      <c r="J120" s="81"/>
      <c r="K120" s="80"/>
      <c r="L120" s="81"/>
      <c r="M120" s="82"/>
      <c r="N120" s="83"/>
      <c r="AA120" s="43" t="s">
        <v>348</v>
      </c>
    </row>
    <row r="121" spans="1:30" s="40" customFormat="1" x14ac:dyDescent="0.2">
      <c r="A121" s="79"/>
      <c r="B121" s="78"/>
      <c r="C121" s="1808" t="s">
        <v>318</v>
      </c>
      <c r="D121" s="1808"/>
      <c r="E121" s="1808"/>
      <c r="F121" s="169"/>
      <c r="G121" s="169"/>
      <c r="H121" s="169"/>
      <c r="I121" s="169"/>
      <c r="J121" s="170">
        <v>260.20999999999998</v>
      </c>
      <c r="K121" s="169"/>
      <c r="L121" s="170">
        <v>31810.82</v>
      </c>
      <c r="M121" s="171"/>
      <c r="N121" s="172"/>
      <c r="AB121" s="43" t="s">
        <v>318</v>
      </c>
    </row>
    <row r="122" spans="1:30" s="40" customFormat="1" x14ac:dyDescent="0.2">
      <c r="A122" s="79"/>
      <c r="B122" s="78"/>
      <c r="C122" s="1768" t="s">
        <v>319</v>
      </c>
      <c r="D122" s="1768"/>
      <c r="E122" s="1768"/>
      <c r="F122" s="80"/>
      <c r="G122" s="80"/>
      <c r="H122" s="80"/>
      <c r="I122" s="80"/>
      <c r="J122" s="81"/>
      <c r="K122" s="80"/>
      <c r="L122" s="81">
        <v>3565.16</v>
      </c>
      <c r="M122" s="82"/>
      <c r="N122" s="83"/>
      <c r="AA122" s="43" t="s">
        <v>319</v>
      </c>
    </row>
    <row r="123" spans="1:30" s="40" customFormat="1" ht="33.75" x14ac:dyDescent="0.2">
      <c r="A123" s="79"/>
      <c r="B123" s="78" t="s">
        <v>320</v>
      </c>
      <c r="C123" s="1768" t="s">
        <v>321</v>
      </c>
      <c r="D123" s="1768"/>
      <c r="E123" s="1768"/>
      <c r="F123" s="80" t="s">
        <v>322</v>
      </c>
      <c r="G123" s="80" t="s">
        <v>323</v>
      </c>
      <c r="H123" s="80"/>
      <c r="I123" s="80" t="s">
        <v>323</v>
      </c>
      <c r="J123" s="81"/>
      <c r="K123" s="80"/>
      <c r="L123" s="81">
        <v>3172.99</v>
      </c>
      <c r="M123" s="82"/>
      <c r="N123" s="83"/>
      <c r="AA123" s="43" t="s">
        <v>321</v>
      </c>
    </row>
    <row r="124" spans="1:30" s="40" customFormat="1" ht="33.75" x14ac:dyDescent="0.2">
      <c r="A124" s="79"/>
      <c r="B124" s="78" t="s">
        <v>324</v>
      </c>
      <c r="C124" s="1768" t="s">
        <v>325</v>
      </c>
      <c r="D124" s="1768"/>
      <c r="E124" s="1768"/>
      <c r="F124" s="80" t="s">
        <v>322</v>
      </c>
      <c r="G124" s="80" t="s">
        <v>326</v>
      </c>
      <c r="H124" s="80"/>
      <c r="I124" s="80" t="s">
        <v>326</v>
      </c>
      <c r="J124" s="81"/>
      <c r="K124" s="80"/>
      <c r="L124" s="81">
        <v>1461.72</v>
      </c>
      <c r="M124" s="82"/>
      <c r="N124" s="83"/>
      <c r="AA124" s="43" t="s">
        <v>325</v>
      </c>
    </row>
    <row r="125" spans="1:30" s="40" customFormat="1" x14ac:dyDescent="0.2">
      <c r="A125" s="88"/>
      <c r="B125" s="101"/>
      <c r="C125" s="1809" t="s">
        <v>327</v>
      </c>
      <c r="D125" s="1809"/>
      <c r="E125" s="1809"/>
      <c r="F125" s="165"/>
      <c r="G125" s="165"/>
      <c r="H125" s="165"/>
      <c r="I125" s="165"/>
      <c r="J125" s="166"/>
      <c r="K125" s="165"/>
      <c r="L125" s="166">
        <v>36445.53</v>
      </c>
      <c r="M125" s="171"/>
      <c r="N125" s="168"/>
      <c r="AC125" s="43" t="s">
        <v>327</v>
      </c>
    </row>
    <row r="126" spans="1:30" s="40" customFormat="1" x14ac:dyDescent="0.2">
      <c r="A126" s="163" t="s">
        <v>194</v>
      </c>
      <c r="B126" s="164" t="s">
        <v>4080</v>
      </c>
      <c r="C126" s="1809" t="s">
        <v>4081</v>
      </c>
      <c r="D126" s="1809"/>
      <c r="E126" s="1809"/>
      <c r="F126" s="165" t="s">
        <v>699</v>
      </c>
      <c r="G126" s="165"/>
      <c r="H126" s="165"/>
      <c r="I126" s="165" t="s">
        <v>5134</v>
      </c>
      <c r="J126" s="166">
        <v>77.59</v>
      </c>
      <c r="K126" s="165"/>
      <c r="L126" s="166">
        <v>20568.02</v>
      </c>
      <c r="M126" s="167"/>
      <c r="N126" s="168"/>
      <c r="W126" s="43" t="s">
        <v>4081</v>
      </c>
    </row>
    <row r="127" spans="1:30" s="40" customFormat="1" x14ac:dyDescent="0.2">
      <c r="A127" s="88"/>
      <c r="B127" s="101"/>
      <c r="C127" s="48" t="s">
        <v>717</v>
      </c>
      <c r="D127" s="117"/>
      <c r="E127" s="117"/>
      <c r="F127" s="90"/>
      <c r="G127" s="90"/>
      <c r="H127" s="90"/>
      <c r="I127" s="90"/>
      <c r="J127" s="118"/>
      <c r="K127" s="90"/>
      <c r="L127" s="118"/>
      <c r="M127" s="119"/>
      <c r="N127" s="120"/>
    </row>
    <row r="128" spans="1:30" s="40" customFormat="1" ht="45" x14ac:dyDescent="0.2">
      <c r="A128" s="163" t="s">
        <v>195</v>
      </c>
      <c r="B128" s="164" t="s">
        <v>1009</v>
      </c>
      <c r="C128" s="1809" t="s">
        <v>4083</v>
      </c>
      <c r="D128" s="1809"/>
      <c r="E128" s="1809"/>
      <c r="F128" s="165" t="s">
        <v>201</v>
      </c>
      <c r="G128" s="165"/>
      <c r="H128" s="165"/>
      <c r="I128" s="165" t="s">
        <v>5135</v>
      </c>
      <c r="J128" s="166">
        <v>3.96</v>
      </c>
      <c r="K128" s="165"/>
      <c r="L128" s="166">
        <v>10888.42</v>
      </c>
      <c r="M128" s="167"/>
      <c r="N128" s="168"/>
      <c r="W128" s="43" t="s">
        <v>4083</v>
      </c>
    </row>
    <row r="129" spans="1:32" s="40" customFormat="1" x14ac:dyDescent="0.2">
      <c r="A129" s="88"/>
      <c r="B129" s="101"/>
      <c r="C129" s="48" t="s">
        <v>542</v>
      </c>
      <c r="D129" s="117"/>
      <c r="E129" s="117"/>
      <c r="F129" s="90"/>
      <c r="G129" s="90"/>
      <c r="H129" s="90"/>
      <c r="I129" s="90"/>
      <c r="J129" s="118"/>
      <c r="K129" s="90"/>
      <c r="L129" s="118"/>
      <c r="M129" s="119"/>
      <c r="N129" s="120"/>
    </row>
    <row r="130" spans="1:32" s="40" customFormat="1" x14ac:dyDescent="0.2">
      <c r="A130" s="75"/>
      <c r="B130" s="76"/>
      <c r="C130" s="1768" t="s">
        <v>5136</v>
      </c>
      <c r="D130" s="1768"/>
      <c r="E130" s="1768"/>
      <c r="F130" s="1768"/>
      <c r="G130" s="1768"/>
      <c r="H130" s="1768"/>
      <c r="I130" s="1768"/>
      <c r="J130" s="1768"/>
      <c r="K130" s="1768"/>
      <c r="L130" s="1768"/>
      <c r="M130" s="1768"/>
      <c r="N130" s="1779"/>
      <c r="X130" s="43" t="s">
        <v>5136</v>
      </c>
    </row>
    <row r="131" spans="1:32" s="40" customFormat="1" ht="45" x14ac:dyDescent="0.2">
      <c r="A131" s="163" t="s">
        <v>196</v>
      </c>
      <c r="B131" s="164" t="s">
        <v>469</v>
      </c>
      <c r="C131" s="1809" t="s">
        <v>470</v>
      </c>
      <c r="D131" s="1809"/>
      <c r="E131" s="1809"/>
      <c r="F131" s="165" t="s">
        <v>201</v>
      </c>
      <c r="G131" s="165"/>
      <c r="H131" s="165"/>
      <c r="I131" s="165" t="s">
        <v>5135</v>
      </c>
      <c r="J131" s="166">
        <v>12.6</v>
      </c>
      <c r="K131" s="165"/>
      <c r="L131" s="166">
        <v>34644.959999999999</v>
      </c>
      <c r="M131" s="167"/>
      <c r="N131" s="168"/>
      <c r="W131" s="43" t="s">
        <v>470</v>
      </c>
    </row>
    <row r="132" spans="1:32" s="40" customFormat="1" x14ac:dyDescent="0.2">
      <c r="A132" s="75"/>
      <c r="B132" s="76"/>
      <c r="C132" s="1768" t="s">
        <v>5136</v>
      </c>
      <c r="D132" s="1768"/>
      <c r="E132" s="1768"/>
      <c r="F132" s="1768"/>
      <c r="G132" s="1768"/>
      <c r="H132" s="1768"/>
      <c r="I132" s="1768"/>
      <c r="J132" s="1768"/>
      <c r="K132" s="1768"/>
      <c r="L132" s="1768"/>
      <c r="M132" s="1768"/>
      <c r="N132" s="1779"/>
      <c r="X132" s="43" t="s">
        <v>5136</v>
      </c>
    </row>
    <row r="133" spans="1:32" s="40" customFormat="1" ht="1.5" customHeight="1" x14ac:dyDescent="0.2">
      <c r="A133" s="90"/>
      <c r="B133" s="101"/>
      <c r="C133" s="101"/>
      <c r="D133" s="101"/>
      <c r="E133" s="101"/>
      <c r="F133" s="90"/>
      <c r="G133" s="90"/>
      <c r="H133" s="90"/>
      <c r="I133" s="90"/>
      <c r="J133" s="91"/>
      <c r="K133" s="90"/>
      <c r="L133" s="91"/>
      <c r="M133" s="80"/>
      <c r="N133" s="91"/>
    </row>
    <row r="134" spans="1:32" s="40" customFormat="1" x14ac:dyDescent="0.2">
      <c r="A134" s="173"/>
      <c r="B134" s="174"/>
      <c r="C134" s="1809" t="s">
        <v>5137</v>
      </c>
      <c r="D134" s="1809"/>
      <c r="E134" s="1809"/>
      <c r="F134" s="1809"/>
      <c r="G134" s="1809"/>
      <c r="H134" s="1809"/>
      <c r="I134" s="1809"/>
      <c r="J134" s="1809"/>
      <c r="K134" s="1809"/>
      <c r="L134" s="175"/>
      <c r="M134" s="176"/>
      <c r="N134" s="177"/>
      <c r="AE134" s="43" t="s">
        <v>5137</v>
      </c>
    </row>
    <row r="135" spans="1:32" s="40" customFormat="1" x14ac:dyDescent="0.2">
      <c r="A135" s="97"/>
      <c r="B135" s="78"/>
      <c r="C135" s="1768" t="s">
        <v>403</v>
      </c>
      <c r="D135" s="1768"/>
      <c r="E135" s="1768"/>
      <c r="F135" s="1768"/>
      <c r="G135" s="1768"/>
      <c r="H135" s="1768"/>
      <c r="I135" s="1768"/>
      <c r="J135" s="1768"/>
      <c r="K135" s="1768"/>
      <c r="L135" s="98">
        <v>97912.22</v>
      </c>
      <c r="M135" s="99"/>
      <c r="N135" s="100"/>
      <c r="AF135" s="43" t="s">
        <v>403</v>
      </c>
    </row>
    <row r="136" spans="1:32" s="40" customFormat="1" x14ac:dyDescent="0.2">
      <c r="A136" s="97"/>
      <c r="B136" s="78"/>
      <c r="C136" s="1768" t="s">
        <v>204</v>
      </c>
      <c r="D136" s="1768"/>
      <c r="E136" s="1768"/>
      <c r="F136" s="1768"/>
      <c r="G136" s="1768"/>
      <c r="H136" s="1768"/>
      <c r="I136" s="1768"/>
      <c r="J136" s="1768"/>
      <c r="K136" s="1768"/>
      <c r="L136" s="98"/>
      <c r="M136" s="99"/>
      <c r="N136" s="100"/>
      <c r="AF136" s="43" t="s">
        <v>204</v>
      </c>
    </row>
    <row r="137" spans="1:32" s="40" customFormat="1" x14ac:dyDescent="0.2">
      <c r="A137" s="97"/>
      <c r="B137" s="78"/>
      <c r="C137" s="1768" t="s">
        <v>405</v>
      </c>
      <c r="D137" s="1768"/>
      <c r="E137" s="1768"/>
      <c r="F137" s="1768"/>
      <c r="G137" s="1768"/>
      <c r="H137" s="1768"/>
      <c r="I137" s="1768"/>
      <c r="J137" s="1768"/>
      <c r="K137" s="1768"/>
      <c r="L137" s="98">
        <v>65961.929999999993</v>
      </c>
      <c r="M137" s="99"/>
      <c r="N137" s="100"/>
      <c r="AF137" s="43" t="s">
        <v>405</v>
      </c>
    </row>
    <row r="138" spans="1:32" s="40" customFormat="1" x14ac:dyDescent="0.2">
      <c r="A138" s="97"/>
      <c r="B138" s="78"/>
      <c r="C138" s="1768" t="s">
        <v>406</v>
      </c>
      <c r="D138" s="1768"/>
      <c r="E138" s="1768"/>
      <c r="F138" s="1768"/>
      <c r="G138" s="1768"/>
      <c r="H138" s="1768"/>
      <c r="I138" s="1768"/>
      <c r="J138" s="1768"/>
      <c r="K138" s="1768"/>
      <c r="L138" s="98">
        <v>3565.16</v>
      </c>
      <c r="M138" s="99"/>
      <c r="N138" s="100"/>
      <c r="AF138" s="43" t="s">
        <v>406</v>
      </c>
    </row>
    <row r="139" spans="1:32" s="40" customFormat="1" x14ac:dyDescent="0.2">
      <c r="A139" s="97"/>
      <c r="B139" s="78"/>
      <c r="C139" s="1768" t="s">
        <v>480</v>
      </c>
      <c r="D139" s="1768"/>
      <c r="E139" s="1768"/>
      <c r="F139" s="1768"/>
      <c r="G139" s="1768"/>
      <c r="H139" s="1768"/>
      <c r="I139" s="1768"/>
      <c r="J139" s="1768"/>
      <c r="K139" s="1768"/>
      <c r="L139" s="98">
        <v>31950.29</v>
      </c>
      <c r="M139" s="99"/>
      <c r="N139" s="100"/>
      <c r="AF139" s="43" t="s">
        <v>480</v>
      </c>
    </row>
    <row r="140" spans="1:32" s="40" customFormat="1" x14ac:dyDescent="0.2">
      <c r="A140" s="97"/>
      <c r="B140" s="78"/>
      <c r="C140" s="1768" t="s">
        <v>407</v>
      </c>
      <c r="D140" s="1768"/>
      <c r="E140" s="1768"/>
      <c r="F140" s="1768"/>
      <c r="G140" s="1768"/>
      <c r="H140" s="1768"/>
      <c r="I140" s="1768"/>
      <c r="J140" s="1768"/>
      <c r="K140" s="1768"/>
      <c r="L140" s="98">
        <v>102546.93</v>
      </c>
      <c r="M140" s="99"/>
      <c r="N140" s="100"/>
      <c r="AF140" s="43" t="s">
        <v>407</v>
      </c>
    </row>
    <row r="141" spans="1:32" s="40" customFormat="1" x14ac:dyDescent="0.2">
      <c r="A141" s="97"/>
      <c r="B141" s="78" t="s">
        <v>185</v>
      </c>
      <c r="C141" s="1768" t="s">
        <v>408</v>
      </c>
      <c r="D141" s="1768"/>
      <c r="E141" s="1768"/>
      <c r="F141" s="1768"/>
      <c r="G141" s="1768"/>
      <c r="H141" s="1768"/>
      <c r="I141" s="1768"/>
      <c r="J141" s="1768"/>
      <c r="K141" s="1768"/>
      <c r="L141" s="98">
        <v>67901.97</v>
      </c>
      <c r="M141" s="99"/>
      <c r="N141" s="100"/>
      <c r="AF141" s="43" t="s">
        <v>408</v>
      </c>
    </row>
    <row r="142" spans="1:32" s="40" customFormat="1" x14ac:dyDescent="0.2">
      <c r="A142" s="97"/>
      <c r="B142" s="78"/>
      <c r="C142" s="1768" t="s">
        <v>409</v>
      </c>
      <c r="D142" s="1768"/>
      <c r="E142" s="1768"/>
      <c r="F142" s="1768"/>
      <c r="G142" s="1768"/>
      <c r="H142" s="1768"/>
      <c r="I142" s="1768"/>
      <c r="J142" s="1768"/>
      <c r="K142" s="1768"/>
      <c r="L142" s="98"/>
      <c r="M142" s="99"/>
      <c r="N142" s="100"/>
      <c r="AF142" s="43" t="s">
        <v>409</v>
      </c>
    </row>
    <row r="143" spans="1:32" s="40" customFormat="1" x14ac:dyDescent="0.2">
      <c r="A143" s="97"/>
      <c r="B143" s="78"/>
      <c r="C143" s="1768" t="s">
        <v>411</v>
      </c>
      <c r="D143" s="1768"/>
      <c r="E143" s="1768"/>
      <c r="F143" s="1768"/>
      <c r="G143" s="1768"/>
      <c r="H143" s="1768"/>
      <c r="I143" s="1768"/>
      <c r="J143" s="1768"/>
      <c r="K143" s="1768"/>
      <c r="L143" s="98">
        <v>31316.97</v>
      </c>
      <c r="M143" s="99"/>
      <c r="N143" s="100"/>
      <c r="AF143" s="43" t="s">
        <v>411</v>
      </c>
    </row>
    <row r="144" spans="1:32" s="40" customFormat="1" x14ac:dyDescent="0.2">
      <c r="A144" s="97"/>
      <c r="B144" s="78"/>
      <c r="C144" s="1768" t="s">
        <v>481</v>
      </c>
      <c r="D144" s="1768"/>
      <c r="E144" s="1768"/>
      <c r="F144" s="1768"/>
      <c r="G144" s="1768"/>
      <c r="H144" s="1768"/>
      <c r="I144" s="1768"/>
      <c r="J144" s="1768"/>
      <c r="K144" s="1768"/>
      <c r="L144" s="98">
        <v>31950.29</v>
      </c>
      <c r="M144" s="99"/>
      <c r="N144" s="100"/>
      <c r="AF144" s="43" t="s">
        <v>481</v>
      </c>
    </row>
    <row r="145" spans="1:33" s="40" customFormat="1" x14ac:dyDescent="0.2">
      <c r="A145" s="97"/>
      <c r="B145" s="78"/>
      <c r="C145" s="1768" t="s">
        <v>412</v>
      </c>
      <c r="D145" s="1768"/>
      <c r="E145" s="1768"/>
      <c r="F145" s="1768"/>
      <c r="G145" s="1768"/>
      <c r="H145" s="1768"/>
      <c r="I145" s="1768"/>
      <c r="J145" s="1768"/>
      <c r="K145" s="1768"/>
      <c r="L145" s="98">
        <v>3172.99</v>
      </c>
      <c r="M145" s="99"/>
      <c r="N145" s="100"/>
      <c r="AF145" s="43" t="s">
        <v>412</v>
      </c>
    </row>
    <row r="146" spans="1:33" s="40" customFormat="1" x14ac:dyDescent="0.2">
      <c r="A146" s="97"/>
      <c r="B146" s="78"/>
      <c r="C146" s="1768" t="s">
        <v>413</v>
      </c>
      <c r="D146" s="1768"/>
      <c r="E146" s="1768"/>
      <c r="F146" s="1768"/>
      <c r="G146" s="1768"/>
      <c r="H146" s="1768"/>
      <c r="I146" s="1768"/>
      <c r="J146" s="1768"/>
      <c r="K146" s="1768"/>
      <c r="L146" s="98">
        <v>1461.72</v>
      </c>
      <c r="M146" s="99"/>
      <c r="N146" s="100"/>
      <c r="AF146" s="43" t="s">
        <v>413</v>
      </c>
    </row>
    <row r="147" spans="1:33" s="40" customFormat="1" x14ac:dyDescent="0.2">
      <c r="A147" s="97"/>
      <c r="B147" s="78" t="s">
        <v>185</v>
      </c>
      <c r="C147" s="1768" t="s">
        <v>414</v>
      </c>
      <c r="D147" s="1768"/>
      <c r="E147" s="1768"/>
      <c r="F147" s="1768"/>
      <c r="G147" s="1768"/>
      <c r="H147" s="1768"/>
      <c r="I147" s="1768"/>
      <c r="J147" s="1768"/>
      <c r="K147" s="1768"/>
      <c r="L147" s="98">
        <v>34644.959999999999</v>
      </c>
      <c r="M147" s="99"/>
      <c r="N147" s="100"/>
      <c r="AF147" s="43" t="s">
        <v>414</v>
      </c>
    </row>
    <row r="148" spans="1:33" s="40" customFormat="1" x14ac:dyDescent="0.2">
      <c r="A148" s="97"/>
      <c r="B148" s="78"/>
      <c r="C148" s="1768" t="s">
        <v>415</v>
      </c>
      <c r="D148" s="1768"/>
      <c r="E148" s="1768"/>
      <c r="F148" s="1768"/>
      <c r="G148" s="1768"/>
      <c r="H148" s="1768"/>
      <c r="I148" s="1768"/>
      <c r="J148" s="1768"/>
      <c r="K148" s="1768"/>
      <c r="L148" s="98">
        <v>3565.16</v>
      </c>
      <c r="M148" s="99"/>
      <c r="N148" s="100"/>
      <c r="AF148" s="43" t="s">
        <v>415</v>
      </c>
    </row>
    <row r="149" spans="1:33" s="40" customFormat="1" x14ac:dyDescent="0.2">
      <c r="A149" s="97"/>
      <c r="B149" s="78"/>
      <c r="C149" s="1768" t="s">
        <v>416</v>
      </c>
      <c r="D149" s="1768"/>
      <c r="E149" s="1768"/>
      <c r="F149" s="1768"/>
      <c r="G149" s="1768"/>
      <c r="H149" s="1768"/>
      <c r="I149" s="1768"/>
      <c r="J149" s="1768"/>
      <c r="K149" s="1768"/>
      <c r="L149" s="98">
        <v>3172.99</v>
      </c>
      <c r="M149" s="99"/>
      <c r="N149" s="100"/>
      <c r="AF149" s="43" t="s">
        <v>416</v>
      </c>
    </row>
    <row r="150" spans="1:33" s="40" customFormat="1" x14ac:dyDescent="0.2">
      <c r="A150" s="97"/>
      <c r="B150" s="78"/>
      <c r="C150" s="1768" t="s">
        <v>417</v>
      </c>
      <c r="D150" s="1768"/>
      <c r="E150" s="1768"/>
      <c r="F150" s="1768"/>
      <c r="G150" s="1768"/>
      <c r="H150" s="1768"/>
      <c r="I150" s="1768"/>
      <c r="J150" s="1768"/>
      <c r="K150" s="1768"/>
      <c r="L150" s="98">
        <v>1461.72</v>
      </c>
      <c r="M150" s="99"/>
      <c r="N150" s="100"/>
      <c r="AF150" s="43" t="s">
        <v>417</v>
      </c>
    </row>
    <row r="151" spans="1:33" s="40" customFormat="1" x14ac:dyDescent="0.2">
      <c r="A151" s="97"/>
      <c r="B151" s="91"/>
      <c r="C151" s="1787" t="s">
        <v>5138</v>
      </c>
      <c r="D151" s="1787"/>
      <c r="E151" s="1787"/>
      <c r="F151" s="1787"/>
      <c r="G151" s="1787"/>
      <c r="H151" s="1787"/>
      <c r="I151" s="1787"/>
      <c r="J151" s="1787"/>
      <c r="K151" s="1787"/>
      <c r="L151" s="102">
        <v>102546.93</v>
      </c>
      <c r="M151" s="103"/>
      <c r="N151" s="104"/>
      <c r="AG151" s="43" t="s">
        <v>5138</v>
      </c>
    </row>
    <row r="152" spans="1:33" s="40" customFormat="1" ht="12" x14ac:dyDescent="0.2">
      <c r="A152" s="1967" t="s">
        <v>1124</v>
      </c>
      <c r="B152" s="1968"/>
      <c r="C152" s="1968"/>
      <c r="D152" s="1968"/>
      <c r="E152" s="1968"/>
      <c r="F152" s="1968"/>
      <c r="G152" s="1968"/>
      <c r="H152" s="1968"/>
      <c r="I152" s="1968"/>
      <c r="J152" s="1968"/>
      <c r="K152" s="1968"/>
      <c r="L152" s="1968"/>
      <c r="M152" s="1968"/>
      <c r="N152" s="1969"/>
      <c r="V152" s="43" t="s">
        <v>1124</v>
      </c>
    </row>
    <row r="153" spans="1:33" s="40" customFormat="1" ht="67.5" x14ac:dyDescent="0.2">
      <c r="A153" s="163" t="s">
        <v>197</v>
      </c>
      <c r="B153" s="164" t="s">
        <v>1616</v>
      </c>
      <c r="C153" s="1809" t="s">
        <v>4293</v>
      </c>
      <c r="D153" s="1809"/>
      <c r="E153" s="1809"/>
      <c r="F153" s="165" t="s">
        <v>201</v>
      </c>
      <c r="G153" s="165"/>
      <c r="H153" s="165"/>
      <c r="I153" s="165" t="s">
        <v>5139</v>
      </c>
      <c r="J153" s="166">
        <v>90.45</v>
      </c>
      <c r="K153" s="165"/>
      <c r="L153" s="166">
        <v>34.01</v>
      </c>
      <c r="M153" s="167"/>
      <c r="N153" s="168"/>
      <c r="W153" s="43" t="s">
        <v>4293</v>
      </c>
    </row>
    <row r="154" spans="1:33" s="40" customFormat="1" x14ac:dyDescent="0.2">
      <c r="A154" s="88"/>
      <c r="B154" s="101"/>
      <c r="C154" s="48" t="s">
        <v>717</v>
      </c>
      <c r="D154" s="117"/>
      <c r="E154" s="117"/>
      <c r="F154" s="90"/>
      <c r="G154" s="90"/>
      <c r="H154" s="90"/>
      <c r="I154" s="90"/>
      <c r="J154" s="118"/>
      <c r="K154" s="90"/>
      <c r="L154" s="118"/>
      <c r="M154" s="119"/>
      <c r="N154" s="120"/>
    </row>
    <row r="155" spans="1:33" s="40" customFormat="1" x14ac:dyDescent="0.2">
      <c r="A155" s="75"/>
      <c r="B155" s="76"/>
      <c r="C155" s="1768" t="s">
        <v>5140</v>
      </c>
      <c r="D155" s="1768"/>
      <c r="E155" s="1768"/>
      <c r="F155" s="1768"/>
      <c r="G155" s="1768"/>
      <c r="H155" s="1768"/>
      <c r="I155" s="1768"/>
      <c r="J155" s="1768"/>
      <c r="K155" s="1768"/>
      <c r="L155" s="1768"/>
      <c r="M155" s="1768"/>
      <c r="N155" s="1779"/>
      <c r="X155" s="43" t="s">
        <v>5140</v>
      </c>
    </row>
    <row r="156" spans="1:33" s="40" customFormat="1" ht="1.5" customHeight="1" x14ac:dyDescent="0.2">
      <c r="A156" s="90"/>
      <c r="B156" s="101"/>
      <c r="C156" s="101"/>
      <c r="D156" s="101"/>
      <c r="E156" s="101"/>
      <c r="F156" s="90"/>
      <c r="G156" s="90"/>
      <c r="H156" s="90"/>
      <c r="I156" s="90"/>
      <c r="J156" s="91"/>
      <c r="K156" s="90"/>
      <c r="L156" s="91"/>
      <c r="M156" s="80"/>
      <c r="N156" s="91"/>
    </row>
    <row r="157" spans="1:33" s="40" customFormat="1" ht="22.5" x14ac:dyDescent="0.2">
      <c r="A157" s="173"/>
      <c r="B157" s="174"/>
      <c r="C157" s="1809" t="s">
        <v>1138</v>
      </c>
      <c r="D157" s="1809"/>
      <c r="E157" s="1809"/>
      <c r="F157" s="1809"/>
      <c r="G157" s="1809"/>
      <c r="H157" s="1809"/>
      <c r="I157" s="1809"/>
      <c r="J157" s="1809"/>
      <c r="K157" s="1809"/>
      <c r="L157" s="175"/>
      <c r="M157" s="176"/>
      <c r="N157" s="177"/>
      <c r="AE157" s="43" t="s">
        <v>1138</v>
      </c>
    </row>
    <row r="158" spans="1:33" s="40" customFormat="1" x14ac:dyDescent="0.2">
      <c r="A158" s="97"/>
      <c r="B158" s="78"/>
      <c r="C158" s="1768" t="s">
        <v>403</v>
      </c>
      <c r="D158" s="1768"/>
      <c r="E158" s="1768"/>
      <c r="F158" s="1768"/>
      <c r="G158" s="1768"/>
      <c r="H158" s="1768"/>
      <c r="I158" s="1768"/>
      <c r="J158" s="1768"/>
      <c r="K158" s="1768"/>
      <c r="L158" s="98">
        <v>34.01</v>
      </c>
      <c r="M158" s="99"/>
      <c r="N158" s="100"/>
      <c r="AF158" s="43" t="s">
        <v>403</v>
      </c>
    </row>
    <row r="159" spans="1:33" s="40" customFormat="1" x14ac:dyDescent="0.2">
      <c r="A159" s="97"/>
      <c r="B159" s="78"/>
      <c r="C159" s="1768" t="s">
        <v>204</v>
      </c>
      <c r="D159" s="1768"/>
      <c r="E159" s="1768"/>
      <c r="F159" s="1768"/>
      <c r="G159" s="1768"/>
      <c r="H159" s="1768"/>
      <c r="I159" s="1768"/>
      <c r="J159" s="1768"/>
      <c r="K159" s="1768"/>
      <c r="L159" s="98"/>
      <c r="M159" s="99"/>
      <c r="N159" s="100"/>
      <c r="AF159" s="43" t="s">
        <v>204</v>
      </c>
    </row>
    <row r="160" spans="1:33" s="40" customFormat="1" x14ac:dyDescent="0.2">
      <c r="A160" s="97"/>
      <c r="B160" s="78"/>
      <c r="C160" s="1768" t="s">
        <v>480</v>
      </c>
      <c r="D160" s="1768"/>
      <c r="E160" s="1768"/>
      <c r="F160" s="1768"/>
      <c r="G160" s="1768"/>
      <c r="H160" s="1768"/>
      <c r="I160" s="1768"/>
      <c r="J160" s="1768"/>
      <c r="K160" s="1768"/>
      <c r="L160" s="98">
        <v>34.01</v>
      </c>
      <c r="M160" s="99"/>
      <c r="N160" s="100"/>
      <c r="AF160" s="43" t="s">
        <v>480</v>
      </c>
    </row>
    <row r="161" spans="1:35" s="40" customFormat="1" x14ac:dyDescent="0.2">
      <c r="A161" s="97"/>
      <c r="B161" s="78" t="s">
        <v>185</v>
      </c>
      <c r="C161" s="1768" t="s">
        <v>407</v>
      </c>
      <c r="D161" s="1768"/>
      <c r="E161" s="1768"/>
      <c r="F161" s="1768"/>
      <c r="G161" s="1768"/>
      <c r="H161" s="1768"/>
      <c r="I161" s="1768"/>
      <c r="J161" s="1768"/>
      <c r="K161" s="1768"/>
      <c r="L161" s="98">
        <v>34.01</v>
      </c>
      <c r="M161" s="99"/>
      <c r="N161" s="100"/>
      <c r="AF161" s="43" t="s">
        <v>407</v>
      </c>
    </row>
    <row r="162" spans="1:35" s="40" customFormat="1" x14ac:dyDescent="0.2">
      <c r="A162" s="97"/>
      <c r="B162" s="78"/>
      <c r="C162" s="1768" t="s">
        <v>204</v>
      </c>
      <c r="D162" s="1768"/>
      <c r="E162" s="1768"/>
      <c r="F162" s="1768"/>
      <c r="G162" s="1768"/>
      <c r="H162" s="1768"/>
      <c r="I162" s="1768"/>
      <c r="J162" s="1768"/>
      <c r="K162" s="1768"/>
      <c r="L162" s="98"/>
      <c r="M162" s="99"/>
      <c r="N162" s="100"/>
      <c r="AF162" s="43" t="s">
        <v>204</v>
      </c>
    </row>
    <row r="163" spans="1:35" s="40" customFormat="1" x14ac:dyDescent="0.2">
      <c r="A163" s="97"/>
      <c r="B163" s="78"/>
      <c r="C163" s="1768" t="s">
        <v>547</v>
      </c>
      <c r="D163" s="1768"/>
      <c r="E163" s="1768"/>
      <c r="F163" s="1768"/>
      <c r="G163" s="1768"/>
      <c r="H163" s="1768"/>
      <c r="I163" s="1768"/>
      <c r="J163" s="1768"/>
      <c r="K163" s="1768"/>
      <c r="L163" s="98">
        <v>34.01</v>
      </c>
      <c r="M163" s="99"/>
      <c r="N163" s="100"/>
      <c r="AF163" s="43" t="s">
        <v>547</v>
      </c>
    </row>
    <row r="164" spans="1:35" s="40" customFormat="1" ht="22.5" x14ac:dyDescent="0.2">
      <c r="A164" s="97"/>
      <c r="B164" s="91"/>
      <c r="C164" s="1787" t="s">
        <v>1139</v>
      </c>
      <c r="D164" s="1787"/>
      <c r="E164" s="1787"/>
      <c r="F164" s="1787"/>
      <c r="G164" s="1787"/>
      <c r="H164" s="1787"/>
      <c r="I164" s="1787"/>
      <c r="J164" s="1787"/>
      <c r="K164" s="1787"/>
      <c r="L164" s="102">
        <v>34.01</v>
      </c>
      <c r="M164" s="103"/>
      <c r="N164" s="104"/>
      <c r="AG164" s="43" t="s">
        <v>1139</v>
      </c>
    </row>
    <row r="165" spans="1:35" s="40" customFormat="1" ht="2.25" customHeight="1" x14ac:dyDescent="0.2"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105"/>
      <c r="M165" s="106"/>
      <c r="N165" s="107"/>
    </row>
    <row r="166" spans="1:35" s="40" customFormat="1" x14ac:dyDescent="0.2">
      <c r="A166" s="173"/>
      <c r="B166" s="174"/>
      <c r="C166" s="1809" t="s">
        <v>205</v>
      </c>
      <c r="D166" s="1809"/>
      <c r="E166" s="1809"/>
      <c r="F166" s="1809"/>
      <c r="G166" s="1809"/>
      <c r="H166" s="1809"/>
      <c r="I166" s="1809"/>
      <c r="J166" s="1809"/>
      <c r="K166" s="1809"/>
      <c r="L166" s="175"/>
      <c r="M166" s="176"/>
      <c r="N166" s="177"/>
      <c r="AH166" s="43" t="s">
        <v>205</v>
      </c>
    </row>
    <row r="167" spans="1:35" s="40" customFormat="1" x14ac:dyDescent="0.2">
      <c r="A167" s="97"/>
      <c r="B167" s="78"/>
      <c r="C167" s="1768" t="s">
        <v>403</v>
      </c>
      <c r="D167" s="1768"/>
      <c r="E167" s="1768"/>
      <c r="F167" s="1768"/>
      <c r="G167" s="1768"/>
      <c r="H167" s="1768"/>
      <c r="I167" s="1768"/>
      <c r="J167" s="1768"/>
      <c r="K167" s="1768"/>
      <c r="L167" s="98">
        <v>221218.29</v>
      </c>
      <c r="M167" s="99"/>
      <c r="N167" s="100"/>
      <c r="AI167" s="43" t="s">
        <v>403</v>
      </c>
    </row>
    <row r="168" spans="1:35" s="40" customFormat="1" x14ac:dyDescent="0.2">
      <c r="A168" s="97"/>
      <c r="B168" s="78"/>
      <c r="C168" s="1768" t="s">
        <v>204</v>
      </c>
      <c r="D168" s="1768"/>
      <c r="E168" s="1768"/>
      <c r="F168" s="1768"/>
      <c r="G168" s="1768"/>
      <c r="H168" s="1768"/>
      <c r="I168" s="1768"/>
      <c r="J168" s="1768"/>
      <c r="K168" s="1768"/>
      <c r="L168" s="98"/>
      <c r="M168" s="99"/>
      <c r="N168" s="100"/>
      <c r="AI168" s="43" t="s">
        <v>204</v>
      </c>
    </row>
    <row r="169" spans="1:35" s="40" customFormat="1" x14ac:dyDescent="0.2">
      <c r="A169" s="97"/>
      <c r="B169" s="78"/>
      <c r="C169" s="1768" t="s">
        <v>404</v>
      </c>
      <c r="D169" s="1768"/>
      <c r="E169" s="1768"/>
      <c r="F169" s="1768"/>
      <c r="G169" s="1768"/>
      <c r="H169" s="1768"/>
      <c r="I169" s="1768"/>
      <c r="J169" s="1768"/>
      <c r="K169" s="1768"/>
      <c r="L169" s="98">
        <v>20827.02</v>
      </c>
      <c r="M169" s="99"/>
      <c r="N169" s="100"/>
      <c r="AI169" s="43" t="s">
        <v>404</v>
      </c>
    </row>
    <row r="170" spans="1:35" s="40" customFormat="1" x14ac:dyDescent="0.2">
      <c r="A170" s="97"/>
      <c r="B170" s="78"/>
      <c r="C170" s="1768" t="s">
        <v>405</v>
      </c>
      <c r="D170" s="1768"/>
      <c r="E170" s="1768"/>
      <c r="F170" s="1768"/>
      <c r="G170" s="1768"/>
      <c r="H170" s="1768"/>
      <c r="I170" s="1768"/>
      <c r="J170" s="1768"/>
      <c r="K170" s="1768"/>
      <c r="L170" s="98">
        <v>141412.54999999999</v>
      </c>
      <c r="M170" s="99"/>
      <c r="N170" s="100"/>
      <c r="AI170" s="43" t="s">
        <v>405</v>
      </c>
    </row>
    <row r="171" spans="1:35" s="40" customFormat="1" x14ac:dyDescent="0.2">
      <c r="A171" s="97"/>
      <c r="B171" s="78"/>
      <c r="C171" s="1768" t="s">
        <v>406</v>
      </c>
      <c r="D171" s="1768"/>
      <c r="E171" s="1768"/>
      <c r="F171" s="1768"/>
      <c r="G171" s="1768"/>
      <c r="H171" s="1768"/>
      <c r="I171" s="1768"/>
      <c r="J171" s="1768"/>
      <c r="K171" s="1768"/>
      <c r="L171" s="98">
        <v>5815.04</v>
      </c>
      <c r="M171" s="99"/>
      <c r="N171" s="100"/>
      <c r="AI171" s="43" t="s">
        <v>406</v>
      </c>
    </row>
    <row r="172" spans="1:35" s="40" customFormat="1" x14ac:dyDescent="0.2">
      <c r="A172" s="97"/>
      <c r="B172" s="78"/>
      <c r="C172" s="1768" t="s">
        <v>480</v>
      </c>
      <c r="D172" s="1768"/>
      <c r="E172" s="1768"/>
      <c r="F172" s="1768"/>
      <c r="G172" s="1768"/>
      <c r="H172" s="1768"/>
      <c r="I172" s="1768"/>
      <c r="J172" s="1768"/>
      <c r="K172" s="1768"/>
      <c r="L172" s="98">
        <v>58978.720000000001</v>
      </c>
      <c r="M172" s="99"/>
      <c r="N172" s="100"/>
      <c r="AI172" s="43" t="s">
        <v>480</v>
      </c>
    </row>
    <row r="173" spans="1:35" s="40" customFormat="1" x14ac:dyDescent="0.2">
      <c r="A173" s="97"/>
      <c r="B173" s="78"/>
      <c r="C173" s="1768" t="s">
        <v>407</v>
      </c>
      <c r="D173" s="1768"/>
      <c r="E173" s="1768"/>
      <c r="F173" s="1768"/>
      <c r="G173" s="1768"/>
      <c r="H173" s="1768"/>
      <c r="I173" s="1768"/>
      <c r="J173" s="1768"/>
      <c r="K173" s="1768"/>
      <c r="L173" s="98">
        <v>266237.58</v>
      </c>
      <c r="M173" s="99"/>
      <c r="N173" s="100">
        <v>2215096</v>
      </c>
      <c r="AI173" s="43" t="s">
        <v>407</v>
      </c>
    </row>
    <row r="174" spans="1:35" s="40" customFormat="1" x14ac:dyDescent="0.2">
      <c r="A174" s="97"/>
      <c r="B174" s="78" t="s">
        <v>185</v>
      </c>
      <c r="C174" s="1768" t="s">
        <v>408</v>
      </c>
      <c r="D174" s="1768"/>
      <c r="E174" s="1768"/>
      <c r="F174" s="1768"/>
      <c r="G174" s="1768"/>
      <c r="H174" s="1768"/>
      <c r="I174" s="1768"/>
      <c r="J174" s="1768"/>
      <c r="K174" s="1768"/>
      <c r="L174" s="98">
        <v>177384.9</v>
      </c>
      <c r="M174" s="99">
        <v>8.32</v>
      </c>
      <c r="N174" s="100">
        <v>1475842</v>
      </c>
      <c r="AI174" s="43" t="s">
        <v>408</v>
      </c>
    </row>
    <row r="175" spans="1:35" s="40" customFormat="1" x14ac:dyDescent="0.2">
      <c r="A175" s="97"/>
      <c r="B175" s="78"/>
      <c r="C175" s="1768" t="s">
        <v>409</v>
      </c>
      <c r="D175" s="1768"/>
      <c r="E175" s="1768"/>
      <c r="F175" s="1768"/>
      <c r="G175" s="1768"/>
      <c r="H175" s="1768"/>
      <c r="I175" s="1768"/>
      <c r="J175" s="1768"/>
      <c r="K175" s="1768"/>
      <c r="L175" s="98"/>
      <c r="M175" s="99"/>
      <c r="N175" s="100"/>
      <c r="AI175" s="43" t="s">
        <v>409</v>
      </c>
    </row>
    <row r="176" spans="1:35" s="40" customFormat="1" x14ac:dyDescent="0.2">
      <c r="A176" s="97"/>
      <c r="B176" s="78"/>
      <c r="C176" s="1768" t="s">
        <v>410</v>
      </c>
      <c r="D176" s="1768"/>
      <c r="E176" s="1768"/>
      <c r="F176" s="1768"/>
      <c r="G176" s="1768"/>
      <c r="H176" s="1768"/>
      <c r="I176" s="1768"/>
      <c r="J176" s="1768"/>
      <c r="K176" s="1768"/>
      <c r="L176" s="98">
        <v>20827.02</v>
      </c>
      <c r="M176" s="99"/>
      <c r="N176" s="100"/>
      <c r="AI176" s="43" t="s">
        <v>410</v>
      </c>
    </row>
    <row r="177" spans="1:37" x14ac:dyDescent="0.2">
      <c r="A177" s="97"/>
      <c r="B177" s="78"/>
      <c r="C177" s="1768" t="s">
        <v>411</v>
      </c>
      <c r="D177" s="1768"/>
      <c r="E177" s="1768"/>
      <c r="F177" s="1768"/>
      <c r="G177" s="1768"/>
      <c r="H177" s="1768"/>
      <c r="I177" s="1768"/>
      <c r="J177" s="1768"/>
      <c r="K177" s="1768"/>
      <c r="L177" s="98">
        <v>52559.87</v>
      </c>
      <c r="M177" s="99"/>
      <c r="N177" s="10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3" t="s">
        <v>411</v>
      </c>
      <c r="AJ177" s="40"/>
      <c r="AK177" s="40"/>
    </row>
    <row r="178" spans="1:37" x14ac:dyDescent="0.2">
      <c r="A178" s="97"/>
      <c r="B178" s="78"/>
      <c r="C178" s="1768" t="s">
        <v>481</v>
      </c>
      <c r="D178" s="1768"/>
      <c r="E178" s="1768"/>
      <c r="F178" s="1768"/>
      <c r="G178" s="1768"/>
      <c r="H178" s="1768"/>
      <c r="I178" s="1768"/>
      <c r="J178" s="1768"/>
      <c r="K178" s="1768"/>
      <c r="L178" s="98">
        <v>58978.720000000001</v>
      </c>
      <c r="M178" s="99"/>
      <c r="N178" s="10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3" t="s">
        <v>481</v>
      </c>
      <c r="AJ178" s="40"/>
      <c r="AK178" s="40"/>
    </row>
    <row r="179" spans="1:37" x14ac:dyDescent="0.2">
      <c r="A179" s="97"/>
      <c r="B179" s="78"/>
      <c r="C179" s="1768" t="s">
        <v>412</v>
      </c>
      <c r="D179" s="1768"/>
      <c r="E179" s="1768"/>
      <c r="F179" s="1768"/>
      <c r="G179" s="1768"/>
      <c r="H179" s="1768"/>
      <c r="I179" s="1768"/>
      <c r="J179" s="1768"/>
      <c r="K179" s="1768"/>
      <c r="L179" s="98">
        <v>26942.2</v>
      </c>
      <c r="M179" s="99"/>
      <c r="N179" s="10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3" t="s">
        <v>412</v>
      </c>
      <c r="AJ179" s="40"/>
      <c r="AK179" s="40"/>
    </row>
    <row r="180" spans="1:37" x14ac:dyDescent="0.2">
      <c r="A180" s="97"/>
      <c r="B180" s="78"/>
      <c r="C180" s="1768" t="s">
        <v>413</v>
      </c>
      <c r="D180" s="1768"/>
      <c r="E180" s="1768"/>
      <c r="F180" s="1768"/>
      <c r="G180" s="1768"/>
      <c r="H180" s="1768"/>
      <c r="I180" s="1768"/>
      <c r="J180" s="1768"/>
      <c r="K180" s="1768"/>
      <c r="L180" s="98">
        <v>18077.09</v>
      </c>
      <c r="M180" s="99"/>
      <c r="N180" s="10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3" t="s">
        <v>413</v>
      </c>
      <c r="AJ180" s="40"/>
      <c r="AK180" s="40"/>
    </row>
    <row r="181" spans="1:37" x14ac:dyDescent="0.2">
      <c r="A181" s="97"/>
      <c r="B181" s="78" t="s">
        <v>185</v>
      </c>
      <c r="C181" s="1768" t="s">
        <v>414</v>
      </c>
      <c r="D181" s="1768"/>
      <c r="E181" s="1768"/>
      <c r="F181" s="1768"/>
      <c r="G181" s="1768"/>
      <c r="H181" s="1768"/>
      <c r="I181" s="1768"/>
      <c r="J181" s="1768"/>
      <c r="K181" s="1768"/>
      <c r="L181" s="98">
        <v>88852.68</v>
      </c>
      <c r="M181" s="99">
        <v>8.32</v>
      </c>
      <c r="N181" s="100">
        <v>739254</v>
      </c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3" t="s">
        <v>414</v>
      </c>
      <c r="AJ181" s="40"/>
      <c r="AK181" s="40"/>
    </row>
    <row r="182" spans="1:37" x14ac:dyDescent="0.2">
      <c r="A182" s="97"/>
      <c r="B182" s="78"/>
      <c r="C182" s="1768" t="s">
        <v>415</v>
      </c>
      <c r="D182" s="1768"/>
      <c r="E182" s="1768"/>
      <c r="F182" s="1768"/>
      <c r="G182" s="1768"/>
      <c r="H182" s="1768"/>
      <c r="I182" s="1768"/>
      <c r="J182" s="1768"/>
      <c r="K182" s="1768"/>
      <c r="L182" s="98">
        <v>26642.06</v>
      </c>
      <c r="M182" s="99"/>
      <c r="N182" s="10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3" t="s">
        <v>415</v>
      </c>
      <c r="AJ182" s="40"/>
      <c r="AK182" s="40"/>
    </row>
    <row r="183" spans="1:37" x14ac:dyDescent="0.2">
      <c r="A183" s="97"/>
      <c r="B183" s="78"/>
      <c r="C183" s="1768" t="s">
        <v>416</v>
      </c>
      <c r="D183" s="1768"/>
      <c r="E183" s="1768"/>
      <c r="F183" s="1768"/>
      <c r="G183" s="1768"/>
      <c r="H183" s="1768"/>
      <c r="I183" s="1768"/>
      <c r="J183" s="1768"/>
      <c r="K183" s="1768"/>
      <c r="L183" s="98">
        <v>26942.2</v>
      </c>
      <c r="M183" s="99"/>
      <c r="N183" s="10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3" t="s">
        <v>416</v>
      </c>
      <c r="AJ183" s="40"/>
      <c r="AK183" s="40"/>
    </row>
    <row r="184" spans="1:37" x14ac:dyDescent="0.2">
      <c r="A184" s="97"/>
      <c r="B184" s="78"/>
      <c r="C184" s="1768" t="s">
        <v>417</v>
      </c>
      <c r="D184" s="1768"/>
      <c r="E184" s="1768"/>
      <c r="F184" s="1768"/>
      <c r="G184" s="1768"/>
      <c r="H184" s="1768"/>
      <c r="I184" s="1768"/>
      <c r="J184" s="1768"/>
      <c r="K184" s="1768"/>
      <c r="L184" s="98">
        <v>18077.09</v>
      </c>
      <c r="M184" s="99"/>
      <c r="N184" s="10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3" t="s">
        <v>417</v>
      </c>
      <c r="AJ184" s="40"/>
      <c r="AK184" s="40"/>
    </row>
    <row r="185" spans="1:37" x14ac:dyDescent="0.2">
      <c r="A185" s="97"/>
      <c r="B185" s="91"/>
      <c r="C185" s="1787" t="s">
        <v>206</v>
      </c>
      <c r="D185" s="1787"/>
      <c r="E185" s="1787"/>
      <c r="F185" s="1787"/>
      <c r="G185" s="1787"/>
      <c r="H185" s="1787"/>
      <c r="I185" s="1787"/>
      <c r="J185" s="1787"/>
      <c r="K185" s="1787"/>
      <c r="L185" s="102">
        <v>266237.58</v>
      </c>
      <c r="M185" s="103"/>
      <c r="N185" s="108">
        <v>2215096</v>
      </c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3" t="s">
        <v>206</v>
      </c>
      <c r="AK185" s="40"/>
    </row>
    <row r="186" spans="1:37" ht="1.5" customHeight="1" x14ac:dyDescent="0.2">
      <c r="B186" s="9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2"/>
      <c r="M186" s="103"/>
      <c r="N186" s="109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</row>
    <row r="187" spans="1:37" ht="53.25" customHeight="1" x14ac:dyDescent="0.2">
      <c r="A187" s="178"/>
      <c r="B187" s="178"/>
      <c r="C187" s="178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</row>
    <row r="188" spans="1:37" x14ac:dyDescent="0.2">
      <c r="B188" s="111" t="s">
        <v>149</v>
      </c>
      <c r="C188" s="1789" t="s">
        <v>296</v>
      </c>
      <c r="D188" s="1789"/>
      <c r="E188" s="1789"/>
      <c r="F188" s="1789"/>
      <c r="G188" s="1789"/>
      <c r="H188" s="1789"/>
      <c r="I188" s="1789"/>
      <c r="J188" s="1789"/>
      <c r="K188" s="1789"/>
      <c r="L188" s="1789"/>
    </row>
    <row r="189" spans="1:37" ht="13.5" customHeight="1" x14ac:dyDescent="0.2">
      <c r="B189" s="41"/>
      <c r="C189" s="1806" t="s">
        <v>150</v>
      </c>
      <c r="D189" s="1806"/>
      <c r="E189" s="1806"/>
      <c r="F189" s="1806"/>
      <c r="G189" s="1806"/>
      <c r="H189" s="1806"/>
      <c r="I189" s="1806"/>
      <c r="J189" s="1806"/>
      <c r="K189" s="1806"/>
      <c r="L189" s="1806"/>
    </row>
    <row r="190" spans="1:37" ht="12.75" customHeight="1" x14ac:dyDescent="0.2">
      <c r="B190" s="111" t="s">
        <v>151</v>
      </c>
      <c r="C190" s="1789" t="s">
        <v>297</v>
      </c>
      <c r="D190" s="1789"/>
      <c r="E190" s="1789"/>
      <c r="F190" s="1789"/>
      <c r="G190" s="1789"/>
      <c r="H190" s="1789"/>
      <c r="I190" s="1789"/>
      <c r="J190" s="1789"/>
      <c r="K190" s="1789"/>
      <c r="L190" s="1789"/>
    </row>
    <row r="191" spans="1:37" ht="13.5" customHeight="1" x14ac:dyDescent="0.2">
      <c r="C191" s="1806" t="s">
        <v>150</v>
      </c>
      <c r="D191" s="1806"/>
      <c r="E191" s="1806"/>
      <c r="F191" s="1806"/>
      <c r="G191" s="1806"/>
      <c r="H191" s="1806"/>
      <c r="I191" s="1806"/>
      <c r="J191" s="1806"/>
      <c r="K191" s="1806"/>
      <c r="L191" s="1806"/>
    </row>
    <row r="193" spans="1:37" x14ac:dyDescent="0.2">
      <c r="A193" s="1790"/>
      <c r="B193" s="1790"/>
      <c r="C193" s="1790"/>
      <c r="D193" s="1790"/>
      <c r="E193" s="1790"/>
      <c r="F193" s="1790"/>
      <c r="G193" s="1790"/>
      <c r="H193" s="1790"/>
      <c r="I193" s="1790"/>
      <c r="J193" s="1790"/>
      <c r="K193" s="1790"/>
      <c r="L193" s="1790"/>
      <c r="M193" s="1790"/>
      <c r="N193" s="179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3" t="s">
        <v>143</v>
      </c>
    </row>
    <row r="194" spans="1:37" x14ac:dyDescent="0.2">
      <c r="B194" s="112"/>
      <c r="D194" s="112"/>
      <c r="F194" s="112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</row>
  </sheetData>
  <mergeCells count="167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C53:E53"/>
    <mergeCell ref="C54:E54"/>
    <mergeCell ref="C56:E56"/>
    <mergeCell ref="C57:N57"/>
    <mergeCell ref="C58:N58"/>
    <mergeCell ref="C59:E59"/>
    <mergeCell ref="C47:E47"/>
    <mergeCell ref="C48:E48"/>
    <mergeCell ref="C49:E49"/>
    <mergeCell ref="C50:E50"/>
    <mergeCell ref="C51:E51"/>
    <mergeCell ref="C52:E52"/>
    <mergeCell ref="C66:E66"/>
    <mergeCell ref="C67:E67"/>
    <mergeCell ref="C69:E69"/>
    <mergeCell ref="C71:N71"/>
    <mergeCell ref="C72:E72"/>
    <mergeCell ref="C73:N73"/>
    <mergeCell ref="C60:E60"/>
    <mergeCell ref="C61:E61"/>
    <mergeCell ref="C62:E62"/>
    <mergeCell ref="C63:E63"/>
    <mergeCell ref="C64:E64"/>
    <mergeCell ref="C65:E65"/>
    <mergeCell ref="C80:E80"/>
    <mergeCell ref="C81:E81"/>
    <mergeCell ref="C82:E82"/>
    <mergeCell ref="C83:E83"/>
    <mergeCell ref="C84:E84"/>
    <mergeCell ref="C85:E85"/>
    <mergeCell ref="C74:E74"/>
    <mergeCell ref="C75:N75"/>
    <mergeCell ref="C76:N76"/>
    <mergeCell ref="C77:E77"/>
    <mergeCell ref="C78:E78"/>
    <mergeCell ref="C79:E79"/>
    <mergeCell ref="C94:K94"/>
    <mergeCell ref="C95:K95"/>
    <mergeCell ref="C96:K96"/>
    <mergeCell ref="C97:K97"/>
    <mergeCell ref="C98:K98"/>
    <mergeCell ref="C99:K99"/>
    <mergeCell ref="C86:E86"/>
    <mergeCell ref="C87:E87"/>
    <mergeCell ref="C88:E88"/>
    <mergeCell ref="C89:E89"/>
    <mergeCell ref="C92:K92"/>
    <mergeCell ref="C93:K93"/>
    <mergeCell ref="C106:K106"/>
    <mergeCell ref="C107:K107"/>
    <mergeCell ref="C108:K108"/>
    <mergeCell ref="C109:K109"/>
    <mergeCell ref="C110:K110"/>
    <mergeCell ref="C111:K111"/>
    <mergeCell ref="C100:K100"/>
    <mergeCell ref="C101:K101"/>
    <mergeCell ref="C102:K102"/>
    <mergeCell ref="C103:K103"/>
    <mergeCell ref="C104:K104"/>
    <mergeCell ref="C105:K105"/>
    <mergeCell ref="C118:E118"/>
    <mergeCell ref="C119:E119"/>
    <mergeCell ref="C120:E120"/>
    <mergeCell ref="C121:E121"/>
    <mergeCell ref="C122:E122"/>
    <mergeCell ref="C123:E123"/>
    <mergeCell ref="A112:N112"/>
    <mergeCell ref="C113:E113"/>
    <mergeCell ref="C114:N114"/>
    <mergeCell ref="C115:N115"/>
    <mergeCell ref="C116:E116"/>
    <mergeCell ref="C117:E117"/>
    <mergeCell ref="C132:N132"/>
    <mergeCell ref="C134:K134"/>
    <mergeCell ref="C135:K135"/>
    <mergeCell ref="C136:K136"/>
    <mergeCell ref="C137:K137"/>
    <mergeCell ref="C138:K138"/>
    <mergeCell ref="C124:E124"/>
    <mergeCell ref="C125:E125"/>
    <mergeCell ref="C126:E126"/>
    <mergeCell ref="C128:E128"/>
    <mergeCell ref="C130:N130"/>
    <mergeCell ref="C131:E131"/>
    <mergeCell ref="C145:K145"/>
    <mergeCell ref="C146:K146"/>
    <mergeCell ref="C147:K147"/>
    <mergeCell ref="C148:K148"/>
    <mergeCell ref="C149:K149"/>
    <mergeCell ref="C150:K150"/>
    <mergeCell ref="C139:K139"/>
    <mergeCell ref="C140:K140"/>
    <mergeCell ref="C141:K141"/>
    <mergeCell ref="C142:K142"/>
    <mergeCell ref="C143:K143"/>
    <mergeCell ref="C144:K144"/>
    <mergeCell ref="C159:K159"/>
    <mergeCell ref="C160:K160"/>
    <mergeCell ref="C161:K161"/>
    <mergeCell ref="C162:K162"/>
    <mergeCell ref="C163:K163"/>
    <mergeCell ref="C164:K164"/>
    <mergeCell ref="C151:K151"/>
    <mergeCell ref="A152:N152"/>
    <mergeCell ref="C153:E153"/>
    <mergeCell ref="C155:N155"/>
    <mergeCell ref="C157:K157"/>
    <mergeCell ref="C158:K158"/>
    <mergeCell ref="C172:K172"/>
    <mergeCell ref="C173:K173"/>
    <mergeCell ref="C174:K174"/>
    <mergeCell ref="C175:K175"/>
    <mergeCell ref="C176:K176"/>
    <mergeCell ref="C177:K177"/>
    <mergeCell ref="C166:K166"/>
    <mergeCell ref="C167:K167"/>
    <mergeCell ref="C168:K168"/>
    <mergeCell ref="C169:K169"/>
    <mergeCell ref="C170:K170"/>
    <mergeCell ref="C171:K171"/>
    <mergeCell ref="A193:N193"/>
    <mergeCell ref="C184:K184"/>
    <mergeCell ref="C185:K185"/>
    <mergeCell ref="C188:L188"/>
    <mergeCell ref="C189:L189"/>
    <mergeCell ref="C190:L190"/>
    <mergeCell ref="C191:L191"/>
    <mergeCell ref="C178:K178"/>
    <mergeCell ref="C179:K179"/>
    <mergeCell ref="C180:K180"/>
    <mergeCell ref="C181:K181"/>
    <mergeCell ref="C182:K182"/>
    <mergeCell ref="C183:K183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19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/>
  <dimension ref="A1:AG90"/>
  <sheetViews>
    <sheetView topLeftCell="A56" zoomScale="115" zoomScaleNormal="115" workbookViewId="0"/>
  </sheetViews>
  <sheetFormatPr defaultColWidth="9.140625" defaultRowHeight="11.25" customHeight="1" x14ac:dyDescent="0.25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600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30" width="34.140625" style="537" hidden="1" customWidth="1"/>
    <col min="31" max="33" width="84.42578125" style="537" hidden="1" customWidth="1"/>
    <col min="34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94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94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5141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5061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5061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5142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323.89999999999998</v>
      </c>
      <c r="D28" s="579" t="s">
        <v>5143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323.89999999999998</v>
      </c>
      <c r="D30" s="579" t="s">
        <v>5143</v>
      </c>
      <c r="E30" s="665" t="s">
        <v>167</v>
      </c>
      <c r="G30" s="536" t="s">
        <v>170</v>
      </c>
      <c r="L30" s="580">
        <v>0</v>
      </c>
      <c r="M30" s="579" t="s">
        <v>5144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665" t="s">
        <v>167</v>
      </c>
      <c r="G31" s="536" t="s">
        <v>172</v>
      </c>
      <c r="L31" s="582"/>
      <c r="M31" s="582">
        <v>20.37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665" t="s">
        <v>167</v>
      </c>
      <c r="G32" s="536" t="s">
        <v>174</v>
      </c>
      <c r="L32" s="582"/>
      <c r="M32" s="582">
        <v>13.77</v>
      </c>
      <c r="N32" s="581" t="s">
        <v>173</v>
      </c>
    </row>
    <row r="33" spans="1:28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8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8" s="536" customFormat="1" ht="12" x14ac:dyDescent="0.2">
      <c r="A39" s="1824" t="s">
        <v>5145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5145</v>
      </c>
    </row>
    <row r="40" spans="1:28" s="536" customFormat="1" ht="45" x14ac:dyDescent="0.2">
      <c r="A40" s="575" t="s">
        <v>185</v>
      </c>
      <c r="B40" s="670" t="s">
        <v>5146</v>
      </c>
      <c r="C40" s="1823" t="s">
        <v>8947</v>
      </c>
      <c r="D40" s="1823"/>
      <c r="E40" s="1823"/>
      <c r="F40" s="573" t="s">
        <v>307</v>
      </c>
      <c r="G40" s="573"/>
      <c r="H40" s="573"/>
      <c r="I40" s="573" t="s">
        <v>2131</v>
      </c>
      <c r="J40" s="572"/>
      <c r="K40" s="573"/>
      <c r="L40" s="572"/>
      <c r="M40" s="571"/>
      <c r="N40" s="570"/>
      <c r="V40" s="674"/>
      <c r="W40" s="675" t="s">
        <v>8947</v>
      </c>
    </row>
    <row r="41" spans="1:28" s="536" customFormat="1" ht="12" x14ac:dyDescent="0.2">
      <c r="A41" s="676"/>
      <c r="B41" s="664"/>
      <c r="C41" s="1822" t="s">
        <v>5147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5147</v>
      </c>
    </row>
    <row r="42" spans="1:28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Y42" s="537" t="s">
        <v>311</v>
      </c>
    </row>
    <row r="43" spans="1:28" s="536" customFormat="1" ht="12" x14ac:dyDescent="0.2">
      <c r="A43" s="605"/>
      <c r="B43" s="552" t="s">
        <v>185</v>
      </c>
      <c r="C43" s="1822" t="s">
        <v>312</v>
      </c>
      <c r="D43" s="1822"/>
      <c r="E43" s="1822"/>
      <c r="F43" s="562"/>
      <c r="G43" s="562"/>
      <c r="H43" s="562"/>
      <c r="I43" s="562"/>
      <c r="J43" s="604">
        <v>375.75</v>
      </c>
      <c r="K43" s="562" t="s">
        <v>313</v>
      </c>
      <c r="L43" s="604">
        <v>173.78</v>
      </c>
      <c r="M43" s="603"/>
      <c r="N43" s="602"/>
      <c r="V43" s="674"/>
      <c r="W43" s="675"/>
      <c r="Z43" s="537" t="s">
        <v>312</v>
      </c>
    </row>
    <row r="44" spans="1:28" s="536" customFormat="1" ht="12" x14ac:dyDescent="0.2">
      <c r="A44" s="605"/>
      <c r="B44" s="552" t="s">
        <v>186</v>
      </c>
      <c r="C44" s="1822" t="s">
        <v>344</v>
      </c>
      <c r="D44" s="1822"/>
      <c r="E44" s="1822"/>
      <c r="F44" s="562"/>
      <c r="G44" s="562"/>
      <c r="H44" s="562"/>
      <c r="I44" s="562"/>
      <c r="J44" s="604">
        <v>732.4</v>
      </c>
      <c r="K44" s="562" t="s">
        <v>313</v>
      </c>
      <c r="L44" s="604">
        <v>338.74</v>
      </c>
      <c r="M44" s="603"/>
      <c r="N44" s="602"/>
      <c r="V44" s="674"/>
      <c r="W44" s="675"/>
      <c r="Z44" s="537" t="s">
        <v>344</v>
      </c>
    </row>
    <row r="45" spans="1:28" s="536" customFormat="1" ht="12" x14ac:dyDescent="0.2">
      <c r="A45" s="605"/>
      <c r="B45" s="552" t="s">
        <v>187</v>
      </c>
      <c r="C45" s="1822" t="s">
        <v>345</v>
      </c>
      <c r="D45" s="1822"/>
      <c r="E45" s="1822"/>
      <c r="F45" s="562"/>
      <c r="G45" s="562"/>
      <c r="H45" s="562"/>
      <c r="I45" s="562"/>
      <c r="J45" s="604">
        <v>345.45</v>
      </c>
      <c r="K45" s="562" t="s">
        <v>313</v>
      </c>
      <c r="L45" s="604">
        <v>159.77000000000001</v>
      </c>
      <c r="M45" s="603"/>
      <c r="N45" s="602"/>
      <c r="V45" s="674"/>
      <c r="W45" s="675"/>
      <c r="Z45" s="537" t="s">
        <v>345</v>
      </c>
    </row>
    <row r="46" spans="1:28" s="536" customFormat="1" ht="12" x14ac:dyDescent="0.2">
      <c r="A46" s="676"/>
      <c r="B46" s="677" t="s">
        <v>5148</v>
      </c>
      <c r="C46" s="1829" t="s">
        <v>5149</v>
      </c>
      <c r="D46" s="1829"/>
      <c r="E46" s="1829"/>
      <c r="F46" s="678" t="s">
        <v>694</v>
      </c>
      <c r="G46" s="678" t="s">
        <v>1292</v>
      </c>
      <c r="H46" s="678"/>
      <c r="I46" s="678" t="s">
        <v>1360</v>
      </c>
      <c r="J46" s="552"/>
      <c r="K46" s="562"/>
      <c r="L46" s="604"/>
      <c r="M46" s="562"/>
      <c r="N46" s="679"/>
      <c r="V46" s="674"/>
      <c r="W46" s="675"/>
      <c r="AA46" s="680" t="s">
        <v>5149</v>
      </c>
    </row>
    <row r="47" spans="1:28" s="536" customFormat="1" ht="12" x14ac:dyDescent="0.2">
      <c r="A47" s="676"/>
      <c r="B47" s="677" t="s">
        <v>5150</v>
      </c>
      <c r="C47" s="1829" t="s">
        <v>5151</v>
      </c>
      <c r="D47" s="1829"/>
      <c r="E47" s="1829"/>
      <c r="F47" s="678" t="s">
        <v>617</v>
      </c>
      <c r="G47" s="678" t="s">
        <v>844</v>
      </c>
      <c r="H47" s="678"/>
      <c r="I47" s="678" t="s">
        <v>770</v>
      </c>
      <c r="J47" s="552"/>
      <c r="K47" s="562"/>
      <c r="L47" s="604"/>
      <c r="M47" s="562"/>
      <c r="N47" s="679"/>
      <c r="V47" s="674"/>
      <c r="W47" s="675"/>
      <c r="AA47" s="680" t="s">
        <v>5151</v>
      </c>
    </row>
    <row r="48" spans="1:28" s="536" customFormat="1" ht="12" x14ac:dyDescent="0.2">
      <c r="A48" s="605"/>
      <c r="B48" s="552"/>
      <c r="C48" s="1822" t="s">
        <v>314</v>
      </c>
      <c r="D48" s="1822"/>
      <c r="E48" s="1822"/>
      <c r="F48" s="562" t="s">
        <v>315</v>
      </c>
      <c r="G48" s="562" t="s">
        <v>5152</v>
      </c>
      <c r="H48" s="562" t="s">
        <v>313</v>
      </c>
      <c r="I48" s="562" t="s">
        <v>5153</v>
      </c>
      <c r="J48" s="604"/>
      <c r="K48" s="562"/>
      <c r="L48" s="604"/>
      <c r="M48" s="603"/>
      <c r="N48" s="602"/>
      <c r="V48" s="674"/>
      <c r="W48" s="675"/>
      <c r="AA48" s="680"/>
      <c r="AB48" s="537" t="s">
        <v>314</v>
      </c>
    </row>
    <row r="49" spans="1:32" s="536" customFormat="1" ht="12" x14ac:dyDescent="0.2">
      <c r="A49" s="605"/>
      <c r="B49" s="552"/>
      <c r="C49" s="1822" t="s">
        <v>348</v>
      </c>
      <c r="D49" s="1822"/>
      <c r="E49" s="1822"/>
      <c r="F49" s="562" t="s">
        <v>315</v>
      </c>
      <c r="G49" s="562" t="s">
        <v>5154</v>
      </c>
      <c r="H49" s="562" t="s">
        <v>313</v>
      </c>
      <c r="I49" s="562" t="s">
        <v>5155</v>
      </c>
      <c r="J49" s="604"/>
      <c r="K49" s="562"/>
      <c r="L49" s="604"/>
      <c r="M49" s="603"/>
      <c r="N49" s="602"/>
      <c r="V49" s="674"/>
      <c r="W49" s="675"/>
      <c r="AA49" s="680"/>
      <c r="AB49" s="537" t="s">
        <v>348</v>
      </c>
    </row>
    <row r="50" spans="1:32" s="536" customFormat="1" ht="12" x14ac:dyDescent="0.2">
      <c r="A50" s="605"/>
      <c r="B50" s="552"/>
      <c r="C50" s="1828" t="s">
        <v>318</v>
      </c>
      <c r="D50" s="1828"/>
      <c r="E50" s="1828"/>
      <c r="F50" s="608"/>
      <c r="G50" s="608"/>
      <c r="H50" s="608"/>
      <c r="I50" s="608"/>
      <c r="J50" s="607">
        <v>1108.1500000000001</v>
      </c>
      <c r="K50" s="608"/>
      <c r="L50" s="607">
        <v>512.52</v>
      </c>
      <c r="M50" s="601"/>
      <c r="N50" s="606"/>
      <c r="V50" s="674"/>
      <c r="W50" s="675"/>
      <c r="AA50" s="680"/>
      <c r="AC50" s="537" t="s">
        <v>318</v>
      </c>
    </row>
    <row r="51" spans="1:32" s="536" customFormat="1" ht="12" x14ac:dyDescent="0.2">
      <c r="A51" s="605"/>
      <c r="B51" s="552"/>
      <c r="C51" s="1822" t="s">
        <v>319</v>
      </c>
      <c r="D51" s="1822"/>
      <c r="E51" s="1822"/>
      <c r="F51" s="562"/>
      <c r="G51" s="562"/>
      <c r="H51" s="562"/>
      <c r="I51" s="562"/>
      <c r="J51" s="604"/>
      <c r="K51" s="562"/>
      <c r="L51" s="604">
        <v>333.55</v>
      </c>
      <c r="M51" s="603"/>
      <c r="N51" s="602"/>
      <c r="V51" s="674"/>
      <c r="W51" s="675"/>
      <c r="AA51" s="680"/>
      <c r="AB51" s="537" t="s">
        <v>319</v>
      </c>
    </row>
    <row r="52" spans="1:32" s="536" customFormat="1" ht="33.75" x14ac:dyDescent="0.2">
      <c r="A52" s="605"/>
      <c r="B52" s="552" t="s">
        <v>648</v>
      </c>
      <c r="C52" s="1822" t="s">
        <v>649</v>
      </c>
      <c r="D52" s="1822"/>
      <c r="E52" s="1822"/>
      <c r="F52" s="562" t="s">
        <v>322</v>
      </c>
      <c r="G52" s="562" t="s">
        <v>650</v>
      </c>
      <c r="H52" s="562"/>
      <c r="I52" s="562" t="s">
        <v>650</v>
      </c>
      <c r="J52" s="604"/>
      <c r="K52" s="562"/>
      <c r="L52" s="604">
        <v>310.2</v>
      </c>
      <c r="M52" s="603"/>
      <c r="N52" s="602"/>
      <c r="V52" s="674"/>
      <c r="W52" s="675"/>
      <c r="AA52" s="680"/>
      <c r="AB52" s="537" t="s">
        <v>649</v>
      </c>
    </row>
    <row r="53" spans="1:32" s="536" customFormat="1" ht="33.75" x14ac:dyDescent="0.2">
      <c r="A53" s="605"/>
      <c r="B53" s="552" t="s">
        <v>651</v>
      </c>
      <c r="C53" s="1822" t="s">
        <v>652</v>
      </c>
      <c r="D53" s="1822"/>
      <c r="E53" s="1822"/>
      <c r="F53" s="562" t="s">
        <v>322</v>
      </c>
      <c r="G53" s="562" t="s">
        <v>653</v>
      </c>
      <c r="H53" s="562"/>
      <c r="I53" s="562" t="s">
        <v>653</v>
      </c>
      <c r="J53" s="604"/>
      <c r="K53" s="562"/>
      <c r="L53" s="604">
        <v>206.8</v>
      </c>
      <c r="M53" s="603"/>
      <c r="N53" s="602"/>
      <c r="V53" s="674"/>
      <c r="W53" s="675"/>
      <c r="AA53" s="680"/>
      <c r="AB53" s="537" t="s">
        <v>652</v>
      </c>
    </row>
    <row r="54" spans="1:32" s="536" customFormat="1" ht="12" x14ac:dyDescent="0.2">
      <c r="A54" s="569"/>
      <c r="B54" s="671"/>
      <c r="C54" s="1823" t="s">
        <v>327</v>
      </c>
      <c r="D54" s="1823"/>
      <c r="E54" s="1823"/>
      <c r="F54" s="573"/>
      <c r="G54" s="573"/>
      <c r="H54" s="573"/>
      <c r="I54" s="573"/>
      <c r="J54" s="572"/>
      <c r="K54" s="573"/>
      <c r="L54" s="572">
        <v>1029.52</v>
      </c>
      <c r="M54" s="601"/>
      <c r="N54" s="570"/>
      <c r="V54" s="674"/>
      <c r="W54" s="675"/>
      <c r="AA54" s="680"/>
      <c r="AD54" s="675" t="s">
        <v>327</v>
      </c>
    </row>
    <row r="55" spans="1:32" s="536" customFormat="1" ht="33.75" x14ac:dyDescent="0.2">
      <c r="A55" s="575" t="s">
        <v>186</v>
      </c>
      <c r="B55" s="670" t="s">
        <v>5156</v>
      </c>
      <c r="C55" s="1823" t="s">
        <v>5157</v>
      </c>
      <c r="D55" s="1823"/>
      <c r="E55" s="1823"/>
      <c r="F55" s="573" t="s">
        <v>483</v>
      </c>
      <c r="G55" s="573"/>
      <c r="H55" s="573"/>
      <c r="I55" s="573" t="s">
        <v>190</v>
      </c>
      <c r="J55" s="572">
        <v>16737.5</v>
      </c>
      <c r="K55" s="573" t="s">
        <v>716</v>
      </c>
      <c r="L55" s="572">
        <v>12311.78</v>
      </c>
      <c r="M55" s="571">
        <v>8.32</v>
      </c>
      <c r="N55" s="570">
        <v>102434</v>
      </c>
      <c r="V55" s="674"/>
      <c r="W55" s="675" t="s">
        <v>5157</v>
      </c>
      <c r="AA55" s="680"/>
      <c r="AD55" s="675"/>
    </row>
    <row r="56" spans="1:32" s="536" customFormat="1" ht="12" x14ac:dyDescent="0.2">
      <c r="A56" s="569"/>
      <c r="B56" s="671"/>
      <c r="C56" s="665" t="s">
        <v>717</v>
      </c>
      <c r="D56" s="666"/>
      <c r="E56" s="666"/>
      <c r="F56" s="563"/>
      <c r="G56" s="563"/>
      <c r="H56" s="563"/>
      <c r="I56" s="563"/>
      <c r="J56" s="566"/>
      <c r="K56" s="563"/>
      <c r="L56" s="566"/>
      <c r="M56" s="565"/>
      <c r="N56" s="564"/>
      <c r="V56" s="674"/>
      <c r="W56" s="675"/>
      <c r="AA56" s="680"/>
      <c r="AD56" s="675"/>
    </row>
    <row r="57" spans="1:32" s="536" customFormat="1" ht="22.5" x14ac:dyDescent="0.2">
      <c r="A57" s="609"/>
      <c r="B57" s="552" t="s">
        <v>718</v>
      </c>
      <c r="C57" s="1822" t="s">
        <v>719</v>
      </c>
      <c r="D57" s="1822"/>
      <c r="E57" s="1822"/>
      <c r="F57" s="1822"/>
      <c r="G57" s="1822"/>
      <c r="H57" s="1822"/>
      <c r="I57" s="1822"/>
      <c r="J57" s="1822"/>
      <c r="K57" s="1822"/>
      <c r="L57" s="1822"/>
      <c r="M57" s="1822"/>
      <c r="N57" s="1827"/>
      <c r="V57" s="674"/>
      <c r="W57" s="675"/>
      <c r="Y57" s="537" t="s">
        <v>719</v>
      </c>
      <c r="AA57" s="680"/>
      <c r="AD57" s="675"/>
    </row>
    <row r="58" spans="1:32" s="536" customFormat="1" ht="33.75" x14ac:dyDescent="0.2">
      <c r="A58" s="575" t="s">
        <v>187</v>
      </c>
      <c r="B58" s="670" t="s">
        <v>5158</v>
      </c>
      <c r="C58" s="1823" t="s">
        <v>5159</v>
      </c>
      <c r="D58" s="1823"/>
      <c r="E58" s="1823"/>
      <c r="F58" s="573" t="s">
        <v>617</v>
      </c>
      <c r="G58" s="573"/>
      <c r="H58" s="573"/>
      <c r="I58" s="573" t="s">
        <v>1079</v>
      </c>
      <c r="J58" s="572">
        <v>8349</v>
      </c>
      <c r="K58" s="573" t="s">
        <v>716</v>
      </c>
      <c r="L58" s="572">
        <v>25588.94</v>
      </c>
      <c r="M58" s="571">
        <v>8.32</v>
      </c>
      <c r="N58" s="570">
        <v>212900</v>
      </c>
      <c r="V58" s="674"/>
      <c r="W58" s="675" t="s">
        <v>5159</v>
      </c>
      <c r="AA58" s="680"/>
      <c r="AD58" s="675"/>
    </row>
    <row r="59" spans="1:32" s="536" customFormat="1" ht="12" x14ac:dyDescent="0.2">
      <c r="A59" s="569"/>
      <c r="B59" s="671"/>
      <c r="C59" s="665" t="s">
        <v>717</v>
      </c>
      <c r="D59" s="666"/>
      <c r="E59" s="666"/>
      <c r="F59" s="563"/>
      <c r="G59" s="563"/>
      <c r="H59" s="563"/>
      <c r="I59" s="563"/>
      <c r="J59" s="566"/>
      <c r="K59" s="563"/>
      <c r="L59" s="566"/>
      <c r="M59" s="565"/>
      <c r="N59" s="564"/>
      <c r="V59" s="674"/>
      <c r="W59" s="675"/>
      <c r="AA59" s="680"/>
      <c r="AD59" s="675"/>
    </row>
    <row r="60" spans="1:32" s="536" customFormat="1" ht="22.5" x14ac:dyDescent="0.2">
      <c r="A60" s="609"/>
      <c r="B60" s="552" t="s">
        <v>718</v>
      </c>
      <c r="C60" s="1822" t="s">
        <v>719</v>
      </c>
      <c r="D60" s="1822"/>
      <c r="E60" s="1822"/>
      <c r="F60" s="1822"/>
      <c r="G60" s="1822"/>
      <c r="H60" s="1822"/>
      <c r="I60" s="1822"/>
      <c r="J60" s="1822"/>
      <c r="K60" s="1822"/>
      <c r="L60" s="1822"/>
      <c r="M60" s="1822"/>
      <c r="N60" s="1827"/>
      <c r="V60" s="674"/>
      <c r="W60" s="675"/>
      <c r="Y60" s="537" t="s">
        <v>719</v>
      </c>
      <c r="AA60" s="680"/>
      <c r="AD60" s="675"/>
    </row>
    <row r="61" spans="1:32" s="536" customFormat="1" ht="1.5" customHeight="1" x14ac:dyDescent="0.2">
      <c r="A61" s="563"/>
      <c r="B61" s="671"/>
      <c r="C61" s="671"/>
      <c r="D61" s="671"/>
      <c r="E61" s="671"/>
      <c r="F61" s="563"/>
      <c r="G61" s="563"/>
      <c r="H61" s="563"/>
      <c r="I61" s="563"/>
      <c r="J61" s="546"/>
      <c r="K61" s="563"/>
      <c r="L61" s="546"/>
      <c r="M61" s="562"/>
      <c r="N61" s="546"/>
      <c r="V61" s="674"/>
      <c r="W61" s="675"/>
      <c r="AA61" s="680"/>
      <c r="AD61" s="675"/>
    </row>
    <row r="62" spans="1:32" s="536" customFormat="1" ht="2.25" customHeight="1" x14ac:dyDescent="0.2">
      <c r="B62" s="561"/>
      <c r="C62" s="561"/>
      <c r="D62" s="561"/>
      <c r="E62" s="561"/>
      <c r="F62" s="561"/>
      <c r="G62" s="561"/>
      <c r="H62" s="561"/>
      <c r="I62" s="561"/>
      <c r="J62" s="561"/>
      <c r="K62" s="561"/>
      <c r="L62" s="560"/>
      <c r="M62" s="559"/>
      <c r="N62" s="558"/>
    </row>
    <row r="63" spans="1:32" s="536" customFormat="1" x14ac:dyDescent="0.2">
      <c r="A63" s="557"/>
      <c r="B63" s="556"/>
      <c r="C63" s="1823" t="s">
        <v>205</v>
      </c>
      <c r="D63" s="1823"/>
      <c r="E63" s="1823"/>
      <c r="F63" s="1823"/>
      <c r="G63" s="1823"/>
      <c r="H63" s="1823"/>
      <c r="I63" s="1823"/>
      <c r="J63" s="1823"/>
      <c r="K63" s="1823"/>
      <c r="L63" s="555"/>
      <c r="M63" s="554"/>
      <c r="N63" s="553"/>
      <c r="AE63" s="675" t="s">
        <v>205</v>
      </c>
    </row>
    <row r="64" spans="1:32" s="536" customFormat="1" x14ac:dyDescent="0.2">
      <c r="A64" s="548"/>
      <c r="B64" s="552"/>
      <c r="C64" s="1822" t="s">
        <v>403</v>
      </c>
      <c r="D64" s="1822"/>
      <c r="E64" s="1822"/>
      <c r="F64" s="1822"/>
      <c r="G64" s="1822"/>
      <c r="H64" s="1822"/>
      <c r="I64" s="1822"/>
      <c r="J64" s="1822"/>
      <c r="K64" s="1822"/>
      <c r="L64" s="551">
        <v>38413.24</v>
      </c>
      <c r="M64" s="550"/>
      <c r="N64" s="549"/>
      <c r="AE64" s="675"/>
      <c r="AF64" s="537" t="s">
        <v>403</v>
      </c>
    </row>
    <row r="65" spans="1:33" x14ac:dyDescent="0.2">
      <c r="A65" s="548"/>
      <c r="B65" s="552"/>
      <c r="C65" s="1822" t="s">
        <v>204</v>
      </c>
      <c r="D65" s="1822"/>
      <c r="E65" s="1822"/>
      <c r="F65" s="1822"/>
      <c r="G65" s="1822"/>
      <c r="H65" s="1822"/>
      <c r="I65" s="1822"/>
      <c r="J65" s="1822"/>
      <c r="K65" s="1822"/>
      <c r="L65" s="551"/>
      <c r="M65" s="550"/>
      <c r="N65" s="549"/>
      <c r="O65" s="536"/>
      <c r="P65" s="536"/>
      <c r="Q65" s="536"/>
      <c r="R65" s="536"/>
      <c r="S65" s="536"/>
      <c r="T65" s="536"/>
      <c r="U65" s="536"/>
      <c r="V65" s="536"/>
      <c r="W65" s="536"/>
      <c r="X65" s="536"/>
      <c r="Y65" s="536"/>
      <c r="Z65" s="536"/>
      <c r="AA65" s="536"/>
      <c r="AB65" s="536"/>
      <c r="AC65" s="536"/>
      <c r="AD65" s="536"/>
      <c r="AE65" s="675"/>
      <c r="AF65" s="537" t="s">
        <v>204</v>
      </c>
      <c r="AG65" s="536"/>
    </row>
    <row r="66" spans="1:33" x14ac:dyDescent="0.2">
      <c r="A66" s="548"/>
      <c r="B66" s="552"/>
      <c r="C66" s="1822" t="s">
        <v>404</v>
      </c>
      <c r="D66" s="1822"/>
      <c r="E66" s="1822"/>
      <c r="F66" s="1822"/>
      <c r="G66" s="1822"/>
      <c r="H66" s="1822"/>
      <c r="I66" s="1822"/>
      <c r="J66" s="1822"/>
      <c r="K66" s="1822"/>
      <c r="L66" s="551">
        <v>173.78</v>
      </c>
      <c r="M66" s="550"/>
      <c r="N66" s="549"/>
      <c r="O66" s="536"/>
      <c r="P66" s="536"/>
      <c r="Q66" s="536"/>
      <c r="R66" s="536"/>
      <c r="S66" s="536"/>
      <c r="T66" s="536"/>
      <c r="U66" s="536"/>
      <c r="V66" s="536"/>
      <c r="W66" s="536"/>
      <c r="X66" s="536"/>
      <c r="Y66" s="536"/>
      <c r="Z66" s="536"/>
      <c r="AA66" s="536"/>
      <c r="AB66" s="536"/>
      <c r="AC66" s="536"/>
      <c r="AD66" s="536"/>
      <c r="AE66" s="675"/>
      <c r="AF66" s="537" t="s">
        <v>404</v>
      </c>
      <c r="AG66" s="536"/>
    </row>
    <row r="67" spans="1:33" x14ac:dyDescent="0.2">
      <c r="A67" s="548"/>
      <c r="B67" s="552"/>
      <c r="C67" s="1822" t="s">
        <v>405</v>
      </c>
      <c r="D67" s="1822"/>
      <c r="E67" s="1822"/>
      <c r="F67" s="1822"/>
      <c r="G67" s="1822"/>
      <c r="H67" s="1822"/>
      <c r="I67" s="1822"/>
      <c r="J67" s="1822"/>
      <c r="K67" s="1822"/>
      <c r="L67" s="551">
        <v>338.74</v>
      </c>
      <c r="M67" s="550"/>
      <c r="N67" s="549"/>
      <c r="O67" s="536"/>
      <c r="P67" s="536"/>
      <c r="Q67" s="536"/>
      <c r="R67" s="536"/>
      <c r="S67" s="536"/>
      <c r="T67" s="536"/>
      <c r="U67" s="536"/>
      <c r="V67" s="536"/>
      <c r="W67" s="536"/>
      <c r="X67" s="536"/>
      <c r="Y67" s="536"/>
      <c r="Z67" s="536"/>
      <c r="AA67" s="536"/>
      <c r="AB67" s="536"/>
      <c r="AC67" s="536"/>
      <c r="AD67" s="536"/>
      <c r="AE67" s="675"/>
      <c r="AF67" s="537" t="s">
        <v>405</v>
      </c>
      <c r="AG67" s="536"/>
    </row>
    <row r="68" spans="1:33" x14ac:dyDescent="0.2">
      <c r="A68" s="548"/>
      <c r="B68" s="552"/>
      <c r="C68" s="1822" t="s">
        <v>406</v>
      </c>
      <c r="D68" s="1822"/>
      <c r="E68" s="1822"/>
      <c r="F68" s="1822"/>
      <c r="G68" s="1822"/>
      <c r="H68" s="1822"/>
      <c r="I68" s="1822"/>
      <c r="J68" s="1822"/>
      <c r="K68" s="1822"/>
      <c r="L68" s="551">
        <v>159.77000000000001</v>
      </c>
      <c r="M68" s="550"/>
      <c r="N68" s="549"/>
      <c r="O68" s="536"/>
      <c r="P68" s="536"/>
      <c r="Q68" s="536"/>
      <c r="R68" s="536"/>
      <c r="S68" s="536"/>
      <c r="T68" s="536"/>
      <c r="U68" s="536"/>
      <c r="V68" s="536"/>
      <c r="W68" s="536"/>
      <c r="X68" s="536"/>
      <c r="Y68" s="536"/>
      <c r="Z68" s="536"/>
      <c r="AA68" s="536"/>
      <c r="AB68" s="536"/>
      <c r="AC68" s="536"/>
      <c r="AD68" s="536"/>
      <c r="AE68" s="675"/>
      <c r="AF68" s="537" t="s">
        <v>406</v>
      </c>
      <c r="AG68" s="536"/>
    </row>
    <row r="69" spans="1:33" x14ac:dyDescent="0.2">
      <c r="A69" s="548"/>
      <c r="B69" s="552"/>
      <c r="C69" s="1822" t="s">
        <v>480</v>
      </c>
      <c r="D69" s="1822"/>
      <c r="E69" s="1822"/>
      <c r="F69" s="1822"/>
      <c r="G69" s="1822"/>
      <c r="H69" s="1822"/>
      <c r="I69" s="1822"/>
      <c r="J69" s="1822"/>
      <c r="K69" s="1822"/>
      <c r="L69" s="551">
        <v>37900.720000000001</v>
      </c>
      <c r="M69" s="550"/>
      <c r="N69" s="549"/>
      <c r="O69" s="536"/>
      <c r="P69" s="536"/>
      <c r="Q69" s="536"/>
      <c r="R69" s="536"/>
      <c r="S69" s="536"/>
      <c r="T69" s="536"/>
      <c r="U69" s="536"/>
      <c r="V69" s="536"/>
      <c r="W69" s="536"/>
      <c r="X69" s="536"/>
      <c r="Y69" s="536"/>
      <c r="Z69" s="536"/>
      <c r="AA69" s="536"/>
      <c r="AB69" s="536"/>
      <c r="AC69" s="536"/>
      <c r="AD69" s="536"/>
      <c r="AE69" s="675"/>
      <c r="AF69" s="537" t="s">
        <v>480</v>
      </c>
      <c r="AG69" s="536"/>
    </row>
    <row r="70" spans="1:33" x14ac:dyDescent="0.2">
      <c r="A70" s="548"/>
      <c r="B70" s="552" t="s">
        <v>185</v>
      </c>
      <c r="C70" s="1822" t="s">
        <v>407</v>
      </c>
      <c r="D70" s="1822"/>
      <c r="E70" s="1822"/>
      <c r="F70" s="1822"/>
      <c r="G70" s="1822"/>
      <c r="H70" s="1822"/>
      <c r="I70" s="1822"/>
      <c r="J70" s="1822"/>
      <c r="K70" s="1822"/>
      <c r="L70" s="551">
        <v>38930.239999999998</v>
      </c>
      <c r="M70" s="550">
        <v>8.32</v>
      </c>
      <c r="N70" s="549">
        <v>323900</v>
      </c>
      <c r="O70" s="536"/>
      <c r="P70" s="536"/>
      <c r="Q70" s="536"/>
      <c r="R70" s="536"/>
      <c r="S70" s="536"/>
      <c r="T70" s="536"/>
      <c r="U70" s="536"/>
      <c r="V70" s="536"/>
      <c r="W70" s="536"/>
      <c r="X70" s="536"/>
      <c r="Y70" s="536"/>
      <c r="Z70" s="536"/>
      <c r="AA70" s="536"/>
      <c r="AB70" s="536"/>
      <c r="AC70" s="536"/>
      <c r="AD70" s="536"/>
      <c r="AE70" s="675"/>
      <c r="AF70" s="537" t="s">
        <v>407</v>
      </c>
      <c r="AG70" s="536"/>
    </row>
    <row r="71" spans="1:33" x14ac:dyDescent="0.2">
      <c r="A71" s="548"/>
      <c r="B71" s="552"/>
      <c r="C71" s="1822" t="s">
        <v>204</v>
      </c>
      <c r="D71" s="1822"/>
      <c r="E71" s="1822"/>
      <c r="F71" s="1822"/>
      <c r="G71" s="1822"/>
      <c r="H71" s="1822"/>
      <c r="I71" s="1822"/>
      <c r="J71" s="1822"/>
      <c r="K71" s="1822"/>
      <c r="L71" s="551"/>
      <c r="M71" s="550"/>
      <c r="N71" s="549"/>
      <c r="O71" s="536"/>
      <c r="P71" s="536"/>
      <c r="Q71" s="536"/>
      <c r="R71" s="536"/>
      <c r="S71" s="536"/>
      <c r="T71" s="536"/>
      <c r="U71" s="536"/>
      <c r="V71" s="536"/>
      <c r="W71" s="536"/>
      <c r="X71" s="536"/>
      <c r="Y71" s="536"/>
      <c r="Z71" s="536"/>
      <c r="AA71" s="536"/>
      <c r="AB71" s="536"/>
      <c r="AC71" s="536"/>
      <c r="AD71" s="536"/>
      <c r="AE71" s="675"/>
      <c r="AF71" s="537" t="s">
        <v>204</v>
      </c>
      <c r="AG71" s="536"/>
    </row>
    <row r="72" spans="1:33" x14ac:dyDescent="0.2">
      <c r="A72" s="548"/>
      <c r="B72" s="552"/>
      <c r="C72" s="1822" t="s">
        <v>546</v>
      </c>
      <c r="D72" s="1822"/>
      <c r="E72" s="1822"/>
      <c r="F72" s="1822"/>
      <c r="G72" s="1822"/>
      <c r="H72" s="1822"/>
      <c r="I72" s="1822"/>
      <c r="J72" s="1822"/>
      <c r="K72" s="1822"/>
      <c r="L72" s="551">
        <v>173.78</v>
      </c>
      <c r="M72" s="550"/>
      <c r="N72" s="549"/>
      <c r="O72" s="536"/>
      <c r="P72" s="536"/>
      <c r="Q72" s="536"/>
      <c r="R72" s="536"/>
      <c r="S72" s="536"/>
      <c r="T72" s="536"/>
      <c r="U72" s="536"/>
      <c r="V72" s="536"/>
      <c r="W72" s="536"/>
      <c r="X72" s="536"/>
      <c r="Y72" s="536"/>
      <c r="Z72" s="536"/>
      <c r="AA72" s="536"/>
      <c r="AB72" s="536"/>
      <c r="AC72" s="536"/>
      <c r="AD72" s="536"/>
      <c r="AE72" s="675"/>
      <c r="AF72" s="537" t="s">
        <v>546</v>
      </c>
      <c r="AG72" s="536"/>
    </row>
    <row r="73" spans="1:33" x14ac:dyDescent="0.2">
      <c r="A73" s="548"/>
      <c r="B73" s="552"/>
      <c r="C73" s="1822" t="s">
        <v>442</v>
      </c>
      <c r="D73" s="1822"/>
      <c r="E73" s="1822"/>
      <c r="F73" s="1822"/>
      <c r="G73" s="1822"/>
      <c r="H73" s="1822"/>
      <c r="I73" s="1822"/>
      <c r="J73" s="1822"/>
      <c r="K73" s="1822"/>
      <c r="L73" s="551">
        <v>338.74</v>
      </c>
      <c r="M73" s="550"/>
      <c r="N73" s="549"/>
      <c r="O73" s="536"/>
      <c r="P73" s="536"/>
      <c r="Q73" s="536"/>
      <c r="R73" s="536"/>
      <c r="S73" s="536"/>
      <c r="T73" s="536"/>
      <c r="U73" s="536"/>
      <c r="V73" s="536"/>
      <c r="W73" s="536"/>
      <c r="X73" s="536"/>
      <c r="Y73" s="536"/>
      <c r="Z73" s="536"/>
      <c r="AA73" s="536"/>
      <c r="AB73" s="536"/>
      <c r="AC73" s="536"/>
      <c r="AD73" s="536"/>
      <c r="AE73" s="675"/>
      <c r="AF73" s="537" t="s">
        <v>442</v>
      </c>
      <c r="AG73" s="536"/>
    </row>
    <row r="74" spans="1:33" x14ac:dyDescent="0.2">
      <c r="A74" s="548"/>
      <c r="B74" s="552"/>
      <c r="C74" s="1822" t="s">
        <v>547</v>
      </c>
      <c r="D74" s="1822"/>
      <c r="E74" s="1822"/>
      <c r="F74" s="1822"/>
      <c r="G74" s="1822"/>
      <c r="H74" s="1822"/>
      <c r="I74" s="1822"/>
      <c r="J74" s="1822"/>
      <c r="K74" s="1822"/>
      <c r="L74" s="551">
        <v>37900.720000000001</v>
      </c>
      <c r="M74" s="550"/>
      <c r="N74" s="549"/>
      <c r="O74" s="536"/>
      <c r="P74" s="536"/>
      <c r="Q74" s="536"/>
      <c r="R74" s="536"/>
      <c r="S74" s="536"/>
      <c r="T74" s="536"/>
      <c r="U74" s="536"/>
      <c r="V74" s="536"/>
      <c r="W74" s="536"/>
      <c r="X74" s="536"/>
      <c r="Y74" s="536"/>
      <c r="Z74" s="536"/>
      <c r="AA74" s="536"/>
      <c r="AB74" s="536"/>
      <c r="AC74" s="536"/>
      <c r="AD74" s="536"/>
      <c r="AE74" s="675"/>
      <c r="AF74" s="537" t="s">
        <v>547</v>
      </c>
      <c r="AG74" s="536"/>
    </row>
    <row r="75" spans="1:33" x14ac:dyDescent="0.2">
      <c r="A75" s="548"/>
      <c r="B75" s="552"/>
      <c r="C75" s="1822" t="s">
        <v>443</v>
      </c>
      <c r="D75" s="1822"/>
      <c r="E75" s="1822"/>
      <c r="F75" s="1822"/>
      <c r="G75" s="1822"/>
      <c r="H75" s="1822"/>
      <c r="I75" s="1822"/>
      <c r="J75" s="1822"/>
      <c r="K75" s="1822"/>
      <c r="L75" s="551">
        <v>310.2</v>
      </c>
      <c r="M75" s="550"/>
      <c r="N75" s="549"/>
      <c r="O75" s="536"/>
      <c r="P75" s="536"/>
      <c r="Q75" s="536"/>
      <c r="R75" s="536"/>
      <c r="S75" s="536"/>
      <c r="T75" s="536"/>
      <c r="U75" s="536"/>
      <c r="V75" s="536"/>
      <c r="W75" s="536"/>
      <c r="X75" s="536"/>
      <c r="Y75" s="536"/>
      <c r="Z75" s="536"/>
      <c r="AA75" s="536"/>
      <c r="AB75" s="536"/>
      <c r="AC75" s="536"/>
      <c r="AD75" s="536"/>
      <c r="AE75" s="675"/>
      <c r="AF75" s="537" t="s">
        <v>443</v>
      </c>
      <c r="AG75" s="536"/>
    </row>
    <row r="76" spans="1:33" x14ac:dyDescent="0.2">
      <c r="A76" s="548"/>
      <c r="B76" s="552"/>
      <c r="C76" s="1822" t="s">
        <v>444</v>
      </c>
      <c r="D76" s="1822"/>
      <c r="E76" s="1822"/>
      <c r="F76" s="1822"/>
      <c r="G76" s="1822"/>
      <c r="H76" s="1822"/>
      <c r="I76" s="1822"/>
      <c r="J76" s="1822"/>
      <c r="K76" s="1822"/>
      <c r="L76" s="551">
        <v>206.8</v>
      </c>
      <c r="M76" s="550"/>
      <c r="N76" s="549"/>
      <c r="O76" s="536"/>
      <c r="P76" s="536"/>
      <c r="Q76" s="536"/>
      <c r="R76" s="536"/>
      <c r="S76" s="536"/>
      <c r="T76" s="536"/>
      <c r="U76" s="536"/>
      <c r="V76" s="536"/>
      <c r="W76" s="536"/>
      <c r="X76" s="536"/>
      <c r="Y76" s="536"/>
      <c r="Z76" s="536"/>
      <c r="AA76" s="536"/>
      <c r="AB76" s="536"/>
      <c r="AC76" s="536"/>
      <c r="AD76" s="536"/>
      <c r="AE76" s="675"/>
      <c r="AF76" s="537" t="s">
        <v>444</v>
      </c>
      <c r="AG76" s="536"/>
    </row>
    <row r="77" spans="1:33" x14ac:dyDescent="0.2">
      <c r="A77" s="548"/>
      <c r="B77" s="552"/>
      <c r="C77" s="1822" t="s">
        <v>415</v>
      </c>
      <c r="D77" s="1822"/>
      <c r="E77" s="1822"/>
      <c r="F77" s="1822"/>
      <c r="G77" s="1822"/>
      <c r="H77" s="1822"/>
      <c r="I77" s="1822"/>
      <c r="J77" s="1822"/>
      <c r="K77" s="1822"/>
      <c r="L77" s="551">
        <v>333.55</v>
      </c>
      <c r="M77" s="550"/>
      <c r="N77" s="549"/>
      <c r="O77" s="536"/>
      <c r="P77" s="536"/>
      <c r="Q77" s="536"/>
      <c r="R77" s="536"/>
      <c r="S77" s="536"/>
      <c r="T77" s="536"/>
      <c r="U77" s="536"/>
      <c r="V77" s="536"/>
      <c r="W77" s="536"/>
      <c r="X77" s="536"/>
      <c r="Y77" s="536"/>
      <c r="Z77" s="536"/>
      <c r="AA77" s="536"/>
      <c r="AB77" s="536"/>
      <c r="AC77" s="536"/>
      <c r="AD77" s="536"/>
      <c r="AE77" s="675"/>
      <c r="AF77" s="537" t="s">
        <v>415</v>
      </c>
      <c r="AG77" s="536"/>
    </row>
    <row r="78" spans="1:33" x14ac:dyDescent="0.2">
      <c r="A78" s="548"/>
      <c r="B78" s="552"/>
      <c r="C78" s="1822" t="s">
        <v>416</v>
      </c>
      <c r="D78" s="1822"/>
      <c r="E78" s="1822"/>
      <c r="F78" s="1822"/>
      <c r="G78" s="1822"/>
      <c r="H78" s="1822"/>
      <c r="I78" s="1822"/>
      <c r="J78" s="1822"/>
      <c r="K78" s="1822"/>
      <c r="L78" s="551">
        <v>310.2</v>
      </c>
      <c r="M78" s="550"/>
      <c r="N78" s="549"/>
      <c r="O78" s="536"/>
      <c r="P78" s="536"/>
      <c r="Q78" s="536"/>
      <c r="R78" s="536"/>
      <c r="S78" s="536"/>
      <c r="T78" s="536"/>
      <c r="U78" s="536"/>
      <c r="V78" s="536"/>
      <c r="W78" s="536"/>
      <c r="X78" s="536"/>
      <c r="Y78" s="536"/>
      <c r="Z78" s="536"/>
      <c r="AA78" s="536"/>
      <c r="AB78" s="536"/>
      <c r="AC78" s="536"/>
      <c r="AD78" s="536"/>
      <c r="AE78" s="675"/>
      <c r="AF78" s="537" t="s">
        <v>416</v>
      </c>
      <c r="AG78" s="536"/>
    </row>
    <row r="79" spans="1:33" x14ac:dyDescent="0.2">
      <c r="A79" s="548"/>
      <c r="B79" s="552"/>
      <c r="C79" s="1822" t="s">
        <v>417</v>
      </c>
      <c r="D79" s="1822"/>
      <c r="E79" s="1822"/>
      <c r="F79" s="1822"/>
      <c r="G79" s="1822"/>
      <c r="H79" s="1822"/>
      <c r="I79" s="1822"/>
      <c r="J79" s="1822"/>
      <c r="K79" s="1822"/>
      <c r="L79" s="551">
        <v>206.8</v>
      </c>
      <c r="M79" s="550"/>
      <c r="N79" s="549"/>
      <c r="O79" s="536"/>
      <c r="P79" s="536"/>
      <c r="Q79" s="536"/>
      <c r="R79" s="536"/>
      <c r="S79" s="536"/>
      <c r="T79" s="536"/>
      <c r="U79" s="536"/>
      <c r="V79" s="536"/>
      <c r="W79" s="536"/>
      <c r="X79" s="536"/>
      <c r="Y79" s="536"/>
      <c r="Z79" s="536"/>
      <c r="AA79" s="536"/>
      <c r="AB79" s="536"/>
      <c r="AC79" s="536"/>
      <c r="AD79" s="536"/>
      <c r="AE79" s="675"/>
      <c r="AF79" s="537" t="s">
        <v>417</v>
      </c>
      <c r="AG79" s="536"/>
    </row>
    <row r="80" spans="1:33" x14ac:dyDescent="0.2">
      <c r="A80" s="548"/>
      <c r="B80" s="546"/>
      <c r="C80" s="1819" t="s">
        <v>206</v>
      </c>
      <c r="D80" s="1819"/>
      <c r="E80" s="1819"/>
      <c r="F80" s="1819"/>
      <c r="G80" s="1819"/>
      <c r="H80" s="1819"/>
      <c r="I80" s="1819"/>
      <c r="J80" s="1819"/>
      <c r="K80" s="1819"/>
      <c r="L80" s="544">
        <v>38930.239999999998</v>
      </c>
      <c r="M80" s="543"/>
      <c r="N80" s="547">
        <v>323900</v>
      </c>
      <c r="O80" s="536"/>
      <c r="P80" s="536"/>
      <c r="Q80" s="536"/>
      <c r="R80" s="536"/>
      <c r="S80" s="536"/>
      <c r="T80" s="536"/>
      <c r="U80" s="536"/>
      <c r="V80" s="536"/>
      <c r="W80" s="536"/>
      <c r="X80" s="536"/>
      <c r="Y80" s="536"/>
      <c r="Z80" s="536"/>
      <c r="AA80" s="536"/>
      <c r="AB80" s="536"/>
      <c r="AC80" s="536"/>
      <c r="AD80" s="536"/>
      <c r="AE80" s="675"/>
      <c r="AF80" s="536"/>
      <c r="AG80" s="675" t="s">
        <v>206</v>
      </c>
    </row>
    <row r="81" spans="1:33" x14ac:dyDescent="0.2">
      <c r="A81" s="548"/>
      <c r="B81" s="552"/>
      <c r="C81" s="1822" t="s">
        <v>204</v>
      </c>
      <c r="D81" s="1822"/>
      <c r="E81" s="1822"/>
      <c r="F81" s="1822"/>
      <c r="G81" s="1822"/>
      <c r="H81" s="1822"/>
      <c r="I81" s="1822"/>
      <c r="J81" s="1822"/>
      <c r="K81" s="1822"/>
      <c r="L81" s="551"/>
      <c r="M81" s="550"/>
      <c r="N81" s="549"/>
      <c r="O81" s="536"/>
      <c r="P81" s="536"/>
      <c r="Q81" s="536"/>
      <c r="R81" s="536"/>
      <c r="S81" s="536"/>
      <c r="T81" s="536"/>
      <c r="U81" s="536"/>
      <c r="V81" s="536"/>
      <c r="W81" s="536"/>
      <c r="X81" s="536"/>
      <c r="Y81" s="536"/>
      <c r="Z81" s="536"/>
      <c r="AA81" s="536"/>
      <c r="AB81" s="536"/>
      <c r="AC81" s="536"/>
      <c r="AD81" s="536"/>
      <c r="AE81" s="675"/>
      <c r="AF81" s="537" t="s">
        <v>204</v>
      </c>
      <c r="AG81" s="675"/>
    </row>
    <row r="82" spans="1:33" x14ac:dyDescent="0.2">
      <c r="A82" s="548"/>
      <c r="B82" s="552"/>
      <c r="C82" s="1822" t="s">
        <v>8095</v>
      </c>
      <c r="D82" s="1822"/>
      <c r="E82" s="1822"/>
      <c r="F82" s="1822"/>
      <c r="G82" s="1822"/>
      <c r="H82" s="1822"/>
      <c r="I82" s="1822"/>
      <c r="J82" s="1822"/>
      <c r="K82" s="1822"/>
      <c r="L82" s="551">
        <v>37900.720000000001</v>
      </c>
      <c r="M82" s="550"/>
      <c r="N82" s="549">
        <v>315334</v>
      </c>
      <c r="O82" s="536"/>
      <c r="P82" s="536"/>
      <c r="Q82" s="536"/>
      <c r="R82" s="536"/>
      <c r="S82" s="536"/>
      <c r="T82" s="536"/>
      <c r="U82" s="536"/>
      <c r="V82" s="536"/>
      <c r="W82" s="536"/>
      <c r="X82" s="536"/>
      <c r="Y82" s="536"/>
      <c r="Z82" s="536"/>
      <c r="AA82" s="536"/>
      <c r="AB82" s="536"/>
      <c r="AC82" s="536"/>
      <c r="AD82" s="536"/>
      <c r="AE82" s="675"/>
      <c r="AF82" s="537" t="s">
        <v>8095</v>
      </c>
      <c r="AG82" s="675"/>
    </row>
    <row r="83" spans="1:33" ht="1.5" customHeight="1" x14ac:dyDescent="0.2">
      <c r="B83" s="546"/>
      <c r="C83" s="671"/>
      <c r="D83" s="671"/>
      <c r="E83" s="671"/>
      <c r="F83" s="671"/>
      <c r="G83" s="671"/>
      <c r="H83" s="671"/>
      <c r="I83" s="671"/>
      <c r="J83" s="671"/>
      <c r="K83" s="671"/>
      <c r="L83" s="544"/>
      <c r="M83" s="543"/>
      <c r="N83" s="542"/>
      <c r="O83" s="536"/>
      <c r="P83" s="536"/>
      <c r="Q83" s="536"/>
      <c r="R83" s="536"/>
      <c r="S83" s="536"/>
      <c r="T83" s="536"/>
      <c r="U83" s="536"/>
      <c r="V83" s="536"/>
      <c r="W83" s="536"/>
      <c r="X83" s="536"/>
      <c r="Y83" s="536"/>
      <c r="Z83" s="536"/>
      <c r="AA83" s="536"/>
      <c r="AB83" s="536"/>
      <c r="AC83" s="536"/>
      <c r="AD83" s="536"/>
      <c r="AE83" s="536"/>
      <c r="AF83" s="536"/>
      <c r="AG83" s="536"/>
    </row>
    <row r="84" spans="1:33" ht="53.25" customHeight="1" x14ac:dyDescent="0.2">
      <c r="A84" s="541"/>
      <c r="B84" s="541"/>
      <c r="C84" s="541"/>
      <c r="D84" s="541"/>
      <c r="E84" s="541"/>
      <c r="F84" s="541"/>
      <c r="G84" s="541"/>
      <c r="H84" s="541"/>
      <c r="I84" s="541"/>
      <c r="J84" s="541"/>
      <c r="K84" s="541"/>
      <c r="L84" s="541"/>
      <c r="M84" s="541"/>
      <c r="N84" s="541"/>
      <c r="O84" s="536"/>
      <c r="P84" s="536"/>
      <c r="Q84" s="536"/>
      <c r="R84" s="536"/>
      <c r="S84" s="536"/>
      <c r="T84" s="536"/>
      <c r="U84" s="536"/>
      <c r="V84" s="536"/>
      <c r="W84" s="536"/>
      <c r="X84" s="536"/>
      <c r="Y84" s="536"/>
      <c r="Z84" s="536"/>
      <c r="AA84" s="536"/>
      <c r="AB84" s="536"/>
      <c r="AC84" s="536"/>
      <c r="AD84" s="536"/>
      <c r="AE84" s="536"/>
      <c r="AF84" s="536"/>
      <c r="AG84" s="536"/>
    </row>
    <row r="85" spans="1:33" x14ac:dyDescent="0.2">
      <c r="B85" s="539" t="s">
        <v>149</v>
      </c>
      <c r="C85" s="1820" t="s">
        <v>8946</v>
      </c>
      <c r="D85" s="1820"/>
      <c r="E85" s="1820"/>
      <c r="F85" s="1820"/>
      <c r="G85" s="1820"/>
      <c r="H85" s="1820"/>
      <c r="I85" s="1820"/>
      <c r="J85" s="1820"/>
      <c r="K85" s="1820"/>
      <c r="L85" s="1820"/>
      <c r="O85" s="536"/>
    </row>
    <row r="86" spans="1:33" ht="13.5" customHeight="1" x14ac:dyDescent="0.2">
      <c r="B86" s="540"/>
      <c r="C86" s="1821" t="s">
        <v>150</v>
      </c>
      <c r="D86" s="1821"/>
      <c r="E86" s="1821"/>
      <c r="F86" s="1821"/>
      <c r="G86" s="1821"/>
      <c r="H86" s="1821"/>
      <c r="I86" s="1821"/>
      <c r="J86" s="1821"/>
      <c r="K86" s="1821"/>
      <c r="L86" s="1821"/>
      <c r="O86" s="536"/>
    </row>
    <row r="87" spans="1:33" ht="12.75" customHeight="1" x14ac:dyDescent="0.2">
      <c r="B87" s="539" t="s">
        <v>151</v>
      </c>
      <c r="C87" s="1820" t="s">
        <v>8566</v>
      </c>
      <c r="D87" s="1820"/>
      <c r="E87" s="1820"/>
      <c r="F87" s="1820"/>
      <c r="G87" s="1820"/>
      <c r="H87" s="1820"/>
      <c r="I87" s="1820"/>
      <c r="J87" s="1820"/>
      <c r="K87" s="1820"/>
      <c r="L87" s="1820"/>
      <c r="O87" s="536"/>
    </row>
    <row r="88" spans="1:33" ht="13.5" customHeight="1" x14ac:dyDescent="0.2">
      <c r="C88" s="1821" t="s">
        <v>150</v>
      </c>
      <c r="D88" s="1821"/>
      <c r="E88" s="1821"/>
      <c r="F88" s="1821"/>
      <c r="G88" s="1821"/>
      <c r="H88" s="1821"/>
      <c r="I88" s="1821"/>
      <c r="J88" s="1821"/>
      <c r="K88" s="1821"/>
      <c r="L88" s="1821"/>
      <c r="O88" s="536"/>
    </row>
    <row r="90" spans="1:33" x14ac:dyDescent="0.2">
      <c r="B90" s="538"/>
      <c r="D90" s="538"/>
      <c r="F90" s="538"/>
      <c r="O90" s="536"/>
      <c r="P90" s="536"/>
      <c r="Q90" s="536"/>
      <c r="R90" s="536"/>
      <c r="S90" s="536"/>
      <c r="T90" s="536"/>
      <c r="U90" s="536"/>
      <c r="V90" s="536"/>
      <c r="W90" s="536"/>
      <c r="X90" s="536"/>
      <c r="Y90" s="536"/>
      <c r="Z90" s="536"/>
      <c r="AA90" s="536"/>
      <c r="AB90" s="536"/>
      <c r="AC90" s="536"/>
      <c r="AD90" s="536"/>
      <c r="AE90" s="536"/>
      <c r="AF90" s="536"/>
      <c r="AG90" s="536"/>
    </row>
  </sheetData>
  <mergeCells count="70">
    <mergeCell ref="C88:L88"/>
    <mergeCell ref="C75:K75"/>
    <mergeCell ref="C76:K76"/>
    <mergeCell ref="C77:K77"/>
    <mergeCell ref="C78:K78"/>
    <mergeCell ref="C79:K79"/>
    <mergeCell ref="C80:K80"/>
    <mergeCell ref="C81:K81"/>
    <mergeCell ref="C82:K82"/>
    <mergeCell ref="C85:L85"/>
    <mergeCell ref="C86:L86"/>
    <mergeCell ref="C87:L87"/>
    <mergeCell ref="C46:E46"/>
    <mergeCell ref="C74:K74"/>
    <mergeCell ref="C63:K63"/>
    <mergeCell ref="C64:K64"/>
    <mergeCell ref="C65:K65"/>
    <mergeCell ref="C66:K66"/>
    <mergeCell ref="C67:K67"/>
    <mergeCell ref="C68:K68"/>
    <mergeCell ref="C69:K69"/>
    <mergeCell ref="C70:K70"/>
    <mergeCell ref="C71:K71"/>
    <mergeCell ref="C72:K72"/>
    <mergeCell ref="C73:K73"/>
    <mergeCell ref="C60:N60"/>
    <mergeCell ref="C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7:N57"/>
    <mergeCell ref="C58:E58"/>
    <mergeCell ref="N35:N37"/>
    <mergeCell ref="C38:E38"/>
    <mergeCell ref="A39:N39"/>
    <mergeCell ref="G35:I36"/>
    <mergeCell ref="C45:E45"/>
    <mergeCell ref="C41:N41"/>
    <mergeCell ref="C42:N42"/>
    <mergeCell ref="C43:E43"/>
    <mergeCell ref="C44:E44"/>
    <mergeCell ref="C40:E40"/>
    <mergeCell ref="A35:A37"/>
    <mergeCell ref="B35:B37"/>
    <mergeCell ref="C35:E37"/>
    <mergeCell ref="F35:F37"/>
    <mergeCell ref="J35:L36"/>
    <mergeCell ref="M35:M37"/>
    <mergeCell ref="A18:N18"/>
    <mergeCell ref="A20:N20"/>
    <mergeCell ref="A21:N21"/>
    <mergeCell ref="B23:F23"/>
    <mergeCell ref="B24:F24"/>
    <mergeCell ref="L33:M33"/>
    <mergeCell ref="A4:C4"/>
    <mergeCell ref="K4:N4"/>
    <mergeCell ref="A5:D5"/>
    <mergeCell ref="J5:N5"/>
    <mergeCell ref="A6:D6"/>
    <mergeCell ref="J6:N6"/>
    <mergeCell ref="D10:N10"/>
    <mergeCell ref="A13:N13"/>
    <mergeCell ref="A14:N14"/>
    <mergeCell ref="A16:N16"/>
    <mergeCell ref="A17:N17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89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/>
  <dimension ref="A1:AJ355"/>
  <sheetViews>
    <sheetView topLeftCell="A318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.7109375" style="536" customWidth="1"/>
    <col min="14" max="14" width="11.2851562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29" width="34.140625" style="537" hidden="1" customWidth="1"/>
    <col min="30" max="32" width="84.42578125" style="537" hidden="1" customWidth="1"/>
    <col min="33" max="33" width="34.140625" style="537" hidden="1" customWidth="1"/>
    <col min="34" max="36" width="84.42578125" style="537" hidden="1" customWidth="1"/>
    <col min="37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274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274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94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94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5160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98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98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449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12282.07</v>
      </c>
      <c r="D28" s="579" t="s">
        <v>5161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12282.07</v>
      </c>
      <c r="D30" s="579" t="s">
        <v>5161</v>
      </c>
      <c r="E30" s="665" t="s">
        <v>167</v>
      </c>
      <c r="G30" s="536" t="s">
        <v>170</v>
      </c>
      <c r="L30" s="580">
        <v>0</v>
      </c>
      <c r="M30" s="579" t="s">
        <v>5162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665" t="s">
        <v>167</v>
      </c>
      <c r="G31" s="536" t="s">
        <v>172</v>
      </c>
      <c r="L31" s="582"/>
      <c r="M31" s="582">
        <v>2181.2199999999998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665" t="s">
        <v>167</v>
      </c>
      <c r="G32" s="536" t="s">
        <v>174</v>
      </c>
      <c r="L32" s="582"/>
      <c r="M32" s="582">
        <v>295.89</v>
      </c>
      <c r="N32" s="581" t="s">
        <v>173</v>
      </c>
    </row>
    <row r="33" spans="1:28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8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8" s="536" customFormat="1" ht="12" x14ac:dyDescent="0.2">
      <c r="A39" s="1824" t="s">
        <v>976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976</v>
      </c>
    </row>
    <row r="40" spans="1:28" s="536" customFormat="1" ht="56.25" x14ac:dyDescent="0.2">
      <c r="A40" s="575" t="s">
        <v>185</v>
      </c>
      <c r="B40" s="670" t="s">
        <v>3774</v>
      </c>
      <c r="C40" s="1823" t="s">
        <v>3775</v>
      </c>
      <c r="D40" s="1823"/>
      <c r="E40" s="1823"/>
      <c r="F40" s="573" t="s">
        <v>455</v>
      </c>
      <c r="G40" s="573"/>
      <c r="H40" s="573"/>
      <c r="I40" s="573" t="s">
        <v>5163</v>
      </c>
      <c r="J40" s="572"/>
      <c r="K40" s="573"/>
      <c r="L40" s="572"/>
      <c r="M40" s="571"/>
      <c r="N40" s="570"/>
      <c r="V40" s="674"/>
      <c r="W40" s="675" t="s">
        <v>3775</v>
      </c>
    </row>
    <row r="41" spans="1:28" s="536" customFormat="1" ht="12" x14ac:dyDescent="0.2">
      <c r="A41" s="676"/>
      <c r="B41" s="664"/>
      <c r="C41" s="1822" t="s">
        <v>5164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5164</v>
      </c>
    </row>
    <row r="42" spans="1:28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Y42" s="537" t="s">
        <v>311</v>
      </c>
    </row>
    <row r="43" spans="1:28" s="536" customFormat="1" ht="12" x14ac:dyDescent="0.2">
      <c r="A43" s="605"/>
      <c r="B43" s="552" t="s">
        <v>186</v>
      </c>
      <c r="C43" s="1822" t="s">
        <v>344</v>
      </c>
      <c r="D43" s="1822"/>
      <c r="E43" s="1822"/>
      <c r="F43" s="562"/>
      <c r="G43" s="562"/>
      <c r="H43" s="562"/>
      <c r="I43" s="562"/>
      <c r="J43" s="604">
        <v>6166.95</v>
      </c>
      <c r="K43" s="562" t="s">
        <v>313</v>
      </c>
      <c r="L43" s="604">
        <v>3045.7</v>
      </c>
      <c r="M43" s="603"/>
      <c r="N43" s="602"/>
      <c r="V43" s="674"/>
      <c r="W43" s="675"/>
      <c r="Z43" s="537" t="s">
        <v>344</v>
      </c>
    </row>
    <row r="44" spans="1:28" s="536" customFormat="1" ht="12" x14ac:dyDescent="0.2">
      <c r="A44" s="605"/>
      <c r="B44" s="552" t="s">
        <v>187</v>
      </c>
      <c r="C44" s="1822" t="s">
        <v>345</v>
      </c>
      <c r="D44" s="1822"/>
      <c r="E44" s="1822"/>
      <c r="F44" s="562"/>
      <c r="G44" s="562"/>
      <c r="H44" s="562"/>
      <c r="I44" s="562"/>
      <c r="J44" s="604">
        <v>722.25</v>
      </c>
      <c r="K44" s="562" t="s">
        <v>313</v>
      </c>
      <c r="L44" s="604">
        <v>356.7</v>
      </c>
      <c r="M44" s="603"/>
      <c r="N44" s="602"/>
      <c r="V44" s="674"/>
      <c r="W44" s="675"/>
      <c r="Z44" s="537" t="s">
        <v>345</v>
      </c>
    </row>
    <row r="45" spans="1:28" s="536" customFormat="1" ht="22.5" x14ac:dyDescent="0.2">
      <c r="A45" s="605"/>
      <c r="B45" s="552"/>
      <c r="C45" s="1822" t="s">
        <v>348</v>
      </c>
      <c r="D45" s="1822"/>
      <c r="E45" s="1822"/>
      <c r="F45" s="562" t="s">
        <v>315</v>
      </c>
      <c r="G45" s="562" t="s">
        <v>3776</v>
      </c>
      <c r="H45" s="562" t="s">
        <v>313</v>
      </c>
      <c r="I45" s="562" t="s">
        <v>5165</v>
      </c>
      <c r="J45" s="604"/>
      <c r="K45" s="562"/>
      <c r="L45" s="604"/>
      <c r="M45" s="603"/>
      <c r="N45" s="602"/>
      <c r="V45" s="674"/>
      <c r="W45" s="675"/>
      <c r="AA45" s="537" t="s">
        <v>348</v>
      </c>
    </row>
    <row r="46" spans="1:28" s="536" customFormat="1" ht="12" x14ac:dyDescent="0.2">
      <c r="A46" s="605"/>
      <c r="B46" s="552"/>
      <c r="C46" s="1828" t="s">
        <v>318</v>
      </c>
      <c r="D46" s="1828"/>
      <c r="E46" s="1828"/>
      <c r="F46" s="608"/>
      <c r="G46" s="608"/>
      <c r="H46" s="608"/>
      <c r="I46" s="608"/>
      <c r="J46" s="607">
        <v>6166.95</v>
      </c>
      <c r="K46" s="608"/>
      <c r="L46" s="607">
        <v>3045.7</v>
      </c>
      <c r="M46" s="601"/>
      <c r="N46" s="606"/>
      <c r="V46" s="674"/>
      <c r="W46" s="675"/>
      <c r="AB46" s="537" t="s">
        <v>318</v>
      </c>
    </row>
    <row r="47" spans="1:28" s="536" customFormat="1" ht="12" x14ac:dyDescent="0.2">
      <c r="A47" s="605"/>
      <c r="B47" s="552"/>
      <c r="C47" s="1822" t="s">
        <v>319</v>
      </c>
      <c r="D47" s="1822"/>
      <c r="E47" s="1822"/>
      <c r="F47" s="562"/>
      <c r="G47" s="562"/>
      <c r="H47" s="562"/>
      <c r="I47" s="562"/>
      <c r="J47" s="604"/>
      <c r="K47" s="562"/>
      <c r="L47" s="604">
        <v>356.7</v>
      </c>
      <c r="M47" s="603"/>
      <c r="N47" s="602"/>
      <c r="V47" s="674"/>
      <c r="W47" s="675"/>
      <c r="AA47" s="537" t="s">
        <v>319</v>
      </c>
    </row>
    <row r="48" spans="1:28" s="536" customFormat="1" ht="33.75" x14ac:dyDescent="0.2">
      <c r="A48" s="605"/>
      <c r="B48" s="552" t="s">
        <v>460</v>
      </c>
      <c r="C48" s="1822" t="s">
        <v>461</v>
      </c>
      <c r="D48" s="1822"/>
      <c r="E48" s="1822"/>
      <c r="F48" s="562" t="s">
        <v>322</v>
      </c>
      <c r="G48" s="562" t="s">
        <v>462</v>
      </c>
      <c r="H48" s="562"/>
      <c r="I48" s="562" t="s">
        <v>462</v>
      </c>
      <c r="J48" s="604"/>
      <c r="K48" s="562"/>
      <c r="L48" s="604">
        <v>328.16</v>
      </c>
      <c r="M48" s="603"/>
      <c r="N48" s="602"/>
      <c r="V48" s="674"/>
      <c r="W48" s="675"/>
      <c r="AA48" s="537" t="s">
        <v>461</v>
      </c>
    </row>
    <row r="49" spans="1:29" s="536" customFormat="1" ht="33.75" x14ac:dyDescent="0.2">
      <c r="A49" s="605"/>
      <c r="B49" s="552" t="s">
        <v>463</v>
      </c>
      <c r="C49" s="1822" t="s">
        <v>464</v>
      </c>
      <c r="D49" s="1822"/>
      <c r="E49" s="1822"/>
      <c r="F49" s="562" t="s">
        <v>322</v>
      </c>
      <c r="G49" s="562" t="s">
        <v>465</v>
      </c>
      <c r="H49" s="562"/>
      <c r="I49" s="562" t="s">
        <v>465</v>
      </c>
      <c r="J49" s="604"/>
      <c r="K49" s="562"/>
      <c r="L49" s="604">
        <v>164.08</v>
      </c>
      <c r="M49" s="603"/>
      <c r="N49" s="602"/>
      <c r="V49" s="674"/>
      <c r="W49" s="675"/>
      <c r="AA49" s="537" t="s">
        <v>464</v>
      </c>
    </row>
    <row r="50" spans="1:29" s="536" customFormat="1" ht="12" x14ac:dyDescent="0.2">
      <c r="A50" s="569"/>
      <c r="B50" s="671"/>
      <c r="C50" s="1823" t="s">
        <v>327</v>
      </c>
      <c r="D50" s="1823"/>
      <c r="E50" s="1823"/>
      <c r="F50" s="573"/>
      <c r="G50" s="573"/>
      <c r="H50" s="573"/>
      <c r="I50" s="573"/>
      <c r="J50" s="572"/>
      <c r="K50" s="573"/>
      <c r="L50" s="572">
        <v>3537.94</v>
      </c>
      <c r="M50" s="601"/>
      <c r="N50" s="570"/>
      <c r="V50" s="674"/>
      <c r="W50" s="675"/>
      <c r="AC50" s="675" t="s">
        <v>327</v>
      </c>
    </row>
    <row r="51" spans="1:29" s="536" customFormat="1" ht="45" x14ac:dyDescent="0.2">
      <c r="A51" s="575" t="s">
        <v>186</v>
      </c>
      <c r="B51" s="670" t="s">
        <v>1511</v>
      </c>
      <c r="C51" s="1823" t="s">
        <v>5166</v>
      </c>
      <c r="D51" s="1823"/>
      <c r="E51" s="1823"/>
      <c r="F51" s="573" t="s">
        <v>455</v>
      </c>
      <c r="G51" s="573"/>
      <c r="H51" s="573"/>
      <c r="I51" s="573" t="s">
        <v>5167</v>
      </c>
      <c r="J51" s="572"/>
      <c r="K51" s="573"/>
      <c r="L51" s="572"/>
      <c r="M51" s="571"/>
      <c r="N51" s="570"/>
      <c r="V51" s="674"/>
      <c r="W51" s="675" t="s">
        <v>5166</v>
      </c>
      <c r="AC51" s="675"/>
    </row>
    <row r="52" spans="1:29" s="536" customFormat="1" ht="12" x14ac:dyDescent="0.2">
      <c r="A52" s="676"/>
      <c r="B52" s="664"/>
      <c r="C52" s="1822" t="s">
        <v>5168</v>
      </c>
      <c r="D52" s="1822"/>
      <c r="E52" s="1822"/>
      <c r="F52" s="1822"/>
      <c r="G52" s="1822"/>
      <c r="H52" s="1822"/>
      <c r="I52" s="1822"/>
      <c r="J52" s="1822"/>
      <c r="K52" s="1822"/>
      <c r="L52" s="1822"/>
      <c r="M52" s="1822"/>
      <c r="N52" s="1827"/>
      <c r="V52" s="674"/>
      <c r="W52" s="675"/>
      <c r="X52" s="537" t="s">
        <v>5168</v>
      </c>
      <c r="AC52" s="675"/>
    </row>
    <row r="53" spans="1:29" s="536" customFormat="1" ht="33.75" x14ac:dyDescent="0.2">
      <c r="A53" s="609"/>
      <c r="B53" s="552" t="s">
        <v>310</v>
      </c>
      <c r="C53" s="1822" t="s">
        <v>311</v>
      </c>
      <c r="D53" s="1822"/>
      <c r="E53" s="1822"/>
      <c r="F53" s="1822"/>
      <c r="G53" s="1822"/>
      <c r="H53" s="1822"/>
      <c r="I53" s="1822"/>
      <c r="J53" s="1822"/>
      <c r="K53" s="1822"/>
      <c r="L53" s="1822"/>
      <c r="M53" s="1822"/>
      <c r="N53" s="1827"/>
      <c r="V53" s="674"/>
      <c r="W53" s="675"/>
      <c r="Y53" s="537" t="s">
        <v>311</v>
      </c>
      <c r="AC53" s="675"/>
    </row>
    <row r="54" spans="1:29" s="536" customFormat="1" ht="12" x14ac:dyDescent="0.2">
      <c r="A54" s="605"/>
      <c r="B54" s="552" t="s">
        <v>186</v>
      </c>
      <c r="C54" s="1822" t="s">
        <v>344</v>
      </c>
      <c r="D54" s="1822"/>
      <c r="E54" s="1822"/>
      <c r="F54" s="562"/>
      <c r="G54" s="562"/>
      <c r="H54" s="562"/>
      <c r="I54" s="562"/>
      <c r="J54" s="604">
        <v>4898.9799999999996</v>
      </c>
      <c r="K54" s="562" t="s">
        <v>313</v>
      </c>
      <c r="L54" s="604">
        <v>495.41</v>
      </c>
      <c r="M54" s="603"/>
      <c r="N54" s="602"/>
      <c r="V54" s="674"/>
      <c r="W54" s="675"/>
      <c r="Z54" s="537" t="s">
        <v>344</v>
      </c>
      <c r="AC54" s="675"/>
    </row>
    <row r="55" spans="1:29" s="536" customFormat="1" ht="12" x14ac:dyDescent="0.2">
      <c r="A55" s="605"/>
      <c r="B55" s="552" t="s">
        <v>187</v>
      </c>
      <c r="C55" s="1822" t="s">
        <v>345</v>
      </c>
      <c r="D55" s="1822"/>
      <c r="E55" s="1822"/>
      <c r="F55" s="562"/>
      <c r="G55" s="562"/>
      <c r="H55" s="562"/>
      <c r="I55" s="562"/>
      <c r="J55" s="604">
        <v>573.75</v>
      </c>
      <c r="K55" s="562" t="s">
        <v>313</v>
      </c>
      <c r="L55" s="604">
        <v>58.02</v>
      </c>
      <c r="M55" s="603"/>
      <c r="N55" s="602"/>
      <c r="V55" s="674"/>
      <c r="W55" s="675"/>
      <c r="Z55" s="537" t="s">
        <v>345</v>
      </c>
      <c r="AC55" s="675"/>
    </row>
    <row r="56" spans="1:29" s="536" customFormat="1" ht="12" x14ac:dyDescent="0.2">
      <c r="A56" s="605"/>
      <c r="B56" s="552"/>
      <c r="C56" s="1822" t="s">
        <v>348</v>
      </c>
      <c r="D56" s="1822"/>
      <c r="E56" s="1822"/>
      <c r="F56" s="562" t="s">
        <v>315</v>
      </c>
      <c r="G56" s="562" t="s">
        <v>1513</v>
      </c>
      <c r="H56" s="562" t="s">
        <v>313</v>
      </c>
      <c r="I56" s="562" t="s">
        <v>5169</v>
      </c>
      <c r="J56" s="604"/>
      <c r="K56" s="562"/>
      <c r="L56" s="604"/>
      <c r="M56" s="603"/>
      <c r="N56" s="602"/>
      <c r="V56" s="674"/>
      <c r="W56" s="675"/>
      <c r="AA56" s="537" t="s">
        <v>348</v>
      </c>
      <c r="AC56" s="675"/>
    </row>
    <row r="57" spans="1:29" s="536" customFormat="1" ht="12" x14ac:dyDescent="0.2">
      <c r="A57" s="605"/>
      <c r="B57" s="552"/>
      <c r="C57" s="1828" t="s">
        <v>318</v>
      </c>
      <c r="D57" s="1828"/>
      <c r="E57" s="1828"/>
      <c r="F57" s="608"/>
      <c r="G57" s="608"/>
      <c r="H57" s="608"/>
      <c r="I57" s="608"/>
      <c r="J57" s="607">
        <v>4898.9799999999996</v>
      </c>
      <c r="K57" s="608"/>
      <c r="L57" s="607">
        <v>495.41</v>
      </c>
      <c r="M57" s="601"/>
      <c r="N57" s="606"/>
      <c r="V57" s="674"/>
      <c r="W57" s="675"/>
      <c r="AB57" s="537" t="s">
        <v>318</v>
      </c>
      <c r="AC57" s="675"/>
    </row>
    <row r="58" spans="1:29" s="536" customFormat="1" ht="12" x14ac:dyDescent="0.2">
      <c r="A58" s="605"/>
      <c r="B58" s="552"/>
      <c r="C58" s="1822" t="s">
        <v>319</v>
      </c>
      <c r="D58" s="1822"/>
      <c r="E58" s="1822"/>
      <c r="F58" s="562"/>
      <c r="G58" s="562"/>
      <c r="H58" s="562"/>
      <c r="I58" s="562"/>
      <c r="J58" s="604"/>
      <c r="K58" s="562"/>
      <c r="L58" s="604">
        <v>58.02</v>
      </c>
      <c r="M58" s="603"/>
      <c r="N58" s="602"/>
      <c r="V58" s="674"/>
      <c r="W58" s="675"/>
      <c r="AA58" s="537" t="s">
        <v>319</v>
      </c>
      <c r="AC58" s="675"/>
    </row>
    <row r="59" spans="1:29" s="536" customFormat="1" ht="33.75" x14ac:dyDescent="0.2">
      <c r="A59" s="605"/>
      <c r="B59" s="552" t="s">
        <v>460</v>
      </c>
      <c r="C59" s="1822" t="s">
        <v>461</v>
      </c>
      <c r="D59" s="1822"/>
      <c r="E59" s="1822"/>
      <c r="F59" s="562" t="s">
        <v>322</v>
      </c>
      <c r="G59" s="562" t="s">
        <v>462</v>
      </c>
      <c r="H59" s="562"/>
      <c r="I59" s="562" t="s">
        <v>462</v>
      </c>
      <c r="J59" s="604"/>
      <c r="K59" s="562"/>
      <c r="L59" s="604">
        <v>53.38</v>
      </c>
      <c r="M59" s="603"/>
      <c r="N59" s="602"/>
      <c r="V59" s="674"/>
      <c r="W59" s="675"/>
      <c r="AA59" s="537" t="s">
        <v>461</v>
      </c>
      <c r="AC59" s="675"/>
    </row>
    <row r="60" spans="1:29" s="536" customFormat="1" ht="33.75" x14ac:dyDescent="0.2">
      <c r="A60" s="605"/>
      <c r="B60" s="552" t="s">
        <v>463</v>
      </c>
      <c r="C60" s="1822" t="s">
        <v>464</v>
      </c>
      <c r="D60" s="1822"/>
      <c r="E60" s="1822"/>
      <c r="F60" s="562" t="s">
        <v>322</v>
      </c>
      <c r="G60" s="562" t="s">
        <v>465</v>
      </c>
      <c r="H60" s="562"/>
      <c r="I60" s="562" t="s">
        <v>465</v>
      </c>
      <c r="J60" s="604"/>
      <c r="K60" s="562"/>
      <c r="L60" s="604">
        <v>26.69</v>
      </c>
      <c r="M60" s="603"/>
      <c r="N60" s="602"/>
      <c r="V60" s="674"/>
      <c r="W60" s="675"/>
      <c r="AA60" s="537" t="s">
        <v>464</v>
      </c>
      <c r="AC60" s="675"/>
    </row>
    <row r="61" spans="1:29" s="536" customFormat="1" ht="12" x14ac:dyDescent="0.2">
      <c r="A61" s="569"/>
      <c r="B61" s="671"/>
      <c r="C61" s="1823" t="s">
        <v>327</v>
      </c>
      <c r="D61" s="1823"/>
      <c r="E61" s="1823"/>
      <c r="F61" s="573"/>
      <c r="G61" s="573"/>
      <c r="H61" s="573"/>
      <c r="I61" s="573"/>
      <c r="J61" s="572"/>
      <c r="K61" s="573"/>
      <c r="L61" s="572">
        <v>575.48</v>
      </c>
      <c r="M61" s="601"/>
      <c r="N61" s="570"/>
      <c r="V61" s="674"/>
      <c r="W61" s="675"/>
      <c r="AC61" s="675" t="s">
        <v>327</v>
      </c>
    </row>
    <row r="62" spans="1:29" s="536" customFormat="1" ht="33.75" x14ac:dyDescent="0.2">
      <c r="A62" s="575" t="s">
        <v>187</v>
      </c>
      <c r="B62" s="670" t="s">
        <v>1514</v>
      </c>
      <c r="C62" s="1823" t="s">
        <v>1515</v>
      </c>
      <c r="D62" s="1823"/>
      <c r="E62" s="1823"/>
      <c r="F62" s="573" t="s">
        <v>509</v>
      </c>
      <c r="G62" s="573"/>
      <c r="H62" s="573"/>
      <c r="I62" s="573" t="s">
        <v>5170</v>
      </c>
      <c r="J62" s="572"/>
      <c r="K62" s="573"/>
      <c r="L62" s="572"/>
      <c r="M62" s="571"/>
      <c r="N62" s="570"/>
      <c r="V62" s="674"/>
      <c r="W62" s="675" t="s">
        <v>1515</v>
      </c>
      <c r="AC62" s="675"/>
    </row>
    <row r="63" spans="1:29" s="536" customFormat="1" ht="12" x14ac:dyDescent="0.2">
      <c r="A63" s="676"/>
      <c r="B63" s="664"/>
      <c r="C63" s="1822" t="s">
        <v>5171</v>
      </c>
      <c r="D63" s="1822"/>
      <c r="E63" s="1822"/>
      <c r="F63" s="1822"/>
      <c r="G63" s="1822"/>
      <c r="H63" s="1822"/>
      <c r="I63" s="1822"/>
      <c r="J63" s="1822"/>
      <c r="K63" s="1822"/>
      <c r="L63" s="1822"/>
      <c r="M63" s="1822"/>
      <c r="N63" s="1827"/>
      <c r="V63" s="674"/>
      <c r="W63" s="675"/>
      <c r="X63" s="537" t="s">
        <v>5171</v>
      </c>
      <c r="AC63" s="675"/>
    </row>
    <row r="64" spans="1:29" s="536" customFormat="1" ht="22.5" x14ac:dyDescent="0.2">
      <c r="A64" s="609"/>
      <c r="B64" s="552" t="s">
        <v>1518</v>
      </c>
      <c r="C64" s="1822" t="s">
        <v>1519</v>
      </c>
      <c r="D64" s="1822"/>
      <c r="E64" s="1822"/>
      <c r="F64" s="1822"/>
      <c r="G64" s="1822"/>
      <c r="H64" s="1822"/>
      <c r="I64" s="1822"/>
      <c r="J64" s="1822"/>
      <c r="K64" s="1822"/>
      <c r="L64" s="1822"/>
      <c r="M64" s="1822"/>
      <c r="N64" s="1827"/>
      <c r="V64" s="674"/>
      <c r="W64" s="675"/>
      <c r="Y64" s="537" t="s">
        <v>1519</v>
      </c>
      <c r="AC64" s="675"/>
    </row>
    <row r="65" spans="1:29" s="536" customFormat="1" ht="33.75" x14ac:dyDescent="0.2">
      <c r="A65" s="609"/>
      <c r="B65" s="552" t="s">
        <v>310</v>
      </c>
      <c r="C65" s="1822" t="s">
        <v>311</v>
      </c>
      <c r="D65" s="1822"/>
      <c r="E65" s="1822"/>
      <c r="F65" s="1822"/>
      <c r="G65" s="1822"/>
      <c r="H65" s="1822"/>
      <c r="I65" s="1822"/>
      <c r="J65" s="1822"/>
      <c r="K65" s="1822"/>
      <c r="L65" s="1822"/>
      <c r="M65" s="1822"/>
      <c r="N65" s="1827"/>
      <c r="V65" s="674"/>
      <c r="W65" s="675"/>
      <c r="Y65" s="537" t="s">
        <v>311</v>
      </c>
      <c r="AC65" s="675"/>
    </row>
    <row r="66" spans="1:29" s="536" customFormat="1" ht="12" x14ac:dyDescent="0.2">
      <c r="A66" s="605"/>
      <c r="B66" s="552" t="s">
        <v>185</v>
      </c>
      <c r="C66" s="1822" t="s">
        <v>312</v>
      </c>
      <c r="D66" s="1822"/>
      <c r="E66" s="1822"/>
      <c r="F66" s="562"/>
      <c r="G66" s="562"/>
      <c r="H66" s="562"/>
      <c r="I66" s="562"/>
      <c r="J66" s="604">
        <v>3036.68</v>
      </c>
      <c r="K66" s="562" t="s">
        <v>1520</v>
      </c>
      <c r="L66" s="604">
        <v>651.37</v>
      </c>
      <c r="M66" s="603"/>
      <c r="N66" s="602"/>
      <c r="V66" s="674"/>
      <c r="W66" s="675"/>
      <c r="Z66" s="537" t="s">
        <v>312</v>
      </c>
      <c r="AC66" s="675"/>
    </row>
    <row r="67" spans="1:29" s="536" customFormat="1" ht="12" x14ac:dyDescent="0.2">
      <c r="A67" s="605"/>
      <c r="B67" s="552"/>
      <c r="C67" s="1822" t="s">
        <v>314</v>
      </c>
      <c r="D67" s="1822"/>
      <c r="E67" s="1822"/>
      <c r="F67" s="562" t="s">
        <v>315</v>
      </c>
      <c r="G67" s="562" t="s">
        <v>1521</v>
      </c>
      <c r="H67" s="562" t="s">
        <v>1520</v>
      </c>
      <c r="I67" s="562" t="s">
        <v>5172</v>
      </c>
      <c r="J67" s="604"/>
      <c r="K67" s="562"/>
      <c r="L67" s="604"/>
      <c r="M67" s="603"/>
      <c r="N67" s="602"/>
      <c r="V67" s="674"/>
      <c r="W67" s="675"/>
      <c r="AA67" s="537" t="s">
        <v>314</v>
      </c>
      <c r="AC67" s="675"/>
    </row>
    <row r="68" spans="1:29" s="536" customFormat="1" ht="12" x14ac:dyDescent="0.2">
      <c r="A68" s="605"/>
      <c r="B68" s="552"/>
      <c r="C68" s="1828" t="s">
        <v>318</v>
      </c>
      <c r="D68" s="1828"/>
      <c r="E68" s="1828"/>
      <c r="F68" s="608"/>
      <c r="G68" s="608"/>
      <c r="H68" s="608"/>
      <c r="I68" s="608"/>
      <c r="J68" s="607">
        <v>3036.68</v>
      </c>
      <c r="K68" s="608"/>
      <c r="L68" s="607">
        <v>651.37</v>
      </c>
      <c r="M68" s="601"/>
      <c r="N68" s="606"/>
      <c r="V68" s="674"/>
      <c r="W68" s="675"/>
      <c r="AB68" s="537" t="s">
        <v>318</v>
      </c>
      <c r="AC68" s="675"/>
    </row>
    <row r="69" spans="1:29" s="536" customFormat="1" ht="12" x14ac:dyDescent="0.2">
      <c r="A69" s="605"/>
      <c r="B69" s="552"/>
      <c r="C69" s="1822" t="s">
        <v>319</v>
      </c>
      <c r="D69" s="1822"/>
      <c r="E69" s="1822"/>
      <c r="F69" s="562"/>
      <c r="G69" s="562"/>
      <c r="H69" s="562"/>
      <c r="I69" s="562"/>
      <c r="J69" s="604"/>
      <c r="K69" s="562"/>
      <c r="L69" s="604">
        <v>651.37</v>
      </c>
      <c r="M69" s="603"/>
      <c r="N69" s="602"/>
      <c r="V69" s="674"/>
      <c r="W69" s="675"/>
      <c r="AA69" s="537" t="s">
        <v>319</v>
      </c>
      <c r="AC69" s="675"/>
    </row>
    <row r="70" spans="1:29" s="536" customFormat="1" ht="33.75" x14ac:dyDescent="0.2">
      <c r="A70" s="605"/>
      <c r="B70" s="552" t="s">
        <v>673</v>
      </c>
      <c r="C70" s="1822" t="s">
        <v>674</v>
      </c>
      <c r="D70" s="1822"/>
      <c r="E70" s="1822"/>
      <c r="F70" s="562" t="s">
        <v>322</v>
      </c>
      <c r="G70" s="562" t="s">
        <v>323</v>
      </c>
      <c r="H70" s="562"/>
      <c r="I70" s="562" t="s">
        <v>323</v>
      </c>
      <c r="J70" s="604"/>
      <c r="K70" s="562"/>
      <c r="L70" s="604">
        <v>579.72</v>
      </c>
      <c r="M70" s="603"/>
      <c r="N70" s="602"/>
      <c r="V70" s="674"/>
      <c r="W70" s="675"/>
      <c r="AA70" s="537" t="s">
        <v>674</v>
      </c>
      <c r="AC70" s="675"/>
    </row>
    <row r="71" spans="1:29" s="536" customFormat="1" ht="33.75" x14ac:dyDescent="0.2">
      <c r="A71" s="605"/>
      <c r="B71" s="552" t="s">
        <v>675</v>
      </c>
      <c r="C71" s="1822" t="s">
        <v>676</v>
      </c>
      <c r="D71" s="1822"/>
      <c r="E71" s="1822"/>
      <c r="F71" s="562" t="s">
        <v>322</v>
      </c>
      <c r="G71" s="562" t="s">
        <v>677</v>
      </c>
      <c r="H71" s="562"/>
      <c r="I71" s="562" t="s">
        <v>677</v>
      </c>
      <c r="J71" s="604"/>
      <c r="K71" s="562"/>
      <c r="L71" s="604">
        <v>260.55</v>
      </c>
      <c r="M71" s="603"/>
      <c r="N71" s="602"/>
      <c r="V71" s="674"/>
      <c r="W71" s="675"/>
      <c r="AA71" s="537" t="s">
        <v>676</v>
      </c>
      <c r="AC71" s="675"/>
    </row>
    <row r="72" spans="1:29" s="536" customFormat="1" ht="12" x14ac:dyDescent="0.2">
      <c r="A72" s="569"/>
      <c r="B72" s="671"/>
      <c r="C72" s="1823" t="s">
        <v>327</v>
      </c>
      <c r="D72" s="1823"/>
      <c r="E72" s="1823"/>
      <c r="F72" s="573"/>
      <c r="G72" s="573"/>
      <c r="H72" s="573"/>
      <c r="I72" s="573"/>
      <c r="J72" s="572"/>
      <c r="K72" s="573"/>
      <c r="L72" s="572">
        <v>1491.64</v>
      </c>
      <c r="M72" s="601"/>
      <c r="N72" s="570"/>
      <c r="V72" s="674"/>
      <c r="W72" s="675"/>
      <c r="AC72" s="675" t="s">
        <v>327</v>
      </c>
    </row>
    <row r="73" spans="1:29" s="536" customFormat="1" ht="45" x14ac:dyDescent="0.2">
      <c r="A73" s="575" t="s">
        <v>188</v>
      </c>
      <c r="B73" s="670" t="s">
        <v>503</v>
      </c>
      <c r="C73" s="1823" t="s">
        <v>5173</v>
      </c>
      <c r="D73" s="1823"/>
      <c r="E73" s="1823"/>
      <c r="F73" s="573" t="s">
        <v>455</v>
      </c>
      <c r="G73" s="573"/>
      <c r="H73" s="573"/>
      <c r="I73" s="573" t="s">
        <v>5174</v>
      </c>
      <c r="J73" s="572"/>
      <c r="K73" s="573"/>
      <c r="L73" s="572"/>
      <c r="M73" s="571"/>
      <c r="N73" s="570"/>
      <c r="V73" s="674"/>
      <c r="W73" s="675" t="s">
        <v>5173</v>
      </c>
      <c r="AC73" s="675"/>
    </row>
    <row r="74" spans="1:29" s="536" customFormat="1" ht="12" x14ac:dyDescent="0.2">
      <c r="A74" s="676"/>
      <c r="B74" s="664"/>
      <c r="C74" s="1822" t="s">
        <v>5175</v>
      </c>
      <c r="D74" s="1822"/>
      <c r="E74" s="1822"/>
      <c r="F74" s="1822"/>
      <c r="G74" s="1822"/>
      <c r="H74" s="1822"/>
      <c r="I74" s="1822"/>
      <c r="J74" s="1822"/>
      <c r="K74" s="1822"/>
      <c r="L74" s="1822"/>
      <c r="M74" s="1822"/>
      <c r="N74" s="1827"/>
      <c r="V74" s="674"/>
      <c r="W74" s="675"/>
      <c r="X74" s="537" t="s">
        <v>5175</v>
      </c>
      <c r="AC74" s="675"/>
    </row>
    <row r="75" spans="1:29" s="536" customFormat="1" ht="33.75" x14ac:dyDescent="0.2">
      <c r="A75" s="609"/>
      <c r="B75" s="552" t="s">
        <v>310</v>
      </c>
      <c r="C75" s="1822" t="s">
        <v>311</v>
      </c>
      <c r="D75" s="1822"/>
      <c r="E75" s="1822"/>
      <c r="F75" s="1822"/>
      <c r="G75" s="1822"/>
      <c r="H75" s="1822"/>
      <c r="I75" s="1822"/>
      <c r="J75" s="1822"/>
      <c r="K75" s="1822"/>
      <c r="L75" s="1822"/>
      <c r="M75" s="1822"/>
      <c r="N75" s="1827"/>
      <c r="V75" s="674"/>
      <c r="W75" s="675"/>
      <c r="Y75" s="537" t="s">
        <v>311</v>
      </c>
      <c r="AC75" s="675"/>
    </row>
    <row r="76" spans="1:29" s="536" customFormat="1" ht="12" x14ac:dyDescent="0.2">
      <c r="A76" s="605"/>
      <c r="B76" s="552" t="s">
        <v>186</v>
      </c>
      <c r="C76" s="1822" t="s">
        <v>344</v>
      </c>
      <c r="D76" s="1822"/>
      <c r="E76" s="1822"/>
      <c r="F76" s="562"/>
      <c r="G76" s="562"/>
      <c r="H76" s="562"/>
      <c r="I76" s="562"/>
      <c r="J76" s="604">
        <v>3803.91</v>
      </c>
      <c r="K76" s="562" t="s">
        <v>313</v>
      </c>
      <c r="L76" s="604">
        <v>452.67</v>
      </c>
      <c r="M76" s="603"/>
      <c r="N76" s="602"/>
      <c r="V76" s="674"/>
      <c r="W76" s="675"/>
      <c r="Z76" s="537" t="s">
        <v>344</v>
      </c>
      <c r="AC76" s="675"/>
    </row>
    <row r="77" spans="1:29" s="536" customFormat="1" ht="12" x14ac:dyDescent="0.2">
      <c r="A77" s="605"/>
      <c r="B77" s="552" t="s">
        <v>187</v>
      </c>
      <c r="C77" s="1822" t="s">
        <v>345</v>
      </c>
      <c r="D77" s="1822"/>
      <c r="E77" s="1822"/>
      <c r="F77" s="562"/>
      <c r="G77" s="562"/>
      <c r="H77" s="562"/>
      <c r="I77" s="562"/>
      <c r="J77" s="604">
        <v>445.5</v>
      </c>
      <c r="K77" s="562" t="s">
        <v>313</v>
      </c>
      <c r="L77" s="604">
        <v>53.01</v>
      </c>
      <c r="M77" s="603"/>
      <c r="N77" s="602"/>
      <c r="V77" s="674"/>
      <c r="W77" s="675"/>
      <c r="Z77" s="537" t="s">
        <v>345</v>
      </c>
      <c r="AC77" s="675"/>
    </row>
    <row r="78" spans="1:29" s="536" customFormat="1" ht="12" x14ac:dyDescent="0.2">
      <c r="A78" s="605"/>
      <c r="B78" s="552"/>
      <c r="C78" s="1822" t="s">
        <v>348</v>
      </c>
      <c r="D78" s="1822"/>
      <c r="E78" s="1822"/>
      <c r="F78" s="562" t="s">
        <v>315</v>
      </c>
      <c r="G78" s="562" t="s">
        <v>505</v>
      </c>
      <c r="H78" s="562" t="s">
        <v>313</v>
      </c>
      <c r="I78" s="562" t="s">
        <v>5176</v>
      </c>
      <c r="J78" s="604"/>
      <c r="K78" s="562"/>
      <c r="L78" s="604"/>
      <c r="M78" s="603"/>
      <c r="N78" s="602"/>
      <c r="V78" s="674"/>
      <c r="W78" s="675"/>
      <c r="AA78" s="537" t="s">
        <v>348</v>
      </c>
      <c r="AC78" s="675"/>
    </row>
    <row r="79" spans="1:29" s="536" customFormat="1" ht="12" x14ac:dyDescent="0.2">
      <c r="A79" s="605"/>
      <c r="B79" s="552"/>
      <c r="C79" s="1828" t="s">
        <v>318</v>
      </c>
      <c r="D79" s="1828"/>
      <c r="E79" s="1828"/>
      <c r="F79" s="608"/>
      <c r="G79" s="608"/>
      <c r="H79" s="608"/>
      <c r="I79" s="608"/>
      <c r="J79" s="607">
        <v>3803.91</v>
      </c>
      <c r="K79" s="608"/>
      <c r="L79" s="607">
        <v>452.67</v>
      </c>
      <c r="M79" s="601"/>
      <c r="N79" s="606"/>
      <c r="V79" s="674"/>
      <c r="W79" s="675"/>
      <c r="AB79" s="537" t="s">
        <v>318</v>
      </c>
      <c r="AC79" s="675"/>
    </row>
    <row r="80" spans="1:29" s="536" customFormat="1" ht="12" x14ac:dyDescent="0.2">
      <c r="A80" s="605"/>
      <c r="B80" s="552"/>
      <c r="C80" s="1822" t="s">
        <v>319</v>
      </c>
      <c r="D80" s="1822"/>
      <c r="E80" s="1822"/>
      <c r="F80" s="562"/>
      <c r="G80" s="562"/>
      <c r="H80" s="562"/>
      <c r="I80" s="562"/>
      <c r="J80" s="604"/>
      <c r="K80" s="562"/>
      <c r="L80" s="604">
        <v>53.01</v>
      </c>
      <c r="M80" s="603"/>
      <c r="N80" s="602"/>
      <c r="V80" s="674"/>
      <c r="W80" s="675"/>
      <c r="AA80" s="537" t="s">
        <v>319</v>
      </c>
      <c r="AC80" s="675"/>
    </row>
    <row r="81" spans="1:29" s="536" customFormat="1" ht="33.75" x14ac:dyDescent="0.2">
      <c r="A81" s="605"/>
      <c r="B81" s="552" t="s">
        <v>460</v>
      </c>
      <c r="C81" s="1822" t="s">
        <v>461</v>
      </c>
      <c r="D81" s="1822"/>
      <c r="E81" s="1822"/>
      <c r="F81" s="562" t="s">
        <v>322</v>
      </c>
      <c r="G81" s="562" t="s">
        <v>462</v>
      </c>
      <c r="H81" s="562"/>
      <c r="I81" s="562" t="s">
        <v>462</v>
      </c>
      <c r="J81" s="604"/>
      <c r="K81" s="562"/>
      <c r="L81" s="604">
        <v>48.77</v>
      </c>
      <c r="M81" s="603"/>
      <c r="N81" s="602"/>
      <c r="V81" s="674"/>
      <c r="W81" s="675"/>
      <c r="AA81" s="537" t="s">
        <v>461</v>
      </c>
      <c r="AC81" s="675"/>
    </row>
    <row r="82" spans="1:29" s="536" customFormat="1" ht="33.75" x14ac:dyDescent="0.2">
      <c r="A82" s="605"/>
      <c r="B82" s="552" t="s">
        <v>463</v>
      </c>
      <c r="C82" s="1822" t="s">
        <v>464</v>
      </c>
      <c r="D82" s="1822"/>
      <c r="E82" s="1822"/>
      <c r="F82" s="562" t="s">
        <v>322</v>
      </c>
      <c r="G82" s="562" t="s">
        <v>465</v>
      </c>
      <c r="H82" s="562"/>
      <c r="I82" s="562" t="s">
        <v>465</v>
      </c>
      <c r="J82" s="604"/>
      <c r="K82" s="562"/>
      <c r="L82" s="604">
        <v>24.38</v>
      </c>
      <c r="M82" s="603"/>
      <c r="N82" s="602"/>
      <c r="V82" s="674"/>
      <c r="W82" s="675"/>
      <c r="AA82" s="537" t="s">
        <v>464</v>
      </c>
      <c r="AC82" s="675"/>
    </row>
    <row r="83" spans="1:29" s="536" customFormat="1" ht="12" x14ac:dyDescent="0.2">
      <c r="A83" s="569"/>
      <c r="B83" s="671"/>
      <c r="C83" s="1823" t="s">
        <v>327</v>
      </c>
      <c r="D83" s="1823"/>
      <c r="E83" s="1823"/>
      <c r="F83" s="573"/>
      <c r="G83" s="573"/>
      <c r="H83" s="573"/>
      <c r="I83" s="573"/>
      <c r="J83" s="572"/>
      <c r="K83" s="573"/>
      <c r="L83" s="572">
        <v>525.82000000000005</v>
      </c>
      <c r="M83" s="601"/>
      <c r="N83" s="570"/>
      <c r="V83" s="674"/>
      <c r="W83" s="675"/>
      <c r="AC83" s="675" t="s">
        <v>327</v>
      </c>
    </row>
    <row r="84" spans="1:29" s="536" customFormat="1" ht="22.5" x14ac:dyDescent="0.2">
      <c r="A84" s="575" t="s">
        <v>189</v>
      </c>
      <c r="B84" s="670" t="s">
        <v>507</v>
      </c>
      <c r="C84" s="1823" t="s">
        <v>508</v>
      </c>
      <c r="D84" s="1823"/>
      <c r="E84" s="1823"/>
      <c r="F84" s="573" t="s">
        <v>509</v>
      </c>
      <c r="G84" s="573"/>
      <c r="H84" s="573"/>
      <c r="I84" s="573" t="s">
        <v>5177</v>
      </c>
      <c r="J84" s="572"/>
      <c r="K84" s="573"/>
      <c r="L84" s="572"/>
      <c r="M84" s="571"/>
      <c r="N84" s="570"/>
      <c r="V84" s="674"/>
      <c r="W84" s="675" t="s">
        <v>508</v>
      </c>
      <c r="AC84" s="675"/>
    </row>
    <row r="85" spans="1:29" s="536" customFormat="1" ht="12" x14ac:dyDescent="0.2">
      <c r="A85" s="676"/>
      <c r="B85" s="664"/>
      <c r="C85" s="1822" t="s">
        <v>5178</v>
      </c>
      <c r="D85" s="1822"/>
      <c r="E85" s="1822"/>
      <c r="F85" s="1822"/>
      <c r="G85" s="1822"/>
      <c r="H85" s="1822"/>
      <c r="I85" s="1822"/>
      <c r="J85" s="1822"/>
      <c r="K85" s="1822"/>
      <c r="L85" s="1822"/>
      <c r="M85" s="1822"/>
      <c r="N85" s="1827"/>
      <c r="V85" s="674"/>
      <c r="W85" s="675"/>
      <c r="X85" s="537" t="s">
        <v>5178</v>
      </c>
      <c r="AC85" s="675"/>
    </row>
    <row r="86" spans="1:29" s="536" customFormat="1" ht="33.75" x14ac:dyDescent="0.2">
      <c r="A86" s="609"/>
      <c r="B86" s="552" t="s">
        <v>310</v>
      </c>
      <c r="C86" s="1822" t="s">
        <v>311</v>
      </c>
      <c r="D86" s="1822"/>
      <c r="E86" s="1822"/>
      <c r="F86" s="1822"/>
      <c r="G86" s="1822"/>
      <c r="H86" s="1822"/>
      <c r="I86" s="1822"/>
      <c r="J86" s="1822"/>
      <c r="K86" s="1822"/>
      <c r="L86" s="1822"/>
      <c r="M86" s="1822"/>
      <c r="N86" s="1827"/>
      <c r="V86" s="674"/>
      <c r="W86" s="675"/>
      <c r="Y86" s="537" t="s">
        <v>311</v>
      </c>
      <c r="AC86" s="675"/>
    </row>
    <row r="87" spans="1:29" s="536" customFormat="1" ht="12" x14ac:dyDescent="0.2">
      <c r="A87" s="605"/>
      <c r="B87" s="552" t="s">
        <v>185</v>
      </c>
      <c r="C87" s="1822" t="s">
        <v>312</v>
      </c>
      <c r="D87" s="1822"/>
      <c r="E87" s="1822"/>
      <c r="F87" s="562"/>
      <c r="G87" s="562"/>
      <c r="H87" s="562"/>
      <c r="I87" s="562"/>
      <c r="J87" s="604">
        <v>127.61</v>
      </c>
      <c r="K87" s="562" t="s">
        <v>313</v>
      </c>
      <c r="L87" s="604">
        <v>151.86000000000001</v>
      </c>
      <c r="M87" s="603"/>
      <c r="N87" s="602"/>
      <c r="V87" s="674"/>
      <c r="W87" s="675"/>
      <c r="Z87" s="537" t="s">
        <v>312</v>
      </c>
      <c r="AC87" s="675"/>
    </row>
    <row r="88" spans="1:29" s="536" customFormat="1" ht="12" x14ac:dyDescent="0.2">
      <c r="A88" s="605"/>
      <c r="B88" s="552" t="s">
        <v>186</v>
      </c>
      <c r="C88" s="1822" t="s">
        <v>344</v>
      </c>
      <c r="D88" s="1822"/>
      <c r="E88" s="1822"/>
      <c r="F88" s="562"/>
      <c r="G88" s="562"/>
      <c r="H88" s="562"/>
      <c r="I88" s="562"/>
      <c r="J88" s="604">
        <v>288.58</v>
      </c>
      <c r="K88" s="562" t="s">
        <v>313</v>
      </c>
      <c r="L88" s="604">
        <v>343.41</v>
      </c>
      <c r="M88" s="603"/>
      <c r="N88" s="602"/>
      <c r="V88" s="674"/>
      <c r="W88" s="675"/>
      <c r="Z88" s="537" t="s">
        <v>344</v>
      </c>
      <c r="AC88" s="675"/>
    </row>
    <row r="89" spans="1:29" s="536" customFormat="1" ht="12" x14ac:dyDescent="0.2">
      <c r="A89" s="605"/>
      <c r="B89" s="552" t="s">
        <v>187</v>
      </c>
      <c r="C89" s="1822" t="s">
        <v>345</v>
      </c>
      <c r="D89" s="1822"/>
      <c r="E89" s="1822"/>
      <c r="F89" s="562"/>
      <c r="G89" s="562"/>
      <c r="H89" s="562"/>
      <c r="I89" s="562"/>
      <c r="J89" s="604">
        <v>31.49</v>
      </c>
      <c r="K89" s="562" t="s">
        <v>313</v>
      </c>
      <c r="L89" s="604">
        <v>37.47</v>
      </c>
      <c r="M89" s="603"/>
      <c r="N89" s="602"/>
      <c r="V89" s="674"/>
      <c r="W89" s="675"/>
      <c r="Z89" s="537" t="s">
        <v>345</v>
      </c>
      <c r="AC89" s="675"/>
    </row>
    <row r="90" spans="1:29" s="536" customFormat="1" ht="12" x14ac:dyDescent="0.2">
      <c r="A90" s="605"/>
      <c r="B90" s="552"/>
      <c r="C90" s="1822" t="s">
        <v>314</v>
      </c>
      <c r="D90" s="1822"/>
      <c r="E90" s="1822"/>
      <c r="F90" s="562" t="s">
        <v>315</v>
      </c>
      <c r="G90" s="562" t="s">
        <v>512</v>
      </c>
      <c r="H90" s="562" t="s">
        <v>313</v>
      </c>
      <c r="I90" s="562" t="s">
        <v>5179</v>
      </c>
      <c r="J90" s="604"/>
      <c r="K90" s="562"/>
      <c r="L90" s="604"/>
      <c r="M90" s="603"/>
      <c r="N90" s="602"/>
      <c r="V90" s="674"/>
      <c r="W90" s="675"/>
      <c r="AA90" s="537" t="s">
        <v>314</v>
      </c>
      <c r="AC90" s="675"/>
    </row>
    <row r="91" spans="1:29" s="536" customFormat="1" ht="12" x14ac:dyDescent="0.2">
      <c r="A91" s="605"/>
      <c r="B91" s="552"/>
      <c r="C91" s="1822" t="s">
        <v>348</v>
      </c>
      <c r="D91" s="1822"/>
      <c r="E91" s="1822"/>
      <c r="F91" s="562" t="s">
        <v>315</v>
      </c>
      <c r="G91" s="562" t="s">
        <v>514</v>
      </c>
      <c r="H91" s="562" t="s">
        <v>313</v>
      </c>
      <c r="I91" s="562" t="s">
        <v>5180</v>
      </c>
      <c r="J91" s="604"/>
      <c r="K91" s="562"/>
      <c r="L91" s="604"/>
      <c r="M91" s="603"/>
      <c r="N91" s="602"/>
      <c r="V91" s="674"/>
      <c r="W91" s="675"/>
      <c r="AA91" s="537" t="s">
        <v>348</v>
      </c>
      <c r="AC91" s="675"/>
    </row>
    <row r="92" spans="1:29" s="536" customFormat="1" ht="12" x14ac:dyDescent="0.2">
      <c r="A92" s="605"/>
      <c r="B92" s="552"/>
      <c r="C92" s="1828" t="s">
        <v>318</v>
      </c>
      <c r="D92" s="1828"/>
      <c r="E92" s="1828"/>
      <c r="F92" s="608"/>
      <c r="G92" s="608"/>
      <c r="H92" s="608"/>
      <c r="I92" s="608"/>
      <c r="J92" s="607">
        <v>416.19</v>
      </c>
      <c r="K92" s="608"/>
      <c r="L92" s="607">
        <v>495.27</v>
      </c>
      <c r="M92" s="601"/>
      <c r="N92" s="606"/>
      <c r="V92" s="674"/>
      <c r="W92" s="675"/>
      <c r="AB92" s="537" t="s">
        <v>318</v>
      </c>
      <c r="AC92" s="675"/>
    </row>
    <row r="93" spans="1:29" s="536" customFormat="1" ht="12" x14ac:dyDescent="0.2">
      <c r="A93" s="605"/>
      <c r="B93" s="552"/>
      <c r="C93" s="1822" t="s">
        <v>319</v>
      </c>
      <c r="D93" s="1822"/>
      <c r="E93" s="1822"/>
      <c r="F93" s="562"/>
      <c r="G93" s="562"/>
      <c r="H93" s="562"/>
      <c r="I93" s="562"/>
      <c r="J93" s="604"/>
      <c r="K93" s="562"/>
      <c r="L93" s="604">
        <v>189.33</v>
      </c>
      <c r="M93" s="603"/>
      <c r="N93" s="602"/>
      <c r="V93" s="674"/>
      <c r="W93" s="675"/>
      <c r="AA93" s="537" t="s">
        <v>319</v>
      </c>
      <c r="AC93" s="675"/>
    </row>
    <row r="94" spans="1:29" s="536" customFormat="1" ht="33.75" x14ac:dyDescent="0.2">
      <c r="A94" s="605"/>
      <c r="B94" s="552" t="s">
        <v>460</v>
      </c>
      <c r="C94" s="1822" t="s">
        <v>461</v>
      </c>
      <c r="D94" s="1822"/>
      <c r="E94" s="1822"/>
      <c r="F94" s="562" t="s">
        <v>322</v>
      </c>
      <c r="G94" s="562" t="s">
        <v>462</v>
      </c>
      <c r="H94" s="562"/>
      <c r="I94" s="562" t="s">
        <v>462</v>
      </c>
      <c r="J94" s="604"/>
      <c r="K94" s="562"/>
      <c r="L94" s="604">
        <v>174.18</v>
      </c>
      <c r="M94" s="603"/>
      <c r="N94" s="602"/>
      <c r="V94" s="674"/>
      <c r="W94" s="675"/>
      <c r="AA94" s="537" t="s">
        <v>461</v>
      </c>
      <c r="AC94" s="675"/>
    </row>
    <row r="95" spans="1:29" s="536" customFormat="1" ht="33.75" x14ac:dyDescent="0.2">
      <c r="A95" s="605"/>
      <c r="B95" s="552" t="s">
        <v>463</v>
      </c>
      <c r="C95" s="1822" t="s">
        <v>464</v>
      </c>
      <c r="D95" s="1822"/>
      <c r="E95" s="1822"/>
      <c r="F95" s="562" t="s">
        <v>322</v>
      </c>
      <c r="G95" s="562" t="s">
        <v>465</v>
      </c>
      <c r="H95" s="562"/>
      <c r="I95" s="562" t="s">
        <v>465</v>
      </c>
      <c r="J95" s="604"/>
      <c r="K95" s="562"/>
      <c r="L95" s="604">
        <v>87.09</v>
      </c>
      <c r="M95" s="603"/>
      <c r="N95" s="602"/>
      <c r="V95" s="674"/>
      <c r="W95" s="675"/>
      <c r="AA95" s="537" t="s">
        <v>464</v>
      </c>
      <c r="AC95" s="675"/>
    </row>
    <row r="96" spans="1:29" s="536" customFormat="1" ht="12" x14ac:dyDescent="0.2">
      <c r="A96" s="569"/>
      <c r="B96" s="671"/>
      <c r="C96" s="1823" t="s">
        <v>327</v>
      </c>
      <c r="D96" s="1823"/>
      <c r="E96" s="1823"/>
      <c r="F96" s="573"/>
      <c r="G96" s="573"/>
      <c r="H96" s="573"/>
      <c r="I96" s="573"/>
      <c r="J96" s="572"/>
      <c r="K96" s="573"/>
      <c r="L96" s="572">
        <v>756.54</v>
      </c>
      <c r="M96" s="601"/>
      <c r="N96" s="570"/>
      <c r="V96" s="674"/>
      <c r="W96" s="675"/>
      <c r="AC96" s="675" t="s">
        <v>327</v>
      </c>
    </row>
    <row r="97" spans="1:31" s="536" customFormat="1" ht="45" x14ac:dyDescent="0.2">
      <c r="A97" s="575" t="s">
        <v>190</v>
      </c>
      <c r="B97" s="670" t="s">
        <v>1005</v>
      </c>
      <c r="C97" s="1823" t="s">
        <v>1006</v>
      </c>
      <c r="D97" s="1823"/>
      <c r="E97" s="1823"/>
      <c r="F97" s="573" t="s">
        <v>201</v>
      </c>
      <c r="G97" s="573"/>
      <c r="H97" s="573"/>
      <c r="I97" s="573" t="s">
        <v>5181</v>
      </c>
      <c r="J97" s="572">
        <v>2.91</v>
      </c>
      <c r="K97" s="573"/>
      <c r="L97" s="572">
        <v>2644.4</v>
      </c>
      <c r="M97" s="571"/>
      <c r="N97" s="570"/>
      <c r="V97" s="674"/>
      <c r="W97" s="675" t="s">
        <v>1006</v>
      </c>
      <c r="AC97" s="675"/>
    </row>
    <row r="98" spans="1:31" s="536" customFormat="1" ht="12" x14ac:dyDescent="0.2">
      <c r="A98" s="676"/>
      <c r="B98" s="664"/>
      <c r="C98" s="1822" t="s">
        <v>5182</v>
      </c>
      <c r="D98" s="1822"/>
      <c r="E98" s="1822"/>
      <c r="F98" s="1822"/>
      <c r="G98" s="1822"/>
      <c r="H98" s="1822"/>
      <c r="I98" s="1822"/>
      <c r="J98" s="1822"/>
      <c r="K98" s="1822"/>
      <c r="L98" s="1822"/>
      <c r="M98" s="1822"/>
      <c r="N98" s="1827"/>
      <c r="V98" s="674"/>
      <c r="W98" s="675"/>
      <c r="X98" s="537" t="s">
        <v>5182</v>
      </c>
      <c r="AC98" s="675"/>
    </row>
    <row r="99" spans="1:31" s="536" customFormat="1" ht="1.5" customHeight="1" x14ac:dyDescent="0.2">
      <c r="A99" s="563"/>
      <c r="B99" s="671"/>
      <c r="C99" s="671"/>
      <c r="D99" s="671"/>
      <c r="E99" s="671"/>
      <c r="F99" s="563"/>
      <c r="G99" s="563"/>
      <c r="H99" s="563"/>
      <c r="I99" s="563"/>
      <c r="J99" s="546"/>
      <c r="K99" s="563"/>
      <c r="L99" s="546"/>
      <c r="M99" s="562"/>
      <c r="N99" s="546"/>
      <c r="V99" s="674"/>
      <c r="W99" s="675"/>
      <c r="AC99" s="675"/>
    </row>
    <row r="100" spans="1:31" s="536" customFormat="1" ht="12" x14ac:dyDescent="0.2">
      <c r="A100" s="557"/>
      <c r="B100" s="556"/>
      <c r="C100" s="1823" t="s">
        <v>1021</v>
      </c>
      <c r="D100" s="1823"/>
      <c r="E100" s="1823"/>
      <c r="F100" s="1823"/>
      <c r="G100" s="1823"/>
      <c r="H100" s="1823"/>
      <c r="I100" s="1823"/>
      <c r="J100" s="1823"/>
      <c r="K100" s="1823"/>
      <c r="L100" s="555"/>
      <c r="M100" s="554"/>
      <c r="N100" s="553"/>
      <c r="V100" s="674"/>
      <c r="W100" s="675"/>
      <c r="AC100" s="675"/>
      <c r="AD100" s="675" t="s">
        <v>1021</v>
      </c>
    </row>
    <row r="101" spans="1:31" s="536" customFormat="1" ht="12" x14ac:dyDescent="0.2">
      <c r="A101" s="548"/>
      <c r="B101" s="552"/>
      <c r="C101" s="1822" t="s">
        <v>403</v>
      </c>
      <c r="D101" s="1822"/>
      <c r="E101" s="1822"/>
      <c r="F101" s="1822"/>
      <c r="G101" s="1822"/>
      <c r="H101" s="1822"/>
      <c r="I101" s="1822"/>
      <c r="J101" s="1822"/>
      <c r="K101" s="1822"/>
      <c r="L101" s="551">
        <v>7784.82</v>
      </c>
      <c r="M101" s="550"/>
      <c r="N101" s="549"/>
      <c r="V101" s="674"/>
      <c r="W101" s="675"/>
      <c r="AC101" s="675"/>
      <c r="AD101" s="675"/>
      <c r="AE101" s="537" t="s">
        <v>403</v>
      </c>
    </row>
    <row r="102" spans="1:31" s="536" customFormat="1" ht="12" x14ac:dyDescent="0.2">
      <c r="A102" s="548"/>
      <c r="B102" s="552"/>
      <c r="C102" s="1822" t="s">
        <v>204</v>
      </c>
      <c r="D102" s="1822"/>
      <c r="E102" s="1822"/>
      <c r="F102" s="1822"/>
      <c r="G102" s="1822"/>
      <c r="H102" s="1822"/>
      <c r="I102" s="1822"/>
      <c r="J102" s="1822"/>
      <c r="K102" s="1822"/>
      <c r="L102" s="551"/>
      <c r="M102" s="550"/>
      <c r="N102" s="549"/>
      <c r="V102" s="674"/>
      <c r="W102" s="675"/>
      <c r="AC102" s="675"/>
      <c r="AD102" s="675"/>
      <c r="AE102" s="537" t="s">
        <v>204</v>
      </c>
    </row>
    <row r="103" spans="1:31" s="536" customFormat="1" ht="12" x14ac:dyDescent="0.2">
      <c r="A103" s="548"/>
      <c r="B103" s="552"/>
      <c r="C103" s="1822" t="s">
        <v>404</v>
      </c>
      <c r="D103" s="1822"/>
      <c r="E103" s="1822"/>
      <c r="F103" s="1822"/>
      <c r="G103" s="1822"/>
      <c r="H103" s="1822"/>
      <c r="I103" s="1822"/>
      <c r="J103" s="1822"/>
      <c r="K103" s="1822"/>
      <c r="L103" s="551">
        <v>803.23</v>
      </c>
      <c r="M103" s="550"/>
      <c r="N103" s="549"/>
      <c r="V103" s="674"/>
      <c r="W103" s="675"/>
      <c r="AC103" s="675"/>
      <c r="AD103" s="675"/>
      <c r="AE103" s="537" t="s">
        <v>404</v>
      </c>
    </row>
    <row r="104" spans="1:31" s="536" customFormat="1" ht="12" x14ac:dyDescent="0.2">
      <c r="A104" s="548"/>
      <c r="B104" s="552"/>
      <c r="C104" s="1822" t="s">
        <v>405</v>
      </c>
      <c r="D104" s="1822"/>
      <c r="E104" s="1822"/>
      <c r="F104" s="1822"/>
      <c r="G104" s="1822"/>
      <c r="H104" s="1822"/>
      <c r="I104" s="1822"/>
      <c r="J104" s="1822"/>
      <c r="K104" s="1822"/>
      <c r="L104" s="551">
        <v>6981.59</v>
      </c>
      <c r="M104" s="550"/>
      <c r="N104" s="549"/>
      <c r="V104" s="674"/>
      <c r="W104" s="675"/>
      <c r="AC104" s="675"/>
      <c r="AD104" s="675"/>
      <c r="AE104" s="537" t="s">
        <v>405</v>
      </c>
    </row>
    <row r="105" spans="1:31" s="536" customFormat="1" ht="12" x14ac:dyDescent="0.2">
      <c r="A105" s="548"/>
      <c r="B105" s="552"/>
      <c r="C105" s="1822" t="s">
        <v>406</v>
      </c>
      <c r="D105" s="1822"/>
      <c r="E105" s="1822"/>
      <c r="F105" s="1822"/>
      <c r="G105" s="1822"/>
      <c r="H105" s="1822"/>
      <c r="I105" s="1822"/>
      <c r="J105" s="1822"/>
      <c r="K105" s="1822"/>
      <c r="L105" s="551">
        <v>505.2</v>
      </c>
      <c r="M105" s="550"/>
      <c r="N105" s="549"/>
      <c r="V105" s="674"/>
      <c r="W105" s="675"/>
      <c r="AC105" s="675"/>
      <c r="AD105" s="675"/>
      <c r="AE105" s="537" t="s">
        <v>406</v>
      </c>
    </row>
    <row r="106" spans="1:31" s="536" customFormat="1" ht="12" x14ac:dyDescent="0.2">
      <c r="A106" s="548"/>
      <c r="B106" s="552"/>
      <c r="C106" s="1822" t="s">
        <v>407</v>
      </c>
      <c r="D106" s="1822"/>
      <c r="E106" s="1822"/>
      <c r="F106" s="1822"/>
      <c r="G106" s="1822"/>
      <c r="H106" s="1822"/>
      <c r="I106" s="1822"/>
      <c r="J106" s="1822"/>
      <c r="K106" s="1822"/>
      <c r="L106" s="551">
        <v>9531.82</v>
      </c>
      <c r="M106" s="550"/>
      <c r="N106" s="549"/>
      <c r="V106" s="674"/>
      <c r="W106" s="675"/>
      <c r="AC106" s="675"/>
      <c r="AD106" s="675"/>
      <c r="AE106" s="537" t="s">
        <v>407</v>
      </c>
    </row>
    <row r="107" spans="1:31" s="536" customFormat="1" ht="12" x14ac:dyDescent="0.2">
      <c r="A107" s="548"/>
      <c r="B107" s="552"/>
      <c r="C107" s="1822" t="s">
        <v>408</v>
      </c>
      <c r="D107" s="1822"/>
      <c r="E107" s="1822"/>
      <c r="F107" s="1822"/>
      <c r="G107" s="1822"/>
      <c r="H107" s="1822"/>
      <c r="I107" s="1822"/>
      <c r="J107" s="1822"/>
      <c r="K107" s="1822"/>
      <c r="L107" s="551">
        <v>6887.42</v>
      </c>
      <c r="M107" s="550"/>
      <c r="N107" s="549"/>
      <c r="V107" s="674"/>
      <c r="W107" s="675"/>
      <c r="AC107" s="675"/>
      <c r="AD107" s="675"/>
      <c r="AE107" s="537" t="s">
        <v>408</v>
      </c>
    </row>
    <row r="108" spans="1:31" s="536" customFormat="1" ht="12" x14ac:dyDescent="0.2">
      <c r="A108" s="548"/>
      <c r="B108" s="552"/>
      <c r="C108" s="1822" t="s">
        <v>409</v>
      </c>
      <c r="D108" s="1822"/>
      <c r="E108" s="1822"/>
      <c r="F108" s="1822"/>
      <c r="G108" s="1822"/>
      <c r="H108" s="1822"/>
      <c r="I108" s="1822"/>
      <c r="J108" s="1822"/>
      <c r="K108" s="1822"/>
      <c r="L108" s="551"/>
      <c r="M108" s="550"/>
      <c r="N108" s="549"/>
      <c r="V108" s="674"/>
      <c r="W108" s="675"/>
      <c r="AC108" s="675"/>
      <c r="AD108" s="675"/>
      <c r="AE108" s="537" t="s">
        <v>409</v>
      </c>
    </row>
    <row r="109" spans="1:31" s="536" customFormat="1" ht="12" x14ac:dyDescent="0.2">
      <c r="A109" s="548"/>
      <c r="B109" s="552"/>
      <c r="C109" s="1822" t="s">
        <v>410</v>
      </c>
      <c r="D109" s="1822"/>
      <c r="E109" s="1822"/>
      <c r="F109" s="1822"/>
      <c r="G109" s="1822"/>
      <c r="H109" s="1822"/>
      <c r="I109" s="1822"/>
      <c r="J109" s="1822"/>
      <c r="K109" s="1822"/>
      <c r="L109" s="551">
        <v>803.23</v>
      </c>
      <c r="M109" s="550"/>
      <c r="N109" s="549"/>
      <c r="V109" s="674"/>
      <c r="W109" s="675"/>
      <c r="AC109" s="675"/>
      <c r="AD109" s="675"/>
      <c r="AE109" s="537" t="s">
        <v>410</v>
      </c>
    </row>
    <row r="110" spans="1:31" s="536" customFormat="1" ht="12" x14ac:dyDescent="0.2">
      <c r="A110" s="548"/>
      <c r="B110" s="552"/>
      <c r="C110" s="1822" t="s">
        <v>411</v>
      </c>
      <c r="D110" s="1822"/>
      <c r="E110" s="1822"/>
      <c r="F110" s="1822"/>
      <c r="G110" s="1822"/>
      <c r="H110" s="1822"/>
      <c r="I110" s="1822"/>
      <c r="J110" s="1822"/>
      <c r="K110" s="1822"/>
      <c r="L110" s="551">
        <v>4337.1899999999996</v>
      </c>
      <c r="M110" s="550"/>
      <c r="N110" s="549"/>
      <c r="V110" s="674"/>
      <c r="W110" s="675"/>
      <c r="AC110" s="675"/>
      <c r="AD110" s="675"/>
      <c r="AE110" s="537" t="s">
        <v>411</v>
      </c>
    </row>
    <row r="111" spans="1:31" s="536" customFormat="1" ht="12" x14ac:dyDescent="0.2">
      <c r="A111" s="548"/>
      <c r="B111" s="552"/>
      <c r="C111" s="1822" t="s">
        <v>412</v>
      </c>
      <c r="D111" s="1822"/>
      <c r="E111" s="1822"/>
      <c r="F111" s="1822"/>
      <c r="G111" s="1822"/>
      <c r="H111" s="1822"/>
      <c r="I111" s="1822"/>
      <c r="J111" s="1822"/>
      <c r="K111" s="1822"/>
      <c r="L111" s="551">
        <v>1184.21</v>
      </c>
      <c r="M111" s="550"/>
      <c r="N111" s="549"/>
      <c r="V111" s="674"/>
      <c r="W111" s="675"/>
      <c r="AC111" s="675"/>
      <c r="AD111" s="675"/>
      <c r="AE111" s="537" t="s">
        <v>412</v>
      </c>
    </row>
    <row r="112" spans="1:31" s="536" customFormat="1" ht="12" x14ac:dyDescent="0.2">
      <c r="A112" s="548"/>
      <c r="B112" s="552"/>
      <c r="C112" s="1822" t="s">
        <v>413</v>
      </c>
      <c r="D112" s="1822"/>
      <c r="E112" s="1822"/>
      <c r="F112" s="1822"/>
      <c r="G112" s="1822"/>
      <c r="H112" s="1822"/>
      <c r="I112" s="1822"/>
      <c r="J112" s="1822"/>
      <c r="K112" s="1822"/>
      <c r="L112" s="551">
        <v>562.79</v>
      </c>
      <c r="M112" s="550"/>
      <c r="N112" s="549"/>
      <c r="V112" s="674"/>
      <c r="W112" s="675"/>
      <c r="AC112" s="675"/>
      <c r="AD112" s="675"/>
      <c r="AE112" s="537" t="s">
        <v>413</v>
      </c>
    </row>
    <row r="113" spans="1:33" s="536" customFormat="1" ht="12" x14ac:dyDescent="0.2">
      <c r="A113" s="548"/>
      <c r="B113" s="552"/>
      <c r="C113" s="1822" t="s">
        <v>414</v>
      </c>
      <c r="D113" s="1822"/>
      <c r="E113" s="1822"/>
      <c r="F113" s="1822"/>
      <c r="G113" s="1822"/>
      <c r="H113" s="1822"/>
      <c r="I113" s="1822"/>
      <c r="J113" s="1822"/>
      <c r="K113" s="1822"/>
      <c r="L113" s="551">
        <v>2644.4</v>
      </c>
      <c r="M113" s="550"/>
      <c r="N113" s="549"/>
      <c r="V113" s="674"/>
      <c r="W113" s="675"/>
      <c r="AC113" s="675"/>
      <c r="AD113" s="675"/>
      <c r="AE113" s="537" t="s">
        <v>414</v>
      </c>
    </row>
    <row r="114" spans="1:33" s="536" customFormat="1" ht="12" x14ac:dyDescent="0.2">
      <c r="A114" s="548"/>
      <c r="B114" s="552"/>
      <c r="C114" s="1822" t="s">
        <v>415</v>
      </c>
      <c r="D114" s="1822"/>
      <c r="E114" s="1822"/>
      <c r="F114" s="1822"/>
      <c r="G114" s="1822"/>
      <c r="H114" s="1822"/>
      <c r="I114" s="1822"/>
      <c r="J114" s="1822"/>
      <c r="K114" s="1822"/>
      <c r="L114" s="551">
        <v>1308.43</v>
      </c>
      <c r="M114" s="550"/>
      <c r="N114" s="549"/>
      <c r="V114" s="674"/>
      <c r="W114" s="675"/>
      <c r="AC114" s="675"/>
      <c r="AD114" s="675"/>
      <c r="AE114" s="537" t="s">
        <v>415</v>
      </c>
    </row>
    <row r="115" spans="1:33" s="536" customFormat="1" ht="12" x14ac:dyDescent="0.2">
      <c r="A115" s="548"/>
      <c r="B115" s="552"/>
      <c r="C115" s="1822" t="s">
        <v>416</v>
      </c>
      <c r="D115" s="1822"/>
      <c r="E115" s="1822"/>
      <c r="F115" s="1822"/>
      <c r="G115" s="1822"/>
      <c r="H115" s="1822"/>
      <c r="I115" s="1822"/>
      <c r="J115" s="1822"/>
      <c r="K115" s="1822"/>
      <c r="L115" s="551">
        <v>1184.21</v>
      </c>
      <c r="M115" s="550"/>
      <c r="N115" s="549"/>
      <c r="V115" s="674"/>
      <c r="W115" s="675"/>
      <c r="AC115" s="675"/>
      <c r="AD115" s="675"/>
      <c r="AE115" s="537" t="s">
        <v>416</v>
      </c>
    </row>
    <row r="116" spans="1:33" s="536" customFormat="1" ht="12" x14ac:dyDescent="0.2">
      <c r="A116" s="548"/>
      <c r="B116" s="552"/>
      <c r="C116" s="1822" t="s">
        <v>417</v>
      </c>
      <c r="D116" s="1822"/>
      <c r="E116" s="1822"/>
      <c r="F116" s="1822"/>
      <c r="G116" s="1822"/>
      <c r="H116" s="1822"/>
      <c r="I116" s="1822"/>
      <c r="J116" s="1822"/>
      <c r="K116" s="1822"/>
      <c r="L116" s="551">
        <v>562.79</v>
      </c>
      <c r="M116" s="550"/>
      <c r="N116" s="549"/>
      <c r="V116" s="674"/>
      <c r="W116" s="675"/>
      <c r="AC116" s="675"/>
      <c r="AD116" s="675"/>
      <c r="AE116" s="537" t="s">
        <v>417</v>
      </c>
    </row>
    <row r="117" spans="1:33" s="536" customFormat="1" ht="12" x14ac:dyDescent="0.2">
      <c r="A117" s="548"/>
      <c r="B117" s="546"/>
      <c r="C117" s="1819" t="s">
        <v>1022</v>
      </c>
      <c r="D117" s="1819"/>
      <c r="E117" s="1819"/>
      <c r="F117" s="1819"/>
      <c r="G117" s="1819"/>
      <c r="H117" s="1819"/>
      <c r="I117" s="1819"/>
      <c r="J117" s="1819"/>
      <c r="K117" s="1819"/>
      <c r="L117" s="544">
        <v>9531.82</v>
      </c>
      <c r="M117" s="543"/>
      <c r="N117" s="681"/>
      <c r="V117" s="674"/>
      <c r="W117" s="675"/>
      <c r="AC117" s="675"/>
      <c r="AD117" s="675"/>
      <c r="AF117" s="675" t="s">
        <v>1022</v>
      </c>
    </row>
    <row r="118" spans="1:33" s="536" customFormat="1" ht="12" x14ac:dyDescent="0.2">
      <c r="A118" s="1824" t="s">
        <v>5183</v>
      </c>
      <c r="B118" s="1825"/>
      <c r="C118" s="1825"/>
      <c r="D118" s="1825"/>
      <c r="E118" s="1825"/>
      <c r="F118" s="1825"/>
      <c r="G118" s="1825"/>
      <c r="H118" s="1825"/>
      <c r="I118" s="1825"/>
      <c r="J118" s="1825"/>
      <c r="K118" s="1825"/>
      <c r="L118" s="1825"/>
      <c r="M118" s="1825"/>
      <c r="N118" s="1826"/>
      <c r="V118" s="674" t="s">
        <v>5183</v>
      </c>
      <c r="W118" s="675"/>
      <c r="AC118" s="675"/>
      <c r="AD118" s="675"/>
      <c r="AF118" s="675"/>
    </row>
    <row r="119" spans="1:33" s="536" customFormat="1" ht="22.5" x14ac:dyDescent="0.2">
      <c r="A119" s="575" t="s">
        <v>191</v>
      </c>
      <c r="B119" s="670" t="s">
        <v>5184</v>
      </c>
      <c r="C119" s="1823" t="s">
        <v>5185</v>
      </c>
      <c r="D119" s="1823"/>
      <c r="E119" s="1823"/>
      <c r="F119" s="573" t="s">
        <v>862</v>
      </c>
      <c r="G119" s="573"/>
      <c r="H119" s="573"/>
      <c r="I119" s="573" t="s">
        <v>5186</v>
      </c>
      <c r="J119" s="572"/>
      <c r="K119" s="573"/>
      <c r="L119" s="572"/>
      <c r="M119" s="571"/>
      <c r="N119" s="570"/>
      <c r="V119" s="674"/>
      <c r="W119" s="675" t="s">
        <v>5185</v>
      </c>
      <c r="AC119" s="675"/>
      <c r="AD119" s="675"/>
      <c r="AF119" s="675"/>
    </row>
    <row r="120" spans="1:33" s="536" customFormat="1" ht="12" x14ac:dyDescent="0.2">
      <c r="A120" s="676"/>
      <c r="B120" s="664"/>
      <c r="C120" s="1822" t="s">
        <v>5187</v>
      </c>
      <c r="D120" s="1822"/>
      <c r="E120" s="1822"/>
      <c r="F120" s="1822"/>
      <c r="G120" s="1822"/>
      <c r="H120" s="1822"/>
      <c r="I120" s="1822"/>
      <c r="J120" s="1822"/>
      <c r="K120" s="1822"/>
      <c r="L120" s="1822"/>
      <c r="M120" s="1822"/>
      <c r="N120" s="1827"/>
      <c r="V120" s="674"/>
      <c r="W120" s="675"/>
      <c r="X120" s="537" t="s">
        <v>5187</v>
      </c>
      <c r="AC120" s="675"/>
      <c r="AD120" s="675"/>
      <c r="AF120" s="675"/>
    </row>
    <row r="121" spans="1:33" s="536" customFormat="1" ht="33.75" x14ac:dyDescent="0.2">
      <c r="A121" s="609"/>
      <c r="B121" s="552" t="s">
        <v>310</v>
      </c>
      <c r="C121" s="1822" t="s">
        <v>311</v>
      </c>
      <c r="D121" s="1822"/>
      <c r="E121" s="1822"/>
      <c r="F121" s="1822"/>
      <c r="G121" s="1822"/>
      <c r="H121" s="1822"/>
      <c r="I121" s="1822"/>
      <c r="J121" s="1822"/>
      <c r="K121" s="1822"/>
      <c r="L121" s="1822"/>
      <c r="M121" s="1822"/>
      <c r="N121" s="1827"/>
      <c r="V121" s="674"/>
      <c r="W121" s="675"/>
      <c r="Y121" s="537" t="s">
        <v>311</v>
      </c>
      <c r="AC121" s="675"/>
      <c r="AD121" s="675"/>
      <c r="AF121" s="675"/>
    </row>
    <row r="122" spans="1:33" s="536" customFormat="1" ht="12" x14ac:dyDescent="0.2">
      <c r="A122" s="605"/>
      <c r="B122" s="552" t="s">
        <v>185</v>
      </c>
      <c r="C122" s="1822" t="s">
        <v>312</v>
      </c>
      <c r="D122" s="1822"/>
      <c r="E122" s="1822"/>
      <c r="F122" s="562"/>
      <c r="G122" s="562"/>
      <c r="H122" s="562"/>
      <c r="I122" s="562"/>
      <c r="J122" s="604">
        <v>121.98</v>
      </c>
      <c r="K122" s="562" t="s">
        <v>313</v>
      </c>
      <c r="L122" s="604">
        <v>1422.27</v>
      </c>
      <c r="M122" s="603"/>
      <c r="N122" s="602"/>
      <c r="V122" s="674"/>
      <c r="W122" s="675"/>
      <c r="Z122" s="537" t="s">
        <v>312</v>
      </c>
      <c r="AC122" s="675"/>
      <c r="AD122" s="675"/>
      <c r="AF122" s="675"/>
    </row>
    <row r="123" spans="1:33" s="536" customFormat="1" ht="12" x14ac:dyDescent="0.2">
      <c r="A123" s="605"/>
      <c r="B123" s="552" t="s">
        <v>186</v>
      </c>
      <c r="C123" s="1822" t="s">
        <v>344</v>
      </c>
      <c r="D123" s="1822"/>
      <c r="E123" s="1822"/>
      <c r="F123" s="562"/>
      <c r="G123" s="562"/>
      <c r="H123" s="562"/>
      <c r="I123" s="562"/>
      <c r="J123" s="604">
        <v>89.84</v>
      </c>
      <c r="K123" s="562" t="s">
        <v>313</v>
      </c>
      <c r="L123" s="604">
        <v>1047.52</v>
      </c>
      <c r="M123" s="603"/>
      <c r="N123" s="602"/>
      <c r="V123" s="674"/>
      <c r="W123" s="675"/>
      <c r="Z123" s="537" t="s">
        <v>344</v>
      </c>
      <c r="AC123" s="675"/>
      <c r="AD123" s="675"/>
      <c r="AF123" s="675"/>
    </row>
    <row r="124" spans="1:33" s="536" customFormat="1" ht="12" x14ac:dyDescent="0.2">
      <c r="A124" s="605"/>
      <c r="B124" s="552" t="s">
        <v>187</v>
      </c>
      <c r="C124" s="1822" t="s">
        <v>345</v>
      </c>
      <c r="D124" s="1822"/>
      <c r="E124" s="1822"/>
      <c r="F124" s="562"/>
      <c r="G124" s="562"/>
      <c r="H124" s="562"/>
      <c r="I124" s="562"/>
      <c r="J124" s="604">
        <v>6.38</v>
      </c>
      <c r="K124" s="562" t="s">
        <v>313</v>
      </c>
      <c r="L124" s="604">
        <v>74.39</v>
      </c>
      <c r="M124" s="603"/>
      <c r="N124" s="602"/>
      <c r="V124" s="674"/>
      <c r="W124" s="675"/>
      <c r="Z124" s="537" t="s">
        <v>345</v>
      </c>
      <c r="AC124" s="675"/>
      <c r="AD124" s="675"/>
      <c r="AF124" s="675"/>
    </row>
    <row r="125" spans="1:33" s="536" customFormat="1" ht="12" x14ac:dyDescent="0.2">
      <c r="A125" s="605"/>
      <c r="B125" s="552" t="s">
        <v>188</v>
      </c>
      <c r="C125" s="1822" t="s">
        <v>475</v>
      </c>
      <c r="D125" s="1822"/>
      <c r="E125" s="1822"/>
      <c r="F125" s="562"/>
      <c r="G125" s="562"/>
      <c r="H125" s="562"/>
      <c r="I125" s="562"/>
      <c r="J125" s="604">
        <v>798.57</v>
      </c>
      <c r="K125" s="562"/>
      <c r="L125" s="604">
        <v>7448.98</v>
      </c>
      <c r="M125" s="603"/>
      <c r="N125" s="602"/>
      <c r="V125" s="674"/>
      <c r="W125" s="675"/>
      <c r="Z125" s="537" t="s">
        <v>475</v>
      </c>
      <c r="AC125" s="675"/>
      <c r="AD125" s="675"/>
      <c r="AF125" s="675"/>
    </row>
    <row r="126" spans="1:33" s="536" customFormat="1" ht="12" x14ac:dyDescent="0.2">
      <c r="A126" s="676"/>
      <c r="B126" s="677" t="s">
        <v>1242</v>
      </c>
      <c r="C126" s="1829" t="s">
        <v>5188</v>
      </c>
      <c r="D126" s="1829"/>
      <c r="E126" s="1829"/>
      <c r="F126" s="678" t="s">
        <v>641</v>
      </c>
      <c r="G126" s="678" t="s">
        <v>722</v>
      </c>
      <c r="H126" s="678"/>
      <c r="I126" s="678" t="s">
        <v>5189</v>
      </c>
      <c r="J126" s="552"/>
      <c r="K126" s="562"/>
      <c r="L126" s="604"/>
      <c r="M126" s="562"/>
      <c r="N126" s="679"/>
      <c r="V126" s="674"/>
      <c r="W126" s="675"/>
      <c r="AC126" s="675"/>
      <c r="AD126" s="675"/>
      <c r="AF126" s="675"/>
      <c r="AG126" s="680" t="s">
        <v>5188</v>
      </c>
    </row>
    <row r="127" spans="1:33" s="536" customFormat="1" ht="12" x14ac:dyDescent="0.2">
      <c r="A127" s="676"/>
      <c r="B127" s="677" t="s">
        <v>4745</v>
      </c>
      <c r="C127" s="1829" t="s">
        <v>5190</v>
      </c>
      <c r="D127" s="1829"/>
      <c r="E127" s="1829"/>
      <c r="F127" s="678" t="s">
        <v>865</v>
      </c>
      <c r="G127" s="678" t="s">
        <v>2034</v>
      </c>
      <c r="H127" s="678"/>
      <c r="I127" s="678" t="s">
        <v>5191</v>
      </c>
      <c r="J127" s="552"/>
      <c r="K127" s="562"/>
      <c r="L127" s="604"/>
      <c r="M127" s="562"/>
      <c r="N127" s="679"/>
      <c r="V127" s="674"/>
      <c r="W127" s="675"/>
      <c r="AC127" s="675"/>
      <c r="AD127" s="675"/>
      <c r="AF127" s="675"/>
      <c r="AG127" s="680" t="s">
        <v>5190</v>
      </c>
    </row>
    <row r="128" spans="1:33" s="536" customFormat="1" ht="22.5" x14ac:dyDescent="0.2">
      <c r="A128" s="605"/>
      <c r="B128" s="552"/>
      <c r="C128" s="1822" t="s">
        <v>314</v>
      </c>
      <c r="D128" s="1822"/>
      <c r="E128" s="1822"/>
      <c r="F128" s="562" t="s">
        <v>315</v>
      </c>
      <c r="G128" s="562" t="s">
        <v>2518</v>
      </c>
      <c r="H128" s="562" t="s">
        <v>313</v>
      </c>
      <c r="I128" s="562" t="s">
        <v>5192</v>
      </c>
      <c r="J128" s="604"/>
      <c r="K128" s="562"/>
      <c r="L128" s="604"/>
      <c r="M128" s="603"/>
      <c r="N128" s="602"/>
      <c r="V128" s="674"/>
      <c r="W128" s="675"/>
      <c r="AA128" s="537" t="s">
        <v>314</v>
      </c>
      <c r="AC128" s="675"/>
      <c r="AD128" s="675"/>
      <c r="AF128" s="675"/>
      <c r="AG128" s="680"/>
    </row>
    <row r="129" spans="1:33" s="536" customFormat="1" ht="12" x14ac:dyDescent="0.2">
      <c r="A129" s="605"/>
      <c r="B129" s="552"/>
      <c r="C129" s="1822" t="s">
        <v>348</v>
      </c>
      <c r="D129" s="1822"/>
      <c r="E129" s="1822"/>
      <c r="F129" s="562" t="s">
        <v>315</v>
      </c>
      <c r="G129" s="562" t="s">
        <v>1755</v>
      </c>
      <c r="H129" s="562" t="s">
        <v>313</v>
      </c>
      <c r="I129" s="562" t="s">
        <v>5193</v>
      </c>
      <c r="J129" s="604"/>
      <c r="K129" s="562"/>
      <c r="L129" s="604"/>
      <c r="M129" s="603"/>
      <c r="N129" s="602"/>
      <c r="V129" s="674"/>
      <c r="W129" s="675"/>
      <c r="AA129" s="537" t="s">
        <v>348</v>
      </c>
      <c r="AC129" s="675"/>
      <c r="AD129" s="675"/>
      <c r="AF129" s="675"/>
      <c r="AG129" s="680"/>
    </row>
    <row r="130" spans="1:33" s="536" customFormat="1" ht="12" x14ac:dyDescent="0.2">
      <c r="A130" s="605"/>
      <c r="B130" s="552"/>
      <c r="C130" s="1828" t="s">
        <v>318</v>
      </c>
      <c r="D130" s="1828"/>
      <c r="E130" s="1828"/>
      <c r="F130" s="608"/>
      <c r="G130" s="608"/>
      <c r="H130" s="608"/>
      <c r="I130" s="608"/>
      <c r="J130" s="607">
        <v>1010.39</v>
      </c>
      <c r="K130" s="608"/>
      <c r="L130" s="607">
        <v>9918.77</v>
      </c>
      <c r="M130" s="601"/>
      <c r="N130" s="606"/>
      <c r="V130" s="674"/>
      <c r="W130" s="675"/>
      <c r="AB130" s="537" t="s">
        <v>318</v>
      </c>
      <c r="AC130" s="675"/>
      <c r="AD130" s="675"/>
      <c r="AF130" s="675"/>
      <c r="AG130" s="680"/>
    </row>
    <row r="131" spans="1:33" s="536" customFormat="1" ht="12" x14ac:dyDescent="0.2">
      <c r="A131" s="605"/>
      <c r="B131" s="552"/>
      <c r="C131" s="1822" t="s">
        <v>319</v>
      </c>
      <c r="D131" s="1822"/>
      <c r="E131" s="1822"/>
      <c r="F131" s="562"/>
      <c r="G131" s="562"/>
      <c r="H131" s="562"/>
      <c r="I131" s="562"/>
      <c r="J131" s="604"/>
      <c r="K131" s="562"/>
      <c r="L131" s="604">
        <v>1496.66</v>
      </c>
      <c r="M131" s="603"/>
      <c r="N131" s="602"/>
      <c r="V131" s="674"/>
      <c r="W131" s="675"/>
      <c r="AA131" s="537" t="s">
        <v>319</v>
      </c>
      <c r="AC131" s="675"/>
      <c r="AD131" s="675"/>
      <c r="AF131" s="675"/>
      <c r="AG131" s="680"/>
    </row>
    <row r="132" spans="1:33" s="536" customFormat="1" ht="33.75" x14ac:dyDescent="0.2">
      <c r="A132" s="605"/>
      <c r="B132" s="552" t="s">
        <v>2032</v>
      </c>
      <c r="C132" s="1822" t="s">
        <v>2033</v>
      </c>
      <c r="D132" s="1822"/>
      <c r="E132" s="1822"/>
      <c r="F132" s="562" t="s">
        <v>322</v>
      </c>
      <c r="G132" s="562" t="s">
        <v>2034</v>
      </c>
      <c r="H132" s="562"/>
      <c r="I132" s="562" t="s">
        <v>2034</v>
      </c>
      <c r="J132" s="604"/>
      <c r="K132" s="562"/>
      <c r="L132" s="604">
        <v>1646.33</v>
      </c>
      <c r="M132" s="603"/>
      <c r="N132" s="602"/>
      <c r="V132" s="674"/>
      <c r="W132" s="675"/>
      <c r="AA132" s="537" t="s">
        <v>2033</v>
      </c>
      <c r="AC132" s="675"/>
      <c r="AD132" s="675"/>
      <c r="AF132" s="675"/>
      <c r="AG132" s="680"/>
    </row>
    <row r="133" spans="1:33" s="536" customFormat="1" ht="33.75" x14ac:dyDescent="0.2">
      <c r="A133" s="605"/>
      <c r="B133" s="552" t="s">
        <v>2035</v>
      </c>
      <c r="C133" s="1822" t="s">
        <v>2036</v>
      </c>
      <c r="D133" s="1822"/>
      <c r="E133" s="1822"/>
      <c r="F133" s="562" t="s">
        <v>322</v>
      </c>
      <c r="G133" s="562" t="s">
        <v>2037</v>
      </c>
      <c r="H133" s="562"/>
      <c r="I133" s="562" t="s">
        <v>2037</v>
      </c>
      <c r="J133" s="604"/>
      <c r="K133" s="562"/>
      <c r="L133" s="604">
        <v>1032.7</v>
      </c>
      <c r="M133" s="603"/>
      <c r="N133" s="602"/>
      <c r="V133" s="674"/>
      <c r="W133" s="675"/>
      <c r="AA133" s="537" t="s">
        <v>2036</v>
      </c>
      <c r="AC133" s="675"/>
      <c r="AD133" s="675"/>
      <c r="AF133" s="675"/>
      <c r="AG133" s="680"/>
    </row>
    <row r="134" spans="1:33" s="536" customFormat="1" ht="12" x14ac:dyDescent="0.2">
      <c r="A134" s="569"/>
      <c r="B134" s="671"/>
      <c r="C134" s="1823" t="s">
        <v>327</v>
      </c>
      <c r="D134" s="1823"/>
      <c r="E134" s="1823"/>
      <c r="F134" s="573"/>
      <c r="G134" s="573"/>
      <c r="H134" s="573"/>
      <c r="I134" s="573"/>
      <c r="J134" s="572"/>
      <c r="K134" s="573"/>
      <c r="L134" s="572">
        <v>12597.8</v>
      </c>
      <c r="M134" s="601"/>
      <c r="N134" s="570"/>
      <c r="V134" s="674"/>
      <c r="W134" s="675"/>
      <c r="AC134" s="675" t="s">
        <v>327</v>
      </c>
      <c r="AD134" s="675"/>
      <c r="AF134" s="675"/>
      <c r="AG134" s="680"/>
    </row>
    <row r="135" spans="1:33" s="536" customFormat="1" ht="12" x14ac:dyDescent="0.2">
      <c r="A135" s="575" t="s">
        <v>192</v>
      </c>
      <c r="B135" s="670" t="s">
        <v>5194</v>
      </c>
      <c r="C135" s="1823" t="s">
        <v>5195</v>
      </c>
      <c r="D135" s="1823"/>
      <c r="E135" s="1823"/>
      <c r="F135" s="573" t="s">
        <v>865</v>
      </c>
      <c r="G135" s="573"/>
      <c r="H135" s="573"/>
      <c r="I135" s="573" t="s">
        <v>5191</v>
      </c>
      <c r="J135" s="572">
        <v>3.25</v>
      </c>
      <c r="K135" s="573"/>
      <c r="L135" s="572">
        <v>3334.72</v>
      </c>
      <c r="M135" s="571"/>
      <c r="N135" s="570"/>
      <c r="V135" s="674"/>
      <c r="W135" s="675" t="s">
        <v>5195</v>
      </c>
      <c r="AC135" s="675"/>
      <c r="AD135" s="675"/>
      <c r="AF135" s="675"/>
      <c r="AG135" s="680"/>
    </row>
    <row r="136" spans="1:33" s="536" customFormat="1" ht="12" x14ac:dyDescent="0.2">
      <c r="A136" s="569"/>
      <c r="B136" s="671"/>
      <c r="C136" s="665" t="s">
        <v>717</v>
      </c>
      <c r="D136" s="666"/>
      <c r="E136" s="666"/>
      <c r="F136" s="563"/>
      <c r="G136" s="563"/>
      <c r="H136" s="563"/>
      <c r="I136" s="563"/>
      <c r="J136" s="566"/>
      <c r="K136" s="563"/>
      <c r="L136" s="566"/>
      <c r="M136" s="565"/>
      <c r="N136" s="564"/>
      <c r="V136" s="674"/>
      <c r="W136" s="675"/>
      <c r="AC136" s="675"/>
      <c r="AD136" s="675"/>
      <c r="AF136" s="675"/>
      <c r="AG136" s="680"/>
    </row>
    <row r="137" spans="1:33" s="536" customFormat="1" ht="12" x14ac:dyDescent="0.2">
      <c r="A137" s="676"/>
      <c r="B137" s="664"/>
      <c r="C137" s="1822" t="s">
        <v>5196</v>
      </c>
      <c r="D137" s="1822"/>
      <c r="E137" s="1822"/>
      <c r="F137" s="1822"/>
      <c r="G137" s="1822"/>
      <c r="H137" s="1822"/>
      <c r="I137" s="1822"/>
      <c r="J137" s="1822"/>
      <c r="K137" s="1822"/>
      <c r="L137" s="1822"/>
      <c r="M137" s="1822"/>
      <c r="N137" s="1827"/>
      <c r="V137" s="674"/>
      <c r="W137" s="675"/>
      <c r="X137" s="537" t="s">
        <v>5196</v>
      </c>
      <c r="AC137" s="675"/>
      <c r="AD137" s="675"/>
      <c r="AF137" s="675"/>
      <c r="AG137" s="680"/>
    </row>
    <row r="138" spans="1:33" s="536" customFormat="1" ht="33.75" x14ac:dyDescent="0.2">
      <c r="A138" s="575" t="s">
        <v>193</v>
      </c>
      <c r="B138" s="670" t="s">
        <v>4202</v>
      </c>
      <c r="C138" s="1823" t="s">
        <v>4203</v>
      </c>
      <c r="D138" s="1823"/>
      <c r="E138" s="1823"/>
      <c r="F138" s="573" t="s">
        <v>509</v>
      </c>
      <c r="G138" s="573"/>
      <c r="H138" s="573"/>
      <c r="I138" s="573" t="s">
        <v>5197</v>
      </c>
      <c r="J138" s="572"/>
      <c r="K138" s="573"/>
      <c r="L138" s="572"/>
      <c r="M138" s="571"/>
      <c r="N138" s="570"/>
      <c r="V138" s="674"/>
      <c r="W138" s="675" t="s">
        <v>4203</v>
      </c>
      <c r="AC138" s="675"/>
      <c r="AD138" s="675"/>
      <c r="AF138" s="675"/>
      <c r="AG138" s="680"/>
    </row>
    <row r="139" spans="1:33" s="536" customFormat="1" ht="12" x14ac:dyDescent="0.2">
      <c r="A139" s="676"/>
      <c r="B139" s="664"/>
      <c r="C139" s="1822" t="s">
        <v>5198</v>
      </c>
      <c r="D139" s="1822"/>
      <c r="E139" s="1822"/>
      <c r="F139" s="1822"/>
      <c r="G139" s="1822"/>
      <c r="H139" s="1822"/>
      <c r="I139" s="1822"/>
      <c r="J139" s="1822"/>
      <c r="K139" s="1822"/>
      <c r="L139" s="1822"/>
      <c r="M139" s="1822"/>
      <c r="N139" s="1827"/>
      <c r="V139" s="674"/>
      <c r="W139" s="675"/>
      <c r="X139" s="537" t="s">
        <v>5198</v>
      </c>
      <c r="AC139" s="675"/>
      <c r="AD139" s="675"/>
      <c r="AF139" s="675"/>
      <c r="AG139" s="680"/>
    </row>
    <row r="140" spans="1:33" s="536" customFormat="1" ht="33.75" x14ac:dyDescent="0.2">
      <c r="A140" s="609"/>
      <c r="B140" s="552" t="s">
        <v>310</v>
      </c>
      <c r="C140" s="1822" t="s">
        <v>311</v>
      </c>
      <c r="D140" s="1822"/>
      <c r="E140" s="1822"/>
      <c r="F140" s="1822"/>
      <c r="G140" s="1822"/>
      <c r="H140" s="1822"/>
      <c r="I140" s="1822"/>
      <c r="J140" s="1822"/>
      <c r="K140" s="1822"/>
      <c r="L140" s="1822"/>
      <c r="M140" s="1822"/>
      <c r="N140" s="1827"/>
      <c r="V140" s="674"/>
      <c r="W140" s="675"/>
      <c r="Y140" s="537" t="s">
        <v>311</v>
      </c>
      <c r="AC140" s="675"/>
      <c r="AD140" s="675"/>
      <c r="AF140" s="675"/>
      <c r="AG140" s="680"/>
    </row>
    <row r="141" spans="1:33" s="536" customFormat="1" ht="12" x14ac:dyDescent="0.2">
      <c r="A141" s="605"/>
      <c r="B141" s="552" t="s">
        <v>185</v>
      </c>
      <c r="C141" s="1822" t="s">
        <v>312</v>
      </c>
      <c r="D141" s="1822"/>
      <c r="E141" s="1822"/>
      <c r="F141" s="562"/>
      <c r="G141" s="562"/>
      <c r="H141" s="562"/>
      <c r="I141" s="562"/>
      <c r="J141" s="604">
        <v>173.23</v>
      </c>
      <c r="K141" s="562" t="s">
        <v>313</v>
      </c>
      <c r="L141" s="604">
        <v>241.89</v>
      </c>
      <c r="M141" s="603"/>
      <c r="N141" s="602"/>
      <c r="V141" s="674"/>
      <c r="W141" s="675"/>
      <c r="Z141" s="537" t="s">
        <v>312</v>
      </c>
      <c r="AC141" s="675"/>
      <c r="AD141" s="675"/>
      <c r="AF141" s="675"/>
      <c r="AG141" s="680"/>
    </row>
    <row r="142" spans="1:33" s="536" customFormat="1" ht="12" x14ac:dyDescent="0.2">
      <c r="A142" s="605"/>
      <c r="B142" s="552" t="s">
        <v>186</v>
      </c>
      <c r="C142" s="1822" t="s">
        <v>344</v>
      </c>
      <c r="D142" s="1822"/>
      <c r="E142" s="1822"/>
      <c r="F142" s="562"/>
      <c r="G142" s="562"/>
      <c r="H142" s="562"/>
      <c r="I142" s="562"/>
      <c r="J142" s="604">
        <v>5268.76</v>
      </c>
      <c r="K142" s="562" t="s">
        <v>313</v>
      </c>
      <c r="L142" s="604">
        <v>7357.16</v>
      </c>
      <c r="M142" s="603"/>
      <c r="N142" s="602"/>
      <c r="V142" s="674"/>
      <c r="W142" s="675"/>
      <c r="Z142" s="537" t="s">
        <v>344</v>
      </c>
      <c r="AC142" s="675"/>
      <c r="AD142" s="675"/>
      <c r="AF142" s="675"/>
      <c r="AG142" s="680"/>
    </row>
    <row r="143" spans="1:33" s="536" customFormat="1" ht="12" x14ac:dyDescent="0.2">
      <c r="A143" s="605"/>
      <c r="B143" s="552" t="s">
        <v>187</v>
      </c>
      <c r="C143" s="1822" t="s">
        <v>345</v>
      </c>
      <c r="D143" s="1822"/>
      <c r="E143" s="1822"/>
      <c r="F143" s="562"/>
      <c r="G143" s="562"/>
      <c r="H143" s="562"/>
      <c r="I143" s="562"/>
      <c r="J143" s="604">
        <v>267.67</v>
      </c>
      <c r="K143" s="562" t="s">
        <v>313</v>
      </c>
      <c r="L143" s="604">
        <v>373.77</v>
      </c>
      <c r="M143" s="603"/>
      <c r="N143" s="602"/>
      <c r="V143" s="674"/>
      <c r="W143" s="675"/>
      <c r="Z143" s="537" t="s">
        <v>345</v>
      </c>
      <c r="AC143" s="675"/>
      <c r="AD143" s="675"/>
      <c r="AF143" s="675"/>
      <c r="AG143" s="680"/>
    </row>
    <row r="144" spans="1:33" s="536" customFormat="1" ht="12" x14ac:dyDescent="0.2">
      <c r="A144" s="605"/>
      <c r="B144" s="552" t="s">
        <v>188</v>
      </c>
      <c r="C144" s="1822" t="s">
        <v>475</v>
      </c>
      <c r="D144" s="1822"/>
      <c r="E144" s="1822"/>
      <c r="F144" s="562"/>
      <c r="G144" s="562"/>
      <c r="H144" s="562"/>
      <c r="I144" s="562"/>
      <c r="J144" s="604">
        <v>17.079999999999998</v>
      </c>
      <c r="K144" s="562"/>
      <c r="L144" s="604">
        <v>19.079999999999998</v>
      </c>
      <c r="M144" s="603"/>
      <c r="N144" s="602"/>
      <c r="V144" s="674"/>
      <c r="W144" s="675"/>
      <c r="Z144" s="537" t="s">
        <v>475</v>
      </c>
      <c r="AC144" s="675"/>
      <c r="AD144" s="675"/>
      <c r="AF144" s="675"/>
      <c r="AG144" s="680"/>
    </row>
    <row r="145" spans="1:33" s="536" customFormat="1" ht="12" x14ac:dyDescent="0.2">
      <c r="A145" s="676"/>
      <c r="B145" s="677" t="s">
        <v>1563</v>
      </c>
      <c r="C145" s="1829" t="s">
        <v>4206</v>
      </c>
      <c r="D145" s="1829"/>
      <c r="E145" s="1829"/>
      <c r="F145" s="678" t="s">
        <v>641</v>
      </c>
      <c r="G145" s="678" t="s">
        <v>525</v>
      </c>
      <c r="H145" s="678"/>
      <c r="I145" s="678" t="s">
        <v>525</v>
      </c>
      <c r="J145" s="552"/>
      <c r="K145" s="562"/>
      <c r="L145" s="604"/>
      <c r="M145" s="562"/>
      <c r="N145" s="679"/>
      <c r="V145" s="674"/>
      <c r="W145" s="675"/>
      <c r="AC145" s="675"/>
      <c r="AD145" s="675"/>
      <c r="AF145" s="675"/>
      <c r="AG145" s="680" t="s">
        <v>4206</v>
      </c>
    </row>
    <row r="146" spans="1:33" s="536" customFormat="1" ht="12" x14ac:dyDescent="0.2">
      <c r="A146" s="605"/>
      <c r="B146" s="552"/>
      <c r="C146" s="1822" t="s">
        <v>314</v>
      </c>
      <c r="D146" s="1822"/>
      <c r="E146" s="1822"/>
      <c r="F146" s="562" t="s">
        <v>315</v>
      </c>
      <c r="G146" s="562" t="s">
        <v>373</v>
      </c>
      <c r="H146" s="562" t="s">
        <v>313</v>
      </c>
      <c r="I146" s="562" t="s">
        <v>5199</v>
      </c>
      <c r="J146" s="604"/>
      <c r="K146" s="562"/>
      <c r="L146" s="604"/>
      <c r="M146" s="603"/>
      <c r="N146" s="602"/>
      <c r="V146" s="674"/>
      <c r="W146" s="675"/>
      <c r="AA146" s="537" t="s">
        <v>314</v>
      </c>
      <c r="AC146" s="675"/>
      <c r="AD146" s="675"/>
      <c r="AF146" s="675"/>
      <c r="AG146" s="680"/>
    </row>
    <row r="147" spans="1:33" s="536" customFormat="1" ht="12" x14ac:dyDescent="0.2">
      <c r="A147" s="605"/>
      <c r="B147" s="552"/>
      <c r="C147" s="1822" t="s">
        <v>348</v>
      </c>
      <c r="D147" s="1822"/>
      <c r="E147" s="1822"/>
      <c r="F147" s="562" t="s">
        <v>315</v>
      </c>
      <c r="G147" s="562" t="s">
        <v>4208</v>
      </c>
      <c r="H147" s="562" t="s">
        <v>313</v>
      </c>
      <c r="I147" s="562" t="s">
        <v>5200</v>
      </c>
      <c r="J147" s="604"/>
      <c r="K147" s="562"/>
      <c r="L147" s="604"/>
      <c r="M147" s="603"/>
      <c r="N147" s="602"/>
      <c r="V147" s="674"/>
      <c r="W147" s="675"/>
      <c r="AA147" s="537" t="s">
        <v>348</v>
      </c>
      <c r="AC147" s="675"/>
      <c r="AD147" s="675"/>
      <c r="AF147" s="675"/>
      <c r="AG147" s="680"/>
    </row>
    <row r="148" spans="1:33" s="536" customFormat="1" ht="12" x14ac:dyDescent="0.2">
      <c r="A148" s="605"/>
      <c r="B148" s="552"/>
      <c r="C148" s="1828" t="s">
        <v>318</v>
      </c>
      <c r="D148" s="1828"/>
      <c r="E148" s="1828"/>
      <c r="F148" s="608"/>
      <c r="G148" s="608"/>
      <c r="H148" s="608"/>
      <c r="I148" s="608"/>
      <c r="J148" s="607">
        <v>5459.07</v>
      </c>
      <c r="K148" s="608"/>
      <c r="L148" s="607">
        <v>7618.13</v>
      </c>
      <c r="M148" s="601"/>
      <c r="N148" s="606"/>
      <c r="V148" s="674"/>
      <c r="W148" s="675"/>
      <c r="AB148" s="537" t="s">
        <v>318</v>
      </c>
      <c r="AC148" s="675"/>
      <c r="AD148" s="675"/>
      <c r="AF148" s="675"/>
      <c r="AG148" s="680"/>
    </row>
    <row r="149" spans="1:33" s="536" customFormat="1" ht="12" x14ac:dyDescent="0.2">
      <c r="A149" s="605"/>
      <c r="B149" s="552"/>
      <c r="C149" s="1822" t="s">
        <v>319</v>
      </c>
      <c r="D149" s="1822"/>
      <c r="E149" s="1822"/>
      <c r="F149" s="562"/>
      <c r="G149" s="562"/>
      <c r="H149" s="562"/>
      <c r="I149" s="562"/>
      <c r="J149" s="604"/>
      <c r="K149" s="562"/>
      <c r="L149" s="604">
        <v>615.66</v>
      </c>
      <c r="M149" s="603"/>
      <c r="N149" s="602"/>
      <c r="V149" s="674"/>
      <c r="W149" s="675"/>
      <c r="AA149" s="537" t="s">
        <v>319</v>
      </c>
      <c r="AC149" s="675"/>
      <c r="AD149" s="675"/>
      <c r="AF149" s="675"/>
      <c r="AG149" s="680"/>
    </row>
    <row r="150" spans="1:33" s="536" customFormat="1" ht="33.75" x14ac:dyDescent="0.2">
      <c r="A150" s="605"/>
      <c r="B150" s="552" t="s">
        <v>554</v>
      </c>
      <c r="C150" s="1822" t="s">
        <v>555</v>
      </c>
      <c r="D150" s="1822"/>
      <c r="E150" s="1822"/>
      <c r="F150" s="562" t="s">
        <v>322</v>
      </c>
      <c r="G150" s="562" t="s">
        <v>556</v>
      </c>
      <c r="H150" s="562"/>
      <c r="I150" s="562" t="s">
        <v>556</v>
      </c>
      <c r="J150" s="604"/>
      <c r="K150" s="562"/>
      <c r="L150" s="604">
        <v>775.73</v>
      </c>
      <c r="M150" s="603"/>
      <c r="N150" s="602"/>
      <c r="V150" s="674"/>
      <c r="W150" s="675"/>
      <c r="AA150" s="537" t="s">
        <v>555</v>
      </c>
      <c r="AC150" s="675"/>
      <c r="AD150" s="675"/>
      <c r="AF150" s="675"/>
      <c r="AG150" s="680"/>
    </row>
    <row r="151" spans="1:33" s="536" customFormat="1" ht="33.75" x14ac:dyDescent="0.2">
      <c r="A151" s="605"/>
      <c r="B151" s="552" t="s">
        <v>557</v>
      </c>
      <c r="C151" s="1822" t="s">
        <v>558</v>
      </c>
      <c r="D151" s="1822"/>
      <c r="E151" s="1822"/>
      <c r="F151" s="562" t="s">
        <v>322</v>
      </c>
      <c r="G151" s="562" t="s">
        <v>559</v>
      </c>
      <c r="H151" s="562"/>
      <c r="I151" s="562" t="s">
        <v>559</v>
      </c>
      <c r="J151" s="604"/>
      <c r="K151" s="562"/>
      <c r="L151" s="604">
        <v>584.88</v>
      </c>
      <c r="M151" s="603"/>
      <c r="N151" s="602"/>
      <c r="V151" s="674"/>
      <c r="W151" s="675"/>
      <c r="AA151" s="537" t="s">
        <v>558</v>
      </c>
      <c r="AC151" s="675"/>
      <c r="AD151" s="675"/>
      <c r="AF151" s="675"/>
      <c r="AG151" s="680"/>
    </row>
    <row r="152" spans="1:33" s="536" customFormat="1" ht="12" x14ac:dyDescent="0.2">
      <c r="A152" s="569"/>
      <c r="B152" s="671"/>
      <c r="C152" s="1823" t="s">
        <v>327</v>
      </c>
      <c r="D152" s="1823"/>
      <c r="E152" s="1823"/>
      <c r="F152" s="573"/>
      <c r="G152" s="573"/>
      <c r="H152" s="573"/>
      <c r="I152" s="573"/>
      <c r="J152" s="572"/>
      <c r="K152" s="573"/>
      <c r="L152" s="572">
        <v>8978.74</v>
      </c>
      <c r="M152" s="601"/>
      <c r="N152" s="570"/>
      <c r="V152" s="674"/>
      <c r="W152" s="675"/>
      <c r="AC152" s="675" t="s">
        <v>327</v>
      </c>
      <c r="AD152" s="675"/>
      <c r="AF152" s="675"/>
      <c r="AG152" s="680"/>
    </row>
    <row r="153" spans="1:33" s="536" customFormat="1" ht="22.5" x14ac:dyDescent="0.2">
      <c r="A153" s="575" t="s">
        <v>194</v>
      </c>
      <c r="B153" s="670" t="s">
        <v>4130</v>
      </c>
      <c r="C153" s="1823" t="s">
        <v>4131</v>
      </c>
      <c r="D153" s="1823"/>
      <c r="E153" s="1823"/>
      <c r="F153" s="573" t="s">
        <v>641</v>
      </c>
      <c r="G153" s="573"/>
      <c r="H153" s="573"/>
      <c r="I153" s="573" t="s">
        <v>5201</v>
      </c>
      <c r="J153" s="572">
        <v>118.6</v>
      </c>
      <c r="K153" s="573"/>
      <c r="L153" s="572">
        <v>16693.5</v>
      </c>
      <c r="M153" s="571"/>
      <c r="N153" s="570"/>
      <c r="V153" s="674"/>
      <c r="W153" s="675" t="s">
        <v>4131</v>
      </c>
      <c r="AC153" s="675"/>
      <c r="AD153" s="675"/>
      <c r="AF153" s="675"/>
      <c r="AG153" s="680"/>
    </row>
    <row r="154" spans="1:33" s="536" customFormat="1" ht="12" x14ac:dyDescent="0.2">
      <c r="A154" s="569"/>
      <c r="B154" s="671"/>
      <c r="C154" s="665" t="s">
        <v>717</v>
      </c>
      <c r="D154" s="666"/>
      <c r="E154" s="666"/>
      <c r="F154" s="563"/>
      <c r="G154" s="563"/>
      <c r="H154" s="563"/>
      <c r="I154" s="563"/>
      <c r="J154" s="566"/>
      <c r="K154" s="563"/>
      <c r="L154" s="566"/>
      <c r="M154" s="565"/>
      <c r="N154" s="564"/>
      <c r="V154" s="674"/>
      <c r="W154" s="675"/>
      <c r="AC154" s="675"/>
      <c r="AD154" s="675"/>
      <c r="AF154" s="675"/>
      <c r="AG154" s="680"/>
    </row>
    <row r="155" spans="1:33" s="536" customFormat="1" ht="12" x14ac:dyDescent="0.2">
      <c r="A155" s="676"/>
      <c r="B155" s="664"/>
      <c r="C155" s="1822" t="s">
        <v>5202</v>
      </c>
      <c r="D155" s="1822"/>
      <c r="E155" s="1822"/>
      <c r="F155" s="1822"/>
      <c r="G155" s="1822"/>
      <c r="H155" s="1822"/>
      <c r="I155" s="1822"/>
      <c r="J155" s="1822"/>
      <c r="K155" s="1822"/>
      <c r="L155" s="1822"/>
      <c r="M155" s="1822"/>
      <c r="N155" s="1827"/>
      <c r="V155" s="674"/>
      <c r="W155" s="675"/>
      <c r="X155" s="537" t="s">
        <v>5202</v>
      </c>
      <c r="AC155" s="675"/>
      <c r="AD155" s="675"/>
      <c r="AF155" s="675"/>
      <c r="AG155" s="680"/>
    </row>
    <row r="156" spans="1:33" s="536" customFormat="1" ht="33.75" x14ac:dyDescent="0.2">
      <c r="A156" s="575" t="s">
        <v>195</v>
      </c>
      <c r="B156" s="670" t="s">
        <v>5203</v>
      </c>
      <c r="C156" s="1823" t="s">
        <v>5204</v>
      </c>
      <c r="D156" s="1823"/>
      <c r="E156" s="1823"/>
      <c r="F156" s="573" t="s">
        <v>509</v>
      </c>
      <c r="G156" s="573"/>
      <c r="H156" s="573"/>
      <c r="I156" s="573" t="s">
        <v>5205</v>
      </c>
      <c r="J156" s="572"/>
      <c r="K156" s="573"/>
      <c r="L156" s="572"/>
      <c r="M156" s="571"/>
      <c r="N156" s="570"/>
      <c r="V156" s="674"/>
      <c r="W156" s="675" t="s">
        <v>5204</v>
      </c>
      <c r="AC156" s="675"/>
      <c r="AD156" s="675"/>
      <c r="AF156" s="675"/>
      <c r="AG156" s="680"/>
    </row>
    <row r="157" spans="1:33" s="536" customFormat="1" ht="12" x14ac:dyDescent="0.2">
      <c r="A157" s="676"/>
      <c r="B157" s="664"/>
      <c r="C157" s="1822" t="s">
        <v>5206</v>
      </c>
      <c r="D157" s="1822"/>
      <c r="E157" s="1822"/>
      <c r="F157" s="1822"/>
      <c r="G157" s="1822"/>
      <c r="H157" s="1822"/>
      <c r="I157" s="1822"/>
      <c r="J157" s="1822"/>
      <c r="K157" s="1822"/>
      <c r="L157" s="1822"/>
      <c r="M157" s="1822"/>
      <c r="N157" s="1827"/>
      <c r="V157" s="674"/>
      <c r="W157" s="675"/>
      <c r="X157" s="537" t="s">
        <v>5206</v>
      </c>
      <c r="AC157" s="675"/>
      <c r="AD157" s="675"/>
      <c r="AF157" s="675"/>
      <c r="AG157" s="680"/>
    </row>
    <row r="158" spans="1:33" s="536" customFormat="1" ht="33.75" x14ac:dyDescent="0.2">
      <c r="A158" s="609"/>
      <c r="B158" s="552" t="s">
        <v>310</v>
      </c>
      <c r="C158" s="1822" t="s">
        <v>311</v>
      </c>
      <c r="D158" s="1822"/>
      <c r="E158" s="1822"/>
      <c r="F158" s="1822"/>
      <c r="G158" s="1822"/>
      <c r="H158" s="1822"/>
      <c r="I158" s="1822"/>
      <c r="J158" s="1822"/>
      <c r="K158" s="1822"/>
      <c r="L158" s="1822"/>
      <c r="M158" s="1822"/>
      <c r="N158" s="1827"/>
      <c r="V158" s="674"/>
      <c r="W158" s="675"/>
      <c r="Y158" s="537" t="s">
        <v>311</v>
      </c>
      <c r="AC158" s="675"/>
      <c r="AD158" s="675"/>
      <c r="AF158" s="675"/>
      <c r="AG158" s="680"/>
    </row>
    <row r="159" spans="1:33" s="536" customFormat="1" ht="12" x14ac:dyDescent="0.2">
      <c r="A159" s="605"/>
      <c r="B159" s="552" t="s">
        <v>185</v>
      </c>
      <c r="C159" s="1822" t="s">
        <v>312</v>
      </c>
      <c r="D159" s="1822"/>
      <c r="E159" s="1822"/>
      <c r="F159" s="562"/>
      <c r="G159" s="562"/>
      <c r="H159" s="562"/>
      <c r="I159" s="562"/>
      <c r="J159" s="604">
        <v>2790.72</v>
      </c>
      <c r="K159" s="562" t="s">
        <v>313</v>
      </c>
      <c r="L159" s="604">
        <v>2017.34</v>
      </c>
      <c r="M159" s="603"/>
      <c r="N159" s="602"/>
      <c r="V159" s="674"/>
      <c r="W159" s="675"/>
      <c r="Z159" s="537" t="s">
        <v>312</v>
      </c>
      <c r="AC159" s="675"/>
      <c r="AD159" s="675"/>
      <c r="AF159" s="675"/>
      <c r="AG159" s="680"/>
    </row>
    <row r="160" spans="1:33" s="536" customFormat="1" ht="12" x14ac:dyDescent="0.2">
      <c r="A160" s="605"/>
      <c r="B160" s="552" t="s">
        <v>186</v>
      </c>
      <c r="C160" s="1822" t="s">
        <v>344</v>
      </c>
      <c r="D160" s="1822"/>
      <c r="E160" s="1822"/>
      <c r="F160" s="562"/>
      <c r="G160" s="562"/>
      <c r="H160" s="562"/>
      <c r="I160" s="562"/>
      <c r="J160" s="604">
        <v>13395.62</v>
      </c>
      <c r="K160" s="562" t="s">
        <v>313</v>
      </c>
      <c r="L160" s="604">
        <v>9683.36</v>
      </c>
      <c r="M160" s="603"/>
      <c r="N160" s="602"/>
      <c r="V160" s="674"/>
      <c r="W160" s="675"/>
      <c r="Z160" s="537" t="s">
        <v>344</v>
      </c>
      <c r="AC160" s="675"/>
      <c r="AD160" s="675"/>
      <c r="AF160" s="675"/>
      <c r="AG160" s="680"/>
    </row>
    <row r="161" spans="1:33" s="536" customFormat="1" ht="12" x14ac:dyDescent="0.2">
      <c r="A161" s="605"/>
      <c r="B161" s="552" t="s">
        <v>187</v>
      </c>
      <c r="C161" s="1822" t="s">
        <v>345</v>
      </c>
      <c r="D161" s="1822"/>
      <c r="E161" s="1822"/>
      <c r="F161" s="562"/>
      <c r="G161" s="562"/>
      <c r="H161" s="562"/>
      <c r="I161" s="562"/>
      <c r="J161" s="604">
        <v>1622.6</v>
      </c>
      <c r="K161" s="562" t="s">
        <v>313</v>
      </c>
      <c r="L161" s="604">
        <v>1172.94</v>
      </c>
      <c r="M161" s="603"/>
      <c r="N161" s="602"/>
      <c r="V161" s="674"/>
      <c r="W161" s="675"/>
      <c r="Z161" s="537" t="s">
        <v>345</v>
      </c>
      <c r="AC161" s="675"/>
      <c r="AD161" s="675"/>
      <c r="AF161" s="675"/>
      <c r="AG161" s="680"/>
    </row>
    <row r="162" spans="1:33" s="536" customFormat="1" ht="12" x14ac:dyDescent="0.2">
      <c r="A162" s="605"/>
      <c r="B162" s="552" t="s">
        <v>188</v>
      </c>
      <c r="C162" s="1822" t="s">
        <v>475</v>
      </c>
      <c r="D162" s="1822"/>
      <c r="E162" s="1822"/>
      <c r="F162" s="562"/>
      <c r="G162" s="562"/>
      <c r="H162" s="562"/>
      <c r="I162" s="562"/>
      <c r="J162" s="604">
        <v>19430.86</v>
      </c>
      <c r="K162" s="562"/>
      <c r="L162" s="604">
        <v>0</v>
      </c>
      <c r="M162" s="603"/>
      <c r="N162" s="602"/>
      <c r="V162" s="674"/>
      <c r="W162" s="675"/>
      <c r="Z162" s="537" t="s">
        <v>475</v>
      </c>
      <c r="AC162" s="675"/>
      <c r="AD162" s="675"/>
      <c r="AF162" s="675"/>
      <c r="AG162" s="680"/>
    </row>
    <row r="163" spans="1:33" s="536" customFormat="1" ht="12" x14ac:dyDescent="0.2">
      <c r="A163" s="676"/>
      <c r="B163" s="677" t="s">
        <v>5207</v>
      </c>
      <c r="C163" s="1829" t="s">
        <v>5208</v>
      </c>
      <c r="D163" s="1829"/>
      <c r="E163" s="1829"/>
      <c r="F163" s="678" t="s">
        <v>641</v>
      </c>
      <c r="G163" s="678" t="s">
        <v>844</v>
      </c>
      <c r="H163" s="678"/>
      <c r="I163" s="678" t="s">
        <v>5209</v>
      </c>
      <c r="J163" s="552"/>
      <c r="K163" s="562"/>
      <c r="L163" s="604"/>
      <c r="M163" s="562"/>
      <c r="N163" s="679"/>
      <c r="V163" s="674"/>
      <c r="W163" s="675"/>
      <c r="AC163" s="675"/>
      <c r="AD163" s="675"/>
      <c r="AF163" s="675"/>
      <c r="AG163" s="680" t="s">
        <v>5208</v>
      </c>
    </row>
    <row r="164" spans="1:33" s="536" customFormat="1" ht="22.5" x14ac:dyDescent="0.2">
      <c r="A164" s="605"/>
      <c r="B164" s="552"/>
      <c r="C164" s="1822" t="s">
        <v>314</v>
      </c>
      <c r="D164" s="1822"/>
      <c r="E164" s="1822"/>
      <c r="F164" s="562" t="s">
        <v>315</v>
      </c>
      <c r="G164" s="562" t="s">
        <v>5210</v>
      </c>
      <c r="H164" s="562" t="s">
        <v>313</v>
      </c>
      <c r="I164" s="562" t="s">
        <v>5211</v>
      </c>
      <c r="J164" s="604"/>
      <c r="K164" s="562"/>
      <c r="L164" s="604"/>
      <c r="M164" s="603"/>
      <c r="N164" s="602"/>
      <c r="V164" s="674"/>
      <c r="W164" s="675"/>
      <c r="AA164" s="537" t="s">
        <v>314</v>
      </c>
      <c r="AC164" s="675"/>
      <c r="AD164" s="675"/>
      <c r="AF164" s="675"/>
      <c r="AG164" s="680"/>
    </row>
    <row r="165" spans="1:33" s="536" customFormat="1" ht="22.5" x14ac:dyDescent="0.2">
      <c r="A165" s="605"/>
      <c r="B165" s="552"/>
      <c r="C165" s="1822" t="s">
        <v>348</v>
      </c>
      <c r="D165" s="1822"/>
      <c r="E165" s="1822"/>
      <c r="F165" s="562" t="s">
        <v>315</v>
      </c>
      <c r="G165" s="562" t="s">
        <v>5212</v>
      </c>
      <c r="H165" s="562" t="s">
        <v>313</v>
      </c>
      <c r="I165" s="562" t="s">
        <v>5213</v>
      </c>
      <c r="J165" s="604"/>
      <c r="K165" s="562"/>
      <c r="L165" s="604"/>
      <c r="M165" s="603"/>
      <c r="N165" s="602"/>
      <c r="V165" s="674"/>
      <c r="W165" s="675"/>
      <c r="AA165" s="537" t="s">
        <v>348</v>
      </c>
      <c r="AC165" s="675"/>
      <c r="AD165" s="675"/>
      <c r="AF165" s="675"/>
      <c r="AG165" s="680"/>
    </row>
    <row r="166" spans="1:33" s="536" customFormat="1" ht="12" x14ac:dyDescent="0.2">
      <c r="A166" s="605"/>
      <c r="B166" s="552"/>
      <c r="C166" s="1828" t="s">
        <v>318</v>
      </c>
      <c r="D166" s="1828"/>
      <c r="E166" s="1828"/>
      <c r="F166" s="608"/>
      <c r="G166" s="608"/>
      <c r="H166" s="608"/>
      <c r="I166" s="608"/>
      <c r="J166" s="607">
        <v>16186.34</v>
      </c>
      <c r="K166" s="608"/>
      <c r="L166" s="607">
        <v>11700.7</v>
      </c>
      <c r="M166" s="601"/>
      <c r="N166" s="606"/>
      <c r="V166" s="674"/>
      <c r="W166" s="675"/>
      <c r="AB166" s="537" t="s">
        <v>318</v>
      </c>
      <c r="AC166" s="675"/>
      <c r="AD166" s="675"/>
      <c r="AF166" s="675"/>
      <c r="AG166" s="680"/>
    </row>
    <row r="167" spans="1:33" s="536" customFormat="1" ht="12" x14ac:dyDescent="0.2">
      <c r="A167" s="605"/>
      <c r="B167" s="552"/>
      <c r="C167" s="1822" t="s">
        <v>319</v>
      </c>
      <c r="D167" s="1822"/>
      <c r="E167" s="1822"/>
      <c r="F167" s="562"/>
      <c r="G167" s="562"/>
      <c r="H167" s="562"/>
      <c r="I167" s="562"/>
      <c r="J167" s="604"/>
      <c r="K167" s="562"/>
      <c r="L167" s="604">
        <v>3190.28</v>
      </c>
      <c r="M167" s="603"/>
      <c r="N167" s="602"/>
      <c r="V167" s="674"/>
      <c r="W167" s="675"/>
      <c r="AA167" s="537" t="s">
        <v>319</v>
      </c>
      <c r="AC167" s="675"/>
      <c r="AD167" s="675"/>
      <c r="AF167" s="675"/>
      <c r="AG167" s="680"/>
    </row>
    <row r="168" spans="1:33" s="536" customFormat="1" ht="33.75" x14ac:dyDescent="0.2">
      <c r="A168" s="605"/>
      <c r="B168" s="552" t="s">
        <v>554</v>
      </c>
      <c r="C168" s="1822" t="s">
        <v>555</v>
      </c>
      <c r="D168" s="1822"/>
      <c r="E168" s="1822"/>
      <c r="F168" s="562" t="s">
        <v>322</v>
      </c>
      <c r="G168" s="562" t="s">
        <v>556</v>
      </c>
      <c r="H168" s="562"/>
      <c r="I168" s="562" t="s">
        <v>556</v>
      </c>
      <c r="J168" s="604"/>
      <c r="K168" s="562"/>
      <c r="L168" s="604">
        <v>4019.75</v>
      </c>
      <c r="M168" s="603"/>
      <c r="N168" s="602"/>
      <c r="V168" s="674"/>
      <c r="W168" s="675"/>
      <c r="AA168" s="537" t="s">
        <v>555</v>
      </c>
      <c r="AC168" s="675"/>
      <c r="AD168" s="675"/>
      <c r="AF168" s="675"/>
      <c r="AG168" s="680"/>
    </row>
    <row r="169" spans="1:33" s="536" customFormat="1" ht="33.75" x14ac:dyDescent="0.2">
      <c r="A169" s="605"/>
      <c r="B169" s="552" t="s">
        <v>557</v>
      </c>
      <c r="C169" s="1822" t="s">
        <v>558</v>
      </c>
      <c r="D169" s="1822"/>
      <c r="E169" s="1822"/>
      <c r="F169" s="562" t="s">
        <v>322</v>
      </c>
      <c r="G169" s="562" t="s">
        <v>559</v>
      </c>
      <c r="H169" s="562"/>
      <c r="I169" s="562" t="s">
        <v>559</v>
      </c>
      <c r="J169" s="604"/>
      <c r="K169" s="562"/>
      <c r="L169" s="604">
        <v>3030.77</v>
      </c>
      <c r="M169" s="603"/>
      <c r="N169" s="602"/>
      <c r="V169" s="674"/>
      <c r="W169" s="675"/>
      <c r="AA169" s="537" t="s">
        <v>558</v>
      </c>
      <c r="AC169" s="675"/>
      <c r="AD169" s="675"/>
      <c r="AF169" s="675"/>
      <c r="AG169" s="680"/>
    </row>
    <row r="170" spans="1:33" s="536" customFormat="1" ht="12" x14ac:dyDescent="0.2">
      <c r="A170" s="569"/>
      <c r="B170" s="671"/>
      <c r="C170" s="1823" t="s">
        <v>327</v>
      </c>
      <c r="D170" s="1823"/>
      <c r="E170" s="1823"/>
      <c r="F170" s="573"/>
      <c r="G170" s="573"/>
      <c r="H170" s="573"/>
      <c r="I170" s="573"/>
      <c r="J170" s="572"/>
      <c r="K170" s="573"/>
      <c r="L170" s="572">
        <v>18751.22</v>
      </c>
      <c r="M170" s="601"/>
      <c r="N170" s="570"/>
      <c r="V170" s="674"/>
      <c r="W170" s="675"/>
      <c r="AC170" s="675" t="s">
        <v>327</v>
      </c>
      <c r="AD170" s="675"/>
      <c r="AF170" s="675"/>
      <c r="AG170" s="680"/>
    </row>
    <row r="171" spans="1:33" s="536" customFormat="1" ht="22.5" x14ac:dyDescent="0.2">
      <c r="A171" s="575" t="s">
        <v>196</v>
      </c>
      <c r="B171" s="670" t="s">
        <v>5214</v>
      </c>
      <c r="C171" s="1823" t="s">
        <v>5215</v>
      </c>
      <c r="D171" s="1823"/>
      <c r="E171" s="1823"/>
      <c r="F171" s="573" t="s">
        <v>699</v>
      </c>
      <c r="G171" s="573"/>
      <c r="H171" s="573"/>
      <c r="I171" s="573" t="s">
        <v>5216</v>
      </c>
      <c r="J171" s="572">
        <v>25.59</v>
      </c>
      <c r="K171" s="573"/>
      <c r="L171" s="572">
        <v>2616.58</v>
      </c>
      <c r="M171" s="571"/>
      <c r="N171" s="570"/>
      <c r="V171" s="674"/>
      <c r="W171" s="675" t="s">
        <v>5215</v>
      </c>
      <c r="AC171" s="675"/>
      <c r="AD171" s="675"/>
      <c r="AF171" s="675"/>
      <c r="AG171" s="680"/>
    </row>
    <row r="172" spans="1:33" s="536" customFormat="1" ht="12" x14ac:dyDescent="0.2">
      <c r="A172" s="569"/>
      <c r="B172" s="671"/>
      <c r="C172" s="665" t="s">
        <v>5217</v>
      </c>
      <c r="D172" s="666"/>
      <c r="E172" s="666"/>
      <c r="F172" s="563"/>
      <c r="G172" s="563"/>
      <c r="H172" s="563"/>
      <c r="I172" s="563"/>
      <c r="J172" s="566"/>
      <c r="K172" s="563"/>
      <c r="L172" s="566"/>
      <c r="M172" s="565"/>
      <c r="N172" s="564"/>
      <c r="V172" s="674"/>
      <c r="W172" s="675"/>
      <c r="AC172" s="675"/>
      <c r="AD172" s="675"/>
      <c r="AF172" s="675"/>
      <c r="AG172" s="680"/>
    </row>
    <row r="173" spans="1:33" s="536" customFormat="1" ht="33.75" x14ac:dyDescent="0.2">
      <c r="A173" s="575" t="s">
        <v>197</v>
      </c>
      <c r="B173" s="670" t="s">
        <v>5218</v>
      </c>
      <c r="C173" s="1823" t="s">
        <v>5219</v>
      </c>
      <c r="D173" s="1823"/>
      <c r="E173" s="1823"/>
      <c r="F173" s="573" t="s">
        <v>617</v>
      </c>
      <c r="G173" s="573"/>
      <c r="H173" s="573"/>
      <c r="I173" s="573" t="s">
        <v>4127</v>
      </c>
      <c r="J173" s="572">
        <v>2827.84</v>
      </c>
      <c r="K173" s="573" t="s">
        <v>716</v>
      </c>
      <c r="L173" s="572">
        <v>75923.44</v>
      </c>
      <c r="M173" s="571">
        <v>8.32</v>
      </c>
      <c r="N173" s="570">
        <v>631683</v>
      </c>
      <c r="V173" s="674"/>
      <c r="W173" s="675" t="s">
        <v>5219</v>
      </c>
      <c r="AC173" s="675"/>
      <c r="AD173" s="675"/>
      <c r="AF173" s="675"/>
      <c r="AG173" s="680"/>
    </row>
    <row r="174" spans="1:33" s="536" customFormat="1" ht="12" x14ac:dyDescent="0.2">
      <c r="A174" s="569"/>
      <c r="B174" s="671"/>
      <c r="C174" s="665" t="s">
        <v>1173</v>
      </c>
      <c r="D174" s="666"/>
      <c r="E174" s="666"/>
      <c r="F174" s="563"/>
      <c r="G174" s="563"/>
      <c r="H174" s="563"/>
      <c r="I174" s="563"/>
      <c r="J174" s="566"/>
      <c r="K174" s="563"/>
      <c r="L174" s="566"/>
      <c r="M174" s="565"/>
      <c r="N174" s="564"/>
      <c r="V174" s="674"/>
      <c r="W174" s="675"/>
      <c r="AC174" s="675"/>
      <c r="AD174" s="675"/>
      <c r="AF174" s="675"/>
      <c r="AG174" s="680"/>
    </row>
    <row r="175" spans="1:33" s="536" customFormat="1" ht="22.5" x14ac:dyDescent="0.2">
      <c r="A175" s="609"/>
      <c r="B175" s="552" t="s">
        <v>718</v>
      </c>
      <c r="C175" s="1822" t="s">
        <v>719</v>
      </c>
      <c r="D175" s="1822"/>
      <c r="E175" s="1822"/>
      <c r="F175" s="1822"/>
      <c r="G175" s="1822"/>
      <c r="H175" s="1822"/>
      <c r="I175" s="1822"/>
      <c r="J175" s="1822"/>
      <c r="K175" s="1822"/>
      <c r="L175" s="1822"/>
      <c r="M175" s="1822"/>
      <c r="N175" s="1827"/>
      <c r="V175" s="674"/>
      <c r="W175" s="675"/>
      <c r="Y175" s="537" t="s">
        <v>719</v>
      </c>
      <c r="AC175" s="675"/>
      <c r="AD175" s="675"/>
      <c r="AF175" s="675"/>
      <c r="AG175" s="680"/>
    </row>
    <row r="176" spans="1:33" s="536" customFormat="1" ht="33.75" x14ac:dyDescent="0.2">
      <c r="A176" s="575" t="s">
        <v>198</v>
      </c>
      <c r="B176" s="670" t="s">
        <v>5220</v>
      </c>
      <c r="C176" s="1823" t="s">
        <v>5221</v>
      </c>
      <c r="D176" s="1823"/>
      <c r="E176" s="1823"/>
      <c r="F176" s="573" t="s">
        <v>617</v>
      </c>
      <c r="G176" s="573"/>
      <c r="H176" s="573"/>
      <c r="I176" s="573" t="s">
        <v>3045</v>
      </c>
      <c r="J176" s="572">
        <v>2948.55</v>
      </c>
      <c r="K176" s="573" t="s">
        <v>716</v>
      </c>
      <c r="L176" s="572">
        <v>42654.69</v>
      </c>
      <c r="M176" s="571">
        <v>8.32</v>
      </c>
      <c r="N176" s="570">
        <v>354887</v>
      </c>
      <c r="V176" s="674"/>
      <c r="W176" s="675" t="s">
        <v>5221</v>
      </c>
      <c r="AC176" s="675"/>
      <c r="AD176" s="675"/>
      <c r="AF176" s="675"/>
      <c r="AG176" s="680"/>
    </row>
    <row r="177" spans="1:33" s="536" customFormat="1" ht="12" x14ac:dyDescent="0.2">
      <c r="A177" s="569"/>
      <c r="B177" s="671"/>
      <c r="C177" s="665" t="s">
        <v>1173</v>
      </c>
      <c r="D177" s="666"/>
      <c r="E177" s="666"/>
      <c r="F177" s="563"/>
      <c r="G177" s="563"/>
      <c r="H177" s="563"/>
      <c r="I177" s="563"/>
      <c r="J177" s="566"/>
      <c r="K177" s="563"/>
      <c r="L177" s="566"/>
      <c r="M177" s="565"/>
      <c r="N177" s="564"/>
      <c r="V177" s="674"/>
      <c r="W177" s="675"/>
      <c r="AC177" s="675"/>
      <c r="AD177" s="675"/>
      <c r="AF177" s="675"/>
      <c r="AG177" s="680"/>
    </row>
    <row r="178" spans="1:33" s="536" customFormat="1" ht="22.5" x14ac:dyDescent="0.2">
      <c r="A178" s="609"/>
      <c r="B178" s="552" t="s">
        <v>718</v>
      </c>
      <c r="C178" s="1822" t="s">
        <v>719</v>
      </c>
      <c r="D178" s="1822"/>
      <c r="E178" s="1822"/>
      <c r="F178" s="1822"/>
      <c r="G178" s="1822"/>
      <c r="H178" s="1822"/>
      <c r="I178" s="1822"/>
      <c r="J178" s="1822"/>
      <c r="K178" s="1822"/>
      <c r="L178" s="1822"/>
      <c r="M178" s="1822"/>
      <c r="N178" s="1827"/>
      <c r="V178" s="674"/>
      <c r="W178" s="675"/>
      <c r="Y178" s="537" t="s">
        <v>719</v>
      </c>
      <c r="AC178" s="675"/>
      <c r="AD178" s="675"/>
      <c r="AF178" s="675"/>
      <c r="AG178" s="680"/>
    </row>
    <row r="179" spans="1:33" s="536" customFormat="1" ht="33.75" x14ac:dyDescent="0.2">
      <c r="A179" s="575" t="s">
        <v>199</v>
      </c>
      <c r="B179" s="670" t="s">
        <v>5222</v>
      </c>
      <c r="C179" s="1823" t="s">
        <v>5223</v>
      </c>
      <c r="D179" s="1823"/>
      <c r="E179" s="1823"/>
      <c r="F179" s="573" t="s">
        <v>617</v>
      </c>
      <c r="G179" s="573"/>
      <c r="H179" s="573"/>
      <c r="I179" s="573" t="s">
        <v>5224</v>
      </c>
      <c r="J179" s="572">
        <v>3000.28</v>
      </c>
      <c r="K179" s="573" t="s">
        <v>716</v>
      </c>
      <c r="L179" s="572">
        <v>72093.27</v>
      </c>
      <c r="M179" s="571">
        <v>8.32</v>
      </c>
      <c r="N179" s="570">
        <v>599816</v>
      </c>
      <c r="V179" s="674"/>
      <c r="W179" s="675" t="s">
        <v>5223</v>
      </c>
      <c r="AC179" s="675"/>
      <c r="AD179" s="675"/>
      <c r="AF179" s="675"/>
      <c r="AG179" s="680"/>
    </row>
    <row r="180" spans="1:33" s="536" customFormat="1" ht="12" x14ac:dyDescent="0.2">
      <c r="A180" s="569"/>
      <c r="B180" s="671"/>
      <c r="C180" s="665" t="s">
        <v>1173</v>
      </c>
      <c r="D180" s="666"/>
      <c r="E180" s="666"/>
      <c r="F180" s="563"/>
      <c r="G180" s="563"/>
      <c r="H180" s="563"/>
      <c r="I180" s="563"/>
      <c r="J180" s="566"/>
      <c r="K180" s="563"/>
      <c r="L180" s="566"/>
      <c r="M180" s="565"/>
      <c r="N180" s="564"/>
      <c r="V180" s="674"/>
      <c r="W180" s="675"/>
      <c r="AC180" s="675"/>
      <c r="AD180" s="675"/>
      <c r="AF180" s="675"/>
      <c r="AG180" s="680"/>
    </row>
    <row r="181" spans="1:33" s="536" customFormat="1" ht="22.5" x14ac:dyDescent="0.2">
      <c r="A181" s="609"/>
      <c r="B181" s="552" t="s">
        <v>718</v>
      </c>
      <c r="C181" s="1822" t="s">
        <v>719</v>
      </c>
      <c r="D181" s="1822"/>
      <c r="E181" s="1822"/>
      <c r="F181" s="1822"/>
      <c r="G181" s="1822"/>
      <c r="H181" s="1822"/>
      <c r="I181" s="1822"/>
      <c r="J181" s="1822"/>
      <c r="K181" s="1822"/>
      <c r="L181" s="1822"/>
      <c r="M181" s="1822"/>
      <c r="N181" s="1827"/>
      <c r="V181" s="674"/>
      <c r="W181" s="675"/>
      <c r="Y181" s="537" t="s">
        <v>719</v>
      </c>
      <c r="AC181" s="675"/>
      <c r="AD181" s="675"/>
      <c r="AF181" s="675"/>
      <c r="AG181" s="680"/>
    </row>
    <row r="182" spans="1:33" s="536" customFormat="1" ht="33.75" x14ac:dyDescent="0.2">
      <c r="A182" s="575" t="s">
        <v>200</v>
      </c>
      <c r="B182" s="670" t="s">
        <v>5225</v>
      </c>
      <c r="C182" s="1823" t="s">
        <v>5226</v>
      </c>
      <c r="D182" s="1823"/>
      <c r="E182" s="1823"/>
      <c r="F182" s="573" t="s">
        <v>617</v>
      </c>
      <c r="G182" s="573"/>
      <c r="H182" s="573"/>
      <c r="I182" s="573" t="s">
        <v>3794</v>
      </c>
      <c r="J182" s="572">
        <v>3034.76</v>
      </c>
      <c r="K182" s="573" t="s">
        <v>716</v>
      </c>
      <c r="L182" s="572">
        <v>49482.69</v>
      </c>
      <c r="M182" s="571">
        <v>8.32</v>
      </c>
      <c r="N182" s="570">
        <v>411696</v>
      </c>
      <c r="V182" s="674"/>
      <c r="W182" s="675" t="s">
        <v>5226</v>
      </c>
      <c r="AC182" s="675"/>
      <c r="AD182" s="675"/>
      <c r="AF182" s="675"/>
      <c r="AG182" s="680"/>
    </row>
    <row r="183" spans="1:33" s="536" customFormat="1" ht="12" x14ac:dyDescent="0.2">
      <c r="A183" s="569"/>
      <c r="B183" s="671"/>
      <c r="C183" s="665" t="s">
        <v>1173</v>
      </c>
      <c r="D183" s="666"/>
      <c r="E183" s="666"/>
      <c r="F183" s="563"/>
      <c r="G183" s="563"/>
      <c r="H183" s="563"/>
      <c r="I183" s="563"/>
      <c r="J183" s="566"/>
      <c r="K183" s="563"/>
      <c r="L183" s="566"/>
      <c r="M183" s="565"/>
      <c r="N183" s="564"/>
      <c r="V183" s="674"/>
      <c r="W183" s="675"/>
      <c r="AC183" s="675"/>
      <c r="AD183" s="675"/>
      <c r="AF183" s="675"/>
      <c r="AG183" s="680"/>
    </row>
    <row r="184" spans="1:33" s="536" customFormat="1" ht="22.5" x14ac:dyDescent="0.2">
      <c r="A184" s="609"/>
      <c r="B184" s="552" t="s">
        <v>718</v>
      </c>
      <c r="C184" s="1822" t="s">
        <v>719</v>
      </c>
      <c r="D184" s="1822"/>
      <c r="E184" s="1822"/>
      <c r="F184" s="1822"/>
      <c r="G184" s="1822"/>
      <c r="H184" s="1822"/>
      <c r="I184" s="1822"/>
      <c r="J184" s="1822"/>
      <c r="K184" s="1822"/>
      <c r="L184" s="1822"/>
      <c r="M184" s="1822"/>
      <c r="N184" s="1827"/>
      <c r="V184" s="674"/>
      <c r="W184" s="675"/>
      <c r="Y184" s="537" t="s">
        <v>719</v>
      </c>
      <c r="AC184" s="675"/>
      <c r="AD184" s="675"/>
      <c r="AF184" s="675"/>
      <c r="AG184" s="680"/>
    </row>
    <row r="185" spans="1:33" s="536" customFormat="1" ht="33.75" x14ac:dyDescent="0.2">
      <c r="A185" s="575" t="s">
        <v>425</v>
      </c>
      <c r="B185" s="670" t="s">
        <v>5227</v>
      </c>
      <c r="C185" s="1823" t="s">
        <v>5228</v>
      </c>
      <c r="D185" s="1823"/>
      <c r="E185" s="1823"/>
      <c r="F185" s="573" t="s">
        <v>617</v>
      </c>
      <c r="G185" s="573"/>
      <c r="H185" s="573"/>
      <c r="I185" s="573" t="s">
        <v>1157</v>
      </c>
      <c r="J185" s="572">
        <v>3095.11</v>
      </c>
      <c r="K185" s="573" t="s">
        <v>716</v>
      </c>
      <c r="L185" s="572">
        <v>41359.86</v>
      </c>
      <c r="M185" s="571">
        <v>8.32</v>
      </c>
      <c r="N185" s="570">
        <v>344114</v>
      </c>
      <c r="V185" s="674"/>
      <c r="W185" s="675" t="s">
        <v>5228</v>
      </c>
      <c r="AC185" s="675"/>
      <c r="AD185" s="675"/>
      <c r="AF185" s="675"/>
      <c r="AG185" s="680"/>
    </row>
    <row r="186" spans="1:33" s="536" customFormat="1" ht="12" x14ac:dyDescent="0.2">
      <c r="A186" s="569"/>
      <c r="B186" s="671"/>
      <c r="C186" s="665" t="s">
        <v>1173</v>
      </c>
      <c r="D186" s="666"/>
      <c r="E186" s="666"/>
      <c r="F186" s="563"/>
      <c r="G186" s="563"/>
      <c r="H186" s="563"/>
      <c r="I186" s="563"/>
      <c r="J186" s="566"/>
      <c r="K186" s="563"/>
      <c r="L186" s="566"/>
      <c r="M186" s="565"/>
      <c r="N186" s="564"/>
      <c r="V186" s="674"/>
      <c r="W186" s="675"/>
      <c r="AC186" s="675"/>
      <c r="AD186" s="675"/>
      <c r="AF186" s="675"/>
      <c r="AG186" s="680"/>
    </row>
    <row r="187" spans="1:33" s="536" customFormat="1" ht="22.5" x14ac:dyDescent="0.2">
      <c r="A187" s="609"/>
      <c r="B187" s="552" t="s">
        <v>718</v>
      </c>
      <c r="C187" s="1822" t="s">
        <v>719</v>
      </c>
      <c r="D187" s="1822"/>
      <c r="E187" s="1822"/>
      <c r="F187" s="1822"/>
      <c r="G187" s="1822"/>
      <c r="H187" s="1822"/>
      <c r="I187" s="1822"/>
      <c r="J187" s="1822"/>
      <c r="K187" s="1822"/>
      <c r="L187" s="1822"/>
      <c r="M187" s="1822"/>
      <c r="N187" s="1827"/>
      <c r="V187" s="674"/>
      <c r="W187" s="675"/>
      <c r="Y187" s="537" t="s">
        <v>719</v>
      </c>
      <c r="AC187" s="675"/>
      <c r="AD187" s="675"/>
      <c r="AF187" s="675"/>
      <c r="AG187" s="680"/>
    </row>
    <row r="188" spans="1:33" s="536" customFormat="1" ht="33.75" x14ac:dyDescent="0.2">
      <c r="A188" s="575" t="s">
        <v>430</v>
      </c>
      <c r="B188" s="670" t="s">
        <v>5229</v>
      </c>
      <c r="C188" s="1823" t="s">
        <v>5230</v>
      </c>
      <c r="D188" s="1823"/>
      <c r="E188" s="1823"/>
      <c r="F188" s="573" t="s">
        <v>617</v>
      </c>
      <c r="G188" s="573"/>
      <c r="H188" s="573"/>
      <c r="I188" s="573" t="s">
        <v>5231</v>
      </c>
      <c r="J188" s="572">
        <v>3129.6</v>
      </c>
      <c r="K188" s="573" t="s">
        <v>716</v>
      </c>
      <c r="L188" s="572">
        <v>47192.31</v>
      </c>
      <c r="M188" s="571">
        <v>8.32</v>
      </c>
      <c r="N188" s="570">
        <v>392640</v>
      </c>
      <c r="V188" s="674"/>
      <c r="W188" s="675" t="s">
        <v>5230</v>
      </c>
      <c r="AC188" s="675"/>
      <c r="AD188" s="675"/>
      <c r="AF188" s="675"/>
      <c r="AG188" s="680"/>
    </row>
    <row r="189" spans="1:33" s="536" customFormat="1" ht="12" x14ac:dyDescent="0.2">
      <c r="A189" s="569"/>
      <c r="B189" s="671"/>
      <c r="C189" s="665" t="s">
        <v>1173</v>
      </c>
      <c r="D189" s="666"/>
      <c r="E189" s="666"/>
      <c r="F189" s="563"/>
      <c r="G189" s="563"/>
      <c r="H189" s="563"/>
      <c r="I189" s="563"/>
      <c r="J189" s="566"/>
      <c r="K189" s="563"/>
      <c r="L189" s="566"/>
      <c r="M189" s="565"/>
      <c r="N189" s="564"/>
      <c r="V189" s="674"/>
      <c r="W189" s="675"/>
      <c r="AC189" s="675"/>
      <c r="AD189" s="675"/>
      <c r="AF189" s="675"/>
      <c r="AG189" s="680"/>
    </row>
    <row r="190" spans="1:33" s="536" customFormat="1" ht="22.5" x14ac:dyDescent="0.2">
      <c r="A190" s="609"/>
      <c r="B190" s="552" t="s">
        <v>718</v>
      </c>
      <c r="C190" s="1822" t="s">
        <v>719</v>
      </c>
      <c r="D190" s="1822"/>
      <c r="E190" s="1822"/>
      <c r="F190" s="1822"/>
      <c r="G190" s="1822"/>
      <c r="H190" s="1822"/>
      <c r="I190" s="1822"/>
      <c r="J190" s="1822"/>
      <c r="K190" s="1822"/>
      <c r="L190" s="1822"/>
      <c r="M190" s="1822"/>
      <c r="N190" s="1827"/>
      <c r="V190" s="674"/>
      <c r="W190" s="675"/>
      <c r="Y190" s="537" t="s">
        <v>719</v>
      </c>
      <c r="AC190" s="675"/>
      <c r="AD190" s="675"/>
      <c r="AF190" s="675"/>
      <c r="AG190" s="680"/>
    </row>
    <row r="191" spans="1:33" s="536" customFormat="1" ht="33.75" x14ac:dyDescent="0.2">
      <c r="A191" s="575" t="s">
        <v>436</v>
      </c>
      <c r="B191" s="670" t="s">
        <v>5232</v>
      </c>
      <c r="C191" s="1823" t="s">
        <v>5233</v>
      </c>
      <c r="D191" s="1823"/>
      <c r="E191" s="1823"/>
      <c r="F191" s="573" t="s">
        <v>617</v>
      </c>
      <c r="G191" s="573"/>
      <c r="H191" s="573"/>
      <c r="I191" s="573" t="s">
        <v>894</v>
      </c>
      <c r="J191" s="572">
        <v>3207.19</v>
      </c>
      <c r="K191" s="573" t="s">
        <v>716</v>
      </c>
      <c r="L191" s="572">
        <v>47575.839999999997</v>
      </c>
      <c r="M191" s="571">
        <v>8.32</v>
      </c>
      <c r="N191" s="570">
        <v>395831</v>
      </c>
      <c r="V191" s="674"/>
      <c r="W191" s="675" t="s">
        <v>5233</v>
      </c>
      <c r="AC191" s="675"/>
      <c r="AD191" s="675"/>
      <c r="AF191" s="675"/>
      <c r="AG191" s="680"/>
    </row>
    <row r="192" spans="1:33" s="536" customFormat="1" ht="12" x14ac:dyDescent="0.2">
      <c r="A192" s="569"/>
      <c r="B192" s="671"/>
      <c r="C192" s="665" t="s">
        <v>1173</v>
      </c>
      <c r="D192" s="666"/>
      <c r="E192" s="666"/>
      <c r="F192" s="563"/>
      <c r="G192" s="563"/>
      <c r="H192" s="563"/>
      <c r="I192" s="563"/>
      <c r="J192" s="566"/>
      <c r="K192" s="563"/>
      <c r="L192" s="566"/>
      <c r="M192" s="565"/>
      <c r="N192" s="564"/>
      <c r="V192" s="674"/>
      <c r="W192" s="675"/>
      <c r="AC192" s="675"/>
      <c r="AD192" s="675"/>
      <c r="AF192" s="675"/>
      <c r="AG192" s="680"/>
    </row>
    <row r="193" spans="1:33" s="536" customFormat="1" ht="22.5" x14ac:dyDescent="0.2">
      <c r="A193" s="609"/>
      <c r="B193" s="552" t="s">
        <v>718</v>
      </c>
      <c r="C193" s="1822" t="s">
        <v>719</v>
      </c>
      <c r="D193" s="1822"/>
      <c r="E193" s="1822"/>
      <c r="F193" s="1822"/>
      <c r="G193" s="1822"/>
      <c r="H193" s="1822"/>
      <c r="I193" s="1822"/>
      <c r="J193" s="1822"/>
      <c r="K193" s="1822"/>
      <c r="L193" s="1822"/>
      <c r="M193" s="1822"/>
      <c r="N193" s="1827"/>
      <c r="V193" s="674"/>
      <c r="W193" s="675"/>
      <c r="Y193" s="537" t="s">
        <v>719</v>
      </c>
      <c r="AC193" s="675"/>
      <c r="AD193" s="675"/>
      <c r="AF193" s="675"/>
      <c r="AG193" s="680"/>
    </row>
    <row r="194" spans="1:33" s="536" customFormat="1" ht="33.75" x14ac:dyDescent="0.2">
      <c r="A194" s="575" t="s">
        <v>733</v>
      </c>
      <c r="B194" s="670" t="s">
        <v>5234</v>
      </c>
      <c r="C194" s="1823" t="s">
        <v>5235</v>
      </c>
      <c r="D194" s="1823"/>
      <c r="E194" s="1823"/>
      <c r="F194" s="573" t="s">
        <v>617</v>
      </c>
      <c r="G194" s="573"/>
      <c r="H194" s="573"/>
      <c r="I194" s="573" t="s">
        <v>894</v>
      </c>
      <c r="J194" s="572">
        <v>3879.67</v>
      </c>
      <c r="K194" s="573" t="s">
        <v>716</v>
      </c>
      <c r="L194" s="572">
        <v>57551.56</v>
      </c>
      <c r="M194" s="571">
        <v>8.32</v>
      </c>
      <c r="N194" s="570">
        <v>478829</v>
      </c>
      <c r="V194" s="674"/>
      <c r="W194" s="675" t="s">
        <v>5235</v>
      </c>
      <c r="AC194" s="675"/>
      <c r="AD194" s="675"/>
      <c r="AF194" s="675"/>
      <c r="AG194" s="680"/>
    </row>
    <row r="195" spans="1:33" s="536" customFormat="1" ht="12" x14ac:dyDescent="0.2">
      <c r="A195" s="569"/>
      <c r="B195" s="671"/>
      <c r="C195" s="665" t="s">
        <v>1173</v>
      </c>
      <c r="D195" s="666"/>
      <c r="E195" s="666"/>
      <c r="F195" s="563"/>
      <c r="G195" s="563"/>
      <c r="H195" s="563"/>
      <c r="I195" s="563"/>
      <c r="J195" s="566"/>
      <c r="K195" s="563"/>
      <c r="L195" s="566"/>
      <c r="M195" s="565"/>
      <c r="N195" s="564"/>
      <c r="V195" s="674"/>
      <c r="W195" s="675"/>
      <c r="AC195" s="675"/>
      <c r="AD195" s="675"/>
      <c r="AF195" s="675"/>
      <c r="AG195" s="680"/>
    </row>
    <row r="196" spans="1:33" s="536" customFormat="1" ht="22.5" x14ac:dyDescent="0.2">
      <c r="A196" s="609"/>
      <c r="B196" s="552" t="s">
        <v>718</v>
      </c>
      <c r="C196" s="1822" t="s">
        <v>719</v>
      </c>
      <c r="D196" s="1822"/>
      <c r="E196" s="1822"/>
      <c r="F196" s="1822"/>
      <c r="G196" s="1822"/>
      <c r="H196" s="1822"/>
      <c r="I196" s="1822"/>
      <c r="J196" s="1822"/>
      <c r="K196" s="1822"/>
      <c r="L196" s="1822"/>
      <c r="M196" s="1822"/>
      <c r="N196" s="1827"/>
      <c r="V196" s="674"/>
      <c r="W196" s="675"/>
      <c r="Y196" s="537" t="s">
        <v>719</v>
      </c>
      <c r="AC196" s="675"/>
      <c r="AD196" s="675"/>
      <c r="AF196" s="675"/>
      <c r="AG196" s="680"/>
    </row>
    <row r="197" spans="1:33" s="536" customFormat="1" ht="33.75" x14ac:dyDescent="0.2">
      <c r="A197" s="575" t="s">
        <v>736</v>
      </c>
      <c r="B197" s="670" t="s">
        <v>5236</v>
      </c>
      <c r="C197" s="1823" t="s">
        <v>5237</v>
      </c>
      <c r="D197" s="1823"/>
      <c r="E197" s="1823"/>
      <c r="F197" s="573" t="s">
        <v>617</v>
      </c>
      <c r="G197" s="573"/>
      <c r="H197" s="573"/>
      <c r="I197" s="573" t="s">
        <v>1252</v>
      </c>
      <c r="J197" s="572">
        <v>3948.64</v>
      </c>
      <c r="K197" s="573" t="s">
        <v>716</v>
      </c>
      <c r="L197" s="572">
        <v>54217.91</v>
      </c>
      <c r="M197" s="571">
        <v>8.32</v>
      </c>
      <c r="N197" s="570">
        <v>451093</v>
      </c>
      <c r="V197" s="674"/>
      <c r="W197" s="675" t="s">
        <v>5237</v>
      </c>
      <c r="AC197" s="675"/>
      <c r="AD197" s="675"/>
      <c r="AF197" s="675"/>
      <c r="AG197" s="680"/>
    </row>
    <row r="198" spans="1:33" s="536" customFormat="1" ht="12" x14ac:dyDescent="0.2">
      <c r="A198" s="569"/>
      <c r="B198" s="671"/>
      <c r="C198" s="665" t="s">
        <v>1173</v>
      </c>
      <c r="D198" s="666"/>
      <c r="E198" s="666"/>
      <c r="F198" s="563"/>
      <c r="G198" s="563"/>
      <c r="H198" s="563"/>
      <c r="I198" s="563"/>
      <c r="J198" s="566"/>
      <c r="K198" s="563"/>
      <c r="L198" s="566"/>
      <c r="M198" s="565"/>
      <c r="N198" s="564"/>
      <c r="V198" s="674"/>
      <c r="W198" s="675"/>
      <c r="AC198" s="675"/>
      <c r="AD198" s="675"/>
      <c r="AF198" s="675"/>
      <c r="AG198" s="680"/>
    </row>
    <row r="199" spans="1:33" s="536" customFormat="1" ht="22.5" x14ac:dyDescent="0.2">
      <c r="A199" s="609"/>
      <c r="B199" s="552" t="s">
        <v>718</v>
      </c>
      <c r="C199" s="1822" t="s">
        <v>719</v>
      </c>
      <c r="D199" s="1822"/>
      <c r="E199" s="1822"/>
      <c r="F199" s="1822"/>
      <c r="G199" s="1822"/>
      <c r="H199" s="1822"/>
      <c r="I199" s="1822"/>
      <c r="J199" s="1822"/>
      <c r="K199" s="1822"/>
      <c r="L199" s="1822"/>
      <c r="M199" s="1822"/>
      <c r="N199" s="1827"/>
      <c r="V199" s="674"/>
      <c r="W199" s="675"/>
      <c r="Y199" s="537" t="s">
        <v>719</v>
      </c>
      <c r="AC199" s="675"/>
      <c r="AD199" s="675"/>
      <c r="AF199" s="675"/>
      <c r="AG199" s="680"/>
    </row>
    <row r="200" spans="1:33" s="536" customFormat="1" ht="33.75" x14ac:dyDescent="0.2">
      <c r="A200" s="575" t="s">
        <v>1067</v>
      </c>
      <c r="B200" s="670" t="s">
        <v>5238</v>
      </c>
      <c r="C200" s="1823" t="s">
        <v>5239</v>
      </c>
      <c r="D200" s="1823"/>
      <c r="E200" s="1823"/>
      <c r="F200" s="573" t="s">
        <v>617</v>
      </c>
      <c r="G200" s="573"/>
      <c r="H200" s="573"/>
      <c r="I200" s="573" t="s">
        <v>5240</v>
      </c>
      <c r="J200" s="572">
        <v>1198.3800000000001</v>
      </c>
      <c r="K200" s="573" t="s">
        <v>716</v>
      </c>
      <c r="L200" s="572">
        <v>46719.59</v>
      </c>
      <c r="M200" s="571">
        <v>8.32</v>
      </c>
      <c r="N200" s="570">
        <v>388707</v>
      </c>
      <c r="V200" s="674"/>
      <c r="W200" s="675" t="s">
        <v>5239</v>
      </c>
      <c r="AC200" s="675"/>
      <c r="AD200" s="675"/>
      <c r="AF200" s="675"/>
      <c r="AG200" s="680"/>
    </row>
    <row r="201" spans="1:33" s="536" customFormat="1" ht="12" x14ac:dyDescent="0.2">
      <c r="A201" s="569"/>
      <c r="B201" s="671"/>
      <c r="C201" s="665" t="s">
        <v>1173</v>
      </c>
      <c r="D201" s="666"/>
      <c r="E201" s="666"/>
      <c r="F201" s="563"/>
      <c r="G201" s="563"/>
      <c r="H201" s="563"/>
      <c r="I201" s="563"/>
      <c r="J201" s="566"/>
      <c r="K201" s="563"/>
      <c r="L201" s="566"/>
      <c r="M201" s="565"/>
      <c r="N201" s="564"/>
      <c r="V201" s="674"/>
      <c r="W201" s="675"/>
      <c r="AC201" s="675"/>
      <c r="AD201" s="675"/>
      <c r="AF201" s="675"/>
      <c r="AG201" s="680"/>
    </row>
    <row r="202" spans="1:33" s="536" customFormat="1" ht="22.5" x14ac:dyDescent="0.2">
      <c r="A202" s="609"/>
      <c r="B202" s="552" t="s">
        <v>718</v>
      </c>
      <c r="C202" s="1822" t="s">
        <v>719</v>
      </c>
      <c r="D202" s="1822"/>
      <c r="E202" s="1822"/>
      <c r="F202" s="1822"/>
      <c r="G202" s="1822"/>
      <c r="H202" s="1822"/>
      <c r="I202" s="1822"/>
      <c r="J202" s="1822"/>
      <c r="K202" s="1822"/>
      <c r="L202" s="1822"/>
      <c r="M202" s="1822"/>
      <c r="N202" s="1827"/>
      <c r="V202" s="674"/>
      <c r="W202" s="675"/>
      <c r="Y202" s="537" t="s">
        <v>719</v>
      </c>
      <c r="AC202" s="675"/>
      <c r="AD202" s="675"/>
      <c r="AF202" s="675"/>
      <c r="AG202" s="680"/>
    </row>
    <row r="203" spans="1:33" s="536" customFormat="1" ht="33.75" x14ac:dyDescent="0.2">
      <c r="A203" s="575" t="s">
        <v>912</v>
      </c>
      <c r="B203" s="670" t="s">
        <v>5241</v>
      </c>
      <c r="C203" s="1823" t="s">
        <v>5242</v>
      </c>
      <c r="D203" s="1823"/>
      <c r="E203" s="1823"/>
      <c r="F203" s="573" t="s">
        <v>617</v>
      </c>
      <c r="G203" s="573"/>
      <c r="H203" s="573"/>
      <c r="I203" s="573" t="s">
        <v>680</v>
      </c>
      <c r="J203" s="572">
        <v>1267.3599999999999</v>
      </c>
      <c r="K203" s="573" t="s">
        <v>716</v>
      </c>
      <c r="L203" s="572">
        <v>15848.08</v>
      </c>
      <c r="M203" s="571">
        <v>8.32</v>
      </c>
      <c r="N203" s="570">
        <v>131856</v>
      </c>
      <c r="V203" s="674"/>
      <c r="W203" s="675" t="s">
        <v>5242</v>
      </c>
      <c r="AC203" s="675"/>
      <c r="AD203" s="675"/>
      <c r="AF203" s="675"/>
      <c r="AG203" s="680"/>
    </row>
    <row r="204" spans="1:33" s="536" customFormat="1" ht="12" x14ac:dyDescent="0.2">
      <c r="A204" s="569"/>
      <c r="B204" s="671"/>
      <c r="C204" s="665" t="s">
        <v>1173</v>
      </c>
      <c r="D204" s="666"/>
      <c r="E204" s="666"/>
      <c r="F204" s="563"/>
      <c r="G204" s="563"/>
      <c r="H204" s="563"/>
      <c r="I204" s="563"/>
      <c r="J204" s="566"/>
      <c r="K204" s="563"/>
      <c r="L204" s="566"/>
      <c r="M204" s="565"/>
      <c r="N204" s="564"/>
      <c r="V204" s="674"/>
      <c r="W204" s="675"/>
      <c r="AC204" s="675"/>
      <c r="AD204" s="675"/>
      <c r="AF204" s="675"/>
      <c r="AG204" s="680"/>
    </row>
    <row r="205" spans="1:33" s="536" customFormat="1" ht="22.5" x14ac:dyDescent="0.2">
      <c r="A205" s="609"/>
      <c r="B205" s="552" t="s">
        <v>718</v>
      </c>
      <c r="C205" s="1822" t="s">
        <v>719</v>
      </c>
      <c r="D205" s="1822"/>
      <c r="E205" s="1822"/>
      <c r="F205" s="1822"/>
      <c r="G205" s="1822"/>
      <c r="H205" s="1822"/>
      <c r="I205" s="1822"/>
      <c r="J205" s="1822"/>
      <c r="K205" s="1822"/>
      <c r="L205" s="1822"/>
      <c r="M205" s="1822"/>
      <c r="N205" s="1827"/>
      <c r="V205" s="674"/>
      <c r="W205" s="675"/>
      <c r="Y205" s="537" t="s">
        <v>719</v>
      </c>
      <c r="AC205" s="675"/>
      <c r="AD205" s="675"/>
      <c r="AF205" s="675"/>
      <c r="AG205" s="680"/>
    </row>
    <row r="206" spans="1:33" s="536" customFormat="1" ht="33.75" x14ac:dyDescent="0.2">
      <c r="A206" s="575" t="s">
        <v>757</v>
      </c>
      <c r="B206" s="670" t="s">
        <v>5243</v>
      </c>
      <c r="C206" s="1823" t="s">
        <v>5244</v>
      </c>
      <c r="D206" s="1823"/>
      <c r="E206" s="1823"/>
      <c r="F206" s="573" t="s">
        <v>617</v>
      </c>
      <c r="G206" s="573"/>
      <c r="H206" s="573"/>
      <c r="I206" s="573" t="s">
        <v>5245</v>
      </c>
      <c r="J206" s="572">
        <v>1327.71</v>
      </c>
      <c r="K206" s="573" t="s">
        <v>716</v>
      </c>
      <c r="L206" s="572">
        <v>26206.37</v>
      </c>
      <c r="M206" s="571">
        <v>8.32</v>
      </c>
      <c r="N206" s="570">
        <v>218037</v>
      </c>
      <c r="V206" s="674"/>
      <c r="W206" s="675" t="s">
        <v>5244</v>
      </c>
      <c r="AC206" s="675"/>
      <c r="AD206" s="675"/>
      <c r="AF206" s="675"/>
      <c r="AG206" s="680"/>
    </row>
    <row r="207" spans="1:33" s="536" customFormat="1" ht="12" x14ac:dyDescent="0.2">
      <c r="A207" s="569"/>
      <c r="B207" s="671"/>
      <c r="C207" s="665" t="s">
        <v>1173</v>
      </c>
      <c r="D207" s="666"/>
      <c r="E207" s="666"/>
      <c r="F207" s="563"/>
      <c r="G207" s="563"/>
      <c r="H207" s="563"/>
      <c r="I207" s="563"/>
      <c r="J207" s="566"/>
      <c r="K207" s="563"/>
      <c r="L207" s="566"/>
      <c r="M207" s="565"/>
      <c r="N207" s="564"/>
      <c r="V207" s="674"/>
      <c r="W207" s="675"/>
      <c r="AC207" s="675"/>
      <c r="AD207" s="675"/>
      <c r="AF207" s="675"/>
      <c r="AG207" s="680"/>
    </row>
    <row r="208" spans="1:33" s="536" customFormat="1" ht="22.5" x14ac:dyDescent="0.2">
      <c r="A208" s="609"/>
      <c r="B208" s="552" t="s">
        <v>718</v>
      </c>
      <c r="C208" s="1822" t="s">
        <v>719</v>
      </c>
      <c r="D208" s="1822"/>
      <c r="E208" s="1822"/>
      <c r="F208" s="1822"/>
      <c r="G208" s="1822"/>
      <c r="H208" s="1822"/>
      <c r="I208" s="1822"/>
      <c r="J208" s="1822"/>
      <c r="K208" s="1822"/>
      <c r="L208" s="1822"/>
      <c r="M208" s="1822"/>
      <c r="N208" s="1827"/>
      <c r="V208" s="674"/>
      <c r="W208" s="675"/>
      <c r="Y208" s="537" t="s">
        <v>719</v>
      </c>
      <c r="AC208" s="675"/>
      <c r="AD208" s="675"/>
      <c r="AF208" s="675"/>
      <c r="AG208" s="680"/>
    </row>
    <row r="209" spans="1:33" s="536" customFormat="1" ht="33.75" x14ac:dyDescent="0.2">
      <c r="A209" s="575" t="s">
        <v>1079</v>
      </c>
      <c r="B209" s="670" t="s">
        <v>5246</v>
      </c>
      <c r="C209" s="1823" t="s">
        <v>5247</v>
      </c>
      <c r="D209" s="1823"/>
      <c r="E209" s="1823"/>
      <c r="F209" s="573" t="s">
        <v>617</v>
      </c>
      <c r="G209" s="573"/>
      <c r="H209" s="573"/>
      <c r="I209" s="573" t="s">
        <v>186</v>
      </c>
      <c r="J209" s="572">
        <v>541.66999999999996</v>
      </c>
      <c r="K209" s="573" t="s">
        <v>716</v>
      </c>
      <c r="L209" s="572">
        <v>132.81</v>
      </c>
      <c r="M209" s="571">
        <v>8.32</v>
      </c>
      <c r="N209" s="570">
        <v>1105</v>
      </c>
      <c r="V209" s="674"/>
      <c r="W209" s="675" t="s">
        <v>5247</v>
      </c>
      <c r="AC209" s="675"/>
      <c r="AD209" s="675"/>
      <c r="AF209" s="675"/>
      <c r="AG209" s="680"/>
    </row>
    <row r="210" spans="1:33" s="536" customFormat="1" ht="12" x14ac:dyDescent="0.2">
      <c r="A210" s="569"/>
      <c r="B210" s="671"/>
      <c r="C210" s="665" t="s">
        <v>1173</v>
      </c>
      <c r="D210" s="666"/>
      <c r="E210" s="666"/>
      <c r="F210" s="563"/>
      <c r="G210" s="563"/>
      <c r="H210" s="563"/>
      <c r="I210" s="563"/>
      <c r="J210" s="566"/>
      <c r="K210" s="563"/>
      <c r="L210" s="566"/>
      <c r="M210" s="565"/>
      <c r="N210" s="564"/>
      <c r="V210" s="674"/>
      <c r="W210" s="675"/>
      <c r="AC210" s="675"/>
      <c r="AD210" s="675"/>
      <c r="AF210" s="675"/>
      <c r="AG210" s="680"/>
    </row>
    <row r="211" spans="1:33" s="536" customFormat="1" ht="22.5" x14ac:dyDescent="0.2">
      <c r="A211" s="609"/>
      <c r="B211" s="552" t="s">
        <v>718</v>
      </c>
      <c r="C211" s="1822" t="s">
        <v>719</v>
      </c>
      <c r="D211" s="1822"/>
      <c r="E211" s="1822"/>
      <c r="F211" s="1822"/>
      <c r="G211" s="1822"/>
      <c r="H211" s="1822"/>
      <c r="I211" s="1822"/>
      <c r="J211" s="1822"/>
      <c r="K211" s="1822"/>
      <c r="L211" s="1822"/>
      <c r="M211" s="1822"/>
      <c r="N211" s="1827"/>
      <c r="V211" s="674"/>
      <c r="W211" s="675"/>
      <c r="Y211" s="537" t="s">
        <v>719</v>
      </c>
      <c r="AC211" s="675"/>
      <c r="AD211" s="675"/>
      <c r="AF211" s="675"/>
      <c r="AG211" s="680"/>
    </row>
    <row r="212" spans="1:33" s="536" customFormat="1" ht="33.75" x14ac:dyDescent="0.2">
      <c r="A212" s="575" t="s">
        <v>759</v>
      </c>
      <c r="B212" s="670" t="s">
        <v>5248</v>
      </c>
      <c r="C212" s="1823" t="s">
        <v>5249</v>
      </c>
      <c r="D212" s="1823"/>
      <c r="E212" s="1823"/>
      <c r="F212" s="573" t="s">
        <v>617</v>
      </c>
      <c r="G212" s="573"/>
      <c r="H212" s="573"/>
      <c r="I212" s="573" t="s">
        <v>199</v>
      </c>
      <c r="J212" s="572">
        <v>320.83</v>
      </c>
      <c r="K212" s="573" t="s">
        <v>716</v>
      </c>
      <c r="L212" s="572">
        <v>590.02</v>
      </c>
      <c r="M212" s="571">
        <v>8.32</v>
      </c>
      <c r="N212" s="570">
        <v>4909</v>
      </c>
      <c r="V212" s="674"/>
      <c r="W212" s="675" t="s">
        <v>5249</v>
      </c>
      <c r="AC212" s="675"/>
      <c r="AD212" s="675"/>
      <c r="AF212" s="675"/>
      <c r="AG212" s="680"/>
    </row>
    <row r="213" spans="1:33" s="536" customFormat="1" ht="12" x14ac:dyDescent="0.2">
      <c r="A213" s="569"/>
      <c r="B213" s="671"/>
      <c r="C213" s="665" t="s">
        <v>1173</v>
      </c>
      <c r="D213" s="666"/>
      <c r="E213" s="666"/>
      <c r="F213" s="563"/>
      <c r="G213" s="563"/>
      <c r="H213" s="563"/>
      <c r="I213" s="563"/>
      <c r="J213" s="566"/>
      <c r="K213" s="563"/>
      <c r="L213" s="566"/>
      <c r="M213" s="565"/>
      <c r="N213" s="564"/>
      <c r="V213" s="674"/>
      <c r="W213" s="675"/>
      <c r="AC213" s="675"/>
      <c r="AD213" s="675"/>
      <c r="AF213" s="675"/>
      <c r="AG213" s="680"/>
    </row>
    <row r="214" spans="1:33" s="536" customFormat="1" ht="22.5" x14ac:dyDescent="0.2">
      <c r="A214" s="609"/>
      <c r="B214" s="552" t="s">
        <v>718</v>
      </c>
      <c r="C214" s="1822" t="s">
        <v>719</v>
      </c>
      <c r="D214" s="1822"/>
      <c r="E214" s="1822"/>
      <c r="F214" s="1822"/>
      <c r="G214" s="1822"/>
      <c r="H214" s="1822"/>
      <c r="I214" s="1822"/>
      <c r="J214" s="1822"/>
      <c r="K214" s="1822"/>
      <c r="L214" s="1822"/>
      <c r="M214" s="1822"/>
      <c r="N214" s="1827"/>
      <c r="V214" s="674"/>
      <c r="W214" s="675"/>
      <c r="Y214" s="537" t="s">
        <v>719</v>
      </c>
      <c r="AC214" s="675"/>
      <c r="AD214" s="675"/>
      <c r="AF214" s="675"/>
      <c r="AG214" s="680"/>
    </row>
    <row r="215" spans="1:33" s="536" customFormat="1" ht="33.75" x14ac:dyDescent="0.2">
      <c r="A215" s="575" t="s">
        <v>917</v>
      </c>
      <c r="B215" s="670" t="s">
        <v>5250</v>
      </c>
      <c r="C215" s="1823" t="s">
        <v>5251</v>
      </c>
      <c r="D215" s="1823"/>
      <c r="E215" s="1823"/>
      <c r="F215" s="573" t="s">
        <v>617</v>
      </c>
      <c r="G215" s="573"/>
      <c r="H215" s="573"/>
      <c r="I215" s="573" t="s">
        <v>192</v>
      </c>
      <c r="J215" s="572">
        <v>5422.91</v>
      </c>
      <c r="K215" s="573" t="s">
        <v>716</v>
      </c>
      <c r="L215" s="572">
        <v>5318.63</v>
      </c>
      <c r="M215" s="571">
        <v>8.32</v>
      </c>
      <c r="N215" s="570">
        <v>44251</v>
      </c>
      <c r="V215" s="674"/>
      <c r="W215" s="675" t="s">
        <v>5251</v>
      </c>
      <c r="AC215" s="675"/>
      <c r="AD215" s="675"/>
      <c r="AF215" s="675"/>
      <c r="AG215" s="680"/>
    </row>
    <row r="216" spans="1:33" s="536" customFormat="1" ht="12" x14ac:dyDescent="0.2">
      <c r="A216" s="569"/>
      <c r="B216" s="671"/>
      <c r="C216" s="665" t="s">
        <v>1173</v>
      </c>
      <c r="D216" s="666"/>
      <c r="E216" s="666"/>
      <c r="F216" s="563"/>
      <c r="G216" s="563"/>
      <c r="H216" s="563"/>
      <c r="I216" s="563"/>
      <c r="J216" s="566"/>
      <c r="K216" s="563"/>
      <c r="L216" s="566"/>
      <c r="M216" s="565"/>
      <c r="N216" s="564"/>
      <c r="V216" s="674"/>
      <c r="W216" s="675"/>
      <c r="AC216" s="675"/>
      <c r="AD216" s="675"/>
      <c r="AF216" s="675"/>
      <c r="AG216" s="680"/>
    </row>
    <row r="217" spans="1:33" s="536" customFormat="1" ht="22.5" x14ac:dyDescent="0.2">
      <c r="A217" s="609"/>
      <c r="B217" s="552" t="s">
        <v>718</v>
      </c>
      <c r="C217" s="1822" t="s">
        <v>719</v>
      </c>
      <c r="D217" s="1822"/>
      <c r="E217" s="1822"/>
      <c r="F217" s="1822"/>
      <c r="G217" s="1822"/>
      <c r="H217" s="1822"/>
      <c r="I217" s="1822"/>
      <c r="J217" s="1822"/>
      <c r="K217" s="1822"/>
      <c r="L217" s="1822"/>
      <c r="M217" s="1822"/>
      <c r="N217" s="1827"/>
      <c r="V217" s="674"/>
      <c r="W217" s="675"/>
      <c r="Y217" s="537" t="s">
        <v>719</v>
      </c>
      <c r="AC217" s="675"/>
      <c r="AD217" s="675"/>
      <c r="AF217" s="675"/>
      <c r="AG217" s="680"/>
    </row>
    <row r="218" spans="1:33" s="536" customFormat="1" ht="33.75" x14ac:dyDescent="0.2">
      <c r="A218" s="575" t="s">
        <v>761</v>
      </c>
      <c r="B218" s="670" t="s">
        <v>5252</v>
      </c>
      <c r="C218" s="1823" t="s">
        <v>5253</v>
      </c>
      <c r="D218" s="1823"/>
      <c r="E218" s="1823"/>
      <c r="F218" s="573" t="s">
        <v>617</v>
      </c>
      <c r="G218" s="573"/>
      <c r="H218" s="573"/>
      <c r="I218" s="573" t="s">
        <v>186</v>
      </c>
      <c r="J218" s="572">
        <v>7974.88</v>
      </c>
      <c r="K218" s="573" t="s">
        <v>716</v>
      </c>
      <c r="L218" s="572">
        <v>1955.41</v>
      </c>
      <c r="M218" s="571">
        <v>8.32</v>
      </c>
      <c r="N218" s="570">
        <v>16269</v>
      </c>
      <c r="V218" s="674"/>
      <c r="W218" s="675" t="s">
        <v>5253</v>
      </c>
      <c r="AC218" s="675"/>
      <c r="AD218" s="675"/>
      <c r="AF218" s="675"/>
      <c r="AG218" s="680"/>
    </row>
    <row r="219" spans="1:33" s="536" customFormat="1" ht="12" x14ac:dyDescent="0.2">
      <c r="A219" s="569"/>
      <c r="B219" s="671"/>
      <c r="C219" s="665" t="s">
        <v>1173</v>
      </c>
      <c r="D219" s="666"/>
      <c r="E219" s="666"/>
      <c r="F219" s="563"/>
      <c r="G219" s="563"/>
      <c r="H219" s="563"/>
      <c r="I219" s="563"/>
      <c r="J219" s="566"/>
      <c r="K219" s="563"/>
      <c r="L219" s="566"/>
      <c r="M219" s="565"/>
      <c r="N219" s="564"/>
      <c r="V219" s="674"/>
      <c r="W219" s="675"/>
      <c r="AC219" s="675"/>
      <c r="AD219" s="675"/>
      <c r="AF219" s="675"/>
      <c r="AG219" s="680"/>
    </row>
    <row r="220" spans="1:33" s="536" customFormat="1" ht="22.5" x14ac:dyDescent="0.2">
      <c r="A220" s="609"/>
      <c r="B220" s="552" t="s">
        <v>718</v>
      </c>
      <c r="C220" s="1822" t="s">
        <v>719</v>
      </c>
      <c r="D220" s="1822"/>
      <c r="E220" s="1822"/>
      <c r="F220" s="1822"/>
      <c r="G220" s="1822"/>
      <c r="H220" s="1822"/>
      <c r="I220" s="1822"/>
      <c r="J220" s="1822"/>
      <c r="K220" s="1822"/>
      <c r="L220" s="1822"/>
      <c r="M220" s="1822"/>
      <c r="N220" s="1827"/>
      <c r="V220" s="674"/>
      <c r="W220" s="675"/>
      <c r="Y220" s="537" t="s">
        <v>719</v>
      </c>
      <c r="AC220" s="675"/>
      <c r="AD220" s="675"/>
      <c r="AF220" s="675"/>
      <c r="AG220" s="680"/>
    </row>
    <row r="221" spans="1:33" s="536" customFormat="1" ht="33.75" x14ac:dyDescent="0.2">
      <c r="A221" s="575" t="s">
        <v>762</v>
      </c>
      <c r="B221" s="670" t="s">
        <v>5254</v>
      </c>
      <c r="C221" s="1823" t="s">
        <v>5255</v>
      </c>
      <c r="D221" s="1823"/>
      <c r="E221" s="1823"/>
      <c r="F221" s="573" t="s">
        <v>617</v>
      </c>
      <c r="G221" s="573"/>
      <c r="H221" s="573"/>
      <c r="I221" s="573" t="s">
        <v>186</v>
      </c>
      <c r="J221" s="572">
        <v>2370.91</v>
      </c>
      <c r="K221" s="573" t="s">
        <v>716</v>
      </c>
      <c r="L221" s="572">
        <v>581.37</v>
      </c>
      <c r="M221" s="571">
        <v>8.32</v>
      </c>
      <c r="N221" s="570">
        <v>4837</v>
      </c>
      <c r="V221" s="674"/>
      <c r="W221" s="675" t="s">
        <v>5255</v>
      </c>
      <c r="AC221" s="675"/>
      <c r="AD221" s="675"/>
      <c r="AF221" s="675"/>
      <c r="AG221" s="680"/>
    </row>
    <row r="222" spans="1:33" s="536" customFormat="1" ht="12" x14ac:dyDescent="0.2">
      <c r="A222" s="569"/>
      <c r="B222" s="671"/>
      <c r="C222" s="665" t="s">
        <v>1173</v>
      </c>
      <c r="D222" s="666"/>
      <c r="E222" s="666"/>
      <c r="F222" s="563"/>
      <c r="G222" s="563"/>
      <c r="H222" s="563"/>
      <c r="I222" s="563"/>
      <c r="J222" s="566"/>
      <c r="K222" s="563"/>
      <c r="L222" s="566"/>
      <c r="M222" s="565"/>
      <c r="N222" s="564"/>
      <c r="V222" s="674"/>
      <c r="W222" s="675"/>
      <c r="AC222" s="675"/>
      <c r="AD222" s="675"/>
      <c r="AF222" s="675"/>
      <c r="AG222" s="680"/>
    </row>
    <row r="223" spans="1:33" s="536" customFormat="1" ht="22.5" x14ac:dyDescent="0.2">
      <c r="A223" s="609"/>
      <c r="B223" s="552" t="s">
        <v>718</v>
      </c>
      <c r="C223" s="1822" t="s">
        <v>719</v>
      </c>
      <c r="D223" s="1822"/>
      <c r="E223" s="1822"/>
      <c r="F223" s="1822"/>
      <c r="G223" s="1822"/>
      <c r="H223" s="1822"/>
      <c r="I223" s="1822"/>
      <c r="J223" s="1822"/>
      <c r="K223" s="1822"/>
      <c r="L223" s="1822"/>
      <c r="M223" s="1822"/>
      <c r="N223" s="1827"/>
      <c r="V223" s="674"/>
      <c r="W223" s="675"/>
      <c r="Y223" s="537" t="s">
        <v>719</v>
      </c>
      <c r="AC223" s="675"/>
      <c r="AD223" s="675"/>
      <c r="AF223" s="675"/>
      <c r="AG223" s="680"/>
    </row>
    <row r="224" spans="1:33" s="536" customFormat="1" ht="33.75" x14ac:dyDescent="0.2">
      <c r="A224" s="575" t="s">
        <v>763</v>
      </c>
      <c r="B224" s="670" t="s">
        <v>5256</v>
      </c>
      <c r="C224" s="1823" t="s">
        <v>5257</v>
      </c>
      <c r="D224" s="1823"/>
      <c r="E224" s="1823"/>
      <c r="F224" s="573" t="s">
        <v>617</v>
      </c>
      <c r="G224" s="573"/>
      <c r="H224" s="573"/>
      <c r="I224" s="573" t="s">
        <v>192</v>
      </c>
      <c r="J224" s="572">
        <v>1508.76</v>
      </c>
      <c r="K224" s="573" t="s">
        <v>716</v>
      </c>
      <c r="L224" s="572">
        <v>1479.69</v>
      </c>
      <c r="M224" s="571">
        <v>8.32</v>
      </c>
      <c r="N224" s="570">
        <v>12311</v>
      </c>
      <c r="V224" s="674"/>
      <c r="W224" s="675" t="s">
        <v>5257</v>
      </c>
      <c r="AC224" s="675"/>
      <c r="AD224" s="675"/>
      <c r="AF224" s="675"/>
      <c r="AG224" s="680"/>
    </row>
    <row r="225" spans="1:33" s="536" customFormat="1" ht="12" x14ac:dyDescent="0.2">
      <c r="A225" s="569"/>
      <c r="B225" s="671"/>
      <c r="C225" s="665" t="s">
        <v>1173</v>
      </c>
      <c r="D225" s="666"/>
      <c r="E225" s="666"/>
      <c r="F225" s="563"/>
      <c r="G225" s="563"/>
      <c r="H225" s="563"/>
      <c r="I225" s="563"/>
      <c r="J225" s="566"/>
      <c r="K225" s="563"/>
      <c r="L225" s="566"/>
      <c r="M225" s="565"/>
      <c r="N225" s="564"/>
      <c r="V225" s="674"/>
      <c r="W225" s="675"/>
      <c r="AC225" s="675"/>
      <c r="AD225" s="675"/>
      <c r="AF225" s="675"/>
      <c r="AG225" s="680"/>
    </row>
    <row r="226" spans="1:33" s="536" customFormat="1" ht="22.5" x14ac:dyDescent="0.2">
      <c r="A226" s="609"/>
      <c r="B226" s="552" t="s">
        <v>718</v>
      </c>
      <c r="C226" s="1822" t="s">
        <v>719</v>
      </c>
      <c r="D226" s="1822"/>
      <c r="E226" s="1822"/>
      <c r="F226" s="1822"/>
      <c r="G226" s="1822"/>
      <c r="H226" s="1822"/>
      <c r="I226" s="1822"/>
      <c r="J226" s="1822"/>
      <c r="K226" s="1822"/>
      <c r="L226" s="1822"/>
      <c r="M226" s="1822"/>
      <c r="N226" s="1827"/>
      <c r="V226" s="674"/>
      <c r="W226" s="675"/>
      <c r="Y226" s="537" t="s">
        <v>719</v>
      </c>
      <c r="AC226" s="675"/>
      <c r="AD226" s="675"/>
      <c r="AF226" s="675"/>
      <c r="AG226" s="680"/>
    </row>
    <row r="227" spans="1:33" s="536" customFormat="1" ht="22.5" x14ac:dyDescent="0.2">
      <c r="A227" s="575" t="s">
        <v>922</v>
      </c>
      <c r="B227" s="670" t="s">
        <v>1377</v>
      </c>
      <c r="C227" s="1823" t="s">
        <v>1378</v>
      </c>
      <c r="D227" s="1823"/>
      <c r="E227" s="1823"/>
      <c r="F227" s="573" t="s">
        <v>641</v>
      </c>
      <c r="G227" s="573"/>
      <c r="H227" s="573"/>
      <c r="I227" s="573" t="s">
        <v>5258</v>
      </c>
      <c r="J227" s="572">
        <v>560</v>
      </c>
      <c r="K227" s="573"/>
      <c r="L227" s="572">
        <v>1652</v>
      </c>
      <c r="M227" s="571"/>
      <c r="N227" s="570"/>
      <c r="V227" s="674"/>
      <c r="W227" s="675" t="s">
        <v>1378</v>
      </c>
      <c r="AC227" s="675"/>
      <c r="AD227" s="675"/>
      <c r="AF227" s="675"/>
      <c r="AG227" s="680"/>
    </row>
    <row r="228" spans="1:33" s="536" customFormat="1" ht="12" x14ac:dyDescent="0.2">
      <c r="A228" s="569"/>
      <c r="B228" s="671"/>
      <c r="C228" s="665" t="s">
        <v>717</v>
      </c>
      <c r="D228" s="666"/>
      <c r="E228" s="666"/>
      <c r="F228" s="563"/>
      <c r="G228" s="563"/>
      <c r="H228" s="563"/>
      <c r="I228" s="563"/>
      <c r="J228" s="566"/>
      <c r="K228" s="563"/>
      <c r="L228" s="566"/>
      <c r="M228" s="565"/>
      <c r="N228" s="564"/>
      <c r="V228" s="674"/>
      <c r="W228" s="675"/>
      <c r="AC228" s="675"/>
      <c r="AD228" s="675"/>
      <c r="AF228" s="675"/>
      <c r="AG228" s="680"/>
    </row>
    <row r="229" spans="1:33" s="536" customFormat="1" ht="12" x14ac:dyDescent="0.2">
      <c r="A229" s="676"/>
      <c r="B229" s="664"/>
      <c r="C229" s="1822" t="s">
        <v>5259</v>
      </c>
      <c r="D229" s="1822"/>
      <c r="E229" s="1822"/>
      <c r="F229" s="1822"/>
      <c r="G229" s="1822"/>
      <c r="H229" s="1822"/>
      <c r="I229" s="1822"/>
      <c r="J229" s="1822"/>
      <c r="K229" s="1822"/>
      <c r="L229" s="1822"/>
      <c r="M229" s="1822"/>
      <c r="N229" s="1827"/>
      <c r="V229" s="674"/>
      <c r="W229" s="675"/>
      <c r="X229" s="537" t="s">
        <v>5259</v>
      </c>
      <c r="AC229" s="675"/>
      <c r="AD229" s="675"/>
      <c r="AF229" s="675"/>
      <c r="AG229" s="680"/>
    </row>
    <row r="230" spans="1:33" s="536" customFormat="1" ht="22.5" x14ac:dyDescent="0.2">
      <c r="A230" s="575" t="s">
        <v>765</v>
      </c>
      <c r="B230" s="670" t="s">
        <v>2023</v>
      </c>
      <c r="C230" s="1823" t="s">
        <v>2024</v>
      </c>
      <c r="D230" s="1823"/>
      <c r="E230" s="1823"/>
      <c r="F230" s="573" t="s">
        <v>694</v>
      </c>
      <c r="G230" s="573"/>
      <c r="H230" s="573"/>
      <c r="I230" s="573" t="s">
        <v>5260</v>
      </c>
      <c r="J230" s="572"/>
      <c r="K230" s="573"/>
      <c r="L230" s="572"/>
      <c r="M230" s="571"/>
      <c r="N230" s="570"/>
      <c r="V230" s="674"/>
      <c r="W230" s="675" t="s">
        <v>2024</v>
      </c>
      <c r="AC230" s="675"/>
      <c r="AD230" s="675"/>
      <c r="AF230" s="675"/>
      <c r="AG230" s="680"/>
    </row>
    <row r="231" spans="1:33" s="536" customFormat="1" ht="12" x14ac:dyDescent="0.2">
      <c r="A231" s="676"/>
      <c r="B231" s="664"/>
      <c r="C231" s="1822" t="s">
        <v>5261</v>
      </c>
      <c r="D231" s="1822"/>
      <c r="E231" s="1822"/>
      <c r="F231" s="1822"/>
      <c r="G231" s="1822"/>
      <c r="H231" s="1822"/>
      <c r="I231" s="1822"/>
      <c r="J231" s="1822"/>
      <c r="K231" s="1822"/>
      <c r="L231" s="1822"/>
      <c r="M231" s="1822"/>
      <c r="N231" s="1827"/>
      <c r="V231" s="674"/>
      <c r="W231" s="675"/>
      <c r="X231" s="537" t="s">
        <v>5261</v>
      </c>
      <c r="AC231" s="675"/>
      <c r="AD231" s="675"/>
      <c r="AF231" s="675"/>
      <c r="AG231" s="680"/>
    </row>
    <row r="232" spans="1:33" s="536" customFormat="1" ht="33.75" x14ac:dyDescent="0.2">
      <c r="A232" s="609"/>
      <c r="B232" s="552" t="s">
        <v>310</v>
      </c>
      <c r="C232" s="1822" t="s">
        <v>311</v>
      </c>
      <c r="D232" s="1822"/>
      <c r="E232" s="1822"/>
      <c r="F232" s="1822"/>
      <c r="G232" s="1822"/>
      <c r="H232" s="1822"/>
      <c r="I232" s="1822"/>
      <c r="J232" s="1822"/>
      <c r="K232" s="1822"/>
      <c r="L232" s="1822"/>
      <c r="M232" s="1822"/>
      <c r="N232" s="1827"/>
      <c r="V232" s="674"/>
      <c r="W232" s="675"/>
      <c r="Y232" s="537" t="s">
        <v>311</v>
      </c>
      <c r="AC232" s="675"/>
      <c r="AD232" s="675"/>
      <c r="AF232" s="675"/>
      <c r="AG232" s="680"/>
    </row>
    <row r="233" spans="1:33" s="536" customFormat="1" ht="12" x14ac:dyDescent="0.2">
      <c r="A233" s="605"/>
      <c r="B233" s="552" t="s">
        <v>185</v>
      </c>
      <c r="C233" s="1822" t="s">
        <v>312</v>
      </c>
      <c r="D233" s="1822"/>
      <c r="E233" s="1822"/>
      <c r="F233" s="562"/>
      <c r="G233" s="562"/>
      <c r="H233" s="562"/>
      <c r="I233" s="562"/>
      <c r="J233" s="604">
        <v>374.78</v>
      </c>
      <c r="K233" s="562" t="s">
        <v>313</v>
      </c>
      <c r="L233" s="604">
        <v>9408.76</v>
      </c>
      <c r="M233" s="603"/>
      <c r="N233" s="602"/>
      <c r="V233" s="674"/>
      <c r="W233" s="675"/>
      <c r="Z233" s="537" t="s">
        <v>312</v>
      </c>
      <c r="AC233" s="675"/>
      <c r="AD233" s="675"/>
      <c r="AF233" s="675"/>
      <c r="AG233" s="680"/>
    </row>
    <row r="234" spans="1:33" s="536" customFormat="1" ht="12" x14ac:dyDescent="0.2">
      <c r="A234" s="605"/>
      <c r="B234" s="552" t="s">
        <v>186</v>
      </c>
      <c r="C234" s="1822" t="s">
        <v>344</v>
      </c>
      <c r="D234" s="1822"/>
      <c r="E234" s="1822"/>
      <c r="F234" s="562"/>
      <c r="G234" s="562"/>
      <c r="H234" s="562"/>
      <c r="I234" s="562"/>
      <c r="J234" s="604">
        <v>168.04</v>
      </c>
      <c r="K234" s="562" t="s">
        <v>313</v>
      </c>
      <c r="L234" s="604">
        <v>4218.6000000000004</v>
      </c>
      <c r="M234" s="603"/>
      <c r="N234" s="602"/>
      <c r="V234" s="674"/>
      <c r="W234" s="675"/>
      <c r="Z234" s="537" t="s">
        <v>344</v>
      </c>
      <c r="AC234" s="675"/>
      <c r="AD234" s="675"/>
      <c r="AF234" s="675"/>
      <c r="AG234" s="680"/>
    </row>
    <row r="235" spans="1:33" s="536" customFormat="1" ht="12" x14ac:dyDescent="0.2">
      <c r="A235" s="605"/>
      <c r="B235" s="552" t="s">
        <v>187</v>
      </c>
      <c r="C235" s="1822" t="s">
        <v>345</v>
      </c>
      <c r="D235" s="1822"/>
      <c r="E235" s="1822"/>
      <c r="F235" s="562"/>
      <c r="G235" s="562"/>
      <c r="H235" s="562"/>
      <c r="I235" s="562"/>
      <c r="J235" s="604">
        <v>28.46</v>
      </c>
      <c r="K235" s="562" t="s">
        <v>313</v>
      </c>
      <c r="L235" s="604">
        <v>714.48</v>
      </c>
      <c r="M235" s="603"/>
      <c r="N235" s="602"/>
      <c r="V235" s="674"/>
      <c r="W235" s="675"/>
      <c r="Z235" s="537" t="s">
        <v>345</v>
      </c>
      <c r="AC235" s="675"/>
      <c r="AD235" s="675"/>
      <c r="AF235" s="675"/>
      <c r="AG235" s="680"/>
    </row>
    <row r="236" spans="1:33" s="536" customFormat="1" ht="12" x14ac:dyDescent="0.2">
      <c r="A236" s="605"/>
      <c r="B236" s="552" t="s">
        <v>188</v>
      </c>
      <c r="C236" s="1822" t="s">
        <v>475</v>
      </c>
      <c r="D236" s="1822"/>
      <c r="E236" s="1822"/>
      <c r="F236" s="562"/>
      <c r="G236" s="562"/>
      <c r="H236" s="562"/>
      <c r="I236" s="562"/>
      <c r="J236" s="604">
        <v>771.22</v>
      </c>
      <c r="K236" s="562"/>
      <c r="L236" s="604">
        <v>15489.03</v>
      </c>
      <c r="M236" s="603"/>
      <c r="N236" s="602"/>
      <c r="V236" s="674"/>
      <c r="W236" s="675"/>
      <c r="Z236" s="537" t="s">
        <v>475</v>
      </c>
      <c r="AC236" s="675"/>
      <c r="AD236" s="675"/>
      <c r="AF236" s="675"/>
      <c r="AG236" s="680"/>
    </row>
    <row r="237" spans="1:33" s="536" customFormat="1" ht="22.5" x14ac:dyDescent="0.2">
      <c r="A237" s="676"/>
      <c r="B237" s="677" t="s">
        <v>1228</v>
      </c>
      <c r="C237" s="1829" t="s">
        <v>2027</v>
      </c>
      <c r="D237" s="1829"/>
      <c r="E237" s="1829"/>
      <c r="F237" s="678" t="s">
        <v>694</v>
      </c>
      <c r="G237" s="678" t="s">
        <v>185</v>
      </c>
      <c r="H237" s="678"/>
      <c r="I237" s="678" t="s">
        <v>5260</v>
      </c>
      <c r="J237" s="552"/>
      <c r="K237" s="562"/>
      <c r="L237" s="604"/>
      <c r="M237" s="562"/>
      <c r="N237" s="679"/>
      <c r="V237" s="674"/>
      <c r="W237" s="675"/>
      <c r="AC237" s="675"/>
      <c r="AD237" s="675"/>
      <c r="AF237" s="675"/>
      <c r="AG237" s="680" t="s">
        <v>2027</v>
      </c>
    </row>
    <row r="238" spans="1:33" s="536" customFormat="1" ht="22.5" x14ac:dyDescent="0.2">
      <c r="A238" s="605"/>
      <c r="B238" s="552"/>
      <c r="C238" s="1822" t="s">
        <v>314</v>
      </c>
      <c r="D238" s="1822"/>
      <c r="E238" s="1822"/>
      <c r="F238" s="562" t="s">
        <v>315</v>
      </c>
      <c r="G238" s="562" t="s">
        <v>2028</v>
      </c>
      <c r="H238" s="562" t="s">
        <v>313</v>
      </c>
      <c r="I238" s="562" t="s">
        <v>5262</v>
      </c>
      <c r="J238" s="604"/>
      <c r="K238" s="562"/>
      <c r="L238" s="604"/>
      <c r="M238" s="603"/>
      <c r="N238" s="602"/>
      <c r="V238" s="674"/>
      <c r="W238" s="675"/>
      <c r="AA238" s="537" t="s">
        <v>314</v>
      </c>
      <c r="AC238" s="675"/>
      <c r="AD238" s="675"/>
      <c r="AF238" s="675"/>
      <c r="AG238" s="680"/>
    </row>
    <row r="239" spans="1:33" s="536" customFormat="1" ht="12" x14ac:dyDescent="0.2">
      <c r="A239" s="605"/>
      <c r="B239" s="552"/>
      <c r="C239" s="1822" t="s">
        <v>348</v>
      </c>
      <c r="D239" s="1822"/>
      <c r="E239" s="1822"/>
      <c r="F239" s="562" t="s">
        <v>315</v>
      </c>
      <c r="G239" s="562" t="s">
        <v>2030</v>
      </c>
      <c r="H239" s="562" t="s">
        <v>313</v>
      </c>
      <c r="I239" s="562" t="s">
        <v>5263</v>
      </c>
      <c r="J239" s="604"/>
      <c r="K239" s="562"/>
      <c r="L239" s="604"/>
      <c r="M239" s="603"/>
      <c r="N239" s="602"/>
      <c r="V239" s="674"/>
      <c r="W239" s="675"/>
      <c r="AA239" s="537" t="s">
        <v>348</v>
      </c>
      <c r="AC239" s="675"/>
      <c r="AD239" s="675"/>
      <c r="AF239" s="675"/>
      <c r="AG239" s="680"/>
    </row>
    <row r="240" spans="1:33" s="536" customFormat="1" ht="12" x14ac:dyDescent="0.2">
      <c r="A240" s="605"/>
      <c r="B240" s="552"/>
      <c r="C240" s="1828" t="s">
        <v>318</v>
      </c>
      <c r="D240" s="1828"/>
      <c r="E240" s="1828"/>
      <c r="F240" s="608"/>
      <c r="G240" s="608"/>
      <c r="H240" s="608"/>
      <c r="I240" s="608"/>
      <c r="J240" s="607">
        <v>1314.04</v>
      </c>
      <c r="K240" s="608"/>
      <c r="L240" s="607">
        <v>29116.39</v>
      </c>
      <c r="M240" s="601"/>
      <c r="N240" s="606"/>
      <c r="V240" s="674"/>
      <c r="W240" s="675"/>
      <c r="AB240" s="537" t="s">
        <v>318</v>
      </c>
      <c r="AC240" s="675"/>
      <c r="AD240" s="675"/>
      <c r="AF240" s="675"/>
      <c r="AG240" s="680"/>
    </row>
    <row r="241" spans="1:33" s="536" customFormat="1" ht="12" x14ac:dyDescent="0.2">
      <c r="A241" s="605"/>
      <c r="B241" s="552"/>
      <c r="C241" s="1822" t="s">
        <v>319</v>
      </c>
      <c r="D241" s="1822"/>
      <c r="E241" s="1822"/>
      <c r="F241" s="562"/>
      <c r="G241" s="562"/>
      <c r="H241" s="562"/>
      <c r="I241" s="562"/>
      <c r="J241" s="604"/>
      <c r="K241" s="562"/>
      <c r="L241" s="604">
        <v>10123.24</v>
      </c>
      <c r="M241" s="603"/>
      <c r="N241" s="602"/>
      <c r="V241" s="674"/>
      <c r="W241" s="675"/>
      <c r="AA241" s="537" t="s">
        <v>319</v>
      </c>
      <c r="AC241" s="675"/>
      <c r="AD241" s="675"/>
      <c r="AF241" s="675"/>
      <c r="AG241" s="680"/>
    </row>
    <row r="242" spans="1:33" s="536" customFormat="1" ht="33.75" x14ac:dyDescent="0.2">
      <c r="A242" s="605"/>
      <c r="B242" s="552" t="s">
        <v>2032</v>
      </c>
      <c r="C242" s="1822" t="s">
        <v>2033</v>
      </c>
      <c r="D242" s="1822"/>
      <c r="E242" s="1822"/>
      <c r="F242" s="562" t="s">
        <v>322</v>
      </c>
      <c r="G242" s="562" t="s">
        <v>2034</v>
      </c>
      <c r="H242" s="562"/>
      <c r="I242" s="562" t="s">
        <v>2034</v>
      </c>
      <c r="J242" s="604"/>
      <c r="K242" s="562"/>
      <c r="L242" s="604">
        <v>11135.56</v>
      </c>
      <c r="M242" s="603"/>
      <c r="N242" s="602"/>
      <c r="V242" s="674"/>
      <c r="W242" s="675"/>
      <c r="AA242" s="537" t="s">
        <v>2033</v>
      </c>
      <c r="AC242" s="675"/>
      <c r="AD242" s="675"/>
      <c r="AF242" s="675"/>
      <c r="AG242" s="680"/>
    </row>
    <row r="243" spans="1:33" s="536" customFormat="1" ht="33.75" x14ac:dyDescent="0.2">
      <c r="A243" s="605"/>
      <c r="B243" s="552" t="s">
        <v>2035</v>
      </c>
      <c r="C243" s="1822" t="s">
        <v>2036</v>
      </c>
      <c r="D243" s="1822"/>
      <c r="E243" s="1822"/>
      <c r="F243" s="562" t="s">
        <v>322</v>
      </c>
      <c r="G243" s="562" t="s">
        <v>2037</v>
      </c>
      <c r="H243" s="562"/>
      <c r="I243" s="562" t="s">
        <v>2037</v>
      </c>
      <c r="J243" s="604"/>
      <c r="K243" s="562"/>
      <c r="L243" s="604">
        <v>6985.04</v>
      </c>
      <c r="M243" s="603"/>
      <c r="N243" s="602"/>
      <c r="V243" s="674"/>
      <c r="W243" s="675"/>
      <c r="AA243" s="537" t="s">
        <v>2036</v>
      </c>
      <c r="AC243" s="675"/>
      <c r="AD243" s="675"/>
      <c r="AF243" s="675"/>
      <c r="AG243" s="680"/>
    </row>
    <row r="244" spans="1:33" s="536" customFormat="1" ht="12" x14ac:dyDescent="0.2">
      <c r="A244" s="569"/>
      <c r="B244" s="671"/>
      <c r="C244" s="1823" t="s">
        <v>327</v>
      </c>
      <c r="D244" s="1823"/>
      <c r="E244" s="1823"/>
      <c r="F244" s="573"/>
      <c r="G244" s="573"/>
      <c r="H244" s="573"/>
      <c r="I244" s="573"/>
      <c r="J244" s="572"/>
      <c r="K244" s="573"/>
      <c r="L244" s="572">
        <v>47236.99</v>
      </c>
      <c r="M244" s="601"/>
      <c r="N244" s="570"/>
      <c r="V244" s="674"/>
      <c r="W244" s="675"/>
      <c r="AC244" s="675" t="s">
        <v>327</v>
      </c>
      <c r="AD244" s="675"/>
      <c r="AF244" s="675"/>
      <c r="AG244" s="680"/>
    </row>
    <row r="245" spans="1:33" s="536" customFormat="1" ht="33.75" x14ac:dyDescent="0.2">
      <c r="A245" s="575" t="s">
        <v>505</v>
      </c>
      <c r="B245" s="670" t="s">
        <v>5264</v>
      </c>
      <c r="C245" s="1823" t="s">
        <v>5265</v>
      </c>
      <c r="D245" s="1823"/>
      <c r="E245" s="1823"/>
      <c r="F245" s="573" t="s">
        <v>617</v>
      </c>
      <c r="G245" s="573"/>
      <c r="H245" s="573"/>
      <c r="I245" s="573" t="s">
        <v>5266</v>
      </c>
      <c r="J245" s="572">
        <v>1784.65</v>
      </c>
      <c r="K245" s="573" t="s">
        <v>716</v>
      </c>
      <c r="L245" s="572">
        <v>102394.35</v>
      </c>
      <c r="M245" s="571">
        <v>8.32</v>
      </c>
      <c r="N245" s="570">
        <v>851921</v>
      </c>
      <c r="V245" s="674"/>
      <c r="W245" s="675" t="s">
        <v>5265</v>
      </c>
      <c r="AC245" s="675"/>
      <c r="AD245" s="675"/>
      <c r="AF245" s="675"/>
      <c r="AG245" s="680"/>
    </row>
    <row r="246" spans="1:33" s="536" customFormat="1" ht="12" x14ac:dyDescent="0.2">
      <c r="A246" s="569"/>
      <c r="B246" s="671"/>
      <c r="C246" s="665" t="s">
        <v>1173</v>
      </c>
      <c r="D246" s="666"/>
      <c r="E246" s="666"/>
      <c r="F246" s="563"/>
      <c r="G246" s="563"/>
      <c r="H246" s="563"/>
      <c r="I246" s="563"/>
      <c r="J246" s="566"/>
      <c r="K246" s="563"/>
      <c r="L246" s="566"/>
      <c r="M246" s="565"/>
      <c r="N246" s="564"/>
      <c r="V246" s="674"/>
      <c r="W246" s="675"/>
      <c r="AC246" s="675"/>
      <c r="AD246" s="675"/>
      <c r="AF246" s="675"/>
      <c r="AG246" s="680"/>
    </row>
    <row r="247" spans="1:33" s="536" customFormat="1" ht="22.5" x14ac:dyDescent="0.2">
      <c r="A247" s="609"/>
      <c r="B247" s="552" t="s">
        <v>718</v>
      </c>
      <c r="C247" s="1822" t="s">
        <v>719</v>
      </c>
      <c r="D247" s="1822"/>
      <c r="E247" s="1822"/>
      <c r="F247" s="1822"/>
      <c r="G247" s="1822"/>
      <c r="H247" s="1822"/>
      <c r="I247" s="1822"/>
      <c r="J247" s="1822"/>
      <c r="K247" s="1822"/>
      <c r="L247" s="1822"/>
      <c r="M247" s="1822"/>
      <c r="N247" s="1827"/>
      <c r="V247" s="674"/>
      <c r="W247" s="675"/>
      <c r="Y247" s="537" t="s">
        <v>719</v>
      </c>
      <c r="AC247" s="675"/>
      <c r="AD247" s="675"/>
      <c r="AF247" s="675"/>
      <c r="AG247" s="680"/>
    </row>
    <row r="248" spans="1:33" s="536" customFormat="1" ht="33.75" x14ac:dyDescent="0.2">
      <c r="A248" s="575" t="s">
        <v>767</v>
      </c>
      <c r="B248" s="670" t="s">
        <v>5267</v>
      </c>
      <c r="C248" s="1823" t="s">
        <v>5268</v>
      </c>
      <c r="D248" s="1823"/>
      <c r="E248" s="1823"/>
      <c r="F248" s="573" t="s">
        <v>617</v>
      </c>
      <c r="G248" s="573"/>
      <c r="H248" s="573"/>
      <c r="I248" s="573" t="s">
        <v>5269</v>
      </c>
      <c r="J248" s="572">
        <v>1448.41</v>
      </c>
      <c r="K248" s="573" t="s">
        <v>716</v>
      </c>
      <c r="L248" s="572">
        <v>363307.21</v>
      </c>
      <c r="M248" s="571">
        <v>8.32</v>
      </c>
      <c r="N248" s="570">
        <v>3022716</v>
      </c>
      <c r="V248" s="674"/>
      <c r="W248" s="675" t="s">
        <v>5268</v>
      </c>
      <c r="AC248" s="675"/>
      <c r="AD248" s="675"/>
      <c r="AF248" s="675"/>
      <c r="AG248" s="680"/>
    </row>
    <row r="249" spans="1:33" s="536" customFormat="1" ht="12" x14ac:dyDescent="0.2">
      <c r="A249" s="569"/>
      <c r="B249" s="671"/>
      <c r="C249" s="665" t="s">
        <v>1173</v>
      </c>
      <c r="D249" s="666"/>
      <c r="E249" s="666"/>
      <c r="F249" s="563"/>
      <c r="G249" s="563"/>
      <c r="H249" s="563"/>
      <c r="I249" s="563"/>
      <c r="J249" s="566"/>
      <c r="K249" s="563"/>
      <c r="L249" s="566"/>
      <c r="M249" s="565"/>
      <c r="N249" s="564"/>
      <c r="V249" s="674"/>
      <c r="W249" s="675"/>
      <c r="AC249" s="675"/>
      <c r="AD249" s="675"/>
      <c r="AF249" s="675"/>
      <c r="AG249" s="680"/>
    </row>
    <row r="250" spans="1:33" s="536" customFormat="1" ht="22.5" x14ac:dyDescent="0.2">
      <c r="A250" s="609"/>
      <c r="B250" s="552" t="s">
        <v>718</v>
      </c>
      <c r="C250" s="1822" t="s">
        <v>719</v>
      </c>
      <c r="D250" s="1822"/>
      <c r="E250" s="1822"/>
      <c r="F250" s="1822"/>
      <c r="G250" s="1822"/>
      <c r="H250" s="1822"/>
      <c r="I250" s="1822"/>
      <c r="J250" s="1822"/>
      <c r="K250" s="1822"/>
      <c r="L250" s="1822"/>
      <c r="M250" s="1822"/>
      <c r="N250" s="1827"/>
      <c r="V250" s="674"/>
      <c r="W250" s="675"/>
      <c r="Y250" s="537" t="s">
        <v>719</v>
      </c>
      <c r="AC250" s="675"/>
      <c r="AD250" s="675"/>
      <c r="AF250" s="675"/>
      <c r="AG250" s="680"/>
    </row>
    <row r="251" spans="1:33" s="536" customFormat="1" ht="33.75" x14ac:dyDescent="0.2">
      <c r="A251" s="575" t="s">
        <v>768</v>
      </c>
      <c r="B251" s="670" t="s">
        <v>5270</v>
      </c>
      <c r="C251" s="1823" t="s">
        <v>5271</v>
      </c>
      <c r="D251" s="1823"/>
      <c r="E251" s="1823"/>
      <c r="F251" s="573" t="s">
        <v>617</v>
      </c>
      <c r="G251" s="573"/>
      <c r="H251" s="573"/>
      <c r="I251" s="573" t="s">
        <v>5266</v>
      </c>
      <c r="J251" s="572">
        <v>155.18</v>
      </c>
      <c r="K251" s="573" t="s">
        <v>716</v>
      </c>
      <c r="L251" s="572">
        <v>8903.49</v>
      </c>
      <c r="M251" s="571">
        <v>8.32</v>
      </c>
      <c r="N251" s="570">
        <v>74077</v>
      </c>
      <c r="V251" s="674"/>
      <c r="W251" s="675" t="s">
        <v>5271</v>
      </c>
      <c r="AC251" s="675"/>
      <c r="AD251" s="675"/>
      <c r="AF251" s="675"/>
      <c r="AG251" s="680"/>
    </row>
    <row r="252" spans="1:33" s="536" customFormat="1" ht="12" x14ac:dyDescent="0.2">
      <c r="A252" s="569"/>
      <c r="B252" s="671"/>
      <c r="C252" s="665" t="s">
        <v>1173</v>
      </c>
      <c r="D252" s="666"/>
      <c r="E252" s="666"/>
      <c r="F252" s="563"/>
      <c r="G252" s="563"/>
      <c r="H252" s="563"/>
      <c r="I252" s="563"/>
      <c r="J252" s="566"/>
      <c r="K252" s="563"/>
      <c r="L252" s="566"/>
      <c r="M252" s="565"/>
      <c r="N252" s="564"/>
      <c r="V252" s="674"/>
      <c r="W252" s="675"/>
      <c r="AC252" s="675"/>
      <c r="AD252" s="675"/>
      <c r="AF252" s="675"/>
      <c r="AG252" s="680"/>
    </row>
    <row r="253" spans="1:33" s="536" customFormat="1" ht="22.5" x14ac:dyDescent="0.2">
      <c r="A253" s="609"/>
      <c r="B253" s="552" t="s">
        <v>718</v>
      </c>
      <c r="C253" s="1822" t="s">
        <v>719</v>
      </c>
      <c r="D253" s="1822"/>
      <c r="E253" s="1822"/>
      <c r="F253" s="1822"/>
      <c r="G253" s="1822"/>
      <c r="H253" s="1822"/>
      <c r="I253" s="1822"/>
      <c r="J253" s="1822"/>
      <c r="K253" s="1822"/>
      <c r="L253" s="1822"/>
      <c r="M253" s="1822"/>
      <c r="N253" s="1827"/>
      <c r="V253" s="674"/>
      <c r="W253" s="675"/>
      <c r="Y253" s="537" t="s">
        <v>719</v>
      </c>
      <c r="AC253" s="675"/>
      <c r="AD253" s="675"/>
      <c r="AF253" s="675"/>
      <c r="AG253" s="680"/>
    </row>
    <row r="254" spans="1:33" s="536" customFormat="1" ht="33.75" x14ac:dyDescent="0.2">
      <c r="A254" s="575" t="s">
        <v>769</v>
      </c>
      <c r="B254" s="670" t="s">
        <v>5272</v>
      </c>
      <c r="C254" s="1823" t="s">
        <v>5273</v>
      </c>
      <c r="D254" s="1823"/>
      <c r="E254" s="1823"/>
      <c r="F254" s="573" t="s">
        <v>617</v>
      </c>
      <c r="G254" s="573"/>
      <c r="H254" s="573"/>
      <c r="I254" s="573" t="s">
        <v>5269</v>
      </c>
      <c r="J254" s="572">
        <v>155.18</v>
      </c>
      <c r="K254" s="573" t="s">
        <v>716</v>
      </c>
      <c r="L254" s="572">
        <v>38924.04</v>
      </c>
      <c r="M254" s="571">
        <v>8.32</v>
      </c>
      <c r="N254" s="570">
        <v>323848</v>
      </c>
      <c r="V254" s="674"/>
      <c r="W254" s="675" t="s">
        <v>5273</v>
      </c>
      <c r="AC254" s="675"/>
      <c r="AD254" s="675"/>
      <c r="AF254" s="675"/>
      <c r="AG254" s="680"/>
    </row>
    <row r="255" spans="1:33" s="536" customFormat="1" ht="12" x14ac:dyDescent="0.2">
      <c r="A255" s="569"/>
      <c r="B255" s="671"/>
      <c r="C255" s="665" t="s">
        <v>1173</v>
      </c>
      <c r="D255" s="666"/>
      <c r="E255" s="666"/>
      <c r="F255" s="563"/>
      <c r="G255" s="563"/>
      <c r="H255" s="563"/>
      <c r="I255" s="563"/>
      <c r="J255" s="566"/>
      <c r="K255" s="563"/>
      <c r="L255" s="566"/>
      <c r="M255" s="565"/>
      <c r="N255" s="564"/>
      <c r="V255" s="674"/>
      <c r="W255" s="675"/>
      <c r="AC255" s="675"/>
      <c r="AD255" s="675"/>
      <c r="AF255" s="675"/>
      <c r="AG255" s="680"/>
    </row>
    <row r="256" spans="1:33" s="536" customFormat="1" ht="22.5" x14ac:dyDescent="0.2">
      <c r="A256" s="609"/>
      <c r="B256" s="552" t="s">
        <v>718</v>
      </c>
      <c r="C256" s="1822" t="s">
        <v>719</v>
      </c>
      <c r="D256" s="1822"/>
      <c r="E256" s="1822"/>
      <c r="F256" s="1822"/>
      <c r="G256" s="1822"/>
      <c r="H256" s="1822"/>
      <c r="I256" s="1822"/>
      <c r="J256" s="1822"/>
      <c r="K256" s="1822"/>
      <c r="L256" s="1822"/>
      <c r="M256" s="1822"/>
      <c r="N256" s="1827"/>
      <c r="V256" s="674"/>
      <c r="W256" s="675"/>
      <c r="Y256" s="537" t="s">
        <v>719</v>
      </c>
      <c r="AC256" s="675"/>
      <c r="AD256" s="675"/>
      <c r="AF256" s="675"/>
      <c r="AG256" s="680"/>
    </row>
    <row r="257" spans="1:33" s="536" customFormat="1" ht="22.5" x14ac:dyDescent="0.2">
      <c r="A257" s="575" t="s">
        <v>770</v>
      </c>
      <c r="B257" s="670" t="s">
        <v>1368</v>
      </c>
      <c r="C257" s="1823" t="s">
        <v>5274</v>
      </c>
      <c r="D257" s="1823"/>
      <c r="E257" s="1823"/>
      <c r="F257" s="573" t="s">
        <v>509</v>
      </c>
      <c r="G257" s="573"/>
      <c r="H257" s="573"/>
      <c r="I257" s="573" t="s">
        <v>5275</v>
      </c>
      <c r="J257" s="572"/>
      <c r="K257" s="573"/>
      <c r="L257" s="572"/>
      <c r="M257" s="571"/>
      <c r="N257" s="570"/>
      <c r="V257" s="674"/>
      <c r="W257" s="675" t="s">
        <v>5274</v>
      </c>
      <c r="AC257" s="675"/>
      <c r="AD257" s="675"/>
      <c r="AF257" s="675"/>
      <c r="AG257" s="680"/>
    </row>
    <row r="258" spans="1:33" s="536" customFormat="1" ht="12" x14ac:dyDescent="0.2">
      <c r="A258" s="676"/>
      <c r="B258" s="664"/>
      <c r="C258" s="1822" t="s">
        <v>5276</v>
      </c>
      <c r="D258" s="1822"/>
      <c r="E258" s="1822"/>
      <c r="F258" s="1822"/>
      <c r="G258" s="1822"/>
      <c r="H258" s="1822"/>
      <c r="I258" s="1822"/>
      <c r="J258" s="1822"/>
      <c r="K258" s="1822"/>
      <c r="L258" s="1822"/>
      <c r="M258" s="1822"/>
      <c r="N258" s="1827"/>
      <c r="V258" s="674"/>
      <c r="W258" s="675"/>
      <c r="X258" s="537" t="s">
        <v>5276</v>
      </c>
      <c r="AC258" s="675"/>
      <c r="AD258" s="675"/>
      <c r="AF258" s="675"/>
      <c r="AG258" s="680"/>
    </row>
    <row r="259" spans="1:33" s="536" customFormat="1" ht="33.75" x14ac:dyDescent="0.2">
      <c r="A259" s="609"/>
      <c r="B259" s="552" t="s">
        <v>310</v>
      </c>
      <c r="C259" s="1822" t="s">
        <v>311</v>
      </c>
      <c r="D259" s="1822"/>
      <c r="E259" s="1822"/>
      <c r="F259" s="1822"/>
      <c r="G259" s="1822"/>
      <c r="H259" s="1822"/>
      <c r="I259" s="1822"/>
      <c r="J259" s="1822"/>
      <c r="K259" s="1822"/>
      <c r="L259" s="1822"/>
      <c r="M259" s="1822"/>
      <c r="N259" s="1827"/>
      <c r="V259" s="674"/>
      <c r="W259" s="675"/>
      <c r="Y259" s="537" t="s">
        <v>311</v>
      </c>
      <c r="AC259" s="675"/>
      <c r="AD259" s="675"/>
      <c r="AF259" s="675"/>
      <c r="AG259" s="680"/>
    </row>
    <row r="260" spans="1:33" s="536" customFormat="1" ht="12" x14ac:dyDescent="0.2">
      <c r="A260" s="605"/>
      <c r="B260" s="552" t="s">
        <v>185</v>
      </c>
      <c r="C260" s="1822" t="s">
        <v>312</v>
      </c>
      <c r="D260" s="1822"/>
      <c r="E260" s="1822"/>
      <c r="F260" s="562"/>
      <c r="G260" s="562"/>
      <c r="H260" s="562"/>
      <c r="I260" s="562"/>
      <c r="J260" s="604">
        <v>1053</v>
      </c>
      <c r="K260" s="562" t="s">
        <v>313</v>
      </c>
      <c r="L260" s="604">
        <v>3347.49</v>
      </c>
      <c r="M260" s="603"/>
      <c r="N260" s="602"/>
      <c r="V260" s="674"/>
      <c r="W260" s="675"/>
      <c r="Z260" s="537" t="s">
        <v>312</v>
      </c>
      <c r="AC260" s="675"/>
      <c r="AD260" s="675"/>
      <c r="AF260" s="675"/>
      <c r="AG260" s="680"/>
    </row>
    <row r="261" spans="1:33" s="536" customFormat="1" ht="12" x14ac:dyDescent="0.2">
      <c r="A261" s="605"/>
      <c r="B261" s="552" t="s">
        <v>186</v>
      </c>
      <c r="C261" s="1822" t="s">
        <v>344</v>
      </c>
      <c r="D261" s="1822"/>
      <c r="E261" s="1822"/>
      <c r="F261" s="562"/>
      <c r="G261" s="562"/>
      <c r="H261" s="562"/>
      <c r="I261" s="562"/>
      <c r="J261" s="604">
        <v>1566.06</v>
      </c>
      <c r="K261" s="562" t="s">
        <v>313</v>
      </c>
      <c r="L261" s="604">
        <v>4978.5</v>
      </c>
      <c r="M261" s="603"/>
      <c r="N261" s="602"/>
      <c r="V261" s="674"/>
      <c r="W261" s="675"/>
      <c r="Z261" s="537" t="s">
        <v>344</v>
      </c>
      <c r="AC261" s="675"/>
      <c r="AD261" s="675"/>
      <c r="AF261" s="675"/>
      <c r="AG261" s="680"/>
    </row>
    <row r="262" spans="1:33" s="536" customFormat="1" ht="12" x14ac:dyDescent="0.2">
      <c r="A262" s="605"/>
      <c r="B262" s="552" t="s">
        <v>187</v>
      </c>
      <c r="C262" s="1822" t="s">
        <v>345</v>
      </c>
      <c r="D262" s="1822"/>
      <c r="E262" s="1822"/>
      <c r="F262" s="562"/>
      <c r="G262" s="562"/>
      <c r="H262" s="562"/>
      <c r="I262" s="562"/>
      <c r="J262" s="604">
        <v>244.39</v>
      </c>
      <c r="K262" s="562" t="s">
        <v>313</v>
      </c>
      <c r="L262" s="604">
        <v>776.92</v>
      </c>
      <c r="M262" s="603"/>
      <c r="N262" s="602"/>
      <c r="V262" s="674"/>
      <c r="W262" s="675"/>
      <c r="Z262" s="537" t="s">
        <v>345</v>
      </c>
      <c r="AC262" s="675"/>
      <c r="AD262" s="675"/>
      <c r="AF262" s="675"/>
      <c r="AG262" s="680"/>
    </row>
    <row r="263" spans="1:33" s="536" customFormat="1" ht="12" x14ac:dyDescent="0.2">
      <c r="A263" s="605"/>
      <c r="B263" s="552" t="s">
        <v>188</v>
      </c>
      <c r="C263" s="1822" t="s">
        <v>475</v>
      </c>
      <c r="D263" s="1822"/>
      <c r="E263" s="1822"/>
      <c r="F263" s="562"/>
      <c r="G263" s="562"/>
      <c r="H263" s="562"/>
      <c r="I263" s="562"/>
      <c r="J263" s="604">
        <v>909.27</v>
      </c>
      <c r="K263" s="562"/>
      <c r="L263" s="604">
        <v>2312.46</v>
      </c>
      <c r="M263" s="603"/>
      <c r="N263" s="602"/>
      <c r="V263" s="674"/>
      <c r="W263" s="675"/>
      <c r="Z263" s="537" t="s">
        <v>475</v>
      </c>
      <c r="AC263" s="675"/>
      <c r="AD263" s="675"/>
      <c r="AF263" s="675"/>
      <c r="AG263" s="680"/>
    </row>
    <row r="264" spans="1:33" s="536" customFormat="1" ht="12" x14ac:dyDescent="0.2">
      <c r="A264" s="676"/>
      <c r="B264" s="677" t="s">
        <v>639</v>
      </c>
      <c r="C264" s="1829" t="s">
        <v>640</v>
      </c>
      <c r="D264" s="1829"/>
      <c r="E264" s="1829"/>
      <c r="F264" s="678" t="s">
        <v>641</v>
      </c>
      <c r="G264" s="678" t="s">
        <v>680</v>
      </c>
      <c r="H264" s="678"/>
      <c r="I264" s="678" t="s">
        <v>5277</v>
      </c>
      <c r="J264" s="552"/>
      <c r="K264" s="562"/>
      <c r="L264" s="604"/>
      <c r="M264" s="562"/>
      <c r="N264" s="679"/>
      <c r="V264" s="674"/>
      <c r="W264" s="675"/>
      <c r="AC264" s="675"/>
      <c r="AD264" s="675"/>
      <c r="AF264" s="675"/>
      <c r="AG264" s="680" t="s">
        <v>640</v>
      </c>
    </row>
    <row r="265" spans="1:33" s="536" customFormat="1" ht="12" x14ac:dyDescent="0.2">
      <c r="A265" s="605"/>
      <c r="B265" s="552"/>
      <c r="C265" s="1822" t="s">
        <v>314</v>
      </c>
      <c r="D265" s="1822"/>
      <c r="E265" s="1822"/>
      <c r="F265" s="562" t="s">
        <v>315</v>
      </c>
      <c r="G265" s="562" t="s">
        <v>1373</v>
      </c>
      <c r="H265" s="562" t="s">
        <v>313</v>
      </c>
      <c r="I265" s="562" t="s">
        <v>5278</v>
      </c>
      <c r="J265" s="604"/>
      <c r="K265" s="562"/>
      <c r="L265" s="604"/>
      <c r="M265" s="603"/>
      <c r="N265" s="602"/>
      <c r="V265" s="674"/>
      <c r="W265" s="675"/>
      <c r="AA265" s="537" t="s">
        <v>314</v>
      </c>
      <c r="AC265" s="675"/>
      <c r="AD265" s="675"/>
      <c r="AF265" s="675"/>
      <c r="AG265" s="680"/>
    </row>
    <row r="266" spans="1:33" s="536" customFormat="1" ht="12" x14ac:dyDescent="0.2">
      <c r="A266" s="605"/>
      <c r="B266" s="552"/>
      <c r="C266" s="1822" t="s">
        <v>348</v>
      </c>
      <c r="D266" s="1822"/>
      <c r="E266" s="1822"/>
      <c r="F266" s="562" t="s">
        <v>315</v>
      </c>
      <c r="G266" s="562" t="s">
        <v>1375</v>
      </c>
      <c r="H266" s="562" t="s">
        <v>313</v>
      </c>
      <c r="I266" s="562" t="s">
        <v>5279</v>
      </c>
      <c r="J266" s="604"/>
      <c r="K266" s="562"/>
      <c r="L266" s="604"/>
      <c r="M266" s="603"/>
      <c r="N266" s="602"/>
      <c r="V266" s="674"/>
      <c r="W266" s="675"/>
      <c r="AA266" s="537" t="s">
        <v>348</v>
      </c>
      <c r="AC266" s="675"/>
      <c r="AD266" s="675"/>
      <c r="AF266" s="675"/>
      <c r="AG266" s="680"/>
    </row>
    <row r="267" spans="1:33" s="536" customFormat="1" ht="12" x14ac:dyDescent="0.2">
      <c r="A267" s="605"/>
      <c r="B267" s="552"/>
      <c r="C267" s="1828" t="s">
        <v>318</v>
      </c>
      <c r="D267" s="1828"/>
      <c r="E267" s="1828"/>
      <c r="F267" s="608"/>
      <c r="G267" s="608"/>
      <c r="H267" s="608"/>
      <c r="I267" s="608"/>
      <c r="J267" s="607">
        <v>3528.33</v>
      </c>
      <c r="K267" s="608"/>
      <c r="L267" s="607">
        <v>10638.45</v>
      </c>
      <c r="M267" s="601"/>
      <c r="N267" s="606"/>
      <c r="V267" s="674"/>
      <c r="W267" s="675"/>
      <c r="AB267" s="537" t="s">
        <v>318</v>
      </c>
      <c r="AC267" s="675"/>
      <c r="AD267" s="675"/>
      <c r="AF267" s="675"/>
      <c r="AG267" s="680"/>
    </row>
    <row r="268" spans="1:33" s="536" customFormat="1" ht="12" x14ac:dyDescent="0.2">
      <c r="A268" s="605"/>
      <c r="B268" s="552"/>
      <c r="C268" s="1822" t="s">
        <v>319</v>
      </c>
      <c r="D268" s="1822"/>
      <c r="E268" s="1822"/>
      <c r="F268" s="562"/>
      <c r="G268" s="562"/>
      <c r="H268" s="562"/>
      <c r="I268" s="562"/>
      <c r="J268" s="604"/>
      <c r="K268" s="562"/>
      <c r="L268" s="604">
        <v>4124.41</v>
      </c>
      <c r="M268" s="603"/>
      <c r="N268" s="602"/>
      <c r="V268" s="674"/>
      <c r="W268" s="675"/>
      <c r="AA268" s="537" t="s">
        <v>319</v>
      </c>
      <c r="AC268" s="675"/>
      <c r="AD268" s="675"/>
      <c r="AF268" s="675"/>
      <c r="AG268" s="680"/>
    </row>
    <row r="269" spans="1:33" s="536" customFormat="1" ht="33.75" x14ac:dyDescent="0.2">
      <c r="A269" s="605"/>
      <c r="B269" s="552" t="s">
        <v>686</v>
      </c>
      <c r="C269" s="1822" t="s">
        <v>687</v>
      </c>
      <c r="D269" s="1822"/>
      <c r="E269" s="1822"/>
      <c r="F269" s="562" t="s">
        <v>322</v>
      </c>
      <c r="G269" s="562" t="s">
        <v>680</v>
      </c>
      <c r="H269" s="562"/>
      <c r="I269" s="562" t="s">
        <v>680</v>
      </c>
      <c r="J269" s="604"/>
      <c r="K269" s="562"/>
      <c r="L269" s="604">
        <v>4206.8999999999996</v>
      </c>
      <c r="M269" s="603"/>
      <c r="N269" s="602"/>
      <c r="V269" s="674"/>
      <c r="W269" s="675"/>
      <c r="AA269" s="537" t="s">
        <v>687</v>
      </c>
      <c r="AC269" s="675"/>
      <c r="AD269" s="675"/>
      <c r="AF269" s="675"/>
      <c r="AG269" s="680"/>
    </row>
    <row r="270" spans="1:33" s="536" customFormat="1" ht="33.75" x14ac:dyDescent="0.2">
      <c r="A270" s="605"/>
      <c r="B270" s="552" t="s">
        <v>688</v>
      </c>
      <c r="C270" s="1822" t="s">
        <v>689</v>
      </c>
      <c r="D270" s="1822"/>
      <c r="E270" s="1822"/>
      <c r="F270" s="562" t="s">
        <v>322</v>
      </c>
      <c r="G270" s="562" t="s">
        <v>690</v>
      </c>
      <c r="H270" s="562"/>
      <c r="I270" s="562" t="s">
        <v>690</v>
      </c>
      <c r="J270" s="604"/>
      <c r="K270" s="562"/>
      <c r="L270" s="604">
        <v>2392.16</v>
      </c>
      <c r="M270" s="603"/>
      <c r="N270" s="602"/>
      <c r="V270" s="674"/>
      <c r="W270" s="675"/>
      <c r="AA270" s="537" t="s">
        <v>689</v>
      </c>
      <c r="AC270" s="675"/>
      <c r="AD270" s="675"/>
      <c r="AF270" s="675"/>
      <c r="AG270" s="680"/>
    </row>
    <row r="271" spans="1:33" s="536" customFormat="1" ht="12" x14ac:dyDescent="0.2">
      <c r="A271" s="569"/>
      <c r="B271" s="671"/>
      <c r="C271" s="1823" t="s">
        <v>327</v>
      </c>
      <c r="D271" s="1823"/>
      <c r="E271" s="1823"/>
      <c r="F271" s="573"/>
      <c r="G271" s="573"/>
      <c r="H271" s="573"/>
      <c r="I271" s="573"/>
      <c r="J271" s="572"/>
      <c r="K271" s="573"/>
      <c r="L271" s="572">
        <v>17237.509999999998</v>
      </c>
      <c r="M271" s="601"/>
      <c r="N271" s="570"/>
      <c r="V271" s="674"/>
      <c r="W271" s="675"/>
      <c r="AC271" s="675" t="s">
        <v>327</v>
      </c>
      <c r="AD271" s="675"/>
      <c r="AF271" s="675"/>
      <c r="AG271" s="680"/>
    </row>
    <row r="272" spans="1:33" s="536" customFormat="1" ht="22.5" x14ac:dyDescent="0.2">
      <c r="A272" s="575" t="s">
        <v>771</v>
      </c>
      <c r="B272" s="670" t="s">
        <v>1392</v>
      </c>
      <c r="C272" s="1823" t="s">
        <v>1393</v>
      </c>
      <c r="D272" s="1823"/>
      <c r="E272" s="1823"/>
      <c r="F272" s="573" t="s">
        <v>641</v>
      </c>
      <c r="G272" s="573"/>
      <c r="H272" s="573"/>
      <c r="I272" s="573" t="s">
        <v>5280</v>
      </c>
      <c r="J272" s="572">
        <v>725.69</v>
      </c>
      <c r="K272" s="573"/>
      <c r="L272" s="572">
        <v>188248.34</v>
      </c>
      <c r="M272" s="571"/>
      <c r="N272" s="570"/>
      <c r="V272" s="674"/>
      <c r="W272" s="675" t="s">
        <v>1393</v>
      </c>
      <c r="AC272" s="675"/>
      <c r="AD272" s="675"/>
      <c r="AF272" s="675"/>
      <c r="AG272" s="680"/>
    </row>
    <row r="273" spans="1:33" s="536" customFormat="1" ht="12" x14ac:dyDescent="0.2">
      <c r="A273" s="569"/>
      <c r="B273" s="671"/>
      <c r="C273" s="665" t="s">
        <v>5217</v>
      </c>
      <c r="D273" s="666"/>
      <c r="E273" s="666"/>
      <c r="F273" s="563"/>
      <c r="G273" s="563"/>
      <c r="H273" s="563"/>
      <c r="I273" s="563"/>
      <c r="J273" s="566"/>
      <c r="K273" s="563"/>
      <c r="L273" s="566"/>
      <c r="M273" s="565"/>
      <c r="N273" s="564"/>
      <c r="V273" s="674"/>
      <c r="W273" s="675"/>
      <c r="AC273" s="675"/>
      <c r="AD273" s="675"/>
      <c r="AF273" s="675"/>
      <c r="AG273" s="680"/>
    </row>
    <row r="274" spans="1:33" s="536" customFormat="1" ht="33.75" x14ac:dyDescent="0.2">
      <c r="A274" s="575" t="s">
        <v>772</v>
      </c>
      <c r="B274" s="670" t="s">
        <v>5281</v>
      </c>
      <c r="C274" s="1823" t="s">
        <v>5282</v>
      </c>
      <c r="D274" s="1823"/>
      <c r="E274" s="1823"/>
      <c r="F274" s="573" t="s">
        <v>1110</v>
      </c>
      <c r="G274" s="573"/>
      <c r="H274" s="573"/>
      <c r="I274" s="573" t="s">
        <v>5283</v>
      </c>
      <c r="J274" s="572"/>
      <c r="K274" s="573"/>
      <c r="L274" s="572"/>
      <c r="M274" s="571"/>
      <c r="N274" s="570"/>
      <c r="V274" s="674"/>
      <c r="W274" s="675" t="s">
        <v>5282</v>
      </c>
      <c r="AC274" s="675"/>
      <c r="AD274" s="675"/>
      <c r="AF274" s="675"/>
      <c r="AG274" s="680"/>
    </row>
    <row r="275" spans="1:33" s="536" customFormat="1" ht="12" x14ac:dyDescent="0.2">
      <c r="A275" s="676"/>
      <c r="B275" s="664"/>
      <c r="C275" s="1822" t="s">
        <v>5284</v>
      </c>
      <c r="D275" s="1822"/>
      <c r="E275" s="1822"/>
      <c r="F275" s="1822"/>
      <c r="G275" s="1822"/>
      <c r="H275" s="1822"/>
      <c r="I275" s="1822"/>
      <c r="J275" s="1822"/>
      <c r="K275" s="1822"/>
      <c r="L275" s="1822"/>
      <c r="M275" s="1822"/>
      <c r="N275" s="1827"/>
      <c r="V275" s="674"/>
      <c r="W275" s="675"/>
      <c r="X275" s="537" t="s">
        <v>5284</v>
      </c>
      <c r="AC275" s="675"/>
      <c r="AD275" s="675"/>
      <c r="AF275" s="675"/>
      <c r="AG275" s="680"/>
    </row>
    <row r="276" spans="1:33" s="536" customFormat="1" ht="12" x14ac:dyDescent="0.2">
      <c r="A276" s="605"/>
      <c r="B276" s="552" t="s">
        <v>185</v>
      </c>
      <c r="C276" s="1822" t="s">
        <v>312</v>
      </c>
      <c r="D276" s="1822"/>
      <c r="E276" s="1822"/>
      <c r="F276" s="562"/>
      <c r="G276" s="562"/>
      <c r="H276" s="562"/>
      <c r="I276" s="562"/>
      <c r="J276" s="604">
        <v>31.55</v>
      </c>
      <c r="K276" s="562"/>
      <c r="L276" s="604">
        <v>1592.64</v>
      </c>
      <c r="M276" s="603"/>
      <c r="N276" s="602"/>
      <c r="V276" s="674"/>
      <c r="W276" s="675"/>
      <c r="Z276" s="537" t="s">
        <v>312</v>
      </c>
      <c r="AC276" s="675"/>
      <c r="AD276" s="675"/>
      <c r="AF276" s="675"/>
      <c r="AG276" s="680"/>
    </row>
    <row r="277" spans="1:33" s="536" customFormat="1" ht="12" x14ac:dyDescent="0.2">
      <c r="A277" s="605"/>
      <c r="B277" s="552" t="s">
        <v>186</v>
      </c>
      <c r="C277" s="1822" t="s">
        <v>344</v>
      </c>
      <c r="D277" s="1822"/>
      <c r="E277" s="1822"/>
      <c r="F277" s="562"/>
      <c r="G277" s="562"/>
      <c r="H277" s="562"/>
      <c r="I277" s="562"/>
      <c r="J277" s="604">
        <v>99.38</v>
      </c>
      <c r="K277" s="562"/>
      <c r="L277" s="604">
        <v>5016.7</v>
      </c>
      <c r="M277" s="603"/>
      <c r="N277" s="602"/>
      <c r="V277" s="674"/>
      <c r="W277" s="675"/>
      <c r="Z277" s="537" t="s">
        <v>344</v>
      </c>
      <c r="AC277" s="675"/>
      <c r="AD277" s="675"/>
      <c r="AF277" s="675"/>
      <c r="AG277" s="680"/>
    </row>
    <row r="278" spans="1:33" s="536" customFormat="1" ht="12" x14ac:dyDescent="0.2">
      <c r="A278" s="605"/>
      <c r="B278" s="552" t="s">
        <v>187</v>
      </c>
      <c r="C278" s="1822" t="s">
        <v>345</v>
      </c>
      <c r="D278" s="1822"/>
      <c r="E278" s="1822"/>
      <c r="F278" s="562"/>
      <c r="G278" s="562"/>
      <c r="H278" s="562"/>
      <c r="I278" s="562"/>
      <c r="J278" s="604">
        <v>4.0599999999999996</v>
      </c>
      <c r="K278" s="562"/>
      <c r="L278" s="604">
        <v>204.95</v>
      </c>
      <c r="M278" s="603"/>
      <c r="N278" s="602"/>
      <c r="V278" s="674"/>
      <c r="W278" s="675"/>
      <c r="Z278" s="537" t="s">
        <v>345</v>
      </c>
      <c r="AC278" s="675"/>
      <c r="AD278" s="675"/>
      <c r="AF278" s="675"/>
      <c r="AG278" s="680"/>
    </row>
    <row r="279" spans="1:33" s="536" customFormat="1" ht="12" x14ac:dyDescent="0.2">
      <c r="A279" s="676"/>
      <c r="B279" s="677" t="s">
        <v>5285</v>
      </c>
      <c r="C279" s="1829" t="s">
        <v>5286</v>
      </c>
      <c r="D279" s="1829"/>
      <c r="E279" s="1829"/>
      <c r="F279" s="678" t="s">
        <v>483</v>
      </c>
      <c r="G279" s="678" t="s">
        <v>5287</v>
      </c>
      <c r="H279" s="678"/>
      <c r="I279" s="678" t="s">
        <v>5288</v>
      </c>
      <c r="J279" s="552"/>
      <c r="K279" s="562"/>
      <c r="L279" s="604"/>
      <c r="M279" s="562"/>
      <c r="N279" s="679"/>
      <c r="V279" s="674"/>
      <c r="W279" s="675"/>
      <c r="AC279" s="675"/>
      <c r="AD279" s="675"/>
      <c r="AF279" s="675"/>
      <c r="AG279" s="680" t="s">
        <v>5286</v>
      </c>
    </row>
    <row r="280" spans="1:33" s="536" customFormat="1" ht="12" x14ac:dyDescent="0.2">
      <c r="A280" s="605"/>
      <c r="B280" s="552"/>
      <c r="C280" s="1822" t="s">
        <v>314</v>
      </c>
      <c r="D280" s="1822"/>
      <c r="E280" s="1822"/>
      <c r="F280" s="562" t="s">
        <v>315</v>
      </c>
      <c r="G280" s="562" t="s">
        <v>5289</v>
      </c>
      <c r="H280" s="562"/>
      <c r="I280" s="562" t="s">
        <v>5290</v>
      </c>
      <c r="J280" s="604"/>
      <c r="K280" s="562"/>
      <c r="L280" s="604"/>
      <c r="M280" s="603"/>
      <c r="N280" s="602"/>
      <c r="V280" s="674"/>
      <c r="W280" s="675"/>
      <c r="AA280" s="537" t="s">
        <v>314</v>
      </c>
      <c r="AC280" s="675"/>
      <c r="AD280" s="675"/>
      <c r="AF280" s="675"/>
      <c r="AG280" s="680"/>
    </row>
    <row r="281" spans="1:33" s="536" customFormat="1" ht="12" x14ac:dyDescent="0.2">
      <c r="A281" s="605"/>
      <c r="B281" s="552"/>
      <c r="C281" s="1822" t="s">
        <v>348</v>
      </c>
      <c r="D281" s="1822"/>
      <c r="E281" s="1822"/>
      <c r="F281" s="562" t="s">
        <v>315</v>
      </c>
      <c r="G281" s="562" t="s">
        <v>691</v>
      </c>
      <c r="H281" s="562"/>
      <c r="I281" s="562" t="s">
        <v>5291</v>
      </c>
      <c r="J281" s="604"/>
      <c r="K281" s="562"/>
      <c r="L281" s="604"/>
      <c r="M281" s="603"/>
      <c r="N281" s="602"/>
      <c r="V281" s="674"/>
      <c r="W281" s="675"/>
      <c r="AA281" s="537" t="s">
        <v>348</v>
      </c>
      <c r="AC281" s="675"/>
      <c r="AD281" s="675"/>
      <c r="AF281" s="675"/>
      <c r="AG281" s="680"/>
    </row>
    <row r="282" spans="1:33" s="536" customFormat="1" ht="12" x14ac:dyDescent="0.2">
      <c r="A282" s="605"/>
      <c r="B282" s="552"/>
      <c r="C282" s="1828" t="s">
        <v>318</v>
      </c>
      <c r="D282" s="1828"/>
      <c r="E282" s="1828"/>
      <c r="F282" s="608"/>
      <c r="G282" s="608"/>
      <c r="H282" s="608"/>
      <c r="I282" s="608"/>
      <c r="J282" s="607">
        <v>130.93</v>
      </c>
      <c r="K282" s="608"/>
      <c r="L282" s="607">
        <v>6609.34</v>
      </c>
      <c r="M282" s="601"/>
      <c r="N282" s="606"/>
      <c r="V282" s="674"/>
      <c r="W282" s="675"/>
      <c r="AB282" s="537" t="s">
        <v>318</v>
      </c>
      <c r="AC282" s="675"/>
      <c r="AD282" s="675"/>
      <c r="AF282" s="675"/>
      <c r="AG282" s="680"/>
    </row>
    <row r="283" spans="1:33" s="536" customFormat="1" ht="12" x14ac:dyDescent="0.2">
      <c r="A283" s="605"/>
      <c r="B283" s="552"/>
      <c r="C283" s="1822" t="s">
        <v>319</v>
      </c>
      <c r="D283" s="1822"/>
      <c r="E283" s="1822"/>
      <c r="F283" s="562"/>
      <c r="G283" s="562"/>
      <c r="H283" s="562"/>
      <c r="I283" s="562"/>
      <c r="J283" s="604"/>
      <c r="K283" s="562"/>
      <c r="L283" s="604">
        <v>1797.59</v>
      </c>
      <c r="M283" s="603"/>
      <c r="N283" s="602"/>
      <c r="V283" s="674"/>
      <c r="W283" s="675"/>
      <c r="AA283" s="537" t="s">
        <v>319</v>
      </c>
      <c r="AC283" s="675"/>
      <c r="AD283" s="675"/>
      <c r="AF283" s="675"/>
      <c r="AG283" s="680"/>
    </row>
    <row r="284" spans="1:33" s="536" customFormat="1" ht="45" x14ac:dyDescent="0.2">
      <c r="A284" s="605"/>
      <c r="B284" s="552" t="s">
        <v>5292</v>
      </c>
      <c r="C284" s="1822" t="s">
        <v>5293</v>
      </c>
      <c r="D284" s="1822"/>
      <c r="E284" s="1822"/>
      <c r="F284" s="562" t="s">
        <v>322</v>
      </c>
      <c r="G284" s="562" t="s">
        <v>710</v>
      </c>
      <c r="H284" s="562"/>
      <c r="I284" s="562" t="s">
        <v>710</v>
      </c>
      <c r="J284" s="604"/>
      <c r="K284" s="562"/>
      <c r="L284" s="604">
        <v>1851.52</v>
      </c>
      <c r="M284" s="603"/>
      <c r="N284" s="602"/>
      <c r="V284" s="674"/>
      <c r="W284" s="675"/>
      <c r="AA284" s="537" t="s">
        <v>5293</v>
      </c>
      <c r="AC284" s="675"/>
      <c r="AD284" s="675"/>
      <c r="AF284" s="675"/>
      <c r="AG284" s="680"/>
    </row>
    <row r="285" spans="1:33" s="536" customFormat="1" ht="45" x14ac:dyDescent="0.2">
      <c r="A285" s="605"/>
      <c r="B285" s="552" t="s">
        <v>5294</v>
      </c>
      <c r="C285" s="1822" t="s">
        <v>5295</v>
      </c>
      <c r="D285" s="1822"/>
      <c r="E285" s="1822"/>
      <c r="F285" s="562" t="s">
        <v>322</v>
      </c>
      <c r="G285" s="562" t="s">
        <v>792</v>
      </c>
      <c r="H285" s="562"/>
      <c r="I285" s="562" t="s">
        <v>792</v>
      </c>
      <c r="J285" s="604"/>
      <c r="K285" s="562"/>
      <c r="L285" s="604">
        <v>1060.58</v>
      </c>
      <c r="M285" s="603"/>
      <c r="N285" s="602"/>
      <c r="V285" s="674"/>
      <c r="W285" s="675"/>
      <c r="AA285" s="537" t="s">
        <v>5295</v>
      </c>
      <c r="AC285" s="675"/>
      <c r="AD285" s="675"/>
      <c r="AF285" s="675"/>
      <c r="AG285" s="680"/>
    </row>
    <row r="286" spans="1:33" s="536" customFormat="1" ht="12" x14ac:dyDescent="0.2">
      <c r="A286" s="569"/>
      <c r="B286" s="671"/>
      <c r="C286" s="1823" t="s">
        <v>327</v>
      </c>
      <c r="D286" s="1823"/>
      <c r="E286" s="1823"/>
      <c r="F286" s="573"/>
      <c r="G286" s="573"/>
      <c r="H286" s="573"/>
      <c r="I286" s="573"/>
      <c r="J286" s="572"/>
      <c r="K286" s="573"/>
      <c r="L286" s="572">
        <v>9521.44</v>
      </c>
      <c r="M286" s="601"/>
      <c r="N286" s="570"/>
      <c r="V286" s="674"/>
      <c r="W286" s="675"/>
      <c r="AC286" s="675" t="s">
        <v>327</v>
      </c>
      <c r="AD286" s="675"/>
      <c r="AF286" s="675"/>
      <c r="AG286" s="680"/>
    </row>
    <row r="287" spans="1:33" s="536" customFormat="1" ht="22.5" x14ac:dyDescent="0.2">
      <c r="A287" s="575" t="s">
        <v>677</v>
      </c>
      <c r="B287" s="670" t="s">
        <v>5296</v>
      </c>
      <c r="C287" s="1823" t="s">
        <v>5297</v>
      </c>
      <c r="D287" s="1823"/>
      <c r="E287" s="1823"/>
      <c r="F287" s="573" t="s">
        <v>483</v>
      </c>
      <c r="G287" s="573"/>
      <c r="H287" s="573"/>
      <c r="I287" s="573" t="s">
        <v>5298</v>
      </c>
      <c r="J287" s="572">
        <v>7.63</v>
      </c>
      <c r="K287" s="573"/>
      <c r="L287" s="572">
        <v>39209.5</v>
      </c>
      <c r="M287" s="571"/>
      <c r="N287" s="570"/>
      <c r="V287" s="674"/>
      <c r="W287" s="675" t="s">
        <v>5297</v>
      </c>
      <c r="AC287" s="675"/>
      <c r="AD287" s="675"/>
      <c r="AF287" s="675"/>
      <c r="AG287" s="680"/>
    </row>
    <row r="288" spans="1:33" s="536" customFormat="1" ht="12" x14ac:dyDescent="0.2">
      <c r="A288" s="569"/>
      <c r="B288" s="671"/>
      <c r="C288" s="665" t="s">
        <v>5217</v>
      </c>
      <c r="D288" s="666"/>
      <c r="E288" s="666"/>
      <c r="F288" s="563"/>
      <c r="G288" s="563"/>
      <c r="H288" s="563"/>
      <c r="I288" s="563"/>
      <c r="J288" s="566"/>
      <c r="K288" s="563"/>
      <c r="L288" s="566"/>
      <c r="M288" s="565"/>
      <c r="N288" s="564"/>
      <c r="V288" s="674"/>
      <c r="W288" s="675"/>
      <c r="AC288" s="675"/>
      <c r="AD288" s="675"/>
      <c r="AF288" s="675"/>
      <c r="AG288" s="680"/>
    </row>
    <row r="289" spans="1:33" s="536" customFormat="1" ht="1.5" customHeight="1" x14ac:dyDescent="0.2">
      <c r="A289" s="563"/>
      <c r="B289" s="671"/>
      <c r="C289" s="671"/>
      <c r="D289" s="671"/>
      <c r="E289" s="671"/>
      <c r="F289" s="563"/>
      <c r="G289" s="563"/>
      <c r="H289" s="563"/>
      <c r="I289" s="563"/>
      <c r="J289" s="546"/>
      <c r="K289" s="563"/>
      <c r="L289" s="546"/>
      <c r="M289" s="562"/>
      <c r="N289" s="546"/>
      <c r="V289" s="674"/>
      <c r="W289" s="675"/>
      <c r="AC289" s="675"/>
      <c r="AD289" s="675"/>
      <c r="AF289" s="675"/>
      <c r="AG289" s="680"/>
    </row>
    <row r="290" spans="1:33" s="536" customFormat="1" ht="12" x14ac:dyDescent="0.2">
      <c r="A290" s="557"/>
      <c r="B290" s="556"/>
      <c r="C290" s="1823" t="s">
        <v>5299</v>
      </c>
      <c r="D290" s="1823"/>
      <c r="E290" s="1823"/>
      <c r="F290" s="1823"/>
      <c r="G290" s="1823"/>
      <c r="H290" s="1823"/>
      <c r="I290" s="1823"/>
      <c r="J290" s="1823"/>
      <c r="K290" s="1823"/>
      <c r="L290" s="555"/>
      <c r="M290" s="554"/>
      <c r="N290" s="553"/>
      <c r="V290" s="674"/>
      <c r="W290" s="675"/>
      <c r="AC290" s="675"/>
      <c r="AD290" s="675" t="s">
        <v>5299</v>
      </c>
      <c r="AF290" s="675"/>
      <c r="AG290" s="680"/>
    </row>
    <row r="291" spans="1:33" s="536" customFormat="1" ht="12" x14ac:dyDescent="0.2">
      <c r="A291" s="548"/>
      <c r="B291" s="552"/>
      <c r="C291" s="1822" t="s">
        <v>403</v>
      </c>
      <c r="D291" s="1822"/>
      <c r="E291" s="1822"/>
      <c r="F291" s="1822"/>
      <c r="G291" s="1822"/>
      <c r="H291" s="1822"/>
      <c r="I291" s="1822"/>
      <c r="J291" s="1822"/>
      <c r="K291" s="1822"/>
      <c r="L291" s="551">
        <v>1427769.05</v>
      </c>
      <c r="M291" s="550"/>
      <c r="N291" s="549"/>
      <c r="V291" s="674"/>
      <c r="W291" s="675"/>
      <c r="AC291" s="675"/>
      <c r="AD291" s="675"/>
      <c r="AE291" s="537" t="s">
        <v>403</v>
      </c>
      <c r="AF291" s="675"/>
      <c r="AG291" s="680"/>
    </row>
    <row r="292" spans="1:33" s="536" customFormat="1" ht="12" x14ac:dyDescent="0.2">
      <c r="A292" s="548"/>
      <c r="B292" s="552"/>
      <c r="C292" s="1822" t="s">
        <v>204</v>
      </c>
      <c r="D292" s="1822"/>
      <c r="E292" s="1822"/>
      <c r="F292" s="1822"/>
      <c r="G292" s="1822"/>
      <c r="H292" s="1822"/>
      <c r="I292" s="1822"/>
      <c r="J292" s="1822"/>
      <c r="K292" s="1822"/>
      <c r="L292" s="551"/>
      <c r="M292" s="550"/>
      <c r="N292" s="549"/>
      <c r="V292" s="674"/>
      <c r="W292" s="675"/>
      <c r="AC292" s="675"/>
      <c r="AD292" s="675"/>
      <c r="AE292" s="537" t="s">
        <v>204</v>
      </c>
      <c r="AF292" s="675"/>
      <c r="AG292" s="680"/>
    </row>
    <row r="293" spans="1:33" s="536" customFormat="1" ht="12" x14ac:dyDescent="0.2">
      <c r="A293" s="548"/>
      <c r="B293" s="552"/>
      <c r="C293" s="1822" t="s">
        <v>404</v>
      </c>
      <c r="D293" s="1822"/>
      <c r="E293" s="1822"/>
      <c r="F293" s="1822"/>
      <c r="G293" s="1822"/>
      <c r="H293" s="1822"/>
      <c r="I293" s="1822"/>
      <c r="J293" s="1822"/>
      <c r="K293" s="1822"/>
      <c r="L293" s="551">
        <v>18030.39</v>
      </c>
      <c r="M293" s="550"/>
      <c r="N293" s="549"/>
      <c r="V293" s="674"/>
      <c r="W293" s="675"/>
      <c r="AC293" s="675"/>
      <c r="AD293" s="675"/>
      <c r="AE293" s="537" t="s">
        <v>404</v>
      </c>
      <c r="AF293" s="675"/>
      <c r="AG293" s="680"/>
    </row>
    <row r="294" spans="1:33" s="536" customFormat="1" ht="12" x14ac:dyDescent="0.2">
      <c r="A294" s="548"/>
      <c r="B294" s="552"/>
      <c r="C294" s="1822" t="s">
        <v>405</v>
      </c>
      <c r="D294" s="1822"/>
      <c r="E294" s="1822"/>
      <c r="F294" s="1822"/>
      <c r="G294" s="1822"/>
      <c r="H294" s="1822"/>
      <c r="I294" s="1822"/>
      <c r="J294" s="1822"/>
      <c r="K294" s="1822"/>
      <c r="L294" s="551">
        <v>32301.84</v>
      </c>
      <c r="M294" s="550"/>
      <c r="N294" s="549"/>
      <c r="V294" s="674"/>
      <c r="W294" s="675"/>
      <c r="AC294" s="675"/>
      <c r="AD294" s="675"/>
      <c r="AE294" s="537" t="s">
        <v>405</v>
      </c>
      <c r="AF294" s="675"/>
      <c r="AG294" s="680"/>
    </row>
    <row r="295" spans="1:33" s="536" customFormat="1" ht="12" x14ac:dyDescent="0.2">
      <c r="A295" s="548"/>
      <c r="B295" s="552"/>
      <c r="C295" s="1822" t="s">
        <v>406</v>
      </c>
      <c r="D295" s="1822"/>
      <c r="E295" s="1822"/>
      <c r="F295" s="1822"/>
      <c r="G295" s="1822"/>
      <c r="H295" s="1822"/>
      <c r="I295" s="1822"/>
      <c r="J295" s="1822"/>
      <c r="K295" s="1822"/>
      <c r="L295" s="551">
        <v>3317.45</v>
      </c>
      <c r="M295" s="550"/>
      <c r="N295" s="549"/>
      <c r="V295" s="674"/>
      <c r="W295" s="675"/>
      <c r="AC295" s="675"/>
      <c r="AD295" s="675"/>
      <c r="AE295" s="537" t="s">
        <v>406</v>
      </c>
      <c r="AF295" s="675"/>
      <c r="AG295" s="680"/>
    </row>
    <row r="296" spans="1:33" s="536" customFormat="1" ht="12" x14ac:dyDescent="0.2">
      <c r="A296" s="548"/>
      <c r="B296" s="552"/>
      <c r="C296" s="1822" t="s">
        <v>480</v>
      </c>
      <c r="D296" s="1822"/>
      <c r="E296" s="1822"/>
      <c r="F296" s="1822"/>
      <c r="G296" s="1822"/>
      <c r="H296" s="1822"/>
      <c r="I296" s="1822"/>
      <c r="J296" s="1822"/>
      <c r="K296" s="1822"/>
      <c r="L296" s="551">
        <v>1377436.82</v>
      </c>
      <c r="M296" s="550"/>
      <c r="N296" s="549"/>
      <c r="V296" s="674"/>
      <c r="W296" s="675"/>
      <c r="AC296" s="675"/>
      <c r="AD296" s="675"/>
      <c r="AE296" s="537" t="s">
        <v>480</v>
      </c>
      <c r="AF296" s="675"/>
      <c r="AG296" s="680"/>
    </row>
    <row r="297" spans="1:33" s="536" customFormat="1" ht="12" x14ac:dyDescent="0.2">
      <c r="A297" s="548"/>
      <c r="B297" s="552"/>
      <c r="C297" s="1822" t="s">
        <v>407</v>
      </c>
      <c r="D297" s="1822"/>
      <c r="E297" s="1822"/>
      <c r="F297" s="1822"/>
      <c r="G297" s="1822"/>
      <c r="H297" s="1822"/>
      <c r="I297" s="1822"/>
      <c r="J297" s="1822"/>
      <c r="K297" s="1822"/>
      <c r="L297" s="551">
        <v>1466490.97</v>
      </c>
      <c r="M297" s="550"/>
      <c r="N297" s="549"/>
      <c r="V297" s="674"/>
      <c r="W297" s="675"/>
      <c r="AC297" s="675"/>
      <c r="AD297" s="675"/>
      <c r="AE297" s="537" t="s">
        <v>407</v>
      </c>
      <c r="AF297" s="675"/>
      <c r="AG297" s="680"/>
    </row>
    <row r="298" spans="1:33" s="536" customFormat="1" ht="12" x14ac:dyDescent="0.2">
      <c r="A298" s="548"/>
      <c r="B298" s="552"/>
      <c r="C298" s="1822" t="s">
        <v>204</v>
      </c>
      <c r="D298" s="1822"/>
      <c r="E298" s="1822"/>
      <c r="F298" s="1822"/>
      <c r="G298" s="1822"/>
      <c r="H298" s="1822"/>
      <c r="I298" s="1822"/>
      <c r="J298" s="1822"/>
      <c r="K298" s="1822"/>
      <c r="L298" s="551"/>
      <c r="M298" s="550"/>
      <c r="N298" s="549"/>
      <c r="V298" s="674"/>
      <c r="W298" s="675"/>
      <c r="AC298" s="675"/>
      <c r="AD298" s="675"/>
      <c r="AE298" s="537" t="s">
        <v>204</v>
      </c>
      <c r="AF298" s="675"/>
      <c r="AG298" s="680"/>
    </row>
    <row r="299" spans="1:33" s="536" customFormat="1" ht="12" x14ac:dyDescent="0.2">
      <c r="A299" s="548"/>
      <c r="B299" s="552"/>
      <c r="C299" s="1822" t="s">
        <v>546</v>
      </c>
      <c r="D299" s="1822"/>
      <c r="E299" s="1822"/>
      <c r="F299" s="1822"/>
      <c r="G299" s="1822"/>
      <c r="H299" s="1822"/>
      <c r="I299" s="1822"/>
      <c r="J299" s="1822"/>
      <c r="K299" s="1822"/>
      <c r="L299" s="551">
        <v>18030.39</v>
      </c>
      <c r="M299" s="550"/>
      <c r="N299" s="549"/>
      <c r="V299" s="674"/>
      <c r="W299" s="675"/>
      <c r="AC299" s="675"/>
      <c r="AD299" s="675"/>
      <c r="AE299" s="537" t="s">
        <v>546</v>
      </c>
      <c r="AF299" s="675"/>
      <c r="AG299" s="680"/>
    </row>
    <row r="300" spans="1:33" s="536" customFormat="1" ht="12" x14ac:dyDescent="0.2">
      <c r="A300" s="548"/>
      <c r="B300" s="552"/>
      <c r="C300" s="1822" t="s">
        <v>442</v>
      </c>
      <c r="D300" s="1822"/>
      <c r="E300" s="1822"/>
      <c r="F300" s="1822"/>
      <c r="G300" s="1822"/>
      <c r="H300" s="1822"/>
      <c r="I300" s="1822"/>
      <c r="J300" s="1822"/>
      <c r="K300" s="1822"/>
      <c r="L300" s="551">
        <v>32301.84</v>
      </c>
      <c r="M300" s="550"/>
      <c r="N300" s="549"/>
      <c r="V300" s="674"/>
      <c r="W300" s="675"/>
      <c r="AC300" s="675"/>
      <c r="AD300" s="675"/>
      <c r="AE300" s="537" t="s">
        <v>442</v>
      </c>
      <c r="AF300" s="675"/>
      <c r="AG300" s="680"/>
    </row>
    <row r="301" spans="1:33" s="536" customFormat="1" ht="12" x14ac:dyDescent="0.2">
      <c r="A301" s="548"/>
      <c r="B301" s="552"/>
      <c r="C301" s="1822" t="s">
        <v>547</v>
      </c>
      <c r="D301" s="1822"/>
      <c r="E301" s="1822"/>
      <c r="F301" s="1822"/>
      <c r="G301" s="1822"/>
      <c r="H301" s="1822"/>
      <c r="I301" s="1822"/>
      <c r="J301" s="1822"/>
      <c r="K301" s="1822"/>
      <c r="L301" s="551">
        <v>1377436.82</v>
      </c>
      <c r="M301" s="550"/>
      <c r="N301" s="549"/>
      <c r="V301" s="674"/>
      <c r="W301" s="675"/>
      <c r="AC301" s="675"/>
      <c r="AD301" s="675"/>
      <c r="AE301" s="537" t="s">
        <v>547</v>
      </c>
      <c r="AF301" s="675"/>
      <c r="AG301" s="680"/>
    </row>
    <row r="302" spans="1:33" s="536" customFormat="1" ht="12" x14ac:dyDescent="0.2">
      <c r="A302" s="548"/>
      <c r="B302" s="552"/>
      <c r="C302" s="1822" t="s">
        <v>443</v>
      </c>
      <c r="D302" s="1822"/>
      <c r="E302" s="1822"/>
      <c r="F302" s="1822"/>
      <c r="G302" s="1822"/>
      <c r="H302" s="1822"/>
      <c r="I302" s="1822"/>
      <c r="J302" s="1822"/>
      <c r="K302" s="1822"/>
      <c r="L302" s="551">
        <v>23635.79</v>
      </c>
      <c r="M302" s="550"/>
      <c r="N302" s="549"/>
      <c r="V302" s="674"/>
      <c r="W302" s="675"/>
      <c r="AC302" s="675"/>
      <c r="AD302" s="675"/>
      <c r="AE302" s="537" t="s">
        <v>443</v>
      </c>
      <c r="AF302" s="675"/>
      <c r="AG302" s="680"/>
    </row>
    <row r="303" spans="1:33" s="536" customFormat="1" ht="12" x14ac:dyDescent="0.2">
      <c r="A303" s="548"/>
      <c r="B303" s="552"/>
      <c r="C303" s="1822" t="s">
        <v>444</v>
      </c>
      <c r="D303" s="1822"/>
      <c r="E303" s="1822"/>
      <c r="F303" s="1822"/>
      <c r="G303" s="1822"/>
      <c r="H303" s="1822"/>
      <c r="I303" s="1822"/>
      <c r="J303" s="1822"/>
      <c r="K303" s="1822"/>
      <c r="L303" s="551">
        <v>15086.13</v>
      </c>
      <c r="M303" s="550"/>
      <c r="N303" s="549"/>
      <c r="V303" s="674"/>
      <c r="W303" s="675"/>
      <c r="AC303" s="675"/>
      <c r="AD303" s="675"/>
      <c r="AE303" s="537" t="s">
        <v>444</v>
      </c>
      <c r="AF303" s="675"/>
      <c r="AG303" s="680"/>
    </row>
    <row r="304" spans="1:33" s="536" customFormat="1" ht="12" x14ac:dyDescent="0.2">
      <c r="A304" s="548"/>
      <c r="B304" s="552"/>
      <c r="C304" s="1822" t="s">
        <v>415</v>
      </c>
      <c r="D304" s="1822"/>
      <c r="E304" s="1822"/>
      <c r="F304" s="1822"/>
      <c r="G304" s="1822"/>
      <c r="H304" s="1822"/>
      <c r="I304" s="1822"/>
      <c r="J304" s="1822"/>
      <c r="K304" s="1822"/>
      <c r="L304" s="551">
        <v>21347.84</v>
      </c>
      <c r="M304" s="550"/>
      <c r="N304" s="549"/>
      <c r="V304" s="674"/>
      <c r="W304" s="675"/>
      <c r="AC304" s="675"/>
      <c r="AD304" s="675"/>
      <c r="AE304" s="537" t="s">
        <v>415</v>
      </c>
      <c r="AF304" s="675"/>
      <c r="AG304" s="680"/>
    </row>
    <row r="305" spans="1:33" s="536" customFormat="1" ht="12" x14ac:dyDescent="0.2">
      <c r="A305" s="548"/>
      <c r="B305" s="552"/>
      <c r="C305" s="1822" t="s">
        <v>416</v>
      </c>
      <c r="D305" s="1822"/>
      <c r="E305" s="1822"/>
      <c r="F305" s="1822"/>
      <c r="G305" s="1822"/>
      <c r="H305" s="1822"/>
      <c r="I305" s="1822"/>
      <c r="J305" s="1822"/>
      <c r="K305" s="1822"/>
      <c r="L305" s="551">
        <v>23635.79</v>
      </c>
      <c r="M305" s="550"/>
      <c r="N305" s="549"/>
      <c r="V305" s="674"/>
      <c r="W305" s="675"/>
      <c r="AC305" s="675"/>
      <c r="AD305" s="675"/>
      <c r="AE305" s="537" t="s">
        <v>416</v>
      </c>
      <c r="AF305" s="675"/>
      <c r="AG305" s="680"/>
    </row>
    <row r="306" spans="1:33" s="536" customFormat="1" ht="12" x14ac:dyDescent="0.2">
      <c r="A306" s="548"/>
      <c r="B306" s="552"/>
      <c r="C306" s="1822" t="s">
        <v>417</v>
      </c>
      <c r="D306" s="1822"/>
      <c r="E306" s="1822"/>
      <c r="F306" s="1822"/>
      <c r="G306" s="1822"/>
      <c r="H306" s="1822"/>
      <c r="I306" s="1822"/>
      <c r="J306" s="1822"/>
      <c r="K306" s="1822"/>
      <c r="L306" s="551">
        <v>15086.13</v>
      </c>
      <c r="M306" s="550"/>
      <c r="N306" s="549"/>
      <c r="V306" s="674"/>
      <c r="W306" s="675"/>
      <c r="AC306" s="675"/>
      <c r="AD306" s="675"/>
      <c r="AE306" s="537" t="s">
        <v>417</v>
      </c>
      <c r="AF306" s="675"/>
      <c r="AG306" s="680"/>
    </row>
    <row r="307" spans="1:33" s="536" customFormat="1" ht="12" x14ac:dyDescent="0.2">
      <c r="A307" s="548"/>
      <c r="B307" s="546"/>
      <c r="C307" s="1819" t="s">
        <v>5300</v>
      </c>
      <c r="D307" s="1819"/>
      <c r="E307" s="1819"/>
      <c r="F307" s="1819"/>
      <c r="G307" s="1819"/>
      <c r="H307" s="1819"/>
      <c r="I307" s="1819"/>
      <c r="J307" s="1819"/>
      <c r="K307" s="1819"/>
      <c r="L307" s="544">
        <v>1466490.97</v>
      </c>
      <c r="M307" s="543"/>
      <c r="N307" s="681"/>
      <c r="V307" s="674"/>
      <c r="W307" s="675"/>
      <c r="AC307" s="675"/>
      <c r="AD307" s="675"/>
      <c r="AF307" s="675" t="s">
        <v>5300</v>
      </c>
      <c r="AG307" s="680"/>
    </row>
    <row r="308" spans="1:33" s="536" customFormat="1" ht="12" x14ac:dyDescent="0.2">
      <c r="A308" s="548"/>
      <c r="B308" s="552"/>
      <c r="C308" s="1822" t="s">
        <v>204</v>
      </c>
      <c r="D308" s="1822"/>
      <c r="E308" s="1822"/>
      <c r="F308" s="1822"/>
      <c r="G308" s="1822"/>
      <c r="H308" s="1822"/>
      <c r="I308" s="1822"/>
      <c r="J308" s="1822"/>
      <c r="K308" s="1822"/>
      <c r="L308" s="551"/>
      <c r="M308" s="550"/>
      <c r="N308" s="549"/>
      <c r="V308" s="674"/>
      <c r="W308" s="675"/>
      <c r="AC308" s="675"/>
      <c r="AD308" s="675"/>
      <c r="AE308" s="537" t="s">
        <v>204</v>
      </c>
      <c r="AF308" s="675"/>
      <c r="AG308" s="680"/>
    </row>
    <row r="309" spans="1:33" s="536" customFormat="1" ht="12" x14ac:dyDescent="0.2">
      <c r="A309" s="548"/>
      <c r="B309" s="552"/>
      <c r="C309" s="1822" t="s">
        <v>8095</v>
      </c>
      <c r="D309" s="1822"/>
      <c r="E309" s="1822"/>
      <c r="F309" s="1822"/>
      <c r="G309" s="1822"/>
      <c r="H309" s="1822"/>
      <c r="I309" s="1822"/>
      <c r="J309" s="1822"/>
      <c r="K309" s="1822"/>
      <c r="L309" s="551">
        <v>1100412.6299999999</v>
      </c>
      <c r="M309" s="550"/>
      <c r="N309" s="549"/>
      <c r="V309" s="674"/>
      <c r="W309" s="675"/>
      <c r="AC309" s="675"/>
      <c r="AD309" s="675"/>
      <c r="AE309" s="537" t="s">
        <v>8095</v>
      </c>
      <c r="AF309" s="675"/>
      <c r="AG309" s="680"/>
    </row>
    <row r="310" spans="1:33" s="536" customFormat="1" ht="12" x14ac:dyDescent="0.2">
      <c r="A310" s="1824" t="s">
        <v>1124</v>
      </c>
      <c r="B310" s="1825"/>
      <c r="C310" s="1825"/>
      <c r="D310" s="1825"/>
      <c r="E310" s="1825"/>
      <c r="F310" s="1825"/>
      <c r="G310" s="1825"/>
      <c r="H310" s="1825"/>
      <c r="I310" s="1825"/>
      <c r="J310" s="1825"/>
      <c r="K310" s="1825"/>
      <c r="L310" s="1825"/>
      <c r="M310" s="1825"/>
      <c r="N310" s="1826"/>
      <c r="V310" s="674" t="s">
        <v>1124</v>
      </c>
      <c r="W310" s="675"/>
      <c r="AC310" s="675"/>
      <c r="AD310" s="675"/>
      <c r="AF310" s="675"/>
      <c r="AG310" s="680"/>
    </row>
    <row r="311" spans="1:33" s="536" customFormat="1" ht="67.5" x14ac:dyDescent="0.2">
      <c r="A311" s="575" t="s">
        <v>326</v>
      </c>
      <c r="B311" s="670" t="s">
        <v>2065</v>
      </c>
      <c r="C311" s="1823" t="s">
        <v>5301</v>
      </c>
      <c r="D311" s="1823"/>
      <c r="E311" s="1823"/>
      <c r="F311" s="573" t="s">
        <v>201</v>
      </c>
      <c r="G311" s="573"/>
      <c r="H311" s="573"/>
      <c r="I311" s="573" t="s">
        <v>3904</v>
      </c>
      <c r="J311" s="572">
        <v>127.09</v>
      </c>
      <c r="K311" s="573"/>
      <c r="L311" s="572">
        <v>15.76</v>
      </c>
      <c r="M311" s="571"/>
      <c r="N311" s="570"/>
      <c r="V311" s="674"/>
      <c r="W311" s="675" t="s">
        <v>5301</v>
      </c>
      <c r="AC311" s="675"/>
      <c r="AD311" s="675"/>
      <c r="AF311" s="675"/>
      <c r="AG311" s="680"/>
    </row>
    <row r="312" spans="1:33" s="536" customFormat="1" ht="12" x14ac:dyDescent="0.2">
      <c r="A312" s="569"/>
      <c r="B312" s="671"/>
      <c r="C312" s="665" t="s">
        <v>209</v>
      </c>
      <c r="D312" s="666"/>
      <c r="E312" s="666"/>
      <c r="F312" s="563"/>
      <c r="G312" s="563"/>
      <c r="H312" s="563"/>
      <c r="I312" s="563"/>
      <c r="J312" s="566"/>
      <c r="K312" s="563"/>
      <c r="L312" s="566"/>
      <c r="M312" s="565"/>
      <c r="N312" s="564"/>
      <c r="V312" s="674"/>
      <c r="W312" s="675"/>
      <c r="AC312" s="675"/>
      <c r="AD312" s="675"/>
      <c r="AF312" s="675"/>
      <c r="AG312" s="680"/>
    </row>
    <row r="313" spans="1:33" s="536" customFormat="1" ht="78.75" x14ac:dyDescent="0.2">
      <c r="A313" s="575" t="s">
        <v>774</v>
      </c>
      <c r="B313" s="670" t="s">
        <v>1338</v>
      </c>
      <c r="C313" s="1823" t="s">
        <v>5302</v>
      </c>
      <c r="D313" s="1823"/>
      <c r="E313" s="1823"/>
      <c r="F313" s="573" t="s">
        <v>201</v>
      </c>
      <c r="G313" s="573"/>
      <c r="H313" s="573"/>
      <c r="I313" s="573" t="s">
        <v>5303</v>
      </c>
      <c r="J313" s="572">
        <v>90.45</v>
      </c>
      <c r="K313" s="573"/>
      <c r="L313" s="572">
        <v>171.86</v>
      </c>
      <c r="M313" s="571"/>
      <c r="N313" s="570"/>
      <c r="V313" s="674"/>
      <c r="W313" s="675" t="s">
        <v>5302</v>
      </c>
      <c r="AC313" s="675"/>
      <c r="AD313" s="675"/>
      <c r="AF313" s="675"/>
      <c r="AG313" s="680"/>
    </row>
    <row r="314" spans="1:33" s="536" customFormat="1" ht="12" x14ac:dyDescent="0.2">
      <c r="A314" s="569"/>
      <c r="B314" s="671"/>
      <c r="C314" s="665" t="s">
        <v>717</v>
      </c>
      <c r="D314" s="666"/>
      <c r="E314" s="666"/>
      <c r="F314" s="563"/>
      <c r="G314" s="563"/>
      <c r="H314" s="563"/>
      <c r="I314" s="563"/>
      <c r="J314" s="566"/>
      <c r="K314" s="563"/>
      <c r="L314" s="566"/>
      <c r="M314" s="565"/>
      <c r="N314" s="564"/>
      <c r="V314" s="674"/>
      <c r="W314" s="675"/>
      <c r="AC314" s="675"/>
      <c r="AD314" s="675"/>
      <c r="AF314" s="675"/>
      <c r="AG314" s="680"/>
    </row>
    <row r="315" spans="1:33" s="536" customFormat="1" ht="12" x14ac:dyDescent="0.2">
      <c r="A315" s="676"/>
      <c r="B315" s="664"/>
      <c r="C315" s="1822" t="s">
        <v>5304</v>
      </c>
      <c r="D315" s="1822"/>
      <c r="E315" s="1822"/>
      <c r="F315" s="1822"/>
      <c r="G315" s="1822"/>
      <c r="H315" s="1822"/>
      <c r="I315" s="1822"/>
      <c r="J315" s="1822"/>
      <c r="K315" s="1822"/>
      <c r="L315" s="1822"/>
      <c r="M315" s="1822"/>
      <c r="N315" s="1827"/>
      <c r="V315" s="674"/>
      <c r="W315" s="675"/>
      <c r="X315" s="537" t="s">
        <v>5304</v>
      </c>
      <c r="AC315" s="675"/>
      <c r="AD315" s="675"/>
      <c r="AF315" s="675"/>
      <c r="AG315" s="680"/>
    </row>
    <row r="316" spans="1:33" s="536" customFormat="1" ht="1.5" customHeight="1" x14ac:dyDescent="0.2">
      <c r="A316" s="563"/>
      <c r="B316" s="671"/>
      <c r="C316" s="671"/>
      <c r="D316" s="671"/>
      <c r="E316" s="671"/>
      <c r="F316" s="563"/>
      <c r="G316" s="563"/>
      <c r="H316" s="563"/>
      <c r="I316" s="563"/>
      <c r="J316" s="546"/>
      <c r="K316" s="563"/>
      <c r="L316" s="546"/>
      <c r="M316" s="562"/>
      <c r="N316" s="546"/>
      <c r="V316" s="674"/>
      <c r="W316" s="675"/>
      <c r="AC316" s="675"/>
      <c r="AD316" s="675"/>
      <c r="AF316" s="675"/>
      <c r="AG316" s="680"/>
    </row>
    <row r="317" spans="1:33" s="536" customFormat="1" ht="22.5" x14ac:dyDescent="0.2">
      <c r="A317" s="557"/>
      <c r="B317" s="556"/>
      <c r="C317" s="1823" t="s">
        <v>1138</v>
      </c>
      <c r="D317" s="1823"/>
      <c r="E317" s="1823"/>
      <c r="F317" s="1823"/>
      <c r="G317" s="1823"/>
      <c r="H317" s="1823"/>
      <c r="I317" s="1823"/>
      <c r="J317" s="1823"/>
      <c r="K317" s="1823"/>
      <c r="L317" s="555"/>
      <c r="M317" s="554"/>
      <c r="N317" s="553"/>
      <c r="V317" s="674"/>
      <c r="W317" s="675"/>
      <c r="AC317" s="675"/>
      <c r="AD317" s="675" t="s">
        <v>1138</v>
      </c>
      <c r="AF317" s="675"/>
      <c r="AG317" s="680"/>
    </row>
    <row r="318" spans="1:33" s="536" customFormat="1" ht="12" x14ac:dyDescent="0.2">
      <c r="A318" s="548"/>
      <c r="B318" s="552"/>
      <c r="C318" s="1822" t="s">
        <v>403</v>
      </c>
      <c r="D318" s="1822"/>
      <c r="E318" s="1822"/>
      <c r="F318" s="1822"/>
      <c r="G318" s="1822"/>
      <c r="H318" s="1822"/>
      <c r="I318" s="1822"/>
      <c r="J318" s="1822"/>
      <c r="K318" s="1822"/>
      <c r="L318" s="551">
        <v>187.62</v>
      </c>
      <c r="M318" s="550"/>
      <c r="N318" s="549"/>
      <c r="V318" s="674"/>
      <c r="W318" s="675"/>
      <c r="AC318" s="675"/>
      <c r="AD318" s="675"/>
      <c r="AE318" s="537" t="s">
        <v>403</v>
      </c>
      <c r="AF318" s="675"/>
      <c r="AG318" s="680"/>
    </row>
    <row r="319" spans="1:33" s="536" customFormat="1" ht="12" x14ac:dyDescent="0.2">
      <c r="A319" s="548"/>
      <c r="B319" s="552"/>
      <c r="C319" s="1822" t="s">
        <v>204</v>
      </c>
      <c r="D319" s="1822"/>
      <c r="E319" s="1822"/>
      <c r="F319" s="1822"/>
      <c r="G319" s="1822"/>
      <c r="H319" s="1822"/>
      <c r="I319" s="1822"/>
      <c r="J319" s="1822"/>
      <c r="K319" s="1822"/>
      <c r="L319" s="551"/>
      <c r="M319" s="550"/>
      <c r="N319" s="549"/>
      <c r="V319" s="674"/>
      <c r="W319" s="675"/>
      <c r="AC319" s="675"/>
      <c r="AD319" s="675"/>
      <c r="AE319" s="537" t="s">
        <v>204</v>
      </c>
      <c r="AF319" s="675"/>
      <c r="AG319" s="680"/>
    </row>
    <row r="320" spans="1:33" s="536" customFormat="1" ht="12" x14ac:dyDescent="0.2">
      <c r="A320" s="548"/>
      <c r="B320" s="552"/>
      <c r="C320" s="1822" t="s">
        <v>480</v>
      </c>
      <c r="D320" s="1822"/>
      <c r="E320" s="1822"/>
      <c r="F320" s="1822"/>
      <c r="G320" s="1822"/>
      <c r="H320" s="1822"/>
      <c r="I320" s="1822"/>
      <c r="J320" s="1822"/>
      <c r="K320" s="1822"/>
      <c r="L320" s="551">
        <v>187.62</v>
      </c>
      <c r="M320" s="550"/>
      <c r="N320" s="549"/>
      <c r="V320" s="674"/>
      <c r="W320" s="675"/>
      <c r="AC320" s="675"/>
      <c r="AD320" s="675"/>
      <c r="AE320" s="537" t="s">
        <v>480</v>
      </c>
      <c r="AF320" s="675"/>
      <c r="AG320" s="680"/>
    </row>
    <row r="321" spans="1:35" s="536" customFormat="1" ht="12" x14ac:dyDescent="0.2">
      <c r="A321" s="548"/>
      <c r="B321" s="552"/>
      <c r="C321" s="1822" t="s">
        <v>407</v>
      </c>
      <c r="D321" s="1822"/>
      <c r="E321" s="1822"/>
      <c r="F321" s="1822"/>
      <c r="G321" s="1822"/>
      <c r="H321" s="1822"/>
      <c r="I321" s="1822"/>
      <c r="J321" s="1822"/>
      <c r="K321" s="1822"/>
      <c r="L321" s="551">
        <v>187.62</v>
      </c>
      <c r="M321" s="550"/>
      <c r="N321" s="549"/>
      <c r="V321" s="674"/>
      <c r="W321" s="675"/>
      <c r="AC321" s="675"/>
      <c r="AD321" s="675"/>
      <c r="AE321" s="537" t="s">
        <v>407</v>
      </c>
      <c r="AF321" s="675"/>
      <c r="AG321" s="680"/>
    </row>
    <row r="322" spans="1:35" s="536" customFormat="1" ht="12" x14ac:dyDescent="0.2">
      <c r="A322" s="548"/>
      <c r="B322" s="552"/>
      <c r="C322" s="1822" t="s">
        <v>204</v>
      </c>
      <c r="D322" s="1822"/>
      <c r="E322" s="1822"/>
      <c r="F322" s="1822"/>
      <c r="G322" s="1822"/>
      <c r="H322" s="1822"/>
      <c r="I322" s="1822"/>
      <c r="J322" s="1822"/>
      <c r="K322" s="1822"/>
      <c r="L322" s="551"/>
      <c r="M322" s="550"/>
      <c r="N322" s="549"/>
      <c r="V322" s="674"/>
      <c r="W322" s="675"/>
      <c r="AC322" s="675"/>
      <c r="AD322" s="675"/>
      <c r="AE322" s="537" t="s">
        <v>204</v>
      </c>
      <c r="AF322" s="675"/>
      <c r="AG322" s="680"/>
    </row>
    <row r="323" spans="1:35" s="536" customFormat="1" ht="12" x14ac:dyDescent="0.2">
      <c r="A323" s="548"/>
      <c r="B323" s="552"/>
      <c r="C323" s="1822" t="s">
        <v>547</v>
      </c>
      <c r="D323" s="1822"/>
      <c r="E323" s="1822"/>
      <c r="F323" s="1822"/>
      <c r="G323" s="1822"/>
      <c r="H323" s="1822"/>
      <c r="I323" s="1822"/>
      <c r="J323" s="1822"/>
      <c r="K323" s="1822"/>
      <c r="L323" s="551">
        <v>187.62</v>
      </c>
      <c r="M323" s="550"/>
      <c r="N323" s="549"/>
      <c r="V323" s="674"/>
      <c r="W323" s="675"/>
      <c r="AC323" s="675"/>
      <c r="AD323" s="675"/>
      <c r="AE323" s="537" t="s">
        <v>547</v>
      </c>
      <c r="AF323" s="675"/>
      <c r="AG323" s="680"/>
    </row>
    <row r="324" spans="1:35" s="536" customFormat="1" ht="22.5" x14ac:dyDescent="0.2">
      <c r="A324" s="548"/>
      <c r="B324" s="546"/>
      <c r="C324" s="1819" t="s">
        <v>1139</v>
      </c>
      <c r="D324" s="1819"/>
      <c r="E324" s="1819"/>
      <c r="F324" s="1819"/>
      <c r="G324" s="1819"/>
      <c r="H324" s="1819"/>
      <c r="I324" s="1819"/>
      <c r="J324" s="1819"/>
      <c r="K324" s="1819"/>
      <c r="L324" s="544">
        <v>187.62</v>
      </c>
      <c r="M324" s="543"/>
      <c r="N324" s="681"/>
      <c r="V324" s="674"/>
      <c r="W324" s="675"/>
      <c r="AC324" s="675"/>
      <c r="AD324" s="675"/>
      <c r="AF324" s="675" t="s">
        <v>1139</v>
      </c>
      <c r="AG324" s="680"/>
    </row>
    <row r="325" spans="1:35" s="536" customFormat="1" ht="2.25" customHeight="1" x14ac:dyDescent="0.2">
      <c r="B325" s="561"/>
      <c r="C325" s="561"/>
      <c r="D325" s="561"/>
      <c r="E325" s="561"/>
      <c r="F325" s="561"/>
      <c r="G325" s="561"/>
      <c r="H325" s="561"/>
      <c r="I325" s="561"/>
      <c r="J325" s="561"/>
      <c r="K325" s="561"/>
      <c r="L325" s="560"/>
      <c r="M325" s="559"/>
      <c r="N325" s="558"/>
    </row>
    <row r="326" spans="1:35" s="536" customFormat="1" x14ac:dyDescent="0.2">
      <c r="A326" s="557"/>
      <c r="B326" s="556"/>
      <c r="C326" s="1823" t="s">
        <v>205</v>
      </c>
      <c r="D326" s="1823"/>
      <c r="E326" s="1823"/>
      <c r="F326" s="1823"/>
      <c r="G326" s="1823"/>
      <c r="H326" s="1823"/>
      <c r="I326" s="1823"/>
      <c r="J326" s="1823"/>
      <c r="K326" s="1823"/>
      <c r="L326" s="555"/>
      <c r="M326" s="554"/>
      <c r="N326" s="553"/>
      <c r="AH326" s="675" t="s">
        <v>205</v>
      </c>
    </row>
    <row r="327" spans="1:35" s="536" customFormat="1" x14ac:dyDescent="0.2">
      <c r="A327" s="548"/>
      <c r="B327" s="552"/>
      <c r="C327" s="1822" t="s">
        <v>403</v>
      </c>
      <c r="D327" s="1822"/>
      <c r="E327" s="1822"/>
      <c r="F327" s="1822"/>
      <c r="G327" s="1822"/>
      <c r="H327" s="1822"/>
      <c r="I327" s="1822"/>
      <c r="J327" s="1822"/>
      <c r="K327" s="1822"/>
      <c r="L327" s="551">
        <v>1435741.49</v>
      </c>
      <c r="M327" s="550"/>
      <c r="N327" s="549"/>
      <c r="AH327" s="675"/>
      <c r="AI327" s="537" t="s">
        <v>403</v>
      </c>
    </row>
    <row r="328" spans="1:35" s="536" customFormat="1" x14ac:dyDescent="0.2">
      <c r="A328" s="548"/>
      <c r="B328" s="552"/>
      <c r="C328" s="1822" t="s">
        <v>204</v>
      </c>
      <c r="D328" s="1822"/>
      <c r="E328" s="1822"/>
      <c r="F328" s="1822"/>
      <c r="G328" s="1822"/>
      <c r="H328" s="1822"/>
      <c r="I328" s="1822"/>
      <c r="J328" s="1822"/>
      <c r="K328" s="1822"/>
      <c r="L328" s="551"/>
      <c r="M328" s="550"/>
      <c r="N328" s="549"/>
      <c r="AH328" s="675"/>
      <c r="AI328" s="537" t="s">
        <v>204</v>
      </c>
    </row>
    <row r="329" spans="1:35" s="536" customFormat="1" x14ac:dyDescent="0.2">
      <c r="A329" s="548"/>
      <c r="B329" s="552"/>
      <c r="C329" s="1822" t="s">
        <v>404</v>
      </c>
      <c r="D329" s="1822"/>
      <c r="E329" s="1822"/>
      <c r="F329" s="1822"/>
      <c r="G329" s="1822"/>
      <c r="H329" s="1822"/>
      <c r="I329" s="1822"/>
      <c r="J329" s="1822"/>
      <c r="K329" s="1822"/>
      <c r="L329" s="551">
        <v>18833.62</v>
      </c>
      <c r="M329" s="550"/>
      <c r="N329" s="549"/>
      <c r="AH329" s="675"/>
      <c r="AI329" s="537" t="s">
        <v>404</v>
      </c>
    </row>
    <row r="330" spans="1:35" s="536" customFormat="1" x14ac:dyDescent="0.2">
      <c r="A330" s="548"/>
      <c r="B330" s="552"/>
      <c r="C330" s="1822" t="s">
        <v>405</v>
      </c>
      <c r="D330" s="1822"/>
      <c r="E330" s="1822"/>
      <c r="F330" s="1822"/>
      <c r="G330" s="1822"/>
      <c r="H330" s="1822"/>
      <c r="I330" s="1822"/>
      <c r="J330" s="1822"/>
      <c r="K330" s="1822"/>
      <c r="L330" s="551">
        <v>39283.43</v>
      </c>
      <c r="M330" s="550"/>
      <c r="N330" s="549"/>
      <c r="AH330" s="675"/>
      <c r="AI330" s="537" t="s">
        <v>405</v>
      </c>
    </row>
    <row r="331" spans="1:35" s="536" customFormat="1" x14ac:dyDescent="0.2">
      <c r="A331" s="548"/>
      <c r="B331" s="552"/>
      <c r="C331" s="1822" t="s">
        <v>406</v>
      </c>
      <c r="D331" s="1822"/>
      <c r="E331" s="1822"/>
      <c r="F331" s="1822"/>
      <c r="G331" s="1822"/>
      <c r="H331" s="1822"/>
      <c r="I331" s="1822"/>
      <c r="J331" s="1822"/>
      <c r="K331" s="1822"/>
      <c r="L331" s="551">
        <v>3822.65</v>
      </c>
      <c r="M331" s="550"/>
      <c r="N331" s="549"/>
      <c r="AH331" s="675"/>
      <c r="AI331" s="537" t="s">
        <v>406</v>
      </c>
    </row>
    <row r="332" spans="1:35" s="536" customFormat="1" x14ac:dyDescent="0.2">
      <c r="A332" s="548"/>
      <c r="B332" s="552"/>
      <c r="C332" s="1822" t="s">
        <v>480</v>
      </c>
      <c r="D332" s="1822"/>
      <c r="E332" s="1822"/>
      <c r="F332" s="1822"/>
      <c r="G332" s="1822"/>
      <c r="H332" s="1822"/>
      <c r="I332" s="1822"/>
      <c r="J332" s="1822"/>
      <c r="K332" s="1822"/>
      <c r="L332" s="551">
        <v>1377624.44</v>
      </c>
      <c r="M332" s="550"/>
      <c r="N332" s="549"/>
      <c r="AH332" s="675"/>
      <c r="AI332" s="537" t="s">
        <v>480</v>
      </c>
    </row>
    <row r="333" spans="1:35" s="536" customFormat="1" x14ac:dyDescent="0.2">
      <c r="A333" s="548"/>
      <c r="B333" s="552"/>
      <c r="C333" s="1822" t="s">
        <v>407</v>
      </c>
      <c r="D333" s="1822"/>
      <c r="E333" s="1822"/>
      <c r="F333" s="1822"/>
      <c r="G333" s="1822"/>
      <c r="H333" s="1822"/>
      <c r="I333" s="1822"/>
      <c r="J333" s="1822"/>
      <c r="K333" s="1822"/>
      <c r="L333" s="551">
        <v>1476210.41</v>
      </c>
      <c r="M333" s="550"/>
      <c r="N333" s="549">
        <v>12282070</v>
      </c>
      <c r="AH333" s="675"/>
      <c r="AI333" s="537" t="s">
        <v>407</v>
      </c>
    </row>
    <row r="334" spans="1:35" s="536" customFormat="1" x14ac:dyDescent="0.2">
      <c r="A334" s="548"/>
      <c r="B334" s="552" t="s">
        <v>185</v>
      </c>
      <c r="C334" s="1822" t="s">
        <v>408</v>
      </c>
      <c r="D334" s="1822"/>
      <c r="E334" s="1822"/>
      <c r="F334" s="1822"/>
      <c r="G334" s="1822"/>
      <c r="H334" s="1822"/>
      <c r="I334" s="1822"/>
      <c r="J334" s="1822"/>
      <c r="K334" s="1822"/>
      <c r="L334" s="551">
        <v>1473566.01</v>
      </c>
      <c r="M334" s="550">
        <v>8.32</v>
      </c>
      <c r="N334" s="549">
        <v>12260069</v>
      </c>
      <c r="AH334" s="675"/>
      <c r="AI334" s="537" t="s">
        <v>408</v>
      </c>
    </row>
    <row r="335" spans="1:35" s="536" customFormat="1" x14ac:dyDescent="0.2">
      <c r="A335" s="548"/>
      <c r="B335" s="552"/>
      <c r="C335" s="1822" t="s">
        <v>409</v>
      </c>
      <c r="D335" s="1822"/>
      <c r="E335" s="1822"/>
      <c r="F335" s="1822"/>
      <c r="G335" s="1822"/>
      <c r="H335" s="1822"/>
      <c r="I335" s="1822"/>
      <c r="J335" s="1822"/>
      <c r="K335" s="1822"/>
      <c r="L335" s="551"/>
      <c r="M335" s="550"/>
      <c r="N335" s="549"/>
      <c r="AH335" s="675"/>
      <c r="AI335" s="537" t="s">
        <v>409</v>
      </c>
    </row>
    <row r="336" spans="1:35" s="536" customFormat="1" x14ac:dyDescent="0.2">
      <c r="A336" s="548"/>
      <c r="B336" s="552"/>
      <c r="C336" s="1822" t="s">
        <v>410</v>
      </c>
      <c r="D336" s="1822"/>
      <c r="E336" s="1822"/>
      <c r="F336" s="1822"/>
      <c r="G336" s="1822"/>
      <c r="H336" s="1822"/>
      <c r="I336" s="1822"/>
      <c r="J336" s="1822"/>
      <c r="K336" s="1822"/>
      <c r="L336" s="551">
        <v>18833.62</v>
      </c>
      <c r="M336" s="550"/>
      <c r="N336" s="549"/>
      <c r="AH336" s="675"/>
      <c r="AI336" s="537" t="s">
        <v>410</v>
      </c>
    </row>
    <row r="337" spans="1:36" x14ac:dyDescent="0.2">
      <c r="A337" s="548"/>
      <c r="B337" s="552"/>
      <c r="C337" s="1822" t="s">
        <v>411</v>
      </c>
      <c r="D337" s="1822"/>
      <c r="E337" s="1822"/>
      <c r="F337" s="1822"/>
      <c r="G337" s="1822"/>
      <c r="H337" s="1822"/>
      <c r="I337" s="1822"/>
      <c r="J337" s="1822"/>
      <c r="K337" s="1822"/>
      <c r="L337" s="551">
        <v>36639.03</v>
      </c>
      <c r="M337" s="550"/>
      <c r="N337" s="549"/>
      <c r="P337" s="536"/>
      <c r="Q337" s="536"/>
      <c r="R337" s="536"/>
      <c r="S337" s="536"/>
      <c r="T337" s="536"/>
      <c r="U337" s="536"/>
      <c r="V337" s="536"/>
      <c r="W337" s="536"/>
      <c r="X337" s="536"/>
      <c r="Y337" s="536"/>
      <c r="Z337" s="536"/>
      <c r="AA337" s="536"/>
      <c r="AB337" s="536"/>
      <c r="AC337" s="536"/>
      <c r="AD337" s="536"/>
      <c r="AE337" s="536"/>
      <c r="AF337" s="536"/>
      <c r="AG337" s="536"/>
      <c r="AH337" s="675"/>
      <c r="AI337" s="537" t="s">
        <v>411</v>
      </c>
      <c r="AJ337" s="536"/>
    </row>
    <row r="338" spans="1:36" x14ac:dyDescent="0.2">
      <c r="A338" s="548"/>
      <c r="B338" s="552"/>
      <c r="C338" s="1822" t="s">
        <v>481</v>
      </c>
      <c r="D338" s="1822"/>
      <c r="E338" s="1822"/>
      <c r="F338" s="1822"/>
      <c r="G338" s="1822"/>
      <c r="H338" s="1822"/>
      <c r="I338" s="1822"/>
      <c r="J338" s="1822"/>
      <c r="K338" s="1822"/>
      <c r="L338" s="551">
        <v>1377624.44</v>
      </c>
      <c r="M338" s="550"/>
      <c r="N338" s="549"/>
      <c r="P338" s="536"/>
      <c r="Q338" s="536"/>
      <c r="R338" s="536"/>
      <c r="S338" s="536"/>
      <c r="T338" s="536"/>
      <c r="U338" s="536"/>
      <c r="V338" s="536"/>
      <c r="W338" s="536"/>
      <c r="X338" s="536"/>
      <c r="Y338" s="536"/>
      <c r="Z338" s="536"/>
      <c r="AA338" s="536"/>
      <c r="AB338" s="536"/>
      <c r="AC338" s="536"/>
      <c r="AD338" s="536"/>
      <c r="AE338" s="536"/>
      <c r="AF338" s="536"/>
      <c r="AG338" s="536"/>
      <c r="AH338" s="675"/>
      <c r="AI338" s="537" t="s">
        <v>481</v>
      </c>
      <c r="AJ338" s="536"/>
    </row>
    <row r="339" spans="1:36" x14ac:dyDescent="0.2">
      <c r="A339" s="548"/>
      <c r="B339" s="552"/>
      <c r="C339" s="1822" t="s">
        <v>412</v>
      </c>
      <c r="D339" s="1822"/>
      <c r="E339" s="1822"/>
      <c r="F339" s="1822"/>
      <c r="G339" s="1822"/>
      <c r="H339" s="1822"/>
      <c r="I339" s="1822"/>
      <c r="J339" s="1822"/>
      <c r="K339" s="1822"/>
      <c r="L339" s="551">
        <v>24820</v>
      </c>
      <c r="M339" s="550"/>
      <c r="N339" s="549"/>
      <c r="P339" s="536"/>
      <c r="Q339" s="536"/>
      <c r="R339" s="536"/>
      <c r="S339" s="536"/>
      <c r="T339" s="536"/>
      <c r="U339" s="536"/>
      <c r="V339" s="536"/>
      <c r="W339" s="536"/>
      <c r="X339" s="536"/>
      <c r="Y339" s="536"/>
      <c r="Z339" s="536"/>
      <c r="AA339" s="536"/>
      <c r="AB339" s="536"/>
      <c r="AC339" s="536"/>
      <c r="AD339" s="536"/>
      <c r="AE339" s="536"/>
      <c r="AF339" s="536"/>
      <c r="AG339" s="536"/>
      <c r="AH339" s="675"/>
      <c r="AI339" s="537" t="s">
        <v>412</v>
      </c>
      <c r="AJ339" s="536"/>
    </row>
    <row r="340" spans="1:36" x14ac:dyDescent="0.2">
      <c r="A340" s="548"/>
      <c r="B340" s="552"/>
      <c r="C340" s="1822" t="s">
        <v>413</v>
      </c>
      <c r="D340" s="1822"/>
      <c r="E340" s="1822"/>
      <c r="F340" s="1822"/>
      <c r="G340" s="1822"/>
      <c r="H340" s="1822"/>
      <c r="I340" s="1822"/>
      <c r="J340" s="1822"/>
      <c r="K340" s="1822"/>
      <c r="L340" s="551">
        <v>15648.92</v>
      </c>
      <c r="M340" s="550"/>
      <c r="N340" s="549"/>
      <c r="P340" s="536"/>
      <c r="Q340" s="536"/>
      <c r="R340" s="536"/>
      <c r="S340" s="536"/>
      <c r="T340" s="536"/>
      <c r="U340" s="536"/>
      <c r="V340" s="536"/>
      <c r="W340" s="536"/>
      <c r="X340" s="536"/>
      <c r="Y340" s="536"/>
      <c r="Z340" s="536"/>
      <c r="AA340" s="536"/>
      <c r="AB340" s="536"/>
      <c r="AC340" s="536"/>
      <c r="AD340" s="536"/>
      <c r="AE340" s="536"/>
      <c r="AF340" s="536"/>
      <c r="AG340" s="536"/>
      <c r="AH340" s="675"/>
      <c r="AI340" s="537" t="s">
        <v>413</v>
      </c>
      <c r="AJ340" s="536"/>
    </row>
    <row r="341" spans="1:36" x14ac:dyDescent="0.2">
      <c r="A341" s="548"/>
      <c r="B341" s="552" t="s">
        <v>185</v>
      </c>
      <c r="C341" s="1822" t="s">
        <v>414</v>
      </c>
      <c r="D341" s="1822"/>
      <c r="E341" s="1822"/>
      <c r="F341" s="1822"/>
      <c r="G341" s="1822"/>
      <c r="H341" s="1822"/>
      <c r="I341" s="1822"/>
      <c r="J341" s="1822"/>
      <c r="K341" s="1822"/>
      <c r="L341" s="551">
        <v>2644.4</v>
      </c>
      <c r="M341" s="550">
        <v>8.32</v>
      </c>
      <c r="N341" s="549">
        <v>22001</v>
      </c>
      <c r="P341" s="536"/>
      <c r="Q341" s="536"/>
      <c r="R341" s="536"/>
      <c r="S341" s="536"/>
      <c r="T341" s="536"/>
      <c r="U341" s="536"/>
      <c r="V341" s="536"/>
      <c r="W341" s="536"/>
      <c r="X341" s="536"/>
      <c r="Y341" s="536"/>
      <c r="Z341" s="536"/>
      <c r="AA341" s="536"/>
      <c r="AB341" s="536"/>
      <c r="AC341" s="536"/>
      <c r="AD341" s="536"/>
      <c r="AE341" s="536"/>
      <c r="AF341" s="536"/>
      <c r="AG341" s="536"/>
      <c r="AH341" s="675"/>
      <c r="AI341" s="537" t="s">
        <v>414</v>
      </c>
      <c r="AJ341" s="536"/>
    </row>
    <row r="342" spans="1:36" x14ac:dyDescent="0.2">
      <c r="A342" s="548"/>
      <c r="B342" s="552"/>
      <c r="C342" s="1822" t="s">
        <v>415</v>
      </c>
      <c r="D342" s="1822"/>
      <c r="E342" s="1822"/>
      <c r="F342" s="1822"/>
      <c r="G342" s="1822"/>
      <c r="H342" s="1822"/>
      <c r="I342" s="1822"/>
      <c r="J342" s="1822"/>
      <c r="K342" s="1822"/>
      <c r="L342" s="551">
        <v>22656.27</v>
      </c>
      <c r="M342" s="550"/>
      <c r="N342" s="549"/>
      <c r="P342" s="536"/>
      <c r="Q342" s="536"/>
      <c r="R342" s="536"/>
      <c r="S342" s="536"/>
      <c r="T342" s="536"/>
      <c r="U342" s="536"/>
      <c r="V342" s="536"/>
      <c r="W342" s="536"/>
      <c r="X342" s="536"/>
      <c r="Y342" s="536"/>
      <c r="Z342" s="536"/>
      <c r="AA342" s="536"/>
      <c r="AB342" s="536"/>
      <c r="AC342" s="536"/>
      <c r="AD342" s="536"/>
      <c r="AE342" s="536"/>
      <c r="AF342" s="536"/>
      <c r="AG342" s="536"/>
      <c r="AH342" s="675"/>
      <c r="AI342" s="537" t="s">
        <v>415</v>
      </c>
      <c r="AJ342" s="536"/>
    </row>
    <row r="343" spans="1:36" x14ac:dyDescent="0.2">
      <c r="A343" s="548"/>
      <c r="B343" s="552"/>
      <c r="C343" s="1822" t="s">
        <v>416</v>
      </c>
      <c r="D343" s="1822"/>
      <c r="E343" s="1822"/>
      <c r="F343" s="1822"/>
      <c r="G343" s="1822"/>
      <c r="H343" s="1822"/>
      <c r="I343" s="1822"/>
      <c r="J343" s="1822"/>
      <c r="K343" s="1822"/>
      <c r="L343" s="551">
        <v>24820</v>
      </c>
      <c r="M343" s="550"/>
      <c r="N343" s="549"/>
      <c r="P343" s="536"/>
      <c r="Q343" s="536"/>
      <c r="R343" s="536"/>
      <c r="S343" s="536"/>
      <c r="T343" s="536"/>
      <c r="U343" s="536"/>
      <c r="V343" s="536"/>
      <c r="W343" s="536"/>
      <c r="X343" s="536"/>
      <c r="Y343" s="536"/>
      <c r="Z343" s="536"/>
      <c r="AA343" s="536"/>
      <c r="AB343" s="536"/>
      <c r="AC343" s="536"/>
      <c r="AD343" s="536"/>
      <c r="AE343" s="536"/>
      <c r="AF343" s="536"/>
      <c r="AG343" s="536"/>
      <c r="AH343" s="675"/>
      <c r="AI343" s="537" t="s">
        <v>416</v>
      </c>
      <c r="AJ343" s="536"/>
    </row>
    <row r="344" spans="1:36" x14ac:dyDescent="0.2">
      <c r="A344" s="548"/>
      <c r="B344" s="552"/>
      <c r="C344" s="1822" t="s">
        <v>417</v>
      </c>
      <c r="D344" s="1822"/>
      <c r="E344" s="1822"/>
      <c r="F344" s="1822"/>
      <c r="G344" s="1822"/>
      <c r="H344" s="1822"/>
      <c r="I344" s="1822"/>
      <c r="J344" s="1822"/>
      <c r="K344" s="1822"/>
      <c r="L344" s="551">
        <v>15648.92</v>
      </c>
      <c r="M344" s="550"/>
      <c r="N344" s="549"/>
      <c r="P344" s="536"/>
      <c r="Q344" s="536"/>
      <c r="R344" s="536"/>
      <c r="S344" s="536"/>
      <c r="T344" s="536"/>
      <c r="U344" s="536"/>
      <c r="V344" s="536"/>
      <c r="W344" s="536"/>
      <c r="X344" s="536"/>
      <c r="Y344" s="536"/>
      <c r="Z344" s="536"/>
      <c r="AA344" s="536"/>
      <c r="AB344" s="536"/>
      <c r="AC344" s="536"/>
      <c r="AD344" s="536"/>
      <c r="AE344" s="536"/>
      <c r="AF344" s="536"/>
      <c r="AG344" s="536"/>
      <c r="AH344" s="675"/>
      <c r="AI344" s="537" t="s">
        <v>417</v>
      </c>
      <c r="AJ344" s="536"/>
    </row>
    <row r="345" spans="1:36" x14ac:dyDescent="0.2">
      <c r="A345" s="548"/>
      <c r="B345" s="546"/>
      <c r="C345" s="1819" t="s">
        <v>206</v>
      </c>
      <c r="D345" s="1819"/>
      <c r="E345" s="1819"/>
      <c r="F345" s="1819"/>
      <c r="G345" s="1819"/>
      <c r="H345" s="1819"/>
      <c r="I345" s="1819"/>
      <c r="J345" s="1819"/>
      <c r="K345" s="1819"/>
      <c r="L345" s="544">
        <v>1476210.41</v>
      </c>
      <c r="M345" s="543"/>
      <c r="N345" s="547">
        <v>12282070</v>
      </c>
      <c r="P345" s="536"/>
      <c r="Q345" s="536"/>
      <c r="R345" s="536"/>
      <c r="S345" s="536"/>
      <c r="T345" s="536"/>
      <c r="U345" s="536"/>
      <c r="V345" s="536"/>
      <c r="W345" s="536"/>
      <c r="X345" s="536"/>
      <c r="Y345" s="536"/>
      <c r="Z345" s="536"/>
      <c r="AA345" s="536"/>
      <c r="AB345" s="536"/>
      <c r="AC345" s="536"/>
      <c r="AD345" s="536"/>
      <c r="AE345" s="536"/>
      <c r="AF345" s="536"/>
      <c r="AG345" s="536"/>
      <c r="AH345" s="675"/>
      <c r="AI345" s="536"/>
      <c r="AJ345" s="675" t="s">
        <v>206</v>
      </c>
    </row>
    <row r="346" spans="1:36" x14ac:dyDescent="0.2">
      <c r="A346" s="548"/>
      <c r="B346" s="552"/>
      <c r="C346" s="1822" t="s">
        <v>204</v>
      </c>
      <c r="D346" s="1822"/>
      <c r="E346" s="1822"/>
      <c r="F346" s="1822"/>
      <c r="G346" s="1822"/>
      <c r="H346" s="1822"/>
      <c r="I346" s="1822"/>
      <c r="J346" s="1822"/>
      <c r="K346" s="1822"/>
      <c r="L346" s="551"/>
      <c r="M346" s="550"/>
      <c r="N346" s="549"/>
      <c r="P346" s="536"/>
      <c r="Q346" s="536"/>
      <c r="R346" s="536"/>
      <c r="S346" s="536"/>
      <c r="T346" s="536"/>
      <c r="U346" s="536"/>
      <c r="V346" s="536"/>
      <c r="W346" s="536"/>
      <c r="X346" s="536"/>
      <c r="Y346" s="536"/>
      <c r="Z346" s="536"/>
      <c r="AA346" s="536"/>
      <c r="AB346" s="536"/>
      <c r="AC346" s="536"/>
      <c r="AD346" s="536"/>
      <c r="AE346" s="536"/>
      <c r="AF346" s="536"/>
      <c r="AG346" s="536"/>
      <c r="AH346" s="675"/>
      <c r="AI346" s="537" t="s">
        <v>204</v>
      </c>
      <c r="AJ346" s="675"/>
    </row>
    <row r="347" spans="1:36" x14ac:dyDescent="0.2">
      <c r="A347" s="548"/>
      <c r="B347" s="552"/>
      <c r="C347" s="1822" t="s">
        <v>8095</v>
      </c>
      <c r="D347" s="1822"/>
      <c r="E347" s="1822"/>
      <c r="F347" s="1822"/>
      <c r="G347" s="1822"/>
      <c r="H347" s="1822"/>
      <c r="I347" s="1822"/>
      <c r="J347" s="1822"/>
      <c r="K347" s="1822"/>
      <c r="L347" s="551">
        <v>1100412.6299999999</v>
      </c>
      <c r="M347" s="550"/>
      <c r="N347" s="549">
        <v>9155433</v>
      </c>
      <c r="P347" s="536"/>
      <c r="Q347" s="536"/>
      <c r="R347" s="536"/>
      <c r="S347" s="536"/>
      <c r="T347" s="536"/>
      <c r="U347" s="536"/>
      <c r="V347" s="536"/>
      <c r="W347" s="536"/>
      <c r="X347" s="536"/>
      <c r="Y347" s="536"/>
      <c r="Z347" s="536"/>
      <c r="AA347" s="536"/>
      <c r="AB347" s="536"/>
      <c r="AC347" s="536"/>
      <c r="AD347" s="536"/>
      <c r="AE347" s="536"/>
      <c r="AF347" s="536"/>
      <c r="AG347" s="536"/>
      <c r="AH347" s="675"/>
      <c r="AI347" s="537" t="s">
        <v>8095</v>
      </c>
      <c r="AJ347" s="675"/>
    </row>
    <row r="348" spans="1:36" ht="1.5" customHeight="1" x14ac:dyDescent="0.2">
      <c r="B348" s="546"/>
      <c r="C348" s="671"/>
      <c r="D348" s="671"/>
      <c r="E348" s="671"/>
      <c r="F348" s="671"/>
      <c r="G348" s="671"/>
      <c r="H348" s="671"/>
      <c r="I348" s="671"/>
      <c r="J348" s="671"/>
      <c r="K348" s="671"/>
      <c r="L348" s="544"/>
      <c r="M348" s="543"/>
      <c r="N348" s="542"/>
      <c r="P348" s="536"/>
      <c r="Q348" s="536"/>
      <c r="R348" s="536"/>
      <c r="S348" s="536"/>
      <c r="T348" s="536"/>
      <c r="U348" s="536"/>
      <c r="V348" s="536"/>
      <c r="W348" s="536"/>
      <c r="X348" s="536"/>
      <c r="Y348" s="536"/>
      <c r="Z348" s="536"/>
      <c r="AA348" s="536"/>
      <c r="AB348" s="536"/>
      <c r="AC348" s="536"/>
      <c r="AD348" s="536"/>
      <c r="AE348" s="536"/>
      <c r="AF348" s="536"/>
      <c r="AG348" s="536"/>
      <c r="AH348" s="536"/>
      <c r="AI348" s="536"/>
      <c r="AJ348" s="536"/>
    </row>
    <row r="349" spans="1:36" ht="53.25" customHeight="1" x14ac:dyDescent="0.2">
      <c r="A349" s="541"/>
      <c r="B349" s="541"/>
      <c r="C349" s="541"/>
      <c r="D349" s="541"/>
      <c r="E349" s="541"/>
      <c r="F349" s="541"/>
      <c r="G349" s="541"/>
      <c r="H349" s="541"/>
      <c r="I349" s="541"/>
      <c r="J349" s="541"/>
      <c r="K349" s="541"/>
      <c r="L349" s="541"/>
      <c r="M349" s="541"/>
      <c r="N349" s="541"/>
      <c r="P349" s="536"/>
      <c r="Q349" s="536"/>
      <c r="R349" s="536"/>
      <c r="S349" s="536"/>
      <c r="T349" s="536"/>
      <c r="U349" s="536"/>
      <c r="V349" s="536"/>
      <c r="W349" s="536"/>
      <c r="X349" s="536"/>
      <c r="Y349" s="536"/>
      <c r="Z349" s="536"/>
      <c r="AA349" s="536"/>
      <c r="AB349" s="536"/>
      <c r="AC349" s="536"/>
      <c r="AD349" s="536"/>
      <c r="AE349" s="536"/>
      <c r="AF349" s="536"/>
      <c r="AG349" s="536"/>
      <c r="AH349" s="536"/>
      <c r="AI349" s="536"/>
      <c r="AJ349" s="536"/>
    </row>
    <row r="350" spans="1:36" x14ac:dyDescent="0.2">
      <c r="B350" s="539" t="s">
        <v>149</v>
      </c>
      <c r="C350" s="1820" t="s">
        <v>8555</v>
      </c>
      <c r="D350" s="1820"/>
      <c r="E350" s="1820"/>
      <c r="F350" s="1820"/>
      <c r="G350" s="1820"/>
      <c r="H350" s="1820"/>
      <c r="I350" s="1820"/>
      <c r="J350" s="1820"/>
      <c r="K350" s="1820"/>
      <c r="L350" s="1820"/>
    </row>
    <row r="351" spans="1:36" ht="13.5" customHeight="1" x14ac:dyDescent="0.2">
      <c r="B351" s="540"/>
      <c r="C351" s="1821" t="s">
        <v>150</v>
      </c>
      <c r="D351" s="1821"/>
      <c r="E351" s="1821"/>
      <c r="F351" s="1821"/>
      <c r="G351" s="1821"/>
      <c r="H351" s="1821"/>
      <c r="I351" s="1821"/>
      <c r="J351" s="1821"/>
      <c r="K351" s="1821"/>
      <c r="L351" s="1821"/>
    </row>
    <row r="352" spans="1:36" ht="12.75" customHeight="1" x14ac:dyDescent="0.2">
      <c r="B352" s="539" t="s">
        <v>151</v>
      </c>
      <c r="C352" s="1820" t="s">
        <v>8566</v>
      </c>
      <c r="D352" s="1820"/>
      <c r="E352" s="1820"/>
      <c r="F352" s="1820"/>
      <c r="G352" s="1820"/>
      <c r="H352" s="1820"/>
      <c r="I352" s="1820"/>
      <c r="J352" s="1820"/>
      <c r="K352" s="1820"/>
      <c r="L352" s="1820"/>
    </row>
    <row r="353" spans="2:36" ht="13.5" customHeight="1" x14ac:dyDescent="0.2">
      <c r="C353" s="1821" t="s">
        <v>150</v>
      </c>
      <c r="D353" s="1821"/>
      <c r="E353" s="1821"/>
      <c r="F353" s="1821"/>
      <c r="G353" s="1821"/>
      <c r="H353" s="1821"/>
      <c r="I353" s="1821"/>
      <c r="J353" s="1821"/>
      <c r="K353" s="1821"/>
      <c r="L353" s="1821"/>
    </row>
    <row r="355" spans="2:36" x14ac:dyDescent="0.2">
      <c r="B355" s="538"/>
      <c r="D355" s="538"/>
      <c r="F355" s="538"/>
      <c r="P355" s="536"/>
      <c r="Q355" s="536"/>
      <c r="R355" s="536"/>
      <c r="S355" s="536"/>
      <c r="T355" s="536"/>
      <c r="U355" s="536"/>
      <c r="V355" s="536"/>
      <c r="W355" s="536"/>
      <c r="X355" s="536"/>
      <c r="Y355" s="536"/>
      <c r="Z355" s="536"/>
      <c r="AA355" s="536"/>
      <c r="AB355" s="536"/>
      <c r="AC355" s="536"/>
      <c r="AD355" s="536"/>
      <c r="AE355" s="536"/>
      <c r="AF355" s="536"/>
      <c r="AG355" s="536"/>
      <c r="AH355" s="536"/>
      <c r="AI355" s="536"/>
      <c r="AJ355" s="536"/>
    </row>
  </sheetData>
  <mergeCells count="305">
    <mergeCell ref="C353:L353"/>
    <mergeCell ref="C345:K345"/>
    <mergeCell ref="C346:K346"/>
    <mergeCell ref="C347:K347"/>
    <mergeCell ref="C350:L350"/>
    <mergeCell ref="C351:L351"/>
    <mergeCell ref="C352:L352"/>
    <mergeCell ref="C339:K339"/>
    <mergeCell ref="C340:K340"/>
    <mergeCell ref="C341:K341"/>
    <mergeCell ref="C342:K342"/>
    <mergeCell ref="C343:K343"/>
    <mergeCell ref="C344:K344"/>
    <mergeCell ref="C333:K333"/>
    <mergeCell ref="C334:K334"/>
    <mergeCell ref="C335:K335"/>
    <mergeCell ref="C336:K336"/>
    <mergeCell ref="C337:K337"/>
    <mergeCell ref="C338:K338"/>
    <mergeCell ref="C327:K327"/>
    <mergeCell ref="C328:K328"/>
    <mergeCell ref="C329:K329"/>
    <mergeCell ref="C330:K330"/>
    <mergeCell ref="C331:K331"/>
    <mergeCell ref="C332:K332"/>
    <mergeCell ref="C320:K320"/>
    <mergeCell ref="C321:K321"/>
    <mergeCell ref="C322:K322"/>
    <mergeCell ref="C323:K323"/>
    <mergeCell ref="C324:K324"/>
    <mergeCell ref="C326:K326"/>
    <mergeCell ref="C311:E311"/>
    <mergeCell ref="C313:E313"/>
    <mergeCell ref="C315:N315"/>
    <mergeCell ref="C317:K317"/>
    <mergeCell ref="C318:K318"/>
    <mergeCell ref="C319:K319"/>
    <mergeCell ref="C305:K305"/>
    <mergeCell ref="C306:K306"/>
    <mergeCell ref="C307:K307"/>
    <mergeCell ref="C308:K308"/>
    <mergeCell ref="C309:K309"/>
    <mergeCell ref="A310:N310"/>
    <mergeCell ref="C299:K299"/>
    <mergeCell ref="C300:K300"/>
    <mergeCell ref="C301:K301"/>
    <mergeCell ref="C302:K302"/>
    <mergeCell ref="C303:K303"/>
    <mergeCell ref="C304:K304"/>
    <mergeCell ref="C293:K293"/>
    <mergeCell ref="C294:K294"/>
    <mergeCell ref="C295:K295"/>
    <mergeCell ref="C296:K296"/>
    <mergeCell ref="C297:K297"/>
    <mergeCell ref="C298:K298"/>
    <mergeCell ref="C285:E285"/>
    <mergeCell ref="C286:E286"/>
    <mergeCell ref="C287:E287"/>
    <mergeCell ref="C290:K290"/>
    <mergeCell ref="C291:K291"/>
    <mergeCell ref="C292:K292"/>
    <mergeCell ref="C279:E279"/>
    <mergeCell ref="C280:E280"/>
    <mergeCell ref="C281:E281"/>
    <mergeCell ref="C282:E282"/>
    <mergeCell ref="C283:E283"/>
    <mergeCell ref="C284:E284"/>
    <mergeCell ref="C272:E272"/>
    <mergeCell ref="C274:E274"/>
    <mergeCell ref="C275:N275"/>
    <mergeCell ref="C276:E276"/>
    <mergeCell ref="C277:E277"/>
    <mergeCell ref="C278:E278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53:N253"/>
    <mergeCell ref="C254:E254"/>
    <mergeCell ref="C256:N256"/>
    <mergeCell ref="C257:E257"/>
    <mergeCell ref="C258:N258"/>
    <mergeCell ref="C259:N259"/>
    <mergeCell ref="C244:E244"/>
    <mergeCell ref="C245:E245"/>
    <mergeCell ref="C247:N247"/>
    <mergeCell ref="C248:E248"/>
    <mergeCell ref="C250:N250"/>
    <mergeCell ref="C251:E251"/>
    <mergeCell ref="C238:E238"/>
    <mergeCell ref="C239:E239"/>
    <mergeCell ref="C240:E240"/>
    <mergeCell ref="C241:E241"/>
    <mergeCell ref="C242:E242"/>
    <mergeCell ref="C243:E243"/>
    <mergeCell ref="C232:N232"/>
    <mergeCell ref="C233:E233"/>
    <mergeCell ref="C234:E234"/>
    <mergeCell ref="C235:E235"/>
    <mergeCell ref="C236:E236"/>
    <mergeCell ref="C237:E237"/>
    <mergeCell ref="C224:E224"/>
    <mergeCell ref="C226:N226"/>
    <mergeCell ref="C227:E227"/>
    <mergeCell ref="C229:N229"/>
    <mergeCell ref="C230:E230"/>
    <mergeCell ref="C231:N231"/>
    <mergeCell ref="C215:E215"/>
    <mergeCell ref="C217:N217"/>
    <mergeCell ref="C218:E218"/>
    <mergeCell ref="C220:N220"/>
    <mergeCell ref="C221:E221"/>
    <mergeCell ref="C223:N223"/>
    <mergeCell ref="C206:E206"/>
    <mergeCell ref="C208:N208"/>
    <mergeCell ref="C209:E209"/>
    <mergeCell ref="C211:N211"/>
    <mergeCell ref="C212:E212"/>
    <mergeCell ref="C214:N214"/>
    <mergeCell ref="C197:E197"/>
    <mergeCell ref="C199:N199"/>
    <mergeCell ref="C200:E200"/>
    <mergeCell ref="C202:N202"/>
    <mergeCell ref="C203:E203"/>
    <mergeCell ref="C205:N205"/>
    <mergeCell ref="C188:E188"/>
    <mergeCell ref="C190:N190"/>
    <mergeCell ref="C191:E191"/>
    <mergeCell ref="C193:N193"/>
    <mergeCell ref="C194:E194"/>
    <mergeCell ref="C196:N196"/>
    <mergeCell ref="C179:E179"/>
    <mergeCell ref="C181:N181"/>
    <mergeCell ref="C182:E182"/>
    <mergeCell ref="C184:N184"/>
    <mergeCell ref="C185:E185"/>
    <mergeCell ref="C187:N187"/>
    <mergeCell ref="C170:E170"/>
    <mergeCell ref="C171:E171"/>
    <mergeCell ref="C173:E173"/>
    <mergeCell ref="C175:N175"/>
    <mergeCell ref="C176:E176"/>
    <mergeCell ref="C178:N178"/>
    <mergeCell ref="C164:E164"/>
    <mergeCell ref="C165:E165"/>
    <mergeCell ref="C166:E166"/>
    <mergeCell ref="C167:E167"/>
    <mergeCell ref="C168:E168"/>
    <mergeCell ref="C169:E169"/>
    <mergeCell ref="C158:N158"/>
    <mergeCell ref="C159:E159"/>
    <mergeCell ref="C160:E160"/>
    <mergeCell ref="C161:E161"/>
    <mergeCell ref="C162:E162"/>
    <mergeCell ref="C163:E163"/>
    <mergeCell ref="C151:E151"/>
    <mergeCell ref="C152:E152"/>
    <mergeCell ref="C153:E153"/>
    <mergeCell ref="C155:N155"/>
    <mergeCell ref="C156:E156"/>
    <mergeCell ref="C157:N157"/>
    <mergeCell ref="C145:E145"/>
    <mergeCell ref="C146:E146"/>
    <mergeCell ref="C147:E147"/>
    <mergeCell ref="C148:E148"/>
    <mergeCell ref="C149:E149"/>
    <mergeCell ref="C150:E150"/>
    <mergeCell ref="C139:N139"/>
    <mergeCell ref="C140:N140"/>
    <mergeCell ref="C141:E141"/>
    <mergeCell ref="C142:E142"/>
    <mergeCell ref="C143:E143"/>
    <mergeCell ref="C144:E144"/>
    <mergeCell ref="C132:E132"/>
    <mergeCell ref="C133:E133"/>
    <mergeCell ref="C134:E134"/>
    <mergeCell ref="C135:E135"/>
    <mergeCell ref="C137:N137"/>
    <mergeCell ref="C138:E138"/>
    <mergeCell ref="C126:E126"/>
    <mergeCell ref="C127:E127"/>
    <mergeCell ref="C128:E128"/>
    <mergeCell ref="C129:E129"/>
    <mergeCell ref="C130:E130"/>
    <mergeCell ref="C131:E131"/>
    <mergeCell ref="C120:N120"/>
    <mergeCell ref="C121:N121"/>
    <mergeCell ref="C122:E122"/>
    <mergeCell ref="C123:E123"/>
    <mergeCell ref="C124:E124"/>
    <mergeCell ref="C125:E125"/>
    <mergeCell ref="C114:K114"/>
    <mergeCell ref="C115:K115"/>
    <mergeCell ref="C116:K116"/>
    <mergeCell ref="C117:K117"/>
    <mergeCell ref="A118:N118"/>
    <mergeCell ref="C119:E119"/>
    <mergeCell ref="C108:K108"/>
    <mergeCell ref="C109:K109"/>
    <mergeCell ref="C110:K110"/>
    <mergeCell ref="C111:K111"/>
    <mergeCell ref="C112:K112"/>
    <mergeCell ref="C113:K113"/>
    <mergeCell ref="C102:K102"/>
    <mergeCell ref="C103:K103"/>
    <mergeCell ref="C104:K104"/>
    <mergeCell ref="C105:K105"/>
    <mergeCell ref="C106:K106"/>
    <mergeCell ref="C107:K107"/>
    <mergeCell ref="C95:E95"/>
    <mergeCell ref="C96:E96"/>
    <mergeCell ref="C97:E97"/>
    <mergeCell ref="C98:N98"/>
    <mergeCell ref="C100:K100"/>
    <mergeCell ref="C101:K101"/>
    <mergeCell ref="C89:E89"/>
    <mergeCell ref="C90:E90"/>
    <mergeCell ref="C91:E91"/>
    <mergeCell ref="C92:E92"/>
    <mergeCell ref="C93:E93"/>
    <mergeCell ref="C94:E94"/>
    <mergeCell ref="C83:E83"/>
    <mergeCell ref="C84:E84"/>
    <mergeCell ref="C85:N85"/>
    <mergeCell ref="C86:N86"/>
    <mergeCell ref="C87:E87"/>
    <mergeCell ref="C88:E88"/>
    <mergeCell ref="C77:E77"/>
    <mergeCell ref="C78:E78"/>
    <mergeCell ref="C79:E79"/>
    <mergeCell ref="C80:E80"/>
    <mergeCell ref="C81:E81"/>
    <mergeCell ref="C82:E82"/>
    <mergeCell ref="C71:E71"/>
    <mergeCell ref="C72:E72"/>
    <mergeCell ref="C73:E73"/>
    <mergeCell ref="C74:N74"/>
    <mergeCell ref="C75:N75"/>
    <mergeCell ref="C76:E76"/>
    <mergeCell ref="C65:N65"/>
    <mergeCell ref="C66:E66"/>
    <mergeCell ref="C67:E67"/>
    <mergeCell ref="C68:E68"/>
    <mergeCell ref="C69:E69"/>
    <mergeCell ref="C70:E70"/>
    <mergeCell ref="C59:E59"/>
    <mergeCell ref="C60:E60"/>
    <mergeCell ref="C61:E61"/>
    <mergeCell ref="C62:E62"/>
    <mergeCell ref="C63:N63"/>
    <mergeCell ref="C64:N64"/>
    <mergeCell ref="C53:N53"/>
    <mergeCell ref="C54:E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N52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354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6">
    <pageSetUpPr fitToPage="1"/>
  </sheetPr>
  <dimension ref="B1:I36"/>
  <sheetViews>
    <sheetView showGridLines="0" topLeftCell="B5" zoomScale="115" zoomScaleNormal="115" workbookViewId="0">
      <selection activeCell="D53" sqref="D53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274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 t="s">
        <v>94</v>
      </c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663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7068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143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2078.39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507"/>
      <c r="F15" s="508"/>
      <c r="G15" s="509"/>
      <c r="H15" s="9"/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507"/>
      <c r="F17" s="508"/>
      <c r="G17" s="509"/>
      <c r="H17" s="9"/>
      <c r="I17" s="9"/>
    </row>
    <row r="18" spans="2:9" x14ac:dyDescent="0.2">
      <c r="B18" s="6"/>
      <c r="C18" s="24" t="s">
        <v>484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x14ac:dyDescent="0.2">
      <c r="B26" s="511">
        <v>1</v>
      </c>
      <c r="C26" s="512" t="s">
        <v>7069</v>
      </c>
      <c r="D26" s="513" t="s">
        <v>100</v>
      </c>
      <c r="E26" s="514">
        <v>618.72</v>
      </c>
      <c r="F26" s="514">
        <v>1418.01</v>
      </c>
      <c r="G26" s="514">
        <v>27.42</v>
      </c>
      <c r="H26" s="514"/>
      <c r="I26" s="514">
        <v>2064.15</v>
      </c>
    </row>
    <row r="27" spans="2:9" x14ac:dyDescent="0.2">
      <c r="B27" s="511">
        <v>2</v>
      </c>
      <c r="C27" s="512" t="s">
        <v>7070</v>
      </c>
      <c r="D27" s="513" t="s">
        <v>7071</v>
      </c>
      <c r="E27" s="514">
        <v>4.34</v>
      </c>
      <c r="F27" s="514">
        <v>9.9</v>
      </c>
      <c r="G27" s="514"/>
      <c r="H27" s="514"/>
      <c r="I27" s="514">
        <v>14.24</v>
      </c>
    </row>
    <row r="28" spans="2:9" x14ac:dyDescent="0.2">
      <c r="B28" s="511" t="s">
        <v>143</v>
      </c>
      <c r="C28" s="512" t="s">
        <v>143</v>
      </c>
      <c r="D28" s="513" t="s">
        <v>6725</v>
      </c>
      <c r="E28" s="514">
        <v>623.05999999999995</v>
      </c>
      <c r="F28" s="514">
        <v>1427.91</v>
      </c>
      <c r="G28" s="514">
        <v>27.42</v>
      </c>
      <c r="H28" s="514"/>
      <c r="I28" s="514">
        <v>2078.39</v>
      </c>
    </row>
    <row r="29" spans="2:9" x14ac:dyDescent="0.2">
      <c r="B29" s="672" t="s">
        <v>143</v>
      </c>
      <c r="C29" s="673" t="s">
        <v>143</v>
      </c>
      <c r="D29" s="515" t="s">
        <v>294</v>
      </c>
      <c r="E29" s="527">
        <v>623.05999999999995</v>
      </c>
      <c r="F29" s="527">
        <v>1427.91</v>
      </c>
      <c r="G29" s="527">
        <v>27.42</v>
      </c>
      <c r="H29" s="527"/>
      <c r="I29" s="527">
        <v>2078.39</v>
      </c>
    </row>
    <row r="30" spans="2:9" x14ac:dyDescent="0.2">
      <c r="B30" s="31"/>
      <c r="C30" s="32"/>
      <c r="D30" s="33"/>
      <c r="E30" s="34"/>
      <c r="F30" s="34"/>
      <c r="G30" s="34"/>
      <c r="H30" s="34"/>
      <c r="I30" s="34"/>
    </row>
    <row r="33" spans="2:9" ht="15" x14ac:dyDescent="0.2">
      <c r="B33" s="35" t="s">
        <v>149</v>
      </c>
      <c r="D33" s="516"/>
      <c r="E33" s="517"/>
      <c r="F33" s="516"/>
      <c r="G33" s="516" t="s">
        <v>296</v>
      </c>
      <c r="I33" s="518"/>
    </row>
    <row r="34" spans="2:9" ht="15" x14ac:dyDescent="0.2">
      <c r="C34" s="39"/>
      <c r="D34" s="1793" t="s">
        <v>150</v>
      </c>
      <c r="E34" s="1793"/>
      <c r="F34" s="1793"/>
      <c r="G34" s="1793"/>
      <c r="H34" s="1793"/>
      <c r="I34" s="1793"/>
    </row>
    <row r="35" spans="2:9" ht="15" x14ac:dyDescent="0.2">
      <c r="B35" s="35" t="s">
        <v>151</v>
      </c>
      <c r="D35" s="516"/>
      <c r="E35" s="517"/>
      <c r="F35" s="516"/>
      <c r="G35" s="516" t="s">
        <v>297</v>
      </c>
      <c r="H35" s="517"/>
      <c r="I35" s="518"/>
    </row>
    <row r="36" spans="2:9" x14ac:dyDescent="0.2">
      <c r="D36" s="1793" t="s">
        <v>150</v>
      </c>
      <c r="E36" s="1793"/>
      <c r="F36" s="1793"/>
      <c r="G36" s="1793"/>
      <c r="H36" s="1793"/>
      <c r="I36" s="1793"/>
    </row>
  </sheetData>
  <mergeCells count="18">
    <mergeCell ref="B25:I25"/>
    <mergeCell ref="D34:I34"/>
    <mergeCell ref="D36:I36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  <mergeCell ref="B11:I11"/>
    <mergeCell ref="C3:H3"/>
    <mergeCell ref="D4:G4"/>
    <mergeCell ref="C5:H5"/>
    <mergeCell ref="D6:G6"/>
    <mergeCell ref="D10:H10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G39"/>
  <sheetViews>
    <sheetView workbookViewId="0">
      <selection activeCell="E36" sqref="A1:E36"/>
    </sheetView>
  </sheetViews>
  <sheetFormatPr defaultRowHeight="15" outlineLevelRow="2" x14ac:dyDescent="0.25"/>
  <cols>
    <col min="1" max="1" width="9.140625" style="1552"/>
    <col min="2" max="2" width="39.140625" style="1552" customWidth="1"/>
    <col min="3" max="3" width="17.5703125" style="1552" customWidth="1"/>
    <col min="4" max="4" width="17.42578125" style="1552" customWidth="1"/>
    <col min="5" max="5" width="22.28515625" style="1552" customWidth="1"/>
    <col min="6" max="6" width="9.140625" style="1552"/>
    <col min="7" max="7" width="18.7109375" style="1552" bestFit="1" customWidth="1"/>
    <col min="8" max="16384" width="9.140625" style="1552"/>
  </cols>
  <sheetData>
    <row r="1" spans="1:7" ht="15.75" x14ac:dyDescent="0.25">
      <c r="A1" s="1710" t="s">
        <v>10317</v>
      </c>
      <c r="B1" s="1710"/>
      <c r="C1" s="1710"/>
      <c r="D1" s="1710"/>
      <c r="E1" s="1710"/>
      <c r="F1" s="1551"/>
      <c r="G1" s="1551"/>
    </row>
    <row r="2" spans="1:7" ht="15.75" x14ac:dyDescent="0.25">
      <c r="A2" s="1711" t="s">
        <v>10318</v>
      </c>
      <c r="B2" s="1711"/>
      <c r="C2" s="1711"/>
      <c r="D2" s="1711"/>
      <c r="E2" s="1711"/>
      <c r="F2" s="1551"/>
      <c r="G2" s="1551"/>
    </row>
    <row r="3" spans="1:7" ht="39" customHeight="1" x14ac:dyDescent="0.25">
      <c r="A3" s="1712" t="str">
        <f>НМЦК!C3</f>
        <v>Всесезонный туристско-рекреационный комплекс «Эльбрус»,
Кабардино-Балкарская Республика. Открытая плоскостная парковка  на 800 машино-мест.</v>
      </c>
      <c r="B3" s="1711"/>
      <c r="C3" s="1711"/>
      <c r="D3" s="1711"/>
      <c r="E3" s="1711"/>
      <c r="F3" s="1551"/>
      <c r="G3" s="1551"/>
    </row>
    <row r="4" spans="1:7" ht="15.75" x14ac:dyDescent="0.25">
      <c r="A4" s="1553"/>
      <c r="B4" s="1553"/>
      <c r="C4" s="1553"/>
      <c r="D4" s="1553"/>
      <c r="E4" s="1553"/>
      <c r="F4" s="1551"/>
      <c r="G4" s="1551"/>
    </row>
    <row r="5" spans="1:7" ht="15.75" x14ac:dyDescent="0.25">
      <c r="A5" s="1554" t="s">
        <v>10319</v>
      </c>
      <c r="B5" s="1554"/>
      <c r="C5" s="2411">
        <f>(C7-C6)/30.5</f>
        <v>9.6999999999999993</v>
      </c>
      <c r="D5" s="1623" t="s">
        <v>5681</v>
      </c>
      <c r="E5" s="1551"/>
      <c r="F5" s="1551"/>
      <c r="G5" s="1551"/>
    </row>
    <row r="6" spans="1:7" ht="15.75" x14ac:dyDescent="0.25">
      <c r="A6" s="1554" t="s">
        <v>10320</v>
      </c>
      <c r="B6" s="1554"/>
      <c r="C6" s="2412">
        <f>НМЦК!F114</f>
        <v>44620</v>
      </c>
      <c r="D6" s="1623"/>
      <c r="E6" s="1551"/>
      <c r="F6" s="1551"/>
      <c r="G6" s="1551"/>
    </row>
    <row r="7" spans="1:7" ht="15.75" x14ac:dyDescent="0.25">
      <c r="A7" s="1554" t="s">
        <v>10321</v>
      </c>
      <c r="B7" s="1554"/>
      <c r="C7" s="2412">
        <f>НМЦК!F125</f>
        <v>44915</v>
      </c>
      <c r="D7" s="1623"/>
      <c r="E7" s="1551"/>
      <c r="F7" s="1551"/>
      <c r="G7" s="1551"/>
    </row>
    <row r="8" spans="1:7" ht="15.75" x14ac:dyDescent="0.25">
      <c r="A8" s="1554"/>
      <c r="B8" s="1555"/>
      <c r="C8" s="1555"/>
      <c r="D8" s="1551"/>
      <c r="E8" s="1551"/>
      <c r="F8" s="1551"/>
      <c r="G8" s="1551"/>
    </row>
    <row r="9" spans="1:7" ht="15.75" x14ac:dyDescent="0.25">
      <c r="A9" s="1713" t="s">
        <v>10322</v>
      </c>
      <c r="B9" s="1714" t="s">
        <v>10323</v>
      </c>
      <c r="C9" s="1713" t="s">
        <v>10324</v>
      </c>
      <c r="D9" s="1713"/>
      <c r="E9" s="1713"/>
      <c r="F9" s="1551"/>
      <c r="G9" s="1551"/>
    </row>
    <row r="10" spans="1:7" ht="15.75" x14ac:dyDescent="0.25">
      <c r="A10" s="1713"/>
      <c r="B10" s="1715"/>
      <c r="C10" s="1556" t="s">
        <v>10325</v>
      </c>
      <c r="D10" s="1583" t="s">
        <v>10326</v>
      </c>
      <c r="E10" s="1583" t="s">
        <v>10327</v>
      </c>
      <c r="F10" s="1551"/>
      <c r="G10" s="1551"/>
    </row>
    <row r="11" spans="1:7" ht="15.75" x14ac:dyDescent="0.25">
      <c r="A11" s="1556">
        <v>1</v>
      </c>
      <c r="B11" s="1556">
        <v>2</v>
      </c>
      <c r="C11" s="1556">
        <v>3</v>
      </c>
      <c r="D11" s="1557">
        <v>4</v>
      </c>
      <c r="E11" s="1557">
        <v>5</v>
      </c>
      <c r="F11" s="1551"/>
      <c r="G11" s="1551"/>
    </row>
    <row r="12" spans="1:7" s="1561" customFormat="1" ht="15.75" x14ac:dyDescent="0.25">
      <c r="A12" s="1581">
        <v>1</v>
      </c>
      <c r="B12" s="1544" t="s">
        <v>10236</v>
      </c>
      <c r="C12" s="1582">
        <f>C13+C17</f>
        <v>351421457.45999998</v>
      </c>
      <c r="D12" s="1585">
        <f>D13+D17</f>
        <v>68616901.870000005</v>
      </c>
      <c r="E12" s="1585">
        <f>E13+E17</f>
        <v>420038359.32999998</v>
      </c>
      <c r="F12" s="1560"/>
      <c r="G12" s="1560"/>
    </row>
    <row r="13" spans="1:7" s="1561" customFormat="1" ht="28.5" outlineLevel="1" x14ac:dyDescent="0.25">
      <c r="A13" s="1578" t="s">
        <v>571</v>
      </c>
      <c r="B13" s="1469" t="s">
        <v>10239</v>
      </c>
      <c r="C13" s="1558">
        <f>НМЦК!P16</f>
        <v>13707601.119999999</v>
      </c>
      <c r="D13" s="1559">
        <f>C13*0.2</f>
        <v>2741520.22</v>
      </c>
      <c r="E13" s="1559">
        <f>C13+D13</f>
        <v>16449121.34</v>
      </c>
      <c r="F13" s="1560"/>
      <c r="G13" s="1560"/>
    </row>
    <row r="14" spans="1:7" ht="15.75" outlineLevel="2" x14ac:dyDescent="0.25">
      <c r="A14" s="1562"/>
      <c r="B14" s="1563" t="s">
        <v>10328</v>
      </c>
      <c r="C14" s="1564"/>
      <c r="D14" s="1584"/>
      <c r="E14" s="1584"/>
      <c r="F14" s="1551"/>
      <c r="G14" s="1551"/>
    </row>
    <row r="15" spans="1:7" ht="15.75" outlineLevel="2" x14ac:dyDescent="0.25">
      <c r="A15" s="1579"/>
      <c r="B15" s="1566" t="s">
        <v>6522</v>
      </c>
      <c r="C15" s="1564">
        <f>НМЦК!P18</f>
        <v>268776.49</v>
      </c>
      <c r="D15" s="1565">
        <f>C15*0.2</f>
        <v>53755.3</v>
      </c>
      <c r="E15" s="1565">
        <f>C15+D15</f>
        <v>322531.78999999998</v>
      </c>
      <c r="F15" s="1551"/>
      <c r="G15" s="1551"/>
    </row>
    <row r="16" spans="1:7" ht="31.5" outlineLevel="2" x14ac:dyDescent="0.25">
      <c r="A16" s="1579"/>
      <c r="B16" s="1566" t="s">
        <v>10329</v>
      </c>
      <c r="C16" s="1564">
        <f>НМЦК!P16-НМЦК!K16</f>
        <v>630350.43999999994</v>
      </c>
      <c r="D16" s="1565">
        <f>C16*0.2</f>
        <v>126070.09</v>
      </c>
      <c r="E16" s="1565">
        <f>C16+D16</f>
        <v>756420.53</v>
      </c>
      <c r="F16" s="1551"/>
      <c r="G16" s="1551"/>
    </row>
    <row r="17" spans="1:7" s="1561" customFormat="1" ht="42.75" outlineLevel="1" x14ac:dyDescent="0.25">
      <c r="A17" s="1580" t="s">
        <v>576</v>
      </c>
      <c r="B17" s="1469" t="s">
        <v>10234</v>
      </c>
      <c r="C17" s="1558">
        <f>НМЦК!P19</f>
        <v>337713856.33999997</v>
      </c>
      <c r="D17" s="1559">
        <f>(C17-НМЦК!P84-НМЦК!P85-НМЦК!P91)*0.2</f>
        <v>65875381.649999999</v>
      </c>
      <c r="E17" s="1559">
        <f>C17+D17</f>
        <v>403589237.99000001</v>
      </c>
      <c r="F17" s="1560"/>
      <c r="G17" s="1560"/>
    </row>
    <row r="18" spans="1:7" ht="15.75" outlineLevel="2" x14ac:dyDescent="0.25">
      <c r="A18" s="1567"/>
      <c r="B18" s="1563" t="s">
        <v>10328</v>
      </c>
      <c r="C18" s="1564"/>
      <c r="D18" s="1584"/>
      <c r="E18" s="1584"/>
      <c r="F18" s="1551"/>
      <c r="G18" s="1551"/>
    </row>
    <row r="19" spans="1:7" ht="15.75" outlineLevel="2" x14ac:dyDescent="0.25">
      <c r="A19" s="1567"/>
      <c r="B19" s="1566" t="s">
        <v>10198</v>
      </c>
      <c r="C19" s="1564">
        <f>НМЦК!Q19-НМЦК!Q92</f>
        <v>41850337.549999997</v>
      </c>
      <c r="D19" s="1565">
        <f>C19*0.2</f>
        <v>8370067.5099999998</v>
      </c>
      <c r="E19" s="1565">
        <f>C19+D19</f>
        <v>50220405.060000002</v>
      </c>
      <c r="F19" s="1551"/>
      <c r="G19" s="1551"/>
    </row>
    <row r="20" spans="1:7" ht="15.75" outlineLevel="2" x14ac:dyDescent="0.25">
      <c r="A20" s="1567"/>
      <c r="B20" s="1566" t="s">
        <v>6522</v>
      </c>
      <c r="C20" s="1564">
        <f>НМЦК!P92</f>
        <v>6654108.5</v>
      </c>
      <c r="D20" s="1565">
        <f>C20*0.2</f>
        <v>1330821.7</v>
      </c>
      <c r="E20" s="1565">
        <f>C20+D20</f>
        <v>7984930.2000000002</v>
      </c>
      <c r="F20" s="1551"/>
      <c r="G20" s="1551"/>
    </row>
    <row r="21" spans="1:7" ht="31.5" outlineLevel="2" x14ac:dyDescent="0.25">
      <c r="A21" s="1567"/>
      <c r="B21" s="1566" t="s">
        <v>10329</v>
      </c>
      <c r="C21" s="1564">
        <f>НМЦК!P19-НМЦК!K19</f>
        <v>17904808.190000001</v>
      </c>
      <c r="D21" s="1565">
        <f>(C21-НМЦК!P84-НМЦК!P85-НМЦК!P91+НМЦК!K84+НМЦК!K85+НМЦК!K91)*0.2</f>
        <v>3563716.88</v>
      </c>
      <c r="E21" s="1565">
        <f>C21+D21</f>
        <v>21468525.07</v>
      </c>
      <c r="F21" s="1551"/>
      <c r="G21" s="1551"/>
    </row>
    <row r="22" spans="1:7" s="1561" customFormat="1" ht="15.75" x14ac:dyDescent="0.25">
      <c r="A22" s="1581">
        <v>2</v>
      </c>
      <c r="B22" s="1544" t="s">
        <v>10237</v>
      </c>
      <c r="C22" s="1582">
        <f>C23+C27</f>
        <v>52834415.189999998</v>
      </c>
      <c r="D22" s="1585">
        <f>D23+D27</f>
        <v>10566883.039999999</v>
      </c>
      <c r="E22" s="1585">
        <f>E23+E27</f>
        <v>63401298.229999997</v>
      </c>
      <c r="F22" s="1560"/>
      <c r="G22" s="1560"/>
    </row>
    <row r="23" spans="1:7" s="1561" customFormat="1" ht="28.5" outlineLevel="1" x14ac:dyDescent="0.25">
      <c r="A23" s="1578" t="s">
        <v>583</v>
      </c>
      <c r="B23" s="1469" t="s">
        <v>10238</v>
      </c>
      <c r="C23" s="1558">
        <f>НМЦК!P94</f>
        <v>206193.96</v>
      </c>
      <c r="D23" s="1559">
        <f>C23*0.2</f>
        <v>41238.79</v>
      </c>
      <c r="E23" s="1559">
        <f>C23+D23</f>
        <v>247432.75</v>
      </c>
      <c r="F23" s="1560"/>
      <c r="G23" s="1560"/>
    </row>
    <row r="24" spans="1:7" ht="15.75" outlineLevel="2" x14ac:dyDescent="0.25">
      <c r="A24" s="1562"/>
      <c r="B24" s="1563" t="s">
        <v>10328</v>
      </c>
      <c r="C24" s="1564"/>
      <c r="D24" s="1584"/>
      <c r="E24" s="1584"/>
      <c r="F24" s="1551"/>
      <c r="G24" s="1551"/>
    </row>
    <row r="25" spans="1:7" ht="15.75" outlineLevel="2" x14ac:dyDescent="0.25">
      <c r="A25" s="1562"/>
      <c r="B25" s="1566" t="s">
        <v>6522</v>
      </c>
      <c r="C25" s="1564">
        <f>НМЦК!P96</f>
        <v>4043.02</v>
      </c>
      <c r="D25" s="1565">
        <f>C25*0.2</f>
        <v>808.6</v>
      </c>
      <c r="E25" s="1565">
        <f>C25+D25</f>
        <v>4851.62</v>
      </c>
      <c r="F25" s="1551"/>
      <c r="G25" s="1551"/>
    </row>
    <row r="26" spans="1:7" ht="31.5" outlineLevel="2" x14ac:dyDescent="0.25">
      <c r="A26" s="1562"/>
      <c r="B26" s="1566" t="s">
        <v>10329</v>
      </c>
      <c r="C26" s="1564">
        <f>НМЦК!P94-НМЦК!K94</f>
        <v>11154.66</v>
      </c>
      <c r="D26" s="1565">
        <f>C26*0.2</f>
        <v>2230.9299999999998</v>
      </c>
      <c r="E26" s="1565">
        <f>C26+D26</f>
        <v>13385.59</v>
      </c>
      <c r="F26" s="1551"/>
      <c r="G26" s="1551"/>
    </row>
    <row r="27" spans="1:7" s="1561" customFormat="1" ht="42.75" outlineLevel="1" x14ac:dyDescent="0.25">
      <c r="A27" s="1580" t="s">
        <v>584</v>
      </c>
      <c r="B27" s="1469" t="s">
        <v>10235</v>
      </c>
      <c r="C27" s="1558">
        <f>НМЦК!P97</f>
        <v>52628221.229999997</v>
      </c>
      <c r="D27" s="1559">
        <f>C27*0.2</f>
        <v>10525644.25</v>
      </c>
      <c r="E27" s="1559">
        <f>C27+D27</f>
        <v>63153865.479999997</v>
      </c>
      <c r="F27" s="1560"/>
      <c r="G27" s="1560"/>
    </row>
    <row r="28" spans="1:7" ht="15.75" outlineLevel="2" x14ac:dyDescent="0.25">
      <c r="A28" s="1567"/>
      <c r="B28" s="1563" t="s">
        <v>10328</v>
      </c>
      <c r="C28" s="1564"/>
      <c r="D28" s="1584"/>
      <c r="E28" s="1584"/>
      <c r="F28" s="1551"/>
      <c r="G28" s="1551"/>
    </row>
    <row r="29" spans="1:7" ht="15.75" outlineLevel="2" x14ac:dyDescent="0.25">
      <c r="A29" s="1567"/>
      <c r="B29" s="1566" t="s">
        <v>10198</v>
      </c>
      <c r="C29" s="1564">
        <f>НМЦК!Q98</f>
        <v>37656687.009999998</v>
      </c>
      <c r="D29" s="1565">
        <f>C29*0.2</f>
        <v>7531337.4000000004</v>
      </c>
      <c r="E29" s="1565">
        <f>C29+D29</f>
        <v>45188024.409999996</v>
      </c>
      <c r="F29" s="1551"/>
      <c r="G29" s="1551"/>
    </row>
    <row r="30" spans="1:7" ht="15.75" outlineLevel="2" x14ac:dyDescent="0.25">
      <c r="A30" s="1567"/>
      <c r="B30" s="1566" t="s">
        <v>6522</v>
      </c>
      <c r="C30" s="1564">
        <f>НМЦК!P101</f>
        <v>1033157.95</v>
      </c>
      <c r="D30" s="1565">
        <f>C30*0.2</f>
        <v>206631.59</v>
      </c>
      <c r="E30" s="1565">
        <f>C30+D30</f>
        <v>1239789.54</v>
      </c>
      <c r="F30" s="1551"/>
      <c r="G30" s="1551"/>
    </row>
    <row r="31" spans="1:7" ht="31.5" outlineLevel="2" x14ac:dyDescent="0.25">
      <c r="A31" s="1567"/>
      <c r="B31" s="1566" t="s">
        <v>10329</v>
      </c>
      <c r="C31" s="1564">
        <f>НМЦК!P97-НМЦК!K97</f>
        <v>2847073.9</v>
      </c>
      <c r="D31" s="1565">
        <f>C31*0.2</f>
        <v>569414.78</v>
      </c>
      <c r="E31" s="1565">
        <f>C31+D31</f>
        <v>3416488.68</v>
      </c>
      <c r="F31" s="1551"/>
      <c r="G31" s="1551"/>
    </row>
    <row r="32" spans="1:7" ht="32.25" customHeight="1" x14ac:dyDescent="0.25">
      <c r="A32" s="1568"/>
      <c r="B32" s="1568" t="s">
        <v>10330</v>
      </c>
      <c r="C32" s="1569">
        <f>C12+C22</f>
        <v>404255872.64999998</v>
      </c>
      <c r="D32" s="1586">
        <f>D12+D22</f>
        <v>79183784.909999996</v>
      </c>
      <c r="E32" s="1586">
        <f>E12+E22</f>
        <v>483439657.56</v>
      </c>
      <c r="F32" s="1551"/>
      <c r="G32" s="1551"/>
    </row>
    <row r="33" spans="1:7" s="1573" customFormat="1" ht="15.75" x14ac:dyDescent="0.25">
      <c r="A33" s="1563"/>
      <c r="B33" s="1563" t="s">
        <v>10328</v>
      </c>
      <c r="C33" s="1570"/>
      <c r="D33" s="1571"/>
      <c r="E33" s="1571"/>
      <c r="F33" s="1572"/>
      <c r="G33" s="1572"/>
    </row>
    <row r="34" spans="1:7" ht="15.75" x14ac:dyDescent="0.25">
      <c r="A34" s="1574"/>
      <c r="B34" s="1566" t="s">
        <v>10331</v>
      </c>
      <c r="C34" s="1564">
        <f>C19+C29</f>
        <v>79507024.560000002</v>
      </c>
      <c r="D34" s="1575">
        <f>C34*20%</f>
        <v>15901404.91</v>
      </c>
      <c r="E34" s="1575">
        <f t="shared" ref="E34:E35" si="0">C34+D34</f>
        <v>95408429.469999999</v>
      </c>
      <c r="F34" s="1551"/>
      <c r="G34" s="1551"/>
    </row>
    <row r="35" spans="1:7" ht="15.75" x14ac:dyDescent="0.25">
      <c r="A35" s="1576"/>
      <c r="B35" s="1576" t="s">
        <v>10332</v>
      </c>
      <c r="C35" s="1564">
        <f>C15+C20+C25+C30</f>
        <v>7960085.96</v>
      </c>
      <c r="D35" s="1575">
        <f>C35*0.2</f>
        <v>1592017.19</v>
      </c>
      <c r="E35" s="1575">
        <f t="shared" si="0"/>
        <v>9552103.1500000004</v>
      </c>
      <c r="F35" s="1551"/>
      <c r="G35" s="1551"/>
    </row>
    <row r="36" spans="1:7" ht="31.5" x14ac:dyDescent="0.25">
      <c r="A36" s="1577"/>
      <c r="B36" s="1566" t="s">
        <v>10333</v>
      </c>
      <c r="C36" s="1564">
        <f>C16+C21+C26+C31</f>
        <v>21393387.190000001</v>
      </c>
      <c r="D36" s="1564">
        <f>D16+D21+D26+D31</f>
        <v>4261432.68</v>
      </c>
      <c r="E36" s="1575">
        <f>C36+D36</f>
        <v>25654819.870000001</v>
      </c>
      <c r="F36" s="1551"/>
      <c r="G36" s="1551"/>
    </row>
    <row r="37" spans="1:7" x14ac:dyDescent="0.25">
      <c r="C37" s="1632"/>
      <c r="D37" s="1632"/>
      <c r="E37" s="1632"/>
    </row>
    <row r="39" spans="1:7" x14ac:dyDescent="0.25">
      <c r="D39" s="1632"/>
      <c r="E39" s="1632"/>
    </row>
  </sheetData>
  <mergeCells count="6">
    <mergeCell ref="A1:E1"/>
    <mergeCell ref="A2:E2"/>
    <mergeCell ref="A3:E3"/>
    <mergeCell ref="A9:A10"/>
    <mergeCell ref="B9:B10"/>
    <mergeCell ref="C9:E9"/>
  </mergeCells>
  <conditionalFormatting sqref="C38:E38">
    <cfRule type="containsText" dxfId="3" priority="1" operator="containsText" text="истина">
      <formula>NOT(ISERROR(SEARCH("истина",C38)))</formula>
    </cfRule>
    <cfRule type="containsText" dxfId="2" priority="2" operator="containsText" text="ложь">
      <formula>NOT(ISERROR(SEARCH("ложь",C38)))</formula>
    </cfRule>
  </conditionalFormatting>
  <pageMargins left="0.7" right="0.7" top="0.75" bottom="0.75" header="0.3" footer="0.3"/>
  <pageSetup paperSize="9" scale="84" fitToHeight="0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7">
    <pageSetUpPr fitToPage="1"/>
  </sheetPr>
  <dimension ref="B1:I36"/>
  <sheetViews>
    <sheetView showGridLines="0" topLeftCell="B15" zoomScale="115" zoomScaleNormal="115" workbookViewId="0">
      <selection activeCell="B26" sqref="B26:I27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274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 t="s">
        <v>94</v>
      </c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663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7068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143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20204.849999999999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507"/>
      <c r="F15" s="508"/>
      <c r="G15" s="509"/>
      <c r="H15" s="9"/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507"/>
      <c r="F17" s="508"/>
      <c r="G17" s="509"/>
      <c r="H17" s="9"/>
      <c r="I17" s="9"/>
    </row>
    <row r="18" spans="2:9" x14ac:dyDescent="0.2">
      <c r="B18" s="6"/>
      <c r="C18" s="24" t="s">
        <v>487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x14ac:dyDescent="0.2">
      <c r="B26" s="511">
        <v>1</v>
      </c>
      <c r="C26" s="512" t="s">
        <v>7069</v>
      </c>
      <c r="D26" s="513" t="s">
        <v>100</v>
      </c>
      <c r="E26" s="514">
        <v>6057.3</v>
      </c>
      <c r="F26" s="514">
        <v>13882.28</v>
      </c>
      <c r="G26" s="514">
        <v>125.86</v>
      </c>
      <c r="H26" s="514"/>
      <c r="I26" s="514">
        <v>20065.439999999999</v>
      </c>
    </row>
    <row r="27" spans="2:9" x14ac:dyDescent="0.2">
      <c r="B27" s="511">
        <v>2</v>
      </c>
      <c r="C27" s="512" t="s">
        <v>7070</v>
      </c>
      <c r="D27" s="513" t="s">
        <v>7071</v>
      </c>
      <c r="E27" s="514">
        <v>42.45</v>
      </c>
      <c r="F27" s="514">
        <v>96.96</v>
      </c>
      <c r="G27" s="514"/>
      <c r="H27" s="514"/>
      <c r="I27" s="514">
        <v>139.41</v>
      </c>
    </row>
    <row r="28" spans="2:9" x14ac:dyDescent="0.2">
      <c r="B28" s="511" t="s">
        <v>143</v>
      </c>
      <c r="C28" s="512" t="s">
        <v>143</v>
      </c>
      <c r="D28" s="513" t="s">
        <v>6725</v>
      </c>
      <c r="E28" s="514">
        <v>6099.75</v>
      </c>
      <c r="F28" s="514">
        <v>13979.24</v>
      </c>
      <c r="G28" s="514">
        <v>125.86</v>
      </c>
      <c r="H28" s="514"/>
      <c r="I28" s="514">
        <v>20204.849999999999</v>
      </c>
    </row>
    <row r="29" spans="2:9" x14ac:dyDescent="0.2">
      <c r="B29" s="672" t="s">
        <v>143</v>
      </c>
      <c r="C29" s="673" t="s">
        <v>143</v>
      </c>
      <c r="D29" s="515" t="s">
        <v>294</v>
      </c>
      <c r="E29" s="527">
        <v>6099.75</v>
      </c>
      <c r="F29" s="527">
        <v>13979.24</v>
      </c>
      <c r="G29" s="527">
        <v>125.86</v>
      </c>
      <c r="H29" s="527"/>
      <c r="I29" s="527">
        <v>20204.849999999999</v>
      </c>
    </row>
    <row r="30" spans="2:9" x14ac:dyDescent="0.2">
      <c r="B30" s="31"/>
      <c r="C30" s="32"/>
      <c r="D30" s="33"/>
      <c r="E30" s="34"/>
      <c r="F30" s="34"/>
      <c r="G30" s="34"/>
      <c r="H30" s="34"/>
      <c r="I30" s="34"/>
    </row>
    <row r="33" spans="2:9" ht="15" x14ac:dyDescent="0.2">
      <c r="B33" s="35" t="s">
        <v>149</v>
      </c>
      <c r="D33" s="516"/>
      <c r="E33" s="517"/>
      <c r="F33" s="516"/>
      <c r="G33" s="516" t="s">
        <v>296</v>
      </c>
      <c r="I33" s="518"/>
    </row>
    <row r="34" spans="2:9" ht="15" x14ac:dyDescent="0.2">
      <c r="C34" s="39"/>
      <c r="D34" s="1793" t="s">
        <v>150</v>
      </c>
      <c r="E34" s="1793"/>
      <c r="F34" s="1793"/>
      <c r="G34" s="1793"/>
      <c r="H34" s="1793"/>
      <c r="I34" s="1793"/>
    </row>
    <row r="35" spans="2:9" ht="15" x14ac:dyDescent="0.2">
      <c r="B35" s="35" t="s">
        <v>151</v>
      </c>
      <c r="D35" s="516"/>
      <c r="E35" s="517"/>
      <c r="F35" s="516"/>
      <c r="G35" s="516" t="s">
        <v>297</v>
      </c>
      <c r="H35" s="517"/>
      <c r="I35" s="518"/>
    </row>
    <row r="36" spans="2:9" x14ac:dyDescent="0.2">
      <c r="D36" s="1793" t="s">
        <v>150</v>
      </c>
      <c r="E36" s="1793"/>
      <c r="F36" s="1793"/>
      <c r="G36" s="1793"/>
      <c r="H36" s="1793"/>
      <c r="I36" s="1793"/>
    </row>
  </sheetData>
  <mergeCells count="18">
    <mergeCell ref="B25:I25"/>
    <mergeCell ref="D34:I34"/>
    <mergeCell ref="D36:I36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  <mergeCell ref="B11:I11"/>
    <mergeCell ref="C3:H3"/>
    <mergeCell ref="D4:G4"/>
    <mergeCell ref="C5:H5"/>
    <mergeCell ref="D6:G6"/>
    <mergeCell ref="D10:H10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"/>
  <dimension ref="A1:AK908"/>
  <sheetViews>
    <sheetView topLeftCell="A870" zoomScale="115" zoomScaleNormal="115" workbookViewId="0"/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7.7109375" style="536" customWidth="1"/>
    <col min="14" max="14" width="12.855468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3" width="138.42578125" style="537" hidden="1" customWidth="1"/>
    <col min="24" max="24" width="34.140625" style="537" hidden="1" customWidth="1"/>
    <col min="25" max="26" width="110.140625" style="537" hidden="1" customWidth="1"/>
    <col min="27" max="30" width="34.140625" style="537" hidden="1" customWidth="1"/>
    <col min="31" max="33" width="84.42578125" style="537" hidden="1" customWidth="1"/>
    <col min="34" max="34" width="34.140625" style="537" hidden="1" customWidth="1"/>
    <col min="35" max="37" width="84.42578125" style="537" hidden="1" customWidth="1"/>
    <col min="38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 t="s">
        <v>94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94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5305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100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100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5306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20065.43</v>
      </c>
      <c r="D28" s="579" t="s">
        <v>8948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6057.3</v>
      </c>
      <c r="D30" s="579" t="s">
        <v>5307</v>
      </c>
      <c r="E30" s="665" t="s">
        <v>167</v>
      </c>
      <c r="G30" s="536" t="s">
        <v>170</v>
      </c>
      <c r="L30" s="580">
        <v>0</v>
      </c>
      <c r="M30" s="579" t="s">
        <v>5308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13882.28</v>
      </c>
      <c r="D31" s="583" t="s">
        <v>8949</v>
      </c>
      <c r="E31" s="665" t="s">
        <v>167</v>
      </c>
      <c r="G31" s="536" t="s">
        <v>172</v>
      </c>
      <c r="L31" s="582"/>
      <c r="M31" s="582">
        <v>3832.73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125.86</v>
      </c>
      <c r="D32" s="583" t="s">
        <v>5309</v>
      </c>
      <c r="E32" s="665" t="s">
        <v>167</v>
      </c>
      <c r="G32" s="536" t="s">
        <v>174</v>
      </c>
      <c r="L32" s="582"/>
      <c r="M32" s="582">
        <v>473.14</v>
      </c>
      <c r="N32" s="581" t="s">
        <v>173</v>
      </c>
    </row>
    <row r="33" spans="1:29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9" s="536" customFormat="1" ht="9.75" customHeight="1" x14ac:dyDescent="0.2">
      <c r="A34" s="578"/>
    </row>
    <row r="35" spans="1:29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9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9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9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9" s="536" customFormat="1" ht="12" x14ac:dyDescent="0.2">
      <c r="A39" s="1824" t="s">
        <v>976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976</v>
      </c>
    </row>
    <row r="40" spans="1:29" s="536" customFormat="1" ht="12" x14ac:dyDescent="0.2">
      <c r="A40" s="1830" t="s">
        <v>5310</v>
      </c>
      <c r="B40" s="1831"/>
      <c r="C40" s="1831"/>
      <c r="D40" s="1831"/>
      <c r="E40" s="1831"/>
      <c r="F40" s="1831"/>
      <c r="G40" s="1831"/>
      <c r="H40" s="1831"/>
      <c r="I40" s="1831"/>
      <c r="J40" s="1831"/>
      <c r="K40" s="1831"/>
      <c r="L40" s="1831"/>
      <c r="M40" s="1831"/>
      <c r="N40" s="1832"/>
      <c r="V40" s="674"/>
      <c r="W40" s="675" t="s">
        <v>5310</v>
      </c>
    </row>
    <row r="41" spans="1:29" s="536" customFormat="1" ht="56.25" x14ac:dyDescent="0.2">
      <c r="A41" s="575" t="s">
        <v>185</v>
      </c>
      <c r="B41" s="670" t="s">
        <v>3774</v>
      </c>
      <c r="C41" s="1823" t="s">
        <v>3775</v>
      </c>
      <c r="D41" s="1823"/>
      <c r="E41" s="1823"/>
      <c r="F41" s="573" t="s">
        <v>455</v>
      </c>
      <c r="G41" s="573"/>
      <c r="H41" s="573"/>
      <c r="I41" s="573" t="s">
        <v>5311</v>
      </c>
      <c r="J41" s="572"/>
      <c r="K41" s="573"/>
      <c r="L41" s="572"/>
      <c r="M41" s="571"/>
      <c r="N41" s="570"/>
      <c r="V41" s="674"/>
      <c r="W41" s="675"/>
      <c r="X41" s="675" t="s">
        <v>3775</v>
      </c>
    </row>
    <row r="42" spans="1:29" s="536" customFormat="1" ht="12" x14ac:dyDescent="0.2">
      <c r="A42" s="676"/>
      <c r="B42" s="664"/>
      <c r="C42" s="1822" t="s">
        <v>5312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X42" s="675"/>
      <c r="Y42" s="537" t="s">
        <v>5312</v>
      </c>
    </row>
    <row r="43" spans="1:29" s="536" customFormat="1" ht="33.75" x14ac:dyDescent="0.2">
      <c r="A43" s="609"/>
      <c r="B43" s="552" t="s">
        <v>310</v>
      </c>
      <c r="C43" s="1822" t="s">
        <v>311</v>
      </c>
      <c r="D43" s="1822"/>
      <c r="E43" s="1822"/>
      <c r="F43" s="1822"/>
      <c r="G43" s="1822"/>
      <c r="H43" s="1822"/>
      <c r="I43" s="1822"/>
      <c r="J43" s="1822"/>
      <c r="K43" s="1822"/>
      <c r="L43" s="1822"/>
      <c r="M43" s="1822"/>
      <c r="N43" s="1827"/>
      <c r="V43" s="674"/>
      <c r="W43" s="675"/>
      <c r="X43" s="675"/>
      <c r="Z43" s="537" t="s">
        <v>311</v>
      </c>
    </row>
    <row r="44" spans="1:29" s="536" customFormat="1" ht="12" x14ac:dyDescent="0.2">
      <c r="A44" s="605"/>
      <c r="B44" s="552" t="s">
        <v>186</v>
      </c>
      <c r="C44" s="1822" t="s">
        <v>344</v>
      </c>
      <c r="D44" s="1822"/>
      <c r="E44" s="1822"/>
      <c r="F44" s="562"/>
      <c r="G44" s="562"/>
      <c r="H44" s="562"/>
      <c r="I44" s="562"/>
      <c r="J44" s="604">
        <v>6166.95</v>
      </c>
      <c r="K44" s="562" t="s">
        <v>313</v>
      </c>
      <c r="L44" s="604">
        <v>2048.04</v>
      </c>
      <c r="M44" s="603"/>
      <c r="N44" s="602"/>
      <c r="V44" s="674"/>
      <c r="W44" s="675"/>
      <c r="X44" s="675"/>
      <c r="AA44" s="537" t="s">
        <v>344</v>
      </c>
    </row>
    <row r="45" spans="1:29" s="536" customFormat="1" ht="12" x14ac:dyDescent="0.2">
      <c r="A45" s="605"/>
      <c r="B45" s="552" t="s">
        <v>187</v>
      </c>
      <c r="C45" s="1822" t="s">
        <v>345</v>
      </c>
      <c r="D45" s="1822"/>
      <c r="E45" s="1822"/>
      <c r="F45" s="562"/>
      <c r="G45" s="562"/>
      <c r="H45" s="562"/>
      <c r="I45" s="562"/>
      <c r="J45" s="604">
        <v>722.25</v>
      </c>
      <c r="K45" s="562" t="s">
        <v>313</v>
      </c>
      <c r="L45" s="604">
        <v>239.86</v>
      </c>
      <c r="M45" s="603"/>
      <c r="N45" s="602"/>
      <c r="V45" s="674"/>
      <c r="W45" s="675"/>
      <c r="X45" s="675"/>
      <c r="AA45" s="537" t="s">
        <v>345</v>
      </c>
    </row>
    <row r="46" spans="1:29" s="536" customFormat="1" ht="12" x14ac:dyDescent="0.2">
      <c r="A46" s="605"/>
      <c r="B46" s="552"/>
      <c r="C46" s="1822" t="s">
        <v>348</v>
      </c>
      <c r="D46" s="1822"/>
      <c r="E46" s="1822"/>
      <c r="F46" s="562" t="s">
        <v>315</v>
      </c>
      <c r="G46" s="562" t="s">
        <v>3776</v>
      </c>
      <c r="H46" s="562" t="s">
        <v>313</v>
      </c>
      <c r="I46" s="562" t="s">
        <v>5313</v>
      </c>
      <c r="J46" s="604"/>
      <c r="K46" s="562"/>
      <c r="L46" s="604"/>
      <c r="M46" s="603"/>
      <c r="N46" s="602"/>
      <c r="V46" s="674"/>
      <c r="W46" s="675"/>
      <c r="X46" s="675"/>
      <c r="AB46" s="537" t="s">
        <v>348</v>
      </c>
    </row>
    <row r="47" spans="1:29" s="536" customFormat="1" ht="12" x14ac:dyDescent="0.2">
      <c r="A47" s="605"/>
      <c r="B47" s="552"/>
      <c r="C47" s="1828" t="s">
        <v>318</v>
      </c>
      <c r="D47" s="1828"/>
      <c r="E47" s="1828"/>
      <c r="F47" s="608"/>
      <c r="G47" s="608"/>
      <c r="H47" s="608"/>
      <c r="I47" s="608"/>
      <c r="J47" s="607">
        <v>6166.95</v>
      </c>
      <c r="K47" s="608"/>
      <c r="L47" s="607">
        <v>2048.04</v>
      </c>
      <c r="M47" s="601"/>
      <c r="N47" s="606"/>
      <c r="V47" s="674"/>
      <c r="W47" s="675"/>
      <c r="X47" s="675"/>
      <c r="AC47" s="537" t="s">
        <v>318</v>
      </c>
    </row>
    <row r="48" spans="1:29" s="536" customFormat="1" ht="12" x14ac:dyDescent="0.2">
      <c r="A48" s="605"/>
      <c r="B48" s="552"/>
      <c r="C48" s="1822" t="s">
        <v>319</v>
      </c>
      <c r="D48" s="1822"/>
      <c r="E48" s="1822"/>
      <c r="F48" s="562"/>
      <c r="G48" s="562"/>
      <c r="H48" s="562"/>
      <c r="I48" s="562"/>
      <c r="J48" s="604"/>
      <c r="K48" s="562"/>
      <c r="L48" s="604">
        <v>239.86</v>
      </c>
      <c r="M48" s="603"/>
      <c r="N48" s="602"/>
      <c r="V48" s="674"/>
      <c r="W48" s="675"/>
      <c r="X48" s="675"/>
      <c r="AB48" s="537" t="s">
        <v>319</v>
      </c>
    </row>
    <row r="49" spans="1:30" s="536" customFormat="1" ht="33.75" x14ac:dyDescent="0.2">
      <c r="A49" s="605"/>
      <c r="B49" s="552" t="s">
        <v>460</v>
      </c>
      <c r="C49" s="1822" t="s">
        <v>461</v>
      </c>
      <c r="D49" s="1822"/>
      <c r="E49" s="1822"/>
      <c r="F49" s="562" t="s">
        <v>322</v>
      </c>
      <c r="G49" s="562" t="s">
        <v>462</v>
      </c>
      <c r="H49" s="562"/>
      <c r="I49" s="562" t="s">
        <v>462</v>
      </c>
      <c r="J49" s="604"/>
      <c r="K49" s="562"/>
      <c r="L49" s="604">
        <v>220.67</v>
      </c>
      <c r="M49" s="603"/>
      <c r="N49" s="602"/>
      <c r="V49" s="674"/>
      <c r="W49" s="675"/>
      <c r="X49" s="675"/>
      <c r="AB49" s="537" t="s">
        <v>461</v>
      </c>
    </row>
    <row r="50" spans="1:30" s="536" customFormat="1" ht="33.75" x14ac:dyDescent="0.2">
      <c r="A50" s="605"/>
      <c r="B50" s="552" t="s">
        <v>463</v>
      </c>
      <c r="C50" s="1822" t="s">
        <v>464</v>
      </c>
      <c r="D50" s="1822"/>
      <c r="E50" s="1822"/>
      <c r="F50" s="562" t="s">
        <v>322</v>
      </c>
      <c r="G50" s="562" t="s">
        <v>465</v>
      </c>
      <c r="H50" s="562"/>
      <c r="I50" s="562" t="s">
        <v>465</v>
      </c>
      <c r="J50" s="604"/>
      <c r="K50" s="562"/>
      <c r="L50" s="604">
        <v>110.34</v>
      </c>
      <c r="M50" s="603"/>
      <c r="N50" s="602"/>
      <c r="V50" s="674"/>
      <c r="W50" s="675"/>
      <c r="X50" s="675"/>
      <c r="AB50" s="537" t="s">
        <v>464</v>
      </c>
    </row>
    <row r="51" spans="1:30" s="536" customFormat="1" ht="12" x14ac:dyDescent="0.2">
      <c r="A51" s="569"/>
      <c r="B51" s="671"/>
      <c r="C51" s="1823" t="s">
        <v>327</v>
      </c>
      <c r="D51" s="1823"/>
      <c r="E51" s="1823"/>
      <c r="F51" s="573"/>
      <c r="G51" s="573"/>
      <c r="H51" s="573"/>
      <c r="I51" s="573"/>
      <c r="J51" s="572"/>
      <c r="K51" s="573"/>
      <c r="L51" s="572">
        <v>2379.0500000000002</v>
      </c>
      <c r="M51" s="601"/>
      <c r="N51" s="570"/>
      <c r="V51" s="674"/>
      <c r="W51" s="675"/>
      <c r="X51" s="675"/>
      <c r="AD51" s="675" t="s">
        <v>327</v>
      </c>
    </row>
    <row r="52" spans="1:30" s="536" customFormat="1" ht="45" x14ac:dyDescent="0.2">
      <c r="A52" s="575" t="s">
        <v>186</v>
      </c>
      <c r="B52" s="670" t="s">
        <v>1511</v>
      </c>
      <c r="C52" s="1823" t="s">
        <v>1512</v>
      </c>
      <c r="D52" s="1823"/>
      <c r="E52" s="1823"/>
      <c r="F52" s="573" t="s">
        <v>455</v>
      </c>
      <c r="G52" s="573"/>
      <c r="H52" s="573"/>
      <c r="I52" s="573" t="s">
        <v>5314</v>
      </c>
      <c r="J52" s="572"/>
      <c r="K52" s="573"/>
      <c r="L52" s="572"/>
      <c r="M52" s="571"/>
      <c r="N52" s="570"/>
      <c r="V52" s="674"/>
      <c r="W52" s="675"/>
      <c r="X52" s="675" t="s">
        <v>1512</v>
      </c>
      <c r="AD52" s="675"/>
    </row>
    <row r="53" spans="1:30" s="536" customFormat="1" ht="12" x14ac:dyDescent="0.2">
      <c r="A53" s="676"/>
      <c r="B53" s="664"/>
      <c r="C53" s="1822" t="s">
        <v>5315</v>
      </c>
      <c r="D53" s="1822"/>
      <c r="E53" s="1822"/>
      <c r="F53" s="1822"/>
      <c r="G53" s="1822"/>
      <c r="H53" s="1822"/>
      <c r="I53" s="1822"/>
      <c r="J53" s="1822"/>
      <c r="K53" s="1822"/>
      <c r="L53" s="1822"/>
      <c r="M53" s="1822"/>
      <c r="N53" s="1827"/>
      <c r="V53" s="674"/>
      <c r="W53" s="675"/>
      <c r="X53" s="675"/>
      <c r="Y53" s="537" t="s">
        <v>5315</v>
      </c>
      <c r="AD53" s="675"/>
    </row>
    <row r="54" spans="1:30" s="536" customFormat="1" ht="33.75" x14ac:dyDescent="0.2">
      <c r="A54" s="609"/>
      <c r="B54" s="552" t="s">
        <v>310</v>
      </c>
      <c r="C54" s="1822" t="s">
        <v>311</v>
      </c>
      <c r="D54" s="1822"/>
      <c r="E54" s="1822"/>
      <c r="F54" s="1822"/>
      <c r="G54" s="1822"/>
      <c r="H54" s="1822"/>
      <c r="I54" s="1822"/>
      <c r="J54" s="1822"/>
      <c r="K54" s="1822"/>
      <c r="L54" s="1822"/>
      <c r="M54" s="1822"/>
      <c r="N54" s="1827"/>
      <c r="V54" s="674"/>
      <c r="W54" s="675"/>
      <c r="X54" s="675"/>
      <c r="Z54" s="537" t="s">
        <v>311</v>
      </c>
      <c r="AD54" s="675"/>
    </row>
    <row r="55" spans="1:30" s="536" customFormat="1" ht="12" x14ac:dyDescent="0.2">
      <c r="A55" s="605"/>
      <c r="B55" s="552" t="s">
        <v>186</v>
      </c>
      <c r="C55" s="1822" t="s">
        <v>344</v>
      </c>
      <c r="D55" s="1822"/>
      <c r="E55" s="1822"/>
      <c r="F55" s="562"/>
      <c r="G55" s="562"/>
      <c r="H55" s="562"/>
      <c r="I55" s="562"/>
      <c r="J55" s="604">
        <v>4898.9799999999996</v>
      </c>
      <c r="K55" s="562" t="s">
        <v>313</v>
      </c>
      <c r="L55" s="604">
        <v>4948.6400000000003</v>
      </c>
      <c r="M55" s="603"/>
      <c r="N55" s="602"/>
      <c r="V55" s="674"/>
      <c r="W55" s="675"/>
      <c r="X55" s="675"/>
      <c r="AA55" s="537" t="s">
        <v>344</v>
      </c>
      <c r="AD55" s="675"/>
    </row>
    <row r="56" spans="1:30" s="536" customFormat="1" ht="12" x14ac:dyDescent="0.2">
      <c r="A56" s="605"/>
      <c r="B56" s="552" t="s">
        <v>187</v>
      </c>
      <c r="C56" s="1822" t="s">
        <v>345</v>
      </c>
      <c r="D56" s="1822"/>
      <c r="E56" s="1822"/>
      <c r="F56" s="562"/>
      <c r="G56" s="562"/>
      <c r="H56" s="562"/>
      <c r="I56" s="562"/>
      <c r="J56" s="604">
        <v>573.75</v>
      </c>
      <c r="K56" s="562" t="s">
        <v>313</v>
      </c>
      <c r="L56" s="604">
        <v>579.57000000000005</v>
      </c>
      <c r="M56" s="603"/>
      <c r="N56" s="602"/>
      <c r="V56" s="674"/>
      <c r="W56" s="675"/>
      <c r="X56" s="675"/>
      <c r="AA56" s="537" t="s">
        <v>345</v>
      </c>
      <c r="AD56" s="675"/>
    </row>
    <row r="57" spans="1:30" s="536" customFormat="1" ht="22.5" x14ac:dyDescent="0.2">
      <c r="A57" s="605"/>
      <c r="B57" s="552"/>
      <c r="C57" s="1822" t="s">
        <v>348</v>
      </c>
      <c r="D57" s="1822"/>
      <c r="E57" s="1822"/>
      <c r="F57" s="562" t="s">
        <v>315</v>
      </c>
      <c r="G57" s="562" t="s">
        <v>1513</v>
      </c>
      <c r="H57" s="562" t="s">
        <v>313</v>
      </c>
      <c r="I57" s="562" t="s">
        <v>5316</v>
      </c>
      <c r="J57" s="604"/>
      <c r="K57" s="562"/>
      <c r="L57" s="604"/>
      <c r="M57" s="603"/>
      <c r="N57" s="602"/>
      <c r="V57" s="674"/>
      <c r="W57" s="675"/>
      <c r="X57" s="675"/>
      <c r="AB57" s="537" t="s">
        <v>348</v>
      </c>
      <c r="AD57" s="675"/>
    </row>
    <row r="58" spans="1:30" s="536" customFormat="1" ht="12" x14ac:dyDescent="0.2">
      <c r="A58" s="605"/>
      <c r="B58" s="552"/>
      <c r="C58" s="1828" t="s">
        <v>318</v>
      </c>
      <c r="D58" s="1828"/>
      <c r="E58" s="1828"/>
      <c r="F58" s="608"/>
      <c r="G58" s="608"/>
      <c r="H58" s="608"/>
      <c r="I58" s="608"/>
      <c r="J58" s="607">
        <v>4898.9799999999996</v>
      </c>
      <c r="K58" s="608"/>
      <c r="L58" s="607">
        <v>4948.6400000000003</v>
      </c>
      <c r="M58" s="601"/>
      <c r="N58" s="606"/>
      <c r="V58" s="674"/>
      <c r="W58" s="675"/>
      <c r="X58" s="675"/>
      <c r="AC58" s="537" t="s">
        <v>318</v>
      </c>
      <c r="AD58" s="675"/>
    </row>
    <row r="59" spans="1:30" s="536" customFormat="1" ht="12" x14ac:dyDescent="0.2">
      <c r="A59" s="605"/>
      <c r="B59" s="552"/>
      <c r="C59" s="1822" t="s">
        <v>319</v>
      </c>
      <c r="D59" s="1822"/>
      <c r="E59" s="1822"/>
      <c r="F59" s="562"/>
      <c r="G59" s="562"/>
      <c r="H59" s="562"/>
      <c r="I59" s="562"/>
      <c r="J59" s="604"/>
      <c r="K59" s="562"/>
      <c r="L59" s="604">
        <v>579.57000000000005</v>
      </c>
      <c r="M59" s="603"/>
      <c r="N59" s="602"/>
      <c r="V59" s="674"/>
      <c r="W59" s="675"/>
      <c r="X59" s="675"/>
      <c r="AB59" s="537" t="s">
        <v>319</v>
      </c>
      <c r="AD59" s="675"/>
    </row>
    <row r="60" spans="1:30" s="536" customFormat="1" ht="33.75" x14ac:dyDescent="0.2">
      <c r="A60" s="605"/>
      <c r="B60" s="552" t="s">
        <v>460</v>
      </c>
      <c r="C60" s="1822" t="s">
        <v>461</v>
      </c>
      <c r="D60" s="1822"/>
      <c r="E60" s="1822"/>
      <c r="F60" s="562" t="s">
        <v>322</v>
      </c>
      <c r="G60" s="562" t="s">
        <v>462</v>
      </c>
      <c r="H60" s="562"/>
      <c r="I60" s="562" t="s">
        <v>462</v>
      </c>
      <c r="J60" s="604"/>
      <c r="K60" s="562"/>
      <c r="L60" s="604">
        <v>533.20000000000005</v>
      </c>
      <c r="M60" s="603"/>
      <c r="N60" s="602"/>
      <c r="V60" s="674"/>
      <c r="W60" s="675"/>
      <c r="X60" s="675"/>
      <c r="AB60" s="537" t="s">
        <v>461</v>
      </c>
      <c r="AD60" s="675"/>
    </row>
    <row r="61" spans="1:30" s="536" customFormat="1" ht="33.75" x14ac:dyDescent="0.2">
      <c r="A61" s="605"/>
      <c r="B61" s="552" t="s">
        <v>463</v>
      </c>
      <c r="C61" s="1822" t="s">
        <v>464</v>
      </c>
      <c r="D61" s="1822"/>
      <c r="E61" s="1822"/>
      <c r="F61" s="562" t="s">
        <v>322</v>
      </c>
      <c r="G61" s="562" t="s">
        <v>465</v>
      </c>
      <c r="H61" s="562"/>
      <c r="I61" s="562" t="s">
        <v>465</v>
      </c>
      <c r="J61" s="604"/>
      <c r="K61" s="562"/>
      <c r="L61" s="604">
        <v>266.60000000000002</v>
      </c>
      <c r="M61" s="603"/>
      <c r="N61" s="602"/>
      <c r="V61" s="674"/>
      <c r="W61" s="675"/>
      <c r="X61" s="675"/>
      <c r="AB61" s="537" t="s">
        <v>464</v>
      </c>
      <c r="AD61" s="675"/>
    </row>
    <row r="62" spans="1:30" s="536" customFormat="1" ht="12" x14ac:dyDescent="0.2">
      <c r="A62" s="569"/>
      <c r="B62" s="671"/>
      <c r="C62" s="1823" t="s">
        <v>327</v>
      </c>
      <c r="D62" s="1823"/>
      <c r="E62" s="1823"/>
      <c r="F62" s="573"/>
      <c r="G62" s="573"/>
      <c r="H62" s="573"/>
      <c r="I62" s="573"/>
      <c r="J62" s="572"/>
      <c r="K62" s="573"/>
      <c r="L62" s="572">
        <v>5748.44</v>
      </c>
      <c r="M62" s="601"/>
      <c r="N62" s="570"/>
      <c r="V62" s="674"/>
      <c r="W62" s="675"/>
      <c r="X62" s="675"/>
      <c r="AD62" s="675" t="s">
        <v>327</v>
      </c>
    </row>
    <row r="63" spans="1:30" s="536" customFormat="1" ht="45" x14ac:dyDescent="0.2">
      <c r="A63" s="575" t="s">
        <v>187</v>
      </c>
      <c r="B63" s="670" t="s">
        <v>1514</v>
      </c>
      <c r="C63" s="1823" t="s">
        <v>5317</v>
      </c>
      <c r="D63" s="1823"/>
      <c r="E63" s="1823"/>
      <c r="F63" s="573" t="s">
        <v>509</v>
      </c>
      <c r="G63" s="573"/>
      <c r="H63" s="573"/>
      <c r="I63" s="573" t="s">
        <v>5318</v>
      </c>
      <c r="J63" s="572"/>
      <c r="K63" s="573"/>
      <c r="L63" s="572"/>
      <c r="M63" s="571"/>
      <c r="N63" s="570"/>
      <c r="V63" s="674"/>
      <c r="W63" s="675"/>
      <c r="X63" s="675" t="s">
        <v>5317</v>
      </c>
      <c r="AD63" s="675"/>
    </row>
    <row r="64" spans="1:30" s="536" customFormat="1" ht="12" x14ac:dyDescent="0.2">
      <c r="A64" s="676"/>
      <c r="B64" s="664"/>
      <c r="C64" s="1822" t="s">
        <v>5319</v>
      </c>
      <c r="D64" s="1822"/>
      <c r="E64" s="1822"/>
      <c r="F64" s="1822"/>
      <c r="G64" s="1822"/>
      <c r="H64" s="1822"/>
      <c r="I64" s="1822"/>
      <c r="J64" s="1822"/>
      <c r="K64" s="1822"/>
      <c r="L64" s="1822"/>
      <c r="M64" s="1822"/>
      <c r="N64" s="1827"/>
      <c r="V64" s="674"/>
      <c r="W64" s="675"/>
      <c r="X64" s="675"/>
      <c r="Y64" s="537" t="s">
        <v>5319</v>
      </c>
      <c r="AD64" s="675"/>
    </row>
    <row r="65" spans="1:30" s="536" customFormat="1" ht="22.5" x14ac:dyDescent="0.2">
      <c r="A65" s="609"/>
      <c r="B65" s="552" t="s">
        <v>1518</v>
      </c>
      <c r="C65" s="1822" t="s">
        <v>1519</v>
      </c>
      <c r="D65" s="1822"/>
      <c r="E65" s="1822"/>
      <c r="F65" s="1822"/>
      <c r="G65" s="1822"/>
      <c r="H65" s="1822"/>
      <c r="I65" s="1822"/>
      <c r="J65" s="1822"/>
      <c r="K65" s="1822"/>
      <c r="L65" s="1822"/>
      <c r="M65" s="1822"/>
      <c r="N65" s="1827"/>
      <c r="V65" s="674"/>
      <c r="W65" s="675"/>
      <c r="X65" s="675"/>
      <c r="Z65" s="537" t="s">
        <v>1519</v>
      </c>
      <c r="AD65" s="675"/>
    </row>
    <row r="66" spans="1:30" s="536" customFormat="1" ht="33.75" x14ac:dyDescent="0.2">
      <c r="A66" s="609"/>
      <c r="B66" s="552" t="s">
        <v>310</v>
      </c>
      <c r="C66" s="1822" t="s">
        <v>311</v>
      </c>
      <c r="D66" s="1822"/>
      <c r="E66" s="1822"/>
      <c r="F66" s="1822"/>
      <c r="G66" s="1822"/>
      <c r="H66" s="1822"/>
      <c r="I66" s="1822"/>
      <c r="J66" s="1822"/>
      <c r="K66" s="1822"/>
      <c r="L66" s="1822"/>
      <c r="M66" s="1822"/>
      <c r="N66" s="1827"/>
      <c r="V66" s="674"/>
      <c r="W66" s="675"/>
      <c r="X66" s="675"/>
      <c r="Z66" s="537" t="s">
        <v>311</v>
      </c>
      <c r="AD66" s="675"/>
    </row>
    <row r="67" spans="1:30" s="536" customFormat="1" ht="12" x14ac:dyDescent="0.2">
      <c r="A67" s="605"/>
      <c r="B67" s="552" t="s">
        <v>185</v>
      </c>
      <c r="C67" s="1822" t="s">
        <v>312</v>
      </c>
      <c r="D67" s="1822"/>
      <c r="E67" s="1822"/>
      <c r="F67" s="562"/>
      <c r="G67" s="562"/>
      <c r="H67" s="562"/>
      <c r="I67" s="562"/>
      <c r="J67" s="604">
        <v>3036.68</v>
      </c>
      <c r="K67" s="562" t="s">
        <v>1520</v>
      </c>
      <c r="L67" s="604">
        <v>1512.72</v>
      </c>
      <c r="M67" s="603"/>
      <c r="N67" s="602"/>
      <c r="V67" s="674"/>
      <c r="W67" s="675"/>
      <c r="X67" s="675"/>
      <c r="AA67" s="537" t="s">
        <v>312</v>
      </c>
      <c r="AD67" s="675"/>
    </row>
    <row r="68" spans="1:30" s="536" customFormat="1" ht="12" x14ac:dyDescent="0.2">
      <c r="A68" s="605"/>
      <c r="B68" s="552"/>
      <c r="C68" s="1822" t="s">
        <v>314</v>
      </c>
      <c r="D68" s="1822"/>
      <c r="E68" s="1822"/>
      <c r="F68" s="562" t="s">
        <v>315</v>
      </c>
      <c r="G68" s="562" t="s">
        <v>1521</v>
      </c>
      <c r="H68" s="562" t="s">
        <v>1520</v>
      </c>
      <c r="I68" s="562" t="s">
        <v>5320</v>
      </c>
      <c r="J68" s="604"/>
      <c r="K68" s="562"/>
      <c r="L68" s="604"/>
      <c r="M68" s="603"/>
      <c r="N68" s="602"/>
      <c r="V68" s="674"/>
      <c r="W68" s="675"/>
      <c r="X68" s="675"/>
      <c r="AB68" s="537" t="s">
        <v>314</v>
      </c>
      <c r="AD68" s="675"/>
    </row>
    <row r="69" spans="1:30" s="536" customFormat="1" ht="12" x14ac:dyDescent="0.2">
      <c r="A69" s="605"/>
      <c r="B69" s="552"/>
      <c r="C69" s="1828" t="s">
        <v>318</v>
      </c>
      <c r="D69" s="1828"/>
      <c r="E69" s="1828"/>
      <c r="F69" s="608"/>
      <c r="G69" s="608"/>
      <c r="H69" s="608"/>
      <c r="I69" s="608"/>
      <c r="J69" s="607">
        <v>3036.68</v>
      </c>
      <c r="K69" s="608"/>
      <c r="L69" s="607">
        <v>1512.72</v>
      </c>
      <c r="M69" s="601"/>
      <c r="N69" s="606"/>
      <c r="V69" s="674"/>
      <c r="W69" s="675"/>
      <c r="X69" s="675"/>
      <c r="AC69" s="537" t="s">
        <v>318</v>
      </c>
      <c r="AD69" s="675"/>
    </row>
    <row r="70" spans="1:30" s="536" customFormat="1" ht="12" x14ac:dyDescent="0.2">
      <c r="A70" s="605"/>
      <c r="B70" s="552"/>
      <c r="C70" s="1822" t="s">
        <v>319</v>
      </c>
      <c r="D70" s="1822"/>
      <c r="E70" s="1822"/>
      <c r="F70" s="562"/>
      <c r="G70" s="562"/>
      <c r="H70" s="562"/>
      <c r="I70" s="562"/>
      <c r="J70" s="604"/>
      <c r="K70" s="562"/>
      <c r="L70" s="604">
        <v>1512.72</v>
      </c>
      <c r="M70" s="603"/>
      <c r="N70" s="602"/>
      <c r="V70" s="674"/>
      <c r="W70" s="675"/>
      <c r="X70" s="675"/>
      <c r="AB70" s="537" t="s">
        <v>319</v>
      </c>
      <c r="AD70" s="675"/>
    </row>
    <row r="71" spans="1:30" s="536" customFormat="1" ht="33.75" x14ac:dyDescent="0.2">
      <c r="A71" s="605"/>
      <c r="B71" s="552" t="s">
        <v>673</v>
      </c>
      <c r="C71" s="1822" t="s">
        <v>674</v>
      </c>
      <c r="D71" s="1822"/>
      <c r="E71" s="1822"/>
      <c r="F71" s="562" t="s">
        <v>322</v>
      </c>
      <c r="G71" s="562" t="s">
        <v>323</v>
      </c>
      <c r="H71" s="562"/>
      <c r="I71" s="562" t="s">
        <v>323</v>
      </c>
      <c r="J71" s="604"/>
      <c r="K71" s="562"/>
      <c r="L71" s="604">
        <v>1346.32</v>
      </c>
      <c r="M71" s="603"/>
      <c r="N71" s="602"/>
      <c r="V71" s="674"/>
      <c r="W71" s="675"/>
      <c r="X71" s="675"/>
      <c r="AB71" s="537" t="s">
        <v>674</v>
      </c>
      <c r="AD71" s="675"/>
    </row>
    <row r="72" spans="1:30" s="536" customFormat="1" ht="33.75" x14ac:dyDescent="0.2">
      <c r="A72" s="605"/>
      <c r="B72" s="552" t="s">
        <v>675</v>
      </c>
      <c r="C72" s="1822" t="s">
        <v>676</v>
      </c>
      <c r="D72" s="1822"/>
      <c r="E72" s="1822"/>
      <c r="F72" s="562" t="s">
        <v>322</v>
      </c>
      <c r="G72" s="562" t="s">
        <v>677</v>
      </c>
      <c r="H72" s="562"/>
      <c r="I72" s="562" t="s">
        <v>677</v>
      </c>
      <c r="J72" s="604"/>
      <c r="K72" s="562"/>
      <c r="L72" s="604">
        <v>605.09</v>
      </c>
      <c r="M72" s="603"/>
      <c r="N72" s="602"/>
      <c r="V72" s="674"/>
      <c r="W72" s="675"/>
      <c r="X72" s="675"/>
      <c r="AB72" s="537" t="s">
        <v>676</v>
      </c>
      <c r="AD72" s="675"/>
    </row>
    <row r="73" spans="1:30" s="536" customFormat="1" ht="12" x14ac:dyDescent="0.2">
      <c r="A73" s="569"/>
      <c r="B73" s="671"/>
      <c r="C73" s="1823" t="s">
        <v>327</v>
      </c>
      <c r="D73" s="1823"/>
      <c r="E73" s="1823"/>
      <c r="F73" s="573"/>
      <c r="G73" s="573"/>
      <c r="H73" s="573"/>
      <c r="I73" s="573"/>
      <c r="J73" s="572"/>
      <c r="K73" s="573"/>
      <c r="L73" s="572">
        <v>3464.13</v>
      </c>
      <c r="M73" s="601"/>
      <c r="N73" s="570"/>
      <c r="V73" s="674"/>
      <c r="W73" s="675"/>
      <c r="X73" s="675"/>
      <c r="AD73" s="675" t="s">
        <v>327</v>
      </c>
    </row>
    <row r="74" spans="1:30" s="536" customFormat="1" ht="45" x14ac:dyDescent="0.2">
      <c r="A74" s="575" t="s">
        <v>188</v>
      </c>
      <c r="B74" s="670" t="s">
        <v>1005</v>
      </c>
      <c r="C74" s="1823" t="s">
        <v>1006</v>
      </c>
      <c r="D74" s="1823"/>
      <c r="E74" s="1823"/>
      <c r="F74" s="573" t="s">
        <v>201</v>
      </c>
      <c r="G74" s="573"/>
      <c r="H74" s="573"/>
      <c r="I74" s="573" t="s">
        <v>5321</v>
      </c>
      <c r="J74" s="572">
        <v>2.91</v>
      </c>
      <c r="K74" s="573"/>
      <c r="L74" s="572">
        <v>1779</v>
      </c>
      <c r="M74" s="571"/>
      <c r="N74" s="570"/>
      <c r="V74" s="674"/>
      <c r="W74" s="675"/>
      <c r="X74" s="675" t="s">
        <v>1006</v>
      </c>
      <c r="AD74" s="675"/>
    </row>
    <row r="75" spans="1:30" s="536" customFormat="1" ht="12" x14ac:dyDescent="0.2">
      <c r="A75" s="676"/>
      <c r="B75" s="664"/>
      <c r="C75" s="1822" t="s">
        <v>5322</v>
      </c>
      <c r="D75" s="1822"/>
      <c r="E75" s="1822"/>
      <c r="F75" s="1822"/>
      <c r="G75" s="1822"/>
      <c r="H75" s="1822"/>
      <c r="I75" s="1822"/>
      <c r="J75" s="1822"/>
      <c r="K75" s="1822"/>
      <c r="L75" s="1822"/>
      <c r="M75" s="1822"/>
      <c r="N75" s="1827"/>
      <c r="V75" s="674"/>
      <c r="W75" s="675"/>
      <c r="X75" s="675"/>
      <c r="Y75" s="537" t="s">
        <v>5322</v>
      </c>
      <c r="AD75" s="675"/>
    </row>
    <row r="76" spans="1:30" s="536" customFormat="1" ht="45" x14ac:dyDescent="0.2">
      <c r="A76" s="575" t="s">
        <v>189</v>
      </c>
      <c r="B76" s="670" t="s">
        <v>503</v>
      </c>
      <c r="C76" s="1823" t="s">
        <v>504</v>
      </c>
      <c r="D76" s="1823"/>
      <c r="E76" s="1823"/>
      <c r="F76" s="573" t="s">
        <v>455</v>
      </c>
      <c r="G76" s="573"/>
      <c r="H76" s="573"/>
      <c r="I76" s="573" t="s">
        <v>5323</v>
      </c>
      <c r="J76" s="572"/>
      <c r="K76" s="573"/>
      <c r="L76" s="572"/>
      <c r="M76" s="571"/>
      <c r="N76" s="570"/>
      <c r="V76" s="674"/>
      <c r="W76" s="675"/>
      <c r="X76" s="675" t="s">
        <v>504</v>
      </c>
      <c r="AD76" s="675"/>
    </row>
    <row r="77" spans="1:30" s="536" customFormat="1" ht="12" x14ac:dyDescent="0.2">
      <c r="A77" s="676"/>
      <c r="B77" s="664"/>
      <c r="C77" s="1822" t="s">
        <v>5324</v>
      </c>
      <c r="D77" s="1822"/>
      <c r="E77" s="1822"/>
      <c r="F77" s="1822"/>
      <c r="G77" s="1822"/>
      <c r="H77" s="1822"/>
      <c r="I77" s="1822"/>
      <c r="J77" s="1822"/>
      <c r="K77" s="1822"/>
      <c r="L77" s="1822"/>
      <c r="M77" s="1822"/>
      <c r="N77" s="1827"/>
      <c r="V77" s="674"/>
      <c r="W77" s="675"/>
      <c r="X77" s="675"/>
      <c r="Y77" s="537" t="s">
        <v>5324</v>
      </c>
      <c r="AD77" s="675"/>
    </row>
    <row r="78" spans="1:30" s="536" customFormat="1" ht="33.75" x14ac:dyDescent="0.2">
      <c r="A78" s="609"/>
      <c r="B78" s="552" t="s">
        <v>310</v>
      </c>
      <c r="C78" s="1822" t="s">
        <v>311</v>
      </c>
      <c r="D78" s="1822"/>
      <c r="E78" s="1822"/>
      <c r="F78" s="1822"/>
      <c r="G78" s="1822"/>
      <c r="H78" s="1822"/>
      <c r="I78" s="1822"/>
      <c r="J78" s="1822"/>
      <c r="K78" s="1822"/>
      <c r="L78" s="1822"/>
      <c r="M78" s="1822"/>
      <c r="N78" s="1827"/>
      <c r="V78" s="674"/>
      <c r="W78" s="675"/>
      <c r="X78" s="675"/>
      <c r="Z78" s="537" t="s">
        <v>311</v>
      </c>
      <c r="AD78" s="675"/>
    </row>
    <row r="79" spans="1:30" s="536" customFormat="1" ht="12" x14ac:dyDescent="0.2">
      <c r="A79" s="605"/>
      <c r="B79" s="552" t="s">
        <v>186</v>
      </c>
      <c r="C79" s="1822" t="s">
        <v>344</v>
      </c>
      <c r="D79" s="1822"/>
      <c r="E79" s="1822"/>
      <c r="F79" s="562"/>
      <c r="G79" s="562"/>
      <c r="H79" s="562"/>
      <c r="I79" s="562"/>
      <c r="J79" s="604">
        <v>3803.91</v>
      </c>
      <c r="K79" s="562" t="s">
        <v>313</v>
      </c>
      <c r="L79" s="604">
        <v>4000.38</v>
      </c>
      <c r="M79" s="603"/>
      <c r="N79" s="602"/>
      <c r="V79" s="674"/>
      <c r="W79" s="675"/>
      <c r="X79" s="675"/>
      <c r="AA79" s="537" t="s">
        <v>344</v>
      </c>
      <c r="AD79" s="675"/>
    </row>
    <row r="80" spans="1:30" s="536" customFormat="1" ht="12" x14ac:dyDescent="0.2">
      <c r="A80" s="605"/>
      <c r="B80" s="552" t="s">
        <v>187</v>
      </c>
      <c r="C80" s="1822" t="s">
        <v>345</v>
      </c>
      <c r="D80" s="1822"/>
      <c r="E80" s="1822"/>
      <c r="F80" s="562"/>
      <c r="G80" s="562"/>
      <c r="H80" s="562"/>
      <c r="I80" s="562"/>
      <c r="J80" s="604">
        <v>445.5</v>
      </c>
      <c r="K80" s="562" t="s">
        <v>313</v>
      </c>
      <c r="L80" s="604">
        <v>468.51</v>
      </c>
      <c r="M80" s="603"/>
      <c r="N80" s="602"/>
      <c r="V80" s="674"/>
      <c r="W80" s="675"/>
      <c r="X80" s="675"/>
      <c r="AA80" s="537" t="s">
        <v>345</v>
      </c>
      <c r="AD80" s="675"/>
    </row>
    <row r="81" spans="1:30" s="536" customFormat="1" ht="12" x14ac:dyDescent="0.2">
      <c r="A81" s="605"/>
      <c r="B81" s="552"/>
      <c r="C81" s="1822" t="s">
        <v>348</v>
      </c>
      <c r="D81" s="1822"/>
      <c r="E81" s="1822"/>
      <c r="F81" s="562" t="s">
        <v>315</v>
      </c>
      <c r="G81" s="562" t="s">
        <v>505</v>
      </c>
      <c r="H81" s="562" t="s">
        <v>313</v>
      </c>
      <c r="I81" s="562" t="s">
        <v>5325</v>
      </c>
      <c r="J81" s="604"/>
      <c r="K81" s="562"/>
      <c r="L81" s="604"/>
      <c r="M81" s="603"/>
      <c r="N81" s="602"/>
      <c r="V81" s="674"/>
      <c r="W81" s="675"/>
      <c r="X81" s="675"/>
      <c r="AB81" s="537" t="s">
        <v>348</v>
      </c>
      <c r="AD81" s="675"/>
    </row>
    <row r="82" spans="1:30" s="536" customFormat="1" ht="12" x14ac:dyDescent="0.2">
      <c r="A82" s="605"/>
      <c r="B82" s="552"/>
      <c r="C82" s="1828" t="s">
        <v>318</v>
      </c>
      <c r="D82" s="1828"/>
      <c r="E82" s="1828"/>
      <c r="F82" s="608"/>
      <c r="G82" s="608"/>
      <c r="H82" s="608"/>
      <c r="I82" s="608"/>
      <c r="J82" s="607">
        <v>3803.91</v>
      </c>
      <c r="K82" s="608"/>
      <c r="L82" s="607">
        <v>4000.38</v>
      </c>
      <c r="M82" s="601"/>
      <c r="N82" s="606"/>
      <c r="V82" s="674"/>
      <c r="W82" s="675"/>
      <c r="X82" s="675"/>
      <c r="AC82" s="537" t="s">
        <v>318</v>
      </c>
      <c r="AD82" s="675"/>
    </row>
    <row r="83" spans="1:30" s="536" customFormat="1" ht="12" x14ac:dyDescent="0.2">
      <c r="A83" s="605"/>
      <c r="B83" s="552"/>
      <c r="C83" s="1822" t="s">
        <v>319</v>
      </c>
      <c r="D83" s="1822"/>
      <c r="E83" s="1822"/>
      <c r="F83" s="562"/>
      <c r="G83" s="562"/>
      <c r="H83" s="562"/>
      <c r="I83" s="562"/>
      <c r="J83" s="604"/>
      <c r="K83" s="562"/>
      <c r="L83" s="604">
        <v>468.51</v>
      </c>
      <c r="M83" s="603"/>
      <c r="N83" s="602"/>
      <c r="V83" s="674"/>
      <c r="W83" s="675"/>
      <c r="X83" s="675"/>
      <c r="AB83" s="537" t="s">
        <v>319</v>
      </c>
      <c r="AD83" s="675"/>
    </row>
    <row r="84" spans="1:30" s="536" customFormat="1" ht="33.75" x14ac:dyDescent="0.2">
      <c r="A84" s="605"/>
      <c r="B84" s="552" t="s">
        <v>460</v>
      </c>
      <c r="C84" s="1822" t="s">
        <v>461</v>
      </c>
      <c r="D84" s="1822"/>
      <c r="E84" s="1822"/>
      <c r="F84" s="562" t="s">
        <v>322</v>
      </c>
      <c r="G84" s="562" t="s">
        <v>462</v>
      </c>
      <c r="H84" s="562"/>
      <c r="I84" s="562" t="s">
        <v>462</v>
      </c>
      <c r="J84" s="604"/>
      <c r="K84" s="562"/>
      <c r="L84" s="604">
        <v>431.03</v>
      </c>
      <c r="M84" s="603"/>
      <c r="N84" s="602"/>
      <c r="V84" s="674"/>
      <c r="W84" s="675"/>
      <c r="X84" s="675"/>
      <c r="AB84" s="537" t="s">
        <v>461</v>
      </c>
      <c r="AD84" s="675"/>
    </row>
    <row r="85" spans="1:30" s="536" customFormat="1" ht="33.75" x14ac:dyDescent="0.2">
      <c r="A85" s="605"/>
      <c r="B85" s="552" t="s">
        <v>463</v>
      </c>
      <c r="C85" s="1822" t="s">
        <v>464</v>
      </c>
      <c r="D85" s="1822"/>
      <c r="E85" s="1822"/>
      <c r="F85" s="562" t="s">
        <v>322</v>
      </c>
      <c r="G85" s="562" t="s">
        <v>465</v>
      </c>
      <c r="H85" s="562"/>
      <c r="I85" s="562" t="s">
        <v>465</v>
      </c>
      <c r="J85" s="604"/>
      <c r="K85" s="562"/>
      <c r="L85" s="604">
        <v>215.51</v>
      </c>
      <c r="M85" s="603"/>
      <c r="N85" s="602"/>
      <c r="V85" s="674"/>
      <c r="W85" s="675"/>
      <c r="X85" s="675"/>
      <c r="AB85" s="537" t="s">
        <v>464</v>
      </c>
      <c r="AD85" s="675"/>
    </row>
    <row r="86" spans="1:30" s="536" customFormat="1" ht="12" x14ac:dyDescent="0.2">
      <c r="A86" s="569"/>
      <c r="B86" s="671"/>
      <c r="C86" s="1823" t="s">
        <v>327</v>
      </c>
      <c r="D86" s="1823"/>
      <c r="E86" s="1823"/>
      <c r="F86" s="573"/>
      <c r="G86" s="573"/>
      <c r="H86" s="573"/>
      <c r="I86" s="573"/>
      <c r="J86" s="572"/>
      <c r="K86" s="573"/>
      <c r="L86" s="572">
        <v>4646.92</v>
      </c>
      <c r="M86" s="601"/>
      <c r="N86" s="570"/>
      <c r="V86" s="674"/>
      <c r="W86" s="675"/>
      <c r="X86" s="675"/>
      <c r="AD86" s="675" t="s">
        <v>327</v>
      </c>
    </row>
    <row r="87" spans="1:30" s="536" customFormat="1" ht="22.5" x14ac:dyDescent="0.2">
      <c r="A87" s="575" t="s">
        <v>190</v>
      </c>
      <c r="B87" s="670" t="s">
        <v>507</v>
      </c>
      <c r="C87" s="1823" t="s">
        <v>508</v>
      </c>
      <c r="D87" s="1823"/>
      <c r="E87" s="1823"/>
      <c r="F87" s="573" t="s">
        <v>509</v>
      </c>
      <c r="G87" s="573"/>
      <c r="H87" s="573"/>
      <c r="I87" s="573" t="s">
        <v>5326</v>
      </c>
      <c r="J87" s="572"/>
      <c r="K87" s="573"/>
      <c r="L87" s="572"/>
      <c r="M87" s="571"/>
      <c r="N87" s="570"/>
      <c r="V87" s="674"/>
      <c r="W87" s="675"/>
      <c r="X87" s="675" t="s">
        <v>508</v>
      </c>
      <c r="AD87" s="675"/>
    </row>
    <row r="88" spans="1:30" s="536" customFormat="1" ht="12" x14ac:dyDescent="0.2">
      <c r="A88" s="676"/>
      <c r="B88" s="664"/>
      <c r="C88" s="1822" t="s">
        <v>5327</v>
      </c>
      <c r="D88" s="1822"/>
      <c r="E88" s="1822"/>
      <c r="F88" s="1822"/>
      <c r="G88" s="1822"/>
      <c r="H88" s="1822"/>
      <c r="I88" s="1822"/>
      <c r="J88" s="1822"/>
      <c r="K88" s="1822"/>
      <c r="L88" s="1822"/>
      <c r="M88" s="1822"/>
      <c r="N88" s="1827"/>
      <c r="V88" s="674"/>
      <c r="W88" s="675"/>
      <c r="X88" s="675"/>
      <c r="Y88" s="537" t="s">
        <v>5327</v>
      </c>
      <c r="AD88" s="675"/>
    </row>
    <row r="89" spans="1:30" s="536" customFormat="1" ht="33.75" x14ac:dyDescent="0.2">
      <c r="A89" s="609"/>
      <c r="B89" s="552" t="s">
        <v>310</v>
      </c>
      <c r="C89" s="1822" t="s">
        <v>311</v>
      </c>
      <c r="D89" s="1822"/>
      <c r="E89" s="1822"/>
      <c r="F89" s="1822"/>
      <c r="G89" s="1822"/>
      <c r="H89" s="1822"/>
      <c r="I89" s="1822"/>
      <c r="J89" s="1822"/>
      <c r="K89" s="1822"/>
      <c r="L89" s="1822"/>
      <c r="M89" s="1822"/>
      <c r="N89" s="1827"/>
      <c r="V89" s="674"/>
      <c r="W89" s="675"/>
      <c r="X89" s="675"/>
      <c r="Z89" s="537" t="s">
        <v>311</v>
      </c>
      <c r="AD89" s="675"/>
    </row>
    <row r="90" spans="1:30" s="536" customFormat="1" ht="12" x14ac:dyDescent="0.2">
      <c r="A90" s="605"/>
      <c r="B90" s="552" t="s">
        <v>185</v>
      </c>
      <c r="C90" s="1822" t="s">
        <v>312</v>
      </c>
      <c r="D90" s="1822"/>
      <c r="E90" s="1822"/>
      <c r="F90" s="562"/>
      <c r="G90" s="562"/>
      <c r="H90" s="562"/>
      <c r="I90" s="562"/>
      <c r="J90" s="604">
        <v>127.61</v>
      </c>
      <c r="K90" s="562" t="s">
        <v>313</v>
      </c>
      <c r="L90" s="604">
        <v>1342.01</v>
      </c>
      <c r="M90" s="603"/>
      <c r="N90" s="602"/>
      <c r="V90" s="674"/>
      <c r="W90" s="675"/>
      <c r="X90" s="675"/>
      <c r="AA90" s="537" t="s">
        <v>312</v>
      </c>
      <c r="AD90" s="675"/>
    </row>
    <row r="91" spans="1:30" s="536" customFormat="1" ht="12" x14ac:dyDescent="0.2">
      <c r="A91" s="605"/>
      <c r="B91" s="552" t="s">
        <v>186</v>
      </c>
      <c r="C91" s="1822" t="s">
        <v>344</v>
      </c>
      <c r="D91" s="1822"/>
      <c r="E91" s="1822"/>
      <c r="F91" s="562"/>
      <c r="G91" s="562"/>
      <c r="H91" s="562"/>
      <c r="I91" s="562"/>
      <c r="J91" s="604">
        <v>288.58</v>
      </c>
      <c r="K91" s="562" t="s">
        <v>313</v>
      </c>
      <c r="L91" s="604">
        <v>3034.85</v>
      </c>
      <c r="M91" s="603"/>
      <c r="N91" s="602"/>
      <c r="V91" s="674"/>
      <c r="W91" s="675"/>
      <c r="X91" s="675"/>
      <c r="AA91" s="537" t="s">
        <v>344</v>
      </c>
      <c r="AD91" s="675"/>
    </row>
    <row r="92" spans="1:30" s="536" customFormat="1" ht="12" x14ac:dyDescent="0.2">
      <c r="A92" s="605"/>
      <c r="B92" s="552" t="s">
        <v>187</v>
      </c>
      <c r="C92" s="1822" t="s">
        <v>345</v>
      </c>
      <c r="D92" s="1822"/>
      <c r="E92" s="1822"/>
      <c r="F92" s="562"/>
      <c r="G92" s="562"/>
      <c r="H92" s="562"/>
      <c r="I92" s="562"/>
      <c r="J92" s="604">
        <v>31.49</v>
      </c>
      <c r="K92" s="562" t="s">
        <v>313</v>
      </c>
      <c r="L92" s="604">
        <v>331.16</v>
      </c>
      <c r="M92" s="603"/>
      <c r="N92" s="602"/>
      <c r="V92" s="674"/>
      <c r="W92" s="675"/>
      <c r="X92" s="675"/>
      <c r="AA92" s="537" t="s">
        <v>345</v>
      </c>
      <c r="AD92" s="675"/>
    </row>
    <row r="93" spans="1:30" s="536" customFormat="1" ht="12" x14ac:dyDescent="0.2">
      <c r="A93" s="605"/>
      <c r="B93" s="552"/>
      <c r="C93" s="1822" t="s">
        <v>314</v>
      </c>
      <c r="D93" s="1822"/>
      <c r="E93" s="1822"/>
      <c r="F93" s="562" t="s">
        <v>315</v>
      </c>
      <c r="G93" s="562" t="s">
        <v>512</v>
      </c>
      <c r="H93" s="562" t="s">
        <v>313</v>
      </c>
      <c r="I93" s="562" t="s">
        <v>5328</v>
      </c>
      <c r="J93" s="604"/>
      <c r="K93" s="562"/>
      <c r="L93" s="604"/>
      <c r="M93" s="603"/>
      <c r="N93" s="602"/>
      <c r="V93" s="674"/>
      <c r="W93" s="675"/>
      <c r="X93" s="675"/>
      <c r="AB93" s="537" t="s">
        <v>314</v>
      </c>
      <c r="AD93" s="675"/>
    </row>
    <row r="94" spans="1:30" s="536" customFormat="1" ht="12" x14ac:dyDescent="0.2">
      <c r="A94" s="605"/>
      <c r="B94" s="552"/>
      <c r="C94" s="1822" t="s">
        <v>348</v>
      </c>
      <c r="D94" s="1822"/>
      <c r="E94" s="1822"/>
      <c r="F94" s="562" t="s">
        <v>315</v>
      </c>
      <c r="G94" s="562" t="s">
        <v>514</v>
      </c>
      <c r="H94" s="562" t="s">
        <v>313</v>
      </c>
      <c r="I94" s="562" t="s">
        <v>5329</v>
      </c>
      <c r="J94" s="604"/>
      <c r="K94" s="562"/>
      <c r="L94" s="604"/>
      <c r="M94" s="603"/>
      <c r="N94" s="602"/>
      <c r="V94" s="674"/>
      <c r="W94" s="675"/>
      <c r="X94" s="675"/>
      <c r="AB94" s="537" t="s">
        <v>348</v>
      </c>
      <c r="AD94" s="675"/>
    </row>
    <row r="95" spans="1:30" s="536" customFormat="1" ht="12" x14ac:dyDescent="0.2">
      <c r="A95" s="605"/>
      <c r="B95" s="552"/>
      <c r="C95" s="1828" t="s">
        <v>318</v>
      </c>
      <c r="D95" s="1828"/>
      <c r="E95" s="1828"/>
      <c r="F95" s="608"/>
      <c r="G95" s="608"/>
      <c r="H95" s="608"/>
      <c r="I95" s="608"/>
      <c r="J95" s="607">
        <v>416.19</v>
      </c>
      <c r="K95" s="608"/>
      <c r="L95" s="607">
        <v>4376.8599999999997</v>
      </c>
      <c r="M95" s="601"/>
      <c r="N95" s="606"/>
      <c r="V95" s="674"/>
      <c r="W95" s="675"/>
      <c r="X95" s="675"/>
      <c r="AC95" s="537" t="s">
        <v>318</v>
      </c>
      <c r="AD95" s="675"/>
    </row>
    <row r="96" spans="1:30" s="536" customFormat="1" ht="12" x14ac:dyDescent="0.2">
      <c r="A96" s="605"/>
      <c r="B96" s="552"/>
      <c r="C96" s="1822" t="s">
        <v>319</v>
      </c>
      <c r="D96" s="1822"/>
      <c r="E96" s="1822"/>
      <c r="F96" s="562"/>
      <c r="G96" s="562"/>
      <c r="H96" s="562"/>
      <c r="I96" s="562"/>
      <c r="J96" s="604"/>
      <c r="K96" s="562"/>
      <c r="L96" s="604">
        <v>1673.17</v>
      </c>
      <c r="M96" s="603"/>
      <c r="N96" s="602"/>
      <c r="V96" s="674"/>
      <c r="W96" s="675"/>
      <c r="X96" s="675"/>
      <c r="AB96" s="537" t="s">
        <v>319</v>
      </c>
      <c r="AD96" s="675"/>
    </row>
    <row r="97" spans="1:30" s="536" customFormat="1" ht="33.75" x14ac:dyDescent="0.2">
      <c r="A97" s="605"/>
      <c r="B97" s="552" t="s">
        <v>460</v>
      </c>
      <c r="C97" s="1822" t="s">
        <v>461</v>
      </c>
      <c r="D97" s="1822"/>
      <c r="E97" s="1822"/>
      <c r="F97" s="562" t="s">
        <v>322</v>
      </c>
      <c r="G97" s="562" t="s">
        <v>462</v>
      </c>
      <c r="H97" s="562"/>
      <c r="I97" s="562" t="s">
        <v>462</v>
      </c>
      <c r="J97" s="604"/>
      <c r="K97" s="562"/>
      <c r="L97" s="604">
        <v>1539.32</v>
      </c>
      <c r="M97" s="603"/>
      <c r="N97" s="602"/>
      <c r="V97" s="674"/>
      <c r="W97" s="675"/>
      <c r="X97" s="675"/>
      <c r="AB97" s="537" t="s">
        <v>461</v>
      </c>
      <c r="AD97" s="675"/>
    </row>
    <row r="98" spans="1:30" s="536" customFormat="1" ht="33.75" x14ac:dyDescent="0.2">
      <c r="A98" s="605"/>
      <c r="B98" s="552" t="s">
        <v>463</v>
      </c>
      <c r="C98" s="1822" t="s">
        <v>464</v>
      </c>
      <c r="D98" s="1822"/>
      <c r="E98" s="1822"/>
      <c r="F98" s="562" t="s">
        <v>322</v>
      </c>
      <c r="G98" s="562" t="s">
        <v>465</v>
      </c>
      <c r="H98" s="562"/>
      <c r="I98" s="562" t="s">
        <v>465</v>
      </c>
      <c r="J98" s="604"/>
      <c r="K98" s="562"/>
      <c r="L98" s="604">
        <v>769.66</v>
      </c>
      <c r="M98" s="603"/>
      <c r="N98" s="602"/>
      <c r="V98" s="674"/>
      <c r="W98" s="675"/>
      <c r="X98" s="675"/>
      <c r="AB98" s="537" t="s">
        <v>464</v>
      </c>
      <c r="AD98" s="675"/>
    </row>
    <row r="99" spans="1:30" s="536" customFormat="1" ht="12" x14ac:dyDescent="0.2">
      <c r="A99" s="569"/>
      <c r="B99" s="671"/>
      <c r="C99" s="1823" t="s">
        <v>327</v>
      </c>
      <c r="D99" s="1823"/>
      <c r="E99" s="1823"/>
      <c r="F99" s="573"/>
      <c r="G99" s="573"/>
      <c r="H99" s="573"/>
      <c r="I99" s="573"/>
      <c r="J99" s="572"/>
      <c r="K99" s="573"/>
      <c r="L99" s="572">
        <v>6685.84</v>
      </c>
      <c r="M99" s="601"/>
      <c r="N99" s="570"/>
      <c r="V99" s="674"/>
      <c r="W99" s="675"/>
      <c r="X99" s="675"/>
      <c r="AD99" s="675" t="s">
        <v>327</v>
      </c>
    </row>
    <row r="100" spans="1:30" s="536" customFormat="1" ht="12" x14ac:dyDescent="0.2">
      <c r="A100" s="1830" t="s">
        <v>5330</v>
      </c>
      <c r="B100" s="1831"/>
      <c r="C100" s="1831"/>
      <c r="D100" s="1831"/>
      <c r="E100" s="1831"/>
      <c r="F100" s="1831"/>
      <c r="G100" s="1831"/>
      <c r="H100" s="1831"/>
      <c r="I100" s="1831"/>
      <c r="J100" s="1831"/>
      <c r="K100" s="1831"/>
      <c r="L100" s="1831"/>
      <c r="M100" s="1831"/>
      <c r="N100" s="1832"/>
      <c r="V100" s="674"/>
      <c r="W100" s="675" t="s">
        <v>5330</v>
      </c>
      <c r="X100" s="675"/>
      <c r="AD100" s="675"/>
    </row>
    <row r="101" spans="1:30" s="536" customFormat="1" ht="56.25" x14ac:dyDescent="0.2">
      <c r="A101" s="575" t="s">
        <v>191</v>
      </c>
      <c r="B101" s="670" t="s">
        <v>3774</v>
      </c>
      <c r="C101" s="1823" t="s">
        <v>3775</v>
      </c>
      <c r="D101" s="1823"/>
      <c r="E101" s="1823"/>
      <c r="F101" s="573" t="s">
        <v>455</v>
      </c>
      <c r="G101" s="573"/>
      <c r="H101" s="573"/>
      <c r="I101" s="573" t="s">
        <v>5331</v>
      </c>
      <c r="J101" s="572"/>
      <c r="K101" s="573"/>
      <c r="L101" s="572"/>
      <c r="M101" s="571"/>
      <c r="N101" s="570"/>
      <c r="V101" s="674"/>
      <c r="W101" s="675"/>
      <c r="X101" s="675" t="s">
        <v>3775</v>
      </c>
      <c r="AD101" s="675"/>
    </row>
    <row r="102" spans="1:30" s="536" customFormat="1" ht="12" x14ac:dyDescent="0.2">
      <c r="A102" s="676"/>
      <c r="B102" s="664"/>
      <c r="C102" s="1822" t="s">
        <v>5332</v>
      </c>
      <c r="D102" s="1822"/>
      <c r="E102" s="1822"/>
      <c r="F102" s="1822"/>
      <c r="G102" s="1822"/>
      <c r="H102" s="1822"/>
      <c r="I102" s="1822"/>
      <c r="J102" s="1822"/>
      <c r="K102" s="1822"/>
      <c r="L102" s="1822"/>
      <c r="M102" s="1822"/>
      <c r="N102" s="1827"/>
      <c r="V102" s="674"/>
      <c r="W102" s="675"/>
      <c r="X102" s="675"/>
      <c r="Y102" s="537" t="s">
        <v>5332</v>
      </c>
      <c r="AD102" s="675"/>
    </row>
    <row r="103" spans="1:30" s="536" customFormat="1" ht="33.75" x14ac:dyDescent="0.2">
      <c r="A103" s="609"/>
      <c r="B103" s="552" t="s">
        <v>310</v>
      </c>
      <c r="C103" s="1822" t="s">
        <v>311</v>
      </c>
      <c r="D103" s="1822"/>
      <c r="E103" s="1822"/>
      <c r="F103" s="1822"/>
      <c r="G103" s="1822"/>
      <c r="H103" s="1822"/>
      <c r="I103" s="1822"/>
      <c r="J103" s="1822"/>
      <c r="K103" s="1822"/>
      <c r="L103" s="1822"/>
      <c r="M103" s="1822"/>
      <c r="N103" s="1827"/>
      <c r="V103" s="674"/>
      <c r="W103" s="675"/>
      <c r="X103" s="675"/>
      <c r="Z103" s="537" t="s">
        <v>311</v>
      </c>
      <c r="AD103" s="675"/>
    </row>
    <row r="104" spans="1:30" s="536" customFormat="1" ht="12" x14ac:dyDescent="0.2">
      <c r="A104" s="605"/>
      <c r="B104" s="552" t="s">
        <v>186</v>
      </c>
      <c r="C104" s="1822" t="s">
        <v>344</v>
      </c>
      <c r="D104" s="1822"/>
      <c r="E104" s="1822"/>
      <c r="F104" s="562"/>
      <c r="G104" s="562"/>
      <c r="H104" s="562"/>
      <c r="I104" s="562"/>
      <c r="J104" s="604">
        <v>6166.95</v>
      </c>
      <c r="K104" s="562" t="s">
        <v>313</v>
      </c>
      <c r="L104" s="604">
        <v>276.13</v>
      </c>
      <c r="M104" s="603"/>
      <c r="N104" s="602"/>
      <c r="V104" s="674"/>
      <c r="W104" s="675"/>
      <c r="X104" s="675"/>
      <c r="AA104" s="537" t="s">
        <v>344</v>
      </c>
      <c r="AD104" s="675"/>
    </row>
    <row r="105" spans="1:30" s="536" customFormat="1" ht="12" x14ac:dyDescent="0.2">
      <c r="A105" s="605"/>
      <c r="B105" s="552" t="s">
        <v>187</v>
      </c>
      <c r="C105" s="1822" t="s">
        <v>345</v>
      </c>
      <c r="D105" s="1822"/>
      <c r="E105" s="1822"/>
      <c r="F105" s="562"/>
      <c r="G105" s="562"/>
      <c r="H105" s="562"/>
      <c r="I105" s="562"/>
      <c r="J105" s="604">
        <v>722.25</v>
      </c>
      <c r="K105" s="562" t="s">
        <v>313</v>
      </c>
      <c r="L105" s="604">
        <v>32.340000000000003</v>
      </c>
      <c r="M105" s="603"/>
      <c r="N105" s="602"/>
      <c r="V105" s="674"/>
      <c r="W105" s="675"/>
      <c r="X105" s="675"/>
      <c r="AA105" s="537" t="s">
        <v>345</v>
      </c>
      <c r="AD105" s="675"/>
    </row>
    <row r="106" spans="1:30" s="536" customFormat="1" ht="12" x14ac:dyDescent="0.2">
      <c r="A106" s="605"/>
      <c r="B106" s="552"/>
      <c r="C106" s="1822" t="s">
        <v>348</v>
      </c>
      <c r="D106" s="1822"/>
      <c r="E106" s="1822"/>
      <c r="F106" s="562" t="s">
        <v>315</v>
      </c>
      <c r="G106" s="562" t="s">
        <v>3776</v>
      </c>
      <c r="H106" s="562" t="s">
        <v>313</v>
      </c>
      <c r="I106" s="562" t="s">
        <v>5333</v>
      </c>
      <c r="J106" s="604"/>
      <c r="K106" s="562"/>
      <c r="L106" s="604"/>
      <c r="M106" s="603"/>
      <c r="N106" s="602"/>
      <c r="V106" s="674"/>
      <c r="W106" s="675"/>
      <c r="X106" s="675"/>
      <c r="AB106" s="537" t="s">
        <v>348</v>
      </c>
      <c r="AD106" s="675"/>
    </row>
    <row r="107" spans="1:30" s="536" customFormat="1" ht="12" x14ac:dyDescent="0.2">
      <c r="A107" s="605"/>
      <c r="B107" s="552"/>
      <c r="C107" s="1828" t="s">
        <v>318</v>
      </c>
      <c r="D107" s="1828"/>
      <c r="E107" s="1828"/>
      <c r="F107" s="608"/>
      <c r="G107" s="608"/>
      <c r="H107" s="608"/>
      <c r="I107" s="608"/>
      <c r="J107" s="607">
        <v>6166.95</v>
      </c>
      <c r="K107" s="608"/>
      <c r="L107" s="607">
        <v>276.13</v>
      </c>
      <c r="M107" s="601"/>
      <c r="N107" s="606"/>
      <c r="V107" s="674"/>
      <c r="W107" s="675"/>
      <c r="X107" s="675"/>
      <c r="AC107" s="537" t="s">
        <v>318</v>
      </c>
      <c r="AD107" s="675"/>
    </row>
    <row r="108" spans="1:30" s="536" customFormat="1" ht="12" x14ac:dyDescent="0.2">
      <c r="A108" s="605"/>
      <c r="B108" s="552"/>
      <c r="C108" s="1822" t="s">
        <v>319</v>
      </c>
      <c r="D108" s="1822"/>
      <c r="E108" s="1822"/>
      <c r="F108" s="562"/>
      <c r="G108" s="562"/>
      <c r="H108" s="562"/>
      <c r="I108" s="562"/>
      <c r="J108" s="604"/>
      <c r="K108" s="562"/>
      <c r="L108" s="604">
        <v>32.340000000000003</v>
      </c>
      <c r="M108" s="603"/>
      <c r="N108" s="602"/>
      <c r="V108" s="674"/>
      <c r="W108" s="675"/>
      <c r="X108" s="675"/>
      <c r="AB108" s="537" t="s">
        <v>319</v>
      </c>
      <c r="AD108" s="675"/>
    </row>
    <row r="109" spans="1:30" s="536" customFormat="1" ht="33.75" x14ac:dyDescent="0.2">
      <c r="A109" s="605"/>
      <c r="B109" s="552" t="s">
        <v>460</v>
      </c>
      <c r="C109" s="1822" t="s">
        <v>461</v>
      </c>
      <c r="D109" s="1822"/>
      <c r="E109" s="1822"/>
      <c r="F109" s="562" t="s">
        <v>322</v>
      </c>
      <c r="G109" s="562" t="s">
        <v>462</v>
      </c>
      <c r="H109" s="562"/>
      <c r="I109" s="562" t="s">
        <v>462</v>
      </c>
      <c r="J109" s="604"/>
      <c r="K109" s="562"/>
      <c r="L109" s="604">
        <v>29.75</v>
      </c>
      <c r="M109" s="603"/>
      <c r="N109" s="602"/>
      <c r="V109" s="674"/>
      <c r="W109" s="675"/>
      <c r="X109" s="675"/>
      <c r="AB109" s="537" t="s">
        <v>461</v>
      </c>
      <c r="AD109" s="675"/>
    </row>
    <row r="110" spans="1:30" s="536" customFormat="1" ht="33.75" x14ac:dyDescent="0.2">
      <c r="A110" s="605"/>
      <c r="B110" s="552" t="s">
        <v>463</v>
      </c>
      <c r="C110" s="1822" t="s">
        <v>464</v>
      </c>
      <c r="D110" s="1822"/>
      <c r="E110" s="1822"/>
      <c r="F110" s="562" t="s">
        <v>322</v>
      </c>
      <c r="G110" s="562" t="s">
        <v>465</v>
      </c>
      <c r="H110" s="562"/>
      <c r="I110" s="562" t="s">
        <v>465</v>
      </c>
      <c r="J110" s="604"/>
      <c r="K110" s="562"/>
      <c r="L110" s="604">
        <v>14.88</v>
      </c>
      <c r="M110" s="603"/>
      <c r="N110" s="602"/>
      <c r="V110" s="674"/>
      <c r="W110" s="675"/>
      <c r="X110" s="675"/>
      <c r="AB110" s="537" t="s">
        <v>464</v>
      </c>
      <c r="AD110" s="675"/>
    </row>
    <row r="111" spans="1:30" s="536" customFormat="1" ht="12" x14ac:dyDescent="0.2">
      <c r="A111" s="569"/>
      <c r="B111" s="671"/>
      <c r="C111" s="1823" t="s">
        <v>327</v>
      </c>
      <c r="D111" s="1823"/>
      <c r="E111" s="1823"/>
      <c r="F111" s="573"/>
      <c r="G111" s="573"/>
      <c r="H111" s="573"/>
      <c r="I111" s="573"/>
      <c r="J111" s="572"/>
      <c r="K111" s="573"/>
      <c r="L111" s="572">
        <v>320.76</v>
      </c>
      <c r="M111" s="601"/>
      <c r="N111" s="570"/>
      <c r="V111" s="674"/>
      <c r="W111" s="675"/>
      <c r="X111" s="675"/>
      <c r="AD111" s="675" t="s">
        <v>327</v>
      </c>
    </row>
    <row r="112" spans="1:30" s="536" customFormat="1" ht="45" x14ac:dyDescent="0.2">
      <c r="A112" s="575" t="s">
        <v>192</v>
      </c>
      <c r="B112" s="670" t="s">
        <v>1511</v>
      </c>
      <c r="C112" s="1823" t="s">
        <v>1512</v>
      </c>
      <c r="D112" s="1823"/>
      <c r="E112" s="1823"/>
      <c r="F112" s="573" t="s">
        <v>455</v>
      </c>
      <c r="G112" s="573"/>
      <c r="H112" s="573"/>
      <c r="I112" s="573" t="s">
        <v>5334</v>
      </c>
      <c r="J112" s="572"/>
      <c r="K112" s="573"/>
      <c r="L112" s="572"/>
      <c r="M112" s="571"/>
      <c r="N112" s="570"/>
      <c r="V112" s="674"/>
      <c r="W112" s="675"/>
      <c r="X112" s="675" t="s">
        <v>1512</v>
      </c>
      <c r="AD112" s="675"/>
    </row>
    <row r="113" spans="1:30" s="536" customFormat="1" ht="12" x14ac:dyDescent="0.2">
      <c r="A113" s="676"/>
      <c r="B113" s="664"/>
      <c r="C113" s="1822" t="s">
        <v>5335</v>
      </c>
      <c r="D113" s="1822"/>
      <c r="E113" s="1822"/>
      <c r="F113" s="1822"/>
      <c r="G113" s="1822"/>
      <c r="H113" s="1822"/>
      <c r="I113" s="1822"/>
      <c r="J113" s="1822"/>
      <c r="K113" s="1822"/>
      <c r="L113" s="1822"/>
      <c r="M113" s="1822"/>
      <c r="N113" s="1827"/>
      <c r="V113" s="674"/>
      <c r="W113" s="675"/>
      <c r="X113" s="675"/>
      <c r="Y113" s="537" t="s">
        <v>5335</v>
      </c>
      <c r="AD113" s="675"/>
    </row>
    <row r="114" spans="1:30" s="536" customFormat="1" ht="33.75" x14ac:dyDescent="0.2">
      <c r="A114" s="609"/>
      <c r="B114" s="552" t="s">
        <v>310</v>
      </c>
      <c r="C114" s="1822" t="s">
        <v>311</v>
      </c>
      <c r="D114" s="1822"/>
      <c r="E114" s="1822"/>
      <c r="F114" s="1822"/>
      <c r="G114" s="1822"/>
      <c r="H114" s="1822"/>
      <c r="I114" s="1822"/>
      <c r="J114" s="1822"/>
      <c r="K114" s="1822"/>
      <c r="L114" s="1822"/>
      <c r="M114" s="1822"/>
      <c r="N114" s="1827"/>
      <c r="V114" s="674"/>
      <c r="W114" s="675"/>
      <c r="X114" s="675"/>
      <c r="Z114" s="537" t="s">
        <v>311</v>
      </c>
      <c r="AD114" s="675"/>
    </row>
    <row r="115" spans="1:30" s="536" customFormat="1" ht="12" x14ac:dyDescent="0.2">
      <c r="A115" s="605"/>
      <c r="B115" s="552" t="s">
        <v>186</v>
      </c>
      <c r="C115" s="1822" t="s">
        <v>344</v>
      </c>
      <c r="D115" s="1822"/>
      <c r="E115" s="1822"/>
      <c r="F115" s="562"/>
      <c r="G115" s="562"/>
      <c r="H115" s="562"/>
      <c r="I115" s="562"/>
      <c r="J115" s="604">
        <v>4898.9799999999996</v>
      </c>
      <c r="K115" s="562" t="s">
        <v>313</v>
      </c>
      <c r="L115" s="604">
        <v>418.92</v>
      </c>
      <c r="M115" s="603"/>
      <c r="N115" s="602"/>
      <c r="V115" s="674"/>
      <c r="W115" s="675"/>
      <c r="X115" s="675"/>
      <c r="AA115" s="537" t="s">
        <v>344</v>
      </c>
      <c r="AD115" s="675"/>
    </row>
    <row r="116" spans="1:30" s="536" customFormat="1" ht="12" x14ac:dyDescent="0.2">
      <c r="A116" s="605"/>
      <c r="B116" s="552" t="s">
        <v>187</v>
      </c>
      <c r="C116" s="1822" t="s">
        <v>345</v>
      </c>
      <c r="D116" s="1822"/>
      <c r="E116" s="1822"/>
      <c r="F116" s="562"/>
      <c r="G116" s="562"/>
      <c r="H116" s="562"/>
      <c r="I116" s="562"/>
      <c r="J116" s="604">
        <v>573.75</v>
      </c>
      <c r="K116" s="562" t="s">
        <v>313</v>
      </c>
      <c r="L116" s="604">
        <v>49.06</v>
      </c>
      <c r="M116" s="603"/>
      <c r="N116" s="602"/>
      <c r="V116" s="674"/>
      <c r="W116" s="675"/>
      <c r="X116" s="675"/>
      <c r="AA116" s="537" t="s">
        <v>345</v>
      </c>
      <c r="AD116" s="675"/>
    </row>
    <row r="117" spans="1:30" s="536" customFormat="1" ht="12" x14ac:dyDescent="0.2">
      <c r="A117" s="605"/>
      <c r="B117" s="552"/>
      <c r="C117" s="1822" t="s">
        <v>348</v>
      </c>
      <c r="D117" s="1822"/>
      <c r="E117" s="1822"/>
      <c r="F117" s="562" t="s">
        <v>315</v>
      </c>
      <c r="G117" s="562" t="s">
        <v>1513</v>
      </c>
      <c r="H117" s="562" t="s">
        <v>313</v>
      </c>
      <c r="I117" s="562" t="s">
        <v>5336</v>
      </c>
      <c r="J117" s="604"/>
      <c r="K117" s="562"/>
      <c r="L117" s="604"/>
      <c r="M117" s="603"/>
      <c r="N117" s="602"/>
      <c r="V117" s="674"/>
      <c r="W117" s="675"/>
      <c r="X117" s="675"/>
      <c r="AB117" s="537" t="s">
        <v>348</v>
      </c>
      <c r="AD117" s="675"/>
    </row>
    <row r="118" spans="1:30" s="536" customFormat="1" ht="12" x14ac:dyDescent="0.2">
      <c r="A118" s="605"/>
      <c r="B118" s="552"/>
      <c r="C118" s="1828" t="s">
        <v>318</v>
      </c>
      <c r="D118" s="1828"/>
      <c r="E118" s="1828"/>
      <c r="F118" s="608"/>
      <c r="G118" s="608"/>
      <c r="H118" s="608"/>
      <c r="I118" s="608"/>
      <c r="J118" s="607">
        <v>4898.9799999999996</v>
      </c>
      <c r="K118" s="608"/>
      <c r="L118" s="607">
        <v>418.92</v>
      </c>
      <c r="M118" s="601"/>
      <c r="N118" s="606"/>
      <c r="V118" s="674"/>
      <c r="W118" s="675"/>
      <c r="X118" s="675"/>
      <c r="AC118" s="537" t="s">
        <v>318</v>
      </c>
      <c r="AD118" s="675"/>
    </row>
    <row r="119" spans="1:30" s="536" customFormat="1" ht="12" x14ac:dyDescent="0.2">
      <c r="A119" s="605"/>
      <c r="B119" s="552"/>
      <c r="C119" s="1822" t="s">
        <v>319</v>
      </c>
      <c r="D119" s="1822"/>
      <c r="E119" s="1822"/>
      <c r="F119" s="562"/>
      <c r="G119" s="562"/>
      <c r="H119" s="562"/>
      <c r="I119" s="562"/>
      <c r="J119" s="604"/>
      <c r="K119" s="562"/>
      <c r="L119" s="604">
        <v>49.06</v>
      </c>
      <c r="M119" s="603"/>
      <c r="N119" s="602"/>
      <c r="V119" s="674"/>
      <c r="W119" s="675"/>
      <c r="X119" s="675"/>
      <c r="AB119" s="537" t="s">
        <v>319</v>
      </c>
      <c r="AD119" s="675"/>
    </row>
    <row r="120" spans="1:30" s="536" customFormat="1" ht="33.75" x14ac:dyDescent="0.2">
      <c r="A120" s="605"/>
      <c r="B120" s="552" t="s">
        <v>460</v>
      </c>
      <c r="C120" s="1822" t="s">
        <v>461</v>
      </c>
      <c r="D120" s="1822"/>
      <c r="E120" s="1822"/>
      <c r="F120" s="562" t="s">
        <v>322</v>
      </c>
      <c r="G120" s="562" t="s">
        <v>462</v>
      </c>
      <c r="H120" s="562"/>
      <c r="I120" s="562" t="s">
        <v>462</v>
      </c>
      <c r="J120" s="604"/>
      <c r="K120" s="562"/>
      <c r="L120" s="604">
        <v>45.14</v>
      </c>
      <c r="M120" s="603"/>
      <c r="N120" s="602"/>
      <c r="V120" s="674"/>
      <c r="W120" s="675"/>
      <c r="X120" s="675"/>
      <c r="AB120" s="537" t="s">
        <v>461</v>
      </c>
      <c r="AD120" s="675"/>
    </row>
    <row r="121" spans="1:30" s="536" customFormat="1" ht="33.75" x14ac:dyDescent="0.2">
      <c r="A121" s="605"/>
      <c r="B121" s="552" t="s">
        <v>463</v>
      </c>
      <c r="C121" s="1822" t="s">
        <v>464</v>
      </c>
      <c r="D121" s="1822"/>
      <c r="E121" s="1822"/>
      <c r="F121" s="562" t="s">
        <v>322</v>
      </c>
      <c r="G121" s="562" t="s">
        <v>465</v>
      </c>
      <c r="H121" s="562"/>
      <c r="I121" s="562" t="s">
        <v>465</v>
      </c>
      <c r="J121" s="604"/>
      <c r="K121" s="562"/>
      <c r="L121" s="604">
        <v>22.57</v>
      </c>
      <c r="M121" s="603"/>
      <c r="N121" s="602"/>
      <c r="V121" s="674"/>
      <c r="W121" s="675"/>
      <c r="X121" s="675"/>
      <c r="AB121" s="537" t="s">
        <v>464</v>
      </c>
      <c r="AD121" s="675"/>
    </row>
    <row r="122" spans="1:30" s="536" customFormat="1" ht="12" x14ac:dyDescent="0.2">
      <c r="A122" s="569"/>
      <c r="B122" s="671"/>
      <c r="C122" s="1823" t="s">
        <v>327</v>
      </c>
      <c r="D122" s="1823"/>
      <c r="E122" s="1823"/>
      <c r="F122" s="573"/>
      <c r="G122" s="573"/>
      <c r="H122" s="573"/>
      <c r="I122" s="573"/>
      <c r="J122" s="572"/>
      <c r="K122" s="573"/>
      <c r="L122" s="572">
        <v>486.63</v>
      </c>
      <c r="M122" s="601"/>
      <c r="N122" s="570"/>
      <c r="V122" s="674"/>
      <c r="W122" s="675"/>
      <c r="X122" s="675"/>
      <c r="AD122" s="675" t="s">
        <v>327</v>
      </c>
    </row>
    <row r="123" spans="1:30" s="536" customFormat="1" ht="45" x14ac:dyDescent="0.2">
      <c r="A123" s="575" t="s">
        <v>193</v>
      </c>
      <c r="B123" s="670" t="s">
        <v>1514</v>
      </c>
      <c r="C123" s="1823" t="s">
        <v>5317</v>
      </c>
      <c r="D123" s="1823"/>
      <c r="E123" s="1823"/>
      <c r="F123" s="573" t="s">
        <v>509</v>
      </c>
      <c r="G123" s="573"/>
      <c r="H123" s="573"/>
      <c r="I123" s="573" t="s">
        <v>5337</v>
      </c>
      <c r="J123" s="572"/>
      <c r="K123" s="573"/>
      <c r="L123" s="572"/>
      <c r="M123" s="571"/>
      <c r="N123" s="570"/>
      <c r="V123" s="674"/>
      <c r="W123" s="675"/>
      <c r="X123" s="675" t="s">
        <v>5317</v>
      </c>
      <c r="AD123" s="675"/>
    </row>
    <row r="124" spans="1:30" s="536" customFormat="1" ht="12" x14ac:dyDescent="0.2">
      <c r="A124" s="676"/>
      <c r="B124" s="664"/>
      <c r="C124" s="1822" t="s">
        <v>5338</v>
      </c>
      <c r="D124" s="1822"/>
      <c r="E124" s="1822"/>
      <c r="F124" s="1822"/>
      <c r="G124" s="1822"/>
      <c r="H124" s="1822"/>
      <c r="I124" s="1822"/>
      <c r="J124" s="1822"/>
      <c r="K124" s="1822"/>
      <c r="L124" s="1822"/>
      <c r="M124" s="1822"/>
      <c r="N124" s="1827"/>
      <c r="V124" s="674"/>
      <c r="W124" s="675"/>
      <c r="X124" s="675"/>
      <c r="Y124" s="537" t="s">
        <v>5338</v>
      </c>
      <c r="AD124" s="675"/>
    </row>
    <row r="125" spans="1:30" s="536" customFormat="1" ht="22.5" x14ac:dyDescent="0.2">
      <c r="A125" s="609"/>
      <c r="B125" s="552" t="s">
        <v>1518</v>
      </c>
      <c r="C125" s="1822" t="s">
        <v>1519</v>
      </c>
      <c r="D125" s="1822"/>
      <c r="E125" s="1822"/>
      <c r="F125" s="1822"/>
      <c r="G125" s="1822"/>
      <c r="H125" s="1822"/>
      <c r="I125" s="1822"/>
      <c r="J125" s="1822"/>
      <c r="K125" s="1822"/>
      <c r="L125" s="1822"/>
      <c r="M125" s="1822"/>
      <c r="N125" s="1827"/>
      <c r="V125" s="674"/>
      <c r="W125" s="675"/>
      <c r="X125" s="675"/>
      <c r="Z125" s="537" t="s">
        <v>1519</v>
      </c>
      <c r="AD125" s="675"/>
    </row>
    <row r="126" spans="1:30" s="536" customFormat="1" ht="33.75" x14ac:dyDescent="0.2">
      <c r="A126" s="609"/>
      <c r="B126" s="552" t="s">
        <v>310</v>
      </c>
      <c r="C126" s="1822" t="s">
        <v>311</v>
      </c>
      <c r="D126" s="1822"/>
      <c r="E126" s="1822"/>
      <c r="F126" s="1822"/>
      <c r="G126" s="1822"/>
      <c r="H126" s="1822"/>
      <c r="I126" s="1822"/>
      <c r="J126" s="1822"/>
      <c r="K126" s="1822"/>
      <c r="L126" s="1822"/>
      <c r="M126" s="1822"/>
      <c r="N126" s="1827"/>
      <c r="V126" s="674"/>
      <c r="W126" s="675"/>
      <c r="X126" s="675"/>
      <c r="Z126" s="537" t="s">
        <v>311</v>
      </c>
      <c r="AD126" s="675"/>
    </row>
    <row r="127" spans="1:30" s="536" customFormat="1" ht="12" x14ac:dyDescent="0.2">
      <c r="A127" s="605"/>
      <c r="B127" s="552" t="s">
        <v>185</v>
      </c>
      <c r="C127" s="1822" t="s">
        <v>312</v>
      </c>
      <c r="D127" s="1822"/>
      <c r="E127" s="1822"/>
      <c r="F127" s="562"/>
      <c r="G127" s="562"/>
      <c r="H127" s="562"/>
      <c r="I127" s="562"/>
      <c r="J127" s="604">
        <v>3036.68</v>
      </c>
      <c r="K127" s="562" t="s">
        <v>1520</v>
      </c>
      <c r="L127" s="604">
        <v>146.84</v>
      </c>
      <c r="M127" s="603"/>
      <c r="N127" s="602"/>
      <c r="V127" s="674"/>
      <c r="W127" s="675"/>
      <c r="X127" s="675"/>
      <c r="AA127" s="537" t="s">
        <v>312</v>
      </c>
      <c r="AD127" s="675"/>
    </row>
    <row r="128" spans="1:30" s="536" customFormat="1" ht="12" x14ac:dyDescent="0.2">
      <c r="A128" s="605"/>
      <c r="B128" s="552"/>
      <c r="C128" s="1822" t="s">
        <v>314</v>
      </c>
      <c r="D128" s="1822"/>
      <c r="E128" s="1822"/>
      <c r="F128" s="562" t="s">
        <v>315</v>
      </c>
      <c r="G128" s="562" t="s">
        <v>1521</v>
      </c>
      <c r="H128" s="562" t="s">
        <v>1520</v>
      </c>
      <c r="I128" s="562" t="s">
        <v>5339</v>
      </c>
      <c r="J128" s="604"/>
      <c r="K128" s="562"/>
      <c r="L128" s="604"/>
      <c r="M128" s="603"/>
      <c r="N128" s="602"/>
      <c r="V128" s="674"/>
      <c r="W128" s="675"/>
      <c r="X128" s="675"/>
      <c r="AB128" s="537" t="s">
        <v>314</v>
      </c>
      <c r="AD128" s="675"/>
    </row>
    <row r="129" spans="1:30" s="536" customFormat="1" ht="12" x14ac:dyDescent="0.2">
      <c r="A129" s="605"/>
      <c r="B129" s="552"/>
      <c r="C129" s="1828" t="s">
        <v>318</v>
      </c>
      <c r="D129" s="1828"/>
      <c r="E129" s="1828"/>
      <c r="F129" s="608"/>
      <c r="G129" s="608"/>
      <c r="H129" s="608"/>
      <c r="I129" s="608"/>
      <c r="J129" s="607">
        <v>3036.68</v>
      </c>
      <c r="K129" s="608"/>
      <c r="L129" s="607">
        <v>146.84</v>
      </c>
      <c r="M129" s="601"/>
      <c r="N129" s="606"/>
      <c r="V129" s="674"/>
      <c r="W129" s="675"/>
      <c r="X129" s="675"/>
      <c r="AC129" s="537" t="s">
        <v>318</v>
      </c>
      <c r="AD129" s="675"/>
    </row>
    <row r="130" spans="1:30" s="536" customFormat="1" ht="12" x14ac:dyDescent="0.2">
      <c r="A130" s="605"/>
      <c r="B130" s="552"/>
      <c r="C130" s="1822" t="s">
        <v>319</v>
      </c>
      <c r="D130" s="1822"/>
      <c r="E130" s="1822"/>
      <c r="F130" s="562"/>
      <c r="G130" s="562"/>
      <c r="H130" s="562"/>
      <c r="I130" s="562"/>
      <c r="J130" s="604"/>
      <c r="K130" s="562"/>
      <c r="L130" s="604">
        <v>146.84</v>
      </c>
      <c r="M130" s="603"/>
      <c r="N130" s="602"/>
      <c r="V130" s="674"/>
      <c r="W130" s="675"/>
      <c r="X130" s="675"/>
      <c r="AB130" s="537" t="s">
        <v>319</v>
      </c>
      <c r="AD130" s="675"/>
    </row>
    <row r="131" spans="1:30" s="536" customFormat="1" ht="33.75" x14ac:dyDescent="0.2">
      <c r="A131" s="605"/>
      <c r="B131" s="552" t="s">
        <v>673</v>
      </c>
      <c r="C131" s="1822" t="s">
        <v>674</v>
      </c>
      <c r="D131" s="1822"/>
      <c r="E131" s="1822"/>
      <c r="F131" s="562" t="s">
        <v>322</v>
      </c>
      <c r="G131" s="562" t="s">
        <v>323</v>
      </c>
      <c r="H131" s="562"/>
      <c r="I131" s="562" t="s">
        <v>323</v>
      </c>
      <c r="J131" s="604"/>
      <c r="K131" s="562"/>
      <c r="L131" s="604">
        <v>130.69</v>
      </c>
      <c r="M131" s="603"/>
      <c r="N131" s="602"/>
      <c r="V131" s="674"/>
      <c r="W131" s="675"/>
      <c r="X131" s="675"/>
      <c r="AB131" s="537" t="s">
        <v>674</v>
      </c>
      <c r="AD131" s="675"/>
    </row>
    <row r="132" spans="1:30" s="536" customFormat="1" ht="33.75" x14ac:dyDescent="0.2">
      <c r="A132" s="605"/>
      <c r="B132" s="552" t="s">
        <v>675</v>
      </c>
      <c r="C132" s="1822" t="s">
        <v>676</v>
      </c>
      <c r="D132" s="1822"/>
      <c r="E132" s="1822"/>
      <c r="F132" s="562" t="s">
        <v>322</v>
      </c>
      <c r="G132" s="562" t="s">
        <v>677</v>
      </c>
      <c r="H132" s="562"/>
      <c r="I132" s="562" t="s">
        <v>677</v>
      </c>
      <c r="J132" s="604"/>
      <c r="K132" s="562"/>
      <c r="L132" s="604">
        <v>58.74</v>
      </c>
      <c r="M132" s="603"/>
      <c r="N132" s="602"/>
      <c r="V132" s="674"/>
      <c r="W132" s="675"/>
      <c r="X132" s="675"/>
      <c r="AB132" s="537" t="s">
        <v>676</v>
      </c>
      <c r="AD132" s="675"/>
    </row>
    <row r="133" spans="1:30" s="536" customFormat="1" ht="12" x14ac:dyDescent="0.2">
      <c r="A133" s="569"/>
      <c r="B133" s="671"/>
      <c r="C133" s="1823" t="s">
        <v>327</v>
      </c>
      <c r="D133" s="1823"/>
      <c r="E133" s="1823"/>
      <c r="F133" s="573"/>
      <c r="G133" s="573"/>
      <c r="H133" s="573"/>
      <c r="I133" s="573"/>
      <c r="J133" s="572"/>
      <c r="K133" s="573"/>
      <c r="L133" s="572">
        <v>336.27</v>
      </c>
      <c r="M133" s="601"/>
      <c r="N133" s="570"/>
      <c r="V133" s="674"/>
      <c r="W133" s="675"/>
      <c r="X133" s="675"/>
      <c r="AD133" s="675" t="s">
        <v>327</v>
      </c>
    </row>
    <row r="134" spans="1:30" s="536" customFormat="1" ht="45" x14ac:dyDescent="0.2">
      <c r="A134" s="575" t="s">
        <v>194</v>
      </c>
      <c r="B134" s="670" t="s">
        <v>1005</v>
      </c>
      <c r="C134" s="1823" t="s">
        <v>1006</v>
      </c>
      <c r="D134" s="1823"/>
      <c r="E134" s="1823"/>
      <c r="F134" s="573" t="s">
        <v>201</v>
      </c>
      <c r="G134" s="573"/>
      <c r="H134" s="573"/>
      <c r="I134" s="573" t="s">
        <v>5340</v>
      </c>
      <c r="J134" s="572">
        <v>2.91</v>
      </c>
      <c r="K134" s="573"/>
      <c r="L134" s="572">
        <v>239.74</v>
      </c>
      <c r="M134" s="571"/>
      <c r="N134" s="570"/>
      <c r="V134" s="674"/>
      <c r="W134" s="675"/>
      <c r="X134" s="675" t="s">
        <v>1006</v>
      </c>
      <c r="AD134" s="675"/>
    </row>
    <row r="135" spans="1:30" s="536" customFormat="1" ht="12" x14ac:dyDescent="0.2">
      <c r="A135" s="676"/>
      <c r="B135" s="664"/>
      <c r="C135" s="1822" t="s">
        <v>5341</v>
      </c>
      <c r="D135" s="1822"/>
      <c r="E135" s="1822"/>
      <c r="F135" s="1822"/>
      <c r="G135" s="1822"/>
      <c r="H135" s="1822"/>
      <c r="I135" s="1822"/>
      <c r="J135" s="1822"/>
      <c r="K135" s="1822"/>
      <c r="L135" s="1822"/>
      <c r="M135" s="1822"/>
      <c r="N135" s="1827"/>
      <c r="V135" s="674"/>
      <c r="W135" s="675"/>
      <c r="X135" s="675"/>
      <c r="Y135" s="537" t="s">
        <v>5341</v>
      </c>
      <c r="AD135" s="675"/>
    </row>
    <row r="136" spans="1:30" s="536" customFormat="1" ht="45" x14ac:dyDescent="0.2">
      <c r="A136" s="575" t="s">
        <v>195</v>
      </c>
      <c r="B136" s="670" t="s">
        <v>503</v>
      </c>
      <c r="C136" s="1823" t="s">
        <v>5342</v>
      </c>
      <c r="D136" s="1823"/>
      <c r="E136" s="1823"/>
      <c r="F136" s="573" t="s">
        <v>455</v>
      </c>
      <c r="G136" s="573"/>
      <c r="H136" s="573"/>
      <c r="I136" s="573" t="s">
        <v>5343</v>
      </c>
      <c r="J136" s="572"/>
      <c r="K136" s="573"/>
      <c r="L136" s="572"/>
      <c r="M136" s="571"/>
      <c r="N136" s="570"/>
      <c r="V136" s="674"/>
      <c r="W136" s="675"/>
      <c r="X136" s="675" t="s">
        <v>5342</v>
      </c>
      <c r="AD136" s="675"/>
    </row>
    <row r="137" spans="1:30" s="536" customFormat="1" ht="12" x14ac:dyDescent="0.2">
      <c r="A137" s="676"/>
      <c r="B137" s="664"/>
      <c r="C137" s="1822" t="s">
        <v>5344</v>
      </c>
      <c r="D137" s="1822"/>
      <c r="E137" s="1822"/>
      <c r="F137" s="1822"/>
      <c r="G137" s="1822"/>
      <c r="H137" s="1822"/>
      <c r="I137" s="1822"/>
      <c r="J137" s="1822"/>
      <c r="K137" s="1822"/>
      <c r="L137" s="1822"/>
      <c r="M137" s="1822"/>
      <c r="N137" s="1827"/>
      <c r="V137" s="674"/>
      <c r="W137" s="675"/>
      <c r="X137" s="675"/>
      <c r="Y137" s="537" t="s">
        <v>5344</v>
      </c>
      <c r="AD137" s="675"/>
    </row>
    <row r="138" spans="1:30" s="536" customFormat="1" ht="33.75" x14ac:dyDescent="0.2">
      <c r="A138" s="609"/>
      <c r="B138" s="552" t="s">
        <v>310</v>
      </c>
      <c r="C138" s="1822" t="s">
        <v>311</v>
      </c>
      <c r="D138" s="1822"/>
      <c r="E138" s="1822"/>
      <c r="F138" s="1822"/>
      <c r="G138" s="1822"/>
      <c r="H138" s="1822"/>
      <c r="I138" s="1822"/>
      <c r="J138" s="1822"/>
      <c r="K138" s="1822"/>
      <c r="L138" s="1822"/>
      <c r="M138" s="1822"/>
      <c r="N138" s="1827"/>
      <c r="V138" s="674"/>
      <c r="W138" s="675"/>
      <c r="X138" s="675"/>
      <c r="Z138" s="537" t="s">
        <v>311</v>
      </c>
      <c r="AD138" s="675"/>
    </row>
    <row r="139" spans="1:30" s="536" customFormat="1" ht="12" x14ac:dyDescent="0.2">
      <c r="A139" s="605"/>
      <c r="B139" s="552" t="s">
        <v>186</v>
      </c>
      <c r="C139" s="1822" t="s">
        <v>344</v>
      </c>
      <c r="D139" s="1822"/>
      <c r="E139" s="1822"/>
      <c r="F139" s="562"/>
      <c r="G139" s="562"/>
      <c r="H139" s="562"/>
      <c r="I139" s="562"/>
      <c r="J139" s="604">
        <v>3803.91</v>
      </c>
      <c r="K139" s="562" t="s">
        <v>313</v>
      </c>
      <c r="L139" s="604">
        <v>340.64</v>
      </c>
      <c r="M139" s="603"/>
      <c r="N139" s="602"/>
      <c r="V139" s="674"/>
      <c r="W139" s="675"/>
      <c r="X139" s="675"/>
      <c r="AA139" s="537" t="s">
        <v>344</v>
      </c>
      <c r="AD139" s="675"/>
    </row>
    <row r="140" spans="1:30" s="536" customFormat="1" ht="12" x14ac:dyDescent="0.2">
      <c r="A140" s="605"/>
      <c r="B140" s="552" t="s">
        <v>187</v>
      </c>
      <c r="C140" s="1822" t="s">
        <v>345</v>
      </c>
      <c r="D140" s="1822"/>
      <c r="E140" s="1822"/>
      <c r="F140" s="562"/>
      <c r="G140" s="562"/>
      <c r="H140" s="562"/>
      <c r="I140" s="562"/>
      <c r="J140" s="604">
        <v>445.5</v>
      </c>
      <c r="K140" s="562" t="s">
        <v>313</v>
      </c>
      <c r="L140" s="604">
        <v>39.89</v>
      </c>
      <c r="M140" s="603"/>
      <c r="N140" s="602"/>
      <c r="V140" s="674"/>
      <c r="W140" s="675"/>
      <c r="X140" s="675"/>
      <c r="AA140" s="537" t="s">
        <v>345</v>
      </c>
      <c r="AD140" s="675"/>
    </row>
    <row r="141" spans="1:30" s="536" customFormat="1" ht="12" x14ac:dyDescent="0.2">
      <c r="A141" s="605"/>
      <c r="B141" s="552"/>
      <c r="C141" s="1822" t="s">
        <v>348</v>
      </c>
      <c r="D141" s="1822"/>
      <c r="E141" s="1822"/>
      <c r="F141" s="562" t="s">
        <v>315</v>
      </c>
      <c r="G141" s="562" t="s">
        <v>505</v>
      </c>
      <c r="H141" s="562" t="s">
        <v>313</v>
      </c>
      <c r="I141" s="562" t="s">
        <v>5345</v>
      </c>
      <c r="J141" s="604"/>
      <c r="K141" s="562"/>
      <c r="L141" s="604"/>
      <c r="M141" s="603"/>
      <c r="N141" s="602"/>
      <c r="V141" s="674"/>
      <c r="W141" s="675"/>
      <c r="X141" s="675"/>
      <c r="AB141" s="537" t="s">
        <v>348</v>
      </c>
      <c r="AD141" s="675"/>
    </row>
    <row r="142" spans="1:30" s="536" customFormat="1" ht="12" x14ac:dyDescent="0.2">
      <c r="A142" s="605"/>
      <c r="B142" s="552"/>
      <c r="C142" s="1828" t="s">
        <v>318</v>
      </c>
      <c r="D142" s="1828"/>
      <c r="E142" s="1828"/>
      <c r="F142" s="608"/>
      <c r="G142" s="608"/>
      <c r="H142" s="608"/>
      <c r="I142" s="608"/>
      <c r="J142" s="607">
        <v>3803.91</v>
      </c>
      <c r="K142" s="608"/>
      <c r="L142" s="607">
        <v>340.64</v>
      </c>
      <c r="M142" s="601"/>
      <c r="N142" s="606"/>
      <c r="V142" s="674"/>
      <c r="W142" s="675"/>
      <c r="X142" s="675"/>
      <c r="AC142" s="537" t="s">
        <v>318</v>
      </c>
      <c r="AD142" s="675"/>
    </row>
    <row r="143" spans="1:30" s="536" customFormat="1" ht="12" x14ac:dyDescent="0.2">
      <c r="A143" s="605"/>
      <c r="B143" s="552"/>
      <c r="C143" s="1822" t="s">
        <v>319</v>
      </c>
      <c r="D143" s="1822"/>
      <c r="E143" s="1822"/>
      <c r="F143" s="562"/>
      <c r="G143" s="562"/>
      <c r="H143" s="562"/>
      <c r="I143" s="562"/>
      <c r="J143" s="604"/>
      <c r="K143" s="562"/>
      <c r="L143" s="604">
        <v>39.89</v>
      </c>
      <c r="M143" s="603"/>
      <c r="N143" s="602"/>
      <c r="V143" s="674"/>
      <c r="W143" s="675"/>
      <c r="X143" s="675"/>
      <c r="AB143" s="537" t="s">
        <v>319</v>
      </c>
      <c r="AD143" s="675"/>
    </row>
    <row r="144" spans="1:30" s="536" customFormat="1" ht="33.75" x14ac:dyDescent="0.2">
      <c r="A144" s="605"/>
      <c r="B144" s="552" t="s">
        <v>460</v>
      </c>
      <c r="C144" s="1822" t="s">
        <v>461</v>
      </c>
      <c r="D144" s="1822"/>
      <c r="E144" s="1822"/>
      <c r="F144" s="562" t="s">
        <v>322</v>
      </c>
      <c r="G144" s="562" t="s">
        <v>462</v>
      </c>
      <c r="H144" s="562"/>
      <c r="I144" s="562" t="s">
        <v>462</v>
      </c>
      <c r="J144" s="604"/>
      <c r="K144" s="562"/>
      <c r="L144" s="604">
        <v>36.700000000000003</v>
      </c>
      <c r="M144" s="603"/>
      <c r="N144" s="602"/>
      <c r="V144" s="674"/>
      <c r="W144" s="675"/>
      <c r="X144" s="675"/>
      <c r="AB144" s="537" t="s">
        <v>461</v>
      </c>
      <c r="AD144" s="675"/>
    </row>
    <row r="145" spans="1:30" s="536" customFormat="1" ht="33.75" x14ac:dyDescent="0.2">
      <c r="A145" s="605"/>
      <c r="B145" s="552" t="s">
        <v>463</v>
      </c>
      <c r="C145" s="1822" t="s">
        <v>464</v>
      </c>
      <c r="D145" s="1822"/>
      <c r="E145" s="1822"/>
      <c r="F145" s="562" t="s">
        <v>322</v>
      </c>
      <c r="G145" s="562" t="s">
        <v>465</v>
      </c>
      <c r="H145" s="562"/>
      <c r="I145" s="562" t="s">
        <v>465</v>
      </c>
      <c r="J145" s="604"/>
      <c r="K145" s="562"/>
      <c r="L145" s="604">
        <v>18.350000000000001</v>
      </c>
      <c r="M145" s="603"/>
      <c r="N145" s="602"/>
      <c r="V145" s="674"/>
      <c r="W145" s="675"/>
      <c r="X145" s="675"/>
      <c r="AB145" s="537" t="s">
        <v>464</v>
      </c>
      <c r="AD145" s="675"/>
    </row>
    <row r="146" spans="1:30" s="536" customFormat="1" ht="12" x14ac:dyDescent="0.2">
      <c r="A146" s="569"/>
      <c r="B146" s="671"/>
      <c r="C146" s="1823" t="s">
        <v>327</v>
      </c>
      <c r="D146" s="1823"/>
      <c r="E146" s="1823"/>
      <c r="F146" s="573"/>
      <c r="G146" s="573"/>
      <c r="H146" s="573"/>
      <c r="I146" s="573"/>
      <c r="J146" s="572"/>
      <c r="K146" s="573"/>
      <c r="L146" s="572">
        <v>395.69</v>
      </c>
      <c r="M146" s="601"/>
      <c r="N146" s="570"/>
      <c r="V146" s="674"/>
      <c r="W146" s="675"/>
      <c r="X146" s="675"/>
      <c r="AD146" s="675" t="s">
        <v>327</v>
      </c>
    </row>
    <row r="147" spans="1:30" s="536" customFormat="1" ht="22.5" x14ac:dyDescent="0.2">
      <c r="A147" s="575" t="s">
        <v>196</v>
      </c>
      <c r="B147" s="670" t="s">
        <v>507</v>
      </c>
      <c r="C147" s="1823" t="s">
        <v>508</v>
      </c>
      <c r="D147" s="1823"/>
      <c r="E147" s="1823"/>
      <c r="F147" s="573" t="s">
        <v>509</v>
      </c>
      <c r="G147" s="573"/>
      <c r="H147" s="573"/>
      <c r="I147" s="573" t="s">
        <v>5346</v>
      </c>
      <c r="J147" s="572"/>
      <c r="K147" s="573"/>
      <c r="L147" s="572"/>
      <c r="M147" s="571"/>
      <c r="N147" s="570"/>
      <c r="V147" s="674"/>
      <c r="W147" s="675"/>
      <c r="X147" s="675" t="s">
        <v>508</v>
      </c>
      <c r="AD147" s="675"/>
    </row>
    <row r="148" spans="1:30" s="536" customFormat="1" ht="12" x14ac:dyDescent="0.2">
      <c r="A148" s="676"/>
      <c r="B148" s="664"/>
      <c r="C148" s="1822" t="s">
        <v>5347</v>
      </c>
      <c r="D148" s="1822"/>
      <c r="E148" s="1822"/>
      <c r="F148" s="1822"/>
      <c r="G148" s="1822"/>
      <c r="H148" s="1822"/>
      <c r="I148" s="1822"/>
      <c r="J148" s="1822"/>
      <c r="K148" s="1822"/>
      <c r="L148" s="1822"/>
      <c r="M148" s="1822"/>
      <c r="N148" s="1827"/>
      <c r="V148" s="674"/>
      <c r="W148" s="675"/>
      <c r="X148" s="675"/>
      <c r="Y148" s="537" t="s">
        <v>5347</v>
      </c>
      <c r="AD148" s="675"/>
    </row>
    <row r="149" spans="1:30" s="536" customFormat="1" ht="33.75" x14ac:dyDescent="0.2">
      <c r="A149" s="609"/>
      <c r="B149" s="552" t="s">
        <v>310</v>
      </c>
      <c r="C149" s="1822" t="s">
        <v>311</v>
      </c>
      <c r="D149" s="1822"/>
      <c r="E149" s="1822"/>
      <c r="F149" s="1822"/>
      <c r="G149" s="1822"/>
      <c r="H149" s="1822"/>
      <c r="I149" s="1822"/>
      <c r="J149" s="1822"/>
      <c r="K149" s="1822"/>
      <c r="L149" s="1822"/>
      <c r="M149" s="1822"/>
      <c r="N149" s="1827"/>
      <c r="V149" s="674"/>
      <c r="W149" s="675"/>
      <c r="X149" s="675"/>
      <c r="Z149" s="537" t="s">
        <v>311</v>
      </c>
      <c r="AD149" s="675"/>
    </row>
    <row r="150" spans="1:30" s="536" customFormat="1" ht="12" x14ac:dyDescent="0.2">
      <c r="A150" s="605"/>
      <c r="B150" s="552" t="s">
        <v>185</v>
      </c>
      <c r="C150" s="1822" t="s">
        <v>312</v>
      </c>
      <c r="D150" s="1822"/>
      <c r="E150" s="1822"/>
      <c r="F150" s="562"/>
      <c r="G150" s="562"/>
      <c r="H150" s="562"/>
      <c r="I150" s="562"/>
      <c r="J150" s="604">
        <v>127.61</v>
      </c>
      <c r="K150" s="562" t="s">
        <v>313</v>
      </c>
      <c r="L150" s="604">
        <v>114.27</v>
      </c>
      <c r="M150" s="603"/>
      <c r="N150" s="602"/>
      <c r="V150" s="674"/>
      <c r="W150" s="675"/>
      <c r="X150" s="675"/>
      <c r="AA150" s="537" t="s">
        <v>312</v>
      </c>
      <c r="AD150" s="675"/>
    </row>
    <row r="151" spans="1:30" s="536" customFormat="1" ht="12" x14ac:dyDescent="0.2">
      <c r="A151" s="605"/>
      <c r="B151" s="552" t="s">
        <v>186</v>
      </c>
      <c r="C151" s="1822" t="s">
        <v>344</v>
      </c>
      <c r="D151" s="1822"/>
      <c r="E151" s="1822"/>
      <c r="F151" s="562"/>
      <c r="G151" s="562"/>
      <c r="H151" s="562"/>
      <c r="I151" s="562"/>
      <c r="J151" s="604">
        <v>288.58</v>
      </c>
      <c r="K151" s="562" t="s">
        <v>313</v>
      </c>
      <c r="L151" s="604">
        <v>258.42</v>
      </c>
      <c r="M151" s="603"/>
      <c r="N151" s="602"/>
      <c r="V151" s="674"/>
      <c r="W151" s="675"/>
      <c r="X151" s="675"/>
      <c r="AA151" s="537" t="s">
        <v>344</v>
      </c>
      <c r="AD151" s="675"/>
    </row>
    <row r="152" spans="1:30" s="536" customFormat="1" ht="12" x14ac:dyDescent="0.2">
      <c r="A152" s="605"/>
      <c r="B152" s="552" t="s">
        <v>187</v>
      </c>
      <c r="C152" s="1822" t="s">
        <v>345</v>
      </c>
      <c r="D152" s="1822"/>
      <c r="E152" s="1822"/>
      <c r="F152" s="562"/>
      <c r="G152" s="562"/>
      <c r="H152" s="562"/>
      <c r="I152" s="562"/>
      <c r="J152" s="604">
        <v>31.49</v>
      </c>
      <c r="K152" s="562" t="s">
        <v>313</v>
      </c>
      <c r="L152" s="604">
        <v>28.2</v>
      </c>
      <c r="M152" s="603"/>
      <c r="N152" s="602"/>
      <c r="V152" s="674"/>
      <c r="W152" s="675"/>
      <c r="X152" s="675"/>
      <c r="AA152" s="537" t="s">
        <v>345</v>
      </c>
      <c r="AD152" s="675"/>
    </row>
    <row r="153" spans="1:30" s="536" customFormat="1" ht="12" x14ac:dyDescent="0.2">
      <c r="A153" s="605"/>
      <c r="B153" s="552"/>
      <c r="C153" s="1822" t="s">
        <v>314</v>
      </c>
      <c r="D153" s="1822"/>
      <c r="E153" s="1822"/>
      <c r="F153" s="562" t="s">
        <v>315</v>
      </c>
      <c r="G153" s="562" t="s">
        <v>512</v>
      </c>
      <c r="H153" s="562" t="s">
        <v>313</v>
      </c>
      <c r="I153" s="562" t="s">
        <v>5348</v>
      </c>
      <c r="J153" s="604"/>
      <c r="K153" s="562"/>
      <c r="L153" s="604"/>
      <c r="M153" s="603"/>
      <c r="N153" s="602"/>
      <c r="V153" s="674"/>
      <c r="W153" s="675"/>
      <c r="X153" s="675"/>
      <c r="AB153" s="537" t="s">
        <v>314</v>
      </c>
      <c r="AD153" s="675"/>
    </row>
    <row r="154" spans="1:30" s="536" customFormat="1" ht="12" x14ac:dyDescent="0.2">
      <c r="A154" s="605"/>
      <c r="B154" s="552"/>
      <c r="C154" s="1822" t="s">
        <v>348</v>
      </c>
      <c r="D154" s="1822"/>
      <c r="E154" s="1822"/>
      <c r="F154" s="562" t="s">
        <v>315</v>
      </c>
      <c r="G154" s="562" t="s">
        <v>514</v>
      </c>
      <c r="H154" s="562" t="s">
        <v>313</v>
      </c>
      <c r="I154" s="562" t="s">
        <v>5349</v>
      </c>
      <c r="J154" s="604"/>
      <c r="K154" s="562"/>
      <c r="L154" s="604"/>
      <c r="M154" s="603"/>
      <c r="N154" s="602"/>
      <c r="V154" s="674"/>
      <c r="W154" s="675"/>
      <c r="X154" s="675"/>
      <c r="AB154" s="537" t="s">
        <v>348</v>
      </c>
      <c r="AD154" s="675"/>
    </row>
    <row r="155" spans="1:30" s="536" customFormat="1" ht="12" x14ac:dyDescent="0.2">
      <c r="A155" s="605"/>
      <c r="B155" s="552"/>
      <c r="C155" s="1828" t="s">
        <v>318</v>
      </c>
      <c r="D155" s="1828"/>
      <c r="E155" s="1828"/>
      <c r="F155" s="608"/>
      <c r="G155" s="608"/>
      <c r="H155" s="608"/>
      <c r="I155" s="608"/>
      <c r="J155" s="607">
        <v>416.19</v>
      </c>
      <c r="K155" s="608"/>
      <c r="L155" s="607">
        <v>372.69</v>
      </c>
      <c r="M155" s="601"/>
      <c r="N155" s="606"/>
      <c r="V155" s="674"/>
      <c r="W155" s="675"/>
      <c r="X155" s="675"/>
      <c r="AC155" s="537" t="s">
        <v>318</v>
      </c>
      <c r="AD155" s="675"/>
    </row>
    <row r="156" spans="1:30" s="536" customFormat="1" ht="12" x14ac:dyDescent="0.2">
      <c r="A156" s="605"/>
      <c r="B156" s="552"/>
      <c r="C156" s="1822" t="s">
        <v>319</v>
      </c>
      <c r="D156" s="1822"/>
      <c r="E156" s="1822"/>
      <c r="F156" s="562"/>
      <c r="G156" s="562"/>
      <c r="H156" s="562"/>
      <c r="I156" s="562"/>
      <c r="J156" s="604"/>
      <c r="K156" s="562"/>
      <c r="L156" s="604">
        <v>142.47</v>
      </c>
      <c r="M156" s="603"/>
      <c r="N156" s="602"/>
      <c r="V156" s="674"/>
      <c r="W156" s="675"/>
      <c r="X156" s="675"/>
      <c r="AB156" s="537" t="s">
        <v>319</v>
      </c>
      <c r="AD156" s="675"/>
    </row>
    <row r="157" spans="1:30" s="536" customFormat="1" ht="33.75" x14ac:dyDescent="0.2">
      <c r="A157" s="605"/>
      <c r="B157" s="552" t="s">
        <v>460</v>
      </c>
      <c r="C157" s="1822" t="s">
        <v>461</v>
      </c>
      <c r="D157" s="1822"/>
      <c r="E157" s="1822"/>
      <c r="F157" s="562" t="s">
        <v>322</v>
      </c>
      <c r="G157" s="562" t="s">
        <v>462</v>
      </c>
      <c r="H157" s="562"/>
      <c r="I157" s="562" t="s">
        <v>462</v>
      </c>
      <c r="J157" s="604"/>
      <c r="K157" s="562"/>
      <c r="L157" s="604">
        <v>131.07</v>
      </c>
      <c r="M157" s="603"/>
      <c r="N157" s="602"/>
      <c r="V157" s="674"/>
      <c r="W157" s="675"/>
      <c r="X157" s="675"/>
      <c r="AB157" s="537" t="s">
        <v>461</v>
      </c>
      <c r="AD157" s="675"/>
    </row>
    <row r="158" spans="1:30" s="536" customFormat="1" ht="33.75" x14ac:dyDescent="0.2">
      <c r="A158" s="605"/>
      <c r="B158" s="552" t="s">
        <v>463</v>
      </c>
      <c r="C158" s="1822" t="s">
        <v>464</v>
      </c>
      <c r="D158" s="1822"/>
      <c r="E158" s="1822"/>
      <c r="F158" s="562" t="s">
        <v>322</v>
      </c>
      <c r="G158" s="562" t="s">
        <v>465</v>
      </c>
      <c r="H158" s="562"/>
      <c r="I158" s="562" t="s">
        <v>465</v>
      </c>
      <c r="J158" s="604"/>
      <c r="K158" s="562"/>
      <c r="L158" s="604">
        <v>65.540000000000006</v>
      </c>
      <c r="M158" s="603"/>
      <c r="N158" s="602"/>
      <c r="V158" s="674"/>
      <c r="W158" s="675"/>
      <c r="X158" s="675"/>
      <c r="AB158" s="537" t="s">
        <v>464</v>
      </c>
      <c r="AD158" s="675"/>
    </row>
    <row r="159" spans="1:30" s="536" customFormat="1" ht="12" x14ac:dyDescent="0.2">
      <c r="A159" s="569"/>
      <c r="B159" s="671"/>
      <c r="C159" s="1823" t="s">
        <v>327</v>
      </c>
      <c r="D159" s="1823"/>
      <c r="E159" s="1823"/>
      <c r="F159" s="573"/>
      <c r="G159" s="573"/>
      <c r="H159" s="573"/>
      <c r="I159" s="573"/>
      <c r="J159" s="572"/>
      <c r="K159" s="573"/>
      <c r="L159" s="572">
        <v>569.29999999999995</v>
      </c>
      <c r="M159" s="601"/>
      <c r="N159" s="570"/>
      <c r="V159" s="674"/>
      <c r="W159" s="675"/>
      <c r="X159" s="675"/>
      <c r="AD159" s="675" t="s">
        <v>327</v>
      </c>
    </row>
    <row r="160" spans="1:30" s="536" customFormat="1" ht="12" x14ac:dyDescent="0.2">
      <c r="A160" s="1830" t="s">
        <v>5350</v>
      </c>
      <c r="B160" s="1831"/>
      <c r="C160" s="1831"/>
      <c r="D160" s="1831"/>
      <c r="E160" s="1831"/>
      <c r="F160" s="1831"/>
      <c r="G160" s="1831"/>
      <c r="H160" s="1831"/>
      <c r="I160" s="1831"/>
      <c r="J160" s="1831"/>
      <c r="K160" s="1831"/>
      <c r="L160" s="1831"/>
      <c r="M160" s="1831"/>
      <c r="N160" s="1832"/>
      <c r="V160" s="674"/>
      <c r="W160" s="675" t="s">
        <v>5350</v>
      </c>
      <c r="X160" s="675"/>
      <c r="AD160" s="675"/>
    </row>
    <row r="161" spans="1:30" s="536" customFormat="1" ht="56.25" x14ac:dyDescent="0.2">
      <c r="A161" s="575" t="s">
        <v>197</v>
      </c>
      <c r="B161" s="670" t="s">
        <v>3774</v>
      </c>
      <c r="C161" s="1823" t="s">
        <v>3775</v>
      </c>
      <c r="D161" s="1823"/>
      <c r="E161" s="1823"/>
      <c r="F161" s="573" t="s">
        <v>455</v>
      </c>
      <c r="G161" s="573"/>
      <c r="H161" s="573"/>
      <c r="I161" s="573" t="s">
        <v>5351</v>
      </c>
      <c r="J161" s="572"/>
      <c r="K161" s="573"/>
      <c r="L161" s="572"/>
      <c r="M161" s="571"/>
      <c r="N161" s="570"/>
      <c r="V161" s="674"/>
      <c r="W161" s="675"/>
      <c r="X161" s="675" t="s">
        <v>3775</v>
      </c>
      <c r="AD161" s="675"/>
    </row>
    <row r="162" spans="1:30" s="536" customFormat="1" ht="12" x14ac:dyDescent="0.2">
      <c r="A162" s="676"/>
      <c r="B162" s="664"/>
      <c r="C162" s="1822" t="s">
        <v>5352</v>
      </c>
      <c r="D162" s="1822"/>
      <c r="E162" s="1822"/>
      <c r="F162" s="1822"/>
      <c r="G162" s="1822"/>
      <c r="H162" s="1822"/>
      <c r="I162" s="1822"/>
      <c r="J162" s="1822"/>
      <c r="K162" s="1822"/>
      <c r="L162" s="1822"/>
      <c r="M162" s="1822"/>
      <c r="N162" s="1827"/>
      <c r="V162" s="674"/>
      <c r="W162" s="675"/>
      <c r="X162" s="675"/>
      <c r="Y162" s="537" t="s">
        <v>5352</v>
      </c>
      <c r="AD162" s="675"/>
    </row>
    <row r="163" spans="1:30" s="536" customFormat="1" ht="33.75" x14ac:dyDescent="0.2">
      <c r="A163" s="609"/>
      <c r="B163" s="552" t="s">
        <v>310</v>
      </c>
      <c r="C163" s="1822" t="s">
        <v>311</v>
      </c>
      <c r="D163" s="1822"/>
      <c r="E163" s="1822"/>
      <c r="F163" s="1822"/>
      <c r="G163" s="1822"/>
      <c r="H163" s="1822"/>
      <c r="I163" s="1822"/>
      <c r="J163" s="1822"/>
      <c r="K163" s="1822"/>
      <c r="L163" s="1822"/>
      <c r="M163" s="1822"/>
      <c r="N163" s="1827"/>
      <c r="V163" s="674"/>
      <c r="W163" s="675"/>
      <c r="X163" s="675"/>
      <c r="Z163" s="537" t="s">
        <v>311</v>
      </c>
      <c r="AD163" s="675"/>
    </row>
    <row r="164" spans="1:30" s="536" customFormat="1" ht="12" x14ac:dyDescent="0.2">
      <c r="A164" s="605"/>
      <c r="B164" s="552" t="s">
        <v>186</v>
      </c>
      <c r="C164" s="1822" t="s">
        <v>344</v>
      </c>
      <c r="D164" s="1822"/>
      <c r="E164" s="1822"/>
      <c r="F164" s="562"/>
      <c r="G164" s="562"/>
      <c r="H164" s="562"/>
      <c r="I164" s="562"/>
      <c r="J164" s="604">
        <v>6166.95</v>
      </c>
      <c r="K164" s="562" t="s">
        <v>313</v>
      </c>
      <c r="L164" s="604">
        <v>97.13</v>
      </c>
      <c r="M164" s="603"/>
      <c r="N164" s="602"/>
      <c r="V164" s="674"/>
      <c r="W164" s="675"/>
      <c r="X164" s="675"/>
      <c r="AA164" s="537" t="s">
        <v>344</v>
      </c>
      <c r="AD164" s="675"/>
    </row>
    <row r="165" spans="1:30" s="536" customFormat="1" ht="12" x14ac:dyDescent="0.2">
      <c r="A165" s="605"/>
      <c r="B165" s="552" t="s">
        <v>187</v>
      </c>
      <c r="C165" s="1822" t="s">
        <v>345</v>
      </c>
      <c r="D165" s="1822"/>
      <c r="E165" s="1822"/>
      <c r="F165" s="562"/>
      <c r="G165" s="562"/>
      <c r="H165" s="562"/>
      <c r="I165" s="562"/>
      <c r="J165" s="604">
        <v>722.25</v>
      </c>
      <c r="K165" s="562" t="s">
        <v>313</v>
      </c>
      <c r="L165" s="604">
        <v>11.38</v>
      </c>
      <c r="M165" s="603"/>
      <c r="N165" s="602"/>
      <c r="V165" s="674"/>
      <c r="W165" s="675"/>
      <c r="X165" s="675"/>
      <c r="AA165" s="537" t="s">
        <v>345</v>
      </c>
      <c r="AD165" s="675"/>
    </row>
    <row r="166" spans="1:30" s="536" customFormat="1" ht="12" x14ac:dyDescent="0.2">
      <c r="A166" s="605"/>
      <c r="B166" s="552"/>
      <c r="C166" s="1822" t="s">
        <v>348</v>
      </c>
      <c r="D166" s="1822"/>
      <c r="E166" s="1822"/>
      <c r="F166" s="562" t="s">
        <v>315</v>
      </c>
      <c r="G166" s="562" t="s">
        <v>3776</v>
      </c>
      <c r="H166" s="562" t="s">
        <v>313</v>
      </c>
      <c r="I166" s="562" t="s">
        <v>5353</v>
      </c>
      <c r="J166" s="604"/>
      <c r="K166" s="562"/>
      <c r="L166" s="604"/>
      <c r="M166" s="603"/>
      <c r="N166" s="602"/>
      <c r="V166" s="674"/>
      <c r="W166" s="675"/>
      <c r="X166" s="675"/>
      <c r="AB166" s="537" t="s">
        <v>348</v>
      </c>
      <c r="AD166" s="675"/>
    </row>
    <row r="167" spans="1:30" s="536" customFormat="1" ht="12" x14ac:dyDescent="0.2">
      <c r="A167" s="605"/>
      <c r="B167" s="552"/>
      <c r="C167" s="1828" t="s">
        <v>318</v>
      </c>
      <c r="D167" s="1828"/>
      <c r="E167" s="1828"/>
      <c r="F167" s="608"/>
      <c r="G167" s="608"/>
      <c r="H167" s="608"/>
      <c r="I167" s="608"/>
      <c r="J167" s="607">
        <v>6166.95</v>
      </c>
      <c r="K167" s="608"/>
      <c r="L167" s="607">
        <v>97.13</v>
      </c>
      <c r="M167" s="601"/>
      <c r="N167" s="606"/>
      <c r="V167" s="674"/>
      <c r="W167" s="675"/>
      <c r="X167" s="675"/>
      <c r="AC167" s="537" t="s">
        <v>318</v>
      </c>
      <c r="AD167" s="675"/>
    </row>
    <row r="168" spans="1:30" s="536" customFormat="1" ht="12" x14ac:dyDescent="0.2">
      <c r="A168" s="605"/>
      <c r="B168" s="552"/>
      <c r="C168" s="1822" t="s">
        <v>319</v>
      </c>
      <c r="D168" s="1822"/>
      <c r="E168" s="1822"/>
      <c r="F168" s="562"/>
      <c r="G168" s="562"/>
      <c r="H168" s="562"/>
      <c r="I168" s="562"/>
      <c r="J168" s="604"/>
      <c r="K168" s="562"/>
      <c r="L168" s="604">
        <v>11.38</v>
      </c>
      <c r="M168" s="603"/>
      <c r="N168" s="602"/>
      <c r="V168" s="674"/>
      <c r="W168" s="675"/>
      <c r="X168" s="675"/>
      <c r="AB168" s="537" t="s">
        <v>319</v>
      </c>
      <c r="AD168" s="675"/>
    </row>
    <row r="169" spans="1:30" s="536" customFormat="1" ht="33.75" x14ac:dyDescent="0.2">
      <c r="A169" s="605"/>
      <c r="B169" s="552" t="s">
        <v>460</v>
      </c>
      <c r="C169" s="1822" t="s">
        <v>461</v>
      </c>
      <c r="D169" s="1822"/>
      <c r="E169" s="1822"/>
      <c r="F169" s="562" t="s">
        <v>322</v>
      </c>
      <c r="G169" s="562" t="s">
        <v>462</v>
      </c>
      <c r="H169" s="562"/>
      <c r="I169" s="562" t="s">
        <v>462</v>
      </c>
      <c r="J169" s="604"/>
      <c r="K169" s="562"/>
      <c r="L169" s="604">
        <v>10.47</v>
      </c>
      <c r="M169" s="603"/>
      <c r="N169" s="602"/>
      <c r="V169" s="674"/>
      <c r="W169" s="675"/>
      <c r="X169" s="675"/>
      <c r="AB169" s="537" t="s">
        <v>461</v>
      </c>
      <c r="AD169" s="675"/>
    </row>
    <row r="170" spans="1:30" s="536" customFormat="1" ht="33.75" x14ac:dyDescent="0.2">
      <c r="A170" s="605"/>
      <c r="B170" s="552" t="s">
        <v>463</v>
      </c>
      <c r="C170" s="1822" t="s">
        <v>464</v>
      </c>
      <c r="D170" s="1822"/>
      <c r="E170" s="1822"/>
      <c r="F170" s="562" t="s">
        <v>322</v>
      </c>
      <c r="G170" s="562" t="s">
        <v>465</v>
      </c>
      <c r="H170" s="562"/>
      <c r="I170" s="562" t="s">
        <v>465</v>
      </c>
      <c r="J170" s="604"/>
      <c r="K170" s="562"/>
      <c r="L170" s="604">
        <v>5.23</v>
      </c>
      <c r="M170" s="603"/>
      <c r="N170" s="602"/>
      <c r="V170" s="674"/>
      <c r="W170" s="675"/>
      <c r="X170" s="675"/>
      <c r="AB170" s="537" t="s">
        <v>464</v>
      </c>
      <c r="AD170" s="675"/>
    </row>
    <row r="171" spans="1:30" s="536" customFormat="1" ht="12" x14ac:dyDescent="0.2">
      <c r="A171" s="569"/>
      <c r="B171" s="671"/>
      <c r="C171" s="1823" t="s">
        <v>327</v>
      </c>
      <c r="D171" s="1823"/>
      <c r="E171" s="1823"/>
      <c r="F171" s="573"/>
      <c r="G171" s="573"/>
      <c r="H171" s="573"/>
      <c r="I171" s="573"/>
      <c r="J171" s="572"/>
      <c r="K171" s="573"/>
      <c r="L171" s="572">
        <v>112.83</v>
      </c>
      <c r="M171" s="601"/>
      <c r="N171" s="570"/>
      <c r="V171" s="674"/>
      <c r="W171" s="675"/>
      <c r="X171" s="675"/>
      <c r="AD171" s="675" t="s">
        <v>327</v>
      </c>
    </row>
    <row r="172" spans="1:30" s="536" customFormat="1" ht="45" x14ac:dyDescent="0.2">
      <c r="A172" s="575" t="s">
        <v>198</v>
      </c>
      <c r="B172" s="670" t="s">
        <v>1511</v>
      </c>
      <c r="C172" s="1823" t="s">
        <v>1512</v>
      </c>
      <c r="D172" s="1823"/>
      <c r="E172" s="1823"/>
      <c r="F172" s="573" t="s">
        <v>455</v>
      </c>
      <c r="G172" s="573"/>
      <c r="H172" s="573"/>
      <c r="I172" s="573" t="s">
        <v>5354</v>
      </c>
      <c r="J172" s="572"/>
      <c r="K172" s="573"/>
      <c r="L172" s="572"/>
      <c r="M172" s="571"/>
      <c r="N172" s="570"/>
      <c r="V172" s="674"/>
      <c r="W172" s="675"/>
      <c r="X172" s="675" t="s">
        <v>1512</v>
      </c>
      <c r="AD172" s="675"/>
    </row>
    <row r="173" spans="1:30" s="536" customFormat="1" ht="12" x14ac:dyDescent="0.2">
      <c r="A173" s="676"/>
      <c r="B173" s="664"/>
      <c r="C173" s="1822" t="s">
        <v>5355</v>
      </c>
      <c r="D173" s="1822"/>
      <c r="E173" s="1822"/>
      <c r="F173" s="1822"/>
      <c r="G173" s="1822"/>
      <c r="H173" s="1822"/>
      <c r="I173" s="1822"/>
      <c r="J173" s="1822"/>
      <c r="K173" s="1822"/>
      <c r="L173" s="1822"/>
      <c r="M173" s="1822"/>
      <c r="N173" s="1827"/>
      <c r="V173" s="674"/>
      <c r="W173" s="675"/>
      <c r="X173" s="675"/>
      <c r="Y173" s="537" t="s">
        <v>5355</v>
      </c>
      <c r="AD173" s="675"/>
    </row>
    <row r="174" spans="1:30" s="536" customFormat="1" ht="33.75" x14ac:dyDescent="0.2">
      <c r="A174" s="609"/>
      <c r="B174" s="552" t="s">
        <v>310</v>
      </c>
      <c r="C174" s="1822" t="s">
        <v>311</v>
      </c>
      <c r="D174" s="1822"/>
      <c r="E174" s="1822"/>
      <c r="F174" s="1822"/>
      <c r="G174" s="1822"/>
      <c r="H174" s="1822"/>
      <c r="I174" s="1822"/>
      <c r="J174" s="1822"/>
      <c r="K174" s="1822"/>
      <c r="L174" s="1822"/>
      <c r="M174" s="1822"/>
      <c r="N174" s="1827"/>
      <c r="V174" s="674"/>
      <c r="W174" s="675"/>
      <c r="X174" s="675"/>
      <c r="Z174" s="537" t="s">
        <v>311</v>
      </c>
      <c r="AD174" s="675"/>
    </row>
    <row r="175" spans="1:30" s="536" customFormat="1" ht="12" x14ac:dyDescent="0.2">
      <c r="A175" s="605"/>
      <c r="B175" s="552" t="s">
        <v>186</v>
      </c>
      <c r="C175" s="1822" t="s">
        <v>344</v>
      </c>
      <c r="D175" s="1822"/>
      <c r="E175" s="1822"/>
      <c r="F175" s="562"/>
      <c r="G175" s="562"/>
      <c r="H175" s="562"/>
      <c r="I175" s="562"/>
      <c r="J175" s="604">
        <v>4898.9799999999996</v>
      </c>
      <c r="K175" s="562" t="s">
        <v>313</v>
      </c>
      <c r="L175" s="604">
        <v>234.66</v>
      </c>
      <c r="M175" s="603"/>
      <c r="N175" s="602"/>
      <c r="V175" s="674"/>
      <c r="W175" s="675"/>
      <c r="X175" s="675"/>
      <c r="AA175" s="537" t="s">
        <v>344</v>
      </c>
      <c r="AD175" s="675"/>
    </row>
    <row r="176" spans="1:30" s="536" customFormat="1" ht="12" x14ac:dyDescent="0.2">
      <c r="A176" s="605"/>
      <c r="B176" s="552" t="s">
        <v>187</v>
      </c>
      <c r="C176" s="1822" t="s">
        <v>345</v>
      </c>
      <c r="D176" s="1822"/>
      <c r="E176" s="1822"/>
      <c r="F176" s="562"/>
      <c r="G176" s="562"/>
      <c r="H176" s="562"/>
      <c r="I176" s="562"/>
      <c r="J176" s="604">
        <v>573.75</v>
      </c>
      <c r="K176" s="562" t="s">
        <v>313</v>
      </c>
      <c r="L176" s="604">
        <v>27.48</v>
      </c>
      <c r="M176" s="603"/>
      <c r="N176" s="602"/>
      <c r="V176" s="674"/>
      <c r="W176" s="675"/>
      <c r="X176" s="675"/>
      <c r="AA176" s="537" t="s">
        <v>345</v>
      </c>
      <c r="AD176" s="675"/>
    </row>
    <row r="177" spans="1:30" s="536" customFormat="1" ht="12" x14ac:dyDescent="0.2">
      <c r="A177" s="605"/>
      <c r="B177" s="552"/>
      <c r="C177" s="1822" t="s">
        <v>348</v>
      </c>
      <c r="D177" s="1822"/>
      <c r="E177" s="1822"/>
      <c r="F177" s="562" t="s">
        <v>315</v>
      </c>
      <c r="G177" s="562" t="s">
        <v>1513</v>
      </c>
      <c r="H177" s="562" t="s">
        <v>313</v>
      </c>
      <c r="I177" s="562" t="s">
        <v>5356</v>
      </c>
      <c r="J177" s="604"/>
      <c r="K177" s="562"/>
      <c r="L177" s="604"/>
      <c r="M177" s="603"/>
      <c r="N177" s="602"/>
      <c r="V177" s="674"/>
      <c r="W177" s="675"/>
      <c r="X177" s="675"/>
      <c r="AB177" s="537" t="s">
        <v>348</v>
      </c>
      <c r="AD177" s="675"/>
    </row>
    <row r="178" spans="1:30" s="536" customFormat="1" ht="12" x14ac:dyDescent="0.2">
      <c r="A178" s="605"/>
      <c r="B178" s="552"/>
      <c r="C178" s="1828" t="s">
        <v>318</v>
      </c>
      <c r="D178" s="1828"/>
      <c r="E178" s="1828"/>
      <c r="F178" s="608"/>
      <c r="G178" s="608"/>
      <c r="H178" s="608"/>
      <c r="I178" s="608"/>
      <c r="J178" s="607">
        <v>4898.9799999999996</v>
      </c>
      <c r="K178" s="608"/>
      <c r="L178" s="607">
        <v>234.66</v>
      </c>
      <c r="M178" s="601"/>
      <c r="N178" s="606"/>
      <c r="V178" s="674"/>
      <c r="W178" s="675"/>
      <c r="X178" s="675"/>
      <c r="AC178" s="537" t="s">
        <v>318</v>
      </c>
      <c r="AD178" s="675"/>
    </row>
    <row r="179" spans="1:30" s="536" customFormat="1" ht="12" x14ac:dyDescent="0.2">
      <c r="A179" s="605"/>
      <c r="B179" s="552"/>
      <c r="C179" s="1822" t="s">
        <v>319</v>
      </c>
      <c r="D179" s="1822"/>
      <c r="E179" s="1822"/>
      <c r="F179" s="562"/>
      <c r="G179" s="562"/>
      <c r="H179" s="562"/>
      <c r="I179" s="562"/>
      <c r="J179" s="604"/>
      <c r="K179" s="562"/>
      <c r="L179" s="604">
        <v>27.48</v>
      </c>
      <c r="M179" s="603"/>
      <c r="N179" s="602"/>
      <c r="V179" s="674"/>
      <c r="W179" s="675"/>
      <c r="X179" s="675"/>
      <c r="AB179" s="537" t="s">
        <v>319</v>
      </c>
      <c r="AD179" s="675"/>
    </row>
    <row r="180" spans="1:30" s="536" customFormat="1" ht="33.75" x14ac:dyDescent="0.2">
      <c r="A180" s="605"/>
      <c r="B180" s="552" t="s">
        <v>460</v>
      </c>
      <c r="C180" s="1822" t="s">
        <v>461</v>
      </c>
      <c r="D180" s="1822"/>
      <c r="E180" s="1822"/>
      <c r="F180" s="562" t="s">
        <v>322</v>
      </c>
      <c r="G180" s="562" t="s">
        <v>462</v>
      </c>
      <c r="H180" s="562"/>
      <c r="I180" s="562" t="s">
        <v>462</v>
      </c>
      <c r="J180" s="604"/>
      <c r="K180" s="562"/>
      <c r="L180" s="604">
        <v>25.28</v>
      </c>
      <c r="M180" s="603"/>
      <c r="N180" s="602"/>
      <c r="V180" s="674"/>
      <c r="W180" s="675"/>
      <c r="X180" s="675"/>
      <c r="AB180" s="537" t="s">
        <v>461</v>
      </c>
      <c r="AD180" s="675"/>
    </row>
    <row r="181" spans="1:30" s="536" customFormat="1" ht="33.75" x14ac:dyDescent="0.2">
      <c r="A181" s="605"/>
      <c r="B181" s="552" t="s">
        <v>463</v>
      </c>
      <c r="C181" s="1822" t="s">
        <v>464</v>
      </c>
      <c r="D181" s="1822"/>
      <c r="E181" s="1822"/>
      <c r="F181" s="562" t="s">
        <v>322</v>
      </c>
      <c r="G181" s="562" t="s">
        <v>465</v>
      </c>
      <c r="H181" s="562"/>
      <c r="I181" s="562" t="s">
        <v>465</v>
      </c>
      <c r="J181" s="604"/>
      <c r="K181" s="562"/>
      <c r="L181" s="604">
        <v>12.64</v>
      </c>
      <c r="M181" s="603"/>
      <c r="N181" s="602"/>
      <c r="V181" s="674"/>
      <c r="W181" s="675"/>
      <c r="X181" s="675"/>
      <c r="AB181" s="537" t="s">
        <v>464</v>
      </c>
      <c r="AD181" s="675"/>
    </row>
    <row r="182" spans="1:30" s="536" customFormat="1" ht="12" x14ac:dyDescent="0.2">
      <c r="A182" s="569"/>
      <c r="B182" s="671"/>
      <c r="C182" s="1823" t="s">
        <v>327</v>
      </c>
      <c r="D182" s="1823"/>
      <c r="E182" s="1823"/>
      <c r="F182" s="573"/>
      <c r="G182" s="573"/>
      <c r="H182" s="573"/>
      <c r="I182" s="573"/>
      <c r="J182" s="572"/>
      <c r="K182" s="573"/>
      <c r="L182" s="572">
        <v>272.58</v>
      </c>
      <c r="M182" s="601"/>
      <c r="N182" s="570"/>
      <c r="V182" s="674"/>
      <c r="W182" s="675"/>
      <c r="X182" s="675"/>
      <c r="AD182" s="675" t="s">
        <v>327</v>
      </c>
    </row>
    <row r="183" spans="1:30" s="536" customFormat="1" ht="45" x14ac:dyDescent="0.2">
      <c r="A183" s="575" t="s">
        <v>199</v>
      </c>
      <c r="B183" s="670" t="s">
        <v>1514</v>
      </c>
      <c r="C183" s="1823" t="s">
        <v>5357</v>
      </c>
      <c r="D183" s="1823"/>
      <c r="E183" s="1823"/>
      <c r="F183" s="573" t="s">
        <v>509</v>
      </c>
      <c r="G183" s="573"/>
      <c r="H183" s="573"/>
      <c r="I183" s="573" t="s">
        <v>5358</v>
      </c>
      <c r="J183" s="572"/>
      <c r="K183" s="573"/>
      <c r="L183" s="572"/>
      <c r="M183" s="571"/>
      <c r="N183" s="570"/>
      <c r="V183" s="674"/>
      <c r="W183" s="675"/>
      <c r="X183" s="675" t="s">
        <v>5357</v>
      </c>
      <c r="AD183" s="675"/>
    </row>
    <row r="184" spans="1:30" s="536" customFormat="1" ht="12" x14ac:dyDescent="0.2">
      <c r="A184" s="676"/>
      <c r="B184" s="664"/>
      <c r="C184" s="1822" t="s">
        <v>5359</v>
      </c>
      <c r="D184" s="1822"/>
      <c r="E184" s="1822"/>
      <c r="F184" s="1822"/>
      <c r="G184" s="1822"/>
      <c r="H184" s="1822"/>
      <c r="I184" s="1822"/>
      <c r="J184" s="1822"/>
      <c r="K184" s="1822"/>
      <c r="L184" s="1822"/>
      <c r="M184" s="1822"/>
      <c r="N184" s="1827"/>
      <c r="V184" s="674"/>
      <c r="W184" s="675"/>
      <c r="X184" s="675"/>
      <c r="Y184" s="537" t="s">
        <v>5359</v>
      </c>
      <c r="AD184" s="675"/>
    </row>
    <row r="185" spans="1:30" s="536" customFormat="1" ht="22.5" x14ac:dyDescent="0.2">
      <c r="A185" s="609"/>
      <c r="B185" s="552" t="s">
        <v>1518</v>
      </c>
      <c r="C185" s="1822" t="s">
        <v>1519</v>
      </c>
      <c r="D185" s="1822"/>
      <c r="E185" s="1822"/>
      <c r="F185" s="1822"/>
      <c r="G185" s="1822"/>
      <c r="H185" s="1822"/>
      <c r="I185" s="1822"/>
      <c r="J185" s="1822"/>
      <c r="K185" s="1822"/>
      <c r="L185" s="1822"/>
      <c r="M185" s="1822"/>
      <c r="N185" s="1827"/>
      <c r="V185" s="674"/>
      <c r="W185" s="675"/>
      <c r="X185" s="675"/>
      <c r="Z185" s="537" t="s">
        <v>1519</v>
      </c>
      <c r="AD185" s="675"/>
    </row>
    <row r="186" spans="1:30" s="536" customFormat="1" ht="33.75" x14ac:dyDescent="0.2">
      <c r="A186" s="609"/>
      <c r="B186" s="552" t="s">
        <v>310</v>
      </c>
      <c r="C186" s="1822" t="s">
        <v>311</v>
      </c>
      <c r="D186" s="1822"/>
      <c r="E186" s="1822"/>
      <c r="F186" s="1822"/>
      <c r="G186" s="1822"/>
      <c r="H186" s="1822"/>
      <c r="I186" s="1822"/>
      <c r="J186" s="1822"/>
      <c r="K186" s="1822"/>
      <c r="L186" s="1822"/>
      <c r="M186" s="1822"/>
      <c r="N186" s="1827"/>
      <c r="V186" s="674"/>
      <c r="W186" s="675"/>
      <c r="X186" s="675"/>
      <c r="Z186" s="537" t="s">
        <v>311</v>
      </c>
      <c r="AD186" s="675"/>
    </row>
    <row r="187" spans="1:30" s="536" customFormat="1" ht="12" x14ac:dyDescent="0.2">
      <c r="A187" s="605"/>
      <c r="B187" s="552" t="s">
        <v>185</v>
      </c>
      <c r="C187" s="1822" t="s">
        <v>312</v>
      </c>
      <c r="D187" s="1822"/>
      <c r="E187" s="1822"/>
      <c r="F187" s="562"/>
      <c r="G187" s="562"/>
      <c r="H187" s="562"/>
      <c r="I187" s="562"/>
      <c r="J187" s="604">
        <v>3036.68</v>
      </c>
      <c r="K187" s="562" t="s">
        <v>1520</v>
      </c>
      <c r="L187" s="604">
        <v>71.739999999999995</v>
      </c>
      <c r="M187" s="603"/>
      <c r="N187" s="602"/>
      <c r="V187" s="674"/>
      <c r="W187" s="675"/>
      <c r="X187" s="675"/>
      <c r="AA187" s="537" t="s">
        <v>312</v>
      </c>
      <c r="AD187" s="675"/>
    </row>
    <row r="188" spans="1:30" s="536" customFormat="1" ht="12" x14ac:dyDescent="0.2">
      <c r="A188" s="605"/>
      <c r="B188" s="552"/>
      <c r="C188" s="1822" t="s">
        <v>314</v>
      </c>
      <c r="D188" s="1822"/>
      <c r="E188" s="1822"/>
      <c r="F188" s="562" t="s">
        <v>315</v>
      </c>
      <c r="G188" s="562" t="s">
        <v>1521</v>
      </c>
      <c r="H188" s="562" t="s">
        <v>1520</v>
      </c>
      <c r="I188" s="562" t="s">
        <v>5360</v>
      </c>
      <c r="J188" s="604"/>
      <c r="K188" s="562"/>
      <c r="L188" s="604"/>
      <c r="M188" s="603"/>
      <c r="N188" s="602"/>
      <c r="V188" s="674"/>
      <c r="W188" s="675"/>
      <c r="X188" s="675"/>
      <c r="AB188" s="537" t="s">
        <v>314</v>
      </c>
      <c r="AD188" s="675"/>
    </row>
    <row r="189" spans="1:30" s="536" customFormat="1" ht="12" x14ac:dyDescent="0.2">
      <c r="A189" s="605"/>
      <c r="B189" s="552"/>
      <c r="C189" s="1828" t="s">
        <v>318</v>
      </c>
      <c r="D189" s="1828"/>
      <c r="E189" s="1828"/>
      <c r="F189" s="608"/>
      <c r="G189" s="608"/>
      <c r="H189" s="608"/>
      <c r="I189" s="608"/>
      <c r="J189" s="607">
        <v>3036.68</v>
      </c>
      <c r="K189" s="608"/>
      <c r="L189" s="607">
        <v>71.739999999999995</v>
      </c>
      <c r="M189" s="601"/>
      <c r="N189" s="606"/>
      <c r="V189" s="674"/>
      <c r="W189" s="675"/>
      <c r="X189" s="675"/>
      <c r="AC189" s="537" t="s">
        <v>318</v>
      </c>
      <c r="AD189" s="675"/>
    </row>
    <row r="190" spans="1:30" s="536" customFormat="1" ht="12" x14ac:dyDescent="0.2">
      <c r="A190" s="605"/>
      <c r="B190" s="552"/>
      <c r="C190" s="1822" t="s">
        <v>319</v>
      </c>
      <c r="D190" s="1822"/>
      <c r="E190" s="1822"/>
      <c r="F190" s="562"/>
      <c r="G190" s="562"/>
      <c r="H190" s="562"/>
      <c r="I190" s="562"/>
      <c r="J190" s="604"/>
      <c r="K190" s="562"/>
      <c r="L190" s="604">
        <v>71.739999999999995</v>
      </c>
      <c r="M190" s="603"/>
      <c r="N190" s="602"/>
      <c r="V190" s="674"/>
      <c r="W190" s="675"/>
      <c r="X190" s="675"/>
      <c r="AB190" s="537" t="s">
        <v>319</v>
      </c>
      <c r="AD190" s="675"/>
    </row>
    <row r="191" spans="1:30" s="536" customFormat="1" ht="33.75" x14ac:dyDescent="0.2">
      <c r="A191" s="605"/>
      <c r="B191" s="552" t="s">
        <v>673</v>
      </c>
      <c r="C191" s="1822" t="s">
        <v>674</v>
      </c>
      <c r="D191" s="1822"/>
      <c r="E191" s="1822"/>
      <c r="F191" s="562" t="s">
        <v>322</v>
      </c>
      <c r="G191" s="562" t="s">
        <v>323</v>
      </c>
      <c r="H191" s="562"/>
      <c r="I191" s="562" t="s">
        <v>323</v>
      </c>
      <c r="J191" s="604"/>
      <c r="K191" s="562"/>
      <c r="L191" s="604">
        <v>63.85</v>
      </c>
      <c r="M191" s="603"/>
      <c r="N191" s="602"/>
      <c r="V191" s="674"/>
      <c r="W191" s="675"/>
      <c r="X191" s="675"/>
      <c r="AB191" s="537" t="s">
        <v>674</v>
      </c>
      <c r="AD191" s="675"/>
    </row>
    <row r="192" spans="1:30" s="536" customFormat="1" ht="33.75" x14ac:dyDescent="0.2">
      <c r="A192" s="605"/>
      <c r="B192" s="552" t="s">
        <v>675</v>
      </c>
      <c r="C192" s="1822" t="s">
        <v>676</v>
      </c>
      <c r="D192" s="1822"/>
      <c r="E192" s="1822"/>
      <c r="F192" s="562" t="s">
        <v>322</v>
      </c>
      <c r="G192" s="562" t="s">
        <v>677</v>
      </c>
      <c r="H192" s="562"/>
      <c r="I192" s="562" t="s">
        <v>677</v>
      </c>
      <c r="J192" s="604"/>
      <c r="K192" s="562"/>
      <c r="L192" s="604">
        <v>28.7</v>
      </c>
      <c r="M192" s="603"/>
      <c r="N192" s="602"/>
      <c r="V192" s="674"/>
      <c r="W192" s="675"/>
      <c r="X192" s="675"/>
      <c r="AB192" s="537" t="s">
        <v>676</v>
      </c>
      <c r="AD192" s="675"/>
    </row>
    <row r="193" spans="1:30" s="536" customFormat="1" ht="12" x14ac:dyDescent="0.2">
      <c r="A193" s="569"/>
      <c r="B193" s="671"/>
      <c r="C193" s="1823" t="s">
        <v>327</v>
      </c>
      <c r="D193" s="1823"/>
      <c r="E193" s="1823"/>
      <c r="F193" s="573"/>
      <c r="G193" s="573"/>
      <c r="H193" s="573"/>
      <c r="I193" s="573"/>
      <c r="J193" s="572"/>
      <c r="K193" s="573"/>
      <c r="L193" s="572">
        <v>164.29</v>
      </c>
      <c r="M193" s="601"/>
      <c r="N193" s="570"/>
      <c r="V193" s="674"/>
      <c r="W193" s="675"/>
      <c r="X193" s="675"/>
      <c r="AD193" s="675" t="s">
        <v>327</v>
      </c>
    </row>
    <row r="194" spans="1:30" s="536" customFormat="1" ht="45" x14ac:dyDescent="0.2">
      <c r="A194" s="575" t="s">
        <v>200</v>
      </c>
      <c r="B194" s="670" t="s">
        <v>1005</v>
      </c>
      <c r="C194" s="1823" t="s">
        <v>1006</v>
      </c>
      <c r="D194" s="1823"/>
      <c r="E194" s="1823"/>
      <c r="F194" s="573" t="s">
        <v>201</v>
      </c>
      <c r="G194" s="573"/>
      <c r="H194" s="573"/>
      <c r="I194" s="573" t="s">
        <v>5361</v>
      </c>
      <c r="J194" s="572">
        <v>2.91</v>
      </c>
      <c r="K194" s="573"/>
      <c r="L194" s="572">
        <v>84.33</v>
      </c>
      <c r="M194" s="571"/>
      <c r="N194" s="570"/>
      <c r="V194" s="674"/>
      <c r="W194" s="675"/>
      <c r="X194" s="675" t="s">
        <v>1006</v>
      </c>
      <c r="AD194" s="675"/>
    </row>
    <row r="195" spans="1:30" s="536" customFormat="1" ht="12" x14ac:dyDescent="0.2">
      <c r="A195" s="676"/>
      <c r="B195" s="664"/>
      <c r="C195" s="1822" t="s">
        <v>5362</v>
      </c>
      <c r="D195" s="1822"/>
      <c r="E195" s="1822"/>
      <c r="F195" s="1822"/>
      <c r="G195" s="1822"/>
      <c r="H195" s="1822"/>
      <c r="I195" s="1822"/>
      <c r="J195" s="1822"/>
      <c r="K195" s="1822"/>
      <c r="L195" s="1822"/>
      <c r="M195" s="1822"/>
      <c r="N195" s="1827"/>
      <c r="V195" s="674"/>
      <c r="W195" s="675"/>
      <c r="X195" s="675"/>
      <c r="Y195" s="537" t="s">
        <v>5362</v>
      </c>
      <c r="AD195" s="675"/>
    </row>
    <row r="196" spans="1:30" s="536" customFormat="1" ht="45" x14ac:dyDescent="0.2">
      <c r="A196" s="575" t="s">
        <v>425</v>
      </c>
      <c r="B196" s="670" t="s">
        <v>503</v>
      </c>
      <c r="C196" s="1823" t="s">
        <v>5342</v>
      </c>
      <c r="D196" s="1823"/>
      <c r="E196" s="1823"/>
      <c r="F196" s="573" t="s">
        <v>455</v>
      </c>
      <c r="G196" s="573"/>
      <c r="H196" s="573"/>
      <c r="I196" s="573" t="s">
        <v>5363</v>
      </c>
      <c r="J196" s="572"/>
      <c r="K196" s="573"/>
      <c r="L196" s="572"/>
      <c r="M196" s="571"/>
      <c r="N196" s="570"/>
      <c r="V196" s="674"/>
      <c r="W196" s="675"/>
      <c r="X196" s="675" t="s">
        <v>5342</v>
      </c>
      <c r="AD196" s="675"/>
    </row>
    <row r="197" spans="1:30" s="536" customFormat="1" ht="12" x14ac:dyDescent="0.2">
      <c r="A197" s="676"/>
      <c r="B197" s="664"/>
      <c r="C197" s="1822" t="s">
        <v>5364</v>
      </c>
      <c r="D197" s="1822"/>
      <c r="E197" s="1822"/>
      <c r="F197" s="1822"/>
      <c r="G197" s="1822"/>
      <c r="H197" s="1822"/>
      <c r="I197" s="1822"/>
      <c r="J197" s="1822"/>
      <c r="K197" s="1822"/>
      <c r="L197" s="1822"/>
      <c r="M197" s="1822"/>
      <c r="N197" s="1827"/>
      <c r="V197" s="674"/>
      <c r="W197" s="675"/>
      <c r="X197" s="675"/>
      <c r="Y197" s="537" t="s">
        <v>5364</v>
      </c>
      <c r="AD197" s="675"/>
    </row>
    <row r="198" spans="1:30" s="536" customFormat="1" ht="33.75" x14ac:dyDescent="0.2">
      <c r="A198" s="609"/>
      <c r="B198" s="552" t="s">
        <v>310</v>
      </c>
      <c r="C198" s="1822" t="s">
        <v>311</v>
      </c>
      <c r="D198" s="1822"/>
      <c r="E198" s="1822"/>
      <c r="F198" s="1822"/>
      <c r="G198" s="1822"/>
      <c r="H198" s="1822"/>
      <c r="I198" s="1822"/>
      <c r="J198" s="1822"/>
      <c r="K198" s="1822"/>
      <c r="L198" s="1822"/>
      <c r="M198" s="1822"/>
      <c r="N198" s="1827"/>
      <c r="V198" s="674"/>
      <c r="W198" s="675"/>
      <c r="X198" s="675"/>
      <c r="Z198" s="537" t="s">
        <v>311</v>
      </c>
      <c r="AD198" s="675"/>
    </row>
    <row r="199" spans="1:30" s="536" customFormat="1" ht="12" x14ac:dyDescent="0.2">
      <c r="A199" s="605"/>
      <c r="B199" s="552" t="s">
        <v>186</v>
      </c>
      <c r="C199" s="1822" t="s">
        <v>344</v>
      </c>
      <c r="D199" s="1822"/>
      <c r="E199" s="1822"/>
      <c r="F199" s="562"/>
      <c r="G199" s="562"/>
      <c r="H199" s="562"/>
      <c r="I199" s="562"/>
      <c r="J199" s="604">
        <v>3803.91</v>
      </c>
      <c r="K199" s="562" t="s">
        <v>313</v>
      </c>
      <c r="L199" s="604">
        <v>189.72</v>
      </c>
      <c r="M199" s="603"/>
      <c r="N199" s="602"/>
      <c r="V199" s="674"/>
      <c r="W199" s="675"/>
      <c r="X199" s="675"/>
      <c r="AA199" s="537" t="s">
        <v>344</v>
      </c>
      <c r="AD199" s="675"/>
    </row>
    <row r="200" spans="1:30" s="536" customFormat="1" ht="12" x14ac:dyDescent="0.2">
      <c r="A200" s="605"/>
      <c r="B200" s="552" t="s">
        <v>187</v>
      </c>
      <c r="C200" s="1822" t="s">
        <v>345</v>
      </c>
      <c r="D200" s="1822"/>
      <c r="E200" s="1822"/>
      <c r="F200" s="562"/>
      <c r="G200" s="562"/>
      <c r="H200" s="562"/>
      <c r="I200" s="562"/>
      <c r="J200" s="604">
        <v>445.5</v>
      </c>
      <c r="K200" s="562" t="s">
        <v>313</v>
      </c>
      <c r="L200" s="604">
        <v>22.22</v>
      </c>
      <c r="M200" s="603"/>
      <c r="N200" s="602"/>
      <c r="V200" s="674"/>
      <c r="W200" s="675"/>
      <c r="X200" s="675"/>
      <c r="AA200" s="537" t="s">
        <v>345</v>
      </c>
      <c r="AD200" s="675"/>
    </row>
    <row r="201" spans="1:30" s="536" customFormat="1" ht="12" x14ac:dyDescent="0.2">
      <c r="A201" s="605"/>
      <c r="B201" s="552"/>
      <c r="C201" s="1822" t="s">
        <v>348</v>
      </c>
      <c r="D201" s="1822"/>
      <c r="E201" s="1822"/>
      <c r="F201" s="562" t="s">
        <v>315</v>
      </c>
      <c r="G201" s="562" t="s">
        <v>505</v>
      </c>
      <c r="H201" s="562" t="s">
        <v>313</v>
      </c>
      <c r="I201" s="562" t="s">
        <v>5365</v>
      </c>
      <c r="J201" s="604"/>
      <c r="K201" s="562"/>
      <c r="L201" s="604"/>
      <c r="M201" s="603"/>
      <c r="N201" s="602"/>
      <c r="V201" s="674"/>
      <c r="W201" s="675"/>
      <c r="X201" s="675"/>
      <c r="AB201" s="537" t="s">
        <v>348</v>
      </c>
      <c r="AD201" s="675"/>
    </row>
    <row r="202" spans="1:30" s="536" customFormat="1" ht="12" x14ac:dyDescent="0.2">
      <c r="A202" s="605"/>
      <c r="B202" s="552"/>
      <c r="C202" s="1828" t="s">
        <v>318</v>
      </c>
      <c r="D202" s="1828"/>
      <c r="E202" s="1828"/>
      <c r="F202" s="608"/>
      <c r="G202" s="608"/>
      <c r="H202" s="608"/>
      <c r="I202" s="608"/>
      <c r="J202" s="607">
        <v>3803.91</v>
      </c>
      <c r="K202" s="608"/>
      <c r="L202" s="607">
        <v>189.72</v>
      </c>
      <c r="M202" s="601"/>
      <c r="N202" s="606"/>
      <c r="V202" s="674"/>
      <c r="W202" s="675"/>
      <c r="X202" s="675"/>
      <c r="AC202" s="537" t="s">
        <v>318</v>
      </c>
      <c r="AD202" s="675"/>
    </row>
    <row r="203" spans="1:30" s="536" customFormat="1" ht="12" x14ac:dyDescent="0.2">
      <c r="A203" s="605"/>
      <c r="B203" s="552"/>
      <c r="C203" s="1822" t="s">
        <v>319</v>
      </c>
      <c r="D203" s="1822"/>
      <c r="E203" s="1822"/>
      <c r="F203" s="562"/>
      <c r="G203" s="562"/>
      <c r="H203" s="562"/>
      <c r="I203" s="562"/>
      <c r="J203" s="604"/>
      <c r="K203" s="562"/>
      <c r="L203" s="604">
        <v>22.22</v>
      </c>
      <c r="M203" s="603"/>
      <c r="N203" s="602"/>
      <c r="V203" s="674"/>
      <c r="W203" s="675"/>
      <c r="X203" s="675"/>
      <c r="AB203" s="537" t="s">
        <v>319</v>
      </c>
      <c r="AD203" s="675"/>
    </row>
    <row r="204" spans="1:30" s="536" customFormat="1" ht="33.75" x14ac:dyDescent="0.2">
      <c r="A204" s="605"/>
      <c r="B204" s="552" t="s">
        <v>460</v>
      </c>
      <c r="C204" s="1822" t="s">
        <v>461</v>
      </c>
      <c r="D204" s="1822"/>
      <c r="E204" s="1822"/>
      <c r="F204" s="562" t="s">
        <v>322</v>
      </c>
      <c r="G204" s="562" t="s">
        <v>462</v>
      </c>
      <c r="H204" s="562"/>
      <c r="I204" s="562" t="s">
        <v>462</v>
      </c>
      <c r="J204" s="604"/>
      <c r="K204" s="562"/>
      <c r="L204" s="604">
        <v>20.440000000000001</v>
      </c>
      <c r="M204" s="603"/>
      <c r="N204" s="602"/>
      <c r="V204" s="674"/>
      <c r="W204" s="675"/>
      <c r="X204" s="675"/>
      <c r="AB204" s="537" t="s">
        <v>461</v>
      </c>
      <c r="AD204" s="675"/>
    </row>
    <row r="205" spans="1:30" s="536" customFormat="1" ht="33.75" x14ac:dyDescent="0.2">
      <c r="A205" s="605"/>
      <c r="B205" s="552" t="s">
        <v>463</v>
      </c>
      <c r="C205" s="1822" t="s">
        <v>464</v>
      </c>
      <c r="D205" s="1822"/>
      <c r="E205" s="1822"/>
      <c r="F205" s="562" t="s">
        <v>322</v>
      </c>
      <c r="G205" s="562" t="s">
        <v>465</v>
      </c>
      <c r="H205" s="562"/>
      <c r="I205" s="562" t="s">
        <v>465</v>
      </c>
      <c r="J205" s="604"/>
      <c r="K205" s="562"/>
      <c r="L205" s="604">
        <v>10.220000000000001</v>
      </c>
      <c r="M205" s="603"/>
      <c r="N205" s="602"/>
      <c r="V205" s="674"/>
      <c r="W205" s="675"/>
      <c r="X205" s="675"/>
      <c r="AB205" s="537" t="s">
        <v>464</v>
      </c>
      <c r="AD205" s="675"/>
    </row>
    <row r="206" spans="1:30" s="536" customFormat="1" ht="12" x14ac:dyDescent="0.2">
      <c r="A206" s="569"/>
      <c r="B206" s="671"/>
      <c r="C206" s="1823" t="s">
        <v>327</v>
      </c>
      <c r="D206" s="1823"/>
      <c r="E206" s="1823"/>
      <c r="F206" s="573"/>
      <c r="G206" s="573"/>
      <c r="H206" s="573"/>
      <c r="I206" s="573"/>
      <c r="J206" s="572"/>
      <c r="K206" s="573"/>
      <c r="L206" s="572">
        <v>220.38</v>
      </c>
      <c r="M206" s="601"/>
      <c r="N206" s="570"/>
      <c r="V206" s="674"/>
      <c r="W206" s="675"/>
      <c r="X206" s="675"/>
      <c r="AD206" s="675" t="s">
        <v>327</v>
      </c>
    </row>
    <row r="207" spans="1:30" s="536" customFormat="1" ht="22.5" x14ac:dyDescent="0.2">
      <c r="A207" s="575" t="s">
        <v>430</v>
      </c>
      <c r="B207" s="670" t="s">
        <v>507</v>
      </c>
      <c r="C207" s="1823" t="s">
        <v>508</v>
      </c>
      <c r="D207" s="1823"/>
      <c r="E207" s="1823"/>
      <c r="F207" s="573" t="s">
        <v>509</v>
      </c>
      <c r="G207" s="573"/>
      <c r="H207" s="573"/>
      <c r="I207" s="573" t="s">
        <v>5366</v>
      </c>
      <c r="J207" s="572"/>
      <c r="K207" s="573"/>
      <c r="L207" s="572"/>
      <c r="M207" s="571"/>
      <c r="N207" s="570"/>
      <c r="V207" s="674"/>
      <c r="W207" s="675"/>
      <c r="X207" s="675" t="s">
        <v>508</v>
      </c>
      <c r="AD207" s="675"/>
    </row>
    <row r="208" spans="1:30" s="536" customFormat="1" ht="12" x14ac:dyDescent="0.2">
      <c r="A208" s="676"/>
      <c r="B208" s="664"/>
      <c r="C208" s="1822" t="s">
        <v>5367</v>
      </c>
      <c r="D208" s="1822"/>
      <c r="E208" s="1822"/>
      <c r="F208" s="1822"/>
      <c r="G208" s="1822"/>
      <c r="H208" s="1822"/>
      <c r="I208" s="1822"/>
      <c r="J208" s="1822"/>
      <c r="K208" s="1822"/>
      <c r="L208" s="1822"/>
      <c r="M208" s="1822"/>
      <c r="N208" s="1827"/>
      <c r="V208" s="674"/>
      <c r="W208" s="675"/>
      <c r="X208" s="675"/>
      <c r="Y208" s="537" t="s">
        <v>5367</v>
      </c>
      <c r="AD208" s="675"/>
    </row>
    <row r="209" spans="1:30" s="536" customFormat="1" ht="33.75" x14ac:dyDescent="0.2">
      <c r="A209" s="609"/>
      <c r="B209" s="552" t="s">
        <v>310</v>
      </c>
      <c r="C209" s="1822" t="s">
        <v>311</v>
      </c>
      <c r="D209" s="1822"/>
      <c r="E209" s="1822"/>
      <c r="F209" s="1822"/>
      <c r="G209" s="1822"/>
      <c r="H209" s="1822"/>
      <c r="I209" s="1822"/>
      <c r="J209" s="1822"/>
      <c r="K209" s="1822"/>
      <c r="L209" s="1822"/>
      <c r="M209" s="1822"/>
      <c r="N209" s="1827"/>
      <c r="V209" s="674"/>
      <c r="W209" s="675"/>
      <c r="X209" s="675"/>
      <c r="Z209" s="537" t="s">
        <v>311</v>
      </c>
      <c r="AD209" s="675"/>
    </row>
    <row r="210" spans="1:30" s="536" customFormat="1" ht="12" x14ac:dyDescent="0.2">
      <c r="A210" s="605"/>
      <c r="B210" s="552" t="s">
        <v>185</v>
      </c>
      <c r="C210" s="1822" t="s">
        <v>312</v>
      </c>
      <c r="D210" s="1822"/>
      <c r="E210" s="1822"/>
      <c r="F210" s="562"/>
      <c r="G210" s="562"/>
      <c r="H210" s="562"/>
      <c r="I210" s="562"/>
      <c r="J210" s="604">
        <v>127.61</v>
      </c>
      <c r="K210" s="562" t="s">
        <v>313</v>
      </c>
      <c r="L210" s="604">
        <v>63.65</v>
      </c>
      <c r="M210" s="603"/>
      <c r="N210" s="602"/>
      <c r="V210" s="674"/>
      <c r="W210" s="675"/>
      <c r="X210" s="675"/>
      <c r="AA210" s="537" t="s">
        <v>312</v>
      </c>
      <c r="AD210" s="675"/>
    </row>
    <row r="211" spans="1:30" s="536" customFormat="1" ht="12" x14ac:dyDescent="0.2">
      <c r="A211" s="605"/>
      <c r="B211" s="552" t="s">
        <v>186</v>
      </c>
      <c r="C211" s="1822" t="s">
        <v>344</v>
      </c>
      <c r="D211" s="1822"/>
      <c r="E211" s="1822"/>
      <c r="F211" s="562"/>
      <c r="G211" s="562"/>
      <c r="H211" s="562"/>
      <c r="I211" s="562"/>
      <c r="J211" s="604">
        <v>288.58</v>
      </c>
      <c r="K211" s="562" t="s">
        <v>313</v>
      </c>
      <c r="L211" s="604">
        <v>143.93</v>
      </c>
      <c r="M211" s="603"/>
      <c r="N211" s="602"/>
      <c r="V211" s="674"/>
      <c r="W211" s="675"/>
      <c r="X211" s="675"/>
      <c r="AA211" s="537" t="s">
        <v>344</v>
      </c>
      <c r="AD211" s="675"/>
    </row>
    <row r="212" spans="1:30" s="536" customFormat="1" ht="12" x14ac:dyDescent="0.2">
      <c r="A212" s="605"/>
      <c r="B212" s="552" t="s">
        <v>187</v>
      </c>
      <c r="C212" s="1822" t="s">
        <v>345</v>
      </c>
      <c r="D212" s="1822"/>
      <c r="E212" s="1822"/>
      <c r="F212" s="562"/>
      <c r="G212" s="562"/>
      <c r="H212" s="562"/>
      <c r="I212" s="562"/>
      <c r="J212" s="604">
        <v>31.49</v>
      </c>
      <c r="K212" s="562" t="s">
        <v>313</v>
      </c>
      <c r="L212" s="604">
        <v>15.71</v>
      </c>
      <c r="M212" s="603"/>
      <c r="N212" s="602"/>
      <c r="V212" s="674"/>
      <c r="W212" s="675"/>
      <c r="X212" s="675"/>
      <c r="AA212" s="537" t="s">
        <v>345</v>
      </c>
      <c r="AD212" s="675"/>
    </row>
    <row r="213" spans="1:30" s="536" customFormat="1" ht="12" x14ac:dyDescent="0.2">
      <c r="A213" s="605"/>
      <c r="B213" s="552"/>
      <c r="C213" s="1822" t="s">
        <v>314</v>
      </c>
      <c r="D213" s="1822"/>
      <c r="E213" s="1822"/>
      <c r="F213" s="562" t="s">
        <v>315</v>
      </c>
      <c r="G213" s="562" t="s">
        <v>512</v>
      </c>
      <c r="H213" s="562" t="s">
        <v>313</v>
      </c>
      <c r="I213" s="562" t="s">
        <v>5368</v>
      </c>
      <c r="J213" s="604"/>
      <c r="K213" s="562"/>
      <c r="L213" s="604"/>
      <c r="M213" s="603"/>
      <c r="N213" s="602"/>
      <c r="V213" s="674"/>
      <c r="W213" s="675"/>
      <c r="X213" s="675"/>
      <c r="AB213" s="537" t="s">
        <v>314</v>
      </c>
      <c r="AD213" s="675"/>
    </row>
    <row r="214" spans="1:30" s="536" customFormat="1" ht="12" x14ac:dyDescent="0.2">
      <c r="A214" s="605"/>
      <c r="B214" s="552"/>
      <c r="C214" s="1822" t="s">
        <v>348</v>
      </c>
      <c r="D214" s="1822"/>
      <c r="E214" s="1822"/>
      <c r="F214" s="562" t="s">
        <v>315</v>
      </c>
      <c r="G214" s="562" t="s">
        <v>514</v>
      </c>
      <c r="H214" s="562" t="s">
        <v>313</v>
      </c>
      <c r="I214" s="562" t="s">
        <v>5369</v>
      </c>
      <c r="J214" s="604"/>
      <c r="K214" s="562"/>
      <c r="L214" s="604"/>
      <c r="M214" s="603"/>
      <c r="N214" s="602"/>
      <c r="V214" s="674"/>
      <c r="W214" s="675"/>
      <c r="X214" s="675"/>
      <c r="AB214" s="537" t="s">
        <v>348</v>
      </c>
      <c r="AD214" s="675"/>
    </row>
    <row r="215" spans="1:30" s="536" customFormat="1" ht="12" x14ac:dyDescent="0.2">
      <c r="A215" s="605"/>
      <c r="B215" s="552"/>
      <c r="C215" s="1828" t="s">
        <v>318</v>
      </c>
      <c r="D215" s="1828"/>
      <c r="E215" s="1828"/>
      <c r="F215" s="608"/>
      <c r="G215" s="608"/>
      <c r="H215" s="608"/>
      <c r="I215" s="608"/>
      <c r="J215" s="607">
        <v>416.19</v>
      </c>
      <c r="K215" s="608"/>
      <c r="L215" s="607">
        <v>207.58</v>
      </c>
      <c r="M215" s="601"/>
      <c r="N215" s="606"/>
      <c r="V215" s="674"/>
      <c r="W215" s="675"/>
      <c r="X215" s="675"/>
      <c r="AC215" s="537" t="s">
        <v>318</v>
      </c>
      <c r="AD215" s="675"/>
    </row>
    <row r="216" spans="1:30" s="536" customFormat="1" ht="12" x14ac:dyDescent="0.2">
      <c r="A216" s="605"/>
      <c r="B216" s="552"/>
      <c r="C216" s="1822" t="s">
        <v>319</v>
      </c>
      <c r="D216" s="1822"/>
      <c r="E216" s="1822"/>
      <c r="F216" s="562"/>
      <c r="G216" s="562"/>
      <c r="H216" s="562"/>
      <c r="I216" s="562"/>
      <c r="J216" s="604"/>
      <c r="K216" s="562"/>
      <c r="L216" s="604">
        <v>79.36</v>
      </c>
      <c r="M216" s="603"/>
      <c r="N216" s="602"/>
      <c r="V216" s="674"/>
      <c r="W216" s="675"/>
      <c r="X216" s="675"/>
      <c r="AB216" s="537" t="s">
        <v>319</v>
      </c>
      <c r="AD216" s="675"/>
    </row>
    <row r="217" spans="1:30" s="536" customFormat="1" ht="33.75" x14ac:dyDescent="0.2">
      <c r="A217" s="605"/>
      <c r="B217" s="552" t="s">
        <v>460</v>
      </c>
      <c r="C217" s="1822" t="s">
        <v>461</v>
      </c>
      <c r="D217" s="1822"/>
      <c r="E217" s="1822"/>
      <c r="F217" s="562" t="s">
        <v>322</v>
      </c>
      <c r="G217" s="562" t="s">
        <v>462</v>
      </c>
      <c r="H217" s="562"/>
      <c r="I217" s="562" t="s">
        <v>462</v>
      </c>
      <c r="J217" s="604"/>
      <c r="K217" s="562"/>
      <c r="L217" s="604">
        <v>73.010000000000005</v>
      </c>
      <c r="M217" s="603"/>
      <c r="N217" s="602"/>
      <c r="V217" s="674"/>
      <c r="W217" s="675"/>
      <c r="X217" s="675"/>
      <c r="AB217" s="537" t="s">
        <v>461</v>
      </c>
      <c r="AD217" s="675"/>
    </row>
    <row r="218" spans="1:30" s="536" customFormat="1" ht="33.75" x14ac:dyDescent="0.2">
      <c r="A218" s="605"/>
      <c r="B218" s="552" t="s">
        <v>463</v>
      </c>
      <c r="C218" s="1822" t="s">
        <v>464</v>
      </c>
      <c r="D218" s="1822"/>
      <c r="E218" s="1822"/>
      <c r="F218" s="562" t="s">
        <v>322</v>
      </c>
      <c r="G218" s="562" t="s">
        <v>465</v>
      </c>
      <c r="H218" s="562"/>
      <c r="I218" s="562" t="s">
        <v>465</v>
      </c>
      <c r="J218" s="604"/>
      <c r="K218" s="562"/>
      <c r="L218" s="604">
        <v>36.51</v>
      </c>
      <c r="M218" s="603"/>
      <c r="N218" s="602"/>
      <c r="V218" s="674"/>
      <c r="W218" s="675"/>
      <c r="X218" s="675"/>
      <c r="AB218" s="537" t="s">
        <v>464</v>
      </c>
      <c r="AD218" s="675"/>
    </row>
    <row r="219" spans="1:30" s="536" customFormat="1" ht="12" x14ac:dyDescent="0.2">
      <c r="A219" s="569"/>
      <c r="B219" s="671"/>
      <c r="C219" s="1823" t="s">
        <v>327</v>
      </c>
      <c r="D219" s="1823"/>
      <c r="E219" s="1823"/>
      <c r="F219" s="573"/>
      <c r="G219" s="573"/>
      <c r="H219" s="573"/>
      <c r="I219" s="573"/>
      <c r="J219" s="572"/>
      <c r="K219" s="573"/>
      <c r="L219" s="572">
        <v>317.10000000000002</v>
      </c>
      <c r="M219" s="601"/>
      <c r="N219" s="570"/>
      <c r="V219" s="674"/>
      <c r="W219" s="675"/>
      <c r="X219" s="675"/>
      <c r="AD219" s="675" t="s">
        <v>327</v>
      </c>
    </row>
    <row r="220" spans="1:30" s="536" customFormat="1" ht="12" x14ac:dyDescent="0.2">
      <c r="A220" s="1830" t="s">
        <v>5370</v>
      </c>
      <c r="B220" s="1831"/>
      <c r="C220" s="1831"/>
      <c r="D220" s="1831"/>
      <c r="E220" s="1831"/>
      <c r="F220" s="1831"/>
      <c r="G220" s="1831"/>
      <c r="H220" s="1831"/>
      <c r="I220" s="1831"/>
      <c r="J220" s="1831"/>
      <c r="K220" s="1831"/>
      <c r="L220" s="1831"/>
      <c r="M220" s="1831"/>
      <c r="N220" s="1832"/>
      <c r="V220" s="674"/>
      <c r="W220" s="675" t="s">
        <v>5370</v>
      </c>
      <c r="X220" s="675"/>
      <c r="AD220" s="675"/>
    </row>
    <row r="221" spans="1:30" s="536" customFormat="1" ht="56.25" x14ac:dyDescent="0.2">
      <c r="A221" s="575" t="s">
        <v>436</v>
      </c>
      <c r="B221" s="670" t="s">
        <v>3774</v>
      </c>
      <c r="C221" s="1823" t="s">
        <v>3775</v>
      </c>
      <c r="D221" s="1823"/>
      <c r="E221" s="1823"/>
      <c r="F221" s="573" t="s">
        <v>455</v>
      </c>
      <c r="G221" s="573"/>
      <c r="H221" s="573"/>
      <c r="I221" s="573" t="s">
        <v>5371</v>
      </c>
      <c r="J221" s="572"/>
      <c r="K221" s="573"/>
      <c r="L221" s="572"/>
      <c r="M221" s="571"/>
      <c r="N221" s="570"/>
      <c r="V221" s="674"/>
      <c r="W221" s="675"/>
      <c r="X221" s="675" t="s">
        <v>3775</v>
      </c>
      <c r="AD221" s="675"/>
    </row>
    <row r="222" spans="1:30" s="536" customFormat="1" ht="12" x14ac:dyDescent="0.2">
      <c r="A222" s="676"/>
      <c r="B222" s="664"/>
      <c r="C222" s="1822" t="s">
        <v>5372</v>
      </c>
      <c r="D222" s="1822"/>
      <c r="E222" s="1822"/>
      <c r="F222" s="1822"/>
      <c r="G222" s="1822"/>
      <c r="H222" s="1822"/>
      <c r="I222" s="1822"/>
      <c r="J222" s="1822"/>
      <c r="K222" s="1822"/>
      <c r="L222" s="1822"/>
      <c r="M222" s="1822"/>
      <c r="N222" s="1827"/>
      <c r="V222" s="674"/>
      <c r="W222" s="675"/>
      <c r="X222" s="675"/>
      <c r="Y222" s="537" t="s">
        <v>5372</v>
      </c>
      <c r="AD222" s="675"/>
    </row>
    <row r="223" spans="1:30" s="536" customFormat="1" ht="33.75" x14ac:dyDescent="0.2">
      <c r="A223" s="609"/>
      <c r="B223" s="552" t="s">
        <v>310</v>
      </c>
      <c r="C223" s="1822" t="s">
        <v>311</v>
      </c>
      <c r="D223" s="1822"/>
      <c r="E223" s="1822"/>
      <c r="F223" s="1822"/>
      <c r="G223" s="1822"/>
      <c r="H223" s="1822"/>
      <c r="I223" s="1822"/>
      <c r="J223" s="1822"/>
      <c r="K223" s="1822"/>
      <c r="L223" s="1822"/>
      <c r="M223" s="1822"/>
      <c r="N223" s="1827"/>
      <c r="V223" s="674"/>
      <c r="W223" s="675"/>
      <c r="X223" s="675"/>
      <c r="Z223" s="537" t="s">
        <v>311</v>
      </c>
      <c r="AD223" s="675"/>
    </row>
    <row r="224" spans="1:30" s="536" customFormat="1" ht="12" x14ac:dyDescent="0.2">
      <c r="A224" s="605"/>
      <c r="B224" s="552" t="s">
        <v>186</v>
      </c>
      <c r="C224" s="1822" t="s">
        <v>344</v>
      </c>
      <c r="D224" s="1822"/>
      <c r="E224" s="1822"/>
      <c r="F224" s="562"/>
      <c r="G224" s="562"/>
      <c r="H224" s="562"/>
      <c r="I224" s="562"/>
      <c r="J224" s="604">
        <v>6166.95</v>
      </c>
      <c r="K224" s="562" t="s">
        <v>313</v>
      </c>
      <c r="L224" s="604">
        <v>388.13</v>
      </c>
      <c r="M224" s="603"/>
      <c r="N224" s="602"/>
      <c r="V224" s="674"/>
      <c r="W224" s="675"/>
      <c r="X224" s="675"/>
      <c r="AA224" s="537" t="s">
        <v>344</v>
      </c>
      <c r="AD224" s="675"/>
    </row>
    <row r="225" spans="1:32" s="536" customFormat="1" ht="12" x14ac:dyDescent="0.2">
      <c r="A225" s="605"/>
      <c r="B225" s="552" t="s">
        <v>187</v>
      </c>
      <c r="C225" s="1822" t="s">
        <v>345</v>
      </c>
      <c r="D225" s="1822"/>
      <c r="E225" s="1822"/>
      <c r="F225" s="562"/>
      <c r="G225" s="562"/>
      <c r="H225" s="562"/>
      <c r="I225" s="562"/>
      <c r="J225" s="604">
        <v>722.25</v>
      </c>
      <c r="K225" s="562" t="s">
        <v>313</v>
      </c>
      <c r="L225" s="604">
        <v>45.46</v>
      </c>
      <c r="M225" s="603"/>
      <c r="N225" s="602"/>
      <c r="V225" s="674"/>
      <c r="W225" s="675"/>
      <c r="X225" s="675"/>
      <c r="AA225" s="537" t="s">
        <v>345</v>
      </c>
      <c r="AD225" s="675"/>
    </row>
    <row r="226" spans="1:32" s="536" customFormat="1" ht="12" x14ac:dyDescent="0.2">
      <c r="A226" s="605"/>
      <c r="B226" s="552"/>
      <c r="C226" s="1822" t="s">
        <v>348</v>
      </c>
      <c r="D226" s="1822"/>
      <c r="E226" s="1822"/>
      <c r="F226" s="562" t="s">
        <v>315</v>
      </c>
      <c r="G226" s="562" t="s">
        <v>3776</v>
      </c>
      <c r="H226" s="562" t="s">
        <v>313</v>
      </c>
      <c r="I226" s="562" t="s">
        <v>5373</v>
      </c>
      <c r="J226" s="604"/>
      <c r="K226" s="562"/>
      <c r="L226" s="604"/>
      <c r="M226" s="603"/>
      <c r="N226" s="602"/>
      <c r="V226" s="674"/>
      <c r="W226" s="675"/>
      <c r="X226" s="675"/>
      <c r="AB226" s="537" t="s">
        <v>348</v>
      </c>
      <c r="AD226" s="675"/>
    </row>
    <row r="227" spans="1:32" s="536" customFormat="1" ht="12" x14ac:dyDescent="0.2">
      <c r="A227" s="605"/>
      <c r="B227" s="552"/>
      <c r="C227" s="1828" t="s">
        <v>318</v>
      </c>
      <c r="D227" s="1828"/>
      <c r="E227" s="1828"/>
      <c r="F227" s="608"/>
      <c r="G227" s="608"/>
      <c r="H227" s="608"/>
      <c r="I227" s="608"/>
      <c r="J227" s="607">
        <v>6166.95</v>
      </c>
      <c r="K227" s="608"/>
      <c r="L227" s="607">
        <v>388.13</v>
      </c>
      <c r="M227" s="601"/>
      <c r="N227" s="606"/>
      <c r="V227" s="674"/>
      <c r="W227" s="675"/>
      <c r="X227" s="675"/>
      <c r="AC227" s="537" t="s">
        <v>318</v>
      </c>
      <c r="AD227" s="675"/>
    </row>
    <row r="228" spans="1:32" s="536" customFormat="1" ht="12" x14ac:dyDescent="0.2">
      <c r="A228" s="605"/>
      <c r="B228" s="552"/>
      <c r="C228" s="1822" t="s">
        <v>319</v>
      </c>
      <c r="D228" s="1822"/>
      <c r="E228" s="1822"/>
      <c r="F228" s="562"/>
      <c r="G228" s="562"/>
      <c r="H228" s="562"/>
      <c r="I228" s="562"/>
      <c r="J228" s="604"/>
      <c r="K228" s="562"/>
      <c r="L228" s="604">
        <v>45.46</v>
      </c>
      <c r="M228" s="603"/>
      <c r="N228" s="602"/>
      <c r="V228" s="674"/>
      <c r="W228" s="675"/>
      <c r="X228" s="675"/>
      <c r="AB228" s="537" t="s">
        <v>319</v>
      </c>
      <c r="AD228" s="675"/>
    </row>
    <row r="229" spans="1:32" s="536" customFormat="1" ht="33.75" x14ac:dyDescent="0.2">
      <c r="A229" s="605"/>
      <c r="B229" s="552" t="s">
        <v>460</v>
      </c>
      <c r="C229" s="1822" t="s">
        <v>461</v>
      </c>
      <c r="D229" s="1822"/>
      <c r="E229" s="1822"/>
      <c r="F229" s="562" t="s">
        <v>322</v>
      </c>
      <c r="G229" s="562" t="s">
        <v>462</v>
      </c>
      <c r="H229" s="562"/>
      <c r="I229" s="562" t="s">
        <v>462</v>
      </c>
      <c r="J229" s="604"/>
      <c r="K229" s="562"/>
      <c r="L229" s="604">
        <v>41.82</v>
      </c>
      <c r="M229" s="603"/>
      <c r="N229" s="602"/>
      <c r="V229" s="674"/>
      <c r="W229" s="675"/>
      <c r="X229" s="675"/>
      <c r="AB229" s="537" t="s">
        <v>461</v>
      </c>
      <c r="AD229" s="675"/>
    </row>
    <row r="230" spans="1:32" s="536" customFormat="1" ht="33.75" x14ac:dyDescent="0.2">
      <c r="A230" s="605"/>
      <c r="B230" s="552" t="s">
        <v>463</v>
      </c>
      <c r="C230" s="1822" t="s">
        <v>464</v>
      </c>
      <c r="D230" s="1822"/>
      <c r="E230" s="1822"/>
      <c r="F230" s="562" t="s">
        <v>322</v>
      </c>
      <c r="G230" s="562" t="s">
        <v>465</v>
      </c>
      <c r="H230" s="562"/>
      <c r="I230" s="562" t="s">
        <v>465</v>
      </c>
      <c r="J230" s="604"/>
      <c r="K230" s="562"/>
      <c r="L230" s="604">
        <v>20.91</v>
      </c>
      <c r="M230" s="603"/>
      <c r="N230" s="602"/>
      <c r="V230" s="674"/>
      <c r="W230" s="675"/>
      <c r="X230" s="675"/>
      <c r="AB230" s="537" t="s">
        <v>464</v>
      </c>
      <c r="AD230" s="675"/>
    </row>
    <row r="231" spans="1:32" s="536" customFormat="1" ht="12" x14ac:dyDescent="0.2">
      <c r="A231" s="569"/>
      <c r="B231" s="671"/>
      <c r="C231" s="1823" t="s">
        <v>327</v>
      </c>
      <c r="D231" s="1823"/>
      <c r="E231" s="1823"/>
      <c r="F231" s="573"/>
      <c r="G231" s="573"/>
      <c r="H231" s="573"/>
      <c r="I231" s="573"/>
      <c r="J231" s="572"/>
      <c r="K231" s="573"/>
      <c r="L231" s="572">
        <v>450.86</v>
      </c>
      <c r="M231" s="601"/>
      <c r="N231" s="570"/>
      <c r="V231" s="674"/>
      <c r="W231" s="675"/>
      <c r="X231" s="675"/>
      <c r="AD231" s="675" t="s">
        <v>327</v>
      </c>
    </row>
    <row r="232" spans="1:32" s="536" customFormat="1" ht="45" x14ac:dyDescent="0.2">
      <c r="A232" s="575" t="s">
        <v>733</v>
      </c>
      <c r="B232" s="670" t="s">
        <v>1005</v>
      </c>
      <c r="C232" s="1823" t="s">
        <v>1006</v>
      </c>
      <c r="D232" s="1823"/>
      <c r="E232" s="1823"/>
      <c r="F232" s="573" t="s">
        <v>201</v>
      </c>
      <c r="G232" s="573"/>
      <c r="H232" s="573"/>
      <c r="I232" s="573" t="s">
        <v>5374</v>
      </c>
      <c r="J232" s="572">
        <v>2.91</v>
      </c>
      <c r="K232" s="573"/>
      <c r="L232" s="572">
        <v>336.99</v>
      </c>
      <c r="M232" s="571"/>
      <c r="N232" s="570"/>
      <c r="V232" s="674"/>
      <c r="W232" s="675"/>
      <c r="X232" s="675" t="s">
        <v>1006</v>
      </c>
      <c r="AD232" s="675"/>
    </row>
    <row r="233" spans="1:32" s="536" customFormat="1" ht="12" x14ac:dyDescent="0.2">
      <c r="A233" s="676"/>
      <c r="B233" s="664"/>
      <c r="C233" s="1822" t="s">
        <v>5375</v>
      </c>
      <c r="D233" s="1822"/>
      <c r="E233" s="1822"/>
      <c r="F233" s="1822"/>
      <c r="G233" s="1822"/>
      <c r="H233" s="1822"/>
      <c r="I233" s="1822"/>
      <c r="J233" s="1822"/>
      <c r="K233" s="1822"/>
      <c r="L233" s="1822"/>
      <c r="M233" s="1822"/>
      <c r="N233" s="1827"/>
      <c r="V233" s="674"/>
      <c r="W233" s="675"/>
      <c r="X233" s="675"/>
      <c r="Y233" s="537" t="s">
        <v>5375</v>
      </c>
      <c r="AD233" s="675"/>
    </row>
    <row r="234" spans="1:32" s="536" customFormat="1" ht="1.5" customHeight="1" x14ac:dyDescent="0.2">
      <c r="A234" s="563"/>
      <c r="B234" s="671"/>
      <c r="C234" s="671"/>
      <c r="D234" s="671"/>
      <c r="E234" s="671"/>
      <c r="F234" s="563"/>
      <c r="G234" s="563"/>
      <c r="H234" s="563"/>
      <c r="I234" s="563"/>
      <c r="J234" s="546"/>
      <c r="K234" s="563"/>
      <c r="L234" s="546"/>
      <c r="M234" s="562"/>
      <c r="N234" s="546"/>
      <c r="V234" s="674"/>
      <c r="W234" s="675"/>
      <c r="X234" s="675"/>
      <c r="AD234" s="675"/>
    </row>
    <row r="235" spans="1:32" s="536" customFormat="1" ht="12" x14ac:dyDescent="0.2">
      <c r="A235" s="557"/>
      <c r="B235" s="556"/>
      <c r="C235" s="1823" t="s">
        <v>1021</v>
      </c>
      <c r="D235" s="1823"/>
      <c r="E235" s="1823"/>
      <c r="F235" s="1823"/>
      <c r="G235" s="1823"/>
      <c r="H235" s="1823"/>
      <c r="I235" s="1823"/>
      <c r="J235" s="1823"/>
      <c r="K235" s="1823"/>
      <c r="L235" s="555"/>
      <c r="M235" s="554"/>
      <c r="N235" s="553"/>
      <c r="V235" s="674"/>
      <c r="W235" s="675"/>
      <c r="X235" s="675"/>
      <c r="AD235" s="675"/>
      <c r="AE235" s="675" t="s">
        <v>1021</v>
      </c>
    </row>
    <row r="236" spans="1:32" s="536" customFormat="1" ht="12" x14ac:dyDescent="0.2">
      <c r="A236" s="548"/>
      <c r="B236" s="552"/>
      <c r="C236" s="1822" t="s">
        <v>403</v>
      </c>
      <c r="D236" s="1822"/>
      <c r="E236" s="1822"/>
      <c r="F236" s="1822"/>
      <c r="G236" s="1822"/>
      <c r="H236" s="1822"/>
      <c r="I236" s="1822"/>
      <c r="J236" s="1822"/>
      <c r="K236" s="1822"/>
      <c r="L236" s="551">
        <v>22070.880000000001</v>
      </c>
      <c r="M236" s="550"/>
      <c r="N236" s="549"/>
      <c r="V236" s="674"/>
      <c r="W236" s="675"/>
      <c r="X236" s="675"/>
      <c r="AD236" s="675"/>
      <c r="AE236" s="675"/>
      <c r="AF236" s="537" t="s">
        <v>403</v>
      </c>
    </row>
    <row r="237" spans="1:32" s="536" customFormat="1" ht="12" x14ac:dyDescent="0.2">
      <c r="A237" s="548"/>
      <c r="B237" s="552"/>
      <c r="C237" s="1822" t="s">
        <v>204</v>
      </c>
      <c r="D237" s="1822"/>
      <c r="E237" s="1822"/>
      <c r="F237" s="1822"/>
      <c r="G237" s="1822"/>
      <c r="H237" s="1822"/>
      <c r="I237" s="1822"/>
      <c r="J237" s="1822"/>
      <c r="K237" s="1822"/>
      <c r="L237" s="551"/>
      <c r="M237" s="550"/>
      <c r="N237" s="549"/>
      <c r="V237" s="674"/>
      <c r="W237" s="675"/>
      <c r="X237" s="675"/>
      <c r="AD237" s="675"/>
      <c r="AE237" s="675"/>
      <c r="AF237" s="537" t="s">
        <v>204</v>
      </c>
    </row>
    <row r="238" spans="1:32" s="536" customFormat="1" ht="12" x14ac:dyDescent="0.2">
      <c r="A238" s="548"/>
      <c r="B238" s="552"/>
      <c r="C238" s="1822" t="s">
        <v>404</v>
      </c>
      <c r="D238" s="1822"/>
      <c r="E238" s="1822"/>
      <c r="F238" s="1822"/>
      <c r="G238" s="1822"/>
      <c r="H238" s="1822"/>
      <c r="I238" s="1822"/>
      <c r="J238" s="1822"/>
      <c r="K238" s="1822"/>
      <c r="L238" s="551">
        <v>3251.23</v>
      </c>
      <c r="M238" s="550"/>
      <c r="N238" s="549"/>
      <c r="V238" s="674"/>
      <c r="W238" s="675"/>
      <c r="X238" s="675"/>
      <c r="AD238" s="675"/>
      <c r="AE238" s="675"/>
      <c r="AF238" s="537" t="s">
        <v>404</v>
      </c>
    </row>
    <row r="239" spans="1:32" s="536" customFormat="1" ht="12" x14ac:dyDescent="0.2">
      <c r="A239" s="548"/>
      <c r="B239" s="552"/>
      <c r="C239" s="1822" t="s">
        <v>405</v>
      </c>
      <c r="D239" s="1822"/>
      <c r="E239" s="1822"/>
      <c r="F239" s="1822"/>
      <c r="G239" s="1822"/>
      <c r="H239" s="1822"/>
      <c r="I239" s="1822"/>
      <c r="J239" s="1822"/>
      <c r="K239" s="1822"/>
      <c r="L239" s="551">
        <v>18819.650000000001</v>
      </c>
      <c r="M239" s="550"/>
      <c r="N239" s="549"/>
      <c r="V239" s="674"/>
      <c r="W239" s="675"/>
      <c r="X239" s="675"/>
      <c r="AD239" s="675"/>
      <c r="AE239" s="675"/>
      <c r="AF239" s="537" t="s">
        <v>405</v>
      </c>
    </row>
    <row r="240" spans="1:32" s="536" customFormat="1" ht="12" x14ac:dyDescent="0.2">
      <c r="A240" s="548"/>
      <c r="B240" s="552"/>
      <c r="C240" s="1822" t="s">
        <v>406</v>
      </c>
      <c r="D240" s="1822"/>
      <c r="E240" s="1822"/>
      <c r="F240" s="1822"/>
      <c r="G240" s="1822"/>
      <c r="H240" s="1822"/>
      <c r="I240" s="1822"/>
      <c r="J240" s="1822"/>
      <c r="K240" s="1822"/>
      <c r="L240" s="551">
        <v>1890.84</v>
      </c>
      <c r="M240" s="550"/>
      <c r="N240" s="549"/>
      <c r="V240" s="674"/>
      <c r="W240" s="675"/>
      <c r="X240" s="675"/>
      <c r="AD240" s="675"/>
      <c r="AE240" s="675"/>
      <c r="AF240" s="537" t="s">
        <v>406</v>
      </c>
    </row>
    <row r="241" spans="1:33" s="536" customFormat="1" ht="12" x14ac:dyDescent="0.2">
      <c r="A241" s="548"/>
      <c r="B241" s="552"/>
      <c r="C241" s="1822" t="s">
        <v>407</v>
      </c>
      <c r="D241" s="1822"/>
      <c r="E241" s="1822"/>
      <c r="F241" s="1822"/>
      <c r="G241" s="1822"/>
      <c r="H241" s="1822"/>
      <c r="I241" s="1822"/>
      <c r="J241" s="1822"/>
      <c r="K241" s="1822"/>
      <c r="L241" s="551">
        <v>29011.13</v>
      </c>
      <c r="M241" s="550"/>
      <c r="N241" s="549"/>
      <c r="V241" s="674"/>
      <c r="W241" s="675"/>
      <c r="X241" s="675"/>
      <c r="AD241" s="675"/>
      <c r="AE241" s="675"/>
      <c r="AF241" s="537" t="s">
        <v>407</v>
      </c>
    </row>
    <row r="242" spans="1:33" s="536" customFormat="1" ht="12" x14ac:dyDescent="0.2">
      <c r="A242" s="548"/>
      <c r="B242" s="552"/>
      <c r="C242" s="1822" t="s">
        <v>408</v>
      </c>
      <c r="D242" s="1822"/>
      <c r="E242" s="1822"/>
      <c r="F242" s="1822"/>
      <c r="G242" s="1822"/>
      <c r="H242" s="1822"/>
      <c r="I242" s="1822"/>
      <c r="J242" s="1822"/>
      <c r="K242" s="1822"/>
      <c r="L242" s="551">
        <v>26571.07</v>
      </c>
      <c r="M242" s="550"/>
      <c r="N242" s="549"/>
      <c r="V242" s="674"/>
      <c r="W242" s="675"/>
      <c r="X242" s="675"/>
      <c r="AD242" s="675"/>
      <c r="AE242" s="675"/>
      <c r="AF242" s="537" t="s">
        <v>408</v>
      </c>
    </row>
    <row r="243" spans="1:33" s="536" customFormat="1" ht="12" x14ac:dyDescent="0.2">
      <c r="A243" s="548"/>
      <c r="B243" s="552"/>
      <c r="C243" s="1822" t="s">
        <v>409</v>
      </c>
      <c r="D243" s="1822"/>
      <c r="E243" s="1822"/>
      <c r="F243" s="1822"/>
      <c r="G243" s="1822"/>
      <c r="H243" s="1822"/>
      <c r="I243" s="1822"/>
      <c r="J243" s="1822"/>
      <c r="K243" s="1822"/>
      <c r="L243" s="551"/>
      <c r="M243" s="550"/>
      <c r="N243" s="549"/>
      <c r="V243" s="674"/>
      <c r="W243" s="675"/>
      <c r="X243" s="675"/>
      <c r="AD243" s="675"/>
      <c r="AE243" s="675"/>
      <c r="AF243" s="537" t="s">
        <v>409</v>
      </c>
    </row>
    <row r="244" spans="1:33" s="536" customFormat="1" ht="12" x14ac:dyDescent="0.2">
      <c r="A244" s="548"/>
      <c r="B244" s="552"/>
      <c r="C244" s="1822" t="s">
        <v>410</v>
      </c>
      <c r="D244" s="1822"/>
      <c r="E244" s="1822"/>
      <c r="F244" s="1822"/>
      <c r="G244" s="1822"/>
      <c r="H244" s="1822"/>
      <c r="I244" s="1822"/>
      <c r="J244" s="1822"/>
      <c r="K244" s="1822"/>
      <c r="L244" s="551">
        <v>3251.23</v>
      </c>
      <c r="M244" s="550"/>
      <c r="N244" s="549"/>
      <c r="V244" s="674"/>
      <c r="W244" s="675"/>
      <c r="X244" s="675"/>
      <c r="AD244" s="675"/>
      <c r="AE244" s="675"/>
      <c r="AF244" s="537" t="s">
        <v>410</v>
      </c>
    </row>
    <row r="245" spans="1:33" s="536" customFormat="1" ht="12" x14ac:dyDescent="0.2">
      <c r="A245" s="548"/>
      <c r="B245" s="552"/>
      <c r="C245" s="1822" t="s">
        <v>411</v>
      </c>
      <c r="D245" s="1822"/>
      <c r="E245" s="1822"/>
      <c r="F245" s="1822"/>
      <c r="G245" s="1822"/>
      <c r="H245" s="1822"/>
      <c r="I245" s="1822"/>
      <c r="J245" s="1822"/>
      <c r="K245" s="1822"/>
      <c r="L245" s="551">
        <v>16379.59</v>
      </c>
      <c r="M245" s="550"/>
      <c r="N245" s="549"/>
      <c r="V245" s="674"/>
      <c r="W245" s="675"/>
      <c r="X245" s="675"/>
      <c r="AD245" s="675"/>
      <c r="AE245" s="675"/>
      <c r="AF245" s="537" t="s">
        <v>411</v>
      </c>
    </row>
    <row r="246" spans="1:33" s="536" customFormat="1" ht="12" x14ac:dyDescent="0.2">
      <c r="A246" s="548"/>
      <c r="B246" s="552"/>
      <c r="C246" s="1822" t="s">
        <v>412</v>
      </c>
      <c r="D246" s="1822"/>
      <c r="E246" s="1822"/>
      <c r="F246" s="1822"/>
      <c r="G246" s="1822"/>
      <c r="H246" s="1822"/>
      <c r="I246" s="1822"/>
      <c r="J246" s="1822"/>
      <c r="K246" s="1822"/>
      <c r="L246" s="551">
        <v>4678.76</v>
      </c>
      <c r="M246" s="550"/>
      <c r="N246" s="549"/>
      <c r="V246" s="674"/>
      <c r="W246" s="675"/>
      <c r="X246" s="675"/>
      <c r="AD246" s="675"/>
      <c r="AE246" s="675"/>
      <c r="AF246" s="537" t="s">
        <v>412</v>
      </c>
    </row>
    <row r="247" spans="1:33" s="536" customFormat="1" ht="12" x14ac:dyDescent="0.2">
      <c r="A247" s="548"/>
      <c r="B247" s="552"/>
      <c r="C247" s="1822" t="s">
        <v>413</v>
      </c>
      <c r="D247" s="1822"/>
      <c r="E247" s="1822"/>
      <c r="F247" s="1822"/>
      <c r="G247" s="1822"/>
      <c r="H247" s="1822"/>
      <c r="I247" s="1822"/>
      <c r="J247" s="1822"/>
      <c r="K247" s="1822"/>
      <c r="L247" s="551">
        <v>2261.4899999999998</v>
      </c>
      <c r="M247" s="550"/>
      <c r="N247" s="549"/>
      <c r="V247" s="674"/>
      <c r="W247" s="675"/>
      <c r="X247" s="675"/>
      <c r="AD247" s="675"/>
      <c r="AE247" s="675"/>
      <c r="AF247" s="537" t="s">
        <v>413</v>
      </c>
    </row>
    <row r="248" spans="1:33" s="536" customFormat="1" ht="12" x14ac:dyDescent="0.2">
      <c r="A248" s="548"/>
      <c r="B248" s="552"/>
      <c r="C248" s="1822" t="s">
        <v>414</v>
      </c>
      <c r="D248" s="1822"/>
      <c r="E248" s="1822"/>
      <c r="F248" s="1822"/>
      <c r="G248" s="1822"/>
      <c r="H248" s="1822"/>
      <c r="I248" s="1822"/>
      <c r="J248" s="1822"/>
      <c r="K248" s="1822"/>
      <c r="L248" s="551">
        <v>2440.06</v>
      </c>
      <c r="M248" s="550"/>
      <c r="N248" s="549"/>
      <c r="V248" s="674"/>
      <c r="W248" s="675"/>
      <c r="X248" s="675"/>
      <c r="AD248" s="675"/>
      <c r="AE248" s="675"/>
      <c r="AF248" s="537" t="s">
        <v>414</v>
      </c>
    </row>
    <row r="249" spans="1:33" s="536" customFormat="1" ht="12" x14ac:dyDescent="0.2">
      <c r="A249" s="548"/>
      <c r="B249" s="552"/>
      <c r="C249" s="1822" t="s">
        <v>415</v>
      </c>
      <c r="D249" s="1822"/>
      <c r="E249" s="1822"/>
      <c r="F249" s="1822"/>
      <c r="G249" s="1822"/>
      <c r="H249" s="1822"/>
      <c r="I249" s="1822"/>
      <c r="J249" s="1822"/>
      <c r="K249" s="1822"/>
      <c r="L249" s="551">
        <v>5142.07</v>
      </c>
      <c r="M249" s="550"/>
      <c r="N249" s="549"/>
      <c r="V249" s="674"/>
      <c r="W249" s="675"/>
      <c r="X249" s="675"/>
      <c r="AD249" s="675"/>
      <c r="AE249" s="675"/>
      <c r="AF249" s="537" t="s">
        <v>415</v>
      </c>
    </row>
    <row r="250" spans="1:33" s="536" customFormat="1" ht="12" x14ac:dyDescent="0.2">
      <c r="A250" s="548"/>
      <c r="B250" s="552"/>
      <c r="C250" s="1822" t="s">
        <v>416</v>
      </c>
      <c r="D250" s="1822"/>
      <c r="E250" s="1822"/>
      <c r="F250" s="1822"/>
      <c r="G250" s="1822"/>
      <c r="H250" s="1822"/>
      <c r="I250" s="1822"/>
      <c r="J250" s="1822"/>
      <c r="K250" s="1822"/>
      <c r="L250" s="551">
        <v>4678.76</v>
      </c>
      <c r="M250" s="550"/>
      <c r="N250" s="549"/>
      <c r="V250" s="674"/>
      <c r="W250" s="675"/>
      <c r="X250" s="675"/>
      <c r="AD250" s="675"/>
      <c r="AE250" s="675"/>
      <c r="AF250" s="537" t="s">
        <v>416</v>
      </c>
    </row>
    <row r="251" spans="1:33" s="536" customFormat="1" ht="12" x14ac:dyDescent="0.2">
      <c r="A251" s="548"/>
      <c r="B251" s="552"/>
      <c r="C251" s="1822" t="s">
        <v>417</v>
      </c>
      <c r="D251" s="1822"/>
      <c r="E251" s="1822"/>
      <c r="F251" s="1822"/>
      <c r="G251" s="1822"/>
      <c r="H251" s="1822"/>
      <c r="I251" s="1822"/>
      <c r="J251" s="1822"/>
      <c r="K251" s="1822"/>
      <c r="L251" s="551">
        <v>2261.4899999999998</v>
      </c>
      <c r="M251" s="550"/>
      <c r="N251" s="549"/>
      <c r="V251" s="674"/>
      <c r="W251" s="675"/>
      <c r="X251" s="675"/>
      <c r="AD251" s="675"/>
      <c r="AE251" s="675"/>
      <c r="AF251" s="537" t="s">
        <v>417</v>
      </c>
    </row>
    <row r="252" spans="1:33" s="536" customFormat="1" ht="12" x14ac:dyDescent="0.2">
      <c r="A252" s="548"/>
      <c r="B252" s="546"/>
      <c r="C252" s="1819" t="s">
        <v>1022</v>
      </c>
      <c r="D252" s="1819"/>
      <c r="E252" s="1819"/>
      <c r="F252" s="1819"/>
      <c r="G252" s="1819"/>
      <c r="H252" s="1819"/>
      <c r="I252" s="1819"/>
      <c r="J252" s="1819"/>
      <c r="K252" s="1819"/>
      <c r="L252" s="544">
        <v>29011.13</v>
      </c>
      <c r="M252" s="543"/>
      <c r="N252" s="681"/>
      <c r="V252" s="674"/>
      <c r="W252" s="675"/>
      <c r="X252" s="675"/>
      <c r="AD252" s="675"/>
      <c r="AE252" s="675"/>
      <c r="AG252" s="675" t="s">
        <v>1022</v>
      </c>
    </row>
    <row r="253" spans="1:33" s="536" customFormat="1" ht="12" x14ac:dyDescent="0.2">
      <c r="A253" s="1824" t="s">
        <v>5376</v>
      </c>
      <c r="B253" s="1825"/>
      <c r="C253" s="1825"/>
      <c r="D253" s="1825"/>
      <c r="E253" s="1825"/>
      <c r="F253" s="1825"/>
      <c r="G253" s="1825"/>
      <c r="H253" s="1825"/>
      <c r="I253" s="1825"/>
      <c r="J253" s="1825"/>
      <c r="K253" s="1825"/>
      <c r="L253" s="1825"/>
      <c r="M253" s="1825"/>
      <c r="N253" s="1826"/>
      <c r="V253" s="674" t="s">
        <v>5376</v>
      </c>
      <c r="W253" s="675"/>
      <c r="X253" s="675"/>
      <c r="AD253" s="675"/>
      <c r="AE253" s="675"/>
      <c r="AG253" s="675"/>
    </row>
    <row r="254" spans="1:33" s="536" customFormat="1" ht="22.5" x14ac:dyDescent="0.2">
      <c r="A254" s="575" t="s">
        <v>736</v>
      </c>
      <c r="B254" s="670" t="s">
        <v>5377</v>
      </c>
      <c r="C254" s="1823" t="s">
        <v>5378</v>
      </c>
      <c r="D254" s="1823"/>
      <c r="E254" s="1823"/>
      <c r="F254" s="573" t="s">
        <v>641</v>
      </c>
      <c r="G254" s="573"/>
      <c r="H254" s="573"/>
      <c r="I254" s="573" t="s">
        <v>5379</v>
      </c>
      <c r="J254" s="572"/>
      <c r="K254" s="573"/>
      <c r="L254" s="572"/>
      <c r="M254" s="571"/>
      <c r="N254" s="570"/>
      <c r="V254" s="674"/>
      <c r="W254" s="675"/>
      <c r="X254" s="675" t="s">
        <v>5378</v>
      </c>
      <c r="AD254" s="675"/>
      <c r="AE254" s="675"/>
      <c r="AG254" s="675"/>
    </row>
    <row r="255" spans="1:33" s="536" customFormat="1" ht="33.75" x14ac:dyDescent="0.2">
      <c r="A255" s="609"/>
      <c r="B255" s="552" t="s">
        <v>310</v>
      </c>
      <c r="C255" s="1822" t="s">
        <v>311</v>
      </c>
      <c r="D255" s="1822"/>
      <c r="E255" s="1822"/>
      <c r="F255" s="1822"/>
      <c r="G255" s="1822"/>
      <c r="H255" s="1822"/>
      <c r="I255" s="1822"/>
      <c r="J255" s="1822"/>
      <c r="K255" s="1822"/>
      <c r="L255" s="1822"/>
      <c r="M255" s="1822"/>
      <c r="N255" s="1827"/>
      <c r="V255" s="674"/>
      <c r="W255" s="675"/>
      <c r="X255" s="675"/>
      <c r="Z255" s="537" t="s">
        <v>311</v>
      </c>
      <c r="AD255" s="675"/>
      <c r="AE255" s="675"/>
      <c r="AG255" s="675"/>
    </row>
    <row r="256" spans="1:33" s="536" customFormat="1" ht="12" x14ac:dyDescent="0.2">
      <c r="A256" s="605"/>
      <c r="B256" s="552" t="s">
        <v>185</v>
      </c>
      <c r="C256" s="1822" t="s">
        <v>312</v>
      </c>
      <c r="D256" s="1822"/>
      <c r="E256" s="1822"/>
      <c r="F256" s="562"/>
      <c r="G256" s="562"/>
      <c r="H256" s="562"/>
      <c r="I256" s="562"/>
      <c r="J256" s="604">
        <v>6.75</v>
      </c>
      <c r="K256" s="562" t="s">
        <v>313</v>
      </c>
      <c r="L256" s="604">
        <v>44.47</v>
      </c>
      <c r="M256" s="603"/>
      <c r="N256" s="602"/>
      <c r="V256" s="674"/>
      <c r="W256" s="675"/>
      <c r="X256" s="675"/>
      <c r="AA256" s="537" t="s">
        <v>312</v>
      </c>
      <c r="AD256" s="675"/>
      <c r="AE256" s="675"/>
      <c r="AG256" s="675"/>
    </row>
    <row r="257" spans="1:34" s="536" customFormat="1" ht="12" x14ac:dyDescent="0.2">
      <c r="A257" s="605"/>
      <c r="B257" s="552" t="s">
        <v>186</v>
      </c>
      <c r="C257" s="1822" t="s">
        <v>344</v>
      </c>
      <c r="D257" s="1822"/>
      <c r="E257" s="1822"/>
      <c r="F257" s="562"/>
      <c r="G257" s="562"/>
      <c r="H257" s="562"/>
      <c r="I257" s="562"/>
      <c r="J257" s="604">
        <v>8.2899999999999991</v>
      </c>
      <c r="K257" s="562" t="s">
        <v>313</v>
      </c>
      <c r="L257" s="604">
        <v>54.61</v>
      </c>
      <c r="M257" s="603"/>
      <c r="N257" s="602"/>
      <c r="V257" s="674"/>
      <c r="W257" s="675"/>
      <c r="X257" s="675"/>
      <c r="AA257" s="537" t="s">
        <v>344</v>
      </c>
      <c r="AD257" s="675"/>
      <c r="AE257" s="675"/>
      <c r="AG257" s="675"/>
    </row>
    <row r="258" spans="1:34" s="536" customFormat="1" ht="12" x14ac:dyDescent="0.2">
      <c r="A258" s="605"/>
      <c r="B258" s="552" t="s">
        <v>187</v>
      </c>
      <c r="C258" s="1822" t="s">
        <v>345</v>
      </c>
      <c r="D258" s="1822"/>
      <c r="E258" s="1822"/>
      <c r="F258" s="562"/>
      <c r="G258" s="562"/>
      <c r="H258" s="562"/>
      <c r="I258" s="562"/>
      <c r="J258" s="604">
        <v>0.81</v>
      </c>
      <c r="K258" s="562" t="s">
        <v>313</v>
      </c>
      <c r="L258" s="604">
        <v>5.34</v>
      </c>
      <c r="M258" s="603"/>
      <c r="N258" s="602"/>
      <c r="V258" s="674"/>
      <c r="W258" s="675"/>
      <c r="X258" s="675"/>
      <c r="AA258" s="537" t="s">
        <v>345</v>
      </c>
      <c r="AD258" s="675"/>
      <c r="AE258" s="675"/>
      <c r="AG258" s="675"/>
    </row>
    <row r="259" spans="1:34" s="536" customFormat="1" ht="12" x14ac:dyDescent="0.2">
      <c r="A259" s="605"/>
      <c r="B259" s="552" t="s">
        <v>188</v>
      </c>
      <c r="C259" s="1822" t="s">
        <v>475</v>
      </c>
      <c r="D259" s="1822"/>
      <c r="E259" s="1822"/>
      <c r="F259" s="562"/>
      <c r="G259" s="562"/>
      <c r="H259" s="562"/>
      <c r="I259" s="562"/>
      <c r="J259" s="604">
        <v>0.37</v>
      </c>
      <c r="K259" s="562"/>
      <c r="L259" s="604">
        <v>1.95</v>
      </c>
      <c r="M259" s="603"/>
      <c r="N259" s="602"/>
      <c r="V259" s="674"/>
      <c r="W259" s="675"/>
      <c r="X259" s="675"/>
      <c r="AA259" s="537" t="s">
        <v>475</v>
      </c>
      <c r="AD259" s="675"/>
      <c r="AE259" s="675"/>
      <c r="AG259" s="675"/>
    </row>
    <row r="260" spans="1:34" s="536" customFormat="1" ht="12" x14ac:dyDescent="0.2">
      <c r="A260" s="676"/>
      <c r="B260" s="677" t="s">
        <v>1563</v>
      </c>
      <c r="C260" s="1829" t="s">
        <v>4088</v>
      </c>
      <c r="D260" s="1829"/>
      <c r="E260" s="1829"/>
      <c r="F260" s="678" t="s">
        <v>641</v>
      </c>
      <c r="G260" s="678" t="s">
        <v>5380</v>
      </c>
      <c r="H260" s="678"/>
      <c r="I260" s="678" t="s">
        <v>5381</v>
      </c>
      <c r="J260" s="552"/>
      <c r="K260" s="562"/>
      <c r="L260" s="604"/>
      <c r="M260" s="562"/>
      <c r="N260" s="679"/>
      <c r="V260" s="674"/>
      <c r="W260" s="675"/>
      <c r="X260" s="675"/>
      <c r="AD260" s="675"/>
      <c r="AE260" s="675"/>
      <c r="AG260" s="675"/>
      <c r="AH260" s="680" t="s">
        <v>4088</v>
      </c>
    </row>
    <row r="261" spans="1:34" s="536" customFormat="1" ht="12" x14ac:dyDescent="0.2">
      <c r="A261" s="605"/>
      <c r="B261" s="552"/>
      <c r="C261" s="1822" t="s">
        <v>314</v>
      </c>
      <c r="D261" s="1822"/>
      <c r="E261" s="1822"/>
      <c r="F261" s="562" t="s">
        <v>315</v>
      </c>
      <c r="G261" s="562" t="s">
        <v>330</v>
      </c>
      <c r="H261" s="562" t="s">
        <v>313</v>
      </c>
      <c r="I261" s="562" t="s">
        <v>5382</v>
      </c>
      <c r="J261" s="604"/>
      <c r="K261" s="562"/>
      <c r="L261" s="604"/>
      <c r="M261" s="603"/>
      <c r="N261" s="602"/>
      <c r="V261" s="674"/>
      <c r="W261" s="675"/>
      <c r="X261" s="675"/>
      <c r="AB261" s="537" t="s">
        <v>314</v>
      </c>
      <c r="AD261" s="675"/>
      <c r="AE261" s="675"/>
      <c r="AG261" s="675"/>
      <c r="AH261" s="680"/>
    </row>
    <row r="262" spans="1:34" s="536" customFormat="1" ht="12" x14ac:dyDescent="0.2">
      <c r="A262" s="605"/>
      <c r="B262" s="552"/>
      <c r="C262" s="1822" t="s">
        <v>348</v>
      </c>
      <c r="D262" s="1822"/>
      <c r="E262" s="1822"/>
      <c r="F262" s="562" t="s">
        <v>315</v>
      </c>
      <c r="G262" s="562" t="s">
        <v>3171</v>
      </c>
      <c r="H262" s="562" t="s">
        <v>313</v>
      </c>
      <c r="I262" s="562" t="s">
        <v>5383</v>
      </c>
      <c r="J262" s="604"/>
      <c r="K262" s="562"/>
      <c r="L262" s="604"/>
      <c r="M262" s="603"/>
      <c r="N262" s="602"/>
      <c r="V262" s="674"/>
      <c r="W262" s="675"/>
      <c r="X262" s="675"/>
      <c r="AB262" s="537" t="s">
        <v>348</v>
      </c>
      <c r="AD262" s="675"/>
      <c r="AE262" s="675"/>
      <c r="AG262" s="675"/>
      <c r="AH262" s="680"/>
    </row>
    <row r="263" spans="1:34" s="536" customFormat="1" ht="12" x14ac:dyDescent="0.2">
      <c r="A263" s="605"/>
      <c r="B263" s="552"/>
      <c r="C263" s="1828" t="s">
        <v>318</v>
      </c>
      <c r="D263" s="1828"/>
      <c r="E263" s="1828"/>
      <c r="F263" s="608"/>
      <c r="G263" s="608"/>
      <c r="H263" s="608"/>
      <c r="I263" s="608"/>
      <c r="J263" s="607">
        <v>15.41</v>
      </c>
      <c r="K263" s="608"/>
      <c r="L263" s="607">
        <v>101.03</v>
      </c>
      <c r="M263" s="601"/>
      <c r="N263" s="606"/>
      <c r="V263" s="674"/>
      <c r="W263" s="675"/>
      <c r="X263" s="675"/>
      <c r="AC263" s="537" t="s">
        <v>318</v>
      </c>
      <c r="AD263" s="675"/>
      <c r="AE263" s="675"/>
      <c r="AG263" s="675"/>
      <c r="AH263" s="680"/>
    </row>
    <row r="264" spans="1:34" s="536" customFormat="1" ht="12" x14ac:dyDescent="0.2">
      <c r="A264" s="605"/>
      <c r="B264" s="552"/>
      <c r="C264" s="1822" t="s">
        <v>319</v>
      </c>
      <c r="D264" s="1822"/>
      <c r="E264" s="1822"/>
      <c r="F264" s="562"/>
      <c r="G264" s="562"/>
      <c r="H264" s="562"/>
      <c r="I264" s="562"/>
      <c r="J264" s="604"/>
      <c r="K264" s="562"/>
      <c r="L264" s="604">
        <v>49.81</v>
      </c>
      <c r="M264" s="603"/>
      <c r="N264" s="602"/>
      <c r="V264" s="674"/>
      <c r="W264" s="675"/>
      <c r="X264" s="675"/>
      <c r="AB264" s="537" t="s">
        <v>319</v>
      </c>
      <c r="AD264" s="675"/>
      <c r="AE264" s="675"/>
      <c r="AG264" s="675"/>
      <c r="AH264" s="680"/>
    </row>
    <row r="265" spans="1:34" s="536" customFormat="1" ht="33.75" x14ac:dyDescent="0.2">
      <c r="A265" s="605"/>
      <c r="B265" s="552" t="s">
        <v>2032</v>
      </c>
      <c r="C265" s="1822" t="s">
        <v>2033</v>
      </c>
      <c r="D265" s="1822"/>
      <c r="E265" s="1822"/>
      <c r="F265" s="562" t="s">
        <v>322</v>
      </c>
      <c r="G265" s="562" t="s">
        <v>2034</v>
      </c>
      <c r="H265" s="562"/>
      <c r="I265" s="562" t="s">
        <v>2034</v>
      </c>
      <c r="J265" s="604"/>
      <c r="K265" s="562"/>
      <c r="L265" s="604">
        <v>54.79</v>
      </c>
      <c r="M265" s="603"/>
      <c r="N265" s="602"/>
      <c r="V265" s="674"/>
      <c r="W265" s="675"/>
      <c r="X265" s="675"/>
      <c r="AB265" s="537" t="s">
        <v>2033</v>
      </c>
      <c r="AD265" s="675"/>
      <c r="AE265" s="675"/>
      <c r="AG265" s="675"/>
      <c r="AH265" s="680"/>
    </row>
    <row r="266" spans="1:34" s="536" customFormat="1" ht="33.75" x14ac:dyDescent="0.2">
      <c r="A266" s="605"/>
      <c r="B266" s="552" t="s">
        <v>2035</v>
      </c>
      <c r="C266" s="1822" t="s">
        <v>2036</v>
      </c>
      <c r="D266" s="1822"/>
      <c r="E266" s="1822"/>
      <c r="F266" s="562" t="s">
        <v>322</v>
      </c>
      <c r="G266" s="562" t="s">
        <v>2037</v>
      </c>
      <c r="H266" s="562"/>
      <c r="I266" s="562" t="s">
        <v>2037</v>
      </c>
      <c r="J266" s="604"/>
      <c r="K266" s="562"/>
      <c r="L266" s="604">
        <v>34.369999999999997</v>
      </c>
      <c r="M266" s="603"/>
      <c r="N266" s="602"/>
      <c r="V266" s="674"/>
      <c r="W266" s="675"/>
      <c r="X266" s="675"/>
      <c r="AB266" s="537" t="s">
        <v>2036</v>
      </c>
      <c r="AD266" s="675"/>
      <c r="AE266" s="675"/>
      <c r="AG266" s="675"/>
      <c r="AH266" s="680"/>
    </row>
    <row r="267" spans="1:34" s="536" customFormat="1" ht="12" x14ac:dyDescent="0.2">
      <c r="A267" s="569"/>
      <c r="B267" s="671"/>
      <c r="C267" s="1823" t="s">
        <v>327</v>
      </c>
      <c r="D267" s="1823"/>
      <c r="E267" s="1823"/>
      <c r="F267" s="573"/>
      <c r="G267" s="573"/>
      <c r="H267" s="573"/>
      <c r="I267" s="573"/>
      <c r="J267" s="572"/>
      <c r="K267" s="573"/>
      <c r="L267" s="572">
        <v>190.19</v>
      </c>
      <c r="M267" s="601"/>
      <c r="N267" s="570"/>
      <c r="V267" s="674"/>
      <c r="W267" s="675"/>
      <c r="X267" s="675"/>
      <c r="AD267" s="675" t="s">
        <v>327</v>
      </c>
      <c r="AE267" s="675"/>
      <c r="AG267" s="675"/>
      <c r="AH267" s="680"/>
    </row>
    <row r="268" spans="1:34" s="536" customFormat="1" ht="22.5" x14ac:dyDescent="0.2">
      <c r="A268" s="575" t="s">
        <v>1067</v>
      </c>
      <c r="B268" s="670" t="s">
        <v>5384</v>
      </c>
      <c r="C268" s="1823" t="s">
        <v>5385</v>
      </c>
      <c r="D268" s="1823"/>
      <c r="E268" s="1823"/>
      <c r="F268" s="573" t="s">
        <v>641</v>
      </c>
      <c r="G268" s="573"/>
      <c r="H268" s="573"/>
      <c r="I268" s="573" t="s">
        <v>5381</v>
      </c>
      <c r="J268" s="572">
        <v>67.75</v>
      </c>
      <c r="K268" s="573"/>
      <c r="L268" s="572">
        <v>410.6</v>
      </c>
      <c r="M268" s="571"/>
      <c r="N268" s="570"/>
      <c r="V268" s="674"/>
      <c r="W268" s="675"/>
      <c r="X268" s="675" t="s">
        <v>5385</v>
      </c>
      <c r="AD268" s="675"/>
      <c r="AE268" s="675"/>
      <c r="AG268" s="675"/>
      <c r="AH268" s="680"/>
    </row>
    <row r="269" spans="1:34" s="536" customFormat="1" ht="12" x14ac:dyDescent="0.2">
      <c r="A269" s="569"/>
      <c r="B269" s="671"/>
      <c r="C269" s="665" t="s">
        <v>717</v>
      </c>
      <c r="D269" s="666"/>
      <c r="E269" s="666"/>
      <c r="F269" s="563"/>
      <c r="G269" s="563"/>
      <c r="H269" s="563"/>
      <c r="I269" s="563"/>
      <c r="J269" s="566"/>
      <c r="K269" s="563"/>
      <c r="L269" s="566"/>
      <c r="M269" s="565"/>
      <c r="N269" s="564"/>
      <c r="V269" s="674"/>
      <c r="W269" s="675"/>
      <c r="X269" s="675"/>
      <c r="AD269" s="675"/>
      <c r="AE269" s="675"/>
      <c r="AG269" s="675"/>
      <c r="AH269" s="680"/>
    </row>
    <row r="270" spans="1:34" s="536" customFormat="1" ht="12" x14ac:dyDescent="0.2">
      <c r="A270" s="676"/>
      <c r="B270" s="664"/>
      <c r="C270" s="1822" t="s">
        <v>5386</v>
      </c>
      <c r="D270" s="1822"/>
      <c r="E270" s="1822"/>
      <c r="F270" s="1822"/>
      <c r="G270" s="1822"/>
      <c r="H270" s="1822"/>
      <c r="I270" s="1822"/>
      <c r="J270" s="1822"/>
      <c r="K270" s="1822"/>
      <c r="L270" s="1822"/>
      <c r="M270" s="1822"/>
      <c r="N270" s="1827"/>
      <c r="V270" s="674"/>
      <c r="W270" s="675"/>
      <c r="X270" s="675"/>
      <c r="Y270" s="537" t="s">
        <v>5386</v>
      </c>
      <c r="AD270" s="675"/>
      <c r="AE270" s="675"/>
      <c r="AG270" s="675"/>
      <c r="AH270" s="680"/>
    </row>
    <row r="271" spans="1:34" s="536" customFormat="1" ht="12" x14ac:dyDescent="0.2">
      <c r="A271" s="575" t="s">
        <v>912</v>
      </c>
      <c r="B271" s="670" t="s">
        <v>1368</v>
      </c>
      <c r="C271" s="1823" t="s">
        <v>1369</v>
      </c>
      <c r="D271" s="1823"/>
      <c r="E271" s="1823"/>
      <c r="F271" s="573" t="s">
        <v>509</v>
      </c>
      <c r="G271" s="573"/>
      <c r="H271" s="573"/>
      <c r="I271" s="573" t="s">
        <v>5387</v>
      </c>
      <c r="J271" s="572"/>
      <c r="K271" s="573"/>
      <c r="L271" s="572"/>
      <c r="M271" s="571"/>
      <c r="N271" s="570"/>
      <c r="V271" s="674"/>
      <c r="W271" s="675"/>
      <c r="X271" s="675" t="s">
        <v>1369</v>
      </c>
      <c r="AD271" s="675"/>
      <c r="AE271" s="675"/>
      <c r="AG271" s="675"/>
      <c r="AH271" s="680"/>
    </row>
    <row r="272" spans="1:34" s="536" customFormat="1" ht="12" x14ac:dyDescent="0.2">
      <c r="A272" s="676"/>
      <c r="B272" s="664"/>
      <c r="C272" s="1822" t="s">
        <v>5388</v>
      </c>
      <c r="D272" s="1822"/>
      <c r="E272" s="1822"/>
      <c r="F272" s="1822"/>
      <c r="G272" s="1822"/>
      <c r="H272" s="1822"/>
      <c r="I272" s="1822"/>
      <c r="J272" s="1822"/>
      <c r="K272" s="1822"/>
      <c r="L272" s="1822"/>
      <c r="M272" s="1822"/>
      <c r="N272" s="1827"/>
      <c r="V272" s="674"/>
      <c r="W272" s="675"/>
      <c r="X272" s="675"/>
      <c r="Y272" s="537" t="s">
        <v>5388</v>
      </c>
      <c r="AD272" s="675"/>
      <c r="AE272" s="675"/>
      <c r="AG272" s="675"/>
      <c r="AH272" s="680"/>
    </row>
    <row r="273" spans="1:34" s="536" customFormat="1" ht="33.75" x14ac:dyDescent="0.2">
      <c r="A273" s="609"/>
      <c r="B273" s="552" t="s">
        <v>310</v>
      </c>
      <c r="C273" s="1822" t="s">
        <v>311</v>
      </c>
      <c r="D273" s="1822"/>
      <c r="E273" s="1822"/>
      <c r="F273" s="1822"/>
      <c r="G273" s="1822"/>
      <c r="H273" s="1822"/>
      <c r="I273" s="1822"/>
      <c r="J273" s="1822"/>
      <c r="K273" s="1822"/>
      <c r="L273" s="1822"/>
      <c r="M273" s="1822"/>
      <c r="N273" s="1827"/>
      <c r="V273" s="674"/>
      <c r="W273" s="675"/>
      <c r="X273" s="675"/>
      <c r="Z273" s="537" t="s">
        <v>311</v>
      </c>
      <c r="AD273" s="675"/>
      <c r="AE273" s="675"/>
      <c r="AG273" s="675"/>
      <c r="AH273" s="680"/>
    </row>
    <row r="274" spans="1:34" s="536" customFormat="1" ht="12" x14ac:dyDescent="0.2">
      <c r="A274" s="605"/>
      <c r="B274" s="552" t="s">
        <v>185</v>
      </c>
      <c r="C274" s="1822" t="s">
        <v>312</v>
      </c>
      <c r="D274" s="1822"/>
      <c r="E274" s="1822"/>
      <c r="F274" s="562"/>
      <c r="G274" s="562"/>
      <c r="H274" s="562"/>
      <c r="I274" s="562"/>
      <c r="J274" s="604">
        <v>1053</v>
      </c>
      <c r="K274" s="562" t="s">
        <v>313</v>
      </c>
      <c r="L274" s="604">
        <v>593.5</v>
      </c>
      <c r="M274" s="603"/>
      <c r="N274" s="602"/>
      <c r="V274" s="674"/>
      <c r="W274" s="675"/>
      <c r="X274" s="675"/>
      <c r="AA274" s="537" t="s">
        <v>312</v>
      </c>
      <c r="AD274" s="675"/>
      <c r="AE274" s="675"/>
      <c r="AG274" s="675"/>
      <c r="AH274" s="680"/>
    </row>
    <row r="275" spans="1:34" s="536" customFormat="1" ht="12" x14ac:dyDescent="0.2">
      <c r="A275" s="605"/>
      <c r="B275" s="552" t="s">
        <v>186</v>
      </c>
      <c r="C275" s="1822" t="s">
        <v>344</v>
      </c>
      <c r="D275" s="1822"/>
      <c r="E275" s="1822"/>
      <c r="F275" s="562"/>
      <c r="G275" s="562"/>
      <c r="H275" s="562"/>
      <c r="I275" s="562"/>
      <c r="J275" s="604">
        <v>1566.06</v>
      </c>
      <c r="K275" s="562" t="s">
        <v>313</v>
      </c>
      <c r="L275" s="604">
        <v>882.67</v>
      </c>
      <c r="M275" s="603"/>
      <c r="N275" s="602"/>
      <c r="V275" s="674"/>
      <c r="W275" s="675"/>
      <c r="X275" s="675"/>
      <c r="AA275" s="537" t="s">
        <v>344</v>
      </c>
      <c r="AD275" s="675"/>
      <c r="AE275" s="675"/>
      <c r="AG275" s="675"/>
      <c r="AH275" s="680"/>
    </row>
    <row r="276" spans="1:34" s="536" customFormat="1" ht="12" x14ac:dyDescent="0.2">
      <c r="A276" s="605"/>
      <c r="B276" s="552" t="s">
        <v>187</v>
      </c>
      <c r="C276" s="1822" t="s">
        <v>345</v>
      </c>
      <c r="D276" s="1822"/>
      <c r="E276" s="1822"/>
      <c r="F276" s="562"/>
      <c r="G276" s="562"/>
      <c r="H276" s="562"/>
      <c r="I276" s="562"/>
      <c r="J276" s="604">
        <v>244.39</v>
      </c>
      <c r="K276" s="562" t="s">
        <v>313</v>
      </c>
      <c r="L276" s="604">
        <v>137.74</v>
      </c>
      <c r="M276" s="603"/>
      <c r="N276" s="602"/>
      <c r="V276" s="674"/>
      <c r="W276" s="675"/>
      <c r="X276" s="675"/>
      <c r="AA276" s="537" t="s">
        <v>345</v>
      </c>
      <c r="AD276" s="675"/>
      <c r="AE276" s="675"/>
      <c r="AG276" s="675"/>
      <c r="AH276" s="680"/>
    </row>
    <row r="277" spans="1:34" s="536" customFormat="1" ht="12" x14ac:dyDescent="0.2">
      <c r="A277" s="605"/>
      <c r="B277" s="552" t="s">
        <v>188</v>
      </c>
      <c r="C277" s="1822" t="s">
        <v>475</v>
      </c>
      <c r="D277" s="1822"/>
      <c r="E277" s="1822"/>
      <c r="F277" s="562"/>
      <c r="G277" s="562"/>
      <c r="H277" s="562"/>
      <c r="I277" s="562"/>
      <c r="J277" s="604">
        <v>909.27</v>
      </c>
      <c r="K277" s="562"/>
      <c r="L277" s="604">
        <v>409.99</v>
      </c>
      <c r="M277" s="603"/>
      <c r="N277" s="602"/>
      <c r="V277" s="674"/>
      <c r="W277" s="675"/>
      <c r="X277" s="675"/>
      <c r="AA277" s="537" t="s">
        <v>475</v>
      </c>
      <c r="AD277" s="675"/>
      <c r="AE277" s="675"/>
      <c r="AG277" s="675"/>
      <c r="AH277" s="680"/>
    </row>
    <row r="278" spans="1:34" s="536" customFormat="1" ht="12" x14ac:dyDescent="0.2">
      <c r="A278" s="676"/>
      <c r="B278" s="677" t="s">
        <v>639</v>
      </c>
      <c r="C278" s="1829" t="s">
        <v>640</v>
      </c>
      <c r="D278" s="1829"/>
      <c r="E278" s="1829"/>
      <c r="F278" s="678" t="s">
        <v>641</v>
      </c>
      <c r="G278" s="678" t="s">
        <v>680</v>
      </c>
      <c r="H278" s="678"/>
      <c r="I278" s="678" t="s">
        <v>5389</v>
      </c>
      <c r="J278" s="552"/>
      <c r="K278" s="562"/>
      <c r="L278" s="604"/>
      <c r="M278" s="562"/>
      <c r="N278" s="679"/>
      <c r="V278" s="674"/>
      <c r="W278" s="675"/>
      <c r="X278" s="675"/>
      <c r="AD278" s="675"/>
      <c r="AE278" s="675"/>
      <c r="AG278" s="675"/>
      <c r="AH278" s="680" t="s">
        <v>640</v>
      </c>
    </row>
    <row r="279" spans="1:34" s="536" customFormat="1" ht="12" x14ac:dyDescent="0.2">
      <c r="A279" s="605"/>
      <c r="B279" s="552"/>
      <c r="C279" s="1822" t="s">
        <v>314</v>
      </c>
      <c r="D279" s="1822"/>
      <c r="E279" s="1822"/>
      <c r="F279" s="562" t="s">
        <v>315</v>
      </c>
      <c r="G279" s="562" t="s">
        <v>1373</v>
      </c>
      <c r="H279" s="562" t="s">
        <v>313</v>
      </c>
      <c r="I279" s="562" t="s">
        <v>5390</v>
      </c>
      <c r="J279" s="604"/>
      <c r="K279" s="562"/>
      <c r="L279" s="604"/>
      <c r="M279" s="603"/>
      <c r="N279" s="602"/>
      <c r="V279" s="674"/>
      <c r="W279" s="675"/>
      <c r="X279" s="675"/>
      <c r="AB279" s="537" t="s">
        <v>314</v>
      </c>
      <c r="AD279" s="675"/>
      <c r="AE279" s="675"/>
      <c r="AG279" s="675"/>
      <c r="AH279" s="680"/>
    </row>
    <row r="280" spans="1:34" s="536" customFormat="1" ht="12" x14ac:dyDescent="0.2">
      <c r="A280" s="605"/>
      <c r="B280" s="552"/>
      <c r="C280" s="1822" t="s">
        <v>348</v>
      </c>
      <c r="D280" s="1822"/>
      <c r="E280" s="1822"/>
      <c r="F280" s="562" t="s">
        <v>315</v>
      </c>
      <c r="G280" s="562" t="s">
        <v>1375</v>
      </c>
      <c r="H280" s="562" t="s">
        <v>313</v>
      </c>
      <c r="I280" s="562" t="s">
        <v>5391</v>
      </c>
      <c r="J280" s="604"/>
      <c r="K280" s="562"/>
      <c r="L280" s="604"/>
      <c r="M280" s="603"/>
      <c r="N280" s="602"/>
      <c r="V280" s="674"/>
      <c r="W280" s="675"/>
      <c r="X280" s="675"/>
      <c r="AB280" s="537" t="s">
        <v>348</v>
      </c>
      <c r="AD280" s="675"/>
      <c r="AE280" s="675"/>
      <c r="AG280" s="675"/>
      <c r="AH280" s="680"/>
    </row>
    <row r="281" spans="1:34" s="536" customFormat="1" ht="12" x14ac:dyDescent="0.2">
      <c r="A281" s="605"/>
      <c r="B281" s="552"/>
      <c r="C281" s="1828" t="s">
        <v>318</v>
      </c>
      <c r="D281" s="1828"/>
      <c r="E281" s="1828"/>
      <c r="F281" s="608"/>
      <c r="G281" s="608"/>
      <c r="H281" s="608"/>
      <c r="I281" s="608"/>
      <c r="J281" s="607">
        <v>3528.33</v>
      </c>
      <c r="K281" s="608"/>
      <c r="L281" s="607">
        <v>1886.16</v>
      </c>
      <c r="M281" s="601"/>
      <c r="N281" s="606"/>
      <c r="V281" s="674"/>
      <c r="W281" s="675"/>
      <c r="X281" s="675"/>
      <c r="AC281" s="537" t="s">
        <v>318</v>
      </c>
      <c r="AD281" s="675"/>
      <c r="AE281" s="675"/>
      <c r="AG281" s="675"/>
      <c r="AH281" s="680"/>
    </row>
    <row r="282" spans="1:34" s="536" customFormat="1" ht="12" x14ac:dyDescent="0.2">
      <c r="A282" s="605"/>
      <c r="B282" s="552"/>
      <c r="C282" s="1822" t="s">
        <v>319</v>
      </c>
      <c r="D282" s="1822"/>
      <c r="E282" s="1822"/>
      <c r="F282" s="562"/>
      <c r="G282" s="562"/>
      <c r="H282" s="562"/>
      <c r="I282" s="562"/>
      <c r="J282" s="604"/>
      <c r="K282" s="562"/>
      <c r="L282" s="604">
        <v>731.24</v>
      </c>
      <c r="M282" s="603"/>
      <c r="N282" s="602"/>
      <c r="V282" s="674"/>
      <c r="W282" s="675"/>
      <c r="X282" s="675"/>
      <c r="AB282" s="537" t="s">
        <v>319</v>
      </c>
      <c r="AD282" s="675"/>
      <c r="AE282" s="675"/>
      <c r="AG282" s="675"/>
      <c r="AH282" s="680"/>
    </row>
    <row r="283" spans="1:34" s="536" customFormat="1" ht="33.75" x14ac:dyDescent="0.2">
      <c r="A283" s="605"/>
      <c r="B283" s="552" t="s">
        <v>686</v>
      </c>
      <c r="C283" s="1822" t="s">
        <v>687</v>
      </c>
      <c r="D283" s="1822"/>
      <c r="E283" s="1822"/>
      <c r="F283" s="562" t="s">
        <v>322</v>
      </c>
      <c r="G283" s="562" t="s">
        <v>680</v>
      </c>
      <c r="H283" s="562"/>
      <c r="I283" s="562" t="s">
        <v>680</v>
      </c>
      <c r="J283" s="604"/>
      <c r="K283" s="562"/>
      <c r="L283" s="604">
        <v>745.86</v>
      </c>
      <c r="M283" s="603"/>
      <c r="N283" s="602"/>
      <c r="V283" s="674"/>
      <c r="W283" s="675"/>
      <c r="X283" s="675"/>
      <c r="AB283" s="537" t="s">
        <v>687</v>
      </c>
      <c r="AD283" s="675"/>
      <c r="AE283" s="675"/>
      <c r="AG283" s="675"/>
      <c r="AH283" s="680"/>
    </row>
    <row r="284" spans="1:34" s="536" customFormat="1" ht="33.75" x14ac:dyDescent="0.2">
      <c r="A284" s="605"/>
      <c r="B284" s="552" t="s">
        <v>688</v>
      </c>
      <c r="C284" s="1822" t="s">
        <v>689</v>
      </c>
      <c r="D284" s="1822"/>
      <c r="E284" s="1822"/>
      <c r="F284" s="562" t="s">
        <v>322</v>
      </c>
      <c r="G284" s="562" t="s">
        <v>690</v>
      </c>
      <c r="H284" s="562"/>
      <c r="I284" s="562" t="s">
        <v>690</v>
      </c>
      <c r="J284" s="604"/>
      <c r="K284" s="562"/>
      <c r="L284" s="604">
        <v>424.12</v>
      </c>
      <c r="M284" s="603"/>
      <c r="N284" s="602"/>
      <c r="V284" s="674"/>
      <c r="W284" s="675"/>
      <c r="X284" s="675"/>
      <c r="AB284" s="537" t="s">
        <v>689</v>
      </c>
      <c r="AD284" s="675"/>
      <c r="AE284" s="675"/>
      <c r="AG284" s="675"/>
      <c r="AH284" s="680"/>
    </row>
    <row r="285" spans="1:34" s="536" customFormat="1" ht="12" x14ac:dyDescent="0.2">
      <c r="A285" s="569"/>
      <c r="B285" s="671"/>
      <c r="C285" s="1823" t="s">
        <v>327</v>
      </c>
      <c r="D285" s="1823"/>
      <c r="E285" s="1823"/>
      <c r="F285" s="573"/>
      <c r="G285" s="573"/>
      <c r="H285" s="573"/>
      <c r="I285" s="573"/>
      <c r="J285" s="572"/>
      <c r="K285" s="573"/>
      <c r="L285" s="572">
        <v>3056.14</v>
      </c>
      <c r="M285" s="601"/>
      <c r="N285" s="570"/>
      <c r="V285" s="674"/>
      <c r="W285" s="675"/>
      <c r="X285" s="675"/>
      <c r="AD285" s="675" t="s">
        <v>327</v>
      </c>
      <c r="AE285" s="675"/>
      <c r="AG285" s="675"/>
      <c r="AH285" s="680"/>
    </row>
    <row r="286" spans="1:34" s="536" customFormat="1" ht="22.5" x14ac:dyDescent="0.2">
      <c r="A286" s="575" t="s">
        <v>757</v>
      </c>
      <c r="B286" s="670" t="s">
        <v>1392</v>
      </c>
      <c r="C286" s="1823" t="s">
        <v>1393</v>
      </c>
      <c r="D286" s="1823"/>
      <c r="E286" s="1823"/>
      <c r="F286" s="573" t="s">
        <v>641</v>
      </c>
      <c r="G286" s="573"/>
      <c r="H286" s="573"/>
      <c r="I286" s="573" t="s">
        <v>5389</v>
      </c>
      <c r="J286" s="572">
        <v>725.69</v>
      </c>
      <c r="K286" s="573"/>
      <c r="L286" s="572">
        <v>33375.79</v>
      </c>
      <c r="M286" s="571"/>
      <c r="N286" s="570"/>
      <c r="V286" s="674"/>
      <c r="W286" s="675"/>
      <c r="X286" s="675" t="s">
        <v>1393</v>
      </c>
      <c r="AD286" s="675"/>
      <c r="AE286" s="675"/>
      <c r="AG286" s="675"/>
      <c r="AH286" s="680"/>
    </row>
    <row r="287" spans="1:34" s="536" customFormat="1" ht="12" x14ac:dyDescent="0.2">
      <c r="A287" s="569"/>
      <c r="B287" s="671"/>
      <c r="C287" s="665" t="s">
        <v>717</v>
      </c>
      <c r="D287" s="666"/>
      <c r="E287" s="666"/>
      <c r="F287" s="563"/>
      <c r="G287" s="563"/>
      <c r="H287" s="563"/>
      <c r="I287" s="563"/>
      <c r="J287" s="566"/>
      <c r="K287" s="563"/>
      <c r="L287" s="566"/>
      <c r="M287" s="565"/>
      <c r="N287" s="564"/>
      <c r="V287" s="674"/>
      <c r="W287" s="675"/>
      <c r="X287" s="675"/>
      <c r="AD287" s="675"/>
      <c r="AE287" s="675"/>
      <c r="AG287" s="675"/>
      <c r="AH287" s="680"/>
    </row>
    <row r="288" spans="1:34" s="536" customFormat="1" ht="1.5" customHeight="1" x14ac:dyDescent="0.2">
      <c r="A288" s="563"/>
      <c r="B288" s="671"/>
      <c r="C288" s="671"/>
      <c r="D288" s="671"/>
      <c r="E288" s="671"/>
      <c r="F288" s="563"/>
      <c r="G288" s="563"/>
      <c r="H288" s="563"/>
      <c r="I288" s="563"/>
      <c r="J288" s="546"/>
      <c r="K288" s="563"/>
      <c r="L288" s="546"/>
      <c r="M288" s="562"/>
      <c r="N288" s="546"/>
      <c r="V288" s="674"/>
      <c r="W288" s="675"/>
      <c r="X288" s="675"/>
      <c r="AD288" s="675"/>
      <c r="AE288" s="675"/>
      <c r="AG288" s="675"/>
      <c r="AH288" s="680"/>
    </row>
    <row r="289" spans="1:34" s="536" customFormat="1" ht="12" x14ac:dyDescent="0.2">
      <c r="A289" s="557"/>
      <c r="B289" s="556"/>
      <c r="C289" s="1823" t="s">
        <v>5392</v>
      </c>
      <c r="D289" s="1823"/>
      <c r="E289" s="1823"/>
      <c r="F289" s="1823"/>
      <c r="G289" s="1823"/>
      <c r="H289" s="1823"/>
      <c r="I289" s="1823"/>
      <c r="J289" s="1823"/>
      <c r="K289" s="1823"/>
      <c r="L289" s="555"/>
      <c r="M289" s="554"/>
      <c r="N289" s="553"/>
      <c r="V289" s="674"/>
      <c r="W289" s="675"/>
      <c r="X289" s="675"/>
      <c r="AD289" s="675"/>
      <c r="AE289" s="675" t="s">
        <v>5392</v>
      </c>
      <c r="AG289" s="675"/>
      <c r="AH289" s="680"/>
    </row>
    <row r="290" spans="1:34" s="536" customFormat="1" ht="12" x14ac:dyDescent="0.2">
      <c r="A290" s="548"/>
      <c r="B290" s="552"/>
      <c r="C290" s="1822" t="s">
        <v>403</v>
      </c>
      <c r="D290" s="1822"/>
      <c r="E290" s="1822"/>
      <c r="F290" s="1822"/>
      <c r="G290" s="1822"/>
      <c r="H290" s="1822"/>
      <c r="I290" s="1822"/>
      <c r="J290" s="1822"/>
      <c r="K290" s="1822"/>
      <c r="L290" s="551">
        <v>35773.58</v>
      </c>
      <c r="M290" s="550"/>
      <c r="N290" s="549"/>
      <c r="V290" s="674"/>
      <c r="W290" s="675"/>
      <c r="X290" s="675"/>
      <c r="AD290" s="675"/>
      <c r="AE290" s="675"/>
      <c r="AF290" s="537" t="s">
        <v>403</v>
      </c>
      <c r="AG290" s="675"/>
      <c r="AH290" s="680"/>
    </row>
    <row r="291" spans="1:34" s="536" customFormat="1" ht="12" x14ac:dyDescent="0.2">
      <c r="A291" s="548"/>
      <c r="B291" s="552"/>
      <c r="C291" s="1822" t="s">
        <v>204</v>
      </c>
      <c r="D291" s="1822"/>
      <c r="E291" s="1822"/>
      <c r="F291" s="1822"/>
      <c r="G291" s="1822"/>
      <c r="H291" s="1822"/>
      <c r="I291" s="1822"/>
      <c r="J291" s="1822"/>
      <c r="K291" s="1822"/>
      <c r="L291" s="551"/>
      <c r="M291" s="550"/>
      <c r="N291" s="549"/>
      <c r="V291" s="674"/>
      <c r="W291" s="675"/>
      <c r="X291" s="675"/>
      <c r="AD291" s="675"/>
      <c r="AE291" s="675"/>
      <c r="AF291" s="537" t="s">
        <v>204</v>
      </c>
      <c r="AG291" s="675"/>
      <c r="AH291" s="680"/>
    </row>
    <row r="292" spans="1:34" s="536" customFormat="1" ht="12" x14ac:dyDescent="0.2">
      <c r="A292" s="548"/>
      <c r="B292" s="552"/>
      <c r="C292" s="1822" t="s">
        <v>404</v>
      </c>
      <c r="D292" s="1822"/>
      <c r="E292" s="1822"/>
      <c r="F292" s="1822"/>
      <c r="G292" s="1822"/>
      <c r="H292" s="1822"/>
      <c r="I292" s="1822"/>
      <c r="J292" s="1822"/>
      <c r="K292" s="1822"/>
      <c r="L292" s="551">
        <v>637.97</v>
      </c>
      <c r="M292" s="550"/>
      <c r="N292" s="549"/>
      <c r="V292" s="674"/>
      <c r="W292" s="675"/>
      <c r="X292" s="675"/>
      <c r="AD292" s="675"/>
      <c r="AE292" s="675"/>
      <c r="AF292" s="537" t="s">
        <v>404</v>
      </c>
      <c r="AG292" s="675"/>
      <c r="AH292" s="680"/>
    </row>
    <row r="293" spans="1:34" s="536" customFormat="1" ht="12" x14ac:dyDescent="0.2">
      <c r="A293" s="548"/>
      <c r="B293" s="552"/>
      <c r="C293" s="1822" t="s">
        <v>405</v>
      </c>
      <c r="D293" s="1822"/>
      <c r="E293" s="1822"/>
      <c r="F293" s="1822"/>
      <c r="G293" s="1822"/>
      <c r="H293" s="1822"/>
      <c r="I293" s="1822"/>
      <c r="J293" s="1822"/>
      <c r="K293" s="1822"/>
      <c r="L293" s="551">
        <v>937.28</v>
      </c>
      <c r="M293" s="550"/>
      <c r="N293" s="549"/>
      <c r="V293" s="674"/>
      <c r="W293" s="675"/>
      <c r="X293" s="675"/>
      <c r="AD293" s="675"/>
      <c r="AE293" s="675"/>
      <c r="AF293" s="537" t="s">
        <v>405</v>
      </c>
      <c r="AG293" s="675"/>
      <c r="AH293" s="680"/>
    </row>
    <row r="294" spans="1:34" s="536" customFormat="1" ht="12" x14ac:dyDescent="0.2">
      <c r="A294" s="548"/>
      <c r="B294" s="552"/>
      <c r="C294" s="1822" t="s">
        <v>406</v>
      </c>
      <c r="D294" s="1822"/>
      <c r="E294" s="1822"/>
      <c r="F294" s="1822"/>
      <c r="G294" s="1822"/>
      <c r="H294" s="1822"/>
      <c r="I294" s="1822"/>
      <c r="J294" s="1822"/>
      <c r="K294" s="1822"/>
      <c r="L294" s="551">
        <v>143.08000000000001</v>
      </c>
      <c r="M294" s="550"/>
      <c r="N294" s="549"/>
      <c r="V294" s="674"/>
      <c r="W294" s="675"/>
      <c r="X294" s="675"/>
      <c r="AD294" s="675"/>
      <c r="AE294" s="675"/>
      <c r="AF294" s="537" t="s">
        <v>406</v>
      </c>
      <c r="AG294" s="675"/>
      <c r="AH294" s="680"/>
    </row>
    <row r="295" spans="1:34" s="536" customFormat="1" ht="12" x14ac:dyDescent="0.2">
      <c r="A295" s="548"/>
      <c r="B295" s="552"/>
      <c r="C295" s="1822" t="s">
        <v>480</v>
      </c>
      <c r="D295" s="1822"/>
      <c r="E295" s="1822"/>
      <c r="F295" s="1822"/>
      <c r="G295" s="1822"/>
      <c r="H295" s="1822"/>
      <c r="I295" s="1822"/>
      <c r="J295" s="1822"/>
      <c r="K295" s="1822"/>
      <c r="L295" s="551">
        <v>34198.33</v>
      </c>
      <c r="M295" s="550"/>
      <c r="N295" s="549"/>
      <c r="V295" s="674"/>
      <c r="W295" s="675"/>
      <c r="X295" s="675"/>
      <c r="AD295" s="675"/>
      <c r="AE295" s="675"/>
      <c r="AF295" s="537" t="s">
        <v>480</v>
      </c>
      <c r="AG295" s="675"/>
      <c r="AH295" s="680"/>
    </row>
    <row r="296" spans="1:34" s="536" customFormat="1" ht="12" x14ac:dyDescent="0.2">
      <c r="A296" s="548"/>
      <c r="B296" s="552"/>
      <c r="C296" s="1822" t="s">
        <v>407</v>
      </c>
      <c r="D296" s="1822"/>
      <c r="E296" s="1822"/>
      <c r="F296" s="1822"/>
      <c r="G296" s="1822"/>
      <c r="H296" s="1822"/>
      <c r="I296" s="1822"/>
      <c r="J296" s="1822"/>
      <c r="K296" s="1822"/>
      <c r="L296" s="551">
        <v>37032.720000000001</v>
      </c>
      <c r="M296" s="550"/>
      <c r="N296" s="549"/>
      <c r="V296" s="674"/>
      <c r="W296" s="675"/>
      <c r="X296" s="675"/>
      <c r="AD296" s="675"/>
      <c r="AE296" s="675"/>
      <c r="AF296" s="537" t="s">
        <v>407</v>
      </c>
      <c r="AG296" s="675"/>
      <c r="AH296" s="680"/>
    </row>
    <row r="297" spans="1:34" s="536" customFormat="1" ht="12" x14ac:dyDescent="0.2">
      <c r="A297" s="548"/>
      <c r="B297" s="552"/>
      <c r="C297" s="1822" t="s">
        <v>204</v>
      </c>
      <c r="D297" s="1822"/>
      <c r="E297" s="1822"/>
      <c r="F297" s="1822"/>
      <c r="G297" s="1822"/>
      <c r="H297" s="1822"/>
      <c r="I297" s="1822"/>
      <c r="J297" s="1822"/>
      <c r="K297" s="1822"/>
      <c r="L297" s="551"/>
      <c r="M297" s="550"/>
      <c r="N297" s="549"/>
      <c r="V297" s="674"/>
      <c r="W297" s="675"/>
      <c r="X297" s="675"/>
      <c r="AD297" s="675"/>
      <c r="AE297" s="675"/>
      <c r="AF297" s="537" t="s">
        <v>204</v>
      </c>
      <c r="AG297" s="675"/>
      <c r="AH297" s="680"/>
    </row>
    <row r="298" spans="1:34" s="536" customFormat="1" ht="12" x14ac:dyDescent="0.2">
      <c r="A298" s="548"/>
      <c r="B298" s="552"/>
      <c r="C298" s="1822" t="s">
        <v>546</v>
      </c>
      <c r="D298" s="1822"/>
      <c r="E298" s="1822"/>
      <c r="F298" s="1822"/>
      <c r="G298" s="1822"/>
      <c r="H298" s="1822"/>
      <c r="I298" s="1822"/>
      <c r="J298" s="1822"/>
      <c r="K298" s="1822"/>
      <c r="L298" s="551">
        <v>637.97</v>
      </c>
      <c r="M298" s="550"/>
      <c r="N298" s="549"/>
      <c r="V298" s="674"/>
      <c r="W298" s="675"/>
      <c r="X298" s="675"/>
      <c r="AD298" s="675"/>
      <c r="AE298" s="675"/>
      <c r="AF298" s="537" t="s">
        <v>546</v>
      </c>
      <c r="AG298" s="675"/>
      <c r="AH298" s="680"/>
    </row>
    <row r="299" spans="1:34" s="536" customFormat="1" ht="12" x14ac:dyDescent="0.2">
      <c r="A299" s="548"/>
      <c r="B299" s="552"/>
      <c r="C299" s="1822" t="s">
        <v>442</v>
      </c>
      <c r="D299" s="1822"/>
      <c r="E299" s="1822"/>
      <c r="F299" s="1822"/>
      <c r="G299" s="1822"/>
      <c r="H299" s="1822"/>
      <c r="I299" s="1822"/>
      <c r="J299" s="1822"/>
      <c r="K299" s="1822"/>
      <c r="L299" s="551">
        <v>937.28</v>
      </c>
      <c r="M299" s="550"/>
      <c r="N299" s="549"/>
      <c r="V299" s="674"/>
      <c r="W299" s="675"/>
      <c r="X299" s="675"/>
      <c r="AD299" s="675"/>
      <c r="AE299" s="675"/>
      <c r="AF299" s="537" t="s">
        <v>442</v>
      </c>
      <c r="AG299" s="675"/>
      <c r="AH299" s="680"/>
    </row>
    <row r="300" spans="1:34" s="536" customFormat="1" ht="12" x14ac:dyDescent="0.2">
      <c r="A300" s="548"/>
      <c r="B300" s="552"/>
      <c r="C300" s="1822" t="s">
        <v>547</v>
      </c>
      <c r="D300" s="1822"/>
      <c r="E300" s="1822"/>
      <c r="F300" s="1822"/>
      <c r="G300" s="1822"/>
      <c r="H300" s="1822"/>
      <c r="I300" s="1822"/>
      <c r="J300" s="1822"/>
      <c r="K300" s="1822"/>
      <c r="L300" s="551">
        <v>34198.33</v>
      </c>
      <c r="M300" s="550"/>
      <c r="N300" s="549"/>
      <c r="V300" s="674"/>
      <c r="W300" s="675"/>
      <c r="X300" s="675"/>
      <c r="AD300" s="675"/>
      <c r="AE300" s="675"/>
      <c r="AF300" s="537" t="s">
        <v>547</v>
      </c>
      <c r="AG300" s="675"/>
      <c r="AH300" s="680"/>
    </row>
    <row r="301" spans="1:34" s="536" customFormat="1" ht="12" x14ac:dyDescent="0.2">
      <c r="A301" s="548"/>
      <c r="B301" s="552"/>
      <c r="C301" s="1822" t="s">
        <v>443</v>
      </c>
      <c r="D301" s="1822"/>
      <c r="E301" s="1822"/>
      <c r="F301" s="1822"/>
      <c r="G301" s="1822"/>
      <c r="H301" s="1822"/>
      <c r="I301" s="1822"/>
      <c r="J301" s="1822"/>
      <c r="K301" s="1822"/>
      <c r="L301" s="551">
        <v>800.65</v>
      </c>
      <c r="M301" s="550"/>
      <c r="N301" s="549"/>
      <c r="V301" s="674"/>
      <c r="W301" s="675"/>
      <c r="X301" s="675"/>
      <c r="AD301" s="675"/>
      <c r="AE301" s="675"/>
      <c r="AF301" s="537" t="s">
        <v>443</v>
      </c>
      <c r="AG301" s="675"/>
      <c r="AH301" s="680"/>
    </row>
    <row r="302" spans="1:34" s="536" customFormat="1" ht="12" x14ac:dyDescent="0.2">
      <c r="A302" s="548"/>
      <c r="B302" s="552"/>
      <c r="C302" s="1822" t="s">
        <v>444</v>
      </c>
      <c r="D302" s="1822"/>
      <c r="E302" s="1822"/>
      <c r="F302" s="1822"/>
      <c r="G302" s="1822"/>
      <c r="H302" s="1822"/>
      <c r="I302" s="1822"/>
      <c r="J302" s="1822"/>
      <c r="K302" s="1822"/>
      <c r="L302" s="551">
        <v>458.49</v>
      </c>
      <c r="M302" s="550"/>
      <c r="N302" s="549"/>
      <c r="V302" s="674"/>
      <c r="W302" s="675"/>
      <c r="X302" s="675"/>
      <c r="AD302" s="675"/>
      <c r="AE302" s="675"/>
      <c r="AF302" s="537" t="s">
        <v>444</v>
      </c>
      <c r="AG302" s="675"/>
      <c r="AH302" s="680"/>
    </row>
    <row r="303" spans="1:34" s="536" customFormat="1" ht="12" x14ac:dyDescent="0.2">
      <c r="A303" s="548"/>
      <c r="B303" s="552"/>
      <c r="C303" s="1822" t="s">
        <v>415</v>
      </c>
      <c r="D303" s="1822"/>
      <c r="E303" s="1822"/>
      <c r="F303" s="1822"/>
      <c r="G303" s="1822"/>
      <c r="H303" s="1822"/>
      <c r="I303" s="1822"/>
      <c r="J303" s="1822"/>
      <c r="K303" s="1822"/>
      <c r="L303" s="551">
        <v>781.05</v>
      </c>
      <c r="M303" s="550"/>
      <c r="N303" s="549"/>
      <c r="V303" s="674"/>
      <c r="W303" s="675"/>
      <c r="X303" s="675"/>
      <c r="AD303" s="675"/>
      <c r="AE303" s="675"/>
      <c r="AF303" s="537" t="s">
        <v>415</v>
      </c>
      <c r="AG303" s="675"/>
      <c r="AH303" s="680"/>
    </row>
    <row r="304" spans="1:34" s="536" customFormat="1" ht="12" x14ac:dyDescent="0.2">
      <c r="A304" s="548"/>
      <c r="B304" s="552"/>
      <c r="C304" s="1822" t="s">
        <v>416</v>
      </c>
      <c r="D304" s="1822"/>
      <c r="E304" s="1822"/>
      <c r="F304" s="1822"/>
      <c r="G304" s="1822"/>
      <c r="H304" s="1822"/>
      <c r="I304" s="1822"/>
      <c r="J304" s="1822"/>
      <c r="K304" s="1822"/>
      <c r="L304" s="551">
        <v>800.65</v>
      </c>
      <c r="M304" s="550"/>
      <c r="N304" s="549"/>
      <c r="V304" s="674"/>
      <c r="W304" s="675"/>
      <c r="X304" s="675"/>
      <c r="AD304" s="675"/>
      <c r="AE304" s="675"/>
      <c r="AF304" s="537" t="s">
        <v>416</v>
      </c>
      <c r="AG304" s="675"/>
      <c r="AH304" s="680"/>
    </row>
    <row r="305" spans="1:34" s="536" customFormat="1" ht="12" x14ac:dyDescent="0.2">
      <c r="A305" s="548"/>
      <c r="B305" s="552"/>
      <c r="C305" s="1822" t="s">
        <v>417</v>
      </c>
      <c r="D305" s="1822"/>
      <c r="E305" s="1822"/>
      <c r="F305" s="1822"/>
      <c r="G305" s="1822"/>
      <c r="H305" s="1822"/>
      <c r="I305" s="1822"/>
      <c r="J305" s="1822"/>
      <c r="K305" s="1822"/>
      <c r="L305" s="551">
        <v>458.49</v>
      </c>
      <c r="M305" s="550"/>
      <c r="N305" s="549"/>
      <c r="V305" s="674"/>
      <c r="W305" s="675"/>
      <c r="X305" s="675"/>
      <c r="AD305" s="675"/>
      <c r="AE305" s="675"/>
      <c r="AF305" s="537" t="s">
        <v>417</v>
      </c>
      <c r="AG305" s="675"/>
      <c r="AH305" s="680"/>
    </row>
    <row r="306" spans="1:34" s="536" customFormat="1" ht="12" x14ac:dyDescent="0.2">
      <c r="A306" s="548"/>
      <c r="B306" s="546"/>
      <c r="C306" s="1819" t="s">
        <v>5393</v>
      </c>
      <c r="D306" s="1819"/>
      <c r="E306" s="1819"/>
      <c r="F306" s="1819"/>
      <c r="G306" s="1819"/>
      <c r="H306" s="1819"/>
      <c r="I306" s="1819"/>
      <c r="J306" s="1819"/>
      <c r="K306" s="1819"/>
      <c r="L306" s="544">
        <v>37032.720000000001</v>
      </c>
      <c r="M306" s="543"/>
      <c r="N306" s="681"/>
      <c r="V306" s="674"/>
      <c r="W306" s="675"/>
      <c r="X306" s="675"/>
      <c r="AD306" s="675"/>
      <c r="AE306" s="675"/>
      <c r="AG306" s="675" t="s">
        <v>5393</v>
      </c>
      <c r="AH306" s="680"/>
    </row>
    <row r="307" spans="1:34" s="536" customFormat="1" ht="12" x14ac:dyDescent="0.2">
      <c r="A307" s="1824" t="s">
        <v>5394</v>
      </c>
      <c r="B307" s="1825"/>
      <c r="C307" s="1825"/>
      <c r="D307" s="1825"/>
      <c r="E307" s="1825"/>
      <c r="F307" s="1825"/>
      <c r="G307" s="1825"/>
      <c r="H307" s="1825"/>
      <c r="I307" s="1825"/>
      <c r="J307" s="1825"/>
      <c r="K307" s="1825"/>
      <c r="L307" s="1825"/>
      <c r="M307" s="1825"/>
      <c r="N307" s="1826"/>
      <c r="V307" s="674" t="s">
        <v>5394</v>
      </c>
      <c r="W307" s="675"/>
      <c r="X307" s="675"/>
      <c r="AD307" s="675"/>
      <c r="AE307" s="675"/>
      <c r="AG307" s="675"/>
      <c r="AH307" s="680"/>
    </row>
    <row r="308" spans="1:34" s="536" customFormat="1" ht="45" x14ac:dyDescent="0.2">
      <c r="A308" s="575" t="s">
        <v>1079</v>
      </c>
      <c r="B308" s="670" t="s">
        <v>5395</v>
      </c>
      <c r="C308" s="1823" t="s">
        <v>5396</v>
      </c>
      <c r="D308" s="1823"/>
      <c r="E308" s="1823"/>
      <c r="F308" s="573" t="s">
        <v>483</v>
      </c>
      <c r="G308" s="573"/>
      <c r="H308" s="573"/>
      <c r="I308" s="573" t="s">
        <v>823</v>
      </c>
      <c r="J308" s="572"/>
      <c r="K308" s="573"/>
      <c r="L308" s="572"/>
      <c r="M308" s="571"/>
      <c r="N308" s="570"/>
      <c r="V308" s="674"/>
      <c r="W308" s="675"/>
      <c r="X308" s="675" t="s">
        <v>5396</v>
      </c>
      <c r="AD308" s="675"/>
      <c r="AE308" s="675"/>
      <c r="AG308" s="675"/>
      <c r="AH308" s="680"/>
    </row>
    <row r="309" spans="1:34" s="536" customFormat="1" ht="33.75" x14ac:dyDescent="0.2">
      <c r="A309" s="609"/>
      <c r="B309" s="552" t="s">
        <v>310</v>
      </c>
      <c r="C309" s="1822" t="s">
        <v>311</v>
      </c>
      <c r="D309" s="1822"/>
      <c r="E309" s="1822"/>
      <c r="F309" s="1822"/>
      <c r="G309" s="1822"/>
      <c r="H309" s="1822"/>
      <c r="I309" s="1822"/>
      <c r="J309" s="1822"/>
      <c r="K309" s="1822"/>
      <c r="L309" s="1822"/>
      <c r="M309" s="1822"/>
      <c r="N309" s="1827"/>
      <c r="V309" s="674"/>
      <c r="W309" s="675"/>
      <c r="X309" s="675"/>
      <c r="Z309" s="537" t="s">
        <v>311</v>
      </c>
      <c r="AD309" s="675"/>
      <c r="AE309" s="675"/>
      <c r="AG309" s="675"/>
      <c r="AH309" s="680"/>
    </row>
    <row r="310" spans="1:34" s="536" customFormat="1" ht="12" x14ac:dyDescent="0.2">
      <c r="A310" s="605"/>
      <c r="B310" s="552" t="s">
        <v>185</v>
      </c>
      <c r="C310" s="1822" t="s">
        <v>312</v>
      </c>
      <c r="D310" s="1822"/>
      <c r="E310" s="1822"/>
      <c r="F310" s="562"/>
      <c r="G310" s="562"/>
      <c r="H310" s="562"/>
      <c r="I310" s="562"/>
      <c r="J310" s="604">
        <v>51.09</v>
      </c>
      <c r="K310" s="562" t="s">
        <v>313</v>
      </c>
      <c r="L310" s="604">
        <v>38.32</v>
      </c>
      <c r="M310" s="603"/>
      <c r="N310" s="602"/>
      <c r="V310" s="674"/>
      <c r="W310" s="675"/>
      <c r="X310" s="675"/>
      <c r="AA310" s="537" t="s">
        <v>312</v>
      </c>
      <c r="AD310" s="675"/>
      <c r="AE310" s="675"/>
      <c r="AG310" s="675"/>
      <c r="AH310" s="680"/>
    </row>
    <row r="311" spans="1:34" s="536" customFormat="1" ht="12" x14ac:dyDescent="0.2">
      <c r="A311" s="605"/>
      <c r="B311" s="552" t="s">
        <v>186</v>
      </c>
      <c r="C311" s="1822" t="s">
        <v>344</v>
      </c>
      <c r="D311" s="1822"/>
      <c r="E311" s="1822"/>
      <c r="F311" s="562"/>
      <c r="G311" s="562"/>
      <c r="H311" s="562"/>
      <c r="I311" s="562"/>
      <c r="J311" s="604">
        <v>154.85</v>
      </c>
      <c r="K311" s="562" t="s">
        <v>313</v>
      </c>
      <c r="L311" s="604">
        <v>116.14</v>
      </c>
      <c r="M311" s="603"/>
      <c r="N311" s="602"/>
      <c r="V311" s="674"/>
      <c r="W311" s="675"/>
      <c r="X311" s="675"/>
      <c r="AA311" s="537" t="s">
        <v>344</v>
      </c>
      <c r="AD311" s="675"/>
      <c r="AE311" s="675"/>
      <c r="AG311" s="675"/>
      <c r="AH311" s="680"/>
    </row>
    <row r="312" spans="1:34" s="536" customFormat="1" ht="12" x14ac:dyDescent="0.2">
      <c r="A312" s="605"/>
      <c r="B312" s="552" t="s">
        <v>187</v>
      </c>
      <c r="C312" s="1822" t="s">
        <v>345</v>
      </c>
      <c r="D312" s="1822"/>
      <c r="E312" s="1822"/>
      <c r="F312" s="562"/>
      <c r="G312" s="562"/>
      <c r="H312" s="562"/>
      <c r="I312" s="562"/>
      <c r="J312" s="604">
        <v>19.329999999999998</v>
      </c>
      <c r="K312" s="562" t="s">
        <v>313</v>
      </c>
      <c r="L312" s="604">
        <v>14.5</v>
      </c>
      <c r="M312" s="603"/>
      <c r="N312" s="602"/>
      <c r="V312" s="674"/>
      <c r="W312" s="675"/>
      <c r="X312" s="675"/>
      <c r="AA312" s="537" t="s">
        <v>345</v>
      </c>
      <c r="AD312" s="675"/>
      <c r="AE312" s="675"/>
      <c r="AG312" s="675"/>
      <c r="AH312" s="680"/>
    </row>
    <row r="313" spans="1:34" s="536" customFormat="1" ht="12" x14ac:dyDescent="0.2">
      <c r="A313" s="605"/>
      <c r="B313" s="552" t="s">
        <v>188</v>
      </c>
      <c r="C313" s="1822" t="s">
        <v>475</v>
      </c>
      <c r="D313" s="1822"/>
      <c r="E313" s="1822"/>
      <c r="F313" s="562"/>
      <c r="G313" s="562"/>
      <c r="H313" s="562"/>
      <c r="I313" s="562"/>
      <c r="J313" s="604">
        <v>17.41</v>
      </c>
      <c r="K313" s="562"/>
      <c r="L313" s="604">
        <v>10.45</v>
      </c>
      <c r="M313" s="603"/>
      <c r="N313" s="602"/>
      <c r="V313" s="674"/>
      <c r="W313" s="675"/>
      <c r="X313" s="675"/>
      <c r="AA313" s="537" t="s">
        <v>475</v>
      </c>
      <c r="AD313" s="675"/>
      <c r="AE313" s="675"/>
      <c r="AG313" s="675"/>
      <c r="AH313" s="680"/>
    </row>
    <row r="314" spans="1:34" s="536" customFormat="1" ht="12" x14ac:dyDescent="0.2">
      <c r="A314" s="605"/>
      <c r="B314" s="552"/>
      <c r="C314" s="1822" t="s">
        <v>314</v>
      </c>
      <c r="D314" s="1822"/>
      <c r="E314" s="1822"/>
      <c r="F314" s="562" t="s">
        <v>315</v>
      </c>
      <c r="G314" s="562" t="s">
        <v>2191</v>
      </c>
      <c r="H314" s="562" t="s">
        <v>313</v>
      </c>
      <c r="I314" s="562" t="s">
        <v>821</v>
      </c>
      <c r="J314" s="604"/>
      <c r="K314" s="562"/>
      <c r="L314" s="604"/>
      <c r="M314" s="603"/>
      <c r="N314" s="602"/>
      <c r="V314" s="674"/>
      <c r="W314" s="675"/>
      <c r="X314" s="675"/>
      <c r="AB314" s="537" t="s">
        <v>314</v>
      </c>
      <c r="AD314" s="675"/>
      <c r="AE314" s="675"/>
      <c r="AG314" s="675"/>
      <c r="AH314" s="680"/>
    </row>
    <row r="315" spans="1:34" s="536" customFormat="1" ht="12" x14ac:dyDescent="0.2">
      <c r="A315" s="605"/>
      <c r="B315" s="552"/>
      <c r="C315" s="1822" t="s">
        <v>348</v>
      </c>
      <c r="D315" s="1822"/>
      <c r="E315" s="1822"/>
      <c r="F315" s="562" t="s">
        <v>315</v>
      </c>
      <c r="G315" s="562" t="s">
        <v>2815</v>
      </c>
      <c r="H315" s="562" t="s">
        <v>313</v>
      </c>
      <c r="I315" s="562" t="s">
        <v>5397</v>
      </c>
      <c r="J315" s="604"/>
      <c r="K315" s="562"/>
      <c r="L315" s="604"/>
      <c r="M315" s="603"/>
      <c r="N315" s="602"/>
      <c r="V315" s="674"/>
      <c r="W315" s="675"/>
      <c r="X315" s="675"/>
      <c r="AB315" s="537" t="s">
        <v>348</v>
      </c>
      <c r="AD315" s="675"/>
      <c r="AE315" s="675"/>
      <c r="AG315" s="675"/>
      <c r="AH315" s="680"/>
    </row>
    <row r="316" spans="1:34" s="536" customFormat="1" ht="12" x14ac:dyDescent="0.2">
      <c r="A316" s="605"/>
      <c r="B316" s="552"/>
      <c r="C316" s="1828" t="s">
        <v>318</v>
      </c>
      <c r="D316" s="1828"/>
      <c r="E316" s="1828"/>
      <c r="F316" s="608"/>
      <c r="G316" s="608"/>
      <c r="H316" s="608"/>
      <c r="I316" s="608"/>
      <c r="J316" s="607">
        <v>223.35</v>
      </c>
      <c r="K316" s="608"/>
      <c r="L316" s="607">
        <v>164.91</v>
      </c>
      <c r="M316" s="601"/>
      <c r="N316" s="606"/>
      <c r="V316" s="674"/>
      <c r="W316" s="675"/>
      <c r="X316" s="675"/>
      <c r="AC316" s="537" t="s">
        <v>318</v>
      </c>
      <c r="AD316" s="675"/>
      <c r="AE316" s="675"/>
      <c r="AG316" s="675"/>
      <c r="AH316" s="680"/>
    </row>
    <row r="317" spans="1:34" s="536" customFormat="1" ht="12" x14ac:dyDescent="0.2">
      <c r="A317" s="605"/>
      <c r="B317" s="552"/>
      <c r="C317" s="1822" t="s">
        <v>319</v>
      </c>
      <c r="D317" s="1822"/>
      <c r="E317" s="1822"/>
      <c r="F317" s="562"/>
      <c r="G317" s="562"/>
      <c r="H317" s="562"/>
      <c r="I317" s="562"/>
      <c r="J317" s="604"/>
      <c r="K317" s="562"/>
      <c r="L317" s="604">
        <v>52.82</v>
      </c>
      <c r="M317" s="603"/>
      <c r="N317" s="602"/>
      <c r="V317" s="674"/>
      <c r="W317" s="675"/>
      <c r="X317" s="675"/>
      <c r="AB317" s="537" t="s">
        <v>319</v>
      </c>
      <c r="AD317" s="675"/>
      <c r="AE317" s="675"/>
      <c r="AG317" s="675"/>
      <c r="AH317" s="680"/>
    </row>
    <row r="318" spans="1:34" s="536" customFormat="1" ht="33.75" x14ac:dyDescent="0.2">
      <c r="A318" s="605"/>
      <c r="B318" s="552" t="s">
        <v>1631</v>
      </c>
      <c r="C318" s="1822" t="s">
        <v>1632</v>
      </c>
      <c r="D318" s="1822"/>
      <c r="E318" s="1822"/>
      <c r="F318" s="562" t="s">
        <v>322</v>
      </c>
      <c r="G318" s="562" t="s">
        <v>1633</v>
      </c>
      <c r="H318" s="562"/>
      <c r="I318" s="562" t="s">
        <v>1633</v>
      </c>
      <c r="J318" s="604"/>
      <c r="K318" s="562"/>
      <c r="L318" s="604">
        <v>51.24</v>
      </c>
      <c r="M318" s="603"/>
      <c r="N318" s="602"/>
      <c r="V318" s="674"/>
      <c r="W318" s="675"/>
      <c r="X318" s="675"/>
      <c r="AB318" s="537" t="s">
        <v>1632</v>
      </c>
      <c r="AD318" s="675"/>
      <c r="AE318" s="675"/>
      <c r="AG318" s="675"/>
      <c r="AH318" s="680"/>
    </row>
    <row r="319" spans="1:34" s="536" customFormat="1" ht="33.75" x14ac:dyDescent="0.2">
      <c r="A319" s="605"/>
      <c r="B319" s="552" t="s">
        <v>1634</v>
      </c>
      <c r="C319" s="1822" t="s">
        <v>1635</v>
      </c>
      <c r="D319" s="1822"/>
      <c r="E319" s="1822"/>
      <c r="F319" s="562" t="s">
        <v>322</v>
      </c>
      <c r="G319" s="562" t="s">
        <v>786</v>
      </c>
      <c r="H319" s="562"/>
      <c r="I319" s="562" t="s">
        <v>786</v>
      </c>
      <c r="J319" s="604"/>
      <c r="K319" s="562"/>
      <c r="L319" s="604">
        <v>26.94</v>
      </c>
      <c r="M319" s="603"/>
      <c r="N319" s="602"/>
      <c r="V319" s="674"/>
      <c r="W319" s="675"/>
      <c r="X319" s="675"/>
      <c r="AB319" s="537" t="s">
        <v>1635</v>
      </c>
      <c r="AD319" s="675"/>
      <c r="AE319" s="675"/>
      <c r="AG319" s="675"/>
      <c r="AH319" s="680"/>
    </row>
    <row r="320" spans="1:34" s="536" customFormat="1" ht="12" x14ac:dyDescent="0.2">
      <c r="A320" s="569"/>
      <c r="B320" s="671"/>
      <c r="C320" s="1823" t="s">
        <v>327</v>
      </c>
      <c r="D320" s="1823"/>
      <c r="E320" s="1823"/>
      <c r="F320" s="573"/>
      <c r="G320" s="573"/>
      <c r="H320" s="573"/>
      <c r="I320" s="573"/>
      <c r="J320" s="572"/>
      <c r="K320" s="573"/>
      <c r="L320" s="572">
        <v>243.09</v>
      </c>
      <c r="M320" s="601"/>
      <c r="N320" s="570"/>
      <c r="V320" s="674"/>
      <c r="W320" s="675"/>
      <c r="X320" s="675"/>
      <c r="AD320" s="675" t="s">
        <v>327</v>
      </c>
      <c r="AE320" s="675"/>
      <c r="AG320" s="675"/>
      <c r="AH320" s="680"/>
    </row>
    <row r="321" spans="1:34" s="536" customFormat="1" ht="303.75" x14ac:dyDescent="0.2">
      <c r="A321" s="575" t="s">
        <v>916</v>
      </c>
      <c r="B321" s="670" t="s">
        <v>5398</v>
      </c>
      <c r="C321" s="1823" t="s">
        <v>5399</v>
      </c>
      <c r="D321" s="1823"/>
      <c r="E321" s="1823"/>
      <c r="F321" s="573" t="s">
        <v>617</v>
      </c>
      <c r="G321" s="573"/>
      <c r="H321" s="573"/>
      <c r="I321" s="573" t="s">
        <v>185</v>
      </c>
      <c r="J321" s="572">
        <v>65041.13</v>
      </c>
      <c r="K321" s="573" t="s">
        <v>629</v>
      </c>
      <c r="L321" s="572">
        <v>14340.31</v>
      </c>
      <c r="M321" s="571">
        <v>4.59</v>
      </c>
      <c r="N321" s="570">
        <v>65822</v>
      </c>
      <c r="V321" s="674"/>
      <c r="W321" s="675"/>
      <c r="X321" s="675" t="s">
        <v>5399</v>
      </c>
      <c r="AD321" s="675"/>
      <c r="AE321" s="675"/>
      <c r="AG321" s="675"/>
      <c r="AH321" s="680"/>
    </row>
    <row r="322" spans="1:34" s="536" customFormat="1" ht="12" x14ac:dyDescent="0.2">
      <c r="A322" s="569"/>
      <c r="B322" s="671"/>
      <c r="C322" s="665" t="s">
        <v>630</v>
      </c>
      <c r="D322" s="666"/>
      <c r="E322" s="666"/>
      <c r="F322" s="563"/>
      <c r="G322" s="563"/>
      <c r="H322" s="563"/>
      <c r="I322" s="563"/>
      <c r="J322" s="566"/>
      <c r="K322" s="563"/>
      <c r="L322" s="566"/>
      <c r="M322" s="565"/>
      <c r="N322" s="564"/>
      <c r="V322" s="674"/>
      <c r="W322" s="675"/>
      <c r="X322" s="675"/>
      <c r="AD322" s="675"/>
      <c r="AE322" s="675"/>
      <c r="AG322" s="675"/>
      <c r="AH322" s="680"/>
    </row>
    <row r="323" spans="1:34" s="536" customFormat="1" ht="22.5" x14ac:dyDescent="0.2">
      <c r="A323" s="609"/>
      <c r="B323" s="552" t="s">
        <v>1638</v>
      </c>
      <c r="C323" s="1822" t="s">
        <v>632</v>
      </c>
      <c r="D323" s="1822"/>
      <c r="E323" s="1822"/>
      <c r="F323" s="1822"/>
      <c r="G323" s="1822"/>
      <c r="H323" s="1822"/>
      <c r="I323" s="1822"/>
      <c r="J323" s="1822"/>
      <c r="K323" s="1822"/>
      <c r="L323" s="1822"/>
      <c r="M323" s="1822"/>
      <c r="N323" s="1827"/>
      <c r="V323" s="674"/>
      <c r="W323" s="675"/>
      <c r="X323" s="675"/>
      <c r="Z323" s="537" t="s">
        <v>632</v>
      </c>
      <c r="AD323" s="675"/>
      <c r="AE323" s="675"/>
      <c r="AG323" s="675"/>
      <c r="AH323" s="680"/>
    </row>
    <row r="324" spans="1:34" s="536" customFormat="1" ht="33.75" x14ac:dyDescent="0.2">
      <c r="A324" s="575" t="s">
        <v>917</v>
      </c>
      <c r="B324" s="670" t="s">
        <v>1639</v>
      </c>
      <c r="C324" s="1823" t="s">
        <v>1640</v>
      </c>
      <c r="D324" s="1823"/>
      <c r="E324" s="1823"/>
      <c r="F324" s="573" t="s">
        <v>307</v>
      </c>
      <c r="G324" s="573"/>
      <c r="H324" s="573"/>
      <c r="I324" s="573" t="s">
        <v>5035</v>
      </c>
      <c r="J324" s="572"/>
      <c r="K324" s="573"/>
      <c r="L324" s="572"/>
      <c r="M324" s="571"/>
      <c r="N324" s="570"/>
      <c r="V324" s="674"/>
      <c r="W324" s="675"/>
      <c r="X324" s="675" t="s">
        <v>1640</v>
      </c>
      <c r="AD324" s="675"/>
      <c r="AE324" s="675"/>
      <c r="AG324" s="675"/>
      <c r="AH324" s="680"/>
    </row>
    <row r="325" spans="1:34" s="536" customFormat="1" ht="12" x14ac:dyDescent="0.2">
      <c r="A325" s="676"/>
      <c r="B325" s="664"/>
      <c r="C325" s="1822" t="s">
        <v>5400</v>
      </c>
      <c r="D325" s="1822"/>
      <c r="E325" s="1822"/>
      <c r="F325" s="1822"/>
      <c r="G325" s="1822"/>
      <c r="H325" s="1822"/>
      <c r="I325" s="1822"/>
      <c r="J325" s="1822"/>
      <c r="K325" s="1822"/>
      <c r="L325" s="1822"/>
      <c r="M325" s="1822"/>
      <c r="N325" s="1827"/>
      <c r="V325" s="674"/>
      <c r="W325" s="675"/>
      <c r="X325" s="675"/>
      <c r="Y325" s="537" t="s">
        <v>5400</v>
      </c>
      <c r="AD325" s="675"/>
      <c r="AE325" s="675"/>
      <c r="AG325" s="675"/>
      <c r="AH325" s="680"/>
    </row>
    <row r="326" spans="1:34" s="536" customFormat="1" ht="33.75" x14ac:dyDescent="0.2">
      <c r="A326" s="609"/>
      <c r="B326" s="552" t="s">
        <v>310</v>
      </c>
      <c r="C326" s="1822" t="s">
        <v>311</v>
      </c>
      <c r="D326" s="1822"/>
      <c r="E326" s="1822"/>
      <c r="F326" s="1822"/>
      <c r="G326" s="1822"/>
      <c r="H326" s="1822"/>
      <c r="I326" s="1822"/>
      <c r="J326" s="1822"/>
      <c r="K326" s="1822"/>
      <c r="L326" s="1822"/>
      <c r="M326" s="1822"/>
      <c r="N326" s="1827"/>
      <c r="V326" s="674"/>
      <c r="W326" s="675"/>
      <c r="X326" s="675"/>
      <c r="Z326" s="537" t="s">
        <v>311</v>
      </c>
      <c r="AD326" s="675"/>
      <c r="AE326" s="675"/>
      <c r="AG326" s="675"/>
      <c r="AH326" s="680"/>
    </row>
    <row r="327" spans="1:34" s="536" customFormat="1" ht="12" x14ac:dyDescent="0.2">
      <c r="A327" s="605"/>
      <c r="B327" s="552" t="s">
        <v>185</v>
      </c>
      <c r="C327" s="1822" t="s">
        <v>312</v>
      </c>
      <c r="D327" s="1822"/>
      <c r="E327" s="1822"/>
      <c r="F327" s="562"/>
      <c r="G327" s="562"/>
      <c r="H327" s="562"/>
      <c r="I327" s="562"/>
      <c r="J327" s="604">
        <v>153.26</v>
      </c>
      <c r="K327" s="562" t="s">
        <v>313</v>
      </c>
      <c r="L327" s="604">
        <v>111.11</v>
      </c>
      <c r="M327" s="603"/>
      <c r="N327" s="602"/>
      <c r="V327" s="674"/>
      <c r="W327" s="675"/>
      <c r="X327" s="675"/>
      <c r="AA327" s="537" t="s">
        <v>312</v>
      </c>
      <c r="AD327" s="675"/>
      <c r="AE327" s="675"/>
      <c r="AG327" s="675"/>
      <c r="AH327" s="680"/>
    </row>
    <row r="328" spans="1:34" s="536" customFormat="1" ht="12" x14ac:dyDescent="0.2">
      <c r="A328" s="605"/>
      <c r="B328" s="552" t="s">
        <v>186</v>
      </c>
      <c r="C328" s="1822" t="s">
        <v>344</v>
      </c>
      <c r="D328" s="1822"/>
      <c r="E328" s="1822"/>
      <c r="F328" s="562"/>
      <c r="G328" s="562"/>
      <c r="H328" s="562"/>
      <c r="I328" s="562"/>
      <c r="J328" s="604">
        <v>1.81</v>
      </c>
      <c r="K328" s="562" t="s">
        <v>313</v>
      </c>
      <c r="L328" s="604">
        <v>1.31</v>
      </c>
      <c r="M328" s="603"/>
      <c r="N328" s="602"/>
      <c r="V328" s="674"/>
      <c r="W328" s="675"/>
      <c r="X328" s="675"/>
      <c r="AA328" s="537" t="s">
        <v>344</v>
      </c>
      <c r="AD328" s="675"/>
      <c r="AE328" s="675"/>
      <c r="AG328" s="675"/>
      <c r="AH328" s="680"/>
    </row>
    <row r="329" spans="1:34" s="536" customFormat="1" ht="12" x14ac:dyDescent="0.2">
      <c r="A329" s="605"/>
      <c r="B329" s="552" t="s">
        <v>187</v>
      </c>
      <c r="C329" s="1822" t="s">
        <v>345</v>
      </c>
      <c r="D329" s="1822"/>
      <c r="E329" s="1822"/>
      <c r="F329" s="562"/>
      <c r="G329" s="562"/>
      <c r="H329" s="562"/>
      <c r="I329" s="562"/>
      <c r="J329" s="604">
        <v>0.26</v>
      </c>
      <c r="K329" s="562" t="s">
        <v>313</v>
      </c>
      <c r="L329" s="604">
        <v>0.19</v>
      </c>
      <c r="M329" s="603"/>
      <c r="N329" s="602"/>
      <c r="V329" s="674"/>
      <c r="W329" s="675"/>
      <c r="X329" s="675"/>
      <c r="AA329" s="537" t="s">
        <v>345</v>
      </c>
      <c r="AD329" s="675"/>
      <c r="AE329" s="675"/>
      <c r="AG329" s="675"/>
      <c r="AH329" s="680"/>
    </row>
    <row r="330" spans="1:34" s="536" customFormat="1" ht="12" x14ac:dyDescent="0.2">
      <c r="A330" s="605"/>
      <c r="B330" s="552" t="s">
        <v>188</v>
      </c>
      <c r="C330" s="1822" t="s">
        <v>475</v>
      </c>
      <c r="D330" s="1822"/>
      <c r="E330" s="1822"/>
      <c r="F330" s="562"/>
      <c r="G330" s="562"/>
      <c r="H330" s="562"/>
      <c r="I330" s="562"/>
      <c r="J330" s="604">
        <v>98.83</v>
      </c>
      <c r="K330" s="562"/>
      <c r="L330" s="604">
        <v>57.32</v>
      </c>
      <c r="M330" s="603"/>
      <c r="N330" s="602"/>
      <c r="V330" s="674"/>
      <c r="W330" s="675"/>
      <c r="X330" s="675"/>
      <c r="AA330" s="537" t="s">
        <v>475</v>
      </c>
      <c r="AD330" s="675"/>
      <c r="AE330" s="675"/>
      <c r="AG330" s="675"/>
      <c r="AH330" s="680"/>
    </row>
    <row r="331" spans="1:34" s="536" customFormat="1" ht="12" x14ac:dyDescent="0.2">
      <c r="A331" s="605"/>
      <c r="B331" s="552"/>
      <c r="C331" s="1822" t="s">
        <v>314</v>
      </c>
      <c r="D331" s="1822"/>
      <c r="E331" s="1822"/>
      <c r="F331" s="562" t="s">
        <v>315</v>
      </c>
      <c r="G331" s="562" t="s">
        <v>1628</v>
      </c>
      <c r="H331" s="562" t="s">
        <v>313</v>
      </c>
      <c r="I331" s="562" t="s">
        <v>5401</v>
      </c>
      <c r="J331" s="604"/>
      <c r="K331" s="562"/>
      <c r="L331" s="604"/>
      <c r="M331" s="603"/>
      <c r="N331" s="602"/>
      <c r="V331" s="674"/>
      <c r="W331" s="675"/>
      <c r="X331" s="675"/>
      <c r="AB331" s="537" t="s">
        <v>314</v>
      </c>
      <c r="AD331" s="675"/>
      <c r="AE331" s="675"/>
      <c r="AG331" s="675"/>
      <c r="AH331" s="680"/>
    </row>
    <row r="332" spans="1:34" s="536" customFormat="1" ht="12" x14ac:dyDescent="0.2">
      <c r="A332" s="605"/>
      <c r="B332" s="552"/>
      <c r="C332" s="1822" t="s">
        <v>348</v>
      </c>
      <c r="D332" s="1822"/>
      <c r="E332" s="1822"/>
      <c r="F332" s="562" t="s">
        <v>315</v>
      </c>
      <c r="G332" s="562" t="s">
        <v>695</v>
      </c>
      <c r="H332" s="562" t="s">
        <v>313</v>
      </c>
      <c r="I332" s="562" t="s">
        <v>5402</v>
      </c>
      <c r="J332" s="604"/>
      <c r="K332" s="562"/>
      <c r="L332" s="604"/>
      <c r="M332" s="603"/>
      <c r="N332" s="602"/>
      <c r="V332" s="674"/>
      <c r="W332" s="675"/>
      <c r="X332" s="675"/>
      <c r="AB332" s="537" t="s">
        <v>348</v>
      </c>
      <c r="AD332" s="675"/>
      <c r="AE332" s="675"/>
      <c r="AG332" s="675"/>
      <c r="AH332" s="680"/>
    </row>
    <row r="333" spans="1:34" s="536" customFormat="1" ht="12" x14ac:dyDescent="0.2">
      <c r="A333" s="605"/>
      <c r="B333" s="552"/>
      <c r="C333" s="1828" t="s">
        <v>318</v>
      </c>
      <c r="D333" s="1828"/>
      <c r="E333" s="1828"/>
      <c r="F333" s="608"/>
      <c r="G333" s="608"/>
      <c r="H333" s="608"/>
      <c r="I333" s="608"/>
      <c r="J333" s="607">
        <v>253.9</v>
      </c>
      <c r="K333" s="608"/>
      <c r="L333" s="607">
        <v>169.74</v>
      </c>
      <c r="M333" s="601"/>
      <c r="N333" s="606"/>
      <c r="V333" s="674"/>
      <c r="W333" s="675"/>
      <c r="X333" s="675"/>
      <c r="AC333" s="537" t="s">
        <v>318</v>
      </c>
      <c r="AD333" s="675"/>
      <c r="AE333" s="675"/>
      <c r="AG333" s="675"/>
      <c r="AH333" s="680"/>
    </row>
    <row r="334" spans="1:34" s="536" customFormat="1" ht="12" x14ac:dyDescent="0.2">
      <c r="A334" s="605"/>
      <c r="B334" s="552"/>
      <c r="C334" s="1822" t="s">
        <v>319</v>
      </c>
      <c r="D334" s="1822"/>
      <c r="E334" s="1822"/>
      <c r="F334" s="562"/>
      <c r="G334" s="562"/>
      <c r="H334" s="562"/>
      <c r="I334" s="562"/>
      <c r="J334" s="604"/>
      <c r="K334" s="562"/>
      <c r="L334" s="604">
        <v>111.3</v>
      </c>
      <c r="M334" s="603"/>
      <c r="N334" s="602"/>
      <c r="V334" s="674"/>
      <c r="W334" s="675"/>
      <c r="X334" s="675"/>
      <c r="AB334" s="537" t="s">
        <v>319</v>
      </c>
      <c r="AD334" s="675"/>
      <c r="AE334" s="675"/>
      <c r="AG334" s="675"/>
      <c r="AH334" s="680"/>
    </row>
    <row r="335" spans="1:34" s="536" customFormat="1" ht="33.75" x14ac:dyDescent="0.2">
      <c r="A335" s="605"/>
      <c r="B335" s="552" t="s">
        <v>1631</v>
      </c>
      <c r="C335" s="1822" t="s">
        <v>1632</v>
      </c>
      <c r="D335" s="1822"/>
      <c r="E335" s="1822"/>
      <c r="F335" s="562" t="s">
        <v>322</v>
      </c>
      <c r="G335" s="562" t="s">
        <v>1633</v>
      </c>
      <c r="H335" s="562"/>
      <c r="I335" s="562" t="s">
        <v>1633</v>
      </c>
      <c r="J335" s="604"/>
      <c r="K335" s="562"/>
      <c r="L335" s="604">
        <v>107.96</v>
      </c>
      <c r="M335" s="603"/>
      <c r="N335" s="602"/>
      <c r="V335" s="674"/>
      <c r="W335" s="675"/>
      <c r="X335" s="675"/>
      <c r="AB335" s="537" t="s">
        <v>1632</v>
      </c>
      <c r="AD335" s="675"/>
      <c r="AE335" s="675"/>
      <c r="AG335" s="675"/>
      <c r="AH335" s="680"/>
    </row>
    <row r="336" spans="1:34" s="536" customFormat="1" ht="33.75" x14ac:dyDescent="0.2">
      <c r="A336" s="605"/>
      <c r="B336" s="552" t="s">
        <v>1634</v>
      </c>
      <c r="C336" s="1822" t="s">
        <v>1635</v>
      </c>
      <c r="D336" s="1822"/>
      <c r="E336" s="1822"/>
      <c r="F336" s="562" t="s">
        <v>322</v>
      </c>
      <c r="G336" s="562" t="s">
        <v>786</v>
      </c>
      <c r="H336" s="562"/>
      <c r="I336" s="562" t="s">
        <v>786</v>
      </c>
      <c r="J336" s="604"/>
      <c r="K336" s="562"/>
      <c r="L336" s="604">
        <v>56.76</v>
      </c>
      <c r="M336" s="603"/>
      <c r="N336" s="602"/>
      <c r="V336" s="674"/>
      <c r="W336" s="675"/>
      <c r="X336" s="675"/>
      <c r="AB336" s="537" t="s">
        <v>1635</v>
      </c>
      <c r="AD336" s="675"/>
      <c r="AE336" s="675"/>
      <c r="AG336" s="675"/>
      <c r="AH336" s="680"/>
    </row>
    <row r="337" spans="1:34" s="536" customFormat="1" ht="12" x14ac:dyDescent="0.2">
      <c r="A337" s="569"/>
      <c r="B337" s="671"/>
      <c r="C337" s="1823" t="s">
        <v>327</v>
      </c>
      <c r="D337" s="1823"/>
      <c r="E337" s="1823"/>
      <c r="F337" s="573"/>
      <c r="G337" s="573"/>
      <c r="H337" s="573"/>
      <c r="I337" s="573"/>
      <c r="J337" s="572"/>
      <c r="K337" s="573"/>
      <c r="L337" s="572">
        <v>334.46</v>
      </c>
      <c r="M337" s="601"/>
      <c r="N337" s="570"/>
      <c r="V337" s="674"/>
      <c r="W337" s="675"/>
      <c r="X337" s="675"/>
      <c r="AD337" s="675" t="s">
        <v>327</v>
      </c>
      <c r="AE337" s="675"/>
      <c r="AG337" s="675"/>
      <c r="AH337" s="680"/>
    </row>
    <row r="338" spans="1:34" s="536" customFormat="1" ht="33.75" x14ac:dyDescent="0.2">
      <c r="A338" s="575" t="s">
        <v>761</v>
      </c>
      <c r="B338" s="670" t="s">
        <v>5403</v>
      </c>
      <c r="C338" s="1823" t="s">
        <v>5404</v>
      </c>
      <c r="D338" s="1823"/>
      <c r="E338" s="1823"/>
      <c r="F338" s="573" t="s">
        <v>307</v>
      </c>
      <c r="G338" s="573"/>
      <c r="H338" s="573"/>
      <c r="I338" s="573" t="s">
        <v>890</v>
      </c>
      <c r="J338" s="572"/>
      <c r="K338" s="573"/>
      <c r="L338" s="572"/>
      <c r="M338" s="571"/>
      <c r="N338" s="570"/>
      <c r="V338" s="674"/>
      <c r="W338" s="675"/>
      <c r="X338" s="675" t="s">
        <v>5404</v>
      </c>
      <c r="AD338" s="675"/>
      <c r="AE338" s="675"/>
      <c r="AG338" s="675"/>
      <c r="AH338" s="680"/>
    </row>
    <row r="339" spans="1:34" s="536" customFormat="1" ht="12" x14ac:dyDescent="0.2">
      <c r="A339" s="676"/>
      <c r="B339" s="664"/>
      <c r="C339" s="1822" t="s">
        <v>5405</v>
      </c>
      <c r="D339" s="1822"/>
      <c r="E339" s="1822"/>
      <c r="F339" s="1822"/>
      <c r="G339" s="1822"/>
      <c r="H339" s="1822"/>
      <c r="I339" s="1822"/>
      <c r="J339" s="1822"/>
      <c r="K339" s="1822"/>
      <c r="L339" s="1822"/>
      <c r="M339" s="1822"/>
      <c r="N339" s="1827"/>
      <c r="V339" s="674"/>
      <c r="W339" s="675"/>
      <c r="X339" s="675"/>
      <c r="Y339" s="537" t="s">
        <v>5405</v>
      </c>
      <c r="AD339" s="675"/>
      <c r="AE339" s="675"/>
      <c r="AG339" s="675"/>
      <c r="AH339" s="680"/>
    </row>
    <row r="340" spans="1:34" s="536" customFormat="1" ht="33.75" x14ac:dyDescent="0.2">
      <c r="A340" s="609"/>
      <c r="B340" s="552" t="s">
        <v>310</v>
      </c>
      <c r="C340" s="1822" t="s">
        <v>311</v>
      </c>
      <c r="D340" s="1822"/>
      <c r="E340" s="1822"/>
      <c r="F340" s="1822"/>
      <c r="G340" s="1822"/>
      <c r="H340" s="1822"/>
      <c r="I340" s="1822"/>
      <c r="J340" s="1822"/>
      <c r="K340" s="1822"/>
      <c r="L340" s="1822"/>
      <c r="M340" s="1822"/>
      <c r="N340" s="1827"/>
      <c r="V340" s="674"/>
      <c r="W340" s="675"/>
      <c r="X340" s="675"/>
      <c r="Z340" s="537" t="s">
        <v>311</v>
      </c>
      <c r="AD340" s="675"/>
      <c r="AE340" s="675"/>
      <c r="AG340" s="675"/>
      <c r="AH340" s="680"/>
    </row>
    <row r="341" spans="1:34" s="536" customFormat="1" ht="12" x14ac:dyDescent="0.2">
      <c r="A341" s="605"/>
      <c r="B341" s="552" t="s">
        <v>185</v>
      </c>
      <c r="C341" s="1822" t="s">
        <v>312</v>
      </c>
      <c r="D341" s="1822"/>
      <c r="E341" s="1822"/>
      <c r="F341" s="562"/>
      <c r="G341" s="562"/>
      <c r="H341" s="562"/>
      <c r="I341" s="562"/>
      <c r="J341" s="604">
        <v>332.22</v>
      </c>
      <c r="K341" s="562" t="s">
        <v>313</v>
      </c>
      <c r="L341" s="604">
        <v>83.06</v>
      </c>
      <c r="M341" s="603"/>
      <c r="N341" s="602"/>
      <c r="V341" s="674"/>
      <c r="W341" s="675"/>
      <c r="X341" s="675"/>
      <c r="AA341" s="537" t="s">
        <v>312</v>
      </c>
      <c r="AD341" s="675"/>
      <c r="AE341" s="675"/>
      <c r="AG341" s="675"/>
      <c r="AH341" s="680"/>
    </row>
    <row r="342" spans="1:34" s="536" customFormat="1" ht="12" x14ac:dyDescent="0.2">
      <c r="A342" s="605"/>
      <c r="B342" s="552" t="s">
        <v>186</v>
      </c>
      <c r="C342" s="1822" t="s">
        <v>344</v>
      </c>
      <c r="D342" s="1822"/>
      <c r="E342" s="1822"/>
      <c r="F342" s="562"/>
      <c r="G342" s="562"/>
      <c r="H342" s="562"/>
      <c r="I342" s="562"/>
      <c r="J342" s="604">
        <v>17.34</v>
      </c>
      <c r="K342" s="562" t="s">
        <v>313</v>
      </c>
      <c r="L342" s="604">
        <v>4.34</v>
      </c>
      <c r="M342" s="603"/>
      <c r="N342" s="602"/>
      <c r="V342" s="674"/>
      <c r="W342" s="675"/>
      <c r="X342" s="675"/>
      <c r="AA342" s="537" t="s">
        <v>344</v>
      </c>
      <c r="AD342" s="675"/>
      <c r="AE342" s="675"/>
      <c r="AG342" s="675"/>
      <c r="AH342" s="680"/>
    </row>
    <row r="343" spans="1:34" s="536" customFormat="1" ht="12" x14ac:dyDescent="0.2">
      <c r="A343" s="605"/>
      <c r="B343" s="552" t="s">
        <v>187</v>
      </c>
      <c r="C343" s="1822" t="s">
        <v>345</v>
      </c>
      <c r="D343" s="1822"/>
      <c r="E343" s="1822"/>
      <c r="F343" s="562"/>
      <c r="G343" s="562"/>
      <c r="H343" s="562"/>
      <c r="I343" s="562"/>
      <c r="J343" s="604">
        <v>0.5</v>
      </c>
      <c r="K343" s="562" t="s">
        <v>313</v>
      </c>
      <c r="L343" s="604">
        <v>0.13</v>
      </c>
      <c r="M343" s="603"/>
      <c r="N343" s="602"/>
      <c r="V343" s="674"/>
      <c r="W343" s="675"/>
      <c r="X343" s="675"/>
      <c r="AA343" s="537" t="s">
        <v>345</v>
      </c>
      <c r="AD343" s="675"/>
      <c r="AE343" s="675"/>
      <c r="AG343" s="675"/>
      <c r="AH343" s="680"/>
    </row>
    <row r="344" spans="1:34" s="536" customFormat="1" ht="12" x14ac:dyDescent="0.2">
      <c r="A344" s="605"/>
      <c r="B344" s="552" t="s">
        <v>188</v>
      </c>
      <c r="C344" s="1822" t="s">
        <v>475</v>
      </c>
      <c r="D344" s="1822"/>
      <c r="E344" s="1822"/>
      <c r="F344" s="562"/>
      <c r="G344" s="562"/>
      <c r="H344" s="562"/>
      <c r="I344" s="562"/>
      <c r="J344" s="604">
        <v>182.06</v>
      </c>
      <c r="K344" s="562"/>
      <c r="L344" s="604">
        <v>36.409999999999997</v>
      </c>
      <c r="M344" s="603"/>
      <c r="N344" s="602"/>
      <c r="V344" s="674"/>
      <c r="W344" s="675"/>
      <c r="X344" s="675"/>
      <c r="AA344" s="537" t="s">
        <v>475</v>
      </c>
      <c r="AD344" s="675"/>
      <c r="AE344" s="675"/>
      <c r="AG344" s="675"/>
      <c r="AH344" s="680"/>
    </row>
    <row r="345" spans="1:34" s="536" customFormat="1" ht="12" x14ac:dyDescent="0.2">
      <c r="A345" s="605"/>
      <c r="B345" s="552"/>
      <c r="C345" s="1822" t="s">
        <v>314</v>
      </c>
      <c r="D345" s="1822"/>
      <c r="E345" s="1822"/>
      <c r="F345" s="562" t="s">
        <v>315</v>
      </c>
      <c r="G345" s="562" t="s">
        <v>5406</v>
      </c>
      <c r="H345" s="562" t="s">
        <v>313</v>
      </c>
      <c r="I345" s="562" t="s">
        <v>5407</v>
      </c>
      <c r="J345" s="604"/>
      <c r="K345" s="562"/>
      <c r="L345" s="604"/>
      <c r="M345" s="603"/>
      <c r="N345" s="602"/>
      <c r="V345" s="674"/>
      <c r="W345" s="675"/>
      <c r="X345" s="675"/>
      <c r="AB345" s="537" t="s">
        <v>314</v>
      </c>
      <c r="AD345" s="675"/>
      <c r="AE345" s="675"/>
      <c r="AG345" s="675"/>
      <c r="AH345" s="680"/>
    </row>
    <row r="346" spans="1:34" s="536" customFormat="1" ht="12" x14ac:dyDescent="0.2">
      <c r="A346" s="605"/>
      <c r="B346" s="552"/>
      <c r="C346" s="1822" t="s">
        <v>348</v>
      </c>
      <c r="D346" s="1822"/>
      <c r="E346" s="1822"/>
      <c r="F346" s="562" t="s">
        <v>315</v>
      </c>
      <c r="G346" s="562" t="s">
        <v>728</v>
      </c>
      <c r="H346" s="562" t="s">
        <v>313</v>
      </c>
      <c r="I346" s="562" t="s">
        <v>809</v>
      </c>
      <c r="J346" s="604"/>
      <c r="K346" s="562"/>
      <c r="L346" s="604"/>
      <c r="M346" s="603"/>
      <c r="N346" s="602"/>
      <c r="V346" s="674"/>
      <c r="W346" s="675"/>
      <c r="X346" s="675"/>
      <c r="AB346" s="537" t="s">
        <v>348</v>
      </c>
      <c r="AD346" s="675"/>
      <c r="AE346" s="675"/>
      <c r="AG346" s="675"/>
      <c r="AH346" s="680"/>
    </row>
    <row r="347" spans="1:34" s="536" customFormat="1" ht="12" x14ac:dyDescent="0.2">
      <c r="A347" s="605"/>
      <c r="B347" s="552"/>
      <c r="C347" s="1828" t="s">
        <v>318</v>
      </c>
      <c r="D347" s="1828"/>
      <c r="E347" s="1828"/>
      <c r="F347" s="608"/>
      <c r="G347" s="608"/>
      <c r="H347" s="608"/>
      <c r="I347" s="608"/>
      <c r="J347" s="607">
        <v>531.62</v>
      </c>
      <c r="K347" s="608"/>
      <c r="L347" s="607">
        <v>123.81</v>
      </c>
      <c r="M347" s="601"/>
      <c r="N347" s="606"/>
      <c r="V347" s="674"/>
      <c r="W347" s="675"/>
      <c r="X347" s="675"/>
      <c r="AC347" s="537" t="s">
        <v>318</v>
      </c>
      <c r="AD347" s="675"/>
      <c r="AE347" s="675"/>
      <c r="AG347" s="675"/>
      <c r="AH347" s="680"/>
    </row>
    <row r="348" spans="1:34" s="536" customFormat="1" ht="12" x14ac:dyDescent="0.2">
      <c r="A348" s="605"/>
      <c r="B348" s="552"/>
      <c r="C348" s="1822" t="s">
        <v>319</v>
      </c>
      <c r="D348" s="1822"/>
      <c r="E348" s="1822"/>
      <c r="F348" s="562"/>
      <c r="G348" s="562"/>
      <c r="H348" s="562"/>
      <c r="I348" s="562"/>
      <c r="J348" s="604"/>
      <c r="K348" s="562"/>
      <c r="L348" s="604">
        <v>83.19</v>
      </c>
      <c r="M348" s="603"/>
      <c r="N348" s="602"/>
      <c r="V348" s="674"/>
      <c r="W348" s="675"/>
      <c r="X348" s="675"/>
      <c r="AB348" s="537" t="s">
        <v>319</v>
      </c>
      <c r="AD348" s="675"/>
      <c r="AE348" s="675"/>
      <c r="AG348" s="675"/>
      <c r="AH348" s="680"/>
    </row>
    <row r="349" spans="1:34" s="536" customFormat="1" ht="33.75" x14ac:dyDescent="0.2">
      <c r="A349" s="605"/>
      <c r="B349" s="552" t="s">
        <v>1631</v>
      </c>
      <c r="C349" s="1822" t="s">
        <v>1632</v>
      </c>
      <c r="D349" s="1822"/>
      <c r="E349" s="1822"/>
      <c r="F349" s="562" t="s">
        <v>322</v>
      </c>
      <c r="G349" s="562" t="s">
        <v>1633</v>
      </c>
      <c r="H349" s="562"/>
      <c r="I349" s="562" t="s">
        <v>1633</v>
      </c>
      <c r="J349" s="604"/>
      <c r="K349" s="562"/>
      <c r="L349" s="604">
        <v>80.69</v>
      </c>
      <c r="M349" s="603"/>
      <c r="N349" s="602"/>
      <c r="V349" s="674"/>
      <c r="W349" s="675"/>
      <c r="X349" s="675"/>
      <c r="AB349" s="537" t="s">
        <v>1632</v>
      </c>
      <c r="AD349" s="675"/>
      <c r="AE349" s="675"/>
      <c r="AG349" s="675"/>
      <c r="AH349" s="680"/>
    </row>
    <row r="350" spans="1:34" s="536" customFormat="1" ht="33.75" x14ac:dyDescent="0.2">
      <c r="A350" s="605"/>
      <c r="B350" s="552" t="s">
        <v>1634</v>
      </c>
      <c r="C350" s="1822" t="s">
        <v>1635</v>
      </c>
      <c r="D350" s="1822"/>
      <c r="E350" s="1822"/>
      <c r="F350" s="562" t="s">
        <v>322</v>
      </c>
      <c r="G350" s="562" t="s">
        <v>786</v>
      </c>
      <c r="H350" s="562"/>
      <c r="I350" s="562" t="s">
        <v>786</v>
      </c>
      <c r="J350" s="604"/>
      <c r="K350" s="562"/>
      <c r="L350" s="604">
        <v>42.43</v>
      </c>
      <c r="M350" s="603"/>
      <c r="N350" s="602"/>
      <c r="V350" s="674"/>
      <c r="W350" s="675"/>
      <c r="X350" s="675"/>
      <c r="AB350" s="537" t="s">
        <v>1635</v>
      </c>
      <c r="AD350" s="675"/>
      <c r="AE350" s="675"/>
      <c r="AG350" s="675"/>
      <c r="AH350" s="680"/>
    </row>
    <row r="351" spans="1:34" s="536" customFormat="1" ht="12" x14ac:dyDescent="0.2">
      <c r="A351" s="569"/>
      <c r="B351" s="671"/>
      <c r="C351" s="1823" t="s">
        <v>327</v>
      </c>
      <c r="D351" s="1823"/>
      <c r="E351" s="1823"/>
      <c r="F351" s="573"/>
      <c r="G351" s="573"/>
      <c r="H351" s="573"/>
      <c r="I351" s="573"/>
      <c r="J351" s="572"/>
      <c r="K351" s="573"/>
      <c r="L351" s="572">
        <v>246.93</v>
      </c>
      <c r="M351" s="601"/>
      <c r="N351" s="570"/>
      <c r="V351" s="674"/>
      <c r="W351" s="675"/>
      <c r="X351" s="675"/>
      <c r="AD351" s="675" t="s">
        <v>327</v>
      </c>
      <c r="AE351" s="675"/>
      <c r="AG351" s="675"/>
      <c r="AH351" s="680"/>
    </row>
    <row r="352" spans="1:34" s="536" customFormat="1" ht="33.75" x14ac:dyDescent="0.2">
      <c r="A352" s="575" t="s">
        <v>762</v>
      </c>
      <c r="B352" s="670" t="s">
        <v>2208</v>
      </c>
      <c r="C352" s="1823" t="s">
        <v>2209</v>
      </c>
      <c r="D352" s="1823"/>
      <c r="E352" s="1823"/>
      <c r="F352" s="573" t="s">
        <v>307</v>
      </c>
      <c r="G352" s="573"/>
      <c r="H352" s="573"/>
      <c r="I352" s="573" t="s">
        <v>2323</v>
      </c>
      <c r="J352" s="572"/>
      <c r="K352" s="573"/>
      <c r="L352" s="572"/>
      <c r="M352" s="571"/>
      <c r="N352" s="570"/>
      <c r="V352" s="674"/>
      <c r="W352" s="675"/>
      <c r="X352" s="675" t="s">
        <v>2209</v>
      </c>
      <c r="AD352" s="675"/>
      <c r="AE352" s="675"/>
      <c r="AG352" s="675"/>
      <c r="AH352" s="680"/>
    </row>
    <row r="353" spans="1:34" s="536" customFormat="1" ht="12" x14ac:dyDescent="0.2">
      <c r="A353" s="676"/>
      <c r="B353" s="664"/>
      <c r="C353" s="1822" t="s">
        <v>5408</v>
      </c>
      <c r="D353" s="1822"/>
      <c r="E353" s="1822"/>
      <c r="F353" s="1822"/>
      <c r="G353" s="1822"/>
      <c r="H353" s="1822"/>
      <c r="I353" s="1822"/>
      <c r="J353" s="1822"/>
      <c r="K353" s="1822"/>
      <c r="L353" s="1822"/>
      <c r="M353" s="1822"/>
      <c r="N353" s="1827"/>
      <c r="V353" s="674"/>
      <c r="W353" s="675"/>
      <c r="X353" s="675"/>
      <c r="Y353" s="537" t="s">
        <v>5408</v>
      </c>
      <c r="AD353" s="675"/>
      <c r="AE353" s="675"/>
      <c r="AG353" s="675"/>
      <c r="AH353" s="680"/>
    </row>
    <row r="354" spans="1:34" s="536" customFormat="1" ht="33.75" x14ac:dyDescent="0.2">
      <c r="A354" s="609"/>
      <c r="B354" s="552" t="s">
        <v>310</v>
      </c>
      <c r="C354" s="1822" t="s">
        <v>311</v>
      </c>
      <c r="D354" s="1822"/>
      <c r="E354" s="1822"/>
      <c r="F354" s="1822"/>
      <c r="G354" s="1822"/>
      <c r="H354" s="1822"/>
      <c r="I354" s="1822"/>
      <c r="J354" s="1822"/>
      <c r="K354" s="1822"/>
      <c r="L354" s="1822"/>
      <c r="M354" s="1822"/>
      <c r="N354" s="1827"/>
      <c r="V354" s="674"/>
      <c r="W354" s="675"/>
      <c r="X354" s="675"/>
      <c r="Z354" s="537" t="s">
        <v>311</v>
      </c>
      <c r="AD354" s="675"/>
      <c r="AE354" s="675"/>
      <c r="AG354" s="675"/>
      <c r="AH354" s="680"/>
    </row>
    <row r="355" spans="1:34" s="536" customFormat="1" ht="12" x14ac:dyDescent="0.2">
      <c r="A355" s="605"/>
      <c r="B355" s="552" t="s">
        <v>185</v>
      </c>
      <c r="C355" s="1822" t="s">
        <v>312</v>
      </c>
      <c r="D355" s="1822"/>
      <c r="E355" s="1822"/>
      <c r="F355" s="562"/>
      <c r="G355" s="562"/>
      <c r="H355" s="562"/>
      <c r="I355" s="562"/>
      <c r="J355" s="604">
        <v>398.49</v>
      </c>
      <c r="K355" s="562" t="s">
        <v>313</v>
      </c>
      <c r="L355" s="604">
        <v>49.81</v>
      </c>
      <c r="M355" s="603"/>
      <c r="N355" s="602"/>
      <c r="V355" s="674"/>
      <c r="W355" s="675"/>
      <c r="X355" s="675"/>
      <c r="AA355" s="537" t="s">
        <v>312</v>
      </c>
      <c r="AD355" s="675"/>
      <c r="AE355" s="675"/>
      <c r="AG355" s="675"/>
      <c r="AH355" s="680"/>
    </row>
    <row r="356" spans="1:34" s="536" customFormat="1" ht="12" x14ac:dyDescent="0.2">
      <c r="A356" s="605"/>
      <c r="B356" s="552" t="s">
        <v>186</v>
      </c>
      <c r="C356" s="1822" t="s">
        <v>344</v>
      </c>
      <c r="D356" s="1822"/>
      <c r="E356" s="1822"/>
      <c r="F356" s="562"/>
      <c r="G356" s="562"/>
      <c r="H356" s="562"/>
      <c r="I356" s="562"/>
      <c r="J356" s="604">
        <v>23.8</v>
      </c>
      <c r="K356" s="562" t="s">
        <v>313</v>
      </c>
      <c r="L356" s="604">
        <v>2.98</v>
      </c>
      <c r="M356" s="603"/>
      <c r="N356" s="602"/>
      <c r="V356" s="674"/>
      <c r="W356" s="675"/>
      <c r="X356" s="675"/>
      <c r="AA356" s="537" t="s">
        <v>344</v>
      </c>
      <c r="AD356" s="675"/>
      <c r="AE356" s="675"/>
      <c r="AG356" s="675"/>
      <c r="AH356" s="680"/>
    </row>
    <row r="357" spans="1:34" s="536" customFormat="1" ht="12" x14ac:dyDescent="0.2">
      <c r="A357" s="605"/>
      <c r="B357" s="552" t="s">
        <v>187</v>
      </c>
      <c r="C357" s="1822" t="s">
        <v>345</v>
      </c>
      <c r="D357" s="1822"/>
      <c r="E357" s="1822"/>
      <c r="F357" s="562"/>
      <c r="G357" s="562"/>
      <c r="H357" s="562"/>
      <c r="I357" s="562"/>
      <c r="J357" s="604">
        <v>0.76</v>
      </c>
      <c r="K357" s="562" t="s">
        <v>313</v>
      </c>
      <c r="L357" s="604">
        <v>0.1</v>
      </c>
      <c r="M357" s="603"/>
      <c r="N357" s="602"/>
      <c r="V357" s="674"/>
      <c r="W357" s="675"/>
      <c r="X357" s="675"/>
      <c r="AA357" s="537" t="s">
        <v>345</v>
      </c>
      <c r="AD357" s="675"/>
      <c r="AE357" s="675"/>
      <c r="AG357" s="675"/>
      <c r="AH357" s="680"/>
    </row>
    <row r="358" spans="1:34" s="536" customFormat="1" ht="12" x14ac:dyDescent="0.2">
      <c r="A358" s="605"/>
      <c r="B358" s="552" t="s">
        <v>188</v>
      </c>
      <c r="C358" s="1822" t="s">
        <v>475</v>
      </c>
      <c r="D358" s="1822"/>
      <c r="E358" s="1822"/>
      <c r="F358" s="562"/>
      <c r="G358" s="562"/>
      <c r="H358" s="562"/>
      <c r="I358" s="562"/>
      <c r="J358" s="604">
        <v>197.76</v>
      </c>
      <c r="K358" s="562"/>
      <c r="L358" s="604">
        <v>19.78</v>
      </c>
      <c r="M358" s="603"/>
      <c r="N358" s="602"/>
      <c r="V358" s="674"/>
      <c r="W358" s="675"/>
      <c r="X358" s="675"/>
      <c r="AA358" s="537" t="s">
        <v>475</v>
      </c>
      <c r="AD358" s="675"/>
      <c r="AE358" s="675"/>
      <c r="AG358" s="675"/>
      <c r="AH358" s="680"/>
    </row>
    <row r="359" spans="1:34" s="536" customFormat="1" ht="12" x14ac:dyDescent="0.2">
      <c r="A359" s="605"/>
      <c r="B359" s="552"/>
      <c r="C359" s="1822" t="s">
        <v>314</v>
      </c>
      <c r="D359" s="1822"/>
      <c r="E359" s="1822"/>
      <c r="F359" s="562" t="s">
        <v>315</v>
      </c>
      <c r="G359" s="562" t="s">
        <v>2210</v>
      </c>
      <c r="H359" s="562" t="s">
        <v>313</v>
      </c>
      <c r="I359" s="562" t="s">
        <v>5409</v>
      </c>
      <c r="J359" s="604"/>
      <c r="K359" s="562"/>
      <c r="L359" s="604"/>
      <c r="M359" s="603"/>
      <c r="N359" s="602"/>
      <c r="V359" s="674"/>
      <c r="W359" s="675"/>
      <c r="X359" s="675"/>
      <c r="AB359" s="537" t="s">
        <v>314</v>
      </c>
      <c r="AD359" s="675"/>
      <c r="AE359" s="675"/>
      <c r="AG359" s="675"/>
      <c r="AH359" s="680"/>
    </row>
    <row r="360" spans="1:34" s="536" customFormat="1" ht="12" x14ac:dyDescent="0.2">
      <c r="A360" s="605"/>
      <c r="B360" s="552"/>
      <c r="C360" s="1822" t="s">
        <v>348</v>
      </c>
      <c r="D360" s="1822"/>
      <c r="E360" s="1822"/>
      <c r="F360" s="562" t="s">
        <v>315</v>
      </c>
      <c r="G360" s="562" t="s">
        <v>1554</v>
      </c>
      <c r="H360" s="562" t="s">
        <v>313</v>
      </c>
      <c r="I360" s="562" t="s">
        <v>5410</v>
      </c>
      <c r="J360" s="604"/>
      <c r="K360" s="562"/>
      <c r="L360" s="604"/>
      <c r="M360" s="603"/>
      <c r="N360" s="602"/>
      <c r="V360" s="674"/>
      <c r="W360" s="675"/>
      <c r="X360" s="675"/>
      <c r="AB360" s="537" t="s">
        <v>348</v>
      </c>
      <c r="AD360" s="675"/>
      <c r="AE360" s="675"/>
      <c r="AG360" s="675"/>
      <c r="AH360" s="680"/>
    </row>
    <row r="361" spans="1:34" s="536" customFormat="1" ht="12" x14ac:dyDescent="0.2">
      <c r="A361" s="605"/>
      <c r="B361" s="552"/>
      <c r="C361" s="1828" t="s">
        <v>318</v>
      </c>
      <c r="D361" s="1828"/>
      <c r="E361" s="1828"/>
      <c r="F361" s="608"/>
      <c r="G361" s="608"/>
      <c r="H361" s="608"/>
      <c r="I361" s="608"/>
      <c r="J361" s="607">
        <v>620.04999999999995</v>
      </c>
      <c r="K361" s="608"/>
      <c r="L361" s="607">
        <v>72.569999999999993</v>
      </c>
      <c r="M361" s="601"/>
      <c r="N361" s="606"/>
      <c r="V361" s="674"/>
      <c r="W361" s="675"/>
      <c r="X361" s="675"/>
      <c r="AC361" s="537" t="s">
        <v>318</v>
      </c>
      <c r="AD361" s="675"/>
      <c r="AE361" s="675"/>
      <c r="AG361" s="675"/>
      <c r="AH361" s="680"/>
    </row>
    <row r="362" spans="1:34" s="536" customFormat="1" ht="12" x14ac:dyDescent="0.2">
      <c r="A362" s="605"/>
      <c r="B362" s="552"/>
      <c r="C362" s="1822" t="s">
        <v>319</v>
      </c>
      <c r="D362" s="1822"/>
      <c r="E362" s="1822"/>
      <c r="F362" s="562"/>
      <c r="G362" s="562"/>
      <c r="H362" s="562"/>
      <c r="I362" s="562"/>
      <c r="J362" s="604"/>
      <c r="K362" s="562"/>
      <c r="L362" s="604">
        <v>49.91</v>
      </c>
      <c r="M362" s="603"/>
      <c r="N362" s="602"/>
      <c r="V362" s="674"/>
      <c r="W362" s="675"/>
      <c r="X362" s="675"/>
      <c r="AB362" s="537" t="s">
        <v>319</v>
      </c>
      <c r="AD362" s="675"/>
      <c r="AE362" s="675"/>
      <c r="AG362" s="675"/>
      <c r="AH362" s="680"/>
    </row>
    <row r="363" spans="1:34" s="536" customFormat="1" ht="33.75" x14ac:dyDescent="0.2">
      <c r="A363" s="605"/>
      <c r="B363" s="552" t="s">
        <v>1631</v>
      </c>
      <c r="C363" s="1822" t="s">
        <v>1632</v>
      </c>
      <c r="D363" s="1822"/>
      <c r="E363" s="1822"/>
      <c r="F363" s="562" t="s">
        <v>322</v>
      </c>
      <c r="G363" s="562" t="s">
        <v>1633</v>
      </c>
      <c r="H363" s="562"/>
      <c r="I363" s="562" t="s">
        <v>1633</v>
      </c>
      <c r="J363" s="604"/>
      <c r="K363" s="562"/>
      <c r="L363" s="604">
        <v>48.41</v>
      </c>
      <c r="M363" s="603"/>
      <c r="N363" s="602"/>
      <c r="V363" s="674"/>
      <c r="W363" s="675"/>
      <c r="X363" s="675"/>
      <c r="AB363" s="537" t="s">
        <v>1632</v>
      </c>
      <c r="AD363" s="675"/>
      <c r="AE363" s="675"/>
      <c r="AG363" s="675"/>
      <c r="AH363" s="680"/>
    </row>
    <row r="364" spans="1:34" s="536" customFormat="1" ht="33.75" x14ac:dyDescent="0.2">
      <c r="A364" s="605"/>
      <c r="B364" s="552" t="s">
        <v>1634</v>
      </c>
      <c r="C364" s="1822" t="s">
        <v>1635</v>
      </c>
      <c r="D364" s="1822"/>
      <c r="E364" s="1822"/>
      <c r="F364" s="562" t="s">
        <v>322</v>
      </c>
      <c r="G364" s="562" t="s">
        <v>786</v>
      </c>
      <c r="H364" s="562"/>
      <c r="I364" s="562" t="s">
        <v>786</v>
      </c>
      <c r="J364" s="604"/>
      <c r="K364" s="562"/>
      <c r="L364" s="604">
        <v>25.45</v>
      </c>
      <c r="M364" s="603"/>
      <c r="N364" s="602"/>
      <c r="V364" s="674"/>
      <c r="W364" s="675"/>
      <c r="X364" s="675"/>
      <c r="AB364" s="537" t="s">
        <v>1635</v>
      </c>
      <c r="AD364" s="675"/>
      <c r="AE364" s="675"/>
      <c r="AG364" s="675"/>
      <c r="AH364" s="680"/>
    </row>
    <row r="365" spans="1:34" s="536" customFormat="1" ht="12" x14ac:dyDescent="0.2">
      <c r="A365" s="569"/>
      <c r="B365" s="671"/>
      <c r="C365" s="1823" t="s">
        <v>327</v>
      </c>
      <c r="D365" s="1823"/>
      <c r="E365" s="1823"/>
      <c r="F365" s="573"/>
      <c r="G365" s="573"/>
      <c r="H365" s="573"/>
      <c r="I365" s="573"/>
      <c r="J365" s="572"/>
      <c r="K365" s="573"/>
      <c r="L365" s="572">
        <v>146.43</v>
      </c>
      <c r="M365" s="601"/>
      <c r="N365" s="570"/>
      <c r="V365" s="674"/>
      <c r="W365" s="675"/>
      <c r="X365" s="675"/>
      <c r="AD365" s="675" t="s">
        <v>327</v>
      </c>
      <c r="AE365" s="675"/>
      <c r="AG365" s="675"/>
      <c r="AH365" s="680"/>
    </row>
    <row r="366" spans="1:34" s="536" customFormat="1" ht="33.75" x14ac:dyDescent="0.2">
      <c r="A366" s="575" t="s">
        <v>763</v>
      </c>
      <c r="B366" s="670" t="s">
        <v>5411</v>
      </c>
      <c r="C366" s="1823" t="s">
        <v>5412</v>
      </c>
      <c r="D366" s="1823"/>
      <c r="E366" s="1823"/>
      <c r="F366" s="573" t="s">
        <v>307</v>
      </c>
      <c r="G366" s="573"/>
      <c r="H366" s="573"/>
      <c r="I366" s="573" t="s">
        <v>2247</v>
      </c>
      <c r="J366" s="572"/>
      <c r="K366" s="573"/>
      <c r="L366" s="572"/>
      <c r="M366" s="571"/>
      <c r="N366" s="570"/>
      <c r="V366" s="674"/>
      <c r="W366" s="675"/>
      <c r="X366" s="675" t="s">
        <v>5412</v>
      </c>
      <c r="AD366" s="675"/>
      <c r="AE366" s="675"/>
      <c r="AG366" s="675"/>
      <c r="AH366" s="680"/>
    </row>
    <row r="367" spans="1:34" s="536" customFormat="1" ht="12" x14ac:dyDescent="0.2">
      <c r="A367" s="676"/>
      <c r="B367" s="664"/>
      <c r="C367" s="1822" t="s">
        <v>5413</v>
      </c>
      <c r="D367" s="1822"/>
      <c r="E367" s="1822"/>
      <c r="F367" s="1822"/>
      <c r="G367" s="1822"/>
      <c r="H367" s="1822"/>
      <c r="I367" s="1822"/>
      <c r="J367" s="1822"/>
      <c r="K367" s="1822"/>
      <c r="L367" s="1822"/>
      <c r="M367" s="1822"/>
      <c r="N367" s="1827"/>
      <c r="V367" s="674"/>
      <c r="W367" s="675"/>
      <c r="X367" s="675"/>
      <c r="Y367" s="537" t="s">
        <v>5413</v>
      </c>
      <c r="AD367" s="675"/>
      <c r="AE367" s="675"/>
      <c r="AG367" s="675"/>
      <c r="AH367" s="680"/>
    </row>
    <row r="368" spans="1:34" s="536" customFormat="1" ht="33.75" x14ac:dyDescent="0.2">
      <c r="A368" s="609"/>
      <c r="B368" s="552" t="s">
        <v>310</v>
      </c>
      <c r="C368" s="1822" t="s">
        <v>311</v>
      </c>
      <c r="D368" s="1822"/>
      <c r="E368" s="1822"/>
      <c r="F368" s="1822"/>
      <c r="G368" s="1822"/>
      <c r="H368" s="1822"/>
      <c r="I368" s="1822"/>
      <c r="J368" s="1822"/>
      <c r="K368" s="1822"/>
      <c r="L368" s="1822"/>
      <c r="M368" s="1822"/>
      <c r="N368" s="1827"/>
      <c r="V368" s="674"/>
      <c r="W368" s="675"/>
      <c r="X368" s="675"/>
      <c r="Z368" s="537" t="s">
        <v>311</v>
      </c>
      <c r="AD368" s="675"/>
      <c r="AE368" s="675"/>
      <c r="AG368" s="675"/>
      <c r="AH368" s="680"/>
    </row>
    <row r="369" spans="1:34" s="536" customFormat="1" ht="12" x14ac:dyDescent="0.2">
      <c r="A369" s="605"/>
      <c r="B369" s="552" t="s">
        <v>185</v>
      </c>
      <c r="C369" s="1822" t="s">
        <v>312</v>
      </c>
      <c r="D369" s="1822"/>
      <c r="E369" s="1822"/>
      <c r="F369" s="562"/>
      <c r="G369" s="562"/>
      <c r="H369" s="562"/>
      <c r="I369" s="562"/>
      <c r="J369" s="604">
        <v>674.36</v>
      </c>
      <c r="K369" s="562" t="s">
        <v>313</v>
      </c>
      <c r="L369" s="604">
        <v>67.44</v>
      </c>
      <c r="M369" s="603"/>
      <c r="N369" s="602"/>
      <c r="V369" s="674"/>
      <c r="W369" s="675"/>
      <c r="X369" s="675"/>
      <c r="AA369" s="537" t="s">
        <v>312</v>
      </c>
      <c r="AD369" s="675"/>
      <c r="AE369" s="675"/>
      <c r="AG369" s="675"/>
      <c r="AH369" s="680"/>
    </row>
    <row r="370" spans="1:34" s="536" customFormat="1" ht="12" x14ac:dyDescent="0.2">
      <c r="A370" s="605"/>
      <c r="B370" s="552" t="s">
        <v>186</v>
      </c>
      <c r="C370" s="1822" t="s">
        <v>344</v>
      </c>
      <c r="D370" s="1822"/>
      <c r="E370" s="1822"/>
      <c r="F370" s="562"/>
      <c r="G370" s="562"/>
      <c r="H370" s="562"/>
      <c r="I370" s="562"/>
      <c r="J370" s="604">
        <v>29.56</v>
      </c>
      <c r="K370" s="562" t="s">
        <v>313</v>
      </c>
      <c r="L370" s="604">
        <v>2.96</v>
      </c>
      <c r="M370" s="603"/>
      <c r="N370" s="602"/>
      <c r="V370" s="674"/>
      <c r="W370" s="675"/>
      <c r="X370" s="675"/>
      <c r="AA370" s="537" t="s">
        <v>344</v>
      </c>
      <c r="AD370" s="675"/>
      <c r="AE370" s="675"/>
      <c r="AG370" s="675"/>
      <c r="AH370" s="680"/>
    </row>
    <row r="371" spans="1:34" s="536" customFormat="1" ht="12" x14ac:dyDescent="0.2">
      <c r="A371" s="605"/>
      <c r="B371" s="552" t="s">
        <v>187</v>
      </c>
      <c r="C371" s="1822" t="s">
        <v>345</v>
      </c>
      <c r="D371" s="1822"/>
      <c r="E371" s="1822"/>
      <c r="F371" s="562"/>
      <c r="G371" s="562"/>
      <c r="H371" s="562"/>
      <c r="I371" s="562"/>
      <c r="J371" s="604">
        <v>1</v>
      </c>
      <c r="K371" s="562" t="s">
        <v>313</v>
      </c>
      <c r="L371" s="604">
        <v>0.1</v>
      </c>
      <c r="M371" s="603"/>
      <c r="N371" s="602"/>
      <c r="V371" s="674"/>
      <c r="W371" s="675"/>
      <c r="X371" s="675"/>
      <c r="AA371" s="537" t="s">
        <v>345</v>
      </c>
      <c r="AD371" s="675"/>
      <c r="AE371" s="675"/>
      <c r="AG371" s="675"/>
      <c r="AH371" s="680"/>
    </row>
    <row r="372" spans="1:34" s="536" customFormat="1" ht="12" x14ac:dyDescent="0.2">
      <c r="A372" s="605"/>
      <c r="B372" s="552" t="s">
        <v>188</v>
      </c>
      <c r="C372" s="1822" t="s">
        <v>475</v>
      </c>
      <c r="D372" s="1822"/>
      <c r="E372" s="1822"/>
      <c r="F372" s="562"/>
      <c r="G372" s="562"/>
      <c r="H372" s="562"/>
      <c r="I372" s="562"/>
      <c r="J372" s="604">
        <v>265.14999999999998</v>
      </c>
      <c r="K372" s="562"/>
      <c r="L372" s="604">
        <v>21.21</v>
      </c>
      <c r="M372" s="603"/>
      <c r="N372" s="602"/>
      <c r="V372" s="674"/>
      <c r="W372" s="675"/>
      <c r="X372" s="675"/>
      <c r="AA372" s="537" t="s">
        <v>475</v>
      </c>
      <c r="AD372" s="675"/>
      <c r="AE372" s="675"/>
      <c r="AG372" s="675"/>
      <c r="AH372" s="680"/>
    </row>
    <row r="373" spans="1:34" s="536" customFormat="1" ht="12" x14ac:dyDescent="0.2">
      <c r="A373" s="605"/>
      <c r="B373" s="552"/>
      <c r="C373" s="1822" t="s">
        <v>314</v>
      </c>
      <c r="D373" s="1822"/>
      <c r="E373" s="1822"/>
      <c r="F373" s="562" t="s">
        <v>315</v>
      </c>
      <c r="G373" s="562" t="s">
        <v>5414</v>
      </c>
      <c r="H373" s="562" t="s">
        <v>313</v>
      </c>
      <c r="I373" s="562" t="s">
        <v>5415</v>
      </c>
      <c r="J373" s="604"/>
      <c r="K373" s="562"/>
      <c r="L373" s="604"/>
      <c r="M373" s="603"/>
      <c r="N373" s="602"/>
      <c r="V373" s="674"/>
      <c r="W373" s="675"/>
      <c r="X373" s="675"/>
      <c r="AB373" s="537" t="s">
        <v>314</v>
      </c>
      <c r="AD373" s="675"/>
      <c r="AE373" s="675"/>
      <c r="AG373" s="675"/>
      <c r="AH373" s="680"/>
    </row>
    <row r="374" spans="1:34" s="536" customFormat="1" ht="12" x14ac:dyDescent="0.2">
      <c r="A374" s="605"/>
      <c r="B374" s="552"/>
      <c r="C374" s="1822" t="s">
        <v>348</v>
      </c>
      <c r="D374" s="1822"/>
      <c r="E374" s="1822"/>
      <c r="F374" s="562" t="s">
        <v>315</v>
      </c>
      <c r="G374" s="562" t="s">
        <v>2247</v>
      </c>
      <c r="H374" s="562" t="s">
        <v>313</v>
      </c>
      <c r="I374" s="562" t="s">
        <v>2266</v>
      </c>
      <c r="J374" s="604"/>
      <c r="K374" s="562"/>
      <c r="L374" s="604"/>
      <c r="M374" s="603"/>
      <c r="N374" s="602"/>
      <c r="V374" s="674"/>
      <c r="W374" s="675"/>
      <c r="X374" s="675"/>
      <c r="AB374" s="537" t="s">
        <v>348</v>
      </c>
      <c r="AD374" s="675"/>
      <c r="AE374" s="675"/>
      <c r="AG374" s="675"/>
      <c r="AH374" s="680"/>
    </row>
    <row r="375" spans="1:34" s="536" customFormat="1" ht="12" x14ac:dyDescent="0.2">
      <c r="A375" s="605"/>
      <c r="B375" s="552"/>
      <c r="C375" s="1828" t="s">
        <v>318</v>
      </c>
      <c r="D375" s="1828"/>
      <c r="E375" s="1828"/>
      <c r="F375" s="608"/>
      <c r="G375" s="608"/>
      <c r="H375" s="608"/>
      <c r="I375" s="608"/>
      <c r="J375" s="607">
        <v>969.07</v>
      </c>
      <c r="K375" s="608"/>
      <c r="L375" s="607">
        <v>91.61</v>
      </c>
      <c r="M375" s="601"/>
      <c r="N375" s="606"/>
      <c r="V375" s="674"/>
      <c r="W375" s="675"/>
      <c r="X375" s="675"/>
      <c r="AC375" s="537" t="s">
        <v>318</v>
      </c>
      <c r="AD375" s="675"/>
      <c r="AE375" s="675"/>
      <c r="AG375" s="675"/>
      <c r="AH375" s="680"/>
    </row>
    <row r="376" spans="1:34" s="536" customFormat="1" ht="12" x14ac:dyDescent="0.2">
      <c r="A376" s="605"/>
      <c r="B376" s="552"/>
      <c r="C376" s="1822" t="s">
        <v>319</v>
      </c>
      <c r="D376" s="1822"/>
      <c r="E376" s="1822"/>
      <c r="F376" s="562"/>
      <c r="G376" s="562"/>
      <c r="H376" s="562"/>
      <c r="I376" s="562"/>
      <c r="J376" s="604"/>
      <c r="K376" s="562"/>
      <c r="L376" s="604">
        <v>67.540000000000006</v>
      </c>
      <c r="M376" s="603"/>
      <c r="N376" s="602"/>
      <c r="V376" s="674"/>
      <c r="W376" s="675"/>
      <c r="X376" s="675"/>
      <c r="AB376" s="537" t="s">
        <v>319</v>
      </c>
      <c r="AD376" s="675"/>
      <c r="AE376" s="675"/>
      <c r="AG376" s="675"/>
      <c r="AH376" s="680"/>
    </row>
    <row r="377" spans="1:34" s="536" customFormat="1" ht="33.75" x14ac:dyDescent="0.2">
      <c r="A377" s="605"/>
      <c r="B377" s="552" t="s">
        <v>1631</v>
      </c>
      <c r="C377" s="1822" t="s">
        <v>1632</v>
      </c>
      <c r="D377" s="1822"/>
      <c r="E377" s="1822"/>
      <c r="F377" s="562" t="s">
        <v>322</v>
      </c>
      <c r="G377" s="562" t="s">
        <v>1633</v>
      </c>
      <c r="H377" s="562"/>
      <c r="I377" s="562" t="s">
        <v>1633</v>
      </c>
      <c r="J377" s="604"/>
      <c r="K377" s="562"/>
      <c r="L377" s="604">
        <v>65.510000000000005</v>
      </c>
      <c r="M377" s="603"/>
      <c r="N377" s="602"/>
      <c r="V377" s="674"/>
      <c r="W377" s="675"/>
      <c r="X377" s="675"/>
      <c r="AB377" s="537" t="s">
        <v>1632</v>
      </c>
      <c r="AD377" s="675"/>
      <c r="AE377" s="675"/>
      <c r="AG377" s="675"/>
      <c r="AH377" s="680"/>
    </row>
    <row r="378" spans="1:34" s="536" customFormat="1" ht="33.75" x14ac:dyDescent="0.2">
      <c r="A378" s="605"/>
      <c r="B378" s="552" t="s">
        <v>1634</v>
      </c>
      <c r="C378" s="1822" t="s">
        <v>1635</v>
      </c>
      <c r="D378" s="1822"/>
      <c r="E378" s="1822"/>
      <c r="F378" s="562" t="s">
        <v>322</v>
      </c>
      <c r="G378" s="562" t="s">
        <v>786</v>
      </c>
      <c r="H378" s="562"/>
      <c r="I378" s="562" t="s">
        <v>786</v>
      </c>
      <c r="J378" s="604"/>
      <c r="K378" s="562"/>
      <c r="L378" s="604">
        <v>34.450000000000003</v>
      </c>
      <c r="M378" s="603"/>
      <c r="N378" s="602"/>
      <c r="V378" s="674"/>
      <c r="W378" s="675"/>
      <c r="X378" s="675"/>
      <c r="AB378" s="537" t="s">
        <v>1635</v>
      </c>
      <c r="AD378" s="675"/>
      <c r="AE378" s="675"/>
      <c r="AG378" s="675"/>
      <c r="AH378" s="680"/>
    </row>
    <row r="379" spans="1:34" s="536" customFormat="1" ht="12" x14ac:dyDescent="0.2">
      <c r="A379" s="569"/>
      <c r="B379" s="671"/>
      <c r="C379" s="1823" t="s">
        <v>327</v>
      </c>
      <c r="D379" s="1823"/>
      <c r="E379" s="1823"/>
      <c r="F379" s="573"/>
      <c r="G379" s="573"/>
      <c r="H379" s="573"/>
      <c r="I379" s="573"/>
      <c r="J379" s="572"/>
      <c r="K379" s="573"/>
      <c r="L379" s="572">
        <v>191.57</v>
      </c>
      <c r="M379" s="601"/>
      <c r="N379" s="570"/>
      <c r="V379" s="674"/>
      <c r="W379" s="675"/>
      <c r="X379" s="675"/>
      <c r="AD379" s="675" t="s">
        <v>327</v>
      </c>
      <c r="AE379" s="675"/>
      <c r="AG379" s="675"/>
      <c r="AH379" s="680"/>
    </row>
    <row r="380" spans="1:34" s="536" customFormat="1" ht="33.75" x14ac:dyDescent="0.2">
      <c r="A380" s="575" t="s">
        <v>922</v>
      </c>
      <c r="B380" s="670" t="s">
        <v>5416</v>
      </c>
      <c r="C380" s="1823" t="s">
        <v>5417</v>
      </c>
      <c r="D380" s="1823"/>
      <c r="E380" s="1823"/>
      <c r="F380" s="573" t="s">
        <v>617</v>
      </c>
      <c r="G380" s="573"/>
      <c r="H380" s="573"/>
      <c r="I380" s="573" t="s">
        <v>185</v>
      </c>
      <c r="J380" s="572"/>
      <c r="K380" s="573"/>
      <c r="L380" s="572"/>
      <c r="M380" s="571"/>
      <c r="N380" s="570"/>
      <c r="V380" s="674"/>
      <c r="W380" s="675"/>
      <c r="X380" s="675" t="s">
        <v>5417</v>
      </c>
      <c r="AD380" s="675"/>
      <c r="AE380" s="675"/>
      <c r="AG380" s="675"/>
      <c r="AH380" s="680"/>
    </row>
    <row r="381" spans="1:34" s="536" customFormat="1" ht="33.75" x14ac:dyDescent="0.2">
      <c r="A381" s="609"/>
      <c r="B381" s="552" t="s">
        <v>310</v>
      </c>
      <c r="C381" s="1822" t="s">
        <v>311</v>
      </c>
      <c r="D381" s="1822"/>
      <c r="E381" s="1822"/>
      <c r="F381" s="1822"/>
      <c r="G381" s="1822"/>
      <c r="H381" s="1822"/>
      <c r="I381" s="1822"/>
      <c r="J381" s="1822"/>
      <c r="K381" s="1822"/>
      <c r="L381" s="1822"/>
      <c r="M381" s="1822"/>
      <c r="N381" s="1827"/>
      <c r="V381" s="674"/>
      <c r="W381" s="675"/>
      <c r="X381" s="675"/>
      <c r="Z381" s="537" t="s">
        <v>311</v>
      </c>
      <c r="AD381" s="675"/>
      <c r="AE381" s="675"/>
      <c r="AG381" s="675"/>
      <c r="AH381" s="680"/>
    </row>
    <row r="382" spans="1:34" s="536" customFormat="1" ht="12" x14ac:dyDescent="0.2">
      <c r="A382" s="605"/>
      <c r="B382" s="552" t="s">
        <v>185</v>
      </c>
      <c r="C382" s="1822" t="s">
        <v>312</v>
      </c>
      <c r="D382" s="1822"/>
      <c r="E382" s="1822"/>
      <c r="F382" s="562"/>
      <c r="G382" s="562"/>
      <c r="H382" s="562"/>
      <c r="I382" s="562"/>
      <c r="J382" s="604">
        <v>20.440000000000001</v>
      </c>
      <c r="K382" s="562" t="s">
        <v>313</v>
      </c>
      <c r="L382" s="604">
        <v>25.55</v>
      </c>
      <c r="M382" s="603"/>
      <c r="N382" s="602"/>
      <c r="V382" s="674"/>
      <c r="W382" s="675"/>
      <c r="X382" s="675"/>
      <c r="AA382" s="537" t="s">
        <v>312</v>
      </c>
      <c r="AD382" s="675"/>
      <c r="AE382" s="675"/>
      <c r="AG382" s="675"/>
      <c r="AH382" s="680"/>
    </row>
    <row r="383" spans="1:34" s="536" customFormat="1" ht="12" x14ac:dyDescent="0.2">
      <c r="A383" s="605"/>
      <c r="B383" s="552" t="s">
        <v>186</v>
      </c>
      <c r="C383" s="1822" t="s">
        <v>344</v>
      </c>
      <c r="D383" s="1822"/>
      <c r="E383" s="1822"/>
      <c r="F383" s="562"/>
      <c r="G383" s="562"/>
      <c r="H383" s="562"/>
      <c r="I383" s="562"/>
      <c r="J383" s="604">
        <v>49</v>
      </c>
      <c r="K383" s="562" t="s">
        <v>313</v>
      </c>
      <c r="L383" s="604">
        <v>61.25</v>
      </c>
      <c r="M383" s="603"/>
      <c r="N383" s="602"/>
      <c r="V383" s="674"/>
      <c r="W383" s="675"/>
      <c r="X383" s="675"/>
      <c r="AA383" s="537" t="s">
        <v>344</v>
      </c>
      <c r="AD383" s="675"/>
      <c r="AE383" s="675"/>
      <c r="AG383" s="675"/>
      <c r="AH383" s="680"/>
    </row>
    <row r="384" spans="1:34" s="536" customFormat="1" ht="12" x14ac:dyDescent="0.2">
      <c r="A384" s="605"/>
      <c r="B384" s="552" t="s">
        <v>187</v>
      </c>
      <c r="C384" s="1822" t="s">
        <v>345</v>
      </c>
      <c r="D384" s="1822"/>
      <c r="E384" s="1822"/>
      <c r="F384" s="562"/>
      <c r="G384" s="562"/>
      <c r="H384" s="562"/>
      <c r="I384" s="562"/>
      <c r="J384" s="604">
        <v>5.29</v>
      </c>
      <c r="K384" s="562" t="s">
        <v>313</v>
      </c>
      <c r="L384" s="604">
        <v>6.61</v>
      </c>
      <c r="M384" s="603"/>
      <c r="N384" s="602"/>
      <c r="V384" s="674"/>
      <c r="W384" s="675"/>
      <c r="X384" s="675"/>
      <c r="AA384" s="537" t="s">
        <v>345</v>
      </c>
      <c r="AD384" s="675"/>
      <c r="AE384" s="675"/>
      <c r="AG384" s="675"/>
      <c r="AH384" s="680"/>
    </row>
    <row r="385" spans="1:34" s="536" customFormat="1" ht="12" x14ac:dyDescent="0.2">
      <c r="A385" s="605"/>
      <c r="B385" s="552" t="s">
        <v>188</v>
      </c>
      <c r="C385" s="1822" t="s">
        <v>475</v>
      </c>
      <c r="D385" s="1822"/>
      <c r="E385" s="1822"/>
      <c r="F385" s="562"/>
      <c r="G385" s="562"/>
      <c r="H385" s="562"/>
      <c r="I385" s="562"/>
      <c r="J385" s="604">
        <v>3.47</v>
      </c>
      <c r="K385" s="562"/>
      <c r="L385" s="604">
        <v>3.47</v>
      </c>
      <c r="M385" s="603"/>
      <c r="N385" s="602"/>
      <c r="V385" s="674"/>
      <c r="W385" s="675"/>
      <c r="X385" s="675"/>
      <c r="AA385" s="537" t="s">
        <v>475</v>
      </c>
      <c r="AD385" s="675"/>
      <c r="AE385" s="675"/>
      <c r="AG385" s="675"/>
      <c r="AH385" s="680"/>
    </row>
    <row r="386" spans="1:34" s="536" customFormat="1" ht="12" x14ac:dyDescent="0.2">
      <c r="A386" s="605"/>
      <c r="B386" s="552"/>
      <c r="C386" s="1822" t="s">
        <v>314</v>
      </c>
      <c r="D386" s="1822"/>
      <c r="E386" s="1822"/>
      <c r="F386" s="562" t="s">
        <v>315</v>
      </c>
      <c r="G386" s="562" t="s">
        <v>807</v>
      </c>
      <c r="H386" s="562" t="s">
        <v>313</v>
      </c>
      <c r="I386" s="562" t="s">
        <v>808</v>
      </c>
      <c r="J386" s="604"/>
      <c r="K386" s="562"/>
      <c r="L386" s="604"/>
      <c r="M386" s="603"/>
      <c r="N386" s="602"/>
      <c r="V386" s="674"/>
      <c r="W386" s="675"/>
      <c r="X386" s="675"/>
      <c r="AB386" s="537" t="s">
        <v>314</v>
      </c>
      <c r="AD386" s="675"/>
      <c r="AE386" s="675"/>
      <c r="AG386" s="675"/>
      <c r="AH386" s="680"/>
    </row>
    <row r="387" spans="1:34" s="536" customFormat="1" ht="12" x14ac:dyDescent="0.2">
      <c r="A387" s="605"/>
      <c r="B387" s="552"/>
      <c r="C387" s="1822" t="s">
        <v>348</v>
      </c>
      <c r="D387" s="1822"/>
      <c r="E387" s="1822"/>
      <c r="F387" s="562" t="s">
        <v>315</v>
      </c>
      <c r="G387" s="562" t="s">
        <v>1072</v>
      </c>
      <c r="H387" s="562" t="s">
        <v>313</v>
      </c>
      <c r="I387" s="562" t="s">
        <v>5418</v>
      </c>
      <c r="J387" s="604"/>
      <c r="K387" s="562"/>
      <c r="L387" s="604"/>
      <c r="M387" s="603"/>
      <c r="N387" s="602"/>
      <c r="V387" s="674"/>
      <c r="W387" s="675"/>
      <c r="X387" s="675"/>
      <c r="AB387" s="537" t="s">
        <v>348</v>
      </c>
      <c r="AD387" s="675"/>
      <c r="AE387" s="675"/>
      <c r="AG387" s="675"/>
      <c r="AH387" s="680"/>
    </row>
    <row r="388" spans="1:34" s="536" customFormat="1" ht="12" x14ac:dyDescent="0.2">
      <c r="A388" s="605"/>
      <c r="B388" s="552"/>
      <c r="C388" s="1828" t="s">
        <v>318</v>
      </c>
      <c r="D388" s="1828"/>
      <c r="E388" s="1828"/>
      <c r="F388" s="608"/>
      <c r="G388" s="608"/>
      <c r="H388" s="608"/>
      <c r="I388" s="608"/>
      <c r="J388" s="607">
        <v>72.91</v>
      </c>
      <c r="K388" s="608"/>
      <c r="L388" s="607">
        <v>90.27</v>
      </c>
      <c r="M388" s="601"/>
      <c r="N388" s="606"/>
      <c r="V388" s="674"/>
      <c r="W388" s="675"/>
      <c r="X388" s="675"/>
      <c r="AC388" s="537" t="s">
        <v>318</v>
      </c>
      <c r="AD388" s="675"/>
      <c r="AE388" s="675"/>
      <c r="AG388" s="675"/>
      <c r="AH388" s="680"/>
    </row>
    <row r="389" spans="1:34" s="536" customFormat="1" ht="12" x14ac:dyDescent="0.2">
      <c r="A389" s="605"/>
      <c r="B389" s="552"/>
      <c r="C389" s="1822" t="s">
        <v>319</v>
      </c>
      <c r="D389" s="1822"/>
      <c r="E389" s="1822"/>
      <c r="F389" s="562"/>
      <c r="G389" s="562"/>
      <c r="H389" s="562"/>
      <c r="I389" s="562"/>
      <c r="J389" s="604"/>
      <c r="K389" s="562"/>
      <c r="L389" s="604">
        <v>32.159999999999997</v>
      </c>
      <c r="M389" s="603"/>
      <c r="N389" s="602"/>
      <c r="V389" s="674"/>
      <c r="W389" s="675"/>
      <c r="X389" s="675"/>
      <c r="AB389" s="537" t="s">
        <v>319</v>
      </c>
      <c r="AD389" s="675"/>
      <c r="AE389" s="675"/>
      <c r="AG389" s="675"/>
      <c r="AH389" s="680"/>
    </row>
    <row r="390" spans="1:34" s="536" customFormat="1" ht="33.75" x14ac:dyDescent="0.2">
      <c r="A390" s="605"/>
      <c r="B390" s="552" t="s">
        <v>1631</v>
      </c>
      <c r="C390" s="1822" t="s">
        <v>1632</v>
      </c>
      <c r="D390" s="1822"/>
      <c r="E390" s="1822"/>
      <c r="F390" s="562" t="s">
        <v>322</v>
      </c>
      <c r="G390" s="562" t="s">
        <v>1633</v>
      </c>
      <c r="H390" s="562"/>
      <c r="I390" s="562" t="s">
        <v>1633</v>
      </c>
      <c r="J390" s="604"/>
      <c r="K390" s="562"/>
      <c r="L390" s="604">
        <v>31.2</v>
      </c>
      <c r="M390" s="603"/>
      <c r="N390" s="602"/>
      <c r="V390" s="674"/>
      <c r="W390" s="675"/>
      <c r="X390" s="675"/>
      <c r="AB390" s="537" t="s">
        <v>1632</v>
      </c>
      <c r="AD390" s="675"/>
      <c r="AE390" s="675"/>
      <c r="AG390" s="675"/>
      <c r="AH390" s="680"/>
    </row>
    <row r="391" spans="1:34" s="536" customFormat="1" ht="33.75" x14ac:dyDescent="0.2">
      <c r="A391" s="605"/>
      <c r="B391" s="552" t="s">
        <v>1634</v>
      </c>
      <c r="C391" s="1822" t="s">
        <v>1635</v>
      </c>
      <c r="D391" s="1822"/>
      <c r="E391" s="1822"/>
      <c r="F391" s="562" t="s">
        <v>322</v>
      </c>
      <c r="G391" s="562" t="s">
        <v>786</v>
      </c>
      <c r="H391" s="562"/>
      <c r="I391" s="562" t="s">
        <v>786</v>
      </c>
      <c r="J391" s="604"/>
      <c r="K391" s="562"/>
      <c r="L391" s="604">
        <v>16.399999999999999</v>
      </c>
      <c r="M391" s="603"/>
      <c r="N391" s="602"/>
      <c r="V391" s="674"/>
      <c r="W391" s="675"/>
      <c r="X391" s="675"/>
      <c r="AB391" s="537" t="s">
        <v>1635</v>
      </c>
      <c r="AD391" s="675"/>
      <c r="AE391" s="675"/>
      <c r="AG391" s="675"/>
      <c r="AH391" s="680"/>
    </row>
    <row r="392" spans="1:34" s="536" customFormat="1" ht="12" x14ac:dyDescent="0.2">
      <c r="A392" s="569"/>
      <c r="B392" s="671"/>
      <c r="C392" s="1823" t="s">
        <v>327</v>
      </c>
      <c r="D392" s="1823"/>
      <c r="E392" s="1823"/>
      <c r="F392" s="573"/>
      <c r="G392" s="573"/>
      <c r="H392" s="573"/>
      <c r="I392" s="573"/>
      <c r="J392" s="572"/>
      <c r="K392" s="573"/>
      <c r="L392" s="572">
        <v>137.87</v>
      </c>
      <c r="M392" s="601"/>
      <c r="N392" s="570"/>
      <c r="V392" s="674"/>
      <c r="W392" s="675"/>
      <c r="X392" s="675"/>
      <c r="AD392" s="675" t="s">
        <v>327</v>
      </c>
      <c r="AE392" s="675"/>
      <c r="AG392" s="675"/>
      <c r="AH392" s="680"/>
    </row>
    <row r="393" spans="1:34" s="536" customFormat="1" ht="180" x14ac:dyDescent="0.2">
      <c r="A393" s="575" t="s">
        <v>923</v>
      </c>
      <c r="B393" s="670" t="s">
        <v>5419</v>
      </c>
      <c r="C393" s="1823" t="s">
        <v>5420</v>
      </c>
      <c r="D393" s="1823"/>
      <c r="E393" s="1823"/>
      <c r="F393" s="573" t="s">
        <v>617</v>
      </c>
      <c r="G393" s="573"/>
      <c r="H393" s="573"/>
      <c r="I393" s="573" t="s">
        <v>185</v>
      </c>
      <c r="J393" s="572">
        <v>31826.86</v>
      </c>
      <c r="K393" s="573" t="s">
        <v>629</v>
      </c>
      <c r="L393" s="572">
        <v>7017.21</v>
      </c>
      <c r="M393" s="571">
        <v>4.59</v>
      </c>
      <c r="N393" s="570">
        <v>32209</v>
      </c>
      <c r="V393" s="674"/>
      <c r="W393" s="675"/>
      <c r="X393" s="675" t="s">
        <v>5420</v>
      </c>
      <c r="AD393" s="675"/>
      <c r="AE393" s="675"/>
      <c r="AG393" s="675"/>
      <c r="AH393" s="680"/>
    </row>
    <row r="394" spans="1:34" s="536" customFormat="1" ht="12" x14ac:dyDescent="0.2">
      <c r="A394" s="569"/>
      <c r="B394" s="671"/>
      <c r="C394" s="665" t="s">
        <v>630</v>
      </c>
      <c r="D394" s="666"/>
      <c r="E394" s="666"/>
      <c r="F394" s="563"/>
      <c r="G394" s="563"/>
      <c r="H394" s="563"/>
      <c r="I394" s="563"/>
      <c r="J394" s="566"/>
      <c r="K394" s="563"/>
      <c r="L394" s="566"/>
      <c r="M394" s="565"/>
      <c r="N394" s="564"/>
      <c r="V394" s="674"/>
      <c r="W394" s="675"/>
      <c r="X394" s="675"/>
      <c r="AD394" s="675"/>
      <c r="AE394" s="675"/>
      <c r="AG394" s="675"/>
      <c r="AH394" s="680"/>
    </row>
    <row r="395" spans="1:34" s="536" customFormat="1" ht="22.5" x14ac:dyDescent="0.2">
      <c r="A395" s="609"/>
      <c r="B395" s="552" t="s">
        <v>1638</v>
      </c>
      <c r="C395" s="1822" t="s">
        <v>632</v>
      </c>
      <c r="D395" s="1822"/>
      <c r="E395" s="1822"/>
      <c r="F395" s="1822"/>
      <c r="G395" s="1822"/>
      <c r="H395" s="1822"/>
      <c r="I395" s="1822"/>
      <c r="J395" s="1822"/>
      <c r="K395" s="1822"/>
      <c r="L395" s="1822"/>
      <c r="M395" s="1822"/>
      <c r="N395" s="1827"/>
      <c r="V395" s="674"/>
      <c r="W395" s="675"/>
      <c r="X395" s="675"/>
      <c r="Z395" s="537" t="s">
        <v>632</v>
      </c>
      <c r="AD395" s="675"/>
      <c r="AE395" s="675"/>
      <c r="AG395" s="675"/>
      <c r="AH395" s="680"/>
    </row>
    <row r="396" spans="1:34" s="536" customFormat="1" ht="33.75" x14ac:dyDescent="0.2">
      <c r="A396" s="575" t="s">
        <v>505</v>
      </c>
      <c r="B396" s="670" t="s">
        <v>1639</v>
      </c>
      <c r="C396" s="1823" t="s">
        <v>1640</v>
      </c>
      <c r="D396" s="1823"/>
      <c r="E396" s="1823"/>
      <c r="F396" s="573" t="s">
        <v>307</v>
      </c>
      <c r="G396" s="573"/>
      <c r="H396" s="573"/>
      <c r="I396" s="573" t="s">
        <v>1785</v>
      </c>
      <c r="J396" s="572"/>
      <c r="K396" s="573"/>
      <c r="L396" s="572"/>
      <c r="M396" s="571"/>
      <c r="N396" s="570"/>
      <c r="V396" s="674"/>
      <c r="W396" s="675"/>
      <c r="X396" s="675" t="s">
        <v>1640</v>
      </c>
      <c r="AD396" s="675"/>
      <c r="AE396" s="675"/>
      <c r="AG396" s="675"/>
      <c r="AH396" s="680"/>
    </row>
    <row r="397" spans="1:34" s="536" customFormat="1" ht="12" x14ac:dyDescent="0.2">
      <c r="A397" s="676"/>
      <c r="B397" s="664"/>
      <c r="C397" s="1822" t="s">
        <v>5421</v>
      </c>
      <c r="D397" s="1822"/>
      <c r="E397" s="1822"/>
      <c r="F397" s="1822"/>
      <c r="G397" s="1822"/>
      <c r="H397" s="1822"/>
      <c r="I397" s="1822"/>
      <c r="J397" s="1822"/>
      <c r="K397" s="1822"/>
      <c r="L397" s="1822"/>
      <c r="M397" s="1822"/>
      <c r="N397" s="1827"/>
      <c r="V397" s="674"/>
      <c r="W397" s="675"/>
      <c r="X397" s="675"/>
      <c r="Y397" s="537" t="s">
        <v>5421</v>
      </c>
      <c r="AD397" s="675"/>
      <c r="AE397" s="675"/>
      <c r="AG397" s="675"/>
      <c r="AH397" s="680"/>
    </row>
    <row r="398" spans="1:34" s="536" customFormat="1" ht="33.75" x14ac:dyDescent="0.2">
      <c r="A398" s="609"/>
      <c r="B398" s="552" t="s">
        <v>310</v>
      </c>
      <c r="C398" s="1822" t="s">
        <v>311</v>
      </c>
      <c r="D398" s="1822"/>
      <c r="E398" s="1822"/>
      <c r="F398" s="1822"/>
      <c r="G398" s="1822"/>
      <c r="H398" s="1822"/>
      <c r="I398" s="1822"/>
      <c r="J398" s="1822"/>
      <c r="K398" s="1822"/>
      <c r="L398" s="1822"/>
      <c r="M398" s="1822"/>
      <c r="N398" s="1827"/>
      <c r="V398" s="674"/>
      <c r="W398" s="675"/>
      <c r="X398" s="675"/>
      <c r="Z398" s="537" t="s">
        <v>311</v>
      </c>
      <c r="AD398" s="675"/>
      <c r="AE398" s="675"/>
      <c r="AG398" s="675"/>
      <c r="AH398" s="680"/>
    </row>
    <row r="399" spans="1:34" s="536" customFormat="1" ht="12" x14ac:dyDescent="0.2">
      <c r="A399" s="605"/>
      <c r="B399" s="552" t="s">
        <v>185</v>
      </c>
      <c r="C399" s="1822" t="s">
        <v>312</v>
      </c>
      <c r="D399" s="1822"/>
      <c r="E399" s="1822"/>
      <c r="F399" s="562"/>
      <c r="G399" s="562"/>
      <c r="H399" s="562"/>
      <c r="I399" s="562"/>
      <c r="J399" s="604">
        <v>153.26</v>
      </c>
      <c r="K399" s="562" t="s">
        <v>313</v>
      </c>
      <c r="L399" s="604">
        <v>72.8</v>
      </c>
      <c r="M399" s="603"/>
      <c r="N399" s="602"/>
      <c r="V399" s="674"/>
      <c r="W399" s="675"/>
      <c r="X399" s="675"/>
      <c r="AA399" s="537" t="s">
        <v>312</v>
      </c>
      <c r="AD399" s="675"/>
      <c r="AE399" s="675"/>
      <c r="AG399" s="675"/>
      <c r="AH399" s="680"/>
    </row>
    <row r="400" spans="1:34" s="536" customFormat="1" ht="12" x14ac:dyDescent="0.2">
      <c r="A400" s="605"/>
      <c r="B400" s="552" t="s">
        <v>186</v>
      </c>
      <c r="C400" s="1822" t="s">
        <v>344</v>
      </c>
      <c r="D400" s="1822"/>
      <c r="E400" s="1822"/>
      <c r="F400" s="562"/>
      <c r="G400" s="562"/>
      <c r="H400" s="562"/>
      <c r="I400" s="562"/>
      <c r="J400" s="604">
        <v>1.81</v>
      </c>
      <c r="K400" s="562" t="s">
        <v>313</v>
      </c>
      <c r="L400" s="604">
        <v>0.86</v>
      </c>
      <c r="M400" s="603"/>
      <c r="N400" s="602"/>
      <c r="V400" s="674"/>
      <c r="W400" s="675"/>
      <c r="X400" s="675"/>
      <c r="AA400" s="537" t="s">
        <v>344</v>
      </c>
      <c r="AD400" s="675"/>
      <c r="AE400" s="675"/>
      <c r="AG400" s="675"/>
      <c r="AH400" s="680"/>
    </row>
    <row r="401" spans="1:34" s="536" customFormat="1" ht="12" x14ac:dyDescent="0.2">
      <c r="A401" s="605"/>
      <c r="B401" s="552" t="s">
        <v>187</v>
      </c>
      <c r="C401" s="1822" t="s">
        <v>345</v>
      </c>
      <c r="D401" s="1822"/>
      <c r="E401" s="1822"/>
      <c r="F401" s="562"/>
      <c r="G401" s="562"/>
      <c r="H401" s="562"/>
      <c r="I401" s="562"/>
      <c r="J401" s="604">
        <v>0.26</v>
      </c>
      <c r="K401" s="562" t="s">
        <v>313</v>
      </c>
      <c r="L401" s="604">
        <v>0.12</v>
      </c>
      <c r="M401" s="603"/>
      <c r="N401" s="602"/>
      <c r="V401" s="674"/>
      <c r="W401" s="675"/>
      <c r="X401" s="675"/>
      <c r="AA401" s="537" t="s">
        <v>345</v>
      </c>
      <c r="AD401" s="675"/>
      <c r="AE401" s="675"/>
      <c r="AG401" s="675"/>
      <c r="AH401" s="680"/>
    </row>
    <row r="402" spans="1:34" s="536" customFormat="1" ht="12" x14ac:dyDescent="0.2">
      <c r="A402" s="605"/>
      <c r="B402" s="552" t="s">
        <v>188</v>
      </c>
      <c r="C402" s="1822" t="s">
        <v>475</v>
      </c>
      <c r="D402" s="1822"/>
      <c r="E402" s="1822"/>
      <c r="F402" s="562"/>
      <c r="G402" s="562"/>
      <c r="H402" s="562"/>
      <c r="I402" s="562"/>
      <c r="J402" s="604">
        <v>98.83</v>
      </c>
      <c r="K402" s="562"/>
      <c r="L402" s="604">
        <v>37.56</v>
      </c>
      <c r="M402" s="603"/>
      <c r="N402" s="602"/>
      <c r="V402" s="674"/>
      <c r="W402" s="675"/>
      <c r="X402" s="675"/>
      <c r="AA402" s="537" t="s">
        <v>475</v>
      </c>
      <c r="AD402" s="675"/>
      <c r="AE402" s="675"/>
      <c r="AG402" s="675"/>
      <c r="AH402" s="680"/>
    </row>
    <row r="403" spans="1:34" s="536" customFormat="1" ht="12" x14ac:dyDescent="0.2">
      <c r="A403" s="605"/>
      <c r="B403" s="552"/>
      <c r="C403" s="1822" t="s">
        <v>314</v>
      </c>
      <c r="D403" s="1822"/>
      <c r="E403" s="1822"/>
      <c r="F403" s="562" t="s">
        <v>315</v>
      </c>
      <c r="G403" s="562" t="s">
        <v>1628</v>
      </c>
      <c r="H403" s="562" t="s">
        <v>313</v>
      </c>
      <c r="I403" s="562" t="s">
        <v>5422</v>
      </c>
      <c r="J403" s="604"/>
      <c r="K403" s="562"/>
      <c r="L403" s="604"/>
      <c r="M403" s="603"/>
      <c r="N403" s="602"/>
      <c r="V403" s="674"/>
      <c r="W403" s="675"/>
      <c r="X403" s="675"/>
      <c r="AB403" s="537" t="s">
        <v>314</v>
      </c>
      <c r="AD403" s="675"/>
      <c r="AE403" s="675"/>
      <c r="AG403" s="675"/>
      <c r="AH403" s="680"/>
    </row>
    <row r="404" spans="1:34" s="536" customFormat="1" ht="12" x14ac:dyDescent="0.2">
      <c r="A404" s="605"/>
      <c r="B404" s="552"/>
      <c r="C404" s="1822" t="s">
        <v>348</v>
      </c>
      <c r="D404" s="1822"/>
      <c r="E404" s="1822"/>
      <c r="F404" s="562" t="s">
        <v>315</v>
      </c>
      <c r="G404" s="562" t="s">
        <v>695</v>
      </c>
      <c r="H404" s="562" t="s">
        <v>313</v>
      </c>
      <c r="I404" s="562" t="s">
        <v>5423</v>
      </c>
      <c r="J404" s="604"/>
      <c r="K404" s="562"/>
      <c r="L404" s="604"/>
      <c r="M404" s="603"/>
      <c r="N404" s="602"/>
      <c r="V404" s="674"/>
      <c r="W404" s="675"/>
      <c r="X404" s="675"/>
      <c r="AB404" s="537" t="s">
        <v>348</v>
      </c>
      <c r="AD404" s="675"/>
      <c r="AE404" s="675"/>
      <c r="AG404" s="675"/>
      <c r="AH404" s="680"/>
    </row>
    <row r="405" spans="1:34" s="536" customFormat="1" ht="12" x14ac:dyDescent="0.2">
      <c r="A405" s="605"/>
      <c r="B405" s="552"/>
      <c r="C405" s="1828" t="s">
        <v>318</v>
      </c>
      <c r="D405" s="1828"/>
      <c r="E405" s="1828"/>
      <c r="F405" s="608"/>
      <c r="G405" s="608"/>
      <c r="H405" s="608"/>
      <c r="I405" s="608"/>
      <c r="J405" s="607">
        <v>253.9</v>
      </c>
      <c r="K405" s="608"/>
      <c r="L405" s="607">
        <v>111.22</v>
      </c>
      <c r="M405" s="601"/>
      <c r="N405" s="606"/>
      <c r="V405" s="674"/>
      <c r="W405" s="675"/>
      <c r="X405" s="675"/>
      <c r="AC405" s="537" t="s">
        <v>318</v>
      </c>
      <c r="AD405" s="675"/>
      <c r="AE405" s="675"/>
      <c r="AG405" s="675"/>
      <c r="AH405" s="680"/>
    </row>
    <row r="406" spans="1:34" s="536" customFormat="1" ht="12" x14ac:dyDescent="0.2">
      <c r="A406" s="605"/>
      <c r="B406" s="552"/>
      <c r="C406" s="1822" t="s">
        <v>319</v>
      </c>
      <c r="D406" s="1822"/>
      <c r="E406" s="1822"/>
      <c r="F406" s="562"/>
      <c r="G406" s="562"/>
      <c r="H406" s="562"/>
      <c r="I406" s="562"/>
      <c r="J406" s="604"/>
      <c r="K406" s="562"/>
      <c r="L406" s="604">
        <v>72.92</v>
      </c>
      <c r="M406" s="603"/>
      <c r="N406" s="602"/>
      <c r="V406" s="674"/>
      <c r="W406" s="675"/>
      <c r="X406" s="675"/>
      <c r="AB406" s="537" t="s">
        <v>319</v>
      </c>
      <c r="AD406" s="675"/>
      <c r="AE406" s="675"/>
      <c r="AG406" s="675"/>
      <c r="AH406" s="680"/>
    </row>
    <row r="407" spans="1:34" s="536" customFormat="1" ht="33.75" x14ac:dyDescent="0.2">
      <c r="A407" s="605"/>
      <c r="B407" s="552" t="s">
        <v>1631</v>
      </c>
      <c r="C407" s="1822" t="s">
        <v>1632</v>
      </c>
      <c r="D407" s="1822"/>
      <c r="E407" s="1822"/>
      <c r="F407" s="562" t="s">
        <v>322</v>
      </c>
      <c r="G407" s="562" t="s">
        <v>1633</v>
      </c>
      <c r="H407" s="562"/>
      <c r="I407" s="562" t="s">
        <v>1633</v>
      </c>
      <c r="J407" s="604"/>
      <c r="K407" s="562"/>
      <c r="L407" s="604">
        <v>70.73</v>
      </c>
      <c r="M407" s="603"/>
      <c r="N407" s="602"/>
      <c r="V407" s="674"/>
      <c r="W407" s="675"/>
      <c r="X407" s="675"/>
      <c r="AB407" s="537" t="s">
        <v>1632</v>
      </c>
      <c r="AD407" s="675"/>
      <c r="AE407" s="675"/>
      <c r="AG407" s="675"/>
      <c r="AH407" s="680"/>
    </row>
    <row r="408" spans="1:34" s="536" customFormat="1" ht="33.75" x14ac:dyDescent="0.2">
      <c r="A408" s="605"/>
      <c r="B408" s="552" t="s">
        <v>1634</v>
      </c>
      <c r="C408" s="1822" t="s">
        <v>1635</v>
      </c>
      <c r="D408" s="1822"/>
      <c r="E408" s="1822"/>
      <c r="F408" s="562" t="s">
        <v>322</v>
      </c>
      <c r="G408" s="562" t="s">
        <v>786</v>
      </c>
      <c r="H408" s="562"/>
      <c r="I408" s="562" t="s">
        <v>786</v>
      </c>
      <c r="J408" s="604"/>
      <c r="K408" s="562"/>
      <c r="L408" s="604">
        <v>37.19</v>
      </c>
      <c r="M408" s="603"/>
      <c r="N408" s="602"/>
      <c r="V408" s="674"/>
      <c r="W408" s="675"/>
      <c r="X408" s="675"/>
      <c r="AB408" s="537" t="s">
        <v>1635</v>
      </c>
      <c r="AD408" s="675"/>
      <c r="AE408" s="675"/>
      <c r="AG408" s="675"/>
      <c r="AH408" s="680"/>
    </row>
    <row r="409" spans="1:34" s="536" customFormat="1" ht="12" x14ac:dyDescent="0.2">
      <c r="A409" s="569"/>
      <c r="B409" s="671"/>
      <c r="C409" s="1823" t="s">
        <v>327</v>
      </c>
      <c r="D409" s="1823"/>
      <c r="E409" s="1823"/>
      <c r="F409" s="573"/>
      <c r="G409" s="573"/>
      <c r="H409" s="573"/>
      <c r="I409" s="573"/>
      <c r="J409" s="572"/>
      <c r="K409" s="573"/>
      <c r="L409" s="572">
        <v>219.14</v>
      </c>
      <c r="M409" s="601"/>
      <c r="N409" s="570"/>
      <c r="V409" s="674"/>
      <c r="W409" s="675"/>
      <c r="X409" s="675"/>
      <c r="AD409" s="675" t="s">
        <v>327</v>
      </c>
      <c r="AE409" s="675"/>
      <c r="AG409" s="675"/>
      <c r="AH409" s="680"/>
    </row>
    <row r="410" spans="1:34" s="536" customFormat="1" ht="33.75" x14ac:dyDescent="0.2">
      <c r="A410" s="575" t="s">
        <v>767</v>
      </c>
      <c r="B410" s="670" t="s">
        <v>5424</v>
      </c>
      <c r="C410" s="1823" t="s">
        <v>5425</v>
      </c>
      <c r="D410" s="1823"/>
      <c r="E410" s="1823"/>
      <c r="F410" s="573" t="s">
        <v>307</v>
      </c>
      <c r="G410" s="573"/>
      <c r="H410" s="573"/>
      <c r="I410" s="573" t="s">
        <v>2247</v>
      </c>
      <c r="J410" s="572"/>
      <c r="K410" s="573"/>
      <c r="L410" s="572"/>
      <c r="M410" s="571"/>
      <c r="N410" s="570"/>
      <c r="V410" s="674"/>
      <c r="W410" s="675"/>
      <c r="X410" s="675" t="s">
        <v>5425</v>
      </c>
      <c r="AD410" s="675"/>
      <c r="AE410" s="675"/>
      <c r="AG410" s="675"/>
      <c r="AH410" s="680"/>
    </row>
    <row r="411" spans="1:34" s="536" customFormat="1" ht="12" x14ac:dyDescent="0.2">
      <c r="A411" s="676"/>
      <c r="B411" s="664"/>
      <c r="C411" s="1822" t="s">
        <v>5413</v>
      </c>
      <c r="D411" s="1822"/>
      <c r="E411" s="1822"/>
      <c r="F411" s="1822"/>
      <c r="G411" s="1822"/>
      <c r="H411" s="1822"/>
      <c r="I411" s="1822"/>
      <c r="J411" s="1822"/>
      <c r="K411" s="1822"/>
      <c r="L411" s="1822"/>
      <c r="M411" s="1822"/>
      <c r="N411" s="1827"/>
      <c r="V411" s="674"/>
      <c r="W411" s="675"/>
      <c r="X411" s="675"/>
      <c r="Y411" s="537" t="s">
        <v>5413</v>
      </c>
      <c r="AD411" s="675"/>
      <c r="AE411" s="675"/>
      <c r="AG411" s="675"/>
      <c r="AH411" s="680"/>
    </row>
    <row r="412" spans="1:34" s="536" customFormat="1" ht="33.75" x14ac:dyDescent="0.2">
      <c r="A412" s="609"/>
      <c r="B412" s="552" t="s">
        <v>310</v>
      </c>
      <c r="C412" s="1822" t="s">
        <v>311</v>
      </c>
      <c r="D412" s="1822"/>
      <c r="E412" s="1822"/>
      <c r="F412" s="1822"/>
      <c r="G412" s="1822"/>
      <c r="H412" s="1822"/>
      <c r="I412" s="1822"/>
      <c r="J412" s="1822"/>
      <c r="K412" s="1822"/>
      <c r="L412" s="1822"/>
      <c r="M412" s="1822"/>
      <c r="N412" s="1827"/>
      <c r="V412" s="674"/>
      <c r="W412" s="675"/>
      <c r="X412" s="675"/>
      <c r="Z412" s="537" t="s">
        <v>311</v>
      </c>
      <c r="AD412" s="675"/>
      <c r="AE412" s="675"/>
      <c r="AG412" s="675"/>
      <c r="AH412" s="680"/>
    </row>
    <row r="413" spans="1:34" s="536" customFormat="1" ht="12" x14ac:dyDescent="0.2">
      <c r="A413" s="605"/>
      <c r="B413" s="552" t="s">
        <v>185</v>
      </c>
      <c r="C413" s="1822" t="s">
        <v>312</v>
      </c>
      <c r="D413" s="1822"/>
      <c r="E413" s="1822"/>
      <c r="F413" s="562"/>
      <c r="G413" s="562"/>
      <c r="H413" s="562"/>
      <c r="I413" s="562"/>
      <c r="J413" s="604">
        <v>756.1</v>
      </c>
      <c r="K413" s="562" t="s">
        <v>313</v>
      </c>
      <c r="L413" s="604">
        <v>75.61</v>
      </c>
      <c r="M413" s="603"/>
      <c r="N413" s="602"/>
      <c r="V413" s="674"/>
      <c r="W413" s="675"/>
      <c r="X413" s="675"/>
      <c r="AA413" s="537" t="s">
        <v>312</v>
      </c>
      <c r="AD413" s="675"/>
      <c r="AE413" s="675"/>
      <c r="AG413" s="675"/>
      <c r="AH413" s="680"/>
    </row>
    <row r="414" spans="1:34" s="536" customFormat="1" ht="12" x14ac:dyDescent="0.2">
      <c r="A414" s="605"/>
      <c r="B414" s="552" t="s">
        <v>186</v>
      </c>
      <c r="C414" s="1822" t="s">
        <v>344</v>
      </c>
      <c r="D414" s="1822"/>
      <c r="E414" s="1822"/>
      <c r="F414" s="562"/>
      <c r="G414" s="562"/>
      <c r="H414" s="562"/>
      <c r="I414" s="562"/>
      <c r="J414" s="604">
        <v>36.17</v>
      </c>
      <c r="K414" s="562" t="s">
        <v>313</v>
      </c>
      <c r="L414" s="604">
        <v>3.62</v>
      </c>
      <c r="M414" s="603"/>
      <c r="N414" s="602"/>
      <c r="V414" s="674"/>
      <c r="W414" s="675"/>
      <c r="X414" s="675"/>
      <c r="AA414" s="537" t="s">
        <v>344</v>
      </c>
      <c r="AD414" s="675"/>
      <c r="AE414" s="675"/>
      <c r="AG414" s="675"/>
      <c r="AH414" s="680"/>
    </row>
    <row r="415" spans="1:34" s="536" customFormat="1" ht="12" x14ac:dyDescent="0.2">
      <c r="A415" s="605"/>
      <c r="B415" s="552" t="s">
        <v>187</v>
      </c>
      <c r="C415" s="1822" t="s">
        <v>345</v>
      </c>
      <c r="D415" s="1822"/>
      <c r="E415" s="1822"/>
      <c r="F415" s="562"/>
      <c r="G415" s="562"/>
      <c r="H415" s="562"/>
      <c r="I415" s="562"/>
      <c r="J415" s="604">
        <v>1.51</v>
      </c>
      <c r="K415" s="562" t="s">
        <v>313</v>
      </c>
      <c r="L415" s="604">
        <v>0.15</v>
      </c>
      <c r="M415" s="603"/>
      <c r="N415" s="602"/>
      <c r="V415" s="674"/>
      <c r="W415" s="675"/>
      <c r="X415" s="675"/>
      <c r="AA415" s="537" t="s">
        <v>345</v>
      </c>
      <c r="AD415" s="675"/>
      <c r="AE415" s="675"/>
      <c r="AG415" s="675"/>
      <c r="AH415" s="680"/>
    </row>
    <row r="416" spans="1:34" s="536" customFormat="1" ht="12" x14ac:dyDescent="0.2">
      <c r="A416" s="605"/>
      <c r="B416" s="552" t="s">
        <v>188</v>
      </c>
      <c r="C416" s="1822" t="s">
        <v>475</v>
      </c>
      <c r="D416" s="1822"/>
      <c r="E416" s="1822"/>
      <c r="F416" s="562"/>
      <c r="G416" s="562"/>
      <c r="H416" s="562"/>
      <c r="I416" s="562"/>
      <c r="J416" s="604">
        <v>376.59</v>
      </c>
      <c r="K416" s="562"/>
      <c r="L416" s="604">
        <v>30.13</v>
      </c>
      <c r="M416" s="603"/>
      <c r="N416" s="602"/>
      <c r="V416" s="674"/>
      <c r="W416" s="675"/>
      <c r="X416" s="675"/>
      <c r="AA416" s="537" t="s">
        <v>475</v>
      </c>
      <c r="AD416" s="675"/>
      <c r="AE416" s="675"/>
      <c r="AG416" s="675"/>
      <c r="AH416" s="680"/>
    </row>
    <row r="417" spans="1:34" s="536" customFormat="1" ht="12" x14ac:dyDescent="0.2">
      <c r="A417" s="605"/>
      <c r="B417" s="552"/>
      <c r="C417" s="1822" t="s">
        <v>314</v>
      </c>
      <c r="D417" s="1822"/>
      <c r="E417" s="1822"/>
      <c r="F417" s="562" t="s">
        <v>315</v>
      </c>
      <c r="G417" s="562" t="s">
        <v>5426</v>
      </c>
      <c r="H417" s="562" t="s">
        <v>313</v>
      </c>
      <c r="I417" s="562" t="s">
        <v>5427</v>
      </c>
      <c r="J417" s="604"/>
      <c r="K417" s="562"/>
      <c r="L417" s="604"/>
      <c r="M417" s="603"/>
      <c r="N417" s="602"/>
      <c r="V417" s="674"/>
      <c r="W417" s="675"/>
      <c r="X417" s="675"/>
      <c r="AB417" s="537" t="s">
        <v>314</v>
      </c>
      <c r="AD417" s="675"/>
      <c r="AE417" s="675"/>
      <c r="AG417" s="675"/>
      <c r="AH417" s="680"/>
    </row>
    <row r="418" spans="1:34" s="536" customFormat="1" ht="12" x14ac:dyDescent="0.2">
      <c r="A418" s="605"/>
      <c r="B418" s="552"/>
      <c r="C418" s="1822" t="s">
        <v>348</v>
      </c>
      <c r="D418" s="1822"/>
      <c r="E418" s="1822"/>
      <c r="F418" s="562" t="s">
        <v>315</v>
      </c>
      <c r="G418" s="562" t="s">
        <v>646</v>
      </c>
      <c r="H418" s="562" t="s">
        <v>313</v>
      </c>
      <c r="I418" s="562" t="s">
        <v>2250</v>
      </c>
      <c r="J418" s="604"/>
      <c r="K418" s="562"/>
      <c r="L418" s="604"/>
      <c r="M418" s="603"/>
      <c r="N418" s="602"/>
      <c r="V418" s="674"/>
      <c r="W418" s="675"/>
      <c r="X418" s="675"/>
      <c r="AB418" s="537" t="s">
        <v>348</v>
      </c>
      <c r="AD418" s="675"/>
      <c r="AE418" s="675"/>
      <c r="AG418" s="675"/>
      <c r="AH418" s="680"/>
    </row>
    <row r="419" spans="1:34" s="536" customFormat="1" ht="12" x14ac:dyDescent="0.2">
      <c r="A419" s="605"/>
      <c r="B419" s="552"/>
      <c r="C419" s="1828" t="s">
        <v>318</v>
      </c>
      <c r="D419" s="1828"/>
      <c r="E419" s="1828"/>
      <c r="F419" s="608"/>
      <c r="G419" s="608"/>
      <c r="H419" s="608"/>
      <c r="I419" s="608"/>
      <c r="J419" s="607">
        <v>1168.8599999999999</v>
      </c>
      <c r="K419" s="608"/>
      <c r="L419" s="607">
        <v>109.36</v>
      </c>
      <c r="M419" s="601"/>
      <c r="N419" s="606"/>
      <c r="V419" s="674"/>
      <c r="W419" s="675"/>
      <c r="X419" s="675"/>
      <c r="AC419" s="537" t="s">
        <v>318</v>
      </c>
      <c r="AD419" s="675"/>
      <c r="AE419" s="675"/>
      <c r="AG419" s="675"/>
      <c r="AH419" s="680"/>
    </row>
    <row r="420" spans="1:34" s="536" customFormat="1" ht="12" x14ac:dyDescent="0.2">
      <c r="A420" s="605"/>
      <c r="B420" s="552"/>
      <c r="C420" s="1822" t="s">
        <v>319</v>
      </c>
      <c r="D420" s="1822"/>
      <c r="E420" s="1822"/>
      <c r="F420" s="562"/>
      <c r="G420" s="562"/>
      <c r="H420" s="562"/>
      <c r="I420" s="562"/>
      <c r="J420" s="604"/>
      <c r="K420" s="562"/>
      <c r="L420" s="604">
        <v>75.760000000000005</v>
      </c>
      <c r="M420" s="603"/>
      <c r="N420" s="602"/>
      <c r="V420" s="674"/>
      <c r="W420" s="675"/>
      <c r="X420" s="675"/>
      <c r="AB420" s="537" t="s">
        <v>319</v>
      </c>
      <c r="AD420" s="675"/>
      <c r="AE420" s="675"/>
      <c r="AG420" s="675"/>
      <c r="AH420" s="680"/>
    </row>
    <row r="421" spans="1:34" s="536" customFormat="1" ht="33.75" x14ac:dyDescent="0.2">
      <c r="A421" s="605"/>
      <c r="B421" s="552" t="s">
        <v>1631</v>
      </c>
      <c r="C421" s="1822" t="s">
        <v>1632</v>
      </c>
      <c r="D421" s="1822"/>
      <c r="E421" s="1822"/>
      <c r="F421" s="562" t="s">
        <v>322</v>
      </c>
      <c r="G421" s="562" t="s">
        <v>1633</v>
      </c>
      <c r="H421" s="562"/>
      <c r="I421" s="562" t="s">
        <v>1633</v>
      </c>
      <c r="J421" s="604"/>
      <c r="K421" s="562"/>
      <c r="L421" s="604">
        <v>73.489999999999995</v>
      </c>
      <c r="M421" s="603"/>
      <c r="N421" s="602"/>
      <c r="V421" s="674"/>
      <c r="W421" s="675"/>
      <c r="X421" s="675"/>
      <c r="AB421" s="537" t="s">
        <v>1632</v>
      </c>
      <c r="AD421" s="675"/>
      <c r="AE421" s="675"/>
      <c r="AG421" s="675"/>
      <c r="AH421" s="680"/>
    </row>
    <row r="422" spans="1:34" s="536" customFormat="1" ht="33.75" x14ac:dyDescent="0.2">
      <c r="A422" s="605"/>
      <c r="B422" s="552" t="s">
        <v>1634</v>
      </c>
      <c r="C422" s="1822" t="s">
        <v>1635</v>
      </c>
      <c r="D422" s="1822"/>
      <c r="E422" s="1822"/>
      <c r="F422" s="562" t="s">
        <v>322</v>
      </c>
      <c r="G422" s="562" t="s">
        <v>786</v>
      </c>
      <c r="H422" s="562"/>
      <c r="I422" s="562" t="s">
        <v>786</v>
      </c>
      <c r="J422" s="604"/>
      <c r="K422" s="562"/>
      <c r="L422" s="604">
        <v>38.64</v>
      </c>
      <c r="M422" s="603"/>
      <c r="N422" s="602"/>
      <c r="V422" s="674"/>
      <c r="W422" s="675"/>
      <c r="X422" s="675"/>
      <c r="AB422" s="537" t="s">
        <v>1635</v>
      </c>
      <c r="AD422" s="675"/>
      <c r="AE422" s="675"/>
      <c r="AG422" s="675"/>
      <c r="AH422" s="680"/>
    </row>
    <row r="423" spans="1:34" s="536" customFormat="1" ht="12" x14ac:dyDescent="0.2">
      <c r="A423" s="569"/>
      <c r="B423" s="671"/>
      <c r="C423" s="1823" t="s">
        <v>327</v>
      </c>
      <c r="D423" s="1823"/>
      <c r="E423" s="1823"/>
      <c r="F423" s="573"/>
      <c r="G423" s="573"/>
      <c r="H423" s="573"/>
      <c r="I423" s="573"/>
      <c r="J423" s="572"/>
      <c r="K423" s="573"/>
      <c r="L423" s="572">
        <v>221.49</v>
      </c>
      <c r="M423" s="601"/>
      <c r="N423" s="570"/>
      <c r="V423" s="674"/>
      <c r="W423" s="675"/>
      <c r="X423" s="675"/>
      <c r="AD423" s="675" t="s">
        <v>327</v>
      </c>
      <c r="AE423" s="675"/>
      <c r="AG423" s="675"/>
      <c r="AH423" s="680"/>
    </row>
    <row r="424" spans="1:34" s="536" customFormat="1" ht="1.5" customHeight="1" x14ac:dyDescent="0.2">
      <c r="A424" s="563"/>
      <c r="B424" s="671"/>
      <c r="C424" s="671"/>
      <c r="D424" s="671"/>
      <c r="E424" s="671"/>
      <c r="F424" s="563"/>
      <c r="G424" s="563"/>
      <c r="H424" s="563"/>
      <c r="I424" s="563"/>
      <c r="J424" s="546"/>
      <c r="K424" s="563"/>
      <c r="L424" s="546"/>
      <c r="M424" s="562"/>
      <c r="N424" s="546"/>
      <c r="V424" s="674"/>
      <c r="W424" s="675"/>
      <c r="X424" s="675"/>
      <c r="AD424" s="675"/>
      <c r="AE424" s="675"/>
      <c r="AG424" s="675"/>
      <c r="AH424" s="680"/>
    </row>
    <row r="425" spans="1:34" s="536" customFormat="1" ht="12" x14ac:dyDescent="0.2">
      <c r="A425" s="557"/>
      <c r="B425" s="556"/>
      <c r="C425" s="1823" t="s">
        <v>5428</v>
      </c>
      <c r="D425" s="1823"/>
      <c r="E425" s="1823"/>
      <c r="F425" s="1823"/>
      <c r="G425" s="1823"/>
      <c r="H425" s="1823"/>
      <c r="I425" s="1823"/>
      <c r="J425" s="1823"/>
      <c r="K425" s="1823"/>
      <c r="L425" s="555"/>
      <c r="M425" s="554"/>
      <c r="N425" s="553"/>
      <c r="V425" s="674"/>
      <c r="W425" s="675"/>
      <c r="X425" s="675"/>
      <c r="AD425" s="675"/>
      <c r="AE425" s="675" t="s">
        <v>5428</v>
      </c>
      <c r="AG425" s="675"/>
      <c r="AH425" s="680"/>
    </row>
    <row r="426" spans="1:34" s="536" customFormat="1" ht="12" x14ac:dyDescent="0.2">
      <c r="A426" s="548"/>
      <c r="B426" s="552"/>
      <c r="C426" s="1822" t="s">
        <v>403</v>
      </c>
      <c r="D426" s="1822"/>
      <c r="E426" s="1822"/>
      <c r="F426" s="1822"/>
      <c r="G426" s="1822"/>
      <c r="H426" s="1822"/>
      <c r="I426" s="1822"/>
      <c r="J426" s="1822"/>
      <c r="K426" s="1822"/>
      <c r="L426" s="551">
        <v>933.49</v>
      </c>
      <c r="M426" s="550"/>
      <c r="N426" s="549"/>
      <c r="V426" s="674"/>
      <c r="W426" s="675"/>
      <c r="X426" s="675"/>
      <c r="AD426" s="675"/>
      <c r="AE426" s="675"/>
      <c r="AF426" s="537" t="s">
        <v>403</v>
      </c>
      <c r="AG426" s="675"/>
      <c r="AH426" s="680"/>
    </row>
    <row r="427" spans="1:34" s="536" customFormat="1" ht="12" x14ac:dyDescent="0.2">
      <c r="A427" s="548"/>
      <c r="B427" s="552"/>
      <c r="C427" s="1822" t="s">
        <v>204</v>
      </c>
      <c r="D427" s="1822"/>
      <c r="E427" s="1822"/>
      <c r="F427" s="1822"/>
      <c r="G427" s="1822"/>
      <c r="H427" s="1822"/>
      <c r="I427" s="1822"/>
      <c r="J427" s="1822"/>
      <c r="K427" s="1822"/>
      <c r="L427" s="551"/>
      <c r="M427" s="550"/>
      <c r="N427" s="549"/>
      <c r="V427" s="674"/>
      <c r="W427" s="675"/>
      <c r="X427" s="675"/>
      <c r="AD427" s="675"/>
      <c r="AE427" s="675"/>
      <c r="AF427" s="537" t="s">
        <v>204</v>
      </c>
      <c r="AG427" s="675"/>
      <c r="AH427" s="680"/>
    </row>
    <row r="428" spans="1:34" s="536" customFormat="1" ht="12" x14ac:dyDescent="0.2">
      <c r="A428" s="548"/>
      <c r="B428" s="552"/>
      <c r="C428" s="1822" t="s">
        <v>404</v>
      </c>
      <c r="D428" s="1822"/>
      <c r="E428" s="1822"/>
      <c r="F428" s="1822"/>
      <c r="G428" s="1822"/>
      <c r="H428" s="1822"/>
      <c r="I428" s="1822"/>
      <c r="J428" s="1822"/>
      <c r="K428" s="1822"/>
      <c r="L428" s="551">
        <v>523.70000000000005</v>
      </c>
      <c r="M428" s="550"/>
      <c r="N428" s="549"/>
      <c r="V428" s="674"/>
      <c r="W428" s="675"/>
      <c r="X428" s="675"/>
      <c r="AD428" s="675"/>
      <c r="AE428" s="675"/>
      <c r="AF428" s="537" t="s">
        <v>404</v>
      </c>
      <c r="AG428" s="675"/>
      <c r="AH428" s="680"/>
    </row>
    <row r="429" spans="1:34" s="536" customFormat="1" ht="12" x14ac:dyDescent="0.2">
      <c r="A429" s="548"/>
      <c r="B429" s="552"/>
      <c r="C429" s="1822" t="s">
        <v>405</v>
      </c>
      <c r="D429" s="1822"/>
      <c r="E429" s="1822"/>
      <c r="F429" s="1822"/>
      <c r="G429" s="1822"/>
      <c r="H429" s="1822"/>
      <c r="I429" s="1822"/>
      <c r="J429" s="1822"/>
      <c r="K429" s="1822"/>
      <c r="L429" s="551">
        <v>193.46</v>
      </c>
      <c r="M429" s="550"/>
      <c r="N429" s="549"/>
      <c r="V429" s="674"/>
      <c r="W429" s="675"/>
      <c r="X429" s="675"/>
      <c r="AD429" s="675"/>
      <c r="AE429" s="675"/>
      <c r="AF429" s="537" t="s">
        <v>405</v>
      </c>
      <c r="AG429" s="675"/>
      <c r="AH429" s="680"/>
    </row>
    <row r="430" spans="1:34" s="536" customFormat="1" ht="12" x14ac:dyDescent="0.2">
      <c r="A430" s="548"/>
      <c r="B430" s="552"/>
      <c r="C430" s="1822" t="s">
        <v>406</v>
      </c>
      <c r="D430" s="1822"/>
      <c r="E430" s="1822"/>
      <c r="F430" s="1822"/>
      <c r="G430" s="1822"/>
      <c r="H430" s="1822"/>
      <c r="I430" s="1822"/>
      <c r="J430" s="1822"/>
      <c r="K430" s="1822"/>
      <c r="L430" s="551">
        <v>21.9</v>
      </c>
      <c r="M430" s="550"/>
      <c r="N430" s="549"/>
      <c r="V430" s="674"/>
      <c r="W430" s="675"/>
      <c r="X430" s="675"/>
      <c r="AD430" s="675"/>
      <c r="AE430" s="675"/>
      <c r="AF430" s="537" t="s">
        <v>406</v>
      </c>
      <c r="AG430" s="675"/>
      <c r="AH430" s="680"/>
    </row>
    <row r="431" spans="1:34" s="536" customFormat="1" ht="12" x14ac:dyDescent="0.2">
      <c r="A431" s="548"/>
      <c r="B431" s="552"/>
      <c r="C431" s="1822" t="s">
        <v>480</v>
      </c>
      <c r="D431" s="1822"/>
      <c r="E431" s="1822"/>
      <c r="F431" s="1822"/>
      <c r="G431" s="1822"/>
      <c r="H431" s="1822"/>
      <c r="I431" s="1822"/>
      <c r="J431" s="1822"/>
      <c r="K431" s="1822"/>
      <c r="L431" s="551">
        <v>216.33</v>
      </c>
      <c r="M431" s="550"/>
      <c r="N431" s="549"/>
      <c r="V431" s="674"/>
      <c r="W431" s="675"/>
      <c r="X431" s="675"/>
      <c r="AD431" s="675"/>
      <c r="AE431" s="675"/>
      <c r="AF431" s="537" t="s">
        <v>480</v>
      </c>
      <c r="AG431" s="675"/>
      <c r="AH431" s="680"/>
    </row>
    <row r="432" spans="1:34" s="536" customFormat="1" ht="12" x14ac:dyDescent="0.2">
      <c r="A432" s="548"/>
      <c r="B432" s="552"/>
      <c r="C432" s="1822" t="s">
        <v>753</v>
      </c>
      <c r="D432" s="1822"/>
      <c r="E432" s="1822"/>
      <c r="F432" s="1822"/>
      <c r="G432" s="1822"/>
      <c r="H432" s="1822"/>
      <c r="I432" s="1822"/>
      <c r="J432" s="1822"/>
      <c r="K432" s="1822"/>
      <c r="L432" s="551">
        <v>1740.98</v>
      </c>
      <c r="M432" s="550"/>
      <c r="N432" s="549"/>
      <c r="V432" s="674"/>
      <c r="W432" s="675"/>
      <c r="X432" s="675"/>
      <c r="AD432" s="675"/>
      <c r="AE432" s="675"/>
      <c r="AF432" s="537" t="s">
        <v>753</v>
      </c>
      <c r="AG432" s="675"/>
      <c r="AH432" s="680"/>
    </row>
    <row r="433" spans="1:34" s="536" customFormat="1" ht="12" x14ac:dyDescent="0.2">
      <c r="A433" s="548"/>
      <c r="B433" s="552"/>
      <c r="C433" s="1822" t="s">
        <v>204</v>
      </c>
      <c r="D433" s="1822"/>
      <c r="E433" s="1822"/>
      <c r="F433" s="1822"/>
      <c r="G433" s="1822"/>
      <c r="H433" s="1822"/>
      <c r="I433" s="1822"/>
      <c r="J433" s="1822"/>
      <c r="K433" s="1822"/>
      <c r="L433" s="551"/>
      <c r="M433" s="550"/>
      <c r="N433" s="549"/>
      <c r="V433" s="674"/>
      <c r="W433" s="675"/>
      <c r="X433" s="675"/>
      <c r="AD433" s="675"/>
      <c r="AE433" s="675"/>
      <c r="AF433" s="537" t="s">
        <v>204</v>
      </c>
      <c r="AG433" s="675"/>
      <c r="AH433" s="680"/>
    </row>
    <row r="434" spans="1:34" s="536" customFormat="1" ht="12" x14ac:dyDescent="0.2">
      <c r="A434" s="548"/>
      <c r="B434" s="552"/>
      <c r="C434" s="1822" t="s">
        <v>546</v>
      </c>
      <c r="D434" s="1822"/>
      <c r="E434" s="1822"/>
      <c r="F434" s="1822"/>
      <c r="G434" s="1822"/>
      <c r="H434" s="1822"/>
      <c r="I434" s="1822"/>
      <c r="J434" s="1822"/>
      <c r="K434" s="1822"/>
      <c r="L434" s="551">
        <v>523.70000000000005</v>
      </c>
      <c r="M434" s="550"/>
      <c r="N434" s="549"/>
      <c r="V434" s="674"/>
      <c r="W434" s="675"/>
      <c r="X434" s="675"/>
      <c r="AD434" s="675"/>
      <c r="AE434" s="675"/>
      <c r="AF434" s="537" t="s">
        <v>546</v>
      </c>
      <c r="AG434" s="675"/>
      <c r="AH434" s="680"/>
    </row>
    <row r="435" spans="1:34" s="536" customFormat="1" ht="12" x14ac:dyDescent="0.2">
      <c r="A435" s="548"/>
      <c r="B435" s="552"/>
      <c r="C435" s="1822" t="s">
        <v>442</v>
      </c>
      <c r="D435" s="1822"/>
      <c r="E435" s="1822"/>
      <c r="F435" s="1822"/>
      <c r="G435" s="1822"/>
      <c r="H435" s="1822"/>
      <c r="I435" s="1822"/>
      <c r="J435" s="1822"/>
      <c r="K435" s="1822"/>
      <c r="L435" s="551">
        <v>193.46</v>
      </c>
      <c r="M435" s="550"/>
      <c r="N435" s="549"/>
      <c r="V435" s="674"/>
      <c r="W435" s="675"/>
      <c r="X435" s="675"/>
      <c r="AD435" s="675"/>
      <c r="AE435" s="675"/>
      <c r="AF435" s="537" t="s">
        <v>442</v>
      </c>
      <c r="AG435" s="675"/>
      <c r="AH435" s="680"/>
    </row>
    <row r="436" spans="1:34" s="536" customFormat="1" ht="12" x14ac:dyDescent="0.2">
      <c r="A436" s="548"/>
      <c r="B436" s="552"/>
      <c r="C436" s="1822" t="s">
        <v>547</v>
      </c>
      <c r="D436" s="1822"/>
      <c r="E436" s="1822"/>
      <c r="F436" s="1822"/>
      <c r="G436" s="1822"/>
      <c r="H436" s="1822"/>
      <c r="I436" s="1822"/>
      <c r="J436" s="1822"/>
      <c r="K436" s="1822"/>
      <c r="L436" s="551">
        <v>216.33</v>
      </c>
      <c r="M436" s="550"/>
      <c r="N436" s="549"/>
      <c r="V436" s="674"/>
      <c r="W436" s="675"/>
      <c r="X436" s="675"/>
      <c r="AD436" s="675"/>
      <c r="AE436" s="675"/>
      <c r="AF436" s="537" t="s">
        <v>547</v>
      </c>
      <c r="AG436" s="675"/>
      <c r="AH436" s="680"/>
    </row>
    <row r="437" spans="1:34" s="536" customFormat="1" ht="12" x14ac:dyDescent="0.2">
      <c r="A437" s="548"/>
      <c r="B437" s="552"/>
      <c r="C437" s="1822" t="s">
        <v>443</v>
      </c>
      <c r="D437" s="1822"/>
      <c r="E437" s="1822"/>
      <c r="F437" s="1822"/>
      <c r="G437" s="1822"/>
      <c r="H437" s="1822"/>
      <c r="I437" s="1822"/>
      <c r="J437" s="1822"/>
      <c r="K437" s="1822"/>
      <c r="L437" s="551">
        <v>529.23</v>
      </c>
      <c r="M437" s="550"/>
      <c r="N437" s="549"/>
      <c r="V437" s="674"/>
      <c r="W437" s="675"/>
      <c r="X437" s="675"/>
      <c r="AD437" s="675"/>
      <c r="AE437" s="675"/>
      <c r="AF437" s="537" t="s">
        <v>443</v>
      </c>
      <c r="AG437" s="675"/>
      <c r="AH437" s="680"/>
    </row>
    <row r="438" spans="1:34" s="536" customFormat="1" ht="12" x14ac:dyDescent="0.2">
      <c r="A438" s="548"/>
      <c r="B438" s="552"/>
      <c r="C438" s="1822" t="s">
        <v>444</v>
      </c>
      <c r="D438" s="1822"/>
      <c r="E438" s="1822"/>
      <c r="F438" s="1822"/>
      <c r="G438" s="1822"/>
      <c r="H438" s="1822"/>
      <c r="I438" s="1822"/>
      <c r="J438" s="1822"/>
      <c r="K438" s="1822"/>
      <c r="L438" s="551">
        <v>278.26</v>
      </c>
      <c r="M438" s="550"/>
      <c r="N438" s="549"/>
      <c r="V438" s="674"/>
      <c r="W438" s="675"/>
      <c r="X438" s="675"/>
      <c r="AD438" s="675"/>
      <c r="AE438" s="675"/>
      <c r="AF438" s="537" t="s">
        <v>444</v>
      </c>
      <c r="AG438" s="675"/>
      <c r="AH438" s="680"/>
    </row>
    <row r="439" spans="1:34" s="536" customFormat="1" ht="12" x14ac:dyDescent="0.2">
      <c r="A439" s="548"/>
      <c r="B439" s="552"/>
      <c r="C439" s="1822" t="s">
        <v>754</v>
      </c>
      <c r="D439" s="1822"/>
      <c r="E439" s="1822"/>
      <c r="F439" s="1822"/>
      <c r="G439" s="1822"/>
      <c r="H439" s="1822"/>
      <c r="I439" s="1822"/>
      <c r="J439" s="1822"/>
      <c r="K439" s="1822"/>
      <c r="L439" s="551">
        <v>21357.52</v>
      </c>
      <c r="M439" s="550"/>
      <c r="N439" s="549"/>
      <c r="V439" s="674"/>
      <c r="W439" s="675"/>
      <c r="X439" s="675"/>
      <c r="AD439" s="675"/>
      <c r="AE439" s="675"/>
      <c r="AF439" s="537" t="s">
        <v>754</v>
      </c>
      <c r="AG439" s="675"/>
      <c r="AH439" s="680"/>
    </row>
    <row r="440" spans="1:34" s="536" customFormat="1" ht="12" x14ac:dyDescent="0.2">
      <c r="A440" s="548"/>
      <c r="B440" s="552"/>
      <c r="C440" s="1822" t="s">
        <v>415</v>
      </c>
      <c r="D440" s="1822"/>
      <c r="E440" s="1822"/>
      <c r="F440" s="1822"/>
      <c r="G440" s="1822"/>
      <c r="H440" s="1822"/>
      <c r="I440" s="1822"/>
      <c r="J440" s="1822"/>
      <c r="K440" s="1822"/>
      <c r="L440" s="551">
        <v>545.6</v>
      </c>
      <c r="M440" s="550"/>
      <c r="N440" s="549"/>
      <c r="V440" s="674"/>
      <c r="W440" s="675"/>
      <c r="X440" s="675"/>
      <c r="AD440" s="675"/>
      <c r="AE440" s="675"/>
      <c r="AF440" s="537" t="s">
        <v>415</v>
      </c>
      <c r="AG440" s="675"/>
      <c r="AH440" s="680"/>
    </row>
    <row r="441" spans="1:34" s="536" customFormat="1" ht="12" x14ac:dyDescent="0.2">
      <c r="A441" s="548"/>
      <c r="B441" s="552"/>
      <c r="C441" s="1822" t="s">
        <v>416</v>
      </c>
      <c r="D441" s="1822"/>
      <c r="E441" s="1822"/>
      <c r="F441" s="1822"/>
      <c r="G441" s="1822"/>
      <c r="H441" s="1822"/>
      <c r="I441" s="1822"/>
      <c r="J441" s="1822"/>
      <c r="K441" s="1822"/>
      <c r="L441" s="551">
        <v>529.23</v>
      </c>
      <c r="M441" s="550"/>
      <c r="N441" s="549"/>
      <c r="V441" s="674"/>
      <c r="W441" s="675"/>
      <c r="X441" s="675"/>
      <c r="AD441" s="675"/>
      <c r="AE441" s="675"/>
      <c r="AF441" s="537" t="s">
        <v>416</v>
      </c>
      <c r="AG441" s="675"/>
      <c r="AH441" s="680"/>
    </row>
    <row r="442" spans="1:34" s="536" customFormat="1" ht="12" x14ac:dyDescent="0.2">
      <c r="A442" s="548"/>
      <c r="B442" s="552"/>
      <c r="C442" s="1822" t="s">
        <v>417</v>
      </c>
      <c r="D442" s="1822"/>
      <c r="E442" s="1822"/>
      <c r="F442" s="1822"/>
      <c r="G442" s="1822"/>
      <c r="H442" s="1822"/>
      <c r="I442" s="1822"/>
      <c r="J442" s="1822"/>
      <c r="K442" s="1822"/>
      <c r="L442" s="551">
        <v>278.26</v>
      </c>
      <c r="M442" s="550"/>
      <c r="N442" s="549"/>
      <c r="V442" s="674"/>
      <c r="W442" s="675"/>
      <c r="X442" s="675"/>
      <c r="AD442" s="675"/>
      <c r="AE442" s="675"/>
      <c r="AF442" s="537" t="s">
        <v>417</v>
      </c>
      <c r="AG442" s="675"/>
      <c r="AH442" s="680"/>
    </row>
    <row r="443" spans="1:34" s="536" customFormat="1" ht="12" x14ac:dyDescent="0.2">
      <c r="A443" s="548"/>
      <c r="B443" s="546"/>
      <c r="C443" s="1819" t="s">
        <v>5429</v>
      </c>
      <c r="D443" s="1819"/>
      <c r="E443" s="1819"/>
      <c r="F443" s="1819"/>
      <c r="G443" s="1819"/>
      <c r="H443" s="1819"/>
      <c r="I443" s="1819"/>
      <c r="J443" s="1819"/>
      <c r="K443" s="1819"/>
      <c r="L443" s="544">
        <v>23098.5</v>
      </c>
      <c r="M443" s="543"/>
      <c r="N443" s="681"/>
      <c r="V443" s="674"/>
      <c r="W443" s="675"/>
      <c r="X443" s="675"/>
      <c r="AD443" s="675"/>
      <c r="AE443" s="675"/>
      <c r="AG443" s="675" t="s">
        <v>5429</v>
      </c>
      <c r="AH443" s="680"/>
    </row>
    <row r="444" spans="1:34" s="536" customFormat="1" ht="12" x14ac:dyDescent="0.2">
      <c r="A444" s="548"/>
      <c r="B444" s="552"/>
      <c r="C444" s="1822" t="s">
        <v>204</v>
      </c>
      <c r="D444" s="1822"/>
      <c r="E444" s="1822"/>
      <c r="F444" s="1822"/>
      <c r="G444" s="1822"/>
      <c r="H444" s="1822"/>
      <c r="I444" s="1822"/>
      <c r="J444" s="1822"/>
      <c r="K444" s="1822"/>
      <c r="L444" s="551"/>
      <c r="M444" s="550"/>
      <c r="N444" s="549"/>
      <c r="V444" s="674"/>
      <c r="W444" s="675"/>
      <c r="X444" s="675"/>
      <c r="AD444" s="675"/>
      <c r="AE444" s="675"/>
      <c r="AF444" s="537" t="s">
        <v>204</v>
      </c>
      <c r="AG444" s="675"/>
      <c r="AH444" s="680"/>
    </row>
    <row r="445" spans="1:34" s="536" customFormat="1" ht="12" x14ac:dyDescent="0.2">
      <c r="A445" s="548"/>
      <c r="B445" s="552"/>
      <c r="C445" s="1822" t="s">
        <v>8097</v>
      </c>
      <c r="D445" s="1822"/>
      <c r="E445" s="1822"/>
      <c r="F445" s="1822"/>
      <c r="G445" s="1822"/>
      <c r="H445" s="1822"/>
      <c r="I445" s="1822"/>
      <c r="J445" s="1822"/>
      <c r="K445" s="1822"/>
      <c r="L445" s="551">
        <v>21357.52</v>
      </c>
      <c r="M445" s="550"/>
      <c r="N445" s="549"/>
      <c r="V445" s="674"/>
      <c r="W445" s="675"/>
      <c r="X445" s="675"/>
      <c r="AD445" s="675"/>
      <c r="AE445" s="675"/>
      <c r="AF445" s="537" t="s">
        <v>8097</v>
      </c>
      <c r="AG445" s="675"/>
      <c r="AH445" s="680"/>
    </row>
    <row r="446" spans="1:34" s="536" customFormat="1" ht="12" x14ac:dyDescent="0.2">
      <c r="A446" s="1824" t="s">
        <v>5430</v>
      </c>
      <c r="B446" s="1825"/>
      <c r="C446" s="1825"/>
      <c r="D446" s="1825"/>
      <c r="E446" s="1825"/>
      <c r="F446" s="1825"/>
      <c r="G446" s="1825"/>
      <c r="H446" s="1825"/>
      <c r="I446" s="1825"/>
      <c r="J446" s="1825"/>
      <c r="K446" s="1825"/>
      <c r="L446" s="1825"/>
      <c r="M446" s="1825"/>
      <c r="N446" s="1826"/>
      <c r="V446" s="674" t="s">
        <v>5430</v>
      </c>
      <c r="W446" s="675"/>
      <c r="X446" s="675"/>
      <c r="AD446" s="675"/>
      <c r="AE446" s="675"/>
      <c r="AG446" s="675"/>
      <c r="AH446" s="680"/>
    </row>
    <row r="447" spans="1:34" s="536" customFormat="1" ht="22.5" x14ac:dyDescent="0.2">
      <c r="A447" s="575" t="s">
        <v>768</v>
      </c>
      <c r="B447" s="670" t="s">
        <v>5431</v>
      </c>
      <c r="C447" s="1823" t="s">
        <v>5432</v>
      </c>
      <c r="D447" s="1823"/>
      <c r="E447" s="1823"/>
      <c r="F447" s="573" t="s">
        <v>617</v>
      </c>
      <c r="G447" s="573"/>
      <c r="H447" s="573"/>
      <c r="I447" s="573" t="s">
        <v>1373</v>
      </c>
      <c r="J447" s="572"/>
      <c r="K447" s="573"/>
      <c r="L447" s="572"/>
      <c r="M447" s="571"/>
      <c r="N447" s="570"/>
      <c r="V447" s="674"/>
      <c r="W447" s="675"/>
      <c r="X447" s="675" t="s">
        <v>5432</v>
      </c>
      <c r="AD447" s="675"/>
      <c r="AE447" s="675"/>
      <c r="AG447" s="675"/>
      <c r="AH447" s="680"/>
    </row>
    <row r="448" spans="1:34" s="536" customFormat="1" ht="12" x14ac:dyDescent="0.2">
      <c r="A448" s="676"/>
      <c r="B448" s="664"/>
      <c r="C448" s="1822" t="s">
        <v>5433</v>
      </c>
      <c r="D448" s="1822"/>
      <c r="E448" s="1822"/>
      <c r="F448" s="1822"/>
      <c r="G448" s="1822"/>
      <c r="H448" s="1822"/>
      <c r="I448" s="1822"/>
      <c r="J448" s="1822"/>
      <c r="K448" s="1822"/>
      <c r="L448" s="1822"/>
      <c r="M448" s="1822"/>
      <c r="N448" s="1827"/>
      <c r="V448" s="674"/>
      <c r="W448" s="675"/>
      <c r="X448" s="675"/>
      <c r="Y448" s="537" t="s">
        <v>5433</v>
      </c>
      <c r="AD448" s="675"/>
      <c r="AE448" s="675"/>
      <c r="AG448" s="675"/>
      <c r="AH448" s="680"/>
    </row>
    <row r="449" spans="1:34" s="536" customFormat="1" ht="33.75" x14ac:dyDescent="0.2">
      <c r="A449" s="609"/>
      <c r="B449" s="552" t="s">
        <v>310</v>
      </c>
      <c r="C449" s="1822" t="s">
        <v>311</v>
      </c>
      <c r="D449" s="1822"/>
      <c r="E449" s="1822"/>
      <c r="F449" s="1822"/>
      <c r="G449" s="1822"/>
      <c r="H449" s="1822"/>
      <c r="I449" s="1822"/>
      <c r="J449" s="1822"/>
      <c r="K449" s="1822"/>
      <c r="L449" s="1822"/>
      <c r="M449" s="1822"/>
      <c r="N449" s="1827"/>
      <c r="V449" s="674"/>
      <c r="W449" s="675"/>
      <c r="X449" s="675"/>
      <c r="Z449" s="537" t="s">
        <v>311</v>
      </c>
      <c r="AD449" s="675"/>
      <c r="AE449" s="675"/>
      <c r="AG449" s="675"/>
      <c r="AH449" s="680"/>
    </row>
    <row r="450" spans="1:34" s="536" customFormat="1" ht="12" x14ac:dyDescent="0.2">
      <c r="A450" s="605"/>
      <c r="B450" s="552" t="s">
        <v>185</v>
      </c>
      <c r="C450" s="1822" t="s">
        <v>312</v>
      </c>
      <c r="D450" s="1822"/>
      <c r="E450" s="1822"/>
      <c r="F450" s="562"/>
      <c r="G450" s="562"/>
      <c r="H450" s="562"/>
      <c r="I450" s="562"/>
      <c r="J450" s="604">
        <v>12.11</v>
      </c>
      <c r="K450" s="562" t="s">
        <v>313</v>
      </c>
      <c r="L450" s="604">
        <v>2043.56</v>
      </c>
      <c r="M450" s="603"/>
      <c r="N450" s="602"/>
      <c r="V450" s="674"/>
      <c r="W450" s="675"/>
      <c r="X450" s="675"/>
      <c r="AA450" s="537" t="s">
        <v>312</v>
      </c>
      <c r="AD450" s="675"/>
      <c r="AE450" s="675"/>
      <c r="AG450" s="675"/>
      <c r="AH450" s="680"/>
    </row>
    <row r="451" spans="1:34" s="536" customFormat="1" ht="12" x14ac:dyDescent="0.2">
      <c r="A451" s="605"/>
      <c r="B451" s="552" t="s">
        <v>186</v>
      </c>
      <c r="C451" s="1822" t="s">
        <v>344</v>
      </c>
      <c r="D451" s="1822"/>
      <c r="E451" s="1822"/>
      <c r="F451" s="562"/>
      <c r="G451" s="562"/>
      <c r="H451" s="562"/>
      <c r="I451" s="562"/>
      <c r="J451" s="604">
        <v>83.12</v>
      </c>
      <c r="K451" s="562" t="s">
        <v>313</v>
      </c>
      <c r="L451" s="604">
        <v>14026.5</v>
      </c>
      <c r="M451" s="603"/>
      <c r="N451" s="602"/>
      <c r="V451" s="674"/>
      <c r="W451" s="675"/>
      <c r="X451" s="675"/>
      <c r="AA451" s="537" t="s">
        <v>344</v>
      </c>
      <c r="AD451" s="675"/>
      <c r="AE451" s="675"/>
      <c r="AG451" s="675"/>
      <c r="AH451" s="680"/>
    </row>
    <row r="452" spans="1:34" s="536" customFormat="1" ht="12" x14ac:dyDescent="0.2">
      <c r="A452" s="605"/>
      <c r="B452" s="552" t="s">
        <v>187</v>
      </c>
      <c r="C452" s="1822" t="s">
        <v>345</v>
      </c>
      <c r="D452" s="1822"/>
      <c r="E452" s="1822"/>
      <c r="F452" s="562"/>
      <c r="G452" s="562"/>
      <c r="H452" s="562"/>
      <c r="I452" s="562"/>
      <c r="J452" s="604">
        <v>6.96</v>
      </c>
      <c r="K452" s="562" t="s">
        <v>313</v>
      </c>
      <c r="L452" s="604">
        <v>1174.5</v>
      </c>
      <c r="M452" s="603"/>
      <c r="N452" s="602"/>
      <c r="V452" s="674"/>
      <c r="W452" s="675"/>
      <c r="X452" s="675"/>
      <c r="AA452" s="537" t="s">
        <v>345</v>
      </c>
      <c r="AD452" s="675"/>
      <c r="AE452" s="675"/>
      <c r="AG452" s="675"/>
      <c r="AH452" s="680"/>
    </row>
    <row r="453" spans="1:34" s="536" customFormat="1" ht="12" x14ac:dyDescent="0.2">
      <c r="A453" s="676"/>
      <c r="B453" s="677" t="s">
        <v>5434</v>
      </c>
      <c r="C453" s="1829" t="s">
        <v>5435</v>
      </c>
      <c r="D453" s="1829"/>
      <c r="E453" s="1829"/>
      <c r="F453" s="678" t="s">
        <v>617</v>
      </c>
      <c r="G453" s="678" t="s">
        <v>185</v>
      </c>
      <c r="H453" s="678"/>
      <c r="I453" s="678" t="s">
        <v>1373</v>
      </c>
      <c r="J453" s="552"/>
      <c r="K453" s="562"/>
      <c r="L453" s="604"/>
      <c r="M453" s="562"/>
      <c r="N453" s="679"/>
      <c r="V453" s="674"/>
      <c r="W453" s="675"/>
      <c r="X453" s="675"/>
      <c r="AD453" s="675"/>
      <c r="AE453" s="675"/>
      <c r="AG453" s="675"/>
      <c r="AH453" s="680" t="s">
        <v>5435</v>
      </c>
    </row>
    <row r="454" spans="1:34" s="536" customFormat="1" ht="22.5" x14ac:dyDescent="0.2">
      <c r="A454" s="676"/>
      <c r="B454" s="677" t="s">
        <v>5436</v>
      </c>
      <c r="C454" s="1829" t="s">
        <v>5437</v>
      </c>
      <c r="D454" s="1829"/>
      <c r="E454" s="1829"/>
      <c r="F454" s="678" t="s">
        <v>617</v>
      </c>
      <c r="G454" s="678" t="s">
        <v>185</v>
      </c>
      <c r="H454" s="678"/>
      <c r="I454" s="678" t="s">
        <v>1373</v>
      </c>
      <c r="J454" s="552"/>
      <c r="K454" s="562"/>
      <c r="L454" s="604"/>
      <c r="M454" s="562"/>
      <c r="N454" s="679"/>
      <c r="V454" s="674"/>
      <c r="W454" s="675"/>
      <c r="X454" s="675"/>
      <c r="AD454" s="675"/>
      <c r="AE454" s="675"/>
      <c r="AG454" s="675"/>
      <c r="AH454" s="680" t="s">
        <v>5437</v>
      </c>
    </row>
    <row r="455" spans="1:34" s="536" customFormat="1" ht="12" x14ac:dyDescent="0.2">
      <c r="A455" s="605"/>
      <c r="B455" s="552"/>
      <c r="C455" s="1822" t="s">
        <v>314</v>
      </c>
      <c r="D455" s="1822"/>
      <c r="E455" s="1822"/>
      <c r="F455" s="562" t="s">
        <v>315</v>
      </c>
      <c r="G455" s="562" t="s">
        <v>2870</v>
      </c>
      <c r="H455" s="562" t="s">
        <v>313</v>
      </c>
      <c r="I455" s="562" t="s">
        <v>5438</v>
      </c>
      <c r="J455" s="604"/>
      <c r="K455" s="562"/>
      <c r="L455" s="604"/>
      <c r="M455" s="603"/>
      <c r="N455" s="602"/>
      <c r="V455" s="674"/>
      <c r="W455" s="675"/>
      <c r="X455" s="675"/>
      <c r="AB455" s="537" t="s">
        <v>314</v>
      </c>
      <c r="AD455" s="675"/>
      <c r="AE455" s="675"/>
      <c r="AG455" s="675"/>
      <c r="AH455" s="680"/>
    </row>
    <row r="456" spans="1:34" s="536" customFormat="1" ht="12" x14ac:dyDescent="0.2">
      <c r="A456" s="605"/>
      <c r="B456" s="552"/>
      <c r="C456" s="1822" t="s">
        <v>348</v>
      </c>
      <c r="D456" s="1822"/>
      <c r="E456" s="1822"/>
      <c r="F456" s="562" t="s">
        <v>315</v>
      </c>
      <c r="G456" s="562" t="s">
        <v>823</v>
      </c>
      <c r="H456" s="562" t="s">
        <v>313</v>
      </c>
      <c r="I456" s="562" t="s">
        <v>5439</v>
      </c>
      <c r="J456" s="604"/>
      <c r="K456" s="562"/>
      <c r="L456" s="604"/>
      <c r="M456" s="603"/>
      <c r="N456" s="602"/>
      <c r="V456" s="674"/>
      <c r="W456" s="675"/>
      <c r="X456" s="675"/>
      <c r="AB456" s="537" t="s">
        <v>348</v>
      </c>
      <c r="AD456" s="675"/>
      <c r="AE456" s="675"/>
      <c r="AG456" s="675"/>
      <c r="AH456" s="680"/>
    </row>
    <row r="457" spans="1:34" s="536" customFormat="1" ht="12" x14ac:dyDescent="0.2">
      <c r="A457" s="605"/>
      <c r="B457" s="552"/>
      <c r="C457" s="1828" t="s">
        <v>318</v>
      </c>
      <c r="D457" s="1828"/>
      <c r="E457" s="1828"/>
      <c r="F457" s="608"/>
      <c r="G457" s="608"/>
      <c r="H457" s="608"/>
      <c r="I457" s="608"/>
      <c r="J457" s="607">
        <v>95.23</v>
      </c>
      <c r="K457" s="608"/>
      <c r="L457" s="607">
        <v>16070.06</v>
      </c>
      <c r="M457" s="601"/>
      <c r="N457" s="606"/>
      <c r="V457" s="674"/>
      <c r="W457" s="675"/>
      <c r="X457" s="675"/>
      <c r="AC457" s="537" t="s">
        <v>318</v>
      </c>
      <c r="AD457" s="675"/>
      <c r="AE457" s="675"/>
      <c r="AG457" s="675"/>
      <c r="AH457" s="680"/>
    </row>
    <row r="458" spans="1:34" s="536" customFormat="1" ht="12" x14ac:dyDescent="0.2">
      <c r="A458" s="605"/>
      <c r="B458" s="552"/>
      <c r="C458" s="1822" t="s">
        <v>319</v>
      </c>
      <c r="D458" s="1822"/>
      <c r="E458" s="1822"/>
      <c r="F458" s="562"/>
      <c r="G458" s="562"/>
      <c r="H458" s="562"/>
      <c r="I458" s="562"/>
      <c r="J458" s="604"/>
      <c r="K458" s="562"/>
      <c r="L458" s="604">
        <v>3218.06</v>
      </c>
      <c r="M458" s="603"/>
      <c r="N458" s="602"/>
      <c r="V458" s="674"/>
      <c r="W458" s="675"/>
      <c r="X458" s="675"/>
      <c r="AB458" s="537" t="s">
        <v>319</v>
      </c>
      <c r="AD458" s="675"/>
      <c r="AE458" s="675"/>
      <c r="AG458" s="675"/>
      <c r="AH458" s="680"/>
    </row>
    <row r="459" spans="1:34" s="536" customFormat="1" ht="33.75" x14ac:dyDescent="0.2">
      <c r="A459" s="605"/>
      <c r="B459" s="552" t="s">
        <v>708</v>
      </c>
      <c r="C459" s="1822" t="s">
        <v>709</v>
      </c>
      <c r="D459" s="1822"/>
      <c r="E459" s="1822"/>
      <c r="F459" s="562" t="s">
        <v>322</v>
      </c>
      <c r="G459" s="562" t="s">
        <v>710</v>
      </c>
      <c r="H459" s="562"/>
      <c r="I459" s="562" t="s">
        <v>710</v>
      </c>
      <c r="J459" s="604"/>
      <c r="K459" s="562"/>
      <c r="L459" s="604">
        <v>3314.6</v>
      </c>
      <c r="M459" s="603"/>
      <c r="N459" s="602"/>
      <c r="V459" s="674"/>
      <c r="W459" s="675"/>
      <c r="X459" s="675"/>
      <c r="AB459" s="537" t="s">
        <v>709</v>
      </c>
      <c r="AD459" s="675"/>
      <c r="AE459" s="675"/>
      <c r="AG459" s="675"/>
      <c r="AH459" s="680"/>
    </row>
    <row r="460" spans="1:34" s="536" customFormat="1" ht="33.75" x14ac:dyDescent="0.2">
      <c r="A460" s="605"/>
      <c r="B460" s="552" t="s">
        <v>711</v>
      </c>
      <c r="C460" s="1822" t="s">
        <v>712</v>
      </c>
      <c r="D460" s="1822"/>
      <c r="E460" s="1822"/>
      <c r="F460" s="562" t="s">
        <v>322</v>
      </c>
      <c r="G460" s="562" t="s">
        <v>713</v>
      </c>
      <c r="H460" s="562"/>
      <c r="I460" s="562" t="s">
        <v>713</v>
      </c>
      <c r="J460" s="604"/>
      <c r="K460" s="562"/>
      <c r="L460" s="604">
        <v>1930.84</v>
      </c>
      <c r="M460" s="603"/>
      <c r="N460" s="602"/>
      <c r="V460" s="674"/>
      <c r="W460" s="675"/>
      <c r="X460" s="675"/>
      <c r="AB460" s="537" t="s">
        <v>712</v>
      </c>
      <c r="AD460" s="675"/>
      <c r="AE460" s="675"/>
      <c r="AG460" s="675"/>
      <c r="AH460" s="680"/>
    </row>
    <row r="461" spans="1:34" s="536" customFormat="1" ht="12" x14ac:dyDescent="0.2">
      <c r="A461" s="569"/>
      <c r="B461" s="671"/>
      <c r="C461" s="1823" t="s">
        <v>327</v>
      </c>
      <c r="D461" s="1823"/>
      <c r="E461" s="1823"/>
      <c r="F461" s="573"/>
      <c r="G461" s="573"/>
      <c r="H461" s="573"/>
      <c r="I461" s="573"/>
      <c r="J461" s="572"/>
      <c r="K461" s="573"/>
      <c r="L461" s="572">
        <v>21315.5</v>
      </c>
      <c r="M461" s="601"/>
      <c r="N461" s="570"/>
      <c r="V461" s="674"/>
      <c r="W461" s="675"/>
      <c r="X461" s="675"/>
      <c r="AD461" s="675" t="s">
        <v>327</v>
      </c>
      <c r="AE461" s="675"/>
      <c r="AG461" s="675"/>
      <c r="AH461" s="680"/>
    </row>
    <row r="462" spans="1:34" s="536" customFormat="1" ht="33.75" x14ac:dyDescent="0.2">
      <c r="A462" s="575" t="s">
        <v>769</v>
      </c>
      <c r="B462" s="670" t="s">
        <v>5440</v>
      </c>
      <c r="C462" s="1823" t="s">
        <v>5441</v>
      </c>
      <c r="D462" s="1823"/>
      <c r="E462" s="1823"/>
      <c r="F462" s="573" t="s">
        <v>617</v>
      </c>
      <c r="G462" s="573"/>
      <c r="H462" s="573"/>
      <c r="I462" s="573" t="s">
        <v>968</v>
      </c>
      <c r="J462" s="572">
        <v>7470</v>
      </c>
      <c r="K462" s="573" t="s">
        <v>716</v>
      </c>
      <c r="L462" s="572">
        <v>63040.959999999999</v>
      </c>
      <c r="M462" s="571">
        <v>9.7899999999999991</v>
      </c>
      <c r="N462" s="570">
        <v>617171</v>
      </c>
      <c r="V462" s="674"/>
      <c r="W462" s="675"/>
      <c r="X462" s="675" t="s">
        <v>5441</v>
      </c>
      <c r="AD462" s="675"/>
      <c r="AE462" s="675"/>
      <c r="AG462" s="675"/>
      <c r="AH462" s="680"/>
    </row>
    <row r="463" spans="1:34" s="536" customFormat="1" ht="12" x14ac:dyDescent="0.2">
      <c r="A463" s="569"/>
      <c r="B463" s="671"/>
      <c r="C463" s="665" t="s">
        <v>717</v>
      </c>
      <c r="D463" s="666"/>
      <c r="E463" s="666"/>
      <c r="F463" s="563"/>
      <c r="G463" s="563"/>
      <c r="H463" s="563"/>
      <c r="I463" s="563"/>
      <c r="J463" s="566"/>
      <c r="K463" s="563"/>
      <c r="L463" s="566"/>
      <c r="M463" s="565"/>
      <c r="N463" s="564"/>
      <c r="V463" s="674"/>
      <c r="W463" s="675"/>
      <c r="X463" s="675"/>
      <c r="AD463" s="675"/>
      <c r="AE463" s="675"/>
      <c r="AG463" s="675"/>
      <c r="AH463" s="680"/>
    </row>
    <row r="464" spans="1:34" s="536" customFormat="1" ht="22.5" x14ac:dyDescent="0.2">
      <c r="A464" s="609"/>
      <c r="B464" s="552" t="s">
        <v>718</v>
      </c>
      <c r="C464" s="1822" t="s">
        <v>719</v>
      </c>
      <c r="D464" s="1822"/>
      <c r="E464" s="1822"/>
      <c r="F464" s="1822"/>
      <c r="G464" s="1822"/>
      <c r="H464" s="1822"/>
      <c r="I464" s="1822"/>
      <c r="J464" s="1822"/>
      <c r="K464" s="1822"/>
      <c r="L464" s="1822"/>
      <c r="M464" s="1822"/>
      <c r="N464" s="1827"/>
      <c r="V464" s="674"/>
      <c r="W464" s="675"/>
      <c r="X464" s="675"/>
      <c r="Z464" s="537" t="s">
        <v>719</v>
      </c>
      <c r="AD464" s="675"/>
      <c r="AE464" s="675"/>
      <c r="AG464" s="675"/>
      <c r="AH464" s="680"/>
    </row>
    <row r="465" spans="1:34" s="536" customFormat="1" ht="33.75" x14ac:dyDescent="0.2">
      <c r="A465" s="575" t="s">
        <v>770</v>
      </c>
      <c r="B465" s="670" t="s">
        <v>5442</v>
      </c>
      <c r="C465" s="1823" t="s">
        <v>5443</v>
      </c>
      <c r="D465" s="1823"/>
      <c r="E465" s="1823"/>
      <c r="F465" s="573" t="s">
        <v>617</v>
      </c>
      <c r="G465" s="573"/>
      <c r="H465" s="573"/>
      <c r="I465" s="573" t="s">
        <v>1784</v>
      </c>
      <c r="J465" s="572">
        <v>5580</v>
      </c>
      <c r="K465" s="573" t="s">
        <v>716</v>
      </c>
      <c r="L465" s="572">
        <v>31393.87</v>
      </c>
      <c r="M465" s="571">
        <v>9.7899999999999991</v>
      </c>
      <c r="N465" s="570">
        <v>307346</v>
      </c>
      <c r="V465" s="674"/>
      <c r="W465" s="675"/>
      <c r="X465" s="675" t="s">
        <v>5443</v>
      </c>
      <c r="AD465" s="675"/>
      <c r="AE465" s="675"/>
      <c r="AG465" s="675"/>
      <c r="AH465" s="680"/>
    </row>
    <row r="466" spans="1:34" s="536" customFormat="1" ht="12" x14ac:dyDescent="0.2">
      <c r="A466" s="569"/>
      <c r="B466" s="671"/>
      <c r="C466" s="665" t="s">
        <v>717</v>
      </c>
      <c r="D466" s="666"/>
      <c r="E466" s="666"/>
      <c r="F466" s="563"/>
      <c r="G466" s="563"/>
      <c r="H466" s="563"/>
      <c r="I466" s="563"/>
      <c r="J466" s="566"/>
      <c r="K466" s="563"/>
      <c r="L466" s="566"/>
      <c r="M466" s="565"/>
      <c r="N466" s="564"/>
      <c r="V466" s="674"/>
      <c r="W466" s="675"/>
      <c r="X466" s="675"/>
      <c r="AD466" s="675"/>
      <c r="AE466" s="675"/>
      <c r="AG466" s="675"/>
      <c r="AH466" s="680"/>
    </row>
    <row r="467" spans="1:34" s="536" customFormat="1" ht="22.5" x14ac:dyDescent="0.2">
      <c r="A467" s="609"/>
      <c r="B467" s="552" t="s">
        <v>718</v>
      </c>
      <c r="C467" s="1822" t="s">
        <v>719</v>
      </c>
      <c r="D467" s="1822"/>
      <c r="E467" s="1822"/>
      <c r="F467" s="1822"/>
      <c r="G467" s="1822"/>
      <c r="H467" s="1822"/>
      <c r="I467" s="1822"/>
      <c r="J467" s="1822"/>
      <c r="K467" s="1822"/>
      <c r="L467" s="1822"/>
      <c r="M467" s="1822"/>
      <c r="N467" s="1827"/>
      <c r="V467" s="674"/>
      <c r="W467" s="675"/>
      <c r="X467" s="675"/>
      <c r="Z467" s="537" t="s">
        <v>719</v>
      </c>
      <c r="AD467" s="675"/>
      <c r="AE467" s="675"/>
      <c r="AG467" s="675"/>
      <c r="AH467" s="680"/>
    </row>
    <row r="468" spans="1:34" s="536" customFormat="1" ht="33.75" x14ac:dyDescent="0.2">
      <c r="A468" s="575" t="s">
        <v>771</v>
      </c>
      <c r="B468" s="670" t="s">
        <v>5444</v>
      </c>
      <c r="C468" s="1823" t="s">
        <v>5445</v>
      </c>
      <c r="D468" s="1823"/>
      <c r="E468" s="1823"/>
      <c r="F468" s="573" t="s">
        <v>617</v>
      </c>
      <c r="G468" s="573"/>
      <c r="H468" s="573"/>
      <c r="I468" s="573" t="s">
        <v>931</v>
      </c>
      <c r="J468" s="572">
        <v>34414.199999999997</v>
      </c>
      <c r="K468" s="573" t="s">
        <v>716</v>
      </c>
      <c r="L468" s="572">
        <v>161349.54</v>
      </c>
      <c r="M468" s="571">
        <v>9.7899999999999991</v>
      </c>
      <c r="N468" s="570">
        <v>1579612</v>
      </c>
      <c r="V468" s="674"/>
      <c r="W468" s="675"/>
      <c r="X468" s="675" t="s">
        <v>5445</v>
      </c>
      <c r="AD468" s="675"/>
      <c r="AE468" s="675"/>
      <c r="AG468" s="675"/>
      <c r="AH468" s="680"/>
    </row>
    <row r="469" spans="1:34" s="536" customFormat="1" ht="12" x14ac:dyDescent="0.2">
      <c r="A469" s="569"/>
      <c r="B469" s="671"/>
      <c r="C469" s="665" t="s">
        <v>717</v>
      </c>
      <c r="D469" s="666"/>
      <c r="E469" s="666"/>
      <c r="F469" s="563"/>
      <c r="G469" s="563"/>
      <c r="H469" s="563"/>
      <c r="I469" s="563"/>
      <c r="J469" s="566"/>
      <c r="K469" s="563"/>
      <c r="L469" s="566"/>
      <c r="M469" s="565"/>
      <c r="N469" s="564"/>
      <c r="V469" s="674"/>
      <c r="W469" s="675"/>
      <c r="X469" s="675"/>
      <c r="AD469" s="675"/>
      <c r="AE469" s="675"/>
      <c r="AG469" s="675"/>
      <c r="AH469" s="680"/>
    </row>
    <row r="470" spans="1:34" s="536" customFormat="1" ht="22.5" x14ac:dyDescent="0.2">
      <c r="A470" s="609"/>
      <c r="B470" s="552" t="s">
        <v>718</v>
      </c>
      <c r="C470" s="1822" t="s">
        <v>719</v>
      </c>
      <c r="D470" s="1822"/>
      <c r="E470" s="1822"/>
      <c r="F470" s="1822"/>
      <c r="G470" s="1822"/>
      <c r="H470" s="1822"/>
      <c r="I470" s="1822"/>
      <c r="J470" s="1822"/>
      <c r="K470" s="1822"/>
      <c r="L470" s="1822"/>
      <c r="M470" s="1822"/>
      <c r="N470" s="1827"/>
      <c r="V470" s="674"/>
      <c r="W470" s="675"/>
      <c r="X470" s="675"/>
      <c r="Z470" s="537" t="s">
        <v>719</v>
      </c>
      <c r="AD470" s="675"/>
      <c r="AE470" s="675"/>
      <c r="AG470" s="675"/>
      <c r="AH470" s="680"/>
    </row>
    <row r="471" spans="1:34" s="536" customFormat="1" ht="33.75" x14ac:dyDescent="0.2">
      <c r="A471" s="575" t="s">
        <v>772</v>
      </c>
      <c r="B471" s="670" t="s">
        <v>5446</v>
      </c>
      <c r="C471" s="1823" t="s">
        <v>5447</v>
      </c>
      <c r="D471" s="1823"/>
      <c r="E471" s="1823"/>
      <c r="F471" s="573" t="s">
        <v>617</v>
      </c>
      <c r="G471" s="573"/>
      <c r="H471" s="573"/>
      <c r="I471" s="573" t="s">
        <v>769</v>
      </c>
      <c r="J471" s="572">
        <v>15885</v>
      </c>
      <c r="K471" s="573" t="s">
        <v>716</v>
      </c>
      <c r="L471" s="572">
        <v>59580.9</v>
      </c>
      <c r="M471" s="571">
        <v>9.7899999999999991</v>
      </c>
      <c r="N471" s="570">
        <v>583297</v>
      </c>
      <c r="V471" s="674"/>
      <c r="W471" s="675"/>
      <c r="X471" s="675" t="s">
        <v>5447</v>
      </c>
      <c r="AD471" s="675"/>
      <c r="AE471" s="675"/>
      <c r="AG471" s="675"/>
      <c r="AH471" s="680"/>
    </row>
    <row r="472" spans="1:34" s="536" customFormat="1" ht="12" x14ac:dyDescent="0.2">
      <c r="A472" s="569"/>
      <c r="B472" s="671"/>
      <c r="C472" s="665" t="s">
        <v>717</v>
      </c>
      <c r="D472" s="666"/>
      <c r="E472" s="666"/>
      <c r="F472" s="563"/>
      <c r="G472" s="563"/>
      <c r="H472" s="563"/>
      <c r="I472" s="563"/>
      <c r="J472" s="566"/>
      <c r="K472" s="563"/>
      <c r="L472" s="566"/>
      <c r="M472" s="565"/>
      <c r="N472" s="564"/>
      <c r="V472" s="674"/>
      <c r="W472" s="675"/>
      <c r="X472" s="675"/>
      <c r="AD472" s="675"/>
      <c r="AE472" s="675"/>
      <c r="AG472" s="675"/>
      <c r="AH472" s="680"/>
    </row>
    <row r="473" spans="1:34" s="536" customFormat="1" ht="22.5" x14ac:dyDescent="0.2">
      <c r="A473" s="609"/>
      <c r="B473" s="552" t="s">
        <v>718</v>
      </c>
      <c r="C473" s="1822" t="s">
        <v>719</v>
      </c>
      <c r="D473" s="1822"/>
      <c r="E473" s="1822"/>
      <c r="F473" s="1822"/>
      <c r="G473" s="1822"/>
      <c r="H473" s="1822"/>
      <c r="I473" s="1822"/>
      <c r="J473" s="1822"/>
      <c r="K473" s="1822"/>
      <c r="L473" s="1822"/>
      <c r="M473" s="1822"/>
      <c r="N473" s="1827"/>
      <c r="V473" s="674"/>
      <c r="W473" s="675"/>
      <c r="X473" s="675"/>
      <c r="Z473" s="537" t="s">
        <v>719</v>
      </c>
      <c r="AD473" s="675"/>
      <c r="AE473" s="675"/>
      <c r="AG473" s="675"/>
      <c r="AH473" s="680"/>
    </row>
    <row r="474" spans="1:34" s="536" customFormat="1" ht="33.75" x14ac:dyDescent="0.2">
      <c r="A474" s="575" t="s">
        <v>677</v>
      </c>
      <c r="B474" s="670" t="s">
        <v>5448</v>
      </c>
      <c r="C474" s="1823" t="s">
        <v>5449</v>
      </c>
      <c r="D474" s="1823"/>
      <c r="E474" s="1823"/>
      <c r="F474" s="573" t="s">
        <v>617</v>
      </c>
      <c r="G474" s="573"/>
      <c r="H474" s="573"/>
      <c r="I474" s="573" t="s">
        <v>1784</v>
      </c>
      <c r="J474" s="572">
        <v>9450</v>
      </c>
      <c r="K474" s="573" t="s">
        <v>716</v>
      </c>
      <c r="L474" s="572">
        <v>53167.11</v>
      </c>
      <c r="M474" s="571">
        <v>9.7899999999999991</v>
      </c>
      <c r="N474" s="570">
        <v>520506</v>
      </c>
      <c r="V474" s="674"/>
      <c r="W474" s="675"/>
      <c r="X474" s="675" t="s">
        <v>5449</v>
      </c>
      <c r="AD474" s="675"/>
      <c r="AE474" s="675"/>
      <c r="AG474" s="675"/>
      <c r="AH474" s="680"/>
    </row>
    <row r="475" spans="1:34" s="536" customFormat="1" ht="12" x14ac:dyDescent="0.2">
      <c r="A475" s="569"/>
      <c r="B475" s="671"/>
      <c r="C475" s="665" t="s">
        <v>717</v>
      </c>
      <c r="D475" s="666"/>
      <c r="E475" s="666"/>
      <c r="F475" s="563"/>
      <c r="G475" s="563"/>
      <c r="H475" s="563"/>
      <c r="I475" s="563"/>
      <c r="J475" s="566"/>
      <c r="K475" s="563"/>
      <c r="L475" s="566"/>
      <c r="M475" s="565"/>
      <c r="N475" s="564"/>
      <c r="V475" s="674"/>
      <c r="W475" s="675"/>
      <c r="X475" s="675"/>
      <c r="AD475" s="675"/>
      <c r="AE475" s="675"/>
      <c r="AG475" s="675"/>
      <c r="AH475" s="680"/>
    </row>
    <row r="476" spans="1:34" s="536" customFormat="1" ht="22.5" x14ac:dyDescent="0.2">
      <c r="A476" s="609"/>
      <c r="B476" s="552" t="s">
        <v>718</v>
      </c>
      <c r="C476" s="1822" t="s">
        <v>719</v>
      </c>
      <c r="D476" s="1822"/>
      <c r="E476" s="1822"/>
      <c r="F476" s="1822"/>
      <c r="G476" s="1822"/>
      <c r="H476" s="1822"/>
      <c r="I476" s="1822"/>
      <c r="J476" s="1822"/>
      <c r="K476" s="1822"/>
      <c r="L476" s="1822"/>
      <c r="M476" s="1822"/>
      <c r="N476" s="1827"/>
      <c r="V476" s="674"/>
      <c r="W476" s="675"/>
      <c r="X476" s="675"/>
      <c r="Z476" s="537" t="s">
        <v>719</v>
      </c>
      <c r="AD476" s="675"/>
      <c r="AE476" s="675"/>
      <c r="AG476" s="675"/>
      <c r="AH476" s="680"/>
    </row>
    <row r="477" spans="1:34" s="536" customFormat="1" ht="45" x14ac:dyDescent="0.2">
      <c r="A477" s="575" t="s">
        <v>326</v>
      </c>
      <c r="B477" s="670" t="s">
        <v>5450</v>
      </c>
      <c r="C477" s="1823" t="s">
        <v>5451</v>
      </c>
      <c r="D477" s="1823"/>
      <c r="E477" s="1823"/>
      <c r="F477" s="573" t="s">
        <v>307</v>
      </c>
      <c r="G477" s="573"/>
      <c r="H477" s="573"/>
      <c r="I477" s="573" t="s">
        <v>1201</v>
      </c>
      <c r="J477" s="572"/>
      <c r="K477" s="573"/>
      <c r="L477" s="572"/>
      <c r="M477" s="571"/>
      <c r="N477" s="570"/>
      <c r="V477" s="674"/>
      <c r="W477" s="675"/>
      <c r="X477" s="675" t="s">
        <v>5451</v>
      </c>
      <c r="AD477" s="675"/>
      <c r="AE477" s="675"/>
      <c r="AG477" s="675"/>
      <c r="AH477" s="680"/>
    </row>
    <row r="478" spans="1:34" s="536" customFormat="1" ht="12" x14ac:dyDescent="0.2">
      <c r="A478" s="676"/>
      <c r="B478" s="664"/>
      <c r="C478" s="1822" t="s">
        <v>5452</v>
      </c>
      <c r="D478" s="1822"/>
      <c r="E478" s="1822"/>
      <c r="F478" s="1822"/>
      <c r="G478" s="1822"/>
      <c r="H478" s="1822"/>
      <c r="I478" s="1822"/>
      <c r="J478" s="1822"/>
      <c r="K478" s="1822"/>
      <c r="L478" s="1822"/>
      <c r="M478" s="1822"/>
      <c r="N478" s="1827"/>
      <c r="V478" s="674"/>
      <c r="W478" s="675"/>
      <c r="X478" s="675"/>
      <c r="Y478" s="537" t="s">
        <v>5452</v>
      </c>
      <c r="AD478" s="675"/>
      <c r="AE478" s="675"/>
      <c r="AG478" s="675"/>
      <c r="AH478" s="680"/>
    </row>
    <row r="479" spans="1:34" s="536" customFormat="1" ht="33.75" x14ac:dyDescent="0.2">
      <c r="A479" s="609"/>
      <c r="B479" s="552" t="s">
        <v>310</v>
      </c>
      <c r="C479" s="1822" t="s">
        <v>311</v>
      </c>
      <c r="D479" s="1822"/>
      <c r="E479" s="1822"/>
      <c r="F479" s="1822"/>
      <c r="G479" s="1822"/>
      <c r="H479" s="1822"/>
      <c r="I479" s="1822"/>
      <c r="J479" s="1822"/>
      <c r="K479" s="1822"/>
      <c r="L479" s="1822"/>
      <c r="M479" s="1822"/>
      <c r="N479" s="1827"/>
      <c r="V479" s="674"/>
      <c r="W479" s="675"/>
      <c r="X479" s="675"/>
      <c r="Z479" s="537" t="s">
        <v>311</v>
      </c>
      <c r="AD479" s="675"/>
      <c r="AE479" s="675"/>
      <c r="AG479" s="675"/>
      <c r="AH479" s="680"/>
    </row>
    <row r="480" spans="1:34" s="536" customFormat="1" ht="12" x14ac:dyDescent="0.2">
      <c r="A480" s="605"/>
      <c r="B480" s="552" t="s">
        <v>185</v>
      </c>
      <c r="C480" s="1822" t="s">
        <v>312</v>
      </c>
      <c r="D480" s="1822"/>
      <c r="E480" s="1822"/>
      <c r="F480" s="562"/>
      <c r="G480" s="562"/>
      <c r="H480" s="562"/>
      <c r="I480" s="562"/>
      <c r="J480" s="604">
        <v>2745.86</v>
      </c>
      <c r="K480" s="562" t="s">
        <v>313</v>
      </c>
      <c r="L480" s="604">
        <v>4633.6400000000003</v>
      </c>
      <c r="M480" s="603"/>
      <c r="N480" s="602"/>
      <c r="V480" s="674"/>
      <c r="W480" s="675"/>
      <c r="X480" s="675"/>
      <c r="AA480" s="537" t="s">
        <v>312</v>
      </c>
      <c r="AD480" s="675"/>
      <c r="AE480" s="675"/>
      <c r="AG480" s="675"/>
      <c r="AH480" s="680"/>
    </row>
    <row r="481" spans="1:34" s="536" customFormat="1" ht="12" x14ac:dyDescent="0.2">
      <c r="A481" s="605"/>
      <c r="B481" s="552" t="s">
        <v>186</v>
      </c>
      <c r="C481" s="1822" t="s">
        <v>344</v>
      </c>
      <c r="D481" s="1822"/>
      <c r="E481" s="1822"/>
      <c r="F481" s="562"/>
      <c r="G481" s="562"/>
      <c r="H481" s="562"/>
      <c r="I481" s="562"/>
      <c r="J481" s="604">
        <v>13091.33</v>
      </c>
      <c r="K481" s="562" t="s">
        <v>313</v>
      </c>
      <c r="L481" s="604">
        <v>22091.62</v>
      </c>
      <c r="M481" s="603"/>
      <c r="N481" s="602"/>
      <c r="V481" s="674"/>
      <c r="W481" s="675"/>
      <c r="X481" s="675"/>
      <c r="AA481" s="537" t="s">
        <v>344</v>
      </c>
      <c r="AD481" s="675"/>
      <c r="AE481" s="675"/>
      <c r="AG481" s="675"/>
      <c r="AH481" s="680"/>
    </row>
    <row r="482" spans="1:34" s="536" customFormat="1" ht="12" x14ac:dyDescent="0.2">
      <c r="A482" s="605"/>
      <c r="B482" s="552" t="s">
        <v>187</v>
      </c>
      <c r="C482" s="1822" t="s">
        <v>345</v>
      </c>
      <c r="D482" s="1822"/>
      <c r="E482" s="1822"/>
      <c r="F482" s="562"/>
      <c r="G482" s="562"/>
      <c r="H482" s="562"/>
      <c r="I482" s="562"/>
      <c r="J482" s="604">
        <v>1246.4000000000001</v>
      </c>
      <c r="K482" s="562" t="s">
        <v>313</v>
      </c>
      <c r="L482" s="604">
        <v>2103.3000000000002</v>
      </c>
      <c r="M482" s="603"/>
      <c r="N482" s="602"/>
      <c r="V482" s="674"/>
      <c r="W482" s="675"/>
      <c r="X482" s="675"/>
      <c r="AA482" s="537" t="s">
        <v>345</v>
      </c>
      <c r="AD482" s="675"/>
      <c r="AE482" s="675"/>
      <c r="AG482" s="675"/>
      <c r="AH482" s="680"/>
    </row>
    <row r="483" spans="1:34" s="536" customFormat="1" ht="12" x14ac:dyDescent="0.2">
      <c r="A483" s="605"/>
      <c r="B483" s="552" t="s">
        <v>188</v>
      </c>
      <c r="C483" s="1822" t="s">
        <v>475</v>
      </c>
      <c r="D483" s="1822"/>
      <c r="E483" s="1822"/>
      <c r="F483" s="562"/>
      <c r="G483" s="562"/>
      <c r="H483" s="562"/>
      <c r="I483" s="562"/>
      <c r="J483" s="604">
        <v>1287.96</v>
      </c>
      <c r="K483" s="562"/>
      <c r="L483" s="604">
        <v>1738.75</v>
      </c>
      <c r="M483" s="603"/>
      <c r="N483" s="602"/>
      <c r="V483" s="674"/>
      <c r="W483" s="675"/>
      <c r="X483" s="675"/>
      <c r="AA483" s="537" t="s">
        <v>475</v>
      </c>
      <c r="AD483" s="675"/>
      <c r="AE483" s="675"/>
      <c r="AG483" s="675"/>
      <c r="AH483" s="680"/>
    </row>
    <row r="484" spans="1:34" s="536" customFormat="1" ht="12" x14ac:dyDescent="0.2">
      <c r="A484" s="605"/>
      <c r="B484" s="552"/>
      <c r="C484" s="1822" t="s">
        <v>314</v>
      </c>
      <c r="D484" s="1822"/>
      <c r="E484" s="1822"/>
      <c r="F484" s="562" t="s">
        <v>315</v>
      </c>
      <c r="G484" s="562" t="s">
        <v>5453</v>
      </c>
      <c r="H484" s="562" t="s">
        <v>313</v>
      </c>
      <c r="I484" s="562" t="s">
        <v>5454</v>
      </c>
      <c r="J484" s="604"/>
      <c r="K484" s="562"/>
      <c r="L484" s="604"/>
      <c r="M484" s="603"/>
      <c r="N484" s="602"/>
      <c r="V484" s="674"/>
      <c r="W484" s="675"/>
      <c r="X484" s="675"/>
      <c r="AB484" s="537" t="s">
        <v>314</v>
      </c>
      <c r="AD484" s="675"/>
      <c r="AE484" s="675"/>
      <c r="AG484" s="675"/>
      <c r="AH484" s="680"/>
    </row>
    <row r="485" spans="1:34" s="536" customFormat="1" ht="12" x14ac:dyDescent="0.2">
      <c r="A485" s="605"/>
      <c r="B485" s="552"/>
      <c r="C485" s="1822" t="s">
        <v>348</v>
      </c>
      <c r="D485" s="1822"/>
      <c r="E485" s="1822"/>
      <c r="F485" s="562" t="s">
        <v>315</v>
      </c>
      <c r="G485" s="562" t="s">
        <v>5455</v>
      </c>
      <c r="H485" s="562" t="s">
        <v>313</v>
      </c>
      <c r="I485" s="562" t="s">
        <v>5456</v>
      </c>
      <c r="J485" s="604"/>
      <c r="K485" s="562"/>
      <c r="L485" s="604"/>
      <c r="M485" s="603"/>
      <c r="N485" s="602"/>
      <c r="V485" s="674"/>
      <c r="W485" s="675"/>
      <c r="X485" s="675"/>
      <c r="AB485" s="537" t="s">
        <v>348</v>
      </c>
      <c r="AD485" s="675"/>
      <c r="AE485" s="675"/>
      <c r="AG485" s="675"/>
      <c r="AH485" s="680"/>
    </row>
    <row r="486" spans="1:34" s="536" customFormat="1" ht="12" x14ac:dyDescent="0.2">
      <c r="A486" s="605"/>
      <c r="B486" s="552"/>
      <c r="C486" s="1828" t="s">
        <v>318</v>
      </c>
      <c r="D486" s="1828"/>
      <c r="E486" s="1828"/>
      <c r="F486" s="608"/>
      <c r="G486" s="608"/>
      <c r="H486" s="608"/>
      <c r="I486" s="608"/>
      <c r="J486" s="607">
        <v>17125.150000000001</v>
      </c>
      <c r="K486" s="608"/>
      <c r="L486" s="607">
        <v>28464.01</v>
      </c>
      <c r="M486" s="601"/>
      <c r="N486" s="606"/>
      <c r="V486" s="674"/>
      <c r="W486" s="675"/>
      <c r="X486" s="675"/>
      <c r="AC486" s="537" t="s">
        <v>318</v>
      </c>
      <c r="AD486" s="675"/>
      <c r="AE486" s="675"/>
      <c r="AG486" s="675"/>
      <c r="AH486" s="680"/>
    </row>
    <row r="487" spans="1:34" s="536" customFormat="1" ht="12" x14ac:dyDescent="0.2">
      <c r="A487" s="605"/>
      <c r="B487" s="552"/>
      <c r="C487" s="1822" t="s">
        <v>319</v>
      </c>
      <c r="D487" s="1822"/>
      <c r="E487" s="1822"/>
      <c r="F487" s="562"/>
      <c r="G487" s="562"/>
      <c r="H487" s="562"/>
      <c r="I487" s="562"/>
      <c r="J487" s="604"/>
      <c r="K487" s="562"/>
      <c r="L487" s="604">
        <v>6736.94</v>
      </c>
      <c r="M487" s="603"/>
      <c r="N487" s="602"/>
      <c r="V487" s="674"/>
      <c r="W487" s="675"/>
      <c r="X487" s="675"/>
      <c r="AB487" s="537" t="s">
        <v>319</v>
      </c>
      <c r="AD487" s="675"/>
      <c r="AE487" s="675"/>
      <c r="AG487" s="675"/>
      <c r="AH487" s="680"/>
    </row>
    <row r="488" spans="1:34" s="536" customFormat="1" ht="33.75" x14ac:dyDescent="0.2">
      <c r="A488" s="605"/>
      <c r="B488" s="552" t="s">
        <v>1631</v>
      </c>
      <c r="C488" s="1822" t="s">
        <v>1632</v>
      </c>
      <c r="D488" s="1822"/>
      <c r="E488" s="1822"/>
      <c r="F488" s="562" t="s">
        <v>322</v>
      </c>
      <c r="G488" s="562" t="s">
        <v>1633</v>
      </c>
      <c r="H488" s="562"/>
      <c r="I488" s="562" t="s">
        <v>1633</v>
      </c>
      <c r="J488" s="604"/>
      <c r="K488" s="562"/>
      <c r="L488" s="604">
        <v>6534.83</v>
      </c>
      <c r="M488" s="603"/>
      <c r="N488" s="602"/>
      <c r="V488" s="674"/>
      <c r="W488" s="675"/>
      <c r="X488" s="675"/>
      <c r="AB488" s="537" t="s">
        <v>1632</v>
      </c>
      <c r="AD488" s="675"/>
      <c r="AE488" s="675"/>
      <c r="AG488" s="675"/>
      <c r="AH488" s="680"/>
    </row>
    <row r="489" spans="1:34" s="536" customFormat="1" ht="33.75" x14ac:dyDescent="0.2">
      <c r="A489" s="605"/>
      <c r="B489" s="552" t="s">
        <v>1634</v>
      </c>
      <c r="C489" s="1822" t="s">
        <v>1635</v>
      </c>
      <c r="D489" s="1822"/>
      <c r="E489" s="1822"/>
      <c r="F489" s="562" t="s">
        <v>322</v>
      </c>
      <c r="G489" s="562" t="s">
        <v>786</v>
      </c>
      <c r="H489" s="562"/>
      <c r="I489" s="562" t="s">
        <v>786</v>
      </c>
      <c r="J489" s="604"/>
      <c r="K489" s="562"/>
      <c r="L489" s="604">
        <v>3435.84</v>
      </c>
      <c r="M489" s="603"/>
      <c r="N489" s="602"/>
      <c r="V489" s="674"/>
      <c r="W489" s="675"/>
      <c r="X489" s="675"/>
      <c r="AB489" s="537" t="s">
        <v>1635</v>
      </c>
      <c r="AD489" s="675"/>
      <c r="AE489" s="675"/>
      <c r="AG489" s="675"/>
      <c r="AH489" s="680"/>
    </row>
    <row r="490" spans="1:34" s="536" customFormat="1" ht="12" x14ac:dyDescent="0.2">
      <c r="A490" s="569"/>
      <c r="B490" s="671"/>
      <c r="C490" s="1823" t="s">
        <v>327</v>
      </c>
      <c r="D490" s="1823"/>
      <c r="E490" s="1823"/>
      <c r="F490" s="573"/>
      <c r="G490" s="573"/>
      <c r="H490" s="573"/>
      <c r="I490" s="573"/>
      <c r="J490" s="572"/>
      <c r="K490" s="573"/>
      <c r="L490" s="572">
        <v>38434.68</v>
      </c>
      <c r="M490" s="601"/>
      <c r="N490" s="570"/>
      <c r="V490" s="674"/>
      <c r="W490" s="675"/>
      <c r="X490" s="675"/>
      <c r="AD490" s="675" t="s">
        <v>327</v>
      </c>
      <c r="AE490" s="675"/>
      <c r="AG490" s="675"/>
      <c r="AH490" s="680"/>
    </row>
    <row r="491" spans="1:34" s="536" customFormat="1" ht="56.25" x14ac:dyDescent="0.2">
      <c r="A491" s="575" t="s">
        <v>774</v>
      </c>
      <c r="B491" s="670" t="s">
        <v>5457</v>
      </c>
      <c r="C491" s="1823" t="s">
        <v>5458</v>
      </c>
      <c r="D491" s="1823"/>
      <c r="E491" s="1823"/>
      <c r="F491" s="573" t="s">
        <v>617</v>
      </c>
      <c r="G491" s="573"/>
      <c r="H491" s="573"/>
      <c r="I491" s="573" t="s">
        <v>931</v>
      </c>
      <c r="J491" s="572">
        <v>14712.52</v>
      </c>
      <c r="K491" s="573" t="s">
        <v>716</v>
      </c>
      <c r="L491" s="572">
        <v>68979.06</v>
      </c>
      <c r="M491" s="571">
        <v>9.7899999999999991</v>
      </c>
      <c r="N491" s="570">
        <v>675305</v>
      </c>
      <c r="V491" s="674"/>
      <c r="W491" s="675"/>
      <c r="X491" s="675" t="s">
        <v>5458</v>
      </c>
      <c r="AD491" s="675"/>
      <c r="AE491" s="675"/>
      <c r="AG491" s="675"/>
      <c r="AH491" s="680"/>
    </row>
    <row r="492" spans="1:34" s="536" customFormat="1" ht="12" x14ac:dyDescent="0.2">
      <c r="A492" s="569"/>
      <c r="B492" s="671"/>
      <c r="C492" s="665" t="s">
        <v>1658</v>
      </c>
      <c r="D492" s="666"/>
      <c r="E492" s="666"/>
      <c r="F492" s="563"/>
      <c r="G492" s="563"/>
      <c r="H492" s="563"/>
      <c r="I492" s="563"/>
      <c r="J492" s="566"/>
      <c r="K492" s="563"/>
      <c r="L492" s="566"/>
      <c r="M492" s="565"/>
      <c r="N492" s="564"/>
      <c r="V492" s="674"/>
      <c r="W492" s="675"/>
      <c r="X492" s="675"/>
      <c r="AD492" s="675"/>
      <c r="AE492" s="675"/>
      <c r="AG492" s="675"/>
      <c r="AH492" s="680"/>
    </row>
    <row r="493" spans="1:34" s="536" customFormat="1" ht="22.5" x14ac:dyDescent="0.2">
      <c r="A493" s="609"/>
      <c r="B493" s="552" t="s">
        <v>718</v>
      </c>
      <c r="C493" s="1822" t="s">
        <v>719</v>
      </c>
      <c r="D493" s="1822"/>
      <c r="E493" s="1822"/>
      <c r="F493" s="1822"/>
      <c r="G493" s="1822"/>
      <c r="H493" s="1822"/>
      <c r="I493" s="1822"/>
      <c r="J493" s="1822"/>
      <c r="K493" s="1822"/>
      <c r="L493" s="1822"/>
      <c r="M493" s="1822"/>
      <c r="N493" s="1827"/>
      <c r="V493" s="674"/>
      <c r="W493" s="675"/>
      <c r="X493" s="675"/>
      <c r="Z493" s="537" t="s">
        <v>719</v>
      </c>
      <c r="AD493" s="675"/>
      <c r="AE493" s="675"/>
      <c r="AG493" s="675"/>
      <c r="AH493" s="680"/>
    </row>
    <row r="494" spans="1:34" s="536" customFormat="1" ht="45" x14ac:dyDescent="0.2">
      <c r="A494" s="575" t="s">
        <v>775</v>
      </c>
      <c r="B494" s="670" t="s">
        <v>5459</v>
      </c>
      <c r="C494" s="1823" t="s">
        <v>5460</v>
      </c>
      <c r="D494" s="1823"/>
      <c r="E494" s="1823"/>
      <c r="F494" s="573" t="s">
        <v>617</v>
      </c>
      <c r="G494" s="573"/>
      <c r="H494" s="573"/>
      <c r="I494" s="573" t="s">
        <v>886</v>
      </c>
      <c r="J494" s="572">
        <v>4547.5</v>
      </c>
      <c r="K494" s="573" t="s">
        <v>716</v>
      </c>
      <c r="L494" s="572">
        <v>42641.57</v>
      </c>
      <c r="M494" s="571">
        <v>9.7899999999999991</v>
      </c>
      <c r="N494" s="570">
        <v>417461</v>
      </c>
      <c r="V494" s="674"/>
      <c r="W494" s="675"/>
      <c r="X494" s="675" t="s">
        <v>5460</v>
      </c>
      <c r="AD494" s="675"/>
      <c r="AE494" s="675"/>
      <c r="AG494" s="675"/>
      <c r="AH494" s="680"/>
    </row>
    <row r="495" spans="1:34" s="536" customFormat="1" ht="12" x14ac:dyDescent="0.2">
      <c r="A495" s="569"/>
      <c r="B495" s="671"/>
      <c r="C495" s="665" t="s">
        <v>1658</v>
      </c>
      <c r="D495" s="666"/>
      <c r="E495" s="666"/>
      <c r="F495" s="563"/>
      <c r="G495" s="563"/>
      <c r="H495" s="563"/>
      <c r="I495" s="563"/>
      <c r="J495" s="566"/>
      <c r="K495" s="563"/>
      <c r="L495" s="566"/>
      <c r="M495" s="565"/>
      <c r="N495" s="564"/>
      <c r="V495" s="674"/>
      <c r="W495" s="675"/>
      <c r="X495" s="675"/>
      <c r="AD495" s="675"/>
      <c r="AE495" s="675"/>
      <c r="AG495" s="675"/>
      <c r="AH495" s="680"/>
    </row>
    <row r="496" spans="1:34" s="536" customFormat="1" ht="22.5" x14ac:dyDescent="0.2">
      <c r="A496" s="609"/>
      <c r="B496" s="552" t="s">
        <v>718</v>
      </c>
      <c r="C496" s="1822" t="s">
        <v>719</v>
      </c>
      <c r="D496" s="1822"/>
      <c r="E496" s="1822"/>
      <c r="F496" s="1822"/>
      <c r="G496" s="1822"/>
      <c r="H496" s="1822"/>
      <c r="I496" s="1822"/>
      <c r="J496" s="1822"/>
      <c r="K496" s="1822"/>
      <c r="L496" s="1822"/>
      <c r="M496" s="1822"/>
      <c r="N496" s="1827"/>
      <c r="V496" s="674"/>
      <c r="W496" s="675"/>
      <c r="X496" s="675"/>
      <c r="Z496" s="537" t="s">
        <v>719</v>
      </c>
      <c r="AD496" s="675"/>
      <c r="AE496" s="675"/>
      <c r="AG496" s="675"/>
      <c r="AH496" s="680"/>
    </row>
    <row r="497" spans="1:34" s="536" customFormat="1" ht="33.75" x14ac:dyDescent="0.2">
      <c r="A497" s="575" t="s">
        <v>776</v>
      </c>
      <c r="B497" s="670" t="s">
        <v>5461</v>
      </c>
      <c r="C497" s="1823" t="s">
        <v>5462</v>
      </c>
      <c r="D497" s="1823"/>
      <c r="E497" s="1823"/>
      <c r="F497" s="573" t="s">
        <v>617</v>
      </c>
      <c r="G497" s="573"/>
      <c r="H497" s="573"/>
      <c r="I497" s="573" t="s">
        <v>886</v>
      </c>
      <c r="J497" s="572">
        <v>2914.2</v>
      </c>
      <c r="K497" s="573" t="s">
        <v>716</v>
      </c>
      <c r="L497" s="572">
        <v>27326.25</v>
      </c>
      <c r="M497" s="571">
        <v>9.7899999999999991</v>
      </c>
      <c r="N497" s="570">
        <v>267524</v>
      </c>
      <c r="V497" s="674"/>
      <c r="W497" s="675"/>
      <c r="X497" s="675" t="s">
        <v>5462</v>
      </c>
      <c r="AD497" s="675"/>
      <c r="AE497" s="675"/>
      <c r="AG497" s="675"/>
      <c r="AH497" s="680"/>
    </row>
    <row r="498" spans="1:34" s="536" customFormat="1" ht="12" x14ac:dyDescent="0.2">
      <c r="A498" s="569"/>
      <c r="B498" s="671"/>
      <c r="C498" s="665" t="s">
        <v>1658</v>
      </c>
      <c r="D498" s="666"/>
      <c r="E498" s="666"/>
      <c r="F498" s="563"/>
      <c r="G498" s="563"/>
      <c r="H498" s="563"/>
      <c r="I498" s="563"/>
      <c r="J498" s="566"/>
      <c r="K498" s="563"/>
      <c r="L498" s="566"/>
      <c r="M498" s="565"/>
      <c r="N498" s="564"/>
      <c r="V498" s="674"/>
      <c r="W498" s="675"/>
      <c r="X498" s="675"/>
      <c r="AD498" s="675"/>
      <c r="AE498" s="675"/>
      <c r="AG498" s="675"/>
      <c r="AH498" s="680"/>
    </row>
    <row r="499" spans="1:34" s="536" customFormat="1" ht="22.5" x14ac:dyDescent="0.2">
      <c r="A499" s="609"/>
      <c r="B499" s="552" t="s">
        <v>718</v>
      </c>
      <c r="C499" s="1822" t="s">
        <v>719</v>
      </c>
      <c r="D499" s="1822"/>
      <c r="E499" s="1822"/>
      <c r="F499" s="1822"/>
      <c r="G499" s="1822"/>
      <c r="H499" s="1822"/>
      <c r="I499" s="1822"/>
      <c r="J499" s="1822"/>
      <c r="K499" s="1822"/>
      <c r="L499" s="1822"/>
      <c r="M499" s="1822"/>
      <c r="N499" s="1827"/>
      <c r="V499" s="674"/>
      <c r="W499" s="675"/>
      <c r="X499" s="675"/>
      <c r="Z499" s="537" t="s">
        <v>719</v>
      </c>
      <c r="AD499" s="675"/>
      <c r="AE499" s="675"/>
      <c r="AG499" s="675"/>
      <c r="AH499" s="680"/>
    </row>
    <row r="500" spans="1:34" s="536" customFormat="1" ht="33.75" x14ac:dyDescent="0.2">
      <c r="A500" s="575" t="s">
        <v>931</v>
      </c>
      <c r="B500" s="670" t="s">
        <v>5463</v>
      </c>
      <c r="C500" s="1823" t="s">
        <v>5464</v>
      </c>
      <c r="D500" s="1823"/>
      <c r="E500" s="1823"/>
      <c r="F500" s="573" t="s">
        <v>617</v>
      </c>
      <c r="G500" s="573"/>
      <c r="H500" s="573"/>
      <c r="I500" s="573" t="s">
        <v>186</v>
      </c>
      <c r="J500" s="572">
        <v>4445.1000000000004</v>
      </c>
      <c r="K500" s="573" t="s">
        <v>716</v>
      </c>
      <c r="L500" s="572">
        <v>926.25</v>
      </c>
      <c r="M500" s="571">
        <v>9.7899999999999991</v>
      </c>
      <c r="N500" s="570">
        <v>9068</v>
      </c>
      <c r="V500" s="674"/>
      <c r="W500" s="675"/>
      <c r="X500" s="675" t="s">
        <v>5464</v>
      </c>
      <c r="AD500" s="675"/>
      <c r="AE500" s="675"/>
      <c r="AG500" s="675"/>
      <c r="AH500" s="680"/>
    </row>
    <row r="501" spans="1:34" s="536" customFormat="1" ht="12" x14ac:dyDescent="0.2">
      <c r="A501" s="569"/>
      <c r="B501" s="671"/>
      <c r="C501" s="665" t="s">
        <v>1658</v>
      </c>
      <c r="D501" s="666"/>
      <c r="E501" s="666"/>
      <c r="F501" s="563"/>
      <c r="G501" s="563"/>
      <c r="H501" s="563"/>
      <c r="I501" s="563"/>
      <c r="J501" s="566"/>
      <c r="K501" s="563"/>
      <c r="L501" s="566"/>
      <c r="M501" s="565"/>
      <c r="N501" s="564"/>
      <c r="V501" s="674"/>
      <c r="W501" s="675"/>
      <c r="X501" s="675"/>
      <c r="AD501" s="675"/>
      <c r="AE501" s="675"/>
      <c r="AG501" s="675"/>
      <c r="AH501" s="680"/>
    </row>
    <row r="502" spans="1:34" s="536" customFormat="1" ht="22.5" x14ac:dyDescent="0.2">
      <c r="A502" s="609"/>
      <c r="B502" s="552" t="s">
        <v>718</v>
      </c>
      <c r="C502" s="1822" t="s">
        <v>719</v>
      </c>
      <c r="D502" s="1822"/>
      <c r="E502" s="1822"/>
      <c r="F502" s="1822"/>
      <c r="G502" s="1822"/>
      <c r="H502" s="1822"/>
      <c r="I502" s="1822"/>
      <c r="J502" s="1822"/>
      <c r="K502" s="1822"/>
      <c r="L502" s="1822"/>
      <c r="M502" s="1822"/>
      <c r="N502" s="1827"/>
      <c r="V502" s="674"/>
      <c r="W502" s="675"/>
      <c r="X502" s="675"/>
      <c r="Z502" s="537" t="s">
        <v>719</v>
      </c>
      <c r="AD502" s="675"/>
      <c r="AE502" s="675"/>
      <c r="AG502" s="675"/>
      <c r="AH502" s="680"/>
    </row>
    <row r="503" spans="1:34" s="536" customFormat="1" ht="33.75" x14ac:dyDescent="0.2">
      <c r="A503" s="575" t="s">
        <v>465</v>
      </c>
      <c r="B503" s="670" t="s">
        <v>5465</v>
      </c>
      <c r="C503" s="1823" t="s">
        <v>5466</v>
      </c>
      <c r="D503" s="1823"/>
      <c r="E503" s="1823"/>
      <c r="F503" s="573" t="s">
        <v>617</v>
      </c>
      <c r="G503" s="573"/>
      <c r="H503" s="573"/>
      <c r="I503" s="573" t="s">
        <v>775</v>
      </c>
      <c r="J503" s="572">
        <v>2388.75</v>
      </c>
      <c r="K503" s="573" t="s">
        <v>716</v>
      </c>
      <c r="L503" s="572">
        <v>10701.84</v>
      </c>
      <c r="M503" s="571">
        <v>9.7899999999999991</v>
      </c>
      <c r="N503" s="570">
        <v>104771</v>
      </c>
      <c r="V503" s="674"/>
      <c r="W503" s="675"/>
      <c r="X503" s="675" t="s">
        <v>5466</v>
      </c>
      <c r="AD503" s="675"/>
      <c r="AE503" s="675"/>
      <c r="AG503" s="675"/>
      <c r="AH503" s="680"/>
    </row>
    <row r="504" spans="1:34" s="536" customFormat="1" ht="12" x14ac:dyDescent="0.2">
      <c r="A504" s="569"/>
      <c r="B504" s="671"/>
      <c r="C504" s="665" t="s">
        <v>1658</v>
      </c>
      <c r="D504" s="666"/>
      <c r="E504" s="666"/>
      <c r="F504" s="563"/>
      <c r="G504" s="563"/>
      <c r="H504" s="563"/>
      <c r="I504" s="563"/>
      <c r="J504" s="566"/>
      <c r="K504" s="563"/>
      <c r="L504" s="566"/>
      <c r="M504" s="565"/>
      <c r="N504" s="564"/>
      <c r="V504" s="674"/>
      <c r="W504" s="675"/>
      <c r="X504" s="675"/>
      <c r="AD504" s="675"/>
      <c r="AE504" s="675"/>
      <c r="AG504" s="675"/>
      <c r="AH504" s="680"/>
    </row>
    <row r="505" spans="1:34" s="536" customFormat="1" ht="22.5" x14ac:dyDescent="0.2">
      <c r="A505" s="609"/>
      <c r="B505" s="552" t="s">
        <v>718</v>
      </c>
      <c r="C505" s="1822" t="s">
        <v>719</v>
      </c>
      <c r="D505" s="1822"/>
      <c r="E505" s="1822"/>
      <c r="F505" s="1822"/>
      <c r="G505" s="1822"/>
      <c r="H505" s="1822"/>
      <c r="I505" s="1822"/>
      <c r="J505" s="1822"/>
      <c r="K505" s="1822"/>
      <c r="L505" s="1822"/>
      <c r="M505" s="1822"/>
      <c r="N505" s="1827"/>
      <c r="V505" s="674"/>
      <c r="W505" s="675"/>
      <c r="X505" s="675"/>
      <c r="Z505" s="537" t="s">
        <v>719</v>
      </c>
      <c r="AD505" s="675"/>
      <c r="AE505" s="675"/>
      <c r="AG505" s="675"/>
      <c r="AH505" s="680"/>
    </row>
    <row r="506" spans="1:34" s="536" customFormat="1" ht="33.75" x14ac:dyDescent="0.2">
      <c r="A506" s="575" t="s">
        <v>782</v>
      </c>
      <c r="B506" s="670" t="s">
        <v>5467</v>
      </c>
      <c r="C506" s="1823" t="s">
        <v>5468</v>
      </c>
      <c r="D506" s="1823"/>
      <c r="E506" s="1823"/>
      <c r="F506" s="573" t="s">
        <v>1110</v>
      </c>
      <c r="G506" s="573"/>
      <c r="H506" s="573"/>
      <c r="I506" s="573" t="s">
        <v>5469</v>
      </c>
      <c r="J506" s="572"/>
      <c r="K506" s="573"/>
      <c r="L506" s="572"/>
      <c r="M506" s="571"/>
      <c r="N506" s="570"/>
      <c r="V506" s="674"/>
      <c r="W506" s="675"/>
      <c r="X506" s="675" t="s">
        <v>5468</v>
      </c>
      <c r="AD506" s="675"/>
      <c r="AE506" s="675"/>
      <c r="AG506" s="675"/>
      <c r="AH506" s="680"/>
    </row>
    <row r="507" spans="1:34" s="536" customFormat="1" ht="12" x14ac:dyDescent="0.2">
      <c r="A507" s="676"/>
      <c r="B507" s="664"/>
      <c r="C507" s="1822" t="s">
        <v>5470</v>
      </c>
      <c r="D507" s="1822"/>
      <c r="E507" s="1822"/>
      <c r="F507" s="1822"/>
      <c r="G507" s="1822"/>
      <c r="H507" s="1822"/>
      <c r="I507" s="1822"/>
      <c r="J507" s="1822"/>
      <c r="K507" s="1822"/>
      <c r="L507" s="1822"/>
      <c r="M507" s="1822"/>
      <c r="N507" s="1827"/>
      <c r="V507" s="674"/>
      <c r="W507" s="675"/>
      <c r="X507" s="675"/>
      <c r="Y507" s="537" t="s">
        <v>5470</v>
      </c>
      <c r="AD507" s="675"/>
      <c r="AE507" s="675"/>
      <c r="AG507" s="675"/>
      <c r="AH507" s="680"/>
    </row>
    <row r="508" spans="1:34" s="536" customFormat="1" ht="33.75" x14ac:dyDescent="0.2">
      <c r="A508" s="609"/>
      <c r="B508" s="552" t="s">
        <v>310</v>
      </c>
      <c r="C508" s="1822" t="s">
        <v>311</v>
      </c>
      <c r="D508" s="1822"/>
      <c r="E508" s="1822"/>
      <c r="F508" s="1822"/>
      <c r="G508" s="1822"/>
      <c r="H508" s="1822"/>
      <c r="I508" s="1822"/>
      <c r="J508" s="1822"/>
      <c r="K508" s="1822"/>
      <c r="L508" s="1822"/>
      <c r="M508" s="1822"/>
      <c r="N508" s="1827"/>
      <c r="V508" s="674"/>
      <c r="W508" s="675"/>
      <c r="X508" s="675"/>
      <c r="Z508" s="537" t="s">
        <v>311</v>
      </c>
      <c r="AD508" s="675"/>
      <c r="AE508" s="675"/>
      <c r="AG508" s="675"/>
      <c r="AH508" s="680"/>
    </row>
    <row r="509" spans="1:34" s="536" customFormat="1" ht="12" x14ac:dyDescent="0.2">
      <c r="A509" s="605"/>
      <c r="B509" s="552" t="s">
        <v>185</v>
      </c>
      <c r="C509" s="1822" t="s">
        <v>312</v>
      </c>
      <c r="D509" s="1822"/>
      <c r="E509" s="1822"/>
      <c r="F509" s="562"/>
      <c r="G509" s="562"/>
      <c r="H509" s="562"/>
      <c r="I509" s="562"/>
      <c r="J509" s="604">
        <v>33.950000000000003</v>
      </c>
      <c r="K509" s="562" t="s">
        <v>313</v>
      </c>
      <c r="L509" s="604">
        <v>2701.15</v>
      </c>
      <c r="M509" s="603"/>
      <c r="N509" s="602"/>
      <c r="V509" s="674"/>
      <c r="W509" s="675"/>
      <c r="X509" s="675"/>
      <c r="AA509" s="537" t="s">
        <v>312</v>
      </c>
      <c r="AD509" s="675"/>
      <c r="AE509" s="675"/>
      <c r="AG509" s="675"/>
      <c r="AH509" s="680"/>
    </row>
    <row r="510" spans="1:34" s="536" customFormat="1" ht="12" x14ac:dyDescent="0.2">
      <c r="A510" s="605"/>
      <c r="B510" s="552" t="s">
        <v>186</v>
      </c>
      <c r="C510" s="1822" t="s">
        <v>344</v>
      </c>
      <c r="D510" s="1822"/>
      <c r="E510" s="1822"/>
      <c r="F510" s="562"/>
      <c r="G510" s="562"/>
      <c r="H510" s="562"/>
      <c r="I510" s="562"/>
      <c r="J510" s="604">
        <v>1.31</v>
      </c>
      <c r="K510" s="562" t="s">
        <v>313</v>
      </c>
      <c r="L510" s="604">
        <v>104.23</v>
      </c>
      <c r="M510" s="603"/>
      <c r="N510" s="602"/>
      <c r="V510" s="674"/>
      <c r="W510" s="675"/>
      <c r="X510" s="675"/>
      <c r="AA510" s="537" t="s">
        <v>344</v>
      </c>
      <c r="AD510" s="675"/>
      <c r="AE510" s="675"/>
      <c r="AG510" s="675"/>
      <c r="AH510" s="680"/>
    </row>
    <row r="511" spans="1:34" s="536" customFormat="1" ht="12" x14ac:dyDescent="0.2">
      <c r="A511" s="605"/>
      <c r="B511" s="552" t="s">
        <v>187</v>
      </c>
      <c r="C511" s="1822" t="s">
        <v>345</v>
      </c>
      <c r="D511" s="1822"/>
      <c r="E511" s="1822"/>
      <c r="F511" s="562"/>
      <c r="G511" s="562"/>
      <c r="H511" s="562"/>
      <c r="I511" s="562"/>
      <c r="J511" s="604">
        <v>0.23</v>
      </c>
      <c r="K511" s="562" t="s">
        <v>313</v>
      </c>
      <c r="L511" s="604">
        <v>18.3</v>
      </c>
      <c r="M511" s="603"/>
      <c r="N511" s="602"/>
      <c r="V511" s="674"/>
      <c r="W511" s="675"/>
      <c r="X511" s="675"/>
      <c r="AA511" s="537" t="s">
        <v>345</v>
      </c>
      <c r="AD511" s="675"/>
      <c r="AE511" s="675"/>
      <c r="AG511" s="675"/>
      <c r="AH511" s="680"/>
    </row>
    <row r="512" spans="1:34" s="536" customFormat="1" ht="12" x14ac:dyDescent="0.2">
      <c r="A512" s="605"/>
      <c r="B512" s="552" t="s">
        <v>188</v>
      </c>
      <c r="C512" s="1822" t="s">
        <v>475</v>
      </c>
      <c r="D512" s="1822"/>
      <c r="E512" s="1822"/>
      <c r="F512" s="562"/>
      <c r="G512" s="562"/>
      <c r="H512" s="562"/>
      <c r="I512" s="562"/>
      <c r="J512" s="604">
        <v>0.68</v>
      </c>
      <c r="K512" s="562"/>
      <c r="L512" s="604">
        <v>43.28</v>
      </c>
      <c r="M512" s="603"/>
      <c r="N512" s="602"/>
      <c r="V512" s="674"/>
      <c r="W512" s="675"/>
      <c r="X512" s="675"/>
      <c r="AA512" s="537" t="s">
        <v>475</v>
      </c>
      <c r="AD512" s="675"/>
      <c r="AE512" s="675"/>
      <c r="AG512" s="675"/>
      <c r="AH512" s="680"/>
    </row>
    <row r="513" spans="1:34" s="536" customFormat="1" ht="12" x14ac:dyDescent="0.2">
      <c r="A513" s="605"/>
      <c r="B513" s="552"/>
      <c r="C513" s="1822" t="s">
        <v>314</v>
      </c>
      <c r="D513" s="1822"/>
      <c r="E513" s="1822"/>
      <c r="F513" s="562" t="s">
        <v>315</v>
      </c>
      <c r="G513" s="562" t="s">
        <v>5471</v>
      </c>
      <c r="H513" s="562" t="s">
        <v>313</v>
      </c>
      <c r="I513" s="562" t="s">
        <v>5472</v>
      </c>
      <c r="J513" s="604"/>
      <c r="K513" s="562"/>
      <c r="L513" s="604"/>
      <c r="M513" s="603"/>
      <c r="N513" s="602"/>
      <c r="V513" s="674"/>
      <c r="W513" s="675"/>
      <c r="X513" s="675"/>
      <c r="AB513" s="537" t="s">
        <v>314</v>
      </c>
      <c r="AD513" s="675"/>
      <c r="AE513" s="675"/>
      <c r="AG513" s="675"/>
      <c r="AH513" s="680"/>
    </row>
    <row r="514" spans="1:34" s="536" customFormat="1" ht="12" x14ac:dyDescent="0.2">
      <c r="A514" s="605"/>
      <c r="B514" s="552"/>
      <c r="C514" s="1822" t="s">
        <v>348</v>
      </c>
      <c r="D514" s="1822"/>
      <c r="E514" s="1822"/>
      <c r="F514" s="562" t="s">
        <v>315</v>
      </c>
      <c r="G514" s="562" t="s">
        <v>695</v>
      </c>
      <c r="H514" s="562" t="s">
        <v>313</v>
      </c>
      <c r="I514" s="562" t="s">
        <v>5473</v>
      </c>
      <c r="J514" s="604"/>
      <c r="K514" s="562"/>
      <c r="L514" s="604"/>
      <c r="M514" s="603"/>
      <c r="N514" s="602"/>
      <c r="V514" s="674"/>
      <c r="W514" s="675"/>
      <c r="X514" s="675"/>
      <c r="AB514" s="537" t="s">
        <v>348</v>
      </c>
      <c r="AD514" s="675"/>
      <c r="AE514" s="675"/>
      <c r="AG514" s="675"/>
      <c r="AH514" s="680"/>
    </row>
    <row r="515" spans="1:34" s="536" customFormat="1" ht="12" x14ac:dyDescent="0.2">
      <c r="A515" s="605"/>
      <c r="B515" s="552"/>
      <c r="C515" s="1828" t="s">
        <v>318</v>
      </c>
      <c r="D515" s="1828"/>
      <c r="E515" s="1828"/>
      <c r="F515" s="608"/>
      <c r="G515" s="608"/>
      <c r="H515" s="608"/>
      <c r="I515" s="608"/>
      <c r="J515" s="607">
        <v>35.94</v>
      </c>
      <c r="K515" s="608"/>
      <c r="L515" s="607">
        <v>2848.66</v>
      </c>
      <c r="M515" s="601"/>
      <c r="N515" s="606"/>
      <c r="V515" s="674"/>
      <c r="W515" s="675"/>
      <c r="X515" s="675"/>
      <c r="AC515" s="537" t="s">
        <v>318</v>
      </c>
      <c r="AD515" s="675"/>
      <c r="AE515" s="675"/>
      <c r="AG515" s="675"/>
      <c r="AH515" s="680"/>
    </row>
    <row r="516" spans="1:34" s="536" customFormat="1" ht="12" x14ac:dyDescent="0.2">
      <c r="A516" s="605"/>
      <c r="B516" s="552"/>
      <c r="C516" s="1822" t="s">
        <v>319</v>
      </c>
      <c r="D516" s="1822"/>
      <c r="E516" s="1822"/>
      <c r="F516" s="562"/>
      <c r="G516" s="562"/>
      <c r="H516" s="562"/>
      <c r="I516" s="562"/>
      <c r="J516" s="604"/>
      <c r="K516" s="562"/>
      <c r="L516" s="604">
        <v>2719.45</v>
      </c>
      <c r="M516" s="603"/>
      <c r="N516" s="602"/>
      <c r="V516" s="674"/>
      <c r="W516" s="675"/>
      <c r="X516" s="675"/>
      <c r="AB516" s="537" t="s">
        <v>319</v>
      </c>
      <c r="AD516" s="675"/>
      <c r="AE516" s="675"/>
      <c r="AG516" s="675"/>
      <c r="AH516" s="680"/>
    </row>
    <row r="517" spans="1:34" s="536" customFormat="1" ht="33.75" x14ac:dyDescent="0.2">
      <c r="A517" s="605"/>
      <c r="B517" s="552" t="s">
        <v>1631</v>
      </c>
      <c r="C517" s="1822" t="s">
        <v>1632</v>
      </c>
      <c r="D517" s="1822"/>
      <c r="E517" s="1822"/>
      <c r="F517" s="562" t="s">
        <v>322</v>
      </c>
      <c r="G517" s="562" t="s">
        <v>1633</v>
      </c>
      <c r="H517" s="562"/>
      <c r="I517" s="562" t="s">
        <v>1633</v>
      </c>
      <c r="J517" s="604"/>
      <c r="K517" s="562"/>
      <c r="L517" s="604">
        <v>2637.87</v>
      </c>
      <c r="M517" s="603"/>
      <c r="N517" s="602"/>
      <c r="V517" s="674"/>
      <c r="W517" s="675"/>
      <c r="X517" s="675"/>
      <c r="AB517" s="537" t="s">
        <v>1632</v>
      </c>
      <c r="AD517" s="675"/>
      <c r="AE517" s="675"/>
      <c r="AG517" s="675"/>
      <c r="AH517" s="680"/>
    </row>
    <row r="518" spans="1:34" s="536" customFormat="1" ht="33.75" x14ac:dyDescent="0.2">
      <c r="A518" s="605"/>
      <c r="B518" s="552" t="s">
        <v>1634</v>
      </c>
      <c r="C518" s="1822" t="s">
        <v>1635</v>
      </c>
      <c r="D518" s="1822"/>
      <c r="E518" s="1822"/>
      <c r="F518" s="562" t="s">
        <v>322</v>
      </c>
      <c r="G518" s="562" t="s">
        <v>786</v>
      </c>
      <c r="H518" s="562"/>
      <c r="I518" s="562" t="s">
        <v>786</v>
      </c>
      <c r="J518" s="604"/>
      <c r="K518" s="562"/>
      <c r="L518" s="604">
        <v>1386.92</v>
      </c>
      <c r="M518" s="603"/>
      <c r="N518" s="602"/>
      <c r="V518" s="674"/>
      <c r="W518" s="675"/>
      <c r="X518" s="675"/>
      <c r="AB518" s="537" t="s">
        <v>1635</v>
      </c>
      <c r="AD518" s="675"/>
      <c r="AE518" s="675"/>
      <c r="AG518" s="675"/>
      <c r="AH518" s="680"/>
    </row>
    <row r="519" spans="1:34" s="536" customFormat="1" ht="12" x14ac:dyDescent="0.2">
      <c r="A519" s="569"/>
      <c r="B519" s="671"/>
      <c r="C519" s="1823" t="s">
        <v>327</v>
      </c>
      <c r="D519" s="1823"/>
      <c r="E519" s="1823"/>
      <c r="F519" s="573"/>
      <c r="G519" s="573"/>
      <c r="H519" s="573"/>
      <c r="I519" s="573"/>
      <c r="J519" s="572"/>
      <c r="K519" s="573"/>
      <c r="L519" s="572">
        <v>6873.45</v>
      </c>
      <c r="M519" s="601"/>
      <c r="N519" s="570"/>
      <c r="V519" s="674"/>
      <c r="W519" s="675"/>
      <c r="X519" s="675"/>
      <c r="AD519" s="675" t="s">
        <v>327</v>
      </c>
      <c r="AE519" s="675"/>
      <c r="AG519" s="675"/>
      <c r="AH519" s="680"/>
    </row>
    <row r="520" spans="1:34" s="536" customFormat="1" ht="33.75" x14ac:dyDescent="0.2">
      <c r="A520" s="575" t="s">
        <v>501</v>
      </c>
      <c r="B520" s="670" t="s">
        <v>5474</v>
      </c>
      <c r="C520" s="1823" t="s">
        <v>5475</v>
      </c>
      <c r="D520" s="1823"/>
      <c r="E520" s="1823"/>
      <c r="F520" s="573" t="s">
        <v>483</v>
      </c>
      <c r="G520" s="573"/>
      <c r="H520" s="573"/>
      <c r="I520" s="573" t="s">
        <v>5476</v>
      </c>
      <c r="J520" s="572">
        <v>17.28</v>
      </c>
      <c r="K520" s="573"/>
      <c r="L520" s="572">
        <v>112186.94</v>
      </c>
      <c r="M520" s="571"/>
      <c r="N520" s="570"/>
      <c r="V520" s="674"/>
      <c r="W520" s="675"/>
      <c r="X520" s="675" t="s">
        <v>5475</v>
      </c>
      <c r="AD520" s="675"/>
      <c r="AE520" s="675"/>
      <c r="AG520" s="675"/>
      <c r="AH520" s="680"/>
    </row>
    <row r="521" spans="1:34" s="536" customFormat="1" ht="12" x14ac:dyDescent="0.2">
      <c r="A521" s="569"/>
      <c r="B521" s="671"/>
      <c r="C521" s="665" t="s">
        <v>717</v>
      </c>
      <c r="D521" s="666"/>
      <c r="E521" s="666"/>
      <c r="F521" s="563"/>
      <c r="G521" s="563"/>
      <c r="H521" s="563"/>
      <c r="I521" s="563"/>
      <c r="J521" s="566"/>
      <c r="K521" s="563"/>
      <c r="L521" s="566"/>
      <c r="M521" s="565"/>
      <c r="N521" s="564"/>
      <c r="V521" s="674"/>
      <c r="W521" s="675"/>
      <c r="X521" s="675"/>
      <c r="AD521" s="675"/>
      <c r="AE521" s="675"/>
      <c r="AG521" s="675"/>
      <c r="AH521" s="680"/>
    </row>
    <row r="522" spans="1:34" s="536" customFormat="1" ht="12" x14ac:dyDescent="0.2">
      <c r="A522" s="676"/>
      <c r="B522" s="664"/>
      <c r="C522" s="1822" t="s">
        <v>5477</v>
      </c>
      <c r="D522" s="1822"/>
      <c r="E522" s="1822"/>
      <c r="F522" s="1822"/>
      <c r="G522" s="1822"/>
      <c r="H522" s="1822"/>
      <c r="I522" s="1822"/>
      <c r="J522" s="1822"/>
      <c r="K522" s="1822"/>
      <c r="L522" s="1822"/>
      <c r="M522" s="1822"/>
      <c r="N522" s="1827"/>
      <c r="V522" s="674"/>
      <c r="W522" s="675"/>
      <c r="X522" s="675"/>
      <c r="Y522" s="537" t="s">
        <v>5477</v>
      </c>
      <c r="AD522" s="675"/>
      <c r="AE522" s="675"/>
      <c r="AG522" s="675"/>
      <c r="AH522" s="680"/>
    </row>
    <row r="523" spans="1:34" s="536" customFormat="1" ht="33.75" x14ac:dyDescent="0.2">
      <c r="A523" s="575" t="s">
        <v>784</v>
      </c>
      <c r="B523" s="670" t="s">
        <v>5478</v>
      </c>
      <c r="C523" s="1823" t="s">
        <v>5479</v>
      </c>
      <c r="D523" s="1823"/>
      <c r="E523" s="1823"/>
      <c r="F523" s="573" t="s">
        <v>1110</v>
      </c>
      <c r="G523" s="573"/>
      <c r="H523" s="573"/>
      <c r="I523" s="573" t="s">
        <v>5480</v>
      </c>
      <c r="J523" s="572"/>
      <c r="K523" s="573"/>
      <c r="L523" s="572"/>
      <c r="M523" s="571"/>
      <c r="N523" s="570"/>
      <c r="V523" s="674"/>
      <c r="W523" s="675"/>
      <c r="X523" s="675" t="s">
        <v>5479</v>
      </c>
      <c r="AD523" s="675"/>
      <c r="AE523" s="675"/>
      <c r="AG523" s="675"/>
      <c r="AH523" s="680"/>
    </row>
    <row r="524" spans="1:34" s="536" customFormat="1" ht="12" x14ac:dyDescent="0.2">
      <c r="A524" s="676"/>
      <c r="B524" s="664"/>
      <c r="C524" s="1822" t="s">
        <v>5481</v>
      </c>
      <c r="D524" s="1822"/>
      <c r="E524" s="1822"/>
      <c r="F524" s="1822"/>
      <c r="G524" s="1822"/>
      <c r="H524" s="1822"/>
      <c r="I524" s="1822"/>
      <c r="J524" s="1822"/>
      <c r="K524" s="1822"/>
      <c r="L524" s="1822"/>
      <c r="M524" s="1822"/>
      <c r="N524" s="1827"/>
      <c r="V524" s="674"/>
      <c r="W524" s="675"/>
      <c r="X524" s="675"/>
      <c r="Y524" s="537" t="s">
        <v>5481</v>
      </c>
      <c r="AD524" s="675"/>
      <c r="AE524" s="675"/>
      <c r="AG524" s="675"/>
      <c r="AH524" s="680"/>
    </row>
    <row r="525" spans="1:34" s="536" customFormat="1" ht="33.75" x14ac:dyDescent="0.2">
      <c r="A525" s="609"/>
      <c r="B525" s="552" t="s">
        <v>310</v>
      </c>
      <c r="C525" s="1822" t="s">
        <v>311</v>
      </c>
      <c r="D525" s="1822"/>
      <c r="E525" s="1822"/>
      <c r="F525" s="1822"/>
      <c r="G525" s="1822"/>
      <c r="H525" s="1822"/>
      <c r="I525" s="1822"/>
      <c r="J525" s="1822"/>
      <c r="K525" s="1822"/>
      <c r="L525" s="1822"/>
      <c r="M525" s="1822"/>
      <c r="N525" s="1827"/>
      <c r="V525" s="674"/>
      <c r="W525" s="675"/>
      <c r="X525" s="675"/>
      <c r="Z525" s="537" t="s">
        <v>311</v>
      </c>
      <c r="AD525" s="675"/>
      <c r="AE525" s="675"/>
      <c r="AG525" s="675"/>
      <c r="AH525" s="680"/>
    </row>
    <row r="526" spans="1:34" s="536" customFormat="1" ht="12" x14ac:dyDescent="0.2">
      <c r="A526" s="605"/>
      <c r="B526" s="552" t="s">
        <v>185</v>
      </c>
      <c r="C526" s="1822" t="s">
        <v>312</v>
      </c>
      <c r="D526" s="1822"/>
      <c r="E526" s="1822"/>
      <c r="F526" s="562"/>
      <c r="G526" s="562"/>
      <c r="H526" s="562"/>
      <c r="I526" s="562"/>
      <c r="J526" s="604">
        <v>49.46</v>
      </c>
      <c r="K526" s="562" t="s">
        <v>313</v>
      </c>
      <c r="L526" s="604">
        <v>1118.4100000000001</v>
      </c>
      <c r="M526" s="603"/>
      <c r="N526" s="602"/>
      <c r="V526" s="674"/>
      <c r="W526" s="675"/>
      <c r="X526" s="675"/>
      <c r="AA526" s="537" t="s">
        <v>312</v>
      </c>
      <c r="AD526" s="675"/>
      <c r="AE526" s="675"/>
      <c r="AG526" s="675"/>
      <c r="AH526" s="680"/>
    </row>
    <row r="527" spans="1:34" s="536" customFormat="1" ht="12" x14ac:dyDescent="0.2">
      <c r="A527" s="605"/>
      <c r="B527" s="552" t="s">
        <v>186</v>
      </c>
      <c r="C527" s="1822" t="s">
        <v>344</v>
      </c>
      <c r="D527" s="1822"/>
      <c r="E527" s="1822"/>
      <c r="F527" s="562"/>
      <c r="G527" s="562"/>
      <c r="H527" s="562"/>
      <c r="I527" s="562"/>
      <c r="J527" s="604">
        <v>3.94</v>
      </c>
      <c r="K527" s="562" t="s">
        <v>313</v>
      </c>
      <c r="L527" s="604">
        <v>89.09</v>
      </c>
      <c r="M527" s="603"/>
      <c r="N527" s="602"/>
      <c r="V527" s="674"/>
      <c r="W527" s="675"/>
      <c r="X527" s="675"/>
      <c r="AA527" s="537" t="s">
        <v>344</v>
      </c>
      <c r="AD527" s="675"/>
      <c r="AE527" s="675"/>
      <c r="AG527" s="675"/>
      <c r="AH527" s="680"/>
    </row>
    <row r="528" spans="1:34" s="536" customFormat="1" ht="12" x14ac:dyDescent="0.2">
      <c r="A528" s="605"/>
      <c r="B528" s="552" t="s">
        <v>187</v>
      </c>
      <c r="C528" s="1822" t="s">
        <v>345</v>
      </c>
      <c r="D528" s="1822"/>
      <c r="E528" s="1822"/>
      <c r="F528" s="562"/>
      <c r="G528" s="562"/>
      <c r="H528" s="562"/>
      <c r="I528" s="562"/>
      <c r="J528" s="604">
        <v>0.7</v>
      </c>
      <c r="K528" s="562" t="s">
        <v>313</v>
      </c>
      <c r="L528" s="604">
        <v>15.83</v>
      </c>
      <c r="M528" s="603"/>
      <c r="N528" s="602"/>
      <c r="V528" s="674"/>
      <c r="W528" s="675"/>
      <c r="X528" s="675"/>
      <c r="AA528" s="537" t="s">
        <v>345</v>
      </c>
      <c r="AD528" s="675"/>
      <c r="AE528" s="675"/>
      <c r="AG528" s="675"/>
      <c r="AH528" s="680"/>
    </row>
    <row r="529" spans="1:34" s="536" customFormat="1" ht="12" x14ac:dyDescent="0.2">
      <c r="A529" s="605"/>
      <c r="B529" s="552" t="s">
        <v>188</v>
      </c>
      <c r="C529" s="1822" t="s">
        <v>475</v>
      </c>
      <c r="D529" s="1822"/>
      <c r="E529" s="1822"/>
      <c r="F529" s="562"/>
      <c r="G529" s="562"/>
      <c r="H529" s="562"/>
      <c r="I529" s="562"/>
      <c r="J529" s="604">
        <v>0.99</v>
      </c>
      <c r="K529" s="562"/>
      <c r="L529" s="604">
        <v>17.91</v>
      </c>
      <c r="M529" s="603"/>
      <c r="N529" s="602"/>
      <c r="V529" s="674"/>
      <c r="W529" s="675"/>
      <c r="X529" s="675"/>
      <c r="AA529" s="537" t="s">
        <v>475</v>
      </c>
      <c r="AD529" s="675"/>
      <c r="AE529" s="675"/>
      <c r="AG529" s="675"/>
      <c r="AH529" s="680"/>
    </row>
    <row r="530" spans="1:34" s="536" customFormat="1" ht="12" x14ac:dyDescent="0.2">
      <c r="A530" s="605"/>
      <c r="B530" s="552"/>
      <c r="C530" s="1822" t="s">
        <v>314</v>
      </c>
      <c r="D530" s="1822"/>
      <c r="E530" s="1822"/>
      <c r="F530" s="562" t="s">
        <v>315</v>
      </c>
      <c r="G530" s="562" t="s">
        <v>5482</v>
      </c>
      <c r="H530" s="562" t="s">
        <v>313</v>
      </c>
      <c r="I530" s="562" t="s">
        <v>5483</v>
      </c>
      <c r="J530" s="604"/>
      <c r="K530" s="562"/>
      <c r="L530" s="604"/>
      <c r="M530" s="603"/>
      <c r="N530" s="602"/>
      <c r="V530" s="674"/>
      <c r="W530" s="675"/>
      <c r="X530" s="675"/>
      <c r="AB530" s="537" t="s">
        <v>314</v>
      </c>
      <c r="AD530" s="675"/>
      <c r="AE530" s="675"/>
      <c r="AG530" s="675"/>
      <c r="AH530" s="680"/>
    </row>
    <row r="531" spans="1:34" s="536" customFormat="1" ht="12" x14ac:dyDescent="0.2">
      <c r="A531" s="605"/>
      <c r="B531" s="552"/>
      <c r="C531" s="1822" t="s">
        <v>348</v>
      </c>
      <c r="D531" s="1822"/>
      <c r="E531" s="1822"/>
      <c r="F531" s="562" t="s">
        <v>315</v>
      </c>
      <c r="G531" s="562" t="s">
        <v>1554</v>
      </c>
      <c r="H531" s="562" t="s">
        <v>313</v>
      </c>
      <c r="I531" s="562" t="s">
        <v>5484</v>
      </c>
      <c r="J531" s="604"/>
      <c r="K531" s="562"/>
      <c r="L531" s="604"/>
      <c r="M531" s="603"/>
      <c r="N531" s="602"/>
      <c r="V531" s="674"/>
      <c r="W531" s="675"/>
      <c r="X531" s="675"/>
      <c r="AB531" s="537" t="s">
        <v>348</v>
      </c>
      <c r="AD531" s="675"/>
      <c r="AE531" s="675"/>
      <c r="AG531" s="675"/>
      <c r="AH531" s="680"/>
    </row>
    <row r="532" spans="1:34" s="536" customFormat="1" ht="12" x14ac:dyDescent="0.2">
      <c r="A532" s="605"/>
      <c r="B532" s="552"/>
      <c r="C532" s="1828" t="s">
        <v>318</v>
      </c>
      <c r="D532" s="1828"/>
      <c r="E532" s="1828"/>
      <c r="F532" s="608"/>
      <c r="G532" s="608"/>
      <c r="H532" s="608"/>
      <c r="I532" s="608"/>
      <c r="J532" s="607">
        <v>54.39</v>
      </c>
      <c r="K532" s="608"/>
      <c r="L532" s="607">
        <v>1225.4100000000001</v>
      </c>
      <c r="M532" s="601"/>
      <c r="N532" s="606"/>
      <c r="V532" s="674"/>
      <c r="W532" s="675"/>
      <c r="X532" s="675"/>
      <c r="AC532" s="537" t="s">
        <v>318</v>
      </c>
      <c r="AD532" s="675"/>
      <c r="AE532" s="675"/>
      <c r="AG532" s="675"/>
      <c r="AH532" s="680"/>
    </row>
    <row r="533" spans="1:34" s="536" customFormat="1" ht="12" x14ac:dyDescent="0.2">
      <c r="A533" s="605"/>
      <c r="B533" s="552"/>
      <c r="C533" s="1822" t="s">
        <v>319</v>
      </c>
      <c r="D533" s="1822"/>
      <c r="E533" s="1822"/>
      <c r="F533" s="562"/>
      <c r="G533" s="562"/>
      <c r="H533" s="562"/>
      <c r="I533" s="562"/>
      <c r="J533" s="604"/>
      <c r="K533" s="562"/>
      <c r="L533" s="604">
        <v>1134.24</v>
      </c>
      <c r="M533" s="603"/>
      <c r="N533" s="602"/>
      <c r="V533" s="674"/>
      <c r="W533" s="675"/>
      <c r="X533" s="675"/>
      <c r="AB533" s="537" t="s">
        <v>319</v>
      </c>
      <c r="AD533" s="675"/>
      <c r="AE533" s="675"/>
      <c r="AG533" s="675"/>
      <c r="AH533" s="680"/>
    </row>
    <row r="534" spans="1:34" s="536" customFormat="1" ht="33.75" x14ac:dyDescent="0.2">
      <c r="A534" s="605"/>
      <c r="B534" s="552" t="s">
        <v>1631</v>
      </c>
      <c r="C534" s="1822" t="s">
        <v>1632</v>
      </c>
      <c r="D534" s="1822"/>
      <c r="E534" s="1822"/>
      <c r="F534" s="562" t="s">
        <v>322</v>
      </c>
      <c r="G534" s="562" t="s">
        <v>1633</v>
      </c>
      <c r="H534" s="562"/>
      <c r="I534" s="562" t="s">
        <v>1633</v>
      </c>
      <c r="J534" s="604"/>
      <c r="K534" s="562"/>
      <c r="L534" s="604">
        <v>1100.21</v>
      </c>
      <c r="M534" s="603"/>
      <c r="N534" s="602"/>
      <c r="V534" s="674"/>
      <c r="W534" s="675"/>
      <c r="X534" s="675"/>
      <c r="AB534" s="537" t="s">
        <v>1632</v>
      </c>
      <c r="AD534" s="675"/>
      <c r="AE534" s="675"/>
      <c r="AG534" s="675"/>
      <c r="AH534" s="680"/>
    </row>
    <row r="535" spans="1:34" s="536" customFormat="1" ht="33.75" x14ac:dyDescent="0.2">
      <c r="A535" s="605"/>
      <c r="B535" s="552" t="s">
        <v>1634</v>
      </c>
      <c r="C535" s="1822" t="s">
        <v>1635</v>
      </c>
      <c r="D535" s="1822"/>
      <c r="E535" s="1822"/>
      <c r="F535" s="562" t="s">
        <v>322</v>
      </c>
      <c r="G535" s="562" t="s">
        <v>786</v>
      </c>
      <c r="H535" s="562"/>
      <c r="I535" s="562" t="s">
        <v>786</v>
      </c>
      <c r="J535" s="604"/>
      <c r="K535" s="562"/>
      <c r="L535" s="604">
        <v>578.46</v>
      </c>
      <c r="M535" s="603"/>
      <c r="N535" s="602"/>
      <c r="V535" s="674"/>
      <c r="W535" s="675"/>
      <c r="X535" s="675"/>
      <c r="AB535" s="537" t="s">
        <v>1635</v>
      </c>
      <c r="AD535" s="675"/>
      <c r="AE535" s="675"/>
      <c r="AG535" s="675"/>
      <c r="AH535" s="680"/>
    </row>
    <row r="536" spans="1:34" s="536" customFormat="1" ht="12" x14ac:dyDescent="0.2">
      <c r="A536" s="569"/>
      <c r="B536" s="671"/>
      <c r="C536" s="1823" t="s">
        <v>327</v>
      </c>
      <c r="D536" s="1823"/>
      <c r="E536" s="1823"/>
      <c r="F536" s="573"/>
      <c r="G536" s="573"/>
      <c r="H536" s="573"/>
      <c r="I536" s="573"/>
      <c r="J536" s="572"/>
      <c r="K536" s="573"/>
      <c r="L536" s="572">
        <v>2904.08</v>
      </c>
      <c r="M536" s="601"/>
      <c r="N536" s="570"/>
      <c r="V536" s="674"/>
      <c r="W536" s="675"/>
      <c r="X536" s="675"/>
      <c r="AD536" s="675" t="s">
        <v>327</v>
      </c>
      <c r="AE536" s="675"/>
      <c r="AG536" s="675"/>
      <c r="AH536" s="680"/>
    </row>
    <row r="537" spans="1:34" s="536" customFormat="1" ht="22.5" x14ac:dyDescent="0.2">
      <c r="A537" s="575" t="s">
        <v>1679</v>
      </c>
      <c r="B537" s="670" t="s">
        <v>5485</v>
      </c>
      <c r="C537" s="1823" t="s">
        <v>5486</v>
      </c>
      <c r="D537" s="1823"/>
      <c r="E537" s="1823"/>
      <c r="F537" s="573" t="s">
        <v>483</v>
      </c>
      <c r="G537" s="573"/>
      <c r="H537" s="573"/>
      <c r="I537" s="573" t="s">
        <v>5487</v>
      </c>
      <c r="J537" s="572">
        <v>63</v>
      </c>
      <c r="K537" s="573"/>
      <c r="L537" s="572">
        <v>116246.34</v>
      </c>
      <c r="M537" s="571"/>
      <c r="N537" s="570"/>
      <c r="V537" s="674"/>
      <c r="W537" s="675"/>
      <c r="X537" s="675" t="s">
        <v>5486</v>
      </c>
      <c r="AD537" s="675"/>
      <c r="AE537" s="675"/>
      <c r="AG537" s="675"/>
      <c r="AH537" s="680"/>
    </row>
    <row r="538" spans="1:34" s="536" customFormat="1" ht="12" x14ac:dyDescent="0.2">
      <c r="A538" s="569"/>
      <c r="B538" s="671"/>
      <c r="C538" s="665" t="s">
        <v>1658</v>
      </c>
      <c r="D538" s="666"/>
      <c r="E538" s="666"/>
      <c r="F538" s="563"/>
      <c r="G538" s="563"/>
      <c r="H538" s="563"/>
      <c r="I538" s="563"/>
      <c r="J538" s="566"/>
      <c r="K538" s="563"/>
      <c r="L538" s="566"/>
      <c r="M538" s="565"/>
      <c r="N538" s="564"/>
      <c r="V538" s="674"/>
      <c r="W538" s="675"/>
      <c r="X538" s="675"/>
      <c r="AD538" s="675"/>
      <c r="AE538" s="675"/>
      <c r="AG538" s="675"/>
      <c r="AH538" s="680"/>
    </row>
    <row r="539" spans="1:34" s="536" customFormat="1" ht="12" x14ac:dyDescent="0.2">
      <c r="A539" s="676"/>
      <c r="B539" s="664"/>
      <c r="C539" s="1822" t="s">
        <v>5488</v>
      </c>
      <c r="D539" s="1822"/>
      <c r="E539" s="1822"/>
      <c r="F539" s="1822"/>
      <c r="G539" s="1822"/>
      <c r="H539" s="1822"/>
      <c r="I539" s="1822"/>
      <c r="J539" s="1822"/>
      <c r="K539" s="1822"/>
      <c r="L539" s="1822"/>
      <c r="M539" s="1822"/>
      <c r="N539" s="1827"/>
      <c r="V539" s="674"/>
      <c r="W539" s="675"/>
      <c r="X539" s="675"/>
      <c r="Y539" s="537" t="s">
        <v>5488</v>
      </c>
      <c r="AD539" s="675"/>
      <c r="AE539" s="675"/>
      <c r="AG539" s="675"/>
      <c r="AH539" s="680"/>
    </row>
    <row r="540" spans="1:34" s="536" customFormat="1" ht="33.75" x14ac:dyDescent="0.2">
      <c r="A540" s="575" t="s">
        <v>786</v>
      </c>
      <c r="B540" s="670" t="s">
        <v>1095</v>
      </c>
      <c r="C540" s="1823" t="s">
        <v>1096</v>
      </c>
      <c r="D540" s="1823"/>
      <c r="E540" s="1823"/>
      <c r="F540" s="573" t="s">
        <v>641</v>
      </c>
      <c r="G540" s="573"/>
      <c r="H540" s="573"/>
      <c r="I540" s="573" t="s">
        <v>5489</v>
      </c>
      <c r="J540" s="572">
        <v>55.26</v>
      </c>
      <c r="K540" s="573"/>
      <c r="L540" s="572">
        <v>19092.88</v>
      </c>
      <c r="M540" s="571"/>
      <c r="N540" s="570"/>
      <c r="V540" s="674"/>
      <c r="W540" s="675"/>
      <c r="X540" s="675" t="s">
        <v>1096</v>
      </c>
      <c r="AD540" s="675"/>
      <c r="AE540" s="675"/>
      <c r="AG540" s="675"/>
      <c r="AH540" s="680"/>
    </row>
    <row r="541" spans="1:34" s="536" customFormat="1" ht="12" x14ac:dyDescent="0.2">
      <c r="A541" s="569"/>
      <c r="B541" s="671"/>
      <c r="C541" s="665" t="s">
        <v>717</v>
      </c>
      <c r="D541" s="666"/>
      <c r="E541" s="666"/>
      <c r="F541" s="563"/>
      <c r="G541" s="563"/>
      <c r="H541" s="563"/>
      <c r="I541" s="563"/>
      <c r="J541" s="566"/>
      <c r="K541" s="563"/>
      <c r="L541" s="566"/>
      <c r="M541" s="565"/>
      <c r="N541" s="564"/>
      <c r="V541" s="674"/>
      <c r="W541" s="675"/>
      <c r="X541" s="675"/>
      <c r="AD541" s="675"/>
      <c r="AE541" s="675"/>
      <c r="AG541" s="675"/>
      <c r="AH541" s="680"/>
    </row>
    <row r="542" spans="1:34" s="536" customFormat="1" ht="12" x14ac:dyDescent="0.2">
      <c r="A542" s="676"/>
      <c r="B542" s="664"/>
      <c r="C542" s="1822" t="s">
        <v>5490</v>
      </c>
      <c r="D542" s="1822"/>
      <c r="E542" s="1822"/>
      <c r="F542" s="1822"/>
      <c r="G542" s="1822"/>
      <c r="H542" s="1822"/>
      <c r="I542" s="1822"/>
      <c r="J542" s="1822"/>
      <c r="K542" s="1822"/>
      <c r="L542" s="1822"/>
      <c r="M542" s="1822"/>
      <c r="N542" s="1827"/>
      <c r="V542" s="674"/>
      <c r="W542" s="675"/>
      <c r="X542" s="675"/>
      <c r="Y542" s="537" t="s">
        <v>5490</v>
      </c>
      <c r="AD542" s="675"/>
      <c r="AE542" s="675"/>
      <c r="AG542" s="675"/>
      <c r="AH542" s="680"/>
    </row>
    <row r="543" spans="1:34" s="536" customFormat="1" ht="45" x14ac:dyDescent="0.2">
      <c r="A543" s="575" t="s">
        <v>787</v>
      </c>
      <c r="B543" s="670" t="s">
        <v>1668</v>
      </c>
      <c r="C543" s="1823" t="s">
        <v>1669</v>
      </c>
      <c r="D543" s="1823"/>
      <c r="E543" s="1823"/>
      <c r="F543" s="573" t="s">
        <v>1110</v>
      </c>
      <c r="G543" s="573"/>
      <c r="H543" s="573"/>
      <c r="I543" s="573" t="s">
        <v>890</v>
      </c>
      <c r="J543" s="572"/>
      <c r="K543" s="573"/>
      <c r="L543" s="572"/>
      <c r="M543" s="571"/>
      <c r="N543" s="570"/>
      <c r="V543" s="674"/>
      <c r="W543" s="675"/>
      <c r="X543" s="675" t="s">
        <v>1669</v>
      </c>
      <c r="AD543" s="675"/>
      <c r="AE543" s="675"/>
      <c r="AG543" s="675"/>
      <c r="AH543" s="680"/>
    </row>
    <row r="544" spans="1:34" s="536" customFormat="1" ht="12" x14ac:dyDescent="0.2">
      <c r="A544" s="676"/>
      <c r="B544" s="664"/>
      <c r="C544" s="1822" t="s">
        <v>2333</v>
      </c>
      <c r="D544" s="1822"/>
      <c r="E544" s="1822"/>
      <c r="F544" s="1822"/>
      <c r="G544" s="1822"/>
      <c r="H544" s="1822"/>
      <c r="I544" s="1822"/>
      <c r="J544" s="1822"/>
      <c r="K544" s="1822"/>
      <c r="L544" s="1822"/>
      <c r="M544" s="1822"/>
      <c r="N544" s="1827"/>
      <c r="V544" s="674"/>
      <c r="W544" s="675"/>
      <c r="X544" s="675"/>
      <c r="Y544" s="537" t="s">
        <v>2333</v>
      </c>
      <c r="AD544" s="675"/>
      <c r="AE544" s="675"/>
      <c r="AG544" s="675"/>
      <c r="AH544" s="680"/>
    </row>
    <row r="545" spans="1:34" s="536" customFormat="1" ht="33.75" x14ac:dyDescent="0.2">
      <c r="A545" s="609"/>
      <c r="B545" s="552" t="s">
        <v>310</v>
      </c>
      <c r="C545" s="1822" t="s">
        <v>311</v>
      </c>
      <c r="D545" s="1822"/>
      <c r="E545" s="1822"/>
      <c r="F545" s="1822"/>
      <c r="G545" s="1822"/>
      <c r="H545" s="1822"/>
      <c r="I545" s="1822"/>
      <c r="J545" s="1822"/>
      <c r="K545" s="1822"/>
      <c r="L545" s="1822"/>
      <c r="M545" s="1822"/>
      <c r="N545" s="1827"/>
      <c r="V545" s="674"/>
      <c r="W545" s="675"/>
      <c r="X545" s="675"/>
      <c r="Z545" s="537" t="s">
        <v>311</v>
      </c>
      <c r="AD545" s="675"/>
      <c r="AE545" s="675"/>
      <c r="AG545" s="675"/>
      <c r="AH545" s="680"/>
    </row>
    <row r="546" spans="1:34" s="536" customFormat="1" ht="12" x14ac:dyDescent="0.2">
      <c r="A546" s="605"/>
      <c r="B546" s="552" t="s">
        <v>185</v>
      </c>
      <c r="C546" s="1822" t="s">
        <v>312</v>
      </c>
      <c r="D546" s="1822"/>
      <c r="E546" s="1822"/>
      <c r="F546" s="562"/>
      <c r="G546" s="562"/>
      <c r="H546" s="562"/>
      <c r="I546" s="562"/>
      <c r="J546" s="604">
        <v>139.54</v>
      </c>
      <c r="K546" s="562" t="s">
        <v>313</v>
      </c>
      <c r="L546" s="604">
        <v>34.89</v>
      </c>
      <c r="M546" s="603"/>
      <c r="N546" s="602"/>
      <c r="V546" s="674"/>
      <c r="W546" s="675"/>
      <c r="X546" s="675"/>
      <c r="AA546" s="537" t="s">
        <v>312</v>
      </c>
      <c r="AD546" s="675"/>
      <c r="AE546" s="675"/>
      <c r="AG546" s="675"/>
      <c r="AH546" s="680"/>
    </row>
    <row r="547" spans="1:34" s="536" customFormat="1" ht="12" x14ac:dyDescent="0.2">
      <c r="A547" s="605"/>
      <c r="B547" s="552" t="s">
        <v>188</v>
      </c>
      <c r="C547" s="1822" t="s">
        <v>475</v>
      </c>
      <c r="D547" s="1822"/>
      <c r="E547" s="1822"/>
      <c r="F547" s="562"/>
      <c r="G547" s="562"/>
      <c r="H547" s="562"/>
      <c r="I547" s="562"/>
      <c r="J547" s="604">
        <v>16.79</v>
      </c>
      <c r="K547" s="562"/>
      <c r="L547" s="604">
        <v>3.36</v>
      </c>
      <c r="M547" s="603"/>
      <c r="N547" s="602"/>
      <c r="V547" s="674"/>
      <c r="W547" s="675"/>
      <c r="X547" s="675"/>
      <c r="AA547" s="537" t="s">
        <v>475</v>
      </c>
      <c r="AD547" s="675"/>
      <c r="AE547" s="675"/>
      <c r="AG547" s="675"/>
      <c r="AH547" s="680"/>
    </row>
    <row r="548" spans="1:34" s="536" customFormat="1" ht="12" x14ac:dyDescent="0.2">
      <c r="A548" s="605"/>
      <c r="B548" s="552"/>
      <c r="C548" s="1822" t="s">
        <v>314</v>
      </c>
      <c r="D548" s="1822"/>
      <c r="E548" s="1822"/>
      <c r="F548" s="562" t="s">
        <v>315</v>
      </c>
      <c r="G548" s="562" t="s">
        <v>1671</v>
      </c>
      <c r="H548" s="562" t="s">
        <v>313</v>
      </c>
      <c r="I548" s="562" t="s">
        <v>422</v>
      </c>
      <c r="J548" s="604"/>
      <c r="K548" s="562"/>
      <c r="L548" s="604"/>
      <c r="M548" s="603"/>
      <c r="N548" s="602"/>
      <c r="V548" s="674"/>
      <c r="W548" s="675"/>
      <c r="X548" s="675"/>
      <c r="AB548" s="537" t="s">
        <v>314</v>
      </c>
      <c r="AD548" s="675"/>
      <c r="AE548" s="675"/>
      <c r="AG548" s="675"/>
      <c r="AH548" s="680"/>
    </row>
    <row r="549" spans="1:34" s="536" customFormat="1" ht="12" x14ac:dyDescent="0.2">
      <c r="A549" s="605"/>
      <c r="B549" s="552"/>
      <c r="C549" s="1828" t="s">
        <v>318</v>
      </c>
      <c r="D549" s="1828"/>
      <c r="E549" s="1828"/>
      <c r="F549" s="608"/>
      <c r="G549" s="608"/>
      <c r="H549" s="608"/>
      <c r="I549" s="608"/>
      <c r="J549" s="607">
        <v>156.33000000000001</v>
      </c>
      <c r="K549" s="608"/>
      <c r="L549" s="607">
        <v>38.25</v>
      </c>
      <c r="M549" s="601"/>
      <c r="N549" s="606"/>
      <c r="V549" s="674"/>
      <c r="W549" s="675"/>
      <c r="X549" s="675"/>
      <c r="AC549" s="537" t="s">
        <v>318</v>
      </c>
      <c r="AD549" s="675"/>
      <c r="AE549" s="675"/>
      <c r="AG549" s="675"/>
      <c r="AH549" s="680"/>
    </row>
    <row r="550" spans="1:34" s="536" customFormat="1" ht="12" x14ac:dyDescent="0.2">
      <c r="A550" s="605"/>
      <c r="B550" s="552"/>
      <c r="C550" s="1822" t="s">
        <v>319</v>
      </c>
      <c r="D550" s="1822"/>
      <c r="E550" s="1822"/>
      <c r="F550" s="562"/>
      <c r="G550" s="562"/>
      <c r="H550" s="562"/>
      <c r="I550" s="562"/>
      <c r="J550" s="604"/>
      <c r="K550" s="562"/>
      <c r="L550" s="604">
        <v>34.89</v>
      </c>
      <c r="M550" s="603"/>
      <c r="N550" s="602"/>
      <c r="V550" s="674"/>
      <c r="W550" s="675"/>
      <c r="X550" s="675"/>
      <c r="AB550" s="537" t="s">
        <v>319</v>
      </c>
      <c r="AD550" s="675"/>
      <c r="AE550" s="675"/>
      <c r="AG550" s="675"/>
      <c r="AH550" s="680"/>
    </row>
    <row r="551" spans="1:34" s="536" customFormat="1" ht="33.75" x14ac:dyDescent="0.2">
      <c r="A551" s="605"/>
      <c r="B551" s="552" t="s">
        <v>1631</v>
      </c>
      <c r="C551" s="1822" t="s">
        <v>1632</v>
      </c>
      <c r="D551" s="1822"/>
      <c r="E551" s="1822"/>
      <c r="F551" s="562" t="s">
        <v>322</v>
      </c>
      <c r="G551" s="562" t="s">
        <v>1633</v>
      </c>
      <c r="H551" s="562"/>
      <c r="I551" s="562" t="s">
        <v>1633</v>
      </c>
      <c r="J551" s="604"/>
      <c r="K551" s="562"/>
      <c r="L551" s="604">
        <v>33.840000000000003</v>
      </c>
      <c r="M551" s="603"/>
      <c r="N551" s="602"/>
      <c r="V551" s="674"/>
      <c r="W551" s="675"/>
      <c r="X551" s="675"/>
      <c r="AB551" s="537" t="s">
        <v>1632</v>
      </c>
      <c r="AD551" s="675"/>
      <c r="AE551" s="675"/>
      <c r="AG551" s="675"/>
      <c r="AH551" s="680"/>
    </row>
    <row r="552" spans="1:34" s="536" customFormat="1" ht="33.75" x14ac:dyDescent="0.2">
      <c r="A552" s="605"/>
      <c r="B552" s="552" t="s">
        <v>1634</v>
      </c>
      <c r="C552" s="1822" t="s">
        <v>1635</v>
      </c>
      <c r="D552" s="1822"/>
      <c r="E552" s="1822"/>
      <c r="F552" s="562" t="s">
        <v>322</v>
      </c>
      <c r="G552" s="562" t="s">
        <v>786</v>
      </c>
      <c r="H552" s="562"/>
      <c r="I552" s="562" t="s">
        <v>786</v>
      </c>
      <c r="J552" s="604"/>
      <c r="K552" s="562"/>
      <c r="L552" s="604">
        <v>17.79</v>
      </c>
      <c r="M552" s="603"/>
      <c r="N552" s="602"/>
      <c r="V552" s="674"/>
      <c r="W552" s="675"/>
      <c r="X552" s="675"/>
      <c r="AB552" s="537" t="s">
        <v>1635</v>
      </c>
      <c r="AD552" s="675"/>
      <c r="AE552" s="675"/>
      <c r="AG552" s="675"/>
      <c r="AH552" s="680"/>
    </row>
    <row r="553" spans="1:34" s="536" customFormat="1" ht="12" x14ac:dyDescent="0.2">
      <c r="A553" s="569"/>
      <c r="B553" s="671"/>
      <c r="C553" s="1823" t="s">
        <v>327</v>
      </c>
      <c r="D553" s="1823"/>
      <c r="E553" s="1823"/>
      <c r="F553" s="573"/>
      <c r="G553" s="573"/>
      <c r="H553" s="573"/>
      <c r="I553" s="573"/>
      <c r="J553" s="572"/>
      <c r="K553" s="573"/>
      <c r="L553" s="572">
        <v>89.88</v>
      </c>
      <c r="M553" s="601"/>
      <c r="N553" s="570"/>
      <c r="V553" s="674"/>
      <c r="W553" s="675"/>
      <c r="X553" s="675"/>
      <c r="AD553" s="675" t="s">
        <v>327</v>
      </c>
      <c r="AE553" s="675"/>
      <c r="AG553" s="675"/>
      <c r="AH553" s="680"/>
    </row>
    <row r="554" spans="1:34" s="536" customFormat="1" ht="45" x14ac:dyDescent="0.2">
      <c r="A554" s="575" t="s">
        <v>624</v>
      </c>
      <c r="B554" s="670" t="s">
        <v>5491</v>
      </c>
      <c r="C554" s="1823" t="s">
        <v>5492</v>
      </c>
      <c r="D554" s="1823"/>
      <c r="E554" s="1823"/>
      <c r="F554" s="573" t="s">
        <v>483</v>
      </c>
      <c r="G554" s="573"/>
      <c r="H554" s="573"/>
      <c r="I554" s="573" t="s">
        <v>2336</v>
      </c>
      <c r="J554" s="572">
        <v>5.7</v>
      </c>
      <c r="K554" s="573"/>
      <c r="L554" s="572">
        <v>116.28</v>
      </c>
      <c r="M554" s="571"/>
      <c r="N554" s="570"/>
      <c r="V554" s="674"/>
      <c r="W554" s="675"/>
      <c r="X554" s="675" t="s">
        <v>5492</v>
      </c>
      <c r="AD554" s="675"/>
      <c r="AE554" s="675"/>
      <c r="AG554" s="675"/>
      <c r="AH554" s="680"/>
    </row>
    <row r="555" spans="1:34" s="536" customFormat="1" ht="12" x14ac:dyDescent="0.2">
      <c r="A555" s="569"/>
      <c r="B555" s="671"/>
      <c r="C555" s="665" t="s">
        <v>1658</v>
      </c>
      <c r="D555" s="666"/>
      <c r="E555" s="666"/>
      <c r="F555" s="563"/>
      <c r="G555" s="563"/>
      <c r="H555" s="563"/>
      <c r="I555" s="563"/>
      <c r="J555" s="566"/>
      <c r="K555" s="563"/>
      <c r="L555" s="566"/>
      <c r="M555" s="565"/>
      <c r="N555" s="564"/>
      <c r="V555" s="674"/>
      <c r="W555" s="675"/>
      <c r="X555" s="675"/>
      <c r="AD555" s="675"/>
      <c r="AE555" s="675"/>
      <c r="AG555" s="675"/>
      <c r="AH555" s="680"/>
    </row>
    <row r="556" spans="1:34" s="536" customFormat="1" ht="12" x14ac:dyDescent="0.2">
      <c r="A556" s="676"/>
      <c r="B556" s="664"/>
      <c r="C556" s="1822" t="s">
        <v>2337</v>
      </c>
      <c r="D556" s="1822"/>
      <c r="E556" s="1822"/>
      <c r="F556" s="1822"/>
      <c r="G556" s="1822"/>
      <c r="H556" s="1822"/>
      <c r="I556" s="1822"/>
      <c r="J556" s="1822"/>
      <c r="K556" s="1822"/>
      <c r="L556" s="1822"/>
      <c r="M556" s="1822"/>
      <c r="N556" s="1827"/>
      <c r="V556" s="674"/>
      <c r="W556" s="675"/>
      <c r="X556" s="675"/>
      <c r="Y556" s="537" t="s">
        <v>2337</v>
      </c>
      <c r="AD556" s="675"/>
      <c r="AE556" s="675"/>
      <c r="AG556" s="675"/>
      <c r="AH556" s="680"/>
    </row>
    <row r="557" spans="1:34" s="536" customFormat="1" ht="33.75" x14ac:dyDescent="0.2">
      <c r="A557" s="575" t="s">
        <v>1784</v>
      </c>
      <c r="B557" s="670" t="s">
        <v>5493</v>
      </c>
      <c r="C557" s="1823" t="s">
        <v>5494</v>
      </c>
      <c r="D557" s="1823"/>
      <c r="E557" s="1823"/>
      <c r="F557" s="573" t="s">
        <v>1110</v>
      </c>
      <c r="G557" s="573"/>
      <c r="H557" s="573"/>
      <c r="I557" s="573" t="s">
        <v>822</v>
      </c>
      <c r="J557" s="572"/>
      <c r="K557" s="573"/>
      <c r="L557" s="572"/>
      <c r="M557" s="571"/>
      <c r="N557" s="570"/>
      <c r="V557" s="674"/>
      <c r="W557" s="675"/>
      <c r="X557" s="675" t="s">
        <v>5494</v>
      </c>
      <c r="AD557" s="675"/>
      <c r="AE557" s="675"/>
      <c r="AG557" s="675"/>
      <c r="AH557" s="680"/>
    </row>
    <row r="558" spans="1:34" s="536" customFormat="1" ht="12" x14ac:dyDescent="0.2">
      <c r="A558" s="676"/>
      <c r="B558" s="664"/>
      <c r="C558" s="1822" t="s">
        <v>3450</v>
      </c>
      <c r="D558" s="1822"/>
      <c r="E558" s="1822"/>
      <c r="F558" s="1822"/>
      <c r="G558" s="1822"/>
      <c r="H558" s="1822"/>
      <c r="I558" s="1822"/>
      <c r="J558" s="1822"/>
      <c r="K558" s="1822"/>
      <c r="L558" s="1822"/>
      <c r="M558" s="1822"/>
      <c r="N558" s="1827"/>
      <c r="V558" s="674"/>
      <c r="W558" s="675"/>
      <c r="X558" s="675"/>
      <c r="Y558" s="537" t="s">
        <v>3450</v>
      </c>
      <c r="AD558" s="675"/>
      <c r="AE558" s="675"/>
      <c r="AG558" s="675"/>
      <c r="AH558" s="680"/>
    </row>
    <row r="559" spans="1:34" s="536" customFormat="1" ht="33.75" x14ac:dyDescent="0.2">
      <c r="A559" s="609"/>
      <c r="B559" s="552" t="s">
        <v>310</v>
      </c>
      <c r="C559" s="1822" t="s">
        <v>311</v>
      </c>
      <c r="D559" s="1822"/>
      <c r="E559" s="1822"/>
      <c r="F559" s="1822"/>
      <c r="G559" s="1822"/>
      <c r="H559" s="1822"/>
      <c r="I559" s="1822"/>
      <c r="J559" s="1822"/>
      <c r="K559" s="1822"/>
      <c r="L559" s="1822"/>
      <c r="M559" s="1822"/>
      <c r="N559" s="1827"/>
      <c r="V559" s="674"/>
      <c r="W559" s="675"/>
      <c r="X559" s="675"/>
      <c r="Z559" s="537" t="s">
        <v>311</v>
      </c>
      <c r="AD559" s="675"/>
      <c r="AE559" s="675"/>
      <c r="AG559" s="675"/>
      <c r="AH559" s="680"/>
    </row>
    <row r="560" spans="1:34" s="536" customFormat="1" ht="12" x14ac:dyDescent="0.2">
      <c r="A560" s="605"/>
      <c r="B560" s="552" t="s">
        <v>185</v>
      </c>
      <c r="C560" s="1822" t="s">
        <v>312</v>
      </c>
      <c r="D560" s="1822"/>
      <c r="E560" s="1822"/>
      <c r="F560" s="562"/>
      <c r="G560" s="562"/>
      <c r="H560" s="562"/>
      <c r="I560" s="562"/>
      <c r="J560" s="604">
        <v>213.57</v>
      </c>
      <c r="K560" s="562" t="s">
        <v>313</v>
      </c>
      <c r="L560" s="604">
        <v>42.71</v>
      </c>
      <c r="M560" s="603"/>
      <c r="N560" s="602"/>
      <c r="V560" s="674"/>
      <c r="W560" s="675"/>
      <c r="X560" s="675"/>
      <c r="AA560" s="537" t="s">
        <v>312</v>
      </c>
      <c r="AD560" s="675"/>
      <c r="AE560" s="675"/>
      <c r="AG560" s="675"/>
      <c r="AH560" s="680"/>
    </row>
    <row r="561" spans="1:34" s="536" customFormat="1" ht="12" x14ac:dyDescent="0.2">
      <c r="A561" s="605"/>
      <c r="B561" s="552" t="s">
        <v>186</v>
      </c>
      <c r="C561" s="1822" t="s">
        <v>344</v>
      </c>
      <c r="D561" s="1822"/>
      <c r="E561" s="1822"/>
      <c r="F561" s="562"/>
      <c r="G561" s="562"/>
      <c r="H561" s="562"/>
      <c r="I561" s="562"/>
      <c r="J561" s="604">
        <v>159.75</v>
      </c>
      <c r="K561" s="562" t="s">
        <v>313</v>
      </c>
      <c r="L561" s="604">
        <v>31.95</v>
      </c>
      <c r="M561" s="603"/>
      <c r="N561" s="602"/>
      <c r="V561" s="674"/>
      <c r="W561" s="675"/>
      <c r="X561" s="675"/>
      <c r="AA561" s="537" t="s">
        <v>344</v>
      </c>
      <c r="AD561" s="675"/>
      <c r="AE561" s="675"/>
      <c r="AG561" s="675"/>
      <c r="AH561" s="680"/>
    </row>
    <row r="562" spans="1:34" s="536" customFormat="1" ht="12" x14ac:dyDescent="0.2">
      <c r="A562" s="605"/>
      <c r="B562" s="552" t="s">
        <v>187</v>
      </c>
      <c r="C562" s="1822" t="s">
        <v>345</v>
      </c>
      <c r="D562" s="1822"/>
      <c r="E562" s="1822"/>
      <c r="F562" s="562"/>
      <c r="G562" s="562"/>
      <c r="H562" s="562"/>
      <c r="I562" s="562"/>
      <c r="J562" s="604">
        <v>18.329999999999998</v>
      </c>
      <c r="K562" s="562" t="s">
        <v>313</v>
      </c>
      <c r="L562" s="604">
        <v>3.67</v>
      </c>
      <c r="M562" s="603"/>
      <c r="N562" s="602"/>
      <c r="V562" s="674"/>
      <c r="W562" s="675"/>
      <c r="X562" s="675"/>
      <c r="AA562" s="537" t="s">
        <v>345</v>
      </c>
      <c r="AD562" s="675"/>
      <c r="AE562" s="675"/>
      <c r="AG562" s="675"/>
      <c r="AH562" s="680"/>
    </row>
    <row r="563" spans="1:34" s="536" customFormat="1" ht="12" x14ac:dyDescent="0.2">
      <c r="A563" s="605"/>
      <c r="B563" s="552" t="s">
        <v>188</v>
      </c>
      <c r="C563" s="1822" t="s">
        <v>475</v>
      </c>
      <c r="D563" s="1822"/>
      <c r="E563" s="1822"/>
      <c r="F563" s="562"/>
      <c r="G563" s="562"/>
      <c r="H563" s="562"/>
      <c r="I563" s="562"/>
      <c r="J563" s="604">
        <v>104.4</v>
      </c>
      <c r="K563" s="562"/>
      <c r="L563" s="604">
        <v>16.7</v>
      </c>
      <c r="M563" s="603"/>
      <c r="N563" s="602"/>
      <c r="V563" s="674"/>
      <c r="W563" s="675"/>
      <c r="X563" s="675"/>
      <c r="AA563" s="537" t="s">
        <v>475</v>
      </c>
      <c r="AD563" s="675"/>
      <c r="AE563" s="675"/>
      <c r="AG563" s="675"/>
      <c r="AH563" s="680"/>
    </row>
    <row r="564" spans="1:34" s="536" customFormat="1" ht="12" x14ac:dyDescent="0.2">
      <c r="A564" s="605"/>
      <c r="B564" s="552"/>
      <c r="C564" s="1822" t="s">
        <v>314</v>
      </c>
      <c r="D564" s="1822"/>
      <c r="E564" s="1822"/>
      <c r="F564" s="562" t="s">
        <v>315</v>
      </c>
      <c r="G564" s="562" t="s">
        <v>5495</v>
      </c>
      <c r="H564" s="562" t="s">
        <v>313</v>
      </c>
      <c r="I564" s="562" t="s">
        <v>5496</v>
      </c>
      <c r="J564" s="604"/>
      <c r="K564" s="562"/>
      <c r="L564" s="604"/>
      <c r="M564" s="603"/>
      <c r="N564" s="602"/>
      <c r="V564" s="674"/>
      <c r="W564" s="675"/>
      <c r="X564" s="675"/>
      <c r="AB564" s="537" t="s">
        <v>314</v>
      </c>
      <c r="AD564" s="675"/>
      <c r="AE564" s="675"/>
      <c r="AG564" s="675"/>
      <c r="AH564" s="680"/>
    </row>
    <row r="565" spans="1:34" s="536" customFormat="1" ht="12" x14ac:dyDescent="0.2">
      <c r="A565" s="605"/>
      <c r="B565" s="552"/>
      <c r="C565" s="1822" t="s">
        <v>348</v>
      </c>
      <c r="D565" s="1822"/>
      <c r="E565" s="1822"/>
      <c r="F565" s="562" t="s">
        <v>315</v>
      </c>
      <c r="G565" s="562" t="s">
        <v>3107</v>
      </c>
      <c r="H565" s="562" t="s">
        <v>313</v>
      </c>
      <c r="I565" s="562" t="s">
        <v>5497</v>
      </c>
      <c r="J565" s="604"/>
      <c r="K565" s="562"/>
      <c r="L565" s="604"/>
      <c r="M565" s="603"/>
      <c r="N565" s="602"/>
      <c r="V565" s="674"/>
      <c r="W565" s="675"/>
      <c r="X565" s="675"/>
      <c r="AB565" s="537" t="s">
        <v>348</v>
      </c>
      <c r="AD565" s="675"/>
      <c r="AE565" s="675"/>
      <c r="AG565" s="675"/>
      <c r="AH565" s="680"/>
    </row>
    <row r="566" spans="1:34" s="536" customFormat="1" ht="12" x14ac:dyDescent="0.2">
      <c r="A566" s="605"/>
      <c r="B566" s="552"/>
      <c r="C566" s="1828" t="s">
        <v>318</v>
      </c>
      <c r="D566" s="1828"/>
      <c r="E566" s="1828"/>
      <c r="F566" s="608"/>
      <c r="G566" s="608"/>
      <c r="H566" s="608"/>
      <c r="I566" s="608"/>
      <c r="J566" s="607">
        <v>477.72</v>
      </c>
      <c r="K566" s="608"/>
      <c r="L566" s="607">
        <v>91.36</v>
      </c>
      <c r="M566" s="601"/>
      <c r="N566" s="606"/>
      <c r="V566" s="674"/>
      <c r="W566" s="675"/>
      <c r="X566" s="675"/>
      <c r="AC566" s="537" t="s">
        <v>318</v>
      </c>
      <c r="AD566" s="675"/>
      <c r="AE566" s="675"/>
      <c r="AG566" s="675"/>
      <c r="AH566" s="680"/>
    </row>
    <row r="567" spans="1:34" s="536" customFormat="1" ht="12" x14ac:dyDescent="0.2">
      <c r="A567" s="605"/>
      <c r="B567" s="552"/>
      <c r="C567" s="1822" t="s">
        <v>319</v>
      </c>
      <c r="D567" s="1822"/>
      <c r="E567" s="1822"/>
      <c r="F567" s="562"/>
      <c r="G567" s="562"/>
      <c r="H567" s="562"/>
      <c r="I567" s="562"/>
      <c r="J567" s="604"/>
      <c r="K567" s="562"/>
      <c r="L567" s="604">
        <v>46.38</v>
      </c>
      <c r="M567" s="603"/>
      <c r="N567" s="602"/>
      <c r="V567" s="674"/>
      <c r="W567" s="675"/>
      <c r="X567" s="675"/>
      <c r="AB567" s="537" t="s">
        <v>319</v>
      </c>
      <c r="AD567" s="675"/>
      <c r="AE567" s="675"/>
      <c r="AG567" s="675"/>
      <c r="AH567" s="680"/>
    </row>
    <row r="568" spans="1:34" s="536" customFormat="1" ht="33.75" x14ac:dyDescent="0.2">
      <c r="A568" s="605"/>
      <c r="B568" s="552" t="s">
        <v>1631</v>
      </c>
      <c r="C568" s="1822" t="s">
        <v>1632</v>
      </c>
      <c r="D568" s="1822"/>
      <c r="E568" s="1822"/>
      <c r="F568" s="562" t="s">
        <v>322</v>
      </c>
      <c r="G568" s="562" t="s">
        <v>1633</v>
      </c>
      <c r="H568" s="562"/>
      <c r="I568" s="562" t="s">
        <v>1633</v>
      </c>
      <c r="J568" s="604"/>
      <c r="K568" s="562"/>
      <c r="L568" s="604">
        <v>44.99</v>
      </c>
      <c r="M568" s="603"/>
      <c r="N568" s="602"/>
      <c r="V568" s="674"/>
      <c r="W568" s="675"/>
      <c r="X568" s="675"/>
      <c r="AB568" s="537" t="s">
        <v>1632</v>
      </c>
      <c r="AD568" s="675"/>
      <c r="AE568" s="675"/>
      <c r="AG568" s="675"/>
      <c r="AH568" s="680"/>
    </row>
    <row r="569" spans="1:34" s="536" customFormat="1" ht="33.75" x14ac:dyDescent="0.2">
      <c r="A569" s="605"/>
      <c r="B569" s="552" t="s">
        <v>1634</v>
      </c>
      <c r="C569" s="1822" t="s">
        <v>1635</v>
      </c>
      <c r="D569" s="1822"/>
      <c r="E569" s="1822"/>
      <c r="F569" s="562" t="s">
        <v>322</v>
      </c>
      <c r="G569" s="562" t="s">
        <v>786</v>
      </c>
      <c r="H569" s="562"/>
      <c r="I569" s="562" t="s">
        <v>786</v>
      </c>
      <c r="J569" s="604"/>
      <c r="K569" s="562"/>
      <c r="L569" s="604">
        <v>23.65</v>
      </c>
      <c r="M569" s="603"/>
      <c r="N569" s="602"/>
      <c r="V569" s="674"/>
      <c r="W569" s="675"/>
      <c r="X569" s="675"/>
      <c r="AB569" s="537" t="s">
        <v>1635</v>
      </c>
      <c r="AD569" s="675"/>
      <c r="AE569" s="675"/>
      <c r="AG569" s="675"/>
      <c r="AH569" s="680"/>
    </row>
    <row r="570" spans="1:34" s="536" customFormat="1" ht="12" x14ac:dyDescent="0.2">
      <c r="A570" s="569"/>
      <c r="B570" s="671"/>
      <c r="C570" s="1823" t="s">
        <v>327</v>
      </c>
      <c r="D570" s="1823"/>
      <c r="E570" s="1823"/>
      <c r="F570" s="573"/>
      <c r="G570" s="573"/>
      <c r="H570" s="573"/>
      <c r="I570" s="573"/>
      <c r="J570" s="572"/>
      <c r="K570" s="573"/>
      <c r="L570" s="572">
        <v>160</v>
      </c>
      <c r="M570" s="601"/>
      <c r="N570" s="570"/>
      <c r="V570" s="674"/>
      <c r="W570" s="675"/>
      <c r="X570" s="675"/>
      <c r="AD570" s="675" t="s">
        <v>327</v>
      </c>
      <c r="AE570" s="675"/>
      <c r="AG570" s="675"/>
      <c r="AH570" s="680"/>
    </row>
    <row r="571" spans="1:34" s="536" customFormat="1" ht="56.25" x14ac:dyDescent="0.2">
      <c r="A571" s="575" t="s">
        <v>789</v>
      </c>
      <c r="B571" s="670" t="s">
        <v>5498</v>
      </c>
      <c r="C571" s="1823" t="s">
        <v>5499</v>
      </c>
      <c r="D571" s="1823"/>
      <c r="E571" s="1823"/>
      <c r="F571" s="573" t="s">
        <v>483</v>
      </c>
      <c r="G571" s="573"/>
      <c r="H571" s="573"/>
      <c r="I571" s="573" t="s">
        <v>5500</v>
      </c>
      <c r="J571" s="572">
        <v>44.26</v>
      </c>
      <c r="K571" s="573"/>
      <c r="L571" s="572">
        <v>722.32</v>
      </c>
      <c r="M571" s="571"/>
      <c r="N571" s="570"/>
      <c r="V571" s="674"/>
      <c r="W571" s="675"/>
      <c r="X571" s="675" t="s">
        <v>5499</v>
      </c>
      <c r="AD571" s="675"/>
      <c r="AE571" s="675"/>
      <c r="AG571" s="675"/>
      <c r="AH571" s="680"/>
    </row>
    <row r="572" spans="1:34" s="536" customFormat="1" ht="12" x14ac:dyDescent="0.2">
      <c r="A572" s="569"/>
      <c r="B572" s="671"/>
      <c r="C572" s="665" t="s">
        <v>1658</v>
      </c>
      <c r="D572" s="666"/>
      <c r="E572" s="666"/>
      <c r="F572" s="563"/>
      <c r="G572" s="563"/>
      <c r="H572" s="563"/>
      <c r="I572" s="563"/>
      <c r="J572" s="566"/>
      <c r="K572" s="563"/>
      <c r="L572" s="566"/>
      <c r="M572" s="565"/>
      <c r="N572" s="564"/>
      <c r="V572" s="674"/>
      <c r="W572" s="675"/>
      <c r="X572" s="675"/>
      <c r="AD572" s="675"/>
      <c r="AE572" s="675"/>
      <c r="AG572" s="675"/>
      <c r="AH572" s="680"/>
    </row>
    <row r="573" spans="1:34" s="536" customFormat="1" ht="12" x14ac:dyDescent="0.2">
      <c r="A573" s="676"/>
      <c r="B573" s="664"/>
      <c r="C573" s="1822" t="s">
        <v>5501</v>
      </c>
      <c r="D573" s="1822"/>
      <c r="E573" s="1822"/>
      <c r="F573" s="1822"/>
      <c r="G573" s="1822"/>
      <c r="H573" s="1822"/>
      <c r="I573" s="1822"/>
      <c r="J573" s="1822"/>
      <c r="K573" s="1822"/>
      <c r="L573" s="1822"/>
      <c r="M573" s="1822"/>
      <c r="N573" s="1827"/>
      <c r="V573" s="674"/>
      <c r="W573" s="675"/>
      <c r="X573" s="675"/>
      <c r="Y573" s="537" t="s">
        <v>5501</v>
      </c>
      <c r="AD573" s="675"/>
      <c r="AE573" s="675"/>
      <c r="AG573" s="675"/>
      <c r="AH573" s="680"/>
    </row>
    <row r="574" spans="1:34" s="536" customFormat="1" ht="33.75" x14ac:dyDescent="0.2">
      <c r="A574" s="575" t="s">
        <v>2339</v>
      </c>
      <c r="B574" s="670" t="s">
        <v>3099</v>
      </c>
      <c r="C574" s="1823" t="s">
        <v>5502</v>
      </c>
      <c r="D574" s="1823"/>
      <c r="E574" s="1823"/>
      <c r="F574" s="573" t="s">
        <v>1110</v>
      </c>
      <c r="G574" s="573"/>
      <c r="H574" s="573"/>
      <c r="I574" s="573" t="s">
        <v>5503</v>
      </c>
      <c r="J574" s="572"/>
      <c r="K574" s="573"/>
      <c r="L574" s="572"/>
      <c r="M574" s="571"/>
      <c r="N574" s="570"/>
      <c r="V574" s="674"/>
      <c r="W574" s="675"/>
      <c r="X574" s="675" t="s">
        <v>5502</v>
      </c>
      <c r="AD574" s="675"/>
      <c r="AE574" s="675"/>
      <c r="AG574" s="675"/>
      <c r="AH574" s="680"/>
    </row>
    <row r="575" spans="1:34" s="536" customFormat="1" ht="12" x14ac:dyDescent="0.2">
      <c r="A575" s="676"/>
      <c r="B575" s="664"/>
      <c r="C575" s="1822" t="s">
        <v>5504</v>
      </c>
      <c r="D575" s="1822"/>
      <c r="E575" s="1822"/>
      <c r="F575" s="1822"/>
      <c r="G575" s="1822"/>
      <c r="H575" s="1822"/>
      <c r="I575" s="1822"/>
      <c r="J575" s="1822"/>
      <c r="K575" s="1822"/>
      <c r="L575" s="1822"/>
      <c r="M575" s="1822"/>
      <c r="N575" s="1827"/>
      <c r="V575" s="674"/>
      <c r="W575" s="675"/>
      <c r="X575" s="675"/>
      <c r="Y575" s="537" t="s">
        <v>5504</v>
      </c>
      <c r="AD575" s="675"/>
      <c r="AE575" s="675"/>
      <c r="AG575" s="675"/>
      <c r="AH575" s="680"/>
    </row>
    <row r="576" spans="1:34" s="536" customFormat="1" ht="33.75" x14ac:dyDescent="0.2">
      <c r="A576" s="609"/>
      <c r="B576" s="552" t="s">
        <v>310</v>
      </c>
      <c r="C576" s="1822" t="s">
        <v>311</v>
      </c>
      <c r="D576" s="1822"/>
      <c r="E576" s="1822"/>
      <c r="F576" s="1822"/>
      <c r="G576" s="1822"/>
      <c r="H576" s="1822"/>
      <c r="I576" s="1822"/>
      <c r="J576" s="1822"/>
      <c r="K576" s="1822"/>
      <c r="L576" s="1822"/>
      <c r="M576" s="1822"/>
      <c r="N576" s="1827"/>
      <c r="V576" s="674"/>
      <c r="W576" s="675"/>
      <c r="X576" s="675"/>
      <c r="Z576" s="537" t="s">
        <v>311</v>
      </c>
      <c r="AD576" s="675"/>
      <c r="AE576" s="675"/>
      <c r="AG576" s="675"/>
      <c r="AH576" s="680"/>
    </row>
    <row r="577" spans="1:34" s="536" customFormat="1" ht="12" x14ac:dyDescent="0.2">
      <c r="A577" s="605"/>
      <c r="B577" s="552" t="s">
        <v>185</v>
      </c>
      <c r="C577" s="1822" t="s">
        <v>312</v>
      </c>
      <c r="D577" s="1822"/>
      <c r="E577" s="1822"/>
      <c r="F577" s="562"/>
      <c r="G577" s="562"/>
      <c r="H577" s="562"/>
      <c r="I577" s="562"/>
      <c r="J577" s="604">
        <v>93.25</v>
      </c>
      <c r="K577" s="562" t="s">
        <v>313</v>
      </c>
      <c r="L577" s="604">
        <v>6708.17</v>
      </c>
      <c r="M577" s="603"/>
      <c r="N577" s="602"/>
      <c r="V577" s="674"/>
      <c r="W577" s="675"/>
      <c r="X577" s="675"/>
      <c r="AA577" s="537" t="s">
        <v>312</v>
      </c>
      <c r="AD577" s="675"/>
      <c r="AE577" s="675"/>
      <c r="AG577" s="675"/>
      <c r="AH577" s="680"/>
    </row>
    <row r="578" spans="1:34" s="536" customFormat="1" ht="12" x14ac:dyDescent="0.2">
      <c r="A578" s="605"/>
      <c r="B578" s="552" t="s">
        <v>186</v>
      </c>
      <c r="C578" s="1822" t="s">
        <v>344</v>
      </c>
      <c r="D578" s="1822"/>
      <c r="E578" s="1822"/>
      <c r="F578" s="562"/>
      <c r="G578" s="562"/>
      <c r="H578" s="562"/>
      <c r="I578" s="562"/>
      <c r="J578" s="604">
        <v>46.25</v>
      </c>
      <c r="K578" s="562" t="s">
        <v>313</v>
      </c>
      <c r="L578" s="604">
        <v>3327.11</v>
      </c>
      <c r="M578" s="603"/>
      <c r="N578" s="602"/>
      <c r="V578" s="674"/>
      <c r="W578" s="675"/>
      <c r="X578" s="675"/>
      <c r="AA578" s="537" t="s">
        <v>344</v>
      </c>
      <c r="AD578" s="675"/>
      <c r="AE578" s="675"/>
      <c r="AG578" s="675"/>
      <c r="AH578" s="680"/>
    </row>
    <row r="579" spans="1:34" s="536" customFormat="1" ht="12" x14ac:dyDescent="0.2">
      <c r="A579" s="605"/>
      <c r="B579" s="552" t="s">
        <v>187</v>
      </c>
      <c r="C579" s="1822" t="s">
        <v>345</v>
      </c>
      <c r="D579" s="1822"/>
      <c r="E579" s="1822"/>
      <c r="F579" s="562"/>
      <c r="G579" s="562"/>
      <c r="H579" s="562"/>
      <c r="I579" s="562"/>
      <c r="J579" s="604">
        <v>5.0199999999999996</v>
      </c>
      <c r="K579" s="562" t="s">
        <v>313</v>
      </c>
      <c r="L579" s="604">
        <v>361.13</v>
      </c>
      <c r="M579" s="603"/>
      <c r="N579" s="602"/>
      <c r="V579" s="674"/>
      <c r="W579" s="675"/>
      <c r="X579" s="675"/>
      <c r="AA579" s="537" t="s">
        <v>345</v>
      </c>
      <c r="AD579" s="675"/>
      <c r="AE579" s="675"/>
      <c r="AG579" s="675"/>
      <c r="AH579" s="680"/>
    </row>
    <row r="580" spans="1:34" s="536" customFormat="1" ht="12" x14ac:dyDescent="0.2">
      <c r="A580" s="605"/>
      <c r="B580" s="552" t="s">
        <v>188</v>
      </c>
      <c r="C580" s="1822" t="s">
        <v>475</v>
      </c>
      <c r="D580" s="1822"/>
      <c r="E580" s="1822"/>
      <c r="F580" s="562"/>
      <c r="G580" s="562"/>
      <c r="H580" s="562"/>
      <c r="I580" s="562"/>
      <c r="J580" s="604">
        <v>37.03</v>
      </c>
      <c r="K580" s="562"/>
      <c r="L580" s="604">
        <v>2131.08</v>
      </c>
      <c r="M580" s="603"/>
      <c r="N580" s="602"/>
      <c r="V580" s="674"/>
      <c r="W580" s="675"/>
      <c r="X580" s="675"/>
      <c r="AA580" s="537" t="s">
        <v>475</v>
      </c>
      <c r="AD580" s="675"/>
      <c r="AE580" s="675"/>
      <c r="AG580" s="675"/>
      <c r="AH580" s="680"/>
    </row>
    <row r="581" spans="1:34" s="536" customFormat="1" ht="12" x14ac:dyDescent="0.2">
      <c r="A581" s="605"/>
      <c r="B581" s="552"/>
      <c r="C581" s="1822" t="s">
        <v>314</v>
      </c>
      <c r="D581" s="1822"/>
      <c r="E581" s="1822"/>
      <c r="F581" s="562" t="s">
        <v>315</v>
      </c>
      <c r="G581" s="562" t="s">
        <v>3101</v>
      </c>
      <c r="H581" s="562" t="s">
        <v>313</v>
      </c>
      <c r="I581" s="562" t="s">
        <v>5505</v>
      </c>
      <c r="J581" s="604"/>
      <c r="K581" s="562"/>
      <c r="L581" s="604"/>
      <c r="M581" s="603"/>
      <c r="N581" s="602"/>
      <c r="V581" s="674"/>
      <c r="W581" s="675"/>
      <c r="X581" s="675"/>
      <c r="AB581" s="537" t="s">
        <v>314</v>
      </c>
      <c r="AD581" s="675"/>
      <c r="AE581" s="675"/>
      <c r="AG581" s="675"/>
      <c r="AH581" s="680"/>
    </row>
    <row r="582" spans="1:34" s="536" customFormat="1" ht="12" x14ac:dyDescent="0.2">
      <c r="A582" s="605"/>
      <c r="B582" s="552"/>
      <c r="C582" s="1822" t="s">
        <v>348</v>
      </c>
      <c r="D582" s="1822"/>
      <c r="E582" s="1822"/>
      <c r="F582" s="562" t="s">
        <v>315</v>
      </c>
      <c r="G582" s="562" t="s">
        <v>947</v>
      </c>
      <c r="H582" s="562" t="s">
        <v>313</v>
      </c>
      <c r="I582" s="562" t="s">
        <v>5506</v>
      </c>
      <c r="J582" s="604"/>
      <c r="K582" s="562"/>
      <c r="L582" s="604"/>
      <c r="M582" s="603"/>
      <c r="N582" s="602"/>
      <c r="V582" s="674"/>
      <c r="W582" s="675"/>
      <c r="X582" s="675"/>
      <c r="AB582" s="537" t="s">
        <v>348</v>
      </c>
      <c r="AD582" s="675"/>
      <c r="AE582" s="675"/>
      <c r="AG582" s="675"/>
      <c r="AH582" s="680"/>
    </row>
    <row r="583" spans="1:34" s="536" customFormat="1" ht="12" x14ac:dyDescent="0.2">
      <c r="A583" s="605"/>
      <c r="B583" s="552"/>
      <c r="C583" s="1828" t="s">
        <v>318</v>
      </c>
      <c r="D583" s="1828"/>
      <c r="E583" s="1828"/>
      <c r="F583" s="608"/>
      <c r="G583" s="608"/>
      <c r="H583" s="608"/>
      <c r="I583" s="608"/>
      <c r="J583" s="607">
        <v>176.53</v>
      </c>
      <c r="K583" s="608"/>
      <c r="L583" s="607">
        <v>12166.36</v>
      </c>
      <c r="M583" s="601"/>
      <c r="N583" s="606"/>
      <c r="V583" s="674"/>
      <c r="W583" s="675"/>
      <c r="X583" s="675"/>
      <c r="AC583" s="537" t="s">
        <v>318</v>
      </c>
      <c r="AD583" s="675"/>
      <c r="AE583" s="675"/>
      <c r="AG583" s="675"/>
      <c r="AH583" s="680"/>
    </row>
    <row r="584" spans="1:34" s="536" customFormat="1" ht="12" x14ac:dyDescent="0.2">
      <c r="A584" s="605"/>
      <c r="B584" s="552"/>
      <c r="C584" s="1822" t="s">
        <v>319</v>
      </c>
      <c r="D584" s="1822"/>
      <c r="E584" s="1822"/>
      <c r="F584" s="562"/>
      <c r="G584" s="562"/>
      <c r="H584" s="562"/>
      <c r="I584" s="562"/>
      <c r="J584" s="604"/>
      <c r="K584" s="562"/>
      <c r="L584" s="604">
        <v>7069.3</v>
      </c>
      <c r="M584" s="603"/>
      <c r="N584" s="602"/>
      <c r="V584" s="674"/>
      <c r="W584" s="675"/>
      <c r="X584" s="675"/>
      <c r="AB584" s="537" t="s">
        <v>319</v>
      </c>
      <c r="AD584" s="675"/>
      <c r="AE584" s="675"/>
      <c r="AG584" s="675"/>
      <c r="AH584" s="680"/>
    </row>
    <row r="585" spans="1:34" s="536" customFormat="1" ht="33.75" x14ac:dyDescent="0.2">
      <c r="A585" s="605"/>
      <c r="B585" s="552" t="s">
        <v>1631</v>
      </c>
      <c r="C585" s="1822" t="s">
        <v>1632</v>
      </c>
      <c r="D585" s="1822"/>
      <c r="E585" s="1822"/>
      <c r="F585" s="562" t="s">
        <v>322</v>
      </c>
      <c r="G585" s="562" t="s">
        <v>1633</v>
      </c>
      <c r="H585" s="562"/>
      <c r="I585" s="562" t="s">
        <v>1633</v>
      </c>
      <c r="J585" s="604"/>
      <c r="K585" s="562"/>
      <c r="L585" s="604">
        <v>6857.22</v>
      </c>
      <c r="M585" s="603"/>
      <c r="N585" s="602"/>
      <c r="V585" s="674"/>
      <c r="W585" s="675"/>
      <c r="X585" s="675"/>
      <c r="AB585" s="537" t="s">
        <v>1632</v>
      </c>
      <c r="AD585" s="675"/>
      <c r="AE585" s="675"/>
      <c r="AG585" s="675"/>
      <c r="AH585" s="680"/>
    </row>
    <row r="586" spans="1:34" s="536" customFormat="1" ht="33.75" x14ac:dyDescent="0.2">
      <c r="A586" s="605"/>
      <c r="B586" s="552" t="s">
        <v>1634</v>
      </c>
      <c r="C586" s="1822" t="s">
        <v>1635</v>
      </c>
      <c r="D586" s="1822"/>
      <c r="E586" s="1822"/>
      <c r="F586" s="562" t="s">
        <v>322</v>
      </c>
      <c r="G586" s="562" t="s">
        <v>786</v>
      </c>
      <c r="H586" s="562"/>
      <c r="I586" s="562" t="s">
        <v>786</v>
      </c>
      <c r="J586" s="604"/>
      <c r="K586" s="562"/>
      <c r="L586" s="604">
        <v>3605.34</v>
      </c>
      <c r="M586" s="603"/>
      <c r="N586" s="602"/>
      <c r="V586" s="674"/>
      <c r="W586" s="675"/>
      <c r="X586" s="675"/>
      <c r="AB586" s="537" t="s">
        <v>1635</v>
      </c>
      <c r="AD586" s="675"/>
      <c r="AE586" s="675"/>
      <c r="AG586" s="675"/>
      <c r="AH586" s="680"/>
    </row>
    <row r="587" spans="1:34" s="536" customFormat="1" ht="12" x14ac:dyDescent="0.2">
      <c r="A587" s="569"/>
      <c r="B587" s="671"/>
      <c r="C587" s="1823" t="s">
        <v>327</v>
      </c>
      <c r="D587" s="1823"/>
      <c r="E587" s="1823"/>
      <c r="F587" s="573"/>
      <c r="G587" s="573"/>
      <c r="H587" s="573"/>
      <c r="I587" s="573"/>
      <c r="J587" s="572"/>
      <c r="K587" s="573"/>
      <c r="L587" s="572">
        <v>22628.92</v>
      </c>
      <c r="M587" s="601"/>
      <c r="N587" s="570"/>
      <c r="V587" s="674"/>
      <c r="W587" s="675"/>
      <c r="X587" s="675"/>
      <c r="AD587" s="675" t="s">
        <v>327</v>
      </c>
      <c r="AE587" s="675"/>
      <c r="AG587" s="675"/>
      <c r="AH587" s="680"/>
    </row>
    <row r="588" spans="1:34" s="536" customFormat="1" ht="33.75" x14ac:dyDescent="0.2">
      <c r="A588" s="575" t="s">
        <v>791</v>
      </c>
      <c r="B588" s="670" t="s">
        <v>5507</v>
      </c>
      <c r="C588" s="1823" t="s">
        <v>5508</v>
      </c>
      <c r="D588" s="1823"/>
      <c r="E588" s="1823"/>
      <c r="F588" s="573" t="s">
        <v>1110</v>
      </c>
      <c r="G588" s="573"/>
      <c r="H588" s="573"/>
      <c r="I588" s="573" t="s">
        <v>5509</v>
      </c>
      <c r="J588" s="572"/>
      <c r="K588" s="573"/>
      <c r="L588" s="572"/>
      <c r="M588" s="571"/>
      <c r="N588" s="570"/>
      <c r="V588" s="674"/>
      <c r="W588" s="675"/>
      <c r="X588" s="675" t="s">
        <v>5508</v>
      </c>
      <c r="AD588" s="675"/>
      <c r="AE588" s="675"/>
      <c r="AG588" s="675"/>
      <c r="AH588" s="680"/>
    </row>
    <row r="589" spans="1:34" s="536" customFormat="1" ht="12" x14ac:dyDescent="0.2">
      <c r="A589" s="676"/>
      <c r="B589" s="664"/>
      <c r="C589" s="1822" t="s">
        <v>5510</v>
      </c>
      <c r="D589" s="1822"/>
      <c r="E589" s="1822"/>
      <c r="F589" s="1822"/>
      <c r="G589" s="1822"/>
      <c r="H589" s="1822"/>
      <c r="I589" s="1822"/>
      <c r="J589" s="1822"/>
      <c r="K589" s="1822"/>
      <c r="L589" s="1822"/>
      <c r="M589" s="1822"/>
      <c r="N589" s="1827"/>
      <c r="V589" s="674"/>
      <c r="W589" s="675"/>
      <c r="X589" s="675"/>
      <c r="Y589" s="537" t="s">
        <v>5510</v>
      </c>
      <c r="AD589" s="675"/>
      <c r="AE589" s="675"/>
      <c r="AG589" s="675"/>
      <c r="AH589" s="680"/>
    </row>
    <row r="590" spans="1:34" s="536" customFormat="1" ht="33.75" x14ac:dyDescent="0.2">
      <c r="A590" s="609"/>
      <c r="B590" s="552" t="s">
        <v>310</v>
      </c>
      <c r="C590" s="1822" t="s">
        <v>311</v>
      </c>
      <c r="D590" s="1822"/>
      <c r="E590" s="1822"/>
      <c r="F590" s="1822"/>
      <c r="G590" s="1822"/>
      <c r="H590" s="1822"/>
      <c r="I590" s="1822"/>
      <c r="J590" s="1822"/>
      <c r="K590" s="1822"/>
      <c r="L590" s="1822"/>
      <c r="M590" s="1822"/>
      <c r="N590" s="1827"/>
      <c r="V590" s="674"/>
      <c r="W590" s="675"/>
      <c r="X590" s="675"/>
      <c r="Z590" s="537" t="s">
        <v>311</v>
      </c>
      <c r="AD590" s="675"/>
      <c r="AE590" s="675"/>
      <c r="AG590" s="675"/>
      <c r="AH590" s="680"/>
    </row>
    <row r="591" spans="1:34" s="536" customFormat="1" ht="12" x14ac:dyDescent="0.2">
      <c r="A591" s="605"/>
      <c r="B591" s="552" t="s">
        <v>185</v>
      </c>
      <c r="C591" s="1822" t="s">
        <v>312</v>
      </c>
      <c r="D591" s="1822"/>
      <c r="E591" s="1822"/>
      <c r="F591" s="562"/>
      <c r="G591" s="562"/>
      <c r="H591" s="562"/>
      <c r="I591" s="562"/>
      <c r="J591" s="604">
        <v>137.62</v>
      </c>
      <c r="K591" s="562" t="s">
        <v>313</v>
      </c>
      <c r="L591" s="604">
        <v>3793.15</v>
      </c>
      <c r="M591" s="603"/>
      <c r="N591" s="602"/>
      <c r="V591" s="674"/>
      <c r="W591" s="675"/>
      <c r="X591" s="675"/>
      <c r="AA591" s="537" t="s">
        <v>312</v>
      </c>
      <c r="AD591" s="675"/>
      <c r="AE591" s="675"/>
      <c r="AG591" s="675"/>
      <c r="AH591" s="680"/>
    </row>
    <row r="592" spans="1:34" s="536" customFormat="1" ht="12" x14ac:dyDescent="0.2">
      <c r="A592" s="605"/>
      <c r="B592" s="552" t="s">
        <v>186</v>
      </c>
      <c r="C592" s="1822" t="s">
        <v>344</v>
      </c>
      <c r="D592" s="1822"/>
      <c r="E592" s="1822"/>
      <c r="F592" s="562"/>
      <c r="G592" s="562"/>
      <c r="H592" s="562"/>
      <c r="I592" s="562"/>
      <c r="J592" s="604">
        <v>50.47</v>
      </c>
      <c r="K592" s="562" t="s">
        <v>313</v>
      </c>
      <c r="L592" s="604">
        <v>1391.08</v>
      </c>
      <c r="M592" s="603"/>
      <c r="N592" s="602"/>
      <c r="V592" s="674"/>
      <c r="W592" s="675"/>
      <c r="X592" s="675"/>
      <c r="AA592" s="537" t="s">
        <v>344</v>
      </c>
      <c r="AD592" s="675"/>
      <c r="AE592" s="675"/>
      <c r="AG592" s="675"/>
      <c r="AH592" s="680"/>
    </row>
    <row r="593" spans="1:34" s="536" customFormat="1" ht="12" x14ac:dyDescent="0.2">
      <c r="A593" s="605"/>
      <c r="B593" s="552" t="s">
        <v>187</v>
      </c>
      <c r="C593" s="1822" t="s">
        <v>345</v>
      </c>
      <c r="D593" s="1822"/>
      <c r="E593" s="1822"/>
      <c r="F593" s="562"/>
      <c r="G593" s="562"/>
      <c r="H593" s="562"/>
      <c r="I593" s="562"/>
      <c r="J593" s="604">
        <v>5.0199999999999996</v>
      </c>
      <c r="K593" s="562" t="s">
        <v>313</v>
      </c>
      <c r="L593" s="604">
        <v>138.36000000000001</v>
      </c>
      <c r="M593" s="603"/>
      <c r="N593" s="602"/>
      <c r="V593" s="674"/>
      <c r="W593" s="675"/>
      <c r="X593" s="675"/>
      <c r="AA593" s="537" t="s">
        <v>345</v>
      </c>
      <c r="AD593" s="675"/>
      <c r="AE593" s="675"/>
      <c r="AG593" s="675"/>
      <c r="AH593" s="680"/>
    </row>
    <row r="594" spans="1:34" s="536" customFormat="1" ht="12" x14ac:dyDescent="0.2">
      <c r="A594" s="605"/>
      <c r="B594" s="552" t="s">
        <v>188</v>
      </c>
      <c r="C594" s="1822" t="s">
        <v>475</v>
      </c>
      <c r="D594" s="1822"/>
      <c r="E594" s="1822"/>
      <c r="F594" s="562"/>
      <c r="G594" s="562"/>
      <c r="H594" s="562"/>
      <c r="I594" s="562"/>
      <c r="J594" s="604">
        <v>37.909999999999997</v>
      </c>
      <c r="K594" s="562"/>
      <c r="L594" s="604">
        <v>835.92</v>
      </c>
      <c r="M594" s="603"/>
      <c r="N594" s="602"/>
      <c r="V594" s="674"/>
      <c r="W594" s="675"/>
      <c r="X594" s="675"/>
      <c r="AA594" s="537" t="s">
        <v>475</v>
      </c>
      <c r="AD594" s="675"/>
      <c r="AE594" s="675"/>
      <c r="AG594" s="675"/>
      <c r="AH594" s="680"/>
    </row>
    <row r="595" spans="1:34" s="536" customFormat="1" ht="12" x14ac:dyDescent="0.2">
      <c r="A595" s="605"/>
      <c r="B595" s="552"/>
      <c r="C595" s="1822" t="s">
        <v>314</v>
      </c>
      <c r="D595" s="1822"/>
      <c r="E595" s="1822"/>
      <c r="F595" s="562" t="s">
        <v>315</v>
      </c>
      <c r="G595" s="562" t="s">
        <v>5511</v>
      </c>
      <c r="H595" s="562" t="s">
        <v>313</v>
      </c>
      <c r="I595" s="562" t="s">
        <v>5512</v>
      </c>
      <c r="J595" s="604"/>
      <c r="K595" s="562"/>
      <c r="L595" s="604"/>
      <c r="M595" s="603"/>
      <c r="N595" s="602"/>
      <c r="V595" s="674"/>
      <c r="W595" s="675"/>
      <c r="X595" s="675"/>
      <c r="AB595" s="537" t="s">
        <v>314</v>
      </c>
      <c r="AD595" s="675"/>
      <c r="AE595" s="675"/>
      <c r="AG595" s="675"/>
      <c r="AH595" s="680"/>
    </row>
    <row r="596" spans="1:34" s="536" customFormat="1" ht="12" x14ac:dyDescent="0.2">
      <c r="A596" s="605"/>
      <c r="B596" s="552"/>
      <c r="C596" s="1822" t="s">
        <v>348</v>
      </c>
      <c r="D596" s="1822"/>
      <c r="E596" s="1822"/>
      <c r="F596" s="562" t="s">
        <v>315</v>
      </c>
      <c r="G596" s="562" t="s">
        <v>947</v>
      </c>
      <c r="H596" s="562" t="s">
        <v>313</v>
      </c>
      <c r="I596" s="562" t="s">
        <v>5513</v>
      </c>
      <c r="J596" s="604"/>
      <c r="K596" s="562"/>
      <c r="L596" s="604"/>
      <c r="M596" s="603"/>
      <c r="N596" s="602"/>
      <c r="V596" s="674"/>
      <c r="W596" s="675"/>
      <c r="X596" s="675"/>
      <c r="AB596" s="537" t="s">
        <v>348</v>
      </c>
      <c r="AD596" s="675"/>
      <c r="AE596" s="675"/>
      <c r="AG596" s="675"/>
      <c r="AH596" s="680"/>
    </row>
    <row r="597" spans="1:34" s="536" customFormat="1" ht="12" x14ac:dyDescent="0.2">
      <c r="A597" s="605"/>
      <c r="B597" s="552"/>
      <c r="C597" s="1828" t="s">
        <v>318</v>
      </c>
      <c r="D597" s="1828"/>
      <c r="E597" s="1828"/>
      <c r="F597" s="608"/>
      <c r="G597" s="608"/>
      <c r="H597" s="608"/>
      <c r="I597" s="608"/>
      <c r="J597" s="607">
        <v>226</v>
      </c>
      <c r="K597" s="608"/>
      <c r="L597" s="607">
        <v>6020.15</v>
      </c>
      <c r="M597" s="601"/>
      <c r="N597" s="606"/>
      <c r="V597" s="674"/>
      <c r="W597" s="675"/>
      <c r="X597" s="675"/>
      <c r="AC597" s="537" t="s">
        <v>318</v>
      </c>
      <c r="AD597" s="675"/>
      <c r="AE597" s="675"/>
      <c r="AG597" s="675"/>
      <c r="AH597" s="680"/>
    </row>
    <row r="598" spans="1:34" s="536" customFormat="1" ht="12" x14ac:dyDescent="0.2">
      <c r="A598" s="605"/>
      <c r="B598" s="552"/>
      <c r="C598" s="1822" t="s">
        <v>319</v>
      </c>
      <c r="D598" s="1822"/>
      <c r="E598" s="1822"/>
      <c r="F598" s="562"/>
      <c r="G598" s="562"/>
      <c r="H598" s="562"/>
      <c r="I598" s="562"/>
      <c r="J598" s="604"/>
      <c r="K598" s="562"/>
      <c r="L598" s="604">
        <v>3931.51</v>
      </c>
      <c r="M598" s="603"/>
      <c r="N598" s="602"/>
      <c r="V598" s="674"/>
      <c r="W598" s="675"/>
      <c r="X598" s="675"/>
      <c r="AB598" s="537" t="s">
        <v>319</v>
      </c>
      <c r="AD598" s="675"/>
      <c r="AE598" s="675"/>
      <c r="AG598" s="675"/>
      <c r="AH598" s="680"/>
    </row>
    <row r="599" spans="1:34" s="536" customFormat="1" ht="33.75" x14ac:dyDescent="0.2">
      <c r="A599" s="605"/>
      <c r="B599" s="552" t="s">
        <v>1631</v>
      </c>
      <c r="C599" s="1822" t="s">
        <v>1632</v>
      </c>
      <c r="D599" s="1822"/>
      <c r="E599" s="1822"/>
      <c r="F599" s="562" t="s">
        <v>322</v>
      </c>
      <c r="G599" s="562" t="s">
        <v>1633</v>
      </c>
      <c r="H599" s="562"/>
      <c r="I599" s="562" t="s">
        <v>1633</v>
      </c>
      <c r="J599" s="604"/>
      <c r="K599" s="562"/>
      <c r="L599" s="604">
        <v>3813.56</v>
      </c>
      <c r="M599" s="603"/>
      <c r="N599" s="602"/>
      <c r="V599" s="674"/>
      <c r="W599" s="675"/>
      <c r="X599" s="675"/>
      <c r="AB599" s="537" t="s">
        <v>1632</v>
      </c>
      <c r="AD599" s="675"/>
      <c r="AE599" s="675"/>
      <c r="AG599" s="675"/>
      <c r="AH599" s="680"/>
    </row>
    <row r="600" spans="1:34" s="536" customFormat="1" ht="33.75" x14ac:dyDescent="0.2">
      <c r="A600" s="605"/>
      <c r="B600" s="552" t="s">
        <v>1634</v>
      </c>
      <c r="C600" s="1822" t="s">
        <v>1635</v>
      </c>
      <c r="D600" s="1822"/>
      <c r="E600" s="1822"/>
      <c r="F600" s="562" t="s">
        <v>322</v>
      </c>
      <c r="G600" s="562" t="s">
        <v>786</v>
      </c>
      <c r="H600" s="562"/>
      <c r="I600" s="562" t="s">
        <v>786</v>
      </c>
      <c r="J600" s="604"/>
      <c r="K600" s="562"/>
      <c r="L600" s="604">
        <v>2005.07</v>
      </c>
      <c r="M600" s="603"/>
      <c r="N600" s="602"/>
      <c r="V600" s="674"/>
      <c r="W600" s="675"/>
      <c r="X600" s="675"/>
      <c r="AB600" s="537" t="s">
        <v>1635</v>
      </c>
      <c r="AD600" s="675"/>
      <c r="AE600" s="675"/>
      <c r="AG600" s="675"/>
      <c r="AH600" s="680"/>
    </row>
    <row r="601" spans="1:34" s="536" customFormat="1" ht="12" x14ac:dyDescent="0.2">
      <c r="A601" s="569"/>
      <c r="B601" s="671"/>
      <c r="C601" s="1823" t="s">
        <v>327</v>
      </c>
      <c r="D601" s="1823"/>
      <c r="E601" s="1823"/>
      <c r="F601" s="573"/>
      <c r="G601" s="573"/>
      <c r="H601" s="573"/>
      <c r="I601" s="573"/>
      <c r="J601" s="572"/>
      <c r="K601" s="573"/>
      <c r="L601" s="572">
        <v>11838.78</v>
      </c>
      <c r="M601" s="601"/>
      <c r="N601" s="570"/>
      <c r="V601" s="674"/>
      <c r="W601" s="675"/>
      <c r="X601" s="675"/>
      <c r="AD601" s="675" t="s">
        <v>327</v>
      </c>
      <c r="AE601" s="675"/>
      <c r="AG601" s="675"/>
      <c r="AH601" s="680"/>
    </row>
    <row r="602" spans="1:34" s="536" customFormat="1" ht="33.75" x14ac:dyDescent="0.2">
      <c r="A602" s="575" t="s">
        <v>690</v>
      </c>
      <c r="B602" s="670" t="s">
        <v>5514</v>
      </c>
      <c r="C602" s="1823" t="s">
        <v>5515</v>
      </c>
      <c r="D602" s="1823"/>
      <c r="E602" s="1823"/>
      <c r="F602" s="573" t="s">
        <v>1110</v>
      </c>
      <c r="G602" s="573"/>
      <c r="H602" s="573"/>
      <c r="I602" s="573" t="s">
        <v>4086</v>
      </c>
      <c r="J602" s="572"/>
      <c r="K602" s="573"/>
      <c r="L602" s="572"/>
      <c r="M602" s="571"/>
      <c r="N602" s="570"/>
      <c r="V602" s="674"/>
      <c r="W602" s="675"/>
      <c r="X602" s="675" t="s">
        <v>5515</v>
      </c>
      <c r="AD602" s="675"/>
      <c r="AE602" s="675"/>
      <c r="AG602" s="675"/>
      <c r="AH602" s="680"/>
    </row>
    <row r="603" spans="1:34" s="536" customFormat="1" ht="12" x14ac:dyDescent="0.2">
      <c r="A603" s="676"/>
      <c r="B603" s="664"/>
      <c r="C603" s="1822" t="s">
        <v>5516</v>
      </c>
      <c r="D603" s="1822"/>
      <c r="E603" s="1822"/>
      <c r="F603" s="1822"/>
      <c r="G603" s="1822"/>
      <c r="H603" s="1822"/>
      <c r="I603" s="1822"/>
      <c r="J603" s="1822"/>
      <c r="K603" s="1822"/>
      <c r="L603" s="1822"/>
      <c r="M603" s="1822"/>
      <c r="N603" s="1827"/>
      <c r="V603" s="674"/>
      <c r="W603" s="675"/>
      <c r="X603" s="675"/>
      <c r="Y603" s="537" t="s">
        <v>5516</v>
      </c>
      <c r="AD603" s="675"/>
      <c r="AE603" s="675"/>
      <c r="AG603" s="675"/>
      <c r="AH603" s="680"/>
    </row>
    <row r="604" spans="1:34" s="536" customFormat="1" ht="33.75" x14ac:dyDescent="0.2">
      <c r="A604" s="609"/>
      <c r="B604" s="552" t="s">
        <v>310</v>
      </c>
      <c r="C604" s="1822" t="s">
        <v>311</v>
      </c>
      <c r="D604" s="1822"/>
      <c r="E604" s="1822"/>
      <c r="F604" s="1822"/>
      <c r="G604" s="1822"/>
      <c r="H604" s="1822"/>
      <c r="I604" s="1822"/>
      <c r="J604" s="1822"/>
      <c r="K604" s="1822"/>
      <c r="L604" s="1822"/>
      <c r="M604" s="1822"/>
      <c r="N604" s="1827"/>
      <c r="V604" s="674"/>
      <c r="W604" s="675"/>
      <c r="X604" s="675"/>
      <c r="Z604" s="537" t="s">
        <v>311</v>
      </c>
      <c r="AD604" s="675"/>
      <c r="AE604" s="675"/>
      <c r="AG604" s="675"/>
      <c r="AH604" s="680"/>
    </row>
    <row r="605" spans="1:34" s="536" customFormat="1" ht="12" x14ac:dyDescent="0.2">
      <c r="A605" s="605"/>
      <c r="B605" s="552" t="s">
        <v>185</v>
      </c>
      <c r="C605" s="1822" t="s">
        <v>312</v>
      </c>
      <c r="D605" s="1822"/>
      <c r="E605" s="1822"/>
      <c r="F605" s="562"/>
      <c r="G605" s="562"/>
      <c r="H605" s="562"/>
      <c r="I605" s="562"/>
      <c r="J605" s="604">
        <v>174.46</v>
      </c>
      <c r="K605" s="562" t="s">
        <v>313</v>
      </c>
      <c r="L605" s="604">
        <v>1984.48</v>
      </c>
      <c r="M605" s="603"/>
      <c r="N605" s="602"/>
      <c r="V605" s="674"/>
      <c r="W605" s="675"/>
      <c r="X605" s="675"/>
      <c r="AA605" s="537" t="s">
        <v>312</v>
      </c>
      <c r="AD605" s="675"/>
      <c r="AE605" s="675"/>
      <c r="AG605" s="675"/>
      <c r="AH605" s="680"/>
    </row>
    <row r="606" spans="1:34" s="536" customFormat="1" ht="12" x14ac:dyDescent="0.2">
      <c r="A606" s="605"/>
      <c r="B606" s="552" t="s">
        <v>186</v>
      </c>
      <c r="C606" s="1822" t="s">
        <v>344</v>
      </c>
      <c r="D606" s="1822"/>
      <c r="E606" s="1822"/>
      <c r="F606" s="562"/>
      <c r="G606" s="562"/>
      <c r="H606" s="562"/>
      <c r="I606" s="562"/>
      <c r="J606" s="604">
        <v>54.07</v>
      </c>
      <c r="K606" s="562" t="s">
        <v>313</v>
      </c>
      <c r="L606" s="604">
        <v>615.04999999999995</v>
      </c>
      <c r="M606" s="603"/>
      <c r="N606" s="602"/>
      <c r="V606" s="674"/>
      <c r="W606" s="675"/>
      <c r="X606" s="675"/>
      <c r="AA606" s="537" t="s">
        <v>344</v>
      </c>
      <c r="AD606" s="675"/>
      <c r="AE606" s="675"/>
      <c r="AG606" s="675"/>
      <c r="AH606" s="680"/>
    </row>
    <row r="607" spans="1:34" s="536" customFormat="1" ht="12" x14ac:dyDescent="0.2">
      <c r="A607" s="605"/>
      <c r="B607" s="552" t="s">
        <v>187</v>
      </c>
      <c r="C607" s="1822" t="s">
        <v>345</v>
      </c>
      <c r="D607" s="1822"/>
      <c r="E607" s="1822"/>
      <c r="F607" s="562"/>
      <c r="G607" s="562"/>
      <c r="H607" s="562"/>
      <c r="I607" s="562"/>
      <c r="J607" s="604">
        <v>5.0199999999999996</v>
      </c>
      <c r="K607" s="562" t="s">
        <v>313</v>
      </c>
      <c r="L607" s="604">
        <v>57.1</v>
      </c>
      <c r="M607" s="603"/>
      <c r="N607" s="602"/>
      <c r="V607" s="674"/>
      <c r="W607" s="675"/>
      <c r="X607" s="675"/>
      <c r="AA607" s="537" t="s">
        <v>345</v>
      </c>
      <c r="AD607" s="675"/>
      <c r="AE607" s="675"/>
      <c r="AG607" s="675"/>
      <c r="AH607" s="680"/>
    </row>
    <row r="608" spans="1:34" s="536" customFormat="1" ht="12" x14ac:dyDescent="0.2">
      <c r="A608" s="605"/>
      <c r="B608" s="552" t="s">
        <v>188</v>
      </c>
      <c r="C608" s="1822" t="s">
        <v>475</v>
      </c>
      <c r="D608" s="1822"/>
      <c r="E608" s="1822"/>
      <c r="F608" s="562"/>
      <c r="G608" s="562"/>
      <c r="H608" s="562"/>
      <c r="I608" s="562"/>
      <c r="J608" s="604">
        <v>38.65</v>
      </c>
      <c r="K608" s="562"/>
      <c r="L608" s="604">
        <v>351.72</v>
      </c>
      <c r="M608" s="603"/>
      <c r="N608" s="602"/>
      <c r="V608" s="674"/>
      <c r="W608" s="675"/>
      <c r="X608" s="675"/>
      <c r="AA608" s="537" t="s">
        <v>475</v>
      </c>
      <c r="AD608" s="675"/>
      <c r="AE608" s="675"/>
      <c r="AG608" s="675"/>
      <c r="AH608" s="680"/>
    </row>
    <row r="609" spans="1:34" s="536" customFormat="1" ht="12" x14ac:dyDescent="0.2">
      <c r="A609" s="605"/>
      <c r="B609" s="552"/>
      <c r="C609" s="1822" t="s">
        <v>314</v>
      </c>
      <c r="D609" s="1822"/>
      <c r="E609" s="1822"/>
      <c r="F609" s="562" t="s">
        <v>315</v>
      </c>
      <c r="G609" s="562" t="s">
        <v>5517</v>
      </c>
      <c r="H609" s="562" t="s">
        <v>313</v>
      </c>
      <c r="I609" s="562" t="s">
        <v>5518</v>
      </c>
      <c r="J609" s="604"/>
      <c r="K609" s="562"/>
      <c r="L609" s="604"/>
      <c r="M609" s="603"/>
      <c r="N609" s="602"/>
      <c r="V609" s="674"/>
      <c r="W609" s="675"/>
      <c r="X609" s="675"/>
      <c r="AB609" s="537" t="s">
        <v>314</v>
      </c>
      <c r="AD609" s="675"/>
      <c r="AE609" s="675"/>
      <c r="AG609" s="675"/>
      <c r="AH609" s="680"/>
    </row>
    <row r="610" spans="1:34" s="536" customFormat="1" ht="12" x14ac:dyDescent="0.2">
      <c r="A610" s="605"/>
      <c r="B610" s="552"/>
      <c r="C610" s="1822" t="s">
        <v>348</v>
      </c>
      <c r="D610" s="1822"/>
      <c r="E610" s="1822"/>
      <c r="F610" s="562" t="s">
        <v>315</v>
      </c>
      <c r="G610" s="562" t="s">
        <v>947</v>
      </c>
      <c r="H610" s="562" t="s">
        <v>313</v>
      </c>
      <c r="I610" s="562" t="s">
        <v>5519</v>
      </c>
      <c r="J610" s="604"/>
      <c r="K610" s="562"/>
      <c r="L610" s="604"/>
      <c r="M610" s="603"/>
      <c r="N610" s="602"/>
      <c r="V610" s="674"/>
      <c r="W610" s="675"/>
      <c r="X610" s="675"/>
      <c r="AB610" s="537" t="s">
        <v>348</v>
      </c>
      <c r="AD610" s="675"/>
      <c r="AE610" s="675"/>
      <c r="AG610" s="675"/>
      <c r="AH610" s="680"/>
    </row>
    <row r="611" spans="1:34" s="536" customFormat="1" ht="12" x14ac:dyDescent="0.2">
      <c r="A611" s="605"/>
      <c r="B611" s="552"/>
      <c r="C611" s="1828" t="s">
        <v>318</v>
      </c>
      <c r="D611" s="1828"/>
      <c r="E611" s="1828"/>
      <c r="F611" s="608"/>
      <c r="G611" s="608"/>
      <c r="H611" s="608"/>
      <c r="I611" s="608"/>
      <c r="J611" s="607">
        <v>267.18</v>
      </c>
      <c r="K611" s="608"/>
      <c r="L611" s="607">
        <v>2951.25</v>
      </c>
      <c r="M611" s="601"/>
      <c r="N611" s="606"/>
      <c r="V611" s="674"/>
      <c r="W611" s="675"/>
      <c r="X611" s="675"/>
      <c r="AC611" s="537" t="s">
        <v>318</v>
      </c>
      <c r="AD611" s="675"/>
      <c r="AE611" s="675"/>
      <c r="AG611" s="675"/>
      <c r="AH611" s="680"/>
    </row>
    <row r="612" spans="1:34" s="536" customFormat="1" ht="12" x14ac:dyDescent="0.2">
      <c r="A612" s="605"/>
      <c r="B612" s="552"/>
      <c r="C612" s="1822" t="s">
        <v>319</v>
      </c>
      <c r="D612" s="1822"/>
      <c r="E612" s="1822"/>
      <c r="F612" s="562"/>
      <c r="G612" s="562"/>
      <c r="H612" s="562"/>
      <c r="I612" s="562"/>
      <c r="J612" s="604"/>
      <c r="K612" s="562"/>
      <c r="L612" s="604">
        <v>2041.58</v>
      </c>
      <c r="M612" s="603"/>
      <c r="N612" s="602"/>
      <c r="V612" s="674"/>
      <c r="W612" s="675"/>
      <c r="X612" s="675"/>
      <c r="AB612" s="537" t="s">
        <v>319</v>
      </c>
      <c r="AD612" s="675"/>
      <c r="AE612" s="675"/>
      <c r="AG612" s="675"/>
      <c r="AH612" s="680"/>
    </row>
    <row r="613" spans="1:34" s="536" customFormat="1" ht="33.75" x14ac:dyDescent="0.2">
      <c r="A613" s="605"/>
      <c r="B613" s="552" t="s">
        <v>1631</v>
      </c>
      <c r="C613" s="1822" t="s">
        <v>1632</v>
      </c>
      <c r="D613" s="1822"/>
      <c r="E613" s="1822"/>
      <c r="F613" s="562" t="s">
        <v>322</v>
      </c>
      <c r="G613" s="562" t="s">
        <v>1633</v>
      </c>
      <c r="H613" s="562"/>
      <c r="I613" s="562" t="s">
        <v>1633</v>
      </c>
      <c r="J613" s="604"/>
      <c r="K613" s="562"/>
      <c r="L613" s="604">
        <v>1980.33</v>
      </c>
      <c r="M613" s="603"/>
      <c r="N613" s="602"/>
      <c r="V613" s="674"/>
      <c r="W613" s="675"/>
      <c r="X613" s="675"/>
      <c r="AB613" s="537" t="s">
        <v>1632</v>
      </c>
      <c r="AD613" s="675"/>
      <c r="AE613" s="675"/>
      <c r="AG613" s="675"/>
      <c r="AH613" s="680"/>
    </row>
    <row r="614" spans="1:34" s="536" customFormat="1" ht="33.75" x14ac:dyDescent="0.2">
      <c r="A614" s="605"/>
      <c r="B614" s="552" t="s">
        <v>1634</v>
      </c>
      <c r="C614" s="1822" t="s">
        <v>1635</v>
      </c>
      <c r="D614" s="1822"/>
      <c r="E614" s="1822"/>
      <c r="F614" s="562" t="s">
        <v>322</v>
      </c>
      <c r="G614" s="562" t="s">
        <v>786</v>
      </c>
      <c r="H614" s="562"/>
      <c r="I614" s="562" t="s">
        <v>786</v>
      </c>
      <c r="J614" s="604"/>
      <c r="K614" s="562"/>
      <c r="L614" s="604">
        <v>1041.21</v>
      </c>
      <c r="M614" s="603"/>
      <c r="N614" s="602"/>
      <c r="V614" s="674"/>
      <c r="W614" s="675"/>
      <c r="X614" s="675"/>
      <c r="AB614" s="537" t="s">
        <v>1635</v>
      </c>
      <c r="AD614" s="675"/>
      <c r="AE614" s="675"/>
      <c r="AG614" s="675"/>
      <c r="AH614" s="680"/>
    </row>
    <row r="615" spans="1:34" s="536" customFormat="1" ht="12" x14ac:dyDescent="0.2">
      <c r="A615" s="569"/>
      <c r="B615" s="671"/>
      <c r="C615" s="1823" t="s">
        <v>327</v>
      </c>
      <c r="D615" s="1823"/>
      <c r="E615" s="1823"/>
      <c r="F615" s="573"/>
      <c r="G615" s="573"/>
      <c r="H615" s="573"/>
      <c r="I615" s="573"/>
      <c r="J615" s="572"/>
      <c r="K615" s="573"/>
      <c r="L615" s="572">
        <v>5972.79</v>
      </c>
      <c r="M615" s="601"/>
      <c r="N615" s="570"/>
      <c r="V615" s="674"/>
      <c r="W615" s="675"/>
      <c r="X615" s="675"/>
      <c r="AD615" s="675" t="s">
        <v>327</v>
      </c>
      <c r="AE615" s="675"/>
      <c r="AG615" s="675"/>
      <c r="AH615" s="680"/>
    </row>
    <row r="616" spans="1:34" s="536" customFormat="1" ht="33.75" x14ac:dyDescent="0.2">
      <c r="A616" s="575" t="s">
        <v>792</v>
      </c>
      <c r="B616" s="670" t="s">
        <v>5520</v>
      </c>
      <c r="C616" s="1823" t="s">
        <v>5521</v>
      </c>
      <c r="D616" s="1823"/>
      <c r="E616" s="1823"/>
      <c r="F616" s="573" t="s">
        <v>1110</v>
      </c>
      <c r="G616" s="573"/>
      <c r="H616" s="573"/>
      <c r="I616" s="573" t="s">
        <v>2111</v>
      </c>
      <c r="J616" s="572"/>
      <c r="K616" s="573"/>
      <c r="L616" s="572"/>
      <c r="M616" s="571"/>
      <c r="N616" s="570"/>
      <c r="V616" s="674"/>
      <c r="W616" s="675"/>
      <c r="X616" s="675" t="s">
        <v>5521</v>
      </c>
      <c r="AD616" s="675"/>
      <c r="AE616" s="675"/>
      <c r="AG616" s="675"/>
      <c r="AH616" s="680"/>
    </row>
    <row r="617" spans="1:34" s="536" customFormat="1" ht="12" x14ac:dyDescent="0.2">
      <c r="A617" s="676"/>
      <c r="B617" s="664"/>
      <c r="C617" s="1822" t="s">
        <v>5522</v>
      </c>
      <c r="D617" s="1822"/>
      <c r="E617" s="1822"/>
      <c r="F617" s="1822"/>
      <c r="G617" s="1822"/>
      <c r="H617" s="1822"/>
      <c r="I617" s="1822"/>
      <c r="J617" s="1822"/>
      <c r="K617" s="1822"/>
      <c r="L617" s="1822"/>
      <c r="M617" s="1822"/>
      <c r="N617" s="1827"/>
      <c r="V617" s="674"/>
      <c r="W617" s="675"/>
      <c r="X617" s="675"/>
      <c r="Y617" s="537" t="s">
        <v>5522</v>
      </c>
      <c r="AD617" s="675"/>
      <c r="AE617" s="675"/>
      <c r="AG617" s="675"/>
      <c r="AH617" s="680"/>
    </row>
    <row r="618" spans="1:34" s="536" customFormat="1" ht="33.75" x14ac:dyDescent="0.2">
      <c r="A618" s="609"/>
      <c r="B618" s="552" t="s">
        <v>310</v>
      </c>
      <c r="C618" s="1822" t="s">
        <v>311</v>
      </c>
      <c r="D618" s="1822"/>
      <c r="E618" s="1822"/>
      <c r="F618" s="1822"/>
      <c r="G618" s="1822"/>
      <c r="H618" s="1822"/>
      <c r="I618" s="1822"/>
      <c r="J618" s="1822"/>
      <c r="K618" s="1822"/>
      <c r="L618" s="1822"/>
      <c r="M618" s="1822"/>
      <c r="N618" s="1827"/>
      <c r="V618" s="674"/>
      <c r="W618" s="675"/>
      <c r="X618" s="675"/>
      <c r="Z618" s="537" t="s">
        <v>311</v>
      </c>
      <c r="AD618" s="675"/>
      <c r="AE618" s="675"/>
      <c r="AG618" s="675"/>
      <c r="AH618" s="680"/>
    </row>
    <row r="619" spans="1:34" s="536" customFormat="1" ht="12" x14ac:dyDescent="0.2">
      <c r="A619" s="605"/>
      <c r="B619" s="552" t="s">
        <v>185</v>
      </c>
      <c r="C619" s="1822" t="s">
        <v>312</v>
      </c>
      <c r="D619" s="1822"/>
      <c r="E619" s="1822"/>
      <c r="F619" s="562"/>
      <c r="G619" s="562"/>
      <c r="H619" s="562"/>
      <c r="I619" s="562"/>
      <c r="J619" s="604">
        <v>216.58</v>
      </c>
      <c r="K619" s="562" t="s">
        <v>313</v>
      </c>
      <c r="L619" s="604">
        <v>397.97</v>
      </c>
      <c r="M619" s="603"/>
      <c r="N619" s="602"/>
      <c r="V619" s="674"/>
      <c r="W619" s="675"/>
      <c r="X619" s="675"/>
      <c r="AA619" s="537" t="s">
        <v>312</v>
      </c>
      <c r="AD619" s="675"/>
      <c r="AE619" s="675"/>
      <c r="AG619" s="675"/>
      <c r="AH619" s="680"/>
    </row>
    <row r="620" spans="1:34" s="536" customFormat="1" ht="12" x14ac:dyDescent="0.2">
      <c r="A620" s="605"/>
      <c r="B620" s="552" t="s">
        <v>186</v>
      </c>
      <c r="C620" s="1822" t="s">
        <v>344</v>
      </c>
      <c r="D620" s="1822"/>
      <c r="E620" s="1822"/>
      <c r="F620" s="562"/>
      <c r="G620" s="562"/>
      <c r="H620" s="562"/>
      <c r="I620" s="562"/>
      <c r="J620" s="604">
        <v>76.319999999999993</v>
      </c>
      <c r="K620" s="562" t="s">
        <v>313</v>
      </c>
      <c r="L620" s="604">
        <v>140.24</v>
      </c>
      <c r="M620" s="603"/>
      <c r="N620" s="602"/>
      <c r="V620" s="674"/>
      <c r="W620" s="675"/>
      <c r="X620" s="675"/>
      <c r="AA620" s="537" t="s">
        <v>344</v>
      </c>
      <c r="AD620" s="675"/>
      <c r="AE620" s="675"/>
      <c r="AG620" s="675"/>
      <c r="AH620" s="680"/>
    </row>
    <row r="621" spans="1:34" s="536" customFormat="1" ht="12" x14ac:dyDescent="0.2">
      <c r="A621" s="605"/>
      <c r="B621" s="552" t="s">
        <v>187</v>
      </c>
      <c r="C621" s="1822" t="s">
        <v>345</v>
      </c>
      <c r="D621" s="1822"/>
      <c r="E621" s="1822"/>
      <c r="F621" s="562"/>
      <c r="G621" s="562"/>
      <c r="H621" s="562"/>
      <c r="I621" s="562"/>
      <c r="J621" s="604">
        <v>5.0199999999999996</v>
      </c>
      <c r="K621" s="562" t="s">
        <v>313</v>
      </c>
      <c r="L621" s="604">
        <v>9.2200000000000006</v>
      </c>
      <c r="M621" s="603"/>
      <c r="N621" s="602"/>
      <c r="V621" s="674"/>
      <c r="W621" s="675"/>
      <c r="X621" s="675"/>
      <c r="AA621" s="537" t="s">
        <v>345</v>
      </c>
      <c r="AD621" s="675"/>
      <c r="AE621" s="675"/>
      <c r="AG621" s="675"/>
      <c r="AH621" s="680"/>
    </row>
    <row r="622" spans="1:34" s="536" customFormat="1" ht="12" x14ac:dyDescent="0.2">
      <c r="A622" s="605"/>
      <c r="B622" s="552" t="s">
        <v>188</v>
      </c>
      <c r="C622" s="1822" t="s">
        <v>475</v>
      </c>
      <c r="D622" s="1822"/>
      <c r="E622" s="1822"/>
      <c r="F622" s="562"/>
      <c r="G622" s="562"/>
      <c r="H622" s="562"/>
      <c r="I622" s="562"/>
      <c r="J622" s="604">
        <v>39.49</v>
      </c>
      <c r="K622" s="562"/>
      <c r="L622" s="604">
        <v>58.05</v>
      </c>
      <c r="M622" s="603"/>
      <c r="N622" s="602"/>
      <c r="V622" s="674"/>
      <c r="W622" s="675"/>
      <c r="X622" s="675"/>
      <c r="AA622" s="537" t="s">
        <v>475</v>
      </c>
      <c r="AD622" s="675"/>
      <c r="AE622" s="675"/>
      <c r="AG622" s="675"/>
      <c r="AH622" s="680"/>
    </row>
    <row r="623" spans="1:34" s="536" customFormat="1" ht="12" x14ac:dyDescent="0.2">
      <c r="A623" s="605"/>
      <c r="B623" s="552"/>
      <c r="C623" s="1822" t="s">
        <v>314</v>
      </c>
      <c r="D623" s="1822"/>
      <c r="E623" s="1822"/>
      <c r="F623" s="562" t="s">
        <v>315</v>
      </c>
      <c r="G623" s="562" t="s">
        <v>5523</v>
      </c>
      <c r="H623" s="562" t="s">
        <v>313</v>
      </c>
      <c r="I623" s="562" t="s">
        <v>5524</v>
      </c>
      <c r="J623" s="604"/>
      <c r="K623" s="562"/>
      <c r="L623" s="604"/>
      <c r="M623" s="603"/>
      <c r="N623" s="602"/>
      <c r="V623" s="674"/>
      <c r="W623" s="675"/>
      <c r="X623" s="675"/>
      <c r="AB623" s="537" t="s">
        <v>314</v>
      </c>
      <c r="AD623" s="675"/>
      <c r="AE623" s="675"/>
      <c r="AG623" s="675"/>
      <c r="AH623" s="680"/>
    </row>
    <row r="624" spans="1:34" s="536" customFormat="1" ht="12" x14ac:dyDescent="0.2">
      <c r="A624" s="605"/>
      <c r="B624" s="552"/>
      <c r="C624" s="1822" t="s">
        <v>348</v>
      </c>
      <c r="D624" s="1822"/>
      <c r="E624" s="1822"/>
      <c r="F624" s="562" t="s">
        <v>315</v>
      </c>
      <c r="G624" s="562" t="s">
        <v>947</v>
      </c>
      <c r="H624" s="562" t="s">
        <v>313</v>
      </c>
      <c r="I624" s="562" t="s">
        <v>5525</v>
      </c>
      <c r="J624" s="604"/>
      <c r="K624" s="562"/>
      <c r="L624" s="604"/>
      <c r="M624" s="603"/>
      <c r="N624" s="602"/>
      <c r="V624" s="674"/>
      <c r="W624" s="675"/>
      <c r="X624" s="675"/>
      <c r="AB624" s="537" t="s">
        <v>348</v>
      </c>
      <c r="AD624" s="675"/>
      <c r="AE624" s="675"/>
      <c r="AG624" s="675"/>
      <c r="AH624" s="680"/>
    </row>
    <row r="625" spans="1:34" s="536" customFormat="1" ht="12" x14ac:dyDescent="0.2">
      <c r="A625" s="605"/>
      <c r="B625" s="552"/>
      <c r="C625" s="1828" t="s">
        <v>318</v>
      </c>
      <c r="D625" s="1828"/>
      <c r="E625" s="1828"/>
      <c r="F625" s="608"/>
      <c r="G625" s="608"/>
      <c r="H625" s="608"/>
      <c r="I625" s="608"/>
      <c r="J625" s="607">
        <v>332.39</v>
      </c>
      <c r="K625" s="608"/>
      <c r="L625" s="607">
        <v>596.26</v>
      </c>
      <c r="M625" s="601"/>
      <c r="N625" s="606"/>
      <c r="V625" s="674"/>
      <c r="W625" s="675"/>
      <c r="X625" s="675"/>
      <c r="AC625" s="537" t="s">
        <v>318</v>
      </c>
      <c r="AD625" s="675"/>
      <c r="AE625" s="675"/>
      <c r="AG625" s="675"/>
      <c r="AH625" s="680"/>
    </row>
    <row r="626" spans="1:34" s="536" customFormat="1" ht="12" x14ac:dyDescent="0.2">
      <c r="A626" s="605"/>
      <c r="B626" s="552"/>
      <c r="C626" s="1822" t="s">
        <v>319</v>
      </c>
      <c r="D626" s="1822"/>
      <c r="E626" s="1822"/>
      <c r="F626" s="562"/>
      <c r="G626" s="562"/>
      <c r="H626" s="562"/>
      <c r="I626" s="562"/>
      <c r="J626" s="604"/>
      <c r="K626" s="562"/>
      <c r="L626" s="604">
        <v>407.19</v>
      </c>
      <c r="M626" s="603"/>
      <c r="N626" s="602"/>
      <c r="V626" s="674"/>
      <c r="W626" s="675"/>
      <c r="X626" s="675"/>
      <c r="AB626" s="537" t="s">
        <v>319</v>
      </c>
      <c r="AD626" s="675"/>
      <c r="AE626" s="675"/>
      <c r="AG626" s="675"/>
      <c r="AH626" s="680"/>
    </row>
    <row r="627" spans="1:34" s="536" customFormat="1" ht="33.75" x14ac:dyDescent="0.2">
      <c r="A627" s="605"/>
      <c r="B627" s="552" t="s">
        <v>1631</v>
      </c>
      <c r="C627" s="1822" t="s">
        <v>1632</v>
      </c>
      <c r="D627" s="1822"/>
      <c r="E627" s="1822"/>
      <c r="F627" s="562" t="s">
        <v>322</v>
      </c>
      <c r="G627" s="562" t="s">
        <v>1633</v>
      </c>
      <c r="H627" s="562"/>
      <c r="I627" s="562" t="s">
        <v>1633</v>
      </c>
      <c r="J627" s="604"/>
      <c r="K627" s="562"/>
      <c r="L627" s="604">
        <v>394.97</v>
      </c>
      <c r="M627" s="603"/>
      <c r="N627" s="602"/>
      <c r="V627" s="674"/>
      <c r="W627" s="675"/>
      <c r="X627" s="675"/>
      <c r="AB627" s="537" t="s">
        <v>1632</v>
      </c>
      <c r="AD627" s="675"/>
      <c r="AE627" s="675"/>
      <c r="AG627" s="675"/>
      <c r="AH627" s="680"/>
    </row>
    <row r="628" spans="1:34" s="536" customFormat="1" ht="33.75" x14ac:dyDescent="0.2">
      <c r="A628" s="605"/>
      <c r="B628" s="552" t="s">
        <v>1634</v>
      </c>
      <c r="C628" s="1822" t="s">
        <v>1635</v>
      </c>
      <c r="D628" s="1822"/>
      <c r="E628" s="1822"/>
      <c r="F628" s="562" t="s">
        <v>322</v>
      </c>
      <c r="G628" s="562" t="s">
        <v>786</v>
      </c>
      <c r="H628" s="562"/>
      <c r="I628" s="562" t="s">
        <v>786</v>
      </c>
      <c r="J628" s="604"/>
      <c r="K628" s="562"/>
      <c r="L628" s="604">
        <v>207.67</v>
      </c>
      <c r="M628" s="603"/>
      <c r="N628" s="602"/>
      <c r="V628" s="674"/>
      <c r="W628" s="675"/>
      <c r="X628" s="675"/>
      <c r="AB628" s="537" t="s">
        <v>1635</v>
      </c>
      <c r="AD628" s="675"/>
      <c r="AE628" s="675"/>
      <c r="AG628" s="675"/>
      <c r="AH628" s="680"/>
    </row>
    <row r="629" spans="1:34" s="536" customFormat="1" ht="12" x14ac:dyDescent="0.2">
      <c r="A629" s="569"/>
      <c r="B629" s="671"/>
      <c r="C629" s="1823" t="s">
        <v>327</v>
      </c>
      <c r="D629" s="1823"/>
      <c r="E629" s="1823"/>
      <c r="F629" s="573"/>
      <c r="G629" s="573"/>
      <c r="H629" s="573"/>
      <c r="I629" s="573"/>
      <c r="J629" s="572"/>
      <c r="K629" s="573"/>
      <c r="L629" s="572">
        <v>1198.9000000000001</v>
      </c>
      <c r="M629" s="601"/>
      <c r="N629" s="570"/>
      <c r="V629" s="674"/>
      <c r="W629" s="675"/>
      <c r="X629" s="675"/>
      <c r="AD629" s="675" t="s">
        <v>327</v>
      </c>
      <c r="AE629" s="675"/>
      <c r="AG629" s="675"/>
      <c r="AH629" s="680"/>
    </row>
    <row r="630" spans="1:34" s="536" customFormat="1" ht="33.75" x14ac:dyDescent="0.2">
      <c r="A630" s="575" t="s">
        <v>713</v>
      </c>
      <c r="B630" s="670" t="s">
        <v>5526</v>
      </c>
      <c r="C630" s="1823" t="s">
        <v>5527</v>
      </c>
      <c r="D630" s="1823"/>
      <c r="E630" s="1823"/>
      <c r="F630" s="573" t="s">
        <v>1110</v>
      </c>
      <c r="G630" s="573"/>
      <c r="H630" s="573"/>
      <c r="I630" s="573" t="s">
        <v>5528</v>
      </c>
      <c r="J630" s="572"/>
      <c r="K630" s="573"/>
      <c r="L630" s="572"/>
      <c r="M630" s="571"/>
      <c r="N630" s="570"/>
      <c r="V630" s="674"/>
      <c r="W630" s="675"/>
      <c r="X630" s="675" t="s">
        <v>5527</v>
      </c>
      <c r="AD630" s="675"/>
      <c r="AE630" s="675"/>
      <c r="AG630" s="675"/>
      <c r="AH630" s="680"/>
    </row>
    <row r="631" spans="1:34" s="536" customFormat="1" ht="12" x14ac:dyDescent="0.2">
      <c r="A631" s="676"/>
      <c r="B631" s="664"/>
      <c r="C631" s="1822" t="s">
        <v>5529</v>
      </c>
      <c r="D631" s="1822"/>
      <c r="E631" s="1822"/>
      <c r="F631" s="1822"/>
      <c r="G631" s="1822"/>
      <c r="H631" s="1822"/>
      <c r="I631" s="1822"/>
      <c r="J631" s="1822"/>
      <c r="K631" s="1822"/>
      <c r="L631" s="1822"/>
      <c r="M631" s="1822"/>
      <c r="N631" s="1827"/>
      <c r="V631" s="674"/>
      <c r="W631" s="675"/>
      <c r="X631" s="675"/>
      <c r="Y631" s="537" t="s">
        <v>5529</v>
      </c>
      <c r="AD631" s="675"/>
      <c r="AE631" s="675"/>
      <c r="AG631" s="675"/>
      <c r="AH631" s="680"/>
    </row>
    <row r="632" spans="1:34" s="536" customFormat="1" ht="33.75" x14ac:dyDescent="0.2">
      <c r="A632" s="609"/>
      <c r="B632" s="552" t="s">
        <v>310</v>
      </c>
      <c r="C632" s="1822" t="s">
        <v>311</v>
      </c>
      <c r="D632" s="1822"/>
      <c r="E632" s="1822"/>
      <c r="F632" s="1822"/>
      <c r="G632" s="1822"/>
      <c r="H632" s="1822"/>
      <c r="I632" s="1822"/>
      <c r="J632" s="1822"/>
      <c r="K632" s="1822"/>
      <c r="L632" s="1822"/>
      <c r="M632" s="1822"/>
      <c r="N632" s="1827"/>
      <c r="V632" s="674"/>
      <c r="W632" s="675"/>
      <c r="X632" s="675"/>
      <c r="Z632" s="537" t="s">
        <v>311</v>
      </c>
      <c r="AD632" s="675"/>
      <c r="AE632" s="675"/>
      <c r="AG632" s="675"/>
      <c r="AH632" s="680"/>
    </row>
    <row r="633" spans="1:34" s="536" customFormat="1" ht="12" x14ac:dyDescent="0.2">
      <c r="A633" s="605"/>
      <c r="B633" s="552" t="s">
        <v>185</v>
      </c>
      <c r="C633" s="1822" t="s">
        <v>312</v>
      </c>
      <c r="D633" s="1822"/>
      <c r="E633" s="1822"/>
      <c r="F633" s="562"/>
      <c r="G633" s="562"/>
      <c r="H633" s="562"/>
      <c r="I633" s="562"/>
      <c r="J633" s="604">
        <v>343.66</v>
      </c>
      <c r="K633" s="562" t="s">
        <v>313</v>
      </c>
      <c r="L633" s="604">
        <v>3806.03</v>
      </c>
      <c r="M633" s="603"/>
      <c r="N633" s="602"/>
      <c r="V633" s="674"/>
      <c r="W633" s="675"/>
      <c r="X633" s="675"/>
      <c r="AA633" s="537" t="s">
        <v>312</v>
      </c>
      <c r="AD633" s="675"/>
      <c r="AE633" s="675"/>
      <c r="AG633" s="675"/>
      <c r="AH633" s="680"/>
    </row>
    <row r="634" spans="1:34" s="536" customFormat="1" ht="12" x14ac:dyDescent="0.2">
      <c r="A634" s="605"/>
      <c r="B634" s="552" t="s">
        <v>186</v>
      </c>
      <c r="C634" s="1822" t="s">
        <v>344</v>
      </c>
      <c r="D634" s="1822"/>
      <c r="E634" s="1822"/>
      <c r="F634" s="562"/>
      <c r="G634" s="562"/>
      <c r="H634" s="562"/>
      <c r="I634" s="562"/>
      <c r="J634" s="604">
        <v>113.42</v>
      </c>
      <c r="K634" s="562" t="s">
        <v>313</v>
      </c>
      <c r="L634" s="604">
        <v>1256.1300000000001</v>
      </c>
      <c r="M634" s="603"/>
      <c r="N634" s="602"/>
      <c r="V634" s="674"/>
      <c r="W634" s="675"/>
      <c r="X634" s="675"/>
      <c r="AA634" s="537" t="s">
        <v>344</v>
      </c>
      <c r="AD634" s="675"/>
      <c r="AE634" s="675"/>
      <c r="AG634" s="675"/>
      <c r="AH634" s="680"/>
    </row>
    <row r="635" spans="1:34" s="536" customFormat="1" ht="12" x14ac:dyDescent="0.2">
      <c r="A635" s="605"/>
      <c r="B635" s="552" t="s">
        <v>187</v>
      </c>
      <c r="C635" s="1822" t="s">
        <v>345</v>
      </c>
      <c r="D635" s="1822"/>
      <c r="E635" s="1822"/>
      <c r="F635" s="562"/>
      <c r="G635" s="562"/>
      <c r="H635" s="562"/>
      <c r="I635" s="562"/>
      <c r="J635" s="604">
        <v>5.4</v>
      </c>
      <c r="K635" s="562" t="s">
        <v>313</v>
      </c>
      <c r="L635" s="604">
        <v>59.81</v>
      </c>
      <c r="M635" s="603"/>
      <c r="N635" s="602"/>
      <c r="V635" s="674"/>
      <c r="W635" s="675"/>
      <c r="X635" s="675"/>
      <c r="AA635" s="537" t="s">
        <v>345</v>
      </c>
      <c r="AD635" s="675"/>
      <c r="AE635" s="675"/>
      <c r="AG635" s="675"/>
      <c r="AH635" s="680"/>
    </row>
    <row r="636" spans="1:34" s="536" customFormat="1" ht="12" x14ac:dyDescent="0.2">
      <c r="A636" s="605"/>
      <c r="B636" s="552" t="s">
        <v>188</v>
      </c>
      <c r="C636" s="1822" t="s">
        <v>475</v>
      </c>
      <c r="D636" s="1822"/>
      <c r="E636" s="1822"/>
      <c r="F636" s="562"/>
      <c r="G636" s="562"/>
      <c r="H636" s="562"/>
      <c r="I636" s="562"/>
      <c r="J636" s="604">
        <v>42.03</v>
      </c>
      <c r="K636" s="562"/>
      <c r="L636" s="604">
        <v>372.39</v>
      </c>
      <c r="M636" s="603"/>
      <c r="N636" s="602"/>
      <c r="V636" s="674"/>
      <c r="W636" s="675"/>
      <c r="X636" s="675"/>
      <c r="AA636" s="537" t="s">
        <v>475</v>
      </c>
      <c r="AD636" s="675"/>
      <c r="AE636" s="675"/>
      <c r="AG636" s="675"/>
      <c r="AH636" s="680"/>
    </row>
    <row r="637" spans="1:34" s="536" customFormat="1" ht="12" x14ac:dyDescent="0.2">
      <c r="A637" s="605"/>
      <c r="B637" s="552"/>
      <c r="C637" s="1822" t="s">
        <v>314</v>
      </c>
      <c r="D637" s="1822"/>
      <c r="E637" s="1822"/>
      <c r="F637" s="562" t="s">
        <v>315</v>
      </c>
      <c r="G637" s="562" t="s">
        <v>5530</v>
      </c>
      <c r="H637" s="562" t="s">
        <v>313</v>
      </c>
      <c r="I637" s="562" t="s">
        <v>5531</v>
      </c>
      <c r="J637" s="604"/>
      <c r="K637" s="562"/>
      <c r="L637" s="604"/>
      <c r="M637" s="603"/>
      <c r="N637" s="602"/>
      <c r="V637" s="674"/>
      <c r="W637" s="675"/>
      <c r="X637" s="675"/>
      <c r="AB637" s="537" t="s">
        <v>314</v>
      </c>
      <c r="AD637" s="675"/>
      <c r="AE637" s="675"/>
      <c r="AG637" s="675"/>
      <c r="AH637" s="680"/>
    </row>
    <row r="638" spans="1:34" s="536" customFormat="1" ht="12" x14ac:dyDescent="0.2">
      <c r="A638" s="605"/>
      <c r="B638" s="552"/>
      <c r="C638" s="1822" t="s">
        <v>348</v>
      </c>
      <c r="D638" s="1822"/>
      <c r="E638" s="1822"/>
      <c r="F638" s="562" t="s">
        <v>315</v>
      </c>
      <c r="G638" s="562" t="s">
        <v>947</v>
      </c>
      <c r="H638" s="562" t="s">
        <v>313</v>
      </c>
      <c r="I638" s="562" t="s">
        <v>5532</v>
      </c>
      <c r="J638" s="604"/>
      <c r="K638" s="562"/>
      <c r="L638" s="604"/>
      <c r="M638" s="603"/>
      <c r="N638" s="602"/>
      <c r="V638" s="674"/>
      <c r="W638" s="675"/>
      <c r="X638" s="675"/>
      <c r="AB638" s="537" t="s">
        <v>348</v>
      </c>
      <c r="AD638" s="675"/>
      <c r="AE638" s="675"/>
      <c r="AG638" s="675"/>
      <c r="AH638" s="680"/>
    </row>
    <row r="639" spans="1:34" s="536" customFormat="1" ht="12" x14ac:dyDescent="0.2">
      <c r="A639" s="605"/>
      <c r="B639" s="552"/>
      <c r="C639" s="1828" t="s">
        <v>318</v>
      </c>
      <c r="D639" s="1828"/>
      <c r="E639" s="1828"/>
      <c r="F639" s="608"/>
      <c r="G639" s="608"/>
      <c r="H639" s="608"/>
      <c r="I639" s="608"/>
      <c r="J639" s="607">
        <v>499.11</v>
      </c>
      <c r="K639" s="608"/>
      <c r="L639" s="607">
        <v>5434.55</v>
      </c>
      <c r="M639" s="601"/>
      <c r="N639" s="606"/>
      <c r="V639" s="674"/>
      <c r="W639" s="675"/>
      <c r="X639" s="675"/>
      <c r="AC639" s="537" t="s">
        <v>318</v>
      </c>
      <c r="AD639" s="675"/>
      <c r="AE639" s="675"/>
      <c r="AG639" s="675"/>
      <c r="AH639" s="680"/>
    </row>
    <row r="640" spans="1:34" s="536" customFormat="1" ht="12" x14ac:dyDescent="0.2">
      <c r="A640" s="605"/>
      <c r="B640" s="552"/>
      <c r="C640" s="1822" t="s">
        <v>319</v>
      </c>
      <c r="D640" s="1822"/>
      <c r="E640" s="1822"/>
      <c r="F640" s="562"/>
      <c r="G640" s="562"/>
      <c r="H640" s="562"/>
      <c r="I640" s="562"/>
      <c r="J640" s="604"/>
      <c r="K640" s="562"/>
      <c r="L640" s="604">
        <v>3865.84</v>
      </c>
      <c r="M640" s="603"/>
      <c r="N640" s="602"/>
      <c r="V640" s="674"/>
      <c r="W640" s="675"/>
      <c r="X640" s="675"/>
      <c r="AB640" s="537" t="s">
        <v>319</v>
      </c>
      <c r="AD640" s="675"/>
      <c r="AE640" s="675"/>
      <c r="AG640" s="675"/>
      <c r="AH640" s="680"/>
    </row>
    <row r="641" spans="1:34" s="536" customFormat="1" ht="33.75" x14ac:dyDescent="0.2">
      <c r="A641" s="605"/>
      <c r="B641" s="552" t="s">
        <v>1631</v>
      </c>
      <c r="C641" s="1822" t="s">
        <v>1632</v>
      </c>
      <c r="D641" s="1822"/>
      <c r="E641" s="1822"/>
      <c r="F641" s="562" t="s">
        <v>322</v>
      </c>
      <c r="G641" s="562" t="s">
        <v>1633</v>
      </c>
      <c r="H641" s="562"/>
      <c r="I641" s="562" t="s">
        <v>1633</v>
      </c>
      <c r="J641" s="604"/>
      <c r="K641" s="562"/>
      <c r="L641" s="604">
        <v>3749.86</v>
      </c>
      <c r="M641" s="603"/>
      <c r="N641" s="602"/>
      <c r="V641" s="674"/>
      <c r="W641" s="675"/>
      <c r="X641" s="675"/>
      <c r="AB641" s="537" t="s">
        <v>1632</v>
      </c>
      <c r="AD641" s="675"/>
      <c r="AE641" s="675"/>
      <c r="AG641" s="675"/>
      <c r="AH641" s="680"/>
    </row>
    <row r="642" spans="1:34" s="536" customFormat="1" ht="33.75" x14ac:dyDescent="0.2">
      <c r="A642" s="605"/>
      <c r="B642" s="552" t="s">
        <v>1634</v>
      </c>
      <c r="C642" s="1822" t="s">
        <v>1635</v>
      </c>
      <c r="D642" s="1822"/>
      <c r="E642" s="1822"/>
      <c r="F642" s="562" t="s">
        <v>322</v>
      </c>
      <c r="G642" s="562" t="s">
        <v>786</v>
      </c>
      <c r="H642" s="562"/>
      <c r="I642" s="562" t="s">
        <v>786</v>
      </c>
      <c r="J642" s="604"/>
      <c r="K642" s="562"/>
      <c r="L642" s="604">
        <v>1971.58</v>
      </c>
      <c r="M642" s="603"/>
      <c r="N642" s="602"/>
      <c r="V642" s="674"/>
      <c r="W642" s="675"/>
      <c r="X642" s="675"/>
      <c r="AB642" s="537" t="s">
        <v>1635</v>
      </c>
      <c r="AD642" s="675"/>
      <c r="AE642" s="675"/>
      <c r="AG642" s="675"/>
      <c r="AH642" s="680"/>
    </row>
    <row r="643" spans="1:34" s="536" customFormat="1" ht="12" x14ac:dyDescent="0.2">
      <c r="A643" s="569"/>
      <c r="B643" s="671"/>
      <c r="C643" s="1823" t="s">
        <v>327</v>
      </c>
      <c r="D643" s="1823"/>
      <c r="E643" s="1823"/>
      <c r="F643" s="573"/>
      <c r="G643" s="573"/>
      <c r="H643" s="573"/>
      <c r="I643" s="573"/>
      <c r="J643" s="572"/>
      <c r="K643" s="573"/>
      <c r="L643" s="572">
        <v>11155.99</v>
      </c>
      <c r="M643" s="601"/>
      <c r="N643" s="570"/>
      <c r="V643" s="674"/>
      <c r="W643" s="675"/>
      <c r="X643" s="675"/>
      <c r="AD643" s="675" t="s">
        <v>327</v>
      </c>
      <c r="AE643" s="675"/>
      <c r="AG643" s="675"/>
      <c r="AH643" s="680"/>
    </row>
    <row r="644" spans="1:34" s="536" customFormat="1" ht="22.5" x14ac:dyDescent="0.2">
      <c r="A644" s="575" t="s">
        <v>793</v>
      </c>
      <c r="B644" s="670" t="s">
        <v>1685</v>
      </c>
      <c r="C644" s="1823" t="s">
        <v>1686</v>
      </c>
      <c r="D644" s="1823"/>
      <c r="E644" s="1823"/>
      <c r="F644" s="573" t="s">
        <v>1687</v>
      </c>
      <c r="G644" s="573"/>
      <c r="H644" s="573"/>
      <c r="I644" s="573" t="s">
        <v>5533</v>
      </c>
      <c r="J644" s="572">
        <v>4832.12</v>
      </c>
      <c r="K644" s="573"/>
      <c r="L644" s="572">
        <v>6535.54</v>
      </c>
      <c r="M644" s="571"/>
      <c r="N644" s="570"/>
      <c r="V644" s="674"/>
      <c r="W644" s="675"/>
      <c r="X644" s="675" t="s">
        <v>1686</v>
      </c>
      <c r="AD644" s="675"/>
      <c r="AE644" s="675"/>
      <c r="AG644" s="675"/>
      <c r="AH644" s="680"/>
    </row>
    <row r="645" spans="1:34" s="536" customFormat="1" ht="12" x14ac:dyDescent="0.2">
      <c r="A645" s="569"/>
      <c r="B645" s="671"/>
      <c r="C645" s="665" t="s">
        <v>1658</v>
      </c>
      <c r="D645" s="666"/>
      <c r="E645" s="666"/>
      <c r="F645" s="563"/>
      <c r="G645" s="563"/>
      <c r="H645" s="563"/>
      <c r="I645" s="563"/>
      <c r="J645" s="566"/>
      <c r="K645" s="563"/>
      <c r="L645" s="566"/>
      <c r="M645" s="565"/>
      <c r="N645" s="564"/>
      <c r="V645" s="674"/>
      <c r="W645" s="675"/>
      <c r="X645" s="675"/>
      <c r="AD645" s="675"/>
      <c r="AE645" s="675"/>
      <c r="AG645" s="675"/>
      <c r="AH645" s="680"/>
    </row>
    <row r="646" spans="1:34" s="536" customFormat="1" ht="12" x14ac:dyDescent="0.2">
      <c r="A646" s="676"/>
      <c r="B646" s="664"/>
      <c r="C646" s="1822" t="s">
        <v>5534</v>
      </c>
      <c r="D646" s="1822"/>
      <c r="E646" s="1822"/>
      <c r="F646" s="1822"/>
      <c r="G646" s="1822"/>
      <c r="H646" s="1822"/>
      <c r="I646" s="1822"/>
      <c r="J646" s="1822"/>
      <c r="K646" s="1822"/>
      <c r="L646" s="1822"/>
      <c r="M646" s="1822"/>
      <c r="N646" s="1827"/>
      <c r="V646" s="674"/>
      <c r="W646" s="675"/>
      <c r="X646" s="675"/>
      <c r="Y646" s="537" t="s">
        <v>5534</v>
      </c>
      <c r="AD646" s="675"/>
      <c r="AE646" s="675"/>
      <c r="AG646" s="675"/>
      <c r="AH646" s="680"/>
    </row>
    <row r="647" spans="1:34" s="536" customFormat="1" ht="22.5" x14ac:dyDescent="0.2">
      <c r="A647" s="575" t="s">
        <v>653</v>
      </c>
      <c r="B647" s="670" t="s">
        <v>5535</v>
      </c>
      <c r="C647" s="1823" t="s">
        <v>5536</v>
      </c>
      <c r="D647" s="1823"/>
      <c r="E647" s="1823"/>
      <c r="F647" s="573" t="s">
        <v>1687</v>
      </c>
      <c r="G647" s="573"/>
      <c r="H647" s="573"/>
      <c r="I647" s="573" t="s">
        <v>5537</v>
      </c>
      <c r="J647" s="572">
        <v>109675.42</v>
      </c>
      <c r="K647" s="573"/>
      <c r="L647" s="572">
        <v>783.08</v>
      </c>
      <c r="M647" s="571"/>
      <c r="N647" s="570"/>
      <c r="V647" s="674"/>
      <c r="W647" s="675"/>
      <c r="X647" s="675" t="s">
        <v>5536</v>
      </c>
      <c r="AD647" s="675"/>
      <c r="AE647" s="675"/>
      <c r="AG647" s="675"/>
      <c r="AH647" s="680"/>
    </row>
    <row r="648" spans="1:34" s="536" customFormat="1" ht="12" x14ac:dyDescent="0.2">
      <c r="A648" s="569"/>
      <c r="B648" s="671"/>
      <c r="C648" s="665" t="s">
        <v>1658</v>
      </c>
      <c r="D648" s="666"/>
      <c r="E648" s="666"/>
      <c r="F648" s="563"/>
      <c r="G648" s="563"/>
      <c r="H648" s="563"/>
      <c r="I648" s="563"/>
      <c r="J648" s="566"/>
      <c r="K648" s="563"/>
      <c r="L648" s="566"/>
      <c r="M648" s="565"/>
      <c r="N648" s="564"/>
      <c r="V648" s="674"/>
      <c r="W648" s="675"/>
      <c r="X648" s="675"/>
      <c r="AD648" s="675"/>
      <c r="AE648" s="675"/>
      <c r="AG648" s="675"/>
      <c r="AH648" s="680"/>
    </row>
    <row r="649" spans="1:34" s="536" customFormat="1" ht="12" x14ac:dyDescent="0.2">
      <c r="A649" s="676"/>
      <c r="B649" s="664"/>
      <c r="C649" s="1822" t="s">
        <v>5538</v>
      </c>
      <c r="D649" s="1822"/>
      <c r="E649" s="1822"/>
      <c r="F649" s="1822"/>
      <c r="G649" s="1822"/>
      <c r="H649" s="1822"/>
      <c r="I649" s="1822"/>
      <c r="J649" s="1822"/>
      <c r="K649" s="1822"/>
      <c r="L649" s="1822"/>
      <c r="M649" s="1822"/>
      <c r="N649" s="1827"/>
      <c r="V649" s="674"/>
      <c r="W649" s="675"/>
      <c r="X649" s="675"/>
      <c r="Y649" s="537" t="s">
        <v>5538</v>
      </c>
      <c r="AD649" s="675"/>
      <c r="AE649" s="675"/>
      <c r="AG649" s="675"/>
      <c r="AH649" s="680"/>
    </row>
    <row r="650" spans="1:34" s="536" customFormat="1" ht="22.5" x14ac:dyDescent="0.2">
      <c r="A650" s="575" t="s">
        <v>794</v>
      </c>
      <c r="B650" s="670" t="s">
        <v>5539</v>
      </c>
      <c r="C650" s="1823" t="s">
        <v>5540</v>
      </c>
      <c r="D650" s="1823"/>
      <c r="E650" s="1823"/>
      <c r="F650" s="573" t="s">
        <v>1687</v>
      </c>
      <c r="G650" s="573"/>
      <c r="H650" s="573"/>
      <c r="I650" s="573" t="s">
        <v>5537</v>
      </c>
      <c r="J650" s="572">
        <v>271190.69</v>
      </c>
      <c r="K650" s="573"/>
      <c r="L650" s="572">
        <v>1936.3</v>
      </c>
      <c r="M650" s="571"/>
      <c r="N650" s="570"/>
      <c r="V650" s="674"/>
      <c r="W650" s="675"/>
      <c r="X650" s="675" t="s">
        <v>5540</v>
      </c>
      <c r="AD650" s="675"/>
      <c r="AE650" s="675"/>
      <c r="AG650" s="675"/>
      <c r="AH650" s="680"/>
    </row>
    <row r="651" spans="1:34" s="536" customFormat="1" ht="12" x14ac:dyDescent="0.2">
      <c r="A651" s="569"/>
      <c r="B651" s="671"/>
      <c r="C651" s="665" t="s">
        <v>1658</v>
      </c>
      <c r="D651" s="666"/>
      <c r="E651" s="666"/>
      <c r="F651" s="563"/>
      <c r="G651" s="563"/>
      <c r="H651" s="563"/>
      <c r="I651" s="563"/>
      <c r="J651" s="566"/>
      <c r="K651" s="563"/>
      <c r="L651" s="566"/>
      <c r="M651" s="565"/>
      <c r="N651" s="564"/>
      <c r="V651" s="674"/>
      <c r="W651" s="675"/>
      <c r="X651" s="675"/>
      <c r="AD651" s="675"/>
      <c r="AE651" s="675"/>
      <c r="AG651" s="675"/>
      <c r="AH651" s="680"/>
    </row>
    <row r="652" spans="1:34" s="536" customFormat="1" ht="12" x14ac:dyDescent="0.2">
      <c r="A652" s="676"/>
      <c r="B652" s="664"/>
      <c r="C652" s="1822" t="s">
        <v>5538</v>
      </c>
      <c r="D652" s="1822"/>
      <c r="E652" s="1822"/>
      <c r="F652" s="1822"/>
      <c r="G652" s="1822"/>
      <c r="H652" s="1822"/>
      <c r="I652" s="1822"/>
      <c r="J652" s="1822"/>
      <c r="K652" s="1822"/>
      <c r="L652" s="1822"/>
      <c r="M652" s="1822"/>
      <c r="N652" s="1827"/>
      <c r="V652" s="674"/>
      <c r="W652" s="675"/>
      <c r="X652" s="675"/>
      <c r="Y652" s="537" t="s">
        <v>5538</v>
      </c>
      <c r="AD652" s="675"/>
      <c r="AE652" s="675"/>
      <c r="AG652" s="675"/>
      <c r="AH652" s="680"/>
    </row>
    <row r="653" spans="1:34" s="536" customFormat="1" ht="22.5" x14ac:dyDescent="0.2">
      <c r="A653" s="575" t="s">
        <v>2347</v>
      </c>
      <c r="B653" s="670" t="s">
        <v>5541</v>
      </c>
      <c r="C653" s="1823" t="s">
        <v>5542</v>
      </c>
      <c r="D653" s="1823"/>
      <c r="E653" s="1823"/>
      <c r="F653" s="573" t="s">
        <v>1687</v>
      </c>
      <c r="G653" s="573"/>
      <c r="H653" s="573"/>
      <c r="I653" s="573" t="s">
        <v>5543</v>
      </c>
      <c r="J653" s="572">
        <v>11671.77</v>
      </c>
      <c r="K653" s="573"/>
      <c r="L653" s="572">
        <v>3750.14</v>
      </c>
      <c r="M653" s="571"/>
      <c r="N653" s="570"/>
      <c r="V653" s="674"/>
      <c r="W653" s="675"/>
      <c r="X653" s="675" t="s">
        <v>5542</v>
      </c>
      <c r="AD653" s="675"/>
      <c r="AE653" s="675"/>
      <c r="AG653" s="675"/>
      <c r="AH653" s="680"/>
    </row>
    <row r="654" spans="1:34" s="536" customFormat="1" ht="12" x14ac:dyDescent="0.2">
      <c r="A654" s="569"/>
      <c r="B654" s="671"/>
      <c r="C654" s="665" t="s">
        <v>1658</v>
      </c>
      <c r="D654" s="666"/>
      <c r="E654" s="666"/>
      <c r="F654" s="563"/>
      <c r="G654" s="563"/>
      <c r="H654" s="563"/>
      <c r="I654" s="563"/>
      <c r="J654" s="566"/>
      <c r="K654" s="563"/>
      <c r="L654" s="566"/>
      <c r="M654" s="565"/>
      <c r="N654" s="564"/>
      <c r="V654" s="674"/>
      <c r="W654" s="675"/>
      <c r="X654" s="675"/>
      <c r="AD654" s="675"/>
      <c r="AE654" s="675"/>
      <c r="AG654" s="675"/>
      <c r="AH654" s="680"/>
    </row>
    <row r="655" spans="1:34" s="536" customFormat="1" ht="12" x14ac:dyDescent="0.2">
      <c r="A655" s="676"/>
      <c r="B655" s="664"/>
      <c r="C655" s="1822" t="s">
        <v>5544</v>
      </c>
      <c r="D655" s="1822"/>
      <c r="E655" s="1822"/>
      <c r="F655" s="1822"/>
      <c r="G655" s="1822"/>
      <c r="H655" s="1822"/>
      <c r="I655" s="1822"/>
      <c r="J655" s="1822"/>
      <c r="K655" s="1822"/>
      <c r="L655" s="1822"/>
      <c r="M655" s="1822"/>
      <c r="N655" s="1827"/>
      <c r="V655" s="674"/>
      <c r="W655" s="675"/>
      <c r="X655" s="675"/>
      <c r="Y655" s="537" t="s">
        <v>5544</v>
      </c>
      <c r="AD655" s="675"/>
      <c r="AE655" s="675"/>
      <c r="AG655" s="675"/>
      <c r="AH655" s="680"/>
    </row>
    <row r="656" spans="1:34" s="536" customFormat="1" ht="22.5" x14ac:dyDescent="0.2">
      <c r="A656" s="575" t="s">
        <v>796</v>
      </c>
      <c r="B656" s="670" t="s">
        <v>5545</v>
      </c>
      <c r="C656" s="1823" t="s">
        <v>5546</v>
      </c>
      <c r="D656" s="1823"/>
      <c r="E656" s="1823"/>
      <c r="F656" s="573" t="s">
        <v>1687</v>
      </c>
      <c r="G656" s="573"/>
      <c r="H656" s="573"/>
      <c r="I656" s="573" t="s">
        <v>5547</v>
      </c>
      <c r="J656" s="572">
        <v>14926.17</v>
      </c>
      <c r="K656" s="573"/>
      <c r="L656" s="572">
        <v>3620.34</v>
      </c>
      <c r="M656" s="571"/>
      <c r="N656" s="570"/>
      <c r="V656" s="674"/>
      <c r="W656" s="675"/>
      <c r="X656" s="675" t="s">
        <v>5546</v>
      </c>
      <c r="AD656" s="675"/>
      <c r="AE656" s="675"/>
      <c r="AG656" s="675"/>
      <c r="AH656" s="680"/>
    </row>
    <row r="657" spans="1:34" s="536" customFormat="1" ht="12" x14ac:dyDescent="0.2">
      <c r="A657" s="569"/>
      <c r="B657" s="671"/>
      <c r="C657" s="665" t="s">
        <v>1658</v>
      </c>
      <c r="D657" s="666"/>
      <c r="E657" s="666"/>
      <c r="F657" s="563"/>
      <c r="G657" s="563"/>
      <c r="H657" s="563"/>
      <c r="I657" s="563"/>
      <c r="J657" s="566"/>
      <c r="K657" s="563"/>
      <c r="L657" s="566"/>
      <c r="M657" s="565"/>
      <c r="N657" s="564"/>
      <c r="V657" s="674"/>
      <c r="W657" s="675"/>
      <c r="X657" s="675"/>
      <c r="AD657" s="675"/>
      <c r="AE657" s="675"/>
      <c r="AG657" s="675"/>
      <c r="AH657" s="680"/>
    </row>
    <row r="658" spans="1:34" s="536" customFormat="1" ht="12" x14ac:dyDescent="0.2">
      <c r="A658" s="676"/>
      <c r="B658" s="664"/>
      <c r="C658" s="1822" t="s">
        <v>5548</v>
      </c>
      <c r="D658" s="1822"/>
      <c r="E658" s="1822"/>
      <c r="F658" s="1822"/>
      <c r="G658" s="1822"/>
      <c r="H658" s="1822"/>
      <c r="I658" s="1822"/>
      <c r="J658" s="1822"/>
      <c r="K658" s="1822"/>
      <c r="L658" s="1822"/>
      <c r="M658" s="1822"/>
      <c r="N658" s="1827"/>
      <c r="V658" s="674"/>
      <c r="W658" s="675"/>
      <c r="X658" s="675"/>
      <c r="Y658" s="537" t="s">
        <v>5548</v>
      </c>
      <c r="AD658" s="675"/>
      <c r="AE658" s="675"/>
      <c r="AG658" s="675"/>
      <c r="AH658" s="680"/>
    </row>
    <row r="659" spans="1:34" s="536" customFormat="1" ht="22.5" x14ac:dyDescent="0.2">
      <c r="A659" s="575" t="s">
        <v>797</v>
      </c>
      <c r="B659" s="670" t="s">
        <v>5549</v>
      </c>
      <c r="C659" s="1823" t="s">
        <v>5550</v>
      </c>
      <c r="D659" s="1823"/>
      <c r="E659" s="1823"/>
      <c r="F659" s="573" t="s">
        <v>1687</v>
      </c>
      <c r="G659" s="573"/>
      <c r="H659" s="573"/>
      <c r="I659" s="573" t="s">
        <v>5551</v>
      </c>
      <c r="J659" s="572">
        <v>21847.42</v>
      </c>
      <c r="K659" s="573"/>
      <c r="L659" s="572">
        <v>11899.85</v>
      </c>
      <c r="M659" s="571"/>
      <c r="N659" s="570"/>
      <c r="V659" s="674"/>
      <c r="W659" s="675"/>
      <c r="X659" s="675" t="s">
        <v>5550</v>
      </c>
      <c r="AD659" s="675"/>
      <c r="AE659" s="675"/>
      <c r="AG659" s="675"/>
      <c r="AH659" s="680"/>
    </row>
    <row r="660" spans="1:34" s="536" customFormat="1" ht="12" x14ac:dyDescent="0.2">
      <c r="A660" s="569"/>
      <c r="B660" s="671"/>
      <c r="C660" s="665" t="s">
        <v>1658</v>
      </c>
      <c r="D660" s="666"/>
      <c r="E660" s="666"/>
      <c r="F660" s="563"/>
      <c r="G660" s="563"/>
      <c r="H660" s="563"/>
      <c r="I660" s="563"/>
      <c r="J660" s="566"/>
      <c r="K660" s="563"/>
      <c r="L660" s="566"/>
      <c r="M660" s="565"/>
      <c r="N660" s="564"/>
      <c r="V660" s="674"/>
      <c r="W660" s="675"/>
      <c r="X660" s="675"/>
      <c r="AD660" s="675"/>
      <c r="AE660" s="675"/>
      <c r="AG660" s="675"/>
      <c r="AH660" s="680"/>
    </row>
    <row r="661" spans="1:34" s="536" customFormat="1" ht="12" x14ac:dyDescent="0.2">
      <c r="A661" s="676"/>
      <c r="B661" s="664"/>
      <c r="C661" s="1822" t="s">
        <v>5552</v>
      </c>
      <c r="D661" s="1822"/>
      <c r="E661" s="1822"/>
      <c r="F661" s="1822"/>
      <c r="G661" s="1822"/>
      <c r="H661" s="1822"/>
      <c r="I661" s="1822"/>
      <c r="J661" s="1822"/>
      <c r="K661" s="1822"/>
      <c r="L661" s="1822"/>
      <c r="M661" s="1822"/>
      <c r="N661" s="1827"/>
      <c r="V661" s="674"/>
      <c r="W661" s="675"/>
      <c r="X661" s="675"/>
      <c r="Y661" s="537" t="s">
        <v>5552</v>
      </c>
      <c r="AD661" s="675"/>
      <c r="AE661" s="675"/>
      <c r="AG661" s="675"/>
      <c r="AH661" s="680"/>
    </row>
    <row r="662" spans="1:34" s="536" customFormat="1" ht="22.5" x14ac:dyDescent="0.2">
      <c r="A662" s="575" t="s">
        <v>798</v>
      </c>
      <c r="B662" s="670" t="s">
        <v>5553</v>
      </c>
      <c r="C662" s="1823" t="s">
        <v>5554</v>
      </c>
      <c r="D662" s="1823"/>
      <c r="E662" s="1823"/>
      <c r="F662" s="573" t="s">
        <v>1687</v>
      </c>
      <c r="G662" s="573"/>
      <c r="H662" s="573"/>
      <c r="I662" s="573" t="s">
        <v>5555</v>
      </c>
      <c r="J662" s="572">
        <v>21098.23</v>
      </c>
      <c r="K662" s="573"/>
      <c r="L662" s="572">
        <v>45170.89</v>
      </c>
      <c r="M662" s="571"/>
      <c r="N662" s="570"/>
      <c r="V662" s="674"/>
      <c r="W662" s="675"/>
      <c r="X662" s="675" t="s">
        <v>5554</v>
      </c>
      <c r="AD662" s="675"/>
      <c r="AE662" s="675"/>
      <c r="AG662" s="675"/>
      <c r="AH662" s="680"/>
    </row>
    <row r="663" spans="1:34" s="536" customFormat="1" ht="12" x14ac:dyDescent="0.2">
      <c r="A663" s="569"/>
      <c r="B663" s="671"/>
      <c r="C663" s="665" t="s">
        <v>1658</v>
      </c>
      <c r="D663" s="666"/>
      <c r="E663" s="666"/>
      <c r="F663" s="563"/>
      <c r="G663" s="563"/>
      <c r="H663" s="563"/>
      <c r="I663" s="563"/>
      <c r="J663" s="566"/>
      <c r="K663" s="563"/>
      <c r="L663" s="566"/>
      <c r="M663" s="565"/>
      <c r="N663" s="564"/>
      <c r="V663" s="674"/>
      <c r="W663" s="675"/>
      <c r="X663" s="675"/>
      <c r="AD663" s="675"/>
      <c r="AE663" s="675"/>
      <c r="AG663" s="675"/>
      <c r="AH663" s="680"/>
    </row>
    <row r="664" spans="1:34" s="536" customFormat="1" ht="12" x14ac:dyDescent="0.2">
      <c r="A664" s="676"/>
      <c r="B664" s="664"/>
      <c r="C664" s="1822" t="s">
        <v>5556</v>
      </c>
      <c r="D664" s="1822"/>
      <c r="E664" s="1822"/>
      <c r="F664" s="1822"/>
      <c r="G664" s="1822"/>
      <c r="H664" s="1822"/>
      <c r="I664" s="1822"/>
      <c r="J664" s="1822"/>
      <c r="K664" s="1822"/>
      <c r="L664" s="1822"/>
      <c r="M664" s="1822"/>
      <c r="N664" s="1827"/>
      <c r="V664" s="674"/>
      <c r="W664" s="675"/>
      <c r="X664" s="675"/>
      <c r="Y664" s="537" t="s">
        <v>5556</v>
      </c>
      <c r="AD664" s="675"/>
      <c r="AE664" s="675"/>
      <c r="AG664" s="675"/>
      <c r="AH664" s="680"/>
    </row>
    <row r="665" spans="1:34" s="536" customFormat="1" ht="22.5" x14ac:dyDescent="0.2">
      <c r="A665" s="575" t="s">
        <v>2349</v>
      </c>
      <c r="B665" s="670" t="s">
        <v>5557</v>
      </c>
      <c r="C665" s="1823" t="s">
        <v>5558</v>
      </c>
      <c r="D665" s="1823"/>
      <c r="E665" s="1823"/>
      <c r="F665" s="573" t="s">
        <v>1687</v>
      </c>
      <c r="G665" s="573"/>
      <c r="H665" s="573"/>
      <c r="I665" s="573" t="s">
        <v>5559</v>
      </c>
      <c r="J665" s="572">
        <v>27479.34</v>
      </c>
      <c r="K665" s="573"/>
      <c r="L665" s="572">
        <v>34475.58</v>
      </c>
      <c r="M665" s="571"/>
      <c r="N665" s="570"/>
      <c r="V665" s="674"/>
      <c r="W665" s="675"/>
      <c r="X665" s="675" t="s">
        <v>5558</v>
      </c>
      <c r="AD665" s="675"/>
      <c r="AE665" s="675"/>
      <c r="AG665" s="675"/>
      <c r="AH665" s="680"/>
    </row>
    <row r="666" spans="1:34" s="536" customFormat="1" ht="12" x14ac:dyDescent="0.2">
      <c r="A666" s="569"/>
      <c r="B666" s="671"/>
      <c r="C666" s="665" t="s">
        <v>1658</v>
      </c>
      <c r="D666" s="666"/>
      <c r="E666" s="666"/>
      <c r="F666" s="563"/>
      <c r="G666" s="563"/>
      <c r="H666" s="563"/>
      <c r="I666" s="563"/>
      <c r="J666" s="566"/>
      <c r="K666" s="563"/>
      <c r="L666" s="566"/>
      <c r="M666" s="565"/>
      <c r="N666" s="564"/>
      <c r="V666" s="674"/>
      <c r="W666" s="675"/>
      <c r="X666" s="675"/>
      <c r="AD666" s="675"/>
      <c r="AE666" s="675"/>
      <c r="AG666" s="675"/>
      <c r="AH666" s="680"/>
    </row>
    <row r="667" spans="1:34" s="536" customFormat="1" ht="12" x14ac:dyDescent="0.2">
      <c r="A667" s="676"/>
      <c r="B667" s="664"/>
      <c r="C667" s="1822" t="s">
        <v>5560</v>
      </c>
      <c r="D667" s="1822"/>
      <c r="E667" s="1822"/>
      <c r="F667" s="1822"/>
      <c r="G667" s="1822"/>
      <c r="H667" s="1822"/>
      <c r="I667" s="1822"/>
      <c r="J667" s="1822"/>
      <c r="K667" s="1822"/>
      <c r="L667" s="1822"/>
      <c r="M667" s="1822"/>
      <c r="N667" s="1827"/>
      <c r="V667" s="674"/>
      <c r="W667" s="675"/>
      <c r="X667" s="675"/>
      <c r="Y667" s="537" t="s">
        <v>5560</v>
      </c>
      <c r="AD667" s="675"/>
      <c r="AE667" s="675"/>
      <c r="AG667" s="675"/>
      <c r="AH667" s="680"/>
    </row>
    <row r="668" spans="1:34" s="536" customFormat="1" ht="33.75" x14ac:dyDescent="0.2">
      <c r="A668" s="575" t="s">
        <v>2037</v>
      </c>
      <c r="B668" s="670" t="s">
        <v>5561</v>
      </c>
      <c r="C668" s="1823" t="s">
        <v>5562</v>
      </c>
      <c r="D668" s="1823"/>
      <c r="E668" s="1823"/>
      <c r="F668" s="573" t="s">
        <v>483</v>
      </c>
      <c r="G668" s="573"/>
      <c r="H668" s="573"/>
      <c r="I668" s="573" t="s">
        <v>5563</v>
      </c>
      <c r="J668" s="572">
        <v>301</v>
      </c>
      <c r="K668" s="573" t="s">
        <v>716</v>
      </c>
      <c r="L668" s="572">
        <v>70309.19</v>
      </c>
      <c r="M668" s="571">
        <v>9.7899999999999991</v>
      </c>
      <c r="N668" s="570">
        <v>688327</v>
      </c>
      <c r="V668" s="674"/>
      <c r="W668" s="675"/>
      <c r="X668" s="675" t="s">
        <v>5562</v>
      </c>
      <c r="AD668" s="675"/>
      <c r="AE668" s="675"/>
      <c r="AG668" s="675"/>
      <c r="AH668" s="680"/>
    </row>
    <row r="669" spans="1:34" s="536" customFormat="1" ht="12" x14ac:dyDescent="0.2">
      <c r="A669" s="569"/>
      <c r="B669" s="671"/>
      <c r="C669" s="665" t="s">
        <v>1658</v>
      </c>
      <c r="D669" s="666"/>
      <c r="E669" s="666"/>
      <c r="F669" s="563"/>
      <c r="G669" s="563"/>
      <c r="H669" s="563"/>
      <c r="I669" s="563"/>
      <c r="J669" s="566"/>
      <c r="K669" s="563"/>
      <c r="L669" s="566"/>
      <c r="M669" s="565"/>
      <c r="N669" s="564"/>
      <c r="V669" s="674"/>
      <c r="W669" s="675"/>
      <c r="X669" s="675"/>
      <c r="AD669" s="675"/>
      <c r="AE669" s="675"/>
      <c r="AG669" s="675"/>
      <c r="AH669" s="680"/>
    </row>
    <row r="670" spans="1:34" s="536" customFormat="1" ht="12" x14ac:dyDescent="0.2">
      <c r="A670" s="676"/>
      <c r="B670" s="664"/>
      <c r="C670" s="1822" t="s">
        <v>5564</v>
      </c>
      <c r="D670" s="1822"/>
      <c r="E670" s="1822"/>
      <c r="F670" s="1822"/>
      <c r="G670" s="1822"/>
      <c r="H670" s="1822"/>
      <c r="I670" s="1822"/>
      <c r="J670" s="1822"/>
      <c r="K670" s="1822"/>
      <c r="L670" s="1822"/>
      <c r="M670" s="1822"/>
      <c r="N670" s="1827"/>
      <c r="V670" s="674"/>
      <c r="W670" s="675"/>
      <c r="X670" s="675"/>
      <c r="Y670" s="537" t="s">
        <v>5564</v>
      </c>
      <c r="AD670" s="675"/>
      <c r="AE670" s="675"/>
      <c r="AG670" s="675"/>
      <c r="AH670" s="680"/>
    </row>
    <row r="671" spans="1:34" s="536" customFormat="1" ht="22.5" x14ac:dyDescent="0.2">
      <c r="A671" s="609"/>
      <c r="B671" s="552" t="s">
        <v>718</v>
      </c>
      <c r="C671" s="1822" t="s">
        <v>719</v>
      </c>
      <c r="D671" s="1822"/>
      <c r="E671" s="1822"/>
      <c r="F671" s="1822"/>
      <c r="G671" s="1822"/>
      <c r="H671" s="1822"/>
      <c r="I671" s="1822"/>
      <c r="J671" s="1822"/>
      <c r="K671" s="1822"/>
      <c r="L671" s="1822"/>
      <c r="M671" s="1822"/>
      <c r="N671" s="1827"/>
      <c r="V671" s="674"/>
      <c r="W671" s="675"/>
      <c r="X671" s="675"/>
      <c r="Z671" s="537" t="s">
        <v>719</v>
      </c>
      <c r="AD671" s="675"/>
      <c r="AE671" s="675"/>
      <c r="AG671" s="675"/>
      <c r="AH671" s="680"/>
    </row>
    <row r="672" spans="1:34" s="536" customFormat="1" ht="33.75" x14ac:dyDescent="0.2">
      <c r="A672" s="575" t="s">
        <v>804</v>
      </c>
      <c r="B672" s="670" t="s">
        <v>5565</v>
      </c>
      <c r="C672" s="1823" t="s">
        <v>5566</v>
      </c>
      <c r="D672" s="1823"/>
      <c r="E672" s="1823"/>
      <c r="F672" s="573" t="s">
        <v>483</v>
      </c>
      <c r="G672" s="573"/>
      <c r="H672" s="573"/>
      <c r="I672" s="573" t="s">
        <v>5567</v>
      </c>
      <c r="J672" s="572">
        <v>783.6</v>
      </c>
      <c r="K672" s="573" t="s">
        <v>716</v>
      </c>
      <c r="L672" s="572">
        <v>22567.42</v>
      </c>
      <c r="M672" s="571">
        <v>9.7899999999999991</v>
      </c>
      <c r="N672" s="570">
        <v>220935</v>
      </c>
      <c r="V672" s="674"/>
      <c r="W672" s="675"/>
      <c r="X672" s="675" t="s">
        <v>5566</v>
      </c>
      <c r="AD672" s="675"/>
      <c r="AE672" s="675"/>
      <c r="AG672" s="675"/>
      <c r="AH672" s="680"/>
    </row>
    <row r="673" spans="1:34" s="536" customFormat="1" ht="12" x14ac:dyDescent="0.2">
      <c r="A673" s="569"/>
      <c r="B673" s="671"/>
      <c r="C673" s="665" t="s">
        <v>1658</v>
      </c>
      <c r="D673" s="666"/>
      <c r="E673" s="666"/>
      <c r="F673" s="563"/>
      <c r="G673" s="563"/>
      <c r="H673" s="563"/>
      <c r="I673" s="563"/>
      <c r="J673" s="566"/>
      <c r="K673" s="563"/>
      <c r="L673" s="566"/>
      <c r="M673" s="565"/>
      <c r="N673" s="564"/>
      <c r="V673" s="674"/>
      <c r="W673" s="675"/>
      <c r="X673" s="675"/>
      <c r="AD673" s="675"/>
      <c r="AE673" s="675"/>
      <c r="AG673" s="675"/>
      <c r="AH673" s="680"/>
    </row>
    <row r="674" spans="1:34" s="536" customFormat="1" ht="12" x14ac:dyDescent="0.2">
      <c r="A674" s="676"/>
      <c r="B674" s="664"/>
      <c r="C674" s="1822" t="s">
        <v>5568</v>
      </c>
      <c r="D674" s="1822"/>
      <c r="E674" s="1822"/>
      <c r="F674" s="1822"/>
      <c r="G674" s="1822"/>
      <c r="H674" s="1822"/>
      <c r="I674" s="1822"/>
      <c r="J674" s="1822"/>
      <c r="K674" s="1822"/>
      <c r="L674" s="1822"/>
      <c r="M674" s="1822"/>
      <c r="N674" s="1827"/>
      <c r="V674" s="674"/>
      <c r="W674" s="675"/>
      <c r="X674" s="675"/>
      <c r="Y674" s="537" t="s">
        <v>5568</v>
      </c>
      <c r="AD674" s="675"/>
      <c r="AE674" s="675"/>
      <c r="AG674" s="675"/>
      <c r="AH674" s="680"/>
    </row>
    <row r="675" spans="1:34" s="536" customFormat="1" ht="22.5" x14ac:dyDescent="0.2">
      <c r="A675" s="609"/>
      <c r="B675" s="552" t="s">
        <v>718</v>
      </c>
      <c r="C675" s="1822" t="s">
        <v>719</v>
      </c>
      <c r="D675" s="1822"/>
      <c r="E675" s="1822"/>
      <c r="F675" s="1822"/>
      <c r="G675" s="1822"/>
      <c r="H675" s="1822"/>
      <c r="I675" s="1822"/>
      <c r="J675" s="1822"/>
      <c r="K675" s="1822"/>
      <c r="L675" s="1822"/>
      <c r="M675" s="1822"/>
      <c r="N675" s="1827"/>
      <c r="V675" s="674"/>
      <c r="W675" s="675"/>
      <c r="X675" s="675"/>
      <c r="Z675" s="537" t="s">
        <v>719</v>
      </c>
      <c r="AD675" s="675"/>
      <c r="AE675" s="675"/>
      <c r="AG675" s="675"/>
      <c r="AH675" s="680"/>
    </row>
    <row r="676" spans="1:34" s="536" customFormat="1" ht="33.75" x14ac:dyDescent="0.2">
      <c r="A676" s="575" t="s">
        <v>2352</v>
      </c>
      <c r="B676" s="670" t="s">
        <v>5569</v>
      </c>
      <c r="C676" s="1823" t="s">
        <v>5570</v>
      </c>
      <c r="D676" s="1823"/>
      <c r="E676" s="1823"/>
      <c r="F676" s="573" t="s">
        <v>483</v>
      </c>
      <c r="G676" s="573"/>
      <c r="H676" s="573"/>
      <c r="I676" s="573" t="s">
        <v>5571</v>
      </c>
      <c r="J676" s="572">
        <v>1192.6199999999999</v>
      </c>
      <c r="K676" s="573" t="s">
        <v>716</v>
      </c>
      <c r="L676" s="572">
        <v>80987.95</v>
      </c>
      <c r="M676" s="571">
        <v>9.7899999999999991</v>
      </c>
      <c r="N676" s="570">
        <v>792872</v>
      </c>
      <c r="V676" s="674"/>
      <c r="W676" s="675"/>
      <c r="X676" s="675" t="s">
        <v>5570</v>
      </c>
      <c r="AD676" s="675"/>
      <c r="AE676" s="675"/>
      <c r="AG676" s="675"/>
      <c r="AH676" s="680"/>
    </row>
    <row r="677" spans="1:34" s="536" customFormat="1" ht="12" x14ac:dyDescent="0.2">
      <c r="A677" s="569"/>
      <c r="B677" s="671"/>
      <c r="C677" s="665" t="s">
        <v>1658</v>
      </c>
      <c r="D677" s="666"/>
      <c r="E677" s="666"/>
      <c r="F677" s="563"/>
      <c r="G677" s="563"/>
      <c r="H677" s="563"/>
      <c r="I677" s="563"/>
      <c r="J677" s="566"/>
      <c r="K677" s="563"/>
      <c r="L677" s="566"/>
      <c r="M677" s="565"/>
      <c r="N677" s="564"/>
      <c r="V677" s="674"/>
      <c r="W677" s="675"/>
      <c r="X677" s="675"/>
      <c r="AD677" s="675"/>
      <c r="AE677" s="675"/>
      <c r="AG677" s="675"/>
      <c r="AH677" s="680"/>
    </row>
    <row r="678" spans="1:34" s="536" customFormat="1" ht="12" x14ac:dyDescent="0.2">
      <c r="A678" s="676"/>
      <c r="B678" s="664"/>
      <c r="C678" s="1822" t="s">
        <v>5572</v>
      </c>
      <c r="D678" s="1822"/>
      <c r="E678" s="1822"/>
      <c r="F678" s="1822"/>
      <c r="G678" s="1822"/>
      <c r="H678" s="1822"/>
      <c r="I678" s="1822"/>
      <c r="J678" s="1822"/>
      <c r="K678" s="1822"/>
      <c r="L678" s="1822"/>
      <c r="M678" s="1822"/>
      <c r="N678" s="1827"/>
      <c r="V678" s="674"/>
      <c r="W678" s="675"/>
      <c r="X678" s="675"/>
      <c r="Y678" s="537" t="s">
        <v>5572</v>
      </c>
      <c r="AD678" s="675"/>
      <c r="AE678" s="675"/>
      <c r="AG678" s="675"/>
      <c r="AH678" s="680"/>
    </row>
    <row r="679" spans="1:34" s="536" customFormat="1" ht="22.5" x14ac:dyDescent="0.2">
      <c r="A679" s="609"/>
      <c r="B679" s="552" t="s">
        <v>718</v>
      </c>
      <c r="C679" s="1822" t="s">
        <v>719</v>
      </c>
      <c r="D679" s="1822"/>
      <c r="E679" s="1822"/>
      <c r="F679" s="1822"/>
      <c r="G679" s="1822"/>
      <c r="H679" s="1822"/>
      <c r="I679" s="1822"/>
      <c r="J679" s="1822"/>
      <c r="K679" s="1822"/>
      <c r="L679" s="1822"/>
      <c r="M679" s="1822"/>
      <c r="N679" s="1827"/>
      <c r="V679" s="674"/>
      <c r="W679" s="675"/>
      <c r="X679" s="675"/>
      <c r="Z679" s="537" t="s">
        <v>719</v>
      </c>
      <c r="AD679" s="675"/>
      <c r="AE679" s="675"/>
      <c r="AG679" s="675"/>
      <c r="AH679" s="680"/>
    </row>
    <row r="680" spans="1:34" s="536" customFormat="1" ht="33.75" x14ac:dyDescent="0.2">
      <c r="A680" s="575" t="s">
        <v>897</v>
      </c>
      <c r="B680" s="670" t="s">
        <v>5573</v>
      </c>
      <c r="C680" s="1823" t="s">
        <v>5574</v>
      </c>
      <c r="D680" s="1823"/>
      <c r="E680" s="1823"/>
      <c r="F680" s="573" t="s">
        <v>483</v>
      </c>
      <c r="G680" s="573"/>
      <c r="H680" s="573"/>
      <c r="I680" s="573" t="s">
        <v>5575</v>
      </c>
      <c r="J680" s="572">
        <v>1997.63</v>
      </c>
      <c r="K680" s="573" t="s">
        <v>716</v>
      </c>
      <c r="L680" s="572">
        <v>29720.84</v>
      </c>
      <c r="M680" s="571">
        <v>9.7899999999999991</v>
      </c>
      <c r="N680" s="570">
        <v>290967</v>
      </c>
      <c r="V680" s="674"/>
      <c r="W680" s="675"/>
      <c r="X680" s="675" t="s">
        <v>5574</v>
      </c>
      <c r="AD680" s="675"/>
      <c r="AE680" s="675"/>
      <c r="AG680" s="675"/>
      <c r="AH680" s="680"/>
    </row>
    <row r="681" spans="1:34" s="536" customFormat="1" ht="12" x14ac:dyDescent="0.2">
      <c r="A681" s="569"/>
      <c r="B681" s="671"/>
      <c r="C681" s="665" t="s">
        <v>1658</v>
      </c>
      <c r="D681" s="666"/>
      <c r="E681" s="666"/>
      <c r="F681" s="563"/>
      <c r="G681" s="563"/>
      <c r="H681" s="563"/>
      <c r="I681" s="563"/>
      <c r="J681" s="566"/>
      <c r="K681" s="563"/>
      <c r="L681" s="566"/>
      <c r="M681" s="565"/>
      <c r="N681" s="564"/>
      <c r="V681" s="674"/>
      <c r="W681" s="675"/>
      <c r="X681" s="675"/>
      <c r="AD681" s="675"/>
      <c r="AE681" s="675"/>
      <c r="AG681" s="675"/>
      <c r="AH681" s="680"/>
    </row>
    <row r="682" spans="1:34" s="536" customFormat="1" ht="12" x14ac:dyDescent="0.2">
      <c r="A682" s="676"/>
      <c r="B682" s="664"/>
      <c r="C682" s="1822" t="s">
        <v>5576</v>
      </c>
      <c r="D682" s="1822"/>
      <c r="E682" s="1822"/>
      <c r="F682" s="1822"/>
      <c r="G682" s="1822"/>
      <c r="H682" s="1822"/>
      <c r="I682" s="1822"/>
      <c r="J682" s="1822"/>
      <c r="K682" s="1822"/>
      <c r="L682" s="1822"/>
      <c r="M682" s="1822"/>
      <c r="N682" s="1827"/>
      <c r="V682" s="674"/>
      <c r="W682" s="675"/>
      <c r="X682" s="675"/>
      <c r="Y682" s="537" t="s">
        <v>5576</v>
      </c>
      <c r="AD682" s="675"/>
      <c r="AE682" s="675"/>
      <c r="AG682" s="675"/>
      <c r="AH682" s="680"/>
    </row>
    <row r="683" spans="1:34" s="536" customFormat="1" ht="22.5" x14ac:dyDescent="0.2">
      <c r="A683" s="609"/>
      <c r="B683" s="552" t="s">
        <v>718</v>
      </c>
      <c r="C683" s="1822" t="s">
        <v>719</v>
      </c>
      <c r="D683" s="1822"/>
      <c r="E683" s="1822"/>
      <c r="F683" s="1822"/>
      <c r="G683" s="1822"/>
      <c r="H683" s="1822"/>
      <c r="I683" s="1822"/>
      <c r="J683" s="1822"/>
      <c r="K683" s="1822"/>
      <c r="L683" s="1822"/>
      <c r="M683" s="1822"/>
      <c r="N683" s="1827"/>
      <c r="V683" s="674"/>
      <c r="W683" s="675"/>
      <c r="X683" s="675"/>
      <c r="Z683" s="537" t="s">
        <v>719</v>
      </c>
      <c r="AD683" s="675"/>
      <c r="AE683" s="675"/>
      <c r="AG683" s="675"/>
      <c r="AH683" s="680"/>
    </row>
    <row r="684" spans="1:34" s="536" customFormat="1" ht="33.75" x14ac:dyDescent="0.2">
      <c r="A684" s="575" t="s">
        <v>817</v>
      </c>
      <c r="B684" s="670" t="s">
        <v>5577</v>
      </c>
      <c r="C684" s="1823" t="s">
        <v>5578</v>
      </c>
      <c r="D684" s="1823"/>
      <c r="E684" s="1823"/>
      <c r="F684" s="573" t="s">
        <v>483</v>
      </c>
      <c r="G684" s="573"/>
      <c r="H684" s="573"/>
      <c r="I684" s="573" t="s">
        <v>5579</v>
      </c>
      <c r="J684" s="572">
        <v>7345.81</v>
      </c>
      <c r="K684" s="573" t="s">
        <v>716</v>
      </c>
      <c r="L684" s="572">
        <v>691657.51</v>
      </c>
      <c r="M684" s="571">
        <v>9.7899999999999991</v>
      </c>
      <c r="N684" s="570">
        <v>6771327</v>
      </c>
      <c r="V684" s="674"/>
      <c r="W684" s="675"/>
      <c r="X684" s="675" t="s">
        <v>5578</v>
      </c>
      <c r="AD684" s="675"/>
      <c r="AE684" s="675"/>
      <c r="AG684" s="675"/>
      <c r="AH684" s="680"/>
    </row>
    <row r="685" spans="1:34" s="536" customFormat="1" ht="12" x14ac:dyDescent="0.2">
      <c r="A685" s="569"/>
      <c r="B685" s="671"/>
      <c r="C685" s="665" t="s">
        <v>1658</v>
      </c>
      <c r="D685" s="666"/>
      <c r="E685" s="666"/>
      <c r="F685" s="563"/>
      <c r="G685" s="563"/>
      <c r="H685" s="563"/>
      <c r="I685" s="563"/>
      <c r="J685" s="566"/>
      <c r="K685" s="563"/>
      <c r="L685" s="566"/>
      <c r="M685" s="565"/>
      <c r="N685" s="564"/>
      <c r="V685" s="674"/>
      <c r="W685" s="675"/>
      <c r="X685" s="675"/>
      <c r="AD685" s="675"/>
      <c r="AE685" s="675"/>
      <c r="AG685" s="675"/>
      <c r="AH685" s="680"/>
    </row>
    <row r="686" spans="1:34" s="536" customFormat="1" ht="12" x14ac:dyDescent="0.2">
      <c r="A686" s="676"/>
      <c r="B686" s="664"/>
      <c r="C686" s="1822" t="s">
        <v>5580</v>
      </c>
      <c r="D686" s="1822"/>
      <c r="E686" s="1822"/>
      <c r="F686" s="1822"/>
      <c r="G686" s="1822"/>
      <c r="H686" s="1822"/>
      <c r="I686" s="1822"/>
      <c r="J686" s="1822"/>
      <c r="K686" s="1822"/>
      <c r="L686" s="1822"/>
      <c r="M686" s="1822"/>
      <c r="N686" s="1827"/>
      <c r="V686" s="674"/>
      <c r="W686" s="675"/>
      <c r="X686" s="675"/>
      <c r="Y686" s="537" t="s">
        <v>5580</v>
      </c>
      <c r="AD686" s="675"/>
      <c r="AE686" s="675"/>
      <c r="AG686" s="675"/>
      <c r="AH686" s="680"/>
    </row>
    <row r="687" spans="1:34" s="536" customFormat="1" ht="22.5" x14ac:dyDescent="0.2">
      <c r="A687" s="609"/>
      <c r="B687" s="552" t="s">
        <v>718</v>
      </c>
      <c r="C687" s="1822" t="s">
        <v>719</v>
      </c>
      <c r="D687" s="1822"/>
      <c r="E687" s="1822"/>
      <c r="F687" s="1822"/>
      <c r="G687" s="1822"/>
      <c r="H687" s="1822"/>
      <c r="I687" s="1822"/>
      <c r="J687" s="1822"/>
      <c r="K687" s="1822"/>
      <c r="L687" s="1822"/>
      <c r="M687" s="1822"/>
      <c r="N687" s="1827"/>
      <c r="V687" s="674"/>
      <c r="W687" s="675"/>
      <c r="X687" s="675"/>
      <c r="Z687" s="537" t="s">
        <v>719</v>
      </c>
      <c r="AD687" s="675"/>
      <c r="AE687" s="675"/>
      <c r="AG687" s="675"/>
      <c r="AH687" s="680"/>
    </row>
    <row r="688" spans="1:34" s="536" customFormat="1" ht="33.75" x14ac:dyDescent="0.2">
      <c r="A688" s="575" t="s">
        <v>538</v>
      </c>
      <c r="B688" s="670" t="s">
        <v>5581</v>
      </c>
      <c r="C688" s="1823" t="s">
        <v>5582</v>
      </c>
      <c r="D688" s="1823"/>
      <c r="E688" s="1823"/>
      <c r="F688" s="573" t="s">
        <v>483</v>
      </c>
      <c r="G688" s="573"/>
      <c r="H688" s="573"/>
      <c r="I688" s="573" t="s">
        <v>2336</v>
      </c>
      <c r="J688" s="572">
        <v>22.1</v>
      </c>
      <c r="K688" s="573" t="s">
        <v>716</v>
      </c>
      <c r="L688" s="572">
        <v>46.99</v>
      </c>
      <c r="M688" s="571">
        <v>9.7899999999999991</v>
      </c>
      <c r="N688" s="570">
        <v>460</v>
      </c>
      <c r="V688" s="674"/>
      <c r="W688" s="675"/>
      <c r="X688" s="675" t="s">
        <v>5582</v>
      </c>
      <c r="AD688" s="675"/>
      <c r="AE688" s="675"/>
      <c r="AG688" s="675"/>
      <c r="AH688" s="680"/>
    </row>
    <row r="689" spans="1:34" s="536" customFormat="1" ht="12" x14ac:dyDescent="0.2">
      <c r="A689" s="569"/>
      <c r="B689" s="671"/>
      <c r="C689" s="665" t="s">
        <v>1658</v>
      </c>
      <c r="D689" s="666"/>
      <c r="E689" s="666"/>
      <c r="F689" s="563"/>
      <c r="G689" s="563"/>
      <c r="H689" s="563"/>
      <c r="I689" s="563"/>
      <c r="J689" s="566"/>
      <c r="K689" s="563"/>
      <c r="L689" s="566"/>
      <c r="M689" s="565"/>
      <c r="N689" s="564"/>
      <c r="V689" s="674"/>
      <c r="W689" s="675"/>
      <c r="X689" s="675"/>
      <c r="AD689" s="675"/>
      <c r="AE689" s="675"/>
      <c r="AG689" s="675"/>
      <c r="AH689" s="680"/>
    </row>
    <row r="690" spans="1:34" s="536" customFormat="1" ht="12" x14ac:dyDescent="0.2">
      <c r="A690" s="676"/>
      <c r="B690" s="664"/>
      <c r="C690" s="1822" t="s">
        <v>2337</v>
      </c>
      <c r="D690" s="1822"/>
      <c r="E690" s="1822"/>
      <c r="F690" s="1822"/>
      <c r="G690" s="1822"/>
      <c r="H690" s="1822"/>
      <c r="I690" s="1822"/>
      <c r="J690" s="1822"/>
      <c r="K690" s="1822"/>
      <c r="L690" s="1822"/>
      <c r="M690" s="1822"/>
      <c r="N690" s="1827"/>
      <c r="V690" s="674"/>
      <c r="W690" s="675"/>
      <c r="X690" s="675"/>
      <c r="Y690" s="537" t="s">
        <v>2337</v>
      </c>
      <c r="AD690" s="675"/>
      <c r="AE690" s="675"/>
      <c r="AG690" s="675"/>
      <c r="AH690" s="680"/>
    </row>
    <row r="691" spans="1:34" s="536" customFormat="1" ht="22.5" x14ac:dyDescent="0.2">
      <c r="A691" s="609"/>
      <c r="B691" s="552" t="s">
        <v>718</v>
      </c>
      <c r="C691" s="1822" t="s">
        <v>719</v>
      </c>
      <c r="D691" s="1822"/>
      <c r="E691" s="1822"/>
      <c r="F691" s="1822"/>
      <c r="G691" s="1822"/>
      <c r="H691" s="1822"/>
      <c r="I691" s="1822"/>
      <c r="J691" s="1822"/>
      <c r="K691" s="1822"/>
      <c r="L691" s="1822"/>
      <c r="M691" s="1822"/>
      <c r="N691" s="1827"/>
      <c r="V691" s="674"/>
      <c r="W691" s="675"/>
      <c r="X691" s="675"/>
      <c r="Z691" s="537" t="s">
        <v>719</v>
      </c>
      <c r="AD691" s="675"/>
      <c r="AE691" s="675"/>
      <c r="AG691" s="675"/>
      <c r="AH691" s="680"/>
    </row>
    <row r="692" spans="1:34" s="536" customFormat="1" ht="45" x14ac:dyDescent="0.2">
      <c r="A692" s="575" t="s">
        <v>966</v>
      </c>
      <c r="B692" s="670" t="s">
        <v>1794</v>
      </c>
      <c r="C692" s="1823" t="s">
        <v>1795</v>
      </c>
      <c r="D692" s="1823"/>
      <c r="E692" s="1823"/>
      <c r="F692" s="573" t="s">
        <v>1110</v>
      </c>
      <c r="G692" s="573"/>
      <c r="H692" s="573"/>
      <c r="I692" s="573" t="s">
        <v>1201</v>
      </c>
      <c r="J692" s="572"/>
      <c r="K692" s="573"/>
      <c r="L692" s="572"/>
      <c r="M692" s="571"/>
      <c r="N692" s="570"/>
      <c r="V692" s="674"/>
      <c r="W692" s="675"/>
      <c r="X692" s="675" t="s">
        <v>1795</v>
      </c>
      <c r="AD692" s="675"/>
      <c r="AE692" s="675"/>
      <c r="AG692" s="675"/>
      <c r="AH692" s="680"/>
    </row>
    <row r="693" spans="1:34" s="536" customFormat="1" ht="12" x14ac:dyDescent="0.2">
      <c r="A693" s="676"/>
      <c r="B693" s="664"/>
      <c r="C693" s="1822" t="s">
        <v>5583</v>
      </c>
      <c r="D693" s="1822"/>
      <c r="E693" s="1822"/>
      <c r="F693" s="1822"/>
      <c r="G693" s="1822"/>
      <c r="H693" s="1822"/>
      <c r="I693" s="1822"/>
      <c r="J693" s="1822"/>
      <c r="K693" s="1822"/>
      <c r="L693" s="1822"/>
      <c r="M693" s="1822"/>
      <c r="N693" s="1827"/>
      <c r="V693" s="674"/>
      <c r="W693" s="675"/>
      <c r="X693" s="675"/>
      <c r="Y693" s="537" t="s">
        <v>5583</v>
      </c>
      <c r="AD693" s="675"/>
      <c r="AE693" s="675"/>
      <c r="AG693" s="675"/>
      <c r="AH693" s="680"/>
    </row>
    <row r="694" spans="1:34" s="536" customFormat="1" ht="33.75" x14ac:dyDescent="0.2">
      <c r="A694" s="609"/>
      <c r="B694" s="552" t="s">
        <v>310</v>
      </c>
      <c r="C694" s="1822" t="s">
        <v>311</v>
      </c>
      <c r="D694" s="1822"/>
      <c r="E694" s="1822"/>
      <c r="F694" s="1822"/>
      <c r="G694" s="1822"/>
      <c r="H694" s="1822"/>
      <c r="I694" s="1822"/>
      <c r="J694" s="1822"/>
      <c r="K694" s="1822"/>
      <c r="L694" s="1822"/>
      <c r="M694" s="1822"/>
      <c r="N694" s="1827"/>
      <c r="V694" s="674"/>
      <c r="W694" s="675"/>
      <c r="X694" s="675"/>
      <c r="Z694" s="537" t="s">
        <v>311</v>
      </c>
      <c r="AD694" s="675"/>
      <c r="AE694" s="675"/>
      <c r="AG694" s="675"/>
      <c r="AH694" s="680"/>
    </row>
    <row r="695" spans="1:34" s="536" customFormat="1" ht="12" x14ac:dyDescent="0.2">
      <c r="A695" s="605"/>
      <c r="B695" s="552" t="s">
        <v>185</v>
      </c>
      <c r="C695" s="1822" t="s">
        <v>312</v>
      </c>
      <c r="D695" s="1822"/>
      <c r="E695" s="1822"/>
      <c r="F695" s="562"/>
      <c r="G695" s="562"/>
      <c r="H695" s="562"/>
      <c r="I695" s="562"/>
      <c r="J695" s="604">
        <v>302.3</v>
      </c>
      <c r="K695" s="562" t="s">
        <v>313</v>
      </c>
      <c r="L695" s="604">
        <v>510.13</v>
      </c>
      <c r="M695" s="603"/>
      <c r="N695" s="602"/>
      <c r="V695" s="674"/>
      <c r="W695" s="675"/>
      <c r="X695" s="675"/>
      <c r="AA695" s="537" t="s">
        <v>312</v>
      </c>
      <c r="AD695" s="675"/>
      <c r="AE695" s="675"/>
      <c r="AG695" s="675"/>
      <c r="AH695" s="680"/>
    </row>
    <row r="696" spans="1:34" s="536" customFormat="1" ht="12" x14ac:dyDescent="0.2">
      <c r="A696" s="605"/>
      <c r="B696" s="552" t="s">
        <v>186</v>
      </c>
      <c r="C696" s="1822" t="s">
        <v>344</v>
      </c>
      <c r="D696" s="1822"/>
      <c r="E696" s="1822"/>
      <c r="F696" s="562"/>
      <c r="G696" s="562"/>
      <c r="H696" s="562"/>
      <c r="I696" s="562"/>
      <c r="J696" s="604">
        <v>5.43</v>
      </c>
      <c r="K696" s="562" t="s">
        <v>313</v>
      </c>
      <c r="L696" s="604">
        <v>9.16</v>
      </c>
      <c r="M696" s="603"/>
      <c r="N696" s="602"/>
      <c r="V696" s="674"/>
      <c r="W696" s="675"/>
      <c r="X696" s="675"/>
      <c r="AA696" s="537" t="s">
        <v>344</v>
      </c>
      <c r="AD696" s="675"/>
      <c r="AE696" s="675"/>
      <c r="AG696" s="675"/>
      <c r="AH696" s="680"/>
    </row>
    <row r="697" spans="1:34" s="536" customFormat="1" ht="12" x14ac:dyDescent="0.2">
      <c r="A697" s="605"/>
      <c r="B697" s="552" t="s">
        <v>187</v>
      </c>
      <c r="C697" s="1822" t="s">
        <v>345</v>
      </c>
      <c r="D697" s="1822"/>
      <c r="E697" s="1822"/>
      <c r="F697" s="562"/>
      <c r="G697" s="562"/>
      <c r="H697" s="562"/>
      <c r="I697" s="562"/>
      <c r="J697" s="604">
        <v>0.76</v>
      </c>
      <c r="K697" s="562" t="s">
        <v>313</v>
      </c>
      <c r="L697" s="604">
        <v>1.28</v>
      </c>
      <c r="M697" s="603"/>
      <c r="N697" s="602"/>
      <c r="V697" s="674"/>
      <c r="W697" s="675"/>
      <c r="X697" s="675"/>
      <c r="AA697" s="537" t="s">
        <v>345</v>
      </c>
      <c r="AD697" s="675"/>
      <c r="AE697" s="675"/>
      <c r="AG697" s="675"/>
      <c r="AH697" s="680"/>
    </row>
    <row r="698" spans="1:34" s="536" customFormat="1" ht="12" x14ac:dyDescent="0.2">
      <c r="A698" s="605"/>
      <c r="B698" s="552" t="s">
        <v>188</v>
      </c>
      <c r="C698" s="1822" t="s">
        <v>475</v>
      </c>
      <c r="D698" s="1822"/>
      <c r="E698" s="1822"/>
      <c r="F698" s="562"/>
      <c r="G698" s="562"/>
      <c r="H698" s="562"/>
      <c r="I698" s="562"/>
      <c r="J698" s="604">
        <v>185.57</v>
      </c>
      <c r="K698" s="562"/>
      <c r="L698" s="604">
        <v>250.52</v>
      </c>
      <c r="M698" s="603"/>
      <c r="N698" s="602"/>
      <c r="V698" s="674"/>
      <c r="W698" s="675"/>
      <c r="X698" s="675"/>
      <c r="AA698" s="537" t="s">
        <v>475</v>
      </c>
      <c r="AD698" s="675"/>
      <c r="AE698" s="675"/>
      <c r="AG698" s="675"/>
      <c r="AH698" s="680"/>
    </row>
    <row r="699" spans="1:34" s="536" customFormat="1" ht="12" x14ac:dyDescent="0.2">
      <c r="A699" s="605"/>
      <c r="B699" s="552"/>
      <c r="C699" s="1822" t="s">
        <v>314</v>
      </c>
      <c r="D699" s="1822"/>
      <c r="E699" s="1822"/>
      <c r="F699" s="562" t="s">
        <v>315</v>
      </c>
      <c r="G699" s="562" t="s">
        <v>1796</v>
      </c>
      <c r="H699" s="562" t="s">
        <v>313</v>
      </c>
      <c r="I699" s="562" t="s">
        <v>5584</v>
      </c>
      <c r="J699" s="604"/>
      <c r="K699" s="562"/>
      <c r="L699" s="604"/>
      <c r="M699" s="603"/>
      <c r="N699" s="602"/>
      <c r="V699" s="674"/>
      <c r="W699" s="675"/>
      <c r="X699" s="675"/>
      <c r="AB699" s="537" t="s">
        <v>314</v>
      </c>
      <c r="AD699" s="675"/>
      <c r="AE699" s="675"/>
      <c r="AG699" s="675"/>
      <c r="AH699" s="680"/>
    </row>
    <row r="700" spans="1:34" s="536" customFormat="1" ht="12" x14ac:dyDescent="0.2">
      <c r="A700" s="605"/>
      <c r="B700" s="552"/>
      <c r="C700" s="1822" t="s">
        <v>348</v>
      </c>
      <c r="D700" s="1822"/>
      <c r="E700" s="1822"/>
      <c r="F700" s="562" t="s">
        <v>315</v>
      </c>
      <c r="G700" s="562" t="s">
        <v>1554</v>
      </c>
      <c r="H700" s="562" t="s">
        <v>313</v>
      </c>
      <c r="I700" s="562" t="s">
        <v>2745</v>
      </c>
      <c r="J700" s="604"/>
      <c r="K700" s="562"/>
      <c r="L700" s="604"/>
      <c r="M700" s="603"/>
      <c r="N700" s="602"/>
      <c r="V700" s="674"/>
      <c r="W700" s="675"/>
      <c r="X700" s="675"/>
      <c r="AB700" s="537" t="s">
        <v>348</v>
      </c>
      <c r="AD700" s="675"/>
      <c r="AE700" s="675"/>
      <c r="AG700" s="675"/>
      <c r="AH700" s="680"/>
    </row>
    <row r="701" spans="1:34" s="536" customFormat="1" ht="12" x14ac:dyDescent="0.2">
      <c r="A701" s="605"/>
      <c r="B701" s="552"/>
      <c r="C701" s="1828" t="s">
        <v>318</v>
      </c>
      <c r="D701" s="1828"/>
      <c r="E701" s="1828"/>
      <c r="F701" s="608"/>
      <c r="G701" s="608"/>
      <c r="H701" s="608"/>
      <c r="I701" s="608"/>
      <c r="J701" s="607">
        <v>493.3</v>
      </c>
      <c r="K701" s="608"/>
      <c r="L701" s="607">
        <v>769.81</v>
      </c>
      <c r="M701" s="601"/>
      <c r="N701" s="606"/>
      <c r="V701" s="674"/>
      <c r="W701" s="675"/>
      <c r="X701" s="675"/>
      <c r="AC701" s="537" t="s">
        <v>318</v>
      </c>
      <c r="AD701" s="675"/>
      <c r="AE701" s="675"/>
      <c r="AG701" s="675"/>
      <c r="AH701" s="680"/>
    </row>
    <row r="702" spans="1:34" s="536" customFormat="1" ht="12" x14ac:dyDescent="0.2">
      <c r="A702" s="605"/>
      <c r="B702" s="552"/>
      <c r="C702" s="1822" t="s">
        <v>319</v>
      </c>
      <c r="D702" s="1822"/>
      <c r="E702" s="1822"/>
      <c r="F702" s="562"/>
      <c r="G702" s="562"/>
      <c r="H702" s="562"/>
      <c r="I702" s="562"/>
      <c r="J702" s="604"/>
      <c r="K702" s="562"/>
      <c r="L702" s="604">
        <v>511.41</v>
      </c>
      <c r="M702" s="603"/>
      <c r="N702" s="602"/>
      <c r="V702" s="674"/>
      <c r="W702" s="675"/>
      <c r="X702" s="675"/>
      <c r="AB702" s="537" t="s">
        <v>319</v>
      </c>
      <c r="AD702" s="675"/>
      <c r="AE702" s="675"/>
      <c r="AG702" s="675"/>
      <c r="AH702" s="680"/>
    </row>
    <row r="703" spans="1:34" s="536" customFormat="1" ht="33.75" x14ac:dyDescent="0.2">
      <c r="A703" s="605"/>
      <c r="B703" s="552" t="s">
        <v>1631</v>
      </c>
      <c r="C703" s="1822" t="s">
        <v>1632</v>
      </c>
      <c r="D703" s="1822"/>
      <c r="E703" s="1822"/>
      <c r="F703" s="562" t="s">
        <v>322</v>
      </c>
      <c r="G703" s="562" t="s">
        <v>1633</v>
      </c>
      <c r="H703" s="562"/>
      <c r="I703" s="562" t="s">
        <v>1633</v>
      </c>
      <c r="J703" s="604"/>
      <c r="K703" s="562"/>
      <c r="L703" s="604">
        <v>496.07</v>
      </c>
      <c r="M703" s="603"/>
      <c r="N703" s="602"/>
      <c r="V703" s="674"/>
      <c r="W703" s="675"/>
      <c r="X703" s="675"/>
      <c r="AB703" s="537" t="s">
        <v>1632</v>
      </c>
      <c r="AD703" s="675"/>
      <c r="AE703" s="675"/>
      <c r="AG703" s="675"/>
      <c r="AH703" s="680"/>
    </row>
    <row r="704" spans="1:34" s="536" customFormat="1" ht="33.75" x14ac:dyDescent="0.2">
      <c r="A704" s="605"/>
      <c r="B704" s="552" t="s">
        <v>1634</v>
      </c>
      <c r="C704" s="1822" t="s">
        <v>1635</v>
      </c>
      <c r="D704" s="1822"/>
      <c r="E704" s="1822"/>
      <c r="F704" s="562" t="s">
        <v>322</v>
      </c>
      <c r="G704" s="562" t="s">
        <v>786</v>
      </c>
      <c r="H704" s="562"/>
      <c r="I704" s="562" t="s">
        <v>786</v>
      </c>
      <c r="J704" s="604"/>
      <c r="K704" s="562"/>
      <c r="L704" s="604">
        <v>260.82</v>
      </c>
      <c r="M704" s="603"/>
      <c r="N704" s="602"/>
      <c r="V704" s="674"/>
      <c r="W704" s="675"/>
      <c r="X704" s="675"/>
      <c r="AB704" s="537" t="s">
        <v>1635</v>
      </c>
      <c r="AD704" s="675"/>
      <c r="AE704" s="675"/>
      <c r="AG704" s="675"/>
      <c r="AH704" s="680"/>
    </row>
    <row r="705" spans="1:34" s="536" customFormat="1" ht="12" x14ac:dyDescent="0.2">
      <c r="A705" s="569"/>
      <c r="B705" s="671"/>
      <c r="C705" s="1823" t="s">
        <v>327</v>
      </c>
      <c r="D705" s="1823"/>
      <c r="E705" s="1823"/>
      <c r="F705" s="573"/>
      <c r="G705" s="573"/>
      <c r="H705" s="573"/>
      <c r="I705" s="573"/>
      <c r="J705" s="572"/>
      <c r="K705" s="573"/>
      <c r="L705" s="572">
        <v>1526.7</v>
      </c>
      <c r="M705" s="601"/>
      <c r="N705" s="570"/>
      <c r="V705" s="674"/>
      <c r="W705" s="675"/>
      <c r="X705" s="675"/>
      <c r="AD705" s="675" t="s">
        <v>327</v>
      </c>
      <c r="AE705" s="675"/>
      <c r="AG705" s="675"/>
      <c r="AH705" s="680"/>
    </row>
    <row r="706" spans="1:34" s="536" customFormat="1" ht="33.75" x14ac:dyDescent="0.2">
      <c r="A706" s="575" t="s">
        <v>2359</v>
      </c>
      <c r="B706" s="670" t="s">
        <v>1798</v>
      </c>
      <c r="C706" s="1823" t="s">
        <v>5585</v>
      </c>
      <c r="D706" s="1823"/>
      <c r="E706" s="1823"/>
      <c r="F706" s="573" t="s">
        <v>1687</v>
      </c>
      <c r="G706" s="573"/>
      <c r="H706" s="573"/>
      <c r="I706" s="573" t="s">
        <v>5586</v>
      </c>
      <c r="J706" s="572">
        <v>4999.13</v>
      </c>
      <c r="K706" s="573"/>
      <c r="L706" s="572">
        <v>688.38</v>
      </c>
      <c r="M706" s="571"/>
      <c r="N706" s="570"/>
      <c r="V706" s="674"/>
      <c r="W706" s="675"/>
      <c r="X706" s="675" t="s">
        <v>5585</v>
      </c>
      <c r="AD706" s="675"/>
      <c r="AE706" s="675"/>
      <c r="AG706" s="675"/>
      <c r="AH706" s="680"/>
    </row>
    <row r="707" spans="1:34" s="536" customFormat="1" ht="12" x14ac:dyDescent="0.2">
      <c r="A707" s="569"/>
      <c r="B707" s="671"/>
      <c r="C707" s="665" t="s">
        <v>1658</v>
      </c>
      <c r="D707" s="666"/>
      <c r="E707" s="666"/>
      <c r="F707" s="563"/>
      <c r="G707" s="563"/>
      <c r="H707" s="563"/>
      <c r="I707" s="563"/>
      <c r="J707" s="566"/>
      <c r="K707" s="563"/>
      <c r="L707" s="566"/>
      <c r="M707" s="565"/>
      <c r="N707" s="564"/>
      <c r="V707" s="674"/>
      <c r="W707" s="675"/>
      <c r="X707" s="675"/>
      <c r="AD707" s="675"/>
      <c r="AE707" s="675"/>
      <c r="AG707" s="675"/>
      <c r="AH707" s="680"/>
    </row>
    <row r="708" spans="1:34" s="536" customFormat="1" ht="12" x14ac:dyDescent="0.2">
      <c r="A708" s="676"/>
      <c r="B708" s="664"/>
      <c r="C708" s="1822" t="s">
        <v>5587</v>
      </c>
      <c r="D708" s="1822"/>
      <c r="E708" s="1822"/>
      <c r="F708" s="1822"/>
      <c r="G708" s="1822"/>
      <c r="H708" s="1822"/>
      <c r="I708" s="1822"/>
      <c r="J708" s="1822"/>
      <c r="K708" s="1822"/>
      <c r="L708" s="1822"/>
      <c r="M708" s="1822"/>
      <c r="N708" s="1827"/>
      <c r="V708" s="674"/>
      <c r="W708" s="675"/>
      <c r="X708" s="675"/>
      <c r="Y708" s="537" t="s">
        <v>5587</v>
      </c>
      <c r="AD708" s="675"/>
      <c r="AE708" s="675"/>
      <c r="AG708" s="675"/>
      <c r="AH708" s="680"/>
    </row>
    <row r="709" spans="1:34" s="536" customFormat="1" ht="67.5" x14ac:dyDescent="0.2">
      <c r="A709" s="575" t="s">
        <v>2363</v>
      </c>
      <c r="B709" s="670" t="s">
        <v>5588</v>
      </c>
      <c r="C709" s="1823" t="s">
        <v>5589</v>
      </c>
      <c r="D709" s="1823"/>
      <c r="E709" s="1823"/>
      <c r="F709" s="573" t="s">
        <v>617</v>
      </c>
      <c r="G709" s="573"/>
      <c r="H709" s="573"/>
      <c r="I709" s="573" t="s">
        <v>194</v>
      </c>
      <c r="J709" s="572"/>
      <c r="K709" s="573"/>
      <c r="L709" s="572"/>
      <c r="M709" s="571"/>
      <c r="N709" s="570"/>
      <c r="V709" s="674"/>
      <c r="W709" s="675"/>
      <c r="X709" s="675" t="s">
        <v>5589</v>
      </c>
      <c r="AD709" s="675"/>
      <c r="AE709" s="675"/>
      <c r="AG709" s="675"/>
      <c r="AH709" s="680"/>
    </row>
    <row r="710" spans="1:34" s="536" customFormat="1" ht="33.75" x14ac:dyDescent="0.2">
      <c r="A710" s="609"/>
      <c r="B710" s="552" t="s">
        <v>310</v>
      </c>
      <c r="C710" s="1822" t="s">
        <v>311</v>
      </c>
      <c r="D710" s="1822"/>
      <c r="E710" s="1822"/>
      <c r="F710" s="1822"/>
      <c r="G710" s="1822"/>
      <c r="H710" s="1822"/>
      <c r="I710" s="1822"/>
      <c r="J710" s="1822"/>
      <c r="K710" s="1822"/>
      <c r="L710" s="1822"/>
      <c r="M710" s="1822"/>
      <c r="N710" s="1827"/>
      <c r="V710" s="674"/>
      <c r="W710" s="675"/>
      <c r="X710" s="675"/>
      <c r="Z710" s="537" t="s">
        <v>311</v>
      </c>
      <c r="AD710" s="675"/>
      <c r="AE710" s="675"/>
      <c r="AG710" s="675"/>
      <c r="AH710" s="680"/>
    </row>
    <row r="711" spans="1:34" s="536" customFormat="1" ht="12" x14ac:dyDescent="0.2">
      <c r="A711" s="605"/>
      <c r="B711" s="552" t="s">
        <v>185</v>
      </c>
      <c r="C711" s="1822" t="s">
        <v>312</v>
      </c>
      <c r="D711" s="1822"/>
      <c r="E711" s="1822"/>
      <c r="F711" s="562"/>
      <c r="G711" s="562"/>
      <c r="H711" s="562"/>
      <c r="I711" s="562"/>
      <c r="J711" s="604">
        <v>10.34</v>
      </c>
      <c r="K711" s="562" t="s">
        <v>313</v>
      </c>
      <c r="L711" s="604">
        <v>129.25</v>
      </c>
      <c r="M711" s="603"/>
      <c r="N711" s="602"/>
      <c r="V711" s="674"/>
      <c r="W711" s="675"/>
      <c r="X711" s="675"/>
      <c r="AA711" s="537" t="s">
        <v>312</v>
      </c>
      <c r="AD711" s="675"/>
      <c r="AE711" s="675"/>
      <c r="AG711" s="675"/>
      <c r="AH711" s="680"/>
    </row>
    <row r="712" spans="1:34" s="536" customFormat="1" ht="12" x14ac:dyDescent="0.2">
      <c r="A712" s="605"/>
      <c r="B712" s="552" t="s">
        <v>188</v>
      </c>
      <c r="C712" s="1822" t="s">
        <v>475</v>
      </c>
      <c r="D712" s="1822"/>
      <c r="E712" s="1822"/>
      <c r="F712" s="562"/>
      <c r="G712" s="562"/>
      <c r="H712" s="562"/>
      <c r="I712" s="562"/>
      <c r="J712" s="604">
        <v>4.05</v>
      </c>
      <c r="K712" s="562"/>
      <c r="L712" s="604">
        <v>40.5</v>
      </c>
      <c r="M712" s="603"/>
      <c r="N712" s="602"/>
      <c r="V712" s="674"/>
      <c r="W712" s="675"/>
      <c r="X712" s="675"/>
      <c r="AA712" s="537" t="s">
        <v>475</v>
      </c>
      <c r="AD712" s="675"/>
      <c r="AE712" s="675"/>
      <c r="AG712" s="675"/>
      <c r="AH712" s="680"/>
    </row>
    <row r="713" spans="1:34" s="536" customFormat="1" ht="12" x14ac:dyDescent="0.2">
      <c r="A713" s="605"/>
      <c r="B713" s="552"/>
      <c r="C713" s="1822" t="s">
        <v>314</v>
      </c>
      <c r="D713" s="1822"/>
      <c r="E713" s="1822"/>
      <c r="F713" s="562" t="s">
        <v>315</v>
      </c>
      <c r="G713" s="562" t="s">
        <v>3784</v>
      </c>
      <c r="H713" s="562" t="s">
        <v>313</v>
      </c>
      <c r="I713" s="562" t="s">
        <v>5590</v>
      </c>
      <c r="J713" s="604"/>
      <c r="K713" s="562"/>
      <c r="L713" s="604"/>
      <c r="M713" s="603"/>
      <c r="N713" s="602"/>
      <c r="V713" s="674"/>
      <c r="W713" s="675"/>
      <c r="X713" s="675"/>
      <c r="AB713" s="537" t="s">
        <v>314</v>
      </c>
      <c r="AD713" s="675"/>
      <c r="AE713" s="675"/>
      <c r="AG713" s="675"/>
      <c r="AH713" s="680"/>
    </row>
    <row r="714" spans="1:34" s="536" customFormat="1" ht="12" x14ac:dyDescent="0.2">
      <c r="A714" s="605"/>
      <c r="B714" s="552"/>
      <c r="C714" s="1828" t="s">
        <v>318</v>
      </c>
      <c r="D714" s="1828"/>
      <c r="E714" s="1828"/>
      <c r="F714" s="608"/>
      <c r="G714" s="608"/>
      <c r="H714" s="608"/>
      <c r="I714" s="608"/>
      <c r="J714" s="607">
        <v>14.39</v>
      </c>
      <c r="K714" s="608"/>
      <c r="L714" s="607">
        <v>169.75</v>
      </c>
      <c r="M714" s="601"/>
      <c r="N714" s="606"/>
      <c r="V714" s="674"/>
      <c r="W714" s="675"/>
      <c r="X714" s="675"/>
      <c r="AC714" s="537" t="s">
        <v>318</v>
      </c>
      <c r="AD714" s="675"/>
      <c r="AE714" s="675"/>
      <c r="AG714" s="675"/>
      <c r="AH714" s="680"/>
    </row>
    <row r="715" spans="1:34" s="536" customFormat="1" ht="12" x14ac:dyDescent="0.2">
      <c r="A715" s="605"/>
      <c r="B715" s="552"/>
      <c r="C715" s="1822" t="s">
        <v>319</v>
      </c>
      <c r="D715" s="1822"/>
      <c r="E715" s="1822"/>
      <c r="F715" s="562"/>
      <c r="G715" s="562"/>
      <c r="H715" s="562"/>
      <c r="I715" s="562"/>
      <c r="J715" s="604"/>
      <c r="K715" s="562"/>
      <c r="L715" s="604">
        <v>129.25</v>
      </c>
      <c r="M715" s="603"/>
      <c r="N715" s="602"/>
      <c r="V715" s="674"/>
      <c r="W715" s="675"/>
      <c r="X715" s="675"/>
      <c r="AB715" s="537" t="s">
        <v>319</v>
      </c>
      <c r="AD715" s="675"/>
      <c r="AE715" s="675"/>
      <c r="AG715" s="675"/>
      <c r="AH715" s="680"/>
    </row>
    <row r="716" spans="1:34" s="536" customFormat="1" ht="33.75" x14ac:dyDescent="0.2">
      <c r="A716" s="605"/>
      <c r="B716" s="552" t="s">
        <v>1631</v>
      </c>
      <c r="C716" s="1822" t="s">
        <v>1632</v>
      </c>
      <c r="D716" s="1822"/>
      <c r="E716" s="1822"/>
      <c r="F716" s="562" t="s">
        <v>322</v>
      </c>
      <c r="G716" s="562" t="s">
        <v>1633</v>
      </c>
      <c r="H716" s="562"/>
      <c r="I716" s="562" t="s">
        <v>1633</v>
      </c>
      <c r="J716" s="604"/>
      <c r="K716" s="562"/>
      <c r="L716" s="604">
        <v>125.37</v>
      </c>
      <c r="M716" s="603"/>
      <c r="N716" s="602"/>
      <c r="V716" s="674"/>
      <c r="W716" s="675"/>
      <c r="X716" s="675"/>
      <c r="AB716" s="537" t="s">
        <v>1632</v>
      </c>
      <c r="AD716" s="675"/>
      <c r="AE716" s="675"/>
      <c r="AG716" s="675"/>
      <c r="AH716" s="680"/>
    </row>
    <row r="717" spans="1:34" s="536" customFormat="1" ht="33.75" x14ac:dyDescent="0.2">
      <c r="A717" s="605"/>
      <c r="B717" s="552" t="s">
        <v>1634</v>
      </c>
      <c r="C717" s="1822" t="s">
        <v>1635</v>
      </c>
      <c r="D717" s="1822"/>
      <c r="E717" s="1822"/>
      <c r="F717" s="562" t="s">
        <v>322</v>
      </c>
      <c r="G717" s="562" t="s">
        <v>786</v>
      </c>
      <c r="H717" s="562"/>
      <c r="I717" s="562" t="s">
        <v>786</v>
      </c>
      <c r="J717" s="604"/>
      <c r="K717" s="562"/>
      <c r="L717" s="604">
        <v>65.92</v>
      </c>
      <c r="M717" s="603"/>
      <c r="N717" s="602"/>
      <c r="V717" s="674"/>
      <c r="W717" s="675"/>
      <c r="X717" s="675"/>
      <c r="AB717" s="537" t="s">
        <v>1635</v>
      </c>
      <c r="AD717" s="675"/>
      <c r="AE717" s="675"/>
      <c r="AG717" s="675"/>
      <c r="AH717" s="680"/>
    </row>
    <row r="718" spans="1:34" s="536" customFormat="1" ht="12" x14ac:dyDescent="0.2">
      <c r="A718" s="569"/>
      <c r="B718" s="671"/>
      <c r="C718" s="1823" t="s">
        <v>327</v>
      </c>
      <c r="D718" s="1823"/>
      <c r="E718" s="1823"/>
      <c r="F718" s="573"/>
      <c r="G718" s="573"/>
      <c r="H718" s="573"/>
      <c r="I718" s="573"/>
      <c r="J718" s="572"/>
      <c r="K718" s="573"/>
      <c r="L718" s="572">
        <v>361.04</v>
      </c>
      <c r="M718" s="601"/>
      <c r="N718" s="570"/>
      <c r="V718" s="674"/>
      <c r="W718" s="675"/>
      <c r="X718" s="675"/>
      <c r="AD718" s="675" t="s">
        <v>327</v>
      </c>
      <c r="AE718" s="675"/>
      <c r="AG718" s="675"/>
      <c r="AH718" s="680"/>
    </row>
    <row r="719" spans="1:34" s="536" customFormat="1" ht="33.75" x14ac:dyDescent="0.2">
      <c r="A719" s="575" t="s">
        <v>2368</v>
      </c>
      <c r="B719" s="670" t="s">
        <v>5591</v>
      </c>
      <c r="C719" s="1823" t="s">
        <v>5592</v>
      </c>
      <c r="D719" s="1823"/>
      <c r="E719" s="1823"/>
      <c r="F719" s="573" t="s">
        <v>617</v>
      </c>
      <c r="G719" s="573"/>
      <c r="H719" s="573"/>
      <c r="I719" s="573" t="s">
        <v>194</v>
      </c>
      <c r="J719" s="572">
        <v>2887.5</v>
      </c>
      <c r="K719" s="573" t="s">
        <v>716</v>
      </c>
      <c r="L719" s="572">
        <v>3008.48</v>
      </c>
      <c r="M719" s="571">
        <v>9.7899999999999991</v>
      </c>
      <c r="N719" s="570">
        <v>29453</v>
      </c>
      <c r="V719" s="674"/>
      <c r="W719" s="675"/>
      <c r="X719" s="675" t="s">
        <v>5592</v>
      </c>
      <c r="AD719" s="675"/>
      <c r="AE719" s="675"/>
      <c r="AG719" s="675"/>
      <c r="AH719" s="680"/>
    </row>
    <row r="720" spans="1:34" s="536" customFormat="1" ht="12" x14ac:dyDescent="0.2">
      <c r="A720" s="569"/>
      <c r="B720" s="671"/>
      <c r="C720" s="665" t="s">
        <v>1658</v>
      </c>
      <c r="D720" s="666"/>
      <c r="E720" s="666"/>
      <c r="F720" s="563"/>
      <c r="G720" s="563"/>
      <c r="H720" s="563"/>
      <c r="I720" s="563"/>
      <c r="J720" s="566"/>
      <c r="K720" s="563"/>
      <c r="L720" s="566"/>
      <c r="M720" s="565"/>
      <c r="N720" s="564"/>
      <c r="V720" s="674"/>
      <c r="W720" s="675"/>
      <c r="X720" s="675"/>
      <c r="AD720" s="675"/>
      <c r="AE720" s="675"/>
      <c r="AG720" s="675"/>
      <c r="AH720" s="680"/>
    </row>
    <row r="721" spans="1:34" s="536" customFormat="1" ht="22.5" x14ac:dyDescent="0.2">
      <c r="A721" s="609"/>
      <c r="B721" s="552" t="s">
        <v>718</v>
      </c>
      <c r="C721" s="1822" t="s">
        <v>719</v>
      </c>
      <c r="D721" s="1822"/>
      <c r="E721" s="1822"/>
      <c r="F721" s="1822"/>
      <c r="G721" s="1822"/>
      <c r="H721" s="1822"/>
      <c r="I721" s="1822"/>
      <c r="J721" s="1822"/>
      <c r="K721" s="1822"/>
      <c r="L721" s="1822"/>
      <c r="M721" s="1822"/>
      <c r="N721" s="1827"/>
      <c r="V721" s="674"/>
      <c r="W721" s="675"/>
      <c r="X721" s="675"/>
      <c r="Z721" s="537" t="s">
        <v>719</v>
      </c>
      <c r="AD721" s="675"/>
      <c r="AE721" s="675"/>
      <c r="AG721" s="675"/>
      <c r="AH721" s="680"/>
    </row>
    <row r="722" spans="1:34" s="536" customFormat="1" ht="67.5" x14ac:dyDescent="0.2">
      <c r="A722" s="575" t="s">
        <v>2373</v>
      </c>
      <c r="B722" s="670" t="s">
        <v>5593</v>
      </c>
      <c r="C722" s="1823" t="s">
        <v>5594</v>
      </c>
      <c r="D722" s="1823"/>
      <c r="E722" s="1823"/>
      <c r="F722" s="573" t="s">
        <v>617</v>
      </c>
      <c r="G722" s="573"/>
      <c r="H722" s="573"/>
      <c r="I722" s="573" t="s">
        <v>186</v>
      </c>
      <c r="J722" s="572"/>
      <c r="K722" s="573"/>
      <c r="L722" s="572"/>
      <c r="M722" s="571"/>
      <c r="N722" s="570"/>
      <c r="V722" s="674"/>
      <c r="W722" s="675"/>
      <c r="X722" s="675" t="s">
        <v>5594</v>
      </c>
      <c r="AD722" s="675"/>
      <c r="AE722" s="675"/>
      <c r="AG722" s="675"/>
      <c r="AH722" s="680"/>
    </row>
    <row r="723" spans="1:34" s="536" customFormat="1" ht="33.75" x14ac:dyDescent="0.2">
      <c r="A723" s="609"/>
      <c r="B723" s="552" t="s">
        <v>310</v>
      </c>
      <c r="C723" s="1822" t="s">
        <v>311</v>
      </c>
      <c r="D723" s="1822"/>
      <c r="E723" s="1822"/>
      <c r="F723" s="1822"/>
      <c r="G723" s="1822"/>
      <c r="H723" s="1822"/>
      <c r="I723" s="1822"/>
      <c r="J723" s="1822"/>
      <c r="K723" s="1822"/>
      <c r="L723" s="1822"/>
      <c r="M723" s="1822"/>
      <c r="N723" s="1827"/>
      <c r="V723" s="674"/>
      <c r="W723" s="675"/>
      <c r="X723" s="675"/>
      <c r="Z723" s="537" t="s">
        <v>311</v>
      </c>
      <c r="AD723" s="675"/>
      <c r="AE723" s="675"/>
      <c r="AG723" s="675"/>
      <c r="AH723" s="680"/>
    </row>
    <row r="724" spans="1:34" s="536" customFormat="1" ht="12" x14ac:dyDescent="0.2">
      <c r="A724" s="605"/>
      <c r="B724" s="552" t="s">
        <v>185</v>
      </c>
      <c r="C724" s="1822" t="s">
        <v>312</v>
      </c>
      <c r="D724" s="1822"/>
      <c r="E724" s="1822"/>
      <c r="F724" s="562"/>
      <c r="G724" s="562"/>
      <c r="H724" s="562"/>
      <c r="I724" s="562"/>
      <c r="J724" s="604">
        <v>12.97</v>
      </c>
      <c r="K724" s="562" t="s">
        <v>313</v>
      </c>
      <c r="L724" s="604">
        <v>32.43</v>
      </c>
      <c r="M724" s="603"/>
      <c r="N724" s="602"/>
      <c r="V724" s="674"/>
      <c r="W724" s="675"/>
      <c r="X724" s="675"/>
      <c r="AA724" s="537" t="s">
        <v>312</v>
      </c>
      <c r="AD724" s="675"/>
      <c r="AE724" s="675"/>
      <c r="AG724" s="675"/>
      <c r="AH724" s="680"/>
    </row>
    <row r="725" spans="1:34" s="536" customFormat="1" ht="12" x14ac:dyDescent="0.2">
      <c r="A725" s="605"/>
      <c r="B725" s="552" t="s">
        <v>188</v>
      </c>
      <c r="C725" s="1822" t="s">
        <v>475</v>
      </c>
      <c r="D725" s="1822"/>
      <c r="E725" s="1822"/>
      <c r="F725" s="562"/>
      <c r="G725" s="562"/>
      <c r="H725" s="562"/>
      <c r="I725" s="562"/>
      <c r="J725" s="604">
        <v>4.0999999999999996</v>
      </c>
      <c r="K725" s="562"/>
      <c r="L725" s="604">
        <v>8.1999999999999993</v>
      </c>
      <c r="M725" s="603"/>
      <c r="N725" s="602"/>
      <c r="V725" s="674"/>
      <c r="W725" s="675"/>
      <c r="X725" s="675"/>
      <c r="AA725" s="537" t="s">
        <v>475</v>
      </c>
      <c r="AD725" s="675"/>
      <c r="AE725" s="675"/>
      <c r="AG725" s="675"/>
      <c r="AH725" s="680"/>
    </row>
    <row r="726" spans="1:34" s="536" customFormat="1" ht="12" x14ac:dyDescent="0.2">
      <c r="A726" s="605"/>
      <c r="B726" s="552"/>
      <c r="C726" s="1822" t="s">
        <v>314</v>
      </c>
      <c r="D726" s="1822"/>
      <c r="E726" s="1822"/>
      <c r="F726" s="562" t="s">
        <v>315</v>
      </c>
      <c r="G726" s="562" t="s">
        <v>5595</v>
      </c>
      <c r="H726" s="562" t="s">
        <v>313</v>
      </c>
      <c r="I726" s="562" t="s">
        <v>3713</v>
      </c>
      <c r="J726" s="604"/>
      <c r="K726" s="562"/>
      <c r="L726" s="604"/>
      <c r="M726" s="603"/>
      <c r="N726" s="602"/>
      <c r="V726" s="674"/>
      <c r="W726" s="675"/>
      <c r="X726" s="675"/>
      <c r="AB726" s="537" t="s">
        <v>314</v>
      </c>
      <c r="AD726" s="675"/>
      <c r="AE726" s="675"/>
      <c r="AG726" s="675"/>
      <c r="AH726" s="680"/>
    </row>
    <row r="727" spans="1:34" s="536" customFormat="1" ht="12" x14ac:dyDescent="0.2">
      <c r="A727" s="605"/>
      <c r="B727" s="552"/>
      <c r="C727" s="1828" t="s">
        <v>318</v>
      </c>
      <c r="D727" s="1828"/>
      <c r="E727" s="1828"/>
      <c r="F727" s="608"/>
      <c r="G727" s="608"/>
      <c r="H727" s="608"/>
      <c r="I727" s="608"/>
      <c r="J727" s="607">
        <v>17.07</v>
      </c>
      <c r="K727" s="608"/>
      <c r="L727" s="607">
        <v>40.630000000000003</v>
      </c>
      <c r="M727" s="601"/>
      <c r="N727" s="606"/>
      <c r="V727" s="674"/>
      <c r="W727" s="675"/>
      <c r="X727" s="675"/>
      <c r="AC727" s="537" t="s">
        <v>318</v>
      </c>
      <c r="AD727" s="675"/>
      <c r="AE727" s="675"/>
      <c r="AG727" s="675"/>
      <c r="AH727" s="680"/>
    </row>
    <row r="728" spans="1:34" s="536" customFormat="1" ht="12" x14ac:dyDescent="0.2">
      <c r="A728" s="605"/>
      <c r="B728" s="552"/>
      <c r="C728" s="1822" t="s">
        <v>319</v>
      </c>
      <c r="D728" s="1822"/>
      <c r="E728" s="1822"/>
      <c r="F728" s="562"/>
      <c r="G728" s="562"/>
      <c r="H728" s="562"/>
      <c r="I728" s="562"/>
      <c r="J728" s="604"/>
      <c r="K728" s="562"/>
      <c r="L728" s="604">
        <v>32.43</v>
      </c>
      <c r="M728" s="603"/>
      <c r="N728" s="602"/>
      <c r="V728" s="674"/>
      <c r="W728" s="675"/>
      <c r="X728" s="675"/>
      <c r="AB728" s="537" t="s">
        <v>319</v>
      </c>
      <c r="AD728" s="675"/>
      <c r="AE728" s="675"/>
      <c r="AG728" s="675"/>
      <c r="AH728" s="680"/>
    </row>
    <row r="729" spans="1:34" s="536" customFormat="1" ht="33.75" x14ac:dyDescent="0.2">
      <c r="A729" s="605"/>
      <c r="B729" s="552" t="s">
        <v>1631</v>
      </c>
      <c r="C729" s="1822" t="s">
        <v>1632</v>
      </c>
      <c r="D729" s="1822"/>
      <c r="E729" s="1822"/>
      <c r="F729" s="562" t="s">
        <v>322</v>
      </c>
      <c r="G729" s="562" t="s">
        <v>1633</v>
      </c>
      <c r="H729" s="562"/>
      <c r="I729" s="562" t="s">
        <v>1633</v>
      </c>
      <c r="J729" s="604"/>
      <c r="K729" s="562"/>
      <c r="L729" s="604">
        <v>31.46</v>
      </c>
      <c r="M729" s="603"/>
      <c r="N729" s="602"/>
      <c r="V729" s="674"/>
      <c r="W729" s="675"/>
      <c r="X729" s="675"/>
      <c r="AB729" s="537" t="s">
        <v>1632</v>
      </c>
      <c r="AD729" s="675"/>
      <c r="AE729" s="675"/>
      <c r="AG729" s="675"/>
      <c r="AH729" s="680"/>
    </row>
    <row r="730" spans="1:34" s="536" customFormat="1" ht="33.75" x14ac:dyDescent="0.2">
      <c r="A730" s="605"/>
      <c r="B730" s="552" t="s">
        <v>1634</v>
      </c>
      <c r="C730" s="1822" t="s">
        <v>1635</v>
      </c>
      <c r="D730" s="1822"/>
      <c r="E730" s="1822"/>
      <c r="F730" s="562" t="s">
        <v>322</v>
      </c>
      <c r="G730" s="562" t="s">
        <v>786</v>
      </c>
      <c r="H730" s="562"/>
      <c r="I730" s="562" t="s">
        <v>786</v>
      </c>
      <c r="J730" s="604"/>
      <c r="K730" s="562"/>
      <c r="L730" s="604">
        <v>16.54</v>
      </c>
      <c r="M730" s="603"/>
      <c r="N730" s="602"/>
      <c r="V730" s="674"/>
      <c r="W730" s="675"/>
      <c r="X730" s="675"/>
      <c r="AB730" s="537" t="s">
        <v>1635</v>
      </c>
      <c r="AD730" s="675"/>
      <c r="AE730" s="675"/>
      <c r="AG730" s="675"/>
      <c r="AH730" s="680"/>
    </row>
    <row r="731" spans="1:34" s="536" customFormat="1" ht="12" x14ac:dyDescent="0.2">
      <c r="A731" s="569"/>
      <c r="B731" s="671"/>
      <c r="C731" s="1823" t="s">
        <v>327</v>
      </c>
      <c r="D731" s="1823"/>
      <c r="E731" s="1823"/>
      <c r="F731" s="573"/>
      <c r="G731" s="573"/>
      <c r="H731" s="573"/>
      <c r="I731" s="573"/>
      <c r="J731" s="572"/>
      <c r="K731" s="573"/>
      <c r="L731" s="572">
        <v>88.63</v>
      </c>
      <c r="M731" s="601"/>
      <c r="N731" s="570"/>
      <c r="V731" s="674"/>
      <c r="W731" s="675"/>
      <c r="X731" s="675"/>
      <c r="AD731" s="675" t="s">
        <v>327</v>
      </c>
      <c r="AE731" s="675"/>
      <c r="AG731" s="675"/>
      <c r="AH731" s="680"/>
    </row>
    <row r="732" spans="1:34" s="536" customFormat="1" ht="33.75" x14ac:dyDescent="0.2">
      <c r="A732" s="575" t="s">
        <v>1540</v>
      </c>
      <c r="B732" s="670" t="s">
        <v>5596</v>
      </c>
      <c r="C732" s="1823" t="s">
        <v>5597</v>
      </c>
      <c r="D732" s="1823"/>
      <c r="E732" s="1823"/>
      <c r="F732" s="573" t="s">
        <v>483</v>
      </c>
      <c r="G732" s="573"/>
      <c r="H732" s="573"/>
      <c r="I732" s="573" t="s">
        <v>186</v>
      </c>
      <c r="J732" s="572">
        <v>2388.75</v>
      </c>
      <c r="K732" s="573" t="s">
        <v>716</v>
      </c>
      <c r="L732" s="572">
        <v>497.75</v>
      </c>
      <c r="M732" s="571">
        <v>9.7899999999999991</v>
      </c>
      <c r="N732" s="570">
        <v>4873</v>
      </c>
      <c r="V732" s="674"/>
      <c r="W732" s="675"/>
      <c r="X732" s="675" t="s">
        <v>5597</v>
      </c>
      <c r="AD732" s="675"/>
      <c r="AE732" s="675"/>
      <c r="AG732" s="675"/>
      <c r="AH732" s="680"/>
    </row>
    <row r="733" spans="1:34" s="536" customFormat="1" ht="12" x14ac:dyDescent="0.2">
      <c r="A733" s="569"/>
      <c r="B733" s="671"/>
      <c r="C733" s="665" t="s">
        <v>1658</v>
      </c>
      <c r="D733" s="666"/>
      <c r="E733" s="666"/>
      <c r="F733" s="563"/>
      <c r="G733" s="563"/>
      <c r="H733" s="563"/>
      <c r="I733" s="563"/>
      <c r="J733" s="566"/>
      <c r="K733" s="563"/>
      <c r="L733" s="566"/>
      <c r="M733" s="565"/>
      <c r="N733" s="564"/>
      <c r="V733" s="674"/>
      <c r="W733" s="675"/>
      <c r="X733" s="675"/>
      <c r="AD733" s="675"/>
      <c r="AE733" s="675"/>
      <c r="AG733" s="675"/>
      <c r="AH733" s="680"/>
    </row>
    <row r="734" spans="1:34" s="536" customFormat="1" ht="22.5" x14ac:dyDescent="0.2">
      <c r="A734" s="609"/>
      <c r="B734" s="552" t="s">
        <v>718</v>
      </c>
      <c r="C734" s="1822" t="s">
        <v>719</v>
      </c>
      <c r="D734" s="1822"/>
      <c r="E734" s="1822"/>
      <c r="F734" s="1822"/>
      <c r="G734" s="1822"/>
      <c r="H734" s="1822"/>
      <c r="I734" s="1822"/>
      <c r="J734" s="1822"/>
      <c r="K734" s="1822"/>
      <c r="L734" s="1822"/>
      <c r="M734" s="1822"/>
      <c r="N734" s="1827"/>
      <c r="V734" s="674"/>
      <c r="W734" s="675"/>
      <c r="X734" s="675"/>
      <c r="Z734" s="537" t="s">
        <v>719</v>
      </c>
      <c r="AD734" s="675"/>
      <c r="AE734" s="675"/>
      <c r="AG734" s="675"/>
      <c r="AH734" s="680"/>
    </row>
    <row r="735" spans="1:34" s="536" customFormat="1" ht="67.5" x14ac:dyDescent="0.2">
      <c r="A735" s="575" t="s">
        <v>968</v>
      </c>
      <c r="B735" s="670" t="s">
        <v>5598</v>
      </c>
      <c r="C735" s="1823" t="s">
        <v>5599</v>
      </c>
      <c r="D735" s="1823"/>
      <c r="E735" s="1823"/>
      <c r="F735" s="573" t="s">
        <v>617</v>
      </c>
      <c r="G735" s="573"/>
      <c r="H735" s="573"/>
      <c r="I735" s="573" t="s">
        <v>188</v>
      </c>
      <c r="J735" s="572"/>
      <c r="K735" s="573"/>
      <c r="L735" s="572"/>
      <c r="M735" s="571"/>
      <c r="N735" s="570"/>
      <c r="V735" s="674"/>
      <c r="W735" s="675"/>
      <c r="X735" s="675" t="s">
        <v>5599</v>
      </c>
      <c r="AD735" s="675"/>
      <c r="AE735" s="675"/>
      <c r="AG735" s="675"/>
      <c r="AH735" s="680"/>
    </row>
    <row r="736" spans="1:34" s="536" customFormat="1" ht="33.75" x14ac:dyDescent="0.2">
      <c r="A736" s="609"/>
      <c r="B736" s="552" t="s">
        <v>310</v>
      </c>
      <c r="C736" s="1822" t="s">
        <v>311</v>
      </c>
      <c r="D736" s="1822"/>
      <c r="E736" s="1822"/>
      <c r="F736" s="1822"/>
      <c r="G736" s="1822"/>
      <c r="H736" s="1822"/>
      <c r="I736" s="1822"/>
      <c r="J736" s="1822"/>
      <c r="K736" s="1822"/>
      <c r="L736" s="1822"/>
      <c r="M736" s="1822"/>
      <c r="N736" s="1827"/>
      <c r="V736" s="674"/>
      <c r="W736" s="675"/>
      <c r="X736" s="675"/>
      <c r="Z736" s="537" t="s">
        <v>311</v>
      </c>
      <c r="AD736" s="675"/>
      <c r="AE736" s="675"/>
      <c r="AG736" s="675"/>
      <c r="AH736" s="680"/>
    </row>
    <row r="737" spans="1:34" s="536" customFormat="1" ht="12" x14ac:dyDescent="0.2">
      <c r="A737" s="605"/>
      <c r="B737" s="552" t="s">
        <v>185</v>
      </c>
      <c r="C737" s="1822" t="s">
        <v>312</v>
      </c>
      <c r="D737" s="1822"/>
      <c r="E737" s="1822"/>
      <c r="F737" s="562"/>
      <c r="G737" s="562"/>
      <c r="H737" s="562"/>
      <c r="I737" s="562"/>
      <c r="J737" s="604">
        <v>15.04</v>
      </c>
      <c r="K737" s="562" t="s">
        <v>313</v>
      </c>
      <c r="L737" s="604">
        <v>75.2</v>
      </c>
      <c r="M737" s="603"/>
      <c r="N737" s="602"/>
      <c r="V737" s="674"/>
      <c r="W737" s="675"/>
      <c r="X737" s="675"/>
      <c r="AA737" s="537" t="s">
        <v>312</v>
      </c>
      <c r="AD737" s="675"/>
      <c r="AE737" s="675"/>
      <c r="AG737" s="675"/>
      <c r="AH737" s="680"/>
    </row>
    <row r="738" spans="1:34" s="536" customFormat="1" ht="12" x14ac:dyDescent="0.2">
      <c r="A738" s="605"/>
      <c r="B738" s="552" t="s">
        <v>188</v>
      </c>
      <c r="C738" s="1822" t="s">
        <v>475</v>
      </c>
      <c r="D738" s="1822"/>
      <c r="E738" s="1822"/>
      <c r="F738" s="562"/>
      <c r="G738" s="562"/>
      <c r="H738" s="562"/>
      <c r="I738" s="562"/>
      <c r="J738" s="604">
        <v>4.1399999999999997</v>
      </c>
      <c r="K738" s="562"/>
      <c r="L738" s="604">
        <v>16.559999999999999</v>
      </c>
      <c r="M738" s="603"/>
      <c r="N738" s="602"/>
      <c r="V738" s="674"/>
      <c r="W738" s="675"/>
      <c r="X738" s="675"/>
      <c r="AA738" s="537" t="s">
        <v>475</v>
      </c>
      <c r="AD738" s="675"/>
      <c r="AE738" s="675"/>
      <c r="AG738" s="675"/>
      <c r="AH738" s="680"/>
    </row>
    <row r="739" spans="1:34" s="536" customFormat="1" ht="12" x14ac:dyDescent="0.2">
      <c r="A739" s="605"/>
      <c r="B739" s="552"/>
      <c r="C739" s="1822" t="s">
        <v>314</v>
      </c>
      <c r="D739" s="1822"/>
      <c r="E739" s="1822"/>
      <c r="F739" s="562" t="s">
        <v>315</v>
      </c>
      <c r="G739" s="562" t="s">
        <v>5600</v>
      </c>
      <c r="H739" s="562" t="s">
        <v>313</v>
      </c>
      <c r="I739" s="562" t="s">
        <v>192</v>
      </c>
      <c r="J739" s="604"/>
      <c r="K739" s="562"/>
      <c r="L739" s="604"/>
      <c r="M739" s="603"/>
      <c r="N739" s="602"/>
      <c r="V739" s="674"/>
      <c r="W739" s="675"/>
      <c r="X739" s="675"/>
      <c r="AB739" s="537" t="s">
        <v>314</v>
      </c>
      <c r="AD739" s="675"/>
      <c r="AE739" s="675"/>
      <c r="AG739" s="675"/>
      <c r="AH739" s="680"/>
    </row>
    <row r="740" spans="1:34" s="536" customFormat="1" ht="12" x14ac:dyDescent="0.2">
      <c r="A740" s="605"/>
      <c r="B740" s="552"/>
      <c r="C740" s="1828" t="s">
        <v>318</v>
      </c>
      <c r="D740" s="1828"/>
      <c r="E740" s="1828"/>
      <c r="F740" s="608"/>
      <c r="G740" s="608"/>
      <c r="H740" s="608"/>
      <c r="I740" s="608"/>
      <c r="J740" s="607">
        <v>19.18</v>
      </c>
      <c r="K740" s="608"/>
      <c r="L740" s="607">
        <v>91.76</v>
      </c>
      <c r="M740" s="601"/>
      <c r="N740" s="606"/>
      <c r="V740" s="674"/>
      <c r="W740" s="675"/>
      <c r="X740" s="675"/>
      <c r="AC740" s="537" t="s">
        <v>318</v>
      </c>
      <c r="AD740" s="675"/>
      <c r="AE740" s="675"/>
      <c r="AG740" s="675"/>
      <c r="AH740" s="680"/>
    </row>
    <row r="741" spans="1:34" s="536" customFormat="1" ht="12" x14ac:dyDescent="0.2">
      <c r="A741" s="605"/>
      <c r="B741" s="552"/>
      <c r="C741" s="1822" t="s">
        <v>319</v>
      </c>
      <c r="D741" s="1822"/>
      <c r="E741" s="1822"/>
      <c r="F741" s="562"/>
      <c r="G741" s="562"/>
      <c r="H741" s="562"/>
      <c r="I741" s="562"/>
      <c r="J741" s="604"/>
      <c r="K741" s="562"/>
      <c r="L741" s="604">
        <v>75.2</v>
      </c>
      <c r="M741" s="603"/>
      <c r="N741" s="602"/>
      <c r="V741" s="674"/>
      <c r="W741" s="675"/>
      <c r="X741" s="675"/>
      <c r="AB741" s="537" t="s">
        <v>319</v>
      </c>
      <c r="AD741" s="675"/>
      <c r="AE741" s="675"/>
      <c r="AG741" s="675"/>
      <c r="AH741" s="680"/>
    </row>
    <row r="742" spans="1:34" s="536" customFormat="1" ht="33.75" x14ac:dyDescent="0.2">
      <c r="A742" s="605"/>
      <c r="B742" s="552" t="s">
        <v>1631</v>
      </c>
      <c r="C742" s="1822" t="s">
        <v>1632</v>
      </c>
      <c r="D742" s="1822"/>
      <c r="E742" s="1822"/>
      <c r="F742" s="562" t="s">
        <v>322</v>
      </c>
      <c r="G742" s="562" t="s">
        <v>1633</v>
      </c>
      <c r="H742" s="562"/>
      <c r="I742" s="562" t="s">
        <v>1633</v>
      </c>
      <c r="J742" s="604"/>
      <c r="K742" s="562"/>
      <c r="L742" s="604">
        <v>72.94</v>
      </c>
      <c r="M742" s="603"/>
      <c r="N742" s="602"/>
      <c r="V742" s="674"/>
      <c r="W742" s="675"/>
      <c r="X742" s="675"/>
      <c r="AB742" s="537" t="s">
        <v>1632</v>
      </c>
      <c r="AD742" s="675"/>
      <c r="AE742" s="675"/>
      <c r="AG742" s="675"/>
      <c r="AH742" s="680"/>
    </row>
    <row r="743" spans="1:34" s="536" customFormat="1" ht="33.75" x14ac:dyDescent="0.2">
      <c r="A743" s="605"/>
      <c r="B743" s="552" t="s">
        <v>1634</v>
      </c>
      <c r="C743" s="1822" t="s">
        <v>1635</v>
      </c>
      <c r="D743" s="1822"/>
      <c r="E743" s="1822"/>
      <c r="F743" s="562" t="s">
        <v>322</v>
      </c>
      <c r="G743" s="562" t="s">
        <v>786</v>
      </c>
      <c r="H743" s="562"/>
      <c r="I743" s="562" t="s">
        <v>786</v>
      </c>
      <c r="J743" s="604"/>
      <c r="K743" s="562"/>
      <c r="L743" s="604">
        <v>38.35</v>
      </c>
      <c r="M743" s="603"/>
      <c r="N743" s="602"/>
      <c r="V743" s="674"/>
      <c r="W743" s="675"/>
      <c r="X743" s="675"/>
      <c r="AB743" s="537" t="s">
        <v>1635</v>
      </c>
      <c r="AD743" s="675"/>
      <c r="AE743" s="675"/>
      <c r="AG743" s="675"/>
      <c r="AH743" s="680"/>
    </row>
    <row r="744" spans="1:34" s="536" customFormat="1" ht="12" x14ac:dyDescent="0.2">
      <c r="A744" s="569"/>
      <c r="B744" s="671"/>
      <c r="C744" s="1823" t="s">
        <v>327</v>
      </c>
      <c r="D744" s="1823"/>
      <c r="E744" s="1823"/>
      <c r="F744" s="573"/>
      <c r="G744" s="573"/>
      <c r="H744" s="573"/>
      <c r="I744" s="573"/>
      <c r="J744" s="572"/>
      <c r="K744" s="573"/>
      <c r="L744" s="572">
        <v>203.05</v>
      </c>
      <c r="M744" s="601"/>
      <c r="N744" s="570"/>
      <c r="V744" s="674"/>
      <c r="W744" s="675"/>
      <c r="X744" s="675"/>
      <c r="AD744" s="675" t="s">
        <v>327</v>
      </c>
      <c r="AE744" s="675"/>
      <c r="AG744" s="675"/>
      <c r="AH744" s="680"/>
    </row>
    <row r="745" spans="1:34" s="536" customFormat="1" ht="33.75" x14ac:dyDescent="0.2">
      <c r="A745" s="575" t="s">
        <v>2385</v>
      </c>
      <c r="B745" s="670" t="s">
        <v>5601</v>
      </c>
      <c r="C745" s="1823" t="s">
        <v>5602</v>
      </c>
      <c r="D745" s="1823"/>
      <c r="E745" s="1823"/>
      <c r="F745" s="573" t="s">
        <v>617</v>
      </c>
      <c r="G745" s="573"/>
      <c r="H745" s="573"/>
      <c r="I745" s="573" t="s">
        <v>188</v>
      </c>
      <c r="J745" s="572">
        <v>4177.25</v>
      </c>
      <c r="K745" s="573" t="s">
        <v>716</v>
      </c>
      <c r="L745" s="572">
        <v>1740.86</v>
      </c>
      <c r="M745" s="571">
        <v>9.7899999999999991</v>
      </c>
      <c r="N745" s="570">
        <v>17043</v>
      </c>
      <c r="V745" s="674"/>
      <c r="W745" s="675"/>
      <c r="X745" s="675" t="s">
        <v>5602</v>
      </c>
      <c r="AD745" s="675"/>
      <c r="AE745" s="675"/>
      <c r="AG745" s="675"/>
      <c r="AH745" s="680"/>
    </row>
    <row r="746" spans="1:34" s="536" customFormat="1" ht="12" x14ac:dyDescent="0.2">
      <c r="A746" s="569"/>
      <c r="B746" s="671"/>
      <c r="C746" s="665" t="s">
        <v>1658</v>
      </c>
      <c r="D746" s="666"/>
      <c r="E746" s="666"/>
      <c r="F746" s="563"/>
      <c r="G746" s="563"/>
      <c r="H746" s="563"/>
      <c r="I746" s="563"/>
      <c r="J746" s="566"/>
      <c r="K746" s="563"/>
      <c r="L746" s="566"/>
      <c r="M746" s="565"/>
      <c r="N746" s="564"/>
      <c r="V746" s="674"/>
      <c r="W746" s="675"/>
      <c r="X746" s="675"/>
      <c r="AD746" s="675"/>
      <c r="AE746" s="675"/>
      <c r="AG746" s="675"/>
      <c r="AH746" s="680"/>
    </row>
    <row r="747" spans="1:34" s="536" customFormat="1" ht="22.5" x14ac:dyDescent="0.2">
      <c r="A747" s="609"/>
      <c r="B747" s="552" t="s">
        <v>718</v>
      </c>
      <c r="C747" s="1822" t="s">
        <v>719</v>
      </c>
      <c r="D747" s="1822"/>
      <c r="E747" s="1822"/>
      <c r="F747" s="1822"/>
      <c r="G747" s="1822"/>
      <c r="H747" s="1822"/>
      <c r="I747" s="1822"/>
      <c r="J747" s="1822"/>
      <c r="K747" s="1822"/>
      <c r="L747" s="1822"/>
      <c r="M747" s="1822"/>
      <c r="N747" s="1827"/>
      <c r="V747" s="674"/>
      <c r="W747" s="675"/>
      <c r="X747" s="675"/>
      <c r="Z747" s="537" t="s">
        <v>719</v>
      </c>
      <c r="AD747" s="675"/>
      <c r="AE747" s="675"/>
      <c r="AG747" s="675"/>
      <c r="AH747" s="680"/>
    </row>
    <row r="748" spans="1:34" s="536" customFormat="1" ht="33.75" x14ac:dyDescent="0.2">
      <c r="A748" s="575" t="s">
        <v>2389</v>
      </c>
      <c r="B748" s="670" t="s">
        <v>1782</v>
      </c>
      <c r="C748" s="1823" t="s">
        <v>1783</v>
      </c>
      <c r="D748" s="1823"/>
      <c r="E748" s="1823"/>
      <c r="F748" s="573" t="s">
        <v>617</v>
      </c>
      <c r="G748" s="573"/>
      <c r="H748" s="573"/>
      <c r="I748" s="573" t="s">
        <v>775</v>
      </c>
      <c r="J748" s="572"/>
      <c r="K748" s="573"/>
      <c r="L748" s="572"/>
      <c r="M748" s="571"/>
      <c r="N748" s="570"/>
      <c r="V748" s="674"/>
      <c r="W748" s="675"/>
      <c r="X748" s="675" t="s">
        <v>1783</v>
      </c>
      <c r="AD748" s="675"/>
      <c r="AE748" s="675"/>
      <c r="AG748" s="675"/>
      <c r="AH748" s="680"/>
    </row>
    <row r="749" spans="1:34" s="536" customFormat="1" ht="33.75" x14ac:dyDescent="0.2">
      <c r="A749" s="609"/>
      <c r="B749" s="552" t="s">
        <v>310</v>
      </c>
      <c r="C749" s="1822" t="s">
        <v>311</v>
      </c>
      <c r="D749" s="1822"/>
      <c r="E749" s="1822"/>
      <c r="F749" s="1822"/>
      <c r="G749" s="1822"/>
      <c r="H749" s="1822"/>
      <c r="I749" s="1822"/>
      <c r="J749" s="1822"/>
      <c r="K749" s="1822"/>
      <c r="L749" s="1822"/>
      <c r="M749" s="1822"/>
      <c r="N749" s="1827"/>
      <c r="V749" s="674"/>
      <c r="W749" s="675"/>
      <c r="X749" s="675"/>
      <c r="Z749" s="537" t="s">
        <v>311</v>
      </c>
      <c r="AD749" s="675"/>
      <c r="AE749" s="675"/>
      <c r="AG749" s="675"/>
      <c r="AH749" s="680"/>
    </row>
    <row r="750" spans="1:34" s="536" customFormat="1" ht="12" x14ac:dyDescent="0.2">
      <c r="A750" s="605"/>
      <c r="B750" s="552" t="s">
        <v>185</v>
      </c>
      <c r="C750" s="1822" t="s">
        <v>312</v>
      </c>
      <c r="D750" s="1822"/>
      <c r="E750" s="1822"/>
      <c r="F750" s="562"/>
      <c r="G750" s="562"/>
      <c r="H750" s="562"/>
      <c r="I750" s="562"/>
      <c r="J750" s="604">
        <v>3.57</v>
      </c>
      <c r="K750" s="562" t="s">
        <v>313</v>
      </c>
      <c r="L750" s="604">
        <v>191.89</v>
      </c>
      <c r="M750" s="603"/>
      <c r="N750" s="602"/>
      <c r="V750" s="674"/>
      <c r="W750" s="675"/>
      <c r="X750" s="675"/>
      <c r="AA750" s="537" t="s">
        <v>312</v>
      </c>
      <c r="AD750" s="675"/>
      <c r="AE750" s="675"/>
      <c r="AG750" s="675"/>
      <c r="AH750" s="680"/>
    </row>
    <row r="751" spans="1:34" s="536" customFormat="1" ht="12" x14ac:dyDescent="0.2">
      <c r="A751" s="605"/>
      <c r="B751" s="552" t="s">
        <v>188</v>
      </c>
      <c r="C751" s="1822" t="s">
        <v>475</v>
      </c>
      <c r="D751" s="1822"/>
      <c r="E751" s="1822"/>
      <c r="F751" s="562"/>
      <c r="G751" s="562"/>
      <c r="H751" s="562"/>
      <c r="I751" s="562"/>
      <c r="J751" s="604">
        <v>15.07</v>
      </c>
      <c r="K751" s="562"/>
      <c r="L751" s="604">
        <v>3.01</v>
      </c>
      <c r="M751" s="603"/>
      <c r="N751" s="602"/>
      <c r="V751" s="674"/>
      <c r="W751" s="675"/>
      <c r="X751" s="675"/>
      <c r="AA751" s="537" t="s">
        <v>475</v>
      </c>
      <c r="AD751" s="675"/>
      <c r="AE751" s="675"/>
      <c r="AG751" s="675"/>
      <c r="AH751" s="680"/>
    </row>
    <row r="752" spans="1:34" s="536" customFormat="1" ht="12" x14ac:dyDescent="0.2">
      <c r="A752" s="605"/>
      <c r="B752" s="552"/>
      <c r="C752" s="1822" t="s">
        <v>314</v>
      </c>
      <c r="D752" s="1822"/>
      <c r="E752" s="1822"/>
      <c r="F752" s="562" t="s">
        <v>315</v>
      </c>
      <c r="G752" s="562" t="s">
        <v>1785</v>
      </c>
      <c r="H752" s="562" t="s">
        <v>313</v>
      </c>
      <c r="I752" s="562" t="s">
        <v>5603</v>
      </c>
      <c r="J752" s="604"/>
      <c r="K752" s="562"/>
      <c r="L752" s="604"/>
      <c r="M752" s="603"/>
      <c r="N752" s="602"/>
      <c r="V752" s="674"/>
      <c r="W752" s="675"/>
      <c r="X752" s="675"/>
      <c r="AB752" s="537" t="s">
        <v>314</v>
      </c>
      <c r="AD752" s="675"/>
      <c r="AE752" s="675"/>
      <c r="AG752" s="675"/>
      <c r="AH752" s="680"/>
    </row>
    <row r="753" spans="1:34" s="536" customFormat="1" ht="12" x14ac:dyDescent="0.2">
      <c r="A753" s="605"/>
      <c r="B753" s="552"/>
      <c r="C753" s="1828" t="s">
        <v>318</v>
      </c>
      <c r="D753" s="1828"/>
      <c r="E753" s="1828"/>
      <c r="F753" s="608"/>
      <c r="G753" s="608"/>
      <c r="H753" s="608"/>
      <c r="I753" s="608"/>
      <c r="J753" s="607">
        <v>3.64</v>
      </c>
      <c r="K753" s="608"/>
      <c r="L753" s="607">
        <v>194.9</v>
      </c>
      <c r="M753" s="601"/>
      <c r="N753" s="606"/>
      <c r="V753" s="674"/>
      <c r="W753" s="675"/>
      <c r="X753" s="675"/>
      <c r="AC753" s="537" t="s">
        <v>318</v>
      </c>
      <c r="AD753" s="675"/>
      <c r="AE753" s="675"/>
      <c r="AG753" s="675"/>
      <c r="AH753" s="680"/>
    </row>
    <row r="754" spans="1:34" s="536" customFormat="1" ht="12" x14ac:dyDescent="0.2">
      <c r="A754" s="605"/>
      <c r="B754" s="552"/>
      <c r="C754" s="1822" t="s">
        <v>319</v>
      </c>
      <c r="D754" s="1822"/>
      <c r="E754" s="1822"/>
      <c r="F754" s="562"/>
      <c r="G754" s="562"/>
      <c r="H754" s="562"/>
      <c r="I754" s="562"/>
      <c r="J754" s="604"/>
      <c r="K754" s="562"/>
      <c r="L754" s="604">
        <v>191.89</v>
      </c>
      <c r="M754" s="603"/>
      <c r="N754" s="602"/>
      <c r="V754" s="674"/>
      <c r="W754" s="675"/>
      <c r="X754" s="675"/>
      <c r="AB754" s="537" t="s">
        <v>319</v>
      </c>
      <c r="AD754" s="675"/>
      <c r="AE754" s="675"/>
      <c r="AG754" s="675"/>
      <c r="AH754" s="680"/>
    </row>
    <row r="755" spans="1:34" s="536" customFormat="1" ht="33.75" x14ac:dyDescent="0.2">
      <c r="A755" s="605"/>
      <c r="B755" s="552" t="s">
        <v>1631</v>
      </c>
      <c r="C755" s="1822" t="s">
        <v>1632</v>
      </c>
      <c r="D755" s="1822"/>
      <c r="E755" s="1822"/>
      <c r="F755" s="562" t="s">
        <v>322</v>
      </c>
      <c r="G755" s="562" t="s">
        <v>1633</v>
      </c>
      <c r="H755" s="562"/>
      <c r="I755" s="562" t="s">
        <v>1633</v>
      </c>
      <c r="J755" s="604"/>
      <c r="K755" s="562"/>
      <c r="L755" s="604">
        <v>186.13</v>
      </c>
      <c r="M755" s="603"/>
      <c r="N755" s="602"/>
      <c r="V755" s="674"/>
      <c r="W755" s="675"/>
      <c r="X755" s="675"/>
      <c r="AB755" s="537" t="s">
        <v>1632</v>
      </c>
      <c r="AD755" s="675"/>
      <c r="AE755" s="675"/>
      <c r="AG755" s="675"/>
      <c r="AH755" s="680"/>
    </row>
    <row r="756" spans="1:34" s="536" customFormat="1" ht="33.75" x14ac:dyDescent="0.2">
      <c r="A756" s="605"/>
      <c r="B756" s="552" t="s">
        <v>1634</v>
      </c>
      <c r="C756" s="1822" t="s">
        <v>1635</v>
      </c>
      <c r="D756" s="1822"/>
      <c r="E756" s="1822"/>
      <c r="F756" s="562" t="s">
        <v>322</v>
      </c>
      <c r="G756" s="562" t="s">
        <v>786</v>
      </c>
      <c r="H756" s="562"/>
      <c r="I756" s="562" t="s">
        <v>786</v>
      </c>
      <c r="J756" s="604"/>
      <c r="K756" s="562"/>
      <c r="L756" s="604">
        <v>97.86</v>
      </c>
      <c r="M756" s="603"/>
      <c r="N756" s="602"/>
      <c r="V756" s="674"/>
      <c r="W756" s="675"/>
      <c r="X756" s="675"/>
      <c r="AB756" s="537" t="s">
        <v>1635</v>
      </c>
      <c r="AD756" s="675"/>
      <c r="AE756" s="675"/>
      <c r="AG756" s="675"/>
      <c r="AH756" s="680"/>
    </row>
    <row r="757" spans="1:34" s="536" customFormat="1" ht="12" x14ac:dyDescent="0.2">
      <c r="A757" s="569"/>
      <c r="B757" s="671"/>
      <c r="C757" s="1823" t="s">
        <v>327</v>
      </c>
      <c r="D757" s="1823"/>
      <c r="E757" s="1823"/>
      <c r="F757" s="573"/>
      <c r="G757" s="573"/>
      <c r="H757" s="573"/>
      <c r="I757" s="573"/>
      <c r="J757" s="572"/>
      <c r="K757" s="573"/>
      <c r="L757" s="572">
        <v>478.89</v>
      </c>
      <c r="M757" s="601"/>
      <c r="N757" s="570"/>
      <c r="V757" s="674"/>
      <c r="W757" s="675"/>
      <c r="X757" s="675"/>
      <c r="AD757" s="675" t="s">
        <v>327</v>
      </c>
      <c r="AE757" s="675"/>
      <c r="AG757" s="675"/>
      <c r="AH757" s="680"/>
    </row>
    <row r="758" spans="1:34" s="536" customFormat="1" ht="12" x14ac:dyDescent="0.2">
      <c r="A758" s="575" t="s">
        <v>1746</v>
      </c>
      <c r="B758" s="670" t="s">
        <v>5604</v>
      </c>
      <c r="C758" s="1823" t="s">
        <v>5605</v>
      </c>
      <c r="D758" s="1823"/>
      <c r="E758" s="1823"/>
      <c r="F758" s="573" t="s">
        <v>699</v>
      </c>
      <c r="G758" s="573"/>
      <c r="H758" s="573"/>
      <c r="I758" s="573" t="s">
        <v>5606</v>
      </c>
      <c r="J758" s="572">
        <v>44.76</v>
      </c>
      <c r="K758" s="573"/>
      <c r="L758" s="572">
        <v>1873.65</v>
      </c>
      <c r="M758" s="571"/>
      <c r="N758" s="570"/>
      <c r="V758" s="674"/>
      <c r="W758" s="675"/>
      <c r="X758" s="675" t="s">
        <v>5605</v>
      </c>
      <c r="AD758" s="675"/>
      <c r="AE758" s="675"/>
      <c r="AG758" s="675"/>
      <c r="AH758" s="680"/>
    </row>
    <row r="759" spans="1:34" s="536" customFormat="1" ht="12" x14ac:dyDescent="0.2">
      <c r="A759" s="569"/>
      <c r="B759" s="671"/>
      <c r="C759" s="665" t="s">
        <v>1658</v>
      </c>
      <c r="D759" s="666"/>
      <c r="E759" s="666"/>
      <c r="F759" s="563"/>
      <c r="G759" s="563"/>
      <c r="H759" s="563"/>
      <c r="I759" s="563"/>
      <c r="J759" s="566"/>
      <c r="K759" s="563"/>
      <c r="L759" s="566"/>
      <c r="M759" s="565"/>
      <c r="N759" s="564"/>
      <c r="V759" s="674"/>
      <c r="W759" s="675"/>
      <c r="X759" s="675"/>
      <c r="AD759" s="675"/>
      <c r="AE759" s="675"/>
      <c r="AG759" s="675"/>
      <c r="AH759" s="680"/>
    </row>
    <row r="760" spans="1:34" s="536" customFormat="1" ht="33.75" x14ac:dyDescent="0.2">
      <c r="A760" s="575" t="s">
        <v>2398</v>
      </c>
      <c r="B760" s="670" t="s">
        <v>5607</v>
      </c>
      <c r="C760" s="1823" t="s">
        <v>5608</v>
      </c>
      <c r="D760" s="1823"/>
      <c r="E760" s="1823"/>
      <c r="F760" s="573" t="s">
        <v>307</v>
      </c>
      <c r="G760" s="573"/>
      <c r="H760" s="573"/>
      <c r="I760" s="573" t="s">
        <v>5609</v>
      </c>
      <c r="J760" s="572"/>
      <c r="K760" s="573"/>
      <c r="L760" s="572"/>
      <c r="M760" s="571"/>
      <c r="N760" s="570"/>
      <c r="V760" s="674"/>
      <c r="W760" s="675"/>
      <c r="X760" s="675" t="s">
        <v>5608</v>
      </c>
      <c r="AD760" s="675"/>
      <c r="AE760" s="675"/>
      <c r="AG760" s="675"/>
      <c r="AH760" s="680"/>
    </row>
    <row r="761" spans="1:34" s="536" customFormat="1" ht="12" x14ac:dyDescent="0.2">
      <c r="A761" s="676"/>
      <c r="B761" s="664"/>
      <c r="C761" s="1822" t="s">
        <v>5610</v>
      </c>
      <c r="D761" s="1822"/>
      <c r="E761" s="1822"/>
      <c r="F761" s="1822"/>
      <c r="G761" s="1822"/>
      <c r="H761" s="1822"/>
      <c r="I761" s="1822"/>
      <c r="J761" s="1822"/>
      <c r="K761" s="1822"/>
      <c r="L761" s="1822"/>
      <c r="M761" s="1822"/>
      <c r="N761" s="1827"/>
      <c r="V761" s="674"/>
      <c r="W761" s="675"/>
      <c r="X761" s="675"/>
      <c r="Y761" s="537" t="s">
        <v>5610</v>
      </c>
      <c r="AD761" s="675"/>
      <c r="AE761" s="675"/>
      <c r="AG761" s="675"/>
      <c r="AH761" s="680"/>
    </row>
    <row r="762" spans="1:34" s="536" customFormat="1" ht="33.75" x14ac:dyDescent="0.2">
      <c r="A762" s="609"/>
      <c r="B762" s="552" t="s">
        <v>310</v>
      </c>
      <c r="C762" s="1822" t="s">
        <v>311</v>
      </c>
      <c r="D762" s="1822"/>
      <c r="E762" s="1822"/>
      <c r="F762" s="1822"/>
      <c r="G762" s="1822"/>
      <c r="H762" s="1822"/>
      <c r="I762" s="1822"/>
      <c r="J762" s="1822"/>
      <c r="K762" s="1822"/>
      <c r="L762" s="1822"/>
      <c r="M762" s="1822"/>
      <c r="N762" s="1827"/>
      <c r="V762" s="674"/>
      <c r="W762" s="675"/>
      <c r="X762" s="675"/>
      <c r="Z762" s="537" t="s">
        <v>311</v>
      </c>
      <c r="AD762" s="675"/>
      <c r="AE762" s="675"/>
      <c r="AG762" s="675"/>
      <c r="AH762" s="680"/>
    </row>
    <row r="763" spans="1:34" s="536" customFormat="1" ht="12" x14ac:dyDescent="0.2">
      <c r="A763" s="605"/>
      <c r="B763" s="552" t="s">
        <v>185</v>
      </c>
      <c r="C763" s="1822" t="s">
        <v>312</v>
      </c>
      <c r="D763" s="1822"/>
      <c r="E763" s="1822"/>
      <c r="F763" s="562"/>
      <c r="G763" s="562"/>
      <c r="H763" s="562"/>
      <c r="I763" s="562"/>
      <c r="J763" s="604">
        <v>97.76</v>
      </c>
      <c r="K763" s="562" t="s">
        <v>313</v>
      </c>
      <c r="L763" s="604">
        <v>494.91</v>
      </c>
      <c r="M763" s="603"/>
      <c r="N763" s="602"/>
      <c r="V763" s="674"/>
      <c r="W763" s="675"/>
      <c r="X763" s="675"/>
      <c r="AA763" s="537" t="s">
        <v>312</v>
      </c>
      <c r="AD763" s="675"/>
      <c r="AE763" s="675"/>
      <c r="AG763" s="675"/>
      <c r="AH763" s="680"/>
    </row>
    <row r="764" spans="1:34" s="536" customFormat="1" ht="12" x14ac:dyDescent="0.2">
      <c r="A764" s="605"/>
      <c r="B764" s="552" t="s">
        <v>188</v>
      </c>
      <c r="C764" s="1822" t="s">
        <v>475</v>
      </c>
      <c r="D764" s="1822"/>
      <c r="E764" s="1822"/>
      <c r="F764" s="562"/>
      <c r="G764" s="562"/>
      <c r="H764" s="562"/>
      <c r="I764" s="562"/>
      <c r="J764" s="604">
        <v>1.96</v>
      </c>
      <c r="K764" s="562"/>
      <c r="L764" s="604">
        <v>7.94</v>
      </c>
      <c r="M764" s="603"/>
      <c r="N764" s="602"/>
      <c r="V764" s="674"/>
      <c r="W764" s="675"/>
      <c r="X764" s="675"/>
      <c r="AA764" s="537" t="s">
        <v>475</v>
      </c>
      <c r="AD764" s="675"/>
      <c r="AE764" s="675"/>
      <c r="AG764" s="675"/>
      <c r="AH764" s="680"/>
    </row>
    <row r="765" spans="1:34" s="536" customFormat="1" ht="12" x14ac:dyDescent="0.2">
      <c r="A765" s="605"/>
      <c r="B765" s="552"/>
      <c r="C765" s="1822" t="s">
        <v>314</v>
      </c>
      <c r="D765" s="1822"/>
      <c r="E765" s="1822"/>
      <c r="F765" s="562" t="s">
        <v>315</v>
      </c>
      <c r="G765" s="562" t="s">
        <v>5611</v>
      </c>
      <c r="H765" s="562" t="s">
        <v>313</v>
      </c>
      <c r="I765" s="562" t="s">
        <v>5612</v>
      </c>
      <c r="J765" s="604"/>
      <c r="K765" s="562"/>
      <c r="L765" s="604"/>
      <c r="M765" s="603"/>
      <c r="N765" s="602"/>
      <c r="V765" s="674"/>
      <c r="W765" s="675"/>
      <c r="X765" s="675"/>
      <c r="AB765" s="537" t="s">
        <v>314</v>
      </c>
      <c r="AD765" s="675"/>
      <c r="AE765" s="675"/>
      <c r="AG765" s="675"/>
      <c r="AH765" s="680"/>
    </row>
    <row r="766" spans="1:34" s="536" customFormat="1" ht="12" x14ac:dyDescent="0.2">
      <c r="A766" s="605"/>
      <c r="B766" s="552"/>
      <c r="C766" s="1828" t="s">
        <v>318</v>
      </c>
      <c r="D766" s="1828"/>
      <c r="E766" s="1828"/>
      <c r="F766" s="608"/>
      <c r="G766" s="608"/>
      <c r="H766" s="608"/>
      <c r="I766" s="608"/>
      <c r="J766" s="607">
        <v>99.72</v>
      </c>
      <c r="K766" s="608"/>
      <c r="L766" s="607">
        <v>502.85</v>
      </c>
      <c r="M766" s="601"/>
      <c r="N766" s="606"/>
      <c r="V766" s="674"/>
      <c r="W766" s="675"/>
      <c r="X766" s="675"/>
      <c r="AC766" s="537" t="s">
        <v>318</v>
      </c>
      <c r="AD766" s="675"/>
      <c r="AE766" s="675"/>
      <c r="AG766" s="675"/>
      <c r="AH766" s="680"/>
    </row>
    <row r="767" spans="1:34" s="536" customFormat="1" ht="12" x14ac:dyDescent="0.2">
      <c r="A767" s="605"/>
      <c r="B767" s="552"/>
      <c r="C767" s="1822" t="s">
        <v>319</v>
      </c>
      <c r="D767" s="1822"/>
      <c r="E767" s="1822"/>
      <c r="F767" s="562"/>
      <c r="G767" s="562"/>
      <c r="H767" s="562"/>
      <c r="I767" s="562"/>
      <c r="J767" s="604"/>
      <c r="K767" s="562"/>
      <c r="L767" s="604">
        <v>494.91</v>
      </c>
      <c r="M767" s="603"/>
      <c r="N767" s="602"/>
      <c r="V767" s="674"/>
      <c r="W767" s="675"/>
      <c r="X767" s="675"/>
      <c r="AB767" s="537" t="s">
        <v>319</v>
      </c>
      <c r="AD767" s="675"/>
      <c r="AE767" s="675"/>
      <c r="AG767" s="675"/>
      <c r="AH767" s="680"/>
    </row>
    <row r="768" spans="1:34" s="536" customFormat="1" ht="33.75" x14ac:dyDescent="0.2">
      <c r="A768" s="605"/>
      <c r="B768" s="552" t="s">
        <v>1631</v>
      </c>
      <c r="C768" s="1822" t="s">
        <v>1632</v>
      </c>
      <c r="D768" s="1822"/>
      <c r="E768" s="1822"/>
      <c r="F768" s="562" t="s">
        <v>322</v>
      </c>
      <c r="G768" s="562" t="s">
        <v>1633</v>
      </c>
      <c r="H768" s="562"/>
      <c r="I768" s="562" t="s">
        <v>1633</v>
      </c>
      <c r="J768" s="604"/>
      <c r="K768" s="562"/>
      <c r="L768" s="604">
        <v>480.06</v>
      </c>
      <c r="M768" s="603"/>
      <c r="N768" s="602"/>
      <c r="V768" s="674"/>
      <c r="W768" s="675"/>
      <c r="X768" s="675"/>
      <c r="AB768" s="537" t="s">
        <v>1632</v>
      </c>
      <c r="AD768" s="675"/>
      <c r="AE768" s="675"/>
      <c r="AG768" s="675"/>
      <c r="AH768" s="680"/>
    </row>
    <row r="769" spans="1:34" s="536" customFormat="1" ht="33.75" x14ac:dyDescent="0.2">
      <c r="A769" s="605"/>
      <c r="B769" s="552" t="s">
        <v>1634</v>
      </c>
      <c r="C769" s="1822" t="s">
        <v>1635</v>
      </c>
      <c r="D769" s="1822"/>
      <c r="E769" s="1822"/>
      <c r="F769" s="562" t="s">
        <v>322</v>
      </c>
      <c r="G769" s="562" t="s">
        <v>786</v>
      </c>
      <c r="H769" s="562"/>
      <c r="I769" s="562" t="s">
        <v>786</v>
      </c>
      <c r="J769" s="604"/>
      <c r="K769" s="562"/>
      <c r="L769" s="604">
        <v>252.4</v>
      </c>
      <c r="M769" s="603"/>
      <c r="N769" s="602"/>
      <c r="V769" s="674"/>
      <c r="W769" s="675"/>
      <c r="X769" s="675"/>
      <c r="AB769" s="537" t="s">
        <v>1635</v>
      </c>
      <c r="AD769" s="675"/>
      <c r="AE769" s="675"/>
      <c r="AG769" s="675"/>
      <c r="AH769" s="680"/>
    </row>
    <row r="770" spans="1:34" s="536" customFormat="1" ht="12" x14ac:dyDescent="0.2">
      <c r="A770" s="569"/>
      <c r="B770" s="671"/>
      <c r="C770" s="1823" t="s">
        <v>327</v>
      </c>
      <c r="D770" s="1823"/>
      <c r="E770" s="1823"/>
      <c r="F770" s="573"/>
      <c r="G770" s="573"/>
      <c r="H770" s="573"/>
      <c r="I770" s="573"/>
      <c r="J770" s="572"/>
      <c r="K770" s="573"/>
      <c r="L770" s="572">
        <v>1235.31</v>
      </c>
      <c r="M770" s="601"/>
      <c r="N770" s="570"/>
      <c r="V770" s="674"/>
      <c r="W770" s="675"/>
      <c r="X770" s="675"/>
      <c r="AD770" s="675" t="s">
        <v>327</v>
      </c>
      <c r="AE770" s="675"/>
      <c r="AG770" s="675"/>
      <c r="AH770" s="680"/>
    </row>
    <row r="771" spans="1:34" s="536" customFormat="1" ht="33.75" x14ac:dyDescent="0.2">
      <c r="A771" s="575" t="s">
        <v>969</v>
      </c>
      <c r="B771" s="670" t="s">
        <v>5613</v>
      </c>
      <c r="C771" s="1823" t="s">
        <v>5614</v>
      </c>
      <c r="D771" s="1823"/>
      <c r="E771" s="1823"/>
      <c r="F771" s="573" t="s">
        <v>617</v>
      </c>
      <c r="G771" s="573"/>
      <c r="H771" s="573"/>
      <c r="I771" s="573" t="s">
        <v>1373</v>
      </c>
      <c r="J771" s="572">
        <v>963.74</v>
      </c>
      <c r="K771" s="573" t="s">
        <v>716</v>
      </c>
      <c r="L771" s="572">
        <v>13555.36</v>
      </c>
      <c r="M771" s="571">
        <v>9.7899999999999991</v>
      </c>
      <c r="N771" s="570">
        <v>132707</v>
      </c>
      <c r="V771" s="674"/>
      <c r="W771" s="675"/>
      <c r="X771" s="675" t="s">
        <v>5614</v>
      </c>
      <c r="AD771" s="675"/>
      <c r="AE771" s="675"/>
      <c r="AG771" s="675"/>
      <c r="AH771" s="680"/>
    </row>
    <row r="772" spans="1:34" s="536" customFormat="1" ht="12" x14ac:dyDescent="0.2">
      <c r="A772" s="569"/>
      <c r="B772" s="671"/>
      <c r="C772" s="665" t="s">
        <v>1658</v>
      </c>
      <c r="D772" s="666"/>
      <c r="E772" s="666"/>
      <c r="F772" s="563"/>
      <c r="G772" s="563"/>
      <c r="H772" s="563"/>
      <c r="I772" s="563"/>
      <c r="J772" s="566"/>
      <c r="K772" s="563"/>
      <c r="L772" s="566"/>
      <c r="M772" s="565"/>
      <c r="N772" s="564"/>
      <c r="V772" s="674"/>
      <c r="W772" s="675"/>
      <c r="X772" s="675"/>
      <c r="AD772" s="675"/>
      <c r="AE772" s="675"/>
      <c r="AG772" s="675"/>
      <c r="AH772" s="680"/>
    </row>
    <row r="773" spans="1:34" s="536" customFormat="1" ht="22.5" x14ac:dyDescent="0.2">
      <c r="A773" s="609"/>
      <c r="B773" s="552" t="s">
        <v>718</v>
      </c>
      <c r="C773" s="1822" t="s">
        <v>719</v>
      </c>
      <c r="D773" s="1822"/>
      <c r="E773" s="1822"/>
      <c r="F773" s="1822"/>
      <c r="G773" s="1822"/>
      <c r="H773" s="1822"/>
      <c r="I773" s="1822"/>
      <c r="J773" s="1822"/>
      <c r="K773" s="1822"/>
      <c r="L773" s="1822"/>
      <c r="M773" s="1822"/>
      <c r="N773" s="1827"/>
      <c r="V773" s="674"/>
      <c r="W773" s="675"/>
      <c r="X773" s="675"/>
      <c r="Z773" s="537" t="s">
        <v>719</v>
      </c>
      <c r="AD773" s="675"/>
      <c r="AE773" s="675"/>
      <c r="AG773" s="675"/>
      <c r="AH773" s="680"/>
    </row>
    <row r="774" spans="1:34" s="536" customFormat="1" ht="33.75" x14ac:dyDescent="0.2">
      <c r="A774" s="575" t="s">
        <v>2403</v>
      </c>
      <c r="B774" s="670" t="s">
        <v>5615</v>
      </c>
      <c r="C774" s="1823" t="s">
        <v>5616</v>
      </c>
      <c r="D774" s="1823"/>
      <c r="E774" s="1823"/>
      <c r="F774" s="573" t="s">
        <v>617</v>
      </c>
      <c r="G774" s="573"/>
      <c r="H774" s="573"/>
      <c r="I774" s="573" t="s">
        <v>1373</v>
      </c>
      <c r="J774" s="572">
        <v>209.33</v>
      </c>
      <c r="K774" s="573" t="s">
        <v>716</v>
      </c>
      <c r="L774" s="572">
        <v>2944.33</v>
      </c>
      <c r="M774" s="571">
        <v>9.7899999999999991</v>
      </c>
      <c r="N774" s="570">
        <v>28825</v>
      </c>
      <c r="V774" s="674"/>
      <c r="W774" s="675"/>
      <c r="X774" s="675" t="s">
        <v>5616</v>
      </c>
      <c r="AD774" s="675"/>
      <c r="AE774" s="675"/>
      <c r="AG774" s="675"/>
      <c r="AH774" s="680"/>
    </row>
    <row r="775" spans="1:34" s="536" customFormat="1" ht="12" x14ac:dyDescent="0.2">
      <c r="A775" s="569"/>
      <c r="B775" s="671"/>
      <c r="C775" s="665" t="s">
        <v>1658</v>
      </c>
      <c r="D775" s="666"/>
      <c r="E775" s="666"/>
      <c r="F775" s="563"/>
      <c r="G775" s="563"/>
      <c r="H775" s="563"/>
      <c r="I775" s="563"/>
      <c r="J775" s="566"/>
      <c r="K775" s="563"/>
      <c r="L775" s="566"/>
      <c r="M775" s="565"/>
      <c r="N775" s="564"/>
      <c r="V775" s="674"/>
      <c r="W775" s="675"/>
      <c r="X775" s="675"/>
      <c r="AD775" s="675"/>
      <c r="AE775" s="675"/>
      <c r="AG775" s="675"/>
      <c r="AH775" s="680"/>
    </row>
    <row r="776" spans="1:34" s="536" customFormat="1" ht="22.5" x14ac:dyDescent="0.2">
      <c r="A776" s="609"/>
      <c r="B776" s="552" t="s">
        <v>718</v>
      </c>
      <c r="C776" s="1822" t="s">
        <v>719</v>
      </c>
      <c r="D776" s="1822"/>
      <c r="E776" s="1822"/>
      <c r="F776" s="1822"/>
      <c r="G776" s="1822"/>
      <c r="H776" s="1822"/>
      <c r="I776" s="1822"/>
      <c r="J776" s="1822"/>
      <c r="K776" s="1822"/>
      <c r="L776" s="1822"/>
      <c r="M776" s="1822"/>
      <c r="N776" s="1827"/>
      <c r="V776" s="674"/>
      <c r="W776" s="675"/>
      <c r="X776" s="675"/>
      <c r="Z776" s="537" t="s">
        <v>719</v>
      </c>
      <c r="AD776" s="675"/>
      <c r="AE776" s="675"/>
      <c r="AG776" s="675"/>
      <c r="AH776" s="680"/>
    </row>
    <row r="777" spans="1:34" s="536" customFormat="1" ht="33.75" x14ac:dyDescent="0.2">
      <c r="A777" s="575" t="s">
        <v>2408</v>
      </c>
      <c r="B777" s="670" t="s">
        <v>5617</v>
      </c>
      <c r="C777" s="1823" t="s">
        <v>5618</v>
      </c>
      <c r="D777" s="1823"/>
      <c r="E777" s="1823"/>
      <c r="F777" s="573" t="s">
        <v>617</v>
      </c>
      <c r="G777" s="573"/>
      <c r="H777" s="573"/>
      <c r="I777" s="573" t="s">
        <v>1373</v>
      </c>
      <c r="J777" s="572">
        <v>443.74</v>
      </c>
      <c r="K777" s="573" t="s">
        <v>716</v>
      </c>
      <c r="L777" s="572">
        <v>6241.37</v>
      </c>
      <c r="M777" s="571">
        <v>9.7899999999999991</v>
      </c>
      <c r="N777" s="570">
        <v>61103</v>
      </c>
      <c r="V777" s="674"/>
      <c r="W777" s="675"/>
      <c r="X777" s="675" t="s">
        <v>5618</v>
      </c>
      <c r="AD777" s="675"/>
      <c r="AE777" s="675"/>
      <c r="AG777" s="675"/>
      <c r="AH777" s="680"/>
    </row>
    <row r="778" spans="1:34" s="536" customFormat="1" ht="12" x14ac:dyDescent="0.2">
      <c r="A778" s="569"/>
      <c r="B778" s="671"/>
      <c r="C778" s="665" t="s">
        <v>1658</v>
      </c>
      <c r="D778" s="666"/>
      <c r="E778" s="666"/>
      <c r="F778" s="563"/>
      <c r="G778" s="563"/>
      <c r="H778" s="563"/>
      <c r="I778" s="563"/>
      <c r="J778" s="566"/>
      <c r="K778" s="563"/>
      <c r="L778" s="566"/>
      <c r="M778" s="565"/>
      <c r="N778" s="564"/>
      <c r="V778" s="674"/>
      <c r="W778" s="675"/>
      <c r="X778" s="675"/>
      <c r="AD778" s="675"/>
      <c r="AE778" s="675"/>
      <c r="AG778" s="675"/>
      <c r="AH778" s="680"/>
    </row>
    <row r="779" spans="1:34" s="536" customFormat="1" ht="22.5" x14ac:dyDescent="0.2">
      <c r="A779" s="609"/>
      <c r="B779" s="552" t="s">
        <v>718</v>
      </c>
      <c r="C779" s="1822" t="s">
        <v>719</v>
      </c>
      <c r="D779" s="1822"/>
      <c r="E779" s="1822"/>
      <c r="F779" s="1822"/>
      <c r="G779" s="1822"/>
      <c r="H779" s="1822"/>
      <c r="I779" s="1822"/>
      <c r="J779" s="1822"/>
      <c r="K779" s="1822"/>
      <c r="L779" s="1822"/>
      <c r="M779" s="1822"/>
      <c r="N779" s="1827"/>
      <c r="V779" s="674"/>
      <c r="W779" s="675"/>
      <c r="X779" s="675"/>
      <c r="Z779" s="537" t="s">
        <v>719</v>
      </c>
      <c r="AD779" s="675"/>
      <c r="AE779" s="675"/>
      <c r="AG779" s="675"/>
      <c r="AH779" s="680"/>
    </row>
    <row r="780" spans="1:34" s="536" customFormat="1" ht="12" x14ac:dyDescent="0.2">
      <c r="A780" s="575" t="s">
        <v>323</v>
      </c>
      <c r="B780" s="670" t="s">
        <v>5619</v>
      </c>
      <c r="C780" s="1823" t="s">
        <v>5620</v>
      </c>
      <c r="D780" s="1823"/>
      <c r="E780" s="1823"/>
      <c r="F780" s="573" t="s">
        <v>617</v>
      </c>
      <c r="G780" s="573"/>
      <c r="H780" s="573"/>
      <c r="I780" s="573" t="s">
        <v>1373</v>
      </c>
      <c r="J780" s="572"/>
      <c r="K780" s="573"/>
      <c r="L780" s="572"/>
      <c r="M780" s="571"/>
      <c r="N780" s="570"/>
      <c r="V780" s="674"/>
      <c r="W780" s="675"/>
      <c r="X780" s="675" t="s">
        <v>5620</v>
      </c>
      <c r="AD780" s="675"/>
      <c r="AE780" s="675"/>
      <c r="AG780" s="675"/>
      <c r="AH780" s="680"/>
    </row>
    <row r="781" spans="1:34" s="536" customFormat="1" ht="33.75" x14ac:dyDescent="0.2">
      <c r="A781" s="609"/>
      <c r="B781" s="552" t="s">
        <v>310</v>
      </c>
      <c r="C781" s="1822" t="s">
        <v>311</v>
      </c>
      <c r="D781" s="1822"/>
      <c r="E781" s="1822"/>
      <c r="F781" s="1822"/>
      <c r="G781" s="1822"/>
      <c r="H781" s="1822"/>
      <c r="I781" s="1822"/>
      <c r="J781" s="1822"/>
      <c r="K781" s="1822"/>
      <c r="L781" s="1822"/>
      <c r="M781" s="1822"/>
      <c r="N781" s="1827"/>
      <c r="V781" s="674"/>
      <c r="W781" s="675"/>
      <c r="X781" s="675"/>
      <c r="Z781" s="537" t="s">
        <v>311</v>
      </c>
      <c r="AD781" s="675"/>
      <c r="AE781" s="675"/>
      <c r="AG781" s="675"/>
      <c r="AH781" s="680"/>
    </row>
    <row r="782" spans="1:34" s="536" customFormat="1" ht="12" x14ac:dyDescent="0.2">
      <c r="A782" s="605"/>
      <c r="B782" s="552" t="s">
        <v>185</v>
      </c>
      <c r="C782" s="1822" t="s">
        <v>312</v>
      </c>
      <c r="D782" s="1822"/>
      <c r="E782" s="1822"/>
      <c r="F782" s="562"/>
      <c r="G782" s="562"/>
      <c r="H782" s="562"/>
      <c r="I782" s="562"/>
      <c r="J782" s="604">
        <v>10.220000000000001</v>
      </c>
      <c r="K782" s="562" t="s">
        <v>313</v>
      </c>
      <c r="L782" s="604">
        <v>1724.63</v>
      </c>
      <c r="M782" s="603"/>
      <c r="N782" s="602"/>
      <c r="V782" s="674"/>
      <c r="W782" s="675"/>
      <c r="X782" s="675"/>
      <c r="AA782" s="537" t="s">
        <v>312</v>
      </c>
      <c r="AD782" s="675"/>
      <c r="AE782" s="675"/>
      <c r="AG782" s="675"/>
      <c r="AH782" s="680"/>
    </row>
    <row r="783" spans="1:34" s="536" customFormat="1" ht="12" x14ac:dyDescent="0.2">
      <c r="A783" s="605"/>
      <c r="B783" s="552" t="s">
        <v>188</v>
      </c>
      <c r="C783" s="1822" t="s">
        <v>475</v>
      </c>
      <c r="D783" s="1822"/>
      <c r="E783" s="1822"/>
      <c r="F783" s="562"/>
      <c r="G783" s="562"/>
      <c r="H783" s="562"/>
      <c r="I783" s="562"/>
      <c r="J783" s="604">
        <v>0.38</v>
      </c>
      <c r="K783" s="562"/>
      <c r="L783" s="604">
        <v>51.3</v>
      </c>
      <c r="M783" s="603"/>
      <c r="N783" s="602"/>
      <c r="V783" s="674"/>
      <c r="W783" s="675"/>
      <c r="X783" s="675"/>
      <c r="AA783" s="537" t="s">
        <v>475</v>
      </c>
      <c r="AD783" s="675"/>
      <c r="AE783" s="675"/>
      <c r="AG783" s="675"/>
      <c r="AH783" s="680"/>
    </row>
    <row r="784" spans="1:34" s="536" customFormat="1" ht="12" x14ac:dyDescent="0.2">
      <c r="A784" s="605"/>
      <c r="B784" s="552"/>
      <c r="C784" s="1822" t="s">
        <v>314</v>
      </c>
      <c r="D784" s="1822"/>
      <c r="E784" s="1822"/>
      <c r="F784" s="562" t="s">
        <v>315</v>
      </c>
      <c r="G784" s="562" t="s">
        <v>702</v>
      </c>
      <c r="H784" s="562" t="s">
        <v>313</v>
      </c>
      <c r="I784" s="562" t="s">
        <v>5621</v>
      </c>
      <c r="J784" s="604"/>
      <c r="K784" s="562"/>
      <c r="L784" s="604"/>
      <c r="M784" s="603"/>
      <c r="N784" s="602"/>
      <c r="V784" s="674"/>
      <c r="W784" s="675"/>
      <c r="X784" s="675"/>
      <c r="AB784" s="537" t="s">
        <v>314</v>
      </c>
      <c r="AD784" s="675"/>
      <c r="AE784" s="675"/>
      <c r="AG784" s="675"/>
      <c r="AH784" s="680"/>
    </row>
    <row r="785" spans="1:34" s="536" customFormat="1" ht="12" x14ac:dyDescent="0.2">
      <c r="A785" s="605"/>
      <c r="B785" s="552"/>
      <c r="C785" s="1828" t="s">
        <v>318</v>
      </c>
      <c r="D785" s="1828"/>
      <c r="E785" s="1828"/>
      <c r="F785" s="608"/>
      <c r="G785" s="608"/>
      <c r="H785" s="608"/>
      <c r="I785" s="608"/>
      <c r="J785" s="607">
        <v>10.6</v>
      </c>
      <c r="K785" s="608"/>
      <c r="L785" s="607">
        <v>1775.93</v>
      </c>
      <c r="M785" s="601"/>
      <c r="N785" s="606"/>
      <c r="V785" s="674"/>
      <c r="W785" s="675"/>
      <c r="X785" s="675"/>
      <c r="AC785" s="537" t="s">
        <v>318</v>
      </c>
      <c r="AD785" s="675"/>
      <c r="AE785" s="675"/>
      <c r="AG785" s="675"/>
      <c r="AH785" s="680"/>
    </row>
    <row r="786" spans="1:34" s="536" customFormat="1" ht="12" x14ac:dyDescent="0.2">
      <c r="A786" s="605"/>
      <c r="B786" s="552"/>
      <c r="C786" s="1822" t="s">
        <v>319</v>
      </c>
      <c r="D786" s="1822"/>
      <c r="E786" s="1822"/>
      <c r="F786" s="562"/>
      <c r="G786" s="562"/>
      <c r="H786" s="562"/>
      <c r="I786" s="562"/>
      <c r="J786" s="604"/>
      <c r="K786" s="562"/>
      <c r="L786" s="604">
        <v>1724.63</v>
      </c>
      <c r="M786" s="603"/>
      <c r="N786" s="602"/>
      <c r="V786" s="674"/>
      <c r="W786" s="675"/>
      <c r="X786" s="675"/>
      <c r="AB786" s="537" t="s">
        <v>319</v>
      </c>
      <c r="AD786" s="675"/>
      <c r="AE786" s="675"/>
      <c r="AG786" s="675"/>
      <c r="AH786" s="680"/>
    </row>
    <row r="787" spans="1:34" s="536" customFormat="1" ht="33.75" x14ac:dyDescent="0.2">
      <c r="A787" s="605"/>
      <c r="B787" s="552" t="s">
        <v>1631</v>
      </c>
      <c r="C787" s="1822" t="s">
        <v>1632</v>
      </c>
      <c r="D787" s="1822"/>
      <c r="E787" s="1822"/>
      <c r="F787" s="562" t="s">
        <v>322</v>
      </c>
      <c r="G787" s="562" t="s">
        <v>1633</v>
      </c>
      <c r="H787" s="562"/>
      <c r="I787" s="562" t="s">
        <v>1633</v>
      </c>
      <c r="J787" s="604"/>
      <c r="K787" s="562"/>
      <c r="L787" s="604">
        <v>1672.89</v>
      </c>
      <c r="M787" s="603"/>
      <c r="N787" s="602"/>
      <c r="V787" s="674"/>
      <c r="W787" s="675"/>
      <c r="X787" s="675"/>
      <c r="AB787" s="537" t="s">
        <v>1632</v>
      </c>
      <c r="AD787" s="675"/>
      <c r="AE787" s="675"/>
      <c r="AG787" s="675"/>
      <c r="AH787" s="680"/>
    </row>
    <row r="788" spans="1:34" s="536" customFormat="1" ht="33.75" x14ac:dyDescent="0.2">
      <c r="A788" s="605"/>
      <c r="B788" s="552" t="s">
        <v>1634</v>
      </c>
      <c r="C788" s="1822" t="s">
        <v>1635</v>
      </c>
      <c r="D788" s="1822"/>
      <c r="E788" s="1822"/>
      <c r="F788" s="562" t="s">
        <v>322</v>
      </c>
      <c r="G788" s="562" t="s">
        <v>786</v>
      </c>
      <c r="H788" s="562"/>
      <c r="I788" s="562" t="s">
        <v>786</v>
      </c>
      <c r="J788" s="604"/>
      <c r="K788" s="562"/>
      <c r="L788" s="604">
        <v>879.56</v>
      </c>
      <c r="M788" s="603"/>
      <c r="N788" s="602"/>
      <c r="V788" s="674"/>
      <c r="W788" s="675"/>
      <c r="X788" s="675"/>
      <c r="AB788" s="537" t="s">
        <v>1635</v>
      </c>
      <c r="AD788" s="675"/>
      <c r="AE788" s="675"/>
      <c r="AG788" s="675"/>
      <c r="AH788" s="680"/>
    </row>
    <row r="789" spans="1:34" s="536" customFormat="1" ht="12" x14ac:dyDescent="0.2">
      <c r="A789" s="569"/>
      <c r="B789" s="671"/>
      <c r="C789" s="1823" t="s">
        <v>327</v>
      </c>
      <c r="D789" s="1823"/>
      <c r="E789" s="1823"/>
      <c r="F789" s="573"/>
      <c r="G789" s="573"/>
      <c r="H789" s="573"/>
      <c r="I789" s="573"/>
      <c r="J789" s="572"/>
      <c r="K789" s="573"/>
      <c r="L789" s="572">
        <v>4328.38</v>
      </c>
      <c r="M789" s="601"/>
      <c r="N789" s="570"/>
      <c r="V789" s="674"/>
      <c r="W789" s="675"/>
      <c r="X789" s="675"/>
      <c r="AD789" s="675" t="s">
        <v>327</v>
      </c>
      <c r="AE789" s="675"/>
      <c r="AG789" s="675"/>
      <c r="AH789" s="680"/>
    </row>
    <row r="790" spans="1:34" s="536" customFormat="1" ht="33.75" x14ac:dyDescent="0.2">
      <c r="A790" s="575" t="s">
        <v>971</v>
      </c>
      <c r="B790" s="670" t="s">
        <v>5622</v>
      </c>
      <c r="C790" s="1823" t="s">
        <v>5623</v>
      </c>
      <c r="D790" s="1823"/>
      <c r="E790" s="1823"/>
      <c r="F790" s="573" t="s">
        <v>617</v>
      </c>
      <c r="G790" s="573"/>
      <c r="H790" s="573"/>
      <c r="I790" s="573" t="s">
        <v>1373</v>
      </c>
      <c r="J790" s="572">
        <v>203.66</v>
      </c>
      <c r="K790" s="573" t="s">
        <v>629</v>
      </c>
      <c r="L790" s="572">
        <v>6061.87</v>
      </c>
      <c r="M790" s="571">
        <v>4.59</v>
      </c>
      <c r="N790" s="570">
        <v>27824</v>
      </c>
      <c r="V790" s="674"/>
      <c r="W790" s="675"/>
      <c r="X790" s="675" t="s">
        <v>5623</v>
      </c>
      <c r="AD790" s="675"/>
      <c r="AE790" s="675"/>
      <c r="AG790" s="675"/>
      <c r="AH790" s="680"/>
    </row>
    <row r="791" spans="1:34" s="536" customFormat="1" ht="12" x14ac:dyDescent="0.2">
      <c r="A791" s="569"/>
      <c r="B791" s="671"/>
      <c r="C791" s="665" t="s">
        <v>630</v>
      </c>
      <c r="D791" s="666"/>
      <c r="E791" s="666"/>
      <c r="F791" s="563"/>
      <c r="G791" s="563"/>
      <c r="H791" s="563"/>
      <c r="I791" s="563"/>
      <c r="J791" s="566"/>
      <c r="K791" s="563"/>
      <c r="L791" s="566"/>
      <c r="M791" s="565"/>
      <c r="N791" s="564"/>
      <c r="V791" s="674"/>
      <c r="W791" s="675"/>
      <c r="X791" s="675"/>
      <c r="AD791" s="675"/>
      <c r="AE791" s="675"/>
      <c r="AG791" s="675"/>
      <c r="AH791" s="680"/>
    </row>
    <row r="792" spans="1:34" s="536" customFormat="1" ht="22.5" x14ac:dyDescent="0.2">
      <c r="A792" s="609"/>
      <c r="B792" s="552" t="s">
        <v>1638</v>
      </c>
      <c r="C792" s="1822" t="s">
        <v>632</v>
      </c>
      <c r="D792" s="1822"/>
      <c r="E792" s="1822"/>
      <c r="F792" s="1822"/>
      <c r="G792" s="1822"/>
      <c r="H792" s="1822"/>
      <c r="I792" s="1822"/>
      <c r="J792" s="1822"/>
      <c r="K792" s="1822"/>
      <c r="L792" s="1822"/>
      <c r="M792" s="1822"/>
      <c r="N792" s="1827"/>
      <c r="V792" s="674"/>
      <c r="W792" s="675"/>
      <c r="X792" s="675"/>
      <c r="Z792" s="537" t="s">
        <v>632</v>
      </c>
      <c r="AD792" s="675"/>
      <c r="AE792" s="675"/>
      <c r="AG792" s="675"/>
      <c r="AH792" s="680"/>
    </row>
    <row r="793" spans="1:34" s="536" customFormat="1" ht="22.5" x14ac:dyDescent="0.2">
      <c r="A793" s="575" t="s">
        <v>2418</v>
      </c>
      <c r="B793" s="670" t="s">
        <v>1695</v>
      </c>
      <c r="C793" s="1823" t="s">
        <v>1696</v>
      </c>
      <c r="D793" s="1823"/>
      <c r="E793" s="1823"/>
      <c r="F793" s="573" t="s">
        <v>307</v>
      </c>
      <c r="G793" s="573"/>
      <c r="H793" s="573"/>
      <c r="I793" s="573" t="s">
        <v>1217</v>
      </c>
      <c r="J793" s="572">
        <v>118</v>
      </c>
      <c r="K793" s="573"/>
      <c r="L793" s="572">
        <v>318.60000000000002</v>
      </c>
      <c r="M793" s="571"/>
      <c r="N793" s="570"/>
      <c r="V793" s="674"/>
      <c r="W793" s="675"/>
      <c r="X793" s="675" t="s">
        <v>1696</v>
      </c>
      <c r="AD793" s="675"/>
      <c r="AE793" s="675"/>
      <c r="AG793" s="675"/>
      <c r="AH793" s="680"/>
    </row>
    <row r="794" spans="1:34" s="536" customFormat="1" ht="12" x14ac:dyDescent="0.2">
      <c r="A794" s="569"/>
      <c r="B794" s="671"/>
      <c r="C794" s="665" t="s">
        <v>1658</v>
      </c>
      <c r="D794" s="666"/>
      <c r="E794" s="666"/>
      <c r="F794" s="563"/>
      <c r="G794" s="563"/>
      <c r="H794" s="563"/>
      <c r="I794" s="563"/>
      <c r="J794" s="566"/>
      <c r="K794" s="563"/>
      <c r="L794" s="566"/>
      <c r="M794" s="565"/>
      <c r="N794" s="564"/>
      <c r="V794" s="674"/>
      <c r="W794" s="675"/>
      <c r="X794" s="675"/>
      <c r="AD794" s="675"/>
      <c r="AE794" s="675"/>
      <c r="AG794" s="675"/>
      <c r="AH794" s="680"/>
    </row>
    <row r="795" spans="1:34" s="536" customFormat="1" ht="12" x14ac:dyDescent="0.2">
      <c r="A795" s="676"/>
      <c r="B795" s="664"/>
      <c r="C795" s="1822" t="s">
        <v>5624</v>
      </c>
      <c r="D795" s="1822"/>
      <c r="E795" s="1822"/>
      <c r="F795" s="1822"/>
      <c r="G795" s="1822"/>
      <c r="H795" s="1822"/>
      <c r="I795" s="1822"/>
      <c r="J795" s="1822"/>
      <c r="K795" s="1822"/>
      <c r="L795" s="1822"/>
      <c r="M795" s="1822"/>
      <c r="N795" s="1827"/>
      <c r="V795" s="674"/>
      <c r="W795" s="675"/>
      <c r="X795" s="675"/>
      <c r="Y795" s="537" t="s">
        <v>5624</v>
      </c>
      <c r="AD795" s="675"/>
      <c r="AE795" s="675"/>
      <c r="AG795" s="675"/>
      <c r="AH795" s="680"/>
    </row>
    <row r="796" spans="1:34" s="536" customFormat="1" ht="22.5" x14ac:dyDescent="0.2">
      <c r="A796" s="575" t="s">
        <v>462</v>
      </c>
      <c r="B796" s="670" t="s">
        <v>5625</v>
      </c>
      <c r="C796" s="1823" t="s">
        <v>5626</v>
      </c>
      <c r="D796" s="1823"/>
      <c r="E796" s="1823"/>
      <c r="F796" s="573" t="s">
        <v>1110</v>
      </c>
      <c r="G796" s="573"/>
      <c r="H796" s="573"/>
      <c r="I796" s="573" t="s">
        <v>1846</v>
      </c>
      <c r="J796" s="572"/>
      <c r="K796" s="573"/>
      <c r="L796" s="572"/>
      <c r="M796" s="571"/>
      <c r="N796" s="570"/>
      <c r="V796" s="674"/>
      <c r="W796" s="675"/>
      <c r="X796" s="675" t="s">
        <v>5626</v>
      </c>
      <c r="AD796" s="675"/>
      <c r="AE796" s="675"/>
      <c r="AG796" s="675"/>
      <c r="AH796" s="680"/>
    </row>
    <row r="797" spans="1:34" s="536" customFormat="1" ht="12" x14ac:dyDescent="0.2">
      <c r="A797" s="676"/>
      <c r="B797" s="664"/>
      <c r="C797" s="1822" t="s">
        <v>5627</v>
      </c>
      <c r="D797" s="1822"/>
      <c r="E797" s="1822"/>
      <c r="F797" s="1822"/>
      <c r="G797" s="1822"/>
      <c r="H797" s="1822"/>
      <c r="I797" s="1822"/>
      <c r="J797" s="1822"/>
      <c r="K797" s="1822"/>
      <c r="L797" s="1822"/>
      <c r="M797" s="1822"/>
      <c r="N797" s="1827"/>
      <c r="V797" s="674"/>
      <c r="W797" s="675"/>
      <c r="X797" s="675"/>
      <c r="Y797" s="537" t="s">
        <v>5627</v>
      </c>
      <c r="AD797" s="675"/>
      <c r="AE797" s="675"/>
      <c r="AG797" s="675"/>
      <c r="AH797" s="680"/>
    </row>
    <row r="798" spans="1:34" s="536" customFormat="1" ht="33.75" x14ac:dyDescent="0.2">
      <c r="A798" s="609"/>
      <c r="B798" s="552" t="s">
        <v>310</v>
      </c>
      <c r="C798" s="1822" t="s">
        <v>311</v>
      </c>
      <c r="D798" s="1822"/>
      <c r="E798" s="1822"/>
      <c r="F798" s="1822"/>
      <c r="G798" s="1822"/>
      <c r="H798" s="1822"/>
      <c r="I798" s="1822"/>
      <c r="J798" s="1822"/>
      <c r="K798" s="1822"/>
      <c r="L798" s="1822"/>
      <c r="M798" s="1822"/>
      <c r="N798" s="1827"/>
      <c r="V798" s="674"/>
      <c r="W798" s="675"/>
      <c r="X798" s="675"/>
      <c r="Z798" s="537" t="s">
        <v>311</v>
      </c>
      <c r="AD798" s="675"/>
      <c r="AE798" s="675"/>
      <c r="AG798" s="675"/>
      <c r="AH798" s="680"/>
    </row>
    <row r="799" spans="1:34" s="536" customFormat="1" ht="12" x14ac:dyDescent="0.2">
      <c r="A799" s="605"/>
      <c r="B799" s="552" t="s">
        <v>185</v>
      </c>
      <c r="C799" s="1822" t="s">
        <v>312</v>
      </c>
      <c r="D799" s="1822"/>
      <c r="E799" s="1822"/>
      <c r="F799" s="562"/>
      <c r="G799" s="562"/>
      <c r="H799" s="562"/>
      <c r="I799" s="562"/>
      <c r="J799" s="604">
        <v>80.459999999999994</v>
      </c>
      <c r="K799" s="562" t="s">
        <v>313</v>
      </c>
      <c r="L799" s="604">
        <v>27.16</v>
      </c>
      <c r="M799" s="603"/>
      <c r="N799" s="602"/>
      <c r="V799" s="674"/>
      <c r="W799" s="675"/>
      <c r="X799" s="675"/>
      <c r="AA799" s="537" t="s">
        <v>312</v>
      </c>
      <c r="AD799" s="675"/>
      <c r="AE799" s="675"/>
      <c r="AG799" s="675"/>
      <c r="AH799" s="680"/>
    </row>
    <row r="800" spans="1:34" s="536" customFormat="1" ht="12" x14ac:dyDescent="0.2">
      <c r="A800" s="605"/>
      <c r="B800" s="552" t="s">
        <v>186</v>
      </c>
      <c r="C800" s="1822" t="s">
        <v>344</v>
      </c>
      <c r="D800" s="1822"/>
      <c r="E800" s="1822"/>
      <c r="F800" s="562"/>
      <c r="G800" s="562"/>
      <c r="H800" s="562"/>
      <c r="I800" s="562"/>
      <c r="J800" s="604">
        <v>95.01</v>
      </c>
      <c r="K800" s="562" t="s">
        <v>313</v>
      </c>
      <c r="L800" s="604">
        <v>32.07</v>
      </c>
      <c r="M800" s="603"/>
      <c r="N800" s="602"/>
      <c r="V800" s="674"/>
      <c r="W800" s="675"/>
      <c r="X800" s="675"/>
      <c r="AA800" s="537" t="s">
        <v>344</v>
      </c>
      <c r="AD800" s="675"/>
      <c r="AE800" s="675"/>
      <c r="AG800" s="675"/>
      <c r="AH800" s="680"/>
    </row>
    <row r="801" spans="1:34" s="536" customFormat="1" ht="12" x14ac:dyDescent="0.2">
      <c r="A801" s="605"/>
      <c r="B801" s="552" t="s">
        <v>187</v>
      </c>
      <c r="C801" s="1822" t="s">
        <v>345</v>
      </c>
      <c r="D801" s="1822"/>
      <c r="E801" s="1822"/>
      <c r="F801" s="562"/>
      <c r="G801" s="562"/>
      <c r="H801" s="562"/>
      <c r="I801" s="562"/>
      <c r="J801" s="604">
        <v>23.33</v>
      </c>
      <c r="K801" s="562" t="s">
        <v>313</v>
      </c>
      <c r="L801" s="604">
        <v>7.87</v>
      </c>
      <c r="M801" s="603"/>
      <c r="N801" s="602"/>
      <c r="V801" s="674"/>
      <c r="W801" s="675"/>
      <c r="X801" s="675"/>
      <c r="AA801" s="537" t="s">
        <v>345</v>
      </c>
      <c r="AD801" s="675"/>
      <c r="AE801" s="675"/>
      <c r="AG801" s="675"/>
      <c r="AH801" s="680"/>
    </row>
    <row r="802" spans="1:34" s="536" customFormat="1" ht="12" x14ac:dyDescent="0.2">
      <c r="A802" s="605"/>
      <c r="B802" s="552" t="s">
        <v>188</v>
      </c>
      <c r="C802" s="1822" t="s">
        <v>475</v>
      </c>
      <c r="D802" s="1822"/>
      <c r="E802" s="1822"/>
      <c r="F802" s="562"/>
      <c r="G802" s="562"/>
      <c r="H802" s="562"/>
      <c r="I802" s="562"/>
      <c r="J802" s="604">
        <v>407.53</v>
      </c>
      <c r="K802" s="562"/>
      <c r="L802" s="604">
        <v>110.03</v>
      </c>
      <c r="M802" s="603"/>
      <c r="N802" s="602"/>
      <c r="V802" s="674"/>
      <c r="W802" s="675"/>
      <c r="X802" s="675"/>
      <c r="AA802" s="537" t="s">
        <v>475</v>
      </c>
      <c r="AD802" s="675"/>
      <c r="AE802" s="675"/>
      <c r="AG802" s="675"/>
      <c r="AH802" s="680"/>
    </row>
    <row r="803" spans="1:34" s="536" customFormat="1" ht="12" x14ac:dyDescent="0.2">
      <c r="A803" s="605"/>
      <c r="B803" s="552"/>
      <c r="C803" s="1822" t="s">
        <v>314</v>
      </c>
      <c r="D803" s="1822"/>
      <c r="E803" s="1822"/>
      <c r="F803" s="562" t="s">
        <v>315</v>
      </c>
      <c r="G803" s="562" t="s">
        <v>5628</v>
      </c>
      <c r="H803" s="562" t="s">
        <v>313</v>
      </c>
      <c r="I803" s="562" t="s">
        <v>5629</v>
      </c>
      <c r="J803" s="604"/>
      <c r="K803" s="562"/>
      <c r="L803" s="604"/>
      <c r="M803" s="603"/>
      <c r="N803" s="602"/>
      <c r="V803" s="674"/>
      <c r="W803" s="675"/>
      <c r="X803" s="675"/>
      <c r="AB803" s="537" t="s">
        <v>314</v>
      </c>
      <c r="AD803" s="675"/>
      <c r="AE803" s="675"/>
      <c r="AG803" s="675"/>
      <c r="AH803" s="680"/>
    </row>
    <row r="804" spans="1:34" s="536" customFormat="1" ht="12" x14ac:dyDescent="0.2">
      <c r="A804" s="605"/>
      <c r="B804" s="552"/>
      <c r="C804" s="1822" t="s">
        <v>348</v>
      </c>
      <c r="D804" s="1822"/>
      <c r="E804" s="1822"/>
      <c r="F804" s="562" t="s">
        <v>315</v>
      </c>
      <c r="G804" s="562" t="s">
        <v>5630</v>
      </c>
      <c r="H804" s="562" t="s">
        <v>313</v>
      </c>
      <c r="I804" s="562" t="s">
        <v>5631</v>
      </c>
      <c r="J804" s="604"/>
      <c r="K804" s="562"/>
      <c r="L804" s="604"/>
      <c r="M804" s="603"/>
      <c r="N804" s="602"/>
      <c r="V804" s="674"/>
      <c r="W804" s="675"/>
      <c r="X804" s="675"/>
      <c r="AB804" s="537" t="s">
        <v>348</v>
      </c>
      <c r="AD804" s="675"/>
      <c r="AE804" s="675"/>
      <c r="AG804" s="675"/>
      <c r="AH804" s="680"/>
    </row>
    <row r="805" spans="1:34" s="536" customFormat="1" ht="12" x14ac:dyDescent="0.2">
      <c r="A805" s="605"/>
      <c r="B805" s="552"/>
      <c r="C805" s="1828" t="s">
        <v>318</v>
      </c>
      <c r="D805" s="1828"/>
      <c r="E805" s="1828"/>
      <c r="F805" s="608"/>
      <c r="G805" s="608"/>
      <c r="H805" s="608"/>
      <c r="I805" s="608"/>
      <c r="J805" s="607">
        <v>583</v>
      </c>
      <c r="K805" s="608"/>
      <c r="L805" s="607">
        <v>169.26</v>
      </c>
      <c r="M805" s="601"/>
      <c r="N805" s="606"/>
      <c r="V805" s="674"/>
      <c r="W805" s="675"/>
      <c r="X805" s="675"/>
      <c r="AC805" s="537" t="s">
        <v>318</v>
      </c>
      <c r="AD805" s="675"/>
      <c r="AE805" s="675"/>
      <c r="AG805" s="675"/>
      <c r="AH805" s="680"/>
    </row>
    <row r="806" spans="1:34" s="536" customFormat="1" ht="12" x14ac:dyDescent="0.2">
      <c r="A806" s="605"/>
      <c r="B806" s="552"/>
      <c r="C806" s="1822" t="s">
        <v>319</v>
      </c>
      <c r="D806" s="1822"/>
      <c r="E806" s="1822"/>
      <c r="F806" s="562"/>
      <c r="G806" s="562"/>
      <c r="H806" s="562"/>
      <c r="I806" s="562"/>
      <c r="J806" s="604"/>
      <c r="K806" s="562"/>
      <c r="L806" s="604">
        <v>35.03</v>
      </c>
      <c r="M806" s="603"/>
      <c r="N806" s="602"/>
      <c r="V806" s="674"/>
      <c r="W806" s="675"/>
      <c r="X806" s="675"/>
      <c r="AB806" s="537" t="s">
        <v>319</v>
      </c>
      <c r="AD806" s="675"/>
      <c r="AE806" s="675"/>
      <c r="AG806" s="675"/>
      <c r="AH806" s="680"/>
    </row>
    <row r="807" spans="1:34" s="536" customFormat="1" ht="33.75" x14ac:dyDescent="0.2">
      <c r="A807" s="605"/>
      <c r="B807" s="552" t="s">
        <v>1631</v>
      </c>
      <c r="C807" s="1822" t="s">
        <v>1632</v>
      </c>
      <c r="D807" s="1822"/>
      <c r="E807" s="1822"/>
      <c r="F807" s="562" t="s">
        <v>322</v>
      </c>
      <c r="G807" s="562" t="s">
        <v>1633</v>
      </c>
      <c r="H807" s="562"/>
      <c r="I807" s="562" t="s">
        <v>1633</v>
      </c>
      <c r="J807" s="604"/>
      <c r="K807" s="562"/>
      <c r="L807" s="604">
        <v>33.979999999999997</v>
      </c>
      <c r="M807" s="603"/>
      <c r="N807" s="602"/>
      <c r="V807" s="674"/>
      <c r="W807" s="675"/>
      <c r="X807" s="675"/>
      <c r="AB807" s="537" t="s">
        <v>1632</v>
      </c>
      <c r="AD807" s="675"/>
      <c r="AE807" s="675"/>
      <c r="AG807" s="675"/>
      <c r="AH807" s="680"/>
    </row>
    <row r="808" spans="1:34" s="536" customFormat="1" ht="33.75" x14ac:dyDescent="0.2">
      <c r="A808" s="605"/>
      <c r="B808" s="552" t="s">
        <v>1634</v>
      </c>
      <c r="C808" s="1822" t="s">
        <v>1635</v>
      </c>
      <c r="D808" s="1822"/>
      <c r="E808" s="1822"/>
      <c r="F808" s="562" t="s">
        <v>322</v>
      </c>
      <c r="G808" s="562" t="s">
        <v>786</v>
      </c>
      <c r="H808" s="562"/>
      <c r="I808" s="562" t="s">
        <v>786</v>
      </c>
      <c r="J808" s="604"/>
      <c r="K808" s="562"/>
      <c r="L808" s="604">
        <v>17.87</v>
      </c>
      <c r="M808" s="603"/>
      <c r="N808" s="602"/>
      <c r="V808" s="674"/>
      <c r="W808" s="675"/>
      <c r="X808" s="675"/>
      <c r="AB808" s="537" t="s">
        <v>1635</v>
      </c>
      <c r="AD808" s="675"/>
      <c r="AE808" s="675"/>
      <c r="AG808" s="675"/>
      <c r="AH808" s="680"/>
    </row>
    <row r="809" spans="1:34" s="536" customFormat="1" ht="12" x14ac:dyDescent="0.2">
      <c r="A809" s="569"/>
      <c r="B809" s="671"/>
      <c r="C809" s="1823" t="s">
        <v>327</v>
      </c>
      <c r="D809" s="1823"/>
      <c r="E809" s="1823"/>
      <c r="F809" s="573"/>
      <c r="G809" s="573"/>
      <c r="H809" s="573"/>
      <c r="I809" s="573"/>
      <c r="J809" s="572"/>
      <c r="K809" s="573"/>
      <c r="L809" s="572">
        <v>221.11</v>
      </c>
      <c r="M809" s="601"/>
      <c r="N809" s="570"/>
      <c r="V809" s="674"/>
      <c r="W809" s="675"/>
      <c r="X809" s="675"/>
      <c r="AD809" s="675" t="s">
        <v>327</v>
      </c>
      <c r="AE809" s="675"/>
      <c r="AG809" s="675"/>
      <c r="AH809" s="680"/>
    </row>
    <row r="810" spans="1:34" s="536" customFormat="1" ht="22.5" x14ac:dyDescent="0.2">
      <c r="A810" s="575" t="s">
        <v>650</v>
      </c>
      <c r="B810" s="670" t="s">
        <v>5632</v>
      </c>
      <c r="C810" s="1823" t="s">
        <v>5633</v>
      </c>
      <c r="D810" s="1823"/>
      <c r="E810" s="1823"/>
      <c r="F810" s="573" t="s">
        <v>307</v>
      </c>
      <c r="G810" s="573"/>
      <c r="H810" s="573"/>
      <c r="I810" s="573" t="s">
        <v>4238</v>
      </c>
      <c r="J810" s="572">
        <v>403</v>
      </c>
      <c r="K810" s="573"/>
      <c r="L810" s="572">
        <v>4574.05</v>
      </c>
      <c r="M810" s="571"/>
      <c r="N810" s="570"/>
      <c r="V810" s="674"/>
      <c r="W810" s="675"/>
      <c r="X810" s="675" t="s">
        <v>5633</v>
      </c>
      <c r="AD810" s="675"/>
      <c r="AE810" s="675"/>
      <c r="AG810" s="675"/>
      <c r="AH810" s="680"/>
    </row>
    <row r="811" spans="1:34" s="536" customFormat="1" ht="12" x14ac:dyDescent="0.2">
      <c r="A811" s="569"/>
      <c r="B811" s="671"/>
      <c r="C811" s="665" t="s">
        <v>1658</v>
      </c>
      <c r="D811" s="666"/>
      <c r="E811" s="666"/>
      <c r="F811" s="563"/>
      <c r="G811" s="563"/>
      <c r="H811" s="563"/>
      <c r="I811" s="563"/>
      <c r="J811" s="566"/>
      <c r="K811" s="563"/>
      <c r="L811" s="566"/>
      <c r="M811" s="565"/>
      <c r="N811" s="564"/>
      <c r="V811" s="674"/>
      <c r="W811" s="675"/>
      <c r="X811" s="675"/>
      <c r="AD811" s="675"/>
      <c r="AE811" s="675"/>
      <c r="AG811" s="675"/>
      <c r="AH811" s="680"/>
    </row>
    <row r="812" spans="1:34" s="536" customFormat="1" ht="12" x14ac:dyDescent="0.2">
      <c r="A812" s="676"/>
      <c r="B812" s="664"/>
      <c r="C812" s="1822" t="s">
        <v>5634</v>
      </c>
      <c r="D812" s="1822"/>
      <c r="E812" s="1822"/>
      <c r="F812" s="1822"/>
      <c r="G812" s="1822"/>
      <c r="H812" s="1822"/>
      <c r="I812" s="1822"/>
      <c r="J812" s="1822"/>
      <c r="K812" s="1822"/>
      <c r="L812" s="1822"/>
      <c r="M812" s="1822"/>
      <c r="N812" s="1827"/>
      <c r="V812" s="674"/>
      <c r="W812" s="675"/>
      <c r="X812" s="675"/>
      <c r="Y812" s="537" t="s">
        <v>5634</v>
      </c>
      <c r="AD812" s="675"/>
      <c r="AE812" s="675"/>
      <c r="AG812" s="675"/>
      <c r="AH812" s="680"/>
    </row>
    <row r="813" spans="1:34" s="536" customFormat="1" ht="1.5" customHeight="1" x14ac:dyDescent="0.2">
      <c r="A813" s="563"/>
      <c r="B813" s="671"/>
      <c r="C813" s="671"/>
      <c r="D813" s="671"/>
      <c r="E813" s="671"/>
      <c r="F813" s="563"/>
      <c r="G813" s="563"/>
      <c r="H813" s="563"/>
      <c r="I813" s="563"/>
      <c r="J813" s="546"/>
      <c r="K813" s="563"/>
      <c r="L813" s="546"/>
      <c r="M813" s="562"/>
      <c r="N813" s="546"/>
      <c r="V813" s="674"/>
      <c r="W813" s="675"/>
      <c r="X813" s="675"/>
      <c r="AD813" s="675"/>
      <c r="AE813" s="675"/>
      <c r="AG813" s="675"/>
      <c r="AH813" s="680"/>
    </row>
    <row r="814" spans="1:34" s="536" customFormat="1" ht="12" x14ac:dyDescent="0.2">
      <c r="A814" s="557"/>
      <c r="B814" s="556"/>
      <c r="C814" s="1823" t="s">
        <v>5635</v>
      </c>
      <c r="D814" s="1823"/>
      <c r="E814" s="1823"/>
      <c r="F814" s="1823"/>
      <c r="G814" s="1823"/>
      <c r="H814" s="1823"/>
      <c r="I814" s="1823"/>
      <c r="J814" s="1823"/>
      <c r="K814" s="1823"/>
      <c r="L814" s="555"/>
      <c r="M814" s="554"/>
      <c r="N814" s="553"/>
      <c r="V814" s="674"/>
      <c r="W814" s="675"/>
      <c r="X814" s="675"/>
      <c r="AD814" s="675"/>
      <c r="AE814" s="675" t="s">
        <v>5635</v>
      </c>
      <c r="AG814" s="675"/>
      <c r="AH814" s="680"/>
    </row>
    <row r="815" spans="1:34" s="536" customFormat="1" ht="12" x14ac:dyDescent="0.2">
      <c r="A815" s="548"/>
      <c r="B815" s="552"/>
      <c r="C815" s="1822" t="s">
        <v>403</v>
      </c>
      <c r="D815" s="1822"/>
      <c r="E815" s="1822"/>
      <c r="F815" s="1822"/>
      <c r="G815" s="1822"/>
      <c r="H815" s="1822"/>
      <c r="I815" s="1822"/>
      <c r="J815" s="1822"/>
      <c r="K815" s="1822"/>
      <c r="L815" s="551">
        <v>1885997.77</v>
      </c>
      <c r="M815" s="550"/>
      <c r="N815" s="549"/>
      <c r="V815" s="674"/>
      <c r="W815" s="675"/>
      <c r="X815" s="675"/>
      <c r="AD815" s="675"/>
      <c r="AE815" s="675"/>
      <c r="AF815" s="537" t="s">
        <v>403</v>
      </c>
      <c r="AG815" s="675"/>
      <c r="AH815" s="680"/>
    </row>
    <row r="816" spans="1:34" s="536" customFormat="1" ht="12" x14ac:dyDescent="0.2">
      <c r="A816" s="548"/>
      <c r="B816" s="552"/>
      <c r="C816" s="1822" t="s">
        <v>204</v>
      </c>
      <c r="D816" s="1822"/>
      <c r="E816" s="1822"/>
      <c r="F816" s="1822"/>
      <c r="G816" s="1822"/>
      <c r="H816" s="1822"/>
      <c r="I816" s="1822"/>
      <c r="J816" s="1822"/>
      <c r="K816" s="1822"/>
      <c r="L816" s="551"/>
      <c r="M816" s="550"/>
      <c r="N816" s="549"/>
      <c r="V816" s="674"/>
      <c r="W816" s="675"/>
      <c r="X816" s="675"/>
      <c r="AD816" s="675"/>
      <c r="AE816" s="675"/>
      <c r="AF816" s="537" t="s">
        <v>204</v>
      </c>
      <c r="AG816" s="675"/>
      <c r="AH816" s="680"/>
    </row>
    <row r="817" spans="1:34" s="536" customFormat="1" ht="12" x14ac:dyDescent="0.2">
      <c r="A817" s="548"/>
      <c r="B817" s="552"/>
      <c r="C817" s="1822" t="s">
        <v>404</v>
      </c>
      <c r="D817" s="1822"/>
      <c r="E817" s="1822"/>
      <c r="F817" s="1822"/>
      <c r="G817" s="1822"/>
      <c r="H817" s="1822"/>
      <c r="I817" s="1822"/>
      <c r="J817" s="1822"/>
      <c r="K817" s="1822"/>
      <c r="L817" s="551">
        <v>30449.759999999998</v>
      </c>
      <c r="M817" s="550"/>
      <c r="N817" s="549"/>
      <c r="V817" s="674"/>
      <c r="W817" s="675"/>
      <c r="X817" s="675"/>
      <c r="AD817" s="675"/>
      <c r="AE817" s="675"/>
      <c r="AF817" s="537" t="s">
        <v>404</v>
      </c>
      <c r="AG817" s="675"/>
      <c r="AH817" s="680"/>
    </row>
    <row r="818" spans="1:34" s="536" customFormat="1" ht="12" x14ac:dyDescent="0.2">
      <c r="A818" s="548"/>
      <c r="B818" s="552"/>
      <c r="C818" s="1822" t="s">
        <v>405</v>
      </c>
      <c r="D818" s="1822"/>
      <c r="E818" s="1822"/>
      <c r="F818" s="1822"/>
      <c r="G818" s="1822"/>
      <c r="H818" s="1822"/>
      <c r="I818" s="1822"/>
      <c r="J818" s="1822"/>
      <c r="K818" s="1822"/>
      <c r="L818" s="551">
        <v>43114.23</v>
      </c>
      <c r="M818" s="550"/>
      <c r="N818" s="549"/>
      <c r="V818" s="674"/>
      <c r="W818" s="675"/>
      <c r="X818" s="675"/>
      <c r="AD818" s="675"/>
      <c r="AE818" s="675"/>
      <c r="AF818" s="537" t="s">
        <v>405</v>
      </c>
      <c r="AG818" s="675"/>
      <c r="AH818" s="680"/>
    </row>
    <row r="819" spans="1:34" s="536" customFormat="1" ht="12" x14ac:dyDescent="0.2">
      <c r="A819" s="548"/>
      <c r="B819" s="552"/>
      <c r="C819" s="1822" t="s">
        <v>406</v>
      </c>
      <c r="D819" s="1822"/>
      <c r="E819" s="1822"/>
      <c r="F819" s="1822"/>
      <c r="G819" s="1822"/>
      <c r="H819" s="1822"/>
      <c r="I819" s="1822"/>
      <c r="J819" s="1822"/>
      <c r="K819" s="1822"/>
      <c r="L819" s="551">
        <v>3950.37</v>
      </c>
      <c r="M819" s="550"/>
      <c r="N819" s="549"/>
      <c r="V819" s="674"/>
      <c r="W819" s="675"/>
      <c r="X819" s="675"/>
      <c r="AD819" s="675"/>
      <c r="AE819" s="675"/>
      <c r="AF819" s="537" t="s">
        <v>406</v>
      </c>
      <c r="AG819" s="675"/>
      <c r="AH819" s="680"/>
    </row>
    <row r="820" spans="1:34" s="536" customFormat="1" ht="12" x14ac:dyDescent="0.2">
      <c r="A820" s="548"/>
      <c r="B820" s="552"/>
      <c r="C820" s="1822" t="s">
        <v>480</v>
      </c>
      <c r="D820" s="1822"/>
      <c r="E820" s="1822"/>
      <c r="F820" s="1822"/>
      <c r="G820" s="1822"/>
      <c r="H820" s="1822"/>
      <c r="I820" s="1822"/>
      <c r="J820" s="1822"/>
      <c r="K820" s="1822"/>
      <c r="L820" s="551">
        <v>1812433.78</v>
      </c>
      <c r="M820" s="550"/>
      <c r="N820" s="549"/>
      <c r="V820" s="674"/>
      <c r="W820" s="675"/>
      <c r="X820" s="675"/>
      <c r="AD820" s="675"/>
      <c r="AE820" s="675"/>
      <c r="AF820" s="537" t="s">
        <v>480</v>
      </c>
      <c r="AG820" s="675"/>
      <c r="AH820" s="680"/>
    </row>
    <row r="821" spans="1:34" s="536" customFormat="1" ht="12" x14ac:dyDescent="0.2">
      <c r="A821" s="548"/>
      <c r="B821" s="552"/>
      <c r="C821" s="1822" t="s">
        <v>407</v>
      </c>
      <c r="D821" s="1822"/>
      <c r="E821" s="1822"/>
      <c r="F821" s="1822"/>
      <c r="G821" s="1822"/>
      <c r="H821" s="1822"/>
      <c r="I821" s="1822"/>
      <c r="J821" s="1822"/>
      <c r="K821" s="1822"/>
      <c r="L821" s="551">
        <v>521127.7</v>
      </c>
      <c r="M821" s="550"/>
      <c r="N821" s="549"/>
      <c r="V821" s="674"/>
      <c r="W821" s="675"/>
      <c r="X821" s="675"/>
      <c r="AD821" s="675"/>
      <c r="AE821" s="675"/>
      <c r="AF821" s="537" t="s">
        <v>407</v>
      </c>
      <c r="AG821" s="675"/>
      <c r="AH821" s="680"/>
    </row>
    <row r="822" spans="1:34" s="536" customFormat="1" ht="12" x14ac:dyDescent="0.2">
      <c r="A822" s="548"/>
      <c r="B822" s="552"/>
      <c r="C822" s="1822" t="s">
        <v>204</v>
      </c>
      <c r="D822" s="1822"/>
      <c r="E822" s="1822"/>
      <c r="F822" s="1822"/>
      <c r="G822" s="1822"/>
      <c r="H822" s="1822"/>
      <c r="I822" s="1822"/>
      <c r="J822" s="1822"/>
      <c r="K822" s="1822"/>
      <c r="L822" s="551"/>
      <c r="M822" s="550"/>
      <c r="N822" s="549"/>
      <c r="V822" s="674"/>
      <c r="W822" s="675"/>
      <c r="X822" s="675"/>
      <c r="AD822" s="675"/>
      <c r="AE822" s="675"/>
      <c r="AF822" s="537" t="s">
        <v>204</v>
      </c>
      <c r="AG822" s="675"/>
      <c r="AH822" s="680"/>
    </row>
    <row r="823" spans="1:34" s="536" customFormat="1" ht="12" x14ac:dyDescent="0.2">
      <c r="A823" s="548"/>
      <c r="B823" s="552"/>
      <c r="C823" s="1822" t="s">
        <v>546</v>
      </c>
      <c r="D823" s="1822"/>
      <c r="E823" s="1822"/>
      <c r="F823" s="1822"/>
      <c r="G823" s="1822"/>
      <c r="H823" s="1822"/>
      <c r="I823" s="1822"/>
      <c r="J823" s="1822"/>
      <c r="K823" s="1822"/>
      <c r="L823" s="551">
        <v>2043.56</v>
      </c>
      <c r="M823" s="550"/>
      <c r="N823" s="549"/>
      <c r="V823" s="674"/>
      <c r="W823" s="675"/>
      <c r="X823" s="675"/>
      <c r="AD823" s="675"/>
      <c r="AE823" s="675"/>
      <c r="AF823" s="537" t="s">
        <v>546</v>
      </c>
      <c r="AG823" s="675"/>
      <c r="AH823" s="680"/>
    </row>
    <row r="824" spans="1:34" s="536" customFormat="1" ht="12" x14ac:dyDescent="0.2">
      <c r="A824" s="548"/>
      <c r="B824" s="552"/>
      <c r="C824" s="1822" t="s">
        <v>442</v>
      </c>
      <c r="D824" s="1822"/>
      <c r="E824" s="1822"/>
      <c r="F824" s="1822"/>
      <c r="G824" s="1822"/>
      <c r="H824" s="1822"/>
      <c r="I824" s="1822"/>
      <c r="J824" s="1822"/>
      <c r="K824" s="1822"/>
      <c r="L824" s="551">
        <v>14026.5</v>
      </c>
      <c r="M824" s="550"/>
      <c r="N824" s="549"/>
      <c r="V824" s="674"/>
      <c r="W824" s="675"/>
      <c r="X824" s="675"/>
      <c r="AD824" s="675"/>
      <c r="AE824" s="675"/>
      <c r="AF824" s="537" t="s">
        <v>442</v>
      </c>
      <c r="AG824" s="675"/>
      <c r="AH824" s="680"/>
    </row>
    <row r="825" spans="1:34" s="536" customFormat="1" ht="12" x14ac:dyDescent="0.2">
      <c r="A825" s="548"/>
      <c r="B825" s="552"/>
      <c r="C825" s="1822" t="s">
        <v>547</v>
      </c>
      <c r="D825" s="1822"/>
      <c r="E825" s="1822"/>
      <c r="F825" s="1822"/>
      <c r="G825" s="1822"/>
      <c r="H825" s="1822"/>
      <c r="I825" s="1822"/>
      <c r="J825" s="1822"/>
      <c r="K825" s="1822"/>
      <c r="L825" s="551">
        <v>499812.2</v>
      </c>
      <c r="M825" s="550"/>
      <c r="N825" s="549"/>
      <c r="V825" s="674"/>
      <c r="W825" s="675"/>
      <c r="X825" s="675"/>
      <c r="AD825" s="675"/>
      <c r="AE825" s="675"/>
      <c r="AF825" s="537" t="s">
        <v>547</v>
      </c>
      <c r="AG825" s="675"/>
      <c r="AH825" s="680"/>
    </row>
    <row r="826" spans="1:34" s="536" customFormat="1" ht="12" x14ac:dyDescent="0.2">
      <c r="A826" s="548"/>
      <c r="B826" s="552"/>
      <c r="C826" s="1822" t="s">
        <v>443</v>
      </c>
      <c r="D826" s="1822"/>
      <c r="E826" s="1822"/>
      <c r="F826" s="1822"/>
      <c r="G826" s="1822"/>
      <c r="H826" s="1822"/>
      <c r="I826" s="1822"/>
      <c r="J826" s="1822"/>
      <c r="K826" s="1822"/>
      <c r="L826" s="551">
        <v>3314.6</v>
      </c>
      <c r="M826" s="550"/>
      <c r="N826" s="549"/>
      <c r="V826" s="674"/>
      <c r="W826" s="675"/>
      <c r="X826" s="675"/>
      <c r="AD826" s="675"/>
      <c r="AE826" s="675"/>
      <c r="AF826" s="537" t="s">
        <v>443</v>
      </c>
      <c r="AG826" s="675"/>
      <c r="AH826" s="680"/>
    </row>
    <row r="827" spans="1:34" s="536" customFormat="1" ht="12" x14ac:dyDescent="0.2">
      <c r="A827" s="548"/>
      <c r="B827" s="552"/>
      <c r="C827" s="1822" t="s">
        <v>444</v>
      </c>
      <c r="D827" s="1822"/>
      <c r="E827" s="1822"/>
      <c r="F827" s="1822"/>
      <c r="G827" s="1822"/>
      <c r="H827" s="1822"/>
      <c r="I827" s="1822"/>
      <c r="J827" s="1822"/>
      <c r="K827" s="1822"/>
      <c r="L827" s="551">
        <v>1930.84</v>
      </c>
      <c r="M827" s="550"/>
      <c r="N827" s="549"/>
      <c r="V827" s="674"/>
      <c r="W827" s="675"/>
      <c r="X827" s="675"/>
      <c r="AD827" s="675"/>
      <c r="AE827" s="675"/>
      <c r="AF827" s="537" t="s">
        <v>444</v>
      </c>
      <c r="AG827" s="675"/>
      <c r="AH827" s="680"/>
    </row>
    <row r="828" spans="1:34" s="536" customFormat="1" ht="12" x14ac:dyDescent="0.2">
      <c r="A828" s="548"/>
      <c r="B828" s="552"/>
      <c r="C828" s="1822" t="s">
        <v>753</v>
      </c>
      <c r="D828" s="1822"/>
      <c r="E828" s="1822"/>
      <c r="F828" s="1822"/>
      <c r="G828" s="1822"/>
      <c r="H828" s="1822"/>
      <c r="I828" s="1822"/>
      <c r="J828" s="1822"/>
      <c r="K828" s="1822"/>
      <c r="L828" s="551">
        <v>1416264.94</v>
      </c>
      <c r="M828" s="550"/>
      <c r="N828" s="549"/>
      <c r="V828" s="674"/>
      <c r="W828" s="675"/>
      <c r="X828" s="675"/>
      <c r="AD828" s="675"/>
      <c r="AE828" s="675"/>
      <c r="AF828" s="537" t="s">
        <v>753</v>
      </c>
      <c r="AG828" s="675"/>
      <c r="AH828" s="680"/>
    </row>
    <row r="829" spans="1:34" s="536" customFormat="1" ht="12" x14ac:dyDescent="0.2">
      <c r="A829" s="548"/>
      <c r="B829" s="552"/>
      <c r="C829" s="1822" t="s">
        <v>204</v>
      </c>
      <c r="D829" s="1822"/>
      <c r="E829" s="1822"/>
      <c r="F829" s="1822"/>
      <c r="G829" s="1822"/>
      <c r="H829" s="1822"/>
      <c r="I829" s="1822"/>
      <c r="J829" s="1822"/>
      <c r="K829" s="1822"/>
      <c r="L829" s="551"/>
      <c r="M829" s="550"/>
      <c r="N829" s="549"/>
      <c r="V829" s="674"/>
      <c r="W829" s="675"/>
      <c r="X829" s="675"/>
      <c r="AD829" s="675"/>
      <c r="AE829" s="675"/>
      <c r="AF829" s="537" t="s">
        <v>204</v>
      </c>
      <c r="AG829" s="675"/>
      <c r="AH829" s="680"/>
    </row>
    <row r="830" spans="1:34" s="536" customFormat="1" ht="12" x14ac:dyDescent="0.2">
      <c r="A830" s="548"/>
      <c r="B830" s="552"/>
      <c r="C830" s="1822" t="s">
        <v>546</v>
      </c>
      <c r="D830" s="1822"/>
      <c r="E830" s="1822"/>
      <c r="F830" s="1822"/>
      <c r="G830" s="1822"/>
      <c r="H830" s="1822"/>
      <c r="I830" s="1822"/>
      <c r="J830" s="1822"/>
      <c r="K830" s="1822"/>
      <c r="L830" s="551">
        <v>28406.2</v>
      </c>
      <c r="M830" s="550"/>
      <c r="N830" s="549"/>
      <c r="V830" s="674"/>
      <c r="W830" s="675"/>
      <c r="X830" s="675"/>
      <c r="AD830" s="675"/>
      <c r="AE830" s="675"/>
      <c r="AF830" s="537" t="s">
        <v>546</v>
      </c>
      <c r="AG830" s="675"/>
      <c r="AH830" s="680"/>
    </row>
    <row r="831" spans="1:34" s="536" customFormat="1" ht="12" x14ac:dyDescent="0.2">
      <c r="A831" s="548"/>
      <c r="B831" s="552"/>
      <c r="C831" s="1822" t="s">
        <v>442</v>
      </c>
      <c r="D831" s="1822"/>
      <c r="E831" s="1822"/>
      <c r="F831" s="1822"/>
      <c r="G831" s="1822"/>
      <c r="H831" s="1822"/>
      <c r="I831" s="1822"/>
      <c r="J831" s="1822"/>
      <c r="K831" s="1822"/>
      <c r="L831" s="551">
        <v>29087.73</v>
      </c>
      <c r="M831" s="550"/>
      <c r="N831" s="549"/>
      <c r="V831" s="674"/>
      <c r="W831" s="675"/>
      <c r="X831" s="675"/>
      <c r="AD831" s="675"/>
      <c r="AE831" s="675"/>
      <c r="AF831" s="537" t="s">
        <v>442</v>
      </c>
      <c r="AG831" s="675"/>
      <c r="AH831" s="680"/>
    </row>
    <row r="832" spans="1:34" s="536" customFormat="1" ht="12" x14ac:dyDescent="0.2">
      <c r="A832" s="548"/>
      <c r="B832" s="552"/>
      <c r="C832" s="1822" t="s">
        <v>547</v>
      </c>
      <c r="D832" s="1822"/>
      <c r="E832" s="1822"/>
      <c r="F832" s="1822"/>
      <c r="G832" s="1822"/>
      <c r="H832" s="1822"/>
      <c r="I832" s="1822"/>
      <c r="J832" s="1822"/>
      <c r="K832" s="1822"/>
      <c r="L832" s="551">
        <v>1312621.58</v>
      </c>
      <c r="M832" s="550"/>
      <c r="N832" s="549"/>
      <c r="V832" s="674"/>
      <c r="W832" s="675"/>
      <c r="X832" s="675"/>
      <c r="AD832" s="675"/>
      <c r="AE832" s="675"/>
      <c r="AF832" s="537" t="s">
        <v>547</v>
      </c>
      <c r="AG832" s="675"/>
      <c r="AH832" s="680"/>
    </row>
    <row r="833" spans="1:34" s="536" customFormat="1" ht="12" x14ac:dyDescent="0.2">
      <c r="A833" s="548"/>
      <c r="B833" s="552"/>
      <c r="C833" s="1822" t="s">
        <v>443</v>
      </c>
      <c r="D833" s="1822"/>
      <c r="E833" s="1822"/>
      <c r="F833" s="1822"/>
      <c r="G833" s="1822"/>
      <c r="H833" s="1822"/>
      <c r="I833" s="1822"/>
      <c r="J833" s="1822"/>
      <c r="K833" s="1822"/>
      <c r="L833" s="551">
        <v>30246.58</v>
      </c>
      <c r="M833" s="550"/>
      <c r="N833" s="549"/>
      <c r="V833" s="674"/>
      <c r="W833" s="675"/>
      <c r="X833" s="675"/>
      <c r="AD833" s="675"/>
      <c r="AE833" s="675"/>
      <c r="AF833" s="537" t="s">
        <v>443</v>
      </c>
      <c r="AG833" s="675"/>
      <c r="AH833" s="680"/>
    </row>
    <row r="834" spans="1:34" s="536" customFormat="1" ht="12" x14ac:dyDescent="0.2">
      <c r="A834" s="548"/>
      <c r="B834" s="552"/>
      <c r="C834" s="1822" t="s">
        <v>444</v>
      </c>
      <c r="D834" s="1822"/>
      <c r="E834" s="1822"/>
      <c r="F834" s="1822"/>
      <c r="G834" s="1822"/>
      <c r="H834" s="1822"/>
      <c r="I834" s="1822"/>
      <c r="J834" s="1822"/>
      <c r="K834" s="1822"/>
      <c r="L834" s="551">
        <v>15902.85</v>
      </c>
      <c r="M834" s="550"/>
      <c r="N834" s="549"/>
      <c r="V834" s="674"/>
      <c r="W834" s="675"/>
      <c r="X834" s="675"/>
      <c r="AD834" s="675"/>
      <c r="AE834" s="675"/>
      <c r="AF834" s="537" t="s">
        <v>444</v>
      </c>
      <c r="AG834" s="675"/>
      <c r="AH834" s="680"/>
    </row>
    <row r="835" spans="1:34" s="536" customFormat="1" ht="12" x14ac:dyDescent="0.2">
      <c r="A835" s="548"/>
      <c r="B835" s="552"/>
      <c r="C835" s="1822" t="s">
        <v>754</v>
      </c>
      <c r="D835" s="1822"/>
      <c r="E835" s="1822"/>
      <c r="F835" s="1822"/>
      <c r="G835" s="1822"/>
      <c r="H835" s="1822"/>
      <c r="I835" s="1822"/>
      <c r="J835" s="1822"/>
      <c r="K835" s="1822"/>
      <c r="L835" s="551">
        <v>6061.87</v>
      </c>
      <c r="M835" s="550"/>
      <c r="N835" s="549"/>
      <c r="V835" s="674"/>
      <c r="W835" s="675"/>
      <c r="X835" s="675"/>
      <c r="AD835" s="675"/>
      <c r="AE835" s="675"/>
      <c r="AF835" s="537" t="s">
        <v>754</v>
      </c>
      <c r="AG835" s="675"/>
      <c r="AH835" s="680"/>
    </row>
    <row r="836" spans="1:34" s="536" customFormat="1" ht="12" x14ac:dyDescent="0.2">
      <c r="A836" s="548"/>
      <c r="B836" s="552"/>
      <c r="C836" s="1822" t="s">
        <v>415</v>
      </c>
      <c r="D836" s="1822"/>
      <c r="E836" s="1822"/>
      <c r="F836" s="1822"/>
      <c r="G836" s="1822"/>
      <c r="H836" s="1822"/>
      <c r="I836" s="1822"/>
      <c r="J836" s="1822"/>
      <c r="K836" s="1822"/>
      <c r="L836" s="551">
        <v>34400.129999999997</v>
      </c>
      <c r="M836" s="550"/>
      <c r="N836" s="549"/>
      <c r="V836" s="674"/>
      <c r="W836" s="675"/>
      <c r="X836" s="675"/>
      <c r="AD836" s="675"/>
      <c r="AE836" s="675"/>
      <c r="AF836" s="537" t="s">
        <v>415</v>
      </c>
      <c r="AG836" s="675"/>
      <c r="AH836" s="680"/>
    </row>
    <row r="837" spans="1:34" s="536" customFormat="1" ht="12" x14ac:dyDescent="0.2">
      <c r="A837" s="548"/>
      <c r="B837" s="552"/>
      <c r="C837" s="1822" t="s">
        <v>416</v>
      </c>
      <c r="D837" s="1822"/>
      <c r="E837" s="1822"/>
      <c r="F837" s="1822"/>
      <c r="G837" s="1822"/>
      <c r="H837" s="1822"/>
      <c r="I837" s="1822"/>
      <c r="J837" s="1822"/>
      <c r="K837" s="1822"/>
      <c r="L837" s="551">
        <v>33561.18</v>
      </c>
      <c r="M837" s="550"/>
      <c r="N837" s="549"/>
      <c r="V837" s="674"/>
      <c r="W837" s="675"/>
      <c r="X837" s="675"/>
      <c r="AD837" s="675"/>
      <c r="AE837" s="675"/>
      <c r="AF837" s="537" t="s">
        <v>416</v>
      </c>
      <c r="AG837" s="675"/>
      <c r="AH837" s="680"/>
    </row>
    <row r="838" spans="1:34" s="536" customFormat="1" ht="12" x14ac:dyDescent="0.2">
      <c r="A838" s="548"/>
      <c r="B838" s="552"/>
      <c r="C838" s="1822" t="s">
        <v>417</v>
      </c>
      <c r="D838" s="1822"/>
      <c r="E838" s="1822"/>
      <c r="F838" s="1822"/>
      <c r="G838" s="1822"/>
      <c r="H838" s="1822"/>
      <c r="I838" s="1822"/>
      <c r="J838" s="1822"/>
      <c r="K838" s="1822"/>
      <c r="L838" s="551">
        <v>17833.689999999999</v>
      </c>
      <c r="M838" s="550"/>
      <c r="N838" s="549"/>
      <c r="V838" s="674"/>
      <c r="W838" s="675"/>
      <c r="X838" s="675"/>
      <c r="AD838" s="675"/>
      <c r="AE838" s="675"/>
      <c r="AF838" s="537" t="s">
        <v>417</v>
      </c>
      <c r="AG838" s="675"/>
      <c r="AH838" s="680"/>
    </row>
    <row r="839" spans="1:34" s="536" customFormat="1" ht="12" x14ac:dyDescent="0.2">
      <c r="A839" s="548"/>
      <c r="B839" s="546"/>
      <c r="C839" s="1819" t="s">
        <v>5636</v>
      </c>
      <c r="D839" s="1819"/>
      <c r="E839" s="1819"/>
      <c r="F839" s="1819"/>
      <c r="G839" s="1819"/>
      <c r="H839" s="1819"/>
      <c r="I839" s="1819"/>
      <c r="J839" s="1819"/>
      <c r="K839" s="1819"/>
      <c r="L839" s="544">
        <v>1943454.51</v>
      </c>
      <c r="M839" s="543"/>
      <c r="N839" s="681"/>
      <c r="V839" s="674"/>
      <c r="W839" s="675"/>
      <c r="X839" s="675"/>
      <c r="AD839" s="675"/>
      <c r="AE839" s="675"/>
      <c r="AG839" s="675" t="s">
        <v>5636</v>
      </c>
      <c r="AH839" s="680"/>
    </row>
    <row r="840" spans="1:34" s="536" customFormat="1" ht="12" x14ac:dyDescent="0.2">
      <c r="A840" s="548"/>
      <c r="B840" s="552"/>
      <c r="C840" s="1822" t="s">
        <v>204</v>
      </c>
      <c r="D840" s="1822"/>
      <c r="E840" s="1822"/>
      <c r="F840" s="1822"/>
      <c r="G840" s="1822"/>
      <c r="H840" s="1822"/>
      <c r="I840" s="1822"/>
      <c r="J840" s="1822"/>
      <c r="K840" s="1822"/>
      <c r="L840" s="551"/>
      <c r="M840" s="550"/>
      <c r="N840" s="549"/>
      <c r="V840" s="674"/>
      <c r="W840" s="675"/>
      <c r="X840" s="675"/>
      <c r="AD840" s="675"/>
      <c r="AE840" s="675"/>
      <c r="AF840" s="537" t="s">
        <v>204</v>
      </c>
      <c r="AG840" s="675"/>
      <c r="AH840" s="680"/>
    </row>
    <row r="841" spans="1:34" s="536" customFormat="1" ht="12" x14ac:dyDescent="0.2">
      <c r="A841" s="548"/>
      <c r="B841" s="552"/>
      <c r="C841" s="1822" t="s">
        <v>8095</v>
      </c>
      <c r="D841" s="1822"/>
      <c r="E841" s="1822"/>
      <c r="F841" s="1822"/>
      <c r="G841" s="1822"/>
      <c r="H841" s="1822"/>
      <c r="I841" s="1822"/>
      <c r="J841" s="1822"/>
      <c r="K841" s="1822"/>
      <c r="L841" s="551">
        <v>1442385.4</v>
      </c>
      <c r="M841" s="550"/>
      <c r="N841" s="549"/>
      <c r="V841" s="674"/>
      <c r="W841" s="675"/>
      <c r="X841" s="675"/>
      <c r="AD841" s="675"/>
      <c r="AE841" s="675"/>
      <c r="AF841" s="537" t="s">
        <v>8095</v>
      </c>
      <c r="AG841" s="675"/>
      <c r="AH841" s="680"/>
    </row>
    <row r="842" spans="1:34" s="536" customFormat="1" ht="12" x14ac:dyDescent="0.2">
      <c r="A842" s="548"/>
      <c r="B842" s="552"/>
      <c r="C842" s="1822" t="s">
        <v>8097</v>
      </c>
      <c r="D842" s="1822"/>
      <c r="E842" s="1822"/>
      <c r="F842" s="1822"/>
      <c r="G842" s="1822"/>
      <c r="H842" s="1822"/>
      <c r="I842" s="1822"/>
      <c r="J842" s="1822"/>
      <c r="K842" s="1822"/>
      <c r="L842" s="551">
        <v>6061.87</v>
      </c>
      <c r="M842" s="550"/>
      <c r="N842" s="549"/>
      <c r="V842" s="674"/>
      <c r="W842" s="675"/>
      <c r="X842" s="675"/>
      <c r="AD842" s="675"/>
      <c r="AE842" s="675"/>
      <c r="AF842" s="537" t="s">
        <v>8097</v>
      </c>
      <c r="AG842" s="675"/>
      <c r="AH842" s="680"/>
    </row>
    <row r="843" spans="1:34" s="536" customFormat="1" ht="12" x14ac:dyDescent="0.2">
      <c r="A843" s="1824" t="s">
        <v>2178</v>
      </c>
      <c r="B843" s="1825"/>
      <c r="C843" s="1825"/>
      <c r="D843" s="1825"/>
      <c r="E843" s="1825"/>
      <c r="F843" s="1825"/>
      <c r="G843" s="1825"/>
      <c r="H843" s="1825"/>
      <c r="I843" s="1825"/>
      <c r="J843" s="1825"/>
      <c r="K843" s="1825"/>
      <c r="L843" s="1825"/>
      <c r="M843" s="1825"/>
      <c r="N843" s="1826"/>
      <c r="V843" s="674" t="s">
        <v>2178</v>
      </c>
      <c r="W843" s="675"/>
      <c r="X843" s="675"/>
      <c r="AD843" s="675"/>
      <c r="AE843" s="675"/>
      <c r="AG843" s="675"/>
      <c r="AH843" s="680"/>
    </row>
    <row r="844" spans="1:34" s="536" customFormat="1" ht="12" x14ac:dyDescent="0.2">
      <c r="A844" s="1830" t="s">
        <v>5637</v>
      </c>
      <c r="B844" s="1831"/>
      <c r="C844" s="1831"/>
      <c r="D844" s="1831"/>
      <c r="E844" s="1831"/>
      <c r="F844" s="1831"/>
      <c r="G844" s="1831"/>
      <c r="H844" s="1831"/>
      <c r="I844" s="1831"/>
      <c r="J844" s="1831"/>
      <c r="K844" s="1831"/>
      <c r="L844" s="1831"/>
      <c r="M844" s="1831"/>
      <c r="N844" s="1832"/>
      <c r="V844" s="674"/>
      <c r="W844" s="675" t="s">
        <v>5637</v>
      </c>
      <c r="X844" s="675"/>
      <c r="AD844" s="675"/>
      <c r="AE844" s="675"/>
      <c r="AG844" s="675"/>
      <c r="AH844" s="680"/>
    </row>
    <row r="845" spans="1:34" s="536" customFormat="1" ht="78.75" x14ac:dyDescent="0.2">
      <c r="A845" s="575" t="s">
        <v>1484</v>
      </c>
      <c r="B845" s="670" t="s">
        <v>5638</v>
      </c>
      <c r="C845" s="1823" t="s">
        <v>5639</v>
      </c>
      <c r="D845" s="1823"/>
      <c r="E845" s="1823"/>
      <c r="F845" s="573" t="s">
        <v>201</v>
      </c>
      <c r="G845" s="573"/>
      <c r="H845" s="573"/>
      <c r="I845" s="573" t="s">
        <v>5640</v>
      </c>
      <c r="J845" s="572">
        <v>48.81</v>
      </c>
      <c r="K845" s="573"/>
      <c r="L845" s="572">
        <v>25296.51</v>
      </c>
      <c r="M845" s="571"/>
      <c r="N845" s="570"/>
      <c r="V845" s="674"/>
      <c r="W845" s="675"/>
      <c r="X845" s="675" t="s">
        <v>5639</v>
      </c>
      <c r="AD845" s="675"/>
      <c r="AE845" s="675"/>
      <c r="AG845" s="675"/>
      <c r="AH845" s="680"/>
    </row>
    <row r="846" spans="1:34" s="536" customFormat="1" ht="12" x14ac:dyDescent="0.2">
      <c r="A846" s="569"/>
      <c r="B846" s="671"/>
      <c r="C846" s="665" t="s">
        <v>717</v>
      </c>
      <c r="D846" s="666"/>
      <c r="E846" s="666"/>
      <c r="F846" s="563"/>
      <c r="G846" s="563"/>
      <c r="H846" s="563"/>
      <c r="I846" s="563"/>
      <c r="J846" s="566"/>
      <c r="K846" s="563"/>
      <c r="L846" s="566"/>
      <c r="M846" s="565"/>
      <c r="N846" s="564"/>
      <c r="V846" s="674"/>
      <c r="W846" s="675"/>
      <c r="X846" s="675"/>
      <c r="AD846" s="675"/>
      <c r="AE846" s="675"/>
      <c r="AG846" s="675"/>
      <c r="AH846" s="680"/>
    </row>
    <row r="847" spans="1:34" s="536" customFormat="1" ht="12" x14ac:dyDescent="0.2">
      <c r="A847" s="676"/>
      <c r="B847" s="664"/>
      <c r="C847" s="1822" t="s">
        <v>5641</v>
      </c>
      <c r="D847" s="1822"/>
      <c r="E847" s="1822"/>
      <c r="F847" s="1822"/>
      <c r="G847" s="1822"/>
      <c r="H847" s="1822"/>
      <c r="I847" s="1822"/>
      <c r="J847" s="1822"/>
      <c r="K847" s="1822"/>
      <c r="L847" s="1822"/>
      <c r="M847" s="1822"/>
      <c r="N847" s="1827"/>
      <c r="V847" s="674"/>
      <c r="W847" s="675"/>
      <c r="X847" s="675"/>
      <c r="Y847" s="537" t="s">
        <v>5641</v>
      </c>
      <c r="AD847" s="675"/>
      <c r="AE847" s="675"/>
      <c r="AG847" s="675"/>
      <c r="AH847" s="680"/>
    </row>
    <row r="848" spans="1:34" s="536" customFormat="1" ht="12" x14ac:dyDescent="0.2">
      <c r="A848" s="1830" t="s">
        <v>5642</v>
      </c>
      <c r="B848" s="1831"/>
      <c r="C848" s="1831"/>
      <c r="D848" s="1831"/>
      <c r="E848" s="1831"/>
      <c r="F848" s="1831"/>
      <c r="G848" s="1831"/>
      <c r="H848" s="1831"/>
      <c r="I848" s="1831"/>
      <c r="J848" s="1831"/>
      <c r="K848" s="1831"/>
      <c r="L848" s="1831"/>
      <c r="M848" s="1831"/>
      <c r="N848" s="1832"/>
      <c r="V848" s="674"/>
      <c r="W848" s="675" t="s">
        <v>5642</v>
      </c>
      <c r="X848" s="675"/>
      <c r="AD848" s="675"/>
      <c r="AE848" s="675"/>
      <c r="AG848" s="675"/>
      <c r="AH848" s="680"/>
    </row>
    <row r="849" spans="1:34" s="536" customFormat="1" ht="67.5" x14ac:dyDescent="0.2">
      <c r="A849" s="575" t="s">
        <v>559</v>
      </c>
      <c r="B849" s="670" t="s">
        <v>5643</v>
      </c>
      <c r="C849" s="1823" t="s">
        <v>3058</v>
      </c>
      <c r="D849" s="1823"/>
      <c r="E849" s="1823"/>
      <c r="F849" s="573" t="s">
        <v>201</v>
      </c>
      <c r="G849" s="573"/>
      <c r="H849" s="573"/>
      <c r="I849" s="573" t="s">
        <v>5644</v>
      </c>
      <c r="J849" s="572">
        <v>127.09</v>
      </c>
      <c r="K849" s="573"/>
      <c r="L849" s="572">
        <v>313.14999999999998</v>
      </c>
      <c r="M849" s="571"/>
      <c r="N849" s="570"/>
      <c r="V849" s="674"/>
      <c r="W849" s="675"/>
      <c r="X849" s="675" t="s">
        <v>3058</v>
      </c>
      <c r="AD849" s="675"/>
      <c r="AE849" s="675"/>
      <c r="AG849" s="675"/>
      <c r="AH849" s="680"/>
    </row>
    <row r="850" spans="1:34" s="536" customFormat="1" ht="12" x14ac:dyDescent="0.2">
      <c r="A850" s="569"/>
      <c r="B850" s="671"/>
      <c r="C850" s="665" t="s">
        <v>717</v>
      </c>
      <c r="D850" s="666"/>
      <c r="E850" s="666"/>
      <c r="F850" s="563"/>
      <c r="G850" s="563"/>
      <c r="H850" s="563"/>
      <c r="I850" s="563"/>
      <c r="J850" s="566"/>
      <c r="K850" s="563"/>
      <c r="L850" s="566"/>
      <c r="M850" s="565"/>
      <c r="N850" s="564"/>
      <c r="V850" s="674"/>
      <c r="W850" s="675"/>
      <c r="X850" s="675"/>
      <c r="AD850" s="675"/>
      <c r="AE850" s="675"/>
      <c r="AG850" s="675"/>
      <c r="AH850" s="680"/>
    </row>
    <row r="851" spans="1:34" s="536" customFormat="1" ht="12" x14ac:dyDescent="0.2">
      <c r="A851" s="676"/>
      <c r="B851" s="664"/>
      <c r="C851" s="1822" t="s">
        <v>5645</v>
      </c>
      <c r="D851" s="1822"/>
      <c r="E851" s="1822"/>
      <c r="F851" s="1822"/>
      <c r="G851" s="1822"/>
      <c r="H851" s="1822"/>
      <c r="I851" s="1822"/>
      <c r="J851" s="1822"/>
      <c r="K851" s="1822"/>
      <c r="L851" s="1822"/>
      <c r="M851" s="1822"/>
      <c r="N851" s="1827"/>
      <c r="V851" s="674"/>
      <c r="W851" s="675"/>
      <c r="X851" s="675"/>
      <c r="Y851" s="537" t="s">
        <v>5645</v>
      </c>
      <c r="AD851" s="675"/>
      <c r="AE851" s="675"/>
      <c r="AG851" s="675"/>
      <c r="AH851" s="680"/>
    </row>
    <row r="852" spans="1:34" s="536" customFormat="1" ht="67.5" x14ac:dyDescent="0.2">
      <c r="A852" s="575" t="s">
        <v>2980</v>
      </c>
      <c r="B852" s="670" t="s">
        <v>5646</v>
      </c>
      <c r="C852" s="1823" t="s">
        <v>2633</v>
      </c>
      <c r="D852" s="1823"/>
      <c r="E852" s="1823"/>
      <c r="F852" s="573" t="s">
        <v>201</v>
      </c>
      <c r="G852" s="573"/>
      <c r="H852" s="573"/>
      <c r="I852" s="573" t="s">
        <v>4020</v>
      </c>
      <c r="J852" s="572">
        <v>76.88</v>
      </c>
      <c r="K852" s="573"/>
      <c r="L852" s="572">
        <v>1</v>
      </c>
      <c r="M852" s="571"/>
      <c r="N852" s="570"/>
      <c r="V852" s="674"/>
      <c r="W852" s="675"/>
      <c r="X852" s="675" t="s">
        <v>2633</v>
      </c>
      <c r="AD852" s="675"/>
      <c r="AE852" s="675"/>
      <c r="AG852" s="675"/>
      <c r="AH852" s="680"/>
    </row>
    <row r="853" spans="1:34" s="536" customFormat="1" ht="12" x14ac:dyDescent="0.2">
      <c r="A853" s="569"/>
      <c r="B853" s="671"/>
      <c r="C853" s="665" t="s">
        <v>717</v>
      </c>
      <c r="D853" s="666"/>
      <c r="E853" s="666"/>
      <c r="F853" s="563"/>
      <c r="G853" s="563"/>
      <c r="H853" s="563"/>
      <c r="I853" s="563"/>
      <c r="J853" s="566"/>
      <c r="K853" s="563"/>
      <c r="L853" s="566"/>
      <c r="M853" s="565"/>
      <c r="N853" s="564"/>
      <c r="V853" s="674"/>
      <c r="W853" s="675"/>
      <c r="X853" s="675"/>
      <c r="AD853" s="675"/>
      <c r="AE853" s="675"/>
      <c r="AG853" s="675"/>
      <c r="AH853" s="680"/>
    </row>
    <row r="854" spans="1:34" s="536" customFormat="1" ht="12" x14ac:dyDescent="0.2">
      <c r="A854" s="1830" t="s">
        <v>5647</v>
      </c>
      <c r="B854" s="1831"/>
      <c r="C854" s="1831"/>
      <c r="D854" s="1831"/>
      <c r="E854" s="1831"/>
      <c r="F854" s="1831"/>
      <c r="G854" s="1831"/>
      <c r="H854" s="1831"/>
      <c r="I854" s="1831"/>
      <c r="J854" s="1831"/>
      <c r="K854" s="1831"/>
      <c r="L854" s="1831"/>
      <c r="M854" s="1831"/>
      <c r="N854" s="1832"/>
      <c r="V854" s="674"/>
      <c r="W854" s="675" t="s">
        <v>5647</v>
      </c>
      <c r="X854" s="675"/>
      <c r="AD854" s="675"/>
      <c r="AE854" s="675"/>
      <c r="AG854" s="675"/>
      <c r="AH854" s="680"/>
    </row>
    <row r="855" spans="1:34" s="536" customFormat="1" ht="67.5" x14ac:dyDescent="0.2">
      <c r="A855" s="575" t="s">
        <v>1633</v>
      </c>
      <c r="B855" s="670" t="s">
        <v>5648</v>
      </c>
      <c r="C855" s="1823" t="s">
        <v>2630</v>
      </c>
      <c r="D855" s="1823"/>
      <c r="E855" s="1823"/>
      <c r="F855" s="573" t="s">
        <v>201</v>
      </c>
      <c r="G855" s="573"/>
      <c r="H855" s="573"/>
      <c r="I855" s="573" t="s">
        <v>5649</v>
      </c>
      <c r="J855" s="572">
        <v>90.45</v>
      </c>
      <c r="K855" s="573"/>
      <c r="L855" s="572">
        <v>5932.89</v>
      </c>
      <c r="M855" s="571"/>
      <c r="N855" s="570"/>
      <c r="V855" s="674"/>
      <c r="W855" s="675"/>
      <c r="X855" s="675" t="s">
        <v>2630</v>
      </c>
      <c r="AD855" s="675"/>
      <c r="AE855" s="675"/>
      <c r="AG855" s="675"/>
      <c r="AH855" s="680"/>
    </row>
    <row r="856" spans="1:34" s="536" customFormat="1" ht="12" x14ac:dyDescent="0.2">
      <c r="A856" s="569"/>
      <c r="B856" s="671"/>
      <c r="C856" s="665" t="s">
        <v>717</v>
      </c>
      <c r="D856" s="666"/>
      <c r="E856" s="666"/>
      <c r="F856" s="563"/>
      <c r="G856" s="563"/>
      <c r="H856" s="563"/>
      <c r="I856" s="563"/>
      <c r="J856" s="566"/>
      <c r="K856" s="563"/>
      <c r="L856" s="566"/>
      <c r="M856" s="565"/>
      <c r="N856" s="564"/>
      <c r="V856" s="674"/>
      <c r="W856" s="675"/>
      <c r="X856" s="675"/>
      <c r="AD856" s="675"/>
      <c r="AE856" s="675"/>
      <c r="AG856" s="675"/>
      <c r="AH856" s="680"/>
    </row>
    <row r="857" spans="1:34" s="536" customFormat="1" ht="12" x14ac:dyDescent="0.2">
      <c r="A857" s="676"/>
      <c r="B857" s="664"/>
      <c r="C857" s="1822" t="s">
        <v>5650</v>
      </c>
      <c r="D857" s="1822"/>
      <c r="E857" s="1822"/>
      <c r="F857" s="1822"/>
      <c r="G857" s="1822"/>
      <c r="H857" s="1822"/>
      <c r="I857" s="1822"/>
      <c r="J857" s="1822"/>
      <c r="K857" s="1822"/>
      <c r="L857" s="1822"/>
      <c r="M857" s="1822"/>
      <c r="N857" s="1827"/>
      <c r="V857" s="674"/>
      <c r="W857" s="675"/>
      <c r="X857" s="675"/>
      <c r="Y857" s="537" t="s">
        <v>5650</v>
      </c>
      <c r="AD857" s="675"/>
      <c r="AE857" s="675"/>
      <c r="AG857" s="675"/>
      <c r="AH857" s="680"/>
    </row>
    <row r="858" spans="1:34" s="536" customFormat="1" ht="67.5" x14ac:dyDescent="0.2">
      <c r="A858" s="575" t="s">
        <v>743</v>
      </c>
      <c r="B858" s="670" t="s">
        <v>5646</v>
      </c>
      <c r="C858" s="1823" t="s">
        <v>2633</v>
      </c>
      <c r="D858" s="1823"/>
      <c r="E858" s="1823"/>
      <c r="F858" s="573" t="s">
        <v>201</v>
      </c>
      <c r="G858" s="573"/>
      <c r="H858" s="573"/>
      <c r="I858" s="573" t="s">
        <v>5651</v>
      </c>
      <c r="J858" s="572">
        <v>76.88</v>
      </c>
      <c r="K858" s="573"/>
      <c r="L858" s="572">
        <v>7.61</v>
      </c>
      <c r="M858" s="571"/>
      <c r="N858" s="570"/>
      <c r="V858" s="674"/>
      <c r="W858" s="675"/>
      <c r="X858" s="675" t="s">
        <v>2633</v>
      </c>
      <c r="AD858" s="675"/>
      <c r="AE858" s="675"/>
      <c r="AG858" s="675"/>
      <c r="AH858" s="680"/>
    </row>
    <row r="859" spans="1:34" s="536" customFormat="1" ht="12" x14ac:dyDescent="0.2">
      <c r="A859" s="569"/>
      <c r="B859" s="671"/>
      <c r="C859" s="665" t="s">
        <v>717</v>
      </c>
      <c r="D859" s="666"/>
      <c r="E859" s="666"/>
      <c r="F859" s="563"/>
      <c r="G859" s="563"/>
      <c r="H859" s="563"/>
      <c r="I859" s="563"/>
      <c r="J859" s="566"/>
      <c r="K859" s="563"/>
      <c r="L859" s="566"/>
      <c r="M859" s="565"/>
      <c r="N859" s="564"/>
      <c r="V859" s="674"/>
      <c r="W859" s="675"/>
      <c r="X859" s="675"/>
      <c r="AD859" s="675"/>
      <c r="AE859" s="675"/>
      <c r="AG859" s="675"/>
      <c r="AH859" s="680"/>
    </row>
    <row r="860" spans="1:34" s="536" customFormat="1" ht="1.5" customHeight="1" x14ac:dyDescent="0.2">
      <c r="A860" s="563"/>
      <c r="B860" s="671"/>
      <c r="C860" s="671"/>
      <c r="D860" s="671"/>
      <c r="E860" s="671"/>
      <c r="F860" s="563"/>
      <c r="G860" s="563"/>
      <c r="H860" s="563"/>
      <c r="I860" s="563"/>
      <c r="J860" s="546"/>
      <c r="K860" s="563"/>
      <c r="L860" s="546"/>
      <c r="M860" s="562"/>
      <c r="N860" s="546"/>
      <c r="V860" s="674"/>
      <c r="W860" s="675"/>
      <c r="X860" s="675"/>
      <c r="AD860" s="675"/>
      <c r="AE860" s="675"/>
      <c r="AG860" s="675"/>
      <c r="AH860" s="680"/>
    </row>
    <row r="861" spans="1:34" s="536" customFormat="1" ht="22.5" x14ac:dyDescent="0.2">
      <c r="A861" s="557"/>
      <c r="B861" s="556"/>
      <c r="C861" s="1823" t="s">
        <v>2185</v>
      </c>
      <c r="D861" s="1823"/>
      <c r="E861" s="1823"/>
      <c r="F861" s="1823"/>
      <c r="G861" s="1823"/>
      <c r="H861" s="1823"/>
      <c r="I861" s="1823"/>
      <c r="J861" s="1823"/>
      <c r="K861" s="1823"/>
      <c r="L861" s="555"/>
      <c r="M861" s="554"/>
      <c r="N861" s="553"/>
      <c r="V861" s="674"/>
      <c r="W861" s="675"/>
      <c r="X861" s="675"/>
      <c r="AD861" s="675"/>
      <c r="AE861" s="675" t="s">
        <v>2185</v>
      </c>
      <c r="AG861" s="675"/>
      <c r="AH861" s="680"/>
    </row>
    <row r="862" spans="1:34" s="536" customFormat="1" ht="12" x14ac:dyDescent="0.2">
      <c r="A862" s="548"/>
      <c r="B862" s="552"/>
      <c r="C862" s="1822" t="s">
        <v>403</v>
      </c>
      <c r="D862" s="1822"/>
      <c r="E862" s="1822"/>
      <c r="F862" s="1822"/>
      <c r="G862" s="1822"/>
      <c r="H862" s="1822"/>
      <c r="I862" s="1822"/>
      <c r="J862" s="1822"/>
      <c r="K862" s="1822"/>
      <c r="L862" s="551">
        <v>31551.16</v>
      </c>
      <c r="M862" s="550"/>
      <c r="N862" s="549"/>
      <c r="V862" s="674"/>
      <c r="W862" s="675"/>
      <c r="X862" s="675"/>
      <c r="AD862" s="675"/>
      <c r="AE862" s="675"/>
      <c r="AF862" s="537" t="s">
        <v>403</v>
      </c>
      <c r="AG862" s="675"/>
      <c r="AH862" s="680"/>
    </row>
    <row r="863" spans="1:34" s="536" customFormat="1" ht="12" x14ac:dyDescent="0.2">
      <c r="A863" s="548"/>
      <c r="B863" s="552"/>
      <c r="C863" s="1822" t="s">
        <v>204</v>
      </c>
      <c r="D863" s="1822"/>
      <c r="E863" s="1822"/>
      <c r="F863" s="1822"/>
      <c r="G863" s="1822"/>
      <c r="H863" s="1822"/>
      <c r="I863" s="1822"/>
      <c r="J863" s="1822"/>
      <c r="K863" s="1822"/>
      <c r="L863" s="551"/>
      <c r="M863" s="550"/>
      <c r="N863" s="549"/>
      <c r="V863" s="674"/>
      <c r="W863" s="675"/>
      <c r="X863" s="675"/>
      <c r="AD863" s="675"/>
      <c r="AE863" s="675"/>
      <c r="AF863" s="537" t="s">
        <v>204</v>
      </c>
      <c r="AG863" s="675"/>
      <c r="AH863" s="680"/>
    </row>
    <row r="864" spans="1:34" s="536" customFormat="1" ht="12" x14ac:dyDescent="0.2">
      <c r="A864" s="548"/>
      <c r="B864" s="552"/>
      <c r="C864" s="1822" t="s">
        <v>480</v>
      </c>
      <c r="D864" s="1822"/>
      <c r="E864" s="1822"/>
      <c r="F864" s="1822"/>
      <c r="G864" s="1822"/>
      <c r="H864" s="1822"/>
      <c r="I864" s="1822"/>
      <c r="J864" s="1822"/>
      <c r="K864" s="1822"/>
      <c r="L864" s="551">
        <v>31551.16</v>
      </c>
      <c r="M864" s="550"/>
      <c r="N864" s="549"/>
      <c r="V864" s="674"/>
      <c r="W864" s="675"/>
      <c r="X864" s="675"/>
      <c r="AD864" s="675"/>
      <c r="AE864" s="675"/>
      <c r="AF864" s="537" t="s">
        <v>480</v>
      </c>
      <c r="AG864" s="675"/>
      <c r="AH864" s="680"/>
    </row>
    <row r="865" spans="1:36" s="536" customFormat="1" ht="12" x14ac:dyDescent="0.2">
      <c r="A865" s="548"/>
      <c r="B865" s="552"/>
      <c r="C865" s="1822" t="s">
        <v>407</v>
      </c>
      <c r="D865" s="1822"/>
      <c r="E865" s="1822"/>
      <c r="F865" s="1822"/>
      <c r="G865" s="1822"/>
      <c r="H865" s="1822"/>
      <c r="I865" s="1822"/>
      <c r="J865" s="1822"/>
      <c r="K865" s="1822"/>
      <c r="L865" s="551">
        <v>31551.16</v>
      </c>
      <c r="M865" s="550"/>
      <c r="N865" s="549"/>
      <c r="V865" s="674"/>
      <c r="W865" s="675"/>
      <c r="X865" s="675"/>
      <c r="AD865" s="675"/>
      <c r="AE865" s="675"/>
      <c r="AF865" s="537" t="s">
        <v>407</v>
      </c>
      <c r="AG865" s="675"/>
      <c r="AH865" s="680"/>
    </row>
    <row r="866" spans="1:36" s="536" customFormat="1" ht="12" x14ac:dyDescent="0.2">
      <c r="A866" s="548"/>
      <c r="B866" s="552"/>
      <c r="C866" s="1822" t="s">
        <v>204</v>
      </c>
      <c r="D866" s="1822"/>
      <c r="E866" s="1822"/>
      <c r="F866" s="1822"/>
      <c r="G866" s="1822"/>
      <c r="H866" s="1822"/>
      <c r="I866" s="1822"/>
      <c r="J866" s="1822"/>
      <c r="K866" s="1822"/>
      <c r="L866" s="551"/>
      <c r="M866" s="550"/>
      <c r="N866" s="549"/>
      <c r="V866" s="674"/>
      <c r="W866" s="675"/>
      <c r="X866" s="675"/>
      <c r="AD866" s="675"/>
      <c r="AE866" s="675"/>
      <c r="AF866" s="537" t="s">
        <v>204</v>
      </c>
      <c r="AG866" s="675"/>
      <c r="AH866" s="680"/>
    </row>
    <row r="867" spans="1:36" s="536" customFormat="1" ht="12" x14ac:dyDescent="0.2">
      <c r="A867" s="548"/>
      <c r="B867" s="552"/>
      <c r="C867" s="1822" t="s">
        <v>547</v>
      </c>
      <c r="D867" s="1822"/>
      <c r="E867" s="1822"/>
      <c r="F867" s="1822"/>
      <c r="G867" s="1822"/>
      <c r="H867" s="1822"/>
      <c r="I867" s="1822"/>
      <c r="J867" s="1822"/>
      <c r="K867" s="1822"/>
      <c r="L867" s="551">
        <v>31551.16</v>
      </c>
      <c r="M867" s="550"/>
      <c r="N867" s="549"/>
      <c r="V867" s="674"/>
      <c r="W867" s="675"/>
      <c r="X867" s="675"/>
      <c r="AD867" s="675"/>
      <c r="AE867" s="675"/>
      <c r="AF867" s="537" t="s">
        <v>547</v>
      </c>
      <c r="AG867" s="675"/>
      <c r="AH867" s="680"/>
    </row>
    <row r="868" spans="1:36" s="536" customFormat="1" ht="22.5" x14ac:dyDescent="0.2">
      <c r="A868" s="548"/>
      <c r="B868" s="546"/>
      <c r="C868" s="1819" t="s">
        <v>2186</v>
      </c>
      <c r="D868" s="1819"/>
      <c r="E868" s="1819"/>
      <c r="F868" s="1819"/>
      <c r="G868" s="1819"/>
      <c r="H868" s="1819"/>
      <c r="I868" s="1819"/>
      <c r="J868" s="1819"/>
      <c r="K868" s="1819"/>
      <c r="L868" s="544">
        <v>31551.16</v>
      </c>
      <c r="M868" s="543"/>
      <c r="N868" s="681"/>
      <c r="V868" s="674"/>
      <c r="W868" s="675"/>
      <c r="X868" s="675"/>
      <c r="AD868" s="675"/>
      <c r="AE868" s="675"/>
      <c r="AG868" s="675" t="s">
        <v>2186</v>
      </c>
      <c r="AH868" s="680"/>
    </row>
    <row r="869" spans="1:36" s="536" customFormat="1" ht="2.25" customHeight="1" x14ac:dyDescent="0.2">
      <c r="B869" s="561"/>
      <c r="C869" s="561"/>
      <c r="D869" s="561"/>
      <c r="E869" s="561"/>
      <c r="F869" s="561"/>
      <c r="G869" s="561"/>
      <c r="H869" s="561"/>
      <c r="I869" s="561"/>
      <c r="J869" s="561"/>
      <c r="K869" s="561"/>
      <c r="L869" s="560"/>
      <c r="M869" s="559"/>
      <c r="N869" s="558"/>
    </row>
    <row r="870" spans="1:36" s="536" customFormat="1" x14ac:dyDescent="0.2">
      <c r="A870" s="557"/>
      <c r="B870" s="556"/>
      <c r="C870" s="1823" t="s">
        <v>205</v>
      </c>
      <c r="D870" s="1823"/>
      <c r="E870" s="1823"/>
      <c r="F870" s="1823"/>
      <c r="G870" s="1823"/>
      <c r="H870" s="1823"/>
      <c r="I870" s="1823"/>
      <c r="J870" s="1823"/>
      <c r="K870" s="1823"/>
      <c r="L870" s="555"/>
      <c r="M870" s="554"/>
      <c r="N870" s="553"/>
      <c r="AI870" s="675" t="s">
        <v>205</v>
      </c>
    </row>
    <row r="871" spans="1:36" s="536" customFormat="1" x14ac:dyDescent="0.2">
      <c r="A871" s="548"/>
      <c r="B871" s="552"/>
      <c r="C871" s="1822" t="s">
        <v>403</v>
      </c>
      <c r="D871" s="1822"/>
      <c r="E871" s="1822"/>
      <c r="F871" s="1822"/>
      <c r="G871" s="1822"/>
      <c r="H871" s="1822"/>
      <c r="I871" s="1822"/>
      <c r="J871" s="1822"/>
      <c r="K871" s="1822"/>
      <c r="L871" s="551">
        <v>1976326.88</v>
      </c>
      <c r="M871" s="550"/>
      <c r="N871" s="549"/>
      <c r="AI871" s="675"/>
      <c r="AJ871" s="537" t="s">
        <v>403</v>
      </c>
    </row>
    <row r="872" spans="1:36" s="536" customFormat="1" x14ac:dyDescent="0.2">
      <c r="A872" s="548"/>
      <c r="B872" s="552"/>
      <c r="C872" s="1822" t="s">
        <v>204</v>
      </c>
      <c r="D872" s="1822"/>
      <c r="E872" s="1822"/>
      <c r="F872" s="1822"/>
      <c r="G872" s="1822"/>
      <c r="H872" s="1822"/>
      <c r="I872" s="1822"/>
      <c r="J872" s="1822"/>
      <c r="K872" s="1822"/>
      <c r="L872" s="551"/>
      <c r="M872" s="550"/>
      <c r="N872" s="549"/>
      <c r="AI872" s="675"/>
      <c r="AJ872" s="537" t="s">
        <v>204</v>
      </c>
    </row>
    <row r="873" spans="1:36" s="536" customFormat="1" x14ac:dyDescent="0.2">
      <c r="A873" s="548"/>
      <c r="B873" s="552"/>
      <c r="C873" s="1822" t="s">
        <v>404</v>
      </c>
      <c r="D873" s="1822"/>
      <c r="E873" s="1822"/>
      <c r="F873" s="1822"/>
      <c r="G873" s="1822"/>
      <c r="H873" s="1822"/>
      <c r="I873" s="1822"/>
      <c r="J873" s="1822"/>
      <c r="K873" s="1822"/>
      <c r="L873" s="551">
        <v>34862.660000000003</v>
      </c>
      <c r="M873" s="550"/>
      <c r="N873" s="549"/>
      <c r="AI873" s="675"/>
      <c r="AJ873" s="537" t="s">
        <v>404</v>
      </c>
    </row>
    <row r="874" spans="1:36" s="536" customFormat="1" x14ac:dyDescent="0.2">
      <c r="A874" s="548"/>
      <c r="B874" s="552"/>
      <c r="C874" s="1822" t="s">
        <v>405</v>
      </c>
      <c r="D874" s="1822"/>
      <c r="E874" s="1822"/>
      <c r="F874" s="1822"/>
      <c r="G874" s="1822"/>
      <c r="H874" s="1822"/>
      <c r="I874" s="1822"/>
      <c r="J874" s="1822"/>
      <c r="K874" s="1822"/>
      <c r="L874" s="551">
        <v>63064.62</v>
      </c>
      <c r="M874" s="550"/>
      <c r="N874" s="549"/>
      <c r="AI874" s="675"/>
      <c r="AJ874" s="537" t="s">
        <v>405</v>
      </c>
    </row>
    <row r="875" spans="1:36" s="536" customFormat="1" x14ac:dyDescent="0.2">
      <c r="A875" s="548"/>
      <c r="B875" s="552"/>
      <c r="C875" s="1822" t="s">
        <v>406</v>
      </c>
      <c r="D875" s="1822"/>
      <c r="E875" s="1822"/>
      <c r="F875" s="1822"/>
      <c r="G875" s="1822"/>
      <c r="H875" s="1822"/>
      <c r="I875" s="1822"/>
      <c r="J875" s="1822"/>
      <c r="K875" s="1822"/>
      <c r="L875" s="551">
        <v>6006.19</v>
      </c>
      <c r="M875" s="550"/>
      <c r="N875" s="549"/>
      <c r="AI875" s="675"/>
      <c r="AJ875" s="537" t="s">
        <v>406</v>
      </c>
    </row>
    <row r="876" spans="1:36" s="536" customFormat="1" x14ac:dyDescent="0.2">
      <c r="A876" s="548"/>
      <c r="B876" s="552"/>
      <c r="C876" s="1822" t="s">
        <v>480</v>
      </c>
      <c r="D876" s="1822"/>
      <c r="E876" s="1822"/>
      <c r="F876" s="1822"/>
      <c r="G876" s="1822"/>
      <c r="H876" s="1822"/>
      <c r="I876" s="1822"/>
      <c r="J876" s="1822"/>
      <c r="K876" s="1822"/>
      <c r="L876" s="551">
        <v>1878399.6</v>
      </c>
      <c r="M876" s="550"/>
      <c r="N876" s="549"/>
      <c r="AI876" s="675"/>
      <c r="AJ876" s="537" t="s">
        <v>480</v>
      </c>
    </row>
    <row r="877" spans="1:36" s="536" customFormat="1" x14ac:dyDescent="0.2">
      <c r="A877" s="548"/>
      <c r="B877" s="552"/>
      <c r="C877" s="1822" t="s">
        <v>407</v>
      </c>
      <c r="D877" s="1822"/>
      <c r="E877" s="1822"/>
      <c r="F877" s="1822"/>
      <c r="G877" s="1822"/>
      <c r="H877" s="1822"/>
      <c r="I877" s="1822"/>
      <c r="J877" s="1822"/>
      <c r="K877" s="1822"/>
      <c r="L877" s="551">
        <v>618722.71</v>
      </c>
      <c r="M877" s="550"/>
      <c r="N877" s="549">
        <v>6057295</v>
      </c>
      <c r="AI877" s="675"/>
      <c r="AJ877" s="537" t="s">
        <v>407</v>
      </c>
    </row>
    <row r="878" spans="1:36" s="536" customFormat="1" x14ac:dyDescent="0.2">
      <c r="A878" s="548"/>
      <c r="B878" s="552" t="s">
        <v>185</v>
      </c>
      <c r="C878" s="1822" t="s">
        <v>408</v>
      </c>
      <c r="D878" s="1822"/>
      <c r="E878" s="1822"/>
      <c r="F878" s="1822"/>
      <c r="G878" s="1822"/>
      <c r="H878" s="1822"/>
      <c r="I878" s="1822"/>
      <c r="J878" s="1822"/>
      <c r="K878" s="1822"/>
      <c r="L878" s="551">
        <v>616282.65</v>
      </c>
      <c r="M878" s="550">
        <v>9.7899999999999991</v>
      </c>
      <c r="N878" s="549">
        <v>6033407</v>
      </c>
      <c r="AI878" s="675"/>
      <c r="AJ878" s="537" t="s">
        <v>408</v>
      </c>
    </row>
    <row r="879" spans="1:36" s="536" customFormat="1" x14ac:dyDescent="0.2">
      <c r="A879" s="548"/>
      <c r="B879" s="552"/>
      <c r="C879" s="1822" t="s">
        <v>409</v>
      </c>
      <c r="D879" s="1822"/>
      <c r="E879" s="1822"/>
      <c r="F879" s="1822"/>
      <c r="G879" s="1822"/>
      <c r="H879" s="1822"/>
      <c r="I879" s="1822"/>
      <c r="J879" s="1822"/>
      <c r="K879" s="1822"/>
      <c r="L879" s="551"/>
      <c r="M879" s="550"/>
      <c r="N879" s="549"/>
      <c r="AI879" s="675"/>
      <c r="AJ879" s="537" t="s">
        <v>409</v>
      </c>
    </row>
    <row r="880" spans="1:36" s="536" customFormat="1" x14ac:dyDescent="0.2">
      <c r="A880" s="548"/>
      <c r="B880" s="552"/>
      <c r="C880" s="1822" t="s">
        <v>410</v>
      </c>
      <c r="D880" s="1822"/>
      <c r="E880" s="1822"/>
      <c r="F880" s="1822"/>
      <c r="G880" s="1822"/>
      <c r="H880" s="1822"/>
      <c r="I880" s="1822"/>
      <c r="J880" s="1822"/>
      <c r="K880" s="1822"/>
      <c r="L880" s="551">
        <v>5932.76</v>
      </c>
      <c r="M880" s="550"/>
      <c r="N880" s="549"/>
      <c r="AI880" s="675"/>
      <c r="AJ880" s="537" t="s">
        <v>410</v>
      </c>
    </row>
    <row r="881" spans="1:36" s="536" customFormat="1" x14ac:dyDescent="0.2">
      <c r="A881" s="548"/>
      <c r="B881" s="552"/>
      <c r="C881" s="1822" t="s">
        <v>411</v>
      </c>
      <c r="D881" s="1822"/>
      <c r="E881" s="1822"/>
      <c r="F881" s="1822"/>
      <c r="G881" s="1822"/>
      <c r="H881" s="1822"/>
      <c r="I881" s="1822"/>
      <c r="J881" s="1822"/>
      <c r="K881" s="1822"/>
      <c r="L881" s="551">
        <v>31343.37</v>
      </c>
      <c r="M881" s="550"/>
      <c r="N881" s="549"/>
      <c r="AI881" s="675"/>
      <c r="AJ881" s="537" t="s">
        <v>411</v>
      </c>
    </row>
    <row r="882" spans="1:36" s="536" customFormat="1" x14ac:dyDescent="0.2">
      <c r="A882" s="548"/>
      <c r="B882" s="552"/>
      <c r="C882" s="1822" t="s">
        <v>481</v>
      </c>
      <c r="D882" s="1822"/>
      <c r="E882" s="1822"/>
      <c r="F882" s="1822"/>
      <c r="G882" s="1822"/>
      <c r="H882" s="1822"/>
      <c r="I882" s="1822"/>
      <c r="J882" s="1822"/>
      <c r="K882" s="1822"/>
      <c r="L882" s="551">
        <v>565561.68999999994</v>
      </c>
      <c r="M882" s="550"/>
      <c r="N882" s="549"/>
      <c r="AI882" s="675"/>
      <c r="AJ882" s="537" t="s">
        <v>481</v>
      </c>
    </row>
    <row r="883" spans="1:36" s="536" customFormat="1" x14ac:dyDescent="0.2">
      <c r="A883" s="548"/>
      <c r="B883" s="552"/>
      <c r="C883" s="1822" t="s">
        <v>412</v>
      </c>
      <c r="D883" s="1822"/>
      <c r="E883" s="1822"/>
      <c r="F883" s="1822"/>
      <c r="G883" s="1822"/>
      <c r="H883" s="1822"/>
      <c r="I883" s="1822"/>
      <c r="J883" s="1822"/>
      <c r="K883" s="1822"/>
      <c r="L883" s="551">
        <v>8794.01</v>
      </c>
      <c r="M883" s="550"/>
      <c r="N883" s="549"/>
      <c r="AI883" s="675"/>
      <c r="AJ883" s="537" t="s">
        <v>412</v>
      </c>
    </row>
    <row r="884" spans="1:36" s="536" customFormat="1" x14ac:dyDescent="0.2">
      <c r="A884" s="548"/>
      <c r="B884" s="552"/>
      <c r="C884" s="1822" t="s">
        <v>413</v>
      </c>
      <c r="D884" s="1822"/>
      <c r="E884" s="1822"/>
      <c r="F884" s="1822"/>
      <c r="G884" s="1822"/>
      <c r="H884" s="1822"/>
      <c r="I884" s="1822"/>
      <c r="J884" s="1822"/>
      <c r="K884" s="1822"/>
      <c r="L884" s="551">
        <v>4650.82</v>
      </c>
      <c r="M884" s="550"/>
      <c r="N884" s="549"/>
      <c r="AI884" s="675"/>
      <c r="AJ884" s="537" t="s">
        <v>413</v>
      </c>
    </row>
    <row r="885" spans="1:36" s="536" customFormat="1" x14ac:dyDescent="0.2">
      <c r="A885" s="548"/>
      <c r="B885" s="552" t="s">
        <v>185</v>
      </c>
      <c r="C885" s="1822" t="s">
        <v>414</v>
      </c>
      <c r="D885" s="1822"/>
      <c r="E885" s="1822"/>
      <c r="F885" s="1822"/>
      <c r="G885" s="1822"/>
      <c r="H885" s="1822"/>
      <c r="I885" s="1822"/>
      <c r="J885" s="1822"/>
      <c r="K885" s="1822"/>
      <c r="L885" s="551">
        <v>2440.06</v>
      </c>
      <c r="M885" s="550">
        <v>9.7899999999999991</v>
      </c>
      <c r="N885" s="549">
        <v>23888</v>
      </c>
      <c r="AI885" s="675"/>
      <c r="AJ885" s="537" t="s">
        <v>414</v>
      </c>
    </row>
    <row r="886" spans="1:36" s="536" customFormat="1" x14ac:dyDescent="0.2">
      <c r="A886" s="548"/>
      <c r="B886" s="552" t="s">
        <v>185</v>
      </c>
      <c r="C886" s="1822" t="s">
        <v>753</v>
      </c>
      <c r="D886" s="1822"/>
      <c r="E886" s="1822"/>
      <c r="F886" s="1822"/>
      <c r="G886" s="1822"/>
      <c r="H886" s="1822"/>
      <c r="I886" s="1822"/>
      <c r="J886" s="1822"/>
      <c r="K886" s="1822"/>
      <c r="L886" s="551">
        <v>1418005.92</v>
      </c>
      <c r="M886" s="550">
        <v>9.7899999999999991</v>
      </c>
      <c r="N886" s="549">
        <v>13882278</v>
      </c>
      <c r="AI886" s="675"/>
      <c r="AJ886" s="537" t="s">
        <v>753</v>
      </c>
    </row>
    <row r="887" spans="1:36" s="536" customFormat="1" x14ac:dyDescent="0.2">
      <c r="A887" s="548"/>
      <c r="B887" s="552"/>
      <c r="C887" s="1822" t="s">
        <v>204</v>
      </c>
      <c r="D887" s="1822"/>
      <c r="E887" s="1822"/>
      <c r="F887" s="1822"/>
      <c r="G887" s="1822"/>
      <c r="H887" s="1822"/>
      <c r="I887" s="1822"/>
      <c r="J887" s="1822"/>
      <c r="K887" s="1822"/>
      <c r="L887" s="551"/>
      <c r="M887" s="550"/>
      <c r="N887" s="549"/>
      <c r="AI887" s="675"/>
      <c r="AJ887" s="537" t="s">
        <v>204</v>
      </c>
    </row>
    <row r="888" spans="1:36" s="536" customFormat="1" x14ac:dyDescent="0.2">
      <c r="A888" s="548"/>
      <c r="B888" s="552"/>
      <c r="C888" s="1822" t="s">
        <v>546</v>
      </c>
      <c r="D888" s="1822"/>
      <c r="E888" s="1822"/>
      <c r="F888" s="1822"/>
      <c r="G888" s="1822"/>
      <c r="H888" s="1822"/>
      <c r="I888" s="1822"/>
      <c r="J888" s="1822"/>
      <c r="K888" s="1822"/>
      <c r="L888" s="551">
        <v>28929.9</v>
      </c>
      <c r="M888" s="550"/>
      <c r="N888" s="549"/>
      <c r="AI888" s="675"/>
      <c r="AJ888" s="537" t="s">
        <v>546</v>
      </c>
    </row>
    <row r="889" spans="1:36" s="536" customFormat="1" x14ac:dyDescent="0.2">
      <c r="A889" s="548"/>
      <c r="B889" s="552"/>
      <c r="C889" s="1822" t="s">
        <v>442</v>
      </c>
      <c r="D889" s="1822"/>
      <c r="E889" s="1822"/>
      <c r="F889" s="1822"/>
      <c r="G889" s="1822"/>
      <c r="H889" s="1822"/>
      <c r="I889" s="1822"/>
      <c r="J889" s="1822"/>
      <c r="K889" s="1822"/>
      <c r="L889" s="551">
        <v>29281.19</v>
      </c>
      <c r="M889" s="550"/>
      <c r="N889" s="549"/>
      <c r="AI889" s="675"/>
      <c r="AJ889" s="537" t="s">
        <v>442</v>
      </c>
    </row>
    <row r="890" spans="1:36" s="536" customFormat="1" x14ac:dyDescent="0.2">
      <c r="A890" s="548"/>
      <c r="B890" s="552"/>
      <c r="C890" s="1822" t="s">
        <v>547</v>
      </c>
      <c r="D890" s="1822"/>
      <c r="E890" s="1822"/>
      <c r="F890" s="1822"/>
      <c r="G890" s="1822"/>
      <c r="H890" s="1822"/>
      <c r="I890" s="1822"/>
      <c r="J890" s="1822"/>
      <c r="K890" s="1822"/>
      <c r="L890" s="551">
        <v>1312837.9099999999</v>
      </c>
      <c r="M890" s="550"/>
      <c r="N890" s="549"/>
      <c r="AI890" s="675"/>
      <c r="AJ890" s="537" t="s">
        <v>547</v>
      </c>
    </row>
    <row r="891" spans="1:36" s="536" customFormat="1" x14ac:dyDescent="0.2">
      <c r="A891" s="548"/>
      <c r="B891" s="552"/>
      <c r="C891" s="1822" t="s">
        <v>443</v>
      </c>
      <c r="D891" s="1822"/>
      <c r="E891" s="1822"/>
      <c r="F891" s="1822"/>
      <c r="G891" s="1822"/>
      <c r="H891" s="1822"/>
      <c r="I891" s="1822"/>
      <c r="J891" s="1822"/>
      <c r="K891" s="1822"/>
      <c r="L891" s="551">
        <v>30775.81</v>
      </c>
      <c r="M891" s="550"/>
      <c r="N891" s="549"/>
      <c r="AI891" s="675"/>
      <c r="AJ891" s="537" t="s">
        <v>443</v>
      </c>
    </row>
    <row r="892" spans="1:36" s="536" customFormat="1" x14ac:dyDescent="0.2">
      <c r="A892" s="548"/>
      <c r="B892" s="552"/>
      <c r="C892" s="1822" t="s">
        <v>444</v>
      </c>
      <c r="D892" s="1822"/>
      <c r="E892" s="1822"/>
      <c r="F892" s="1822"/>
      <c r="G892" s="1822"/>
      <c r="H892" s="1822"/>
      <c r="I892" s="1822"/>
      <c r="J892" s="1822"/>
      <c r="K892" s="1822"/>
      <c r="L892" s="551">
        <v>16181.11</v>
      </c>
      <c r="M892" s="550"/>
      <c r="N892" s="549"/>
      <c r="AI892" s="675"/>
      <c r="AJ892" s="537" t="s">
        <v>444</v>
      </c>
    </row>
    <row r="893" spans="1:36" s="536" customFormat="1" x14ac:dyDescent="0.2">
      <c r="A893" s="548"/>
      <c r="B893" s="552" t="s">
        <v>186</v>
      </c>
      <c r="C893" s="1822" t="s">
        <v>754</v>
      </c>
      <c r="D893" s="1822"/>
      <c r="E893" s="1822"/>
      <c r="F893" s="1822"/>
      <c r="G893" s="1822"/>
      <c r="H893" s="1822"/>
      <c r="I893" s="1822"/>
      <c r="J893" s="1822"/>
      <c r="K893" s="1822"/>
      <c r="L893" s="551">
        <v>27419.39</v>
      </c>
      <c r="M893" s="550">
        <v>4.59</v>
      </c>
      <c r="N893" s="549">
        <v>125855</v>
      </c>
      <c r="AI893" s="675"/>
      <c r="AJ893" s="537" t="s">
        <v>754</v>
      </c>
    </row>
    <row r="894" spans="1:36" s="536" customFormat="1" x14ac:dyDescent="0.2">
      <c r="A894" s="548"/>
      <c r="B894" s="552"/>
      <c r="C894" s="1822" t="s">
        <v>415</v>
      </c>
      <c r="D894" s="1822"/>
      <c r="E894" s="1822"/>
      <c r="F894" s="1822"/>
      <c r="G894" s="1822"/>
      <c r="H894" s="1822"/>
      <c r="I894" s="1822"/>
      <c r="J894" s="1822"/>
      <c r="K894" s="1822"/>
      <c r="L894" s="551">
        <v>40868.85</v>
      </c>
      <c r="M894" s="550"/>
      <c r="N894" s="549"/>
      <c r="AI894" s="675"/>
      <c r="AJ894" s="537" t="s">
        <v>415</v>
      </c>
    </row>
    <row r="895" spans="1:36" s="536" customFormat="1" x14ac:dyDescent="0.2">
      <c r="A895" s="548"/>
      <c r="B895" s="552"/>
      <c r="C895" s="1822" t="s">
        <v>416</v>
      </c>
      <c r="D895" s="1822"/>
      <c r="E895" s="1822"/>
      <c r="F895" s="1822"/>
      <c r="G895" s="1822"/>
      <c r="H895" s="1822"/>
      <c r="I895" s="1822"/>
      <c r="J895" s="1822"/>
      <c r="K895" s="1822"/>
      <c r="L895" s="551">
        <v>39569.82</v>
      </c>
      <c r="M895" s="550"/>
      <c r="N895" s="549"/>
      <c r="AI895" s="675"/>
      <c r="AJ895" s="537" t="s">
        <v>416</v>
      </c>
    </row>
    <row r="896" spans="1:36" s="536" customFormat="1" x14ac:dyDescent="0.2">
      <c r="A896" s="548"/>
      <c r="B896" s="552"/>
      <c r="C896" s="1822" t="s">
        <v>417</v>
      </c>
      <c r="D896" s="1822"/>
      <c r="E896" s="1822"/>
      <c r="F896" s="1822"/>
      <c r="G896" s="1822"/>
      <c r="H896" s="1822"/>
      <c r="I896" s="1822"/>
      <c r="J896" s="1822"/>
      <c r="K896" s="1822"/>
      <c r="L896" s="551">
        <v>20831.93</v>
      </c>
      <c r="M896" s="550"/>
      <c r="N896" s="549"/>
      <c r="AI896" s="675"/>
      <c r="AJ896" s="537" t="s">
        <v>417</v>
      </c>
    </row>
    <row r="897" spans="1:37" x14ac:dyDescent="0.2">
      <c r="A897" s="548"/>
      <c r="B897" s="546"/>
      <c r="C897" s="1819" t="s">
        <v>206</v>
      </c>
      <c r="D897" s="1819"/>
      <c r="E897" s="1819"/>
      <c r="F897" s="1819"/>
      <c r="G897" s="1819"/>
      <c r="H897" s="1819"/>
      <c r="I897" s="1819"/>
      <c r="J897" s="1819"/>
      <c r="K897" s="1819"/>
      <c r="L897" s="544">
        <v>2064148.02</v>
      </c>
      <c r="M897" s="543"/>
      <c r="N897" s="547">
        <v>20065428</v>
      </c>
      <c r="P897" s="536"/>
      <c r="Q897" s="536"/>
      <c r="R897" s="536"/>
      <c r="S897" s="536"/>
      <c r="T897" s="536"/>
      <c r="U897" s="536"/>
      <c r="V897" s="536"/>
      <c r="W897" s="536"/>
      <c r="X897" s="536"/>
      <c r="Y897" s="536"/>
      <c r="Z897" s="536"/>
      <c r="AA897" s="536"/>
      <c r="AB897" s="536"/>
      <c r="AC897" s="536"/>
      <c r="AD897" s="536"/>
      <c r="AE897" s="536"/>
      <c r="AF897" s="536"/>
      <c r="AG897" s="536"/>
      <c r="AH897" s="536"/>
      <c r="AI897" s="675"/>
      <c r="AJ897" s="536"/>
      <c r="AK897" s="675" t="s">
        <v>206</v>
      </c>
    </row>
    <row r="898" spans="1:37" x14ac:dyDescent="0.2">
      <c r="A898" s="548"/>
      <c r="B898" s="552"/>
      <c r="C898" s="1822" t="s">
        <v>204</v>
      </c>
      <c r="D898" s="1822"/>
      <c r="E898" s="1822"/>
      <c r="F898" s="1822"/>
      <c r="G898" s="1822"/>
      <c r="H898" s="1822"/>
      <c r="I898" s="1822"/>
      <c r="J898" s="1822"/>
      <c r="K898" s="1822"/>
      <c r="L898" s="551"/>
      <c r="M898" s="550"/>
      <c r="N898" s="549"/>
      <c r="P898" s="536"/>
      <c r="Q898" s="536"/>
      <c r="R898" s="536"/>
      <c r="S898" s="536"/>
      <c r="T898" s="536"/>
      <c r="U898" s="536"/>
      <c r="V898" s="536"/>
      <c r="W898" s="536"/>
      <c r="X898" s="536"/>
      <c r="Y898" s="536"/>
      <c r="Z898" s="536"/>
      <c r="AA898" s="536"/>
      <c r="AB898" s="536"/>
      <c r="AC898" s="536"/>
      <c r="AD898" s="536"/>
      <c r="AE898" s="536"/>
      <c r="AF898" s="536"/>
      <c r="AG898" s="536"/>
      <c r="AH898" s="536"/>
      <c r="AI898" s="675"/>
      <c r="AJ898" s="537" t="s">
        <v>204</v>
      </c>
      <c r="AK898" s="675"/>
    </row>
    <row r="899" spans="1:37" x14ac:dyDescent="0.2">
      <c r="A899" s="548"/>
      <c r="B899" s="552"/>
      <c r="C899" s="1822" t="s">
        <v>8095</v>
      </c>
      <c r="D899" s="1822"/>
      <c r="E899" s="1822"/>
      <c r="F899" s="1822"/>
      <c r="G899" s="1822"/>
      <c r="H899" s="1822"/>
      <c r="I899" s="1822"/>
      <c r="J899" s="1822"/>
      <c r="K899" s="1822"/>
      <c r="L899" s="551">
        <v>1442385.4</v>
      </c>
      <c r="M899" s="550"/>
      <c r="N899" s="549">
        <v>14120953</v>
      </c>
      <c r="P899" s="536"/>
      <c r="Q899" s="536"/>
      <c r="R899" s="536"/>
      <c r="S899" s="536"/>
      <c r="T899" s="536"/>
      <c r="U899" s="536"/>
      <c r="V899" s="536"/>
      <c r="W899" s="536"/>
      <c r="X899" s="536"/>
      <c r="Y899" s="536"/>
      <c r="Z899" s="536"/>
      <c r="AA899" s="536"/>
      <c r="AB899" s="536"/>
      <c r="AC899" s="536"/>
      <c r="AD899" s="536"/>
      <c r="AE899" s="536"/>
      <c r="AF899" s="536"/>
      <c r="AG899" s="536"/>
      <c r="AH899" s="536"/>
      <c r="AI899" s="675"/>
      <c r="AJ899" s="537" t="s">
        <v>8095</v>
      </c>
      <c r="AK899" s="675"/>
    </row>
    <row r="900" spans="1:37" x14ac:dyDescent="0.2">
      <c r="A900" s="548"/>
      <c r="B900" s="552"/>
      <c r="C900" s="1822" t="s">
        <v>8097</v>
      </c>
      <c r="D900" s="1822"/>
      <c r="E900" s="1822"/>
      <c r="F900" s="1822"/>
      <c r="G900" s="1822"/>
      <c r="H900" s="1822"/>
      <c r="I900" s="1822"/>
      <c r="J900" s="1822"/>
      <c r="K900" s="1822"/>
      <c r="L900" s="551"/>
      <c r="M900" s="550"/>
      <c r="N900" s="549">
        <v>125855</v>
      </c>
      <c r="P900" s="536"/>
      <c r="Q900" s="536"/>
      <c r="R900" s="536"/>
      <c r="S900" s="536"/>
      <c r="T900" s="536"/>
      <c r="U900" s="536"/>
      <c r="V900" s="536"/>
      <c r="W900" s="536"/>
      <c r="X900" s="536"/>
      <c r="Y900" s="536"/>
      <c r="Z900" s="536"/>
      <c r="AA900" s="536"/>
      <c r="AB900" s="536"/>
      <c r="AC900" s="536"/>
      <c r="AD900" s="536"/>
      <c r="AE900" s="536"/>
      <c r="AF900" s="536"/>
      <c r="AG900" s="536"/>
      <c r="AH900" s="536"/>
      <c r="AI900" s="675"/>
      <c r="AJ900" s="537" t="s">
        <v>8097</v>
      </c>
      <c r="AK900" s="675"/>
    </row>
    <row r="901" spans="1:37" ht="1.5" customHeight="1" x14ac:dyDescent="0.2">
      <c r="B901" s="546"/>
      <c r="C901" s="671"/>
      <c r="D901" s="671"/>
      <c r="E901" s="671"/>
      <c r="F901" s="671"/>
      <c r="G901" s="671"/>
      <c r="H901" s="671"/>
      <c r="I901" s="671"/>
      <c r="J901" s="671"/>
      <c r="K901" s="671"/>
      <c r="L901" s="544"/>
      <c r="M901" s="543"/>
      <c r="N901" s="542"/>
      <c r="P901" s="536"/>
      <c r="Q901" s="536"/>
      <c r="R901" s="536"/>
      <c r="S901" s="536"/>
      <c r="T901" s="536"/>
      <c r="U901" s="536"/>
      <c r="V901" s="536"/>
      <c r="W901" s="536"/>
      <c r="X901" s="536"/>
      <c r="Y901" s="536"/>
      <c r="Z901" s="536"/>
      <c r="AA901" s="536"/>
      <c r="AB901" s="536"/>
      <c r="AC901" s="536"/>
      <c r="AD901" s="536"/>
      <c r="AE901" s="536"/>
      <c r="AF901" s="536"/>
      <c r="AG901" s="536"/>
      <c r="AH901" s="536"/>
      <c r="AI901" s="536"/>
      <c r="AJ901" s="536"/>
      <c r="AK901" s="536"/>
    </row>
    <row r="902" spans="1:37" ht="53.25" customHeight="1" x14ac:dyDescent="0.2">
      <c r="A902" s="541"/>
      <c r="B902" s="541"/>
      <c r="C902" s="541"/>
      <c r="D902" s="541"/>
      <c r="E902" s="541"/>
      <c r="F902" s="541"/>
      <c r="G902" s="541"/>
      <c r="H902" s="541"/>
      <c r="I902" s="541"/>
      <c r="J902" s="541"/>
      <c r="K902" s="541"/>
      <c r="L902" s="541"/>
      <c r="M902" s="541"/>
      <c r="N902" s="541"/>
      <c r="P902" s="536"/>
      <c r="Q902" s="536"/>
      <c r="R902" s="536"/>
      <c r="S902" s="536"/>
      <c r="T902" s="536"/>
      <c r="U902" s="536"/>
      <c r="V902" s="536"/>
      <c r="W902" s="536"/>
      <c r="X902" s="536"/>
      <c r="Y902" s="536"/>
      <c r="Z902" s="536"/>
      <c r="AA902" s="536"/>
      <c r="AB902" s="536"/>
      <c r="AC902" s="536"/>
      <c r="AD902" s="536"/>
      <c r="AE902" s="536"/>
      <c r="AF902" s="536"/>
      <c r="AG902" s="536"/>
      <c r="AH902" s="536"/>
      <c r="AI902" s="536"/>
      <c r="AJ902" s="536"/>
      <c r="AK902" s="536"/>
    </row>
    <row r="903" spans="1:37" x14ac:dyDescent="0.2">
      <c r="B903" s="539" t="s">
        <v>149</v>
      </c>
      <c r="C903" s="1943" t="s">
        <v>207</v>
      </c>
      <c r="D903" s="1943"/>
      <c r="E903" s="1943"/>
      <c r="F903" s="1943"/>
      <c r="G903" s="1943"/>
      <c r="H903" s="1943"/>
      <c r="I903" s="1943"/>
      <c r="J903" s="1943"/>
      <c r="K903" s="1943"/>
      <c r="L903" s="1943"/>
    </row>
    <row r="904" spans="1:37" ht="13.5" customHeight="1" x14ac:dyDescent="0.2">
      <c r="B904" s="540"/>
      <c r="C904" s="1821" t="s">
        <v>150</v>
      </c>
      <c r="D904" s="1821"/>
      <c r="E904" s="1821"/>
      <c r="F904" s="1821"/>
      <c r="G904" s="1821"/>
      <c r="H904" s="1821"/>
      <c r="I904" s="1821"/>
      <c r="J904" s="1821"/>
      <c r="K904" s="1821"/>
      <c r="L904" s="1821"/>
    </row>
    <row r="905" spans="1:37" ht="12.75" customHeight="1" x14ac:dyDescent="0.2">
      <c r="B905" s="539" t="s">
        <v>151</v>
      </c>
      <c r="C905" s="1943" t="s">
        <v>208</v>
      </c>
      <c r="D905" s="1943"/>
      <c r="E905" s="1943"/>
      <c r="F905" s="1943"/>
      <c r="G905" s="1943"/>
      <c r="H905" s="1943"/>
      <c r="I905" s="1943"/>
      <c r="J905" s="1943"/>
      <c r="K905" s="1943"/>
      <c r="L905" s="1943"/>
    </row>
    <row r="906" spans="1:37" ht="13.5" customHeight="1" x14ac:dyDescent="0.2">
      <c r="C906" s="1821" t="s">
        <v>150</v>
      </c>
      <c r="D906" s="1821"/>
      <c r="E906" s="1821"/>
      <c r="F906" s="1821"/>
      <c r="G906" s="1821"/>
      <c r="H906" s="1821"/>
      <c r="I906" s="1821"/>
      <c r="J906" s="1821"/>
      <c r="K906" s="1821"/>
      <c r="L906" s="1821"/>
    </row>
    <row r="908" spans="1:37" x14ac:dyDescent="0.2">
      <c r="B908" s="538"/>
      <c r="D908" s="538"/>
      <c r="F908" s="538"/>
      <c r="P908" s="536"/>
      <c r="Q908" s="536"/>
      <c r="R908" s="536"/>
      <c r="S908" s="536"/>
      <c r="T908" s="536"/>
      <c r="U908" s="536"/>
      <c r="V908" s="536"/>
      <c r="W908" s="536"/>
      <c r="X908" s="536"/>
      <c r="Y908" s="536"/>
      <c r="Z908" s="536"/>
      <c r="AA908" s="536"/>
      <c r="AB908" s="536"/>
      <c r="AC908" s="536"/>
      <c r="AD908" s="536"/>
      <c r="AE908" s="536"/>
      <c r="AF908" s="536"/>
      <c r="AG908" s="536"/>
      <c r="AH908" s="536"/>
      <c r="AI908" s="536"/>
      <c r="AJ908" s="536"/>
      <c r="AK908" s="536"/>
    </row>
  </sheetData>
  <mergeCells count="837">
    <mergeCell ref="C900:K900"/>
    <mergeCell ref="C903:L903"/>
    <mergeCell ref="C904:L904"/>
    <mergeCell ref="C905:L905"/>
    <mergeCell ref="C906:L906"/>
    <mergeCell ref="C894:K894"/>
    <mergeCell ref="C895:K895"/>
    <mergeCell ref="C896:K896"/>
    <mergeCell ref="C897:K897"/>
    <mergeCell ref="C898:K898"/>
    <mergeCell ref="C899:K899"/>
    <mergeCell ref="C888:K888"/>
    <mergeCell ref="C889:K889"/>
    <mergeCell ref="C890:K890"/>
    <mergeCell ref="C891:K891"/>
    <mergeCell ref="C892:K892"/>
    <mergeCell ref="C893:K893"/>
    <mergeCell ref="C882:K882"/>
    <mergeCell ref="C883:K883"/>
    <mergeCell ref="C884:K884"/>
    <mergeCell ref="C885:K885"/>
    <mergeCell ref="C886:K886"/>
    <mergeCell ref="C887:K887"/>
    <mergeCell ref="C876:K876"/>
    <mergeCell ref="C877:K877"/>
    <mergeCell ref="C878:K878"/>
    <mergeCell ref="C879:K879"/>
    <mergeCell ref="C880:K880"/>
    <mergeCell ref="C881:K881"/>
    <mergeCell ref="C870:K870"/>
    <mergeCell ref="C871:K871"/>
    <mergeCell ref="C872:K872"/>
    <mergeCell ref="C873:K873"/>
    <mergeCell ref="C874:K874"/>
    <mergeCell ref="C875:K875"/>
    <mergeCell ref="C863:K863"/>
    <mergeCell ref="C864:K864"/>
    <mergeCell ref="C865:K865"/>
    <mergeCell ref="C866:K866"/>
    <mergeCell ref="C867:K867"/>
    <mergeCell ref="C868:K868"/>
    <mergeCell ref="A854:N854"/>
    <mergeCell ref="C855:E855"/>
    <mergeCell ref="C857:N857"/>
    <mergeCell ref="C858:E858"/>
    <mergeCell ref="C861:K861"/>
    <mergeCell ref="C862:K862"/>
    <mergeCell ref="C845:E845"/>
    <mergeCell ref="C847:N847"/>
    <mergeCell ref="A848:N848"/>
    <mergeCell ref="C849:E849"/>
    <mergeCell ref="C851:N851"/>
    <mergeCell ref="C852:E852"/>
    <mergeCell ref="C839:K839"/>
    <mergeCell ref="C840:K840"/>
    <mergeCell ref="C841:K841"/>
    <mergeCell ref="C842:K842"/>
    <mergeCell ref="A843:N843"/>
    <mergeCell ref="A844:N844"/>
    <mergeCell ref="C833:K833"/>
    <mergeCell ref="C834:K834"/>
    <mergeCell ref="C835:K835"/>
    <mergeCell ref="C836:K836"/>
    <mergeCell ref="C837:K837"/>
    <mergeCell ref="C838:K838"/>
    <mergeCell ref="C827:K827"/>
    <mergeCell ref="C828:K828"/>
    <mergeCell ref="C829:K829"/>
    <mergeCell ref="C830:K830"/>
    <mergeCell ref="C831:K831"/>
    <mergeCell ref="C832:K832"/>
    <mergeCell ref="C821:K821"/>
    <mergeCell ref="C822:K822"/>
    <mergeCell ref="C823:K823"/>
    <mergeCell ref="C824:K824"/>
    <mergeCell ref="C825:K825"/>
    <mergeCell ref="C826:K826"/>
    <mergeCell ref="C815:K815"/>
    <mergeCell ref="C816:K816"/>
    <mergeCell ref="C817:K817"/>
    <mergeCell ref="C818:K818"/>
    <mergeCell ref="C819:K819"/>
    <mergeCell ref="C820:K820"/>
    <mergeCell ref="C807:E807"/>
    <mergeCell ref="C808:E808"/>
    <mergeCell ref="C809:E809"/>
    <mergeCell ref="C810:E810"/>
    <mergeCell ref="C812:N812"/>
    <mergeCell ref="C814:K814"/>
    <mergeCell ref="C801:E801"/>
    <mergeCell ref="C802:E802"/>
    <mergeCell ref="C803:E803"/>
    <mergeCell ref="C804:E804"/>
    <mergeCell ref="C805:E805"/>
    <mergeCell ref="C806:E806"/>
    <mergeCell ref="C795:N795"/>
    <mergeCell ref="C796:E796"/>
    <mergeCell ref="C797:N797"/>
    <mergeCell ref="C798:N798"/>
    <mergeCell ref="C799:E799"/>
    <mergeCell ref="C800:E800"/>
    <mergeCell ref="C787:E787"/>
    <mergeCell ref="C788:E788"/>
    <mergeCell ref="C789:E789"/>
    <mergeCell ref="C790:E790"/>
    <mergeCell ref="C792:N792"/>
    <mergeCell ref="C793:E793"/>
    <mergeCell ref="C781:N781"/>
    <mergeCell ref="C782:E782"/>
    <mergeCell ref="C783:E783"/>
    <mergeCell ref="C784:E784"/>
    <mergeCell ref="C785:E785"/>
    <mergeCell ref="C786:E786"/>
    <mergeCell ref="C773:N773"/>
    <mergeCell ref="C774:E774"/>
    <mergeCell ref="C776:N776"/>
    <mergeCell ref="C777:E777"/>
    <mergeCell ref="C779:N779"/>
    <mergeCell ref="C780:E780"/>
    <mergeCell ref="C766:E766"/>
    <mergeCell ref="C767:E767"/>
    <mergeCell ref="C768:E768"/>
    <mergeCell ref="C769:E769"/>
    <mergeCell ref="C770:E770"/>
    <mergeCell ref="C771:E771"/>
    <mergeCell ref="C760:E760"/>
    <mergeCell ref="C761:N761"/>
    <mergeCell ref="C762:N762"/>
    <mergeCell ref="C763:E763"/>
    <mergeCell ref="C764:E764"/>
    <mergeCell ref="C765:E765"/>
    <mergeCell ref="C753:E753"/>
    <mergeCell ref="C754:E754"/>
    <mergeCell ref="C755:E755"/>
    <mergeCell ref="C756:E756"/>
    <mergeCell ref="C757:E757"/>
    <mergeCell ref="C758:E758"/>
    <mergeCell ref="C747:N747"/>
    <mergeCell ref="C748:E748"/>
    <mergeCell ref="C749:N749"/>
    <mergeCell ref="C750:E750"/>
    <mergeCell ref="C751:E751"/>
    <mergeCell ref="C752:E752"/>
    <mergeCell ref="C740:E740"/>
    <mergeCell ref="C741:E741"/>
    <mergeCell ref="C742:E742"/>
    <mergeCell ref="C743:E743"/>
    <mergeCell ref="C744:E744"/>
    <mergeCell ref="C745:E745"/>
    <mergeCell ref="C734:N734"/>
    <mergeCell ref="C735:E735"/>
    <mergeCell ref="C736:N736"/>
    <mergeCell ref="C737:E737"/>
    <mergeCell ref="C738:E738"/>
    <mergeCell ref="C739:E739"/>
    <mergeCell ref="C727:E727"/>
    <mergeCell ref="C728:E728"/>
    <mergeCell ref="C729:E729"/>
    <mergeCell ref="C730:E730"/>
    <mergeCell ref="C731:E731"/>
    <mergeCell ref="C732:E732"/>
    <mergeCell ref="C721:N721"/>
    <mergeCell ref="C722:E722"/>
    <mergeCell ref="C723:N723"/>
    <mergeCell ref="C724:E724"/>
    <mergeCell ref="C725:E725"/>
    <mergeCell ref="C726:E726"/>
    <mergeCell ref="C714:E714"/>
    <mergeCell ref="C715:E715"/>
    <mergeCell ref="C716:E716"/>
    <mergeCell ref="C717:E717"/>
    <mergeCell ref="C718:E718"/>
    <mergeCell ref="C719:E719"/>
    <mergeCell ref="C708:N708"/>
    <mergeCell ref="C709:E709"/>
    <mergeCell ref="C710:N710"/>
    <mergeCell ref="C711:E711"/>
    <mergeCell ref="C712:E712"/>
    <mergeCell ref="C713:E713"/>
    <mergeCell ref="C701:E701"/>
    <mergeCell ref="C702:E702"/>
    <mergeCell ref="C703:E703"/>
    <mergeCell ref="C704:E704"/>
    <mergeCell ref="C705:E705"/>
    <mergeCell ref="C706:E706"/>
    <mergeCell ref="C695:E695"/>
    <mergeCell ref="C696:E696"/>
    <mergeCell ref="C697:E697"/>
    <mergeCell ref="C698:E698"/>
    <mergeCell ref="C699:E699"/>
    <mergeCell ref="C700:E700"/>
    <mergeCell ref="C688:E688"/>
    <mergeCell ref="C690:N690"/>
    <mergeCell ref="C691:N691"/>
    <mergeCell ref="C692:E692"/>
    <mergeCell ref="C693:N693"/>
    <mergeCell ref="C694:N694"/>
    <mergeCell ref="C680:E680"/>
    <mergeCell ref="C682:N682"/>
    <mergeCell ref="C683:N683"/>
    <mergeCell ref="C684:E684"/>
    <mergeCell ref="C686:N686"/>
    <mergeCell ref="C687:N687"/>
    <mergeCell ref="C672:E672"/>
    <mergeCell ref="C674:N674"/>
    <mergeCell ref="C675:N675"/>
    <mergeCell ref="C676:E676"/>
    <mergeCell ref="C678:N678"/>
    <mergeCell ref="C679:N679"/>
    <mergeCell ref="C664:N664"/>
    <mergeCell ref="C665:E665"/>
    <mergeCell ref="C667:N667"/>
    <mergeCell ref="C668:E668"/>
    <mergeCell ref="C670:N670"/>
    <mergeCell ref="C671:N671"/>
    <mergeCell ref="C655:N655"/>
    <mergeCell ref="C656:E656"/>
    <mergeCell ref="C658:N658"/>
    <mergeCell ref="C659:E659"/>
    <mergeCell ref="C661:N661"/>
    <mergeCell ref="C662:E662"/>
    <mergeCell ref="C646:N646"/>
    <mergeCell ref="C647:E647"/>
    <mergeCell ref="C649:N649"/>
    <mergeCell ref="C650:E650"/>
    <mergeCell ref="C652:N652"/>
    <mergeCell ref="C653:E653"/>
    <mergeCell ref="C639:E639"/>
    <mergeCell ref="C640:E640"/>
    <mergeCell ref="C641:E641"/>
    <mergeCell ref="C642:E642"/>
    <mergeCell ref="C643:E643"/>
    <mergeCell ref="C644:E644"/>
    <mergeCell ref="C633:E633"/>
    <mergeCell ref="C634:E634"/>
    <mergeCell ref="C635:E635"/>
    <mergeCell ref="C636:E636"/>
    <mergeCell ref="C637:E637"/>
    <mergeCell ref="C638:E638"/>
    <mergeCell ref="C627:E627"/>
    <mergeCell ref="C628:E628"/>
    <mergeCell ref="C629:E629"/>
    <mergeCell ref="C630:E630"/>
    <mergeCell ref="C631:N631"/>
    <mergeCell ref="C632:N632"/>
    <mergeCell ref="C621:E621"/>
    <mergeCell ref="C622:E622"/>
    <mergeCell ref="C623:E623"/>
    <mergeCell ref="C624:E624"/>
    <mergeCell ref="C625:E625"/>
    <mergeCell ref="C626:E626"/>
    <mergeCell ref="C615:E615"/>
    <mergeCell ref="C616:E616"/>
    <mergeCell ref="C617:N617"/>
    <mergeCell ref="C618:N618"/>
    <mergeCell ref="C619:E619"/>
    <mergeCell ref="C620:E620"/>
    <mergeCell ref="C609:E609"/>
    <mergeCell ref="C610:E610"/>
    <mergeCell ref="C611:E611"/>
    <mergeCell ref="C612:E612"/>
    <mergeCell ref="C613:E613"/>
    <mergeCell ref="C614:E614"/>
    <mergeCell ref="C603:N603"/>
    <mergeCell ref="C604:N604"/>
    <mergeCell ref="C605:E605"/>
    <mergeCell ref="C606:E606"/>
    <mergeCell ref="C607:E607"/>
    <mergeCell ref="C608:E608"/>
    <mergeCell ref="C597:E597"/>
    <mergeCell ref="C598:E598"/>
    <mergeCell ref="C599:E599"/>
    <mergeCell ref="C600:E600"/>
    <mergeCell ref="C601:E601"/>
    <mergeCell ref="C602:E602"/>
    <mergeCell ref="C591:E591"/>
    <mergeCell ref="C592:E592"/>
    <mergeCell ref="C593:E593"/>
    <mergeCell ref="C594:E594"/>
    <mergeCell ref="C595:E595"/>
    <mergeCell ref="C596:E596"/>
    <mergeCell ref="C585:E585"/>
    <mergeCell ref="C586:E586"/>
    <mergeCell ref="C587:E587"/>
    <mergeCell ref="C588:E588"/>
    <mergeCell ref="C589:N589"/>
    <mergeCell ref="C590:N590"/>
    <mergeCell ref="C579:E579"/>
    <mergeCell ref="C580:E580"/>
    <mergeCell ref="C581:E581"/>
    <mergeCell ref="C582:E582"/>
    <mergeCell ref="C583:E583"/>
    <mergeCell ref="C584:E584"/>
    <mergeCell ref="C573:N573"/>
    <mergeCell ref="C574:E574"/>
    <mergeCell ref="C575:N575"/>
    <mergeCell ref="C576:N576"/>
    <mergeCell ref="C577:E577"/>
    <mergeCell ref="C578:E578"/>
    <mergeCell ref="C566:E566"/>
    <mergeCell ref="C567:E567"/>
    <mergeCell ref="C568:E568"/>
    <mergeCell ref="C569:E569"/>
    <mergeCell ref="C570:E570"/>
    <mergeCell ref="C571:E571"/>
    <mergeCell ref="C560:E560"/>
    <mergeCell ref="C561:E561"/>
    <mergeCell ref="C562:E562"/>
    <mergeCell ref="C563:E563"/>
    <mergeCell ref="C564:E564"/>
    <mergeCell ref="C565:E565"/>
    <mergeCell ref="C553:E553"/>
    <mergeCell ref="C554:E554"/>
    <mergeCell ref="C556:N556"/>
    <mergeCell ref="C557:E557"/>
    <mergeCell ref="C558:N558"/>
    <mergeCell ref="C559:N559"/>
    <mergeCell ref="C547:E547"/>
    <mergeCell ref="C548:E548"/>
    <mergeCell ref="C549:E549"/>
    <mergeCell ref="C550:E550"/>
    <mergeCell ref="C551:E551"/>
    <mergeCell ref="C552:E552"/>
    <mergeCell ref="C540:E540"/>
    <mergeCell ref="C542:N542"/>
    <mergeCell ref="C543:E543"/>
    <mergeCell ref="C544:N544"/>
    <mergeCell ref="C545:N545"/>
    <mergeCell ref="C546:E546"/>
    <mergeCell ref="C533:E533"/>
    <mergeCell ref="C534:E534"/>
    <mergeCell ref="C535:E535"/>
    <mergeCell ref="C536:E536"/>
    <mergeCell ref="C537:E537"/>
    <mergeCell ref="C539:N539"/>
    <mergeCell ref="C527:E527"/>
    <mergeCell ref="C528:E528"/>
    <mergeCell ref="C529:E529"/>
    <mergeCell ref="C530:E530"/>
    <mergeCell ref="C531:E531"/>
    <mergeCell ref="C532:E532"/>
    <mergeCell ref="C520:E520"/>
    <mergeCell ref="C522:N522"/>
    <mergeCell ref="C523:E523"/>
    <mergeCell ref="C524:N524"/>
    <mergeCell ref="C525:N525"/>
    <mergeCell ref="C526:E526"/>
    <mergeCell ref="C514:E514"/>
    <mergeCell ref="C515:E515"/>
    <mergeCell ref="C516:E516"/>
    <mergeCell ref="C517:E517"/>
    <mergeCell ref="C518:E518"/>
    <mergeCell ref="C519:E519"/>
    <mergeCell ref="C508:N508"/>
    <mergeCell ref="C509:E509"/>
    <mergeCell ref="C510:E510"/>
    <mergeCell ref="C511:E511"/>
    <mergeCell ref="C512:E512"/>
    <mergeCell ref="C513:E513"/>
    <mergeCell ref="C500:E500"/>
    <mergeCell ref="C502:N502"/>
    <mergeCell ref="C503:E503"/>
    <mergeCell ref="C505:N505"/>
    <mergeCell ref="C506:E506"/>
    <mergeCell ref="C507:N507"/>
    <mergeCell ref="C491:E491"/>
    <mergeCell ref="C493:N493"/>
    <mergeCell ref="C494:E494"/>
    <mergeCell ref="C496:N496"/>
    <mergeCell ref="C497:E497"/>
    <mergeCell ref="C499:N499"/>
    <mergeCell ref="C485:E485"/>
    <mergeCell ref="C486:E486"/>
    <mergeCell ref="C487:E487"/>
    <mergeCell ref="C488:E488"/>
    <mergeCell ref="C489:E489"/>
    <mergeCell ref="C490:E490"/>
    <mergeCell ref="C479:N479"/>
    <mergeCell ref="C480:E480"/>
    <mergeCell ref="C481:E481"/>
    <mergeCell ref="C482:E482"/>
    <mergeCell ref="C483:E483"/>
    <mergeCell ref="C484:E484"/>
    <mergeCell ref="C471:E471"/>
    <mergeCell ref="C473:N473"/>
    <mergeCell ref="C474:E474"/>
    <mergeCell ref="C476:N476"/>
    <mergeCell ref="C477:E477"/>
    <mergeCell ref="C478:N478"/>
    <mergeCell ref="C462:E462"/>
    <mergeCell ref="C464:N464"/>
    <mergeCell ref="C465:E465"/>
    <mergeCell ref="C467:N467"/>
    <mergeCell ref="C468:E468"/>
    <mergeCell ref="C470:N470"/>
    <mergeCell ref="C456:E456"/>
    <mergeCell ref="C457:E457"/>
    <mergeCell ref="C458:E458"/>
    <mergeCell ref="C459:E459"/>
    <mergeCell ref="C460:E460"/>
    <mergeCell ref="C461:E461"/>
    <mergeCell ref="C450:E450"/>
    <mergeCell ref="C451:E451"/>
    <mergeCell ref="C452:E452"/>
    <mergeCell ref="C453:E453"/>
    <mergeCell ref="C454:E454"/>
    <mergeCell ref="C455:E455"/>
    <mergeCell ref="C444:K444"/>
    <mergeCell ref="C445:K445"/>
    <mergeCell ref="A446:N446"/>
    <mergeCell ref="C447:E447"/>
    <mergeCell ref="C448:N448"/>
    <mergeCell ref="C449:N449"/>
    <mergeCell ref="C438:K438"/>
    <mergeCell ref="C439:K439"/>
    <mergeCell ref="C440:K440"/>
    <mergeCell ref="C441:K441"/>
    <mergeCell ref="C442:K442"/>
    <mergeCell ref="C443:K443"/>
    <mergeCell ref="C432:K432"/>
    <mergeCell ref="C433:K433"/>
    <mergeCell ref="C434:K434"/>
    <mergeCell ref="C435:K435"/>
    <mergeCell ref="C436:K436"/>
    <mergeCell ref="C437:K437"/>
    <mergeCell ref="C426:K426"/>
    <mergeCell ref="C427:K427"/>
    <mergeCell ref="C428:K428"/>
    <mergeCell ref="C429:K429"/>
    <mergeCell ref="C430:K430"/>
    <mergeCell ref="C431:K431"/>
    <mergeCell ref="C419:E419"/>
    <mergeCell ref="C420:E420"/>
    <mergeCell ref="C421:E421"/>
    <mergeCell ref="C422:E422"/>
    <mergeCell ref="C423:E423"/>
    <mergeCell ref="C425:K425"/>
    <mergeCell ref="C413:E413"/>
    <mergeCell ref="C414:E414"/>
    <mergeCell ref="C415:E415"/>
    <mergeCell ref="C416:E416"/>
    <mergeCell ref="C417:E417"/>
    <mergeCell ref="C418:E418"/>
    <mergeCell ref="C407:E407"/>
    <mergeCell ref="C408:E408"/>
    <mergeCell ref="C409:E409"/>
    <mergeCell ref="C410:E410"/>
    <mergeCell ref="C411:N411"/>
    <mergeCell ref="C412:N412"/>
    <mergeCell ref="C401:E401"/>
    <mergeCell ref="C402:E402"/>
    <mergeCell ref="C403:E403"/>
    <mergeCell ref="C404:E404"/>
    <mergeCell ref="C405:E405"/>
    <mergeCell ref="C406:E406"/>
    <mergeCell ref="C395:N395"/>
    <mergeCell ref="C396:E396"/>
    <mergeCell ref="C397:N397"/>
    <mergeCell ref="C398:N398"/>
    <mergeCell ref="C399:E399"/>
    <mergeCell ref="C400:E400"/>
    <mergeCell ref="C388:E388"/>
    <mergeCell ref="C389:E389"/>
    <mergeCell ref="C390:E390"/>
    <mergeCell ref="C391:E391"/>
    <mergeCell ref="C392:E392"/>
    <mergeCell ref="C393:E393"/>
    <mergeCell ref="C382:E382"/>
    <mergeCell ref="C383:E383"/>
    <mergeCell ref="C384:E384"/>
    <mergeCell ref="C385:E385"/>
    <mergeCell ref="C386:E386"/>
    <mergeCell ref="C387:E387"/>
    <mergeCell ref="C376:E376"/>
    <mergeCell ref="C377:E377"/>
    <mergeCell ref="C378:E378"/>
    <mergeCell ref="C379:E379"/>
    <mergeCell ref="C380:E380"/>
    <mergeCell ref="C381:N381"/>
    <mergeCell ref="C370:E370"/>
    <mergeCell ref="C371:E371"/>
    <mergeCell ref="C372:E372"/>
    <mergeCell ref="C373:E373"/>
    <mergeCell ref="C374:E374"/>
    <mergeCell ref="C375:E375"/>
    <mergeCell ref="C364:E364"/>
    <mergeCell ref="C365:E365"/>
    <mergeCell ref="C366:E366"/>
    <mergeCell ref="C367:N367"/>
    <mergeCell ref="C368:N368"/>
    <mergeCell ref="C369:E369"/>
    <mergeCell ref="C358:E358"/>
    <mergeCell ref="C359:E359"/>
    <mergeCell ref="C360:E360"/>
    <mergeCell ref="C361:E361"/>
    <mergeCell ref="C362:E362"/>
    <mergeCell ref="C363:E363"/>
    <mergeCell ref="C352:E352"/>
    <mergeCell ref="C353:N353"/>
    <mergeCell ref="C354:N354"/>
    <mergeCell ref="C355:E355"/>
    <mergeCell ref="C356:E356"/>
    <mergeCell ref="C357:E357"/>
    <mergeCell ref="C346:E346"/>
    <mergeCell ref="C347:E347"/>
    <mergeCell ref="C348:E348"/>
    <mergeCell ref="C349:E349"/>
    <mergeCell ref="C350:E350"/>
    <mergeCell ref="C351:E351"/>
    <mergeCell ref="C340:N340"/>
    <mergeCell ref="C341:E341"/>
    <mergeCell ref="C342:E342"/>
    <mergeCell ref="C343:E343"/>
    <mergeCell ref="C344:E344"/>
    <mergeCell ref="C345:E345"/>
    <mergeCell ref="C334:E334"/>
    <mergeCell ref="C335:E335"/>
    <mergeCell ref="C336:E336"/>
    <mergeCell ref="C337:E337"/>
    <mergeCell ref="C338:E338"/>
    <mergeCell ref="C339:N339"/>
    <mergeCell ref="C328:E328"/>
    <mergeCell ref="C329:E329"/>
    <mergeCell ref="C330:E330"/>
    <mergeCell ref="C331:E331"/>
    <mergeCell ref="C332:E332"/>
    <mergeCell ref="C333:E333"/>
    <mergeCell ref="C321:E321"/>
    <mergeCell ref="C323:N323"/>
    <mergeCell ref="C324:E324"/>
    <mergeCell ref="C325:N325"/>
    <mergeCell ref="C326:N326"/>
    <mergeCell ref="C327:E327"/>
    <mergeCell ref="C315:E315"/>
    <mergeCell ref="C316:E316"/>
    <mergeCell ref="C317:E317"/>
    <mergeCell ref="C318:E318"/>
    <mergeCell ref="C319:E319"/>
    <mergeCell ref="C320:E320"/>
    <mergeCell ref="C309:N309"/>
    <mergeCell ref="C310:E310"/>
    <mergeCell ref="C311:E311"/>
    <mergeCell ref="C312:E312"/>
    <mergeCell ref="C313:E313"/>
    <mergeCell ref="C314:E314"/>
    <mergeCell ref="C303:K303"/>
    <mergeCell ref="C304:K304"/>
    <mergeCell ref="C305:K305"/>
    <mergeCell ref="C306:K306"/>
    <mergeCell ref="A307:N307"/>
    <mergeCell ref="C308:E308"/>
    <mergeCell ref="C297:K297"/>
    <mergeCell ref="C298:K298"/>
    <mergeCell ref="C299:K299"/>
    <mergeCell ref="C300:K300"/>
    <mergeCell ref="C301:K301"/>
    <mergeCell ref="C302:K302"/>
    <mergeCell ref="C291:K291"/>
    <mergeCell ref="C292:K292"/>
    <mergeCell ref="C293:K293"/>
    <mergeCell ref="C294:K294"/>
    <mergeCell ref="C295:K295"/>
    <mergeCell ref="C296:K296"/>
    <mergeCell ref="C283:E283"/>
    <mergeCell ref="C284:E284"/>
    <mergeCell ref="C285:E285"/>
    <mergeCell ref="C286:E286"/>
    <mergeCell ref="C289:K289"/>
    <mergeCell ref="C290:K290"/>
    <mergeCell ref="C277:E277"/>
    <mergeCell ref="C278:E278"/>
    <mergeCell ref="C279:E279"/>
    <mergeCell ref="C280:E280"/>
    <mergeCell ref="C281:E281"/>
    <mergeCell ref="C282:E282"/>
    <mergeCell ref="C271:E271"/>
    <mergeCell ref="C272:N272"/>
    <mergeCell ref="C273:N273"/>
    <mergeCell ref="C274:E274"/>
    <mergeCell ref="C275:E275"/>
    <mergeCell ref="C276:E276"/>
    <mergeCell ref="C264:E264"/>
    <mergeCell ref="C265:E265"/>
    <mergeCell ref="C266:E266"/>
    <mergeCell ref="C267:E267"/>
    <mergeCell ref="C268:E268"/>
    <mergeCell ref="C270:N270"/>
    <mergeCell ref="C258:E258"/>
    <mergeCell ref="C259:E259"/>
    <mergeCell ref="C260:E260"/>
    <mergeCell ref="C261:E261"/>
    <mergeCell ref="C262:E262"/>
    <mergeCell ref="C263:E263"/>
    <mergeCell ref="C252:K252"/>
    <mergeCell ref="A253:N253"/>
    <mergeCell ref="C254:E254"/>
    <mergeCell ref="C255:N255"/>
    <mergeCell ref="C256:E256"/>
    <mergeCell ref="C257:E257"/>
    <mergeCell ref="C246:K246"/>
    <mergeCell ref="C247:K247"/>
    <mergeCell ref="C248:K248"/>
    <mergeCell ref="C249:K249"/>
    <mergeCell ref="C250:K250"/>
    <mergeCell ref="C251:K251"/>
    <mergeCell ref="C240:K240"/>
    <mergeCell ref="C241:K241"/>
    <mergeCell ref="C242:K242"/>
    <mergeCell ref="C243:K243"/>
    <mergeCell ref="C244:K244"/>
    <mergeCell ref="C245:K245"/>
    <mergeCell ref="C233:N233"/>
    <mergeCell ref="C235:K235"/>
    <mergeCell ref="C236:K236"/>
    <mergeCell ref="C237:K237"/>
    <mergeCell ref="C238:K238"/>
    <mergeCell ref="C239:K239"/>
    <mergeCell ref="C227:E227"/>
    <mergeCell ref="C228:E228"/>
    <mergeCell ref="C229:E229"/>
    <mergeCell ref="C230:E230"/>
    <mergeCell ref="C231:E231"/>
    <mergeCell ref="C232:E232"/>
    <mergeCell ref="C221:E221"/>
    <mergeCell ref="C222:N222"/>
    <mergeCell ref="C223:N223"/>
    <mergeCell ref="C224:E224"/>
    <mergeCell ref="C225:E225"/>
    <mergeCell ref="C226:E226"/>
    <mergeCell ref="C215:E215"/>
    <mergeCell ref="C216:E216"/>
    <mergeCell ref="C217:E217"/>
    <mergeCell ref="C218:E218"/>
    <mergeCell ref="C219:E219"/>
    <mergeCell ref="A220:N220"/>
    <mergeCell ref="C209:N209"/>
    <mergeCell ref="C210:E210"/>
    <mergeCell ref="C211:E211"/>
    <mergeCell ref="C212:E212"/>
    <mergeCell ref="C213:E213"/>
    <mergeCell ref="C214:E214"/>
    <mergeCell ref="C203:E203"/>
    <mergeCell ref="C204:E204"/>
    <mergeCell ref="C205:E205"/>
    <mergeCell ref="C206:E206"/>
    <mergeCell ref="C207:E207"/>
    <mergeCell ref="C208:N208"/>
    <mergeCell ref="C197:N197"/>
    <mergeCell ref="C198:N198"/>
    <mergeCell ref="C199:E199"/>
    <mergeCell ref="C200:E200"/>
    <mergeCell ref="C201:E201"/>
    <mergeCell ref="C202:E202"/>
    <mergeCell ref="C191:E191"/>
    <mergeCell ref="C192:E192"/>
    <mergeCell ref="C193:E193"/>
    <mergeCell ref="C194:E194"/>
    <mergeCell ref="C195:N195"/>
    <mergeCell ref="C196:E196"/>
    <mergeCell ref="C185:N185"/>
    <mergeCell ref="C186:N186"/>
    <mergeCell ref="C187:E187"/>
    <mergeCell ref="C188:E188"/>
    <mergeCell ref="C189:E189"/>
    <mergeCell ref="C190:E190"/>
    <mergeCell ref="C179:E179"/>
    <mergeCell ref="C180:E180"/>
    <mergeCell ref="C181:E181"/>
    <mergeCell ref="C182:E182"/>
    <mergeCell ref="C183:E183"/>
    <mergeCell ref="C184:N184"/>
    <mergeCell ref="C173:N173"/>
    <mergeCell ref="C174:N174"/>
    <mergeCell ref="C175:E175"/>
    <mergeCell ref="C176:E176"/>
    <mergeCell ref="C177:E177"/>
    <mergeCell ref="C178:E178"/>
    <mergeCell ref="C167:E167"/>
    <mergeCell ref="C168:E168"/>
    <mergeCell ref="C169:E169"/>
    <mergeCell ref="C170:E170"/>
    <mergeCell ref="C171:E171"/>
    <mergeCell ref="C172:E172"/>
    <mergeCell ref="C161:E161"/>
    <mergeCell ref="C162:N162"/>
    <mergeCell ref="C163:N163"/>
    <mergeCell ref="C164:E164"/>
    <mergeCell ref="C165:E165"/>
    <mergeCell ref="C166:E166"/>
    <mergeCell ref="C155:E155"/>
    <mergeCell ref="C156:E156"/>
    <mergeCell ref="C157:E157"/>
    <mergeCell ref="C158:E158"/>
    <mergeCell ref="C159:E159"/>
    <mergeCell ref="A160:N160"/>
    <mergeCell ref="C149:N149"/>
    <mergeCell ref="C150:E150"/>
    <mergeCell ref="C151:E151"/>
    <mergeCell ref="C152:E152"/>
    <mergeCell ref="C153:E153"/>
    <mergeCell ref="C154:E154"/>
    <mergeCell ref="C143:E143"/>
    <mergeCell ref="C144:E144"/>
    <mergeCell ref="C145:E145"/>
    <mergeCell ref="C146:E146"/>
    <mergeCell ref="C147:E147"/>
    <mergeCell ref="C148:N148"/>
    <mergeCell ref="C137:N137"/>
    <mergeCell ref="C138:N138"/>
    <mergeCell ref="C139:E139"/>
    <mergeCell ref="C140:E140"/>
    <mergeCell ref="C141:E141"/>
    <mergeCell ref="C142:E142"/>
    <mergeCell ref="C131:E131"/>
    <mergeCell ref="C132:E132"/>
    <mergeCell ref="C133:E133"/>
    <mergeCell ref="C134:E134"/>
    <mergeCell ref="C135:N135"/>
    <mergeCell ref="C136:E136"/>
    <mergeCell ref="C125:N125"/>
    <mergeCell ref="C126:N126"/>
    <mergeCell ref="C127:E127"/>
    <mergeCell ref="C128:E128"/>
    <mergeCell ref="C129:E129"/>
    <mergeCell ref="C130:E130"/>
    <mergeCell ref="C119:E119"/>
    <mergeCell ref="C120:E120"/>
    <mergeCell ref="C121:E121"/>
    <mergeCell ref="C122:E122"/>
    <mergeCell ref="C123:E123"/>
    <mergeCell ref="C124:N124"/>
    <mergeCell ref="C113:N113"/>
    <mergeCell ref="C114:N114"/>
    <mergeCell ref="C115:E115"/>
    <mergeCell ref="C116:E116"/>
    <mergeCell ref="C117:E117"/>
    <mergeCell ref="C118:E118"/>
    <mergeCell ref="C107:E107"/>
    <mergeCell ref="C108:E108"/>
    <mergeCell ref="C109:E109"/>
    <mergeCell ref="C110:E110"/>
    <mergeCell ref="C111:E111"/>
    <mergeCell ref="C112:E112"/>
    <mergeCell ref="C101:E101"/>
    <mergeCell ref="C102:N102"/>
    <mergeCell ref="C103:N103"/>
    <mergeCell ref="C104:E104"/>
    <mergeCell ref="C105:E105"/>
    <mergeCell ref="C106:E106"/>
    <mergeCell ref="C95:E95"/>
    <mergeCell ref="C96:E96"/>
    <mergeCell ref="C97:E97"/>
    <mergeCell ref="C98:E98"/>
    <mergeCell ref="C99:E99"/>
    <mergeCell ref="A100:N100"/>
    <mergeCell ref="C89:N89"/>
    <mergeCell ref="C90:E90"/>
    <mergeCell ref="C91:E91"/>
    <mergeCell ref="C92:E92"/>
    <mergeCell ref="C93:E93"/>
    <mergeCell ref="C94:E94"/>
    <mergeCell ref="C83:E83"/>
    <mergeCell ref="C84:E84"/>
    <mergeCell ref="C85:E85"/>
    <mergeCell ref="C86:E86"/>
    <mergeCell ref="C87:E87"/>
    <mergeCell ref="C88:N88"/>
    <mergeCell ref="C77:N77"/>
    <mergeCell ref="C78:N78"/>
    <mergeCell ref="C79:E79"/>
    <mergeCell ref="C80:E80"/>
    <mergeCell ref="C81:E81"/>
    <mergeCell ref="C82:E82"/>
    <mergeCell ref="C71:E71"/>
    <mergeCell ref="C72:E72"/>
    <mergeCell ref="C73:E73"/>
    <mergeCell ref="C74:E74"/>
    <mergeCell ref="C75:N75"/>
    <mergeCell ref="C76:E76"/>
    <mergeCell ref="C65:N65"/>
    <mergeCell ref="C66:N66"/>
    <mergeCell ref="C67:E67"/>
    <mergeCell ref="C68:E68"/>
    <mergeCell ref="C69:E69"/>
    <mergeCell ref="C70:E70"/>
    <mergeCell ref="C59:E59"/>
    <mergeCell ref="C60:E60"/>
    <mergeCell ref="C61:E61"/>
    <mergeCell ref="C62:E62"/>
    <mergeCell ref="C63:E63"/>
    <mergeCell ref="C64:N64"/>
    <mergeCell ref="C53:N53"/>
    <mergeCell ref="C54:N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E52"/>
    <mergeCell ref="C41:E41"/>
    <mergeCell ref="C42:N42"/>
    <mergeCell ref="C43:N43"/>
    <mergeCell ref="C44:E44"/>
    <mergeCell ref="C45:E45"/>
    <mergeCell ref="C46:E46"/>
    <mergeCell ref="J35:L36"/>
    <mergeCell ref="M35:M37"/>
    <mergeCell ref="N35:N37"/>
    <mergeCell ref="C38:E38"/>
    <mergeCell ref="A39:N39"/>
    <mergeCell ref="A40:N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907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/>
  <dimension ref="A1:AK427"/>
  <sheetViews>
    <sheetView topLeftCell="A387" zoomScale="115" zoomScaleNormal="115" workbookViewId="0">
      <selection activeCell="C421" sqref="C421"/>
    </sheetView>
  </sheetViews>
  <sheetFormatPr defaultColWidth="9.140625" defaultRowHeight="11.25" customHeight="1" x14ac:dyDescent="0.2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536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2" width="138.42578125" style="537" hidden="1" customWidth="1"/>
    <col min="23" max="23" width="34.140625" style="537" hidden="1" customWidth="1"/>
    <col min="24" max="25" width="110.140625" style="537" hidden="1" customWidth="1"/>
    <col min="26" max="29" width="34.140625" style="537" hidden="1" customWidth="1"/>
    <col min="30" max="30" width="138.42578125" style="537" hidden="1" customWidth="1"/>
    <col min="31" max="33" width="84.42578125" style="537" hidden="1" customWidth="1"/>
    <col min="34" max="34" width="34.140625" style="537" hidden="1" customWidth="1"/>
    <col min="35" max="37" width="84.42578125" style="537" hidden="1" customWidth="1"/>
    <col min="38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665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7125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/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143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6981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669"/>
      <c r="B19" s="669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</row>
    <row r="20" spans="1:21" s="536" customFormat="1" x14ac:dyDescent="0.2">
      <c r="A20" s="1840" t="s">
        <v>6982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6982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6674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6675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139.41</v>
      </c>
      <c r="D28" s="579" t="s">
        <v>3401</v>
      </c>
      <c r="E28" s="665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665"/>
    </row>
    <row r="30" spans="1:21" s="536" customFormat="1" ht="12.75" customHeight="1" x14ac:dyDescent="0.2">
      <c r="B30" s="536" t="s">
        <v>169</v>
      </c>
      <c r="C30" s="580">
        <v>42.45</v>
      </c>
      <c r="D30" s="579" t="s">
        <v>6983</v>
      </c>
      <c r="E30" s="665" t="s">
        <v>167</v>
      </c>
      <c r="G30" s="536" t="s">
        <v>170</v>
      </c>
      <c r="L30" s="580">
        <v>0</v>
      </c>
      <c r="M30" s="579" t="s">
        <v>6984</v>
      </c>
      <c r="N30" s="665" t="s">
        <v>167</v>
      </c>
    </row>
    <row r="31" spans="1:21" s="536" customFormat="1" ht="12.75" customHeight="1" x14ac:dyDescent="0.2">
      <c r="B31" s="536" t="s">
        <v>140</v>
      </c>
      <c r="C31" s="580">
        <v>96.96</v>
      </c>
      <c r="D31" s="583" t="s">
        <v>8950</v>
      </c>
      <c r="E31" s="665" t="s">
        <v>167</v>
      </c>
      <c r="G31" s="536" t="s">
        <v>172</v>
      </c>
      <c r="L31" s="582"/>
      <c r="M31" s="582">
        <v>106.27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665" t="s">
        <v>167</v>
      </c>
      <c r="G32" s="536" t="s">
        <v>174</v>
      </c>
      <c r="L32" s="582"/>
      <c r="M32" s="582">
        <v>17.55</v>
      </c>
      <c r="N32" s="581" t="s">
        <v>173</v>
      </c>
    </row>
    <row r="33" spans="1:28" s="536" customFormat="1" ht="12.75" customHeight="1" x14ac:dyDescent="0.2">
      <c r="B33" s="536" t="s">
        <v>147</v>
      </c>
      <c r="C33" s="580">
        <v>0</v>
      </c>
      <c r="D33" s="579" t="s">
        <v>171</v>
      </c>
      <c r="E33" s="665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667" t="s">
        <v>182</v>
      </c>
      <c r="H37" s="667" t="s">
        <v>183</v>
      </c>
      <c r="I37" s="667" t="s">
        <v>184</v>
      </c>
      <c r="J37" s="667" t="s">
        <v>182</v>
      </c>
      <c r="K37" s="667" t="s">
        <v>183</v>
      </c>
      <c r="L37" s="667" t="s">
        <v>148</v>
      </c>
      <c r="M37" s="1833"/>
      <c r="N37" s="1833"/>
    </row>
    <row r="38" spans="1:28" s="536" customFormat="1" x14ac:dyDescent="0.2">
      <c r="A38" s="668">
        <v>1</v>
      </c>
      <c r="B38" s="668">
        <v>2</v>
      </c>
      <c r="C38" s="1834">
        <v>3</v>
      </c>
      <c r="D38" s="1834"/>
      <c r="E38" s="1834"/>
      <c r="F38" s="668">
        <v>4</v>
      </c>
      <c r="G38" s="668">
        <v>5</v>
      </c>
      <c r="H38" s="668">
        <v>6</v>
      </c>
      <c r="I38" s="668">
        <v>7</v>
      </c>
      <c r="J38" s="668">
        <v>8</v>
      </c>
      <c r="K38" s="668">
        <v>9</v>
      </c>
      <c r="L38" s="668">
        <v>10</v>
      </c>
      <c r="M38" s="668">
        <v>11</v>
      </c>
      <c r="N38" s="668">
        <v>12</v>
      </c>
    </row>
    <row r="39" spans="1:28" s="536" customFormat="1" ht="12" x14ac:dyDescent="0.2">
      <c r="A39" s="1824" t="s">
        <v>976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674" t="s">
        <v>976</v>
      </c>
    </row>
    <row r="40" spans="1:28" s="536" customFormat="1" ht="56.25" x14ac:dyDescent="0.2">
      <c r="A40" s="575" t="s">
        <v>185</v>
      </c>
      <c r="B40" s="670" t="s">
        <v>3774</v>
      </c>
      <c r="C40" s="1823" t="s">
        <v>3775</v>
      </c>
      <c r="D40" s="1823"/>
      <c r="E40" s="1823"/>
      <c r="F40" s="573" t="s">
        <v>455</v>
      </c>
      <c r="G40" s="573"/>
      <c r="H40" s="573"/>
      <c r="I40" s="573" t="s">
        <v>6985</v>
      </c>
      <c r="J40" s="572"/>
      <c r="K40" s="573"/>
      <c r="L40" s="572"/>
      <c r="M40" s="571"/>
      <c r="N40" s="570"/>
      <c r="V40" s="674"/>
      <c r="W40" s="675" t="s">
        <v>3775</v>
      </c>
    </row>
    <row r="41" spans="1:28" s="536" customFormat="1" ht="12" x14ac:dyDescent="0.2">
      <c r="A41" s="676"/>
      <c r="B41" s="664"/>
      <c r="C41" s="1822" t="s">
        <v>6986</v>
      </c>
      <c r="D41" s="1822"/>
      <c r="E41" s="1822"/>
      <c r="F41" s="1822"/>
      <c r="G41" s="1822"/>
      <c r="H41" s="1822"/>
      <c r="I41" s="1822"/>
      <c r="J41" s="1822"/>
      <c r="K41" s="1822"/>
      <c r="L41" s="1822"/>
      <c r="M41" s="1822"/>
      <c r="N41" s="1827"/>
      <c r="V41" s="674"/>
      <c r="W41" s="675"/>
      <c r="X41" s="537" t="s">
        <v>6986</v>
      </c>
    </row>
    <row r="42" spans="1:28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V42" s="674"/>
      <c r="W42" s="675"/>
      <c r="Y42" s="537" t="s">
        <v>311</v>
      </c>
    </row>
    <row r="43" spans="1:28" s="536" customFormat="1" ht="12" x14ac:dyDescent="0.2">
      <c r="A43" s="605"/>
      <c r="B43" s="552" t="s">
        <v>186</v>
      </c>
      <c r="C43" s="1822" t="s">
        <v>344</v>
      </c>
      <c r="D43" s="1822"/>
      <c r="E43" s="1822"/>
      <c r="F43" s="562"/>
      <c r="G43" s="562"/>
      <c r="H43" s="562"/>
      <c r="I43" s="562"/>
      <c r="J43" s="604">
        <v>6166.95</v>
      </c>
      <c r="K43" s="562" t="s">
        <v>313</v>
      </c>
      <c r="L43" s="604">
        <v>42.55</v>
      </c>
      <c r="M43" s="603"/>
      <c r="N43" s="602"/>
      <c r="V43" s="674"/>
      <c r="W43" s="675"/>
      <c r="Z43" s="537" t="s">
        <v>344</v>
      </c>
    </row>
    <row r="44" spans="1:28" s="536" customFormat="1" ht="12" x14ac:dyDescent="0.2">
      <c r="A44" s="605"/>
      <c r="B44" s="552" t="s">
        <v>187</v>
      </c>
      <c r="C44" s="1822" t="s">
        <v>345</v>
      </c>
      <c r="D44" s="1822"/>
      <c r="E44" s="1822"/>
      <c r="F44" s="562"/>
      <c r="G44" s="562"/>
      <c r="H44" s="562"/>
      <c r="I44" s="562"/>
      <c r="J44" s="604">
        <v>722.25</v>
      </c>
      <c r="K44" s="562" t="s">
        <v>313</v>
      </c>
      <c r="L44" s="604">
        <v>4.9800000000000004</v>
      </c>
      <c r="M44" s="603"/>
      <c r="N44" s="602"/>
      <c r="V44" s="674"/>
      <c r="W44" s="675"/>
      <c r="Z44" s="537" t="s">
        <v>345</v>
      </c>
    </row>
    <row r="45" spans="1:28" s="536" customFormat="1" ht="12" x14ac:dyDescent="0.2">
      <c r="A45" s="605"/>
      <c r="B45" s="552"/>
      <c r="C45" s="1822" t="s">
        <v>348</v>
      </c>
      <c r="D45" s="1822"/>
      <c r="E45" s="1822"/>
      <c r="F45" s="562" t="s">
        <v>315</v>
      </c>
      <c r="G45" s="562" t="s">
        <v>3776</v>
      </c>
      <c r="H45" s="562" t="s">
        <v>313</v>
      </c>
      <c r="I45" s="562" t="s">
        <v>6987</v>
      </c>
      <c r="J45" s="604"/>
      <c r="K45" s="562"/>
      <c r="L45" s="604"/>
      <c r="M45" s="603"/>
      <c r="N45" s="602"/>
      <c r="V45" s="674"/>
      <c r="W45" s="675"/>
      <c r="AA45" s="537" t="s">
        <v>348</v>
      </c>
    </row>
    <row r="46" spans="1:28" s="536" customFormat="1" ht="12" x14ac:dyDescent="0.2">
      <c r="A46" s="605"/>
      <c r="B46" s="552"/>
      <c r="C46" s="1828" t="s">
        <v>318</v>
      </c>
      <c r="D46" s="1828"/>
      <c r="E46" s="1828"/>
      <c r="F46" s="608"/>
      <c r="G46" s="608"/>
      <c r="H46" s="608"/>
      <c r="I46" s="608"/>
      <c r="J46" s="607">
        <v>6166.95</v>
      </c>
      <c r="K46" s="608"/>
      <c r="L46" s="607">
        <v>42.55</v>
      </c>
      <c r="M46" s="601"/>
      <c r="N46" s="606"/>
      <c r="V46" s="674"/>
      <c r="W46" s="675"/>
      <c r="AB46" s="537" t="s">
        <v>318</v>
      </c>
    </row>
    <row r="47" spans="1:28" s="536" customFormat="1" ht="12" x14ac:dyDescent="0.2">
      <c r="A47" s="605"/>
      <c r="B47" s="552"/>
      <c r="C47" s="1822" t="s">
        <v>319</v>
      </c>
      <c r="D47" s="1822"/>
      <c r="E47" s="1822"/>
      <c r="F47" s="562"/>
      <c r="G47" s="562"/>
      <c r="H47" s="562"/>
      <c r="I47" s="562"/>
      <c r="J47" s="604"/>
      <c r="K47" s="562"/>
      <c r="L47" s="604">
        <v>4.9800000000000004</v>
      </c>
      <c r="M47" s="603"/>
      <c r="N47" s="602"/>
      <c r="V47" s="674"/>
      <c r="W47" s="675"/>
      <c r="AA47" s="537" t="s">
        <v>319</v>
      </c>
    </row>
    <row r="48" spans="1:28" s="536" customFormat="1" ht="33.75" x14ac:dyDescent="0.2">
      <c r="A48" s="605"/>
      <c r="B48" s="552" t="s">
        <v>460</v>
      </c>
      <c r="C48" s="1822" t="s">
        <v>461</v>
      </c>
      <c r="D48" s="1822"/>
      <c r="E48" s="1822"/>
      <c r="F48" s="562" t="s">
        <v>322</v>
      </c>
      <c r="G48" s="562" t="s">
        <v>462</v>
      </c>
      <c r="H48" s="562"/>
      <c r="I48" s="562" t="s">
        <v>462</v>
      </c>
      <c r="J48" s="604"/>
      <c r="K48" s="562"/>
      <c r="L48" s="604">
        <v>4.58</v>
      </c>
      <c r="M48" s="603"/>
      <c r="N48" s="602"/>
      <c r="V48" s="674"/>
      <c r="W48" s="675"/>
      <c r="AA48" s="537" t="s">
        <v>461</v>
      </c>
    </row>
    <row r="49" spans="1:29" s="536" customFormat="1" ht="33.75" x14ac:dyDescent="0.2">
      <c r="A49" s="605"/>
      <c r="B49" s="552" t="s">
        <v>463</v>
      </c>
      <c r="C49" s="1822" t="s">
        <v>464</v>
      </c>
      <c r="D49" s="1822"/>
      <c r="E49" s="1822"/>
      <c r="F49" s="562" t="s">
        <v>322</v>
      </c>
      <c r="G49" s="562" t="s">
        <v>465</v>
      </c>
      <c r="H49" s="562"/>
      <c r="I49" s="562" t="s">
        <v>465</v>
      </c>
      <c r="J49" s="604"/>
      <c r="K49" s="562"/>
      <c r="L49" s="604">
        <v>2.29</v>
      </c>
      <c r="M49" s="603"/>
      <c r="N49" s="602"/>
      <c r="V49" s="674"/>
      <c r="W49" s="675"/>
      <c r="AA49" s="537" t="s">
        <v>464</v>
      </c>
    </row>
    <row r="50" spans="1:29" s="536" customFormat="1" ht="12" x14ac:dyDescent="0.2">
      <c r="A50" s="569"/>
      <c r="B50" s="671"/>
      <c r="C50" s="1823" t="s">
        <v>327</v>
      </c>
      <c r="D50" s="1823"/>
      <c r="E50" s="1823"/>
      <c r="F50" s="573"/>
      <c r="G50" s="573"/>
      <c r="H50" s="573"/>
      <c r="I50" s="573"/>
      <c r="J50" s="572"/>
      <c r="K50" s="573"/>
      <c r="L50" s="572">
        <v>49.42</v>
      </c>
      <c r="M50" s="601"/>
      <c r="N50" s="570"/>
      <c r="V50" s="674"/>
      <c r="W50" s="675"/>
      <c r="AC50" s="675" t="s">
        <v>327</v>
      </c>
    </row>
    <row r="51" spans="1:29" s="536" customFormat="1" ht="45" x14ac:dyDescent="0.2">
      <c r="A51" s="575" t="s">
        <v>186</v>
      </c>
      <c r="B51" s="670" t="s">
        <v>1511</v>
      </c>
      <c r="C51" s="1823" t="s">
        <v>1512</v>
      </c>
      <c r="D51" s="1823"/>
      <c r="E51" s="1823"/>
      <c r="F51" s="573" t="s">
        <v>455</v>
      </c>
      <c r="G51" s="573"/>
      <c r="H51" s="573"/>
      <c r="I51" s="573" t="s">
        <v>6988</v>
      </c>
      <c r="J51" s="572"/>
      <c r="K51" s="573"/>
      <c r="L51" s="572"/>
      <c r="M51" s="571"/>
      <c r="N51" s="570"/>
      <c r="V51" s="674"/>
      <c r="W51" s="675" t="s">
        <v>1512</v>
      </c>
      <c r="AC51" s="675"/>
    </row>
    <row r="52" spans="1:29" s="536" customFormat="1" ht="12" x14ac:dyDescent="0.2">
      <c r="A52" s="676"/>
      <c r="B52" s="664"/>
      <c r="C52" s="1822" t="s">
        <v>6989</v>
      </c>
      <c r="D52" s="1822"/>
      <c r="E52" s="1822"/>
      <c r="F52" s="1822"/>
      <c r="G52" s="1822"/>
      <c r="H52" s="1822"/>
      <c r="I52" s="1822"/>
      <c r="J52" s="1822"/>
      <c r="K52" s="1822"/>
      <c r="L52" s="1822"/>
      <c r="M52" s="1822"/>
      <c r="N52" s="1827"/>
      <c r="V52" s="674"/>
      <c r="W52" s="675"/>
      <c r="X52" s="537" t="s">
        <v>6989</v>
      </c>
      <c r="AC52" s="675"/>
    </row>
    <row r="53" spans="1:29" s="536" customFormat="1" ht="33.75" x14ac:dyDescent="0.2">
      <c r="A53" s="609"/>
      <c r="B53" s="552" t="s">
        <v>310</v>
      </c>
      <c r="C53" s="1822" t="s">
        <v>311</v>
      </c>
      <c r="D53" s="1822"/>
      <c r="E53" s="1822"/>
      <c r="F53" s="1822"/>
      <c r="G53" s="1822"/>
      <c r="H53" s="1822"/>
      <c r="I53" s="1822"/>
      <c r="J53" s="1822"/>
      <c r="K53" s="1822"/>
      <c r="L53" s="1822"/>
      <c r="M53" s="1822"/>
      <c r="N53" s="1827"/>
      <c r="V53" s="674"/>
      <c r="W53" s="675"/>
      <c r="Y53" s="537" t="s">
        <v>311</v>
      </c>
      <c r="AC53" s="675"/>
    </row>
    <row r="54" spans="1:29" s="536" customFormat="1" ht="12" x14ac:dyDescent="0.2">
      <c r="A54" s="605"/>
      <c r="B54" s="552" t="s">
        <v>186</v>
      </c>
      <c r="C54" s="1822" t="s">
        <v>344</v>
      </c>
      <c r="D54" s="1822"/>
      <c r="E54" s="1822"/>
      <c r="F54" s="562"/>
      <c r="G54" s="562"/>
      <c r="H54" s="562"/>
      <c r="I54" s="562"/>
      <c r="J54" s="604">
        <v>4898.9799999999996</v>
      </c>
      <c r="K54" s="562" t="s">
        <v>313</v>
      </c>
      <c r="L54" s="604">
        <v>91.89</v>
      </c>
      <c r="M54" s="603"/>
      <c r="N54" s="602"/>
      <c r="V54" s="674"/>
      <c r="W54" s="675"/>
      <c r="Z54" s="537" t="s">
        <v>344</v>
      </c>
      <c r="AC54" s="675"/>
    </row>
    <row r="55" spans="1:29" s="536" customFormat="1" ht="12" x14ac:dyDescent="0.2">
      <c r="A55" s="605"/>
      <c r="B55" s="552" t="s">
        <v>187</v>
      </c>
      <c r="C55" s="1822" t="s">
        <v>345</v>
      </c>
      <c r="D55" s="1822"/>
      <c r="E55" s="1822"/>
      <c r="F55" s="562"/>
      <c r="G55" s="562"/>
      <c r="H55" s="562"/>
      <c r="I55" s="562"/>
      <c r="J55" s="604">
        <v>573.75</v>
      </c>
      <c r="K55" s="562" t="s">
        <v>313</v>
      </c>
      <c r="L55" s="604">
        <v>10.76</v>
      </c>
      <c r="M55" s="603"/>
      <c r="N55" s="602"/>
      <c r="V55" s="674"/>
      <c r="W55" s="675"/>
      <c r="Z55" s="537" t="s">
        <v>345</v>
      </c>
      <c r="AC55" s="675"/>
    </row>
    <row r="56" spans="1:29" s="536" customFormat="1" ht="12" x14ac:dyDescent="0.2">
      <c r="A56" s="605"/>
      <c r="B56" s="552"/>
      <c r="C56" s="1822" t="s">
        <v>348</v>
      </c>
      <c r="D56" s="1822"/>
      <c r="E56" s="1822"/>
      <c r="F56" s="562" t="s">
        <v>315</v>
      </c>
      <c r="G56" s="562" t="s">
        <v>1513</v>
      </c>
      <c r="H56" s="562" t="s">
        <v>313</v>
      </c>
      <c r="I56" s="562" t="s">
        <v>6990</v>
      </c>
      <c r="J56" s="604"/>
      <c r="K56" s="562"/>
      <c r="L56" s="604"/>
      <c r="M56" s="603"/>
      <c r="N56" s="602"/>
      <c r="V56" s="674"/>
      <c r="W56" s="675"/>
      <c r="AA56" s="537" t="s">
        <v>348</v>
      </c>
      <c r="AC56" s="675"/>
    </row>
    <row r="57" spans="1:29" s="536" customFormat="1" ht="12" x14ac:dyDescent="0.2">
      <c r="A57" s="605"/>
      <c r="B57" s="552"/>
      <c r="C57" s="1828" t="s">
        <v>318</v>
      </c>
      <c r="D57" s="1828"/>
      <c r="E57" s="1828"/>
      <c r="F57" s="608"/>
      <c r="G57" s="608"/>
      <c r="H57" s="608"/>
      <c r="I57" s="608"/>
      <c r="J57" s="607">
        <v>4898.9799999999996</v>
      </c>
      <c r="K57" s="608"/>
      <c r="L57" s="607">
        <v>91.89</v>
      </c>
      <c r="M57" s="601"/>
      <c r="N57" s="606"/>
      <c r="V57" s="674"/>
      <c r="W57" s="675"/>
      <c r="AB57" s="537" t="s">
        <v>318</v>
      </c>
      <c r="AC57" s="675"/>
    </row>
    <row r="58" spans="1:29" s="536" customFormat="1" ht="12" x14ac:dyDescent="0.2">
      <c r="A58" s="605"/>
      <c r="B58" s="552"/>
      <c r="C58" s="1822" t="s">
        <v>319</v>
      </c>
      <c r="D58" s="1822"/>
      <c r="E58" s="1822"/>
      <c r="F58" s="562"/>
      <c r="G58" s="562"/>
      <c r="H58" s="562"/>
      <c r="I58" s="562"/>
      <c r="J58" s="604"/>
      <c r="K58" s="562"/>
      <c r="L58" s="604">
        <v>10.76</v>
      </c>
      <c r="M58" s="603"/>
      <c r="N58" s="602"/>
      <c r="V58" s="674"/>
      <c r="W58" s="675"/>
      <c r="AA58" s="537" t="s">
        <v>319</v>
      </c>
      <c r="AC58" s="675"/>
    </row>
    <row r="59" spans="1:29" s="536" customFormat="1" ht="33.75" x14ac:dyDescent="0.2">
      <c r="A59" s="605"/>
      <c r="B59" s="552" t="s">
        <v>460</v>
      </c>
      <c r="C59" s="1822" t="s">
        <v>461</v>
      </c>
      <c r="D59" s="1822"/>
      <c r="E59" s="1822"/>
      <c r="F59" s="562" t="s">
        <v>322</v>
      </c>
      <c r="G59" s="562" t="s">
        <v>462</v>
      </c>
      <c r="H59" s="562"/>
      <c r="I59" s="562" t="s">
        <v>462</v>
      </c>
      <c r="J59" s="604"/>
      <c r="K59" s="562"/>
      <c r="L59" s="604">
        <v>9.9</v>
      </c>
      <c r="M59" s="603"/>
      <c r="N59" s="602"/>
      <c r="V59" s="674"/>
      <c r="W59" s="675"/>
      <c r="AA59" s="537" t="s">
        <v>461</v>
      </c>
      <c r="AC59" s="675"/>
    </row>
    <row r="60" spans="1:29" s="536" customFormat="1" ht="33.75" x14ac:dyDescent="0.2">
      <c r="A60" s="605"/>
      <c r="B60" s="552" t="s">
        <v>463</v>
      </c>
      <c r="C60" s="1822" t="s">
        <v>464</v>
      </c>
      <c r="D60" s="1822"/>
      <c r="E60" s="1822"/>
      <c r="F60" s="562" t="s">
        <v>322</v>
      </c>
      <c r="G60" s="562" t="s">
        <v>465</v>
      </c>
      <c r="H60" s="562"/>
      <c r="I60" s="562" t="s">
        <v>465</v>
      </c>
      <c r="J60" s="604"/>
      <c r="K60" s="562"/>
      <c r="L60" s="604">
        <v>4.95</v>
      </c>
      <c r="M60" s="603"/>
      <c r="N60" s="602"/>
      <c r="V60" s="674"/>
      <c r="W60" s="675"/>
      <c r="AA60" s="537" t="s">
        <v>464</v>
      </c>
      <c r="AC60" s="675"/>
    </row>
    <row r="61" spans="1:29" s="536" customFormat="1" ht="12" x14ac:dyDescent="0.2">
      <c r="A61" s="569"/>
      <c r="B61" s="671"/>
      <c r="C61" s="1823" t="s">
        <v>327</v>
      </c>
      <c r="D61" s="1823"/>
      <c r="E61" s="1823"/>
      <c r="F61" s="573"/>
      <c r="G61" s="573"/>
      <c r="H61" s="573"/>
      <c r="I61" s="573"/>
      <c r="J61" s="572"/>
      <c r="K61" s="573"/>
      <c r="L61" s="572">
        <v>106.74</v>
      </c>
      <c r="M61" s="601"/>
      <c r="N61" s="570"/>
      <c r="V61" s="674"/>
      <c r="W61" s="675"/>
      <c r="AC61" s="675" t="s">
        <v>327</v>
      </c>
    </row>
    <row r="62" spans="1:29" s="536" customFormat="1" ht="45" x14ac:dyDescent="0.2">
      <c r="A62" s="575" t="s">
        <v>187</v>
      </c>
      <c r="B62" s="670" t="s">
        <v>1514</v>
      </c>
      <c r="C62" s="1823" t="s">
        <v>6991</v>
      </c>
      <c r="D62" s="1823"/>
      <c r="E62" s="1823"/>
      <c r="F62" s="573" t="s">
        <v>509</v>
      </c>
      <c r="G62" s="573"/>
      <c r="H62" s="573"/>
      <c r="I62" s="573" t="s">
        <v>6992</v>
      </c>
      <c r="J62" s="572"/>
      <c r="K62" s="573"/>
      <c r="L62" s="572"/>
      <c r="M62" s="571"/>
      <c r="N62" s="570"/>
      <c r="V62" s="674"/>
      <c r="W62" s="675" t="s">
        <v>6991</v>
      </c>
      <c r="AC62" s="675"/>
    </row>
    <row r="63" spans="1:29" s="536" customFormat="1" ht="12" x14ac:dyDescent="0.2">
      <c r="A63" s="676"/>
      <c r="B63" s="664"/>
      <c r="C63" s="1822" t="s">
        <v>6993</v>
      </c>
      <c r="D63" s="1822"/>
      <c r="E63" s="1822"/>
      <c r="F63" s="1822"/>
      <c r="G63" s="1822"/>
      <c r="H63" s="1822"/>
      <c r="I63" s="1822"/>
      <c r="J63" s="1822"/>
      <c r="K63" s="1822"/>
      <c r="L63" s="1822"/>
      <c r="M63" s="1822"/>
      <c r="N63" s="1827"/>
      <c r="V63" s="674"/>
      <c r="W63" s="675"/>
      <c r="X63" s="537" t="s">
        <v>6993</v>
      </c>
      <c r="AC63" s="675"/>
    </row>
    <row r="64" spans="1:29" s="536" customFormat="1" ht="22.5" x14ac:dyDescent="0.2">
      <c r="A64" s="609"/>
      <c r="B64" s="552" t="s">
        <v>1518</v>
      </c>
      <c r="C64" s="1822" t="s">
        <v>1519</v>
      </c>
      <c r="D64" s="1822"/>
      <c r="E64" s="1822"/>
      <c r="F64" s="1822"/>
      <c r="G64" s="1822"/>
      <c r="H64" s="1822"/>
      <c r="I64" s="1822"/>
      <c r="J64" s="1822"/>
      <c r="K64" s="1822"/>
      <c r="L64" s="1822"/>
      <c r="M64" s="1822"/>
      <c r="N64" s="1827"/>
      <c r="V64" s="674"/>
      <c r="W64" s="675"/>
      <c r="Y64" s="537" t="s">
        <v>1519</v>
      </c>
      <c r="AC64" s="675"/>
    </row>
    <row r="65" spans="1:29" s="536" customFormat="1" ht="33.75" x14ac:dyDescent="0.2">
      <c r="A65" s="609"/>
      <c r="B65" s="552" t="s">
        <v>310</v>
      </c>
      <c r="C65" s="1822" t="s">
        <v>311</v>
      </c>
      <c r="D65" s="1822"/>
      <c r="E65" s="1822"/>
      <c r="F65" s="1822"/>
      <c r="G65" s="1822"/>
      <c r="H65" s="1822"/>
      <c r="I65" s="1822"/>
      <c r="J65" s="1822"/>
      <c r="K65" s="1822"/>
      <c r="L65" s="1822"/>
      <c r="M65" s="1822"/>
      <c r="N65" s="1827"/>
      <c r="V65" s="674"/>
      <c r="W65" s="675"/>
      <c r="Y65" s="537" t="s">
        <v>311</v>
      </c>
      <c r="AC65" s="675"/>
    </row>
    <row r="66" spans="1:29" s="536" customFormat="1" ht="12" x14ac:dyDescent="0.2">
      <c r="A66" s="605"/>
      <c r="B66" s="552" t="s">
        <v>185</v>
      </c>
      <c r="C66" s="1822" t="s">
        <v>312</v>
      </c>
      <c r="D66" s="1822"/>
      <c r="E66" s="1822"/>
      <c r="F66" s="562"/>
      <c r="G66" s="562"/>
      <c r="H66" s="562"/>
      <c r="I66" s="562"/>
      <c r="J66" s="604">
        <v>3036.68</v>
      </c>
      <c r="K66" s="562" t="s">
        <v>1520</v>
      </c>
      <c r="L66" s="604">
        <v>28.92</v>
      </c>
      <c r="M66" s="603"/>
      <c r="N66" s="602"/>
      <c r="V66" s="674"/>
      <c r="W66" s="675"/>
      <c r="Z66" s="537" t="s">
        <v>312</v>
      </c>
      <c r="AC66" s="675"/>
    </row>
    <row r="67" spans="1:29" s="536" customFormat="1" ht="12" x14ac:dyDescent="0.2">
      <c r="A67" s="605"/>
      <c r="B67" s="552"/>
      <c r="C67" s="1822" t="s">
        <v>314</v>
      </c>
      <c r="D67" s="1822"/>
      <c r="E67" s="1822"/>
      <c r="F67" s="562" t="s">
        <v>315</v>
      </c>
      <c r="G67" s="562" t="s">
        <v>1521</v>
      </c>
      <c r="H67" s="562" t="s">
        <v>1520</v>
      </c>
      <c r="I67" s="562" t="s">
        <v>6994</v>
      </c>
      <c r="J67" s="604"/>
      <c r="K67" s="562"/>
      <c r="L67" s="604"/>
      <c r="M67" s="603"/>
      <c r="N67" s="602"/>
      <c r="V67" s="674"/>
      <c r="W67" s="675"/>
      <c r="AA67" s="537" t="s">
        <v>314</v>
      </c>
      <c r="AC67" s="675"/>
    </row>
    <row r="68" spans="1:29" s="536" customFormat="1" ht="12" x14ac:dyDescent="0.2">
      <c r="A68" s="605"/>
      <c r="B68" s="552"/>
      <c r="C68" s="1828" t="s">
        <v>318</v>
      </c>
      <c r="D68" s="1828"/>
      <c r="E68" s="1828"/>
      <c r="F68" s="608"/>
      <c r="G68" s="608"/>
      <c r="H68" s="608"/>
      <c r="I68" s="608"/>
      <c r="J68" s="607">
        <v>3036.68</v>
      </c>
      <c r="K68" s="608"/>
      <c r="L68" s="607">
        <v>28.92</v>
      </c>
      <c r="M68" s="601"/>
      <c r="N68" s="606"/>
      <c r="V68" s="674"/>
      <c r="W68" s="675"/>
      <c r="AB68" s="537" t="s">
        <v>318</v>
      </c>
      <c r="AC68" s="675"/>
    </row>
    <row r="69" spans="1:29" s="536" customFormat="1" ht="12" x14ac:dyDescent="0.2">
      <c r="A69" s="605"/>
      <c r="B69" s="552"/>
      <c r="C69" s="1822" t="s">
        <v>319</v>
      </c>
      <c r="D69" s="1822"/>
      <c r="E69" s="1822"/>
      <c r="F69" s="562"/>
      <c r="G69" s="562"/>
      <c r="H69" s="562"/>
      <c r="I69" s="562"/>
      <c r="J69" s="604"/>
      <c r="K69" s="562"/>
      <c r="L69" s="604">
        <v>28.92</v>
      </c>
      <c r="M69" s="603"/>
      <c r="N69" s="602"/>
      <c r="V69" s="674"/>
      <c r="W69" s="675"/>
      <c r="AA69" s="537" t="s">
        <v>319</v>
      </c>
      <c r="AC69" s="675"/>
    </row>
    <row r="70" spans="1:29" s="536" customFormat="1" ht="33.75" x14ac:dyDescent="0.2">
      <c r="A70" s="605"/>
      <c r="B70" s="552" t="s">
        <v>673</v>
      </c>
      <c r="C70" s="1822" t="s">
        <v>674</v>
      </c>
      <c r="D70" s="1822"/>
      <c r="E70" s="1822"/>
      <c r="F70" s="562" t="s">
        <v>322</v>
      </c>
      <c r="G70" s="562" t="s">
        <v>323</v>
      </c>
      <c r="H70" s="562"/>
      <c r="I70" s="562" t="s">
        <v>323</v>
      </c>
      <c r="J70" s="604"/>
      <c r="K70" s="562"/>
      <c r="L70" s="604">
        <v>25.74</v>
      </c>
      <c r="M70" s="603"/>
      <c r="N70" s="602"/>
      <c r="V70" s="674"/>
      <c r="W70" s="675"/>
      <c r="AA70" s="537" t="s">
        <v>674</v>
      </c>
      <c r="AC70" s="675"/>
    </row>
    <row r="71" spans="1:29" s="536" customFormat="1" ht="33.75" x14ac:dyDescent="0.2">
      <c r="A71" s="605"/>
      <c r="B71" s="552" t="s">
        <v>675</v>
      </c>
      <c r="C71" s="1822" t="s">
        <v>676</v>
      </c>
      <c r="D71" s="1822"/>
      <c r="E71" s="1822"/>
      <c r="F71" s="562" t="s">
        <v>322</v>
      </c>
      <c r="G71" s="562" t="s">
        <v>677</v>
      </c>
      <c r="H71" s="562"/>
      <c r="I71" s="562" t="s">
        <v>677</v>
      </c>
      <c r="J71" s="604"/>
      <c r="K71" s="562"/>
      <c r="L71" s="604">
        <v>11.57</v>
      </c>
      <c r="M71" s="603"/>
      <c r="N71" s="602"/>
      <c r="V71" s="674"/>
      <c r="W71" s="675"/>
      <c r="AA71" s="537" t="s">
        <v>676</v>
      </c>
      <c r="AC71" s="675"/>
    </row>
    <row r="72" spans="1:29" s="536" customFormat="1" ht="12" x14ac:dyDescent="0.2">
      <c r="A72" s="569"/>
      <c r="B72" s="671"/>
      <c r="C72" s="1823" t="s">
        <v>327</v>
      </c>
      <c r="D72" s="1823"/>
      <c r="E72" s="1823"/>
      <c r="F72" s="573"/>
      <c r="G72" s="573"/>
      <c r="H72" s="573"/>
      <c r="I72" s="573"/>
      <c r="J72" s="572"/>
      <c r="K72" s="573"/>
      <c r="L72" s="572">
        <v>66.23</v>
      </c>
      <c r="M72" s="601"/>
      <c r="N72" s="570"/>
      <c r="V72" s="674"/>
      <c r="W72" s="675"/>
      <c r="AC72" s="675" t="s">
        <v>327</v>
      </c>
    </row>
    <row r="73" spans="1:29" s="536" customFormat="1" ht="45" x14ac:dyDescent="0.2">
      <c r="A73" s="575" t="s">
        <v>188</v>
      </c>
      <c r="B73" s="670" t="s">
        <v>1005</v>
      </c>
      <c r="C73" s="1823" t="s">
        <v>1006</v>
      </c>
      <c r="D73" s="1823"/>
      <c r="E73" s="1823"/>
      <c r="F73" s="573" t="s">
        <v>201</v>
      </c>
      <c r="G73" s="573"/>
      <c r="H73" s="573"/>
      <c r="I73" s="573" t="s">
        <v>6995</v>
      </c>
      <c r="J73" s="572">
        <v>2.91</v>
      </c>
      <c r="K73" s="573"/>
      <c r="L73" s="572">
        <v>36.950000000000003</v>
      </c>
      <c r="M73" s="571"/>
      <c r="N73" s="570"/>
      <c r="V73" s="674"/>
      <c r="W73" s="675" t="s">
        <v>1006</v>
      </c>
      <c r="AC73" s="675"/>
    </row>
    <row r="74" spans="1:29" s="536" customFormat="1" ht="12" x14ac:dyDescent="0.2">
      <c r="A74" s="676"/>
      <c r="B74" s="664"/>
      <c r="C74" s="1822" t="s">
        <v>6996</v>
      </c>
      <c r="D74" s="1822"/>
      <c r="E74" s="1822"/>
      <c r="F74" s="1822"/>
      <c r="G74" s="1822"/>
      <c r="H74" s="1822"/>
      <c r="I74" s="1822"/>
      <c r="J74" s="1822"/>
      <c r="K74" s="1822"/>
      <c r="L74" s="1822"/>
      <c r="M74" s="1822"/>
      <c r="N74" s="1827"/>
      <c r="V74" s="674"/>
      <c r="W74" s="675"/>
      <c r="X74" s="537" t="s">
        <v>6996</v>
      </c>
      <c r="AC74" s="675"/>
    </row>
    <row r="75" spans="1:29" s="536" customFormat="1" ht="45" x14ac:dyDescent="0.2">
      <c r="A75" s="575" t="s">
        <v>189</v>
      </c>
      <c r="B75" s="670" t="s">
        <v>503</v>
      </c>
      <c r="C75" s="1823" t="s">
        <v>6997</v>
      </c>
      <c r="D75" s="1823"/>
      <c r="E75" s="1823"/>
      <c r="F75" s="573" t="s">
        <v>455</v>
      </c>
      <c r="G75" s="573"/>
      <c r="H75" s="573"/>
      <c r="I75" s="573" t="s">
        <v>6998</v>
      </c>
      <c r="J75" s="572"/>
      <c r="K75" s="573"/>
      <c r="L75" s="572"/>
      <c r="M75" s="571"/>
      <c r="N75" s="570"/>
      <c r="V75" s="674"/>
      <c r="W75" s="675" t="s">
        <v>6997</v>
      </c>
      <c r="AC75" s="675"/>
    </row>
    <row r="76" spans="1:29" s="536" customFormat="1" ht="12" x14ac:dyDescent="0.2">
      <c r="A76" s="676"/>
      <c r="B76" s="664"/>
      <c r="C76" s="1822" t="s">
        <v>6999</v>
      </c>
      <c r="D76" s="1822"/>
      <c r="E76" s="1822"/>
      <c r="F76" s="1822"/>
      <c r="G76" s="1822"/>
      <c r="H76" s="1822"/>
      <c r="I76" s="1822"/>
      <c r="J76" s="1822"/>
      <c r="K76" s="1822"/>
      <c r="L76" s="1822"/>
      <c r="M76" s="1822"/>
      <c r="N76" s="1827"/>
      <c r="V76" s="674"/>
      <c r="W76" s="675"/>
      <c r="X76" s="537" t="s">
        <v>6999</v>
      </c>
      <c r="AC76" s="675"/>
    </row>
    <row r="77" spans="1:29" s="536" customFormat="1" ht="33.75" x14ac:dyDescent="0.2">
      <c r="A77" s="609"/>
      <c r="B77" s="552" t="s">
        <v>310</v>
      </c>
      <c r="C77" s="1822" t="s">
        <v>311</v>
      </c>
      <c r="D77" s="1822"/>
      <c r="E77" s="1822"/>
      <c r="F77" s="1822"/>
      <c r="G77" s="1822"/>
      <c r="H77" s="1822"/>
      <c r="I77" s="1822"/>
      <c r="J77" s="1822"/>
      <c r="K77" s="1822"/>
      <c r="L77" s="1822"/>
      <c r="M77" s="1822"/>
      <c r="N77" s="1827"/>
      <c r="V77" s="674"/>
      <c r="W77" s="675"/>
      <c r="Y77" s="537" t="s">
        <v>311</v>
      </c>
      <c r="AC77" s="675"/>
    </row>
    <row r="78" spans="1:29" s="536" customFormat="1" ht="12" x14ac:dyDescent="0.2">
      <c r="A78" s="605"/>
      <c r="B78" s="552" t="s">
        <v>186</v>
      </c>
      <c r="C78" s="1822" t="s">
        <v>344</v>
      </c>
      <c r="D78" s="1822"/>
      <c r="E78" s="1822"/>
      <c r="F78" s="562"/>
      <c r="G78" s="562"/>
      <c r="H78" s="562"/>
      <c r="I78" s="562"/>
      <c r="J78" s="604">
        <v>3803.91</v>
      </c>
      <c r="K78" s="562" t="s">
        <v>313</v>
      </c>
      <c r="L78" s="604">
        <v>74.37</v>
      </c>
      <c r="M78" s="603"/>
      <c r="N78" s="602"/>
      <c r="V78" s="674"/>
      <c r="W78" s="675"/>
      <c r="Z78" s="537" t="s">
        <v>344</v>
      </c>
      <c r="AC78" s="675"/>
    </row>
    <row r="79" spans="1:29" s="536" customFormat="1" ht="12" x14ac:dyDescent="0.2">
      <c r="A79" s="605"/>
      <c r="B79" s="552" t="s">
        <v>187</v>
      </c>
      <c r="C79" s="1822" t="s">
        <v>345</v>
      </c>
      <c r="D79" s="1822"/>
      <c r="E79" s="1822"/>
      <c r="F79" s="562"/>
      <c r="G79" s="562"/>
      <c r="H79" s="562"/>
      <c r="I79" s="562"/>
      <c r="J79" s="604">
        <v>445.5</v>
      </c>
      <c r="K79" s="562" t="s">
        <v>313</v>
      </c>
      <c r="L79" s="604">
        <v>8.7100000000000009</v>
      </c>
      <c r="M79" s="603"/>
      <c r="N79" s="602"/>
      <c r="V79" s="674"/>
      <c r="W79" s="675"/>
      <c r="Z79" s="537" t="s">
        <v>345</v>
      </c>
      <c r="AC79" s="675"/>
    </row>
    <row r="80" spans="1:29" s="536" customFormat="1" ht="12" x14ac:dyDescent="0.2">
      <c r="A80" s="605"/>
      <c r="B80" s="552"/>
      <c r="C80" s="1822" t="s">
        <v>348</v>
      </c>
      <c r="D80" s="1822"/>
      <c r="E80" s="1822"/>
      <c r="F80" s="562" t="s">
        <v>315</v>
      </c>
      <c r="G80" s="562" t="s">
        <v>505</v>
      </c>
      <c r="H80" s="562" t="s">
        <v>313</v>
      </c>
      <c r="I80" s="562" t="s">
        <v>7000</v>
      </c>
      <c r="J80" s="604"/>
      <c r="K80" s="562"/>
      <c r="L80" s="604"/>
      <c r="M80" s="603"/>
      <c r="N80" s="602"/>
      <c r="V80" s="674"/>
      <c r="W80" s="675"/>
      <c r="AA80" s="537" t="s">
        <v>348</v>
      </c>
      <c r="AC80" s="675"/>
    </row>
    <row r="81" spans="1:29" s="536" customFormat="1" ht="12" x14ac:dyDescent="0.2">
      <c r="A81" s="605"/>
      <c r="B81" s="552"/>
      <c r="C81" s="1828" t="s">
        <v>318</v>
      </c>
      <c r="D81" s="1828"/>
      <c r="E81" s="1828"/>
      <c r="F81" s="608"/>
      <c r="G81" s="608"/>
      <c r="H81" s="608"/>
      <c r="I81" s="608"/>
      <c r="J81" s="607">
        <v>3803.91</v>
      </c>
      <c r="K81" s="608"/>
      <c r="L81" s="607">
        <v>74.37</v>
      </c>
      <c r="M81" s="601"/>
      <c r="N81" s="606"/>
      <c r="V81" s="674"/>
      <c r="W81" s="675"/>
      <c r="AB81" s="537" t="s">
        <v>318</v>
      </c>
      <c r="AC81" s="675"/>
    </row>
    <row r="82" spans="1:29" s="536" customFormat="1" ht="12" x14ac:dyDescent="0.2">
      <c r="A82" s="605"/>
      <c r="B82" s="552"/>
      <c r="C82" s="1822" t="s">
        <v>319</v>
      </c>
      <c r="D82" s="1822"/>
      <c r="E82" s="1822"/>
      <c r="F82" s="562"/>
      <c r="G82" s="562"/>
      <c r="H82" s="562"/>
      <c r="I82" s="562"/>
      <c r="J82" s="604"/>
      <c r="K82" s="562"/>
      <c r="L82" s="604">
        <v>8.7100000000000009</v>
      </c>
      <c r="M82" s="603"/>
      <c r="N82" s="602"/>
      <c r="V82" s="674"/>
      <c r="W82" s="675"/>
      <c r="AA82" s="537" t="s">
        <v>319</v>
      </c>
      <c r="AC82" s="675"/>
    </row>
    <row r="83" spans="1:29" s="536" customFormat="1" ht="33.75" x14ac:dyDescent="0.2">
      <c r="A83" s="605"/>
      <c r="B83" s="552" t="s">
        <v>460</v>
      </c>
      <c r="C83" s="1822" t="s">
        <v>461</v>
      </c>
      <c r="D83" s="1822"/>
      <c r="E83" s="1822"/>
      <c r="F83" s="562" t="s">
        <v>322</v>
      </c>
      <c r="G83" s="562" t="s">
        <v>462</v>
      </c>
      <c r="H83" s="562"/>
      <c r="I83" s="562" t="s">
        <v>462</v>
      </c>
      <c r="J83" s="604"/>
      <c r="K83" s="562"/>
      <c r="L83" s="604">
        <v>8.01</v>
      </c>
      <c r="M83" s="603"/>
      <c r="N83" s="602"/>
      <c r="V83" s="674"/>
      <c r="W83" s="675"/>
      <c r="AA83" s="537" t="s">
        <v>461</v>
      </c>
      <c r="AC83" s="675"/>
    </row>
    <row r="84" spans="1:29" s="536" customFormat="1" ht="33.75" x14ac:dyDescent="0.2">
      <c r="A84" s="605"/>
      <c r="B84" s="552" t="s">
        <v>463</v>
      </c>
      <c r="C84" s="1822" t="s">
        <v>464</v>
      </c>
      <c r="D84" s="1822"/>
      <c r="E84" s="1822"/>
      <c r="F84" s="562" t="s">
        <v>322</v>
      </c>
      <c r="G84" s="562" t="s">
        <v>465</v>
      </c>
      <c r="H84" s="562"/>
      <c r="I84" s="562" t="s">
        <v>465</v>
      </c>
      <c r="J84" s="604"/>
      <c r="K84" s="562"/>
      <c r="L84" s="604">
        <v>4.01</v>
      </c>
      <c r="M84" s="603"/>
      <c r="N84" s="602"/>
      <c r="V84" s="674"/>
      <c r="W84" s="675"/>
      <c r="AA84" s="537" t="s">
        <v>464</v>
      </c>
      <c r="AC84" s="675"/>
    </row>
    <row r="85" spans="1:29" s="536" customFormat="1" ht="12" x14ac:dyDescent="0.2">
      <c r="A85" s="569"/>
      <c r="B85" s="671"/>
      <c r="C85" s="1823" t="s">
        <v>327</v>
      </c>
      <c r="D85" s="1823"/>
      <c r="E85" s="1823"/>
      <c r="F85" s="573"/>
      <c r="G85" s="573"/>
      <c r="H85" s="573"/>
      <c r="I85" s="573"/>
      <c r="J85" s="572"/>
      <c r="K85" s="573"/>
      <c r="L85" s="572">
        <v>86.39</v>
      </c>
      <c r="M85" s="601"/>
      <c r="N85" s="570"/>
      <c r="V85" s="674"/>
      <c r="W85" s="675"/>
      <c r="AC85" s="675" t="s">
        <v>327</v>
      </c>
    </row>
    <row r="86" spans="1:29" s="536" customFormat="1" ht="22.5" x14ac:dyDescent="0.2">
      <c r="A86" s="575" t="s">
        <v>190</v>
      </c>
      <c r="B86" s="670" t="s">
        <v>507</v>
      </c>
      <c r="C86" s="1823" t="s">
        <v>508</v>
      </c>
      <c r="D86" s="1823"/>
      <c r="E86" s="1823"/>
      <c r="F86" s="573" t="s">
        <v>509</v>
      </c>
      <c r="G86" s="573"/>
      <c r="H86" s="573"/>
      <c r="I86" s="573" t="s">
        <v>7001</v>
      </c>
      <c r="J86" s="572"/>
      <c r="K86" s="573"/>
      <c r="L86" s="572"/>
      <c r="M86" s="571"/>
      <c r="N86" s="570"/>
      <c r="V86" s="674"/>
      <c r="W86" s="675" t="s">
        <v>508</v>
      </c>
      <c r="AC86" s="675"/>
    </row>
    <row r="87" spans="1:29" s="536" customFormat="1" ht="12" x14ac:dyDescent="0.2">
      <c r="A87" s="676"/>
      <c r="B87" s="664"/>
      <c r="C87" s="1822" t="s">
        <v>7002</v>
      </c>
      <c r="D87" s="1822"/>
      <c r="E87" s="1822"/>
      <c r="F87" s="1822"/>
      <c r="G87" s="1822"/>
      <c r="H87" s="1822"/>
      <c r="I87" s="1822"/>
      <c r="J87" s="1822"/>
      <c r="K87" s="1822"/>
      <c r="L87" s="1822"/>
      <c r="M87" s="1822"/>
      <c r="N87" s="1827"/>
      <c r="V87" s="674"/>
      <c r="W87" s="675"/>
      <c r="X87" s="537" t="s">
        <v>7002</v>
      </c>
      <c r="AC87" s="675"/>
    </row>
    <row r="88" spans="1:29" s="536" customFormat="1" ht="33.75" x14ac:dyDescent="0.2">
      <c r="A88" s="609"/>
      <c r="B88" s="552" t="s">
        <v>310</v>
      </c>
      <c r="C88" s="1822" t="s">
        <v>311</v>
      </c>
      <c r="D88" s="1822"/>
      <c r="E88" s="1822"/>
      <c r="F88" s="1822"/>
      <c r="G88" s="1822"/>
      <c r="H88" s="1822"/>
      <c r="I88" s="1822"/>
      <c r="J88" s="1822"/>
      <c r="K88" s="1822"/>
      <c r="L88" s="1822"/>
      <c r="M88" s="1822"/>
      <c r="N88" s="1827"/>
      <c r="V88" s="674"/>
      <c r="W88" s="675"/>
      <c r="Y88" s="537" t="s">
        <v>311</v>
      </c>
      <c r="AC88" s="675"/>
    </row>
    <row r="89" spans="1:29" s="536" customFormat="1" ht="12" x14ac:dyDescent="0.2">
      <c r="A89" s="605"/>
      <c r="B89" s="552" t="s">
        <v>185</v>
      </c>
      <c r="C89" s="1822" t="s">
        <v>312</v>
      </c>
      <c r="D89" s="1822"/>
      <c r="E89" s="1822"/>
      <c r="F89" s="562"/>
      <c r="G89" s="562"/>
      <c r="H89" s="562"/>
      <c r="I89" s="562"/>
      <c r="J89" s="604">
        <v>127.61</v>
      </c>
      <c r="K89" s="562" t="s">
        <v>313</v>
      </c>
      <c r="L89" s="604">
        <v>24.95</v>
      </c>
      <c r="M89" s="603"/>
      <c r="N89" s="602"/>
      <c r="V89" s="674"/>
      <c r="W89" s="675"/>
      <c r="Z89" s="537" t="s">
        <v>312</v>
      </c>
      <c r="AC89" s="675"/>
    </row>
    <row r="90" spans="1:29" s="536" customFormat="1" ht="12" x14ac:dyDescent="0.2">
      <c r="A90" s="605"/>
      <c r="B90" s="552" t="s">
        <v>186</v>
      </c>
      <c r="C90" s="1822" t="s">
        <v>344</v>
      </c>
      <c r="D90" s="1822"/>
      <c r="E90" s="1822"/>
      <c r="F90" s="562"/>
      <c r="G90" s="562"/>
      <c r="H90" s="562"/>
      <c r="I90" s="562"/>
      <c r="J90" s="604">
        <v>288.58</v>
      </c>
      <c r="K90" s="562" t="s">
        <v>313</v>
      </c>
      <c r="L90" s="604">
        <v>56.42</v>
      </c>
      <c r="M90" s="603"/>
      <c r="N90" s="602"/>
      <c r="V90" s="674"/>
      <c r="W90" s="675"/>
      <c r="Z90" s="537" t="s">
        <v>344</v>
      </c>
      <c r="AC90" s="675"/>
    </row>
    <row r="91" spans="1:29" s="536" customFormat="1" ht="12" x14ac:dyDescent="0.2">
      <c r="A91" s="605"/>
      <c r="B91" s="552" t="s">
        <v>187</v>
      </c>
      <c r="C91" s="1822" t="s">
        <v>345</v>
      </c>
      <c r="D91" s="1822"/>
      <c r="E91" s="1822"/>
      <c r="F91" s="562"/>
      <c r="G91" s="562"/>
      <c r="H91" s="562"/>
      <c r="I91" s="562"/>
      <c r="J91" s="604">
        <v>31.49</v>
      </c>
      <c r="K91" s="562" t="s">
        <v>313</v>
      </c>
      <c r="L91" s="604">
        <v>6.16</v>
      </c>
      <c r="M91" s="603"/>
      <c r="N91" s="602"/>
      <c r="V91" s="674"/>
      <c r="W91" s="675"/>
      <c r="Z91" s="537" t="s">
        <v>345</v>
      </c>
      <c r="AC91" s="675"/>
    </row>
    <row r="92" spans="1:29" s="536" customFormat="1" ht="12" x14ac:dyDescent="0.2">
      <c r="A92" s="605"/>
      <c r="B92" s="552"/>
      <c r="C92" s="1822" t="s">
        <v>314</v>
      </c>
      <c r="D92" s="1822"/>
      <c r="E92" s="1822"/>
      <c r="F92" s="562" t="s">
        <v>315</v>
      </c>
      <c r="G92" s="562" t="s">
        <v>512</v>
      </c>
      <c r="H92" s="562" t="s">
        <v>313</v>
      </c>
      <c r="I92" s="562" t="s">
        <v>7003</v>
      </c>
      <c r="J92" s="604"/>
      <c r="K92" s="562"/>
      <c r="L92" s="604"/>
      <c r="M92" s="603"/>
      <c r="N92" s="602"/>
      <c r="V92" s="674"/>
      <c r="W92" s="675"/>
      <c r="AA92" s="537" t="s">
        <v>314</v>
      </c>
      <c r="AC92" s="675"/>
    </row>
    <row r="93" spans="1:29" s="536" customFormat="1" ht="12" x14ac:dyDescent="0.2">
      <c r="A93" s="605"/>
      <c r="B93" s="552"/>
      <c r="C93" s="1822" t="s">
        <v>348</v>
      </c>
      <c r="D93" s="1822"/>
      <c r="E93" s="1822"/>
      <c r="F93" s="562" t="s">
        <v>315</v>
      </c>
      <c r="G93" s="562" t="s">
        <v>514</v>
      </c>
      <c r="H93" s="562" t="s">
        <v>313</v>
      </c>
      <c r="I93" s="562" t="s">
        <v>7004</v>
      </c>
      <c r="J93" s="604"/>
      <c r="K93" s="562"/>
      <c r="L93" s="604"/>
      <c r="M93" s="603"/>
      <c r="N93" s="602"/>
      <c r="V93" s="674"/>
      <c r="W93" s="675"/>
      <c r="AA93" s="537" t="s">
        <v>348</v>
      </c>
      <c r="AC93" s="675"/>
    </row>
    <row r="94" spans="1:29" s="536" customFormat="1" ht="12" x14ac:dyDescent="0.2">
      <c r="A94" s="605"/>
      <c r="B94" s="552"/>
      <c r="C94" s="1828" t="s">
        <v>318</v>
      </c>
      <c r="D94" s="1828"/>
      <c r="E94" s="1828"/>
      <c r="F94" s="608"/>
      <c r="G94" s="608"/>
      <c r="H94" s="608"/>
      <c r="I94" s="608"/>
      <c r="J94" s="607">
        <v>416.19</v>
      </c>
      <c r="K94" s="608"/>
      <c r="L94" s="607">
        <v>81.37</v>
      </c>
      <c r="M94" s="601"/>
      <c r="N94" s="606"/>
      <c r="V94" s="674"/>
      <c r="W94" s="675"/>
      <c r="AB94" s="537" t="s">
        <v>318</v>
      </c>
      <c r="AC94" s="675"/>
    </row>
    <row r="95" spans="1:29" s="536" customFormat="1" ht="12" x14ac:dyDescent="0.2">
      <c r="A95" s="605"/>
      <c r="B95" s="552"/>
      <c r="C95" s="1822" t="s">
        <v>319</v>
      </c>
      <c r="D95" s="1822"/>
      <c r="E95" s="1822"/>
      <c r="F95" s="562"/>
      <c r="G95" s="562"/>
      <c r="H95" s="562"/>
      <c r="I95" s="562"/>
      <c r="J95" s="604"/>
      <c r="K95" s="562"/>
      <c r="L95" s="604">
        <v>31.11</v>
      </c>
      <c r="M95" s="603"/>
      <c r="N95" s="602"/>
      <c r="V95" s="674"/>
      <c r="W95" s="675"/>
      <c r="AA95" s="537" t="s">
        <v>319</v>
      </c>
      <c r="AC95" s="675"/>
    </row>
    <row r="96" spans="1:29" s="536" customFormat="1" ht="33.75" x14ac:dyDescent="0.2">
      <c r="A96" s="605"/>
      <c r="B96" s="552" t="s">
        <v>460</v>
      </c>
      <c r="C96" s="1822" t="s">
        <v>461</v>
      </c>
      <c r="D96" s="1822"/>
      <c r="E96" s="1822"/>
      <c r="F96" s="562" t="s">
        <v>322</v>
      </c>
      <c r="G96" s="562" t="s">
        <v>462</v>
      </c>
      <c r="H96" s="562"/>
      <c r="I96" s="562" t="s">
        <v>462</v>
      </c>
      <c r="J96" s="604"/>
      <c r="K96" s="562"/>
      <c r="L96" s="604">
        <v>28.62</v>
      </c>
      <c r="M96" s="603"/>
      <c r="N96" s="602"/>
      <c r="V96" s="674"/>
      <c r="W96" s="675"/>
      <c r="AA96" s="537" t="s">
        <v>461</v>
      </c>
      <c r="AC96" s="675"/>
    </row>
    <row r="97" spans="1:30" s="536" customFormat="1" ht="33.75" x14ac:dyDescent="0.2">
      <c r="A97" s="605"/>
      <c r="B97" s="552" t="s">
        <v>463</v>
      </c>
      <c r="C97" s="1822" t="s">
        <v>464</v>
      </c>
      <c r="D97" s="1822"/>
      <c r="E97" s="1822"/>
      <c r="F97" s="562" t="s">
        <v>322</v>
      </c>
      <c r="G97" s="562" t="s">
        <v>465</v>
      </c>
      <c r="H97" s="562"/>
      <c r="I97" s="562" t="s">
        <v>465</v>
      </c>
      <c r="J97" s="604"/>
      <c r="K97" s="562"/>
      <c r="L97" s="604">
        <v>14.31</v>
      </c>
      <c r="M97" s="603"/>
      <c r="N97" s="602"/>
      <c r="V97" s="674"/>
      <c r="W97" s="675"/>
      <c r="AA97" s="537" t="s">
        <v>464</v>
      </c>
      <c r="AC97" s="675"/>
    </row>
    <row r="98" spans="1:30" s="536" customFormat="1" ht="12" x14ac:dyDescent="0.2">
      <c r="A98" s="569"/>
      <c r="B98" s="671"/>
      <c r="C98" s="1823" t="s">
        <v>327</v>
      </c>
      <c r="D98" s="1823"/>
      <c r="E98" s="1823"/>
      <c r="F98" s="573"/>
      <c r="G98" s="573"/>
      <c r="H98" s="573"/>
      <c r="I98" s="573"/>
      <c r="J98" s="572"/>
      <c r="K98" s="573"/>
      <c r="L98" s="572">
        <v>124.3</v>
      </c>
      <c r="M98" s="601"/>
      <c r="N98" s="570"/>
      <c r="V98" s="674"/>
      <c r="W98" s="675"/>
      <c r="AC98" s="675" t="s">
        <v>327</v>
      </c>
    </row>
    <row r="99" spans="1:30" s="536" customFormat="1" ht="12" x14ac:dyDescent="0.2">
      <c r="A99" s="1830" t="s">
        <v>5370</v>
      </c>
      <c r="B99" s="1831"/>
      <c r="C99" s="1831"/>
      <c r="D99" s="1831"/>
      <c r="E99" s="1831"/>
      <c r="F99" s="1831"/>
      <c r="G99" s="1831"/>
      <c r="H99" s="1831"/>
      <c r="I99" s="1831"/>
      <c r="J99" s="1831"/>
      <c r="K99" s="1831"/>
      <c r="L99" s="1831"/>
      <c r="M99" s="1831"/>
      <c r="N99" s="1832"/>
      <c r="V99" s="674"/>
      <c r="W99" s="675"/>
      <c r="AC99" s="675"/>
      <c r="AD99" s="675" t="s">
        <v>5370</v>
      </c>
    </row>
    <row r="100" spans="1:30" s="536" customFormat="1" ht="56.25" x14ac:dyDescent="0.2">
      <c r="A100" s="575" t="s">
        <v>191</v>
      </c>
      <c r="B100" s="670" t="s">
        <v>3774</v>
      </c>
      <c r="C100" s="1823" t="s">
        <v>3775</v>
      </c>
      <c r="D100" s="1823"/>
      <c r="E100" s="1823"/>
      <c r="F100" s="573" t="s">
        <v>455</v>
      </c>
      <c r="G100" s="573"/>
      <c r="H100" s="573"/>
      <c r="I100" s="573" t="s">
        <v>7005</v>
      </c>
      <c r="J100" s="572"/>
      <c r="K100" s="573"/>
      <c r="L100" s="572"/>
      <c r="M100" s="571"/>
      <c r="N100" s="570"/>
      <c r="V100" s="674"/>
      <c r="W100" s="675" t="s">
        <v>3775</v>
      </c>
      <c r="AC100" s="675"/>
      <c r="AD100" s="675"/>
    </row>
    <row r="101" spans="1:30" s="536" customFormat="1" ht="12" x14ac:dyDescent="0.2">
      <c r="A101" s="676"/>
      <c r="B101" s="664"/>
      <c r="C101" s="1822" t="s">
        <v>7006</v>
      </c>
      <c r="D101" s="1822"/>
      <c r="E101" s="1822"/>
      <c r="F101" s="1822"/>
      <c r="G101" s="1822"/>
      <c r="H101" s="1822"/>
      <c r="I101" s="1822"/>
      <c r="J101" s="1822"/>
      <c r="K101" s="1822"/>
      <c r="L101" s="1822"/>
      <c r="M101" s="1822"/>
      <c r="N101" s="1827"/>
      <c r="V101" s="674"/>
      <c r="W101" s="675"/>
      <c r="X101" s="537" t="s">
        <v>7006</v>
      </c>
      <c r="AC101" s="675"/>
      <c r="AD101" s="675"/>
    </row>
    <row r="102" spans="1:30" s="536" customFormat="1" ht="33.75" x14ac:dyDescent="0.2">
      <c r="A102" s="609"/>
      <c r="B102" s="552" t="s">
        <v>310</v>
      </c>
      <c r="C102" s="1822" t="s">
        <v>311</v>
      </c>
      <c r="D102" s="1822"/>
      <c r="E102" s="1822"/>
      <c r="F102" s="1822"/>
      <c r="G102" s="1822"/>
      <c r="H102" s="1822"/>
      <c r="I102" s="1822"/>
      <c r="J102" s="1822"/>
      <c r="K102" s="1822"/>
      <c r="L102" s="1822"/>
      <c r="M102" s="1822"/>
      <c r="N102" s="1827"/>
      <c r="V102" s="674"/>
      <c r="W102" s="675"/>
      <c r="Y102" s="537" t="s">
        <v>311</v>
      </c>
      <c r="AC102" s="675"/>
      <c r="AD102" s="675"/>
    </row>
    <row r="103" spans="1:30" s="536" customFormat="1" ht="12" x14ac:dyDescent="0.2">
      <c r="A103" s="605"/>
      <c r="B103" s="552" t="s">
        <v>186</v>
      </c>
      <c r="C103" s="1822" t="s">
        <v>344</v>
      </c>
      <c r="D103" s="1822"/>
      <c r="E103" s="1822"/>
      <c r="F103" s="562"/>
      <c r="G103" s="562"/>
      <c r="H103" s="562"/>
      <c r="I103" s="562"/>
      <c r="J103" s="604">
        <v>6166.95</v>
      </c>
      <c r="K103" s="562" t="s">
        <v>313</v>
      </c>
      <c r="L103" s="604">
        <v>14.65</v>
      </c>
      <c r="M103" s="603"/>
      <c r="N103" s="602"/>
      <c r="V103" s="674"/>
      <c r="W103" s="675"/>
      <c r="Z103" s="537" t="s">
        <v>344</v>
      </c>
      <c r="AC103" s="675"/>
      <c r="AD103" s="675"/>
    </row>
    <row r="104" spans="1:30" s="536" customFormat="1" ht="12" x14ac:dyDescent="0.2">
      <c r="A104" s="605"/>
      <c r="B104" s="552" t="s">
        <v>187</v>
      </c>
      <c r="C104" s="1822" t="s">
        <v>345</v>
      </c>
      <c r="D104" s="1822"/>
      <c r="E104" s="1822"/>
      <c r="F104" s="562"/>
      <c r="G104" s="562"/>
      <c r="H104" s="562"/>
      <c r="I104" s="562"/>
      <c r="J104" s="604">
        <v>722.25</v>
      </c>
      <c r="K104" s="562" t="s">
        <v>313</v>
      </c>
      <c r="L104" s="604">
        <v>1.72</v>
      </c>
      <c r="M104" s="603"/>
      <c r="N104" s="602"/>
      <c r="V104" s="674"/>
      <c r="W104" s="675"/>
      <c r="Z104" s="537" t="s">
        <v>345</v>
      </c>
      <c r="AC104" s="675"/>
      <c r="AD104" s="675"/>
    </row>
    <row r="105" spans="1:30" s="536" customFormat="1" ht="12" x14ac:dyDescent="0.2">
      <c r="A105" s="605"/>
      <c r="B105" s="552"/>
      <c r="C105" s="1822" t="s">
        <v>348</v>
      </c>
      <c r="D105" s="1822"/>
      <c r="E105" s="1822"/>
      <c r="F105" s="562" t="s">
        <v>315</v>
      </c>
      <c r="G105" s="562" t="s">
        <v>3776</v>
      </c>
      <c r="H105" s="562" t="s">
        <v>313</v>
      </c>
      <c r="I105" s="562" t="s">
        <v>7007</v>
      </c>
      <c r="J105" s="604"/>
      <c r="K105" s="562"/>
      <c r="L105" s="604"/>
      <c r="M105" s="603"/>
      <c r="N105" s="602"/>
      <c r="V105" s="674"/>
      <c r="W105" s="675"/>
      <c r="AA105" s="537" t="s">
        <v>348</v>
      </c>
      <c r="AC105" s="675"/>
      <c r="AD105" s="675"/>
    </row>
    <row r="106" spans="1:30" s="536" customFormat="1" ht="12" x14ac:dyDescent="0.2">
      <c r="A106" s="605"/>
      <c r="B106" s="552"/>
      <c r="C106" s="1828" t="s">
        <v>318</v>
      </c>
      <c r="D106" s="1828"/>
      <c r="E106" s="1828"/>
      <c r="F106" s="608"/>
      <c r="G106" s="608"/>
      <c r="H106" s="608"/>
      <c r="I106" s="608"/>
      <c r="J106" s="607">
        <v>6166.95</v>
      </c>
      <c r="K106" s="608"/>
      <c r="L106" s="607">
        <v>14.65</v>
      </c>
      <c r="M106" s="601"/>
      <c r="N106" s="606"/>
      <c r="V106" s="674"/>
      <c r="W106" s="675"/>
      <c r="AB106" s="537" t="s">
        <v>318</v>
      </c>
      <c r="AC106" s="675"/>
      <c r="AD106" s="675"/>
    </row>
    <row r="107" spans="1:30" s="536" customFormat="1" ht="12" x14ac:dyDescent="0.2">
      <c r="A107" s="605"/>
      <c r="B107" s="552"/>
      <c r="C107" s="1822" t="s">
        <v>319</v>
      </c>
      <c r="D107" s="1822"/>
      <c r="E107" s="1822"/>
      <c r="F107" s="562"/>
      <c r="G107" s="562"/>
      <c r="H107" s="562"/>
      <c r="I107" s="562"/>
      <c r="J107" s="604"/>
      <c r="K107" s="562"/>
      <c r="L107" s="604">
        <v>1.72</v>
      </c>
      <c r="M107" s="603"/>
      <c r="N107" s="602"/>
      <c r="V107" s="674"/>
      <c r="W107" s="675"/>
      <c r="AA107" s="537" t="s">
        <v>319</v>
      </c>
      <c r="AC107" s="675"/>
      <c r="AD107" s="675"/>
    </row>
    <row r="108" spans="1:30" s="536" customFormat="1" ht="33.75" x14ac:dyDescent="0.2">
      <c r="A108" s="605"/>
      <c r="B108" s="552" t="s">
        <v>460</v>
      </c>
      <c r="C108" s="1822" t="s">
        <v>461</v>
      </c>
      <c r="D108" s="1822"/>
      <c r="E108" s="1822"/>
      <c r="F108" s="562" t="s">
        <v>322</v>
      </c>
      <c r="G108" s="562" t="s">
        <v>462</v>
      </c>
      <c r="H108" s="562"/>
      <c r="I108" s="562" t="s">
        <v>462</v>
      </c>
      <c r="J108" s="604"/>
      <c r="K108" s="562"/>
      <c r="L108" s="604">
        <v>1.58</v>
      </c>
      <c r="M108" s="603"/>
      <c r="N108" s="602"/>
      <c r="V108" s="674"/>
      <c r="W108" s="675"/>
      <c r="AA108" s="537" t="s">
        <v>461</v>
      </c>
      <c r="AC108" s="675"/>
      <c r="AD108" s="675"/>
    </row>
    <row r="109" spans="1:30" s="536" customFormat="1" ht="33.75" x14ac:dyDescent="0.2">
      <c r="A109" s="605"/>
      <c r="B109" s="552" t="s">
        <v>463</v>
      </c>
      <c r="C109" s="1822" t="s">
        <v>464</v>
      </c>
      <c r="D109" s="1822"/>
      <c r="E109" s="1822"/>
      <c r="F109" s="562" t="s">
        <v>322</v>
      </c>
      <c r="G109" s="562" t="s">
        <v>465</v>
      </c>
      <c r="H109" s="562"/>
      <c r="I109" s="562" t="s">
        <v>465</v>
      </c>
      <c r="J109" s="604"/>
      <c r="K109" s="562"/>
      <c r="L109" s="604">
        <v>0.79</v>
      </c>
      <c r="M109" s="603"/>
      <c r="N109" s="602"/>
      <c r="V109" s="674"/>
      <c r="W109" s="675"/>
      <c r="AA109" s="537" t="s">
        <v>464</v>
      </c>
      <c r="AC109" s="675"/>
      <c r="AD109" s="675"/>
    </row>
    <row r="110" spans="1:30" s="536" customFormat="1" ht="12" x14ac:dyDescent="0.2">
      <c r="A110" s="569"/>
      <c r="B110" s="671"/>
      <c r="C110" s="1823" t="s">
        <v>327</v>
      </c>
      <c r="D110" s="1823"/>
      <c r="E110" s="1823"/>
      <c r="F110" s="573"/>
      <c r="G110" s="573"/>
      <c r="H110" s="573"/>
      <c r="I110" s="573"/>
      <c r="J110" s="572"/>
      <c r="K110" s="573"/>
      <c r="L110" s="572">
        <v>17.02</v>
      </c>
      <c r="M110" s="601"/>
      <c r="N110" s="570"/>
      <c r="V110" s="674"/>
      <c r="W110" s="675"/>
      <c r="AC110" s="675" t="s">
        <v>327</v>
      </c>
      <c r="AD110" s="675"/>
    </row>
    <row r="111" spans="1:30" s="536" customFormat="1" ht="45" x14ac:dyDescent="0.2">
      <c r="A111" s="575" t="s">
        <v>192</v>
      </c>
      <c r="B111" s="670" t="s">
        <v>1005</v>
      </c>
      <c r="C111" s="1823" t="s">
        <v>1006</v>
      </c>
      <c r="D111" s="1823"/>
      <c r="E111" s="1823"/>
      <c r="F111" s="573" t="s">
        <v>201</v>
      </c>
      <c r="G111" s="573"/>
      <c r="H111" s="573"/>
      <c r="I111" s="573" t="s">
        <v>7008</v>
      </c>
      <c r="J111" s="572">
        <v>2.91</v>
      </c>
      <c r="K111" s="573"/>
      <c r="L111" s="572">
        <v>12.72</v>
      </c>
      <c r="M111" s="571"/>
      <c r="N111" s="570"/>
      <c r="V111" s="674"/>
      <c r="W111" s="675" t="s">
        <v>1006</v>
      </c>
      <c r="AC111" s="675"/>
      <c r="AD111" s="675"/>
    </row>
    <row r="112" spans="1:30" s="536" customFormat="1" ht="12" x14ac:dyDescent="0.2">
      <c r="A112" s="676"/>
      <c r="B112" s="664"/>
      <c r="C112" s="1822" t="s">
        <v>7009</v>
      </c>
      <c r="D112" s="1822"/>
      <c r="E112" s="1822"/>
      <c r="F112" s="1822"/>
      <c r="G112" s="1822"/>
      <c r="H112" s="1822"/>
      <c r="I112" s="1822"/>
      <c r="J112" s="1822"/>
      <c r="K112" s="1822"/>
      <c r="L112" s="1822"/>
      <c r="M112" s="1822"/>
      <c r="N112" s="1827"/>
      <c r="V112" s="674"/>
      <c r="W112" s="675"/>
      <c r="X112" s="537" t="s">
        <v>7009</v>
      </c>
      <c r="AC112" s="675"/>
      <c r="AD112" s="675"/>
    </row>
    <row r="113" spans="1:32" s="536" customFormat="1" ht="1.5" customHeight="1" x14ac:dyDescent="0.2">
      <c r="A113" s="563"/>
      <c r="B113" s="671"/>
      <c r="C113" s="671"/>
      <c r="D113" s="671"/>
      <c r="E113" s="671"/>
      <c r="F113" s="563"/>
      <c r="G113" s="563"/>
      <c r="H113" s="563"/>
      <c r="I113" s="563"/>
      <c r="J113" s="546"/>
      <c r="K113" s="563"/>
      <c r="L113" s="546"/>
      <c r="M113" s="562"/>
      <c r="N113" s="546"/>
      <c r="V113" s="674"/>
      <c r="W113" s="675"/>
      <c r="AC113" s="675"/>
      <c r="AD113" s="675"/>
    </row>
    <row r="114" spans="1:32" s="536" customFormat="1" ht="12" x14ac:dyDescent="0.2">
      <c r="A114" s="557"/>
      <c r="B114" s="556"/>
      <c r="C114" s="1823" t="s">
        <v>1021</v>
      </c>
      <c r="D114" s="1823"/>
      <c r="E114" s="1823"/>
      <c r="F114" s="1823"/>
      <c r="G114" s="1823"/>
      <c r="H114" s="1823"/>
      <c r="I114" s="1823"/>
      <c r="J114" s="1823"/>
      <c r="K114" s="1823"/>
      <c r="L114" s="555"/>
      <c r="M114" s="554"/>
      <c r="N114" s="553"/>
      <c r="V114" s="674"/>
      <c r="W114" s="675"/>
      <c r="AC114" s="675"/>
      <c r="AD114" s="675"/>
      <c r="AE114" s="675" t="s">
        <v>1021</v>
      </c>
    </row>
    <row r="115" spans="1:32" s="536" customFormat="1" ht="12" x14ac:dyDescent="0.2">
      <c r="A115" s="548"/>
      <c r="B115" s="552"/>
      <c r="C115" s="1822" t="s">
        <v>403</v>
      </c>
      <c r="D115" s="1822"/>
      <c r="E115" s="1822"/>
      <c r="F115" s="1822"/>
      <c r="G115" s="1822"/>
      <c r="H115" s="1822"/>
      <c r="I115" s="1822"/>
      <c r="J115" s="1822"/>
      <c r="K115" s="1822"/>
      <c r="L115" s="551">
        <v>383.42</v>
      </c>
      <c r="M115" s="550"/>
      <c r="N115" s="549"/>
      <c r="V115" s="674"/>
      <c r="W115" s="675"/>
      <c r="AC115" s="675"/>
      <c r="AD115" s="675"/>
      <c r="AE115" s="675"/>
      <c r="AF115" s="537" t="s">
        <v>403</v>
      </c>
    </row>
    <row r="116" spans="1:32" s="536" customFormat="1" ht="12" x14ac:dyDescent="0.2">
      <c r="A116" s="548"/>
      <c r="B116" s="552"/>
      <c r="C116" s="1822" t="s">
        <v>204</v>
      </c>
      <c r="D116" s="1822"/>
      <c r="E116" s="1822"/>
      <c r="F116" s="1822"/>
      <c r="G116" s="1822"/>
      <c r="H116" s="1822"/>
      <c r="I116" s="1822"/>
      <c r="J116" s="1822"/>
      <c r="K116" s="1822"/>
      <c r="L116" s="551"/>
      <c r="M116" s="550"/>
      <c r="N116" s="549"/>
      <c r="V116" s="674"/>
      <c r="W116" s="675"/>
      <c r="AC116" s="675"/>
      <c r="AD116" s="675"/>
      <c r="AE116" s="675"/>
      <c r="AF116" s="537" t="s">
        <v>204</v>
      </c>
    </row>
    <row r="117" spans="1:32" s="536" customFormat="1" ht="12" x14ac:dyDescent="0.2">
      <c r="A117" s="548"/>
      <c r="B117" s="552"/>
      <c r="C117" s="1822" t="s">
        <v>404</v>
      </c>
      <c r="D117" s="1822"/>
      <c r="E117" s="1822"/>
      <c r="F117" s="1822"/>
      <c r="G117" s="1822"/>
      <c r="H117" s="1822"/>
      <c r="I117" s="1822"/>
      <c r="J117" s="1822"/>
      <c r="K117" s="1822"/>
      <c r="L117" s="551">
        <v>53.87</v>
      </c>
      <c r="M117" s="550"/>
      <c r="N117" s="549"/>
      <c r="V117" s="674"/>
      <c r="W117" s="675"/>
      <c r="AC117" s="675"/>
      <c r="AD117" s="675"/>
      <c r="AE117" s="675"/>
      <c r="AF117" s="537" t="s">
        <v>404</v>
      </c>
    </row>
    <row r="118" spans="1:32" s="536" customFormat="1" ht="12" x14ac:dyDescent="0.2">
      <c r="A118" s="548"/>
      <c r="B118" s="552"/>
      <c r="C118" s="1822" t="s">
        <v>405</v>
      </c>
      <c r="D118" s="1822"/>
      <c r="E118" s="1822"/>
      <c r="F118" s="1822"/>
      <c r="G118" s="1822"/>
      <c r="H118" s="1822"/>
      <c r="I118" s="1822"/>
      <c r="J118" s="1822"/>
      <c r="K118" s="1822"/>
      <c r="L118" s="551">
        <v>329.55</v>
      </c>
      <c r="M118" s="550"/>
      <c r="N118" s="549"/>
      <c r="V118" s="674"/>
      <c r="W118" s="675"/>
      <c r="AC118" s="675"/>
      <c r="AD118" s="675"/>
      <c r="AE118" s="675"/>
      <c r="AF118" s="537" t="s">
        <v>405</v>
      </c>
    </row>
    <row r="119" spans="1:32" s="536" customFormat="1" ht="12" x14ac:dyDescent="0.2">
      <c r="A119" s="548"/>
      <c r="B119" s="552"/>
      <c r="C119" s="1822" t="s">
        <v>406</v>
      </c>
      <c r="D119" s="1822"/>
      <c r="E119" s="1822"/>
      <c r="F119" s="1822"/>
      <c r="G119" s="1822"/>
      <c r="H119" s="1822"/>
      <c r="I119" s="1822"/>
      <c r="J119" s="1822"/>
      <c r="K119" s="1822"/>
      <c r="L119" s="551">
        <v>32.33</v>
      </c>
      <c r="M119" s="550"/>
      <c r="N119" s="549"/>
      <c r="V119" s="674"/>
      <c r="W119" s="675"/>
      <c r="AC119" s="675"/>
      <c r="AD119" s="675"/>
      <c r="AE119" s="675"/>
      <c r="AF119" s="537" t="s">
        <v>406</v>
      </c>
    </row>
    <row r="120" spans="1:32" s="536" customFormat="1" ht="12" x14ac:dyDescent="0.2">
      <c r="A120" s="548"/>
      <c r="B120" s="552"/>
      <c r="C120" s="1822" t="s">
        <v>407</v>
      </c>
      <c r="D120" s="1822"/>
      <c r="E120" s="1822"/>
      <c r="F120" s="1822"/>
      <c r="G120" s="1822"/>
      <c r="H120" s="1822"/>
      <c r="I120" s="1822"/>
      <c r="J120" s="1822"/>
      <c r="K120" s="1822"/>
      <c r="L120" s="551">
        <v>499.77</v>
      </c>
      <c r="M120" s="550"/>
      <c r="N120" s="549"/>
      <c r="V120" s="674"/>
      <c r="W120" s="675"/>
      <c r="AC120" s="675"/>
      <c r="AD120" s="675"/>
      <c r="AE120" s="675"/>
      <c r="AF120" s="537" t="s">
        <v>407</v>
      </c>
    </row>
    <row r="121" spans="1:32" s="536" customFormat="1" ht="12" x14ac:dyDescent="0.2">
      <c r="A121" s="548"/>
      <c r="B121" s="552"/>
      <c r="C121" s="1822" t="s">
        <v>408</v>
      </c>
      <c r="D121" s="1822"/>
      <c r="E121" s="1822"/>
      <c r="F121" s="1822"/>
      <c r="G121" s="1822"/>
      <c r="H121" s="1822"/>
      <c r="I121" s="1822"/>
      <c r="J121" s="1822"/>
      <c r="K121" s="1822"/>
      <c r="L121" s="551">
        <v>450.1</v>
      </c>
      <c r="M121" s="550"/>
      <c r="N121" s="549"/>
      <c r="V121" s="674"/>
      <c r="W121" s="675"/>
      <c r="AC121" s="675"/>
      <c r="AD121" s="675"/>
      <c r="AE121" s="675"/>
      <c r="AF121" s="537" t="s">
        <v>408</v>
      </c>
    </row>
    <row r="122" spans="1:32" s="536" customFormat="1" ht="12" x14ac:dyDescent="0.2">
      <c r="A122" s="548"/>
      <c r="B122" s="552"/>
      <c r="C122" s="1822" t="s">
        <v>409</v>
      </c>
      <c r="D122" s="1822"/>
      <c r="E122" s="1822"/>
      <c r="F122" s="1822"/>
      <c r="G122" s="1822"/>
      <c r="H122" s="1822"/>
      <c r="I122" s="1822"/>
      <c r="J122" s="1822"/>
      <c r="K122" s="1822"/>
      <c r="L122" s="551"/>
      <c r="M122" s="550"/>
      <c r="N122" s="549"/>
      <c r="V122" s="674"/>
      <c r="W122" s="675"/>
      <c r="AC122" s="675"/>
      <c r="AD122" s="675"/>
      <c r="AE122" s="675"/>
      <c r="AF122" s="537" t="s">
        <v>409</v>
      </c>
    </row>
    <row r="123" spans="1:32" s="536" customFormat="1" ht="12" x14ac:dyDescent="0.2">
      <c r="A123" s="548"/>
      <c r="B123" s="552"/>
      <c r="C123" s="1822" t="s">
        <v>410</v>
      </c>
      <c r="D123" s="1822"/>
      <c r="E123" s="1822"/>
      <c r="F123" s="1822"/>
      <c r="G123" s="1822"/>
      <c r="H123" s="1822"/>
      <c r="I123" s="1822"/>
      <c r="J123" s="1822"/>
      <c r="K123" s="1822"/>
      <c r="L123" s="551">
        <v>53.87</v>
      </c>
      <c r="M123" s="550"/>
      <c r="N123" s="549"/>
      <c r="V123" s="674"/>
      <c r="W123" s="675"/>
      <c r="AC123" s="675"/>
      <c r="AD123" s="675"/>
      <c r="AE123" s="675"/>
      <c r="AF123" s="537" t="s">
        <v>410</v>
      </c>
    </row>
    <row r="124" spans="1:32" s="536" customFormat="1" ht="12" x14ac:dyDescent="0.2">
      <c r="A124" s="548"/>
      <c r="B124" s="552"/>
      <c r="C124" s="1822" t="s">
        <v>411</v>
      </c>
      <c r="D124" s="1822"/>
      <c r="E124" s="1822"/>
      <c r="F124" s="1822"/>
      <c r="G124" s="1822"/>
      <c r="H124" s="1822"/>
      <c r="I124" s="1822"/>
      <c r="J124" s="1822"/>
      <c r="K124" s="1822"/>
      <c r="L124" s="551">
        <v>279.88</v>
      </c>
      <c r="M124" s="550"/>
      <c r="N124" s="549"/>
      <c r="V124" s="674"/>
      <c r="W124" s="675"/>
      <c r="AC124" s="675"/>
      <c r="AD124" s="675"/>
      <c r="AE124" s="675"/>
      <c r="AF124" s="537" t="s">
        <v>411</v>
      </c>
    </row>
    <row r="125" spans="1:32" s="536" customFormat="1" ht="12" x14ac:dyDescent="0.2">
      <c r="A125" s="548"/>
      <c r="B125" s="552"/>
      <c r="C125" s="1822" t="s">
        <v>412</v>
      </c>
      <c r="D125" s="1822"/>
      <c r="E125" s="1822"/>
      <c r="F125" s="1822"/>
      <c r="G125" s="1822"/>
      <c r="H125" s="1822"/>
      <c r="I125" s="1822"/>
      <c r="J125" s="1822"/>
      <c r="K125" s="1822"/>
      <c r="L125" s="551">
        <v>78.430000000000007</v>
      </c>
      <c r="M125" s="550"/>
      <c r="N125" s="549"/>
      <c r="V125" s="674"/>
      <c r="W125" s="675"/>
      <c r="AC125" s="675"/>
      <c r="AD125" s="675"/>
      <c r="AE125" s="675"/>
      <c r="AF125" s="537" t="s">
        <v>412</v>
      </c>
    </row>
    <row r="126" spans="1:32" s="536" customFormat="1" ht="12" x14ac:dyDescent="0.2">
      <c r="A126" s="548"/>
      <c r="B126" s="552"/>
      <c r="C126" s="1822" t="s">
        <v>413</v>
      </c>
      <c r="D126" s="1822"/>
      <c r="E126" s="1822"/>
      <c r="F126" s="1822"/>
      <c r="G126" s="1822"/>
      <c r="H126" s="1822"/>
      <c r="I126" s="1822"/>
      <c r="J126" s="1822"/>
      <c r="K126" s="1822"/>
      <c r="L126" s="551">
        <v>37.92</v>
      </c>
      <c r="M126" s="550"/>
      <c r="N126" s="549"/>
      <c r="V126" s="674"/>
      <c r="W126" s="675"/>
      <c r="AC126" s="675"/>
      <c r="AD126" s="675"/>
      <c r="AE126" s="675"/>
      <c r="AF126" s="537" t="s">
        <v>413</v>
      </c>
    </row>
    <row r="127" spans="1:32" s="536" customFormat="1" ht="12" x14ac:dyDescent="0.2">
      <c r="A127" s="548"/>
      <c r="B127" s="552"/>
      <c r="C127" s="1822" t="s">
        <v>414</v>
      </c>
      <c r="D127" s="1822"/>
      <c r="E127" s="1822"/>
      <c r="F127" s="1822"/>
      <c r="G127" s="1822"/>
      <c r="H127" s="1822"/>
      <c r="I127" s="1822"/>
      <c r="J127" s="1822"/>
      <c r="K127" s="1822"/>
      <c r="L127" s="551">
        <v>49.67</v>
      </c>
      <c r="M127" s="550"/>
      <c r="N127" s="549"/>
      <c r="V127" s="674"/>
      <c r="W127" s="675"/>
      <c r="AC127" s="675"/>
      <c r="AD127" s="675"/>
      <c r="AE127" s="675"/>
      <c r="AF127" s="537" t="s">
        <v>414</v>
      </c>
    </row>
    <row r="128" spans="1:32" s="536" customFormat="1" ht="12" x14ac:dyDescent="0.2">
      <c r="A128" s="548"/>
      <c r="B128" s="552"/>
      <c r="C128" s="1822" t="s">
        <v>415</v>
      </c>
      <c r="D128" s="1822"/>
      <c r="E128" s="1822"/>
      <c r="F128" s="1822"/>
      <c r="G128" s="1822"/>
      <c r="H128" s="1822"/>
      <c r="I128" s="1822"/>
      <c r="J128" s="1822"/>
      <c r="K128" s="1822"/>
      <c r="L128" s="551">
        <v>86.2</v>
      </c>
      <c r="M128" s="550"/>
      <c r="N128" s="549"/>
      <c r="V128" s="674"/>
      <c r="W128" s="675"/>
      <c r="AC128" s="675"/>
      <c r="AD128" s="675"/>
      <c r="AE128" s="675"/>
      <c r="AF128" s="537" t="s">
        <v>415</v>
      </c>
    </row>
    <row r="129" spans="1:34" s="536" customFormat="1" ht="12" x14ac:dyDescent="0.2">
      <c r="A129" s="548"/>
      <c r="B129" s="552"/>
      <c r="C129" s="1822" t="s">
        <v>416</v>
      </c>
      <c r="D129" s="1822"/>
      <c r="E129" s="1822"/>
      <c r="F129" s="1822"/>
      <c r="G129" s="1822"/>
      <c r="H129" s="1822"/>
      <c r="I129" s="1822"/>
      <c r="J129" s="1822"/>
      <c r="K129" s="1822"/>
      <c r="L129" s="551">
        <v>78.430000000000007</v>
      </c>
      <c r="M129" s="550"/>
      <c r="N129" s="549"/>
      <c r="V129" s="674"/>
      <c r="W129" s="675"/>
      <c r="AC129" s="675"/>
      <c r="AD129" s="675"/>
      <c r="AE129" s="675"/>
      <c r="AF129" s="537" t="s">
        <v>416</v>
      </c>
    </row>
    <row r="130" spans="1:34" s="536" customFormat="1" ht="12" x14ac:dyDescent="0.2">
      <c r="A130" s="548"/>
      <c r="B130" s="552"/>
      <c r="C130" s="1822" t="s">
        <v>417</v>
      </c>
      <c r="D130" s="1822"/>
      <c r="E130" s="1822"/>
      <c r="F130" s="1822"/>
      <c r="G130" s="1822"/>
      <c r="H130" s="1822"/>
      <c r="I130" s="1822"/>
      <c r="J130" s="1822"/>
      <c r="K130" s="1822"/>
      <c r="L130" s="551">
        <v>37.92</v>
      </c>
      <c r="M130" s="550"/>
      <c r="N130" s="549"/>
      <c r="V130" s="674"/>
      <c r="W130" s="675"/>
      <c r="AC130" s="675"/>
      <c r="AD130" s="675"/>
      <c r="AE130" s="675"/>
      <c r="AF130" s="537" t="s">
        <v>417</v>
      </c>
    </row>
    <row r="131" spans="1:34" s="536" customFormat="1" ht="12" x14ac:dyDescent="0.2">
      <c r="A131" s="548"/>
      <c r="B131" s="546"/>
      <c r="C131" s="1819" t="s">
        <v>1022</v>
      </c>
      <c r="D131" s="1819"/>
      <c r="E131" s="1819"/>
      <c r="F131" s="1819"/>
      <c r="G131" s="1819"/>
      <c r="H131" s="1819"/>
      <c r="I131" s="1819"/>
      <c r="J131" s="1819"/>
      <c r="K131" s="1819"/>
      <c r="L131" s="544">
        <v>499.77</v>
      </c>
      <c r="M131" s="543"/>
      <c r="N131" s="681"/>
      <c r="V131" s="674"/>
      <c r="W131" s="675"/>
      <c r="AC131" s="675"/>
      <c r="AD131" s="675"/>
      <c r="AE131" s="675"/>
      <c r="AG131" s="675" t="s">
        <v>1022</v>
      </c>
    </row>
    <row r="132" spans="1:34" s="536" customFormat="1" ht="12" x14ac:dyDescent="0.2">
      <c r="A132" s="1824" t="s">
        <v>7010</v>
      </c>
      <c r="B132" s="1825"/>
      <c r="C132" s="1825"/>
      <c r="D132" s="1825"/>
      <c r="E132" s="1825"/>
      <c r="F132" s="1825"/>
      <c r="G132" s="1825"/>
      <c r="H132" s="1825"/>
      <c r="I132" s="1825"/>
      <c r="J132" s="1825"/>
      <c r="K132" s="1825"/>
      <c r="L132" s="1825"/>
      <c r="M132" s="1825"/>
      <c r="N132" s="1826"/>
      <c r="V132" s="674" t="s">
        <v>7010</v>
      </c>
      <c r="W132" s="675"/>
      <c r="AC132" s="675"/>
      <c r="AD132" s="675"/>
      <c r="AE132" s="675"/>
      <c r="AG132" s="675"/>
    </row>
    <row r="133" spans="1:34" s="536" customFormat="1" ht="22.5" x14ac:dyDescent="0.2">
      <c r="A133" s="575" t="s">
        <v>193</v>
      </c>
      <c r="B133" s="670" t="s">
        <v>5377</v>
      </c>
      <c r="C133" s="1823" t="s">
        <v>5378</v>
      </c>
      <c r="D133" s="1823"/>
      <c r="E133" s="1823"/>
      <c r="F133" s="573" t="s">
        <v>641</v>
      </c>
      <c r="G133" s="573"/>
      <c r="H133" s="573"/>
      <c r="I133" s="573" t="s">
        <v>890</v>
      </c>
      <c r="J133" s="572"/>
      <c r="K133" s="573"/>
      <c r="L133" s="572"/>
      <c r="M133" s="571"/>
      <c r="N133" s="570"/>
      <c r="V133" s="674"/>
      <c r="W133" s="675" t="s">
        <v>5378</v>
      </c>
      <c r="AC133" s="675"/>
      <c r="AD133" s="675"/>
      <c r="AE133" s="675"/>
      <c r="AG133" s="675"/>
    </row>
    <row r="134" spans="1:34" s="536" customFormat="1" ht="33.75" x14ac:dyDescent="0.2">
      <c r="A134" s="609"/>
      <c r="B134" s="552" t="s">
        <v>310</v>
      </c>
      <c r="C134" s="1822" t="s">
        <v>311</v>
      </c>
      <c r="D134" s="1822"/>
      <c r="E134" s="1822"/>
      <c r="F134" s="1822"/>
      <c r="G134" s="1822"/>
      <c r="H134" s="1822"/>
      <c r="I134" s="1822"/>
      <c r="J134" s="1822"/>
      <c r="K134" s="1822"/>
      <c r="L134" s="1822"/>
      <c r="M134" s="1822"/>
      <c r="N134" s="1827"/>
      <c r="V134" s="674"/>
      <c r="W134" s="675"/>
      <c r="Y134" s="537" t="s">
        <v>311</v>
      </c>
      <c r="AC134" s="675"/>
      <c r="AD134" s="675"/>
      <c r="AE134" s="675"/>
      <c r="AG134" s="675"/>
    </row>
    <row r="135" spans="1:34" s="536" customFormat="1" ht="12" x14ac:dyDescent="0.2">
      <c r="A135" s="605"/>
      <c r="B135" s="552" t="s">
        <v>185</v>
      </c>
      <c r="C135" s="1822" t="s">
        <v>312</v>
      </c>
      <c r="D135" s="1822"/>
      <c r="E135" s="1822"/>
      <c r="F135" s="562"/>
      <c r="G135" s="562"/>
      <c r="H135" s="562"/>
      <c r="I135" s="562"/>
      <c r="J135" s="604">
        <v>6.75</v>
      </c>
      <c r="K135" s="562" t="s">
        <v>313</v>
      </c>
      <c r="L135" s="604">
        <v>1.69</v>
      </c>
      <c r="M135" s="603"/>
      <c r="N135" s="602"/>
      <c r="V135" s="674"/>
      <c r="W135" s="675"/>
      <c r="Z135" s="537" t="s">
        <v>312</v>
      </c>
      <c r="AC135" s="675"/>
      <c r="AD135" s="675"/>
      <c r="AE135" s="675"/>
      <c r="AG135" s="675"/>
    </row>
    <row r="136" spans="1:34" s="536" customFormat="1" ht="12" x14ac:dyDescent="0.2">
      <c r="A136" s="605"/>
      <c r="B136" s="552" t="s">
        <v>186</v>
      </c>
      <c r="C136" s="1822" t="s">
        <v>344</v>
      </c>
      <c r="D136" s="1822"/>
      <c r="E136" s="1822"/>
      <c r="F136" s="562"/>
      <c r="G136" s="562"/>
      <c r="H136" s="562"/>
      <c r="I136" s="562"/>
      <c r="J136" s="604">
        <v>8.2899999999999991</v>
      </c>
      <c r="K136" s="562" t="s">
        <v>313</v>
      </c>
      <c r="L136" s="604">
        <v>2.0699999999999998</v>
      </c>
      <c r="M136" s="603"/>
      <c r="N136" s="602"/>
      <c r="V136" s="674"/>
      <c r="W136" s="675"/>
      <c r="Z136" s="537" t="s">
        <v>344</v>
      </c>
      <c r="AC136" s="675"/>
      <c r="AD136" s="675"/>
      <c r="AE136" s="675"/>
      <c r="AG136" s="675"/>
    </row>
    <row r="137" spans="1:34" s="536" customFormat="1" ht="12" x14ac:dyDescent="0.2">
      <c r="A137" s="605"/>
      <c r="B137" s="552" t="s">
        <v>187</v>
      </c>
      <c r="C137" s="1822" t="s">
        <v>345</v>
      </c>
      <c r="D137" s="1822"/>
      <c r="E137" s="1822"/>
      <c r="F137" s="562"/>
      <c r="G137" s="562"/>
      <c r="H137" s="562"/>
      <c r="I137" s="562"/>
      <c r="J137" s="604">
        <v>0.81</v>
      </c>
      <c r="K137" s="562" t="s">
        <v>313</v>
      </c>
      <c r="L137" s="604">
        <v>0.2</v>
      </c>
      <c r="M137" s="603"/>
      <c r="N137" s="602"/>
      <c r="V137" s="674"/>
      <c r="W137" s="675"/>
      <c r="Z137" s="537" t="s">
        <v>345</v>
      </c>
      <c r="AC137" s="675"/>
      <c r="AD137" s="675"/>
      <c r="AE137" s="675"/>
      <c r="AG137" s="675"/>
    </row>
    <row r="138" spans="1:34" s="536" customFormat="1" ht="12" x14ac:dyDescent="0.2">
      <c r="A138" s="605"/>
      <c r="B138" s="552" t="s">
        <v>188</v>
      </c>
      <c r="C138" s="1822" t="s">
        <v>475</v>
      </c>
      <c r="D138" s="1822"/>
      <c r="E138" s="1822"/>
      <c r="F138" s="562"/>
      <c r="G138" s="562"/>
      <c r="H138" s="562"/>
      <c r="I138" s="562"/>
      <c r="J138" s="604">
        <v>0.37</v>
      </c>
      <c r="K138" s="562"/>
      <c r="L138" s="604">
        <v>7.0000000000000007E-2</v>
      </c>
      <c r="M138" s="603"/>
      <c r="N138" s="602"/>
      <c r="V138" s="674"/>
      <c r="W138" s="675"/>
      <c r="Z138" s="537" t="s">
        <v>475</v>
      </c>
      <c r="AC138" s="675"/>
      <c r="AD138" s="675"/>
      <c r="AE138" s="675"/>
      <c r="AG138" s="675"/>
    </row>
    <row r="139" spans="1:34" s="536" customFormat="1" ht="12" x14ac:dyDescent="0.2">
      <c r="A139" s="676"/>
      <c r="B139" s="677" t="s">
        <v>1563</v>
      </c>
      <c r="C139" s="1829" t="s">
        <v>4088</v>
      </c>
      <c r="D139" s="1829"/>
      <c r="E139" s="1829"/>
      <c r="F139" s="678" t="s">
        <v>641</v>
      </c>
      <c r="G139" s="678" t="s">
        <v>5380</v>
      </c>
      <c r="H139" s="678"/>
      <c r="I139" s="678" t="s">
        <v>3362</v>
      </c>
      <c r="J139" s="552"/>
      <c r="K139" s="562"/>
      <c r="L139" s="604"/>
      <c r="M139" s="562"/>
      <c r="N139" s="679"/>
      <c r="V139" s="674"/>
      <c r="W139" s="675"/>
      <c r="AC139" s="675"/>
      <c r="AD139" s="675"/>
      <c r="AE139" s="675"/>
      <c r="AG139" s="675"/>
      <c r="AH139" s="680" t="s">
        <v>4088</v>
      </c>
    </row>
    <row r="140" spans="1:34" s="536" customFormat="1" ht="12" x14ac:dyDescent="0.2">
      <c r="A140" s="605"/>
      <c r="B140" s="552"/>
      <c r="C140" s="1822" t="s">
        <v>314</v>
      </c>
      <c r="D140" s="1822"/>
      <c r="E140" s="1822"/>
      <c r="F140" s="562" t="s">
        <v>315</v>
      </c>
      <c r="G140" s="562" t="s">
        <v>330</v>
      </c>
      <c r="H140" s="562" t="s">
        <v>313</v>
      </c>
      <c r="I140" s="562" t="s">
        <v>4025</v>
      </c>
      <c r="J140" s="604"/>
      <c r="K140" s="562"/>
      <c r="L140" s="604"/>
      <c r="M140" s="603"/>
      <c r="N140" s="602"/>
      <c r="V140" s="674"/>
      <c r="W140" s="675"/>
      <c r="AA140" s="537" t="s">
        <v>314</v>
      </c>
      <c r="AC140" s="675"/>
      <c r="AD140" s="675"/>
      <c r="AE140" s="675"/>
      <c r="AG140" s="675"/>
      <c r="AH140" s="680"/>
    </row>
    <row r="141" spans="1:34" s="536" customFormat="1" ht="12" x14ac:dyDescent="0.2">
      <c r="A141" s="605"/>
      <c r="B141" s="552"/>
      <c r="C141" s="1822" t="s">
        <v>348</v>
      </c>
      <c r="D141" s="1822"/>
      <c r="E141" s="1822"/>
      <c r="F141" s="562" t="s">
        <v>315</v>
      </c>
      <c r="G141" s="562" t="s">
        <v>3171</v>
      </c>
      <c r="H141" s="562" t="s">
        <v>313</v>
      </c>
      <c r="I141" s="562" t="s">
        <v>1684</v>
      </c>
      <c r="J141" s="604"/>
      <c r="K141" s="562"/>
      <c r="L141" s="604"/>
      <c r="M141" s="603"/>
      <c r="N141" s="602"/>
      <c r="V141" s="674"/>
      <c r="W141" s="675"/>
      <c r="AA141" s="537" t="s">
        <v>348</v>
      </c>
      <c r="AC141" s="675"/>
      <c r="AD141" s="675"/>
      <c r="AE141" s="675"/>
      <c r="AG141" s="675"/>
      <c r="AH141" s="680"/>
    </row>
    <row r="142" spans="1:34" s="536" customFormat="1" ht="12" x14ac:dyDescent="0.2">
      <c r="A142" s="605"/>
      <c r="B142" s="552"/>
      <c r="C142" s="1828" t="s">
        <v>318</v>
      </c>
      <c r="D142" s="1828"/>
      <c r="E142" s="1828"/>
      <c r="F142" s="608"/>
      <c r="G142" s="608"/>
      <c r="H142" s="608"/>
      <c r="I142" s="608"/>
      <c r="J142" s="607">
        <v>15.41</v>
      </c>
      <c r="K142" s="608"/>
      <c r="L142" s="607">
        <v>3.83</v>
      </c>
      <c r="M142" s="601"/>
      <c r="N142" s="606"/>
      <c r="V142" s="674"/>
      <c r="W142" s="675"/>
      <c r="AB142" s="537" t="s">
        <v>318</v>
      </c>
      <c r="AC142" s="675"/>
      <c r="AD142" s="675"/>
      <c r="AE142" s="675"/>
      <c r="AG142" s="675"/>
      <c r="AH142" s="680"/>
    </row>
    <row r="143" spans="1:34" s="536" customFormat="1" ht="12" x14ac:dyDescent="0.2">
      <c r="A143" s="605"/>
      <c r="B143" s="552"/>
      <c r="C143" s="1822" t="s">
        <v>319</v>
      </c>
      <c r="D143" s="1822"/>
      <c r="E143" s="1822"/>
      <c r="F143" s="562"/>
      <c r="G143" s="562"/>
      <c r="H143" s="562"/>
      <c r="I143" s="562"/>
      <c r="J143" s="604"/>
      <c r="K143" s="562"/>
      <c r="L143" s="604">
        <v>1.89</v>
      </c>
      <c r="M143" s="603"/>
      <c r="N143" s="602"/>
      <c r="V143" s="674"/>
      <c r="W143" s="675"/>
      <c r="AA143" s="537" t="s">
        <v>319</v>
      </c>
      <c r="AC143" s="675"/>
      <c r="AD143" s="675"/>
      <c r="AE143" s="675"/>
      <c r="AG143" s="675"/>
      <c r="AH143" s="680"/>
    </row>
    <row r="144" spans="1:34" s="536" customFormat="1" ht="33.75" x14ac:dyDescent="0.2">
      <c r="A144" s="605"/>
      <c r="B144" s="552" t="s">
        <v>2032</v>
      </c>
      <c r="C144" s="1822" t="s">
        <v>2033</v>
      </c>
      <c r="D144" s="1822"/>
      <c r="E144" s="1822"/>
      <c r="F144" s="562" t="s">
        <v>322</v>
      </c>
      <c r="G144" s="562" t="s">
        <v>2034</v>
      </c>
      <c r="H144" s="562"/>
      <c r="I144" s="562" t="s">
        <v>2034</v>
      </c>
      <c r="J144" s="604"/>
      <c r="K144" s="562"/>
      <c r="L144" s="604">
        <v>2.08</v>
      </c>
      <c r="M144" s="603"/>
      <c r="N144" s="602"/>
      <c r="V144" s="674"/>
      <c r="W144" s="675"/>
      <c r="AA144" s="537" t="s">
        <v>2033</v>
      </c>
      <c r="AC144" s="675"/>
      <c r="AD144" s="675"/>
      <c r="AE144" s="675"/>
      <c r="AG144" s="675"/>
      <c r="AH144" s="680"/>
    </row>
    <row r="145" spans="1:34" s="536" customFormat="1" ht="33.75" x14ac:dyDescent="0.2">
      <c r="A145" s="605"/>
      <c r="B145" s="552" t="s">
        <v>2035</v>
      </c>
      <c r="C145" s="1822" t="s">
        <v>2036</v>
      </c>
      <c r="D145" s="1822"/>
      <c r="E145" s="1822"/>
      <c r="F145" s="562" t="s">
        <v>322</v>
      </c>
      <c r="G145" s="562" t="s">
        <v>2037</v>
      </c>
      <c r="H145" s="562"/>
      <c r="I145" s="562" t="s">
        <v>2037</v>
      </c>
      <c r="J145" s="604"/>
      <c r="K145" s="562"/>
      <c r="L145" s="604">
        <v>1.3</v>
      </c>
      <c r="M145" s="603"/>
      <c r="N145" s="602"/>
      <c r="V145" s="674"/>
      <c r="W145" s="675"/>
      <c r="AA145" s="537" t="s">
        <v>2036</v>
      </c>
      <c r="AC145" s="675"/>
      <c r="AD145" s="675"/>
      <c r="AE145" s="675"/>
      <c r="AG145" s="675"/>
      <c r="AH145" s="680"/>
    </row>
    <row r="146" spans="1:34" s="536" customFormat="1" ht="12" x14ac:dyDescent="0.2">
      <c r="A146" s="569"/>
      <c r="B146" s="671"/>
      <c r="C146" s="1823" t="s">
        <v>327</v>
      </c>
      <c r="D146" s="1823"/>
      <c r="E146" s="1823"/>
      <c r="F146" s="573"/>
      <c r="G146" s="573"/>
      <c r="H146" s="573"/>
      <c r="I146" s="573"/>
      <c r="J146" s="572"/>
      <c r="K146" s="573"/>
      <c r="L146" s="572">
        <v>7.21</v>
      </c>
      <c r="M146" s="601"/>
      <c r="N146" s="570"/>
      <c r="V146" s="674"/>
      <c r="W146" s="675"/>
      <c r="AC146" s="675" t="s">
        <v>327</v>
      </c>
      <c r="AD146" s="675"/>
      <c r="AE146" s="675"/>
      <c r="AG146" s="675"/>
      <c r="AH146" s="680"/>
    </row>
    <row r="147" spans="1:34" s="536" customFormat="1" ht="22.5" x14ac:dyDescent="0.2">
      <c r="A147" s="575" t="s">
        <v>194</v>
      </c>
      <c r="B147" s="670" t="s">
        <v>7011</v>
      </c>
      <c r="C147" s="1823" t="s">
        <v>7012</v>
      </c>
      <c r="D147" s="1823"/>
      <c r="E147" s="1823"/>
      <c r="F147" s="573" t="s">
        <v>641</v>
      </c>
      <c r="G147" s="573"/>
      <c r="H147" s="573"/>
      <c r="I147" s="573" t="s">
        <v>3362</v>
      </c>
      <c r="J147" s="572">
        <v>87.99</v>
      </c>
      <c r="K147" s="573"/>
      <c r="L147" s="572">
        <v>20.239999999999998</v>
      </c>
      <c r="M147" s="571"/>
      <c r="N147" s="570"/>
      <c r="V147" s="674"/>
      <c r="W147" s="675" t="s">
        <v>7012</v>
      </c>
      <c r="AC147" s="675"/>
      <c r="AD147" s="675"/>
      <c r="AE147" s="675"/>
      <c r="AG147" s="675"/>
      <c r="AH147" s="680"/>
    </row>
    <row r="148" spans="1:34" s="536" customFormat="1" ht="12" x14ac:dyDescent="0.2">
      <c r="A148" s="569"/>
      <c r="B148" s="671"/>
      <c r="C148" s="665" t="s">
        <v>717</v>
      </c>
      <c r="D148" s="666"/>
      <c r="E148" s="666"/>
      <c r="F148" s="563"/>
      <c r="G148" s="563"/>
      <c r="H148" s="563"/>
      <c r="I148" s="563"/>
      <c r="J148" s="566"/>
      <c r="K148" s="563"/>
      <c r="L148" s="566"/>
      <c r="M148" s="565"/>
      <c r="N148" s="564"/>
      <c r="V148" s="674"/>
      <c r="W148" s="675"/>
      <c r="AC148" s="675"/>
      <c r="AD148" s="675"/>
      <c r="AE148" s="675"/>
      <c r="AG148" s="675"/>
      <c r="AH148" s="680"/>
    </row>
    <row r="149" spans="1:34" s="536" customFormat="1" ht="12" x14ac:dyDescent="0.2">
      <c r="A149" s="676"/>
      <c r="B149" s="664"/>
      <c r="C149" s="1822" t="s">
        <v>7013</v>
      </c>
      <c r="D149" s="1822"/>
      <c r="E149" s="1822"/>
      <c r="F149" s="1822"/>
      <c r="G149" s="1822"/>
      <c r="H149" s="1822"/>
      <c r="I149" s="1822"/>
      <c r="J149" s="1822"/>
      <c r="K149" s="1822"/>
      <c r="L149" s="1822"/>
      <c r="M149" s="1822"/>
      <c r="N149" s="1827"/>
      <c r="V149" s="674"/>
      <c r="W149" s="675"/>
      <c r="X149" s="537" t="s">
        <v>7013</v>
      </c>
      <c r="AC149" s="675"/>
      <c r="AD149" s="675"/>
      <c r="AE149" s="675"/>
      <c r="AG149" s="675"/>
      <c r="AH149" s="680"/>
    </row>
    <row r="150" spans="1:34" s="536" customFormat="1" ht="12" x14ac:dyDescent="0.2">
      <c r="A150" s="575" t="s">
        <v>195</v>
      </c>
      <c r="B150" s="670" t="s">
        <v>1368</v>
      </c>
      <c r="C150" s="1823" t="s">
        <v>1369</v>
      </c>
      <c r="D150" s="1823"/>
      <c r="E150" s="1823"/>
      <c r="F150" s="573" t="s">
        <v>509</v>
      </c>
      <c r="G150" s="573"/>
      <c r="H150" s="573"/>
      <c r="I150" s="573" t="s">
        <v>3118</v>
      </c>
      <c r="J150" s="572"/>
      <c r="K150" s="573"/>
      <c r="L150" s="572"/>
      <c r="M150" s="571"/>
      <c r="N150" s="570"/>
      <c r="V150" s="674"/>
      <c r="W150" s="675" t="s">
        <v>1369</v>
      </c>
      <c r="AC150" s="675"/>
      <c r="AD150" s="675"/>
      <c r="AE150" s="675"/>
      <c r="AG150" s="675"/>
      <c r="AH150" s="680"/>
    </row>
    <row r="151" spans="1:34" s="536" customFormat="1" ht="12" x14ac:dyDescent="0.2">
      <c r="A151" s="676"/>
      <c r="B151" s="664"/>
      <c r="C151" s="1822" t="s">
        <v>7014</v>
      </c>
      <c r="D151" s="1822"/>
      <c r="E151" s="1822"/>
      <c r="F151" s="1822"/>
      <c r="G151" s="1822"/>
      <c r="H151" s="1822"/>
      <c r="I151" s="1822"/>
      <c r="J151" s="1822"/>
      <c r="K151" s="1822"/>
      <c r="L151" s="1822"/>
      <c r="M151" s="1822"/>
      <c r="N151" s="1827"/>
      <c r="V151" s="674"/>
      <c r="W151" s="675"/>
      <c r="X151" s="537" t="s">
        <v>7014</v>
      </c>
      <c r="AC151" s="675"/>
      <c r="AD151" s="675"/>
      <c r="AE151" s="675"/>
      <c r="AG151" s="675"/>
      <c r="AH151" s="680"/>
    </row>
    <row r="152" spans="1:34" s="536" customFormat="1" ht="33.75" x14ac:dyDescent="0.2">
      <c r="A152" s="609"/>
      <c r="B152" s="552" t="s">
        <v>310</v>
      </c>
      <c r="C152" s="1822" t="s">
        <v>311</v>
      </c>
      <c r="D152" s="1822"/>
      <c r="E152" s="1822"/>
      <c r="F152" s="1822"/>
      <c r="G152" s="1822"/>
      <c r="H152" s="1822"/>
      <c r="I152" s="1822"/>
      <c r="J152" s="1822"/>
      <c r="K152" s="1822"/>
      <c r="L152" s="1822"/>
      <c r="M152" s="1822"/>
      <c r="N152" s="1827"/>
      <c r="V152" s="674"/>
      <c r="W152" s="675"/>
      <c r="Y152" s="537" t="s">
        <v>311</v>
      </c>
      <c r="AC152" s="675"/>
      <c r="AD152" s="675"/>
      <c r="AE152" s="675"/>
      <c r="AG152" s="675"/>
      <c r="AH152" s="680"/>
    </row>
    <row r="153" spans="1:34" s="536" customFormat="1" ht="12" x14ac:dyDescent="0.2">
      <c r="A153" s="605"/>
      <c r="B153" s="552" t="s">
        <v>185</v>
      </c>
      <c r="C153" s="1822" t="s">
        <v>312</v>
      </c>
      <c r="D153" s="1822"/>
      <c r="E153" s="1822"/>
      <c r="F153" s="562"/>
      <c r="G153" s="562"/>
      <c r="H153" s="562"/>
      <c r="I153" s="562"/>
      <c r="J153" s="604">
        <v>1053</v>
      </c>
      <c r="K153" s="562" t="s">
        <v>313</v>
      </c>
      <c r="L153" s="604">
        <v>22.38</v>
      </c>
      <c r="M153" s="603"/>
      <c r="N153" s="602"/>
      <c r="V153" s="674"/>
      <c r="W153" s="675"/>
      <c r="Z153" s="537" t="s">
        <v>312</v>
      </c>
      <c r="AC153" s="675"/>
      <c r="AD153" s="675"/>
      <c r="AE153" s="675"/>
      <c r="AG153" s="675"/>
      <c r="AH153" s="680"/>
    </row>
    <row r="154" spans="1:34" s="536" customFormat="1" ht="12" x14ac:dyDescent="0.2">
      <c r="A154" s="605"/>
      <c r="B154" s="552" t="s">
        <v>186</v>
      </c>
      <c r="C154" s="1822" t="s">
        <v>344</v>
      </c>
      <c r="D154" s="1822"/>
      <c r="E154" s="1822"/>
      <c r="F154" s="562"/>
      <c r="G154" s="562"/>
      <c r="H154" s="562"/>
      <c r="I154" s="562"/>
      <c r="J154" s="604">
        <v>1566.06</v>
      </c>
      <c r="K154" s="562" t="s">
        <v>313</v>
      </c>
      <c r="L154" s="604">
        <v>33.28</v>
      </c>
      <c r="M154" s="603"/>
      <c r="N154" s="602"/>
      <c r="V154" s="674"/>
      <c r="W154" s="675"/>
      <c r="Z154" s="537" t="s">
        <v>344</v>
      </c>
      <c r="AC154" s="675"/>
      <c r="AD154" s="675"/>
      <c r="AE154" s="675"/>
      <c r="AG154" s="675"/>
      <c r="AH154" s="680"/>
    </row>
    <row r="155" spans="1:34" s="536" customFormat="1" ht="12" x14ac:dyDescent="0.2">
      <c r="A155" s="605"/>
      <c r="B155" s="552" t="s">
        <v>187</v>
      </c>
      <c r="C155" s="1822" t="s">
        <v>345</v>
      </c>
      <c r="D155" s="1822"/>
      <c r="E155" s="1822"/>
      <c r="F155" s="562"/>
      <c r="G155" s="562"/>
      <c r="H155" s="562"/>
      <c r="I155" s="562"/>
      <c r="J155" s="604">
        <v>244.39</v>
      </c>
      <c r="K155" s="562" t="s">
        <v>313</v>
      </c>
      <c r="L155" s="604">
        <v>5.19</v>
      </c>
      <c r="M155" s="603"/>
      <c r="N155" s="602"/>
      <c r="V155" s="674"/>
      <c r="W155" s="675"/>
      <c r="Z155" s="537" t="s">
        <v>345</v>
      </c>
      <c r="AC155" s="675"/>
      <c r="AD155" s="675"/>
      <c r="AE155" s="675"/>
      <c r="AG155" s="675"/>
      <c r="AH155" s="680"/>
    </row>
    <row r="156" spans="1:34" s="536" customFormat="1" ht="12" x14ac:dyDescent="0.2">
      <c r="A156" s="605"/>
      <c r="B156" s="552" t="s">
        <v>188</v>
      </c>
      <c r="C156" s="1822" t="s">
        <v>475</v>
      </c>
      <c r="D156" s="1822"/>
      <c r="E156" s="1822"/>
      <c r="F156" s="562"/>
      <c r="G156" s="562"/>
      <c r="H156" s="562"/>
      <c r="I156" s="562"/>
      <c r="J156" s="604">
        <v>909.27</v>
      </c>
      <c r="K156" s="562"/>
      <c r="L156" s="604">
        <v>15.46</v>
      </c>
      <c r="M156" s="603"/>
      <c r="N156" s="602"/>
      <c r="V156" s="674"/>
      <c r="W156" s="675"/>
      <c r="Z156" s="537" t="s">
        <v>475</v>
      </c>
      <c r="AC156" s="675"/>
      <c r="AD156" s="675"/>
      <c r="AE156" s="675"/>
      <c r="AG156" s="675"/>
      <c r="AH156" s="680"/>
    </row>
    <row r="157" spans="1:34" s="536" customFormat="1" ht="12" x14ac:dyDescent="0.2">
      <c r="A157" s="676"/>
      <c r="B157" s="677" t="s">
        <v>639</v>
      </c>
      <c r="C157" s="1829" t="s">
        <v>640</v>
      </c>
      <c r="D157" s="1829"/>
      <c r="E157" s="1829"/>
      <c r="F157" s="678" t="s">
        <v>641</v>
      </c>
      <c r="G157" s="678" t="s">
        <v>680</v>
      </c>
      <c r="H157" s="678"/>
      <c r="I157" s="678" t="s">
        <v>7015</v>
      </c>
      <c r="J157" s="552"/>
      <c r="K157" s="562"/>
      <c r="L157" s="604"/>
      <c r="M157" s="562"/>
      <c r="N157" s="679"/>
      <c r="V157" s="674"/>
      <c r="W157" s="675"/>
      <c r="AC157" s="675"/>
      <c r="AD157" s="675"/>
      <c r="AE157" s="675"/>
      <c r="AG157" s="675"/>
      <c r="AH157" s="680" t="s">
        <v>640</v>
      </c>
    </row>
    <row r="158" spans="1:34" s="536" customFormat="1" ht="12" x14ac:dyDescent="0.2">
      <c r="A158" s="605"/>
      <c r="B158" s="552"/>
      <c r="C158" s="1822" t="s">
        <v>314</v>
      </c>
      <c r="D158" s="1822"/>
      <c r="E158" s="1822"/>
      <c r="F158" s="562" t="s">
        <v>315</v>
      </c>
      <c r="G158" s="562" t="s">
        <v>1373</v>
      </c>
      <c r="H158" s="562" t="s">
        <v>313</v>
      </c>
      <c r="I158" s="562" t="s">
        <v>7016</v>
      </c>
      <c r="J158" s="604"/>
      <c r="K158" s="562"/>
      <c r="L158" s="604"/>
      <c r="M158" s="603"/>
      <c r="N158" s="602"/>
      <c r="V158" s="674"/>
      <c r="W158" s="675"/>
      <c r="AA158" s="537" t="s">
        <v>314</v>
      </c>
      <c r="AC158" s="675"/>
      <c r="AD158" s="675"/>
      <c r="AE158" s="675"/>
      <c r="AG158" s="675"/>
      <c r="AH158" s="680"/>
    </row>
    <row r="159" spans="1:34" s="536" customFormat="1" ht="12" x14ac:dyDescent="0.2">
      <c r="A159" s="605"/>
      <c r="B159" s="552"/>
      <c r="C159" s="1822" t="s">
        <v>348</v>
      </c>
      <c r="D159" s="1822"/>
      <c r="E159" s="1822"/>
      <c r="F159" s="562" t="s">
        <v>315</v>
      </c>
      <c r="G159" s="562" t="s">
        <v>1375</v>
      </c>
      <c r="H159" s="562" t="s">
        <v>313</v>
      </c>
      <c r="I159" s="562" t="s">
        <v>7017</v>
      </c>
      <c r="J159" s="604"/>
      <c r="K159" s="562"/>
      <c r="L159" s="604"/>
      <c r="M159" s="603"/>
      <c r="N159" s="602"/>
      <c r="V159" s="674"/>
      <c r="W159" s="675"/>
      <c r="AA159" s="537" t="s">
        <v>348</v>
      </c>
      <c r="AC159" s="675"/>
      <c r="AD159" s="675"/>
      <c r="AE159" s="675"/>
      <c r="AG159" s="675"/>
      <c r="AH159" s="680"/>
    </row>
    <row r="160" spans="1:34" s="536" customFormat="1" ht="12" x14ac:dyDescent="0.2">
      <c r="A160" s="605"/>
      <c r="B160" s="552"/>
      <c r="C160" s="1828" t="s">
        <v>318</v>
      </c>
      <c r="D160" s="1828"/>
      <c r="E160" s="1828"/>
      <c r="F160" s="608"/>
      <c r="G160" s="608"/>
      <c r="H160" s="608"/>
      <c r="I160" s="608"/>
      <c r="J160" s="607">
        <v>3528.33</v>
      </c>
      <c r="K160" s="608"/>
      <c r="L160" s="607">
        <v>71.12</v>
      </c>
      <c r="M160" s="601"/>
      <c r="N160" s="606"/>
      <c r="V160" s="674"/>
      <c r="W160" s="675"/>
      <c r="AB160" s="537" t="s">
        <v>318</v>
      </c>
      <c r="AC160" s="675"/>
      <c r="AD160" s="675"/>
      <c r="AE160" s="675"/>
      <c r="AG160" s="675"/>
      <c r="AH160" s="680"/>
    </row>
    <row r="161" spans="1:34" s="536" customFormat="1" ht="12" x14ac:dyDescent="0.2">
      <c r="A161" s="605"/>
      <c r="B161" s="552"/>
      <c r="C161" s="1822" t="s">
        <v>319</v>
      </c>
      <c r="D161" s="1822"/>
      <c r="E161" s="1822"/>
      <c r="F161" s="562"/>
      <c r="G161" s="562"/>
      <c r="H161" s="562"/>
      <c r="I161" s="562"/>
      <c r="J161" s="604"/>
      <c r="K161" s="562"/>
      <c r="L161" s="604">
        <v>27.57</v>
      </c>
      <c r="M161" s="603"/>
      <c r="N161" s="602"/>
      <c r="V161" s="674"/>
      <c r="W161" s="675"/>
      <c r="AA161" s="537" t="s">
        <v>319</v>
      </c>
      <c r="AC161" s="675"/>
      <c r="AD161" s="675"/>
      <c r="AE161" s="675"/>
      <c r="AG161" s="675"/>
      <c r="AH161" s="680"/>
    </row>
    <row r="162" spans="1:34" s="536" customFormat="1" ht="33.75" x14ac:dyDescent="0.2">
      <c r="A162" s="605"/>
      <c r="B162" s="552" t="s">
        <v>686</v>
      </c>
      <c r="C162" s="1822" t="s">
        <v>687</v>
      </c>
      <c r="D162" s="1822"/>
      <c r="E162" s="1822"/>
      <c r="F162" s="562" t="s">
        <v>322</v>
      </c>
      <c r="G162" s="562" t="s">
        <v>680</v>
      </c>
      <c r="H162" s="562"/>
      <c r="I162" s="562" t="s">
        <v>680</v>
      </c>
      <c r="J162" s="604"/>
      <c r="K162" s="562"/>
      <c r="L162" s="604">
        <v>28.12</v>
      </c>
      <c r="M162" s="603"/>
      <c r="N162" s="602"/>
      <c r="V162" s="674"/>
      <c r="W162" s="675"/>
      <c r="AA162" s="537" t="s">
        <v>687</v>
      </c>
      <c r="AC162" s="675"/>
      <c r="AD162" s="675"/>
      <c r="AE162" s="675"/>
      <c r="AG162" s="675"/>
      <c r="AH162" s="680"/>
    </row>
    <row r="163" spans="1:34" s="536" customFormat="1" ht="33.75" x14ac:dyDescent="0.2">
      <c r="A163" s="605"/>
      <c r="B163" s="552" t="s">
        <v>688</v>
      </c>
      <c r="C163" s="1822" t="s">
        <v>689</v>
      </c>
      <c r="D163" s="1822"/>
      <c r="E163" s="1822"/>
      <c r="F163" s="562" t="s">
        <v>322</v>
      </c>
      <c r="G163" s="562" t="s">
        <v>690</v>
      </c>
      <c r="H163" s="562"/>
      <c r="I163" s="562" t="s">
        <v>690</v>
      </c>
      <c r="J163" s="604"/>
      <c r="K163" s="562"/>
      <c r="L163" s="604">
        <v>15.99</v>
      </c>
      <c r="M163" s="603"/>
      <c r="N163" s="602"/>
      <c r="V163" s="674"/>
      <c r="W163" s="675"/>
      <c r="AA163" s="537" t="s">
        <v>689</v>
      </c>
      <c r="AC163" s="675"/>
      <c r="AD163" s="675"/>
      <c r="AE163" s="675"/>
      <c r="AG163" s="675"/>
      <c r="AH163" s="680"/>
    </row>
    <row r="164" spans="1:34" s="536" customFormat="1" ht="12" x14ac:dyDescent="0.2">
      <c r="A164" s="569"/>
      <c r="B164" s="671"/>
      <c r="C164" s="1823" t="s">
        <v>327</v>
      </c>
      <c r="D164" s="1823"/>
      <c r="E164" s="1823"/>
      <c r="F164" s="573"/>
      <c r="G164" s="573"/>
      <c r="H164" s="573"/>
      <c r="I164" s="573"/>
      <c r="J164" s="572"/>
      <c r="K164" s="573"/>
      <c r="L164" s="572">
        <v>115.23</v>
      </c>
      <c r="M164" s="601"/>
      <c r="N164" s="570"/>
      <c r="V164" s="674"/>
      <c r="W164" s="675"/>
      <c r="AC164" s="675" t="s">
        <v>327</v>
      </c>
      <c r="AD164" s="675"/>
      <c r="AE164" s="675"/>
      <c r="AG164" s="675"/>
      <c r="AH164" s="680"/>
    </row>
    <row r="165" spans="1:34" s="536" customFormat="1" ht="22.5" x14ac:dyDescent="0.2">
      <c r="A165" s="575" t="s">
        <v>196</v>
      </c>
      <c r="B165" s="670" t="s">
        <v>1392</v>
      </c>
      <c r="C165" s="1823" t="s">
        <v>1393</v>
      </c>
      <c r="D165" s="1823"/>
      <c r="E165" s="1823"/>
      <c r="F165" s="573" t="s">
        <v>641</v>
      </c>
      <c r="G165" s="573"/>
      <c r="H165" s="573"/>
      <c r="I165" s="573" t="s">
        <v>7015</v>
      </c>
      <c r="J165" s="572">
        <v>725.69</v>
      </c>
      <c r="K165" s="573"/>
      <c r="L165" s="572">
        <v>1258.3499999999999</v>
      </c>
      <c r="M165" s="571"/>
      <c r="N165" s="570"/>
      <c r="V165" s="674"/>
      <c r="W165" s="675" t="s">
        <v>1393</v>
      </c>
      <c r="AC165" s="675"/>
      <c r="AD165" s="675"/>
      <c r="AE165" s="675"/>
      <c r="AG165" s="675"/>
      <c r="AH165" s="680"/>
    </row>
    <row r="166" spans="1:34" s="536" customFormat="1" ht="12" x14ac:dyDescent="0.2">
      <c r="A166" s="569"/>
      <c r="B166" s="671"/>
      <c r="C166" s="665" t="s">
        <v>717</v>
      </c>
      <c r="D166" s="666"/>
      <c r="E166" s="666"/>
      <c r="F166" s="563"/>
      <c r="G166" s="563"/>
      <c r="H166" s="563"/>
      <c r="I166" s="563"/>
      <c r="J166" s="566"/>
      <c r="K166" s="563"/>
      <c r="L166" s="566"/>
      <c r="M166" s="565"/>
      <c r="N166" s="564"/>
      <c r="V166" s="674"/>
      <c r="W166" s="675"/>
      <c r="AC166" s="675"/>
      <c r="AD166" s="675"/>
      <c r="AE166" s="675"/>
      <c r="AG166" s="675"/>
      <c r="AH166" s="680"/>
    </row>
    <row r="167" spans="1:34" s="536" customFormat="1" ht="1.5" customHeight="1" x14ac:dyDescent="0.2">
      <c r="A167" s="563"/>
      <c r="B167" s="671"/>
      <c r="C167" s="671"/>
      <c r="D167" s="671"/>
      <c r="E167" s="671"/>
      <c r="F167" s="563"/>
      <c r="G167" s="563"/>
      <c r="H167" s="563"/>
      <c r="I167" s="563"/>
      <c r="J167" s="546"/>
      <c r="K167" s="563"/>
      <c r="L167" s="546"/>
      <c r="M167" s="562"/>
      <c r="N167" s="546"/>
      <c r="V167" s="674"/>
      <c r="W167" s="675"/>
      <c r="AC167" s="675"/>
      <c r="AD167" s="675"/>
      <c r="AE167" s="675"/>
      <c r="AG167" s="675"/>
      <c r="AH167" s="680"/>
    </row>
    <row r="168" spans="1:34" s="536" customFormat="1" ht="12" x14ac:dyDescent="0.2">
      <c r="A168" s="557"/>
      <c r="B168" s="556"/>
      <c r="C168" s="1823" t="s">
        <v>7018</v>
      </c>
      <c r="D168" s="1823"/>
      <c r="E168" s="1823"/>
      <c r="F168" s="1823"/>
      <c r="G168" s="1823"/>
      <c r="H168" s="1823"/>
      <c r="I168" s="1823"/>
      <c r="J168" s="1823"/>
      <c r="K168" s="1823"/>
      <c r="L168" s="555"/>
      <c r="M168" s="554"/>
      <c r="N168" s="553"/>
      <c r="V168" s="674"/>
      <c r="W168" s="675"/>
      <c r="AC168" s="675"/>
      <c r="AD168" s="675"/>
      <c r="AE168" s="675" t="s">
        <v>7018</v>
      </c>
      <c r="AG168" s="675"/>
      <c r="AH168" s="680"/>
    </row>
    <row r="169" spans="1:34" s="536" customFormat="1" ht="12" x14ac:dyDescent="0.2">
      <c r="A169" s="548"/>
      <c r="B169" s="552"/>
      <c r="C169" s="1822" t="s">
        <v>403</v>
      </c>
      <c r="D169" s="1822"/>
      <c r="E169" s="1822"/>
      <c r="F169" s="1822"/>
      <c r="G169" s="1822"/>
      <c r="H169" s="1822"/>
      <c r="I169" s="1822"/>
      <c r="J169" s="1822"/>
      <c r="K169" s="1822"/>
      <c r="L169" s="551">
        <v>1353.54</v>
      </c>
      <c r="M169" s="550"/>
      <c r="N169" s="549"/>
      <c r="V169" s="674"/>
      <c r="W169" s="675"/>
      <c r="AC169" s="675"/>
      <c r="AD169" s="675"/>
      <c r="AE169" s="675"/>
      <c r="AF169" s="537" t="s">
        <v>403</v>
      </c>
      <c r="AG169" s="675"/>
      <c r="AH169" s="680"/>
    </row>
    <row r="170" spans="1:34" s="536" customFormat="1" ht="12" x14ac:dyDescent="0.2">
      <c r="A170" s="548"/>
      <c r="B170" s="552"/>
      <c r="C170" s="1822" t="s">
        <v>204</v>
      </c>
      <c r="D170" s="1822"/>
      <c r="E170" s="1822"/>
      <c r="F170" s="1822"/>
      <c r="G170" s="1822"/>
      <c r="H170" s="1822"/>
      <c r="I170" s="1822"/>
      <c r="J170" s="1822"/>
      <c r="K170" s="1822"/>
      <c r="L170" s="551"/>
      <c r="M170" s="550"/>
      <c r="N170" s="549"/>
      <c r="V170" s="674"/>
      <c r="W170" s="675"/>
      <c r="AC170" s="675"/>
      <c r="AD170" s="675"/>
      <c r="AE170" s="675"/>
      <c r="AF170" s="537" t="s">
        <v>204</v>
      </c>
      <c r="AG170" s="675"/>
      <c r="AH170" s="680"/>
    </row>
    <row r="171" spans="1:34" s="536" customFormat="1" ht="12" x14ac:dyDescent="0.2">
      <c r="A171" s="548"/>
      <c r="B171" s="552"/>
      <c r="C171" s="1822" t="s">
        <v>404</v>
      </c>
      <c r="D171" s="1822"/>
      <c r="E171" s="1822"/>
      <c r="F171" s="1822"/>
      <c r="G171" s="1822"/>
      <c r="H171" s="1822"/>
      <c r="I171" s="1822"/>
      <c r="J171" s="1822"/>
      <c r="K171" s="1822"/>
      <c r="L171" s="551">
        <v>24.07</v>
      </c>
      <c r="M171" s="550"/>
      <c r="N171" s="549"/>
      <c r="V171" s="674"/>
      <c r="W171" s="675"/>
      <c r="AC171" s="675"/>
      <c r="AD171" s="675"/>
      <c r="AE171" s="675"/>
      <c r="AF171" s="537" t="s">
        <v>404</v>
      </c>
      <c r="AG171" s="675"/>
      <c r="AH171" s="680"/>
    </row>
    <row r="172" spans="1:34" s="536" customFormat="1" ht="12" x14ac:dyDescent="0.2">
      <c r="A172" s="548"/>
      <c r="B172" s="552"/>
      <c r="C172" s="1822" t="s">
        <v>405</v>
      </c>
      <c r="D172" s="1822"/>
      <c r="E172" s="1822"/>
      <c r="F172" s="1822"/>
      <c r="G172" s="1822"/>
      <c r="H172" s="1822"/>
      <c r="I172" s="1822"/>
      <c r="J172" s="1822"/>
      <c r="K172" s="1822"/>
      <c r="L172" s="551">
        <v>35.35</v>
      </c>
      <c r="M172" s="550"/>
      <c r="N172" s="549"/>
      <c r="V172" s="674"/>
      <c r="W172" s="675"/>
      <c r="AC172" s="675"/>
      <c r="AD172" s="675"/>
      <c r="AE172" s="675"/>
      <c r="AF172" s="537" t="s">
        <v>405</v>
      </c>
      <c r="AG172" s="675"/>
      <c r="AH172" s="680"/>
    </row>
    <row r="173" spans="1:34" s="536" customFormat="1" ht="12" x14ac:dyDescent="0.2">
      <c r="A173" s="548"/>
      <c r="B173" s="552"/>
      <c r="C173" s="1822" t="s">
        <v>406</v>
      </c>
      <c r="D173" s="1822"/>
      <c r="E173" s="1822"/>
      <c r="F173" s="1822"/>
      <c r="G173" s="1822"/>
      <c r="H173" s="1822"/>
      <c r="I173" s="1822"/>
      <c r="J173" s="1822"/>
      <c r="K173" s="1822"/>
      <c r="L173" s="551">
        <v>5.39</v>
      </c>
      <c r="M173" s="550"/>
      <c r="N173" s="549"/>
      <c r="V173" s="674"/>
      <c r="W173" s="675"/>
      <c r="AC173" s="675"/>
      <c r="AD173" s="675"/>
      <c r="AE173" s="675"/>
      <c r="AF173" s="537" t="s">
        <v>406</v>
      </c>
      <c r="AG173" s="675"/>
      <c r="AH173" s="680"/>
    </row>
    <row r="174" spans="1:34" s="536" customFormat="1" ht="12" x14ac:dyDescent="0.2">
      <c r="A174" s="548"/>
      <c r="B174" s="552"/>
      <c r="C174" s="1822" t="s">
        <v>480</v>
      </c>
      <c r="D174" s="1822"/>
      <c r="E174" s="1822"/>
      <c r="F174" s="1822"/>
      <c r="G174" s="1822"/>
      <c r="H174" s="1822"/>
      <c r="I174" s="1822"/>
      <c r="J174" s="1822"/>
      <c r="K174" s="1822"/>
      <c r="L174" s="551">
        <v>1294.1199999999999</v>
      </c>
      <c r="M174" s="550"/>
      <c r="N174" s="549"/>
      <c r="V174" s="674"/>
      <c r="W174" s="675"/>
      <c r="AC174" s="675"/>
      <c r="AD174" s="675"/>
      <c r="AE174" s="675"/>
      <c r="AF174" s="537" t="s">
        <v>480</v>
      </c>
      <c r="AG174" s="675"/>
      <c r="AH174" s="680"/>
    </row>
    <row r="175" spans="1:34" s="536" customFormat="1" ht="12" x14ac:dyDescent="0.2">
      <c r="A175" s="548"/>
      <c r="B175" s="552"/>
      <c r="C175" s="1822" t="s">
        <v>407</v>
      </c>
      <c r="D175" s="1822"/>
      <c r="E175" s="1822"/>
      <c r="F175" s="1822"/>
      <c r="G175" s="1822"/>
      <c r="H175" s="1822"/>
      <c r="I175" s="1822"/>
      <c r="J175" s="1822"/>
      <c r="K175" s="1822"/>
      <c r="L175" s="551">
        <v>1401.03</v>
      </c>
      <c r="M175" s="550"/>
      <c r="N175" s="549"/>
      <c r="V175" s="674"/>
      <c r="W175" s="675"/>
      <c r="AC175" s="675"/>
      <c r="AD175" s="675"/>
      <c r="AE175" s="675"/>
      <c r="AF175" s="537" t="s">
        <v>407</v>
      </c>
      <c r="AG175" s="675"/>
      <c r="AH175" s="680"/>
    </row>
    <row r="176" spans="1:34" s="536" customFormat="1" ht="12" x14ac:dyDescent="0.2">
      <c r="A176" s="548"/>
      <c r="B176" s="552"/>
      <c r="C176" s="1822" t="s">
        <v>204</v>
      </c>
      <c r="D176" s="1822"/>
      <c r="E176" s="1822"/>
      <c r="F176" s="1822"/>
      <c r="G176" s="1822"/>
      <c r="H176" s="1822"/>
      <c r="I176" s="1822"/>
      <c r="J176" s="1822"/>
      <c r="K176" s="1822"/>
      <c r="L176" s="551"/>
      <c r="M176" s="550"/>
      <c r="N176" s="549"/>
      <c r="V176" s="674"/>
      <c r="W176" s="675"/>
      <c r="AC176" s="675"/>
      <c r="AD176" s="675"/>
      <c r="AE176" s="675"/>
      <c r="AF176" s="537" t="s">
        <v>204</v>
      </c>
      <c r="AG176" s="675"/>
      <c r="AH176" s="680"/>
    </row>
    <row r="177" spans="1:34" s="536" customFormat="1" ht="12" x14ac:dyDescent="0.2">
      <c r="A177" s="548"/>
      <c r="B177" s="552"/>
      <c r="C177" s="1822" t="s">
        <v>546</v>
      </c>
      <c r="D177" s="1822"/>
      <c r="E177" s="1822"/>
      <c r="F177" s="1822"/>
      <c r="G177" s="1822"/>
      <c r="H177" s="1822"/>
      <c r="I177" s="1822"/>
      <c r="J177" s="1822"/>
      <c r="K177" s="1822"/>
      <c r="L177" s="551">
        <v>24.07</v>
      </c>
      <c r="M177" s="550"/>
      <c r="N177" s="549"/>
      <c r="V177" s="674"/>
      <c r="W177" s="675"/>
      <c r="AC177" s="675"/>
      <c r="AD177" s="675"/>
      <c r="AE177" s="675"/>
      <c r="AF177" s="537" t="s">
        <v>546</v>
      </c>
      <c r="AG177" s="675"/>
      <c r="AH177" s="680"/>
    </row>
    <row r="178" spans="1:34" s="536" customFormat="1" ht="12" x14ac:dyDescent="0.2">
      <c r="A178" s="548"/>
      <c r="B178" s="552"/>
      <c r="C178" s="1822" t="s">
        <v>442</v>
      </c>
      <c r="D178" s="1822"/>
      <c r="E178" s="1822"/>
      <c r="F178" s="1822"/>
      <c r="G178" s="1822"/>
      <c r="H178" s="1822"/>
      <c r="I178" s="1822"/>
      <c r="J178" s="1822"/>
      <c r="K178" s="1822"/>
      <c r="L178" s="551">
        <v>35.35</v>
      </c>
      <c r="M178" s="550"/>
      <c r="N178" s="549"/>
      <c r="V178" s="674"/>
      <c r="W178" s="675"/>
      <c r="AC178" s="675"/>
      <c r="AD178" s="675"/>
      <c r="AE178" s="675"/>
      <c r="AF178" s="537" t="s">
        <v>442</v>
      </c>
      <c r="AG178" s="675"/>
      <c r="AH178" s="680"/>
    </row>
    <row r="179" spans="1:34" s="536" customFormat="1" ht="12" x14ac:dyDescent="0.2">
      <c r="A179" s="548"/>
      <c r="B179" s="552"/>
      <c r="C179" s="1822" t="s">
        <v>547</v>
      </c>
      <c r="D179" s="1822"/>
      <c r="E179" s="1822"/>
      <c r="F179" s="1822"/>
      <c r="G179" s="1822"/>
      <c r="H179" s="1822"/>
      <c r="I179" s="1822"/>
      <c r="J179" s="1822"/>
      <c r="K179" s="1822"/>
      <c r="L179" s="551">
        <v>1294.1199999999999</v>
      </c>
      <c r="M179" s="550"/>
      <c r="N179" s="549"/>
      <c r="V179" s="674"/>
      <c r="W179" s="675"/>
      <c r="AC179" s="675"/>
      <c r="AD179" s="675"/>
      <c r="AE179" s="675"/>
      <c r="AF179" s="537" t="s">
        <v>547</v>
      </c>
      <c r="AG179" s="675"/>
      <c r="AH179" s="680"/>
    </row>
    <row r="180" spans="1:34" s="536" customFormat="1" ht="12" x14ac:dyDescent="0.2">
      <c r="A180" s="548"/>
      <c r="B180" s="552"/>
      <c r="C180" s="1822" t="s">
        <v>443</v>
      </c>
      <c r="D180" s="1822"/>
      <c r="E180" s="1822"/>
      <c r="F180" s="1822"/>
      <c r="G180" s="1822"/>
      <c r="H180" s="1822"/>
      <c r="I180" s="1822"/>
      <c r="J180" s="1822"/>
      <c r="K180" s="1822"/>
      <c r="L180" s="551">
        <v>30.2</v>
      </c>
      <c r="M180" s="550"/>
      <c r="N180" s="549"/>
      <c r="V180" s="674"/>
      <c r="W180" s="675"/>
      <c r="AC180" s="675"/>
      <c r="AD180" s="675"/>
      <c r="AE180" s="675"/>
      <c r="AF180" s="537" t="s">
        <v>443</v>
      </c>
      <c r="AG180" s="675"/>
      <c r="AH180" s="680"/>
    </row>
    <row r="181" spans="1:34" s="536" customFormat="1" ht="12" x14ac:dyDescent="0.2">
      <c r="A181" s="548"/>
      <c r="B181" s="552"/>
      <c r="C181" s="1822" t="s">
        <v>444</v>
      </c>
      <c r="D181" s="1822"/>
      <c r="E181" s="1822"/>
      <c r="F181" s="1822"/>
      <c r="G181" s="1822"/>
      <c r="H181" s="1822"/>
      <c r="I181" s="1822"/>
      <c r="J181" s="1822"/>
      <c r="K181" s="1822"/>
      <c r="L181" s="551">
        <v>17.29</v>
      </c>
      <c r="M181" s="550"/>
      <c r="N181" s="549"/>
      <c r="V181" s="674"/>
      <c r="W181" s="675"/>
      <c r="AC181" s="675"/>
      <c r="AD181" s="675"/>
      <c r="AE181" s="675"/>
      <c r="AF181" s="537" t="s">
        <v>444</v>
      </c>
      <c r="AG181" s="675"/>
      <c r="AH181" s="680"/>
    </row>
    <row r="182" spans="1:34" s="536" customFormat="1" ht="12" x14ac:dyDescent="0.2">
      <c r="A182" s="548"/>
      <c r="B182" s="552"/>
      <c r="C182" s="1822" t="s">
        <v>415</v>
      </c>
      <c r="D182" s="1822"/>
      <c r="E182" s="1822"/>
      <c r="F182" s="1822"/>
      <c r="G182" s="1822"/>
      <c r="H182" s="1822"/>
      <c r="I182" s="1822"/>
      <c r="J182" s="1822"/>
      <c r="K182" s="1822"/>
      <c r="L182" s="551">
        <v>29.46</v>
      </c>
      <c r="M182" s="550"/>
      <c r="N182" s="549"/>
      <c r="V182" s="674"/>
      <c r="W182" s="675"/>
      <c r="AC182" s="675"/>
      <c r="AD182" s="675"/>
      <c r="AE182" s="675"/>
      <c r="AF182" s="537" t="s">
        <v>415</v>
      </c>
      <c r="AG182" s="675"/>
      <c r="AH182" s="680"/>
    </row>
    <row r="183" spans="1:34" s="536" customFormat="1" ht="12" x14ac:dyDescent="0.2">
      <c r="A183" s="548"/>
      <c r="B183" s="552"/>
      <c r="C183" s="1822" t="s">
        <v>416</v>
      </c>
      <c r="D183" s="1822"/>
      <c r="E183" s="1822"/>
      <c r="F183" s="1822"/>
      <c r="G183" s="1822"/>
      <c r="H183" s="1822"/>
      <c r="I183" s="1822"/>
      <c r="J183" s="1822"/>
      <c r="K183" s="1822"/>
      <c r="L183" s="551">
        <v>30.2</v>
      </c>
      <c r="M183" s="550"/>
      <c r="N183" s="549"/>
      <c r="V183" s="674"/>
      <c r="W183" s="675"/>
      <c r="AC183" s="675"/>
      <c r="AD183" s="675"/>
      <c r="AE183" s="675"/>
      <c r="AF183" s="537" t="s">
        <v>416</v>
      </c>
      <c r="AG183" s="675"/>
      <c r="AH183" s="680"/>
    </row>
    <row r="184" spans="1:34" s="536" customFormat="1" ht="12" x14ac:dyDescent="0.2">
      <c r="A184" s="548"/>
      <c r="B184" s="552"/>
      <c r="C184" s="1822" t="s">
        <v>417</v>
      </c>
      <c r="D184" s="1822"/>
      <c r="E184" s="1822"/>
      <c r="F184" s="1822"/>
      <c r="G184" s="1822"/>
      <c r="H184" s="1822"/>
      <c r="I184" s="1822"/>
      <c r="J184" s="1822"/>
      <c r="K184" s="1822"/>
      <c r="L184" s="551">
        <v>17.29</v>
      </c>
      <c r="M184" s="550"/>
      <c r="N184" s="549"/>
      <c r="V184" s="674"/>
      <c r="W184" s="675"/>
      <c r="AC184" s="675"/>
      <c r="AD184" s="675"/>
      <c r="AE184" s="675"/>
      <c r="AF184" s="537" t="s">
        <v>417</v>
      </c>
      <c r="AG184" s="675"/>
      <c r="AH184" s="680"/>
    </row>
    <row r="185" spans="1:34" s="536" customFormat="1" ht="12" x14ac:dyDescent="0.2">
      <c r="A185" s="548"/>
      <c r="B185" s="546"/>
      <c r="C185" s="1819" t="s">
        <v>7019</v>
      </c>
      <c r="D185" s="1819"/>
      <c r="E185" s="1819"/>
      <c r="F185" s="1819"/>
      <c r="G185" s="1819"/>
      <c r="H185" s="1819"/>
      <c r="I185" s="1819"/>
      <c r="J185" s="1819"/>
      <c r="K185" s="1819"/>
      <c r="L185" s="544">
        <v>1401.03</v>
      </c>
      <c r="M185" s="543"/>
      <c r="N185" s="681"/>
      <c r="V185" s="674"/>
      <c r="W185" s="675"/>
      <c r="AC185" s="675"/>
      <c r="AD185" s="675"/>
      <c r="AE185" s="675"/>
      <c r="AG185" s="675" t="s">
        <v>7019</v>
      </c>
      <c r="AH185" s="680"/>
    </row>
    <row r="186" spans="1:34" s="536" customFormat="1" ht="12" x14ac:dyDescent="0.2">
      <c r="A186" s="1824" t="s">
        <v>7020</v>
      </c>
      <c r="B186" s="1825"/>
      <c r="C186" s="1825"/>
      <c r="D186" s="1825"/>
      <c r="E186" s="1825"/>
      <c r="F186" s="1825"/>
      <c r="G186" s="1825"/>
      <c r="H186" s="1825"/>
      <c r="I186" s="1825"/>
      <c r="J186" s="1825"/>
      <c r="K186" s="1825"/>
      <c r="L186" s="1825"/>
      <c r="M186" s="1825"/>
      <c r="N186" s="1826"/>
      <c r="V186" s="674" t="s">
        <v>7020</v>
      </c>
      <c r="W186" s="675"/>
      <c r="AC186" s="675"/>
      <c r="AD186" s="675"/>
      <c r="AE186" s="675"/>
      <c r="AG186" s="675"/>
      <c r="AH186" s="680"/>
    </row>
    <row r="187" spans="1:34" s="536" customFormat="1" ht="22.5" x14ac:dyDescent="0.2">
      <c r="A187" s="575" t="s">
        <v>197</v>
      </c>
      <c r="B187" s="670" t="s">
        <v>3789</v>
      </c>
      <c r="C187" s="1823" t="s">
        <v>3790</v>
      </c>
      <c r="D187" s="1823"/>
      <c r="E187" s="1823"/>
      <c r="F187" s="573" t="s">
        <v>1537</v>
      </c>
      <c r="G187" s="573"/>
      <c r="H187" s="573"/>
      <c r="I187" s="573" t="s">
        <v>7021</v>
      </c>
      <c r="J187" s="572"/>
      <c r="K187" s="573"/>
      <c r="L187" s="572"/>
      <c r="M187" s="571"/>
      <c r="N187" s="570"/>
      <c r="V187" s="674"/>
      <c r="W187" s="675" t="s">
        <v>3790</v>
      </c>
      <c r="AC187" s="675"/>
      <c r="AD187" s="675"/>
      <c r="AE187" s="675"/>
      <c r="AG187" s="675"/>
      <c r="AH187" s="680"/>
    </row>
    <row r="188" spans="1:34" s="536" customFormat="1" ht="12" x14ac:dyDescent="0.2">
      <c r="A188" s="676"/>
      <c r="B188" s="664"/>
      <c r="C188" s="1822" t="s">
        <v>7022</v>
      </c>
      <c r="D188" s="1822"/>
      <c r="E188" s="1822"/>
      <c r="F188" s="1822"/>
      <c r="G188" s="1822"/>
      <c r="H188" s="1822"/>
      <c r="I188" s="1822"/>
      <c r="J188" s="1822"/>
      <c r="K188" s="1822"/>
      <c r="L188" s="1822"/>
      <c r="M188" s="1822"/>
      <c r="N188" s="1827"/>
      <c r="V188" s="674"/>
      <c r="W188" s="675"/>
      <c r="X188" s="537" t="s">
        <v>7022</v>
      </c>
      <c r="AC188" s="675"/>
      <c r="AD188" s="675"/>
      <c r="AE188" s="675"/>
      <c r="AG188" s="675"/>
      <c r="AH188" s="680"/>
    </row>
    <row r="189" spans="1:34" s="536" customFormat="1" ht="33.75" x14ac:dyDescent="0.2">
      <c r="A189" s="609"/>
      <c r="B189" s="552" t="s">
        <v>310</v>
      </c>
      <c r="C189" s="1822" t="s">
        <v>311</v>
      </c>
      <c r="D189" s="1822"/>
      <c r="E189" s="1822"/>
      <c r="F189" s="1822"/>
      <c r="G189" s="1822"/>
      <c r="H189" s="1822"/>
      <c r="I189" s="1822"/>
      <c r="J189" s="1822"/>
      <c r="K189" s="1822"/>
      <c r="L189" s="1822"/>
      <c r="M189" s="1822"/>
      <c r="N189" s="1827"/>
      <c r="V189" s="674"/>
      <c r="W189" s="675"/>
      <c r="Y189" s="537" t="s">
        <v>311</v>
      </c>
      <c r="AC189" s="675"/>
      <c r="AD189" s="675"/>
      <c r="AE189" s="675"/>
      <c r="AG189" s="675"/>
      <c r="AH189" s="680"/>
    </row>
    <row r="190" spans="1:34" s="536" customFormat="1" ht="12" x14ac:dyDescent="0.2">
      <c r="A190" s="605"/>
      <c r="B190" s="552" t="s">
        <v>185</v>
      </c>
      <c r="C190" s="1822" t="s">
        <v>312</v>
      </c>
      <c r="D190" s="1822"/>
      <c r="E190" s="1822"/>
      <c r="F190" s="562"/>
      <c r="G190" s="562"/>
      <c r="H190" s="562"/>
      <c r="I190" s="562"/>
      <c r="J190" s="604">
        <v>83.33</v>
      </c>
      <c r="K190" s="562" t="s">
        <v>313</v>
      </c>
      <c r="L190" s="604">
        <v>57.5</v>
      </c>
      <c r="M190" s="603"/>
      <c r="N190" s="602"/>
      <c r="V190" s="674"/>
      <c r="W190" s="675"/>
      <c r="Z190" s="537" t="s">
        <v>312</v>
      </c>
      <c r="AC190" s="675"/>
      <c r="AD190" s="675"/>
      <c r="AE190" s="675"/>
      <c r="AG190" s="675"/>
      <c r="AH190" s="680"/>
    </row>
    <row r="191" spans="1:34" s="536" customFormat="1" ht="12" x14ac:dyDescent="0.2">
      <c r="A191" s="605"/>
      <c r="B191" s="552" t="s">
        <v>186</v>
      </c>
      <c r="C191" s="1822" t="s">
        <v>344</v>
      </c>
      <c r="D191" s="1822"/>
      <c r="E191" s="1822"/>
      <c r="F191" s="562"/>
      <c r="G191" s="562"/>
      <c r="H191" s="562"/>
      <c r="I191" s="562"/>
      <c r="J191" s="604">
        <v>28.8</v>
      </c>
      <c r="K191" s="562" t="s">
        <v>313</v>
      </c>
      <c r="L191" s="604">
        <v>19.87</v>
      </c>
      <c r="M191" s="603"/>
      <c r="N191" s="602"/>
      <c r="V191" s="674"/>
      <c r="W191" s="675"/>
      <c r="Z191" s="537" t="s">
        <v>344</v>
      </c>
      <c r="AC191" s="675"/>
      <c r="AD191" s="675"/>
      <c r="AE191" s="675"/>
      <c r="AG191" s="675"/>
      <c r="AH191" s="680"/>
    </row>
    <row r="192" spans="1:34" s="536" customFormat="1" ht="12" x14ac:dyDescent="0.2">
      <c r="A192" s="605"/>
      <c r="B192" s="552" t="s">
        <v>187</v>
      </c>
      <c r="C192" s="1822" t="s">
        <v>345</v>
      </c>
      <c r="D192" s="1822"/>
      <c r="E192" s="1822"/>
      <c r="F192" s="562"/>
      <c r="G192" s="562"/>
      <c r="H192" s="562"/>
      <c r="I192" s="562"/>
      <c r="J192" s="604">
        <v>3.22</v>
      </c>
      <c r="K192" s="562" t="s">
        <v>313</v>
      </c>
      <c r="L192" s="604">
        <v>2.2200000000000002</v>
      </c>
      <c r="M192" s="603"/>
      <c r="N192" s="602"/>
      <c r="V192" s="674"/>
      <c r="W192" s="675"/>
      <c r="Z192" s="537" t="s">
        <v>345</v>
      </c>
      <c r="AC192" s="675"/>
      <c r="AD192" s="675"/>
      <c r="AE192" s="675"/>
      <c r="AG192" s="675"/>
      <c r="AH192" s="680"/>
    </row>
    <row r="193" spans="1:34" s="536" customFormat="1" ht="22.5" x14ac:dyDescent="0.2">
      <c r="A193" s="676"/>
      <c r="B193" s="677" t="s">
        <v>1090</v>
      </c>
      <c r="C193" s="1829" t="s">
        <v>1091</v>
      </c>
      <c r="D193" s="1829"/>
      <c r="E193" s="1829"/>
      <c r="F193" s="678" t="s">
        <v>641</v>
      </c>
      <c r="G193" s="678" t="s">
        <v>195</v>
      </c>
      <c r="H193" s="678"/>
      <c r="I193" s="678" t="s">
        <v>7023</v>
      </c>
      <c r="J193" s="552"/>
      <c r="K193" s="562"/>
      <c r="L193" s="604"/>
      <c r="M193" s="562"/>
      <c r="N193" s="679"/>
      <c r="V193" s="674"/>
      <c r="W193" s="675"/>
      <c r="AC193" s="675"/>
      <c r="AD193" s="675"/>
      <c r="AE193" s="675"/>
      <c r="AG193" s="675"/>
      <c r="AH193" s="680" t="s">
        <v>1091</v>
      </c>
    </row>
    <row r="194" spans="1:34" s="536" customFormat="1" ht="12" x14ac:dyDescent="0.2">
      <c r="A194" s="605"/>
      <c r="B194" s="552"/>
      <c r="C194" s="1822" t="s">
        <v>314</v>
      </c>
      <c r="D194" s="1822"/>
      <c r="E194" s="1822"/>
      <c r="F194" s="562" t="s">
        <v>315</v>
      </c>
      <c r="G194" s="562" t="s">
        <v>2345</v>
      </c>
      <c r="H194" s="562" t="s">
        <v>313</v>
      </c>
      <c r="I194" s="562" t="s">
        <v>7024</v>
      </c>
      <c r="J194" s="604"/>
      <c r="K194" s="562"/>
      <c r="L194" s="604"/>
      <c r="M194" s="603"/>
      <c r="N194" s="602"/>
      <c r="V194" s="674"/>
      <c r="W194" s="675"/>
      <c r="AA194" s="537" t="s">
        <v>314</v>
      </c>
      <c r="AC194" s="675"/>
      <c r="AD194" s="675"/>
      <c r="AE194" s="675"/>
      <c r="AG194" s="675"/>
      <c r="AH194" s="680"/>
    </row>
    <row r="195" spans="1:34" s="536" customFormat="1" ht="12" x14ac:dyDescent="0.2">
      <c r="A195" s="605"/>
      <c r="B195" s="552"/>
      <c r="C195" s="1822" t="s">
        <v>348</v>
      </c>
      <c r="D195" s="1822"/>
      <c r="E195" s="1822"/>
      <c r="F195" s="562" t="s">
        <v>315</v>
      </c>
      <c r="G195" s="562" t="s">
        <v>2344</v>
      </c>
      <c r="H195" s="562" t="s">
        <v>313</v>
      </c>
      <c r="I195" s="562" t="s">
        <v>7025</v>
      </c>
      <c r="J195" s="604"/>
      <c r="K195" s="562"/>
      <c r="L195" s="604"/>
      <c r="M195" s="603"/>
      <c r="N195" s="602"/>
      <c r="V195" s="674"/>
      <c r="W195" s="675"/>
      <c r="AA195" s="537" t="s">
        <v>348</v>
      </c>
      <c r="AC195" s="675"/>
      <c r="AD195" s="675"/>
      <c r="AE195" s="675"/>
      <c r="AG195" s="675"/>
      <c r="AH195" s="680"/>
    </row>
    <row r="196" spans="1:34" s="536" customFormat="1" ht="12" x14ac:dyDescent="0.2">
      <c r="A196" s="605"/>
      <c r="B196" s="552"/>
      <c r="C196" s="1828" t="s">
        <v>318</v>
      </c>
      <c r="D196" s="1828"/>
      <c r="E196" s="1828"/>
      <c r="F196" s="608"/>
      <c r="G196" s="608"/>
      <c r="H196" s="608"/>
      <c r="I196" s="608"/>
      <c r="J196" s="607">
        <v>112.13</v>
      </c>
      <c r="K196" s="608"/>
      <c r="L196" s="607">
        <v>77.37</v>
      </c>
      <c r="M196" s="601"/>
      <c r="N196" s="606"/>
      <c r="V196" s="674"/>
      <c r="W196" s="675"/>
      <c r="AB196" s="537" t="s">
        <v>318</v>
      </c>
      <c r="AC196" s="675"/>
      <c r="AD196" s="675"/>
      <c r="AE196" s="675"/>
      <c r="AG196" s="675"/>
      <c r="AH196" s="680"/>
    </row>
    <row r="197" spans="1:34" s="536" customFormat="1" ht="12" x14ac:dyDescent="0.2">
      <c r="A197" s="605"/>
      <c r="B197" s="552"/>
      <c r="C197" s="1822" t="s">
        <v>319</v>
      </c>
      <c r="D197" s="1822"/>
      <c r="E197" s="1822"/>
      <c r="F197" s="562"/>
      <c r="G197" s="562"/>
      <c r="H197" s="562"/>
      <c r="I197" s="562"/>
      <c r="J197" s="604"/>
      <c r="K197" s="562"/>
      <c r="L197" s="604">
        <v>59.72</v>
      </c>
      <c r="M197" s="603"/>
      <c r="N197" s="602"/>
      <c r="V197" s="674"/>
      <c r="W197" s="675"/>
      <c r="AA197" s="537" t="s">
        <v>319</v>
      </c>
      <c r="AC197" s="675"/>
      <c r="AD197" s="675"/>
      <c r="AE197" s="675"/>
      <c r="AG197" s="675"/>
      <c r="AH197" s="680"/>
    </row>
    <row r="198" spans="1:34" s="536" customFormat="1" ht="33.75" x14ac:dyDescent="0.2">
      <c r="A198" s="605"/>
      <c r="B198" s="552" t="s">
        <v>533</v>
      </c>
      <c r="C198" s="1822" t="s">
        <v>534</v>
      </c>
      <c r="D198" s="1822"/>
      <c r="E198" s="1822"/>
      <c r="F198" s="562" t="s">
        <v>322</v>
      </c>
      <c r="G198" s="562" t="s">
        <v>535</v>
      </c>
      <c r="H198" s="562"/>
      <c r="I198" s="562" t="s">
        <v>535</v>
      </c>
      <c r="J198" s="604"/>
      <c r="K198" s="562"/>
      <c r="L198" s="604">
        <v>69.87</v>
      </c>
      <c r="M198" s="603"/>
      <c r="N198" s="602"/>
      <c r="V198" s="674"/>
      <c r="W198" s="675"/>
      <c r="AA198" s="537" t="s">
        <v>534</v>
      </c>
      <c r="AC198" s="675"/>
      <c r="AD198" s="675"/>
      <c r="AE198" s="675"/>
      <c r="AG198" s="675"/>
      <c r="AH198" s="680"/>
    </row>
    <row r="199" spans="1:34" s="536" customFormat="1" ht="33.75" x14ac:dyDescent="0.2">
      <c r="A199" s="605"/>
      <c r="B199" s="552" t="s">
        <v>536</v>
      </c>
      <c r="C199" s="1822" t="s">
        <v>537</v>
      </c>
      <c r="D199" s="1822"/>
      <c r="E199" s="1822"/>
      <c r="F199" s="562" t="s">
        <v>322</v>
      </c>
      <c r="G199" s="562" t="s">
        <v>538</v>
      </c>
      <c r="H199" s="562"/>
      <c r="I199" s="562" t="s">
        <v>538</v>
      </c>
      <c r="J199" s="604"/>
      <c r="K199" s="562"/>
      <c r="L199" s="604">
        <v>44.19</v>
      </c>
      <c r="M199" s="603"/>
      <c r="N199" s="602"/>
      <c r="V199" s="674"/>
      <c r="W199" s="675"/>
      <c r="AA199" s="537" t="s">
        <v>537</v>
      </c>
      <c r="AC199" s="675"/>
      <c r="AD199" s="675"/>
      <c r="AE199" s="675"/>
      <c r="AG199" s="675"/>
      <c r="AH199" s="680"/>
    </row>
    <row r="200" spans="1:34" s="536" customFormat="1" ht="12" x14ac:dyDescent="0.2">
      <c r="A200" s="569"/>
      <c r="B200" s="671"/>
      <c r="C200" s="1823" t="s">
        <v>327</v>
      </c>
      <c r="D200" s="1823"/>
      <c r="E200" s="1823"/>
      <c r="F200" s="573"/>
      <c r="G200" s="573"/>
      <c r="H200" s="573"/>
      <c r="I200" s="573"/>
      <c r="J200" s="572"/>
      <c r="K200" s="573"/>
      <c r="L200" s="572">
        <v>191.43</v>
      </c>
      <c r="M200" s="601"/>
      <c r="N200" s="570"/>
      <c r="V200" s="674"/>
      <c r="W200" s="675"/>
      <c r="AC200" s="675" t="s">
        <v>327</v>
      </c>
      <c r="AD200" s="675"/>
      <c r="AE200" s="675"/>
      <c r="AG200" s="675"/>
      <c r="AH200" s="680"/>
    </row>
    <row r="201" spans="1:34" s="536" customFormat="1" ht="33.75" x14ac:dyDescent="0.2">
      <c r="A201" s="575" t="s">
        <v>198</v>
      </c>
      <c r="B201" s="670" t="s">
        <v>1095</v>
      </c>
      <c r="C201" s="1823" t="s">
        <v>1096</v>
      </c>
      <c r="D201" s="1823"/>
      <c r="E201" s="1823"/>
      <c r="F201" s="573" t="s">
        <v>641</v>
      </c>
      <c r="G201" s="573"/>
      <c r="H201" s="573"/>
      <c r="I201" s="573" t="s">
        <v>7023</v>
      </c>
      <c r="J201" s="572">
        <v>55.26</v>
      </c>
      <c r="K201" s="573"/>
      <c r="L201" s="572">
        <v>335.54</v>
      </c>
      <c r="M201" s="571"/>
      <c r="N201" s="570"/>
      <c r="V201" s="674"/>
      <c r="W201" s="675" t="s">
        <v>1096</v>
      </c>
      <c r="AC201" s="675"/>
      <c r="AD201" s="675"/>
      <c r="AE201" s="675"/>
      <c r="AG201" s="675"/>
      <c r="AH201" s="680"/>
    </row>
    <row r="202" spans="1:34" s="536" customFormat="1" ht="12" x14ac:dyDescent="0.2">
      <c r="A202" s="569"/>
      <c r="B202" s="671"/>
      <c r="C202" s="665" t="s">
        <v>717</v>
      </c>
      <c r="D202" s="666"/>
      <c r="E202" s="666"/>
      <c r="F202" s="563"/>
      <c r="G202" s="563"/>
      <c r="H202" s="563"/>
      <c r="I202" s="563"/>
      <c r="J202" s="566"/>
      <c r="K202" s="563"/>
      <c r="L202" s="566"/>
      <c r="M202" s="565"/>
      <c r="N202" s="564"/>
      <c r="V202" s="674"/>
      <c r="W202" s="675"/>
      <c r="AC202" s="675"/>
      <c r="AD202" s="675"/>
      <c r="AE202" s="675"/>
      <c r="AG202" s="675"/>
      <c r="AH202" s="680"/>
    </row>
    <row r="203" spans="1:34" s="536" customFormat="1" ht="12" x14ac:dyDescent="0.2">
      <c r="A203" s="676"/>
      <c r="B203" s="664"/>
      <c r="C203" s="1822" t="s">
        <v>7026</v>
      </c>
      <c r="D203" s="1822"/>
      <c r="E203" s="1822"/>
      <c r="F203" s="1822"/>
      <c r="G203" s="1822"/>
      <c r="H203" s="1822"/>
      <c r="I203" s="1822"/>
      <c r="J203" s="1822"/>
      <c r="K203" s="1822"/>
      <c r="L203" s="1822"/>
      <c r="M203" s="1822"/>
      <c r="N203" s="1827"/>
      <c r="V203" s="674"/>
      <c r="W203" s="675"/>
      <c r="X203" s="537" t="s">
        <v>7026</v>
      </c>
      <c r="AC203" s="675"/>
      <c r="AD203" s="675"/>
      <c r="AE203" s="675"/>
      <c r="AG203" s="675"/>
      <c r="AH203" s="680"/>
    </row>
    <row r="204" spans="1:34" s="536" customFormat="1" ht="33.75" x14ac:dyDescent="0.2">
      <c r="A204" s="575" t="s">
        <v>199</v>
      </c>
      <c r="B204" s="670" t="s">
        <v>5467</v>
      </c>
      <c r="C204" s="1823" t="s">
        <v>5468</v>
      </c>
      <c r="D204" s="1823"/>
      <c r="E204" s="1823"/>
      <c r="F204" s="573" t="s">
        <v>1110</v>
      </c>
      <c r="G204" s="573"/>
      <c r="H204" s="573"/>
      <c r="I204" s="573" t="s">
        <v>7027</v>
      </c>
      <c r="J204" s="572"/>
      <c r="K204" s="573"/>
      <c r="L204" s="572"/>
      <c r="M204" s="571"/>
      <c r="N204" s="570"/>
      <c r="V204" s="674"/>
      <c r="W204" s="675" t="s">
        <v>5468</v>
      </c>
      <c r="AC204" s="675"/>
      <c r="AD204" s="675"/>
      <c r="AE204" s="675"/>
      <c r="AG204" s="675"/>
      <c r="AH204" s="680"/>
    </row>
    <row r="205" spans="1:34" s="536" customFormat="1" ht="12" x14ac:dyDescent="0.2">
      <c r="A205" s="676"/>
      <c r="B205" s="664"/>
      <c r="C205" s="1822" t="s">
        <v>7028</v>
      </c>
      <c r="D205" s="1822"/>
      <c r="E205" s="1822"/>
      <c r="F205" s="1822"/>
      <c r="G205" s="1822"/>
      <c r="H205" s="1822"/>
      <c r="I205" s="1822"/>
      <c r="J205" s="1822"/>
      <c r="K205" s="1822"/>
      <c r="L205" s="1822"/>
      <c r="M205" s="1822"/>
      <c r="N205" s="1827"/>
      <c r="V205" s="674"/>
      <c r="W205" s="675"/>
      <c r="X205" s="537" t="s">
        <v>7028</v>
      </c>
      <c r="AC205" s="675"/>
      <c r="AD205" s="675"/>
      <c r="AE205" s="675"/>
      <c r="AG205" s="675"/>
      <c r="AH205" s="680"/>
    </row>
    <row r="206" spans="1:34" s="536" customFormat="1" ht="33.75" x14ac:dyDescent="0.2">
      <c r="A206" s="609"/>
      <c r="B206" s="552" t="s">
        <v>310</v>
      </c>
      <c r="C206" s="1822" t="s">
        <v>311</v>
      </c>
      <c r="D206" s="1822"/>
      <c r="E206" s="1822"/>
      <c r="F206" s="1822"/>
      <c r="G206" s="1822"/>
      <c r="H206" s="1822"/>
      <c r="I206" s="1822"/>
      <c r="J206" s="1822"/>
      <c r="K206" s="1822"/>
      <c r="L206" s="1822"/>
      <c r="M206" s="1822"/>
      <c r="N206" s="1827"/>
      <c r="V206" s="674"/>
      <c r="W206" s="675"/>
      <c r="Y206" s="537" t="s">
        <v>311</v>
      </c>
      <c r="AC206" s="675"/>
      <c r="AD206" s="675"/>
      <c r="AE206" s="675"/>
      <c r="AG206" s="675"/>
      <c r="AH206" s="680"/>
    </row>
    <row r="207" spans="1:34" s="536" customFormat="1" ht="12" x14ac:dyDescent="0.2">
      <c r="A207" s="605"/>
      <c r="B207" s="552" t="s">
        <v>185</v>
      </c>
      <c r="C207" s="1822" t="s">
        <v>312</v>
      </c>
      <c r="D207" s="1822"/>
      <c r="E207" s="1822"/>
      <c r="F207" s="562"/>
      <c r="G207" s="562"/>
      <c r="H207" s="562"/>
      <c r="I207" s="562"/>
      <c r="J207" s="604">
        <v>33.950000000000003</v>
      </c>
      <c r="K207" s="562" t="s">
        <v>313</v>
      </c>
      <c r="L207" s="604">
        <v>39.04</v>
      </c>
      <c r="M207" s="603"/>
      <c r="N207" s="602"/>
      <c r="V207" s="674"/>
      <c r="W207" s="675"/>
      <c r="Z207" s="537" t="s">
        <v>312</v>
      </c>
      <c r="AC207" s="675"/>
      <c r="AD207" s="675"/>
      <c r="AE207" s="675"/>
      <c r="AG207" s="675"/>
      <c r="AH207" s="680"/>
    </row>
    <row r="208" spans="1:34" s="536" customFormat="1" ht="12" x14ac:dyDescent="0.2">
      <c r="A208" s="605"/>
      <c r="B208" s="552" t="s">
        <v>186</v>
      </c>
      <c r="C208" s="1822" t="s">
        <v>344</v>
      </c>
      <c r="D208" s="1822"/>
      <c r="E208" s="1822"/>
      <c r="F208" s="562"/>
      <c r="G208" s="562"/>
      <c r="H208" s="562"/>
      <c r="I208" s="562"/>
      <c r="J208" s="604">
        <v>1.31</v>
      </c>
      <c r="K208" s="562" t="s">
        <v>313</v>
      </c>
      <c r="L208" s="604">
        <v>1.51</v>
      </c>
      <c r="M208" s="603"/>
      <c r="N208" s="602"/>
      <c r="V208" s="674"/>
      <c r="W208" s="675"/>
      <c r="Z208" s="537" t="s">
        <v>344</v>
      </c>
      <c r="AC208" s="675"/>
      <c r="AD208" s="675"/>
      <c r="AE208" s="675"/>
      <c r="AG208" s="675"/>
      <c r="AH208" s="680"/>
    </row>
    <row r="209" spans="1:34" s="536" customFormat="1" ht="12" x14ac:dyDescent="0.2">
      <c r="A209" s="605"/>
      <c r="B209" s="552" t="s">
        <v>187</v>
      </c>
      <c r="C209" s="1822" t="s">
        <v>345</v>
      </c>
      <c r="D209" s="1822"/>
      <c r="E209" s="1822"/>
      <c r="F209" s="562"/>
      <c r="G209" s="562"/>
      <c r="H209" s="562"/>
      <c r="I209" s="562"/>
      <c r="J209" s="604">
        <v>0.23</v>
      </c>
      <c r="K209" s="562" t="s">
        <v>313</v>
      </c>
      <c r="L209" s="604">
        <v>0.26</v>
      </c>
      <c r="M209" s="603"/>
      <c r="N209" s="602"/>
      <c r="V209" s="674"/>
      <c r="W209" s="675"/>
      <c r="Z209" s="537" t="s">
        <v>345</v>
      </c>
      <c r="AC209" s="675"/>
      <c r="AD209" s="675"/>
      <c r="AE209" s="675"/>
      <c r="AG209" s="675"/>
      <c r="AH209" s="680"/>
    </row>
    <row r="210" spans="1:34" s="536" customFormat="1" ht="12" x14ac:dyDescent="0.2">
      <c r="A210" s="605"/>
      <c r="B210" s="552" t="s">
        <v>188</v>
      </c>
      <c r="C210" s="1822" t="s">
        <v>475</v>
      </c>
      <c r="D210" s="1822"/>
      <c r="E210" s="1822"/>
      <c r="F210" s="562"/>
      <c r="G210" s="562"/>
      <c r="H210" s="562"/>
      <c r="I210" s="562"/>
      <c r="J210" s="604">
        <v>0.68</v>
      </c>
      <c r="K210" s="562"/>
      <c r="L210" s="604">
        <v>0.63</v>
      </c>
      <c r="M210" s="603"/>
      <c r="N210" s="602"/>
      <c r="V210" s="674"/>
      <c r="W210" s="675"/>
      <c r="Z210" s="537" t="s">
        <v>475</v>
      </c>
      <c r="AC210" s="675"/>
      <c r="AD210" s="675"/>
      <c r="AE210" s="675"/>
      <c r="AG210" s="675"/>
      <c r="AH210" s="680"/>
    </row>
    <row r="211" spans="1:34" s="536" customFormat="1" ht="12" x14ac:dyDescent="0.2">
      <c r="A211" s="605"/>
      <c r="B211" s="552"/>
      <c r="C211" s="1822" t="s">
        <v>314</v>
      </c>
      <c r="D211" s="1822"/>
      <c r="E211" s="1822"/>
      <c r="F211" s="562" t="s">
        <v>315</v>
      </c>
      <c r="G211" s="562" t="s">
        <v>5471</v>
      </c>
      <c r="H211" s="562" t="s">
        <v>313</v>
      </c>
      <c r="I211" s="562" t="s">
        <v>7029</v>
      </c>
      <c r="J211" s="604"/>
      <c r="K211" s="562"/>
      <c r="L211" s="604"/>
      <c r="M211" s="603"/>
      <c r="N211" s="602"/>
      <c r="V211" s="674"/>
      <c r="W211" s="675"/>
      <c r="AA211" s="537" t="s">
        <v>314</v>
      </c>
      <c r="AC211" s="675"/>
      <c r="AD211" s="675"/>
      <c r="AE211" s="675"/>
      <c r="AG211" s="675"/>
      <c r="AH211" s="680"/>
    </row>
    <row r="212" spans="1:34" s="536" customFormat="1" ht="12" x14ac:dyDescent="0.2">
      <c r="A212" s="605"/>
      <c r="B212" s="552"/>
      <c r="C212" s="1822" t="s">
        <v>348</v>
      </c>
      <c r="D212" s="1822"/>
      <c r="E212" s="1822"/>
      <c r="F212" s="562" t="s">
        <v>315</v>
      </c>
      <c r="G212" s="562" t="s">
        <v>695</v>
      </c>
      <c r="H212" s="562" t="s">
        <v>313</v>
      </c>
      <c r="I212" s="562" t="s">
        <v>7030</v>
      </c>
      <c r="J212" s="604"/>
      <c r="K212" s="562"/>
      <c r="L212" s="604"/>
      <c r="M212" s="603"/>
      <c r="N212" s="602"/>
      <c r="V212" s="674"/>
      <c r="W212" s="675"/>
      <c r="AA212" s="537" t="s">
        <v>348</v>
      </c>
      <c r="AC212" s="675"/>
      <c r="AD212" s="675"/>
      <c r="AE212" s="675"/>
      <c r="AG212" s="675"/>
      <c r="AH212" s="680"/>
    </row>
    <row r="213" spans="1:34" s="536" customFormat="1" ht="12" x14ac:dyDescent="0.2">
      <c r="A213" s="605"/>
      <c r="B213" s="552"/>
      <c r="C213" s="1828" t="s">
        <v>318</v>
      </c>
      <c r="D213" s="1828"/>
      <c r="E213" s="1828"/>
      <c r="F213" s="608"/>
      <c r="G213" s="608"/>
      <c r="H213" s="608"/>
      <c r="I213" s="608"/>
      <c r="J213" s="607">
        <v>35.94</v>
      </c>
      <c r="K213" s="608"/>
      <c r="L213" s="607">
        <v>41.18</v>
      </c>
      <c r="M213" s="601"/>
      <c r="N213" s="606"/>
      <c r="V213" s="674"/>
      <c r="W213" s="675"/>
      <c r="AB213" s="537" t="s">
        <v>318</v>
      </c>
      <c r="AC213" s="675"/>
      <c r="AD213" s="675"/>
      <c r="AE213" s="675"/>
      <c r="AG213" s="675"/>
      <c r="AH213" s="680"/>
    </row>
    <row r="214" spans="1:34" s="536" customFormat="1" ht="12" x14ac:dyDescent="0.2">
      <c r="A214" s="605"/>
      <c r="B214" s="552"/>
      <c r="C214" s="1822" t="s">
        <v>319</v>
      </c>
      <c r="D214" s="1822"/>
      <c r="E214" s="1822"/>
      <c r="F214" s="562"/>
      <c r="G214" s="562"/>
      <c r="H214" s="562"/>
      <c r="I214" s="562"/>
      <c r="J214" s="604"/>
      <c r="K214" s="562"/>
      <c r="L214" s="604">
        <v>39.299999999999997</v>
      </c>
      <c r="M214" s="603"/>
      <c r="N214" s="602"/>
      <c r="V214" s="674"/>
      <c r="W214" s="675"/>
      <c r="AA214" s="537" t="s">
        <v>319</v>
      </c>
      <c r="AC214" s="675"/>
      <c r="AD214" s="675"/>
      <c r="AE214" s="675"/>
      <c r="AG214" s="675"/>
      <c r="AH214" s="680"/>
    </row>
    <row r="215" spans="1:34" s="536" customFormat="1" ht="33.75" x14ac:dyDescent="0.2">
      <c r="A215" s="605"/>
      <c r="B215" s="552" t="s">
        <v>1631</v>
      </c>
      <c r="C215" s="1822" t="s">
        <v>1632</v>
      </c>
      <c r="D215" s="1822"/>
      <c r="E215" s="1822"/>
      <c r="F215" s="562" t="s">
        <v>322</v>
      </c>
      <c r="G215" s="562" t="s">
        <v>1633</v>
      </c>
      <c r="H215" s="562"/>
      <c r="I215" s="562" t="s">
        <v>1633</v>
      </c>
      <c r="J215" s="604"/>
      <c r="K215" s="562"/>
      <c r="L215" s="604">
        <v>38.119999999999997</v>
      </c>
      <c r="M215" s="603"/>
      <c r="N215" s="602"/>
      <c r="V215" s="674"/>
      <c r="W215" s="675"/>
      <c r="AA215" s="537" t="s">
        <v>1632</v>
      </c>
      <c r="AC215" s="675"/>
      <c r="AD215" s="675"/>
      <c r="AE215" s="675"/>
      <c r="AG215" s="675"/>
      <c r="AH215" s="680"/>
    </row>
    <row r="216" spans="1:34" s="536" customFormat="1" ht="33.75" x14ac:dyDescent="0.2">
      <c r="A216" s="605"/>
      <c r="B216" s="552" t="s">
        <v>1634</v>
      </c>
      <c r="C216" s="1822" t="s">
        <v>1635</v>
      </c>
      <c r="D216" s="1822"/>
      <c r="E216" s="1822"/>
      <c r="F216" s="562" t="s">
        <v>322</v>
      </c>
      <c r="G216" s="562" t="s">
        <v>786</v>
      </c>
      <c r="H216" s="562"/>
      <c r="I216" s="562" t="s">
        <v>786</v>
      </c>
      <c r="J216" s="604"/>
      <c r="K216" s="562"/>
      <c r="L216" s="604">
        <v>20.04</v>
      </c>
      <c r="M216" s="603"/>
      <c r="N216" s="602"/>
      <c r="V216" s="674"/>
      <c r="W216" s="675"/>
      <c r="AA216" s="537" t="s">
        <v>1635</v>
      </c>
      <c r="AC216" s="675"/>
      <c r="AD216" s="675"/>
      <c r="AE216" s="675"/>
      <c r="AG216" s="675"/>
      <c r="AH216" s="680"/>
    </row>
    <row r="217" spans="1:34" s="536" customFormat="1" ht="12" x14ac:dyDescent="0.2">
      <c r="A217" s="569"/>
      <c r="B217" s="671"/>
      <c r="C217" s="1823" t="s">
        <v>327</v>
      </c>
      <c r="D217" s="1823"/>
      <c r="E217" s="1823"/>
      <c r="F217" s="573"/>
      <c r="G217" s="573"/>
      <c r="H217" s="573"/>
      <c r="I217" s="573"/>
      <c r="J217" s="572"/>
      <c r="K217" s="573"/>
      <c r="L217" s="572">
        <v>99.34</v>
      </c>
      <c r="M217" s="601"/>
      <c r="N217" s="570"/>
      <c r="V217" s="674"/>
      <c r="W217" s="675"/>
      <c r="AC217" s="675" t="s">
        <v>327</v>
      </c>
      <c r="AD217" s="675"/>
      <c r="AE217" s="675"/>
      <c r="AG217" s="675"/>
      <c r="AH217" s="680"/>
    </row>
    <row r="218" spans="1:34" s="536" customFormat="1" ht="22.5" x14ac:dyDescent="0.2">
      <c r="A218" s="575" t="s">
        <v>200</v>
      </c>
      <c r="B218" s="670" t="s">
        <v>7031</v>
      </c>
      <c r="C218" s="1823" t="s">
        <v>7032</v>
      </c>
      <c r="D218" s="1823"/>
      <c r="E218" s="1823"/>
      <c r="F218" s="573" t="s">
        <v>483</v>
      </c>
      <c r="G218" s="573"/>
      <c r="H218" s="573"/>
      <c r="I218" s="573" t="s">
        <v>7033</v>
      </c>
      <c r="J218" s="572">
        <v>22.02</v>
      </c>
      <c r="K218" s="573"/>
      <c r="L218" s="572">
        <v>2066.36</v>
      </c>
      <c r="M218" s="571"/>
      <c r="N218" s="570"/>
      <c r="V218" s="674"/>
      <c r="W218" s="675" t="s">
        <v>7032</v>
      </c>
      <c r="AC218" s="675"/>
      <c r="AD218" s="675"/>
      <c r="AE218" s="675"/>
      <c r="AG218" s="675"/>
      <c r="AH218" s="680"/>
    </row>
    <row r="219" spans="1:34" s="536" customFormat="1" ht="12" x14ac:dyDescent="0.2">
      <c r="A219" s="569"/>
      <c r="B219" s="671"/>
      <c r="C219" s="665" t="s">
        <v>1658</v>
      </c>
      <c r="D219" s="666"/>
      <c r="E219" s="666"/>
      <c r="F219" s="563"/>
      <c r="G219" s="563"/>
      <c r="H219" s="563"/>
      <c r="I219" s="563"/>
      <c r="J219" s="566"/>
      <c r="K219" s="563"/>
      <c r="L219" s="566"/>
      <c r="M219" s="565"/>
      <c r="N219" s="564"/>
      <c r="V219" s="674"/>
      <c r="W219" s="675"/>
      <c r="AC219" s="675"/>
      <c r="AD219" s="675"/>
      <c r="AE219" s="675"/>
      <c r="AG219" s="675"/>
      <c r="AH219" s="680"/>
    </row>
    <row r="220" spans="1:34" s="536" customFormat="1" ht="12" x14ac:dyDescent="0.2">
      <c r="A220" s="676"/>
      <c r="B220" s="664"/>
      <c r="C220" s="1822" t="s">
        <v>7034</v>
      </c>
      <c r="D220" s="1822"/>
      <c r="E220" s="1822"/>
      <c r="F220" s="1822"/>
      <c r="G220" s="1822"/>
      <c r="H220" s="1822"/>
      <c r="I220" s="1822"/>
      <c r="J220" s="1822"/>
      <c r="K220" s="1822"/>
      <c r="L220" s="1822"/>
      <c r="M220" s="1822"/>
      <c r="N220" s="1827"/>
      <c r="V220" s="674"/>
      <c r="W220" s="675"/>
      <c r="X220" s="537" t="s">
        <v>7034</v>
      </c>
      <c r="AC220" s="675"/>
      <c r="AD220" s="675"/>
      <c r="AE220" s="675"/>
      <c r="AG220" s="675"/>
      <c r="AH220" s="680"/>
    </row>
    <row r="221" spans="1:34" s="536" customFormat="1" ht="45" x14ac:dyDescent="0.2">
      <c r="A221" s="575" t="s">
        <v>425</v>
      </c>
      <c r="B221" s="670" t="s">
        <v>1668</v>
      </c>
      <c r="C221" s="1823" t="s">
        <v>1669</v>
      </c>
      <c r="D221" s="1823"/>
      <c r="E221" s="1823"/>
      <c r="F221" s="573" t="s">
        <v>1110</v>
      </c>
      <c r="G221" s="573"/>
      <c r="H221" s="573"/>
      <c r="I221" s="573" t="s">
        <v>1422</v>
      </c>
      <c r="J221" s="572"/>
      <c r="K221" s="573"/>
      <c r="L221" s="572"/>
      <c r="M221" s="571"/>
      <c r="N221" s="570"/>
      <c r="V221" s="674"/>
      <c r="W221" s="675" t="s">
        <v>1669</v>
      </c>
      <c r="AC221" s="675"/>
      <c r="AD221" s="675"/>
      <c r="AE221" s="675"/>
      <c r="AG221" s="675"/>
      <c r="AH221" s="680"/>
    </row>
    <row r="222" spans="1:34" s="536" customFormat="1" ht="12" x14ac:dyDescent="0.2">
      <c r="A222" s="676"/>
      <c r="B222" s="664"/>
      <c r="C222" s="1822" t="s">
        <v>7035</v>
      </c>
      <c r="D222" s="1822"/>
      <c r="E222" s="1822"/>
      <c r="F222" s="1822"/>
      <c r="G222" s="1822"/>
      <c r="H222" s="1822"/>
      <c r="I222" s="1822"/>
      <c r="J222" s="1822"/>
      <c r="K222" s="1822"/>
      <c r="L222" s="1822"/>
      <c r="M222" s="1822"/>
      <c r="N222" s="1827"/>
      <c r="V222" s="674"/>
      <c r="W222" s="675"/>
      <c r="X222" s="537" t="s">
        <v>7035</v>
      </c>
      <c r="AC222" s="675"/>
      <c r="AD222" s="675"/>
      <c r="AE222" s="675"/>
      <c r="AG222" s="675"/>
      <c r="AH222" s="680"/>
    </row>
    <row r="223" spans="1:34" s="536" customFormat="1" ht="33.75" x14ac:dyDescent="0.2">
      <c r="A223" s="609"/>
      <c r="B223" s="552" t="s">
        <v>310</v>
      </c>
      <c r="C223" s="1822" t="s">
        <v>311</v>
      </c>
      <c r="D223" s="1822"/>
      <c r="E223" s="1822"/>
      <c r="F223" s="1822"/>
      <c r="G223" s="1822"/>
      <c r="H223" s="1822"/>
      <c r="I223" s="1822"/>
      <c r="J223" s="1822"/>
      <c r="K223" s="1822"/>
      <c r="L223" s="1822"/>
      <c r="M223" s="1822"/>
      <c r="N223" s="1827"/>
      <c r="V223" s="674"/>
      <c r="W223" s="675"/>
      <c r="Y223" s="537" t="s">
        <v>311</v>
      </c>
      <c r="AC223" s="675"/>
      <c r="AD223" s="675"/>
      <c r="AE223" s="675"/>
      <c r="AG223" s="675"/>
      <c r="AH223" s="680"/>
    </row>
    <row r="224" spans="1:34" s="536" customFormat="1" ht="12" x14ac:dyDescent="0.2">
      <c r="A224" s="605"/>
      <c r="B224" s="552" t="s">
        <v>185</v>
      </c>
      <c r="C224" s="1822" t="s">
        <v>312</v>
      </c>
      <c r="D224" s="1822"/>
      <c r="E224" s="1822"/>
      <c r="F224" s="562"/>
      <c r="G224" s="562"/>
      <c r="H224" s="562"/>
      <c r="I224" s="562"/>
      <c r="J224" s="604">
        <v>139.54</v>
      </c>
      <c r="K224" s="562" t="s">
        <v>313</v>
      </c>
      <c r="L224" s="604">
        <v>41.86</v>
      </c>
      <c r="M224" s="603"/>
      <c r="N224" s="602"/>
      <c r="V224" s="674"/>
      <c r="W224" s="675"/>
      <c r="Z224" s="537" t="s">
        <v>312</v>
      </c>
      <c r="AC224" s="675"/>
      <c r="AD224" s="675"/>
      <c r="AE224" s="675"/>
      <c r="AG224" s="675"/>
      <c r="AH224" s="680"/>
    </row>
    <row r="225" spans="1:34" s="536" customFormat="1" ht="12" x14ac:dyDescent="0.2">
      <c r="A225" s="605"/>
      <c r="B225" s="552" t="s">
        <v>188</v>
      </c>
      <c r="C225" s="1822" t="s">
        <v>475</v>
      </c>
      <c r="D225" s="1822"/>
      <c r="E225" s="1822"/>
      <c r="F225" s="562"/>
      <c r="G225" s="562"/>
      <c r="H225" s="562"/>
      <c r="I225" s="562"/>
      <c r="J225" s="604">
        <v>16.79</v>
      </c>
      <c r="K225" s="562"/>
      <c r="L225" s="604">
        <v>4.03</v>
      </c>
      <c r="M225" s="603"/>
      <c r="N225" s="602"/>
      <c r="V225" s="674"/>
      <c r="W225" s="675"/>
      <c r="Z225" s="537" t="s">
        <v>475</v>
      </c>
      <c r="AC225" s="675"/>
      <c r="AD225" s="675"/>
      <c r="AE225" s="675"/>
      <c r="AG225" s="675"/>
      <c r="AH225" s="680"/>
    </row>
    <row r="226" spans="1:34" s="536" customFormat="1" ht="12" x14ac:dyDescent="0.2">
      <c r="A226" s="605"/>
      <c r="B226" s="552"/>
      <c r="C226" s="1822" t="s">
        <v>314</v>
      </c>
      <c r="D226" s="1822"/>
      <c r="E226" s="1822"/>
      <c r="F226" s="562" t="s">
        <v>315</v>
      </c>
      <c r="G226" s="562" t="s">
        <v>1671</v>
      </c>
      <c r="H226" s="562" t="s">
        <v>313</v>
      </c>
      <c r="I226" s="562" t="s">
        <v>1663</v>
      </c>
      <c r="J226" s="604"/>
      <c r="K226" s="562"/>
      <c r="L226" s="604"/>
      <c r="M226" s="603"/>
      <c r="N226" s="602"/>
      <c r="V226" s="674"/>
      <c r="W226" s="675"/>
      <c r="AA226" s="537" t="s">
        <v>314</v>
      </c>
      <c r="AC226" s="675"/>
      <c r="AD226" s="675"/>
      <c r="AE226" s="675"/>
      <c r="AG226" s="675"/>
      <c r="AH226" s="680"/>
    </row>
    <row r="227" spans="1:34" s="536" customFormat="1" ht="12" x14ac:dyDescent="0.2">
      <c r="A227" s="605"/>
      <c r="B227" s="552"/>
      <c r="C227" s="1828" t="s">
        <v>318</v>
      </c>
      <c r="D227" s="1828"/>
      <c r="E227" s="1828"/>
      <c r="F227" s="608"/>
      <c r="G227" s="608"/>
      <c r="H227" s="608"/>
      <c r="I227" s="608"/>
      <c r="J227" s="607">
        <v>156.33000000000001</v>
      </c>
      <c r="K227" s="608"/>
      <c r="L227" s="607">
        <v>45.89</v>
      </c>
      <c r="M227" s="601"/>
      <c r="N227" s="606"/>
      <c r="V227" s="674"/>
      <c r="W227" s="675"/>
      <c r="AB227" s="537" t="s">
        <v>318</v>
      </c>
      <c r="AC227" s="675"/>
      <c r="AD227" s="675"/>
      <c r="AE227" s="675"/>
      <c r="AG227" s="675"/>
      <c r="AH227" s="680"/>
    </row>
    <row r="228" spans="1:34" s="536" customFormat="1" ht="12" x14ac:dyDescent="0.2">
      <c r="A228" s="605"/>
      <c r="B228" s="552"/>
      <c r="C228" s="1822" t="s">
        <v>319</v>
      </c>
      <c r="D228" s="1822"/>
      <c r="E228" s="1822"/>
      <c r="F228" s="562"/>
      <c r="G228" s="562"/>
      <c r="H228" s="562"/>
      <c r="I228" s="562"/>
      <c r="J228" s="604"/>
      <c r="K228" s="562"/>
      <c r="L228" s="604">
        <v>41.86</v>
      </c>
      <c r="M228" s="603"/>
      <c r="N228" s="602"/>
      <c r="V228" s="674"/>
      <c r="W228" s="675"/>
      <c r="AA228" s="537" t="s">
        <v>319</v>
      </c>
      <c r="AC228" s="675"/>
      <c r="AD228" s="675"/>
      <c r="AE228" s="675"/>
      <c r="AG228" s="675"/>
      <c r="AH228" s="680"/>
    </row>
    <row r="229" spans="1:34" s="536" customFormat="1" ht="33.75" x14ac:dyDescent="0.2">
      <c r="A229" s="605"/>
      <c r="B229" s="552" t="s">
        <v>1631</v>
      </c>
      <c r="C229" s="1822" t="s">
        <v>1632</v>
      </c>
      <c r="D229" s="1822"/>
      <c r="E229" s="1822"/>
      <c r="F229" s="562" t="s">
        <v>322</v>
      </c>
      <c r="G229" s="562" t="s">
        <v>1633</v>
      </c>
      <c r="H229" s="562"/>
      <c r="I229" s="562" t="s">
        <v>1633</v>
      </c>
      <c r="J229" s="604"/>
      <c r="K229" s="562"/>
      <c r="L229" s="604">
        <v>40.6</v>
      </c>
      <c r="M229" s="603"/>
      <c r="N229" s="602"/>
      <c r="V229" s="674"/>
      <c r="W229" s="675"/>
      <c r="AA229" s="537" t="s">
        <v>1632</v>
      </c>
      <c r="AC229" s="675"/>
      <c r="AD229" s="675"/>
      <c r="AE229" s="675"/>
      <c r="AG229" s="675"/>
      <c r="AH229" s="680"/>
    </row>
    <row r="230" spans="1:34" s="536" customFormat="1" ht="33.75" x14ac:dyDescent="0.2">
      <c r="A230" s="605"/>
      <c r="B230" s="552" t="s">
        <v>1634</v>
      </c>
      <c r="C230" s="1822" t="s">
        <v>1635</v>
      </c>
      <c r="D230" s="1822"/>
      <c r="E230" s="1822"/>
      <c r="F230" s="562" t="s">
        <v>322</v>
      </c>
      <c r="G230" s="562" t="s">
        <v>786</v>
      </c>
      <c r="H230" s="562"/>
      <c r="I230" s="562" t="s">
        <v>786</v>
      </c>
      <c r="J230" s="604"/>
      <c r="K230" s="562"/>
      <c r="L230" s="604">
        <v>21.35</v>
      </c>
      <c r="M230" s="603"/>
      <c r="N230" s="602"/>
      <c r="V230" s="674"/>
      <c r="W230" s="675"/>
      <c r="AA230" s="537" t="s">
        <v>1635</v>
      </c>
      <c r="AC230" s="675"/>
      <c r="AD230" s="675"/>
      <c r="AE230" s="675"/>
      <c r="AG230" s="675"/>
      <c r="AH230" s="680"/>
    </row>
    <row r="231" spans="1:34" s="536" customFormat="1" ht="12" x14ac:dyDescent="0.2">
      <c r="A231" s="569"/>
      <c r="B231" s="671"/>
      <c r="C231" s="1823" t="s">
        <v>327</v>
      </c>
      <c r="D231" s="1823"/>
      <c r="E231" s="1823"/>
      <c r="F231" s="573"/>
      <c r="G231" s="573"/>
      <c r="H231" s="573"/>
      <c r="I231" s="573"/>
      <c r="J231" s="572"/>
      <c r="K231" s="573"/>
      <c r="L231" s="572">
        <v>107.84</v>
      </c>
      <c r="M231" s="601"/>
      <c r="N231" s="570"/>
      <c r="V231" s="674"/>
      <c r="W231" s="675"/>
      <c r="AC231" s="675" t="s">
        <v>327</v>
      </c>
      <c r="AD231" s="675"/>
      <c r="AE231" s="675"/>
      <c r="AG231" s="675"/>
      <c r="AH231" s="680"/>
    </row>
    <row r="232" spans="1:34" s="536" customFormat="1" ht="45" x14ac:dyDescent="0.2">
      <c r="A232" s="575" t="s">
        <v>430</v>
      </c>
      <c r="B232" s="670" t="s">
        <v>7036</v>
      </c>
      <c r="C232" s="1823" t="s">
        <v>7037</v>
      </c>
      <c r="D232" s="1823"/>
      <c r="E232" s="1823"/>
      <c r="F232" s="573" t="s">
        <v>483</v>
      </c>
      <c r="G232" s="573"/>
      <c r="H232" s="573"/>
      <c r="I232" s="573" t="s">
        <v>7038</v>
      </c>
      <c r="J232" s="572">
        <v>207.44</v>
      </c>
      <c r="K232" s="573" t="s">
        <v>716</v>
      </c>
      <c r="L232" s="572">
        <v>529.11</v>
      </c>
      <c r="M232" s="571">
        <v>9.7899999999999991</v>
      </c>
      <c r="N232" s="570">
        <v>5180</v>
      </c>
      <c r="V232" s="674"/>
      <c r="W232" s="675" t="s">
        <v>7037</v>
      </c>
      <c r="AC232" s="675"/>
      <c r="AD232" s="675"/>
      <c r="AE232" s="675"/>
      <c r="AG232" s="675"/>
      <c r="AH232" s="680"/>
    </row>
    <row r="233" spans="1:34" s="536" customFormat="1" ht="12" x14ac:dyDescent="0.2">
      <c r="A233" s="569"/>
      <c r="B233" s="671"/>
      <c r="C233" s="665" t="s">
        <v>1658</v>
      </c>
      <c r="D233" s="666"/>
      <c r="E233" s="666"/>
      <c r="F233" s="563"/>
      <c r="G233" s="563"/>
      <c r="H233" s="563"/>
      <c r="I233" s="563"/>
      <c r="J233" s="566"/>
      <c r="K233" s="563"/>
      <c r="L233" s="566"/>
      <c r="M233" s="565"/>
      <c r="N233" s="564"/>
      <c r="V233" s="674"/>
      <c r="W233" s="675"/>
      <c r="AC233" s="675"/>
      <c r="AD233" s="675"/>
      <c r="AE233" s="675"/>
      <c r="AG233" s="675"/>
      <c r="AH233" s="680"/>
    </row>
    <row r="234" spans="1:34" s="536" customFormat="1" ht="12" x14ac:dyDescent="0.2">
      <c r="A234" s="676"/>
      <c r="B234" s="664"/>
      <c r="C234" s="1822" t="s">
        <v>7039</v>
      </c>
      <c r="D234" s="1822"/>
      <c r="E234" s="1822"/>
      <c r="F234" s="1822"/>
      <c r="G234" s="1822"/>
      <c r="H234" s="1822"/>
      <c r="I234" s="1822"/>
      <c r="J234" s="1822"/>
      <c r="K234" s="1822"/>
      <c r="L234" s="1822"/>
      <c r="M234" s="1822"/>
      <c r="N234" s="1827"/>
      <c r="V234" s="674"/>
      <c r="W234" s="675"/>
      <c r="X234" s="537" t="s">
        <v>7039</v>
      </c>
      <c r="AC234" s="675"/>
      <c r="AD234" s="675"/>
      <c r="AE234" s="675"/>
      <c r="AG234" s="675"/>
      <c r="AH234" s="680"/>
    </row>
    <row r="235" spans="1:34" s="536" customFormat="1" ht="22.5" x14ac:dyDescent="0.2">
      <c r="A235" s="609"/>
      <c r="B235" s="552" t="s">
        <v>718</v>
      </c>
      <c r="C235" s="1822" t="s">
        <v>719</v>
      </c>
      <c r="D235" s="1822"/>
      <c r="E235" s="1822"/>
      <c r="F235" s="1822"/>
      <c r="G235" s="1822"/>
      <c r="H235" s="1822"/>
      <c r="I235" s="1822"/>
      <c r="J235" s="1822"/>
      <c r="K235" s="1822"/>
      <c r="L235" s="1822"/>
      <c r="M235" s="1822"/>
      <c r="N235" s="1827"/>
      <c r="V235" s="674"/>
      <c r="W235" s="675"/>
      <c r="Y235" s="537" t="s">
        <v>719</v>
      </c>
      <c r="AC235" s="675"/>
      <c r="AD235" s="675"/>
      <c r="AE235" s="675"/>
      <c r="AG235" s="675"/>
      <c r="AH235" s="680"/>
    </row>
    <row r="236" spans="1:34" s="536" customFormat="1" ht="33.75" x14ac:dyDescent="0.2">
      <c r="A236" s="575" t="s">
        <v>436</v>
      </c>
      <c r="B236" s="670" t="s">
        <v>3099</v>
      </c>
      <c r="C236" s="1823" t="s">
        <v>5502</v>
      </c>
      <c r="D236" s="1823"/>
      <c r="E236" s="1823"/>
      <c r="F236" s="573" t="s">
        <v>1110</v>
      </c>
      <c r="G236" s="573"/>
      <c r="H236" s="573"/>
      <c r="I236" s="573" t="s">
        <v>7040</v>
      </c>
      <c r="J236" s="572"/>
      <c r="K236" s="573"/>
      <c r="L236" s="572"/>
      <c r="M236" s="571"/>
      <c r="N236" s="570"/>
      <c r="V236" s="674"/>
      <c r="W236" s="675" t="s">
        <v>5502</v>
      </c>
      <c r="AC236" s="675"/>
      <c r="AD236" s="675"/>
      <c r="AE236" s="675"/>
      <c r="AG236" s="675"/>
      <c r="AH236" s="680"/>
    </row>
    <row r="237" spans="1:34" s="536" customFormat="1" ht="12" x14ac:dyDescent="0.2">
      <c r="A237" s="676"/>
      <c r="B237" s="664"/>
      <c r="C237" s="1822" t="s">
        <v>7041</v>
      </c>
      <c r="D237" s="1822"/>
      <c r="E237" s="1822"/>
      <c r="F237" s="1822"/>
      <c r="G237" s="1822"/>
      <c r="H237" s="1822"/>
      <c r="I237" s="1822"/>
      <c r="J237" s="1822"/>
      <c r="K237" s="1822"/>
      <c r="L237" s="1822"/>
      <c r="M237" s="1822"/>
      <c r="N237" s="1827"/>
      <c r="V237" s="674"/>
      <c r="W237" s="675"/>
      <c r="X237" s="537" t="s">
        <v>7041</v>
      </c>
      <c r="AC237" s="675"/>
      <c r="AD237" s="675"/>
      <c r="AE237" s="675"/>
      <c r="AG237" s="675"/>
      <c r="AH237" s="680"/>
    </row>
    <row r="238" spans="1:34" s="536" customFormat="1" ht="33.75" x14ac:dyDescent="0.2">
      <c r="A238" s="609"/>
      <c r="B238" s="552" t="s">
        <v>310</v>
      </c>
      <c r="C238" s="1822" t="s">
        <v>311</v>
      </c>
      <c r="D238" s="1822"/>
      <c r="E238" s="1822"/>
      <c r="F238" s="1822"/>
      <c r="G238" s="1822"/>
      <c r="H238" s="1822"/>
      <c r="I238" s="1822"/>
      <c r="J238" s="1822"/>
      <c r="K238" s="1822"/>
      <c r="L238" s="1822"/>
      <c r="M238" s="1822"/>
      <c r="N238" s="1827"/>
      <c r="V238" s="674"/>
      <c r="W238" s="675"/>
      <c r="Y238" s="537" t="s">
        <v>311</v>
      </c>
      <c r="AC238" s="675"/>
      <c r="AD238" s="675"/>
      <c r="AE238" s="675"/>
      <c r="AG238" s="675"/>
      <c r="AH238" s="680"/>
    </row>
    <row r="239" spans="1:34" s="536" customFormat="1" ht="12" x14ac:dyDescent="0.2">
      <c r="A239" s="605"/>
      <c r="B239" s="552" t="s">
        <v>185</v>
      </c>
      <c r="C239" s="1822" t="s">
        <v>312</v>
      </c>
      <c r="D239" s="1822"/>
      <c r="E239" s="1822"/>
      <c r="F239" s="562"/>
      <c r="G239" s="562"/>
      <c r="H239" s="562"/>
      <c r="I239" s="562"/>
      <c r="J239" s="604">
        <v>93.25</v>
      </c>
      <c r="K239" s="562" t="s">
        <v>313</v>
      </c>
      <c r="L239" s="604">
        <v>149.19999999999999</v>
      </c>
      <c r="M239" s="603"/>
      <c r="N239" s="602"/>
      <c r="V239" s="674"/>
      <c r="W239" s="675"/>
      <c r="Z239" s="537" t="s">
        <v>312</v>
      </c>
      <c r="AC239" s="675"/>
      <c r="AD239" s="675"/>
      <c r="AE239" s="675"/>
      <c r="AG239" s="675"/>
      <c r="AH239" s="680"/>
    </row>
    <row r="240" spans="1:34" s="536" customFormat="1" ht="12" x14ac:dyDescent="0.2">
      <c r="A240" s="605"/>
      <c r="B240" s="552" t="s">
        <v>186</v>
      </c>
      <c r="C240" s="1822" t="s">
        <v>344</v>
      </c>
      <c r="D240" s="1822"/>
      <c r="E240" s="1822"/>
      <c r="F240" s="562"/>
      <c r="G240" s="562"/>
      <c r="H240" s="562"/>
      <c r="I240" s="562"/>
      <c r="J240" s="604">
        <v>46.25</v>
      </c>
      <c r="K240" s="562" t="s">
        <v>313</v>
      </c>
      <c r="L240" s="604">
        <v>74</v>
      </c>
      <c r="M240" s="603"/>
      <c r="N240" s="602"/>
      <c r="V240" s="674"/>
      <c r="W240" s="675"/>
      <c r="Z240" s="537" t="s">
        <v>344</v>
      </c>
      <c r="AC240" s="675"/>
      <c r="AD240" s="675"/>
      <c r="AE240" s="675"/>
      <c r="AG240" s="675"/>
      <c r="AH240" s="680"/>
    </row>
    <row r="241" spans="1:34" s="536" customFormat="1" ht="12" x14ac:dyDescent="0.2">
      <c r="A241" s="605"/>
      <c r="B241" s="552" t="s">
        <v>187</v>
      </c>
      <c r="C241" s="1822" t="s">
        <v>345</v>
      </c>
      <c r="D241" s="1822"/>
      <c r="E241" s="1822"/>
      <c r="F241" s="562"/>
      <c r="G241" s="562"/>
      <c r="H241" s="562"/>
      <c r="I241" s="562"/>
      <c r="J241" s="604">
        <v>5.0199999999999996</v>
      </c>
      <c r="K241" s="562" t="s">
        <v>313</v>
      </c>
      <c r="L241" s="604">
        <v>8.0299999999999994</v>
      </c>
      <c r="M241" s="603"/>
      <c r="N241" s="602"/>
      <c r="V241" s="674"/>
      <c r="W241" s="675"/>
      <c r="Z241" s="537" t="s">
        <v>345</v>
      </c>
      <c r="AC241" s="675"/>
      <c r="AD241" s="675"/>
      <c r="AE241" s="675"/>
      <c r="AG241" s="675"/>
      <c r="AH241" s="680"/>
    </row>
    <row r="242" spans="1:34" s="536" customFormat="1" ht="12" x14ac:dyDescent="0.2">
      <c r="A242" s="605"/>
      <c r="B242" s="552" t="s">
        <v>188</v>
      </c>
      <c r="C242" s="1822" t="s">
        <v>475</v>
      </c>
      <c r="D242" s="1822"/>
      <c r="E242" s="1822"/>
      <c r="F242" s="562"/>
      <c r="G242" s="562"/>
      <c r="H242" s="562"/>
      <c r="I242" s="562"/>
      <c r="J242" s="604">
        <v>37.03</v>
      </c>
      <c r="K242" s="562"/>
      <c r="L242" s="604">
        <v>47.4</v>
      </c>
      <c r="M242" s="603"/>
      <c r="N242" s="602"/>
      <c r="V242" s="674"/>
      <c r="W242" s="675"/>
      <c r="Z242" s="537" t="s">
        <v>475</v>
      </c>
      <c r="AC242" s="675"/>
      <c r="AD242" s="675"/>
      <c r="AE242" s="675"/>
      <c r="AG242" s="675"/>
      <c r="AH242" s="680"/>
    </row>
    <row r="243" spans="1:34" s="536" customFormat="1" ht="12" x14ac:dyDescent="0.2">
      <c r="A243" s="605"/>
      <c r="B243" s="552"/>
      <c r="C243" s="1822" t="s">
        <v>314</v>
      </c>
      <c r="D243" s="1822"/>
      <c r="E243" s="1822"/>
      <c r="F243" s="562" t="s">
        <v>315</v>
      </c>
      <c r="G243" s="562" t="s">
        <v>3101</v>
      </c>
      <c r="H243" s="562" t="s">
        <v>313</v>
      </c>
      <c r="I243" s="562" t="s">
        <v>7042</v>
      </c>
      <c r="J243" s="604"/>
      <c r="K243" s="562"/>
      <c r="L243" s="604"/>
      <c r="M243" s="603"/>
      <c r="N243" s="602"/>
      <c r="V243" s="674"/>
      <c r="W243" s="675"/>
      <c r="AA243" s="537" t="s">
        <v>314</v>
      </c>
      <c r="AC243" s="675"/>
      <c r="AD243" s="675"/>
      <c r="AE243" s="675"/>
      <c r="AG243" s="675"/>
      <c r="AH243" s="680"/>
    </row>
    <row r="244" spans="1:34" s="536" customFormat="1" ht="12" x14ac:dyDescent="0.2">
      <c r="A244" s="605"/>
      <c r="B244" s="552"/>
      <c r="C244" s="1822" t="s">
        <v>348</v>
      </c>
      <c r="D244" s="1822"/>
      <c r="E244" s="1822"/>
      <c r="F244" s="562" t="s">
        <v>315</v>
      </c>
      <c r="G244" s="562" t="s">
        <v>947</v>
      </c>
      <c r="H244" s="562" t="s">
        <v>313</v>
      </c>
      <c r="I244" s="562" t="s">
        <v>336</v>
      </c>
      <c r="J244" s="604"/>
      <c r="K244" s="562"/>
      <c r="L244" s="604"/>
      <c r="M244" s="603"/>
      <c r="N244" s="602"/>
      <c r="V244" s="674"/>
      <c r="W244" s="675"/>
      <c r="AA244" s="537" t="s">
        <v>348</v>
      </c>
      <c r="AC244" s="675"/>
      <c r="AD244" s="675"/>
      <c r="AE244" s="675"/>
      <c r="AG244" s="675"/>
      <c r="AH244" s="680"/>
    </row>
    <row r="245" spans="1:34" s="536" customFormat="1" ht="12" x14ac:dyDescent="0.2">
      <c r="A245" s="605"/>
      <c r="B245" s="552"/>
      <c r="C245" s="1828" t="s">
        <v>318</v>
      </c>
      <c r="D245" s="1828"/>
      <c r="E245" s="1828"/>
      <c r="F245" s="608"/>
      <c r="G245" s="608"/>
      <c r="H245" s="608"/>
      <c r="I245" s="608"/>
      <c r="J245" s="607">
        <v>176.53</v>
      </c>
      <c r="K245" s="608"/>
      <c r="L245" s="607">
        <v>270.60000000000002</v>
      </c>
      <c r="M245" s="601"/>
      <c r="N245" s="606"/>
      <c r="V245" s="674"/>
      <c r="W245" s="675"/>
      <c r="AB245" s="537" t="s">
        <v>318</v>
      </c>
      <c r="AC245" s="675"/>
      <c r="AD245" s="675"/>
      <c r="AE245" s="675"/>
      <c r="AG245" s="675"/>
      <c r="AH245" s="680"/>
    </row>
    <row r="246" spans="1:34" s="536" customFormat="1" ht="12" x14ac:dyDescent="0.2">
      <c r="A246" s="605"/>
      <c r="B246" s="552"/>
      <c r="C246" s="1822" t="s">
        <v>319</v>
      </c>
      <c r="D246" s="1822"/>
      <c r="E246" s="1822"/>
      <c r="F246" s="562"/>
      <c r="G246" s="562"/>
      <c r="H246" s="562"/>
      <c r="I246" s="562"/>
      <c r="J246" s="604"/>
      <c r="K246" s="562"/>
      <c r="L246" s="604">
        <v>157.22999999999999</v>
      </c>
      <c r="M246" s="603"/>
      <c r="N246" s="602"/>
      <c r="V246" s="674"/>
      <c r="W246" s="675"/>
      <c r="AA246" s="537" t="s">
        <v>319</v>
      </c>
      <c r="AC246" s="675"/>
      <c r="AD246" s="675"/>
      <c r="AE246" s="675"/>
      <c r="AG246" s="675"/>
      <c r="AH246" s="680"/>
    </row>
    <row r="247" spans="1:34" s="536" customFormat="1" ht="33.75" x14ac:dyDescent="0.2">
      <c r="A247" s="605"/>
      <c r="B247" s="552" t="s">
        <v>1631</v>
      </c>
      <c r="C247" s="1822" t="s">
        <v>1632</v>
      </c>
      <c r="D247" s="1822"/>
      <c r="E247" s="1822"/>
      <c r="F247" s="562" t="s">
        <v>322</v>
      </c>
      <c r="G247" s="562" t="s">
        <v>1633</v>
      </c>
      <c r="H247" s="562"/>
      <c r="I247" s="562" t="s">
        <v>1633</v>
      </c>
      <c r="J247" s="604"/>
      <c r="K247" s="562"/>
      <c r="L247" s="604">
        <v>152.51</v>
      </c>
      <c r="M247" s="603"/>
      <c r="N247" s="602"/>
      <c r="V247" s="674"/>
      <c r="W247" s="675"/>
      <c r="AA247" s="537" t="s">
        <v>1632</v>
      </c>
      <c r="AC247" s="675"/>
      <c r="AD247" s="675"/>
      <c r="AE247" s="675"/>
      <c r="AG247" s="675"/>
      <c r="AH247" s="680"/>
    </row>
    <row r="248" spans="1:34" s="536" customFormat="1" ht="33.75" x14ac:dyDescent="0.2">
      <c r="A248" s="605"/>
      <c r="B248" s="552" t="s">
        <v>1634</v>
      </c>
      <c r="C248" s="1822" t="s">
        <v>1635</v>
      </c>
      <c r="D248" s="1822"/>
      <c r="E248" s="1822"/>
      <c r="F248" s="562" t="s">
        <v>322</v>
      </c>
      <c r="G248" s="562" t="s">
        <v>786</v>
      </c>
      <c r="H248" s="562"/>
      <c r="I248" s="562" t="s">
        <v>786</v>
      </c>
      <c r="J248" s="604"/>
      <c r="K248" s="562"/>
      <c r="L248" s="604">
        <v>80.19</v>
      </c>
      <c r="M248" s="603"/>
      <c r="N248" s="602"/>
      <c r="V248" s="674"/>
      <c r="W248" s="675"/>
      <c r="AA248" s="537" t="s">
        <v>1635</v>
      </c>
      <c r="AC248" s="675"/>
      <c r="AD248" s="675"/>
      <c r="AE248" s="675"/>
      <c r="AG248" s="675"/>
      <c r="AH248" s="680"/>
    </row>
    <row r="249" spans="1:34" s="536" customFormat="1" ht="12" x14ac:dyDescent="0.2">
      <c r="A249" s="569"/>
      <c r="B249" s="671"/>
      <c r="C249" s="1823" t="s">
        <v>327</v>
      </c>
      <c r="D249" s="1823"/>
      <c r="E249" s="1823"/>
      <c r="F249" s="573"/>
      <c r="G249" s="573"/>
      <c r="H249" s="573"/>
      <c r="I249" s="573"/>
      <c r="J249" s="572"/>
      <c r="K249" s="573"/>
      <c r="L249" s="572">
        <v>503.3</v>
      </c>
      <c r="M249" s="601"/>
      <c r="N249" s="570"/>
      <c r="V249" s="674"/>
      <c r="W249" s="675"/>
      <c r="AC249" s="675" t="s">
        <v>327</v>
      </c>
      <c r="AD249" s="675"/>
      <c r="AE249" s="675"/>
      <c r="AG249" s="675"/>
      <c r="AH249" s="680"/>
    </row>
    <row r="250" spans="1:34" s="536" customFormat="1" ht="22.5" x14ac:dyDescent="0.2">
      <c r="A250" s="575" t="s">
        <v>733</v>
      </c>
      <c r="B250" s="670" t="s">
        <v>7043</v>
      </c>
      <c r="C250" s="1823" t="s">
        <v>7044</v>
      </c>
      <c r="D250" s="1823"/>
      <c r="E250" s="1823"/>
      <c r="F250" s="573" t="s">
        <v>1687</v>
      </c>
      <c r="G250" s="573"/>
      <c r="H250" s="573"/>
      <c r="I250" s="573" t="s">
        <v>7045</v>
      </c>
      <c r="J250" s="572">
        <v>18742.68</v>
      </c>
      <c r="K250" s="573"/>
      <c r="L250" s="572">
        <v>2447.04</v>
      </c>
      <c r="M250" s="571"/>
      <c r="N250" s="570"/>
      <c r="V250" s="674"/>
      <c r="W250" s="675" t="s">
        <v>7044</v>
      </c>
      <c r="AC250" s="675"/>
      <c r="AD250" s="675"/>
      <c r="AE250" s="675"/>
      <c r="AG250" s="675"/>
      <c r="AH250" s="680"/>
    </row>
    <row r="251" spans="1:34" s="536" customFormat="1" ht="12" x14ac:dyDescent="0.2">
      <c r="A251" s="569"/>
      <c r="B251" s="671"/>
      <c r="C251" s="665" t="s">
        <v>1658</v>
      </c>
      <c r="D251" s="666"/>
      <c r="E251" s="666"/>
      <c r="F251" s="563"/>
      <c r="G251" s="563"/>
      <c r="H251" s="563"/>
      <c r="I251" s="563"/>
      <c r="J251" s="566"/>
      <c r="K251" s="563"/>
      <c r="L251" s="566"/>
      <c r="M251" s="565"/>
      <c r="N251" s="564"/>
      <c r="V251" s="674"/>
      <c r="W251" s="675"/>
      <c r="AC251" s="675"/>
      <c r="AD251" s="675"/>
      <c r="AE251" s="675"/>
      <c r="AG251" s="675"/>
      <c r="AH251" s="680"/>
    </row>
    <row r="252" spans="1:34" s="536" customFormat="1" ht="12" x14ac:dyDescent="0.2">
      <c r="A252" s="676"/>
      <c r="B252" s="664"/>
      <c r="C252" s="1822" t="s">
        <v>7046</v>
      </c>
      <c r="D252" s="1822"/>
      <c r="E252" s="1822"/>
      <c r="F252" s="1822"/>
      <c r="G252" s="1822"/>
      <c r="H252" s="1822"/>
      <c r="I252" s="1822"/>
      <c r="J252" s="1822"/>
      <c r="K252" s="1822"/>
      <c r="L252" s="1822"/>
      <c r="M252" s="1822"/>
      <c r="N252" s="1827"/>
      <c r="V252" s="674"/>
      <c r="W252" s="675"/>
      <c r="X252" s="537" t="s">
        <v>7046</v>
      </c>
      <c r="AC252" s="675"/>
      <c r="AD252" s="675"/>
      <c r="AE252" s="675"/>
      <c r="AG252" s="675"/>
      <c r="AH252" s="680"/>
    </row>
    <row r="253" spans="1:34" s="536" customFormat="1" ht="33.75" x14ac:dyDescent="0.2">
      <c r="A253" s="575" t="s">
        <v>736</v>
      </c>
      <c r="B253" s="670" t="s">
        <v>5493</v>
      </c>
      <c r="C253" s="1823" t="s">
        <v>5494</v>
      </c>
      <c r="D253" s="1823"/>
      <c r="E253" s="1823"/>
      <c r="F253" s="573" t="s">
        <v>1110</v>
      </c>
      <c r="G253" s="573"/>
      <c r="H253" s="573"/>
      <c r="I253" s="573" t="s">
        <v>2247</v>
      </c>
      <c r="J253" s="572"/>
      <c r="K253" s="573"/>
      <c r="L253" s="572"/>
      <c r="M253" s="571"/>
      <c r="N253" s="570"/>
      <c r="V253" s="674"/>
      <c r="W253" s="675" t="s">
        <v>5494</v>
      </c>
      <c r="AC253" s="675"/>
      <c r="AD253" s="675"/>
      <c r="AE253" s="675"/>
      <c r="AG253" s="675"/>
      <c r="AH253" s="680"/>
    </row>
    <row r="254" spans="1:34" s="536" customFormat="1" ht="12" x14ac:dyDescent="0.2">
      <c r="A254" s="676"/>
      <c r="B254" s="664"/>
      <c r="C254" s="1822" t="s">
        <v>2248</v>
      </c>
      <c r="D254" s="1822"/>
      <c r="E254" s="1822"/>
      <c r="F254" s="1822"/>
      <c r="G254" s="1822"/>
      <c r="H254" s="1822"/>
      <c r="I254" s="1822"/>
      <c r="J254" s="1822"/>
      <c r="K254" s="1822"/>
      <c r="L254" s="1822"/>
      <c r="M254" s="1822"/>
      <c r="N254" s="1827"/>
      <c r="V254" s="674"/>
      <c r="W254" s="675"/>
      <c r="X254" s="537" t="s">
        <v>2248</v>
      </c>
      <c r="AC254" s="675"/>
      <c r="AD254" s="675"/>
      <c r="AE254" s="675"/>
      <c r="AG254" s="675"/>
      <c r="AH254" s="680"/>
    </row>
    <row r="255" spans="1:34" s="536" customFormat="1" ht="33.75" x14ac:dyDescent="0.2">
      <c r="A255" s="609"/>
      <c r="B255" s="552" t="s">
        <v>310</v>
      </c>
      <c r="C255" s="1822" t="s">
        <v>311</v>
      </c>
      <c r="D255" s="1822"/>
      <c r="E255" s="1822"/>
      <c r="F255" s="1822"/>
      <c r="G255" s="1822"/>
      <c r="H255" s="1822"/>
      <c r="I255" s="1822"/>
      <c r="J255" s="1822"/>
      <c r="K255" s="1822"/>
      <c r="L255" s="1822"/>
      <c r="M255" s="1822"/>
      <c r="N255" s="1827"/>
      <c r="V255" s="674"/>
      <c r="W255" s="675"/>
      <c r="Y255" s="537" t="s">
        <v>311</v>
      </c>
      <c r="AC255" s="675"/>
      <c r="AD255" s="675"/>
      <c r="AE255" s="675"/>
      <c r="AG255" s="675"/>
      <c r="AH255" s="680"/>
    </row>
    <row r="256" spans="1:34" s="536" customFormat="1" ht="12" x14ac:dyDescent="0.2">
      <c r="A256" s="605"/>
      <c r="B256" s="552" t="s">
        <v>185</v>
      </c>
      <c r="C256" s="1822" t="s">
        <v>312</v>
      </c>
      <c r="D256" s="1822"/>
      <c r="E256" s="1822"/>
      <c r="F256" s="562"/>
      <c r="G256" s="562"/>
      <c r="H256" s="562"/>
      <c r="I256" s="562"/>
      <c r="J256" s="604">
        <v>213.57</v>
      </c>
      <c r="K256" s="562" t="s">
        <v>313</v>
      </c>
      <c r="L256" s="604">
        <v>21.36</v>
      </c>
      <c r="M256" s="603"/>
      <c r="N256" s="602"/>
      <c r="V256" s="674"/>
      <c r="W256" s="675"/>
      <c r="Z256" s="537" t="s">
        <v>312</v>
      </c>
      <c r="AC256" s="675"/>
      <c r="AD256" s="675"/>
      <c r="AE256" s="675"/>
      <c r="AG256" s="675"/>
      <c r="AH256" s="680"/>
    </row>
    <row r="257" spans="1:34" s="536" customFormat="1" ht="12" x14ac:dyDescent="0.2">
      <c r="A257" s="605"/>
      <c r="B257" s="552" t="s">
        <v>186</v>
      </c>
      <c r="C257" s="1822" t="s">
        <v>344</v>
      </c>
      <c r="D257" s="1822"/>
      <c r="E257" s="1822"/>
      <c r="F257" s="562"/>
      <c r="G257" s="562"/>
      <c r="H257" s="562"/>
      <c r="I257" s="562"/>
      <c r="J257" s="604">
        <v>159.75</v>
      </c>
      <c r="K257" s="562" t="s">
        <v>313</v>
      </c>
      <c r="L257" s="604">
        <v>15.98</v>
      </c>
      <c r="M257" s="603"/>
      <c r="N257" s="602"/>
      <c r="V257" s="674"/>
      <c r="W257" s="675"/>
      <c r="Z257" s="537" t="s">
        <v>344</v>
      </c>
      <c r="AC257" s="675"/>
      <c r="AD257" s="675"/>
      <c r="AE257" s="675"/>
      <c r="AG257" s="675"/>
      <c r="AH257" s="680"/>
    </row>
    <row r="258" spans="1:34" s="536" customFormat="1" ht="12" x14ac:dyDescent="0.2">
      <c r="A258" s="605"/>
      <c r="B258" s="552" t="s">
        <v>187</v>
      </c>
      <c r="C258" s="1822" t="s">
        <v>345</v>
      </c>
      <c r="D258" s="1822"/>
      <c r="E258" s="1822"/>
      <c r="F258" s="562"/>
      <c r="G258" s="562"/>
      <c r="H258" s="562"/>
      <c r="I258" s="562"/>
      <c r="J258" s="604">
        <v>18.329999999999998</v>
      </c>
      <c r="K258" s="562" t="s">
        <v>313</v>
      </c>
      <c r="L258" s="604">
        <v>1.83</v>
      </c>
      <c r="M258" s="603"/>
      <c r="N258" s="602"/>
      <c r="V258" s="674"/>
      <c r="W258" s="675"/>
      <c r="Z258" s="537" t="s">
        <v>345</v>
      </c>
      <c r="AC258" s="675"/>
      <c r="AD258" s="675"/>
      <c r="AE258" s="675"/>
      <c r="AG258" s="675"/>
      <c r="AH258" s="680"/>
    </row>
    <row r="259" spans="1:34" s="536" customFormat="1" ht="12" x14ac:dyDescent="0.2">
      <c r="A259" s="605"/>
      <c r="B259" s="552" t="s">
        <v>188</v>
      </c>
      <c r="C259" s="1822" t="s">
        <v>475</v>
      </c>
      <c r="D259" s="1822"/>
      <c r="E259" s="1822"/>
      <c r="F259" s="562"/>
      <c r="G259" s="562"/>
      <c r="H259" s="562"/>
      <c r="I259" s="562"/>
      <c r="J259" s="604">
        <v>104.4</v>
      </c>
      <c r="K259" s="562"/>
      <c r="L259" s="604">
        <v>8.35</v>
      </c>
      <c r="M259" s="603"/>
      <c r="N259" s="602"/>
      <c r="V259" s="674"/>
      <c r="W259" s="675"/>
      <c r="Z259" s="537" t="s">
        <v>475</v>
      </c>
      <c r="AC259" s="675"/>
      <c r="AD259" s="675"/>
      <c r="AE259" s="675"/>
      <c r="AG259" s="675"/>
      <c r="AH259" s="680"/>
    </row>
    <row r="260" spans="1:34" s="536" customFormat="1" ht="12" x14ac:dyDescent="0.2">
      <c r="A260" s="605"/>
      <c r="B260" s="552"/>
      <c r="C260" s="1822" t="s">
        <v>314</v>
      </c>
      <c r="D260" s="1822"/>
      <c r="E260" s="1822"/>
      <c r="F260" s="562" t="s">
        <v>315</v>
      </c>
      <c r="G260" s="562" t="s">
        <v>5495</v>
      </c>
      <c r="H260" s="562" t="s">
        <v>313</v>
      </c>
      <c r="I260" s="562" t="s">
        <v>7047</v>
      </c>
      <c r="J260" s="604"/>
      <c r="K260" s="562"/>
      <c r="L260" s="604"/>
      <c r="M260" s="603"/>
      <c r="N260" s="602"/>
      <c r="V260" s="674"/>
      <c r="W260" s="675"/>
      <c r="AA260" s="537" t="s">
        <v>314</v>
      </c>
      <c r="AC260" s="675"/>
      <c r="AD260" s="675"/>
      <c r="AE260" s="675"/>
      <c r="AG260" s="675"/>
      <c r="AH260" s="680"/>
    </row>
    <row r="261" spans="1:34" s="536" customFormat="1" ht="12" x14ac:dyDescent="0.2">
      <c r="A261" s="605"/>
      <c r="B261" s="552"/>
      <c r="C261" s="1822" t="s">
        <v>348</v>
      </c>
      <c r="D261" s="1822"/>
      <c r="E261" s="1822"/>
      <c r="F261" s="562" t="s">
        <v>315</v>
      </c>
      <c r="G261" s="562" t="s">
        <v>3107</v>
      </c>
      <c r="H261" s="562" t="s">
        <v>313</v>
      </c>
      <c r="I261" s="562" t="s">
        <v>2019</v>
      </c>
      <c r="J261" s="604"/>
      <c r="K261" s="562"/>
      <c r="L261" s="604"/>
      <c r="M261" s="603"/>
      <c r="N261" s="602"/>
      <c r="V261" s="674"/>
      <c r="W261" s="675"/>
      <c r="AA261" s="537" t="s">
        <v>348</v>
      </c>
      <c r="AC261" s="675"/>
      <c r="AD261" s="675"/>
      <c r="AE261" s="675"/>
      <c r="AG261" s="675"/>
      <c r="AH261" s="680"/>
    </row>
    <row r="262" spans="1:34" s="536" customFormat="1" ht="12" x14ac:dyDescent="0.2">
      <c r="A262" s="605"/>
      <c r="B262" s="552"/>
      <c r="C262" s="1828" t="s">
        <v>318</v>
      </c>
      <c r="D262" s="1828"/>
      <c r="E262" s="1828"/>
      <c r="F262" s="608"/>
      <c r="G262" s="608"/>
      <c r="H262" s="608"/>
      <c r="I262" s="608"/>
      <c r="J262" s="607">
        <v>477.72</v>
      </c>
      <c r="K262" s="608"/>
      <c r="L262" s="607">
        <v>45.69</v>
      </c>
      <c r="M262" s="601"/>
      <c r="N262" s="606"/>
      <c r="V262" s="674"/>
      <c r="W262" s="675"/>
      <c r="AB262" s="537" t="s">
        <v>318</v>
      </c>
      <c r="AC262" s="675"/>
      <c r="AD262" s="675"/>
      <c r="AE262" s="675"/>
      <c r="AG262" s="675"/>
      <c r="AH262" s="680"/>
    </row>
    <row r="263" spans="1:34" s="536" customFormat="1" ht="12" x14ac:dyDescent="0.2">
      <c r="A263" s="605"/>
      <c r="B263" s="552"/>
      <c r="C263" s="1822" t="s">
        <v>319</v>
      </c>
      <c r="D263" s="1822"/>
      <c r="E263" s="1822"/>
      <c r="F263" s="562"/>
      <c r="G263" s="562"/>
      <c r="H263" s="562"/>
      <c r="I263" s="562"/>
      <c r="J263" s="604"/>
      <c r="K263" s="562"/>
      <c r="L263" s="604">
        <v>23.19</v>
      </c>
      <c r="M263" s="603"/>
      <c r="N263" s="602"/>
      <c r="V263" s="674"/>
      <c r="W263" s="675"/>
      <c r="AA263" s="537" t="s">
        <v>319</v>
      </c>
      <c r="AC263" s="675"/>
      <c r="AD263" s="675"/>
      <c r="AE263" s="675"/>
      <c r="AG263" s="675"/>
      <c r="AH263" s="680"/>
    </row>
    <row r="264" spans="1:34" s="536" customFormat="1" ht="33.75" x14ac:dyDescent="0.2">
      <c r="A264" s="605"/>
      <c r="B264" s="552" t="s">
        <v>1631</v>
      </c>
      <c r="C264" s="1822" t="s">
        <v>1632</v>
      </c>
      <c r="D264" s="1822"/>
      <c r="E264" s="1822"/>
      <c r="F264" s="562" t="s">
        <v>322</v>
      </c>
      <c r="G264" s="562" t="s">
        <v>1633</v>
      </c>
      <c r="H264" s="562"/>
      <c r="I264" s="562" t="s">
        <v>1633</v>
      </c>
      <c r="J264" s="604"/>
      <c r="K264" s="562"/>
      <c r="L264" s="604">
        <v>22.49</v>
      </c>
      <c r="M264" s="603"/>
      <c r="N264" s="602"/>
      <c r="V264" s="674"/>
      <c r="W264" s="675"/>
      <c r="AA264" s="537" t="s">
        <v>1632</v>
      </c>
      <c r="AC264" s="675"/>
      <c r="AD264" s="675"/>
      <c r="AE264" s="675"/>
      <c r="AG264" s="675"/>
      <c r="AH264" s="680"/>
    </row>
    <row r="265" spans="1:34" s="536" customFormat="1" ht="33.75" x14ac:dyDescent="0.2">
      <c r="A265" s="605"/>
      <c r="B265" s="552" t="s">
        <v>1634</v>
      </c>
      <c r="C265" s="1822" t="s">
        <v>1635</v>
      </c>
      <c r="D265" s="1822"/>
      <c r="E265" s="1822"/>
      <c r="F265" s="562" t="s">
        <v>322</v>
      </c>
      <c r="G265" s="562" t="s">
        <v>786</v>
      </c>
      <c r="H265" s="562"/>
      <c r="I265" s="562" t="s">
        <v>786</v>
      </c>
      <c r="J265" s="604"/>
      <c r="K265" s="562"/>
      <c r="L265" s="604">
        <v>11.83</v>
      </c>
      <c r="M265" s="603"/>
      <c r="N265" s="602"/>
      <c r="V265" s="674"/>
      <c r="W265" s="675"/>
      <c r="AA265" s="537" t="s">
        <v>1635</v>
      </c>
      <c r="AC265" s="675"/>
      <c r="AD265" s="675"/>
      <c r="AE265" s="675"/>
      <c r="AG265" s="675"/>
      <c r="AH265" s="680"/>
    </row>
    <row r="266" spans="1:34" s="536" customFormat="1" ht="12" x14ac:dyDescent="0.2">
      <c r="A266" s="569"/>
      <c r="B266" s="671"/>
      <c r="C266" s="1823" t="s">
        <v>327</v>
      </c>
      <c r="D266" s="1823"/>
      <c r="E266" s="1823"/>
      <c r="F266" s="573"/>
      <c r="G266" s="573"/>
      <c r="H266" s="573"/>
      <c r="I266" s="573"/>
      <c r="J266" s="572"/>
      <c r="K266" s="573"/>
      <c r="L266" s="572">
        <v>80.010000000000005</v>
      </c>
      <c r="M266" s="601"/>
      <c r="N266" s="570"/>
      <c r="V266" s="674"/>
      <c r="W266" s="675"/>
      <c r="AC266" s="675" t="s">
        <v>327</v>
      </c>
      <c r="AD266" s="675"/>
      <c r="AE266" s="675"/>
      <c r="AG266" s="675"/>
      <c r="AH266" s="680"/>
    </row>
    <row r="267" spans="1:34" s="536" customFormat="1" ht="56.25" x14ac:dyDescent="0.2">
      <c r="A267" s="575" t="s">
        <v>1067</v>
      </c>
      <c r="B267" s="670" t="s">
        <v>5498</v>
      </c>
      <c r="C267" s="1823" t="s">
        <v>5499</v>
      </c>
      <c r="D267" s="1823"/>
      <c r="E267" s="1823"/>
      <c r="F267" s="573" t="s">
        <v>483</v>
      </c>
      <c r="G267" s="573"/>
      <c r="H267" s="573"/>
      <c r="I267" s="573" t="s">
        <v>3577</v>
      </c>
      <c r="J267" s="572">
        <v>44.26</v>
      </c>
      <c r="K267" s="573"/>
      <c r="L267" s="572">
        <v>361.16</v>
      </c>
      <c r="M267" s="571"/>
      <c r="N267" s="570"/>
      <c r="V267" s="674"/>
      <c r="W267" s="675" t="s">
        <v>5499</v>
      </c>
      <c r="AC267" s="675"/>
      <c r="AD267" s="675"/>
      <c r="AE267" s="675"/>
      <c r="AG267" s="675"/>
      <c r="AH267" s="680"/>
    </row>
    <row r="268" spans="1:34" s="536" customFormat="1" ht="12" x14ac:dyDescent="0.2">
      <c r="A268" s="569"/>
      <c r="B268" s="671"/>
      <c r="C268" s="665" t="s">
        <v>1658</v>
      </c>
      <c r="D268" s="666"/>
      <c r="E268" s="666"/>
      <c r="F268" s="563"/>
      <c r="G268" s="563"/>
      <c r="H268" s="563"/>
      <c r="I268" s="563"/>
      <c r="J268" s="566"/>
      <c r="K268" s="563"/>
      <c r="L268" s="566"/>
      <c r="M268" s="565"/>
      <c r="N268" s="564"/>
      <c r="V268" s="674"/>
      <c r="W268" s="675"/>
      <c r="AC268" s="675"/>
      <c r="AD268" s="675"/>
      <c r="AE268" s="675"/>
      <c r="AG268" s="675"/>
      <c r="AH268" s="680"/>
    </row>
    <row r="269" spans="1:34" s="536" customFormat="1" ht="12" x14ac:dyDescent="0.2">
      <c r="A269" s="676"/>
      <c r="B269" s="664"/>
      <c r="C269" s="1822" t="s">
        <v>3578</v>
      </c>
      <c r="D269" s="1822"/>
      <c r="E269" s="1822"/>
      <c r="F269" s="1822"/>
      <c r="G269" s="1822"/>
      <c r="H269" s="1822"/>
      <c r="I269" s="1822"/>
      <c r="J269" s="1822"/>
      <c r="K269" s="1822"/>
      <c r="L269" s="1822"/>
      <c r="M269" s="1822"/>
      <c r="N269" s="1827"/>
      <c r="V269" s="674"/>
      <c r="W269" s="675"/>
      <c r="X269" s="537" t="s">
        <v>3578</v>
      </c>
      <c r="AC269" s="675"/>
      <c r="AD269" s="675"/>
      <c r="AE269" s="675"/>
      <c r="AG269" s="675"/>
      <c r="AH269" s="680"/>
    </row>
    <row r="270" spans="1:34" s="536" customFormat="1" ht="33.75" x14ac:dyDescent="0.2">
      <c r="A270" s="575" t="s">
        <v>912</v>
      </c>
      <c r="B270" s="670" t="s">
        <v>7048</v>
      </c>
      <c r="C270" s="1823" t="s">
        <v>7049</v>
      </c>
      <c r="D270" s="1823"/>
      <c r="E270" s="1823"/>
      <c r="F270" s="573" t="s">
        <v>617</v>
      </c>
      <c r="G270" s="573"/>
      <c r="H270" s="573"/>
      <c r="I270" s="573" t="s">
        <v>765</v>
      </c>
      <c r="J270" s="572">
        <v>14.69</v>
      </c>
      <c r="K270" s="573" t="s">
        <v>716</v>
      </c>
      <c r="L270" s="572">
        <v>48.93</v>
      </c>
      <c r="M270" s="571">
        <v>9.7899999999999991</v>
      </c>
      <c r="N270" s="570">
        <v>479</v>
      </c>
      <c r="V270" s="674"/>
      <c r="W270" s="675" t="s">
        <v>7049</v>
      </c>
      <c r="AC270" s="675"/>
      <c r="AD270" s="675"/>
      <c r="AE270" s="675"/>
      <c r="AG270" s="675"/>
      <c r="AH270" s="680"/>
    </row>
    <row r="271" spans="1:34" s="536" customFormat="1" ht="12" x14ac:dyDescent="0.2">
      <c r="A271" s="569"/>
      <c r="B271" s="671"/>
      <c r="C271" s="665" t="s">
        <v>1658</v>
      </c>
      <c r="D271" s="666"/>
      <c r="E271" s="666"/>
      <c r="F271" s="563"/>
      <c r="G271" s="563"/>
      <c r="H271" s="563"/>
      <c r="I271" s="563"/>
      <c r="J271" s="566"/>
      <c r="K271" s="563"/>
      <c r="L271" s="566"/>
      <c r="M271" s="565"/>
      <c r="N271" s="564"/>
      <c r="V271" s="674"/>
      <c r="W271" s="675"/>
      <c r="AC271" s="675"/>
      <c r="AD271" s="675"/>
      <c r="AE271" s="675"/>
      <c r="AG271" s="675"/>
      <c r="AH271" s="680"/>
    </row>
    <row r="272" spans="1:34" s="536" customFormat="1" ht="22.5" x14ac:dyDescent="0.2">
      <c r="A272" s="609"/>
      <c r="B272" s="552" t="s">
        <v>718</v>
      </c>
      <c r="C272" s="1822" t="s">
        <v>719</v>
      </c>
      <c r="D272" s="1822"/>
      <c r="E272" s="1822"/>
      <c r="F272" s="1822"/>
      <c r="G272" s="1822"/>
      <c r="H272" s="1822"/>
      <c r="I272" s="1822"/>
      <c r="J272" s="1822"/>
      <c r="K272" s="1822"/>
      <c r="L272" s="1822"/>
      <c r="M272" s="1822"/>
      <c r="N272" s="1827"/>
      <c r="V272" s="674"/>
      <c r="W272" s="675"/>
      <c r="Y272" s="537" t="s">
        <v>719</v>
      </c>
      <c r="AC272" s="675"/>
      <c r="AD272" s="675"/>
      <c r="AE272" s="675"/>
      <c r="AG272" s="675"/>
      <c r="AH272" s="680"/>
    </row>
    <row r="273" spans="1:34" s="536" customFormat="1" ht="22.5" x14ac:dyDescent="0.2">
      <c r="A273" s="575" t="s">
        <v>757</v>
      </c>
      <c r="B273" s="670" t="s">
        <v>5431</v>
      </c>
      <c r="C273" s="1823" t="s">
        <v>5432</v>
      </c>
      <c r="D273" s="1823"/>
      <c r="E273" s="1823"/>
      <c r="F273" s="573" t="s">
        <v>617</v>
      </c>
      <c r="G273" s="573"/>
      <c r="H273" s="573"/>
      <c r="I273" s="573" t="s">
        <v>188</v>
      </c>
      <c r="J273" s="572"/>
      <c r="K273" s="573"/>
      <c r="L273" s="572"/>
      <c r="M273" s="571"/>
      <c r="N273" s="570"/>
      <c r="V273" s="674"/>
      <c r="W273" s="675" t="s">
        <v>5432</v>
      </c>
      <c r="AC273" s="675"/>
      <c r="AD273" s="675"/>
      <c r="AE273" s="675"/>
      <c r="AG273" s="675"/>
      <c r="AH273" s="680"/>
    </row>
    <row r="274" spans="1:34" s="536" customFormat="1" ht="33.75" x14ac:dyDescent="0.2">
      <c r="A274" s="609"/>
      <c r="B274" s="552" t="s">
        <v>310</v>
      </c>
      <c r="C274" s="1822" t="s">
        <v>311</v>
      </c>
      <c r="D274" s="1822"/>
      <c r="E274" s="1822"/>
      <c r="F274" s="1822"/>
      <c r="G274" s="1822"/>
      <c r="H274" s="1822"/>
      <c r="I274" s="1822"/>
      <c r="J274" s="1822"/>
      <c r="K274" s="1822"/>
      <c r="L274" s="1822"/>
      <c r="M274" s="1822"/>
      <c r="N274" s="1827"/>
      <c r="V274" s="674"/>
      <c r="W274" s="675"/>
      <c r="Y274" s="537" t="s">
        <v>311</v>
      </c>
      <c r="AC274" s="675"/>
      <c r="AD274" s="675"/>
      <c r="AE274" s="675"/>
      <c r="AG274" s="675"/>
      <c r="AH274" s="680"/>
    </row>
    <row r="275" spans="1:34" s="536" customFormat="1" ht="12" x14ac:dyDescent="0.2">
      <c r="A275" s="605"/>
      <c r="B275" s="552" t="s">
        <v>185</v>
      </c>
      <c r="C275" s="1822" t="s">
        <v>312</v>
      </c>
      <c r="D275" s="1822"/>
      <c r="E275" s="1822"/>
      <c r="F275" s="562"/>
      <c r="G275" s="562"/>
      <c r="H275" s="562"/>
      <c r="I275" s="562"/>
      <c r="J275" s="604">
        <v>12.11</v>
      </c>
      <c r="K275" s="562" t="s">
        <v>313</v>
      </c>
      <c r="L275" s="604">
        <v>60.55</v>
      </c>
      <c r="M275" s="603"/>
      <c r="N275" s="602"/>
      <c r="V275" s="674"/>
      <c r="W275" s="675"/>
      <c r="Z275" s="537" t="s">
        <v>312</v>
      </c>
      <c r="AC275" s="675"/>
      <c r="AD275" s="675"/>
      <c r="AE275" s="675"/>
      <c r="AG275" s="675"/>
      <c r="AH275" s="680"/>
    </row>
    <row r="276" spans="1:34" s="536" customFormat="1" ht="12" x14ac:dyDescent="0.2">
      <c r="A276" s="605"/>
      <c r="B276" s="552" t="s">
        <v>186</v>
      </c>
      <c r="C276" s="1822" t="s">
        <v>344</v>
      </c>
      <c r="D276" s="1822"/>
      <c r="E276" s="1822"/>
      <c r="F276" s="562"/>
      <c r="G276" s="562"/>
      <c r="H276" s="562"/>
      <c r="I276" s="562"/>
      <c r="J276" s="604">
        <v>83.12</v>
      </c>
      <c r="K276" s="562" t="s">
        <v>313</v>
      </c>
      <c r="L276" s="604">
        <v>415.6</v>
      </c>
      <c r="M276" s="603"/>
      <c r="N276" s="602"/>
      <c r="V276" s="674"/>
      <c r="W276" s="675"/>
      <c r="Z276" s="537" t="s">
        <v>344</v>
      </c>
      <c r="AC276" s="675"/>
      <c r="AD276" s="675"/>
      <c r="AE276" s="675"/>
      <c r="AG276" s="675"/>
      <c r="AH276" s="680"/>
    </row>
    <row r="277" spans="1:34" s="536" customFormat="1" ht="12" x14ac:dyDescent="0.2">
      <c r="A277" s="605"/>
      <c r="B277" s="552" t="s">
        <v>187</v>
      </c>
      <c r="C277" s="1822" t="s">
        <v>345</v>
      </c>
      <c r="D277" s="1822"/>
      <c r="E277" s="1822"/>
      <c r="F277" s="562"/>
      <c r="G277" s="562"/>
      <c r="H277" s="562"/>
      <c r="I277" s="562"/>
      <c r="J277" s="604">
        <v>6.96</v>
      </c>
      <c r="K277" s="562" t="s">
        <v>313</v>
      </c>
      <c r="L277" s="604">
        <v>34.799999999999997</v>
      </c>
      <c r="M277" s="603"/>
      <c r="N277" s="602"/>
      <c r="V277" s="674"/>
      <c r="W277" s="675"/>
      <c r="Z277" s="537" t="s">
        <v>345</v>
      </c>
      <c r="AC277" s="675"/>
      <c r="AD277" s="675"/>
      <c r="AE277" s="675"/>
      <c r="AG277" s="675"/>
      <c r="AH277" s="680"/>
    </row>
    <row r="278" spans="1:34" s="536" customFormat="1" ht="12" x14ac:dyDescent="0.2">
      <c r="A278" s="676"/>
      <c r="B278" s="677" t="s">
        <v>5434</v>
      </c>
      <c r="C278" s="1829" t="s">
        <v>5435</v>
      </c>
      <c r="D278" s="1829"/>
      <c r="E278" s="1829"/>
      <c r="F278" s="678" t="s">
        <v>617</v>
      </c>
      <c r="G278" s="678" t="s">
        <v>185</v>
      </c>
      <c r="H278" s="678"/>
      <c r="I278" s="678" t="s">
        <v>188</v>
      </c>
      <c r="J278" s="552"/>
      <c r="K278" s="562"/>
      <c r="L278" s="604"/>
      <c r="M278" s="562"/>
      <c r="N278" s="679"/>
      <c r="V278" s="674"/>
      <c r="W278" s="675"/>
      <c r="AC278" s="675"/>
      <c r="AD278" s="675"/>
      <c r="AE278" s="675"/>
      <c r="AG278" s="675"/>
      <c r="AH278" s="680" t="s">
        <v>5435</v>
      </c>
    </row>
    <row r="279" spans="1:34" s="536" customFormat="1" ht="22.5" x14ac:dyDescent="0.2">
      <c r="A279" s="676"/>
      <c r="B279" s="677" t="s">
        <v>5436</v>
      </c>
      <c r="C279" s="1829" t="s">
        <v>5437</v>
      </c>
      <c r="D279" s="1829"/>
      <c r="E279" s="1829"/>
      <c r="F279" s="678" t="s">
        <v>617</v>
      </c>
      <c r="G279" s="678" t="s">
        <v>185</v>
      </c>
      <c r="H279" s="678"/>
      <c r="I279" s="678" t="s">
        <v>188</v>
      </c>
      <c r="J279" s="552"/>
      <c r="K279" s="562"/>
      <c r="L279" s="604"/>
      <c r="M279" s="562"/>
      <c r="N279" s="679"/>
      <c r="V279" s="674"/>
      <c r="W279" s="675"/>
      <c r="AC279" s="675"/>
      <c r="AD279" s="675"/>
      <c r="AE279" s="675"/>
      <c r="AG279" s="675"/>
      <c r="AH279" s="680" t="s">
        <v>5437</v>
      </c>
    </row>
    <row r="280" spans="1:34" s="536" customFormat="1" ht="12" x14ac:dyDescent="0.2">
      <c r="A280" s="605"/>
      <c r="B280" s="552"/>
      <c r="C280" s="1822" t="s">
        <v>314</v>
      </c>
      <c r="D280" s="1822"/>
      <c r="E280" s="1822"/>
      <c r="F280" s="562" t="s">
        <v>315</v>
      </c>
      <c r="G280" s="562" t="s">
        <v>2870</v>
      </c>
      <c r="H280" s="562" t="s">
        <v>313</v>
      </c>
      <c r="I280" s="562" t="s">
        <v>7050</v>
      </c>
      <c r="J280" s="604"/>
      <c r="K280" s="562"/>
      <c r="L280" s="604"/>
      <c r="M280" s="603"/>
      <c r="N280" s="602"/>
      <c r="V280" s="674"/>
      <c r="W280" s="675"/>
      <c r="AA280" s="537" t="s">
        <v>314</v>
      </c>
      <c r="AC280" s="675"/>
      <c r="AD280" s="675"/>
      <c r="AE280" s="675"/>
      <c r="AG280" s="675"/>
      <c r="AH280" s="680"/>
    </row>
    <row r="281" spans="1:34" s="536" customFormat="1" ht="12" x14ac:dyDescent="0.2">
      <c r="A281" s="605"/>
      <c r="B281" s="552"/>
      <c r="C281" s="1822" t="s">
        <v>348</v>
      </c>
      <c r="D281" s="1822"/>
      <c r="E281" s="1822"/>
      <c r="F281" s="562" t="s">
        <v>315</v>
      </c>
      <c r="G281" s="562" t="s">
        <v>823</v>
      </c>
      <c r="H281" s="562" t="s">
        <v>313</v>
      </c>
      <c r="I281" s="562" t="s">
        <v>187</v>
      </c>
      <c r="J281" s="604"/>
      <c r="K281" s="562"/>
      <c r="L281" s="604"/>
      <c r="M281" s="603"/>
      <c r="N281" s="602"/>
      <c r="V281" s="674"/>
      <c r="W281" s="675"/>
      <c r="AA281" s="537" t="s">
        <v>348</v>
      </c>
      <c r="AC281" s="675"/>
      <c r="AD281" s="675"/>
      <c r="AE281" s="675"/>
      <c r="AG281" s="675"/>
      <c r="AH281" s="680"/>
    </row>
    <row r="282" spans="1:34" s="536" customFormat="1" ht="12" x14ac:dyDescent="0.2">
      <c r="A282" s="605"/>
      <c r="B282" s="552"/>
      <c r="C282" s="1828" t="s">
        <v>318</v>
      </c>
      <c r="D282" s="1828"/>
      <c r="E282" s="1828"/>
      <c r="F282" s="608"/>
      <c r="G282" s="608"/>
      <c r="H282" s="608"/>
      <c r="I282" s="608"/>
      <c r="J282" s="607">
        <v>95.23</v>
      </c>
      <c r="K282" s="608"/>
      <c r="L282" s="607">
        <v>476.15</v>
      </c>
      <c r="M282" s="601"/>
      <c r="N282" s="606"/>
      <c r="V282" s="674"/>
      <c r="W282" s="675"/>
      <c r="AB282" s="537" t="s">
        <v>318</v>
      </c>
      <c r="AC282" s="675"/>
      <c r="AD282" s="675"/>
      <c r="AE282" s="675"/>
      <c r="AG282" s="675"/>
      <c r="AH282" s="680"/>
    </row>
    <row r="283" spans="1:34" s="536" customFormat="1" ht="12" x14ac:dyDescent="0.2">
      <c r="A283" s="605"/>
      <c r="B283" s="552"/>
      <c r="C283" s="1822" t="s">
        <v>319</v>
      </c>
      <c r="D283" s="1822"/>
      <c r="E283" s="1822"/>
      <c r="F283" s="562"/>
      <c r="G283" s="562"/>
      <c r="H283" s="562"/>
      <c r="I283" s="562"/>
      <c r="J283" s="604"/>
      <c r="K283" s="562"/>
      <c r="L283" s="604">
        <v>95.35</v>
      </c>
      <c r="M283" s="603"/>
      <c r="N283" s="602"/>
      <c r="V283" s="674"/>
      <c r="W283" s="675"/>
      <c r="AA283" s="537" t="s">
        <v>319</v>
      </c>
      <c r="AC283" s="675"/>
      <c r="AD283" s="675"/>
      <c r="AE283" s="675"/>
      <c r="AG283" s="675"/>
      <c r="AH283" s="680"/>
    </row>
    <row r="284" spans="1:34" s="536" customFormat="1" ht="33.75" x14ac:dyDescent="0.2">
      <c r="A284" s="605"/>
      <c r="B284" s="552" t="s">
        <v>708</v>
      </c>
      <c r="C284" s="1822" t="s">
        <v>709</v>
      </c>
      <c r="D284" s="1822"/>
      <c r="E284" s="1822"/>
      <c r="F284" s="562" t="s">
        <v>322</v>
      </c>
      <c r="G284" s="562" t="s">
        <v>710</v>
      </c>
      <c r="H284" s="562"/>
      <c r="I284" s="562" t="s">
        <v>710</v>
      </c>
      <c r="J284" s="604"/>
      <c r="K284" s="562"/>
      <c r="L284" s="604">
        <v>98.21</v>
      </c>
      <c r="M284" s="603"/>
      <c r="N284" s="602"/>
      <c r="V284" s="674"/>
      <c r="W284" s="675"/>
      <c r="AA284" s="537" t="s">
        <v>709</v>
      </c>
      <c r="AC284" s="675"/>
      <c r="AD284" s="675"/>
      <c r="AE284" s="675"/>
      <c r="AG284" s="675"/>
      <c r="AH284" s="680"/>
    </row>
    <row r="285" spans="1:34" s="536" customFormat="1" ht="33.75" x14ac:dyDescent="0.2">
      <c r="A285" s="605"/>
      <c r="B285" s="552" t="s">
        <v>711</v>
      </c>
      <c r="C285" s="1822" t="s">
        <v>712</v>
      </c>
      <c r="D285" s="1822"/>
      <c r="E285" s="1822"/>
      <c r="F285" s="562" t="s">
        <v>322</v>
      </c>
      <c r="G285" s="562" t="s">
        <v>713</v>
      </c>
      <c r="H285" s="562"/>
      <c r="I285" s="562" t="s">
        <v>713</v>
      </c>
      <c r="J285" s="604"/>
      <c r="K285" s="562"/>
      <c r="L285" s="604">
        <v>57.21</v>
      </c>
      <c r="M285" s="603"/>
      <c r="N285" s="602"/>
      <c r="V285" s="674"/>
      <c r="W285" s="675"/>
      <c r="AA285" s="537" t="s">
        <v>712</v>
      </c>
      <c r="AC285" s="675"/>
      <c r="AD285" s="675"/>
      <c r="AE285" s="675"/>
      <c r="AG285" s="675"/>
      <c r="AH285" s="680"/>
    </row>
    <row r="286" spans="1:34" s="536" customFormat="1" ht="12" x14ac:dyDescent="0.2">
      <c r="A286" s="569"/>
      <c r="B286" s="671"/>
      <c r="C286" s="1823" t="s">
        <v>327</v>
      </c>
      <c r="D286" s="1823"/>
      <c r="E286" s="1823"/>
      <c r="F286" s="573"/>
      <c r="G286" s="573"/>
      <c r="H286" s="573"/>
      <c r="I286" s="573"/>
      <c r="J286" s="572"/>
      <c r="K286" s="573"/>
      <c r="L286" s="572">
        <v>631.57000000000005</v>
      </c>
      <c r="M286" s="601"/>
      <c r="N286" s="570"/>
      <c r="V286" s="674"/>
      <c r="W286" s="675"/>
      <c r="AC286" s="675" t="s">
        <v>327</v>
      </c>
      <c r="AD286" s="675"/>
      <c r="AE286" s="675"/>
      <c r="AG286" s="675"/>
      <c r="AH286" s="680"/>
    </row>
    <row r="287" spans="1:34" s="536" customFormat="1" ht="45" x14ac:dyDescent="0.2">
      <c r="A287" s="575" t="s">
        <v>1079</v>
      </c>
      <c r="B287" s="670" t="s">
        <v>5450</v>
      </c>
      <c r="C287" s="1823" t="s">
        <v>5451</v>
      </c>
      <c r="D287" s="1823"/>
      <c r="E287" s="1823"/>
      <c r="F287" s="573" t="s">
        <v>307</v>
      </c>
      <c r="G287" s="573"/>
      <c r="H287" s="573"/>
      <c r="I287" s="573" t="s">
        <v>728</v>
      </c>
      <c r="J287" s="572"/>
      <c r="K287" s="573"/>
      <c r="L287" s="572"/>
      <c r="M287" s="571"/>
      <c r="N287" s="570"/>
      <c r="V287" s="674"/>
      <c r="W287" s="675" t="s">
        <v>5451</v>
      </c>
      <c r="AC287" s="675"/>
      <c r="AD287" s="675"/>
      <c r="AE287" s="675"/>
      <c r="AG287" s="675"/>
      <c r="AH287" s="680"/>
    </row>
    <row r="288" spans="1:34" s="536" customFormat="1" ht="12" x14ac:dyDescent="0.2">
      <c r="A288" s="676"/>
      <c r="B288" s="664"/>
      <c r="C288" s="1822" t="s">
        <v>2263</v>
      </c>
      <c r="D288" s="1822"/>
      <c r="E288" s="1822"/>
      <c r="F288" s="1822"/>
      <c r="G288" s="1822"/>
      <c r="H288" s="1822"/>
      <c r="I288" s="1822"/>
      <c r="J288" s="1822"/>
      <c r="K288" s="1822"/>
      <c r="L288" s="1822"/>
      <c r="M288" s="1822"/>
      <c r="N288" s="1827"/>
      <c r="V288" s="674"/>
      <c r="W288" s="675"/>
      <c r="X288" s="537" t="s">
        <v>2263</v>
      </c>
      <c r="AC288" s="675"/>
      <c r="AD288" s="675"/>
      <c r="AE288" s="675"/>
      <c r="AG288" s="675"/>
      <c r="AH288" s="680"/>
    </row>
    <row r="289" spans="1:34" s="536" customFormat="1" ht="33.75" x14ac:dyDescent="0.2">
      <c r="A289" s="609"/>
      <c r="B289" s="552" t="s">
        <v>310</v>
      </c>
      <c r="C289" s="1822" t="s">
        <v>311</v>
      </c>
      <c r="D289" s="1822"/>
      <c r="E289" s="1822"/>
      <c r="F289" s="1822"/>
      <c r="G289" s="1822"/>
      <c r="H289" s="1822"/>
      <c r="I289" s="1822"/>
      <c r="J289" s="1822"/>
      <c r="K289" s="1822"/>
      <c r="L289" s="1822"/>
      <c r="M289" s="1822"/>
      <c r="N289" s="1827"/>
      <c r="V289" s="674"/>
      <c r="W289" s="675"/>
      <c r="Y289" s="537" t="s">
        <v>311</v>
      </c>
      <c r="AC289" s="675"/>
      <c r="AD289" s="675"/>
      <c r="AE289" s="675"/>
      <c r="AG289" s="675"/>
      <c r="AH289" s="680"/>
    </row>
    <row r="290" spans="1:34" s="536" customFormat="1" ht="12" x14ac:dyDescent="0.2">
      <c r="A290" s="605"/>
      <c r="B290" s="552" t="s">
        <v>185</v>
      </c>
      <c r="C290" s="1822" t="s">
        <v>312</v>
      </c>
      <c r="D290" s="1822"/>
      <c r="E290" s="1822"/>
      <c r="F290" s="562"/>
      <c r="G290" s="562"/>
      <c r="H290" s="562"/>
      <c r="I290" s="562"/>
      <c r="J290" s="604">
        <v>2745.86</v>
      </c>
      <c r="K290" s="562" t="s">
        <v>313</v>
      </c>
      <c r="L290" s="604">
        <v>137.29</v>
      </c>
      <c r="M290" s="603"/>
      <c r="N290" s="602"/>
      <c r="V290" s="674"/>
      <c r="W290" s="675"/>
      <c r="Z290" s="537" t="s">
        <v>312</v>
      </c>
      <c r="AC290" s="675"/>
      <c r="AD290" s="675"/>
      <c r="AE290" s="675"/>
      <c r="AG290" s="675"/>
      <c r="AH290" s="680"/>
    </row>
    <row r="291" spans="1:34" s="536" customFormat="1" ht="12" x14ac:dyDescent="0.2">
      <c r="A291" s="605"/>
      <c r="B291" s="552" t="s">
        <v>186</v>
      </c>
      <c r="C291" s="1822" t="s">
        <v>344</v>
      </c>
      <c r="D291" s="1822"/>
      <c r="E291" s="1822"/>
      <c r="F291" s="562"/>
      <c r="G291" s="562"/>
      <c r="H291" s="562"/>
      <c r="I291" s="562"/>
      <c r="J291" s="604">
        <v>13091.33</v>
      </c>
      <c r="K291" s="562" t="s">
        <v>313</v>
      </c>
      <c r="L291" s="604">
        <v>654.57000000000005</v>
      </c>
      <c r="M291" s="603"/>
      <c r="N291" s="602"/>
      <c r="V291" s="674"/>
      <c r="W291" s="675"/>
      <c r="Z291" s="537" t="s">
        <v>344</v>
      </c>
      <c r="AC291" s="675"/>
      <c r="AD291" s="675"/>
      <c r="AE291" s="675"/>
      <c r="AG291" s="675"/>
      <c r="AH291" s="680"/>
    </row>
    <row r="292" spans="1:34" s="536" customFormat="1" ht="12" x14ac:dyDescent="0.2">
      <c r="A292" s="605"/>
      <c r="B292" s="552" t="s">
        <v>187</v>
      </c>
      <c r="C292" s="1822" t="s">
        <v>345</v>
      </c>
      <c r="D292" s="1822"/>
      <c r="E292" s="1822"/>
      <c r="F292" s="562"/>
      <c r="G292" s="562"/>
      <c r="H292" s="562"/>
      <c r="I292" s="562"/>
      <c r="J292" s="604">
        <v>1246.4000000000001</v>
      </c>
      <c r="K292" s="562" t="s">
        <v>313</v>
      </c>
      <c r="L292" s="604">
        <v>62.32</v>
      </c>
      <c r="M292" s="603"/>
      <c r="N292" s="602"/>
      <c r="V292" s="674"/>
      <c r="W292" s="675"/>
      <c r="Z292" s="537" t="s">
        <v>345</v>
      </c>
      <c r="AC292" s="675"/>
      <c r="AD292" s="675"/>
      <c r="AE292" s="675"/>
      <c r="AG292" s="675"/>
      <c r="AH292" s="680"/>
    </row>
    <row r="293" spans="1:34" s="536" customFormat="1" ht="12" x14ac:dyDescent="0.2">
      <c r="A293" s="605"/>
      <c r="B293" s="552" t="s">
        <v>188</v>
      </c>
      <c r="C293" s="1822" t="s">
        <v>475</v>
      </c>
      <c r="D293" s="1822"/>
      <c r="E293" s="1822"/>
      <c r="F293" s="562"/>
      <c r="G293" s="562"/>
      <c r="H293" s="562"/>
      <c r="I293" s="562"/>
      <c r="J293" s="604">
        <v>1287.96</v>
      </c>
      <c r="K293" s="562"/>
      <c r="L293" s="604">
        <v>51.52</v>
      </c>
      <c r="M293" s="603"/>
      <c r="N293" s="602"/>
      <c r="V293" s="674"/>
      <c r="W293" s="675"/>
      <c r="Z293" s="537" t="s">
        <v>475</v>
      </c>
      <c r="AC293" s="675"/>
      <c r="AD293" s="675"/>
      <c r="AE293" s="675"/>
      <c r="AG293" s="675"/>
      <c r="AH293" s="680"/>
    </row>
    <row r="294" spans="1:34" s="536" customFormat="1" ht="12" x14ac:dyDescent="0.2">
      <c r="A294" s="605"/>
      <c r="B294" s="552"/>
      <c r="C294" s="1822" t="s">
        <v>314</v>
      </c>
      <c r="D294" s="1822"/>
      <c r="E294" s="1822"/>
      <c r="F294" s="562" t="s">
        <v>315</v>
      </c>
      <c r="G294" s="562" t="s">
        <v>5453</v>
      </c>
      <c r="H294" s="562" t="s">
        <v>313</v>
      </c>
      <c r="I294" s="562" t="s">
        <v>7051</v>
      </c>
      <c r="J294" s="604"/>
      <c r="K294" s="562"/>
      <c r="L294" s="604"/>
      <c r="M294" s="603"/>
      <c r="N294" s="602"/>
      <c r="V294" s="674"/>
      <c r="W294" s="675"/>
      <c r="AA294" s="537" t="s">
        <v>314</v>
      </c>
      <c r="AC294" s="675"/>
      <c r="AD294" s="675"/>
      <c r="AE294" s="675"/>
      <c r="AG294" s="675"/>
      <c r="AH294" s="680"/>
    </row>
    <row r="295" spans="1:34" s="536" customFormat="1" ht="12" x14ac:dyDescent="0.2">
      <c r="A295" s="605"/>
      <c r="B295" s="552"/>
      <c r="C295" s="1822" t="s">
        <v>348</v>
      </c>
      <c r="D295" s="1822"/>
      <c r="E295" s="1822"/>
      <c r="F295" s="562" t="s">
        <v>315</v>
      </c>
      <c r="G295" s="562" t="s">
        <v>5455</v>
      </c>
      <c r="H295" s="562" t="s">
        <v>313</v>
      </c>
      <c r="I295" s="562" t="s">
        <v>7052</v>
      </c>
      <c r="J295" s="604"/>
      <c r="K295" s="562"/>
      <c r="L295" s="604"/>
      <c r="M295" s="603"/>
      <c r="N295" s="602"/>
      <c r="V295" s="674"/>
      <c r="W295" s="675"/>
      <c r="AA295" s="537" t="s">
        <v>348</v>
      </c>
      <c r="AC295" s="675"/>
      <c r="AD295" s="675"/>
      <c r="AE295" s="675"/>
      <c r="AG295" s="675"/>
      <c r="AH295" s="680"/>
    </row>
    <row r="296" spans="1:34" s="536" customFormat="1" ht="12" x14ac:dyDescent="0.2">
      <c r="A296" s="605"/>
      <c r="B296" s="552"/>
      <c r="C296" s="1828" t="s">
        <v>318</v>
      </c>
      <c r="D296" s="1828"/>
      <c r="E296" s="1828"/>
      <c r="F296" s="608"/>
      <c r="G296" s="608"/>
      <c r="H296" s="608"/>
      <c r="I296" s="608"/>
      <c r="J296" s="607">
        <v>17125.150000000001</v>
      </c>
      <c r="K296" s="608"/>
      <c r="L296" s="607">
        <v>843.38</v>
      </c>
      <c r="M296" s="601"/>
      <c r="N296" s="606"/>
      <c r="V296" s="674"/>
      <c r="W296" s="675"/>
      <c r="AB296" s="537" t="s">
        <v>318</v>
      </c>
      <c r="AC296" s="675"/>
      <c r="AD296" s="675"/>
      <c r="AE296" s="675"/>
      <c r="AG296" s="675"/>
      <c r="AH296" s="680"/>
    </row>
    <row r="297" spans="1:34" s="536" customFormat="1" ht="12" x14ac:dyDescent="0.2">
      <c r="A297" s="605"/>
      <c r="B297" s="552"/>
      <c r="C297" s="1822" t="s">
        <v>319</v>
      </c>
      <c r="D297" s="1822"/>
      <c r="E297" s="1822"/>
      <c r="F297" s="562"/>
      <c r="G297" s="562"/>
      <c r="H297" s="562"/>
      <c r="I297" s="562"/>
      <c r="J297" s="604"/>
      <c r="K297" s="562"/>
      <c r="L297" s="604">
        <v>199.61</v>
      </c>
      <c r="M297" s="603"/>
      <c r="N297" s="602"/>
      <c r="V297" s="674"/>
      <c r="W297" s="675"/>
      <c r="AA297" s="537" t="s">
        <v>319</v>
      </c>
      <c r="AC297" s="675"/>
      <c r="AD297" s="675"/>
      <c r="AE297" s="675"/>
      <c r="AG297" s="675"/>
      <c r="AH297" s="680"/>
    </row>
    <row r="298" spans="1:34" s="536" customFormat="1" ht="33.75" x14ac:dyDescent="0.2">
      <c r="A298" s="605"/>
      <c r="B298" s="552" t="s">
        <v>1631</v>
      </c>
      <c r="C298" s="1822" t="s">
        <v>1632</v>
      </c>
      <c r="D298" s="1822"/>
      <c r="E298" s="1822"/>
      <c r="F298" s="562" t="s">
        <v>322</v>
      </c>
      <c r="G298" s="562" t="s">
        <v>1633</v>
      </c>
      <c r="H298" s="562"/>
      <c r="I298" s="562" t="s">
        <v>1633</v>
      </c>
      <c r="J298" s="604"/>
      <c r="K298" s="562"/>
      <c r="L298" s="604">
        <v>193.62</v>
      </c>
      <c r="M298" s="603"/>
      <c r="N298" s="602"/>
      <c r="V298" s="674"/>
      <c r="W298" s="675"/>
      <c r="AA298" s="537" t="s">
        <v>1632</v>
      </c>
      <c r="AC298" s="675"/>
      <c r="AD298" s="675"/>
      <c r="AE298" s="675"/>
      <c r="AG298" s="675"/>
      <c r="AH298" s="680"/>
    </row>
    <row r="299" spans="1:34" s="536" customFormat="1" ht="33.75" x14ac:dyDescent="0.2">
      <c r="A299" s="605"/>
      <c r="B299" s="552" t="s">
        <v>1634</v>
      </c>
      <c r="C299" s="1822" t="s">
        <v>1635</v>
      </c>
      <c r="D299" s="1822"/>
      <c r="E299" s="1822"/>
      <c r="F299" s="562" t="s">
        <v>322</v>
      </c>
      <c r="G299" s="562" t="s">
        <v>786</v>
      </c>
      <c r="H299" s="562"/>
      <c r="I299" s="562" t="s">
        <v>786</v>
      </c>
      <c r="J299" s="604"/>
      <c r="K299" s="562"/>
      <c r="L299" s="604">
        <v>101.8</v>
      </c>
      <c r="M299" s="603"/>
      <c r="N299" s="602"/>
      <c r="V299" s="674"/>
      <c r="W299" s="675"/>
      <c r="AA299" s="537" t="s">
        <v>1635</v>
      </c>
      <c r="AC299" s="675"/>
      <c r="AD299" s="675"/>
      <c r="AE299" s="675"/>
      <c r="AG299" s="675"/>
      <c r="AH299" s="680"/>
    </row>
    <row r="300" spans="1:34" s="536" customFormat="1" ht="12" x14ac:dyDescent="0.2">
      <c r="A300" s="569"/>
      <c r="B300" s="671"/>
      <c r="C300" s="1823" t="s">
        <v>327</v>
      </c>
      <c r="D300" s="1823"/>
      <c r="E300" s="1823"/>
      <c r="F300" s="573"/>
      <c r="G300" s="573"/>
      <c r="H300" s="573"/>
      <c r="I300" s="573"/>
      <c r="J300" s="572"/>
      <c r="K300" s="573"/>
      <c r="L300" s="572">
        <v>1138.8</v>
      </c>
      <c r="M300" s="601"/>
      <c r="N300" s="570"/>
      <c r="V300" s="674"/>
      <c r="W300" s="675"/>
      <c r="AC300" s="675" t="s">
        <v>327</v>
      </c>
      <c r="AD300" s="675"/>
      <c r="AE300" s="675"/>
      <c r="AG300" s="675"/>
      <c r="AH300" s="680"/>
    </row>
    <row r="301" spans="1:34" s="536" customFormat="1" ht="56.25" x14ac:dyDescent="0.2">
      <c r="A301" s="575" t="s">
        <v>759</v>
      </c>
      <c r="B301" s="670" t="s">
        <v>6679</v>
      </c>
      <c r="C301" s="1823" t="s">
        <v>7053</v>
      </c>
      <c r="D301" s="1823"/>
      <c r="E301" s="1823"/>
      <c r="F301" s="573" t="s">
        <v>1687</v>
      </c>
      <c r="G301" s="573"/>
      <c r="H301" s="573"/>
      <c r="I301" s="573" t="s">
        <v>3919</v>
      </c>
      <c r="J301" s="572"/>
      <c r="K301" s="573"/>
      <c r="L301" s="572"/>
      <c r="M301" s="571"/>
      <c r="N301" s="570"/>
      <c r="V301" s="674"/>
      <c r="W301" s="675" t="s">
        <v>7053</v>
      </c>
      <c r="AC301" s="675"/>
      <c r="AD301" s="675"/>
      <c r="AE301" s="675"/>
      <c r="AG301" s="675"/>
      <c r="AH301" s="680"/>
    </row>
    <row r="302" spans="1:34" s="536" customFormat="1" ht="12" x14ac:dyDescent="0.2">
      <c r="A302" s="676"/>
      <c r="B302" s="664"/>
      <c r="C302" s="1822" t="s">
        <v>7054</v>
      </c>
      <c r="D302" s="1822"/>
      <c r="E302" s="1822"/>
      <c r="F302" s="1822"/>
      <c r="G302" s="1822"/>
      <c r="H302" s="1822"/>
      <c r="I302" s="1822"/>
      <c r="J302" s="1822"/>
      <c r="K302" s="1822"/>
      <c r="L302" s="1822"/>
      <c r="M302" s="1822"/>
      <c r="N302" s="1827"/>
      <c r="V302" s="674"/>
      <c r="W302" s="675"/>
      <c r="X302" s="537" t="s">
        <v>7054</v>
      </c>
      <c r="AC302" s="675"/>
      <c r="AD302" s="675"/>
      <c r="AE302" s="675"/>
      <c r="AG302" s="675"/>
      <c r="AH302" s="680"/>
    </row>
    <row r="303" spans="1:34" s="536" customFormat="1" ht="33.75" x14ac:dyDescent="0.2">
      <c r="A303" s="609"/>
      <c r="B303" s="552" t="s">
        <v>310</v>
      </c>
      <c r="C303" s="1822" t="s">
        <v>311</v>
      </c>
      <c r="D303" s="1822"/>
      <c r="E303" s="1822"/>
      <c r="F303" s="1822"/>
      <c r="G303" s="1822"/>
      <c r="H303" s="1822"/>
      <c r="I303" s="1822"/>
      <c r="J303" s="1822"/>
      <c r="K303" s="1822"/>
      <c r="L303" s="1822"/>
      <c r="M303" s="1822"/>
      <c r="N303" s="1827"/>
      <c r="V303" s="674"/>
      <c r="W303" s="675"/>
      <c r="Y303" s="537" t="s">
        <v>311</v>
      </c>
      <c r="AC303" s="675"/>
      <c r="AD303" s="675"/>
      <c r="AE303" s="675"/>
      <c r="AG303" s="675"/>
      <c r="AH303" s="680"/>
    </row>
    <row r="304" spans="1:34" s="536" customFormat="1" ht="12" x14ac:dyDescent="0.2">
      <c r="A304" s="605"/>
      <c r="B304" s="552" t="s">
        <v>185</v>
      </c>
      <c r="C304" s="1822" t="s">
        <v>312</v>
      </c>
      <c r="D304" s="1822"/>
      <c r="E304" s="1822"/>
      <c r="F304" s="562"/>
      <c r="G304" s="562"/>
      <c r="H304" s="562"/>
      <c r="I304" s="562"/>
      <c r="J304" s="604">
        <v>620.42999999999995</v>
      </c>
      <c r="K304" s="562" t="s">
        <v>313</v>
      </c>
      <c r="L304" s="604">
        <v>73.680000000000007</v>
      </c>
      <c r="M304" s="603"/>
      <c r="N304" s="602"/>
      <c r="V304" s="674"/>
      <c r="W304" s="675"/>
      <c r="Z304" s="537" t="s">
        <v>312</v>
      </c>
      <c r="AC304" s="675"/>
      <c r="AD304" s="675"/>
      <c r="AE304" s="675"/>
      <c r="AG304" s="675"/>
      <c r="AH304" s="680"/>
    </row>
    <row r="305" spans="1:34" s="536" customFormat="1" ht="12" x14ac:dyDescent="0.2">
      <c r="A305" s="605"/>
      <c r="B305" s="552" t="s">
        <v>186</v>
      </c>
      <c r="C305" s="1822" t="s">
        <v>344</v>
      </c>
      <c r="D305" s="1822"/>
      <c r="E305" s="1822"/>
      <c r="F305" s="562"/>
      <c r="G305" s="562"/>
      <c r="H305" s="562"/>
      <c r="I305" s="562"/>
      <c r="J305" s="604">
        <v>3092.82</v>
      </c>
      <c r="K305" s="562" t="s">
        <v>313</v>
      </c>
      <c r="L305" s="604">
        <v>367.27</v>
      </c>
      <c r="M305" s="603"/>
      <c r="N305" s="602"/>
      <c r="V305" s="674"/>
      <c r="W305" s="675"/>
      <c r="Z305" s="537" t="s">
        <v>344</v>
      </c>
      <c r="AC305" s="675"/>
      <c r="AD305" s="675"/>
      <c r="AE305" s="675"/>
      <c r="AG305" s="675"/>
      <c r="AH305" s="680"/>
    </row>
    <row r="306" spans="1:34" s="536" customFormat="1" ht="12" x14ac:dyDescent="0.2">
      <c r="A306" s="605"/>
      <c r="B306" s="552" t="s">
        <v>187</v>
      </c>
      <c r="C306" s="1822" t="s">
        <v>345</v>
      </c>
      <c r="D306" s="1822"/>
      <c r="E306" s="1822"/>
      <c r="F306" s="562"/>
      <c r="G306" s="562"/>
      <c r="H306" s="562"/>
      <c r="I306" s="562"/>
      <c r="J306" s="604">
        <v>399.08</v>
      </c>
      <c r="K306" s="562" t="s">
        <v>313</v>
      </c>
      <c r="L306" s="604">
        <v>47.39</v>
      </c>
      <c r="M306" s="603"/>
      <c r="N306" s="602"/>
      <c r="V306" s="674"/>
      <c r="W306" s="675"/>
      <c r="Z306" s="537" t="s">
        <v>345</v>
      </c>
      <c r="AC306" s="675"/>
      <c r="AD306" s="675"/>
      <c r="AE306" s="675"/>
      <c r="AG306" s="675"/>
      <c r="AH306" s="680"/>
    </row>
    <row r="307" spans="1:34" s="536" customFormat="1" ht="12" x14ac:dyDescent="0.2">
      <c r="A307" s="605"/>
      <c r="B307" s="552" t="s">
        <v>188</v>
      </c>
      <c r="C307" s="1822" t="s">
        <v>475</v>
      </c>
      <c r="D307" s="1822"/>
      <c r="E307" s="1822"/>
      <c r="F307" s="562"/>
      <c r="G307" s="562"/>
      <c r="H307" s="562"/>
      <c r="I307" s="562"/>
      <c r="J307" s="604">
        <v>7435.74</v>
      </c>
      <c r="K307" s="562"/>
      <c r="L307" s="604">
        <v>195.54</v>
      </c>
      <c r="M307" s="603"/>
      <c r="N307" s="602"/>
      <c r="V307" s="674"/>
      <c r="W307" s="675"/>
      <c r="Z307" s="537" t="s">
        <v>475</v>
      </c>
      <c r="AC307" s="675"/>
      <c r="AD307" s="675"/>
      <c r="AE307" s="675"/>
      <c r="AG307" s="675"/>
      <c r="AH307" s="680"/>
    </row>
    <row r="308" spans="1:34" s="536" customFormat="1" ht="22.5" x14ac:dyDescent="0.2">
      <c r="A308" s="676"/>
      <c r="B308" s="677" t="s">
        <v>6685</v>
      </c>
      <c r="C308" s="1829" t="s">
        <v>6686</v>
      </c>
      <c r="D308" s="1829"/>
      <c r="E308" s="1829"/>
      <c r="F308" s="678" t="s">
        <v>307</v>
      </c>
      <c r="G308" s="678" t="s">
        <v>525</v>
      </c>
      <c r="H308" s="678"/>
      <c r="I308" s="678" t="s">
        <v>525</v>
      </c>
      <c r="J308" s="552"/>
      <c r="K308" s="562"/>
      <c r="L308" s="604"/>
      <c r="M308" s="562"/>
      <c r="N308" s="679"/>
      <c r="V308" s="674"/>
      <c r="W308" s="675"/>
      <c r="AC308" s="675"/>
      <c r="AD308" s="675"/>
      <c r="AE308" s="675"/>
      <c r="AG308" s="675"/>
      <c r="AH308" s="680" t="s">
        <v>6686</v>
      </c>
    </row>
    <row r="309" spans="1:34" s="536" customFormat="1" ht="33.75" x14ac:dyDescent="0.2">
      <c r="A309" s="676"/>
      <c r="B309" s="677" t="s">
        <v>6687</v>
      </c>
      <c r="C309" s="1829" t="s">
        <v>6688</v>
      </c>
      <c r="D309" s="1829"/>
      <c r="E309" s="1829"/>
      <c r="F309" s="678" t="s">
        <v>307</v>
      </c>
      <c r="G309" s="678" t="s">
        <v>525</v>
      </c>
      <c r="H309" s="678"/>
      <c r="I309" s="678" t="s">
        <v>525</v>
      </c>
      <c r="J309" s="552"/>
      <c r="K309" s="562"/>
      <c r="L309" s="604"/>
      <c r="M309" s="562"/>
      <c r="N309" s="679"/>
      <c r="V309" s="674"/>
      <c r="W309" s="675"/>
      <c r="AC309" s="675"/>
      <c r="AD309" s="675"/>
      <c r="AE309" s="675"/>
      <c r="AG309" s="675"/>
      <c r="AH309" s="680" t="s">
        <v>6688</v>
      </c>
    </row>
    <row r="310" spans="1:34" s="536" customFormat="1" ht="12" x14ac:dyDescent="0.2">
      <c r="A310" s="676"/>
      <c r="B310" s="677" t="s">
        <v>6689</v>
      </c>
      <c r="C310" s="1829" t="s">
        <v>6690</v>
      </c>
      <c r="D310" s="1829"/>
      <c r="E310" s="1829"/>
      <c r="F310" s="678" t="s">
        <v>1687</v>
      </c>
      <c r="G310" s="678" t="s">
        <v>716</v>
      </c>
      <c r="H310" s="678"/>
      <c r="I310" s="678" t="s">
        <v>7055</v>
      </c>
      <c r="J310" s="552"/>
      <c r="K310" s="562"/>
      <c r="L310" s="604"/>
      <c r="M310" s="562"/>
      <c r="N310" s="679"/>
      <c r="V310" s="674"/>
      <c r="W310" s="675"/>
      <c r="AC310" s="675"/>
      <c r="AD310" s="675"/>
      <c r="AE310" s="675"/>
      <c r="AG310" s="675"/>
      <c r="AH310" s="680" t="s">
        <v>6690</v>
      </c>
    </row>
    <row r="311" spans="1:34" s="536" customFormat="1" ht="22.5" x14ac:dyDescent="0.2">
      <c r="A311" s="676"/>
      <c r="B311" s="677" t="s">
        <v>6691</v>
      </c>
      <c r="C311" s="1829" t="s">
        <v>6692</v>
      </c>
      <c r="D311" s="1829"/>
      <c r="E311" s="1829"/>
      <c r="F311" s="678" t="s">
        <v>307</v>
      </c>
      <c r="G311" s="678" t="s">
        <v>525</v>
      </c>
      <c r="H311" s="678"/>
      <c r="I311" s="678" t="s">
        <v>525</v>
      </c>
      <c r="J311" s="552"/>
      <c r="K311" s="562"/>
      <c r="L311" s="604"/>
      <c r="M311" s="562"/>
      <c r="N311" s="679"/>
      <c r="V311" s="674"/>
      <c r="W311" s="675"/>
      <c r="AC311" s="675"/>
      <c r="AD311" s="675"/>
      <c r="AE311" s="675"/>
      <c r="AG311" s="675"/>
      <c r="AH311" s="680" t="s">
        <v>6692</v>
      </c>
    </row>
    <row r="312" spans="1:34" s="536" customFormat="1" ht="12" x14ac:dyDescent="0.2">
      <c r="A312" s="605"/>
      <c r="B312" s="552"/>
      <c r="C312" s="1822" t="s">
        <v>314</v>
      </c>
      <c r="D312" s="1822"/>
      <c r="E312" s="1822"/>
      <c r="F312" s="562" t="s">
        <v>315</v>
      </c>
      <c r="G312" s="562" t="s">
        <v>6693</v>
      </c>
      <c r="H312" s="562" t="s">
        <v>313</v>
      </c>
      <c r="I312" s="562" t="s">
        <v>7056</v>
      </c>
      <c r="J312" s="604"/>
      <c r="K312" s="562"/>
      <c r="L312" s="604"/>
      <c r="M312" s="603"/>
      <c r="N312" s="602"/>
      <c r="V312" s="674"/>
      <c r="W312" s="675"/>
      <c r="AA312" s="537" t="s">
        <v>314</v>
      </c>
      <c r="AC312" s="675"/>
      <c r="AD312" s="675"/>
      <c r="AE312" s="675"/>
      <c r="AG312" s="675"/>
      <c r="AH312" s="680"/>
    </row>
    <row r="313" spans="1:34" s="536" customFormat="1" ht="12" x14ac:dyDescent="0.2">
      <c r="A313" s="605"/>
      <c r="B313" s="552"/>
      <c r="C313" s="1822" t="s">
        <v>348</v>
      </c>
      <c r="D313" s="1822"/>
      <c r="E313" s="1822"/>
      <c r="F313" s="562" t="s">
        <v>315</v>
      </c>
      <c r="G313" s="562" t="s">
        <v>6695</v>
      </c>
      <c r="H313" s="562" t="s">
        <v>313</v>
      </c>
      <c r="I313" s="562" t="s">
        <v>7057</v>
      </c>
      <c r="J313" s="604"/>
      <c r="K313" s="562"/>
      <c r="L313" s="604"/>
      <c r="M313" s="603"/>
      <c r="N313" s="602"/>
      <c r="V313" s="674"/>
      <c r="W313" s="675"/>
      <c r="AA313" s="537" t="s">
        <v>348</v>
      </c>
      <c r="AC313" s="675"/>
      <c r="AD313" s="675"/>
      <c r="AE313" s="675"/>
      <c r="AG313" s="675"/>
      <c r="AH313" s="680"/>
    </row>
    <row r="314" spans="1:34" s="536" customFormat="1" ht="12" x14ac:dyDescent="0.2">
      <c r="A314" s="605"/>
      <c r="B314" s="552"/>
      <c r="C314" s="1828" t="s">
        <v>318</v>
      </c>
      <c r="D314" s="1828"/>
      <c r="E314" s="1828"/>
      <c r="F314" s="608"/>
      <c r="G314" s="608"/>
      <c r="H314" s="608"/>
      <c r="I314" s="608"/>
      <c r="J314" s="607">
        <v>5771.6</v>
      </c>
      <c r="K314" s="608"/>
      <c r="L314" s="607">
        <v>636.49</v>
      </c>
      <c r="M314" s="601"/>
      <c r="N314" s="606"/>
      <c r="V314" s="674"/>
      <c r="W314" s="675"/>
      <c r="AB314" s="537" t="s">
        <v>318</v>
      </c>
      <c r="AC314" s="675"/>
      <c r="AD314" s="675"/>
      <c r="AE314" s="675"/>
      <c r="AG314" s="675"/>
      <c r="AH314" s="680"/>
    </row>
    <row r="315" spans="1:34" s="536" customFormat="1" ht="12" x14ac:dyDescent="0.2">
      <c r="A315" s="605"/>
      <c r="B315" s="552"/>
      <c r="C315" s="1822" t="s">
        <v>319</v>
      </c>
      <c r="D315" s="1822"/>
      <c r="E315" s="1822"/>
      <c r="F315" s="562"/>
      <c r="G315" s="562"/>
      <c r="H315" s="562"/>
      <c r="I315" s="562"/>
      <c r="J315" s="604"/>
      <c r="K315" s="562"/>
      <c r="L315" s="604">
        <v>121.07</v>
      </c>
      <c r="M315" s="603"/>
      <c r="N315" s="602"/>
      <c r="V315" s="674"/>
      <c r="W315" s="675"/>
      <c r="AA315" s="537" t="s">
        <v>319</v>
      </c>
      <c r="AC315" s="675"/>
      <c r="AD315" s="675"/>
      <c r="AE315" s="675"/>
      <c r="AG315" s="675"/>
      <c r="AH315" s="680"/>
    </row>
    <row r="316" spans="1:34" s="536" customFormat="1" ht="33.75" x14ac:dyDescent="0.2">
      <c r="A316" s="605"/>
      <c r="B316" s="552" t="s">
        <v>708</v>
      </c>
      <c r="C316" s="1822" t="s">
        <v>709</v>
      </c>
      <c r="D316" s="1822"/>
      <c r="E316" s="1822"/>
      <c r="F316" s="562" t="s">
        <v>322</v>
      </c>
      <c r="G316" s="562" t="s">
        <v>710</v>
      </c>
      <c r="H316" s="562"/>
      <c r="I316" s="562" t="s">
        <v>710</v>
      </c>
      <c r="J316" s="604"/>
      <c r="K316" s="562"/>
      <c r="L316" s="604">
        <v>124.7</v>
      </c>
      <c r="M316" s="603"/>
      <c r="N316" s="602"/>
      <c r="V316" s="674"/>
      <c r="W316" s="675"/>
      <c r="AA316" s="537" t="s">
        <v>709</v>
      </c>
      <c r="AC316" s="675"/>
      <c r="AD316" s="675"/>
      <c r="AE316" s="675"/>
      <c r="AG316" s="675"/>
      <c r="AH316" s="680"/>
    </row>
    <row r="317" spans="1:34" s="536" customFormat="1" ht="33.75" x14ac:dyDescent="0.2">
      <c r="A317" s="605"/>
      <c r="B317" s="552" t="s">
        <v>711</v>
      </c>
      <c r="C317" s="1822" t="s">
        <v>712</v>
      </c>
      <c r="D317" s="1822"/>
      <c r="E317" s="1822"/>
      <c r="F317" s="562" t="s">
        <v>322</v>
      </c>
      <c r="G317" s="562" t="s">
        <v>713</v>
      </c>
      <c r="H317" s="562"/>
      <c r="I317" s="562" t="s">
        <v>713</v>
      </c>
      <c r="J317" s="604"/>
      <c r="K317" s="562"/>
      <c r="L317" s="604">
        <v>72.64</v>
      </c>
      <c r="M317" s="603"/>
      <c r="N317" s="602"/>
      <c r="V317" s="674"/>
      <c r="W317" s="675"/>
      <c r="AA317" s="537" t="s">
        <v>712</v>
      </c>
      <c r="AC317" s="675"/>
      <c r="AD317" s="675"/>
      <c r="AE317" s="675"/>
      <c r="AG317" s="675"/>
      <c r="AH317" s="680"/>
    </row>
    <row r="318" spans="1:34" s="536" customFormat="1" ht="12" x14ac:dyDescent="0.2">
      <c r="A318" s="569"/>
      <c r="B318" s="671"/>
      <c r="C318" s="1823" t="s">
        <v>327</v>
      </c>
      <c r="D318" s="1823"/>
      <c r="E318" s="1823"/>
      <c r="F318" s="573"/>
      <c r="G318" s="573"/>
      <c r="H318" s="573"/>
      <c r="I318" s="573"/>
      <c r="J318" s="572"/>
      <c r="K318" s="573"/>
      <c r="L318" s="572">
        <v>833.83</v>
      </c>
      <c r="M318" s="601"/>
      <c r="N318" s="570"/>
      <c r="V318" s="674"/>
      <c r="W318" s="675"/>
      <c r="AC318" s="675" t="s">
        <v>327</v>
      </c>
      <c r="AD318" s="675"/>
      <c r="AE318" s="675"/>
      <c r="AG318" s="675"/>
      <c r="AH318" s="680"/>
    </row>
    <row r="319" spans="1:34" s="536" customFormat="1" ht="45" x14ac:dyDescent="0.2">
      <c r="A319" s="575" t="s">
        <v>917</v>
      </c>
      <c r="B319" s="670" t="s">
        <v>6697</v>
      </c>
      <c r="C319" s="1823" t="s">
        <v>7058</v>
      </c>
      <c r="D319" s="1823"/>
      <c r="E319" s="1823"/>
      <c r="F319" s="573" t="s">
        <v>617</v>
      </c>
      <c r="G319" s="573"/>
      <c r="H319" s="573"/>
      <c r="I319" s="573" t="s">
        <v>185</v>
      </c>
      <c r="J319" s="572"/>
      <c r="K319" s="573"/>
      <c r="L319" s="572"/>
      <c r="M319" s="571"/>
      <c r="N319" s="570"/>
      <c r="V319" s="674"/>
      <c r="W319" s="675" t="s">
        <v>7058</v>
      </c>
      <c r="AC319" s="675"/>
      <c r="AD319" s="675"/>
      <c r="AE319" s="675"/>
      <c r="AG319" s="675"/>
      <c r="AH319" s="680"/>
    </row>
    <row r="320" spans="1:34" s="536" customFormat="1" ht="33.75" x14ac:dyDescent="0.2">
      <c r="A320" s="609"/>
      <c r="B320" s="552" t="s">
        <v>310</v>
      </c>
      <c r="C320" s="1822" t="s">
        <v>311</v>
      </c>
      <c r="D320" s="1822"/>
      <c r="E320" s="1822"/>
      <c r="F320" s="1822"/>
      <c r="G320" s="1822"/>
      <c r="H320" s="1822"/>
      <c r="I320" s="1822"/>
      <c r="J320" s="1822"/>
      <c r="K320" s="1822"/>
      <c r="L320" s="1822"/>
      <c r="M320" s="1822"/>
      <c r="N320" s="1827"/>
      <c r="V320" s="674"/>
      <c r="W320" s="675"/>
      <c r="Y320" s="537" t="s">
        <v>311</v>
      </c>
      <c r="AC320" s="675"/>
      <c r="AD320" s="675"/>
      <c r="AE320" s="675"/>
      <c r="AG320" s="675"/>
      <c r="AH320" s="680"/>
    </row>
    <row r="321" spans="1:34" s="536" customFormat="1" ht="12" x14ac:dyDescent="0.2">
      <c r="A321" s="605"/>
      <c r="B321" s="552" t="s">
        <v>185</v>
      </c>
      <c r="C321" s="1822" t="s">
        <v>312</v>
      </c>
      <c r="D321" s="1822"/>
      <c r="E321" s="1822"/>
      <c r="F321" s="562"/>
      <c r="G321" s="562"/>
      <c r="H321" s="562"/>
      <c r="I321" s="562"/>
      <c r="J321" s="604">
        <v>15.18</v>
      </c>
      <c r="K321" s="562" t="s">
        <v>313</v>
      </c>
      <c r="L321" s="604">
        <v>18.98</v>
      </c>
      <c r="M321" s="603"/>
      <c r="N321" s="602"/>
      <c r="V321" s="674"/>
      <c r="W321" s="675"/>
      <c r="Z321" s="537" t="s">
        <v>312</v>
      </c>
      <c r="AC321" s="675"/>
      <c r="AD321" s="675"/>
      <c r="AE321" s="675"/>
      <c r="AG321" s="675"/>
      <c r="AH321" s="680"/>
    </row>
    <row r="322" spans="1:34" s="536" customFormat="1" ht="12" x14ac:dyDescent="0.2">
      <c r="A322" s="605"/>
      <c r="B322" s="552" t="s">
        <v>186</v>
      </c>
      <c r="C322" s="1822" t="s">
        <v>344</v>
      </c>
      <c r="D322" s="1822"/>
      <c r="E322" s="1822"/>
      <c r="F322" s="562"/>
      <c r="G322" s="562"/>
      <c r="H322" s="562"/>
      <c r="I322" s="562"/>
      <c r="J322" s="604">
        <v>90.92</v>
      </c>
      <c r="K322" s="562" t="s">
        <v>313</v>
      </c>
      <c r="L322" s="604">
        <v>113.65</v>
      </c>
      <c r="M322" s="603"/>
      <c r="N322" s="602"/>
      <c r="V322" s="674"/>
      <c r="W322" s="675"/>
      <c r="Z322" s="537" t="s">
        <v>344</v>
      </c>
      <c r="AC322" s="675"/>
      <c r="AD322" s="675"/>
      <c r="AE322" s="675"/>
      <c r="AG322" s="675"/>
      <c r="AH322" s="680"/>
    </row>
    <row r="323" spans="1:34" s="536" customFormat="1" ht="12" x14ac:dyDescent="0.2">
      <c r="A323" s="605"/>
      <c r="B323" s="552" t="s">
        <v>187</v>
      </c>
      <c r="C323" s="1822" t="s">
        <v>345</v>
      </c>
      <c r="D323" s="1822"/>
      <c r="E323" s="1822"/>
      <c r="F323" s="562"/>
      <c r="G323" s="562"/>
      <c r="H323" s="562"/>
      <c r="I323" s="562"/>
      <c r="J323" s="604">
        <v>11.69</v>
      </c>
      <c r="K323" s="562" t="s">
        <v>313</v>
      </c>
      <c r="L323" s="604">
        <v>14.61</v>
      </c>
      <c r="M323" s="603"/>
      <c r="N323" s="602"/>
      <c r="V323" s="674"/>
      <c r="W323" s="675"/>
      <c r="Z323" s="537" t="s">
        <v>345</v>
      </c>
      <c r="AC323" s="675"/>
      <c r="AD323" s="675"/>
      <c r="AE323" s="675"/>
      <c r="AG323" s="675"/>
      <c r="AH323" s="680"/>
    </row>
    <row r="324" spans="1:34" s="536" customFormat="1" ht="12" x14ac:dyDescent="0.2">
      <c r="A324" s="605"/>
      <c r="B324" s="552" t="s">
        <v>188</v>
      </c>
      <c r="C324" s="1822" t="s">
        <v>475</v>
      </c>
      <c r="D324" s="1822"/>
      <c r="E324" s="1822"/>
      <c r="F324" s="562"/>
      <c r="G324" s="562"/>
      <c r="H324" s="562"/>
      <c r="I324" s="562"/>
      <c r="J324" s="604">
        <v>255.79</v>
      </c>
      <c r="K324" s="562"/>
      <c r="L324" s="604">
        <v>255.79</v>
      </c>
      <c r="M324" s="603"/>
      <c r="N324" s="602"/>
      <c r="V324" s="674"/>
      <c r="W324" s="675"/>
      <c r="Z324" s="537" t="s">
        <v>475</v>
      </c>
      <c r="AC324" s="675"/>
      <c r="AD324" s="675"/>
      <c r="AE324" s="675"/>
      <c r="AG324" s="675"/>
      <c r="AH324" s="680"/>
    </row>
    <row r="325" spans="1:34" s="536" customFormat="1" ht="22.5" x14ac:dyDescent="0.2">
      <c r="A325" s="676"/>
      <c r="B325" s="677" t="s">
        <v>6685</v>
      </c>
      <c r="C325" s="1829" t="s">
        <v>6686</v>
      </c>
      <c r="D325" s="1829"/>
      <c r="E325" s="1829"/>
      <c r="F325" s="678" t="s">
        <v>307</v>
      </c>
      <c r="G325" s="678" t="s">
        <v>525</v>
      </c>
      <c r="H325" s="678"/>
      <c r="I325" s="678" t="s">
        <v>525</v>
      </c>
      <c r="J325" s="552"/>
      <c r="K325" s="562"/>
      <c r="L325" s="604"/>
      <c r="M325" s="562"/>
      <c r="N325" s="679"/>
      <c r="V325" s="674"/>
      <c r="W325" s="675"/>
      <c r="AC325" s="675"/>
      <c r="AD325" s="675"/>
      <c r="AE325" s="675"/>
      <c r="AG325" s="675"/>
      <c r="AH325" s="680" t="s">
        <v>6686</v>
      </c>
    </row>
    <row r="326" spans="1:34" s="536" customFormat="1" ht="22.5" x14ac:dyDescent="0.2">
      <c r="A326" s="676"/>
      <c r="B326" s="677" t="s">
        <v>6691</v>
      </c>
      <c r="C326" s="1829" t="s">
        <v>6692</v>
      </c>
      <c r="D326" s="1829"/>
      <c r="E326" s="1829"/>
      <c r="F326" s="678" t="s">
        <v>307</v>
      </c>
      <c r="G326" s="678" t="s">
        <v>525</v>
      </c>
      <c r="H326" s="678"/>
      <c r="I326" s="678" t="s">
        <v>525</v>
      </c>
      <c r="J326" s="552"/>
      <c r="K326" s="562"/>
      <c r="L326" s="604"/>
      <c r="M326" s="562"/>
      <c r="N326" s="679"/>
      <c r="V326" s="674"/>
      <c r="W326" s="675"/>
      <c r="AC326" s="675"/>
      <c r="AD326" s="675"/>
      <c r="AE326" s="675"/>
      <c r="AG326" s="675"/>
      <c r="AH326" s="680" t="s">
        <v>6692</v>
      </c>
    </row>
    <row r="327" spans="1:34" s="536" customFormat="1" ht="12" x14ac:dyDescent="0.2">
      <c r="A327" s="605"/>
      <c r="B327" s="552"/>
      <c r="C327" s="1822" t="s">
        <v>314</v>
      </c>
      <c r="D327" s="1822"/>
      <c r="E327" s="1822"/>
      <c r="F327" s="562" t="s">
        <v>315</v>
      </c>
      <c r="G327" s="562" t="s">
        <v>6700</v>
      </c>
      <c r="H327" s="562" t="s">
        <v>313</v>
      </c>
      <c r="I327" s="562" t="s">
        <v>7059</v>
      </c>
      <c r="J327" s="604"/>
      <c r="K327" s="562"/>
      <c r="L327" s="604"/>
      <c r="M327" s="603"/>
      <c r="N327" s="602"/>
      <c r="V327" s="674"/>
      <c r="W327" s="675"/>
      <c r="AA327" s="537" t="s">
        <v>314</v>
      </c>
      <c r="AC327" s="675"/>
      <c r="AD327" s="675"/>
      <c r="AE327" s="675"/>
      <c r="AG327" s="675"/>
      <c r="AH327" s="680"/>
    </row>
    <row r="328" spans="1:34" s="536" customFormat="1" ht="12" x14ac:dyDescent="0.2">
      <c r="A328" s="605"/>
      <c r="B328" s="552"/>
      <c r="C328" s="1822" t="s">
        <v>348</v>
      </c>
      <c r="D328" s="1822"/>
      <c r="E328" s="1822"/>
      <c r="F328" s="562" t="s">
        <v>315</v>
      </c>
      <c r="G328" s="562" t="s">
        <v>3165</v>
      </c>
      <c r="H328" s="562" t="s">
        <v>313</v>
      </c>
      <c r="I328" s="562" t="s">
        <v>3470</v>
      </c>
      <c r="J328" s="604"/>
      <c r="K328" s="562"/>
      <c r="L328" s="604"/>
      <c r="M328" s="603"/>
      <c r="N328" s="602"/>
      <c r="V328" s="674"/>
      <c r="W328" s="675"/>
      <c r="AA328" s="537" t="s">
        <v>348</v>
      </c>
      <c r="AC328" s="675"/>
      <c r="AD328" s="675"/>
      <c r="AE328" s="675"/>
      <c r="AG328" s="675"/>
      <c r="AH328" s="680"/>
    </row>
    <row r="329" spans="1:34" s="536" customFormat="1" ht="12" x14ac:dyDescent="0.2">
      <c r="A329" s="605"/>
      <c r="B329" s="552"/>
      <c r="C329" s="1828" t="s">
        <v>318</v>
      </c>
      <c r="D329" s="1828"/>
      <c r="E329" s="1828"/>
      <c r="F329" s="608"/>
      <c r="G329" s="608"/>
      <c r="H329" s="608"/>
      <c r="I329" s="608"/>
      <c r="J329" s="607">
        <v>361.89</v>
      </c>
      <c r="K329" s="608"/>
      <c r="L329" s="607">
        <v>388.42</v>
      </c>
      <c r="M329" s="601"/>
      <c r="N329" s="606"/>
      <c r="V329" s="674"/>
      <c r="W329" s="675"/>
      <c r="AB329" s="537" t="s">
        <v>318</v>
      </c>
      <c r="AC329" s="675"/>
      <c r="AD329" s="675"/>
      <c r="AE329" s="675"/>
      <c r="AG329" s="675"/>
      <c r="AH329" s="680"/>
    </row>
    <row r="330" spans="1:34" s="536" customFormat="1" ht="12" x14ac:dyDescent="0.2">
      <c r="A330" s="605"/>
      <c r="B330" s="552"/>
      <c r="C330" s="1822" t="s">
        <v>319</v>
      </c>
      <c r="D330" s="1822"/>
      <c r="E330" s="1822"/>
      <c r="F330" s="562"/>
      <c r="G330" s="562"/>
      <c r="H330" s="562"/>
      <c r="I330" s="562"/>
      <c r="J330" s="604"/>
      <c r="K330" s="562"/>
      <c r="L330" s="604">
        <v>33.590000000000003</v>
      </c>
      <c r="M330" s="603"/>
      <c r="N330" s="602"/>
      <c r="V330" s="674"/>
      <c r="W330" s="675"/>
      <c r="AA330" s="537" t="s">
        <v>319</v>
      </c>
      <c r="AC330" s="675"/>
      <c r="AD330" s="675"/>
      <c r="AE330" s="675"/>
      <c r="AG330" s="675"/>
      <c r="AH330" s="680"/>
    </row>
    <row r="331" spans="1:34" s="536" customFormat="1" ht="33.75" x14ac:dyDescent="0.2">
      <c r="A331" s="605"/>
      <c r="B331" s="552" t="s">
        <v>708</v>
      </c>
      <c r="C331" s="1822" t="s">
        <v>709</v>
      </c>
      <c r="D331" s="1822"/>
      <c r="E331" s="1822"/>
      <c r="F331" s="562" t="s">
        <v>322</v>
      </c>
      <c r="G331" s="562" t="s">
        <v>710</v>
      </c>
      <c r="H331" s="562"/>
      <c r="I331" s="562" t="s">
        <v>710</v>
      </c>
      <c r="J331" s="604"/>
      <c r="K331" s="562"/>
      <c r="L331" s="604">
        <v>34.6</v>
      </c>
      <c r="M331" s="603"/>
      <c r="N331" s="602"/>
      <c r="V331" s="674"/>
      <c r="W331" s="675"/>
      <c r="AA331" s="537" t="s">
        <v>709</v>
      </c>
      <c r="AC331" s="675"/>
      <c r="AD331" s="675"/>
      <c r="AE331" s="675"/>
      <c r="AG331" s="675"/>
      <c r="AH331" s="680"/>
    </row>
    <row r="332" spans="1:34" s="536" customFormat="1" ht="33.75" x14ac:dyDescent="0.2">
      <c r="A332" s="605"/>
      <c r="B332" s="552" t="s">
        <v>711</v>
      </c>
      <c r="C332" s="1822" t="s">
        <v>712</v>
      </c>
      <c r="D332" s="1822"/>
      <c r="E332" s="1822"/>
      <c r="F332" s="562" t="s">
        <v>322</v>
      </c>
      <c r="G332" s="562" t="s">
        <v>713</v>
      </c>
      <c r="H332" s="562"/>
      <c r="I332" s="562" t="s">
        <v>713</v>
      </c>
      <c r="J332" s="604"/>
      <c r="K332" s="562"/>
      <c r="L332" s="604">
        <v>20.149999999999999</v>
      </c>
      <c r="M332" s="603"/>
      <c r="N332" s="602"/>
      <c r="V332" s="674"/>
      <c r="W332" s="675"/>
      <c r="AA332" s="537" t="s">
        <v>712</v>
      </c>
      <c r="AC332" s="675"/>
      <c r="AD332" s="675"/>
      <c r="AE332" s="675"/>
      <c r="AG332" s="675"/>
      <c r="AH332" s="680"/>
    </row>
    <row r="333" spans="1:34" s="536" customFormat="1" ht="12" x14ac:dyDescent="0.2">
      <c r="A333" s="569"/>
      <c r="B333" s="671"/>
      <c r="C333" s="1823" t="s">
        <v>327</v>
      </c>
      <c r="D333" s="1823"/>
      <c r="E333" s="1823"/>
      <c r="F333" s="573"/>
      <c r="G333" s="573"/>
      <c r="H333" s="573"/>
      <c r="I333" s="573"/>
      <c r="J333" s="572"/>
      <c r="K333" s="573"/>
      <c r="L333" s="572">
        <v>443.17</v>
      </c>
      <c r="M333" s="601"/>
      <c r="N333" s="570"/>
      <c r="V333" s="674"/>
      <c r="W333" s="675"/>
      <c r="AC333" s="675" t="s">
        <v>327</v>
      </c>
      <c r="AD333" s="675"/>
      <c r="AE333" s="675"/>
      <c r="AG333" s="675"/>
      <c r="AH333" s="680"/>
    </row>
    <row r="334" spans="1:34" s="536" customFormat="1" ht="33.75" x14ac:dyDescent="0.2">
      <c r="A334" s="575" t="s">
        <v>761</v>
      </c>
      <c r="B334" s="670" t="s">
        <v>7060</v>
      </c>
      <c r="C334" s="1823" t="s">
        <v>7061</v>
      </c>
      <c r="D334" s="1823"/>
      <c r="E334" s="1823"/>
      <c r="F334" s="573" t="s">
        <v>617</v>
      </c>
      <c r="G334" s="573"/>
      <c r="H334" s="573"/>
      <c r="I334" s="573" t="s">
        <v>188</v>
      </c>
      <c r="J334" s="572"/>
      <c r="K334" s="573"/>
      <c r="L334" s="572"/>
      <c r="M334" s="571"/>
      <c r="N334" s="570"/>
      <c r="V334" s="674"/>
      <c r="W334" s="675" t="s">
        <v>7061</v>
      </c>
      <c r="AC334" s="675"/>
      <c r="AD334" s="675"/>
      <c r="AE334" s="675"/>
      <c r="AG334" s="675"/>
      <c r="AH334" s="680"/>
    </row>
    <row r="335" spans="1:34" s="536" customFormat="1" ht="33.75" x14ac:dyDescent="0.2">
      <c r="A335" s="609"/>
      <c r="B335" s="552" t="s">
        <v>310</v>
      </c>
      <c r="C335" s="1822" t="s">
        <v>311</v>
      </c>
      <c r="D335" s="1822"/>
      <c r="E335" s="1822"/>
      <c r="F335" s="1822"/>
      <c r="G335" s="1822"/>
      <c r="H335" s="1822"/>
      <c r="I335" s="1822"/>
      <c r="J335" s="1822"/>
      <c r="K335" s="1822"/>
      <c r="L335" s="1822"/>
      <c r="M335" s="1822"/>
      <c r="N335" s="1827"/>
      <c r="V335" s="674"/>
      <c r="W335" s="675"/>
      <c r="Y335" s="537" t="s">
        <v>311</v>
      </c>
      <c r="AC335" s="675"/>
      <c r="AD335" s="675"/>
      <c r="AE335" s="675"/>
      <c r="AG335" s="675"/>
      <c r="AH335" s="680"/>
    </row>
    <row r="336" spans="1:34" s="536" customFormat="1" ht="12" x14ac:dyDescent="0.2">
      <c r="A336" s="605"/>
      <c r="B336" s="552" t="s">
        <v>185</v>
      </c>
      <c r="C336" s="1822" t="s">
        <v>312</v>
      </c>
      <c r="D336" s="1822"/>
      <c r="E336" s="1822"/>
      <c r="F336" s="562"/>
      <c r="G336" s="562"/>
      <c r="H336" s="562"/>
      <c r="I336" s="562"/>
      <c r="J336" s="604">
        <v>51.98</v>
      </c>
      <c r="K336" s="562" t="s">
        <v>313</v>
      </c>
      <c r="L336" s="604">
        <v>259.89999999999998</v>
      </c>
      <c r="M336" s="603"/>
      <c r="N336" s="602"/>
      <c r="V336" s="674"/>
      <c r="W336" s="675"/>
      <c r="Z336" s="537" t="s">
        <v>312</v>
      </c>
      <c r="AC336" s="675"/>
      <c r="AD336" s="675"/>
      <c r="AE336" s="675"/>
      <c r="AG336" s="675"/>
      <c r="AH336" s="680"/>
    </row>
    <row r="337" spans="1:34" s="536" customFormat="1" ht="12" x14ac:dyDescent="0.2">
      <c r="A337" s="605"/>
      <c r="B337" s="552" t="s">
        <v>186</v>
      </c>
      <c r="C337" s="1822" t="s">
        <v>344</v>
      </c>
      <c r="D337" s="1822"/>
      <c r="E337" s="1822"/>
      <c r="F337" s="562"/>
      <c r="G337" s="562"/>
      <c r="H337" s="562"/>
      <c r="I337" s="562"/>
      <c r="J337" s="604">
        <v>1.81</v>
      </c>
      <c r="K337" s="562" t="s">
        <v>313</v>
      </c>
      <c r="L337" s="604">
        <v>9.0500000000000007</v>
      </c>
      <c r="M337" s="603"/>
      <c r="N337" s="602"/>
      <c r="V337" s="674"/>
      <c r="W337" s="675"/>
      <c r="Z337" s="537" t="s">
        <v>344</v>
      </c>
      <c r="AC337" s="675"/>
      <c r="AD337" s="675"/>
      <c r="AE337" s="675"/>
      <c r="AG337" s="675"/>
      <c r="AH337" s="680"/>
    </row>
    <row r="338" spans="1:34" s="536" customFormat="1" ht="12" x14ac:dyDescent="0.2">
      <c r="A338" s="605"/>
      <c r="B338" s="552" t="s">
        <v>187</v>
      </c>
      <c r="C338" s="1822" t="s">
        <v>345</v>
      </c>
      <c r="D338" s="1822"/>
      <c r="E338" s="1822"/>
      <c r="F338" s="562"/>
      <c r="G338" s="562"/>
      <c r="H338" s="562"/>
      <c r="I338" s="562"/>
      <c r="J338" s="604">
        <v>0.26</v>
      </c>
      <c r="K338" s="562" t="s">
        <v>313</v>
      </c>
      <c r="L338" s="604">
        <v>1.3</v>
      </c>
      <c r="M338" s="603"/>
      <c r="N338" s="602"/>
      <c r="V338" s="674"/>
      <c r="W338" s="675"/>
      <c r="Z338" s="537" t="s">
        <v>345</v>
      </c>
      <c r="AC338" s="675"/>
      <c r="AD338" s="675"/>
      <c r="AE338" s="675"/>
      <c r="AG338" s="675"/>
      <c r="AH338" s="680"/>
    </row>
    <row r="339" spans="1:34" s="536" customFormat="1" ht="12" x14ac:dyDescent="0.2">
      <c r="A339" s="605"/>
      <c r="B339" s="552" t="s">
        <v>188</v>
      </c>
      <c r="C339" s="1822" t="s">
        <v>475</v>
      </c>
      <c r="D339" s="1822"/>
      <c r="E339" s="1822"/>
      <c r="F339" s="562"/>
      <c r="G339" s="562"/>
      <c r="H339" s="562"/>
      <c r="I339" s="562"/>
      <c r="J339" s="604">
        <v>16.68</v>
      </c>
      <c r="K339" s="562"/>
      <c r="L339" s="604">
        <v>66.72</v>
      </c>
      <c r="M339" s="603"/>
      <c r="N339" s="602"/>
      <c r="V339" s="674"/>
      <c r="W339" s="675"/>
      <c r="Z339" s="537" t="s">
        <v>475</v>
      </c>
      <c r="AC339" s="675"/>
      <c r="AD339" s="675"/>
      <c r="AE339" s="675"/>
      <c r="AG339" s="675"/>
      <c r="AH339" s="680"/>
    </row>
    <row r="340" spans="1:34" s="536" customFormat="1" ht="12" x14ac:dyDescent="0.2">
      <c r="A340" s="605"/>
      <c r="B340" s="552"/>
      <c r="C340" s="1822" t="s">
        <v>314</v>
      </c>
      <c r="D340" s="1822"/>
      <c r="E340" s="1822"/>
      <c r="F340" s="562" t="s">
        <v>315</v>
      </c>
      <c r="G340" s="562" t="s">
        <v>2243</v>
      </c>
      <c r="H340" s="562" t="s">
        <v>313</v>
      </c>
      <c r="I340" s="562" t="s">
        <v>7062</v>
      </c>
      <c r="J340" s="604"/>
      <c r="K340" s="562"/>
      <c r="L340" s="604"/>
      <c r="M340" s="603"/>
      <c r="N340" s="602"/>
      <c r="V340" s="674"/>
      <c r="W340" s="675"/>
      <c r="AA340" s="537" t="s">
        <v>314</v>
      </c>
      <c r="AC340" s="675"/>
      <c r="AD340" s="675"/>
      <c r="AE340" s="675"/>
      <c r="AG340" s="675"/>
      <c r="AH340" s="680"/>
    </row>
    <row r="341" spans="1:34" s="536" customFormat="1" ht="12" x14ac:dyDescent="0.2">
      <c r="A341" s="605"/>
      <c r="B341" s="552"/>
      <c r="C341" s="1822" t="s">
        <v>348</v>
      </c>
      <c r="D341" s="1822"/>
      <c r="E341" s="1822"/>
      <c r="F341" s="562" t="s">
        <v>315</v>
      </c>
      <c r="G341" s="562" t="s">
        <v>695</v>
      </c>
      <c r="H341" s="562" t="s">
        <v>313</v>
      </c>
      <c r="I341" s="562" t="s">
        <v>2323</v>
      </c>
      <c r="J341" s="604"/>
      <c r="K341" s="562"/>
      <c r="L341" s="604"/>
      <c r="M341" s="603"/>
      <c r="N341" s="602"/>
      <c r="V341" s="674"/>
      <c r="W341" s="675"/>
      <c r="AA341" s="537" t="s">
        <v>348</v>
      </c>
      <c r="AC341" s="675"/>
      <c r="AD341" s="675"/>
      <c r="AE341" s="675"/>
      <c r="AG341" s="675"/>
      <c r="AH341" s="680"/>
    </row>
    <row r="342" spans="1:34" s="536" customFormat="1" ht="12" x14ac:dyDescent="0.2">
      <c r="A342" s="605"/>
      <c r="B342" s="552"/>
      <c r="C342" s="1828" t="s">
        <v>318</v>
      </c>
      <c r="D342" s="1828"/>
      <c r="E342" s="1828"/>
      <c r="F342" s="608"/>
      <c r="G342" s="608"/>
      <c r="H342" s="608"/>
      <c r="I342" s="608"/>
      <c r="J342" s="607">
        <v>70.47</v>
      </c>
      <c r="K342" s="608"/>
      <c r="L342" s="607">
        <v>335.67</v>
      </c>
      <c r="M342" s="601"/>
      <c r="N342" s="606"/>
      <c r="V342" s="674"/>
      <c r="W342" s="675"/>
      <c r="AB342" s="537" t="s">
        <v>318</v>
      </c>
      <c r="AC342" s="675"/>
      <c r="AD342" s="675"/>
      <c r="AE342" s="675"/>
      <c r="AG342" s="675"/>
      <c r="AH342" s="680"/>
    </row>
    <row r="343" spans="1:34" s="536" customFormat="1" ht="12" x14ac:dyDescent="0.2">
      <c r="A343" s="605"/>
      <c r="B343" s="552"/>
      <c r="C343" s="1822" t="s">
        <v>319</v>
      </c>
      <c r="D343" s="1822"/>
      <c r="E343" s="1822"/>
      <c r="F343" s="562"/>
      <c r="G343" s="562"/>
      <c r="H343" s="562"/>
      <c r="I343" s="562"/>
      <c r="J343" s="604"/>
      <c r="K343" s="562"/>
      <c r="L343" s="604">
        <v>261.2</v>
      </c>
      <c r="M343" s="603"/>
      <c r="N343" s="602"/>
      <c r="V343" s="674"/>
      <c r="W343" s="675"/>
      <c r="AA343" s="537" t="s">
        <v>319</v>
      </c>
      <c r="AC343" s="675"/>
      <c r="AD343" s="675"/>
      <c r="AE343" s="675"/>
      <c r="AG343" s="675"/>
      <c r="AH343" s="680"/>
    </row>
    <row r="344" spans="1:34" s="536" customFormat="1" ht="33.75" x14ac:dyDescent="0.2">
      <c r="A344" s="605"/>
      <c r="B344" s="552" t="s">
        <v>1631</v>
      </c>
      <c r="C344" s="1822" t="s">
        <v>1632</v>
      </c>
      <c r="D344" s="1822"/>
      <c r="E344" s="1822"/>
      <c r="F344" s="562" t="s">
        <v>322</v>
      </c>
      <c r="G344" s="562" t="s">
        <v>1633</v>
      </c>
      <c r="H344" s="562"/>
      <c r="I344" s="562" t="s">
        <v>1633</v>
      </c>
      <c r="J344" s="604"/>
      <c r="K344" s="562"/>
      <c r="L344" s="604">
        <v>253.36</v>
      </c>
      <c r="M344" s="603"/>
      <c r="N344" s="602"/>
      <c r="V344" s="674"/>
      <c r="W344" s="675"/>
      <c r="AA344" s="537" t="s">
        <v>1632</v>
      </c>
      <c r="AC344" s="675"/>
      <c r="AD344" s="675"/>
      <c r="AE344" s="675"/>
      <c r="AG344" s="675"/>
      <c r="AH344" s="680"/>
    </row>
    <row r="345" spans="1:34" s="536" customFormat="1" ht="33.75" x14ac:dyDescent="0.2">
      <c r="A345" s="605"/>
      <c r="B345" s="552" t="s">
        <v>1634</v>
      </c>
      <c r="C345" s="1822" t="s">
        <v>1635</v>
      </c>
      <c r="D345" s="1822"/>
      <c r="E345" s="1822"/>
      <c r="F345" s="562" t="s">
        <v>322</v>
      </c>
      <c r="G345" s="562" t="s">
        <v>786</v>
      </c>
      <c r="H345" s="562"/>
      <c r="I345" s="562" t="s">
        <v>786</v>
      </c>
      <c r="J345" s="604"/>
      <c r="K345" s="562"/>
      <c r="L345" s="604">
        <v>133.21</v>
      </c>
      <c r="M345" s="603"/>
      <c r="N345" s="602"/>
      <c r="V345" s="674"/>
      <c r="W345" s="675"/>
      <c r="AA345" s="537" t="s">
        <v>1635</v>
      </c>
      <c r="AC345" s="675"/>
      <c r="AD345" s="675"/>
      <c r="AE345" s="675"/>
      <c r="AG345" s="675"/>
      <c r="AH345" s="680"/>
    </row>
    <row r="346" spans="1:34" s="536" customFormat="1" ht="12" x14ac:dyDescent="0.2">
      <c r="A346" s="569"/>
      <c r="B346" s="671"/>
      <c r="C346" s="1823" t="s">
        <v>327</v>
      </c>
      <c r="D346" s="1823"/>
      <c r="E346" s="1823"/>
      <c r="F346" s="573"/>
      <c r="G346" s="573"/>
      <c r="H346" s="573"/>
      <c r="I346" s="573"/>
      <c r="J346" s="572"/>
      <c r="K346" s="573"/>
      <c r="L346" s="572">
        <v>722.24</v>
      </c>
      <c r="M346" s="601"/>
      <c r="N346" s="570"/>
      <c r="V346" s="674"/>
      <c r="W346" s="675"/>
      <c r="AC346" s="675" t="s">
        <v>327</v>
      </c>
      <c r="AD346" s="675"/>
      <c r="AE346" s="675"/>
      <c r="AG346" s="675"/>
      <c r="AH346" s="680"/>
    </row>
    <row r="347" spans="1:34" s="536" customFormat="1" ht="56.25" x14ac:dyDescent="0.2">
      <c r="A347" s="575" t="s">
        <v>762</v>
      </c>
      <c r="B347" s="670" t="s">
        <v>7063</v>
      </c>
      <c r="C347" s="1823" t="s">
        <v>7064</v>
      </c>
      <c r="D347" s="1823"/>
      <c r="E347" s="1823"/>
      <c r="F347" s="573" t="s">
        <v>617</v>
      </c>
      <c r="G347" s="573"/>
      <c r="H347" s="573"/>
      <c r="I347" s="573" t="s">
        <v>188</v>
      </c>
      <c r="J347" s="572">
        <v>3632.13</v>
      </c>
      <c r="K347" s="573" t="s">
        <v>716</v>
      </c>
      <c r="L347" s="572">
        <v>1513.69</v>
      </c>
      <c r="M347" s="571">
        <v>9.7899999999999991</v>
      </c>
      <c r="N347" s="570">
        <v>14819</v>
      </c>
      <c r="V347" s="674"/>
      <c r="W347" s="675" t="s">
        <v>7064</v>
      </c>
      <c r="AC347" s="675"/>
      <c r="AD347" s="675"/>
      <c r="AE347" s="675"/>
      <c r="AG347" s="675"/>
      <c r="AH347" s="680"/>
    </row>
    <row r="348" spans="1:34" s="536" customFormat="1" ht="12" x14ac:dyDescent="0.2">
      <c r="A348" s="569"/>
      <c r="B348" s="671"/>
      <c r="C348" s="665" t="s">
        <v>1658</v>
      </c>
      <c r="D348" s="666"/>
      <c r="E348" s="666"/>
      <c r="F348" s="563"/>
      <c r="G348" s="563"/>
      <c r="H348" s="563"/>
      <c r="I348" s="563"/>
      <c r="J348" s="566"/>
      <c r="K348" s="563"/>
      <c r="L348" s="566"/>
      <c r="M348" s="565"/>
      <c r="N348" s="564"/>
      <c r="V348" s="674"/>
      <c r="W348" s="675"/>
      <c r="AC348" s="675"/>
      <c r="AD348" s="675"/>
      <c r="AE348" s="675"/>
      <c r="AG348" s="675"/>
      <c r="AH348" s="680"/>
    </row>
    <row r="349" spans="1:34" s="536" customFormat="1" ht="22.5" x14ac:dyDescent="0.2">
      <c r="A349" s="609"/>
      <c r="B349" s="552" t="s">
        <v>718</v>
      </c>
      <c r="C349" s="1822" t="s">
        <v>719</v>
      </c>
      <c r="D349" s="1822"/>
      <c r="E349" s="1822"/>
      <c r="F349" s="1822"/>
      <c r="G349" s="1822"/>
      <c r="H349" s="1822"/>
      <c r="I349" s="1822"/>
      <c r="J349" s="1822"/>
      <c r="K349" s="1822"/>
      <c r="L349" s="1822"/>
      <c r="M349" s="1822"/>
      <c r="N349" s="1827"/>
      <c r="V349" s="674"/>
      <c r="W349" s="675"/>
      <c r="Y349" s="537" t="s">
        <v>719</v>
      </c>
      <c r="AC349" s="675"/>
      <c r="AD349" s="675"/>
      <c r="AE349" s="675"/>
      <c r="AG349" s="675"/>
      <c r="AH349" s="680"/>
    </row>
    <row r="350" spans="1:34" s="536" customFormat="1" ht="33.75" x14ac:dyDescent="0.2">
      <c r="A350" s="575" t="s">
        <v>763</v>
      </c>
      <c r="B350" s="670" t="s">
        <v>1782</v>
      </c>
      <c r="C350" s="1823" t="s">
        <v>1783</v>
      </c>
      <c r="D350" s="1823"/>
      <c r="E350" s="1823"/>
      <c r="F350" s="573" t="s">
        <v>617</v>
      </c>
      <c r="G350" s="573"/>
      <c r="H350" s="573"/>
      <c r="I350" s="573" t="s">
        <v>192</v>
      </c>
      <c r="J350" s="572"/>
      <c r="K350" s="573"/>
      <c r="L350" s="572"/>
      <c r="M350" s="571"/>
      <c r="N350" s="570"/>
      <c r="V350" s="674"/>
      <c r="W350" s="675" t="s">
        <v>1783</v>
      </c>
      <c r="AC350" s="675"/>
      <c r="AD350" s="675"/>
      <c r="AE350" s="675"/>
      <c r="AG350" s="675"/>
      <c r="AH350" s="680"/>
    </row>
    <row r="351" spans="1:34" s="536" customFormat="1" ht="33.75" x14ac:dyDescent="0.2">
      <c r="A351" s="609"/>
      <c r="B351" s="552" t="s">
        <v>310</v>
      </c>
      <c r="C351" s="1822" t="s">
        <v>311</v>
      </c>
      <c r="D351" s="1822"/>
      <c r="E351" s="1822"/>
      <c r="F351" s="1822"/>
      <c r="G351" s="1822"/>
      <c r="H351" s="1822"/>
      <c r="I351" s="1822"/>
      <c r="J351" s="1822"/>
      <c r="K351" s="1822"/>
      <c r="L351" s="1822"/>
      <c r="M351" s="1822"/>
      <c r="N351" s="1827"/>
      <c r="V351" s="674"/>
      <c r="W351" s="675"/>
      <c r="Y351" s="537" t="s">
        <v>311</v>
      </c>
      <c r="AC351" s="675"/>
      <c r="AD351" s="675"/>
      <c r="AE351" s="675"/>
      <c r="AG351" s="675"/>
      <c r="AH351" s="680"/>
    </row>
    <row r="352" spans="1:34" s="536" customFormat="1" ht="12" x14ac:dyDescent="0.2">
      <c r="A352" s="605"/>
      <c r="B352" s="552" t="s">
        <v>185</v>
      </c>
      <c r="C352" s="1822" t="s">
        <v>312</v>
      </c>
      <c r="D352" s="1822"/>
      <c r="E352" s="1822"/>
      <c r="F352" s="562"/>
      <c r="G352" s="562"/>
      <c r="H352" s="562"/>
      <c r="I352" s="562"/>
      <c r="J352" s="604">
        <v>3.57</v>
      </c>
      <c r="K352" s="562" t="s">
        <v>313</v>
      </c>
      <c r="L352" s="604">
        <v>35.700000000000003</v>
      </c>
      <c r="M352" s="603"/>
      <c r="N352" s="602"/>
      <c r="V352" s="674"/>
      <c r="W352" s="675"/>
      <c r="Z352" s="537" t="s">
        <v>312</v>
      </c>
      <c r="AC352" s="675"/>
      <c r="AD352" s="675"/>
      <c r="AE352" s="675"/>
      <c r="AG352" s="675"/>
      <c r="AH352" s="680"/>
    </row>
    <row r="353" spans="1:34" s="536" customFormat="1" ht="12" x14ac:dyDescent="0.2">
      <c r="A353" s="605"/>
      <c r="B353" s="552" t="s">
        <v>188</v>
      </c>
      <c r="C353" s="1822" t="s">
        <v>475</v>
      </c>
      <c r="D353" s="1822"/>
      <c r="E353" s="1822"/>
      <c r="F353" s="562"/>
      <c r="G353" s="562"/>
      <c r="H353" s="562"/>
      <c r="I353" s="562"/>
      <c r="J353" s="604">
        <v>15.07</v>
      </c>
      <c r="K353" s="562"/>
      <c r="L353" s="604">
        <v>0.56000000000000005</v>
      </c>
      <c r="M353" s="603"/>
      <c r="N353" s="602"/>
      <c r="V353" s="674"/>
      <c r="W353" s="675"/>
      <c r="Z353" s="537" t="s">
        <v>475</v>
      </c>
      <c r="AC353" s="675"/>
      <c r="AD353" s="675"/>
      <c r="AE353" s="675"/>
      <c r="AG353" s="675"/>
      <c r="AH353" s="680"/>
    </row>
    <row r="354" spans="1:34" s="536" customFormat="1" ht="12" x14ac:dyDescent="0.2">
      <c r="A354" s="605"/>
      <c r="B354" s="552"/>
      <c r="C354" s="1822" t="s">
        <v>314</v>
      </c>
      <c r="D354" s="1822"/>
      <c r="E354" s="1822"/>
      <c r="F354" s="562" t="s">
        <v>315</v>
      </c>
      <c r="G354" s="562" t="s">
        <v>1785</v>
      </c>
      <c r="H354" s="562" t="s">
        <v>313</v>
      </c>
      <c r="I354" s="562" t="s">
        <v>422</v>
      </c>
      <c r="J354" s="604"/>
      <c r="K354" s="562"/>
      <c r="L354" s="604"/>
      <c r="M354" s="603"/>
      <c r="N354" s="602"/>
      <c r="V354" s="674"/>
      <c r="W354" s="675"/>
      <c r="AA354" s="537" t="s">
        <v>314</v>
      </c>
      <c r="AC354" s="675"/>
      <c r="AD354" s="675"/>
      <c r="AE354" s="675"/>
      <c r="AG354" s="675"/>
      <c r="AH354" s="680"/>
    </row>
    <row r="355" spans="1:34" s="536" customFormat="1" ht="12" x14ac:dyDescent="0.2">
      <c r="A355" s="605"/>
      <c r="B355" s="552"/>
      <c r="C355" s="1828" t="s">
        <v>318</v>
      </c>
      <c r="D355" s="1828"/>
      <c r="E355" s="1828"/>
      <c r="F355" s="608"/>
      <c r="G355" s="608"/>
      <c r="H355" s="608"/>
      <c r="I355" s="608"/>
      <c r="J355" s="607">
        <v>3.64</v>
      </c>
      <c r="K355" s="608"/>
      <c r="L355" s="607">
        <v>36.26</v>
      </c>
      <c r="M355" s="601"/>
      <c r="N355" s="606"/>
      <c r="V355" s="674"/>
      <c r="W355" s="675"/>
      <c r="AB355" s="537" t="s">
        <v>318</v>
      </c>
      <c r="AC355" s="675"/>
      <c r="AD355" s="675"/>
      <c r="AE355" s="675"/>
      <c r="AG355" s="675"/>
      <c r="AH355" s="680"/>
    </row>
    <row r="356" spans="1:34" s="536" customFormat="1" ht="12" x14ac:dyDescent="0.2">
      <c r="A356" s="605"/>
      <c r="B356" s="552"/>
      <c r="C356" s="1822" t="s">
        <v>319</v>
      </c>
      <c r="D356" s="1822"/>
      <c r="E356" s="1822"/>
      <c r="F356" s="562"/>
      <c r="G356" s="562"/>
      <c r="H356" s="562"/>
      <c r="I356" s="562"/>
      <c r="J356" s="604"/>
      <c r="K356" s="562"/>
      <c r="L356" s="604">
        <v>35.700000000000003</v>
      </c>
      <c r="M356" s="603"/>
      <c r="N356" s="602"/>
      <c r="V356" s="674"/>
      <c r="W356" s="675"/>
      <c r="AA356" s="537" t="s">
        <v>319</v>
      </c>
      <c r="AC356" s="675"/>
      <c r="AD356" s="675"/>
      <c r="AE356" s="675"/>
      <c r="AG356" s="675"/>
      <c r="AH356" s="680"/>
    </row>
    <row r="357" spans="1:34" s="536" customFormat="1" ht="33.75" x14ac:dyDescent="0.2">
      <c r="A357" s="605"/>
      <c r="B357" s="552" t="s">
        <v>1631</v>
      </c>
      <c r="C357" s="1822" t="s">
        <v>1632</v>
      </c>
      <c r="D357" s="1822"/>
      <c r="E357" s="1822"/>
      <c r="F357" s="562" t="s">
        <v>322</v>
      </c>
      <c r="G357" s="562" t="s">
        <v>1633</v>
      </c>
      <c r="H357" s="562"/>
      <c r="I357" s="562" t="s">
        <v>1633</v>
      </c>
      <c r="J357" s="604"/>
      <c r="K357" s="562"/>
      <c r="L357" s="604">
        <v>34.630000000000003</v>
      </c>
      <c r="M357" s="603"/>
      <c r="N357" s="602"/>
      <c r="V357" s="674"/>
      <c r="W357" s="675"/>
      <c r="AA357" s="537" t="s">
        <v>1632</v>
      </c>
      <c r="AC357" s="675"/>
      <c r="AD357" s="675"/>
      <c r="AE357" s="675"/>
      <c r="AG357" s="675"/>
      <c r="AH357" s="680"/>
    </row>
    <row r="358" spans="1:34" s="536" customFormat="1" ht="33.75" x14ac:dyDescent="0.2">
      <c r="A358" s="605"/>
      <c r="B358" s="552" t="s">
        <v>1634</v>
      </c>
      <c r="C358" s="1822" t="s">
        <v>1635</v>
      </c>
      <c r="D358" s="1822"/>
      <c r="E358" s="1822"/>
      <c r="F358" s="562" t="s">
        <v>322</v>
      </c>
      <c r="G358" s="562" t="s">
        <v>786</v>
      </c>
      <c r="H358" s="562"/>
      <c r="I358" s="562" t="s">
        <v>786</v>
      </c>
      <c r="J358" s="604"/>
      <c r="K358" s="562"/>
      <c r="L358" s="604">
        <v>18.21</v>
      </c>
      <c r="M358" s="603"/>
      <c r="N358" s="602"/>
      <c r="V358" s="674"/>
      <c r="W358" s="675"/>
      <c r="AA358" s="537" t="s">
        <v>1635</v>
      </c>
      <c r="AC358" s="675"/>
      <c r="AD358" s="675"/>
      <c r="AE358" s="675"/>
      <c r="AG358" s="675"/>
      <c r="AH358" s="680"/>
    </row>
    <row r="359" spans="1:34" s="536" customFormat="1" ht="12" x14ac:dyDescent="0.2">
      <c r="A359" s="569"/>
      <c r="B359" s="671"/>
      <c r="C359" s="1823" t="s">
        <v>327</v>
      </c>
      <c r="D359" s="1823"/>
      <c r="E359" s="1823"/>
      <c r="F359" s="573"/>
      <c r="G359" s="573"/>
      <c r="H359" s="573"/>
      <c r="I359" s="573"/>
      <c r="J359" s="572"/>
      <c r="K359" s="573"/>
      <c r="L359" s="572">
        <v>89.1</v>
      </c>
      <c r="M359" s="601"/>
      <c r="N359" s="570"/>
      <c r="V359" s="674"/>
      <c r="W359" s="675"/>
      <c r="AC359" s="675" t="s">
        <v>327</v>
      </c>
      <c r="AD359" s="675"/>
      <c r="AE359" s="675"/>
      <c r="AG359" s="675"/>
      <c r="AH359" s="680"/>
    </row>
    <row r="360" spans="1:34" s="536" customFormat="1" ht="12" x14ac:dyDescent="0.2">
      <c r="A360" s="575" t="s">
        <v>922</v>
      </c>
      <c r="B360" s="670" t="s">
        <v>5604</v>
      </c>
      <c r="C360" s="1823" t="s">
        <v>5605</v>
      </c>
      <c r="D360" s="1823"/>
      <c r="E360" s="1823"/>
      <c r="F360" s="573" t="s">
        <v>699</v>
      </c>
      <c r="G360" s="573"/>
      <c r="H360" s="573"/>
      <c r="I360" s="573" t="s">
        <v>7065</v>
      </c>
      <c r="J360" s="572">
        <v>44.76</v>
      </c>
      <c r="K360" s="573"/>
      <c r="L360" s="572">
        <v>197.3</v>
      </c>
      <c r="M360" s="571"/>
      <c r="N360" s="570"/>
      <c r="V360" s="674"/>
      <c r="W360" s="675" t="s">
        <v>5605</v>
      </c>
      <c r="AC360" s="675"/>
      <c r="AD360" s="675"/>
      <c r="AE360" s="675"/>
      <c r="AG360" s="675"/>
      <c r="AH360" s="680"/>
    </row>
    <row r="361" spans="1:34" s="536" customFormat="1" ht="12" x14ac:dyDescent="0.2">
      <c r="A361" s="569"/>
      <c r="B361" s="671"/>
      <c r="C361" s="665" t="s">
        <v>1658</v>
      </c>
      <c r="D361" s="666"/>
      <c r="E361" s="666"/>
      <c r="F361" s="563"/>
      <c r="G361" s="563"/>
      <c r="H361" s="563"/>
      <c r="I361" s="563"/>
      <c r="J361" s="566"/>
      <c r="K361" s="563"/>
      <c r="L361" s="566"/>
      <c r="M361" s="565"/>
      <c r="N361" s="564"/>
      <c r="V361" s="674"/>
      <c r="W361" s="675"/>
      <c r="AC361" s="675"/>
      <c r="AD361" s="675"/>
      <c r="AE361" s="675"/>
      <c r="AG361" s="675"/>
      <c r="AH361" s="680"/>
    </row>
    <row r="362" spans="1:34" s="536" customFormat="1" ht="1.5" customHeight="1" x14ac:dyDescent="0.2">
      <c r="A362" s="563"/>
      <c r="B362" s="671"/>
      <c r="C362" s="671"/>
      <c r="D362" s="671"/>
      <c r="E362" s="671"/>
      <c r="F362" s="563"/>
      <c r="G362" s="563"/>
      <c r="H362" s="563"/>
      <c r="I362" s="563"/>
      <c r="J362" s="546"/>
      <c r="K362" s="563"/>
      <c r="L362" s="546"/>
      <c r="M362" s="562"/>
      <c r="N362" s="546"/>
      <c r="V362" s="674"/>
      <c r="W362" s="675"/>
      <c r="AC362" s="675"/>
      <c r="AD362" s="675"/>
      <c r="AE362" s="675"/>
      <c r="AG362" s="675"/>
      <c r="AH362" s="680"/>
    </row>
    <row r="363" spans="1:34" s="536" customFormat="1" ht="12" x14ac:dyDescent="0.2">
      <c r="A363" s="557"/>
      <c r="B363" s="556"/>
      <c r="C363" s="1823" t="s">
        <v>7066</v>
      </c>
      <c r="D363" s="1823"/>
      <c r="E363" s="1823"/>
      <c r="F363" s="1823"/>
      <c r="G363" s="1823"/>
      <c r="H363" s="1823"/>
      <c r="I363" s="1823"/>
      <c r="J363" s="1823"/>
      <c r="K363" s="1823"/>
      <c r="L363" s="555"/>
      <c r="M363" s="554"/>
      <c r="N363" s="553"/>
      <c r="V363" s="674"/>
      <c r="W363" s="675"/>
      <c r="AC363" s="675"/>
      <c r="AD363" s="675"/>
      <c r="AE363" s="675" t="s">
        <v>7066</v>
      </c>
      <c r="AG363" s="675"/>
      <c r="AH363" s="680"/>
    </row>
    <row r="364" spans="1:34" s="536" customFormat="1" ht="12" x14ac:dyDescent="0.2">
      <c r="A364" s="548"/>
      <c r="B364" s="552"/>
      <c r="C364" s="1822" t="s">
        <v>403</v>
      </c>
      <c r="D364" s="1822"/>
      <c r="E364" s="1822"/>
      <c r="F364" s="1822"/>
      <c r="G364" s="1822"/>
      <c r="H364" s="1822"/>
      <c r="I364" s="1822"/>
      <c r="J364" s="1822"/>
      <c r="K364" s="1822"/>
      <c r="L364" s="551">
        <v>10696.23</v>
      </c>
      <c r="M364" s="550"/>
      <c r="N364" s="549"/>
      <c r="V364" s="674"/>
      <c r="W364" s="675"/>
      <c r="AC364" s="675"/>
      <c r="AD364" s="675"/>
      <c r="AE364" s="675"/>
      <c r="AF364" s="537" t="s">
        <v>403</v>
      </c>
      <c r="AG364" s="675"/>
      <c r="AH364" s="680"/>
    </row>
    <row r="365" spans="1:34" s="536" customFormat="1" ht="12" x14ac:dyDescent="0.2">
      <c r="A365" s="548"/>
      <c r="B365" s="552"/>
      <c r="C365" s="1822" t="s">
        <v>204</v>
      </c>
      <c r="D365" s="1822"/>
      <c r="E365" s="1822"/>
      <c r="F365" s="1822"/>
      <c r="G365" s="1822"/>
      <c r="H365" s="1822"/>
      <c r="I365" s="1822"/>
      <c r="J365" s="1822"/>
      <c r="K365" s="1822"/>
      <c r="L365" s="551"/>
      <c r="M365" s="550"/>
      <c r="N365" s="549"/>
      <c r="V365" s="674"/>
      <c r="W365" s="675"/>
      <c r="AC365" s="675"/>
      <c r="AD365" s="675"/>
      <c r="AE365" s="675"/>
      <c r="AF365" s="537" t="s">
        <v>204</v>
      </c>
      <c r="AG365" s="675"/>
      <c r="AH365" s="680"/>
    </row>
    <row r="366" spans="1:34" s="536" customFormat="1" ht="12" x14ac:dyDescent="0.2">
      <c r="A366" s="548"/>
      <c r="B366" s="552"/>
      <c r="C366" s="1822" t="s">
        <v>404</v>
      </c>
      <c r="D366" s="1822"/>
      <c r="E366" s="1822"/>
      <c r="F366" s="1822"/>
      <c r="G366" s="1822"/>
      <c r="H366" s="1822"/>
      <c r="I366" s="1822"/>
      <c r="J366" s="1822"/>
      <c r="K366" s="1822"/>
      <c r="L366" s="551">
        <v>895.06</v>
      </c>
      <c r="M366" s="550"/>
      <c r="N366" s="549"/>
      <c r="V366" s="674"/>
      <c r="W366" s="675"/>
      <c r="AC366" s="675"/>
      <c r="AD366" s="675"/>
      <c r="AE366" s="675"/>
      <c r="AF366" s="537" t="s">
        <v>404</v>
      </c>
      <c r="AG366" s="675"/>
      <c r="AH366" s="680"/>
    </row>
    <row r="367" spans="1:34" s="536" customFormat="1" ht="12" x14ac:dyDescent="0.2">
      <c r="A367" s="548"/>
      <c r="B367" s="552"/>
      <c r="C367" s="1822" t="s">
        <v>405</v>
      </c>
      <c r="D367" s="1822"/>
      <c r="E367" s="1822"/>
      <c r="F367" s="1822"/>
      <c r="G367" s="1822"/>
      <c r="H367" s="1822"/>
      <c r="I367" s="1822"/>
      <c r="J367" s="1822"/>
      <c r="K367" s="1822"/>
      <c r="L367" s="551">
        <v>1671.5</v>
      </c>
      <c r="M367" s="550"/>
      <c r="N367" s="549"/>
      <c r="V367" s="674"/>
      <c r="W367" s="675"/>
      <c r="AC367" s="675"/>
      <c r="AD367" s="675"/>
      <c r="AE367" s="675"/>
      <c r="AF367" s="537" t="s">
        <v>405</v>
      </c>
      <c r="AG367" s="675"/>
      <c r="AH367" s="680"/>
    </row>
    <row r="368" spans="1:34" s="536" customFormat="1" ht="12" x14ac:dyDescent="0.2">
      <c r="A368" s="548"/>
      <c r="B368" s="552"/>
      <c r="C368" s="1822" t="s">
        <v>406</v>
      </c>
      <c r="D368" s="1822"/>
      <c r="E368" s="1822"/>
      <c r="F368" s="1822"/>
      <c r="G368" s="1822"/>
      <c r="H368" s="1822"/>
      <c r="I368" s="1822"/>
      <c r="J368" s="1822"/>
      <c r="K368" s="1822"/>
      <c r="L368" s="551">
        <v>172.76</v>
      </c>
      <c r="M368" s="550"/>
      <c r="N368" s="549"/>
      <c r="V368" s="674"/>
      <c r="W368" s="675"/>
      <c r="AC368" s="675"/>
      <c r="AD368" s="675"/>
      <c r="AE368" s="675"/>
      <c r="AF368" s="537" t="s">
        <v>406</v>
      </c>
      <c r="AG368" s="675"/>
      <c r="AH368" s="680"/>
    </row>
    <row r="369" spans="1:34" s="536" customFormat="1" ht="12" x14ac:dyDescent="0.2">
      <c r="A369" s="548"/>
      <c r="B369" s="552"/>
      <c r="C369" s="1822" t="s">
        <v>480</v>
      </c>
      <c r="D369" s="1822"/>
      <c r="E369" s="1822"/>
      <c r="F369" s="1822"/>
      <c r="G369" s="1822"/>
      <c r="H369" s="1822"/>
      <c r="I369" s="1822"/>
      <c r="J369" s="1822"/>
      <c r="K369" s="1822"/>
      <c r="L369" s="551">
        <v>8129.67</v>
      </c>
      <c r="M369" s="550"/>
      <c r="N369" s="549"/>
      <c r="V369" s="674"/>
      <c r="W369" s="675"/>
      <c r="AC369" s="675"/>
      <c r="AD369" s="675"/>
      <c r="AE369" s="675"/>
      <c r="AF369" s="537" t="s">
        <v>480</v>
      </c>
      <c r="AG369" s="675"/>
      <c r="AH369" s="680"/>
    </row>
    <row r="370" spans="1:34" s="536" customFormat="1" ht="12" x14ac:dyDescent="0.2">
      <c r="A370" s="548"/>
      <c r="B370" s="552"/>
      <c r="C370" s="1822" t="s">
        <v>407</v>
      </c>
      <c r="D370" s="1822"/>
      <c r="E370" s="1822"/>
      <c r="F370" s="1822"/>
      <c r="G370" s="1822"/>
      <c r="H370" s="1822"/>
      <c r="I370" s="1822"/>
      <c r="J370" s="1822"/>
      <c r="K370" s="1822"/>
      <c r="L370" s="551">
        <v>2435.54</v>
      </c>
      <c r="M370" s="550"/>
      <c r="N370" s="549"/>
      <c r="V370" s="674"/>
      <c r="W370" s="675"/>
      <c r="AC370" s="675"/>
      <c r="AD370" s="675"/>
      <c r="AE370" s="675"/>
      <c r="AF370" s="537" t="s">
        <v>407</v>
      </c>
      <c r="AG370" s="675"/>
      <c r="AH370" s="680"/>
    </row>
    <row r="371" spans="1:34" s="536" customFormat="1" ht="12" x14ac:dyDescent="0.2">
      <c r="A371" s="548"/>
      <c r="B371" s="552"/>
      <c r="C371" s="1822" t="s">
        <v>204</v>
      </c>
      <c r="D371" s="1822"/>
      <c r="E371" s="1822"/>
      <c r="F371" s="1822"/>
      <c r="G371" s="1822"/>
      <c r="H371" s="1822"/>
      <c r="I371" s="1822"/>
      <c r="J371" s="1822"/>
      <c r="K371" s="1822"/>
      <c r="L371" s="551"/>
      <c r="M371" s="550"/>
      <c r="N371" s="549"/>
      <c r="V371" s="674"/>
      <c r="W371" s="675"/>
      <c r="AC371" s="675"/>
      <c r="AD371" s="675"/>
      <c r="AE371" s="675"/>
      <c r="AF371" s="537" t="s">
        <v>204</v>
      </c>
      <c r="AG371" s="675"/>
      <c r="AH371" s="680"/>
    </row>
    <row r="372" spans="1:34" s="536" customFormat="1" ht="12" x14ac:dyDescent="0.2">
      <c r="A372" s="548"/>
      <c r="B372" s="552"/>
      <c r="C372" s="1822" t="s">
        <v>546</v>
      </c>
      <c r="D372" s="1822"/>
      <c r="E372" s="1822"/>
      <c r="F372" s="1822"/>
      <c r="G372" s="1822"/>
      <c r="H372" s="1822"/>
      <c r="I372" s="1822"/>
      <c r="J372" s="1822"/>
      <c r="K372" s="1822"/>
      <c r="L372" s="551">
        <v>210.71</v>
      </c>
      <c r="M372" s="550"/>
      <c r="N372" s="549"/>
      <c r="V372" s="674"/>
      <c r="W372" s="675"/>
      <c r="AC372" s="675"/>
      <c r="AD372" s="675"/>
      <c r="AE372" s="675"/>
      <c r="AF372" s="537" t="s">
        <v>546</v>
      </c>
      <c r="AG372" s="675"/>
      <c r="AH372" s="680"/>
    </row>
    <row r="373" spans="1:34" s="536" customFormat="1" ht="12" x14ac:dyDescent="0.2">
      <c r="A373" s="548"/>
      <c r="B373" s="552"/>
      <c r="C373" s="1822" t="s">
        <v>442</v>
      </c>
      <c r="D373" s="1822"/>
      <c r="E373" s="1822"/>
      <c r="F373" s="1822"/>
      <c r="G373" s="1822"/>
      <c r="H373" s="1822"/>
      <c r="I373" s="1822"/>
      <c r="J373" s="1822"/>
      <c r="K373" s="1822"/>
      <c r="L373" s="551">
        <v>916.39</v>
      </c>
      <c r="M373" s="550"/>
      <c r="N373" s="549"/>
      <c r="V373" s="674"/>
      <c r="W373" s="675"/>
      <c r="AC373" s="675"/>
      <c r="AD373" s="675"/>
      <c r="AE373" s="675"/>
      <c r="AF373" s="537" t="s">
        <v>442</v>
      </c>
      <c r="AG373" s="675"/>
      <c r="AH373" s="680"/>
    </row>
    <row r="374" spans="1:34" s="536" customFormat="1" ht="12" x14ac:dyDescent="0.2">
      <c r="A374" s="548"/>
      <c r="B374" s="552"/>
      <c r="C374" s="1822" t="s">
        <v>547</v>
      </c>
      <c r="D374" s="1822"/>
      <c r="E374" s="1822"/>
      <c r="F374" s="1822"/>
      <c r="G374" s="1822"/>
      <c r="H374" s="1822"/>
      <c r="I374" s="1822"/>
      <c r="J374" s="1822"/>
      <c r="K374" s="1822"/>
      <c r="L374" s="551">
        <v>786.87</v>
      </c>
      <c r="M374" s="550"/>
      <c r="N374" s="549"/>
      <c r="V374" s="674"/>
      <c r="W374" s="675"/>
      <c r="AC374" s="675"/>
      <c r="AD374" s="675"/>
      <c r="AE374" s="675"/>
      <c r="AF374" s="537" t="s">
        <v>547</v>
      </c>
      <c r="AG374" s="675"/>
      <c r="AH374" s="680"/>
    </row>
    <row r="375" spans="1:34" s="536" customFormat="1" ht="12" x14ac:dyDescent="0.2">
      <c r="A375" s="548"/>
      <c r="B375" s="552"/>
      <c r="C375" s="1822" t="s">
        <v>443</v>
      </c>
      <c r="D375" s="1822"/>
      <c r="E375" s="1822"/>
      <c r="F375" s="1822"/>
      <c r="G375" s="1822"/>
      <c r="H375" s="1822"/>
      <c r="I375" s="1822"/>
      <c r="J375" s="1822"/>
      <c r="K375" s="1822"/>
      <c r="L375" s="551">
        <v>327.38</v>
      </c>
      <c r="M375" s="550"/>
      <c r="N375" s="549"/>
      <c r="V375" s="674"/>
      <c r="W375" s="675"/>
      <c r="AC375" s="675"/>
      <c r="AD375" s="675"/>
      <c r="AE375" s="675"/>
      <c r="AF375" s="537" t="s">
        <v>443</v>
      </c>
      <c r="AG375" s="675"/>
      <c r="AH375" s="680"/>
    </row>
    <row r="376" spans="1:34" s="536" customFormat="1" ht="12" x14ac:dyDescent="0.2">
      <c r="A376" s="548"/>
      <c r="B376" s="552"/>
      <c r="C376" s="1822" t="s">
        <v>444</v>
      </c>
      <c r="D376" s="1822"/>
      <c r="E376" s="1822"/>
      <c r="F376" s="1822"/>
      <c r="G376" s="1822"/>
      <c r="H376" s="1822"/>
      <c r="I376" s="1822"/>
      <c r="J376" s="1822"/>
      <c r="K376" s="1822"/>
      <c r="L376" s="551">
        <v>194.19</v>
      </c>
      <c r="M376" s="550"/>
      <c r="N376" s="549"/>
      <c r="V376" s="674"/>
      <c r="W376" s="675"/>
      <c r="AC376" s="675"/>
      <c r="AD376" s="675"/>
      <c r="AE376" s="675"/>
      <c r="AF376" s="537" t="s">
        <v>444</v>
      </c>
      <c r="AG376" s="675"/>
      <c r="AH376" s="680"/>
    </row>
    <row r="377" spans="1:34" s="536" customFormat="1" ht="12" x14ac:dyDescent="0.2">
      <c r="A377" s="548"/>
      <c r="B377" s="552"/>
      <c r="C377" s="1822" t="s">
        <v>753</v>
      </c>
      <c r="D377" s="1822"/>
      <c r="E377" s="1822"/>
      <c r="F377" s="1822"/>
      <c r="G377" s="1822"/>
      <c r="H377" s="1822"/>
      <c r="I377" s="1822"/>
      <c r="J377" s="1822"/>
      <c r="K377" s="1822"/>
      <c r="L377" s="551">
        <v>9904.2199999999993</v>
      </c>
      <c r="M377" s="550"/>
      <c r="N377" s="549"/>
      <c r="V377" s="674"/>
      <c r="W377" s="675"/>
      <c r="AC377" s="675"/>
      <c r="AD377" s="675"/>
      <c r="AE377" s="675"/>
      <c r="AF377" s="537" t="s">
        <v>753</v>
      </c>
      <c r="AG377" s="675"/>
      <c r="AH377" s="680"/>
    </row>
    <row r="378" spans="1:34" s="536" customFormat="1" ht="12" x14ac:dyDescent="0.2">
      <c r="A378" s="548"/>
      <c r="B378" s="552"/>
      <c r="C378" s="1822" t="s">
        <v>204</v>
      </c>
      <c r="D378" s="1822"/>
      <c r="E378" s="1822"/>
      <c r="F378" s="1822"/>
      <c r="G378" s="1822"/>
      <c r="H378" s="1822"/>
      <c r="I378" s="1822"/>
      <c r="J378" s="1822"/>
      <c r="K378" s="1822"/>
      <c r="L378" s="551"/>
      <c r="M378" s="550"/>
      <c r="N378" s="549"/>
      <c r="V378" s="674"/>
      <c r="W378" s="675"/>
      <c r="AC378" s="675"/>
      <c r="AD378" s="675"/>
      <c r="AE378" s="675"/>
      <c r="AF378" s="537" t="s">
        <v>204</v>
      </c>
      <c r="AG378" s="675"/>
      <c r="AH378" s="680"/>
    </row>
    <row r="379" spans="1:34" s="536" customFormat="1" ht="12" x14ac:dyDescent="0.2">
      <c r="A379" s="548"/>
      <c r="B379" s="552"/>
      <c r="C379" s="1822" t="s">
        <v>546</v>
      </c>
      <c r="D379" s="1822"/>
      <c r="E379" s="1822"/>
      <c r="F379" s="1822"/>
      <c r="G379" s="1822"/>
      <c r="H379" s="1822"/>
      <c r="I379" s="1822"/>
      <c r="J379" s="1822"/>
      <c r="K379" s="1822"/>
      <c r="L379" s="551">
        <v>684.35</v>
      </c>
      <c r="M379" s="550"/>
      <c r="N379" s="549"/>
      <c r="V379" s="674"/>
      <c r="W379" s="675"/>
      <c r="AC379" s="675"/>
      <c r="AD379" s="675"/>
      <c r="AE379" s="675"/>
      <c r="AF379" s="537" t="s">
        <v>546</v>
      </c>
      <c r="AG379" s="675"/>
      <c r="AH379" s="680"/>
    </row>
    <row r="380" spans="1:34" s="536" customFormat="1" ht="12" x14ac:dyDescent="0.2">
      <c r="A380" s="548"/>
      <c r="B380" s="552"/>
      <c r="C380" s="1822" t="s">
        <v>442</v>
      </c>
      <c r="D380" s="1822"/>
      <c r="E380" s="1822"/>
      <c r="F380" s="1822"/>
      <c r="G380" s="1822"/>
      <c r="H380" s="1822"/>
      <c r="I380" s="1822"/>
      <c r="J380" s="1822"/>
      <c r="K380" s="1822"/>
      <c r="L380" s="551">
        <v>755.11</v>
      </c>
      <c r="M380" s="550"/>
      <c r="N380" s="549"/>
      <c r="V380" s="674"/>
      <c r="W380" s="675"/>
      <c r="AC380" s="675"/>
      <c r="AD380" s="675"/>
      <c r="AE380" s="675"/>
      <c r="AF380" s="537" t="s">
        <v>442</v>
      </c>
      <c r="AG380" s="675"/>
      <c r="AH380" s="680"/>
    </row>
    <row r="381" spans="1:34" s="536" customFormat="1" ht="12" x14ac:dyDescent="0.2">
      <c r="A381" s="548"/>
      <c r="B381" s="552"/>
      <c r="C381" s="1822" t="s">
        <v>547</v>
      </c>
      <c r="D381" s="1822"/>
      <c r="E381" s="1822"/>
      <c r="F381" s="1822"/>
      <c r="G381" s="1822"/>
      <c r="H381" s="1822"/>
      <c r="I381" s="1822"/>
      <c r="J381" s="1822"/>
      <c r="K381" s="1822"/>
      <c r="L381" s="551">
        <v>7342.8</v>
      </c>
      <c r="M381" s="550"/>
      <c r="N381" s="549"/>
      <c r="V381" s="674"/>
      <c r="W381" s="675"/>
      <c r="AC381" s="675"/>
      <c r="AD381" s="675"/>
      <c r="AE381" s="675"/>
      <c r="AF381" s="537" t="s">
        <v>547</v>
      </c>
      <c r="AG381" s="675"/>
      <c r="AH381" s="680"/>
    </row>
    <row r="382" spans="1:34" s="536" customFormat="1" ht="12" x14ac:dyDescent="0.2">
      <c r="A382" s="548"/>
      <c r="B382" s="552"/>
      <c r="C382" s="1822" t="s">
        <v>443</v>
      </c>
      <c r="D382" s="1822"/>
      <c r="E382" s="1822"/>
      <c r="F382" s="1822"/>
      <c r="G382" s="1822"/>
      <c r="H382" s="1822"/>
      <c r="I382" s="1822"/>
      <c r="J382" s="1822"/>
      <c r="K382" s="1822"/>
      <c r="L382" s="551">
        <v>735.33</v>
      </c>
      <c r="M382" s="550"/>
      <c r="N382" s="549"/>
      <c r="V382" s="674"/>
      <c r="W382" s="675"/>
      <c r="AC382" s="675"/>
      <c r="AD382" s="675"/>
      <c r="AE382" s="675"/>
      <c r="AF382" s="537" t="s">
        <v>443</v>
      </c>
      <c r="AG382" s="675"/>
      <c r="AH382" s="680"/>
    </row>
    <row r="383" spans="1:34" s="536" customFormat="1" ht="12" x14ac:dyDescent="0.2">
      <c r="A383" s="548"/>
      <c r="B383" s="552"/>
      <c r="C383" s="1822" t="s">
        <v>444</v>
      </c>
      <c r="D383" s="1822"/>
      <c r="E383" s="1822"/>
      <c r="F383" s="1822"/>
      <c r="G383" s="1822"/>
      <c r="H383" s="1822"/>
      <c r="I383" s="1822"/>
      <c r="J383" s="1822"/>
      <c r="K383" s="1822"/>
      <c r="L383" s="551">
        <v>386.63</v>
      </c>
      <c r="M383" s="550"/>
      <c r="N383" s="549"/>
      <c r="V383" s="674"/>
      <c r="W383" s="675"/>
      <c r="AC383" s="675"/>
      <c r="AD383" s="675"/>
      <c r="AE383" s="675"/>
      <c r="AF383" s="537" t="s">
        <v>444</v>
      </c>
      <c r="AG383" s="675"/>
      <c r="AH383" s="680"/>
    </row>
    <row r="384" spans="1:34" s="536" customFormat="1" ht="12" x14ac:dyDescent="0.2">
      <c r="A384" s="548"/>
      <c r="B384" s="552"/>
      <c r="C384" s="1822" t="s">
        <v>415</v>
      </c>
      <c r="D384" s="1822"/>
      <c r="E384" s="1822"/>
      <c r="F384" s="1822"/>
      <c r="G384" s="1822"/>
      <c r="H384" s="1822"/>
      <c r="I384" s="1822"/>
      <c r="J384" s="1822"/>
      <c r="K384" s="1822"/>
      <c r="L384" s="551">
        <v>1067.82</v>
      </c>
      <c r="M384" s="550"/>
      <c r="N384" s="549"/>
      <c r="V384" s="674"/>
      <c r="W384" s="675"/>
      <c r="AC384" s="675"/>
      <c r="AD384" s="675"/>
      <c r="AE384" s="675"/>
      <c r="AF384" s="537" t="s">
        <v>415</v>
      </c>
      <c r="AG384" s="675"/>
      <c r="AH384" s="680"/>
    </row>
    <row r="385" spans="1:36" s="536" customFormat="1" ht="12" x14ac:dyDescent="0.2">
      <c r="A385" s="548"/>
      <c r="B385" s="552"/>
      <c r="C385" s="1822" t="s">
        <v>416</v>
      </c>
      <c r="D385" s="1822"/>
      <c r="E385" s="1822"/>
      <c r="F385" s="1822"/>
      <c r="G385" s="1822"/>
      <c r="H385" s="1822"/>
      <c r="I385" s="1822"/>
      <c r="J385" s="1822"/>
      <c r="K385" s="1822"/>
      <c r="L385" s="551">
        <v>1062.71</v>
      </c>
      <c r="M385" s="550"/>
      <c r="N385" s="549"/>
      <c r="V385" s="674"/>
      <c r="W385" s="675"/>
      <c r="AC385" s="675"/>
      <c r="AD385" s="675"/>
      <c r="AE385" s="675"/>
      <c r="AF385" s="537" t="s">
        <v>416</v>
      </c>
      <c r="AG385" s="675"/>
      <c r="AH385" s="680"/>
    </row>
    <row r="386" spans="1:36" s="536" customFormat="1" ht="12" x14ac:dyDescent="0.2">
      <c r="A386" s="548"/>
      <c r="B386" s="552"/>
      <c r="C386" s="1822" t="s">
        <v>417</v>
      </c>
      <c r="D386" s="1822"/>
      <c r="E386" s="1822"/>
      <c r="F386" s="1822"/>
      <c r="G386" s="1822"/>
      <c r="H386" s="1822"/>
      <c r="I386" s="1822"/>
      <c r="J386" s="1822"/>
      <c r="K386" s="1822"/>
      <c r="L386" s="551">
        <v>580.82000000000005</v>
      </c>
      <c r="M386" s="550"/>
      <c r="N386" s="549"/>
      <c r="V386" s="674"/>
      <c r="W386" s="675"/>
      <c r="AC386" s="675"/>
      <c r="AD386" s="675"/>
      <c r="AE386" s="675"/>
      <c r="AF386" s="537" t="s">
        <v>417</v>
      </c>
      <c r="AG386" s="675"/>
      <c r="AH386" s="680"/>
    </row>
    <row r="387" spans="1:36" s="536" customFormat="1" ht="12" x14ac:dyDescent="0.2">
      <c r="A387" s="548"/>
      <c r="B387" s="546"/>
      <c r="C387" s="1819" t="s">
        <v>7067</v>
      </c>
      <c r="D387" s="1819"/>
      <c r="E387" s="1819"/>
      <c r="F387" s="1819"/>
      <c r="G387" s="1819"/>
      <c r="H387" s="1819"/>
      <c r="I387" s="1819"/>
      <c r="J387" s="1819"/>
      <c r="K387" s="1819"/>
      <c r="L387" s="544">
        <v>12339.76</v>
      </c>
      <c r="M387" s="543"/>
      <c r="N387" s="681"/>
      <c r="V387" s="674"/>
      <c r="W387" s="675"/>
      <c r="AC387" s="675"/>
      <c r="AD387" s="675"/>
      <c r="AE387" s="675"/>
      <c r="AG387" s="675" t="s">
        <v>7067</v>
      </c>
      <c r="AH387" s="680"/>
    </row>
    <row r="388" spans="1:36" s="536" customFormat="1" ht="12" x14ac:dyDescent="0.2">
      <c r="A388" s="548"/>
      <c r="B388" s="552"/>
      <c r="C388" s="1822" t="s">
        <v>204</v>
      </c>
      <c r="D388" s="1822"/>
      <c r="E388" s="1822"/>
      <c r="F388" s="1822"/>
      <c r="G388" s="1822"/>
      <c r="H388" s="1822"/>
      <c r="I388" s="1822"/>
      <c r="J388" s="1822"/>
      <c r="K388" s="1822"/>
      <c r="L388" s="551"/>
      <c r="M388" s="550"/>
      <c r="N388" s="549"/>
      <c r="V388" s="674"/>
      <c r="W388" s="675"/>
      <c r="AC388" s="675"/>
      <c r="AD388" s="675"/>
      <c r="AE388" s="675"/>
      <c r="AF388" s="537" t="s">
        <v>204</v>
      </c>
      <c r="AG388" s="675"/>
      <c r="AH388" s="680"/>
    </row>
    <row r="389" spans="1:36" s="536" customFormat="1" ht="12" x14ac:dyDescent="0.2">
      <c r="A389" s="548"/>
      <c r="B389" s="552"/>
      <c r="C389" s="1822" t="s">
        <v>8095</v>
      </c>
      <c r="D389" s="1822"/>
      <c r="E389" s="1822"/>
      <c r="F389" s="1822"/>
      <c r="G389" s="1822"/>
      <c r="H389" s="1822"/>
      <c r="I389" s="1822"/>
      <c r="J389" s="1822"/>
      <c r="K389" s="1822"/>
      <c r="L389" s="551">
        <v>2091.73</v>
      </c>
      <c r="M389" s="550"/>
      <c r="N389" s="549"/>
      <c r="V389" s="674"/>
      <c r="W389" s="675"/>
      <c r="AC389" s="675"/>
      <c r="AD389" s="675"/>
      <c r="AE389" s="675"/>
      <c r="AF389" s="537" t="s">
        <v>8095</v>
      </c>
      <c r="AG389" s="675"/>
      <c r="AH389" s="680"/>
    </row>
    <row r="390" spans="1:36" s="536" customFormat="1" ht="2.25" customHeight="1" x14ac:dyDescent="0.2">
      <c r="B390" s="561"/>
      <c r="C390" s="561"/>
      <c r="D390" s="561"/>
      <c r="E390" s="561"/>
      <c r="F390" s="561"/>
      <c r="G390" s="561"/>
      <c r="H390" s="561"/>
      <c r="I390" s="561"/>
      <c r="J390" s="561"/>
      <c r="K390" s="561"/>
      <c r="L390" s="560"/>
      <c r="M390" s="559"/>
      <c r="N390" s="558"/>
    </row>
    <row r="391" spans="1:36" s="536" customFormat="1" x14ac:dyDescent="0.2">
      <c r="A391" s="557"/>
      <c r="B391" s="556"/>
      <c r="C391" s="1823" t="s">
        <v>205</v>
      </c>
      <c r="D391" s="1823"/>
      <c r="E391" s="1823"/>
      <c r="F391" s="1823"/>
      <c r="G391" s="1823"/>
      <c r="H391" s="1823"/>
      <c r="I391" s="1823"/>
      <c r="J391" s="1823"/>
      <c r="K391" s="1823"/>
      <c r="L391" s="555"/>
      <c r="M391" s="554"/>
      <c r="N391" s="553"/>
      <c r="AI391" s="675" t="s">
        <v>205</v>
      </c>
    </row>
    <row r="392" spans="1:36" s="536" customFormat="1" x14ac:dyDescent="0.2">
      <c r="A392" s="548"/>
      <c r="B392" s="552"/>
      <c r="C392" s="1822" t="s">
        <v>403</v>
      </c>
      <c r="D392" s="1822"/>
      <c r="E392" s="1822"/>
      <c r="F392" s="1822"/>
      <c r="G392" s="1822"/>
      <c r="H392" s="1822"/>
      <c r="I392" s="1822"/>
      <c r="J392" s="1822"/>
      <c r="K392" s="1822"/>
      <c r="L392" s="551">
        <v>12433.19</v>
      </c>
      <c r="M392" s="550"/>
      <c r="N392" s="549"/>
      <c r="AI392" s="675"/>
      <c r="AJ392" s="537" t="s">
        <v>403</v>
      </c>
    </row>
    <row r="393" spans="1:36" s="536" customFormat="1" x14ac:dyDescent="0.2">
      <c r="A393" s="548"/>
      <c r="B393" s="552"/>
      <c r="C393" s="1822" t="s">
        <v>204</v>
      </c>
      <c r="D393" s="1822"/>
      <c r="E393" s="1822"/>
      <c r="F393" s="1822"/>
      <c r="G393" s="1822"/>
      <c r="H393" s="1822"/>
      <c r="I393" s="1822"/>
      <c r="J393" s="1822"/>
      <c r="K393" s="1822"/>
      <c r="L393" s="551"/>
      <c r="M393" s="550"/>
      <c r="N393" s="549"/>
      <c r="AI393" s="675"/>
      <c r="AJ393" s="537" t="s">
        <v>204</v>
      </c>
    </row>
    <row r="394" spans="1:36" s="536" customFormat="1" x14ac:dyDescent="0.2">
      <c r="A394" s="548"/>
      <c r="B394" s="552"/>
      <c r="C394" s="1822" t="s">
        <v>404</v>
      </c>
      <c r="D394" s="1822"/>
      <c r="E394" s="1822"/>
      <c r="F394" s="1822"/>
      <c r="G394" s="1822"/>
      <c r="H394" s="1822"/>
      <c r="I394" s="1822"/>
      <c r="J394" s="1822"/>
      <c r="K394" s="1822"/>
      <c r="L394" s="551">
        <v>973</v>
      </c>
      <c r="M394" s="550"/>
      <c r="N394" s="549"/>
      <c r="AI394" s="675"/>
      <c r="AJ394" s="537" t="s">
        <v>404</v>
      </c>
    </row>
    <row r="395" spans="1:36" s="536" customFormat="1" x14ac:dyDescent="0.2">
      <c r="A395" s="548"/>
      <c r="B395" s="552"/>
      <c r="C395" s="1822" t="s">
        <v>405</v>
      </c>
      <c r="D395" s="1822"/>
      <c r="E395" s="1822"/>
      <c r="F395" s="1822"/>
      <c r="G395" s="1822"/>
      <c r="H395" s="1822"/>
      <c r="I395" s="1822"/>
      <c r="J395" s="1822"/>
      <c r="K395" s="1822"/>
      <c r="L395" s="551">
        <v>2036.4</v>
      </c>
      <c r="M395" s="550"/>
      <c r="N395" s="549"/>
      <c r="AI395" s="675"/>
      <c r="AJ395" s="537" t="s">
        <v>405</v>
      </c>
    </row>
    <row r="396" spans="1:36" s="536" customFormat="1" x14ac:dyDescent="0.2">
      <c r="A396" s="548"/>
      <c r="B396" s="552"/>
      <c r="C396" s="1822" t="s">
        <v>406</v>
      </c>
      <c r="D396" s="1822"/>
      <c r="E396" s="1822"/>
      <c r="F396" s="1822"/>
      <c r="G396" s="1822"/>
      <c r="H396" s="1822"/>
      <c r="I396" s="1822"/>
      <c r="J396" s="1822"/>
      <c r="K396" s="1822"/>
      <c r="L396" s="551">
        <v>210.48</v>
      </c>
      <c r="M396" s="550"/>
      <c r="N396" s="549"/>
      <c r="AI396" s="675"/>
      <c r="AJ396" s="537" t="s">
        <v>406</v>
      </c>
    </row>
    <row r="397" spans="1:36" s="536" customFormat="1" x14ac:dyDescent="0.2">
      <c r="A397" s="548"/>
      <c r="B397" s="552"/>
      <c r="C397" s="1822" t="s">
        <v>480</v>
      </c>
      <c r="D397" s="1822"/>
      <c r="E397" s="1822"/>
      <c r="F397" s="1822"/>
      <c r="G397" s="1822"/>
      <c r="H397" s="1822"/>
      <c r="I397" s="1822"/>
      <c r="J397" s="1822"/>
      <c r="K397" s="1822"/>
      <c r="L397" s="551">
        <v>9423.7900000000009</v>
      </c>
      <c r="M397" s="550"/>
      <c r="N397" s="549"/>
      <c r="AI397" s="675"/>
      <c r="AJ397" s="537" t="s">
        <v>480</v>
      </c>
    </row>
    <row r="398" spans="1:36" s="536" customFormat="1" x14ac:dyDescent="0.2">
      <c r="A398" s="548"/>
      <c r="B398" s="552"/>
      <c r="C398" s="1822" t="s">
        <v>407</v>
      </c>
      <c r="D398" s="1822"/>
      <c r="E398" s="1822"/>
      <c r="F398" s="1822"/>
      <c r="G398" s="1822"/>
      <c r="H398" s="1822"/>
      <c r="I398" s="1822"/>
      <c r="J398" s="1822"/>
      <c r="K398" s="1822"/>
      <c r="L398" s="551">
        <v>4336.34</v>
      </c>
      <c r="M398" s="550"/>
      <c r="N398" s="549">
        <v>42452</v>
      </c>
      <c r="AI398" s="675"/>
      <c r="AJ398" s="537" t="s">
        <v>407</v>
      </c>
    </row>
    <row r="399" spans="1:36" s="536" customFormat="1" x14ac:dyDescent="0.2">
      <c r="A399" s="548"/>
      <c r="B399" s="552" t="s">
        <v>185</v>
      </c>
      <c r="C399" s="1822" t="s">
        <v>408</v>
      </c>
      <c r="D399" s="1822"/>
      <c r="E399" s="1822"/>
      <c r="F399" s="1822"/>
      <c r="G399" s="1822"/>
      <c r="H399" s="1822"/>
      <c r="I399" s="1822"/>
      <c r="J399" s="1822"/>
      <c r="K399" s="1822"/>
      <c r="L399" s="551">
        <v>4286.67</v>
      </c>
      <c r="M399" s="550">
        <v>9.7899999999999991</v>
      </c>
      <c r="N399" s="549">
        <v>41966</v>
      </c>
      <c r="AI399" s="675"/>
      <c r="AJ399" s="537" t="s">
        <v>408</v>
      </c>
    </row>
    <row r="400" spans="1:36" s="536" customFormat="1" x14ac:dyDescent="0.2">
      <c r="A400" s="548"/>
      <c r="B400" s="552"/>
      <c r="C400" s="1822" t="s">
        <v>409</v>
      </c>
      <c r="D400" s="1822"/>
      <c r="E400" s="1822"/>
      <c r="F400" s="1822"/>
      <c r="G400" s="1822"/>
      <c r="H400" s="1822"/>
      <c r="I400" s="1822"/>
      <c r="J400" s="1822"/>
      <c r="K400" s="1822"/>
      <c r="L400" s="551"/>
      <c r="M400" s="550"/>
      <c r="N400" s="549"/>
      <c r="AI400" s="675"/>
      <c r="AJ400" s="537" t="s">
        <v>409</v>
      </c>
    </row>
    <row r="401" spans="1:36" s="536" customFormat="1" x14ac:dyDescent="0.2">
      <c r="A401" s="548"/>
      <c r="B401" s="552"/>
      <c r="C401" s="1822" t="s">
        <v>410</v>
      </c>
      <c r="D401" s="1822"/>
      <c r="E401" s="1822"/>
      <c r="F401" s="1822"/>
      <c r="G401" s="1822"/>
      <c r="H401" s="1822"/>
      <c r="I401" s="1822"/>
      <c r="J401" s="1822"/>
      <c r="K401" s="1822"/>
      <c r="L401" s="551">
        <v>288.64999999999998</v>
      </c>
      <c r="M401" s="550"/>
      <c r="N401" s="549"/>
      <c r="AI401" s="675"/>
      <c r="AJ401" s="537" t="s">
        <v>410</v>
      </c>
    </row>
    <row r="402" spans="1:36" s="536" customFormat="1" x14ac:dyDescent="0.2">
      <c r="A402" s="548"/>
      <c r="B402" s="552"/>
      <c r="C402" s="1822" t="s">
        <v>411</v>
      </c>
      <c r="D402" s="1822"/>
      <c r="E402" s="1822"/>
      <c r="F402" s="1822"/>
      <c r="G402" s="1822"/>
      <c r="H402" s="1822"/>
      <c r="I402" s="1822"/>
      <c r="J402" s="1822"/>
      <c r="K402" s="1822"/>
      <c r="L402" s="551">
        <v>1231.6199999999999</v>
      </c>
      <c r="M402" s="550"/>
      <c r="N402" s="549"/>
      <c r="AI402" s="675"/>
      <c r="AJ402" s="537" t="s">
        <v>411</v>
      </c>
    </row>
    <row r="403" spans="1:36" s="536" customFormat="1" x14ac:dyDescent="0.2">
      <c r="A403" s="548"/>
      <c r="B403" s="552"/>
      <c r="C403" s="1822" t="s">
        <v>481</v>
      </c>
      <c r="D403" s="1822"/>
      <c r="E403" s="1822"/>
      <c r="F403" s="1822"/>
      <c r="G403" s="1822"/>
      <c r="H403" s="1822"/>
      <c r="I403" s="1822"/>
      <c r="J403" s="1822"/>
      <c r="K403" s="1822"/>
      <c r="L403" s="551">
        <v>2080.9899999999998</v>
      </c>
      <c r="M403" s="550"/>
      <c r="N403" s="549"/>
      <c r="AI403" s="675"/>
      <c r="AJ403" s="537" t="s">
        <v>481</v>
      </c>
    </row>
    <row r="404" spans="1:36" s="536" customFormat="1" x14ac:dyDescent="0.2">
      <c r="A404" s="548"/>
      <c r="B404" s="552"/>
      <c r="C404" s="1822" t="s">
        <v>412</v>
      </c>
      <c r="D404" s="1822"/>
      <c r="E404" s="1822"/>
      <c r="F404" s="1822"/>
      <c r="G404" s="1822"/>
      <c r="H404" s="1822"/>
      <c r="I404" s="1822"/>
      <c r="J404" s="1822"/>
      <c r="K404" s="1822"/>
      <c r="L404" s="551">
        <v>436.01</v>
      </c>
      <c r="M404" s="550"/>
      <c r="N404" s="549"/>
      <c r="AI404" s="675"/>
      <c r="AJ404" s="537" t="s">
        <v>412</v>
      </c>
    </row>
    <row r="405" spans="1:36" s="536" customFormat="1" x14ac:dyDescent="0.2">
      <c r="A405" s="548"/>
      <c r="B405" s="552"/>
      <c r="C405" s="1822" t="s">
        <v>413</v>
      </c>
      <c r="D405" s="1822"/>
      <c r="E405" s="1822"/>
      <c r="F405" s="1822"/>
      <c r="G405" s="1822"/>
      <c r="H405" s="1822"/>
      <c r="I405" s="1822"/>
      <c r="J405" s="1822"/>
      <c r="K405" s="1822"/>
      <c r="L405" s="551">
        <v>249.4</v>
      </c>
      <c r="M405" s="550"/>
      <c r="N405" s="549"/>
      <c r="AI405" s="675"/>
      <c r="AJ405" s="537" t="s">
        <v>413</v>
      </c>
    </row>
    <row r="406" spans="1:36" s="536" customFormat="1" x14ac:dyDescent="0.2">
      <c r="A406" s="548"/>
      <c r="B406" s="552" t="s">
        <v>185</v>
      </c>
      <c r="C406" s="1822" t="s">
        <v>414</v>
      </c>
      <c r="D406" s="1822"/>
      <c r="E406" s="1822"/>
      <c r="F406" s="1822"/>
      <c r="G406" s="1822"/>
      <c r="H406" s="1822"/>
      <c r="I406" s="1822"/>
      <c r="J406" s="1822"/>
      <c r="K406" s="1822"/>
      <c r="L406" s="551">
        <v>49.67</v>
      </c>
      <c r="M406" s="550">
        <v>9.7899999999999991</v>
      </c>
      <c r="N406" s="549">
        <v>486</v>
      </c>
      <c r="AI406" s="675"/>
      <c r="AJ406" s="537" t="s">
        <v>414</v>
      </c>
    </row>
    <row r="407" spans="1:36" s="536" customFormat="1" x14ac:dyDescent="0.2">
      <c r="A407" s="548"/>
      <c r="B407" s="552" t="s">
        <v>185</v>
      </c>
      <c r="C407" s="1822" t="s">
        <v>753</v>
      </c>
      <c r="D407" s="1822"/>
      <c r="E407" s="1822"/>
      <c r="F407" s="1822"/>
      <c r="G407" s="1822"/>
      <c r="H407" s="1822"/>
      <c r="I407" s="1822"/>
      <c r="J407" s="1822"/>
      <c r="K407" s="1822"/>
      <c r="L407" s="551">
        <v>9904.2199999999993</v>
      </c>
      <c r="M407" s="550">
        <v>9.7899999999999991</v>
      </c>
      <c r="N407" s="549">
        <v>96962</v>
      </c>
      <c r="AI407" s="675"/>
      <c r="AJ407" s="537" t="s">
        <v>753</v>
      </c>
    </row>
    <row r="408" spans="1:36" s="536" customFormat="1" x14ac:dyDescent="0.2">
      <c r="A408" s="548"/>
      <c r="B408" s="552"/>
      <c r="C408" s="1822" t="s">
        <v>204</v>
      </c>
      <c r="D408" s="1822"/>
      <c r="E408" s="1822"/>
      <c r="F408" s="1822"/>
      <c r="G408" s="1822"/>
      <c r="H408" s="1822"/>
      <c r="I408" s="1822"/>
      <c r="J408" s="1822"/>
      <c r="K408" s="1822"/>
      <c r="L408" s="551"/>
      <c r="M408" s="550"/>
      <c r="N408" s="549"/>
      <c r="AI408" s="675"/>
      <c r="AJ408" s="537" t="s">
        <v>204</v>
      </c>
    </row>
    <row r="409" spans="1:36" s="536" customFormat="1" x14ac:dyDescent="0.2">
      <c r="A409" s="548"/>
      <c r="B409" s="552"/>
      <c r="C409" s="1822" t="s">
        <v>546</v>
      </c>
      <c r="D409" s="1822"/>
      <c r="E409" s="1822"/>
      <c r="F409" s="1822"/>
      <c r="G409" s="1822"/>
      <c r="H409" s="1822"/>
      <c r="I409" s="1822"/>
      <c r="J409" s="1822"/>
      <c r="K409" s="1822"/>
      <c r="L409" s="551">
        <v>684.35</v>
      </c>
      <c r="M409" s="550"/>
      <c r="N409" s="549"/>
      <c r="AI409" s="675"/>
      <c r="AJ409" s="537" t="s">
        <v>546</v>
      </c>
    </row>
    <row r="410" spans="1:36" s="536" customFormat="1" x14ac:dyDescent="0.2">
      <c r="A410" s="548"/>
      <c r="B410" s="552"/>
      <c r="C410" s="1822" t="s">
        <v>442</v>
      </c>
      <c r="D410" s="1822"/>
      <c r="E410" s="1822"/>
      <c r="F410" s="1822"/>
      <c r="G410" s="1822"/>
      <c r="H410" s="1822"/>
      <c r="I410" s="1822"/>
      <c r="J410" s="1822"/>
      <c r="K410" s="1822"/>
      <c r="L410" s="551">
        <v>755.11</v>
      </c>
      <c r="M410" s="550"/>
      <c r="N410" s="549"/>
      <c r="AI410" s="675"/>
      <c r="AJ410" s="537" t="s">
        <v>442</v>
      </c>
    </row>
    <row r="411" spans="1:36" s="536" customFormat="1" x14ac:dyDescent="0.2">
      <c r="A411" s="548"/>
      <c r="B411" s="552"/>
      <c r="C411" s="1822" t="s">
        <v>547</v>
      </c>
      <c r="D411" s="1822"/>
      <c r="E411" s="1822"/>
      <c r="F411" s="1822"/>
      <c r="G411" s="1822"/>
      <c r="H411" s="1822"/>
      <c r="I411" s="1822"/>
      <c r="J411" s="1822"/>
      <c r="K411" s="1822"/>
      <c r="L411" s="551">
        <v>7342.8</v>
      </c>
      <c r="M411" s="550"/>
      <c r="N411" s="549"/>
      <c r="AI411" s="675"/>
      <c r="AJ411" s="537" t="s">
        <v>547</v>
      </c>
    </row>
    <row r="412" spans="1:36" s="536" customFormat="1" x14ac:dyDescent="0.2">
      <c r="A412" s="548"/>
      <c r="B412" s="552"/>
      <c r="C412" s="1822" t="s">
        <v>443</v>
      </c>
      <c r="D412" s="1822"/>
      <c r="E412" s="1822"/>
      <c r="F412" s="1822"/>
      <c r="G412" s="1822"/>
      <c r="H412" s="1822"/>
      <c r="I412" s="1822"/>
      <c r="J412" s="1822"/>
      <c r="K412" s="1822"/>
      <c r="L412" s="551">
        <v>735.33</v>
      </c>
      <c r="M412" s="550"/>
      <c r="N412" s="549"/>
      <c r="AI412" s="675"/>
      <c r="AJ412" s="537" t="s">
        <v>443</v>
      </c>
    </row>
    <row r="413" spans="1:36" s="536" customFormat="1" x14ac:dyDescent="0.2">
      <c r="A413" s="548"/>
      <c r="B413" s="552"/>
      <c r="C413" s="1822" t="s">
        <v>444</v>
      </c>
      <c r="D413" s="1822"/>
      <c r="E413" s="1822"/>
      <c r="F413" s="1822"/>
      <c r="G413" s="1822"/>
      <c r="H413" s="1822"/>
      <c r="I413" s="1822"/>
      <c r="J413" s="1822"/>
      <c r="K413" s="1822"/>
      <c r="L413" s="551">
        <v>386.63</v>
      </c>
      <c r="M413" s="550"/>
      <c r="N413" s="549"/>
      <c r="AI413" s="675"/>
      <c r="AJ413" s="537" t="s">
        <v>444</v>
      </c>
    </row>
    <row r="414" spans="1:36" s="536" customFormat="1" x14ac:dyDescent="0.2">
      <c r="A414" s="548"/>
      <c r="B414" s="552"/>
      <c r="C414" s="1822" t="s">
        <v>415</v>
      </c>
      <c r="D414" s="1822"/>
      <c r="E414" s="1822"/>
      <c r="F414" s="1822"/>
      <c r="G414" s="1822"/>
      <c r="H414" s="1822"/>
      <c r="I414" s="1822"/>
      <c r="J414" s="1822"/>
      <c r="K414" s="1822"/>
      <c r="L414" s="551">
        <v>1183.48</v>
      </c>
      <c r="M414" s="550"/>
      <c r="N414" s="549"/>
      <c r="AI414" s="675"/>
      <c r="AJ414" s="537" t="s">
        <v>415</v>
      </c>
    </row>
    <row r="415" spans="1:36" s="536" customFormat="1" x14ac:dyDescent="0.2">
      <c r="A415" s="548"/>
      <c r="B415" s="552"/>
      <c r="C415" s="1822" t="s">
        <v>416</v>
      </c>
      <c r="D415" s="1822"/>
      <c r="E415" s="1822"/>
      <c r="F415" s="1822"/>
      <c r="G415" s="1822"/>
      <c r="H415" s="1822"/>
      <c r="I415" s="1822"/>
      <c r="J415" s="1822"/>
      <c r="K415" s="1822"/>
      <c r="L415" s="551">
        <v>1171.3399999999999</v>
      </c>
      <c r="M415" s="550"/>
      <c r="N415" s="549"/>
      <c r="AI415" s="675"/>
      <c r="AJ415" s="537" t="s">
        <v>416</v>
      </c>
    </row>
    <row r="416" spans="1:36" s="536" customFormat="1" x14ac:dyDescent="0.2">
      <c r="A416" s="548"/>
      <c r="B416" s="552"/>
      <c r="C416" s="1822" t="s">
        <v>417</v>
      </c>
      <c r="D416" s="1822"/>
      <c r="E416" s="1822"/>
      <c r="F416" s="1822"/>
      <c r="G416" s="1822"/>
      <c r="H416" s="1822"/>
      <c r="I416" s="1822"/>
      <c r="J416" s="1822"/>
      <c r="K416" s="1822"/>
      <c r="L416" s="551">
        <v>636.03</v>
      </c>
      <c r="M416" s="550"/>
      <c r="N416" s="549"/>
      <c r="AI416" s="675"/>
      <c r="AJ416" s="537" t="s">
        <v>417</v>
      </c>
    </row>
    <row r="417" spans="1:37" x14ac:dyDescent="0.2">
      <c r="A417" s="548"/>
      <c r="B417" s="546"/>
      <c r="C417" s="1819" t="s">
        <v>206</v>
      </c>
      <c r="D417" s="1819"/>
      <c r="E417" s="1819"/>
      <c r="F417" s="1819"/>
      <c r="G417" s="1819"/>
      <c r="H417" s="1819"/>
      <c r="I417" s="1819"/>
      <c r="J417" s="1819"/>
      <c r="K417" s="1819"/>
      <c r="L417" s="544">
        <v>14240.56</v>
      </c>
      <c r="M417" s="543"/>
      <c r="N417" s="547">
        <v>139414</v>
      </c>
      <c r="P417" s="536"/>
      <c r="Q417" s="536"/>
      <c r="R417" s="536"/>
      <c r="S417" s="536"/>
      <c r="T417" s="536"/>
      <c r="U417" s="536"/>
      <c r="V417" s="536"/>
      <c r="W417" s="536"/>
      <c r="X417" s="536"/>
      <c r="Y417" s="536"/>
      <c r="Z417" s="536"/>
      <c r="AA417" s="536"/>
      <c r="AB417" s="536"/>
      <c r="AC417" s="536"/>
      <c r="AD417" s="536"/>
      <c r="AE417" s="536"/>
      <c r="AF417" s="536"/>
      <c r="AG417" s="536"/>
      <c r="AH417" s="536"/>
      <c r="AI417" s="675"/>
      <c r="AJ417" s="536"/>
      <c r="AK417" s="675" t="s">
        <v>206</v>
      </c>
    </row>
    <row r="418" spans="1:37" x14ac:dyDescent="0.2">
      <c r="A418" s="548"/>
      <c r="B418" s="552"/>
      <c r="C418" s="1822" t="s">
        <v>204</v>
      </c>
      <c r="D418" s="1822"/>
      <c r="E418" s="1822"/>
      <c r="F418" s="1822"/>
      <c r="G418" s="1822"/>
      <c r="H418" s="1822"/>
      <c r="I418" s="1822"/>
      <c r="J418" s="1822"/>
      <c r="K418" s="1822"/>
      <c r="L418" s="551"/>
      <c r="M418" s="550"/>
      <c r="N418" s="549"/>
      <c r="P418" s="536"/>
      <c r="Q418" s="536"/>
      <c r="R418" s="536"/>
      <c r="S418" s="536"/>
      <c r="T418" s="536"/>
      <c r="U418" s="536"/>
      <c r="V418" s="536"/>
      <c r="W418" s="536"/>
      <c r="X418" s="536"/>
      <c r="Y418" s="536"/>
      <c r="Z418" s="536"/>
      <c r="AA418" s="536"/>
      <c r="AB418" s="536"/>
      <c r="AC418" s="536"/>
      <c r="AD418" s="536"/>
      <c r="AE418" s="536"/>
      <c r="AF418" s="536"/>
      <c r="AG418" s="536"/>
      <c r="AH418" s="536"/>
      <c r="AI418" s="675"/>
      <c r="AJ418" s="537" t="s">
        <v>204</v>
      </c>
      <c r="AK418" s="675"/>
    </row>
    <row r="419" spans="1:37" x14ac:dyDescent="0.2">
      <c r="A419" s="548"/>
      <c r="B419" s="552"/>
      <c r="C419" s="1822" t="s">
        <v>8095</v>
      </c>
      <c r="D419" s="1822"/>
      <c r="E419" s="1822"/>
      <c r="F419" s="1822"/>
      <c r="G419" s="1822"/>
      <c r="H419" s="1822"/>
      <c r="I419" s="1822"/>
      <c r="J419" s="1822"/>
      <c r="K419" s="1822"/>
      <c r="L419" s="551">
        <v>2091.73</v>
      </c>
      <c r="M419" s="550"/>
      <c r="N419" s="549">
        <v>20478</v>
      </c>
      <c r="P419" s="536"/>
      <c r="Q419" s="536"/>
      <c r="R419" s="536"/>
      <c r="S419" s="536"/>
      <c r="T419" s="536"/>
      <c r="U419" s="536"/>
      <c r="V419" s="536"/>
      <c r="W419" s="536"/>
      <c r="X419" s="536"/>
      <c r="Y419" s="536"/>
      <c r="Z419" s="536"/>
      <c r="AA419" s="536"/>
      <c r="AB419" s="536"/>
      <c r="AC419" s="536"/>
      <c r="AD419" s="536"/>
      <c r="AE419" s="536"/>
      <c r="AF419" s="536"/>
      <c r="AG419" s="536"/>
      <c r="AH419" s="536"/>
      <c r="AI419" s="675"/>
      <c r="AJ419" s="537" t="s">
        <v>8095</v>
      </c>
      <c r="AK419" s="675"/>
    </row>
    <row r="420" spans="1:37" ht="1.5" customHeight="1" x14ac:dyDescent="0.2">
      <c r="B420" s="546"/>
      <c r="C420" s="671"/>
      <c r="D420" s="671"/>
      <c r="E420" s="671"/>
      <c r="F420" s="671"/>
      <c r="G420" s="671"/>
      <c r="H420" s="671"/>
      <c r="I420" s="671"/>
      <c r="J420" s="671"/>
      <c r="K420" s="671"/>
      <c r="L420" s="544"/>
      <c r="M420" s="543"/>
      <c r="N420" s="542"/>
      <c r="P420" s="536"/>
      <c r="Q420" s="536"/>
      <c r="R420" s="536"/>
      <c r="S420" s="536"/>
      <c r="T420" s="536"/>
      <c r="U420" s="536"/>
      <c r="V420" s="536"/>
      <c r="W420" s="536"/>
      <c r="X420" s="536"/>
      <c r="Y420" s="536"/>
      <c r="Z420" s="536"/>
      <c r="AA420" s="536"/>
      <c r="AB420" s="536"/>
      <c r="AC420" s="536"/>
      <c r="AD420" s="536"/>
      <c r="AE420" s="536"/>
      <c r="AF420" s="536"/>
      <c r="AG420" s="536"/>
      <c r="AH420" s="536"/>
      <c r="AI420" s="536"/>
      <c r="AJ420" s="536"/>
      <c r="AK420" s="536"/>
    </row>
    <row r="421" spans="1:37" ht="53.25" customHeight="1" x14ac:dyDescent="0.2">
      <c r="A421" s="541"/>
      <c r="B421" s="541"/>
      <c r="C421" s="541"/>
      <c r="D421" s="541"/>
      <c r="E421" s="541"/>
      <c r="F421" s="541"/>
      <c r="G421" s="541"/>
      <c r="H421" s="541"/>
      <c r="I421" s="541"/>
      <c r="J421" s="541"/>
      <c r="K421" s="541"/>
      <c r="L421" s="541"/>
      <c r="M421" s="541"/>
      <c r="N421" s="541"/>
      <c r="P421" s="536"/>
      <c r="Q421" s="536"/>
      <c r="R421" s="536"/>
      <c r="S421" s="536"/>
      <c r="T421" s="536"/>
      <c r="U421" s="536"/>
      <c r="V421" s="536"/>
      <c r="W421" s="536"/>
      <c r="X421" s="536"/>
      <c r="Y421" s="536"/>
      <c r="Z421" s="536"/>
      <c r="AA421" s="536"/>
      <c r="AB421" s="536"/>
      <c r="AC421" s="536"/>
      <c r="AD421" s="536"/>
      <c r="AE421" s="536"/>
      <c r="AF421" s="536"/>
      <c r="AG421" s="536"/>
      <c r="AH421" s="536"/>
      <c r="AI421" s="536"/>
      <c r="AJ421" s="536"/>
      <c r="AK421" s="536"/>
    </row>
    <row r="422" spans="1:37" x14ac:dyDescent="0.2">
      <c r="B422" s="539" t="s">
        <v>149</v>
      </c>
      <c r="C422" s="1943" t="s">
        <v>207</v>
      </c>
      <c r="D422" s="1943"/>
      <c r="E422" s="1943"/>
      <c r="F422" s="1943"/>
      <c r="G422" s="1943"/>
      <c r="H422" s="1943"/>
      <c r="I422" s="1943"/>
      <c r="J422" s="1943"/>
      <c r="K422" s="1943"/>
      <c r="L422" s="1943"/>
    </row>
    <row r="423" spans="1:37" ht="13.5" customHeight="1" x14ac:dyDescent="0.2">
      <c r="B423" s="540"/>
      <c r="C423" s="1821" t="s">
        <v>150</v>
      </c>
      <c r="D423" s="1821"/>
      <c r="E423" s="1821"/>
      <c r="F423" s="1821"/>
      <c r="G423" s="1821"/>
      <c r="H423" s="1821"/>
      <c r="I423" s="1821"/>
      <c r="J423" s="1821"/>
      <c r="K423" s="1821"/>
      <c r="L423" s="1821"/>
    </row>
    <row r="424" spans="1:37" ht="12.75" customHeight="1" x14ac:dyDescent="0.2">
      <c r="B424" s="539" t="s">
        <v>151</v>
      </c>
      <c r="C424" s="1943" t="s">
        <v>208</v>
      </c>
      <c r="D424" s="1943"/>
      <c r="E424" s="1943"/>
      <c r="F424" s="1943"/>
      <c r="G424" s="1943"/>
      <c r="H424" s="1943"/>
      <c r="I424" s="1943"/>
      <c r="J424" s="1943"/>
      <c r="K424" s="1943"/>
      <c r="L424" s="1943"/>
    </row>
    <row r="425" spans="1:37" ht="13.5" customHeight="1" x14ac:dyDescent="0.2">
      <c r="C425" s="1821" t="s">
        <v>150</v>
      </c>
      <c r="D425" s="1821"/>
      <c r="E425" s="1821"/>
      <c r="F425" s="1821"/>
      <c r="G425" s="1821"/>
      <c r="H425" s="1821"/>
      <c r="I425" s="1821"/>
      <c r="J425" s="1821"/>
      <c r="K425" s="1821"/>
      <c r="L425" s="1821"/>
    </row>
    <row r="427" spans="1:37" x14ac:dyDescent="0.2">
      <c r="B427" s="538"/>
      <c r="D427" s="538"/>
      <c r="F427" s="538"/>
      <c r="P427" s="536"/>
      <c r="Q427" s="536"/>
      <c r="R427" s="536"/>
      <c r="S427" s="536"/>
      <c r="T427" s="536"/>
      <c r="U427" s="536"/>
      <c r="V427" s="536"/>
      <c r="W427" s="536"/>
      <c r="X427" s="536"/>
      <c r="Y427" s="536"/>
      <c r="Z427" s="536"/>
      <c r="AA427" s="536"/>
      <c r="AB427" s="536"/>
      <c r="AC427" s="536"/>
      <c r="AD427" s="536"/>
      <c r="AE427" s="536"/>
      <c r="AF427" s="536"/>
      <c r="AG427" s="536"/>
      <c r="AH427" s="536"/>
      <c r="AI427" s="536"/>
      <c r="AJ427" s="536"/>
      <c r="AK427" s="536"/>
    </row>
  </sheetData>
  <mergeCells count="397">
    <mergeCell ref="C423:L423"/>
    <mergeCell ref="C424:L424"/>
    <mergeCell ref="C425:L425"/>
    <mergeCell ref="C415:K415"/>
    <mergeCell ref="C416:K416"/>
    <mergeCell ref="C417:K417"/>
    <mergeCell ref="C418:K418"/>
    <mergeCell ref="C419:K419"/>
    <mergeCell ref="C422:L422"/>
    <mergeCell ref="C409:K409"/>
    <mergeCell ref="C410:K410"/>
    <mergeCell ref="C411:K411"/>
    <mergeCell ref="C412:K412"/>
    <mergeCell ref="C413:K413"/>
    <mergeCell ref="C414:K414"/>
    <mergeCell ref="C403:K403"/>
    <mergeCell ref="C404:K404"/>
    <mergeCell ref="C405:K405"/>
    <mergeCell ref="C406:K406"/>
    <mergeCell ref="C407:K407"/>
    <mergeCell ref="C408:K408"/>
    <mergeCell ref="C397:K397"/>
    <mergeCell ref="C398:K398"/>
    <mergeCell ref="C399:K399"/>
    <mergeCell ref="C400:K400"/>
    <mergeCell ref="C401:K401"/>
    <mergeCell ref="C402:K402"/>
    <mergeCell ref="C391:K391"/>
    <mergeCell ref="C392:K392"/>
    <mergeCell ref="C393:K393"/>
    <mergeCell ref="C394:K394"/>
    <mergeCell ref="C395:K395"/>
    <mergeCell ref="C396:K396"/>
    <mergeCell ref="C384:K384"/>
    <mergeCell ref="C385:K385"/>
    <mergeCell ref="C386:K386"/>
    <mergeCell ref="C387:K387"/>
    <mergeCell ref="C388:K388"/>
    <mergeCell ref="C389:K389"/>
    <mergeCell ref="C378:K378"/>
    <mergeCell ref="C379:K379"/>
    <mergeCell ref="C380:K380"/>
    <mergeCell ref="C381:K381"/>
    <mergeCell ref="C382:K382"/>
    <mergeCell ref="C383:K383"/>
    <mergeCell ref="C372:K372"/>
    <mergeCell ref="C373:K373"/>
    <mergeCell ref="C374:K374"/>
    <mergeCell ref="C375:K375"/>
    <mergeCell ref="C376:K376"/>
    <mergeCell ref="C377:K377"/>
    <mergeCell ref="C366:K366"/>
    <mergeCell ref="C367:K367"/>
    <mergeCell ref="C368:K368"/>
    <mergeCell ref="C369:K369"/>
    <mergeCell ref="C370:K370"/>
    <mergeCell ref="C371:K371"/>
    <mergeCell ref="C358:E358"/>
    <mergeCell ref="C359:E359"/>
    <mergeCell ref="C360:E360"/>
    <mergeCell ref="C363:K363"/>
    <mergeCell ref="C364:K364"/>
    <mergeCell ref="C365:K365"/>
    <mergeCell ref="C352:E352"/>
    <mergeCell ref="C353:E353"/>
    <mergeCell ref="C354:E354"/>
    <mergeCell ref="C355:E355"/>
    <mergeCell ref="C356:E356"/>
    <mergeCell ref="C357:E357"/>
    <mergeCell ref="C345:E345"/>
    <mergeCell ref="C346:E346"/>
    <mergeCell ref="C347:E347"/>
    <mergeCell ref="C349:N349"/>
    <mergeCell ref="C350:E350"/>
    <mergeCell ref="C351:N351"/>
    <mergeCell ref="C339:E339"/>
    <mergeCell ref="C340:E340"/>
    <mergeCell ref="C341:E341"/>
    <mergeCell ref="C342:E342"/>
    <mergeCell ref="C343:E343"/>
    <mergeCell ref="C344:E344"/>
    <mergeCell ref="C333:E333"/>
    <mergeCell ref="C334:E334"/>
    <mergeCell ref="C335:N335"/>
    <mergeCell ref="C336:E336"/>
    <mergeCell ref="C337:E337"/>
    <mergeCell ref="C338:E338"/>
    <mergeCell ref="C327:E327"/>
    <mergeCell ref="C328:E328"/>
    <mergeCell ref="C329:E329"/>
    <mergeCell ref="C330:E330"/>
    <mergeCell ref="C331:E331"/>
    <mergeCell ref="C332:E332"/>
    <mergeCell ref="C321:E321"/>
    <mergeCell ref="C322:E322"/>
    <mergeCell ref="C323:E323"/>
    <mergeCell ref="C324:E324"/>
    <mergeCell ref="C325:E325"/>
    <mergeCell ref="C326:E326"/>
    <mergeCell ref="C315:E315"/>
    <mergeCell ref="C316:E316"/>
    <mergeCell ref="C317:E317"/>
    <mergeCell ref="C318:E318"/>
    <mergeCell ref="C319:E319"/>
    <mergeCell ref="C320:N320"/>
    <mergeCell ref="C309:E309"/>
    <mergeCell ref="C310:E310"/>
    <mergeCell ref="C311:E311"/>
    <mergeCell ref="C312:E312"/>
    <mergeCell ref="C313:E313"/>
    <mergeCell ref="C314:E314"/>
    <mergeCell ref="C303:N303"/>
    <mergeCell ref="C304:E304"/>
    <mergeCell ref="C305:E305"/>
    <mergeCell ref="C306:E306"/>
    <mergeCell ref="C307:E307"/>
    <mergeCell ref="C308:E308"/>
    <mergeCell ref="C297:E297"/>
    <mergeCell ref="C298:E298"/>
    <mergeCell ref="C299:E299"/>
    <mergeCell ref="C300:E300"/>
    <mergeCell ref="C301:E301"/>
    <mergeCell ref="C302:N302"/>
    <mergeCell ref="C291:E291"/>
    <mergeCell ref="C292:E292"/>
    <mergeCell ref="C293:E293"/>
    <mergeCell ref="C294:E294"/>
    <mergeCell ref="C295:E295"/>
    <mergeCell ref="C296:E296"/>
    <mergeCell ref="C285:E285"/>
    <mergeCell ref="C286:E286"/>
    <mergeCell ref="C287:E287"/>
    <mergeCell ref="C288:N288"/>
    <mergeCell ref="C289:N289"/>
    <mergeCell ref="C290:E290"/>
    <mergeCell ref="C279:E279"/>
    <mergeCell ref="C280:E280"/>
    <mergeCell ref="C281:E281"/>
    <mergeCell ref="C282:E282"/>
    <mergeCell ref="C283:E283"/>
    <mergeCell ref="C284:E284"/>
    <mergeCell ref="C273:E273"/>
    <mergeCell ref="C274:N274"/>
    <mergeCell ref="C275:E275"/>
    <mergeCell ref="C276:E276"/>
    <mergeCell ref="C277:E277"/>
    <mergeCell ref="C278:E278"/>
    <mergeCell ref="C265:E265"/>
    <mergeCell ref="C266:E266"/>
    <mergeCell ref="C267:E267"/>
    <mergeCell ref="C269:N269"/>
    <mergeCell ref="C270:E270"/>
    <mergeCell ref="C272:N272"/>
    <mergeCell ref="C259:E259"/>
    <mergeCell ref="C260:E260"/>
    <mergeCell ref="C261:E261"/>
    <mergeCell ref="C262:E262"/>
    <mergeCell ref="C263:E263"/>
    <mergeCell ref="C264:E264"/>
    <mergeCell ref="C253:E253"/>
    <mergeCell ref="C254:N254"/>
    <mergeCell ref="C255:N255"/>
    <mergeCell ref="C256:E256"/>
    <mergeCell ref="C257:E257"/>
    <mergeCell ref="C258:E258"/>
    <mergeCell ref="C246:E246"/>
    <mergeCell ref="C247:E247"/>
    <mergeCell ref="C248:E248"/>
    <mergeCell ref="C249:E249"/>
    <mergeCell ref="C250:E250"/>
    <mergeCell ref="C252:N252"/>
    <mergeCell ref="C240:E240"/>
    <mergeCell ref="C241:E241"/>
    <mergeCell ref="C242:E242"/>
    <mergeCell ref="C243:E243"/>
    <mergeCell ref="C244:E244"/>
    <mergeCell ref="C245:E245"/>
    <mergeCell ref="C234:N234"/>
    <mergeCell ref="C235:N235"/>
    <mergeCell ref="C236:E236"/>
    <mergeCell ref="C237:N237"/>
    <mergeCell ref="C238:N238"/>
    <mergeCell ref="C239:E239"/>
    <mergeCell ref="C227:E227"/>
    <mergeCell ref="C228:E228"/>
    <mergeCell ref="C229:E229"/>
    <mergeCell ref="C230:E230"/>
    <mergeCell ref="C231:E231"/>
    <mergeCell ref="C232:E232"/>
    <mergeCell ref="C221:E221"/>
    <mergeCell ref="C222:N222"/>
    <mergeCell ref="C223:N223"/>
    <mergeCell ref="C224:E224"/>
    <mergeCell ref="C225:E225"/>
    <mergeCell ref="C226:E226"/>
    <mergeCell ref="C214:E214"/>
    <mergeCell ref="C215:E215"/>
    <mergeCell ref="C216:E216"/>
    <mergeCell ref="C217:E217"/>
    <mergeCell ref="C218:E218"/>
    <mergeCell ref="C220:N220"/>
    <mergeCell ref="C208:E208"/>
    <mergeCell ref="C209:E209"/>
    <mergeCell ref="C210:E210"/>
    <mergeCell ref="C211:E211"/>
    <mergeCell ref="C212:E212"/>
    <mergeCell ref="C213:E213"/>
    <mergeCell ref="C201:E201"/>
    <mergeCell ref="C203:N203"/>
    <mergeCell ref="C204:E204"/>
    <mergeCell ref="C205:N205"/>
    <mergeCell ref="C206:N206"/>
    <mergeCell ref="C207:E207"/>
    <mergeCell ref="C195:E195"/>
    <mergeCell ref="C196:E196"/>
    <mergeCell ref="C197:E197"/>
    <mergeCell ref="C198:E198"/>
    <mergeCell ref="C199:E199"/>
    <mergeCell ref="C200:E200"/>
    <mergeCell ref="C189:N189"/>
    <mergeCell ref="C190:E190"/>
    <mergeCell ref="C191:E191"/>
    <mergeCell ref="C192:E192"/>
    <mergeCell ref="C193:E193"/>
    <mergeCell ref="C194:E194"/>
    <mergeCell ref="C183:K183"/>
    <mergeCell ref="C184:K184"/>
    <mergeCell ref="C185:K185"/>
    <mergeCell ref="A186:N186"/>
    <mergeCell ref="C187:E187"/>
    <mergeCell ref="C188:N188"/>
    <mergeCell ref="C177:K177"/>
    <mergeCell ref="C178:K178"/>
    <mergeCell ref="C179:K179"/>
    <mergeCell ref="C180:K180"/>
    <mergeCell ref="C181:K181"/>
    <mergeCell ref="C182:K182"/>
    <mergeCell ref="C171:K171"/>
    <mergeCell ref="C172:K172"/>
    <mergeCell ref="C173:K173"/>
    <mergeCell ref="C174:K174"/>
    <mergeCell ref="C175:K175"/>
    <mergeCell ref="C176:K176"/>
    <mergeCell ref="C163:E163"/>
    <mergeCell ref="C164:E164"/>
    <mergeCell ref="C165:E165"/>
    <mergeCell ref="C168:K168"/>
    <mergeCell ref="C169:K169"/>
    <mergeCell ref="C170:K170"/>
    <mergeCell ref="C157:E157"/>
    <mergeCell ref="C158:E158"/>
    <mergeCell ref="C159:E159"/>
    <mergeCell ref="C160:E160"/>
    <mergeCell ref="C161:E161"/>
    <mergeCell ref="C162:E162"/>
    <mergeCell ref="C151:N151"/>
    <mergeCell ref="C152:N152"/>
    <mergeCell ref="C153:E153"/>
    <mergeCell ref="C154:E154"/>
    <mergeCell ref="C155:E155"/>
    <mergeCell ref="C156:E156"/>
    <mergeCell ref="C144:E144"/>
    <mergeCell ref="C145:E145"/>
    <mergeCell ref="C146:E146"/>
    <mergeCell ref="C147:E147"/>
    <mergeCell ref="C149:N149"/>
    <mergeCell ref="C150:E150"/>
    <mergeCell ref="C138:E138"/>
    <mergeCell ref="C139:E139"/>
    <mergeCell ref="C140:E140"/>
    <mergeCell ref="C141:E141"/>
    <mergeCell ref="C142:E142"/>
    <mergeCell ref="C143:E143"/>
    <mergeCell ref="A132:N132"/>
    <mergeCell ref="C133:E133"/>
    <mergeCell ref="C134:N134"/>
    <mergeCell ref="C135:E135"/>
    <mergeCell ref="C136:E136"/>
    <mergeCell ref="C137:E137"/>
    <mergeCell ref="C126:K126"/>
    <mergeCell ref="C127:K127"/>
    <mergeCell ref="C128:K128"/>
    <mergeCell ref="C129:K129"/>
    <mergeCell ref="C130:K130"/>
    <mergeCell ref="C131:K131"/>
    <mergeCell ref="C120:K120"/>
    <mergeCell ref="C121:K121"/>
    <mergeCell ref="C122:K122"/>
    <mergeCell ref="C123:K123"/>
    <mergeCell ref="C124:K124"/>
    <mergeCell ref="C125:K125"/>
    <mergeCell ref="C114:K114"/>
    <mergeCell ref="C115:K115"/>
    <mergeCell ref="C116:K116"/>
    <mergeCell ref="C117:K117"/>
    <mergeCell ref="C118:K118"/>
    <mergeCell ref="C119:K119"/>
    <mergeCell ref="C107:E107"/>
    <mergeCell ref="C108:E108"/>
    <mergeCell ref="C109:E109"/>
    <mergeCell ref="C110:E110"/>
    <mergeCell ref="C111:E111"/>
    <mergeCell ref="C112:N112"/>
    <mergeCell ref="C101:N101"/>
    <mergeCell ref="C102:N102"/>
    <mergeCell ref="C103:E103"/>
    <mergeCell ref="C104:E104"/>
    <mergeCell ref="C105:E105"/>
    <mergeCell ref="C106:E106"/>
    <mergeCell ref="C95:E95"/>
    <mergeCell ref="C96:E96"/>
    <mergeCell ref="C97:E97"/>
    <mergeCell ref="C98:E98"/>
    <mergeCell ref="A99:N99"/>
    <mergeCell ref="C100:E100"/>
    <mergeCell ref="C89:E89"/>
    <mergeCell ref="C90:E90"/>
    <mergeCell ref="C91:E91"/>
    <mergeCell ref="C92:E92"/>
    <mergeCell ref="C93:E93"/>
    <mergeCell ref="C94:E94"/>
    <mergeCell ref="C83:E83"/>
    <mergeCell ref="C84:E84"/>
    <mergeCell ref="C85:E85"/>
    <mergeCell ref="C86:E86"/>
    <mergeCell ref="C87:N87"/>
    <mergeCell ref="C88:N88"/>
    <mergeCell ref="C77:N77"/>
    <mergeCell ref="C78:E78"/>
    <mergeCell ref="C79:E79"/>
    <mergeCell ref="C80:E80"/>
    <mergeCell ref="C81:E81"/>
    <mergeCell ref="C82:E82"/>
    <mergeCell ref="C71:E71"/>
    <mergeCell ref="C72:E72"/>
    <mergeCell ref="C73:E73"/>
    <mergeCell ref="C74:N74"/>
    <mergeCell ref="C75:E75"/>
    <mergeCell ref="C76:N76"/>
    <mergeCell ref="C65:N65"/>
    <mergeCell ref="C66:E66"/>
    <mergeCell ref="C67:E67"/>
    <mergeCell ref="C68:E68"/>
    <mergeCell ref="C69:E69"/>
    <mergeCell ref="C70:E70"/>
    <mergeCell ref="C59:E59"/>
    <mergeCell ref="C60:E60"/>
    <mergeCell ref="C61:E61"/>
    <mergeCell ref="C62:E62"/>
    <mergeCell ref="C63:N63"/>
    <mergeCell ref="C64:N64"/>
    <mergeCell ref="C53:N53"/>
    <mergeCell ref="C54:E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N52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 r:id="rId1"/>
  <headerFooter>
    <oddHeader>&amp;LГРАНД-Смета 2021.1</oddHeader>
    <oddFooter>&amp;R&amp;8Страница &amp;P</oddFooter>
  </headerFooter>
  <rowBreaks count="1" manualBreakCount="1">
    <brk id="34" max="426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/>
  <dimension ref="A2:L22"/>
  <sheetViews>
    <sheetView zoomScale="95" zoomScaleNormal="95" zoomScaleSheetLayoutView="95" workbookViewId="0"/>
  </sheetViews>
  <sheetFormatPr defaultRowHeight="15" x14ac:dyDescent="0.25"/>
  <cols>
    <col min="1" max="1" width="5.7109375" style="743" customWidth="1"/>
    <col min="2" max="2" width="46.28515625" style="743" customWidth="1"/>
    <col min="3" max="3" width="28.140625" style="743" customWidth="1"/>
    <col min="4" max="4" width="15.28515625" style="743" customWidth="1"/>
    <col min="5" max="5" width="31.85546875" style="743" customWidth="1"/>
    <col min="6" max="6" width="11.7109375" style="743" bestFit="1" customWidth="1"/>
    <col min="7" max="256" width="9.140625" style="743"/>
    <col min="257" max="257" width="5.7109375" style="743" customWidth="1"/>
    <col min="258" max="258" width="46.28515625" style="743" customWidth="1"/>
    <col min="259" max="259" width="19.7109375" style="743" customWidth="1"/>
    <col min="260" max="260" width="11.28515625" style="743" customWidth="1"/>
    <col min="261" max="261" width="16.28515625" style="743" customWidth="1"/>
    <col min="262" max="512" width="9.140625" style="743"/>
    <col min="513" max="513" width="5.7109375" style="743" customWidth="1"/>
    <col min="514" max="514" width="46.28515625" style="743" customWidth="1"/>
    <col min="515" max="515" width="19.7109375" style="743" customWidth="1"/>
    <col min="516" max="516" width="11.28515625" style="743" customWidth="1"/>
    <col min="517" max="517" width="16.28515625" style="743" customWidth="1"/>
    <col min="518" max="768" width="9.140625" style="743"/>
    <col min="769" max="769" width="5.7109375" style="743" customWidth="1"/>
    <col min="770" max="770" width="46.28515625" style="743" customWidth="1"/>
    <col min="771" max="771" width="19.7109375" style="743" customWidth="1"/>
    <col min="772" max="772" width="11.28515625" style="743" customWidth="1"/>
    <col min="773" max="773" width="16.28515625" style="743" customWidth="1"/>
    <col min="774" max="1024" width="9.140625" style="743"/>
    <col min="1025" max="1025" width="5.7109375" style="743" customWidth="1"/>
    <col min="1026" max="1026" width="46.28515625" style="743" customWidth="1"/>
    <col min="1027" max="1027" width="19.7109375" style="743" customWidth="1"/>
    <col min="1028" max="1028" width="11.28515625" style="743" customWidth="1"/>
    <col min="1029" max="1029" width="16.28515625" style="743" customWidth="1"/>
    <col min="1030" max="1280" width="9.140625" style="743"/>
    <col min="1281" max="1281" width="5.7109375" style="743" customWidth="1"/>
    <col min="1282" max="1282" width="46.28515625" style="743" customWidth="1"/>
    <col min="1283" max="1283" width="19.7109375" style="743" customWidth="1"/>
    <col min="1284" max="1284" width="11.28515625" style="743" customWidth="1"/>
    <col min="1285" max="1285" width="16.28515625" style="743" customWidth="1"/>
    <col min="1286" max="1536" width="9.140625" style="743"/>
    <col min="1537" max="1537" width="5.7109375" style="743" customWidth="1"/>
    <col min="1538" max="1538" width="46.28515625" style="743" customWidth="1"/>
    <col min="1539" max="1539" width="19.7109375" style="743" customWidth="1"/>
    <col min="1540" max="1540" width="11.28515625" style="743" customWidth="1"/>
    <col min="1541" max="1541" width="16.28515625" style="743" customWidth="1"/>
    <col min="1542" max="1792" width="9.140625" style="743"/>
    <col min="1793" max="1793" width="5.7109375" style="743" customWidth="1"/>
    <col min="1794" max="1794" width="46.28515625" style="743" customWidth="1"/>
    <col min="1795" max="1795" width="19.7109375" style="743" customWidth="1"/>
    <col min="1796" max="1796" width="11.28515625" style="743" customWidth="1"/>
    <col min="1797" max="1797" width="16.28515625" style="743" customWidth="1"/>
    <col min="1798" max="2048" width="9.140625" style="743"/>
    <col min="2049" max="2049" width="5.7109375" style="743" customWidth="1"/>
    <col min="2050" max="2050" width="46.28515625" style="743" customWidth="1"/>
    <col min="2051" max="2051" width="19.7109375" style="743" customWidth="1"/>
    <col min="2052" max="2052" width="11.28515625" style="743" customWidth="1"/>
    <col min="2053" max="2053" width="16.28515625" style="743" customWidth="1"/>
    <col min="2054" max="2304" width="9.140625" style="743"/>
    <col min="2305" max="2305" width="5.7109375" style="743" customWidth="1"/>
    <col min="2306" max="2306" width="46.28515625" style="743" customWidth="1"/>
    <col min="2307" max="2307" width="19.7109375" style="743" customWidth="1"/>
    <col min="2308" max="2308" width="11.28515625" style="743" customWidth="1"/>
    <col min="2309" max="2309" width="16.28515625" style="743" customWidth="1"/>
    <col min="2310" max="2560" width="9.140625" style="743"/>
    <col min="2561" max="2561" width="5.7109375" style="743" customWidth="1"/>
    <col min="2562" max="2562" width="46.28515625" style="743" customWidth="1"/>
    <col min="2563" max="2563" width="19.7109375" style="743" customWidth="1"/>
    <col min="2564" max="2564" width="11.28515625" style="743" customWidth="1"/>
    <col min="2565" max="2565" width="16.28515625" style="743" customWidth="1"/>
    <col min="2566" max="2816" width="9.140625" style="743"/>
    <col min="2817" max="2817" width="5.7109375" style="743" customWidth="1"/>
    <col min="2818" max="2818" width="46.28515625" style="743" customWidth="1"/>
    <col min="2819" max="2819" width="19.7109375" style="743" customWidth="1"/>
    <col min="2820" max="2820" width="11.28515625" style="743" customWidth="1"/>
    <col min="2821" max="2821" width="16.28515625" style="743" customWidth="1"/>
    <col min="2822" max="3072" width="9.140625" style="743"/>
    <col min="3073" max="3073" width="5.7109375" style="743" customWidth="1"/>
    <col min="3074" max="3074" width="46.28515625" style="743" customWidth="1"/>
    <col min="3075" max="3075" width="19.7109375" style="743" customWidth="1"/>
    <col min="3076" max="3076" width="11.28515625" style="743" customWidth="1"/>
    <col min="3077" max="3077" width="16.28515625" style="743" customWidth="1"/>
    <col min="3078" max="3328" width="9.140625" style="743"/>
    <col min="3329" max="3329" width="5.7109375" style="743" customWidth="1"/>
    <col min="3330" max="3330" width="46.28515625" style="743" customWidth="1"/>
    <col min="3331" max="3331" width="19.7109375" style="743" customWidth="1"/>
    <col min="3332" max="3332" width="11.28515625" style="743" customWidth="1"/>
    <col min="3333" max="3333" width="16.28515625" style="743" customWidth="1"/>
    <col min="3334" max="3584" width="9.140625" style="743"/>
    <col min="3585" max="3585" width="5.7109375" style="743" customWidth="1"/>
    <col min="3586" max="3586" width="46.28515625" style="743" customWidth="1"/>
    <col min="3587" max="3587" width="19.7109375" style="743" customWidth="1"/>
    <col min="3588" max="3588" width="11.28515625" style="743" customWidth="1"/>
    <col min="3589" max="3589" width="16.28515625" style="743" customWidth="1"/>
    <col min="3590" max="3840" width="9.140625" style="743"/>
    <col min="3841" max="3841" width="5.7109375" style="743" customWidth="1"/>
    <col min="3842" max="3842" width="46.28515625" style="743" customWidth="1"/>
    <col min="3843" max="3843" width="19.7109375" style="743" customWidth="1"/>
    <col min="3844" max="3844" width="11.28515625" style="743" customWidth="1"/>
    <col min="3845" max="3845" width="16.28515625" style="743" customWidth="1"/>
    <col min="3846" max="4096" width="9.140625" style="743"/>
    <col min="4097" max="4097" width="5.7109375" style="743" customWidth="1"/>
    <col min="4098" max="4098" width="46.28515625" style="743" customWidth="1"/>
    <col min="4099" max="4099" width="19.7109375" style="743" customWidth="1"/>
    <col min="4100" max="4100" width="11.28515625" style="743" customWidth="1"/>
    <col min="4101" max="4101" width="16.28515625" style="743" customWidth="1"/>
    <col min="4102" max="4352" width="9.140625" style="743"/>
    <col min="4353" max="4353" width="5.7109375" style="743" customWidth="1"/>
    <col min="4354" max="4354" width="46.28515625" style="743" customWidth="1"/>
    <col min="4355" max="4355" width="19.7109375" style="743" customWidth="1"/>
    <col min="4356" max="4356" width="11.28515625" style="743" customWidth="1"/>
    <col min="4357" max="4357" width="16.28515625" style="743" customWidth="1"/>
    <col min="4358" max="4608" width="9.140625" style="743"/>
    <col min="4609" max="4609" width="5.7109375" style="743" customWidth="1"/>
    <col min="4610" max="4610" width="46.28515625" style="743" customWidth="1"/>
    <col min="4611" max="4611" width="19.7109375" style="743" customWidth="1"/>
    <col min="4612" max="4612" width="11.28515625" style="743" customWidth="1"/>
    <col min="4613" max="4613" width="16.28515625" style="743" customWidth="1"/>
    <col min="4614" max="4864" width="9.140625" style="743"/>
    <col min="4865" max="4865" width="5.7109375" style="743" customWidth="1"/>
    <col min="4866" max="4866" width="46.28515625" style="743" customWidth="1"/>
    <col min="4867" max="4867" width="19.7109375" style="743" customWidth="1"/>
    <col min="4868" max="4868" width="11.28515625" style="743" customWidth="1"/>
    <col min="4869" max="4869" width="16.28515625" style="743" customWidth="1"/>
    <col min="4870" max="5120" width="9.140625" style="743"/>
    <col min="5121" max="5121" width="5.7109375" style="743" customWidth="1"/>
    <col min="5122" max="5122" width="46.28515625" style="743" customWidth="1"/>
    <col min="5123" max="5123" width="19.7109375" style="743" customWidth="1"/>
    <col min="5124" max="5124" width="11.28515625" style="743" customWidth="1"/>
    <col min="5125" max="5125" width="16.28515625" style="743" customWidth="1"/>
    <col min="5126" max="5376" width="9.140625" style="743"/>
    <col min="5377" max="5377" width="5.7109375" style="743" customWidth="1"/>
    <col min="5378" max="5378" width="46.28515625" style="743" customWidth="1"/>
    <col min="5379" max="5379" width="19.7109375" style="743" customWidth="1"/>
    <col min="5380" max="5380" width="11.28515625" style="743" customWidth="1"/>
    <col min="5381" max="5381" width="16.28515625" style="743" customWidth="1"/>
    <col min="5382" max="5632" width="9.140625" style="743"/>
    <col min="5633" max="5633" width="5.7109375" style="743" customWidth="1"/>
    <col min="5634" max="5634" width="46.28515625" style="743" customWidth="1"/>
    <col min="5635" max="5635" width="19.7109375" style="743" customWidth="1"/>
    <col min="5636" max="5636" width="11.28515625" style="743" customWidth="1"/>
    <col min="5637" max="5637" width="16.28515625" style="743" customWidth="1"/>
    <col min="5638" max="5888" width="9.140625" style="743"/>
    <col min="5889" max="5889" width="5.7109375" style="743" customWidth="1"/>
    <col min="5890" max="5890" width="46.28515625" style="743" customWidth="1"/>
    <col min="5891" max="5891" width="19.7109375" style="743" customWidth="1"/>
    <col min="5892" max="5892" width="11.28515625" style="743" customWidth="1"/>
    <col min="5893" max="5893" width="16.28515625" style="743" customWidth="1"/>
    <col min="5894" max="6144" width="9.140625" style="743"/>
    <col min="6145" max="6145" width="5.7109375" style="743" customWidth="1"/>
    <col min="6146" max="6146" width="46.28515625" style="743" customWidth="1"/>
    <col min="6147" max="6147" width="19.7109375" style="743" customWidth="1"/>
    <col min="6148" max="6148" width="11.28515625" style="743" customWidth="1"/>
    <col min="6149" max="6149" width="16.28515625" style="743" customWidth="1"/>
    <col min="6150" max="6400" width="9.140625" style="743"/>
    <col min="6401" max="6401" width="5.7109375" style="743" customWidth="1"/>
    <col min="6402" max="6402" width="46.28515625" style="743" customWidth="1"/>
    <col min="6403" max="6403" width="19.7109375" style="743" customWidth="1"/>
    <col min="6404" max="6404" width="11.28515625" style="743" customWidth="1"/>
    <col min="6405" max="6405" width="16.28515625" style="743" customWidth="1"/>
    <col min="6406" max="6656" width="9.140625" style="743"/>
    <col min="6657" max="6657" width="5.7109375" style="743" customWidth="1"/>
    <col min="6658" max="6658" width="46.28515625" style="743" customWidth="1"/>
    <col min="6659" max="6659" width="19.7109375" style="743" customWidth="1"/>
    <col min="6660" max="6660" width="11.28515625" style="743" customWidth="1"/>
    <col min="6661" max="6661" width="16.28515625" style="743" customWidth="1"/>
    <col min="6662" max="6912" width="9.140625" style="743"/>
    <col min="6913" max="6913" width="5.7109375" style="743" customWidth="1"/>
    <col min="6914" max="6914" width="46.28515625" style="743" customWidth="1"/>
    <col min="6915" max="6915" width="19.7109375" style="743" customWidth="1"/>
    <col min="6916" max="6916" width="11.28515625" style="743" customWidth="1"/>
    <col min="6917" max="6917" width="16.28515625" style="743" customWidth="1"/>
    <col min="6918" max="7168" width="9.140625" style="743"/>
    <col min="7169" max="7169" width="5.7109375" style="743" customWidth="1"/>
    <col min="7170" max="7170" width="46.28515625" style="743" customWidth="1"/>
    <col min="7171" max="7171" width="19.7109375" style="743" customWidth="1"/>
    <col min="7172" max="7172" width="11.28515625" style="743" customWidth="1"/>
    <col min="7173" max="7173" width="16.28515625" style="743" customWidth="1"/>
    <col min="7174" max="7424" width="9.140625" style="743"/>
    <col min="7425" max="7425" width="5.7109375" style="743" customWidth="1"/>
    <col min="7426" max="7426" width="46.28515625" style="743" customWidth="1"/>
    <col min="7427" max="7427" width="19.7109375" style="743" customWidth="1"/>
    <col min="7428" max="7428" width="11.28515625" style="743" customWidth="1"/>
    <col min="7429" max="7429" width="16.28515625" style="743" customWidth="1"/>
    <col min="7430" max="7680" width="9.140625" style="743"/>
    <col min="7681" max="7681" width="5.7109375" style="743" customWidth="1"/>
    <col min="7682" max="7682" width="46.28515625" style="743" customWidth="1"/>
    <col min="7683" max="7683" width="19.7109375" style="743" customWidth="1"/>
    <col min="7684" max="7684" width="11.28515625" style="743" customWidth="1"/>
    <col min="7685" max="7685" width="16.28515625" style="743" customWidth="1"/>
    <col min="7686" max="7936" width="9.140625" style="743"/>
    <col min="7937" max="7937" width="5.7109375" style="743" customWidth="1"/>
    <col min="7938" max="7938" width="46.28515625" style="743" customWidth="1"/>
    <col min="7939" max="7939" width="19.7109375" style="743" customWidth="1"/>
    <col min="7940" max="7940" width="11.28515625" style="743" customWidth="1"/>
    <col min="7941" max="7941" width="16.28515625" style="743" customWidth="1"/>
    <col min="7942" max="8192" width="9.140625" style="743"/>
    <col min="8193" max="8193" width="5.7109375" style="743" customWidth="1"/>
    <col min="8194" max="8194" width="46.28515625" style="743" customWidth="1"/>
    <col min="8195" max="8195" width="19.7109375" style="743" customWidth="1"/>
    <col min="8196" max="8196" width="11.28515625" style="743" customWidth="1"/>
    <col min="8197" max="8197" width="16.28515625" style="743" customWidth="1"/>
    <col min="8198" max="8448" width="9.140625" style="743"/>
    <col min="8449" max="8449" width="5.7109375" style="743" customWidth="1"/>
    <col min="8450" max="8450" width="46.28515625" style="743" customWidth="1"/>
    <col min="8451" max="8451" width="19.7109375" style="743" customWidth="1"/>
    <col min="8452" max="8452" width="11.28515625" style="743" customWidth="1"/>
    <col min="8453" max="8453" width="16.28515625" style="743" customWidth="1"/>
    <col min="8454" max="8704" width="9.140625" style="743"/>
    <col min="8705" max="8705" width="5.7109375" style="743" customWidth="1"/>
    <col min="8706" max="8706" width="46.28515625" style="743" customWidth="1"/>
    <col min="8707" max="8707" width="19.7109375" style="743" customWidth="1"/>
    <col min="8708" max="8708" width="11.28515625" style="743" customWidth="1"/>
    <col min="8709" max="8709" width="16.28515625" style="743" customWidth="1"/>
    <col min="8710" max="8960" width="9.140625" style="743"/>
    <col min="8961" max="8961" width="5.7109375" style="743" customWidth="1"/>
    <col min="8962" max="8962" width="46.28515625" style="743" customWidth="1"/>
    <col min="8963" max="8963" width="19.7109375" style="743" customWidth="1"/>
    <col min="8964" max="8964" width="11.28515625" style="743" customWidth="1"/>
    <col min="8965" max="8965" width="16.28515625" style="743" customWidth="1"/>
    <col min="8966" max="9216" width="9.140625" style="743"/>
    <col min="9217" max="9217" width="5.7109375" style="743" customWidth="1"/>
    <col min="9218" max="9218" width="46.28515625" style="743" customWidth="1"/>
    <col min="9219" max="9219" width="19.7109375" style="743" customWidth="1"/>
    <col min="9220" max="9220" width="11.28515625" style="743" customWidth="1"/>
    <col min="9221" max="9221" width="16.28515625" style="743" customWidth="1"/>
    <col min="9222" max="9472" width="9.140625" style="743"/>
    <col min="9473" max="9473" width="5.7109375" style="743" customWidth="1"/>
    <col min="9474" max="9474" width="46.28515625" style="743" customWidth="1"/>
    <col min="9475" max="9475" width="19.7109375" style="743" customWidth="1"/>
    <col min="9476" max="9476" width="11.28515625" style="743" customWidth="1"/>
    <col min="9477" max="9477" width="16.28515625" style="743" customWidth="1"/>
    <col min="9478" max="9728" width="9.140625" style="743"/>
    <col min="9729" max="9729" width="5.7109375" style="743" customWidth="1"/>
    <col min="9730" max="9730" width="46.28515625" style="743" customWidth="1"/>
    <col min="9731" max="9731" width="19.7109375" style="743" customWidth="1"/>
    <col min="9732" max="9732" width="11.28515625" style="743" customWidth="1"/>
    <col min="9733" max="9733" width="16.28515625" style="743" customWidth="1"/>
    <col min="9734" max="9984" width="9.140625" style="743"/>
    <col min="9985" max="9985" width="5.7109375" style="743" customWidth="1"/>
    <col min="9986" max="9986" width="46.28515625" style="743" customWidth="1"/>
    <col min="9987" max="9987" width="19.7109375" style="743" customWidth="1"/>
    <col min="9988" max="9988" width="11.28515625" style="743" customWidth="1"/>
    <col min="9989" max="9989" width="16.28515625" style="743" customWidth="1"/>
    <col min="9990" max="10240" width="9.140625" style="743"/>
    <col min="10241" max="10241" width="5.7109375" style="743" customWidth="1"/>
    <col min="10242" max="10242" width="46.28515625" style="743" customWidth="1"/>
    <col min="10243" max="10243" width="19.7109375" style="743" customWidth="1"/>
    <col min="10244" max="10244" width="11.28515625" style="743" customWidth="1"/>
    <col min="10245" max="10245" width="16.28515625" style="743" customWidth="1"/>
    <col min="10246" max="10496" width="9.140625" style="743"/>
    <col min="10497" max="10497" width="5.7109375" style="743" customWidth="1"/>
    <col min="10498" max="10498" width="46.28515625" style="743" customWidth="1"/>
    <col min="10499" max="10499" width="19.7109375" style="743" customWidth="1"/>
    <col min="10500" max="10500" width="11.28515625" style="743" customWidth="1"/>
    <col min="10501" max="10501" width="16.28515625" style="743" customWidth="1"/>
    <col min="10502" max="10752" width="9.140625" style="743"/>
    <col min="10753" max="10753" width="5.7109375" style="743" customWidth="1"/>
    <col min="10754" max="10754" width="46.28515625" style="743" customWidth="1"/>
    <col min="10755" max="10755" width="19.7109375" style="743" customWidth="1"/>
    <col min="10756" max="10756" width="11.28515625" style="743" customWidth="1"/>
    <col min="10757" max="10757" width="16.28515625" style="743" customWidth="1"/>
    <col min="10758" max="11008" width="9.140625" style="743"/>
    <col min="11009" max="11009" width="5.7109375" style="743" customWidth="1"/>
    <col min="11010" max="11010" width="46.28515625" style="743" customWidth="1"/>
    <col min="11011" max="11011" width="19.7109375" style="743" customWidth="1"/>
    <col min="11012" max="11012" width="11.28515625" style="743" customWidth="1"/>
    <col min="11013" max="11013" width="16.28515625" style="743" customWidth="1"/>
    <col min="11014" max="11264" width="9.140625" style="743"/>
    <col min="11265" max="11265" width="5.7109375" style="743" customWidth="1"/>
    <col min="11266" max="11266" width="46.28515625" style="743" customWidth="1"/>
    <col min="11267" max="11267" width="19.7109375" style="743" customWidth="1"/>
    <col min="11268" max="11268" width="11.28515625" style="743" customWidth="1"/>
    <col min="11269" max="11269" width="16.28515625" style="743" customWidth="1"/>
    <col min="11270" max="11520" width="9.140625" style="743"/>
    <col min="11521" max="11521" width="5.7109375" style="743" customWidth="1"/>
    <col min="11522" max="11522" width="46.28515625" style="743" customWidth="1"/>
    <col min="11523" max="11523" width="19.7109375" style="743" customWidth="1"/>
    <col min="11524" max="11524" width="11.28515625" style="743" customWidth="1"/>
    <col min="11525" max="11525" width="16.28515625" style="743" customWidth="1"/>
    <col min="11526" max="11776" width="9.140625" style="743"/>
    <col min="11777" max="11777" width="5.7109375" style="743" customWidth="1"/>
    <col min="11778" max="11778" width="46.28515625" style="743" customWidth="1"/>
    <col min="11779" max="11779" width="19.7109375" style="743" customWidth="1"/>
    <col min="11780" max="11780" width="11.28515625" style="743" customWidth="1"/>
    <col min="11781" max="11781" width="16.28515625" style="743" customWidth="1"/>
    <col min="11782" max="12032" width="9.140625" style="743"/>
    <col min="12033" max="12033" width="5.7109375" style="743" customWidth="1"/>
    <col min="12034" max="12034" width="46.28515625" style="743" customWidth="1"/>
    <col min="12035" max="12035" width="19.7109375" style="743" customWidth="1"/>
    <col min="12036" max="12036" width="11.28515625" style="743" customWidth="1"/>
    <col min="12037" max="12037" width="16.28515625" style="743" customWidth="1"/>
    <col min="12038" max="12288" width="9.140625" style="743"/>
    <col min="12289" max="12289" width="5.7109375" style="743" customWidth="1"/>
    <col min="12290" max="12290" width="46.28515625" style="743" customWidth="1"/>
    <col min="12291" max="12291" width="19.7109375" style="743" customWidth="1"/>
    <col min="12292" max="12292" width="11.28515625" style="743" customWidth="1"/>
    <col min="12293" max="12293" width="16.28515625" style="743" customWidth="1"/>
    <col min="12294" max="12544" width="9.140625" style="743"/>
    <col min="12545" max="12545" width="5.7109375" style="743" customWidth="1"/>
    <col min="12546" max="12546" width="46.28515625" style="743" customWidth="1"/>
    <col min="12547" max="12547" width="19.7109375" style="743" customWidth="1"/>
    <col min="12548" max="12548" width="11.28515625" style="743" customWidth="1"/>
    <col min="12549" max="12549" width="16.28515625" style="743" customWidth="1"/>
    <col min="12550" max="12800" width="9.140625" style="743"/>
    <col min="12801" max="12801" width="5.7109375" style="743" customWidth="1"/>
    <col min="12802" max="12802" width="46.28515625" style="743" customWidth="1"/>
    <col min="12803" max="12803" width="19.7109375" style="743" customWidth="1"/>
    <col min="12804" max="12804" width="11.28515625" style="743" customWidth="1"/>
    <col min="12805" max="12805" width="16.28515625" style="743" customWidth="1"/>
    <col min="12806" max="13056" width="9.140625" style="743"/>
    <col min="13057" max="13057" width="5.7109375" style="743" customWidth="1"/>
    <col min="13058" max="13058" width="46.28515625" style="743" customWidth="1"/>
    <col min="13059" max="13059" width="19.7109375" style="743" customWidth="1"/>
    <col min="13060" max="13060" width="11.28515625" style="743" customWidth="1"/>
    <col min="13061" max="13061" width="16.28515625" style="743" customWidth="1"/>
    <col min="13062" max="13312" width="9.140625" style="743"/>
    <col min="13313" max="13313" width="5.7109375" style="743" customWidth="1"/>
    <col min="13314" max="13314" width="46.28515625" style="743" customWidth="1"/>
    <col min="13315" max="13315" width="19.7109375" style="743" customWidth="1"/>
    <col min="13316" max="13316" width="11.28515625" style="743" customWidth="1"/>
    <col min="13317" max="13317" width="16.28515625" style="743" customWidth="1"/>
    <col min="13318" max="13568" width="9.140625" style="743"/>
    <col min="13569" max="13569" width="5.7109375" style="743" customWidth="1"/>
    <col min="13570" max="13570" width="46.28515625" style="743" customWidth="1"/>
    <col min="13571" max="13571" width="19.7109375" style="743" customWidth="1"/>
    <col min="13572" max="13572" width="11.28515625" style="743" customWidth="1"/>
    <col min="13573" max="13573" width="16.28515625" style="743" customWidth="1"/>
    <col min="13574" max="13824" width="9.140625" style="743"/>
    <col min="13825" max="13825" width="5.7109375" style="743" customWidth="1"/>
    <col min="13826" max="13826" width="46.28515625" style="743" customWidth="1"/>
    <col min="13827" max="13827" width="19.7109375" style="743" customWidth="1"/>
    <col min="13828" max="13828" width="11.28515625" style="743" customWidth="1"/>
    <col min="13829" max="13829" width="16.28515625" style="743" customWidth="1"/>
    <col min="13830" max="14080" width="9.140625" style="743"/>
    <col min="14081" max="14081" width="5.7109375" style="743" customWidth="1"/>
    <col min="14082" max="14082" width="46.28515625" style="743" customWidth="1"/>
    <col min="14083" max="14083" width="19.7109375" style="743" customWidth="1"/>
    <col min="14084" max="14084" width="11.28515625" style="743" customWidth="1"/>
    <col min="14085" max="14085" width="16.28515625" style="743" customWidth="1"/>
    <col min="14086" max="14336" width="9.140625" style="743"/>
    <col min="14337" max="14337" width="5.7109375" style="743" customWidth="1"/>
    <col min="14338" max="14338" width="46.28515625" style="743" customWidth="1"/>
    <col min="14339" max="14339" width="19.7109375" style="743" customWidth="1"/>
    <col min="14340" max="14340" width="11.28515625" style="743" customWidth="1"/>
    <col min="14341" max="14341" width="16.28515625" style="743" customWidth="1"/>
    <col min="14342" max="14592" width="9.140625" style="743"/>
    <col min="14593" max="14593" width="5.7109375" style="743" customWidth="1"/>
    <col min="14594" max="14594" width="46.28515625" style="743" customWidth="1"/>
    <col min="14595" max="14595" width="19.7109375" style="743" customWidth="1"/>
    <col min="14596" max="14596" width="11.28515625" style="743" customWidth="1"/>
    <col min="14597" max="14597" width="16.28515625" style="743" customWidth="1"/>
    <col min="14598" max="14848" width="9.140625" style="743"/>
    <col min="14849" max="14849" width="5.7109375" style="743" customWidth="1"/>
    <col min="14850" max="14850" width="46.28515625" style="743" customWidth="1"/>
    <col min="14851" max="14851" width="19.7109375" style="743" customWidth="1"/>
    <col min="14852" max="14852" width="11.28515625" style="743" customWidth="1"/>
    <col min="14853" max="14853" width="16.28515625" style="743" customWidth="1"/>
    <col min="14854" max="15104" width="9.140625" style="743"/>
    <col min="15105" max="15105" width="5.7109375" style="743" customWidth="1"/>
    <col min="15106" max="15106" width="46.28515625" style="743" customWidth="1"/>
    <col min="15107" max="15107" width="19.7109375" style="743" customWidth="1"/>
    <col min="15108" max="15108" width="11.28515625" style="743" customWidth="1"/>
    <col min="15109" max="15109" width="16.28515625" style="743" customWidth="1"/>
    <col min="15110" max="15360" width="9.140625" style="743"/>
    <col min="15361" max="15361" width="5.7109375" style="743" customWidth="1"/>
    <col min="15362" max="15362" width="46.28515625" style="743" customWidth="1"/>
    <col min="15363" max="15363" width="19.7109375" style="743" customWidth="1"/>
    <col min="15364" max="15364" width="11.28515625" style="743" customWidth="1"/>
    <col min="15365" max="15365" width="16.28515625" style="743" customWidth="1"/>
    <col min="15366" max="15616" width="9.140625" style="743"/>
    <col min="15617" max="15617" width="5.7109375" style="743" customWidth="1"/>
    <col min="15618" max="15618" width="46.28515625" style="743" customWidth="1"/>
    <col min="15619" max="15619" width="19.7109375" style="743" customWidth="1"/>
    <col min="15620" max="15620" width="11.28515625" style="743" customWidth="1"/>
    <col min="15621" max="15621" width="16.28515625" style="743" customWidth="1"/>
    <col min="15622" max="15872" width="9.140625" style="743"/>
    <col min="15873" max="15873" width="5.7109375" style="743" customWidth="1"/>
    <col min="15874" max="15874" width="46.28515625" style="743" customWidth="1"/>
    <col min="15875" max="15875" width="19.7109375" style="743" customWidth="1"/>
    <col min="15876" max="15876" width="11.28515625" style="743" customWidth="1"/>
    <col min="15877" max="15877" width="16.28515625" style="743" customWidth="1"/>
    <col min="15878" max="16128" width="9.140625" style="743"/>
    <col min="16129" max="16129" width="5.7109375" style="743" customWidth="1"/>
    <col min="16130" max="16130" width="46.28515625" style="743" customWidth="1"/>
    <col min="16131" max="16131" width="19.7109375" style="743" customWidth="1"/>
    <col min="16132" max="16132" width="11.28515625" style="743" customWidth="1"/>
    <col min="16133" max="16133" width="16.28515625" style="743" customWidth="1"/>
    <col min="16134" max="16384" width="9.140625" style="743"/>
  </cols>
  <sheetData>
    <row r="2" spans="1:12" ht="28.5" customHeight="1" x14ac:dyDescent="0.25">
      <c r="A2" s="1974" t="s">
        <v>20</v>
      </c>
      <c r="B2" s="1975"/>
      <c r="C2" s="1975"/>
      <c r="D2" s="1975"/>
      <c r="E2" s="1975"/>
      <c r="F2" s="1975"/>
    </row>
    <row r="4" spans="1:12" x14ac:dyDescent="0.25">
      <c r="A4" s="1976" t="s">
        <v>5652</v>
      </c>
      <c r="B4" s="1976"/>
      <c r="C4" s="1976"/>
      <c r="D4" s="1976"/>
      <c r="E4" s="1976"/>
      <c r="F4" s="744"/>
      <c r="G4" s="744"/>
      <c r="H4" s="744"/>
      <c r="I4" s="744"/>
      <c r="J4" s="744"/>
      <c r="K4" s="744"/>
      <c r="L4" s="744"/>
    </row>
    <row r="5" spans="1:12" ht="33" customHeight="1" x14ac:dyDescent="0.25">
      <c r="A5" s="1977" t="s">
        <v>5653</v>
      </c>
      <c r="B5" s="1977"/>
      <c r="C5" s="1977"/>
      <c r="D5" s="1977"/>
      <c r="E5" s="1977"/>
      <c r="F5" s="745"/>
      <c r="G5" s="745"/>
      <c r="H5" s="745"/>
      <c r="I5" s="745"/>
      <c r="J5" s="745"/>
      <c r="K5" s="745"/>
      <c r="L5" s="745"/>
    </row>
    <row r="6" spans="1:12" ht="33" customHeight="1" x14ac:dyDescent="0.25">
      <c r="A6" s="1978" t="s">
        <v>562</v>
      </c>
      <c r="B6" s="1978"/>
      <c r="C6" s="746" t="s">
        <v>5654</v>
      </c>
      <c r="D6" s="746"/>
      <c r="E6" s="746"/>
      <c r="F6" s="746"/>
      <c r="G6" s="746"/>
      <c r="H6" s="745"/>
      <c r="I6" s="745"/>
      <c r="J6" s="745"/>
      <c r="K6" s="745"/>
      <c r="L6" s="745"/>
    </row>
    <row r="7" spans="1:12" ht="33" customHeight="1" x14ac:dyDescent="0.3">
      <c r="A7" s="1978" t="s">
        <v>5655</v>
      </c>
      <c r="B7" s="1978"/>
      <c r="C7" s="747" t="s">
        <v>5656</v>
      </c>
      <c r="D7" s="746"/>
      <c r="E7" s="746"/>
      <c r="F7" s="746"/>
      <c r="G7" s="746"/>
      <c r="H7" s="745"/>
      <c r="I7" s="745"/>
      <c r="J7" s="745"/>
      <c r="K7" s="745"/>
      <c r="L7" s="745"/>
    </row>
    <row r="8" spans="1:12" ht="33" customHeight="1" x14ac:dyDescent="0.25">
      <c r="A8" s="748" t="s">
        <v>5657</v>
      </c>
      <c r="B8" s="746"/>
      <c r="C8" s="749" t="s">
        <v>9173</v>
      </c>
      <c r="D8" s="749"/>
      <c r="E8" s="749"/>
      <c r="F8" s="746"/>
      <c r="G8" s="746"/>
      <c r="H8" s="745"/>
      <c r="I8" s="745"/>
      <c r="J8" s="745"/>
      <c r="K8" s="745"/>
      <c r="L8" s="745"/>
    </row>
    <row r="9" spans="1:12" ht="45" customHeight="1" x14ac:dyDescent="0.25">
      <c r="A9" s="748" t="s">
        <v>5658</v>
      </c>
      <c r="B9" s="746"/>
      <c r="C9" s="1979" t="s">
        <v>9174</v>
      </c>
      <c r="D9" s="1980"/>
      <c r="E9" s="1980"/>
      <c r="F9" s="746"/>
      <c r="G9" s="746"/>
      <c r="H9" s="745"/>
      <c r="I9" s="745"/>
      <c r="J9" s="745"/>
      <c r="K9" s="745"/>
      <c r="L9" s="745"/>
    </row>
    <row r="10" spans="1:12" ht="24" customHeight="1" x14ac:dyDescent="0.25">
      <c r="A10" s="748"/>
      <c r="B10" s="746"/>
      <c r="C10" s="1980"/>
      <c r="D10" s="1980"/>
      <c r="E10" s="1980"/>
      <c r="F10" s="746"/>
      <c r="G10" s="746"/>
      <c r="H10" s="745"/>
      <c r="I10" s="745"/>
      <c r="J10" s="745"/>
      <c r="K10" s="745"/>
      <c r="L10" s="745"/>
    </row>
    <row r="11" spans="1:12" ht="33" customHeight="1" x14ac:dyDescent="0.25">
      <c r="A11" s="1981" t="s">
        <v>5659</v>
      </c>
      <c r="B11" s="1982"/>
      <c r="C11" s="1982"/>
      <c r="D11" s="1982"/>
      <c r="E11" s="1982"/>
      <c r="F11" s="1982"/>
      <c r="G11" s="1982"/>
      <c r="H11" s="745"/>
      <c r="I11" s="745"/>
      <c r="J11" s="745"/>
      <c r="K11" s="745"/>
      <c r="L11" s="745"/>
    </row>
    <row r="12" spans="1:12" ht="33" customHeight="1" x14ac:dyDescent="0.25">
      <c r="A12" s="750" t="s">
        <v>5660</v>
      </c>
      <c r="B12" s="750" t="s">
        <v>5661</v>
      </c>
      <c r="C12" s="750" t="s">
        <v>145</v>
      </c>
      <c r="D12" s="750" t="s">
        <v>568</v>
      </c>
      <c r="E12" s="750" t="s">
        <v>5662</v>
      </c>
      <c r="F12" s="745"/>
      <c r="G12" s="745"/>
      <c r="H12" s="745"/>
      <c r="I12" s="745"/>
      <c r="J12" s="745"/>
      <c r="K12" s="745"/>
      <c r="L12" s="745"/>
    </row>
    <row r="13" spans="1:12" ht="46.5" customHeight="1" x14ac:dyDescent="0.25">
      <c r="A13" s="751">
        <v>1</v>
      </c>
      <c r="B13" s="752" t="s">
        <v>101</v>
      </c>
      <c r="C13" s="753" t="s">
        <v>9175</v>
      </c>
      <c r="D13" s="754">
        <f>1070060.28/12.14</f>
        <v>88143.35</v>
      </c>
      <c r="E13" s="755" t="s">
        <v>7082</v>
      </c>
      <c r="F13" s="745"/>
      <c r="G13" s="745"/>
      <c r="H13" s="745"/>
      <c r="I13" s="745"/>
      <c r="J13" s="745"/>
      <c r="K13" s="745"/>
      <c r="L13" s="745"/>
    </row>
    <row r="14" spans="1:12" ht="33" customHeight="1" x14ac:dyDescent="0.25">
      <c r="A14" s="756">
        <v>25</v>
      </c>
      <c r="B14" s="757" t="s">
        <v>5663</v>
      </c>
      <c r="C14" s="758"/>
      <c r="D14" s="759">
        <f>D13</f>
        <v>88143.35</v>
      </c>
      <c r="E14" s="760"/>
      <c r="F14" s="745"/>
      <c r="G14" s="745"/>
      <c r="H14" s="745"/>
      <c r="I14" s="745"/>
      <c r="J14" s="745"/>
      <c r="K14" s="745"/>
      <c r="L14" s="745"/>
    </row>
    <row r="15" spans="1:12" ht="75.75" customHeight="1" x14ac:dyDescent="0.25">
      <c r="A15" s="761">
        <v>26</v>
      </c>
      <c r="B15" s="762" t="s">
        <v>5664</v>
      </c>
      <c r="C15" s="763" t="s">
        <v>5665</v>
      </c>
      <c r="D15" s="764">
        <f>D14*12.14</f>
        <v>1070060.27</v>
      </c>
      <c r="E15" s="765"/>
      <c r="F15" s="745"/>
      <c r="G15" s="745"/>
      <c r="H15" s="745"/>
      <c r="I15" s="745"/>
      <c r="J15" s="745"/>
      <c r="K15" s="745"/>
      <c r="L15" s="745"/>
    </row>
    <row r="16" spans="1:12" x14ac:dyDescent="0.25">
      <c r="A16" s="1977"/>
      <c r="B16" s="1977"/>
      <c r="C16" s="1977"/>
      <c r="D16" s="1977"/>
      <c r="E16" s="1977"/>
    </row>
    <row r="17" spans="1:5" x14ac:dyDescent="0.25">
      <c r="A17" s="766"/>
    </row>
    <row r="18" spans="1:5" x14ac:dyDescent="0.25">
      <c r="A18" s="1983" t="s">
        <v>5666</v>
      </c>
      <c r="B18" s="1983"/>
      <c r="C18" s="1983"/>
      <c r="D18" s="1983"/>
      <c r="E18" s="1983"/>
    </row>
    <row r="19" spans="1:5" x14ac:dyDescent="0.25">
      <c r="A19" s="1984" t="s">
        <v>5667</v>
      </c>
      <c r="B19" s="1984"/>
      <c r="C19" s="1984"/>
      <c r="D19" s="1984"/>
      <c r="E19" s="1984"/>
    </row>
    <row r="20" spans="1:5" x14ac:dyDescent="0.25">
      <c r="A20" s="1983" t="s">
        <v>5668</v>
      </c>
      <c r="B20" s="1983"/>
      <c r="C20" s="1983"/>
      <c r="D20" s="1983"/>
      <c r="E20" s="1983"/>
    </row>
    <row r="21" spans="1:5" x14ac:dyDescent="0.25">
      <c r="A21" s="1973" t="s">
        <v>5667</v>
      </c>
      <c r="B21" s="1973"/>
      <c r="C21" s="1973"/>
      <c r="D21" s="1973"/>
      <c r="E21" s="1973"/>
    </row>
    <row r="22" spans="1:5" x14ac:dyDescent="0.25">
      <c r="A22" s="767"/>
      <c r="B22" s="767"/>
      <c r="C22" s="767"/>
      <c r="D22" s="767"/>
      <c r="E22" s="767"/>
    </row>
  </sheetData>
  <mergeCells count="12">
    <mergeCell ref="A21:E21"/>
    <mergeCell ref="A2:F2"/>
    <mergeCell ref="A4:E4"/>
    <mergeCell ref="A5:E5"/>
    <mergeCell ref="A6:B6"/>
    <mergeCell ref="A7:B7"/>
    <mergeCell ref="C9:E10"/>
    <mergeCell ref="A11:G11"/>
    <mergeCell ref="A16:E16"/>
    <mergeCell ref="A18:E18"/>
    <mergeCell ref="A19:E19"/>
    <mergeCell ref="A20:E20"/>
  </mergeCells>
  <pageMargins left="0.35" right="0.24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/>
  <dimension ref="A2:L20"/>
  <sheetViews>
    <sheetView zoomScale="95" zoomScaleNormal="95" zoomScaleSheetLayoutView="95" workbookViewId="0"/>
  </sheetViews>
  <sheetFormatPr defaultRowHeight="15" x14ac:dyDescent="0.25"/>
  <cols>
    <col min="1" max="1" width="5.7109375" style="743" customWidth="1"/>
    <col min="2" max="2" width="46.28515625" style="743" customWidth="1"/>
    <col min="3" max="3" width="28.140625" style="743" customWidth="1"/>
    <col min="4" max="4" width="15.28515625" style="743" customWidth="1"/>
    <col min="5" max="5" width="31.85546875" style="743" customWidth="1"/>
    <col min="6" max="6" width="11.7109375" style="743" bestFit="1" customWidth="1"/>
    <col min="7" max="256" width="9.140625" style="743"/>
    <col min="257" max="257" width="5.7109375" style="743" customWidth="1"/>
    <col min="258" max="258" width="46.28515625" style="743" customWidth="1"/>
    <col min="259" max="259" width="19.7109375" style="743" customWidth="1"/>
    <col min="260" max="260" width="11.28515625" style="743" customWidth="1"/>
    <col min="261" max="261" width="16.28515625" style="743" customWidth="1"/>
    <col min="262" max="512" width="9.140625" style="743"/>
    <col min="513" max="513" width="5.7109375" style="743" customWidth="1"/>
    <col min="514" max="514" width="46.28515625" style="743" customWidth="1"/>
    <col min="515" max="515" width="19.7109375" style="743" customWidth="1"/>
    <col min="516" max="516" width="11.28515625" style="743" customWidth="1"/>
    <col min="517" max="517" width="16.28515625" style="743" customWidth="1"/>
    <col min="518" max="768" width="9.140625" style="743"/>
    <col min="769" max="769" width="5.7109375" style="743" customWidth="1"/>
    <col min="770" max="770" width="46.28515625" style="743" customWidth="1"/>
    <col min="771" max="771" width="19.7109375" style="743" customWidth="1"/>
    <col min="772" max="772" width="11.28515625" style="743" customWidth="1"/>
    <col min="773" max="773" width="16.28515625" style="743" customWidth="1"/>
    <col min="774" max="1024" width="9.140625" style="743"/>
    <col min="1025" max="1025" width="5.7109375" style="743" customWidth="1"/>
    <col min="1026" max="1026" width="46.28515625" style="743" customWidth="1"/>
    <col min="1027" max="1027" width="19.7109375" style="743" customWidth="1"/>
    <col min="1028" max="1028" width="11.28515625" style="743" customWidth="1"/>
    <col min="1029" max="1029" width="16.28515625" style="743" customWidth="1"/>
    <col min="1030" max="1280" width="9.140625" style="743"/>
    <col min="1281" max="1281" width="5.7109375" style="743" customWidth="1"/>
    <col min="1282" max="1282" width="46.28515625" style="743" customWidth="1"/>
    <col min="1283" max="1283" width="19.7109375" style="743" customWidth="1"/>
    <col min="1284" max="1284" width="11.28515625" style="743" customWidth="1"/>
    <col min="1285" max="1285" width="16.28515625" style="743" customWidth="1"/>
    <col min="1286" max="1536" width="9.140625" style="743"/>
    <col min="1537" max="1537" width="5.7109375" style="743" customWidth="1"/>
    <col min="1538" max="1538" width="46.28515625" style="743" customWidth="1"/>
    <col min="1539" max="1539" width="19.7109375" style="743" customWidth="1"/>
    <col min="1540" max="1540" width="11.28515625" style="743" customWidth="1"/>
    <col min="1541" max="1541" width="16.28515625" style="743" customWidth="1"/>
    <col min="1542" max="1792" width="9.140625" style="743"/>
    <col min="1793" max="1793" width="5.7109375" style="743" customWidth="1"/>
    <col min="1794" max="1794" width="46.28515625" style="743" customWidth="1"/>
    <col min="1795" max="1795" width="19.7109375" style="743" customWidth="1"/>
    <col min="1796" max="1796" width="11.28515625" style="743" customWidth="1"/>
    <col min="1797" max="1797" width="16.28515625" style="743" customWidth="1"/>
    <col min="1798" max="2048" width="9.140625" style="743"/>
    <col min="2049" max="2049" width="5.7109375" style="743" customWidth="1"/>
    <col min="2050" max="2050" width="46.28515625" style="743" customWidth="1"/>
    <col min="2051" max="2051" width="19.7109375" style="743" customWidth="1"/>
    <col min="2052" max="2052" width="11.28515625" style="743" customWidth="1"/>
    <col min="2053" max="2053" width="16.28515625" style="743" customWidth="1"/>
    <col min="2054" max="2304" width="9.140625" style="743"/>
    <col min="2305" max="2305" width="5.7109375" style="743" customWidth="1"/>
    <col min="2306" max="2306" width="46.28515625" style="743" customWidth="1"/>
    <col min="2307" max="2307" width="19.7109375" style="743" customWidth="1"/>
    <col min="2308" max="2308" width="11.28515625" style="743" customWidth="1"/>
    <col min="2309" max="2309" width="16.28515625" style="743" customWidth="1"/>
    <col min="2310" max="2560" width="9.140625" style="743"/>
    <col min="2561" max="2561" width="5.7109375" style="743" customWidth="1"/>
    <col min="2562" max="2562" width="46.28515625" style="743" customWidth="1"/>
    <col min="2563" max="2563" width="19.7109375" style="743" customWidth="1"/>
    <col min="2564" max="2564" width="11.28515625" style="743" customWidth="1"/>
    <col min="2565" max="2565" width="16.28515625" style="743" customWidth="1"/>
    <col min="2566" max="2816" width="9.140625" style="743"/>
    <col min="2817" max="2817" width="5.7109375" style="743" customWidth="1"/>
    <col min="2818" max="2818" width="46.28515625" style="743" customWidth="1"/>
    <col min="2819" max="2819" width="19.7109375" style="743" customWidth="1"/>
    <col min="2820" max="2820" width="11.28515625" style="743" customWidth="1"/>
    <col min="2821" max="2821" width="16.28515625" style="743" customWidth="1"/>
    <col min="2822" max="3072" width="9.140625" style="743"/>
    <col min="3073" max="3073" width="5.7109375" style="743" customWidth="1"/>
    <col min="3074" max="3074" width="46.28515625" style="743" customWidth="1"/>
    <col min="3075" max="3075" width="19.7109375" style="743" customWidth="1"/>
    <col min="3076" max="3076" width="11.28515625" style="743" customWidth="1"/>
    <col min="3077" max="3077" width="16.28515625" style="743" customWidth="1"/>
    <col min="3078" max="3328" width="9.140625" style="743"/>
    <col min="3329" max="3329" width="5.7109375" style="743" customWidth="1"/>
    <col min="3330" max="3330" width="46.28515625" style="743" customWidth="1"/>
    <col min="3331" max="3331" width="19.7109375" style="743" customWidth="1"/>
    <col min="3332" max="3332" width="11.28515625" style="743" customWidth="1"/>
    <col min="3333" max="3333" width="16.28515625" style="743" customWidth="1"/>
    <col min="3334" max="3584" width="9.140625" style="743"/>
    <col min="3585" max="3585" width="5.7109375" style="743" customWidth="1"/>
    <col min="3586" max="3586" width="46.28515625" style="743" customWidth="1"/>
    <col min="3587" max="3587" width="19.7109375" style="743" customWidth="1"/>
    <col min="3588" max="3588" width="11.28515625" style="743" customWidth="1"/>
    <col min="3589" max="3589" width="16.28515625" style="743" customWidth="1"/>
    <col min="3590" max="3840" width="9.140625" style="743"/>
    <col min="3841" max="3841" width="5.7109375" style="743" customWidth="1"/>
    <col min="3842" max="3842" width="46.28515625" style="743" customWidth="1"/>
    <col min="3843" max="3843" width="19.7109375" style="743" customWidth="1"/>
    <col min="3844" max="3844" width="11.28515625" style="743" customWidth="1"/>
    <col min="3845" max="3845" width="16.28515625" style="743" customWidth="1"/>
    <col min="3846" max="4096" width="9.140625" style="743"/>
    <col min="4097" max="4097" width="5.7109375" style="743" customWidth="1"/>
    <col min="4098" max="4098" width="46.28515625" style="743" customWidth="1"/>
    <col min="4099" max="4099" width="19.7109375" style="743" customWidth="1"/>
    <col min="4100" max="4100" width="11.28515625" style="743" customWidth="1"/>
    <col min="4101" max="4101" width="16.28515625" style="743" customWidth="1"/>
    <col min="4102" max="4352" width="9.140625" style="743"/>
    <col min="4353" max="4353" width="5.7109375" style="743" customWidth="1"/>
    <col min="4354" max="4354" width="46.28515625" style="743" customWidth="1"/>
    <col min="4355" max="4355" width="19.7109375" style="743" customWidth="1"/>
    <col min="4356" max="4356" width="11.28515625" style="743" customWidth="1"/>
    <col min="4357" max="4357" width="16.28515625" style="743" customWidth="1"/>
    <col min="4358" max="4608" width="9.140625" style="743"/>
    <col min="4609" max="4609" width="5.7109375" style="743" customWidth="1"/>
    <col min="4610" max="4610" width="46.28515625" style="743" customWidth="1"/>
    <col min="4611" max="4611" width="19.7109375" style="743" customWidth="1"/>
    <col min="4612" max="4612" width="11.28515625" style="743" customWidth="1"/>
    <col min="4613" max="4613" width="16.28515625" style="743" customWidth="1"/>
    <col min="4614" max="4864" width="9.140625" style="743"/>
    <col min="4865" max="4865" width="5.7109375" style="743" customWidth="1"/>
    <col min="4866" max="4866" width="46.28515625" style="743" customWidth="1"/>
    <col min="4867" max="4867" width="19.7109375" style="743" customWidth="1"/>
    <col min="4868" max="4868" width="11.28515625" style="743" customWidth="1"/>
    <col min="4869" max="4869" width="16.28515625" style="743" customWidth="1"/>
    <col min="4870" max="5120" width="9.140625" style="743"/>
    <col min="5121" max="5121" width="5.7109375" style="743" customWidth="1"/>
    <col min="5122" max="5122" width="46.28515625" style="743" customWidth="1"/>
    <col min="5123" max="5123" width="19.7109375" style="743" customWidth="1"/>
    <col min="5124" max="5124" width="11.28515625" style="743" customWidth="1"/>
    <col min="5125" max="5125" width="16.28515625" style="743" customWidth="1"/>
    <col min="5126" max="5376" width="9.140625" style="743"/>
    <col min="5377" max="5377" width="5.7109375" style="743" customWidth="1"/>
    <col min="5378" max="5378" width="46.28515625" style="743" customWidth="1"/>
    <col min="5379" max="5379" width="19.7109375" style="743" customWidth="1"/>
    <col min="5380" max="5380" width="11.28515625" style="743" customWidth="1"/>
    <col min="5381" max="5381" width="16.28515625" style="743" customWidth="1"/>
    <col min="5382" max="5632" width="9.140625" style="743"/>
    <col min="5633" max="5633" width="5.7109375" style="743" customWidth="1"/>
    <col min="5634" max="5634" width="46.28515625" style="743" customWidth="1"/>
    <col min="5635" max="5635" width="19.7109375" style="743" customWidth="1"/>
    <col min="5636" max="5636" width="11.28515625" style="743" customWidth="1"/>
    <col min="5637" max="5637" width="16.28515625" style="743" customWidth="1"/>
    <col min="5638" max="5888" width="9.140625" style="743"/>
    <col min="5889" max="5889" width="5.7109375" style="743" customWidth="1"/>
    <col min="5890" max="5890" width="46.28515625" style="743" customWidth="1"/>
    <col min="5891" max="5891" width="19.7109375" style="743" customWidth="1"/>
    <col min="5892" max="5892" width="11.28515625" style="743" customWidth="1"/>
    <col min="5893" max="5893" width="16.28515625" style="743" customWidth="1"/>
    <col min="5894" max="6144" width="9.140625" style="743"/>
    <col min="6145" max="6145" width="5.7109375" style="743" customWidth="1"/>
    <col min="6146" max="6146" width="46.28515625" style="743" customWidth="1"/>
    <col min="6147" max="6147" width="19.7109375" style="743" customWidth="1"/>
    <col min="6148" max="6148" width="11.28515625" style="743" customWidth="1"/>
    <col min="6149" max="6149" width="16.28515625" style="743" customWidth="1"/>
    <col min="6150" max="6400" width="9.140625" style="743"/>
    <col min="6401" max="6401" width="5.7109375" style="743" customWidth="1"/>
    <col min="6402" max="6402" width="46.28515625" style="743" customWidth="1"/>
    <col min="6403" max="6403" width="19.7109375" style="743" customWidth="1"/>
    <col min="6404" max="6404" width="11.28515625" style="743" customWidth="1"/>
    <col min="6405" max="6405" width="16.28515625" style="743" customWidth="1"/>
    <col min="6406" max="6656" width="9.140625" style="743"/>
    <col min="6657" max="6657" width="5.7109375" style="743" customWidth="1"/>
    <col min="6658" max="6658" width="46.28515625" style="743" customWidth="1"/>
    <col min="6659" max="6659" width="19.7109375" style="743" customWidth="1"/>
    <col min="6660" max="6660" width="11.28515625" style="743" customWidth="1"/>
    <col min="6661" max="6661" width="16.28515625" style="743" customWidth="1"/>
    <col min="6662" max="6912" width="9.140625" style="743"/>
    <col min="6913" max="6913" width="5.7109375" style="743" customWidth="1"/>
    <col min="6914" max="6914" width="46.28515625" style="743" customWidth="1"/>
    <col min="6915" max="6915" width="19.7109375" style="743" customWidth="1"/>
    <col min="6916" max="6916" width="11.28515625" style="743" customWidth="1"/>
    <col min="6917" max="6917" width="16.28515625" style="743" customWidth="1"/>
    <col min="6918" max="7168" width="9.140625" style="743"/>
    <col min="7169" max="7169" width="5.7109375" style="743" customWidth="1"/>
    <col min="7170" max="7170" width="46.28515625" style="743" customWidth="1"/>
    <col min="7171" max="7171" width="19.7109375" style="743" customWidth="1"/>
    <col min="7172" max="7172" width="11.28515625" style="743" customWidth="1"/>
    <col min="7173" max="7173" width="16.28515625" style="743" customWidth="1"/>
    <col min="7174" max="7424" width="9.140625" style="743"/>
    <col min="7425" max="7425" width="5.7109375" style="743" customWidth="1"/>
    <col min="7426" max="7426" width="46.28515625" style="743" customWidth="1"/>
    <col min="7427" max="7427" width="19.7109375" style="743" customWidth="1"/>
    <col min="7428" max="7428" width="11.28515625" style="743" customWidth="1"/>
    <col min="7429" max="7429" width="16.28515625" style="743" customWidth="1"/>
    <col min="7430" max="7680" width="9.140625" style="743"/>
    <col min="7681" max="7681" width="5.7109375" style="743" customWidth="1"/>
    <col min="7682" max="7682" width="46.28515625" style="743" customWidth="1"/>
    <col min="7683" max="7683" width="19.7109375" style="743" customWidth="1"/>
    <col min="7684" max="7684" width="11.28515625" style="743" customWidth="1"/>
    <col min="7685" max="7685" width="16.28515625" style="743" customWidth="1"/>
    <col min="7686" max="7936" width="9.140625" style="743"/>
    <col min="7937" max="7937" width="5.7109375" style="743" customWidth="1"/>
    <col min="7938" max="7938" width="46.28515625" style="743" customWidth="1"/>
    <col min="7939" max="7939" width="19.7109375" style="743" customWidth="1"/>
    <col min="7940" max="7940" width="11.28515625" style="743" customWidth="1"/>
    <col min="7941" max="7941" width="16.28515625" style="743" customWidth="1"/>
    <col min="7942" max="8192" width="9.140625" style="743"/>
    <col min="8193" max="8193" width="5.7109375" style="743" customWidth="1"/>
    <col min="8194" max="8194" width="46.28515625" style="743" customWidth="1"/>
    <col min="8195" max="8195" width="19.7109375" style="743" customWidth="1"/>
    <col min="8196" max="8196" width="11.28515625" style="743" customWidth="1"/>
    <col min="8197" max="8197" width="16.28515625" style="743" customWidth="1"/>
    <col min="8198" max="8448" width="9.140625" style="743"/>
    <col min="8449" max="8449" width="5.7109375" style="743" customWidth="1"/>
    <col min="8450" max="8450" width="46.28515625" style="743" customWidth="1"/>
    <col min="8451" max="8451" width="19.7109375" style="743" customWidth="1"/>
    <col min="8452" max="8452" width="11.28515625" style="743" customWidth="1"/>
    <col min="8453" max="8453" width="16.28515625" style="743" customWidth="1"/>
    <col min="8454" max="8704" width="9.140625" style="743"/>
    <col min="8705" max="8705" width="5.7109375" style="743" customWidth="1"/>
    <col min="8706" max="8706" width="46.28515625" style="743" customWidth="1"/>
    <col min="8707" max="8707" width="19.7109375" style="743" customWidth="1"/>
    <col min="8708" max="8708" width="11.28515625" style="743" customWidth="1"/>
    <col min="8709" max="8709" width="16.28515625" style="743" customWidth="1"/>
    <col min="8710" max="8960" width="9.140625" style="743"/>
    <col min="8961" max="8961" width="5.7109375" style="743" customWidth="1"/>
    <col min="8962" max="8962" width="46.28515625" style="743" customWidth="1"/>
    <col min="8963" max="8963" width="19.7109375" style="743" customWidth="1"/>
    <col min="8964" max="8964" width="11.28515625" style="743" customWidth="1"/>
    <col min="8965" max="8965" width="16.28515625" style="743" customWidth="1"/>
    <col min="8966" max="9216" width="9.140625" style="743"/>
    <col min="9217" max="9217" width="5.7109375" style="743" customWidth="1"/>
    <col min="9218" max="9218" width="46.28515625" style="743" customWidth="1"/>
    <col min="9219" max="9219" width="19.7109375" style="743" customWidth="1"/>
    <col min="9220" max="9220" width="11.28515625" style="743" customWidth="1"/>
    <col min="9221" max="9221" width="16.28515625" style="743" customWidth="1"/>
    <col min="9222" max="9472" width="9.140625" style="743"/>
    <col min="9473" max="9473" width="5.7109375" style="743" customWidth="1"/>
    <col min="9474" max="9474" width="46.28515625" style="743" customWidth="1"/>
    <col min="9475" max="9475" width="19.7109375" style="743" customWidth="1"/>
    <col min="9476" max="9476" width="11.28515625" style="743" customWidth="1"/>
    <col min="9477" max="9477" width="16.28515625" style="743" customWidth="1"/>
    <col min="9478" max="9728" width="9.140625" style="743"/>
    <col min="9729" max="9729" width="5.7109375" style="743" customWidth="1"/>
    <col min="9730" max="9730" width="46.28515625" style="743" customWidth="1"/>
    <col min="9731" max="9731" width="19.7109375" style="743" customWidth="1"/>
    <col min="9732" max="9732" width="11.28515625" style="743" customWidth="1"/>
    <col min="9733" max="9733" width="16.28515625" style="743" customWidth="1"/>
    <col min="9734" max="9984" width="9.140625" style="743"/>
    <col min="9985" max="9985" width="5.7109375" style="743" customWidth="1"/>
    <col min="9986" max="9986" width="46.28515625" style="743" customWidth="1"/>
    <col min="9987" max="9987" width="19.7109375" style="743" customWidth="1"/>
    <col min="9988" max="9988" width="11.28515625" style="743" customWidth="1"/>
    <col min="9989" max="9989" width="16.28515625" style="743" customWidth="1"/>
    <col min="9990" max="10240" width="9.140625" style="743"/>
    <col min="10241" max="10241" width="5.7109375" style="743" customWidth="1"/>
    <col min="10242" max="10242" width="46.28515625" style="743" customWidth="1"/>
    <col min="10243" max="10243" width="19.7109375" style="743" customWidth="1"/>
    <col min="10244" max="10244" width="11.28515625" style="743" customWidth="1"/>
    <col min="10245" max="10245" width="16.28515625" style="743" customWidth="1"/>
    <col min="10246" max="10496" width="9.140625" style="743"/>
    <col min="10497" max="10497" width="5.7109375" style="743" customWidth="1"/>
    <col min="10498" max="10498" width="46.28515625" style="743" customWidth="1"/>
    <col min="10499" max="10499" width="19.7109375" style="743" customWidth="1"/>
    <col min="10500" max="10500" width="11.28515625" style="743" customWidth="1"/>
    <col min="10501" max="10501" width="16.28515625" style="743" customWidth="1"/>
    <col min="10502" max="10752" width="9.140625" style="743"/>
    <col min="10753" max="10753" width="5.7109375" style="743" customWidth="1"/>
    <col min="10754" max="10754" width="46.28515625" style="743" customWidth="1"/>
    <col min="10755" max="10755" width="19.7109375" style="743" customWidth="1"/>
    <col min="10756" max="10756" width="11.28515625" style="743" customWidth="1"/>
    <col min="10757" max="10757" width="16.28515625" style="743" customWidth="1"/>
    <col min="10758" max="11008" width="9.140625" style="743"/>
    <col min="11009" max="11009" width="5.7109375" style="743" customWidth="1"/>
    <col min="11010" max="11010" width="46.28515625" style="743" customWidth="1"/>
    <col min="11011" max="11011" width="19.7109375" style="743" customWidth="1"/>
    <col min="11012" max="11012" width="11.28515625" style="743" customWidth="1"/>
    <col min="11013" max="11013" width="16.28515625" style="743" customWidth="1"/>
    <col min="11014" max="11264" width="9.140625" style="743"/>
    <col min="11265" max="11265" width="5.7109375" style="743" customWidth="1"/>
    <col min="11266" max="11266" width="46.28515625" style="743" customWidth="1"/>
    <col min="11267" max="11267" width="19.7109375" style="743" customWidth="1"/>
    <col min="11268" max="11268" width="11.28515625" style="743" customWidth="1"/>
    <col min="11269" max="11269" width="16.28515625" style="743" customWidth="1"/>
    <col min="11270" max="11520" width="9.140625" style="743"/>
    <col min="11521" max="11521" width="5.7109375" style="743" customWidth="1"/>
    <col min="11522" max="11522" width="46.28515625" style="743" customWidth="1"/>
    <col min="11523" max="11523" width="19.7109375" style="743" customWidth="1"/>
    <col min="11524" max="11524" width="11.28515625" style="743" customWidth="1"/>
    <col min="11525" max="11525" width="16.28515625" style="743" customWidth="1"/>
    <col min="11526" max="11776" width="9.140625" style="743"/>
    <col min="11777" max="11777" width="5.7109375" style="743" customWidth="1"/>
    <col min="11778" max="11778" width="46.28515625" style="743" customWidth="1"/>
    <col min="11779" max="11779" width="19.7109375" style="743" customWidth="1"/>
    <col min="11780" max="11780" width="11.28515625" style="743" customWidth="1"/>
    <col min="11781" max="11781" width="16.28515625" style="743" customWidth="1"/>
    <col min="11782" max="12032" width="9.140625" style="743"/>
    <col min="12033" max="12033" width="5.7109375" style="743" customWidth="1"/>
    <col min="12034" max="12034" width="46.28515625" style="743" customWidth="1"/>
    <col min="12035" max="12035" width="19.7109375" style="743" customWidth="1"/>
    <col min="12036" max="12036" width="11.28515625" style="743" customWidth="1"/>
    <col min="12037" max="12037" width="16.28515625" style="743" customWidth="1"/>
    <col min="12038" max="12288" width="9.140625" style="743"/>
    <col min="12289" max="12289" width="5.7109375" style="743" customWidth="1"/>
    <col min="12290" max="12290" width="46.28515625" style="743" customWidth="1"/>
    <col min="12291" max="12291" width="19.7109375" style="743" customWidth="1"/>
    <col min="12292" max="12292" width="11.28515625" style="743" customWidth="1"/>
    <col min="12293" max="12293" width="16.28515625" style="743" customWidth="1"/>
    <col min="12294" max="12544" width="9.140625" style="743"/>
    <col min="12545" max="12545" width="5.7109375" style="743" customWidth="1"/>
    <col min="12546" max="12546" width="46.28515625" style="743" customWidth="1"/>
    <col min="12547" max="12547" width="19.7109375" style="743" customWidth="1"/>
    <col min="12548" max="12548" width="11.28515625" style="743" customWidth="1"/>
    <col min="12549" max="12549" width="16.28515625" style="743" customWidth="1"/>
    <col min="12550" max="12800" width="9.140625" style="743"/>
    <col min="12801" max="12801" width="5.7109375" style="743" customWidth="1"/>
    <col min="12802" max="12802" width="46.28515625" style="743" customWidth="1"/>
    <col min="12803" max="12803" width="19.7109375" style="743" customWidth="1"/>
    <col min="12804" max="12804" width="11.28515625" style="743" customWidth="1"/>
    <col min="12805" max="12805" width="16.28515625" style="743" customWidth="1"/>
    <col min="12806" max="13056" width="9.140625" style="743"/>
    <col min="13057" max="13057" width="5.7109375" style="743" customWidth="1"/>
    <col min="13058" max="13058" width="46.28515625" style="743" customWidth="1"/>
    <col min="13059" max="13059" width="19.7109375" style="743" customWidth="1"/>
    <col min="13060" max="13060" width="11.28515625" style="743" customWidth="1"/>
    <col min="13061" max="13061" width="16.28515625" style="743" customWidth="1"/>
    <col min="13062" max="13312" width="9.140625" style="743"/>
    <col min="13313" max="13313" width="5.7109375" style="743" customWidth="1"/>
    <col min="13314" max="13314" width="46.28515625" style="743" customWidth="1"/>
    <col min="13315" max="13315" width="19.7109375" style="743" customWidth="1"/>
    <col min="13316" max="13316" width="11.28515625" style="743" customWidth="1"/>
    <col min="13317" max="13317" width="16.28515625" style="743" customWidth="1"/>
    <col min="13318" max="13568" width="9.140625" style="743"/>
    <col min="13569" max="13569" width="5.7109375" style="743" customWidth="1"/>
    <col min="13570" max="13570" width="46.28515625" style="743" customWidth="1"/>
    <col min="13571" max="13571" width="19.7109375" style="743" customWidth="1"/>
    <col min="13572" max="13572" width="11.28515625" style="743" customWidth="1"/>
    <col min="13573" max="13573" width="16.28515625" style="743" customWidth="1"/>
    <col min="13574" max="13824" width="9.140625" style="743"/>
    <col min="13825" max="13825" width="5.7109375" style="743" customWidth="1"/>
    <col min="13826" max="13826" width="46.28515625" style="743" customWidth="1"/>
    <col min="13827" max="13827" width="19.7109375" style="743" customWidth="1"/>
    <col min="13828" max="13828" width="11.28515625" style="743" customWidth="1"/>
    <col min="13829" max="13829" width="16.28515625" style="743" customWidth="1"/>
    <col min="13830" max="14080" width="9.140625" style="743"/>
    <col min="14081" max="14081" width="5.7109375" style="743" customWidth="1"/>
    <col min="14082" max="14082" width="46.28515625" style="743" customWidth="1"/>
    <col min="14083" max="14083" width="19.7109375" style="743" customWidth="1"/>
    <col min="14084" max="14084" width="11.28515625" style="743" customWidth="1"/>
    <col min="14085" max="14085" width="16.28515625" style="743" customWidth="1"/>
    <col min="14086" max="14336" width="9.140625" style="743"/>
    <col min="14337" max="14337" width="5.7109375" style="743" customWidth="1"/>
    <col min="14338" max="14338" width="46.28515625" style="743" customWidth="1"/>
    <col min="14339" max="14339" width="19.7109375" style="743" customWidth="1"/>
    <col min="14340" max="14340" width="11.28515625" style="743" customWidth="1"/>
    <col min="14341" max="14341" width="16.28515625" style="743" customWidth="1"/>
    <col min="14342" max="14592" width="9.140625" style="743"/>
    <col min="14593" max="14593" width="5.7109375" style="743" customWidth="1"/>
    <col min="14594" max="14594" width="46.28515625" style="743" customWidth="1"/>
    <col min="14595" max="14595" width="19.7109375" style="743" customWidth="1"/>
    <col min="14596" max="14596" width="11.28515625" style="743" customWidth="1"/>
    <col min="14597" max="14597" width="16.28515625" style="743" customWidth="1"/>
    <col min="14598" max="14848" width="9.140625" style="743"/>
    <col min="14849" max="14849" width="5.7109375" style="743" customWidth="1"/>
    <col min="14850" max="14850" width="46.28515625" style="743" customWidth="1"/>
    <col min="14851" max="14851" width="19.7109375" style="743" customWidth="1"/>
    <col min="14852" max="14852" width="11.28515625" style="743" customWidth="1"/>
    <col min="14853" max="14853" width="16.28515625" style="743" customWidth="1"/>
    <col min="14854" max="15104" width="9.140625" style="743"/>
    <col min="15105" max="15105" width="5.7109375" style="743" customWidth="1"/>
    <col min="15106" max="15106" width="46.28515625" style="743" customWidth="1"/>
    <col min="15107" max="15107" width="19.7109375" style="743" customWidth="1"/>
    <col min="15108" max="15108" width="11.28515625" style="743" customWidth="1"/>
    <col min="15109" max="15109" width="16.28515625" style="743" customWidth="1"/>
    <col min="15110" max="15360" width="9.140625" style="743"/>
    <col min="15361" max="15361" width="5.7109375" style="743" customWidth="1"/>
    <col min="15362" max="15362" width="46.28515625" style="743" customWidth="1"/>
    <col min="15363" max="15363" width="19.7109375" style="743" customWidth="1"/>
    <col min="15364" max="15364" width="11.28515625" style="743" customWidth="1"/>
    <col min="15365" max="15365" width="16.28515625" style="743" customWidth="1"/>
    <col min="15366" max="15616" width="9.140625" style="743"/>
    <col min="15617" max="15617" width="5.7109375" style="743" customWidth="1"/>
    <col min="15618" max="15618" width="46.28515625" style="743" customWidth="1"/>
    <col min="15619" max="15619" width="19.7109375" style="743" customWidth="1"/>
    <col min="15620" max="15620" width="11.28515625" style="743" customWidth="1"/>
    <col min="15621" max="15621" width="16.28515625" style="743" customWidth="1"/>
    <col min="15622" max="15872" width="9.140625" style="743"/>
    <col min="15873" max="15873" width="5.7109375" style="743" customWidth="1"/>
    <col min="15874" max="15874" width="46.28515625" style="743" customWidth="1"/>
    <col min="15875" max="15875" width="19.7109375" style="743" customWidth="1"/>
    <col min="15876" max="15876" width="11.28515625" style="743" customWidth="1"/>
    <col min="15877" max="15877" width="16.28515625" style="743" customWidth="1"/>
    <col min="15878" max="16128" width="9.140625" style="743"/>
    <col min="16129" max="16129" width="5.7109375" style="743" customWidth="1"/>
    <col min="16130" max="16130" width="46.28515625" style="743" customWidth="1"/>
    <col min="16131" max="16131" width="19.7109375" style="743" customWidth="1"/>
    <col min="16132" max="16132" width="11.28515625" style="743" customWidth="1"/>
    <col min="16133" max="16133" width="16.28515625" style="743" customWidth="1"/>
    <col min="16134" max="16384" width="9.140625" style="743"/>
  </cols>
  <sheetData>
    <row r="2" spans="1:12" ht="28.5" customHeight="1" x14ac:dyDescent="0.25">
      <c r="A2" s="1974" t="s">
        <v>20</v>
      </c>
      <c r="B2" s="1975"/>
      <c r="C2" s="1975"/>
      <c r="D2" s="1975"/>
      <c r="E2" s="1975"/>
      <c r="F2" s="1975"/>
    </row>
    <row r="4" spans="1:12" x14ac:dyDescent="0.25">
      <c r="A4" s="1976" t="s">
        <v>5669</v>
      </c>
      <c r="B4" s="1976"/>
      <c r="C4" s="1976"/>
      <c r="D4" s="1976"/>
      <c r="E4" s="1976"/>
      <c r="F4" s="744"/>
      <c r="G4" s="744"/>
      <c r="H4" s="744"/>
      <c r="I4" s="744"/>
      <c r="J4" s="744"/>
      <c r="K4" s="744"/>
      <c r="L4" s="744"/>
    </row>
    <row r="5" spans="1:12" ht="33" customHeight="1" x14ac:dyDescent="0.25">
      <c r="A5" s="1977" t="s">
        <v>5670</v>
      </c>
      <c r="B5" s="1977"/>
      <c r="C5" s="1977"/>
      <c r="D5" s="1977"/>
      <c r="E5" s="1977"/>
      <c r="F5" s="745"/>
      <c r="G5" s="745"/>
      <c r="H5" s="745"/>
      <c r="I5" s="745"/>
      <c r="J5" s="745"/>
      <c r="K5" s="745"/>
      <c r="L5" s="745"/>
    </row>
    <row r="6" spans="1:12" ht="33" customHeight="1" x14ac:dyDescent="0.25">
      <c r="A6" s="1978" t="s">
        <v>562</v>
      </c>
      <c r="B6" s="1978"/>
      <c r="C6" s="746" t="s">
        <v>5654</v>
      </c>
      <c r="D6" s="746"/>
      <c r="E6" s="746"/>
      <c r="F6" s="746"/>
      <c r="G6" s="746"/>
      <c r="H6" s="745"/>
      <c r="I6" s="745"/>
      <c r="J6" s="745"/>
      <c r="K6" s="745"/>
      <c r="L6" s="745"/>
    </row>
    <row r="7" spans="1:12" ht="33" customHeight="1" x14ac:dyDescent="0.3">
      <c r="A7" s="1978" t="s">
        <v>5655</v>
      </c>
      <c r="B7" s="1978"/>
      <c r="C7" s="747" t="s">
        <v>5656</v>
      </c>
      <c r="D7" s="746"/>
      <c r="E7" s="746"/>
      <c r="F7" s="746"/>
      <c r="G7" s="746"/>
      <c r="H7" s="745"/>
      <c r="I7" s="745"/>
      <c r="J7" s="745"/>
      <c r="K7" s="745"/>
      <c r="L7" s="745"/>
    </row>
    <row r="8" spans="1:12" ht="33" customHeight="1" x14ac:dyDescent="0.25">
      <c r="A8" s="748" t="s">
        <v>5657</v>
      </c>
      <c r="B8" s="746"/>
      <c r="C8" s="749" t="s">
        <v>7083</v>
      </c>
      <c r="D8" s="746"/>
      <c r="E8" s="746"/>
      <c r="F8" s="746"/>
      <c r="G8" s="746"/>
      <c r="H8" s="745"/>
      <c r="I8" s="745"/>
      <c r="J8" s="745"/>
      <c r="K8" s="745"/>
      <c r="L8" s="745"/>
    </row>
    <row r="9" spans="1:12" ht="33" customHeight="1" x14ac:dyDescent="0.25">
      <c r="A9" s="1981" t="s">
        <v>5659</v>
      </c>
      <c r="B9" s="1982"/>
      <c r="C9" s="1982"/>
      <c r="D9" s="1982"/>
      <c r="E9" s="1982"/>
      <c r="F9" s="1982"/>
      <c r="G9" s="1982"/>
      <c r="H9" s="745"/>
      <c r="I9" s="745"/>
      <c r="J9" s="745"/>
      <c r="K9" s="745"/>
      <c r="L9" s="745"/>
    </row>
    <row r="10" spans="1:12" ht="33" customHeight="1" x14ac:dyDescent="0.25">
      <c r="A10" s="750" t="s">
        <v>5660</v>
      </c>
      <c r="B10" s="750" t="s">
        <v>5661</v>
      </c>
      <c r="C10" s="750" t="s">
        <v>145</v>
      </c>
      <c r="D10" s="750" t="s">
        <v>568</v>
      </c>
      <c r="E10" s="750" t="s">
        <v>5662</v>
      </c>
      <c r="F10" s="745"/>
      <c r="G10" s="745"/>
      <c r="H10" s="745"/>
      <c r="I10" s="745"/>
      <c r="J10" s="745"/>
      <c r="K10" s="745"/>
      <c r="L10" s="745"/>
    </row>
    <row r="11" spans="1:12" ht="46.5" customHeight="1" x14ac:dyDescent="0.25">
      <c r="A11" s="751">
        <v>1</v>
      </c>
      <c r="B11" s="752" t="s">
        <v>5671</v>
      </c>
      <c r="C11" s="753" t="s">
        <v>7083</v>
      </c>
      <c r="D11" s="754">
        <f>11546.5/12.14</f>
        <v>951.11</v>
      </c>
      <c r="E11" s="753" t="s">
        <v>9176</v>
      </c>
      <c r="F11" s="745"/>
      <c r="G11" s="745"/>
      <c r="H11" s="745"/>
      <c r="I11" s="745"/>
      <c r="J11" s="745"/>
      <c r="K11" s="745"/>
      <c r="L11" s="745"/>
    </row>
    <row r="12" spans="1:12" ht="33" customHeight="1" x14ac:dyDescent="0.25">
      <c r="A12" s="756">
        <v>25</v>
      </c>
      <c r="B12" s="757" t="s">
        <v>5672</v>
      </c>
      <c r="C12" s="758"/>
      <c r="D12" s="759">
        <f>D11</f>
        <v>951.11</v>
      </c>
      <c r="E12" s="760"/>
      <c r="F12" s="745"/>
      <c r="G12" s="745"/>
      <c r="H12" s="745"/>
      <c r="I12" s="745"/>
      <c r="J12" s="745"/>
      <c r="K12" s="745"/>
      <c r="L12" s="745"/>
    </row>
    <row r="13" spans="1:12" ht="75.75" customHeight="1" x14ac:dyDescent="0.25">
      <c r="A13" s="761">
        <v>26</v>
      </c>
      <c r="B13" s="762" t="s">
        <v>5664</v>
      </c>
      <c r="C13" s="763" t="s">
        <v>5665</v>
      </c>
      <c r="D13" s="768">
        <f>D12*12.14</f>
        <v>11546.5</v>
      </c>
      <c r="E13" s="765"/>
      <c r="F13" s="745"/>
      <c r="G13" s="745"/>
      <c r="H13" s="745"/>
      <c r="I13" s="745"/>
      <c r="J13" s="745"/>
      <c r="K13" s="745"/>
      <c r="L13" s="745"/>
    </row>
    <row r="14" spans="1:12" x14ac:dyDescent="0.25">
      <c r="A14" s="1977"/>
      <c r="B14" s="1977"/>
      <c r="C14" s="1977"/>
      <c r="D14" s="1977"/>
      <c r="E14" s="1977"/>
    </row>
    <row r="15" spans="1:12" x14ac:dyDescent="0.25">
      <c r="A15" s="766"/>
    </row>
    <row r="16" spans="1:12" x14ac:dyDescent="0.25">
      <c r="A16" s="1983" t="s">
        <v>5666</v>
      </c>
      <c r="B16" s="1983"/>
      <c r="C16" s="1983"/>
      <c r="D16" s="1983"/>
      <c r="E16" s="1983"/>
    </row>
    <row r="17" spans="1:5" x14ac:dyDescent="0.25">
      <c r="A17" s="1984" t="s">
        <v>5667</v>
      </c>
      <c r="B17" s="1984"/>
      <c r="C17" s="1984"/>
      <c r="D17" s="1984"/>
      <c r="E17" s="1984"/>
    </row>
    <row r="18" spans="1:5" x14ac:dyDescent="0.25">
      <c r="A18" s="1983" t="s">
        <v>5668</v>
      </c>
      <c r="B18" s="1983"/>
      <c r="C18" s="1983"/>
      <c r="D18" s="1983"/>
      <c r="E18" s="1983"/>
    </row>
    <row r="19" spans="1:5" x14ac:dyDescent="0.25">
      <c r="A19" s="1973" t="s">
        <v>5667</v>
      </c>
      <c r="B19" s="1973"/>
      <c r="C19" s="1973"/>
      <c r="D19" s="1973"/>
      <c r="E19" s="1973"/>
    </row>
    <row r="20" spans="1:5" x14ac:dyDescent="0.25">
      <c r="A20" s="767"/>
      <c r="B20" s="767"/>
      <c r="C20" s="767"/>
      <c r="D20" s="767"/>
      <c r="E20" s="767"/>
    </row>
  </sheetData>
  <mergeCells count="11">
    <mergeCell ref="A9:G9"/>
    <mergeCell ref="A2:F2"/>
    <mergeCell ref="A4:E4"/>
    <mergeCell ref="A5:E5"/>
    <mergeCell ref="A6:B6"/>
    <mergeCell ref="A7:B7"/>
    <mergeCell ref="A14:E14"/>
    <mergeCell ref="A16:E16"/>
    <mergeCell ref="A17:E17"/>
    <mergeCell ref="A18:E18"/>
    <mergeCell ref="A19:E19"/>
  </mergeCells>
  <pageMargins left="0.35" right="0.24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K61"/>
  <sheetViews>
    <sheetView view="pageBreakPreview" topLeftCell="A46" zoomScale="95" zoomScaleNormal="95" zoomScaleSheetLayoutView="95" workbookViewId="0">
      <selection activeCell="F54" sqref="F54"/>
    </sheetView>
  </sheetViews>
  <sheetFormatPr defaultRowHeight="15" x14ac:dyDescent="0.25"/>
  <cols>
    <col min="1" max="1" width="5.7109375" style="779" customWidth="1"/>
    <col min="2" max="2" width="46.28515625" style="779" customWidth="1"/>
    <col min="3" max="3" width="28.140625" style="779" customWidth="1"/>
    <col min="4" max="4" width="11.28515625" style="779" customWidth="1"/>
    <col min="5" max="5" width="16.28515625" style="779" customWidth="1"/>
    <col min="6" max="6" width="44" style="779" customWidth="1"/>
    <col min="7" max="7" width="49.5703125" style="779" customWidth="1"/>
    <col min="8" max="255" width="9.140625" style="779"/>
    <col min="256" max="256" width="5.7109375" style="779" customWidth="1"/>
    <col min="257" max="257" width="46.28515625" style="779" customWidth="1"/>
    <col min="258" max="258" width="19.7109375" style="779" customWidth="1"/>
    <col min="259" max="259" width="11.28515625" style="779" customWidth="1"/>
    <col min="260" max="260" width="16.28515625" style="779" customWidth="1"/>
    <col min="261" max="511" width="9.140625" style="779"/>
    <col min="512" max="512" width="5.7109375" style="779" customWidth="1"/>
    <col min="513" max="513" width="46.28515625" style="779" customWidth="1"/>
    <col min="514" max="514" width="19.7109375" style="779" customWidth="1"/>
    <col min="515" max="515" width="11.28515625" style="779" customWidth="1"/>
    <col min="516" max="516" width="16.28515625" style="779" customWidth="1"/>
    <col min="517" max="767" width="9.140625" style="779"/>
    <col min="768" max="768" width="5.7109375" style="779" customWidth="1"/>
    <col min="769" max="769" width="46.28515625" style="779" customWidth="1"/>
    <col min="770" max="770" width="19.7109375" style="779" customWidth="1"/>
    <col min="771" max="771" width="11.28515625" style="779" customWidth="1"/>
    <col min="772" max="772" width="16.28515625" style="779" customWidth="1"/>
    <col min="773" max="1023" width="9.140625" style="779"/>
    <col min="1024" max="1024" width="5.7109375" style="779" customWidth="1"/>
    <col min="1025" max="1025" width="46.28515625" style="779" customWidth="1"/>
    <col min="1026" max="1026" width="19.7109375" style="779" customWidth="1"/>
    <col min="1027" max="1027" width="11.28515625" style="779" customWidth="1"/>
    <col min="1028" max="1028" width="16.28515625" style="779" customWidth="1"/>
    <col min="1029" max="1279" width="9.140625" style="779"/>
    <col min="1280" max="1280" width="5.7109375" style="779" customWidth="1"/>
    <col min="1281" max="1281" width="46.28515625" style="779" customWidth="1"/>
    <col min="1282" max="1282" width="19.7109375" style="779" customWidth="1"/>
    <col min="1283" max="1283" width="11.28515625" style="779" customWidth="1"/>
    <col min="1284" max="1284" width="16.28515625" style="779" customWidth="1"/>
    <col min="1285" max="1535" width="9.140625" style="779"/>
    <col min="1536" max="1536" width="5.7109375" style="779" customWidth="1"/>
    <col min="1537" max="1537" width="46.28515625" style="779" customWidth="1"/>
    <col min="1538" max="1538" width="19.7109375" style="779" customWidth="1"/>
    <col min="1539" max="1539" width="11.28515625" style="779" customWidth="1"/>
    <col min="1540" max="1540" width="16.28515625" style="779" customWidth="1"/>
    <col min="1541" max="1791" width="9.140625" style="779"/>
    <col min="1792" max="1792" width="5.7109375" style="779" customWidth="1"/>
    <col min="1793" max="1793" width="46.28515625" style="779" customWidth="1"/>
    <col min="1794" max="1794" width="19.7109375" style="779" customWidth="1"/>
    <col min="1795" max="1795" width="11.28515625" style="779" customWidth="1"/>
    <col min="1796" max="1796" width="16.28515625" style="779" customWidth="1"/>
    <col min="1797" max="2047" width="9.140625" style="779"/>
    <col min="2048" max="2048" width="5.7109375" style="779" customWidth="1"/>
    <col min="2049" max="2049" width="46.28515625" style="779" customWidth="1"/>
    <col min="2050" max="2050" width="19.7109375" style="779" customWidth="1"/>
    <col min="2051" max="2051" width="11.28515625" style="779" customWidth="1"/>
    <col min="2052" max="2052" width="16.28515625" style="779" customWidth="1"/>
    <col min="2053" max="2303" width="9.140625" style="779"/>
    <col min="2304" max="2304" width="5.7109375" style="779" customWidth="1"/>
    <col min="2305" max="2305" width="46.28515625" style="779" customWidth="1"/>
    <col min="2306" max="2306" width="19.7109375" style="779" customWidth="1"/>
    <col min="2307" max="2307" width="11.28515625" style="779" customWidth="1"/>
    <col min="2308" max="2308" width="16.28515625" style="779" customWidth="1"/>
    <col min="2309" max="2559" width="9.140625" style="779"/>
    <col min="2560" max="2560" width="5.7109375" style="779" customWidth="1"/>
    <col min="2561" max="2561" width="46.28515625" style="779" customWidth="1"/>
    <col min="2562" max="2562" width="19.7109375" style="779" customWidth="1"/>
    <col min="2563" max="2563" width="11.28515625" style="779" customWidth="1"/>
    <col min="2564" max="2564" width="16.28515625" style="779" customWidth="1"/>
    <col min="2565" max="2815" width="9.140625" style="779"/>
    <col min="2816" max="2816" width="5.7109375" style="779" customWidth="1"/>
    <col min="2817" max="2817" width="46.28515625" style="779" customWidth="1"/>
    <col min="2818" max="2818" width="19.7109375" style="779" customWidth="1"/>
    <col min="2819" max="2819" width="11.28515625" style="779" customWidth="1"/>
    <col min="2820" max="2820" width="16.28515625" style="779" customWidth="1"/>
    <col min="2821" max="3071" width="9.140625" style="779"/>
    <col min="3072" max="3072" width="5.7109375" style="779" customWidth="1"/>
    <col min="3073" max="3073" width="46.28515625" style="779" customWidth="1"/>
    <col min="3074" max="3074" width="19.7109375" style="779" customWidth="1"/>
    <col min="3075" max="3075" width="11.28515625" style="779" customWidth="1"/>
    <col min="3076" max="3076" width="16.28515625" style="779" customWidth="1"/>
    <col min="3077" max="3327" width="9.140625" style="779"/>
    <col min="3328" max="3328" width="5.7109375" style="779" customWidth="1"/>
    <col min="3329" max="3329" width="46.28515625" style="779" customWidth="1"/>
    <col min="3330" max="3330" width="19.7109375" style="779" customWidth="1"/>
    <col min="3331" max="3331" width="11.28515625" style="779" customWidth="1"/>
    <col min="3332" max="3332" width="16.28515625" style="779" customWidth="1"/>
    <col min="3333" max="3583" width="9.140625" style="779"/>
    <col min="3584" max="3584" width="5.7109375" style="779" customWidth="1"/>
    <col min="3585" max="3585" width="46.28515625" style="779" customWidth="1"/>
    <col min="3586" max="3586" width="19.7109375" style="779" customWidth="1"/>
    <col min="3587" max="3587" width="11.28515625" style="779" customWidth="1"/>
    <col min="3588" max="3588" width="16.28515625" style="779" customWidth="1"/>
    <col min="3589" max="3839" width="9.140625" style="779"/>
    <col min="3840" max="3840" width="5.7109375" style="779" customWidth="1"/>
    <col min="3841" max="3841" width="46.28515625" style="779" customWidth="1"/>
    <col min="3842" max="3842" width="19.7109375" style="779" customWidth="1"/>
    <col min="3843" max="3843" width="11.28515625" style="779" customWidth="1"/>
    <col min="3844" max="3844" width="16.28515625" style="779" customWidth="1"/>
    <col min="3845" max="4095" width="9.140625" style="779"/>
    <col min="4096" max="4096" width="5.7109375" style="779" customWidth="1"/>
    <col min="4097" max="4097" width="46.28515625" style="779" customWidth="1"/>
    <col min="4098" max="4098" width="19.7109375" style="779" customWidth="1"/>
    <col min="4099" max="4099" width="11.28515625" style="779" customWidth="1"/>
    <col min="4100" max="4100" width="16.28515625" style="779" customWidth="1"/>
    <col min="4101" max="4351" width="9.140625" style="779"/>
    <col min="4352" max="4352" width="5.7109375" style="779" customWidth="1"/>
    <col min="4353" max="4353" width="46.28515625" style="779" customWidth="1"/>
    <col min="4354" max="4354" width="19.7109375" style="779" customWidth="1"/>
    <col min="4355" max="4355" width="11.28515625" style="779" customWidth="1"/>
    <col min="4356" max="4356" width="16.28515625" style="779" customWidth="1"/>
    <col min="4357" max="4607" width="9.140625" style="779"/>
    <col min="4608" max="4608" width="5.7109375" style="779" customWidth="1"/>
    <col min="4609" max="4609" width="46.28515625" style="779" customWidth="1"/>
    <col min="4610" max="4610" width="19.7109375" style="779" customWidth="1"/>
    <col min="4611" max="4611" width="11.28515625" style="779" customWidth="1"/>
    <col min="4612" max="4612" width="16.28515625" style="779" customWidth="1"/>
    <col min="4613" max="4863" width="9.140625" style="779"/>
    <col min="4864" max="4864" width="5.7109375" style="779" customWidth="1"/>
    <col min="4865" max="4865" width="46.28515625" style="779" customWidth="1"/>
    <col min="4866" max="4866" width="19.7109375" style="779" customWidth="1"/>
    <col min="4867" max="4867" width="11.28515625" style="779" customWidth="1"/>
    <col min="4868" max="4868" width="16.28515625" style="779" customWidth="1"/>
    <col min="4869" max="5119" width="9.140625" style="779"/>
    <col min="5120" max="5120" width="5.7109375" style="779" customWidth="1"/>
    <col min="5121" max="5121" width="46.28515625" style="779" customWidth="1"/>
    <col min="5122" max="5122" width="19.7109375" style="779" customWidth="1"/>
    <col min="5123" max="5123" width="11.28515625" style="779" customWidth="1"/>
    <col min="5124" max="5124" width="16.28515625" style="779" customWidth="1"/>
    <col min="5125" max="5375" width="9.140625" style="779"/>
    <col min="5376" max="5376" width="5.7109375" style="779" customWidth="1"/>
    <col min="5377" max="5377" width="46.28515625" style="779" customWidth="1"/>
    <col min="5378" max="5378" width="19.7109375" style="779" customWidth="1"/>
    <col min="5379" max="5379" width="11.28515625" style="779" customWidth="1"/>
    <col min="5380" max="5380" width="16.28515625" style="779" customWidth="1"/>
    <col min="5381" max="5631" width="9.140625" style="779"/>
    <col min="5632" max="5632" width="5.7109375" style="779" customWidth="1"/>
    <col min="5633" max="5633" width="46.28515625" style="779" customWidth="1"/>
    <col min="5634" max="5634" width="19.7109375" style="779" customWidth="1"/>
    <col min="5635" max="5635" width="11.28515625" style="779" customWidth="1"/>
    <col min="5636" max="5636" width="16.28515625" style="779" customWidth="1"/>
    <col min="5637" max="5887" width="9.140625" style="779"/>
    <col min="5888" max="5888" width="5.7109375" style="779" customWidth="1"/>
    <col min="5889" max="5889" width="46.28515625" style="779" customWidth="1"/>
    <col min="5890" max="5890" width="19.7109375" style="779" customWidth="1"/>
    <col min="5891" max="5891" width="11.28515625" style="779" customWidth="1"/>
    <col min="5892" max="5892" width="16.28515625" style="779" customWidth="1"/>
    <col min="5893" max="6143" width="9.140625" style="779"/>
    <col min="6144" max="6144" width="5.7109375" style="779" customWidth="1"/>
    <col min="6145" max="6145" width="46.28515625" style="779" customWidth="1"/>
    <col min="6146" max="6146" width="19.7109375" style="779" customWidth="1"/>
    <col min="6147" max="6147" width="11.28515625" style="779" customWidth="1"/>
    <col min="6148" max="6148" width="16.28515625" style="779" customWidth="1"/>
    <col min="6149" max="6399" width="9.140625" style="779"/>
    <col min="6400" max="6400" width="5.7109375" style="779" customWidth="1"/>
    <col min="6401" max="6401" width="46.28515625" style="779" customWidth="1"/>
    <col min="6402" max="6402" width="19.7109375" style="779" customWidth="1"/>
    <col min="6403" max="6403" width="11.28515625" style="779" customWidth="1"/>
    <col min="6404" max="6404" width="16.28515625" style="779" customWidth="1"/>
    <col min="6405" max="6655" width="9.140625" style="779"/>
    <col min="6656" max="6656" width="5.7109375" style="779" customWidth="1"/>
    <col min="6657" max="6657" width="46.28515625" style="779" customWidth="1"/>
    <col min="6658" max="6658" width="19.7109375" style="779" customWidth="1"/>
    <col min="6659" max="6659" width="11.28515625" style="779" customWidth="1"/>
    <col min="6660" max="6660" width="16.28515625" style="779" customWidth="1"/>
    <col min="6661" max="6911" width="9.140625" style="779"/>
    <col min="6912" max="6912" width="5.7109375" style="779" customWidth="1"/>
    <col min="6913" max="6913" width="46.28515625" style="779" customWidth="1"/>
    <col min="6914" max="6914" width="19.7109375" style="779" customWidth="1"/>
    <col min="6915" max="6915" width="11.28515625" style="779" customWidth="1"/>
    <col min="6916" max="6916" width="16.28515625" style="779" customWidth="1"/>
    <col min="6917" max="7167" width="9.140625" style="779"/>
    <col min="7168" max="7168" width="5.7109375" style="779" customWidth="1"/>
    <col min="7169" max="7169" width="46.28515625" style="779" customWidth="1"/>
    <col min="7170" max="7170" width="19.7109375" style="779" customWidth="1"/>
    <col min="7171" max="7171" width="11.28515625" style="779" customWidth="1"/>
    <col min="7172" max="7172" width="16.28515625" style="779" customWidth="1"/>
    <col min="7173" max="7423" width="9.140625" style="779"/>
    <col min="7424" max="7424" width="5.7109375" style="779" customWidth="1"/>
    <col min="7425" max="7425" width="46.28515625" style="779" customWidth="1"/>
    <col min="7426" max="7426" width="19.7109375" style="779" customWidth="1"/>
    <col min="7427" max="7427" width="11.28515625" style="779" customWidth="1"/>
    <col min="7428" max="7428" width="16.28515625" style="779" customWidth="1"/>
    <col min="7429" max="7679" width="9.140625" style="779"/>
    <col min="7680" max="7680" width="5.7109375" style="779" customWidth="1"/>
    <col min="7681" max="7681" width="46.28515625" style="779" customWidth="1"/>
    <col min="7682" max="7682" width="19.7109375" style="779" customWidth="1"/>
    <col min="7683" max="7683" width="11.28515625" style="779" customWidth="1"/>
    <col min="7684" max="7684" width="16.28515625" style="779" customWidth="1"/>
    <col min="7685" max="7935" width="9.140625" style="779"/>
    <col min="7936" max="7936" width="5.7109375" style="779" customWidth="1"/>
    <col min="7937" max="7937" width="46.28515625" style="779" customWidth="1"/>
    <col min="7938" max="7938" width="19.7109375" style="779" customWidth="1"/>
    <col min="7939" max="7939" width="11.28515625" style="779" customWidth="1"/>
    <col min="7940" max="7940" width="16.28515625" style="779" customWidth="1"/>
    <col min="7941" max="8191" width="9.140625" style="779"/>
    <col min="8192" max="8192" width="5.7109375" style="779" customWidth="1"/>
    <col min="8193" max="8193" width="46.28515625" style="779" customWidth="1"/>
    <col min="8194" max="8194" width="19.7109375" style="779" customWidth="1"/>
    <col min="8195" max="8195" width="11.28515625" style="779" customWidth="1"/>
    <col min="8196" max="8196" width="16.28515625" style="779" customWidth="1"/>
    <col min="8197" max="8447" width="9.140625" style="779"/>
    <col min="8448" max="8448" width="5.7109375" style="779" customWidth="1"/>
    <col min="8449" max="8449" width="46.28515625" style="779" customWidth="1"/>
    <col min="8450" max="8450" width="19.7109375" style="779" customWidth="1"/>
    <col min="8451" max="8451" width="11.28515625" style="779" customWidth="1"/>
    <col min="8452" max="8452" width="16.28515625" style="779" customWidth="1"/>
    <col min="8453" max="8703" width="9.140625" style="779"/>
    <col min="8704" max="8704" width="5.7109375" style="779" customWidth="1"/>
    <col min="8705" max="8705" width="46.28515625" style="779" customWidth="1"/>
    <col min="8706" max="8706" width="19.7109375" style="779" customWidth="1"/>
    <col min="8707" max="8707" width="11.28515625" style="779" customWidth="1"/>
    <col min="8708" max="8708" width="16.28515625" style="779" customWidth="1"/>
    <col min="8709" max="8959" width="9.140625" style="779"/>
    <col min="8960" max="8960" width="5.7109375" style="779" customWidth="1"/>
    <col min="8961" max="8961" width="46.28515625" style="779" customWidth="1"/>
    <col min="8962" max="8962" width="19.7109375" style="779" customWidth="1"/>
    <col min="8963" max="8963" width="11.28515625" style="779" customWidth="1"/>
    <col min="8964" max="8964" width="16.28515625" style="779" customWidth="1"/>
    <col min="8965" max="9215" width="9.140625" style="779"/>
    <col min="9216" max="9216" width="5.7109375" style="779" customWidth="1"/>
    <col min="9217" max="9217" width="46.28515625" style="779" customWidth="1"/>
    <col min="9218" max="9218" width="19.7109375" style="779" customWidth="1"/>
    <col min="9219" max="9219" width="11.28515625" style="779" customWidth="1"/>
    <col min="9220" max="9220" width="16.28515625" style="779" customWidth="1"/>
    <col min="9221" max="9471" width="9.140625" style="779"/>
    <col min="9472" max="9472" width="5.7109375" style="779" customWidth="1"/>
    <col min="9473" max="9473" width="46.28515625" style="779" customWidth="1"/>
    <col min="9474" max="9474" width="19.7109375" style="779" customWidth="1"/>
    <col min="9475" max="9475" width="11.28515625" style="779" customWidth="1"/>
    <col min="9476" max="9476" width="16.28515625" style="779" customWidth="1"/>
    <col min="9477" max="9727" width="9.140625" style="779"/>
    <col min="9728" max="9728" width="5.7109375" style="779" customWidth="1"/>
    <col min="9729" max="9729" width="46.28515625" style="779" customWidth="1"/>
    <col min="9730" max="9730" width="19.7109375" style="779" customWidth="1"/>
    <col min="9731" max="9731" width="11.28515625" style="779" customWidth="1"/>
    <col min="9732" max="9732" width="16.28515625" style="779" customWidth="1"/>
    <col min="9733" max="9983" width="9.140625" style="779"/>
    <col min="9984" max="9984" width="5.7109375" style="779" customWidth="1"/>
    <col min="9985" max="9985" width="46.28515625" style="779" customWidth="1"/>
    <col min="9986" max="9986" width="19.7109375" style="779" customWidth="1"/>
    <col min="9987" max="9987" width="11.28515625" style="779" customWidth="1"/>
    <col min="9988" max="9988" width="16.28515625" style="779" customWidth="1"/>
    <col min="9989" max="10239" width="9.140625" style="779"/>
    <col min="10240" max="10240" width="5.7109375" style="779" customWidth="1"/>
    <col min="10241" max="10241" width="46.28515625" style="779" customWidth="1"/>
    <col min="10242" max="10242" width="19.7109375" style="779" customWidth="1"/>
    <col min="10243" max="10243" width="11.28515625" style="779" customWidth="1"/>
    <col min="10244" max="10244" width="16.28515625" style="779" customWidth="1"/>
    <col min="10245" max="10495" width="9.140625" style="779"/>
    <col min="10496" max="10496" width="5.7109375" style="779" customWidth="1"/>
    <col min="10497" max="10497" width="46.28515625" style="779" customWidth="1"/>
    <col min="10498" max="10498" width="19.7109375" style="779" customWidth="1"/>
    <col min="10499" max="10499" width="11.28515625" style="779" customWidth="1"/>
    <col min="10500" max="10500" width="16.28515625" style="779" customWidth="1"/>
    <col min="10501" max="10751" width="9.140625" style="779"/>
    <col min="10752" max="10752" width="5.7109375" style="779" customWidth="1"/>
    <col min="10753" max="10753" width="46.28515625" style="779" customWidth="1"/>
    <col min="10754" max="10754" width="19.7109375" style="779" customWidth="1"/>
    <col min="10755" max="10755" width="11.28515625" style="779" customWidth="1"/>
    <col min="10756" max="10756" width="16.28515625" style="779" customWidth="1"/>
    <col min="10757" max="11007" width="9.140625" style="779"/>
    <col min="11008" max="11008" width="5.7109375" style="779" customWidth="1"/>
    <col min="11009" max="11009" width="46.28515625" style="779" customWidth="1"/>
    <col min="11010" max="11010" width="19.7109375" style="779" customWidth="1"/>
    <col min="11011" max="11011" width="11.28515625" style="779" customWidth="1"/>
    <col min="11012" max="11012" width="16.28515625" style="779" customWidth="1"/>
    <col min="11013" max="11263" width="9.140625" style="779"/>
    <col min="11264" max="11264" width="5.7109375" style="779" customWidth="1"/>
    <col min="11265" max="11265" width="46.28515625" style="779" customWidth="1"/>
    <col min="11266" max="11266" width="19.7109375" style="779" customWidth="1"/>
    <col min="11267" max="11267" width="11.28515625" style="779" customWidth="1"/>
    <col min="11268" max="11268" width="16.28515625" style="779" customWidth="1"/>
    <col min="11269" max="11519" width="9.140625" style="779"/>
    <col min="11520" max="11520" width="5.7109375" style="779" customWidth="1"/>
    <col min="11521" max="11521" width="46.28515625" style="779" customWidth="1"/>
    <col min="11522" max="11522" width="19.7109375" style="779" customWidth="1"/>
    <col min="11523" max="11523" width="11.28515625" style="779" customWidth="1"/>
    <col min="11524" max="11524" width="16.28515625" style="779" customWidth="1"/>
    <col min="11525" max="11775" width="9.140625" style="779"/>
    <col min="11776" max="11776" width="5.7109375" style="779" customWidth="1"/>
    <col min="11777" max="11777" width="46.28515625" style="779" customWidth="1"/>
    <col min="11778" max="11778" width="19.7109375" style="779" customWidth="1"/>
    <col min="11779" max="11779" width="11.28515625" style="779" customWidth="1"/>
    <col min="11780" max="11780" width="16.28515625" style="779" customWidth="1"/>
    <col min="11781" max="12031" width="9.140625" style="779"/>
    <col min="12032" max="12032" width="5.7109375" style="779" customWidth="1"/>
    <col min="12033" max="12033" width="46.28515625" style="779" customWidth="1"/>
    <col min="12034" max="12034" width="19.7109375" style="779" customWidth="1"/>
    <col min="12035" max="12035" width="11.28515625" style="779" customWidth="1"/>
    <col min="12036" max="12036" width="16.28515625" style="779" customWidth="1"/>
    <col min="12037" max="12287" width="9.140625" style="779"/>
    <col min="12288" max="12288" width="5.7109375" style="779" customWidth="1"/>
    <col min="12289" max="12289" width="46.28515625" style="779" customWidth="1"/>
    <col min="12290" max="12290" width="19.7109375" style="779" customWidth="1"/>
    <col min="12291" max="12291" width="11.28515625" style="779" customWidth="1"/>
    <col min="12292" max="12292" width="16.28515625" style="779" customWidth="1"/>
    <col min="12293" max="12543" width="9.140625" style="779"/>
    <col min="12544" max="12544" width="5.7109375" style="779" customWidth="1"/>
    <col min="12545" max="12545" width="46.28515625" style="779" customWidth="1"/>
    <col min="12546" max="12546" width="19.7109375" style="779" customWidth="1"/>
    <col min="12547" max="12547" width="11.28515625" style="779" customWidth="1"/>
    <col min="12548" max="12548" width="16.28515625" style="779" customWidth="1"/>
    <col min="12549" max="12799" width="9.140625" style="779"/>
    <col min="12800" max="12800" width="5.7109375" style="779" customWidth="1"/>
    <col min="12801" max="12801" width="46.28515625" style="779" customWidth="1"/>
    <col min="12802" max="12802" width="19.7109375" style="779" customWidth="1"/>
    <col min="12803" max="12803" width="11.28515625" style="779" customWidth="1"/>
    <col min="12804" max="12804" width="16.28515625" style="779" customWidth="1"/>
    <col min="12805" max="13055" width="9.140625" style="779"/>
    <col min="13056" max="13056" width="5.7109375" style="779" customWidth="1"/>
    <col min="13057" max="13057" width="46.28515625" style="779" customWidth="1"/>
    <col min="13058" max="13058" width="19.7109375" style="779" customWidth="1"/>
    <col min="13059" max="13059" width="11.28515625" style="779" customWidth="1"/>
    <col min="13060" max="13060" width="16.28515625" style="779" customWidth="1"/>
    <col min="13061" max="13311" width="9.140625" style="779"/>
    <col min="13312" max="13312" width="5.7109375" style="779" customWidth="1"/>
    <col min="13313" max="13313" width="46.28515625" style="779" customWidth="1"/>
    <col min="13314" max="13314" width="19.7109375" style="779" customWidth="1"/>
    <col min="13315" max="13315" width="11.28515625" style="779" customWidth="1"/>
    <col min="13316" max="13316" width="16.28515625" style="779" customWidth="1"/>
    <col min="13317" max="13567" width="9.140625" style="779"/>
    <col min="13568" max="13568" width="5.7109375" style="779" customWidth="1"/>
    <col min="13569" max="13569" width="46.28515625" style="779" customWidth="1"/>
    <col min="13570" max="13570" width="19.7109375" style="779" customWidth="1"/>
    <col min="13571" max="13571" width="11.28515625" style="779" customWidth="1"/>
    <col min="13572" max="13572" width="16.28515625" style="779" customWidth="1"/>
    <col min="13573" max="13823" width="9.140625" style="779"/>
    <col min="13824" max="13824" width="5.7109375" style="779" customWidth="1"/>
    <col min="13825" max="13825" width="46.28515625" style="779" customWidth="1"/>
    <col min="13826" max="13826" width="19.7109375" style="779" customWidth="1"/>
    <col min="13827" max="13827" width="11.28515625" style="779" customWidth="1"/>
    <col min="13828" max="13828" width="16.28515625" style="779" customWidth="1"/>
    <col min="13829" max="14079" width="9.140625" style="779"/>
    <col min="14080" max="14080" width="5.7109375" style="779" customWidth="1"/>
    <col min="14081" max="14081" width="46.28515625" style="779" customWidth="1"/>
    <col min="14082" max="14082" width="19.7109375" style="779" customWidth="1"/>
    <col min="14083" max="14083" width="11.28515625" style="779" customWidth="1"/>
    <col min="14084" max="14084" width="16.28515625" style="779" customWidth="1"/>
    <col min="14085" max="14335" width="9.140625" style="779"/>
    <col min="14336" max="14336" width="5.7109375" style="779" customWidth="1"/>
    <col min="14337" max="14337" width="46.28515625" style="779" customWidth="1"/>
    <col min="14338" max="14338" width="19.7109375" style="779" customWidth="1"/>
    <col min="14339" max="14339" width="11.28515625" style="779" customWidth="1"/>
    <col min="14340" max="14340" width="16.28515625" style="779" customWidth="1"/>
    <col min="14341" max="14591" width="9.140625" style="779"/>
    <col min="14592" max="14592" width="5.7109375" style="779" customWidth="1"/>
    <col min="14593" max="14593" width="46.28515625" style="779" customWidth="1"/>
    <col min="14594" max="14594" width="19.7109375" style="779" customWidth="1"/>
    <col min="14595" max="14595" width="11.28515625" style="779" customWidth="1"/>
    <col min="14596" max="14596" width="16.28515625" style="779" customWidth="1"/>
    <col min="14597" max="14847" width="9.140625" style="779"/>
    <col min="14848" max="14848" width="5.7109375" style="779" customWidth="1"/>
    <col min="14849" max="14849" width="46.28515625" style="779" customWidth="1"/>
    <col min="14850" max="14850" width="19.7109375" style="779" customWidth="1"/>
    <col min="14851" max="14851" width="11.28515625" style="779" customWidth="1"/>
    <col min="14852" max="14852" width="16.28515625" style="779" customWidth="1"/>
    <col min="14853" max="15103" width="9.140625" style="779"/>
    <col min="15104" max="15104" width="5.7109375" style="779" customWidth="1"/>
    <col min="15105" max="15105" width="46.28515625" style="779" customWidth="1"/>
    <col min="15106" max="15106" width="19.7109375" style="779" customWidth="1"/>
    <col min="15107" max="15107" width="11.28515625" style="779" customWidth="1"/>
    <col min="15108" max="15108" width="16.28515625" style="779" customWidth="1"/>
    <col min="15109" max="15359" width="9.140625" style="779"/>
    <col min="15360" max="15360" width="5.7109375" style="779" customWidth="1"/>
    <col min="15361" max="15361" width="46.28515625" style="779" customWidth="1"/>
    <col min="15362" max="15362" width="19.7109375" style="779" customWidth="1"/>
    <col min="15363" max="15363" width="11.28515625" style="779" customWidth="1"/>
    <col min="15364" max="15364" width="16.28515625" style="779" customWidth="1"/>
    <col min="15365" max="15615" width="9.140625" style="779"/>
    <col min="15616" max="15616" width="5.7109375" style="779" customWidth="1"/>
    <col min="15617" max="15617" width="46.28515625" style="779" customWidth="1"/>
    <col min="15618" max="15618" width="19.7109375" style="779" customWidth="1"/>
    <col min="15619" max="15619" width="11.28515625" style="779" customWidth="1"/>
    <col min="15620" max="15620" width="16.28515625" style="779" customWidth="1"/>
    <col min="15621" max="15871" width="9.140625" style="779"/>
    <col min="15872" max="15872" width="5.7109375" style="779" customWidth="1"/>
    <col min="15873" max="15873" width="46.28515625" style="779" customWidth="1"/>
    <col min="15874" max="15874" width="19.7109375" style="779" customWidth="1"/>
    <col min="15875" max="15875" width="11.28515625" style="779" customWidth="1"/>
    <col min="15876" max="15876" width="16.28515625" style="779" customWidth="1"/>
    <col min="15877" max="16127" width="9.140625" style="779"/>
    <col min="16128" max="16128" width="5.7109375" style="779" customWidth="1"/>
    <col min="16129" max="16129" width="46.28515625" style="779" customWidth="1"/>
    <col min="16130" max="16130" width="19.7109375" style="779" customWidth="1"/>
    <col min="16131" max="16131" width="11.28515625" style="779" customWidth="1"/>
    <col min="16132" max="16132" width="16.28515625" style="779" customWidth="1"/>
    <col min="16133" max="16384" width="9.140625" style="779"/>
  </cols>
  <sheetData>
    <row r="2" spans="1:11" ht="28.5" customHeight="1" x14ac:dyDescent="0.25">
      <c r="A2" s="1974" t="s">
        <v>20</v>
      </c>
      <c r="B2" s="1987"/>
      <c r="C2" s="1987"/>
      <c r="D2" s="1987"/>
      <c r="E2" s="1987"/>
    </row>
    <row r="4" spans="1:11" x14ac:dyDescent="0.25">
      <c r="A4" s="1988" t="s">
        <v>5673</v>
      </c>
      <c r="B4" s="1988"/>
      <c r="C4" s="1988"/>
      <c r="D4" s="1988"/>
      <c r="E4" s="1988"/>
      <c r="F4" s="780"/>
      <c r="G4" s="780"/>
      <c r="H4" s="780"/>
      <c r="I4" s="780"/>
      <c r="J4" s="780"/>
      <c r="K4" s="780"/>
    </row>
    <row r="5" spans="1:11" ht="33" customHeight="1" x14ac:dyDescent="0.25">
      <c r="A5" s="1989" t="s">
        <v>5674</v>
      </c>
      <c r="B5" s="1989"/>
      <c r="C5" s="1989"/>
      <c r="D5" s="1989"/>
      <c r="E5" s="1989"/>
      <c r="F5" s="781"/>
      <c r="G5" s="781"/>
      <c r="H5" s="781"/>
      <c r="I5" s="781"/>
      <c r="J5" s="781"/>
      <c r="K5" s="781"/>
    </row>
    <row r="6" spans="1:11" ht="33" customHeight="1" x14ac:dyDescent="0.25">
      <c r="A6" s="1990" t="s">
        <v>562</v>
      </c>
      <c r="B6" s="1990"/>
      <c r="C6" s="782" t="s">
        <v>5654</v>
      </c>
      <c r="D6" s="782"/>
      <c r="E6" s="782"/>
      <c r="F6" s="782"/>
      <c r="G6" s="781"/>
      <c r="H6" s="781"/>
      <c r="I6" s="781"/>
      <c r="J6" s="781"/>
      <c r="K6" s="781"/>
    </row>
    <row r="7" spans="1:11" ht="33" customHeight="1" x14ac:dyDescent="0.3">
      <c r="A7" s="1990" t="s">
        <v>5655</v>
      </c>
      <c r="B7" s="1990"/>
      <c r="C7" s="783" t="s">
        <v>5656</v>
      </c>
      <c r="D7" s="782"/>
      <c r="E7" s="782"/>
      <c r="F7" s="782"/>
      <c r="G7" s="781"/>
      <c r="H7" s="781"/>
      <c r="I7" s="781"/>
      <c r="J7" s="781"/>
      <c r="K7" s="781"/>
    </row>
    <row r="8" spans="1:11" ht="33" customHeight="1" x14ac:dyDescent="0.25">
      <c r="A8" s="784" t="s">
        <v>5657</v>
      </c>
      <c r="B8" s="782"/>
      <c r="C8" s="782" t="s">
        <v>5675</v>
      </c>
      <c r="D8" s="782"/>
      <c r="E8" s="782"/>
      <c r="F8" s="782"/>
      <c r="G8" s="781"/>
      <c r="H8" s="781"/>
      <c r="I8" s="781"/>
      <c r="J8" s="781"/>
      <c r="K8" s="781"/>
    </row>
    <row r="9" spans="1:11" ht="33" customHeight="1" x14ac:dyDescent="0.25">
      <c r="A9" s="784" t="s">
        <v>5658</v>
      </c>
      <c r="B9" s="782"/>
      <c r="C9" s="782" t="s">
        <v>5676</v>
      </c>
      <c r="D9" s="782"/>
      <c r="E9" s="782"/>
      <c r="F9" s="782"/>
      <c r="G9" s="781"/>
      <c r="H9" s="781"/>
      <c r="I9" s="781"/>
      <c r="J9" s="781"/>
      <c r="K9" s="781"/>
    </row>
    <row r="10" spans="1:11" ht="33" customHeight="1" x14ac:dyDescent="0.25">
      <c r="A10" s="1985" t="s">
        <v>5659</v>
      </c>
      <c r="B10" s="1986"/>
      <c r="C10" s="1986"/>
      <c r="D10" s="1986"/>
      <c r="E10" s="1986"/>
      <c r="F10" s="1986"/>
      <c r="G10" s="781"/>
      <c r="H10" s="781"/>
      <c r="I10" s="781"/>
      <c r="J10" s="781"/>
      <c r="K10" s="781"/>
    </row>
    <row r="11" spans="1:11" ht="33" customHeight="1" x14ac:dyDescent="0.25">
      <c r="A11" s="1993" t="s">
        <v>5677</v>
      </c>
      <c r="B11" s="1993"/>
      <c r="C11" s="1993"/>
      <c r="D11" s="1993"/>
      <c r="E11" s="1993"/>
      <c r="F11" s="781"/>
      <c r="G11" s="781"/>
      <c r="H11" s="781"/>
      <c r="I11" s="781"/>
      <c r="J11" s="781"/>
      <c r="K11" s="781"/>
    </row>
    <row r="12" spans="1:11" ht="33" customHeight="1" x14ac:dyDescent="0.25">
      <c r="A12" s="1108" t="s">
        <v>5660</v>
      </c>
      <c r="B12" s="1108" t="s">
        <v>5661</v>
      </c>
      <c r="C12" s="1108" t="s">
        <v>145</v>
      </c>
      <c r="D12" s="1108" t="s">
        <v>5678</v>
      </c>
      <c r="E12" s="1108" t="s">
        <v>7</v>
      </c>
      <c r="F12" s="781"/>
      <c r="G12" s="781"/>
      <c r="H12" s="781"/>
      <c r="I12" s="781"/>
      <c r="J12" s="781"/>
      <c r="K12" s="781"/>
    </row>
    <row r="13" spans="1:11" ht="24.75" customHeight="1" x14ac:dyDescent="0.25">
      <c r="A13" s="1994" t="s">
        <v>5679</v>
      </c>
      <c r="B13" s="1995"/>
      <c r="C13" s="1995"/>
      <c r="D13" s="1995"/>
      <c r="E13" s="1996"/>
      <c r="F13" s="781"/>
      <c r="G13" s="781"/>
      <c r="H13" s="781"/>
      <c r="I13" s="781"/>
      <c r="J13" s="781"/>
      <c r="K13" s="781"/>
    </row>
    <row r="14" spans="1:11" ht="24.75" customHeight="1" x14ac:dyDescent="0.25">
      <c r="A14" s="1109">
        <v>1</v>
      </c>
      <c r="B14" s="1110" t="s">
        <v>5680</v>
      </c>
      <c r="C14" s="1111" t="s">
        <v>5675</v>
      </c>
      <c r="D14" s="1111" t="s">
        <v>5681</v>
      </c>
      <c r="E14" s="1111">
        <v>18.2</v>
      </c>
      <c r="F14" s="781"/>
      <c r="G14" s="781"/>
      <c r="H14" s="781"/>
      <c r="I14" s="781"/>
      <c r="J14" s="781"/>
      <c r="K14" s="781"/>
    </row>
    <row r="15" spans="1:11" ht="33" customHeight="1" x14ac:dyDescent="0.25">
      <c r="A15" s="1109">
        <v>2</v>
      </c>
      <c r="B15" s="1110" t="s">
        <v>5682</v>
      </c>
      <c r="C15" s="1111" t="s">
        <v>5675</v>
      </c>
      <c r="D15" s="1112" t="s">
        <v>5683</v>
      </c>
      <c r="E15" s="1112">
        <v>19</v>
      </c>
      <c r="F15" s="781"/>
      <c r="G15" s="781"/>
      <c r="H15" s="781"/>
      <c r="I15" s="781"/>
      <c r="J15" s="781"/>
      <c r="K15" s="781"/>
    </row>
    <row r="16" spans="1:11" ht="33" customHeight="1" x14ac:dyDescent="0.25">
      <c r="A16" s="1113">
        <v>3</v>
      </c>
      <c r="B16" s="1114" t="s">
        <v>5684</v>
      </c>
      <c r="C16" s="1115" t="s">
        <v>5685</v>
      </c>
      <c r="D16" s="1116" t="s">
        <v>628</v>
      </c>
      <c r="E16" s="1117">
        <v>2</v>
      </c>
      <c r="F16" s="781"/>
      <c r="G16" s="781"/>
      <c r="H16" s="781"/>
      <c r="I16" s="781"/>
      <c r="J16" s="781"/>
      <c r="K16" s="781"/>
    </row>
    <row r="17" spans="1:11" ht="33" customHeight="1" x14ac:dyDescent="0.25">
      <c r="A17" s="1113">
        <v>4</v>
      </c>
      <c r="B17" s="1114" t="s">
        <v>5686</v>
      </c>
      <c r="C17" s="1118" t="s">
        <v>5687</v>
      </c>
      <c r="D17" s="1119" t="s">
        <v>5688</v>
      </c>
      <c r="E17" s="1120">
        <f>361/1.2/12.14</f>
        <v>24.78</v>
      </c>
      <c r="F17" s="781"/>
      <c r="G17" s="781"/>
      <c r="H17" s="781"/>
      <c r="I17" s="781"/>
      <c r="J17" s="781"/>
      <c r="K17" s="781"/>
    </row>
    <row r="18" spans="1:11" ht="64.5" customHeight="1" x14ac:dyDescent="0.25">
      <c r="A18" s="1113">
        <v>5</v>
      </c>
      <c r="B18" s="1121" t="s">
        <v>5689</v>
      </c>
      <c r="C18" s="1118" t="s">
        <v>9649</v>
      </c>
      <c r="D18" s="1119" t="s">
        <v>5688</v>
      </c>
      <c r="E18" s="1120">
        <f>E14*E15*E16*E17</f>
        <v>17137.849999999999</v>
      </c>
      <c r="F18" s="781"/>
      <c r="G18" s="781"/>
      <c r="H18" s="781"/>
      <c r="I18" s="781"/>
      <c r="J18" s="781"/>
      <c r="K18" s="781"/>
    </row>
    <row r="19" spans="1:11" ht="34.5" customHeight="1" x14ac:dyDescent="0.25">
      <c r="A19" s="1997" t="s">
        <v>5690</v>
      </c>
      <c r="B19" s="1998"/>
      <c r="C19" s="1998"/>
      <c r="D19" s="1998"/>
      <c r="E19" s="1999"/>
      <c r="F19" s="781"/>
      <c r="G19" s="781"/>
      <c r="H19" s="781"/>
      <c r="I19" s="781"/>
      <c r="J19" s="781"/>
      <c r="K19" s="781"/>
    </row>
    <row r="20" spans="1:11" ht="54" customHeight="1" x14ac:dyDescent="0.25">
      <c r="A20" s="1122">
        <v>6</v>
      </c>
      <c r="B20" s="1123" t="s">
        <v>5691</v>
      </c>
      <c r="C20" s="1124" t="s">
        <v>5692</v>
      </c>
      <c r="D20" s="184" t="s">
        <v>519</v>
      </c>
      <c r="E20" s="185">
        <v>100</v>
      </c>
      <c r="F20" s="781"/>
      <c r="G20" s="781"/>
      <c r="H20" s="781"/>
      <c r="I20" s="781"/>
      <c r="J20" s="781"/>
      <c r="K20" s="781"/>
    </row>
    <row r="21" spans="1:11" ht="33" customHeight="1" x14ac:dyDescent="0.25">
      <c r="A21" s="1113">
        <v>7</v>
      </c>
      <c r="B21" s="1125" t="s">
        <v>5693</v>
      </c>
      <c r="C21" s="1126"/>
      <c r="D21" s="1126" t="s">
        <v>5683</v>
      </c>
      <c r="E21" s="1127">
        <v>30</v>
      </c>
      <c r="F21" s="781"/>
      <c r="G21" s="781"/>
      <c r="H21" s="781"/>
      <c r="I21" s="781"/>
      <c r="J21" s="781"/>
      <c r="K21" s="781"/>
    </row>
    <row r="22" spans="1:11" ht="33" customHeight="1" x14ac:dyDescent="0.25">
      <c r="A22" s="1113">
        <v>8</v>
      </c>
      <c r="B22" s="1125" t="s">
        <v>5694</v>
      </c>
      <c r="C22" s="1126" t="s">
        <v>5695</v>
      </c>
      <c r="D22" s="1126" t="s">
        <v>5696</v>
      </c>
      <c r="E22" s="1117">
        <v>1</v>
      </c>
      <c r="F22" s="781"/>
      <c r="G22" s="781"/>
      <c r="H22" s="781"/>
      <c r="I22" s="781"/>
      <c r="J22" s="781"/>
      <c r="K22" s="781"/>
    </row>
    <row r="23" spans="1:11" ht="33" customHeight="1" x14ac:dyDescent="0.25">
      <c r="A23" s="1113">
        <v>9</v>
      </c>
      <c r="B23" s="1128" t="s">
        <v>5697</v>
      </c>
      <c r="C23" s="1119" t="s">
        <v>5698</v>
      </c>
      <c r="D23" s="1126" t="s">
        <v>628</v>
      </c>
      <c r="E23" s="1117">
        <f>E16*E22*18.2</f>
        <v>36</v>
      </c>
      <c r="F23" s="781"/>
      <c r="G23" s="781"/>
      <c r="H23" s="781"/>
      <c r="I23" s="781"/>
      <c r="J23" s="781"/>
      <c r="K23" s="781"/>
    </row>
    <row r="24" spans="1:11" ht="69.75" customHeight="1" x14ac:dyDescent="0.25">
      <c r="A24" s="1113">
        <v>10</v>
      </c>
      <c r="B24" s="1125" t="s">
        <v>5699</v>
      </c>
      <c r="C24" s="1119" t="s">
        <v>5700</v>
      </c>
      <c r="D24" s="1126" t="s">
        <v>5701</v>
      </c>
      <c r="E24" s="1129">
        <v>45</v>
      </c>
      <c r="F24" s="781"/>
      <c r="G24" s="781"/>
      <c r="H24" s="781"/>
      <c r="I24" s="781"/>
      <c r="J24" s="781"/>
      <c r="K24" s="781"/>
    </row>
    <row r="25" spans="1:11" ht="33" customHeight="1" x14ac:dyDescent="0.25">
      <c r="A25" s="1113">
        <v>11</v>
      </c>
      <c r="B25" s="1125" t="s">
        <v>5702</v>
      </c>
      <c r="C25" s="1120" t="s">
        <v>5703</v>
      </c>
      <c r="D25" s="1130" t="s">
        <v>5704</v>
      </c>
      <c r="E25" s="1131">
        <f>(E20/E24+0.2)</f>
        <v>2.4</v>
      </c>
      <c r="F25" s="781"/>
      <c r="G25" s="781"/>
      <c r="H25" s="781"/>
      <c r="I25" s="781"/>
      <c r="J25" s="781"/>
      <c r="K25" s="781"/>
    </row>
    <row r="26" spans="1:11" ht="33" customHeight="1" x14ac:dyDescent="0.25">
      <c r="A26" s="1113">
        <v>12</v>
      </c>
      <c r="B26" s="1125" t="s">
        <v>5705</v>
      </c>
      <c r="C26" s="1132" t="s">
        <v>5706</v>
      </c>
      <c r="D26" s="1133" t="s">
        <v>5707</v>
      </c>
      <c r="E26" s="1130">
        <v>56.81</v>
      </c>
      <c r="F26" s="781"/>
      <c r="G26" s="781"/>
      <c r="H26" s="781"/>
      <c r="I26" s="781"/>
      <c r="J26" s="781"/>
      <c r="K26" s="781"/>
    </row>
    <row r="27" spans="1:11" ht="33" customHeight="1" x14ac:dyDescent="0.25">
      <c r="A27" s="1113">
        <v>13</v>
      </c>
      <c r="B27" s="1125" t="s">
        <v>5708</v>
      </c>
      <c r="C27" s="1132"/>
      <c r="D27" s="1133" t="s">
        <v>5709</v>
      </c>
      <c r="E27" s="1134">
        <v>13.5</v>
      </c>
      <c r="F27" s="781"/>
      <c r="G27" s="781"/>
      <c r="H27" s="781"/>
      <c r="I27" s="781"/>
      <c r="J27" s="781"/>
      <c r="K27" s="781"/>
    </row>
    <row r="28" spans="1:11" ht="33" customHeight="1" x14ac:dyDescent="0.25">
      <c r="A28" s="1113">
        <v>14</v>
      </c>
      <c r="B28" s="1125" t="s">
        <v>5710</v>
      </c>
      <c r="C28" s="1132"/>
      <c r="D28" s="1133"/>
      <c r="E28" s="1135">
        <f>E26</f>
        <v>56.81</v>
      </c>
      <c r="F28" s="781"/>
      <c r="G28" s="781"/>
      <c r="H28" s="781"/>
      <c r="I28" s="781"/>
      <c r="J28" s="781"/>
      <c r="K28" s="781"/>
    </row>
    <row r="29" spans="1:11" ht="33" customHeight="1" x14ac:dyDescent="0.25">
      <c r="A29" s="1109">
        <v>15</v>
      </c>
      <c r="B29" s="1136" t="s">
        <v>5711</v>
      </c>
      <c r="C29" s="1137" t="s">
        <v>9647</v>
      </c>
      <c r="D29" s="1138" t="s">
        <v>5688</v>
      </c>
      <c r="E29" s="1139">
        <f>E28*E25*E23</f>
        <v>4908.38</v>
      </c>
      <c r="F29" s="781"/>
      <c r="G29" s="781"/>
      <c r="H29" s="781"/>
      <c r="I29" s="781"/>
      <c r="J29" s="781"/>
      <c r="K29" s="781"/>
    </row>
    <row r="30" spans="1:11" ht="33" customHeight="1" x14ac:dyDescent="0.25">
      <c r="A30" s="1997" t="s">
        <v>5712</v>
      </c>
      <c r="B30" s="1998"/>
      <c r="C30" s="1998"/>
      <c r="D30" s="1998"/>
      <c r="E30" s="1999"/>
      <c r="F30" s="781"/>
      <c r="G30" s="781"/>
      <c r="H30" s="781"/>
      <c r="I30" s="781"/>
      <c r="J30" s="781"/>
      <c r="K30" s="781"/>
    </row>
    <row r="31" spans="1:11" ht="33" customHeight="1" x14ac:dyDescent="0.25">
      <c r="A31" s="1113">
        <v>16</v>
      </c>
      <c r="B31" s="1140" t="s">
        <v>5713</v>
      </c>
      <c r="C31" s="1141" t="s">
        <v>5675</v>
      </c>
      <c r="D31" s="1126" t="s">
        <v>519</v>
      </c>
      <c r="E31" s="1117">
        <v>13</v>
      </c>
      <c r="F31" s="781"/>
      <c r="G31" s="781"/>
      <c r="H31" s="781"/>
      <c r="I31" s="781"/>
      <c r="J31" s="781"/>
      <c r="K31" s="781"/>
    </row>
    <row r="32" spans="1:11" ht="33" customHeight="1" x14ac:dyDescent="0.25">
      <c r="A32" s="1113">
        <v>17</v>
      </c>
      <c r="B32" s="1140" t="s">
        <v>5714</v>
      </c>
      <c r="C32" s="1141" t="s">
        <v>5715</v>
      </c>
      <c r="D32" s="1126" t="s">
        <v>628</v>
      </c>
      <c r="E32" s="1117">
        <v>2</v>
      </c>
      <c r="F32" s="781"/>
      <c r="G32" s="781"/>
      <c r="H32" s="781"/>
      <c r="I32" s="781"/>
      <c r="J32" s="781"/>
      <c r="K32" s="781"/>
    </row>
    <row r="33" spans="1:11" ht="33" customHeight="1" x14ac:dyDescent="0.25">
      <c r="A33" s="1113">
        <v>18</v>
      </c>
      <c r="B33" s="1128" t="s">
        <v>5697</v>
      </c>
      <c r="C33" s="1119" t="s">
        <v>5716</v>
      </c>
      <c r="D33" s="1126" t="s">
        <v>628</v>
      </c>
      <c r="E33" s="1117">
        <f>E16*E32*546</f>
        <v>2184</v>
      </c>
      <c r="F33" s="781"/>
      <c r="G33" s="781"/>
      <c r="H33" s="781"/>
      <c r="I33" s="781"/>
      <c r="J33" s="781"/>
      <c r="K33" s="781"/>
    </row>
    <row r="34" spans="1:11" ht="33" customHeight="1" x14ac:dyDescent="0.25">
      <c r="A34" s="1113">
        <v>19</v>
      </c>
      <c r="B34" s="1125" t="s">
        <v>5702</v>
      </c>
      <c r="C34" s="1120" t="s">
        <v>5717</v>
      </c>
      <c r="D34" s="1130" t="s">
        <v>5704</v>
      </c>
      <c r="E34" s="1131">
        <f>E31/30+0.2</f>
        <v>0.6</v>
      </c>
      <c r="F34" s="781"/>
      <c r="G34" s="781"/>
      <c r="H34" s="781"/>
      <c r="I34" s="781"/>
      <c r="J34" s="781"/>
      <c r="K34" s="781"/>
    </row>
    <row r="35" spans="1:11" ht="33" customHeight="1" x14ac:dyDescent="0.25">
      <c r="A35" s="1113">
        <v>20</v>
      </c>
      <c r="B35" s="1125" t="s">
        <v>5705</v>
      </c>
      <c r="C35" s="1132" t="s">
        <v>5706</v>
      </c>
      <c r="D35" s="1133" t="s">
        <v>5707</v>
      </c>
      <c r="E35" s="1130">
        <v>56.81</v>
      </c>
      <c r="F35" s="781"/>
      <c r="G35" s="781"/>
      <c r="H35" s="781"/>
      <c r="I35" s="781"/>
      <c r="J35" s="781"/>
      <c r="K35" s="781"/>
    </row>
    <row r="36" spans="1:11" ht="33" customHeight="1" x14ac:dyDescent="0.25">
      <c r="A36" s="1113">
        <v>21</v>
      </c>
      <c r="B36" s="1125" t="s">
        <v>5708</v>
      </c>
      <c r="C36" s="1132"/>
      <c r="D36" s="1133" t="s">
        <v>5709</v>
      </c>
      <c r="E36" s="1134">
        <v>13.5</v>
      </c>
      <c r="F36" s="781"/>
      <c r="G36" s="781"/>
      <c r="H36" s="781"/>
      <c r="I36" s="781"/>
      <c r="J36" s="781"/>
      <c r="K36" s="781"/>
    </row>
    <row r="37" spans="1:11" ht="33" customHeight="1" x14ac:dyDescent="0.25">
      <c r="A37" s="1113">
        <v>22</v>
      </c>
      <c r="B37" s="1125" t="s">
        <v>5710</v>
      </c>
      <c r="C37" s="1132"/>
      <c r="D37" s="1133"/>
      <c r="E37" s="1135">
        <f>E35</f>
        <v>56.81</v>
      </c>
      <c r="F37" s="781"/>
      <c r="G37" s="781"/>
      <c r="H37" s="1142"/>
      <c r="I37" s="781"/>
      <c r="J37" s="781"/>
      <c r="K37" s="781"/>
    </row>
    <row r="38" spans="1:11" ht="33" customHeight="1" x14ac:dyDescent="0.25">
      <c r="A38" s="1113">
        <v>23</v>
      </c>
      <c r="B38" s="1136" t="s">
        <v>9655</v>
      </c>
      <c r="C38" s="1137" t="s">
        <v>9648</v>
      </c>
      <c r="D38" s="1138" t="s">
        <v>5688</v>
      </c>
      <c r="E38" s="1135">
        <f>E37*E34*E33</f>
        <v>74443.820000000007</v>
      </c>
      <c r="F38" s="781"/>
      <c r="G38" s="781"/>
      <c r="H38" s="1142"/>
      <c r="I38" s="781"/>
      <c r="J38" s="781"/>
      <c r="K38" s="781"/>
    </row>
    <row r="39" spans="1:11" ht="33" customHeight="1" x14ac:dyDescent="0.25">
      <c r="A39" s="1143">
        <v>24</v>
      </c>
      <c r="B39" s="1144" t="s">
        <v>5718</v>
      </c>
      <c r="C39" s="1145" t="s">
        <v>9650</v>
      </c>
      <c r="D39" s="1146" t="s">
        <v>5688</v>
      </c>
      <c r="E39" s="1147">
        <f>E18+E29+E38</f>
        <v>96490.05</v>
      </c>
      <c r="F39" s="781"/>
      <c r="G39" s="781"/>
      <c r="H39" s="781"/>
      <c r="I39" s="781"/>
      <c r="J39" s="781"/>
      <c r="K39" s="781"/>
    </row>
    <row r="40" spans="1:11" ht="81.75" customHeight="1" x14ac:dyDescent="0.25">
      <c r="A40" s="756">
        <v>25</v>
      </c>
      <c r="B40" s="1149" t="s">
        <v>5719</v>
      </c>
      <c r="C40" s="1175" t="s">
        <v>9651</v>
      </c>
      <c r="D40" s="1146" t="s">
        <v>5688</v>
      </c>
      <c r="E40" s="760">
        <f>(E29+E38)*8.32</f>
        <v>660210.30000000005</v>
      </c>
      <c r="F40" s="781"/>
      <c r="G40" s="781"/>
      <c r="H40" s="781"/>
      <c r="I40" s="781"/>
      <c r="J40" s="781"/>
      <c r="K40" s="781"/>
    </row>
    <row r="41" spans="1:11" ht="92.25" customHeight="1" x14ac:dyDescent="0.25">
      <c r="A41" s="1148">
        <v>26</v>
      </c>
      <c r="B41" s="1149" t="s">
        <v>5719</v>
      </c>
      <c r="C41" s="1150" t="s">
        <v>9654</v>
      </c>
      <c r="D41" s="1151" t="s">
        <v>5688</v>
      </c>
      <c r="E41" s="1152">
        <f>E18*12.14</f>
        <v>208053.5</v>
      </c>
      <c r="F41" s="781"/>
      <c r="G41" s="781"/>
      <c r="H41" s="781"/>
      <c r="I41" s="781"/>
      <c r="J41" s="781"/>
      <c r="K41" s="781"/>
    </row>
    <row r="42" spans="1:11" ht="75.75" customHeight="1" x14ac:dyDescent="0.25">
      <c r="A42" s="761">
        <v>27</v>
      </c>
      <c r="B42" s="1149" t="s">
        <v>9652</v>
      </c>
      <c r="C42" s="791" t="s">
        <v>9653</v>
      </c>
      <c r="D42" s="1151" t="s">
        <v>5688</v>
      </c>
      <c r="E42" s="792">
        <f>E40+E41</f>
        <v>868263.8</v>
      </c>
      <c r="F42" s="781"/>
      <c r="G42" s="781"/>
      <c r="H42" s="781"/>
      <c r="I42" s="781"/>
      <c r="J42" s="781"/>
      <c r="K42" s="781"/>
    </row>
    <row r="43" spans="1:11" ht="16.5" customHeight="1" x14ac:dyDescent="0.25">
      <c r="A43" s="1153"/>
      <c r="B43" s="1153"/>
      <c r="C43" s="1153"/>
      <c r="D43" s="1153"/>
      <c r="E43" s="1153"/>
      <c r="F43" s="781"/>
      <c r="G43" s="781"/>
      <c r="H43" s="781"/>
      <c r="I43" s="781"/>
      <c r="J43" s="781"/>
      <c r="K43" s="781"/>
    </row>
    <row r="44" spans="1:11" ht="26.25" customHeight="1" x14ac:dyDescent="0.25">
      <c r="A44" s="1989" t="s">
        <v>5720</v>
      </c>
      <c r="B44" s="1989"/>
      <c r="C44" s="1989"/>
      <c r="D44" s="1989"/>
      <c r="E44" s="1989"/>
    </row>
    <row r="45" spans="1:11" ht="38.25" customHeight="1" x14ac:dyDescent="0.25">
      <c r="A45" s="1108" t="s">
        <v>5660</v>
      </c>
      <c r="B45" s="1108" t="s">
        <v>5661</v>
      </c>
      <c r="C45" s="1108" t="s">
        <v>145</v>
      </c>
      <c r="D45" s="1108" t="s">
        <v>5678</v>
      </c>
      <c r="E45" s="1108" t="s">
        <v>7</v>
      </c>
      <c r="F45" s="1108" t="s">
        <v>10232</v>
      </c>
      <c r="G45" s="1108" t="s">
        <v>10230</v>
      </c>
    </row>
    <row r="46" spans="1:11" ht="33" customHeight="1" x14ac:dyDescent="0.25">
      <c r="A46" s="1113">
        <v>1</v>
      </c>
      <c r="B46" s="1110" t="s">
        <v>5721</v>
      </c>
      <c r="C46" s="1110"/>
      <c r="D46" s="1113" t="s">
        <v>5722</v>
      </c>
      <c r="E46" s="1113">
        <v>8</v>
      </c>
    </row>
    <row r="47" spans="1:11" ht="33.75" customHeight="1" x14ac:dyDescent="0.25">
      <c r="A47" s="1113">
        <v>2</v>
      </c>
      <c r="B47" s="1154" t="s">
        <v>5723</v>
      </c>
      <c r="C47" s="1110"/>
      <c r="D47" s="1113" t="s">
        <v>5724</v>
      </c>
      <c r="E47" s="1113">
        <v>546</v>
      </c>
      <c r="I47" s="1155"/>
    </row>
    <row r="48" spans="1:11" ht="35.25" customHeight="1" x14ac:dyDescent="0.25">
      <c r="A48" s="1113">
        <v>3</v>
      </c>
      <c r="B48" s="1154" t="s">
        <v>5725</v>
      </c>
      <c r="C48" s="1110"/>
      <c r="D48" s="1113" t="s">
        <v>5683</v>
      </c>
      <c r="E48" s="1156">
        <v>19</v>
      </c>
    </row>
    <row r="49" spans="1:11" ht="81.75" customHeight="1" x14ac:dyDescent="0.25">
      <c r="A49" s="1157">
        <v>4</v>
      </c>
      <c r="B49" s="1154" t="s">
        <v>5726</v>
      </c>
      <c r="C49" s="1157" t="s">
        <v>9177</v>
      </c>
      <c r="D49" s="1157" t="s">
        <v>5688</v>
      </c>
      <c r="E49" s="1507">
        <f>1250/1.2</f>
        <v>1041.67</v>
      </c>
      <c r="F49" s="1500">
        <v>550</v>
      </c>
      <c r="G49" s="1506" t="s">
        <v>10231</v>
      </c>
    </row>
    <row r="50" spans="1:11" ht="35.450000000000003" customHeight="1" x14ac:dyDescent="0.25">
      <c r="A50" s="1113">
        <v>5</v>
      </c>
      <c r="B50" s="1110" t="s">
        <v>5728</v>
      </c>
      <c r="C50" s="1113" t="s">
        <v>5727</v>
      </c>
      <c r="D50" s="1113" t="s">
        <v>5688</v>
      </c>
      <c r="E50" s="1158">
        <v>100</v>
      </c>
      <c r="F50" s="1501"/>
    </row>
    <row r="51" spans="1:11" ht="47.45" customHeight="1" x14ac:dyDescent="0.25">
      <c r="A51" s="1159">
        <v>6</v>
      </c>
      <c r="B51" s="1160" t="s">
        <v>5729</v>
      </c>
      <c r="C51" s="1159"/>
      <c r="D51" s="1159" t="s">
        <v>5688</v>
      </c>
      <c r="E51" s="1161">
        <f>E47*E48*(E49+E50)</f>
        <v>11843684.58</v>
      </c>
      <c r="F51" s="1502">
        <f>E47*E48*(F49+E50)</f>
        <v>6743100</v>
      </c>
    </row>
    <row r="52" spans="1:11" ht="97.5" customHeight="1" x14ac:dyDescent="0.25">
      <c r="A52" s="1150">
        <v>7</v>
      </c>
      <c r="B52" s="1162" t="s">
        <v>5730</v>
      </c>
      <c r="C52" s="1150" t="s">
        <v>9654</v>
      </c>
      <c r="D52" s="1150" t="s">
        <v>5688</v>
      </c>
      <c r="E52" s="1163">
        <f>E51/12.14</f>
        <v>975591.81</v>
      </c>
      <c r="F52" s="1503">
        <f>F51/12.14</f>
        <v>555444.81000000006</v>
      </c>
      <c r="G52" s="781"/>
      <c r="H52" s="781"/>
      <c r="I52" s="781"/>
      <c r="J52" s="781"/>
      <c r="K52" s="781"/>
    </row>
    <row r="53" spans="1:11" ht="64.5" customHeight="1" x14ac:dyDescent="0.25">
      <c r="A53" s="1164">
        <v>8</v>
      </c>
      <c r="B53" s="1165" t="s">
        <v>5731</v>
      </c>
      <c r="C53" s="1108"/>
      <c r="D53" s="1108" t="s">
        <v>5688</v>
      </c>
      <c r="E53" s="1166">
        <f>E39+E52</f>
        <v>1072081.8600000001</v>
      </c>
      <c r="F53" s="1504">
        <f>E39+F52</f>
        <v>651934.86</v>
      </c>
    </row>
    <row r="54" spans="1:11" ht="57" x14ac:dyDescent="0.25">
      <c r="A54" s="1167">
        <v>9</v>
      </c>
      <c r="B54" s="1168" t="s">
        <v>5732</v>
      </c>
      <c r="C54" s="1169" t="s">
        <v>9656</v>
      </c>
      <c r="D54" s="1170" t="s">
        <v>5688</v>
      </c>
      <c r="E54" s="1171">
        <f>E42+E51</f>
        <v>12711948.380000001</v>
      </c>
      <c r="F54" s="1505">
        <f>E42+F51</f>
        <v>7611363.7999999998</v>
      </c>
    </row>
    <row r="55" spans="1:11" x14ac:dyDescent="0.25">
      <c r="A55" s="1989"/>
      <c r="B55" s="1989"/>
      <c r="C55" s="1989"/>
      <c r="D55" s="1989"/>
      <c r="E55" s="1989"/>
    </row>
    <row r="56" spans="1:11" x14ac:dyDescent="0.25">
      <c r="A56" s="793"/>
    </row>
    <row r="57" spans="1:11" x14ac:dyDescent="0.25">
      <c r="A57" s="1991" t="s">
        <v>5666</v>
      </c>
      <c r="B57" s="1991"/>
      <c r="C57" s="1991"/>
      <c r="D57" s="1991"/>
      <c r="E57" s="1991"/>
    </row>
    <row r="58" spans="1:11" x14ac:dyDescent="0.25">
      <c r="A58" s="1984" t="s">
        <v>5667</v>
      </c>
      <c r="B58" s="1984"/>
      <c r="C58" s="1984"/>
      <c r="D58" s="1984"/>
      <c r="E58" s="1984"/>
    </row>
    <row r="59" spans="1:11" x14ac:dyDescent="0.25">
      <c r="A59" s="1991" t="s">
        <v>5668</v>
      </c>
      <c r="B59" s="1991"/>
      <c r="C59" s="1991"/>
      <c r="D59" s="1991"/>
      <c r="E59" s="1991"/>
    </row>
    <row r="60" spans="1:11" x14ac:dyDescent="0.25">
      <c r="A60" s="1992" t="s">
        <v>5667</v>
      </c>
      <c r="B60" s="1992"/>
      <c r="C60" s="1992"/>
      <c r="D60" s="1992"/>
      <c r="E60" s="1992"/>
    </row>
    <row r="61" spans="1:11" x14ac:dyDescent="0.25">
      <c r="A61" s="794"/>
      <c r="B61" s="794"/>
      <c r="C61" s="794"/>
      <c r="D61" s="794"/>
      <c r="E61" s="794"/>
    </row>
  </sheetData>
  <mergeCells count="16">
    <mergeCell ref="A57:E57"/>
    <mergeCell ref="A58:E58"/>
    <mergeCell ref="A59:E59"/>
    <mergeCell ref="A60:E60"/>
    <mergeCell ref="A11:E11"/>
    <mergeCell ref="A13:E13"/>
    <mergeCell ref="A19:E19"/>
    <mergeCell ref="A30:E30"/>
    <mergeCell ref="A44:E44"/>
    <mergeCell ref="A55:E55"/>
    <mergeCell ref="A10:F10"/>
    <mergeCell ref="A2:E2"/>
    <mergeCell ref="A4:E4"/>
    <mergeCell ref="A5:E5"/>
    <mergeCell ref="A6:B6"/>
    <mergeCell ref="A7:B7"/>
  </mergeCells>
  <pageMargins left="0.35" right="0.24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93">
    <pageSetUpPr fitToPage="1"/>
  </sheetPr>
  <dimension ref="B1:I36"/>
  <sheetViews>
    <sheetView showGridLines="0" topLeftCell="B7" zoomScale="115" zoomScaleNormal="115" workbookViewId="0">
      <selection activeCell="B24" sqref="A24:XFD24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20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 t="s">
        <v>5733</v>
      </c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535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5734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143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4.66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507"/>
      <c r="F15" s="508"/>
      <c r="G15" s="509"/>
      <c r="H15" s="9"/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507"/>
      <c r="F17" s="508"/>
      <c r="G17" s="509"/>
      <c r="H17" s="9"/>
      <c r="I17" s="9"/>
    </row>
    <row r="18" spans="2:9" x14ac:dyDescent="0.2">
      <c r="B18" s="6"/>
      <c r="C18" s="24" t="s">
        <v>484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x14ac:dyDescent="0.2">
      <c r="B26" s="511">
        <v>1</v>
      </c>
      <c r="C26" s="512" t="s">
        <v>5735</v>
      </c>
      <c r="D26" s="513" t="s">
        <v>5736</v>
      </c>
      <c r="E26" s="514"/>
      <c r="F26" s="514"/>
      <c r="G26" s="514"/>
      <c r="H26" s="514">
        <v>3.1</v>
      </c>
      <c r="I26" s="514">
        <v>3.1</v>
      </c>
    </row>
    <row r="27" spans="2:9" x14ac:dyDescent="0.2">
      <c r="B27" s="511">
        <v>2</v>
      </c>
      <c r="C27" s="512" t="s">
        <v>5737</v>
      </c>
      <c r="D27" s="513" t="s">
        <v>5738</v>
      </c>
      <c r="E27" s="514"/>
      <c r="F27" s="514"/>
      <c r="G27" s="514"/>
      <c r="H27" s="514">
        <v>1.56</v>
      </c>
      <c r="I27" s="514">
        <v>1.56</v>
      </c>
    </row>
    <row r="28" spans="2:9" x14ac:dyDescent="0.2">
      <c r="B28" s="511" t="s">
        <v>143</v>
      </c>
      <c r="C28" s="512" t="s">
        <v>143</v>
      </c>
      <c r="D28" s="513" t="s">
        <v>6725</v>
      </c>
      <c r="E28" s="514"/>
      <c r="F28" s="514"/>
      <c r="G28" s="514"/>
      <c r="H28" s="514">
        <v>4.66</v>
      </c>
      <c r="I28" s="514">
        <v>4.66</v>
      </c>
    </row>
    <row r="29" spans="2:9" x14ac:dyDescent="0.2">
      <c r="B29" s="511" t="s">
        <v>143</v>
      </c>
      <c r="C29" s="512" t="s">
        <v>143</v>
      </c>
      <c r="D29" s="515" t="s">
        <v>294</v>
      </c>
      <c r="E29" s="514"/>
      <c r="F29" s="514"/>
      <c r="G29" s="514"/>
      <c r="H29" s="527">
        <v>4.66</v>
      </c>
      <c r="I29" s="527">
        <v>4.66</v>
      </c>
    </row>
    <row r="30" spans="2:9" x14ac:dyDescent="0.2">
      <c r="B30" s="31"/>
      <c r="C30" s="32"/>
      <c r="D30" s="33"/>
      <c r="E30" s="34"/>
      <c r="F30" s="34"/>
      <c r="G30" s="34"/>
      <c r="H30" s="34"/>
      <c r="I30" s="34"/>
    </row>
    <row r="33" spans="2:9" ht="15" x14ac:dyDescent="0.2">
      <c r="B33" s="35" t="s">
        <v>149</v>
      </c>
      <c r="D33" s="516"/>
      <c r="E33" s="517"/>
      <c r="F33" s="516"/>
      <c r="G33" s="516" t="s">
        <v>296</v>
      </c>
      <c r="I33" s="518"/>
    </row>
    <row r="34" spans="2:9" ht="15" x14ac:dyDescent="0.2">
      <c r="C34" s="39"/>
      <c r="D34" s="1793" t="s">
        <v>150</v>
      </c>
      <c r="E34" s="1793"/>
      <c r="F34" s="1793"/>
      <c r="G34" s="1793"/>
      <c r="H34" s="1793"/>
      <c r="I34" s="1793"/>
    </row>
    <row r="35" spans="2:9" ht="15" x14ac:dyDescent="0.2">
      <c r="B35" s="35" t="s">
        <v>151</v>
      </c>
      <c r="D35" s="516"/>
      <c r="E35" s="517"/>
      <c r="F35" s="516"/>
      <c r="G35" s="516" t="s">
        <v>297</v>
      </c>
      <c r="H35" s="517"/>
      <c r="I35" s="518"/>
    </row>
    <row r="36" spans="2:9" x14ac:dyDescent="0.2">
      <c r="D36" s="1793" t="s">
        <v>150</v>
      </c>
      <c r="E36" s="1793"/>
      <c r="F36" s="1793"/>
      <c r="G36" s="1793"/>
      <c r="H36" s="1793"/>
      <c r="I36" s="1793"/>
    </row>
  </sheetData>
  <mergeCells count="18">
    <mergeCell ref="B11:I11"/>
    <mergeCell ref="C3:H3"/>
    <mergeCell ref="D4:G4"/>
    <mergeCell ref="C5:H5"/>
    <mergeCell ref="D6:G6"/>
    <mergeCell ref="D10:H10"/>
    <mergeCell ref="B25:I25"/>
    <mergeCell ref="D34:I34"/>
    <mergeCell ref="D36:I36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94">
    <pageSetUpPr fitToPage="1"/>
  </sheetPr>
  <dimension ref="B1:I35"/>
  <sheetViews>
    <sheetView showGridLines="0" topLeftCell="B7" zoomScale="115" zoomScaleNormal="115" workbookViewId="0">
      <selection activeCell="B26" sqref="B26:I27"/>
    </sheetView>
  </sheetViews>
  <sheetFormatPr defaultRowHeight="12.75" x14ac:dyDescent="0.2"/>
  <cols>
    <col min="1" max="1" width="0" style="1" hidden="1" customWidth="1"/>
    <col min="2" max="2" width="5.5703125" style="1" customWidth="1"/>
    <col min="3" max="3" width="17" style="1" customWidth="1"/>
    <col min="4" max="4" width="37.85546875" style="1" customWidth="1"/>
    <col min="5" max="5" width="17.5703125" style="1" customWidth="1"/>
    <col min="6" max="6" width="15" style="1" customWidth="1"/>
    <col min="7" max="7" width="15.28515625" style="1" customWidth="1"/>
    <col min="8" max="8" width="13.85546875" style="1" customWidth="1"/>
    <col min="9" max="9" width="15.5703125" style="1" customWidth="1"/>
    <col min="10" max="16384" width="9.140625" style="1"/>
  </cols>
  <sheetData>
    <row r="1" spans="2:9" x14ac:dyDescent="0.2">
      <c r="I1" s="5" t="s">
        <v>273</v>
      </c>
    </row>
    <row r="2" spans="2:9" x14ac:dyDescent="0.2">
      <c r="B2" s="6"/>
      <c r="C2" s="7"/>
      <c r="D2" s="8"/>
      <c r="E2" s="9"/>
      <c r="F2" s="9"/>
      <c r="G2" s="9"/>
      <c r="H2" s="9"/>
      <c r="I2" s="5" t="s">
        <v>141</v>
      </c>
    </row>
    <row r="3" spans="2:9" ht="30" customHeight="1" x14ac:dyDescent="0.2">
      <c r="B3" s="6"/>
      <c r="C3" s="1799" t="s">
        <v>20</v>
      </c>
      <c r="D3" s="1799"/>
      <c r="E3" s="1799"/>
      <c r="F3" s="1799"/>
      <c r="G3" s="1799"/>
      <c r="H3" s="1799"/>
      <c r="I3" s="9"/>
    </row>
    <row r="4" spans="2:9" x14ac:dyDescent="0.2">
      <c r="B4" s="6"/>
      <c r="C4" s="7"/>
      <c r="D4" s="1760" t="s">
        <v>139</v>
      </c>
      <c r="E4" s="1760"/>
      <c r="F4" s="1760"/>
      <c r="G4" s="1760"/>
      <c r="H4" s="9"/>
      <c r="I4" s="9"/>
    </row>
    <row r="5" spans="2:9" ht="27" customHeight="1" x14ac:dyDescent="0.2">
      <c r="B5" s="6"/>
      <c r="C5" s="1799" t="s">
        <v>5733</v>
      </c>
      <c r="D5" s="1799"/>
      <c r="E5" s="1799"/>
      <c r="F5" s="1799"/>
      <c r="G5" s="1799"/>
      <c r="H5" s="1799"/>
      <c r="I5" s="9"/>
    </row>
    <row r="6" spans="2:9" x14ac:dyDescent="0.2">
      <c r="B6" s="6"/>
      <c r="C6" s="7"/>
      <c r="D6" s="1760" t="s">
        <v>142</v>
      </c>
      <c r="E6" s="1760"/>
      <c r="F6" s="1760"/>
      <c r="G6" s="1760"/>
      <c r="H6" s="9"/>
      <c r="I6" s="9"/>
    </row>
    <row r="7" spans="2:9" x14ac:dyDescent="0.2">
      <c r="B7" s="6"/>
      <c r="C7" s="7"/>
      <c r="D7" s="535"/>
      <c r="E7" s="9"/>
      <c r="F7" s="9"/>
      <c r="G7" s="9"/>
      <c r="H7" s="9"/>
      <c r="I7" s="9"/>
    </row>
    <row r="8" spans="2:9" x14ac:dyDescent="0.2">
      <c r="B8" s="6"/>
      <c r="C8" s="7"/>
      <c r="D8" s="8"/>
      <c r="E8" s="11" t="s">
        <v>5734</v>
      </c>
      <c r="G8" s="9"/>
      <c r="H8" s="9"/>
      <c r="I8" s="9"/>
    </row>
    <row r="9" spans="2:9" x14ac:dyDescent="0.2">
      <c r="B9" s="6"/>
      <c r="C9" s="7"/>
      <c r="D9" s="8"/>
      <c r="E9" s="9"/>
      <c r="F9" s="9"/>
      <c r="G9" s="9"/>
      <c r="H9" s="9"/>
      <c r="I9" s="9"/>
    </row>
    <row r="10" spans="2:9" x14ac:dyDescent="0.2">
      <c r="C10" s="12" t="s">
        <v>277</v>
      </c>
      <c r="D10" s="1800" t="s">
        <v>143</v>
      </c>
      <c r="E10" s="1800"/>
      <c r="F10" s="1800"/>
      <c r="G10" s="1800"/>
      <c r="H10" s="1800"/>
      <c r="I10" s="12"/>
    </row>
    <row r="11" spans="2:9" x14ac:dyDescent="0.2">
      <c r="B11" s="1758" t="s">
        <v>144</v>
      </c>
      <c r="C11" s="1758"/>
      <c r="D11" s="1758"/>
      <c r="E11" s="1758"/>
      <c r="F11" s="1758"/>
      <c r="G11" s="1758"/>
      <c r="H11" s="1758"/>
      <c r="I11" s="1758"/>
    </row>
    <row r="12" spans="2:9" x14ac:dyDescent="0.2">
      <c r="B12" s="6"/>
      <c r="C12" s="13" t="s">
        <v>278</v>
      </c>
      <c r="D12" s="504"/>
      <c r="E12" s="505"/>
      <c r="F12" s="505"/>
      <c r="G12" s="506">
        <v>68.709999999999994</v>
      </c>
      <c r="H12" s="17" t="s">
        <v>279</v>
      </c>
      <c r="I12" s="9"/>
    </row>
    <row r="13" spans="2:9" x14ac:dyDescent="0.2">
      <c r="B13" s="6"/>
      <c r="C13" s="7"/>
      <c r="E13" s="18"/>
      <c r="F13" s="9"/>
      <c r="G13" s="9"/>
      <c r="H13" s="9"/>
      <c r="I13" s="9"/>
    </row>
    <row r="14" spans="2:9" ht="14.25" customHeight="1" x14ac:dyDescent="0.2">
      <c r="B14" s="6"/>
      <c r="C14" s="19" t="s">
        <v>280</v>
      </c>
      <c r="E14" s="18"/>
      <c r="F14" s="9"/>
      <c r="G14" s="9"/>
      <c r="H14" s="9"/>
      <c r="I14" s="9"/>
    </row>
    <row r="15" spans="2:9" x14ac:dyDescent="0.2">
      <c r="B15" s="6"/>
      <c r="C15" s="20" t="s">
        <v>281</v>
      </c>
      <c r="E15" s="507"/>
      <c r="F15" s="508"/>
      <c r="G15" s="509"/>
      <c r="H15" s="9"/>
      <c r="I15" s="9"/>
    </row>
    <row r="16" spans="2:9" x14ac:dyDescent="0.2">
      <c r="B16" s="6"/>
      <c r="C16" s="6" t="s">
        <v>284</v>
      </c>
      <c r="E16" s="18"/>
      <c r="F16" s="9"/>
      <c r="G16" s="9"/>
      <c r="H16" s="9"/>
      <c r="I16" s="9"/>
    </row>
    <row r="17" spans="2:9" x14ac:dyDescent="0.2">
      <c r="B17" s="6"/>
      <c r="C17" s="20" t="s">
        <v>281</v>
      </c>
      <c r="E17" s="507"/>
      <c r="F17" s="508"/>
      <c r="G17" s="509"/>
      <c r="H17" s="9"/>
      <c r="I17" s="9"/>
    </row>
    <row r="18" spans="2:9" x14ac:dyDescent="0.2">
      <c r="B18" s="6"/>
      <c r="C18" s="24" t="s">
        <v>487</v>
      </c>
      <c r="D18" s="24"/>
      <c r="E18" s="24"/>
      <c r="F18" s="24"/>
      <c r="G18" s="9"/>
      <c r="H18" s="9"/>
      <c r="I18" s="9"/>
    </row>
    <row r="19" spans="2:9" x14ac:dyDescent="0.2">
      <c r="B19" s="6"/>
      <c r="C19" s="7"/>
      <c r="D19" s="8"/>
      <c r="E19" s="9"/>
      <c r="F19" s="9"/>
      <c r="G19" s="9"/>
      <c r="H19" s="9"/>
      <c r="I19" s="9"/>
    </row>
    <row r="20" spans="2:9" x14ac:dyDescent="0.2">
      <c r="B20" s="1794" t="s">
        <v>287</v>
      </c>
      <c r="C20" s="1795" t="s">
        <v>145</v>
      </c>
      <c r="D20" s="1794" t="s">
        <v>288</v>
      </c>
      <c r="E20" s="1796" t="s">
        <v>289</v>
      </c>
      <c r="F20" s="1797"/>
      <c r="G20" s="1797"/>
      <c r="H20" s="1797"/>
      <c r="I20" s="1798"/>
    </row>
    <row r="21" spans="2:9" ht="20.25" customHeight="1" x14ac:dyDescent="0.2">
      <c r="B21" s="1794"/>
      <c r="C21" s="1795"/>
      <c r="D21" s="1794"/>
      <c r="E21" s="1794" t="s">
        <v>290</v>
      </c>
      <c r="F21" s="1794" t="s">
        <v>140</v>
      </c>
      <c r="G21" s="1794" t="s">
        <v>146</v>
      </c>
      <c r="H21" s="1794" t="s">
        <v>147</v>
      </c>
      <c r="I21" s="1794" t="s">
        <v>148</v>
      </c>
    </row>
    <row r="22" spans="2:9" ht="30.75" customHeight="1" x14ac:dyDescent="0.2">
      <c r="B22" s="1794"/>
      <c r="C22" s="1795"/>
      <c r="D22" s="1794"/>
      <c r="E22" s="1794"/>
      <c r="F22" s="1794"/>
      <c r="G22" s="1794"/>
      <c r="H22" s="1794"/>
      <c r="I22" s="1794"/>
    </row>
    <row r="23" spans="2:9" ht="39.75" customHeight="1" x14ac:dyDescent="0.2">
      <c r="B23" s="1794"/>
      <c r="C23" s="1795"/>
      <c r="D23" s="1794"/>
      <c r="E23" s="1794"/>
      <c r="F23" s="1794"/>
      <c r="G23" s="1794"/>
      <c r="H23" s="1794"/>
      <c r="I23" s="1794"/>
    </row>
    <row r="24" spans="2:9" x14ac:dyDescent="0.2">
      <c r="B24" s="510">
        <v>1</v>
      </c>
      <c r="C24" s="510">
        <v>2</v>
      </c>
      <c r="D24" s="510">
        <v>3</v>
      </c>
      <c r="E24" s="510">
        <v>4</v>
      </c>
      <c r="F24" s="510">
        <v>5</v>
      </c>
      <c r="G24" s="510">
        <v>6</v>
      </c>
      <c r="H24" s="510">
        <v>7</v>
      </c>
      <c r="I24" s="510">
        <v>8</v>
      </c>
    </row>
    <row r="25" spans="2:9" ht="21" customHeight="1" x14ac:dyDescent="0.2">
      <c r="B25" s="1791" t="s">
        <v>291</v>
      </c>
      <c r="C25" s="1792"/>
      <c r="D25" s="1792"/>
      <c r="E25" s="1792"/>
      <c r="F25" s="1792"/>
      <c r="G25" s="1792"/>
      <c r="H25" s="1792"/>
      <c r="I25" s="1792"/>
    </row>
    <row r="26" spans="2:9" x14ac:dyDescent="0.2">
      <c r="B26" s="511">
        <v>1</v>
      </c>
      <c r="C26" s="512" t="s">
        <v>5735</v>
      </c>
      <c r="D26" s="513" t="s">
        <v>5736</v>
      </c>
      <c r="E26" s="514"/>
      <c r="F26" s="514"/>
      <c r="G26" s="514"/>
      <c r="H26" s="514">
        <v>45.75</v>
      </c>
      <c r="I26" s="514">
        <v>45.75</v>
      </c>
    </row>
    <row r="27" spans="2:9" x14ac:dyDescent="0.2">
      <c r="B27" s="511">
        <v>2</v>
      </c>
      <c r="C27" s="512" t="s">
        <v>5737</v>
      </c>
      <c r="D27" s="513" t="s">
        <v>5738</v>
      </c>
      <c r="E27" s="514"/>
      <c r="F27" s="514"/>
      <c r="G27" s="514"/>
      <c r="H27" s="514">
        <v>22.96</v>
      </c>
      <c r="I27" s="514">
        <v>22.96</v>
      </c>
    </row>
    <row r="28" spans="2:9" x14ac:dyDescent="0.2">
      <c r="B28" s="511" t="s">
        <v>143</v>
      </c>
      <c r="C28" s="512" t="s">
        <v>143</v>
      </c>
      <c r="D28" s="515" t="s">
        <v>294</v>
      </c>
      <c r="E28" s="514"/>
      <c r="F28" s="514"/>
      <c r="G28" s="514"/>
      <c r="H28" s="527">
        <v>68.709999999999994</v>
      </c>
      <c r="I28" s="527">
        <v>68.709999999999994</v>
      </c>
    </row>
    <row r="29" spans="2:9" x14ac:dyDescent="0.2">
      <c r="B29" s="31"/>
      <c r="C29" s="32"/>
      <c r="D29" s="33"/>
      <c r="E29" s="34"/>
      <c r="F29" s="34"/>
      <c r="G29" s="34"/>
      <c r="H29" s="34"/>
      <c r="I29" s="34"/>
    </row>
    <row r="32" spans="2:9" ht="15" x14ac:dyDescent="0.2">
      <c r="B32" s="35" t="s">
        <v>149</v>
      </c>
      <c r="D32" s="516"/>
      <c r="E32" s="517"/>
      <c r="F32" s="516"/>
      <c r="G32" s="516" t="s">
        <v>296</v>
      </c>
      <c r="I32" s="518"/>
    </row>
    <row r="33" spans="2:9" ht="15" x14ac:dyDescent="0.2">
      <c r="C33" s="39"/>
      <c r="D33" s="1793" t="s">
        <v>150</v>
      </c>
      <c r="E33" s="1793"/>
      <c r="F33" s="1793"/>
      <c r="G33" s="1793"/>
      <c r="H33" s="1793"/>
      <c r="I33" s="1793"/>
    </row>
    <row r="34" spans="2:9" ht="15" x14ac:dyDescent="0.2">
      <c r="B34" s="35" t="s">
        <v>151</v>
      </c>
      <c r="D34" s="516"/>
      <c r="E34" s="517"/>
      <c r="F34" s="516"/>
      <c r="G34" s="516" t="s">
        <v>297</v>
      </c>
      <c r="H34" s="517"/>
      <c r="I34" s="518"/>
    </row>
    <row r="35" spans="2:9" x14ac:dyDescent="0.2">
      <c r="D35" s="1793" t="s">
        <v>150</v>
      </c>
      <c r="E35" s="1793"/>
      <c r="F35" s="1793"/>
      <c r="G35" s="1793"/>
      <c r="H35" s="1793"/>
      <c r="I35" s="1793"/>
    </row>
  </sheetData>
  <mergeCells count="18">
    <mergeCell ref="B11:I11"/>
    <mergeCell ref="C3:H3"/>
    <mergeCell ref="D4:G4"/>
    <mergeCell ref="C5:H5"/>
    <mergeCell ref="D6:G6"/>
    <mergeCell ref="D10:H10"/>
    <mergeCell ref="B25:I25"/>
    <mergeCell ref="D33:I33"/>
    <mergeCell ref="D35:I35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</mergeCells>
  <pageMargins left="0.41" right="0.24" top="0.4" bottom="0.4" header="0.22" footer="0.19"/>
  <pageSetup paperSize="9" scale="72" fitToHeight="0" orientation="portrait" r:id="rId1"/>
  <headerFooter alignWithMargins="0">
    <oddHeader>&amp;LГРАНД-Смета 2021.1</oddHeader>
    <oddFooter>&amp;RСтраница &amp;P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"/>
  <dimension ref="A1:AG98"/>
  <sheetViews>
    <sheetView topLeftCell="A65" zoomScale="115" zoomScaleNormal="115" workbookViewId="0">
      <selection activeCell="C43" sqref="C43:N43"/>
    </sheetView>
  </sheetViews>
  <sheetFormatPr defaultColWidth="9.140625" defaultRowHeight="11.25" customHeight="1" x14ac:dyDescent="0.25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600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3" width="138.42578125" style="537" hidden="1" customWidth="1"/>
    <col min="24" max="24" width="34.140625" style="537" hidden="1" customWidth="1"/>
    <col min="25" max="25" width="110.140625" style="537" hidden="1" customWidth="1"/>
    <col min="26" max="29" width="34.140625" style="537" hidden="1" customWidth="1"/>
    <col min="30" max="32" width="84.42578125" style="537" hidden="1" customWidth="1"/>
    <col min="33" max="33" width="138.42578125" style="537" hidden="1" customWidth="1"/>
    <col min="34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568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159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/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143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5739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594"/>
      <c r="B19" s="594"/>
      <c r="C19" s="594"/>
      <c r="D19" s="594"/>
      <c r="E19" s="594"/>
      <c r="F19" s="594"/>
      <c r="G19" s="594"/>
      <c r="H19" s="594"/>
      <c r="I19" s="594"/>
      <c r="J19" s="594"/>
      <c r="K19" s="594"/>
      <c r="L19" s="594"/>
      <c r="M19" s="594"/>
      <c r="N19" s="594"/>
    </row>
    <row r="20" spans="1:21" s="536" customFormat="1" x14ac:dyDescent="0.2">
      <c r="A20" s="1840" t="s">
        <v>5736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5736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5740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45.75</v>
      </c>
      <c r="D28" s="579" t="s">
        <v>7113</v>
      </c>
      <c r="E28" s="568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568"/>
    </row>
    <row r="30" spans="1:21" s="536" customFormat="1" ht="12.75" customHeight="1" x14ac:dyDescent="0.2">
      <c r="B30" s="536" t="s">
        <v>169</v>
      </c>
      <c r="C30" s="580">
        <v>0</v>
      </c>
      <c r="D30" s="579" t="s">
        <v>171</v>
      </c>
      <c r="E30" s="568" t="s">
        <v>167</v>
      </c>
      <c r="G30" s="536" t="s">
        <v>170</v>
      </c>
      <c r="L30" s="580">
        <v>0</v>
      </c>
      <c r="M30" s="579" t="s">
        <v>7114</v>
      </c>
      <c r="N30" s="568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568" t="s">
        <v>167</v>
      </c>
      <c r="G31" s="536" t="s">
        <v>172</v>
      </c>
      <c r="L31" s="582"/>
      <c r="M31" s="582">
        <v>119.9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568" t="s">
        <v>167</v>
      </c>
      <c r="G32" s="536" t="s">
        <v>174</v>
      </c>
      <c r="L32" s="582"/>
      <c r="M32" s="582"/>
      <c r="N32" s="581" t="s">
        <v>173</v>
      </c>
    </row>
    <row r="33" spans="1:28" s="536" customFormat="1" ht="12.75" customHeight="1" x14ac:dyDescent="0.2">
      <c r="B33" s="536" t="s">
        <v>147</v>
      </c>
      <c r="C33" s="580">
        <v>45.75</v>
      </c>
      <c r="D33" s="579" t="s">
        <v>7113</v>
      </c>
      <c r="E33" s="568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577" t="s">
        <v>182</v>
      </c>
      <c r="H37" s="577" t="s">
        <v>183</v>
      </c>
      <c r="I37" s="577" t="s">
        <v>184</v>
      </c>
      <c r="J37" s="577" t="s">
        <v>182</v>
      </c>
      <c r="K37" s="577" t="s">
        <v>183</v>
      </c>
      <c r="L37" s="577" t="s">
        <v>148</v>
      </c>
      <c r="M37" s="1833"/>
      <c r="N37" s="1833"/>
    </row>
    <row r="38" spans="1:28" s="536" customFormat="1" x14ac:dyDescent="0.2">
      <c r="A38" s="576">
        <v>1</v>
      </c>
      <c r="B38" s="576">
        <v>2</v>
      </c>
      <c r="C38" s="1834">
        <v>3</v>
      </c>
      <c r="D38" s="1834"/>
      <c r="E38" s="1834"/>
      <c r="F38" s="576">
        <v>4</v>
      </c>
      <c r="G38" s="576">
        <v>5</v>
      </c>
      <c r="H38" s="576">
        <v>6</v>
      </c>
      <c r="I38" s="576">
        <v>7</v>
      </c>
      <c r="J38" s="576">
        <v>8</v>
      </c>
      <c r="K38" s="576">
        <v>9</v>
      </c>
      <c r="L38" s="576">
        <v>10</v>
      </c>
      <c r="M38" s="576">
        <v>11</v>
      </c>
      <c r="N38" s="576">
        <v>12</v>
      </c>
    </row>
    <row r="39" spans="1:28" s="536" customFormat="1" ht="12" x14ac:dyDescent="0.2">
      <c r="A39" s="1824" t="s">
        <v>5741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537" t="s">
        <v>5741</v>
      </c>
    </row>
    <row r="40" spans="1:28" s="536" customFormat="1" x14ac:dyDescent="0.2">
      <c r="A40" s="1830" t="s">
        <v>5742</v>
      </c>
      <c r="B40" s="1831"/>
      <c r="C40" s="1831"/>
      <c r="D40" s="1831"/>
      <c r="E40" s="1831"/>
      <c r="F40" s="1831"/>
      <c r="G40" s="1831"/>
      <c r="H40" s="1831"/>
      <c r="I40" s="1831"/>
      <c r="J40" s="1831"/>
      <c r="K40" s="1831"/>
      <c r="L40" s="1831"/>
      <c r="M40" s="1831"/>
      <c r="N40" s="1832"/>
      <c r="W40" s="537" t="s">
        <v>5742</v>
      </c>
    </row>
    <row r="41" spans="1:28" s="536" customFormat="1" ht="33.75" x14ac:dyDescent="0.2">
      <c r="A41" s="575" t="s">
        <v>185</v>
      </c>
      <c r="B41" s="574" t="s">
        <v>5743</v>
      </c>
      <c r="C41" s="1823" t="s">
        <v>5744</v>
      </c>
      <c r="D41" s="1823"/>
      <c r="E41" s="1823"/>
      <c r="F41" s="573" t="s">
        <v>617</v>
      </c>
      <c r="G41" s="573"/>
      <c r="H41" s="573"/>
      <c r="I41" s="573" t="s">
        <v>1157</v>
      </c>
      <c r="J41" s="572"/>
      <c r="K41" s="573"/>
      <c r="L41" s="572"/>
      <c r="M41" s="571"/>
      <c r="N41" s="570"/>
      <c r="X41" s="537" t="s">
        <v>5744</v>
      </c>
    </row>
    <row r="42" spans="1:28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Y42" s="537" t="s">
        <v>311</v>
      </c>
    </row>
    <row r="43" spans="1:28" s="536" customFormat="1" ht="22.5" x14ac:dyDescent="0.2">
      <c r="A43" s="609"/>
      <c r="B43" s="552" t="s">
        <v>7110</v>
      </c>
      <c r="C43" s="1822" t="s">
        <v>7109</v>
      </c>
      <c r="D43" s="1822"/>
      <c r="E43" s="1822"/>
      <c r="F43" s="1822"/>
      <c r="G43" s="1822"/>
      <c r="H43" s="1822"/>
      <c r="I43" s="1822"/>
      <c r="J43" s="1822"/>
      <c r="K43" s="1822"/>
      <c r="L43" s="1822"/>
      <c r="M43" s="1822"/>
      <c r="N43" s="1827"/>
      <c r="Y43" s="537" t="s">
        <v>7109</v>
      </c>
    </row>
    <row r="44" spans="1:28" s="536" customFormat="1" x14ac:dyDescent="0.2">
      <c r="A44" s="609"/>
      <c r="B44" s="552"/>
      <c r="C44" s="1822" t="s">
        <v>5745</v>
      </c>
      <c r="D44" s="1822"/>
      <c r="E44" s="1822"/>
      <c r="F44" s="1822"/>
      <c r="G44" s="1822"/>
      <c r="H44" s="1822"/>
      <c r="I44" s="1822"/>
      <c r="J44" s="1822"/>
      <c r="K44" s="1822"/>
      <c r="L44" s="1822"/>
      <c r="M44" s="1822"/>
      <c r="N44" s="1827"/>
      <c r="Y44" s="537" t="s">
        <v>5745</v>
      </c>
    </row>
    <row r="45" spans="1:28" s="536" customFormat="1" x14ac:dyDescent="0.2">
      <c r="A45" s="605"/>
      <c r="B45" s="552" t="s">
        <v>185</v>
      </c>
      <c r="C45" s="1822" t="s">
        <v>312</v>
      </c>
      <c r="D45" s="1822"/>
      <c r="E45" s="1822"/>
      <c r="F45" s="562"/>
      <c r="G45" s="562"/>
      <c r="H45" s="562"/>
      <c r="I45" s="562"/>
      <c r="J45" s="604">
        <v>10.5</v>
      </c>
      <c r="K45" s="562" t="s">
        <v>2507</v>
      </c>
      <c r="L45" s="604">
        <v>915.6</v>
      </c>
      <c r="M45" s="603"/>
      <c r="N45" s="602"/>
      <c r="Z45" s="537" t="s">
        <v>312</v>
      </c>
    </row>
    <row r="46" spans="1:28" s="536" customFormat="1" x14ac:dyDescent="0.2">
      <c r="A46" s="605"/>
      <c r="B46" s="552"/>
      <c r="C46" s="1822" t="s">
        <v>314</v>
      </c>
      <c r="D46" s="1822"/>
      <c r="E46" s="1822"/>
      <c r="F46" s="562" t="s">
        <v>315</v>
      </c>
      <c r="G46" s="562" t="s">
        <v>5746</v>
      </c>
      <c r="H46" s="562" t="s">
        <v>2507</v>
      </c>
      <c r="I46" s="562" t="s">
        <v>7112</v>
      </c>
      <c r="J46" s="604"/>
      <c r="K46" s="562"/>
      <c r="L46" s="604"/>
      <c r="M46" s="603"/>
      <c r="N46" s="602"/>
      <c r="AA46" s="537" t="s">
        <v>314</v>
      </c>
    </row>
    <row r="47" spans="1:28" s="536" customFormat="1" x14ac:dyDescent="0.2">
      <c r="A47" s="605"/>
      <c r="B47" s="552"/>
      <c r="C47" s="1828" t="s">
        <v>318</v>
      </c>
      <c r="D47" s="1828"/>
      <c r="E47" s="1828"/>
      <c r="F47" s="608"/>
      <c r="G47" s="608"/>
      <c r="H47" s="608"/>
      <c r="I47" s="608"/>
      <c r="J47" s="607">
        <v>10.5</v>
      </c>
      <c r="K47" s="608"/>
      <c r="L47" s="607">
        <v>915.6</v>
      </c>
      <c r="M47" s="601"/>
      <c r="N47" s="606"/>
      <c r="AB47" s="537" t="s">
        <v>318</v>
      </c>
    </row>
    <row r="48" spans="1:28" s="536" customFormat="1" x14ac:dyDescent="0.2">
      <c r="A48" s="605"/>
      <c r="B48" s="552"/>
      <c r="C48" s="1822" t="s">
        <v>319</v>
      </c>
      <c r="D48" s="1822"/>
      <c r="E48" s="1822"/>
      <c r="F48" s="562"/>
      <c r="G48" s="562"/>
      <c r="H48" s="562"/>
      <c r="I48" s="562"/>
      <c r="J48" s="604"/>
      <c r="K48" s="562"/>
      <c r="L48" s="604">
        <v>915.6</v>
      </c>
      <c r="M48" s="603"/>
      <c r="N48" s="602"/>
      <c r="AA48" s="537" t="s">
        <v>319</v>
      </c>
    </row>
    <row r="49" spans="1:29" s="536" customFormat="1" ht="33.75" x14ac:dyDescent="0.2">
      <c r="A49" s="605"/>
      <c r="B49" s="552" t="s">
        <v>5747</v>
      </c>
      <c r="C49" s="1822" t="s">
        <v>5748</v>
      </c>
      <c r="D49" s="1822"/>
      <c r="E49" s="1822"/>
      <c r="F49" s="562" t="s">
        <v>322</v>
      </c>
      <c r="G49" s="562" t="s">
        <v>538</v>
      </c>
      <c r="H49" s="562"/>
      <c r="I49" s="562" t="s">
        <v>538</v>
      </c>
      <c r="J49" s="604"/>
      <c r="K49" s="562"/>
      <c r="L49" s="604">
        <v>677.54</v>
      </c>
      <c r="M49" s="603"/>
      <c r="N49" s="602"/>
      <c r="AA49" s="537" t="s">
        <v>5748</v>
      </c>
    </row>
    <row r="50" spans="1:29" s="536" customFormat="1" ht="33.75" x14ac:dyDescent="0.2">
      <c r="A50" s="605"/>
      <c r="B50" s="552" t="s">
        <v>5749</v>
      </c>
      <c r="C50" s="1822" t="s">
        <v>5750</v>
      </c>
      <c r="D50" s="1822"/>
      <c r="E50" s="1822"/>
      <c r="F50" s="562" t="s">
        <v>322</v>
      </c>
      <c r="G50" s="562" t="s">
        <v>769</v>
      </c>
      <c r="H50" s="562"/>
      <c r="I50" s="562" t="s">
        <v>769</v>
      </c>
      <c r="J50" s="604"/>
      <c r="K50" s="562"/>
      <c r="L50" s="604">
        <v>329.62</v>
      </c>
      <c r="M50" s="603"/>
      <c r="N50" s="602"/>
      <c r="AA50" s="537" t="s">
        <v>5750</v>
      </c>
    </row>
    <row r="51" spans="1:29" s="536" customFormat="1" x14ac:dyDescent="0.2">
      <c r="A51" s="569"/>
      <c r="B51" s="545"/>
      <c r="C51" s="1823" t="s">
        <v>327</v>
      </c>
      <c r="D51" s="1823"/>
      <c r="E51" s="1823"/>
      <c r="F51" s="573"/>
      <c r="G51" s="573"/>
      <c r="H51" s="573"/>
      <c r="I51" s="573"/>
      <c r="J51" s="572"/>
      <c r="K51" s="573"/>
      <c r="L51" s="572">
        <v>1922.76</v>
      </c>
      <c r="M51" s="601"/>
      <c r="N51" s="570"/>
      <c r="AC51" s="537" t="s">
        <v>327</v>
      </c>
    </row>
    <row r="52" spans="1:29" s="536" customFormat="1" ht="90" x14ac:dyDescent="0.2">
      <c r="A52" s="575" t="s">
        <v>186</v>
      </c>
      <c r="B52" s="574" t="s">
        <v>5751</v>
      </c>
      <c r="C52" s="1823" t="s">
        <v>5752</v>
      </c>
      <c r="D52" s="1823"/>
      <c r="E52" s="1823"/>
      <c r="F52" s="573" t="s">
        <v>617</v>
      </c>
      <c r="G52" s="573"/>
      <c r="H52" s="573"/>
      <c r="I52" s="573" t="s">
        <v>1067</v>
      </c>
      <c r="J52" s="572"/>
      <c r="K52" s="573"/>
      <c r="L52" s="572"/>
      <c r="M52" s="571"/>
      <c r="N52" s="570"/>
      <c r="X52" s="537" t="s">
        <v>5752</v>
      </c>
    </row>
    <row r="53" spans="1:29" s="536" customFormat="1" ht="33.75" x14ac:dyDescent="0.2">
      <c r="A53" s="609"/>
      <c r="B53" s="552" t="s">
        <v>310</v>
      </c>
      <c r="C53" s="1822" t="s">
        <v>311</v>
      </c>
      <c r="D53" s="1822"/>
      <c r="E53" s="1822"/>
      <c r="F53" s="1822"/>
      <c r="G53" s="1822"/>
      <c r="H53" s="1822"/>
      <c r="I53" s="1822"/>
      <c r="J53" s="1822"/>
      <c r="K53" s="1822"/>
      <c r="L53" s="1822"/>
      <c r="M53" s="1822"/>
      <c r="N53" s="1827"/>
      <c r="Y53" s="537" t="s">
        <v>311</v>
      </c>
    </row>
    <row r="54" spans="1:29" s="536" customFormat="1" ht="22.5" x14ac:dyDescent="0.2">
      <c r="A54" s="609"/>
      <c r="B54" s="552" t="s">
        <v>7110</v>
      </c>
      <c r="C54" s="1822" t="s">
        <v>7109</v>
      </c>
      <c r="D54" s="1822"/>
      <c r="E54" s="1822"/>
      <c r="F54" s="1822"/>
      <c r="G54" s="1822"/>
      <c r="H54" s="1822"/>
      <c r="I54" s="1822"/>
      <c r="J54" s="1822"/>
      <c r="K54" s="1822"/>
      <c r="L54" s="1822"/>
      <c r="M54" s="1822"/>
      <c r="N54" s="1827"/>
      <c r="Y54" s="537" t="s">
        <v>7109</v>
      </c>
    </row>
    <row r="55" spans="1:29" s="536" customFormat="1" x14ac:dyDescent="0.2">
      <c r="A55" s="609"/>
      <c r="B55" s="552"/>
      <c r="C55" s="1822" t="s">
        <v>5745</v>
      </c>
      <c r="D55" s="1822"/>
      <c r="E55" s="1822"/>
      <c r="F55" s="1822"/>
      <c r="G55" s="1822"/>
      <c r="H55" s="1822"/>
      <c r="I55" s="1822"/>
      <c r="J55" s="1822"/>
      <c r="K55" s="1822"/>
      <c r="L55" s="1822"/>
      <c r="M55" s="1822"/>
      <c r="N55" s="1827"/>
      <c r="Y55" s="537" t="s">
        <v>5745</v>
      </c>
    </row>
    <row r="56" spans="1:29" s="536" customFormat="1" x14ac:dyDescent="0.2">
      <c r="A56" s="605"/>
      <c r="B56" s="552" t="s">
        <v>185</v>
      </c>
      <c r="C56" s="1822" t="s">
        <v>312</v>
      </c>
      <c r="D56" s="1822"/>
      <c r="E56" s="1822"/>
      <c r="F56" s="562"/>
      <c r="G56" s="562"/>
      <c r="H56" s="562"/>
      <c r="I56" s="562"/>
      <c r="J56" s="604">
        <v>4.0999999999999996</v>
      </c>
      <c r="K56" s="562" t="s">
        <v>2507</v>
      </c>
      <c r="L56" s="604">
        <v>72.16</v>
      </c>
      <c r="M56" s="603"/>
      <c r="N56" s="602"/>
      <c r="Z56" s="537" t="s">
        <v>312</v>
      </c>
    </row>
    <row r="57" spans="1:29" s="536" customFormat="1" x14ac:dyDescent="0.2">
      <c r="A57" s="605"/>
      <c r="B57" s="552"/>
      <c r="C57" s="1822" t="s">
        <v>314</v>
      </c>
      <c r="D57" s="1822"/>
      <c r="E57" s="1822"/>
      <c r="F57" s="562" t="s">
        <v>315</v>
      </c>
      <c r="G57" s="562" t="s">
        <v>2344</v>
      </c>
      <c r="H57" s="562" t="s">
        <v>2507</v>
      </c>
      <c r="I57" s="562" t="s">
        <v>7111</v>
      </c>
      <c r="J57" s="604"/>
      <c r="K57" s="562"/>
      <c r="L57" s="604"/>
      <c r="M57" s="603"/>
      <c r="N57" s="602"/>
      <c r="AA57" s="537" t="s">
        <v>314</v>
      </c>
    </row>
    <row r="58" spans="1:29" s="536" customFormat="1" x14ac:dyDescent="0.2">
      <c r="A58" s="605"/>
      <c r="B58" s="552"/>
      <c r="C58" s="1828" t="s">
        <v>318</v>
      </c>
      <c r="D58" s="1828"/>
      <c r="E58" s="1828"/>
      <c r="F58" s="608"/>
      <c r="G58" s="608"/>
      <c r="H58" s="608"/>
      <c r="I58" s="608"/>
      <c r="J58" s="607">
        <v>4.0999999999999996</v>
      </c>
      <c r="K58" s="608"/>
      <c r="L58" s="607">
        <v>72.16</v>
      </c>
      <c r="M58" s="601"/>
      <c r="N58" s="606"/>
      <c r="AB58" s="537" t="s">
        <v>318</v>
      </c>
    </row>
    <row r="59" spans="1:29" s="536" customFormat="1" x14ac:dyDescent="0.2">
      <c r="A59" s="605"/>
      <c r="B59" s="552"/>
      <c r="C59" s="1822" t="s">
        <v>319</v>
      </c>
      <c r="D59" s="1822"/>
      <c r="E59" s="1822"/>
      <c r="F59" s="562"/>
      <c r="G59" s="562"/>
      <c r="H59" s="562"/>
      <c r="I59" s="562"/>
      <c r="J59" s="604"/>
      <c r="K59" s="562"/>
      <c r="L59" s="604">
        <v>72.16</v>
      </c>
      <c r="M59" s="603"/>
      <c r="N59" s="602"/>
      <c r="AA59" s="537" t="s">
        <v>319</v>
      </c>
    </row>
    <row r="60" spans="1:29" s="536" customFormat="1" ht="33.75" x14ac:dyDescent="0.2">
      <c r="A60" s="605"/>
      <c r="B60" s="552" t="s">
        <v>5747</v>
      </c>
      <c r="C60" s="1822" t="s">
        <v>5748</v>
      </c>
      <c r="D60" s="1822"/>
      <c r="E60" s="1822"/>
      <c r="F60" s="562" t="s">
        <v>322</v>
      </c>
      <c r="G60" s="562" t="s">
        <v>538</v>
      </c>
      <c r="H60" s="562"/>
      <c r="I60" s="562" t="s">
        <v>538</v>
      </c>
      <c r="J60" s="604"/>
      <c r="K60" s="562"/>
      <c r="L60" s="604">
        <v>53.4</v>
      </c>
      <c r="M60" s="603"/>
      <c r="N60" s="602"/>
      <c r="AA60" s="537" t="s">
        <v>5748</v>
      </c>
    </row>
    <row r="61" spans="1:29" s="536" customFormat="1" ht="33.75" x14ac:dyDescent="0.2">
      <c r="A61" s="605"/>
      <c r="B61" s="552" t="s">
        <v>5749</v>
      </c>
      <c r="C61" s="1822" t="s">
        <v>5750</v>
      </c>
      <c r="D61" s="1822"/>
      <c r="E61" s="1822"/>
      <c r="F61" s="562" t="s">
        <v>322</v>
      </c>
      <c r="G61" s="562" t="s">
        <v>769</v>
      </c>
      <c r="H61" s="562"/>
      <c r="I61" s="562" t="s">
        <v>769</v>
      </c>
      <c r="J61" s="604"/>
      <c r="K61" s="562"/>
      <c r="L61" s="604">
        <v>25.98</v>
      </c>
      <c r="M61" s="603"/>
      <c r="N61" s="602"/>
      <c r="AA61" s="537" t="s">
        <v>5750</v>
      </c>
    </row>
    <row r="62" spans="1:29" s="536" customFormat="1" x14ac:dyDescent="0.2">
      <c r="A62" s="569"/>
      <c r="B62" s="545"/>
      <c r="C62" s="1823" t="s">
        <v>327</v>
      </c>
      <c r="D62" s="1823"/>
      <c r="E62" s="1823"/>
      <c r="F62" s="573"/>
      <c r="G62" s="573"/>
      <c r="H62" s="573"/>
      <c r="I62" s="573"/>
      <c r="J62" s="572"/>
      <c r="K62" s="573"/>
      <c r="L62" s="572">
        <v>151.54</v>
      </c>
      <c r="M62" s="601"/>
      <c r="N62" s="570"/>
      <c r="AC62" s="537" t="s">
        <v>327</v>
      </c>
    </row>
    <row r="63" spans="1:29" s="536" customFormat="1" ht="22.5" x14ac:dyDescent="0.2">
      <c r="A63" s="575" t="s">
        <v>187</v>
      </c>
      <c r="B63" s="574" t="s">
        <v>5753</v>
      </c>
      <c r="C63" s="1823" t="s">
        <v>5754</v>
      </c>
      <c r="D63" s="1823"/>
      <c r="E63" s="1823"/>
      <c r="F63" s="573" t="s">
        <v>5755</v>
      </c>
      <c r="G63" s="573"/>
      <c r="H63" s="573"/>
      <c r="I63" s="573" t="s">
        <v>1067</v>
      </c>
      <c r="J63" s="572"/>
      <c r="K63" s="573"/>
      <c r="L63" s="572"/>
      <c r="M63" s="571"/>
      <c r="N63" s="570"/>
      <c r="X63" s="537" t="s">
        <v>5754</v>
      </c>
    </row>
    <row r="64" spans="1:29" s="536" customFormat="1" ht="33.75" x14ac:dyDescent="0.2">
      <c r="A64" s="609"/>
      <c r="B64" s="552" t="s">
        <v>310</v>
      </c>
      <c r="C64" s="1822" t="s">
        <v>311</v>
      </c>
      <c r="D64" s="1822"/>
      <c r="E64" s="1822"/>
      <c r="F64" s="1822"/>
      <c r="G64" s="1822"/>
      <c r="H64" s="1822"/>
      <c r="I64" s="1822"/>
      <c r="J64" s="1822"/>
      <c r="K64" s="1822"/>
      <c r="L64" s="1822"/>
      <c r="M64" s="1822"/>
      <c r="N64" s="1827"/>
      <c r="Y64" s="537" t="s">
        <v>311</v>
      </c>
    </row>
    <row r="65" spans="1:31" s="536" customFormat="1" ht="22.5" x14ac:dyDescent="0.2">
      <c r="A65" s="609"/>
      <c r="B65" s="552" t="s">
        <v>7110</v>
      </c>
      <c r="C65" s="1822" t="s">
        <v>7109</v>
      </c>
      <c r="D65" s="1822"/>
      <c r="E65" s="1822"/>
      <c r="F65" s="1822"/>
      <c r="G65" s="1822"/>
      <c r="H65" s="1822"/>
      <c r="I65" s="1822"/>
      <c r="J65" s="1822"/>
      <c r="K65" s="1822"/>
      <c r="L65" s="1822"/>
      <c r="M65" s="1822"/>
      <c r="N65" s="1827"/>
      <c r="Y65" s="537" t="s">
        <v>7109</v>
      </c>
    </row>
    <row r="66" spans="1:31" s="536" customFormat="1" x14ac:dyDescent="0.2">
      <c r="A66" s="609"/>
      <c r="B66" s="552"/>
      <c r="C66" s="1822" t="s">
        <v>5745</v>
      </c>
      <c r="D66" s="1822"/>
      <c r="E66" s="1822"/>
      <c r="F66" s="1822"/>
      <c r="G66" s="1822"/>
      <c r="H66" s="1822"/>
      <c r="I66" s="1822"/>
      <c r="J66" s="1822"/>
      <c r="K66" s="1822"/>
      <c r="L66" s="1822"/>
      <c r="M66" s="1822"/>
      <c r="N66" s="1827"/>
      <c r="Y66" s="537" t="s">
        <v>5745</v>
      </c>
    </row>
    <row r="67" spans="1:31" s="536" customFormat="1" x14ac:dyDescent="0.2">
      <c r="A67" s="605"/>
      <c r="B67" s="552" t="s">
        <v>185</v>
      </c>
      <c r="C67" s="1822" t="s">
        <v>312</v>
      </c>
      <c r="D67" s="1822"/>
      <c r="E67" s="1822"/>
      <c r="F67" s="562"/>
      <c r="G67" s="562"/>
      <c r="H67" s="562"/>
      <c r="I67" s="562"/>
      <c r="J67" s="604">
        <v>27.86</v>
      </c>
      <c r="K67" s="562" t="s">
        <v>2507</v>
      </c>
      <c r="L67" s="604">
        <v>490.34</v>
      </c>
      <c r="M67" s="603"/>
      <c r="N67" s="602"/>
      <c r="Z67" s="537" t="s">
        <v>312</v>
      </c>
    </row>
    <row r="68" spans="1:31" s="536" customFormat="1" x14ac:dyDescent="0.2">
      <c r="A68" s="605"/>
      <c r="B68" s="552"/>
      <c r="C68" s="1822" t="s">
        <v>314</v>
      </c>
      <c r="D68" s="1822"/>
      <c r="E68" s="1822"/>
      <c r="F68" s="562" t="s">
        <v>315</v>
      </c>
      <c r="G68" s="562" t="s">
        <v>5756</v>
      </c>
      <c r="H68" s="562" t="s">
        <v>2507</v>
      </c>
      <c r="I68" s="562" t="s">
        <v>7108</v>
      </c>
      <c r="J68" s="604"/>
      <c r="K68" s="562"/>
      <c r="L68" s="604"/>
      <c r="M68" s="603"/>
      <c r="N68" s="602"/>
      <c r="AA68" s="537" t="s">
        <v>314</v>
      </c>
    </row>
    <row r="69" spans="1:31" s="536" customFormat="1" x14ac:dyDescent="0.2">
      <c r="A69" s="605"/>
      <c r="B69" s="552"/>
      <c r="C69" s="1828" t="s">
        <v>318</v>
      </c>
      <c r="D69" s="1828"/>
      <c r="E69" s="1828"/>
      <c r="F69" s="608"/>
      <c r="G69" s="608"/>
      <c r="H69" s="608"/>
      <c r="I69" s="608"/>
      <c r="J69" s="607">
        <v>27.86</v>
      </c>
      <c r="K69" s="608"/>
      <c r="L69" s="607">
        <v>490.34</v>
      </c>
      <c r="M69" s="601"/>
      <c r="N69" s="606"/>
      <c r="AB69" s="537" t="s">
        <v>318</v>
      </c>
    </row>
    <row r="70" spans="1:31" s="536" customFormat="1" x14ac:dyDescent="0.2">
      <c r="A70" s="605"/>
      <c r="B70" s="552"/>
      <c r="C70" s="1822" t="s">
        <v>319</v>
      </c>
      <c r="D70" s="1822"/>
      <c r="E70" s="1822"/>
      <c r="F70" s="562"/>
      <c r="G70" s="562"/>
      <c r="H70" s="562"/>
      <c r="I70" s="562"/>
      <c r="J70" s="604"/>
      <c r="K70" s="562"/>
      <c r="L70" s="604">
        <v>490.34</v>
      </c>
      <c r="M70" s="603"/>
      <c r="N70" s="602"/>
      <c r="AA70" s="537" t="s">
        <v>319</v>
      </c>
    </row>
    <row r="71" spans="1:31" s="536" customFormat="1" ht="33.75" x14ac:dyDescent="0.2">
      <c r="A71" s="605"/>
      <c r="B71" s="552" t="s">
        <v>5747</v>
      </c>
      <c r="C71" s="1822" t="s">
        <v>5748</v>
      </c>
      <c r="D71" s="1822"/>
      <c r="E71" s="1822"/>
      <c r="F71" s="562" t="s">
        <v>322</v>
      </c>
      <c r="G71" s="562" t="s">
        <v>538</v>
      </c>
      <c r="H71" s="562"/>
      <c r="I71" s="562" t="s">
        <v>538</v>
      </c>
      <c r="J71" s="604"/>
      <c r="K71" s="562"/>
      <c r="L71" s="604">
        <v>362.85</v>
      </c>
      <c r="M71" s="603"/>
      <c r="N71" s="602"/>
      <c r="AA71" s="537" t="s">
        <v>5748</v>
      </c>
    </row>
    <row r="72" spans="1:31" s="536" customFormat="1" ht="33.75" x14ac:dyDescent="0.2">
      <c r="A72" s="605"/>
      <c r="B72" s="552" t="s">
        <v>5749</v>
      </c>
      <c r="C72" s="1822" t="s">
        <v>5750</v>
      </c>
      <c r="D72" s="1822"/>
      <c r="E72" s="1822"/>
      <c r="F72" s="562" t="s">
        <v>322</v>
      </c>
      <c r="G72" s="562" t="s">
        <v>769</v>
      </c>
      <c r="H72" s="562"/>
      <c r="I72" s="562" t="s">
        <v>769</v>
      </c>
      <c r="J72" s="604"/>
      <c r="K72" s="562"/>
      <c r="L72" s="604">
        <v>176.52</v>
      </c>
      <c r="M72" s="603"/>
      <c r="N72" s="602"/>
      <c r="AA72" s="537" t="s">
        <v>5750</v>
      </c>
    </row>
    <row r="73" spans="1:31" s="536" customFormat="1" x14ac:dyDescent="0.2">
      <c r="A73" s="569"/>
      <c r="B73" s="545"/>
      <c r="C73" s="1823" t="s">
        <v>327</v>
      </c>
      <c r="D73" s="1823"/>
      <c r="E73" s="1823"/>
      <c r="F73" s="573"/>
      <c r="G73" s="573"/>
      <c r="H73" s="573"/>
      <c r="I73" s="573"/>
      <c r="J73" s="572"/>
      <c r="K73" s="573"/>
      <c r="L73" s="572">
        <v>1029.71</v>
      </c>
      <c r="M73" s="601"/>
      <c r="N73" s="570"/>
      <c r="AC73" s="537" t="s">
        <v>327</v>
      </c>
    </row>
    <row r="74" spans="1:31" s="536" customFormat="1" ht="1.5" customHeight="1" x14ac:dyDescent="0.2">
      <c r="A74" s="563"/>
      <c r="B74" s="545"/>
      <c r="C74" s="545"/>
      <c r="D74" s="545"/>
      <c r="E74" s="545"/>
      <c r="F74" s="563"/>
      <c r="G74" s="563"/>
      <c r="H74" s="563"/>
      <c r="I74" s="563"/>
      <c r="J74" s="546"/>
      <c r="K74" s="563"/>
      <c r="L74" s="546"/>
      <c r="M74" s="562"/>
      <c r="N74" s="546"/>
    </row>
    <row r="75" spans="1:31" s="536" customFormat="1" ht="2.25" customHeight="1" x14ac:dyDescent="0.2">
      <c r="B75" s="561"/>
      <c r="C75" s="561"/>
      <c r="D75" s="561"/>
      <c r="E75" s="561"/>
      <c r="F75" s="561"/>
      <c r="G75" s="561"/>
      <c r="H75" s="561"/>
      <c r="I75" s="561"/>
      <c r="J75" s="561"/>
      <c r="K75" s="561"/>
      <c r="L75" s="560"/>
      <c r="M75" s="559"/>
      <c r="N75" s="558"/>
    </row>
    <row r="76" spans="1:31" s="536" customFormat="1" x14ac:dyDescent="0.2">
      <c r="A76" s="557"/>
      <c r="B76" s="556"/>
      <c r="C76" s="1823" t="s">
        <v>205</v>
      </c>
      <c r="D76" s="1823"/>
      <c r="E76" s="1823"/>
      <c r="F76" s="1823"/>
      <c r="G76" s="1823"/>
      <c r="H76" s="1823"/>
      <c r="I76" s="1823"/>
      <c r="J76" s="1823"/>
      <c r="K76" s="1823"/>
      <c r="L76" s="555"/>
      <c r="M76" s="554"/>
      <c r="N76" s="553"/>
      <c r="AD76" s="537" t="s">
        <v>205</v>
      </c>
    </row>
    <row r="77" spans="1:31" s="536" customFormat="1" x14ac:dyDescent="0.2">
      <c r="A77" s="548"/>
      <c r="B77" s="552"/>
      <c r="C77" s="1822" t="s">
        <v>403</v>
      </c>
      <c r="D77" s="1822"/>
      <c r="E77" s="1822"/>
      <c r="F77" s="1822"/>
      <c r="G77" s="1822"/>
      <c r="H77" s="1822"/>
      <c r="I77" s="1822"/>
      <c r="J77" s="1822"/>
      <c r="K77" s="1822"/>
      <c r="L77" s="551">
        <v>1478.1</v>
      </c>
      <c r="M77" s="550"/>
      <c r="N77" s="549"/>
      <c r="AE77" s="537" t="s">
        <v>403</v>
      </c>
    </row>
    <row r="78" spans="1:31" s="536" customFormat="1" x14ac:dyDescent="0.2">
      <c r="A78" s="548"/>
      <c r="B78" s="552"/>
      <c r="C78" s="1822" t="s">
        <v>204</v>
      </c>
      <c r="D78" s="1822"/>
      <c r="E78" s="1822"/>
      <c r="F78" s="1822"/>
      <c r="G78" s="1822"/>
      <c r="H78" s="1822"/>
      <c r="I78" s="1822"/>
      <c r="J78" s="1822"/>
      <c r="K78" s="1822"/>
      <c r="L78" s="551"/>
      <c r="M78" s="550"/>
      <c r="N78" s="549"/>
      <c r="AE78" s="537" t="s">
        <v>204</v>
      </c>
    </row>
    <row r="79" spans="1:31" s="536" customFormat="1" x14ac:dyDescent="0.2">
      <c r="A79" s="548"/>
      <c r="B79" s="552"/>
      <c r="C79" s="1822" t="s">
        <v>404</v>
      </c>
      <c r="D79" s="1822"/>
      <c r="E79" s="1822"/>
      <c r="F79" s="1822"/>
      <c r="G79" s="1822"/>
      <c r="H79" s="1822"/>
      <c r="I79" s="1822"/>
      <c r="J79" s="1822"/>
      <c r="K79" s="1822"/>
      <c r="L79" s="551">
        <v>1478.1</v>
      </c>
      <c r="M79" s="550"/>
      <c r="N79" s="549"/>
      <c r="AE79" s="537" t="s">
        <v>404</v>
      </c>
    </row>
    <row r="80" spans="1:31" s="536" customFormat="1" x14ac:dyDescent="0.2">
      <c r="A80" s="548"/>
      <c r="B80" s="552"/>
      <c r="C80" s="1822" t="s">
        <v>5757</v>
      </c>
      <c r="D80" s="1822"/>
      <c r="E80" s="1822"/>
      <c r="F80" s="1822"/>
      <c r="G80" s="1822"/>
      <c r="H80" s="1822"/>
      <c r="I80" s="1822"/>
      <c r="J80" s="1822"/>
      <c r="K80" s="1822"/>
      <c r="L80" s="551">
        <v>3104.01</v>
      </c>
      <c r="M80" s="550"/>
      <c r="N80" s="549">
        <v>45753</v>
      </c>
      <c r="AE80" s="537" t="s">
        <v>5757</v>
      </c>
    </row>
    <row r="81" spans="1:33" x14ac:dyDescent="0.2">
      <c r="A81" s="548"/>
      <c r="B81" s="552" t="s">
        <v>185</v>
      </c>
      <c r="C81" s="1822" t="s">
        <v>5758</v>
      </c>
      <c r="D81" s="1822"/>
      <c r="E81" s="1822"/>
      <c r="F81" s="1822"/>
      <c r="G81" s="1822"/>
      <c r="H81" s="1822"/>
      <c r="I81" s="1822"/>
      <c r="J81" s="1822"/>
      <c r="K81" s="1822"/>
      <c r="L81" s="551">
        <v>3104.01</v>
      </c>
      <c r="M81" s="550">
        <v>14.74</v>
      </c>
      <c r="N81" s="549">
        <v>45753</v>
      </c>
      <c r="O81" s="536"/>
      <c r="P81" s="536"/>
      <c r="Q81" s="536"/>
      <c r="R81" s="536"/>
      <c r="S81" s="536"/>
      <c r="T81" s="536"/>
      <c r="U81" s="536"/>
      <c r="V81" s="536"/>
      <c r="W81" s="536"/>
      <c r="X81" s="536"/>
      <c r="Y81" s="536"/>
      <c r="Z81" s="536"/>
      <c r="AA81" s="536"/>
      <c r="AB81" s="536"/>
      <c r="AC81" s="536"/>
      <c r="AD81" s="536"/>
      <c r="AE81" s="537" t="s">
        <v>5758</v>
      </c>
      <c r="AF81" s="536"/>
      <c r="AG81" s="536"/>
    </row>
    <row r="82" spans="1:33" x14ac:dyDescent="0.2">
      <c r="A82" s="548"/>
      <c r="B82" s="552"/>
      <c r="C82" s="1822" t="s">
        <v>409</v>
      </c>
      <c r="D82" s="1822"/>
      <c r="E82" s="1822"/>
      <c r="F82" s="1822"/>
      <c r="G82" s="1822"/>
      <c r="H82" s="1822"/>
      <c r="I82" s="1822"/>
      <c r="J82" s="1822"/>
      <c r="K82" s="1822"/>
      <c r="L82" s="551"/>
      <c r="M82" s="550"/>
      <c r="N82" s="549"/>
      <c r="O82" s="536"/>
      <c r="P82" s="536"/>
      <c r="Q82" s="536"/>
      <c r="R82" s="536"/>
      <c r="S82" s="536"/>
      <c r="T82" s="536"/>
      <c r="U82" s="536"/>
      <c r="V82" s="536"/>
      <c r="W82" s="536"/>
      <c r="X82" s="536"/>
      <c r="Y82" s="536"/>
      <c r="Z82" s="536"/>
      <c r="AA82" s="536"/>
      <c r="AB82" s="536"/>
      <c r="AC82" s="536"/>
      <c r="AD82" s="536"/>
      <c r="AE82" s="537" t="s">
        <v>409</v>
      </c>
      <c r="AF82" s="536"/>
      <c r="AG82" s="536"/>
    </row>
    <row r="83" spans="1:33" x14ac:dyDescent="0.2">
      <c r="A83" s="548"/>
      <c r="B83" s="552"/>
      <c r="C83" s="1822" t="s">
        <v>410</v>
      </c>
      <c r="D83" s="1822"/>
      <c r="E83" s="1822"/>
      <c r="F83" s="1822"/>
      <c r="G83" s="1822"/>
      <c r="H83" s="1822"/>
      <c r="I83" s="1822"/>
      <c r="J83" s="1822"/>
      <c r="K83" s="1822"/>
      <c r="L83" s="551">
        <v>1478.1</v>
      </c>
      <c r="M83" s="550"/>
      <c r="N83" s="549"/>
      <c r="O83" s="536"/>
      <c r="P83" s="536"/>
      <c r="Q83" s="536"/>
      <c r="R83" s="536"/>
      <c r="S83" s="536"/>
      <c r="T83" s="536"/>
      <c r="U83" s="536"/>
      <c r="V83" s="536"/>
      <c r="W83" s="536"/>
      <c r="X83" s="536"/>
      <c r="Y83" s="536"/>
      <c r="Z83" s="536"/>
      <c r="AA83" s="536"/>
      <c r="AB83" s="536"/>
      <c r="AC83" s="536"/>
      <c r="AD83" s="536"/>
      <c r="AE83" s="537" t="s">
        <v>410</v>
      </c>
      <c r="AF83" s="536"/>
      <c r="AG83" s="536"/>
    </row>
    <row r="84" spans="1:33" x14ac:dyDescent="0.2">
      <c r="A84" s="548"/>
      <c r="B84" s="552"/>
      <c r="C84" s="1822" t="s">
        <v>412</v>
      </c>
      <c r="D84" s="1822"/>
      <c r="E84" s="1822"/>
      <c r="F84" s="1822"/>
      <c r="G84" s="1822"/>
      <c r="H84" s="1822"/>
      <c r="I84" s="1822"/>
      <c r="J84" s="1822"/>
      <c r="K84" s="1822"/>
      <c r="L84" s="551">
        <v>1093.79</v>
      </c>
      <c r="M84" s="550"/>
      <c r="N84" s="549"/>
      <c r="O84" s="536"/>
      <c r="P84" s="536"/>
      <c r="Q84" s="536"/>
      <c r="R84" s="536"/>
      <c r="S84" s="536"/>
      <c r="T84" s="536"/>
      <c r="U84" s="536"/>
      <c r="V84" s="536"/>
      <c r="W84" s="536"/>
      <c r="X84" s="536"/>
      <c r="Y84" s="536"/>
      <c r="Z84" s="536"/>
      <c r="AA84" s="536"/>
      <c r="AB84" s="536"/>
      <c r="AC84" s="536"/>
      <c r="AD84" s="536"/>
      <c r="AE84" s="537" t="s">
        <v>412</v>
      </c>
      <c r="AF84" s="536"/>
      <c r="AG84" s="536"/>
    </row>
    <row r="85" spans="1:33" x14ac:dyDescent="0.2">
      <c r="A85" s="548"/>
      <c r="B85" s="552"/>
      <c r="C85" s="1822" t="s">
        <v>413</v>
      </c>
      <c r="D85" s="1822"/>
      <c r="E85" s="1822"/>
      <c r="F85" s="1822"/>
      <c r="G85" s="1822"/>
      <c r="H85" s="1822"/>
      <c r="I85" s="1822"/>
      <c r="J85" s="1822"/>
      <c r="K85" s="1822"/>
      <c r="L85" s="551">
        <v>532.12</v>
      </c>
      <c r="M85" s="550"/>
      <c r="N85" s="549"/>
      <c r="O85" s="536"/>
      <c r="P85" s="536"/>
      <c r="Q85" s="536"/>
      <c r="R85" s="536"/>
      <c r="S85" s="536"/>
      <c r="T85" s="536"/>
      <c r="U85" s="536"/>
      <c r="V85" s="536"/>
      <c r="W85" s="536"/>
      <c r="X85" s="536"/>
      <c r="Y85" s="536"/>
      <c r="Z85" s="536"/>
      <c r="AA85" s="536"/>
      <c r="AB85" s="536"/>
      <c r="AC85" s="536"/>
      <c r="AD85" s="536"/>
      <c r="AE85" s="537" t="s">
        <v>413</v>
      </c>
      <c r="AF85" s="536"/>
      <c r="AG85" s="536"/>
    </row>
    <row r="86" spans="1:33" x14ac:dyDescent="0.2">
      <c r="A86" s="548"/>
      <c r="B86" s="552"/>
      <c r="C86" s="1822" t="s">
        <v>415</v>
      </c>
      <c r="D86" s="1822"/>
      <c r="E86" s="1822"/>
      <c r="F86" s="1822"/>
      <c r="G86" s="1822"/>
      <c r="H86" s="1822"/>
      <c r="I86" s="1822"/>
      <c r="J86" s="1822"/>
      <c r="K86" s="1822"/>
      <c r="L86" s="551">
        <v>1478.1</v>
      </c>
      <c r="M86" s="550"/>
      <c r="N86" s="549"/>
      <c r="O86" s="536"/>
      <c r="P86" s="536"/>
      <c r="Q86" s="536"/>
      <c r="R86" s="536"/>
      <c r="S86" s="536"/>
      <c r="T86" s="536"/>
      <c r="U86" s="536"/>
      <c r="V86" s="536"/>
      <c r="W86" s="536"/>
      <c r="X86" s="536"/>
      <c r="Y86" s="536"/>
      <c r="Z86" s="536"/>
      <c r="AA86" s="536"/>
      <c r="AB86" s="536"/>
      <c r="AC86" s="536"/>
      <c r="AD86" s="536"/>
      <c r="AE86" s="537" t="s">
        <v>415</v>
      </c>
      <c r="AF86" s="536"/>
      <c r="AG86" s="536"/>
    </row>
    <row r="87" spans="1:33" x14ac:dyDescent="0.2">
      <c r="A87" s="548"/>
      <c r="B87" s="552"/>
      <c r="C87" s="1822" t="s">
        <v>416</v>
      </c>
      <c r="D87" s="1822"/>
      <c r="E87" s="1822"/>
      <c r="F87" s="1822"/>
      <c r="G87" s="1822"/>
      <c r="H87" s="1822"/>
      <c r="I87" s="1822"/>
      <c r="J87" s="1822"/>
      <c r="K87" s="1822"/>
      <c r="L87" s="551">
        <v>1093.79</v>
      </c>
      <c r="M87" s="550"/>
      <c r="N87" s="549"/>
      <c r="O87" s="536"/>
      <c r="P87" s="536"/>
      <c r="Q87" s="536"/>
      <c r="R87" s="536"/>
      <c r="S87" s="536"/>
      <c r="T87" s="536"/>
      <c r="U87" s="536"/>
      <c r="V87" s="536"/>
      <c r="W87" s="536"/>
      <c r="X87" s="536"/>
      <c r="Y87" s="536"/>
      <c r="Z87" s="536"/>
      <c r="AA87" s="536"/>
      <c r="AB87" s="536"/>
      <c r="AC87" s="536"/>
      <c r="AD87" s="536"/>
      <c r="AE87" s="537" t="s">
        <v>416</v>
      </c>
      <c r="AF87" s="536"/>
      <c r="AG87" s="536"/>
    </row>
    <row r="88" spans="1:33" x14ac:dyDescent="0.2">
      <c r="A88" s="548"/>
      <c r="B88" s="552"/>
      <c r="C88" s="1822" t="s">
        <v>417</v>
      </c>
      <c r="D88" s="1822"/>
      <c r="E88" s="1822"/>
      <c r="F88" s="1822"/>
      <c r="G88" s="1822"/>
      <c r="H88" s="1822"/>
      <c r="I88" s="1822"/>
      <c r="J88" s="1822"/>
      <c r="K88" s="1822"/>
      <c r="L88" s="551">
        <v>532.12</v>
      </c>
      <c r="M88" s="550"/>
      <c r="N88" s="549"/>
      <c r="O88" s="536"/>
      <c r="P88" s="536"/>
      <c r="Q88" s="536"/>
      <c r="R88" s="536"/>
      <c r="S88" s="536"/>
      <c r="T88" s="536"/>
      <c r="U88" s="536"/>
      <c r="V88" s="536"/>
      <c r="W88" s="536"/>
      <c r="X88" s="536"/>
      <c r="Y88" s="536"/>
      <c r="Z88" s="536"/>
      <c r="AA88" s="536"/>
      <c r="AB88" s="536"/>
      <c r="AC88" s="536"/>
      <c r="AD88" s="536"/>
      <c r="AE88" s="537" t="s">
        <v>417</v>
      </c>
      <c r="AF88" s="536"/>
      <c r="AG88" s="536"/>
    </row>
    <row r="89" spans="1:33" x14ac:dyDescent="0.2">
      <c r="A89" s="548"/>
      <c r="B89" s="546"/>
      <c r="C89" s="1819" t="s">
        <v>206</v>
      </c>
      <c r="D89" s="1819"/>
      <c r="E89" s="1819"/>
      <c r="F89" s="1819"/>
      <c r="G89" s="1819"/>
      <c r="H89" s="1819"/>
      <c r="I89" s="1819"/>
      <c r="J89" s="1819"/>
      <c r="K89" s="1819"/>
      <c r="L89" s="544">
        <v>3104.01</v>
      </c>
      <c r="M89" s="543"/>
      <c r="N89" s="547">
        <v>45753</v>
      </c>
      <c r="O89" s="536"/>
      <c r="P89" s="536"/>
      <c r="Q89" s="536"/>
      <c r="R89" s="536"/>
      <c r="S89" s="536"/>
      <c r="T89" s="536"/>
      <c r="U89" s="536"/>
      <c r="V89" s="536"/>
      <c r="W89" s="536"/>
      <c r="X89" s="536"/>
      <c r="Y89" s="536"/>
      <c r="Z89" s="536"/>
      <c r="AA89" s="536"/>
      <c r="AB89" s="536"/>
      <c r="AC89" s="536"/>
      <c r="AD89" s="536"/>
      <c r="AE89" s="536"/>
      <c r="AF89" s="537" t="s">
        <v>206</v>
      </c>
      <c r="AG89" s="536"/>
    </row>
    <row r="90" spans="1:33" ht="1.5" customHeight="1" x14ac:dyDescent="0.2">
      <c r="B90" s="546"/>
      <c r="C90" s="545"/>
      <c r="D90" s="545"/>
      <c r="E90" s="545"/>
      <c r="F90" s="545"/>
      <c r="G90" s="545"/>
      <c r="H90" s="545"/>
      <c r="I90" s="545"/>
      <c r="J90" s="545"/>
      <c r="K90" s="545"/>
      <c r="L90" s="544"/>
      <c r="M90" s="543"/>
      <c r="N90" s="542"/>
      <c r="O90" s="536"/>
      <c r="P90" s="536"/>
      <c r="Q90" s="536"/>
      <c r="R90" s="536"/>
      <c r="S90" s="536"/>
      <c r="T90" s="536"/>
      <c r="U90" s="536"/>
      <c r="V90" s="536"/>
      <c r="W90" s="536"/>
      <c r="X90" s="536"/>
      <c r="Y90" s="536"/>
      <c r="Z90" s="536"/>
      <c r="AA90" s="536"/>
      <c r="AB90" s="536"/>
      <c r="AC90" s="536"/>
      <c r="AD90" s="536"/>
      <c r="AE90" s="536"/>
      <c r="AF90" s="536"/>
      <c r="AG90" s="536"/>
    </row>
    <row r="91" spans="1:33" ht="53.25" customHeight="1" x14ac:dyDescent="0.2">
      <c r="A91" s="541"/>
      <c r="B91" s="541"/>
      <c r="C91" s="541"/>
      <c r="D91" s="541"/>
      <c r="E91" s="541"/>
      <c r="F91" s="541"/>
      <c r="G91" s="541"/>
      <c r="H91" s="541"/>
      <c r="I91" s="541"/>
      <c r="J91" s="541"/>
      <c r="K91" s="541"/>
      <c r="L91" s="541"/>
      <c r="M91" s="541"/>
      <c r="N91" s="541"/>
      <c r="O91" s="536"/>
      <c r="P91" s="536"/>
      <c r="Q91" s="536"/>
      <c r="R91" s="536"/>
      <c r="S91" s="536"/>
      <c r="T91" s="536"/>
      <c r="U91" s="536"/>
      <c r="V91" s="536"/>
      <c r="W91" s="536"/>
      <c r="X91" s="536"/>
      <c r="Y91" s="536"/>
      <c r="Z91" s="536"/>
      <c r="AA91" s="536"/>
      <c r="AB91" s="536"/>
      <c r="AC91" s="536"/>
      <c r="AD91" s="536"/>
      <c r="AE91" s="536"/>
      <c r="AF91" s="536"/>
      <c r="AG91" s="536"/>
    </row>
    <row r="92" spans="1:33" x14ac:dyDescent="0.2">
      <c r="B92" s="539" t="s">
        <v>149</v>
      </c>
      <c r="C92" s="1943" t="s">
        <v>207</v>
      </c>
      <c r="D92" s="1943"/>
      <c r="E92" s="1943"/>
      <c r="F92" s="1943"/>
      <c r="G92" s="1943"/>
      <c r="H92" s="1943"/>
      <c r="I92" s="1943"/>
      <c r="J92" s="1943"/>
      <c r="K92" s="1943"/>
      <c r="L92" s="1943"/>
      <c r="O92" s="536"/>
    </row>
    <row r="93" spans="1:33" ht="13.5" customHeight="1" x14ac:dyDescent="0.2">
      <c r="B93" s="540"/>
      <c r="C93" s="1821" t="s">
        <v>150</v>
      </c>
      <c r="D93" s="1821"/>
      <c r="E93" s="1821"/>
      <c r="F93" s="1821"/>
      <c r="G93" s="1821"/>
      <c r="H93" s="1821"/>
      <c r="I93" s="1821"/>
      <c r="J93" s="1821"/>
      <c r="K93" s="1821"/>
      <c r="L93" s="1821"/>
      <c r="O93" s="536"/>
    </row>
    <row r="94" spans="1:33" ht="12.75" customHeight="1" x14ac:dyDescent="0.2">
      <c r="B94" s="539" t="s">
        <v>151</v>
      </c>
      <c r="C94" s="1943" t="s">
        <v>208</v>
      </c>
      <c r="D94" s="1943"/>
      <c r="E94" s="1943"/>
      <c r="F94" s="1943"/>
      <c r="G94" s="1943"/>
      <c r="H94" s="1943"/>
      <c r="I94" s="1943"/>
      <c r="J94" s="1943"/>
      <c r="K94" s="1943"/>
      <c r="L94" s="1943"/>
      <c r="O94" s="536"/>
    </row>
    <row r="95" spans="1:33" ht="13.5" customHeight="1" x14ac:dyDescent="0.2">
      <c r="C95" s="1821" t="s">
        <v>150</v>
      </c>
      <c r="D95" s="1821"/>
      <c r="E95" s="1821"/>
      <c r="F95" s="1821"/>
      <c r="G95" s="1821"/>
      <c r="H95" s="1821"/>
      <c r="I95" s="1821"/>
      <c r="J95" s="1821"/>
      <c r="K95" s="1821"/>
      <c r="L95" s="1821"/>
      <c r="O95" s="536"/>
    </row>
    <row r="97" spans="1:33" x14ac:dyDescent="0.2">
      <c r="A97" s="1944"/>
      <c r="B97" s="1944"/>
      <c r="C97" s="1944"/>
      <c r="D97" s="1944"/>
      <c r="E97" s="1944"/>
      <c r="F97" s="1944"/>
      <c r="G97" s="1944"/>
      <c r="H97" s="1944"/>
      <c r="I97" s="1944"/>
      <c r="J97" s="1944"/>
      <c r="K97" s="1944"/>
      <c r="L97" s="1944"/>
      <c r="M97" s="1944"/>
      <c r="N97" s="1944"/>
      <c r="O97" s="536"/>
      <c r="P97" s="536"/>
      <c r="Q97" s="536"/>
      <c r="R97" s="536"/>
      <c r="S97" s="536"/>
      <c r="T97" s="536"/>
      <c r="U97" s="536"/>
      <c r="V97" s="536"/>
      <c r="W97" s="536"/>
      <c r="X97" s="536"/>
      <c r="Y97" s="536"/>
      <c r="Z97" s="536"/>
      <c r="AA97" s="536"/>
      <c r="AB97" s="536"/>
      <c r="AC97" s="536"/>
      <c r="AD97" s="536"/>
      <c r="AE97" s="536"/>
      <c r="AF97" s="536"/>
      <c r="AG97" s="537" t="s">
        <v>143</v>
      </c>
    </row>
    <row r="98" spans="1:33" x14ac:dyDescent="0.2">
      <c r="B98" s="538"/>
      <c r="D98" s="538"/>
      <c r="F98" s="538"/>
      <c r="O98" s="536"/>
      <c r="P98" s="536"/>
      <c r="Q98" s="536"/>
      <c r="R98" s="536"/>
      <c r="S98" s="536"/>
      <c r="T98" s="536"/>
      <c r="U98" s="536"/>
      <c r="V98" s="536"/>
      <c r="W98" s="536"/>
      <c r="X98" s="536"/>
      <c r="Y98" s="536"/>
      <c r="Z98" s="536"/>
      <c r="AA98" s="536"/>
      <c r="AB98" s="536"/>
      <c r="AC98" s="536"/>
      <c r="AD98" s="536"/>
      <c r="AE98" s="536"/>
      <c r="AF98" s="536"/>
      <c r="AG98" s="536"/>
    </row>
  </sheetData>
  <mergeCells count="80">
    <mergeCell ref="C48:E48"/>
    <mergeCell ref="C49:E49"/>
    <mergeCell ref="K4:N4"/>
    <mergeCell ref="A4:C4"/>
    <mergeCell ref="A5:D5"/>
    <mergeCell ref="J5:N5"/>
    <mergeCell ref="A6:D6"/>
    <mergeCell ref="J6:N6"/>
    <mergeCell ref="D10:N10"/>
    <mergeCell ref="A13:N13"/>
    <mergeCell ref="A16:N16"/>
    <mergeCell ref="A20:N20"/>
    <mergeCell ref="A39:N39"/>
    <mergeCell ref="A35:A37"/>
    <mergeCell ref="M35:M37"/>
    <mergeCell ref="G35:I36"/>
    <mergeCell ref="L33:M33"/>
    <mergeCell ref="A14:N14"/>
    <mergeCell ref="J35:L36"/>
    <mergeCell ref="C38:E38"/>
    <mergeCell ref="B35:B37"/>
    <mergeCell ref="F35:F37"/>
    <mergeCell ref="C35:E37"/>
    <mergeCell ref="C56:E56"/>
    <mergeCell ref="A17:N17"/>
    <mergeCell ref="A18:N18"/>
    <mergeCell ref="A21:N21"/>
    <mergeCell ref="B23:F23"/>
    <mergeCell ref="B24:F24"/>
    <mergeCell ref="N35:N37"/>
    <mergeCell ref="A40:N40"/>
    <mergeCell ref="C41:E41"/>
    <mergeCell ref="C42:N42"/>
    <mergeCell ref="C43:N43"/>
    <mergeCell ref="C44:N44"/>
    <mergeCell ref="C50:E50"/>
    <mergeCell ref="C45:E45"/>
    <mergeCell ref="C46:E46"/>
    <mergeCell ref="C47:E47"/>
    <mergeCell ref="C51:E51"/>
    <mergeCell ref="C52:E52"/>
    <mergeCell ref="C53:N53"/>
    <mergeCell ref="C54:N54"/>
    <mergeCell ref="C55:N55"/>
    <mergeCell ref="C68:E68"/>
    <mergeCell ref="C57:E57"/>
    <mergeCell ref="C58:E58"/>
    <mergeCell ref="C59:E59"/>
    <mergeCell ref="C60:E60"/>
    <mergeCell ref="C61:E61"/>
    <mergeCell ref="C62:E62"/>
    <mergeCell ref="C63:E63"/>
    <mergeCell ref="C64:N64"/>
    <mergeCell ref="C65:N65"/>
    <mergeCell ref="C66:N66"/>
    <mergeCell ref="C67:E67"/>
    <mergeCell ref="C82:K82"/>
    <mergeCell ref="C69:E69"/>
    <mergeCell ref="C70:E70"/>
    <mergeCell ref="C71:E71"/>
    <mergeCell ref="C72:E72"/>
    <mergeCell ref="C73:E73"/>
    <mergeCell ref="C76:K76"/>
    <mergeCell ref="C77:K77"/>
    <mergeCell ref="C78:K78"/>
    <mergeCell ref="C79:K79"/>
    <mergeCell ref="C80:K80"/>
    <mergeCell ref="C81:K81"/>
    <mergeCell ref="C83:K83"/>
    <mergeCell ref="C84:K84"/>
    <mergeCell ref="C85:K85"/>
    <mergeCell ref="C86:K86"/>
    <mergeCell ref="C87:K87"/>
    <mergeCell ref="C93:L93"/>
    <mergeCell ref="C95:L95"/>
    <mergeCell ref="C88:K88"/>
    <mergeCell ref="C89:K89"/>
    <mergeCell ref="A97:N97"/>
    <mergeCell ref="C92:L92"/>
    <mergeCell ref="C94:L94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97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"/>
  <dimension ref="A1:AG153"/>
  <sheetViews>
    <sheetView topLeftCell="A120" zoomScale="115" zoomScaleNormal="115" workbookViewId="0">
      <selection activeCell="A10" sqref="A1:N1048576"/>
    </sheetView>
  </sheetViews>
  <sheetFormatPr defaultColWidth="9.140625" defaultRowHeight="11.25" customHeight="1" x14ac:dyDescent="0.25"/>
  <cols>
    <col min="1" max="1" width="8.140625" style="536" customWidth="1"/>
    <col min="2" max="2" width="20.140625" style="536" customWidth="1"/>
    <col min="3" max="4" width="10.42578125" style="536" customWidth="1"/>
    <col min="5" max="5" width="13.28515625" style="536" customWidth="1"/>
    <col min="6" max="6" width="8.5703125" style="536" customWidth="1"/>
    <col min="7" max="7" width="7.85546875" style="536" customWidth="1"/>
    <col min="8" max="8" width="8.42578125" style="536" customWidth="1"/>
    <col min="9" max="9" width="8.7109375" style="536" customWidth="1"/>
    <col min="10" max="10" width="8.140625" style="536" customWidth="1"/>
    <col min="11" max="11" width="8.5703125" style="536" customWidth="1"/>
    <col min="12" max="12" width="10" style="536" customWidth="1"/>
    <col min="13" max="13" width="6" style="536" customWidth="1"/>
    <col min="14" max="14" width="9.7109375" style="536" customWidth="1"/>
    <col min="15" max="15" width="9.140625" style="600"/>
    <col min="16" max="16" width="49.140625" style="537" hidden="1" customWidth="1"/>
    <col min="17" max="17" width="42.42578125" style="537" hidden="1" customWidth="1"/>
    <col min="18" max="18" width="99.7109375" style="537" hidden="1" customWidth="1"/>
    <col min="19" max="23" width="138.42578125" style="537" hidden="1" customWidth="1"/>
    <col min="24" max="24" width="34.140625" style="537" hidden="1" customWidth="1"/>
    <col min="25" max="25" width="110.140625" style="537" hidden="1" customWidth="1"/>
    <col min="26" max="29" width="34.140625" style="537" hidden="1" customWidth="1"/>
    <col min="30" max="32" width="84.42578125" style="537" hidden="1" customWidth="1"/>
    <col min="33" max="33" width="138.42578125" style="537" hidden="1" customWidth="1"/>
    <col min="34" max="16384" width="9.140625" style="536"/>
  </cols>
  <sheetData>
    <row r="1" spans="1:20" s="536" customFormat="1" x14ac:dyDescent="0.2">
      <c r="N1" s="540" t="s">
        <v>152</v>
      </c>
    </row>
    <row r="2" spans="1:20" s="536" customFormat="1" x14ac:dyDescent="0.2">
      <c r="N2" s="540" t="s">
        <v>141</v>
      </c>
    </row>
    <row r="3" spans="1:20" s="536" customFormat="1" ht="8.25" customHeight="1" x14ac:dyDescent="0.2">
      <c r="N3" s="540"/>
    </row>
    <row r="4" spans="1:20" s="536" customFormat="1" ht="14.25" customHeight="1" x14ac:dyDescent="0.2">
      <c r="A4" s="1940" t="s">
        <v>153</v>
      </c>
      <c r="B4" s="1940"/>
      <c r="C4" s="1940"/>
      <c r="D4" s="599"/>
      <c r="K4" s="1940" t="s">
        <v>154</v>
      </c>
      <c r="L4" s="1940"/>
      <c r="M4" s="1940"/>
      <c r="N4" s="1940"/>
    </row>
    <row r="5" spans="1:20" s="536" customFormat="1" ht="12" customHeight="1" x14ac:dyDescent="0.2">
      <c r="A5" s="1941"/>
      <c r="B5" s="1941"/>
      <c r="C5" s="1941"/>
      <c r="D5" s="1941"/>
      <c r="E5" s="537"/>
      <c r="J5" s="1942"/>
      <c r="K5" s="1942"/>
      <c r="L5" s="1942"/>
      <c r="M5" s="1942"/>
      <c r="N5" s="1942"/>
    </row>
    <row r="6" spans="1:20" s="536" customFormat="1" x14ac:dyDescent="0.2">
      <c r="A6" s="1822"/>
      <c r="B6" s="1822"/>
      <c r="C6" s="1822"/>
      <c r="D6" s="1822"/>
      <c r="J6" s="1822"/>
      <c r="K6" s="1822"/>
      <c r="L6" s="1822"/>
      <c r="M6" s="1822"/>
      <c r="N6" s="1822"/>
      <c r="P6" s="537" t="s">
        <v>143</v>
      </c>
      <c r="Q6" s="537" t="s">
        <v>143</v>
      </c>
    </row>
    <row r="7" spans="1:20" s="536" customFormat="1" ht="17.25" customHeight="1" x14ac:dyDescent="0.2">
      <c r="A7" s="589"/>
      <c r="B7" s="598"/>
      <c r="C7" s="537"/>
      <c r="D7" s="537"/>
      <c r="K7" s="589"/>
      <c r="L7" s="589"/>
      <c r="M7" s="589"/>
      <c r="N7" s="598"/>
    </row>
    <row r="8" spans="1:20" s="536" customFormat="1" ht="16.5" customHeight="1" x14ac:dyDescent="0.2">
      <c r="A8" s="536" t="s">
        <v>155</v>
      </c>
      <c r="B8" s="561"/>
      <c r="C8" s="561"/>
      <c r="D8" s="561"/>
      <c r="L8" s="561"/>
      <c r="M8" s="561"/>
      <c r="N8" s="540" t="s">
        <v>155</v>
      </c>
    </row>
    <row r="9" spans="1:20" s="536" customFormat="1" ht="15.75" customHeight="1" x14ac:dyDescent="0.2">
      <c r="F9" s="597"/>
    </row>
    <row r="10" spans="1:20" s="536" customFormat="1" ht="33.75" x14ac:dyDescent="0.2">
      <c r="A10" s="568" t="s">
        <v>156</v>
      </c>
      <c r="B10" s="561"/>
      <c r="D10" s="1822" t="s">
        <v>157</v>
      </c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R10" s="537" t="s">
        <v>157</v>
      </c>
    </row>
    <row r="11" spans="1:20" s="536" customFormat="1" ht="15" customHeight="1" x14ac:dyDescent="0.2">
      <c r="A11" s="581" t="s">
        <v>158</v>
      </c>
      <c r="D11" s="589" t="s">
        <v>159</v>
      </c>
      <c r="E11" s="589"/>
      <c r="F11" s="596"/>
      <c r="G11" s="596"/>
      <c r="H11" s="596"/>
      <c r="I11" s="596"/>
      <c r="J11" s="596"/>
      <c r="K11" s="596"/>
      <c r="L11" s="596"/>
      <c r="M11" s="596"/>
      <c r="N11" s="596"/>
    </row>
    <row r="12" spans="1:20" s="536" customFormat="1" ht="8.25" customHeight="1" x14ac:dyDescent="0.2">
      <c r="A12" s="58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0" s="536" customFormat="1" x14ac:dyDescent="0.2">
      <c r="A13" s="1837" t="s">
        <v>20</v>
      </c>
      <c r="B13" s="1837"/>
      <c r="C13" s="1837"/>
      <c r="D13" s="1837"/>
      <c r="E13" s="1837"/>
      <c r="F13" s="1837"/>
      <c r="G13" s="1837"/>
      <c r="H13" s="1837"/>
      <c r="I13" s="1837"/>
      <c r="J13" s="1837"/>
      <c r="K13" s="1837"/>
      <c r="L13" s="1837"/>
      <c r="M13" s="1837"/>
      <c r="N13" s="1837"/>
      <c r="S13" s="537" t="s">
        <v>20</v>
      </c>
    </row>
    <row r="14" spans="1:20" s="536" customFormat="1" x14ac:dyDescent="0.2">
      <c r="A14" s="1838" t="s">
        <v>139</v>
      </c>
      <c r="B14" s="1838"/>
      <c r="C14" s="1838"/>
      <c r="D14" s="1838"/>
      <c r="E14" s="1838"/>
      <c r="F14" s="1838"/>
      <c r="G14" s="1838"/>
      <c r="H14" s="1838"/>
      <c r="I14" s="1838"/>
      <c r="J14" s="1838"/>
      <c r="K14" s="1838"/>
      <c r="L14" s="1838"/>
      <c r="M14" s="1838"/>
      <c r="N14" s="1838"/>
    </row>
    <row r="15" spans="1:20" s="536" customFormat="1" ht="8.25" customHeight="1" x14ac:dyDescent="0.2">
      <c r="A15" s="595"/>
      <c r="B15" s="595"/>
      <c r="C15" s="595"/>
      <c r="D15" s="595"/>
      <c r="E15" s="595"/>
      <c r="F15" s="595"/>
      <c r="G15" s="595"/>
      <c r="H15" s="595"/>
      <c r="I15" s="595"/>
      <c r="J15" s="595"/>
      <c r="K15" s="595"/>
      <c r="L15" s="595"/>
      <c r="M15" s="595"/>
      <c r="N15" s="595"/>
    </row>
    <row r="16" spans="1:20" s="536" customFormat="1" x14ac:dyDescent="0.2">
      <c r="A16" s="1837"/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L16" s="1837"/>
      <c r="M16" s="1837"/>
      <c r="N16" s="1837"/>
      <c r="T16" s="537" t="s">
        <v>143</v>
      </c>
    </row>
    <row r="17" spans="1:21" s="536" customFormat="1" x14ac:dyDescent="0.2">
      <c r="A17" s="1838" t="s">
        <v>142</v>
      </c>
      <c r="B17" s="1838"/>
      <c r="C17" s="1838"/>
      <c r="D17" s="1838"/>
      <c r="E17" s="1838"/>
      <c r="F17" s="1838"/>
      <c r="G17" s="1838"/>
      <c r="H17" s="1838"/>
      <c r="I17" s="1838"/>
      <c r="J17" s="1838"/>
      <c r="K17" s="1838"/>
      <c r="L17" s="1838"/>
      <c r="M17" s="1838"/>
      <c r="N17" s="1838"/>
    </row>
    <row r="18" spans="1:21" s="536" customFormat="1" ht="24" customHeight="1" x14ac:dyDescent="0.25">
      <c r="A18" s="1839" t="s">
        <v>5759</v>
      </c>
      <c r="B18" s="1839"/>
      <c r="C18" s="1839"/>
      <c r="D18" s="1839"/>
      <c r="E18" s="1839"/>
      <c r="F18" s="1839"/>
      <c r="G18" s="1839"/>
      <c r="H18" s="1839"/>
      <c r="I18" s="1839"/>
      <c r="J18" s="1839"/>
      <c r="K18" s="1839"/>
      <c r="L18" s="1839"/>
      <c r="M18" s="1839"/>
      <c r="N18" s="1839"/>
    </row>
    <row r="19" spans="1:21" s="536" customFormat="1" ht="8.25" customHeight="1" x14ac:dyDescent="0.25">
      <c r="A19" s="594"/>
      <c r="B19" s="594"/>
      <c r="C19" s="594"/>
      <c r="D19" s="594"/>
      <c r="E19" s="594"/>
      <c r="F19" s="594"/>
      <c r="G19" s="594"/>
      <c r="H19" s="594"/>
      <c r="I19" s="594"/>
      <c r="J19" s="594"/>
      <c r="K19" s="594"/>
      <c r="L19" s="594"/>
      <c r="M19" s="594"/>
      <c r="N19" s="594"/>
    </row>
    <row r="20" spans="1:21" s="536" customFormat="1" x14ac:dyDescent="0.2">
      <c r="A20" s="1840" t="s">
        <v>5738</v>
      </c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0"/>
      <c r="M20" s="1840"/>
      <c r="N20" s="1840"/>
      <c r="U20" s="537" t="s">
        <v>5738</v>
      </c>
    </row>
    <row r="21" spans="1:21" s="536" customFormat="1" ht="13.5" customHeight="1" x14ac:dyDescent="0.2">
      <c r="A21" s="1838" t="s">
        <v>160</v>
      </c>
      <c r="B21" s="1838"/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</row>
    <row r="22" spans="1:21" s="536" customFormat="1" ht="15" customHeight="1" x14ac:dyDescent="0.2">
      <c r="A22" s="536" t="s">
        <v>161</v>
      </c>
      <c r="B22" s="593" t="s">
        <v>162</v>
      </c>
      <c r="C22" s="536" t="s">
        <v>163</v>
      </c>
      <c r="F22" s="537"/>
      <c r="G22" s="537"/>
      <c r="H22" s="537"/>
      <c r="I22" s="537"/>
      <c r="J22" s="537"/>
      <c r="K22" s="537"/>
      <c r="L22" s="537"/>
      <c r="M22" s="537"/>
      <c r="N22" s="537"/>
    </row>
    <row r="23" spans="1:21" s="536" customFormat="1" ht="18" customHeight="1" x14ac:dyDescent="0.2">
      <c r="A23" s="536" t="s">
        <v>164</v>
      </c>
      <c r="B23" s="1840" t="s">
        <v>3685</v>
      </c>
      <c r="C23" s="1840"/>
      <c r="D23" s="1840"/>
      <c r="E23" s="1840"/>
      <c r="F23" s="1840"/>
      <c r="G23" s="537"/>
      <c r="H23" s="537"/>
      <c r="I23" s="537"/>
      <c r="J23" s="537"/>
      <c r="K23" s="537"/>
      <c r="L23" s="537"/>
      <c r="M23" s="537"/>
      <c r="N23" s="537"/>
    </row>
    <row r="24" spans="1:21" s="536" customFormat="1" x14ac:dyDescent="0.2">
      <c r="B24" s="1835" t="s">
        <v>144</v>
      </c>
      <c r="C24" s="1835"/>
      <c r="D24" s="1835"/>
      <c r="E24" s="1835"/>
      <c r="F24" s="1835"/>
      <c r="G24" s="590"/>
      <c r="H24" s="590"/>
      <c r="I24" s="590"/>
      <c r="J24" s="590"/>
      <c r="K24" s="590"/>
      <c r="L24" s="590"/>
      <c r="M24" s="592"/>
      <c r="N24" s="590"/>
    </row>
    <row r="25" spans="1:21" s="536" customFormat="1" ht="9.75" customHeight="1" x14ac:dyDescent="0.2">
      <c r="D25" s="591"/>
      <c r="E25" s="591"/>
      <c r="F25" s="591"/>
      <c r="G25" s="591"/>
      <c r="H25" s="591"/>
      <c r="I25" s="591"/>
      <c r="J25" s="591"/>
      <c r="K25" s="591"/>
      <c r="L25" s="591"/>
      <c r="M25" s="590"/>
      <c r="N25" s="590"/>
    </row>
    <row r="26" spans="1:21" s="536" customFormat="1" x14ac:dyDescent="0.2">
      <c r="A26" s="587" t="s">
        <v>165</v>
      </c>
      <c r="D26" s="589" t="s">
        <v>301</v>
      </c>
      <c r="F26" s="588"/>
      <c r="G26" s="588"/>
      <c r="H26" s="588"/>
      <c r="I26" s="588"/>
      <c r="J26" s="588"/>
      <c r="K26" s="588"/>
      <c r="L26" s="588"/>
      <c r="M26" s="588"/>
      <c r="N26" s="588"/>
    </row>
    <row r="27" spans="1:21" s="536" customFormat="1" ht="9.75" customHeight="1" x14ac:dyDescent="0.2"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</row>
    <row r="28" spans="1:21" s="536" customFormat="1" ht="12.75" customHeight="1" x14ac:dyDescent="0.2">
      <c r="A28" s="587" t="s">
        <v>166</v>
      </c>
      <c r="C28" s="580">
        <v>22.96</v>
      </c>
      <c r="D28" s="579" t="s">
        <v>7120</v>
      </c>
      <c r="E28" s="568" t="s">
        <v>167</v>
      </c>
      <c r="L28" s="586"/>
      <c r="M28" s="586"/>
    </row>
    <row r="29" spans="1:21" s="536" customFormat="1" ht="12.75" customHeight="1" x14ac:dyDescent="0.2">
      <c r="B29" s="536" t="s">
        <v>168</v>
      </c>
      <c r="C29" s="585"/>
      <c r="D29" s="584"/>
      <c r="E29" s="568"/>
    </row>
    <row r="30" spans="1:21" s="536" customFormat="1" ht="12.75" customHeight="1" x14ac:dyDescent="0.2">
      <c r="B30" s="536" t="s">
        <v>169</v>
      </c>
      <c r="C30" s="580">
        <v>0</v>
      </c>
      <c r="D30" s="579" t="s">
        <v>171</v>
      </c>
      <c r="E30" s="568" t="s">
        <v>167</v>
      </c>
      <c r="G30" s="536" t="s">
        <v>170</v>
      </c>
      <c r="L30" s="580">
        <v>0</v>
      </c>
      <c r="M30" s="579" t="s">
        <v>7121</v>
      </c>
      <c r="N30" s="568" t="s">
        <v>167</v>
      </c>
    </row>
    <row r="31" spans="1:21" s="536" customFormat="1" ht="12.75" customHeight="1" x14ac:dyDescent="0.2">
      <c r="B31" s="536" t="s">
        <v>140</v>
      </c>
      <c r="C31" s="580">
        <v>0</v>
      </c>
      <c r="D31" s="583" t="s">
        <v>171</v>
      </c>
      <c r="E31" s="568" t="s">
        <v>167</v>
      </c>
      <c r="G31" s="536" t="s">
        <v>172</v>
      </c>
      <c r="L31" s="582"/>
      <c r="M31" s="582">
        <v>59.06</v>
      </c>
      <c r="N31" s="581" t="s">
        <v>173</v>
      </c>
    </row>
    <row r="32" spans="1:21" s="536" customFormat="1" ht="12.75" customHeight="1" x14ac:dyDescent="0.2">
      <c r="B32" s="536" t="s">
        <v>146</v>
      </c>
      <c r="C32" s="580">
        <v>0</v>
      </c>
      <c r="D32" s="583" t="s">
        <v>171</v>
      </c>
      <c r="E32" s="568" t="s">
        <v>167</v>
      </c>
      <c r="G32" s="536" t="s">
        <v>174</v>
      </c>
      <c r="L32" s="582"/>
      <c r="M32" s="582"/>
      <c r="N32" s="581" t="s">
        <v>173</v>
      </c>
    </row>
    <row r="33" spans="1:28" s="536" customFormat="1" ht="12.75" customHeight="1" x14ac:dyDescent="0.2">
      <c r="B33" s="536" t="s">
        <v>147</v>
      </c>
      <c r="C33" s="580">
        <v>22.96</v>
      </c>
      <c r="D33" s="579" t="s">
        <v>7120</v>
      </c>
      <c r="E33" s="568" t="s">
        <v>167</v>
      </c>
      <c r="G33" s="536" t="s">
        <v>175</v>
      </c>
      <c r="L33" s="1836"/>
      <c r="M33" s="1836"/>
    </row>
    <row r="34" spans="1:28" s="536" customFormat="1" ht="9.75" customHeight="1" x14ac:dyDescent="0.2">
      <c r="A34" s="578"/>
    </row>
    <row r="35" spans="1:28" s="536" customFormat="1" ht="36" customHeight="1" x14ac:dyDescent="0.2">
      <c r="A35" s="1833" t="s">
        <v>8</v>
      </c>
      <c r="B35" s="1833" t="s">
        <v>145</v>
      </c>
      <c r="C35" s="1833" t="s">
        <v>176</v>
      </c>
      <c r="D35" s="1833"/>
      <c r="E35" s="1833"/>
      <c r="F35" s="1833" t="s">
        <v>177</v>
      </c>
      <c r="G35" s="1833" t="s">
        <v>178</v>
      </c>
      <c r="H35" s="1833"/>
      <c r="I35" s="1833"/>
      <c r="J35" s="1833" t="s">
        <v>179</v>
      </c>
      <c r="K35" s="1833"/>
      <c r="L35" s="1833"/>
      <c r="M35" s="1833" t="s">
        <v>180</v>
      </c>
      <c r="N35" s="1833" t="s">
        <v>181</v>
      </c>
    </row>
    <row r="36" spans="1:28" s="536" customFormat="1" ht="36.75" customHeight="1" x14ac:dyDescent="0.2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</row>
    <row r="37" spans="1:28" s="536" customFormat="1" ht="45" x14ac:dyDescent="0.2">
      <c r="A37" s="1833"/>
      <c r="B37" s="1833"/>
      <c r="C37" s="1833"/>
      <c r="D37" s="1833"/>
      <c r="E37" s="1833"/>
      <c r="F37" s="1833"/>
      <c r="G37" s="577" t="s">
        <v>182</v>
      </c>
      <c r="H37" s="577" t="s">
        <v>183</v>
      </c>
      <c r="I37" s="577" t="s">
        <v>184</v>
      </c>
      <c r="J37" s="577" t="s">
        <v>182</v>
      </c>
      <c r="K37" s="577" t="s">
        <v>183</v>
      </c>
      <c r="L37" s="577" t="s">
        <v>148</v>
      </c>
      <c r="M37" s="1833"/>
      <c r="N37" s="1833"/>
    </row>
    <row r="38" spans="1:28" s="536" customFormat="1" x14ac:dyDescent="0.2">
      <c r="A38" s="576">
        <v>1</v>
      </c>
      <c r="B38" s="576">
        <v>2</v>
      </c>
      <c r="C38" s="1834">
        <v>3</v>
      </c>
      <c r="D38" s="1834"/>
      <c r="E38" s="1834"/>
      <c r="F38" s="576">
        <v>4</v>
      </c>
      <c r="G38" s="576">
        <v>5</v>
      </c>
      <c r="H38" s="576">
        <v>6</v>
      </c>
      <c r="I38" s="576">
        <v>7</v>
      </c>
      <c r="J38" s="576">
        <v>8</v>
      </c>
      <c r="K38" s="576">
        <v>9</v>
      </c>
      <c r="L38" s="576">
        <v>10</v>
      </c>
      <c r="M38" s="576">
        <v>11</v>
      </c>
      <c r="N38" s="576">
        <v>12</v>
      </c>
    </row>
    <row r="39" spans="1:28" s="536" customFormat="1" ht="12" x14ac:dyDescent="0.2">
      <c r="A39" s="1824" t="s">
        <v>5741</v>
      </c>
      <c r="B39" s="1825"/>
      <c r="C39" s="1825"/>
      <c r="D39" s="1825"/>
      <c r="E39" s="1825"/>
      <c r="F39" s="1825"/>
      <c r="G39" s="1825"/>
      <c r="H39" s="1825"/>
      <c r="I39" s="1825"/>
      <c r="J39" s="1825"/>
      <c r="K39" s="1825"/>
      <c r="L39" s="1825"/>
      <c r="M39" s="1825"/>
      <c r="N39" s="1826"/>
      <c r="V39" s="537" t="s">
        <v>5741</v>
      </c>
    </row>
    <row r="40" spans="1:28" s="536" customFormat="1" x14ac:dyDescent="0.2">
      <c r="A40" s="1830" t="s">
        <v>5760</v>
      </c>
      <c r="B40" s="1831"/>
      <c r="C40" s="1831"/>
      <c r="D40" s="1831"/>
      <c r="E40" s="1831"/>
      <c r="F40" s="1831"/>
      <c r="G40" s="1831"/>
      <c r="H40" s="1831"/>
      <c r="I40" s="1831"/>
      <c r="J40" s="1831"/>
      <c r="K40" s="1831"/>
      <c r="L40" s="1831"/>
      <c r="M40" s="1831"/>
      <c r="N40" s="1832"/>
      <c r="W40" s="537" t="s">
        <v>5760</v>
      </c>
    </row>
    <row r="41" spans="1:28" s="536" customFormat="1" ht="33.75" x14ac:dyDescent="0.2">
      <c r="A41" s="575" t="s">
        <v>185</v>
      </c>
      <c r="B41" s="574" t="s">
        <v>5761</v>
      </c>
      <c r="C41" s="1823" t="s">
        <v>5762</v>
      </c>
      <c r="D41" s="1823"/>
      <c r="E41" s="1823"/>
      <c r="F41" s="573" t="s">
        <v>617</v>
      </c>
      <c r="G41" s="573"/>
      <c r="H41" s="573"/>
      <c r="I41" s="573" t="s">
        <v>185</v>
      </c>
      <c r="J41" s="572"/>
      <c r="K41" s="573"/>
      <c r="L41" s="572"/>
      <c r="M41" s="571"/>
      <c r="N41" s="570"/>
      <c r="X41" s="537" t="s">
        <v>5762</v>
      </c>
    </row>
    <row r="42" spans="1:28" s="536" customFormat="1" ht="33.75" x14ac:dyDescent="0.2">
      <c r="A42" s="609"/>
      <c r="B42" s="552" t="s">
        <v>310</v>
      </c>
      <c r="C42" s="1822" t="s">
        <v>311</v>
      </c>
      <c r="D42" s="1822"/>
      <c r="E42" s="1822"/>
      <c r="F42" s="1822"/>
      <c r="G42" s="1822"/>
      <c r="H42" s="1822"/>
      <c r="I42" s="1822"/>
      <c r="J42" s="1822"/>
      <c r="K42" s="1822"/>
      <c r="L42" s="1822"/>
      <c r="M42" s="1822"/>
      <c r="N42" s="1827"/>
      <c r="Y42" s="537" t="s">
        <v>311</v>
      </c>
    </row>
    <row r="43" spans="1:28" s="536" customFormat="1" ht="22.5" x14ac:dyDescent="0.2">
      <c r="A43" s="609"/>
      <c r="B43" s="552" t="s">
        <v>7110</v>
      </c>
      <c r="C43" s="1822" t="s">
        <v>7109</v>
      </c>
      <c r="D43" s="1822"/>
      <c r="E43" s="1822"/>
      <c r="F43" s="1822"/>
      <c r="G43" s="1822"/>
      <c r="H43" s="1822"/>
      <c r="I43" s="1822"/>
      <c r="J43" s="1822"/>
      <c r="K43" s="1822"/>
      <c r="L43" s="1822"/>
      <c r="M43" s="1822"/>
      <c r="N43" s="1827"/>
      <c r="Y43" s="537" t="s">
        <v>7109</v>
      </c>
    </row>
    <row r="44" spans="1:28" s="536" customFormat="1" x14ac:dyDescent="0.2">
      <c r="A44" s="609"/>
      <c r="B44" s="552"/>
      <c r="C44" s="1822" t="s">
        <v>5745</v>
      </c>
      <c r="D44" s="1822"/>
      <c r="E44" s="1822"/>
      <c r="F44" s="1822"/>
      <c r="G44" s="1822"/>
      <c r="H44" s="1822"/>
      <c r="I44" s="1822"/>
      <c r="J44" s="1822"/>
      <c r="K44" s="1822"/>
      <c r="L44" s="1822"/>
      <c r="M44" s="1822"/>
      <c r="N44" s="1827"/>
      <c r="Y44" s="537" t="s">
        <v>5745</v>
      </c>
    </row>
    <row r="45" spans="1:28" s="536" customFormat="1" x14ac:dyDescent="0.2">
      <c r="A45" s="605"/>
      <c r="B45" s="552" t="s">
        <v>185</v>
      </c>
      <c r="C45" s="1822" t="s">
        <v>312</v>
      </c>
      <c r="D45" s="1822"/>
      <c r="E45" s="1822"/>
      <c r="F45" s="562"/>
      <c r="G45" s="562"/>
      <c r="H45" s="562"/>
      <c r="I45" s="562"/>
      <c r="J45" s="604">
        <v>81.66</v>
      </c>
      <c r="K45" s="562" t="s">
        <v>2507</v>
      </c>
      <c r="L45" s="604">
        <v>65.33</v>
      </c>
      <c r="M45" s="603"/>
      <c r="N45" s="602"/>
      <c r="Z45" s="537" t="s">
        <v>312</v>
      </c>
    </row>
    <row r="46" spans="1:28" s="536" customFormat="1" x14ac:dyDescent="0.2">
      <c r="A46" s="605"/>
      <c r="B46" s="552"/>
      <c r="C46" s="1822" t="s">
        <v>314</v>
      </c>
      <c r="D46" s="1822"/>
      <c r="E46" s="1822"/>
      <c r="F46" s="562" t="s">
        <v>315</v>
      </c>
      <c r="G46" s="562" t="s">
        <v>5763</v>
      </c>
      <c r="H46" s="562" t="s">
        <v>2507</v>
      </c>
      <c r="I46" s="562" t="s">
        <v>7119</v>
      </c>
      <c r="J46" s="604"/>
      <c r="K46" s="562"/>
      <c r="L46" s="604"/>
      <c r="M46" s="603"/>
      <c r="N46" s="602"/>
      <c r="AA46" s="537" t="s">
        <v>314</v>
      </c>
    </row>
    <row r="47" spans="1:28" s="536" customFormat="1" x14ac:dyDescent="0.2">
      <c r="A47" s="605"/>
      <c r="B47" s="552"/>
      <c r="C47" s="1828" t="s">
        <v>318</v>
      </c>
      <c r="D47" s="1828"/>
      <c r="E47" s="1828"/>
      <c r="F47" s="608"/>
      <c r="G47" s="608"/>
      <c r="H47" s="608"/>
      <c r="I47" s="608"/>
      <c r="J47" s="607">
        <v>81.66</v>
      </c>
      <c r="K47" s="608"/>
      <c r="L47" s="607">
        <v>65.33</v>
      </c>
      <c r="M47" s="601"/>
      <c r="N47" s="606"/>
      <c r="AB47" s="537" t="s">
        <v>318</v>
      </c>
    </row>
    <row r="48" spans="1:28" s="536" customFormat="1" x14ac:dyDescent="0.2">
      <c r="A48" s="605"/>
      <c r="B48" s="552"/>
      <c r="C48" s="1822" t="s">
        <v>319</v>
      </c>
      <c r="D48" s="1822"/>
      <c r="E48" s="1822"/>
      <c r="F48" s="562"/>
      <c r="G48" s="562"/>
      <c r="H48" s="562"/>
      <c r="I48" s="562"/>
      <c r="J48" s="604"/>
      <c r="K48" s="562"/>
      <c r="L48" s="604">
        <v>65.33</v>
      </c>
      <c r="M48" s="603"/>
      <c r="N48" s="602"/>
      <c r="AA48" s="537" t="s">
        <v>319</v>
      </c>
    </row>
    <row r="49" spans="1:29" s="536" customFormat="1" ht="33.75" x14ac:dyDescent="0.2">
      <c r="A49" s="605"/>
      <c r="B49" s="552" t="s">
        <v>5747</v>
      </c>
      <c r="C49" s="1822" t="s">
        <v>5748</v>
      </c>
      <c r="D49" s="1822"/>
      <c r="E49" s="1822"/>
      <c r="F49" s="562" t="s">
        <v>322</v>
      </c>
      <c r="G49" s="562" t="s">
        <v>538</v>
      </c>
      <c r="H49" s="562"/>
      <c r="I49" s="562" t="s">
        <v>538</v>
      </c>
      <c r="J49" s="604"/>
      <c r="K49" s="562"/>
      <c r="L49" s="604">
        <v>48.34</v>
      </c>
      <c r="M49" s="603"/>
      <c r="N49" s="602"/>
      <c r="AA49" s="537" t="s">
        <v>5748</v>
      </c>
    </row>
    <row r="50" spans="1:29" s="536" customFormat="1" ht="33.75" x14ac:dyDescent="0.2">
      <c r="A50" s="605"/>
      <c r="B50" s="552" t="s">
        <v>5749</v>
      </c>
      <c r="C50" s="1822" t="s">
        <v>5750</v>
      </c>
      <c r="D50" s="1822"/>
      <c r="E50" s="1822"/>
      <c r="F50" s="562" t="s">
        <v>322</v>
      </c>
      <c r="G50" s="562" t="s">
        <v>769</v>
      </c>
      <c r="H50" s="562"/>
      <c r="I50" s="562" t="s">
        <v>769</v>
      </c>
      <c r="J50" s="604"/>
      <c r="K50" s="562"/>
      <c r="L50" s="604">
        <v>23.52</v>
      </c>
      <c r="M50" s="603"/>
      <c r="N50" s="602"/>
      <c r="AA50" s="537" t="s">
        <v>5750</v>
      </c>
    </row>
    <row r="51" spans="1:29" s="536" customFormat="1" x14ac:dyDescent="0.2">
      <c r="A51" s="569"/>
      <c r="B51" s="545"/>
      <c r="C51" s="1823" t="s">
        <v>327</v>
      </c>
      <c r="D51" s="1823"/>
      <c r="E51" s="1823"/>
      <c r="F51" s="573"/>
      <c r="G51" s="573"/>
      <c r="H51" s="573"/>
      <c r="I51" s="573"/>
      <c r="J51" s="572"/>
      <c r="K51" s="573"/>
      <c r="L51" s="572">
        <v>137.19</v>
      </c>
      <c r="M51" s="601"/>
      <c r="N51" s="570"/>
      <c r="AC51" s="537" t="s">
        <v>327</v>
      </c>
    </row>
    <row r="52" spans="1:29" s="536" customFormat="1" ht="33.75" x14ac:dyDescent="0.2">
      <c r="A52" s="575" t="s">
        <v>186</v>
      </c>
      <c r="B52" s="574" t="s">
        <v>5764</v>
      </c>
      <c r="C52" s="1823" t="s">
        <v>5765</v>
      </c>
      <c r="D52" s="1823"/>
      <c r="E52" s="1823"/>
      <c r="F52" s="573" t="s">
        <v>617</v>
      </c>
      <c r="G52" s="573"/>
      <c r="H52" s="573"/>
      <c r="I52" s="573" t="s">
        <v>187</v>
      </c>
      <c r="J52" s="572"/>
      <c r="K52" s="573"/>
      <c r="L52" s="572"/>
      <c r="M52" s="571"/>
      <c r="N52" s="570"/>
      <c r="X52" s="537" t="s">
        <v>5765</v>
      </c>
    </row>
    <row r="53" spans="1:29" s="536" customFormat="1" ht="33.75" x14ac:dyDescent="0.2">
      <c r="A53" s="609"/>
      <c r="B53" s="552" t="s">
        <v>310</v>
      </c>
      <c r="C53" s="1822" t="s">
        <v>311</v>
      </c>
      <c r="D53" s="1822"/>
      <c r="E53" s="1822"/>
      <c r="F53" s="1822"/>
      <c r="G53" s="1822"/>
      <c r="H53" s="1822"/>
      <c r="I53" s="1822"/>
      <c r="J53" s="1822"/>
      <c r="K53" s="1822"/>
      <c r="L53" s="1822"/>
      <c r="M53" s="1822"/>
      <c r="N53" s="1827"/>
      <c r="Y53" s="537" t="s">
        <v>311</v>
      </c>
    </row>
    <row r="54" spans="1:29" s="536" customFormat="1" ht="22.5" x14ac:dyDescent="0.2">
      <c r="A54" s="609"/>
      <c r="B54" s="552" t="s">
        <v>7110</v>
      </c>
      <c r="C54" s="1822" t="s">
        <v>7109</v>
      </c>
      <c r="D54" s="1822"/>
      <c r="E54" s="1822"/>
      <c r="F54" s="1822"/>
      <c r="G54" s="1822"/>
      <c r="H54" s="1822"/>
      <c r="I54" s="1822"/>
      <c r="J54" s="1822"/>
      <c r="K54" s="1822"/>
      <c r="L54" s="1822"/>
      <c r="M54" s="1822"/>
      <c r="N54" s="1827"/>
      <c r="Y54" s="537" t="s">
        <v>7109</v>
      </c>
    </row>
    <row r="55" spans="1:29" s="536" customFormat="1" x14ac:dyDescent="0.2">
      <c r="A55" s="609"/>
      <c r="B55" s="552"/>
      <c r="C55" s="1822" t="s">
        <v>5745</v>
      </c>
      <c r="D55" s="1822"/>
      <c r="E55" s="1822"/>
      <c r="F55" s="1822"/>
      <c r="G55" s="1822"/>
      <c r="H55" s="1822"/>
      <c r="I55" s="1822"/>
      <c r="J55" s="1822"/>
      <c r="K55" s="1822"/>
      <c r="L55" s="1822"/>
      <c r="M55" s="1822"/>
      <c r="N55" s="1827"/>
      <c r="Y55" s="537" t="s">
        <v>5745</v>
      </c>
    </row>
    <row r="56" spans="1:29" s="536" customFormat="1" x14ac:dyDescent="0.2">
      <c r="A56" s="605"/>
      <c r="B56" s="552" t="s">
        <v>185</v>
      </c>
      <c r="C56" s="1822" t="s">
        <v>312</v>
      </c>
      <c r="D56" s="1822"/>
      <c r="E56" s="1822"/>
      <c r="F56" s="562"/>
      <c r="G56" s="562"/>
      <c r="H56" s="562"/>
      <c r="I56" s="562"/>
      <c r="J56" s="604">
        <v>54.55</v>
      </c>
      <c r="K56" s="562" t="s">
        <v>2507</v>
      </c>
      <c r="L56" s="604">
        <v>130.91999999999999</v>
      </c>
      <c r="M56" s="603"/>
      <c r="N56" s="602"/>
      <c r="Z56" s="537" t="s">
        <v>312</v>
      </c>
    </row>
    <row r="57" spans="1:29" s="536" customFormat="1" x14ac:dyDescent="0.2">
      <c r="A57" s="605"/>
      <c r="B57" s="552"/>
      <c r="C57" s="1822" t="s">
        <v>314</v>
      </c>
      <c r="D57" s="1822"/>
      <c r="E57" s="1822"/>
      <c r="F57" s="562" t="s">
        <v>315</v>
      </c>
      <c r="G57" s="562" t="s">
        <v>3142</v>
      </c>
      <c r="H57" s="562" t="s">
        <v>2507</v>
      </c>
      <c r="I57" s="562" t="s">
        <v>3383</v>
      </c>
      <c r="J57" s="604"/>
      <c r="K57" s="562"/>
      <c r="L57" s="604"/>
      <c r="M57" s="603"/>
      <c r="N57" s="602"/>
      <c r="AA57" s="537" t="s">
        <v>314</v>
      </c>
    </row>
    <row r="58" spans="1:29" s="536" customFormat="1" x14ac:dyDescent="0.2">
      <c r="A58" s="605"/>
      <c r="B58" s="552"/>
      <c r="C58" s="1828" t="s">
        <v>318</v>
      </c>
      <c r="D58" s="1828"/>
      <c r="E58" s="1828"/>
      <c r="F58" s="608"/>
      <c r="G58" s="608"/>
      <c r="H58" s="608"/>
      <c r="I58" s="608"/>
      <c r="J58" s="607">
        <v>54.55</v>
      </c>
      <c r="K58" s="608"/>
      <c r="L58" s="607">
        <v>130.91999999999999</v>
      </c>
      <c r="M58" s="601"/>
      <c r="N58" s="606"/>
      <c r="AB58" s="537" t="s">
        <v>318</v>
      </c>
    </row>
    <row r="59" spans="1:29" s="536" customFormat="1" x14ac:dyDescent="0.2">
      <c r="A59" s="605"/>
      <c r="B59" s="552"/>
      <c r="C59" s="1822" t="s">
        <v>319</v>
      </c>
      <c r="D59" s="1822"/>
      <c r="E59" s="1822"/>
      <c r="F59" s="562"/>
      <c r="G59" s="562"/>
      <c r="H59" s="562"/>
      <c r="I59" s="562"/>
      <c r="J59" s="604"/>
      <c r="K59" s="562"/>
      <c r="L59" s="604">
        <v>130.91999999999999</v>
      </c>
      <c r="M59" s="603"/>
      <c r="N59" s="602"/>
      <c r="AA59" s="537" t="s">
        <v>319</v>
      </c>
    </row>
    <row r="60" spans="1:29" s="536" customFormat="1" ht="33.75" x14ac:dyDescent="0.2">
      <c r="A60" s="605"/>
      <c r="B60" s="552" t="s">
        <v>5747</v>
      </c>
      <c r="C60" s="1822" t="s">
        <v>5748</v>
      </c>
      <c r="D60" s="1822"/>
      <c r="E60" s="1822"/>
      <c r="F60" s="562" t="s">
        <v>322</v>
      </c>
      <c r="G60" s="562" t="s">
        <v>538</v>
      </c>
      <c r="H60" s="562"/>
      <c r="I60" s="562" t="s">
        <v>538</v>
      </c>
      <c r="J60" s="604"/>
      <c r="K60" s="562"/>
      <c r="L60" s="604">
        <v>96.88</v>
      </c>
      <c r="M60" s="603"/>
      <c r="N60" s="602"/>
      <c r="AA60" s="537" t="s">
        <v>5748</v>
      </c>
    </row>
    <row r="61" spans="1:29" s="536" customFormat="1" ht="33.75" x14ac:dyDescent="0.2">
      <c r="A61" s="605"/>
      <c r="B61" s="552" t="s">
        <v>5749</v>
      </c>
      <c r="C61" s="1822" t="s">
        <v>5750</v>
      </c>
      <c r="D61" s="1822"/>
      <c r="E61" s="1822"/>
      <c r="F61" s="562" t="s">
        <v>322</v>
      </c>
      <c r="G61" s="562" t="s">
        <v>769</v>
      </c>
      <c r="H61" s="562"/>
      <c r="I61" s="562" t="s">
        <v>769</v>
      </c>
      <c r="J61" s="604"/>
      <c r="K61" s="562"/>
      <c r="L61" s="604">
        <v>47.13</v>
      </c>
      <c r="M61" s="603"/>
      <c r="N61" s="602"/>
      <c r="AA61" s="537" t="s">
        <v>5750</v>
      </c>
    </row>
    <row r="62" spans="1:29" s="536" customFormat="1" x14ac:dyDescent="0.2">
      <c r="A62" s="569"/>
      <c r="B62" s="545"/>
      <c r="C62" s="1823" t="s">
        <v>327</v>
      </c>
      <c r="D62" s="1823"/>
      <c r="E62" s="1823"/>
      <c r="F62" s="573"/>
      <c r="G62" s="573"/>
      <c r="H62" s="573"/>
      <c r="I62" s="573"/>
      <c r="J62" s="572"/>
      <c r="K62" s="573"/>
      <c r="L62" s="572">
        <v>274.93</v>
      </c>
      <c r="M62" s="601"/>
      <c r="N62" s="570"/>
      <c r="AC62" s="537" t="s">
        <v>327</v>
      </c>
    </row>
    <row r="63" spans="1:29" s="536" customFormat="1" ht="45" x14ac:dyDescent="0.2">
      <c r="A63" s="575" t="s">
        <v>187</v>
      </c>
      <c r="B63" s="574" t="s">
        <v>5766</v>
      </c>
      <c r="C63" s="1823" t="s">
        <v>5767</v>
      </c>
      <c r="D63" s="1823"/>
      <c r="E63" s="1823"/>
      <c r="F63" s="573" t="s">
        <v>617</v>
      </c>
      <c r="G63" s="573"/>
      <c r="H63" s="573"/>
      <c r="I63" s="573" t="s">
        <v>185</v>
      </c>
      <c r="J63" s="572"/>
      <c r="K63" s="573"/>
      <c r="L63" s="572"/>
      <c r="M63" s="571"/>
      <c r="N63" s="570"/>
      <c r="X63" s="537" t="s">
        <v>5767</v>
      </c>
    </row>
    <row r="64" spans="1:29" s="536" customFormat="1" ht="33.75" x14ac:dyDescent="0.2">
      <c r="A64" s="609"/>
      <c r="B64" s="552" t="s">
        <v>310</v>
      </c>
      <c r="C64" s="1822" t="s">
        <v>311</v>
      </c>
      <c r="D64" s="1822"/>
      <c r="E64" s="1822"/>
      <c r="F64" s="1822"/>
      <c r="G64" s="1822"/>
      <c r="H64" s="1822"/>
      <c r="I64" s="1822"/>
      <c r="J64" s="1822"/>
      <c r="K64" s="1822"/>
      <c r="L64" s="1822"/>
      <c r="M64" s="1822"/>
      <c r="N64" s="1827"/>
      <c r="Y64" s="537" t="s">
        <v>311</v>
      </c>
    </row>
    <row r="65" spans="1:29" s="536" customFormat="1" ht="22.5" x14ac:dyDescent="0.2">
      <c r="A65" s="609"/>
      <c r="B65" s="552" t="s">
        <v>7110</v>
      </c>
      <c r="C65" s="1822" t="s">
        <v>7109</v>
      </c>
      <c r="D65" s="1822"/>
      <c r="E65" s="1822"/>
      <c r="F65" s="1822"/>
      <c r="G65" s="1822"/>
      <c r="H65" s="1822"/>
      <c r="I65" s="1822"/>
      <c r="J65" s="1822"/>
      <c r="K65" s="1822"/>
      <c r="L65" s="1822"/>
      <c r="M65" s="1822"/>
      <c r="N65" s="1827"/>
      <c r="Y65" s="537" t="s">
        <v>7109</v>
      </c>
    </row>
    <row r="66" spans="1:29" s="536" customFormat="1" x14ac:dyDescent="0.2">
      <c r="A66" s="609"/>
      <c r="B66" s="552"/>
      <c r="C66" s="1822" t="s">
        <v>5745</v>
      </c>
      <c r="D66" s="1822"/>
      <c r="E66" s="1822"/>
      <c r="F66" s="1822"/>
      <c r="G66" s="1822"/>
      <c r="H66" s="1822"/>
      <c r="I66" s="1822"/>
      <c r="J66" s="1822"/>
      <c r="K66" s="1822"/>
      <c r="L66" s="1822"/>
      <c r="M66" s="1822"/>
      <c r="N66" s="1827"/>
      <c r="Y66" s="537" t="s">
        <v>5745</v>
      </c>
    </row>
    <row r="67" spans="1:29" s="536" customFormat="1" x14ac:dyDescent="0.2">
      <c r="A67" s="605"/>
      <c r="B67" s="552" t="s">
        <v>185</v>
      </c>
      <c r="C67" s="1822" t="s">
        <v>312</v>
      </c>
      <c r="D67" s="1822"/>
      <c r="E67" s="1822"/>
      <c r="F67" s="562"/>
      <c r="G67" s="562"/>
      <c r="H67" s="562"/>
      <c r="I67" s="562"/>
      <c r="J67" s="604">
        <v>33.83</v>
      </c>
      <c r="K67" s="562" t="s">
        <v>2507</v>
      </c>
      <c r="L67" s="604">
        <v>27.06</v>
      </c>
      <c r="M67" s="603"/>
      <c r="N67" s="602"/>
      <c r="Z67" s="537" t="s">
        <v>312</v>
      </c>
    </row>
    <row r="68" spans="1:29" s="536" customFormat="1" x14ac:dyDescent="0.2">
      <c r="A68" s="605"/>
      <c r="B68" s="552"/>
      <c r="C68" s="1822" t="s">
        <v>314</v>
      </c>
      <c r="D68" s="1822"/>
      <c r="E68" s="1822"/>
      <c r="F68" s="562" t="s">
        <v>315</v>
      </c>
      <c r="G68" s="562" t="s">
        <v>1209</v>
      </c>
      <c r="H68" s="562" t="s">
        <v>2507</v>
      </c>
      <c r="I68" s="562" t="s">
        <v>1450</v>
      </c>
      <c r="J68" s="604"/>
      <c r="K68" s="562"/>
      <c r="L68" s="604"/>
      <c r="M68" s="603"/>
      <c r="N68" s="602"/>
      <c r="AA68" s="537" t="s">
        <v>314</v>
      </c>
    </row>
    <row r="69" spans="1:29" s="536" customFormat="1" x14ac:dyDescent="0.2">
      <c r="A69" s="605"/>
      <c r="B69" s="552"/>
      <c r="C69" s="1828" t="s">
        <v>318</v>
      </c>
      <c r="D69" s="1828"/>
      <c r="E69" s="1828"/>
      <c r="F69" s="608"/>
      <c r="G69" s="608"/>
      <c r="H69" s="608"/>
      <c r="I69" s="608"/>
      <c r="J69" s="607">
        <v>33.83</v>
      </c>
      <c r="K69" s="608"/>
      <c r="L69" s="607">
        <v>27.06</v>
      </c>
      <c r="M69" s="601"/>
      <c r="N69" s="606"/>
      <c r="AB69" s="537" t="s">
        <v>318</v>
      </c>
    </row>
    <row r="70" spans="1:29" s="536" customFormat="1" x14ac:dyDescent="0.2">
      <c r="A70" s="605"/>
      <c r="B70" s="552"/>
      <c r="C70" s="1822" t="s">
        <v>319</v>
      </c>
      <c r="D70" s="1822"/>
      <c r="E70" s="1822"/>
      <c r="F70" s="562"/>
      <c r="G70" s="562"/>
      <c r="H70" s="562"/>
      <c r="I70" s="562"/>
      <c r="J70" s="604"/>
      <c r="K70" s="562"/>
      <c r="L70" s="604">
        <v>27.06</v>
      </c>
      <c r="M70" s="603"/>
      <c r="N70" s="602"/>
      <c r="AA70" s="537" t="s">
        <v>319</v>
      </c>
    </row>
    <row r="71" spans="1:29" s="536" customFormat="1" ht="33.75" x14ac:dyDescent="0.2">
      <c r="A71" s="605"/>
      <c r="B71" s="552" t="s">
        <v>5747</v>
      </c>
      <c r="C71" s="1822" t="s">
        <v>5748</v>
      </c>
      <c r="D71" s="1822"/>
      <c r="E71" s="1822"/>
      <c r="F71" s="562" t="s">
        <v>322</v>
      </c>
      <c r="G71" s="562" t="s">
        <v>538</v>
      </c>
      <c r="H71" s="562"/>
      <c r="I71" s="562" t="s">
        <v>538</v>
      </c>
      <c r="J71" s="604"/>
      <c r="K71" s="562"/>
      <c r="L71" s="604">
        <v>20.02</v>
      </c>
      <c r="M71" s="603"/>
      <c r="N71" s="602"/>
      <c r="AA71" s="537" t="s">
        <v>5748</v>
      </c>
    </row>
    <row r="72" spans="1:29" s="536" customFormat="1" ht="33.75" x14ac:dyDescent="0.2">
      <c r="A72" s="605"/>
      <c r="B72" s="552" t="s">
        <v>5749</v>
      </c>
      <c r="C72" s="1822" t="s">
        <v>5750</v>
      </c>
      <c r="D72" s="1822"/>
      <c r="E72" s="1822"/>
      <c r="F72" s="562" t="s">
        <v>322</v>
      </c>
      <c r="G72" s="562" t="s">
        <v>769</v>
      </c>
      <c r="H72" s="562"/>
      <c r="I72" s="562" t="s">
        <v>769</v>
      </c>
      <c r="J72" s="604"/>
      <c r="K72" s="562"/>
      <c r="L72" s="604">
        <v>9.74</v>
      </c>
      <c r="M72" s="603"/>
      <c r="N72" s="602"/>
      <c r="AA72" s="537" t="s">
        <v>5750</v>
      </c>
    </row>
    <row r="73" spans="1:29" s="536" customFormat="1" x14ac:dyDescent="0.2">
      <c r="A73" s="569"/>
      <c r="B73" s="545"/>
      <c r="C73" s="1823" t="s">
        <v>327</v>
      </c>
      <c r="D73" s="1823"/>
      <c r="E73" s="1823"/>
      <c r="F73" s="573"/>
      <c r="G73" s="573"/>
      <c r="H73" s="573"/>
      <c r="I73" s="573"/>
      <c r="J73" s="572"/>
      <c r="K73" s="573"/>
      <c r="L73" s="572">
        <v>56.82</v>
      </c>
      <c r="M73" s="601"/>
      <c r="N73" s="570"/>
      <c r="AC73" s="537" t="s">
        <v>327</v>
      </c>
    </row>
    <row r="74" spans="1:29" s="536" customFormat="1" ht="22.5" x14ac:dyDescent="0.2">
      <c r="A74" s="575" t="s">
        <v>188</v>
      </c>
      <c r="B74" s="574" t="s">
        <v>5768</v>
      </c>
      <c r="C74" s="1823" t="s">
        <v>5769</v>
      </c>
      <c r="D74" s="1823"/>
      <c r="E74" s="1823"/>
      <c r="F74" s="573" t="s">
        <v>617</v>
      </c>
      <c r="G74" s="573"/>
      <c r="H74" s="573"/>
      <c r="I74" s="573" t="s">
        <v>185</v>
      </c>
      <c r="J74" s="572"/>
      <c r="K74" s="573"/>
      <c r="L74" s="572"/>
      <c r="M74" s="571"/>
      <c r="N74" s="570"/>
      <c r="X74" s="537" t="s">
        <v>5769</v>
      </c>
    </row>
    <row r="75" spans="1:29" s="536" customFormat="1" ht="33.75" x14ac:dyDescent="0.2">
      <c r="A75" s="609"/>
      <c r="B75" s="552" t="s">
        <v>310</v>
      </c>
      <c r="C75" s="1822" t="s">
        <v>311</v>
      </c>
      <c r="D75" s="1822"/>
      <c r="E75" s="1822"/>
      <c r="F75" s="1822"/>
      <c r="G75" s="1822"/>
      <c r="H75" s="1822"/>
      <c r="I75" s="1822"/>
      <c r="J75" s="1822"/>
      <c r="K75" s="1822"/>
      <c r="L75" s="1822"/>
      <c r="M75" s="1822"/>
      <c r="N75" s="1827"/>
      <c r="Y75" s="537" t="s">
        <v>311</v>
      </c>
    </row>
    <row r="76" spans="1:29" s="536" customFormat="1" ht="22.5" x14ac:dyDescent="0.2">
      <c r="A76" s="609"/>
      <c r="B76" s="552" t="s">
        <v>7110</v>
      </c>
      <c r="C76" s="1822" t="s">
        <v>7109</v>
      </c>
      <c r="D76" s="1822"/>
      <c r="E76" s="1822"/>
      <c r="F76" s="1822"/>
      <c r="G76" s="1822"/>
      <c r="H76" s="1822"/>
      <c r="I76" s="1822"/>
      <c r="J76" s="1822"/>
      <c r="K76" s="1822"/>
      <c r="L76" s="1822"/>
      <c r="M76" s="1822"/>
      <c r="N76" s="1827"/>
      <c r="Y76" s="537" t="s">
        <v>7109</v>
      </c>
    </row>
    <row r="77" spans="1:29" s="536" customFormat="1" x14ac:dyDescent="0.2">
      <c r="A77" s="609"/>
      <c r="B77" s="552"/>
      <c r="C77" s="1822" t="s">
        <v>5745</v>
      </c>
      <c r="D77" s="1822"/>
      <c r="E77" s="1822"/>
      <c r="F77" s="1822"/>
      <c r="G77" s="1822"/>
      <c r="H77" s="1822"/>
      <c r="I77" s="1822"/>
      <c r="J77" s="1822"/>
      <c r="K77" s="1822"/>
      <c r="L77" s="1822"/>
      <c r="M77" s="1822"/>
      <c r="N77" s="1827"/>
      <c r="Y77" s="537" t="s">
        <v>5745</v>
      </c>
    </row>
    <row r="78" spans="1:29" s="536" customFormat="1" x14ac:dyDescent="0.2">
      <c r="A78" s="605"/>
      <c r="B78" s="552" t="s">
        <v>185</v>
      </c>
      <c r="C78" s="1822" t="s">
        <v>312</v>
      </c>
      <c r="D78" s="1822"/>
      <c r="E78" s="1822"/>
      <c r="F78" s="562"/>
      <c r="G78" s="562"/>
      <c r="H78" s="562"/>
      <c r="I78" s="562"/>
      <c r="J78" s="604">
        <v>258.66000000000003</v>
      </c>
      <c r="K78" s="562" t="s">
        <v>2507</v>
      </c>
      <c r="L78" s="604">
        <v>206.93</v>
      </c>
      <c r="M78" s="603"/>
      <c r="N78" s="602"/>
      <c r="Z78" s="537" t="s">
        <v>312</v>
      </c>
    </row>
    <row r="79" spans="1:29" s="536" customFormat="1" x14ac:dyDescent="0.2">
      <c r="A79" s="605"/>
      <c r="B79" s="552"/>
      <c r="C79" s="1822" t="s">
        <v>314</v>
      </c>
      <c r="D79" s="1822"/>
      <c r="E79" s="1822"/>
      <c r="F79" s="562" t="s">
        <v>315</v>
      </c>
      <c r="G79" s="562" t="s">
        <v>430</v>
      </c>
      <c r="H79" s="562" t="s">
        <v>2507</v>
      </c>
      <c r="I79" s="562" t="s">
        <v>1028</v>
      </c>
      <c r="J79" s="604"/>
      <c r="K79" s="562"/>
      <c r="L79" s="604"/>
      <c r="M79" s="603"/>
      <c r="N79" s="602"/>
      <c r="AA79" s="537" t="s">
        <v>314</v>
      </c>
    </row>
    <row r="80" spans="1:29" s="536" customFormat="1" x14ac:dyDescent="0.2">
      <c r="A80" s="605"/>
      <c r="B80" s="552"/>
      <c r="C80" s="1828" t="s">
        <v>318</v>
      </c>
      <c r="D80" s="1828"/>
      <c r="E80" s="1828"/>
      <c r="F80" s="608"/>
      <c r="G80" s="608"/>
      <c r="H80" s="608"/>
      <c r="I80" s="608"/>
      <c r="J80" s="607">
        <v>258.66000000000003</v>
      </c>
      <c r="K80" s="608"/>
      <c r="L80" s="607">
        <v>206.93</v>
      </c>
      <c r="M80" s="601"/>
      <c r="N80" s="606"/>
      <c r="AB80" s="537" t="s">
        <v>318</v>
      </c>
    </row>
    <row r="81" spans="1:29" s="536" customFormat="1" x14ac:dyDescent="0.2">
      <c r="A81" s="605"/>
      <c r="B81" s="552"/>
      <c r="C81" s="1822" t="s">
        <v>319</v>
      </c>
      <c r="D81" s="1822"/>
      <c r="E81" s="1822"/>
      <c r="F81" s="562"/>
      <c r="G81" s="562"/>
      <c r="H81" s="562"/>
      <c r="I81" s="562"/>
      <c r="J81" s="604"/>
      <c r="K81" s="562"/>
      <c r="L81" s="604">
        <v>206.93</v>
      </c>
      <c r="M81" s="603"/>
      <c r="N81" s="602"/>
      <c r="AA81" s="537" t="s">
        <v>319</v>
      </c>
    </row>
    <row r="82" spans="1:29" s="536" customFormat="1" ht="33.75" x14ac:dyDescent="0.2">
      <c r="A82" s="605"/>
      <c r="B82" s="552" t="s">
        <v>5747</v>
      </c>
      <c r="C82" s="1822" t="s">
        <v>5748</v>
      </c>
      <c r="D82" s="1822"/>
      <c r="E82" s="1822"/>
      <c r="F82" s="562" t="s">
        <v>322</v>
      </c>
      <c r="G82" s="562" t="s">
        <v>538</v>
      </c>
      <c r="H82" s="562"/>
      <c r="I82" s="562" t="s">
        <v>538</v>
      </c>
      <c r="J82" s="604"/>
      <c r="K82" s="562"/>
      <c r="L82" s="604">
        <v>153.13</v>
      </c>
      <c r="M82" s="603"/>
      <c r="N82" s="602"/>
      <c r="AA82" s="537" t="s">
        <v>5748</v>
      </c>
    </row>
    <row r="83" spans="1:29" s="536" customFormat="1" ht="33.75" x14ac:dyDescent="0.2">
      <c r="A83" s="605"/>
      <c r="B83" s="552" t="s">
        <v>5749</v>
      </c>
      <c r="C83" s="1822" t="s">
        <v>5750</v>
      </c>
      <c r="D83" s="1822"/>
      <c r="E83" s="1822"/>
      <c r="F83" s="562" t="s">
        <v>322</v>
      </c>
      <c r="G83" s="562" t="s">
        <v>769</v>
      </c>
      <c r="H83" s="562"/>
      <c r="I83" s="562" t="s">
        <v>769</v>
      </c>
      <c r="J83" s="604"/>
      <c r="K83" s="562"/>
      <c r="L83" s="604">
        <v>74.489999999999995</v>
      </c>
      <c r="M83" s="603"/>
      <c r="N83" s="602"/>
      <c r="AA83" s="537" t="s">
        <v>5750</v>
      </c>
    </row>
    <row r="84" spans="1:29" s="536" customFormat="1" x14ac:dyDescent="0.2">
      <c r="A84" s="569"/>
      <c r="B84" s="545"/>
      <c r="C84" s="1823" t="s">
        <v>327</v>
      </c>
      <c r="D84" s="1823"/>
      <c r="E84" s="1823"/>
      <c r="F84" s="573"/>
      <c r="G84" s="573"/>
      <c r="H84" s="573"/>
      <c r="I84" s="573"/>
      <c r="J84" s="572"/>
      <c r="K84" s="573"/>
      <c r="L84" s="572">
        <v>434.55</v>
      </c>
      <c r="M84" s="601"/>
      <c r="N84" s="570"/>
      <c r="AC84" s="537" t="s">
        <v>327</v>
      </c>
    </row>
    <row r="85" spans="1:29" s="536" customFormat="1" ht="33.75" x14ac:dyDescent="0.2">
      <c r="A85" s="575" t="s">
        <v>189</v>
      </c>
      <c r="B85" s="574" t="s">
        <v>5770</v>
      </c>
      <c r="C85" s="1823" t="s">
        <v>5771</v>
      </c>
      <c r="D85" s="1823"/>
      <c r="E85" s="1823"/>
      <c r="F85" s="573" t="s">
        <v>3872</v>
      </c>
      <c r="G85" s="573"/>
      <c r="H85" s="573"/>
      <c r="I85" s="573" t="s">
        <v>185</v>
      </c>
      <c r="J85" s="572"/>
      <c r="K85" s="573"/>
      <c r="L85" s="572"/>
      <c r="M85" s="571"/>
      <c r="N85" s="570"/>
      <c r="X85" s="537" t="s">
        <v>5771</v>
      </c>
    </row>
    <row r="86" spans="1:29" s="536" customFormat="1" ht="33.75" x14ac:dyDescent="0.2">
      <c r="A86" s="609"/>
      <c r="B86" s="552" t="s">
        <v>310</v>
      </c>
      <c r="C86" s="1822" t="s">
        <v>311</v>
      </c>
      <c r="D86" s="1822"/>
      <c r="E86" s="1822"/>
      <c r="F86" s="1822"/>
      <c r="G86" s="1822"/>
      <c r="H86" s="1822"/>
      <c r="I86" s="1822"/>
      <c r="J86" s="1822"/>
      <c r="K86" s="1822"/>
      <c r="L86" s="1822"/>
      <c r="M86" s="1822"/>
      <c r="N86" s="1827"/>
      <c r="Y86" s="537" t="s">
        <v>311</v>
      </c>
    </row>
    <row r="87" spans="1:29" s="536" customFormat="1" ht="22.5" x14ac:dyDescent="0.2">
      <c r="A87" s="609"/>
      <c r="B87" s="552" t="s">
        <v>7110</v>
      </c>
      <c r="C87" s="1822" t="s">
        <v>7109</v>
      </c>
      <c r="D87" s="1822"/>
      <c r="E87" s="1822"/>
      <c r="F87" s="1822"/>
      <c r="G87" s="1822"/>
      <c r="H87" s="1822"/>
      <c r="I87" s="1822"/>
      <c r="J87" s="1822"/>
      <c r="K87" s="1822"/>
      <c r="L87" s="1822"/>
      <c r="M87" s="1822"/>
      <c r="N87" s="1827"/>
      <c r="Y87" s="537" t="s">
        <v>7109</v>
      </c>
    </row>
    <row r="88" spans="1:29" s="536" customFormat="1" x14ac:dyDescent="0.2">
      <c r="A88" s="609"/>
      <c r="B88" s="552"/>
      <c r="C88" s="1822" t="s">
        <v>5745</v>
      </c>
      <c r="D88" s="1822"/>
      <c r="E88" s="1822"/>
      <c r="F88" s="1822"/>
      <c r="G88" s="1822"/>
      <c r="H88" s="1822"/>
      <c r="I88" s="1822"/>
      <c r="J88" s="1822"/>
      <c r="K88" s="1822"/>
      <c r="L88" s="1822"/>
      <c r="M88" s="1822"/>
      <c r="N88" s="1827"/>
      <c r="Y88" s="537" t="s">
        <v>5745</v>
      </c>
    </row>
    <row r="89" spans="1:29" s="536" customFormat="1" x14ac:dyDescent="0.2">
      <c r="A89" s="605"/>
      <c r="B89" s="552" t="s">
        <v>185</v>
      </c>
      <c r="C89" s="1822" t="s">
        <v>312</v>
      </c>
      <c r="D89" s="1822"/>
      <c r="E89" s="1822"/>
      <c r="F89" s="562"/>
      <c r="G89" s="562"/>
      <c r="H89" s="562"/>
      <c r="I89" s="562"/>
      <c r="J89" s="604">
        <v>274.77</v>
      </c>
      <c r="K89" s="562" t="s">
        <v>2507</v>
      </c>
      <c r="L89" s="604">
        <v>219.82</v>
      </c>
      <c r="M89" s="603"/>
      <c r="N89" s="602"/>
      <c r="Z89" s="537" t="s">
        <v>312</v>
      </c>
    </row>
    <row r="90" spans="1:29" s="536" customFormat="1" x14ac:dyDescent="0.2">
      <c r="A90" s="605"/>
      <c r="B90" s="552"/>
      <c r="C90" s="1822" t="s">
        <v>314</v>
      </c>
      <c r="D90" s="1822"/>
      <c r="E90" s="1822"/>
      <c r="F90" s="562" t="s">
        <v>315</v>
      </c>
      <c r="G90" s="562" t="s">
        <v>5772</v>
      </c>
      <c r="H90" s="562" t="s">
        <v>2507</v>
      </c>
      <c r="I90" s="562" t="s">
        <v>7118</v>
      </c>
      <c r="J90" s="604"/>
      <c r="K90" s="562"/>
      <c r="L90" s="604"/>
      <c r="M90" s="603"/>
      <c r="N90" s="602"/>
      <c r="AA90" s="537" t="s">
        <v>314</v>
      </c>
    </row>
    <row r="91" spans="1:29" s="536" customFormat="1" x14ac:dyDescent="0.2">
      <c r="A91" s="605"/>
      <c r="B91" s="552"/>
      <c r="C91" s="1828" t="s">
        <v>318</v>
      </c>
      <c r="D91" s="1828"/>
      <c r="E91" s="1828"/>
      <c r="F91" s="608"/>
      <c r="G91" s="608"/>
      <c r="H91" s="608"/>
      <c r="I91" s="608"/>
      <c r="J91" s="607">
        <v>274.77</v>
      </c>
      <c r="K91" s="608"/>
      <c r="L91" s="607">
        <v>219.82</v>
      </c>
      <c r="M91" s="601"/>
      <c r="N91" s="606"/>
      <c r="AB91" s="537" t="s">
        <v>318</v>
      </c>
    </row>
    <row r="92" spans="1:29" s="536" customFormat="1" x14ac:dyDescent="0.2">
      <c r="A92" s="605"/>
      <c r="B92" s="552"/>
      <c r="C92" s="1822" t="s">
        <v>319</v>
      </c>
      <c r="D92" s="1822"/>
      <c r="E92" s="1822"/>
      <c r="F92" s="562"/>
      <c r="G92" s="562"/>
      <c r="H92" s="562"/>
      <c r="I92" s="562"/>
      <c r="J92" s="604"/>
      <c r="K92" s="562"/>
      <c r="L92" s="604">
        <v>219.82</v>
      </c>
      <c r="M92" s="603"/>
      <c r="N92" s="602"/>
      <c r="AA92" s="537" t="s">
        <v>319</v>
      </c>
    </row>
    <row r="93" spans="1:29" s="536" customFormat="1" ht="33.75" x14ac:dyDescent="0.2">
      <c r="A93" s="605"/>
      <c r="B93" s="552" t="s">
        <v>5747</v>
      </c>
      <c r="C93" s="1822" t="s">
        <v>5748</v>
      </c>
      <c r="D93" s="1822"/>
      <c r="E93" s="1822"/>
      <c r="F93" s="562" t="s">
        <v>322</v>
      </c>
      <c r="G93" s="562" t="s">
        <v>538</v>
      </c>
      <c r="H93" s="562"/>
      <c r="I93" s="562" t="s">
        <v>538</v>
      </c>
      <c r="J93" s="604"/>
      <c r="K93" s="562"/>
      <c r="L93" s="604">
        <v>162.66999999999999</v>
      </c>
      <c r="M93" s="603"/>
      <c r="N93" s="602"/>
      <c r="AA93" s="537" t="s">
        <v>5748</v>
      </c>
    </row>
    <row r="94" spans="1:29" s="536" customFormat="1" ht="33.75" x14ac:dyDescent="0.2">
      <c r="A94" s="605"/>
      <c r="B94" s="552" t="s">
        <v>5749</v>
      </c>
      <c r="C94" s="1822" t="s">
        <v>5750</v>
      </c>
      <c r="D94" s="1822"/>
      <c r="E94" s="1822"/>
      <c r="F94" s="562" t="s">
        <v>322</v>
      </c>
      <c r="G94" s="562" t="s">
        <v>769</v>
      </c>
      <c r="H94" s="562"/>
      <c r="I94" s="562" t="s">
        <v>769</v>
      </c>
      <c r="J94" s="604"/>
      <c r="K94" s="562"/>
      <c r="L94" s="604">
        <v>79.14</v>
      </c>
      <c r="M94" s="603"/>
      <c r="N94" s="602"/>
      <c r="AA94" s="537" t="s">
        <v>5750</v>
      </c>
    </row>
    <row r="95" spans="1:29" s="536" customFormat="1" x14ac:dyDescent="0.2">
      <c r="A95" s="569"/>
      <c r="B95" s="545"/>
      <c r="C95" s="1823" t="s">
        <v>327</v>
      </c>
      <c r="D95" s="1823"/>
      <c r="E95" s="1823"/>
      <c r="F95" s="573"/>
      <c r="G95" s="573"/>
      <c r="H95" s="573"/>
      <c r="I95" s="573"/>
      <c r="J95" s="572"/>
      <c r="K95" s="573"/>
      <c r="L95" s="572">
        <v>461.63</v>
      </c>
      <c r="M95" s="601"/>
      <c r="N95" s="570"/>
      <c r="AC95" s="537" t="s">
        <v>327</v>
      </c>
    </row>
    <row r="96" spans="1:29" s="536" customFormat="1" ht="22.5" x14ac:dyDescent="0.2">
      <c r="A96" s="575" t="s">
        <v>190</v>
      </c>
      <c r="B96" s="574" t="s">
        <v>5773</v>
      </c>
      <c r="C96" s="1823" t="s">
        <v>5774</v>
      </c>
      <c r="D96" s="1823"/>
      <c r="E96" s="1823"/>
      <c r="F96" s="573" t="s">
        <v>5775</v>
      </c>
      <c r="G96" s="573"/>
      <c r="H96" s="573"/>
      <c r="I96" s="573" t="s">
        <v>185</v>
      </c>
      <c r="J96" s="572"/>
      <c r="K96" s="573"/>
      <c r="L96" s="572"/>
      <c r="M96" s="571"/>
      <c r="N96" s="570"/>
      <c r="X96" s="537" t="s">
        <v>5774</v>
      </c>
    </row>
    <row r="97" spans="1:29" s="536" customFormat="1" ht="33.75" x14ac:dyDescent="0.2">
      <c r="A97" s="609"/>
      <c r="B97" s="552" t="s">
        <v>310</v>
      </c>
      <c r="C97" s="1822" t="s">
        <v>311</v>
      </c>
      <c r="D97" s="1822"/>
      <c r="E97" s="1822"/>
      <c r="F97" s="1822"/>
      <c r="G97" s="1822"/>
      <c r="H97" s="1822"/>
      <c r="I97" s="1822"/>
      <c r="J97" s="1822"/>
      <c r="K97" s="1822"/>
      <c r="L97" s="1822"/>
      <c r="M97" s="1822"/>
      <c r="N97" s="1827"/>
      <c r="Y97" s="537" t="s">
        <v>311</v>
      </c>
    </row>
    <row r="98" spans="1:29" s="536" customFormat="1" ht="22.5" x14ac:dyDescent="0.2">
      <c r="A98" s="609"/>
      <c r="B98" s="552" t="s">
        <v>7110</v>
      </c>
      <c r="C98" s="1822" t="s">
        <v>7109</v>
      </c>
      <c r="D98" s="1822"/>
      <c r="E98" s="1822"/>
      <c r="F98" s="1822"/>
      <c r="G98" s="1822"/>
      <c r="H98" s="1822"/>
      <c r="I98" s="1822"/>
      <c r="J98" s="1822"/>
      <c r="K98" s="1822"/>
      <c r="L98" s="1822"/>
      <c r="M98" s="1822"/>
      <c r="N98" s="1827"/>
      <c r="Y98" s="537" t="s">
        <v>7109</v>
      </c>
    </row>
    <row r="99" spans="1:29" s="536" customFormat="1" x14ac:dyDescent="0.2">
      <c r="A99" s="609"/>
      <c r="B99" s="552"/>
      <c r="C99" s="1822" t="s">
        <v>5745</v>
      </c>
      <c r="D99" s="1822"/>
      <c r="E99" s="1822"/>
      <c r="F99" s="1822"/>
      <c r="G99" s="1822"/>
      <c r="H99" s="1822"/>
      <c r="I99" s="1822"/>
      <c r="J99" s="1822"/>
      <c r="K99" s="1822"/>
      <c r="L99" s="1822"/>
      <c r="M99" s="1822"/>
      <c r="N99" s="1827"/>
      <c r="Y99" s="537" t="s">
        <v>5745</v>
      </c>
    </row>
    <row r="100" spans="1:29" s="536" customFormat="1" x14ac:dyDescent="0.2">
      <c r="A100" s="605"/>
      <c r="B100" s="552" t="s">
        <v>185</v>
      </c>
      <c r="C100" s="1822" t="s">
        <v>312</v>
      </c>
      <c r="D100" s="1822"/>
      <c r="E100" s="1822"/>
      <c r="F100" s="562"/>
      <c r="G100" s="562"/>
      <c r="H100" s="562"/>
      <c r="I100" s="562"/>
      <c r="J100" s="604">
        <v>20.75</v>
      </c>
      <c r="K100" s="562" t="s">
        <v>2507</v>
      </c>
      <c r="L100" s="604">
        <v>16.600000000000001</v>
      </c>
      <c r="M100" s="603"/>
      <c r="N100" s="602"/>
      <c r="Z100" s="537" t="s">
        <v>312</v>
      </c>
    </row>
    <row r="101" spans="1:29" s="536" customFormat="1" x14ac:dyDescent="0.2">
      <c r="A101" s="605"/>
      <c r="B101" s="552"/>
      <c r="C101" s="1822" t="s">
        <v>314</v>
      </c>
      <c r="D101" s="1822"/>
      <c r="E101" s="1822"/>
      <c r="F101" s="562" t="s">
        <v>315</v>
      </c>
      <c r="G101" s="562" t="s">
        <v>4476</v>
      </c>
      <c r="H101" s="562" t="s">
        <v>2507</v>
      </c>
      <c r="I101" s="562" t="s">
        <v>7117</v>
      </c>
      <c r="J101" s="604"/>
      <c r="K101" s="562"/>
      <c r="L101" s="604"/>
      <c r="M101" s="603"/>
      <c r="N101" s="602"/>
      <c r="AA101" s="537" t="s">
        <v>314</v>
      </c>
    </row>
    <row r="102" spans="1:29" s="536" customFormat="1" x14ac:dyDescent="0.2">
      <c r="A102" s="605"/>
      <c r="B102" s="552"/>
      <c r="C102" s="1828" t="s">
        <v>318</v>
      </c>
      <c r="D102" s="1828"/>
      <c r="E102" s="1828"/>
      <c r="F102" s="608"/>
      <c r="G102" s="608"/>
      <c r="H102" s="608"/>
      <c r="I102" s="608"/>
      <c r="J102" s="607">
        <v>20.75</v>
      </c>
      <c r="K102" s="608"/>
      <c r="L102" s="607">
        <v>16.600000000000001</v>
      </c>
      <c r="M102" s="601"/>
      <c r="N102" s="606"/>
      <c r="AB102" s="537" t="s">
        <v>318</v>
      </c>
    </row>
    <row r="103" spans="1:29" s="536" customFormat="1" x14ac:dyDescent="0.2">
      <c r="A103" s="605"/>
      <c r="B103" s="552"/>
      <c r="C103" s="1822" t="s">
        <v>319</v>
      </c>
      <c r="D103" s="1822"/>
      <c r="E103" s="1822"/>
      <c r="F103" s="562"/>
      <c r="G103" s="562"/>
      <c r="H103" s="562"/>
      <c r="I103" s="562"/>
      <c r="J103" s="604"/>
      <c r="K103" s="562"/>
      <c r="L103" s="604">
        <v>16.600000000000001</v>
      </c>
      <c r="M103" s="603"/>
      <c r="N103" s="602"/>
      <c r="AA103" s="537" t="s">
        <v>319</v>
      </c>
    </row>
    <row r="104" spans="1:29" s="536" customFormat="1" ht="33.75" x14ac:dyDescent="0.2">
      <c r="A104" s="605"/>
      <c r="B104" s="552" t="s">
        <v>5747</v>
      </c>
      <c r="C104" s="1822" t="s">
        <v>5748</v>
      </c>
      <c r="D104" s="1822"/>
      <c r="E104" s="1822"/>
      <c r="F104" s="562" t="s">
        <v>322</v>
      </c>
      <c r="G104" s="562" t="s">
        <v>538</v>
      </c>
      <c r="H104" s="562"/>
      <c r="I104" s="562" t="s">
        <v>538</v>
      </c>
      <c r="J104" s="604"/>
      <c r="K104" s="562"/>
      <c r="L104" s="604">
        <v>12.28</v>
      </c>
      <c r="M104" s="603"/>
      <c r="N104" s="602"/>
      <c r="AA104" s="537" t="s">
        <v>5748</v>
      </c>
    </row>
    <row r="105" spans="1:29" s="536" customFormat="1" ht="33.75" x14ac:dyDescent="0.2">
      <c r="A105" s="605"/>
      <c r="B105" s="552" t="s">
        <v>5749</v>
      </c>
      <c r="C105" s="1822" t="s">
        <v>5750</v>
      </c>
      <c r="D105" s="1822"/>
      <c r="E105" s="1822"/>
      <c r="F105" s="562" t="s">
        <v>322</v>
      </c>
      <c r="G105" s="562" t="s">
        <v>769</v>
      </c>
      <c r="H105" s="562"/>
      <c r="I105" s="562" t="s">
        <v>769</v>
      </c>
      <c r="J105" s="604"/>
      <c r="K105" s="562"/>
      <c r="L105" s="604">
        <v>5.98</v>
      </c>
      <c r="M105" s="603"/>
      <c r="N105" s="602"/>
      <c r="AA105" s="537" t="s">
        <v>5750</v>
      </c>
    </row>
    <row r="106" spans="1:29" s="536" customFormat="1" x14ac:dyDescent="0.2">
      <c r="A106" s="569"/>
      <c r="B106" s="545"/>
      <c r="C106" s="1823" t="s">
        <v>327</v>
      </c>
      <c r="D106" s="1823"/>
      <c r="E106" s="1823"/>
      <c r="F106" s="573"/>
      <c r="G106" s="573"/>
      <c r="H106" s="573"/>
      <c r="I106" s="573"/>
      <c r="J106" s="572"/>
      <c r="K106" s="573"/>
      <c r="L106" s="572">
        <v>34.86</v>
      </c>
      <c r="M106" s="601"/>
      <c r="N106" s="570"/>
      <c r="AC106" s="537" t="s">
        <v>327</v>
      </c>
    </row>
    <row r="107" spans="1:29" s="536" customFormat="1" ht="33.75" x14ac:dyDescent="0.2">
      <c r="A107" s="575" t="s">
        <v>191</v>
      </c>
      <c r="B107" s="574" t="s">
        <v>5743</v>
      </c>
      <c r="C107" s="1823" t="s">
        <v>5744</v>
      </c>
      <c r="D107" s="1823"/>
      <c r="E107" s="1823"/>
      <c r="F107" s="573" t="s">
        <v>617</v>
      </c>
      <c r="G107" s="573"/>
      <c r="H107" s="573"/>
      <c r="I107" s="573" t="s">
        <v>187</v>
      </c>
      <c r="J107" s="572"/>
      <c r="K107" s="573"/>
      <c r="L107" s="572"/>
      <c r="M107" s="571"/>
      <c r="N107" s="570"/>
      <c r="X107" s="537" t="s">
        <v>5744</v>
      </c>
    </row>
    <row r="108" spans="1:29" s="536" customFormat="1" ht="33.75" x14ac:dyDescent="0.2">
      <c r="A108" s="609"/>
      <c r="B108" s="552" t="s">
        <v>310</v>
      </c>
      <c r="C108" s="1822" t="s">
        <v>311</v>
      </c>
      <c r="D108" s="1822"/>
      <c r="E108" s="1822"/>
      <c r="F108" s="1822"/>
      <c r="G108" s="1822"/>
      <c r="H108" s="1822"/>
      <c r="I108" s="1822"/>
      <c r="J108" s="1822"/>
      <c r="K108" s="1822"/>
      <c r="L108" s="1822"/>
      <c r="M108" s="1822"/>
      <c r="N108" s="1827"/>
      <c r="Y108" s="537" t="s">
        <v>311</v>
      </c>
    </row>
    <row r="109" spans="1:29" s="536" customFormat="1" ht="22.5" x14ac:dyDescent="0.2">
      <c r="A109" s="609"/>
      <c r="B109" s="552" t="s">
        <v>7110</v>
      </c>
      <c r="C109" s="1822" t="s">
        <v>7109</v>
      </c>
      <c r="D109" s="1822"/>
      <c r="E109" s="1822"/>
      <c r="F109" s="1822"/>
      <c r="G109" s="1822"/>
      <c r="H109" s="1822"/>
      <c r="I109" s="1822"/>
      <c r="J109" s="1822"/>
      <c r="K109" s="1822"/>
      <c r="L109" s="1822"/>
      <c r="M109" s="1822"/>
      <c r="N109" s="1827"/>
      <c r="Y109" s="537" t="s">
        <v>7109</v>
      </c>
    </row>
    <row r="110" spans="1:29" s="536" customFormat="1" x14ac:dyDescent="0.2">
      <c r="A110" s="609"/>
      <c r="B110" s="552"/>
      <c r="C110" s="1822" t="s">
        <v>5745</v>
      </c>
      <c r="D110" s="1822"/>
      <c r="E110" s="1822"/>
      <c r="F110" s="1822"/>
      <c r="G110" s="1822"/>
      <c r="H110" s="1822"/>
      <c r="I110" s="1822"/>
      <c r="J110" s="1822"/>
      <c r="K110" s="1822"/>
      <c r="L110" s="1822"/>
      <c r="M110" s="1822"/>
      <c r="N110" s="1827"/>
      <c r="Y110" s="537" t="s">
        <v>5745</v>
      </c>
    </row>
    <row r="111" spans="1:29" s="536" customFormat="1" x14ac:dyDescent="0.2">
      <c r="A111" s="605"/>
      <c r="B111" s="552" t="s">
        <v>185</v>
      </c>
      <c r="C111" s="1822" t="s">
        <v>312</v>
      </c>
      <c r="D111" s="1822"/>
      <c r="E111" s="1822"/>
      <c r="F111" s="562"/>
      <c r="G111" s="562"/>
      <c r="H111" s="562"/>
      <c r="I111" s="562"/>
      <c r="J111" s="604">
        <v>10.5</v>
      </c>
      <c r="K111" s="562" t="s">
        <v>2507</v>
      </c>
      <c r="L111" s="604">
        <v>25.2</v>
      </c>
      <c r="M111" s="603"/>
      <c r="N111" s="602"/>
      <c r="Z111" s="537" t="s">
        <v>312</v>
      </c>
    </row>
    <row r="112" spans="1:29" s="536" customFormat="1" x14ac:dyDescent="0.2">
      <c r="A112" s="605"/>
      <c r="B112" s="552"/>
      <c r="C112" s="1822" t="s">
        <v>314</v>
      </c>
      <c r="D112" s="1822"/>
      <c r="E112" s="1822"/>
      <c r="F112" s="562" t="s">
        <v>315</v>
      </c>
      <c r="G112" s="562" t="s">
        <v>5746</v>
      </c>
      <c r="H112" s="562" t="s">
        <v>2507</v>
      </c>
      <c r="I112" s="562" t="s">
        <v>7116</v>
      </c>
      <c r="J112" s="604"/>
      <c r="K112" s="562"/>
      <c r="L112" s="604"/>
      <c r="M112" s="603"/>
      <c r="N112" s="602"/>
      <c r="AA112" s="537" t="s">
        <v>314</v>
      </c>
    </row>
    <row r="113" spans="1:29" s="536" customFormat="1" x14ac:dyDescent="0.2">
      <c r="A113" s="605"/>
      <c r="B113" s="552"/>
      <c r="C113" s="1828" t="s">
        <v>318</v>
      </c>
      <c r="D113" s="1828"/>
      <c r="E113" s="1828"/>
      <c r="F113" s="608"/>
      <c r="G113" s="608"/>
      <c r="H113" s="608"/>
      <c r="I113" s="608"/>
      <c r="J113" s="607">
        <v>10.5</v>
      </c>
      <c r="K113" s="608"/>
      <c r="L113" s="607">
        <v>25.2</v>
      </c>
      <c r="M113" s="601"/>
      <c r="N113" s="606"/>
      <c r="AB113" s="537" t="s">
        <v>318</v>
      </c>
    </row>
    <row r="114" spans="1:29" s="536" customFormat="1" x14ac:dyDescent="0.2">
      <c r="A114" s="605"/>
      <c r="B114" s="552"/>
      <c r="C114" s="1822" t="s">
        <v>319</v>
      </c>
      <c r="D114" s="1822"/>
      <c r="E114" s="1822"/>
      <c r="F114" s="562"/>
      <c r="G114" s="562"/>
      <c r="H114" s="562"/>
      <c r="I114" s="562"/>
      <c r="J114" s="604"/>
      <c r="K114" s="562"/>
      <c r="L114" s="604">
        <v>25.2</v>
      </c>
      <c r="M114" s="603"/>
      <c r="N114" s="602"/>
      <c r="AA114" s="537" t="s">
        <v>319</v>
      </c>
    </row>
    <row r="115" spans="1:29" s="536" customFormat="1" ht="33.75" x14ac:dyDescent="0.2">
      <c r="A115" s="605"/>
      <c r="B115" s="552" t="s">
        <v>5747</v>
      </c>
      <c r="C115" s="1822" t="s">
        <v>5748</v>
      </c>
      <c r="D115" s="1822"/>
      <c r="E115" s="1822"/>
      <c r="F115" s="562" t="s">
        <v>322</v>
      </c>
      <c r="G115" s="562" t="s">
        <v>538</v>
      </c>
      <c r="H115" s="562"/>
      <c r="I115" s="562" t="s">
        <v>538</v>
      </c>
      <c r="J115" s="604"/>
      <c r="K115" s="562"/>
      <c r="L115" s="604">
        <v>18.649999999999999</v>
      </c>
      <c r="M115" s="603"/>
      <c r="N115" s="602"/>
      <c r="AA115" s="537" t="s">
        <v>5748</v>
      </c>
    </row>
    <row r="116" spans="1:29" s="536" customFormat="1" ht="33.75" x14ac:dyDescent="0.2">
      <c r="A116" s="605"/>
      <c r="B116" s="552" t="s">
        <v>5749</v>
      </c>
      <c r="C116" s="1822" t="s">
        <v>5750</v>
      </c>
      <c r="D116" s="1822"/>
      <c r="E116" s="1822"/>
      <c r="F116" s="562" t="s">
        <v>322</v>
      </c>
      <c r="G116" s="562" t="s">
        <v>769</v>
      </c>
      <c r="H116" s="562"/>
      <c r="I116" s="562" t="s">
        <v>769</v>
      </c>
      <c r="J116" s="604"/>
      <c r="K116" s="562"/>
      <c r="L116" s="604">
        <v>9.07</v>
      </c>
      <c r="M116" s="603"/>
      <c r="N116" s="602"/>
      <c r="AA116" s="537" t="s">
        <v>5750</v>
      </c>
    </row>
    <row r="117" spans="1:29" s="536" customFormat="1" x14ac:dyDescent="0.2">
      <c r="A117" s="569"/>
      <c r="B117" s="545"/>
      <c r="C117" s="1823" t="s">
        <v>327</v>
      </c>
      <c r="D117" s="1823"/>
      <c r="E117" s="1823"/>
      <c r="F117" s="573"/>
      <c r="G117" s="573"/>
      <c r="H117" s="573"/>
      <c r="I117" s="573"/>
      <c r="J117" s="572"/>
      <c r="K117" s="573"/>
      <c r="L117" s="572">
        <v>52.92</v>
      </c>
      <c r="M117" s="601"/>
      <c r="N117" s="570"/>
      <c r="AC117" s="537" t="s">
        <v>327</v>
      </c>
    </row>
    <row r="118" spans="1:29" s="536" customFormat="1" ht="33.75" x14ac:dyDescent="0.2">
      <c r="A118" s="575" t="s">
        <v>192</v>
      </c>
      <c r="B118" s="574" t="s">
        <v>5776</v>
      </c>
      <c r="C118" s="1823" t="s">
        <v>5777</v>
      </c>
      <c r="D118" s="1823"/>
      <c r="E118" s="1823"/>
      <c r="F118" s="573" t="s">
        <v>617</v>
      </c>
      <c r="G118" s="573"/>
      <c r="H118" s="573"/>
      <c r="I118" s="573" t="s">
        <v>187</v>
      </c>
      <c r="J118" s="572"/>
      <c r="K118" s="573"/>
      <c r="L118" s="572"/>
      <c r="M118" s="571"/>
      <c r="N118" s="570"/>
      <c r="X118" s="537" t="s">
        <v>5777</v>
      </c>
    </row>
    <row r="119" spans="1:29" s="536" customFormat="1" ht="33.75" x14ac:dyDescent="0.2">
      <c r="A119" s="609"/>
      <c r="B119" s="552" t="s">
        <v>310</v>
      </c>
      <c r="C119" s="1822" t="s">
        <v>311</v>
      </c>
      <c r="D119" s="1822"/>
      <c r="E119" s="1822"/>
      <c r="F119" s="1822"/>
      <c r="G119" s="1822"/>
      <c r="H119" s="1822"/>
      <c r="I119" s="1822"/>
      <c r="J119" s="1822"/>
      <c r="K119" s="1822"/>
      <c r="L119" s="1822"/>
      <c r="M119" s="1822"/>
      <c r="N119" s="1827"/>
      <c r="Y119" s="537" t="s">
        <v>311</v>
      </c>
    </row>
    <row r="120" spans="1:29" s="536" customFormat="1" ht="22.5" x14ac:dyDescent="0.2">
      <c r="A120" s="609"/>
      <c r="B120" s="552" t="s">
        <v>7110</v>
      </c>
      <c r="C120" s="1822" t="s">
        <v>7109</v>
      </c>
      <c r="D120" s="1822"/>
      <c r="E120" s="1822"/>
      <c r="F120" s="1822"/>
      <c r="G120" s="1822"/>
      <c r="H120" s="1822"/>
      <c r="I120" s="1822"/>
      <c r="J120" s="1822"/>
      <c r="K120" s="1822"/>
      <c r="L120" s="1822"/>
      <c r="M120" s="1822"/>
      <c r="N120" s="1827"/>
      <c r="Y120" s="537" t="s">
        <v>7109</v>
      </c>
    </row>
    <row r="121" spans="1:29" s="536" customFormat="1" x14ac:dyDescent="0.2">
      <c r="A121" s="609"/>
      <c r="B121" s="552"/>
      <c r="C121" s="1822" t="s">
        <v>5745</v>
      </c>
      <c r="D121" s="1822"/>
      <c r="E121" s="1822"/>
      <c r="F121" s="1822"/>
      <c r="G121" s="1822"/>
      <c r="H121" s="1822"/>
      <c r="I121" s="1822"/>
      <c r="J121" s="1822"/>
      <c r="K121" s="1822"/>
      <c r="L121" s="1822"/>
      <c r="M121" s="1822"/>
      <c r="N121" s="1827"/>
      <c r="Y121" s="537" t="s">
        <v>5745</v>
      </c>
    </row>
    <row r="122" spans="1:29" s="536" customFormat="1" x14ac:dyDescent="0.2">
      <c r="A122" s="605"/>
      <c r="B122" s="552" t="s">
        <v>185</v>
      </c>
      <c r="C122" s="1822" t="s">
        <v>312</v>
      </c>
      <c r="D122" s="1822"/>
      <c r="E122" s="1822"/>
      <c r="F122" s="562"/>
      <c r="G122" s="562"/>
      <c r="H122" s="562"/>
      <c r="I122" s="562"/>
      <c r="J122" s="604">
        <v>20.75</v>
      </c>
      <c r="K122" s="562" t="s">
        <v>2507</v>
      </c>
      <c r="L122" s="604">
        <v>49.8</v>
      </c>
      <c r="M122" s="603"/>
      <c r="N122" s="602"/>
      <c r="Z122" s="537" t="s">
        <v>312</v>
      </c>
    </row>
    <row r="123" spans="1:29" s="536" customFormat="1" x14ac:dyDescent="0.2">
      <c r="A123" s="605"/>
      <c r="B123" s="552"/>
      <c r="C123" s="1822" t="s">
        <v>314</v>
      </c>
      <c r="D123" s="1822"/>
      <c r="E123" s="1822"/>
      <c r="F123" s="562" t="s">
        <v>315</v>
      </c>
      <c r="G123" s="562" t="s">
        <v>4476</v>
      </c>
      <c r="H123" s="562" t="s">
        <v>2507</v>
      </c>
      <c r="I123" s="562" t="s">
        <v>7115</v>
      </c>
      <c r="J123" s="604"/>
      <c r="K123" s="562"/>
      <c r="L123" s="604"/>
      <c r="M123" s="603"/>
      <c r="N123" s="602"/>
      <c r="AA123" s="537" t="s">
        <v>314</v>
      </c>
    </row>
    <row r="124" spans="1:29" s="536" customFormat="1" x14ac:dyDescent="0.2">
      <c r="A124" s="605"/>
      <c r="B124" s="552"/>
      <c r="C124" s="1828" t="s">
        <v>318</v>
      </c>
      <c r="D124" s="1828"/>
      <c r="E124" s="1828"/>
      <c r="F124" s="608"/>
      <c r="G124" s="608"/>
      <c r="H124" s="608"/>
      <c r="I124" s="608"/>
      <c r="J124" s="607">
        <v>20.75</v>
      </c>
      <c r="K124" s="608"/>
      <c r="L124" s="607">
        <v>49.8</v>
      </c>
      <c r="M124" s="601"/>
      <c r="N124" s="606"/>
      <c r="AB124" s="537" t="s">
        <v>318</v>
      </c>
    </row>
    <row r="125" spans="1:29" s="536" customFormat="1" x14ac:dyDescent="0.2">
      <c r="A125" s="605"/>
      <c r="B125" s="552"/>
      <c r="C125" s="1822" t="s">
        <v>319</v>
      </c>
      <c r="D125" s="1822"/>
      <c r="E125" s="1822"/>
      <c r="F125" s="562"/>
      <c r="G125" s="562"/>
      <c r="H125" s="562"/>
      <c r="I125" s="562"/>
      <c r="J125" s="604"/>
      <c r="K125" s="562"/>
      <c r="L125" s="604">
        <v>49.8</v>
      </c>
      <c r="M125" s="603"/>
      <c r="N125" s="602"/>
      <c r="AA125" s="537" t="s">
        <v>319</v>
      </c>
    </row>
    <row r="126" spans="1:29" s="536" customFormat="1" ht="33.75" x14ac:dyDescent="0.2">
      <c r="A126" s="605"/>
      <c r="B126" s="552" t="s">
        <v>5747</v>
      </c>
      <c r="C126" s="1822" t="s">
        <v>5748</v>
      </c>
      <c r="D126" s="1822"/>
      <c r="E126" s="1822"/>
      <c r="F126" s="562" t="s">
        <v>322</v>
      </c>
      <c r="G126" s="562" t="s">
        <v>538</v>
      </c>
      <c r="H126" s="562"/>
      <c r="I126" s="562" t="s">
        <v>538</v>
      </c>
      <c r="J126" s="604"/>
      <c r="K126" s="562"/>
      <c r="L126" s="604">
        <v>36.85</v>
      </c>
      <c r="M126" s="603"/>
      <c r="N126" s="602"/>
      <c r="AA126" s="537" t="s">
        <v>5748</v>
      </c>
    </row>
    <row r="127" spans="1:29" s="536" customFormat="1" ht="33.75" x14ac:dyDescent="0.2">
      <c r="A127" s="605"/>
      <c r="B127" s="552" t="s">
        <v>5749</v>
      </c>
      <c r="C127" s="1822" t="s">
        <v>5750</v>
      </c>
      <c r="D127" s="1822"/>
      <c r="E127" s="1822"/>
      <c r="F127" s="562" t="s">
        <v>322</v>
      </c>
      <c r="G127" s="562" t="s">
        <v>769</v>
      </c>
      <c r="H127" s="562"/>
      <c r="I127" s="562" t="s">
        <v>769</v>
      </c>
      <c r="J127" s="604"/>
      <c r="K127" s="562"/>
      <c r="L127" s="604">
        <v>17.93</v>
      </c>
      <c r="M127" s="603"/>
      <c r="N127" s="602"/>
      <c r="AA127" s="537" t="s">
        <v>5750</v>
      </c>
    </row>
    <row r="128" spans="1:29" s="536" customFormat="1" x14ac:dyDescent="0.2">
      <c r="A128" s="569"/>
      <c r="B128" s="545"/>
      <c r="C128" s="1823" t="s">
        <v>327</v>
      </c>
      <c r="D128" s="1823"/>
      <c r="E128" s="1823"/>
      <c r="F128" s="573"/>
      <c r="G128" s="573"/>
      <c r="H128" s="573"/>
      <c r="I128" s="573"/>
      <c r="J128" s="572"/>
      <c r="K128" s="573"/>
      <c r="L128" s="572">
        <v>104.58</v>
      </c>
      <c r="M128" s="601"/>
      <c r="N128" s="570"/>
      <c r="AC128" s="537" t="s">
        <v>327</v>
      </c>
    </row>
    <row r="129" spans="1:32" s="536" customFormat="1" ht="1.5" customHeight="1" x14ac:dyDescent="0.2">
      <c r="A129" s="563"/>
      <c r="B129" s="545"/>
      <c r="C129" s="545"/>
      <c r="D129" s="545"/>
      <c r="E129" s="545"/>
      <c r="F129" s="563"/>
      <c r="G129" s="563"/>
      <c r="H129" s="563"/>
      <c r="I129" s="563"/>
      <c r="J129" s="546"/>
      <c r="K129" s="563"/>
      <c r="L129" s="546"/>
      <c r="M129" s="562"/>
      <c r="N129" s="546"/>
    </row>
    <row r="130" spans="1:32" s="536" customFormat="1" ht="2.25" customHeight="1" x14ac:dyDescent="0.2">
      <c r="B130" s="561"/>
      <c r="C130" s="561"/>
      <c r="D130" s="561"/>
      <c r="E130" s="561"/>
      <c r="F130" s="561"/>
      <c r="G130" s="561"/>
      <c r="H130" s="561"/>
      <c r="I130" s="561"/>
      <c r="J130" s="561"/>
      <c r="K130" s="561"/>
      <c r="L130" s="560"/>
      <c r="M130" s="559"/>
      <c r="N130" s="558"/>
    </row>
    <row r="131" spans="1:32" s="536" customFormat="1" x14ac:dyDescent="0.2">
      <c r="A131" s="557"/>
      <c r="B131" s="556"/>
      <c r="C131" s="1823" t="s">
        <v>205</v>
      </c>
      <c r="D131" s="1823"/>
      <c r="E131" s="1823"/>
      <c r="F131" s="1823"/>
      <c r="G131" s="1823"/>
      <c r="H131" s="1823"/>
      <c r="I131" s="1823"/>
      <c r="J131" s="1823"/>
      <c r="K131" s="1823"/>
      <c r="L131" s="555"/>
      <c r="M131" s="554"/>
      <c r="N131" s="553"/>
      <c r="AD131" s="537" t="s">
        <v>205</v>
      </c>
    </row>
    <row r="132" spans="1:32" s="536" customFormat="1" x14ac:dyDescent="0.2">
      <c r="A132" s="548"/>
      <c r="B132" s="552"/>
      <c r="C132" s="1822" t="s">
        <v>403</v>
      </c>
      <c r="D132" s="1822"/>
      <c r="E132" s="1822"/>
      <c r="F132" s="1822"/>
      <c r="G132" s="1822"/>
      <c r="H132" s="1822"/>
      <c r="I132" s="1822"/>
      <c r="J132" s="1822"/>
      <c r="K132" s="1822"/>
      <c r="L132" s="551">
        <v>741.66</v>
      </c>
      <c r="M132" s="550"/>
      <c r="N132" s="549"/>
      <c r="AE132" s="537" t="s">
        <v>403</v>
      </c>
    </row>
    <row r="133" spans="1:32" s="536" customFormat="1" x14ac:dyDescent="0.2">
      <c r="A133" s="548"/>
      <c r="B133" s="552"/>
      <c r="C133" s="1822" t="s">
        <v>204</v>
      </c>
      <c r="D133" s="1822"/>
      <c r="E133" s="1822"/>
      <c r="F133" s="1822"/>
      <c r="G133" s="1822"/>
      <c r="H133" s="1822"/>
      <c r="I133" s="1822"/>
      <c r="J133" s="1822"/>
      <c r="K133" s="1822"/>
      <c r="L133" s="551"/>
      <c r="M133" s="550"/>
      <c r="N133" s="549"/>
      <c r="AE133" s="537" t="s">
        <v>204</v>
      </c>
    </row>
    <row r="134" spans="1:32" s="536" customFormat="1" x14ac:dyDescent="0.2">
      <c r="A134" s="548"/>
      <c r="B134" s="552"/>
      <c r="C134" s="1822" t="s">
        <v>404</v>
      </c>
      <c r="D134" s="1822"/>
      <c r="E134" s="1822"/>
      <c r="F134" s="1822"/>
      <c r="G134" s="1822"/>
      <c r="H134" s="1822"/>
      <c r="I134" s="1822"/>
      <c r="J134" s="1822"/>
      <c r="K134" s="1822"/>
      <c r="L134" s="551">
        <v>741.66</v>
      </c>
      <c r="M134" s="550"/>
      <c r="N134" s="549"/>
      <c r="AE134" s="537" t="s">
        <v>404</v>
      </c>
    </row>
    <row r="135" spans="1:32" s="536" customFormat="1" x14ac:dyDescent="0.2">
      <c r="A135" s="548"/>
      <c r="B135" s="552"/>
      <c r="C135" s="1822" t="s">
        <v>5757</v>
      </c>
      <c r="D135" s="1822"/>
      <c r="E135" s="1822"/>
      <c r="F135" s="1822"/>
      <c r="G135" s="1822"/>
      <c r="H135" s="1822"/>
      <c r="I135" s="1822"/>
      <c r="J135" s="1822"/>
      <c r="K135" s="1822"/>
      <c r="L135" s="551">
        <v>1557.48</v>
      </c>
      <c r="M135" s="550"/>
      <c r="N135" s="549">
        <v>22957</v>
      </c>
      <c r="AE135" s="537" t="s">
        <v>5757</v>
      </c>
    </row>
    <row r="136" spans="1:32" s="536" customFormat="1" x14ac:dyDescent="0.2">
      <c r="A136" s="548"/>
      <c r="B136" s="552" t="s">
        <v>185</v>
      </c>
      <c r="C136" s="1822" t="s">
        <v>5758</v>
      </c>
      <c r="D136" s="1822"/>
      <c r="E136" s="1822"/>
      <c r="F136" s="1822"/>
      <c r="G136" s="1822"/>
      <c r="H136" s="1822"/>
      <c r="I136" s="1822"/>
      <c r="J136" s="1822"/>
      <c r="K136" s="1822"/>
      <c r="L136" s="551">
        <v>1557.48</v>
      </c>
      <c r="M136" s="550">
        <v>14.74</v>
      </c>
      <c r="N136" s="549">
        <v>22957</v>
      </c>
      <c r="AE136" s="537" t="s">
        <v>5758</v>
      </c>
    </row>
    <row r="137" spans="1:32" s="536" customFormat="1" x14ac:dyDescent="0.2">
      <c r="A137" s="548"/>
      <c r="B137" s="552"/>
      <c r="C137" s="1822" t="s">
        <v>409</v>
      </c>
      <c r="D137" s="1822"/>
      <c r="E137" s="1822"/>
      <c r="F137" s="1822"/>
      <c r="G137" s="1822"/>
      <c r="H137" s="1822"/>
      <c r="I137" s="1822"/>
      <c r="J137" s="1822"/>
      <c r="K137" s="1822"/>
      <c r="L137" s="551"/>
      <c r="M137" s="550"/>
      <c r="N137" s="549"/>
      <c r="AE137" s="537" t="s">
        <v>409</v>
      </c>
    </row>
    <row r="138" spans="1:32" s="536" customFormat="1" x14ac:dyDescent="0.2">
      <c r="A138" s="548"/>
      <c r="B138" s="552"/>
      <c r="C138" s="1822" t="s">
        <v>410</v>
      </c>
      <c r="D138" s="1822"/>
      <c r="E138" s="1822"/>
      <c r="F138" s="1822"/>
      <c r="G138" s="1822"/>
      <c r="H138" s="1822"/>
      <c r="I138" s="1822"/>
      <c r="J138" s="1822"/>
      <c r="K138" s="1822"/>
      <c r="L138" s="551">
        <v>741.66</v>
      </c>
      <c r="M138" s="550"/>
      <c r="N138" s="549"/>
      <c r="AE138" s="537" t="s">
        <v>410</v>
      </c>
    </row>
    <row r="139" spans="1:32" s="536" customFormat="1" x14ac:dyDescent="0.2">
      <c r="A139" s="548"/>
      <c r="B139" s="552"/>
      <c r="C139" s="1822" t="s">
        <v>412</v>
      </c>
      <c r="D139" s="1822"/>
      <c r="E139" s="1822"/>
      <c r="F139" s="1822"/>
      <c r="G139" s="1822"/>
      <c r="H139" s="1822"/>
      <c r="I139" s="1822"/>
      <c r="J139" s="1822"/>
      <c r="K139" s="1822"/>
      <c r="L139" s="551">
        <v>548.82000000000005</v>
      </c>
      <c r="M139" s="550"/>
      <c r="N139" s="549"/>
      <c r="AE139" s="537" t="s">
        <v>412</v>
      </c>
    </row>
    <row r="140" spans="1:32" s="536" customFormat="1" x14ac:dyDescent="0.2">
      <c r="A140" s="548"/>
      <c r="B140" s="552"/>
      <c r="C140" s="1822" t="s">
        <v>413</v>
      </c>
      <c r="D140" s="1822"/>
      <c r="E140" s="1822"/>
      <c r="F140" s="1822"/>
      <c r="G140" s="1822"/>
      <c r="H140" s="1822"/>
      <c r="I140" s="1822"/>
      <c r="J140" s="1822"/>
      <c r="K140" s="1822"/>
      <c r="L140" s="551">
        <v>267</v>
      </c>
      <c r="M140" s="550"/>
      <c r="N140" s="549"/>
      <c r="AE140" s="537" t="s">
        <v>413</v>
      </c>
    </row>
    <row r="141" spans="1:32" s="536" customFormat="1" x14ac:dyDescent="0.2">
      <c r="A141" s="548"/>
      <c r="B141" s="552"/>
      <c r="C141" s="1822" t="s">
        <v>415</v>
      </c>
      <c r="D141" s="1822"/>
      <c r="E141" s="1822"/>
      <c r="F141" s="1822"/>
      <c r="G141" s="1822"/>
      <c r="H141" s="1822"/>
      <c r="I141" s="1822"/>
      <c r="J141" s="1822"/>
      <c r="K141" s="1822"/>
      <c r="L141" s="551">
        <v>741.66</v>
      </c>
      <c r="M141" s="550"/>
      <c r="N141" s="549"/>
      <c r="AE141" s="537" t="s">
        <v>415</v>
      </c>
    </row>
    <row r="142" spans="1:32" s="536" customFormat="1" x14ac:dyDescent="0.2">
      <c r="A142" s="548"/>
      <c r="B142" s="552"/>
      <c r="C142" s="1822" t="s">
        <v>416</v>
      </c>
      <c r="D142" s="1822"/>
      <c r="E142" s="1822"/>
      <c r="F142" s="1822"/>
      <c r="G142" s="1822"/>
      <c r="H142" s="1822"/>
      <c r="I142" s="1822"/>
      <c r="J142" s="1822"/>
      <c r="K142" s="1822"/>
      <c r="L142" s="551">
        <v>548.82000000000005</v>
      </c>
      <c r="M142" s="550"/>
      <c r="N142" s="549"/>
      <c r="AE142" s="537" t="s">
        <v>416</v>
      </c>
    </row>
    <row r="143" spans="1:32" s="536" customFormat="1" x14ac:dyDescent="0.2">
      <c r="A143" s="548"/>
      <c r="B143" s="552"/>
      <c r="C143" s="1822" t="s">
        <v>417</v>
      </c>
      <c r="D143" s="1822"/>
      <c r="E143" s="1822"/>
      <c r="F143" s="1822"/>
      <c r="G143" s="1822"/>
      <c r="H143" s="1822"/>
      <c r="I143" s="1822"/>
      <c r="J143" s="1822"/>
      <c r="K143" s="1822"/>
      <c r="L143" s="551">
        <v>267</v>
      </c>
      <c r="M143" s="550"/>
      <c r="N143" s="549"/>
      <c r="AE143" s="537" t="s">
        <v>417</v>
      </c>
    </row>
    <row r="144" spans="1:32" s="536" customFormat="1" x14ac:dyDescent="0.2">
      <c r="A144" s="548"/>
      <c r="B144" s="546"/>
      <c r="C144" s="1819" t="s">
        <v>206</v>
      </c>
      <c r="D144" s="1819"/>
      <c r="E144" s="1819"/>
      <c r="F144" s="1819"/>
      <c r="G144" s="1819"/>
      <c r="H144" s="1819"/>
      <c r="I144" s="1819"/>
      <c r="J144" s="1819"/>
      <c r="K144" s="1819"/>
      <c r="L144" s="544">
        <v>1557.48</v>
      </c>
      <c r="M144" s="543"/>
      <c r="N144" s="547">
        <v>22957</v>
      </c>
      <c r="AF144" s="537" t="s">
        <v>206</v>
      </c>
    </row>
    <row r="145" spans="1:33" ht="1.5" customHeight="1" x14ac:dyDescent="0.2">
      <c r="B145" s="546"/>
      <c r="C145" s="545"/>
      <c r="D145" s="545"/>
      <c r="E145" s="545"/>
      <c r="F145" s="545"/>
      <c r="G145" s="545"/>
      <c r="H145" s="545"/>
      <c r="I145" s="545"/>
      <c r="J145" s="545"/>
      <c r="K145" s="545"/>
      <c r="L145" s="544"/>
      <c r="M145" s="543"/>
      <c r="N145" s="542"/>
      <c r="O145" s="536"/>
      <c r="P145" s="536"/>
      <c r="Q145" s="536"/>
      <c r="R145" s="536"/>
      <c r="S145" s="536"/>
      <c r="T145" s="536"/>
      <c r="U145" s="536"/>
      <c r="V145" s="536"/>
      <c r="W145" s="536"/>
      <c r="X145" s="536"/>
      <c r="Y145" s="536"/>
      <c r="Z145" s="536"/>
      <c r="AA145" s="536"/>
      <c r="AB145" s="536"/>
      <c r="AC145" s="536"/>
      <c r="AD145" s="536"/>
      <c r="AE145" s="536"/>
      <c r="AF145" s="536"/>
      <c r="AG145" s="536"/>
    </row>
    <row r="146" spans="1:33" ht="53.25" customHeight="1" x14ac:dyDescent="0.2">
      <c r="A146" s="541"/>
      <c r="B146" s="541"/>
      <c r="C146" s="541"/>
      <c r="D146" s="541"/>
      <c r="E146" s="541"/>
      <c r="F146" s="541"/>
      <c r="G146" s="541"/>
      <c r="H146" s="541"/>
      <c r="I146" s="541"/>
      <c r="J146" s="541"/>
      <c r="K146" s="541"/>
      <c r="L146" s="541"/>
      <c r="M146" s="541"/>
      <c r="N146" s="541"/>
      <c r="O146" s="536"/>
      <c r="P146" s="536"/>
      <c r="Q146" s="536"/>
      <c r="R146" s="536"/>
      <c r="S146" s="536"/>
      <c r="T146" s="536"/>
      <c r="U146" s="536"/>
      <c r="V146" s="536"/>
      <c r="W146" s="536"/>
      <c r="X146" s="536"/>
      <c r="Y146" s="536"/>
      <c r="Z146" s="536"/>
      <c r="AA146" s="536"/>
      <c r="AB146" s="536"/>
      <c r="AC146" s="536"/>
      <c r="AD146" s="536"/>
      <c r="AE146" s="536"/>
      <c r="AF146" s="536"/>
      <c r="AG146" s="536"/>
    </row>
    <row r="147" spans="1:33" x14ac:dyDescent="0.2">
      <c r="B147" s="539" t="s">
        <v>149</v>
      </c>
      <c r="C147" s="1943" t="s">
        <v>207</v>
      </c>
      <c r="D147" s="1943"/>
      <c r="E147" s="1943"/>
      <c r="F147" s="1943"/>
      <c r="G147" s="1943"/>
      <c r="H147" s="1943"/>
      <c r="I147" s="1943"/>
      <c r="J147" s="1943"/>
      <c r="K147" s="1943"/>
      <c r="L147" s="1943"/>
      <c r="O147" s="536"/>
    </row>
    <row r="148" spans="1:33" ht="13.5" customHeight="1" x14ac:dyDescent="0.2">
      <c r="B148" s="540"/>
      <c r="C148" s="1821" t="s">
        <v>150</v>
      </c>
      <c r="D148" s="1821"/>
      <c r="E148" s="1821"/>
      <c r="F148" s="1821"/>
      <c r="G148" s="1821"/>
      <c r="H148" s="1821"/>
      <c r="I148" s="1821"/>
      <c r="J148" s="1821"/>
      <c r="K148" s="1821"/>
      <c r="L148" s="1821"/>
      <c r="O148" s="536"/>
    </row>
    <row r="149" spans="1:33" ht="12.75" customHeight="1" x14ac:dyDescent="0.2">
      <c r="B149" s="539" t="s">
        <v>151</v>
      </c>
      <c r="C149" s="1943" t="s">
        <v>208</v>
      </c>
      <c r="D149" s="1943"/>
      <c r="E149" s="1943"/>
      <c r="F149" s="1943"/>
      <c r="G149" s="1943"/>
      <c r="H149" s="1943"/>
      <c r="I149" s="1943"/>
      <c r="J149" s="1943"/>
      <c r="K149" s="1943"/>
      <c r="L149" s="1943"/>
      <c r="O149" s="536"/>
    </row>
    <row r="150" spans="1:33" ht="13.5" customHeight="1" x14ac:dyDescent="0.2">
      <c r="C150" s="1821" t="s">
        <v>150</v>
      </c>
      <c r="D150" s="1821"/>
      <c r="E150" s="1821"/>
      <c r="F150" s="1821"/>
      <c r="G150" s="1821"/>
      <c r="H150" s="1821"/>
      <c r="I150" s="1821"/>
      <c r="J150" s="1821"/>
      <c r="K150" s="1821"/>
      <c r="L150" s="1821"/>
      <c r="O150" s="536"/>
    </row>
    <row r="152" spans="1:33" x14ac:dyDescent="0.2">
      <c r="A152" s="1944"/>
      <c r="B152" s="1944"/>
      <c r="C152" s="1944"/>
      <c r="D152" s="1944"/>
      <c r="E152" s="1944"/>
      <c r="F152" s="1944"/>
      <c r="G152" s="1944"/>
      <c r="H152" s="1944"/>
      <c r="I152" s="1944"/>
      <c r="J152" s="1944"/>
      <c r="K152" s="1944"/>
      <c r="L152" s="1944"/>
      <c r="M152" s="1944"/>
      <c r="N152" s="1944"/>
      <c r="O152" s="536"/>
      <c r="P152" s="536"/>
      <c r="Q152" s="536"/>
      <c r="R152" s="536"/>
      <c r="S152" s="536"/>
      <c r="T152" s="536"/>
      <c r="U152" s="536"/>
      <c r="V152" s="536"/>
      <c r="W152" s="536"/>
      <c r="X152" s="536"/>
      <c r="Y152" s="536"/>
      <c r="Z152" s="536"/>
      <c r="AA152" s="536"/>
      <c r="AB152" s="536"/>
      <c r="AC152" s="536"/>
      <c r="AD152" s="536"/>
      <c r="AE152" s="536"/>
      <c r="AF152" s="536"/>
      <c r="AG152" s="537" t="s">
        <v>143</v>
      </c>
    </row>
    <row r="153" spans="1:33" x14ac:dyDescent="0.2">
      <c r="B153" s="538"/>
      <c r="D153" s="538"/>
      <c r="F153" s="538"/>
      <c r="O153" s="536"/>
      <c r="P153" s="536"/>
      <c r="Q153" s="536"/>
      <c r="R153" s="536"/>
      <c r="S153" s="536"/>
      <c r="T153" s="536"/>
      <c r="U153" s="536"/>
      <c r="V153" s="536"/>
      <c r="W153" s="536"/>
      <c r="X153" s="536"/>
      <c r="Y153" s="536"/>
      <c r="Z153" s="536"/>
      <c r="AA153" s="536"/>
      <c r="AB153" s="536"/>
      <c r="AC153" s="536"/>
      <c r="AD153" s="536"/>
      <c r="AE153" s="536"/>
      <c r="AF153" s="536"/>
      <c r="AG153" s="536"/>
    </row>
  </sheetData>
  <mergeCells count="135">
    <mergeCell ref="K4:N4"/>
    <mergeCell ref="A4:C4"/>
    <mergeCell ref="A5:D5"/>
    <mergeCell ref="J5:N5"/>
    <mergeCell ref="A6:D6"/>
    <mergeCell ref="C150:L150"/>
    <mergeCell ref="A40:N40"/>
    <mergeCell ref="C41:E41"/>
    <mergeCell ref="C42:N42"/>
    <mergeCell ref="C43:N43"/>
    <mergeCell ref="C44:N44"/>
    <mergeCell ref="C45:E45"/>
    <mergeCell ref="C46:E46"/>
    <mergeCell ref="C47:E47"/>
    <mergeCell ref="C48:E48"/>
    <mergeCell ref="B35:B37"/>
    <mergeCell ref="F35:F37"/>
    <mergeCell ref="C35:E37"/>
    <mergeCell ref="C147:L147"/>
    <mergeCell ref="C149:L149"/>
    <mergeCell ref="C148:L148"/>
    <mergeCell ref="C49:E49"/>
    <mergeCell ref="C50:E50"/>
    <mergeCell ref="C58:E58"/>
    <mergeCell ref="J6:N6"/>
    <mergeCell ref="A35:A37"/>
    <mergeCell ref="M35:M37"/>
    <mergeCell ref="G35:I36"/>
    <mergeCell ref="L33:M33"/>
    <mergeCell ref="A14:N14"/>
    <mergeCell ref="A17:N17"/>
    <mergeCell ref="A18:N18"/>
    <mergeCell ref="A21:N21"/>
    <mergeCell ref="B23:F23"/>
    <mergeCell ref="D10:N10"/>
    <mergeCell ref="A13:N13"/>
    <mergeCell ref="A16:N16"/>
    <mergeCell ref="A20:N20"/>
    <mergeCell ref="C60:E60"/>
    <mergeCell ref="C51:E51"/>
    <mergeCell ref="C52:E52"/>
    <mergeCell ref="C53:N53"/>
    <mergeCell ref="C54:N54"/>
    <mergeCell ref="C55:N55"/>
    <mergeCell ref="B24:F24"/>
    <mergeCell ref="N35:N37"/>
    <mergeCell ref="J35:L36"/>
    <mergeCell ref="C38:E38"/>
    <mergeCell ref="C56:E56"/>
    <mergeCell ref="C57:E57"/>
    <mergeCell ref="A39:N39"/>
    <mergeCell ref="C59:E59"/>
    <mergeCell ref="C66:N66"/>
    <mergeCell ref="C67:E67"/>
    <mergeCell ref="C68:E68"/>
    <mergeCell ref="C69:E69"/>
    <mergeCell ref="C70:E70"/>
    <mergeCell ref="C61:E61"/>
    <mergeCell ref="C62:E62"/>
    <mergeCell ref="C63:E63"/>
    <mergeCell ref="C64:N64"/>
    <mergeCell ref="C65:N65"/>
    <mergeCell ref="C76:N76"/>
    <mergeCell ref="C77:N77"/>
    <mergeCell ref="C78:E78"/>
    <mergeCell ref="C79:E79"/>
    <mergeCell ref="C80:E80"/>
    <mergeCell ref="C71:E71"/>
    <mergeCell ref="C72:E72"/>
    <mergeCell ref="C73:E73"/>
    <mergeCell ref="C74:E74"/>
    <mergeCell ref="C75:N75"/>
    <mergeCell ref="C86:N86"/>
    <mergeCell ref="C87:N87"/>
    <mergeCell ref="C88:N88"/>
    <mergeCell ref="C89:E89"/>
    <mergeCell ref="C90:E90"/>
    <mergeCell ref="C81:E81"/>
    <mergeCell ref="C82:E82"/>
    <mergeCell ref="C83:E83"/>
    <mergeCell ref="C84:E84"/>
    <mergeCell ref="C85:E85"/>
    <mergeCell ref="C96:E96"/>
    <mergeCell ref="C97:N97"/>
    <mergeCell ref="C98:N98"/>
    <mergeCell ref="C99:N99"/>
    <mergeCell ref="C100:E100"/>
    <mergeCell ref="C91:E91"/>
    <mergeCell ref="C92:E92"/>
    <mergeCell ref="C93:E93"/>
    <mergeCell ref="C94:E94"/>
    <mergeCell ref="C95:E95"/>
    <mergeCell ref="C106:E106"/>
    <mergeCell ref="C107:E107"/>
    <mergeCell ref="C108:N108"/>
    <mergeCell ref="C109:N109"/>
    <mergeCell ref="C110:N110"/>
    <mergeCell ref="C101:E101"/>
    <mergeCell ref="C102:E102"/>
    <mergeCell ref="C103:E103"/>
    <mergeCell ref="C104:E104"/>
    <mergeCell ref="C105:E105"/>
    <mergeCell ref="C116:E116"/>
    <mergeCell ref="C117:E117"/>
    <mergeCell ref="C118:E118"/>
    <mergeCell ref="C119:N119"/>
    <mergeCell ref="C120:N120"/>
    <mergeCell ref="C111:E111"/>
    <mergeCell ref="C112:E112"/>
    <mergeCell ref="C113:E113"/>
    <mergeCell ref="C114:E114"/>
    <mergeCell ref="C115:E115"/>
    <mergeCell ref="C126:E126"/>
    <mergeCell ref="C127:E127"/>
    <mergeCell ref="C128:E128"/>
    <mergeCell ref="C131:K131"/>
    <mergeCell ref="C132:K132"/>
    <mergeCell ref="C121:N121"/>
    <mergeCell ref="C122:E122"/>
    <mergeCell ref="C123:E123"/>
    <mergeCell ref="C124:E124"/>
    <mergeCell ref="C125:E125"/>
    <mergeCell ref="C133:K133"/>
    <mergeCell ref="C134:K134"/>
    <mergeCell ref="C135:K135"/>
    <mergeCell ref="C136:K136"/>
    <mergeCell ref="C137:K137"/>
    <mergeCell ref="C143:K143"/>
    <mergeCell ref="C144:K144"/>
    <mergeCell ref="A152:N152"/>
    <mergeCell ref="C138:K138"/>
    <mergeCell ref="C139:K139"/>
    <mergeCell ref="C140:K140"/>
    <mergeCell ref="C141:K141"/>
    <mergeCell ref="C142:K142"/>
  </mergeCells>
  <printOptions horizontalCentered="1"/>
  <pageMargins left="0.39370077848434498" right="0.23622047901153601" top="0.35433071851730302" bottom="0.31496062874794001" header="0.118110239505768" footer="0.118110239505768"/>
  <pageSetup paperSize="9" orientation="landscape"/>
  <headerFooter>
    <oddHeader>&amp;LГРАНД-Смета 2021.1</oddHeader>
    <oddFooter>&amp;R&amp;8Страница &amp;P</oddFooter>
  </headerFooter>
  <rowBreaks count="1" manualBreakCount="1">
    <brk id="34" max="15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125</vt:i4>
      </vt:variant>
      <vt:variant>
        <vt:lpstr>Именованные диапазоны</vt:lpstr>
      </vt:variant>
      <vt:variant>
        <vt:i4>223</vt:i4>
      </vt:variant>
    </vt:vector>
  </HeadingPairs>
  <TitlesOfParts>
    <vt:vector size="348" baseType="lpstr">
      <vt:lpstr>титул НКД</vt:lpstr>
      <vt:lpstr>ГТ север </vt:lpstr>
      <vt:lpstr>Сопоставительная ведомость</vt:lpstr>
      <vt:lpstr>состав СД</vt:lpstr>
      <vt:lpstr>ССРСС(2000г )</vt:lpstr>
      <vt:lpstr>График</vt:lpstr>
      <vt:lpstr>ПЗ</vt:lpstr>
      <vt:lpstr>Протокол</vt:lpstr>
      <vt:lpstr>НМЦ</vt:lpstr>
      <vt:lpstr>Проект сметы контракта</vt:lpstr>
      <vt:lpstr>ВОР</vt:lpstr>
      <vt:lpstr>НМЦК</vt:lpstr>
      <vt:lpstr>Затраты подрядчика</vt:lpstr>
      <vt:lpstr>ССРСС(2021г.)</vt:lpstr>
      <vt:lpstr>ОСР 01-01(2000г)</vt:lpstr>
      <vt:lpstr>ОСР 01-01 (2021г)</vt:lpstr>
      <vt:lpstr> ЛСР 01-01-01</vt:lpstr>
      <vt:lpstr>ЛСР 01-01-02</vt:lpstr>
      <vt:lpstr>ОСР 01-02(2000г)</vt:lpstr>
      <vt:lpstr>ОСР 01-02(2021г)</vt:lpstr>
      <vt:lpstr>ЛСР 01-02-01</vt:lpstr>
      <vt:lpstr>ЛСР 01-02-02</vt:lpstr>
      <vt:lpstr>ЛСР 01-02-03</vt:lpstr>
      <vt:lpstr>ЛСР 01-03-01 </vt:lpstr>
      <vt:lpstr>ЛСР 01-04-01</vt:lpstr>
      <vt:lpstr>ОСР 02-01(2000г)</vt:lpstr>
      <vt:lpstr>ОСР 02-01(2021г)</vt:lpstr>
      <vt:lpstr>ЛСР 02-01-01</vt:lpstr>
      <vt:lpstr>ЛСР 02-01-02</vt:lpstr>
      <vt:lpstr>ЛСР 02-01-03</vt:lpstr>
      <vt:lpstr>ЛСР 02-01-04</vt:lpstr>
      <vt:lpstr>ЛСР 02-01-05</vt:lpstr>
      <vt:lpstr>ЛСР 02-01-06</vt:lpstr>
      <vt:lpstr>ЛСР 02-01-07</vt:lpstr>
      <vt:lpstr>ОСР 03-01(2000г)</vt:lpstr>
      <vt:lpstr>ОСР 03-01(2021г)</vt:lpstr>
      <vt:lpstr>ЛСР 03-01-01</vt:lpstr>
      <vt:lpstr>ЛСР 03-01-02</vt:lpstr>
      <vt:lpstr>ЛСР 03-01-03</vt:lpstr>
      <vt:lpstr>ЛСР 03-01-04</vt:lpstr>
      <vt:lpstr>ЛСР 03-01-05</vt:lpstr>
      <vt:lpstr>ЛСР 03-01-06</vt:lpstr>
      <vt:lpstr>ЛСР 03-01-07</vt:lpstr>
      <vt:lpstr> ЛСР 03-01-08</vt:lpstr>
      <vt:lpstr>ЛСР 03-01-09</vt:lpstr>
      <vt:lpstr>ЛСР 03-01-10</vt:lpstr>
      <vt:lpstr>ЛСР 03-01-11</vt:lpstr>
      <vt:lpstr>ЛСР 03-01-12</vt:lpstr>
      <vt:lpstr>ОСР 03-02(2000г)</vt:lpstr>
      <vt:lpstr>ОСР 03-02(2021г)</vt:lpstr>
      <vt:lpstr>ЛСР 03-02-01 </vt:lpstr>
      <vt:lpstr>ЛСР 03-02-02</vt:lpstr>
      <vt:lpstr>ЛСР 03-02-03</vt:lpstr>
      <vt:lpstr>ОСР 03-03(2000г)</vt:lpstr>
      <vt:lpstr>ОСР03-03(2021г)</vt:lpstr>
      <vt:lpstr>ЛСР 03-03-01</vt:lpstr>
      <vt:lpstr>ЛСР 03-03-02</vt:lpstr>
      <vt:lpstr>ЛСР 03-03-03</vt:lpstr>
      <vt:lpstr>ЛСР 03-04-01</vt:lpstr>
      <vt:lpstr>ОСР 04-01(2000г)</vt:lpstr>
      <vt:lpstr>ОСР04-01(2021г)</vt:lpstr>
      <vt:lpstr>ЛСР 04-01-01</vt:lpstr>
      <vt:lpstr>ЛСР 04-01-02</vt:lpstr>
      <vt:lpstr>ОСР 04-02(2000г)</vt:lpstr>
      <vt:lpstr>ОСР04-02(2021г)</vt:lpstr>
      <vt:lpstr>ЛСР 04-02-01</vt:lpstr>
      <vt:lpstr>ЛСР 04-02-02</vt:lpstr>
      <vt:lpstr>ЛСР 05-01-01</vt:lpstr>
      <vt:lpstr>ОСР 05-02(2000г)</vt:lpstr>
      <vt:lpstr>ОСР 05-02(2021г)</vt:lpstr>
      <vt:lpstr>ЛСР 05-02-01</vt:lpstr>
      <vt:lpstr>ЛСР 05-02-02</vt:lpstr>
      <vt:lpstr>ЛСР 05-02-03</vt:lpstr>
      <vt:lpstr>ЛСР 05-03-01</vt:lpstr>
      <vt:lpstr>ЛСР 06-01-01</vt:lpstr>
      <vt:lpstr>ОСР 06-02(2000г)</vt:lpstr>
      <vt:lpstr>ОСР06-02(2021г)</vt:lpstr>
      <vt:lpstr>ЛСР 06-02-01</vt:lpstr>
      <vt:lpstr>ЛСР 06-02-02</vt:lpstr>
      <vt:lpstr>ЛСР 06-02-03</vt:lpstr>
      <vt:lpstr>ЛСР 06-02-04</vt:lpstr>
      <vt:lpstr>ЛСР 06-02-05</vt:lpstr>
      <vt:lpstr>ОСР 07-01(2000г)</vt:lpstr>
      <vt:lpstr>ОСР07-01(2021г)</vt:lpstr>
      <vt:lpstr>ЛСР 07-01-01</vt:lpstr>
      <vt:lpstr>ЛСР 07-01-02</vt:lpstr>
      <vt:lpstr>ЛСР 07-01-03</vt:lpstr>
      <vt:lpstr>ЛСР 07-01-04</vt:lpstr>
      <vt:lpstr>ОСР 07-02(2000г)</vt:lpstr>
      <vt:lpstr>ОСР 07-02(2021г)</vt:lpstr>
      <vt:lpstr>ЛСР 07-02-01</vt:lpstr>
      <vt:lpstr>ЛСР 07-02-02</vt:lpstr>
      <vt:lpstr>Расчет 09-01-01</vt:lpstr>
      <vt:lpstr>Расчет 09-02-01</vt:lpstr>
      <vt:lpstr>Расчет 09-03-01</vt:lpstr>
      <vt:lpstr>ОСР 09-04(2000г)</vt:lpstr>
      <vt:lpstr>ОСР 09-04 (2021г)</vt:lpstr>
      <vt:lpstr>ЛСР 09-04-01</vt:lpstr>
      <vt:lpstr>ЛСР 09-04-02 </vt:lpstr>
      <vt:lpstr>Расчет 09-05-01</vt:lpstr>
      <vt:lpstr>Расчет 09-06-01 </vt:lpstr>
      <vt:lpstr>ОСР 09-07_(2021г)</vt:lpstr>
      <vt:lpstr>ОСР 09-07 (2000г.)</vt:lpstr>
      <vt:lpstr>ЛСР 09-07-01</vt:lpstr>
      <vt:lpstr>ЛСР 09-07-02</vt:lpstr>
      <vt:lpstr>ЛСР 09-07-03</vt:lpstr>
      <vt:lpstr>Расчет 09-08-01</vt:lpstr>
      <vt:lpstr>Расчет 10-01-01</vt:lpstr>
      <vt:lpstr>ОСР ПИР (2021 г.)</vt:lpstr>
      <vt:lpstr>ОСР ПИР (2000 г).</vt:lpstr>
      <vt:lpstr>ОСР ПИР ( 2001 г.) </vt:lpstr>
      <vt:lpstr>ЛСР 12-01-01</vt:lpstr>
      <vt:lpstr>ЛСР 12-01-02</vt:lpstr>
      <vt:lpstr>ЛСР 12-01-03</vt:lpstr>
      <vt:lpstr>ЛСР 12-01-04</vt:lpstr>
      <vt:lpstr>ЛСР 12-01-05</vt:lpstr>
      <vt:lpstr>ЛСР 12-01-06 </vt:lpstr>
      <vt:lpstr>ЛСР 12-02-01</vt:lpstr>
      <vt:lpstr>ЛСР 12-03-01</vt:lpstr>
      <vt:lpstr>Расчет 12-04-01</vt:lpstr>
      <vt:lpstr>Расчет 12-05-01</vt:lpstr>
      <vt:lpstr>ЛСР 12-06-01</vt:lpstr>
      <vt:lpstr>ЛСР 12-07-01</vt:lpstr>
      <vt:lpstr>СР-7 </vt:lpstr>
      <vt:lpstr> Калькуляция №1</vt:lpstr>
      <vt:lpstr>' Калькуляция №1'!Print_Area</vt:lpstr>
      <vt:lpstr>' ЛСР 01-01-01'!Print_Area</vt:lpstr>
      <vt:lpstr>' ЛСР 03-01-08'!Print_Area</vt:lpstr>
      <vt:lpstr>'ЛСР 01-01-02'!Print_Area</vt:lpstr>
      <vt:lpstr>'ЛСР 01-02-01'!Print_Area</vt:lpstr>
      <vt:lpstr>'ЛСР 01-02-02'!Print_Area</vt:lpstr>
      <vt:lpstr>'ЛСР 01-02-03'!Print_Area</vt:lpstr>
      <vt:lpstr>'ЛСР 01-03-01 '!Print_Area</vt:lpstr>
      <vt:lpstr>'ЛСР 02-01-01'!Print_Area</vt:lpstr>
      <vt:lpstr>'ЛСР 02-01-02'!Print_Area</vt:lpstr>
      <vt:lpstr>'ЛСР 02-01-03'!Print_Area</vt:lpstr>
      <vt:lpstr>'ЛСР 02-01-04'!Print_Area</vt:lpstr>
      <vt:lpstr>'ЛСР 02-01-05'!Print_Area</vt:lpstr>
      <vt:lpstr>'ЛСР 02-01-06'!Print_Area</vt:lpstr>
      <vt:lpstr>'ЛСР 02-01-07'!Print_Area</vt:lpstr>
      <vt:lpstr>'ЛСР 03-01-01'!Print_Area</vt:lpstr>
      <vt:lpstr>'ЛСР 03-01-02'!Print_Area</vt:lpstr>
      <vt:lpstr>'ЛСР 03-01-03'!Print_Area</vt:lpstr>
      <vt:lpstr>'ЛСР 03-01-04'!Print_Area</vt:lpstr>
      <vt:lpstr>'ЛСР 03-01-05'!Print_Area</vt:lpstr>
      <vt:lpstr>'ЛСР 03-01-06'!Print_Area</vt:lpstr>
      <vt:lpstr>'ЛСР 03-01-07'!Print_Area</vt:lpstr>
      <vt:lpstr>'ЛСР 03-01-09'!Print_Area</vt:lpstr>
      <vt:lpstr>'ЛСР 03-01-10'!Print_Area</vt:lpstr>
      <vt:lpstr>'ЛСР 03-01-11'!Print_Area</vt:lpstr>
      <vt:lpstr>'ЛСР 03-01-12'!Print_Area</vt:lpstr>
      <vt:lpstr>'ЛСР 03-02-01 '!Print_Area</vt:lpstr>
      <vt:lpstr>'ЛСР 03-02-02'!Print_Area</vt:lpstr>
      <vt:lpstr>'ЛСР 03-02-03'!Print_Area</vt:lpstr>
      <vt:lpstr>'ЛСР 03-03-01'!Print_Area</vt:lpstr>
      <vt:lpstr>'ЛСР 03-03-02'!Print_Area</vt:lpstr>
      <vt:lpstr>'ЛСР 03-03-03'!Print_Area</vt:lpstr>
      <vt:lpstr>'ЛСР 03-04-01'!Print_Area</vt:lpstr>
      <vt:lpstr>'ЛСР 04-01-01'!Print_Area</vt:lpstr>
      <vt:lpstr>'ЛСР 04-01-02'!Print_Area</vt:lpstr>
      <vt:lpstr>'ЛСР 04-02-01'!Print_Area</vt:lpstr>
      <vt:lpstr>'ЛСР 04-02-02'!Print_Area</vt:lpstr>
      <vt:lpstr>'ЛСР 05-01-01'!Print_Area</vt:lpstr>
      <vt:lpstr>'ЛСР 05-02-01'!Print_Area</vt:lpstr>
      <vt:lpstr>'ЛСР 05-02-02'!Print_Area</vt:lpstr>
      <vt:lpstr>'ЛСР 05-02-03'!Print_Area</vt:lpstr>
      <vt:lpstr>'ЛСР 05-03-01'!Print_Area</vt:lpstr>
      <vt:lpstr>'ЛСР 06-01-01'!Print_Area</vt:lpstr>
      <vt:lpstr>'ЛСР 06-02-01'!Print_Area</vt:lpstr>
      <vt:lpstr>'ЛСР 06-02-02'!Print_Area</vt:lpstr>
      <vt:lpstr>'ЛСР 06-02-03'!Print_Area</vt:lpstr>
      <vt:lpstr>'ЛСР 06-02-04'!Print_Area</vt:lpstr>
      <vt:lpstr>'ЛСР 06-02-05'!Print_Area</vt:lpstr>
      <vt:lpstr>'ЛСР 07-01-01'!Print_Area</vt:lpstr>
      <vt:lpstr>'ЛСР 07-01-02'!Print_Area</vt:lpstr>
      <vt:lpstr>'ЛСР 07-01-03'!Print_Area</vt:lpstr>
      <vt:lpstr>'ЛСР 07-01-04'!Print_Area</vt:lpstr>
      <vt:lpstr>'ЛСР 07-02-01'!Print_Area</vt:lpstr>
      <vt:lpstr>'ЛСР 07-02-02'!Print_Area</vt:lpstr>
      <vt:lpstr>'ЛСР 09-04-01'!Print_Area</vt:lpstr>
      <vt:lpstr>'ЛСР 09-04-02 '!Print_Area</vt:lpstr>
      <vt:lpstr>' Калькуляция №1'!Print_Titles</vt:lpstr>
      <vt:lpstr>' ЛСР 01-01-01'!Print_Titles</vt:lpstr>
      <vt:lpstr>' ЛСР 03-01-08'!Print_Titles</vt:lpstr>
      <vt:lpstr>'ЛСР 01-01-02'!Print_Titles</vt:lpstr>
      <vt:lpstr>'ЛСР 01-02-01'!Print_Titles</vt:lpstr>
      <vt:lpstr>'ЛСР 01-02-02'!Print_Titles</vt:lpstr>
      <vt:lpstr>'ЛСР 01-02-03'!Print_Titles</vt:lpstr>
      <vt:lpstr>'ЛСР 01-03-01 '!Print_Titles</vt:lpstr>
      <vt:lpstr>'ЛСР 02-01-01'!Print_Titles</vt:lpstr>
      <vt:lpstr>'ЛСР 02-01-02'!Print_Titles</vt:lpstr>
      <vt:lpstr>'ЛСР 02-01-03'!Print_Titles</vt:lpstr>
      <vt:lpstr>'ЛСР 02-01-04'!Print_Titles</vt:lpstr>
      <vt:lpstr>'ЛСР 02-01-05'!Print_Titles</vt:lpstr>
      <vt:lpstr>'ЛСР 02-01-06'!Print_Titles</vt:lpstr>
      <vt:lpstr>'ЛСР 02-01-07'!Print_Titles</vt:lpstr>
      <vt:lpstr>'ЛСР 03-01-01'!Print_Titles</vt:lpstr>
      <vt:lpstr>'ЛСР 03-01-02'!Print_Titles</vt:lpstr>
      <vt:lpstr>'ЛСР 03-01-03'!Print_Titles</vt:lpstr>
      <vt:lpstr>'ЛСР 03-01-04'!Print_Titles</vt:lpstr>
      <vt:lpstr>'ЛСР 03-01-05'!Print_Titles</vt:lpstr>
      <vt:lpstr>'ЛСР 03-01-06'!Print_Titles</vt:lpstr>
      <vt:lpstr>'ЛСР 03-01-07'!Print_Titles</vt:lpstr>
      <vt:lpstr>'ЛСР 03-01-09'!Print_Titles</vt:lpstr>
      <vt:lpstr>'ЛСР 03-01-10'!Print_Titles</vt:lpstr>
      <vt:lpstr>'ЛСР 03-01-11'!Print_Titles</vt:lpstr>
      <vt:lpstr>'ЛСР 03-01-12'!Print_Titles</vt:lpstr>
      <vt:lpstr>'ЛСР 03-02-01 '!Print_Titles</vt:lpstr>
      <vt:lpstr>'ЛСР 03-02-02'!Print_Titles</vt:lpstr>
      <vt:lpstr>'ЛСР 03-02-03'!Print_Titles</vt:lpstr>
      <vt:lpstr>'ЛСР 03-03-01'!Print_Titles</vt:lpstr>
      <vt:lpstr>'ЛСР 03-03-02'!Print_Titles</vt:lpstr>
      <vt:lpstr>'ЛСР 03-03-03'!Print_Titles</vt:lpstr>
      <vt:lpstr>'ЛСР 03-04-01'!Print_Titles</vt:lpstr>
      <vt:lpstr>'ЛСР 04-01-01'!Print_Titles</vt:lpstr>
      <vt:lpstr>'ЛСР 04-01-02'!Print_Titles</vt:lpstr>
      <vt:lpstr>'ЛСР 04-02-01'!Print_Titles</vt:lpstr>
      <vt:lpstr>'ЛСР 04-02-02'!Print_Titles</vt:lpstr>
      <vt:lpstr>'ЛСР 05-01-01'!Print_Titles</vt:lpstr>
      <vt:lpstr>'ЛСР 05-02-01'!Print_Titles</vt:lpstr>
      <vt:lpstr>'ЛСР 05-02-02'!Print_Titles</vt:lpstr>
      <vt:lpstr>'ЛСР 05-02-03'!Print_Titles</vt:lpstr>
      <vt:lpstr>'ЛСР 05-03-01'!Print_Titles</vt:lpstr>
      <vt:lpstr>'ЛСР 06-01-01'!Print_Titles</vt:lpstr>
      <vt:lpstr>'ЛСР 06-02-01'!Print_Titles</vt:lpstr>
      <vt:lpstr>'ЛСР 06-02-02'!Print_Titles</vt:lpstr>
      <vt:lpstr>'ЛСР 06-02-03'!Print_Titles</vt:lpstr>
      <vt:lpstr>'ЛСР 06-02-04'!Print_Titles</vt:lpstr>
      <vt:lpstr>'ЛСР 06-02-05'!Print_Titles</vt:lpstr>
      <vt:lpstr>'ЛСР 07-01-01'!Print_Titles</vt:lpstr>
      <vt:lpstr>'ЛСР 07-01-02'!Print_Titles</vt:lpstr>
      <vt:lpstr>'ЛСР 07-01-03'!Print_Titles</vt:lpstr>
      <vt:lpstr>'ЛСР 07-01-04'!Print_Titles</vt:lpstr>
      <vt:lpstr>'ЛСР 07-02-01'!Print_Titles</vt:lpstr>
      <vt:lpstr>'ЛСР 07-02-02'!Print_Titles</vt:lpstr>
      <vt:lpstr>'ЛСР 09-04-01'!Print_Titles</vt:lpstr>
      <vt:lpstr>'ЛСР 09-04-02 '!Print_Titles</vt:lpstr>
      <vt:lpstr>'ОСР 01-01 (2021г)'!Print_Titles</vt:lpstr>
      <vt:lpstr>'ОСР 01-01(2000г)'!Print_Titles</vt:lpstr>
      <vt:lpstr>'ОСР 01-02(2000г)'!Print_Titles</vt:lpstr>
      <vt:lpstr>'ОСР 01-02(2021г)'!Print_Titles</vt:lpstr>
      <vt:lpstr>'ОСР 02-01(2000г)'!Print_Titles</vt:lpstr>
      <vt:lpstr>'ОСР 02-01(2021г)'!Print_Titles</vt:lpstr>
      <vt:lpstr>'ОСР 03-01(2000г)'!Print_Titles</vt:lpstr>
      <vt:lpstr>'ОСР 03-01(2021г)'!Print_Titles</vt:lpstr>
      <vt:lpstr>'ОСР 03-02(2000г)'!Print_Titles</vt:lpstr>
      <vt:lpstr>'ОСР 03-02(2021г)'!Print_Titles</vt:lpstr>
      <vt:lpstr>'ОСР 03-03(2000г)'!Print_Titles</vt:lpstr>
      <vt:lpstr>'ОСР 04-01(2000г)'!Print_Titles</vt:lpstr>
      <vt:lpstr>'ОСР 04-02(2000г)'!Print_Titles</vt:lpstr>
      <vt:lpstr>'ОСР 05-02(2000г)'!Print_Titles</vt:lpstr>
      <vt:lpstr>'ОСР 05-02(2021г)'!Print_Titles</vt:lpstr>
      <vt:lpstr>'ОСР 06-02(2000г)'!Print_Titles</vt:lpstr>
      <vt:lpstr>'ОСР 07-01(2000г)'!Print_Titles</vt:lpstr>
      <vt:lpstr>'ОСР 07-02(2000г)'!Print_Titles</vt:lpstr>
      <vt:lpstr>'ОСР 07-02(2021г)'!Print_Titles</vt:lpstr>
      <vt:lpstr>'ОСР 09-04 (2021г)'!Print_Titles</vt:lpstr>
      <vt:lpstr>'ОСР 09-04(2000г)'!Print_Titles</vt:lpstr>
      <vt:lpstr>'ОСР03-03(2021г)'!Print_Titles</vt:lpstr>
      <vt:lpstr>'ОСР04-01(2021г)'!Print_Titles</vt:lpstr>
      <vt:lpstr>'ОСР04-02(2021г)'!Print_Titles</vt:lpstr>
      <vt:lpstr>'ОСР06-02(2021г)'!Print_Titles</vt:lpstr>
      <vt:lpstr>'ОСР07-01(2021г)'!Print_Titles</vt:lpstr>
      <vt:lpstr>'Затраты подрядчика'!Заголовки_для_печати</vt:lpstr>
      <vt:lpstr>'ЛСР 01-03-01 '!Заголовки_для_печати</vt:lpstr>
      <vt:lpstr>'ЛСР 02-01-01'!Заголовки_для_печати</vt:lpstr>
      <vt:lpstr>'ЛСР 02-01-02'!Заголовки_для_печати</vt:lpstr>
      <vt:lpstr>'ЛСР 02-01-03'!Заголовки_для_печати</vt:lpstr>
      <vt:lpstr>'ЛСР 02-01-04'!Заголовки_для_печати</vt:lpstr>
      <vt:lpstr>'ЛСР 02-01-06'!Заголовки_для_печати</vt:lpstr>
      <vt:lpstr>'ЛСР 02-01-07'!Заголовки_для_печати</vt:lpstr>
      <vt:lpstr>'ЛСР 03-01-01'!Заголовки_для_печати</vt:lpstr>
      <vt:lpstr>'ЛСР 03-01-02'!Заголовки_для_печати</vt:lpstr>
      <vt:lpstr>'ЛСР 03-01-03'!Заголовки_для_печати</vt:lpstr>
      <vt:lpstr>'ЛСР 03-01-04'!Заголовки_для_печати</vt:lpstr>
      <vt:lpstr>'ЛСР 03-01-05'!Заголовки_для_печати</vt:lpstr>
      <vt:lpstr>'ЛСР 03-01-06'!Заголовки_для_печати</vt:lpstr>
      <vt:lpstr>'ЛСР 03-01-09'!Заголовки_для_печати</vt:lpstr>
      <vt:lpstr>'ЛСР 03-02-01 '!Заголовки_для_печати</vt:lpstr>
      <vt:lpstr>'ЛСР 03-02-02'!Заголовки_для_печати</vt:lpstr>
      <vt:lpstr>'ЛСР 03-02-03'!Заголовки_для_печати</vt:lpstr>
      <vt:lpstr>'ЛСР 03-03-01'!Заголовки_для_печати</vt:lpstr>
      <vt:lpstr>'ЛСР 03-03-02'!Заголовки_для_печати</vt:lpstr>
      <vt:lpstr>'ЛСР 04-01-02'!Заголовки_для_печати</vt:lpstr>
      <vt:lpstr>'ЛСР 05-01-01'!Заголовки_для_печати</vt:lpstr>
      <vt:lpstr>'ЛСР 05-02-01'!Заголовки_для_печати</vt:lpstr>
      <vt:lpstr>'ЛСР 05-02-03'!Заголовки_для_печати</vt:lpstr>
      <vt:lpstr>'ЛСР 05-03-01'!Заголовки_для_печати</vt:lpstr>
      <vt:lpstr>'ЛСР 06-01-01'!Заголовки_для_печати</vt:lpstr>
      <vt:lpstr>'ЛСР 06-02-01'!Заголовки_для_печати</vt:lpstr>
      <vt:lpstr>'ЛСР 06-02-05'!Заголовки_для_печати</vt:lpstr>
      <vt:lpstr>'ЛСР 07-01-01'!Заголовки_для_печати</vt:lpstr>
      <vt:lpstr>'ЛСР 07-01-03'!Заголовки_для_печати</vt:lpstr>
      <vt:lpstr>'ЛСР 07-01-04'!Заголовки_для_печати</vt:lpstr>
      <vt:lpstr>'ЛСР 07-02-01'!Заголовки_для_печати</vt:lpstr>
      <vt:lpstr>'ЛСР 07-02-02'!Заголовки_для_печати</vt:lpstr>
      <vt:lpstr>'ЛСР 09-07-01'!Заголовки_для_печати</vt:lpstr>
      <vt:lpstr>'ЛСР 09-07-02'!Заголовки_для_печати</vt:lpstr>
      <vt:lpstr>'ЛСР 09-07-03'!Заголовки_для_печати</vt:lpstr>
      <vt:lpstr>'ЛСР 12-01-06 '!Заголовки_для_печати</vt:lpstr>
      <vt:lpstr>'ЛСР 12-02-01'!Заголовки_для_печати</vt:lpstr>
      <vt:lpstr>'ЛСР 12-03-01'!Заголовки_для_печати</vt:lpstr>
      <vt:lpstr>'ЛСР 12-06-01'!Заголовки_для_печати</vt:lpstr>
      <vt:lpstr>'ЛСР 12-07-01'!Заголовки_для_печати</vt:lpstr>
      <vt:lpstr>'ОСР 01-01 (2021г)'!Заголовки_для_печати</vt:lpstr>
      <vt:lpstr>'ОСР 01-01(2000г)'!Заголовки_для_печати</vt:lpstr>
      <vt:lpstr>'ОСР 01-02(2000г)'!Заголовки_для_печати</vt:lpstr>
      <vt:lpstr>'ОСР 01-02(2021г)'!Заголовки_для_печати</vt:lpstr>
      <vt:lpstr>'ОСР 02-01(2000г)'!Заголовки_для_печати</vt:lpstr>
      <vt:lpstr>'ОСР 02-01(2021г)'!Заголовки_для_печати</vt:lpstr>
      <vt:lpstr>'ОСР 03-01(2000г)'!Заголовки_для_печати</vt:lpstr>
      <vt:lpstr>'ОСР 03-01(2021г)'!Заголовки_для_печати</vt:lpstr>
      <vt:lpstr>'ОСР 03-02(2000г)'!Заголовки_для_печати</vt:lpstr>
      <vt:lpstr>'ОСР 03-02(2021г)'!Заголовки_для_печати</vt:lpstr>
      <vt:lpstr>'ОСР 03-03(2000г)'!Заголовки_для_печати</vt:lpstr>
      <vt:lpstr>'ОСР 04-01(2000г)'!Заголовки_для_печати</vt:lpstr>
      <vt:lpstr>'ОСР 04-02(2000г)'!Заголовки_для_печати</vt:lpstr>
      <vt:lpstr>'ОСР 05-02(2000г)'!Заголовки_для_печати</vt:lpstr>
      <vt:lpstr>'ОСР 05-02(2021г)'!Заголовки_для_печати</vt:lpstr>
      <vt:lpstr>'ОСР 06-02(2000г)'!Заголовки_для_печати</vt:lpstr>
      <vt:lpstr>'ОСР 07-01(2000г)'!Заголовки_для_печати</vt:lpstr>
      <vt:lpstr>'ОСР 07-02(2000г)'!Заголовки_для_печати</vt:lpstr>
      <vt:lpstr>'ОСР 07-02(2021г)'!Заголовки_для_печати</vt:lpstr>
      <vt:lpstr>'ОСР 09-04 (2021г)'!Заголовки_для_печати</vt:lpstr>
      <vt:lpstr>'ОСР 09-04(2000г)'!Заголовки_для_печати</vt:lpstr>
      <vt:lpstr>'ОСР03-03(2021г)'!Заголовки_для_печати</vt:lpstr>
      <vt:lpstr>'ОСР04-01(2021г)'!Заголовки_для_печати</vt:lpstr>
      <vt:lpstr>'ОСР04-02(2021г)'!Заголовки_для_печати</vt:lpstr>
      <vt:lpstr>'ОСР06-02(2021г)'!Заголовки_для_печати</vt:lpstr>
      <vt:lpstr>'ОСР07-01(2021г)'!Заголовки_для_печати</vt:lpstr>
      <vt:lpstr>'СР-7 '!Заголовки_для_печати</vt:lpstr>
      <vt:lpstr>'ССРСС(2000г )'!Заголовки_для_печати</vt:lpstr>
      <vt:lpstr>'ССРСС(2021г.)'!Заголовки_для_печати</vt:lpstr>
      <vt:lpstr>ВОР!Область_печати</vt:lpstr>
      <vt:lpstr>График!Область_печати</vt:lpstr>
      <vt:lpstr>НМЦК!Область_печати</vt:lpstr>
      <vt:lpstr>'ОСР ПИР (2000 г).'!Область_печати</vt:lpstr>
      <vt:lpstr>'ОСР ПИР (2021 г.)'!Область_печати</vt:lpstr>
      <vt:lpstr>'Проект сметы контракта'!Область_печати</vt:lpstr>
      <vt:lpstr>Протокол!Область_печати</vt:lpstr>
      <vt:lpstr>'Расчет 09-01-01'!Область_печати</vt:lpstr>
      <vt:lpstr>'Расчет 09-02-01'!Область_печати</vt:lpstr>
      <vt:lpstr>'Расчет 09-03-01'!Область_печати</vt:lpstr>
      <vt:lpstr>'Расчет 09-05-01'!Область_печати</vt:lpstr>
      <vt:lpstr>'Расчет 09-06-01 '!Область_печати</vt:lpstr>
      <vt:lpstr>'Расчет 09-08-01'!Область_печати</vt:lpstr>
      <vt:lpstr>'Расчет 12-04-01'!Область_печати</vt:lpstr>
      <vt:lpstr>'Расчет 12-05-01'!Область_печати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Татаринова Елена Александровна</dc:creator>
  <cp:lastModifiedBy>Сонина Светлана Анатольевна</cp:lastModifiedBy>
  <cp:lastPrinted>2022-01-27T15:53:20Z</cp:lastPrinted>
  <dcterms:created xsi:type="dcterms:W3CDTF">2002-03-25T05:35:56Z</dcterms:created>
  <dcterms:modified xsi:type="dcterms:W3CDTF">2022-01-27T15:54:26Z</dcterms:modified>
</cp:coreProperties>
</file>